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lalit\Box\02 Health Financing\02 Program Activities\01 National Planning and Budgeting\01 HSSP Costings\HSSP III (2021)\05 Costing\01 Annex\"/>
    </mc:Choice>
  </mc:AlternateContent>
  <xr:revisionPtr revIDLastSave="0" documentId="13_ncr:1_{1E65C602-C3EA-400E-9FC8-0D8ADB888D24}" xr6:coauthVersionLast="47" xr6:coauthVersionMax="47" xr10:uidLastSave="{00000000-0000-0000-0000-000000000000}"/>
  <bookViews>
    <workbookView xWindow="-108" yWindow="-108" windowWidth="23256" windowHeight="12456" tabRatio="443" firstSheet="4" activeTab="4" xr2:uid="{00000000-000D-0000-FFFF-FFFF00000000}"/>
  </bookViews>
  <sheets>
    <sheet name="Budget Summary" sheetId="1" state="hidden" r:id="rId1"/>
    <sheet name="Detailed budget" sheetId="2" state="hidden" r:id="rId2"/>
    <sheet name="Pivot Objective" sheetId="31" r:id="rId3"/>
    <sheet name="Pivot Strategy" sheetId="33" r:id="rId4"/>
    <sheet name="Pivot Activity and HSSP Output" sheetId="34" r:id="rId5"/>
    <sheet name="Aggregated" sheetId="30" r:id="rId6"/>
    <sheet name="Strategy 4.3.1.1 Atupere" sheetId="3" state="hidden" r:id="rId7"/>
    <sheet name="Strategy 4.3.1.2Lumbani" sheetId="4" state="hidden" r:id="rId8"/>
    <sheet name="Strategy 4.3.1.3" sheetId="5" state="hidden" r:id="rId9"/>
    <sheet name="Strategy 4.3.1.4" sheetId="6" state="hidden" r:id="rId10"/>
    <sheet name="Strategy 4.3.1.5" sheetId="7" state="hidden" r:id="rId11"/>
    <sheet name="Strategy 4.3.1.6" sheetId="9" state="hidden" r:id="rId12"/>
    <sheet name="Strategy 4.3.2.1Atupere" sheetId="10" state="hidden" r:id="rId13"/>
    <sheet name="Strategy 4.3.2.2Lumbani" sheetId="19" state="hidden" r:id="rId14"/>
    <sheet name="Strategy 4.3.2.3Atupele" sheetId="20" state="hidden" r:id="rId15"/>
    <sheet name="Strategy 4.3.3.1Atupele" sheetId="22" state="hidden" r:id="rId16"/>
    <sheet name="Strategy 4.3.3.2" sheetId="23" state="hidden" r:id="rId17"/>
    <sheet name="Strategy 4.3.3.3Lumbani" sheetId="24" state="hidden" r:id="rId18"/>
    <sheet name="Strategy 4.3.4.1Atupele" sheetId="25" state="hidden" r:id="rId19"/>
    <sheet name="Strategy 4.3.4.2Atupere" sheetId="26" state="hidden" r:id="rId20"/>
    <sheet name="Strategy 4.3.4.3Lumbani" sheetId="27" state="hidden" r:id="rId21"/>
    <sheet name="Strategy 4.3.4.4" sheetId="28" state="hidden" r:id="rId22"/>
    <sheet name="Total costs by Activity" sheetId="29" r:id="rId23"/>
  </sheets>
  <externalReferences>
    <externalReference r:id="rId24"/>
    <externalReference r:id="rId25"/>
    <externalReference r:id="rId26"/>
  </externalReferences>
  <definedNames>
    <definedName name="_xlnm._FilterDatabase" localSheetId="5" hidden="1">Aggregated!$A$1:$AL$2859</definedName>
    <definedName name="_xlnm._FilterDatabase" localSheetId="16" hidden="1">'Strategy 4.3.3.2'!$A$138:$AE$168</definedName>
    <definedName name="_xlnm._FilterDatabase" localSheetId="17" hidden="1">'Strategy 4.3.3.3Lumbani'!$A$1:$AG$366</definedName>
    <definedName name="_xlnm._FilterDatabase" localSheetId="21" hidden="1">'Strategy 4.3.4.4'!$A$1:$AG$178</definedName>
    <definedName name="costItem_anchor">[1]dd_lists!$C$1</definedName>
    <definedName name="costItem_lookupRow">[1]dd_lists!$C$1:$S$1</definedName>
    <definedName name="structuredd_anchor">[1]Inputs_Assumptions!$C$8</definedName>
    <definedName name="structuredd_lookupRow">[1]Inputs_Assumptions!$C$8:$H$8</definedName>
    <definedName name="subactivitydd_anchor">[1]dd_lists!$U$1</definedName>
    <definedName name="subactivitydd_count">[1]dd_lists!$U:$U</definedName>
  </definedNames>
  <calcPr calcId="191029"/>
  <pivotCaches>
    <pivotCache cacheId="164" r:id="rId27"/>
    <pivotCache cacheId="172"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34" l="1"/>
  <c r="M4" i="34"/>
  <c r="L4" i="34"/>
  <c r="K4" i="34"/>
  <c r="J4" i="34"/>
  <c r="I4" i="34"/>
  <c r="H4" i="34"/>
  <c r="G4" i="34"/>
  <c r="AF4" i="34"/>
  <c r="AG4" i="34"/>
  <c r="AH4" i="34"/>
  <c r="AI4" i="34"/>
  <c r="AJ4" i="34"/>
  <c r="AK4" i="34"/>
  <c r="AL4" i="34"/>
  <c r="AE4" i="34"/>
  <c r="AF8" i="34"/>
  <c r="AF16" i="34"/>
  <c r="AF24" i="34"/>
  <c r="AF32" i="34"/>
  <c r="AF40" i="34"/>
  <c r="AF48" i="34"/>
  <c r="AF56" i="34"/>
  <c r="AF64" i="34"/>
  <c r="AF72" i="34"/>
  <c r="AF80" i="34"/>
  <c r="AF88" i="34"/>
  <c r="AI92" i="34"/>
  <c r="AI93" i="34"/>
  <c r="AI94" i="34"/>
  <c r="AI95" i="34"/>
  <c r="AI96" i="34"/>
  <c r="AG4" i="30"/>
  <c r="AE1" i="34"/>
  <c r="AF14" i="34" s="1"/>
  <c r="AI6" i="34"/>
  <c r="W7" i="34"/>
  <c r="X7" i="34"/>
  <c r="Y7" i="34"/>
  <c r="Z7" i="34"/>
  <c r="AA7" i="34"/>
  <c r="AB7" i="34"/>
  <c r="AC7" i="34"/>
  <c r="AD7" i="34"/>
  <c r="W8" i="34"/>
  <c r="X8" i="34"/>
  <c r="Y8" i="34"/>
  <c r="Z8" i="34"/>
  <c r="AA8" i="34"/>
  <c r="AB8" i="34"/>
  <c r="AC8" i="34"/>
  <c r="AD8" i="34"/>
  <c r="W9" i="34"/>
  <c r="X9" i="34"/>
  <c r="Y9" i="34"/>
  <c r="Z9" i="34"/>
  <c r="AA9" i="34"/>
  <c r="AB9" i="34"/>
  <c r="AC9" i="34"/>
  <c r="AD9" i="34"/>
  <c r="W10" i="34"/>
  <c r="X10" i="34"/>
  <c r="Y10" i="34"/>
  <c r="Z10" i="34"/>
  <c r="AA10" i="34"/>
  <c r="AB10" i="34"/>
  <c r="AC10" i="34"/>
  <c r="AD10" i="34"/>
  <c r="W11" i="34"/>
  <c r="X11" i="34"/>
  <c r="Y11" i="34"/>
  <c r="Z11" i="34"/>
  <c r="AA11" i="34"/>
  <c r="AB11" i="34"/>
  <c r="AC11" i="34"/>
  <c r="AD11" i="34"/>
  <c r="W12" i="34"/>
  <c r="X12" i="34"/>
  <c r="Y12" i="34"/>
  <c r="Z12" i="34"/>
  <c r="AA12" i="34"/>
  <c r="AB12" i="34"/>
  <c r="AC12" i="34"/>
  <c r="AD12" i="34"/>
  <c r="W13" i="34"/>
  <c r="X13" i="34"/>
  <c r="Y13" i="34"/>
  <c r="Z13" i="34"/>
  <c r="AA13" i="34"/>
  <c r="AB13" i="34"/>
  <c r="AC13" i="34"/>
  <c r="AD13" i="34"/>
  <c r="W14" i="34"/>
  <c r="X14" i="34"/>
  <c r="Y14" i="34"/>
  <c r="Z14" i="34"/>
  <c r="AA14" i="34"/>
  <c r="AB14" i="34"/>
  <c r="AC14" i="34"/>
  <c r="AD14" i="34"/>
  <c r="W15" i="34"/>
  <c r="X15" i="34"/>
  <c r="Y15" i="34"/>
  <c r="Z15" i="34"/>
  <c r="AA15" i="34"/>
  <c r="AB15" i="34"/>
  <c r="AC15" i="34"/>
  <c r="AD15" i="34"/>
  <c r="W16" i="34"/>
  <c r="X16" i="34"/>
  <c r="Y16" i="34"/>
  <c r="Z16" i="34"/>
  <c r="AA16" i="34"/>
  <c r="AB16" i="34"/>
  <c r="AC16" i="34"/>
  <c r="AD16" i="34"/>
  <c r="W17" i="34"/>
  <c r="X17" i="34"/>
  <c r="Y17" i="34"/>
  <c r="Z17" i="34"/>
  <c r="AA17" i="34"/>
  <c r="AB17" i="34"/>
  <c r="AC17" i="34"/>
  <c r="AD17" i="34"/>
  <c r="W18" i="34"/>
  <c r="X18" i="34"/>
  <c r="Y18" i="34"/>
  <c r="Z18" i="34"/>
  <c r="AA18" i="34"/>
  <c r="AB18" i="34"/>
  <c r="AC18" i="34"/>
  <c r="AD18" i="34"/>
  <c r="W19" i="34"/>
  <c r="X19" i="34"/>
  <c r="Y19" i="34"/>
  <c r="Z19" i="34"/>
  <c r="AA19" i="34"/>
  <c r="AB19" i="34"/>
  <c r="AC19" i="34"/>
  <c r="AD19" i="34"/>
  <c r="W20" i="34"/>
  <c r="X20" i="34"/>
  <c r="Y20" i="34"/>
  <c r="Z20" i="34"/>
  <c r="AA20" i="34"/>
  <c r="AB20" i="34"/>
  <c r="AC20" i="34"/>
  <c r="AD20" i="34"/>
  <c r="W21" i="34"/>
  <c r="X21" i="34"/>
  <c r="Y21" i="34"/>
  <c r="Z21" i="34"/>
  <c r="AA21" i="34"/>
  <c r="AB21" i="34"/>
  <c r="AC21" i="34"/>
  <c r="AD21" i="34"/>
  <c r="W22" i="34"/>
  <c r="X22" i="34"/>
  <c r="Y22" i="34"/>
  <c r="Z22" i="34"/>
  <c r="AA22" i="34"/>
  <c r="AB22" i="34"/>
  <c r="AC22" i="34"/>
  <c r="AD22" i="34"/>
  <c r="W23" i="34"/>
  <c r="X23" i="34"/>
  <c r="Y23" i="34"/>
  <c r="Z23" i="34"/>
  <c r="AA23" i="34"/>
  <c r="AB23" i="34"/>
  <c r="AC23" i="34"/>
  <c r="AD23" i="34"/>
  <c r="W24" i="34"/>
  <c r="X24" i="34"/>
  <c r="Y24" i="34"/>
  <c r="Z24" i="34"/>
  <c r="AA24" i="34"/>
  <c r="AB24" i="34"/>
  <c r="AC24" i="34"/>
  <c r="AD24" i="34"/>
  <c r="W25" i="34"/>
  <c r="X25" i="34"/>
  <c r="Y25" i="34"/>
  <c r="Z25" i="34"/>
  <c r="AA25" i="34"/>
  <c r="AB25" i="34"/>
  <c r="AC25" i="34"/>
  <c r="AD25" i="34"/>
  <c r="W26" i="34"/>
  <c r="X26" i="34"/>
  <c r="Y26" i="34"/>
  <c r="Z26" i="34"/>
  <c r="AA26" i="34"/>
  <c r="AB26" i="34"/>
  <c r="AC26" i="34"/>
  <c r="AD26" i="34"/>
  <c r="W27" i="34"/>
  <c r="X27" i="34"/>
  <c r="Y27" i="34"/>
  <c r="Z27" i="34"/>
  <c r="AA27" i="34"/>
  <c r="AB27" i="34"/>
  <c r="AC27" i="34"/>
  <c r="AD27" i="34"/>
  <c r="W28" i="34"/>
  <c r="X28" i="34"/>
  <c r="Y28" i="34"/>
  <c r="Z28" i="34"/>
  <c r="AA28" i="34"/>
  <c r="AB28" i="34"/>
  <c r="AC28" i="34"/>
  <c r="AD28" i="34"/>
  <c r="W29" i="34"/>
  <c r="X29" i="34"/>
  <c r="Y29" i="34"/>
  <c r="Z29" i="34"/>
  <c r="AA29" i="34"/>
  <c r="AB29" i="34"/>
  <c r="AC29" i="34"/>
  <c r="AD29" i="34"/>
  <c r="W30" i="34"/>
  <c r="X30" i="34"/>
  <c r="Y30" i="34"/>
  <c r="Z30" i="34"/>
  <c r="AA30" i="34"/>
  <c r="AB30" i="34"/>
  <c r="AC30" i="34"/>
  <c r="AD30" i="34"/>
  <c r="W31" i="34"/>
  <c r="X31" i="34"/>
  <c r="Y31" i="34"/>
  <c r="Z31" i="34"/>
  <c r="AA31" i="34"/>
  <c r="AB31" i="34"/>
  <c r="AC31" i="34"/>
  <c r="AD31" i="34"/>
  <c r="W32" i="34"/>
  <c r="X32" i="34"/>
  <c r="Y32" i="34"/>
  <c r="Z32" i="34"/>
  <c r="AA32" i="34"/>
  <c r="AB32" i="34"/>
  <c r="AC32" i="34"/>
  <c r="AD32" i="34"/>
  <c r="W33" i="34"/>
  <c r="X33" i="34"/>
  <c r="Y33" i="34"/>
  <c r="Z33" i="34"/>
  <c r="AA33" i="34"/>
  <c r="AB33" i="34"/>
  <c r="AC33" i="34"/>
  <c r="AD33" i="34"/>
  <c r="W34" i="34"/>
  <c r="X34" i="34"/>
  <c r="Y34" i="34"/>
  <c r="Z34" i="34"/>
  <c r="AA34" i="34"/>
  <c r="AB34" i="34"/>
  <c r="AC34" i="34"/>
  <c r="AD34" i="34"/>
  <c r="W35" i="34"/>
  <c r="X35" i="34"/>
  <c r="Y35" i="34"/>
  <c r="Z35" i="34"/>
  <c r="AA35" i="34"/>
  <c r="AB35" i="34"/>
  <c r="AC35" i="34"/>
  <c r="AD35" i="34"/>
  <c r="W36" i="34"/>
  <c r="X36" i="34"/>
  <c r="Y36" i="34"/>
  <c r="Z36" i="34"/>
  <c r="AA36" i="34"/>
  <c r="AB36" i="34"/>
  <c r="AC36" i="34"/>
  <c r="AD36" i="34"/>
  <c r="W37" i="34"/>
  <c r="X37" i="34"/>
  <c r="Y37" i="34"/>
  <c r="Z37" i="34"/>
  <c r="AA37" i="34"/>
  <c r="AB37" i="34"/>
  <c r="AC37" i="34"/>
  <c r="AD37" i="34"/>
  <c r="W38" i="34"/>
  <c r="X38" i="34"/>
  <c r="Y38" i="34"/>
  <c r="Z38" i="34"/>
  <c r="AA38" i="34"/>
  <c r="AB38" i="34"/>
  <c r="AC38" i="34"/>
  <c r="AD38" i="34"/>
  <c r="W39" i="34"/>
  <c r="X39" i="34"/>
  <c r="Y39" i="34"/>
  <c r="Z39" i="34"/>
  <c r="AA39" i="34"/>
  <c r="AB39" i="34"/>
  <c r="AC39" i="34"/>
  <c r="AD39" i="34"/>
  <c r="W40" i="34"/>
  <c r="X40" i="34"/>
  <c r="Y40" i="34"/>
  <c r="Z40" i="34"/>
  <c r="AA40" i="34"/>
  <c r="AB40" i="34"/>
  <c r="AC40" i="34"/>
  <c r="AD40" i="34"/>
  <c r="W41" i="34"/>
  <c r="X41" i="34"/>
  <c r="Y41" i="34"/>
  <c r="Z41" i="34"/>
  <c r="AA41" i="34"/>
  <c r="AB41" i="34"/>
  <c r="AC41" i="34"/>
  <c r="AD41" i="34"/>
  <c r="W42" i="34"/>
  <c r="X42" i="34"/>
  <c r="Y42" i="34"/>
  <c r="Z42" i="34"/>
  <c r="AA42" i="34"/>
  <c r="AB42" i="34"/>
  <c r="AC42" i="34"/>
  <c r="AD42" i="34"/>
  <c r="W43" i="34"/>
  <c r="X43" i="34"/>
  <c r="Y43" i="34"/>
  <c r="Z43" i="34"/>
  <c r="AA43" i="34"/>
  <c r="AB43" i="34"/>
  <c r="AC43" i="34"/>
  <c r="AD43" i="34"/>
  <c r="W44" i="34"/>
  <c r="X44" i="34"/>
  <c r="Y44" i="34"/>
  <c r="Z44" i="34"/>
  <c r="AA44" i="34"/>
  <c r="AB44" i="34"/>
  <c r="AC44" i="34"/>
  <c r="AD44" i="34"/>
  <c r="W45" i="34"/>
  <c r="X45" i="34"/>
  <c r="Y45" i="34"/>
  <c r="Z45" i="34"/>
  <c r="AA45" i="34"/>
  <c r="AB45" i="34"/>
  <c r="AC45" i="34"/>
  <c r="AD45" i="34"/>
  <c r="W46" i="34"/>
  <c r="X46" i="34"/>
  <c r="Y46" i="34"/>
  <c r="Z46" i="34"/>
  <c r="AA46" i="34"/>
  <c r="AB46" i="34"/>
  <c r="AC46" i="34"/>
  <c r="AD46" i="34"/>
  <c r="W47" i="34"/>
  <c r="X47" i="34"/>
  <c r="Y47" i="34"/>
  <c r="Z47" i="34"/>
  <c r="AA47" i="34"/>
  <c r="AB47" i="34"/>
  <c r="AC47" i="34"/>
  <c r="AD47" i="34"/>
  <c r="W48" i="34"/>
  <c r="X48" i="34"/>
  <c r="Y48" i="34"/>
  <c r="Z48" i="34"/>
  <c r="AA48" i="34"/>
  <c r="AB48" i="34"/>
  <c r="AC48" i="34"/>
  <c r="AD48" i="34"/>
  <c r="W49" i="34"/>
  <c r="X49" i="34"/>
  <c r="Y49" i="34"/>
  <c r="Z49" i="34"/>
  <c r="AA49" i="34"/>
  <c r="AB49" i="34"/>
  <c r="AC49" i="34"/>
  <c r="AD49" i="34"/>
  <c r="W50" i="34"/>
  <c r="X50" i="34"/>
  <c r="Y50" i="34"/>
  <c r="Z50" i="34"/>
  <c r="AA50" i="34"/>
  <c r="AB50" i="34"/>
  <c r="AC50" i="34"/>
  <c r="AD50" i="34"/>
  <c r="W51" i="34"/>
  <c r="X51" i="34"/>
  <c r="Y51" i="34"/>
  <c r="Z51" i="34"/>
  <c r="AA51" i="34"/>
  <c r="AB51" i="34"/>
  <c r="AC51" i="34"/>
  <c r="AD51" i="34"/>
  <c r="W52" i="34"/>
  <c r="X52" i="34"/>
  <c r="Y52" i="34"/>
  <c r="Z52" i="34"/>
  <c r="AA52" i="34"/>
  <c r="AB52" i="34"/>
  <c r="AC52" i="34"/>
  <c r="AD52" i="34"/>
  <c r="W53" i="34"/>
  <c r="X53" i="34"/>
  <c r="Y53" i="34"/>
  <c r="Z53" i="34"/>
  <c r="AA53" i="34"/>
  <c r="AB53" i="34"/>
  <c r="AC53" i="34"/>
  <c r="AD53" i="34"/>
  <c r="W54" i="34"/>
  <c r="X54" i="34"/>
  <c r="Y54" i="34"/>
  <c r="Z54" i="34"/>
  <c r="AA54" i="34"/>
  <c r="AB54" i="34"/>
  <c r="AC54" i="34"/>
  <c r="AD54" i="34"/>
  <c r="W55" i="34"/>
  <c r="X55" i="34"/>
  <c r="Y55" i="34"/>
  <c r="Z55" i="34"/>
  <c r="AA55" i="34"/>
  <c r="AB55" i="34"/>
  <c r="AC55" i="34"/>
  <c r="AD55" i="34"/>
  <c r="W56" i="34"/>
  <c r="X56" i="34"/>
  <c r="Y56" i="34"/>
  <c r="Z56" i="34"/>
  <c r="AA56" i="34"/>
  <c r="AB56" i="34"/>
  <c r="AC56" i="34"/>
  <c r="AD56" i="34"/>
  <c r="W57" i="34"/>
  <c r="X57" i="34"/>
  <c r="Y57" i="34"/>
  <c r="Z57" i="34"/>
  <c r="AA57" i="34"/>
  <c r="AB57" i="34"/>
  <c r="AC57" i="34"/>
  <c r="AD57" i="34"/>
  <c r="W58" i="34"/>
  <c r="X58" i="34"/>
  <c r="Y58" i="34"/>
  <c r="Z58" i="34"/>
  <c r="AA58" i="34"/>
  <c r="AB58" i="34"/>
  <c r="AC58" i="34"/>
  <c r="AD58" i="34"/>
  <c r="W59" i="34"/>
  <c r="X59" i="34"/>
  <c r="Y59" i="34"/>
  <c r="Z59" i="34"/>
  <c r="AA59" i="34"/>
  <c r="AB59" i="34"/>
  <c r="AC59" i="34"/>
  <c r="AD59" i="34"/>
  <c r="W60" i="34"/>
  <c r="X60" i="34"/>
  <c r="Y60" i="34"/>
  <c r="Z60" i="34"/>
  <c r="AA60" i="34"/>
  <c r="AB60" i="34"/>
  <c r="AC60" i="34"/>
  <c r="AD60" i="34"/>
  <c r="W61" i="34"/>
  <c r="X61" i="34"/>
  <c r="Y61" i="34"/>
  <c r="Z61" i="34"/>
  <c r="AA61" i="34"/>
  <c r="AB61" i="34"/>
  <c r="AC61" i="34"/>
  <c r="AD61" i="34"/>
  <c r="W62" i="34"/>
  <c r="X62" i="34"/>
  <c r="Y62" i="34"/>
  <c r="Z62" i="34"/>
  <c r="AA62" i="34"/>
  <c r="AB62" i="34"/>
  <c r="AC62" i="34"/>
  <c r="AD62" i="34"/>
  <c r="W63" i="34"/>
  <c r="X63" i="34"/>
  <c r="Y63" i="34"/>
  <c r="Z63" i="34"/>
  <c r="AA63" i="34"/>
  <c r="AB63" i="34"/>
  <c r="AC63" i="34"/>
  <c r="AD63" i="34"/>
  <c r="W64" i="34"/>
  <c r="X64" i="34"/>
  <c r="Y64" i="34"/>
  <c r="Z64" i="34"/>
  <c r="AA64" i="34"/>
  <c r="AB64" i="34"/>
  <c r="AC64" i="34"/>
  <c r="AD64" i="34"/>
  <c r="W65" i="34"/>
  <c r="X65" i="34"/>
  <c r="Y65" i="34"/>
  <c r="Z65" i="34"/>
  <c r="AA65" i="34"/>
  <c r="AB65" i="34"/>
  <c r="AC65" i="34"/>
  <c r="AD65" i="34"/>
  <c r="W66" i="34"/>
  <c r="X66" i="34"/>
  <c r="Y66" i="34"/>
  <c r="Z66" i="34"/>
  <c r="AA66" i="34"/>
  <c r="AB66" i="34"/>
  <c r="AC66" i="34"/>
  <c r="AD66" i="34"/>
  <c r="W67" i="34"/>
  <c r="X67" i="34"/>
  <c r="Y67" i="34"/>
  <c r="Z67" i="34"/>
  <c r="AA67" i="34"/>
  <c r="AB67" i="34"/>
  <c r="AC67" i="34"/>
  <c r="AD67" i="34"/>
  <c r="W68" i="34"/>
  <c r="X68" i="34"/>
  <c r="Y68" i="34"/>
  <c r="Z68" i="34"/>
  <c r="AA68" i="34"/>
  <c r="AB68" i="34"/>
  <c r="AC68" i="34"/>
  <c r="AD68" i="34"/>
  <c r="W69" i="34"/>
  <c r="X69" i="34"/>
  <c r="Y69" i="34"/>
  <c r="Z69" i="34"/>
  <c r="AA69" i="34"/>
  <c r="AB69" i="34"/>
  <c r="AC69" i="34"/>
  <c r="AD69" i="34"/>
  <c r="W70" i="34"/>
  <c r="X70" i="34"/>
  <c r="Y70" i="34"/>
  <c r="Z70" i="34"/>
  <c r="AA70" i="34"/>
  <c r="AB70" i="34"/>
  <c r="AC70" i="34"/>
  <c r="AD70" i="34"/>
  <c r="W71" i="34"/>
  <c r="X71" i="34"/>
  <c r="Y71" i="34"/>
  <c r="Z71" i="34"/>
  <c r="AA71" i="34"/>
  <c r="AB71" i="34"/>
  <c r="AC71" i="34"/>
  <c r="AD71" i="34"/>
  <c r="W72" i="34"/>
  <c r="X72" i="34"/>
  <c r="Y72" i="34"/>
  <c r="Z72" i="34"/>
  <c r="AA72" i="34"/>
  <c r="AB72" i="34"/>
  <c r="AC72" i="34"/>
  <c r="AD72" i="34"/>
  <c r="W73" i="34"/>
  <c r="X73" i="34"/>
  <c r="Y73" i="34"/>
  <c r="Z73" i="34"/>
  <c r="AA73" i="34"/>
  <c r="AB73" i="34"/>
  <c r="AC73" i="34"/>
  <c r="AD73" i="34"/>
  <c r="W74" i="34"/>
  <c r="X74" i="34"/>
  <c r="Y74" i="34"/>
  <c r="Z74" i="34"/>
  <c r="AA74" i="34"/>
  <c r="AB74" i="34"/>
  <c r="AC74" i="34"/>
  <c r="AD74" i="34"/>
  <c r="W75" i="34"/>
  <c r="X75" i="34"/>
  <c r="Y75" i="34"/>
  <c r="Z75" i="34"/>
  <c r="AA75" i="34"/>
  <c r="AB75" i="34"/>
  <c r="AC75" i="34"/>
  <c r="AD75" i="34"/>
  <c r="W76" i="34"/>
  <c r="X76" i="34"/>
  <c r="Y76" i="34"/>
  <c r="Z76" i="34"/>
  <c r="AA76" i="34"/>
  <c r="AB76" i="34"/>
  <c r="AC76" i="34"/>
  <c r="AD76" i="34"/>
  <c r="W77" i="34"/>
  <c r="X77" i="34"/>
  <c r="Y77" i="34"/>
  <c r="Z77" i="34"/>
  <c r="AA77" i="34"/>
  <c r="AB77" i="34"/>
  <c r="AC77" i="34"/>
  <c r="AD77" i="34"/>
  <c r="W78" i="34"/>
  <c r="X78" i="34"/>
  <c r="Y78" i="34"/>
  <c r="Z78" i="34"/>
  <c r="AA78" i="34"/>
  <c r="AB78" i="34"/>
  <c r="AC78" i="34"/>
  <c r="AD78" i="34"/>
  <c r="W79" i="34"/>
  <c r="X79" i="34"/>
  <c r="Y79" i="34"/>
  <c r="Z79" i="34"/>
  <c r="AA79" i="34"/>
  <c r="AB79" i="34"/>
  <c r="AC79" i="34"/>
  <c r="AD79" i="34"/>
  <c r="W80" i="34"/>
  <c r="X80" i="34"/>
  <c r="Y80" i="34"/>
  <c r="Z80" i="34"/>
  <c r="AA80" i="34"/>
  <c r="AB80" i="34"/>
  <c r="AC80" i="34"/>
  <c r="AD80" i="34"/>
  <c r="W81" i="34"/>
  <c r="X81" i="34"/>
  <c r="Y81" i="34"/>
  <c r="Z81" i="34"/>
  <c r="AA81" i="34"/>
  <c r="AB81" i="34"/>
  <c r="AC81" i="34"/>
  <c r="AD81" i="34"/>
  <c r="W82" i="34"/>
  <c r="X82" i="34"/>
  <c r="Y82" i="34"/>
  <c r="Z82" i="34"/>
  <c r="AA82" i="34"/>
  <c r="AB82" i="34"/>
  <c r="AC82" i="34"/>
  <c r="AD82" i="34"/>
  <c r="W83" i="34"/>
  <c r="X83" i="34"/>
  <c r="Y83" i="34"/>
  <c r="Z83" i="34"/>
  <c r="AA83" i="34"/>
  <c r="AB83" i="34"/>
  <c r="AC83" i="34"/>
  <c r="AD83" i="34"/>
  <c r="W84" i="34"/>
  <c r="X84" i="34"/>
  <c r="Y84" i="34"/>
  <c r="Z84" i="34"/>
  <c r="AA84" i="34"/>
  <c r="AB84" i="34"/>
  <c r="AC84" i="34"/>
  <c r="AD84" i="34"/>
  <c r="W85" i="34"/>
  <c r="X85" i="34"/>
  <c r="Y85" i="34"/>
  <c r="Z85" i="34"/>
  <c r="AA85" i="34"/>
  <c r="AB85" i="34"/>
  <c r="AC85" i="34"/>
  <c r="AD85" i="34"/>
  <c r="W86" i="34"/>
  <c r="X86" i="34"/>
  <c r="Y86" i="34"/>
  <c r="Z86" i="34"/>
  <c r="AA86" i="34"/>
  <c r="AB86" i="34"/>
  <c r="AC86" i="34"/>
  <c r="AD86" i="34"/>
  <c r="W87" i="34"/>
  <c r="X87" i="34"/>
  <c r="Y87" i="34"/>
  <c r="Z87" i="34"/>
  <c r="AA87" i="34"/>
  <c r="AB87" i="34"/>
  <c r="AC87" i="34"/>
  <c r="AD87" i="34"/>
  <c r="W88" i="34"/>
  <c r="X88" i="34"/>
  <c r="Y88" i="34"/>
  <c r="Z88" i="34"/>
  <c r="AA88" i="34"/>
  <c r="AB88" i="34"/>
  <c r="AC88" i="34"/>
  <c r="AD88" i="34"/>
  <c r="W89" i="34"/>
  <c r="X89" i="34"/>
  <c r="Y89" i="34"/>
  <c r="Z89" i="34"/>
  <c r="AA89" i="34"/>
  <c r="AB89" i="34"/>
  <c r="AC89" i="34"/>
  <c r="AD89" i="34"/>
  <c r="W90" i="34"/>
  <c r="X90" i="34"/>
  <c r="Y90" i="34"/>
  <c r="Z90" i="34"/>
  <c r="AA90" i="34"/>
  <c r="AB90" i="34"/>
  <c r="AC90" i="34"/>
  <c r="AD90" i="34"/>
  <c r="W91" i="34"/>
  <c r="X91" i="34"/>
  <c r="Y91" i="34"/>
  <c r="Z91" i="34"/>
  <c r="AA91" i="34"/>
  <c r="AB91" i="34"/>
  <c r="AC91" i="34"/>
  <c r="AD91" i="34"/>
  <c r="W92" i="34"/>
  <c r="X92" i="34"/>
  <c r="Y92" i="34"/>
  <c r="Z92" i="34"/>
  <c r="AA92" i="34"/>
  <c r="AB92" i="34"/>
  <c r="AC92" i="34"/>
  <c r="AD92" i="34"/>
  <c r="W93" i="34"/>
  <c r="X93" i="34"/>
  <c r="Y93" i="34"/>
  <c r="Z93" i="34"/>
  <c r="AA93" i="34"/>
  <c r="AB93" i="34"/>
  <c r="AC93" i="34"/>
  <c r="AD93" i="34"/>
  <c r="W94" i="34"/>
  <c r="X94" i="34"/>
  <c r="Y94" i="34"/>
  <c r="Z94" i="34"/>
  <c r="AA94" i="34"/>
  <c r="AB94" i="34"/>
  <c r="AC94" i="34"/>
  <c r="AD94" i="34"/>
  <c r="W95" i="34"/>
  <c r="X95" i="34"/>
  <c r="Y95" i="34"/>
  <c r="Z95" i="34"/>
  <c r="AA95" i="34"/>
  <c r="AB95" i="34"/>
  <c r="AC95" i="34"/>
  <c r="AD95" i="34"/>
  <c r="W96" i="34"/>
  <c r="X96" i="34"/>
  <c r="Y96" i="34"/>
  <c r="Z96" i="34"/>
  <c r="AA96" i="34"/>
  <c r="AB96" i="34"/>
  <c r="AC96" i="34"/>
  <c r="AD96" i="34"/>
  <c r="X6" i="34"/>
  <c r="Y6" i="34"/>
  <c r="Z6" i="34"/>
  <c r="AA6" i="34"/>
  <c r="AB6" i="34"/>
  <c r="AC6" i="34"/>
  <c r="AD6" i="34"/>
  <c r="W6" i="34"/>
  <c r="R86" i="34"/>
  <c r="S86" i="34" s="1"/>
  <c r="V86" i="34"/>
  <c r="R87" i="34"/>
  <c r="S87" i="34" s="1"/>
  <c r="V87" i="34"/>
  <c r="R88" i="34"/>
  <c r="S88" i="34" s="1"/>
  <c r="V88" i="34"/>
  <c r="R89" i="34"/>
  <c r="S89" i="34" s="1"/>
  <c r="V89" i="34"/>
  <c r="R90" i="34"/>
  <c r="S90" i="34" s="1"/>
  <c r="V90" i="34"/>
  <c r="R91" i="34"/>
  <c r="S91" i="34" s="1"/>
  <c r="V91" i="34"/>
  <c r="R92" i="34"/>
  <c r="T92" i="34" s="1"/>
  <c r="U92" i="34" s="1"/>
  <c r="V92" i="34"/>
  <c r="R93" i="34"/>
  <c r="S93" i="34" s="1"/>
  <c r="V93" i="34"/>
  <c r="R94" i="34"/>
  <c r="S94" i="34" s="1"/>
  <c r="V94" i="34"/>
  <c r="R95" i="34"/>
  <c r="S95" i="34" s="1"/>
  <c r="V95" i="34"/>
  <c r="R7" i="34"/>
  <c r="S7" i="34" s="1"/>
  <c r="V7" i="34"/>
  <c r="R8" i="34"/>
  <c r="S8" i="34" s="1"/>
  <c r="V8" i="34"/>
  <c r="R9" i="34"/>
  <c r="S9" i="34" s="1"/>
  <c r="V9" i="34"/>
  <c r="R10" i="34"/>
  <c r="S10" i="34" s="1"/>
  <c r="V10" i="34"/>
  <c r="R11" i="34"/>
  <c r="S11" i="34" s="1"/>
  <c r="V11" i="34"/>
  <c r="R12" i="34"/>
  <c r="T12" i="34" s="1"/>
  <c r="U12" i="34" s="1"/>
  <c r="V12" i="34"/>
  <c r="R13" i="34"/>
  <c r="T13" i="34" s="1"/>
  <c r="U13" i="34" s="1"/>
  <c r="V13" i="34"/>
  <c r="R14" i="34"/>
  <c r="S14" i="34" s="1"/>
  <c r="V14" i="34"/>
  <c r="R15" i="34"/>
  <c r="S15" i="34" s="1"/>
  <c r="T15" i="34"/>
  <c r="U15" i="34" s="1"/>
  <c r="V15" i="34"/>
  <c r="R16" i="34"/>
  <c r="S16" i="34" s="1"/>
  <c r="V16" i="34"/>
  <c r="R17" i="34"/>
  <c r="S17" i="34" s="1"/>
  <c r="V17" i="34"/>
  <c r="R18" i="34"/>
  <c r="S18" i="34" s="1"/>
  <c r="V18" i="34"/>
  <c r="R19" i="34"/>
  <c r="S19" i="34" s="1"/>
  <c r="V19" i="34"/>
  <c r="R20" i="34"/>
  <c r="T20" i="34" s="1"/>
  <c r="U20" i="34" s="1"/>
  <c r="V20" i="34"/>
  <c r="R21" i="34"/>
  <c r="T21" i="34" s="1"/>
  <c r="U21" i="34" s="1"/>
  <c r="V21" i="34"/>
  <c r="R22" i="34"/>
  <c r="S22" i="34"/>
  <c r="T22" i="34"/>
  <c r="U22" i="34" s="1"/>
  <c r="V22" i="34"/>
  <c r="R23" i="34"/>
  <c r="T23" i="34" s="1"/>
  <c r="U23" i="34" s="1"/>
  <c r="V23" i="34"/>
  <c r="R24" i="34"/>
  <c r="S24" i="34" s="1"/>
  <c r="V24" i="34"/>
  <c r="R25" i="34"/>
  <c r="S25" i="34" s="1"/>
  <c r="V25" i="34"/>
  <c r="R26" i="34"/>
  <c r="S26" i="34" s="1"/>
  <c r="V26" i="34"/>
  <c r="R27" i="34"/>
  <c r="S27" i="34" s="1"/>
  <c r="V27" i="34"/>
  <c r="R28" i="34"/>
  <c r="T28" i="34" s="1"/>
  <c r="U28" i="34" s="1"/>
  <c r="S28" i="34"/>
  <c r="V28" i="34"/>
  <c r="R29" i="34"/>
  <c r="T29" i="34" s="1"/>
  <c r="U29" i="34" s="1"/>
  <c r="V29" i="34"/>
  <c r="R30" i="34"/>
  <c r="S30" i="34" s="1"/>
  <c r="V30" i="34"/>
  <c r="R31" i="34"/>
  <c r="S31" i="34" s="1"/>
  <c r="T31" i="34"/>
  <c r="U31" i="34" s="1"/>
  <c r="V31" i="34"/>
  <c r="R32" i="34"/>
  <c r="S32" i="34" s="1"/>
  <c r="V32" i="34"/>
  <c r="R33" i="34"/>
  <c r="S33" i="34" s="1"/>
  <c r="V33" i="34"/>
  <c r="R34" i="34"/>
  <c r="S34" i="34" s="1"/>
  <c r="V34" i="34"/>
  <c r="R35" i="34"/>
  <c r="S35" i="34" s="1"/>
  <c r="V35" i="34"/>
  <c r="R36" i="34"/>
  <c r="T36" i="34" s="1"/>
  <c r="U36" i="34" s="1"/>
  <c r="V36" i="34"/>
  <c r="R37" i="34"/>
  <c r="T37" i="34" s="1"/>
  <c r="U37" i="34" s="1"/>
  <c r="V37" i="34"/>
  <c r="R38" i="34"/>
  <c r="T38" i="34" s="1"/>
  <c r="U38" i="34" s="1"/>
  <c r="S38" i="34"/>
  <c r="V38" i="34"/>
  <c r="R39" i="34"/>
  <c r="S39" i="34" s="1"/>
  <c r="V39" i="34"/>
  <c r="R40" i="34"/>
  <c r="S40" i="34" s="1"/>
  <c r="T40" i="34"/>
  <c r="U40" i="34" s="1"/>
  <c r="V40" i="34"/>
  <c r="R41" i="34"/>
  <c r="S41" i="34" s="1"/>
  <c r="V41" i="34"/>
  <c r="R42" i="34"/>
  <c r="S42" i="34" s="1"/>
  <c r="V42" i="34"/>
  <c r="R43" i="34"/>
  <c r="S43" i="34" s="1"/>
  <c r="V43" i="34"/>
  <c r="R44" i="34"/>
  <c r="T44" i="34" s="1"/>
  <c r="U44" i="34" s="1"/>
  <c r="V44" i="34"/>
  <c r="R45" i="34"/>
  <c r="T45" i="34" s="1"/>
  <c r="U45" i="34" s="1"/>
  <c r="V45" i="34"/>
  <c r="R46" i="34"/>
  <c r="T46" i="34" s="1"/>
  <c r="U46" i="34" s="1"/>
  <c r="S46" i="34"/>
  <c r="V46" i="34"/>
  <c r="R47" i="34"/>
  <c r="T47" i="34" s="1"/>
  <c r="U47" i="34" s="1"/>
  <c r="S47" i="34"/>
  <c r="V47" i="34"/>
  <c r="R48" i="34"/>
  <c r="S48" i="34" s="1"/>
  <c r="T48" i="34"/>
  <c r="U48" i="34" s="1"/>
  <c r="V48" i="34"/>
  <c r="R49" i="34"/>
  <c r="S49" i="34" s="1"/>
  <c r="V49" i="34"/>
  <c r="R50" i="34"/>
  <c r="S50" i="34" s="1"/>
  <c r="V50" i="34"/>
  <c r="R51" i="34"/>
  <c r="S51" i="34" s="1"/>
  <c r="V51" i="34"/>
  <c r="R52" i="34"/>
  <c r="T52" i="34" s="1"/>
  <c r="U52" i="34" s="1"/>
  <c r="V52" i="34"/>
  <c r="R53" i="34"/>
  <c r="T53" i="34" s="1"/>
  <c r="U53" i="34" s="1"/>
  <c r="V53" i="34"/>
  <c r="R54" i="34"/>
  <c r="S54" i="34" s="1"/>
  <c r="V54" i="34"/>
  <c r="R55" i="34"/>
  <c r="S55" i="34" s="1"/>
  <c r="V55" i="34"/>
  <c r="R56" i="34"/>
  <c r="S56" i="34" s="1"/>
  <c r="V56" i="34"/>
  <c r="R57" i="34"/>
  <c r="S57" i="34" s="1"/>
  <c r="V57" i="34"/>
  <c r="R58" i="34"/>
  <c r="S58" i="34" s="1"/>
  <c r="V58" i="34"/>
  <c r="R59" i="34"/>
  <c r="S59" i="34" s="1"/>
  <c r="V59" i="34"/>
  <c r="R60" i="34"/>
  <c r="T60" i="34" s="1"/>
  <c r="U60" i="34" s="1"/>
  <c r="V60" i="34"/>
  <c r="R61" i="34"/>
  <c r="T61" i="34" s="1"/>
  <c r="U61" i="34" s="1"/>
  <c r="V61" i="34"/>
  <c r="R62" i="34"/>
  <c r="S62" i="34" s="1"/>
  <c r="V62" i="34"/>
  <c r="R63" i="34"/>
  <c r="T63" i="34" s="1"/>
  <c r="U63" i="34" s="1"/>
  <c r="V63" i="34"/>
  <c r="R64" i="34"/>
  <c r="S64" i="34" s="1"/>
  <c r="V64" i="34"/>
  <c r="R65" i="34"/>
  <c r="S65" i="34" s="1"/>
  <c r="V65" i="34"/>
  <c r="R66" i="34"/>
  <c r="S66" i="34" s="1"/>
  <c r="V66" i="34"/>
  <c r="R67" i="34"/>
  <c r="S67" i="34" s="1"/>
  <c r="V67" i="34"/>
  <c r="R68" i="34"/>
  <c r="T68" i="34" s="1"/>
  <c r="U68" i="34" s="1"/>
  <c r="V68" i="34"/>
  <c r="R69" i="34"/>
  <c r="T69" i="34" s="1"/>
  <c r="U69" i="34" s="1"/>
  <c r="V69" i="34"/>
  <c r="R70" i="34"/>
  <c r="S70" i="34" s="1"/>
  <c r="V70" i="34"/>
  <c r="R71" i="34"/>
  <c r="S71" i="34" s="1"/>
  <c r="V71" i="34"/>
  <c r="R72" i="34"/>
  <c r="S72" i="34" s="1"/>
  <c r="V72" i="34"/>
  <c r="R73" i="34"/>
  <c r="S73" i="34" s="1"/>
  <c r="V73" i="34"/>
  <c r="R74" i="34"/>
  <c r="S74" i="34" s="1"/>
  <c r="V74" i="34"/>
  <c r="R75" i="34"/>
  <c r="S75" i="34" s="1"/>
  <c r="V75" i="34"/>
  <c r="R76" i="34"/>
  <c r="T76" i="34" s="1"/>
  <c r="U76" i="34" s="1"/>
  <c r="S76" i="34"/>
  <c r="V76" i="34"/>
  <c r="R77" i="34"/>
  <c r="T77" i="34" s="1"/>
  <c r="U77" i="34" s="1"/>
  <c r="V77" i="34"/>
  <c r="R78" i="34"/>
  <c r="S78" i="34" s="1"/>
  <c r="V78" i="34"/>
  <c r="R79" i="34"/>
  <c r="T79" i="34" s="1"/>
  <c r="U79" i="34" s="1"/>
  <c r="V79" i="34"/>
  <c r="R80" i="34"/>
  <c r="S80" i="34" s="1"/>
  <c r="V80" i="34"/>
  <c r="R81" i="34"/>
  <c r="S81" i="34" s="1"/>
  <c r="V81" i="34"/>
  <c r="R82" i="34"/>
  <c r="S82" i="34" s="1"/>
  <c r="V82" i="34"/>
  <c r="R83" i="34"/>
  <c r="S83" i="34" s="1"/>
  <c r="V83" i="34"/>
  <c r="R84" i="34"/>
  <c r="T84" i="34" s="1"/>
  <c r="U84" i="34" s="1"/>
  <c r="V84" i="34"/>
  <c r="R85" i="34"/>
  <c r="T85" i="34" s="1"/>
  <c r="U85" i="34" s="1"/>
  <c r="S85" i="34"/>
  <c r="V85" i="34"/>
  <c r="V6" i="34"/>
  <c r="T6" i="34"/>
  <c r="U6" i="34" s="1"/>
  <c r="R6" i="34"/>
  <c r="S6" i="34" s="1"/>
  <c r="D135" i="29"/>
  <c r="D122" i="29"/>
  <c r="D105" i="29"/>
  <c r="D115" i="29"/>
  <c r="D97" i="29"/>
  <c r="D96" i="29"/>
  <c r="D88" i="29"/>
  <c r="D79" i="29"/>
  <c r="D69" i="29"/>
  <c r="D71" i="29" s="1"/>
  <c r="D61" i="29"/>
  <c r="D56" i="29"/>
  <c r="D47" i="29"/>
  <c r="D41" i="29"/>
  <c r="D35" i="29"/>
  <c r="D29" i="29"/>
  <c r="D21" i="29"/>
  <c r="D49" i="29" s="1"/>
  <c r="D16" i="29"/>
  <c r="S79" i="34" l="1"/>
  <c r="T72" i="34"/>
  <c r="U72" i="34" s="1"/>
  <c r="T55" i="34"/>
  <c r="U55" i="34" s="1"/>
  <c r="S36" i="34"/>
  <c r="S23" i="34"/>
  <c r="AH6" i="34"/>
  <c r="AH96" i="34"/>
  <c r="AH95" i="34"/>
  <c r="AH94" i="34"/>
  <c r="AH93" i="34"/>
  <c r="AH92" i="34"/>
  <c r="AF87" i="34"/>
  <c r="AF79" i="34"/>
  <c r="AF71" i="34"/>
  <c r="AF63" i="34"/>
  <c r="AF55" i="34"/>
  <c r="AF47" i="34"/>
  <c r="AF39" i="34"/>
  <c r="AF31" i="34"/>
  <c r="AF23" i="34"/>
  <c r="AF15" i="34"/>
  <c r="AF7" i="34"/>
  <c r="S29" i="34"/>
  <c r="T16" i="34"/>
  <c r="U16" i="34" s="1"/>
  <c r="AF6" i="34"/>
  <c r="AG96" i="34"/>
  <c r="AG95" i="34"/>
  <c r="AG94" i="34"/>
  <c r="AG93" i="34"/>
  <c r="AG92" i="34"/>
  <c r="AF86" i="34"/>
  <c r="AF78" i="34"/>
  <c r="AF70" i="34"/>
  <c r="AF62" i="34"/>
  <c r="AF54" i="34"/>
  <c r="AF46" i="34"/>
  <c r="AF38" i="34"/>
  <c r="AF30" i="34"/>
  <c r="AF22" i="34"/>
  <c r="AG6" i="34"/>
  <c r="AG7" i="34"/>
  <c r="AG8" i="34"/>
  <c r="AG9" i="34"/>
  <c r="AG10" i="34"/>
  <c r="AG11" i="34"/>
  <c r="AG12" i="34"/>
  <c r="AG13" i="34"/>
  <c r="AG14" i="34"/>
  <c r="AG15" i="34"/>
  <c r="AG16"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1" i="34"/>
  <c r="AG72" i="34"/>
  <c r="AG73" i="34"/>
  <c r="AG74" i="34"/>
  <c r="AG75" i="34"/>
  <c r="AG76" i="34"/>
  <c r="AG77" i="34"/>
  <c r="AG78" i="34"/>
  <c r="AG79" i="34"/>
  <c r="AG80" i="34"/>
  <c r="AG81" i="34"/>
  <c r="AG82" i="34"/>
  <c r="AG83" i="34"/>
  <c r="AG84" i="34"/>
  <c r="AG85" i="34"/>
  <c r="AG86" i="34"/>
  <c r="AG87" i="34"/>
  <c r="AG88" i="34"/>
  <c r="AG89" i="34"/>
  <c r="AG90" i="34"/>
  <c r="AG91" i="34"/>
  <c r="AH7" i="34"/>
  <c r="AH8" i="34"/>
  <c r="AH9" i="34"/>
  <c r="AH10" i="34"/>
  <c r="AH11" i="34"/>
  <c r="AH12" i="34"/>
  <c r="AH13" i="34"/>
  <c r="AH14" i="34"/>
  <c r="AH15" i="34"/>
  <c r="AH16" i="34"/>
  <c r="AH17" i="34"/>
  <c r="AH18" i="34"/>
  <c r="AH19" i="34"/>
  <c r="AH20" i="34"/>
  <c r="AH21" i="34"/>
  <c r="AH22" i="34"/>
  <c r="AH23" i="34"/>
  <c r="AH24" i="34"/>
  <c r="AH25" i="34"/>
  <c r="AH26" i="34"/>
  <c r="AH27" i="34"/>
  <c r="AH28" i="34"/>
  <c r="AH29" i="34"/>
  <c r="AH30" i="34"/>
  <c r="AH31" i="34"/>
  <c r="AH32" i="34"/>
  <c r="AH33" i="34"/>
  <c r="AH34" i="34"/>
  <c r="AH35" i="34"/>
  <c r="AH36" i="34"/>
  <c r="AH37" i="34"/>
  <c r="AH38" i="34"/>
  <c r="AH39" i="34"/>
  <c r="AH40"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2" i="34"/>
  <c r="AH73" i="34"/>
  <c r="AH74" i="34"/>
  <c r="AH75" i="34"/>
  <c r="AH76" i="34"/>
  <c r="AH77" i="34"/>
  <c r="AH78" i="34"/>
  <c r="AH79" i="34"/>
  <c r="AH80" i="34"/>
  <c r="AH81" i="34"/>
  <c r="AH82" i="34"/>
  <c r="AH83" i="34"/>
  <c r="AH84" i="34"/>
  <c r="AH85" i="34"/>
  <c r="AH86" i="34"/>
  <c r="AH87" i="34"/>
  <c r="AH88" i="34"/>
  <c r="AH89" i="34"/>
  <c r="AH90" i="34"/>
  <c r="AH91" i="34"/>
  <c r="AI7" i="34"/>
  <c r="AI8" i="34"/>
  <c r="AI9" i="34"/>
  <c r="AI10" i="34"/>
  <c r="AI11" i="34"/>
  <c r="AI12" i="34"/>
  <c r="AI13" i="34"/>
  <c r="AI14" i="34"/>
  <c r="AI15" i="34"/>
  <c r="AI16" i="34"/>
  <c r="AI17" i="34"/>
  <c r="AI18" i="34"/>
  <c r="AI19" i="34"/>
  <c r="AI20" i="34"/>
  <c r="AI21" i="34"/>
  <c r="AI22" i="34"/>
  <c r="AI23" i="34"/>
  <c r="AI24" i="34"/>
  <c r="AI25" i="34"/>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J7" i="34"/>
  <c r="AJ8" i="34"/>
  <c r="AJ9" i="34"/>
  <c r="AJ10" i="34"/>
  <c r="AJ11" i="34"/>
  <c r="AJ12" i="34"/>
  <c r="AJ13" i="34"/>
  <c r="AJ14" i="34"/>
  <c r="AJ15" i="34"/>
  <c r="AJ16" i="34"/>
  <c r="AJ17" i="34"/>
  <c r="AJ18" i="34"/>
  <c r="AJ19" i="34"/>
  <c r="AJ20" i="34"/>
  <c r="AJ21" i="34"/>
  <c r="AJ22" i="34"/>
  <c r="AJ23" i="34"/>
  <c r="AJ24" i="34"/>
  <c r="AJ25" i="34"/>
  <c r="AJ26" i="34"/>
  <c r="AJ27" i="34"/>
  <c r="AJ28" i="34"/>
  <c r="AJ29" i="34"/>
  <c r="AJ30" i="34"/>
  <c r="AJ31" i="34"/>
  <c r="AJ32" i="34"/>
  <c r="AJ33" i="34"/>
  <c r="AJ34" i="34"/>
  <c r="AJ35" i="34"/>
  <c r="AJ36" i="34"/>
  <c r="AJ37" i="34"/>
  <c r="AJ38" i="34"/>
  <c r="AJ39" i="34"/>
  <c r="AJ40"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4" i="34"/>
  <c r="AJ75" i="34"/>
  <c r="AJ76" i="34"/>
  <c r="AJ77" i="34"/>
  <c r="AJ78" i="34"/>
  <c r="AJ79" i="34"/>
  <c r="AJ80" i="34"/>
  <c r="AJ81" i="34"/>
  <c r="AJ82" i="34"/>
  <c r="AJ83" i="34"/>
  <c r="AJ84" i="34"/>
  <c r="AJ85" i="34"/>
  <c r="AJ86" i="34"/>
  <c r="AJ87" i="34"/>
  <c r="AJ88" i="34"/>
  <c r="AJ89" i="34"/>
  <c r="AJ90" i="34"/>
  <c r="AJ91" i="34"/>
  <c r="AK7" i="34"/>
  <c r="AK8" i="34"/>
  <c r="AK9" i="34"/>
  <c r="AK10" i="34"/>
  <c r="AK11" i="34"/>
  <c r="AK12" i="34"/>
  <c r="AK13" i="34"/>
  <c r="AK14" i="34"/>
  <c r="AK15" i="34"/>
  <c r="AK16" i="34"/>
  <c r="AK17" i="34"/>
  <c r="AK18" i="34"/>
  <c r="AK19" i="34"/>
  <c r="AK20" i="34"/>
  <c r="AK21" i="34"/>
  <c r="AK22" i="34"/>
  <c r="AK23" i="34"/>
  <c r="AK24" i="34"/>
  <c r="AK25" i="34"/>
  <c r="AK26" i="34"/>
  <c r="AK27" i="34"/>
  <c r="AK28" i="34"/>
  <c r="AK29" i="34"/>
  <c r="AK30" i="34"/>
  <c r="AK31" i="34"/>
  <c r="AK32" i="34"/>
  <c r="AK33" i="34"/>
  <c r="AK34" i="34"/>
  <c r="AK35" i="34"/>
  <c r="AK36" i="34"/>
  <c r="AK37" i="34"/>
  <c r="AK38" i="34"/>
  <c r="AK39" i="34"/>
  <c r="AK40"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76" i="34"/>
  <c r="AK77" i="34"/>
  <c r="AK78" i="34"/>
  <c r="AK79" i="34"/>
  <c r="AK80" i="34"/>
  <c r="AK81" i="34"/>
  <c r="AK82" i="34"/>
  <c r="AK83" i="34"/>
  <c r="AK84" i="34"/>
  <c r="AK85" i="34"/>
  <c r="AK86" i="34"/>
  <c r="AK87" i="34"/>
  <c r="AK88" i="34"/>
  <c r="AK89" i="34"/>
  <c r="AK90" i="34"/>
  <c r="AK91" i="34"/>
  <c r="AL7" i="34"/>
  <c r="AL8" i="34"/>
  <c r="AL9" i="34"/>
  <c r="AL10" i="34"/>
  <c r="AL11" i="34"/>
  <c r="AL12" i="34"/>
  <c r="AL13" i="34"/>
  <c r="AL14" i="34"/>
  <c r="AL15" i="34"/>
  <c r="AL16" i="34"/>
  <c r="AL17" i="34"/>
  <c r="AL18" i="34"/>
  <c r="AL19" i="34"/>
  <c r="AL20" i="34"/>
  <c r="AL21" i="34"/>
  <c r="AL22" i="34"/>
  <c r="AL23" i="34"/>
  <c r="AL24" i="34"/>
  <c r="AL25" i="34"/>
  <c r="AL26" i="34"/>
  <c r="AL27" i="34"/>
  <c r="AL28" i="34"/>
  <c r="AL29" i="34"/>
  <c r="AL30" i="34"/>
  <c r="AL31" i="34"/>
  <c r="AL32" i="34"/>
  <c r="AL33" i="34"/>
  <c r="AL34" i="34"/>
  <c r="AL35" i="34"/>
  <c r="AL36" i="34"/>
  <c r="AL37" i="34"/>
  <c r="AL38" i="34"/>
  <c r="AL39" i="34"/>
  <c r="AL40" i="34"/>
  <c r="AL41" i="34"/>
  <c r="AL42" i="34"/>
  <c r="AL43" i="34"/>
  <c r="AL44" i="34"/>
  <c r="AL45" i="34"/>
  <c r="AL46" i="34"/>
  <c r="AL47" i="34"/>
  <c r="AL48" i="34"/>
  <c r="AL49" i="34"/>
  <c r="AL50" i="34"/>
  <c r="AL51" i="34"/>
  <c r="AL52" i="34"/>
  <c r="AL53" i="34"/>
  <c r="AL54" i="34"/>
  <c r="AL55" i="34"/>
  <c r="AL56" i="34"/>
  <c r="AL57" i="34"/>
  <c r="AL58" i="34"/>
  <c r="AL59" i="34"/>
  <c r="AL60" i="34"/>
  <c r="AL61" i="34"/>
  <c r="AL62" i="34"/>
  <c r="AL63" i="34"/>
  <c r="AL64" i="34"/>
  <c r="AL65" i="34"/>
  <c r="AL66" i="34"/>
  <c r="AL67" i="34"/>
  <c r="AL68" i="34"/>
  <c r="AL69" i="34"/>
  <c r="AL70" i="34"/>
  <c r="AL71" i="34"/>
  <c r="AL72" i="34"/>
  <c r="AL73" i="34"/>
  <c r="AL74" i="34"/>
  <c r="AL75" i="34"/>
  <c r="AL76" i="34"/>
  <c r="AL77" i="34"/>
  <c r="AL78" i="34"/>
  <c r="AL79" i="34"/>
  <c r="AL80" i="34"/>
  <c r="AL81" i="34"/>
  <c r="AL82" i="34"/>
  <c r="AL83" i="34"/>
  <c r="AL84" i="34"/>
  <c r="AL85" i="34"/>
  <c r="AL86" i="34"/>
  <c r="AL87" i="34"/>
  <c r="AL88" i="34"/>
  <c r="AL89" i="34"/>
  <c r="AL90" i="34"/>
  <c r="AL91" i="34"/>
  <c r="AE7" i="34"/>
  <c r="AE8" i="34"/>
  <c r="AE9" i="34"/>
  <c r="AE10" i="34"/>
  <c r="AE11" i="34"/>
  <c r="AE12" i="34"/>
  <c r="AE13" i="34"/>
  <c r="AE14" i="34"/>
  <c r="AE15" i="34"/>
  <c r="AE16" i="34"/>
  <c r="AE17" i="34"/>
  <c r="AE18" i="34"/>
  <c r="AE19" i="34"/>
  <c r="AE20" i="34"/>
  <c r="AE21" i="34"/>
  <c r="AE22" i="34"/>
  <c r="AE23" i="34"/>
  <c r="AE24" i="34"/>
  <c r="AE25" i="34"/>
  <c r="AE26" i="34"/>
  <c r="AE27" i="34"/>
  <c r="AE28" i="34"/>
  <c r="AE29" i="34"/>
  <c r="AE30" i="34"/>
  <c r="AE31" i="34"/>
  <c r="AE32" i="34"/>
  <c r="AE33" i="34"/>
  <c r="AE34" i="34"/>
  <c r="AE35" i="34"/>
  <c r="AE36" i="34"/>
  <c r="AE37" i="34"/>
  <c r="AE38" i="34"/>
  <c r="AE39" i="34"/>
  <c r="AE40"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69" i="34"/>
  <c r="AE70" i="34"/>
  <c r="AE71" i="34"/>
  <c r="AE72" i="34"/>
  <c r="AE73" i="34"/>
  <c r="AE74" i="34"/>
  <c r="AE75" i="34"/>
  <c r="AE76" i="34"/>
  <c r="AE77" i="34"/>
  <c r="AE78" i="34"/>
  <c r="AE79" i="34"/>
  <c r="AE80" i="34"/>
  <c r="AE81" i="34"/>
  <c r="AE82" i="34"/>
  <c r="AE83" i="34"/>
  <c r="AE84" i="34"/>
  <c r="AE85" i="34"/>
  <c r="AE86" i="34"/>
  <c r="AE87" i="34"/>
  <c r="AE88" i="34"/>
  <c r="AE89" i="34"/>
  <c r="AE90" i="34"/>
  <c r="AE91" i="34"/>
  <c r="AF96" i="34"/>
  <c r="AF95" i="34"/>
  <c r="AF94" i="34"/>
  <c r="AF93" i="34"/>
  <c r="AF92" i="34"/>
  <c r="AF85" i="34"/>
  <c r="AF77" i="34"/>
  <c r="AF69" i="34"/>
  <c r="AF61" i="34"/>
  <c r="AF53" i="34"/>
  <c r="AF45" i="34"/>
  <c r="AF37" i="34"/>
  <c r="AF29" i="34"/>
  <c r="AF21" i="34"/>
  <c r="AF13" i="34"/>
  <c r="S68" i="34"/>
  <c r="T8" i="34"/>
  <c r="U8" i="34" s="1"/>
  <c r="AE96" i="34"/>
  <c r="AE95" i="34"/>
  <c r="AE94" i="34"/>
  <c r="AE93" i="34"/>
  <c r="AE92" i="34"/>
  <c r="AF84" i="34"/>
  <c r="AF76" i="34"/>
  <c r="AF68" i="34"/>
  <c r="AF60" i="34"/>
  <c r="AF52" i="34"/>
  <c r="AF44" i="34"/>
  <c r="AF36" i="34"/>
  <c r="AF28" i="34"/>
  <c r="AF20" i="34"/>
  <c r="AF12" i="34"/>
  <c r="AE6" i="34"/>
  <c r="AL96" i="34"/>
  <c r="AL95" i="34"/>
  <c r="AL94" i="34"/>
  <c r="AL93" i="34"/>
  <c r="AL92" i="34"/>
  <c r="AF91" i="34"/>
  <c r="AF83" i="34"/>
  <c r="AF75" i="34"/>
  <c r="AF67" i="34"/>
  <c r="AF59" i="34"/>
  <c r="AF51" i="34"/>
  <c r="AF43" i="34"/>
  <c r="AF35" i="34"/>
  <c r="AF27" i="34"/>
  <c r="AF19" i="34"/>
  <c r="AF11" i="34"/>
  <c r="S84" i="34"/>
  <c r="T70" i="34"/>
  <c r="U70" i="34" s="1"/>
  <c r="S60" i="34"/>
  <c r="S37" i="34"/>
  <c r="T24" i="34"/>
  <c r="U24" i="34" s="1"/>
  <c r="AL6" i="34"/>
  <c r="AK96" i="34"/>
  <c r="AK95" i="34"/>
  <c r="AK94" i="34"/>
  <c r="AK93" i="34"/>
  <c r="AK92" i="34"/>
  <c r="AF90" i="34"/>
  <c r="AF82" i="34"/>
  <c r="AF74" i="34"/>
  <c r="AF66" i="34"/>
  <c r="AF58" i="34"/>
  <c r="AF50" i="34"/>
  <c r="AF42" i="34"/>
  <c r="AF34" i="34"/>
  <c r="AF26" i="34"/>
  <c r="AF18" i="34"/>
  <c r="AF10" i="34"/>
  <c r="S63" i="34"/>
  <c r="AK6" i="34"/>
  <c r="AJ96" i="34"/>
  <c r="AJ95" i="34"/>
  <c r="AJ94" i="34"/>
  <c r="AJ93" i="34"/>
  <c r="AJ92" i="34"/>
  <c r="AF89" i="34"/>
  <c r="AF81" i="34"/>
  <c r="AF73" i="34"/>
  <c r="AF65" i="34"/>
  <c r="AF57" i="34"/>
  <c r="AF49" i="34"/>
  <c r="AF41" i="34"/>
  <c r="AF33" i="34"/>
  <c r="AF25" i="34"/>
  <c r="AF17" i="34"/>
  <c r="AF9" i="34"/>
  <c r="AJ6" i="34"/>
  <c r="T78" i="34"/>
  <c r="U78" i="34" s="1"/>
  <c r="T80" i="34"/>
  <c r="U80" i="34" s="1"/>
  <c r="S52" i="34"/>
  <c r="S21" i="34"/>
  <c r="T71" i="34"/>
  <c r="U71" i="34" s="1"/>
  <c r="T54" i="34"/>
  <c r="U54" i="34" s="1"/>
  <c r="T39" i="34"/>
  <c r="U39" i="34" s="1"/>
  <c r="T14" i="34"/>
  <c r="U14" i="34" s="1"/>
  <c r="S77" i="34"/>
  <c r="T56" i="34"/>
  <c r="U56" i="34" s="1"/>
  <c r="S20" i="34"/>
  <c r="T62" i="34"/>
  <c r="U62" i="34" s="1"/>
  <c r="T64" i="34"/>
  <c r="U64" i="34" s="1"/>
  <c r="T30" i="34"/>
  <c r="U30" i="34" s="1"/>
  <c r="S44" i="34"/>
  <c r="T32" i="34"/>
  <c r="U32" i="34" s="1"/>
  <c r="S13" i="34"/>
  <c r="T91" i="34"/>
  <c r="U91" i="34" s="1"/>
  <c r="S69" i="34"/>
  <c r="S61" i="34"/>
  <c r="S53" i="34"/>
  <c r="S45" i="34"/>
  <c r="T90" i="34"/>
  <c r="U90" i="34" s="1"/>
  <c r="T87" i="34"/>
  <c r="U87" i="34" s="1"/>
  <c r="T9" i="34"/>
  <c r="U9" i="34" s="1"/>
  <c r="T95" i="34"/>
  <c r="U95" i="34" s="1"/>
  <c r="S92" i="34"/>
  <c r="T81" i="34"/>
  <c r="U81" i="34" s="1"/>
  <c r="T73" i="34"/>
  <c r="U73" i="34" s="1"/>
  <c r="T65" i="34"/>
  <c r="U65" i="34" s="1"/>
  <c r="T57" i="34"/>
  <c r="U57" i="34" s="1"/>
  <c r="T49" i="34"/>
  <c r="U49" i="34" s="1"/>
  <c r="T41" i="34"/>
  <c r="U41" i="34" s="1"/>
  <c r="T33" i="34"/>
  <c r="U33" i="34" s="1"/>
  <c r="T25" i="34"/>
  <c r="U25" i="34" s="1"/>
  <c r="T17" i="34"/>
  <c r="U17" i="34" s="1"/>
  <c r="S12" i="34"/>
  <c r="T93" i="34"/>
  <c r="U93" i="34" s="1"/>
  <c r="T88" i="34"/>
  <c r="U88" i="34" s="1"/>
  <c r="T94" i="34"/>
  <c r="U94" i="34" s="1"/>
  <c r="T86" i="34"/>
  <c r="U86" i="34" s="1"/>
  <c r="T89" i="34"/>
  <c r="U89" i="34" s="1"/>
  <c r="T83" i="34"/>
  <c r="U83" i="34" s="1"/>
  <c r="T75" i="34"/>
  <c r="U75" i="34" s="1"/>
  <c r="T67" i="34"/>
  <c r="U67" i="34" s="1"/>
  <c r="T59" i="34"/>
  <c r="U59" i="34" s="1"/>
  <c r="T51" i="34"/>
  <c r="U51" i="34" s="1"/>
  <c r="T43" i="34"/>
  <c r="U43" i="34" s="1"/>
  <c r="T35" i="34"/>
  <c r="U35" i="34" s="1"/>
  <c r="T27" i="34"/>
  <c r="U27" i="34" s="1"/>
  <c r="T19" i="34"/>
  <c r="U19" i="34" s="1"/>
  <c r="T11" i="34"/>
  <c r="U11" i="34" s="1"/>
  <c r="T7" i="34"/>
  <c r="U7" i="34" s="1"/>
  <c r="T82" i="34"/>
  <c r="U82" i="34" s="1"/>
  <c r="T74" i="34"/>
  <c r="U74" i="34" s="1"/>
  <c r="T66" i="34"/>
  <c r="U66" i="34" s="1"/>
  <c r="T58" i="34"/>
  <c r="U58" i="34" s="1"/>
  <c r="T50" i="34"/>
  <c r="U50" i="34" s="1"/>
  <c r="T42" i="34"/>
  <c r="U42" i="34" s="1"/>
  <c r="T34" i="34"/>
  <c r="U34" i="34" s="1"/>
  <c r="T26" i="34"/>
  <c r="U26" i="34" s="1"/>
  <c r="T18" i="34"/>
  <c r="U18" i="34" s="1"/>
  <c r="T10" i="34"/>
  <c r="U10" i="34" s="1"/>
  <c r="D136" i="29"/>
  <c r="D140" i="29"/>
  <c r="E136" i="29"/>
  <c r="E135" i="29"/>
  <c r="E140" i="29" l="1"/>
  <c r="E132" i="29"/>
  <c r="E124" i="29"/>
  <c r="E108" i="29"/>
  <c r="E92" i="29"/>
  <c r="E68" i="29"/>
  <c r="E36" i="29"/>
  <c r="E107" i="29"/>
  <c r="E75" i="29"/>
  <c r="E35" i="29"/>
  <c r="E139" i="29"/>
  <c r="E138" i="29"/>
  <c r="E130" i="29"/>
  <c r="E122" i="29"/>
  <c r="E114" i="29"/>
  <c r="E106" i="29"/>
  <c r="E98" i="29"/>
  <c r="E90" i="29"/>
  <c r="E82" i="29"/>
  <c r="E74" i="29"/>
  <c r="E66" i="29"/>
  <c r="E58" i="29"/>
  <c r="E50" i="29"/>
  <c r="E42" i="29"/>
  <c r="E34" i="29"/>
  <c r="E26" i="29"/>
  <c r="E18" i="29"/>
  <c r="E10" i="29"/>
  <c r="E2" i="29"/>
  <c r="E128" i="29"/>
  <c r="E120" i="29"/>
  <c r="E112" i="29"/>
  <c r="E104" i="29"/>
  <c r="E96" i="29"/>
  <c r="E88" i="29"/>
  <c r="E80" i="29"/>
  <c r="E72" i="29"/>
  <c r="E64" i="29"/>
  <c r="E56" i="29"/>
  <c r="E40" i="29"/>
  <c r="E32" i="29"/>
  <c r="E16" i="29"/>
  <c r="E8" i="29"/>
  <c r="E4" i="29"/>
  <c r="E131" i="29"/>
  <c r="E91" i="29"/>
  <c r="E59" i="29"/>
  <c r="E19" i="29"/>
  <c r="E137" i="29"/>
  <c r="E129" i="29"/>
  <c r="E121" i="29"/>
  <c r="E113" i="29"/>
  <c r="E105" i="29"/>
  <c r="E97" i="29"/>
  <c r="E89" i="29"/>
  <c r="E81" i="29"/>
  <c r="E73" i="29"/>
  <c r="E65" i="29"/>
  <c r="E57" i="29"/>
  <c r="E49" i="29"/>
  <c r="E41" i="29"/>
  <c r="E33" i="29"/>
  <c r="E25" i="29"/>
  <c r="E17" i="29"/>
  <c r="E9" i="29"/>
  <c r="E48" i="29"/>
  <c r="E24" i="29"/>
  <c r="E100" i="29"/>
  <c r="E60" i="29"/>
  <c r="E12" i="29"/>
  <c r="E99" i="29"/>
  <c r="E51" i="29"/>
  <c r="E11" i="29"/>
  <c r="E127" i="29"/>
  <c r="E119" i="29"/>
  <c r="E111" i="29"/>
  <c r="E103" i="29"/>
  <c r="E95" i="29"/>
  <c r="E87" i="29"/>
  <c r="E79" i="29"/>
  <c r="E71" i="29"/>
  <c r="E63" i="29"/>
  <c r="E55" i="29"/>
  <c r="E47" i="29"/>
  <c r="E39" i="29"/>
  <c r="E31" i="29"/>
  <c r="E23" i="29"/>
  <c r="E15" i="29"/>
  <c r="E7" i="29"/>
  <c r="E84" i="29"/>
  <c r="E44" i="29"/>
  <c r="E20" i="29"/>
  <c r="E115" i="29"/>
  <c r="E67" i="29"/>
  <c r="E27" i="29"/>
  <c r="E134" i="29"/>
  <c r="E126" i="29"/>
  <c r="E118" i="29"/>
  <c r="E110" i="29"/>
  <c r="E102" i="29"/>
  <c r="E94" i="29"/>
  <c r="E86" i="29"/>
  <c r="E78" i="29"/>
  <c r="E70" i="29"/>
  <c r="E62" i="29"/>
  <c r="E54" i="29"/>
  <c r="E46" i="29"/>
  <c r="E38" i="29"/>
  <c r="E30" i="29"/>
  <c r="E22" i="29"/>
  <c r="E14" i="29"/>
  <c r="E6" i="29"/>
  <c r="E125" i="29"/>
  <c r="E117" i="29"/>
  <c r="E109" i="29"/>
  <c r="E101" i="29"/>
  <c r="E93" i="29"/>
  <c r="E85" i="29"/>
  <c r="E77" i="29"/>
  <c r="E69" i="29"/>
  <c r="E61" i="29"/>
  <c r="E53" i="29"/>
  <c r="E45" i="29"/>
  <c r="E37" i="29"/>
  <c r="E29" i="29"/>
  <c r="E21" i="29"/>
  <c r="E13" i="29"/>
  <c r="E5" i="29"/>
  <c r="E116" i="29"/>
  <c r="E76" i="29"/>
  <c r="E52" i="29"/>
  <c r="E28" i="29"/>
  <c r="E123" i="29"/>
  <c r="E83" i="29"/>
  <c r="E43" i="29"/>
  <c r="E3" i="29"/>
  <c r="E133" i="29"/>
  <c r="O3" i="30"/>
  <c r="O4" i="30"/>
  <c r="O5" i="30"/>
  <c r="O7" i="30"/>
  <c r="O8" i="30"/>
  <c r="O9" i="30"/>
  <c r="O12" i="30"/>
  <c r="O13" i="30"/>
  <c r="O16" i="30"/>
  <c r="O17" i="30"/>
  <c r="O18" i="30"/>
  <c r="O19" i="30"/>
  <c r="O21" i="30"/>
  <c r="O22" i="30"/>
  <c r="O23" i="30"/>
  <c r="O26" i="30"/>
  <c r="O27" i="30"/>
  <c r="O28" i="30"/>
  <c r="O29" i="30"/>
  <c r="O30" i="30"/>
  <c r="O31" i="30"/>
  <c r="O34" i="30"/>
  <c r="O35" i="30"/>
  <c r="O36" i="30"/>
  <c r="O37" i="30"/>
  <c r="O38" i="30"/>
  <c r="O40" i="30"/>
  <c r="O41" i="30"/>
  <c r="O42" i="30"/>
  <c r="O45" i="30"/>
  <c r="O46" i="30"/>
  <c r="O47" i="30"/>
  <c r="O48" i="30"/>
  <c r="O49" i="30"/>
  <c r="O50" i="30"/>
  <c r="O51" i="30"/>
  <c r="O52" i="30"/>
  <c r="O54" i="30"/>
  <c r="O55" i="30"/>
  <c r="O56" i="30"/>
  <c r="O59" i="30"/>
  <c r="O60" i="30"/>
  <c r="O61" i="30"/>
  <c r="O64" i="30"/>
  <c r="O65" i="30"/>
  <c r="O66" i="30"/>
  <c r="O69" i="30"/>
  <c r="O70" i="30"/>
  <c r="O73" i="30"/>
  <c r="O74" i="30"/>
  <c r="O75" i="30"/>
  <c r="O76" i="30"/>
  <c r="O77" i="30"/>
  <c r="O78" i="30"/>
  <c r="O80" i="30"/>
  <c r="O82" i="30"/>
  <c r="O83" i="30"/>
  <c r="O84" i="30"/>
  <c r="O85" i="30"/>
  <c r="O88" i="30"/>
  <c r="O89" i="30"/>
  <c r="O90" i="30"/>
  <c r="O93" i="30"/>
  <c r="O94" i="30"/>
  <c r="O95" i="30"/>
  <c r="O96" i="30"/>
  <c r="O99" i="30"/>
  <c r="O100" i="30"/>
  <c r="O101" i="30"/>
  <c r="O103" i="30"/>
  <c r="O106" i="30"/>
  <c r="O107" i="30"/>
  <c r="O108" i="30"/>
  <c r="O109" i="30"/>
  <c r="O112" i="30"/>
  <c r="O113" i="30"/>
  <c r="O114" i="30"/>
  <c r="O117" i="30"/>
  <c r="O120" i="30"/>
  <c r="O121" i="30"/>
  <c r="O122" i="30"/>
  <c r="O123" i="30"/>
  <c r="O124" i="30"/>
  <c r="O126" i="30"/>
  <c r="O127" i="30"/>
  <c r="O130" i="30"/>
  <c r="O131" i="30"/>
  <c r="O132" i="30"/>
  <c r="O135" i="30"/>
  <c r="O136" i="30"/>
  <c r="O137" i="30"/>
  <c r="O140" i="30"/>
  <c r="O141" i="30"/>
  <c r="O142" i="30"/>
  <c r="O144" i="30"/>
  <c r="O146" i="30"/>
  <c r="O148" i="30"/>
  <c r="O149" i="30"/>
  <c r="O150" i="30"/>
  <c r="O153" i="30"/>
  <c r="O154" i="30"/>
  <c r="O157" i="30"/>
  <c r="O159" i="30"/>
  <c r="O160" i="30"/>
  <c r="O163" i="30"/>
  <c r="O164" i="30"/>
  <c r="O166" i="30"/>
  <c r="O167" i="30"/>
  <c r="O170" i="30"/>
  <c r="O171" i="30"/>
  <c r="O172" i="30"/>
  <c r="O173" i="30"/>
  <c r="O174" i="30"/>
  <c r="O175" i="30"/>
  <c r="O176" i="30"/>
  <c r="O177" i="30"/>
  <c r="O178" i="30"/>
  <c r="O179" i="30"/>
  <c r="O181" i="30"/>
  <c r="O182" i="30"/>
  <c r="O183" i="30"/>
  <c r="O184" i="30"/>
  <c r="O185" i="30"/>
  <c r="O186" i="30"/>
  <c r="O187" i="30"/>
  <c r="O190" i="30"/>
  <c r="O191" i="30"/>
  <c r="O194" i="30"/>
  <c r="O195" i="30"/>
  <c r="O196" i="30"/>
  <c r="O197" i="30"/>
  <c r="O200" i="30"/>
  <c r="O201" i="30"/>
  <c r="O204" i="30"/>
  <c r="O205" i="30"/>
  <c r="O206" i="30"/>
  <c r="O207" i="30"/>
  <c r="O210" i="30"/>
  <c r="O211" i="30"/>
  <c r="O213" i="30"/>
  <c r="O214" i="30"/>
  <c r="O215" i="30"/>
  <c r="O216" i="30"/>
  <c r="O217" i="30"/>
  <c r="O218" i="30"/>
  <c r="O219" i="30"/>
  <c r="O220" i="30"/>
  <c r="O221" i="30"/>
  <c r="O222" i="30"/>
  <c r="O223" i="30"/>
  <c r="O226" i="30"/>
  <c r="O227" i="30"/>
  <c r="O228" i="30"/>
  <c r="O229" i="30"/>
  <c r="O230" i="30"/>
  <c r="O231" i="30"/>
  <c r="O234" i="30"/>
  <c r="O235" i="30"/>
  <c r="O236" i="30"/>
  <c r="O237" i="30"/>
  <c r="O238" i="30"/>
  <c r="O239" i="30"/>
  <c r="O240" i="30"/>
  <c r="O241" i="30"/>
  <c r="O242" i="30"/>
  <c r="O243" i="30"/>
  <c r="O244" i="30"/>
  <c r="O246" i="30"/>
  <c r="O247" i="30"/>
  <c r="O248" i="30"/>
  <c r="O249" i="30"/>
  <c r="O250" i="30"/>
  <c r="O251" i="30"/>
  <c r="O254" i="30"/>
  <c r="O255" i="30"/>
  <c r="O256" i="30"/>
  <c r="O257" i="30"/>
  <c r="O258" i="30"/>
  <c r="O259" i="30"/>
  <c r="O260" i="30"/>
  <c r="O261" i="30"/>
  <c r="O262" i="30"/>
  <c r="O265" i="30"/>
  <c r="O266" i="30"/>
  <c r="O267" i="30"/>
  <c r="O268" i="30"/>
  <c r="O270" i="30"/>
  <c r="O272" i="30"/>
  <c r="O273" i="30"/>
  <c r="O275" i="30"/>
  <c r="O276" i="30"/>
  <c r="O277" i="30"/>
  <c r="O280" i="30"/>
  <c r="O281" i="30"/>
  <c r="O282" i="30"/>
  <c r="O283" i="30"/>
  <c r="O284" i="30"/>
  <c r="O286" i="30"/>
  <c r="O287" i="30"/>
  <c r="O288" i="30"/>
  <c r="O289" i="30"/>
  <c r="O290" i="30"/>
  <c r="O291" i="30"/>
  <c r="O292" i="30"/>
  <c r="O295" i="30"/>
  <c r="O296" i="30"/>
  <c r="O299" i="30"/>
  <c r="O300" i="30"/>
  <c r="O301" i="30"/>
  <c r="O302" i="30"/>
  <c r="O305" i="30"/>
  <c r="O306" i="30"/>
  <c r="O308" i="30"/>
  <c r="O309" i="30"/>
  <c r="O312" i="30"/>
  <c r="O313" i="30"/>
  <c r="O314" i="30"/>
  <c r="O315" i="30"/>
  <c r="O317" i="30"/>
  <c r="O318" i="30"/>
  <c r="O319" i="30"/>
  <c r="O321" i="30"/>
  <c r="O322" i="30"/>
  <c r="O323" i="30"/>
  <c r="O324" i="30"/>
  <c r="O325" i="30"/>
  <c r="O326" i="30"/>
  <c r="O327" i="30"/>
  <c r="O328" i="30"/>
  <c r="O329" i="30"/>
  <c r="O330" i="30"/>
  <c r="O331" i="30"/>
  <c r="O332" i="30"/>
  <c r="O333" i="30"/>
  <c r="O334" i="30"/>
  <c r="O335" i="30"/>
  <c r="O336" i="30"/>
  <c r="O337" i="30"/>
  <c r="O338" i="30"/>
  <c r="O339" i="30"/>
  <c r="O340" i="30"/>
  <c r="O341" i="30"/>
  <c r="O342" i="30"/>
  <c r="O343" i="30"/>
  <c r="O344" i="30"/>
  <c r="O345" i="30"/>
  <c r="O346" i="30"/>
  <c r="O347" i="30"/>
  <c r="O348" i="30"/>
  <c r="O349" i="30"/>
  <c r="O350" i="30"/>
  <c r="O351" i="30"/>
  <c r="O352" i="30"/>
  <c r="O353" i="30"/>
  <c r="O354" i="30"/>
  <c r="O355" i="30"/>
  <c r="O356" i="30"/>
  <c r="O357" i="30"/>
  <c r="O358" i="30"/>
  <c r="O359" i="30"/>
  <c r="O360" i="30"/>
  <c r="O361" i="30"/>
  <c r="O362" i="30"/>
  <c r="O363" i="30"/>
  <c r="O364" i="30"/>
  <c r="O365" i="30"/>
  <c r="O366" i="30"/>
  <c r="O368" i="30"/>
  <c r="O369" i="30"/>
  <c r="O370" i="30"/>
  <c r="O371" i="30"/>
  <c r="O374" i="30"/>
  <c r="O375" i="30"/>
  <c r="O378" i="30"/>
  <c r="O379" i="30"/>
  <c r="O380" i="30"/>
  <c r="O381" i="30"/>
  <c r="O384" i="30"/>
  <c r="O385" i="30"/>
  <c r="O386" i="30"/>
  <c r="O387" i="30"/>
  <c r="O389" i="30"/>
  <c r="O390" i="30"/>
  <c r="O393" i="30"/>
  <c r="O394" i="30"/>
  <c r="O395" i="30"/>
  <c r="O396" i="30"/>
  <c r="O397" i="30"/>
  <c r="O400" i="30"/>
  <c r="O402" i="30"/>
  <c r="O403" i="30"/>
  <c r="O404" i="30"/>
  <c r="O405" i="30"/>
  <c r="O407" i="30"/>
  <c r="O408" i="30"/>
  <c r="O409" i="30"/>
  <c r="O410" i="30"/>
  <c r="O412" i="30"/>
  <c r="O413" i="30"/>
  <c r="O414" i="30"/>
  <c r="O418" i="30"/>
  <c r="O421" i="30"/>
  <c r="O423" i="30"/>
  <c r="O424" i="30"/>
  <c r="O425" i="30"/>
  <c r="O427" i="30"/>
  <c r="O429" i="30"/>
  <c r="O431" i="30"/>
  <c r="O433" i="30"/>
  <c r="O435" i="30"/>
  <c r="O436" i="30"/>
  <c r="O437" i="30"/>
  <c r="O438" i="30"/>
  <c r="O440" i="30"/>
  <c r="O441" i="30"/>
  <c r="O443" i="30"/>
  <c r="O444" i="30"/>
  <c r="O445" i="30"/>
  <c r="O446" i="30"/>
  <c r="O449" i="30"/>
  <c r="O450" i="30"/>
  <c r="O451" i="30"/>
  <c r="O454" i="30"/>
  <c r="O455" i="30"/>
  <c r="O456" i="30"/>
  <c r="O457" i="30"/>
  <c r="O458" i="30"/>
  <c r="O459" i="30"/>
  <c r="O465" i="30"/>
  <c r="O466" i="30"/>
  <c r="O469" i="30"/>
  <c r="O470" i="30"/>
  <c r="O473" i="30"/>
  <c r="O474" i="30"/>
  <c r="O475" i="30"/>
  <c r="O476" i="30"/>
  <c r="O477" i="30"/>
  <c r="O478" i="30"/>
  <c r="O479" i="30"/>
  <c r="O482" i="30"/>
  <c r="O483" i="30"/>
  <c r="O484" i="30"/>
  <c r="O485" i="30"/>
  <c r="O486" i="30"/>
  <c r="O487" i="30"/>
  <c r="O489" i="30"/>
  <c r="O492" i="30"/>
  <c r="O493" i="30"/>
  <c r="O494" i="30"/>
  <c r="O495" i="30"/>
  <c r="O498" i="30"/>
  <c r="O499" i="30"/>
  <c r="O502" i="30"/>
  <c r="O503" i="30"/>
  <c r="O504" i="30"/>
  <c r="O505" i="30"/>
  <c r="O508" i="30"/>
  <c r="O509" i="30"/>
  <c r="O510" i="30"/>
  <c r="O513" i="30"/>
  <c r="O514" i="30"/>
  <c r="O515" i="30"/>
  <c r="O516" i="30"/>
  <c r="O518" i="30"/>
  <c r="O519" i="30"/>
  <c r="O520" i="30"/>
  <c r="O521" i="30"/>
  <c r="O524" i="30"/>
  <c r="O525" i="30"/>
  <c r="O526" i="30"/>
  <c r="O529" i="30"/>
  <c r="O530" i="30"/>
  <c r="O532" i="30"/>
  <c r="O533" i="30"/>
  <c r="O534" i="30"/>
  <c r="O535" i="30"/>
  <c r="O538" i="30"/>
  <c r="O539" i="30"/>
  <c r="O540" i="30"/>
  <c r="O543" i="30"/>
  <c r="O544" i="30"/>
  <c r="O547" i="30"/>
  <c r="O548" i="30"/>
  <c r="O549" i="30"/>
  <c r="O550" i="30"/>
  <c r="O551" i="30"/>
  <c r="O552" i="30"/>
  <c r="O553" i="30"/>
  <c r="O555" i="30"/>
  <c r="O556" i="30"/>
  <c r="O557" i="30"/>
  <c r="O558" i="30"/>
  <c r="O559" i="30"/>
  <c r="O560" i="30"/>
  <c r="O563" i="30"/>
  <c r="O564" i="30"/>
  <c r="O567" i="30"/>
  <c r="O568" i="30"/>
  <c r="O569" i="30"/>
  <c r="O572" i="30"/>
  <c r="O573" i="30"/>
  <c r="O576" i="30"/>
  <c r="O577" i="30"/>
  <c r="O578" i="30"/>
  <c r="O579" i="30"/>
  <c r="O580" i="30"/>
  <c r="O581" i="30"/>
  <c r="O583" i="30"/>
  <c r="O584" i="30"/>
  <c r="O585" i="30"/>
  <c r="O586" i="30"/>
  <c r="O587" i="30"/>
  <c r="O588" i="30"/>
  <c r="O591" i="30"/>
  <c r="O592" i="30"/>
  <c r="O595" i="30"/>
  <c r="O596" i="30"/>
  <c r="O597" i="30"/>
  <c r="O599" i="30"/>
  <c r="O600" i="30"/>
  <c r="O605" i="30"/>
  <c r="O606" i="30"/>
  <c r="O607" i="30"/>
  <c r="O608" i="30"/>
  <c r="O609" i="30"/>
  <c r="O610" i="30"/>
  <c r="O611" i="30"/>
  <c r="O613" i="30"/>
  <c r="O614" i="30"/>
  <c r="O615" i="30"/>
  <c r="O616" i="30"/>
  <c r="O617" i="30"/>
  <c r="O618" i="30"/>
  <c r="O621" i="30"/>
  <c r="O622" i="30"/>
  <c r="O625" i="30"/>
  <c r="O626" i="30"/>
  <c r="O627" i="30"/>
  <c r="O630" i="30"/>
  <c r="O631" i="30"/>
  <c r="O634" i="30"/>
  <c r="O635" i="30"/>
  <c r="O636" i="30"/>
  <c r="O637" i="30"/>
  <c r="O638" i="30"/>
  <c r="O639" i="30"/>
  <c r="O642" i="30"/>
  <c r="O643" i="30"/>
  <c r="O644" i="30"/>
  <c r="O646" i="30"/>
  <c r="O647" i="30"/>
  <c r="O648" i="30"/>
  <c r="O649" i="30"/>
  <c r="O650" i="30"/>
  <c r="O651" i="30"/>
  <c r="O653" i="30"/>
  <c r="O654" i="30"/>
  <c r="O657" i="30"/>
  <c r="O658" i="30"/>
  <c r="O659" i="30"/>
  <c r="O662" i="30"/>
  <c r="O663" i="30"/>
  <c r="O664" i="30"/>
  <c r="O667" i="30"/>
  <c r="O668" i="30"/>
  <c r="O669" i="30"/>
  <c r="O670" i="30"/>
  <c r="O673" i="30"/>
  <c r="O674" i="30"/>
  <c r="O675" i="30"/>
  <c r="O676" i="30"/>
  <c r="O677" i="30"/>
  <c r="O678" i="30"/>
  <c r="O679" i="30"/>
  <c r="O680" i="30"/>
  <c r="O681" i="30"/>
  <c r="O682" i="30"/>
  <c r="O683" i="30"/>
  <c r="O684" i="30"/>
  <c r="O685" i="30"/>
  <c r="O686" i="30"/>
  <c r="O687" i="30"/>
  <c r="O688" i="30"/>
  <c r="O689" i="30"/>
  <c r="O690" i="30"/>
  <c r="O691" i="30"/>
  <c r="O692" i="30"/>
  <c r="O693" i="30"/>
  <c r="O694" i="30"/>
  <c r="O695" i="30"/>
  <c r="O696" i="30"/>
  <c r="O697" i="30"/>
  <c r="O698" i="30"/>
  <c r="O699" i="30"/>
  <c r="O700" i="30"/>
  <c r="O701" i="30"/>
  <c r="O702" i="30"/>
  <c r="O703" i="30"/>
  <c r="O706" i="30"/>
  <c r="O707" i="30"/>
  <c r="O708" i="30"/>
  <c r="O709" i="30"/>
  <c r="O710" i="30"/>
  <c r="O711" i="30"/>
  <c r="O712" i="30"/>
  <c r="O715" i="30"/>
  <c r="O716" i="30"/>
  <c r="O719" i="30"/>
  <c r="O720" i="30"/>
  <c r="O721" i="30"/>
  <c r="O722" i="30"/>
  <c r="O723" i="30"/>
  <c r="O726" i="30"/>
  <c r="O727" i="30"/>
  <c r="O730" i="30"/>
  <c r="O731" i="30"/>
  <c r="O732" i="30"/>
  <c r="O734" i="30"/>
  <c r="O735" i="30"/>
  <c r="O736" i="30"/>
  <c r="O737" i="30"/>
  <c r="O738" i="30"/>
  <c r="O739" i="30"/>
  <c r="O742" i="30"/>
  <c r="O743" i="30"/>
  <c r="O746" i="30"/>
  <c r="O747" i="30"/>
  <c r="O748" i="30"/>
  <c r="O751" i="30"/>
  <c r="O752" i="30"/>
  <c r="O753" i="30"/>
  <c r="O756" i="30"/>
  <c r="O757" i="30"/>
  <c r="O758" i="30"/>
  <c r="O759" i="30"/>
  <c r="O761" i="30"/>
  <c r="O762" i="30"/>
  <c r="O763" i="30"/>
  <c r="O764" i="30"/>
  <c r="O766" i="30"/>
  <c r="O767" i="30"/>
  <c r="O769" i="30"/>
  <c r="O770" i="30"/>
  <c r="O773" i="30"/>
  <c r="O774" i="30"/>
  <c r="O777" i="30"/>
  <c r="O778" i="30"/>
  <c r="O781" i="30"/>
  <c r="O782" i="30"/>
  <c r="O785" i="30"/>
  <c r="O786" i="30"/>
  <c r="O787" i="30"/>
  <c r="O788" i="30"/>
  <c r="O791" i="30"/>
  <c r="O792" i="30"/>
  <c r="O795" i="30"/>
  <c r="O796" i="30"/>
  <c r="O797" i="30"/>
  <c r="O798" i="30"/>
  <c r="O799" i="30"/>
  <c r="O802" i="30"/>
  <c r="O803" i="30"/>
  <c r="O804" i="30"/>
  <c r="O805" i="30"/>
  <c r="O807" i="30"/>
  <c r="O808" i="30"/>
  <c r="O809" i="30"/>
  <c r="O810" i="30"/>
  <c r="O812" i="30"/>
  <c r="O813" i="30"/>
  <c r="O816" i="30"/>
  <c r="O817" i="30"/>
  <c r="O818" i="30"/>
  <c r="O819" i="30"/>
  <c r="O821" i="30"/>
  <c r="O822" i="30"/>
  <c r="O823" i="30"/>
  <c r="O826" i="30"/>
  <c r="O827" i="30"/>
  <c r="O828" i="30"/>
  <c r="O829" i="30"/>
  <c r="O830" i="30"/>
  <c r="O831" i="30"/>
  <c r="O834" i="30"/>
  <c r="O835" i="30"/>
  <c r="O836" i="30"/>
  <c r="O837" i="30"/>
  <c r="O838" i="30"/>
  <c r="O839" i="30"/>
  <c r="O842" i="30"/>
  <c r="O843" i="30"/>
  <c r="O847" i="30"/>
  <c r="O848" i="30"/>
  <c r="O849" i="30"/>
  <c r="O850" i="30"/>
  <c r="O853" i="30"/>
  <c r="O854" i="30"/>
  <c r="O857" i="30"/>
  <c r="O858" i="30"/>
  <c r="O861" i="30"/>
  <c r="O862" i="30"/>
  <c r="O863" i="30"/>
  <c r="O866" i="30"/>
  <c r="O867" i="30"/>
  <c r="O870" i="30"/>
  <c r="O871" i="30"/>
  <c r="O874" i="30"/>
  <c r="O875" i="30"/>
  <c r="O876" i="30"/>
  <c r="O877" i="30"/>
  <c r="O878" i="30"/>
  <c r="O881" i="30"/>
  <c r="O882" i="30"/>
  <c r="O883" i="30"/>
  <c r="O886" i="30"/>
  <c r="O887" i="30"/>
  <c r="O888" i="30"/>
  <c r="O889" i="30"/>
  <c r="O890" i="30"/>
  <c r="O893" i="30"/>
  <c r="O894" i="30"/>
  <c r="O895" i="30"/>
  <c r="O896" i="30"/>
  <c r="O897" i="30"/>
  <c r="O898" i="30"/>
  <c r="O899" i="30"/>
  <c r="O900" i="30"/>
  <c r="O901" i="30"/>
  <c r="O902" i="30"/>
  <c r="O903" i="30"/>
  <c r="O904" i="30"/>
  <c r="O905" i="30"/>
  <c r="O906" i="30"/>
  <c r="O907" i="30"/>
  <c r="O908" i="30"/>
  <c r="O909" i="30"/>
  <c r="O910" i="30"/>
  <c r="O911" i="30"/>
  <c r="O912" i="30"/>
  <c r="O913" i="30"/>
  <c r="O914" i="30"/>
  <c r="O915" i="30"/>
  <c r="O916" i="30"/>
  <c r="O917" i="30"/>
  <c r="O918" i="30"/>
  <c r="O919" i="30"/>
  <c r="O920" i="30"/>
  <c r="O921" i="30"/>
  <c r="O922" i="30"/>
  <c r="O923" i="30"/>
  <c r="O924" i="30"/>
  <c r="O925" i="30"/>
  <c r="O926" i="30"/>
  <c r="O927" i="30"/>
  <c r="O928" i="30"/>
  <c r="O929" i="30"/>
  <c r="O930" i="30"/>
  <c r="O931" i="30"/>
  <c r="O932" i="30"/>
  <c r="O933" i="30"/>
  <c r="O934" i="30"/>
  <c r="O935" i="30"/>
  <c r="O936" i="30"/>
  <c r="O937" i="30"/>
  <c r="O938" i="30"/>
  <c r="O939" i="30"/>
  <c r="O940" i="30"/>
  <c r="O941" i="30"/>
  <c r="O942" i="30"/>
  <c r="O943" i="30"/>
  <c r="O944" i="30"/>
  <c r="O945" i="30"/>
  <c r="O946" i="30"/>
  <c r="O947" i="30"/>
  <c r="O948" i="30"/>
  <c r="O949" i="30"/>
  <c r="O950" i="30"/>
  <c r="O951" i="30"/>
  <c r="O952" i="30"/>
  <c r="O953" i="30"/>
  <c r="O954" i="30"/>
  <c r="O955" i="30"/>
  <c r="O956" i="30"/>
  <c r="O957" i="30"/>
  <c r="O958" i="30"/>
  <c r="O959" i="30"/>
  <c r="O960" i="30"/>
  <c r="O961" i="30"/>
  <c r="O962" i="30"/>
  <c r="O963" i="30"/>
  <c r="O964" i="30"/>
  <c r="O965" i="30"/>
  <c r="O966" i="30"/>
  <c r="O967" i="30"/>
  <c r="O968" i="30"/>
  <c r="O969" i="30"/>
  <c r="O970" i="30"/>
  <c r="O971" i="30"/>
  <c r="O972" i="30"/>
  <c r="O973" i="30"/>
  <c r="O974" i="30"/>
  <c r="O975" i="30"/>
  <c r="O976" i="30"/>
  <c r="O977" i="30"/>
  <c r="O978" i="30"/>
  <c r="O979" i="30"/>
  <c r="O980" i="30"/>
  <c r="O981" i="30"/>
  <c r="O982" i="30"/>
  <c r="O983" i="30"/>
  <c r="O984" i="30"/>
  <c r="O985" i="30"/>
  <c r="O986" i="30"/>
  <c r="O987" i="30"/>
  <c r="O988" i="30"/>
  <c r="O989" i="30"/>
  <c r="O990" i="30"/>
  <c r="O991" i="30"/>
  <c r="O992" i="30"/>
  <c r="O993" i="30"/>
  <c r="O994" i="30"/>
  <c r="O995" i="30"/>
  <c r="O996" i="30"/>
  <c r="O997" i="30"/>
  <c r="O998" i="30"/>
  <c r="O999" i="30"/>
  <c r="O1000" i="30"/>
  <c r="O1001" i="30"/>
  <c r="O1002" i="30"/>
  <c r="O1003" i="30"/>
  <c r="O1004" i="30"/>
  <c r="O1005" i="30"/>
  <c r="O1006" i="30"/>
  <c r="O1007" i="30"/>
  <c r="O1008" i="30"/>
  <c r="O1009" i="30"/>
  <c r="O1010" i="30"/>
  <c r="O1011" i="30"/>
  <c r="O1012" i="30"/>
  <c r="O1013" i="30"/>
  <c r="O1014" i="30"/>
  <c r="O1015" i="30"/>
  <c r="O1016" i="30"/>
  <c r="O1017" i="30"/>
  <c r="O1018" i="30"/>
  <c r="O1019" i="30"/>
  <c r="O1020" i="30"/>
  <c r="O1021" i="30"/>
  <c r="O1022" i="30"/>
  <c r="O1023" i="30"/>
  <c r="O1024" i="30"/>
  <c r="O1025" i="30"/>
  <c r="O1026" i="30"/>
  <c r="O1027" i="30"/>
  <c r="O1028" i="30"/>
  <c r="O1029" i="30"/>
  <c r="O1030" i="30"/>
  <c r="O1031" i="30"/>
  <c r="O1032" i="30"/>
  <c r="O1033" i="30"/>
  <c r="O1034" i="30"/>
  <c r="O1035" i="30"/>
  <c r="O1036" i="30"/>
  <c r="O1037" i="30"/>
  <c r="O1038" i="30"/>
  <c r="O1039" i="30"/>
  <c r="O1040" i="30"/>
  <c r="O1042" i="30"/>
  <c r="O1043" i="30"/>
  <c r="O1044" i="30"/>
  <c r="O1047" i="30"/>
  <c r="O1048" i="30"/>
  <c r="O1050" i="30"/>
  <c r="O1052" i="30"/>
  <c r="O1053" i="30"/>
  <c r="O1055" i="30"/>
  <c r="O1056" i="30"/>
  <c r="O1057" i="30"/>
  <c r="O1060" i="30"/>
  <c r="O1061" i="30"/>
  <c r="O1062" i="30"/>
  <c r="O1063" i="30"/>
  <c r="O1066" i="30"/>
  <c r="O1067" i="30"/>
  <c r="O1068" i="30"/>
  <c r="O1069" i="30"/>
  <c r="O1070" i="30"/>
  <c r="O1071" i="30"/>
  <c r="O1072" i="30"/>
  <c r="O1073" i="30"/>
  <c r="O1075" i="30"/>
  <c r="O1076" i="30"/>
  <c r="O1079" i="30"/>
  <c r="O1080" i="30"/>
  <c r="O1081" i="30"/>
  <c r="O1082" i="30"/>
  <c r="O1085" i="30"/>
  <c r="O1086" i="30"/>
  <c r="O1087" i="30"/>
  <c r="O1088" i="30"/>
  <c r="O1089" i="30"/>
  <c r="O1090" i="30"/>
  <c r="O1093" i="30"/>
  <c r="O1094" i="30"/>
  <c r="O1095" i="30"/>
  <c r="O1096" i="30"/>
  <c r="O1097" i="30"/>
  <c r="O1098" i="30"/>
  <c r="O1099" i="30"/>
  <c r="O1100" i="30"/>
  <c r="O1103" i="30"/>
  <c r="O1104" i="30"/>
  <c r="O1105" i="30"/>
  <c r="O1108" i="30"/>
  <c r="O1109" i="30"/>
  <c r="O1111" i="30"/>
  <c r="O1112" i="30"/>
  <c r="O1113" i="30"/>
  <c r="O1116" i="30"/>
  <c r="O1117" i="30"/>
  <c r="O1120" i="30"/>
  <c r="O1121" i="30"/>
  <c r="O1122" i="30"/>
  <c r="O1123" i="30"/>
  <c r="O1126" i="30"/>
  <c r="O1127" i="30"/>
  <c r="O1128" i="30"/>
  <c r="O1129" i="30"/>
  <c r="O1130" i="30"/>
  <c r="O1133" i="30"/>
  <c r="O1134" i="30"/>
  <c r="O1135" i="30"/>
  <c r="O1136" i="30"/>
  <c r="O1137" i="30"/>
  <c r="O1139" i="30"/>
  <c r="O1140" i="30"/>
  <c r="O1143" i="30"/>
  <c r="O1144" i="30"/>
  <c r="O1145" i="30"/>
  <c r="O1147" i="30"/>
  <c r="O1148" i="30"/>
  <c r="O1149" i="30"/>
  <c r="O1152" i="30"/>
  <c r="O1155" i="30"/>
  <c r="O1156" i="30"/>
  <c r="O1159" i="30"/>
  <c r="O1160" i="30"/>
  <c r="O1161" i="30"/>
  <c r="O1164" i="30"/>
  <c r="O1165" i="30"/>
  <c r="O1166" i="30"/>
  <c r="O1169" i="30"/>
  <c r="O1170" i="30"/>
  <c r="O1171" i="30"/>
  <c r="O1172" i="30"/>
  <c r="O1173" i="30"/>
  <c r="O1174" i="30"/>
  <c r="O1175" i="30"/>
  <c r="O1176" i="30"/>
  <c r="O1177" i="30"/>
  <c r="O1178" i="30"/>
  <c r="O1179" i="30"/>
  <c r="O1180" i="30"/>
  <c r="O1181" i="30"/>
  <c r="O1182" i="30"/>
  <c r="O1183" i="30"/>
  <c r="O1185" i="30"/>
  <c r="O1186" i="30"/>
  <c r="O1187" i="30"/>
  <c r="O1188" i="30"/>
  <c r="O1191" i="30"/>
  <c r="O1192" i="30"/>
  <c r="O1195" i="30"/>
  <c r="O1196" i="30"/>
  <c r="O1199" i="30"/>
  <c r="O1204" i="30"/>
  <c r="O1205" i="30"/>
  <c r="O1210" i="30"/>
  <c r="O1211" i="30"/>
  <c r="O1214" i="30"/>
  <c r="O1215" i="30"/>
  <c r="O1217" i="30"/>
  <c r="O1218" i="30"/>
  <c r="O1221" i="30"/>
  <c r="O1222" i="30"/>
  <c r="O1223" i="30"/>
  <c r="O1224" i="30"/>
  <c r="O1225" i="30"/>
  <c r="O1226" i="30"/>
  <c r="O1227" i="30"/>
  <c r="O1229" i="30"/>
  <c r="O1230" i="30"/>
  <c r="O1231" i="30"/>
  <c r="O1234" i="30"/>
  <c r="O1235" i="30"/>
  <c r="O1236" i="30"/>
  <c r="O1237" i="30"/>
  <c r="O1240" i="30"/>
  <c r="O1241" i="30"/>
  <c r="O1242" i="30"/>
  <c r="O1245" i="30"/>
  <c r="O1246" i="30"/>
  <c r="O1247" i="30"/>
  <c r="O1248" i="30"/>
  <c r="O1251" i="30"/>
  <c r="O1252" i="30"/>
  <c r="O1253" i="30"/>
  <c r="O1254" i="30"/>
  <c r="O1256" i="30"/>
  <c r="O1257" i="30"/>
  <c r="O1258" i="30"/>
  <c r="O1259" i="30"/>
  <c r="O1260" i="30"/>
  <c r="O1263" i="30"/>
  <c r="O1264" i="30"/>
  <c r="O1267" i="30"/>
  <c r="O1268" i="30"/>
  <c r="O1269" i="30"/>
  <c r="O1271" i="30"/>
  <c r="O1273" i="30"/>
  <c r="O1274" i="30"/>
  <c r="O1275" i="30"/>
  <c r="O1278" i="30"/>
  <c r="O1279" i="30"/>
  <c r="O1280" i="30"/>
  <c r="O1281" i="30"/>
  <c r="O1282" i="30"/>
  <c r="O1284" i="30"/>
  <c r="O1285" i="30"/>
  <c r="O1287" i="30"/>
  <c r="O1288" i="30"/>
  <c r="O1289" i="30"/>
  <c r="O1292" i="30"/>
  <c r="O1293" i="30"/>
  <c r="O1294" i="30"/>
  <c r="O1295" i="30"/>
  <c r="O1296" i="30"/>
  <c r="O1297" i="30"/>
  <c r="O1298" i="30"/>
  <c r="O1299" i="30"/>
  <c r="O1300" i="30"/>
  <c r="O1301" i="30"/>
  <c r="O1302" i="30"/>
  <c r="O1303" i="30"/>
  <c r="O1304" i="30"/>
  <c r="O1305" i="30"/>
  <c r="O1308" i="30"/>
  <c r="O1309" i="30"/>
  <c r="O1310" i="30"/>
  <c r="O1313" i="30"/>
  <c r="O1314" i="30"/>
  <c r="O1317" i="30"/>
  <c r="O1318" i="30"/>
  <c r="O1321" i="30"/>
  <c r="O1322" i="30"/>
  <c r="O1325" i="30"/>
  <c r="O1326" i="30"/>
  <c r="O1329" i="30"/>
  <c r="O1330" i="30"/>
  <c r="O1332" i="30"/>
  <c r="O1333" i="30"/>
  <c r="O1336" i="30"/>
  <c r="O1337" i="30"/>
  <c r="O1340" i="30"/>
  <c r="O1341" i="30"/>
  <c r="O1342" i="30"/>
  <c r="O1343" i="30"/>
  <c r="O1344" i="30"/>
  <c r="O1347" i="30"/>
  <c r="O1348" i="30"/>
  <c r="O1351" i="30"/>
  <c r="O1353" i="30"/>
  <c r="O1354" i="30"/>
  <c r="O1355" i="30"/>
  <c r="O1358" i="30"/>
  <c r="O1359" i="30"/>
  <c r="O1362" i="30"/>
  <c r="O1365" i="30"/>
  <c r="O1366" i="30"/>
  <c r="O1368" i="30"/>
  <c r="O1369" i="30"/>
  <c r="O1372" i="30"/>
  <c r="O1373" i="30"/>
  <c r="O1374" i="30"/>
  <c r="O1375" i="30"/>
  <c r="O1376" i="30"/>
  <c r="O1377" i="30"/>
  <c r="O1378" i="30"/>
  <c r="O1379" i="30"/>
  <c r="O1380" i="30"/>
  <c r="O1381" i="30"/>
  <c r="O1382" i="30"/>
  <c r="O1385" i="30"/>
  <c r="O1386" i="30"/>
  <c r="O1387" i="30"/>
  <c r="O1392" i="30"/>
  <c r="O1393" i="30"/>
  <c r="O1394" i="30"/>
  <c r="O1395" i="30"/>
  <c r="O1397" i="30"/>
  <c r="O1398" i="30"/>
  <c r="O1399" i="30"/>
  <c r="O1402" i="30"/>
  <c r="O1403" i="30"/>
  <c r="O1406" i="30"/>
  <c r="O1407" i="30"/>
  <c r="O1410" i="30"/>
  <c r="O1411" i="30"/>
  <c r="O1412" i="30"/>
  <c r="O1413" i="30"/>
  <c r="O1414" i="30"/>
  <c r="O1417" i="30"/>
  <c r="O1418" i="30"/>
  <c r="O1419" i="30"/>
  <c r="O1420" i="30"/>
  <c r="O1423" i="30"/>
  <c r="O1424" i="30"/>
  <c r="O1427" i="30"/>
  <c r="O1428" i="30"/>
  <c r="O1431" i="30"/>
  <c r="O1432" i="30"/>
  <c r="O1433" i="30"/>
  <c r="O1434" i="30"/>
  <c r="O1435" i="30"/>
  <c r="O1436" i="30"/>
  <c r="O1439" i="30"/>
  <c r="O1440" i="30"/>
  <c r="O1443" i="30"/>
  <c r="O1444" i="30"/>
  <c r="O1445" i="30"/>
  <c r="O1446" i="30"/>
  <c r="O1448" i="30"/>
  <c r="O1449" i="30"/>
  <c r="O1450" i="30"/>
  <c r="O1453" i="30"/>
  <c r="O1454" i="30"/>
  <c r="O1457" i="30"/>
  <c r="O1458" i="30"/>
  <c r="O1461" i="30"/>
  <c r="O1462" i="30"/>
  <c r="O1463" i="30"/>
  <c r="O1464" i="30"/>
  <c r="O1465" i="30"/>
  <c r="O1468" i="30"/>
  <c r="O1469" i="30"/>
  <c r="O1470" i="30"/>
  <c r="O1471" i="30"/>
  <c r="O1474" i="30"/>
  <c r="O1475" i="30"/>
  <c r="O1478" i="30"/>
  <c r="O1479" i="30"/>
  <c r="O1482" i="30"/>
  <c r="O1483" i="30"/>
  <c r="O1484" i="30"/>
  <c r="O1485" i="30"/>
  <c r="O1486" i="30"/>
  <c r="O1487" i="30"/>
  <c r="O1490" i="30"/>
  <c r="O1491" i="30"/>
  <c r="O1495" i="30"/>
  <c r="O1496" i="30"/>
  <c r="O1498" i="30"/>
  <c r="O1499" i="30"/>
  <c r="O1500" i="30"/>
  <c r="O1501" i="30"/>
  <c r="O1504" i="30"/>
  <c r="O1505" i="30"/>
  <c r="O1507" i="30"/>
  <c r="O1508" i="30"/>
  <c r="O1510" i="30"/>
  <c r="O1511" i="30"/>
  <c r="O1514" i="30"/>
  <c r="O1515" i="30"/>
  <c r="O1516" i="30"/>
  <c r="O1517" i="30"/>
  <c r="O1520" i="30"/>
  <c r="O1521" i="30"/>
  <c r="O1524" i="30"/>
  <c r="O1525" i="30"/>
  <c r="O1528" i="30"/>
  <c r="O1529" i="30"/>
  <c r="O1532" i="30"/>
  <c r="O1533" i="30"/>
  <c r="O1534" i="30"/>
  <c r="O1537" i="30"/>
  <c r="O1538" i="30"/>
  <c r="O1539" i="30"/>
  <c r="O1540" i="30"/>
  <c r="O1543" i="30"/>
  <c r="O1546" i="30"/>
  <c r="O1547" i="30"/>
  <c r="O1548" i="30"/>
  <c r="O1549" i="30"/>
  <c r="O1550" i="30"/>
  <c r="O1553" i="30"/>
  <c r="O1554" i="30"/>
  <c r="O1557" i="30"/>
  <c r="O1558" i="30"/>
  <c r="O1561" i="30"/>
  <c r="O1562" i="30"/>
  <c r="O1565" i="30"/>
  <c r="O1566" i="30"/>
  <c r="O1567" i="30"/>
  <c r="O1568" i="30"/>
  <c r="O1569" i="30"/>
  <c r="O1572" i="30"/>
  <c r="O1573" i="30"/>
  <c r="O1574" i="30"/>
  <c r="O1575" i="30"/>
  <c r="O1578" i="30"/>
  <c r="O1579" i="30"/>
  <c r="O1582" i="30"/>
  <c r="O1583" i="30"/>
  <c r="O1584" i="30"/>
  <c r="O1585" i="30"/>
  <c r="O1586" i="30"/>
  <c r="O1587" i="30"/>
  <c r="O1588" i="30"/>
  <c r="O1589" i="30"/>
  <c r="O1590" i="30"/>
  <c r="O1591" i="30"/>
  <c r="O1594" i="30"/>
  <c r="O1595" i="30"/>
  <c r="O1598" i="30"/>
  <c r="O1599" i="30"/>
  <c r="O1602" i="30"/>
  <c r="O1603" i="30"/>
  <c r="O1606" i="30"/>
  <c r="O1607" i="30"/>
  <c r="O1608" i="30"/>
  <c r="O1609" i="30"/>
  <c r="O1610" i="30"/>
  <c r="O1613" i="30"/>
  <c r="O1614" i="30"/>
  <c r="O1616" i="30"/>
  <c r="O1617" i="30"/>
  <c r="O1618" i="30"/>
  <c r="O1619" i="30"/>
  <c r="O1622" i="30"/>
  <c r="O1623" i="30"/>
  <c r="O1624" i="30"/>
  <c r="O1625" i="30"/>
  <c r="O1628" i="30"/>
  <c r="O1629" i="30"/>
  <c r="O1631" i="30"/>
  <c r="O1632" i="30"/>
  <c r="O1633" i="30"/>
  <c r="O1634" i="30"/>
  <c r="O1637" i="30"/>
  <c r="O1638" i="30"/>
  <c r="O1639" i="30"/>
  <c r="O1640" i="30"/>
  <c r="O1641" i="30"/>
  <c r="O1644" i="30"/>
  <c r="O1646" i="30"/>
  <c r="O1647" i="30"/>
  <c r="O1650" i="30"/>
  <c r="O1651" i="30"/>
  <c r="O1652" i="30"/>
  <c r="O1654" i="30"/>
  <c r="O1655" i="30"/>
  <c r="O1656" i="30"/>
  <c r="O1657" i="30"/>
  <c r="O1660" i="30"/>
  <c r="O1661" i="30"/>
  <c r="O1662" i="30"/>
  <c r="O1663" i="30"/>
  <c r="O1664" i="30"/>
  <c r="O1667" i="30"/>
  <c r="O1668" i="30"/>
  <c r="O1671" i="30"/>
  <c r="O1672" i="30"/>
  <c r="O1675" i="30"/>
  <c r="O1676" i="30"/>
  <c r="O1677" i="30"/>
  <c r="O1678" i="30"/>
  <c r="O1679" i="30"/>
  <c r="O1681" i="30"/>
  <c r="O1682" i="30"/>
  <c r="O1683" i="30"/>
  <c r="O1685" i="30"/>
  <c r="O1686" i="30"/>
  <c r="O1689" i="30"/>
  <c r="O1690" i="30"/>
  <c r="O1691" i="30"/>
  <c r="O1693" i="30"/>
  <c r="O1694" i="30"/>
  <c r="O1697" i="30"/>
  <c r="O1698" i="30"/>
  <c r="O1699" i="30"/>
  <c r="O1702" i="30"/>
  <c r="O1705" i="30"/>
  <c r="O1706" i="30"/>
  <c r="O1707" i="30"/>
  <c r="O1708" i="30"/>
  <c r="O1711" i="30"/>
  <c r="O1712" i="30"/>
  <c r="O1715" i="30"/>
  <c r="O1716" i="30"/>
  <c r="O1719" i="30"/>
  <c r="O1720" i="30"/>
  <c r="O1723" i="30"/>
  <c r="O1724" i="30"/>
  <c r="O1727" i="30"/>
  <c r="O1728" i="30"/>
  <c r="O1731" i="30"/>
  <c r="O1732" i="30"/>
  <c r="O1736" i="30"/>
  <c r="O1737" i="30"/>
  <c r="O1738" i="30"/>
  <c r="O1739" i="30"/>
  <c r="O1745" i="30"/>
  <c r="O1746" i="30"/>
  <c r="O1747" i="30"/>
  <c r="O1748" i="30"/>
  <c r="O1749" i="30"/>
  <c r="O1752" i="30"/>
  <c r="O1753" i="30"/>
  <c r="O1756" i="30"/>
  <c r="O1757" i="30"/>
  <c r="O1758" i="30"/>
  <c r="O1764" i="30"/>
  <c r="O1765" i="30"/>
  <c r="O1768" i="30"/>
  <c r="O1769" i="30"/>
  <c r="O1772" i="30"/>
  <c r="O1773" i="30"/>
  <c r="O1777" i="30"/>
  <c r="O1780" i="30"/>
  <c r="O1781" i="30"/>
  <c r="O1782" i="30"/>
  <c r="O1783" i="30"/>
  <c r="O1785" i="30"/>
  <c r="O1804" i="30"/>
  <c r="O1807" i="30"/>
  <c r="O1808" i="30"/>
  <c r="O1809" i="30"/>
  <c r="O1812" i="30"/>
  <c r="O1814" i="30"/>
  <c r="O1816" i="30"/>
  <c r="O1817" i="30"/>
  <c r="O1818" i="30"/>
  <c r="O1821" i="30"/>
  <c r="O1822" i="30"/>
  <c r="O1825" i="30"/>
  <c r="O1826" i="30"/>
  <c r="O1829" i="30"/>
  <c r="O1830" i="30"/>
  <c r="O1831" i="30"/>
  <c r="O1832" i="30"/>
  <c r="O1835" i="30"/>
  <c r="O1836" i="30"/>
  <c r="O1839" i="30"/>
  <c r="O1840" i="30"/>
  <c r="O1841" i="30"/>
  <c r="O1842" i="30"/>
  <c r="O1845" i="30"/>
  <c r="O1846" i="30"/>
  <c r="O1849" i="30"/>
  <c r="O1850" i="30"/>
  <c r="O1851" i="30"/>
  <c r="O1853" i="30"/>
  <c r="O1854" i="30"/>
  <c r="O1857" i="30"/>
  <c r="O1858" i="30"/>
  <c r="O1861" i="30"/>
  <c r="O1862" i="30"/>
  <c r="O1865" i="30"/>
  <c r="O1866" i="30"/>
  <c r="O1869" i="30"/>
  <c r="O1870" i="30"/>
  <c r="O1873" i="30"/>
  <c r="O1874" i="30"/>
  <c r="O1875" i="30"/>
  <c r="O1876" i="30"/>
  <c r="O1877" i="30"/>
  <c r="O1883" i="30"/>
  <c r="O1884" i="30"/>
  <c r="O1887" i="30"/>
  <c r="O1888" i="30"/>
  <c r="O1889" i="30"/>
  <c r="O1890" i="30"/>
  <c r="O1891" i="30"/>
  <c r="O1893" i="30"/>
  <c r="O1895" i="30"/>
  <c r="O1904" i="30"/>
  <c r="O1905" i="30"/>
  <c r="O1917" i="30"/>
  <c r="O1918" i="30"/>
  <c r="O1921" i="30"/>
  <c r="O1922" i="30"/>
  <c r="O1923" i="30"/>
  <c r="O1925" i="30"/>
  <c r="O1926" i="30"/>
  <c r="O1929" i="30"/>
  <c r="O1930" i="30"/>
  <c r="O1931" i="30"/>
  <c r="O1932" i="30"/>
  <c r="O1933" i="30"/>
  <c r="O1934" i="30"/>
  <c r="O1935" i="30"/>
  <c r="O1936" i="30"/>
  <c r="O1937" i="30"/>
  <c r="O1940" i="30"/>
  <c r="O1941" i="30"/>
  <c r="O1942" i="30"/>
  <c r="O1943" i="30"/>
  <c r="O1946" i="30"/>
  <c r="O1947" i="30"/>
  <c r="O1950" i="30"/>
  <c r="O1951" i="30"/>
  <c r="O1954" i="30"/>
  <c r="O1955" i="30"/>
  <c r="O1958" i="30"/>
  <c r="O1959" i="30"/>
  <c r="O1960" i="30"/>
  <c r="O1961" i="30"/>
  <c r="O1964" i="30"/>
  <c r="O1965" i="30"/>
  <c r="O1966" i="30"/>
  <c r="O1969" i="30"/>
  <c r="O1970" i="30"/>
  <c r="O1971" i="30"/>
  <c r="O1972" i="30"/>
  <c r="O1973" i="30"/>
  <c r="O1976" i="30"/>
  <c r="O1978" i="30"/>
  <c r="O1980" i="30"/>
  <c r="O1981" i="30"/>
  <c r="O1984" i="30"/>
  <c r="O1985" i="30"/>
  <c r="O1988" i="30"/>
  <c r="O1989" i="30"/>
  <c r="O1992" i="30"/>
  <c r="O1993" i="30"/>
  <c r="O1994" i="30"/>
  <c r="O1995" i="30"/>
  <c r="O1998" i="30"/>
  <c r="O1999" i="30"/>
  <c r="O2000" i="30"/>
  <c r="O2003" i="30"/>
  <c r="O2004" i="30"/>
  <c r="O2005" i="30"/>
  <c r="O2006" i="30"/>
  <c r="O2009" i="30"/>
  <c r="O2010" i="30"/>
  <c r="O2013" i="30"/>
  <c r="O2014" i="30"/>
  <c r="O2017" i="30"/>
  <c r="O2018" i="30"/>
  <c r="O2019" i="30"/>
  <c r="O2022" i="30"/>
  <c r="O2023" i="30"/>
  <c r="O2024" i="30"/>
  <c r="O2027" i="30"/>
  <c r="O2028" i="30"/>
  <c r="O2031" i="30"/>
  <c r="O2033" i="30"/>
  <c r="O2035" i="30"/>
  <c r="O2036" i="30"/>
  <c r="O2039" i="30"/>
  <c r="O2041" i="30"/>
  <c r="O2042" i="30"/>
  <c r="O2044" i="30"/>
  <c r="O2046" i="30"/>
  <c r="O2048" i="30"/>
  <c r="O2049" i="30"/>
  <c r="O2052" i="30"/>
  <c r="O2053" i="30"/>
  <c r="O2054" i="30"/>
  <c r="O2055" i="30"/>
  <c r="O2058" i="30"/>
  <c r="O2059" i="30"/>
  <c r="O2062" i="30"/>
  <c r="O2064" i="30"/>
  <c r="O2065" i="30"/>
  <c r="O2066" i="30"/>
  <c r="O2068" i="30"/>
  <c r="O2069" i="30"/>
  <c r="O2072" i="30"/>
  <c r="O2073" i="30"/>
  <c r="O2076" i="30"/>
  <c r="O2077" i="30"/>
  <c r="O2078" i="30"/>
  <c r="O2079" i="30"/>
  <c r="O2080" i="30"/>
  <c r="O2081" i="30"/>
  <c r="O2084" i="30"/>
  <c r="O2085" i="30"/>
  <c r="O2086" i="30"/>
  <c r="O2088" i="30"/>
  <c r="O2089" i="30"/>
  <c r="O2092" i="30"/>
  <c r="O2093" i="30"/>
  <c r="O2095" i="30"/>
  <c r="O2096" i="30"/>
  <c r="O2097" i="30"/>
  <c r="O2100" i="30"/>
  <c r="O2103" i="30"/>
  <c r="O2104" i="30"/>
  <c r="O2105" i="30"/>
  <c r="O2108" i="30"/>
  <c r="O2109" i="30"/>
  <c r="O2112" i="30"/>
  <c r="O2113" i="30"/>
  <c r="O2116" i="30"/>
  <c r="O2117" i="30"/>
  <c r="O2118" i="30"/>
  <c r="O2121" i="30"/>
  <c r="O2123" i="30"/>
  <c r="O2124" i="30"/>
  <c r="O2125" i="30"/>
  <c r="O2127" i="30"/>
  <c r="O2128" i="30"/>
  <c r="O2131" i="30"/>
  <c r="O2132" i="30"/>
  <c r="O2135" i="30"/>
  <c r="O2136" i="30"/>
  <c r="O2137" i="30"/>
  <c r="O2139" i="30"/>
  <c r="O2140" i="30"/>
  <c r="O2143" i="30"/>
  <c r="O2144" i="30"/>
  <c r="O2145" i="30"/>
  <c r="O2147" i="30"/>
  <c r="O2148" i="30"/>
  <c r="O2149" i="30"/>
  <c r="O2150" i="30"/>
  <c r="O2153" i="30"/>
  <c r="O2154" i="30"/>
  <c r="O2155" i="30"/>
  <c r="O2157" i="30"/>
  <c r="O2158" i="30"/>
  <c r="O2161" i="30"/>
  <c r="O2162" i="30"/>
  <c r="O2163" i="30"/>
  <c r="O2164" i="30"/>
  <c r="O2165" i="30"/>
  <c r="O2166" i="30"/>
  <c r="O2169" i="30"/>
  <c r="O2170" i="30"/>
  <c r="O2171" i="30"/>
  <c r="O2172" i="30"/>
  <c r="O2173" i="30"/>
  <c r="O2176" i="30"/>
  <c r="O2177" i="30"/>
  <c r="O2178" i="30"/>
  <c r="O2180" i="30"/>
  <c r="O2182" i="30"/>
  <c r="O2183" i="30"/>
  <c r="O2185" i="30"/>
  <c r="O2186" i="30"/>
  <c r="O2187" i="30"/>
  <c r="O2188" i="30"/>
  <c r="O2189" i="30"/>
  <c r="O2190" i="30"/>
  <c r="O2191" i="30"/>
  <c r="O2192" i="30"/>
  <c r="O2193" i="30"/>
  <c r="O2194" i="30"/>
  <c r="O2195" i="30"/>
  <c r="O2196" i="30"/>
  <c r="O2199" i="30"/>
  <c r="O2200" i="30"/>
  <c r="O2203" i="30"/>
  <c r="O2204" i="30"/>
  <c r="O2205" i="30"/>
  <c r="O2206" i="30"/>
  <c r="O2209" i="30"/>
  <c r="O2211" i="30"/>
  <c r="O2212" i="30"/>
  <c r="O2215" i="30"/>
  <c r="O2216" i="30"/>
  <c r="O2218" i="30"/>
  <c r="O2219" i="30"/>
  <c r="O2220" i="30"/>
  <c r="O2222" i="30"/>
  <c r="O2223" i="30"/>
  <c r="O2226" i="30"/>
  <c r="O2227" i="30"/>
  <c r="O2228" i="30"/>
  <c r="O2229" i="30"/>
  <c r="O2230" i="30"/>
  <c r="O2231" i="30"/>
  <c r="O2232" i="30"/>
  <c r="O2233" i="30"/>
  <c r="O2234" i="30"/>
  <c r="O2235" i="30"/>
  <c r="O2236" i="30"/>
  <c r="O2237" i="30"/>
  <c r="O2238" i="30"/>
  <c r="O2239" i="30"/>
  <c r="O2240" i="30"/>
  <c r="O2241" i="30"/>
  <c r="O2242" i="30"/>
  <c r="O2243" i="30"/>
  <c r="O2244" i="30"/>
  <c r="O2245" i="30"/>
  <c r="O2247" i="30"/>
  <c r="O2248" i="30"/>
  <c r="O2249" i="30"/>
  <c r="O2252" i="30"/>
  <c r="O2255" i="30"/>
  <c r="O2256" i="30"/>
  <c r="O2259" i="30"/>
  <c r="O2260" i="30"/>
  <c r="O2261" i="30"/>
  <c r="O2262" i="30"/>
  <c r="O2265" i="30"/>
  <c r="O2266" i="30"/>
  <c r="O2269" i="30"/>
  <c r="O2270" i="30"/>
  <c r="O2273" i="30"/>
  <c r="O2274" i="30"/>
  <c r="O2275" i="30"/>
  <c r="O2276" i="30"/>
  <c r="O2279" i="30"/>
  <c r="O2280" i="30"/>
  <c r="O2283" i="30"/>
  <c r="O2284" i="30"/>
  <c r="O2289" i="30"/>
  <c r="O2290" i="30"/>
  <c r="O2295" i="30"/>
  <c r="O2296" i="30"/>
  <c r="O2299" i="30"/>
  <c r="O2300" i="30"/>
  <c r="O2301" i="30"/>
  <c r="O2303" i="30"/>
  <c r="O2306" i="30"/>
  <c r="O2307" i="30"/>
  <c r="O2308" i="30"/>
  <c r="O2311" i="30"/>
  <c r="O2312" i="30"/>
  <c r="O2313" i="30"/>
  <c r="O2314" i="30"/>
  <c r="O2315" i="30"/>
  <c r="O2317" i="30"/>
  <c r="O2318" i="30"/>
  <c r="O2319" i="30"/>
  <c r="O2322" i="30"/>
  <c r="O2323" i="30"/>
  <c r="O2324" i="30"/>
  <c r="O2325" i="30"/>
  <c r="O2326" i="30"/>
  <c r="O2327" i="30"/>
  <c r="O2329" i="30"/>
  <c r="O2330" i="30"/>
  <c r="O2333" i="30"/>
  <c r="O2334" i="30"/>
  <c r="O2335" i="30"/>
  <c r="O2336" i="30"/>
  <c r="O2337" i="30"/>
  <c r="O2338" i="30"/>
  <c r="O2339" i="30"/>
  <c r="O2340" i="30"/>
  <c r="O2341" i="30"/>
  <c r="O2343" i="30"/>
  <c r="O2344" i="30"/>
  <c r="O2347" i="30"/>
  <c r="O2348" i="30"/>
  <c r="O2351" i="30"/>
  <c r="O2352" i="30"/>
  <c r="O2353" i="30"/>
  <c r="O2355" i="30"/>
  <c r="O2356" i="30"/>
  <c r="O2359" i="30"/>
  <c r="O2360" i="30"/>
  <c r="O2361" i="30"/>
  <c r="O2362" i="30"/>
  <c r="O2363" i="30"/>
  <c r="O2364" i="30"/>
  <c r="O2365" i="30"/>
  <c r="O2366" i="30"/>
  <c r="O2369" i="30"/>
  <c r="O2370" i="30"/>
  <c r="O2371" i="30"/>
  <c r="O2372" i="30"/>
  <c r="O2373" i="30"/>
  <c r="O2377" i="30"/>
  <c r="O2378" i="30"/>
  <c r="O2380" i="30"/>
  <c r="O2381" i="30"/>
  <c r="O2386" i="30"/>
  <c r="O2387" i="30"/>
  <c r="O2388" i="30"/>
  <c r="O2391" i="30"/>
  <c r="O2392" i="30"/>
  <c r="O2395" i="30"/>
  <c r="O2396" i="30"/>
  <c r="O2397" i="30"/>
  <c r="O2398" i="30"/>
  <c r="O2401" i="30"/>
  <c r="O2402" i="30"/>
  <c r="O2405" i="30"/>
  <c r="O2406" i="30"/>
  <c r="O2409" i="30"/>
  <c r="O2410" i="30"/>
  <c r="O2411" i="30"/>
  <c r="O2412" i="30"/>
  <c r="O2413" i="30"/>
  <c r="O2414" i="30"/>
  <c r="O2415" i="30"/>
  <c r="O2416" i="30"/>
  <c r="O2419" i="30"/>
  <c r="O2420" i="30"/>
  <c r="O2423" i="30"/>
  <c r="O2424" i="30"/>
  <c r="O2425" i="30"/>
  <c r="O2426" i="30"/>
  <c r="O2429" i="30"/>
  <c r="O2430" i="30"/>
  <c r="O2433" i="30"/>
  <c r="O2434" i="30"/>
  <c r="O2437" i="30"/>
  <c r="O2438" i="30"/>
  <c r="O2439" i="30"/>
  <c r="O2440" i="30"/>
  <c r="O2441" i="30"/>
  <c r="O2442" i="30"/>
  <c r="O2444" i="30"/>
  <c r="O2445" i="30"/>
  <c r="O2448" i="30"/>
  <c r="O2449" i="30"/>
  <c r="O2450" i="30"/>
  <c r="O2451" i="30"/>
  <c r="O2454" i="30"/>
  <c r="O2455" i="30"/>
  <c r="O2456" i="30"/>
  <c r="O2457" i="30"/>
  <c r="O2460" i="30"/>
  <c r="O2461" i="30"/>
  <c r="O2464" i="30"/>
  <c r="O2467" i="30"/>
  <c r="O2468" i="30"/>
  <c r="O2469" i="30"/>
  <c r="O2470" i="30"/>
  <c r="O2471" i="30"/>
  <c r="O2472" i="30"/>
  <c r="O2473" i="30"/>
  <c r="O2474" i="30"/>
  <c r="O2476" i="30"/>
  <c r="O2477" i="30"/>
  <c r="O2479" i="30"/>
  <c r="O2480" i="30"/>
  <c r="O2481" i="30"/>
  <c r="O2482" i="30"/>
  <c r="O2485" i="30"/>
  <c r="O2486" i="30"/>
  <c r="O2487" i="30"/>
  <c r="O2488" i="30"/>
  <c r="O2491" i="30"/>
  <c r="O2492" i="30"/>
  <c r="O2495" i="30"/>
  <c r="O2496" i="30"/>
  <c r="O2499" i="30"/>
  <c r="O2500" i="30"/>
  <c r="O2501" i="30"/>
  <c r="O2502" i="30"/>
  <c r="O2503" i="30"/>
  <c r="O2504" i="30"/>
  <c r="O2505" i="30"/>
  <c r="O2506" i="30"/>
  <c r="O2508" i="30"/>
  <c r="O2509" i="30"/>
  <c r="O2512" i="30"/>
  <c r="O2513" i="30"/>
  <c r="O2514" i="30"/>
  <c r="O2517" i="30"/>
  <c r="O2520" i="30"/>
  <c r="O2521" i="30"/>
  <c r="O2524" i="30"/>
  <c r="O2527" i="30"/>
  <c r="O2528" i="30"/>
  <c r="O2529" i="30"/>
  <c r="O2530" i="30"/>
  <c r="O2531" i="30"/>
  <c r="O2532" i="30"/>
  <c r="O2534" i="30"/>
  <c r="O2536" i="30"/>
  <c r="O2537" i="30"/>
  <c r="O2539" i="30"/>
  <c r="O2540" i="30"/>
  <c r="O2543" i="30"/>
  <c r="O2544" i="30"/>
  <c r="O2545" i="30"/>
  <c r="O2546" i="30"/>
  <c r="O2547" i="30"/>
  <c r="O2548" i="30"/>
  <c r="O2549" i="30"/>
  <c r="O2550" i="30"/>
  <c r="O2551" i="30"/>
  <c r="O2552" i="30"/>
  <c r="O2553" i="30"/>
  <c r="O2554" i="30"/>
  <c r="O2555" i="30"/>
  <c r="O2556" i="30"/>
  <c r="O2557" i="30"/>
  <c r="O2558" i="30"/>
  <c r="O2559" i="30"/>
  <c r="O2560" i="30"/>
  <c r="O2561" i="30"/>
  <c r="O2562" i="30"/>
  <c r="O2563" i="30"/>
  <c r="O2564" i="30"/>
  <c r="O2565" i="30"/>
  <c r="O2566" i="30"/>
  <c r="O2567" i="30"/>
  <c r="O2568" i="30"/>
  <c r="O2569" i="30"/>
  <c r="O2570" i="30"/>
  <c r="O2571" i="30"/>
  <c r="O2572" i="30"/>
  <c r="O2573" i="30"/>
  <c r="O2574" i="30"/>
  <c r="O2575" i="30"/>
  <c r="O2576" i="30"/>
  <c r="O2577" i="30"/>
  <c r="O2578" i="30"/>
  <c r="O2579" i="30"/>
  <c r="O2580" i="30"/>
  <c r="O2581" i="30"/>
  <c r="O2582" i="30"/>
  <c r="O2583" i="30"/>
  <c r="O2584" i="30"/>
  <c r="O2585" i="30"/>
  <c r="O2586" i="30"/>
  <c r="O2587" i="30"/>
  <c r="O2588" i="30"/>
  <c r="O2589" i="30"/>
  <c r="O2590" i="30"/>
  <c r="O2591" i="30"/>
  <c r="O2592" i="30"/>
  <c r="O2593" i="30"/>
  <c r="O2594" i="30"/>
  <c r="O2595" i="30"/>
  <c r="O2596" i="30"/>
  <c r="O2597" i="30"/>
  <c r="O2598" i="30"/>
  <c r="O2599" i="30"/>
  <c r="O2600" i="30"/>
  <c r="O2601" i="30"/>
  <c r="O2602" i="30"/>
  <c r="O2603" i="30"/>
  <c r="O2604" i="30"/>
  <c r="O2605" i="30"/>
  <c r="O2606" i="30"/>
  <c r="O2607" i="30"/>
  <c r="O2608" i="30"/>
  <c r="O2609" i="30"/>
  <c r="O2610" i="30"/>
  <c r="O2611" i="30"/>
  <c r="O2612" i="30"/>
  <c r="O2613" i="30"/>
  <c r="O2614" i="30"/>
  <c r="O2615" i="30"/>
  <c r="O2616" i="30"/>
  <c r="O2617" i="30"/>
  <c r="O2618" i="30"/>
  <c r="O2619" i="30"/>
  <c r="O2620" i="30"/>
  <c r="O2621" i="30"/>
  <c r="O2622" i="30"/>
  <c r="O2623" i="30"/>
  <c r="O2624" i="30"/>
  <c r="O2625" i="30"/>
  <c r="O2626" i="30"/>
  <c r="O2627" i="30"/>
  <c r="O2628" i="30"/>
  <c r="O2629" i="30"/>
  <c r="O2630" i="30"/>
  <c r="O2631" i="30"/>
  <c r="O2632" i="30"/>
  <c r="O2633" i="30"/>
  <c r="O2634" i="30"/>
  <c r="O2635" i="30"/>
  <c r="O2636" i="30"/>
  <c r="O2637" i="30"/>
  <c r="O2638" i="30"/>
  <c r="O2639" i="30"/>
  <c r="O2640" i="30"/>
  <c r="O2641" i="30"/>
  <c r="O2642" i="30"/>
  <c r="O2643" i="30"/>
  <c r="O2644" i="30"/>
  <c r="O2645" i="30"/>
  <c r="O2646" i="30"/>
  <c r="O2647" i="30"/>
  <c r="O2648" i="30"/>
  <c r="O2649" i="30"/>
  <c r="O2650" i="30"/>
  <c r="O2651" i="30"/>
  <c r="O2652" i="30"/>
  <c r="O2653" i="30"/>
  <c r="O2654" i="30"/>
  <c r="O2655" i="30"/>
  <c r="O2656" i="30"/>
  <c r="O2657" i="30"/>
  <c r="O2658" i="30"/>
  <c r="O2659" i="30"/>
  <c r="O2660" i="30"/>
  <c r="O2661" i="30"/>
  <c r="O2662" i="30"/>
  <c r="O2663" i="30"/>
  <c r="O2664" i="30"/>
  <c r="O2665" i="30"/>
  <c r="O2666" i="30"/>
  <c r="O2667" i="30"/>
  <c r="O2668" i="30"/>
  <c r="O2669" i="30"/>
  <c r="O2670" i="30"/>
  <c r="O2671" i="30"/>
  <c r="O2672" i="30"/>
  <c r="O2673" i="30"/>
  <c r="O2674" i="30"/>
  <c r="O2675" i="30"/>
  <c r="O2676" i="30"/>
  <c r="O2677" i="30"/>
  <c r="O2678" i="30"/>
  <c r="O2679" i="30"/>
  <c r="O2680" i="30"/>
  <c r="O2681" i="30"/>
  <c r="O2682" i="30"/>
  <c r="O2683" i="30"/>
  <c r="O2684" i="30"/>
  <c r="O2685" i="30"/>
  <c r="O2686" i="30"/>
  <c r="O2687" i="30"/>
  <c r="O2688" i="30"/>
  <c r="O2689" i="30"/>
  <c r="O2690" i="30"/>
  <c r="O2691" i="30"/>
  <c r="O2692" i="30"/>
  <c r="O2693" i="30"/>
  <c r="O2694" i="30"/>
  <c r="O2695" i="30"/>
  <c r="O2696" i="30"/>
  <c r="O2697" i="30"/>
  <c r="O2698" i="30"/>
  <c r="O2699" i="30"/>
  <c r="O2700" i="30"/>
  <c r="O2701" i="30"/>
  <c r="O2702" i="30"/>
  <c r="O2703" i="30"/>
  <c r="O2704" i="30"/>
  <c r="O2705" i="30"/>
  <c r="O2706" i="30"/>
  <c r="O2707" i="30"/>
  <c r="O2708" i="30"/>
  <c r="O2709" i="30"/>
  <c r="O2712" i="30"/>
  <c r="O2713" i="30"/>
  <c r="O2714" i="30"/>
  <c r="O2715" i="30"/>
  <c r="O2716" i="30"/>
  <c r="O2717" i="30"/>
  <c r="O2718" i="30"/>
  <c r="O2719" i="30"/>
  <c r="O2720" i="30"/>
  <c r="O2722" i="30"/>
  <c r="O2723" i="30"/>
  <c r="O2726" i="30"/>
  <c r="O2727" i="30"/>
  <c r="O2728" i="30"/>
  <c r="O2729" i="30"/>
  <c r="O2730" i="30"/>
  <c r="O2731" i="30"/>
  <c r="O2732" i="30"/>
  <c r="O2733" i="30"/>
  <c r="O2736" i="30"/>
  <c r="O2737" i="30"/>
  <c r="O2738" i="30"/>
  <c r="O2739" i="30"/>
  <c r="O2740" i="30"/>
  <c r="O2741" i="30"/>
  <c r="O2742" i="30"/>
  <c r="O2745" i="30"/>
  <c r="O2746" i="30"/>
  <c r="O2747" i="30"/>
  <c r="O2750" i="30"/>
  <c r="O2751" i="30"/>
  <c r="O2752" i="30"/>
  <c r="O2753" i="30"/>
  <c r="O2756" i="30"/>
  <c r="O2757" i="30"/>
  <c r="O2758" i="30"/>
  <c r="O2761" i="30"/>
  <c r="O2762" i="30"/>
  <c r="O2763" i="30"/>
  <c r="O2764" i="30"/>
  <c r="O2765" i="30"/>
  <c r="O2766" i="30"/>
  <c r="O2767" i="30"/>
  <c r="O2769" i="30"/>
  <c r="O2770" i="30"/>
  <c r="O2773" i="30"/>
  <c r="O2774" i="30"/>
  <c r="O2775" i="30"/>
  <c r="O2776" i="30"/>
  <c r="O2777" i="30"/>
  <c r="O2778" i="30"/>
  <c r="O2779" i="30"/>
  <c r="O2780" i="30"/>
  <c r="O2781" i="30"/>
  <c r="O2784" i="30"/>
  <c r="O2787" i="30"/>
  <c r="O2788" i="30"/>
  <c r="O2789" i="30"/>
  <c r="O2790" i="30"/>
  <c r="O2793" i="30"/>
  <c r="O2794" i="30"/>
  <c r="O2797" i="30"/>
  <c r="O2798" i="30"/>
  <c r="O2799" i="30"/>
  <c r="O2800" i="30"/>
  <c r="O2801" i="30"/>
  <c r="O2802" i="30"/>
  <c r="O2803" i="30"/>
  <c r="O2804" i="30"/>
  <c r="O2805" i="30"/>
  <c r="O2808" i="30"/>
  <c r="O2809" i="30"/>
  <c r="O2810" i="30"/>
  <c r="O2811" i="30"/>
  <c r="O2814" i="30"/>
  <c r="O2815" i="30"/>
  <c r="O2816" i="30"/>
  <c r="O2817" i="30"/>
  <c r="O2818" i="30"/>
  <c r="O2819" i="30"/>
  <c r="O2822" i="30"/>
  <c r="O2823" i="30"/>
  <c r="O2824" i="30"/>
  <c r="O2825" i="30"/>
  <c r="O2826" i="30"/>
  <c r="O2827" i="30"/>
  <c r="O2830" i="30"/>
  <c r="O2831" i="30"/>
  <c r="O2832" i="30"/>
  <c r="O2833" i="30"/>
  <c r="O2834" i="30"/>
  <c r="O2835" i="30"/>
  <c r="O2836" i="30"/>
  <c r="O2837" i="30"/>
  <c r="O2840" i="30"/>
  <c r="O2841" i="30"/>
  <c r="O2842" i="30"/>
  <c r="O2845" i="30"/>
  <c r="O2846" i="30"/>
  <c r="O2847" i="30"/>
  <c r="O2848" i="30"/>
  <c r="O2851" i="30"/>
  <c r="O2852" i="30"/>
  <c r="O2853" i="30"/>
  <c r="O2856" i="30"/>
  <c r="O2857" i="30"/>
  <c r="O2858" i="30"/>
  <c r="O2859" i="30"/>
  <c r="O95" i="34"/>
  <c r="P95" i="34" s="1"/>
  <c r="O96" i="34"/>
  <c r="P96" i="34" s="1"/>
  <c r="O87" i="34" l="1"/>
  <c r="P87" i="34" s="1"/>
  <c r="O88" i="34"/>
  <c r="P88" i="34" s="1"/>
  <c r="O89" i="34"/>
  <c r="P89" i="34" s="1"/>
  <c r="O90" i="34"/>
  <c r="P90" i="34" s="1"/>
  <c r="O91" i="34"/>
  <c r="P91" i="34" s="1"/>
  <c r="O92" i="34"/>
  <c r="P92" i="34" s="1"/>
  <c r="O93" i="34"/>
  <c r="P93" i="34" s="1"/>
  <c r="O94" i="34"/>
  <c r="P94" i="34" s="1"/>
  <c r="D2236" i="30"/>
  <c r="D2237" i="30"/>
  <c r="D2238" i="30"/>
  <c r="D2239" i="30"/>
  <c r="D2240" i="30"/>
  <c r="D2241" i="30"/>
  <c r="D2242" i="30"/>
  <c r="D2243" i="30"/>
  <c r="D1293" i="30"/>
  <c r="D1294" i="30"/>
  <c r="D1295" i="30"/>
  <c r="D1296" i="30"/>
  <c r="D1297" i="30"/>
  <c r="D1298" i="30"/>
  <c r="D1299" i="30"/>
  <c r="D1300" i="30"/>
  <c r="D1301" i="30"/>
  <c r="D1302" i="30"/>
  <c r="D1279" i="30"/>
  <c r="D1022" i="30"/>
  <c r="D1023" i="30"/>
  <c r="D1024" i="30"/>
  <c r="D1025" i="30"/>
  <c r="D1026" i="30"/>
  <c r="D1027" i="30"/>
  <c r="D1028" i="30"/>
  <c r="D1029" i="30"/>
  <c r="D1030" i="30"/>
  <c r="D1031" i="30"/>
  <c r="D1032" i="30"/>
  <c r="D1033" i="30"/>
  <c r="D1034" i="30"/>
  <c r="D1035" i="30"/>
  <c r="D1036" i="30"/>
  <c r="D675" i="30"/>
  <c r="D676" i="30"/>
  <c r="D677" i="30"/>
  <c r="D678" i="30"/>
  <c r="D679" i="30"/>
  <c r="D680" i="30"/>
  <c r="D681" i="30"/>
  <c r="D682" i="30"/>
  <c r="D683" i="30"/>
  <c r="D684" i="30"/>
  <c r="D685" i="30"/>
  <c r="D686" i="30"/>
  <c r="D687" i="30"/>
  <c r="D688" i="30"/>
  <c r="D689" i="30"/>
  <c r="D690" i="30"/>
  <c r="D691" i="30"/>
  <c r="D692" i="30"/>
  <c r="D693" i="30"/>
  <c r="D694" i="30"/>
  <c r="D695" i="30"/>
  <c r="D696" i="30"/>
  <c r="D697" i="30"/>
  <c r="D698" i="30"/>
  <c r="D699" i="30"/>
  <c r="D700"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237" i="30"/>
  <c r="D238" i="30"/>
  <c r="D239" i="30"/>
  <c r="D240" i="30"/>
  <c r="D241" i="30"/>
  <c r="D242" i="30"/>
  <c r="G139" i="10"/>
  <c r="G138" i="10"/>
  <c r="G134" i="10"/>
  <c r="G133" i="10"/>
  <c r="G129" i="10"/>
  <c r="G128" i="10"/>
  <c r="G125" i="10"/>
  <c r="G124" i="10"/>
  <c r="G122" i="10"/>
  <c r="G121" i="10"/>
  <c r="G113" i="10"/>
  <c r="G112" i="10"/>
  <c r="G101" i="10"/>
  <c r="G100" i="10"/>
  <c r="G94" i="10"/>
  <c r="G93" i="10"/>
  <c r="G88" i="10"/>
  <c r="G87" i="10"/>
  <c r="G84" i="10"/>
  <c r="G83" i="10"/>
  <c r="G74" i="10"/>
  <c r="G73" i="10"/>
  <c r="G69" i="10"/>
  <c r="G68" i="10"/>
  <c r="G59" i="10"/>
  <c r="G58" i="10"/>
  <c r="G49" i="10"/>
  <c r="G48" i="10"/>
  <c r="G43" i="10"/>
  <c r="G42" i="10"/>
  <c r="G39" i="10"/>
  <c r="G30" i="10"/>
  <c r="G29" i="10"/>
  <c r="G24" i="10"/>
  <c r="G23" i="10"/>
  <c r="G19" i="10"/>
  <c r="G16" i="10"/>
  <c r="G14" i="10"/>
  <c r="G11" i="10"/>
  <c r="G10" i="10"/>
  <c r="G39" i="19"/>
  <c r="G38" i="19"/>
  <c r="G33" i="19"/>
  <c r="G30" i="19"/>
  <c r="G29" i="19"/>
  <c r="G26" i="19"/>
  <c r="G25" i="19"/>
  <c r="G20" i="19"/>
  <c r="G19" i="19"/>
  <c r="G15" i="19"/>
  <c r="G14" i="19"/>
  <c r="G11" i="19"/>
  <c r="G10" i="19"/>
  <c r="G7" i="19"/>
  <c r="G6" i="19"/>
  <c r="G236" i="22"/>
  <c r="G235" i="22"/>
  <c r="G232" i="22"/>
  <c r="G231" i="22"/>
  <c r="G228" i="22"/>
  <c r="G227" i="22"/>
  <c r="G224" i="22"/>
  <c r="G223" i="22"/>
  <c r="G218" i="22"/>
  <c r="G217" i="22"/>
  <c r="G214" i="22"/>
  <c r="G211" i="22"/>
  <c r="G208" i="22"/>
  <c r="G207" i="22"/>
  <c r="G202" i="22"/>
  <c r="G199" i="22"/>
  <c r="G196" i="22"/>
  <c r="G195" i="22"/>
  <c r="G192" i="22"/>
  <c r="G191" i="22"/>
  <c r="G184" i="22"/>
  <c r="G183" i="22"/>
  <c r="G180" i="22"/>
  <c r="G179" i="22"/>
  <c r="G176" i="22"/>
  <c r="G175" i="22"/>
  <c r="G170" i="22"/>
  <c r="G169" i="22"/>
  <c r="G163" i="22"/>
  <c r="G162" i="22"/>
  <c r="G159" i="22"/>
  <c r="G158" i="22"/>
  <c r="G155" i="22"/>
  <c r="G154" i="22"/>
  <c r="G143" i="22"/>
  <c r="G142" i="22"/>
  <c r="G139" i="22"/>
  <c r="G138" i="22"/>
  <c r="G131" i="22"/>
  <c r="G130" i="22"/>
  <c r="G127" i="22"/>
  <c r="G126" i="22"/>
  <c r="G123" i="22"/>
  <c r="G122" i="22"/>
  <c r="G117" i="22"/>
  <c r="G116" i="22"/>
  <c r="G110" i="22"/>
  <c r="G109" i="22"/>
  <c r="G106" i="22"/>
  <c r="G105" i="22"/>
  <c r="G102" i="22"/>
  <c r="G101" i="22"/>
  <c r="G90" i="22"/>
  <c r="G89" i="22"/>
  <c r="G83" i="22"/>
  <c r="G82" i="22"/>
  <c r="G70" i="22"/>
  <c r="G69" i="22"/>
  <c r="G66" i="22"/>
  <c r="G63" i="22"/>
  <c r="G62" i="22"/>
  <c r="G60" i="22"/>
  <c r="G59" i="22"/>
  <c r="G56" i="22"/>
  <c r="G55" i="22"/>
  <c r="G51" i="22"/>
  <c r="G49" i="22"/>
  <c r="G48" i="22"/>
  <c r="G45" i="22"/>
  <c r="G44" i="22"/>
  <c r="G38" i="22"/>
  <c r="G37" i="22"/>
  <c r="G34" i="22"/>
  <c r="G33" i="22"/>
  <c r="G30" i="22"/>
  <c r="G27" i="22"/>
  <c r="G26" i="22"/>
  <c r="G23" i="22"/>
  <c r="G22" i="22"/>
  <c r="G19" i="22"/>
  <c r="G18" i="22"/>
  <c r="G15" i="22"/>
  <c r="G14" i="22"/>
  <c r="G11" i="22"/>
  <c r="G10" i="22"/>
  <c r="G6" i="22"/>
  <c r="G5" i="22"/>
  <c r="G166" i="23"/>
  <c r="G165" i="23"/>
  <c r="G162" i="23"/>
  <c r="G152" i="23"/>
  <c r="G151" i="23"/>
  <c r="G148" i="23"/>
  <c r="G147" i="23"/>
  <c r="G144" i="23"/>
  <c r="G143" i="23"/>
  <c r="G136" i="23"/>
  <c r="G135" i="23"/>
  <c r="G130" i="23"/>
  <c r="G126" i="23"/>
  <c r="G125" i="23"/>
  <c r="G119" i="23"/>
  <c r="G118" i="23"/>
  <c r="G112" i="23"/>
  <c r="G111" i="23"/>
  <c r="G106" i="23"/>
  <c r="G103" i="23"/>
  <c r="G102" i="23"/>
  <c r="G97" i="23"/>
  <c r="G96" i="23"/>
  <c r="G87" i="23"/>
  <c r="G86" i="23"/>
  <c r="G80" i="23"/>
  <c r="G79" i="23"/>
  <c r="G76" i="23"/>
  <c r="G75" i="23"/>
  <c r="G72" i="23"/>
  <c r="G71" i="23"/>
  <c r="G68" i="23"/>
  <c r="G67" i="23"/>
  <c r="G54" i="23"/>
  <c r="G53" i="23"/>
  <c r="G50" i="23"/>
  <c r="G49" i="23"/>
  <c r="G43" i="23"/>
  <c r="G42" i="23"/>
  <c r="G36" i="23"/>
  <c r="G35" i="23"/>
  <c r="G32" i="23"/>
  <c r="G31" i="23"/>
  <c r="G28" i="23"/>
  <c r="G27" i="23"/>
  <c r="G24" i="23"/>
  <c r="G23" i="23"/>
  <c r="G15" i="23"/>
  <c r="G14" i="23"/>
  <c r="G12" i="23"/>
  <c r="G11" i="23"/>
  <c r="G6" i="23"/>
  <c r="G5" i="23"/>
  <c r="G358" i="24"/>
  <c r="G357" i="24"/>
  <c r="G352" i="24"/>
  <c r="G350" i="24"/>
  <c r="G348" i="24"/>
  <c r="G347" i="24"/>
  <c r="G344" i="24"/>
  <c r="G343" i="24"/>
  <c r="G339" i="24"/>
  <c r="G338" i="24"/>
  <c r="G334" i="24"/>
  <c r="G333" i="24"/>
  <c r="G330" i="24"/>
  <c r="G329" i="24"/>
  <c r="G326" i="24"/>
  <c r="G325" i="24"/>
  <c r="G320" i="24"/>
  <c r="G319" i="24"/>
  <c r="G315" i="24"/>
  <c r="G314" i="24"/>
  <c r="G309" i="24"/>
  <c r="G308" i="24"/>
  <c r="G305" i="24"/>
  <c r="G304" i="24"/>
  <c r="G301" i="24"/>
  <c r="G300" i="24"/>
  <c r="G297" i="24"/>
  <c r="G295" i="24"/>
  <c r="G293" i="24"/>
  <c r="G292" i="24"/>
  <c r="G283" i="24"/>
  <c r="G282" i="24"/>
  <c r="G278" i="24"/>
  <c r="G277" i="24"/>
  <c r="G272" i="24"/>
  <c r="G271" i="24"/>
  <c r="G268" i="24"/>
  <c r="G267" i="24"/>
  <c r="G264" i="24"/>
  <c r="G263" i="24"/>
  <c r="G260" i="24"/>
  <c r="G259" i="24"/>
  <c r="G254" i="24"/>
  <c r="G253" i="24"/>
  <c r="G241" i="24"/>
  <c r="G240" i="24"/>
  <c r="G233" i="24"/>
  <c r="G232" i="24"/>
  <c r="G229" i="24"/>
  <c r="G228" i="24"/>
  <c r="G226" i="24"/>
  <c r="G225" i="24"/>
  <c r="G223" i="24"/>
  <c r="G222" i="24"/>
  <c r="G220" i="24"/>
  <c r="G219" i="24"/>
  <c r="G216" i="24"/>
  <c r="G214" i="24"/>
  <c r="G212" i="24"/>
  <c r="G211" i="24"/>
  <c r="G207" i="24"/>
  <c r="G205" i="24"/>
  <c r="G199" i="24"/>
  <c r="G198" i="24"/>
  <c r="G195" i="24"/>
  <c r="G194" i="24"/>
  <c r="G192" i="24"/>
  <c r="G191" i="24"/>
  <c r="G185" i="24"/>
  <c r="G184" i="24"/>
  <c r="G181" i="24"/>
  <c r="G180" i="24"/>
  <c r="G177" i="24"/>
  <c r="G176" i="24"/>
  <c r="G173" i="24"/>
  <c r="G172" i="24"/>
  <c r="G169" i="24"/>
  <c r="G168" i="24"/>
  <c r="G161" i="24"/>
  <c r="G160" i="24"/>
  <c r="G157" i="24"/>
  <c r="G156" i="24"/>
  <c r="G151" i="24"/>
  <c r="G150" i="24"/>
  <c r="G147" i="24"/>
  <c r="G146" i="24"/>
  <c r="G141" i="24"/>
  <c r="G140" i="24"/>
  <c r="G137" i="24"/>
  <c r="G136" i="24"/>
  <c r="G133" i="24"/>
  <c r="G132" i="24"/>
  <c r="G128" i="24"/>
  <c r="G126" i="24"/>
  <c r="G124" i="24"/>
  <c r="G123" i="24"/>
  <c r="G113" i="24"/>
  <c r="G112" i="24"/>
  <c r="G110" i="24"/>
  <c r="G109" i="24"/>
  <c r="G107" i="24"/>
  <c r="G106" i="24"/>
  <c r="G104" i="24"/>
  <c r="G103" i="24"/>
  <c r="G101" i="24"/>
  <c r="G100" i="24"/>
  <c r="G97" i="24"/>
  <c r="G95" i="24"/>
  <c r="G86" i="24"/>
  <c r="G85" i="24"/>
  <c r="G82" i="24"/>
  <c r="G81" i="24"/>
  <c r="G78" i="24"/>
  <c r="G77" i="24"/>
  <c r="G74" i="24"/>
  <c r="G73" i="24"/>
  <c r="G62" i="24"/>
  <c r="G61" i="24"/>
  <c r="G55" i="24"/>
  <c r="G54" i="24"/>
  <c r="G45" i="24"/>
  <c r="G44" i="24"/>
  <c r="G41" i="24"/>
  <c r="G40" i="24"/>
  <c r="G37" i="24"/>
  <c r="G36" i="24"/>
  <c r="G33" i="24"/>
  <c r="G32" i="24"/>
  <c r="G29" i="24"/>
  <c r="G28" i="24"/>
  <c r="G25" i="24"/>
  <c r="G24" i="24"/>
  <c r="G21" i="24"/>
  <c r="G20" i="24"/>
  <c r="G15" i="24"/>
  <c r="G14" i="24"/>
  <c r="G12" i="24"/>
  <c r="G11" i="24"/>
  <c r="G7" i="24"/>
  <c r="G6" i="24"/>
  <c r="G309" i="26"/>
  <c r="G301" i="26"/>
  <c r="G299" i="26"/>
  <c r="G292" i="26"/>
  <c r="G291" i="26"/>
  <c r="G289" i="26"/>
  <c r="G288" i="26"/>
  <c r="G285" i="26"/>
  <c r="G284" i="26"/>
  <c r="G282" i="26"/>
  <c r="G281" i="26"/>
  <c r="G277" i="26"/>
  <c r="G276" i="26"/>
  <c r="G264" i="26"/>
  <c r="G263" i="26"/>
  <c r="G260" i="26"/>
  <c r="G259" i="26"/>
  <c r="G256" i="26"/>
  <c r="G255" i="26"/>
  <c r="G250" i="26"/>
  <c r="G249" i="26"/>
  <c r="G244" i="26"/>
  <c r="G232" i="26"/>
  <c r="G231" i="26"/>
  <c r="G229" i="26"/>
  <c r="G228" i="26"/>
  <c r="G225" i="26"/>
  <c r="G224" i="26"/>
  <c r="G219" i="26"/>
  <c r="G218" i="26"/>
  <c r="G213" i="26"/>
  <c r="G212" i="26"/>
  <c r="G200" i="26"/>
  <c r="G199" i="26"/>
  <c r="G196" i="26"/>
  <c r="G195" i="26"/>
  <c r="G192" i="26"/>
  <c r="G191" i="26"/>
  <c r="G186" i="26"/>
  <c r="G185" i="26"/>
  <c r="G182" i="26"/>
  <c r="G181" i="26"/>
  <c r="G172" i="26"/>
  <c r="G171" i="26"/>
  <c r="G168" i="26"/>
  <c r="G167" i="26"/>
  <c r="G164" i="26"/>
  <c r="G163" i="26"/>
  <c r="G158" i="26"/>
  <c r="G157" i="26"/>
  <c r="G154" i="26"/>
  <c r="G153" i="26"/>
  <c r="G147" i="26"/>
  <c r="G146" i="26"/>
  <c r="G118" i="26"/>
  <c r="G117" i="26"/>
  <c r="G110" i="26"/>
  <c r="G109" i="26"/>
  <c r="G106" i="26"/>
  <c r="G105" i="26"/>
  <c r="G90" i="26"/>
  <c r="G89" i="26"/>
  <c r="G79" i="26"/>
  <c r="G78" i="26"/>
  <c r="G68" i="26"/>
  <c r="G67" i="26"/>
  <c r="G63" i="26"/>
  <c r="G62" i="26"/>
  <c r="G56" i="26"/>
  <c r="G55" i="26"/>
  <c r="G44" i="26"/>
  <c r="G43" i="26"/>
  <c r="G40" i="26"/>
  <c r="G39" i="26"/>
  <c r="G36" i="26"/>
  <c r="G35" i="26"/>
  <c r="G30" i="26"/>
  <c r="G29" i="26"/>
  <c r="G26" i="26"/>
  <c r="G25" i="26"/>
  <c r="G22" i="26"/>
  <c r="G21" i="26"/>
  <c r="G16" i="26"/>
  <c r="G15" i="26"/>
  <c r="G12" i="26"/>
  <c r="G11" i="26"/>
  <c r="G9" i="26"/>
  <c r="G8" i="26"/>
  <c r="G171" i="28"/>
  <c r="G170" i="28"/>
  <c r="G166" i="28"/>
  <c r="G165" i="28"/>
  <c r="G160" i="28"/>
  <c r="G159" i="28"/>
  <c r="G152" i="28"/>
  <c r="G151" i="28"/>
  <c r="G140" i="28"/>
  <c r="G139" i="28"/>
  <c r="G132" i="28"/>
  <c r="G131" i="28"/>
  <c r="G122" i="28"/>
  <c r="G121" i="28"/>
  <c r="G116" i="28"/>
  <c r="G115" i="28"/>
  <c r="G105" i="28"/>
  <c r="G104" i="28"/>
  <c r="G101" i="28"/>
  <c r="G100" i="28"/>
  <c r="G95" i="28"/>
  <c r="G94" i="28"/>
  <c r="G92" i="28"/>
  <c r="G91" i="28"/>
  <c r="G77" i="28"/>
  <c r="G76" i="28"/>
  <c r="G63" i="28"/>
  <c r="G62" i="28"/>
  <c r="G58" i="28"/>
  <c r="G57" i="28"/>
  <c r="G52" i="28"/>
  <c r="G51" i="28"/>
  <c r="G45" i="28"/>
  <c r="G44" i="28"/>
  <c r="G36" i="28"/>
  <c r="G35" i="28"/>
  <c r="G24" i="28"/>
  <c r="G23" i="28"/>
  <c r="G7" i="28"/>
  <c r="G6" i="28"/>
  <c r="G73" i="28"/>
  <c r="G20" i="28"/>
  <c r="G310" i="26"/>
  <c r="G306" i="26"/>
  <c r="G273" i="26"/>
  <c r="G241" i="26"/>
  <c r="G209" i="26"/>
  <c r="G149" i="26"/>
  <c r="G148" i="26"/>
  <c r="G143" i="26"/>
  <c r="G138" i="26"/>
  <c r="G137" i="26"/>
  <c r="G136" i="26"/>
  <c r="G128" i="26"/>
  <c r="G127" i="26"/>
  <c r="G114" i="26"/>
  <c r="G102" i="26"/>
  <c r="G86" i="26"/>
  <c r="G74" i="26"/>
  <c r="G60" i="26"/>
  <c r="G52" i="26"/>
  <c r="G51" i="26"/>
  <c r="G50" i="26"/>
  <c r="G49" i="26"/>
  <c r="G46" i="26"/>
  <c r="G45" i="26"/>
  <c r="G4" i="26"/>
  <c r="G233" i="25"/>
  <c r="G237" i="24"/>
  <c r="G165" i="24"/>
  <c r="G90" i="24"/>
  <c r="G89" i="24"/>
  <c r="G87" i="24"/>
  <c r="G70" i="24"/>
  <c r="G66" i="24"/>
  <c r="G65" i="24"/>
  <c r="G51" i="24"/>
  <c r="G46" i="24"/>
  <c r="G3" i="24"/>
  <c r="G158" i="23"/>
  <c r="G122" i="23"/>
  <c r="G91" i="23"/>
  <c r="G150" i="22"/>
  <c r="G97" i="22"/>
  <c r="G41" i="20"/>
  <c r="G11" i="20"/>
  <c r="G155" i="10"/>
  <c r="G117" i="10"/>
  <c r="G109" i="10"/>
  <c r="G6" i="10"/>
  <c r="G70" i="6"/>
  <c r="G38" i="6"/>
  <c r="G160" i="5"/>
  <c r="J160" i="5" s="1"/>
  <c r="G103" i="5"/>
  <c r="G66" i="5"/>
  <c r="G36" i="5"/>
  <c r="G6" i="5"/>
  <c r="G159" i="4"/>
  <c r="G128" i="4"/>
  <c r="G100" i="4"/>
  <c r="G66" i="4"/>
  <c r="G26" i="4"/>
  <c r="G3" i="4"/>
  <c r="G334" i="3"/>
  <c r="G320" i="3"/>
  <c r="G226" i="3"/>
  <c r="AB226" i="3" s="1"/>
  <c r="G186" i="3"/>
  <c r="P186" i="3" s="1"/>
  <c r="G156" i="3"/>
  <c r="G108" i="3"/>
  <c r="M108" i="3" s="1"/>
  <c r="G85" i="3"/>
  <c r="AB85" i="3" s="1"/>
  <c r="G59" i="3"/>
  <c r="G42" i="3"/>
  <c r="G6" i="3"/>
  <c r="G158" i="5"/>
  <c r="G157" i="5"/>
  <c r="G151" i="5"/>
  <c r="J151" i="5" s="1"/>
  <c r="G150" i="5"/>
  <c r="G147" i="5"/>
  <c r="J147" i="5" s="1"/>
  <c r="G146" i="5"/>
  <c r="G143" i="5"/>
  <c r="G142" i="5"/>
  <c r="G139" i="5"/>
  <c r="G138" i="5"/>
  <c r="G130" i="5"/>
  <c r="G129" i="5"/>
  <c r="G124" i="5"/>
  <c r="G123" i="5"/>
  <c r="G119" i="5"/>
  <c r="G118" i="5"/>
  <c r="G114" i="5"/>
  <c r="G113" i="5"/>
  <c r="AB113" i="5" s="1"/>
  <c r="G110" i="5"/>
  <c r="G97" i="5"/>
  <c r="G96" i="5"/>
  <c r="Y96" i="5" s="1"/>
  <c r="Y99" i="5" s="1"/>
  <c r="Y100" i="5" s="1"/>
  <c r="G87" i="5"/>
  <c r="P87" i="5" s="1"/>
  <c r="G86" i="5"/>
  <c r="G83" i="5"/>
  <c r="J83" i="5" s="1"/>
  <c r="AF83" i="5" s="1"/>
  <c r="AG83" i="5" s="1"/>
  <c r="G82" i="5"/>
  <c r="AB82" i="5" s="1"/>
  <c r="G78" i="5"/>
  <c r="J78" i="5" s="1"/>
  <c r="AF78" i="5" s="1"/>
  <c r="AG78" i="5" s="1"/>
  <c r="G77" i="5"/>
  <c r="G74" i="5"/>
  <c r="G73" i="5"/>
  <c r="V73" i="5" s="1"/>
  <c r="G58" i="5"/>
  <c r="J58" i="5" s="1"/>
  <c r="AF58" i="5" s="1"/>
  <c r="AG58" i="5" s="1"/>
  <c r="G57" i="5"/>
  <c r="V57" i="5" s="1"/>
  <c r="G56" i="5"/>
  <c r="P56" i="5" s="1"/>
  <c r="G55" i="5"/>
  <c r="G52" i="5"/>
  <c r="AB52" i="5" s="1"/>
  <c r="G48" i="5"/>
  <c r="G47" i="5"/>
  <c r="AE47" i="5" s="1"/>
  <c r="G44" i="5"/>
  <c r="J44" i="5" s="1"/>
  <c r="AF44" i="5" s="1"/>
  <c r="AG44" i="5" s="1"/>
  <c r="G43" i="5"/>
  <c r="G27" i="5"/>
  <c r="V27" i="5" s="1"/>
  <c r="G26" i="5"/>
  <c r="G23" i="5"/>
  <c r="J23" i="5" s="1"/>
  <c r="G22" i="5"/>
  <c r="S22" i="5" s="1"/>
  <c r="G18" i="5"/>
  <c r="G17" i="5"/>
  <c r="J17" i="5" s="1"/>
  <c r="G14" i="5"/>
  <c r="J14" i="5" s="1"/>
  <c r="G13" i="5"/>
  <c r="J162" i="5"/>
  <c r="J161" i="5"/>
  <c r="J159" i="5"/>
  <c r="H158" i="5"/>
  <c r="H157" i="5"/>
  <c r="J156" i="5"/>
  <c r="J155" i="5"/>
  <c r="J154" i="5"/>
  <c r="H150" i="5"/>
  <c r="J149" i="5"/>
  <c r="J148" i="5"/>
  <c r="H147" i="5"/>
  <c r="H146" i="5"/>
  <c r="J145" i="5"/>
  <c r="J144" i="5"/>
  <c r="H143" i="5"/>
  <c r="H142" i="5"/>
  <c r="J141" i="5"/>
  <c r="J140" i="5"/>
  <c r="H139" i="5"/>
  <c r="H138" i="5"/>
  <c r="J138" i="5" s="1"/>
  <c r="J137" i="5"/>
  <c r="J136" i="5"/>
  <c r="J135" i="5"/>
  <c r="AE132" i="5"/>
  <c r="AB132" i="5"/>
  <c r="Y132" i="5"/>
  <c r="V132" i="5"/>
  <c r="S132" i="5"/>
  <c r="P132" i="5"/>
  <c r="M132" i="5"/>
  <c r="J132" i="5"/>
  <c r="AE131" i="5"/>
  <c r="AB131" i="5"/>
  <c r="Y131" i="5"/>
  <c r="V131" i="5"/>
  <c r="S131" i="5"/>
  <c r="P131" i="5"/>
  <c r="M131" i="5"/>
  <c r="J131" i="5"/>
  <c r="AC130" i="5"/>
  <c r="Z130" i="5"/>
  <c r="W130" i="5"/>
  <c r="T130" i="5"/>
  <c r="Q130" i="5"/>
  <c r="N130" i="5"/>
  <c r="K130" i="5"/>
  <c r="H130" i="5"/>
  <c r="J130" i="5" s="1"/>
  <c r="AF130" i="5" s="1"/>
  <c r="AG130" i="5" s="1"/>
  <c r="AC129" i="5"/>
  <c r="Z129" i="5"/>
  <c r="W129" i="5"/>
  <c r="T129" i="5"/>
  <c r="Q129" i="5"/>
  <c r="N129" i="5"/>
  <c r="K129" i="5"/>
  <c r="H129" i="5"/>
  <c r="AE129" i="5"/>
  <c r="AE128" i="5"/>
  <c r="AB128" i="5"/>
  <c r="Y128" i="5"/>
  <c r="V128" i="5"/>
  <c r="S128" i="5"/>
  <c r="P128" i="5"/>
  <c r="M128" i="5"/>
  <c r="J128" i="5"/>
  <c r="AE127" i="5"/>
  <c r="AB127" i="5"/>
  <c r="Y127" i="5"/>
  <c r="V127" i="5"/>
  <c r="S127" i="5"/>
  <c r="P127" i="5"/>
  <c r="M127" i="5"/>
  <c r="J127" i="5"/>
  <c r="AE126" i="5"/>
  <c r="AB126" i="5"/>
  <c r="Y126" i="5"/>
  <c r="V126" i="5"/>
  <c r="S126" i="5"/>
  <c r="P126" i="5"/>
  <c r="M126" i="5"/>
  <c r="J126" i="5"/>
  <c r="AE125" i="5"/>
  <c r="AB125" i="5"/>
  <c r="Y125" i="5"/>
  <c r="V125" i="5"/>
  <c r="S125" i="5"/>
  <c r="P125" i="5"/>
  <c r="M125" i="5"/>
  <c r="J125" i="5"/>
  <c r="AF124" i="5"/>
  <c r="AG124" i="5" s="1"/>
  <c r="AC123" i="5"/>
  <c r="Z123" i="5"/>
  <c r="AB123" i="5" s="1"/>
  <c r="W123" i="5"/>
  <c r="T123" i="5"/>
  <c r="Q123" i="5"/>
  <c r="N123" i="5"/>
  <c r="P123" i="5" s="1"/>
  <c r="K123" i="5"/>
  <c r="H123" i="5"/>
  <c r="AE122" i="5"/>
  <c r="AB122" i="5"/>
  <c r="Y122" i="5"/>
  <c r="V122" i="5"/>
  <c r="S122" i="5"/>
  <c r="P122" i="5"/>
  <c r="M122" i="5"/>
  <c r="J122" i="5"/>
  <c r="AE121" i="5"/>
  <c r="AB121" i="5"/>
  <c r="Y121" i="5"/>
  <c r="V121" i="5"/>
  <c r="S121" i="5"/>
  <c r="P121" i="5"/>
  <c r="M121" i="5"/>
  <c r="J121" i="5"/>
  <c r="AE120" i="5"/>
  <c r="AB120" i="5"/>
  <c r="Y120" i="5"/>
  <c r="V120" i="5"/>
  <c r="S120" i="5"/>
  <c r="P120" i="5"/>
  <c r="M120" i="5"/>
  <c r="J120" i="5"/>
  <c r="AC119" i="5"/>
  <c r="Z119" i="5"/>
  <c r="W119" i="5"/>
  <c r="T119" i="5"/>
  <c r="Q119" i="5"/>
  <c r="N119" i="5"/>
  <c r="K119" i="5"/>
  <c r="H119" i="5"/>
  <c r="AC118" i="5"/>
  <c r="Z118" i="5"/>
  <c r="W118" i="5"/>
  <c r="T118" i="5"/>
  <c r="Q118" i="5"/>
  <c r="N118" i="5"/>
  <c r="K118" i="5"/>
  <c r="H118" i="5"/>
  <c r="AE117" i="5"/>
  <c r="AB117" i="5"/>
  <c r="Y117" i="5"/>
  <c r="V117" i="5"/>
  <c r="S117" i="5"/>
  <c r="P117" i="5"/>
  <c r="M117" i="5"/>
  <c r="J117" i="5"/>
  <c r="AE116" i="5"/>
  <c r="AB116" i="5"/>
  <c r="Y116" i="5"/>
  <c r="V116" i="5"/>
  <c r="S116" i="5"/>
  <c r="P116" i="5"/>
  <c r="M116" i="5"/>
  <c r="J116" i="5"/>
  <c r="AE115" i="5"/>
  <c r="AB115" i="5"/>
  <c r="Y115" i="5"/>
  <c r="V115" i="5"/>
  <c r="S115" i="5"/>
  <c r="P115" i="5"/>
  <c r="M115" i="5"/>
  <c r="J115" i="5"/>
  <c r="AC114" i="5"/>
  <c r="Z114" i="5"/>
  <c r="W114" i="5"/>
  <c r="T114" i="5"/>
  <c r="Q114" i="5"/>
  <c r="N114" i="5"/>
  <c r="K114" i="5"/>
  <c r="H114" i="5"/>
  <c r="AC113" i="5"/>
  <c r="Z113" i="5"/>
  <c r="W113" i="5"/>
  <c r="T113" i="5"/>
  <c r="Q113" i="5"/>
  <c r="N113" i="5"/>
  <c r="K113" i="5"/>
  <c r="H113" i="5"/>
  <c r="AE112" i="5"/>
  <c r="AB112" i="5"/>
  <c r="Y112" i="5"/>
  <c r="V112" i="5"/>
  <c r="S112" i="5"/>
  <c r="P112" i="5"/>
  <c r="M112" i="5"/>
  <c r="J112" i="5"/>
  <c r="AE111" i="5"/>
  <c r="AB111" i="5"/>
  <c r="Y111" i="5"/>
  <c r="V111" i="5"/>
  <c r="S111" i="5"/>
  <c r="P111" i="5"/>
  <c r="M111" i="5"/>
  <c r="J111" i="5"/>
  <c r="AB110" i="5"/>
  <c r="Y110" i="5"/>
  <c r="V110" i="5"/>
  <c r="S110" i="5"/>
  <c r="P110" i="5"/>
  <c r="M110" i="5"/>
  <c r="J110" i="5"/>
  <c r="AE110" i="5"/>
  <c r="AE109" i="5"/>
  <c r="AB109" i="5"/>
  <c r="Y109" i="5"/>
  <c r="V109" i="5"/>
  <c r="S109" i="5"/>
  <c r="P109" i="5"/>
  <c r="M109" i="5"/>
  <c r="J109" i="5"/>
  <c r="AE108" i="5"/>
  <c r="AB108" i="5"/>
  <c r="Y108" i="5"/>
  <c r="V108" i="5"/>
  <c r="S108" i="5"/>
  <c r="P108" i="5"/>
  <c r="M108" i="5"/>
  <c r="J108" i="5"/>
  <c r="AE107" i="5"/>
  <c r="AB107" i="5"/>
  <c r="Y107" i="5"/>
  <c r="V107" i="5"/>
  <c r="S107" i="5"/>
  <c r="P107" i="5"/>
  <c r="M107" i="5"/>
  <c r="J107" i="5"/>
  <c r="AE106" i="5"/>
  <c r="AB106" i="5"/>
  <c r="Y106" i="5"/>
  <c r="V106" i="5"/>
  <c r="S106" i="5"/>
  <c r="P106" i="5"/>
  <c r="M106" i="5"/>
  <c r="J106" i="5"/>
  <c r="AE105" i="5"/>
  <c r="AB105" i="5"/>
  <c r="Y105" i="5"/>
  <c r="V105" i="5"/>
  <c r="S105" i="5"/>
  <c r="P105" i="5"/>
  <c r="M105" i="5"/>
  <c r="J105" i="5"/>
  <c r="AE104" i="5"/>
  <c r="AB104" i="5"/>
  <c r="Y104" i="5"/>
  <c r="V104" i="5"/>
  <c r="S104" i="5"/>
  <c r="P104" i="5"/>
  <c r="M104" i="5"/>
  <c r="J104" i="5"/>
  <c r="AE102" i="5"/>
  <c r="AB102" i="5"/>
  <c r="Y102" i="5"/>
  <c r="V102" i="5"/>
  <c r="S102" i="5"/>
  <c r="P102" i="5"/>
  <c r="M102" i="5"/>
  <c r="J102" i="5"/>
  <c r="AE101" i="5"/>
  <c r="AB101" i="5"/>
  <c r="Y101" i="5"/>
  <c r="V101" i="5"/>
  <c r="S101" i="5"/>
  <c r="P101" i="5"/>
  <c r="M101" i="5"/>
  <c r="J101" i="5"/>
  <c r="AE98" i="5"/>
  <c r="AB98" i="5"/>
  <c r="Y98" i="5"/>
  <c r="V98" i="5"/>
  <c r="S98" i="5"/>
  <c r="P98" i="5"/>
  <c r="M98" i="5"/>
  <c r="J98" i="5"/>
  <c r="AC97" i="5"/>
  <c r="Z97" i="5"/>
  <c r="W97" i="5"/>
  <c r="T97" i="5"/>
  <c r="Q97" i="5"/>
  <c r="N97" i="5"/>
  <c r="K97" i="5"/>
  <c r="H97" i="5"/>
  <c r="J97" i="5" s="1"/>
  <c r="AF97" i="5" s="1"/>
  <c r="AG97" i="5" s="1"/>
  <c r="AC96" i="5"/>
  <c r="Z96" i="5"/>
  <c r="W96" i="5"/>
  <c r="T96" i="5"/>
  <c r="Q96" i="5"/>
  <c r="N96" i="5"/>
  <c r="K96" i="5"/>
  <c r="H96" i="5"/>
  <c r="AE95" i="5"/>
  <c r="AB95" i="5"/>
  <c r="Y95" i="5"/>
  <c r="V95" i="5"/>
  <c r="S95" i="5"/>
  <c r="P95" i="5"/>
  <c r="M95" i="5"/>
  <c r="J95" i="5"/>
  <c r="AE94" i="5"/>
  <c r="AB94" i="5"/>
  <c r="Y94" i="5"/>
  <c r="V94" i="5"/>
  <c r="S94" i="5"/>
  <c r="P94" i="5"/>
  <c r="M94" i="5"/>
  <c r="J94" i="5"/>
  <c r="AE91" i="5"/>
  <c r="AB91" i="5"/>
  <c r="Y91" i="5"/>
  <c r="V91" i="5"/>
  <c r="S91" i="5"/>
  <c r="P91" i="5"/>
  <c r="M91" i="5"/>
  <c r="J91" i="5"/>
  <c r="AE90" i="5"/>
  <c r="AB90" i="5"/>
  <c r="Y90" i="5"/>
  <c r="V90" i="5"/>
  <c r="S90" i="5"/>
  <c r="P90" i="5"/>
  <c r="M90" i="5"/>
  <c r="J90" i="5"/>
  <c r="AE89" i="5"/>
  <c r="AB89" i="5"/>
  <c r="Y89" i="5"/>
  <c r="V89" i="5"/>
  <c r="S89" i="5"/>
  <c r="P89" i="5"/>
  <c r="M89" i="5"/>
  <c r="J89" i="5"/>
  <c r="AE88" i="5"/>
  <c r="AB88" i="5"/>
  <c r="Y88" i="5"/>
  <c r="V88" i="5"/>
  <c r="S88" i="5"/>
  <c r="P88" i="5"/>
  <c r="M88" i="5"/>
  <c r="J88" i="5"/>
  <c r="AC87" i="5"/>
  <c r="AB87" i="5"/>
  <c r="T87" i="5"/>
  <c r="S87" i="5"/>
  <c r="K87" i="5"/>
  <c r="M87" i="5" s="1"/>
  <c r="AC86" i="5"/>
  <c r="AB86" i="5"/>
  <c r="T86" i="5"/>
  <c r="K86" i="5"/>
  <c r="AE85" i="5"/>
  <c r="AB85" i="5"/>
  <c r="Y85" i="5"/>
  <c r="V85" i="5"/>
  <c r="S85" i="5"/>
  <c r="P85" i="5"/>
  <c r="M85" i="5"/>
  <c r="J85" i="5"/>
  <c r="AE84" i="5"/>
  <c r="AB84" i="5"/>
  <c r="Y84" i="5"/>
  <c r="V84" i="5"/>
  <c r="S84" i="5"/>
  <c r="P84" i="5"/>
  <c r="M84" i="5"/>
  <c r="J84" i="5"/>
  <c r="AC83" i="5"/>
  <c r="T83" i="5"/>
  <c r="K83" i="5"/>
  <c r="AC82" i="5"/>
  <c r="AE82" i="5" s="1"/>
  <c r="T82" i="5"/>
  <c r="P82" i="5"/>
  <c r="K82" i="5"/>
  <c r="Y82" i="5"/>
  <c r="AE81" i="5"/>
  <c r="AB81" i="5"/>
  <c r="Y81" i="5"/>
  <c r="V81" i="5"/>
  <c r="S81" i="5"/>
  <c r="P81" i="5"/>
  <c r="M81" i="5"/>
  <c r="J81" i="5"/>
  <c r="AE80" i="5"/>
  <c r="AB80" i="5"/>
  <c r="Y80" i="5"/>
  <c r="V80" i="5"/>
  <c r="S80" i="5"/>
  <c r="P80" i="5"/>
  <c r="M80" i="5"/>
  <c r="J80" i="5"/>
  <c r="AE79" i="5"/>
  <c r="AB79" i="5"/>
  <c r="Y79" i="5"/>
  <c r="V79" i="5"/>
  <c r="S79" i="5"/>
  <c r="P79" i="5"/>
  <c r="M79" i="5"/>
  <c r="J79" i="5"/>
  <c r="AC78" i="5"/>
  <c r="T78" i="5"/>
  <c r="K78" i="5"/>
  <c r="AC77" i="5"/>
  <c r="AE77" i="5" s="1"/>
  <c r="T77" i="5"/>
  <c r="V77" i="5" s="1"/>
  <c r="S77" i="5"/>
  <c r="P77" i="5"/>
  <c r="K77" i="5"/>
  <c r="M77" i="5" s="1"/>
  <c r="AB77" i="5"/>
  <c r="AE76" i="5"/>
  <c r="AB76" i="5"/>
  <c r="Y76" i="5"/>
  <c r="V76" i="5"/>
  <c r="S76" i="5"/>
  <c r="P76" i="5"/>
  <c r="M76" i="5"/>
  <c r="J76" i="5"/>
  <c r="AE75" i="5"/>
  <c r="AB75" i="5"/>
  <c r="Y75" i="5"/>
  <c r="V75" i="5"/>
  <c r="S75" i="5"/>
  <c r="P75" i="5"/>
  <c r="M75" i="5"/>
  <c r="J75" i="5"/>
  <c r="AC74" i="5"/>
  <c r="T74" i="5"/>
  <c r="K74" i="5"/>
  <c r="J74" i="5"/>
  <c r="AF74" i="5" s="1"/>
  <c r="AG74" i="5" s="1"/>
  <c r="AC73" i="5"/>
  <c r="T73" i="5"/>
  <c r="K73" i="5"/>
  <c r="AE72" i="5"/>
  <c r="AB72" i="5"/>
  <c r="Y72" i="5"/>
  <c r="V72" i="5"/>
  <c r="S72" i="5"/>
  <c r="P72" i="5"/>
  <c r="M72" i="5"/>
  <c r="J72" i="5"/>
  <c r="AE71" i="5"/>
  <c r="AB71" i="5"/>
  <c r="Y71" i="5"/>
  <c r="V71" i="5"/>
  <c r="S71" i="5"/>
  <c r="P71" i="5"/>
  <c r="M71" i="5"/>
  <c r="J71" i="5"/>
  <c r="AE70" i="5"/>
  <c r="AB70" i="5"/>
  <c r="Y70" i="5"/>
  <c r="V70" i="5"/>
  <c r="S70" i="5"/>
  <c r="P70" i="5"/>
  <c r="M70" i="5"/>
  <c r="J70" i="5"/>
  <c r="AE69" i="5"/>
  <c r="AB69" i="5"/>
  <c r="Y69" i="5"/>
  <c r="V69" i="5"/>
  <c r="S69" i="5"/>
  <c r="P69" i="5"/>
  <c r="M69" i="5"/>
  <c r="J69" i="5"/>
  <c r="AE68" i="5"/>
  <c r="AB68" i="5"/>
  <c r="Y68" i="5"/>
  <c r="V68" i="5"/>
  <c r="S68" i="5"/>
  <c r="P68" i="5"/>
  <c r="M68" i="5"/>
  <c r="J68" i="5"/>
  <c r="AE67" i="5"/>
  <c r="AB67" i="5"/>
  <c r="Y67" i="5"/>
  <c r="V67" i="5"/>
  <c r="S67" i="5"/>
  <c r="P67" i="5"/>
  <c r="M67" i="5"/>
  <c r="J67" i="5"/>
  <c r="AB66" i="5"/>
  <c r="Y66" i="5"/>
  <c r="V66" i="5"/>
  <c r="S66" i="5"/>
  <c r="P66" i="5"/>
  <c r="J66" i="5"/>
  <c r="M66" i="5"/>
  <c r="AE65" i="5"/>
  <c r="AB65" i="5"/>
  <c r="Y65" i="5"/>
  <c r="V65" i="5"/>
  <c r="S65" i="5"/>
  <c r="P65" i="5"/>
  <c r="M65" i="5"/>
  <c r="J65" i="5"/>
  <c r="AE64" i="5"/>
  <c r="AB64" i="5"/>
  <c r="Y64" i="5"/>
  <c r="V64" i="5"/>
  <c r="S64" i="5"/>
  <c r="P64" i="5"/>
  <c r="M64" i="5"/>
  <c r="J64" i="5"/>
  <c r="AE63" i="5"/>
  <c r="AB63" i="5"/>
  <c r="Y63" i="5"/>
  <c r="V63" i="5"/>
  <c r="S63" i="5"/>
  <c r="P63" i="5"/>
  <c r="M63" i="5"/>
  <c r="J63" i="5"/>
  <c r="AE62" i="5"/>
  <c r="AB62" i="5"/>
  <c r="Y62" i="5"/>
  <c r="V62" i="5"/>
  <c r="S62" i="5"/>
  <c r="P62" i="5"/>
  <c r="M62" i="5"/>
  <c r="J62" i="5"/>
  <c r="AE61" i="5"/>
  <c r="AB61" i="5"/>
  <c r="Y61" i="5"/>
  <c r="V61" i="5"/>
  <c r="S61" i="5"/>
  <c r="P61" i="5"/>
  <c r="M61" i="5"/>
  <c r="J61" i="5"/>
  <c r="AE60" i="5"/>
  <c r="AB60" i="5"/>
  <c r="Y60" i="5"/>
  <c r="V60" i="5"/>
  <c r="S60" i="5"/>
  <c r="P60" i="5"/>
  <c r="M60" i="5"/>
  <c r="J60" i="5"/>
  <c r="AE59" i="5"/>
  <c r="AB59" i="5"/>
  <c r="Y59" i="5"/>
  <c r="V59" i="5"/>
  <c r="S59" i="5"/>
  <c r="P59" i="5"/>
  <c r="M59" i="5"/>
  <c r="J59" i="5"/>
  <c r="W58" i="5"/>
  <c r="K58" i="5"/>
  <c r="W57" i="5"/>
  <c r="K57" i="5"/>
  <c r="AE56" i="5"/>
  <c r="W55" i="5"/>
  <c r="K55" i="5"/>
  <c r="AE54" i="5"/>
  <c r="AB54" i="5"/>
  <c r="Y54" i="5"/>
  <c r="V54" i="5"/>
  <c r="S54" i="5"/>
  <c r="P54" i="5"/>
  <c r="M54" i="5"/>
  <c r="J54" i="5"/>
  <c r="AE53" i="5"/>
  <c r="AB53" i="5"/>
  <c r="Y53" i="5"/>
  <c r="V53" i="5"/>
  <c r="S53" i="5"/>
  <c r="P53" i="5"/>
  <c r="M53" i="5"/>
  <c r="J53" i="5"/>
  <c r="W52" i="5"/>
  <c r="K52" i="5"/>
  <c r="J52" i="5"/>
  <c r="AE51" i="5"/>
  <c r="AB51" i="5"/>
  <c r="Y51" i="5"/>
  <c r="V51" i="5"/>
  <c r="S51" i="5"/>
  <c r="P51" i="5"/>
  <c r="M51" i="5"/>
  <c r="J51" i="5"/>
  <c r="AE50" i="5"/>
  <c r="AB50" i="5"/>
  <c r="Y50" i="5"/>
  <c r="V50" i="5"/>
  <c r="S50" i="5"/>
  <c r="P50" i="5"/>
  <c r="M50" i="5"/>
  <c r="J50" i="5"/>
  <c r="AE49" i="5"/>
  <c r="AB49" i="5"/>
  <c r="Y49" i="5"/>
  <c r="V49" i="5"/>
  <c r="S49" i="5"/>
  <c r="P49" i="5"/>
  <c r="M49" i="5"/>
  <c r="J49" i="5"/>
  <c r="W48" i="5"/>
  <c r="K48" i="5"/>
  <c r="J48" i="5"/>
  <c r="AF48" i="5" s="1"/>
  <c r="AG48" i="5" s="1"/>
  <c r="W47" i="5"/>
  <c r="K47" i="5"/>
  <c r="Y47" i="5"/>
  <c r="AE46" i="5"/>
  <c r="AB46" i="5"/>
  <c r="Y46" i="5"/>
  <c r="V46" i="5"/>
  <c r="S46" i="5"/>
  <c r="P46" i="5"/>
  <c r="M46" i="5"/>
  <c r="J46" i="5"/>
  <c r="AE45" i="5"/>
  <c r="AB45" i="5"/>
  <c r="Y45" i="5"/>
  <c r="V45" i="5"/>
  <c r="S45" i="5"/>
  <c r="P45" i="5"/>
  <c r="M45" i="5"/>
  <c r="J45" i="5"/>
  <c r="W44" i="5"/>
  <c r="K44" i="5"/>
  <c r="AB43" i="5"/>
  <c r="W43" i="5"/>
  <c r="K43" i="5"/>
  <c r="J43" i="5"/>
  <c r="Y43" i="5"/>
  <c r="AE42" i="5"/>
  <c r="AB42" i="5"/>
  <c r="Y42" i="5"/>
  <c r="V42" i="5"/>
  <c r="S42" i="5"/>
  <c r="P42" i="5"/>
  <c r="M42" i="5"/>
  <c r="J42" i="5"/>
  <c r="AE41" i="5"/>
  <c r="AB41" i="5"/>
  <c r="Y41" i="5"/>
  <c r="V41" i="5"/>
  <c r="S41" i="5"/>
  <c r="P41" i="5"/>
  <c r="M41" i="5"/>
  <c r="J41" i="5"/>
  <c r="AE40" i="5"/>
  <c r="AB40" i="5"/>
  <c r="Y40" i="5"/>
  <c r="V40" i="5"/>
  <c r="S40" i="5"/>
  <c r="P40" i="5"/>
  <c r="M40" i="5"/>
  <c r="J40" i="5"/>
  <c r="AE39" i="5"/>
  <c r="AB39" i="5"/>
  <c r="Y39" i="5"/>
  <c r="V39" i="5"/>
  <c r="S39" i="5"/>
  <c r="P39" i="5"/>
  <c r="M39" i="5"/>
  <c r="J39" i="5"/>
  <c r="AE38" i="5"/>
  <c r="AB38" i="5"/>
  <c r="Y38" i="5"/>
  <c r="V38" i="5"/>
  <c r="S38" i="5"/>
  <c r="P38" i="5"/>
  <c r="M38" i="5"/>
  <c r="J38" i="5"/>
  <c r="AE37" i="5"/>
  <c r="AB37" i="5"/>
  <c r="Y37" i="5"/>
  <c r="V37" i="5"/>
  <c r="S37" i="5"/>
  <c r="P37" i="5"/>
  <c r="M37" i="5"/>
  <c r="J37" i="5"/>
  <c r="AB36" i="5"/>
  <c r="AE35" i="5"/>
  <c r="AB35" i="5"/>
  <c r="Y35" i="5"/>
  <c r="V35" i="5"/>
  <c r="S35" i="5"/>
  <c r="P35" i="5"/>
  <c r="M35" i="5"/>
  <c r="J35" i="5"/>
  <c r="AE34" i="5"/>
  <c r="AB34" i="5"/>
  <c r="Y34" i="5"/>
  <c r="V34" i="5"/>
  <c r="S34" i="5"/>
  <c r="P34" i="5"/>
  <c r="M34" i="5"/>
  <c r="J34" i="5"/>
  <c r="AE33" i="5"/>
  <c r="AB33" i="5"/>
  <c r="Y33" i="5"/>
  <c r="V33" i="5"/>
  <c r="S33" i="5"/>
  <c r="P33" i="5"/>
  <c r="M33" i="5"/>
  <c r="J33" i="5"/>
  <c r="AE32" i="5"/>
  <c r="AB32" i="5"/>
  <c r="Y32" i="5"/>
  <c r="V32" i="5"/>
  <c r="S32" i="5"/>
  <c r="P32" i="5"/>
  <c r="M32" i="5"/>
  <c r="J32" i="5"/>
  <c r="AE29" i="5"/>
  <c r="V29" i="5"/>
  <c r="S29" i="5"/>
  <c r="P29" i="5"/>
  <c r="M29" i="5"/>
  <c r="J29" i="5"/>
  <c r="AE28" i="5"/>
  <c r="V28" i="5"/>
  <c r="S28" i="5"/>
  <c r="P28" i="5"/>
  <c r="M28" i="5"/>
  <c r="J28" i="5"/>
  <c r="J27" i="5"/>
  <c r="AC26" i="5"/>
  <c r="T26" i="5"/>
  <c r="K26" i="5"/>
  <c r="AE25" i="5"/>
  <c r="V25" i="5"/>
  <c r="S25" i="5"/>
  <c r="P25" i="5"/>
  <c r="M25" i="5"/>
  <c r="J25" i="5"/>
  <c r="AE24" i="5"/>
  <c r="V24" i="5"/>
  <c r="S24" i="5"/>
  <c r="P24" i="5"/>
  <c r="M24" i="5"/>
  <c r="J24" i="5"/>
  <c r="AC23" i="5"/>
  <c r="T23" i="5"/>
  <c r="K23" i="5"/>
  <c r="AC22" i="5"/>
  <c r="T22" i="5"/>
  <c r="K22" i="5"/>
  <c r="AE21" i="5"/>
  <c r="V21" i="5"/>
  <c r="S21" i="5"/>
  <c r="P21" i="5"/>
  <c r="M21" i="5"/>
  <c r="J21" i="5"/>
  <c r="AE20" i="5"/>
  <c r="V20" i="5"/>
  <c r="S20" i="5"/>
  <c r="P20" i="5"/>
  <c r="M20" i="5"/>
  <c r="J20" i="5"/>
  <c r="AE19" i="5"/>
  <c r="V19" i="5"/>
  <c r="S19" i="5"/>
  <c r="P19" i="5"/>
  <c r="M19" i="5"/>
  <c r="J19" i="5"/>
  <c r="AC18" i="5"/>
  <c r="AE18" i="5" s="1"/>
  <c r="T18" i="5"/>
  <c r="K18" i="5"/>
  <c r="J18" i="5"/>
  <c r="AC17" i="5"/>
  <c r="T17" i="5"/>
  <c r="K17" i="5"/>
  <c r="AE16" i="5"/>
  <c r="V16" i="5"/>
  <c r="S16" i="5"/>
  <c r="P16" i="5"/>
  <c r="M16" i="5"/>
  <c r="J16" i="5"/>
  <c r="AE15" i="5"/>
  <c r="V15" i="5"/>
  <c r="S15" i="5"/>
  <c r="P15" i="5"/>
  <c r="M15" i="5"/>
  <c r="J15" i="5"/>
  <c r="AC14" i="5"/>
  <c r="T14" i="5"/>
  <c r="K14" i="5"/>
  <c r="AC13" i="5"/>
  <c r="AE13" i="5" s="1"/>
  <c r="T13" i="5"/>
  <c r="S13" i="5"/>
  <c r="P13" i="5"/>
  <c r="K13" i="5"/>
  <c r="M13" i="5" s="1"/>
  <c r="AE12" i="5"/>
  <c r="V12" i="5"/>
  <c r="S12" i="5"/>
  <c r="P12" i="5"/>
  <c r="M12" i="5"/>
  <c r="J12" i="5"/>
  <c r="AE11" i="5"/>
  <c r="V11" i="5"/>
  <c r="S11" i="5"/>
  <c r="P11" i="5"/>
  <c r="M11" i="5"/>
  <c r="J11" i="5"/>
  <c r="AE10" i="5"/>
  <c r="V10" i="5"/>
  <c r="S10" i="5"/>
  <c r="P10" i="5"/>
  <c r="M10" i="5"/>
  <c r="J10" i="5"/>
  <c r="AE9" i="5"/>
  <c r="V9" i="5"/>
  <c r="S9" i="5"/>
  <c r="P9" i="5"/>
  <c r="M9" i="5"/>
  <c r="J9" i="5"/>
  <c r="AE8" i="5"/>
  <c r="V8" i="5"/>
  <c r="S8" i="5"/>
  <c r="P8" i="5"/>
  <c r="M8" i="5"/>
  <c r="J8" i="5"/>
  <c r="AE7" i="5"/>
  <c r="V7" i="5"/>
  <c r="S7" i="5"/>
  <c r="P7" i="5"/>
  <c r="M7" i="5"/>
  <c r="J7" i="5"/>
  <c r="AE6" i="5"/>
  <c r="V6" i="5"/>
  <c r="S6" i="5"/>
  <c r="M6" i="5"/>
  <c r="P6" i="5"/>
  <c r="AE5" i="5"/>
  <c r="V5" i="5"/>
  <c r="S5" i="5"/>
  <c r="P5" i="5"/>
  <c r="M5" i="5"/>
  <c r="AF5" i="5" s="1"/>
  <c r="AG5" i="5" s="1"/>
  <c r="J5" i="5"/>
  <c r="AE4" i="5"/>
  <c r="V4" i="5"/>
  <c r="S4" i="5"/>
  <c r="P4" i="5"/>
  <c r="M4" i="5"/>
  <c r="J4" i="5"/>
  <c r="AE3" i="5"/>
  <c r="V3" i="5"/>
  <c r="S3" i="5"/>
  <c r="P3" i="5"/>
  <c r="M3" i="5"/>
  <c r="J3" i="5"/>
  <c r="AE2" i="5"/>
  <c r="AB2" i="5"/>
  <c r="AB30" i="5" s="1"/>
  <c r="AB31" i="5" s="1"/>
  <c r="Y2" i="5"/>
  <c r="Y30" i="5" s="1"/>
  <c r="Y31" i="5" s="1"/>
  <c r="V2" i="5"/>
  <c r="S2" i="5"/>
  <c r="P2" i="5"/>
  <c r="M2" i="5"/>
  <c r="J2" i="5"/>
  <c r="J427" i="3"/>
  <c r="J426" i="3"/>
  <c r="J425" i="3"/>
  <c r="J424" i="3"/>
  <c r="J423" i="3"/>
  <c r="J422" i="3"/>
  <c r="J421" i="3"/>
  <c r="J420" i="3"/>
  <c r="J419" i="3"/>
  <c r="J418" i="3"/>
  <c r="J417" i="3"/>
  <c r="J416" i="3"/>
  <c r="J415" i="3"/>
  <c r="J414" i="3"/>
  <c r="J413" i="3"/>
  <c r="N412" i="3"/>
  <c r="G412" i="3"/>
  <c r="N411" i="3"/>
  <c r="P411" i="3" s="1"/>
  <c r="G411" i="3"/>
  <c r="J411" i="3" s="1"/>
  <c r="P410" i="3"/>
  <c r="J410" i="3"/>
  <c r="P409" i="3"/>
  <c r="J409" i="3"/>
  <c r="N408" i="3"/>
  <c r="P408" i="3" s="1"/>
  <c r="G408" i="3"/>
  <c r="J408" i="3" s="1"/>
  <c r="N407" i="3"/>
  <c r="G407" i="3"/>
  <c r="J407" i="3" s="1"/>
  <c r="P406" i="3"/>
  <c r="J406" i="3"/>
  <c r="P405" i="3"/>
  <c r="J405" i="3"/>
  <c r="N404" i="3"/>
  <c r="G404" i="3"/>
  <c r="N403" i="3"/>
  <c r="P403" i="3" s="1"/>
  <c r="J403" i="3"/>
  <c r="G403" i="3"/>
  <c r="P402" i="3"/>
  <c r="J402" i="3"/>
  <c r="P401" i="3"/>
  <c r="J401" i="3"/>
  <c r="N400" i="3"/>
  <c r="G400" i="3"/>
  <c r="J400" i="3" s="1"/>
  <c r="N399" i="3"/>
  <c r="G399" i="3"/>
  <c r="J399" i="3" s="1"/>
  <c r="P398" i="3"/>
  <c r="J398" i="3"/>
  <c r="P397" i="3"/>
  <c r="J397" i="3"/>
  <c r="P396" i="3"/>
  <c r="J396" i="3"/>
  <c r="P395" i="3"/>
  <c r="J395" i="3"/>
  <c r="P394" i="3"/>
  <c r="J394" i="3"/>
  <c r="P393" i="3"/>
  <c r="J393" i="3"/>
  <c r="N392" i="3"/>
  <c r="J392" i="3"/>
  <c r="G392" i="3"/>
  <c r="O391" i="3"/>
  <c r="N391" i="3"/>
  <c r="G391" i="3"/>
  <c r="O390" i="3"/>
  <c r="P390" i="3" s="1"/>
  <c r="J390" i="3"/>
  <c r="O389" i="3"/>
  <c r="P389" i="3" s="1"/>
  <c r="J389" i="3"/>
  <c r="N388" i="3"/>
  <c r="G388" i="3"/>
  <c r="J388" i="3" s="1"/>
  <c r="N387" i="3"/>
  <c r="G387" i="3"/>
  <c r="P386" i="3"/>
  <c r="J386" i="3"/>
  <c r="P385" i="3"/>
  <c r="J385" i="3"/>
  <c r="P384" i="3"/>
  <c r="J384" i="3"/>
  <c r="J383" i="3"/>
  <c r="P382" i="3"/>
  <c r="M382" i="3"/>
  <c r="J382" i="3"/>
  <c r="K381" i="3"/>
  <c r="G381" i="3"/>
  <c r="P381" i="3" s="1"/>
  <c r="P380" i="3"/>
  <c r="K380" i="3"/>
  <c r="G380" i="3"/>
  <c r="J380" i="3" s="1"/>
  <c r="P379" i="3"/>
  <c r="M379" i="3"/>
  <c r="J379" i="3"/>
  <c r="P378" i="3"/>
  <c r="M378" i="3"/>
  <c r="J378" i="3"/>
  <c r="P377" i="3"/>
  <c r="M377" i="3"/>
  <c r="J377" i="3"/>
  <c r="J376" i="3"/>
  <c r="AE375" i="3"/>
  <c r="AB375" i="3"/>
  <c r="Y375" i="3"/>
  <c r="V375" i="3"/>
  <c r="S375" i="3"/>
  <c r="P375" i="3"/>
  <c r="M375" i="3"/>
  <c r="J375" i="3"/>
  <c r="AE374" i="3"/>
  <c r="AB374" i="3"/>
  <c r="Y374" i="3"/>
  <c r="V374" i="3"/>
  <c r="S374" i="3"/>
  <c r="P374" i="3"/>
  <c r="M374" i="3"/>
  <c r="J374" i="3"/>
  <c r="AE373" i="3"/>
  <c r="AB373" i="3"/>
  <c r="Y373" i="3"/>
  <c r="V373" i="3"/>
  <c r="S373" i="3"/>
  <c r="P373" i="3"/>
  <c r="M373" i="3"/>
  <c r="J373" i="3"/>
  <c r="AE372" i="3"/>
  <c r="AB372" i="3"/>
  <c r="Y372" i="3"/>
  <c r="V372" i="3"/>
  <c r="S372" i="3"/>
  <c r="P372" i="3"/>
  <c r="M372" i="3"/>
  <c r="J372" i="3"/>
  <c r="AC371" i="3"/>
  <c r="Z371" i="3"/>
  <c r="W371" i="3"/>
  <c r="T371" i="3"/>
  <c r="Q371" i="3"/>
  <c r="N371" i="3"/>
  <c r="K371" i="3"/>
  <c r="H371" i="3"/>
  <c r="G371" i="3"/>
  <c r="AE370" i="3"/>
  <c r="AB370" i="3"/>
  <c r="Y370" i="3"/>
  <c r="V370" i="3"/>
  <c r="S370" i="3"/>
  <c r="P370" i="3"/>
  <c r="M370" i="3"/>
  <c r="J370" i="3"/>
  <c r="AE369" i="3"/>
  <c r="AB369" i="3"/>
  <c r="Y369" i="3"/>
  <c r="V369" i="3"/>
  <c r="S369" i="3"/>
  <c r="P369" i="3"/>
  <c r="M369" i="3"/>
  <c r="J369" i="3"/>
  <c r="J368" i="3"/>
  <c r="J367" i="3"/>
  <c r="AE366" i="3"/>
  <c r="AB366" i="3"/>
  <c r="Y366" i="3"/>
  <c r="V366" i="3"/>
  <c r="S366" i="3"/>
  <c r="P366" i="3"/>
  <c r="M366" i="3"/>
  <c r="J366" i="3"/>
  <c r="G365" i="3"/>
  <c r="Y365" i="3" s="1"/>
  <c r="AE364" i="3"/>
  <c r="AB364" i="3"/>
  <c r="Y364" i="3"/>
  <c r="V364" i="3"/>
  <c r="S364" i="3"/>
  <c r="P364" i="3"/>
  <c r="M364" i="3"/>
  <c r="J364" i="3"/>
  <c r="AE363" i="3"/>
  <c r="AB363" i="3"/>
  <c r="Y363" i="3"/>
  <c r="V363" i="3"/>
  <c r="S363" i="3"/>
  <c r="P363" i="3"/>
  <c r="M363" i="3"/>
  <c r="J363" i="3"/>
  <c r="AE362" i="3"/>
  <c r="AB362" i="3"/>
  <c r="Y362" i="3"/>
  <c r="V362" i="3"/>
  <c r="S362" i="3"/>
  <c r="P362" i="3"/>
  <c r="M362" i="3"/>
  <c r="J362" i="3"/>
  <c r="AE361" i="3"/>
  <c r="AB361" i="3"/>
  <c r="Y361" i="3"/>
  <c r="V361" i="3"/>
  <c r="S361" i="3"/>
  <c r="P361" i="3"/>
  <c r="M361" i="3"/>
  <c r="J361" i="3"/>
  <c r="W360" i="3"/>
  <c r="N360" i="3"/>
  <c r="G360" i="3"/>
  <c r="J360" i="3" s="1"/>
  <c r="W359" i="3"/>
  <c r="N359" i="3"/>
  <c r="G359" i="3"/>
  <c r="J359" i="3" s="1"/>
  <c r="J358" i="3"/>
  <c r="J357" i="3"/>
  <c r="W356" i="3"/>
  <c r="N356" i="3"/>
  <c r="G356" i="3"/>
  <c r="AE355" i="3"/>
  <c r="AB355" i="3"/>
  <c r="Y355" i="3"/>
  <c r="V355" i="3"/>
  <c r="S355" i="3"/>
  <c r="P355" i="3"/>
  <c r="M355" i="3"/>
  <c r="J355" i="3"/>
  <c r="AE354" i="3"/>
  <c r="AB354" i="3"/>
  <c r="Y354" i="3"/>
  <c r="V354" i="3"/>
  <c r="S354" i="3"/>
  <c r="P354" i="3"/>
  <c r="M354" i="3"/>
  <c r="J354" i="3"/>
  <c r="W353" i="3"/>
  <c r="N353" i="3"/>
  <c r="G353" i="3"/>
  <c r="AE353" i="3" s="1"/>
  <c r="W352" i="3"/>
  <c r="N352" i="3"/>
  <c r="G352" i="3"/>
  <c r="AE351" i="3"/>
  <c r="AB351" i="3"/>
  <c r="Y351" i="3"/>
  <c r="V351" i="3"/>
  <c r="S351" i="3"/>
  <c r="P351" i="3"/>
  <c r="M351" i="3"/>
  <c r="J351" i="3"/>
  <c r="AE350" i="3"/>
  <c r="AB350" i="3"/>
  <c r="Y350" i="3"/>
  <c r="V350" i="3"/>
  <c r="S350" i="3"/>
  <c r="P350" i="3"/>
  <c r="M350" i="3"/>
  <c r="J350" i="3"/>
  <c r="AE349" i="3"/>
  <c r="AB349" i="3"/>
  <c r="Y349" i="3"/>
  <c r="V349" i="3"/>
  <c r="S349" i="3"/>
  <c r="P349" i="3"/>
  <c r="M349" i="3"/>
  <c r="J349" i="3"/>
  <c r="AE348" i="3"/>
  <c r="AB348" i="3"/>
  <c r="Y348" i="3"/>
  <c r="V348" i="3"/>
  <c r="S348" i="3"/>
  <c r="P348" i="3"/>
  <c r="M348" i="3"/>
  <c r="J348" i="3"/>
  <c r="G347" i="3"/>
  <c r="J347" i="3" s="1"/>
  <c r="W346" i="3"/>
  <c r="N346" i="3"/>
  <c r="G346" i="3"/>
  <c r="AE345" i="3"/>
  <c r="AB345" i="3"/>
  <c r="Y345" i="3"/>
  <c r="V345" i="3"/>
  <c r="S345" i="3"/>
  <c r="P345" i="3"/>
  <c r="M345" i="3"/>
  <c r="J345" i="3"/>
  <c r="AE344" i="3"/>
  <c r="AB344" i="3"/>
  <c r="Y344" i="3"/>
  <c r="V344" i="3"/>
  <c r="S344" i="3"/>
  <c r="P344" i="3"/>
  <c r="M344" i="3"/>
  <c r="J344" i="3"/>
  <c r="W343" i="3"/>
  <c r="N343" i="3"/>
  <c r="G343" i="3"/>
  <c r="W342" i="3"/>
  <c r="N342" i="3"/>
  <c r="G342" i="3"/>
  <c r="J342" i="3" s="1"/>
  <c r="AE341" i="3"/>
  <c r="AB341" i="3"/>
  <c r="Y341" i="3"/>
  <c r="V341" i="3"/>
  <c r="S341" i="3"/>
  <c r="P341" i="3"/>
  <c r="M341" i="3"/>
  <c r="J341" i="3"/>
  <c r="AE340" i="3"/>
  <c r="AB340" i="3"/>
  <c r="Y340" i="3"/>
  <c r="V340" i="3"/>
  <c r="S340" i="3"/>
  <c r="P340" i="3"/>
  <c r="M340" i="3"/>
  <c r="J340" i="3"/>
  <c r="AE339" i="3"/>
  <c r="AB339" i="3"/>
  <c r="Y339" i="3"/>
  <c r="V339" i="3"/>
  <c r="S339" i="3"/>
  <c r="P339" i="3"/>
  <c r="M339" i="3"/>
  <c r="J339" i="3"/>
  <c r="AE338" i="3"/>
  <c r="AB338" i="3"/>
  <c r="Y338" i="3"/>
  <c r="V338" i="3"/>
  <c r="S338" i="3"/>
  <c r="P338" i="3"/>
  <c r="M338" i="3"/>
  <c r="J338" i="3"/>
  <c r="AE337" i="3"/>
  <c r="AB337" i="3"/>
  <c r="Y337" i="3"/>
  <c r="V337" i="3"/>
  <c r="S337" i="3"/>
  <c r="P337" i="3"/>
  <c r="M337" i="3"/>
  <c r="J337" i="3"/>
  <c r="AE336" i="3"/>
  <c r="AB336" i="3"/>
  <c r="Y336" i="3"/>
  <c r="V336" i="3"/>
  <c r="S336" i="3"/>
  <c r="P336" i="3"/>
  <c r="M336" i="3"/>
  <c r="J336" i="3"/>
  <c r="AE335" i="3"/>
  <c r="AB335" i="3"/>
  <c r="Y335" i="3"/>
  <c r="V335" i="3"/>
  <c r="S335" i="3"/>
  <c r="P335" i="3"/>
  <c r="M335" i="3"/>
  <c r="J335" i="3"/>
  <c r="AE333" i="3"/>
  <c r="AB333" i="3"/>
  <c r="Y333" i="3"/>
  <c r="V333" i="3"/>
  <c r="S333" i="3"/>
  <c r="P333" i="3"/>
  <c r="M333" i="3"/>
  <c r="J333" i="3"/>
  <c r="AE332" i="3"/>
  <c r="AB332" i="3"/>
  <c r="Y332" i="3"/>
  <c r="V332" i="3"/>
  <c r="S332" i="3"/>
  <c r="P332" i="3"/>
  <c r="M332" i="3"/>
  <c r="J332" i="3"/>
  <c r="AE331" i="3"/>
  <c r="AB331" i="3"/>
  <c r="Y331" i="3"/>
  <c r="V331" i="3"/>
  <c r="S331" i="3"/>
  <c r="P331" i="3"/>
  <c r="M331" i="3"/>
  <c r="J331" i="3"/>
  <c r="J330" i="3"/>
  <c r="J329" i="3"/>
  <c r="AE328" i="3"/>
  <c r="AB328" i="3"/>
  <c r="Y328" i="3"/>
  <c r="V328" i="3"/>
  <c r="S328" i="3"/>
  <c r="P328" i="3"/>
  <c r="M328" i="3"/>
  <c r="J328" i="3"/>
  <c r="AE327" i="3"/>
  <c r="AB327" i="3"/>
  <c r="Y327" i="3"/>
  <c r="V327" i="3"/>
  <c r="S327" i="3"/>
  <c r="P327" i="3"/>
  <c r="M327" i="3"/>
  <c r="J327" i="3"/>
  <c r="J326" i="3"/>
  <c r="AC325" i="3"/>
  <c r="W325" i="3"/>
  <c r="Q325" i="3"/>
  <c r="S325" i="3" s="1"/>
  <c r="G325" i="3"/>
  <c r="AC324" i="3"/>
  <c r="W324" i="3"/>
  <c r="Q324" i="3"/>
  <c r="G324" i="3"/>
  <c r="J324" i="3" s="1"/>
  <c r="AE323" i="3"/>
  <c r="AB323" i="3"/>
  <c r="Y323" i="3"/>
  <c r="V323" i="3"/>
  <c r="S323" i="3"/>
  <c r="P323" i="3"/>
  <c r="M323" i="3"/>
  <c r="J323" i="3"/>
  <c r="AE322" i="3"/>
  <c r="AB322" i="3"/>
  <c r="Y322" i="3"/>
  <c r="V322" i="3"/>
  <c r="S322" i="3"/>
  <c r="P322" i="3"/>
  <c r="M322" i="3"/>
  <c r="J322" i="3"/>
  <c r="AE321" i="3"/>
  <c r="AB321" i="3"/>
  <c r="Y321" i="3"/>
  <c r="V321" i="3"/>
  <c r="S321" i="3"/>
  <c r="P321" i="3"/>
  <c r="M321" i="3"/>
  <c r="J321" i="3"/>
  <c r="AE320" i="3"/>
  <c r="AE319" i="3"/>
  <c r="AB319" i="3"/>
  <c r="Y319" i="3"/>
  <c r="V319" i="3"/>
  <c r="S319" i="3"/>
  <c r="P319" i="3"/>
  <c r="M319" i="3"/>
  <c r="J319" i="3"/>
  <c r="AE318" i="3"/>
  <c r="AB318" i="3"/>
  <c r="Y318" i="3"/>
  <c r="V318" i="3"/>
  <c r="S318" i="3"/>
  <c r="P318" i="3"/>
  <c r="M318" i="3"/>
  <c r="J318" i="3"/>
  <c r="AE317" i="3"/>
  <c r="AB317" i="3"/>
  <c r="Y317" i="3"/>
  <c r="N317" i="3"/>
  <c r="G317" i="3"/>
  <c r="J317" i="3" s="1"/>
  <c r="AE316" i="3"/>
  <c r="AB316" i="3"/>
  <c r="Y316" i="3"/>
  <c r="V316" i="3"/>
  <c r="S316" i="3"/>
  <c r="P316" i="3"/>
  <c r="M316" i="3"/>
  <c r="J316" i="3"/>
  <c r="N315" i="3"/>
  <c r="G315" i="3"/>
  <c r="AE314" i="3"/>
  <c r="AB314" i="3"/>
  <c r="Y314" i="3"/>
  <c r="V314" i="3"/>
  <c r="S314" i="3"/>
  <c r="P314" i="3"/>
  <c r="M314" i="3"/>
  <c r="J314" i="3"/>
  <c r="AE313" i="3"/>
  <c r="AB313" i="3"/>
  <c r="Y313" i="3"/>
  <c r="V313" i="3"/>
  <c r="S313" i="3"/>
  <c r="P313" i="3"/>
  <c r="M313" i="3"/>
  <c r="J313" i="3"/>
  <c r="AE312" i="3"/>
  <c r="AB312" i="3"/>
  <c r="Y312" i="3"/>
  <c r="V312" i="3"/>
  <c r="S312" i="3"/>
  <c r="P312" i="3"/>
  <c r="M312" i="3"/>
  <c r="J312" i="3"/>
  <c r="AE311" i="3"/>
  <c r="AB311" i="3"/>
  <c r="Y311" i="3"/>
  <c r="V311" i="3"/>
  <c r="S311" i="3"/>
  <c r="P311" i="3"/>
  <c r="M311" i="3"/>
  <c r="J311" i="3"/>
  <c r="N310" i="3"/>
  <c r="J310" i="3"/>
  <c r="G310" i="3"/>
  <c r="V309" i="3"/>
  <c r="N309" i="3"/>
  <c r="G309" i="3"/>
  <c r="AE308" i="3"/>
  <c r="AB308" i="3"/>
  <c r="Y308" i="3"/>
  <c r="V308" i="3"/>
  <c r="S308" i="3"/>
  <c r="P308" i="3"/>
  <c r="M308" i="3"/>
  <c r="J308" i="3"/>
  <c r="AE307" i="3"/>
  <c r="AB307" i="3"/>
  <c r="Y307" i="3"/>
  <c r="V307" i="3"/>
  <c r="S307" i="3"/>
  <c r="P307" i="3"/>
  <c r="M307" i="3"/>
  <c r="J307" i="3"/>
  <c r="AE306" i="3"/>
  <c r="AB306" i="3"/>
  <c r="Y306" i="3"/>
  <c r="V306" i="3"/>
  <c r="S306" i="3"/>
  <c r="P306" i="3"/>
  <c r="M306" i="3"/>
  <c r="J306" i="3"/>
  <c r="AE305" i="3"/>
  <c r="AB305" i="3"/>
  <c r="Y305" i="3"/>
  <c r="V305" i="3"/>
  <c r="S305" i="3"/>
  <c r="P305" i="3"/>
  <c r="M305" i="3"/>
  <c r="J305" i="3"/>
  <c r="AE304" i="3"/>
  <c r="AB304" i="3"/>
  <c r="Y304" i="3"/>
  <c r="V304" i="3"/>
  <c r="S304" i="3"/>
  <c r="P304" i="3"/>
  <c r="M304" i="3"/>
  <c r="J304" i="3"/>
  <c r="AE303" i="3"/>
  <c r="AB303" i="3"/>
  <c r="Y303" i="3"/>
  <c r="V303" i="3"/>
  <c r="S303" i="3"/>
  <c r="P303" i="3"/>
  <c r="M303" i="3"/>
  <c r="J303" i="3"/>
  <c r="AE302" i="3"/>
  <c r="AB302" i="3"/>
  <c r="Y302" i="3"/>
  <c r="V302" i="3"/>
  <c r="S302" i="3"/>
  <c r="P302" i="3"/>
  <c r="M302" i="3"/>
  <c r="J302" i="3"/>
  <c r="J301" i="3"/>
  <c r="J300" i="3"/>
  <c r="AE299" i="3"/>
  <c r="AB299" i="3"/>
  <c r="Y299" i="3"/>
  <c r="V299" i="3"/>
  <c r="S299" i="3"/>
  <c r="P299" i="3"/>
  <c r="M299" i="3"/>
  <c r="J299" i="3"/>
  <c r="AE298" i="3"/>
  <c r="AB298" i="3"/>
  <c r="Y298" i="3"/>
  <c r="V298" i="3"/>
  <c r="S298" i="3"/>
  <c r="P298" i="3"/>
  <c r="M298" i="3"/>
  <c r="J298" i="3"/>
  <c r="W297" i="3"/>
  <c r="K297" i="3"/>
  <c r="G297" i="3"/>
  <c r="J297" i="3" s="1"/>
  <c r="W296" i="3"/>
  <c r="V296" i="3"/>
  <c r="K296" i="3"/>
  <c r="G296" i="3"/>
  <c r="AB296" i="3" s="1"/>
  <c r="AE295" i="3"/>
  <c r="AB295" i="3"/>
  <c r="Y295" i="3"/>
  <c r="V295" i="3"/>
  <c r="S295" i="3"/>
  <c r="P295" i="3"/>
  <c r="M295" i="3"/>
  <c r="J295" i="3"/>
  <c r="AE294" i="3"/>
  <c r="AB294" i="3"/>
  <c r="Y294" i="3"/>
  <c r="V294" i="3"/>
  <c r="S294" i="3"/>
  <c r="P294" i="3"/>
  <c r="M294" i="3"/>
  <c r="J294" i="3"/>
  <c r="AE293" i="3"/>
  <c r="AB293" i="3"/>
  <c r="Y293" i="3"/>
  <c r="V293" i="3"/>
  <c r="S293" i="3"/>
  <c r="P293" i="3"/>
  <c r="M293" i="3"/>
  <c r="J293" i="3"/>
  <c r="AE292" i="3"/>
  <c r="AB292" i="3"/>
  <c r="Y292" i="3"/>
  <c r="V292" i="3"/>
  <c r="S292" i="3"/>
  <c r="P292" i="3"/>
  <c r="M292" i="3"/>
  <c r="J292" i="3"/>
  <c r="AE291" i="3"/>
  <c r="AB291" i="3"/>
  <c r="Y291" i="3"/>
  <c r="V291" i="3"/>
  <c r="S291" i="3"/>
  <c r="P291" i="3"/>
  <c r="M291" i="3"/>
  <c r="J291" i="3"/>
  <c r="AE290" i="3"/>
  <c r="AB290" i="3"/>
  <c r="Y290" i="3"/>
  <c r="V290" i="3"/>
  <c r="S290" i="3"/>
  <c r="P290" i="3"/>
  <c r="M290" i="3"/>
  <c r="J290" i="3"/>
  <c r="AB289" i="3"/>
  <c r="W289" i="3"/>
  <c r="K289" i="3"/>
  <c r="G289" i="3"/>
  <c r="AE289" i="3" s="1"/>
  <c r="AE288" i="3"/>
  <c r="AB288" i="3"/>
  <c r="Y288" i="3"/>
  <c r="V288" i="3"/>
  <c r="S288" i="3"/>
  <c r="P288" i="3"/>
  <c r="M288" i="3"/>
  <c r="J288" i="3"/>
  <c r="AE287" i="3"/>
  <c r="AB287" i="3"/>
  <c r="Y287" i="3"/>
  <c r="V287" i="3"/>
  <c r="S287" i="3"/>
  <c r="P287" i="3"/>
  <c r="M287" i="3"/>
  <c r="J287" i="3"/>
  <c r="J286" i="3"/>
  <c r="J285" i="3"/>
  <c r="AE284" i="3"/>
  <c r="AB284" i="3"/>
  <c r="Y284" i="3"/>
  <c r="V284" i="3"/>
  <c r="S284" i="3"/>
  <c r="P284" i="3"/>
  <c r="M284" i="3"/>
  <c r="J284" i="3"/>
  <c r="AE283" i="3"/>
  <c r="AB283" i="3"/>
  <c r="Y283" i="3"/>
  <c r="V283" i="3"/>
  <c r="S283" i="3"/>
  <c r="P283" i="3"/>
  <c r="M283" i="3"/>
  <c r="J283" i="3"/>
  <c r="AE282" i="3"/>
  <c r="AB282" i="3"/>
  <c r="Y282" i="3"/>
  <c r="V282" i="3"/>
  <c r="S282" i="3"/>
  <c r="P282" i="3"/>
  <c r="M282" i="3"/>
  <c r="J282" i="3"/>
  <c r="K281" i="3"/>
  <c r="G281" i="3"/>
  <c r="J281" i="3" s="1"/>
  <c r="K280" i="3"/>
  <c r="G280" i="3"/>
  <c r="J280" i="3" s="1"/>
  <c r="AE279" i="3"/>
  <c r="AB279" i="3"/>
  <c r="Y279" i="3"/>
  <c r="M279" i="3"/>
  <c r="J279" i="3"/>
  <c r="AE278" i="3"/>
  <c r="AB278" i="3"/>
  <c r="Y278" i="3"/>
  <c r="V278" i="3"/>
  <c r="S278" i="3"/>
  <c r="P278" i="3"/>
  <c r="M278" i="3"/>
  <c r="J278" i="3"/>
  <c r="AE277" i="3"/>
  <c r="AB277" i="3"/>
  <c r="Y277" i="3"/>
  <c r="V277" i="3"/>
  <c r="S277" i="3"/>
  <c r="P277" i="3"/>
  <c r="M277" i="3"/>
  <c r="J277" i="3"/>
  <c r="AE276" i="3"/>
  <c r="AB276" i="3"/>
  <c r="Y276" i="3"/>
  <c r="V276" i="3"/>
  <c r="S276" i="3"/>
  <c r="P276" i="3"/>
  <c r="M276" i="3"/>
  <c r="J276" i="3"/>
  <c r="AE275" i="3"/>
  <c r="AB275" i="3"/>
  <c r="Y275" i="3"/>
  <c r="V275" i="3"/>
  <c r="S275" i="3"/>
  <c r="P275" i="3"/>
  <c r="M275" i="3"/>
  <c r="J275" i="3"/>
  <c r="AE274" i="3"/>
  <c r="AB274" i="3"/>
  <c r="Y274" i="3"/>
  <c r="V274" i="3"/>
  <c r="S274" i="3"/>
  <c r="P274" i="3"/>
  <c r="M274" i="3"/>
  <c r="J274" i="3"/>
  <c r="N273" i="3"/>
  <c r="G273" i="3"/>
  <c r="Y273" i="3" s="1"/>
  <c r="N272" i="3"/>
  <c r="G272" i="3"/>
  <c r="AE271" i="3"/>
  <c r="AB271" i="3"/>
  <c r="Y271" i="3"/>
  <c r="V271" i="3"/>
  <c r="S271" i="3"/>
  <c r="P271" i="3"/>
  <c r="M271" i="3"/>
  <c r="J271" i="3"/>
  <c r="AE270" i="3"/>
  <c r="AB270" i="3"/>
  <c r="Y270" i="3"/>
  <c r="V270" i="3"/>
  <c r="S270" i="3"/>
  <c r="P270" i="3"/>
  <c r="M270" i="3"/>
  <c r="J270" i="3"/>
  <c r="AE269" i="3"/>
  <c r="AB269" i="3"/>
  <c r="Y269" i="3"/>
  <c r="V269" i="3"/>
  <c r="S269" i="3"/>
  <c r="P269" i="3"/>
  <c r="M269" i="3"/>
  <c r="J269" i="3"/>
  <c r="AE268" i="3"/>
  <c r="AB268" i="3"/>
  <c r="Y268" i="3"/>
  <c r="V268" i="3"/>
  <c r="S268" i="3"/>
  <c r="P268" i="3"/>
  <c r="M268" i="3"/>
  <c r="J268" i="3"/>
  <c r="AE267" i="3"/>
  <c r="AB267" i="3"/>
  <c r="Y267" i="3"/>
  <c r="V267" i="3"/>
  <c r="S267" i="3"/>
  <c r="P267" i="3"/>
  <c r="M267" i="3"/>
  <c r="J267" i="3"/>
  <c r="J266" i="3"/>
  <c r="J265" i="3"/>
  <c r="AE264" i="3"/>
  <c r="AB264" i="3"/>
  <c r="Y264" i="3"/>
  <c r="V264" i="3"/>
  <c r="S264" i="3"/>
  <c r="P264" i="3"/>
  <c r="M264" i="3"/>
  <c r="J264" i="3"/>
  <c r="AE263" i="3"/>
  <c r="AB263" i="3"/>
  <c r="Y263" i="3"/>
  <c r="V263" i="3"/>
  <c r="S263" i="3"/>
  <c r="P263" i="3"/>
  <c r="M263" i="3"/>
  <c r="J263" i="3"/>
  <c r="AE262" i="3"/>
  <c r="AB262" i="3"/>
  <c r="Y262" i="3"/>
  <c r="V262" i="3"/>
  <c r="S262" i="3"/>
  <c r="P262" i="3"/>
  <c r="M262" i="3"/>
  <c r="J262" i="3"/>
  <c r="AE261" i="3"/>
  <c r="AB261" i="3"/>
  <c r="Y261" i="3"/>
  <c r="V261" i="3"/>
  <c r="S261" i="3"/>
  <c r="P261" i="3"/>
  <c r="M261" i="3"/>
  <c r="J261" i="3"/>
  <c r="AE260" i="3"/>
  <c r="AB260" i="3"/>
  <c r="Y260" i="3"/>
  <c r="V260" i="3"/>
  <c r="S260" i="3"/>
  <c r="P260" i="3"/>
  <c r="M260" i="3"/>
  <c r="J260" i="3"/>
  <c r="AE259" i="3"/>
  <c r="AB259" i="3"/>
  <c r="Y259" i="3"/>
  <c r="V259" i="3"/>
  <c r="S259" i="3"/>
  <c r="P259" i="3"/>
  <c r="M259" i="3"/>
  <c r="J259" i="3"/>
  <c r="N258" i="3"/>
  <c r="G258" i="3"/>
  <c r="M258" i="3" s="1"/>
  <c r="AE257" i="3"/>
  <c r="AB257" i="3"/>
  <c r="Y257" i="3"/>
  <c r="V257" i="3"/>
  <c r="S257" i="3"/>
  <c r="P257" i="3"/>
  <c r="M257" i="3"/>
  <c r="J257" i="3"/>
  <c r="AE256" i="3"/>
  <c r="AB256" i="3"/>
  <c r="Y256" i="3"/>
  <c r="V256" i="3"/>
  <c r="S256" i="3"/>
  <c r="P256" i="3"/>
  <c r="M256" i="3"/>
  <c r="J256" i="3"/>
  <c r="N255" i="3"/>
  <c r="G255" i="3"/>
  <c r="J255" i="3" s="1"/>
  <c r="AB254" i="3"/>
  <c r="S254" i="3"/>
  <c r="N254" i="3"/>
  <c r="G254" i="3"/>
  <c r="AE253" i="3"/>
  <c r="AB253" i="3"/>
  <c r="Y253" i="3"/>
  <c r="V253" i="3"/>
  <c r="S253" i="3"/>
  <c r="P253" i="3"/>
  <c r="M253" i="3"/>
  <c r="J253" i="3"/>
  <c r="AE252" i="3"/>
  <c r="AB252" i="3"/>
  <c r="Y252" i="3"/>
  <c r="V252" i="3"/>
  <c r="S252" i="3"/>
  <c r="P252" i="3"/>
  <c r="M252" i="3"/>
  <c r="J252" i="3"/>
  <c r="AE251" i="3"/>
  <c r="AB251" i="3"/>
  <c r="Y251" i="3"/>
  <c r="V251" i="3"/>
  <c r="S251" i="3"/>
  <c r="P251" i="3"/>
  <c r="M251" i="3"/>
  <c r="J251" i="3"/>
  <c r="AE250" i="3"/>
  <c r="AB250" i="3"/>
  <c r="Y250" i="3"/>
  <c r="V250" i="3"/>
  <c r="S250" i="3"/>
  <c r="P250" i="3"/>
  <c r="M250" i="3"/>
  <c r="J250" i="3"/>
  <c r="N249" i="3"/>
  <c r="G249" i="3"/>
  <c r="J249" i="3" s="1"/>
  <c r="N248" i="3"/>
  <c r="G248" i="3"/>
  <c r="J248" i="3" s="1"/>
  <c r="J247" i="3"/>
  <c r="J246" i="3"/>
  <c r="N245" i="3"/>
  <c r="G245" i="3"/>
  <c r="J245" i="3" s="1"/>
  <c r="N244" i="3"/>
  <c r="G244" i="3"/>
  <c r="J244" i="3" s="1"/>
  <c r="AE243" i="3"/>
  <c r="AB243" i="3"/>
  <c r="Y243" i="3"/>
  <c r="V243" i="3"/>
  <c r="S243" i="3"/>
  <c r="P243" i="3"/>
  <c r="M243" i="3"/>
  <c r="J243" i="3"/>
  <c r="AE242" i="3"/>
  <c r="AB242" i="3"/>
  <c r="Y242" i="3"/>
  <c r="V242" i="3"/>
  <c r="S242" i="3"/>
  <c r="P242" i="3"/>
  <c r="M242" i="3"/>
  <c r="J242" i="3"/>
  <c r="AE241" i="3"/>
  <c r="AB241" i="3"/>
  <c r="Y241" i="3"/>
  <c r="V241" i="3"/>
  <c r="S241" i="3"/>
  <c r="P241" i="3"/>
  <c r="M241" i="3"/>
  <c r="J241" i="3"/>
  <c r="AE240" i="3"/>
  <c r="AB240" i="3"/>
  <c r="Y240" i="3"/>
  <c r="V240" i="3"/>
  <c r="S240" i="3"/>
  <c r="P240" i="3"/>
  <c r="M240" i="3"/>
  <c r="J240" i="3"/>
  <c r="N239" i="3"/>
  <c r="G239" i="3"/>
  <c r="J239" i="3" s="1"/>
  <c r="N238" i="3"/>
  <c r="G238" i="3"/>
  <c r="AB238" i="3" s="1"/>
  <c r="AE237" i="3"/>
  <c r="AB237" i="3"/>
  <c r="Y237" i="3"/>
  <c r="V237" i="3"/>
  <c r="S237" i="3"/>
  <c r="P237" i="3"/>
  <c r="M237" i="3"/>
  <c r="J237" i="3"/>
  <c r="AE236" i="3"/>
  <c r="AB236" i="3"/>
  <c r="Y236" i="3"/>
  <c r="V236" i="3"/>
  <c r="S236" i="3"/>
  <c r="P236" i="3"/>
  <c r="M236" i="3"/>
  <c r="J236" i="3"/>
  <c r="N235" i="3"/>
  <c r="G235" i="3"/>
  <c r="J235" i="3" s="1"/>
  <c r="N234" i="3"/>
  <c r="G234" i="3"/>
  <c r="M234" i="3" s="1"/>
  <c r="AE233" i="3"/>
  <c r="AB233" i="3"/>
  <c r="Y233" i="3"/>
  <c r="V233" i="3"/>
  <c r="S233" i="3"/>
  <c r="P233" i="3"/>
  <c r="M233" i="3"/>
  <c r="J233" i="3"/>
  <c r="AE232" i="3"/>
  <c r="AB232" i="3"/>
  <c r="Y232" i="3"/>
  <c r="V232" i="3"/>
  <c r="S232" i="3"/>
  <c r="P232" i="3"/>
  <c r="M232" i="3"/>
  <c r="J232" i="3"/>
  <c r="AE231" i="3"/>
  <c r="AB231" i="3"/>
  <c r="Y231" i="3"/>
  <c r="V231" i="3"/>
  <c r="S231" i="3"/>
  <c r="P231" i="3"/>
  <c r="M231" i="3"/>
  <c r="J231" i="3"/>
  <c r="AE230" i="3"/>
  <c r="AB230" i="3"/>
  <c r="Y230" i="3"/>
  <c r="V230" i="3"/>
  <c r="S230" i="3"/>
  <c r="P230" i="3"/>
  <c r="M230" i="3"/>
  <c r="J230" i="3"/>
  <c r="AE229" i="3"/>
  <c r="AB229" i="3"/>
  <c r="Y229" i="3"/>
  <c r="V229" i="3"/>
  <c r="S229" i="3"/>
  <c r="P229" i="3"/>
  <c r="M229" i="3"/>
  <c r="J229" i="3"/>
  <c r="AE228" i="3"/>
  <c r="AB228" i="3"/>
  <c r="Y228" i="3"/>
  <c r="V228" i="3"/>
  <c r="S228" i="3"/>
  <c r="P228" i="3"/>
  <c r="M228" i="3"/>
  <c r="J228" i="3"/>
  <c r="AE227" i="3"/>
  <c r="AB227" i="3"/>
  <c r="Y227" i="3"/>
  <c r="V227" i="3"/>
  <c r="S227" i="3"/>
  <c r="P227" i="3"/>
  <c r="M227" i="3"/>
  <c r="J227" i="3"/>
  <c r="V226" i="3"/>
  <c r="J226" i="3"/>
  <c r="P226" i="3"/>
  <c r="AE225" i="3"/>
  <c r="AB225" i="3"/>
  <c r="Y225" i="3"/>
  <c r="V225" i="3"/>
  <c r="S225" i="3"/>
  <c r="P225" i="3"/>
  <c r="M225" i="3"/>
  <c r="J225" i="3"/>
  <c r="AE224" i="3"/>
  <c r="AB224" i="3"/>
  <c r="Y224" i="3"/>
  <c r="V224" i="3"/>
  <c r="S224" i="3"/>
  <c r="P224" i="3"/>
  <c r="M224" i="3"/>
  <c r="J224" i="3"/>
  <c r="AE223" i="3"/>
  <c r="AB223" i="3"/>
  <c r="Y223" i="3"/>
  <c r="V223" i="3"/>
  <c r="S223" i="3"/>
  <c r="P223" i="3"/>
  <c r="M223" i="3"/>
  <c r="J223" i="3"/>
  <c r="AE222" i="3"/>
  <c r="AB222" i="3"/>
  <c r="Y222" i="3"/>
  <c r="V222" i="3"/>
  <c r="S222" i="3"/>
  <c r="P222" i="3"/>
  <c r="M222" i="3"/>
  <c r="J222" i="3"/>
  <c r="AE221" i="3"/>
  <c r="AB221" i="3"/>
  <c r="Y221" i="3"/>
  <c r="V221" i="3"/>
  <c r="S221" i="3"/>
  <c r="P221" i="3"/>
  <c r="M221" i="3"/>
  <c r="J221" i="3"/>
  <c r="J220" i="3"/>
  <c r="J219" i="3"/>
  <c r="AE218" i="3"/>
  <c r="AB218" i="3"/>
  <c r="Y218" i="3"/>
  <c r="V218" i="3"/>
  <c r="S218" i="3"/>
  <c r="P218" i="3"/>
  <c r="M218" i="3"/>
  <c r="J218" i="3"/>
  <c r="AE217" i="3"/>
  <c r="AB217" i="3"/>
  <c r="Y217" i="3"/>
  <c r="V217" i="3"/>
  <c r="S217" i="3"/>
  <c r="P217" i="3"/>
  <c r="M217" i="3"/>
  <c r="J217" i="3"/>
  <c r="AE216" i="3"/>
  <c r="AB216" i="3"/>
  <c r="Y216" i="3"/>
  <c r="V216" i="3"/>
  <c r="S216" i="3"/>
  <c r="P216" i="3"/>
  <c r="M216" i="3"/>
  <c r="J216" i="3"/>
  <c r="AE215" i="3"/>
  <c r="AB215" i="3"/>
  <c r="Y215" i="3"/>
  <c r="V215" i="3"/>
  <c r="S215" i="3"/>
  <c r="P215" i="3"/>
  <c r="M215" i="3"/>
  <c r="J215" i="3"/>
  <c r="AE214" i="3"/>
  <c r="AB214" i="3"/>
  <c r="Y214" i="3"/>
  <c r="V214" i="3"/>
  <c r="S214" i="3"/>
  <c r="P214" i="3"/>
  <c r="M214" i="3"/>
  <c r="J214" i="3"/>
  <c r="AE213" i="3"/>
  <c r="AB213" i="3"/>
  <c r="Y213" i="3"/>
  <c r="V213" i="3"/>
  <c r="S213" i="3"/>
  <c r="P213" i="3"/>
  <c r="M213" i="3"/>
  <c r="J213" i="3"/>
  <c r="AE212" i="3"/>
  <c r="AE219" i="3" s="1"/>
  <c r="AB212" i="3"/>
  <c r="Y212" i="3"/>
  <c r="V212" i="3"/>
  <c r="V219" i="3" s="1"/>
  <c r="S212" i="3"/>
  <c r="P212" i="3"/>
  <c r="M212" i="3"/>
  <c r="J212" i="3"/>
  <c r="J211" i="3"/>
  <c r="J210" i="3"/>
  <c r="AE209" i="3"/>
  <c r="AB209" i="3"/>
  <c r="Y209" i="3"/>
  <c r="V209" i="3"/>
  <c r="S209" i="3"/>
  <c r="P209" i="3"/>
  <c r="M209" i="3"/>
  <c r="J209" i="3"/>
  <c r="H208" i="3"/>
  <c r="G208" i="3"/>
  <c r="H207" i="3"/>
  <c r="G207" i="3"/>
  <c r="J206" i="3"/>
  <c r="AE205" i="3"/>
  <c r="AB205" i="3"/>
  <c r="Y205" i="3"/>
  <c r="J205" i="3"/>
  <c r="AE204" i="3"/>
  <c r="AB204" i="3"/>
  <c r="Y204" i="3"/>
  <c r="V204" i="3"/>
  <c r="S204" i="3"/>
  <c r="P204" i="3"/>
  <c r="M204" i="3"/>
  <c r="J204" i="3"/>
  <c r="H203" i="3"/>
  <c r="G203" i="3"/>
  <c r="AE202" i="3"/>
  <c r="AB202" i="3"/>
  <c r="Y202" i="3"/>
  <c r="V202" i="3"/>
  <c r="S202" i="3"/>
  <c r="P202" i="3"/>
  <c r="M202" i="3"/>
  <c r="J202" i="3"/>
  <c r="H201" i="3"/>
  <c r="G201" i="3"/>
  <c r="AE200" i="3"/>
  <c r="AB200" i="3"/>
  <c r="Y200" i="3"/>
  <c r="V200" i="3"/>
  <c r="S200" i="3"/>
  <c r="P200" i="3"/>
  <c r="M200" i="3"/>
  <c r="J200" i="3"/>
  <c r="AE199" i="3"/>
  <c r="AB199" i="3"/>
  <c r="Y199" i="3"/>
  <c r="V199" i="3"/>
  <c r="S199" i="3"/>
  <c r="P199" i="3"/>
  <c r="M199" i="3"/>
  <c r="J199" i="3"/>
  <c r="AE198" i="3"/>
  <c r="AB198" i="3"/>
  <c r="Y198" i="3"/>
  <c r="V198" i="3"/>
  <c r="S198" i="3"/>
  <c r="P198" i="3"/>
  <c r="M198" i="3"/>
  <c r="J198" i="3"/>
  <c r="H197" i="3"/>
  <c r="G197" i="3"/>
  <c r="H196" i="3"/>
  <c r="G196" i="3"/>
  <c r="AE196" i="3" s="1"/>
  <c r="AE195" i="3"/>
  <c r="AB195" i="3"/>
  <c r="Y195" i="3"/>
  <c r="V195" i="3"/>
  <c r="S195" i="3"/>
  <c r="P195" i="3"/>
  <c r="M195" i="3"/>
  <c r="J195" i="3"/>
  <c r="AE194" i="3"/>
  <c r="AB194" i="3"/>
  <c r="Y194" i="3"/>
  <c r="V194" i="3"/>
  <c r="S194" i="3"/>
  <c r="P194" i="3"/>
  <c r="M194" i="3"/>
  <c r="J194" i="3"/>
  <c r="H193" i="3"/>
  <c r="G193" i="3"/>
  <c r="J193" i="3" s="1"/>
  <c r="H192" i="3"/>
  <c r="G192" i="3"/>
  <c r="P192" i="3" s="1"/>
  <c r="AE191" i="3"/>
  <c r="AB191" i="3"/>
  <c r="Y191" i="3"/>
  <c r="V191" i="3"/>
  <c r="S191" i="3"/>
  <c r="P191" i="3"/>
  <c r="M191" i="3"/>
  <c r="J191" i="3"/>
  <c r="AE190" i="3"/>
  <c r="AB190" i="3"/>
  <c r="Y190" i="3"/>
  <c r="V190" i="3"/>
  <c r="S190" i="3"/>
  <c r="P190" i="3"/>
  <c r="M190" i="3"/>
  <c r="J190" i="3"/>
  <c r="AE189" i="3"/>
  <c r="AB189" i="3"/>
  <c r="Y189" i="3"/>
  <c r="V189" i="3"/>
  <c r="S189" i="3"/>
  <c r="P189" i="3"/>
  <c r="M189" i="3"/>
  <c r="J189" i="3"/>
  <c r="AE188" i="3"/>
  <c r="AB188" i="3"/>
  <c r="Y188" i="3"/>
  <c r="V188" i="3"/>
  <c r="S188" i="3"/>
  <c r="P188" i="3"/>
  <c r="M188" i="3"/>
  <c r="J188" i="3"/>
  <c r="AE187" i="3"/>
  <c r="AB187" i="3"/>
  <c r="Y187" i="3"/>
  <c r="V187" i="3"/>
  <c r="S187" i="3"/>
  <c r="P187" i="3"/>
  <c r="M187" i="3"/>
  <c r="J187" i="3"/>
  <c r="S186" i="3"/>
  <c r="AE185" i="3"/>
  <c r="AB185" i="3"/>
  <c r="Y185" i="3"/>
  <c r="V185" i="3"/>
  <c r="S185" i="3"/>
  <c r="P185" i="3"/>
  <c r="M185" i="3"/>
  <c r="J185" i="3"/>
  <c r="AE184" i="3"/>
  <c r="AB184" i="3"/>
  <c r="Y184" i="3"/>
  <c r="V184" i="3"/>
  <c r="S184" i="3"/>
  <c r="P184" i="3"/>
  <c r="M184" i="3"/>
  <c r="J184" i="3"/>
  <c r="AE183" i="3"/>
  <c r="AB183" i="3"/>
  <c r="Y183" i="3"/>
  <c r="V183" i="3"/>
  <c r="S183" i="3"/>
  <c r="P183" i="3"/>
  <c r="M183" i="3"/>
  <c r="J183" i="3"/>
  <c r="J182" i="3"/>
  <c r="J181" i="3"/>
  <c r="AC180" i="3"/>
  <c r="Z180" i="3"/>
  <c r="W180" i="3"/>
  <c r="T180" i="3"/>
  <c r="Q180" i="3"/>
  <c r="N180" i="3"/>
  <c r="K180" i="3"/>
  <c r="H180" i="3"/>
  <c r="G180" i="3"/>
  <c r="Y180" i="3" s="1"/>
  <c r="G179" i="3"/>
  <c r="AE178" i="3"/>
  <c r="AB178" i="3"/>
  <c r="Y178" i="3"/>
  <c r="V178" i="3"/>
  <c r="S178" i="3"/>
  <c r="P178" i="3"/>
  <c r="M178" i="3"/>
  <c r="J178" i="3"/>
  <c r="AE177" i="3"/>
  <c r="AB177" i="3"/>
  <c r="Y177" i="3"/>
  <c r="V177" i="3"/>
  <c r="S177" i="3"/>
  <c r="P177" i="3"/>
  <c r="M177" i="3"/>
  <c r="J177" i="3"/>
  <c r="W176" i="3"/>
  <c r="Y176" i="3" s="1"/>
  <c r="H176" i="3"/>
  <c r="J176" i="3" s="1"/>
  <c r="G176" i="3"/>
  <c r="AB176" i="3" s="1"/>
  <c r="AE175" i="3"/>
  <c r="AB175" i="3"/>
  <c r="Y175" i="3"/>
  <c r="V175" i="3"/>
  <c r="S175" i="3"/>
  <c r="P175" i="3"/>
  <c r="M175" i="3"/>
  <c r="J175" i="3"/>
  <c r="AE174" i="3"/>
  <c r="AB174" i="3"/>
  <c r="Y174" i="3"/>
  <c r="V174" i="3"/>
  <c r="S174" i="3"/>
  <c r="P174" i="3"/>
  <c r="M174" i="3"/>
  <c r="J174" i="3"/>
  <c r="G173" i="3"/>
  <c r="P173" i="3" s="1"/>
  <c r="W172" i="3"/>
  <c r="H172" i="3"/>
  <c r="G172" i="3"/>
  <c r="AE171" i="3"/>
  <c r="AB171" i="3"/>
  <c r="Y171" i="3"/>
  <c r="V171" i="3"/>
  <c r="S171" i="3"/>
  <c r="P171" i="3"/>
  <c r="M171" i="3"/>
  <c r="J171" i="3"/>
  <c r="AE170" i="3"/>
  <c r="AB170" i="3"/>
  <c r="Y170" i="3"/>
  <c r="V170" i="3"/>
  <c r="S170" i="3"/>
  <c r="P170" i="3"/>
  <c r="M170" i="3"/>
  <c r="J170" i="3"/>
  <c r="AE169" i="3"/>
  <c r="AB169" i="3"/>
  <c r="Y169" i="3"/>
  <c r="V169" i="3"/>
  <c r="S169" i="3"/>
  <c r="P169" i="3"/>
  <c r="M169" i="3"/>
  <c r="J169" i="3"/>
  <c r="AE168" i="3"/>
  <c r="AB168" i="3"/>
  <c r="Y168" i="3"/>
  <c r="V168" i="3"/>
  <c r="S168" i="3"/>
  <c r="M168" i="3"/>
  <c r="J168" i="3"/>
  <c r="AE167" i="3"/>
  <c r="AB167" i="3"/>
  <c r="P167" i="3"/>
  <c r="G167" i="3"/>
  <c r="Y167" i="3" s="1"/>
  <c r="AE166" i="3"/>
  <c r="AB166" i="3"/>
  <c r="Y166" i="3"/>
  <c r="V166" i="3"/>
  <c r="S166" i="3"/>
  <c r="P166" i="3"/>
  <c r="M166" i="3"/>
  <c r="J166" i="3"/>
  <c r="N165" i="3"/>
  <c r="G165" i="3"/>
  <c r="J165" i="3" s="1"/>
  <c r="G164" i="3"/>
  <c r="J164" i="3" s="1"/>
  <c r="AE163" i="3"/>
  <c r="AB163" i="3"/>
  <c r="Y163" i="3"/>
  <c r="V163" i="3"/>
  <c r="S163" i="3"/>
  <c r="P163" i="3"/>
  <c r="M163" i="3"/>
  <c r="J163" i="3"/>
  <c r="AE162" i="3"/>
  <c r="AB162" i="3"/>
  <c r="Y162" i="3"/>
  <c r="V162" i="3"/>
  <c r="S162" i="3"/>
  <c r="P162" i="3"/>
  <c r="M162" i="3"/>
  <c r="J162" i="3"/>
  <c r="N161" i="3"/>
  <c r="G161" i="3"/>
  <c r="J161" i="3" s="1"/>
  <c r="N160" i="3"/>
  <c r="G160" i="3"/>
  <c r="J160" i="3" s="1"/>
  <c r="J159" i="3"/>
  <c r="J158" i="3"/>
  <c r="AE157" i="3"/>
  <c r="AB157" i="3"/>
  <c r="Y157" i="3"/>
  <c r="V157" i="3"/>
  <c r="S157" i="3"/>
  <c r="P157" i="3"/>
  <c r="M157" i="3"/>
  <c r="J157" i="3"/>
  <c r="AE156" i="3"/>
  <c r="AB156" i="3"/>
  <c r="S156" i="3"/>
  <c r="J156" i="3"/>
  <c r="AE155" i="3"/>
  <c r="AB155" i="3"/>
  <c r="Y155" i="3"/>
  <c r="V155" i="3"/>
  <c r="S155" i="3"/>
  <c r="P155" i="3"/>
  <c r="M155" i="3"/>
  <c r="J155" i="3"/>
  <c r="O154" i="3"/>
  <c r="N154" i="3"/>
  <c r="G154" i="3"/>
  <c r="AB154" i="3" s="1"/>
  <c r="AE153" i="3"/>
  <c r="AB153" i="3"/>
  <c r="Y153" i="3"/>
  <c r="V153" i="3"/>
  <c r="S153" i="3"/>
  <c r="P153" i="3"/>
  <c r="M153" i="3"/>
  <c r="J153" i="3"/>
  <c r="AE152" i="3"/>
  <c r="AB152" i="3"/>
  <c r="Y152" i="3"/>
  <c r="V152" i="3"/>
  <c r="S152" i="3"/>
  <c r="P152" i="3"/>
  <c r="M152" i="3"/>
  <c r="J152" i="3"/>
  <c r="J151" i="3"/>
  <c r="J150" i="3"/>
  <c r="Z149" i="3"/>
  <c r="W149" i="3"/>
  <c r="T149" i="3"/>
  <c r="Q149" i="3"/>
  <c r="N149" i="3"/>
  <c r="K149" i="3"/>
  <c r="H149" i="3"/>
  <c r="G149" i="3"/>
  <c r="AE148" i="3"/>
  <c r="AB148" i="3"/>
  <c r="Y148" i="3"/>
  <c r="V148" i="3"/>
  <c r="S148" i="3"/>
  <c r="P148" i="3"/>
  <c r="M148" i="3"/>
  <c r="J148" i="3"/>
  <c r="AE147" i="3"/>
  <c r="AB147" i="3"/>
  <c r="Y147" i="3"/>
  <c r="V147" i="3"/>
  <c r="S147" i="3"/>
  <c r="P147" i="3"/>
  <c r="M147" i="3"/>
  <c r="J147" i="3"/>
  <c r="AE146" i="3"/>
  <c r="AB146" i="3"/>
  <c r="Y146" i="3"/>
  <c r="V146" i="3"/>
  <c r="S146" i="3"/>
  <c r="P146" i="3"/>
  <c r="M146" i="3"/>
  <c r="J146" i="3"/>
  <c r="AC145" i="3"/>
  <c r="Z145" i="3"/>
  <c r="W145" i="3"/>
  <c r="T145" i="3"/>
  <c r="Q145" i="3"/>
  <c r="N145" i="3"/>
  <c r="K145" i="3"/>
  <c r="G145" i="3"/>
  <c r="J145" i="3" s="1"/>
  <c r="AC144" i="3"/>
  <c r="Z144" i="3"/>
  <c r="W144" i="3"/>
  <c r="T144" i="3"/>
  <c r="Q144" i="3"/>
  <c r="N144" i="3"/>
  <c r="K144" i="3"/>
  <c r="G144" i="3"/>
  <c r="J144" i="3" s="1"/>
  <c r="J143" i="3"/>
  <c r="J142" i="3"/>
  <c r="AE141" i="3"/>
  <c r="AB141" i="3"/>
  <c r="Y141" i="3"/>
  <c r="V141" i="3"/>
  <c r="S141" i="3"/>
  <c r="P141" i="3"/>
  <c r="M141" i="3"/>
  <c r="J141" i="3"/>
  <c r="AC140" i="3"/>
  <c r="Z140" i="3"/>
  <c r="W140" i="3"/>
  <c r="T140" i="3"/>
  <c r="Q140" i="3"/>
  <c r="N140" i="3"/>
  <c r="K140" i="3"/>
  <c r="G140" i="3"/>
  <c r="J140" i="3" s="1"/>
  <c r="AC139" i="3"/>
  <c r="Z139" i="3"/>
  <c r="W139" i="3"/>
  <c r="T139" i="3"/>
  <c r="Q139" i="3"/>
  <c r="N139" i="3"/>
  <c r="K139" i="3"/>
  <c r="G139" i="3"/>
  <c r="AE138" i="3"/>
  <c r="AB138" i="3"/>
  <c r="Y138" i="3"/>
  <c r="V138" i="3"/>
  <c r="S138" i="3"/>
  <c r="P138" i="3"/>
  <c r="M138" i="3"/>
  <c r="J138" i="3"/>
  <c r="AE137" i="3"/>
  <c r="AB137" i="3"/>
  <c r="Y137" i="3"/>
  <c r="V137" i="3"/>
  <c r="S137" i="3"/>
  <c r="P137" i="3"/>
  <c r="M137" i="3"/>
  <c r="J137" i="3"/>
  <c r="AE136" i="3"/>
  <c r="AB136" i="3"/>
  <c r="Y136" i="3"/>
  <c r="V136" i="3"/>
  <c r="S136" i="3"/>
  <c r="P136" i="3"/>
  <c r="M136" i="3"/>
  <c r="J136" i="3"/>
  <c r="AC135" i="3"/>
  <c r="Z135" i="3"/>
  <c r="W135" i="3"/>
  <c r="T135" i="3"/>
  <c r="Q135" i="3"/>
  <c r="N135" i="3"/>
  <c r="K135" i="3"/>
  <c r="G135" i="3"/>
  <c r="J135" i="3" s="1"/>
  <c r="AC134" i="3"/>
  <c r="Z134" i="3"/>
  <c r="W134" i="3"/>
  <c r="T134" i="3"/>
  <c r="Q134" i="3"/>
  <c r="N134" i="3"/>
  <c r="K134" i="3"/>
  <c r="J134" i="3"/>
  <c r="G134" i="3"/>
  <c r="V134" i="3" s="1"/>
  <c r="AE133" i="3"/>
  <c r="AB133" i="3"/>
  <c r="Y133" i="3"/>
  <c r="V133" i="3"/>
  <c r="S133" i="3"/>
  <c r="P133" i="3"/>
  <c r="M133" i="3"/>
  <c r="J133" i="3"/>
  <c r="AC132" i="3"/>
  <c r="AE132" i="3" s="1"/>
  <c r="Z132" i="3"/>
  <c r="AB132" i="3" s="1"/>
  <c r="W132" i="3"/>
  <c r="Y132" i="3" s="1"/>
  <c r="T132" i="3"/>
  <c r="V132" i="3" s="1"/>
  <c r="Q132" i="3"/>
  <c r="S132" i="3" s="1"/>
  <c r="N132" i="3"/>
  <c r="P132" i="3" s="1"/>
  <c r="K132" i="3"/>
  <c r="M132" i="3" s="1"/>
  <c r="J132" i="3"/>
  <c r="AC131" i="3"/>
  <c r="Z131" i="3"/>
  <c r="W131" i="3"/>
  <c r="T131" i="3"/>
  <c r="Q131" i="3"/>
  <c r="N131" i="3"/>
  <c r="K131" i="3"/>
  <c r="G131" i="3"/>
  <c r="J131" i="3" s="1"/>
  <c r="AE130" i="3"/>
  <c r="AB130" i="3"/>
  <c r="Y130" i="3"/>
  <c r="V130" i="3"/>
  <c r="S130" i="3"/>
  <c r="P130" i="3"/>
  <c r="M130" i="3"/>
  <c r="J130" i="3"/>
  <c r="AE129" i="3"/>
  <c r="AB129" i="3"/>
  <c r="Y129" i="3"/>
  <c r="V129" i="3"/>
  <c r="S129" i="3"/>
  <c r="P129" i="3"/>
  <c r="M129" i="3"/>
  <c r="J129" i="3"/>
  <c r="AE128" i="3"/>
  <c r="AB128" i="3"/>
  <c r="Y128" i="3"/>
  <c r="V128" i="3"/>
  <c r="S128" i="3"/>
  <c r="P128" i="3"/>
  <c r="M128" i="3"/>
  <c r="J128" i="3"/>
  <c r="AE127" i="3"/>
  <c r="AB127" i="3"/>
  <c r="Y127" i="3"/>
  <c r="V127" i="3"/>
  <c r="S127" i="3"/>
  <c r="P127" i="3"/>
  <c r="M127" i="3"/>
  <c r="J127" i="3"/>
  <c r="AE126" i="3"/>
  <c r="AB126" i="3"/>
  <c r="Y126" i="3"/>
  <c r="V126" i="3"/>
  <c r="S126" i="3"/>
  <c r="P126" i="3"/>
  <c r="M126" i="3"/>
  <c r="J126" i="3"/>
  <c r="G125" i="3"/>
  <c r="Y125" i="3" s="1"/>
  <c r="AC124" i="3"/>
  <c r="T124" i="3"/>
  <c r="K124" i="3"/>
  <c r="G124" i="3"/>
  <c r="AE123" i="3"/>
  <c r="AB123" i="3"/>
  <c r="Y123" i="3"/>
  <c r="V123" i="3"/>
  <c r="S123" i="3"/>
  <c r="P123" i="3"/>
  <c r="M123" i="3"/>
  <c r="J123" i="3"/>
  <c r="G122" i="3"/>
  <c r="J122" i="3" s="1"/>
  <c r="AC121" i="3"/>
  <c r="T121" i="3"/>
  <c r="K121" i="3"/>
  <c r="J121" i="3"/>
  <c r="G121" i="3"/>
  <c r="J120" i="3"/>
  <c r="J119" i="3"/>
  <c r="AE118" i="3"/>
  <c r="AB118" i="3"/>
  <c r="Y118" i="3"/>
  <c r="V118" i="3"/>
  <c r="S118" i="3"/>
  <c r="P118" i="3"/>
  <c r="M118" i="3"/>
  <c r="J118" i="3"/>
  <c r="AF118" i="3" s="1"/>
  <c r="G117" i="3"/>
  <c r="J117" i="3" s="1"/>
  <c r="G116" i="3"/>
  <c r="AB116" i="3" s="1"/>
  <c r="AE115" i="3"/>
  <c r="AB115" i="3"/>
  <c r="Y115" i="3"/>
  <c r="V115" i="3"/>
  <c r="S115" i="3"/>
  <c r="P115" i="3"/>
  <c r="M115" i="3"/>
  <c r="J115" i="3"/>
  <c r="AE114" i="3"/>
  <c r="AB114" i="3"/>
  <c r="Y114" i="3"/>
  <c r="V114" i="3"/>
  <c r="S114" i="3"/>
  <c r="P114" i="3"/>
  <c r="M114" i="3"/>
  <c r="J114" i="3"/>
  <c r="AE113" i="3"/>
  <c r="AB113" i="3"/>
  <c r="Y113" i="3"/>
  <c r="V113" i="3"/>
  <c r="S113" i="3"/>
  <c r="P113" i="3"/>
  <c r="M113" i="3"/>
  <c r="J113" i="3"/>
  <c r="AE112" i="3"/>
  <c r="AB112" i="3"/>
  <c r="Y112" i="3"/>
  <c r="V112" i="3"/>
  <c r="S112" i="3"/>
  <c r="P112" i="3"/>
  <c r="M112" i="3"/>
  <c r="J112" i="3"/>
  <c r="G111" i="3"/>
  <c r="AC110" i="3"/>
  <c r="T110" i="3"/>
  <c r="K110" i="3"/>
  <c r="G110" i="3"/>
  <c r="AE109" i="3"/>
  <c r="AB109" i="3"/>
  <c r="Y109" i="3"/>
  <c r="V109" i="3"/>
  <c r="S109" i="3"/>
  <c r="P109" i="3"/>
  <c r="M109" i="3"/>
  <c r="J109" i="3"/>
  <c r="AB108" i="3"/>
  <c r="S108" i="3"/>
  <c r="P108" i="3"/>
  <c r="AE107" i="3"/>
  <c r="AB107" i="3"/>
  <c r="Y107" i="3"/>
  <c r="V107" i="3"/>
  <c r="S107" i="3"/>
  <c r="P107" i="3"/>
  <c r="M107" i="3"/>
  <c r="J107" i="3"/>
  <c r="AE106" i="3"/>
  <c r="AB106" i="3"/>
  <c r="Y106" i="3"/>
  <c r="V106" i="3"/>
  <c r="S106" i="3"/>
  <c r="P106" i="3"/>
  <c r="M106" i="3"/>
  <c r="J106" i="3"/>
  <c r="AE105" i="3"/>
  <c r="AB105" i="3"/>
  <c r="Y105" i="3"/>
  <c r="V105" i="3"/>
  <c r="S105" i="3"/>
  <c r="P105" i="3"/>
  <c r="M105" i="3"/>
  <c r="J105" i="3"/>
  <c r="G104" i="3"/>
  <c r="J104" i="3" s="1"/>
  <c r="Z103" i="3"/>
  <c r="N103" i="3"/>
  <c r="H103" i="3"/>
  <c r="G103" i="3"/>
  <c r="AE102" i="3"/>
  <c r="AB102" i="3"/>
  <c r="Y102" i="3"/>
  <c r="V102" i="3"/>
  <c r="S102" i="3"/>
  <c r="P102" i="3"/>
  <c r="M102" i="3"/>
  <c r="J102" i="3"/>
  <c r="AE101" i="3"/>
  <c r="AB101" i="3"/>
  <c r="Y101" i="3"/>
  <c r="V101" i="3"/>
  <c r="S101" i="3"/>
  <c r="P101" i="3"/>
  <c r="M101" i="3"/>
  <c r="J101" i="3"/>
  <c r="AE100" i="3"/>
  <c r="AB100" i="3"/>
  <c r="Y100" i="3"/>
  <c r="V100" i="3"/>
  <c r="S100" i="3"/>
  <c r="P100" i="3"/>
  <c r="M100" i="3"/>
  <c r="J100" i="3"/>
  <c r="AE99" i="3"/>
  <c r="AB99" i="3"/>
  <c r="Y99" i="3"/>
  <c r="V99" i="3"/>
  <c r="S99" i="3"/>
  <c r="P99" i="3"/>
  <c r="M99" i="3"/>
  <c r="J99" i="3"/>
  <c r="G98" i="3"/>
  <c r="J98" i="3" s="1"/>
  <c r="Z97" i="3"/>
  <c r="N97" i="3"/>
  <c r="H97" i="3"/>
  <c r="G97" i="3"/>
  <c r="J96" i="3"/>
  <c r="J95" i="3"/>
  <c r="AE94" i="3"/>
  <c r="AB94" i="3"/>
  <c r="Y94" i="3"/>
  <c r="V94" i="3"/>
  <c r="S94" i="3"/>
  <c r="P94" i="3"/>
  <c r="M94" i="3"/>
  <c r="J94" i="3"/>
  <c r="V93" i="3"/>
  <c r="G93" i="3"/>
  <c r="G92" i="3"/>
  <c r="J92" i="3" s="1"/>
  <c r="AE91" i="3"/>
  <c r="AB91" i="3"/>
  <c r="Y91" i="3"/>
  <c r="V91" i="3"/>
  <c r="S91" i="3"/>
  <c r="P91" i="3"/>
  <c r="M91" i="3"/>
  <c r="J91" i="3"/>
  <c r="AE90" i="3"/>
  <c r="AB90" i="3"/>
  <c r="Y90" i="3"/>
  <c r="V90" i="3"/>
  <c r="S90" i="3"/>
  <c r="P90" i="3"/>
  <c r="M90" i="3"/>
  <c r="J90" i="3"/>
  <c r="AE89" i="3"/>
  <c r="AB89" i="3"/>
  <c r="Y89" i="3"/>
  <c r="V89" i="3"/>
  <c r="S89" i="3"/>
  <c r="P89" i="3"/>
  <c r="M89" i="3"/>
  <c r="J89" i="3"/>
  <c r="AE88" i="3"/>
  <c r="AB88" i="3"/>
  <c r="Y88" i="3"/>
  <c r="V88" i="3"/>
  <c r="S88" i="3"/>
  <c r="P88" i="3"/>
  <c r="M88" i="3"/>
  <c r="J88" i="3"/>
  <c r="Z87" i="3"/>
  <c r="N87" i="3"/>
  <c r="H87" i="3"/>
  <c r="G87" i="3"/>
  <c r="AB87" i="3" s="1"/>
  <c r="AE86" i="3"/>
  <c r="AB86" i="3"/>
  <c r="Y86" i="3"/>
  <c r="V86" i="3"/>
  <c r="S86" i="3"/>
  <c r="P86" i="3"/>
  <c r="M86" i="3"/>
  <c r="J86" i="3"/>
  <c r="AE84" i="3"/>
  <c r="AB84" i="3"/>
  <c r="Y84" i="3"/>
  <c r="V84" i="3"/>
  <c r="S84" i="3"/>
  <c r="P84" i="3"/>
  <c r="M84" i="3"/>
  <c r="J84" i="3"/>
  <c r="AE83" i="3"/>
  <c r="AB83" i="3"/>
  <c r="Y83" i="3"/>
  <c r="V83" i="3"/>
  <c r="S83" i="3"/>
  <c r="P83" i="3"/>
  <c r="M83" i="3"/>
  <c r="J83" i="3"/>
  <c r="AE82" i="3"/>
  <c r="AB82" i="3"/>
  <c r="Y82" i="3"/>
  <c r="V82" i="3"/>
  <c r="S82" i="3"/>
  <c r="P82" i="3"/>
  <c r="M82" i="3"/>
  <c r="J82" i="3"/>
  <c r="AE81" i="3"/>
  <c r="AB81" i="3"/>
  <c r="Y81" i="3"/>
  <c r="V81" i="3"/>
  <c r="S81" i="3"/>
  <c r="P81" i="3"/>
  <c r="M81" i="3"/>
  <c r="J81" i="3"/>
  <c r="AE80" i="3"/>
  <c r="AB80" i="3"/>
  <c r="Y80" i="3"/>
  <c r="V80" i="3"/>
  <c r="S80" i="3"/>
  <c r="P80" i="3"/>
  <c r="M80" i="3"/>
  <c r="J80" i="3"/>
  <c r="AE79" i="3"/>
  <c r="AB79" i="3"/>
  <c r="Y79" i="3"/>
  <c r="V79" i="3"/>
  <c r="S79" i="3"/>
  <c r="P79" i="3"/>
  <c r="M79" i="3"/>
  <c r="J79" i="3"/>
  <c r="G78" i="3"/>
  <c r="J78" i="3" s="1"/>
  <c r="Z77" i="3"/>
  <c r="K77" i="3"/>
  <c r="G77" i="3"/>
  <c r="AE76" i="3"/>
  <c r="AB76" i="3"/>
  <c r="Y76" i="3"/>
  <c r="V76" i="3"/>
  <c r="S76" i="3"/>
  <c r="P76" i="3"/>
  <c r="M76" i="3"/>
  <c r="J76" i="3"/>
  <c r="AE75" i="3"/>
  <c r="AB75" i="3"/>
  <c r="Y75" i="3"/>
  <c r="V75" i="3"/>
  <c r="S75" i="3"/>
  <c r="P75" i="3"/>
  <c r="M75" i="3"/>
  <c r="J75" i="3"/>
  <c r="G74" i="3"/>
  <c r="J74" i="3" s="1"/>
  <c r="Z73" i="3"/>
  <c r="K73" i="3"/>
  <c r="G73" i="3"/>
  <c r="J73" i="3" s="1"/>
  <c r="J72" i="3"/>
  <c r="J71" i="3"/>
  <c r="AE70" i="3"/>
  <c r="AB70" i="3"/>
  <c r="Y70" i="3"/>
  <c r="V70" i="3"/>
  <c r="S70" i="3"/>
  <c r="P70" i="3"/>
  <c r="M70" i="3"/>
  <c r="J70" i="3"/>
  <c r="S69" i="3"/>
  <c r="G69" i="3"/>
  <c r="V69" i="3" s="1"/>
  <c r="G68" i="3"/>
  <c r="J68" i="3" s="1"/>
  <c r="AE67" i="3"/>
  <c r="AB67" i="3"/>
  <c r="Y67" i="3"/>
  <c r="V67" i="3"/>
  <c r="S67" i="3"/>
  <c r="P67" i="3"/>
  <c r="M67" i="3"/>
  <c r="J67" i="3"/>
  <c r="AE66" i="3"/>
  <c r="AB66" i="3"/>
  <c r="Y66" i="3"/>
  <c r="V66" i="3"/>
  <c r="S66" i="3"/>
  <c r="P66" i="3"/>
  <c r="M66" i="3"/>
  <c r="J66" i="3"/>
  <c r="AE65" i="3"/>
  <c r="AB65" i="3"/>
  <c r="Y65" i="3"/>
  <c r="V65" i="3"/>
  <c r="S65" i="3"/>
  <c r="P65" i="3"/>
  <c r="M65" i="3"/>
  <c r="J65" i="3"/>
  <c r="Z64" i="3"/>
  <c r="K64" i="3"/>
  <c r="G64" i="3"/>
  <c r="V64" i="3" s="1"/>
  <c r="G63" i="3"/>
  <c r="AE63" i="3" s="1"/>
  <c r="AE62" i="3"/>
  <c r="AB62" i="3"/>
  <c r="Y62" i="3"/>
  <c r="V62" i="3"/>
  <c r="S62" i="3"/>
  <c r="P62" i="3"/>
  <c r="M62" i="3"/>
  <c r="J62" i="3"/>
  <c r="AF62" i="3" s="1"/>
  <c r="AE61" i="3"/>
  <c r="AB61" i="3"/>
  <c r="Y61" i="3"/>
  <c r="V61" i="3"/>
  <c r="S61" i="3"/>
  <c r="P61" i="3"/>
  <c r="M61" i="3"/>
  <c r="J61" i="3"/>
  <c r="AE60" i="3"/>
  <c r="AB60" i="3"/>
  <c r="Y60" i="3"/>
  <c r="V60" i="3"/>
  <c r="S60" i="3"/>
  <c r="P60" i="3"/>
  <c r="M60" i="3"/>
  <c r="J60" i="3"/>
  <c r="AF60" i="3" s="1"/>
  <c r="AB59" i="3"/>
  <c r="Y59" i="3"/>
  <c r="V59" i="3"/>
  <c r="S59" i="3"/>
  <c r="P59" i="3"/>
  <c r="M59" i="3"/>
  <c r="J59" i="3"/>
  <c r="AE59" i="3"/>
  <c r="AE58" i="3"/>
  <c r="AB58" i="3"/>
  <c r="Y58" i="3"/>
  <c r="V58" i="3"/>
  <c r="S58" i="3"/>
  <c r="P58" i="3"/>
  <c r="M58" i="3"/>
  <c r="J58" i="3"/>
  <c r="AF58" i="3" s="1"/>
  <c r="AE57" i="3"/>
  <c r="AB57" i="3"/>
  <c r="Y57" i="3"/>
  <c r="V57" i="3"/>
  <c r="S57" i="3"/>
  <c r="P57" i="3"/>
  <c r="M57" i="3"/>
  <c r="J57" i="3"/>
  <c r="AF57" i="3" s="1"/>
  <c r="AE56" i="3"/>
  <c r="AB56" i="3"/>
  <c r="Y56" i="3"/>
  <c r="V56" i="3"/>
  <c r="S56" i="3"/>
  <c r="P56" i="3"/>
  <c r="M56" i="3"/>
  <c r="J56" i="3"/>
  <c r="AF56" i="3" s="1"/>
  <c r="J55" i="3"/>
  <c r="J54" i="3"/>
  <c r="AE53" i="3"/>
  <c r="AB53" i="3"/>
  <c r="Y53" i="3"/>
  <c r="V53" i="3"/>
  <c r="S53" i="3"/>
  <c r="P53" i="3"/>
  <c r="M53" i="3"/>
  <c r="J53" i="3"/>
  <c r="AE52" i="3"/>
  <c r="AB52" i="3"/>
  <c r="Y52" i="3"/>
  <c r="V52" i="3"/>
  <c r="S52" i="3"/>
  <c r="P52" i="3"/>
  <c r="M52" i="3"/>
  <c r="J52" i="3"/>
  <c r="AE51" i="3"/>
  <c r="AB51" i="3"/>
  <c r="Y51" i="3"/>
  <c r="V51" i="3"/>
  <c r="S51" i="3"/>
  <c r="P51" i="3"/>
  <c r="M51" i="3"/>
  <c r="J51" i="3"/>
  <c r="AE50" i="3"/>
  <c r="AB50" i="3"/>
  <c r="Y50" i="3"/>
  <c r="V50" i="3"/>
  <c r="S50" i="3"/>
  <c r="P50" i="3"/>
  <c r="M50" i="3"/>
  <c r="J50" i="3"/>
  <c r="AE49" i="3"/>
  <c r="AB49" i="3"/>
  <c r="Y49" i="3"/>
  <c r="V49" i="3"/>
  <c r="S49" i="3"/>
  <c r="P49" i="3"/>
  <c r="M49" i="3"/>
  <c r="J49" i="3"/>
  <c r="AE48" i="3"/>
  <c r="AB48" i="3"/>
  <c r="Y48" i="3"/>
  <c r="V48" i="3"/>
  <c r="S48" i="3"/>
  <c r="P48" i="3"/>
  <c r="M48" i="3"/>
  <c r="J48" i="3"/>
  <c r="T47" i="3"/>
  <c r="S47" i="3"/>
  <c r="H47" i="3"/>
  <c r="G47" i="3"/>
  <c r="G46" i="3"/>
  <c r="P46" i="3" s="1"/>
  <c r="AE45" i="3"/>
  <c r="AB45" i="3"/>
  <c r="Y45" i="3"/>
  <c r="V45" i="3"/>
  <c r="S45" i="3"/>
  <c r="P45" i="3"/>
  <c r="M45" i="3"/>
  <c r="J45" i="3"/>
  <c r="AE44" i="3"/>
  <c r="AB44" i="3"/>
  <c r="Y44" i="3"/>
  <c r="V44" i="3"/>
  <c r="S44" i="3"/>
  <c r="P44" i="3"/>
  <c r="M44" i="3"/>
  <c r="J44" i="3"/>
  <c r="AE43" i="3"/>
  <c r="AB43" i="3"/>
  <c r="Y43" i="3"/>
  <c r="V43" i="3"/>
  <c r="S43" i="3"/>
  <c r="P43" i="3"/>
  <c r="M43" i="3"/>
  <c r="J43" i="3"/>
  <c r="AB42" i="3"/>
  <c r="AE41" i="3"/>
  <c r="AB41" i="3"/>
  <c r="Y41" i="3"/>
  <c r="V41" i="3"/>
  <c r="S41" i="3"/>
  <c r="P41" i="3"/>
  <c r="M41" i="3"/>
  <c r="J41" i="3"/>
  <c r="AE40" i="3"/>
  <c r="AB40" i="3"/>
  <c r="Y40" i="3"/>
  <c r="V40" i="3"/>
  <c r="S40" i="3"/>
  <c r="P40" i="3"/>
  <c r="M40" i="3"/>
  <c r="J40" i="3"/>
  <c r="AE39" i="3"/>
  <c r="AB39" i="3"/>
  <c r="Y39" i="3"/>
  <c r="V39" i="3"/>
  <c r="S39" i="3"/>
  <c r="P39" i="3"/>
  <c r="M39" i="3"/>
  <c r="J39" i="3"/>
  <c r="AE38" i="3"/>
  <c r="AB38" i="3"/>
  <c r="Y38" i="3"/>
  <c r="V38" i="3"/>
  <c r="S38" i="3"/>
  <c r="P38" i="3"/>
  <c r="M38" i="3"/>
  <c r="J38" i="3"/>
  <c r="J37" i="3"/>
  <c r="J36" i="3"/>
  <c r="AE35" i="3"/>
  <c r="AB35" i="3"/>
  <c r="Y35" i="3"/>
  <c r="V35" i="3"/>
  <c r="S35" i="3"/>
  <c r="P35" i="3"/>
  <c r="M35" i="3"/>
  <c r="J35" i="3"/>
  <c r="AE34" i="3"/>
  <c r="AB34" i="3"/>
  <c r="Y34" i="3"/>
  <c r="V34" i="3"/>
  <c r="S34" i="3"/>
  <c r="P34" i="3"/>
  <c r="M34" i="3"/>
  <c r="J34" i="3"/>
  <c r="AE33" i="3"/>
  <c r="G33" i="3"/>
  <c r="V33" i="3" s="1"/>
  <c r="G32" i="3"/>
  <c r="AB32" i="3" s="1"/>
  <c r="AE31" i="3"/>
  <c r="AB31" i="3"/>
  <c r="Y31" i="3"/>
  <c r="V31" i="3"/>
  <c r="S31" i="3"/>
  <c r="P31" i="3"/>
  <c r="M31" i="3"/>
  <c r="J31" i="3"/>
  <c r="AE30" i="3"/>
  <c r="AB30" i="3"/>
  <c r="Y30" i="3"/>
  <c r="V30" i="3"/>
  <c r="S30" i="3"/>
  <c r="P30" i="3"/>
  <c r="M30" i="3"/>
  <c r="J30" i="3"/>
  <c r="AE29" i="3"/>
  <c r="AB29" i="3"/>
  <c r="Y29" i="3"/>
  <c r="V29" i="3"/>
  <c r="S29" i="3"/>
  <c r="P29" i="3"/>
  <c r="M29" i="3"/>
  <c r="J29" i="3"/>
  <c r="AE28" i="3"/>
  <c r="AB28" i="3"/>
  <c r="Y28" i="3"/>
  <c r="V28" i="3"/>
  <c r="S28" i="3"/>
  <c r="P28" i="3"/>
  <c r="M28" i="3"/>
  <c r="J28" i="3"/>
  <c r="AE27" i="3"/>
  <c r="AB27" i="3"/>
  <c r="Y27" i="3"/>
  <c r="V27" i="3"/>
  <c r="S27" i="3"/>
  <c r="P27" i="3"/>
  <c r="M27" i="3"/>
  <c r="J27" i="3"/>
  <c r="AE26" i="3"/>
  <c r="AB26" i="3"/>
  <c r="Y26" i="3"/>
  <c r="V26" i="3"/>
  <c r="S26" i="3"/>
  <c r="P26" i="3"/>
  <c r="M26" i="3"/>
  <c r="J26" i="3"/>
  <c r="AE25" i="3"/>
  <c r="Z25" i="3"/>
  <c r="T25" i="3"/>
  <c r="N25" i="3"/>
  <c r="H25" i="3"/>
  <c r="G25" i="3"/>
  <c r="Z24" i="3"/>
  <c r="V24" i="3"/>
  <c r="T24" i="3"/>
  <c r="N24" i="3"/>
  <c r="H24" i="3"/>
  <c r="J24" i="3" s="1"/>
  <c r="G24" i="3"/>
  <c r="AE23" i="3"/>
  <c r="AB23" i="3"/>
  <c r="Y23" i="3"/>
  <c r="V23" i="3"/>
  <c r="S23" i="3"/>
  <c r="P23" i="3"/>
  <c r="M23" i="3"/>
  <c r="J23" i="3"/>
  <c r="AE22" i="3"/>
  <c r="AB22" i="3"/>
  <c r="Y22" i="3"/>
  <c r="V22" i="3"/>
  <c r="S22" i="3"/>
  <c r="P22" i="3"/>
  <c r="M22" i="3"/>
  <c r="J22" i="3"/>
  <c r="AE21" i="3"/>
  <c r="AB21" i="3"/>
  <c r="Y21" i="3"/>
  <c r="V21" i="3"/>
  <c r="S21" i="3"/>
  <c r="P21" i="3"/>
  <c r="M21" i="3"/>
  <c r="J21" i="3"/>
  <c r="Z20" i="3"/>
  <c r="T20" i="3"/>
  <c r="N20" i="3"/>
  <c r="M20" i="3"/>
  <c r="H20" i="3"/>
  <c r="G20" i="3"/>
  <c r="AB20" i="3" s="1"/>
  <c r="AE19" i="3"/>
  <c r="AB19" i="3"/>
  <c r="Y19" i="3"/>
  <c r="V19" i="3"/>
  <c r="P19" i="3"/>
  <c r="J19" i="3"/>
  <c r="AE18" i="3"/>
  <c r="AB18" i="3"/>
  <c r="Y18" i="3"/>
  <c r="V18" i="3"/>
  <c r="S18" i="3"/>
  <c r="P18" i="3"/>
  <c r="M18" i="3"/>
  <c r="J18" i="3"/>
  <c r="AE17" i="3"/>
  <c r="AB17" i="3"/>
  <c r="Y17" i="3"/>
  <c r="V17" i="3"/>
  <c r="S17" i="3"/>
  <c r="P17" i="3"/>
  <c r="M17" i="3"/>
  <c r="J17" i="3"/>
  <c r="AE16" i="3"/>
  <c r="AB16" i="3"/>
  <c r="Y16" i="3"/>
  <c r="V16" i="3"/>
  <c r="S16" i="3"/>
  <c r="P16" i="3"/>
  <c r="M16" i="3"/>
  <c r="J16" i="3"/>
  <c r="Z15" i="3"/>
  <c r="T15" i="3"/>
  <c r="N15" i="3"/>
  <c r="H15" i="3"/>
  <c r="G15" i="3"/>
  <c r="Z14" i="3"/>
  <c r="T14" i="3"/>
  <c r="N14" i="3"/>
  <c r="H14" i="3"/>
  <c r="G14" i="3"/>
  <c r="AE13" i="3"/>
  <c r="AB13" i="3"/>
  <c r="Y13" i="3"/>
  <c r="V13" i="3"/>
  <c r="S13" i="3"/>
  <c r="P13" i="3"/>
  <c r="M13" i="3"/>
  <c r="J13" i="3"/>
  <c r="AE12" i="3"/>
  <c r="AB12" i="3"/>
  <c r="Y12" i="3"/>
  <c r="V12" i="3"/>
  <c r="S12" i="3"/>
  <c r="P12" i="3"/>
  <c r="M12" i="3"/>
  <c r="J12" i="3"/>
  <c r="Z11" i="3"/>
  <c r="T11" i="3"/>
  <c r="N11" i="3"/>
  <c r="H11" i="3"/>
  <c r="G11" i="3"/>
  <c r="P11" i="3" s="1"/>
  <c r="Z10" i="3"/>
  <c r="AB10" i="3" s="1"/>
  <c r="T10" i="3"/>
  <c r="V10" i="3" s="1"/>
  <c r="N10" i="3"/>
  <c r="P10" i="3" s="1"/>
  <c r="H10" i="3"/>
  <c r="J10" i="3" s="1"/>
  <c r="AE9" i="3"/>
  <c r="AB9" i="3"/>
  <c r="Y9" i="3"/>
  <c r="V9" i="3"/>
  <c r="P9" i="3"/>
  <c r="J9" i="3"/>
  <c r="AE8" i="3"/>
  <c r="AB8" i="3"/>
  <c r="Y8" i="3"/>
  <c r="V8" i="3"/>
  <c r="S8" i="3"/>
  <c r="P8" i="3"/>
  <c r="M8" i="3"/>
  <c r="J8" i="3"/>
  <c r="AE7" i="3"/>
  <c r="AB7" i="3"/>
  <c r="Y7" i="3"/>
  <c r="V7" i="3"/>
  <c r="S7" i="3"/>
  <c r="P7" i="3"/>
  <c r="M7" i="3"/>
  <c r="J7" i="3"/>
  <c r="AE6" i="3"/>
  <c r="AB6" i="3"/>
  <c r="V6" i="3"/>
  <c r="M6" i="3"/>
  <c r="AE5" i="3"/>
  <c r="AB5" i="3"/>
  <c r="Y5" i="3"/>
  <c r="V5" i="3"/>
  <c r="S5" i="3"/>
  <c r="P5" i="3"/>
  <c r="M5" i="3"/>
  <c r="J5" i="3"/>
  <c r="AE4" i="3"/>
  <c r="AB4" i="3"/>
  <c r="Y4" i="3"/>
  <c r="V4" i="3"/>
  <c r="S4" i="3"/>
  <c r="P4" i="3"/>
  <c r="M4" i="3"/>
  <c r="J4" i="3"/>
  <c r="AE3" i="3"/>
  <c r="AB3" i="3"/>
  <c r="Y3" i="3"/>
  <c r="V3" i="3"/>
  <c r="S3" i="3"/>
  <c r="P3" i="3"/>
  <c r="M3" i="3"/>
  <c r="J3" i="3"/>
  <c r="AE2" i="3"/>
  <c r="AB2" i="3"/>
  <c r="Y2" i="3"/>
  <c r="V2" i="3"/>
  <c r="S2" i="3"/>
  <c r="P2" i="3"/>
  <c r="M2" i="3"/>
  <c r="J2" i="3"/>
  <c r="AB346" i="3" l="1"/>
  <c r="V346" i="3"/>
  <c r="S346" i="3"/>
  <c r="P346" i="3"/>
  <c r="M346" i="3"/>
  <c r="AF346" i="3" s="1"/>
  <c r="J346" i="3"/>
  <c r="S77" i="3"/>
  <c r="AB77" i="3"/>
  <c r="Y77" i="3"/>
  <c r="AF242" i="3"/>
  <c r="AB309" i="3"/>
  <c r="P309" i="3"/>
  <c r="M309" i="3"/>
  <c r="J309" i="3"/>
  <c r="Y309" i="3"/>
  <c r="J157" i="5"/>
  <c r="P179" i="3"/>
  <c r="AE179" i="3"/>
  <c r="AB179" i="3"/>
  <c r="M179" i="3"/>
  <c r="J179" i="3"/>
  <c r="AE93" i="3"/>
  <c r="AB93" i="3"/>
  <c r="Y93" i="3"/>
  <c r="M93" i="3"/>
  <c r="J93" i="3"/>
  <c r="V149" i="3"/>
  <c r="M180" i="3"/>
  <c r="P103" i="5"/>
  <c r="Y103" i="5"/>
  <c r="V103" i="5"/>
  <c r="S103" i="5"/>
  <c r="M103" i="5"/>
  <c r="J103" i="5"/>
  <c r="AE111" i="3"/>
  <c r="AB111" i="3"/>
  <c r="Y111" i="3"/>
  <c r="AE346" i="3"/>
  <c r="P14" i="3"/>
  <c r="AB14" i="3"/>
  <c r="AB201" i="3"/>
  <c r="S201" i="3"/>
  <c r="P201" i="3"/>
  <c r="AF82" i="3"/>
  <c r="AE186" i="3"/>
  <c r="AF229" i="3"/>
  <c r="AF233" i="3"/>
  <c r="AE371" i="3"/>
  <c r="AE425" i="3" s="1"/>
  <c r="AF4" i="5"/>
  <c r="AG4" i="5" s="1"/>
  <c r="AF33" i="5"/>
  <c r="AG33" i="5" s="1"/>
  <c r="AF34" i="5"/>
  <c r="AG34" i="5" s="1"/>
  <c r="AF35" i="5"/>
  <c r="AG35" i="5" s="1"/>
  <c r="AF98" i="5"/>
  <c r="AG98" i="5" s="1"/>
  <c r="AF101" i="5"/>
  <c r="AG101" i="5" s="1"/>
  <c r="AF102" i="5"/>
  <c r="AG102" i="5" s="1"/>
  <c r="AE113" i="5"/>
  <c r="AB180" i="3"/>
  <c r="AF228" i="3"/>
  <c r="AF230" i="3"/>
  <c r="P69" i="3"/>
  <c r="AE180" i="3"/>
  <c r="AF190" i="3"/>
  <c r="J289" i="3"/>
  <c r="AB371" i="3"/>
  <c r="J47" i="5"/>
  <c r="Y52" i="5"/>
  <c r="P20" i="3"/>
  <c r="AF43" i="3"/>
  <c r="AF45" i="3"/>
  <c r="AE69" i="3"/>
  <c r="P87" i="3"/>
  <c r="J149" i="3"/>
  <c r="P289" i="3"/>
  <c r="M371" i="3"/>
  <c r="V17" i="5"/>
  <c r="AE22" i="5"/>
  <c r="S113" i="5"/>
  <c r="Y55" i="5"/>
  <c r="J114" i="5"/>
  <c r="AF114" i="5" s="1"/>
  <c r="AG114" i="5" s="1"/>
  <c r="J139" i="5"/>
  <c r="J158" i="5"/>
  <c r="P33" i="3"/>
  <c r="AF70" i="3"/>
  <c r="J173" i="3"/>
  <c r="J186" i="3"/>
  <c r="S289" i="3"/>
  <c r="S365" i="3"/>
  <c r="P400" i="3"/>
  <c r="AE17" i="5"/>
  <c r="M22" i="5"/>
  <c r="AF24" i="5"/>
  <c r="AG24" i="5" s="1"/>
  <c r="AF28" i="5"/>
  <c r="AG28" i="5" s="1"/>
  <c r="AB47" i="5"/>
  <c r="AF131" i="5"/>
  <c r="AG131" i="5" s="1"/>
  <c r="AF132" i="5"/>
  <c r="AG132" i="5" s="1"/>
  <c r="J142" i="5"/>
  <c r="V11" i="3"/>
  <c r="S33" i="3"/>
  <c r="M167" i="3"/>
  <c r="M186" i="3"/>
  <c r="Y193" i="3"/>
  <c r="AF237" i="3"/>
  <c r="V289" i="3"/>
  <c r="AB365" i="3"/>
  <c r="P22" i="5"/>
  <c r="AF59" i="5"/>
  <c r="AG59" i="5" s="1"/>
  <c r="AF60" i="5"/>
  <c r="AG60" i="5" s="1"/>
  <c r="AF61" i="5"/>
  <c r="AG61" i="5" s="1"/>
  <c r="AF62" i="5"/>
  <c r="AG62" i="5" s="1"/>
  <c r="AF63" i="5"/>
  <c r="AG63" i="5" s="1"/>
  <c r="AF64" i="5"/>
  <c r="AG64" i="5" s="1"/>
  <c r="AF65" i="5"/>
  <c r="AG65" i="5" s="1"/>
  <c r="AF84" i="5"/>
  <c r="AG84" i="5" s="1"/>
  <c r="AF85" i="5"/>
  <c r="AG85" i="5" s="1"/>
  <c r="J143" i="5"/>
  <c r="AB33" i="3"/>
  <c r="AB64" i="3"/>
  <c r="J103" i="3"/>
  <c r="AF262" i="3"/>
  <c r="AF264" i="3"/>
  <c r="AF316" i="3"/>
  <c r="V124" i="3"/>
  <c r="AE124" i="3"/>
  <c r="S124" i="3"/>
  <c r="P124" i="3"/>
  <c r="V15" i="3"/>
  <c r="S15" i="3"/>
  <c r="J124" i="3"/>
  <c r="AF277" i="3"/>
  <c r="P25" i="3"/>
  <c r="AB25" i="3"/>
  <c r="S25" i="3"/>
  <c r="AF91" i="3"/>
  <c r="AF101" i="3"/>
  <c r="AF20" i="5"/>
  <c r="AG20" i="5" s="1"/>
  <c r="AF7" i="3"/>
  <c r="AF8" i="3"/>
  <c r="J14" i="3"/>
  <c r="P15" i="3"/>
  <c r="J25" i="3"/>
  <c r="AE47" i="3"/>
  <c r="AB47" i="3"/>
  <c r="AF79" i="3"/>
  <c r="AF80" i="3"/>
  <c r="AF81" i="3"/>
  <c r="M116" i="3"/>
  <c r="Y165" i="3"/>
  <c r="M192" i="3"/>
  <c r="AB219" i="3"/>
  <c r="J234" i="3"/>
  <c r="M238" i="3"/>
  <c r="AF298" i="3"/>
  <c r="P404" i="3"/>
  <c r="J404" i="3"/>
  <c r="AF32" i="5"/>
  <c r="AG32" i="5" s="1"/>
  <c r="AE154" i="3"/>
  <c r="M154" i="3"/>
  <c r="AF171" i="3"/>
  <c r="AF278" i="3"/>
  <c r="AF27" i="3"/>
  <c r="AF90" i="3"/>
  <c r="AF115" i="3"/>
  <c r="AF136" i="3"/>
  <c r="AF21" i="3"/>
  <c r="AF22" i="3"/>
  <c r="AF23" i="3"/>
  <c r="AE24" i="3"/>
  <c r="S24" i="3"/>
  <c r="AE64" i="3"/>
  <c r="Y64" i="3"/>
  <c r="M64" i="3"/>
  <c r="J64" i="3"/>
  <c r="AF84" i="3"/>
  <c r="AF86" i="3"/>
  <c r="V87" i="3"/>
  <c r="S87" i="3"/>
  <c r="J97" i="3"/>
  <c r="Y116" i="3"/>
  <c r="J125" i="3"/>
  <c r="AE125" i="3"/>
  <c r="AB125" i="3"/>
  <c r="AF147" i="3"/>
  <c r="AE149" i="3"/>
  <c r="P391" i="3"/>
  <c r="AE14" i="5"/>
  <c r="AF195" i="3"/>
  <c r="AF275" i="3"/>
  <c r="Y353" i="3"/>
  <c r="AB353" i="3"/>
  <c r="AF284" i="3"/>
  <c r="AF13" i="3"/>
  <c r="AF89" i="3"/>
  <c r="AF99" i="3"/>
  <c r="AF113" i="3"/>
  <c r="S154" i="3"/>
  <c r="AB244" i="3"/>
  <c r="M244" i="3"/>
  <c r="Y244" i="3"/>
  <c r="V244" i="3"/>
  <c r="S244" i="3"/>
  <c r="AF3" i="5"/>
  <c r="AG3" i="5" s="1"/>
  <c r="V20" i="3"/>
  <c r="AE20" i="3"/>
  <c r="J20" i="3"/>
  <c r="Y20" i="3"/>
  <c r="S20" i="3"/>
  <c r="AF52" i="3"/>
  <c r="AF213" i="3"/>
  <c r="AF215" i="3"/>
  <c r="AF216" i="3"/>
  <c r="AF217" i="3"/>
  <c r="V234" i="3"/>
  <c r="S238" i="3"/>
  <c r="P244" i="3"/>
  <c r="AE273" i="3"/>
  <c r="P273" i="3"/>
  <c r="J273" i="3"/>
  <c r="V325" i="3"/>
  <c r="M325" i="3"/>
  <c r="J325" i="3"/>
  <c r="AF348" i="3"/>
  <c r="Y356" i="3"/>
  <c r="J391" i="3"/>
  <c r="AF10" i="5"/>
  <c r="AG10" i="5" s="1"/>
  <c r="M165" i="3"/>
  <c r="AB165" i="3"/>
  <c r="AF170" i="3"/>
  <c r="AF274" i="3"/>
  <c r="P412" i="3"/>
  <c r="J412" i="3"/>
  <c r="AF28" i="3"/>
  <c r="J63" i="3"/>
  <c r="AB63" i="3"/>
  <c r="AE192" i="3"/>
  <c r="J192" i="3"/>
  <c r="Y192" i="3"/>
  <c r="V192" i="3"/>
  <c r="S192" i="3"/>
  <c r="J353" i="3"/>
  <c r="AF372" i="3"/>
  <c r="Y63" i="3"/>
  <c r="AF94" i="3"/>
  <c r="J116" i="3"/>
  <c r="V116" i="3"/>
  <c r="S116" i="3"/>
  <c r="P116" i="3"/>
  <c r="V165" i="3"/>
  <c r="V96" i="5"/>
  <c r="V99" i="5" s="1"/>
  <c r="V100" i="5" s="1"/>
  <c r="P96" i="5"/>
  <c r="AB96" i="5"/>
  <c r="AB99" i="5" s="1"/>
  <c r="AB100" i="5" s="1"/>
  <c r="M96" i="5"/>
  <c r="AF29" i="3"/>
  <c r="AE15" i="3"/>
  <c r="Y25" i="3"/>
  <c r="S64" i="3"/>
  <c r="AE234" i="3"/>
  <c r="V238" i="3"/>
  <c r="AE244" i="3"/>
  <c r="AF256" i="3"/>
  <c r="Y258" i="3"/>
  <c r="J258" i="3"/>
  <c r="AE258" i="3"/>
  <c r="S258" i="3"/>
  <c r="P258" i="3"/>
  <c r="AF80" i="5"/>
  <c r="AG80" i="5" s="1"/>
  <c r="P24" i="3"/>
  <c r="AF34" i="3"/>
  <c r="AF35" i="3"/>
  <c r="AF66" i="3"/>
  <c r="AF67" i="3"/>
  <c r="M124" i="3"/>
  <c r="S180" i="3"/>
  <c r="J207" i="3"/>
  <c r="AF221" i="3"/>
  <c r="V371" i="3"/>
  <c r="V425" i="3" s="1"/>
  <c r="AF19" i="5"/>
  <c r="AG19" i="5" s="1"/>
  <c r="J82" i="5"/>
  <c r="AE26" i="5"/>
  <c r="AE118" i="5"/>
  <c r="AF369" i="3"/>
  <c r="AF12" i="5"/>
  <c r="AG12" i="5" s="1"/>
  <c r="AF81" i="5"/>
  <c r="AG81" i="5" s="1"/>
  <c r="V14" i="3"/>
  <c r="AF49" i="3"/>
  <c r="AF51" i="3"/>
  <c r="AF138" i="3"/>
  <c r="AF166" i="3"/>
  <c r="AF290" i="3"/>
  <c r="AF291" i="3"/>
  <c r="AF292" i="3"/>
  <c r="AF295" i="3"/>
  <c r="M296" i="3"/>
  <c r="AF314" i="3"/>
  <c r="AF331" i="3"/>
  <c r="AF332" i="3"/>
  <c r="AF335" i="3"/>
  <c r="AF336" i="3"/>
  <c r="AF337" i="3"/>
  <c r="AF340" i="3"/>
  <c r="AF363" i="3"/>
  <c r="J371" i="3"/>
  <c r="AF7" i="5"/>
  <c r="AG7" i="5" s="1"/>
  <c r="AF11" i="5"/>
  <c r="AG11" i="5" s="1"/>
  <c r="AF15" i="5"/>
  <c r="AG15" i="5" s="1"/>
  <c r="AE23" i="5"/>
  <c r="AF104" i="5"/>
  <c r="AG104" i="5" s="1"/>
  <c r="AF105" i="5"/>
  <c r="AG105" i="5" s="1"/>
  <c r="AF106" i="5"/>
  <c r="AG106" i="5" s="1"/>
  <c r="AF107" i="5"/>
  <c r="AG107" i="5" s="1"/>
  <c r="AF108" i="5"/>
  <c r="AG108" i="5" s="1"/>
  <c r="AF109" i="5"/>
  <c r="AG109" i="5" s="1"/>
  <c r="AF111" i="5"/>
  <c r="AG111" i="5" s="1"/>
  <c r="AF112" i="5"/>
  <c r="AG112" i="5" s="1"/>
  <c r="AF125" i="5"/>
  <c r="AG125" i="5" s="1"/>
  <c r="AF126" i="5"/>
  <c r="AG126" i="5" s="1"/>
  <c r="AF127" i="5"/>
  <c r="AG127" i="5" s="1"/>
  <c r="AF128" i="5"/>
  <c r="AG128" i="5" s="1"/>
  <c r="M86" i="5"/>
  <c r="J119" i="5"/>
  <c r="AF119" i="5" s="1"/>
  <c r="AG119" i="5" s="1"/>
  <c r="AF8" i="5"/>
  <c r="AG8" i="5" s="1"/>
  <c r="AF16" i="5"/>
  <c r="AG16" i="5" s="1"/>
  <c r="AF79" i="5"/>
  <c r="AG79" i="5" s="1"/>
  <c r="AF50" i="3"/>
  <c r="AF53" i="3"/>
  <c r="AF3" i="3"/>
  <c r="AF4" i="3"/>
  <c r="V25" i="3"/>
  <c r="M33" i="3"/>
  <c r="AF38" i="3"/>
  <c r="AF41" i="3"/>
  <c r="M69" i="3"/>
  <c r="AF105" i="3"/>
  <c r="AF107" i="3"/>
  <c r="J111" i="3"/>
  <c r="AF126" i="3"/>
  <c r="AF127" i="3"/>
  <c r="AF129" i="3"/>
  <c r="Y149" i="3"/>
  <c r="AF157" i="3"/>
  <c r="J167" i="3"/>
  <c r="J197" i="3"/>
  <c r="J203" i="3"/>
  <c r="J208" i="3"/>
  <c r="J296" i="3"/>
  <c r="S309" i="3"/>
  <c r="AF321" i="3"/>
  <c r="J365" i="3"/>
  <c r="Y371" i="3"/>
  <c r="P388" i="3"/>
  <c r="AF53" i="5"/>
  <c r="AG53" i="5" s="1"/>
  <c r="AF54" i="5"/>
  <c r="AG54" i="5" s="1"/>
  <c r="V55" i="5"/>
  <c r="AF67" i="5"/>
  <c r="AG67" i="5" s="1"/>
  <c r="AF68" i="5"/>
  <c r="AG68" i="5" s="1"/>
  <c r="AF69" i="5"/>
  <c r="AG69" i="5" s="1"/>
  <c r="AF70" i="5"/>
  <c r="AG70" i="5" s="1"/>
  <c r="AF71" i="5"/>
  <c r="AG71" i="5" s="1"/>
  <c r="AF72" i="5"/>
  <c r="AG72" i="5" s="1"/>
  <c r="AF75" i="5"/>
  <c r="AG75" i="5" s="1"/>
  <c r="AF76" i="5"/>
  <c r="AG76" i="5" s="1"/>
  <c r="M82" i="5"/>
  <c r="M123" i="5"/>
  <c r="J146" i="5"/>
  <c r="J150" i="5"/>
  <c r="AF21" i="5"/>
  <c r="AG21" i="5" s="1"/>
  <c r="AF25" i="5"/>
  <c r="AG25" i="5" s="1"/>
  <c r="AF29" i="5"/>
  <c r="AG29" i="5" s="1"/>
  <c r="AF37" i="5"/>
  <c r="AG37" i="5" s="1"/>
  <c r="AF38" i="5"/>
  <c r="AG38" i="5" s="1"/>
  <c r="AF39" i="5"/>
  <c r="AG39" i="5" s="1"/>
  <c r="AF40" i="5"/>
  <c r="AG40" i="5" s="1"/>
  <c r="AF41" i="5"/>
  <c r="AG41" i="5" s="1"/>
  <c r="AF42" i="5"/>
  <c r="AG42" i="5" s="1"/>
  <c r="AF45" i="5"/>
  <c r="AG45" i="5" s="1"/>
  <c r="AF46" i="5"/>
  <c r="AG46" i="5" s="1"/>
  <c r="AB11" i="3"/>
  <c r="J15" i="3"/>
  <c r="AF16" i="3"/>
  <c r="AF17" i="3"/>
  <c r="J47" i="3"/>
  <c r="AB69" i="3"/>
  <c r="AF109" i="3"/>
  <c r="V110" i="3"/>
  <c r="V139" i="3"/>
  <c r="M149" i="3"/>
  <c r="AF174" i="3"/>
  <c r="P180" i="3"/>
  <c r="AF250" i="3"/>
  <c r="AF251" i="3"/>
  <c r="AF252" i="3"/>
  <c r="AF268" i="3"/>
  <c r="AF271" i="3"/>
  <c r="AF302" i="3"/>
  <c r="AF306" i="3"/>
  <c r="AF307" i="3"/>
  <c r="AF308" i="3"/>
  <c r="AE309" i="3"/>
  <c r="AB425" i="3"/>
  <c r="P371" i="3"/>
  <c r="P425" i="3" s="1"/>
  <c r="P407" i="3"/>
  <c r="AF9" i="5"/>
  <c r="AG9" i="5" s="1"/>
  <c r="AF49" i="5"/>
  <c r="AG49" i="5" s="1"/>
  <c r="AF50" i="5"/>
  <c r="AG50" i="5" s="1"/>
  <c r="AF51" i="5"/>
  <c r="AG51" i="5" s="1"/>
  <c r="AF88" i="5"/>
  <c r="AG88" i="5" s="1"/>
  <c r="AF89" i="5"/>
  <c r="AG89" i="5" s="1"/>
  <c r="AF90" i="5"/>
  <c r="AG90" i="5" s="1"/>
  <c r="AF91" i="5"/>
  <c r="AG91" i="5" s="1"/>
  <c r="AF94" i="5"/>
  <c r="AG94" i="5" s="1"/>
  <c r="AF95" i="5"/>
  <c r="AG95" i="5" s="1"/>
  <c r="AF115" i="5"/>
  <c r="AG115" i="5" s="1"/>
  <c r="AF116" i="5"/>
  <c r="AG116" i="5" s="1"/>
  <c r="AF117" i="5"/>
  <c r="AG117" i="5" s="1"/>
  <c r="AF120" i="5"/>
  <c r="AG120" i="5" s="1"/>
  <c r="AF121" i="5"/>
  <c r="AG121" i="5" s="1"/>
  <c r="AF122" i="5"/>
  <c r="AG122" i="5" s="1"/>
  <c r="M85" i="3"/>
  <c r="V108" i="3"/>
  <c r="M226" i="3"/>
  <c r="J85" i="3"/>
  <c r="P85" i="3"/>
  <c r="Y108" i="3"/>
  <c r="S226" i="3"/>
  <c r="V85" i="3"/>
  <c r="Y226" i="3"/>
  <c r="S85" i="3"/>
  <c r="Y85" i="3"/>
  <c r="J108" i="3"/>
  <c r="J118" i="5"/>
  <c r="V26" i="5"/>
  <c r="P27" i="5"/>
  <c r="M56" i="5"/>
  <c r="AE86" i="5"/>
  <c r="J56" i="5"/>
  <c r="AF18" i="5"/>
  <c r="AG18" i="5" s="1"/>
  <c r="J26" i="5"/>
  <c r="S27" i="5"/>
  <c r="Y86" i="5"/>
  <c r="Y87" i="5"/>
  <c r="AE123" i="5"/>
  <c r="M27" i="5"/>
  <c r="J86" i="5"/>
  <c r="J87" i="5"/>
  <c r="AE87" i="5"/>
  <c r="V123" i="5"/>
  <c r="J123" i="5"/>
  <c r="V118" i="5"/>
  <c r="Y123" i="5"/>
  <c r="P99" i="5"/>
  <c r="P100" i="5" s="1"/>
  <c r="AF23" i="5"/>
  <c r="AG23" i="5" s="1"/>
  <c r="AF110" i="5"/>
  <c r="AG110" i="5" s="1"/>
  <c r="AF14" i="5"/>
  <c r="AG14" i="5" s="1"/>
  <c r="AF2" i="5"/>
  <c r="AG2" i="5" s="1"/>
  <c r="AE36" i="5"/>
  <c r="AE27" i="5"/>
  <c r="J36" i="5"/>
  <c r="AE43" i="5"/>
  <c r="M47" i="5"/>
  <c r="AE52" i="5"/>
  <c r="J55" i="5"/>
  <c r="AB55" i="5"/>
  <c r="S56" i="5"/>
  <c r="J57" i="5"/>
  <c r="AB57" i="5"/>
  <c r="AE66" i="5"/>
  <c r="AF66" i="5" s="1"/>
  <c r="AG66" i="5" s="1"/>
  <c r="J73" i="5"/>
  <c r="AB73" i="5"/>
  <c r="Y77" i="5"/>
  <c r="S82" i="5"/>
  <c r="P86" i="5"/>
  <c r="S96" i="5"/>
  <c r="S99" i="5" s="1"/>
  <c r="S100" i="5" s="1"/>
  <c r="AE96" i="5"/>
  <c r="AE99" i="5" s="1"/>
  <c r="AE100" i="5" s="1"/>
  <c r="AB103" i="5"/>
  <c r="M118" i="5"/>
  <c r="Y118" i="5"/>
  <c r="V13" i="5"/>
  <c r="M17" i="5"/>
  <c r="AF17" i="5" s="1"/>
  <c r="AG17" i="5" s="1"/>
  <c r="V22" i="5"/>
  <c r="M26" i="5"/>
  <c r="M36" i="5"/>
  <c r="M43" i="5"/>
  <c r="P47" i="5"/>
  <c r="M52" i="5"/>
  <c r="AE55" i="5"/>
  <c r="V56" i="5"/>
  <c r="AE57" i="5"/>
  <c r="J77" i="5"/>
  <c r="S86" i="5"/>
  <c r="V87" i="5"/>
  <c r="AE103" i="5"/>
  <c r="J113" i="5"/>
  <c r="V113" i="5"/>
  <c r="S123" i="5"/>
  <c r="J129" i="5"/>
  <c r="V129" i="5"/>
  <c r="J6" i="5"/>
  <c r="AF6" i="5" s="1"/>
  <c r="AG6" i="5" s="1"/>
  <c r="P17" i="5"/>
  <c r="P26" i="5"/>
  <c r="P36" i="5"/>
  <c r="P43" i="5"/>
  <c r="S47" i="5"/>
  <c r="P52" i="5"/>
  <c r="M55" i="5"/>
  <c r="Y56" i="5"/>
  <c r="M57" i="5"/>
  <c r="M73" i="5"/>
  <c r="AE73" i="5"/>
  <c r="V82" i="5"/>
  <c r="J96" i="5"/>
  <c r="P118" i="5"/>
  <c r="AB118" i="5"/>
  <c r="Y57" i="5"/>
  <c r="J13" i="5"/>
  <c r="S17" i="5"/>
  <c r="J22" i="5"/>
  <c r="S26" i="5"/>
  <c r="S36" i="5"/>
  <c r="S43" i="5"/>
  <c r="V47" i="5"/>
  <c r="S52" i="5"/>
  <c r="P55" i="5"/>
  <c r="AB56" i="5"/>
  <c r="P57" i="5"/>
  <c r="P73" i="5"/>
  <c r="V86" i="5"/>
  <c r="M113" i="5"/>
  <c r="Y113" i="5"/>
  <c r="M129" i="5"/>
  <c r="Y129" i="5"/>
  <c r="V36" i="5"/>
  <c r="V43" i="5"/>
  <c r="V52" i="5"/>
  <c r="S55" i="5"/>
  <c r="S57" i="5"/>
  <c r="S73" i="5"/>
  <c r="S118" i="5"/>
  <c r="Y73" i="5"/>
  <c r="Y36" i="5"/>
  <c r="P113" i="5"/>
  <c r="P129" i="5"/>
  <c r="AB129" i="5"/>
  <c r="S129" i="5"/>
  <c r="AF59" i="3"/>
  <c r="AF76" i="3"/>
  <c r="AE77" i="3"/>
  <c r="S110" i="3"/>
  <c r="AB134" i="3"/>
  <c r="P134" i="3"/>
  <c r="S134" i="3"/>
  <c r="M134" i="3"/>
  <c r="Y134" i="3"/>
  <c r="AB139" i="3"/>
  <c r="P139" i="3"/>
  <c r="Y139" i="3"/>
  <c r="J139" i="3"/>
  <c r="S139" i="3"/>
  <c r="S343" i="3"/>
  <c r="P343" i="3"/>
  <c r="AE343" i="3"/>
  <c r="M343" i="3"/>
  <c r="AB343" i="3"/>
  <c r="J343" i="3"/>
  <c r="V343" i="3"/>
  <c r="Y343" i="3"/>
  <c r="P32" i="3"/>
  <c r="AF83" i="3"/>
  <c r="AF146" i="3"/>
  <c r="AE172" i="3"/>
  <c r="J172" i="3"/>
  <c r="AB172" i="3"/>
  <c r="AB181" i="3" s="1"/>
  <c r="P172" i="3"/>
  <c r="M172" i="3"/>
  <c r="Y172" i="3"/>
  <c r="Y42" i="3"/>
  <c r="AF100" i="3"/>
  <c r="S172" i="3"/>
  <c r="AF175" i="3"/>
  <c r="M272" i="3"/>
  <c r="AE272" i="3"/>
  <c r="J272" i="3"/>
  <c r="Y272" i="3"/>
  <c r="Y285" i="3" s="1"/>
  <c r="V272" i="3"/>
  <c r="V285" i="3" s="1"/>
  <c r="P272" i="3"/>
  <c r="S272" i="3"/>
  <c r="AB272" i="3"/>
  <c r="J11" i="3"/>
  <c r="Y33" i="3"/>
  <c r="J33" i="3"/>
  <c r="AF61" i="3"/>
  <c r="AF65" i="3"/>
  <c r="AE87" i="3"/>
  <c r="M87" i="3"/>
  <c r="J87" i="3"/>
  <c r="Y87" i="3"/>
  <c r="AF88" i="3"/>
  <c r="AF106" i="3"/>
  <c r="AF112" i="3"/>
  <c r="M139" i="3"/>
  <c r="AE139" i="3"/>
  <c r="AF153" i="3"/>
  <c r="P154" i="3"/>
  <c r="Y154" i="3"/>
  <c r="V154" i="3"/>
  <c r="AF163" i="3"/>
  <c r="V172" i="3"/>
  <c r="AF198" i="3"/>
  <c r="J32" i="3"/>
  <c r="P110" i="3"/>
  <c r="AE110" i="3"/>
  <c r="M110" i="3"/>
  <c r="J110" i="3"/>
  <c r="Y110" i="3"/>
  <c r="AB110" i="3"/>
  <c r="AE134" i="3"/>
  <c r="J154" i="3"/>
  <c r="Y156" i="3"/>
  <c r="V156" i="3"/>
  <c r="P156" i="3"/>
  <c r="P168" i="3" s="1"/>
  <c r="AF168" i="3" s="1"/>
  <c r="M156" i="3"/>
  <c r="AF183" i="3"/>
  <c r="AF187" i="3"/>
  <c r="AF188" i="3"/>
  <c r="AF189" i="3"/>
  <c r="AF194" i="3"/>
  <c r="AF199" i="3"/>
  <c r="S42" i="3"/>
  <c r="V42" i="3"/>
  <c r="P42" i="3"/>
  <c r="AF132" i="3"/>
  <c r="AF191" i="3"/>
  <c r="J42" i="3"/>
  <c r="AF44" i="3"/>
  <c r="AF75" i="3"/>
  <c r="AF5" i="3"/>
  <c r="V32" i="3"/>
  <c r="M42" i="3"/>
  <c r="Y6" i="3"/>
  <c r="J6" i="3"/>
  <c r="AF12" i="3"/>
  <c r="V46" i="3"/>
  <c r="AE46" i="3"/>
  <c r="AB46" i="3"/>
  <c r="J46" i="3"/>
  <c r="P77" i="3"/>
  <c r="M77" i="3"/>
  <c r="J77" i="3"/>
  <c r="S149" i="3"/>
  <c r="AF2" i="3"/>
  <c r="P6" i="3"/>
  <c r="AF30" i="3"/>
  <c r="AF39" i="3"/>
  <c r="AF40" i="3"/>
  <c r="AE42" i="3"/>
  <c r="Y46" i="3"/>
  <c r="S6" i="3"/>
  <c r="AB15" i="3"/>
  <c r="M15" i="3"/>
  <c r="Y15" i="3"/>
  <c r="AF18" i="3"/>
  <c r="AF31" i="3"/>
  <c r="P47" i="3"/>
  <c r="Y47" i="3"/>
  <c r="V47" i="3"/>
  <c r="M47" i="3"/>
  <c r="AF48" i="3"/>
  <c r="V77" i="3"/>
  <c r="AF114" i="3"/>
  <c r="AF130" i="3"/>
  <c r="AF141" i="3"/>
  <c r="AF184" i="3"/>
  <c r="M196" i="3"/>
  <c r="S196" i="3"/>
  <c r="P196" i="3"/>
  <c r="P210" i="3" s="1"/>
  <c r="J196" i="3"/>
  <c r="AB196" i="3"/>
  <c r="Y196" i="3"/>
  <c r="V196" i="3"/>
  <c r="Y69" i="3"/>
  <c r="AF128" i="3"/>
  <c r="V150" i="3"/>
  <c r="AF137" i="3"/>
  <c r="AF155" i="3"/>
  <c r="AE165" i="3"/>
  <c r="V176" i="3"/>
  <c r="S176" i="3"/>
  <c r="AE176" i="3"/>
  <c r="AF214" i="3"/>
  <c r="AF223" i="3"/>
  <c r="AF227" i="3"/>
  <c r="S285" i="3"/>
  <c r="AF202" i="3"/>
  <c r="AF218" i="3"/>
  <c r="AF231" i="3"/>
  <c r="AF232" i="3"/>
  <c r="AF102" i="3"/>
  <c r="Y124" i="3"/>
  <c r="AF148" i="3"/>
  <c r="AF152" i="3"/>
  <c r="P165" i="3"/>
  <c r="V167" i="3"/>
  <c r="S167" i="3"/>
  <c r="AF167" i="3" s="1"/>
  <c r="M176" i="3"/>
  <c r="AF177" i="3"/>
  <c r="AF178" i="3"/>
  <c r="AF185" i="3"/>
  <c r="AB186" i="3"/>
  <c r="Y186" i="3"/>
  <c r="V186" i="3"/>
  <c r="V210" i="3" s="1"/>
  <c r="AE193" i="3"/>
  <c r="AE210" i="3" s="1"/>
  <c r="AB193" i="3"/>
  <c r="AF200" i="3"/>
  <c r="S219" i="3"/>
  <c r="AB24" i="3"/>
  <c r="M24" i="3"/>
  <c r="Y24" i="3"/>
  <c r="AF26" i="3"/>
  <c r="S54" i="3"/>
  <c r="P64" i="3"/>
  <c r="J69" i="3"/>
  <c r="S93" i="3"/>
  <c r="P93" i="3"/>
  <c r="AF123" i="3"/>
  <c r="AB124" i="3"/>
  <c r="AF133" i="3"/>
  <c r="AB149" i="3"/>
  <c r="AB150" i="3" s="1"/>
  <c r="P149" i="3"/>
  <c r="AF162" i="3"/>
  <c r="S165" i="3"/>
  <c r="AF169" i="3"/>
  <c r="P176" i="3"/>
  <c r="Y179" i="3"/>
  <c r="V179" i="3"/>
  <c r="S179" i="3"/>
  <c r="AF179" i="3" s="1"/>
  <c r="V180" i="3"/>
  <c r="J180" i="3"/>
  <c r="AE201" i="3"/>
  <c r="V201" i="3"/>
  <c r="M201" i="3"/>
  <c r="J201" i="3"/>
  <c r="Y201" i="3"/>
  <c r="AF204" i="3"/>
  <c r="AF243" i="3"/>
  <c r="AF311" i="3"/>
  <c r="AF313" i="3"/>
  <c r="S315" i="3"/>
  <c r="P315" i="3"/>
  <c r="M315" i="3"/>
  <c r="AE315" i="3"/>
  <c r="J315" i="3"/>
  <c r="Y315" i="3"/>
  <c r="V315" i="3"/>
  <c r="AB315" i="3"/>
  <c r="AF361" i="3"/>
  <c r="AF374" i="3"/>
  <c r="Y219" i="3"/>
  <c r="AF276" i="3"/>
  <c r="AF293" i="3"/>
  <c r="AF294" i="3"/>
  <c r="AF318" i="3"/>
  <c r="AF319" i="3"/>
  <c r="V320" i="3"/>
  <c r="V329" i="3" s="1"/>
  <c r="S320" i="3"/>
  <c r="M320" i="3"/>
  <c r="J320" i="3"/>
  <c r="AB320" i="3"/>
  <c r="Y320" i="3"/>
  <c r="AF338" i="3"/>
  <c r="AF339" i="3"/>
  <c r="AF349" i="3"/>
  <c r="P320" i="3"/>
  <c r="AF341" i="3"/>
  <c r="AF350" i="3"/>
  <c r="AF351" i="3"/>
  <c r="S352" i="3"/>
  <c r="P352" i="3"/>
  <c r="AE352" i="3"/>
  <c r="M352" i="3"/>
  <c r="AB352" i="3"/>
  <c r="AB367" i="3" s="1"/>
  <c r="J352" i="3"/>
  <c r="V352" i="3"/>
  <c r="AF366" i="3"/>
  <c r="M425" i="3"/>
  <c r="AF370" i="3"/>
  <c r="AF373" i="3"/>
  <c r="AE85" i="3"/>
  <c r="AE108" i="3"/>
  <c r="AE116" i="3"/>
  <c r="AB192" i="3"/>
  <c r="AF212" i="3"/>
  <c r="AF222" i="3"/>
  <c r="AF236" i="3"/>
  <c r="AF253" i="3"/>
  <c r="M254" i="3"/>
  <c r="AE254" i="3"/>
  <c r="J254" i="3"/>
  <c r="Y254" i="3"/>
  <c r="V254" i="3"/>
  <c r="P254" i="3"/>
  <c r="AF257" i="3"/>
  <c r="AF259" i="3"/>
  <c r="M281" i="3"/>
  <c r="AF327" i="3"/>
  <c r="AF328" i="3"/>
  <c r="AF333" i="3"/>
  <c r="M334" i="3"/>
  <c r="J334" i="3"/>
  <c r="AB334" i="3"/>
  <c r="Y334" i="3"/>
  <c r="S334" i="3"/>
  <c r="P334" i="3"/>
  <c r="AF344" i="3"/>
  <c r="AF345" i="3"/>
  <c r="AF362" i="3"/>
  <c r="AF375" i="3"/>
  <c r="M219" i="3"/>
  <c r="AF260" i="3"/>
  <c r="AF261" i="3"/>
  <c r="AF267" i="3"/>
  <c r="AF282" i="3"/>
  <c r="AF283" i="3"/>
  <c r="AF287" i="3"/>
  <c r="AF288" i="3"/>
  <c r="AF299" i="3"/>
  <c r="AF303" i="3"/>
  <c r="AF304" i="3"/>
  <c r="AF322" i="3"/>
  <c r="AF323" i="3"/>
  <c r="V334" i="3"/>
  <c r="Y346" i="3"/>
  <c r="Y352" i="3"/>
  <c r="AF354" i="3"/>
  <c r="AF355" i="3"/>
  <c r="S356" i="3"/>
  <c r="P356" i="3"/>
  <c r="AE356" i="3"/>
  <c r="M356" i="3"/>
  <c r="AB356" i="3"/>
  <c r="J356" i="3"/>
  <c r="V356" i="3"/>
  <c r="AF364" i="3"/>
  <c r="P399" i="3"/>
  <c r="AF209" i="3"/>
  <c r="AF224" i="3"/>
  <c r="AF225" i="3"/>
  <c r="AF240" i="3"/>
  <c r="AF241" i="3"/>
  <c r="AF263" i="3"/>
  <c r="AF269" i="3"/>
  <c r="AF270" i="3"/>
  <c r="M289" i="3"/>
  <c r="AF305" i="3"/>
  <c r="AF312" i="3"/>
  <c r="AE334" i="3"/>
  <c r="Y425" i="3"/>
  <c r="M380" i="3"/>
  <c r="P387" i="3"/>
  <c r="P392" i="3"/>
  <c r="P234" i="3"/>
  <c r="J238" i="3"/>
  <c r="AE238" i="3"/>
  <c r="AB258" i="3"/>
  <c r="P296" i="3"/>
  <c r="Y325" i="3"/>
  <c r="S234" i="3"/>
  <c r="S296" i="3"/>
  <c r="AB325" i="3"/>
  <c r="AB329" i="3" s="1"/>
  <c r="AE365" i="3"/>
  <c r="J381" i="3"/>
  <c r="J387" i="3"/>
  <c r="AE226" i="3"/>
  <c r="Y234" i="3"/>
  <c r="P238" i="3"/>
  <c r="Y289" i="3"/>
  <c r="P325" i="3"/>
  <c r="AE325" i="3"/>
  <c r="M365" i="3"/>
  <c r="M381" i="3"/>
  <c r="AB234" i="3"/>
  <c r="Y296" i="3"/>
  <c r="P365" i="3"/>
  <c r="Y238" i="3"/>
  <c r="V258" i="3"/>
  <c r="AB273" i="3"/>
  <c r="AE296" i="3"/>
  <c r="V365" i="3"/>
  <c r="S371" i="3"/>
  <c r="S425" i="3" s="1"/>
  <c r="AB92" i="5" l="1"/>
  <c r="AB93" i="5" s="1"/>
  <c r="AF118" i="5"/>
  <c r="AG118" i="5" s="1"/>
  <c r="M265" i="3"/>
  <c r="M383" i="3"/>
  <c r="AE367" i="3"/>
  <c r="S329" i="3"/>
  <c r="M329" i="3"/>
  <c r="AF134" i="3"/>
  <c r="AF150" i="3" s="1"/>
  <c r="AE36" i="3"/>
  <c r="AF93" i="3"/>
  <c r="M285" i="3"/>
  <c r="AF309" i="3"/>
  <c r="AE285" i="3"/>
  <c r="J152" i="5"/>
  <c r="J153" i="5" s="1"/>
  <c r="M367" i="3"/>
  <c r="V367" i="3"/>
  <c r="AF47" i="3"/>
  <c r="AB36" i="3"/>
  <c r="S367" i="3"/>
  <c r="V36" i="3"/>
  <c r="AF234" i="3"/>
  <c r="M210" i="3"/>
  <c r="S36" i="3"/>
  <c r="AE30" i="5"/>
  <c r="AE31" i="5" s="1"/>
  <c r="P285" i="3"/>
  <c r="AF244" i="3"/>
  <c r="M163" i="5"/>
  <c r="M164" i="5" s="1"/>
  <c r="S210" i="3"/>
  <c r="S150" i="3"/>
  <c r="AF27" i="5"/>
  <c r="AG27" i="5" s="1"/>
  <c r="V265" i="3"/>
  <c r="Y210" i="3"/>
  <c r="AF96" i="5"/>
  <c r="AG96" i="5" s="1"/>
  <c r="AF123" i="5"/>
  <c r="AG123" i="5" s="1"/>
  <c r="AF47" i="5"/>
  <c r="AG47" i="5" s="1"/>
  <c r="AF82" i="5"/>
  <c r="AG82" i="5" s="1"/>
  <c r="AF192" i="3"/>
  <c r="AF24" i="3"/>
  <c r="AB210" i="3"/>
  <c r="AE54" i="3"/>
  <c r="AF52" i="5"/>
  <c r="AG52" i="5" s="1"/>
  <c r="AF26" i="5"/>
  <c r="AG26" i="5" s="1"/>
  <c r="V163" i="5"/>
  <c r="V164" i="5" s="1"/>
  <c r="V30" i="5"/>
  <c r="V31" i="5" s="1"/>
  <c r="AF289" i="3"/>
  <c r="P367" i="3"/>
  <c r="Y181" i="3"/>
  <c r="AF165" i="3"/>
  <c r="Y265" i="3"/>
  <c r="AE181" i="3"/>
  <c r="J133" i="5"/>
  <c r="J134" i="5" s="1"/>
  <c r="AF20" i="3"/>
  <c r="AB265" i="3"/>
  <c r="AF296" i="3"/>
  <c r="AF116" i="3"/>
  <c r="AF124" i="3"/>
  <c r="Y150" i="3"/>
  <c r="AE163" i="5"/>
  <c r="AE164" i="5" s="1"/>
  <c r="P54" i="3"/>
  <c r="P30" i="5"/>
  <c r="P31" i="5" s="1"/>
  <c r="AF103" i="5"/>
  <c r="AG103" i="5" s="1"/>
  <c r="AF325" i="3"/>
  <c r="AF22" i="5"/>
  <c r="AG22" i="5" s="1"/>
  <c r="AF226" i="3"/>
  <c r="S181" i="3"/>
  <c r="M54" i="3"/>
  <c r="Y54" i="3"/>
  <c r="Y367" i="3"/>
  <c r="AF149" i="3"/>
  <c r="AF64" i="3"/>
  <c r="M36" i="3"/>
  <c r="AB54" i="3"/>
  <c r="AF108" i="3"/>
  <c r="AF85" i="3"/>
  <c r="Y329" i="3"/>
  <c r="S265" i="3"/>
  <c r="P329" i="3"/>
  <c r="V92" i="5"/>
  <c r="V93" i="5" s="1"/>
  <c r="P92" i="5"/>
  <c r="P93" i="5" s="1"/>
  <c r="AF87" i="5"/>
  <c r="AG87" i="5" s="1"/>
  <c r="AF43" i="5"/>
  <c r="AG43" i="5" s="1"/>
  <c r="AB163" i="5"/>
  <c r="AB164" i="5" s="1"/>
  <c r="P163" i="5"/>
  <c r="P164" i="5" s="1"/>
  <c r="Y163" i="5"/>
  <c r="Y164" i="5" s="1"/>
  <c r="M92" i="5"/>
  <c r="M93" i="5" s="1"/>
  <c r="M99" i="5" s="1"/>
  <c r="M100" i="5" s="1"/>
  <c r="Y92" i="5"/>
  <c r="Y93" i="5" s="1"/>
  <c r="S92" i="5"/>
  <c r="S93" i="5" s="1"/>
  <c r="AF86" i="5"/>
  <c r="AG86" i="5" s="1"/>
  <c r="AF56" i="5"/>
  <c r="AG56" i="5" s="1"/>
  <c r="J163" i="5"/>
  <c r="J164" i="5" s="1"/>
  <c r="AF113" i="5"/>
  <c r="AG113" i="5" s="1"/>
  <c r="AF13" i="5"/>
  <c r="AG13" i="5" s="1"/>
  <c r="AF73" i="5"/>
  <c r="AG73" i="5" s="1"/>
  <c r="M30" i="5"/>
  <c r="M31" i="5" s="1"/>
  <c r="S163" i="5"/>
  <c r="S164" i="5" s="1"/>
  <c r="AF36" i="5"/>
  <c r="AG36" i="5" s="1"/>
  <c r="S30" i="5"/>
  <c r="S31" i="5" s="1"/>
  <c r="AF77" i="5"/>
  <c r="AG77" i="5" s="1"/>
  <c r="AF57" i="5"/>
  <c r="AG57" i="5" s="1"/>
  <c r="AF55" i="5"/>
  <c r="AG55" i="5" s="1"/>
  <c r="AF129" i="5"/>
  <c r="AG129" i="5" s="1"/>
  <c r="AE92" i="5"/>
  <c r="AE93" i="5" s="1"/>
  <c r="J30" i="5"/>
  <c r="J92" i="5"/>
  <c r="Y36" i="3"/>
  <c r="AF254" i="3"/>
  <c r="AF201" i="3"/>
  <c r="V54" i="3"/>
  <c r="AF110" i="3"/>
  <c r="AB285" i="3"/>
  <c r="AF343" i="3"/>
  <c r="AF15" i="3"/>
  <c r="AF371" i="3"/>
  <c r="AF352" i="3"/>
  <c r="AE265" i="3"/>
  <c r="P265" i="3"/>
  <c r="AF176" i="3"/>
  <c r="P36" i="3"/>
  <c r="AF154" i="3"/>
  <c r="M150" i="3"/>
  <c r="P181" i="3"/>
  <c r="AF365" i="3"/>
  <c r="AF334" i="3"/>
  <c r="AF320" i="3"/>
  <c r="AF156" i="3"/>
  <c r="AE150" i="3"/>
  <c r="AF33" i="3"/>
  <c r="AF186" i="3"/>
  <c r="AF238" i="3"/>
  <c r="AF356" i="3"/>
  <c r="V181" i="3"/>
  <c r="P150" i="3"/>
  <c r="AF258" i="3"/>
  <c r="AF315" i="3"/>
  <c r="M181" i="3"/>
  <c r="AF87" i="3"/>
  <c r="AF272" i="3"/>
  <c r="AF139" i="3"/>
  <c r="AF219" i="3"/>
  <c r="AE329" i="3"/>
  <c r="AF180" i="3"/>
  <c r="AF69" i="3"/>
  <c r="AF196" i="3"/>
  <c r="AF77" i="3"/>
  <c r="AF6" i="3"/>
  <c r="AF42" i="3"/>
  <c r="AF172" i="3"/>
  <c r="J31" i="5" l="1"/>
  <c r="AF31" i="5" s="1"/>
  <c r="AG31" i="5" s="1"/>
  <c r="AF30" i="5"/>
  <c r="AG30" i="5" s="1"/>
  <c r="AF163" i="5"/>
  <c r="J93" i="5"/>
  <c r="AF92" i="5"/>
  <c r="AG92" i="5" s="1"/>
  <c r="AF54" i="3"/>
  <c r="AF367" i="3"/>
  <c r="AF181" i="3"/>
  <c r="AF210" i="3"/>
  <c r="AF425" i="3"/>
  <c r="AF329" i="3"/>
  <c r="AF265" i="3"/>
  <c r="AF36" i="3"/>
  <c r="AF285" i="3"/>
  <c r="AF93" i="5" l="1"/>
  <c r="AG93" i="5" s="1"/>
  <c r="J99" i="5"/>
  <c r="AF164" i="5"/>
  <c r="AG163" i="5"/>
  <c r="AG164" i="5" s="1"/>
  <c r="J100" i="5" l="1"/>
  <c r="AF100" i="5" s="1"/>
  <c r="AG100" i="5" s="1"/>
  <c r="AF99" i="5"/>
  <c r="AG99" i="5" s="1"/>
  <c r="G65" i="6" l="1"/>
  <c r="G60" i="6"/>
  <c r="G59" i="6"/>
  <c r="G55" i="6"/>
  <c r="G54" i="6"/>
  <c r="G50" i="6"/>
  <c r="G49" i="6"/>
  <c r="G46" i="6"/>
  <c r="G45" i="6"/>
  <c r="G32" i="6"/>
  <c r="G31" i="6"/>
  <c r="G28" i="6"/>
  <c r="G27" i="6"/>
  <c r="G19" i="6"/>
  <c r="G18" i="6"/>
  <c r="G15" i="6"/>
  <c r="G14" i="6"/>
  <c r="G6" i="6"/>
  <c r="G5" i="6"/>
  <c r="G2" i="9"/>
  <c r="AE139" i="9" l="1"/>
  <c r="AE138" i="9"/>
  <c r="AE136" i="9"/>
  <c r="AE135" i="9"/>
  <c r="AB139" i="9"/>
  <c r="AB138" i="9"/>
  <c r="AB137" i="9"/>
  <c r="AB136" i="9"/>
  <c r="Z141" i="9"/>
  <c r="K141" i="9"/>
  <c r="H141" i="9"/>
  <c r="G141" i="9"/>
  <c r="G140" i="9"/>
  <c r="P140" i="9" s="1"/>
  <c r="M139" i="9"/>
  <c r="M138" i="9"/>
  <c r="M137" i="9"/>
  <c r="M136" i="9"/>
  <c r="G137" i="9"/>
  <c r="P137" i="9" s="1"/>
  <c r="G120" i="9"/>
  <c r="G114" i="9"/>
  <c r="G89" i="9"/>
  <c r="G70" i="9"/>
  <c r="G28" i="9"/>
  <c r="AC134" i="9"/>
  <c r="Z134" i="9"/>
  <c r="W134" i="9"/>
  <c r="T134" i="9"/>
  <c r="Q134" i="9"/>
  <c r="N134" i="9"/>
  <c r="K134" i="9"/>
  <c r="H134" i="9"/>
  <c r="G134" i="9"/>
  <c r="AB134" i="9" s="1"/>
  <c r="AC133" i="9"/>
  <c r="Z133" i="9"/>
  <c r="W133" i="9"/>
  <c r="T133" i="9"/>
  <c r="Q133" i="9"/>
  <c r="N133" i="9"/>
  <c r="K133" i="9"/>
  <c r="H133" i="9"/>
  <c r="G133" i="9"/>
  <c r="AE132" i="9"/>
  <c r="AB132" i="9"/>
  <c r="Y132" i="9"/>
  <c r="V132" i="9"/>
  <c r="S132" i="9"/>
  <c r="P132" i="9"/>
  <c r="M132" i="9"/>
  <c r="J132" i="9"/>
  <c r="AE131" i="9"/>
  <c r="AB131" i="9"/>
  <c r="Y131" i="9"/>
  <c r="V131" i="9"/>
  <c r="S131" i="9"/>
  <c r="P131" i="9"/>
  <c r="M131" i="9"/>
  <c r="J131" i="9"/>
  <c r="AE128" i="9"/>
  <c r="AE127" i="9"/>
  <c r="AC130" i="9"/>
  <c r="AC129" i="9"/>
  <c r="Z130" i="9"/>
  <c r="Z129" i="9"/>
  <c r="AB128" i="9"/>
  <c r="AB127" i="9"/>
  <c r="Y128" i="9"/>
  <c r="Y127" i="9"/>
  <c r="V128" i="9"/>
  <c r="V127" i="9"/>
  <c r="W130" i="9"/>
  <c r="W129" i="9"/>
  <c r="T130" i="9"/>
  <c r="T129" i="9"/>
  <c r="S128" i="9"/>
  <c r="S127" i="9"/>
  <c r="Q130" i="9"/>
  <c r="Q129" i="9"/>
  <c r="P139" i="9"/>
  <c r="P138" i="9"/>
  <c r="P136" i="9"/>
  <c r="P135" i="9"/>
  <c r="P128" i="9"/>
  <c r="P127" i="9"/>
  <c r="M135" i="9"/>
  <c r="M128" i="9"/>
  <c r="M127" i="9"/>
  <c r="N130" i="9"/>
  <c r="N129" i="9"/>
  <c r="K130" i="9"/>
  <c r="K129" i="9"/>
  <c r="H130" i="9"/>
  <c r="H129" i="9"/>
  <c r="J128" i="9"/>
  <c r="J127" i="9"/>
  <c r="G130" i="9"/>
  <c r="M130" i="9" s="1"/>
  <c r="G129" i="9"/>
  <c r="M129" i="9" s="1"/>
  <c r="G125" i="9"/>
  <c r="G124" i="9"/>
  <c r="G119" i="9"/>
  <c r="G108" i="9"/>
  <c r="G107" i="9"/>
  <c r="G103" i="9"/>
  <c r="G102" i="9"/>
  <c r="G98" i="9"/>
  <c r="G96" i="9"/>
  <c r="G95" i="9"/>
  <c r="G86" i="9"/>
  <c r="G85" i="9"/>
  <c r="G81" i="9"/>
  <c r="G80" i="9"/>
  <c r="G73" i="9"/>
  <c r="G55" i="9"/>
  <c r="G54" i="9"/>
  <c r="G47" i="9"/>
  <c r="G46" i="9"/>
  <c r="G42" i="9"/>
  <c r="G37" i="9"/>
  <c r="G36" i="9"/>
  <c r="G33" i="9"/>
  <c r="G23" i="9"/>
  <c r="G22" i="9"/>
  <c r="G19" i="9"/>
  <c r="G18" i="9"/>
  <c r="G15" i="9"/>
  <c r="G14" i="9"/>
  <c r="G11" i="9"/>
  <c r="G10" i="9"/>
  <c r="AE134" i="9" l="1"/>
  <c r="S130" i="9"/>
  <c r="P130" i="9"/>
  <c r="V130" i="9"/>
  <c r="S129" i="9"/>
  <c r="AE129" i="9"/>
  <c r="S134" i="9"/>
  <c r="AE130" i="9"/>
  <c r="Y130" i="9"/>
  <c r="S133" i="9"/>
  <c r="AB141" i="9"/>
  <c r="AE133" i="9"/>
  <c r="Y129" i="9"/>
  <c r="P129" i="9"/>
  <c r="AE137" i="9"/>
  <c r="AE140" i="9"/>
  <c r="V129" i="9"/>
  <c r="AB129" i="9"/>
  <c r="V133" i="9"/>
  <c r="AB130" i="9"/>
  <c r="M141" i="9"/>
  <c r="AB140" i="9"/>
  <c r="AE141" i="9"/>
  <c r="P141" i="9"/>
  <c r="M140" i="9"/>
  <c r="M133" i="9"/>
  <c r="Y133" i="9"/>
  <c r="M134" i="9"/>
  <c r="Y134" i="9"/>
  <c r="V134" i="9"/>
  <c r="P133" i="9"/>
  <c r="AB133" i="9"/>
  <c r="P134" i="9"/>
  <c r="Y46" i="20"/>
  <c r="Y43" i="20"/>
  <c r="Y42" i="20"/>
  <c r="Y41" i="20"/>
  <c r="Y40" i="20"/>
  <c r="Y39" i="20"/>
  <c r="Y38" i="20"/>
  <c r="Y37" i="20"/>
  <c r="Y35" i="20"/>
  <c r="Y34" i="20"/>
  <c r="P46" i="20"/>
  <c r="P43" i="20"/>
  <c r="P42" i="20"/>
  <c r="P41" i="20"/>
  <c r="P40" i="20"/>
  <c r="P39" i="20"/>
  <c r="P38" i="20"/>
  <c r="P37" i="20"/>
  <c r="M46" i="20"/>
  <c r="M44" i="20"/>
  <c r="M43" i="20"/>
  <c r="M42" i="20"/>
  <c r="M41" i="20"/>
  <c r="M40" i="20"/>
  <c r="M39" i="20"/>
  <c r="M38" i="20"/>
  <c r="M37" i="20"/>
  <c r="J46" i="20"/>
  <c r="J44" i="20"/>
  <c r="J43" i="20"/>
  <c r="J42" i="20"/>
  <c r="J41" i="20"/>
  <c r="J40" i="20"/>
  <c r="J39" i="20"/>
  <c r="J38" i="20"/>
  <c r="J37" i="20"/>
  <c r="W44" i="20"/>
  <c r="G45" i="20"/>
  <c r="P45" i="20" s="1"/>
  <c r="G44" i="20"/>
  <c r="G33" i="20"/>
  <c r="G32" i="20"/>
  <c r="G27" i="20"/>
  <c r="G26" i="20"/>
  <c r="G22" i="20"/>
  <c r="G21" i="20"/>
  <c r="G16" i="20"/>
  <c r="G15" i="20"/>
  <c r="X36" i="20"/>
  <c r="Y36" i="20" s="1"/>
  <c r="O36" i="20"/>
  <c r="L36" i="20"/>
  <c r="I36" i="20"/>
  <c r="AE236" i="25"/>
  <c r="AE235" i="25"/>
  <c r="AE234" i="25"/>
  <c r="AE233" i="25"/>
  <c r="AE232" i="25"/>
  <c r="AE231" i="25"/>
  <c r="AE230" i="25"/>
  <c r="AE229" i="25"/>
  <c r="AB236" i="25"/>
  <c r="AB235" i="25"/>
  <c r="AB234" i="25"/>
  <c r="AB233" i="25"/>
  <c r="AB232" i="25"/>
  <c r="AB231" i="25"/>
  <c r="AB230" i="25"/>
  <c r="AB229" i="25"/>
  <c r="Y236" i="25"/>
  <c r="Y235" i="25"/>
  <c r="Y234" i="25"/>
  <c r="Y233" i="25"/>
  <c r="Y232" i="25"/>
  <c r="Y231" i="25"/>
  <c r="Y230" i="25"/>
  <c r="Y229" i="25"/>
  <c r="V236" i="25"/>
  <c r="V235" i="25"/>
  <c r="V234" i="25"/>
  <c r="V233" i="25"/>
  <c r="V232" i="25"/>
  <c r="V231" i="25"/>
  <c r="V230" i="25"/>
  <c r="V229" i="25"/>
  <c r="S236" i="25"/>
  <c r="S235" i="25"/>
  <c r="S234" i="25"/>
  <c r="S233" i="25"/>
  <c r="S232" i="25"/>
  <c r="S231" i="25"/>
  <c r="S230" i="25"/>
  <c r="S229" i="25"/>
  <c r="P236" i="25"/>
  <c r="P235" i="25"/>
  <c r="P234" i="25"/>
  <c r="P233" i="25"/>
  <c r="P232" i="25"/>
  <c r="P231" i="25"/>
  <c r="P230" i="25"/>
  <c r="P229" i="25"/>
  <c r="M236" i="25"/>
  <c r="M235" i="25"/>
  <c r="M234" i="25"/>
  <c r="M233" i="25"/>
  <c r="M232" i="25"/>
  <c r="M231" i="25"/>
  <c r="M230" i="25"/>
  <c r="M229" i="25"/>
  <c r="J236" i="25"/>
  <c r="J235" i="25"/>
  <c r="J234" i="25"/>
  <c r="J233" i="25"/>
  <c r="J232" i="25"/>
  <c r="J231" i="25"/>
  <c r="J230" i="25"/>
  <c r="J229" i="25"/>
  <c r="AE228" i="25"/>
  <c r="AB228" i="25"/>
  <c r="Y228" i="25"/>
  <c r="V228" i="25"/>
  <c r="S228" i="25"/>
  <c r="P228" i="25"/>
  <c r="M228" i="25"/>
  <c r="J228" i="25"/>
  <c r="AD226" i="25"/>
  <c r="AD224" i="25"/>
  <c r="AD223" i="25"/>
  <c r="AA226" i="25"/>
  <c r="AA224" i="25"/>
  <c r="AA223" i="25"/>
  <c r="X226" i="25"/>
  <c r="X224" i="25"/>
  <c r="X223" i="25"/>
  <c r="U226" i="25"/>
  <c r="U224" i="25"/>
  <c r="U223" i="25"/>
  <c r="R226" i="25"/>
  <c r="R224" i="25"/>
  <c r="R223" i="25"/>
  <c r="O226" i="25"/>
  <c r="O224" i="25"/>
  <c r="O223" i="25"/>
  <c r="L226" i="25"/>
  <c r="L224" i="25"/>
  <c r="L223" i="25"/>
  <c r="I226" i="25"/>
  <c r="I223" i="25"/>
  <c r="I224" i="25"/>
  <c r="G226" i="25"/>
  <c r="G225" i="25"/>
  <c r="G221" i="25"/>
  <c r="G220" i="25"/>
  <c r="G216" i="25"/>
  <c r="G197" i="25"/>
  <c r="G196" i="25"/>
  <c r="G187" i="25"/>
  <c r="G184" i="25"/>
  <c r="G183" i="25"/>
  <c r="G178" i="25"/>
  <c r="G177" i="25"/>
  <c r="G172" i="25"/>
  <c r="G171" i="25"/>
  <c r="G168" i="25"/>
  <c r="G167" i="25"/>
  <c r="G147" i="25"/>
  <c r="G145" i="25"/>
  <c r="G141" i="25"/>
  <c r="G140" i="25"/>
  <c r="G134" i="25"/>
  <c r="G133" i="25"/>
  <c r="G126" i="25"/>
  <c r="G125" i="25"/>
  <c r="G118" i="25"/>
  <c r="G117" i="25"/>
  <c r="G106" i="25"/>
  <c r="G105" i="25"/>
  <c r="G102" i="25"/>
  <c r="G98" i="25"/>
  <c r="G97" i="25"/>
  <c r="G94" i="25"/>
  <c r="G93" i="25"/>
  <c r="G82" i="25"/>
  <c r="G81" i="25"/>
  <c r="G77" i="25"/>
  <c r="G76" i="25"/>
  <c r="G73" i="25"/>
  <c r="G72" i="25"/>
  <c r="G69" i="25"/>
  <c r="G68" i="25"/>
  <c r="G64" i="25"/>
  <c r="G63" i="25"/>
  <c r="G61" i="25"/>
  <c r="G60" i="25"/>
  <c r="G53" i="25"/>
  <c r="G52" i="25"/>
  <c r="G45" i="25"/>
  <c r="G44" i="25"/>
  <c r="G37" i="25"/>
  <c r="G36" i="25"/>
  <c r="G33" i="25"/>
  <c r="G32" i="25"/>
  <c r="G24" i="25"/>
  <c r="G22" i="25"/>
  <c r="G21" i="25"/>
  <c r="G18" i="25"/>
  <c r="G17" i="25"/>
  <c r="G12" i="25"/>
  <c r="G11" i="25"/>
  <c r="G8" i="25"/>
  <c r="G6" i="25"/>
  <c r="AF43" i="20" l="1"/>
  <c r="AG43" i="20" s="1"/>
  <c r="AF46" i="20"/>
  <c r="AG46" i="20" s="1"/>
  <c r="Y45" i="20"/>
  <c r="AF42" i="20"/>
  <c r="AG42" i="20" s="1"/>
  <c r="J45" i="20"/>
  <c r="Y44" i="20"/>
  <c r="AF230" i="25"/>
  <c r="AG230" i="25" s="1"/>
  <c r="M45" i="20"/>
  <c r="AF229" i="25"/>
  <c r="AG229" i="25" s="1"/>
  <c r="AF231" i="25"/>
  <c r="AG231" i="25" s="1"/>
  <c r="AF228" i="25"/>
  <c r="AG228" i="25" s="1"/>
  <c r="AF234" i="25"/>
  <c r="AG234" i="25" s="1"/>
  <c r="AF235" i="25"/>
  <c r="AG235" i="25" s="1"/>
  <c r="AF236" i="25"/>
  <c r="AG236" i="25" s="1"/>
  <c r="AF233" i="25"/>
  <c r="AG233" i="25" s="1"/>
  <c r="AF232" i="25"/>
  <c r="AG232" i="25" s="1"/>
  <c r="M224" i="25"/>
  <c r="M227" i="25"/>
  <c r="AE224" i="25"/>
  <c r="AE227" i="25"/>
  <c r="AE223" i="25"/>
  <c r="AB224" i="25"/>
  <c r="AB227" i="25"/>
  <c r="AB223" i="25"/>
  <c r="Y224" i="25"/>
  <c r="Y227" i="25"/>
  <c r="Y223" i="25"/>
  <c r="V224" i="25"/>
  <c r="V227" i="25"/>
  <c r="V223" i="25"/>
  <c r="S224" i="25"/>
  <c r="S227" i="25"/>
  <c r="P224" i="25"/>
  <c r="P227" i="25"/>
  <c r="S223" i="25"/>
  <c r="M223" i="25"/>
  <c r="P223" i="25"/>
  <c r="AC226" i="25"/>
  <c r="AC225" i="25"/>
  <c r="AE225" i="25" s="1"/>
  <c r="Z226" i="25"/>
  <c r="Z225" i="25"/>
  <c r="W226" i="25"/>
  <c r="W225" i="25"/>
  <c r="T226" i="25"/>
  <c r="T225" i="25"/>
  <c r="Q226" i="25"/>
  <c r="Q225" i="25"/>
  <c r="N238" i="25"/>
  <c r="N237" i="25"/>
  <c r="N226" i="25"/>
  <c r="N225" i="25"/>
  <c r="K226" i="25"/>
  <c r="K225" i="25"/>
  <c r="J227" i="25"/>
  <c r="H226" i="25"/>
  <c r="H225" i="25"/>
  <c r="J223" i="25"/>
  <c r="J224" i="25"/>
  <c r="N44" i="20"/>
  <c r="P44" i="20" s="1"/>
  <c r="AF44" i="20" s="1"/>
  <c r="AG44" i="20" s="1"/>
  <c r="Y50" i="20"/>
  <c r="AF50" i="20" s="1"/>
  <c r="AG50" i="20" s="1"/>
  <c r="AE37" i="20"/>
  <c r="AE38" i="20"/>
  <c r="AE39" i="20"/>
  <c r="AE40" i="20"/>
  <c r="AB37" i="20"/>
  <c r="AB38" i="20"/>
  <c r="AB39" i="20"/>
  <c r="AB40" i="20"/>
  <c r="V37" i="20"/>
  <c r="V38" i="20"/>
  <c r="V39" i="20"/>
  <c r="V40" i="20"/>
  <c r="S37" i="20"/>
  <c r="S38" i="20"/>
  <c r="S39" i="20"/>
  <c r="S40" i="20"/>
  <c r="AE36" i="20"/>
  <c r="AB36" i="20"/>
  <c r="V36" i="20"/>
  <c r="S36" i="20"/>
  <c r="P36" i="20"/>
  <c r="M36" i="20"/>
  <c r="J36" i="20"/>
  <c r="S20" i="33"/>
  <c r="S21" i="33" s="1"/>
  <c r="S24" i="33" s="1"/>
  <c r="AF40" i="20" l="1"/>
  <c r="AG40" i="20" s="1"/>
  <c r="AF39" i="20"/>
  <c r="AG39" i="20" s="1"/>
  <c r="AF38" i="20"/>
  <c r="AG38" i="20" s="1"/>
  <c r="AF37" i="20"/>
  <c r="AG37" i="20" s="1"/>
  <c r="AF36" i="20"/>
  <c r="AG36" i="20" s="1"/>
  <c r="AF45" i="20"/>
  <c r="AG45" i="20" s="1"/>
  <c r="AF223" i="25"/>
  <c r="AG223" i="25" s="1"/>
  <c r="AF224" i="25"/>
  <c r="AG224" i="25" s="1"/>
  <c r="AF227" i="25"/>
  <c r="AG227" i="25" s="1"/>
  <c r="M225" i="25"/>
  <c r="J226" i="25"/>
  <c r="V226" i="25"/>
  <c r="AB226" i="25"/>
  <c r="S226" i="25"/>
  <c r="Y226" i="25"/>
  <c r="AE226" i="25"/>
  <c r="P225" i="25"/>
  <c r="P226" i="25"/>
  <c r="S225" i="25"/>
  <c r="V225" i="25"/>
  <c r="Y225" i="25"/>
  <c r="AB225" i="25"/>
  <c r="M226" i="25"/>
  <c r="J225" i="25"/>
  <c r="AE41" i="20"/>
  <c r="S41" i="20"/>
  <c r="V41" i="20"/>
  <c r="AB41" i="20"/>
  <c r="O7" i="34"/>
  <c r="P7" i="34" s="1"/>
  <c r="O8" i="34"/>
  <c r="P8" i="34" s="1"/>
  <c r="O9" i="34"/>
  <c r="P9" i="34" s="1"/>
  <c r="O10" i="34"/>
  <c r="P10" i="34" s="1"/>
  <c r="O11" i="34"/>
  <c r="P11" i="34" s="1"/>
  <c r="O12" i="34"/>
  <c r="P12" i="34" s="1"/>
  <c r="O13" i="34"/>
  <c r="P13" i="34" s="1"/>
  <c r="O14" i="34"/>
  <c r="P14" i="34" s="1"/>
  <c r="O15" i="34"/>
  <c r="P15" i="34" s="1"/>
  <c r="O16" i="34"/>
  <c r="P16" i="34" s="1"/>
  <c r="O17" i="34"/>
  <c r="P17" i="34" s="1"/>
  <c r="O18" i="34"/>
  <c r="P18" i="34" s="1"/>
  <c r="O19" i="34"/>
  <c r="P19" i="34" s="1"/>
  <c r="O20" i="34"/>
  <c r="P20" i="34" s="1"/>
  <c r="O21" i="34"/>
  <c r="P21" i="34" s="1"/>
  <c r="O22" i="34"/>
  <c r="P22" i="34" s="1"/>
  <c r="O23" i="34"/>
  <c r="P23" i="34" s="1"/>
  <c r="O24" i="34"/>
  <c r="P24" i="34" s="1"/>
  <c r="O25" i="34"/>
  <c r="P25" i="34" s="1"/>
  <c r="O26" i="34"/>
  <c r="P26" i="34" s="1"/>
  <c r="O27" i="34"/>
  <c r="P27" i="34" s="1"/>
  <c r="O28" i="34"/>
  <c r="P28" i="34" s="1"/>
  <c r="O29" i="34"/>
  <c r="P29" i="34" s="1"/>
  <c r="O30" i="34"/>
  <c r="P30" i="34" s="1"/>
  <c r="O31" i="34"/>
  <c r="P31" i="34" s="1"/>
  <c r="O32" i="34"/>
  <c r="P32" i="34" s="1"/>
  <c r="O33" i="34"/>
  <c r="P33" i="34" s="1"/>
  <c r="O34" i="34"/>
  <c r="P34" i="34" s="1"/>
  <c r="O35" i="34"/>
  <c r="P35" i="34" s="1"/>
  <c r="O36" i="34"/>
  <c r="P36" i="34" s="1"/>
  <c r="O37" i="34"/>
  <c r="P37" i="34" s="1"/>
  <c r="O38" i="34"/>
  <c r="P38" i="34" s="1"/>
  <c r="O39" i="34"/>
  <c r="P39" i="34" s="1"/>
  <c r="O40" i="34"/>
  <c r="P40" i="34" s="1"/>
  <c r="O41" i="34"/>
  <c r="P41" i="34" s="1"/>
  <c r="O42" i="34"/>
  <c r="P42" i="34" s="1"/>
  <c r="O43" i="34"/>
  <c r="P43" i="34" s="1"/>
  <c r="O44" i="34"/>
  <c r="P44" i="34" s="1"/>
  <c r="O45" i="34"/>
  <c r="P45" i="34" s="1"/>
  <c r="O46" i="34"/>
  <c r="P46" i="34" s="1"/>
  <c r="O47" i="34"/>
  <c r="P47" i="34" s="1"/>
  <c r="O48" i="34"/>
  <c r="P48" i="34" s="1"/>
  <c r="O49" i="34"/>
  <c r="P49" i="34" s="1"/>
  <c r="O50" i="34"/>
  <c r="P50" i="34" s="1"/>
  <c r="O51" i="34"/>
  <c r="P51" i="34" s="1"/>
  <c r="O52" i="34"/>
  <c r="P52" i="34" s="1"/>
  <c r="O53" i="34"/>
  <c r="P53" i="34" s="1"/>
  <c r="O54" i="34"/>
  <c r="P54" i="34" s="1"/>
  <c r="O55" i="34"/>
  <c r="P55" i="34" s="1"/>
  <c r="O56" i="34"/>
  <c r="P56" i="34" s="1"/>
  <c r="O57" i="34"/>
  <c r="P57" i="34" s="1"/>
  <c r="O58" i="34"/>
  <c r="P58" i="34" s="1"/>
  <c r="O59" i="34"/>
  <c r="P59" i="34" s="1"/>
  <c r="O60" i="34"/>
  <c r="P60" i="34" s="1"/>
  <c r="O61" i="34"/>
  <c r="P61" i="34" s="1"/>
  <c r="O62" i="34"/>
  <c r="P62" i="34" s="1"/>
  <c r="O63" i="34"/>
  <c r="P63" i="34" s="1"/>
  <c r="O64" i="34"/>
  <c r="P64" i="34" s="1"/>
  <c r="O65" i="34"/>
  <c r="P65" i="34" s="1"/>
  <c r="O66" i="34"/>
  <c r="P66" i="34" s="1"/>
  <c r="O67" i="34"/>
  <c r="P67" i="34" s="1"/>
  <c r="O68" i="34"/>
  <c r="P68" i="34" s="1"/>
  <c r="O69" i="34"/>
  <c r="P69" i="34" s="1"/>
  <c r="O70" i="34"/>
  <c r="P70" i="34" s="1"/>
  <c r="O71" i="34"/>
  <c r="P71" i="34" s="1"/>
  <c r="O72" i="34"/>
  <c r="P72" i="34" s="1"/>
  <c r="O73" i="34"/>
  <c r="P73" i="34" s="1"/>
  <c r="O74" i="34"/>
  <c r="P74" i="34" s="1"/>
  <c r="O75" i="34"/>
  <c r="P75" i="34" s="1"/>
  <c r="O76" i="34"/>
  <c r="P76" i="34" s="1"/>
  <c r="O77" i="34"/>
  <c r="P77" i="34" s="1"/>
  <c r="O78" i="34"/>
  <c r="P78" i="34" s="1"/>
  <c r="O79" i="34"/>
  <c r="P79" i="34" s="1"/>
  <c r="O80" i="34"/>
  <c r="P80" i="34" s="1"/>
  <c r="O81" i="34"/>
  <c r="P81" i="34" s="1"/>
  <c r="O82" i="34"/>
  <c r="P82" i="34" s="1"/>
  <c r="O83" i="34"/>
  <c r="P83" i="34" s="1"/>
  <c r="O84" i="34"/>
  <c r="P84" i="34" s="1"/>
  <c r="O85" i="34"/>
  <c r="P85" i="34" s="1"/>
  <c r="O86" i="34"/>
  <c r="P86" i="34" s="1"/>
  <c r="O6" i="34"/>
  <c r="P6" i="34" l="1"/>
  <c r="O97" i="34"/>
  <c r="P97" i="34" s="1"/>
  <c r="AF41" i="20"/>
  <c r="AG41" i="20" s="1"/>
  <c r="AF226" i="25"/>
  <c r="AG226" i="25" s="1"/>
  <c r="AF225" i="25"/>
  <c r="AG225" i="25" s="1"/>
  <c r="G188" i="4"/>
  <c r="G187" i="4"/>
  <c r="G184" i="4"/>
  <c r="G183" i="4"/>
  <c r="G179" i="4"/>
  <c r="G178" i="4"/>
  <c r="G173" i="4"/>
  <c r="G170" i="4"/>
  <c r="G169" i="4"/>
  <c r="G165" i="4"/>
  <c r="G164" i="4"/>
  <c r="G152" i="4"/>
  <c r="G151" i="4"/>
  <c r="G147" i="4"/>
  <c r="G146" i="4"/>
  <c r="G141" i="4"/>
  <c r="G140" i="4"/>
  <c r="G137" i="4"/>
  <c r="G136" i="4"/>
  <c r="G131" i="4"/>
  <c r="G130" i="4"/>
  <c r="G121" i="4"/>
  <c r="G120" i="4"/>
  <c r="G112" i="4"/>
  <c r="G111" i="4"/>
  <c r="G108" i="4"/>
  <c r="G107" i="4"/>
  <c r="G104" i="4"/>
  <c r="G103" i="4"/>
  <c r="G93" i="4"/>
  <c r="G92" i="4"/>
  <c r="G87" i="4"/>
  <c r="G82" i="4"/>
  <c r="G79" i="4"/>
  <c r="G74" i="4"/>
  <c r="G72" i="4"/>
  <c r="G70" i="4"/>
  <c r="G68" i="4"/>
  <c r="G60" i="4"/>
  <c r="G58" i="4"/>
  <c r="G55" i="4"/>
  <c r="G49" i="4"/>
  <c r="G44" i="4"/>
  <c r="G39" i="4"/>
  <c r="G37" i="4"/>
  <c r="G36" i="4"/>
  <c r="G30" i="4"/>
  <c r="G29" i="4"/>
  <c r="G19" i="4"/>
  <c r="G18" i="4"/>
  <c r="G13" i="4"/>
  <c r="G12" i="4"/>
  <c r="G9" i="4"/>
  <c r="G8" i="4"/>
  <c r="C9" i="31" l="1"/>
  <c r="U7" i="30" l="1"/>
  <c r="U23" i="30"/>
  <c r="U31" i="30"/>
  <c r="U47" i="30"/>
  <c r="U55" i="30"/>
  <c r="U95" i="30"/>
  <c r="U103" i="30"/>
  <c r="U127" i="30"/>
  <c r="U135" i="30"/>
  <c r="U159" i="30"/>
  <c r="U167" i="30"/>
  <c r="U175" i="30"/>
  <c r="U183" i="30"/>
  <c r="U191" i="30"/>
  <c r="U207" i="30"/>
  <c r="U215" i="30"/>
  <c r="U223" i="30"/>
  <c r="U231" i="30"/>
  <c r="U239" i="30"/>
  <c r="U247" i="30"/>
  <c r="U255" i="30"/>
  <c r="U287" i="30"/>
  <c r="U295" i="30"/>
  <c r="U319" i="30"/>
  <c r="U327" i="30"/>
  <c r="U335" i="30"/>
  <c r="U343" i="30"/>
  <c r="U351" i="30"/>
  <c r="U359" i="30"/>
  <c r="U375" i="30"/>
  <c r="U407" i="30"/>
  <c r="U423" i="30"/>
  <c r="U431" i="30"/>
  <c r="U455" i="30"/>
  <c r="U479" i="30"/>
  <c r="U487" i="30"/>
  <c r="U495" i="30"/>
  <c r="U503" i="30"/>
  <c r="U519" i="30"/>
  <c r="U535" i="30"/>
  <c r="U543" i="30"/>
  <c r="U551" i="30"/>
  <c r="U559" i="30"/>
  <c r="U567" i="30"/>
  <c r="U583" i="30"/>
  <c r="U591" i="30"/>
  <c r="U599" i="30"/>
  <c r="U607" i="30"/>
  <c r="U615" i="30"/>
  <c r="U631" i="30"/>
  <c r="U639" i="30"/>
  <c r="U647" i="30"/>
  <c r="U663" i="30"/>
  <c r="U679" i="30"/>
  <c r="U8" i="30"/>
  <c r="U16" i="30"/>
  <c r="U40" i="30"/>
  <c r="U48" i="30"/>
  <c r="U56" i="30"/>
  <c r="U64" i="30"/>
  <c r="U80" i="30"/>
  <c r="U88" i="30"/>
  <c r="U96" i="30"/>
  <c r="U112" i="30"/>
  <c r="U120" i="30"/>
  <c r="U136" i="30"/>
  <c r="U144" i="30"/>
  <c r="U160" i="30"/>
  <c r="U176" i="30"/>
  <c r="U184" i="30"/>
  <c r="U200" i="30"/>
  <c r="U216" i="30"/>
  <c r="U240" i="30"/>
  <c r="U248" i="30"/>
  <c r="U256" i="30"/>
  <c r="U272" i="30"/>
  <c r="U280" i="30"/>
  <c r="U288" i="30"/>
  <c r="U296" i="30"/>
  <c r="U312" i="30"/>
  <c r="U328" i="30"/>
  <c r="U336" i="30"/>
  <c r="U344" i="30"/>
  <c r="U352" i="30"/>
  <c r="U360" i="30"/>
  <c r="U368" i="30"/>
  <c r="U384" i="30"/>
  <c r="U400" i="30"/>
  <c r="U408" i="30"/>
  <c r="U424" i="30"/>
  <c r="U440" i="30"/>
  <c r="U448" i="30"/>
  <c r="U456" i="30"/>
  <c r="U504" i="30"/>
  <c r="U520" i="30"/>
  <c r="U544" i="30"/>
  <c r="U552" i="30"/>
  <c r="U560" i="30"/>
  <c r="U568" i="30"/>
  <c r="U576" i="30"/>
  <c r="U584" i="30"/>
  <c r="U592" i="30"/>
  <c r="U600" i="30"/>
  <c r="U608" i="30"/>
  <c r="U616" i="30"/>
  <c r="U648" i="30"/>
  <c r="U664" i="30"/>
  <c r="U680" i="30"/>
  <c r="U9" i="30"/>
  <c r="U17" i="30"/>
  <c r="U41" i="30"/>
  <c r="U49" i="30"/>
  <c r="U65" i="30"/>
  <c r="U73" i="30"/>
  <c r="U89" i="30"/>
  <c r="U113" i="30"/>
  <c r="U121" i="30"/>
  <c r="U137" i="30"/>
  <c r="U153" i="30"/>
  <c r="U177" i="30"/>
  <c r="U185" i="30"/>
  <c r="U201" i="30"/>
  <c r="U217" i="30"/>
  <c r="U241" i="30"/>
  <c r="U249" i="30"/>
  <c r="U257" i="30"/>
  <c r="U265" i="30"/>
  <c r="U273" i="30"/>
  <c r="U281" i="30"/>
  <c r="U289" i="30"/>
  <c r="U305" i="30"/>
  <c r="U313" i="30"/>
  <c r="U321" i="30"/>
  <c r="U329" i="30"/>
  <c r="U337" i="30"/>
  <c r="U345" i="30"/>
  <c r="U353" i="30"/>
  <c r="U361" i="30"/>
  <c r="U369" i="30"/>
  <c r="U385" i="30"/>
  <c r="U393" i="30"/>
  <c r="U409" i="30"/>
  <c r="U425" i="30"/>
  <c r="U433" i="30"/>
  <c r="U441" i="30"/>
  <c r="U449" i="30"/>
  <c r="U457" i="30"/>
  <c r="U465" i="30"/>
  <c r="U473" i="30"/>
  <c r="U489" i="30"/>
  <c r="U505" i="30"/>
  <c r="U513" i="30"/>
  <c r="U521" i="30"/>
  <c r="U529" i="30"/>
  <c r="U553" i="30"/>
  <c r="U569" i="30"/>
  <c r="U577" i="30"/>
  <c r="U585" i="30"/>
  <c r="U609" i="30"/>
  <c r="U617" i="30"/>
  <c r="U625" i="30"/>
  <c r="U649" i="30"/>
  <c r="U657" i="30"/>
  <c r="U673" i="30"/>
  <c r="U681" i="30"/>
  <c r="U18" i="30"/>
  <c r="U26" i="30"/>
  <c r="U34" i="30"/>
  <c r="U42" i="30"/>
  <c r="U50" i="30"/>
  <c r="U66" i="30"/>
  <c r="U74" i="30"/>
  <c r="U82" i="30"/>
  <c r="U90" i="30"/>
  <c r="U106" i="30"/>
  <c r="U114" i="30"/>
  <c r="U122" i="30"/>
  <c r="U130" i="30"/>
  <c r="U146" i="30"/>
  <c r="U154" i="30"/>
  <c r="U170" i="30"/>
  <c r="U178" i="30"/>
  <c r="U186" i="30"/>
  <c r="U194" i="30"/>
  <c r="U210" i="30"/>
  <c r="U218" i="30"/>
  <c r="U226" i="30"/>
  <c r="U234" i="30"/>
  <c r="U242" i="30"/>
  <c r="U250" i="30"/>
  <c r="U258" i="30"/>
  <c r="U266" i="30"/>
  <c r="U282" i="30"/>
  <c r="U290" i="30"/>
  <c r="U306" i="30"/>
  <c r="U314" i="30"/>
  <c r="U322" i="30"/>
  <c r="U330" i="30"/>
  <c r="U338" i="30"/>
  <c r="U346" i="30"/>
  <c r="U354" i="30"/>
  <c r="U362" i="30"/>
  <c r="U370" i="30"/>
  <c r="U378" i="30"/>
  <c r="U386" i="30"/>
  <c r="U394" i="30"/>
  <c r="U402" i="30"/>
  <c r="U410" i="30"/>
  <c r="U450" i="30"/>
  <c r="U458" i="30"/>
  <c r="U466" i="30"/>
  <c r="U474" i="30"/>
  <c r="U482" i="30"/>
  <c r="U498" i="30"/>
  <c r="U514" i="30"/>
  <c r="U530" i="30"/>
  <c r="U538" i="30"/>
  <c r="U578" i="30"/>
  <c r="U586" i="30"/>
  <c r="U610" i="30"/>
  <c r="U618" i="30"/>
  <c r="U626" i="30"/>
  <c r="U634" i="30"/>
  <c r="U642" i="30"/>
  <c r="U650" i="30"/>
  <c r="U658" i="30"/>
  <c r="U674" i="30"/>
  <c r="U682" i="30"/>
  <c r="U3" i="30"/>
  <c r="U19" i="30"/>
  <c r="U27" i="30"/>
  <c r="U35" i="30"/>
  <c r="U51" i="30"/>
  <c r="U59" i="30"/>
  <c r="U75" i="30"/>
  <c r="U83" i="30"/>
  <c r="U99" i="30"/>
  <c r="U107" i="30"/>
  <c r="U123" i="30"/>
  <c r="U131" i="30"/>
  <c r="U163" i="30"/>
  <c r="U171" i="30"/>
  <c r="U179" i="30"/>
  <c r="U187" i="30"/>
  <c r="U195" i="30"/>
  <c r="U211" i="30"/>
  <c r="U219" i="30"/>
  <c r="U227" i="30"/>
  <c r="U235" i="30"/>
  <c r="U243" i="30"/>
  <c r="U251" i="30"/>
  <c r="U259" i="30"/>
  <c r="U267" i="30"/>
  <c r="U275" i="30"/>
  <c r="U283" i="30"/>
  <c r="U291" i="30"/>
  <c r="U299" i="30"/>
  <c r="U315" i="30"/>
  <c r="U323" i="30"/>
  <c r="U331" i="30"/>
  <c r="U339" i="30"/>
  <c r="U347" i="30"/>
  <c r="U355" i="30"/>
  <c r="U363" i="30"/>
  <c r="U371" i="30"/>
  <c r="U379" i="30"/>
  <c r="U387" i="30"/>
  <c r="U395" i="30"/>
  <c r="U403" i="30"/>
  <c r="U419" i="30"/>
  <c r="U4" i="30"/>
  <c r="U12" i="30"/>
  <c r="U28" i="30"/>
  <c r="U36" i="30"/>
  <c r="U52" i="30"/>
  <c r="U60" i="30"/>
  <c r="U76" i="30"/>
  <c r="U84" i="30"/>
  <c r="U100" i="30"/>
  <c r="U108" i="30"/>
  <c r="U124" i="30"/>
  <c r="U132" i="30"/>
  <c r="U140" i="30"/>
  <c r="U148" i="30"/>
  <c r="U164" i="30"/>
  <c r="U172" i="30"/>
  <c r="U196" i="30"/>
  <c r="U204" i="30"/>
  <c r="U220" i="30"/>
  <c r="U228" i="30"/>
  <c r="U236" i="30"/>
  <c r="U244" i="30"/>
  <c r="U260" i="30"/>
  <c r="U268" i="30"/>
  <c r="U276" i="30"/>
  <c r="U284" i="30"/>
  <c r="U292" i="30"/>
  <c r="U300" i="30"/>
  <c r="U308" i="30"/>
  <c r="U324" i="30"/>
  <c r="U332" i="30"/>
  <c r="U340" i="30"/>
  <c r="U348" i="30"/>
  <c r="U356" i="30"/>
  <c r="U364" i="30"/>
  <c r="U380" i="30"/>
  <c r="U396" i="30"/>
  <c r="U404" i="30"/>
  <c r="U412" i="30"/>
  <c r="U436" i="30"/>
  <c r="U444" i="30"/>
  <c r="U476" i="30"/>
  <c r="U484" i="30"/>
  <c r="U492" i="30"/>
  <c r="U508" i="30"/>
  <c r="U516" i="30"/>
  <c r="U524" i="30"/>
  <c r="U532" i="30"/>
  <c r="U540" i="30"/>
  <c r="U548" i="30"/>
  <c r="U556" i="30"/>
  <c r="U564" i="30"/>
  <c r="U572" i="30"/>
  <c r="U580" i="30"/>
  <c r="U588" i="30"/>
  <c r="U596" i="30"/>
  <c r="U636" i="30"/>
  <c r="U644" i="30"/>
  <c r="U668" i="30"/>
  <c r="U676" i="30"/>
  <c r="U21" i="30"/>
  <c r="U85" i="30"/>
  <c r="U117" i="30"/>
  <c r="U149" i="30"/>
  <c r="U181" i="30"/>
  <c r="U213" i="30"/>
  <c r="U277" i="30"/>
  <c r="U309" i="30"/>
  <c r="U341" i="30"/>
  <c r="U405" i="30"/>
  <c r="U475" i="30"/>
  <c r="U494" i="30"/>
  <c r="U539" i="30"/>
  <c r="U558" i="30"/>
  <c r="U581" i="30"/>
  <c r="U622" i="30"/>
  <c r="U667" i="30"/>
  <c r="U685" i="30"/>
  <c r="U693" i="30"/>
  <c r="U701" i="30"/>
  <c r="U709" i="30"/>
  <c r="U757" i="30"/>
  <c r="U773" i="30"/>
  <c r="U781" i="30"/>
  <c r="U797" i="30"/>
  <c r="U805" i="30"/>
  <c r="U813" i="30"/>
  <c r="U821" i="30"/>
  <c r="U829" i="30"/>
  <c r="U837" i="30"/>
  <c r="U853" i="30"/>
  <c r="U861" i="30"/>
  <c r="U877" i="30"/>
  <c r="U893" i="30"/>
  <c r="U901" i="30"/>
  <c r="U909" i="30"/>
  <c r="U917" i="30"/>
  <c r="U925" i="30"/>
  <c r="U933" i="30"/>
  <c r="U941" i="30"/>
  <c r="U949" i="30"/>
  <c r="U957" i="30"/>
  <c r="U965" i="30"/>
  <c r="U973" i="30"/>
  <c r="U981" i="30"/>
  <c r="U989" i="30"/>
  <c r="U997" i="30"/>
  <c r="U1005" i="30"/>
  <c r="U1013" i="30"/>
  <c r="U1021" i="30"/>
  <c r="U1029" i="30"/>
  <c r="U1037" i="30"/>
  <c r="U1053" i="30"/>
  <c r="U1061" i="30"/>
  <c r="U1069" i="30"/>
  <c r="U1085" i="30"/>
  <c r="U1093" i="30"/>
  <c r="U1109" i="30"/>
  <c r="U1117" i="30"/>
  <c r="U1133" i="30"/>
  <c r="U1149" i="30"/>
  <c r="U22" i="30"/>
  <c r="U54" i="30"/>
  <c r="U150" i="30"/>
  <c r="U182" i="30"/>
  <c r="U214" i="30"/>
  <c r="U246" i="30"/>
  <c r="U342" i="30"/>
  <c r="U374" i="30"/>
  <c r="U435" i="30"/>
  <c r="U454" i="30"/>
  <c r="U477" i="30"/>
  <c r="U499" i="30"/>
  <c r="U518" i="30"/>
  <c r="U563" i="30"/>
  <c r="U605" i="30"/>
  <c r="U627" i="30"/>
  <c r="U646" i="30"/>
  <c r="U669" i="30"/>
  <c r="U686" i="30"/>
  <c r="U694" i="30"/>
  <c r="U702" i="30"/>
  <c r="U710" i="30"/>
  <c r="U726" i="30"/>
  <c r="U734" i="30"/>
  <c r="U742" i="30"/>
  <c r="U758" i="30"/>
  <c r="U766" i="30"/>
  <c r="U774" i="30"/>
  <c r="U782" i="30"/>
  <c r="U798" i="30"/>
  <c r="U822" i="30"/>
  <c r="U830" i="30"/>
  <c r="U838" i="30"/>
  <c r="U854" i="30"/>
  <c r="U862" i="30"/>
  <c r="U870" i="30"/>
  <c r="U878" i="30"/>
  <c r="U886" i="30"/>
  <c r="U894" i="30"/>
  <c r="U902" i="30"/>
  <c r="U910" i="30"/>
  <c r="U918" i="30"/>
  <c r="U926" i="30"/>
  <c r="U934" i="30"/>
  <c r="U942" i="30"/>
  <c r="U950" i="30"/>
  <c r="U958" i="30"/>
  <c r="U966" i="30"/>
  <c r="U974" i="30"/>
  <c r="U982" i="30"/>
  <c r="U990" i="30"/>
  <c r="U998" i="30"/>
  <c r="U1006" i="30"/>
  <c r="U1014" i="30"/>
  <c r="U1022" i="30"/>
  <c r="U1030" i="30"/>
  <c r="U1038" i="30"/>
  <c r="U1062" i="30"/>
  <c r="U1070" i="30"/>
  <c r="U1086" i="30"/>
  <c r="U1094" i="30"/>
  <c r="U1110" i="30"/>
  <c r="U1126" i="30"/>
  <c r="U1134" i="30"/>
  <c r="U29" i="30"/>
  <c r="U61" i="30"/>
  <c r="U93" i="30"/>
  <c r="U157" i="30"/>
  <c r="U221" i="30"/>
  <c r="U317" i="30"/>
  <c r="U349" i="30"/>
  <c r="U381" i="30"/>
  <c r="U413" i="30"/>
  <c r="U437" i="30"/>
  <c r="U459" i="30"/>
  <c r="U478" i="30"/>
  <c r="U587" i="30"/>
  <c r="U606" i="30"/>
  <c r="U651" i="30"/>
  <c r="U670" i="30"/>
  <c r="U687" i="30"/>
  <c r="U695" i="30"/>
  <c r="U703" i="30"/>
  <c r="U711" i="30"/>
  <c r="U719" i="30"/>
  <c r="U727" i="30"/>
  <c r="U735" i="30"/>
  <c r="U743" i="30"/>
  <c r="U751" i="30"/>
  <c r="U759" i="30"/>
  <c r="U767" i="30"/>
  <c r="U791" i="30"/>
  <c r="U799" i="30"/>
  <c r="U807" i="30"/>
  <c r="U823" i="30"/>
  <c r="U831" i="30"/>
  <c r="U839" i="30"/>
  <c r="U847" i="30"/>
  <c r="U863" i="30"/>
  <c r="U871" i="30"/>
  <c r="U887" i="30"/>
  <c r="U895" i="30"/>
  <c r="U903" i="30"/>
  <c r="U911" i="30"/>
  <c r="U919" i="30"/>
  <c r="U927" i="30"/>
  <c r="U935" i="30"/>
  <c r="U943" i="30"/>
  <c r="U951" i="30"/>
  <c r="U959" i="30"/>
  <c r="U967" i="30"/>
  <c r="U975" i="30"/>
  <c r="U983" i="30"/>
  <c r="U991" i="30"/>
  <c r="U999" i="30"/>
  <c r="U1007" i="30"/>
  <c r="U1015" i="30"/>
  <c r="U1023" i="30"/>
  <c r="U1031" i="30"/>
  <c r="U1039" i="30"/>
  <c r="U1047" i="30"/>
  <c r="U1055" i="30"/>
  <c r="U1063" i="30"/>
  <c r="U1071" i="30"/>
  <c r="U1079" i="30"/>
  <c r="U1087" i="30"/>
  <c r="U1095" i="30"/>
  <c r="U1103" i="30"/>
  <c r="U1111" i="30"/>
  <c r="U1127" i="30"/>
  <c r="U1135" i="30"/>
  <c r="U1143" i="30"/>
  <c r="U1159" i="30"/>
  <c r="U30" i="30"/>
  <c r="U94" i="30"/>
  <c r="U190" i="30"/>
  <c r="U222" i="30"/>
  <c r="U254" i="30"/>
  <c r="U286" i="30"/>
  <c r="U318" i="30"/>
  <c r="U350" i="30"/>
  <c r="U438" i="30"/>
  <c r="U461" i="30"/>
  <c r="U483" i="30"/>
  <c r="U502" i="30"/>
  <c r="U525" i="30"/>
  <c r="U547" i="30"/>
  <c r="U611" i="30"/>
  <c r="U630" i="30"/>
  <c r="U653" i="30"/>
  <c r="U675" i="30"/>
  <c r="U688" i="30"/>
  <c r="U696" i="30"/>
  <c r="U712" i="30"/>
  <c r="U720" i="30"/>
  <c r="U736" i="30"/>
  <c r="U752" i="30"/>
  <c r="U792" i="30"/>
  <c r="U808" i="30"/>
  <c r="U816" i="30"/>
  <c r="U848" i="30"/>
  <c r="U888" i="30"/>
  <c r="U896" i="30"/>
  <c r="U904" i="30"/>
  <c r="U912" i="30"/>
  <c r="U920" i="30"/>
  <c r="U928" i="30"/>
  <c r="U936" i="30"/>
  <c r="U944" i="30"/>
  <c r="U952" i="30"/>
  <c r="U960" i="30"/>
  <c r="U968" i="30"/>
  <c r="U976" i="30"/>
  <c r="U984" i="30"/>
  <c r="U992" i="30"/>
  <c r="U1000" i="30"/>
  <c r="U1008" i="30"/>
  <c r="U1016" i="30"/>
  <c r="U1024" i="30"/>
  <c r="U1032" i="30"/>
  <c r="U1040" i="30"/>
  <c r="U1048" i="30"/>
  <c r="U1056" i="30"/>
  <c r="U1072" i="30"/>
  <c r="U1080" i="30"/>
  <c r="U1088" i="30"/>
  <c r="U1096" i="30"/>
  <c r="U1104" i="30"/>
  <c r="U1112" i="30"/>
  <c r="U1120" i="30"/>
  <c r="U1128" i="30"/>
  <c r="U1136" i="30"/>
  <c r="U1144" i="30"/>
  <c r="U1152" i="30"/>
  <c r="U1160" i="30"/>
  <c r="U38" i="30"/>
  <c r="U70" i="30"/>
  <c r="U166" i="30"/>
  <c r="U230" i="30"/>
  <c r="U262" i="30"/>
  <c r="U326" i="30"/>
  <c r="U358" i="30"/>
  <c r="U445" i="30"/>
  <c r="U486" i="30"/>
  <c r="U509" i="30"/>
  <c r="U550" i="30"/>
  <c r="U573" i="30"/>
  <c r="U595" i="30"/>
  <c r="U614" i="30"/>
  <c r="U637" i="30"/>
  <c r="U659" i="30"/>
  <c r="U678" i="30"/>
  <c r="U690" i="30"/>
  <c r="U698" i="30"/>
  <c r="U706" i="30"/>
  <c r="U722" i="30"/>
  <c r="U730" i="30"/>
  <c r="U738" i="30"/>
  <c r="U746" i="30"/>
  <c r="U762" i="30"/>
  <c r="U770" i="30"/>
  <c r="U778" i="30"/>
  <c r="U786" i="30"/>
  <c r="U802" i="30"/>
  <c r="U810" i="30"/>
  <c r="U818" i="30"/>
  <c r="U826" i="30"/>
  <c r="U834" i="30"/>
  <c r="U842" i="30"/>
  <c r="U850" i="30"/>
  <c r="U858" i="30"/>
  <c r="U866" i="30"/>
  <c r="U874" i="30"/>
  <c r="U882" i="30"/>
  <c r="U890" i="30"/>
  <c r="U898" i="30"/>
  <c r="U906" i="30"/>
  <c r="U914" i="30"/>
  <c r="U922" i="30"/>
  <c r="U930" i="30"/>
  <c r="U938" i="30"/>
  <c r="U946" i="30"/>
  <c r="U954" i="30"/>
  <c r="U962" i="30"/>
  <c r="U970" i="30"/>
  <c r="U978" i="30"/>
  <c r="U986" i="30"/>
  <c r="U994" i="30"/>
  <c r="U1002" i="30"/>
  <c r="U1010" i="30"/>
  <c r="U1018" i="30"/>
  <c r="U1026" i="30"/>
  <c r="U1034" i="30"/>
  <c r="U1042" i="30"/>
  <c r="U1050" i="30"/>
  <c r="U1066" i="30"/>
  <c r="U1082" i="30"/>
  <c r="U1090" i="30"/>
  <c r="U1098" i="30"/>
  <c r="U1122" i="30"/>
  <c r="U1130" i="30"/>
  <c r="U45" i="30"/>
  <c r="U206" i="30"/>
  <c r="U301" i="30"/>
  <c r="U389" i="30"/>
  <c r="U451" i="30"/>
  <c r="U510" i="30"/>
  <c r="U621" i="30"/>
  <c r="U683" i="30"/>
  <c r="U747" i="30"/>
  <c r="U769" i="30"/>
  <c r="U788" i="30"/>
  <c r="U875" i="30"/>
  <c r="U897" i="30"/>
  <c r="U916" i="30"/>
  <c r="U939" i="30"/>
  <c r="U961" i="30"/>
  <c r="U980" i="30"/>
  <c r="U1003" i="30"/>
  <c r="U1025" i="30"/>
  <c r="U1044" i="30"/>
  <c r="U1067" i="30"/>
  <c r="U1089" i="30"/>
  <c r="U1108" i="30"/>
  <c r="U1175" i="30"/>
  <c r="U1183" i="30"/>
  <c r="U1191" i="30"/>
  <c r="U1199" i="30"/>
  <c r="U1207" i="30"/>
  <c r="U1215" i="30"/>
  <c r="U1223" i="30"/>
  <c r="U1231" i="30"/>
  <c r="U1247" i="30"/>
  <c r="U1263" i="30"/>
  <c r="U1271" i="30"/>
  <c r="U1279" i="30"/>
  <c r="U1287" i="30"/>
  <c r="U1295" i="30"/>
  <c r="U1303" i="30"/>
  <c r="U1343" i="30"/>
  <c r="U1351" i="30"/>
  <c r="U1359" i="30"/>
  <c r="U1375" i="30"/>
  <c r="U1399" i="30"/>
  <c r="U1407" i="30"/>
  <c r="U1423" i="30"/>
  <c r="U1431" i="30"/>
  <c r="U1439" i="30"/>
  <c r="U1463" i="30"/>
  <c r="U1471" i="30"/>
  <c r="U1479" i="30"/>
  <c r="U1487" i="30"/>
  <c r="U1495" i="30"/>
  <c r="U1511" i="30"/>
  <c r="U1543" i="30"/>
  <c r="U1567" i="30"/>
  <c r="U1575" i="30"/>
  <c r="U1583" i="30"/>
  <c r="U1591" i="30"/>
  <c r="U46" i="30"/>
  <c r="U141" i="30"/>
  <c r="U229" i="30"/>
  <c r="U302" i="30"/>
  <c r="U397" i="30"/>
  <c r="U462" i="30"/>
  <c r="U515" i="30"/>
  <c r="U635" i="30"/>
  <c r="U684" i="30"/>
  <c r="U707" i="30"/>
  <c r="U748" i="30"/>
  <c r="U812" i="30"/>
  <c r="U835" i="30"/>
  <c r="U857" i="30"/>
  <c r="U876" i="30"/>
  <c r="U899" i="30"/>
  <c r="U921" i="30"/>
  <c r="U940" i="30"/>
  <c r="U963" i="30"/>
  <c r="U985" i="30"/>
  <c r="U1004" i="30"/>
  <c r="U1027" i="30"/>
  <c r="U1068" i="30"/>
  <c r="U1113" i="30"/>
  <c r="U1155" i="30"/>
  <c r="U1176" i="30"/>
  <c r="U1192" i="30"/>
  <c r="U1200" i="30"/>
  <c r="U1224" i="30"/>
  <c r="U1240" i="30"/>
  <c r="U1248" i="30"/>
  <c r="U1256" i="30"/>
  <c r="U1264" i="30"/>
  <c r="U1280" i="30"/>
  <c r="U1288" i="30"/>
  <c r="U1296" i="30"/>
  <c r="U1304" i="30"/>
  <c r="U1336" i="30"/>
  <c r="U1344" i="30"/>
  <c r="U1368" i="30"/>
  <c r="U1376" i="30"/>
  <c r="U1392" i="30"/>
  <c r="U1424" i="30"/>
  <c r="U1432" i="30"/>
  <c r="U1440" i="30"/>
  <c r="U1448" i="30"/>
  <c r="U1464" i="30"/>
  <c r="U1496" i="30"/>
  <c r="U1504" i="30"/>
  <c r="U1520" i="30"/>
  <c r="U1528" i="30"/>
  <c r="U1568" i="30"/>
  <c r="U1584" i="30"/>
  <c r="U69" i="30"/>
  <c r="U142" i="30"/>
  <c r="U237" i="30"/>
  <c r="U325" i="30"/>
  <c r="U469" i="30"/>
  <c r="U526" i="30"/>
  <c r="U579" i="30"/>
  <c r="U638" i="30"/>
  <c r="U689" i="30"/>
  <c r="U708" i="30"/>
  <c r="U731" i="30"/>
  <c r="U753" i="30"/>
  <c r="U795" i="30"/>
  <c r="U817" i="30"/>
  <c r="U836" i="30"/>
  <c r="U881" i="30"/>
  <c r="U900" i="30"/>
  <c r="U923" i="30"/>
  <c r="U945" i="30"/>
  <c r="U964" i="30"/>
  <c r="U987" i="30"/>
  <c r="U1009" i="30"/>
  <c r="U1028" i="30"/>
  <c r="U1073" i="30"/>
  <c r="U1137" i="30"/>
  <c r="U1156" i="30"/>
  <c r="U1169" i="30"/>
  <c r="U1177" i="30"/>
  <c r="U1185" i="30"/>
  <c r="U1201" i="30"/>
  <c r="U1217" i="30"/>
  <c r="U1225" i="30"/>
  <c r="U1241" i="30"/>
  <c r="U1257" i="30"/>
  <c r="U1273" i="30"/>
  <c r="U1281" i="30"/>
  <c r="U1289" i="30"/>
  <c r="U1297" i="30"/>
  <c r="U1305" i="30"/>
  <c r="U1313" i="30"/>
  <c r="U1321" i="30"/>
  <c r="U1329" i="30"/>
  <c r="U1337" i="30"/>
  <c r="U1353" i="30"/>
  <c r="U1369" i="30"/>
  <c r="U1377" i="30"/>
  <c r="U1385" i="30"/>
  <c r="U1393" i="30"/>
  <c r="U1417" i="30"/>
  <c r="U1433" i="30"/>
  <c r="U1449" i="30"/>
  <c r="U1457" i="30"/>
  <c r="U1465" i="30"/>
  <c r="U1505" i="30"/>
  <c r="U1521" i="30"/>
  <c r="U1529" i="30"/>
  <c r="U1537" i="30"/>
  <c r="U1553" i="30"/>
  <c r="U1561" i="30"/>
  <c r="U1569" i="30"/>
  <c r="U1585" i="30"/>
  <c r="U77" i="30"/>
  <c r="U238" i="30"/>
  <c r="U333" i="30"/>
  <c r="U421" i="30"/>
  <c r="U470" i="30"/>
  <c r="U533" i="30"/>
  <c r="U643" i="30"/>
  <c r="U691" i="30"/>
  <c r="U732" i="30"/>
  <c r="U777" i="30"/>
  <c r="U796" i="30"/>
  <c r="U819" i="30"/>
  <c r="U883" i="30"/>
  <c r="U905" i="30"/>
  <c r="U924" i="30"/>
  <c r="U947" i="30"/>
  <c r="U969" i="30"/>
  <c r="U988" i="30"/>
  <c r="U1011" i="30"/>
  <c r="U1033" i="30"/>
  <c r="U1052" i="30"/>
  <c r="U1075" i="30"/>
  <c r="U1097" i="30"/>
  <c r="U1116" i="30"/>
  <c r="U1139" i="30"/>
  <c r="U1161" i="30"/>
  <c r="U1170" i="30"/>
  <c r="U1178" i="30"/>
  <c r="U1186" i="30"/>
  <c r="U1210" i="30"/>
  <c r="U1218" i="30"/>
  <c r="U1226" i="30"/>
  <c r="U1234" i="30"/>
  <c r="U1242" i="30"/>
  <c r="U1258" i="30"/>
  <c r="U1274" i="30"/>
  <c r="U1282" i="30"/>
  <c r="U1298" i="30"/>
  <c r="U1314" i="30"/>
  <c r="U1322" i="30"/>
  <c r="U1330" i="30"/>
  <c r="U1354" i="30"/>
  <c r="U1362" i="30"/>
  <c r="U1378" i="30"/>
  <c r="U1386" i="30"/>
  <c r="U1394" i="30"/>
  <c r="U1402" i="30"/>
  <c r="U1410" i="30"/>
  <c r="U1418" i="30"/>
  <c r="U1434" i="30"/>
  <c r="U1450" i="30"/>
  <c r="U1458" i="30"/>
  <c r="U1474" i="30"/>
  <c r="U1482" i="30"/>
  <c r="U1490" i="30"/>
  <c r="U1498" i="30"/>
  <c r="U1514" i="30"/>
  <c r="U1538" i="30"/>
  <c r="U1546" i="30"/>
  <c r="U1554" i="30"/>
  <c r="U1562" i="30"/>
  <c r="U1578" i="30"/>
  <c r="U1586" i="30"/>
  <c r="U13" i="30"/>
  <c r="U101" i="30"/>
  <c r="U174" i="30"/>
  <c r="U357" i="30"/>
  <c r="U429" i="30"/>
  <c r="U549" i="30"/>
  <c r="U697" i="30"/>
  <c r="U716" i="30"/>
  <c r="U739" i="30"/>
  <c r="U761" i="30"/>
  <c r="U803" i="30"/>
  <c r="U867" i="30"/>
  <c r="U889" i="30"/>
  <c r="U908" i="30"/>
  <c r="U931" i="30"/>
  <c r="U953" i="30"/>
  <c r="U972" i="30"/>
  <c r="U995" i="30"/>
  <c r="U1017" i="30"/>
  <c r="U1036" i="30"/>
  <c r="U1081" i="30"/>
  <c r="U1100" i="30"/>
  <c r="U1123" i="30"/>
  <c r="U1145" i="30"/>
  <c r="U1164" i="30"/>
  <c r="U1172" i="30"/>
  <c r="U1180" i="30"/>
  <c r="U1188" i="30"/>
  <c r="U1196" i="30"/>
  <c r="U1204" i="30"/>
  <c r="U1236" i="30"/>
  <c r="U1252" i="30"/>
  <c r="U1260" i="30"/>
  <c r="U1268" i="30"/>
  <c r="U1284" i="30"/>
  <c r="U1292" i="30"/>
  <c r="U1300" i="30"/>
  <c r="U1308" i="30"/>
  <c r="U1332" i="30"/>
  <c r="U1340" i="30"/>
  <c r="U1348" i="30"/>
  <c r="U1372" i="30"/>
  <c r="U1380" i="30"/>
  <c r="U1388" i="30"/>
  <c r="U1412" i="30"/>
  <c r="U1420" i="30"/>
  <c r="U1428" i="30"/>
  <c r="U1436" i="30"/>
  <c r="U1444" i="30"/>
  <c r="U1468" i="30"/>
  <c r="U1484" i="30"/>
  <c r="U1500" i="30"/>
  <c r="U1508" i="30"/>
  <c r="U1516" i="30"/>
  <c r="U1524" i="30"/>
  <c r="U1532" i="30"/>
  <c r="U1540" i="30"/>
  <c r="U1548" i="30"/>
  <c r="U1572" i="30"/>
  <c r="U1588" i="30"/>
  <c r="U109" i="30"/>
  <c r="U334" i="30"/>
  <c r="U662" i="30"/>
  <c r="U737" i="30"/>
  <c r="U787" i="30"/>
  <c r="U849" i="30"/>
  <c r="U907" i="30"/>
  <c r="U956" i="30"/>
  <c r="U1019" i="30"/>
  <c r="U1076" i="30"/>
  <c r="U1129" i="30"/>
  <c r="U1173" i="30"/>
  <c r="U1195" i="30"/>
  <c r="U1214" i="30"/>
  <c r="U1237" i="30"/>
  <c r="U1259" i="30"/>
  <c r="U1278" i="30"/>
  <c r="U1301" i="30"/>
  <c r="U1342" i="30"/>
  <c r="U1365" i="30"/>
  <c r="U1387" i="30"/>
  <c r="U1406" i="30"/>
  <c r="U1470" i="30"/>
  <c r="U1515" i="30"/>
  <c r="U1534" i="30"/>
  <c r="U1557" i="30"/>
  <c r="U1579" i="30"/>
  <c r="U1594" i="30"/>
  <c r="U1602" i="30"/>
  <c r="U1610" i="30"/>
  <c r="U1618" i="30"/>
  <c r="U1634" i="30"/>
  <c r="U1650" i="30"/>
  <c r="U1682" i="30"/>
  <c r="U1690" i="30"/>
  <c r="U1698" i="30"/>
  <c r="U1706" i="30"/>
  <c r="U1738" i="30"/>
  <c r="U1746" i="30"/>
  <c r="U1818" i="30"/>
  <c r="U1826" i="30"/>
  <c r="U1842" i="30"/>
  <c r="U1850" i="30"/>
  <c r="U1858" i="30"/>
  <c r="U1866" i="30"/>
  <c r="U1874" i="30"/>
  <c r="U1890" i="30"/>
  <c r="U1914" i="30"/>
  <c r="U1922" i="30"/>
  <c r="U1930" i="30"/>
  <c r="U1946" i="30"/>
  <c r="U1954" i="30"/>
  <c r="U1970" i="30"/>
  <c r="U1978" i="30"/>
  <c r="U1994" i="30"/>
  <c r="U2010" i="30"/>
  <c r="U365" i="30"/>
  <c r="U534" i="30"/>
  <c r="U677" i="30"/>
  <c r="U913" i="30"/>
  <c r="U971" i="30"/>
  <c r="U1020" i="30"/>
  <c r="U1140" i="30"/>
  <c r="U1174" i="30"/>
  <c r="U1302" i="30"/>
  <c r="U1325" i="30"/>
  <c r="U1347" i="30"/>
  <c r="U1366" i="30"/>
  <c r="U1389" i="30"/>
  <c r="U1411" i="30"/>
  <c r="U1453" i="30"/>
  <c r="U1475" i="30"/>
  <c r="U1517" i="30"/>
  <c r="U1539" i="30"/>
  <c r="U1558" i="30"/>
  <c r="U1595" i="30"/>
  <c r="U1603" i="30"/>
  <c r="U1619" i="30"/>
  <c r="U1651" i="30"/>
  <c r="U1667" i="30"/>
  <c r="U1675" i="30"/>
  <c r="U1683" i="30"/>
  <c r="U1691" i="30"/>
  <c r="U1699" i="30"/>
  <c r="U1707" i="30"/>
  <c r="U1715" i="30"/>
  <c r="U1723" i="30"/>
  <c r="U1731" i="30"/>
  <c r="U1739" i="30"/>
  <c r="U1747" i="30"/>
  <c r="U1835" i="30"/>
  <c r="U1851" i="30"/>
  <c r="U1875" i="30"/>
  <c r="U1883" i="30"/>
  <c r="U1891" i="30"/>
  <c r="U1923" i="30"/>
  <c r="U1931" i="30"/>
  <c r="U1947" i="30"/>
  <c r="U1955" i="30"/>
  <c r="U1971" i="30"/>
  <c r="U1995" i="30"/>
  <c r="U2003" i="30"/>
  <c r="U173" i="30"/>
  <c r="U366" i="30"/>
  <c r="U555" i="30"/>
  <c r="U692" i="30"/>
  <c r="U804" i="30"/>
  <c r="U915" i="30"/>
  <c r="U977" i="30"/>
  <c r="U1035" i="30"/>
  <c r="U1147" i="30"/>
  <c r="U1179" i="30"/>
  <c r="U1221" i="30"/>
  <c r="U1285" i="30"/>
  <c r="U1326" i="30"/>
  <c r="U1413" i="30"/>
  <c r="U1435" i="30"/>
  <c r="U1454" i="30"/>
  <c r="U1499" i="30"/>
  <c r="U1582" i="30"/>
  <c r="U1628" i="30"/>
  <c r="U1644" i="30"/>
  <c r="U1652" i="30"/>
  <c r="U197" i="30"/>
  <c r="U427" i="30"/>
  <c r="U557" i="30"/>
  <c r="U699" i="30"/>
  <c r="U756" i="30"/>
  <c r="U809" i="30"/>
  <c r="U929" i="30"/>
  <c r="U979" i="30"/>
  <c r="U1099" i="30"/>
  <c r="U1148" i="30"/>
  <c r="U1181" i="30"/>
  <c r="U1222" i="30"/>
  <c r="U1245" i="30"/>
  <c r="U1267" i="30"/>
  <c r="U1309" i="30"/>
  <c r="U1373" i="30"/>
  <c r="U1395" i="30"/>
  <c r="U1414" i="30"/>
  <c r="U1478" i="30"/>
  <c r="U1501" i="30"/>
  <c r="U1565" i="30"/>
  <c r="U1587" i="30"/>
  <c r="U1613" i="30"/>
  <c r="U1629" i="30"/>
  <c r="U1637" i="30"/>
  <c r="U1661" i="30"/>
  <c r="U1677" i="30"/>
  <c r="U1685" i="30"/>
  <c r="U1693" i="30"/>
  <c r="U1741" i="30"/>
  <c r="U1749" i="30"/>
  <c r="U1757" i="30"/>
  <c r="U1765" i="30"/>
  <c r="U1773" i="30"/>
  <c r="U1781" i="30"/>
  <c r="U1797" i="30"/>
  <c r="U1821" i="30"/>
  <c r="U1829" i="30"/>
  <c r="U1845" i="30"/>
  <c r="U1853" i="30"/>
  <c r="U1861" i="30"/>
  <c r="U1869" i="30"/>
  <c r="U1877" i="30"/>
  <c r="U1893" i="30"/>
  <c r="U1917" i="30"/>
  <c r="U1925" i="30"/>
  <c r="U1933" i="30"/>
  <c r="U1941" i="30"/>
  <c r="U1965" i="30"/>
  <c r="U1973" i="30"/>
  <c r="U1981" i="30"/>
  <c r="U1989" i="30"/>
  <c r="U2005" i="30"/>
  <c r="U2013" i="30"/>
  <c r="U5" i="30"/>
  <c r="U205" i="30"/>
  <c r="U443" i="30"/>
  <c r="U597" i="30"/>
  <c r="U700" i="30"/>
  <c r="U763" i="30"/>
  <c r="U932" i="30"/>
  <c r="U993" i="30"/>
  <c r="U1043" i="30"/>
  <c r="U1105" i="30"/>
  <c r="U1182" i="30"/>
  <c r="U1205" i="30"/>
  <c r="U1227" i="30"/>
  <c r="U1246" i="30"/>
  <c r="U1269" i="30"/>
  <c r="U1310" i="30"/>
  <c r="U1333" i="30"/>
  <c r="U1355" i="30"/>
  <c r="U1374" i="30"/>
  <c r="U1397" i="30"/>
  <c r="U1419" i="30"/>
  <c r="U1461" i="30"/>
  <c r="U1483" i="30"/>
  <c r="U1525" i="30"/>
  <c r="U1547" i="30"/>
  <c r="U1566" i="30"/>
  <c r="U1589" i="30"/>
  <c r="U1598" i="30"/>
  <c r="U1606" i="30"/>
  <c r="U1614" i="30"/>
  <c r="U1622" i="30"/>
  <c r="U1638" i="30"/>
  <c r="U1646" i="30"/>
  <c r="U1654" i="30"/>
  <c r="U1662" i="30"/>
  <c r="U1678" i="30"/>
  <c r="U1686" i="30"/>
  <c r="U1694" i="30"/>
  <c r="U1702" i="30"/>
  <c r="U1742" i="30"/>
  <c r="U1758" i="30"/>
  <c r="U1782" i="30"/>
  <c r="U1814" i="30"/>
  <c r="U1822" i="30"/>
  <c r="U1830" i="30"/>
  <c r="U1846" i="30"/>
  <c r="U1854" i="30"/>
  <c r="U1862" i="30"/>
  <c r="U1870" i="30"/>
  <c r="U1902" i="30"/>
  <c r="U1918" i="30"/>
  <c r="U1926" i="30"/>
  <c r="U1934" i="30"/>
  <c r="U1942" i="30"/>
  <c r="U1950" i="30"/>
  <c r="U1958" i="30"/>
  <c r="U1966" i="30"/>
  <c r="U1998" i="30"/>
  <c r="U2006" i="30"/>
  <c r="U270" i="30"/>
  <c r="U715" i="30"/>
  <c r="U843" i="30"/>
  <c r="U1001" i="30"/>
  <c r="U1165" i="30"/>
  <c r="U1275" i="30"/>
  <c r="U1382" i="30"/>
  <c r="U1445" i="30"/>
  <c r="U1507" i="30"/>
  <c r="U1623" i="30"/>
  <c r="U1641" i="30"/>
  <c r="U1663" i="30"/>
  <c r="U1679" i="30"/>
  <c r="U1711" i="30"/>
  <c r="U1727" i="30"/>
  <c r="U1807" i="30"/>
  <c r="U1839" i="30"/>
  <c r="U1887" i="30"/>
  <c r="U1935" i="30"/>
  <c r="U1951" i="30"/>
  <c r="U1999" i="30"/>
  <c r="U2014" i="30"/>
  <c r="U2022" i="30"/>
  <c r="U2046" i="30"/>
  <c r="U2054" i="30"/>
  <c r="U2062" i="30"/>
  <c r="U2078" i="30"/>
  <c r="U2086" i="30"/>
  <c r="U2118" i="30"/>
  <c r="U2150" i="30"/>
  <c r="U2158" i="30"/>
  <c r="U2166" i="30"/>
  <c r="U2182" i="30"/>
  <c r="U2190" i="30"/>
  <c r="U2206" i="30"/>
  <c r="U2222" i="30"/>
  <c r="U2230" i="30"/>
  <c r="U2238" i="30"/>
  <c r="U2262" i="30"/>
  <c r="U2270" i="30"/>
  <c r="U2318" i="30"/>
  <c r="U2326" i="30"/>
  <c r="U2334" i="30"/>
  <c r="U2366" i="30"/>
  <c r="U2398" i="30"/>
  <c r="U2406" i="30"/>
  <c r="U721" i="30"/>
  <c r="U1012" i="30"/>
  <c r="U1166" i="30"/>
  <c r="U1229" i="30"/>
  <c r="U1398" i="30"/>
  <c r="U1446" i="30"/>
  <c r="U1624" i="30"/>
  <c r="U1647" i="30"/>
  <c r="U1664" i="30"/>
  <c r="U1712" i="30"/>
  <c r="U1728" i="30"/>
  <c r="U1840" i="30"/>
  <c r="U1888" i="30"/>
  <c r="U1904" i="30"/>
  <c r="U1936" i="30"/>
  <c r="U1984" i="30"/>
  <c r="U2000" i="30"/>
  <c r="U2023" i="30"/>
  <c r="U2031" i="30"/>
  <c r="U2039" i="30"/>
  <c r="U2055" i="30"/>
  <c r="U2079" i="30"/>
  <c r="U2095" i="30"/>
  <c r="U2103" i="30"/>
  <c r="U2127" i="30"/>
  <c r="U2135" i="30"/>
  <c r="U2143" i="30"/>
  <c r="U2183" i="30"/>
  <c r="U2191" i="30"/>
  <c r="U2199" i="30"/>
  <c r="U2215" i="30"/>
  <c r="U2223" i="30"/>
  <c r="U2231" i="30"/>
  <c r="U2239" i="30"/>
  <c r="U2247" i="30"/>
  <c r="U2255" i="30"/>
  <c r="U2279" i="30"/>
  <c r="U2295" i="30"/>
  <c r="U2303" i="30"/>
  <c r="U2311" i="30"/>
  <c r="U2319" i="30"/>
  <c r="U2327" i="30"/>
  <c r="U2335" i="30"/>
  <c r="U2343" i="30"/>
  <c r="U2351" i="30"/>
  <c r="U2359" i="30"/>
  <c r="U2391" i="30"/>
  <c r="U446" i="30"/>
  <c r="U723" i="30"/>
  <c r="U1057" i="30"/>
  <c r="U1171" i="30"/>
  <c r="U1230" i="30"/>
  <c r="U1293" i="30"/>
  <c r="U1341" i="30"/>
  <c r="U1403" i="30"/>
  <c r="U1462" i="30"/>
  <c r="U1510" i="30"/>
  <c r="U1573" i="30"/>
  <c r="U1607" i="30"/>
  <c r="U1625" i="30"/>
  <c r="U1681" i="30"/>
  <c r="U1697" i="30"/>
  <c r="U1745" i="30"/>
  <c r="U1777" i="30"/>
  <c r="U1825" i="30"/>
  <c r="U1841" i="30"/>
  <c r="U1857" i="30"/>
  <c r="U1873" i="30"/>
  <c r="U1889" i="30"/>
  <c r="U1905" i="30"/>
  <c r="U1921" i="30"/>
  <c r="U1937" i="30"/>
  <c r="U1969" i="30"/>
  <c r="U1985" i="30"/>
  <c r="U2024" i="30"/>
  <c r="U2048" i="30"/>
  <c r="U2064" i="30"/>
  <c r="U2072" i="30"/>
  <c r="U2080" i="30"/>
  <c r="U2088" i="30"/>
  <c r="U2096" i="30"/>
  <c r="U2104" i="30"/>
  <c r="U2112" i="30"/>
  <c r="U2128" i="30"/>
  <c r="U2136" i="30"/>
  <c r="U2144" i="30"/>
  <c r="U2176" i="30"/>
  <c r="U2192" i="30"/>
  <c r="U2200" i="30"/>
  <c r="U2216" i="30"/>
  <c r="U2232" i="30"/>
  <c r="U2240" i="30"/>
  <c r="U2248" i="30"/>
  <c r="U2256" i="30"/>
  <c r="U2280" i="30"/>
  <c r="U2296" i="30"/>
  <c r="U2312" i="30"/>
  <c r="U2336" i="30"/>
  <c r="U2344" i="30"/>
  <c r="U2352" i="30"/>
  <c r="U2360" i="30"/>
  <c r="U2392" i="30"/>
  <c r="U485" i="30"/>
  <c r="U764" i="30"/>
  <c r="U1060" i="30"/>
  <c r="U1187" i="30"/>
  <c r="U1235" i="30"/>
  <c r="U1294" i="30"/>
  <c r="U1574" i="30"/>
  <c r="U1608" i="30"/>
  <c r="U1631" i="30"/>
  <c r="U1668" i="30"/>
  <c r="U1716" i="30"/>
  <c r="U1732" i="30"/>
  <c r="U493" i="30"/>
  <c r="U937" i="30"/>
  <c r="U1251" i="30"/>
  <c r="U1299" i="30"/>
  <c r="U1358" i="30"/>
  <c r="U1469" i="30"/>
  <c r="U1590" i="30"/>
  <c r="U1609" i="30"/>
  <c r="U1632" i="30"/>
  <c r="U1655" i="30"/>
  <c r="U1671" i="30"/>
  <c r="U1719" i="30"/>
  <c r="U1783" i="30"/>
  <c r="U1895" i="30"/>
  <c r="U1911" i="30"/>
  <c r="U1943" i="30"/>
  <c r="U1959" i="30"/>
  <c r="U2018" i="30"/>
  <c r="U2042" i="30"/>
  <c r="U2058" i="30"/>
  <c r="U2066" i="30"/>
  <c r="U2154" i="30"/>
  <c r="U2162" i="30"/>
  <c r="U2170" i="30"/>
  <c r="U2178" i="30"/>
  <c r="U2186" i="30"/>
  <c r="U2194" i="30"/>
  <c r="U2218" i="30"/>
  <c r="U2226" i="30"/>
  <c r="U2234" i="30"/>
  <c r="U2242" i="30"/>
  <c r="U2266" i="30"/>
  <c r="U2274" i="30"/>
  <c r="U2290" i="30"/>
  <c r="U2306" i="30"/>
  <c r="U2314" i="30"/>
  <c r="U2322" i="30"/>
  <c r="U2330" i="30"/>
  <c r="U2338" i="30"/>
  <c r="U2362" i="30"/>
  <c r="U37" i="30"/>
  <c r="U613" i="30"/>
  <c r="U785" i="30"/>
  <c r="U948" i="30"/>
  <c r="U1253" i="30"/>
  <c r="U1485" i="30"/>
  <c r="U1533" i="30"/>
  <c r="U1633" i="30"/>
  <c r="U1656" i="30"/>
  <c r="U1672" i="30"/>
  <c r="U1720" i="30"/>
  <c r="U1736" i="30"/>
  <c r="U1752" i="30"/>
  <c r="U1768" i="30"/>
  <c r="U1800" i="30"/>
  <c r="U1816" i="30"/>
  <c r="U1832" i="30"/>
  <c r="U1880" i="30"/>
  <c r="U1896" i="30"/>
  <c r="U1960" i="30"/>
  <c r="U1976" i="30"/>
  <c r="U1992" i="30"/>
  <c r="U2019" i="30"/>
  <c r="U2027" i="30"/>
  <c r="U2035" i="30"/>
  <c r="U2059" i="30"/>
  <c r="U827" i="30"/>
  <c r="U1254" i="30"/>
  <c r="U1486" i="30"/>
  <c r="U1639" i="30"/>
  <c r="U1705" i="30"/>
  <c r="U1756" i="30"/>
  <c r="U1884" i="30"/>
  <c r="U1929" i="30"/>
  <c r="U1972" i="30"/>
  <c r="U2036" i="30"/>
  <c r="U2077" i="30"/>
  <c r="U2100" i="30"/>
  <c r="U2116" i="30"/>
  <c r="U2132" i="30"/>
  <c r="U2148" i="30"/>
  <c r="U2164" i="30"/>
  <c r="U2180" i="30"/>
  <c r="U2196" i="30"/>
  <c r="U2212" i="30"/>
  <c r="U2228" i="30"/>
  <c r="U2244" i="30"/>
  <c r="U2260" i="30"/>
  <c r="U2276" i="30"/>
  <c r="U2308" i="30"/>
  <c r="U2324" i="30"/>
  <c r="U2340" i="30"/>
  <c r="U2356" i="30"/>
  <c r="U2371" i="30"/>
  <c r="U2396" i="30"/>
  <c r="U2416" i="30"/>
  <c r="U2424" i="30"/>
  <c r="U2440" i="30"/>
  <c r="U2448" i="30"/>
  <c r="U2456" i="30"/>
  <c r="U2464" i="30"/>
  <c r="U2472" i="30"/>
  <c r="U2480" i="30"/>
  <c r="U2488" i="30"/>
  <c r="U2496" i="30"/>
  <c r="U2504" i="30"/>
  <c r="U2512" i="30"/>
  <c r="U2520" i="30"/>
  <c r="U2528" i="30"/>
  <c r="U2536" i="30"/>
  <c r="U2544" i="30"/>
  <c r="U2552" i="30"/>
  <c r="U2560" i="30"/>
  <c r="U2568" i="30"/>
  <c r="U2576" i="30"/>
  <c r="U2584" i="30"/>
  <c r="U2592" i="30"/>
  <c r="U2600" i="30"/>
  <c r="U2608" i="30"/>
  <c r="U2616" i="30"/>
  <c r="U2624" i="30"/>
  <c r="U2632" i="30"/>
  <c r="U2640" i="30"/>
  <c r="U2648" i="30"/>
  <c r="U2656" i="30"/>
  <c r="U2664" i="30"/>
  <c r="U2672" i="30"/>
  <c r="U2680" i="30"/>
  <c r="U2688" i="30"/>
  <c r="U2696" i="30"/>
  <c r="U2704" i="30"/>
  <c r="U2712" i="30"/>
  <c r="U2720" i="30"/>
  <c r="U2728" i="30"/>
  <c r="U2736" i="30"/>
  <c r="U2752" i="30"/>
  <c r="U2776" i="30"/>
  <c r="U2784" i="30"/>
  <c r="U2800" i="30"/>
  <c r="U828" i="30"/>
  <c r="U1491" i="30"/>
  <c r="U1640" i="30"/>
  <c r="U1708" i="30"/>
  <c r="U1764" i="30"/>
  <c r="U1804" i="30"/>
  <c r="U1849" i="30"/>
  <c r="U1932" i="30"/>
  <c r="U2017" i="30"/>
  <c r="U2081" i="30"/>
  <c r="U2117" i="30"/>
  <c r="U2149" i="30"/>
  <c r="U2165" i="30"/>
  <c r="U2229" i="30"/>
  <c r="U2245" i="30"/>
  <c r="U2261" i="30"/>
  <c r="U2325" i="30"/>
  <c r="U2341" i="30"/>
  <c r="U2372" i="30"/>
  <c r="U2386" i="30"/>
  <c r="U2397" i="30"/>
  <c r="U2409" i="30"/>
  <c r="U2425" i="30"/>
  <c r="U2433" i="30"/>
  <c r="U2441" i="30"/>
  <c r="U2449" i="30"/>
  <c r="U2457" i="30"/>
  <c r="U2473" i="30"/>
  <c r="U2481" i="30"/>
  <c r="U2505" i="30"/>
  <c r="U2513" i="30"/>
  <c r="U2521" i="30"/>
  <c r="U2529" i="30"/>
  <c r="U2537" i="30"/>
  <c r="U2545" i="30"/>
  <c r="U2553" i="30"/>
  <c r="U2561" i="30"/>
  <c r="U2569" i="30"/>
  <c r="U2577" i="30"/>
  <c r="U2585" i="30"/>
  <c r="U2593" i="30"/>
  <c r="U2601" i="30"/>
  <c r="U2609" i="30"/>
  <c r="U2617" i="30"/>
  <c r="U2625" i="30"/>
  <c r="U2633" i="30"/>
  <c r="U2641" i="30"/>
  <c r="U2649" i="30"/>
  <c r="U2657" i="30"/>
  <c r="U2665" i="30"/>
  <c r="U2673" i="30"/>
  <c r="U2681" i="30"/>
  <c r="U2689" i="30"/>
  <c r="U2697" i="30"/>
  <c r="U2705" i="30"/>
  <c r="U2713" i="30"/>
  <c r="U2729" i="30"/>
  <c r="U2737" i="30"/>
  <c r="U2745" i="30"/>
  <c r="U2753" i="30"/>
  <c r="U2761" i="30"/>
  <c r="U2769" i="30"/>
  <c r="U2777" i="30"/>
  <c r="U2793" i="30"/>
  <c r="U2801" i="30"/>
  <c r="U955" i="30"/>
  <c r="U1317" i="30"/>
  <c r="U1549" i="30"/>
  <c r="U1657" i="30"/>
  <c r="U1769" i="30"/>
  <c r="U1812" i="30"/>
  <c r="U1897" i="30"/>
  <c r="U1940" i="30"/>
  <c r="U1980" i="30"/>
  <c r="U2041" i="30"/>
  <c r="U2084" i="30"/>
  <c r="U2105" i="30"/>
  <c r="U2121" i="30"/>
  <c r="U2137" i="30"/>
  <c r="U2153" i="30"/>
  <c r="U2169" i="30"/>
  <c r="U2185" i="30"/>
  <c r="U2233" i="30"/>
  <c r="U2249" i="30"/>
  <c r="U2265" i="30"/>
  <c r="U2313" i="30"/>
  <c r="U2329" i="30"/>
  <c r="U2361" i="30"/>
  <c r="U2373" i="30"/>
  <c r="U2387" i="30"/>
  <c r="U2410" i="30"/>
  <c r="U2426" i="30"/>
  <c r="U2434" i="30"/>
  <c r="U2442" i="30"/>
  <c r="U2450" i="30"/>
  <c r="U2474" i="30"/>
  <c r="U2482" i="30"/>
  <c r="U2506" i="30"/>
  <c r="U2514" i="30"/>
  <c r="U2530" i="30"/>
  <c r="U2546" i="30"/>
  <c r="U2554" i="30"/>
  <c r="U2562" i="30"/>
  <c r="U2570" i="30"/>
  <c r="U2578" i="30"/>
  <c r="U2586" i="30"/>
  <c r="U2594" i="30"/>
  <c r="U2602" i="30"/>
  <c r="U2610" i="30"/>
  <c r="U2618" i="30"/>
  <c r="U2626" i="30"/>
  <c r="U2634" i="30"/>
  <c r="U2642" i="30"/>
  <c r="U2650" i="30"/>
  <c r="U2658" i="30"/>
  <c r="U2666" i="30"/>
  <c r="U2674" i="30"/>
  <c r="U2682" i="30"/>
  <c r="U2690" i="30"/>
  <c r="U2698" i="30"/>
  <c r="U2706" i="30"/>
  <c r="U2714" i="30"/>
  <c r="U2722" i="30"/>
  <c r="U2730" i="30"/>
  <c r="U2738" i="30"/>
  <c r="U2746" i="30"/>
  <c r="U2762" i="30"/>
  <c r="U2770" i="30"/>
  <c r="U2778" i="30"/>
  <c r="U2794" i="30"/>
  <c r="U2802" i="30"/>
  <c r="U996" i="30"/>
  <c r="U1318" i="30"/>
  <c r="U1550" i="30"/>
  <c r="U1660" i="30"/>
  <c r="U1724" i="30"/>
  <c r="U1772" i="30"/>
  <c r="U1817" i="30"/>
  <c r="U1900" i="30"/>
  <c r="U1988" i="30"/>
  <c r="U2044" i="30"/>
  <c r="U2065" i="30"/>
  <c r="U2085" i="30"/>
  <c r="U2123" i="30"/>
  <c r="U2139" i="30"/>
  <c r="U2155" i="30"/>
  <c r="U2171" i="30"/>
  <c r="U2187" i="30"/>
  <c r="U2203" i="30"/>
  <c r="U2219" i="30"/>
  <c r="U2235" i="30"/>
  <c r="U2283" i="30"/>
  <c r="U2299" i="30"/>
  <c r="U2315" i="30"/>
  <c r="U2347" i="30"/>
  <c r="U2363" i="30"/>
  <c r="U2377" i="30"/>
  <c r="U2388" i="30"/>
  <c r="U2401" i="30"/>
  <c r="U2411" i="30"/>
  <c r="U2419" i="30"/>
  <c r="U2451" i="30"/>
  <c r="U2467" i="30"/>
  <c r="U2491" i="30"/>
  <c r="U2499" i="30"/>
  <c r="U2531" i="30"/>
  <c r="U2539" i="30"/>
  <c r="U2547" i="30"/>
  <c r="U2555" i="30"/>
  <c r="U2563" i="30"/>
  <c r="U2571" i="30"/>
  <c r="U2579" i="30"/>
  <c r="U2587" i="30"/>
  <c r="U2595" i="30"/>
  <c r="U2603" i="30"/>
  <c r="U2611" i="30"/>
  <c r="U2619" i="30"/>
  <c r="U2627" i="30"/>
  <c r="U2635" i="30"/>
  <c r="U2643" i="30"/>
  <c r="U2651" i="30"/>
  <c r="U2659" i="30"/>
  <c r="U2667" i="30"/>
  <c r="U2675" i="30"/>
  <c r="U2683" i="30"/>
  <c r="U2691" i="30"/>
  <c r="U2699" i="30"/>
  <c r="U2707" i="30"/>
  <c r="U2715" i="30"/>
  <c r="U2723" i="30"/>
  <c r="U2731" i="30"/>
  <c r="U2739" i="30"/>
  <c r="U2747" i="30"/>
  <c r="U2763" i="30"/>
  <c r="U2779" i="30"/>
  <c r="U2787" i="30"/>
  <c r="U2803" i="30"/>
  <c r="U261" i="30"/>
  <c r="U1381" i="30"/>
  <c r="U1599" i="30"/>
  <c r="U1676" i="30"/>
  <c r="U1785" i="30"/>
  <c r="U2028" i="30"/>
  <c r="U2049" i="30"/>
  <c r="U2069" i="30"/>
  <c r="U2092" i="30"/>
  <c r="U2109" i="30"/>
  <c r="U2125" i="30"/>
  <c r="U2157" i="30"/>
  <c r="U2173" i="30"/>
  <c r="U2189" i="30"/>
  <c r="U2205" i="30"/>
  <c r="U2237" i="30"/>
  <c r="U2269" i="30"/>
  <c r="U2301" i="30"/>
  <c r="U2317" i="30"/>
  <c r="U2333" i="30"/>
  <c r="U2365" i="30"/>
  <c r="U2413" i="30"/>
  <c r="U2429" i="30"/>
  <c r="U2437" i="30"/>
  <c r="U2445" i="30"/>
  <c r="U2461" i="30"/>
  <c r="U2469" i="30"/>
  <c r="U2477" i="30"/>
  <c r="U2485" i="30"/>
  <c r="U2501" i="30"/>
  <c r="U2509" i="30"/>
  <c r="U2517" i="30"/>
  <c r="U2549" i="30"/>
  <c r="U2557" i="30"/>
  <c r="U2565" i="30"/>
  <c r="U2573" i="30"/>
  <c r="U2581" i="30"/>
  <c r="U2589" i="30"/>
  <c r="U2597" i="30"/>
  <c r="U2605" i="30"/>
  <c r="U2613" i="30"/>
  <c r="U2621" i="30"/>
  <c r="U2629" i="30"/>
  <c r="U2637" i="30"/>
  <c r="U2645" i="30"/>
  <c r="U2653" i="30"/>
  <c r="U2661" i="30"/>
  <c r="U2669" i="30"/>
  <c r="U2677" i="30"/>
  <c r="U2685" i="30"/>
  <c r="U2693" i="30"/>
  <c r="U2701" i="30"/>
  <c r="U2709" i="30"/>
  <c r="U2717" i="30"/>
  <c r="U2733" i="30"/>
  <c r="U2741" i="30"/>
  <c r="U2757" i="30"/>
  <c r="U2765" i="30"/>
  <c r="U2773" i="30"/>
  <c r="U2781" i="30"/>
  <c r="U2789" i="30"/>
  <c r="U2797" i="30"/>
  <c r="U1206" i="30"/>
  <c r="U1427" i="30"/>
  <c r="U1616" i="30"/>
  <c r="U1689" i="30"/>
  <c r="U1748" i="30"/>
  <c r="U1876" i="30"/>
  <c r="U1961" i="30"/>
  <c r="U2004" i="30"/>
  <c r="U2052" i="30"/>
  <c r="U2073" i="30"/>
  <c r="U2093" i="30"/>
  <c r="U2113" i="30"/>
  <c r="U2145" i="30"/>
  <c r="U2161" i="30"/>
  <c r="U2177" i="30"/>
  <c r="U2193" i="30"/>
  <c r="U2209" i="30"/>
  <c r="U2241" i="30"/>
  <c r="U2273" i="30"/>
  <c r="U2289" i="30"/>
  <c r="U2337" i="30"/>
  <c r="U2353" i="30"/>
  <c r="U2369" i="30"/>
  <c r="U2380" i="30"/>
  <c r="U2414" i="30"/>
  <c r="U2430" i="30"/>
  <c r="U2438" i="30"/>
  <c r="U2454" i="30"/>
  <c r="U2470" i="30"/>
  <c r="U2486" i="30"/>
  <c r="U2502" i="30"/>
  <c r="U2534" i="30"/>
  <c r="U2550" i="30"/>
  <c r="U2558" i="30"/>
  <c r="U2566" i="30"/>
  <c r="U2574" i="30"/>
  <c r="U2582" i="30"/>
  <c r="U2590" i="30"/>
  <c r="U2598" i="30"/>
  <c r="U2606" i="30"/>
  <c r="U2614" i="30"/>
  <c r="U2622" i="30"/>
  <c r="U2630" i="30"/>
  <c r="U2638" i="30"/>
  <c r="U2646" i="30"/>
  <c r="U2654" i="30"/>
  <c r="U2662" i="30"/>
  <c r="U2670" i="30"/>
  <c r="U2678" i="30"/>
  <c r="U2686" i="30"/>
  <c r="U2694" i="30"/>
  <c r="U2702" i="30"/>
  <c r="U2718" i="30"/>
  <c r="U2726" i="30"/>
  <c r="U2742" i="30"/>
  <c r="U2750" i="30"/>
  <c r="U2758" i="30"/>
  <c r="U2766" i="30"/>
  <c r="U2774" i="30"/>
  <c r="U2790" i="30"/>
  <c r="U2798" i="30"/>
  <c r="U1379" i="30"/>
  <c r="U1780" i="30"/>
  <c r="U2068" i="30"/>
  <c r="U2140" i="30"/>
  <c r="U2204" i="30"/>
  <c r="U2460" i="30"/>
  <c r="U2492" i="30"/>
  <c r="U2524" i="30"/>
  <c r="U2556" i="30"/>
  <c r="U2588" i="30"/>
  <c r="U2620" i="30"/>
  <c r="U2652" i="30"/>
  <c r="U2684" i="30"/>
  <c r="U2716" i="30"/>
  <c r="U2780" i="30"/>
  <c r="U2814" i="30"/>
  <c r="U2822" i="30"/>
  <c r="U2830" i="30"/>
  <c r="U2846" i="30"/>
  <c r="AD1296" i="30"/>
  <c r="AD1285" i="30"/>
  <c r="U2412" i="30"/>
  <c r="U2572" i="30"/>
  <c r="U2764" i="30"/>
  <c r="U2826" i="30"/>
  <c r="AD1292" i="30"/>
  <c r="U2647" i="30"/>
  <c r="U2775" i="30"/>
  <c r="U2837" i="30"/>
  <c r="AD1297" i="30"/>
  <c r="U1443" i="30"/>
  <c r="U1964" i="30"/>
  <c r="U2076" i="30"/>
  <c r="U2147" i="30"/>
  <c r="U2211" i="30"/>
  <c r="U2275" i="30"/>
  <c r="U2339" i="30"/>
  <c r="U2395" i="30"/>
  <c r="U2495" i="30"/>
  <c r="U2527" i="30"/>
  <c r="U2559" i="30"/>
  <c r="U2591" i="30"/>
  <c r="U2623" i="30"/>
  <c r="U2655" i="30"/>
  <c r="U2687" i="30"/>
  <c r="U2719" i="30"/>
  <c r="U2751" i="30"/>
  <c r="U2815" i="30"/>
  <c r="U2823" i="30"/>
  <c r="U2831" i="30"/>
  <c r="U2847" i="30"/>
  <c r="AD1295" i="30"/>
  <c r="AD1284" i="30"/>
  <c r="U1865" i="30"/>
  <c r="U2108" i="30"/>
  <c r="U2172" i="30"/>
  <c r="U2364" i="30"/>
  <c r="U2508" i="30"/>
  <c r="U2636" i="30"/>
  <c r="U2732" i="30"/>
  <c r="U2810" i="30"/>
  <c r="U2834" i="30"/>
  <c r="U2858" i="30"/>
  <c r="U2551" i="30"/>
  <c r="AD1287" i="30"/>
  <c r="U1993" i="30"/>
  <c r="U2089" i="30"/>
  <c r="U2220" i="30"/>
  <c r="U2284" i="30"/>
  <c r="U2348" i="30"/>
  <c r="U2402" i="30"/>
  <c r="U2468" i="30"/>
  <c r="U2500" i="30"/>
  <c r="U2532" i="30"/>
  <c r="U2564" i="30"/>
  <c r="U2596" i="30"/>
  <c r="U2628" i="30"/>
  <c r="U2660" i="30"/>
  <c r="U2692" i="30"/>
  <c r="U2756" i="30"/>
  <c r="U2788" i="30"/>
  <c r="U2808" i="30"/>
  <c r="U2816" i="30"/>
  <c r="U2824" i="30"/>
  <c r="U2832" i="30"/>
  <c r="U2840" i="30"/>
  <c r="U2848" i="30"/>
  <c r="U2856" i="30"/>
  <c r="AD1294" i="30"/>
  <c r="AD1282" i="30"/>
  <c r="U2236" i="30"/>
  <c r="U2444" i="30"/>
  <c r="U2540" i="30"/>
  <c r="U2668" i="30"/>
  <c r="U2842" i="30"/>
  <c r="AD1280" i="30"/>
  <c r="U2679" i="30"/>
  <c r="U2805" i="30"/>
  <c r="U2845" i="30"/>
  <c r="U1617" i="30"/>
  <c r="U1836" i="30"/>
  <c r="U2009" i="30"/>
  <c r="U2097" i="30"/>
  <c r="U2163" i="30"/>
  <c r="U2227" i="30"/>
  <c r="U2355" i="30"/>
  <c r="U2405" i="30"/>
  <c r="U2439" i="30"/>
  <c r="U2471" i="30"/>
  <c r="U2503" i="30"/>
  <c r="U2567" i="30"/>
  <c r="U2599" i="30"/>
  <c r="U2631" i="30"/>
  <c r="U2663" i="30"/>
  <c r="U2695" i="30"/>
  <c r="U2727" i="30"/>
  <c r="U2809" i="30"/>
  <c r="U2817" i="30"/>
  <c r="U2825" i="30"/>
  <c r="U2833" i="30"/>
  <c r="U2841" i="30"/>
  <c r="U2857" i="30"/>
  <c r="AD1293" i="30"/>
  <c r="AD1281" i="30"/>
  <c r="U78" i="30"/>
  <c r="U2300" i="30"/>
  <c r="U2476" i="30"/>
  <c r="U2604" i="30"/>
  <c r="U2700" i="30"/>
  <c r="U2818" i="30"/>
  <c r="U2853" i="30"/>
  <c r="U654" i="30"/>
  <c r="U2033" i="30"/>
  <c r="U2243" i="30"/>
  <c r="U2307" i="30"/>
  <c r="U2370" i="30"/>
  <c r="U2415" i="30"/>
  <c r="U2479" i="30"/>
  <c r="U2543" i="30"/>
  <c r="U2575" i="30"/>
  <c r="U2607" i="30"/>
  <c r="U2639" i="30"/>
  <c r="U2671" i="30"/>
  <c r="U2703" i="30"/>
  <c r="U2767" i="30"/>
  <c r="U2799" i="30"/>
  <c r="U2811" i="30"/>
  <c r="U2819" i="30"/>
  <c r="U2827" i="30"/>
  <c r="U2835" i="30"/>
  <c r="U2851" i="30"/>
  <c r="U2859" i="30"/>
  <c r="AD1289" i="30"/>
  <c r="U2804" i="30"/>
  <c r="U2852" i="30"/>
  <c r="AD1288" i="30"/>
  <c r="U1211" i="30"/>
  <c r="U2053" i="30"/>
  <c r="U2131" i="30"/>
  <c r="U2259" i="30"/>
  <c r="U2323" i="30"/>
  <c r="U2423" i="30"/>
  <c r="U2487" i="30"/>
  <c r="U2583" i="30"/>
  <c r="U1121" i="30"/>
  <c r="U1737" i="30"/>
  <c r="U1908" i="30"/>
  <c r="U2124" i="30"/>
  <c r="U2188" i="30"/>
  <c r="U2252" i="30"/>
  <c r="U2378" i="30"/>
  <c r="U2420" i="30"/>
  <c r="U2548" i="30"/>
  <c r="U2580" i="30"/>
  <c r="U2612" i="30"/>
  <c r="U2644" i="30"/>
  <c r="U2676" i="30"/>
  <c r="U2708" i="30"/>
  <c r="U2740" i="30"/>
  <c r="U2836" i="30"/>
  <c r="U2" i="30"/>
  <c r="U1753" i="30"/>
  <c r="U2195" i="30"/>
  <c r="U2381" i="30"/>
  <c r="U2455" i="30"/>
  <c r="U2615" i="30"/>
  <c r="AJ12" i="30"/>
  <c r="AJ23" i="30"/>
  <c r="AJ35" i="30"/>
  <c r="AJ46" i="30"/>
  <c r="AJ55" i="30"/>
  <c r="AJ69" i="30"/>
  <c r="AJ80" i="30"/>
  <c r="AJ93" i="30"/>
  <c r="AJ106" i="30"/>
  <c r="AJ120" i="30"/>
  <c r="AJ132" i="30"/>
  <c r="AJ146" i="30"/>
  <c r="AJ160" i="30"/>
  <c r="AJ173" i="30"/>
  <c r="AJ182" i="30"/>
  <c r="AJ194" i="30"/>
  <c r="AJ206" i="30"/>
  <c r="AJ217" i="30"/>
  <c r="AJ227" i="30"/>
  <c r="AJ237" i="30"/>
  <c r="AJ246" i="30"/>
  <c r="AJ256" i="30"/>
  <c r="AJ266" i="30"/>
  <c r="AJ277" i="30"/>
  <c r="AJ288" i="30"/>
  <c r="AJ300" i="30"/>
  <c r="AJ313" i="30"/>
  <c r="AJ323" i="30"/>
  <c r="AJ331" i="30"/>
  <c r="AJ339" i="30"/>
  <c r="AJ347" i="30"/>
  <c r="AJ355" i="30"/>
  <c r="AJ363" i="30"/>
  <c r="AJ374" i="30"/>
  <c r="AJ386" i="30"/>
  <c r="AJ397" i="30"/>
  <c r="AJ409" i="30"/>
  <c r="AJ419" i="30"/>
  <c r="AJ433" i="30"/>
  <c r="AJ444" i="30"/>
  <c r="AJ455" i="30"/>
  <c r="AJ466" i="30"/>
  <c r="AJ478" i="30"/>
  <c r="AJ489" i="30"/>
  <c r="AJ503" i="30"/>
  <c r="AJ515" i="30"/>
  <c r="AJ526" i="30"/>
  <c r="AJ539" i="30"/>
  <c r="AJ551" i="30"/>
  <c r="AJ560" i="30"/>
  <c r="AJ576" i="30"/>
  <c r="AJ585" i="30"/>
  <c r="AJ597" i="30"/>
  <c r="AJ610" i="30"/>
  <c r="AJ621" i="30"/>
  <c r="AJ635" i="30"/>
  <c r="AJ646" i="30"/>
  <c r="AJ657" i="30"/>
  <c r="AJ669" i="30"/>
  <c r="AJ679" i="30"/>
  <c r="AJ687" i="30"/>
  <c r="AJ695" i="30"/>
  <c r="AJ703" i="30"/>
  <c r="AJ715" i="30"/>
  <c r="AJ727" i="30"/>
  <c r="AJ738" i="30"/>
  <c r="AJ752" i="30"/>
  <c r="AJ763" i="30"/>
  <c r="AJ777" i="30"/>
  <c r="AJ791" i="30"/>
  <c r="AJ803" i="30"/>
  <c r="AJ813" i="30"/>
  <c r="AJ826" i="30"/>
  <c r="AJ836" i="30"/>
  <c r="AJ849" i="30"/>
  <c r="AJ863" i="30"/>
  <c r="AJ877" i="30"/>
  <c r="AJ889" i="30"/>
  <c r="AJ899" i="30"/>
  <c r="AJ907" i="30"/>
  <c r="AJ915" i="30"/>
  <c r="AJ923" i="30"/>
  <c r="AJ931" i="30"/>
  <c r="AJ939" i="30"/>
  <c r="AJ947" i="30"/>
  <c r="AJ3" i="30"/>
  <c r="AJ13" i="30"/>
  <c r="AJ26" i="30"/>
  <c r="AJ36" i="30"/>
  <c r="AJ47" i="30"/>
  <c r="AJ56" i="30"/>
  <c r="AJ70" i="30"/>
  <c r="AJ82" i="30"/>
  <c r="AJ94" i="30"/>
  <c r="AJ107" i="30"/>
  <c r="AJ121" i="30"/>
  <c r="AJ135" i="30"/>
  <c r="AJ148" i="30"/>
  <c r="AJ163" i="30"/>
  <c r="AJ174" i="30"/>
  <c r="AJ183" i="30"/>
  <c r="AJ195" i="30"/>
  <c r="AJ207" i="30"/>
  <c r="AJ218" i="30"/>
  <c r="AJ228" i="30"/>
  <c r="AJ238" i="30"/>
  <c r="AJ247" i="30"/>
  <c r="AJ257" i="30"/>
  <c r="AJ267" i="30"/>
  <c r="AJ280" i="30"/>
  <c r="AJ289" i="30"/>
  <c r="AJ301" i="30"/>
  <c r="AJ314" i="30"/>
  <c r="AJ324" i="30"/>
  <c r="AJ332" i="30"/>
  <c r="AJ340" i="30"/>
  <c r="AJ348" i="30"/>
  <c r="AJ356" i="30"/>
  <c r="AJ364" i="30"/>
  <c r="AJ375" i="30"/>
  <c r="AJ387" i="30"/>
  <c r="AJ400" i="30"/>
  <c r="AJ410" i="30"/>
  <c r="AJ421" i="30"/>
  <c r="AJ435" i="30"/>
  <c r="AJ445" i="30"/>
  <c r="AJ456" i="30"/>
  <c r="AJ469" i="30"/>
  <c r="AJ479" i="30"/>
  <c r="AJ492" i="30"/>
  <c r="AJ504" i="30"/>
  <c r="AJ516" i="30"/>
  <c r="AJ529" i="30"/>
  <c r="AJ540" i="30"/>
  <c r="AJ552" i="30"/>
  <c r="AJ563" i="30"/>
  <c r="AJ577" i="30"/>
  <c r="AJ586" i="30"/>
  <c r="AJ599" i="30"/>
  <c r="AJ611" i="30"/>
  <c r="AJ622" i="30"/>
  <c r="AJ636" i="30"/>
  <c r="AJ647" i="30"/>
  <c r="AJ658" i="30"/>
  <c r="AJ670" i="30"/>
  <c r="AJ680" i="30"/>
  <c r="AJ688" i="30"/>
  <c r="AJ696" i="30"/>
  <c r="AJ706" i="30"/>
  <c r="AJ716" i="30"/>
  <c r="AJ730" i="30"/>
  <c r="AJ739" i="30"/>
  <c r="AJ753" i="30"/>
  <c r="AJ764" i="30"/>
  <c r="AJ778" i="30"/>
  <c r="AJ792" i="30"/>
  <c r="AJ804" i="30"/>
  <c r="AJ816" i="30"/>
  <c r="AJ827" i="30"/>
  <c r="AJ837" i="30"/>
  <c r="AJ850" i="30"/>
  <c r="AJ866" i="30"/>
  <c r="AJ878" i="30"/>
  <c r="AJ890" i="30"/>
  <c r="AJ900" i="30"/>
  <c r="AJ908" i="30"/>
  <c r="AJ916" i="30"/>
  <c r="AJ924" i="30"/>
  <c r="AJ932" i="30"/>
  <c r="AJ940" i="30"/>
  <c r="AJ948" i="30"/>
  <c r="AJ4" i="30"/>
  <c r="AJ16" i="30"/>
  <c r="AJ27" i="30"/>
  <c r="AJ37" i="30"/>
  <c r="AJ48" i="30"/>
  <c r="AJ59" i="30"/>
  <c r="AJ73" i="30"/>
  <c r="AJ83" i="30"/>
  <c r="AJ95" i="30"/>
  <c r="AJ108" i="30"/>
  <c r="AJ122" i="30"/>
  <c r="AJ136" i="30"/>
  <c r="AJ149" i="30"/>
  <c r="AJ164" i="30"/>
  <c r="AJ175" i="30"/>
  <c r="AJ184" i="30"/>
  <c r="AJ196" i="30"/>
  <c r="AJ210" i="30"/>
  <c r="AJ219" i="30"/>
  <c r="AJ229" i="30"/>
  <c r="AJ239" i="30"/>
  <c r="AJ248" i="30"/>
  <c r="AJ258" i="30"/>
  <c r="AJ268" i="30"/>
  <c r="AJ281" i="30"/>
  <c r="AJ290" i="30"/>
  <c r="AJ302" i="30"/>
  <c r="AJ315" i="30"/>
  <c r="AJ325" i="30"/>
  <c r="AJ333" i="30"/>
  <c r="AJ341" i="30"/>
  <c r="AJ349" i="30"/>
  <c r="AJ357" i="30"/>
  <c r="AJ365" i="30"/>
  <c r="AJ378" i="30"/>
  <c r="AJ389" i="30"/>
  <c r="AJ402" i="30"/>
  <c r="AJ412" i="30"/>
  <c r="AJ423" i="30"/>
  <c r="AJ436" i="30"/>
  <c r="AJ446" i="30"/>
  <c r="AJ457" i="30"/>
  <c r="AJ470" i="30"/>
  <c r="AJ482" i="30"/>
  <c r="AJ493" i="30"/>
  <c r="AJ505" i="30"/>
  <c r="AJ518" i="30"/>
  <c r="AJ530" i="30"/>
  <c r="AJ543" i="30"/>
  <c r="AJ553" i="30"/>
  <c r="AJ564" i="30"/>
  <c r="AJ578" i="30"/>
  <c r="AJ587" i="30"/>
  <c r="AJ600" i="30"/>
  <c r="AJ613" i="30"/>
  <c r="AJ625" i="30"/>
  <c r="AJ637" i="30"/>
  <c r="AJ648" i="30"/>
  <c r="AJ659" i="30"/>
  <c r="AJ673" i="30"/>
  <c r="AJ681" i="30"/>
  <c r="AJ689" i="30"/>
  <c r="AJ697" i="30"/>
  <c r="AJ707" i="30"/>
  <c r="AJ719" i="30"/>
  <c r="AJ731" i="30"/>
  <c r="AJ742" i="30"/>
  <c r="AJ756" i="30"/>
  <c r="AJ766" i="30"/>
  <c r="AJ781" i="30"/>
  <c r="AJ795" i="30"/>
  <c r="AJ805" i="30"/>
  <c r="AJ817" i="30"/>
  <c r="AJ828" i="30"/>
  <c r="AJ838" i="30"/>
  <c r="AJ853" i="30"/>
  <c r="AJ867" i="30"/>
  <c r="AJ881" i="30"/>
  <c r="AJ893" i="30"/>
  <c r="AJ901" i="30"/>
  <c r="AJ909" i="30"/>
  <c r="AJ917" i="30"/>
  <c r="AJ925" i="30"/>
  <c r="AJ933" i="30"/>
  <c r="AJ941" i="30"/>
  <c r="AJ949" i="30"/>
  <c r="AJ5" i="30"/>
  <c r="AJ17" i="30"/>
  <c r="AJ28" i="30"/>
  <c r="AJ38" i="30"/>
  <c r="AJ49" i="30"/>
  <c r="AJ60" i="30"/>
  <c r="AJ74" i="30"/>
  <c r="AJ84" i="30"/>
  <c r="AJ96" i="30"/>
  <c r="AJ109" i="30"/>
  <c r="AJ123" i="30"/>
  <c r="AJ137" i="30"/>
  <c r="AJ150" i="30"/>
  <c r="AJ166" i="30"/>
  <c r="AJ176" i="30"/>
  <c r="AJ185" i="30"/>
  <c r="AJ197" i="30"/>
  <c r="AJ211" i="30"/>
  <c r="AJ220" i="30"/>
  <c r="AJ230" i="30"/>
  <c r="AJ240" i="30"/>
  <c r="AJ249" i="30"/>
  <c r="AJ259" i="30"/>
  <c r="AJ270" i="30"/>
  <c r="AJ282" i="30"/>
  <c r="AJ291" i="30"/>
  <c r="AJ305" i="30"/>
  <c r="AJ317" i="30"/>
  <c r="AJ326" i="30"/>
  <c r="AJ334" i="30"/>
  <c r="AJ342" i="30"/>
  <c r="AJ350" i="30"/>
  <c r="AJ358" i="30"/>
  <c r="AJ366" i="30"/>
  <c r="AJ379" i="30"/>
  <c r="AJ390" i="30"/>
  <c r="AJ403" i="30"/>
  <c r="AJ413" i="30"/>
  <c r="AJ424" i="30"/>
  <c r="AJ437" i="30"/>
  <c r="AJ448" i="30"/>
  <c r="AJ458" i="30"/>
  <c r="AJ473" i="30"/>
  <c r="AJ483" i="30"/>
  <c r="AJ494" i="30"/>
  <c r="AJ508" i="30"/>
  <c r="AJ519" i="30"/>
  <c r="AJ532" i="30"/>
  <c r="AJ544" i="30"/>
  <c r="AJ555" i="30"/>
  <c r="AJ567" i="30"/>
  <c r="AJ579" i="30"/>
  <c r="AJ588" i="30"/>
  <c r="AJ605" i="30"/>
  <c r="AJ614" i="30"/>
  <c r="AJ626" i="30"/>
  <c r="AJ638" i="30"/>
  <c r="AJ649" i="30"/>
  <c r="AJ662" i="30"/>
  <c r="AJ674" i="30"/>
  <c r="AJ682" i="30"/>
  <c r="AJ690" i="30"/>
  <c r="AJ698" i="30"/>
  <c r="AJ708" i="30"/>
  <c r="AJ720" i="30"/>
  <c r="AJ732" i="30"/>
  <c r="AJ743" i="30"/>
  <c r="AJ757" i="30"/>
  <c r="AJ767" i="30"/>
  <c r="AJ782" i="30"/>
  <c r="AJ796" i="30"/>
  <c r="AJ807" i="30"/>
  <c r="AJ818" i="30"/>
  <c r="AJ829" i="30"/>
  <c r="AJ839" i="30"/>
  <c r="AJ854" i="30"/>
  <c r="AJ870" i="30"/>
  <c r="AJ882" i="30"/>
  <c r="AJ894" i="30"/>
  <c r="AJ902" i="30"/>
  <c r="AJ910" i="30"/>
  <c r="AJ918" i="30"/>
  <c r="AJ926" i="30"/>
  <c r="AJ934" i="30"/>
  <c r="AJ942" i="30"/>
  <c r="AJ7" i="30"/>
  <c r="AJ18" i="30"/>
  <c r="AJ29" i="30"/>
  <c r="AJ40" i="30"/>
  <c r="AJ50" i="30"/>
  <c r="AJ61" i="30"/>
  <c r="AJ75" i="30"/>
  <c r="AJ85" i="30"/>
  <c r="AJ99" i="30"/>
  <c r="AJ112" i="30"/>
  <c r="AJ124" i="30"/>
  <c r="AJ140" i="30"/>
  <c r="AJ153" i="30"/>
  <c r="AJ167" i="30"/>
  <c r="AJ177" i="30"/>
  <c r="AJ186" i="30"/>
  <c r="AJ200" i="30"/>
  <c r="AJ213" i="30"/>
  <c r="AJ221" i="30"/>
  <c r="AJ231" i="30"/>
  <c r="AJ241" i="30"/>
  <c r="AJ250" i="30"/>
  <c r="AJ260" i="30"/>
  <c r="AJ272" i="30"/>
  <c r="AJ283" i="30"/>
  <c r="AJ292" i="30"/>
  <c r="AJ306" i="30"/>
  <c r="AJ318" i="30"/>
  <c r="AJ327" i="30"/>
  <c r="AJ335" i="30"/>
  <c r="AJ343" i="30"/>
  <c r="AJ351" i="30"/>
  <c r="AJ359" i="30"/>
  <c r="AJ368" i="30"/>
  <c r="AJ380" i="30"/>
  <c r="AJ393" i="30"/>
  <c r="AJ404" i="30"/>
  <c r="AJ414" i="30"/>
  <c r="AJ425" i="30"/>
  <c r="AJ438" i="30"/>
  <c r="AJ449" i="30"/>
  <c r="AJ459" i="30"/>
  <c r="AJ474" i="30"/>
  <c r="AJ484" i="30"/>
  <c r="AJ495" i="30"/>
  <c r="AJ509" i="30"/>
  <c r="AJ520" i="30"/>
  <c r="AJ533" i="30"/>
  <c r="AJ547" i="30"/>
  <c r="AJ556" i="30"/>
  <c r="AJ568" i="30"/>
  <c r="AJ580" i="30"/>
  <c r="AJ591" i="30"/>
  <c r="AJ606" i="30"/>
  <c r="AJ615" i="30"/>
  <c r="AJ627" i="30"/>
  <c r="AJ639" i="30"/>
  <c r="AJ650" i="30"/>
  <c r="AJ663" i="30"/>
  <c r="AJ675" i="30"/>
  <c r="AJ683" i="30"/>
  <c r="AJ691" i="30"/>
  <c r="AJ699" i="30"/>
  <c r="AJ709" i="30"/>
  <c r="AJ721" i="30"/>
  <c r="AJ734" i="30"/>
  <c r="AJ746" i="30"/>
  <c r="AJ758" i="30"/>
  <c r="AJ769" i="30"/>
  <c r="AJ785" i="30"/>
  <c r="AJ797" i="30"/>
  <c r="AJ808" i="30"/>
  <c r="AJ819" i="30"/>
  <c r="AJ830" i="30"/>
  <c r="AJ842" i="30"/>
  <c r="AJ857" i="30"/>
  <c r="AJ871" i="30"/>
  <c r="AJ883" i="30"/>
  <c r="AJ895" i="30"/>
  <c r="AJ903" i="30"/>
  <c r="AJ911" i="30"/>
  <c r="AJ919" i="30"/>
  <c r="AJ927" i="30"/>
  <c r="AJ935" i="30"/>
  <c r="AJ943" i="30"/>
  <c r="AJ8" i="30"/>
  <c r="AJ19" i="30"/>
  <c r="AJ30" i="30"/>
  <c r="AJ41" i="30"/>
  <c r="AJ51" i="30"/>
  <c r="AJ64" i="30"/>
  <c r="AJ76" i="30"/>
  <c r="AJ88" i="30"/>
  <c r="AJ100" i="30"/>
  <c r="AJ113" i="30"/>
  <c r="AJ127" i="30"/>
  <c r="AJ141" i="30"/>
  <c r="AJ154" i="30"/>
  <c r="AJ170" i="30"/>
  <c r="AJ178" i="30"/>
  <c r="AJ187" i="30"/>
  <c r="AJ201" i="30"/>
  <c r="AJ214" i="30"/>
  <c r="AJ222" i="30"/>
  <c r="AJ234" i="30"/>
  <c r="AJ242" i="30"/>
  <c r="AJ251" i="30"/>
  <c r="AJ261" i="30"/>
  <c r="AJ273" i="30"/>
  <c r="AJ284" i="30"/>
  <c r="AJ295" i="30"/>
  <c r="AJ308" i="30"/>
  <c r="AJ319" i="30"/>
  <c r="AJ328" i="30"/>
  <c r="AJ336" i="30"/>
  <c r="AJ344" i="30"/>
  <c r="AJ352" i="30"/>
  <c r="AJ360" i="30"/>
  <c r="AJ369" i="30"/>
  <c r="AJ381" i="30"/>
  <c r="AJ394" i="30"/>
  <c r="AJ405" i="30"/>
  <c r="AJ415" i="30"/>
  <c r="AJ427" i="30"/>
  <c r="AJ440" i="30"/>
  <c r="AJ450" i="30"/>
  <c r="AJ461" i="30"/>
  <c r="AJ475" i="30"/>
  <c r="AJ485" i="30"/>
  <c r="AJ498" i="30"/>
  <c r="AJ510" i="30"/>
  <c r="AJ521" i="30"/>
  <c r="AJ534" i="30"/>
  <c r="AJ548" i="30"/>
  <c r="AJ557" i="30"/>
  <c r="AJ569" i="30"/>
  <c r="AJ581" i="30"/>
  <c r="AJ592" i="30"/>
  <c r="AJ607" i="30"/>
  <c r="AJ616" i="30"/>
  <c r="AJ630" i="30"/>
  <c r="AJ642" i="30"/>
  <c r="AJ651" i="30"/>
  <c r="AJ664" i="30"/>
  <c r="AJ676" i="30"/>
  <c r="AJ684" i="30"/>
  <c r="AJ692" i="30"/>
  <c r="AJ700" i="30"/>
  <c r="AJ710" i="30"/>
  <c r="AJ722" i="30"/>
  <c r="AJ735" i="30"/>
  <c r="AJ747" i="30"/>
  <c r="AJ759" i="30"/>
  <c r="AJ770" i="30"/>
  <c r="AJ786" i="30"/>
  <c r="AJ798" i="30"/>
  <c r="AJ809" i="30"/>
  <c r="AJ821" i="30"/>
  <c r="AJ831" i="30"/>
  <c r="AJ843" i="30"/>
  <c r="AJ858" i="30"/>
  <c r="AJ874" i="30"/>
  <c r="AJ886" i="30"/>
  <c r="AJ896" i="30"/>
  <c r="AJ904" i="30"/>
  <c r="AJ912" i="30"/>
  <c r="AJ920" i="30"/>
  <c r="AJ928" i="30"/>
  <c r="AJ936" i="30"/>
  <c r="AJ944" i="30"/>
  <c r="AJ45" i="30"/>
  <c r="AJ90" i="30"/>
  <c r="AJ144" i="30"/>
  <c r="AJ191" i="30"/>
  <c r="AJ236" i="30"/>
  <c r="AJ276" i="30"/>
  <c r="AJ322" i="30"/>
  <c r="AJ354" i="30"/>
  <c r="AJ396" i="30"/>
  <c r="AJ443" i="30"/>
  <c r="AJ487" i="30"/>
  <c r="AJ538" i="30"/>
  <c r="AJ584" i="30"/>
  <c r="AJ634" i="30"/>
  <c r="AJ678" i="30"/>
  <c r="AJ712" i="30"/>
  <c r="AJ762" i="30"/>
  <c r="AJ812" i="30"/>
  <c r="AJ862" i="30"/>
  <c r="AJ906" i="30"/>
  <c r="AJ938" i="30"/>
  <c r="AJ955" i="30"/>
  <c r="AJ963" i="30"/>
  <c r="AJ971" i="30"/>
  <c r="AJ979" i="30"/>
  <c r="AJ987" i="30"/>
  <c r="AJ995" i="30"/>
  <c r="AJ1003" i="30"/>
  <c r="AJ1011" i="30"/>
  <c r="AJ1019" i="30"/>
  <c r="AJ1027" i="30"/>
  <c r="AJ1035" i="30"/>
  <c r="AJ1044" i="30"/>
  <c r="AJ1057" i="30"/>
  <c r="AJ1069" i="30"/>
  <c r="AJ1080" i="30"/>
  <c r="AJ1090" i="30"/>
  <c r="AJ1100" i="30"/>
  <c r="AJ1112" i="30"/>
  <c r="AJ1126" i="30"/>
  <c r="AJ1136" i="30"/>
  <c r="AJ1148" i="30"/>
  <c r="AJ1164" i="30"/>
  <c r="AJ1174" i="30"/>
  <c r="AJ1182" i="30"/>
  <c r="AJ1195" i="30"/>
  <c r="AJ1207" i="30"/>
  <c r="AJ1222" i="30"/>
  <c r="AJ1231" i="30"/>
  <c r="AJ1245" i="30"/>
  <c r="AJ1256" i="30"/>
  <c r="AJ1268" i="30"/>
  <c r="AJ1280" i="30"/>
  <c r="AJ1292" i="30"/>
  <c r="AJ1300" i="30"/>
  <c r="AJ1310" i="30"/>
  <c r="AJ1326" i="30"/>
  <c r="AJ1341" i="30"/>
  <c r="AJ1354" i="30"/>
  <c r="AJ1369" i="30"/>
  <c r="AJ1379" i="30"/>
  <c r="AJ1389" i="30"/>
  <c r="AJ1402" i="30"/>
  <c r="AJ1414" i="30"/>
  <c r="AJ1428" i="30"/>
  <c r="AJ1440" i="30"/>
  <c r="AJ1453" i="30"/>
  <c r="AJ1465" i="30"/>
  <c r="AJ1479" i="30"/>
  <c r="AJ1491" i="30"/>
  <c r="AJ1505" i="30"/>
  <c r="AJ1517" i="30"/>
  <c r="AJ1533" i="30"/>
  <c r="AJ1547" i="30"/>
  <c r="AJ1561" i="30"/>
  <c r="AJ1573" i="30"/>
  <c r="AJ1585" i="30"/>
  <c r="AJ1595" i="30"/>
  <c r="AJ1609" i="30"/>
  <c r="AJ1622" i="30"/>
  <c r="AJ1633" i="30"/>
  <c r="AJ1646" i="30"/>
  <c r="AJ1660" i="30"/>
  <c r="AJ1672" i="30"/>
  <c r="AJ1683" i="30"/>
  <c r="AJ1697" i="30"/>
  <c r="AJ1711" i="30"/>
  <c r="AJ1727" i="30"/>
  <c r="AJ1741" i="30"/>
  <c r="AJ1753" i="30"/>
  <c r="AJ1768" i="30"/>
  <c r="AJ1783" i="30"/>
  <c r="AJ1812" i="30"/>
  <c r="AJ1826" i="30"/>
  <c r="AJ1840" i="30"/>
  <c r="AJ1853" i="30"/>
  <c r="AJ1869" i="30"/>
  <c r="AJ1883" i="30"/>
  <c r="AJ1895" i="30"/>
  <c r="AJ1911" i="30"/>
  <c r="AJ1926" i="30"/>
  <c r="AJ1936" i="30"/>
  <c r="AJ1950" i="30"/>
  <c r="AJ1964" i="30"/>
  <c r="AJ1976" i="30"/>
  <c r="AJ1992" i="30"/>
  <c r="AJ2004" i="30"/>
  <c r="AJ2018" i="30"/>
  <c r="AJ2033" i="30"/>
  <c r="AJ2048" i="30"/>
  <c r="AJ2062" i="30"/>
  <c r="AJ2076" i="30"/>
  <c r="AJ2086" i="30"/>
  <c r="AJ2100" i="30"/>
  <c r="AJ2116" i="30"/>
  <c r="AJ2128" i="30"/>
  <c r="AJ2143" i="30"/>
  <c r="AJ2154" i="30"/>
  <c r="AJ2165" i="30"/>
  <c r="AJ2177" i="30"/>
  <c r="AJ2188" i="30"/>
  <c r="AJ2196" i="30"/>
  <c r="AJ2211" i="30"/>
  <c r="AJ2223" i="30"/>
  <c r="AJ2233" i="30"/>
  <c r="AJ2241" i="30"/>
  <c r="AJ2252" i="30"/>
  <c r="AJ2266" i="30"/>
  <c r="AJ2280" i="30"/>
  <c r="AJ2300" i="30"/>
  <c r="AJ2313" i="30"/>
  <c r="AJ2324" i="30"/>
  <c r="AJ2335" i="30"/>
  <c r="AJ2344" i="30"/>
  <c r="AJ2359" i="30"/>
  <c r="AJ2369" i="30"/>
  <c r="AJ2381" i="30"/>
  <c r="AJ2397" i="30"/>
  <c r="AJ2411" i="30"/>
  <c r="AJ2423" i="30"/>
  <c r="AJ2437" i="30"/>
  <c r="AJ2448" i="30"/>
  <c r="AJ2460" i="30"/>
  <c r="AJ2472" i="30"/>
  <c r="AJ2482" i="30"/>
  <c r="AJ2496" i="30"/>
  <c r="AJ2506" i="30"/>
  <c r="AJ2521" i="30"/>
  <c r="AJ2534" i="30"/>
  <c r="AJ2546" i="30"/>
  <c r="AJ2554" i="30"/>
  <c r="AJ2562" i="30"/>
  <c r="AJ2570" i="30"/>
  <c r="AJ2578" i="30"/>
  <c r="AJ2586" i="30"/>
  <c r="AJ2594" i="30"/>
  <c r="AJ2602" i="30"/>
  <c r="AJ2610" i="30"/>
  <c r="AJ2618" i="30"/>
  <c r="AJ2626" i="30"/>
  <c r="AJ2634" i="30"/>
  <c r="AJ2642" i="30"/>
  <c r="AJ2650" i="30"/>
  <c r="AJ2658" i="30"/>
  <c r="AJ2666" i="30"/>
  <c r="AJ2674" i="30"/>
  <c r="AJ2682" i="30"/>
  <c r="AJ2690" i="30"/>
  <c r="AJ2698" i="30"/>
  <c r="AJ2706" i="30"/>
  <c r="AJ9" i="30"/>
  <c r="AJ52" i="30"/>
  <c r="AJ101" i="30"/>
  <c r="AJ157" i="30"/>
  <c r="AJ204" i="30"/>
  <c r="AJ243" i="30"/>
  <c r="AJ286" i="30"/>
  <c r="AJ329" i="30"/>
  <c r="AJ361" i="30"/>
  <c r="AJ407" i="30"/>
  <c r="AJ451" i="30"/>
  <c r="AJ499" i="30"/>
  <c r="AJ549" i="30"/>
  <c r="AJ595" i="30"/>
  <c r="AJ643" i="30"/>
  <c r="AJ685" i="30"/>
  <c r="AJ723" i="30"/>
  <c r="AJ773" i="30"/>
  <c r="AJ822" i="30"/>
  <c r="AJ875" i="30"/>
  <c r="AJ913" i="30"/>
  <c r="AJ945" i="30"/>
  <c r="AJ956" i="30"/>
  <c r="AJ964" i="30"/>
  <c r="AJ972" i="30"/>
  <c r="AJ980" i="30"/>
  <c r="AJ988" i="30"/>
  <c r="AJ996" i="30"/>
  <c r="AJ1004" i="30"/>
  <c r="AJ1012" i="30"/>
  <c r="AJ1020" i="30"/>
  <c r="AJ1028" i="30"/>
  <c r="AJ1036" i="30"/>
  <c r="AJ1047" i="30"/>
  <c r="AJ1060" i="30"/>
  <c r="AJ1070" i="30"/>
  <c r="AJ1081" i="30"/>
  <c r="AJ1093" i="30"/>
  <c r="AJ1103" i="30"/>
  <c r="AJ1113" i="30"/>
  <c r="AJ1127" i="30"/>
  <c r="AJ1137" i="30"/>
  <c r="AJ1149" i="30"/>
  <c r="AJ1165" i="30"/>
  <c r="AJ1175" i="30"/>
  <c r="AJ1183" i="30"/>
  <c r="AJ1196" i="30"/>
  <c r="AJ1210" i="30"/>
  <c r="AJ1223" i="30"/>
  <c r="AJ1234" i="30"/>
  <c r="AJ1246" i="30"/>
  <c r="AJ1257" i="30"/>
  <c r="AJ1269" i="30"/>
  <c r="AJ1281" i="30"/>
  <c r="AJ1293" i="30"/>
  <c r="AJ1301" i="30"/>
  <c r="AJ1313" i="30"/>
  <c r="AJ1329" i="30"/>
  <c r="AJ1342" i="30"/>
  <c r="AJ1355" i="30"/>
  <c r="AJ1372" i="30"/>
  <c r="AJ1380" i="30"/>
  <c r="AJ1392" i="30"/>
  <c r="AJ1403" i="30"/>
  <c r="AJ1417" i="30"/>
  <c r="AJ1431" i="30"/>
  <c r="AJ1443" i="30"/>
  <c r="AJ1454" i="30"/>
  <c r="AJ1468" i="30"/>
  <c r="AJ1482" i="30"/>
  <c r="AJ1495" i="30"/>
  <c r="AJ1507" i="30"/>
  <c r="AJ1520" i="30"/>
  <c r="AJ1534" i="30"/>
  <c r="AJ1548" i="30"/>
  <c r="AJ1562" i="30"/>
  <c r="AJ1574" i="30"/>
  <c r="AJ1586" i="30"/>
  <c r="AJ1598" i="30"/>
  <c r="AJ1610" i="30"/>
  <c r="AJ1623" i="30"/>
  <c r="AJ1634" i="30"/>
  <c r="AJ1647" i="30"/>
  <c r="AJ1661" i="30"/>
  <c r="AJ1675" i="30"/>
  <c r="AJ1685" i="30"/>
  <c r="AJ1698" i="30"/>
  <c r="AJ1712" i="30"/>
  <c r="AJ1728" i="30"/>
  <c r="AJ1742" i="30"/>
  <c r="AJ1756" i="30"/>
  <c r="AJ1769" i="30"/>
  <c r="AJ1785" i="30"/>
  <c r="AJ1814" i="30"/>
  <c r="AJ1829" i="30"/>
  <c r="AJ1841" i="30"/>
  <c r="AJ1854" i="30"/>
  <c r="AJ1870" i="30"/>
  <c r="AJ1884" i="30"/>
  <c r="AJ1896" i="30"/>
  <c r="AJ1914" i="30"/>
  <c r="AJ1929" i="30"/>
  <c r="AJ1937" i="30"/>
  <c r="AJ1951" i="30"/>
  <c r="AJ1965" i="30"/>
  <c r="AJ1978" i="30"/>
  <c r="AJ1993" i="30"/>
  <c r="AJ2005" i="30"/>
  <c r="AJ2019" i="30"/>
  <c r="AJ2035" i="30"/>
  <c r="AJ2049" i="30"/>
  <c r="AJ2064" i="30"/>
  <c r="AJ2077" i="30"/>
  <c r="AJ2088" i="30"/>
  <c r="AJ2103" i="30"/>
  <c r="AJ2117" i="30"/>
  <c r="AJ2131" i="30"/>
  <c r="AJ2144" i="30"/>
  <c r="AJ2155" i="30"/>
  <c r="AJ2166" i="30"/>
  <c r="AJ2178" i="30"/>
  <c r="AJ2189" i="30"/>
  <c r="AJ2199" i="30"/>
  <c r="AJ2212" i="30"/>
  <c r="AJ2226" i="30"/>
  <c r="AJ2234" i="30"/>
  <c r="AJ2242" i="30"/>
  <c r="AJ2255" i="30"/>
  <c r="AJ2269" i="30"/>
  <c r="AJ2283" i="30"/>
  <c r="AJ2301" i="30"/>
  <c r="AJ2314" i="30"/>
  <c r="AJ2325" i="30"/>
  <c r="AJ2336" i="30"/>
  <c r="AJ2347" i="30"/>
  <c r="AJ2360" i="30"/>
  <c r="AJ2370" i="30"/>
  <c r="AJ2386" i="30"/>
  <c r="AJ2398" i="30"/>
  <c r="AJ2412" i="30"/>
  <c r="AJ2424" i="30"/>
  <c r="AJ2438" i="30"/>
  <c r="AJ2449" i="30"/>
  <c r="AJ2461" i="30"/>
  <c r="AJ2473" i="30"/>
  <c r="AJ2485" i="30"/>
  <c r="AJ2499" i="30"/>
  <c r="AJ2508" i="30"/>
  <c r="AJ2524" i="30"/>
  <c r="AJ2536" i="30"/>
  <c r="AJ2547" i="30"/>
  <c r="AJ2555" i="30"/>
  <c r="AJ2563" i="30"/>
  <c r="AJ2571" i="30"/>
  <c r="AJ2579" i="30"/>
  <c r="AJ2587" i="30"/>
  <c r="AJ2595" i="30"/>
  <c r="AJ2603" i="30"/>
  <c r="AJ2611" i="30"/>
  <c r="AJ2619" i="30"/>
  <c r="AJ2627" i="30"/>
  <c r="AJ2635" i="30"/>
  <c r="AJ2643" i="30"/>
  <c r="AJ2651" i="30"/>
  <c r="AJ2659" i="30"/>
  <c r="AJ2667" i="30"/>
  <c r="AJ2675" i="30"/>
  <c r="AJ2683" i="30"/>
  <c r="AJ2691" i="30"/>
  <c r="AJ2699" i="30"/>
  <c r="AJ10" i="30"/>
  <c r="AJ54" i="30"/>
  <c r="AJ103" i="30"/>
  <c r="AJ159" i="30"/>
  <c r="AJ205" i="30"/>
  <c r="AJ244" i="30"/>
  <c r="AJ287" i="30"/>
  <c r="AJ330" i="30"/>
  <c r="AJ362" i="30"/>
  <c r="AJ408" i="30"/>
  <c r="AJ454" i="30"/>
  <c r="AJ502" i="30"/>
  <c r="AJ550" i="30"/>
  <c r="AJ596" i="30"/>
  <c r="AJ644" i="30"/>
  <c r="AJ686" i="30"/>
  <c r="AJ726" i="30"/>
  <c r="AJ774" i="30"/>
  <c r="AJ823" i="30"/>
  <c r="AJ876" i="30"/>
  <c r="AJ914" i="30"/>
  <c r="AJ946" i="30"/>
  <c r="AJ957" i="30"/>
  <c r="AJ965" i="30"/>
  <c r="AJ973" i="30"/>
  <c r="AJ981" i="30"/>
  <c r="AJ989" i="30"/>
  <c r="AJ997" i="30"/>
  <c r="AJ1005" i="30"/>
  <c r="AJ1013" i="30"/>
  <c r="AJ1021" i="30"/>
  <c r="AJ1029" i="30"/>
  <c r="AJ1037" i="30"/>
  <c r="AJ1048" i="30"/>
  <c r="AJ1061" i="30"/>
  <c r="AJ1071" i="30"/>
  <c r="AJ1082" i="30"/>
  <c r="AJ1094" i="30"/>
  <c r="AJ1104" i="30"/>
  <c r="AJ1116" i="30"/>
  <c r="AJ1128" i="30"/>
  <c r="AJ1139" i="30"/>
  <c r="AJ1152" i="30"/>
  <c r="AJ1166" i="30"/>
  <c r="AJ1176" i="30"/>
  <c r="AJ1185" i="30"/>
  <c r="AJ1199" i="30"/>
  <c r="AJ1211" i="30"/>
  <c r="AJ1224" i="30"/>
  <c r="AJ1235" i="30"/>
  <c r="AJ1247" i="30"/>
  <c r="AJ1258" i="30"/>
  <c r="AJ1271" i="30"/>
  <c r="AJ1282" i="30"/>
  <c r="AJ1294" i="30"/>
  <c r="AJ1302" i="30"/>
  <c r="AJ1314" i="30"/>
  <c r="AJ1330" i="30"/>
  <c r="AJ1343" i="30"/>
  <c r="AJ1358" i="30"/>
  <c r="AJ1373" i="30"/>
  <c r="AJ1381" i="30"/>
  <c r="AJ1393" i="30"/>
  <c r="AJ1406" i="30"/>
  <c r="AJ1418" i="30"/>
  <c r="AJ1432" i="30"/>
  <c r="AJ1444" i="30"/>
  <c r="AJ1457" i="30"/>
  <c r="AJ1469" i="30"/>
  <c r="AJ1483" i="30"/>
  <c r="AJ1496" i="30"/>
  <c r="AJ1508" i="30"/>
  <c r="AJ1521" i="30"/>
  <c r="AJ1537" i="30"/>
  <c r="AJ1549" i="30"/>
  <c r="AJ1565" i="30"/>
  <c r="AJ1575" i="30"/>
  <c r="AJ1587" i="30"/>
  <c r="AJ1599" i="30"/>
  <c r="AJ1613" i="30"/>
  <c r="AJ1624" i="30"/>
  <c r="AJ1637" i="30"/>
  <c r="AJ1650" i="30"/>
  <c r="AJ1662" i="30"/>
  <c r="AJ1676" i="30"/>
  <c r="AJ1686" i="30"/>
  <c r="AJ1699" i="30"/>
  <c r="AJ1715" i="30"/>
  <c r="AJ1731" i="30"/>
  <c r="AJ1745" i="30"/>
  <c r="AJ1757" i="30"/>
  <c r="AJ1772" i="30"/>
  <c r="AJ1797" i="30"/>
  <c r="AJ1816" i="30"/>
  <c r="AJ1830" i="30"/>
  <c r="AJ1842" i="30"/>
  <c r="AJ1857" i="30"/>
  <c r="AJ1873" i="30"/>
  <c r="AJ1887" i="30"/>
  <c r="AJ1897" i="30"/>
  <c r="AJ1917" i="30"/>
  <c r="AJ1930" i="30"/>
  <c r="AJ1940" i="30"/>
  <c r="AJ1954" i="30"/>
  <c r="AJ1966" i="30"/>
  <c r="AJ1980" i="30"/>
  <c r="AJ1994" i="30"/>
  <c r="AJ2006" i="30"/>
  <c r="AJ2022" i="30"/>
  <c r="AJ2036" i="30"/>
  <c r="AJ2052" i="30"/>
  <c r="AJ2065" i="30"/>
  <c r="AJ2078" i="30"/>
  <c r="AJ2089" i="30"/>
  <c r="AJ2104" i="30"/>
  <c r="AJ2118" i="30"/>
  <c r="AJ2132" i="30"/>
  <c r="AJ2145" i="30"/>
  <c r="AJ2157" i="30"/>
  <c r="AJ2169" i="30"/>
  <c r="AJ2180" i="30"/>
  <c r="AJ2190" i="30"/>
  <c r="AJ2200" i="30"/>
  <c r="AJ2215" i="30"/>
  <c r="AJ2227" i="30"/>
  <c r="AJ2235" i="30"/>
  <c r="AJ2243" i="30"/>
  <c r="AJ2256" i="30"/>
  <c r="AJ2270" i="30"/>
  <c r="AJ2284" i="30"/>
  <c r="AJ2303" i="30"/>
  <c r="AJ2315" i="30"/>
  <c r="AJ2326" i="30"/>
  <c r="AJ2337" i="30"/>
  <c r="AJ2348" i="30"/>
  <c r="AJ2361" i="30"/>
  <c r="AJ2371" i="30"/>
  <c r="AJ2387" i="30"/>
  <c r="AJ2401" i="30"/>
  <c r="AJ2413" i="30"/>
  <c r="AJ2425" i="30"/>
  <c r="AJ2439" i="30"/>
  <c r="AJ2450" i="30"/>
  <c r="AJ2464" i="30"/>
  <c r="AJ2474" i="30"/>
  <c r="AJ2486" i="30"/>
  <c r="AJ2500" i="30"/>
  <c r="AJ2509" i="30"/>
  <c r="AJ2527" i="30"/>
  <c r="AJ2537" i="30"/>
  <c r="AJ2548" i="30"/>
  <c r="AJ2556" i="30"/>
  <c r="AJ2564" i="30"/>
  <c r="AJ2572" i="30"/>
  <c r="AJ2580" i="30"/>
  <c r="AJ2588" i="30"/>
  <c r="AJ2596" i="30"/>
  <c r="AJ2604" i="30"/>
  <c r="AJ2612" i="30"/>
  <c r="AJ2620" i="30"/>
  <c r="AJ2628" i="30"/>
  <c r="AJ2636" i="30"/>
  <c r="AJ2644" i="30"/>
  <c r="AJ2652" i="30"/>
  <c r="AJ2660" i="30"/>
  <c r="AJ2668" i="30"/>
  <c r="AJ2676" i="30"/>
  <c r="AJ2684" i="30"/>
  <c r="AJ2692" i="30"/>
  <c r="AJ2700" i="30"/>
  <c r="AJ21" i="30"/>
  <c r="AJ65" i="30"/>
  <c r="AJ114" i="30"/>
  <c r="AJ171" i="30"/>
  <c r="AJ215" i="30"/>
  <c r="AJ254" i="30"/>
  <c r="AJ296" i="30"/>
  <c r="AJ337" i="30"/>
  <c r="AJ370" i="30"/>
  <c r="AJ416" i="30"/>
  <c r="AJ462" i="30"/>
  <c r="AJ513" i="30"/>
  <c r="AJ558" i="30"/>
  <c r="AJ608" i="30"/>
  <c r="AJ653" i="30"/>
  <c r="AJ693" i="30"/>
  <c r="AJ736" i="30"/>
  <c r="AJ787" i="30"/>
  <c r="AJ834" i="30"/>
  <c r="AJ887" i="30"/>
  <c r="AJ921" i="30"/>
  <c r="AJ950" i="30"/>
  <c r="AJ958" i="30"/>
  <c r="AJ966" i="30"/>
  <c r="AJ974" i="30"/>
  <c r="AJ982" i="30"/>
  <c r="AJ990" i="30"/>
  <c r="AJ998" i="30"/>
  <c r="AJ1006" i="30"/>
  <c r="AJ1014" i="30"/>
  <c r="AJ1022" i="30"/>
  <c r="AJ1030" i="30"/>
  <c r="AJ1038" i="30"/>
  <c r="AJ1050" i="30"/>
  <c r="AJ1062" i="30"/>
  <c r="AJ1072" i="30"/>
  <c r="AJ1085" i="30"/>
  <c r="AJ1095" i="30"/>
  <c r="AJ1105" i="30"/>
  <c r="AJ1117" i="30"/>
  <c r="AJ1129" i="30"/>
  <c r="AJ1140" i="30"/>
  <c r="AJ1155" i="30"/>
  <c r="AJ1169" i="30"/>
  <c r="AJ1177" i="30"/>
  <c r="AJ1186" i="30"/>
  <c r="AJ1200" i="30"/>
  <c r="AJ1214" i="30"/>
  <c r="AJ1225" i="30"/>
  <c r="AJ1236" i="30"/>
  <c r="AJ1248" i="30"/>
  <c r="AJ1259" i="30"/>
  <c r="AJ1273" i="30"/>
  <c r="AJ1284" i="30"/>
  <c r="AJ1295" i="30"/>
  <c r="AJ1303" i="30"/>
  <c r="AJ1317" i="30"/>
  <c r="AJ1332" i="30"/>
  <c r="AJ1344" i="30"/>
  <c r="AJ1359" i="30"/>
  <c r="AJ1374" i="30"/>
  <c r="AJ1382" i="30"/>
  <c r="AJ1394" i="30"/>
  <c r="AJ1407" i="30"/>
  <c r="AJ1419" i="30"/>
  <c r="AJ1433" i="30"/>
  <c r="AJ1445" i="30"/>
  <c r="AJ1458" i="30"/>
  <c r="AJ1470" i="30"/>
  <c r="AJ1484" i="30"/>
  <c r="AJ1498" i="30"/>
  <c r="AJ1510" i="30"/>
  <c r="AJ1524" i="30"/>
  <c r="AJ1538" i="30"/>
  <c r="AJ1550" i="30"/>
  <c r="AJ1566" i="30"/>
  <c r="AJ1578" i="30"/>
  <c r="AJ1588" i="30"/>
  <c r="AJ1602" i="30"/>
  <c r="AJ1614" i="30"/>
  <c r="AJ1625" i="30"/>
  <c r="AJ1638" i="30"/>
  <c r="AJ1651" i="30"/>
  <c r="AJ1663" i="30"/>
  <c r="AJ1677" i="30"/>
  <c r="AJ1689" i="30"/>
  <c r="AJ1702" i="30"/>
  <c r="AJ1716" i="30"/>
  <c r="AJ1732" i="30"/>
  <c r="AJ1746" i="30"/>
  <c r="AJ1758" i="30"/>
  <c r="AJ1773" i="30"/>
  <c r="AJ1800" i="30"/>
  <c r="AJ1817" i="30"/>
  <c r="AJ1831" i="30"/>
  <c r="AJ1845" i="30"/>
  <c r="AJ1858" i="30"/>
  <c r="AJ1874" i="30"/>
  <c r="AJ1888" i="30"/>
  <c r="AJ1900" i="30"/>
  <c r="AJ1918" i="30"/>
  <c r="AJ1931" i="30"/>
  <c r="AJ1941" i="30"/>
  <c r="AJ1955" i="30"/>
  <c r="AJ1969" i="30"/>
  <c r="AJ1981" i="30"/>
  <c r="AJ1995" i="30"/>
  <c r="AJ2009" i="30"/>
  <c r="AJ2023" i="30"/>
  <c r="AJ2039" i="30"/>
  <c r="AJ2053" i="30"/>
  <c r="AJ2066" i="30"/>
  <c r="AJ2079" i="30"/>
  <c r="AJ2092" i="30"/>
  <c r="AJ2105" i="30"/>
  <c r="AJ2121" i="30"/>
  <c r="AJ2135" i="30"/>
  <c r="AJ2147" i="30"/>
  <c r="AJ2158" i="30"/>
  <c r="AJ2170" i="30"/>
  <c r="AJ2182" i="30"/>
  <c r="AJ2191" i="30"/>
  <c r="AJ2203" i="30"/>
  <c r="AJ2216" i="30"/>
  <c r="AJ2228" i="30"/>
  <c r="AJ2236" i="30"/>
  <c r="AJ2244" i="30"/>
  <c r="AJ2259" i="30"/>
  <c r="AJ2273" i="30"/>
  <c r="AJ2289" i="30"/>
  <c r="AJ2306" i="30"/>
  <c r="AJ2317" i="30"/>
  <c r="AJ2327" i="30"/>
  <c r="AJ2338" i="30"/>
  <c r="AJ2351" i="30"/>
  <c r="AJ2362" i="30"/>
  <c r="AJ2372" i="30"/>
  <c r="AJ2388" i="30"/>
  <c r="AJ2402" i="30"/>
  <c r="AJ2414" i="30"/>
  <c r="AJ2426" i="30"/>
  <c r="AJ2440" i="30"/>
  <c r="AJ2451" i="30"/>
  <c r="AJ2467" i="30"/>
  <c r="AJ2476" i="30"/>
  <c r="AJ2487" i="30"/>
  <c r="AJ2501" i="30"/>
  <c r="AJ2512" i="30"/>
  <c r="AJ2528" i="30"/>
  <c r="AJ2539" i="30"/>
  <c r="AJ2549" i="30"/>
  <c r="AJ2557" i="30"/>
  <c r="AJ2565" i="30"/>
  <c r="AJ2573" i="30"/>
  <c r="AJ2581" i="30"/>
  <c r="AJ2589" i="30"/>
  <c r="AJ2597" i="30"/>
  <c r="AJ2605" i="30"/>
  <c r="AJ2613" i="30"/>
  <c r="AJ2621" i="30"/>
  <c r="AJ2629" i="30"/>
  <c r="AJ2637" i="30"/>
  <c r="AJ2645" i="30"/>
  <c r="AJ2653" i="30"/>
  <c r="AJ2661" i="30"/>
  <c r="AJ2669" i="30"/>
  <c r="AJ2677" i="30"/>
  <c r="AJ2685" i="30"/>
  <c r="AJ2693" i="30"/>
  <c r="AJ2701" i="30"/>
  <c r="AJ31" i="30"/>
  <c r="AJ77" i="30"/>
  <c r="AJ130" i="30"/>
  <c r="AJ179" i="30"/>
  <c r="AJ223" i="30"/>
  <c r="AJ262" i="30"/>
  <c r="AJ309" i="30"/>
  <c r="AJ345" i="30"/>
  <c r="AJ384" i="30"/>
  <c r="AJ429" i="30"/>
  <c r="AJ476" i="30"/>
  <c r="AJ524" i="30"/>
  <c r="AJ572" i="30"/>
  <c r="AJ617" i="30"/>
  <c r="AJ667" i="30"/>
  <c r="AJ701" i="30"/>
  <c r="AJ748" i="30"/>
  <c r="AJ799" i="30"/>
  <c r="AJ847" i="30"/>
  <c r="AJ897" i="30"/>
  <c r="AJ929" i="30"/>
  <c r="AJ952" i="30"/>
  <c r="AJ960" i="30"/>
  <c r="AJ968" i="30"/>
  <c r="AJ976" i="30"/>
  <c r="AJ984" i="30"/>
  <c r="AJ992" i="30"/>
  <c r="AJ1000" i="30"/>
  <c r="AJ1008" i="30"/>
  <c r="AJ1016" i="30"/>
  <c r="AJ1024" i="30"/>
  <c r="AJ1032" i="30"/>
  <c r="AJ1040" i="30"/>
  <c r="AJ1053" i="30"/>
  <c r="AJ1066" i="30"/>
  <c r="AJ1075" i="30"/>
  <c r="AJ1087" i="30"/>
  <c r="AJ1097" i="30"/>
  <c r="AJ1109" i="30"/>
  <c r="AJ1121" i="30"/>
  <c r="AJ1133" i="30"/>
  <c r="AJ1144" i="30"/>
  <c r="AJ1159" i="30"/>
  <c r="AJ1171" i="30"/>
  <c r="AJ1179" i="30"/>
  <c r="AJ1188" i="30"/>
  <c r="AJ1204" i="30"/>
  <c r="AJ1217" i="30"/>
  <c r="AJ1227" i="30"/>
  <c r="AJ1240" i="30"/>
  <c r="AJ1252" i="30"/>
  <c r="AJ1263" i="30"/>
  <c r="AJ1275" i="30"/>
  <c r="AJ1287" i="30"/>
  <c r="AJ1297" i="30"/>
  <c r="AJ1305" i="30"/>
  <c r="AJ1321" i="30"/>
  <c r="AJ1336" i="30"/>
  <c r="AJ1348" i="30"/>
  <c r="AJ1365" i="30"/>
  <c r="AJ1376" i="30"/>
  <c r="AJ1386" i="30"/>
  <c r="AJ1397" i="30"/>
  <c r="AJ1411" i="30"/>
  <c r="AJ1423" i="30"/>
  <c r="AJ1435" i="30"/>
  <c r="AJ1448" i="30"/>
  <c r="AJ1462" i="30"/>
  <c r="AJ1474" i="30"/>
  <c r="AJ1486" i="30"/>
  <c r="AJ1500" i="30"/>
  <c r="AJ1514" i="30"/>
  <c r="AJ1528" i="30"/>
  <c r="AJ1540" i="30"/>
  <c r="AJ1554" i="30"/>
  <c r="AJ1568" i="30"/>
  <c r="AJ1582" i="30"/>
  <c r="AJ1590" i="30"/>
  <c r="AJ1606" i="30"/>
  <c r="AJ1617" i="30"/>
  <c r="AJ1629" i="30"/>
  <c r="AJ1640" i="30"/>
  <c r="AJ1654" i="30"/>
  <c r="AJ1667" i="30"/>
  <c r="AJ1679" i="30"/>
  <c r="AJ1691" i="30"/>
  <c r="AJ1706" i="30"/>
  <c r="AJ1720" i="30"/>
  <c r="AJ1737" i="30"/>
  <c r="AJ1748" i="30"/>
  <c r="AJ1761" i="30"/>
  <c r="AJ1780" i="30"/>
  <c r="AJ1807" i="30"/>
  <c r="AJ1821" i="30"/>
  <c r="AJ1835" i="30"/>
  <c r="AJ1849" i="30"/>
  <c r="AJ1862" i="30"/>
  <c r="AJ1876" i="30"/>
  <c r="AJ1890" i="30"/>
  <c r="AJ1904" i="30"/>
  <c r="AJ1922" i="30"/>
  <c r="AJ1933" i="30"/>
  <c r="AJ1943" i="30"/>
  <c r="AJ1959" i="30"/>
  <c r="AJ1971" i="30"/>
  <c r="AJ1985" i="30"/>
  <c r="AJ1999" i="30"/>
  <c r="AJ2013" i="30"/>
  <c r="AJ2027" i="30"/>
  <c r="AJ2042" i="30"/>
  <c r="AJ2055" i="30"/>
  <c r="AJ2069" i="30"/>
  <c r="AJ2081" i="30"/>
  <c r="AJ2095" i="30"/>
  <c r="AJ2109" i="30"/>
  <c r="AJ2124" i="30"/>
  <c r="AJ2137" i="30"/>
  <c r="AJ2149" i="30"/>
  <c r="AJ2162" i="30"/>
  <c r="AJ2172" i="30"/>
  <c r="AJ2185" i="30"/>
  <c r="AJ2193" i="30"/>
  <c r="AJ2205" i="30"/>
  <c r="AJ2219" i="30"/>
  <c r="AJ2230" i="30"/>
  <c r="AJ2238" i="30"/>
  <c r="AJ2247" i="30"/>
  <c r="AJ2261" i="30"/>
  <c r="AJ2275" i="30"/>
  <c r="AJ2295" i="30"/>
  <c r="AJ2308" i="30"/>
  <c r="AJ2319" i="30"/>
  <c r="AJ2330" i="30"/>
  <c r="AJ2340" i="30"/>
  <c r="AJ2353" i="30"/>
  <c r="AJ2364" i="30"/>
  <c r="AJ2377" i="30"/>
  <c r="AJ2392" i="30"/>
  <c r="AJ2406" i="30"/>
  <c r="AJ2416" i="30"/>
  <c r="AJ2430" i="30"/>
  <c r="AJ2442" i="30"/>
  <c r="AJ2455" i="30"/>
  <c r="AJ2469" i="30"/>
  <c r="AJ2479" i="30"/>
  <c r="AJ2491" i="30"/>
  <c r="AJ2503" i="30"/>
  <c r="AJ2514" i="30"/>
  <c r="AJ2530" i="30"/>
  <c r="AJ2543" i="30"/>
  <c r="AJ2551" i="30"/>
  <c r="AJ2559" i="30"/>
  <c r="AJ2567" i="30"/>
  <c r="AJ2575" i="30"/>
  <c r="AJ2583" i="30"/>
  <c r="AJ2591" i="30"/>
  <c r="AJ2599" i="30"/>
  <c r="AJ2607" i="30"/>
  <c r="AJ2615" i="30"/>
  <c r="AJ2623" i="30"/>
  <c r="AJ2631" i="30"/>
  <c r="AJ2639" i="30"/>
  <c r="AJ2647" i="30"/>
  <c r="AJ2655" i="30"/>
  <c r="AJ2663" i="30"/>
  <c r="AJ2671" i="30"/>
  <c r="AJ2679" i="30"/>
  <c r="AJ2687" i="30"/>
  <c r="AJ2695" i="30"/>
  <c r="AJ2703" i="30"/>
  <c r="AJ34" i="30"/>
  <c r="AJ78" i="30"/>
  <c r="AJ131" i="30"/>
  <c r="AJ181" i="30"/>
  <c r="AJ226" i="30"/>
  <c r="AJ265" i="30"/>
  <c r="AJ312" i="30"/>
  <c r="AJ346" i="30"/>
  <c r="AJ385" i="30"/>
  <c r="AJ431" i="30"/>
  <c r="AJ477" i="30"/>
  <c r="AJ525" i="30"/>
  <c r="AJ573" i="30"/>
  <c r="AJ618" i="30"/>
  <c r="AJ668" i="30"/>
  <c r="AJ702" i="30"/>
  <c r="AJ751" i="30"/>
  <c r="AJ802" i="30"/>
  <c r="AJ848" i="30"/>
  <c r="AJ898" i="30"/>
  <c r="AJ930" i="30"/>
  <c r="AJ953" i="30"/>
  <c r="AJ961" i="30"/>
  <c r="AJ969" i="30"/>
  <c r="AJ977" i="30"/>
  <c r="AJ985" i="30"/>
  <c r="AJ993" i="30"/>
  <c r="AJ1001" i="30"/>
  <c r="AJ1009" i="30"/>
  <c r="AJ1017" i="30"/>
  <c r="AJ1025" i="30"/>
  <c r="AJ1033" i="30"/>
  <c r="AJ1042" i="30"/>
  <c r="AJ1055" i="30"/>
  <c r="AJ1067" i="30"/>
  <c r="AJ1076" i="30"/>
  <c r="AJ1088" i="30"/>
  <c r="AJ1098" i="30"/>
  <c r="AJ1110" i="30"/>
  <c r="AJ1122" i="30"/>
  <c r="AJ1134" i="30"/>
  <c r="AJ1145" i="30"/>
  <c r="AJ1160" i="30"/>
  <c r="AJ1172" i="30"/>
  <c r="AJ1180" i="30"/>
  <c r="AJ1191" i="30"/>
  <c r="AJ1205" i="30"/>
  <c r="AJ1218" i="30"/>
  <c r="AJ1229" i="30"/>
  <c r="AJ1241" i="30"/>
  <c r="AJ1253" i="30"/>
  <c r="AJ1264" i="30"/>
  <c r="AJ1278" i="30"/>
  <c r="AJ1288" i="30"/>
  <c r="AJ1298" i="30"/>
  <c r="AJ1308" i="30"/>
  <c r="AJ1322" i="30"/>
  <c r="AJ1337" i="30"/>
  <c r="AJ1351" i="30"/>
  <c r="AJ1366" i="30"/>
  <c r="AJ1377" i="30"/>
  <c r="AJ1387" i="30"/>
  <c r="AJ1398" i="30"/>
  <c r="AJ1412" i="30"/>
  <c r="AJ1424" i="30"/>
  <c r="AJ1436" i="30"/>
  <c r="AJ1449" i="30"/>
  <c r="AJ1463" i="30"/>
  <c r="AJ1475" i="30"/>
  <c r="AJ1487" i="30"/>
  <c r="AJ1501" i="30"/>
  <c r="AJ1515" i="30"/>
  <c r="AJ1529" i="30"/>
  <c r="AJ1543" i="30"/>
  <c r="AJ1557" i="30"/>
  <c r="AJ1569" i="30"/>
  <c r="AJ1583" i="30"/>
  <c r="AJ1591" i="30"/>
  <c r="AJ1607" i="30"/>
  <c r="AJ1618" i="30"/>
  <c r="AJ1631" i="30"/>
  <c r="AJ1641" i="30"/>
  <c r="AJ1655" i="30"/>
  <c r="AJ1668" i="30"/>
  <c r="AJ1681" i="30"/>
  <c r="AJ1693" i="30"/>
  <c r="AJ1707" i="30"/>
  <c r="AJ1723" i="30"/>
  <c r="AJ1738" i="30"/>
  <c r="AJ1749" i="30"/>
  <c r="AJ1764" i="30"/>
  <c r="AJ1781" i="30"/>
  <c r="AJ1808" i="30"/>
  <c r="AJ1822" i="30"/>
  <c r="AJ1836" i="30"/>
  <c r="AJ1850" i="30"/>
  <c r="AJ1865" i="30"/>
  <c r="AJ1877" i="30"/>
  <c r="AJ1891" i="30"/>
  <c r="AJ1905" i="30"/>
  <c r="AJ1923" i="30"/>
  <c r="AJ1934" i="30"/>
  <c r="AJ1946" i="30"/>
  <c r="AJ1960" i="30"/>
  <c r="AJ1972" i="30"/>
  <c r="AJ1988" i="30"/>
  <c r="AJ2000" i="30"/>
  <c r="AJ2014" i="30"/>
  <c r="AJ2028" i="30"/>
  <c r="AJ2044" i="30"/>
  <c r="AJ2058" i="30"/>
  <c r="AJ2072" i="30"/>
  <c r="AJ2084" i="30"/>
  <c r="AJ2096" i="30"/>
  <c r="AJ2112" i="30"/>
  <c r="AJ2125" i="30"/>
  <c r="AJ2139" i="30"/>
  <c r="AJ2150" i="30"/>
  <c r="AJ2163" i="30"/>
  <c r="AJ2173" i="30"/>
  <c r="AJ2186" i="30"/>
  <c r="AJ2194" i="30"/>
  <c r="AJ2206" i="30"/>
  <c r="AJ2220" i="30"/>
  <c r="AJ2231" i="30"/>
  <c r="AJ2239" i="30"/>
  <c r="AJ2248" i="30"/>
  <c r="AJ2262" i="30"/>
  <c r="AJ2276" i="30"/>
  <c r="AJ2296" i="30"/>
  <c r="AJ2311" i="30"/>
  <c r="AJ2322" i="30"/>
  <c r="AJ2333" i="30"/>
  <c r="AJ2341" i="30"/>
  <c r="AJ2355" i="30"/>
  <c r="AJ2365" i="30"/>
  <c r="AJ2378" i="30"/>
  <c r="AJ2395" i="30"/>
  <c r="AJ2409" i="30"/>
  <c r="AJ2419" i="30"/>
  <c r="AJ2433" i="30"/>
  <c r="AJ2444" i="30"/>
  <c r="AJ2456" i="30"/>
  <c r="AJ2470" i="30"/>
  <c r="AJ2480" i="30"/>
  <c r="AJ2492" i="30"/>
  <c r="AJ2504" i="30"/>
  <c r="AJ2517" i="30"/>
  <c r="AJ2531" i="30"/>
  <c r="AJ2544" i="30"/>
  <c r="AJ2552" i="30"/>
  <c r="AJ2560" i="30"/>
  <c r="AJ2568" i="30"/>
  <c r="AJ2576" i="30"/>
  <c r="AJ2584" i="30"/>
  <c r="AJ2592" i="30"/>
  <c r="AJ2600" i="30"/>
  <c r="AJ2608" i="30"/>
  <c r="AJ2616" i="30"/>
  <c r="AJ2624" i="30"/>
  <c r="AJ2632" i="30"/>
  <c r="AJ2640" i="30"/>
  <c r="AJ2648" i="30"/>
  <c r="AJ2656" i="30"/>
  <c r="AJ2664" i="30"/>
  <c r="AJ2672" i="30"/>
  <c r="AJ2680" i="30"/>
  <c r="AJ2688" i="30"/>
  <c r="AJ2696" i="30"/>
  <c r="AJ2704" i="30"/>
  <c r="AJ190" i="30"/>
  <c r="AJ353" i="30"/>
  <c r="AJ535" i="30"/>
  <c r="AJ711" i="30"/>
  <c r="AJ905" i="30"/>
  <c r="AJ970" i="30"/>
  <c r="AJ1002" i="30"/>
  <c r="AJ1034" i="30"/>
  <c r="AJ1079" i="30"/>
  <c r="AJ1123" i="30"/>
  <c r="AJ1173" i="30"/>
  <c r="AJ1221" i="30"/>
  <c r="AJ1267" i="30"/>
  <c r="AJ1309" i="30"/>
  <c r="AJ1368" i="30"/>
  <c r="AJ1413" i="30"/>
  <c r="AJ1464" i="30"/>
  <c r="AJ1516" i="30"/>
  <c r="AJ1572" i="30"/>
  <c r="AJ1619" i="30"/>
  <c r="AJ1671" i="30"/>
  <c r="AJ1724" i="30"/>
  <c r="AJ1782" i="30"/>
  <c r="AJ1851" i="30"/>
  <c r="AJ1908" i="30"/>
  <c r="AJ1961" i="30"/>
  <c r="AJ2017" i="30"/>
  <c r="AJ2073" i="30"/>
  <c r="AJ2127" i="30"/>
  <c r="AJ2176" i="30"/>
  <c r="AJ2222" i="30"/>
  <c r="AJ2265" i="30"/>
  <c r="AJ2323" i="30"/>
  <c r="AJ2366" i="30"/>
  <c r="AJ2420" i="30"/>
  <c r="AJ2471" i="30"/>
  <c r="AJ2520" i="30"/>
  <c r="AJ2561" i="30"/>
  <c r="AJ2593" i="30"/>
  <c r="AJ2625" i="30"/>
  <c r="AJ2657" i="30"/>
  <c r="AJ2689" i="30"/>
  <c r="AJ2712" i="30"/>
  <c r="AJ2720" i="30"/>
  <c r="AJ2731" i="30"/>
  <c r="AJ2741" i="30"/>
  <c r="AJ2753" i="30"/>
  <c r="AJ2765" i="30"/>
  <c r="AJ2776" i="30"/>
  <c r="AJ2788" i="30"/>
  <c r="AJ2800" i="30"/>
  <c r="AJ2810" i="30"/>
  <c r="AJ2822" i="30"/>
  <c r="AJ2832" i="30"/>
  <c r="AJ2842" i="30"/>
  <c r="AJ2856" i="30"/>
  <c r="AG8" i="30"/>
  <c r="AG21" i="30"/>
  <c r="AG31" i="30"/>
  <c r="AG42" i="30"/>
  <c r="AG52" i="30"/>
  <c r="AG65" i="30"/>
  <c r="AG77" i="30"/>
  <c r="AG89" i="30"/>
  <c r="AG101" i="30"/>
  <c r="AG114" i="30"/>
  <c r="AG130" i="30"/>
  <c r="AG142" i="30"/>
  <c r="AG157" i="30"/>
  <c r="AG171" i="30"/>
  <c r="AG179" i="30"/>
  <c r="AG190" i="30"/>
  <c r="AG204" i="30"/>
  <c r="AG215" i="30"/>
  <c r="AG223" i="30"/>
  <c r="AG235" i="30"/>
  <c r="AG243" i="30"/>
  <c r="AG254" i="30"/>
  <c r="AG262" i="30"/>
  <c r="AG275" i="30"/>
  <c r="AG286" i="30"/>
  <c r="AG296" i="30"/>
  <c r="AG309" i="30"/>
  <c r="AG321" i="30"/>
  <c r="AG329" i="30"/>
  <c r="AG337" i="30"/>
  <c r="AG345" i="30"/>
  <c r="AG353" i="30"/>
  <c r="AG361" i="30"/>
  <c r="AG370" i="30"/>
  <c r="AG384" i="30"/>
  <c r="AG395" i="30"/>
  <c r="AG407" i="30"/>
  <c r="AG421" i="30"/>
  <c r="AG435" i="30"/>
  <c r="AG445" i="30"/>
  <c r="AG456" i="30"/>
  <c r="AG469" i="30"/>
  <c r="AG479" i="30"/>
  <c r="AG492" i="30"/>
  <c r="AG504" i="30"/>
  <c r="AG516" i="30"/>
  <c r="AG529" i="30"/>
  <c r="AG540" i="30"/>
  <c r="AG552" i="30"/>
  <c r="AG563" i="30"/>
  <c r="AG577" i="30"/>
  <c r="AG586" i="30"/>
  <c r="AG599" i="30"/>
  <c r="AG611" i="30"/>
  <c r="AG622" i="30"/>
  <c r="AG636" i="30"/>
  <c r="AG647" i="30"/>
  <c r="AG658" i="30"/>
  <c r="AG670" i="30"/>
  <c r="AG680" i="30"/>
  <c r="AG688" i="30"/>
  <c r="AG696" i="30"/>
  <c r="AG706" i="30"/>
  <c r="AG716" i="30"/>
  <c r="AG730" i="30"/>
  <c r="AG739" i="30"/>
  <c r="AG753" i="30"/>
  <c r="AG764" i="30"/>
  <c r="AG778" i="30"/>
  <c r="AG792" i="30"/>
  <c r="AG804" i="30"/>
  <c r="AG816" i="30"/>
  <c r="AG827" i="30"/>
  <c r="AG837" i="30"/>
  <c r="AG850" i="30"/>
  <c r="AG866" i="30"/>
  <c r="AG878" i="30"/>
  <c r="AG890" i="30"/>
  <c r="AG900" i="30"/>
  <c r="AG908" i="30"/>
  <c r="AG916" i="30"/>
  <c r="AG924" i="30"/>
  <c r="AG932" i="30"/>
  <c r="AG940" i="30"/>
  <c r="AG948" i="30"/>
  <c r="AG956" i="30"/>
  <c r="AG964" i="30"/>
  <c r="AG972" i="30"/>
  <c r="AG980" i="30"/>
  <c r="AG988" i="30"/>
  <c r="AG996" i="30"/>
  <c r="AG1004" i="30"/>
  <c r="AG1012" i="30"/>
  <c r="AG1020" i="30"/>
  <c r="AG1028" i="30"/>
  <c r="AG1036" i="30"/>
  <c r="AG1047" i="30"/>
  <c r="AG1060" i="30"/>
  <c r="AG1070" i="30"/>
  <c r="AG1081" i="30"/>
  <c r="AG1093" i="30"/>
  <c r="AG1103" i="30"/>
  <c r="AG1113" i="30"/>
  <c r="AG1127" i="30"/>
  <c r="AG1137" i="30"/>
  <c r="AG1149" i="30"/>
  <c r="AG1165" i="30"/>
  <c r="AG1175" i="30"/>
  <c r="AG1183" i="30"/>
  <c r="AG1196" i="30"/>
  <c r="AG1210" i="30"/>
  <c r="AG1223" i="30"/>
  <c r="AG1234" i="30"/>
  <c r="AG1246" i="30"/>
  <c r="AJ22" i="30"/>
  <c r="AJ216" i="30"/>
  <c r="AJ371" i="30"/>
  <c r="AJ559" i="30"/>
  <c r="AJ737" i="30"/>
  <c r="AJ922" i="30"/>
  <c r="AJ975" i="30"/>
  <c r="AJ1007" i="30"/>
  <c r="AJ1039" i="30"/>
  <c r="AJ1086" i="30"/>
  <c r="AJ1130" i="30"/>
  <c r="AJ1178" i="30"/>
  <c r="AJ1226" i="30"/>
  <c r="AJ1274" i="30"/>
  <c r="AJ1318" i="30"/>
  <c r="AJ1375" i="30"/>
  <c r="AJ1420" i="30"/>
  <c r="AJ1471" i="30"/>
  <c r="AJ1525" i="30"/>
  <c r="AJ1579" i="30"/>
  <c r="AJ1628" i="30"/>
  <c r="AJ1678" i="30"/>
  <c r="AJ1736" i="30"/>
  <c r="AJ1804" i="30"/>
  <c r="AJ1861" i="30"/>
  <c r="AJ1921" i="30"/>
  <c r="AJ1970" i="30"/>
  <c r="AJ2024" i="30"/>
  <c r="AJ2080" i="30"/>
  <c r="AJ2136" i="30"/>
  <c r="AJ2183" i="30"/>
  <c r="AJ2229" i="30"/>
  <c r="AJ2274" i="30"/>
  <c r="AJ2329" i="30"/>
  <c r="AJ2373" i="30"/>
  <c r="AJ2429" i="30"/>
  <c r="AJ2477" i="30"/>
  <c r="AJ2529" i="30"/>
  <c r="AJ2566" i="30"/>
  <c r="AJ2598" i="30"/>
  <c r="AJ2630" i="30"/>
  <c r="AJ2662" i="30"/>
  <c r="AJ2694" i="30"/>
  <c r="AJ2713" i="30"/>
  <c r="AJ2722" i="30"/>
  <c r="AJ2732" i="30"/>
  <c r="AJ2742" i="30"/>
  <c r="AJ2756" i="30"/>
  <c r="AJ2766" i="30"/>
  <c r="AJ2777" i="30"/>
  <c r="AJ2789" i="30"/>
  <c r="AJ2801" i="30"/>
  <c r="AJ2811" i="30"/>
  <c r="AJ2823" i="30"/>
  <c r="AJ2833" i="30"/>
  <c r="AJ2845" i="30"/>
  <c r="AJ2857" i="30"/>
  <c r="AG9" i="30"/>
  <c r="AG22" i="30"/>
  <c r="AG34" i="30"/>
  <c r="AG45" i="30"/>
  <c r="AG54" i="30"/>
  <c r="AG66" i="30"/>
  <c r="AG78" i="30"/>
  <c r="AG90" i="30"/>
  <c r="AG103" i="30"/>
  <c r="AG117" i="30"/>
  <c r="AG131" i="30"/>
  <c r="AG144" i="30"/>
  <c r="AG159" i="30"/>
  <c r="AG172" i="30"/>
  <c r="AG181" i="30"/>
  <c r="AG191" i="30"/>
  <c r="AG205" i="30"/>
  <c r="AG216" i="30"/>
  <c r="AG226" i="30"/>
  <c r="AG236" i="30"/>
  <c r="AG244" i="30"/>
  <c r="AG255" i="30"/>
  <c r="AG265" i="30"/>
  <c r="AG276" i="30"/>
  <c r="AG287" i="30"/>
  <c r="AG299" i="30"/>
  <c r="AG312" i="30"/>
  <c r="AG322" i="30"/>
  <c r="AG330" i="30"/>
  <c r="AG338" i="30"/>
  <c r="AG346" i="30"/>
  <c r="AG354" i="30"/>
  <c r="AG362" i="30"/>
  <c r="AG371" i="30"/>
  <c r="AG385" i="30"/>
  <c r="AG396" i="30"/>
  <c r="AG408" i="30"/>
  <c r="AG423" i="30"/>
  <c r="AG436" i="30"/>
  <c r="AG446" i="30"/>
  <c r="AG457" i="30"/>
  <c r="AG470" i="30"/>
  <c r="AG482" i="30"/>
  <c r="AG493" i="30"/>
  <c r="AG505" i="30"/>
  <c r="AG518" i="30"/>
  <c r="AG530" i="30"/>
  <c r="AG543" i="30"/>
  <c r="AG553" i="30"/>
  <c r="AG564" i="30"/>
  <c r="AG578" i="30"/>
  <c r="AG587" i="30"/>
  <c r="AG600" i="30"/>
  <c r="AG613" i="30"/>
  <c r="AG625" i="30"/>
  <c r="AG637" i="30"/>
  <c r="AG648" i="30"/>
  <c r="AG659" i="30"/>
  <c r="AG673" i="30"/>
  <c r="AG681" i="30"/>
  <c r="AG689" i="30"/>
  <c r="AG697" i="30"/>
  <c r="AG707" i="30"/>
  <c r="AG719" i="30"/>
  <c r="AG731" i="30"/>
  <c r="AG742" i="30"/>
  <c r="AG756" i="30"/>
  <c r="AG766" i="30"/>
  <c r="AG781" i="30"/>
  <c r="AG795" i="30"/>
  <c r="AG805" i="30"/>
  <c r="AG817" i="30"/>
  <c r="AG828" i="30"/>
  <c r="AG838" i="30"/>
  <c r="AG853" i="30"/>
  <c r="AG867" i="30"/>
  <c r="AG881" i="30"/>
  <c r="AG893" i="30"/>
  <c r="AG901" i="30"/>
  <c r="AG909" i="30"/>
  <c r="AG917" i="30"/>
  <c r="AG925" i="30"/>
  <c r="AG933" i="30"/>
  <c r="AG941" i="30"/>
  <c r="AG949" i="30"/>
  <c r="AG957" i="30"/>
  <c r="AG965" i="30"/>
  <c r="AG973" i="30"/>
  <c r="AG981" i="30"/>
  <c r="AG989" i="30"/>
  <c r="AG997" i="30"/>
  <c r="AG1005" i="30"/>
  <c r="AG1013" i="30"/>
  <c r="AG1021" i="30"/>
  <c r="AG1029" i="30"/>
  <c r="AG1037" i="30"/>
  <c r="AG1048" i="30"/>
  <c r="AG1061" i="30"/>
  <c r="AG1071" i="30"/>
  <c r="AG1082" i="30"/>
  <c r="AG1094" i="30"/>
  <c r="AG1104" i="30"/>
  <c r="AG1116" i="30"/>
  <c r="AG1128" i="30"/>
  <c r="AG1139" i="30"/>
  <c r="AG1152" i="30"/>
  <c r="AG1166" i="30"/>
  <c r="AG1176" i="30"/>
  <c r="AG1185" i="30"/>
  <c r="AG1199" i="30"/>
  <c r="AG1211" i="30"/>
  <c r="AG1224" i="30"/>
  <c r="AG1235" i="30"/>
  <c r="AG1247" i="30"/>
  <c r="AJ42" i="30"/>
  <c r="AJ235" i="30"/>
  <c r="AJ395" i="30"/>
  <c r="AJ583" i="30"/>
  <c r="AJ761" i="30"/>
  <c r="AJ937" i="30"/>
  <c r="AJ978" i="30"/>
  <c r="AJ1010" i="30"/>
  <c r="AJ1043" i="30"/>
  <c r="AJ1089" i="30"/>
  <c r="AJ1135" i="30"/>
  <c r="AJ1181" i="30"/>
  <c r="AJ1230" i="30"/>
  <c r="AJ1279" i="30"/>
  <c r="AJ1325" i="30"/>
  <c r="AJ1378" i="30"/>
  <c r="AJ1427" i="30"/>
  <c r="AJ1478" i="30"/>
  <c r="AJ1532" i="30"/>
  <c r="AJ1584" i="30"/>
  <c r="AJ1632" i="30"/>
  <c r="AJ1682" i="30"/>
  <c r="AJ1739" i="30"/>
  <c r="AJ1809" i="30"/>
  <c r="AJ1866" i="30"/>
  <c r="AJ1925" i="30"/>
  <c r="AJ1973" i="30"/>
  <c r="AJ2031" i="30"/>
  <c r="AJ2085" i="30"/>
  <c r="AJ2140" i="30"/>
  <c r="AJ2187" i="30"/>
  <c r="AJ2232" i="30"/>
  <c r="AJ2279" i="30"/>
  <c r="AJ2334" i="30"/>
  <c r="AJ2380" i="30"/>
  <c r="AJ2434" i="30"/>
  <c r="AJ2481" i="30"/>
  <c r="AJ2532" i="30"/>
  <c r="AJ2569" i="30"/>
  <c r="AJ2601" i="30"/>
  <c r="AJ2633" i="30"/>
  <c r="AJ2665" i="30"/>
  <c r="AJ2697" i="30"/>
  <c r="AJ2714" i="30"/>
  <c r="AJ2723" i="30"/>
  <c r="AJ2733" i="30"/>
  <c r="AJ2745" i="30"/>
  <c r="AJ2757" i="30"/>
  <c r="AJ2767" i="30"/>
  <c r="AJ2778" i="30"/>
  <c r="AJ2790" i="30"/>
  <c r="AJ2802" i="30"/>
  <c r="AJ2814" i="30"/>
  <c r="AJ2824" i="30"/>
  <c r="AJ2834" i="30"/>
  <c r="AJ2846" i="30"/>
  <c r="AJ2858" i="30"/>
  <c r="AG12" i="30"/>
  <c r="AG23" i="30"/>
  <c r="AG35" i="30"/>
  <c r="AG46" i="30"/>
  <c r="AG55" i="30"/>
  <c r="AG69" i="30"/>
  <c r="AG80" i="30"/>
  <c r="AG93" i="30"/>
  <c r="AG106" i="30"/>
  <c r="AG120" i="30"/>
  <c r="AG132" i="30"/>
  <c r="AG146" i="30"/>
  <c r="AG160" i="30"/>
  <c r="AG173" i="30"/>
  <c r="AG182" i="30"/>
  <c r="AG194" i="30"/>
  <c r="AG206" i="30"/>
  <c r="AG217" i="30"/>
  <c r="AG227" i="30"/>
  <c r="AG237" i="30"/>
  <c r="AG246" i="30"/>
  <c r="AG256" i="30"/>
  <c r="AG266" i="30"/>
  <c r="AG277" i="30"/>
  <c r="AG288" i="30"/>
  <c r="AG300" i="30"/>
  <c r="AG313" i="30"/>
  <c r="AG323" i="30"/>
  <c r="AG331" i="30"/>
  <c r="AG339" i="30"/>
  <c r="AG347" i="30"/>
  <c r="AG355" i="30"/>
  <c r="AG363" i="30"/>
  <c r="AG374" i="30"/>
  <c r="AG386" i="30"/>
  <c r="AG397" i="30"/>
  <c r="AG409" i="30"/>
  <c r="AG424" i="30"/>
  <c r="AG437" i="30"/>
  <c r="AG448" i="30"/>
  <c r="AG458" i="30"/>
  <c r="AG473" i="30"/>
  <c r="AG483" i="30"/>
  <c r="AG494" i="30"/>
  <c r="AG508" i="30"/>
  <c r="AG519" i="30"/>
  <c r="AG532" i="30"/>
  <c r="AG544" i="30"/>
  <c r="AG555" i="30"/>
  <c r="AG567" i="30"/>
  <c r="AG579" i="30"/>
  <c r="AG588" i="30"/>
  <c r="AG605" i="30"/>
  <c r="AG614" i="30"/>
  <c r="AG626" i="30"/>
  <c r="AG638" i="30"/>
  <c r="AG649" i="30"/>
  <c r="AG662" i="30"/>
  <c r="AG674" i="30"/>
  <c r="AG682" i="30"/>
  <c r="AG690" i="30"/>
  <c r="AG698" i="30"/>
  <c r="AG708" i="30"/>
  <c r="AG720" i="30"/>
  <c r="AG732" i="30"/>
  <c r="AG743" i="30"/>
  <c r="AG757" i="30"/>
  <c r="AG767" i="30"/>
  <c r="AG782" i="30"/>
  <c r="AG796" i="30"/>
  <c r="AG807" i="30"/>
  <c r="AG818" i="30"/>
  <c r="AG829" i="30"/>
  <c r="AG839" i="30"/>
  <c r="AG854" i="30"/>
  <c r="AG870" i="30"/>
  <c r="AG882" i="30"/>
  <c r="AG894" i="30"/>
  <c r="AG902" i="30"/>
  <c r="AG910" i="30"/>
  <c r="AG918" i="30"/>
  <c r="AG926" i="30"/>
  <c r="AG934" i="30"/>
  <c r="AG942" i="30"/>
  <c r="AG950" i="30"/>
  <c r="AG958" i="30"/>
  <c r="AG966" i="30"/>
  <c r="AG974" i="30"/>
  <c r="AG982" i="30"/>
  <c r="AG990" i="30"/>
  <c r="AG998" i="30"/>
  <c r="AG1006" i="30"/>
  <c r="AG1014" i="30"/>
  <c r="AG1022" i="30"/>
  <c r="AG1030" i="30"/>
  <c r="AG1038" i="30"/>
  <c r="AG1050" i="30"/>
  <c r="AG1062" i="30"/>
  <c r="AG1072" i="30"/>
  <c r="AG1085" i="30"/>
  <c r="AG1095" i="30"/>
  <c r="AG1105" i="30"/>
  <c r="AG1117" i="30"/>
  <c r="AG1129" i="30"/>
  <c r="AG1140" i="30"/>
  <c r="AG1155" i="30"/>
  <c r="AG1169" i="30"/>
  <c r="AG1177" i="30"/>
  <c r="AG1186" i="30"/>
  <c r="AG1200" i="30"/>
  <c r="AG1214" i="30"/>
  <c r="AG1225" i="30"/>
  <c r="AG1236" i="30"/>
  <c r="AJ66" i="30"/>
  <c r="AJ255" i="30"/>
  <c r="AJ418" i="30"/>
  <c r="AJ609" i="30"/>
  <c r="AJ788" i="30"/>
  <c r="AJ951" i="30"/>
  <c r="AJ983" i="30"/>
  <c r="AJ1015" i="30"/>
  <c r="AJ1052" i="30"/>
  <c r="AJ1096" i="30"/>
  <c r="AJ1143" i="30"/>
  <c r="AJ1187" i="30"/>
  <c r="AJ1237" i="30"/>
  <c r="AJ1285" i="30"/>
  <c r="AJ1333" i="30"/>
  <c r="AJ1385" i="30"/>
  <c r="AJ1434" i="30"/>
  <c r="AJ1485" i="30"/>
  <c r="AJ1539" i="30"/>
  <c r="AJ1589" i="30"/>
  <c r="AJ1639" i="30"/>
  <c r="AJ1690" i="30"/>
  <c r="AJ1747" i="30"/>
  <c r="AJ1818" i="30"/>
  <c r="AJ1875" i="30"/>
  <c r="AJ1932" i="30"/>
  <c r="AJ1984" i="30"/>
  <c r="AJ2041" i="30"/>
  <c r="AJ2093" i="30"/>
  <c r="AJ2148" i="30"/>
  <c r="AJ2192" i="30"/>
  <c r="AJ2237" i="30"/>
  <c r="AJ2290" i="30"/>
  <c r="AJ2339" i="30"/>
  <c r="AJ2391" i="30"/>
  <c r="AJ2441" i="30"/>
  <c r="AJ2488" i="30"/>
  <c r="AJ2540" i="30"/>
  <c r="AJ2574" i="30"/>
  <c r="AJ2606" i="30"/>
  <c r="AJ2638" i="30"/>
  <c r="AJ2670" i="30"/>
  <c r="AJ2702" i="30"/>
  <c r="AJ2715" i="30"/>
  <c r="AJ2726" i="30"/>
  <c r="AJ2736" i="30"/>
  <c r="AJ2746" i="30"/>
  <c r="AJ2758" i="30"/>
  <c r="AJ2769" i="30"/>
  <c r="AJ2779" i="30"/>
  <c r="AJ2793" i="30"/>
  <c r="AJ2803" i="30"/>
  <c r="AJ2815" i="30"/>
  <c r="AJ2825" i="30"/>
  <c r="AJ2835" i="30"/>
  <c r="AJ2847" i="30"/>
  <c r="AJ2859" i="30"/>
  <c r="AG13" i="30"/>
  <c r="AG26" i="30"/>
  <c r="AG36" i="30"/>
  <c r="AG47" i="30"/>
  <c r="AG56" i="30"/>
  <c r="AG70" i="30"/>
  <c r="AG82" i="30"/>
  <c r="AG94" i="30"/>
  <c r="AG107" i="30"/>
  <c r="AG121" i="30"/>
  <c r="AG135" i="30"/>
  <c r="AG148" i="30"/>
  <c r="AG163" i="30"/>
  <c r="AG174" i="30"/>
  <c r="AG183" i="30"/>
  <c r="AG195" i="30"/>
  <c r="AG207" i="30"/>
  <c r="AG218" i="30"/>
  <c r="AG228" i="30"/>
  <c r="AG238" i="30"/>
  <c r="AG247" i="30"/>
  <c r="AG257" i="30"/>
  <c r="AG267" i="30"/>
  <c r="AG280" i="30"/>
  <c r="AG289" i="30"/>
  <c r="AG301" i="30"/>
  <c r="AG314" i="30"/>
  <c r="AG324" i="30"/>
  <c r="AG332" i="30"/>
  <c r="AG340" i="30"/>
  <c r="AG348" i="30"/>
  <c r="AG356" i="30"/>
  <c r="AG364" i="30"/>
  <c r="AG375" i="30"/>
  <c r="AG387" i="30"/>
  <c r="AG400" i="30"/>
  <c r="AG410" i="30"/>
  <c r="AG425" i="30"/>
  <c r="AG438" i="30"/>
  <c r="AG449" i="30"/>
  <c r="AG459" i="30"/>
  <c r="AG474" i="30"/>
  <c r="AG484" i="30"/>
  <c r="AG495" i="30"/>
  <c r="AG509" i="30"/>
  <c r="AG520" i="30"/>
  <c r="AG533" i="30"/>
  <c r="AG547" i="30"/>
  <c r="AG556" i="30"/>
  <c r="AG568" i="30"/>
  <c r="AG580" i="30"/>
  <c r="AG591" i="30"/>
  <c r="AG606" i="30"/>
  <c r="AG615" i="30"/>
  <c r="AG627" i="30"/>
  <c r="AG639" i="30"/>
  <c r="AG650" i="30"/>
  <c r="AG663" i="30"/>
  <c r="AG675" i="30"/>
  <c r="AG683" i="30"/>
  <c r="AG691" i="30"/>
  <c r="AG699" i="30"/>
  <c r="AG709" i="30"/>
  <c r="AG721" i="30"/>
  <c r="AG734" i="30"/>
  <c r="AG746" i="30"/>
  <c r="AG758" i="30"/>
  <c r="AG769" i="30"/>
  <c r="AG785" i="30"/>
  <c r="AG797" i="30"/>
  <c r="AG808" i="30"/>
  <c r="AG819" i="30"/>
  <c r="AG830" i="30"/>
  <c r="AG842" i="30"/>
  <c r="AG857" i="30"/>
  <c r="AG871" i="30"/>
  <c r="AG883" i="30"/>
  <c r="AG895" i="30"/>
  <c r="AG903" i="30"/>
  <c r="AG911" i="30"/>
  <c r="AG919" i="30"/>
  <c r="AG927" i="30"/>
  <c r="AG935" i="30"/>
  <c r="AG943" i="30"/>
  <c r="AG951" i="30"/>
  <c r="AG959" i="30"/>
  <c r="AG967" i="30"/>
  <c r="AG975" i="30"/>
  <c r="AG983" i="30"/>
  <c r="AG991" i="30"/>
  <c r="AG999" i="30"/>
  <c r="AG1007" i="30"/>
  <c r="AG1015" i="30"/>
  <c r="AG1023" i="30"/>
  <c r="AG1031" i="30"/>
  <c r="AG1039" i="30"/>
  <c r="AG1052" i="30"/>
  <c r="AG1063" i="30"/>
  <c r="AG1073" i="30"/>
  <c r="AG1086" i="30"/>
  <c r="AG1096" i="30"/>
  <c r="AG1108" i="30"/>
  <c r="AG1120" i="30"/>
  <c r="AG1130" i="30"/>
  <c r="AG1143" i="30"/>
  <c r="AG1156" i="30"/>
  <c r="AG1170" i="30"/>
  <c r="AG1178" i="30"/>
  <c r="AG1187" i="30"/>
  <c r="AG1201" i="30"/>
  <c r="AG1215" i="30"/>
  <c r="AG1226" i="30"/>
  <c r="AG1237" i="30"/>
  <c r="AJ117" i="30"/>
  <c r="AJ299" i="30"/>
  <c r="AJ465" i="30"/>
  <c r="AJ654" i="30"/>
  <c r="AJ835" i="30"/>
  <c r="AJ959" i="30"/>
  <c r="AJ991" i="30"/>
  <c r="AJ1023" i="30"/>
  <c r="AJ1063" i="30"/>
  <c r="AJ1108" i="30"/>
  <c r="AJ1156" i="30"/>
  <c r="AJ1201" i="30"/>
  <c r="AJ1251" i="30"/>
  <c r="AJ1296" i="30"/>
  <c r="AJ1347" i="30"/>
  <c r="AJ1395" i="30"/>
  <c r="AJ1446" i="30"/>
  <c r="AJ1499" i="30"/>
  <c r="AJ1553" i="30"/>
  <c r="AJ1603" i="30"/>
  <c r="AJ1652" i="30"/>
  <c r="AJ1705" i="30"/>
  <c r="AJ1760" i="30"/>
  <c r="AJ1832" i="30"/>
  <c r="AJ1889" i="30"/>
  <c r="AJ1942" i="30"/>
  <c r="AJ1998" i="30"/>
  <c r="AJ2054" i="30"/>
  <c r="AJ2108" i="30"/>
  <c r="AJ2161" i="30"/>
  <c r="AJ2204" i="30"/>
  <c r="AJ2245" i="30"/>
  <c r="AJ2307" i="30"/>
  <c r="AJ2352" i="30"/>
  <c r="AJ2405" i="30"/>
  <c r="AJ2454" i="30"/>
  <c r="AJ2502" i="30"/>
  <c r="AJ2550" i="30"/>
  <c r="AJ2582" i="30"/>
  <c r="AJ2614" i="30"/>
  <c r="AJ2646" i="30"/>
  <c r="AJ2678" i="30"/>
  <c r="AJ2707" i="30"/>
  <c r="AJ2717" i="30"/>
  <c r="AJ2728" i="30"/>
  <c r="AJ2738" i="30"/>
  <c r="AJ2750" i="30"/>
  <c r="AJ2762" i="30"/>
  <c r="AJ2773" i="30"/>
  <c r="AJ2781" i="30"/>
  <c r="AJ2797" i="30"/>
  <c r="AJ2805" i="30"/>
  <c r="AJ2817" i="30"/>
  <c r="AJ2827" i="30"/>
  <c r="AJ2837" i="30"/>
  <c r="AJ2851" i="30"/>
  <c r="AG17" i="30"/>
  <c r="AG28" i="30"/>
  <c r="AG38" i="30"/>
  <c r="AG49" i="30"/>
  <c r="AG60" i="30"/>
  <c r="AG74" i="30"/>
  <c r="AG84" i="30"/>
  <c r="AG96" i="30"/>
  <c r="AG109" i="30"/>
  <c r="AG123" i="30"/>
  <c r="AG137" i="30"/>
  <c r="AG150" i="30"/>
  <c r="AG166" i="30"/>
  <c r="AG176" i="30"/>
  <c r="AG185" i="30"/>
  <c r="AG197" i="30"/>
  <c r="AG211" i="30"/>
  <c r="AG220" i="30"/>
  <c r="AG230" i="30"/>
  <c r="AG240" i="30"/>
  <c r="AG249" i="30"/>
  <c r="AG259" i="30"/>
  <c r="AG270" i="30"/>
  <c r="AG282" i="30"/>
  <c r="AG291" i="30"/>
  <c r="AG305" i="30"/>
  <c r="AG317" i="30"/>
  <c r="AG326" i="30"/>
  <c r="AG334" i="30"/>
  <c r="AG342" i="30"/>
  <c r="AG350" i="30"/>
  <c r="AG358" i="30"/>
  <c r="AG366" i="30"/>
  <c r="AG379" i="30"/>
  <c r="AG390" i="30"/>
  <c r="AG403" i="30"/>
  <c r="AG413" i="30"/>
  <c r="AG429" i="30"/>
  <c r="AG441" i="30"/>
  <c r="AG451" i="30"/>
  <c r="AG462" i="30"/>
  <c r="AG476" i="30"/>
  <c r="AG486" i="30"/>
  <c r="AG499" i="30"/>
  <c r="AG513" i="30"/>
  <c r="AG524" i="30"/>
  <c r="AG535" i="30"/>
  <c r="AG549" i="30"/>
  <c r="AG558" i="30"/>
  <c r="AG572" i="30"/>
  <c r="AG583" i="30"/>
  <c r="AG595" i="30"/>
  <c r="AG608" i="30"/>
  <c r="AG617" i="30"/>
  <c r="AG631" i="30"/>
  <c r="AG643" i="30"/>
  <c r="AG653" i="30"/>
  <c r="AG667" i="30"/>
  <c r="AG677" i="30"/>
  <c r="AG685" i="30"/>
  <c r="AG693" i="30"/>
  <c r="AG701" i="30"/>
  <c r="AG711" i="30"/>
  <c r="AG723" i="30"/>
  <c r="AG736" i="30"/>
  <c r="AG748" i="30"/>
  <c r="AG761" i="30"/>
  <c r="AG773" i="30"/>
  <c r="AG787" i="30"/>
  <c r="AG799" i="30"/>
  <c r="AG810" i="30"/>
  <c r="AG822" i="30"/>
  <c r="AG834" i="30"/>
  <c r="AG847" i="30"/>
  <c r="AG861" i="30"/>
  <c r="AG875" i="30"/>
  <c r="AG887" i="30"/>
  <c r="AG897" i="30"/>
  <c r="AG905" i="30"/>
  <c r="AG913" i="30"/>
  <c r="AG921" i="30"/>
  <c r="AG929" i="30"/>
  <c r="AG937" i="30"/>
  <c r="AG945" i="30"/>
  <c r="AG953" i="30"/>
  <c r="AG961" i="30"/>
  <c r="AG969" i="30"/>
  <c r="AG977" i="30"/>
  <c r="AG985" i="30"/>
  <c r="AG993" i="30"/>
  <c r="AG1001" i="30"/>
  <c r="AG1009" i="30"/>
  <c r="AG1017" i="30"/>
  <c r="AG1025" i="30"/>
  <c r="AG1033" i="30"/>
  <c r="AG1042" i="30"/>
  <c r="AG1055" i="30"/>
  <c r="AG1067" i="30"/>
  <c r="AG1076" i="30"/>
  <c r="AG1088" i="30"/>
  <c r="AG1098" i="30"/>
  <c r="AG1110" i="30"/>
  <c r="AG1122" i="30"/>
  <c r="AG1134" i="30"/>
  <c r="AG1145" i="30"/>
  <c r="AG1160" i="30"/>
  <c r="AG1172" i="30"/>
  <c r="AG1180" i="30"/>
  <c r="AG1191" i="30"/>
  <c r="AG1205" i="30"/>
  <c r="AG1218" i="30"/>
  <c r="AG1229" i="30"/>
  <c r="AG1241" i="30"/>
  <c r="AJ142" i="30"/>
  <c r="AJ321" i="30"/>
  <c r="AJ486" i="30"/>
  <c r="AJ677" i="30"/>
  <c r="AJ861" i="30"/>
  <c r="AJ962" i="30"/>
  <c r="AJ994" i="30"/>
  <c r="AJ1026" i="30"/>
  <c r="AJ1068" i="30"/>
  <c r="AJ1111" i="30"/>
  <c r="AJ1161" i="30"/>
  <c r="AJ1206" i="30"/>
  <c r="AJ1254" i="30"/>
  <c r="AJ1299" i="30"/>
  <c r="AJ1353" i="30"/>
  <c r="AJ1399" i="30"/>
  <c r="AJ1450" i="30"/>
  <c r="AJ1504" i="30"/>
  <c r="AJ1558" i="30"/>
  <c r="AJ1608" i="30"/>
  <c r="AJ1657" i="30"/>
  <c r="AJ1708" i="30"/>
  <c r="AJ1765" i="30"/>
  <c r="AJ1839" i="30"/>
  <c r="AJ1893" i="30"/>
  <c r="AJ1947" i="30"/>
  <c r="AJ2003" i="30"/>
  <c r="AJ2059" i="30"/>
  <c r="AJ2113" i="30"/>
  <c r="AJ2164" i="30"/>
  <c r="AJ2209" i="30"/>
  <c r="AJ2249" i="30"/>
  <c r="AJ2312" i="30"/>
  <c r="AJ2356" i="30"/>
  <c r="AJ2410" i="30"/>
  <c r="AJ2457" i="30"/>
  <c r="AJ2505" i="30"/>
  <c r="AJ2553" i="30"/>
  <c r="AJ2585" i="30"/>
  <c r="AJ2617" i="30"/>
  <c r="AJ2649" i="30"/>
  <c r="AJ2681" i="30"/>
  <c r="AJ2708" i="30"/>
  <c r="AJ2718" i="30"/>
  <c r="AJ2729" i="30"/>
  <c r="AJ2739" i="30"/>
  <c r="AJ2751" i="30"/>
  <c r="AJ2763" i="30"/>
  <c r="AJ2774" i="30"/>
  <c r="AJ2784" i="30"/>
  <c r="AJ2798" i="30"/>
  <c r="AJ2808" i="30"/>
  <c r="AJ2818" i="30"/>
  <c r="AJ2830" i="30"/>
  <c r="AJ2840" i="30"/>
  <c r="AJ2852" i="30"/>
  <c r="AG5" i="30"/>
  <c r="AG18" i="30"/>
  <c r="AG29" i="30"/>
  <c r="AG40" i="30"/>
  <c r="AG50" i="30"/>
  <c r="AG61" i="30"/>
  <c r="AG75" i="30"/>
  <c r="AG85" i="30"/>
  <c r="AG99" i="30"/>
  <c r="AG112" i="30"/>
  <c r="AG124" i="30"/>
  <c r="AG140" i="30"/>
  <c r="AG153" i="30"/>
  <c r="AG167" i="30"/>
  <c r="AG177" i="30"/>
  <c r="AG186" i="30"/>
  <c r="AG200" i="30"/>
  <c r="AG213" i="30"/>
  <c r="AG221" i="30"/>
  <c r="AG231" i="30"/>
  <c r="AG241" i="30"/>
  <c r="AG250" i="30"/>
  <c r="AG260" i="30"/>
  <c r="AG272" i="30"/>
  <c r="AG283" i="30"/>
  <c r="AG292" i="30"/>
  <c r="AG306" i="30"/>
  <c r="AG318" i="30"/>
  <c r="AG327" i="30"/>
  <c r="AG335" i="30"/>
  <c r="AG343" i="30"/>
  <c r="AG351" i="30"/>
  <c r="AG359" i="30"/>
  <c r="AG368" i="30"/>
  <c r="AG380" i="30"/>
  <c r="AG393" i="30"/>
  <c r="AG404" i="30"/>
  <c r="AG414" i="30"/>
  <c r="AG431" i="30"/>
  <c r="AG443" i="30"/>
  <c r="AG454" i="30"/>
  <c r="AG465" i="30"/>
  <c r="AG477" i="30"/>
  <c r="AG487" i="30"/>
  <c r="AG502" i="30"/>
  <c r="AG514" i="30"/>
  <c r="AG525" i="30"/>
  <c r="AG538" i="30"/>
  <c r="AG550" i="30"/>
  <c r="AG559" i="30"/>
  <c r="AG573" i="30"/>
  <c r="AG584" i="30"/>
  <c r="AG596" i="30"/>
  <c r="AG609" i="30"/>
  <c r="AG618" i="30"/>
  <c r="AG634" i="30"/>
  <c r="AG644" i="30"/>
  <c r="AG654" i="30"/>
  <c r="AG668" i="30"/>
  <c r="AG678" i="30"/>
  <c r="AG686" i="30"/>
  <c r="AG694" i="30"/>
  <c r="AG702" i="30"/>
  <c r="AG712" i="30"/>
  <c r="AG726" i="30"/>
  <c r="AG737" i="30"/>
  <c r="AG751" i="30"/>
  <c r="AG762" i="30"/>
  <c r="AG774" i="30"/>
  <c r="AG788" i="30"/>
  <c r="AG802" i="30"/>
  <c r="AG812" i="30"/>
  <c r="AG823" i="30"/>
  <c r="AG835" i="30"/>
  <c r="AG848" i="30"/>
  <c r="AG862" i="30"/>
  <c r="AG876" i="30"/>
  <c r="AG888" i="30"/>
  <c r="AG898" i="30"/>
  <c r="AG906" i="30"/>
  <c r="AG914" i="30"/>
  <c r="AG922" i="30"/>
  <c r="AG930" i="30"/>
  <c r="AG938" i="30"/>
  <c r="AG946" i="30"/>
  <c r="AG954" i="30"/>
  <c r="AG962" i="30"/>
  <c r="AG970" i="30"/>
  <c r="AG978" i="30"/>
  <c r="AG986" i="30"/>
  <c r="AG994" i="30"/>
  <c r="AG1002" i="30"/>
  <c r="AG1010" i="30"/>
  <c r="AG1018" i="30"/>
  <c r="AG1026" i="30"/>
  <c r="AG1034" i="30"/>
  <c r="AG1043" i="30"/>
  <c r="AG1056" i="30"/>
  <c r="AG1068" i="30"/>
  <c r="AG1079" i="30"/>
  <c r="AG1089" i="30"/>
  <c r="AG1099" i="30"/>
  <c r="AG1111" i="30"/>
  <c r="AG1123" i="30"/>
  <c r="AG1135" i="30"/>
  <c r="AG1147" i="30"/>
  <c r="AG1161" i="30"/>
  <c r="AG1173" i="30"/>
  <c r="AG1181" i="30"/>
  <c r="AG1192" i="30"/>
  <c r="AG1206" i="30"/>
  <c r="AG1221" i="30"/>
  <c r="AG1230" i="30"/>
  <c r="AG1242" i="30"/>
  <c r="AJ694" i="30"/>
  <c r="AJ1031" i="30"/>
  <c r="AJ1215" i="30"/>
  <c r="AJ1410" i="30"/>
  <c r="AJ1616" i="30"/>
  <c r="AJ1846" i="30"/>
  <c r="AJ2068" i="30"/>
  <c r="AJ2260" i="30"/>
  <c r="AJ2468" i="30"/>
  <c r="AJ2622" i="30"/>
  <c r="AJ2719" i="30"/>
  <c r="AJ2764" i="30"/>
  <c r="AJ2809" i="30"/>
  <c r="AJ2853" i="30"/>
  <c r="AG41" i="30"/>
  <c r="AG88" i="30"/>
  <c r="AG141" i="30"/>
  <c r="AG187" i="30"/>
  <c r="AG234" i="30"/>
  <c r="AG273" i="30"/>
  <c r="AG319" i="30"/>
  <c r="AG352" i="30"/>
  <c r="AG394" i="30"/>
  <c r="AG444" i="30"/>
  <c r="AG489" i="30"/>
  <c r="AG539" i="30"/>
  <c r="AG585" i="30"/>
  <c r="AG635" i="30"/>
  <c r="AG679" i="30"/>
  <c r="AG715" i="30"/>
  <c r="AG763" i="30"/>
  <c r="AG813" i="30"/>
  <c r="AG863" i="30"/>
  <c r="AG907" i="30"/>
  <c r="AG939" i="30"/>
  <c r="AG971" i="30"/>
  <c r="AG1003" i="30"/>
  <c r="AG1035" i="30"/>
  <c r="AG1080" i="30"/>
  <c r="AG1126" i="30"/>
  <c r="AG1174" i="30"/>
  <c r="AG1222" i="30"/>
  <c r="AG1253" i="30"/>
  <c r="AG1264" i="30"/>
  <c r="AG1278" i="30"/>
  <c r="AG1288" i="30"/>
  <c r="AG1298" i="30"/>
  <c r="AG1308" i="30"/>
  <c r="AG1322" i="30"/>
  <c r="AG1337" i="30"/>
  <c r="AG1351" i="30"/>
  <c r="AG1366" i="30"/>
  <c r="AG1377" i="30"/>
  <c r="AG1387" i="30"/>
  <c r="AG1398" i="30"/>
  <c r="AG1412" i="30"/>
  <c r="AG1424" i="30"/>
  <c r="AG1436" i="30"/>
  <c r="AG1449" i="30"/>
  <c r="AG1463" i="30"/>
  <c r="AG1475" i="30"/>
  <c r="AG1487" i="30"/>
  <c r="AG1501" i="30"/>
  <c r="AG1515" i="30"/>
  <c r="AG1529" i="30"/>
  <c r="AG1543" i="30"/>
  <c r="AG1557" i="30"/>
  <c r="AG1569" i="30"/>
  <c r="AG1583" i="30"/>
  <c r="AG1591" i="30"/>
  <c r="AG1607" i="30"/>
  <c r="AG1618" i="30"/>
  <c r="AG1631" i="30"/>
  <c r="AG1641" i="30"/>
  <c r="AG1655" i="30"/>
  <c r="AG1667" i="30"/>
  <c r="AG1679" i="30"/>
  <c r="AG1691" i="30"/>
  <c r="AG1706" i="30"/>
  <c r="AG1724" i="30"/>
  <c r="AG1739" i="30"/>
  <c r="AG1756" i="30"/>
  <c r="AG1769" i="30"/>
  <c r="AG1785" i="30"/>
  <c r="AG1817" i="30"/>
  <c r="AG1831" i="30"/>
  <c r="AG1845" i="30"/>
  <c r="AG1858" i="30"/>
  <c r="AG1874" i="30"/>
  <c r="AG1888" i="30"/>
  <c r="AG1900" i="30"/>
  <c r="AJ89" i="30"/>
  <c r="AJ810" i="30"/>
  <c r="AJ1056" i="30"/>
  <c r="AJ1242" i="30"/>
  <c r="AJ1439" i="30"/>
  <c r="AJ1644" i="30"/>
  <c r="AJ1880" i="30"/>
  <c r="AJ2097" i="30"/>
  <c r="AJ2299" i="30"/>
  <c r="AJ2495" i="30"/>
  <c r="AJ2641" i="30"/>
  <c r="AJ2727" i="30"/>
  <c r="AJ2770" i="30"/>
  <c r="AJ2816" i="30"/>
  <c r="AG3" i="30"/>
  <c r="AG48" i="30"/>
  <c r="AG95" i="30"/>
  <c r="AG149" i="30"/>
  <c r="AG196" i="30"/>
  <c r="AG239" i="30"/>
  <c r="AG281" i="30"/>
  <c r="AG325" i="30"/>
  <c r="AG357" i="30"/>
  <c r="AG402" i="30"/>
  <c r="AG450" i="30"/>
  <c r="AG498" i="30"/>
  <c r="AG548" i="30"/>
  <c r="AG592" i="30"/>
  <c r="AG642" i="30"/>
  <c r="AG684" i="30"/>
  <c r="AG722" i="30"/>
  <c r="AG770" i="30"/>
  <c r="AG821" i="30"/>
  <c r="AG874" i="30"/>
  <c r="AG912" i="30"/>
  <c r="AG944" i="30"/>
  <c r="AG976" i="30"/>
  <c r="AG1008" i="30"/>
  <c r="AG1040" i="30"/>
  <c r="AG1087" i="30"/>
  <c r="AG1133" i="30"/>
  <c r="AG1179" i="30"/>
  <c r="AG1227" i="30"/>
  <c r="AG1254" i="30"/>
  <c r="AG1267" i="30"/>
  <c r="AG1279" i="30"/>
  <c r="AG1289" i="30"/>
  <c r="AG1299" i="30"/>
  <c r="AG1309" i="30"/>
  <c r="AG1325" i="30"/>
  <c r="AG1340" i="30"/>
  <c r="AG1353" i="30"/>
  <c r="AG1368" i="30"/>
  <c r="AG1378" i="30"/>
  <c r="AG1388" i="30"/>
  <c r="AG1399" i="30"/>
  <c r="AG1413" i="30"/>
  <c r="AG1427" i="30"/>
  <c r="AG1439" i="30"/>
  <c r="AG1450" i="30"/>
  <c r="AG1464" i="30"/>
  <c r="AG1478" i="30"/>
  <c r="AG1490" i="30"/>
  <c r="AG1504" i="30"/>
  <c r="AG1516" i="30"/>
  <c r="AG1532" i="30"/>
  <c r="AG1546" i="30"/>
  <c r="AG1558" i="30"/>
  <c r="AG1572" i="30"/>
  <c r="AG1584" i="30"/>
  <c r="AG1594" i="30"/>
  <c r="AG1608" i="30"/>
  <c r="AG1619" i="30"/>
  <c r="AG1632" i="30"/>
  <c r="AG1644" i="30"/>
  <c r="AG1656" i="30"/>
  <c r="AG1668" i="30"/>
  <c r="AG1681" i="30"/>
  <c r="AG1693" i="30"/>
  <c r="AG1707" i="30"/>
  <c r="AG1727" i="30"/>
  <c r="AG1745" i="30"/>
  <c r="AG1757" i="30"/>
  <c r="AG1772" i="30"/>
  <c r="AG1797" i="30"/>
  <c r="AG1818" i="30"/>
  <c r="AG1832" i="30"/>
  <c r="AJ172" i="30"/>
  <c r="AJ888" i="30"/>
  <c r="AJ1073" i="30"/>
  <c r="AJ1260" i="30"/>
  <c r="AJ1461" i="30"/>
  <c r="AJ1664" i="30"/>
  <c r="AJ1902" i="30"/>
  <c r="AJ2123" i="30"/>
  <c r="AJ2318" i="30"/>
  <c r="AJ2513" i="30"/>
  <c r="AJ2654" i="30"/>
  <c r="AJ2730" i="30"/>
  <c r="AJ2775" i="30"/>
  <c r="AJ2819" i="30"/>
  <c r="AG7" i="30"/>
  <c r="AG51" i="30"/>
  <c r="AG100" i="30"/>
  <c r="AG154" i="30"/>
  <c r="AG201" i="30"/>
  <c r="AG242" i="30"/>
  <c r="AG284" i="30"/>
  <c r="AG328" i="30"/>
  <c r="AG360" i="30"/>
  <c r="AG405" i="30"/>
  <c r="AG455" i="30"/>
  <c r="AG503" i="30"/>
  <c r="AG551" i="30"/>
  <c r="AG597" i="30"/>
  <c r="AG646" i="30"/>
  <c r="AG687" i="30"/>
  <c r="AG727" i="30"/>
  <c r="AG777" i="30"/>
  <c r="AG826" i="30"/>
  <c r="AG877" i="30"/>
  <c r="AG915" i="30"/>
  <c r="AG947" i="30"/>
  <c r="AG979" i="30"/>
  <c r="AG1011" i="30"/>
  <c r="AG1044" i="30"/>
  <c r="AG1090" i="30"/>
  <c r="AG1136" i="30"/>
  <c r="AG1182" i="30"/>
  <c r="AG1231" i="30"/>
  <c r="AG1256" i="30"/>
  <c r="AG1268" i="30"/>
  <c r="AG1280" i="30"/>
  <c r="AG1292" i="30"/>
  <c r="AG1300" i="30"/>
  <c r="AG1310" i="30"/>
  <c r="AG1326" i="30"/>
  <c r="AG1341" i="30"/>
  <c r="AG1354" i="30"/>
  <c r="AG1369" i="30"/>
  <c r="AG1379" i="30"/>
  <c r="AG1389" i="30"/>
  <c r="AG1402" i="30"/>
  <c r="AG1414" i="30"/>
  <c r="AG1428" i="30"/>
  <c r="AG1440" i="30"/>
  <c r="AG1453" i="30"/>
  <c r="AG1465" i="30"/>
  <c r="AG1479" i="30"/>
  <c r="AG1491" i="30"/>
  <c r="AG1505" i="30"/>
  <c r="AG1517" i="30"/>
  <c r="AG1533" i="30"/>
  <c r="AG1547" i="30"/>
  <c r="AG1561" i="30"/>
  <c r="AG1573" i="30"/>
  <c r="AG1585" i="30"/>
  <c r="AG1595" i="30"/>
  <c r="AG1609" i="30"/>
  <c r="AG1622" i="30"/>
  <c r="AG1633" i="30"/>
  <c r="AG1646" i="30"/>
  <c r="AG1657" i="30"/>
  <c r="AG1671" i="30"/>
  <c r="AG1682" i="30"/>
  <c r="AG1694" i="30"/>
  <c r="AG1708" i="30"/>
  <c r="AG1728" i="30"/>
  <c r="AG1746" i="30"/>
  <c r="AG1758" i="30"/>
  <c r="AG1773" i="30"/>
  <c r="AG1800" i="30"/>
  <c r="AG1821" i="30"/>
  <c r="AG1835" i="30"/>
  <c r="AG1849" i="30"/>
  <c r="AG1862" i="30"/>
  <c r="AG1876" i="30"/>
  <c r="AG1890" i="30"/>
  <c r="AG1904" i="30"/>
  <c r="AJ275" i="30"/>
  <c r="AJ954" i="30"/>
  <c r="AJ1099" i="30"/>
  <c r="AJ1289" i="30"/>
  <c r="AJ1490" i="30"/>
  <c r="AJ1694" i="30"/>
  <c r="AJ1935" i="30"/>
  <c r="AJ2153" i="30"/>
  <c r="AJ2343" i="30"/>
  <c r="AJ2545" i="30"/>
  <c r="AJ2673" i="30"/>
  <c r="AJ2737" i="30"/>
  <c r="AJ2780" i="30"/>
  <c r="AJ2826" i="30"/>
  <c r="AG16" i="30"/>
  <c r="AG59" i="30"/>
  <c r="AG108" i="30"/>
  <c r="AG164" i="30"/>
  <c r="AG210" i="30"/>
  <c r="AG248" i="30"/>
  <c r="AG290" i="30"/>
  <c r="AG333" i="30"/>
  <c r="AG365" i="30"/>
  <c r="AG412" i="30"/>
  <c r="AG461" i="30"/>
  <c r="AG510" i="30"/>
  <c r="AG557" i="30"/>
  <c r="AG607" i="30"/>
  <c r="AG651" i="30"/>
  <c r="AG692" i="30"/>
  <c r="AG735" i="30"/>
  <c r="AG786" i="30"/>
  <c r="AG831" i="30"/>
  <c r="AG886" i="30"/>
  <c r="AG920" i="30"/>
  <c r="AG952" i="30"/>
  <c r="AG984" i="30"/>
  <c r="AG1016" i="30"/>
  <c r="AG1053" i="30"/>
  <c r="AG1097" i="30"/>
  <c r="AG1144" i="30"/>
  <c r="AG1188" i="30"/>
  <c r="AG1240" i="30"/>
  <c r="AG1257" i="30"/>
  <c r="AG1269" i="30"/>
  <c r="AG1281" i="30"/>
  <c r="AG1293" i="30"/>
  <c r="AG1301" i="30"/>
  <c r="AG1313" i="30"/>
  <c r="AG1329" i="30"/>
  <c r="AG1342" i="30"/>
  <c r="AG1355" i="30"/>
  <c r="AG1372" i="30"/>
  <c r="AG1380" i="30"/>
  <c r="AG1392" i="30"/>
  <c r="AG1403" i="30"/>
  <c r="AG1417" i="30"/>
  <c r="AG1431" i="30"/>
  <c r="AG1443" i="30"/>
  <c r="AG1454" i="30"/>
  <c r="AG1468" i="30"/>
  <c r="AG1482" i="30"/>
  <c r="AG1495" i="30"/>
  <c r="AG1507" i="30"/>
  <c r="AG1520" i="30"/>
  <c r="AG1534" i="30"/>
  <c r="AG1548" i="30"/>
  <c r="AG1562" i="30"/>
  <c r="AG1574" i="30"/>
  <c r="AG1586" i="30"/>
  <c r="AG1598" i="30"/>
  <c r="AG1610" i="30"/>
  <c r="AG1623" i="30"/>
  <c r="AG1634" i="30"/>
  <c r="AG1647" i="30"/>
  <c r="AG1660" i="30"/>
  <c r="AG1672" i="30"/>
  <c r="AG1683" i="30"/>
  <c r="AG1697" i="30"/>
  <c r="AG1711" i="30"/>
  <c r="AG1731" i="30"/>
  <c r="AG1747" i="30"/>
  <c r="AG1760" i="30"/>
  <c r="AJ338" i="30"/>
  <c r="AJ967" i="30"/>
  <c r="AJ1120" i="30"/>
  <c r="AJ1304" i="30"/>
  <c r="AJ1511" i="30"/>
  <c r="AJ1719" i="30"/>
  <c r="AJ1958" i="30"/>
  <c r="AJ2171" i="30"/>
  <c r="AJ2363" i="30"/>
  <c r="AJ2558" i="30"/>
  <c r="AJ2686" i="30"/>
  <c r="AJ2740" i="30"/>
  <c r="AJ2787" i="30"/>
  <c r="AJ2831" i="30"/>
  <c r="AG19" i="30"/>
  <c r="AG64" i="30"/>
  <c r="AG113" i="30"/>
  <c r="AG170" i="30"/>
  <c r="AG214" i="30"/>
  <c r="AG251" i="30"/>
  <c r="AG295" i="30"/>
  <c r="AG336" i="30"/>
  <c r="AG369" i="30"/>
  <c r="AG418" i="30"/>
  <c r="AG466" i="30"/>
  <c r="AG515" i="30"/>
  <c r="AG560" i="30"/>
  <c r="AG610" i="30"/>
  <c r="AG657" i="30"/>
  <c r="AG695" i="30"/>
  <c r="AG738" i="30"/>
  <c r="AG791" i="30"/>
  <c r="AG836" i="30"/>
  <c r="AG889" i="30"/>
  <c r="AG923" i="30"/>
  <c r="AG955" i="30"/>
  <c r="AG987" i="30"/>
  <c r="AG1019" i="30"/>
  <c r="AG1057" i="30"/>
  <c r="AG1100" i="30"/>
  <c r="AG1148" i="30"/>
  <c r="AG1195" i="30"/>
  <c r="AG1245" i="30"/>
  <c r="AG1258" i="30"/>
  <c r="AG1271" i="30"/>
  <c r="AG1282" i="30"/>
  <c r="AG1294" i="30"/>
  <c r="AG1302" i="30"/>
  <c r="AG1314" i="30"/>
  <c r="AG1330" i="30"/>
  <c r="AG1343" i="30"/>
  <c r="AG1358" i="30"/>
  <c r="AG1373" i="30"/>
  <c r="AG1381" i="30"/>
  <c r="AG1393" i="30"/>
  <c r="AG1406" i="30"/>
  <c r="AG1418" i="30"/>
  <c r="AG1432" i="30"/>
  <c r="AG1444" i="30"/>
  <c r="AG1457" i="30"/>
  <c r="AG1469" i="30"/>
  <c r="AG1483" i="30"/>
  <c r="AG1496" i="30"/>
  <c r="AG1508" i="30"/>
  <c r="AG1521" i="30"/>
  <c r="AG1537" i="30"/>
  <c r="AG1549" i="30"/>
  <c r="AG1565" i="30"/>
  <c r="AG1575" i="30"/>
  <c r="AG1587" i="30"/>
  <c r="AG1599" i="30"/>
  <c r="AG1613" i="30"/>
  <c r="AG1624" i="30"/>
  <c r="AG1637" i="30"/>
  <c r="AG1650" i="30"/>
  <c r="AG1661" i="30"/>
  <c r="AG1675" i="30"/>
  <c r="AG1685" i="30"/>
  <c r="AG1698" i="30"/>
  <c r="AG1712" i="30"/>
  <c r="AG1732" i="30"/>
  <c r="AG1748" i="30"/>
  <c r="AG1761" i="30"/>
  <c r="AG1780" i="30"/>
  <c r="AG1807" i="30"/>
  <c r="AG1825" i="30"/>
  <c r="AJ441" i="30"/>
  <c r="AJ986" i="30"/>
  <c r="AJ1147" i="30"/>
  <c r="AJ1340" i="30"/>
  <c r="AJ1546" i="30"/>
  <c r="AJ1752" i="30"/>
  <c r="AJ1989" i="30"/>
  <c r="AJ2195" i="30"/>
  <c r="AJ2396" i="30"/>
  <c r="AJ2577" i="30"/>
  <c r="AJ2705" i="30"/>
  <c r="AJ2747" i="30"/>
  <c r="AJ2794" i="30"/>
  <c r="AJ2836" i="30"/>
  <c r="AG27" i="30"/>
  <c r="AG73" i="30"/>
  <c r="AG122" i="30"/>
  <c r="AG175" i="30"/>
  <c r="AG219" i="30"/>
  <c r="AG258" i="30"/>
  <c r="AG302" i="30"/>
  <c r="AG341" i="30"/>
  <c r="AG378" i="30"/>
  <c r="AG427" i="30"/>
  <c r="AG475" i="30"/>
  <c r="AG521" i="30"/>
  <c r="AG569" i="30"/>
  <c r="AG616" i="30"/>
  <c r="AG664" i="30"/>
  <c r="AG700" i="30"/>
  <c r="AG747" i="30"/>
  <c r="AG798" i="30"/>
  <c r="AG843" i="30"/>
  <c r="AG896" i="30"/>
  <c r="AG928" i="30"/>
  <c r="AG960" i="30"/>
  <c r="AG992" i="30"/>
  <c r="AG1024" i="30"/>
  <c r="AG1066" i="30"/>
  <c r="AG1109" i="30"/>
  <c r="AG1159" i="30"/>
  <c r="AG1204" i="30"/>
  <c r="AG1248" i="30"/>
  <c r="AG1259" i="30"/>
  <c r="AG1273" i="30"/>
  <c r="AG1284" i="30"/>
  <c r="AG1295" i="30"/>
  <c r="AG1303" i="30"/>
  <c r="AG1317" i="30"/>
  <c r="AG1332" i="30"/>
  <c r="AG1344" i="30"/>
  <c r="AG1359" i="30"/>
  <c r="AG1374" i="30"/>
  <c r="AG1382" i="30"/>
  <c r="AG1394" i="30"/>
  <c r="AG1407" i="30"/>
  <c r="AG1419" i="30"/>
  <c r="AG1433" i="30"/>
  <c r="AG1445" i="30"/>
  <c r="AG1458" i="30"/>
  <c r="AG1470" i="30"/>
  <c r="AG1484" i="30"/>
  <c r="AG1498" i="30"/>
  <c r="AG1510" i="30"/>
  <c r="AG1524" i="30"/>
  <c r="AG1538" i="30"/>
  <c r="AG1550" i="30"/>
  <c r="AG1566" i="30"/>
  <c r="AG1578" i="30"/>
  <c r="AG1588" i="30"/>
  <c r="AG1602" i="30"/>
  <c r="AG1614" i="30"/>
  <c r="AG1625" i="30"/>
  <c r="AG1638" i="30"/>
  <c r="AG1651" i="30"/>
  <c r="AG1662" i="30"/>
  <c r="AG1676" i="30"/>
  <c r="AG1686" i="30"/>
  <c r="AG1699" i="30"/>
  <c r="AG1715" i="30"/>
  <c r="AG1736" i="30"/>
  <c r="AG1749" i="30"/>
  <c r="AG1764" i="30"/>
  <c r="AG1781" i="30"/>
  <c r="AG1812" i="30"/>
  <c r="AG1826" i="30"/>
  <c r="AG1840" i="30"/>
  <c r="AJ631" i="30"/>
  <c r="AJ1018" i="30"/>
  <c r="AJ1192" i="30"/>
  <c r="AJ1388" i="30"/>
  <c r="AJ1594" i="30"/>
  <c r="AJ1825" i="30"/>
  <c r="AJ2046" i="30"/>
  <c r="AJ2240" i="30"/>
  <c r="AJ2445" i="30"/>
  <c r="AJ2609" i="30"/>
  <c r="AJ2716" i="30"/>
  <c r="AJ2761" i="30"/>
  <c r="AJ2804" i="30"/>
  <c r="AJ2848" i="30"/>
  <c r="AG37" i="30"/>
  <c r="AG83" i="30"/>
  <c r="AG136" i="30"/>
  <c r="AG184" i="30"/>
  <c r="AG229" i="30"/>
  <c r="AG268" i="30"/>
  <c r="AG315" i="30"/>
  <c r="AG349" i="30"/>
  <c r="AG389" i="30"/>
  <c r="AG440" i="30"/>
  <c r="AG485" i="30"/>
  <c r="AG534" i="30"/>
  <c r="AG581" i="30"/>
  <c r="AG630" i="30"/>
  <c r="AG676" i="30"/>
  <c r="AG710" i="30"/>
  <c r="AG759" i="30"/>
  <c r="AG809" i="30"/>
  <c r="AG858" i="30"/>
  <c r="AG904" i="30"/>
  <c r="AG936" i="30"/>
  <c r="AG968" i="30"/>
  <c r="AG1000" i="30"/>
  <c r="AG1032" i="30"/>
  <c r="AG1075" i="30"/>
  <c r="AG1121" i="30"/>
  <c r="AG1171" i="30"/>
  <c r="AG1217" i="30"/>
  <c r="AG1252" i="30"/>
  <c r="AG1263" i="30"/>
  <c r="AG1275" i="30"/>
  <c r="AG1287" i="30"/>
  <c r="AG1297" i="30"/>
  <c r="AG1305" i="30"/>
  <c r="AG1321" i="30"/>
  <c r="AG1336" i="30"/>
  <c r="AG1348" i="30"/>
  <c r="AG1365" i="30"/>
  <c r="AG1376" i="30"/>
  <c r="AG1386" i="30"/>
  <c r="AG1397" i="30"/>
  <c r="AG1411" i="30"/>
  <c r="AG1423" i="30"/>
  <c r="AG1435" i="30"/>
  <c r="AG1448" i="30"/>
  <c r="AG1462" i="30"/>
  <c r="AG1474" i="30"/>
  <c r="AG1486" i="30"/>
  <c r="AG1500" i="30"/>
  <c r="AG1514" i="30"/>
  <c r="AG1528" i="30"/>
  <c r="AG1540" i="30"/>
  <c r="AG1554" i="30"/>
  <c r="AG1568" i="30"/>
  <c r="AG1582" i="30"/>
  <c r="AG1590" i="30"/>
  <c r="AG1606" i="30"/>
  <c r="AG1617" i="30"/>
  <c r="AG1629" i="30"/>
  <c r="AG1640" i="30"/>
  <c r="AG1654" i="30"/>
  <c r="AG1664" i="30"/>
  <c r="AG1678" i="30"/>
  <c r="AG1690" i="30"/>
  <c r="AG1705" i="30"/>
  <c r="AG1723" i="30"/>
  <c r="AG1738" i="30"/>
  <c r="AG1753" i="30"/>
  <c r="AG1768" i="30"/>
  <c r="AG1783" i="30"/>
  <c r="AG1816" i="30"/>
  <c r="AJ2218" i="30"/>
  <c r="AG76" i="30"/>
  <c r="AG433" i="30"/>
  <c r="AG803" i="30"/>
  <c r="AG1112" i="30"/>
  <c r="AG1304" i="30"/>
  <c r="AG1410" i="30"/>
  <c r="AG1511" i="30"/>
  <c r="AG1616" i="30"/>
  <c r="AG1716" i="30"/>
  <c r="AG1822" i="30"/>
  <c r="AG1850" i="30"/>
  <c r="AG1869" i="30"/>
  <c r="AG1887" i="30"/>
  <c r="AG1905" i="30"/>
  <c r="AG1923" i="30"/>
  <c r="AG1934" i="30"/>
  <c r="AG1946" i="30"/>
  <c r="AG1960" i="30"/>
  <c r="AG1972" i="30"/>
  <c r="AG1988" i="30"/>
  <c r="AG2000" i="30"/>
  <c r="AG2014" i="30"/>
  <c r="AG2028" i="30"/>
  <c r="AG2044" i="30"/>
  <c r="AG2058" i="30"/>
  <c r="AG2072" i="30"/>
  <c r="AG2084" i="30"/>
  <c r="AG2096" i="30"/>
  <c r="AG2112" i="30"/>
  <c r="AG2125" i="30"/>
  <c r="AG2139" i="30"/>
  <c r="AG2150" i="30"/>
  <c r="AG2163" i="30"/>
  <c r="AG2173" i="30"/>
  <c r="AG2186" i="30"/>
  <c r="AG2194" i="30"/>
  <c r="AG2209" i="30"/>
  <c r="AG2222" i="30"/>
  <c r="AG2232" i="30"/>
  <c r="AG2240" i="30"/>
  <c r="AG2249" i="30"/>
  <c r="AG2265" i="30"/>
  <c r="AG2279" i="30"/>
  <c r="AG2299" i="30"/>
  <c r="AG2312" i="30"/>
  <c r="AG2323" i="30"/>
  <c r="AG2334" i="30"/>
  <c r="AG2343" i="30"/>
  <c r="AG2356" i="30"/>
  <c r="AG2366" i="30"/>
  <c r="AG2380" i="30"/>
  <c r="AG2396" i="30"/>
  <c r="AG2410" i="30"/>
  <c r="AG2420" i="30"/>
  <c r="AG2434" i="30"/>
  <c r="AG2445" i="30"/>
  <c r="AG2457" i="30"/>
  <c r="AG2471" i="30"/>
  <c r="AG2481" i="30"/>
  <c r="AG2495" i="30"/>
  <c r="AG2505" i="30"/>
  <c r="AG2520" i="30"/>
  <c r="AG2532" i="30"/>
  <c r="AG2545" i="30"/>
  <c r="AG2553" i="30"/>
  <c r="AG2561" i="30"/>
  <c r="AG2569" i="30"/>
  <c r="AG2577" i="30"/>
  <c r="AG2585" i="30"/>
  <c r="AG2593" i="30"/>
  <c r="AG2601" i="30"/>
  <c r="AG2609" i="30"/>
  <c r="AG2617" i="30"/>
  <c r="AG2625" i="30"/>
  <c r="AG2633" i="30"/>
  <c r="AG2641" i="30"/>
  <c r="AG2649" i="30"/>
  <c r="AG2657" i="30"/>
  <c r="AG2665" i="30"/>
  <c r="AG2673" i="30"/>
  <c r="AG2681" i="30"/>
  <c r="AG2689" i="30"/>
  <c r="AG2697" i="30"/>
  <c r="AG2705" i="30"/>
  <c r="AG2715" i="30"/>
  <c r="AG2726" i="30"/>
  <c r="AG2736" i="30"/>
  <c r="AG2746" i="30"/>
  <c r="AG2758" i="30"/>
  <c r="AG2769" i="30"/>
  <c r="AG2779" i="30"/>
  <c r="AG2793" i="30"/>
  <c r="AG2803" i="30"/>
  <c r="AG2815" i="30"/>
  <c r="AG2825" i="30"/>
  <c r="AG2835" i="30"/>
  <c r="AG2847" i="30"/>
  <c r="AG2859" i="30"/>
  <c r="AD12" i="30"/>
  <c r="AD23" i="30"/>
  <c r="AD35" i="30"/>
  <c r="AD46" i="30"/>
  <c r="AD55" i="30"/>
  <c r="AD69" i="30"/>
  <c r="AD80" i="30"/>
  <c r="AD93" i="30"/>
  <c r="AD106" i="30"/>
  <c r="AD120" i="30"/>
  <c r="AD132" i="30"/>
  <c r="AD146" i="30"/>
  <c r="AD160" i="30"/>
  <c r="AD173" i="30"/>
  <c r="AD182" i="30"/>
  <c r="AD194" i="30"/>
  <c r="AD206" i="30"/>
  <c r="AD217" i="30"/>
  <c r="AD227" i="30"/>
  <c r="AD237" i="30"/>
  <c r="AD246" i="30"/>
  <c r="AD256" i="30"/>
  <c r="AD266" i="30"/>
  <c r="AD277" i="30"/>
  <c r="AD288" i="30"/>
  <c r="AD300" i="30"/>
  <c r="AD313" i="30"/>
  <c r="AD323" i="30"/>
  <c r="AD331" i="30"/>
  <c r="AD339" i="30"/>
  <c r="AD347" i="30"/>
  <c r="AD355" i="30"/>
  <c r="AD363" i="30"/>
  <c r="AD374" i="30"/>
  <c r="AD386" i="30"/>
  <c r="AD397" i="30"/>
  <c r="AD409" i="30"/>
  <c r="AD424" i="30"/>
  <c r="AD437" i="30"/>
  <c r="AD448" i="30"/>
  <c r="AD458" i="30"/>
  <c r="AD475" i="30"/>
  <c r="AD485" i="30"/>
  <c r="AD498" i="30"/>
  <c r="AD510" i="30"/>
  <c r="AD521" i="30"/>
  <c r="AD534" i="30"/>
  <c r="AD548" i="30"/>
  <c r="AD557" i="30"/>
  <c r="AD569" i="30"/>
  <c r="AD581" i="30"/>
  <c r="AD592" i="30"/>
  <c r="AD607" i="30"/>
  <c r="AD616" i="30"/>
  <c r="AD630" i="30"/>
  <c r="AD642" i="30"/>
  <c r="AD651" i="30"/>
  <c r="AD664" i="30"/>
  <c r="AD676" i="30"/>
  <c r="AD684" i="30"/>
  <c r="AD692" i="30"/>
  <c r="AD700" i="30"/>
  <c r="AD710" i="30"/>
  <c r="AD722" i="30"/>
  <c r="AD735" i="30"/>
  <c r="AD747" i="30"/>
  <c r="AD759" i="30"/>
  <c r="AD770" i="30"/>
  <c r="AD786" i="30"/>
  <c r="AD798" i="30"/>
  <c r="AD809" i="30"/>
  <c r="AJ514" i="30"/>
  <c r="AJ2415" i="30"/>
  <c r="AG127" i="30"/>
  <c r="AG478" i="30"/>
  <c r="AG849" i="30"/>
  <c r="AG1164" i="30"/>
  <c r="AG1318" i="30"/>
  <c r="AG1420" i="30"/>
  <c r="AG1525" i="30"/>
  <c r="AG1628" i="30"/>
  <c r="AG1737" i="30"/>
  <c r="AG1829" i="30"/>
  <c r="AG1851" i="30"/>
  <c r="AG1870" i="30"/>
  <c r="AG1889" i="30"/>
  <c r="AG1908" i="30"/>
  <c r="AG1925" i="30"/>
  <c r="AG1935" i="30"/>
  <c r="AG1947" i="30"/>
  <c r="AG1961" i="30"/>
  <c r="AG1973" i="30"/>
  <c r="AG1989" i="30"/>
  <c r="AG2003" i="30"/>
  <c r="AG2017" i="30"/>
  <c r="AG2031" i="30"/>
  <c r="AG2046" i="30"/>
  <c r="AG2059" i="30"/>
  <c r="AG2073" i="30"/>
  <c r="AG2085" i="30"/>
  <c r="AG2097" i="30"/>
  <c r="AG2113" i="30"/>
  <c r="AG2127" i="30"/>
  <c r="AG2140" i="30"/>
  <c r="AG2153" i="30"/>
  <c r="AG2164" i="30"/>
  <c r="AG2176" i="30"/>
  <c r="AG2187" i="30"/>
  <c r="AG2196" i="30"/>
  <c r="AG2211" i="30"/>
  <c r="AG2223" i="30"/>
  <c r="AG2233" i="30"/>
  <c r="AG2241" i="30"/>
  <c r="AG2252" i="30"/>
  <c r="AG2266" i="30"/>
  <c r="AG2280" i="30"/>
  <c r="AG2300" i="30"/>
  <c r="AG2313" i="30"/>
  <c r="AG2324" i="30"/>
  <c r="AG2335" i="30"/>
  <c r="AG2344" i="30"/>
  <c r="AG2359" i="30"/>
  <c r="AG2369" i="30"/>
  <c r="AG2381" i="30"/>
  <c r="AG2397" i="30"/>
  <c r="AG2411" i="30"/>
  <c r="AG2423" i="30"/>
  <c r="AG2437" i="30"/>
  <c r="AG2448" i="30"/>
  <c r="AG2460" i="30"/>
  <c r="AG2472" i="30"/>
  <c r="AG2482" i="30"/>
  <c r="AG2496" i="30"/>
  <c r="AG2506" i="30"/>
  <c r="AG2521" i="30"/>
  <c r="AG2534" i="30"/>
  <c r="AG2546" i="30"/>
  <c r="AG2554" i="30"/>
  <c r="AG2562" i="30"/>
  <c r="AG2570" i="30"/>
  <c r="AG2578" i="30"/>
  <c r="AG2586" i="30"/>
  <c r="AG2594" i="30"/>
  <c r="AG2602" i="30"/>
  <c r="AG2610" i="30"/>
  <c r="AG2618" i="30"/>
  <c r="AG2626" i="30"/>
  <c r="AG2634" i="30"/>
  <c r="AG2642" i="30"/>
  <c r="AG2650" i="30"/>
  <c r="AG2658" i="30"/>
  <c r="AG2666" i="30"/>
  <c r="AG2674" i="30"/>
  <c r="AG2682" i="30"/>
  <c r="AG2690" i="30"/>
  <c r="AG2698" i="30"/>
  <c r="AG2706" i="30"/>
  <c r="AG2716" i="30"/>
  <c r="AG2727" i="30"/>
  <c r="AG2737" i="30"/>
  <c r="AG2747" i="30"/>
  <c r="AG2761" i="30"/>
  <c r="AG2770" i="30"/>
  <c r="AG2780" i="30"/>
  <c r="AG2794" i="30"/>
  <c r="AG2804" i="30"/>
  <c r="AG2816" i="30"/>
  <c r="AG2826" i="30"/>
  <c r="AG2836" i="30"/>
  <c r="AG2848" i="30"/>
  <c r="AD3" i="30"/>
  <c r="AD13" i="30"/>
  <c r="AD26" i="30"/>
  <c r="AD36" i="30"/>
  <c r="AD47" i="30"/>
  <c r="AD56" i="30"/>
  <c r="AD70" i="30"/>
  <c r="AD82" i="30"/>
  <c r="AD94" i="30"/>
  <c r="AD107" i="30"/>
  <c r="AD121" i="30"/>
  <c r="AD135" i="30"/>
  <c r="AD148" i="30"/>
  <c r="AD163" i="30"/>
  <c r="AD174" i="30"/>
  <c r="AD183" i="30"/>
  <c r="AD195" i="30"/>
  <c r="AD207" i="30"/>
  <c r="AD218" i="30"/>
  <c r="AD228" i="30"/>
  <c r="AD238" i="30"/>
  <c r="AD247" i="30"/>
  <c r="AD257" i="30"/>
  <c r="AD267" i="30"/>
  <c r="AD280" i="30"/>
  <c r="AD289" i="30"/>
  <c r="AD301" i="30"/>
  <c r="AD314" i="30"/>
  <c r="AD324" i="30"/>
  <c r="AD332" i="30"/>
  <c r="AD340" i="30"/>
  <c r="AD348" i="30"/>
  <c r="AD356" i="30"/>
  <c r="AD364" i="30"/>
  <c r="AD375" i="30"/>
  <c r="AD387" i="30"/>
  <c r="AD400" i="30"/>
  <c r="AD410" i="30"/>
  <c r="AD425" i="30"/>
  <c r="AD438" i="30"/>
  <c r="AD449" i="30"/>
  <c r="AD459" i="30"/>
  <c r="AD476" i="30"/>
  <c r="AD486" i="30"/>
  <c r="AD499" i="30"/>
  <c r="AD513" i="30"/>
  <c r="AD524" i="30"/>
  <c r="AD535" i="30"/>
  <c r="AD549" i="30"/>
  <c r="AD558" i="30"/>
  <c r="AD572" i="30"/>
  <c r="AD583" i="30"/>
  <c r="AD595" i="30"/>
  <c r="AD608" i="30"/>
  <c r="AD617" i="30"/>
  <c r="AD631" i="30"/>
  <c r="AD643" i="30"/>
  <c r="AD653" i="30"/>
  <c r="AD667" i="30"/>
  <c r="AD677" i="30"/>
  <c r="AD685" i="30"/>
  <c r="AD693" i="30"/>
  <c r="AD701" i="30"/>
  <c r="AD711" i="30"/>
  <c r="AD723" i="30"/>
  <c r="AD736" i="30"/>
  <c r="AD748" i="30"/>
  <c r="AD761" i="30"/>
  <c r="AD773" i="30"/>
  <c r="AD787" i="30"/>
  <c r="AD799" i="30"/>
  <c r="AD812" i="30"/>
  <c r="AJ999" i="30"/>
  <c r="AJ2590" i="30"/>
  <c r="AG178" i="30"/>
  <c r="AG526" i="30"/>
  <c r="AG899" i="30"/>
  <c r="AG1207" i="30"/>
  <c r="AG1333" i="30"/>
  <c r="AG1434" i="30"/>
  <c r="AG1539" i="30"/>
  <c r="AG1639" i="30"/>
  <c r="AG1752" i="30"/>
  <c r="AG1830" i="30"/>
  <c r="AG1853" i="30"/>
  <c r="AG1873" i="30"/>
  <c r="AG1891" i="30"/>
  <c r="AG1911" i="30"/>
  <c r="AG1926" i="30"/>
  <c r="AG1936" i="30"/>
  <c r="AG1950" i="30"/>
  <c r="AG1964" i="30"/>
  <c r="AG1976" i="30"/>
  <c r="AG1992" i="30"/>
  <c r="AG2004" i="30"/>
  <c r="AG2018" i="30"/>
  <c r="AG2033" i="30"/>
  <c r="AG2048" i="30"/>
  <c r="AG2062" i="30"/>
  <c r="AG2076" i="30"/>
  <c r="AG2086" i="30"/>
  <c r="AG2100" i="30"/>
  <c r="AG2116" i="30"/>
  <c r="AG2128" i="30"/>
  <c r="AG2143" i="30"/>
  <c r="AG2154" i="30"/>
  <c r="AG2165" i="30"/>
  <c r="AG2177" i="30"/>
  <c r="AG2188" i="30"/>
  <c r="AG2199" i="30"/>
  <c r="AG2212" i="30"/>
  <c r="AG2226" i="30"/>
  <c r="AG2234" i="30"/>
  <c r="AG2242" i="30"/>
  <c r="AG2255" i="30"/>
  <c r="AG2269" i="30"/>
  <c r="AG2283" i="30"/>
  <c r="AG2301" i="30"/>
  <c r="AG2314" i="30"/>
  <c r="AG2325" i="30"/>
  <c r="AG2336" i="30"/>
  <c r="AG2347" i="30"/>
  <c r="AG2360" i="30"/>
  <c r="AG2370" i="30"/>
  <c r="AG2386" i="30"/>
  <c r="AG2398" i="30"/>
  <c r="AG2412" i="30"/>
  <c r="AG2424" i="30"/>
  <c r="AG2438" i="30"/>
  <c r="AG2449" i="30"/>
  <c r="AG2461" i="30"/>
  <c r="AG2473" i="30"/>
  <c r="AG2485" i="30"/>
  <c r="AG2499" i="30"/>
  <c r="AG2508" i="30"/>
  <c r="AG2524" i="30"/>
  <c r="AG2536" i="30"/>
  <c r="AG2547" i="30"/>
  <c r="AG2555" i="30"/>
  <c r="AG2563" i="30"/>
  <c r="AG2571" i="30"/>
  <c r="AG2579" i="30"/>
  <c r="AG2587" i="30"/>
  <c r="AG2595" i="30"/>
  <c r="AG2603" i="30"/>
  <c r="AG2611" i="30"/>
  <c r="AG2619" i="30"/>
  <c r="AG2627" i="30"/>
  <c r="AG2635" i="30"/>
  <c r="AG2643" i="30"/>
  <c r="AG2651" i="30"/>
  <c r="AG2659" i="30"/>
  <c r="AG2667" i="30"/>
  <c r="AG2675" i="30"/>
  <c r="AG2683" i="30"/>
  <c r="AG2691" i="30"/>
  <c r="AG2699" i="30"/>
  <c r="AG2707" i="30"/>
  <c r="AG2717" i="30"/>
  <c r="AG2728" i="30"/>
  <c r="AG2738" i="30"/>
  <c r="AG2750" i="30"/>
  <c r="AG2762" i="30"/>
  <c r="AG2773" i="30"/>
  <c r="AG2781" i="30"/>
  <c r="AG2797" i="30"/>
  <c r="AG2805" i="30"/>
  <c r="AG2817" i="30"/>
  <c r="AG2827" i="30"/>
  <c r="AG2837" i="30"/>
  <c r="AG2851" i="30"/>
  <c r="AD4" i="30"/>
  <c r="AD16" i="30"/>
  <c r="AD27" i="30"/>
  <c r="AD37" i="30"/>
  <c r="AD48" i="30"/>
  <c r="AD59" i="30"/>
  <c r="AD73" i="30"/>
  <c r="AD83" i="30"/>
  <c r="AD95" i="30"/>
  <c r="AD108" i="30"/>
  <c r="AD122" i="30"/>
  <c r="AD136" i="30"/>
  <c r="AD149" i="30"/>
  <c r="AD164" i="30"/>
  <c r="AD175" i="30"/>
  <c r="AD184" i="30"/>
  <c r="AD196" i="30"/>
  <c r="AD210" i="30"/>
  <c r="AD219" i="30"/>
  <c r="AD229" i="30"/>
  <c r="AD239" i="30"/>
  <c r="AD248" i="30"/>
  <c r="AD258" i="30"/>
  <c r="AD268" i="30"/>
  <c r="AD281" i="30"/>
  <c r="AD290" i="30"/>
  <c r="AD302" i="30"/>
  <c r="AD315" i="30"/>
  <c r="AD325" i="30"/>
  <c r="AD333" i="30"/>
  <c r="AD341" i="30"/>
  <c r="AD349" i="30"/>
  <c r="AD357" i="30"/>
  <c r="AD365" i="30"/>
  <c r="AD378" i="30"/>
  <c r="AD389" i="30"/>
  <c r="AD402" i="30"/>
  <c r="AD412" i="30"/>
  <c r="AD427" i="30"/>
  <c r="AD440" i="30"/>
  <c r="AD450" i="30"/>
  <c r="AD465" i="30"/>
  <c r="AD477" i="30"/>
  <c r="AD487" i="30"/>
  <c r="AD502" i="30"/>
  <c r="AD514" i="30"/>
  <c r="AD525" i="30"/>
  <c r="AD538" i="30"/>
  <c r="AD550" i="30"/>
  <c r="AD559" i="30"/>
  <c r="AD573" i="30"/>
  <c r="AD584" i="30"/>
  <c r="AD596" i="30"/>
  <c r="AD609" i="30"/>
  <c r="AD618" i="30"/>
  <c r="AD634" i="30"/>
  <c r="AD644" i="30"/>
  <c r="AD654" i="30"/>
  <c r="AD668" i="30"/>
  <c r="AD678" i="30"/>
  <c r="AD686" i="30"/>
  <c r="AD694" i="30"/>
  <c r="AD702" i="30"/>
  <c r="AD712" i="30"/>
  <c r="AD726" i="30"/>
  <c r="AD737" i="30"/>
  <c r="AD751" i="30"/>
  <c r="AD762" i="30"/>
  <c r="AD774" i="30"/>
  <c r="AD788" i="30"/>
  <c r="AD802" i="30"/>
  <c r="AD813" i="30"/>
  <c r="AJ1170" i="30"/>
  <c r="AJ2709" i="30"/>
  <c r="AG222" i="30"/>
  <c r="AG576" i="30"/>
  <c r="AG931" i="30"/>
  <c r="AG1251" i="30"/>
  <c r="AG1347" i="30"/>
  <c r="AG1446" i="30"/>
  <c r="AG1553" i="30"/>
  <c r="AG1652" i="30"/>
  <c r="AG1765" i="30"/>
  <c r="AG1836" i="30"/>
  <c r="AG1854" i="30"/>
  <c r="AG1875" i="30"/>
  <c r="AG1893" i="30"/>
  <c r="AG1914" i="30"/>
  <c r="AG1929" i="30"/>
  <c r="AG1937" i="30"/>
  <c r="AG1951" i="30"/>
  <c r="AG1965" i="30"/>
  <c r="AG1978" i="30"/>
  <c r="AG1993" i="30"/>
  <c r="AG2005" i="30"/>
  <c r="AG2019" i="30"/>
  <c r="AG2035" i="30"/>
  <c r="AG2049" i="30"/>
  <c r="AG2064" i="30"/>
  <c r="AG2077" i="30"/>
  <c r="AG2088" i="30"/>
  <c r="AG2103" i="30"/>
  <c r="AG2117" i="30"/>
  <c r="AG2131" i="30"/>
  <c r="AG2144" i="30"/>
  <c r="AG2155" i="30"/>
  <c r="AG2166" i="30"/>
  <c r="AG2178" i="30"/>
  <c r="AG2189" i="30"/>
  <c r="AG2200" i="30"/>
  <c r="AG2215" i="30"/>
  <c r="AG2227" i="30"/>
  <c r="AG2235" i="30"/>
  <c r="AG2243" i="30"/>
  <c r="AG2256" i="30"/>
  <c r="AG2270" i="30"/>
  <c r="AG2284" i="30"/>
  <c r="AG2303" i="30"/>
  <c r="AG2315" i="30"/>
  <c r="AG2326" i="30"/>
  <c r="AG2337" i="30"/>
  <c r="AG2348" i="30"/>
  <c r="AG2361" i="30"/>
  <c r="AG2371" i="30"/>
  <c r="AG2387" i="30"/>
  <c r="AG2401" i="30"/>
  <c r="AG2413" i="30"/>
  <c r="AG2425" i="30"/>
  <c r="AG2439" i="30"/>
  <c r="AG2450" i="30"/>
  <c r="AG2464" i="30"/>
  <c r="AG2474" i="30"/>
  <c r="AG2486" i="30"/>
  <c r="AG2500" i="30"/>
  <c r="AG2509" i="30"/>
  <c r="AG2527" i="30"/>
  <c r="AG2537" i="30"/>
  <c r="AG2548" i="30"/>
  <c r="AG2556" i="30"/>
  <c r="AG2564" i="30"/>
  <c r="AG2572" i="30"/>
  <c r="AG2580" i="30"/>
  <c r="AG2588" i="30"/>
  <c r="AG2596" i="30"/>
  <c r="AG2604" i="30"/>
  <c r="AG2612" i="30"/>
  <c r="AG2620" i="30"/>
  <c r="AG2628" i="30"/>
  <c r="AG2636" i="30"/>
  <c r="AG2644" i="30"/>
  <c r="AG2652" i="30"/>
  <c r="AG2660" i="30"/>
  <c r="AG2668" i="30"/>
  <c r="AG2676" i="30"/>
  <c r="AG2684" i="30"/>
  <c r="AG2692" i="30"/>
  <c r="AG2700" i="30"/>
  <c r="AG2708" i="30"/>
  <c r="AG2718" i="30"/>
  <c r="AG2729" i="30"/>
  <c r="AG2739" i="30"/>
  <c r="AG2751" i="30"/>
  <c r="AG2763" i="30"/>
  <c r="AG2774" i="30"/>
  <c r="AG2784" i="30"/>
  <c r="AG2798" i="30"/>
  <c r="AG2808" i="30"/>
  <c r="AG2818" i="30"/>
  <c r="AG2830" i="30"/>
  <c r="AG2840" i="30"/>
  <c r="AG2852" i="30"/>
  <c r="AD5" i="30"/>
  <c r="AD17" i="30"/>
  <c r="AD28" i="30"/>
  <c r="AD38" i="30"/>
  <c r="AD49" i="30"/>
  <c r="AD60" i="30"/>
  <c r="AD74" i="30"/>
  <c r="AD84" i="30"/>
  <c r="AD96" i="30"/>
  <c r="AD109" i="30"/>
  <c r="AD123" i="30"/>
  <c r="AD137" i="30"/>
  <c r="AD150" i="30"/>
  <c r="AD166" i="30"/>
  <c r="AD176" i="30"/>
  <c r="AD185" i="30"/>
  <c r="AD197" i="30"/>
  <c r="AD211" i="30"/>
  <c r="AD220" i="30"/>
  <c r="AD230" i="30"/>
  <c r="AD240" i="30"/>
  <c r="AD249" i="30"/>
  <c r="AD259" i="30"/>
  <c r="AD270" i="30"/>
  <c r="AD282" i="30"/>
  <c r="AD291" i="30"/>
  <c r="AD305" i="30"/>
  <c r="AD317" i="30"/>
  <c r="AD326" i="30"/>
  <c r="AD334" i="30"/>
  <c r="AD342" i="30"/>
  <c r="AD350" i="30"/>
  <c r="AD358" i="30"/>
  <c r="AD366" i="30"/>
  <c r="AD379" i="30"/>
  <c r="AD390" i="30"/>
  <c r="AD403" i="30"/>
  <c r="AD413" i="30"/>
  <c r="AD429" i="30"/>
  <c r="AD441" i="30"/>
  <c r="AD451" i="30"/>
  <c r="AD466" i="30"/>
  <c r="AD478" i="30"/>
  <c r="AD489" i="30"/>
  <c r="AD503" i="30"/>
  <c r="AD515" i="30"/>
  <c r="AD526" i="30"/>
  <c r="AD539" i="30"/>
  <c r="AD551" i="30"/>
  <c r="AD560" i="30"/>
  <c r="AD576" i="30"/>
  <c r="AD585" i="30"/>
  <c r="AD597" i="30"/>
  <c r="AD610" i="30"/>
  <c r="AD621" i="30"/>
  <c r="AD635" i="30"/>
  <c r="AD646" i="30"/>
  <c r="AD657" i="30"/>
  <c r="AD669" i="30"/>
  <c r="AD679" i="30"/>
  <c r="AD687" i="30"/>
  <c r="AD695" i="30"/>
  <c r="AD703" i="30"/>
  <c r="AD715" i="30"/>
  <c r="AD727" i="30"/>
  <c r="AD738" i="30"/>
  <c r="AD752" i="30"/>
  <c r="AD763" i="30"/>
  <c r="AD777" i="30"/>
  <c r="AD791" i="30"/>
  <c r="AD803" i="30"/>
  <c r="AJ1362" i="30"/>
  <c r="AJ2752" i="30"/>
  <c r="AG261" i="30"/>
  <c r="AG621" i="30"/>
  <c r="AG963" i="30"/>
  <c r="AG1260" i="30"/>
  <c r="AG1362" i="30"/>
  <c r="AG1461" i="30"/>
  <c r="AG1567" i="30"/>
  <c r="AG1663" i="30"/>
  <c r="AG1777" i="30"/>
  <c r="AG1839" i="30"/>
  <c r="AG1857" i="30"/>
  <c r="AG1877" i="30"/>
  <c r="AG1895" i="30"/>
  <c r="AG1917" i="30"/>
  <c r="AG1930" i="30"/>
  <c r="AG1940" i="30"/>
  <c r="AG1954" i="30"/>
  <c r="AG1966" i="30"/>
  <c r="AG1980" i="30"/>
  <c r="AG1994" i="30"/>
  <c r="AG2006" i="30"/>
  <c r="AG2022" i="30"/>
  <c r="AG2036" i="30"/>
  <c r="AG2052" i="30"/>
  <c r="AG2065" i="30"/>
  <c r="AG2078" i="30"/>
  <c r="AG2089" i="30"/>
  <c r="AG2104" i="30"/>
  <c r="AG2118" i="30"/>
  <c r="AG2132" i="30"/>
  <c r="AG2145" i="30"/>
  <c r="AG2157" i="30"/>
  <c r="AG2169" i="30"/>
  <c r="AG2180" i="30"/>
  <c r="AG2190" i="30"/>
  <c r="AG2203" i="30"/>
  <c r="AG2216" i="30"/>
  <c r="AG2228" i="30"/>
  <c r="AG2236" i="30"/>
  <c r="AG2244" i="30"/>
  <c r="AG2259" i="30"/>
  <c r="AG2273" i="30"/>
  <c r="AG2289" i="30"/>
  <c r="AG2306" i="30"/>
  <c r="AG2317" i="30"/>
  <c r="AG2327" i="30"/>
  <c r="AG2338" i="30"/>
  <c r="AG2351" i="30"/>
  <c r="AG2362" i="30"/>
  <c r="AG2372" i="30"/>
  <c r="AG2388" i="30"/>
  <c r="AG2402" i="30"/>
  <c r="AG2414" i="30"/>
  <c r="AG2426" i="30"/>
  <c r="AG2440" i="30"/>
  <c r="AG2451" i="30"/>
  <c r="AG2467" i="30"/>
  <c r="AG2476" i="30"/>
  <c r="AG2487" i="30"/>
  <c r="AG2501" i="30"/>
  <c r="AG2512" i="30"/>
  <c r="AG2528" i="30"/>
  <c r="AG2539" i="30"/>
  <c r="AG2549" i="30"/>
  <c r="AG2557" i="30"/>
  <c r="AG2565" i="30"/>
  <c r="AG2573" i="30"/>
  <c r="AG2581" i="30"/>
  <c r="AG2589" i="30"/>
  <c r="AG2597" i="30"/>
  <c r="AG2605" i="30"/>
  <c r="AG2613" i="30"/>
  <c r="AG2621" i="30"/>
  <c r="AG2629" i="30"/>
  <c r="AG2637" i="30"/>
  <c r="AG2645" i="30"/>
  <c r="AG2653" i="30"/>
  <c r="AG2661" i="30"/>
  <c r="AG2669" i="30"/>
  <c r="AG2677" i="30"/>
  <c r="AG2685" i="30"/>
  <c r="AG2693" i="30"/>
  <c r="AG2701" i="30"/>
  <c r="AG2709" i="30"/>
  <c r="AG2719" i="30"/>
  <c r="AG2730" i="30"/>
  <c r="AG2740" i="30"/>
  <c r="AG2752" i="30"/>
  <c r="AG2764" i="30"/>
  <c r="AG2775" i="30"/>
  <c r="AG2787" i="30"/>
  <c r="AG2799" i="30"/>
  <c r="AG2809" i="30"/>
  <c r="AG2819" i="30"/>
  <c r="AG2831" i="30"/>
  <c r="AG2841" i="30"/>
  <c r="AG2853" i="30"/>
  <c r="AD7" i="30"/>
  <c r="AD18" i="30"/>
  <c r="AD29" i="30"/>
  <c r="AD40" i="30"/>
  <c r="AD50" i="30"/>
  <c r="AD61" i="30"/>
  <c r="AD75" i="30"/>
  <c r="AD85" i="30"/>
  <c r="AD99" i="30"/>
  <c r="AD112" i="30"/>
  <c r="AD124" i="30"/>
  <c r="AD140" i="30"/>
  <c r="AD153" i="30"/>
  <c r="AD167" i="30"/>
  <c r="AD177" i="30"/>
  <c r="AD186" i="30"/>
  <c r="AD200" i="30"/>
  <c r="AD213" i="30"/>
  <c r="AD221" i="30"/>
  <c r="AD231" i="30"/>
  <c r="AD241" i="30"/>
  <c r="AD250" i="30"/>
  <c r="AD260" i="30"/>
  <c r="AD272" i="30"/>
  <c r="AD283" i="30"/>
  <c r="AD292" i="30"/>
  <c r="AD306" i="30"/>
  <c r="AD318" i="30"/>
  <c r="AD327" i="30"/>
  <c r="AD335" i="30"/>
  <c r="AD343" i="30"/>
  <c r="AD351" i="30"/>
  <c r="AD359" i="30"/>
  <c r="AD368" i="30"/>
  <c r="AD380" i="30"/>
  <c r="AD393" i="30"/>
  <c r="AD404" i="30"/>
  <c r="AD414" i="30"/>
  <c r="AD431" i="30"/>
  <c r="AD443" i="30"/>
  <c r="AD454" i="30"/>
  <c r="AD469" i="30"/>
  <c r="AD479" i="30"/>
  <c r="AD492" i="30"/>
  <c r="AD504" i="30"/>
  <c r="AD516" i="30"/>
  <c r="AD529" i="30"/>
  <c r="AD540" i="30"/>
  <c r="AD552" i="30"/>
  <c r="AD563" i="30"/>
  <c r="AD577" i="30"/>
  <c r="AD586" i="30"/>
  <c r="AD599" i="30"/>
  <c r="AD611" i="30"/>
  <c r="AD622" i="30"/>
  <c r="AD636" i="30"/>
  <c r="AD647" i="30"/>
  <c r="AD658" i="30"/>
  <c r="AD670" i="30"/>
  <c r="AD680" i="30"/>
  <c r="AD688" i="30"/>
  <c r="AD696" i="30"/>
  <c r="AD706" i="30"/>
  <c r="AD716" i="30"/>
  <c r="AD730" i="30"/>
  <c r="AD739" i="30"/>
  <c r="AD753" i="30"/>
  <c r="AD764" i="30"/>
  <c r="AD778" i="30"/>
  <c r="AD792" i="30"/>
  <c r="AD804" i="30"/>
  <c r="AJ1567" i="30"/>
  <c r="AJ2799" i="30"/>
  <c r="AG308" i="30"/>
  <c r="AG669" i="30"/>
  <c r="AG995" i="30"/>
  <c r="AG1274" i="30"/>
  <c r="AG1375" i="30"/>
  <c r="AG1471" i="30"/>
  <c r="AG1579" i="30"/>
  <c r="AG1677" i="30"/>
  <c r="AG1782" i="30"/>
  <c r="AG1841" i="30"/>
  <c r="AG1861" i="30"/>
  <c r="AG1880" i="30"/>
  <c r="AG1896" i="30"/>
  <c r="AG1918" i="30"/>
  <c r="AG1931" i="30"/>
  <c r="AG1941" i="30"/>
  <c r="AG1955" i="30"/>
  <c r="AG1969" i="30"/>
  <c r="AG1981" i="30"/>
  <c r="AG1995" i="30"/>
  <c r="AG2009" i="30"/>
  <c r="AG2023" i="30"/>
  <c r="AG2039" i="30"/>
  <c r="AG2053" i="30"/>
  <c r="AG2066" i="30"/>
  <c r="AG2079" i="30"/>
  <c r="AG2092" i="30"/>
  <c r="AG2105" i="30"/>
  <c r="AG2121" i="30"/>
  <c r="AG2135" i="30"/>
  <c r="AG2147" i="30"/>
  <c r="AG2158" i="30"/>
  <c r="AG2170" i="30"/>
  <c r="AG2182" i="30"/>
  <c r="AG2191" i="30"/>
  <c r="AG2204" i="30"/>
  <c r="AG2218" i="30"/>
  <c r="AG2229" i="30"/>
  <c r="AG2237" i="30"/>
  <c r="AG2245" i="30"/>
  <c r="AG2260" i="30"/>
  <c r="AG2274" i="30"/>
  <c r="AG2290" i="30"/>
  <c r="AG2307" i="30"/>
  <c r="AG2318" i="30"/>
  <c r="AG2329" i="30"/>
  <c r="AG2339" i="30"/>
  <c r="AG2352" i="30"/>
  <c r="AG2363" i="30"/>
  <c r="AG2373" i="30"/>
  <c r="AG2391" i="30"/>
  <c r="AG2405" i="30"/>
  <c r="AG2415" i="30"/>
  <c r="AG2429" i="30"/>
  <c r="AG2441" i="30"/>
  <c r="AG2454" i="30"/>
  <c r="AG2468" i="30"/>
  <c r="AG2477" i="30"/>
  <c r="AG2488" i="30"/>
  <c r="AG2502" i="30"/>
  <c r="AG2513" i="30"/>
  <c r="AG2529" i="30"/>
  <c r="AG2540" i="30"/>
  <c r="AG2550" i="30"/>
  <c r="AG2558" i="30"/>
  <c r="AG2566" i="30"/>
  <c r="AG2574" i="30"/>
  <c r="AG2582" i="30"/>
  <c r="AG2590" i="30"/>
  <c r="AG2598" i="30"/>
  <c r="AG2606" i="30"/>
  <c r="AG2614" i="30"/>
  <c r="AG2622" i="30"/>
  <c r="AG2630" i="30"/>
  <c r="AG2638" i="30"/>
  <c r="AG2646" i="30"/>
  <c r="AG2654" i="30"/>
  <c r="AG2662" i="30"/>
  <c r="AG2670" i="30"/>
  <c r="AG2678" i="30"/>
  <c r="AG2686" i="30"/>
  <c r="AG2694" i="30"/>
  <c r="AG2702" i="30"/>
  <c r="AG2712" i="30"/>
  <c r="AG2720" i="30"/>
  <c r="AG2731" i="30"/>
  <c r="AG2741" i="30"/>
  <c r="AG2753" i="30"/>
  <c r="AG2765" i="30"/>
  <c r="AG2776" i="30"/>
  <c r="AG2788" i="30"/>
  <c r="AG2800" i="30"/>
  <c r="AG2810" i="30"/>
  <c r="AG2822" i="30"/>
  <c r="AG2832" i="30"/>
  <c r="AG2842" i="30"/>
  <c r="AG2856" i="30"/>
  <c r="AD8" i="30"/>
  <c r="AD19" i="30"/>
  <c r="AD30" i="30"/>
  <c r="AD41" i="30"/>
  <c r="AD51" i="30"/>
  <c r="AD64" i="30"/>
  <c r="AD76" i="30"/>
  <c r="AD88" i="30"/>
  <c r="AD100" i="30"/>
  <c r="AD113" i="30"/>
  <c r="AD127" i="30"/>
  <c r="AD141" i="30"/>
  <c r="AD154" i="30"/>
  <c r="AD170" i="30"/>
  <c r="AD178" i="30"/>
  <c r="AD187" i="30"/>
  <c r="AD201" i="30"/>
  <c r="AD214" i="30"/>
  <c r="AD222" i="30"/>
  <c r="AD234" i="30"/>
  <c r="AD242" i="30"/>
  <c r="AD251" i="30"/>
  <c r="AD261" i="30"/>
  <c r="AD273" i="30"/>
  <c r="AD284" i="30"/>
  <c r="AD295" i="30"/>
  <c r="AD308" i="30"/>
  <c r="AD319" i="30"/>
  <c r="AD328" i="30"/>
  <c r="AD336" i="30"/>
  <c r="AD344" i="30"/>
  <c r="AD352" i="30"/>
  <c r="AD360" i="30"/>
  <c r="AD369" i="30"/>
  <c r="AD381" i="30"/>
  <c r="AD394" i="30"/>
  <c r="AD405" i="30"/>
  <c r="AD418" i="30"/>
  <c r="AD433" i="30"/>
  <c r="AD444" i="30"/>
  <c r="AD455" i="30"/>
  <c r="AD470" i="30"/>
  <c r="AD482" i="30"/>
  <c r="AD493" i="30"/>
  <c r="AD505" i="30"/>
  <c r="AD518" i="30"/>
  <c r="AD530" i="30"/>
  <c r="AD543" i="30"/>
  <c r="AD553" i="30"/>
  <c r="AD564" i="30"/>
  <c r="AD578" i="30"/>
  <c r="AD587" i="30"/>
  <c r="AD600" i="30"/>
  <c r="AD613" i="30"/>
  <c r="AD625" i="30"/>
  <c r="AD637" i="30"/>
  <c r="AD648" i="30"/>
  <c r="AD659" i="30"/>
  <c r="AD673" i="30"/>
  <c r="AD681" i="30"/>
  <c r="AD689" i="30"/>
  <c r="AD697" i="30"/>
  <c r="AD707" i="30"/>
  <c r="AD719" i="30"/>
  <c r="AD731" i="30"/>
  <c r="AD742" i="30"/>
  <c r="AD756" i="30"/>
  <c r="AD766" i="30"/>
  <c r="AD781" i="30"/>
  <c r="AD795" i="30"/>
  <c r="AD805" i="30"/>
  <c r="AJ1777" i="30"/>
  <c r="AJ2841" i="30"/>
  <c r="AG344" i="30"/>
  <c r="AG703" i="30"/>
  <c r="AG1027" i="30"/>
  <c r="AG1285" i="30"/>
  <c r="AG1385" i="30"/>
  <c r="AG1485" i="30"/>
  <c r="AG1589" i="30"/>
  <c r="AG1689" i="30"/>
  <c r="AG1804" i="30"/>
  <c r="AG1842" i="30"/>
  <c r="AG1865" i="30"/>
  <c r="AG1883" i="30"/>
  <c r="AG1897" i="30"/>
  <c r="AG1921" i="30"/>
  <c r="AG1932" i="30"/>
  <c r="AG1942" i="30"/>
  <c r="AG1958" i="30"/>
  <c r="AG1970" i="30"/>
  <c r="AG1984" i="30"/>
  <c r="AG1998" i="30"/>
  <c r="AG2010" i="30"/>
  <c r="AG2024" i="30"/>
  <c r="AG2041" i="30"/>
  <c r="AG2054" i="30"/>
  <c r="AG2068" i="30"/>
  <c r="AG2080" i="30"/>
  <c r="AG2093" i="30"/>
  <c r="AG2108" i="30"/>
  <c r="AG2123" i="30"/>
  <c r="AG2136" i="30"/>
  <c r="AG2148" i="30"/>
  <c r="AG2161" i="30"/>
  <c r="AG2171" i="30"/>
  <c r="AG2183" i="30"/>
  <c r="AG2192" i="30"/>
  <c r="AG2205" i="30"/>
  <c r="AG2219" i="30"/>
  <c r="AG2230" i="30"/>
  <c r="AG2238" i="30"/>
  <c r="AG2247" i="30"/>
  <c r="AG2261" i="30"/>
  <c r="AG2275" i="30"/>
  <c r="AG2295" i="30"/>
  <c r="AG2308" i="30"/>
  <c r="AG2319" i="30"/>
  <c r="AG2330" i="30"/>
  <c r="AG2340" i="30"/>
  <c r="AG2353" i="30"/>
  <c r="AG2364" i="30"/>
  <c r="AG2377" i="30"/>
  <c r="AG2392" i="30"/>
  <c r="AG2406" i="30"/>
  <c r="AG2416" i="30"/>
  <c r="AG2430" i="30"/>
  <c r="AG2442" i="30"/>
  <c r="AG2455" i="30"/>
  <c r="AG2469" i="30"/>
  <c r="AG2479" i="30"/>
  <c r="AG2491" i="30"/>
  <c r="AG2503" i="30"/>
  <c r="AG2514" i="30"/>
  <c r="AG2530" i="30"/>
  <c r="AG2543" i="30"/>
  <c r="AG2551" i="30"/>
  <c r="AG2559" i="30"/>
  <c r="AG2567" i="30"/>
  <c r="AG2575" i="30"/>
  <c r="AG2583" i="30"/>
  <c r="AG2591" i="30"/>
  <c r="AG2599" i="30"/>
  <c r="AG2607" i="30"/>
  <c r="AG2615" i="30"/>
  <c r="AG2623" i="30"/>
  <c r="AG2631" i="30"/>
  <c r="AG2639" i="30"/>
  <c r="AG2647" i="30"/>
  <c r="AG2655" i="30"/>
  <c r="AG2663" i="30"/>
  <c r="AG2671" i="30"/>
  <c r="AG2679" i="30"/>
  <c r="AG2687" i="30"/>
  <c r="AG2695" i="30"/>
  <c r="AG2703" i="30"/>
  <c r="AG2713" i="30"/>
  <c r="AG2722" i="30"/>
  <c r="AG2732" i="30"/>
  <c r="AG2742" i="30"/>
  <c r="AG2756" i="30"/>
  <c r="AG2766" i="30"/>
  <c r="AG2777" i="30"/>
  <c r="AG2789" i="30"/>
  <c r="AG2801" i="30"/>
  <c r="AG2811" i="30"/>
  <c r="AG2823" i="30"/>
  <c r="AG2833" i="30"/>
  <c r="AG2845" i="30"/>
  <c r="AG2857" i="30"/>
  <c r="AD9" i="30"/>
  <c r="AD21" i="30"/>
  <c r="AD31" i="30"/>
  <c r="AD42" i="30"/>
  <c r="AD52" i="30"/>
  <c r="AD65" i="30"/>
  <c r="AD77" i="30"/>
  <c r="AD89" i="30"/>
  <c r="AD101" i="30"/>
  <c r="AD114" i="30"/>
  <c r="AD130" i="30"/>
  <c r="AD142" i="30"/>
  <c r="AD157" i="30"/>
  <c r="AD171" i="30"/>
  <c r="AD179" i="30"/>
  <c r="AD190" i="30"/>
  <c r="AD204" i="30"/>
  <c r="AD215" i="30"/>
  <c r="AD223" i="30"/>
  <c r="AD235" i="30"/>
  <c r="AD243" i="30"/>
  <c r="AD254" i="30"/>
  <c r="AD262" i="30"/>
  <c r="AD275" i="30"/>
  <c r="AD286" i="30"/>
  <c r="AD296" i="30"/>
  <c r="AD309" i="30"/>
  <c r="AD321" i="30"/>
  <c r="AD329" i="30"/>
  <c r="AD337" i="30"/>
  <c r="AD345" i="30"/>
  <c r="AD353" i="30"/>
  <c r="AD361" i="30"/>
  <c r="AD370" i="30"/>
  <c r="AD384" i="30"/>
  <c r="AD395" i="30"/>
  <c r="AD407" i="30"/>
  <c r="AD421" i="30"/>
  <c r="AD435" i="30"/>
  <c r="AD445" i="30"/>
  <c r="AD456" i="30"/>
  <c r="AD473" i="30"/>
  <c r="AD483" i="30"/>
  <c r="AD494" i="30"/>
  <c r="AD508" i="30"/>
  <c r="AD519" i="30"/>
  <c r="AD532" i="30"/>
  <c r="AD544" i="30"/>
  <c r="AD555" i="30"/>
  <c r="AD567" i="30"/>
  <c r="AD579" i="30"/>
  <c r="AD588" i="30"/>
  <c r="AD605" i="30"/>
  <c r="AD614" i="30"/>
  <c r="AD626" i="30"/>
  <c r="AD638" i="30"/>
  <c r="AD649" i="30"/>
  <c r="AD662" i="30"/>
  <c r="AD674" i="30"/>
  <c r="AD682" i="30"/>
  <c r="AD690" i="30"/>
  <c r="AD698" i="30"/>
  <c r="AD708" i="30"/>
  <c r="AD720" i="30"/>
  <c r="AD732" i="30"/>
  <c r="AD743" i="30"/>
  <c r="AD757" i="30"/>
  <c r="AD767" i="30"/>
  <c r="AD782" i="30"/>
  <c r="AD796" i="30"/>
  <c r="AD807" i="30"/>
  <c r="AG1499" i="30"/>
  <c r="AG1922" i="30"/>
  <c r="AG2027" i="30"/>
  <c r="AG2137" i="30"/>
  <c r="AG2231" i="30"/>
  <c r="AG2333" i="30"/>
  <c r="AG2433" i="30"/>
  <c r="AG2531" i="30"/>
  <c r="AG2600" i="30"/>
  <c r="AG2664" i="30"/>
  <c r="AG2733" i="30"/>
  <c r="AG2824" i="30"/>
  <c r="AD54" i="30"/>
  <c r="AD159" i="30"/>
  <c r="AD244" i="30"/>
  <c r="AD330" i="30"/>
  <c r="AD408" i="30"/>
  <c r="AD509" i="30"/>
  <c r="AD606" i="30"/>
  <c r="AD691" i="30"/>
  <c r="AD785" i="30"/>
  <c r="AD822" i="30"/>
  <c r="AD834" i="30"/>
  <c r="AD847" i="30"/>
  <c r="AD861" i="30"/>
  <c r="AD875" i="30"/>
  <c r="AD887" i="30"/>
  <c r="AD897" i="30"/>
  <c r="AD905" i="30"/>
  <c r="AD913" i="30"/>
  <c r="AD921" i="30"/>
  <c r="AD929" i="30"/>
  <c r="AD937" i="30"/>
  <c r="AD945" i="30"/>
  <c r="AD953" i="30"/>
  <c r="AD961" i="30"/>
  <c r="AD969" i="30"/>
  <c r="AD977" i="30"/>
  <c r="AD985" i="30"/>
  <c r="AD993" i="30"/>
  <c r="AD1001" i="30"/>
  <c r="AD1009" i="30"/>
  <c r="AD1017" i="30"/>
  <c r="AD1025" i="30"/>
  <c r="AD1033" i="30"/>
  <c r="AD1042" i="30"/>
  <c r="AD1055" i="30"/>
  <c r="AD1067" i="30"/>
  <c r="AD1076" i="30"/>
  <c r="AD1088" i="30"/>
  <c r="AD1098" i="30"/>
  <c r="AD1110" i="30"/>
  <c r="AD1122" i="30"/>
  <c r="AD1134" i="30"/>
  <c r="AD1145" i="30"/>
  <c r="AD1160" i="30"/>
  <c r="AD1172" i="30"/>
  <c r="AD1180" i="30"/>
  <c r="AD1191" i="30"/>
  <c r="AD1211" i="30"/>
  <c r="AD1224" i="30"/>
  <c r="AD1235" i="30"/>
  <c r="AD1247" i="30"/>
  <c r="AD1258" i="30"/>
  <c r="AD1271" i="30"/>
  <c r="AD1300" i="30"/>
  <c r="AD1310" i="30"/>
  <c r="AD1326" i="30"/>
  <c r="AD1341" i="30"/>
  <c r="AD1354" i="30"/>
  <c r="AD1369" i="30"/>
  <c r="AD1379" i="30"/>
  <c r="AD1389" i="30"/>
  <c r="AD1402" i="30"/>
  <c r="AD1414" i="30"/>
  <c r="AD1428" i="30"/>
  <c r="AD1440" i="30"/>
  <c r="AD1453" i="30"/>
  <c r="AD1465" i="30"/>
  <c r="AD1479" i="30"/>
  <c r="AD1491" i="30"/>
  <c r="AD1505" i="30"/>
  <c r="AD1517" i="30"/>
  <c r="AD1533" i="30"/>
  <c r="AD1547" i="30"/>
  <c r="AD1561" i="30"/>
  <c r="AD1573" i="30"/>
  <c r="AD1585" i="30"/>
  <c r="AD1595" i="30"/>
  <c r="AD1609" i="30"/>
  <c r="AD1622" i="30"/>
  <c r="AD1633" i="30"/>
  <c r="AD1646" i="30"/>
  <c r="AD1657" i="30"/>
  <c r="AD1671" i="30"/>
  <c r="AD1682" i="30"/>
  <c r="AD1698" i="30"/>
  <c r="AD1712" i="30"/>
  <c r="AD1728" i="30"/>
  <c r="AD1742" i="30"/>
  <c r="AD1756" i="30"/>
  <c r="AD1773" i="30"/>
  <c r="AD1800" i="30"/>
  <c r="AD1817" i="30"/>
  <c r="AD1831" i="30"/>
  <c r="AD1845" i="30"/>
  <c r="AD1858" i="30"/>
  <c r="AD1874" i="30"/>
  <c r="AD1889" i="30"/>
  <c r="AD1902" i="30"/>
  <c r="AD1921" i="30"/>
  <c r="AD1932" i="30"/>
  <c r="AD1942" i="30"/>
  <c r="AD1958" i="30"/>
  <c r="AD1970" i="30"/>
  <c r="AD1984" i="30"/>
  <c r="AD1998" i="30"/>
  <c r="AD2010" i="30"/>
  <c r="AD2024" i="30"/>
  <c r="AD2041" i="30"/>
  <c r="AD2054" i="30"/>
  <c r="AD2068" i="30"/>
  <c r="AD2080" i="30"/>
  <c r="AD2093" i="30"/>
  <c r="AD2108" i="30"/>
  <c r="AD2123" i="30"/>
  <c r="AD2136" i="30"/>
  <c r="AD2148" i="30"/>
  <c r="AD2161" i="30"/>
  <c r="AD2171" i="30"/>
  <c r="AD2183" i="30"/>
  <c r="AD2192" i="30"/>
  <c r="AD2204" i="30"/>
  <c r="AD2218" i="30"/>
  <c r="AD2229" i="30"/>
  <c r="AD2237" i="30"/>
  <c r="AD2245" i="30"/>
  <c r="AD2260" i="30"/>
  <c r="AD2274" i="30"/>
  <c r="AD2290" i="30"/>
  <c r="AD2307" i="30"/>
  <c r="AD2318" i="30"/>
  <c r="AD2329" i="30"/>
  <c r="AD2339" i="30"/>
  <c r="AD2352" i="30"/>
  <c r="AD2363" i="30"/>
  <c r="AD2373" i="30"/>
  <c r="AD2391" i="30"/>
  <c r="AD2405" i="30"/>
  <c r="AD2415" i="30"/>
  <c r="AD2429" i="30"/>
  <c r="AD2441" i="30"/>
  <c r="AD2454" i="30"/>
  <c r="AD2468" i="30"/>
  <c r="AD2477" i="30"/>
  <c r="AD2488" i="30"/>
  <c r="AD2502" i="30"/>
  <c r="AD2513" i="30"/>
  <c r="AD2529" i="30"/>
  <c r="AD2540" i="30"/>
  <c r="AD2550" i="30"/>
  <c r="AD2558" i="30"/>
  <c r="AD2566" i="30"/>
  <c r="AD2574" i="30"/>
  <c r="AD2582" i="30"/>
  <c r="AD2590" i="30"/>
  <c r="AD2598" i="30"/>
  <c r="AD2606" i="30"/>
  <c r="AD2614" i="30"/>
  <c r="AD2622" i="30"/>
  <c r="AJ2010" i="30"/>
  <c r="AG1603" i="30"/>
  <c r="AG1933" i="30"/>
  <c r="AG2042" i="30"/>
  <c r="AG2149" i="30"/>
  <c r="AG2239" i="30"/>
  <c r="AG2341" i="30"/>
  <c r="AG2444" i="30"/>
  <c r="AG2544" i="30"/>
  <c r="AG2608" i="30"/>
  <c r="AG2672" i="30"/>
  <c r="AG2745" i="30"/>
  <c r="AG2834" i="30"/>
  <c r="AD66" i="30"/>
  <c r="AD172" i="30"/>
  <c r="AD255" i="30"/>
  <c r="AD338" i="30"/>
  <c r="AD423" i="30"/>
  <c r="AD520" i="30"/>
  <c r="AD615" i="30"/>
  <c r="AD699" i="30"/>
  <c r="AD797" i="30"/>
  <c r="AD823" i="30"/>
  <c r="AD835" i="30"/>
  <c r="AD848" i="30"/>
  <c r="AD862" i="30"/>
  <c r="AD876" i="30"/>
  <c r="AD888" i="30"/>
  <c r="AD898" i="30"/>
  <c r="AD906" i="30"/>
  <c r="AD914" i="30"/>
  <c r="AD922" i="30"/>
  <c r="AD930" i="30"/>
  <c r="AD938" i="30"/>
  <c r="AD946" i="30"/>
  <c r="AD954" i="30"/>
  <c r="AD962" i="30"/>
  <c r="AD970" i="30"/>
  <c r="AD978" i="30"/>
  <c r="AD986" i="30"/>
  <c r="AD994" i="30"/>
  <c r="AD1002" i="30"/>
  <c r="AD1010" i="30"/>
  <c r="AD1018" i="30"/>
  <c r="AD1026" i="30"/>
  <c r="AD1034" i="30"/>
  <c r="AD1043" i="30"/>
  <c r="AD1056" i="30"/>
  <c r="AD1068" i="30"/>
  <c r="AD1079" i="30"/>
  <c r="AD1089" i="30"/>
  <c r="AD1099" i="30"/>
  <c r="AD1111" i="30"/>
  <c r="AD1123" i="30"/>
  <c r="AD1135" i="30"/>
  <c r="AD1147" i="30"/>
  <c r="AD1161" i="30"/>
  <c r="AD1173" i="30"/>
  <c r="AD1181" i="30"/>
  <c r="AD1192" i="30"/>
  <c r="AD1214" i="30"/>
  <c r="AD1225" i="30"/>
  <c r="AD1236" i="30"/>
  <c r="AD1248" i="30"/>
  <c r="AD1259" i="30"/>
  <c r="AD1273" i="30"/>
  <c r="AD1301" i="30"/>
  <c r="AD1313" i="30"/>
  <c r="AD1329" i="30"/>
  <c r="AD1342" i="30"/>
  <c r="AD1355" i="30"/>
  <c r="AD1372" i="30"/>
  <c r="AD1380" i="30"/>
  <c r="AD1392" i="30"/>
  <c r="AD1403" i="30"/>
  <c r="AD1417" i="30"/>
  <c r="AD1431" i="30"/>
  <c r="AD1443" i="30"/>
  <c r="AD1454" i="30"/>
  <c r="AD1468" i="30"/>
  <c r="AD1482" i="30"/>
  <c r="AD1495" i="30"/>
  <c r="AD1507" i="30"/>
  <c r="AD1520" i="30"/>
  <c r="AD1534" i="30"/>
  <c r="AD1548" i="30"/>
  <c r="AD1562" i="30"/>
  <c r="AD1574" i="30"/>
  <c r="AD1586" i="30"/>
  <c r="AD1598" i="30"/>
  <c r="AD1610" i="30"/>
  <c r="AD1623" i="30"/>
  <c r="AD1634" i="30"/>
  <c r="AD1647" i="30"/>
  <c r="AD1660" i="30"/>
  <c r="AD1672" i="30"/>
  <c r="AD1683" i="30"/>
  <c r="AD1699" i="30"/>
  <c r="AD1715" i="30"/>
  <c r="AD1731" i="30"/>
  <c r="AD1745" i="30"/>
  <c r="AD1757" i="30"/>
  <c r="AD1777" i="30"/>
  <c r="AD1804" i="30"/>
  <c r="AD1818" i="30"/>
  <c r="AD1832" i="30"/>
  <c r="AD1846" i="30"/>
  <c r="AD1861" i="30"/>
  <c r="AD1875" i="30"/>
  <c r="AD1890" i="30"/>
  <c r="AD1904" i="30"/>
  <c r="AD1922" i="30"/>
  <c r="AD1933" i="30"/>
  <c r="AD1943" i="30"/>
  <c r="AD1959" i="30"/>
  <c r="AD1971" i="30"/>
  <c r="AD1985" i="30"/>
  <c r="AD1999" i="30"/>
  <c r="AD2013" i="30"/>
  <c r="AD2027" i="30"/>
  <c r="AD2042" i="30"/>
  <c r="AD2055" i="30"/>
  <c r="AD2069" i="30"/>
  <c r="AD2081" i="30"/>
  <c r="AD2095" i="30"/>
  <c r="AD2109" i="30"/>
  <c r="AD2124" i="30"/>
  <c r="AD2137" i="30"/>
  <c r="AD2149" i="30"/>
  <c r="AD2162" i="30"/>
  <c r="AD2172" i="30"/>
  <c r="AD2185" i="30"/>
  <c r="AD2193" i="30"/>
  <c r="AD2205" i="30"/>
  <c r="AD2219" i="30"/>
  <c r="AD2230" i="30"/>
  <c r="AD2238" i="30"/>
  <c r="AD2247" i="30"/>
  <c r="AD2261" i="30"/>
  <c r="AD2275" i="30"/>
  <c r="AD2295" i="30"/>
  <c r="AD2308" i="30"/>
  <c r="AD2319" i="30"/>
  <c r="AD2330" i="30"/>
  <c r="AD2340" i="30"/>
  <c r="AD2353" i="30"/>
  <c r="AD2364" i="30"/>
  <c r="AD2377" i="30"/>
  <c r="AD2392" i="30"/>
  <c r="AD2406" i="30"/>
  <c r="AD2416" i="30"/>
  <c r="AD2430" i="30"/>
  <c r="AD2442" i="30"/>
  <c r="AD2455" i="30"/>
  <c r="AD2469" i="30"/>
  <c r="AD2479" i="30"/>
  <c r="AD2491" i="30"/>
  <c r="AD2503" i="30"/>
  <c r="AD2514" i="30"/>
  <c r="AD2530" i="30"/>
  <c r="AD2543" i="30"/>
  <c r="AD2551" i="30"/>
  <c r="AD2559" i="30"/>
  <c r="AD2567" i="30"/>
  <c r="AD2575" i="30"/>
  <c r="AD2583" i="30"/>
  <c r="AD2591" i="30"/>
  <c r="AD2599" i="30"/>
  <c r="AD2607" i="30"/>
  <c r="AD2615" i="30"/>
  <c r="AD2623" i="30"/>
  <c r="AG30" i="30"/>
  <c r="AG1702" i="30"/>
  <c r="AG1943" i="30"/>
  <c r="AG2055" i="30"/>
  <c r="AG2162" i="30"/>
  <c r="AG2248" i="30"/>
  <c r="AG2355" i="30"/>
  <c r="AG2456" i="30"/>
  <c r="AG2552" i="30"/>
  <c r="AG2616" i="30"/>
  <c r="AG2680" i="30"/>
  <c r="AG2757" i="30"/>
  <c r="AG2846" i="30"/>
  <c r="AD78" i="30"/>
  <c r="AD181" i="30"/>
  <c r="AD265" i="30"/>
  <c r="AD346" i="30"/>
  <c r="AD436" i="30"/>
  <c r="AD533" i="30"/>
  <c r="AD627" i="30"/>
  <c r="AD709" i="30"/>
  <c r="AD808" i="30"/>
  <c r="AD826" i="30"/>
  <c r="AD836" i="30"/>
  <c r="AD849" i="30"/>
  <c r="AD863" i="30"/>
  <c r="AD877" i="30"/>
  <c r="AD889" i="30"/>
  <c r="AD899" i="30"/>
  <c r="AD907" i="30"/>
  <c r="AD915" i="30"/>
  <c r="AD923" i="30"/>
  <c r="AD931" i="30"/>
  <c r="AD939" i="30"/>
  <c r="AD947" i="30"/>
  <c r="AD955" i="30"/>
  <c r="AD963" i="30"/>
  <c r="AD971" i="30"/>
  <c r="AD979" i="30"/>
  <c r="AD987" i="30"/>
  <c r="AD995" i="30"/>
  <c r="AD1003" i="30"/>
  <c r="AD1011" i="30"/>
  <c r="AD1019" i="30"/>
  <c r="AD1027" i="30"/>
  <c r="AD1035" i="30"/>
  <c r="AD1044" i="30"/>
  <c r="AD1057" i="30"/>
  <c r="AD1069" i="30"/>
  <c r="AD1080" i="30"/>
  <c r="AD1090" i="30"/>
  <c r="AD1100" i="30"/>
  <c r="AD1112" i="30"/>
  <c r="AD1126" i="30"/>
  <c r="AD1136" i="30"/>
  <c r="AD1148" i="30"/>
  <c r="AD1164" i="30"/>
  <c r="AD1174" i="30"/>
  <c r="AD1182" i="30"/>
  <c r="AD1195" i="30"/>
  <c r="AD1215" i="30"/>
  <c r="AD1226" i="30"/>
  <c r="AD1237" i="30"/>
  <c r="AD1251" i="30"/>
  <c r="AD1260" i="30"/>
  <c r="AD1274" i="30"/>
  <c r="AD1302" i="30"/>
  <c r="AD1314" i="30"/>
  <c r="AD1330" i="30"/>
  <c r="AD1343" i="30"/>
  <c r="AD1358" i="30"/>
  <c r="AD1373" i="30"/>
  <c r="AD1381" i="30"/>
  <c r="AD1393" i="30"/>
  <c r="AD1406" i="30"/>
  <c r="AD1418" i="30"/>
  <c r="AD1432" i="30"/>
  <c r="AD1444" i="30"/>
  <c r="AD1457" i="30"/>
  <c r="AD1469" i="30"/>
  <c r="AD1483" i="30"/>
  <c r="AD1496" i="30"/>
  <c r="AD1508" i="30"/>
  <c r="AD1521" i="30"/>
  <c r="AD1537" i="30"/>
  <c r="AD1549" i="30"/>
  <c r="AD1565" i="30"/>
  <c r="AD1575" i="30"/>
  <c r="AD1587" i="30"/>
  <c r="AD1599" i="30"/>
  <c r="AD1613" i="30"/>
  <c r="AD1624" i="30"/>
  <c r="AD1637" i="30"/>
  <c r="AD1650" i="30"/>
  <c r="AD1661" i="30"/>
  <c r="AD1675" i="30"/>
  <c r="AD1685" i="30"/>
  <c r="AD1702" i="30"/>
  <c r="AD1716" i="30"/>
  <c r="AD1732" i="30"/>
  <c r="AD1746" i="30"/>
  <c r="AD1758" i="30"/>
  <c r="AD1780" i="30"/>
  <c r="AD1807" i="30"/>
  <c r="AD1821" i="30"/>
  <c r="AD1835" i="30"/>
  <c r="AD1849" i="30"/>
  <c r="AD1862" i="30"/>
  <c r="AD1876" i="30"/>
  <c r="AD1891" i="30"/>
  <c r="AD1905" i="30"/>
  <c r="AD1923" i="30"/>
  <c r="AD1934" i="30"/>
  <c r="AD1946" i="30"/>
  <c r="AD1960" i="30"/>
  <c r="AD1972" i="30"/>
  <c r="AD1988" i="30"/>
  <c r="AD2000" i="30"/>
  <c r="AD2014" i="30"/>
  <c r="AD2028" i="30"/>
  <c r="AD2044" i="30"/>
  <c r="AD2058" i="30"/>
  <c r="AD2072" i="30"/>
  <c r="AD2084" i="30"/>
  <c r="AD2096" i="30"/>
  <c r="AD2112" i="30"/>
  <c r="AD2125" i="30"/>
  <c r="AD2139" i="30"/>
  <c r="AD2150" i="30"/>
  <c r="AD2163" i="30"/>
  <c r="AD2173" i="30"/>
  <c r="AD2186" i="30"/>
  <c r="AD2194" i="30"/>
  <c r="AD2206" i="30"/>
  <c r="AD2220" i="30"/>
  <c r="AD2231" i="30"/>
  <c r="AD2239" i="30"/>
  <c r="AD2248" i="30"/>
  <c r="AD2262" i="30"/>
  <c r="AD2276" i="30"/>
  <c r="AD2296" i="30"/>
  <c r="AD2311" i="30"/>
  <c r="AD2322" i="30"/>
  <c r="AD2333" i="30"/>
  <c r="AD2341" i="30"/>
  <c r="AD2355" i="30"/>
  <c r="AD2365" i="30"/>
  <c r="AD2378" i="30"/>
  <c r="AD2395" i="30"/>
  <c r="AD2409" i="30"/>
  <c r="AD2419" i="30"/>
  <c r="AD2433" i="30"/>
  <c r="AD2444" i="30"/>
  <c r="AD2456" i="30"/>
  <c r="AD2470" i="30"/>
  <c r="AD2480" i="30"/>
  <c r="AD2492" i="30"/>
  <c r="AD2504" i="30"/>
  <c r="AD2517" i="30"/>
  <c r="AD2531" i="30"/>
  <c r="AD2544" i="30"/>
  <c r="AD2552" i="30"/>
  <c r="AD2560" i="30"/>
  <c r="AD2568" i="30"/>
  <c r="AD2576" i="30"/>
  <c r="AD2584" i="30"/>
  <c r="AD2592" i="30"/>
  <c r="AD2600" i="30"/>
  <c r="AD2608" i="30"/>
  <c r="AD2616" i="30"/>
  <c r="AD2624" i="30"/>
  <c r="AG381" i="30"/>
  <c r="AG1814" i="30"/>
  <c r="AG1959" i="30"/>
  <c r="AG2069" i="30"/>
  <c r="AG2172" i="30"/>
  <c r="AG2262" i="30"/>
  <c r="AG2365" i="30"/>
  <c r="AG2470" i="30"/>
  <c r="AG2560" i="30"/>
  <c r="AG2624" i="30"/>
  <c r="AG2688" i="30"/>
  <c r="AG2767" i="30"/>
  <c r="AG2858" i="30"/>
  <c r="AD90" i="30"/>
  <c r="AD191" i="30"/>
  <c r="AD276" i="30"/>
  <c r="AD354" i="30"/>
  <c r="AD446" i="30"/>
  <c r="AD547" i="30"/>
  <c r="AD639" i="30"/>
  <c r="AD721" i="30"/>
  <c r="AD816" i="30"/>
  <c r="AD827" i="30"/>
  <c r="AD837" i="30"/>
  <c r="AD850" i="30"/>
  <c r="AD866" i="30"/>
  <c r="AD878" i="30"/>
  <c r="AD890" i="30"/>
  <c r="AD900" i="30"/>
  <c r="AD908" i="30"/>
  <c r="AD916" i="30"/>
  <c r="AD924" i="30"/>
  <c r="AD932" i="30"/>
  <c r="AD940" i="30"/>
  <c r="AD948" i="30"/>
  <c r="AD956" i="30"/>
  <c r="AD964" i="30"/>
  <c r="AD972" i="30"/>
  <c r="AD980" i="30"/>
  <c r="AD988" i="30"/>
  <c r="AD996" i="30"/>
  <c r="AD1004" i="30"/>
  <c r="AD1012" i="30"/>
  <c r="AD1020" i="30"/>
  <c r="AD1028" i="30"/>
  <c r="AD1036" i="30"/>
  <c r="AD1047" i="30"/>
  <c r="AD1060" i="30"/>
  <c r="AD1070" i="30"/>
  <c r="AD1081" i="30"/>
  <c r="AD1093" i="30"/>
  <c r="AD1103" i="30"/>
  <c r="AD1113" i="30"/>
  <c r="AD1127" i="30"/>
  <c r="AD1137" i="30"/>
  <c r="AD1149" i="30"/>
  <c r="AD1165" i="30"/>
  <c r="AD1175" i="30"/>
  <c r="AD1183" i="30"/>
  <c r="AD1196" i="30"/>
  <c r="AD1217" i="30"/>
  <c r="AD1227" i="30"/>
  <c r="AD1240" i="30"/>
  <c r="AD1252" i="30"/>
  <c r="AD1263" i="30"/>
  <c r="AD1275" i="30"/>
  <c r="AD1303" i="30"/>
  <c r="AD1317" i="30"/>
  <c r="AD1332" i="30"/>
  <c r="AD1344" i="30"/>
  <c r="AD1359" i="30"/>
  <c r="AD1374" i="30"/>
  <c r="AD1382" i="30"/>
  <c r="AD1394" i="30"/>
  <c r="AD1407" i="30"/>
  <c r="AD1419" i="30"/>
  <c r="AD1433" i="30"/>
  <c r="AD1445" i="30"/>
  <c r="AD1458" i="30"/>
  <c r="AD1470" i="30"/>
  <c r="AD1484" i="30"/>
  <c r="AD1498" i="30"/>
  <c r="AD1510" i="30"/>
  <c r="AD1524" i="30"/>
  <c r="AD1538" i="30"/>
  <c r="AD1550" i="30"/>
  <c r="AD1566" i="30"/>
  <c r="AD1578" i="30"/>
  <c r="AD1588" i="30"/>
  <c r="AD1602" i="30"/>
  <c r="AD1614" i="30"/>
  <c r="AD1625" i="30"/>
  <c r="AD1638" i="30"/>
  <c r="AD1651" i="30"/>
  <c r="AD1662" i="30"/>
  <c r="AD1676" i="30"/>
  <c r="AD1686" i="30"/>
  <c r="AD1705" i="30"/>
  <c r="AD1719" i="30"/>
  <c r="AD1736" i="30"/>
  <c r="AD1747" i="30"/>
  <c r="AD1764" i="30"/>
  <c r="AD1781" i="30"/>
  <c r="AD1808" i="30"/>
  <c r="AD1822" i="30"/>
  <c r="AD1836" i="30"/>
  <c r="AD1850" i="30"/>
  <c r="AD1865" i="30"/>
  <c r="AD1877" i="30"/>
  <c r="AD1893" i="30"/>
  <c r="AD1908" i="30"/>
  <c r="AD1925" i="30"/>
  <c r="AD1935" i="30"/>
  <c r="AD1947" i="30"/>
  <c r="AD1961" i="30"/>
  <c r="AD1973" i="30"/>
  <c r="AD1989" i="30"/>
  <c r="AD2003" i="30"/>
  <c r="AD2017" i="30"/>
  <c r="AD2031" i="30"/>
  <c r="AD2046" i="30"/>
  <c r="AD2059" i="30"/>
  <c r="AD2073" i="30"/>
  <c r="AD2085" i="30"/>
  <c r="AD2097" i="30"/>
  <c r="AD2113" i="30"/>
  <c r="AD2127" i="30"/>
  <c r="AD2140" i="30"/>
  <c r="AG752" i="30"/>
  <c r="AG1846" i="30"/>
  <c r="AG1971" i="30"/>
  <c r="AG2081" i="30"/>
  <c r="AG2185" i="30"/>
  <c r="AG2276" i="30"/>
  <c r="AG2378" i="30"/>
  <c r="AG2480" i="30"/>
  <c r="AG2568" i="30"/>
  <c r="AG2632" i="30"/>
  <c r="AG2696" i="30"/>
  <c r="AG2778" i="30"/>
  <c r="AD10" i="30"/>
  <c r="AD103" i="30"/>
  <c r="AD205" i="30"/>
  <c r="AD287" i="30"/>
  <c r="AD362" i="30"/>
  <c r="AD457" i="30"/>
  <c r="AD556" i="30"/>
  <c r="AD650" i="30"/>
  <c r="AD734" i="30"/>
  <c r="AD817" i="30"/>
  <c r="AD828" i="30"/>
  <c r="AD838" i="30"/>
  <c r="AD853" i="30"/>
  <c r="AD867" i="30"/>
  <c r="AD881" i="30"/>
  <c r="AD893" i="30"/>
  <c r="AD901" i="30"/>
  <c r="AD909" i="30"/>
  <c r="AD917" i="30"/>
  <c r="AD925" i="30"/>
  <c r="AD933" i="30"/>
  <c r="AD941" i="30"/>
  <c r="AD949" i="30"/>
  <c r="AD957" i="30"/>
  <c r="AD965" i="30"/>
  <c r="AD973" i="30"/>
  <c r="AD981" i="30"/>
  <c r="AD989" i="30"/>
  <c r="AD997" i="30"/>
  <c r="AD1005" i="30"/>
  <c r="AD1013" i="30"/>
  <c r="AD1021" i="30"/>
  <c r="AD1029" i="30"/>
  <c r="AD1037" i="30"/>
  <c r="AD1048" i="30"/>
  <c r="AD1061" i="30"/>
  <c r="AD1071" i="30"/>
  <c r="AD1082" i="30"/>
  <c r="AD1094" i="30"/>
  <c r="AD1104" i="30"/>
  <c r="AD1116" i="30"/>
  <c r="AD1128" i="30"/>
  <c r="AD1139" i="30"/>
  <c r="AG1069" i="30"/>
  <c r="AG1866" i="30"/>
  <c r="AG1985" i="30"/>
  <c r="AG2095" i="30"/>
  <c r="AG2193" i="30"/>
  <c r="AG2296" i="30"/>
  <c r="AG2395" i="30"/>
  <c r="AG2492" i="30"/>
  <c r="AG2576" i="30"/>
  <c r="AG2640" i="30"/>
  <c r="AG2704" i="30"/>
  <c r="AG2790" i="30"/>
  <c r="AD22" i="30"/>
  <c r="AD117" i="30"/>
  <c r="AD216" i="30"/>
  <c r="AD299" i="30"/>
  <c r="AD371" i="30"/>
  <c r="AD474" i="30"/>
  <c r="AD568" i="30"/>
  <c r="AD663" i="30"/>
  <c r="AD746" i="30"/>
  <c r="AD818" i="30"/>
  <c r="AD829" i="30"/>
  <c r="AD839" i="30"/>
  <c r="AD854" i="30"/>
  <c r="AD870" i="30"/>
  <c r="AD882" i="30"/>
  <c r="AD894" i="30"/>
  <c r="AD902" i="30"/>
  <c r="AD910" i="30"/>
  <c r="AD918" i="30"/>
  <c r="AD926" i="30"/>
  <c r="AD934" i="30"/>
  <c r="AD942" i="30"/>
  <c r="AD950" i="30"/>
  <c r="AD958" i="30"/>
  <c r="AD966" i="30"/>
  <c r="AD974" i="30"/>
  <c r="AD982" i="30"/>
  <c r="AD990" i="30"/>
  <c r="AD998" i="30"/>
  <c r="AD1006" i="30"/>
  <c r="AD1014" i="30"/>
  <c r="AD1022" i="30"/>
  <c r="AD1030" i="30"/>
  <c r="AD1038" i="30"/>
  <c r="AD1050" i="30"/>
  <c r="AD1062" i="30"/>
  <c r="AD1072" i="30"/>
  <c r="AD1085" i="30"/>
  <c r="AD1095" i="30"/>
  <c r="AD1105" i="30"/>
  <c r="AD1117" i="30"/>
  <c r="AD1129" i="30"/>
  <c r="AD1140" i="30"/>
  <c r="AD1155" i="30"/>
  <c r="AD1169" i="30"/>
  <c r="AD1177" i="30"/>
  <c r="AD1186" i="30"/>
  <c r="AD1204" i="30"/>
  <c r="AD1221" i="30"/>
  <c r="AD1230" i="30"/>
  <c r="AD1242" i="30"/>
  <c r="AD1254" i="30"/>
  <c r="AD1267" i="30"/>
  <c r="AD1279" i="30"/>
  <c r="AD1305" i="30"/>
  <c r="AD1321" i="30"/>
  <c r="AD1336" i="30"/>
  <c r="AD1348" i="30"/>
  <c r="AD1365" i="30"/>
  <c r="AD1376" i="30"/>
  <c r="AD1386" i="30"/>
  <c r="AD1397" i="30"/>
  <c r="AD1411" i="30"/>
  <c r="AD1423" i="30"/>
  <c r="AD1435" i="30"/>
  <c r="AD1448" i="30"/>
  <c r="AD1462" i="30"/>
  <c r="AD1474" i="30"/>
  <c r="AD1486" i="30"/>
  <c r="AD1500" i="30"/>
  <c r="AD1514" i="30"/>
  <c r="AD1528" i="30"/>
  <c r="AD1540" i="30"/>
  <c r="AD1554" i="30"/>
  <c r="AD1568" i="30"/>
  <c r="AD1582" i="30"/>
  <c r="AD1590" i="30"/>
  <c r="AD1606" i="30"/>
  <c r="AD1617" i="30"/>
  <c r="AD1629" i="30"/>
  <c r="AD1640" i="30"/>
  <c r="AD1654" i="30"/>
  <c r="AD1664" i="30"/>
  <c r="AD1678" i="30"/>
  <c r="AD1690" i="30"/>
  <c r="AD1707" i="30"/>
  <c r="AD1723" i="30"/>
  <c r="AD1738" i="30"/>
  <c r="AD1749" i="30"/>
  <c r="AD1768" i="30"/>
  <c r="AD1783" i="30"/>
  <c r="AD1812" i="30"/>
  <c r="AD1826" i="30"/>
  <c r="AD1840" i="30"/>
  <c r="AD1853" i="30"/>
  <c r="AD1869" i="30"/>
  <c r="AD1884" i="30"/>
  <c r="AD1896" i="30"/>
  <c r="AD1914" i="30"/>
  <c r="AD1929" i="30"/>
  <c r="AD1937" i="30"/>
  <c r="AD1951" i="30"/>
  <c r="AD1965" i="30"/>
  <c r="AD1978" i="30"/>
  <c r="AD1993" i="30"/>
  <c r="AD2005" i="30"/>
  <c r="AD2019" i="30"/>
  <c r="AD2035" i="30"/>
  <c r="AD2049" i="30"/>
  <c r="AD2064" i="30"/>
  <c r="AD2077" i="30"/>
  <c r="AD2088" i="30"/>
  <c r="AD2103" i="30"/>
  <c r="AD2117" i="30"/>
  <c r="AD2131" i="30"/>
  <c r="AD2144" i="30"/>
  <c r="AD2155" i="30"/>
  <c r="AD2166" i="30"/>
  <c r="AD2178" i="30"/>
  <c r="AD2189" i="30"/>
  <c r="AD2199" i="30"/>
  <c r="AD2212" i="30"/>
  <c r="AD2226" i="30"/>
  <c r="AD2234" i="30"/>
  <c r="AD2242" i="30"/>
  <c r="AD2255" i="30"/>
  <c r="AD2269" i="30"/>
  <c r="AD2283" i="30"/>
  <c r="AD2301" i="30"/>
  <c r="AD2314" i="30"/>
  <c r="AD2325" i="30"/>
  <c r="AD2336" i="30"/>
  <c r="AD2347" i="30"/>
  <c r="AD2360" i="30"/>
  <c r="AD2370" i="30"/>
  <c r="AD2386" i="30"/>
  <c r="AD2398" i="30"/>
  <c r="AD2412" i="30"/>
  <c r="AD2424" i="30"/>
  <c r="AD2438" i="30"/>
  <c r="AD2449" i="30"/>
  <c r="AD2461" i="30"/>
  <c r="AD2473" i="30"/>
  <c r="AD2485" i="30"/>
  <c r="AD2499" i="30"/>
  <c r="AD2508" i="30"/>
  <c r="AD2524" i="30"/>
  <c r="AD2536" i="30"/>
  <c r="AD2547" i="30"/>
  <c r="AD2555" i="30"/>
  <c r="AD2563" i="30"/>
  <c r="AD2571" i="30"/>
  <c r="AD2579" i="30"/>
  <c r="AD2587" i="30"/>
  <c r="AD2595" i="30"/>
  <c r="AD2603" i="30"/>
  <c r="AD2611" i="30"/>
  <c r="AD2619" i="30"/>
  <c r="AG1296" i="30"/>
  <c r="AG1884" i="30"/>
  <c r="AG1999" i="30"/>
  <c r="AG2109" i="30"/>
  <c r="AG2206" i="30"/>
  <c r="AG2311" i="30"/>
  <c r="AG2409" i="30"/>
  <c r="AG2504" i="30"/>
  <c r="AG2584" i="30"/>
  <c r="AG2648" i="30"/>
  <c r="AG2714" i="30"/>
  <c r="AG2802" i="30"/>
  <c r="AD34" i="30"/>
  <c r="AD131" i="30"/>
  <c r="AD226" i="30"/>
  <c r="AD312" i="30"/>
  <c r="AD385" i="30"/>
  <c r="AD484" i="30"/>
  <c r="AD580" i="30"/>
  <c r="AD675" i="30"/>
  <c r="AD758" i="30"/>
  <c r="AD819" i="30"/>
  <c r="AD830" i="30"/>
  <c r="AD842" i="30"/>
  <c r="AD857" i="30"/>
  <c r="AD871" i="30"/>
  <c r="AD883" i="30"/>
  <c r="AD895" i="30"/>
  <c r="AD903" i="30"/>
  <c r="AD911" i="30"/>
  <c r="AD919" i="30"/>
  <c r="AD927" i="30"/>
  <c r="AD935" i="30"/>
  <c r="AD943" i="30"/>
  <c r="AD951" i="30"/>
  <c r="AD959" i="30"/>
  <c r="AD967" i="30"/>
  <c r="AD975" i="30"/>
  <c r="AD983" i="30"/>
  <c r="AD991" i="30"/>
  <c r="AD999" i="30"/>
  <c r="AD1007" i="30"/>
  <c r="AD1015" i="30"/>
  <c r="AD1023" i="30"/>
  <c r="AD1031" i="30"/>
  <c r="AD1039" i="30"/>
  <c r="AD1052" i="30"/>
  <c r="AD1063" i="30"/>
  <c r="AD1073" i="30"/>
  <c r="AD1086" i="30"/>
  <c r="AD1096" i="30"/>
  <c r="AD1108" i="30"/>
  <c r="AD1120" i="30"/>
  <c r="AD1130" i="30"/>
  <c r="AD1143" i="30"/>
  <c r="AD1156" i="30"/>
  <c r="AD1170" i="30"/>
  <c r="AD1178" i="30"/>
  <c r="AD1187" i="30"/>
  <c r="AD1205" i="30"/>
  <c r="AD1222" i="30"/>
  <c r="AD1231" i="30"/>
  <c r="AD1245" i="30"/>
  <c r="AD1256" i="30"/>
  <c r="AD1268" i="30"/>
  <c r="AD1298" i="30"/>
  <c r="AD1308" i="30"/>
  <c r="AD1322" i="30"/>
  <c r="AD1337" i="30"/>
  <c r="AD1351" i="30"/>
  <c r="AD1366" i="30"/>
  <c r="AD1377" i="30"/>
  <c r="AD1387" i="30"/>
  <c r="AD1398" i="30"/>
  <c r="AD1412" i="30"/>
  <c r="AD1424" i="30"/>
  <c r="AD1436" i="30"/>
  <c r="AD1449" i="30"/>
  <c r="AD1463" i="30"/>
  <c r="AD1475" i="30"/>
  <c r="AD1487" i="30"/>
  <c r="AD1501" i="30"/>
  <c r="AD1515" i="30"/>
  <c r="AD1529" i="30"/>
  <c r="AD1543" i="30"/>
  <c r="AD1557" i="30"/>
  <c r="AD1569" i="30"/>
  <c r="AD1583" i="30"/>
  <c r="AD1591" i="30"/>
  <c r="AD1607" i="30"/>
  <c r="AD1618" i="30"/>
  <c r="AD1631" i="30"/>
  <c r="AD1641" i="30"/>
  <c r="AD1655" i="30"/>
  <c r="AD1667" i="30"/>
  <c r="AD1679" i="30"/>
  <c r="AD1691" i="30"/>
  <c r="AD1708" i="30"/>
  <c r="AD1724" i="30"/>
  <c r="AD1739" i="30"/>
  <c r="AD1752" i="30"/>
  <c r="AD1769" i="30"/>
  <c r="AD1785" i="30"/>
  <c r="AD1814" i="30"/>
  <c r="AD1829" i="30"/>
  <c r="AD1841" i="30"/>
  <c r="AD1854" i="30"/>
  <c r="AD1870" i="30"/>
  <c r="AD1887" i="30"/>
  <c r="AD1897" i="30"/>
  <c r="AD1917" i="30"/>
  <c r="AD1930" i="30"/>
  <c r="AD1940" i="30"/>
  <c r="AD1954" i="30"/>
  <c r="AD1966" i="30"/>
  <c r="AD1980" i="30"/>
  <c r="AD1994" i="30"/>
  <c r="AD2006" i="30"/>
  <c r="AD2022" i="30"/>
  <c r="AD2036" i="30"/>
  <c r="AD2052" i="30"/>
  <c r="AD2065" i="30"/>
  <c r="AD2078" i="30"/>
  <c r="AD2089" i="30"/>
  <c r="AD2104" i="30"/>
  <c r="AD2118" i="30"/>
  <c r="AD2132" i="30"/>
  <c r="AD2145" i="30"/>
  <c r="AD2157" i="30"/>
  <c r="AD2169" i="30"/>
  <c r="AD2180" i="30"/>
  <c r="AD2190" i="30"/>
  <c r="AD2200" i="30"/>
  <c r="AD2215" i="30"/>
  <c r="AD2227" i="30"/>
  <c r="AD2235" i="30"/>
  <c r="AD2243" i="30"/>
  <c r="AD2256" i="30"/>
  <c r="AD2270" i="30"/>
  <c r="AD2284" i="30"/>
  <c r="AD2303" i="30"/>
  <c r="AD2315" i="30"/>
  <c r="AD2326" i="30"/>
  <c r="AD2337" i="30"/>
  <c r="AD2348" i="30"/>
  <c r="AD2361" i="30"/>
  <c r="AD2371" i="30"/>
  <c r="AD2387" i="30"/>
  <c r="AD2401" i="30"/>
  <c r="AD2413" i="30"/>
  <c r="AD2425" i="30"/>
  <c r="AD2439" i="30"/>
  <c r="AD2450" i="30"/>
  <c r="AD2464" i="30"/>
  <c r="AD2474" i="30"/>
  <c r="AD2486" i="30"/>
  <c r="AD2500" i="30"/>
  <c r="AD2509" i="30"/>
  <c r="AD2527" i="30"/>
  <c r="AD2537" i="30"/>
  <c r="AD2548" i="30"/>
  <c r="AD2556" i="30"/>
  <c r="AD2564" i="30"/>
  <c r="AD2572" i="30"/>
  <c r="AD2580" i="30"/>
  <c r="AD2588" i="30"/>
  <c r="AD2596" i="30"/>
  <c r="AD2604" i="30"/>
  <c r="AD2612" i="30"/>
  <c r="AD2620" i="30"/>
  <c r="AG2517" i="30"/>
  <c r="AD322" i="30"/>
  <c r="AD843" i="30"/>
  <c r="AD928" i="30"/>
  <c r="AD992" i="30"/>
  <c r="AD1066" i="30"/>
  <c r="AD1152" i="30"/>
  <c r="AD1199" i="30"/>
  <c r="AD1253" i="30"/>
  <c r="AD1318" i="30"/>
  <c r="AD1375" i="30"/>
  <c r="AD1420" i="30"/>
  <c r="AD1471" i="30"/>
  <c r="AD1525" i="30"/>
  <c r="AD1579" i="30"/>
  <c r="AD1628" i="30"/>
  <c r="AD1677" i="30"/>
  <c r="AD1737" i="30"/>
  <c r="AD1809" i="30"/>
  <c r="AD1866" i="30"/>
  <c r="AD1926" i="30"/>
  <c r="AD1976" i="30"/>
  <c r="AD2033" i="30"/>
  <c r="AD2086" i="30"/>
  <c r="AD2143" i="30"/>
  <c r="AD2176" i="30"/>
  <c r="AD2203" i="30"/>
  <c r="AD2233" i="30"/>
  <c r="AD2265" i="30"/>
  <c r="AD2306" i="30"/>
  <c r="AD2335" i="30"/>
  <c r="AD2366" i="30"/>
  <c r="AD2402" i="30"/>
  <c r="AD2437" i="30"/>
  <c r="AD2471" i="30"/>
  <c r="AD2501" i="30"/>
  <c r="AD2534" i="30"/>
  <c r="AD2561" i="30"/>
  <c r="AD2581" i="30"/>
  <c r="AD2602" i="30"/>
  <c r="AD2625" i="30"/>
  <c r="AD2633" i="30"/>
  <c r="AD2641" i="30"/>
  <c r="AD2649" i="30"/>
  <c r="AD2657" i="30"/>
  <c r="AD2665" i="30"/>
  <c r="AD2673" i="30"/>
  <c r="AD2681" i="30"/>
  <c r="AD2689" i="30"/>
  <c r="AD2697" i="30"/>
  <c r="AD2705" i="30"/>
  <c r="AD2715" i="30"/>
  <c r="AD2726" i="30"/>
  <c r="AD2736" i="30"/>
  <c r="AD2746" i="30"/>
  <c r="AD2758" i="30"/>
  <c r="AD2769" i="30"/>
  <c r="AD2779" i="30"/>
  <c r="AD2793" i="30"/>
  <c r="AD2803" i="30"/>
  <c r="AD2815" i="30"/>
  <c r="AD2825" i="30"/>
  <c r="AD2835" i="30"/>
  <c r="AD2847" i="30"/>
  <c r="AD2859" i="30"/>
  <c r="AA13" i="30"/>
  <c r="AA26" i="30"/>
  <c r="AA36" i="30"/>
  <c r="AA47" i="30"/>
  <c r="AA56" i="30"/>
  <c r="AA70" i="30"/>
  <c r="AA82" i="30"/>
  <c r="AA94" i="30"/>
  <c r="AA107" i="30"/>
  <c r="AA121" i="30"/>
  <c r="AA135" i="30"/>
  <c r="AA148" i="30"/>
  <c r="AA163" i="30"/>
  <c r="AA174" i="30"/>
  <c r="AA183" i="30"/>
  <c r="AA195" i="30"/>
  <c r="AA207" i="30"/>
  <c r="AA218" i="30"/>
  <c r="AA228" i="30"/>
  <c r="AA238" i="30"/>
  <c r="AA247" i="30"/>
  <c r="AA257" i="30"/>
  <c r="AA267" i="30"/>
  <c r="AA280" i="30"/>
  <c r="AA289" i="30"/>
  <c r="AA301" i="30"/>
  <c r="AA314" i="30"/>
  <c r="AA324" i="30"/>
  <c r="AA332" i="30"/>
  <c r="AA340" i="30"/>
  <c r="AA348" i="30"/>
  <c r="AA356" i="30"/>
  <c r="AA364" i="30"/>
  <c r="AA375" i="30"/>
  <c r="AA387" i="30"/>
  <c r="AA400" i="30"/>
  <c r="AA410" i="30"/>
  <c r="AA421" i="30"/>
  <c r="AA435" i="30"/>
  <c r="AA445" i="30"/>
  <c r="AA457" i="30"/>
  <c r="AA470" i="30"/>
  <c r="AA482" i="30"/>
  <c r="AA493" i="30"/>
  <c r="AA505" i="30"/>
  <c r="AA518" i="30"/>
  <c r="AA530" i="30"/>
  <c r="AA543" i="30"/>
  <c r="AA553" i="30"/>
  <c r="AA564" i="30"/>
  <c r="AA578" i="30"/>
  <c r="AA587" i="30"/>
  <c r="AA600" i="30"/>
  <c r="AA613" i="30"/>
  <c r="AA625" i="30"/>
  <c r="AA637" i="30"/>
  <c r="AA648" i="30"/>
  <c r="AA659" i="30"/>
  <c r="AA673" i="30"/>
  <c r="AA681" i="30"/>
  <c r="AA689" i="30"/>
  <c r="AA697" i="30"/>
  <c r="AA707" i="30"/>
  <c r="AA719" i="30"/>
  <c r="AA731" i="30"/>
  <c r="AA742" i="30"/>
  <c r="AA756" i="30"/>
  <c r="AA766" i="30"/>
  <c r="AA781" i="30"/>
  <c r="AA795" i="30"/>
  <c r="AA805" i="30"/>
  <c r="AA817" i="30"/>
  <c r="AA828" i="30"/>
  <c r="AA838" i="30"/>
  <c r="AA853" i="30"/>
  <c r="AA867" i="30"/>
  <c r="AA881" i="30"/>
  <c r="AA893" i="30"/>
  <c r="AA901" i="30"/>
  <c r="AA909" i="30"/>
  <c r="AA917" i="30"/>
  <c r="AA925" i="30"/>
  <c r="AA933" i="30"/>
  <c r="AA941" i="30"/>
  <c r="AA949" i="30"/>
  <c r="AA957" i="30"/>
  <c r="AA965" i="30"/>
  <c r="AA973" i="30"/>
  <c r="AA981" i="30"/>
  <c r="AA989" i="30"/>
  <c r="AA997" i="30"/>
  <c r="AA1005" i="30"/>
  <c r="AA1013" i="30"/>
  <c r="AA1021" i="30"/>
  <c r="AA1029" i="30"/>
  <c r="AA1037" i="30"/>
  <c r="AA1048" i="30"/>
  <c r="AA1061" i="30"/>
  <c r="AA1071" i="30"/>
  <c r="AA1082" i="30"/>
  <c r="AA1094" i="30"/>
  <c r="AA1104" i="30"/>
  <c r="AA1116" i="30"/>
  <c r="AA1129" i="30"/>
  <c r="AA1140" i="30"/>
  <c r="AG1395" i="30"/>
  <c r="AG2592" i="30"/>
  <c r="AD396" i="30"/>
  <c r="AD858" i="30"/>
  <c r="AD936" i="30"/>
  <c r="AD1000" i="30"/>
  <c r="AD1075" i="30"/>
  <c r="AD1159" i="30"/>
  <c r="AD1210" i="30"/>
  <c r="AD1257" i="30"/>
  <c r="AD1325" i="30"/>
  <c r="AD1378" i="30"/>
  <c r="AD1427" i="30"/>
  <c r="AD1478" i="30"/>
  <c r="AD1532" i="30"/>
  <c r="AD1584" i="30"/>
  <c r="AD1632" i="30"/>
  <c r="AD1681" i="30"/>
  <c r="AD1741" i="30"/>
  <c r="AD1816" i="30"/>
  <c r="AD1873" i="30"/>
  <c r="AD1931" i="30"/>
  <c r="AD1981" i="30"/>
  <c r="AD2039" i="30"/>
  <c r="AD2092" i="30"/>
  <c r="AD2147" i="30"/>
  <c r="AD2177" i="30"/>
  <c r="AD2209" i="30"/>
  <c r="AD2236" i="30"/>
  <c r="AD2266" i="30"/>
  <c r="AD2312" i="30"/>
  <c r="AD2338" i="30"/>
  <c r="AD2369" i="30"/>
  <c r="AD2410" i="30"/>
  <c r="AD2440" i="30"/>
  <c r="AD2472" i="30"/>
  <c r="AD2505" i="30"/>
  <c r="AD2539" i="30"/>
  <c r="AD2562" i="30"/>
  <c r="AD2585" i="30"/>
  <c r="AD2605" i="30"/>
  <c r="AD2626" i="30"/>
  <c r="AD2634" i="30"/>
  <c r="AD2642" i="30"/>
  <c r="AD2650" i="30"/>
  <c r="AD2658" i="30"/>
  <c r="AD2666" i="30"/>
  <c r="AD2674" i="30"/>
  <c r="AD2682" i="30"/>
  <c r="AD2690" i="30"/>
  <c r="AD2698" i="30"/>
  <c r="AD2706" i="30"/>
  <c r="AD2716" i="30"/>
  <c r="AD2727" i="30"/>
  <c r="AD2737" i="30"/>
  <c r="AD2747" i="30"/>
  <c r="AD2761" i="30"/>
  <c r="AD2770" i="30"/>
  <c r="AD2780" i="30"/>
  <c r="AD2794" i="30"/>
  <c r="AD2804" i="30"/>
  <c r="AD2816" i="30"/>
  <c r="AD2826" i="30"/>
  <c r="AD2836" i="30"/>
  <c r="AD2848" i="30"/>
  <c r="AA3" i="30"/>
  <c r="AA16" i="30"/>
  <c r="AA27" i="30"/>
  <c r="AA37" i="30"/>
  <c r="AA48" i="30"/>
  <c r="AA59" i="30"/>
  <c r="AA73" i="30"/>
  <c r="AA83" i="30"/>
  <c r="AA95" i="30"/>
  <c r="AA108" i="30"/>
  <c r="AA122" i="30"/>
  <c r="AA136" i="30"/>
  <c r="AA149" i="30"/>
  <c r="AA164" i="30"/>
  <c r="AA175" i="30"/>
  <c r="AA184" i="30"/>
  <c r="AA196" i="30"/>
  <c r="AA210" i="30"/>
  <c r="AA219" i="30"/>
  <c r="AA229" i="30"/>
  <c r="AA239" i="30"/>
  <c r="AA248" i="30"/>
  <c r="AA258" i="30"/>
  <c r="AA268" i="30"/>
  <c r="AA281" i="30"/>
  <c r="AA290" i="30"/>
  <c r="AA302" i="30"/>
  <c r="AA315" i="30"/>
  <c r="AA325" i="30"/>
  <c r="AA333" i="30"/>
  <c r="AA341" i="30"/>
  <c r="AA349" i="30"/>
  <c r="AA357" i="30"/>
  <c r="AA365" i="30"/>
  <c r="AA378" i="30"/>
  <c r="AA389" i="30"/>
  <c r="AA402" i="30"/>
  <c r="AA412" i="30"/>
  <c r="AA423" i="30"/>
  <c r="AA436" i="30"/>
  <c r="AA446" i="30"/>
  <c r="AA458" i="30"/>
  <c r="AA473" i="30"/>
  <c r="AA483" i="30"/>
  <c r="AA494" i="30"/>
  <c r="AA508" i="30"/>
  <c r="AA519" i="30"/>
  <c r="AA532" i="30"/>
  <c r="AA544" i="30"/>
  <c r="AA555" i="30"/>
  <c r="AA567" i="30"/>
  <c r="AA579" i="30"/>
  <c r="AA588" i="30"/>
  <c r="AA605" i="30"/>
  <c r="AA614" i="30"/>
  <c r="AA626" i="30"/>
  <c r="AA638" i="30"/>
  <c r="AA649" i="30"/>
  <c r="AA662" i="30"/>
  <c r="AA674" i="30"/>
  <c r="AA682" i="30"/>
  <c r="AA690" i="30"/>
  <c r="AA698" i="30"/>
  <c r="AA708" i="30"/>
  <c r="AA720" i="30"/>
  <c r="AA732" i="30"/>
  <c r="AA743" i="30"/>
  <c r="AA757" i="30"/>
  <c r="AA767" i="30"/>
  <c r="AA782" i="30"/>
  <c r="AA796" i="30"/>
  <c r="AA807" i="30"/>
  <c r="AA818" i="30"/>
  <c r="AA829" i="30"/>
  <c r="AA839" i="30"/>
  <c r="AA854" i="30"/>
  <c r="AA870" i="30"/>
  <c r="AA882" i="30"/>
  <c r="AA894" i="30"/>
  <c r="AA902" i="30"/>
  <c r="AA910" i="30"/>
  <c r="AA918" i="30"/>
  <c r="AA926" i="30"/>
  <c r="AA934" i="30"/>
  <c r="AA942" i="30"/>
  <c r="AA950" i="30"/>
  <c r="AA958" i="30"/>
  <c r="AA966" i="30"/>
  <c r="AA974" i="30"/>
  <c r="AA982" i="30"/>
  <c r="AA990" i="30"/>
  <c r="AA998" i="30"/>
  <c r="AA1006" i="30"/>
  <c r="AA1014" i="30"/>
  <c r="AA1022" i="30"/>
  <c r="AA1030" i="30"/>
  <c r="AA1038" i="30"/>
  <c r="AA1050" i="30"/>
  <c r="AA1062" i="30"/>
  <c r="AA1072" i="30"/>
  <c r="AA1085" i="30"/>
  <c r="AA1095" i="30"/>
  <c r="AA1105" i="30"/>
  <c r="AA1117" i="30"/>
  <c r="AA1130" i="30"/>
  <c r="AA1143" i="30"/>
  <c r="AG1902" i="30"/>
  <c r="AG2656" i="30"/>
  <c r="AD495" i="30"/>
  <c r="AD874" i="30"/>
  <c r="AD944" i="30"/>
  <c r="AD1008" i="30"/>
  <c r="AD1087" i="30"/>
  <c r="AD1166" i="30"/>
  <c r="AD1218" i="30"/>
  <c r="AD1264" i="30"/>
  <c r="AD1333" i="30"/>
  <c r="AD1385" i="30"/>
  <c r="AD1434" i="30"/>
  <c r="AD1485" i="30"/>
  <c r="AD1539" i="30"/>
  <c r="AD1589" i="30"/>
  <c r="AD1639" i="30"/>
  <c r="AD1689" i="30"/>
  <c r="AD1748" i="30"/>
  <c r="AD1825" i="30"/>
  <c r="AD1883" i="30"/>
  <c r="AD1936" i="30"/>
  <c r="AD1992" i="30"/>
  <c r="AD2048" i="30"/>
  <c r="AD2100" i="30"/>
  <c r="AD2153" i="30"/>
  <c r="AD2182" i="30"/>
  <c r="AD2211" i="30"/>
  <c r="AD2240" i="30"/>
  <c r="AD2273" i="30"/>
  <c r="AD2313" i="30"/>
  <c r="AD2343" i="30"/>
  <c r="AD2372" i="30"/>
  <c r="AD2411" i="30"/>
  <c r="AD2445" i="30"/>
  <c r="AD2476" i="30"/>
  <c r="AD2506" i="30"/>
  <c r="AD2545" i="30"/>
  <c r="AD2565" i="30"/>
  <c r="AD2586" i="30"/>
  <c r="AD2609" i="30"/>
  <c r="AD2627" i="30"/>
  <c r="AD2635" i="30"/>
  <c r="AD2643" i="30"/>
  <c r="AD2651" i="30"/>
  <c r="AD2659" i="30"/>
  <c r="AD2667" i="30"/>
  <c r="AD2675" i="30"/>
  <c r="AD2683" i="30"/>
  <c r="AD2691" i="30"/>
  <c r="AD2699" i="30"/>
  <c r="AD2707" i="30"/>
  <c r="AD2717" i="30"/>
  <c r="AD2728" i="30"/>
  <c r="AD2738" i="30"/>
  <c r="AD2750" i="30"/>
  <c r="AD2762" i="30"/>
  <c r="AD2773" i="30"/>
  <c r="AD2781" i="30"/>
  <c r="AD2797" i="30"/>
  <c r="AD2805" i="30"/>
  <c r="AD2817" i="30"/>
  <c r="AD2827" i="30"/>
  <c r="AD2837" i="30"/>
  <c r="AD2851" i="30"/>
  <c r="AA4" i="30"/>
  <c r="AA17" i="30"/>
  <c r="AA28" i="30"/>
  <c r="AA38" i="30"/>
  <c r="AA49" i="30"/>
  <c r="AA60" i="30"/>
  <c r="AA74" i="30"/>
  <c r="AA84" i="30"/>
  <c r="AA96" i="30"/>
  <c r="AA109" i="30"/>
  <c r="AA123" i="30"/>
  <c r="AA137" i="30"/>
  <c r="AA150" i="30"/>
  <c r="AA166" i="30"/>
  <c r="AA176" i="30"/>
  <c r="AA185" i="30"/>
  <c r="AA197" i="30"/>
  <c r="AA211" i="30"/>
  <c r="AA220" i="30"/>
  <c r="AA230" i="30"/>
  <c r="AA240" i="30"/>
  <c r="AA249" i="30"/>
  <c r="AA259" i="30"/>
  <c r="AA270" i="30"/>
  <c r="AA282" i="30"/>
  <c r="AA291" i="30"/>
  <c r="AA305" i="30"/>
  <c r="AA317" i="30"/>
  <c r="AA326" i="30"/>
  <c r="AA334" i="30"/>
  <c r="AA342" i="30"/>
  <c r="AA350" i="30"/>
  <c r="AA358" i="30"/>
  <c r="AA366" i="30"/>
  <c r="AA379" i="30"/>
  <c r="AA390" i="30"/>
  <c r="AA403" i="30"/>
  <c r="AA413" i="30"/>
  <c r="AA424" i="30"/>
  <c r="AA437" i="30"/>
  <c r="AA449" i="30"/>
  <c r="AA459" i="30"/>
  <c r="AA474" i="30"/>
  <c r="AA484" i="30"/>
  <c r="AA495" i="30"/>
  <c r="AA509" i="30"/>
  <c r="AA520" i="30"/>
  <c r="AA533" i="30"/>
  <c r="AA547" i="30"/>
  <c r="AA556" i="30"/>
  <c r="AA568" i="30"/>
  <c r="AA580" i="30"/>
  <c r="AA591" i="30"/>
  <c r="AA606" i="30"/>
  <c r="AA615" i="30"/>
  <c r="AA627" i="30"/>
  <c r="AA639" i="30"/>
  <c r="AA650" i="30"/>
  <c r="AA663" i="30"/>
  <c r="AA675" i="30"/>
  <c r="AA683" i="30"/>
  <c r="AA691" i="30"/>
  <c r="AA699" i="30"/>
  <c r="AA709" i="30"/>
  <c r="AA721" i="30"/>
  <c r="AA734" i="30"/>
  <c r="AA746" i="30"/>
  <c r="AA758" i="30"/>
  <c r="AA769" i="30"/>
  <c r="AA785" i="30"/>
  <c r="AA797" i="30"/>
  <c r="AA808" i="30"/>
  <c r="AA819" i="30"/>
  <c r="AA830" i="30"/>
  <c r="AA842" i="30"/>
  <c r="AA857" i="30"/>
  <c r="AA871" i="30"/>
  <c r="AA883" i="30"/>
  <c r="AA895" i="30"/>
  <c r="AA903" i="30"/>
  <c r="AA911" i="30"/>
  <c r="AA919" i="30"/>
  <c r="AA927" i="30"/>
  <c r="AA935" i="30"/>
  <c r="AA943" i="30"/>
  <c r="AA951" i="30"/>
  <c r="AA959" i="30"/>
  <c r="AA967" i="30"/>
  <c r="AA975" i="30"/>
  <c r="AA983" i="30"/>
  <c r="AA991" i="30"/>
  <c r="AA999" i="30"/>
  <c r="AA1007" i="30"/>
  <c r="AA1015" i="30"/>
  <c r="AA1023" i="30"/>
  <c r="AA1031" i="30"/>
  <c r="AA1039" i="30"/>
  <c r="AA1052" i="30"/>
  <c r="AA1063" i="30"/>
  <c r="AA1073" i="30"/>
  <c r="AA1086" i="30"/>
  <c r="AA1096" i="30"/>
  <c r="AA1108" i="30"/>
  <c r="AA1120" i="30"/>
  <c r="AA1133" i="30"/>
  <c r="AA1144" i="30"/>
  <c r="AG2220" i="30"/>
  <c r="AD45" i="30"/>
  <c r="AD769" i="30"/>
  <c r="AD904" i="30"/>
  <c r="AD968" i="30"/>
  <c r="AD1032" i="30"/>
  <c r="AD1121" i="30"/>
  <c r="AD1179" i="30"/>
  <c r="AD1234" i="30"/>
  <c r="AD1299" i="30"/>
  <c r="AD1353" i="30"/>
  <c r="AD1399" i="30"/>
  <c r="AD1450" i="30"/>
  <c r="AD1504" i="30"/>
  <c r="AD1558" i="30"/>
  <c r="AD1608" i="30"/>
  <c r="AD1656" i="30"/>
  <c r="AD1711" i="30"/>
  <c r="AD1772" i="30"/>
  <c r="AD1842" i="30"/>
  <c r="AD1900" i="30"/>
  <c r="AD1955" i="30"/>
  <c r="AD2009" i="30"/>
  <c r="AD2066" i="30"/>
  <c r="AD2121" i="30"/>
  <c r="AD2164" i="30"/>
  <c r="AD2191" i="30"/>
  <c r="AD2223" i="30"/>
  <c r="AD2249" i="30"/>
  <c r="AD2289" i="30"/>
  <c r="AD2324" i="30"/>
  <c r="AD2356" i="30"/>
  <c r="AD2388" i="30"/>
  <c r="AD2423" i="30"/>
  <c r="AD2457" i="30"/>
  <c r="AD2487" i="30"/>
  <c r="AD2521" i="30"/>
  <c r="AD2553" i="30"/>
  <c r="AD2573" i="30"/>
  <c r="AD2594" i="30"/>
  <c r="AD2617" i="30"/>
  <c r="AD2630" i="30"/>
  <c r="AD2638" i="30"/>
  <c r="AD2646" i="30"/>
  <c r="AD2654" i="30"/>
  <c r="AD2662" i="30"/>
  <c r="AD2670" i="30"/>
  <c r="AD2678" i="30"/>
  <c r="AD2686" i="30"/>
  <c r="AD2694" i="30"/>
  <c r="AD2702" i="30"/>
  <c r="AD2712" i="30"/>
  <c r="AD2720" i="30"/>
  <c r="AD2731" i="30"/>
  <c r="AD2741" i="30"/>
  <c r="AD2753" i="30"/>
  <c r="AD2765" i="30"/>
  <c r="AD2776" i="30"/>
  <c r="AD2788" i="30"/>
  <c r="AD2800" i="30"/>
  <c r="AD2810" i="30"/>
  <c r="AD2822" i="30"/>
  <c r="AD2832" i="30"/>
  <c r="AD2842" i="30"/>
  <c r="AD2856" i="30"/>
  <c r="AA8" i="30"/>
  <c r="AA21" i="30"/>
  <c r="AA31" i="30"/>
  <c r="AA42" i="30"/>
  <c r="AA52" i="30"/>
  <c r="AA65" i="30"/>
  <c r="AA77" i="30"/>
  <c r="AA89" i="30"/>
  <c r="AA101" i="30"/>
  <c r="AA114" i="30"/>
  <c r="AA130" i="30"/>
  <c r="AA142" i="30"/>
  <c r="AA157" i="30"/>
  <c r="AA171" i="30"/>
  <c r="AA179" i="30"/>
  <c r="AA190" i="30"/>
  <c r="AA204" i="30"/>
  <c r="AA215" i="30"/>
  <c r="AA223" i="30"/>
  <c r="AA235" i="30"/>
  <c r="AA243" i="30"/>
  <c r="AA254" i="30"/>
  <c r="AA262" i="30"/>
  <c r="AA275" i="30"/>
  <c r="AA286" i="30"/>
  <c r="AA296" i="30"/>
  <c r="AA309" i="30"/>
  <c r="AA321" i="30"/>
  <c r="AA329" i="30"/>
  <c r="AA337" i="30"/>
  <c r="AA345" i="30"/>
  <c r="AA353" i="30"/>
  <c r="AA361" i="30"/>
  <c r="AA370" i="30"/>
  <c r="AA384" i="30"/>
  <c r="AA395" i="30"/>
  <c r="AA407" i="30"/>
  <c r="AA416" i="30"/>
  <c r="AA429" i="30"/>
  <c r="AA441" i="30"/>
  <c r="AA454" i="30"/>
  <c r="AA465" i="30"/>
  <c r="AA477" i="30"/>
  <c r="AA487" i="30"/>
  <c r="AA502" i="30"/>
  <c r="AA514" i="30"/>
  <c r="AA525" i="30"/>
  <c r="AA538" i="30"/>
  <c r="AA550" i="30"/>
  <c r="AA559" i="30"/>
  <c r="AA573" i="30"/>
  <c r="AA584" i="30"/>
  <c r="AA596" i="30"/>
  <c r="AA609" i="30"/>
  <c r="AA618" i="30"/>
  <c r="AA634" i="30"/>
  <c r="AA644" i="30"/>
  <c r="AA654" i="30"/>
  <c r="AA668" i="30"/>
  <c r="AA678" i="30"/>
  <c r="AA686" i="30"/>
  <c r="AA694" i="30"/>
  <c r="AA702" i="30"/>
  <c r="AA712" i="30"/>
  <c r="AA726" i="30"/>
  <c r="AA737" i="30"/>
  <c r="AA751" i="30"/>
  <c r="AA762" i="30"/>
  <c r="AA774" i="30"/>
  <c r="AA788" i="30"/>
  <c r="AA802" i="30"/>
  <c r="AA812" i="30"/>
  <c r="AA823" i="30"/>
  <c r="AA835" i="30"/>
  <c r="AA848" i="30"/>
  <c r="AA862" i="30"/>
  <c r="AA876" i="30"/>
  <c r="AA888" i="30"/>
  <c r="AA898" i="30"/>
  <c r="AA906" i="30"/>
  <c r="AA914" i="30"/>
  <c r="AA922" i="30"/>
  <c r="AA930" i="30"/>
  <c r="AA938" i="30"/>
  <c r="AA946" i="30"/>
  <c r="AA954" i="30"/>
  <c r="AA962" i="30"/>
  <c r="AA970" i="30"/>
  <c r="AA978" i="30"/>
  <c r="AA986" i="30"/>
  <c r="AA994" i="30"/>
  <c r="AA1002" i="30"/>
  <c r="AA1010" i="30"/>
  <c r="AA1018" i="30"/>
  <c r="AA1026" i="30"/>
  <c r="AA1034" i="30"/>
  <c r="AA1043" i="30"/>
  <c r="AA1056" i="30"/>
  <c r="AA1068" i="30"/>
  <c r="AA1079" i="30"/>
  <c r="AA1089" i="30"/>
  <c r="AA1099" i="30"/>
  <c r="AA1111" i="30"/>
  <c r="AA1126" i="30"/>
  <c r="AA1136" i="30"/>
  <c r="AA1148" i="30"/>
  <c r="AG2322" i="30"/>
  <c r="AD144" i="30"/>
  <c r="AD821" i="30"/>
  <c r="AD912" i="30"/>
  <c r="AD976" i="30"/>
  <c r="AD1040" i="30"/>
  <c r="AD1133" i="30"/>
  <c r="AD1185" i="30"/>
  <c r="AD1241" i="30"/>
  <c r="AD1304" i="30"/>
  <c r="AD1362" i="30"/>
  <c r="AD1410" i="30"/>
  <c r="AD1461" i="30"/>
  <c r="AD1511" i="30"/>
  <c r="AD1567" i="30"/>
  <c r="AD1616" i="30"/>
  <c r="AD1663" i="30"/>
  <c r="AD1720" i="30"/>
  <c r="AD1782" i="30"/>
  <c r="AD1851" i="30"/>
  <c r="AD1911" i="30"/>
  <c r="AD1964" i="30"/>
  <c r="AD2018" i="30"/>
  <c r="AD2076" i="30"/>
  <c r="AD2128" i="30"/>
  <c r="AD2165" i="30"/>
  <c r="AD2195" i="30"/>
  <c r="AD2228" i="30"/>
  <c r="AD2252" i="30"/>
  <c r="AD2299" i="30"/>
  <c r="AD2327" i="30"/>
  <c r="AD2359" i="30"/>
  <c r="AD2396" i="30"/>
  <c r="AD2426" i="30"/>
  <c r="AD2460" i="30"/>
  <c r="AD2495" i="30"/>
  <c r="AD2528" i="30"/>
  <c r="AD2554" i="30"/>
  <c r="AD2577" i="30"/>
  <c r="AD2597" i="30"/>
  <c r="AD2618" i="30"/>
  <c r="AD2631" i="30"/>
  <c r="AD2639" i="30"/>
  <c r="AD2647" i="30"/>
  <c r="AD2655" i="30"/>
  <c r="AD2663" i="30"/>
  <c r="AD2671" i="30"/>
  <c r="AD2679" i="30"/>
  <c r="AD2687" i="30"/>
  <c r="AD2695" i="30"/>
  <c r="AD2703" i="30"/>
  <c r="AD2713" i="30"/>
  <c r="AD2722" i="30"/>
  <c r="AD2732" i="30"/>
  <c r="AD2742" i="30"/>
  <c r="AD2756" i="30"/>
  <c r="AD2766" i="30"/>
  <c r="AD2777" i="30"/>
  <c r="AD2789" i="30"/>
  <c r="AD2801" i="30"/>
  <c r="AD2811" i="30"/>
  <c r="AD2823" i="30"/>
  <c r="AD2833" i="30"/>
  <c r="AD2845" i="30"/>
  <c r="AD2857" i="30"/>
  <c r="AA9" i="30"/>
  <c r="AA22" i="30"/>
  <c r="AA34" i="30"/>
  <c r="AA45" i="30"/>
  <c r="AA54" i="30"/>
  <c r="AA66" i="30"/>
  <c r="AA78" i="30"/>
  <c r="AA90" i="30"/>
  <c r="AA103" i="30"/>
  <c r="AA117" i="30"/>
  <c r="AA131" i="30"/>
  <c r="AA144" i="30"/>
  <c r="AA159" i="30"/>
  <c r="AA172" i="30"/>
  <c r="AA181" i="30"/>
  <c r="AA191" i="30"/>
  <c r="AA205" i="30"/>
  <c r="AA216" i="30"/>
  <c r="AA226" i="30"/>
  <c r="AA236" i="30"/>
  <c r="AA244" i="30"/>
  <c r="AA255" i="30"/>
  <c r="AA265" i="30"/>
  <c r="AA276" i="30"/>
  <c r="AA287" i="30"/>
  <c r="AA299" i="30"/>
  <c r="AA312" i="30"/>
  <c r="AA322" i="30"/>
  <c r="AA330" i="30"/>
  <c r="AA338" i="30"/>
  <c r="AA346" i="30"/>
  <c r="AA354" i="30"/>
  <c r="AA362" i="30"/>
  <c r="AA371" i="30"/>
  <c r="AA385" i="30"/>
  <c r="AA396" i="30"/>
  <c r="AA408" i="30"/>
  <c r="AA418" i="30"/>
  <c r="AA431" i="30"/>
  <c r="AA443" i="30"/>
  <c r="AA455" i="30"/>
  <c r="AA466" i="30"/>
  <c r="AA478" i="30"/>
  <c r="AA489" i="30"/>
  <c r="AA503" i="30"/>
  <c r="AA515" i="30"/>
  <c r="AA526" i="30"/>
  <c r="AA539" i="30"/>
  <c r="AA551" i="30"/>
  <c r="AA560" i="30"/>
  <c r="AA576" i="30"/>
  <c r="AA585" i="30"/>
  <c r="AA597" i="30"/>
  <c r="AA610" i="30"/>
  <c r="AA621" i="30"/>
  <c r="AA635" i="30"/>
  <c r="AA646" i="30"/>
  <c r="AA657" i="30"/>
  <c r="AA669" i="30"/>
  <c r="AA679" i="30"/>
  <c r="AA687" i="30"/>
  <c r="AA695" i="30"/>
  <c r="AA703" i="30"/>
  <c r="AA715" i="30"/>
  <c r="AA727" i="30"/>
  <c r="AA738" i="30"/>
  <c r="AA752" i="30"/>
  <c r="AA763" i="30"/>
  <c r="AA777" i="30"/>
  <c r="AA791" i="30"/>
  <c r="AA803" i="30"/>
  <c r="AA813" i="30"/>
  <c r="AA826" i="30"/>
  <c r="AA836" i="30"/>
  <c r="AA849" i="30"/>
  <c r="AA863" i="30"/>
  <c r="AA877" i="30"/>
  <c r="AA889" i="30"/>
  <c r="AA899" i="30"/>
  <c r="AA907" i="30"/>
  <c r="AA915" i="30"/>
  <c r="AA923" i="30"/>
  <c r="AA931" i="30"/>
  <c r="AA939" i="30"/>
  <c r="AA947" i="30"/>
  <c r="AA955" i="30"/>
  <c r="AA963" i="30"/>
  <c r="AA971" i="30"/>
  <c r="AA979" i="30"/>
  <c r="AA987" i="30"/>
  <c r="AA995" i="30"/>
  <c r="AA1003" i="30"/>
  <c r="AA1011" i="30"/>
  <c r="AA1019" i="30"/>
  <c r="AA1027" i="30"/>
  <c r="AA1035" i="30"/>
  <c r="AA1044" i="30"/>
  <c r="AA1057" i="30"/>
  <c r="AA1069" i="30"/>
  <c r="AA1080" i="30"/>
  <c r="AA1090" i="30"/>
  <c r="AA1100" i="30"/>
  <c r="AA1112" i="30"/>
  <c r="AA1127" i="30"/>
  <c r="AA1137" i="30"/>
  <c r="AD683" i="30"/>
  <c r="AD1016" i="30"/>
  <c r="AD1188" i="30"/>
  <c r="AD1347" i="30"/>
  <c r="AD1490" i="30"/>
  <c r="AD1619" i="30"/>
  <c r="AD1765" i="30"/>
  <c r="AD1941" i="30"/>
  <c r="AD2079" i="30"/>
  <c r="AD2188" i="30"/>
  <c r="AD2279" i="30"/>
  <c r="AD2362" i="30"/>
  <c r="AD2451" i="30"/>
  <c r="AD2546" i="30"/>
  <c r="AD2601" i="30"/>
  <c r="AD2637" i="30"/>
  <c r="AD2660" i="30"/>
  <c r="AD2680" i="30"/>
  <c r="AD2701" i="30"/>
  <c r="AD2729" i="30"/>
  <c r="AD2757" i="30"/>
  <c r="AD2787" i="30"/>
  <c r="AD2818" i="30"/>
  <c r="AD2846" i="30"/>
  <c r="AA19" i="30"/>
  <c r="AA50" i="30"/>
  <c r="AA80" i="30"/>
  <c r="AA113" i="30"/>
  <c r="AA153" i="30"/>
  <c r="AA182" i="30"/>
  <c r="AA214" i="30"/>
  <c r="AA241" i="30"/>
  <c r="AA266" i="30"/>
  <c r="AA295" i="30"/>
  <c r="AA327" i="30"/>
  <c r="AA347" i="30"/>
  <c r="AA369" i="30"/>
  <c r="AA404" i="30"/>
  <c r="AA433" i="30"/>
  <c r="AA462" i="30"/>
  <c r="AA498" i="30"/>
  <c r="AA529" i="30"/>
  <c r="AA558" i="30"/>
  <c r="AA592" i="30"/>
  <c r="AA622" i="30"/>
  <c r="AA653" i="30"/>
  <c r="AA684" i="30"/>
  <c r="AA706" i="30"/>
  <c r="AA736" i="30"/>
  <c r="AA770" i="30"/>
  <c r="AA804" i="30"/>
  <c r="AA834" i="30"/>
  <c r="AA874" i="30"/>
  <c r="AA900" i="30"/>
  <c r="AA921" i="30"/>
  <c r="AA944" i="30"/>
  <c r="AA964" i="30"/>
  <c r="AA985" i="30"/>
  <c r="AA1008" i="30"/>
  <c r="AA1028" i="30"/>
  <c r="AA1055" i="30"/>
  <c r="AA1087" i="30"/>
  <c r="AA1113" i="30"/>
  <c r="AA1147" i="30"/>
  <c r="AA1164" i="30"/>
  <c r="AA1174" i="30"/>
  <c r="AA1182" i="30"/>
  <c r="AA1195" i="30"/>
  <c r="AA1207" i="30"/>
  <c r="AA1222" i="30"/>
  <c r="AA1231" i="30"/>
  <c r="AA1245" i="30"/>
  <c r="AA1256" i="30"/>
  <c r="AA1268" i="30"/>
  <c r="AA1280" i="30"/>
  <c r="AA1292" i="30"/>
  <c r="AA1300" i="30"/>
  <c r="AA1310" i="30"/>
  <c r="AA1326" i="30"/>
  <c r="AA1341" i="30"/>
  <c r="AA1354" i="30"/>
  <c r="AA1369" i="30"/>
  <c r="AA1379" i="30"/>
  <c r="AA1389" i="30"/>
  <c r="AA1402" i="30"/>
  <c r="AA1414" i="30"/>
  <c r="AA1428" i="30"/>
  <c r="AA1440" i="30"/>
  <c r="AA1453" i="30"/>
  <c r="AA1465" i="30"/>
  <c r="AA1479" i="30"/>
  <c r="AA1491" i="30"/>
  <c r="AA1505" i="30"/>
  <c r="AA1517" i="30"/>
  <c r="AA1533" i="30"/>
  <c r="AA1547" i="30"/>
  <c r="AA1561" i="30"/>
  <c r="AA1573" i="30"/>
  <c r="AA1585" i="30"/>
  <c r="AA1595" i="30"/>
  <c r="AA1609" i="30"/>
  <c r="AA1622" i="30"/>
  <c r="AA1633" i="30"/>
  <c r="AA1646" i="30"/>
  <c r="AA1657" i="30"/>
  <c r="AA1671" i="30"/>
  <c r="AA1682" i="30"/>
  <c r="AA1694" i="30"/>
  <c r="AA1708" i="30"/>
  <c r="AA1724" i="30"/>
  <c r="AA1739" i="30"/>
  <c r="AA1752" i="30"/>
  <c r="AA1765" i="30"/>
  <c r="AA1782" i="30"/>
  <c r="AA1809" i="30"/>
  <c r="AA1825" i="30"/>
  <c r="AA1839" i="30"/>
  <c r="AA1851" i="30"/>
  <c r="AA1866" i="30"/>
  <c r="AA1880" i="30"/>
  <c r="AA1893" i="30"/>
  <c r="AA1908" i="30"/>
  <c r="AA1925" i="30"/>
  <c r="AA1935" i="30"/>
  <c r="AA1947" i="30"/>
  <c r="AA1961" i="30"/>
  <c r="AA1973" i="30"/>
  <c r="AA1989" i="30"/>
  <c r="AA2003" i="30"/>
  <c r="AA2017" i="30"/>
  <c r="AA2031" i="30"/>
  <c r="AA2046" i="30"/>
  <c r="AA2059" i="30"/>
  <c r="AA2073" i="30"/>
  <c r="AA2085" i="30"/>
  <c r="AA2097" i="30"/>
  <c r="AA2113" i="30"/>
  <c r="AA2127" i="30"/>
  <c r="AA2140" i="30"/>
  <c r="AA2153" i="30"/>
  <c r="AA2164" i="30"/>
  <c r="AA2176" i="30"/>
  <c r="AA2187" i="30"/>
  <c r="AA2195" i="30"/>
  <c r="AA2209" i="30"/>
  <c r="AA2222" i="30"/>
  <c r="AA2232" i="30"/>
  <c r="AA2240" i="30"/>
  <c r="AA2249" i="30"/>
  <c r="AA2265" i="30"/>
  <c r="AA2279" i="30"/>
  <c r="AA2299" i="30"/>
  <c r="AA2312" i="30"/>
  <c r="AA2323" i="30"/>
  <c r="AA2334" i="30"/>
  <c r="AA2343" i="30"/>
  <c r="AA2356" i="30"/>
  <c r="AA2366" i="30"/>
  <c r="AA2380" i="30"/>
  <c r="AA2396" i="30"/>
  <c r="AA2410" i="30"/>
  <c r="AA2420" i="30"/>
  <c r="AA2434" i="30"/>
  <c r="AA2445" i="30"/>
  <c r="AA2457" i="30"/>
  <c r="AA2471" i="30"/>
  <c r="AA2481" i="30"/>
  <c r="AA2495" i="30"/>
  <c r="AA2505" i="30"/>
  <c r="AA2520" i="30"/>
  <c r="AG2013" i="30"/>
  <c r="AD831" i="30"/>
  <c r="AD1024" i="30"/>
  <c r="AD1223" i="30"/>
  <c r="AD1368" i="30"/>
  <c r="AD1499" i="30"/>
  <c r="AD1644" i="30"/>
  <c r="AD1797" i="30"/>
  <c r="AD1950" i="30"/>
  <c r="AD2105" i="30"/>
  <c r="AD2196" i="30"/>
  <c r="AD2280" i="30"/>
  <c r="AD2380" i="30"/>
  <c r="AD2467" i="30"/>
  <c r="AD2549" i="30"/>
  <c r="AD2610" i="30"/>
  <c r="AD2640" i="30"/>
  <c r="AD2661" i="30"/>
  <c r="AD2684" i="30"/>
  <c r="AD2704" i="30"/>
  <c r="AD2730" i="30"/>
  <c r="AD2763" i="30"/>
  <c r="AD2790" i="30"/>
  <c r="AD2819" i="30"/>
  <c r="AD2852" i="30"/>
  <c r="AA23" i="30"/>
  <c r="AA51" i="30"/>
  <c r="AA85" i="30"/>
  <c r="AA120" i="30"/>
  <c r="AA154" i="30"/>
  <c r="AA186" i="30"/>
  <c r="AA217" i="30"/>
  <c r="AA242" i="30"/>
  <c r="AA272" i="30"/>
  <c r="AA300" i="30"/>
  <c r="AA328" i="30"/>
  <c r="AA351" i="30"/>
  <c r="AA374" i="30"/>
  <c r="AA405" i="30"/>
  <c r="AA438" i="30"/>
  <c r="AA469" i="30"/>
  <c r="AA499" i="30"/>
  <c r="AA534" i="30"/>
  <c r="AA563" i="30"/>
  <c r="AA595" i="30"/>
  <c r="AA630" i="30"/>
  <c r="AA658" i="30"/>
  <c r="AA685" i="30"/>
  <c r="AA710" i="30"/>
  <c r="AA739" i="30"/>
  <c r="AA773" i="30"/>
  <c r="AA809" i="30"/>
  <c r="AA837" i="30"/>
  <c r="AA875" i="30"/>
  <c r="AA904" i="30"/>
  <c r="AA924" i="30"/>
  <c r="AA945" i="30"/>
  <c r="AA968" i="30"/>
  <c r="AA988" i="30"/>
  <c r="AA1009" i="30"/>
  <c r="AA1032" i="30"/>
  <c r="AA1060" i="30"/>
  <c r="AA1088" i="30"/>
  <c r="AA1121" i="30"/>
  <c r="AA1149" i="30"/>
  <c r="AA1165" i="30"/>
  <c r="AA1175" i="30"/>
  <c r="AA1183" i="30"/>
  <c r="AA1196" i="30"/>
  <c r="AA1210" i="30"/>
  <c r="AA1223" i="30"/>
  <c r="AA1234" i="30"/>
  <c r="AA1246" i="30"/>
  <c r="AA1257" i="30"/>
  <c r="AA1269" i="30"/>
  <c r="AA1281" i="30"/>
  <c r="AA1293" i="30"/>
  <c r="AA1301" i="30"/>
  <c r="AA1313" i="30"/>
  <c r="AA1329" i="30"/>
  <c r="AA1342" i="30"/>
  <c r="AA1355" i="30"/>
  <c r="AA1372" i="30"/>
  <c r="AA1380" i="30"/>
  <c r="AA1392" i="30"/>
  <c r="AA1403" i="30"/>
  <c r="AA1417" i="30"/>
  <c r="AA1431" i="30"/>
  <c r="AA1443" i="30"/>
  <c r="AA1454" i="30"/>
  <c r="AA1468" i="30"/>
  <c r="AA1482" i="30"/>
  <c r="AA1495" i="30"/>
  <c r="AA1507" i="30"/>
  <c r="AA1520" i="30"/>
  <c r="AA1534" i="30"/>
  <c r="AA1548" i="30"/>
  <c r="AA1562" i="30"/>
  <c r="AA1574" i="30"/>
  <c r="AA1586" i="30"/>
  <c r="AA1598" i="30"/>
  <c r="AA1610" i="30"/>
  <c r="AA1623" i="30"/>
  <c r="AA1634" i="30"/>
  <c r="AA1647" i="30"/>
  <c r="AA1660" i="30"/>
  <c r="AA1672" i="30"/>
  <c r="AA1683" i="30"/>
  <c r="AA1697" i="30"/>
  <c r="AA1711" i="30"/>
  <c r="AA1727" i="30"/>
  <c r="AA1741" i="30"/>
  <c r="AA1753" i="30"/>
  <c r="AA1768" i="30"/>
  <c r="AA1783" i="30"/>
  <c r="AA1812" i="30"/>
  <c r="AA1826" i="30"/>
  <c r="AA1840" i="30"/>
  <c r="AA1853" i="30"/>
  <c r="AA1869" i="30"/>
  <c r="AA1883" i="30"/>
  <c r="AA1895" i="30"/>
  <c r="AA1911" i="30"/>
  <c r="AA1926" i="30"/>
  <c r="AA1936" i="30"/>
  <c r="AA1950" i="30"/>
  <c r="AA1964" i="30"/>
  <c r="AA1976" i="30"/>
  <c r="AA1992" i="30"/>
  <c r="AA2004" i="30"/>
  <c r="AA2018" i="30"/>
  <c r="AA2033" i="30"/>
  <c r="AA2048" i="30"/>
  <c r="AA2062" i="30"/>
  <c r="AA2076" i="30"/>
  <c r="AA2086" i="30"/>
  <c r="AA2100" i="30"/>
  <c r="AA2116" i="30"/>
  <c r="AA2128" i="30"/>
  <c r="AA2143" i="30"/>
  <c r="AA2154" i="30"/>
  <c r="AA2165" i="30"/>
  <c r="AA2177" i="30"/>
  <c r="AA2188" i="30"/>
  <c r="AA2196" i="30"/>
  <c r="AA2211" i="30"/>
  <c r="AA2223" i="30"/>
  <c r="AA2233" i="30"/>
  <c r="AA2241" i="30"/>
  <c r="AA2252" i="30"/>
  <c r="AA2266" i="30"/>
  <c r="AA2280" i="30"/>
  <c r="AA2300" i="30"/>
  <c r="AA2313" i="30"/>
  <c r="AA2324" i="30"/>
  <c r="AA2335" i="30"/>
  <c r="AA2344" i="30"/>
  <c r="AA2359" i="30"/>
  <c r="AA2369" i="30"/>
  <c r="AA2381" i="30"/>
  <c r="AA2397" i="30"/>
  <c r="AA2411" i="30"/>
  <c r="AA2423" i="30"/>
  <c r="AA2437" i="30"/>
  <c r="AA2448" i="30"/>
  <c r="AA2460" i="30"/>
  <c r="AA2472" i="30"/>
  <c r="AA2482" i="30"/>
  <c r="AA2496" i="30"/>
  <c r="AA2506" i="30"/>
  <c r="AA2521" i="30"/>
  <c r="AG2124" i="30"/>
  <c r="AD886" i="30"/>
  <c r="AD1053" i="30"/>
  <c r="AD1229" i="30"/>
  <c r="AD1388" i="30"/>
  <c r="AD1516" i="30"/>
  <c r="AD1652" i="30"/>
  <c r="AD1830" i="30"/>
  <c r="AD1969" i="30"/>
  <c r="AD2116" i="30"/>
  <c r="AD2216" i="30"/>
  <c r="AD2300" i="30"/>
  <c r="AD2381" i="30"/>
  <c r="AD2481" i="30"/>
  <c r="AD2557" i="30"/>
  <c r="AD2613" i="30"/>
  <c r="AD2644" i="30"/>
  <c r="AD2664" i="30"/>
  <c r="AD2685" i="30"/>
  <c r="AD2708" i="30"/>
  <c r="AD2733" i="30"/>
  <c r="AD2764" i="30"/>
  <c r="AD2798" i="30"/>
  <c r="AD2824" i="30"/>
  <c r="AD2853" i="30"/>
  <c r="AA29" i="30"/>
  <c r="AA55" i="30"/>
  <c r="AA88" i="30"/>
  <c r="AA124" i="30"/>
  <c r="AA160" i="30"/>
  <c r="AA187" i="30"/>
  <c r="AA221" i="30"/>
  <c r="AA246" i="30"/>
  <c r="AA273" i="30"/>
  <c r="AA306" i="30"/>
  <c r="AA331" i="30"/>
  <c r="AA352" i="30"/>
  <c r="AA380" i="30"/>
  <c r="AA409" i="30"/>
  <c r="AA440" i="30"/>
  <c r="AA475" i="30"/>
  <c r="AA504" i="30"/>
  <c r="AA535" i="30"/>
  <c r="AA569" i="30"/>
  <c r="AA599" i="30"/>
  <c r="AA631" i="30"/>
  <c r="AA664" i="30"/>
  <c r="AA688" i="30"/>
  <c r="AA711" i="30"/>
  <c r="AA747" i="30"/>
  <c r="AA778" i="30"/>
  <c r="AA810" i="30"/>
  <c r="AA843" i="30"/>
  <c r="AA878" i="30"/>
  <c r="AA905" i="30"/>
  <c r="AA928" i="30"/>
  <c r="AA948" i="30"/>
  <c r="AA969" i="30"/>
  <c r="AA992" i="30"/>
  <c r="AA1012" i="30"/>
  <c r="AA1033" i="30"/>
  <c r="AA1066" i="30"/>
  <c r="AA1093" i="30"/>
  <c r="AA1123" i="30"/>
  <c r="AA1152" i="30"/>
  <c r="AA1166" i="30"/>
  <c r="AA1176" i="30"/>
  <c r="AA1185" i="30"/>
  <c r="AA1199" i="30"/>
  <c r="AA1211" i="30"/>
  <c r="AA1224" i="30"/>
  <c r="AA1235" i="30"/>
  <c r="AA1247" i="30"/>
  <c r="AA1258" i="30"/>
  <c r="AA1271" i="30"/>
  <c r="AA1282" i="30"/>
  <c r="AA1294" i="30"/>
  <c r="AA1302" i="30"/>
  <c r="AA1314" i="30"/>
  <c r="AA1330" i="30"/>
  <c r="AA1343" i="30"/>
  <c r="AA1358" i="30"/>
  <c r="AA1373" i="30"/>
  <c r="AA1381" i="30"/>
  <c r="AA1393" i="30"/>
  <c r="AA1406" i="30"/>
  <c r="AA1418" i="30"/>
  <c r="AA1432" i="30"/>
  <c r="AA1444" i="30"/>
  <c r="AA1457" i="30"/>
  <c r="AA1469" i="30"/>
  <c r="AA1483" i="30"/>
  <c r="AA1496" i="30"/>
  <c r="AA1508" i="30"/>
  <c r="AA1521" i="30"/>
  <c r="AA1537" i="30"/>
  <c r="AA1549" i="30"/>
  <c r="AA1565" i="30"/>
  <c r="AA1575" i="30"/>
  <c r="AA1587" i="30"/>
  <c r="AA1599" i="30"/>
  <c r="AA1613" i="30"/>
  <c r="AA1624" i="30"/>
  <c r="AA1637" i="30"/>
  <c r="AA1650" i="30"/>
  <c r="AA1661" i="30"/>
  <c r="AA1675" i="30"/>
  <c r="AA1685" i="30"/>
  <c r="AA1698" i="30"/>
  <c r="AA1712" i="30"/>
  <c r="AA1728" i="30"/>
  <c r="AA1742" i="30"/>
  <c r="AA1756" i="30"/>
  <c r="AA1769" i="30"/>
  <c r="AA1785" i="30"/>
  <c r="AA1814" i="30"/>
  <c r="AA1829" i="30"/>
  <c r="AA1841" i="30"/>
  <c r="AA1854" i="30"/>
  <c r="AA1870" i="30"/>
  <c r="AA1884" i="30"/>
  <c r="AA1896" i="30"/>
  <c r="AA1914" i="30"/>
  <c r="AA1929" i="30"/>
  <c r="AA1937" i="30"/>
  <c r="AA1951" i="30"/>
  <c r="AA1965" i="30"/>
  <c r="AA1978" i="30"/>
  <c r="AA1993" i="30"/>
  <c r="AA2005" i="30"/>
  <c r="AA2019" i="30"/>
  <c r="AA2035" i="30"/>
  <c r="AA2049" i="30"/>
  <c r="AA2064" i="30"/>
  <c r="AA2077" i="30"/>
  <c r="AA2088" i="30"/>
  <c r="AA2103" i="30"/>
  <c r="AA2117" i="30"/>
  <c r="AA2131" i="30"/>
  <c r="AA2144" i="30"/>
  <c r="AA2155" i="30"/>
  <c r="AA2166" i="30"/>
  <c r="AA2178" i="30"/>
  <c r="AA2189" i="30"/>
  <c r="AA2199" i="30"/>
  <c r="AA2212" i="30"/>
  <c r="AA2226" i="30"/>
  <c r="AA2234" i="30"/>
  <c r="AA2242" i="30"/>
  <c r="AA2255" i="30"/>
  <c r="AA2269" i="30"/>
  <c r="AA2283" i="30"/>
  <c r="AA2301" i="30"/>
  <c r="AA2314" i="30"/>
  <c r="AA2325" i="30"/>
  <c r="AA2336" i="30"/>
  <c r="AA2347" i="30"/>
  <c r="AA2360" i="30"/>
  <c r="AA2370" i="30"/>
  <c r="AA2386" i="30"/>
  <c r="AA2398" i="30"/>
  <c r="AA2412" i="30"/>
  <c r="AA2424" i="30"/>
  <c r="AA2438" i="30"/>
  <c r="AA2449" i="30"/>
  <c r="AA2461" i="30"/>
  <c r="AA2473" i="30"/>
  <c r="AA2485" i="30"/>
  <c r="AA2499" i="30"/>
  <c r="AA2508" i="30"/>
  <c r="AA2524" i="30"/>
  <c r="AG2419" i="30"/>
  <c r="AD896" i="30"/>
  <c r="AD1097" i="30"/>
  <c r="AD1246" i="30"/>
  <c r="AD1395" i="30"/>
  <c r="AD1546" i="30"/>
  <c r="AD1668" i="30"/>
  <c r="AD1839" i="30"/>
  <c r="AD1995" i="30"/>
  <c r="AD2135" i="30"/>
  <c r="AD2222" i="30"/>
  <c r="AD2317" i="30"/>
  <c r="AD2397" i="30"/>
  <c r="AD2482" i="30"/>
  <c r="AD2569" i="30"/>
  <c r="AD2621" i="30"/>
  <c r="AD2645" i="30"/>
  <c r="AD2668" i="30"/>
  <c r="AD2688" i="30"/>
  <c r="AD2709" i="30"/>
  <c r="AD2739" i="30"/>
  <c r="AD2767" i="30"/>
  <c r="AD2799" i="30"/>
  <c r="AD2830" i="30"/>
  <c r="AD2858" i="30"/>
  <c r="AA30" i="30"/>
  <c r="AA61" i="30"/>
  <c r="AA93" i="30"/>
  <c r="AA127" i="30"/>
  <c r="AA167" i="30"/>
  <c r="AA194" i="30"/>
  <c r="AA222" i="30"/>
  <c r="AA250" i="30"/>
  <c r="AA277" i="30"/>
  <c r="AA308" i="30"/>
  <c r="AA335" i="30"/>
  <c r="AA355" i="30"/>
  <c r="AA381" i="30"/>
  <c r="AA414" i="30"/>
  <c r="AA444" i="30"/>
  <c r="AA476" i="30"/>
  <c r="AA510" i="30"/>
  <c r="AA540" i="30"/>
  <c r="AA572" i="30"/>
  <c r="AA607" i="30"/>
  <c r="AA636" i="30"/>
  <c r="AA667" i="30"/>
  <c r="AA692" i="30"/>
  <c r="AA716" i="30"/>
  <c r="AA748" i="30"/>
  <c r="AA786" i="30"/>
  <c r="AA816" i="30"/>
  <c r="AA847" i="30"/>
  <c r="AA886" i="30"/>
  <c r="AA908" i="30"/>
  <c r="AA929" i="30"/>
  <c r="AA952" i="30"/>
  <c r="AA972" i="30"/>
  <c r="AA993" i="30"/>
  <c r="AA1016" i="30"/>
  <c r="AA1036" i="30"/>
  <c r="AA1067" i="30"/>
  <c r="AA1097" i="30"/>
  <c r="AA1128" i="30"/>
  <c r="AA1155" i="30"/>
  <c r="AA1169" i="30"/>
  <c r="AA1177" i="30"/>
  <c r="AA1186" i="30"/>
  <c r="AA1200" i="30"/>
  <c r="AA1214" i="30"/>
  <c r="AA1225" i="30"/>
  <c r="AA1236" i="30"/>
  <c r="AA1248" i="30"/>
  <c r="AA1259" i="30"/>
  <c r="AA1273" i="30"/>
  <c r="AA1284" i="30"/>
  <c r="AA1295" i="30"/>
  <c r="AA1303" i="30"/>
  <c r="AA1317" i="30"/>
  <c r="AA1332" i="30"/>
  <c r="AA1344" i="30"/>
  <c r="AA1359" i="30"/>
  <c r="AA1374" i="30"/>
  <c r="AA1382" i="30"/>
  <c r="AA1394" i="30"/>
  <c r="AA1407" i="30"/>
  <c r="AA1419" i="30"/>
  <c r="AA1433" i="30"/>
  <c r="AA1445" i="30"/>
  <c r="AA1458" i="30"/>
  <c r="AA1470" i="30"/>
  <c r="AA1484" i="30"/>
  <c r="AA1498" i="30"/>
  <c r="AA1510" i="30"/>
  <c r="AA1524" i="30"/>
  <c r="AA1538" i="30"/>
  <c r="AA1550" i="30"/>
  <c r="AA1566" i="30"/>
  <c r="AA1578" i="30"/>
  <c r="AA1588" i="30"/>
  <c r="AA1602" i="30"/>
  <c r="AA1614" i="30"/>
  <c r="AA1625" i="30"/>
  <c r="AA1638" i="30"/>
  <c r="AA1651" i="30"/>
  <c r="AA1662" i="30"/>
  <c r="AA1676" i="30"/>
  <c r="AA1686" i="30"/>
  <c r="AA1699" i="30"/>
  <c r="AA1715" i="30"/>
  <c r="AA1731" i="30"/>
  <c r="AA1745" i="30"/>
  <c r="AA1757" i="30"/>
  <c r="AA1772" i="30"/>
  <c r="AA1797" i="30"/>
  <c r="AA1816" i="30"/>
  <c r="AA1830" i="30"/>
  <c r="AA1842" i="30"/>
  <c r="AA1857" i="30"/>
  <c r="AA1873" i="30"/>
  <c r="AA1887" i="30"/>
  <c r="AA1897" i="30"/>
  <c r="AA1917" i="30"/>
  <c r="AA1930" i="30"/>
  <c r="AA1940" i="30"/>
  <c r="AA1954" i="30"/>
  <c r="AA1966" i="30"/>
  <c r="AA1980" i="30"/>
  <c r="AA1994" i="30"/>
  <c r="AA2006" i="30"/>
  <c r="AA2022" i="30"/>
  <c r="AA2036" i="30"/>
  <c r="AA2052" i="30"/>
  <c r="AA2065" i="30"/>
  <c r="AA2078" i="30"/>
  <c r="AA2089" i="30"/>
  <c r="AA2104" i="30"/>
  <c r="AA2118" i="30"/>
  <c r="AA2132" i="30"/>
  <c r="AA2145" i="30"/>
  <c r="AA2157" i="30"/>
  <c r="AA2169" i="30"/>
  <c r="AA2180" i="30"/>
  <c r="AA2190" i="30"/>
  <c r="AA2200" i="30"/>
  <c r="AA2215" i="30"/>
  <c r="AA2227" i="30"/>
  <c r="AA2235" i="30"/>
  <c r="AA2243" i="30"/>
  <c r="AA2256" i="30"/>
  <c r="AA2270" i="30"/>
  <c r="AA2284" i="30"/>
  <c r="AA2303" i="30"/>
  <c r="AA2315" i="30"/>
  <c r="AA2326" i="30"/>
  <c r="AA2337" i="30"/>
  <c r="AA2348" i="30"/>
  <c r="AA2361" i="30"/>
  <c r="AA2371" i="30"/>
  <c r="AA2387" i="30"/>
  <c r="AA2401" i="30"/>
  <c r="AA2413" i="30"/>
  <c r="AA2425" i="30"/>
  <c r="AA2439" i="30"/>
  <c r="AA2450" i="30"/>
  <c r="AA2464" i="30"/>
  <c r="AA2474" i="30"/>
  <c r="AA2486" i="30"/>
  <c r="AA2500" i="30"/>
  <c r="AA2509" i="30"/>
  <c r="AA2527" i="30"/>
  <c r="AG2723" i="30"/>
  <c r="AD920" i="30"/>
  <c r="AD1109" i="30"/>
  <c r="AD1269" i="30"/>
  <c r="AD1413" i="30"/>
  <c r="AD1553" i="30"/>
  <c r="AD1697" i="30"/>
  <c r="AD1857" i="30"/>
  <c r="AD2004" i="30"/>
  <c r="AD2154" i="30"/>
  <c r="AD2232" i="30"/>
  <c r="AD2323" i="30"/>
  <c r="AD2414" i="30"/>
  <c r="AD2496" i="30"/>
  <c r="AD2570" i="30"/>
  <c r="AD2628" i="30"/>
  <c r="AD2648" i="30"/>
  <c r="AD2669" i="30"/>
  <c r="AD2692" i="30"/>
  <c r="AD2714" i="30"/>
  <c r="AD2740" i="30"/>
  <c r="AD2774" i="30"/>
  <c r="AD2802" i="30"/>
  <c r="AD2831" i="30"/>
  <c r="AA5" i="30"/>
  <c r="AA35" i="30"/>
  <c r="AA64" i="30"/>
  <c r="AA99" i="30"/>
  <c r="AA132" i="30"/>
  <c r="AA170" i="30"/>
  <c r="AA200" i="30"/>
  <c r="AA227" i="30"/>
  <c r="AA251" i="30"/>
  <c r="AA283" i="30"/>
  <c r="AA313" i="30"/>
  <c r="AA336" i="30"/>
  <c r="AA359" i="30"/>
  <c r="AA386" i="30"/>
  <c r="AA415" i="30"/>
  <c r="AA450" i="30"/>
  <c r="AA479" i="30"/>
  <c r="AA513" i="30"/>
  <c r="AA548" i="30"/>
  <c r="AA577" i="30"/>
  <c r="AA608" i="30"/>
  <c r="AA642" i="30"/>
  <c r="AA670" i="30"/>
  <c r="AA693" i="30"/>
  <c r="AA722" i="30"/>
  <c r="AA753" i="30"/>
  <c r="AA787" i="30"/>
  <c r="AA821" i="30"/>
  <c r="AA850" i="30"/>
  <c r="AA887" i="30"/>
  <c r="AA912" i="30"/>
  <c r="AA932" i="30"/>
  <c r="AA953" i="30"/>
  <c r="AA976" i="30"/>
  <c r="AA996" i="30"/>
  <c r="AA1017" i="30"/>
  <c r="AA1040" i="30"/>
  <c r="AA1070" i="30"/>
  <c r="AA1098" i="30"/>
  <c r="AA1134" i="30"/>
  <c r="AA1156" i="30"/>
  <c r="AA1170" i="30"/>
  <c r="AA1178" i="30"/>
  <c r="AA1187" i="30"/>
  <c r="AA1201" i="30"/>
  <c r="AA1215" i="30"/>
  <c r="AA1226" i="30"/>
  <c r="AA1237" i="30"/>
  <c r="AA1251" i="30"/>
  <c r="AA1260" i="30"/>
  <c r="AA1274" i="30"/>
  <c r="AA1285" i="30"/>
  <c r="AA1296" i="30"/>
  <c r="AA1304" i="30"/>
  <c r="AA1318" i="30"/>
  <c r="AA1333" i="30"/>
  <c r="AA1347" i="30"/>
  <c r="AA1362" i="30"/>
  <c r="AA1375" i="30"/>
  <c r="AA1385" i="30"/>
  <c r="AA1395" i="30"/>
  <c r="AA1410" i="30"/>
  <c r="AA1420" i="30"/>
  <c r="AA1434" i="30"/>
  <c r="AA1446" i="30"/>
  <c r="AA1461" i="30"/>
  <c r="AA1471" i="30"/>
  <c r="AA1485" i="30"/>
  <c r="AA1499" i="30"/>
  <c r="AA1511" i="30"/>
  <c r="AA1525" i="30"/>
  <c r="AA1539" i="30"/>
  <c r="AA1553" i="30"/>
  <c r="AA1567" i="30"/>
  <c r="AA1579" i="30"/>
  <c r="AA1589" i="30"/>
  <c r="AA1603" i="30"/>
  <c r="AA1616" i="30"/>
  <c r="AA1628" i="30"/>
  <c r="AA1639" i="30"/>
  <c r="AA1652" i="30"/>
  <c r="AA1663" i="30"/>
  <c r="AA1677" i="30"/>
  <c r="AA1689" i="30"/>
  <c r="AA1702" i="30"/>
  <c r="AA1716" i="30"/>
  <c r="AA1732" i="30"/>
  <c r="AA1746" i="30"/>
  <c r="AA1758" i="30"/>
  <c r="AA1773" i="30"/>
  <c r="AA1800" i="30"/>
  <c r="AA1817" i="30"/>
  <c r="AA1831" i="30"/>
  <c r="AA1845" i="30"/>
  <c r="AA1858" i="30"/>
  <c r="AA1874" i="30"/>
  <c r="AA1888" i="30"/>
  <c r="AA1900" i="30"/>
  <c r="AA1918" i="30"/>
  <c r="AA1931" i="30"/>
  <c r="AA1941" i="30"/>
  <c r="AA1955" i="30"/>
  <c r="AA1969" i="30"/>
  <c r="AA1981" i="30"/>
  <c r="AA1995" i="30"/>
  <c r="AA2009" i="30"/>
  <c r="AA2023" i="30"/>
  <c r="AA2039" i="30"/>
  <c r="AA2053" i="30"/>
  <c r="AA2066" i="30"/>
  <c r="AA2079" i="30"/>
  <c r="AA2092" i="30"/>
  <c r="AA2105" i="30"/>
  <c r="AA2121" i="30"/>
  <c r="AA2135" i="30"/>
  <c r="AA2147" i="30"/>
  <c r="AA2158" i="30"/>
  <c r="AA2170" i="30"/>
  <c r="AA2182" i="30"/>
  <c r="AA2191" i="30"/>
  <c r="AA2203" i="30"/>
  <c r="AA2216" i="30"/>
  <c r="AA2228" i="30"/>
  <c r="AA2236" i="30"/>
  <c r="AA2244" i="30"/>
  <c r="AA2259" i="30"/>
  <c r="AA2273" i="30"/>
  <c r="AA2289" i="30"/>
  <c r="AA2306" i="30"/>
  <c r="AA2317" i="30"/>
  <c r="AA2327" i="30"/>
  <c r="AA2338" i="30"/>
  <c r="AA2351" i="30"/>
  <c r="AA2362" i="30"/>
  <c r="AA2372" i="30"/>
  <c r="AA2388" i="30"/>
  <c r="AA2402" i="30"/>
  <c r="AA2414" i="30"/>
  <c r="AA2426" i="30"/>
  <c r="AA2440" i="30"/>
  <c r="AA2451" i="30"/>
  <c r="AA2467" i="30"/>
  <c r="AA2476" i="30"/>
  <c r="AA2487" i="30"/>
  <c r="AA2501" i="30"/>
  <c r="AA2512" i="30"/>
  <c r="AG2814" i="30"/>
  <c r="AD952" i="30"/>
  <c r="AD1144" i="30"/>
  <c r="AD1278" i="30"/>
  <c r="AD1439" i="30"/>
  <c r="AD1572" i="30"/>
  <c r="AD1706" i="30"/>
  <c r="AD1888" i="30"/>
  <c r="AD2023" i="30"/>
  <c r="AD2158" i="30"/>
  <c r="AD2241" i="30"/>
  <c r="AD2334" i="30"/>
  <c r="AD2420" i="30"/>
  <c r="AD2512" i="30"/>
  <c r="AD2578" i="30"/>
  <c r="AD2629" i="30"/>
  <c r="AD2652" i="30"/>
  <c r="AD2672" i="30"/>
  <c r="AD2693" i="30"/>
  <c r="AD2718" i="30"/>
  <c r="AD2745" i="30"/>
  <c r="AD2775" i="30"/>
  <c r="AD2808" i="30"/>
  <c r="AD2834" i="30"/>
  <c r="AA7" i="30"/>
  <c r="AA40" i="30"/>
  <c r="AA69" i="30"/>
  <c r="AA100" i="30"/>
  <c r="AA140" i="30"/>
  <c r="AA173" i="30"/>
  <c r="AA201" i="30"/>
  <c r="AA231" i="30"/>
  <c r="AA256" i="30"/>
  <c r="AA284" i="30"/>
  <c r="AA318" i="30"/>
  <c r="AA339" i="30"/>
  <c r="AA360" i="30"/>
  <c r="AA393" i="30"/>
  <c r="AA419" i="30"/>
  <c r="AA451" i="30"/>
  <c r="AA485" i="30"/>
  <c r="AA516" i="30"/>
  <c r="AA549" i="30"/>
  <c r="AA581" i="30"/>
  <c r="AA611" i="30"/>
  <c r="AA643" i="30"/>
  <c r="AA676" i="30"/>
  <c r="AA696" i="30"/>
  <c r="AA723" i="30"/>
  <c r="AA759" i="30"/>
  <c r="AA792" i="30"/>
  <c r="AA822" i="30"/>
  <c r="AA858" i="30"/>
  <c r="AA890" i="30"/>
  <c r="AA913" i="30"/>
  <c r="AA936" i="30"/>
  <c r="AA956" i="30"/>
  <c r="AA977" i="30"/>
  <c r="AA1000" i="30"/>
  <c r="AA1020" i="30"/>
  <c r="AA1042" i="30"/>
  <c r="AA1075" i="30"/>
  <c r="AA1103" i="30"/>
  <c r="AA1135" i="30"/>
  <c r="AA1159" i="30"/>
  <c r="AA1171" i="30"/>
  <c r="AA1179" i="30"/>
  <c r="AA1188" i="30"/>
  <c r="AA1204" i="30"/>
  <c r="AA1217" i="30"/>
  <c r="AA1227" i="30"/>
  <c r="AA1240" i="30"/>
  <c r="AA1252" i="30"/>
  <c r="AA1263" i="30"/>
  <c r="AA1275" i="30"/>
  <c r="AA1287" i="30"/>
  <c r="AA1297" i="30"/>
  <c r="AA1305" i="30"/>
  <c r="AA1321" i="30"/>
  <c r="AA1336" i="30"/>
  <c r="AA1348" i="30"/>
  <c r="AA1365" i="30"/>
  <c r="AA1376" i="30"/>
  <c r="AA1386" i="30"/>
  <c r="AA1397" i="30"/>
  <c r="AA1411" i="30"/>
  <c r="AA1423" i="30"/>
  <c r="AA1435" i="30"/>
  <c r="AA1448" i="30"/>
  <c r="AA1462" i="30"/>
  <c r="AA1474" i="30"/>
  <c r="AA1486" i="30"/>
  <c r="AA1500" i="30"/>
  <c r="AA1514" i="30"/>
  <c r="AA1528" i="30"/>
  <c r="AA1540" i="30"/>
  <c r="AA1554" i="30"/>
  <c r="AA1568" i="30"/>
  <c r="AA1582" i="30"/>
  <c r="AA1590" i="30"/>
  <c r="AA1606" i="30"/>
  <c r="AA1617" i="30"/>
  <c r="AA1629" i="30"/>
  <c r="AA1640" i="30"/>
  <c r="AA1654" i="30"/>
  <c r="AA1664" i="30"/>
  <c r="AA1678" i="30"/>
  <c r="AA1690" i="30"/>
  <c r="AA1705" i="30"/>
  <c r="AA1719" i="30"/>
  <c r="AA1736" i="30"/>
  <c r="AA1747" i="30"/>
  <c r="AA1760" i="30"/>
  <c r="AA1777" i="30"/>
  <c r="AA1804" i="30"/>
  <c r="AA1818" i="30"/>
  <c r="AA1832" i="30"/>
  <c r="AA1846" i="30"/>
  <c r="AA1861" i="30"/>
  <c r="AA1875" i="30"/>
  <c r="AA1889" i="30"/>
  <c r="AA1902" i="30"/>
  <c r="AA1921" i="30"/>
  <c r="AA1932" i="30"/>
  <c r="AA1942" i="30"/>
  <c r="AA1958" i="30"/>
  <c r="AA1970" i="30"/>
  <c r="AA1984" i="30"/>
  <c r="AA1998" i="30"/>
  <c r="AA2010" i="30"/>
  <c r="AA2024" i="30"/>
  <c r="AA2041" i="30"/>
  <c r="AA2054" i="30"/>
  <c r="AA2068" i="30"/>
  <c r="AA2080" i="30"/>
  <c r="AA2093" i="30"/>
  <c r="AA2108" i="30"/>
  <c r="AA2123" i="30"/>
  <c r="AA2136" i="30"/>
  <c r="AA2148" i="30"/>
  <c r="AA2161" i="30"/>
  <c r="AA2171" i="30"/>
  <c r="AA2183" i="30"/>
  <c r="AA2192" i="30"/>
  <c r="AA2204" i="30"/>
  <c r="AA2218" i="30"/>
  <c r="AA2229" i="30"/>
  <c r="AA2237" i="30"/>
  <c r="AA2245" i="30"/>
  <c r="AA2260" i="30"/>
  <c r="AA2274" i="30"/>
  <c r="AA2290" i="30"/>
  <c r="AA2307" i="30"/>
  <c r="AA2318" i="30"/>
  <c r="AA2329" i="30"/>
  <c r="AA2339" i="30"/>
  <c r="AA2352" i="30"/>
  <c r="AA2363" i="30"/>
  <c r="AA2373" i="30"/>
  <c r="AA2391" i="30"/>
  <c r="AA2405" i="30"/>
  <c r="AA2415" i="30"/>
  <c r="AA2429" i="30"/>
  <c r="AA2441" i="30"/>
  <c r="AA2454" i="30"/>
  <c r="AA2468" i="30"/>
  <c r="AA2477" i="30"/>
  <c r="AA2488" i="30"/>
  <c r="AA2502" i="30"/>
  <c r="AA2513" i="30"/>
  <c r="AD1340" i="30"/>
  <c r="AD1918" i="30"/>
  <c r="AD2351" i="30"/>
  <c r="AD2636" i="30"/>
  <c r="AD2723" i="30"/>
  <c r="AD2841" i="30"/>
  <c r="AA112" i="30"/>
  <c r="AA237" i="30"/>
  <c r="AA344" i="30"/>
  <c r="AA461" i="30"/>
  <c r="AA586" i="30"/>
  <c r="AA701" i="30"/>
  <c r="AA831" i="30"/>
  <c r="AA940" i="30"/>
  <c r="AA1025" i="30"/>
  <c r="AA1145" i="30"/>
  <c r="AA1192" i="30"/>
  <c r="AA1242" i="30"/>
  <c r="AA1289" i="30"/>
  <c r="AA1340" i="30"/>
  <c r="AA1388" i="30"/>
  <c r="AA1439" i="30"/>
  <c r="AA1490" i="30"/>
  <c r="AA1546" i="30"/>
  <c r="AA1594" i="30"/>
  <c r="AA1644" i="30"/>
  <c r="AA1693" i="30"/>
  <c r="AA1749" i="30"/>
  <c r="AA1822" i="30"/>
  <c r="AA1877" i="30"/>
  <c r="AA1934" i="30"/>
  <c r="AA1988" i="30"/>
  <c r="AA2044" i="30"/>
  <c r="AA2096" i="30"/>
  <c r="AA2150" i="30"/>
  <c r="AA2194" i="30"/>
  <c r="AA2239" i="30"/>
  <c r="AA2296" i="30"/>
  <c r="AA2341" i="30"/>
  <c r="AA2395" i="30"/>
  <c r="AA2444" i="30"/>
  <c r="AA2492" i="30"/>
  <c r="AA2531" i="30"/>
  <c r="AA2544" i="30"/>
  <c r="AA2552" i="30"/>
  <c r="AA2560" i="30"/>
  <c r="AA2568" i="30"/>
  <c r="AA2576" i="30"/>
  <c r="AA2584" i="30"/>
  <c r="AA2592" i="30"/>
  <c r="AA2600" i="30"/>
  <c r="AA2608" i="30"/>
  <c r="AA2616" i="30"/>
  <c r="AA2624" i="30"/>
  <c r="AA2632" i="30"/>
  <c r="AA2640" i="30"/>
  <c r="AA2648" i="30"/>
  <c r="AA2656" i="30"/>
  <c r="AA2664" i="30"/>
  <c r="AA2672" i="30"/>
  <c r="AA2680" i="30"/>
  <c r="AA2688" i="30"/>
  <c r="AA2696" i="30"/>
  <c r="AA2704" i="30"/>
  <c r="AA2714" i="30"/>
  <c r="AA2723" i="30"/>
  <c r="AA2733" i="30"/>
  <c r="AA2745" i="30"/>
  <c r="AA2757" i="30"/>
  <c r="AA2767" i="30"/>
  <c r="AA2778" i="30"/>
  <c r="AA2790" i="30"/>
  <c r="AA2802" i="30"/>
  <c r="AA2814" i="30"/>
  <c r="AA2824" i="30"/>
  <c r="AA2834" i="30"/>
  <c r="AA2846" i="30"/>
  <c r="AA2858" i="30"/>
  <c r="X10" i="30"/>
  <c r="X22" i="30"/>
  <c r="X34" i="30"/>
  <c r="X45" i="30"/>
  <c r="X54" i="30"/>
  <c r="X66" i="30"/>
  <c r="X78" i="30"/>
  <c r="X90" i="30"/>
  <c r="X103" i="30"/>
  <c r="X117" i="30"/>
  <c r="X131" i="30"/>
  <c r="X144" i="30"/>
  <c r="X159" i="30"/>
  <c r="X172" i="30"/>
  <c r="X181" i="30"/>
  <c r="X191" i="30"/>
  <c r="X205" i="30"/>
  <c r="X216" i="30"/>
  <c r="X226" i="30"/>
  <c r="X236" i="30"/>
  <c r="X244" i="30"/>
  <c r="X255" i="30"/>
  <c r="X265" i="30"/>
  <c r="X276" i="30"/>
  <c r="X287" i="30"/>
  <c r="X299" i="30"/>
  <c r="X312" i="30"/>
  <c r="X322" i="30"/>
  <c r="X330" i="30"/>
  <c r="X338" i="30"/>
  <c r="X346" i="30"/>
  <c r="X354" i="30"/>
  <c r="X362" i="30"/>
  <c r="X371" i="30"/>
  <c r="X385" i="30"/>
  <c r="X396" i="30"/>
  <c r="X408" i="30"/>
  <c r="X423" i="30"/>
  <c r="X436" i="30"/>
  <c r="X446" i="30"/>
  <c r="X457" i="30"/>
  <c r="X470" i="30"/>
  <c r="X482" i="30"/>
  <c r="X493" i="30"/>
  <c r="X505" i="30"/>
  <c r="X518" i="30"/>
  <c r="X530" i="30"/>
  <c r="X543" i="30"/>
  <c r="X553" i="30"/>
  <c r="X564" i="30"/>
  <c r="X578" i="30"/>
  <c r="X587" i="30"/>
  <c r="X600" i="30"/>
  <c r="X613" i="30"/>
  <c r="X625" i="30"/>
  <c r="X637" i="30"/>
  <c r="X648" i="30"/>
  <c r="X659" i="30"/>
  <c r="X673" i="30"/>
  <c r="X681" i="30"/>
  <c r="X689" i="30"/>
  <c r="X697" i="30"/>
  <c r="X707" i="30"/>
  <c r="X719" i="30"/>
  <c r="X731" i="30"/>
  <c r="X742" i="30"/>
  <c r="X756" i="30"/>
  <c r="X766" i="30"/>
  <c r="X781" i="30"/>
  <c r="X795" i="30"/>
  <c r="X805" i="30"/>
  <c r="X817" i="30"/>
  <c r="X828" i="30"/>
  <c r="X838" i="30"/>
  <c r="X853" i="30"/>
  <c r="X867" i="30"/>
  <c r="X881" i="30"/>
  <c r="X893" i="30"/>
  <c r="X901" i="30"/>
  <c r="X909" i="30"/>
  <c r="X917" i="30"/>
  <c r="X925" i="30"/>
  <c r="X933" i="30"/>
  <c r="X941" i="30"/>
  <c r="X949" i="30"/>
  <c r="X957" i="30"/>
  <c r="X965" i="30"/>
  <c r="X973" i="30"/>
  <c r="X981" i="30"/>
  <c r="X989" i="30"/>
  <c r="X997" i="30"/>
  <c r="X1005" i="30"/>
  <c r="AD236" i="30"/>
  <c r="AD1446" i="30"/>
  <c r="AD2053" i="30"/>
  <c r="AD2434" i="30"/>
  <c r="AD2653" i="30"/>
  <c r="AD2751" i="30"/>
  <c r="AA12" i="30"/>
  <c r="AA141" i="30"/>
  <c r="AA260" i="30"/>
  <c r="AA363" i="30"/>
  <c r="AA486" i="30"/>
  <c r="AA616" i="30"/>
  <c r="AA730" i="30"/>
  <c r="AA861" i="30"/>
  <c r="AA960" i="30"/>
  <c r="AA1047" i="30"/>
  <c r="AA1160" i="30"/>
  <c r="AA1205" i="30"/>
  <c r="AA1253" i="30"/>
  <c r="AA1298" i="30"/>
  <c r="AA1351" i="30"/>
  <c r="AA1398" i="30"/>
  <c r="AA1449" i="30"/>
  <c r="AA1501" i="30"/>
  <c r="AA1557" i="30"/>
  <c r="AA1607" i="30"/>
  <c r="AA1655" i="30"/>
  <c r="AA1706" i="30"/>
  <c r="AA1761" i="30"/>
  <c r="AA1835" i="30"/>
  <c r="AA1890" i="30"/>
  <c r="AA1943" i="30"/>
  <c r="AA1999" i="30"/>
  <c r="AA2055" i="30"/>
  <c r="AA2109" i="30"/>
  <c r="AA2162" i="30"/>
  <c r="AA2205" i="30"/>
  <c r="AA2247" i="30"/>
  <c r="AA2308" i="30"/>
  <c r="AA2353" i="30"/>
  <c r="AA2406" i="30"/>
  <c r="AA2455" i="30"/>
  <c r="AA2503" i="30"/>
  <c r="AA2532" i="30"/>
  <c r="AA2545" i="30"/>
  <c r="AA2553" i="30"/>
  <c r="AA2561" i="30"/>
  <c r="AA2569" i="30"/>
  <c r="AA2577" i="30"/>
  <c r="AA2585" i="30"/>
  <c r="AA2593" i="30"/>
  <c r="AA2601" i="30"/>
  <c r="AA2609" i="30"/>
  <c r="AA2617" i="30"/>
  <c r="AA2625" i="30"/>
  <c r="AA2633" i="30"/>
  <c r="AA2641" i="30"/>
  <c r="AA2649" i="30"/>
  <c r="AA2657" i="30"/>
  <c r="AA2665" i="30"/>
  <c r="AA2673" i="30"/>
  <c r="AA2681" i="30"/>
  <c r="AA2689" i="30"/>
  <c r="AA2697" i="30"/>
  <c r="AA2705" i="30"/>
  <c r="AA2715" i="30"/>
  <c r="AA2726" i="30"/>
  <c r="AA2736" i="30"/>
  <c r="AA2746" i="30"/>
  <c r="AA2758" i="30"/>
  <c r="AA2769" i="30"/>
  <c r="AA2779" i="30"/>
  <c r="AA2793" i="30"/>
  <c r="AA2803" i="30"/>
  <c r="AA2815" i="30"/>
  <c r="AA2825" i="30"/>
  <c r="AA2835" i="30"/>
  <c r="AA2847" i="30"/>
  <c r="AA2859" i="30"/>
  <c r="X12" i="30"/>
  <c r="X23" i="30"/>
  <c r="X35" i="30"/>
  <c r="X46" i="30"/>
  <c r="X55" i="30"/>
  <c r="X69" i="30"/>
  <c r="X80" i="30"/>
  <c r="X93" i="30"/>
  <c r="X106" i="30"/>
  <c r="X120" i="30"/>
  <c r="X132" i="30"/>
  <c r="X146" i="30"/>
  <c r="X160" i="30"/>
  <c r="X173" i="30"/>
  <c r="X182" i="30"/>
  <c r="X194" i="30"/>
  <c r="X206" i="30"/>
  <c r="X217" i="30"/>
  <c r="X227" i="30"/>
  <c r="X237" i="30"/>
  <c r="X246" i="30"/>
  <c r="X256" i="30"/>
  <c r="X266" i="30"/>
  <c r="X277" i="30"/>
  <c r="X288" i="30"/>
  <c r="X300" i="30"/>
  <c r="X313" i="30"/>
  <c r="X323" i="30"/>
  <c r="X331" i="30"/>
  <c r="X339" i="30"/>
  <c r="X347" i="30"/>
  <c r="X355" i="30"/>
  <c r="X363" i="30"/>
  <c r="X374" i="30"/>
  <c r="X386" i="30"/>
  <c r="X397" i="30"/>
  <c r="X409" i="30"/>
  <c r="X424" i="30"/>
  <c r="X437" i="30"/>
  <c r="X448" i="30"/>
  <c r="X458" i="30"/>
  <c r="X473" i="30"/>
  <c r="X483" i="30"/>
  <c r="X494" i="30"/>
  <c r="X508" i="30"/>
  <c r="X519" i="30"/>
  <c r="X532" i="30"/>
  <c r="X544" i="30"/>
  <c r="X555" i="30"/>
  <c r="X567" i="30"/>
  <c r="X579" i="30"/>
  <c r="X588" i="30"/>
  <c r="X605" i="30"/>
  <c r="X614" i="30"/>
  <c r="X626" i="30"/>
  <c r="X638" i="30"/>
  <c r="X649" i="30"/>
  <c r="X662" i="30"/>
  <c r="X674" i="30"/>
  <c r="X682" i="30"/>
  <c r="X690" i="30"/>
  <c r="X698" i="30"/>
  <c r="X708" i="30"/>
  <c r="X720" i="30"/>
  <c r="X732" i="30"/>
  <c r="X743" i="30"/>
  <c r="X757" i="30"/>
  <c r="X767" i="30"/>
  <c r="X782" i="30"/>
  <c r="X796" i="30"/>
  <c r="X807" i="30"/>
  <c r="X818" i="30"/>
  <c r="X829" i="30"/>
  <c r="X839" i="30"/>
  <c r="X854" i="30"/>
  <c r="X870" i="30"/>
  <c r="X882" i="30"/>
  <c r="X894" i="30"/>
  <c r="X902" i="30"/>
  <c r="X910" i="30"/>
  <c r="X918" i="30"/>
  <c r="X926" i="30"/>
  <c r="X934" i="30"/>
  <c r="X942" i="30"/>
  <c r="X950" i="30"/>
  <c r="X958" i="30"/>
  <c r="X966" i="30"/>
  <c r="X974" i="30"/>
  <c r="X982" i="30"/>
  <c r="X990" i="30"/>
  <c r="X998" i="30"/>
  <c r="X1006" i="30"/>
  <c r="AD591" i="30"/>
  <c r="AD1464" i="30"/>
  <c r="AD2062" i="30"/>
  <c r="AD2448" i="30"/>
  <c r="AD2656" i="30"/>
  <c r="AD2752" i="30"/>
  <c r="AA18" i="30"/>
  <c r="AA146" i="30"/>
  <c r="AA261" i="30"/>
  <c r="AA368" i="30"/>
  <c r="AA492" i="30"/>
  <c r="AA617" i="30"/>
  <c r="AA735" i="30"/>
  <c r="AA866" i="30"/>
  <c r="AA961" i="30"/>
  <c r="AA1053" i="30"/>
  <c r="AA1161" i="30"/>
  <c r="AA1206" i="30"/>
  <c r="AA1254" i="30"/>
  <c r="AA1299" i="30"/>
  <c r="AA1353" i="30"/>
  <c r="AA1399" i="30"/>
  <c r="AA1450" i="30"/>
  <c r="AA1504" i="30"/>
  <c r="AA1558" i="30"/>
  <c r="AA1608" i="30"/>
  <c r="AA1656" i="30"/>
  <c r="AA1707" i="30"/>
  <c r="AA1764" i="30"/>
  <c r="AA1836" i="30"/>
  <c r="AA1891" i="30"/>
  <c r="AA1946" i="30"/>
  <c r="AA2000" i="30"/>
  <c r="AA2058" i="30"/>
  <c r="AA2112" i="30"/>
  <c r="AA2163" i="30"/>
  <c r="AA2206" i="30"/>
  <c r="AA2248" i="30"/>
  <c r="AA2311" i="30"/>
  <c r="AA2355" i="30"/>
  <c r="AA2409" i="30"/>
  <c r="AA2456" i="30"/>
  <c r="AA2504" i="30"/>
  <c r="AA2534" i="30"/>
  <c r="AA2546" i="30"/>
  <c r="AA2554" i="30"/>
  <c r="AA2562" i="30"/>
  <c r="AA2570" i="30"/>
  <c r="AA2578" i="30"/>
  <c r="AA2586" i="30"/>
  <c r="AA2594" i="30"/>
  <c r="AA2602" i="30"/>
  <c r="AA2610" i="30"/>
  <c r="AA2618" i="30"/>
  <c r="AA2626" i="30"/>
  <c r="AA2634" i="30"/>
  <c r="AA2642" i="30"/>
  <c r="AA2650" i="30"/>
  <c r="AA2658" i="30"/>
  <c r="AA2666" i="30"/>
  <c r="AA2674" i="30"/>
  <c r="AA2682" i="30"/>
  <c r="AA2690" i="30"/>
  <c r="AA2698" i="30"/>
  <c r="AA2706" i="30"/>
  <c r="AA2716" i="30"/>
  <c r="AA2727" i="30"/>
  <c r="AA2737" i="30"/>
  <c r="AA2747" i="30"/>
  <c r="AA2761" i="30"/>
  <c r="AA2770" i="30"/>
  <c r="AA2780" i="30"/>
  <c r="AA2794" i="30"/>
  <c r="AA2804" i="30"/>
  <c r="AA2816" i="30"/>
  <c r="AA2826" i="30"/>
  <c r="AA2836" i="30"/>
  <c r="AA2848" i="30"/>
  <c r="X3" i="30"/>
  <c r="X13" i="30"/>
  <c r="X26" i="30"/>
  <c r="X36" i="30"/>
  <c r="X47" i="30"/>
  <c r="X56" i="30"/>
  <c r="X70" i="30"/>
  <c r="X82" i="30"/>
  <c r="X94" i="30"/>
  <c r="X107" i="30"/>
  <c r="X121" i="30"/>
  <c r="X135" i="30"/>
  <c r="X148" i="30"/>
  <c r="X163" i="30"/>
  <c r="X174" i="30"/>
  <c r="X183" i="30"/>
  <c r="X195" i="30"/>
  <c r="X207" i="30"/>
  <c r="X218" i="30"/>
  <c r="X228" i="30"/>
  <c r="X238" i="30"/>
  <c r="X247" i="30"/>
  <c r="X257" i="30"/>
  <c r="X267" i="30"/>
  <c r="X280" i="30"/>
  <c r="X289" i="30"/>
  <c r="X301" i="30"/>
  <c r="X314" i="30"/>
  <c r="X324" i="30"/>
  <c r="X332" i="30"/>
  <c r="X340" i="30"/>
  <c r="X348" i="30"/>
  <c r="X356" i="30"/>
  <c r="X364" i="30"/>
  <c r="X375" i="30"/>
  <c r="X387" i="30"/>
  <c r="X400" i="30"/>
  <c r="X410" i="30"/>
  <c r="X425" i="30"/>
  <c r="X438" i="30"/>
  <c r="X449" i="30"/>
  <c r="X459" i="30"/>
  <c r="X474" i="30"/>
  <c r="X484" i="30"/>
  <c r="X495" i="30"/>
  <c r="X509" i="30"/>
  <c r="X520" i="30"/>
  <c r="X533" i="30"/>
  <c r="X547" i="30"/>
  <c r="X556" i="30"/>
  <c r="X568" i="30"/>
  <c r="X580" i="30"/>
  <c r="X591" i="30"/>
  <c r="X606" i="30"/>
  <c r="X615" i="30"/>
  <c r="X627" i="30"/>
  <c r="X639" i="30"/>
  <c r="X650" i="30"/>
  <c r="X663" i="30"/>
  <c r="X675" i="30"/>
  <c r="X683" i="30"/>
  <c r="X691" i="30"/>
  <c r="X699" i="30"/>
  <c r="X709" i="30"/>
  <c r="X721" i="30"/>
  <c r="X734" i="30"/>
  <c r="X746" i="30"/>
  <c r="X758" i="30"/>
  <c r="X769" i="30"/>
  <c r="X785" i="30"/>
  <c r="X797" i="30"/>
  <c r="X808" i="30"/>
  <c r="X819" i="30"/>
  <c r="X830" i="30"/>
  <c r="X842" i="30"/>
  <c r="X857" i="30"/>
  <c r="X871" i="30"/>
  <c r="X883" i="30"/>
  <c r="X895" i="30"/>
  <c r="X903" i="30"/>
  <c r="X911" i="30"/>
  <c r="X919" i="30"/>
  <c r="X927" i="30"/>
  <c r="X935" i="30"/>
  <c r="X943" i="30"/>
  <c r="X951" i="30"/>
  <c r="X959" i="30"/>
  <c r="X967" i="30"/>
  <c r="X975" i="30"/>
  <c r="X983" i="30"/>
  <c r="X991" i="30"/>
  <c r="X999" i="30"/>
  <c r="X1007" i="30"/>
  <c r="AD960" i="30"/>
  <c r="AD1594" i="30"/>
  <c r="AD2170" i="30"/>
  <c r="AD2520" i="30"/>
  <c r="AD2676" i="30"/>
  <c r="AD2778" i="30"/>
  <c r="AA41" i="30"/>
  <c r="AA177" i="30"/>
  <c r="AA288" i="30"/>
  <c r="AA394" i="30"/>
  <c r="AA521" i="30"/>
  <c r="AA647" i="30"/>
  <c r="AA761" i="30"/>
  <c r="AA896" i="30"/>
  <c r="AA980" i="30"/>
  <c r="AA1076" i="30"/>
  <c r="AA1172" i="30"/>
  <c r="AA1218" i="30"/>
  <c r="AA1264" i="30"/>
  <c r="AA1308" i="30"/>
  <c r="AA1366" i="30"/>
  <c r="AA1412" i="30"/>
  <c r="AA1463" i="30"/>
  <c r="AA1515" i="30"/>
  <c r="AA1569" i="30"/>
  <c r="AA1618" i="30"/>
  <c r="AA1667" i="30"/>
  <c r="AA1720" i="30"/>
  <c r="AA1780" i="30"/>
  <c r="AA1849" i="30"/>
  <c r="AA1904" i="30"/>
  <c r="AA1959" i="30"/>
  <c r="AA2013" i="30"/>
  <c r="AA2069" i="30"/>
  <c r="AA2124" i="30"/>
  <c r="AA2172" i="30"/>
  <c r="AA2219" i="30"/>
  <c r="AA2261" i="30"/>
  <c r="AA2319" i="30"/>
  <c r="AA2364" i="30"/>
  <c r="AA2416" i="30"/>
  <c r="AA2469" i="30"/>
  <c r="AA2514" i="30"/>
  <c r="AA2536" i="30"/>
  <c r="AA2547" i="30"/>
  <c r="AA2555" i="30"/>
  <c r="AA2563" i="30"/>
  <c r="AA2571" i="30"/>
  <c r="AA2579" i="30"/>
  <c r="AA2587" i="30"/>
  <c r="AA2595" i="30"/>
  <c r="AA2603" i="30"/>
  <c r="AA2611" i="30"/>
  <c r="AA2619" i="30"/>
  <c r="AA2627" i="30"/>
  <c r="AA2635" i="30"/>
  <c r="AA2643" i="30"/>
  <c r="AA2651" i="30"/>
  <c r="AA2659" i="30"/>
  <c r="AA2667" i="30"/>
  <c r="AA2675" i="30"/>
  <c r="AA2683" i="30"/>
  <c r="AA2691" i="30"/>
  <c r="AA2699" i="30"/>
  <c r="AA2707" i="30"/>
  <c r="AA2717" i="30"/>
  <c r="AA2728" i="30"/>
  <c r="AA2738" i="30"/>
  <c r="AA2750" i="30"/>
  <c r="AA2762" i="30"/>
  <c r="AA2773" i="30"/>
  <c r="AA2781" i="30"/>
  <c r="AA2797" i="30"/>
  <c r="AA2805" i="30"/>
  <c r="AA2817" i="30"/>
  <c r="AA2827" i="30"/>
  <c r="AA2837" i="30"/>
  <c r="AA2851" i="30"/>
  <c r="X4" i="30"/>
  <c r="X16" i="30"/>
  <c r="X27" i="30"/>
  <c r="X37" i="30"/>
  <c r="X48" i="30"/>
  <c r="X59" i="30"/>
  <c r="X73" i="30"/>
  <c r="X83" i="30"/>
  <c r="X95" i="30"/>
  <c r="X108" i="30"/>
  <c r="X122" i="30"/>
  <c r="X136" i="30"/>
  <c r="X149" i="30"/>
  <c r="X164" i="30"/>
  <c r="X175" i="30"/>
  <c r="X184" i="30"/>
  <c r="X196" i="30"/>
  <c r="X210" i="30"/>
  <c r="X219" i="30"/>
  <c r="X229" i="30"/>
  <c r="X239" i="30"/>
  <c r="X248" i="30"/>
  <c r="X258" i="30"/>
  <c r="X268" i="30"/>
  <c r="X281" i="30"/>
  <c r="X290" i="30"/>
  <c r="X302" i="30"/>
  <c r="X315" i="30"/>
  <c r="X325" i="30"/>
  <c r="X333" i="30"/>
  <c r="X341" i="30"/>
  <c r="X349" i="30"/>
  <c r="X357" i="30"/>
  <c r="X365" i="30"/>
  <c r="X378" i="30"/>
  <c r="X389" i="30"/>
  <c r="X402" i="30"/>
  <c r="X412" i="30"/>
  <c r="X427" i="30"/>
  <c r="X440" i="30"/>
  <c r="X450" i="30"/>
  <c r="X461" i="30"/>
  <c r="X475" i="30"/>
  <c r="X485" i="30"/>
  <c r="X498" i="30"/>
  <c r="X510" i="30"/>
  <c r="X521" i="30"/>
  <c r="X534" i="30"/>
  <c r="X548" i="30"/>
  <c r="X557" i="30"/>
  <c r="X569" i="30"/>
  <c r="X581" i="30"/>
  <c r="X592" i="30"/>
  <c r="X607" i="30"/>
  <c r="X616" i="30"/>
  <c r="X630" i="30"/>
  <c r="X642" i="30"/>
  <c r="X651" i="30"/>
  <c r="X664" i="30"/>
  <c r="X676" i="30"/>
  <c r="X684" i="30"/>
  <c r="X692" i="30"/>
  <c r="X700" i="30"/>
  <c r="X710" i="30"/>
  <c r="X722" i="30"/>
  <c r="X735" i="30"/>
  <c r="X747" i="30"/>
  <c r="X759" i="30"/>
  <c r="X770" i="30"/>
  <c r="X786" i="30"/>
  <c r="X798" i="30"/>
  <c r="X809" i="30"/>
  <c r="X821" i="30"/>
  <c r="X831" i="30"/>
  <c r="X843" i="30"/>
  <c r="X858" i="30"/>
  <c r="X874" i="30"/>
  <c r="X886" i="30"/>
  <c r="X896" i="30"/>
  <c r="X904" i="30"/>
  <c r="X912" i="30"/>
  <c r="X920" i="30"/>
  <c r="X928" i="30"/>
  <c r="X936" i="30"/>
  <c r="X944" i="30"/>
  <c r="X952" i="30"/>
  <c r="X960" i="30"/>
  <c r="X968" i="30"/>
  <c r="X976" i="30"/>
  <c r="X984" i="30"/>
  <c r="X992" i="30"/>
  <c r="X1000" i="30"/>
  <c r="X1008" i="30"/>
  <c r="AD984" i="30"/>
  <c r="AD1603" i="30"/>
  <c r="AD2187" i="30"/>
  <c r="AD2532" i="30"/>
  <c r="AD2677" i="30"/>
  <c r="AD2784" i="30"/>
  <c r="AA46" i="30"/>
  <c r="AA178" i="30"/>
  <c r="AA292" i="30"/>
  <c r="AA397" i="30"/>
  <c r="AA524" i="30"/>
  <c r="AA651" i="30"/>
  <c r="AA764" i="30"/>
  <c r="AA897" i="30"/>
  <c r="AA984" i="30"/>
  <c r="AA1081" i="30"/>
  <c r="AA1173" i="30"/>
  <c r="AA1221" i="30"/>
  <c r="AA1267" i="30"/>
  <c r="AA1309" i="30"/>
  <c r="AA1368" i="30"/>
  <c r="AA1413" i="30"/>
  <c r="AA1464" i="30"/>
  <c r="AA1516" i="30"/>
  <c r="AA1572" i="30"/>
  <c r="AA1619" i="30"/>
  <c r="AA1668" i="30"/>
  <c r="AA1723" i="30"/>
  <c r="AA1781" i="30"/>
  <c r="AA1850" i="30"/>
  <c r="AA1905" i="30"/>
  <c r="AA1960" i="30"/>
  <c r="AA2014" i="30"/>
  <c r="AA2072" i="30"/>
  <c r="AA2125" i="30"/>
  <c r="AA2173" i="30"/>
  <c r="AA2220" i="30"/>
  <c r="AA2262" i="30"/>
  <c r="AA2322" i="30"/>
  <c r="AA2365" i="30"/>
  <c r="AA2419" i="30"/>
  <c r="AA2470" i="30"/>
  <c r="AA2517" i="30"/>
  <c r="AD1171" i="30"/>
  <c r="AD1727" i="30"/>
  <c r="AD2244" i="30"/>
  <c r="AD2589" i="30"/>
  <c r="AD2696" i="30"/>
  <c r="AD2809" i="30"/>
  <c r="AA75" i="30"/>
  <c r="AA206" i="30"/>
  <c r="AA319" i="30"/>
  <c r="AA425" i="30"/>
  <c r="AA552" i="30"/>
  <c r="AA677" i="30"/>
  <c r="AA798" i="30"/>
  <c r="AA916" i="30"/>
  <c r="AA1001" i="30"/>
  <c r="AA1109" i="30"/>
  <c r="AA1180" i="30"/>
  <c r="AA1229" i="30"/>
  <c r="AA1278" i="30"/>
  <c r="AA1322" i="30"/>
  <c r="AA1377" i="30"/>
  <c r="AA1424" i="30"/>
  <c r="AA1475" i="30"/>
  <c r="AA1529" i="30"/>
  <c r="AA1583" i="30"/>
  <c r="AA1631" i="30"/>
  <c r="AA1679" i="30"/>
  <c r="AA1737" i="30"/>
  <c r="AA1807" i="30"/>
  <c r="AA1862" i="30"/>
  <c r="AA1922" i="30"/>
  <c r="AA1971" i="30"/>
  <c r="AA2027" i="30"/>
  <c r="AA2081" i="30"/>
  <c r="AA2137" i="30"/>
  <c r="AA2185" i="30"/>
  <c r="AA2230" i="30"/>
  <c r="AA2275" i="30"/>
  <c r="AA2330" i="30"/>
  <c r="AA2377" i="30"/>
  <c r="AA2430" i="30"/>
  <c r="AA2479" i="30"/>
  <c r="AA2528" i="30"/>
  <c r="AA2539" i="30"/>
  <c r="AA2549" i="30"/>
  <c r="AA2557" i="30"/>
  <c r="AA2565" i="30"/>
  <c r="AA2573" i="30"/>
  <c r="AA2581" i="30"/>
  <c r="AA2589" i="30"/>
  <c r="AA2597" i="30"/>
  <c r="AA2605" i="30"/>
  <c r="AA2613" i="30"/>
  <c r="AA2621" i="30"/>
  <c r="AA2629" i="30"/>
  <c r="AA2637" i="30"/>
  <c r="AA2645" i="30"/>
  <c r="AA2653" i="30"/>
  <c r="AA2661" i="30"/>
  <c r="AA2669" i="30"/>
  <c r="AA2677" i="30"/>
  <c r="AA2685" i="30"/>
  <c r="AA2693" i="30"/>
  <c r="AA2701" i="30"/>
  <c r="AA2709" i="30"/>
  <c r="AA2719" i="30"/>
  <c r="AA2730" i="30"/>
  <c r="AA2740" i="30"/>
  <c r="AA2752" i="30"/>
  <c r="AA2764" i="30"/>
  <c r="AA2775" i="30"/>
  <c r="AA2787" i="30"/>
  <c r="AA2799" i="30"/>
  <c r="AA2809" i="30"/>
  <c r="AA2819" i="30"/>
  <c r="AA2831" i="30"/>
  <c r="AA2841" i="30"/>
  <c r="AA2853" i="30"/>
  <c r="X7" i="30"/>
  <c r="X18" i="30"/>
  <c r="X29" i="30"/>
  <c r="X40" i="30"/>
  <c r="X50" i="30"/>
  <c r="X61" i="30"/>
  <c r="X75" i="30"/>
  <c r="X85" i="30"/>
  <c r="X99" i="30"/>
  <c r="X112" i="30"/>
  <c r="X124" i="30"/>
  <c r="X140" i="30"/>
  <c r="X153" i="30"/>
  <c r="X167" i="30"/>
  <c r="X177" i="30"/>
  <c r="X186" i="30"/>
  <c r="X200" i="30"/>
  <c r="X213" i="30"/>
  <c r="X221" i="30"/>
  <c r="X231" i="30"/>
  <c r="X241" i="30"/>
  <c r="X250" i="30"/>
  <c r="X260" i="30"/>
  <c r="X272" i="30"/>
  <c r="X283" i="30"/>
  <c r="X292" i="30"/>
  <c r="X306" i="30"/>
  <c r="X318" i="30"/>
  <c r="X327" i="30"/>
  <c r="X335" i="30"/>
  <c r="X343" i="30"/>
  <c r="X351" i="30"/>
  <c r="X359" i="30"/>
  <c r="X368" i="30"/>
  <c r="X380" i="30"/>
  <c r="X393" i="30"/>
  <c r="X404" i="30"/>
  <c r="X414" i="30"/>
  <c r="X431" i="30"/>
  <c r="X443" i="30"/>
  <c r="X454" i="30"/>
  <c r="X465" i="30"/>
  <c r="X477" i="30"/>
  <c r="X487" i="30"/>
  <c r="X502" i="30"/>
  <c r="X514" i="30"/>
  <c r="X525" i="30"/>
  <c r="X538" i="30"/>
  <c r="X550" i="30"/>
  <c r="X559" i="30"/>
  <c r="X573" i="30"/>
  <c r="X584" i="30"/>
  <c r="X596" i="30"/>
  <c r="X609" i="30"/>
  <c r="X618" i="30"/>
  <c r="X634" i="30"/>
  <c r="X644" i="30"/>
  <c r="X654" i="30"/>
  <c r="X668" i="30"/>
  <c r="X678" i="30"/>
  <c r="X686" i="30"/>
  <c r="X694" i="30"/>
  <c r="X702" i="30"/>
  <c r="X712" i="30"/>
  <c r="X726" i="30"/>
  <c r="X737" i="30"/>
  <c r="X751" i="30"/>
  <c r="X762" i="30"/>
  <c r="X774" i="30"/>
  <c r="X788" i="30"/>
  <c r="X802" i="30"/>
  <c r="X812" i="30"/>
  <c r="X823" i="30"/>
  <c r="X835" i="30"/>
  <c r="X848" i="30"/>
  <c r="X862" i="30"/>
  <c r="X876" i="30"/>
  <c r="X888" i="30"/>
  <c r="X898" i="30"/>
  <c r="X906" i="30"/>
  <c r="X914" i="30"/>
  <c r="X922" i="30"/>
  <c r="X930" i="30"/>
  <c r="X938" i="30"/>
  <c r="X946" i="30"/>
  <c r="X954" i="30"/>
  <c r="X962" i="30"/>
  <c r="X970" i="30"/>
  <c r="X978" i="30"/>
  <c r="X986" i="30"/>
  <c r="X994" i="30"/>
  <c r="X1002" i="30"/>
  <c r="X1010" i="30"/>
  <c r="AD1176" i="30"/>
  <c r="AD1753" i="30"/>
  <c r="AD2259" i="30"/>
  <c r="AD2593" i="30"/>
  <c r="AD2700" i="30"/>
  <c r="AD2814" i="30"/>
  <c r="AA76" i="30"/>
  <c r="AA213" i="30"/>
  <c r="AA323" i="30"/>
  <c r="AA427" i="30"/>
  <c r="AA557" i="30"/>
  <c r="AA680" i="30"/>
  <c r="AA799" i="30"/>
  <c r="AA920" i="30"/>
  <c r="AA1004" i="30"/>
  <c r="AA1110" i="30"/>
  <c r="AA1181" i="30"/>
  <c r="AA1230" i="30"/>
  <c r="AA1279" i="30"/>
  <c r="AA1325" i="30"/>
  <c r="AA1378" i="30"/>
  <c r="AA1427" i="30"/>
  <c r="AA1478" i="30"/>
  <c r="AA1532" i="30"/>
  <c r="AA1584" i="30"/>
  <c r="AA1632" i="30"/>
  <c r="AA1681" i="30"/>
  <c r="AA1738" i="30"/>
  <c r="AA1808" i="30"/>
  <c r="AA1865" i="30"/>
  <c r="AA1923" i="30"/>
  <c r="AA1972" i="30"/>
  <c r="AA2028" i="30"/>
  <c r="AA2084" i="30"/>
  <c r="AA2139" i="30"/>
  <c r="AA2186" i="30"/>
  <c r="AA2231" i="30"/>
  <c r="AA2276" i="30"/>
  <c r="AA2333" i="30"/>
  <c r="AA2378" i="30"/>
  <c r="AA2433" i="30"/>
  <c r="AA2480" i="30"/>
  <c r="AA2529" i="30"/>
  <c r="AA2540" i="30"/>
  <c r="AA2550" i="30"/>
  <c r="AA2558" i="30"/>
  <c r="AA2566" i="30"/>
  <c r="AA2574" i="30"/>
  <c r="AA2582" i="30"/>
  <c r="AA2590" i="30"/>
  <c r="AA2598" i="30"/>
  <c r="AA2606" i="30"/>
  <c r="AA2614" i="30"/>
  <c r="AA2622" i="30"/>
  <c r="AA2630" i="30"/>
  <c r="AA2638" i="30"/>
  <c r="AA2646" i="30"/>
  <c r="AA2654" i="30"/>
  <c r="AA2662" i="30"/>
  <c r="AA2670" i="30"/>
  <c r="AA2678" i="30"/>
  <c r="AA2686" i="30"/>
  <c r="AA2694" i="30"/>
  <c r="AA2702" i="30"/>
  <c r="AA2712" i="30"/>
  <c r="AA2720" i="30"/>
  <c r="AA2731" i="30"/>
  <c r="AA2741" i="30"/>
  <c r="AA2753" i="30"/>
  <c r="AA2765" i="30"/>
  <c r="AA2776" i="30"/>
  <c r="AA2788" i="30"/>
  <c r="AA2800" i="30"/>
  <c r="AA2810" i="30"/>
  <c r="AA2822" i="30"/>
  <c r="AA2832" i="30"/>
  <c r="AA2842" i="30"/>
  <c r="AA2856" i="30"/>
  <c r="X8" i="30"/>
  <c r="X19" i="30"/>
  <c r="X30" i="30"/>
  <c r="X41" i="30"/>
  <c r="X51" i="30"/>
  <c r="X64" i="30"/>
  <c r="X76" i="30"/>
  <c r="X88" i="30"/>
  <c r="X100" i="30"/>
  <c r="X113" i="30"/>
  <c r="X127" i="30"/>
  <c r="X141" i="30"/>
  <c r="X154" i="30"/>
  <c r="X170" i="30"/>
  <c r="X178" i="30"/>
  <c r="X187" i="30"/>
  <c r="X201" i="30"/>
  <c r="X214" i="30"/>
  <c r="X222" i="30"/>
  <c r="X234" i="30"/>
  <c r="X242" i="30"/>
  <c r="X251" i="30"/>
  <c r="X261" i="30"/>
  <c r="X273" i="30"/>
  <c r="X284" i="30"/>
  <c r="X295" i="30"/>
  <c r="X308" i="30"/>
  <c r="X319" i="30"/>
  <c r="X328" i="30"/>
  <c r="X336" i="30"/>
  <c r="X344" i="30"/>
  <c r="X352" i="30"/>
  <c r="X360" i="30"/>
  <c r="X369" i="30"/>
  <c r="X381" i="30"/>
  <c r="X394" i="30"/>
  <c r="X405" i="30"/>
  <c r="X418" i="30"/>
  <c r="X433" i="30"/>
  <c r="X444" i="30"/>
  <c r="X455" i="30"/>
  <c r="X466" i="30"/>
  <c r="X478" i="30"/>
  <c r="X489" i="30"/>
  <c r="X503" i="30"/>
  <c r="X515" i="30"/>
  <c r="X526" i="30"/>
  <c r="X539" i="30"/>
  <c r="X551" i="30"/>
  <c r="X560" i="30"/>
  <c r="X576" i="30"/>
  <c r="X585" i="30"/>
  <c r="X597" i="30"/>
  <c r="X610" i="30"/>
  <c r="X621" i="30"/>
  <c r="X635" i="30"/>
  <c r="X646" i="30"/>
  <c r="X657" i="30"/>
  <c r="X669" i="30"/>
  <c r="X679" i="30"/>
  <c r="X687" i="30"/>
  <c r="X695" i="30"/>
  <c r="X703" i="30"/>
  <c r="X715" i="30"/>
  <c r="X727" i="30"/>
  <c r="X738" i="30"/>
  <c r="X752" i="30"/>
  <c r="X763" i="30"/>
  <c r="AA234" i="30"/>
  <c r="AA1139" i="30"/>
  <c r="AA1543" i="30"/>
  <c r="AA1985" i="30"/>
  <c r="AA2392" i="30"/>
  <c r="AA2556" i="30"/>
  <c r="AA2588" i="30"/>
  <c r="AA2620" i="30"/>
  <c r="AA2652" i="30"/>
  <c r="AA2684" i="30"/>
  <c r="AA2718" i="30"/>
  <c r="AA2763" i="30"/>
  <c r="AA2808" i="30"/>
  <c r="AA2852" i="30"/>
  <c r="X38" i="30"/>
  <c r="X84" i="30"/>
  <c r="X137" i="30"/>
  <c r="X185" i="30"/>
  <c r="X230" i="30"/>
  <c r="X270" i="30"/>
  <c r="X317" i="30"/>
  <c r="X350" i="30"/>
  <c r="X390" i="30"/>
  <c r="X441" i="30"/>
  <c r="X486" i="30"/>
  <c r="X535" i="30"/>
  <c r="X583" i="30"/>
  <c r="X631" i="30"/>
  <c r="X677" i="30"/>
  <c r="X711" i="30"/>
  <c r="X761" i="30"/>
  <c r="X799" i="30"/>
  <c r="X827" i="30"/>
  <c r="X863" i="30"/>
  <c r="X897" i="30"/>
  <c r="X916" i="30"/>
  <c r="X939" i="30"/>
  <c r="X961" i="30"/>
  <c r="X980" i="30"/>
  <c r="X1003" i="30"/>
  <c r="X1016" i="30"/>
  <c r="X1024" i="30"/>
  <c r="X1032" i="30"/>
  <c r="X1040" i="30"/>
  <c r="X1053" i="30"/>
  <c r="X1066" i="30"/>
  <c r="X1075" i="30"/>
  <c r="X1087" i="30"/>
  <c r="X1097" i="30"/>
  <c r="X1109" i="30"/>
  <c r="X1121" i="30"/>
  <c r="X1133" i="30"/>
  <c r="X1144" i="30"/>
  <c r="X1159" i="30"/>
  <c r="X1171" i="30"/>
  <c r="X1179" i="30"/>
  <c r="X1188" i="30"/>
  <c r="X1204" i="30"/>
  <c r="X1217" i="30"/>
  <c r="X1227" i="30"/>
  <c r="X1240" i="30"/>
  <c r="X1252" i="30"/>
  <c r="X1263" i="30"/>
  <c r="X1275" i="30"/>
  <c r="X1287" i="30"/>
  <c r="X1297" i="30"/>
  <c r="X1305" i="30"/>
  <c r="X1321" i="30"/>
  <c r="X1336" i="30"/>
  <c r="X1348" i="30"/>
  <c r="X1365" i="30"/>
  <c r="X1376" i="30"/>
  <c r="X1386" i="30"/>
  <c r="X1397" i="30"/>
  <c r="X1411" i="30"/>
  <c r="X1423" i="30"/>
  <c r="X1435" i="30"/>
  <c r="X1448" i="30"/>
  <c r="X1462" i="30"/>
  <c r="X1474" i="30"/>
  <c r="X1486" i="30"/>
  <c r="X1500" i="30"/>
  <c r="X1514" i="30"/>
  <c r="X1528" i="30"/>
  <c r="X1540" i="30"/>
  <c r="X1554" i="30"/>
  <c r="X1568" i="30"/>
  <c r="X1582" i="30"/>
  <c r="X1590" i="30"/>
  <c r="X1606" i="30"/>
  <c r="X1617" i="30"/>
  <c r="X1629" i="30"/>
  <c r="X1640" i="30"/>
  <c r="X1654" i="30"/>
  <c r="X1664" i="30"/>
  <c r="X1678" i="30"/>
  <c r="X1690" i="30"/>
  <c r="X1705" i="30"/>
  <c r="X1719" i="30"/>
  <c r="X1736" i="30"/>
  <c r="X1747" i="30"/>
  <c r="X1760" i="30"/>
  <c r="X1777" i="30"/>
  <c r="X1804" i="30"/>
  <c r="X1818" i="30"/>
  <c r="X1832" i="30"/>
  <c r="X1846" i="30"/>
  <c r="X1861" i="30"/>
  <c r="X1875" i="30"/>
  <c r="X1889" i="30"/>
  <c r="X1902" i="30"/>
  <c r="X1921" i="30"/>
  <c r="X1932" i="30"/>
  <c r="X1942" i="30"/>
  <c r="X1958" i="30"/>
  <c r="X1970" i="30"/>
  <c r="X1984" i="30"/>
  <c r="X1998" i="30"/>
  <c r="X2010" i="30"/>
  <c r="X2024" i="30"/>
  <c r="X2041" i="30"/>
  <c r="X2054" i="30"/>
  <c r="X2068" i="30"/>
  <c r="X2080" i="30"/>
  <c r="X2093" i="30"/>
  <c r="X2108" i="30"/>
  <c r="X2123" i="30"/>
  <c r="X2136" i="30"/>
  <c r="X2148" i="30"/>
  <c r="X2161" i="30"/>
  <c r="X2171" i="30"/>
  <c r="X2183" i="30"/>
  <c r="X2192" i="30"/>
  <c r="X2204" i="30"/>
  <c r="X2218" i="30"/>
  <c r="X2229" i="30"/>
  <c r="X2237" i="30"/>
  <c r="X2245" i="30"/>
  <c r="X2260" i="30"/>
  <c r="X2274" i="30"/>
  <c r="X2290" i="30"/>
  <c r="X2307" i="30"/>
  <c r="X2318" i="30"/>
  <c r="X2329" i="30"/>
  <c r="X2339" i="30"/>
  <c r="X2352" i="30"/>
  <c r="X2363" i="30"/>
  <c r="X2373" i="30"/>
  <c r="X2391" i="30"/>
  <c r="X2405" i="30"/>
  <c r="X2415" i="30"/>
  <c r="X2429" i="30"/>
  <c r="X2441" i="30"/>
  <c r="X2454" i="30"/>
  <c r="X2468" i="30"/>
  <c r="X2477" i="30"/>
  <c r="X2488" i="30"/>
  <c r="X2502" i="30"/>
  <c r="X2513" i="30"/>
  <c r="X2529" i="30"/>
  <c r="X2540" i="30"/>
  <c r="X2550" i="30"/>
  <c r="X2558" i="30"/>
  <c r="X2566" i="30"/>
  <c r="X2574" i="30"/>
  <c r="X2582" i="30"/>
  <c r="X2590" i="30"/>
  <c r="X2598" i="30"/>
  <c r="X2606" i="30"/>
  <c r="X2614" i="30"/>
  <c r="X2622" i="30"/>
  <c r="X2630" i="30"/>
  <c r="X2638" i="30"/>
  <c r="X2646" i="30"/>
  <c r="X2654" i="30"/>
  <c r="X2662" i="30"/>
  <c r="X2670" i="30"/>
  <c r="X2678" i="30"/>
  <c r="X2686" i="30"/>
  <c r="X2694" i="30"/>
  <c r="X2702" i="30"/>
  <c r="X2712" i="30"/>
  <c r="X2720" i="30"/>
  <c r="X2731" i="30"/>
  <c r="X2741" i="30"/>
  <c r="X2753" i="30"/>
  <c r="X2765" i="30"/>
  <c r="X2776" i="30"/>
  <c r="X2788" i="30"/>
  <c r="X2800" i="30"/>
  <c r="X2810" i="30"/>
  <c r="X2822" i="30"/>
  <c r="X2832" i="30"/>
  <c r="X2842" i="30"/>
  <c r="X2856" i="30"/>
  <c r="R8" i="30"/>
  <c r="R19" i="30"/>
  <c r="AK19" i="30" s="1"/>
  <c r="R30" i="30"/>
  <c r="AK30" i="30" s="1"/>
  <c r="R41" i="30"/>
  <c r="R51" i="30"/>
  <c r="R64" i="30"/>
  <c r="R76" i="30"/>
  <c r="R88" i="30"/>
  <c r="R100" i="30"/>
  <c r="R113" i="30"/>
  <c r="AK113" i="30" s="1"/>
  <c r="R127" i="30"/>
  <c r="AK127" i="30" s="1"/>
  <c r="R141" i="30"/>
  <c r="R154" i="30"/>
  <c r="R170" i="30"/>
  <c r="R178" i="30"/>
  <c r="R187" i="30"/>
  <c r="R201" i="30"/>
  <c r="R214" i="30"/>
  <c r="AK214" i="30" s="1"/>
  <c r="R222" i="30"/>
  <c r="AK222" i="30" s="1"/>
  <c r="R234" i="30"/>
  <c r="R242" i="30"/>
  <c r="AK242" i="30" s="1"/>
  <c r="R251" i="30"/>
  <c r="R261" i="30"/>
  <c r="R273" i="30"/>
  <c r="R284" i="30"/>
  <c r="R295" i="30"/>
  <c r="AK295" i="30" s="1"/>
  <c r="R308" i="30"/>
  <c r="R319" i="30"/>
  <c r="R328" i="30"/>
  <c r="AK328" i="30" s="1"/>
  <c r="R336" i="30"/>
  <c r="R344" i="30"/>
  <c r="R352" i="30"/>
  <c r="R360" i="30"/>
  <c r="R369" i="30"/>
  <c r="AK369" i="30" s="1"/>
  <c r="R381" i="30"/>
  <c r="AK381" i="30" s="1"/>
  <c r="R394" i="30"/>
  <c r="R405" i="30"/>
  <c r="R415" i="30"/>
  <c r="R427" i="30"/>
  <c r="R440" i="30"/>
  <c r="R450" i="30"/>
  <c r="R465" i="30"/>
  <c r="AK465" i="30" s="1"/>
  <c r="R477" i="30"/>
  <c r="R487" i="30"/>
  <c r="R502" i="30"/>
  <c r="R514" i="30"/>
  <c r="AK514" i="30" s="1"/>
  <c r="R525" i="30"/>
  <c r="R538" i="30"/>
  <c r="AK538" i="30" s="1"/>
  <c r="R550" i="30"/>
  <c r="R559" i="30"/>
  <c r="AK559" i="30" s="1"/>
  <c r="R573" i="30"/>
  <c r="R584" i="30"/>
  <c r="R596" i="30"/>
  <c r="R609" i="30"/>
  <c r="AK609" i="30" s="1"/>
  <c r="R618" i="30"/>
  <c r="R634" i="30"/>
  <c r="AK634" i="30" s="1"/>
  <c r="R644" i="30"/>
  <c r="R654" i="30"/>
  <c r="AK654" i="30" s="1"/>
  <c r="R668" i="30"/>
  <c r="R678" i="30"/>
  <c r="R686" i="30"/>
  <c r="R694" i="30"/>
  <c r="R702" i="30"/>
  <c r="R712" i="30"/>
  <c r="R726" i="30"/>
  <c r="R737" i="30"/>
  <c r="AK737" i="30" s="1"/>
  <c r="R751" i="30"/>
  <c r="R762" i="30"/>
  <c r="R774" i="30"/>
  <c r="R788" i="30"/>
  <c r="AK788" i="30" s="1"/>
  <c r="R802" i="30"/>
  <c r="R813" i="30"/>
  <c r="R826" i="30"/>
  <c r="R836" i="30"/>
  <c r="AK836" i="30" s="1"/>
  <c r="R849" i="30"/>
  <c r="R863" i="30"/>
  <c r="R877" i="30"/>
  <c r="R889" i="30"/>
  <c r="R899" i="30"/>
  <c r="R907" i="30"/>
  <c r="R915" i="30"/>
  <c r="R923" i="30"/>
  <c r="AK923" i="30" s="1"/>
  <c r="R931" i="30"/>
  <c r="R939" i="30"/>
  <c r="R947" i="30"/>
  <c r="R955" i="30"/>
  <c r="R963" i="30"/>
  <c r="R971" i="30"/>
  <c r="R979" i="30"/>
  <c r="R987" i="30"/>
  <c r="AK987" i="30" s="1"/>
  <c r="R995" i="30"/>
  <c r="R1003" i="30"/>
  <c r="R1011" i="30"/>
  <c r="R1019" i="30"/>
  <c r="R1027" i="30"/>
  <c r="R1035" i="30"/>
  <c r="R1044" i="30"/>
  <c r="R1057" i="30"/>
  <c r="R1069" i="30"/>
  <c r="R1080" i="30"/>
  <c r="R1090" i="30"/>
  <c r="R1100" i="30"/>
  <c r="R1112" i="30"/>
  <c r="R1126" i="30"/>
  <c r="R1136" i="30"/>
  <c r="R1148" i="30"/>
  <c r="R1164" i="30"/>
  <c r="R1174" i="30"/>
  <c r="R1182" i="30"/>
  <c r="R1195" i="30"/>
  <c r="R1215" i="30"/>
  <c r="R1226" i="30"/>
  <c r="R1237" i="30"/>
  <c r="R1251" i="30"/>
  <c r="AK1251" i="30" s="1"/>
  <c r="R1260" i="30"/>
  <c r="R1274" i="30"/>
  <c r="R1285" i="30"/>
  <c r="R1296" i="30"/>
  <c r="R1304" i="30"/>
  <c r="R1318" i="30"/>
  <c r="AK1318" i="30" s="1"/>
  <c r="R1333" i="30"/>
  <c r="R1347" i="30"/>
  <c r="R1362" i="30"/>
  <c r="AK1362" i="30" s="1"/>
  <c r="R1375" i="30"/>
  <c r="R1385" i="30"/>
  <c r="R1395" i="30"/>
  <c r="R1410" i="30"/>
  <c r="R1420" i="30"/>
  <c r="R1434" i="30"/>
  <c r="R1446" i="30"/>
  <c r="AK1446" i="30" s="1"/>
  <c r="R1461" i="30"/>
  <c r="AK1461" i="30" s="1"/>
  <c r="R1471" i="30"/>
  <c r="R1485" i="30"/>
  <c r="R1499" i="30"/>
  <c r="R1511" i="30"/>
  <c r="R1525" i="30"/>
  <c r="AK1525" i="30" s="1"/>
  <c r="R1539" i="30"/>
  <c r="R1553" i="30"/>
  <c r="AK1553" i="30" s="1"/>
  <c r="R1567" i="30"/>
  <c r="AK1567" i="30" s="1"/>
  <c r="R1579" i="30"/>
  <c r="R1589" i="30"/>
  <c r="R1603" i="30"/>
  <c r="R1616" i="30"/>
  <c r="R1628" i="30"/>
  <c r="R1639" i="30"/>
  <c r="R1652" i="30"/>
  <c r="AK1652" i="30" s="1"/>
  <c r="AD1309" i="30"/>
  <c r="AA343" i="30"/>
  <c r="AA1191" i="30"/>
  <c r="AA1591" i="30"/>
  <c r="AA2042" i="30"/>
  <c r="AA2442" i="30"/>
  <c r="AA2559" i="30"/>
  <c r="AA2591" i="30"/>
  <c r="AA2623" i="30"/>
  <c r="AA2655" i="30"/>
  <c r="AA2687" i="30"/>
  <c r="AA2722" i="30"/>
  <c r="AA2766" i="30"/>
  <c r="AA2811" i="30"/>
  <c r="AA2857" i="30"/>
  <c r="X42" i="30"/>
  <c r="X89" i="30"/>
  <c r="X142" i="30"/>
  <c r="X190" i="30"/>
  <c r="X235" i="30"/>
  <c r="X275" i="30"/>
  <c r="X321" i="30"/>
  <c r="X353" i="30"/>
  <c r="X395" i="30"/>
  <c r="X445" i="30"/>
  <c r="X492" i="30"/>
  <c r="X540" i="30"/>
  <c r="X586" i="30"/>
  <c r="X636" i="30"/>
  <c r="X680" i="30"/>
  <c r="X716" i="30"/>
  <c r="X764" i="30"/>
  <c r="X803" i="30"/>
  <c r="X834" i="30"/>
  <c r="X866" i="30"/>
  <c r="X899" i="30"/>
  <c r="X921" i="30"/>
  <c r="X940" i="30"/>
  <c r="X963" i="30"/>
  <c r="X985" i="30"/>
  <c r="X1004" i="30"/>
  <c r="X1017" i="30"/>
  <c r="X1025" i="30"/>
  <c r="X1033" i="30"/>
  <c r="X1042" i="30"/>
  <c r="X1055" i="30"/>
  <c r="X1067" i="30"/>
  <c r="X1076" i="30"/>
  <c r="X1088" i="30"/>
  <c r="X1098" i="30"/>
  <c r="X1110" i="30"/>
  <c r="X1122" i="30"/>
  <c r="X1134" i="30"/>
  <c r="X1145" i="30"/>
  <c r="X1160" i="30"/>
  <c r="X1172" i="30"/>
  <c r="X1180" i="30"/>
  <c r="X1191" i="30"/>
  <c r="X1205" i="30"/>
  <c r="X1218" i="30"/>
  <c r="X1229" i="30"/>
  <c r="X1241" i="30"/>
  <c r="X1253" i="30"/>
  <c r="X1264" i="30"/>
  <c r="X1278" i="30"/>
  <c r="X1288" i="30"/>
  <c r="X1298" i="30"/>
  <c r="X1308" i="30"/>
  <c r="X1322" i="30"/>
  <c r="X1337" i="30"/>
  <c r="X1351" i="30"/>
  <c r="X1366" i="30"/>
  <c r="X1377" i="30"/>
  <c r="X1387" i="30"/>
  <c r="X1398" i="30"/>
  <c r="X1412" i="30"/>
  <c r="X1424" i="30"/>
  <c r="X1436" i="30"/>
  <c r="X1449" i="30"/>
  <c r="X1463" i="30"/>
  <c r="X1475" i="30"/>
  <c r="X1487" i="30"/>
  <c r="X1501" i="30"/>
  <c r="X1515" i="30"/>
  <c r="X1529" i="30"/>
  <c r="X1543" i="30"/>
  <c r="X1557" i="30"/>
  <c r="X1569" i="30"/>
  <c r="X1583" i="30"/>
  <c r="X1591" i="30"/>
  <c r="X1607" i="30"/>
  <c r="X1618" i="30"/>
  <c r="X1631" i="30"/>
  <c r="X1641" i="30"/>
  <c r="X1655" i="30"/>
  <c r="X1667" i="30"/>
  <c r="X1679" i="30"/>
  <c r="X1691" i="30"/>
  <c r="X1706" i="30"/>
  <c r="X1720" i="30"/>
  <c r="X1737" i="30"/>
  <c r="X1748" i="30"/>
  <c r="X1761" i="30"/>
  <c r="X1780" i="30"/>
  <c r="X1807" i="30"/>
  <c r="X1821" i="30"/>
  <c r="X1835" i="30"/>
  <c r="X1849" i="30"/>
  <c r="X1862" i="30"/>
  <c r="X1876" i="30"/>
  <c r="X1890" i="30"/>
  <c r="X1904" i="30"/>
  <c r="X1922" i="30"/>
  <c r="X1933" i="30"/>
  <c r="X1943" i="30"/>
  <c r="X1959" i="30"/>
  <c r="X1971" i="30"/>
  <c r="X1985" i="30"/>
  <c r="X1999" i="30"/>
  <c r="X2013" i="30"/>
  <c r="X2027" i="30"/>
  <c r="X2042" i="30"/>
  <c r="X2055" i="30"/>
  <c r="X2069" i="30"/>
  <c r="X2081" i="30"/>
  <c r="X2095" i="30"/>
  <c r="X2109" i="30"/>
  <c r="X2124" i="30"/>
  <c r="X2137" i="30"/>
  <c r="X2149" i="30"/>
  <c r="X2162" i="30"/>
  <c r="X2172" i="30"/>
  <c r="X2185" i="30"/>
  <c r="X2193" i="30"/>
  <c r="X2205" i="30"/>
  <c r="X2219" i="30"/>
  <c r="X2230" i="30"/>
  <c r="X2238" i="30"/>
  <c r="X2247" i="30"/>
  <c r="X2261" i="30"/>
  <c r="X2275" i="30"/>
  <c r="X2295" i="30"/>
  <c r="X2308" i="30"/>
  <c r="X2319" i="30"/>
  <c r="X2330" i="30"/>
  <c r="X2340" i="30"/>
  <c r="X2353" i="30"/>
  <c r="X2364" i="30"/>
  <c r="X2377" i="30"/>
  <c r="X2392" i="30"/>
  <c r="X2406" i="30"/>
  <c r="X2416" i="30"/>
  <c r="X2430" i="30"/>
  <c r="X2442" i="30"/>
  <c r="X2455" i="30"/>
  <c r="X2469" i="30"/>
  <c r="X2479" i="30"/>
  <c r="X2491" i="30"/>
  <c r="X2503" i="30"/>
  <c r="X2514" i="30"/>
  <c r="X2530" i="30"/>
  <c r="X2543" i="30"/>
  <c r="X2551" i="30"/>
  <c r="X2559" i="30"/>
  <c r="X2567" i="30"/>
  <c r="X2575" i="30"/>
  <c r="X2583" i="30"/>
  <c r="X2591" i="30"/>
  <c r="X2599" i="30"/>
  <c r="X2607" i="30"/>
  <c r="X2615" i="30"/>
  <c r="X2623" i="30"/>
  <c r="X2631" i="30"/>
  <c r="X2639" i="30"/>
  <c r="X2647" i="30"/>
  <c r="X2655" i="30"/>
  <c r="X2663" i="30"/>
  <c r="X2671" i="30"/>
  <c r="X2679" i="30"/>
  <c r="X2687" i="30"/>
  <c r="X2695" i="30"/>
  <c r="X2703" i="30"/>
  <c r="X2713" i="30"/>
  <c r="X2722" i="30"/>
  <c r="X2732" i="30"/>
  <c r="X2742" i="30"/>
  <c r="X2756" i="30"/>
  <c r="X2766" i="30"/>
  <c r="X2777" i="30"/>
  <c r="X2789" i="30"/>
  <c r="X2801" i="30"/>
  <c r="X2811" i="30"/>
  <c r="X2823" i="30"/>
  <c r="X2833" i="30"/>
  <c r="X2845" i="30"/>
  <c r="X2857" i="30"/>
  <c r="R9" i="30"/>
  <c r="R21" i="30"/>
  <c r="R31" i="30"/>
  <c r="R42" i="30"/>
  <c r="R52" i="30"/>
  <c r="R65" i="30"/>
  <c r="R77" i="30"/>
  <c r="R89" i="30"/>
  <c r="R101" i="30"/>
  <c r="R114" i="30"/>
  <c r="AK114" i="30" s="1"/>
  <c r="R130" i="30"/>
  <c r="R142" i="30"/>
  <c r="AK142" i="30" s="1"/>
  <c r="R157" i="30"/>
  <c r="R171" i="30"/>
  <c r="R179" i="30"/>
  <c r="R190" i="30"/>
  <c r="R204" i="30"/>
  <c r="R215" i="30"/>
  <c r="R223" i="30"/>
  <c r="R235" i="30"/>
  <c r="AK235" i="30" s="1"/>
  <c r="R243" i="30"/>
  <c r="AK243" i="30" s="1"/>
  <c r="R254" i="30"/>
  <c r="R262" i="30"/>
  <c r="R275" i="30"/>
  <c r="R286" i="30"/>
  <c r="R296" i="30"/>
  <c r="R309" i="30"/>
  <c r="R321" i="30"/>
  <c r="AK321" i="30" s="1"/>
  <c r="R329" i="30"/>
  <c r="R337" i="30"/>
  <c r="R345" i="30"/>
  <c r="R353" i="30"/>
  <c r="R361" i="30"/>
  <c r="R370" i="30"/>
  <c r="AK370" i="30" s="1"/>
  <c r="R384" i="30"/>
  <c r="R395" i="30"/>
  <c r="AK395" i="30" s="1"/>
  <c r="R407" i="30"/>
  <c r="R416" i="30"/>
  <c r="R429" i="30"/>
  <c r="R441" i="30"/>
  <c r="R451" i="30"/>
  <c r="R466" i="30"/>
  <c r="R478" i="30"/>
  <c r="R489" i="30"/>
  <c r="AK489" i="30" s="1"/>
  <c r="R503" i="30"/>
  <c r="R515" i="30"/>
  <c r="R526" i="30"/>
  <c r="R539" i="30"/>
  <c r="R551" i="30"/>
  <c r="R560" i="30"/>
  <c r="R576" i="30"/>
  <c r="R585" i="30"/>
  <c r="AK585" i="30" s="1"/>
  <c r="R597" i="30"/>
  <c r="AK597" i="30" s="1"/>
  <c r="R610" i="30"/>
  <c r="R621" i="30"/>
  <c r="R635" i="30"/>
  <c r="R646" i="30"/>
  <c r="R657" i="30"/>
  <c r="R669" i="30"/>
  <c r="R679" i="30"/>
  <c r="AK679" i="30" s="1"/>
  <c r="R687" i="30"/>
  <c r="AK687" i="30" s="1"/>
  <c r="R695" i="30"/>
  <c r="R703" i="30"/>
  <c r="R715" i="30"/>
  <c r="R727" i="30"/>
  <c r="R738" i="30"/>
  <c r="R752" i="30"/>
  <c r="R763" i="30"/>
  <c r="AK763" i="30" s="1"/>
  <c r="R777" i="30"/>
  <c r="R791" i="30"/>
  <c r="R803" i="30"/>
  <c r="R816" i="30"/>
  <c r="R827" i="30"/>
  <c r="R837" i="30"/>
  <c r="R850" i="30"/>
  <c r="R866" i="30"/>
  <c r="AK866" i="30" s="1"/>
  <c r="R878" i="30"/>
  <c r="R890" i="30"/>
  <c r="R900" i="30"/>
  <c r="R908" i="30"/>
  <c r="R916" i="30"/>
  <c r="R924" i="30"/>
  <c r="AK924" i="30" s="1"/>
  <c r="R932" i="30"/>
  <c r="R940" i="30"/>
  <c r="AK940" i="30" s="1"/>
  <c r="R948" i="30"/>
  <c r="R956" i="30"/>
  <c r="R964" i="30"/>
  <c r="R972" i="30"/>
  <c r="R980" i="30"/>
  <c r="R988" i="30"/>
  <c r="AK988" i="30" s="1"/>
  <c r="R996" i="30"/>
  <c r="R1004" i="30"/>
  <c r="AK1004" i="30" s="1"/>
  <c r="R1012" i="30"/>
  <c r="R1020" i="30"/>
  <c r="R1028" i="30"/>
  <c r="R1036" i="30"/>
  <c r="R1047" i="30"/>
  <c r="R1060" i="30"/>
  <c r="AK1060" i="30" s="1"/>
  <c r="R1070" i="30"/>
  <c r="R1081" i="30"/>
  <c r="AK1081" i="30" s="1"/>
  <c r="R1093" i="30"/>
  <c r="R1103" i="30"/>
  <c r="R1113" i="30"/>
  <c r="R1127" i="30"/>
  <c r="R1137" i="30"/>
  <c r="R1149" i="30"/>
  <c r="AK1149" i="30" s="1"/>
  <c r="R1165" i="30"/>
  <c r="R1175" i="30"/>
  <c r="AK1175" i="30" s="1"/>
  <c r="R1183" i="30"/>
  <c r="R1196" i="30"/>
  <c r="R1217" i="30"/>
  <c r="R1227" i="30"/>
  <c r="AK1227" i="30" s="1"/>
  <c r="R1240" i="30"/>
  <c r="R1252" i="30"/>
  <c r="R1263" i="30"/>
  <c r="R1275" i="30"/>
  <c r="AK1275" i="30" s="1"/>
  <c r="R1287" i="30"/>
  <c r="R1297" i="30"/>
  <c r="R1305" i="30"/>
  <c r="R1321" i="30"/>
  <c r="AK1321" i="30" s="1"/>
  <c r="R1336" i="30"/>
  <c r="R1348" i="30"/>
  <c r="R1365" i="30"/>
  <c r="R1376" i="30"/>
  <c r="AK1376" i="30" s="1"/>
  <c r="R1386" i="30"/>
  <c r="AK1386" i="30" s="1"/>
  <c r="R1397" i="30"/>
  <c r="R1411" i="30"/>
  <c r="R1423" i="30"/>
  <c r="AK1423" i="30" s="1"/>
  <c r="R1435" i="30"/>
  <c r="R1448" i="30"/>
  <c r="R1462" i="30"/>
  <c r="R1474" i="30"/>
  <c r="AK1474" i="30" s="1"/>
  <c r="R1486" i="30"/>
  <c r="AK1486" i="30" s="1"/>
  <c r="R1500" i="30"/>
  <c r="R1514" i="30"/>
  <c r="R1528" i="30"/>
  <c r="AK1528" i="30" s="1"/>
  <c r="R1540" i="30"/>
  <c r="R1554" i="30"/>
  <c r="R1568" i="30"/>
  <c r="R1582" i="30"/>
  <c r="AK1582" i="30" s="1"/>
  <c r="R1590" i="30"/>
  <c r="AK1590" i="30" s="1"/>
  <c r="R1606" i="30"/>
  <c r="R1617" i="30"/>
  <c r="R1629" i="30"/>
  <c r="R1640" i="30"/>
  <c r="AD1895" i="30"/>
  <c r="AA456" i="30"/>
  <c r="AA1241" i="30"/>
  <c r="AA1641" i="30"/>
  <c r="AA2095" i="30"/>
  <c r="AA2491" i="30"/>
  <c r="AA2564" i="30"/>
  <c r="AA2596" i="30"/>
  <c r="AA2628" i="30"/>
  <c r="AA2660" i="30"/>
  <c r="AA2692" i="30"/>
  <c r="AA2729" i="30"/>
  <c r="AA2774" i="30"/>
  <c r="AA2818" i="30"/>
  <c r="X5" i="30"/>
  <c r="X49" i="30"/>
  <c r="X96" i="30"/>
  <c r="X150" i="30"/>
  <c r="X197" i="30"/>
  <c r="X240" i="30"/>
  <c r="X282" i="30"/>
  <c r="X326" i="30"/>
  <c r="X358" i="30"/>
  <c r="X403" i="30"/>
  <c r="X451" i="30"/>
  <c r="X499" i="30"/>
  <c r="X549" i="30"/>
  <c r="X595" i="30"/>
  <c r="X643" i="30"/>
  <c r="X685" i="30"/>
  <c r="X723" i="30"/>
  <c r="X773" i="30"/>
  <c r="X804" i="30"/>
  <c r="X836" i="30"/>
  <c r="X875" i="30"/>
  <c r="X900" i="30"/>
  <c r="X923" i="30"/>
  <c r="X945" i="30"/>
  <c r="X964" i="30"/>
  <c r="X987" i="30"/>
  <c r="X1009" i="30"/>
  <c r="X1018" i="30"/>
  <c r="X1026" i="30"/>
  <c r="X1034" i="30"/>
  <c r="X1043" i="30"/>
  <c r="X1056" i="30"/>
  <c r="X1068" i="30"/>
  <c r="X1079" i="30"/>
  <c r="X1089" i="30"/>
  <c r="X1099" i="30"/>
  <c r="X1111" i="30"/>
  <c r="X1123" i="30"/>
  <c r="X1135" i="30"/>
  <c r="X1147" i="30"/>
  <c r="X1161" i="30"/>
  <c r="X1173" i="30"/>
  <c r="X1181" i="30"/>
  <c r="X1192" i="30"/>
  <c r="X1206" i="30"/>
  <c r="X1221" i="30"/>
  <c r="X1230" i="30"/>
  <c r="X1242" i="30"/>
  <c r="X1254" i="30"/>
  <c r="X1267" i="30"/>
  <c r="X1279" i="30"/>
  <c r="X1289" i="30"/>
  <c r="X1299" i="30"/>
  <c r="X1309" i="30"/>
  <c r="X1325" i="30"/>
  <c r="X1340" i="30"/>
  <c r="X1353" i="30"/>
  <c r="X1368" i="30"/>
  <c r="X1378" i="30"/>
  <c r="X1388" i="30"/>
  <c r="X1399" i="30"/>
  <c r="X1413" i="30"/>
  <c r="X1427" i="30"/>
  <c r="X1439" i="30"/>
  <c r="X1450" i="30"/>
  <c r="X1464" i="30"/>
  <c r="X1478" i="30"/>
  <c r="X1490" i="30"/>
  <c r="X1504" i="30"/>
  <c r="X1516" i="30"/>
  <c r="X1532" i="30"/>
  <c r="X1546" i="30"/>
  <c r="X1558" i="30"/>
  <c r="X1572" i="30"/>
  <c r="X1584" i="30"/>
  <c r="X1594" i="30"/>
  <c r="X1608" i="30"/>
  <c r="X1619" i="30"/>
  <c r="X1632" i="30"/>
  <c r="X1644" i="30"/>
  <c r="X1656" i="30"/>
  <c r="X1668" i="30"/>
  <c r="X1681" i="30"/>
  <c r="X1693" i="30"/>
  <c r="X1707" i="30"/>
  <c r="X1723" i="30"/>
  <c r="X1738" i="30"/>
  <c r="X1749" i="30"/>
  <c r="X1764" i="30"/>
  <c r="X1781" i="30"/>
  <c r="X1808" i="30"/>
  <c r="X1822" i="30"/>
  <c r="X1836" i="30"/>
  <c r="X1850" i="30"/>
  <c r="X1865" i="30"/>
  <c r="X1877" i="30"/>
  <c r="X1891" i="30"/>
  <c r="X1905" i="30"/>
  <c r="X1923" i="30"/>
  <c r="X1934" i="30"/>
  <c r="X1946" i="30"/>
  <c r="X1960" i="30"/>
  <c r="X1972" i="30"/>
  <c r="X1988" i="30"/>
  <c r="X2000" i="30"/>
  <c r="X2014" i="30"/>
  <c r="X2028" i="30"/>
  <c r="X2044" i="30"/>
  <c r="X2058" i="30"/>
  <c r="X2072" i="30"/>
  <c r="X2084" i="30"/>
  <c r="X2096" i="30"/>
  <c r="X2112" i="30"/>
  <c r="X2125" i="30"/>
  <c r="X2139" i="30"/>
  <c r="X2150" i="30"/>
  <c r="X2163" i="30"/>
  <c r="X2173" i="30"/>
  <c r="X2186" i="30"/>
  <c r="X2194" i="30"/>
  <c r="X2206" i="30"/>
  <c r="X2220" i="30"/>
  <c r="X2231" i="30"/>
  <c r="X2239" i="30"/>
  <c r="X2248" i="30"/>
  <c r="X2262" i="30"/>
  <c r="X2276" i="30"/>
  <c r="X2296" i="30"/>
  <c r="X2311" i="30"/>
  <c r="X2322" i="30"/>
  <c r="X2333" i="30"/>
  <c r="X2341" i="30"/>
  <c r="X2355" i="30"/>
  <c r="X2365" i="30"/>
  <c r="X2378" i="30"/>
  <c r="X2395" i="30"/>
  <c r="X2409" i="30"/>
  <c r="X2419" i="30"/>
  <c r="X2433" i="30"/>
  <c r="X2444" i="30"/>
  <c r="X2456" i="30"/>
  <c r="X2470" i="30"/>
  <c r="X2480" i="30"/>
  <c r="X2492" i="30"/>
  <c r="X2504" i="30"/>
  <c r="X2517" i="30"/>
  <c r="X2531" i="30"/>
  <c r="X2544" i="30"/>
  <c r="X2552" i="30"/>
  <c r="X2560" i="30"/>
  <c r="X2568" i="30"/>
  <c r="X2576" i="30"/>
  <c r="X2584" i="30"/>
  <c r="X2592" i="30"/>
  <c r="X2600" i="30"/>
  <c r="X2608" i="30"/>
  <c r="X2616" i="30"/>
  <c r="X2624" i="30"/>
  <c r="X2632" i="30"/>
  <c r="X2640" i="30"/>
  <c r="X2648" i="30"/>
  <c r="X2656" i="30"/>
  <c r="X2664" i="30"/>
  <c r="X2672" i="30"/>
  <c r="X2680" i="30"/>
  <c r="X2688" i="30"/>
  <c r="X2696" i="30"/>
  <c r="X2704" i="30"/>
  <c r="X2714" i="30"/>
  <c r="X2723" i="30"/>
  <c r="X2733" i="30"/>
  <c r="X2745" i="30"/>
  <c r="X2757" i="30"/>
  <c r="X2767" i="30"/>
  <c r="X2778" i="30"/>
  <c r="X2790" i="30"/>
  <c r="X2802" i="30"/>
  <c r="X2814" i="30"/>
  <c r="X2824" i="30"/>
  <c r="X2834" i="30"/>
  <c r="X2846" i="30"/>
  <c r="X2858" i="30"/>
  <c r="R10" i="30"/>
  <c r="R22" i="30"/>
  <c r="R34" i="30"/>
  <c r="R45" i="30"/>
  <c r="R54" i="30"/>
  <c r="AK54" i="30" s="1"/>
  <c r="R66" i="30"/>
  <c r="R78" i="30"/>
  <c r="AK78" i="30" s="1"/>
  <c r="R90" i="30"/>
  <c r="R103" i="30"/>
  <c r="R117" i="30"/>
  <c r="R131" i="30"/>
  <c r="R144" i="30"/>
  <c r="R159" i="30"/>
  <c r="AK159" i="30" s="1"/>
  <c r="R172" i="30"/>
  <c r="R181" i="30"/>
  <c r="AK181" i="30" s="1"/>
  <c r="R191" i="30"/>
  <c r="R205" i="30"/>
  <c r="R216" i="30"/>
  <c r="R226" i="30"/>
  <c r="R236" i="30"/>
  <c r="R244" i="30"/>
  <c r="R255" i="30"/>
  <c r="R265" i="30"/>
  <c r="AK265" i="30" s="1"/>
  <c r="R276" i="30"/>
  <c r="R287" i="30"/>
  <c r="R299" i="30"/>
  <c r="R312" i="30"/>
  <c r="R322" i="30"/>
  <c r="R330" i="30"/>
  <c r="AK330" i="30" s="1"/>
  <c r="R338" i="30"/>
  <c r="R346" i="30"/>
  <c r="AK346" i="30" s="1"/>
  <c r="R354" i="30"/>
  <c r="R362" i="30"/>
  <c r="R371" i="30"/>
  <c r="R385" i="30"/>
  <c r="R396" i="30"/>
  <c r="R408" i="30"/>
  <c r="AK408" i="30" s="1"/>
  <c r="R418" i="30"/>
  <c r="R431" i="30"/>
  <c r="AK431" i="30" s="1"/>
  <c r="R443" i="30"/>
  <c r="R454" i="30"/>
  <c r="R469" i="30"/>
  <c r="R479" i="30"/>
  <c r="R492" i="30"/>
  <c r="R504" i="30"/>
  <c r="R516" i="30"/>
  <c r="R529" i="30"/>
  <c r="AK529" i="30" s="1"/>
  <c r="R540" i="30"/>
  <c r="AK540" i="30" s="1"/>
  <c r="R552" i="30"/>
  <c r="R563" i="30"/>
  <c r="R577" i="30"/>
  <c r="R586" i="30"/>
  <c r="R599" i="30"/>
  <c r="R611" i="30"/>
  <c r="R622" i="30"/>
  <c r="R636" i="30"/>
  <c r="AK636" i="30" s="1"/>
  <c r="R647" i="30"/>
  <c r="R658" i="30"/>
  <c r="R670" i="30"/>
  <c r="R680" i="30"/>
  <c r="R688" i="30"/>
  <c r="R696" i="30"/>
  <c r="R706" i="30"/>
  <c r="AK706" i="30" s="1"/>
  <c r="R716" i="30"/>
  <c r="AK716" i="30" s="1"/>
  <c r="R730" i="30"/>
  <c r="R739" i="30"/>
  <c r="R753" i="30"/>
  <c r="R764" i="30"/>
  <c r="R778" i="30"/>
  <c r="R792" i="30"/>
  <c r="R804" i="30"/>
  <c r="AK804" i="30" s="1"/>
  <c r="R817" i="30"/>
  <c r="AK817" i="30" s="1"/>
  <c r="R828" i="30"/>
  <c r="R838" i="30"/>
  <c r="R853" i="30"/>
  <c r="R867" i="30"/>
  <c r="R881" i="30"/>
  <c r="AK881" i="30" s="1"/>
  <c r="R893" i="30"/>
  <c r="AK893" i="30" s="1"/>
  <c r="R901" i="30"/>
  <c r="AK901" i="30" s="1"/>
  <c r="R909" i="30"/>
  <c r="AK909" i="30" s="1"/>
  <c r="R917" i="30"/>
  <c r="R925" i="30"/>
  <c r="R933" i="30"/>
  <c r="R941" i="30"/>
  <c r="R949" i="30"/>
  <c r="R957" i="30"/>
  <c r="R965" i="30"/>
  <c r="AK965" i="30" s="1"/>
  <c r="R973" i="30"/>
  <c r="AK973" i="30" s="1"/>
  <c r="R981" i="30"/>
  <c r="R989" i="30"/>
  <c r="R997" i="30"/>
  <c r="R1005" i="30"/>
  <c r="R1013" i="30"/>
  <c r="R1021" i="30"/>
  <c r="R1029" i="30"/>
  <c r="AK1029" i="30" s="1"/>
  <c r="R1037" i="30"/>
  <c r="R1048" i="30"/>
  <c r="R1061" i="30"/>
  <c r="R1071" i="30"/>
  <c r="R1082" i="30"/>
  <c r="R1094" i="30"/>
  <c r="AK1094" i="30" s="1"/>
  <c r="R1104" i="30"/>
  <c r="R1116" i="30"/>
  <c r="AK1116" i="30" s="1"/>
  <c r="R1128" i="30"/>
  <c r="R1139" i="30"/>
  <c r="R1152" i="30"/>
  <c r="R1166" i="30"/>
  <c r="R1176" i="30"/>
  <c r="R1185" i="30"/>
  <c r="R1199" i="30"/>
  <c r="R1218" i="30"/>
  <c r="AK1218" i="30" s="1"/>
  <c r="R1229" i="30"/>
  <c r="R1241" i="30"/>
  <c r="R1253" i="30"/>
  <c r="AK1253" i="30" s="1"/>
  <c r="R1264" i="30"/>
  <c r="R1278" i="30"/>
  <c r="R1288" i="30"/>
  <c r="AK1288" i="30" s="1"/>
  <c r="R1298" i="30"/>
  <c r="R1308" i="30"/>
  <c r="AK1308" i="30" s="1"/>
  <c r="R1322" i="30"/>
  <c r="R1337" i="30"/>
  <c r="R1351" i="30"/>
  <c r="R1366" i="30"/>
  <c r="R1377" i="30"/>
  <c r="R1387" i="30"/>
  <c r="R1398" i="30"/>
  <c r="R1412" i="30"/>
  <c r="AK1412" i="30" s="1"/>
  <c r="R1424" i="30"/>
  <c r="R1436" i="30"/>
  <c r="R1449" i="30"/>
  <c r="R1463" i="30"/>
  <c r="R1475" i="30"/>
  <c r="R1487" i="30"/>
  <c r="AK1487" i="30" s="1"/>
  <c r="R1501" i="30"/>
  <c r="R1515" i="30"/>
  <c r="AK1515" i="30" s="1"/>
  <c r="R1529" i="30"/>
  <c r="R1543" i="30"/>
  <c r="R1557" i="30"/>
  <c r="R1569" i="30"/>
  <c r="R1583" i="30"/>
  <c r="R1591" i="30"/>
  <c r="AK1591" i="30" s="1"/>
  <c r="R1607" i="30"/>
  <c r="R1618" i="30"/>
  <c r="AK1618" i="30" s="1"/>
  <c r="R1631" i="30"/>
  <c r="R1641" i="30"/>
  <c r="AD2344" i="30"/>
  <c r="AA583" i="30"/>
  <c r="AA1288" i="30"/>
  <c r="AA1691" i="30"/>
  <c r="AA2149" i="30"/>
  <c r="AA2530" i="30"/>
  <c r="AA2567" i="30"/>
  <c r="AA2599" i="30"/>
  <c r="AA2631" i="30"/>
  <c r="AA2663" i="30"/>
  <c r="AA2695" i="30"/>
  <c r="AA2732" i="30"/>
  <c r="AA2777" i="30"/>
  <c r="AA2823" i="30"/>
  <c r="X9" i="30"/>
  <c r="X52" i="30"/>
  <c r="X101" i="30"/>
  <c r="X157" i="30"/>
  <c r="X204" i="30"/>
  <c r="X243" i="30"/>
  <c r="X286" i="30"/>
  <c r="X329" i="30"/>
  <c r="X361" i="30"/>
  <c r="X407" i="30"/>
  <c r="X456" i="30"/>
  <c r="X504" i="30"/>
  <c r="X552" i="30"/>
  <c r="X599" i="30"/>
  <c r="X647" i="30"/>
  <c r="X688" i="30"/>
  <c r="X730" i="30"/>
  <c r="X777" i="30"/>
  <c r="X810" i="30"/>
  <c r="X837" i="30"/>
  <c r="X877" i="30"/>
  <c r="X905" i="30"/>
  <c r="X924" i="30"/>
  <c r="X947" i="30"/>
  <c r="X969" i="30"/>
  <c r="X988" i="30"/>
  <c r="X1011" i="30"/>
  <c r="X1019" i="30"/>
  <c r="X1027" i="30"/>
  <c r="X1035" i="30"/>
  <c r="X1044" i="30"/>
  <c r="X1057" i="30"/>
  <c r="X1069" i="30"/>
  <c r="X1080" i="30"/>
  <c r="X1090" i="30"/>
  <c r="X1100" i="30"/>
  <c r="X1112" i="30"/>
  <c r="X1126" i="30"/>
  <c r="X1136" i="30"/>
  <c r="X1148" i="30"/>
  <c r="X1164" i="30"/>
  <c r="X1174" i="30"/>
  <c r="X1182" i="30"/>
  <c r="X1195" i="30"/>
  <c r="X1207" i="30"/>
  <c r="X1222" i="30"/>
  <c r="X1231" i="30"/>
  <c r="X1245" i="30"/>
  <c r="X1256" i="30"/>
  <c r="X1268" i="30"/>
  <c r="X1280" i="30"/>
  <c r="X1292" i="30"/>
  <c r="X1300" i="30"/>
  <c r="X1310" i="30"/>
  <c r="X1326" i="30"/>
  <c r="X1341" i="30"/>
  <c r="X1354" i="30"/>
  <c r="X1369" i="30"/>
  <c r="X1379" i="30"/>
  <c r="X1389" i="30"/>
  <c r="X1402" i="30"/>
  <c r="X1414" i="30"/>
  <c r="X1428" i="30"/>
  <c r="X1440" i="30"/>
  <c r="X1453" i="30"/>
  <c r="X1465" i="30"/>
  <c r="X1479" i="30"/>
  <c r="X1491" i="30"/>
  <c r="X1505" i="30"/>
  <c r="X1517" i="30"/>
  <c r="X1533" i="30"/>
  <c r="X1547" i="30"/>
  <c r="X1561" i="30"/>
  <c r="X1573" i="30"/>
  <c r="X1585" i="30"/>
  <c r="X1595" i="30"/>
  <c r="X1609" i="30"/>
  <c r="X1622" i="30"/>
  <c r="X1633" i="30"/>
  <c r="X1646" i="30"/>
  <c r="X1657" i="30"/>
  <c r="X1671" i="30"/>
  <c r="X1682" i="30"/>
  <c r="X1694" i="30"/>
  <c r="X1708" i="30"/>
  <c r="X1724" i="30"/>
  <c r="X1739" i="30"/>
  <c r="X1752" i="30"/>
  <c r="X1765" i="30"/>
  <c r="X1782" i="30"/>
  <c r="X1809" i="30"/>
  <c r="X1825" i="30"/>
  <c r="X1839" i="30"/>
  <c r="X1851" i="30"/>
  <c r="X1866" i="30"/>
  <c r="X1880" i="30"/>
  <c r="X1893" i="30"/>
  <c r="X1908" i="30"/>
  <c r="X1925" i="30"/>
  <c r="X1935" i="30"/>
  <c r="X1947" i="30"/>
  <c r="X1961" i="30"/>
  <c r="X1973" i="30"/>
  <c r="X1989" i="30"/>
  <c r="X2003" i="30"/>
  <c r="X2017" i="30"/>
  <c r="X2031" i="30"/>
  <c r="X2046" i="30"/>
  <c r="X2059" i="30"/>
  <c r="X2073" i="30"/>
  <c r="X2085" i="30"/>
  <c r="X2097" i="30"/>
  <c r="X2113" i="30"/>
  <c r="X2127" i="30"/>
  <c r="X2140" i="30"/>
  <c r="X2153" i="30"/>
  <c r="X2164" i="30"/>
  <c r="X2176" i="30"/>
  <c r="X2187" i="30"/>
  <c r="X2195" i="30"/>
  <c r="X2209" i="30"/>
  <c r="X2222" i="30"/>
  <c r="X2232" i="30"/>
  <c r="X2240" i="30"/>
  <c r="X2249" i="30"/>
  <c r="X2265" i="30"/>
  <c r="X2279" i="30"/>
  <c r="X2299" i="30"/>
  <c r="X2312" i="30"/>
  <c r="X2323" i="30"/>
  <c r="X2334" i="30"/>
  <c r="X2343" i="30"/>
  <c r="X2356" i="30"/>
  <c r="X2366" i="30"/>
  <c r="X2380" i="30"/>
  <c r="X2396" i="30"/>
  <c r="X2410" i="30"/>
  <c r="X2420" i="30"/>
  <c r="X2434" i="30"/>
  <c r="X2445" i="30"/>
  <c r="X2457" i="30"/>
  <c r="X2471" i="30"/>
  <c r="X2481" i="30"/>
  <c r="X2495" i="30"/>
  <c r="X2505" i="30"/>
  <c r="X2520" i="30"/>
  <c r="X2532" i="30"/>
  <c r="X2545" i="30"/>
  <c r="X2553" i="30"/>
  <c r="X2561" i="30"/>
  <c r="X2569" i="30"/>
  <c r="X2577" i="30"/>
  <c r="X2585" i="30"/>
  <c r="X2593" i="30"/>
  <c r="X2601" i="30"/>
  <c r="X2609" i="30"/>
  <c r="X2617" i="30"/>
  <c r="X2625" i="30"/>
  <c r="X2633" i="30"/>
  <c r="X2641" i="30"/>
  <c r="X2649" i="30"/>
  <c r="X2657" i="30"/>
  <c r="X2665" i="30"/>
  <c r="X2673" i="30"/>
  <c r="X2681" i="30"/>
  <c r="X2689" i="30"/>
  <c r="X2697" i="30"/>
  <c r="X2705" i="30"/>
  <c r="X2715" i="30"/>
  <c r="X2726" i="30"/>
  <c r="X2736" i="30"/>
  <c r="X2746" i="30"/>
  <c r="X2758" i="30"/>
  <c r="X2769" i="30"/>
  <c r="X2779" i="30"/>
  <c r="X2793" i="30"/>
  <c r="X2803" i="30"/>
  <c r="X2815" i="30"/>
  <c r="X2825" i="30"/>
  <c r="X2835" i="30"/>
  <c r="X2847" i="30"/>
  <c r="X2859" i="30"/>
  <c r="R12" i="30"/>
  <c r="R23" i="30"/>
  <c r="AK23" i="30" s="1"/>
  <c r="R35" i="30"/>
  <c r="R46" i="30"/>
  <c r="R55" i="30"/>
  <c r="R69" i="30"/>
  <c r="R80" i="30"/>
  <c r="R93" i="30"/>
  <c r="AK93" i="30" s="1"/>
  <c r="R106" i="30"/>
  <c r="R120" i="30"/>
  <c r="AK120" i="30" s="1"/>
  <c r="R132" i="30"/>
  <c r="R146" i="30"/>
  <c r="R160" i="30"/>
  <c r="R173" i="30"/>
  <c r="AK173" i="30" s="1"/>
  <c r="R182" i="30"/>
  <c r="R194" i="30"/>
  <c r="R206" i="30"/>
  <c r="R217" i="30"/>
  <c r="AK217" i="30" s="1"/>
  <c r="R227" i="30"/>
  <c r="R237" i="30"/>
  <c r="R246" i="30"/>
  <c r="R256" i="30"/>
  <c r="AK256" i="30" s="1"/>
  <c r="R266" i="30"/>
  <c r="R277" i="30"/>
  <c r="AK277" i="30" s="1"/>
  <c r="R288" i="30"/>
  <c r="R300" i="30"/>
  <c r="AK300" i="30" s="1"/>
  <c r="R313" i="30"/>
  <c r="R323" i="30"/>
  <c r="R331" i="30"/>
  <c r="R339" i="30"/>
  <c r="AK339" i="30" s="1"/>
  <c r="R347" i="30"/>
  <c r="R355" i="30"/>
  <c r="AK355" i="30" s="1"/>
  <c r="R363" i="30"/>
  <c r="R374" i="30"/>
  <c r="AK374" i="30" s="1"/>
  <c r="R386" i="30"/>
  <c r="R397" i="30"/>
  <c r="R409" i="30"/>
  <c r="R419" i="30"/>
  <c r="R433" i="30"/>
  <c r="R444" i="30"/>
  <c r="R455" i="30"/>
  <c r="R470" i="30"/>
  <c r="AK470" i="30" s="1"/>
  <c r="R482" i="30"/>
  <c r="R493" i="30"/>
  <c r="R505" i="30"/>
  <c r="AK505" i="30" s="1"/>
  <c r="R518" i="30"/>
  <c r="R530" i="30"/>
  <c r="R543" i="30"/>
  <c r="R553" i="30"/>
  <c r="R564" i="30"/>
  <c r="AK564" i="30" s="1"/>
  <c r="R578" i="30"/>
  <c r="R587" i="30"/>
  <c r="R600" i="30"/>
  <c r="AK600" i="30" s="1"/>
  <c r="R613" i="30"/>
  <c r="R625" i="30"/>
  <c r="R637" i="30"/>
  <c r="R648" i="30"/>
  <c r="R659" i="30"/>
  <c r="AK659" i="30" s="1"/>
  <c r="R673" i="30"/>
  <c r="R681" i="30"/>
  <c r="R689" i="30"/>
  <c r="AK689" i="30" s="1"/>
  <c r="R697" i="30"/>
  <c r="R707" i="30"/>
  <c r="R719" i="30"/>
  <c r="R731" i="30"/>
  <c r="R742" i="30"/>
  <c r="AK742" i="30" s="1"/>
  <c r="R756" i="30"/>
  <c r="R766" i="30"/>
  <c r="R781" i="30"/>
  <c r="AK781" i="30" s="1"/>
  <c r="R795" i="30"/>
  <c r="R805" i="30"/>
  <c r="R818" i="30"/>
  <c r="R829" i="30"/>
  <c r="R839" i="30"/>
  <c r="AK839" i="30" s="1"/>
  <c r="R854" i="30"/>
  <c r="AK854" i="30" s="1"/>
  <c r="R870" i="30"/>
  <c r="R882" i="30"/>
  <c r="R894" i="30"/>
  <c r="R902" i="30"/>
  <c r="R910" i="30"/>
  <c r="R918" i="30"/>
  <c r="R926" i="30"/>
  <c r="AK926" i="30" s="1"/>
  <c r="R934" i="30"/>
  <c r="R942" i="30"/>
  <c r="AK942" i="30" s="1"/>
  <c r="R950" i="30"/>
  <c r="R958" i="30"/>
  <c r="R966" i="30"/>
  <c r="R974" i="30"/>
  <c r="R982" i="30"/>
  <c r="R990" i="30"/>
  <c r="AK990" i="30" s="1"/>
  <c r="R998" i="30"/>
  <c r="R1006" i="30"/>
  <c r="R1014" i="30"/>
  <c r="AK1014" i="30" s="1"/>
  <c r="R1022" i="30"/>
  <c r="R1030" i="30"/>
  <c r="R1038" i="30"/>
  <c r="R1050" i="30"/>
  <c r="R1062" i="30"/>
  <c r="AK1062" i="30" s="1"/>
  <c r="R1072" i="30"/>
  <c r="R1085" i="30"/>
  <c r="R1095" i="30"/>
  <c r="AK1095" i="30" s="1"/>
  <c r="R1105" i="30"/>
  <c r="R1117" i="30"/>
  <c r="R1129" i="30"/>
  <c r="AK1129" i="30" s="1"/>
  <c r="R1140" i="30"/>
  <c r="R1155" i="30"/>
  <c r="AK1155" i="30" s="1"/>
  <c r="R1169" i="30"/>
  <c r="R1177" i="30"/>
  <c r="R1186" i="30"/>
  <c r="AK1186" i="30" s="1"/>
  <c r="R1204" i="30"/>
  <c r="R1221" i="30"/>
  <c r="R1230" i="30"/>
  <c r="AK1230" i="30" s="1"/>
  <c r="R1242" i="30"/>
  <c r="R1254" i="30"/>
  <c r="AK1254" i="30" s="1"/>
  <c r="R1267" i="30"/>
  <c r="AK1267" i="30" s="1"/>
  <c r="R1279" i="30"/>
  <c r="R1289" i="30"/>
  <c r="R1299" i="30"/>
  <c r="R1309" i="30"/>
  <c r="R1325" i="30"/>
  <c r="AK1325" i="30" s="1"/>
  <c r="R1340" i="30"/>
  <c r="R1353" i="30"/>
  <c r="AK1353" i="30" s="1"/>
  <c r="R1368" i="30"/>
  <c r="R1378" i="30"/>
  <c r="R1388" i="30"/>
  <c r="R1399" i="30"/>
  <c r="R1413" i="30"/>
  <c r="R1427" i="30"/>
  <c r="AK1427" i="30" s="1"/>
  <c r="R1439" i="30"/>
  <c r="R1450" i="30"/>
  <c r="AK1450" i="30" s="1"/>
  <c r="R1464" i="30"/>
  <c r="AK1464" i="30" s="1"/>
  <c r="R1478" i="30"/>
  <c r="R1490" i="30"/>
  <c r="R1504" i="30"/>
  <c r="R1516" i="30"/>
  <c r="R1532" i="30"/>
  <c r="AK1532" i="30" s="1"/>
  <c r="R1546" i="30"/>
  <c r="R1558" i="30"/>
  <c r="AK1558" i="30" s="1"/>
  <c r="R1572" i="30"/>
  <c r="AK1572" i="30" s="1"/>
  <c r="R1584" i="30"/>
  <c r="R1594" i="30"/>
  <c r="R1608" i="30"/>
  <c r="R1619" i="30"/>
  <c r="R1632" i="30"/>
  <c r="AK1632" i="30" s="1"/>
  <c r="R1644" i="30"/>
  <c r="AD2632" i="30"/>
  <c r="AA700" i="30"/>
  <c r="AA1337" i="30"/>
  <c r="AA1748" i="30"/>
  <c r="AA2193" i="30"/>
  <c r="AA2537" i="30"/>
  <c r="AA2572" i="30"/>
  <c r="AA2604" i="30"/>
  <c r="AA2636" i="30"/>
  <c r="AA2668" i="30"/>
  <c r="AA2700" i="30"/>
  <c r="AA2739" i="30"/>
  <c r="AA2784" i="30"/>
  <c r="AA2830" i="30"/>
  <c r="X17" i="30"/>
  <c r="X60" i="30"/>
  <c r="X109" i="30"/>
  <c r="X166" i="30"/>
  <c r="X211" i="30"/>
  <c r="X249" i="30"/>
  <c r="X291" i="30"/>
  <c r="X334" i="30"/>
  <c r="X366" i="30"/>
  <c r="X413" i="30"/>
  <c r="X462" i="30"/>
  <c r="X513" i="30"/>
  <c r="X558" i="30"/>
  <c r="X608" i="30"/>
  <c r="X653" i="30"/>
  <c r="X693" i="30"/>
  <c r="X736" i="30"/>
  <c r="X778" i="30"/>
  <c r="X813" i="30"/>
  <c r="X847" i="30"/>
  <c r="X878" i="30"/>
  <c r="X907" i="30"/>
  <c r="X929" i="30"/>
  <c r="X948" i="30"/>
  <c r="X971" i="30"/>
  <c r="X993" i="30"/>
  <c r="X1012" i="30"/>
  <c r="X1020" i="30"/>
  <c r="X1028" i="30"/>
  <c r="X1036" i="30"/>
  <c r="X1047" i="30"/>
  <c r="X1060" i="30"/>
  <c r="X1070" i="30"/>
  <c r="X1081" i="30"/>
  <c r="X1093" i="30"/>
  <c r="X1103" i="30"/>
  <c r="X1113" i="30"/>
  <c r="X1127" i="30"/>
  <c r="X1137" i="30"/>
  <c r="X1149" i="30"/>
  <c r="X1165" i="30"/>
  <c r="X1175" i="30"/>
  <c r="X1183" i="30"/>
  <c r="X1196" i="30"/>
  <c r="X1210" i="30"/>
  <c r="X1223" i="30"/>
  <c r="X1234" i="30"/>
  <c r="X1246" i="30"/>
  <c r="X1257" i="30"/>
  <c r="X1269" i="30"/>
  <c r="X1281" i="30"/>
  <c r="X1293" i="30"/>
  <c r="X1301" i="30"/>
  <c r="X1313" i="30"/>
  <c r="X1329" i="30"/>
  <c r="X1342" i="30"/>
  <c r="X1355" i="30"/>
  <c r="X1372" i="30"/>
  <c r="X1380" i="30"/>
  <c r="X1392" i="30"/>
  <c r="X1403" i="30"/>
  <c r="X1417" i="30"/>
  <c r="X1431" i="30"/>
  <c r="X1443" i="30"/>
  <c r="X1454" i="30"/>
  <c r="X1468" i="30"/>
  <c r="X1482" i="30"/>
  <c r="X1495" i="30"/>
  <c r="X1507" i="30"/>
  <c r="X1520" i="30"/>
  <c r="X1534" i="30"/>
  <c r="X1548" i="30"/>
  <c r="X1562" i="30"/>
  <c r="X1574" i="30"/>
  <c r="X1586" i="30"/>
  <c r="X1598" i="30"/>
  <c r="X1610" i="30"/>
  <c r="X1623" i="30"/>
  <c r="X1634" i="30"/>
  <c r="X1647" i="30"/>
  <c r="X1660" i="30"/>
  <c r="X1672" i="30"/>
  <c r="X1683" i="30"/>
  <c r="X1697" i="30"/>
  <c r="X1711" i="30"/>
  <c r="X1727" i="30"/>
  <c r="X1741" i="30"/>
  <c r="X1753" i="30"/>
  <c r="X1768" i="30"/>
  <c r="X1783" i="30"/>
  <c r="X1812" i="30"/>
  <c r="X1826" i="30"/>
  <c r="X1840" i="30"/>
  <c r="X1853" i="30"/>
  <c r="X1869" i="30"/>
  <c r="X1883" i="30"/>
  <c r="X1895" i="30"/>
  <c r="X1911" i="30"/>
  <c r="X1926" i="30"/>
  <c r="X1936" i="30"/>
  <c r="X1950" i="30"/>
  <c r="X1964" i="30"/>
  <c r="X1976" i="30"/>
  <c r="X1992" i="30"/>
  <c r="X2004" i="30"/>
  <c r="X2018" i="30"/>
  <c r="X2033" i="30"/>
  <c r="X2048" i="30"/>
  <c r="X2062" i="30"/>
  <c r="X2076" i="30"/>
  <c r="X2086" i="30"/>
  <c r="X2100" i="30"/>
  <c r="X2116" i="30"/>
  <c r="X2128" i="30"/>
  <c r="X2143" i="30"/>
  <c r="X2154" i="30"/>
  <c r="X2165" i="30"/>
  <c r="X2177" i="30"/>
  <c r="X2188" i="30"/>
  <c r="X2196" i="30"/>
  <c r="X2211" i="30"/>
  <c r="X2223" i="30"/>
  <c r="X2233" i="30"/>
  <c r="X2241" i="30"/>
  <c r="X2252" i="30"/>
  <c r="X2266" i="30"/>
  <c r="X2280" i="30"/>
  <c r="X2300" i="30"/>
  <c r="X2313" i="30"/>
  <c r="X2324" i="30"/>
  <c r="X2335" i="30"/>
  <c r="X2344" i="30"/>
  <c r="X2359" i="30"/>
  <c r="X2369" i="30"/>
  <c r="X2381" i="30"/>
  <c r="X2397" i="30"/>
  <c r="X2411" i="30"/>
  <c r="X2423" i="30"/>
  <c r="X2437" i="30"/>
  <c r="X2448" i="30"/>
  <c r="X2460" i="30"/>
  <c r="X2472" i="30"/>
  <c r="X2482" i="30"/>
  <c r="X2496" i="30"/>
  <c r="X2506" i="30"/>
  <c r="X2521" i="30"/>
  <c r="X2534" i="30"/>
  <c r="X2546" i="30"/>
  <c r="X2554" i="30"/>
  <c r="X2562" i="30"/>
  <c r="X2570" i="30"/>
  <c r="X2578" i="30"/>
  <c r="X2586" i="30"/>
  <c r="X2594" i="30"/>
  <c r="X2602" i="30"/>
  <c r="X2610" i="30"/>
  <c r="X2618" i="30"/>
  <c r="X2626" i="30"/>
  <c r="X2634" i="30"/>
  <c r="X2642" i="30"/>
  <c r="X2650" i="30"/>
  <c r="X2658" i="30"/>
  <c r="X2666" i="30"/>
  <c r="X2674" i="30"/>
  <c r="X2682" i="30"/>
  <c r="X2690" i="30"/>
  <c r="X2698" i="30"/>
  <c r="X2706" i="30"/>
  <c r="X2716" i="30"/>
  <c r="X2727" i="30"/>
  <c r="X2737" i="30"/>
  <c r="X2747" i="30"/>
  <c r="X2761" i="30"/>
  <c r="X2770" i="30"/>
  <c r="X2780" i="30"/>
  <c r="X2794" i="30"/>
  <c r="X2804" i="30"/>
  <c r="X2816" i="30"/>
  <c r="X2826" i="30"/>
  <c r="X2836" i="30"/>
  <c r="X2848" i="30"/>
  <c r="R3" i="30"/>
  <c r="R13" i="30"/>
  <c r="R26" i="30"/>
  <c r="R36" i="30"/>
  <c r="R47" i="30"/>
  <c r="R56" i="30"/>
  <c r="AK56" i="30" s="1"/>
  <c r="R70" i="30"/>
  <c r="AK70" i="30" s="1"/>
  <c r="R82" i="30"/>
  <c r="R94" i="30"/>
  <c r="AK94" i="30" s="1"/>
  <c r="R107" i="30"/>
  <c r="R121" i="30"/>
  <c r="R135" i="30"/>
  <c r="R148" i="30"/>
  <c r="R163" i="30"/>
  <c r="AK163" i="30" s="1"/>
  <c r="R174" i="30"/>
  <c r="AK174" i="30" s="1"/>
  <c r="R183" i="30"/>
  <c r="R195" i="30"/>
  <c r="AK195" i="30" s="1"/>
  <c r="R207" i="30"/>
  <c r="R218" i="30"/>
  <c r="R228" i="30"/>
  <c r="R238" i="30"/>
  <c r="R247" i="30"/>
  <c r="AK247" i="30" s="1"/>
  <c r="R257" i="30"/>
  <c r="AK257" i="30" s="1"/>
  <c r="R267" i="30"/>
  <c r="R280" i="30"/>
  <c r="AK280" i="30" s="1"/>
  <c r="R289" i="30"/>
  <c r="R301" i="30"/>
  <c r="R314" i="30"/>
  <c r="R324" i="30"/>
  <c r="R332" i="30"/>
  <c r="AK332" i="30" s="1"/>
  <c r="R340" i="30"/>
  <c r="AK340" i="30" s="1"/>
  <c r="R348" i="30"/>
  <c r="R356" i="30"/>
  <c r="AK356" i="30" s="1"/>
  <c r="R364" i="30"/>
  <c r="R375" i="30"/>
  <c r="R387" i="30"/>
  <c r="R400" i="30"/>
  <c r="R410" i="30"/>
  <c r="AK410" i="30" s="1"/>
  <c r="R421" i="30"/>
  <c r="R435" i="30"/>
  <c r="R445" i="30"/>
  <c r="R456" i="30"/>
  <c r="R473" i="30"/>
  <c r="R483" i="30"/>
  <c r="AK483" i="30" s="1"/>
  <c r="R494" i="30"/>
  <c r="R508" i="30"/>
  <c r="AK508" i="30" s="1"/>
  <c r="R519" i="30"/>
  <c r="R532" i="30"/>
  <c r="R544" i="30"/>
  <c r="R555" i="30"/>
  <c r="R567" i="30"/>
  <c r="R579" i="30"/>
  <c r="AK579" i="30" s="1"/>
  <c r="R588" i="30"/>
  <c r="R605" i="30"/>
  <c r="AK605" i="30" s="1"/>
  <c r="R614" i="30"/>
  <c r="R626" i="30"/>
  <c r="R638" i="30"/>
  <c r="R649" i="30"/>
  <c r="R662" i="30"/>
  <c r="R674" i="30"/>
  <c r="R682" i="30"/>
  <c r="R690" i="30"/>
  <c r="AK690" i="30" s="1"/>
  <c r="R698" i="30"/>
  <c r="R708" i="30"/>
  <c r="R720" i="30"/>
  <c r="R732" i="30"/>
  <c r="R743" i="30"/>
  <c r="R757" i="30"/>
  <c r="AK757" i="30" s="1"/>
  <c r="R767" i="30"/>
  <c r="R782" i="30"/>
  <c r="AK782" i="30" s="1"/>
  <c r="R796" i="30"/>
  <c r="R807" i="30"/>
  <c r="R819" i="30"/>
  <c r="R830" i="30"/>
  <c r="R842" i="30"/>
  <c r="R857" i="30"/>
  <c r="AK857" i="30" s="1"/>
  <c r="R871" i="30"/>
  <c r="R883" i="30"/>
  <c r="AK883" i="30" s="1"/>
  <c r="R895" i="30"/>
  <c r="AK895" i="30" s="1"/>
  <c r="R903" i="30"/>
  <c r="R911" i="30"/>
  <c r="R919" i="30"/>
  <c r="R927" i="30"/>
  <c r="R935" i="30"/>
  <c r="AK935" i="30" s="1"/>
  <c r="R943" i="30"/>
  <c r="R951" i="30"/>
  <c r="AK951" i="30" s="1"/>
  <c r="R959" i="30"/>
  <c r="R967" i="30"/>
  <c r="R975" i="30"/>
  <c r="R983" i="30"/>
  <c r="R991" i="30"/>
  <c r="R999" i="30"/>
  <c r="AK999" i="30" s="1"/>
  <c r="R1007" i="30"/>
  <c r="R1015" i="30"/>
  <c r="AK1015" i="30" s="1"/>
  <c r="R1023" i="30"/>
  <c r="R1031" i="30"/>
  <c r="R1039" i="30"/>
  <c r="R1052" i="30"/>
  <c r="R1063" i="30"/>
  <c r="R1073" i="30"/>
  <c r="AK1073" i="30" s="1"/>
  <c r="R1086" i="30"/>
  <c r="R1096" i="30"/>
  <c r="AK1096" i="30" s="1"/>
  <c r="R1108" i="30"/>
  <c r="AK1108" i="30" s="1"/>
  <c r="R1120" i="30"/>
  <c r="R1130" i="30"/>
  <c r="R1143" i="30"/>
  <c r="R1156" i="30"/>
  <c r="R1170" i="30"/>
  <c r="R1178" i="30"/>
  <c r="R1187" i="30"/>
  <c r="AK1187" i="30" s="1"/>
  <c r="R1205" i="30"/>
  <c r="AK1205" i="30" s="1"/>
  <c r="R1222" i="30"/>
  <c r="R1231" i="30"/>
  <c r="R1245" i="30"/>
  <c r="R1256" i="30"/>
  <c r="R1268" i="30"/>
  <c r="AK1268" i="30" s="1"/>
  <c r="R1280" i="30"/>
  <c r="R1292" i="30"/>
  <c r="AK1292" i="30" s="1"/>
  <c r="R1300" i="30"/>
  <c r="R1310" i="30"/>
  <c r="R1326" i="30"/>
  <c r="R1341" i="30"/>
  <c r="R1354" i="30"/>
  <c r="R1369" i="30"/>
  <c r="R1379" i="30"/>
  <c r="R1389" i="30"/>
  <c r="R1402" i="30"/>
  <c r="R1414" i="30"/>
  <c r="R1428" i="30"/>
  <c r="R1440" i="30"/>
  <c r="R1453" i="30"/>
  <c r="R1465" i="30"/>
  <c r="R1479" i="30"/>
  <c r="R1491" i="30"/>
  <c r="AK1491" i="30" s="1"/>
  <c r="R1505" i="30"/>
  <c r="R1517" i="30"/>
  <c r="R1533" i="30"/>
  <c r="R1547" i="30"/>
  <c r="R1561" i="30"/>
  <c r="R1573" i="30"/>
  <c r="R1585" i="30"/>
  <c r="R1595" i="30"/>
  <c r="AK1595" i="30" s="1"/>
  <c r="R1609" i="30"/>
  <c r="R1622" i="30"/>
  <c r="R1633" i="30"/>
  <c r="R1646" i="30"/>
  <c r="AD2719" i="30"/>
  <c r="AA827" i="30"/>
  <c r="AA1387" i="30"/>
  <c r="AA1821" i="30"/>
  <c r="AA2238" i="30"/>
  <c r="AA2543" i="30"/>
  <c r="AA2575" i="30"/>
  <c r="AA2607" i="30"/>
  <c r="AA2639" i="30"/>
  <c r="AA2671" i="30"/>
  <c r="AA2703" i="30"/>
  <c r="AA2742" i="30"/>
  <c r="AA2789" i="30"/>
  <c r="AA2833" i="30"/>
  <c r="X21" i="30"/>
  <c r="X65" i="30"/>
  <c r="X114" i="30"/>
  <c r="X171" i="30"/>
  <c r="X215" i="30"/>
  <c r="X254" i="30"/>
  <c r="X296" i="30"/>
  <c r="X337" i="30"/>
  <c r="X370" i="30"/>
  <c r="X421" i="30"/>
  <c r="X469" i="30"/>
  <c r="X516" i="30"/>
  <c r="X563" i="30"/>
  <c r="X611" i="30"/>
  <c r="X658" i="30"/>
  <c r="X696" i="30"/>
  <c r="X739" i="30"/>
  <c r="X787" i="30"/>
  <c r="X816" i="30"/>
  <c r="X849" i="30"/>
  <c r="X887" i="30"/>
  <c r="X908" i="30"/>
  <c r="X931" i="30"/>
  <c r="X953" i="30"/>
  <c r="X972" i="30"/>
  <c r="X995" i="30"/>
  <c r="X1013" i="30"/>
  <c r="X1021" i="30"/>
  <c r="X1029" i="30"/>
  <c r="X1037" i="30"/>
  <c r="X1048" i="30"/>
  <c r="X1061" i="30"/>
  <c r="X1071" i="30"/>
  <c r="X1082" i="30"/>
  <c r="X1094" i="30"/>
  <c r="X1104" i="30"/>
  <c r="X1116" i="30"/>
  <c r="X1128" i="30"/>
  <c r="X1139" i="30"/>
  <c r="X1152" i="30"/>
  <c r="X1166" i="30"/>
  <c r="X1176" i="30"/>
  <c r="X1185" i="30"/>
  <c r="X1199" i="30"/>
  <c r="X1211" i="30"/>
  <c r="X1224" i="30"/>
  <c r="X1235" i="30"/>
  <c r="X1247" i="30"/>
  <c r="X1258" i="30"/>
  <c r="X1271" i="30"/>
  <c r="X1282" i="30"/>
  <c r="X1294" i="30"/>
  <c r="X1302" i="30"/>
  <c r="X1314" i="30"/>
  <c r="X1330" i="30"/>
  <c r="X1343" i="30"/>
  <c r="X1358" i="30"/>
  <c r="X1373" i="30"/>
  <c r="X1381" i="30"/>
  <c r="X1393" i="30"/>
  <c r="X1406" i="30"/>
  <c r="X1418" i="30"/>
  <c r="X1432" i="30"/>
  <c r="X1444" i="30"/>
  <c r="X1457" i="30"/>
  <c r="X1469" i="30"/>
  <c r="X1483" i="30"/>
  <c r="X1496" i="30"/>
  <c r="X1508" i="30"/>
  <c r="X1521" i="30"/>
  <c r="X1537" i="30"/>
  <c r="X1549" i="30"/>
  <c r="X1565" i="30"/>
  <c r="X1575" i="30"/>
  <c r="X1587" i="30"/>
  <c r="X1599" i="30"/>
  <c r="X1613" i="30"/>
  <c r="X1624" i="30"/>
  <c r="X1637" i="30"/>
  <c r="X1650" i="30"/>
  <c r="X1661" i="30"/>
  <c r="X1675" i="30"/>
  <c r="X1685" i="30"/>
  <c r="X1698" i="30"/>
  <c r="X1712" i="30"/>
  <c r="X1728" i="30"/>
  <c r="X1742" i="30"/>
  <c r="X1756" i="30"/>
  <c r="X1769" i="30"/>
  <c r="X1785" i="30"/>
  <c r="X1814" i="30"/>
  <c r="X1829" i="30"/>
  <c r="X1841" i="30"/>
  <c r="X1854" i="30"/>
  <c r="X1870" i="30"/>
  <c r="X1884" i="30"/>
  <c r="X1896" i="30"/>
  <c r="X1914" i="30"/>
  <c r="X1929" i="30"/>
  <c r="X1937" i="30"/>
  <c r="X1951" i="30"/>
  <c r="X1965" i="30"/>
  <c r="X1978" i="30"/>
  <c r="X1993" i="30"/>
  <c r="X2005" i="30"/>
  <c r="X2019" i="30"/>
  <c r="X2035" i="30"/>
  <c r="X2049" i="30"/>
  <c r="X2064" i="30"/>
  <c r="X2077" i="30"/>
  <c r="X2088" i="30"/>
  <c r="X2103" i="30"/>
  <c r="X2117" i="30"/>
  <c r="X2131" i="30"/>
  <c r="X2144" i="30"/>
  <c r="X2155" i="30"/>
  <c r="X2166" i="30"/>
  <c r="X2178" i="30"/>
  <c r="X2189" i="30"/>
  <c r="X2199" i="30"/>
  <c r="X2212" i="30"/>
  <c r="X2226" i="30"/>
  <c r="X2234" i="30"/>
  <c r="X2242" i="30"/>
  <c r="X2255" i="30"/>
  <c r="X2269" i="30"/>
  <c r="X2283" i="30"/>
  <c r="X2301" i="30"/>
  <c r="X2314" i="30"/>
  <c r="X2325" i="30"/>
  <c r="X2336" i="30"/>
  <c r="X2347" i="30"/>
  <c r="X2360" i="30"/>
  <c r="X2370" i="30"/>
  <c r="X2386" i="30"/>
  <c r="X2398" i="30"/>
  <c r="X2412" i="30"/>
  <c r="X2424" i="30"/>
  <c r="X2438" i="30"/>
  <c r="X2449" i="30"/>
  <c r="X2461" i="30"/>
  <c r="X2473" i="30"/>
  <c r="X2485" i="30"/>
  <c r="X2499" i="30"/>
  <c r="X2508" i="30"/>
  <c r="X2524" i="30"/>
  <c r="X2536" i="30"/>
  <c r="X2547" i="30"/>
  <c r="X2555" i="30"/>
  <c r="X2563" i="30"/>
  <c r="X2571" i="30"/>
  <c r="X2579" i="30"/>
  <c r="X2587" i="30"/>
  <c r="X2595" i="30"/>
  <c r="X2603" i="30"/>
  <c r="X2611" i="30"/>
  <c r="X2619" i="30"/>
  <c r="X2627" i="30"/>
  <c r="X2635" i="30"/>
  <c r="X2643" i="30"/>
  <c r="X2651" i="30"/>
  <c r="X2659" i="30"/>
  <c r="X2667" i="30"/>
  <c r="X2675" i="30"/>
  <c r="X2683" i="30"/>
  <c r="X2691" i="30"/>
  <c r="X2699" i="30"/>
  <c r="X2707" i="30"/>
  <c r="X2717" i="30"/>
  <c r="X2728" i="30"/>
  <c r="X2738" i="30"/>
  <c r="X2750" i="30"/>
  <c r="X2762" i="30"/>
  <c r="X2773" i="30"/>
  <c r="X2781" i="30"/>
  <c r="X2797" i="30"/>
  <c r="X2805" i="30"/>
  <c r="X2817" i="30"/>
  <c r="X2827" i="30"/>
  <c r="X2837" i="30"/>
  <c r="X2851" i="30"/>
  <c r="R4" i="30"/>
  <c r="AK4" i="30" s="1"/>
  <c r="R16" i="30"/>
  <c r="R27" i="30"/>
  <c r="R37" i="30"/>
  <c r="R48" i="30"/>
  <c r="R59" i="30"/>
  <c r="AK59" i="30" s="1"/>
  <c r="R73" i="30"/>
  <c r="R83" i="30"/>
  <c r="R95" i="30"/>
  <c r="AK95" i="30" s="1"/>
  <c r="R108" i="30"/>
  <c r="R122" i="30"/>
  <c r="R136" i="30"/>
  <c r="AK136" i="30" s="1"/>
  <c r="R149" i="30"/>
  <c r="R164" i="30"/>
  <c r="AK164" i="30" s="1"/>
  <c r="R175" i="30"/>
  <c r="R184" i="30"/>
  <c r="R196" i="30"/>
  <c r="AK196" i="30" s="1"/>
  <c r="R210" i="30"/>
  <c r="R219" i="30"/>
  <c r="R229" i="30"/>
  <c r="AK229" i="30" s="1"/>
  <c r="R239" i="30"/>
  <c r="R248" i="30"/>
  <c r="R258" i="30"/>
  <c r="R268" i="30"/>
  <c r="R281" i="30"/>
  <c r="AK281" i="30" s="1"/>
  <c r="R290" i="30"/>
  <c r="R302" i="30"/>
  <c r="R315" i="30"/>
  <c r="AK315" i="30" s="1"/>
  <c r="R325" i="30"/>
  <c r="R333" i="30"/>
  <c r="AK333" i="30" s="1"/>
  <c r="R341" i="30"/>
  <c r="R349" i="30"/>
  <c r="R357" i="30"/>
  <c r="AK357" i="30" s="1"/>
  <c r="R365" i="30"/>
  <c r="R378" i="30"/>
  <c r="R389" i="30"/>
  <c r="R402" i="30"/>
  <c r="R412" i="30"/>
  <c r="AK412" i="30" s="1"/>
  <c r="R423" i="30"/>
  <c r="AK423" i="30" s="1"/>
  <c r="R436" i="30"/>
  <c r="R446" i="30"/>
  <c r="AK446" i="30" s="1"/>
  <c r="R457" i="30"/>
  <c r="AK457" i="30" s="1"/>
  <c r="R474" i="30"/>
  <c r="R484" i="30"/>
  <c r="R495" i="30"/>
  <c r="R509" i="30"/>
  <c r="R520" i="30"/>
  <c r="AK520" i="30" s="1"/>
  <c r="R533" i="30"/>
  <c r="R547" i="30"/>
  <c r="AK547" i="30" s="1"/>
  <c r="R556" i="30"/>
  <c r="AK556" i="30" s="1"/>
  <c r="R568" i="30"/>
  <c r="R580" i="30"/>
  <c r="R591" i="30"/>
  <c r="R606" i="30"/>
  <c r="R615" i="30"/>
  <c r="AK615" i="30" s="1"/>
  <c r="R627" i="30"/>
  <c r="R639" i="30"/>
  <c r="AK639" i="30" s="1"/>
  <c r="R650" i="30"/>
  <c r="AK650" i="30" s="1"/>
  <c r="R663" i="30"/>
  <c r="R675" i="30"/>
  <c r="R683" i="30"/>
  <c r="R691" i="30"/>
  <c r="R699" i="30"/>
  <c r="R709" i="30"/>
  <c r="R721" i="30"/>
  <c r="AK721" i="30" s="1"/>
  <c r="R734" i="30"/>
  <c r="AK734" i="30" s="1"/>
  <c r="R746" i="30"/>
  <c r="R758" i="30"/>
  <c r="R769" i="30"/>
  <c r="R785" i="30"/>
  <c r="R797" i="30"/>
  <c r="R808" i="30"/>
  <c r="R821" i="30"/>
  <c r="AK821" i="30" s="1"/>
  <c r="R831" i="30"/>
  <c r="R843" i="30"/>
  <c r="R858" i="30"/>
  <c r="AK858" i="30" s="1"/>
  <c r="R874" i="30"/>
  <c r="R886" i="30"/>
  <c r="R896" i="30"/>
  <c r="AK896" i="30" s="1"/>
  <c r="R904" i="30"/>
  <c r="R912" i="30"/>
  <c r="AK912" i="30" s="1"/>
  <c r="R920" i="30"/>
  <c r="R928" i="30"/>
  <c r="R936" i="30"/>
  <c r="R944" i="30"/>
  <c r="R952" i="30"/>
  <c r="R960" i="30"/>
  <c r="AK960" i="30" s="1"/>
  <c r="R968" i="30"/>
  <c r="R976" i="30"/>
  <c r="AK976" i="30" s="1"/>
  <c r="R984" i="30"/>
  <c r="R992" i="30"/>
  <c r="R1000" i="30"/>
  <c r="R1008" i="30"/>
  <c r="R1016" i="30"/>
  <c r="R1024" i="30"/>
  <c r="AK1024" i="30" s="1"/>
  <c r="R1032" i="30"/>
  <c r="R1040" i="30"/>
  <c r="AK1040" i="30" s="1"/>
  <c r="R1053" i="30"/>
  <c r="R1066" i="30"/>
  <c r="R1075" i="30"/>
  <c r="AK1075" i="30" s="1"/>
  <c r="R1087" i="30"/>
  <c r="R1097" i="30"/>
  <c r="R1109" i="30"/>
  <c r="AK1109" i="30" s="1"/>
  <c r="R1121" i="30"/>
  <c r="R1133" i="30"/>
  <c r="AK1133" i="30" s="1"/>
  <c r="R1144" i="30"/>
  <c r="R1159" i="30"/>
  <c r="R1171" i="30"/>
  <c r="R1179" i="30"/>
  <c r="R1188" i="30"/>
  <c r="AK1188" i="30" s="1"/>
  <c r="R1210" i="30"/>
  <c r="R1223" i="30"/>
  <c r="R1234" i="30"/>
  <c r="AK1234" i="30" s="1"/>
  <c r="R1246" i="30"/>
  <c r="AK1246" i="30" s="1"/>
  <c r="R1257" i="30"/>
  <c r="R1269" i="30"/>
  <c r="R1281" i="30"/>
  <c r="R1293" i="30"/>
  <c r="R1301" i="30"/>
  <c r="AK1301" i="30" s="1"/>
  <c r="R1313" i="30"/>
  <c r="R1329" i="30"/>
  <c r="AK1329" i="30" s="1"/>
  <c r="R1342" i="30"/>
  <c r="AK1342" i="30" s="1"/>
  <c r="R1355" i="30"/>
  <c r="R1372" i="30"/>
  <c r="R1380" i="30"/>
  <c r="R1392" i="30"/>
  <c r="R1403" i="30"/>
  <c r="AK1403" i="30" s="1"/>
  <c r="R1417" i="30"/>
  <c r="R1431" i="30"/>
  <c r="AK1431" i="30" s="1"/>
  <c r="R1443" i="30"/>
  <c r="AK1443" i="30" s="1"/>
  <c r="R1454" i="30"/>
  <c r="R1468" i="30"/>
  <c r="R1482" i="30"/>
  <c r="R1495" i="30"/>
  <c r="R1507" i="30"/>
  <c r="AK1507" i="30" s="1"/>
  <c r="R1520" i="30"/>
  <c r="R1534" i="30"/>
  <c r="AK1534" i="30" s="1"/>
  <c r="R1548" i="30"/>
  <c r="AK1548" i="30" s="1"/>
  <c r="R1562" i="30"/>
  <c r="R1574" i="30"/>
  <c r="R1586" i="30"/>
  <c r="R1598" i="30"/>
  <c r="R1610" i="30"/>
  <c r="AK1610" i="30" s="1"/>
  <c r="R1623" i="30"/>
  <c r="R1634" i="30"/>
  <c r="AK1634" i="30" s="1"/>
  <c r="R1647" i="30"/>
  <c r="AD2840" i="30"/>
  <c r="AA937" i="30"/>
  <c r="AA1436" i="30"/>
  <c r="AA1876" i="30"/>
  <c r="AA2295" i="30"/>
  <c r="AA2548" i="30"/>
  <c r="AA2580" i="30"/>
  <c r="AA2612" i="30"/>
  <c r="AA2644" i="30"/>
  <c r="AA2676" i="30"/>
  <c r="AA2708" i="30"/>
  <c r="AA2751" i="30"/>
  <c r="AA2798" i="30"/>
  <c r="AA2840" i="30"/>
  <c r="X28" i="30"/>
  <c r="X74" i="30"/>
  <c r="X123" i="30"/>
  <c r="X176" i="30"/>
  <c r="X220" i="30"/>
  <c r="X259" i="30"/>
  <c r="X305" i="30"/>
  <c r="X342" i="30"/>
  <c r="X379" i="30"/>
  <c r="X429" i="30"/>
  <c r="X476" i="30"/>
  <c r="X524" i="30"/>
  <c r="X572" i="30"/>
  <c r="X617" i="30"/>
  <c r="X667" i="30"/>
  <c r="X701" i="30"/>
  <c r="X748" i="30"/>
  <c r="X791" i="30"/>
  <c r="X822" i="30"/>
  <c r="X850" i="30"/>
  <c r="X889" i="30"/>
  <c r="X913" i="30"/>
  <c r="X932" i="30"/>
  <c r="X955" i="30"/>
  <c r="X977" i="30"/>
  <c r="X996" i="30"/>
  <c r="X1014" i="30"/>
  <c r="X1022" i="30"/>
  <c r="X1030" i="30"/>
  <c r="X1038" i="30"/>
  <c r="X1050" i="30"/>
  <c r="X1062" i="30"/>
  <c r="X1072" i="30"/>
  <c r="X1085" i="30"/>
  <c r="X1095" i="30"/>
  <c r="X1105" i="30"/>
  <c r="X1117" i="30"/>
  <c r="X1129" i="30"/>
  <c r="X1140" i="30"/>
  <c r="X1155" i="30"/>
  <c r="X1169" i="30"/>
  <c r="X1177" i="30"/>
  <c r="X1186" i="30"/>
  <c r="X1200" i="30"/>
  <c r="X1214" i="30"/>
  <c r="X1225" i="30"/>
  <c r="X1236" i="30"/>
  <c r="X1248" i="30"/>
  <c r="X1259" i="30"/>
  <c r="X1273" i="30"/>
  <c r="X1284" i="30"/>
  <c r="X1295" i="30"/>
  <c r="X1303" i="30"/>
  <c r="X1317" i="30"/>
  <c r="X1332" i="30"/>
  <c r="X1344" i="30"/>
  <c r="X1359" i="30"/>
  <c r="X1374" i="30"/>
  <c r="X1382" i="30"/>
  <c r="X1394" i="30"/>
  <c r="X1407" i="30"/>
  <c r="X1419" i="30"/>
  <c r="X1433" i="30"/>
  <c r="X1445" i="30"/>
  <c r="X1458" i="30"/>
  <c r="X1470" i="30"/>
  <c r="X1484" i="30"/>
  <c r="X1498" i="30"/>
  <c r="X1510" i="30"/>
  <c r="X1524" i="30"/>
  <c r="X1538" i="30"/>
  <c r="X1550" i="30"/>
  <c r="X1566" i="30"/>
  <c r="X1578" i="30"/>
  <c r="X1588" i="30"/>
  <c r="X1602" i="30"/>
  <c r="X1614" i="30"/>
  <c r="X1625" i="30"/>
  <c r="X1638" i="30"/>
  <c r="X1651" i="30"/>
  <c r="X1662" i="30"/>
  <c r="X1676" i="30"/>
  <c r="X1686" i="30"/>
  <c r="X1699" i="30"/>
  <c r="X1715" i="30"/>
  <c r="X1731" i="30"/>
  <c r="X1745" i="30"/>
  <c r="X1757" i="30"/>
  <c r="X1772" i="30"/>
  <c r="X1797" i="30"/>
  <c r="X1816" i="30"/>
  <c r="X1830" i="30"/>
  <c r="X1842" i="30"/>
  <c r="X1857" i="30"/>
  <c r="X1873" i="30"/>
  <c r="X1887" i="30"/>
  <c r="X1897" i="30"/>
  <c r="X1917" i="30"/>
  <c r="X1930" i="30"/>
  <c r="X1940" i="30"/>
  <c r="X1954" i="30"/>
  <c r="X1966" i="30"/>
  <c r="X1980" i="30"/>
  <c r="X1994" i="30"/>
  <c r="X2006" i="30"/>
  <c r="X2022" i="30"/>
  <c r="X2036" i="30"/>
  <c r="X2052" i="30"/>
  <c r="X2065" i="30"/>
  <c r="X2078" i="30"/>
  <c r="X2089" i="30"/>
  <c r="X2104" i="30"/>
  <c r="X2118" i="30"/>
  <c r="X2132" i="30"/>
  <c r="X2145" i="30"/>
  <c r="X2157" i="30"/>
  <c r="X2169" i="30"/>
  <c r="X2180" i="30"/>
  <c r="X2190" i="30"/>
  <c r="X2200" i="30"/>
  <c r="X2215" i="30"/>
  <c r="X2227" i="30"/>
  <c r="X2235" i="30"/>
  <c r="X2243" i="30"/>
  <c r="X2256" i="30"/>
  <c r="X2270" i="30"/>
  <c r="X2284" i="30"/>
  <c r="X2303" i="30"/>
  <c r="X2315" i="30"/>
  <c r="X2326" i="30"/>
  <c r="X2337" i="30"/>
  <c r="X2348" i="30"/>
  <c r="X2361" i="30"/>
  <c r="X2371" i="30"/>
  <c r="X2387" i="30"/>
  <c r="X2401" i="30"/>
  <c r="X2413" i="30"/>
  <c r="X2425" i="30"/>
  <c r="X2439" i="30"/>
  <c r="X2450" i="30"/>
  <c r="X2464" i="30"/>
  <c r="X2474" i="30"/>
  <c r="X2486" i="30"/>
  <c r="X2500" i="30"/>
  <c r="X2509" i="30"/>
  <c r="X2527" i="30"/>
  <c r="X2537" i="30"/>
  <c r="X2548" i="30"/>
  <c r="X2556" i="30"/>
  <c r="X2564" i="30"/>
  <c r="X2572" i="30"/>
  <c r="X2580" i="30"/>
  <c r="X2588" i="30"/>
  <c r="X2596" i="30"/>
  <c r="X2604" i="30"/>
  <c r="X2612" i="30"/>
  <c r="X2620" i="30"/>
  <c r="X2628" i="30"/>
  <c r="X2636" i="30"/>
  <c r="X2644" i="30"/>
  <c r="X2652" i="30"/>
  <c r="X2660" i="30"/>
  <c r="X2668" i="30"/>
  <c r="X2676" i="30"/>
  <c r="X2684" i="30"/>
  <c r="X2692" i="30"/>
  <c r="X2700" i="30"/>
  <c r="X2708" i="30"/>
  <c r="X2718" i="30"/>
  <c r="X2729" i="30"/>
  <c r="X2739" i="30"/>
  <c r="X2751" i="30"/>
  <c r="X2763" i="30"/>
  <c r="X2774" i="30"/>
  <c r="X2784" i="30"/>
  <c r="X2798" i="30"/>
  <c r="X2808" i="30"/>
  <c r="X2818" i="30"/>
  <c r="X2830" i="30"/>
  <c r="X2840" i="30"/>
  <c r="X2852" i="30"/>
  <c r="R5" i="30"/>
  <c r="AK5" i="30" s="1"/>
  <c r="R17" i="30"/>
  <c r="R28" i="30"/>
  <c r="R38" i="30"/>
  <c r="AK38" i="30" s="1"/>
  <c r="R49" i="30"/>
  <c r="AK49" i="30" s="1"/>
  <c r="R60" i="30"/>
  <c r="R74" i="30"/>
  <c r="R84" i="30"/>
  <c r="R96" i="30"/>
  <c r="R109" i="30"/>
  <c r="R123" i="30"/>
  <c r="AK123" i="30" s="1"/>
  <c r="R137" i="30"/>
  <c r="AK137" i="30" s="1"/>
  <c r="R150" i="30"/>
  <c r="AK150" i="30" s="1"/>
  <c r="R166" i="30"/>
  <c r="R176" i="30"/>
  <c r="R185" i="30"/>
  <c r="AK185" i="30" s="1"/>
  <c r="R197" i="30"/>
  <c r="R211" i="30"/>
  <c r="R220" i="30"/>
  <c r="AK220" i="30" s="1"/>
  <c r="R230" i="30"/>
  <c r="AK230" i="30" s="1"/>
  <c r="R240" i="30"/>
  <c r="AK240" i="30" s="1"/>
  <c r="R249" i="30"/>
  <c r="R259" i="30"/>
  <c r="R270" i="30"/>
  <c r="AK270" i="30" s="1"/>
  <c r="R282" i="30"/>
  <c r="AK282" i="30" s="1"/>
  <c r="R291" i="30"/>
  <c r="R305" i="30"/>
  <c r="R317" i="30"/>
  <c r="AK317" i="30" s="1"/>
  <c r="R326" i="30"/>
  <c r="AK326" i="30" s="1"/>
  <c r="R334" i="30"/>
  <c r="R342" i="30"/>
  <c r="R350" i="30"/>
  <c r="R358" i="30"/>
  <c r="R366" i="30"/>
  <c r="R379" i="30"/>
  <c r="R390" i="30"/>
  <c r="R403" i="30"/>
  <c r="AK403" i="30" s="1"/>
  <c r="R413" i="30"/>
  <c r="R424" i="30"/>
  <c r="R437" i="30"/>
  <c r="R448" i="30"/>
  <c r="R458" i="30"/>
  <c r="R475" i="30"/>
  <c r="R485" i="30"/>
  <c r="AK485" i="30" s="1"/>
  <c r="R498" i="30"/>
  <c r="R510" i="30"/>
  <c r="R521" i="30"/>
  <c r="AK521" i="30" s="1"/>
  <c r="R534" i="30"/>
  <c r="R548" i="30"/>
  <c r="AK548" i="30" s="1"/>
  <c r="R557" i="30"/>
  <c r="R569" i="30"/>
  <c r="R581" i="30"/>
  <c r="AK581" i="30" s="1"/>
  <c r="R592" i="30"/>
  <c r="R607" i="30"/>
  <c r="R616" i="30"/>
  <c r="R630" i="30"/>
  <c r="R642" i="30"/>
  <c r="AK642" i="30" s="1"/>
  <c r="R651" i="30"/>
  <c r="R664" i="30"/>
  <c r="R676" i="30"/>
  <c r="AK676" i="30" s="1"/>
  <c r="R684" i="30"/>
  <c r="R692" i="30"/>
  <c r="R700" i="30"/>
  <c r="R710" i="30"/>
  <c r="R722" i="30"/>
  <c r="R735" i="30"/>
  <c r="R747" i="30"/>
  <c r="R759" i="30"/>
  <c r="AK759" i="30" s="1"/>
  <c r="R770" i="30"/>
  <c r="R786" i="30"/>
  <c r="R798" i="30"/>
  <c r="AK798" i="30" s="1"/>
  <c r="R809" i="30"/>
  <c r="R822" i="30"/>
  <c r="AK822" i="30" s="1"/>
  <c r="R834" i="30"/>
  <c r="R847" i="30"/>
  <c r="R861" i="30"/>
  <c r="R875" i="30"/>
  <c r="R887" i="30"/>
  <c r="R897" i="30"/>
  <c r="R905" i="30"/>
  <c r="R913" i="30"/>
  <c r="R921" i="30"/>
  <c r="R929" i="30"/>
  <c r="R937" i="30"/>
  <c r="AK937" i="30" s="1"/>
  <c r="R945" i="30"/>
  <c r="AK945" i="30" s="1"/>
  <c r="R953" i="30"/>
  <c r="R961" i="30"/>
  <c r="R969" i="30"/>
  <c r="R977" i="30"/>
  <c r="R985" i="30"/>
  <c r="R993" i="30"/>
  <c r="R1001" i="30"/>
  <c r="AK1001" i="30" s="1"/>
  <c r="R1009" i="30"/>
  <c r="AK1009" i="30" s="1"/>
  <c r="R1017" i="30"/>
  <c r="R1025" i="30"/>
  <c r="AK1025" i="30" s="1"/>
  <c r="R1033" i="30"/>
  <c r="R1042" i="30"/>
  <c r="R1055" i="30"/>
  <c r="R1067" i="30"/>
  <c r="R1076" i="30"/>
  <c r="AK1076" i="30" s="1"/>
  <c r="R1088" i="30"/>
  <c r="R1098" i="30"/>
  <c r="R1110" i="30"/>
  <c r="R1122" i="30"/>
  <c r="R1134" i="30"/>
  <c r="R1145" i="30"/>
  <c r="R1160" i="30"/>
  <c r="R1172" i="30"/>
  <c r="AK1172" i="30" s="1"/>
  <c r="R1180" i="30"/>
  <c r="AK1180" i="30" s="1"/>
  <c r="R1191" i="30"/>
  <c r="R1211" i="30"/>
  <c r="R1224" i="30"/>
  <c r="R1235" i="30"/>
  <c r="R1247" i="30"/>
  <c r="R1258" i="30"/>
  <c r="R1271" i="30"/>
  <c r="AK1271" i="30" s="1"/>
  <c r="R1282" i="30"/>
  <c r="AK1282" i="30" s="1"/>
  <c r="R1294" i="30"/>
  <c r="R1302" i="30"/>
  <c r="AK1302" i="30" s="1"/>
  <c r="R1314" i="30"/>
  <c r="R1330" i="30"/>
  <c r="R1343" i="30"/>
  <c r="AK1343" i="30" s="1"/>
  <c r="R1358" i="30"/>
  <c r="R1373" i="30"/>
  <c r="AK1373" i="30" s="1"/>
  <c r="R1381" i="30"/>
  <c r="AK1381" i="30" s="1"/>
  <c r="R1393" i="30"/>
  <c r="R1406" i="30"/>
  <c r="AK1406" i="30" s="1"/>
  <c r="R1418" i="30"/>
  <c r="R1432" i="30"/>
  <c r="R1444" i="30"/>
  <c r="R1457" i="30"/>
  <c r="R1469" i="30"/>
  <c r="AK1469" i="30" s="1"/>
  <c r="R1483" i="30"/>
  <c r="AK1483" i="30" s="1"/>
  <c r="R1496" i="30"/>
  <c r="R1508" i="30"/>
  <c r="AK1508" i="30" s="1"/>
  <c r="R1521" i="30"/>
  <c r="R1537" i="30"/>
  <c r="R1549" i="30"/>
  <c r="AK1549" i="30" s="1"/>
  <c r="R1565" i="30"/>
  <c r="R1575" i="30"/>
  <c r="AK1575" i="30" s="1"/>
  <c r="R1587" i="30"/>
  <c r="AK1587" i="30" s="1"/>
  <c r="R1599" i="30"/>
  <c r="R1613" i="30"/>
  <c r="AK1613" i="30" s="1"/>
  <c r="R1624" i="30"/>
  <c r="R1637" i="30"/>
  <c r="R1650" i="30"/>
  <c r="AK1650" i="30" s="1"/>
  <c r="AA2615" i="30"/>
  <c r="X77" i="30"/>
  <c r="X435" i="30"/>
  <c r="X792" i="30"/>
  <c r="X1001" i="30"/>
  <c r="X1086" i="30"/>
  <c r="X1178" i="30"/>
  <c r="X1274" i="30"/>
  <c r="X1375" i="30"/>
  <c r="X1471" i="30"/>
  <c r="X1579" i="30"/>
  <c r="X1677" i="30"/>
  <c r="X1800" i="30"/>
  <c r="X1918" i="30"/>
  <c r="X2023" i="30"/>
  <c r="X2135" i="30"/>
  <c r="X2228" i="30"/>
  <c r="X2327" i="30"/>
  <c r="X2426" i="30"/>
  <c r="X2528" i="30"/>
  <c r="X2597" i="30"/>
  <c r="X2661" i="30"/>
  <c r="X2730" i="30"/>
  <c r="X2819" i="30"/>
  <c r="R50" i="30"/>
  <c r="R153" i="30"/>
  <c r="AK153" i="30" s="1"/>
  <c r="R241" i="30"/>
  <c r="R327" i="30"/>
  <c r="R404" i="30"/>
  <c r="R499" i="30"/>
  <c r="R595" i="30"/>
  <c r="R685" i="30"/>
  <c r="AK685" i="30" s="1"/>
  <c r="R773" i="30"/>
  <c r="R876" i="30"/>
  <c r="AK876" i="30" s="1"/>
  <c r="R946" i="30"/>
  <c r="AK946" i="30" s="1"/>
  <c r="R1010" i="30"/>
  <c r="R1089" i="30"/>
  <c r="R1181" i="30"/>
  <c r="R1284" i="30"/>
  <c r="R1382" i="30"/>
  <c r="R1484" i="30"/>
  <c r="R1588" i="30"/>
  <c r="AK1588" i="30" s="1"/>
  <c r="R1656" i="30"/>
  <c r="R1668" i="30"/>
  <c r="R1681" i="30"/>
  <c r="R1697" i="30"/>
  <c r="R1711" i="30"/>
  <c r="R1731" i="30"/>
  <c r="R1747" i="30"/>
  <c r="R1760" i="30"/>
  <c r="R1777" i="30"/>
  <c r="R1804" i="30"/>
  <c r="R1818" i="30"/>
  <c r="R1832" i="30"/>
  <c r="R1850" i="30"/>
  <c r="R1865" i="30"/>
  <c r="R1877" i="30"/>
  <c r="R1893" i="30"/>
  <c r="AK1893" i="30" s="1"/>
  <c r="R1908" i="30"/>
  <c r="R1925" i="30"/>
  <c r="R1935" i="30"/>
  <c r="AK1935" i="30" s="1"/>
  <c r="R1947" i="30"/>
  <c r="R1961" i="30"/>
  <c r="R1973" i="30"/>
  <c r="R1989" i="30"/>
  <c r="R2003" i="30"/>
  <c r="AK2003" i="30" s="1"/>
  <c r="R2017" i="30"/>
  <c r="R2031" i="30"/>
  <c r="R2048" i="30"/>
  <c r="R2065" i="30"/>
  <c r="R2078" i="30"/>
  <c r="R2089" i="30"/>
  <c r="R2104" i="30"/>
  <c r="R2118" i="30"/>
  <c r="AK2118" i="30" s="1"/>
  <c r="R2132" i="30"/>
  <c r="AK2132" i="30" s="1"/>
  <c r="R2145" i="30"/>
  <c r="AK2145" i="30" s="1"/>
  <c r="R2157" i="30"/>
  <c r="R2169" i="30"/>
  <c r="R2180" i="30"/>
  <c r="R2190" i="30"/>
  <c r="R2203" i="30"/>
  <c r="R2216" i="30"/>
  <c r="AK2216" i="30" s="1"/>
  <c r="R2228" i="30"/>
  <c r="R2236" i="30"/>
  <c r="R2244" i="30"/>
  <c r="R2259" i="30"/>
  <c r="R2273" i="30"/>
  <c r="R2289" i="30"/>
  <c r="R2306" i="30"/>
  <c r="R2317" i="30"/>
  <c r="AK2317" i="30" s="1"/>
  <c r="R2327" i="30"/>
  <c r="R2338" i="30"/>
  <c r="R2351" i="30"/>
  <c r="R2362" i="30"/>
  <c r="R2372" i="30"/>
  <c r="R2388" i="30"/>
  <c r="R2402" i="30"/>
  <c r="R2414" i="30"/>
  <c r="AK2414" i="30" s="1"/>
  <c r="R2426" i="30"/>
  <c r="R2440" i="30"/>
  <c r="R2451" i="30"/>
  <c r="R2467" i="30"/>
  <c r="R2476" i="30"/>
  <c r="R2487" i="30"/>
  <c r="R2501" i="30"/>
  <c r="R2512" i="30"/>
  <c r="AK2512" i="30" s="1"/>
  <c r="R2528" i="30"/>
  <c r="R2539" i="30"/>
  <c r="R2549" i="30"/>
  <c r="R2557" i="30"/>
  <c r="R2565" i="30"/>
  <c r="R2573" i="30"/>
  <c r="R2581" i="30"/>
  <c r="R2589" i="30"/>
  <c r="AK2589" i="30" s="1"/>
  <c r="R2597" i="30"/>
  <c r="R2605" i="30"/>
  <c r="R2613" i="30"/>
  <c r="R2621" i="30"/>
  <c r="R2629" i="30"/>
  <c r="R2637" i="30"/>
  <c r="R2645" i="30"/>
  <c r="R2653" i="30"/>
  <c r="AK2653" i="30" s="1"/>
  <c r="R2661" i="30"/>
  <c r="R2669" i="30"/>
  <c r="R2677" i="30"/>
  <c r="R2685" i="30"/>
  <c r="R2693" i="30"/>
  <c r="R2701" i="30"/>
  <c r="R2709" i="30"/>
  <c r="R2719" i="30"/>
  <c r="AK2719" i="30" s="1"/>
  <c r="R2730" i="30"/>
  <c r="R2740" i="30"/>
  <c r="R2752" i="30"/>
  <c r="R2764" i="30"/>
  <c r="R2775" i="30"/>
  <c r="R2787" i="30"/>
  <c r="R2799" i="30"/>
  <c r="R2809" i="30"/>
  <c r="AK2809" i="30" s="1"/>
  <c r="R2819" i="30"/>
  <c r="AK2819" i="30" s="1"/>
  <c r="R2831" i="30"/>
  <c r="R2841" i="30"/>
  <c r="R2853" i="30"/>
  <c r="AA106" i="30"/>
  <c r="AA2647" i="30"/>
  <c r="X130" i="30"/>
  <c r="X479" i="30"/>
  <c r="X826" i="30"/>
  <c r="X1015" i="30"/>
  <c r="X1096" i="30"/>
  <c r="X1187" i="30"/>
  <c r="X1285" i="30"/>
  <c r="X1385" i="30"/>
  <c r="X1485" i="30"/>
  <c r="X1589" i="30"/>
  <c r="X1689" i="30"/>
  <c r="X1817" i="30"/>
  <c r="X1931" i="30"/>
  <c r="X2039" i="30"/>
  <c r="X2147" i="30"/>
  <c r="X2236" i="30"/>
  <c r="X2338" i="30"/>
  <c r="X2440" i="30"/>
  <c r="X2539" i="30"/>
  <c r="X2605" i="30"/>
  <c r="X2669" i="30"/>
  <c r="X2740" i="30"/>
  <c r="X2831" i="30"/>
  <c r="R61" i="30"/>
  <c r="AK61" i="30" s="1"/>
  <c r="R167" i="30"/>
  <c r="AK167" i="30" s="1"/>
  <c r="R250" i="30"/>
  <c r="AK250" i="30" s="1"/>
  <c r="R335" i="30"/>
  <c r="AK335" i="30" s="1"/>
  <c r="R414" i="30"/>
  <c r="R513" i="30"/>
  <c r="R608" i="30"/>
  <c r="R693" i="30"/>
  <c r="R787" i="30"/>
  <c r="R888" i="30"/>
  <c r="R954" i="30"/>
  <c r="AK954" i="30" s="1"/>
  <c r="R1018" i="30"/>
  <c r="AK1018" i="30" s="1"/>
  <c r="R1099" i="30"/>
  <c r="AK1099" i="30" s="1"/>
  <c r="R1192" i="30"/>
  <c r="R1295" i="30"/>
  <c r="R1394" i="30"/>
  <c r="R1498" i="30"/>
  <c r="R1602" i="30"/>
  <c r="R1657" i="30"/>
  <c r="AK1657" i="30" s="1"/>
  <c r="R1671" i="30"/>
  <c r="R1682" i="30"/>
  <c r="R1698" i="30"/>
  <c r="R1712" i="30"/>
  <c r="AK1712" i="30" s="1"/>
  <c r="R1732" i="30"/>
  <c r="R1748" i="30"/>
  <c r="AK1748" i="30" s="1"/>
  <c r="R1761" i="30"/>
  <c r="R1780" i="30"/>
  <c r="AK1780" i="30" s="1"/>
  <c r="R1807" i="30"/>
  <c r="AK1807" i="30" s="1"/>
  <c r="R1821" i="30"/>
  <c r="R1835" i="30"/>
  <c r="R1851" i="30"/>
  <c r="R1866" i="30"/>
  <c r="R1883" i="30"/>
  <c r="AK1883" i="30" s="1"/>
  <c r="R1895" i="30"/>
  <c r="R1911" i="30"/>
  <c r="R1926" i="30"/>
  <c r="R1936" i="30"/>
  <c r="R1950" i="30"/>
  <c r="R1964" i="30"/>
  <c r="R1976" i="30"/>
  <c r="AK1976" i="30" s="1"/>
  <c r="R1992" i="30"/>
  <c r="R2004" i="30"/>
  <c r="R2018" i="30"/>
  <c r="AK2018" i="30" s="1"/>
  <c r="R2033" i="30"/>
  <c r="R2049" i="30"/>
  <c r="R2066" i="30"/>
  <c r="R2079" i="30"/>
  <c r="R2092" i="30"/>
  <c r="R2105" i="30"/>
  <c r="AK2105" i="30" s="1"/>
  <c r="R2121" i="30"/>
  <c r="R2135" i="30"/>
  <c r="AK2135" i="30" s="1"/>
  <c r="R2147" i="30"/>
  <c r="R2158" i="30"/>
  <c r="R2170" i="30"/>
  <c r="R2182" i="30"/>
  <c r="R2191" i="30"/>
  <c r="R2204" i="30"/>
  <c r="R2218" i="30"/>
  <c r="R2229" i="30"/>
  <c r="AK2229" i="30" s="1"/>
  <c r="R2237" i="30"/>
  <c r="R2245" i="30"/>
  <c r="R2260" i="30"/>
  <c r="R2274" i="30"/>
  <c r="R2290" i="30"/>
  <c r="R2307" i="30"/>
  <c r="AK2307" i="30" s="1"/>
  <c r="R2318" i="30"/>
  <c r="R2329" i="30"/>
  <c r="AK2329" i="30" s="1"/>
  <c r="R2339" i="30"/>
  <c r="R2352" i="30"/>
  <c r="R2363" i="30"/>
  <c r="R2373" i="30"/>
  <c r="R2391" i="30"/>
  <c r="R2405" i="30"/>
  <c r="AK2405" i="30" s="1"/>
  <c r="R2415" i="30"/>
  <c r="R2429" i="30"/>
  <c r="AK2429" i="30" s="1"/>
  <c r="R2441" i="30"/>
  <c r="AK2441" i="30" s="1"/>
  <c r="R2454" i="30"/>
  <c r="R2468" i="30"/>
  <c r="R2477" i="30"/>
  <c r="R2488" i="30"/>
  <c r="R2502" i="30"/>
  <c r="AK2502" i="30" s="1"/>
  <c r="R2513" i="30"/>
  <c r="R2529" i="30"/>
  <c r="AK2529" i="30" s="1"/>
  <c r="R2540" i="30"/>
  <c r="R2550" i="30"/>
  <c r="R2558" i="30"/>
  <c r="R2566" i="30"/>
  <c r="R2574" i="30"/>
  <c r="R2582" i="30"/>
  <c r="AK2582" i="30" s="1"/>
  <c r="R2590" i="30"/>
  <c r="R2598" i="30"/>
  <c r="AK2598" i="30" s="1"/>
  <c r="R2606" i="30"/>
  <c r="R2614" i="30"/>
  <c r="R2622" i="30"/>
  <c r="R2630" i="30"/>
  <c r="R2638" i="30"/>
  <c r="R2646" i="30"/>
  <c r="R2654" i="30"/>
  <c r="R2662" i="30"/>
  <c r="AK2662" i="30" s="1"/>
  <c r="R2670" i="30"/>
  <c r="AK2670" i="30" s="1"/>
  <c r="R2678" i="30"/>
  <c r="R2686" i="30"/>
  <c r="R2694" i="30"/>
  <c r="R2702" i="30"/>
  <c r="R2712" i="30"/>
  <c r="R2720" i="30"/>
  <c r="R2731" i="30"/>
  <c r="AK2731" i="30" s="1"/>
  <c r="R2741" i="30"/>
  <c r="AK2741" i="30" s="1"/>
  <c r="R2753" i="30"/>
  <c r="R2765" i="30"/>
  <c r="R2776" i="30"/>
  <c r="R2788" i="30"/>
  <c r="R2800" i="30"/>
  <c r="R2810" i="30"/>
  <c r="R2822" i="30"/>
  <c r="AK2822" i="30" s="1"/>
  <c r="R2832" i="30"/>
  <c r="R2842" i="30"/>
  <c r="R2856" i="30"/>
  <c r="AA1024" i="30"/>
  <c r="AA2679" i="30"/>
  <c r="X179" i="30"/>
  <c r="X529" i="30"/>
  <c r="X861" i="30"/>
  <c r="X1023" i="30"/>
  <c r="X1108" i="30"/>
  <c r="X1201" i="30"/>
  <c r="X1296" i="30"/>
  <c r="X1395" i="30"/>
  <c r="X1499" i="30"/>
  <c r="X1603" i="30"/>
  <c r="X1702" i="30"/>
  <c r="X1831" i="30"/>
  <c r="X1941" i="30"/>
  <c r="X2053" i="30"/>
  <c r="X2158" i="30"/>
  <c r="X2244" i="30"/>
  <c r="X2351" i="30"/>
  <c r="X2451" i="30"/>
  <c r="X2549" i="30"/>
  <c r="X2613" i="30"/>
  <c r="X2677" i="30"/>
  <c r="X2752" i="30"/>
  <c r="X2841" i="30"/>
  <c r="R75" i="30"/>
  <c r="R177" i="30"/>
  <c r="R260" i="30"/>
  <c r="R343" i="30"/>
  <c r="AK343" i="30" s="1"/>
  <c r="R425" i="30"/>
  <c r="R524" i="30"/>
  <c r="R617" i="30"/>
  <c r="R701" i="30"/>
  <c r="R799" i="30"/>
  <c r="R898" i="30"/>
  <c r="R962" i="30"/>
  <c r="R1026" i="30"/>
  <c r="AK1026" i="30" s="1"/>
  <c r="R1111" i="30"/>
  <c r="R1214" i="30"/>
  <c r="R1303" i="30"/>
  <c r="AK1303" i="30" s="1"/>
  <c r="R1407" i="30"/>
  <c r="R1510" i="30"/>
  <c r="AK1510" i="30" s="1"/>
  <c r="R1614" i="30"/>
  <c r="AK1614" i="30" s="1"/>
  <c r="R1660" i="30"/>
  <c r="R1672" i="30"/>
  <c r="AK1672" i="30" s="1"/>
  <c r="R1683" i="30"/>
  <c r="R1699" i="30"/>
  <c r="R1715" i="30"/>
  <c r="AK1715" i="30" s="1"/>
  <c r="R1736" i="30"/>
  <c r="AK1736" i="30" s="1"/>
  <c r="R1749" i="30"/>
  <c r="R1764" i="30"/>
  <c r="R1781" i="30"/>
  <c r="R1808" i="30"/>
  <c r="R1822" i="30"/>
  <c r="AK1822" i="30" s="1"/>
  <c r="R1836" i="30"/>
  <c r="R1853" i="30"/>
  <c r="R1869" i="30"/>
  <c r="AK1869" i="30" s="1"/>
  <c r="R1884" i="30"/>
  <c r="R1896" i="30"/>
  <c r="R1914" i="30"/>
  <c r="R1929" i="30"/>
  <c r="AK1929" i="30" s="1"/>
  <c r="R1937" i="30"/>
  <c r="AK1937" i="30" s="1"/>
  <c r="R1951" i="30"/>
  <c r="AK1951" i="30" s="1"/>
  <c r="R1965" i="30"/>
  <c r="R1978" i="30"/>
  <c r="R1993" i="30"/>
  <c r="AK1993" i="30" s="1"/>
  <c r="R2005" i="30"/>
  <c r="R2019" i="30"/>
  <c r="R2035" i="30"/>
  <c r="AK2035" i="30" s="1"/>
  <c r="R2052" i="30"/>
  <c r="R2068" i="30"/>
  <c r="R2080" i="30"/>
  <c r="R2093" i="30"/>
  <c r="R2108" i="30"/>
  <c r="R2123" i="30"/>
  <c r="R2136" i="30"/>
  <c r="R2148" i="30"/>
  <c r="AK2148" i="30" s="1"/>
  <c r="R2161" i="30"/>
  <c r="R2171" i="30"/>
  <c r="R2183" i="30"/>
  <c r="AK2183" i="30" s="1"/>
  <c r="R2192" i="30"/>
  <c r="R2205" i="30"/>
  <c r="R2219" i="30"/>
  <c r="R2230" i="30"/>
  <c r="R2238" i="30"/>
  <c r="R2247" i="30"/>
  <c r="R2261" i="30"/>
  <c r="R2275" i="30"/>
  <c r="AK2275" i="30" s="1"/>
  <c r="R2295" i="30"/>
  <c r="R2308" i="30"/>
  <c r="R2319" i="30"/>
  <c r="R2330" i="30"/>
  <c r="R2340" i="30"/>
  <c r="AK2340" i="30" s="1"/>
  <c r="R2353" i="30"/>
  <c r="AK2353" i="30" s="1"/>
  <c r="R2364" i="30"/>
  <c r="R2377" i="30"/>
  <c r="R2392" i="30"/>
  <c r="R2406" i="30"/>
  <c r="R2416" i="30"/>
  <c r="R2430" i="30"/>
  <c r="R2442" i="30"/>
  <c r="AK2442" i="30" s="1"/>
  <c r="R2455" i="30"/>
  <c r="AK2455" i="30" s="1"/>
  <c r="R2469" i="30"/>
  <c r="R2479" i="30"/>
  <c r="R2491" i="30"/>
  <c r="R2503" i="30"/>
  <c r="R2514" i="30"/>
  <c r="R2530" i="30"/>
  <c r="R2543" i="30"/>
  <c r="AK2543" i="30" s="1"/>
  <c r="R2551" i="30"/>
  <c r="R2559" i="30"/>
  <c r="R2567" i="30"/>
  <c r="R2575" i="30"/>
  <c r="R2583" i="30"/>
  <c r="R2591" i="30"/>
  <c r="R2599" i="30"/>
  <c r="R2607" i="30"/>
  <c r="AK2607" i="30" s="1"/>
  <c r="R2615" i="30"/>
  <c r="AK2615" i="30" s="1"/>
  <c r="R2623" i="30"/>
  <c r="R2631" i="30"/>
  <c r="R2639" i="30"/>
  <c r="R2647" i="30"/>
  <c r="R2655" i="30"/>
  <c r="R2663" i="30"/>
  <c r="R2671" i="30"/>
  <c r="AK2671" i="30" s="1"/>
  <c r="R2679" i="30"/>
  <c r="AK2679" i="30" s="1"/>
  <c r="R2687" i="30"/>
  <c r="R2695" i="30"/>
  <c r="R2703" i="30"/>
  <c r="R2713" i="30"/>
  <c r="AK2713" i="30" s="1"/>
  <c r="R2722" i="30"/>
  <c r="R2732" i="30"/>
  <c r="R2742" i="30"/>
  <c r="AK2742" i="30" s="1"/>
  <c r="R2756" i="30"/>
  <c r="AK2756" i="30" s="1"/>
  <c r="R2766" i="30"/>
  <c r="R2777" i="30"/>
  <c r="R2789" i="30"/>
  <c r="R2801" i="30"/>
  <c r="R2811" i="30"/>
  <c r="R2823" i="30"/>
  <c r="R2833" i="30"/>
  <c r="AK2833" i="30" s="1"/>
  <c r="R2845" i="30"/>
  <c r="R2857" i="30"/>
  <c r="AA1487" i="30"/>
  <c r="AA2713" i="30"/>
  <c r="X223" i="30"/>
  <c r="X577" i="30"/>
  <c r="X890" i="30"/>
  <c r="X1031" i="30"/>
  <c r="X1120" i="30"/>
  <c r="X1215" i="30"/>
  <c r="X1304" i="30"/>
  <c r="X1410" i="30"/>
  <c r="X1511" i="30"/>
  <c r="X1616" i="30"/>
  <c r="X1716" i="30"/>
  <c r="X1845" i="30"/>
  <c r="X1955" i="30"/>
  <c r="X2066" i="30"/>
  <c r="X2170" i="30"/>
  <c r="X2259" i="30"/>
  <c r="X2362" i="30"/>
  <c r="X2467" i="30"/>
  <c r="X2557" i="30"/>
  <c r="X2621" i="30"/>
  <c r="X2685" i="30"/>
  <c r="X2764" i="30"/>
  <c r="X2853" i="30"/>
  <c r="R85" i="30"/>
  <c r="R186" i="30"/>
  <c r="R272" i="30"/>
  <c r="AK272" i="30" s="1"/>
  <c r="R351" i="30"/>
  <c r="R438" i="30"/>
  <c r="AK438" i="30" s="1"/>
  <c r="R535" i="30"/>
  <c r="AK535" i="30" s="1"/>
  <c r="R631" i="30"/>
  <c r="AK631" i="30" s="1"/>
  <c r="R711" i="30"/>
  <c r="R812" i="30"/>
  <c r="AK812" i="30" s="1"/>
  <c r="R906" i="30"/>
  <c r="R970" i="30"/>
  <c r="AK970" i="30" s="1"/>
  <c r="R1034" i="30"/>
  <c r="R1123" i="30"/>
  <c r="AK1123" i="30" s="1"/>
  <c r="R1225" i="30"/>
  <c r="R1317" i="30"/>
  <c r="R1419" i="30"/>
  <c r="R1524" i="30"/>
  <c r="R1625" i="30"/>
  <c r="R1661" i="30"/>
  <c r="R1675" i="30"/>
  <c r="R1685" i="30"/>
  <c r="AK1685" i="30" s="1"/>
  <c r="R1702" i="30"/>
  <c r="R1716" i="30"/>
  <c r="R1737" i="30"/>
  <c r="AK1737" i="30" s="1"/>
  <c r="R1752" i="30"/>
  <c r="R1765" i="30"/>
  <c r="R1782" i="30"/>
  <c r="R1809" i="30"/>
  <c r="R1825" i="30"/>
  <c r="AK1825" i="30" s="1"/>
  <c r="R1839" i="30"/>
  <c r="AK1839" i="30" s="1"/>
  <c r="R1854" i="30"/>
  <c r="R1870" i="30"/>
  <c r="R1887" i="30"/>
  <c r="AK1887" i="30" s="1"/>
  <c r="R1897" i="30"/>
  <c r="R1917" i="30"/>
  <c r="R1930" i="30"/>
  <c r="AK1930" i="30" s="1"/>
  <c r="R1940" i="30"/>
  <c r="AK1940" i="30" s="1"/>
  <c r="R1954" i="30"/>
  <c r="R1966" i="30"/>
  <c r="R1980" i="30"/>
  <c r="R1994" i="30"/>
  <c r="R2006" i="30"/>
  <c r="R2022" i="30"/>
  <c r="R2036" i="30"/>
  <c r="AK2036" i="30" s="1"/>
  <c r="R2053" i="30"/>
  <c r="AK2053" i="30" s="1"/>
  <c r="R2069" i="30"/>
  <c r="AK2069" i="30" s="1"/>
  <c r="R2081" i="30"/>
  <c r="R2095" i="30"/>
  <c r="R2109" i="30"/>
  <c r="R2124" i="30"/>
  <c r="R2137" i="30"/>
  <c r="AK2137" i="30" s="1"/>
  <c r="R2149" i="30"/>
  <c r="R2162" i="30"/>
  <c r="AK2162" i="30" s="1"/>
  <c r="R2172" i="30"/>
  <c r="AK2172" i="30" s="1"/>
  <c r="R2185" i="30"/>
  <c r="R2193" i="30"/>
  <c r="R2206" i="30"/>
  <c r="AK2206" i="30" s="1"/>
  <c r="R2220" i="30"/>
  <c r="R2231" i="30"/>
  <c r="AK2231" i="30" s="1"/>
  <c r="R2239" i="30"/>
  <c r="R2248" i="30"/>
  <c r="AK2248" i="30" s="1"/>
  <c r="R2262" i="30"/>
  <c r="AK2262" i="30" s="1"/>
  <c r="R2276" i="30"/>
  <c r="R2296" i="30"/>
  <c r="R2311" i="30"/>
  <c r="R2322" i="30"/>
  <c r="R2333" i="30"/>
  <c r="R2341" i="30"/>
  <c r="AK2341" i="30" s="1"/>
  <c r="R2355" i="30"/>
  <c r="AK2355" i="30" s="1"/>
  <c r="R2365" i="30"/>
  <c r="R2378" i="30"/>
  <c r="R2395" i="30"/>
  <c r="R2409" i="30"/>
  <c r="R2419" i="30"/>
  <c r="AK2419" i="30" s="1"/>
  <c r="R2433" i="30"/>
  <c r="R2444" i="30"/>
  <c r="R2456" i="30"/>
  <c r="AK2456" i="30" s="1"/>
  <c r="R2470" i="30"/>
  <c r="AK2470" i="30" s="1"/>
  <c r="R2480" i="30"/>
  <c r="R2492" i="30"/>
  <c r="R2504" i="30"/>
  <c r="R2517" i="30"/>
  <c r="R2531" i="30"/>
  <c r="R2544" i="30"/>
  <c r="AK2544" i="30" s="1"/>
  <c r="R2552" i="30"/>
  <c r="AK2552" i="30" s="1"/>
  <c r="R2560" i="30"/>
  <c r="R2568" i="30"/>
  <c r="R2576" i="30"/>
  <c r="R2584" i="30"/>
  <c r="R2592" i="30"/>
  <c r="R2600" i="30"/>
  <c r="AK2600" i="30" s="1"/>
  <c r="R2608" i="30"/>
  <c r="AK2608" i="30" s="1"/>
  <c r="R2616" i="30"/>
  <c r="AK2616" i="30" s="1"/>
  <c r="R2624" i="30"/>
  <c r="R2632" i="30"/>
  <c r="R2640" i="30"/>
  <c r="R2648" i="30"/>
  <c r="R2656" i="30"/>
  <c r="AK2656" i="30" s="1"/>
  <c r="R2664" i="30"/>
  <c r="R2672" i="30"/>
  <c r="R2680" i="30"/>
  <c r="AK2680" i="30" s="1"/>
  <c r="R2688" i="30"/>
  <c r="R2696" i="30"/>
  <c r="R2704" i="30"/>
  <c r="R2714" i="30"/>
  <c r="R2723" i="30"/>
  <c r="R2733" i="30"/>
  <c r="AK2733" i="30" s="1"/>
  <c r="R2745" i="30"/>
  <c r="AK2745" i="30" s="1"/>
  <c r="R2757" i="30"/>
  <c r="AK2757" i="30" s="1"/>
  <c r="R2767" i="30"/>
  <c r="AK2767" i="30" s="1"/>
  <c r="R2778" i="30"/>
  <c r="R2790" i="30"/>
  <c r="R2802" i="30"/>
  <c r="R2814" i="30"/>
  <c r="AK2814" i="30" s="1"/>
  <c r="R2824" i="30"/>
  <c r="AK2824" i="30" s="1"/>
  <c r="R2834" i="30"/>
  <c r="R2846" i="30"/>
  <c r="AK2846" i="30" s="1"/>
  <c r="R2858" i="30"/>
  <c r="AK2858" i="30" s="1"/>
  <c r="AA2340" i="30"/>
  <c r="AA2801" i="30"/>
  <c r="X309" i="30"/>
  <c r="X670" i="30"/>
  <c r="X937" i="30"/>
  <c r="X1052" i="30"/>
  <c r="X1143" i="30"/>
  <c r="X1237" i="30"/>
  <c r="X1333" i="30"/>
  <c r="X1434" i="30"/>
  <c r="X1539" i="30"/>
  <c r="X1639" i="30"/>
  <c r="X1746" i="30"/>
  <c r="X1874" i="30"/>
  <c r="X1981" i="30"/>
  <c r="X2092" i="30"/>
  <c r="X2191" i="30"/>
  <c r="X2289" i="30"/>
  <c r="X2388" i="30"/>
  <c r="X2487" i="30"/>
  <c r="X2573" i="30"/>
  <c r="X2637" i="30"/>
  <c r="X2701" i="30"/>
  <c r="X2787" i="30"/>
  <c r="R18" i="30"/>
  <c r="R112" i="30"/>
  <c r="R213" i="30"/>
  <c r="R292" i="30"/>
  <c r="R368" i="30"/>
  <c r="R459" i="30"/>
  <c r="R558" i="30"/>
  <c r="AK558" i="30" s="1"/>
  <c r="R653" i="30"/>
  <c r="R736" i="30"/>
  <c r="R835" i="30"/>
  <c r="R922" i="30"/>
  <c r="R986" i="30"/>
  <c r="R1056" i="30"/>
  <c r="AK1056" i="30" s="1"/>
  <c r="R1147" i="30"/>
  <c r="R1248" i="30"/>
  <c r="AK1248" i="30" s="1"/>
  <c r="R1344" i="30"/>
  <c r="R1445" i="30"/>
  <c r="R1550" i="30"/>
  <c r="R1651" i="30"/>
  <c r="R1663" i="30"/>
  <c r="R1677" i="30"/>
  <c r="R1689" i="30"/>
  <c r="R1706" i="30"/>
  <c r="AK1706" i="30" s="1"/>
  <c r="R1724" i="30"/>
  <c r="AK1724" i="30" s="1"/>
  <c r="R1739" i="30"/>
  <c r="R1756" i="30"/>
  <c r="R1769" i="30"/>
  <c r="R1785" i="30"/>
  <c r="R1814" i="30"/>
  <c r="AK1814" i="30" s="1"/>
  <c r="R1829" i="30"/>
  <c r="R1841" i="30"/>
  <c r="AK1841" i="30" s="1"/>
  <c r="R1858" i="30"/>
  <c r="R1874" i="30"/>
  <c r="AK1874" i="30" s="1"/>
  <c r="R1889" i="30"/>
  <c r="R1902" i="30"/>
  <c r="R1921" i="30"/>
  <c r="R1932" i="30"/>
  <c r="R1942" i="30"/>
  <c r="R1958" i="30"/>
  <c r="AK1958" i="30" s="1"/>
  <c r="R1970" i="30"/>
  <c r="AK1970" i="30" s="1"/>
  <c r="R1984" i="30"/>
  <c r="R1998" i="30"/>
  <c r="R2010" i="30"/>
  <c r="R2024" i="30"/>
  <c r="R2041" i="30"/>
  <c r="R2059" i="30"/>
  <c r="R2073" i="30"/>
  <c r="AK2073" i="30" s="1"/>
  <c r="R2085" i="30"/>
  <c r="R2097" i="30"/>
  <c r="R2113" i="30"/>
  <c r="R2127" i="30"/>
  <c r="R2140" i="30"/>
  <c r="R2153" i="30"/>
  <c r="AK2153" i="30" s="1"/>
  <c r="R2164" i="30"/>
  <c r="R2176" i="30"/>
  <c r="AK2176" i="30" s="1"/>
  <c r="R2187" i="30"/>
  <c r="R2196" i="30"/>
  <c r="R2211" i="30"/>
  <c r="R2223" i="30"/>
  <c r="R2233" i="30"/>
  <c r="R2241" i="30"/>
  <c r="R2252" i="30"/>
  <c r="R2266" i="30"/>
  <c r="AK2266" i="30" s="1"/>
  <c r="R2280" i="30"/>
  <c r="R2300" i="30"/>
  <c r="R2313" i="30"/>
  <c r="R2324" i="30"/>
  <c r="R2335" i="30"/>
  <c r="R2344" i="30"/>
  <c r="R2359" i="30"/>
  <c r="R2369" i="30"/>
  <c r="AK2369" i="30" s="1"/>
  <c r="R2381" i="30"/>
  <c r="R2397" i="30"/>
  <c r="R2411" i="30"/>
  <c r="R2423" i="30"/>
  <c r="R2437" i="30"/>
  <c r="R2448" i="30"/>
  <c r="R2460" i="30"/>
  <c r="R2472" i="30"/>
  <c r="AK2472" i="30" s="1"/>
  <c r="R2482" i="30"/>
  <c r="R2496" i="30"/>
  <c r="R2506" i="30"/>
  <c r="R2521" i="30"/>
  <c r="R2534" i="30"/>
  <c r="R2546" i="30"/>
  <c r="R2554" i="30"/>
  <c r="R2562" i="30"/>
  <c r="AK2562" i="30" s="1"/>
  <c r="R2570" i="30"/>
  <c r="R2578" i="30"/>
  <c r="R2586" i="30"/>
  <c r="R2594" i="30"/>
  <c r="R2602" i="30"/>
  <c r="R2610" i="30"/>
  <c r="R2618" i="30"/>
  <c r="R2626" i="30"/>
  <c r="AK2626" i="30" s="1"/>
  <c r="R2634" i="30"/>
  <c r="R2642" i="30"/>
  <c r="R2650" i="30"/>
  <c r="R2658" i="30"/>
  <c r="R2666" i="30"/>
  <c r="R2674" i="30"/>
  <c r="R2682" i="30"/>
  <c r="R2690" i="30"/>
  <c r="AK2690" i="30" s="1"/>
  <c r="R2698" i="30"/>
  <c r="R2706" i="30"/>
  <c r="R2716" i="30"/>
  <c r="R2727" i="30"/>
  <c r="R2737" i="30"/>
  <c r="R2747" i="30"/>
  <c r="R2761" i="30"/>
  <c r="R2770" i="30"/>
  <c r="AK2770" i="30" s="1"/>
  <c r="R2780" i="30"/>
  <c r="R2794" i="30"/>
  <c r="R2804" i="30"/>
  <c r="R2816" i="30"/>
  <c r="R2826" i="30"/>
  <c r="R2836" i="30"/>
  <c r="R2848" i="30"/>
  <c r="AA2551" i="30"/>
  <c r="AA2845" i="30"/>
  <c r="X345" i="30"/>
  <c r="X706" i="30"/>
  <c r="X956" i="30"/>
  <c r="X1063" i="30"/>
  <c r="X1156" i="30"/>
  <c r="X1251" i="30"/>
  <c r="X1347" i="30"/>
  <c r="X1446" i="30"/>
  <c r="X1553" i="30"/>
  <c r="X1652" i="30"/>
  <c r="X1758" i="30"/>
  <c r="X1888" i="30"/>
  <c r="X1995" i="30"/>
  <c r="X2105" i="30"/>
  <c r="X2203" i="30"/>
  <c r="X2306" i="30"/>
  <c r="X2402" i="30"/>
  <c r="X2501" i="30"/>
  <c r="X2581" i="30"/>
  <c r="X2645" i="30"/>
  <c r="X2709" i="30"/>
  <c r="X2799" i="30"/>
  <c r="R29" i="30"/>
  <c r="AK29" i="30" s="1"/>
  <c r="R124" i="30"/>
  <c r="AK124" i="30" s="1"/>
  <c r="R221" i="30"/>
  <c r="R306" i="30"/>
  <c r="R380" i="30"/>
  <c r="R476" i="30"/>
  <c r="R572" i="30"/>
  <c r="R667" i="30"/>
  <c r="R748" i="30"/>
  <c r="AK748" i="30" s="1"/>
  <c r="R848" i="30"/>
  <c r="R930" i="30"/>
  <c r="R994" i="30"/>
  <c r="R1068" i="30"/>
  <c r="R1161" i="30"/>
  <c r="R1259" i="30"/>
  <c r="R1359" i="30"/>
  <c r="R1458" i="30"/>
  <c r="AK1458" i="30" s="1"/>
  <c r="R1566" i="30"/>
  <c r="R1654" i="30"/>
  <c r="R1664" i="30"/>
  <c r="R1678" i="30"/>
  <c r="R1690" i="30"/>
  <c r="R1707" i="30"/>
  <c r="R1727" i="30"/>
  <c r="R1745" i="30"/>
  <c r="AK1745" i="30" s="1"/>
  <c r="R1757" i="30"/>
  <c r="AK1757" i="30" s="1"/>
  <c r="R1772" i="30"/>
  <c r="R1797" i="30"/>
  <c r="R1816" i="30"/>
  <c r="R1830" i="30"/>
  <c r="R1842" i="30"/>
  <c r="R1861" i="30"/>
  <c r="AK1861" i="30" s="1"/>
  <c r="R1875" i="30"/>
  <c r="AK1875" i="30" s="1"/>
  <c r="R1890" i="30"/>
  <c r="R1904" i="30"/>
  <c r="R1922" i="30"/>
  <c r="R1933" i="30"/>
  <c r="R1943" i="30"/>
  <c r="R1959" i="30"/>
  <c r="R1971" i="30"/>
  <c r="R1985" i="30"/>
  <c r="AK1985" i="30" s="1"/>
  <c r="R1999" i="30"/>
  <c r="R2013" i="30"/>
  <c r="R2027" i="30"/>
  <c r="R2042" i="30"/>
  <c r="AK2042" i="30" s="1"/>
  <c r="R2062" i="30"/>
  <c r="R2076" i="30"/>
  <c r="AK2076" i="30" s="1"/>
  <c r="R2086" i="30"/>
  <c r="AK2086" i="30" s="1"/>
  <c r="R2100" i="30"/>
  <c r="AK2100" i="30" s="1"/>
  <c r="R2116" i="30"/>
  <c r="R2128" i="30"/>
  <c r="R2143" i="30"/>
  <c r="R2154" i="30"/>
  <c r="R2165" i="30"/>
  <c r="R2177" i="30"/>
  <c r="AK2177" i="30" s="1"/>
  <c r="R2188" i="30"/>
  <c r="AK2188" i="30" s="1"/>
  <c r="R2199" i="30"/>
  <c r="AK2199" i="30" s="1"/>
  <c r="R2212" i="30"/>
  <c r="R2226" i="30"/>
  <c r="R2234" i="30"/>
  <c r="R2242" i="30"/>
  <c r="R2255" i="30"/>
  <c r="R2269" i="30"/>
  <c r="R2283" i="30"/>
  <c r="R2301" i="30"/>
  <c r="AK2301" i="30" s="1"/>
  <c r="R2314" i="30"/>
  <c r="R2325" i="30"/>
  <c r="R2336" i="30"/>
  <c r="R2347" i="30"/>
  <c r="R2360" i="30"/>
  <c r="R2370" i="30"/>
  <c r="R2386" i="30"/>
  <c r="R2398" i="30"/>
  <c r="AK2398" i="30" s="1"/>
  <c r="R2412" i="30"/>
  <c r="R2424" i="30"/>
  <c r="R2438" i="30"/>
  <c r="R2449" i="30"/>
  <c r="R2461" i="30"/>
  <c r="R2473" i="30"/>
  <c r="R2485" i="30"/>
  <c r="R2499" i="30"/>
  <c r="AK2499" i="30" s="1"/>
  <c r="R2508" i="30"/>
  <c r="R2524" i="30"/>
  <c r="R2536" i="30"/>
  <c r="R2547" i="30"/>
  <c r="R2555" i="30"/>
  <c r="R2563" i="30"/>
  <c r="R2571" i="30"/>
  <c r="R2579" i="30"/>
  <c r="AK2579" i="30" s="1"/>
  <c r="R2587" i="30"/>
  <c r="AK2587" i="30" s="1"/>
  <c r="R2595" i="30"/>
  <c r="R2603" i="30"/>
  <c r="R2611" i="30"/>
  <c r="R2619" i="30"/>
  <c r="R2627" i="30"/>
  <c r="R2635" i="30"/>
  <c r="R2643" i="30"/>
  <c r="AK2643" i="30" s="1"/>
  <c r="R2651" i="30"/>
  <c r="AK2651" i="30" s="1"/>
  <c r="R2659" i="30"/>
  <c r="R2667" i="30"/>
  <c r="R2675" i="30"/>
  <c r="R2683" i="30"/>
  <c r="R2691" i="30"/>
  <c r="R2699" i="30"/>
  <c r="R2707" i="30"/>
  <c r="AK2707" i="30" s="1"/>
  <c r="R2717" i="30"/>
  <c r="AK2717" i="30" s="1"/>
  <c r="R2728" i="30"/>
  <c r="R2738" i="30"/>
  <c r="R2750" i="30"/>
  <c r="R2762" i="30"/>
  <c r="R2773" i="30"/>
  <c r="R2781" i="30"/>
  <c r="R2797" i="30"/>
  <c r="AK2797" i="30" s="1"/>
  <c r="R2805" i="30"/>
  <c r="AK2805" i="30" s="1"/>
  <c r="R2817" i="30"/>
  <c r="R2827" i="30"/>
  <c r="R2837" i="30"/>
  <c r="R2851" i="30"/>
  <c r="X753" i="30"/>
  <c r="X1260" i="30"/>
  <c r="X1663" i="30"/>
  <c r="X2121" i="30"/>
  <c r="X2512" i="30"/>
  <c r="X2809" i="30"/>
  <c r="R318" i="30"/>
  <c r="R677" i="30"/>
  <c r="R1002" i="30"/>
  <c r="R1374" i="30"/>
  <c r="R1667" i="30"/>
  <c r="AK1667" i="30" s="1"/>
  <c r="R1728" i="30"/>
  <c r="R1800" i="30"/>
  <c r="R1862" i="30"/>
  <c r="AK1862" i="30" s="1"/>
  <c r="R1923" i="30"/>
  <c r="R1972" i="30"/>
  <c r="R2028" i="30"/>
  <c r="AK2028" i="30" s="1"/>
  <c r="R2088" i="30"/>
  <c r="R2144" i="30"/>
  <c r="AK2144" i="30" s="1"/>
  <c r="R2189" i="30"/>
  <c r="AK2189" i="30" s="1"/>
  <c r="R2235" i="30"/>
  <c r="AK2235" i="30" s="1"/>
  <c r="R2284" i="30"/>
  <c r="R2337" i="30"/>
  <c r="AK2337" i="30" s="1"/>
  <c r="R2387" i="30"/>
  <c r="R2439" i="30"/>
  <c r="AK2439" i="30" s="1"/>
  <c r="R2486" i="30"/>
  <c r="R2537" i="30"/>
  <c r="AK2537" i="30" s="1"/>
  <c r="R2572" i="30"/>
  <c r="AK2572" i="30" s="1"/>
  <c r="R2604" i="30"/>
  <c r="AK2604" i="30" s="1"/>
  <c r="R2636" i="30"/>
  <c r="R2668" i="30"/>
  <c r="R2700" i="30"/>
  <c r="R2739" i="30"/>
  <c r="AK2739" i="30" s="1"/>
  <c r="R2784" i="30"/>
  <c r="R2830" i="30"/>
  <c r="AK2830" i="30" s="1"/>
  <c r="R2464" i="30"/>
  <c r="AK2464" i="30" s="1"/>
  <c r="AA1933" i="30"/>
  <c r="X915" i="30"/>
  <c r="X1318" i="30"/>
  <c r="X1732" i="30"/>
  <c r="X2182" i="30"/>
  <c r="X2565" i="30"/>
  <c r="R7" i="30"/>
  <c r="AK7" i="30" s="1"/>
  <c r="R359" i="30"/>
  <c r="AK359" i="30" s="1"/>
  <c r="R723" i="30"/>
  <c r="R1043" i="30"/>
  <c r="AK1043" i="30" s="1"/>
  <c r="R1433" i="30"/>
  <c r="R1676" i="30"/>
  <c r="R1738" i="30"/>
  <c r="R1812" i="30"/>
  <c r="R1873" i="30"/>
  <c r="AK1873" i="30" s="1"/>
  <c r="R1931" i="30"/>
  <c r="R1981" i="30"/>
  <c r="R2039" i="30"/>
  <c r="R2096" i="30"/>
  <c r="R2150" i="30"/>
  <c r="R2194" i="30"/>
  <c r="AK2194" i="30" s="1"/>
  <c r="R2240" i="30"/>
  <c r="R2299" i="30"/>
  <c r="AK2299" i="30" s="1"/>
  <c r="R2343" i="30"/>
  <c r="AK2343" i="30" s="1"/>
  <c r="R2396" i="30"/>
  <c r="R2445" i="30"/>
  <c r="R2495" i="30"/>
  <c r="R2545" i="30"/>
  <c r="AK2545" i="30" s="1"/>
  <c r="R2577" i="30"/>
  <c r="R2609" i="30"/>
  <c r="AK2609" i="30" s="1"/>
  <c r="R2641" i="30"/>
  <c r="AK2641" i="30" s="1"/>
  <c r="R2673" i="30"/>
  <c r="AK2673" i="30" s="1"/>
  <c r="R2705" i="30"/>
  <c r="R2746" i="30"/>
  <c r="R2793" i="30"/>
  <c r="R2835" i="30"/>
  <c r="AK2835" i="30" s="1"/>
  <c r="X1039" i="30"/>
  <c r="X1420" i="30"/>
  <c r="X2273" i="30"/>
  <c r="R99" i="30"/>
  <c r="R823" i="30"/>
  <c r="R1538" i="30"/>
  <c r="R1753" i="30"/>
  <c r="R1888" i="30"/>
  <c r="R1995" i="30"/>
  <c r="AK1995" i="30" s="1"/>
  <c r="R2112" i="30"/>
  <c r="R2209" i="30"/>
  <c r="AK2209" i="30" s="1"/>
  <c r="R2312" i="30"/>
  <c r="AK2312" i="30" s="1"/>
  <c r="R2410" i="30"/>
  <c r="R2553" i="30"/>
  <c r="R2649" i="30"/>
  <c r="R2715" i="30"/>
  <c r="R2803" i="30"/>
  <c r="R2556" i="30"/>
  <c r="AA2583" i="30"/>
  <c r="X979" i="30"/>
  <c r="X1362" i="30"/>
  <c r="X1773" i="30"/>
  <c r="X2216" i="30"/>
  <c r="X2589" i="30"/>
  <c r="R40" i="30"/>
  <c r="R393" i="30"/>
  <c r="R761" i="30"/>
  <c r="AK761" i="30" s="1"/>
  <c r="R1079" i="30"/>
  <c r="R1470" i="30"/>
  <c r="R1679" i="30"/>
  <c r="R1746" i="30"/>
  <c r="R1817" i="30"/>
  <c r="R1876" i="30"/>
  <c r="AK1876" i="30" s="1"/>
  <c r="R1934" i="30"/>
  <c r="AK1934" i="30" s="1"/>
  <c r="R1988" i="30"/>
  <c r="AK1988" i="30" s="1"/>
  <c r="R2046" i="30"/>
  <c r="AK2046" i="30" s="1"/>
  <c r="R2103" i="30"/>
  <c r="AK2103" i="30" s="1"/>
  <c r="R2155" i="30"/>
  <c r="R2200" i="30"/>
  <c r="AK2200" i="30" s="1"/>
  <c r="R2243" i="30"/>
  <c r="R2303" i="30"/>
  <c r="AK2303" i="30" s="1"/>
  <c r="R2348" i="30"/>
  <c r="R2401" i="30"/>
  <c r="AK2401" i="30" s="1"/>
  <c r="R2450" i="30"/>
  <c r="R2500" i="30"/>
  <c r="AK2500" i="30" s="1"/>
  <c r="R2548" i="30"/>
  <c r="R2580" i="30"/>
  <c r="R2612" i="30"/>
  <c r="R2644" i="30"/>
  <c r="AK2644" i="30" s="1"/>
  <c r="R2676" i="30"/>
  <c r="R2708" i="30"/>
  <c r="AK2708" i="30" s="1"/>
  <c r="R2751" i="30"/>
  <c r="R2798" i="30"/>
  <c r="R2840" i="30"/>
  <c r="AK2840" i="30" s="1"/>
  <c r="AA2756" i="30"/>
  <c r="X1858" i="30"/>
  <c r="X2629" i="30"/>
  <c r="R449" i="30"/>
  <c r="R1135" i="30"/>
  <c r="AK1135" i="30" s="1"/>
  <c r="R1686" i="30"/>
  <c r="AK1686" i="30" s="1"/>
  <c r="R1826" i="30"/>
  <c r="R1941" i="30"/>
  <c r="R2058" i="30"/>
  <c r="R2163" i="30"/>
  <c r="R2249" i="30"/>
  <c r="AK2249" i="30" s="1"/>
  <c r="R2356" i="30"/>
  <c r="R2457" i="30"/>
  <c r="AK2457" i="30" s="1"/>
  <c r="R2505" i="30"/>
  <c r="AK2505" i="30" s="1"/>
  <c r="R2585" i="30"/>
  <c r="R2617" i="30"/>
  <c r="R2681" i="30"/>
  <c r="R2758" i="30"/>
  <c r="R2847" i="30"/>
  <c r="R2256" i="30"/>
  <c r="AK2256" i="30" s="1"/>
  <c r="X262" i="30"/>
  <c r="X1130" i="30"/>
  <c r="X1525" i="30"/>
  <c r="X1969" i="30"/>
  <c r="X2372" i="30"/>
  <c r="X2693" i="30"/>
  <c r="R200" i="30"/>
  <c r="AK200" i="30" s="1"/>
  <c r="R549" i="30"/>
  <c r="R914" i="30"/>
  <c r="AK914" i="30" s="1"/>
  <c r="R1236" i="30"/>
  <c r="R1638" i="30"/>
  <c r="R1705" i="30"/>
  <c r="R1768" i="30"/>
  <c r="R1840" i="30"/>
  <c r="R1900" i="30"/>
  <c r="R1955" i="30"/>
  <c r="R2009" i="30"/>
  <c r="R2072" i="30"/>
  <c r="AK2072" i="30" s="1"/>
  <c r="R2125" i="30"/>
  <c r="R2173" i="30"/>
  <c r="R2222" i="30"/>
  <c r="R2265" i="30"/>
  <c r="R2323" i="30"/>
  <c r="R2366" i="30"/>
  <c r="R2420" i="30"/>
  <c r="AK2420" i="30" s="1"/>
  <c r="R2471" i="30"/>
  <c r="R2520" i="30"/>
  <c r="R2561" i="30"/>
  <c r="R2593" i="30"/>
  <c r="R2625" i="30"/>
  <c r="R2657" i="30"/>
  <c r="R2689" i="30"/>
  <c r="R2726" i="30"/>
  <c r="AK2726" i="30" s="1"/>
  <c r="R2769" i="30"/>
  <c r="AK2769" i="30" s="1"/>
  <c r="R2815" i="30"/>
  <c r="R2859" i="30"/>
  <c r="X1073" i="30"/>
  <c r="X1900" i="30"/>
  <c r="X2653" i="30"/>
  <c r="R140" i="30"/>
  <c r="R862" i="30"/>
  <c r="AK862" i="30" s="1"/>
  <c r="R1578" i="30"/>
  <c r="R1758" i="30"/>
  <c r="AK1758" i="30" s="1"/>
  <c r="R1891" i="30"/>
  <c r="AK1891" i="30" s="1"/>
  <c r="R2000" i="30"/>
  <c r="R2117" i="30"/>
  <c r="R2215" i="30"/>
  <c r="R2361" i="30"/>
  <c r="AK2361" i="30" s="1"/>
  <c r="R2509" i="30"/>
  <c r="AK2509" i="30" s="1"/>
  <c r="R2620" i="30"/>
  <c r="AK2620" i="30" s="1"/>
  <c r="R2684" i="30"/>
  <c r="R2763" i="30"/>
  <c r="AK2763" i="30" s="1"/>
  <c r="R2852" i="30"/>
  <c r="X384" i="30"/>
  <c r="X1170" i="30"/>
  <c r="X1567" i="30"/>
  <c r="X2009" i="30"/>
  <c r="X2414" i="30"/>
  <c r="X2719" i="30"/>
  <c r="R231" i="30"/>
  <c r="R583" i="30"/>
  <c r="R938" i="30"/>
  <c r="R1273" i="30"/>
  <c r="R1655" i="30"/>
  <c r="R1708" i="30"/>
  <c r="AK1708" i="30" s="1"/>
  <c r="R1773" i="30"/>
  <c r="AK1773" i="30" s="1"/>
  <c r="R1849" i="30"/>
  <c r="R1905" i="30"/>
  <c r="R1960" i="30"/>
  <c r="R2014" i="30"/>
  <c r="R2077" i="30"/>
  <c r="R2131" i="30"/>
  <c r="R2178" i="30"/>
  <c r="AK2178" i="30" s="1"/>
  <c r="R2227" i="30"/>
  <c r="AK2227" i="30" s="1"/>
  <c r="R2270" i="30"/>
  <c r="R2326" i="30"/>
  <c r="R2371" i="30"/>
  <c r="R2425" i="30"/>
  <c r="R2474" i="30"/>
  <c r="R2527" i="30"/>
  <c r="R2564" i="30"/>
  <c r="AK2564" i="30" s="1"/>
  <c r="R2596" i="30"/>
  <c r="AK2596" i="30" s="1"/>
  <c r="R2628" i="30"/>
  <c r="R2660" i="30"/>
  <c r="R2692" i="30"/>
  <c r="R2729" i="30"/>
  <c r="R2774" i="30"/>
  <c r="AK2774" i="30" s="1"/>
  <c r="R2818" i="30"/>
  <c r="X622" i="30"/>
  <c r="X1226" i="30"/>
  <c r="X1628" i="30"/>
  <c r="X2079" i="30"/>
  <c r="X2476" i="30"/>
  <c r="X2775" i="30"/>
  <c r="R283" i="30"/>
  <c r="AK283" i="30" s="1"/>
  <c r="R643" i="30"/>
  <c r="AK643" i="30" s="1"/>
  <c r="R978" i="30"/>
  <c r="AK978" i="30" s="1"/>
  <c r="R1332" i="30"/>
  <c r="AK1332" i="30" s="1"/>
  <c r="R1662" i="30"/>
  <c r="R1723" i="30"/>
  <c r="R1783" i="30"/>
  <c r="R1857" i="30"/>
  <c r="R1918" i="30"/>
  <c r="R1969" i="30"/>
  <c r="R2023" i="30"/>
  <c r="AK2023" i="30" s="1"/>
  <c r="R2084" i="30"/>
  <c r="AK2084" i="30" s="1"/>
  <c r="R2139" i="30"/>
  <c r="R2186" i="30"/>
  <c r="R2232" i="30"/>
  <c r="R2279" i="30"/>
  <c r="R2334" i="30"/>
  <c r="R2380" i="30"/>
  <c r="R2434" i="30"/>
  <c r="AK2434" i="30" s="1"/>
  <c r="R2481" i="30"/>
  <c r="AK2481" i="30" s="1"/>
  <c r="R2532" i="30"/>
  <c r="R2569" i="30"/>
  <c r="R2601" i="30"/>
  <c r="R2633" i="30"/>
  <c r="R2665" i="30"/>
  <c r="R2697" i="30"/>
  <c r="R2736" i="30"/>
  <c r="AK2736" i="30" s="1"/>
  <c r="R2779" i="30"/>
  <c r="AK2779" i="30" s="1"/>
  <c r="R2825" i="30"/>
  <c r="X31" i="30"/>
  <c r="X1461" i="30"/>
  <c r="X2317" i="30"/>
  <c r="R486" i="30"/>
  <c r="AK486" i="30" s="1"/>
  <c r="R1173" i="30"/>
  <c r="R1691" i="30"/>
  <c r="AK1691" i="30" s="1"/>
  <c r="R1831" i="30"/>
  <c r="R1946" i="30"/>
  <c r="R2064" i="30"/>
  <c r="AK2064" i="30" s="1"/>
  <c r="R2166" i="30"/>
  <c r="AK2166" i="30" s="1"/>
  <c r="R2315" i="30"/>
  <c r="R2413" i="30"/>
  <c r="R2588" i="30"/>
  <c r="R2652" i="30"/>
  <c r="AK2652" i="30" s="1"/>
  <c r="R2718" i="30"/>
  <c r="AK2718" i="30" s="1"/>
  <c r="R2808" i="30"/>
  <c r="AJ2" i="30"/>
  <c r="AG2" i="30"/>
  <c r="AD2" i="30"/>
  <c r="AA2" i="30"/>
  <c r="X2" i="30"/>
  <c r="R2" i="30"/>
  <c r="F3" i="30"/>
  <c r="F4" i="30" s="1"/>
  <c r="F5" i="30" s="1"/>
  <c r="F6" i="30" s="1"/>
  <c r="F7" i="30" s="1"/>
  <c r="F8" i="30" s="1"/>
  <c r="F9" i="30" s="1"/>
  <c r="F10" i="30" s="1"/>
  <c r="F11" i="30" s="1"/>
  <c r="F12" i="30" s="1"/>
  <c r="F13" i="30" s="1"/>
  <c r="F14" i="30" s="1"/>
  <c r="F15" i="30" s="1"/>
  <c r="F16" i="30" s="1"/>
  <c r="F17" i="30" s="1"/>
  <c r="F18" i="30" s="1"/>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F63" i="30" s="1"/>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G170" i="30" s="1"/>
  <c r="D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253" i="30"/>
  <c r="D1254" i="30"/>
  <c r="D1255" i="30"/>
  <c r="D1256" i="30"/>
  <c r="D1257" i="30"/>
  <c r="D1258" i="30"/>
  <c r="D1259" i="30"/>
  <c r="D1260" i="30"/>
  <c r="D1261" i="30"/>
  <c r="D1262" i="30"/>
  <c r="D1263" i="30"/>
  <c r="D1264" i="30"/>
  <c r="D1265" i="30"/>
  <c r="D1266" i="30"/>
  <c r="D1267" i="30"/>
  <c r="D1268" i="30"/>
  <c r="D1269" i="30"/>
  <c r="D1270" i="30"/>
  <c r="D1271" i="30"/>
  <c r="D1272" i="30"/>
  <c r="D1273" i="30"/>
  <c r="D1274" i="30"/>
  <c r="D1275" i="30"/>
  <c r="D1276" i="30"/>
  <c r="D1277" i="30"/>
  <c r="D1278"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66" i="30"/>
  <c r="G366" i="30" s="1"/>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G550" i="30" s="1"/>
  <c r="D551" i="30"/>
  <c r="D552" i="30"/>
  <c r="D553" i="30"/>
  <c r="D554" i="30"/>
  <c r="D555" i="30"/>
  <c r="D556" i="30"/>
  <c r="D557" i="30"/>
  <c r="D558" i="30"/>
  <c r="D559" i="30"/>
  <c r="D560" i="30"/>
  <c r="D561" i="30"/>
  <c r="D562" i="30"/>
  <c r="D563" i="30"/>
  <c r="D564" i="30"/>
  <c r="D565" i="30"/>
  <c r="D566" i="30"/>
  <c r="D567" i="30"/>
  <c r="D568" i="30"/>
  <c r="D569"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615" i="30"/>
  <c r="D616" i="30"/>
  <c r="D617" i="30"/>
  <c r="D618" i="30"/>
  <c r="D619" i="30"/>
  <c r="D620" i="30"/>
  <c r="D621" i="30"/>
  <c r="D622" i="30"/>
  <c r="D623" i="30"/>
  <c r="D624" i="30"/>
  <c r="D625" i="30"/>
  <c r="D626" i="30"/>
  <c r="D627" i="30"/>
  <c r="D628" i="30"/>
  <c r="D629" i="30"/>
  <c r="D630" i="30"/>
  <c r="D631" i="30"/>
  <c r="D632" i="30"/>
  <c r="D633" i="30"/>
  <c r="D634" i="30"/>
  <c r="D635" i="30"/>
  <c r="D636" i="30"/>
  <c r="D637" i="30"/>
  <c r="D638" i="30"/>
  <c r="D639" i="30"/>
  <c r="D640" i="30"/>
  <c r="D641" i="30"/>
  <c r="D642" i="30"/>
  <c r="D643" i="30"/>
  <c r="D644" i="30"/>
  <c r="D645" i="30"/>
  <c r="D646" i="30"/>
  <c r="D647" i="30"/>
  <c r="D648" i="30"/>
  <c r="D649" i="30"/>
  <c r="D650" i="30"/>
  <c r="D651" i="30"/>
  <c r="D652" i="30"/>
  <c r="D653" i="30"/>
  <c r="D654" i="30"/>
  <c r="D655" i="30"/>
  <c r="D656" i="30"/>
  <c r="D657" i="30"/>
  <c r="D658" i="30"/>
  <c r="D659" i="30"/>
  <c r="D660" i="30"/>
  <c r="D661" i="30"/>
  <c r="D662" i="30"/>
  <c r="D663" i="30"/>
  <c r="D664" i="30"/>
  <c r="D665" i="30"/>
  <c r="D666" i="30"/>
  <c r="D667" i="30"/>
  <c r="D668" i="30"/>
  <c r="D669" i="30"/>
  <c r="D670" i="30"/>
  <c r="D671" i="30"/>
  <c r="D672" i="30"/>
  <c r="D673" i="30"/>
  <c r="D674" i="30"/>
  <c r="D701" i="30"/>
  <c r="G701" i="30" s="1"/>
  <c r="D702" i="30"/>
  <c r="D703" i="30"/>
  <c r="D704" i="30"/>
  <c r="D705" i="30"/>
  <c r="D706" i="30"/>
  <c r="D707" i="30"/>
  <c r="D708" i="30"/>
  <c r="D709" i="30"/>
  <c r="D710" i="30"/>
  <c r="D711" i="30"/>
  <c r="D712" i="30"/>
  <c r="D713" i="30"/>
  <c r="D714" i="30"/>
  <c r="D715" i="30"/>
  <c r="D716" i="30"/>
  <c r="D717" i="30"/>
  <c r="D718" i="30"/>
  <c r="D719" i="30"/>
  <c r="D720" i="30"/>
  <c r="D721" i="30"/>
  <c r="D722" i="30"/>
  <c r="D723" i="30"/>
  <c r="D724" i="30"/>
  <c r="D725" i="30"/>
  <c r="D726" i="30"/>
  <c r="D727" i="30"/>
  <c r="D728" i="30"/>
  <c r="D729" i="30"/>
  <c r="D730" i="30"/>
  <c r="D731" i="30"/>
  <c r="D732" i="30"/>
  <c r="D733" i="30"/>
  <c r="D734" i="30"/>
  <c r="D735" i="30"/>
  <c r="D736" i="30"/>
  <c r="D737" i="30"/>
  <c r="D738" i="30"/>
  <c r="D739" i="30"/>
  <c r="D740" i="30"/>
  <c r="D741" i="30"/>
  <c r="D742" i="30"/>
  <c r="D743" i="30"/>
  <c r="D744" i="30"/>
  <c r="D745" i="30"/>
  <c r="D746" i="30"/>
  <c r="D747" i="30"/>
  <c r="D748" i="30"/>
  <c r="D749" i="30"/>
  <c r="D750" i="30"/>
  <c r="D751" i="30"/>
  <c r="D752" i="30"/>
  <c r="D753" i="30"/>
  <c r="D754" i="30"/>
  <c r="D755" i="30"/>
  <c r="D756" i="30"/>
  <c r="D757" i="30"/>
  <c r="D758" i="30"/>
  <c r="D759" i="30"/>
  <c r="D760" i="30"/>
  <c r="D761" i="30"/>
  <c r="D762" i="30"/>
  <c r="D763" i="30"/>
  <c r="D764" i="30"/>
  <c r="D765" i="30"/>
  <c r="D766" i="30"/>
  <c r="G766" i="30" s="1"/>
  <c r="D767" i="30"/>
  <c r="D768" i="30"/>
  <c r="D769" i="30"/>
  <c r="D770" i="30"/>
  <c r="D771" i="30"/>
  <c r="D772" i="30"/>
  <c r="D773" i="30"/>
  <c r="D774" i="30"/>
  <c r="D775" i="30"/>
  <c r="D776" i="30"/>
  <c r="D777" i="30"/>
  <c r="D778" i="30"/>
  <c r="D779" i="30"/>
  <c r="D780" i="30"/>
  <c r="D781" i="30"/>
  <c r="D782" i="30"/>
  <c r="D783" i="30"/>
  <c r="D784" i="30"/>
  <c r="D785" i="30"/>
  <c r="D786" i="30"/>
  <c r="D787" i="30"/>
  <c r="D788" i="30"/>
  <c r="D789" i="30"/>
  <c r="D790" i="30"/>
  <c r="D791" i="30"/>
  <c r="D792" i="30"/>
  <c r="D793" i="30"/>
  <c r="D794" i="30"/>
  <c r="D795" i="30"/>
  <c r="D796" i="30"/>
  <c r="D797" i="30"/>
  <c r="D798" i="30"/>
  <c r="D799" i="30"/>
  <c r="D800" i="30"/>
  <c r="D801" i="30"/>
  <c r="D802" i="30"/>
  <c r="D803" i="30"/>
  <c r="D804" i="30"/>
  <c r="D805" i="30"/>
  <c r="D806" i="30"/>
  <c r="D807" i="30"/>
  <c r="D808" i="30"/>
  <c r="D809" i="30"/>
  <c r="D810" i="30"/>
  <c r="D811" i="30"/>
  <c r="D812" i="30"/>
  <c r="D813" i="30"/>
  <c r="D814" i="30"/>
  <c r="D815" i="30"/>
  <c r="D816" i="30"/>
  <c r="D817" i="30"/>
  <c r="D818" i="30"/>
  <c r="D819" i="30"/>
  <c r="D820" i="30"/>
  <c r="D821" i="30"/>
  <c r="D822" i="30"/>
  <c r="D823" i="30"/>
  <c r="D824" i="30"/>
  <c r="D825" i="30"/>
  <c r="D826" i="30"/>
  <c r="D827" i="30"/>
  <c r="D828" i="30"/>
  <c r="D829" i="30"/>
  <c r="D830" i="30"/>
  <c r="D831" i="30"/>
  <c r="D832" i="30"/>
  <c r="D833" i="30"/>
  <c r="D834" i="30"/>
  <c r="D835" i="30"/>
  <c r="D836" i="30"/>
  <c r="D837" i="30"/>
  <c r="D838" i="30"/>
  <c r="D839" i="30"/>
  <c r="D840" i="30"/>
  <c r="D841" i="30"/>
  <c r="D842" i="30"/>
  <c r="D843" i="30"/>
  <c r="D844" i="30"/>
  <c r="D845" i="30"/>
  <c r="D846" i="30"/>
  <c r="D847" i="30"/>
  <c r="D848" i="30"/>
  <c r="D849" i="30"/>
  <c r="D850" i="30"/>
  <c r="D851" i="30"/>
  <c r="D852" i="30"/>
  <c r="D853" i="30"/>
  <c r="D854" i="30"/>
  <c r="D855" i="30"/>
  <c r="D856" i="30"/>
  <c r="D857" i="30"/>
  <c r="D858" i="30"/>
  <c r="D859" i="30"/>
  <c r="D860" i="30"/>
  <c r="D861" i="30"/>
  <c r="D862" i="30"/>
  <c r="D863" i="30"/>
  <c r="D864" i="30"/>
  <c r="D865" i="30"/>
  <c r="D866" i="30"/>
  <c r="D867" i="30"/>
  <c r="D868" i="30"/>
  <c r="D869" i="30"/>
  <c r="D870" i="30"/>
  <c r="D871" i="30"/>
  <c r="D872" i="30"/>
  <c r="D873" i="30"/>
  <c r="D874" i="30"/>
  <c r="D875" i="30"/>
  <c r="D876" i="30"/>
  <c r="D877" i="30"/>
  <c r="D878" i="30"/>
  <c r="D879" i="30"/>
  <c r="D880" i="30"/>
  <c r="D881" i="30"/>
  <c r="D882" i="30"/>
  <c r="D883" i="30"/>
  <c r="D884" i="30"/>
  <c r="D885" i="30"/>
  <c r="D886" i="30"/>
  <c r="D887" i="30"/>
  <c r="D888" i="30"/>
  <c r="D889" i="30"/>
  <c r="D890" i="30"/>
  <c r="D891" i="30"/>
  <c r="D892" i="30"/>
  <c r="D893" i="30"/>
  <c r="D894" i="30"/>
  <c r="D895" i="30"/>
  <c r="D896" i="30"/>
  <c r="D897" i="30"/>
  <c r="G897" i="30" s="1"/>
  <c r="D898" i="30"/>
  <c r="D899" i="30"/>
  <c r="D900" i="30"/>
  <c r="D901" i="30"/>
  <c r="D902" i="30"/>
  <c r="D903" i="30"/>
  <c r="D904" i="30"/>
  <c r="D905" i="30"/>
  <c r="D906" i="30"/>
  <c r="D907" i="30"/>
  <c r="D908" i="30"/>
  <c r="D909" i="30"/>
  <c r="D910" i="30"/>
  <c r="D911" i="30"/>
  <c r="D912" i="30"/>
  <c r="D913" i="30"/>
  <c r="D914" i="30"/>
  <c r="D915" i="30"/>
  <c r="D916" i="30"/>
  <c r="D917" i="30"/>
  <c r="D918" i="30"/>
  <c r="D919" i="30"/>
  <c r="D920" i="30"/>
  <c r="D921" i="30"/>
  <c r="D922" i="30"/>
  <c r="D923" i="30"/>
  <c r="D924" i="30"/>
  <c r="D925" i="30"/>
  <c r="D926" i="30"/>
  <c r="D927" i="30"/>
  <c r="D928" i="30"/>
  <c r="D929" i="30"/>
  <c r="D930" i="30"/>
  <c r="D931" i="30"/>
  <c r="D932" i="30"/>
  <c r="D933" i="30"/>
  <c r="D934" i="30"/>
  <c r="D935" i="30"/>
  <c r="D936" i="30"/>
  <c r="D937" i="30"/>
  <c r="D938" i="30"/>
  <c r="D939" i="30"/>
  <c r="D940" i="30"/>
  <c r="D941" i="30"/>
  <c r="D942" i="30"/>
  <c r="D943" i="30"/>
  <c r="D944" i="30"/>
  <c r="D945" i="30"/>
  <c r="D946" i="30"/>
  <c r="D947" i="30"/>
  <c r="D948" i="30"/>
  <c r="D949" i="30"/>
  <c r="D950" i="30"/>
  <c r="D951" i="30"/>
  <c r="D952" i="30"/>
  <c r="D953" i="30"/>
  <c r="D954" i="30"/>
  <c r="D955" i="30"/>
  <c r="D956" i="30"/>
  <c r="D957" i="30"/>
  <c r="D958" i="30"/>
  <c r="D959" i="30"/>
  <c r="D960" i="30"/>
  <c r="D961" i="30"/>
  <c r="D962" i="30"/>
  <c r="D963" i="30"/>
  <c r="D964" i="30"/>
  <c r="D965" i="30"/>
  <c r="D966" i="30"/>
  <c r="D967" i="30"/>
  <c r="D968" i="30"/>
  <c r="D969" i="30"/>
  <c r="D970" i="30"/>
  <c r="D971" i="30"/>
  <c r="D972" i="30"/>
  <c r="D973" i="30"/>
  <c r="D974" i="30"/>
  <c r="D975" i="30"/>
  <c r="D976" i="30"/>
  <c r="D977" i="30"/>
  <c r="D978" i="30"/>
  <c r="D979" i="30"/>
  <c r="D980" i="30"/>
  <c r="D981" i="30"/>
  <c r="D982" i="30"/>
  <c r="D983" i="30"/>
  <c r="D984" i="30"/>
  <c r="D985" i="30"/>
  <c r="D986" i="30"/>
  <c r="D987" i="30"/>
  <c r="D988" i="30"/>
  <c r="D989" i="30"/>
  <c r="D990" i="30"/>
  <c r="D991" i="30"/>
  <c r="D992" i="30"/>
  <c r="D993" i="30"/>
  <c r="D994" i="30"/>
  <c r="D995" i="30"/>
  <c r="D996" i="30"/>
  <c r="D997" i="30"/>
  <c r="D998" i="30"/>
  <c r="D999" i="30"/>
  <c r="D1000" i="30"/>
  <c r="D1001" i="30"/>
  <c r="D1002" i="30"/>
  <c r="D1003" i="30"/>
  <c r="D1004" i="30"/>
  <c r="D1005" i="30"/>
  <c r="D1006" i="30"/>
  <c r="D1007" i="30"/>
  <c r="D1008" i="30"/>
  <c r="D1009" i="30"/>
  <c r="D1010" i="30"/>
  <c r="D1011" i="30"/>
  <c r="D1012" i="30"/>
  <c r="D1013" i="30"/>
  <c r="D1014" i="30"/>
  <c r="D1015" i="30"/>
  <c r="D1016" i="30"/>
  <c r="D1017" i="30"/>
  <c r="D1018" i="30"/>
  <c r="D1019" i="30"/>
  <c r="D1020" i="30"/>
  <c r="D1021" i="30"/>
  <c r="D1037" i="30"/>
  <c r="D1038" i="30"/>
  <c r="D1039" i="30"/>
  <c r="D1040" i="30"/>
  <c r="D1041" i="30"/>
  <c r="D1042" i="30"/>
  <c r="D1043" i="30"/>
  <c r="D1044" i="30"/>
  <c r="D1045" i="30"/>
  <c r="D1046" i="30"/>
  <c r="D1047" i="30"/>
  <c r="D1048" i="30"/>
  <c r="D1049" i="30"/>
  <c r="D1050" i="30"/>
  <c r="D1051" i="30"/>
  <c r="D1052" i="30"/>
  <c r="D1053" i="30"/>
  <c r="D1054" i="30"/>
  <c r="D1055" i="30"/>
  <c r="D1056" i="30"/>
  <c r="D1057" i="30"/>
  <c r="D1058" i="30"/>
  <c r="D1059" i="30"/>
  <c r="D1060" i="30"/>
  <c r="D1061" i="30"/>
  <c r="D1062" i="30"/>
  <c r="D1063" i="30"/>
  <c r="D1064" i="30"/>
  <c r="D1065" i="30"/>
  <c r="D1066" i="30"/>
  <c r="D1067" i="30"/>
  <c r="D1068" i="30"/>
  <c r="D1069" i="30"/>
  <c r="D1070" i="30"/>
  <c r="D1071" i="30"/>
  <c r="D1072" i="30"/>
  <c r="D1073" i="30"/>
  <c r="D1074" i="30"/>
  <c r="D1075" i="30"/>
  <c r="D1076" i="30"/>
  <c r="D1077" i="30"/>
  <c r="D1078" i="30"/>
  <c r="D1079" i="30"/>
  <c r="D1080" i="30"/>
  <c r="D1081" i="30"/>
  <c r="D1082" i="30"/>
  <c r="D1083" i="30"/>
  <c r="D1084" i="30"/>
  <c r="D1085" i="30"/>
  <c r="D1086" i="30"/>
  <c r="D1087" i="30"/>
  <c r="D1088" i="30"/>
  <c r="D1089" i="30"/>
  <c r="D1090" i="30"/>
  <c r="D1091" i="30"/>
  <c r="D1092" i="30"/>
  <c r="D1093" i="30"/>
  <c r="D1094" i="30"/>
  <c r="D1095" i="30"/>
  <c r="D1096" i="30"/>
  <c r="D1097" i="30"/>
  <c r="D1098" i="30"/>
  <c r="D1099" i="30"/>
  <c r="D1100" i="30"/>
  <c r="D1101" i="30"/>
  <c r="D1102" i="30"/>
  <c r="D1103" i="30"/>
  <c r="D1104" i="30"/>
  <c r="D1105" i="30"/>
  <c r="D1106" i="30"/>
  <c r="D1107" i="30"/>
  <c r="D1108" i="30"/>
  <c r="D1109" i="30"/>
  <c r="D1110" i="30"/>
  <c r="D1111" i="30"/>
  <c r="D1112" i="30"/>
  <c r="D1113" i="30"/>
  <c r="D1114" i="30"/>
  <c r="D1115" i="30"/>
  <c r="D1116" i="30"/>
  <c r="D1117" i="30"/>
  <c r="D1118" i="30"/>
  <c r="D1119" i="30"/>
  <c r="D1120" i="30"/>
  <c r="D1121" i="30"/>
  <c r="D1122" i="30"/>
  <c r="D1123" i="30"/>
  <c r="D1124" i="30"/>
  <c r="D1125" i="30"/>
  <c r="D1126" i="30"/>
  <c r="D1127" i="30"/>
  <c r="D1128" i="30"/>
  <c r="D1129" i="30"/>
  <c r="D1130" i="30"/>
  <c r="D1131" i="30"/>
  <c r="D1132" i="30"/>
  <c r="D1133" i="30"/>
  <c r="D1134" i="30"/>
  <c r="D1135" i="30"/>
  <c r="D1136" i="30"/>
  <c r="D1137" i="30"/>
  <c r="D1138" i="30"/>
  <c r="D1139" i="30"/>
  <c r="D1140" i="30"/>
  <c r="D1141" i="30"/>
  <c r="D1142" i="30"/>
  <c r="D1143" i="30"/>
  <c r="D1144" i="30"/>
  <c r="D1145" i="30"/>
  <c r="D1146" i="30"/>
  <c r="D1147" i="30"/>
  <c r="D1148" i="30"/>
  <c r="D1149" i="30"/>
  <c r="D1150" i="30"/>
  <c r="D1151" i="30"/>
  <c r="D1152" i="30"/>
  <c r="D1153" i="30"/>
  <c r="D1154" i="30"/>
  <c r="D1155" i="30"/>
  <c r="D1156" i="30"/>
  <c r="D1157" i="30"/>
  <c r="D1158" i="30"/>
  <c r="D1159" i="30"/>
  <c r="D1160" i="30"/>
  <c r="D1161" i="30"/>
  <c r="D1162" i="30"/>
  <c r="D1163" i="30"/>
  <c r="D1164" i="30"/>
  <c r="D1165" i="30"/>
  <c r="D1166" i="30"/>
  <c r="D1167" i="30"/>
  <c r="D1168" i="30"/>
  <c r="D1169" i="30"/>
  <c r="D1170" i="30"/>
  <c r="D1171" i="30"/>
  <c r="D1172" i="30"/>
  <c r="D1173" i="30"/>
  <c r="D1174" i="30"/>
  <c r="D1175" i="30"/>
  <c r="D1176" i="30"/>
  <c r="D1177" i="30"/>
  <c r="D1178" i="30"/>
  <c r="D1179" i="30"/>
  <c r="D1180" i="30"/>
  <c r="D1181" i="30"/>
  <c r="D1182" i="30"/>
  <c r="D1183" i="30"/>
  <c r="D1184" i="30"/>
  <c r="D1185" i="30"/>
  <c r="D1186" i="30"/>
  <c r="D1187" i="30"/>
  <c r="D1188" i="30"/>
  <c r="D1189" i="30"/>
  <c r="D1190" i="30"/>
  <c r="D1191" i="30"/>
  <c r="D1192" i="30"/>
  <c r="D1193" i="30"/>
  <c r="D1194" i="30"/>
  <c r="D1195" i="30"/>
  <c r="D1196" i="30"/>
  <c r="D1197" i="30"/>
  <c r="D1198" i="30"/>
  <c r="D1199" i="30"/>
  <c r="D1200" i="30"/>
  <c r="D1201" i="30"/>
  <c r="D1202" i="30"/>
  <c r="D1203" i="30"/>
  <c r="D1204" i="30"/>
  <c r="D1205" i="30"/>
  <c r="D1206" i="30"/>
  <c r="D1207" i="30"/>
  <c r="D1208" i="30"/>
  <c r="D1209" i="30"/>
  <c r="D1210" i="30"/>
  <c r="D1211" i="30"/>
  <c r="D1212" i="30"/>
  <c r="D1213" i="30"/>
  <c r="D1214" i="30"/>
  <c r="D1215" i="30"/>
  <c r="D1216" i="30"/>
  <c r="D1217" i="30"/>
  <c r="D1218" i="30"/>
  <c r="D1219" i="30"/>
  <c r="D1220" i="30"/>
  <c r="D1221" i="30"/>
  <c r="D1222" i="30"/>
  <c r="D1223" i="30"/>
  <c r="D1224" i="30"/>
  <c r="D1225" i="30"/>
  <c r="D1226" i="30"/>
  <c r="D1227" i="30"/>
  <c r="D1228" i="30"/>
  <c r="D1229" i="30"/>
  <c r="D1230" i="30"/>
  <c r="D1231" i="30"/>
  <c r="D1232" i="30"/>
  <c r="D1233" i="30"/>
  <c r="D1234" i="30"/>
  <c r="D1235" i="30"/>
  <c r="D1236" i="30"/>
  <c r="D1237" i="30"/>
  <c r="D1238" i="30"/>
  <c r="D1239" i="30"/>
  <c r="D1240" i="30"/>
  <c r="D1241" i="30"/>
  <c r="D1242" i="30"/>
  <c r="D1243" i="30"/>
  <c r="D1244" i="30"/>
  <c r="D1245" i="30"/>
  <c r="D1246" i="30"/>
  <c r="D1247" i="30"/>
  <c r="D1248" i="30"/>
  <c r="D1249" i="30"/>
  <c r="D1250" i="30"/>
  <c r="D1251" i="30"/>
  <c r="D1252" i="30"/>
  <c r="D1303" i="30"/>
  <c r="D1304" i="30"/>
  <c r="D1305" i="30"/>
  <c r="D1306" i="30"/>
  <c r="D1307" i="30"/>
  <c r="D1308" i="30"/>
  <c r="D1309" i="30"/>
  <c r="D1310" i="30"/>
  <c r="D1311" i="30"/>
  <c r="D1312" i="30"/>
  <c r="D1313" i="30"/>
  <c r="D1314" i="30"/>
  <c r="D1315" i="30"/>
  <c r="D1316" i="30"/>
  <c r="D1317" i="30"/>
  <c r="D1318" i="30"/>
  <c r="D1319" i="30"/>
  <c r="D1320" i="30"/>
  <c r="D1321" i="30"/>
  <c r="D1322" i="30"/>
  <c r="D1323" i="30"/>
  <c r="D1324" i="30"/>
  <c r="D1325" i="30"/>
  <c r="D1326" i="30"/>
  <c r="D1327" i="30"/>
  <c r="D1328" i="30"/>
  <c r="D1329" i="30"/>
  <c r="D1330" i="30"/>
  <c r="D1331" i="30"/>
  <c r="D1332" i="30"/>
  <c r="D1333" i="30"/>
  <c r="D1334" i="30"/>
  <c r="D1335" i="30"/>
  <c r="D1336" i="30"/>
  <c r="D1337" i="30"/>
  <c r="D1338" i="30"/>
  <c r="D1339" i="30"/>
  <c r="D1340" i="30"/>
  <c r="D1341" i="30"/>
  <c r="D1342" i="30"/>
  <c r="D1343" i="30"/>
  <c r="D1344" i="30"/>
  <c r="D1345" i="30"/>
  <c r="D1346" i="30"/>
  <c r="D1347" i="30"/>
  <c r="D1348" i="30"/>
  <c r="D1349" i="30"/>
  <c r="D1350" i="30"/>
  <c r="D1351" i="30"/>
  <c r="D1352" i="30"/>
  <c r="D1353" i="30"/>
  <c r="D1354" i="30"/>
  <c r="D1355" i="30"/>
  <c r="D1356" i="30"/>
  <c r="D1357" i="30"/>
  <c r="D1358" i="30"/>
  <c r="D1359" i="30"/>
  <c r="D1360" i="30"/>
  <c r="D1361" i="30"/>
  <c r="D1362" i="30"/>
  <c r="D1363" i="30"/>
  <c r="D1364" i="30"/>
  <c r="D1365" i="30"/>
  <c r="D1366" i="30"/>
  <c r="D1367" i="30"/>
  <c r="D1368" i="30"/>
  <c r="D1369" i="30"/>
  <c r="D1370" i="30"/>
  <c r="D1371" i="30"/>
  <c r="D1372" i="30"/>
  <c r="D1373" i="30"/>
  <c r="D1374" i="30"/>
  <c r="D1375" i="30"/>
  <c r="D1376" i="30"/>
  <c r="D1377" i="30"/>
  <c r="D1378" i="30"/>
  <c r="D1379" i="30"/>
  <c r="D1380" i="30"/>
  <c r="D1381" i="30"/>
  <c r="D1382" i="30"/>
  <c r="D1383" i="30"/>
  <c r="D1384" i="30"/>
  <c r="D1385" i="30"/>
  <c r="D1386" i="30"/>
  <c r="D1387" i="30"/>
  <c r="D1388" i="30"/>
  <c r="D1389" i="30"/>
  <c r="D1390" i="30"/>
  <c r="D1391" i="30"/>
  <c r="D1392" i="30"/>
  <c r="D1393" i="30"/>
  <c r="D1394" i="30"/>
  <c r="D1395" i="30"/>
  <c r="D1396" i="30"/>
  <c r="D1397" i="30"/>
  <c r="D1398" i="30"/>
  <c r="D1399" i="30"/>
  <c r="D1400" i="30"/>
  <c r="D1401" i="30"/>
  <c r="D1402" i="30"/>
  <c r="D1403" i="30"/>
  <c r="D1404" i="30"/>
  <c r="D1405" i="30"/>
  <c r="D1406" i="30"/>
  <c r="D1407" i="30"/>
  <c r="D1408" i="30"/>
  <c r="D1409" i="30"/>
  <c r="D1410" i="30"/>
  <c r="D1411" i="30"/>
  <c r="D1412" i="30"/>
  <c r="D1413" i="30"/>
  <c r="D1414" i="30"/>
  <c r="D1415" i="30"/>
  <c r="D1416" i="30"/>
  <c r="D1417" i="30"/>
  <c r="D1418" i="30"/>
  <c r="D1419" i="30"/>
  <c r="D1420" i="30"/>
  <c r="D1421" i="30"/>
  <c r="D1422" i="30"/>
  <c r="D1423" i="30"/>
  <c r="D1424" i="30"/>
  <c r="D1425" i="30"/>
  <c r="D1426" i="30"/>
  <c r="D1427" i="30"/>
  <c r="D1428" i="30"/>
  <c r="D1429" i="30"/>
  <c r="D1430" i="30"/>
  <c r="D1431" i="30"/>
  <c r="D1432" i="30"/>
  <c r="D1433" i="30"/>
  <c r="D1434" i="30"/>
  <c r="D1435" i="30"/>
  <c r="D1436" i="30"/>
  <c r="D1437" i="30"/>
  <c r="D1438" i="30"/>
  <c r="D1439" i="30"/>
  <c r="D1440" i="30"/>
  <c r="D1441" i="30"/>
  <c r="D1442" i="30"/>
  <c r="D1443" i="30"/>
  <c r="D1444" i="30"/>
  <c r="D1445" i="30"/>
  <c r="D1446" i="30"/>
  <c r="D1447" i="30"/>
  <c r="D1448" i="30"/>
  <c r="D1449" i="30"/>
  <c r="D1450" i="30"/>
  <c r="D1451" i="30"/>
  <c r="D1452" i="30"/>
  <c r="D1453" i="30"/>
  <c r="D1454" i="30"/>
  <c r="D1455" i="30"/>
  <c r="D1456" i="30"/>
  <c r="D1457" i="30"/>
  <c r="D1458" i="30"/>
  <c r="D1459" i="30"/>
  <c r="D1460" i="30"/>
  <c r="D1461" i="30"/>
  <c r="D1462" i="30"/>
  <c r="D1463" i="30"/>
  <c r="D1464" i="30"/>
  <c r="D1465" i="30"/>
  <c r="D1466" i="30"/>
  <c r="D1467" i="30"/>
  <c r="D1468" i="30"/>
  <c r="D1469" i="30"/>
  <c r="D1470" i="30"/>
  <c r="D1471" i="30"/>
  <c r="D1472" i="30"/>
  <c r="D1473" i="30"/>
  <c r="D1474" i="30"/>
  <c r="D1475" i="30"/>
  <c r="D1476" i="30"/>
  <c r="D1477" i="30"/>
  <c r="D1478" i="30"/>
  <c r="D1479" i="30"/>
  <c r="D1480" i="30"/>
  <c r="D1481" i="30"/>
  <c r="D1482" i="30"/>
  <c r="D1483" i="30"/>
  <c r="D1484" i="30"/>
  <c r="D1485" i="30"/>
  <c r="D1486" i="30"/>
  <c r="D1487" i="30"/>
  <c r="D1488" i="30"/>
  <c r="D1489" i="30"/>
  <c r="D1490" i="30"/>
  <c r="D1491" i="30"/>
  <c r="D1492" i="30"/>
  <c r="D1493" i="30"/>
  <c r="D1494" i="30"/>
  <c r="D1495" i="30"/>
  <c r="D1496" i="30"/>
  <c r="D1497" i="30"/>
  <c r="D1498" i="30"/>
  <c r="D1499" i="30"/>
  <c r="D1500" i="30"/>
  <c r="D1501" i="30"/>
  <c r="D1502" i="30"/>
  <c r="D1503" i="30"/>
  <c r="D1504" i="30"/>
  <c r="D1505" i="30"/>
  <c r="D1506" i="30"/>
  <c r="D1507" i="30"/>
  <c r="D1508" i="30"/>
  <c r="D1509" i="30"/>
  <c r="D1510" i="30"/>
  <c r="D1511" i="30"/>
  <c r="D1512" i="30"/>
  <c r="D1513" i="30"/>
  <c r="D1514" i="30"/>
  <c r="D1515" i="30"/>
  <c r="D1516" i="30"/>
  <c r="D1517" i="30"/>
  <c r="D1518" i="30"/>
  <c r="D1519" i="30"/>
  <c r="D1520" i="30"/>
  <c r="D1521" i="30"/>
  <c r="D1522" i="30"/>
  <c r="D1523" i="30"/>
  <c r="D1524" i="30"/>
  <c r="D1525" i="30"/>
  <c r="D1526" i="30"/>
  <c r="D1527" i="30"/>
  <c r="D1528" i="30"/>
  <c r="D1529" i="30"/>
  <c r="D1530" i="30"/>
  <c r="D1531" i="30"/>
  <c r="D1532" i="30"/>
  <c r="D1533" i="30"/>
  <c r="D1534" i="30"/>
  <c r="D1535" i="30"/>
  <c r="D1536" i="30"/>
  <c r="D1537" i="30"/>
  <c r="D1538" i="30"/>
  <c r="D1539" i="30"/>
  <c r="D1540" i="30"/>
  <c r="D1541" i="30"/>
  <c r="D1542" i="30"/>
  <c r="D1543" i="30"/>
  <c r="D1544" i="30"/>
  <c r="D1545" i="30"/>
  <c r="D1546" i="30"/>
  <c r="D1547" i="30"/>
  <c r="D1548" i="30"/>
  <c r="D1549" i="30"/>
  <c r="D1550" i="30"/>
  <c r="D1551" i="30"/>
  <c r="D1552" i="30"/>
  <c r="D1553" i="30"/>
  <c r="D1554" i="30"/>
  <c r="D1555" i="30"/>
  <c r="D1556" i="30"/>
  <c r="D1557" i="30"/>
  <c r="D1558" i="30"/>
  <c r="D1559" i="30"/>
  <c r="D1560" i="30"/>
  <c r="D1561" i="30"/>
  <c r="D1562" i="30"/>
  <c r="D1563" i="30"/>
  <c r="D1564" i="30"/>
  <c r="D1565" i="30"/>
  <c r="D1566" i="30"/>
  <c r="D1567" i="30"/>
  <c r="D1568" i="30"/>
  <c r="D1569" i="30"/>
  <c r="D1570" i="30"/>
  <c r="D1571" i="30"/>
  <c r="D1572" i="30"/>
  <c r="D1573" i="30"/>
  <c r="D1574" i="30"/>
  <c r="D1575" i="30"/>
  <c r="D1576" i="30"/>
  <c r="D1577" i="30"/>
  <c r="D1578" i="30"/>
  <c r="D1579" i="30"/>
  <c r="D1580" i="30"/>
  <c r="D1581" i="30"/>
  <c r="D1582" i="30"/>
  <c r="D1583" i="30"/>
  <c r="D1584" i="30"/>
  <c r="D1585" i="30"/>
  <c r="D1586" i="30"/>
  <c r="D1587" i="30"/>
  <c r="D1588" i="30"/>
  <c r="D1589" i="30"/>
  <c r="D1590" i="30"/>
  <c r="D1591" i="30"/>
  <c r="D1592" i="30"/>
  <c r="D1593" i="30"/>
  <c r="D1594" i="30"/>
  <c r="D1595" i="30"/>
  <c r="D1596" i="30"/>
  <c r="D1597" i="30"/>
  <c r="D1598" i="30"/>
  <c r="D1599" i="30"/>
  <c r="D1600" i="30"/>
  <c r="D1601" i="30"/>
  <c r="D1602" i="30"/>
  <c r="D1603" i="30"/>
  <c r="D1604" i="30"/>
  <c r="D1605" i="30"/>
  <c r="D1606" i="30"/>
  <c r="D1607" i="30"/>
  <c r="D1608" i="30"/>
  <c r="D1609" i="30"/>
  <c r="D1610" i="30"/>
  <c r="D1611" i="30"/>
  <c r="D1612" i="30"/>
  <c r="D1613" i="30"/>
  <c r="D1614" i="30"/>
  <c r="D1615" i="30"/>
  <c r="D1616" i="30"/>
  <c r="D1617" i="30"/>
  <c r="D1618" i="30"/>
  <c r="D1619" i="30"/>
  <c r="D1620" i="30"/>
  <c r="D1621" i="30"/>
  <c r="D1622" i="30"/>
  <c r="D1623" i="30"/>
  <c r="D1624" i="30"/>
  <c r="D1625" i="30"/>
  <c r="D1626" i="30"/>
  <c r="D1627" i="30"/>
  <c r="D1628" i="30"/>
  <c r="D1629" i="30"/>
  <c r="D1630" i="30"/>
  <c r="D1631" i="30"/>
  <c r="D1632" i="30"/>
  <c r="D1633" i="30"/>
  <c r="D1634" i="30"/>
  <c r="D1635" i="30"/>
  <c r="D1636" i="30"/>
  <c r="D1637" i="30"/>
  <c r="D1638" i="30"/>
  <c r="D1639" i="30"/>
  <c r="D1640" i="30"/>
  <c r="D1641" i="30"/>
  <c r="D1642" i="30"/>
  <c r="D1643" i="30"/>
  <c r="D1644" i="30"/>
  <c r="D1645" i="30"/>
  <c r="D1646" i="30"/>
  <c r="D1647" i="30"/>
  <c r="D1648" i="30"/>
  <c r="D1649" i="30"/>
  <c r="D1650" i="30"/>
  <c r="D1651" i="30"/>
  <c r="D1652" i="30"/>
  <c r="D1653" i="30"/>
  <c r="D1654" i="30"/>
  <c r="D1655" i="30"/>
  <c r="D1656" i="30"/>
  <c r="D1657" i="30"/>
  <c r="D1658" i="30"/>
  <c r="D1659" i="30"/>
  <c r="D1660" i="30"/>
  <c r="D1661" i="30"/>
  <c r="D1662" i="30"/>
  <c r="D1663" i="30"/>
  <c r="D1664" i="30"/>
  <c r="D1665" i="30"/>
  <c r="D1666" i="30"/>
  <c r="D1667" i="30"/>
  <c r="D1668" i="30"/>
  <c r="D1669" i="30"/>
  <c r="D1670" i="30"/>
  <c r="D1671" i="30"/>
  <c r="D1672" i="30"/>
  <c r="D1673" i="30"/>
  <c r="D1674" i="30"/>
  <c r="D1675" i="30"/>
  <c r="D1676" i="30"/>
  <c r="D1677" i="30"/>
  <c r="D1678" i="30"/>
  <c r="D1679" i="30"/>
  <c r="D1680" i="30"/>
  <c r="D1681" i="30"/>
  <c r="D1682" i="30"/>
  <c r="D1683" i="30"/>
  <c r="D1684" i="30"/>
  <c r="D1685" i="30"/>
  <c r="D1686" i="30"/>
  <c r="D1687" i="30"/>
  <c r="D1688" i="30"/>
  <c r="D1689" i="30"/>
  <c r="D1690" i="30"/>
  <c r="D1691" i="30"/>
  <c r="D1692" i="30"/>
  <c r="D1693" i="30"/>
  <c r="D1694" i="30"/>
  <c r="D1695" i="30"/>
  <c r="D1696" i="30"/>
  <c r="D1697" i="30"/>
  <c r="D1698" i="30"/>
  <c r="D1699" i="30"/>
  <c r="D1700" i="30"/>
  <c r="D1701" i="30"/>
  <c r="D1702" i="30"/>
  <c r="D1703" i="30"/>
  <c r="D1704" i="30"/>
  <c r="D1705" i="30"/>
  <c r="D1706" i="30"/>
  <c r="D1707" i="30"/>
  <c r="D1708" i="30"/>
  <c r="D1709" i="30"/>
  <c r="D1710" i="30"/>
  <c r="D1711" i="30"/>
  <c r="D1712" i="30"/>
  <c r="D1713" i="30"/>
  <c r="D1714" i="30"/>
  <c r="D1715" i="30"/>
  <c r="D1716" i="30"/>
  <c r="D1717" i="30"/>
  <c r="D1718" i="30"/>
  <c r="D1719" i="30"/>
  <c r="D1720" i="30"/>
  <c r="D1721" i="30"/>
  <c r="D1722" i="30"/>
  <c r="D1723" i="30"/>
  <c r="D1724" i="30"/>
  <c r="D1725" i="30"/>
  <c r="D1726" i="30"/>
  <c r="D1727" i="30"/>
  <c r="D1728" i="30"/>
  <c r="D1729" i="30"/>
  <c r="D1730" i="30"/>
  <c r="D1731" i="30"/>
  <c r="D1732" i="30"/>
  <c r="D1733" i="30"/>
  <c r="D1734" i="30"/>
  <c r="D1735" i="30"/>
  <c r="D1736" i="30"/>
  <c r="D1737" i="30"/>
  <c r="D1738" i="30"/>
  <c r="D1739" i="30"/>
  <c r="D1740" i="30"/>
  <c r="D1741" i="30"/>
  <c r="D1742" i="30"/>
  <c r="D1743" i="30"/>
  <c r="D1744" i="30"/>
  <c r="D1745" i="30"/>
  <c r="D1746" i="30"/>
  <c r="D1747" i="30"/>
  <c r="D1748" i="30"/>
  <c r="D1749" i="30"/>
  <c r="D1750" i="30"/>
  <c r="D1751" i="30"/>
  <c r="D1752" i="30"/>
  <c r="D1753" i="30"/>
  <c r="D1754" i="30"/>
  <c r="D1755" i="30"/>
  <c r="D1756" i="30"/>
  <c r="D1757" i="30"/>
  <c r="D1758" i="30"/>
  <c r="D1759" i="30"/>
  <c r="D1760" i="30"/>
  <c r="D1761" i="30"/>
  <c r="D1762" i="30"/>
  <c r="D1763" i="30"/>
  <c r="D1764" i="30"/>
  <c r="D1765" i="30"/>
  <c r="D1766" i="30"/>
  <c r="D1767" i="30"/>
  <c r="D1768" i="30"/>
  <c r="D1769" i="30"/>
  <c r="D1770" i="30"/>
  <c r="D1771" i="30"/>
  <c r="D1772" i="30"/>
  <c r="D1773" i="30"/>
  <c r="D1774" i="30"/>
  <c r="D1775" i="30"/>
  <c r="D1776" i="30"/>
  <c r="D1777" i="30"/>
  <c r="D1778" i="30"/>
  <c r="D1779" i="30"/>
  <c r="D1780" i="30"/>
  <c r="D1781" i="30"/>
  <c r="D1782" i="30"/>
  <c r="D1783" i="30"/>
  <c r="D1784" i="30"/>
  <c r="D1785" i="30"/>
  <c r="D1786" i="30"/>
  <c r="D1787" i="30"/>
  <c r="D1788" i="30"/>
  <c r="D1789" i="30"/>
  <c r="D1790" i="30"/>
  <c r="D1791" i="30"/>
  <c r="D1792" i="30"/>
  <c r="D1793" i="30"/>
  <c r="D1794" i="30"/>
  <c r="D1795" i="30"/>
  <c r="D1796" i="30"/>
  <c r="D1797" i="30"/>
  <c r="D1798" i="30"/>
  <c r="D1799" i="30"/>
  <c r="D1800" i="30"/>
  <c r="D1801" i="30"/>
  <c r="D1802" i="30"/>
  <c r="D1803" i="30"/>
  <c r="D1804" i="30"/>
  <c r="D1805" i="30"/>
  <c r="D1806" i="30"/>
  <c r="D1807" i="30"/>
  <c r="D1808" i="30"/>
  <c r="D1809" i="30"/>
  <c r="D1810" i="30"/>
  <c r="D1811" i="30"/>
  <c r="D1812" i="30"/>
  <c r="D1813" i="30"/>
  <c r="D1814" i="30"/>
  <c r="D1815" i="30"/>
  <c r="D1816" i="30"/>
  <c r="D1817" i="30"/>
  <c r="D1818" i="30"/>
  <c r="D1819" i="30"/>
  <c r="D1820" i="30"/>
  <c r="D1821" i="30"/>
  <c r="D1822" i="30"/>
  <c r="D1823" i="30"/>
  <c r="D1824" i="30"/>
  <c r="D1825" i="30"/>
  <c r="D1826" i="30"/>
  <c r="D1827" i="30"/>
  <c r="D1828" i="30"/>
  <c r="D1829" i="30"/>
  <c r="D1830" i="30"/>
  <c r="D1831" i="30"/>
  <c r="D1832" i="30"/>
  <c r="D1833" i="30"/>
  <c r="D1834" i="30"/>
  <c r="D1835" i="30"/>
  <c r="D1836" i="30"/>
  <c r="D1837" i="30"/>
  <c r="D1838" i="30"/>
  <c r="D1839" i="30"/>
  <c r="D1840" i="30"/>
  <c r="D1841" i="30"/>
  <c r="D1842" i="30"/>
  <c r="D1843" i="30"/>
  <c r="D1844" i="30"/>
  <c r="D1845" i="30"/>
  <c r="D1846" i="30"/>
  <c r="D1847" i="30"/>
  <c r="D1848" i="30"/>
  <c r="D1849" i="30"/>
  <c r="D1850" i="30"/>
  <c r="D1851" i="30"/>
  <c r="D1852" i="30"/>
  <c r="D1853" i="30"/>
  <c r="D1854" i="30"/>
  <c r="D1855" i="30"/>
  <c r="D1856" i="30"/>
  <c r="D1857" i="30"/>
  <c r="D1858" i="30"/>
  <c r="D1859" i="30"/>
  <c r="D1860" i="30"/>
  <c r="D1861" i="30"/>
  <c r="D1862" i="30"/>
  <c r="D1863" i="30"/>
  <c r="D1864" i="30"/>
  <c r="D1865" i="30"/>
  <c r="D1866" i="30"/>
  <c r="D1867" i="30"/>
  <c r="D1868" i="30"/>
  <c r="D1869" i="30"/>
  <c r="D1870" i="30"/>
  <c r="D1871" i="30"/>
  <c r="D1872" i="30"/>
  <c r="D1873" i="30"/>
  <c r="D1874" i="30"/>
  <c r="D1875" i="30"/>
  <c r="D1876" i="30"/>
  <c r="D1877" i="30"/>
  <c r="D1878" i="30"/>
  <c r="D1879" i="30"/>
  <c r="D1880" i="30"/>
  <c r="D1881" i="30"/>
  <c r="D1882" i="30"/>
  <c r="D1883" i="30"/>
  <c r="D1884" i="30"/>
  <c r="D1885" i="30"/>
  <c r="D1886" i="30"/>
  <c r="D1887" i="30"/>
  <c r="D1888" i="30"/>
  <c r="D1889" i="30"/>
  <c r="D1890" i="30"/>
  <c r="D1891" i="30"/>
  <c r="D1892" i="30"/>
  <c r="D1893" i="30"/>
  <c r="D1894" i="30"/>
  <c r="D1895" i="30"/>
  <c r="D1896" i="30"/>
  <c r="D1897" i="30"/>
  <c r="D1898" i="30"/>
  <c r="D1899" i="30"/>
  <c r="D1900" i="30"/>
  <c r="D1901" i="30"/>
  <c r="D1902" i="30"/>
  <c r="D1903" i="30"/>
  <c r="D1904" i="30"/>
  <c r="D1905" i="30"/>
  <c r="D1906" i="30"/>
  <c r="D1907" i="30"/>
  <c r="D1908" i="30"/>
  <c r="D1909" i="30"/>
  <c r="D1910" i="30"/>
  <c r="D1911" i="30"/>
  <c r="D1912" i="30"/>
  <c r="D1913" i="30"/>
  <c r="D1914" i="30"/>
  <c r="D1915" i="30"/>
  <c r="D1916" i="30"/>
  <c r="D1917" i="30"/>
  <c r="D1918" i="30"/>
  <c r="D1919" i="30"/>
  <c r="D1920" i="30"/>
  <c r="D1921" i="30"/>
  <c r="D1922" i="30"/>
  <c r="D1923" i="30"/>
  <c r="D1924" i="30"/>
  <c r="D1925" i="30"/>
  <c r="D1926" i="30"/>
  <c r="D1927" i="30"/>
  <c r="D1928" i="30"/>
  <c r="D1929" i="30"/>
  <c r="D1930" i="30"/>
  <c r="D1931" i="30"/>
  <c r="D1932" i="30"/>
  <c r="D1933" i="30"/>
  <c r="D1934" i="30"/>
  <c r="D1935" i="30"/>
  <c r="D1936" i="30"/>
  <c r="D1937" i="30"/>
  <c r="D1938" i="30"/>
  <c r="D1939" i="30"/>
  <c r="D1940" i="30"/>
  <c r="D1941" i="30"/>
  <c r="D1942" i="30"/>
  <c r="D1943" i="30"/>
  <c r="D1944" i="30"/>
  <c r="D1945" i="30"/>
  <c r="D1946" i="30"/>
  <c r="D1947" i="30"/>
  <c r="D1948" i="30"/>
  <c r="D1949" i="30"/>
  <c r="D1950" i="30"/>
  <c r="D1951" i="30"/>
  <c r="D1952" i="30"/>
  <c r="D1953" i="30"/>
  <c r="D1954" i="30"/>
  <c r="D1955" i="30"/>
  <c r="D1956" i="30"/>
  <c r="D1957" i="30"/>
  <c r="D1958" i="30"/>
  <c r="D1959" i="30"/>
  <c r="D1960" i="30"/>
  <c r="D1961" i="30"/>
  <c r="D1962" i="30"/>
  <c r="D1963" i="30"/>
  <c r="D1964" i="30"/>
  <c r="D1965" i="30"/>
  <c r="D1966" i="30"/>
  <c r="D1967" i="30"/>
  <c r="D1968" i="30"/>
  <c r="D1969" i="30"/>
  <c r="D1970" i="30"/>
  <c r="D1971" i="30"/>
  <c r="D1972" i="30"/>
  <c r="D1973" i="30"/>
  <c r="D1974" i="30"/>
  <c r="D1975" i="30"/>
  <c r="D1976" i="30"/>
  <c r="D1977" i="30"/>
  <c r="D1978" i="30"/>
  <c r="D1979" i="30"/>
  <c r="D1980" i="30"/>
  <c r="D1981" i="30"/>
  <c r="D1982" i="30"/>
  <c r="D1983" i="30"/>
  <c r="D1984" i="30"/>
  <c r="D1985" i="30"/>
  <c r="D1986" i="30"/>
  <c r="D1987" i="30"/>
  <c r="D1988" i="30"/>
  <c r="D1989" i="30"/>
  <c r="D1990" i="30"/>
  <c r="D1991" i="30"/>
  <c r="D1992" i="30"/>
  <c r="D1993" i="30"/>
  <c r="D1994" i="30"/>
  <c r="D1995" i="30"/>
  <c r="D1996" i="30"/>
  <c r="D1997" i="30"/>
  <c r="D1998" i="30"/>
  <c r="D1999" i="30"/>
  <c r="D2000" i="30"/>
  <c r="D2001" i="30"/>
  <c r="D2002" i="30"/>
  <c r="D2003" i="30"/>
  <c r="D2004" i="30"/>
  <c r="D2005" i="30"/>
  <c r="D2006" i="30"/>
  <c r="D2007" i="30"/>
  <c r="D2008" i="30"/>
  <c r="D2009" i="30"/>
  <c r="D2010" i="30"/>
  <c r="D2011" i="30"/>
  <c r="D2012" i="30"/>
  <c r="D2013" i="30"/>
  <c r="D2014" i="30"/>
  <c r="D2015" i="30"/>
  <c r="D2016" i="30"/>
  <c r="D2017" i="30"/>
  <c r="D2018" i="30"/>
  <c r="D2019" i="30"/>
  <c r="D2020" i="30"/>
  <c r="D2021" i="30"/>
  <c r="D2022" i="30"/>
  <c r="D2023" i="30"/>
  <c r="D2024" i="30"/>
  <c r="D2025" i="30"/>
  <c r="D2026" i="30"/>
  <c r="D2027" i="30"/>
  <c r="D2028" i="30"/>
  <c r="D2029" i="30"/>
  <c r="D2030" i="30"/>
  <c r="D2031" i="30"/>
  <c r="D2032" i="30"/>
  <c r="D2033" i="30"/>
  <c r="D2034" i="30"/>
  <c r="D2035" i="30"/>
  <c r="D2036" i="30"/>
  <c r="D2037" i="30"/>
  <c r="D2038" i="30"/>
  <c r="D2039" i="30"/>
  <c r="D2040" i="30"/>
  <c r="D2041" i="30"/>
  <c r="D2042" i="30"/>
  <c r="D2043" i="30"/>
  <c r="D2044" i="30"/>
  <c r="D2045" i="30"/>
  <c r="D2046" i="30"/>
  <c r="D2047" i="30"/>
  <c r="D2048" i="30"/>
  <c r="D2049" i="30"/>
  <c r="D2050" i="30"/>
  <c r="D2051" i="30"/>
  <c r="D2052" i="30"/>
  <c r="D2053" i="30"/>
  <c r="D2054" i="30"/>
  <c r="D2055" i="30"/>
  <c r="D2056" i="30"/>
  <c r="D2057" i="30"/>
  <c r="D2058" i="30"/>
  <c r="D2059" i="30"/>
  <c r="D2060" i="30"/>
  <c r="D2061" i="30"/>
  <c r="D2062" i="30"/>
  <c r="D2063" i="30"/>
  <c r="D2064" i="30"/>
  <c r="D2065" i="30"/>
  <c r="D2066" i="30"/>
  <c r="D2067" i="30"/>
  <c r="D2068" i="30"/>
  <c r="D2069" i="30"/>
  <c r="D2070" i="30"/>
  <c r="D2071" i="30"/>
  <c r="D2072" i="30"/>
  <c r="D2073" i="30"/>
  <c r="D2074" i="30"/>
  <c r="D2075" i="30"/>
  <c r="D2076" i="30"/>
  <c r="D2077" i="30"/>
  <c r="D2078" i="30"/>
  <c r="D2079" i="30"/>
  <c r="D2080" i="30"/>
  <c r="D2081" i="30"/>
  <c r="D2082" i="30"/>
  <c r="D2083" i="30"/>
  <c r="D2084" i="30"/>
  <c r="D2085" i="30"/>
  <c r="D2086" i="30"/>
  <c r="D2087" i="30"/>
  <c r="D2088" i="30"/>
  <c r="D2089" i="30"/>
  <c r="D2090" i="30"/>
  <c r="D2091" i="30"/>
  <c r="D2092" i="30"/>
  <c r="D2093" i="30"/>
  <c r="D2094" i="30"/>
  <c r="D2095" i="30"/>
  <c r="D2096" i="30"/>
  <c r="D2097" i="30"/>
  <c r="D2098" i="30"/>
  <c r="D2099" i="30"/>
  <c r="D2100" i="30"/>
  <c r="D2101" i="30"/>
  <c r="D2102" i="30"/>
  <c r="D2103" i="30"/>
  <c r="D2104" i="30"/>
  <c r="D2105" i="30"/>
  <c r="D2106" i="30"/>
  <c r="D2107" i="30"/>
  <c r="D2108" i="30"/>
  <c r="D2109" i="30"/>
  <c r="D2110" i="30"/>
  <c r="D2111" i="30"/>
  <c r="D2112" i="30"/>
  <c r="D2113" i="30"/>
  <c r="D2114" i="30"/>
  <c r="D2115" i="30"/>
  <c r="D2116" i="30"/>
  <c r="D2117" i="30"/>
  <c r="D2118" i="30"/>
  <c r="D2119" i="30"/>
  <c r="D2120" i="30"/>
  <c r="D2121" i="30"/>
  <c r="D2122" i="30"/>
  <c r="D2123" i="30"/>
  <c r="D2124" i="30"/>
  <c r="D2125" i="30"/>
  <c r="D2126" i="30"/>
  <c r="D2127" i="30"/>
  <c r="D2128" i="30"/>
  <c r="D2129" i="30"/>
  <c r="D2130" i="30"/>
  <c r="D2131" i="30"/>
  <c r="D2132" i="30"/>
  <c r="D2133" i="30"/>
  <c r="D2134" i="30"/>
  <c r="D2135" i="30"/>
  <c r="D2136" i="30"/>
  <c r="D2137" i="30"/>
  <c r="D2138" i="30"/>
  <c r="D2139" i="30"/>
  <c r="D2140" i="30"/>
  <c r="D2141" i="30"/>
  <c r="D2142" i="30"/>
  <c r="D2143" i="30"/>
  <c r="D2144" i="30"/>
  <c r="D2145" i="30"/>
  <c r="D2146" i="30"/>
  <c r="D2147" i="30"/>
  <c r="D2148" i="30"/>
  <c r="D2149" i="30"/>
  <c r="D2150" i="30"/>
  <c r="D2151" i="30"/>
  <c r="D2152" i="30"/>
  <c r="D2153" i="30"/>
  <c r="D2154" i="30"/>
  <c r="D2155" i="30"/>
  <c r="D2156" i="30"/>
  <c r="D2157" i="30"/>
  <c r="D2158" i="30"/>
  <c r="D2159" i="30"/>
  <c r="D2160" i="30"/>
  <c r="D2161" i="30"/>
  <c r="D2162" i="30"/>
  <c r="D2163" i="30"/>
  <c r="D2164" i="30"/>
  <c r="D2165" i="30"/>
  <c r="D2166" i="30"/>
  <c r="D2167" i="30"/>
  <c r="D2168" i="30"/>
  <c r="D2169" i="30"/>
  <c r="D2170" i="30"/>
  <c r="D2171" i="30"/>
  <c r="D2172" i="30"/>
  <c r="D2173" i="30"/>
  <c r="D2174" i="30"/>
  <c r="D2175" i="30"/>
  <c r="D2176" i="30"/>
  <c r="D2177" i="30"/>
  <c r="D2178" i="30"/>
  <c r="D2179" i="30"/>
  <c r="D2180" i="30"/>
  <c r="D2181" i="30"/>
  <c r="D2182" i="30"/>
  <c r="D2183" i="30"/>
  <c r="D2184" i="30"/>
  <c r="D2185" i="30"/>
  <c r="D2186" i="30"/>
  <c r="D2187" i="30"/>
  <c r="D2188" i="30"/>
  <c r="D2189" i="30"/>
  <c r="D2190" i="30"/>
  <c r="D2191" i="30"/>
  <c r="D2192" i="30"/>
  <c r="D2193" i="30"/>
  <c r="D2194" i="30"/>
  <c r="D2195" i="30"/>
  <c r="D2196" i="30"/>
  <c r="D2197" i="30"/>
  <c r="D2198" i="30"/>
  <c r="D2199" i="30"/>
  <c r="D2200" i="30"/>
  <c r="D2201" i="30"/>
  <c r="D2202" i="30"/>
  <c r="D2203" i="30"/>
  <c r="D2204" i="30"/>
  <c r="D2205" i="30"/>
  <c r="D2206" i="30"/>
  <c r="D2207" i="30"/>
  <c r="D2208" i="30"/>
  <c r="D2209" i="30"/>
  <c r="D2210" i="30"/>
  <c r="D2211" i="30"/>
  <c r="D2212" i="30"/>
  <c r="D2213" i="30"/>
  <c r="D2214" i="30"/>
  <c r="D2215" i="30"/>
  <c r="D2216" i="30"/>
  <c r="D2217" i="30"/>
  <c r="D2218" i="30"/>
  <c r="D2219" i="30"/>
  <c r="D2220" i="30"/>
  <c r="D2221" i="30"/>
  <c r="D2222" i="30"/>
  <c r="D2223" i="30"/>
  <c r="D2224" i="30"/>
  <c r="D2225" i="30"/>
  <c r="D2226" i="30"/>
  <c r="D2227" i="30"/>
  <c r="D2228" i="30"/>
  <c r="D2229" i="30"/>
  <c r="D2230" i="30"/>
  <c r="D2231" i="30"/>
  <c r="D2232" i="30"/>
  <c r="D2233" i="30"/>
  <c r="D2234" i="30"/>
  <c r="D2235" i="30"/>
  <c r="D1280" i="30"/>
  <c r="D1281" i="30"/>
  <c r="D1282" i="30"/>
  <c r="D1283" i="30"/>
  <c r="D1284" i="30"/>
  <c r="D1285" i="30"/>
  <c r="D1286" i="30"/>
  <c r="D1287" i="30"/>
  <c r="D1288" i="30"/>
  <c r="D1289" i="30"/>
  <c r="D1290" i="30"/>
  <c r="D1291" i="30"/>
  <c r="D1292" i="30"/>
  <c r="D2244" i="30"/>
  <c r="D2245" i="30"/>
  <c r="D2246" i="30"/>
  <c r="D2247" i="30"/>
  <c r="D2248" i="30"/>
  <c r="D2249" i="30"/>
  <c r="D2250" i="30"/>
  <c r="D2251" i="30"/>
  <c r="D2252" i="30"/>
  <c r="D2253" i="30"/>
  <c r="D2254" i="30"/>
  <c r="D2255" i="30"/>
  <c r="D2256" i="30"/>
  <c r="D2257" i="30"/>
  <c r="D2258" i="30"/>
  <c r="D2259" i="30"/>
  <c r="D2260" i="30"/>
  <c r="D2261" i="30"/>
  <c r="D2262" i="30"/>
  <c r="D2263" i="30"/>
  <c r="D2264" i="30"/>
  <c r="D2265" i="30"/>
  <c r="D2266" i="30"/>
  <c r="D2267" i="30"/>
  <c r="D2268" i="30"/>
  <c r="D2269" i="30"/>
  <c r="D2270" i="30"/>
  <c r="D2271" i="30"/>
  <c r="D2272" i="30"/>
  <c r="D2273" i="30"/>
  <c r="D2274" i="30"/>
  <c r="D2275" i="30"/>
  <c r="D2276" i="30"/>
  <c r="D2277" i="30"/>
  <c r="D2278" i="30"/>
  <c r="D2279" i="30"/>
  <c r="D2280" i="30"/>
  <c r="D2281" i="30"/>
  <c r="D2282" i="30"/>
  <c r="D2283" i="30"/>
  <c r="D2284" i="30"/>
  <c r="D2285" i="30"/>
  <c r="D2286" i="30"/>
  <c r="D2287" i="30"/>
  <c r="D2288" i="30"/>
  <c r="D2289" i="30"/>
  <c r="D2290" i="30"/>
  <c r="D2291" i="30"/>
  <c r="D2292" i="30"/>
  <c r="D2293" i="30"/>
  <c r="D2294" i="30"/>
  <c r="D2295" i="30"/>
  <c r="D2296" i="30"/>
  <c r="D2297" i="30"/>
  <c r="D2298" i="30"/>
  <c r="D2299" i="30"/>
  <c r="D2300" i="30"/>
  <c r="D2301" i="30"/>
  <c r="D2302" i="30"/>
  <c r="D2303" i="30"/>
  <c r="D2304" i="30"/>
  <c r="D2305" i="30"/>
  <c r="D2306" i="30"/>
  <c r="D2307" i="30"/>
  <c r="D2308" i="30"/>
  <c r="D2309" i="30"/>
  <c r="D2310" i="30"/>
  <c r="D2311" i="30"/>
  <c r="D2312" i="30"/>
  <c r="D2313" i="30"/>
  <c r="D2314" i="30"/>
  <c r="D2315" i="30"/>
  <c r="D2316" i="30"/>
  <c r="D2317" i="30"/>
  <c r="D2318" i="30"/>
  <c r="D2319" i="30"/>
  <c r="D2320" i="30"/>
  <c r="D2321" i="30"/>
  <c r="D2322" i="30"/>
  <c r="D2323" i="30"/>
  <c r="D2324" i="30"/>
  <c r="D2325" i="30"/>
  <c r="D2326" i="30"/>
  <c r="D2327" i="30"/>
  <c r="D2328" i="30"/>
  <c r="D2329" i="30"/>
  <c r="D2330" i="30"/>
  <c r="D2331" i="30"/>
  <c r="D2332" i="30"/>
  <c r="D2333" i="30"/>
  <c r="D2334" i="30"/>
  <c r="D2335" i="30"/>
  <c r="D2336" i="30"/>
  <c r="D2337" i="30"/>
  <c r="D2338" i="30"/>
  <c r="D2339" i="30"/>
  <c r="D2340" i="30"/>
  <c r="D2341" i="30"/>
  <c r="D2342" i="30"/>
  <c r="D2343" i="30"/>
  <c r="D2344" i="30"/>
  <c r="D2345" i="30"/>
  <c r="D2346" i="30"/>
  <c r="D2347" i="30"/>
  <c r="D2348" i="30"/>
  <c r="D2349" i="30"/>
  <c r="D2350" i="30"/>
  <c r="D2351" i="30"/>
  <c r="D2352" i="30"/>
  <c r="D2353" i="30"/>
  <c r="D2354" i="30"/>
  <c r="D2355" i="30"/>
  <c r="D2356" i="30"/>
  <c r="D2357" i="30"/>
  <c r="D2358" i="30"/>
  <c r="D2359" i="30"/>
  <c r="D2360" i="30"/>
  <c r="D2361" i="30"/>
  <c r="D2362" i="30"/>
  <c r="D2363" i="30"/>
  <c r="D2364" i="30"/>
  <c r="D2365" i="30"/>
  <c r="D2366" i="30"/>
  <c r="D2367" i="30"/>
  <c r="D2368" i="30"/>
  <c r="D2369" i="30"/>
  <c r="D2370" i="30"/>
  <c r="D2371" i="30"/>
  <c r="D2372" i="30"/>
  <c r="D2373" i="30"/>
  <c r="D2374" i="30"/>
  <c r="D2375" i="30"/>
  <c r="D2376" i="30"/>
  <c r="D2377" i="30"/>
  <c r="D2378" i="30"/>
  <c r="D2379" i="30"/>
  <c r="D2380" i="30"/>
  <c r="D2381" i="30"/>
  <c r="D2382" i="30"/>
  <c r="D2383" i="30"/>
  <c r="D2384" i="30"/>
  <c r="D2385" i="30"/>
  <c r="D2386" i="30"/>
  <c r="D2387" i="30"/>
  <c r="D2388" i="30"/>
  <c r="D2389" i="30"/>
  <c r="D2390" i="30"/>
  <c r="D2391" i="30"/>
  <c r="D2392" i="30"/>
  <c r="D2393" i="30"/>
  <c r="D2394" i="30"/>
  <c r="D2395" i="30"/>
  <c r="D2396" i="30"/>
  <c r="D2397" i="30"/>
  <c r="D2398" i="30"/>
  <c r="D2399" i="30"/>
  <c r="D2400" i="30"/>
  <c r="D2401" i="30"/>
  <c r="D2402" i="30"/>
  <c r="D2403" i="30"/>
  <c r="D2404" i="30"/>
  <c r="D2405" i="30"/>
  <c r="D2406" i="30"/>
  <c r="D2407" i="30"/>
  <c r="D2408" i="30"/>
  <c r="D2409" i="30"/>
  <c r="D2410" i="30"/>
  <c r="D2411" i="30"/>
  <c r="D2412" i="30"/>
  <c r="D2413" i="30"/>
  <c r="D2414" i="30"/>
  <c r="D2415" i="30"/>
  <c r="D2416" i="30"/>
  <c r="D2417" i="30"/>
  <c r="D2418" i="30"/>
  <c r="D2419" i="30"/>
  <c r="D2420" i="30"/>
  <c r="D2421" i="30"/>
  <c r="D2422" i="30"/>
  <c r="D2423" i="30"/>
  <c r="D2424" i="30"/>
  <c r="D2425" i="30"/>
  <c r="D2426" i="30"/>
  <c r="D2427" i="30"/>
  <c r="D2428" i="30"/>
  <c r="D2429" i="30"/>
  <c r="D2430" i="30"/>
  <c r="D2431" i="30"/>
  <c r="D2432" i="30"/>
  <c r="D2433" i="30"/>
  <c r="D2434" i="30"/>
  <c r="D2435" i="30"/>
  <c r="D2436" i="30"/>
  <c r="D2437" i="30"/>
  <c r="D2438" i="30"/>
  <c r="D2439" i="30"/>
  <c r="D2440" i="30"/>
  <c r="D2441" i="30"/>
  <c r="D2442" i="30"/>
  <c r="D2443" i="30"/>
  <c r="D2444" i="30"/>
  <c r="D2445" i="30"/>
  <c r="D2446" i="30"/>
  <c r="D2447" i="30"/>
  <c r="D2448" i="30"/>
  <c r="D2449" i="30"/>
  <c r="D2450" i="30"/>
  <c r="D2451" i="30"/>
  <c r="D2452" i="30"/>
  <c r="D2453" i="30"/>
  <c r="D2454" i="30"/>
  <c r="D2455" i="30"/>
  <c r="D2456" i="30"/>
  <c r="D2457" i="30"/>
  <c r="D2458" i="30"/>
  <c r="D2459" i="30"/>
  <c r="D2460" i="30"/>
  <c r="D2461" i="30"/>
  <c r="D2462" i="30"/>
  <c r="D2463" i="30"/>
  <c r="D2464" i="30"/>
  <c r="D2465" i="30"/>
  <c r="D2466" i="30"/>
  <c r="D2467" i="30"/>
  <c r="D2468" i="30"/>
  <c r="D2469" i="30"/>
  <c r="D2470" i="30"/>
  <c r="D2471" i="30"/>
  <c r="D2472" i="30"/>
  <c r="D2473" i="30"/>
  <c r="D2474" i="30"/>
  <c r="D2475" i="30"/>
  <c r="D2476" i="30"/>
  <c r="D2477" i="30"/>
  <c r="D2478" i="30"/>
  <c r="D2479" i="30"/>
  <c r="D2480" i="30"/>
  <c r="D2481" i="30"/>
  <c r="D2482" i="30"/>
  <c r="D2483" i="30"/>
  <c r="D2484" i="30"/>
  <c r="D2485" i="30"/>
  <c r="D2486" i="30"/>
  <c r="D2487" i="30"/>
  <c r="D2488" i="30"/>
  <c r="D2489" i="30"/>
  <c r="D2490" i="30"/>
  <c r="D2491" i="30"/>
  <c r="D2492" i="30"/>
  <c r="D2493" i="30"/>
  <c r="D2494" i="30"/>
  <c r="D2495" i="30"/>
  <c r="D2496" i="30"/>
  <c r="D2497" i="30"/>
  <c r="D2498" i="30"/>
  <c r="D2499" i="30"/>
  <c r="D2500" i="30"/>
  <c r="D2501" i="30"/>
  <c r="D2502" i="30"/>
  <c r="D2503" i="30"/>
  <c r="D2504" i="30"/>
  <c r="D2505" i="30"/>
  <c r="D2506" i="30"/>
  <c r="D2507" i="30"/>
  <c r="D2508" i="30"/>
  <c r="D2509" i="30"/>
  <c r="D2510" i="30"/>
  <c r="D2511" i="30"/>
  <c r="D2512" i="30"/>
  <c r="D2513" i="30"/>
  <c r="D2514" i="30"/>
  <c r="D2515" i="30"/>
  <c r="D2516" i="30"/>
  <c r="D2517" i="30"/>
  <c r="D2518" i="30"/>
  <c r="D2519" i="30"/>
  <c r="D2520" i="30"/>
  <c r="D2521" i="30"/>
  <c r="D2522" i="30"/>
  <c r="D2523" i="30"/>
  <c r="D2524" i="30"/>
  <c r="D2525" i="30"/>
  <c r="D2526" i="30"/>
  <c r="D2527" i="30"/>
  <c r="D2528" i="30"/>
  <c r="D2529" i="30"/>
  <c r="D2530" i="30"/>
  <c r="D2531" i="30"/>
  <c r="D2532" i="30"/>
  <c r="D2533" i="30"/>
  <c r="D2534" i="30"/>
  <c r="D2535" i="30"/>
  <c r="D2536" i="30"/>
  <c r="D2537" i="30"/>
  <c r="D2538" i="30"/>
  <c r="D2539" i="30"/>
  <c r="D2540" i="30"/>
  <c r="D2541" i="30"/>
  <c r="D2542" i="30"/>
  <c r="D2543" i="30"/>
  <c r="D2544" i="30"/>
  <c r="D2545" i="30"/>
  <c r="D2546" i="30"/>
  <c r="D2547" i="30"/>
  <c r="D2548" i="30"/>
  <c r="D2549" i="30"/>
  <c r="D2550" i="30"/>
  <c r="D2551" i="30"/>
  <c r="D2552" i="30"/>
  <c r="D2553" i="30"/>
  <c r="D2554" i="30"/>
  <c r="D2555" i="30"/>
  <c r="D2556" i="30"/>
  <c r="D2557" i="30"/>
  <c r="D2558" i="30"/>
  <c r="D2559" i="30"/>
  <c r="D2560" i="30"/>
  <c r="D2561" i="30"/>
  <c r="D2562" i="30"/>
  <c r="D2563" i="30"/>
  <c r="D2564" i="30"/>
  <c r="D2565" i="30"/>
  <c r="D2566" i="30"/>
  <c r="D2567" i="30"/>
  <c r="D2568" i="30"/>
  <c r="D2569" i="30"/>
  <c r="D2570" i="30"/>
  <c r="D2571" i="30"/>
  <c r="D2572" i="30"/>
  <c r="D2573" i="30"/>
  <c r="D2574" i="30"/>
  <c r="D2575" i="30"/>
  <c r="D2576" i="30"/>
  <c r="D2577" i="30"/>
  <c r="D2578" i="30"/>
  <c r="D2579" i="30"/>
  <c r="D2580" i="30"/>
  <c r="D2581" i="30"/>
  <c r="D2582" i="30"/>
  <c r="D2583" i="30"/>
  <c r="D2584" i="30"/>
  <c r="D2585" i="30"/>
  <c r="D2586" i="30"/>
  <c r="D2587" i="30"/>
  <c r="D2588" i="30"/>
  <c r="D2589" i="30"/>
  <c r="D2590" i="30"/>
  <c r="D2591" i="30"/>
  <c r="D2592" i="30"/>
  <c r="D2593" i="30"/>
  <c r="D2594" i="30"/>
  <c r="D2595" i="30"/>
  <c r="D2596" i="30"/>
  <c r="D2597" i="30"/>
  <c r="D2598" i="30"/>
  <c r="D2599" i="30"/>
  <c r="D2600" i="30"/>
  <c r="D2601" i="30"/>
  <c r="D2602" i="30"/>
  <c r="D2603" i="30"/>
  <c r="D2604" i="30"/>
  <c r="D2605" i="30"/>
  <c r="D2606" i="30"/>
  <c r="D2607" i="30"/>
  <c r="D2608" i="30"/>
  <c r="D2609" i="30"/>
  <c r="D2610" i="30"/>
  <c r="D2611" i="30"/>
  <c r="D2612" i="30"/>
  <c r="D2613" i="30"/>
  <c r="D2614" i="30"/>
  <c r="D2615" i="30"/>
  <c r="D2616" i="30"/>
  <c r="D2617" i="30"/>
  <c r="D2618" i="30"/>
  <c r="D2619" i="30"/>
  <c r="D2620" i="30"/>
  <c r="D2621" i="30"/>
  <c r="D2622" i="30"/>
  <c r="D2623" i="30"/>
  <c r="D2624" i="30"/>
  <c r="D2625" i="30"/>
  <c r="D2626" i="30"/>
  <c r="D2627" i="30"/>
  <c r="D2628" i="30"/>
  <c r="D2629" i="30"/>
  <c r="D2630" i="30"/>
  <c r="D2631" i="30"/>
  <c r="D2632" i="30"/>
  <c r="D2633" i="30"/>
  <c r="D2634" i="30"/>
  <c r="D2635" i="30"/>
  <c r="D2636" i="30"/>
  <c r="D2637" i="30"/>
  <c r="D2638" i="30"/>
  <c r="D2639" i="30"/>
  <c r="D2640" i="30"/>
  <c r="D2641" i="30"/>
  <c r="D2642" i="30"/>
  <c r="D2643" i="30"/>
  <c r="D2644" i="30"/>
  <c r="D2645" i="30"/>
  <c r="D2646" i="30"/>
  <c r="D2647" i="30"/>
  <c r="D2648" i="30"/>
  <c r="D2649" i="30"/>
  <c r="D2650" i="30"/>
  <c r="D2651" i="30"/>
  <c r="D2652" i="30"/>
  <c r="D2653" i="30"/>
  <c r="D2654" i="30"/>
  <c r="D2655" i="30"/>
  <c r="D2656" i="30"/>
  <c r="D2657" i="30"/>
  <c r="D2658" i="30"/>
  <c r="D2659" i="30"/>
  <c r="D2660" i="30"/>
  <c r="D2661" i="30"/>
  <c r="D2662" i="30"/>
  <c r="D2663" i="30"/>
  <c r="D2664" i="30"/>
  <c r="D2665" i="30"/>
  <c r="D2666" i="30"/>
  <c r="D2667" i="30"/>
  <c r="D2668" i="30"/>
  <c r="D2669" i="30"/>
  <c r="D2670" i="30"/>
  <c r="D2671" i="30"/>
  <c r="D2672" i="30"/>
  <c r="D2673" i="30"/>
  <c r="D2674" i="30"/>
  <c r="D2675" i="30"/>
  <c r="D2676" i="30"/>
  <c r="D2677" i="30"/>
  <c r="D2678" i="30"/>
  <c r="D2679" i="30"/>
  <c r="D2680" i="30"/>
  <c r="D2681" i="30"/>
  <c r="D2682" i="30"/>
  <c r="D2683" i="30"/>
  <c r="D2684" i="30"/>
  <c r="D2685" i="30"/>
  <c r="D2686" i="30"/>
  <c r="D2687" i="30"/>
  <c r="D2688" i="30"/>
  <c r="D2689" i="30"/>
  <c r="D2690" i="30"/>
  <c r="D2691" i="30"/>
  <c r="D2692" i="30"/>
  <c r="D2693" i="30"/>
  <c r="D2694" i="30"/>
  <c r="D2695" i="30"/>
  <c r="D2696" i="30"/>
  <c r="D2697" i="30"/>
  <c r="D2698" i="30"/>
  <c r="D2699" i="30"/>
  <c r="D2700" i="30"/>
  <c r="D2701" i="30"/>
  <c r="D2702" i="30"/>
  <c r="D2703" i="30"/>
  <c r="D2704" i="30"/>
  <c r="D2705" i="30"/>
  <c r="D2706" i="30"/>
  <c r="D2707" i="30"/>
  <c r="D2708" i="30"/>
  <c r="D2709" i="30"/>
  <c r="D2710" i="30"/>
  <c r="D2711" i="30"/>
  <c r="D2712" i="30"/>
  <c r="D2713" i="30"/>
  <c r="D2714" i="30"/>
  <c r="D2715" i="30"/>
  <c r="D2716" i="30"/>
  <c r="D2717" i="30"/>
  <c r="D2718" i="30"/>
  <c r="D2719" i="30"/>
  <c r="D2720" i="30"/>
  <c r="D2721" i="30"/>
  <c r="D2722" i="30"/>
  <c r="D2723" i="30"/>
  <c r="D2724" i="30"/>
  <c r="D2725" i="30"/>
  <c r="D2726" i="30"/>
  <c r="D2727" i="30"/>
  <c r="D2728" i="30"/>
  <c r="D2729" i="30"/>
  <c r="D2730" i="30"/>
  <c r="D2731" i="30"/>
  <c r="D2732" i="30"/>
  <c r="D2733" i="30"/>
  <c r="D2734" i="30"/>
  <c r="D2735" i="30"/>
  <c r="D2736" i="30"/>
  <c r="D2737" i="30"/>
  <c r="D2738" i="30"/>
  <c r="D2739" i="30"/>
  <c r="D2740" i="30"/>
  <c r="D2741" i="30"/>
  <c r="D2742" i="30"/>
  <c r="D2743" i="30"/>
  <c r="D2744" i="30"/>
  <c r="D2745" i="30"/>
  <c r="D2746" i="30"/>
  <c r="D2747" i="30"/>
  <c r="D2748" i="30"/>
  <c r="D2749" i="30"/>
  <c r="D2750" i="30"/>
  <c r="D2751" i="30"/>
  <c r="D2752" i="30"/>
  <c r="D2753" i="30"/>
  <c r="D2754" i="30"/>
  <c r="D2755" i="30"/>
  <c r="D2756" i="30"/>
  <c r="D2757" i="30"/>
  <c r="D2758" i="30"/>
  <c r="D2759" i="30"/>
  <c r="D2760" i="30"/>
  <c r="D2761" i="30"/>
  <c r="D2762" i="30"/>
  <c r="D2763" i="30"/>
  <c r="D2764" i="30"/>
  <c r="D2765" i="30"/>
  <c r="D2766" i="30"/>
  <c r="D2767" i="30"/>
  <c r="D2768" i="30"/>
  <c r="D2769" i="30"/>
  <c r="D2770" i="30"/>
  <c r="D2771" i="30"/>
  <c r="D2772" i="30"/>
  <c r="D2773" i="30"/>
  <c r="D2774" i="30"/>
  <c r="D2775" i="30"/>
  <c r="D2776" i="30"/>
  <c r="D2777" i="30"/>
  <c r="D2778" i="30"/>
  <c r="D2779" i="30"/>
  <c r="D2780" i="30"/>
  <c r="D2781" i="30"/>
  <c r="D2782" i="30"/>
  <c r="D2783" i="30"/>
  <c r="D2784" i="30"/>
  <c r="D2785" i="30"/>
  <c r="D2786" i="30"/>
  <c r="D2787" i="30"/>
  <c r="D2788" i="30"/>
  <c r="D2789" i="30"/>
  <c r="D2790" i="30"/>
  <c r="D2791" i="30"/>
  <c r="D2792" i="30"/>
  <c r="D2793" i="30"/>
  <c r="D2794" i="30"/>
  <c r="D2795" i="30"/>
  <c r="D2796" i="30"/>
  <c r="D2797" i="30"/>
  <c r="D2798" i="30"/>
  <c r="D2799" i="30"/>
  <c r="D2800" i="30"/>
  <c r="D2801" i="30"/>
  <c r="D2802" i="30"/>
  <c r="D2803" i="30"/>
  <c r="D2804" i="30"/>
  <c r="D2805" i="30"/>
  <c r="D2806" i="30"/>
  <c r="D2807" i="30"/>
  <c r="D2808" i="30"/>
  <c r="D2809" i="30"/>
  <c r="D2810" i="30"/>
  <c r="D2811" i="30"/>
  <c r="D2812" i="30"/>
  <c r="D2813" i="30"/>
  <c r="D2814" i="30"/>
  <c r="D2815" i="30"/>
  <c r="D2816" i="30"/>
  <c r="D2817" i="30"/>
  <c r="D2818" i="30"/>
  <c r="D2819" i="30"/>
  <c r="D2820" i="30"/>
  <c r="D2821" i="30"/>
  <c r="D2822" i="30"/>
  <c r="D2823" i="30"/>
  <c r="D2824" i="30"/>
  <c r="D2825" i="30"/>
  <c r="D2826" i="30"/>
  <c r="D2827" i="30"/>
  <c r="D2828" i="30"/>
  <c r="D2829" i="30"/>
  <c r="D2830" i="30"/>
  <c r="D2831" i="30"/>
  <c r="D2832" i="30"/>
  <c r="D2833" i="30"/>
  <c r="D2834" i="30"/>
  <c r="D2835" i="30"/>
  <c r="D2836" i="30"/>
  <c r="D2837" i="30"/>
  <c r="D2838" i="30"/>
  <c r="D2839" i="30"/>
  <c r="D2840" i="30"/>
  <c r="D2841" i="30"/>
  <c r="D2842" i="30"/>
  <c r="D2843" i="30"/>
  <c r="D2844" i="30"/>
  <c r="D2845" i="30"/>
  <c r="D2846" i="30"/>
  <c r="D2847" i="30"/>
  <c r="D2848" i="30"/>
  <c r="D2849" i="30"/>
  <c r="D2850" i="30"/>
  <c r="D2851" i="30"/>
  <c r="D2852" i="30"/>
  <c r="D2853" i="30"/>
  <c r="D2854" i="30"/>
  <c r="D2855" i="30"/>
  <c r="D2856" i="30"/>
  <c r="D2857" i="30"/>
  <c r="D2858" i="30"/>
  <c r="D2859" i="30"/>
  <c r="D2" i="30"/>
  <c r="G2" i="30" s="1"/>
  <c r="M2040" i="30"/>
  <c r="L1803" i="30"/>
  <c r="U1803" i="30" s="1"/>
  <c r="L1805" i="30"/>
  <c r="U1805" i="30" s="1"/>
  <c r="L2040" i="30"/>
  <c r="U2040" i="30" s="1"/>
  <c r="G360" i="24"/>
  <c r="AP2" i="30"/>
  <c r="O2" i="30"/>
  <c r="S2855" i="30"/>
  <c r="P2855" i="30"/>
  <c r="L2855" i="30"/>
  <c r="S2854" i="30"/>
  <c r="P2854" i="30"/>
  <c r="L2854" i="30"/>
  <c r="S2850" i="30"/>
  <c r="P2850" i="30"/>
  <c r="L2850" i="30"/>
  <c r="U2850" i="30" s="1"/>
  <c r="S2849" i="30"/>
  <c r="P2849" i="30"/>
  <c r="L2849" i="30"/>
  <c r="S2844" i="30"/>
  <c r="P2844" i="30"/>
  <c r="L2844" i="30"/>
  <c r="U2844" i="30" s="1"/>
  <c r="S2843" i="30"/>
  <c r="P2843" i="30"/>
  <c r="L2843" i="30"/>
  <c r="U2843" i="30" s="1"/>
  <c r="L2839" i="30"/>
  <c r="U2839" i="30" s="1"/>
  <c r="AH2838" i="30"/>
  <c r="AE2838" i="30"/>
  <c r="AB2838" i="30"/>
  <c r="Y2838" i="30"/>
  <c r="V2838" i="30"/>
  <c r="S2838" i="30"/>
  <c r="P2838" i="30"/>
  <c r="M2838" i="30"/>
  <c r="L2838" i="30"/>
  <c r="AH2829" i="30"/>
  <c r="P2829" i="30"/>
  <c r="L2829" i="30"/>
  <c r="U2829" i="30" s="1"/>
  <c r="AH2828" i="30"/>
  <c r="P2828" i="30"/>
  <c r="L2828" i="30"/>
  <c r="U2828" i="30" s="1"/>
  <c r="AE2821" i="30"/>
  <c r="V2821" i="30"/>
  <c r="M2821" i="30"/>
  <c r="L2821" i="30"/>
  <c r="U2821" i="30" s="1"/>
  <c r="AE2820" i="30"/>
  <c r="V2820" i="30"/>
  <c r="M2820" i="30"/>
  <c r="L2820" i="30"/>
  <c r="U2820" i="30" s="1"/>
  <c r="AH2813" i="30"/>
  <c r="P2813" i="30"/>
  <c r="L2813" i="30"/>
  <c r="U2813" i="30" s="1"/>
  <c r="AH2812" i="30"/>
  <c r="P2812" i="30"/>
  <c r="L2812" i="30"/>
  <c r="U2812" i="30" s="1"/>
  <c r="AH2807" i="30"/>
  <c r="P2807" i="30"/>
  <c r="L2807" i="30"/>
  <c r="U2807" i="30" s="1"/>
  <c r="AH2806" i="30"/>
  <c r="P2806" i="30"/>
  <c r="L2806" i="30"/>
  <c r="U2806" i="30" s="1"/>
  <c r="AE2796" i="30"/>
  <c r="V2796" i="30"/>
  <c r="M2796" i="30"/>
  <c r="L2796" i="30"/>
  <c r="U2796" i="30" s="1"/>
  <c r="AE2795" i="30"/>
  <c r="V2795" i="30"/>
  <c r="M2795" i="30"/>
  <c r="L2795" i="30"/>
  <c r="U2795" i="30" s="1"/>
  <c r="AE2792" i="30"/>
  <c r="V2792" i="30"/>
  <c r="M2792" i="30"/>
  <c r="L2792" i="30"/>
  <c r="U2792" i="30" s="1"/>
  <c r="AE2791" i="30"/>
  <c r="V2791" i="30"/>
  <c r="M2791" i="30"/>
  <c r="L2791" i="30"/>
  <c r="U2791" i="30" s="1"/>
  <c r="AE2786" i="30"/>
  <c r="V2786" i="30"/>
  <c r="M2786" i="30"/>
  <c r="L2786" i="30"/>
  <c r="U2786" i="30" s="1"/>
  <c r="AE2785" i="30"/>
  <c r="V2785" i="30"/>
  <c r="M2785" i="30"/>
  <c r="L2785" i="30"/>
  <c r="U2785" i="30" s="1"/>
  <c r="AE2783" i="30"/>
  <c r="V2783" i="30"/>
  <c r="M2783" i="30"/>
  <c r="L2783" i="30"/>
  <c r="U2783" i="30" s="1"/>
  <c r="AE2782" i="30"/>
  <c r="V2782" i="30"/>
  <c r="M2782" i="30"/>
  <c r="L2782" i="30"/>
  <c r="U2782" i="30" s="1"/>
  <c r="V2772" i="30"/>
  <c r="L2772" i="30"/>
  <c r="U2772" i="30" s="1"/>
  <c r="V2771" i="30"/>
  <c r="L2771" i="30"/>
  <c r="U2771" i="30" s="1"/>
  <c r="L2768" i="30"/>
  <c r="U2768" i="30" s="1"/>
  <c r="V2760" i="30"/>
  <c r="L2760" i="30"/>
  <c r="U2760" i="30" s="1"/>
  <c r="V2759" i="30"/>
  <c r="L2759" i="30"/>
  <c r="U2759" i="30" s="1"/>
  <c r="V2755" i="30"/>
  <c r="L2755" i="30"/>
  <c r="U2755" i="30" s="1"/>
  <c r="V2754" i="30"/>
  <c r="L2754" i="30"/>
  <c r="U2754" i="30" s="1"/>
  <c r="V2749" i="30"/>
  <c r="L2749" i="30"/>
  <c r="U2749" i="30" s="1"/>
  <c r="V2748" i="30"/>
  <c r="L2748" i="30"/>
  <c r="U2748" i="30" s="1"/>
  <c r="S2744" i="30"/>
  <c r="L2744" i="30"/>
  <c r="U2744" i="30" s="1"/>
  <c r="S2743" i="30"/>
  <c r="L2743" i="30"/>
  <c r="AE2735" i="30"/>
  <c r="P2735" i="30"/>
  <c r="L2735" i="30"/>
  <c r="U2735" i="30" s="1"/>
  <c r="AE2734" i="30"/>
  <c r="P2734" i="30"/>
  <c r="L2734" i="30"/>
  <c r="U2734" i="30" s="1"/>
  <c r="AH2725" i="30"/>
  <c r="S2725" i="30"/>
  <c r="L2725" i="30"/>
  <c r="U2725" i="30" s="1"/>
  <c r="AH2724" i="30"/>
  <c r="S2724" i="30"/>
  <c r="L2724" i="30"/>
  <c r="U2724" i="30" s="1"/>
  <c r="L2721" i="30"/>
  <c r="U2721" i="30" s="1"/>
  <c r="M2711" i="30"/>
  <c r="L2711" i="30"/>
  <c r="U2711" i="30" s="1"/>
  <c r="M2710" i="30"/>
  <c r="L2710" i="30"/>
  <c r="U2710" i="30" s="1"/>
  <c r="L2542" i="30"/>
  <c r="U2542" i="30" s="1"/>
  <c r="P2541" i="30"/>
  <c r="L2541" i="30"/>
  <c r="U2541" i="30" s="1"/>
  <c r="L2538" i="30"/>
  <c r="U2538" i="30" s="1"/>
  <c r="S2535" i="30"/>
  <c r="L2535" i="30"/>
  <c r="U2535" i="30" s="1"/>
  <c r="S2533" i="30"/>
  <c r="L2533" i="30"/>
  <c r="U2533" i="30" s="1"/>
  <c r="S2526" i="30"/>
  <c r="L2526" i="30"/>
  <c r="U2526" i="30" s="1"/>
  <c r="S2525" i="30"/>
  <c r="L2525" i="30"/>
  <c r="S2523" i="30"/>
  <c r="L2523" i="30"/>
  <c r="U2523" i="30" s="1"/>
  <c r="S2522" i="30"/>
  <c r="L2522" i="30"/>
  <c r="U2522" i="30" s="1"/>
  <c r="S2519" i="30"/>
  <c r="L2519" i="30"/>
  <c r="U2519" i="30" s="1"/>
  <c r="S2518" i="30"/>
  <c r="L2518" i="30"/>
  <c r="S2516" i="30"/>
  <c r="L2516" i="30"/>
  <c r="U2516" i="30" s="1"/>
  <c r="S2515" i="30"/>
  <c r="L2515" i="30"/>
  <c r="U2515" i="30" s="1"/>
  <c r="S2511" i="30"/>
  <c r="L2511" i="30"/>
  <c r="U2511" i="30" s="1"/>
  <c r="S2510" i="30"/>
  <c r="L2510" i="30"/>
  <c r="L2507" i="30"/>
  <c r="U2507" i="30" s="1"/>
  <c r="S2498" i="30"/>
  <c r="L2498" i="30"/>
  <c r="S2497" i="30"/>
  <c r="L2497" i="30"/>
  <c r="S2494" i="30"/>
  <c r="L2494" i="30"/>
  <c r="U2494" i="30" s="1"/>
  <c r="S2493" i="30"/>
  <c r="L2493" i="30"/>
  <c r="U2493" i="30" s="1"/>
  <c r="S2490" i="30"/>
  <c r="L2490" i="30"/>
  <c r="S2489" i="30"/>
  <c r="L2489" i="30"/>
  <c r="S2484" i="30"/>
  <c r="L2484" i="30"/>
  <c r="U2484" i="30" s="1"/>
  <c r="S2483" i="30"/>
  <c r="L2483" i="30"/>
  <c r="U2483" i="30" s="1"/>
  <c r="M2478" i="30"/>
  <c r="L2478" i="30"/>
  <c r="U2478" i="30" s="1"/>
  <c r="L2475" i="30"/>
  <c r="U2475" i="30" s="1"/>
  <c r="AH2466" i="30"/>
  <c r="AE2466" i="30"/>
  <c r="AB2466" i="30"/>
  <c r="Y2466" i="30"/>
  <c r="V2466" i="30"/>
  <c r="S2466" i="30"/>
  <c r="P2466" i="30"/>
  <c r="M2466" i="30"/>
  <c r="L2466" i="30"/>
  <c r="AH2465" i="30"/>
  <c r="AE2465" i="30"/>
  <c r="AB2465" i="30"/>
  <c r="Y2465" i="30"/>
  <c r="V2465" i="30"/>
  <c r="S2465" i="30"/>
  <c r="P2465" i="30"/>
  <c r="M2465" i="30"/>
  <c r="L2465" i="30"/>
  <c r="U2465" i="30" s="1"/>
  <c r="AH2463" i="30"/>
  <c r="AE2463" i="30"/>
  <c r="AB2463" i="30"/>
  <c r="Y2463" i="30"/>
  <c r="V2463" i="30"/>
  <c r="S2463" i="30"/>
  <c r="P2463" i="30"/>
  <c r="M2463" i="30"/>
  <c r="L2463" i="30"/>
  <c r="U2463" i="30" s="1"/>
  <c r="AH2462" i="30"/>
  <c r="AE2462" i="30"/>
  <c r="AB2462" i="30"/>
  <c r="Y2462" i="30"/>
  <c r="V2462" i="30"/>
  <c r="S2462" i="30"/>
  <c r="P2462" i="30"/>
  <c r="M2462" i="30"/>
  <c r="L2462" i="30"/>
  <c r="U2462" i="30" s="1"/>
  <c r="AH2459" i="30"/>
  <c r="AE2459" i="30"/>
  <c r="AB2459" i="30"/>
  <c r="Y2459" i="30"/>
  <c r="V2459" i="30"/>
  <c r="S2459" i="30"/>
  <c r="P2459" i="30"/>
  <c r="M2459" i="30"/>
  <c r="L2459" i="30"/>
  <c r="U2459" i="30" s="1"/>
  <c r="AH2458" i="30"/>
  <c r="AE2458" i="30"/>
  <c r="AB2458" i="30"/>
  <c r="Y2458" i="30"/>
  <c r="V2458" i="30"/>
  <c r="S2458" i="30"/>
  <c r="P2458" i="30"/>
  <c r="M2458" i="30"/>
  <c r="L2458" i="30"/>
  <c r="U2458" i="30" s="1"/>
  <c r="AH2453" i="30"/>
  <c r="AE2453" i="30"/>
  <c r="AB2453" i="30"/>
  <c r="Y2453" i="30"/>
  <c r="V2453" i="30"/>
  <c r="S2453" i="30"/>
  <c r="P2453" i="30"/>
  <c r="M2453" i="30"/>
  <c r="L2453" i="30"/>
  <c r="U2453" i="30" s="1"/>
  <c r="AH2452" i="30"/>
  <c r="AE2452" i="30"/>
  <c r="AB2452" i="30"/>
  <c r="Y2452" i="30"/>
  <c r="V2452" i="30"/>
  <c r="S2452" i="30"/>
  <c r="P2452" i="30"/>
  <c r="M2452" i="30"/>
  <c r="L2452" i="30"/>
  <c r="M2447" i="30"/>
  <c r="L2447" i="30"/>
  <c r="U2447" i="30" s="1"/>
  <c r="M2446" i="30"/>
  <c r="L2446" i="30"/>
  <c r="U2446" i="30" s="1"/>
  <c r="L2443" i="30"/>
  <c r="U2443" i="30" s="1"/>
  <c r="AE2436" i="30"/>
  <c r="V2436" i="30"/>
  <c r="L2436" i="30"/>
  <c r="U2436" i="30" s="1"/>
  <c r="AE2435" i="30"/>
  <c r="V2435" i="30"/>
  <c r="L2435" i="30"/>
  <c r="U2435" i="30" s="1"/>
  <c r="AE2432" i="30"/>
  <c r="V2432" i="30"/>
  <c r="L2432" i="30"/>
  <c r="U2432" i="30" s="1"/>
  <c r="AE2431" i="30"/>
  <c r="V2431" i="30"/>
  <c r="L2431" i="30"/>
  <c r="U2431" i="30" s="1"/>
  <c r="AE2428" i="30"/>
  <c r="V2428" i="30"/>
  <c r="L2428" i="30"/>
  <c r="U2428" i="30" s="1"/>
  <c r="AE2427" i="30"/>
  <c r="V2427" i="30"/>
  <c r="L2427" i="30"/>
  <c r="U2427" i="30" s="1"/>
  <c r="AE2422" i="30"/>
  <c r="V2422" i="30"/>
  <c r="L2422" i="30"/>
  <c r="U2422" i="30" s="1"/>
  <c r="AE2421" i="30"/>
  <c r="V2421" i="30"/>
  <c r="L2421" i="30"/>
  <c r="U2421" i="30" s="1"/>
  <c r="AE2418" i="30"/>
  <c r="V2418" i="30"/>
  <c r="L2418" i="30"/>
  <c r="U2418" i="30" s="1"/>
  <c r="AE2417" i="30"/>
  <c r="V2417" i="30"/>
  <c r="L2417" i="30"/>
  <c r="U2417" i="30" s="1"/>
  <c r="AE2408" i="30"/>
  <c r="Y2408" i="30"/>
  <c r="P2408" i="30"/>
  <c r="L2408" i="30"/>
  <c r="U2408" i="30" s="1"/>
  <c r="AE2407" i="30"/>
  <c r="Y2407" i="30"/>
  <c r="P2407" i="30"/>
  <c r="L2407" i="30"/>
  <c r="U2407" i="30" s="1"/>
  <c r="AE2404" i="30"/>
  <c r="Y2404" i="30"/>
  <c r="P2404" i="30"/>
  <c r="L2404" i="30"/>
  <c r="U2404" i="30" s="1"/>
  <c r="AE2403" i="30"/>
  <c r="Y2403" i="30"/>
  <c r="P2403" i="30"/>
  <c r="L2403" i="30"/>
  <c r="U2403" i="30" s="1"/>
  <c r="AE2400" i="30"/>
  <c r="Y2400" i="30"/>
  <c r="P2400" i="30"/>
  <c r="L2400" i="30"/>
  <c r="U2400" i="30" s="1"/>
  <c r="AE2399" i="30"/>
  <c r="Y2399" i="30"/>
  <c r="P2399" i="30"/>
  <c r="L2399" i="30"/>
  <c r="U2399" i="30" s="1"/>
  <c r="AE2394" i="30"/>
  <c r="Y2394" i="30"/>
  <c r="P2394" i="30"/>
  <c r="L2394" i="30"/>
  <c r="U2394" i="30" s="1"/>
  <c r="AE2393" i="30"/>
  <c r="Y2393" i="30"/>
  <c r="P2393" i="30"/>
  <c r="L2393" i="30"/>
  <c r="U2393" i="30" s="1"/>
  <c r="AE2390" i="30"/>
  <c r="Y2390" i="30"/>
  <c r="P2390" i="30"/>
  <c r="L2390" i="30"/>
  <c r="U2390" i="30" s="1"/>
  <c r="AE2389" i="30"/>
  <c r="Y2389" i="30"/>
  <c r="P2389" i="30"/>
  <c r="L2389" i="30"/>
  <c r="U2389" i="30" s="1"/>
  <c r="L2385" i="30"/>
  <c r="U2385" i="30" s="1"/>
  <c r="L2384" i="30"/>
  <c r="U2384" i="30" s="1"/>
  <c r="AE2383" i="30"/>
  <c r="M2383" i="30"/>
  <c r="L2383" i="30"/>
  <c r="U2383" i="30" s="1"/>
  <c r="AE2382" i="30"/>
  <c r="M2382" i="30"/>
  <c r="L2382" i="30"/>
  <c r="U2382" i="30" s="1"/>
  <c r="L2379" i="30"/>
  <c r="U2379" i="30" s="1"/>
  <c r="L2376" i="30"/>
  <c r="U2376" i="30" s="1"/>
  <c r="L2375" i="30"/>
  <c r="U2375" i="30" s="1"/>
  <c r="L2374" i="30"/>
  <c r="U2374" i="30" s="1"/>
  <c r="L2368" i="30"/>
  <c r="U2368" i="30" s="1"/>
  <c r="L2367" i="30"/>
  <c r="U2367" i="30" s="1"/>
  <c r="AB2358" i="30"/>
  <c r="Y2358" i="30"/>
  <c r="V2358" i="30"/>
  <c r="L2358" i="30"/>
  <c r="U2358" i="30" s="1"/>
  <c r="AB2357" i="30"/>
  <c r="Y2357" i="30"/>
  <c r="V2357" i="30"/>
  <c r="L2357" i="30"/>
  <c r="U2357" i="30" s="1"/>
  <c r="L2354" i="30"/>
  <c r="U2354" i="30" s="1"/>
  <c r="S2350" i="30"/>
  <c r="L2350" i="30"/>
  <c r="S2349" i="30"/>
  <c r="L2349" i="30"/>
  <c r="U2349" i="30" s="1"/>
  <c r="S2346" i="30"/>
  <c r="L2346" i="30"/>
  <c r="U2346" i="30" s="1"/>
  <c r="S2345" i="30"/>
  <c r="L2345" i="30"/>
  <c r="U2345" i="30" s="1"/>
  <c r="L2342" i="30"/>
  <c r="U2342" i="30" s="1"/>
  <c r="S2332" i="30"/>
  <c r="L2332" i="30"/>
  <c r="U2332" i="30" s="1"/>
  <c r="S2331" i="30"/>
  <c r="L2331" i="30"/>
  <c r="L2328" i="30"/>
  <c r="U2328" i="30" s="1"/>
  <c r="L2321" i="30"/>
  <c r="U2321" i="30" s="1"/>
  <c r="P2320" i="30"/>
  <c r="L2320" i="30"/>
  <c r="U2320" i="30" s="1"/>
  <c r="L2316" i="30"/>
  <c r="U2316" i="30" s="1"/>
  <c r="L2310" i="30"/>
  <c r="U2310" i="30" s="1"/>
  <c r="S2309" i="30"/>
  <c r="L2309" i="30"/>
  <c r="S2305" i="30"/>
  <c r="L2305" i="30"/>
  <c r="S2304" i="30"/>
  <c r="L2304" i="30"/>
  <c r="U2304" i="30" s="1"/>
  <c r="L2302" i="30"/>
  <c r="U2302" i="30" s="1"/>
  <c r="S2298" i="30"/>
  <c r="L2298" i="30"/>
  <c r="U2298" i="30" s="1"/>
  <c r="S2297" i="30"/>
  <c r="L2297" i="30"/>
  <c r="U2297" i="30" s="1"/>
  <c r="L2294" i="30"/>
  <c r="U2294" i="30" s="1"/>
  <c r="L2293" i="30"/>
  <c r="U2293" i="30" s="1"/>
  <c r="L2292" i="30"/>
  <c r="U2292" i="30" s="1"/>
  <c r="L2291" i="30"/>
  <c r="U2291" i="30" s="1"/>
  <c r="L2288" i="30"/>
  <c r="U2288" i="30" s="1"/>
  <c r="L2287" i="30"/>
  <c r="U2287" i="30" s="1"/>
  <c r="AH2286" i="30"/>
  <c r="AE2286" i="30"/>
  <c r="AB2286" i="30"/>
  <c r="Y2286" i="30"/>
  <c r="V2286" i="30"/>
  <c r="S2286" i="30"/>
  <c r="P2286" i="30"/>
  <c r="M2286" i="30"/>
  <c r="L2286" i="30"/>
  <c r="U2286" i="30" s="1"/>
  <c r="AH2285" i="30"/>
  <c r="AE2285" i="30"/>
  <c r="AB2285" i="30"/>
  <c r="Y2285" i="30"/>
  <c r="V2285" i="30"/>
  <c r="S2285" i="30"/>
  <c r="P2285" i="30"/>
  <c r="M2285" i="30"/>
  <c r="L2285" i="30"/>
  <c r="AH2282" i="30"/>
  <c r="AE2282" i="30"/>
  <c r="AB2282" i="30"/>
  <c r="Y2282" i="30"/>
  <c r="V2282" i="30"/>
  <c r="S2282" i="30"/>
  <c r="P2282" i="30"/>
  <c r="M2282" i="30"/>
  <c r="L2282" i="30"/>
  <c r="AH2281" i="30"/>
  <c r="AE2281" i="30"/>
  <c r="AB2281" i="30"/>
  <c r="Y2281" i="30"/>
  <c r="V2281" i="30"/>
  <c r="S2281" i="30"/>
  <c r="P2281" i="30"/>
  <c r="M2281" i="30"/>
  <c r="L2281" i="30"/>
  <c r="AB2278" i="30"/>
  <c r="M2278" i="30"/>
  <c r="L2278" i="30"/>
  <c r="U2278" i="30" s="1"/>
  <c r="AB2277" i="30"/>
  <c r="M2277" i="30"/>
  <c r="L2277" i="30"/>
  <c r="U2277" i="30" s="1"/>
  <c r="AB2272" i="30"/>
  <c r="M2272" i="30"/>
  <c r="L2272" i="30"/>
  <c r="U2272" i="30" s="1"/>
  <c r="AB2271" i="30"/>
  <c r="M2271" i="30"/>
  <c r="L2271" i="30"/>
  <c r="U2271" i="30" s="1"/>
  <c r="AB2268" i="30"/>
  <c r="M2268" i="30"/>
  <c r="L2268" i="30"/>
  <c r="U2268" i="30" s="1"/>
  <c r="AB2267" i="30"/>
  <c r="M2267" i="30"/>
  <c r="L2267" i="30"/>
  <c r="U2267" i="30" s="1"/>
  <c r="AB2264" i="30"/>
  <c r="M2264" i="30"/>
  <c r="L2264" i="30"/>
  <c r="U2264" i="30" s="1"/>
  <c r="AB2263" i="30"/>
  <c r="M2263" i="30"/>
  <c r="L2263" i="30"/>
  <c r="U2263" i="30" s="1"/>
  <c r="AB2258" i="30"/>
  <c r="M2258" i="30"/>
  <c r="L2258" i="30"/>
  <c r="U2258" i="30" s="1"/>
  <c r="AB2257" i="30"/>
  <c r="M2257" i="30"/>
  <c r="L2257" i="30"/>
  <c r="U2257" i="30" s="1"/>
  <c r="AB2254" i="30"/>
  <c r="M2254" i="30"/>
  <c r="L2254" i="30"/>
  <c r="U2254" i="30" s="1"/>
  <c r="AB2253" i="30"/>
  <c r="M2253" i="30"/>
  <c r="L2253" i="30"/>
  <c r="U2253" i="30" s="1"/>
  <c r="AB2251" i="30"/>
  <c r="M2251" i="30"/>
  <c r="L2251" i="30"/>
  <c r="U2251" i="30" s="1"/>
  <c r="AB2250" i="30"/>
  <c r="M2250" i="30"/>
  <c r="L2250" i="30"/>
  <c r="U2250" i="30" s="1"/>
  <c r="L2246" i="30"/>
  <c r="U2246" i="30" s="1"/>
  <c r="P1291" i="30"/>
  <c r="L1291" i="30"/>
  <c r="U1291" i="30" s="1"/>
  <c r="P1290" i="30"/>
  <c r="L1290" i="30"/>
  <c r="U1290" i="30" s="1"/>
  <c r="L1286" i="30"/>
  <c r="U1286" i="30" s="1"/>
  <c r="L1283" i="30"/>
  <c r="U1283" i="30" s="1"/>
  <c r="AE2225" i="30"/>
  <c r="P2225" i="30"/>
  <c r="L2225" i="30"/>
  <c r="U2225" i="30" s="1"/>
  <c r="AE2224" i="30"/>
  <c r="P2224" i="30"/>
  <c r="L2224" i="30"/>
  <c r="U2224" i="30" s="1"/>
  <c r="L2221" i="30"/>
  <c r="U2221" i="30" s="1"/>
  <c r="AE2217" i="30"/>
  <c r="P2217" i="30"/>
  <c r="L2217" i="30"/>
  <c r="U2217" i="30" s="1"/>
  <c r="AE2214" i="30"/>
  <c r="P2214" i="30"/>
  <c r="L2214" i="30"/>
  <c r="U2214" i="30" s="1"/>
  <c r="AE2213" i="30"/>
  <c r="P2213" i="30"/>
  <c r="L2213" i="30"/>
  <c r="U2213" i="30" s="1"/>
  <c r="L2210" i="30"/>
  <c r="U2210" i="30" s="1"/>
  <c r="AE2208" i="30"/>
  <c r="P2208" i="30"/>
  <c r="L2208" i="30"/>
  <c r="U2208" i="30" s="1"/>
  <c r="AE2207" i="30"/>
  <c r="P2207" i="30"/>
  <c r="L2207" i="30"/>
  <c r="U2207" i="30" s="1"/>
  <c r="AE2202" i="30"/>
  <c r="P2202" i="30"/>
  <c r="L2202" i="30"/>
  <c r="U2202" i="30" s="1"/>
  <c r="AE2201" i="30"/>
  <c r="P2201" i="30"/>
  <c r="L2201" i="30"/>
  <c r="U2201" i="30" s="1"/>
  <c r="AE2198" i="30"/>
  <c r="P2198" i="30"/>
  <c r="L2198" i="30"/>
  <c r="U2198" i="30" s="1"/>
  <c r="AE2197" i="30"/>
  <c r="P2197" i="30"/>
  <c r="L2197" i="30"/>
  <c r="U2197" i="30" s="1"/>
  <c r="AF2195" i="30"/>
  <c r="AG2195" i="30" s="1"/>
  <c r="Q2195" i="30"/>
  <c r="R2195" i="30" s="1"/>
  <c r="L2184" i="30"/>
  <c r="U2184" i="30" s="1"/>
  <c r="AH2181" i="30"/>
  <c r="AE2181" i="30"/>
  <c r="AB2181" i="30"/>
  <c r="Y2181" i="30"/>
  <c r="V2181" i="30"/>
  <c r="S2181" i="30"/>
  <c r="P2181" i="30"/>
  <c r="M2181" i="30"/>
  <c r="L2181" i="30"/>
  <c r="AH2179" i="30"/>
  <c r="AE2179" i="30"/>
  <c r="AB2179" i="30"/>
  <c r="Y2179" i="30"/>
  <c r="V2179" i="30"/>
  <c r="S2179" i="30"/>
  <c r="P2179" i="30"/>
  <c r="M2179" i="30"/>
  <c r="L2179" i="30"/>
  <c r="U2179" i="30" s="1"/>
  <c r="AH2175" i="30"/>
  <c r="AE2175" i="30"/>
  <c r="AB2175" i="30"/>
  <c r="Y2175" i="30"/>
  <c r="V2175" i="30"/>
  <c r="S2175" i="30"/>
  <c r="P2175" i="30"/>
  <c r="M2175" i="30"/>
  <c r="L2175" i="30"/>
  <c r="U2175" i="30" s="1"/>
  <c r="AH2174" i="30"/>
  <c r="AE2174" i="30"/>
  <c r="AB2174" i="30"/>
  <c r="Y2174" i="30"/>
  <c r="V2174" i="30"/>
  <c r="S2174" i="30"/>
  <c r="P2174" i="30"/>
  <c r="M2174" i="30"/>
  <c r="L2174" i="30"/>
  <c r="U2174" i="30" s="1"/>
  <c r="AH2168" i="30"/>
  <c r="AE2168" i="30"/>
  <c r="AB2168" i="30"/>
  <c r="Y2168" i="30"/>
  <c r="V2168" i="30"/>
  <c r="S2168" i="30"/>
  <c r="P2168" i="30"/>
  <c r="M2168" i="30"/>
  <c r="L2168" i="30"/>
  <c r="U2168" i="30" s="1"/>
  <c r="AH2167" i="30"/>
  <c r="AE2167" i="30"/>
  <c r="AB2167" i="30"/>
  <c r="Y2167" i="30"/>
  <c r="V2167" i="30"/>
  <c r="S2167" i="30"/>
  <c r="P2167" i="30"/>
  <c r="M2167" i="30"/>
  <c r="L2167" i="30"/>
  <c r="U2167" i="30" s="1"/>
  <c r="AH2160" i="30"/>
  <c r="AB2160" i="30"/>
  <c r="V2160" i="30"/>
  <c r="P2160" i="30"/>
  <c r="L2160" i="30"/>
  <c r="U2160" i="30" s="1"/>
  <c r="AH2159" i="30"/>
  <c r="AB2159" i="30"/>
  <c r="V2159" i="30"/>
  <c r="P2159" i="30"/>
  <c r="L2159" i="30"/>
  <c r="U2159" i="30" s="1"/>
  <c r="L2156" i="30"/>
  <c r="U2156" i="30" s="1"/>
  <c r="AH2152" i="30"/>
  <c r="AE2152" i="30"/>
  <c r="AB2152" i="30"/>
  <c r="Y2152" i="30"/>
  <c r="V2152" i="30"/>
  <c r="S2152" i="30"/>
  <c r="P2152" i="30"/>
  <c r="L2152" i="30"/>
  <c r="AH2151" i="30"/>
  <c r="AE2151" i="30"/>
  <c r="AB2151" i="30"/>
  <c r="Y2151" i="30"/>
  <c r="V2151" i="30"/>
  <c r="S2151" i="30"/>
  <c r="P2151" i="30"/>
  <c r="L2151" i="30"/>
  <c r="L2146" i="30"/>
  <c r="U2146" i="30" s="1"/>
  <c r="AB2142" i="30"/>
  <c r="Y2142" i="30"/>
  <c r="V2142" i="30"/>
  <c r="S2142" i="30"/>
  <c r="P2142" i="30"/>
  <c r="L2142" i="30"/>
  <c r="AB2141" i="30"/>
  <c r="Y2141" i="30"/>
  <c r="V2141" i="30"/>
  <c r="S2141" i="30"/>
  <c r="P2141" i="30"/>
  <c r="L2141" i="30"/>
  <c r="AB2138" i="30"/>
  <c r="Y2138" i="30"/>
  <c r="V2138" i="30"/>
  <c r="S2138" i="30"/>
  <c r="P2138" i="30"/>
  <c r="L2138" i="30"/>
  <c r="U2138" i="30" s="1"/>
  <c r="AB2134" i="30"/>
  <c r="Y2134" i="30"/>
  <c r="V2134" i="30"/>
  <c r="S2134" i="30"/>
  <c r="P2134" i="30"/>
  <c r="L2134" i="30"/>
  <c r="U2134" i="30" s="1"/>
  <c r="AB2133" i="30"/>
  <c r="Y2133" i="30"/>
  <c r="V2133" i="30"/>
  <c r="S2133" i="30"/>
  <c r="P2133" i="30"/>
  <c r="L2133" i="30"/>
  <c r="AB2130" i="30"/>
  <c r="Y2130" i="30"/>
  <c r="V2130" i="30"/>
  <c r="S2130" i="30"/>
  <c r="P2130" i="30"/>
  <c r="L2130" i="30"/>
  <c r="AB2129" i="30"/>
  <c r="Y2129" i="30"/>
  <c r="V2129" i="30"/>
  <c r="S2129" i="30"/>
  <c r="P2129" i="30"/>
  <c r="L2129" i="30"/>
  <c r="U2129" i="30" s="1"/>
  <c r="L2126" i="30"/>
  <c r="U2126" i="30" s="1"/>
  <c r="L2122" i="30"/>
  <c r="U2122" i="30" s="1"/>
  <c r="S2120" i="30"/>
  <c r="L2120" i="30"/>
  <c r="S2119" i="30"/>
  <c r="L2119" i="30"/>
  <c r="U2119" i="30" s="1"/>
  <c r="S2115" i="30"/>
  <c r="L2115" i="30"/>
  <c r="U2115" i="30" s="1"/>
  <c r="S2114" i="30"/>
  <c r="L2114" i="30"/>
  <c r="S2111" i="30"/>
  <c r="L2111" i="30"/>
  <c r="S2110" i="30"/>
  <c r="L2110" i="30"/>
  <c r="U2110" i="30" s="1"/>
  <c r="S2107" i="30"/>
  <c r="L2107" i="30"/>
  <c r="U2107" i="30" s="1"/>
  <c r="S2106" i="30"/>
  <c r="L2106" i="30"/>
  <c r="S2102" i="30"/>
  <c r="L2102" i="30"/>
  <c r="S2101" i="30"/>
  <c r="L2101" i="30"/>
  <c r="U2101" i="30" s="1"/>
  <c r="S2099" i="30"/>
  <c r="L2099" i="30"/>
  <c r="U2099" i="30" s="1"/>
  <c r="S2098" i="30"/>
  <c r="L2098" i="30"/>
  <c r="L2094" i="30"/>
  <c r="U2094" i="30" s="1"/>
  <c r="S2091" i="30"/>
  <c r="L2091" i="30"/>
  <c r="U2091" i="30" s="1"/>
  <c r="S2090" i="30"/>
  <c r="L2090" i="30"/>
  <c r="L2087" i="30"/>
  <c r="U2087" i="30" s="1"/>
  <c r="S2083" i="30"/>
  <c r="L2083" i="30"/>
  <c r="S2082" i="30"/>
  <c r="L2082" i="30"/>
  <c r="S2075" i="30"/>
  <c r="L2075" i="30"/>
  <c r="U2075" i="30" s="1"/>
  <c r="S2074" i="30"/>
  <c r="L2074" i="30"/>
  <c r="U2074" i="30" s="1"/>
  <c r="S2071" i="30"/>
  <c r="L2071" i="30"/>
  <c r="S2070" i="30"/>
  <c r="L2070" i="30"/>
  <c r="L2067" i="30"/>
  <c r="U2067" i="30" s="1"/>
  <c r="P2063" i="30"/>
  <c r="L2063" i="30"/>
  <c r="U2063" i="30" s="1"/>
  <c r="P2061" i="30"/>
  <c r="L2061" i="30"/>
  <c r="U2061" i="30" s="1"/>
  <c r="P2060" i="30"/>
  <c r="L2060" i="30"/>
  <c r="U2060" i="30" s="1"/>
  <c r="P2057" i="30"/>
  <c r="L2057" i="30"/>
  <c r="U2057" i="30" s="1"/>
  <c r="P2056" i="30"/>
  <c r="L2056" i="30"/>
  <c r="U2056" i="30" s="1"/>
  <c r="P2055" i="30"/>
  <c r="R2055" i="30" s="1"/>
  <c r="AK2055" i="30" s="1"/>
  <c r="AL2055" i="30" s="1"/>
  <c r="P2054" i="30"/>
  <c r="R2054" i="30" s="1"/>
  <c r="AK2054" i="30" s="1"/>
  <c r="AL2054" i="30" s="1"/>
  <c r="P2051" i="30"/>
  <c r="L2051" i="30"/>
  <c r="U2051" i="30" s="1"/>
  <c r="P2050" i="30"/>
  <c r="L2050" i="30"/>
  <c r="U2050" i="30" s="1"/>
  <c r="P2047" i="30"/>
  <c r="L2047" i="30"/>
  <c r="U2047" i="30" s="1"/>
  <c r="P2045" i="30"/>
  <c r="L2045" i="30"/>
  <c r="U2045" i="30" s="1"/>
  <c r="Q2044" i="30"/>
  <c r="R2044" i="30" s="1"/>
  <c r="L2043" i="30"/>
  <c r="U2043" i="30" s="1"/>
  <c r="AH2038" i="30"/>
  <c r="AE2038" i="30"/>
  <c r="AB2038" i="30"/>
  <c r="Y2038" i="30"/>
  <c r="V2038" i="30"/>
  <c r="S2038" i="30"/>
  <c r="P2038" i="30"/>
  <c r="M2038" i="30"/>
  <c r="L2038" i="30"/>
  <c r="AH2037" i="30"/>
  <c r="AE2037" i="30"/>
  <c r="AB2037" i="30"/>
  <c r="Y2037" i="30"/>
  <c r="V2037" i="30"/>
  <c r="S2037" i="30"/>
  <c r="P2037" i="30"/>
  <c r="M2037" i="30"/>
  <c r="L2037" i="30"/>
  <c r="U2037" i="30" s="1"/>
  <c r="AH2034" i="30"/>
  <c r="P2034" i="30"/>
  <c r="M2034" i="30"/>
  <c r="L2034" i="30"/>
  <c r="U2034" i="30" s="1"/>
  <c r="AH2032" i="30"/>
  <c r="P2032" i="30"/>
  <c r="M2032" i="30"/>
  <c r="L2032" i="30"/>
  <c r="U2032" i="30" s="1"/>
  <c r="AH2030" i="30"/>
  <c r="P2030" i="30"/>
  <c r="M2030" i="30"/>
  <c r="L2030" i="30"/>
  <c r="U2030" i="30" s="1"/>
  <c r="AH2029" i="30"/>
  <c r="P2029" i="30"/>
  <c r="M2029" i="30"/>
  <c r="L2029" i="30"/>
  <c r="U2029" i="30" s="1"/>
  <c r="AH2026" i="30"/>
  <c r="P2026" i="30"/>
  <c r="M2026" i="30"/>
  <c r="L2026" i="30"/>
  <c r="U2026" i="30" s="1"/>
  <c r="AH2025" i="30"/>
  <c r="P2025" i="30"/>
  <c r="M2025" i="30"/>
  <c r="L2025" i="30"/>
  <c r="U2025" i="30" s="1"/>
  <c r="AH2021" i="30"/>
  <c r="P2021" i="30"/>
  <c r="M2021" i="30"/>
  <c r="L2021" i="30"/>
  <c r="U2021" i="30" s="1"/>
  <c r="AH2020" i="30"/>
  <c r="P2020" i="30"/>
  <c r="M2020" i="30"/>
  <c r="L2020" i="30"/>
  <c r="U2020" i="30" s="1"/>
  <c r="L2016" i="30"/>
  <c r="U2016" i="30" s="1"/>
  <c r="AH2015" i="30"/>
  <c r="P2015" i="30"/>
  <c r="M2015" i="30"/>
  <c r="L2015" i="30"/>
  <c r="U2015" i="30" s="1"/>
  <c r="L2012" i="30"/>
  <c r="U2012" i="30" s="1"/>
  <c r="AH2011" i="30"/>
  <c r="P2011" i="30"/>
  <c r="M2011" i="30"/>
  <c r="L2011" i="30"/>
  <c r="U2011" i="30" s="1"/>
  <c r="L2008" i="30"/>
  <c r="U2008" i="30" s="1"/>
  <c r="AH2007" i="30"/>
  <c r="P2007" i="30"/>
  <c r="M2007" i="30"/>
  <c r="L2007" i="30"/>
  <c r="U2007" i="30" s="1"/>
  <c r="AH2002" i="30"/>
  <c r="P2002" i="30"/>
  <c r="M2002" i="30"/>
  <c r="L2002" i="30"/>
  <c r="U2002" i="30" s="1"/>
  <c r="AH2001" i="30"/>
  <c r="P2001" i="30"/>
  <c r="M2001" i="30"/>
  <c r="L2001" i="30"/>
  <c r="U2001" i="30" s="1"/>
  <c r="L1997" i="30"/>
  <c r="U1997" i="30" s="1"/>
  <c r="AH1996" i="30"/>
  <c r="P1996" i="30"/>
  <c r="M1996" i="30"/>
  <c r="L1996" i="30"/>
  <c r="U1996" i="30" s="1"/>
  <c r="L1991" i="30"/>
  <c r="U1991" i="30" s="1"/>
  <c r="AH1990" i="30"/>
  <c r="P1990" i="30"/>
  <c r="M1990" i="30"/>
  <c r="L1990" i="30"/>
  <c r="U1990" i="30" s="1"/>
  <c r="AH1987" i="30"/>
  <c r="P1987" i="30"/>
  <c r="M1987" i="30"/>
  <c r="L1987" i="30"/>
  <c r="U1987" i="30" s="1"/>
  <c r="AH1986" i="30"/>
  <c r="P1986" i="30"/>
  <c r="M1986" i="30"/>
  <c r="L1986" i="30"/>
  <c r="U1986" i="30" s="1"/>
  <c r="L1983" i="30"/>
  <c r="U1983" i="30" s="1"/>
  <c r="AH1982" i="30"/>
  <c r="P1982" i="30"/>
  <c r="M1982" i="30"/>
  <c r="L1982" i="30"/>
  <c r="U1982" i="30" s="1"/>
  <c r="L1979" i="30"/>
  <c r="U1979" i="30" s="1"/>
  <c r="L1977" i="30"/>
  <c r="U1977" i="30" s="1"/>
  <c r="AH1975" i="30"/>
  <c r="P1975" i="30"/>
  <c r="M1975" i="30"/>
  <c r="L1975" i="30"/>
  <c r="U1975" i="30" s="1"/>
  <c r="AH1974" i="30"/>
  <c r="P1974" i="30"/>
  <c r="M1974" i="30"/>
  <c r="L1974" i="30"/>
  <c r="U1974" i="30" s="1"/>
  <c r="L1968" i="30"/>
  <c r="U1968" i="30" s="1"/>
  <c r="M1967" i="30"/>
  <c r="L1967" i="30"/>
  <c r="U1967" i="30" s="1"/>
  <c r="L1963" i="30"/>
  <c r="U1963" i="30" s="1"/>
  <c r="M1962" i="30"/>
  <c r="L1962" i="30"/>
  <c r="U1962" i="30" s="1"/>
  <c r="M1957" i="30"/>
  <c r="L1957" i="30"/>
  <c r="U1957" i="30" s="1"/>
  <c r="M1956" i="30"/>
  <c r="L1956" i="30"/>
  <c r="U1956" i="30" s="1"/>
  <c r="M1953" i="30"/>
  <c r="L1953" i="30"/>
  <c r="U1953" i="30" s="1"/>
  <c r="M1952" i="30"/>
  <c r="L1952" i="30"/>
  <c r="U1952" i="30" s="1"/>
  <c r="M1949" i="30"/>
  <c r="L1949" i="30"/>
  <c r="U1949" i="30" s="1"/>
  <c r="M1948" i="30"/>
  <c r="L1948" i="30"/>
  <c r="U1948" i="30" s="1"/>
  <c r="M1945" i="30"/>
  <c r="L1945" i="30"/>
  <c r="U1945" i="30" s="1"/>
  <c r="M1944" i="30"/>
  <c r="L1944" i="30"/>
  <c r="U1944" i="30" s="1"/>
  <c r="M1939" i="30"/>
  <c r="L1939" i="30"/>
  <c r="U1939" i="30" s="1"/>
  <c r="M1938" i="30"/>
  <c r="L1938" i="30"/>
  <c r="U1938" i="30" s="1"/>
  <c r="M1928" i="30"/>
  <c r="L1928" i="30"/>
  <c r="U1928" i="30" s="1"/>
  <c r="M1927" i="30"/>
  <c r="L1927" i="30"/>
  <c r="U1927" i="30" s="1"/>
  <c r="L1924" i="30"/>
  <c r="U1924" i="30" s="1"/>
  <c r="M1920" i="30"/>
  <c r="L1920" i="30"/>
  <c r="U1920" i="30" s="1"/>
  <c r="M1919" i="30"/>
  <c r="L1919" i="30"/>
  <c r="U1919" i="30" s="1"/>
  <c r="M1916" i="30"/>
  <c r="L1916" i="30"/>
  <c r="U1916" i="30" s="1"/>
  <c r="N1915" i="30"/>
  <c r="M1915" i="30"/>
  <c r="L1915" i="30"/>
  <c r="U1915" i="30" s="1"/>
  <c r="N1914" i="30"/>
  <c r="O1914" i="30" s="1"/>
  <c r="AK1914" i="30" s="1"/>
  <c r="AL1914" i="30" s="1"/>
  <c r="M1913" i="30"/>
  <c r="L1913" i="30"/>
  <c r="U1913" i="30" s="1"/>
  <c r="N1912" i="30"/>
  <c r="M1912" i="30"/>
  <c r="L1912" i="30"/>
  <c r="U1912" i="30" s="1"/>
  <c r="N1911" i="30"/>
  <c r="O1911" i="30" s="1"/>
  <c r="L1910" i="30"/>
  <c r="U1910" i="30" s="1"/>
  <c r="N1909" i="30"/>
  <c r="M1909" i="30"/>
  <c r="L1909" i="30"/>
  <c r="U1909" i="30" s="1"/>
  <c r="N1908" i="30"/>
  <c r="O1908" i="30" s="1"/>
  <c r="AK1908" i="30" s="1"/>
  <c r="AL1908" i="30" s="1"/>
  <c r="L1907" i="30"/>
  <c r="U1907" i="30" s="1"/>
  <c r="M1906" i="30"/>
  <c r="L1906" i="30"/>
  <c r="U1906" i="30" s="1"/>
  <c r="M1903" i="30"/>
  <c r="L1903" i="30"/>
  <c r="U1903" i="30" s="1"/>
  <c r="N1902" i="30"/>
  <c r="O1902" i="30" s="1"/>
  <c r="N1901" i="30"/>
  <c r="M1901" i="30"/>
  <c r="L1901" i="30"/>
  <c r="U1901" i="30" s="1"/>
  <c r="N1900" i="30"/>
  <c r="O1900" i="30" s="1"/>
  <c r="M1899" i="30"/>
  <c r="L1899" i="30"/>
  <c r="U1899" i="30" s="1"/>
  <c r="N1898" i="30"/>
  <c r="M1898" i="30"/>
  <c r="L1898" i="30"/>
  <c r="U1898" i="30" s="1"/>
  <c r="N1897" i="30"/>
  <c r="O1897" i="30" s="1"/>
  <c r="AK1897" i="30" s="1"/>
  <c r="AL1897" i="30" s="1"/>
  <c r="N1896" i="30"/>
  <c r="O1896" i="30" s="1"/>
  <c r="AB1894" i="30"/>
  <c r="P1894" i="30"/>
  <c r="M1894" i="30"/>
  <c r="L1894" i="30"/>
  <c r="U1894" i="30" s="1"/>
  <c r="AB1892" i="30"/>
  <c r="P1892" i="30"/>
  <c r="M1892" i="30"/>
  <c r="L1892" i="30"/>
  <c r="U1892" i="30" s="1"/>
  <c r="AB1886" i="30"/>
  <c r="P1886" i="30"/>
  <c r="M1886" i="30"/>
  <c r="L1886" i="30"/>
  <c r="U1886" i="30" s="1"/>
  <c r="AC1885" i="30"/>
  <c r="AB1885" i="30"/>
  <c r="P1885" i="30"/>
  <c r="N1885" i="30"/>
  <c r="M1885" i="30"/>
  <c r="L1885" i="30"/>
  <c r="U1885" i="30" s="1"/>
  <c r="AB1882" i="30"/>
  <c r="P1882" i="30"/>
  <c r="M1882" i="30"/>
  <c r="L1882" i="30"/>
  <c r="U1882" i="30" s="1"/>
  <c r="AC1881" i="30"/>
  <c r="AB1881" i="30"/>
  <c r="Q1881" i="30"/>
  <c r="P1881" i="30"/>
  <c r="N1881" i="30"/>
  <c r="M1881" i="30"/>
  <c r="L1881" i="30"/>
  <c r="U1881" i="30" s="1"/>
  <c r="AC1880" i="30"/>
  <c r="AD1880" i="30" s="1"/>
  <c r="Q1880" i="30"/>
  <c r="R1880" i="30" s="1"/>
  <c r="N1880" i="30"/>
  <c r="O1880" i="30" s="1"/>
  <c r="L1879" i="30"/>
  <c r="U1879" i="30" s="1"/>
  <c r="L1878" i="30"/>
  <c r="U1878" i="30" s="1"/>
  <c r="L1872" i="30"/>
  <c r="U1872" i="30" s="1"/>
  <c r="AB1871" i="30"/>
  <c r="P1871" i="30"/>
  <c r="M1871" i="30"/>
  <c r="L1871" i="30"/>
  <c r="U1871" i="30" s="1"/>
  <c r="AB1868" i="30"/>
  <c r="P1868" i="30"/>
  <c r="M1868" i="30"/>
  <c r="L1868" i="30"/>
  <c r="U1868" i="30" s="1"/>
  <c r="AB1867" i="30"/>
  <c r="P1867" i="30"/>
  <c r="M1867" i="30"/>
  <c r="L1867" i="30"/>
  <c r="U1867" i="30" s="1"/>
  <c r="L1864" i="30"/>
  <c r="U1864" i="30" s="1"/>
  <c r="AB1863" i="30"/>
  <c r="P1863" i="30"/>
  <c r="L1863" i="30"/>
  <c r="U1863" i="30" s="1"/>
  <c r="AB1860" i="30"/>
  <c r="P1860" i="30"/>
  <c r="L1860" i="30"/>
  <c r="U1860" i="30" s="1"/>
  <c r="AB1859" i="30"/>
  <c r="P1859" i="30"/>
  <c r="L1859" i="30"/>
  <c r="U1859" i="30" s="1"/>
  <c r="L1856" i="30"/>
  <c r="U1856" i="30" s="1"/>
  <c r="AB1855" i="30"/>
  <c r="P1855" i="30"/>
  <c r="L1855" i="30"/>
  <c r="U1855" i="30" s="1"/>
  <c r="L1852" i="30"/>
  <c r="U1852" i="30" s="1"/>
  <c r="P1848" i="30"/>
  <c r="L1848" i="30"/>
  <c r="U1848" i="30" s="1"/>
  <c r="Q1847" i="30"/>
  <c r="P1847" i="30"/>
  <c r="L1847" i="30"/>
  <c r="U1847" i="30" s="1"/>
  <c r="Q1846" i="30"/>
  <c r="R1846" i="30" s="1"/>
  <c r="AK1846" i="30" s="1"/>
  <c r="AL1846" i="30" s="1"/>
  <c r="Q1845" i="30"/>
  <c r="R1845" i="30" s="1"/>
  <c r="P1844" i="30"/>
  <c r="M1844" i="30"/>
  <c r="L1844" i="30"/>
  <c r="U1844" i="30" s="1"/>
  <c r="P1843" i="30"/>
  <c r="M1843" i="30"/>
  <c r="L1843" i="30"/>
  <c r="U1843" i="30" s="1"/>
  <c r="L1838" i="30"/>
  <c r="U1838" i="30" s="1"/>
  <c r="L1837" i="30"/>
  <c r="U1837" i="30" s="1"/>
  <c r="S1834" i="30"/>
  <c r="L1834" i="30"/>
  <c r="U1834" i="30" s="1"/>
  <c r="T1833" i="30"/>
  <c r="S1833" i="30"/>
  <c r="L1833" i="30"/>
  <c r="T1832" i="30"/>
  <c r="T1831" i="30"/>
  <c r="L1828" i="30"/>
  <c r="U1828" i="30" s="1"/>
  <c r="AE1827" i="30"/>
  <c r="S1827" i="30"/>
  <c r="L1827" i="30"/>
  <c r="AE1824" i="30"/>
  <c r="S1824" i="30"/>
  <c r="L1824" i="30"/>
  <c r="U1824" i="30" s="1"/>
  <c r="AE1823" i="30"/>
  <c r="S1823" i="30"/>
  <c r="L1823" i="30"/>
  <c r="U1823" i="30" s="1"/>
  <c r="AE1820" i="30"/>
  <c r="S1820" i="30"/>
  <c r="L1820" i="30"/>
  <c r="U1820" i="30" s="1"/>
  <c r="AE1819" i="30"/>
  <c r="S1819" i="30"/>
  <c r="L1819" i="30"/>
  <c r="U1819" i="30" s="1"/>
  <c r="AE1815" i="30"/>
  <c r="S1815" i="30"/>
  <c r="L1815" i="30"/>
  <c r="U1815" i="30" s="1"/>
  <c r="AE1813" i="30"/>
  <c r="S1813" i="30"/>
  <c r="L1813" i="30"/>
  <c r="L1811" i="30"/>
  <c r="U1811" i="30" s="1"/>
  <c r="AF1810" i="30"/>
  <c r="AE1810" i="30"/>
  <c r="T1810" i="30"/>
  <c r="S1810" i="30"/>
  <c r="L1810" i="30"/>
  <c r="AF1809" i="30"/>
  <c r="AG1809" i="30" s="1"/>
  <c r="T1809" i="30"/>
  <c r="AF1808" i="30"/>
  <c r="AG1808" i="30" s="1"/>
  <c r="T1808" i="30"/>
  <c r="L1806" i="30"/>
  <c r="U1806" i="30" s="1"/>
  <c r="L1802" i="30"/>
  <c r="U1802" i="30" s="1"/>
  <c r="N1801" i="30"/>
  <c r="L1801" i="30"/>
  <c r="U1801" i="30" s="1"/>
  <c r="N1800" i="30"/>
  <c r="O1800" i="30" s="1"/>
  <c r="L1799" i="30"/>
  <c r="U1799" i="30" s="1"/>
  <c r="N1798" i="30"/>
  <c r="L1798" i="30"/>
  <c r="U1798" i="30" s="1"/>
  <c r="N1797" i="30"/>
  <c r="O1797" i="30" s="1"/>
  <c r="L1796" i="30"/>
  <c r="U1796" i="30" s="1"/>
  <c r="AI1795" i="30"/>
  <c r="AF1795" i="30"/>
  <c r="AC1795" i="30"/>
  <c r="Z1795" i="30"/>
  <c r="W1795" i="30"/>
  <c r="T1795" i="30"/>
  <c r="Q1795" i="30"/>
  <c r="N1795" i="30"/>
  <c r="L1795" i="30"/>
  <c r="U1795" i="30" s="1"/>
  <c r="AI1794" i="30"/>
  <c r="AJ1794" i="30" s="1"/>
  <c r="AF1794" i="30"/>
  <c r="AG1794" i="30" s="1"/>
  <c r="AC1794" i="30"/>
  <c r="AD1794" i="30" s="1"/>
  <c r="Z1794" i="30"/>
  <c r="AA1794" i="30" s="1"/>
  <c r="W1794" i="30"/>
  <c r="X1794" i="30" s="1"/>
  <c r="T1794" i="30"/>
  <c r="U1794" i="30" s="1"/>
  <c r="Q1794" i="30"/>
  <c r="R1794" i="30" s="1"/>
  <c r="N1794" i="30"/>
  <c r="O1794" i="30" s="1"/>
  <c r="L1793" i="30"/>
  <c r="U1793" i="30" s="1"/>
  <c r="AI1792" i="30"/>
  <c r="AF1792" i="30"/>
  <c r="AC1792" i="30"/>
  <c r="Z1792" i="30"/>
  <c r="W1792" i="30"/>
  <c r="T1792" i="30"/>
  <c r="Q1792" i="30"/>
  <c r="N1792" i="30"/>
  <c r="L1792" i="30"/>
  <c r="AI1791" i="30"/>
  <c r="AJ1791" i="30" s="1"/>
  <c r="AF1791" i="30"/>
  <c r="AG1791" i="30" s="1"/>
  <c r="AC1791" i="30"/>
  <c r="AD1791" i="30" s="1"/>
  <c r="Z1791" i="30"/>
  <c r="AA1791" i="30" s="1"/>
  <c r="W1791" i="30"/>
  <c r="X1791" i="30" s="1"/>
  <c r="T1791" i="30"/>
  <c r="U1791" i="30" s="1"/>
  <c r="Q1791" i="30"/>
  <c r="R1791" i="30" s="1"/>
  <c r="N1791" i="30"/>
  <c r="O1791" i="30" s="1"/>
  <c r="AH1790" i="30"/>
  <c r="AE1790" i="30"/>
  <c r="AB1790" i="30"/>
  <c r="Y1790" i="30"/>
  <c r="V1790" i="30"/>
  <c r="S1790" i="30"/>
  <c r="P1790" i="30"/>
  <c r="M1790" i="30"/>
  <c r="L1790" i="30"/>
  <c r="AI1789" i="30"/>
  <c r="AH1789" i="30"/>
  <c r="AF1789" i="30"/>
  <c r="AE1789" i="30"/>
  <c r="AC1789" i="30"/>
  <c r="AB1789" i="30"/>
  <c r="Z1789" i="30"/>
  <c r="Y1789" i="30"/>
  <c r="W1789" i="30"/>
  <c r="V1789" i="30"/>
  <c r="T1789" i="30"/>
  <c r="S1789" i="30"/>
  <c r="Q1789" i="30"/>
  <c r="P1789" i="30"/>
  <c r="N1789" i="30"/>
  <c r="M1789" i="30"/>
  <c r="L1789" i="30"/>
  <c r="AI1788" i="30"/>
  <c r="AJ1788" i="30" s="1"/>
  <c r="AF1788" i="30"/>
  <c r="AG1788" i="30" s="1"/>
  <c r="AC1788" i="30"/>
  <c r="AD1788" i="30" s="1"/>
  <c r="Z1788" i="30"/>
  <c r="AA1788" i="30" s="1"/>
  <c r="W1788" i="30"/>
  <c r="X1788" i="30" s="1"/>
  <c r="T1788" i="30"/>
  <c r="U1788" i="30" s="1"/>
  <c r="Q1788" i="30"/>
  <c r="R1788" i="30" s="1"/>
  <c r="N1788" i="30"/>
  <c r="O1788" i="30" s="1"/>
  <c r="AI1787" i="30"/>
  <c r="AJ1787" i="30" s="1"/>
  <c r="AF1787" i="30"/>
  <c r="AG1787" i="30" s="1"/>
  <c r="AC1787" i="30"/>
  <c r="AD1787" i="30" s="1"/>
  <c r="Z1787" i="30"/>
  <c r="AA1787" i="30" s="1"/>
  <c r="W1787" i="30"/>
  <c r="X1787" i="30" s="1"/>
  <c r="T1787" i="30"/>
  <c r="U1787" i="30" s="1"/>
  <c r="Q1787" i="30"/>
  <c r="R1787" i="30" s="1"/>
  <c r="N1787" i="30"/>
  <c r="O1787" i="30" s="1"/>
  <c r="L1786" i="30"/>
  <c r="U1786" i="30" s="1"/>
  <c r="L1784" i="30"/>
  <c r="U1784" i="30" s="1"/>
  <c r="L1779" i="30"/>
  <c r="U1779" i="30" s="1"/>
  <c r="L1778" i="30"/>
  <c r="U1778" i="30" s="1"/>
  <c r="L1776" i="30"/>
  <c r="U1776" i="30" s="1"/>
  <c r="AH1775" i="30"/>
  <c r="AE1775" i="30"/>
  <c r="AB1775" i="30"/>
  <c r="Y1775" i="30"/>
  <c r="V1775" i="30"/>
  <c r="S1775" i="30"/>
  <c r="P1775" i="30"/>
  <c r="M1775" i="30"/>
  <c r="L1775" i="30"/>
  <c r="AH1774" i="30"/>
  <c r="AE1774" i="30"/>
  <c r="AB1774" i="30"/>
  <c r="Y1774" i="30"/>
  <c r="V1774" i="30"/>
  <c r="S1774" i="30"/>
  <c r="P1774" i="30"/>
  <c r="M1774" i="30"/>
  <c r="L1774" i="30"/>
  <c r="L1771" i="30"/>
  <c r="U1771" i="30" s="1"/>
  <c r="L1770" i="30"/>
  <c r="U1770" i="30" s="1"/>
  <c r="AB1767" i="30"/>
  <c r="S1767" i="30"/>
  <c r="M1767" i="30"/>
  <c r="L1767" i="30"/>
  <c r="AB1766" i="30"/>
  <c r="S1766" i="30"/>
  <c r="M1766" i="30"/>
  <c r="L1766" i="30"/>
  <c r="U1766" i="30" s="1"/>
  <c r="AB1763" i="30"/>
  <c r="S1763" i="30"/>
  <c r="M1763" i="30"/>
  <c r="L1763" i="30"/>
  <c r="AC1762" i="30"/>
  <c r="AB1762" i="30"/>
  <c r="T1762" i="30"/>
  <c r="S1762" i="30"/>
  <c r="N1762" i="30"/>
  <c r="M1762" i="30"/>
  <c r="L1762" i="30"/>
  <c r="U1762" i="30" s="1"/>
  <c r="AC1761" i="30"/>
  <c r="AD1761" i="30" s="1"/>
  <c r="T1761" i="30"/>
  <c r="U1761" i="30" s="1"/>
  <c r="N1761" i="30"/>
  <c r="O1761" i="30" s="1"/>
  <c r="AC1760" i="30"/>
  <c r="AD1760" i="30" s="1"/>
  <c r="T1760" i="30"/>
  <c r="U1760" i="30" s="1"/>
  <c r="N1760" i="30"/>
  <c r="O1760" i="30" s="1"/>
  <c r="L1759" i="30"/>
  <c r="U1759" i="30" s="1"/>
  <c r="L1755" i="30"/>
  <c r="U1755" i="30" s="1"/>
  <c r="L1754" i="30"/>
  <c r="U1754" i="30" s="1"/>
  <c r="L1751" i="30"/>
  <c r="U1751" i="30" s="1"/>
  <c r="AE1750" i="30"/>
  <c r="P1750" i="30"/>
  <c r="M1750" i="30"/>
  <c r="L1750" i="30"/>
  <c r="U1750" i="30" s="1"/>
  <c r="AE1744" i="30"/>
  <c r="P1744" i="30"/>
  <c r="M1744" i="30"/>
  <c r="L1744" i="30"/>
  <c r="U1744" i="30" s="1"/>
  <c r="AF1743" i="30"/>
  <c r="AE1743" i="30"/>
  <c r="Q1743" i="30"/>
  <c r="P1743" i="30"/>
  <c r="N1743" i="30"/>
  <c r="M1743" i="30"/>
  <c r="L1743" i="30"/>
  <c r="U1743" i="30" s="1"/>
  <c r="AF1742" i="30"/>
  <c r="AG1742" i="30" s="1"/>
  <c r="Q1742" i="30"/>
  <c r="R1742" i="30" s="1"/>
  <c r="N1742" i="30"/>
  <c r="O1742" i="30" s="1"/>
  <c r="AF1741" i="30"/>
  <c r="AG1741" i="30" s="1"/>
  <c r="Q1741" i="30"/>
  <c r="R1741" i="30" s="1"/>
  <c r="N1741" i="30"/>
  <c r="O1741" i="30" s="1"/>
  <c r="AK1741" i="30" s="1"/>
  <c r="AL1741" i="30" s="1"/>
  <c r="L1740" i="30"/>
  <c r="U1740" i="30" s="1"/>
  <c r="L1735" i="30"/>
  <c r="U1735" i="30" s="1"/>
  <c r="AE1734" i="30"/>
  <c r="P1734" i="30"/>
  <c r="L1734" i="30"/>
  <c r="U1734" i="30" s="1"/>
  <c r="AE1733" i="30"/>
  <c r="P1733" i="30"/>
  <c r="L1733" i="30"/>
  <c r="U1733" i="30" s="1"/>
  <c r="L1730" i="30"/>
  <c r="U1730" i="30" s="1"/>
  <c r="AE1729" i="30"/>
  <c r="P1729" i="30"/>
  <c r="L1729" i="30"/>
  <c r="U1729" i="30" s="1"/>
  <c r="AE1726" i="30"/>
  <c r="P1726" i="30"/>
  <c r="L1726" i="30"/>
  <c r="U1726" i="30" s="1"/>
  <c r="AE1725" i="30"/>
  <c r="P1725" i="30"/>
  <c r="L1725" i="30"/>
  <c r="U1725" i="30" s="1"/>
  <c r="AE1722" i="30"/>
  <c r="P1722" i="30"/>
  <c r="L1722" i="30"/>
  <c r="U1722" i="30" s="1"/>
  <c r="AF1721" i="30"/>
  <c r="AE1721" i="30"/>
  <c r="Q1721" i="30"/>
  <c r="P1721" i="30"/>
  <c r="L1721" i="30"/>
  <c r="U1721" i="30" s="1"/>
  <c r="AF1720" i="30"/>
  <c r="AG1720" i="30" s="1"/>
  <c r="Q1720" i="30"/>
  <c r="R1720" i="30" s="1"/>
  <c r="AF1719" i="30"/>
  <c r="AG1719" i="30" s="1"/>
  <c r="Q1719" i="30"/>
  <c r="R1719" i="30" s="1"/>
  <c r="AK1719" i="30" s="1"/>
  <c r="AL1719" i="30" s="1"/>
  <c r="L1718" i="30"/>
  <c r="U1718" i="30" s="1"/>
  <c r="AB1717" i="30"/>
  <c r="P1717" i="30"/>
  <c r="M1717" i="30"/>
  <c r="L1717" i="30"/>
  <c r="U1717" i="30" s="1"/>
  <c r="AB1714" i="30"/>
  <c r="P1714" i="30"/>
  <c r="L1714" i="30"/>
  <c r="U1714" i="30" s="1"/>
  <c r="AB1713" i="30"/>
  <c r="P1713" i="30"/>
  <c r="L1713" i="30"/>
  <c r="U1713" i="30" s="1"/>
  <c r="AB1710" i="30"/>
  <c r="P1710" i="30"/>
  <c r="L1710" i="30"/>
  <c r="U1710" i="30" s="1"/>
  <c r="AB1709" i="30"/>
  <c r="P1709" i="30"/>
  <c r="L1709" i="30"/>
  <c r="U1709" i="30" s="1"/>
  <c r="AB1704" i="30"/>
  <c r="P1704" i="30"/>
  <c r="L1704" i="30"/>
  <c r="U1704" i="30" s="1"/>
  <c r="AB1703" i="30"/>
  <c r="P1703" i="30"/>
  <c r="L1703" i="30"/>
  <c r="U1703" i="30" s="1"/>
  <c r="AB1701" i="30"/>
  <c r="P1701" i="30"/>
  <c r="L1701" i="30"/>
  <c r="U1701" i="30" s="1"/>
  <c r="AB1700" i="30"/>
  <c r="P1700" i="30"/>
  <c r="L1700" i="30"/>
  <c r="U1700" i="30" s="1"/>
  <c r="AB1696" i="30"/>
  <c r="P1696" i="30"/>
  <c r="L1696" i="30"/>
  <c r="U1696" i="30" s="1"/>
  <c r="AC1695" i="30"/>
  <c r="AB1695" i="30"/>
  <c r="Q1695" i="30"/>
  <c r="P1695" i="30"/>
  <c r="L1695" i="30"/>
  <c r="U1695" i="30" s="1"/>
  <c r="AC1694" i="30"/>
  <c r="AD1694" i="30" s="1"/>
  <c r="Q1694" i="30"/>
  <c r="R1694" i="30" s="1"/>
  <c r="AK1694" i="30" s="1"/>
  <c r="AC1693" i="30"/>
  <c r="AD1693" i="30" s="1"/>
  <c r="Q1693" i="30"/>
  <c r="R1693" i="30" s="1"/>
  <c r="L1692" i="30"/>
  <c r="U1692" i="30" s="1"/>
  <c r="AH1688" i="30"/>
  <c r="Y1688" i="30"/>
  <c r="P1688" i="30"/>
  <c r="L1688" i="30"/>
  <c r="U1688" i="30" s="1"/>
  <c r="AH1687" i="30"/>
  <c r="Y1687" i="30"/>
  <c r="P1687" i="30"/>
  <c r="L1687" i="30"/>
  <c r="U1687" i="30" s="1"/>
  <c r="L1684" i="30"/>
  <c r="U1684" i="30" s="1"/>
  <c r="L1680" i="30"/>
  <c r="U1680" i="30" s="1"/>
  <c r="L1674" i="30"/>
  <c r="U1674" i="30" s="1"/>
  <c r="AH1673" i="30"/>
  <c r="Y1673" i="30"/>
  <c r="P1673" i="30"/>
  <c r="L1673" i="30"/>
  <c r="U1673" i="30" s="1"/>
  <c r="AH1670" i="30"/>
  <c r="Y1670" i="30"/>
  <c r="P1670" i="30"/>
  <c r="L1670" i="30"/>
  <c r="U1670" i="30" s="1"/>
  <c r="AH1669" i="30"/>
  <c r="Y1669" i="30"/>
  <c r="P1669" i="30"/>
  <c r="L1669" i="30"/>
  <c r="U1669" i="30" s="1"/>
  <c r="AH1666" i="30"/>
  <c r="Y1666" i="30"/>
  <c r="P1666" i="30"/>
  <c r="L1666" i="30"/>
  <c r="U1666" i="30" s="1"/>
  <c r="AH1665" i="30"/>
  <c r="Y1665" i="30"/>
  <c r="P1665" i="30"/>
  <c r="L1665" i="30"/>
  <c r="U1665" i="30" s="1"/>
  <c r="L1659" i="30"/>
  <c r="U1659" i="30" s="1"/>
  <c r="AH1658" i="30"/>
  <c r="S1658" i="30"/>
  <c r="L1658" i="30"/>
  <c r="U1658" i="30" s="1"/>
  <c r="AH1656" i="30"/>
  <c r="AJ1656" i="30" s="1"/>
  <c r="S1656" i="30"/>
  <c r="L1653" i="30"/>
  <c r="U1653" i="30" s="1"/>
  <c r="AB1649" i="30"/>
  <c r="S1649" i="30"/>
  <c r="L1649" i="30"/>
  <c r="U1649" i="30" s="1"/>
  <c r="AB1648" i="30"/>
  <c r="S1648" i="30"/>
  <c r="L1648" i="30"/>
  <c r="L1645" i="30"/>
  <c r="U1645" i="30" s="1"/>
  <c r="AH1643" i="30"/>
  <c r="Y1643" i="30"/>
  <c r="P1643" i="30"/>
  <c r="L1643" i="30"/>
  <c r="U1643" i="30" s="1"/>
  <c r="AH1642" i="30"/>
  <c r="Y1642" i="30"/>
  <c r="P1642" i="30"/>
  <c r="L1642" i="30"/>
  <c r="U1642" i="30" s="1"/>
  <c r="AH1636" i="30"/>
  <c r="Y1636" i="30"/>
  <c r="P1636" i="30"/>
  <c r="L1636" i="30"/>
  <c r="U1636" i="30" s="1"/>
  <c r="AH1635" i="30"/>
  <c r="Y1635" i="30"/>
  <c r="P1635" i="30"/>
  <c r="L1635" i="30"/>
  <c r="U1635" i="30" s="1"/>
  <c r="AH1630" i="30"/>
  <c r="Y1630" i="30"/>
  <c r="P1630" i="30"/>
  <c r="L1630" i="30"/>
  <c r="U1630" i="30" s="1"/>
  <c r="AH1627" i="30"/>
  <c r="Y1627" i="30"/>
  <c r="P1627" i="30"/>
  <c r="L1627" i="30"/>
  <c r="U1627" i="30" s="1"/>
  <c r="AH1626" i="30"/>
  <c r="Y1626" i="30"/>
  <c r="P1626" i="30"/>
  <c r="L1626" i="30"/>
  <c r="U1626" i="30" s="1"/>
  <c r="AH1621" i="30"/>
  <c r="Y1621" i="30"/>
  <c r="P1621" i="30"/>
  <c r="L1621" i="30"/>
  <c r="U1621" i="30" s="1"/>
  <c r="AH1620" i="30"/>
  <c r="Y1620" i="30"/>
  <c r="P1620" i="30"/>
  <c r="L1620" i="30"/>
  <c r="U1620" i="30" s="1"/>
  <c r="L1615" i="30"/>
  <c r="U1615" i="30" s="1"/>
  <c r="S1612" i="30"/>
  <c r="L1612" i="30"/>
  <c r="S1611" i="30"/>
  <c r="L1611" i="30"/>
  <c r="U1611" i="30" s="1"/>
  <c r="S1605" i="30"/>
  <c r="L1605" i="30"/>
  <c r="U1605" i="30" s="1"/>
  <c r="S1604" i="30"/>
  <c r="L1604" i="30"/>
  <c r="S1601" i="30"/>
  <c r="L1601" i="30"/>
  <c r="S1600" i="30"/>
  <c r="L1600" i="30"/>
  <c r="U1600" i="30" s="1"/>
  <c r="S1597" i="30"/>
  <c r="L1597" i="30"/>
  <c r="U1597" i="30" s="1"/>
  <c r="S1596" i="30"/>
  <c r="L1596" i="30"/>
  <c r="S1593" i="30"/>
  <c r="L1593" i="30"/>
  <c r="S1592" i="30"/>
  <c r="L1592" i="30"/>
  <c r="U1592" i="30" s="1"/>
  <c r="L1581" i="30"/>
  <c r="U1581" i="30" s="1"/>
  <c r="AH1580" i="30"/>
  <c r="S1580" i="30"/>
  <c r="L1580" i="30"/>
  <c r="AH1577" i="30"/>
  <c r="S1577" i="30"/>
  <c r="L1577" i="30"/>
  <c r="U1577" i="30" s="1"/>
  <c r="AH1576" i="30"/>
  <c r="S1576" i="30"/>
  <c r="L1576" i="30"/>
  <c r="U1576" i="30" s="1"/>
  <c r="AE1571" i="30"/>
  <c r="P1571" i="30"/>
  <c r="L1571" i="30"/>
  <c r="U1571" i="30" s="1"/>
  <c r="AE1570" i="30"/>
  <c r="P1570" i="30"/>
  <c r="L1570" i="30"/>
  <c r="U1570" i="30" s="1"/>
  <c r="AE1564" i="30"/>
  <c r="P1564" i="30"/>
  <c r="L1564" i="30"/>
  <c r="U1564" i="30" s="1"/>
  <c r="AE1563" i="30"/>
  <c r="P1563" i="30"/>
  <c r="L1563" i="30"/>
  <c r="U1563" i="30" s="1"/>
  <c r="AE1560" i="30"/>
  <c r="P1560" i="30"/>
  <c r="L1560" i="30"/>
  <c r="U1560" i="30" s="1"/>
  <c r="AE1559" i="30"/>
  <c r="P1559" i="30"/>
  <c r="L1559" i="30"/>
  <c r="U1559" i="30" s="1"/>
  <c r="AE1556" i="30"/>
  <c r="P1556" i="30"/>
  <c r="L1556" i="30"/>
  <c r="U1556" i="30" s="1"/>
  <c r="AE1555" i="30"/>
  <c r="P1555" i="30"/>
  <c r="L1555" i="30"/>
  <c r="U1555" i="30" s="1"/>
  <c r="AE1552" i="30"/>
  <c r="P1552" i="30"/>
  <c r="L1552" i="30"/>
  <c r="U1552" i="30" s="1"/>
  <c r="AE1551" i="30"/>
  <c r="P1551" i="30"/>
  <c r="L1551" i="30"/>
  <c r="U1551" i="30" s="1"/>
  <c r="AH1545" i="30"/>
  <c r="AE1545" i="30"/>
  <c r="AB1545" i="30"/>
  <c r="Y1545" i="30"/>
  <c r="V1545" i="30"/>
  <c r="S1545" i="30"/>
  <c r="P1545" i="30"/>
  <c r="M1545" i="30"/>
  <c r="L1545" i="30"/>
  <c r="U1545" i="30" s="1"/>
  <c r="AH1544" i="30"/>
  <c r="AE1544" i="30"/>
  <c r="AB1544" i="30"/>
  <c r="Y1544" i="30"/>
  <c r="V1544" i="30"/>
  <c r="S1544" i="30"/>
  <c r="P1544" i="30"/>
  <c r="M1544" i="30"/>
  <c r="L1544" i="30"/>
  <c r="U1544" i="30" s="1"/>
  <c r="AH1542" i="30"/>
  <c r="AE1542" i="30"/>
  <c r="AB1542" i="30"/>
  <c r="Y1542" i="30"/>
  <c r="V1542" i="30"/>
  <c r="S1542" i="30"/>
  <c r="P1542" i="30"/>
  <c r="M1542" i="30"/>
  <c r="L1542" i="30"/>
  <c r="U1542" i="30" s="1"/>
  <c r="L1541" i="30"/>
  <c r="U1541" i="30" s="1"/>
  <c r="AB1536" i="30"/>
  <c r="M1536" i="30"/>
  <c r="L1536" i="30"/>
  <c r="U1536" i="30" s="1"/>
  <c r="AB1535" i="30"/>
  <c r="M1535" i="30"/>
  <c r="L1535" i="30"/>
  <c r="U1535" i="30" s="1"/>
  <c r="AH1531" i="30"/>
  <c r="P1531" i="30"/>
  <c r="L1531" i="30"/>
  <c r="U1531" i="30" s="1"/>
  <c r="AH1530" i="30"/>
  <c r="P1530" i="30"/>
  <c r="L1530" i="30"/>
  <c r="U1530" i="30" s="1"/>
  <c r="AH1527" i="30"/>
  <c r="P1527" i="30"/>
  <c r="L1527" i="30"/>
  <c r="U1527" i="30" s="1"/>
  <c r="AH1526" i="30"/>
  <c r="P1526" i="30"/>
  <c r="L1526" i="30"/>
  <c r="U1526" i="30" s="1"/>
  <c r="AH1523" i="30"/>
  <c r="P1523" i="30"/>
  <c r="L1523" i="30"/>
  <c r="U1523" i="30" s="1"/>
  <c r="AH1522" i="30"/>
  <c r="P1522" i="30"/>
  <c r="L1522" i="30"/>
  <c r="U1522" i="30" s="1"/>
  <c r="AH1519" i="30"/>
  <c r="P1519" i="30"/>
  <c r="L1519" i="30"/>
  <c r="U1519" i="30" s="1"/>
  <c r="AH1518" i="30"/>
  <c r="P1518" i="30"/>
  <c r="L1518" i="30"/>
  <c r="U1518" i="30" s="1"/>
  <c r="AH1513" i="30"/>
  <c r="P1513" i="30"/>
  <c r="L1513" i="30"/>
  <c r="U1513" i="30" s="1"/>
  <c r="AH1512" i="30"/>
  <c r="P1512" i="30"/>
  <c r="L1512" i="30"/>
  <c r="U1512" i="30" s="1"/>
  <c r="AH1509" i="30"/>
  <c r="P1509" i="30"/>
  <c r="L1509" i="30"/>
  <c r="U1509" i="30" s="1"/>
  <c r="AH1506" i="30"/>
  <c r="P1506" i="30"/>
  <c r="L1506" i="30"/>
  <c r="U1506" i="30" s="1"/>
  <c r="AH1503" i="30"/>
  <c r="P1503" i="30"/>
  <c r="L1503" i="30"/>
  <c r="U1503" i="30" s="1"/>
  <c r="AH1502" i="30"/>
  <c r="P1502" i="30"/>
  <c r="L1502" i="30"/>
  <c r="U1502" i="30" s="1"/>
  <c r="AH1497" i="30"/>
  <c r="P1497" i="30"/>
  <c r="L1497" i="30"/>
  <c r="U1497" i="30" s="1"/>
  <c r="AH1494" i="30"/>
  <c r="P1494" i="30"/>
  <c r="L1494" i="30"/>
  <c r="U1494" i="30" s="1"/>
  <c r="AH1493" i="30"/>
  <c r="P1493" i="30"/>
  <c r="L1493" i="30"/>
  <c r="U1493" i="30" s="1"/>
  <c r="AH1492" i="30"/>
  <c r="P1492" i="30"/>
  <c r="L1492" i="30"/>
  <c r="U1492" i="30" s="1"/>
  <c r="AH1489" i="30"/>
  <c r="P1489" i="30"/>
  <c r="L1489" i="30"/>
  <c r="U1489" i="30" s="1"/>
  <c r="AH1488" i="30"/>
  <c r="P1488" i="30"/>
  <c r="L1488" i="30"/>
  <c r="U1488" i="30" s="1"/>
  <c r="AH1481" i="30"/>
  <c r="P1481" i="30"/>
  <c r="L1481" i="30"/>
  <c r="U1481" i="30" s="1"/>
  <c r="AH1480" i="30"/>
  <c r="P1480" i="30"/>
  <c r="L1480" i="30"/>
  <c r="U1480" i="30" s="1"/>
  <c r="AH1477" i="30"/>
  <c r="P1477" i="30"/>
  <c r="L1477" i="30"/>
  <c r="U1477" i="30" s="1"/>
  <c r="AH1476" i="30"/>
  <c r="P1476" i="30"/>
  <c r="L1476" i="30"/>
  <c r="U1476" i="30" s="1"/>
  <c r="AH1473" i="30"/>
  <c r="P1473" i="30"/>
  <c r="L1473" i="30"/>
  <c r="U1473" i="30" s="1"/>
  <c r="AH1472" i="30"/>
  <c r="P1472" i="30"/>
  <c r="L1472" i="30"/>
  <c r="U1472" i="30" s="1"/>
  <c r="AH1467" i="30"/>
  <c r="P1467" i="30"/>
  <c r="L1467" i="30"/>
  <c r="U1467" i="30" s="1"/>
  <c r="AH1466" i="30"/>
  <c r="P1466" i="30"/>
  <c r="L1466" i="30"/>
  <c r="U1466" i="30" s="1"/>
  <c r="AH1460" i="30"/>
  <c r="P1460" i="30"/>
  <c r="L1460" i="30"/>
  <c r="U1460" i="30" s="1"/>
  <c r="AH1459" i="30"/>
  <c r="P1459" i="30"/>
  <c r="L1459" i="30"/>
  <c r="U1459" i="30" s="1"/>
  <c r="AH1456" i="30"/>
  <c r="P1456" i="30"/>
  <c r="L1456" i="30"/>
  <c r="U1456" i="30" s="1"/>
  <c r="AH1455" i="30"/>
  <c r="P1455" i="30"/>
  <c r="L1455" i="30"/>
  <c r="U1455" i="30" s="1"/>
  <c r="AH1452" i="30"/>
  <c r="P1452" i="30"/>
  <c r="L1452" i="30"/>
  <c r="U1452" i="30" s="1"/>
  <c r="AH1451" i="30"/>
  <c r="P1451" i="30"/>
  <c r="L1451" i="30"/>
  <c r="U1451" i="30" s="1"/>
  <c r="L1447" i="30"/>
  <c r="U1447" i="30" s="1"/>
  <c r="AH1442" i="30"/>
  <c r="P1442" i="30"/>
  <c r="L1442" i="30"/>
  <c r="U1442" i="30" s="1"/>
  <c r="AH1441" i="30"/>
  <c r="P1441" i="30"/>
  <c r="L1441" i="30"/>
  <c r="U1441" i="30" s="1"/>
  <c r="AH1438" i="30"/>
  <c r="P1438" i="30"/>
  <c r="L1438" i="30"/>
  <c r="U1438" i="30" s="1"/>
  <c r="AH1437" i="30"/>
  <c r="P1437" i="30"/>
  <c r="L1437" i="30"/>
  <c r="U1437" i="30" s="1"/>
  <c r="AH1430" i="30"/>
  <c r="P1430" i="30"/>
  <c r="L1430" i="30"/>
  <c r="U1430" i="30" s="1"/>
  <c r="AH1429" i="30"/>
  <c r="P1429" i="30"/>
  <c r="L1429" i="30"/>
  <c r="U1429" i="30" s="1"/>
  <c r="AH1426" i="30"/>
  <c r="P1426" i="30"/>
  <c r="L1426" i="30"/>
  <c r="U1426" i="30" s="1"/>
  <c r="AH1425" i="30"/>
  <c r="P1425" i="30"/>
  <c r="L1425" i="30"/>
  <c r="U1425" i="30" s="1"/>
  <c r="AH1422" i="30"/>
  <c r="P1422" i="30"/>
  <c r="L1422" i="30"/>
  <c r="U1422" i="30" s="1"/>
  <c r="AH1421" i="30"/>
  <c r="P1421" i="30"/>
  <c r="L1421" i="30"/>
  <c r="U1421" i="30" s="1"/>
  <c r="AH1416" i="30"/>
  <c r="P1416" i="30"/>
  <c r="L1416" i="30"/>
  <c r="U1416" i="30" s="1"/>
  <c r="AH1415" i="30"/>
  <c r="P1415" i="30"/>
  <c r="L1415" i="30"/>
  <c r="U1415" i="30" s="1"/>
  <c r="AH1409" i="30"/>
  <c r="P1409" i="30"/>
  <c r="L1409" i="30"/>
  <c r="U1409" i="30" s="1"/>
  <c r="AH1408" i="30"/>
  <c r="P1408" i="30"/>
  <c r="L1408" i="30"/>
  <c r="U1408" i="30" s="1"/>
  <c r="AH1405" i="30"/>
  <c r="P1405" i="30"/>
  <c r="L1405" i="30"/>
  <c r="U1405" i="30" s="1"/>
  <c r="AH1404" i="30"/>
  <c r="P1404" i="30"/>
  <c r="L1404" i="30"/>
  <c r="U1404" i="30" s="1"/>
  <c r="AH1401" i="30"/>
  <c r="P1401" i="30"/>
  <c r="L1401" i="30"/>
  <c r="U1401" i="30" s="1"/>
  <c r="AH1400" i="30"/>
  <c r="P1400" i="30"/>
  <c r="L1400" i="30"/>
  <c r="U1400" i="30" s="1"/>
  <c r="L1396" i="30"/>
  <c r="U1396" i="30" s="1"/>
  <c r="L1391" i="30"/>
  <c r="U1391" i="30" s="1"/>
  <c r="M1390" i="30"/>
  <c r="L1390" i="30"/>
  <c r="U1390" i="30" s="1"/>
  <c r="M1389" i="30"/>
  <c r="O1389" i="30" s="1"/>
  <c r="M1388" i="30"/>
  <c r="O1388" i="30" s="1"/>
  <c r="M1384" i="30"/>
  <c r="L1384" i="30"/>
  <c r="U1384" i="30" s="1"/>
  <c r="M1383" i="30"/>
  <c r="L1383" i="30"/>
  <c r="U1383" i="30" s="1"/>
  <c r="M1371" i="30"/>
  <c r="L1371" i="30"/>
  <c r="U1371" i="30" s="1"/>
  <c r="M1370" i="30"/>
  <c r="L1370" i="30"/>
  <c r="U1370" i="30" s="1"/>
  <c r="M1367" i="30"/>
  <c r="L1367" i="30"/>
  <c r="U1367" i="30" s="1"/>
  <c r="M1364" i="30"/>
  <c r="L1364" i="30"/>
  <c r="U1364" i="30" s="1"/>
  <c r="M1363" i="30"/>
  <c r="L1363" i="30"/>
  <c r="U1363" i="30" s="1"/>
  <c r="M1361" i="30"/>
  <c r="L1361" i="30"/>
  <c r="U1361" i="30" s="1"/>
  <c r="M1360" i="30"/>
  <c r="L1360" i="30"/>
  <c r="U1360" i="30" s="1"/>
  <c r="M1357" i="30"/>
  <c r="L1357" i="30"/>
  <c r="U1357" i="30" s="1"/>
  <c r="M1356" i="30"/>
  <c r="L1356" i="30"/>
  <c r="U1356" i="30" s="1"/>
  <c r="M1352" i="30"/>
  <c r="L1352" i="30"/>
  <c r="U1352" i="30" s="1"/>
  <c r="M1350" i="30"/>
  <c r="L1350" i="30"/>
  <c r="U1350" i="30" s="1"/>
  <c r="M1349" i="30"/>
  <c r="L1349" i="30"/>
  <c r="U1349" i="30" s="1"/>
  <c r="M1346" i="30"/>
  <c r="L1346" i="30"/>
  <c r="U1346" i="30" s="1"/>
  <c r="M1345" i="30"/>
  <c r="L1345" i="30"/>
  <c r="U1345" i="30" s="1"/>
  <c r="AH1339" i="30"/>
  <c r="M1339" i="30"/>
  <c r="L1339" i="30"/>
  <c r="U1339" i="30" s="1"/>
  <c r="AH1338" i="30"/>
  <c r="M1338" i="30"/>
  <c r="L1338" i="30"/>
  <c r="U1338" i="30" s="1"/>
  <c r="AH1335" i="30"/>
  <c r="M1335" i="30"/>
  <c r="L1335" i="30"/>
  <c r="U1335" i="30" s="1"/>
  <c r="AH1334" i="30"/>
  <c r="M1334" i="30"/>
  <c r="L1334" i="30"/>
  <c r="U1334" i="30" s="1"/>
  <c r="AH1331" i="30"/>
  <c r="M1331" i="30"/>
  <c r="L1331" i="30"/>
  <c r="U1331" i="30" s="1"/>
  <c r="AH1328" i="30"/>
  <c r="M1328" i="30"/>
  <c r="L1328" i="30"/>
  <c r="U1328" i="30" s="1"/>
  <c r="AH1327" i="30"/>
  <c r="M1327" i="30"/>
  <c r="L1327" i="30"/>
  <c r="U1327" i="30" s="1"/>
  <c r="AH1324" i="30"/>
  <c r="M1324" i="30"/>
  <c r="L1324" i="30"/>
  <c r="U1324" i="30" s="1"/>
  <c r="AH1323" i="30"/>
  <c r="M1323" i="30"/>
  <c r="L1323" i="30"/>
  <c r="U1323" i="30" s="1"/>
  <c r="AH1320" i="30"/>
  <c r="M1320" i="30"/>
  <c r="L1320" i="30"/>
  <c r="U1320" i="30" s="1"/>
  <c r="AH1319" i="30"/>
  <c r="M1319" i="30"/>
  <c r="L1319" i="30"/>
  <c r="U1319" i="30" s="1"/>
  <c r="AH1316" i="30"/>
  <c r="M1316" i="30"/>
  <c r="L1316" i="30"/>
  <c r="U1316" i="30" s="1"/>
  <c r="AH1315" i="30"/>
  <c r="M1315" i="30"/>
  <c r="L1315" i="30"/>
  <c r="U1315" i="30" s="1"/>
  <c r="AH1312" i="30"/>
  <c r="M1312" i="30"/>
  <c r="L1312" i="30"/>
  <c r="U1312" i="30" s="1"/>
  <c r="AH1311" i="30"/>
  <c r="M1311" i="30"/>
  <c r="L1311" i="30"/>
  <c r="U1311" i="30" s="1"/>
  <c r="AH1307" i="30"/>
  <c r="M1307" i="30"/>
  <c r="L1307" i="30"/>
  <c r="U1307" i="30" s="1"/>
  <c r="AH1306" i="30"/>
  <c r="M1306" i="30"/>
  <c r="L1306" i="30"/>
  <c r="U1306" i="30" s="1"/>
  <c r="AH1250" i="30"/>
  <c r="AE1250" i="30"/>
  <c r="AB1250" i="30"/>
  <c r="Y1250" i="30"/>
  <c r="V1250" i="30"/>
  <c r="S1250" i="30"/>
  <c r="P1250" i="30"/>
  <c r="M1250" i="30"/>
  <c r="L1250" i="30"/>
  <c r="U1250" i="30" s="1"/>
  <c r="AH1249" i="30"/>
  <c r="AE1249" i="30"/>
  <c r="AB1249" i="30"/>
  <c r="Y1249" i="30"/>
  <c r="V1249" i="30"/>
  <c r="S1249" i="30"/>
  <c r="P1249" i="30"/>
  <c r="M1249" i="30"/>
  <c r="L1249" i="30"/>
  <c r="U1249" i="30" s="1"/>
  <c r="AH1244" i="30"/>
  <c r="AE1244" i="30"/>
  <c r="AB1244" i="30"/>
  <c r="Y1244" i="30"/>
  <c r="V1244" i="30"/>
  <c r="S1244" i="30"/>
  <c r="P1244" i="30"/>
  <c r="M1244" i="30"/>
  <c r="L1244" i="30"/>
  <c r="U1244" i="30" s="1"/>
  <c r="AH1243" i="30"/>
  <c r="AE1243" i="30"/>
  <c r="AB1243" i="30"/>
  <c r="Y1243" i="30"/>
  <c r="V1243" i="30"/>
  <c r="S1243" i="30"/>
  <c r="P1243" i="30"/>
  <c r="M1243" i="30"/>
  <c r="L1243" i="30"/>
  <c r="U1243" i="30" s="1"/>
  <c r="AH1239" i="30"/>
  <c r="AE1239" i="30"/>
  <c r="AB1239" i="30"/>
  <c r="Y1239" i="30"/>
  <c r="V1239" i="30"/>
  <c r="S1239" i="30"/>
  <c r="P1239" i="30"/>
  <c r="M1239" i="30"/>
  <c r="L1239" i="30"/>
  <c r="AH1238" i="30"/>
  <c r="AE1238" i="30"/>
  <c r="AB1238" i="30"/>
  <c r="Y1238" i="30"/>
  <c r="V1238" i="30"/>
  <c r="S1238" i="30"/>
  <c r="P1238" i="30"/>
  <c r="M1238" i="30"/>
  <c r="L1238" i="30"/>
  <c r="AH1233" i="30"/>
  <c r="AE1233" i="30"/>
  <c r="AB1233" i="30"/>
  <c r="Y1233" i="30"/>
  <c r="V1233" i="30"/>
  <c r="S1233" i="30"/>
  <c r="P1233" i="30"/>
  <c r="M1233" i="30"/>
  <c r="L1233" i="30"/>
  <c r="U1233" i="30" s="1"/>
  <c r="AH1232" i="30"/>
  <c r="AE1232" i="30"/>
  <c r="AB1232" i="30"/>
  <c r="Y1232" i="30"/>
  <c r="V1232" i="30"/>
  <c r="S1232" i="30"/>
  <c r="P1232" i="30"/>
  <c r="M1232" i="30"/>
  <c r="L1232" i="30"/>
  <c r="U1232" i="30" s="1"/>
  <c r="L1228" i="30"/>
  <c r="U1228" i="30" s="1"/>
  <c r="AH1220" i="30"/>
  <c r="S1220" i="30"/>
  <c r="M1220" i="30"/>
  <c r="L1220" i="30"/>
  <c r="AH1219" i="30"/>
  <c r="S1219" i="30"/>
  <c r="M1219" i="30"/>
  <c r="L1219" i="30"/>
  <c r="L1216" i="30"/>
  <c r="U1216" i="30" s="1"/>
  <c r="L1213" i="30"/>
  <c r="U1213" i="30" s="1"/>
  <c r="AB1212" i="30"/>
  <c r="P1212" i="30"/>
  <c r="M1212" i="30"/>
  <c r="L1212" i="30"/>
  <c r="U1212" i="30" s="1"/>
  <c r="AB1209" i="30"/>
  <c r="P1209" i="30"/>
  <c r="M1209" i="30"/>
  <c r="L1209" i="30"/>
  <c r="U1209" i="30" s="1"/>
  <c r="AC1208" i="30"/>
  <c r="AB1208" i="30"/>
  <c r="Q1208" i="30"/>
  <c r="P1208" i="30"/>
  <c r="N1208" i="30"/>
  <c r="M1208" i="30"/>
  <c r="L1208" i="30"/>
  <c r="U1208" i="30" s="1"/>
  <c r="AC1207" i="30"/>
  <c r="AD1207" i="30" s="1"/>
  <c r="Q1207" i="30"/>
  <c r="R1207" i="30" s="1"/>
  <c r="N1207" i="30"/>
  <c r="O1207" i="30" s="1"/>
  <c r="AC1206" i="30"/>
  <c r="AD1206" i="30" s="1"/>
  <c r="Q1206" i="30"/>
  <c r="R1206" i="30" s="1"/>
  <c r="N1206" i="30"/>
  <c r="O1206" i="30" s="1"/>
  <c r="AB1203" i="30"/>
  <c r="P1203" i="30"/>
  <c r="M1203" i="30"/>
  <c r="L1203" i="30"/>
  <c r="U1203" i="30" s="1"/>
  <c r="AC1202" i="30"/>
  <c r="AB1202" i="30"/>
  <c r="Q1202" i="30"/>
  <c r="P1202" i="30"/>
  <c r="N1202" i="30"/>
  <c r="M1202" i="30"/>
  <c r="L1202" i="30"/>
  <c r="U1202" i="30" s="1"/>
  <c r="AC1201" i="30"/>
  <c r="AD1201" i="30" s="1"/>
  <c r="Q1201" i="30"/>
  <c r="R1201" i="30" s="1"/>
  <c r="N1201" i="30"/>
  <c r="O1201" i="30" s="1"/>
  <c r="AC1200" i="30"/>
  <c r="AD1200" i="30" s="1"/>
  <c r="Q1200" i="30"/>
  <c r="R1200" i="30" s="1"/>
  <c r="N1200" i="30"/>
  <c r="O1200" i="30" s="1"/>
  <c r="L1198" i="30"/>
  <c r="U1198" i="30" s="1"/>
  <c r="M1197" i="30"/>
  <c r="L1197" i="30"/>
  <c r="U1197" i="30" s="1"/>
  <c r="AE1194" i="30"/>
  <c r="Y1194" i="30"/>
  <c r="P1194" i="30"/>
  <c r="M1194" i="30"/>
  <c r="L1194" i="30"/>
  <c r="U1194" i="30" s="1"/>
  <c r="L1193" i="30"/>
  <c r="U1193" i="30" s="1"/>
  <c r="Y1190" i="30"/>
  <c r="M1190" i="30"/>
  <c r="L1190" i="30"/>
  <c r="U1190" i="30" s="1"/>
  <c r="Y1189" i="30"/>
  <c r="M1189" i="30"/>
  <c r="L1189" i="30"/>
  <c r="U1189" i="30" s="1"/>
  <c r="L1184" i="30"/>
  <c r="U1184" i="30" s="1"/>
  <c r="M1168" i="30"/>
  <c r="L1168" i="30"/>
  <c r="U1168" i="30" s="1"/>
  <c r="M1167" i="30"/>
  <c r="L1167" i="30"/>
  <c r="U1167" i="30" s="1"/>
  <c r="M1163" i="30"/>
  <c r="L1163" i="30"/>
  <c r="U1163" i="30" s="1"/>
  <c r="M1162" i="30"/>
  <c r="L1162" i="30"/>
  <c r="U1162" i="30" s="1"/>
  <c r="M1158" i="30"/>
  <c r="L1158" i="30"/>
  <c r="U1158" i="30" s="1"/>
  <c r="M1157" i="30"/>
  <c r="L1157" i="30"/>
  <c r="U1157" i="30" s="1"/>
  <c r="M1154" i="30"/>
  <c r="L1154" i="30"/>
  <c r="U1154" i="30" s="1"/>
  <c r="M1153" i="30"/>
  <c r="L1153" i="30"/>
  <c r="U1153" i="30" s="1"/>
  <c r="M1151" i="30"/>
  <c r="L1151" i="30"/>
  <c r="U1151" i="30" s="1"/>
  <c r="M1150" i="30"/>
  <c r="L1150" i="30"/>
  <c r="U1150" i="30" s="1"/>
  <c r="L1146" i="30"/>
  <c r="U1146" i="30" s="1"/>
  <c r="M1142" i="30"/>
  <c r="L1142" i="30"/>
  <c r="U1142" i="30" s="1"/>
  <c r="M1141" i="30"/>
  <c r="L1141" i="30"/>
  <c r="U1141" i="30" s="1"/>
  <c r="L1138" i="30"/>
  <c r="U1138" i="30" s="1"/>
  <c r="Y1132" i="30"/>
  <c r="M1132" i="30"/>
  <c r="L1132" i="30"/>
  <c r="U1132" i="30" s="1"/>
  <c r="Y1131" i="30"/>
  <c r="M1131" i="30"/>
  <c r="L1131" i="30"/>
  <c r="U1131" i="30" s="1"/>
  <c r="L1125" i="30"/>
  <c r="U1125" i="30" s="1"/>
  <c r="Y1124" i="30"/>
  <c r="L1124" i="30"/>
  <c r="U1124" i="30" s="1"/>
  <c r="Y1122" i="30"/>
  <c r="AA1122" i="30" s="1"/>
  <c r="AK1122" i="30" s="1"/>
  <c r="V1119" i="30"/>
  <c r="L1119" i="30"/>
  <c r="U1119" i="30" s="1"/>
  <c r="V1118" i="30"/>
  <c r="L1118" i="30"/>
  <c r="U1118" i="30" s="1"/>
  <c r="L1115" i="30"/>
  <c r="U1115" i="30" s="1"/>
  <c r="AE1114" i="30"/>
  <c r="S1114" i="30"/>
  <c r="L1114" i="30"/>
  <c r="U1114" i="30" s="1"/>
  <c r="N1110" i="30"/>
  <c r="O1110" i="30" s="1"/>
  <c r="Y1107" i="30"/>
  <c r="S1107" i="30"/>
  <c r="L1107" i="30"/>
  <c r="Y1106" i="30"/>
  <c r="S1106" i="30"/>
  <c r="L1106" i="30"/>
  <c r="AH1102" i="30"/>
  <c r="AE1102" i="30"/>
  <c r="AB1102" i="30"/>
  <c r="Y1102" i="30"/>
  <c r="V1102" i="30"/>
  <c r="S1102" i="30"/>
  <c r="P1102" i="30"/>
  <c r="M1102" i="30"/>
  <c r="L1102" i="30"/>
  <c r="AH1101" i="30"/>
  <c r="AE1101" i="30"/>
  <c r="AB1101" i="30"/>
  <c r="Y1101" i="30"/>
  <c r="V1101" i="30"/>
  <c r="S1101" i="30"/>
  <c r="P1101" i="30"/>
  <c r="M1101" i="30"/>
  <c r="L1101" i="30"/>
  <c r="AH1092" i="30"/>
  <c r="AE1092" i="30"/>
  <c r="AB1092" i="30"/>
  <c r="Y1092" i="30"/>
  <c r="V1092" i="30"/>
  <c r="S1092" i="30"/>
  <c r="P1092" i="30"/>
  <c r="M1092" i="30"/>
  <c r="L1092" i="30"/>
  <c r="U1092" i="30" s="1"/>
  <c r="AH1091" i="30"/>
  <c r="AE1091" i="30"/>
  <c r="AB1091" i="30"/>
  <c r="Y1091" i="30"/>
  <c r="V1091" i="30"/>
  <c r="S1091" i="30"/>
  <c r="P1091" i="30"/>
  <c r="M1091" i="30"/>
  <c r="L1091" i="30"/>
  <c r="U1091" i="30" s="1"/>
  <c r="AH1084" i="30"/>
  <c r="AB1084" i="30"/>
  <c r="V1084" i="30"/>
  <c r="P1084" i="30"/>
  <c r="L1084" i="30"/>
  <c r="U1084" i="30" s="1"/>
  <c r="AH1083" i="30"/>
  <c r="AB1083" i="30"/>
  <c r="V1083" i="30"/>
  <c r="P1083" i="30"/>
  <c r="L1083" i="30"/>
  <c r="U1083" i="30" s="1"/>
  <c r="AH1078" i="30"/>
  <c r="AE1078" i="30"/>
  <c r="AB1078" i="30"/>
  <c r="Y1078" i="30"/>
  <c r="V1078" i="30"/>
  <c r="S1078" i="30"/>
  <c r="P1078" i="30"/>
  <c r="M1078" i="30"/>
  <c r="L1078" i="30"/>
  <c r="U1078" i="30" s="1"/>
  <c r="M1077" i="30"/>
  <c r="L1077" i="30"/>
  <c r="U1077" i="30" s="1"/>
  <c r="AH1074" i="30"/>
  <c r="AE1074" i="30"/>
  <c r="AB1074" i="30"/>
  <c r="Y1074" i="30"/>
  <c r="V1074" i="30"/>
  <c r="S1074" i="30"/>
  <c r="P1074" i="30"/>
  <c r="M1074" i="30"/>
  <c r="L1074" i="30"/>
  <c r="M1065" i="30"/>
  <c r="L1065" i="30"/>
  <c r="U1065" i="30" s="1"/>
  <c r="M1064" i="30"/>
  <c r="L1064" i="30"/>
  <c r="U1064" i="30" s="1"/>
  <c r="M1059" i="30"/>
  <c r="L1059" i="30"/>
  <c r="U1059" i="30" s="1"/>
  <c r="M1058" i="30"/>
  <c r="L1058" i="30"/>
  <c r="U1058" i="30" s="1"/>
  <c r="M1054" i="30"/>
  <c r="L1054" i="30"/>
  <c r="U1054" i="30" s="1"/>
  <c r="M1051" i="30"/>
  <c r="L1051" i="30"/>
  <c r="U1051" i="30" s="1"/>
  <c r="M1049" i="30"/>
  <c r="L1049" i="30"/>
  <c r="U1049" i="30" s="1"/>
  <c r="M1046" i="30"/>
  <c r="L1046" i="30"/>
  <c r="U1046" i="30" s="1"/>
  <c r="M1045" i="30"/>
  <c r="L1045" i="30"/>
  <c r="U1045" i="30" s="1"/>
  <c r="L1041" i="30"/>
  <c r="U1041" i="30" s="1"/>
  <c r="AH892" i="30"/>
  <c r="AE892" i="30"/>
  <c r="AB892" i="30"/>
  <c r="Y892" i="30"/>
  <c r="V892" i="30"/>
  <c r="S892" i="30"/>
  <c r="P892" i="30"/>
  <c r="M892" i="30"/>
  <c r="L892" i="30"/>
  <c r="U892" i="30" s="1"/>
  <c r="AH891" i="30"/>
  <c r="AE891" i="30"/>
  <c r="AB891" i="30"/>
  <c r="Y891" i="30"/>
  <c r="V891" i="30"/>
  <c r="S891" i="30"/>
  <c r="P891" i="30"/>
  <c r="M891" i="30"/>
  <c r="L891" i="30"/>
  <c r="U891" i="30" s="1"/>
  <c r="AH885" i="30"/>
  <c r="AE885" i="30"/>
  <c r="AB885" i="30"/>
  <c r="Y885" i="30"/>
  <c r="V885" i="30"/>
  <c r="S885" i="30"/>
  <c r="P885" i="30"/>
  <c r="M885" i="30"/>
  <c r="L885" i="30"/>
  <c r="U885" i="30" s="1"/>
  <c r="AH884" i="30"/>
  <c r="AE884" i="30"/>
  <c r="AB884" i="30"/>
  <c r="Y884" i="30"/>
  <c r="V884" i="30"/>
  <c r="S884" i="30"/>
  <c r="P884" i="30"/>
  <c r="M884" i="30"/>
  <c r="L884" i="30"/>
  <c r="AH880" i="30"/>
  <c r="AE880" i="30"/>
  <c r="AB880" i="30"/>
  <c r="Y880" i="30"/>
  <c r="V880" i="30"/>
  <c r="S880" i="30"/>
  <c r="P880" i="30"/>
  <c r="M880" i="30"/>
  <c r="L880" i="30"/>
  <c r="AH879" i="30"/>
  <c r="AE879" i="30"/>
  <c r="AB879" i="30"/>
  <c r="Y879" i="30"/>
  <c r="V879" i="30"/>
  <c r="S879" i="30"/>
  <c r="P879" i="30"/>
  <c r="M879" i="30"/>
  <c r="L879" i="30"/>
  <c r="U879" i="30" s="1"/>
  <c r="L873" i="30"/>
  <c r="U873" i="30" s="1"/>
  <c r="AH872" i="30"/>
  <c r="AE872" i="30"/>
  <c r="AB872" i="30"/>
  <c r="Y872" i="30"/>
  <c r="V872" i="30"/>
  <c r="S872" i="30"/>
  <c r="P872" i="30"/>
  <c r="L872" i="30"/>
  <c r="U872" i="30" s="1"/>
  <c r="AH869" i="30"/>
  <c r="AE869" i="30"/>
  <c r="AB869" i="30"/>
  <c r="Y869" i="30"/>
  <c r="V869" i="30"/>
  <c r="S869" i="30"/>
  <c r="P869" i="30"/>
  <c r="L869" i="30"/>
  <c r="U869" i="30" s="1"/>
  <c r="AH868" i="30"/>
  <c r="AE868" i="30"/>
  <c r="AB868" i="30"/>
  <c r="Y868" i="30"/>
  <c r="V868" i="30"/>
  <c r="S868" i="30"/>
  <c r="P868" i="30"/>
  <c r="L868" i="30"/>
  <c r="U868" i="30" s="1"/>
  <c r="AH865" i="30"/>
  <c r="AE865" i="30"/>
  <c r="AB865" i="30"/>
  <c r="Y865" i="30"/>
  <c r="V865" i="30"/>
  <c r="S865" i="30"/>
  <c r="P865" i="30"/>
  <c r="L865" i="30"/>
  <c r="U865" i="30" s="1"/>
  <c r="AH864" i="30"/>
  <c r="AE864" i="30"/>
  <c r="AB864" i="30"/>
  <c r="Y864" i="30"/>
  <c r="V864" i="30"/>
  <c r="S864" i="30"/>
  <c r="P864" i="30"/>
  <c r="L864" i="30"/>
  <c r="U864" i="30" s="1"/>
  <c r="AH860" i="30"/>
  <c r="AE860" i="30"/>
  <c r="AB860" i="30"/>
  <c r="Y860" i="30"/>
  <c r="V860" i="30"/>
  <c r="S860" i="30"/>
  <c r="P860" i="30"/>
  <c r="L860" i="30"/>
  <c r="U860" i="30" s="1"/>
  <c r="AH859" i="30"/>
  <c r="AE859" i="30"/>
  <c r="AB859" i="30"/>
  <c r="Y859" i="30"/>
  <c r="V859" i="30"/>
  <c r="S859" i="30"/>
  <c r="P859" i="30"/>
  <c r="L859" i="30"/>
  <c r="U859" i="30" s="1"/>
  <c r="AH856" i="30"/>
  <c r="AE856" i="30"/>
  <c r="AB856" i="30"/>
  <c r="Y856" i="30"/>
  <c r="V856" i="30"/>
  <c r="S856" i="30"/>
  <c r="P856" i="30"/>
  <c r="L856" i="30"/>
  <c r="U856" i="30" s="1"/>
  <c r="AH855" i="30"/>
  <c r="AE855" i="30"/>
  <c r="AB855" i="30"/>
  <c r="Y855" i="30"/>
  <c r="V855" i="30"/>
  <c r="S855" i="30"/>
  <c r="P855" i="30"/>
  <c r="L855" i="30"/>
  <c r="U855" i="30" s="1"/>
  <c r="AH852" i="30"/>
  <c r="AE852" i="30"/>
  <c r="AB852" i="30"/>
  <c r="Y852" i="30"/>
  <c r="V852" i="30"/>
  <c r="S852" i="30"/>
  <c r="P852" i="30"/>
  <c r="L852" i="30"/>
  <c r="U852" i="30" s="1"/>
  <c r="AH851" i="30"/>
  <c r="AE851" i="30"/>
  <c r="AB851" i="30"/>
  <c r="Y851" i="30"/>
  <c r="V851" i="30"/>
  <c r="S851" i="30"/>
  <c r="P851" i="30"/>
  <c r="L851" i="30"/>
  <c r="U851" i="30" s="1"/>
  <c r="L846" i="30"/>
  <c r="U846" i="30" s="1"/>
  <c r="K846" i="30"/>
  <c r="AH845" i="30"/>
  <c r="AE845" i="30"/>
  <c r="AB845" i="30"/>
  <c r="Y845" i="30"/>
  <c r="V845" i="30"/>
  <c r="S845" i="30"/>
  <c r="L845" i="30"/>
  <c r="AH844" i="30"/>
  <c r="AE844" i="30"/>
  <c r="AB844" i="30"/>
  <c r="Y844" i="30"/>
  <c r="V844" i="30"/>
  <c r="S844" i="30"/>
  <c r="L844" i="30"/>
  <c r="U844" i="30" s="1"/>
  <c r="AH841" i="30"/>
  <c r="AE841" i="30"/>
  <c r="AB841" i="30"/>
  <c r="Y841" i="30"/>
  <c r="V841" i="30"/>
  <c r="S841" i="30"/>
  <c r="L841" i="30"/>
  <c r="U841" i="30" s="1"/>
  <c r="AH840" i="30"/>
  <c r="AE840" i="30"/>
  <c r="AB840" i="30"/>
  <c r="Y840" i="30"/>
  <c r="V840" i="30"/>
  <c r="S840" i="30"/>
  <c r="L840" i="30"/>
  <c r="L833" i="30"/>
  <c r="U833" i="30" s="1"/>
  <c r="L832" i="30"/>
  <c r="U832" i="30" s="1"/>
  <c r="AB825" i="30"/>
  <c r="P825" i="30"/>
  <c r="L825" i="30"/>
  <c r="U825" i="30" s="1"/>
  <c r="AB824" i="30"/>
  <c r="P824" i="30"/>
  <c r="L824" i="30"/>
  <c r="U824" i="30" s="1"/>
  <c r="AB820" i="30"/>
  <c r="P820" i="30"/>
  <c r="L820" i="30"/>
  <c r="U820" i="30" s="1"/>
  <c r="AB815" i="30"/>
  <c r="P815" i="30"/>
  <c r="L815" i="30"/>
  <c r="U815" i="30" s="1"/>
  <c r="AB814" i="30"/>
  <c r="P814" i="30"/>
  <c r="L814" i="30"/>
  <c r="U814" i="30" s="1"/>
  <c r="AB811" i="30"/>
  <c r="P811" i="30"/>
  <c r="L811" i="30"/>
  <c r="U811" i="30" s="1"/>
  <c r="AB810" i="30"/>
  <c r="AD810" i="30" s="1"/>
  <c r="P810" i="30"/>
  <c r="R810" i="30" s="1"/>
  <c r="L806" i="30"/>
  <c r="U806" i="30" s="1"/>
  <c r="L801" i="30"/>
  <c r="U801" i="30" s="1"/>
  <c r="L800" i="30"/>
  <c r="U800" i="30" s="1"/>
  <c r="AH794" i="30"/>
  <c r="AE794" i="30"/>
  <c r="AB794" i="30"/>
  <c r="Y794" i="30"/>
  <c r="V794" i="30"/>
  <c r="S794" i="30"/>
  <c r="L794" i="30"/>
  <c r="AH793" i="30"/>
  <c r="AE793" i="30"/>
  <c r="AB793" i="30"/>
  <c r="Y793" i="30"/>
  <c r="V793" i="30"/>
  <c r="S793" i="30"/>
  <c r="L793" i="30"/>
  <c r="U793" i="30" s="1"/>
  <c r="AH790" i="30"/>
  <c r="AE790" i="30"/>
  <c r="AB790" i="30"/>
  <c r="Y790" i="30"/>
  <c r="V790" i="30"/>
  <c r="S790" i="30"/>
  <c r="L790" i="30"/>
  <c r="AH789" i="30"/>
  <c r="AE789" i="30"/>
  <c r="AB789" i="30"/>
  <c r="Y789" i="30"/>
  <c r="V789" i="30"/>
  <c r="S789" i="30"/>
  <c r="L789" i="30"/>
  <c r="U789" i="30" s="1"/>
  <c r="P784" i="30"/>
  <c r="L784" i="30"/>
  <c r="U784" i="30" s="1"/>
  <c r="P783" i="30"/>
  <c r="L783" i="30"/>
  <c r="U783" i="30" s="1"/>
  <c r="P780" i="30"/>
  <c r="L780" i="30"/>
  <c r="U780" i="30" s="1"/>
  <c r="P779" i="30"/>
  <c r="L779" i="30"/>
  <c r="U779" i="30" s="1"/>
  <c r="P776" i="30"/>
  <c r="L776" i="30"/>
  <c r="U776" i="30" s="1"/>
  <c r="P775" i="30"/>
  <c r="L775" i="30"/>
  <c r="U775" i="30" s="1"/>
  <c r="P772" i="30"/>
  <c r="L772" i="30"/>
  <c r="U772" i="30" s="1"/>
  <c r="P771" i="30"/>
  <c r="L771" i="30"/>
  <c r="U771" i="30" s="1"/>
  <c r="L768" i="30"/>
  <c r="U768" i="30" s="1"/>
  <c r="AE146" i="7"/>
  <c r="AB146" i="7"/>
  <c r="Y146" i="7"/>
  <c r="V146" i="7"/>
  <c r="S146" i="7"/>
  <c r="P146" i="7"/>
  <c r="M146" i="7"/>
  <c r="J146" i="7"/>
  <c r="AE145" i="7"/>
  <c r="AB145" i="7"/>
  <c r="Y145" i="7"/>
  <c r="V145" i="7"/>
  <c r="S145" i="7"/>
  <c r="P145" i="7"/>
  <c r="M145" i="7"/>
  <c r="J145" i="7"/>
  <c r="AE144" i="7"/>
  <c r="AB144" i="7"/>
  <c r="Y144" i="7"/>
  <c r="V144" i="7"/>
  <c r="S144" i="7"/>
  <c r="P144" i="7"/>
  <c r="M144" i="7"/>
  <c r="J144" i="7"/>
  <c r="AE143" i="7"/>
  <c r="AB143" i="7"/>
  <c r="Y143" i="7"/>
  <c r="V143" i="7"/>
  <c r="S143" i="7"/>
  <c r="P143" i="7"/>
  <c r="M143" i="7"/>
  <c r="J143" i="7"/>
  <c r="AC142" i="7"/>
  <c r="Z142" i="7"/>
  <c r="W142" i="7"/>
  <c r="T142" i="7"/>
  <c r="Q142" i="7"/>
  <c r="N142" i="7"/>
  <c r="K142" i="7"/>
  <c r="H142" i="7"/>
  <c r="G142" i="7"/>
  <c r="AE142" i="7" s="1"/>
  <c r="AC141" i="7"/>
  <c r="Z141" i="7"/>
  <c r="W141" i="7"/>
  <c r="T141" i="7"/>
  <c r="Q141" i="7"/>
  <c r="N141" i="7"/>
  <c r="K141" i="7"/>
  <c r="H141" i="7"/>
  <c r="G141" i="7"/>
  <c r="AE140" i="7"/>
  <c r="AB140" i="7"/>
  <c r="Y140" i="7"/>
  <c r="V140" i="7"/>
  <c r="S140" i="7"/>
  <c r="P140" i="7"/>
  <c r="M140" i="7"/>
  <c r="J140" i="7"/>
  <c r="AE139" i="7"/>
  <c r="AB139" i="7"/>
  <c r="Y139" i="7"/>
  <c r="V139" i="7"/>
  <c r="S139" i="7"/>
  <c r="P139" i="7"/>
  <c r="M139" i="7"/>
  <c r="J139" i="7"/>
  <c r="AE138" i="7"/>
  <c r="AB138" i="7"/>
  <c r="Y138" i="7"/>
  <c r="V138" i="7"/>
  <c r="S138" i="7"/>
  <c r="P138" i="7"/>
  <c r="M138" i="7"/>
  <c r="J138" i="7"/>
  <c r="AE137" i="7"/>
  <c r="AB137" i="7"/>
  <c r="Y137" i="7"/>
  <c r="V137" i="7"/>
  <c r="S137" i="7"/>
  <c r="P137" i="7"/>
  <c r="M137" i="7"/>
  <c r="J137" i="7"/>
  <c r="AE136" i="7"/>
  <c r="AB136" i="7"/>
  <c r="Y136" i="7"/>
  <c r="V136" i="7"/>
  <c r="S136" i="7"/>
  <c r="P136" i="7"/>
  <c r="M136" i="7"/>
  <c r="J136" i="7"/>
  <c r="AC135" i="7"/>
  <c r="Z135" i="7"/>
  <c r="W135" i="7"/>
  <c r="T135" i="7"/>
  <c r="Q135" i="7"/>
  <c r="N135" i="7"/>
  <c r="K135" i="7"/>
  <c r="H135" i="7"/>
  <c r="G135" i="7"/>
  <c r="AC134" i="7"/>
  <c r="Z134" i="7"/>
  <c r="W134" i="7"/>
  <c r="Y134" i="7" s="1"/>
  <c r="T134" i="7"/>
  <c r="Q134" i="7"/>
  <c r="N134" i="7"/>
  <c r="K134" i="7"/>
  <c r="H134" i="7"/>
  <c r="G134" i="7"/>
  <c r="AE134" i="7" s="1"/>
  <c r="AE133" i="7"/>
  <c r="AB133" i="7"/>
  <c r="Y133" i="7"/>
  <c r="V133" i="7"/>
  <c r="S133" i="7"/>
  <c r="P133" i="7"/>
  <c r="M133" i="7"/>
  <c r="J133" i="7"/>
  <c r="AE132" i="7"/>
  <c r="AB132" i="7"/>
  <c r="Y132" i="7"/>
  <c r="V132" i="7"/>
  <c r="S132" i="7"/>
  <c r="P132" i="7"/>
  <c r="M132" i="7"/>
  <c r="J132" i="7"/>
  <c r="AE131" i="7"/>
  <c r="AB131" i="7"/>
  <c r="Y131" i="7"/>
  <c r="V131" i="7"/>
  <c r="S131" i="7"/>
  <c r="P131" i="7"/>
  <c r="M131" i="7"/>
  <c r="J131" i="7"/>
  <c r="AC130" i="7"/>
  <c r="Z130" i="7"/>
  <c r="W130" i="7"/>
  <c r="T130" i="7"/>
  <c r="Q130" i="7"/>
  <c r="N130" i="7"/>
  <c r="K130" i="7"/>
  <c r="H130" i="7"/>
  <c r="G130" i="7"/>
  <c r="AC129" i="7"/>
  <c r="Z129" i="7"/>
  <c r="W129" i="7"/>
  <c r="T129" i="7"/>
  <c r="Q129" i="7"/>
  <c r="N129" i="7"/>
  <c r="K129" i="7"/>
  <c r="H129" i="7"/>
  <c r="G129" i="7"/>
  <c r="AE128" i="7"/>
  <c r="AB128" i="7"/>
  <c r="Y128" i="7"/>
  <c r="V128" i="7"/>
  <c r="S128" i="7"/>
  <c r="P128" i="7"/>
  <c r="M128" i="7"/>
  <c r="J128" i="7"/>
  <c r="AE127" i="7"/>
  <c r="AB127" i="7"/>
  <c r="Y127" i="7"/>
  <c r="V127" i="7"/>
  <c r="S127" i="7"/>
  <c r="P127" i="7"/>
  <c r="M127" i="7"/>
  <c r="J127" i="7"/>
  <c r="AE123" i="7"/>
  <c r="AB123" i="7"/>
  <c r="Y123" i="7"/>
  <c r="V123" i="7"/>
  <c r="S123" i="7"/>
  <c r="P123" i="7"/>
  <c r="M123" i="7"/>
  <c r="J123" i="7"/>
  <c r="AE122" i="7"/>
  <c r="AB122" i="7"/>
  <c r="Y122" i="7"/>
  <c r="V122" i="7"/>
  <c r="S122" i="7"/>
  <c r="P122" i="7"/>
  <c r="M122" i="7"/>
  <c r="J122" i="7"/>
  <c r="AE121" i="7"/>
  <c r="AB121" i="7"/>
  <c r="Y121" i="7"/>
  <c r="V121" i="7"/>
  <c r="S121" i="7"/>
  <c r="P121" i="7"/>
  <c r="M121" i="7"/>
  <c r="J121" i="7"/>
  <c r="G120" i="7"/>
  <c r="Y120" i="7" s="1"/>
  <c r="AC119" i="7"/>
  <c r="Z119" i="7"/>
  <c r="W119" i="7"/>
  <c r="T119" i="7"/>
  <c r="Q119" i="7"/>
  <c r="N119" i="7"/>
  <c r="K119" i="7"/>
  <c r="G119" i="7"/>
  <c r="J119" i="7" s="1"/>
  <c r="AE118" i="7"/>
  <c r="AB118" i="7"/>
  <c r="Y118" i="7"/>
  <c r="V118" i="7"/>
  <c r="S118" i="7"/>
  <c r="P118" i="7"/>
  <c r="M118" i="7"/>
  <c r="J118" i="7"/>
  <c r="AE117" i="7"/>
  <c r="AB117" i="7"/>
  <c r="Y117" i="7"/>
  <c r="V117" i="7"/>
  <c r="S117" i="7"/>
  <c r="P117" i="7"/>
  <c r="M117" i="7"/>
  <c r="J117" i="7"/>
  <c r="AC116" i="7"/>
  <c r="Z116" i="7"/>
  <c r="W116" i="7"/>
  <c r="T116" i="7"/>
  <c r="V116" i="7" s="1"/>
  <c r="Q116" i="7"/>
  <c r="N116" i="7"/>
  <c r="K116" i="7"/>
  <c r="G116" i="7"/>
  <c r="AC115" i="7"/>
  <c r="Z115" i="7"/>
  <c r="W115" i="7"/>
  <c r="T115" i="7"/>
  <c r="Q115" i="7"/>
  <c r="N115" i="7"/>
  <c r="K115" i="7"/>
  <c r="G115" i="7"/>
  <c r="AE114" i="7"/>
  <c r="AB114" i="7"/>
  <c r="Y114" i="7"/>
  <c r="V114" i="7"/>
  <c r="S114" i="7"/>
  <c r="P114" i="7"/>
  <c r="M114" i="7"/>
  <c r="J114" i="7"/>
  <c r="AE113" i="7"/>
  <c r="AB113" i="7"/>
  <c r="Y113" i="7"/>
  <c r="V113" i="7"/>
  <c r="S113" i="7"/>
  <c r="P113" i="7"/>
  <c r="M113" i="7"/>
  <c r="J113" i="7"/>
  <c r="AC112" i="7"/>
  <c r="Z112" i="7"/>
  <c r="W112" i="7"/>
  <c r="T112" i="7"/>
  <c r="Q112" i="7"/>
  <c r="N112" i="7"/>
  <c r="K112" i="7"/>
  <c r="G112" i="7"/>
  <c r="AC111" i="7"/>
  <c r="Z111" i="7"/>
  <c r="W111" i="7"/>
  <c r="T111" i="7"/>
  <c r="Q111" i="7"/>
  <c r="N111" i="7"/>
  <c r="K111" i="7"/>
  <c r="G111" i="7"/>
  <c r="J111" i="7" s="1"/>
  <c r="AE110" i="7"/>
  <c r="AB110" i="7"/>
  <c r="Y110" i="7"/>
  <c r="V110" i="7"/>
  <c r="S110" i="7"/>
  <c r="P110" i="7"/>
  <c r="M110" i="7"/>
  <c r="J110" i="7"/>
  <c r="AE109" i="7"/>
  <c r="AB109" i="7"/>
  <c r="Y109" i="7"/>
  <c r="V109" i="7"/>
  <c r="S109" i="7"/>
  <c r="P109" i="7"/>
  <c r="M109" i="7"/>
  <c r="J109" i="7"/>
  <c r="AE108" i="7"/>
  <c r="AB108" i="7"/>
  <c r="Y108" i="7"/>
  <c r="V108" i="7"/>
  <c r="S108" i="7"/>
  <c r="P108" i="7"/>
  <c r="M108" i="7"/>
  <c r="J108" i="7"/>
  <c r="AC107" i="7"/>
  <c r="Z107" i="7"/>
  <c r="W107" i="7"/>
  <c r="T107" i="7"/>
  <c r="Q107" i="7"/>
  <c r="N107" i="7"/>
  <c r="K107" i="7"/>
  <c r="G107" i="7"/>
  <c r="AC106" i="7"/>
  <c r="Z106" i="7"/>
  <c r="W106" i="7"/>
  <c r="T106" i="7"/>
  <c r="Q106" i="7"/>
  <c r="N106" i="7"/>
  <c r="K106" i="7"/>
  <c r="G106" i="7"/>
  <c r="AE105" i="7"/>
  <c r="AB105" i="7"/>
  <c r="Y105" i="7"/>
  <c r="V105" i="7"/>
  <c r="S105" i="7"/>
  <c r="P105" i="7"/>
  <c r="M105" i="7"/>
  <c r="J105" i="7"/>
  <c r="AE104" i="7"/>
  <c r="AB104" i="7"/>
  <c r="Y104" i="7"/>
  <c r="V104" i="7"/>
  <c r="S104" i="7"/>
  <c r="P104" i="7"/>
  <c r="M104" i="7"/>
  <c r="J104" i="7"/>
  <c r="AC103" i="7"/>
  <c r="Z103" i="7"/>
  <c r="W103" i="7"/>
  <c r="T103" i="7"/>
  <c r="Q103" i="7"/>
  <c r="N103" i="7"/>
  <c r="K103" i="7"/>
  <c r="G103" i="7"/>
  <c r="AE103" i="7" s="1"/>
  <c r="AC102" i="7"/>
  <c r="Z102" i="7"/>
  <c r="W102" i="7"/>
  <c r="T102" i="7"/>
  <c r="Q102" i="7"/>
  <c r="N102" i="7"/>
  <c r="K102" i="7"/>
  <c r="G102" i="7"/>
  <c r="V102" i="7" s="1"/>
  <c r="AE101" i="7"/>
  <c r="AB101" i="7"/>
  <c r="Y101" i="7"/>
  <c r="V101" i="7"/>
  <c r="S101" i="7"/>
  <c r="P101" i="7"/>
  <c r="M101" i="7"/>
  <c r="J101" i="7"/>
  <c r="AE100" i="7"/>
  <c r="AB100" i="7"/>
  <c r="Y100" i="7"/>
  <c r="V100" i="7"/>
  <c r="S100" i="7"/>
  <c r="P100" i="7"/>
  <c r="M100" i="7"/>
  <c r="J100" i="7"/>
  <c r="AC99" i="7"/>
  <c r="Z99" i="7"/>
  <c r="W99" i="7"/>
  <c r="T99" i="7"/>
  <c r="Q99" i="7"/>
  <c r="S99" i="7" s="1"/>
  <c r="N99" i="7"/>
  <c r="K99" i="7"/>
  <c r="G99" i="7"/>
  <c r="AE99" i="7" s="1"/>
  <c r="AC98" i="7"/>
  <c r="Z98" i="7"/>
  <c r="W98" i="7"/>
  <c r="T98" i="7"/>
  <c r="Q98" i="7"/>
  <c r="N98" i="7"/>
  <c r="K98" i="7"/>
  <c r="G98" i="7"/>
  <c r="AE97" i="7"/>
  <c r="AB97" i="7"/>
  <c r="Y97" i="7"/>
  <c r="V97" i="7"/>
  <c r="S97" i="7"/>
  <c r="P97" i="7"/>
  <c r="M97" i="7"/>
  <c r="J97" i="7"/>
  <c r="AE96" i="7"/>
  <c r="AB96" i="7"/>
  <c r="Y96" i="7"/>
  <c r="V96" i="7"/>
  <c r="S96" i="7"/>
  <c r="P96" i="7"/>
  <c r="M96" i="7"/>
  <c r="J96" i="7"/>
  <c r="AE95" i="7"/>
  <c r="AB95" i="7"/>
  <c r="Y95" i="7"/>
  <c r="V95" i="7"/>
  <c r="S95" i="7"/>
  <c r="P95" i="7"/>
  <c r="M95" i="7"/>
  <c r="J95" i="7"/>
  <c r="AE94" i="7"/>
  <c r="AB94" i="7"/>
  <c r="Y94" i="7"/>
  <c r="V94" i="7"/>
  <c r="S94" i="7"/>
  <c r="P94" i="7"/>
  <c r="M94" i="7"/>
  <c r="J94" i="7"/>
  <c r="AE93" i="7"/>
  <c r="AB93" i="7"/>
  <c r="Y93" i="7"/>
  <c r="V93" i="7"/>
  <c r="S93" i="7"/>
  <c r="P93" i="7"/>
  <c r="M93" i="7"/>
  <c r="J93" i="7"/>
  <c r="AE92" i="7"/>
  <c r="AB92" i="7"/>
  <c r="Y92" i="7"/>
  <c r="V92" i="7"/>
  <c r="S92" i="7"/>
  <c r="P92" i="7"/>
  <c r="M92" i="7"/>
  <c r="J92" i="7"/>
  <c r="G90" i="7"/>
  <c r="AE90" i="7" s="1"/>
  <c r="F90" i="7"/>
  <c r="AE89" i="7"/>
  <c r="AB89" i="7"/>
  <c r="Y89" i="7"/>
  <c r="V89" i="7"/>
  <c r="S89" i="7"/>
  <c r="P89" i="7"/>
  <c r="M89" i="7"/>
  <c r="J89" i="7"/>
  <c r="AC88" i="7"/>
  <c r="Z88" i="7"/>
  <c r="W88" i="7"/>
  <c r="T88" i="7"/>
  <c r="Q88" i="7"/>
  <c r="N88" i="7"/>
  <c r="G88" i="7"/>
  <c r="AC87" i="7"/>
  <c r="Z87" i="7"/>
  <c r="W87" i="7"/>
  <c r="T87" i="7"/>
  <c r="Q87" i="7"/>
  <c r="N87" i="7"/>
  <c r="G87" i="7"/>
  <c r="AE86" i="7"/>
  <c r="AB86" i="7"/>
  <c r="Y86" i="7"/>
  <c r="V86" i="7"/>
  <c r="S86" i="7"/>
  <c r="P86" i="7"/>
  <c r="M86" i="7"/>
  <c r="J86" i="7"/>
  <c r="AE85" i="7"/>
  <c r="AB85" i="7"/>
  <c r="Y85" i="7"/>
  <c r="V85" i="7"/>
  <c r="S85" i="7"/>
  <c r="P85" i="7"/>
  <c r="M85" i="7"/>
  <c r="J85" i="7"/>
  <c r="AE84" i="7"/>
  <c r="AB84" i="7"/>
  <c r="Y84" i="7"/>
  <c r="V84" i="7"/>
  <c r="S84" i="7"/>
  <c r="P84" i="7"/>
  <c r="M84" i="7"/>
  <c r="J84" i="7"/>
  <c r="AC83" i="7"/>
  <c r="Z83" i="7"/>
  <c r="W83" i="7"/>
  <c r="T83" i="7"/>
  <c r="Q83" i="7"/>
  <c r="N83" i="7"/>
  <c r="G83" i="7"/>
  <c r="AE83" i="7" s="1"/>
  <c r="AC82" i="7"/>
  <c r="Z82" i="7"/>
  <c r="W82" i="7"/>
  <c r="Y82" i="7" s="1"/>
  <c r="T82" i="7"/>
  <c r="Q82" i="7"/>
  <c r="N82" i="7"/>
  <c r="M82" i="7"/>
  <c r="J82" i="7"/>
  <c r="G82" i="7"/>
  <c r="AE81" i="7"/>
  <c r="AB81" i="7"/>
  <c r="Y81" i="7"/>
  <c r="V81" i="7"/>
  <c r="S81" i="7"/>
  <c r="P81" i="7"/>
  <c r="M81" i="7"/>
  <c r="J81" i="7"/>
  <c r="AE80" i="7"/>
  <c r="AB80" i="7"/>
  <c r="Y80" i="7"/>
  <c r="V80" i="7"/>
  <c r="S80" i="7"/>
  <c r="P80" i="7"/>
  <c r="M80" i="7"/>
  <c r="J80" i="7"/>
  <c r="AE79" i="7"/>
  <c r="AB79" i="7"/>
  <c r="Y79" i="7"/>
  <c r="V79" i="7"/>
  <c r="S79" i="7"/>
  <c r="P79" i="7"/>
  <c r="M79" i="7"/>
  <c r="J79" i="7"/>
  <c r="AE78" i="7"/>
  <c r="AB78" i="7"/>
  <c r="Y78" i="7"/>
  <c r="V78" i="7"/>
  <c r="S78" i="7"/>
  <c r="P78" i="7"/>
  <c r="M78" i="7"/>
  <c r="J78" i="7"/>
  <c r="AE77" i="7"/>
  <c r="AB77" i="7"/>
  <c r="Y77" i="7"/>
  <c r="V77" i="7"/>
  <c r="S77" i="7"/>
  <c r="P77" i="7"/>
  <c r="M77" i="7"/>
  <c r="J77" i="7"/>
  <c r="AE76" i="7"/>
  <c r="AB76" i="7"/>
  <c r="Y76" i="7"/>
  <c r="V76" i="7"/>
  <c r="S76" i="7"/>
  <c r="P76" i="7"/>
  <c r="M76" i="7"/>
  <c r="J76" i="7"/>
  <c r="AE74" i="7"/>
  <c r="AB74" i="7"/>
  <c r="Y74" i="7"/>
  <c r="V74" i="7"/>
  <c r="S74" i="7"/>
  <c r="P74" i="7"/>
  <c r="M74" i="7"/>
  <c r="J74" i="7"/>
  <c r="G73" i="7"/>
  <c r="P73" i="7" s="1"/>
  <c r="G72" i="7"/>
  <c r="S72" i="7" s="1"/>
  <c r="AE71" i="7"/>
  <c r="AB71" i="7"/>
  <c r="Y71" i="7"/>
  <c r="V71" i="7"/>
  <c r="S71" i="7"/>
  <c r="P71" i="7"/>
  <c r="M71" i="7"/>
  <c r="J71" i="7"/>
  <c r="AE70" i="7"/>
  <c r="AB70" i="7"/>
  <c r="Y70" i="7"/>
  <c r="V70" i="7"/>
  <c r="S70" i="7"/>
  <c r="P70" i="7"/>
  <c r="M70" i="7"/>
  <c r="J70" i="7"/>
  <c r="AE69" i="7"/>
  <c r="AB69" i="7"/>
  <c r="Y69" i="7"/>
  <c r="V69" i="7"/>
  <c r="S69" i="7"/>
  <c r="P69" i="7"/>
  <c r="M69" i="7"/>
  <c r="J69" i="7"/>
  <c r="AE68" i="7"/>
  <c r="AB68" i="7"/>
  <c r="Y68" i="7"/>
  <c r="V68" i="7"/>
  <c r="S68" i="7"/>
  <c r="P68" i="7"/>
  <c r="M68" i="7"/>
  <c r="J68" i="7"/>
  <c r="AE67" i="7"/>
  <c r="AB67" i="7"/>
  <c r="Y67" i="7"/>
  <c r="V67" i="7"/>
  <c r="S67" i="7"/>
  <c r="P67" i="7"/>
  <c r="M67" i="7"/>
  <c r="J67" i="7"/>
  <c r="AE66" i="7"/>
  <c r="AB66" i="7"/>
  <c r="Y66" i="7"/>
  <c r="V66" i="7"/>
  <c r="S66" i="7"/>
  <c r="P66" i="7"/>
  <c r="M66" i="7"/>
  <c r="J66" i="7"/>
  <c r="W65" i="7"/>
  <c r="K65" i="7"/>
  <c r="G65" i="7"/>
  <c r="W64" i="7"/>
  <c r="K64" i="7"/>
  <c r="M64" i="7" s="1"/>
  <c r="G64" i="7"/>
  <c r="AE64" i="7" s="1"/>
  <c r="AE63" i="7"/>
  <c r="AB63" i="7"/>
  <c r="Y63" i="7"/>
  <c r="V63" i="7"/>
  <c r="S63" i="7"/>
  <c r="P63" i="7"/>
  <c r="M63" i="7"/>
  <c r="J63" i="7"/>
  <c r="AE62" i="7"/>
  <c r="AB62" i="7"/>
  <c r="Y62" i="7"/>
  <c r="V62" i="7"/>
  <c r="S62" i="7"/>
  <c r="P62" i="7"/>
  <c r="M62" i="7"/>
  <c r="J62" i="7"/>
  <c r="AE61" i="7"/>
  <c r="AB61" i="7"/>
  <c r="Y61" i="7"/>
  <c r="V61" i="7"/>
  <c r="S61" i="7"/>
  <c r="P61" i="7"/>
  <c r="M61" i="7"/>
  <c r="J61" i="7"/>
  <c r="W60" i="7"/>
  <c r="K60" i="7"/>
  <c r="G60" i="7"/>
  <c r="S60" i="7" s="1"/>
  <c r="AE59" i="7"/>
  <c r="AB59" i="7"/>
  <c r="Y59" i="7"/>
  <c r="V59" i="7"/>
  <c r="S59" i="7"/>
  <c r="P59" i="7"/>
  <c r="M59" i="7"/>
  <c r="J59" i="7"/>
  <c r="AE58" i="7"/>
  <c r="AB58" i="7"/>
  <c r="Y58" i="7"/>
  <c r="V58" i="7"/>
  <c r="S58" i="7"/>
  <c r="P58" i="7"/>
  <c r="M58" i="7"/>
  <c r="J58" i="7"/>
  <c r="AE57" i="7"/>
  <c r="AB57" i="7"/>
  <c r="Y57" i="7"/>
  <c r="V57" i="7"/>
  <c r="S57" i="7"/>
  <c r="P57" i="7"/>
  <c r="M57" i="7"/>
  <c r="J57" i="7"/>
  <c r="AE56" i="7"/>
  <c r="AB56" i="7"/>
  <c r="Y56" i="7"/>
  <c r="V56" i="7"/>
  <c r="S56" i="7"/>
  <c r="P56" i="7"/>
  <c r="M56" i="7"/>
  <c r="J56" i="7"/>
  <c r="W55" i="7"/>
  <c r="K55" i="7"/>
  <c r="G55" i="7"/>
  <c r="W54" i="7"/>
  <c r="K54" i="7"/>
  <c r="G54" i="7"/>
  <c r="S54" i="7" s="1"/>
  <c r="AE53" i="7"/>
  <c r="AB53" i="7"/>
  <c r="Y53" i="7"/>
  <c r="V53" i="7"/>
  <c r="S53" i="7"/>
  <c r="P53" i="7"/>
  <c r="M53" i="7"/>
  <c r="J53" i="7"/>
  <c r="AE52" i="7"/>
  <c r="AB52" i="7"/>
  <c r="Y52" i="7"/>
  <c r="V52" i="7"/>
  <c r="S52" i="7"/>
  <c r="P52" i="7"/>
  <c r="M52" i="7"/>
  <c r="J52" i="7"/>
  <c r="W51" i="7"/>
  <c r="K51" i="7"/>
  <c r="G51" i="7"/>
  <c r="AE50" i="7"/>
  <c r="AB50" i="7"/>
  <c r="W50" i="7"/>
  <c r="Y50" i="7" s="1"/>
  <c r="V50" i="7"/>
  <c r="S50" i="7"/>
  <c r="P50" i="7"/>
  <c r="K50" i="7"/>
  <c r="M50" i="7" s="1"/>
  <c r="J50" i="7"/>
  <c r="AE49" i="7"/>
  <c r="AB49" i="7"/>
  <c r="Y49" i="7"/>
  <c r="V49" i="7"/>
  <c r="S49" i="7"/>
  <c r="P49" i="7"/>
  <c r="M49" i="7"/>
  <c r="J49" i="7"/>
  <c r="AE48" i="7"/>
  <c r="AB48" i="7"/>
  <c r="Y48" i="7"/>
  <c r="V48" i="7"/>
  <c r="S48" i="7"/>
  <c r="P48" i="7"/>
  <c r="M48" i="7"/>
  <c r="J48" i="7"/>
  <c r="AE47" i="7"/>
  <c r="AB47" i="7"/>
  <c r="Y47" i="7"/>
  <c r="V47" i="7"/>
  <c r="S47" i="7"/>
  <c r="P47" i="7"/>
  <c r="M47" i="7"/>
  <c r="J47" i="7"/>
  <c r="M46" i="7"/>
  <c r="G46" i="7"/>
  <c r="AE46" i="7" s="1"/>
  <c r="AE45" i="7"/>
  <c r="AB45" i="7"/>
  <c r="Y45" i="7"/>
  <c r="V45" i="7"/>
  <c r="S45" i="7"/>
  <c r="P45" i="7"/>
  <c r="M45" i="7"/>
  <c r="J45" i="7"/>
  <c r="AE44" i="7"/>
  <c r="AB44" i="7"/>
  <c r="Y44" i="7"/>
  <c r="V44" i="7"/>
  <c r="S44" i="7"/>
  <c r="P44" i="7"/>
  <c r="M44" i="7"/>
  <c r="J44" i="7"/>
  <c r="AE43" i="7"/>
  <c r="AB43" i="7"/>
  <c r="Y43" i="7"/>
  <c r="V43" i="7"/>
  <c r="S43" i="7"/>
  <c r="P43" i="7"/>
  <c r="M43" i="7"/>
  <c r="J43" i="7"/>
  <c r="AE42" i="7"/>
  <c r="AB42" i="7"/>
  <c r="Y42" i="7"/>
  <c r="V42" i="7"/>
  <c r="S42" i="7"/>
  <c r="P42" i="7"/>
  <c r="M42" i="7"/>
  <c r="J42" i="7"/>
  <c r="AE41" i="7"/>
  <c r="AB41" i="7"/>
  <c r="V41" i="7"/>
  <c r="S41" i="7"/>
  <c r="P41" i="7"/>
  <c r="J41" i="7"/>
  <c r="G40" i="7"/>
  <c r="P40" i="7" s="1"/>
  <c r="G39" i="7"/>
  <c r="S39" i="7" s="1"/>
  <c r="AE38" i="7"/>
  <c r="AB38" i="7"/>
  <c r="Y38" i="7"/>
  <c r="V38" i="7"/>
  <c r="S38" i="7"/>
  <c r="P38" i="7"/>
  <c r="M38" i="7"/>
  <c r="J38" i="7"/>
  <c r="AE37" i="7"/>
  <c r="AB37" i="7"/>
  <c r="Y37" i="7"/>
  <c r="V37" i="7"/>
  <c r="S37" i="7"/>
  <c r="P37" i="7"/>
  <c r="M37" i="7"/>
  <c r="J37" i="7"/>
  <c r="AE36" i="7"/>
  <c r="AB36" i="7"/>
  <c r="Y36" i="7"/>
  <c r="V36" i="7"/>
  <c r="S36" i="7"/>
  <c r="P36" i="7"/>
  <c r="M36" i="7"/>
  <c r="J36" i="7"/>
  <c r="AE35" i="7"/>
  <c r="AB35" i="7"/>
  <c r="Y35" i="7"/>
  <c r="V35" i="7"/>
  <c r="S35" i="7"/>
  <c r="P35" i="7"/>
  <c r="M35" i="7"/>
  <c r="J35" i="7"/>
  <c r="AE34" i="7"/>
  <c r="AB34" i="7"/>
  <c r="Y34" i="7"/>
  <c r="V34" i="7"/>
  <c r="S34" i="7"/>
  <c r="P34" i="7"/>
  <c r="M34" i="7"/>
  <c r="J34" i="7"/>
  <c r="AC33" i="7"/>
  <c r="Z33" i="7"/>
  <c r="W33" i="7"/>
  <c r="T33" i="7"/>
  <c r="Q33" i="7"/>
  <c r="N33" i="7"/>
  <c r="G33" i="7"/>
  <c r="AC32" i="7"/>
  <c r="Z32" i="7"/>
  <c r="W32" i="7"/>
  <c r="T32" i="7"/>
  <c r="Q32" i="7"/>
  <c r="N32" i="7"/>
  <c r="G32" i="7"/>
  <c r="AE31" i="7"/>
  <c r="AB31" i="7"/>
  <c r="Y31" i="7"/>
  <c r="V31" i="7"/>
  <c r="S31" i="7"/>
  <c r="P31" i="7"/>
  <c r="M31" i="7"/>
  <c r="J31" i="7"/>
  <c r="AE30" i="7"/>
  <c r="AB30" i="7"/>
  <c r="Y30" i="7"/>
  <c r="V30" i="7"/>
  <c r="S30" i="7"/>
  <c r="P30" i="7"/>
  <c r="M30" i="7"/>
  <c r="J30" i="7"/>
  <c r="AC29" i="7"/>
  <c r="Z29" i="7"/>
  <c r="W29" i="7"/>
  <c r="T29" i="7"/>
  <c r="Q29" i="7"/>
  <c r="N29" i="7"/>
  <c r="G29" i="7"/>
  <c r="J29" i="7" s="1"/>
  <c r="AC28" i="7"/>
  <c r="Z28" i="7"/>
  <c r="W28" i="7"/>
  <c r="T28" i="7"/>
  <c r="Q28" i="7"/>
  <c r="N28" i="7"/>
  <c r="G28" i="7"/>
  <c r="AE27" i="7"/>
  <c r="AB27" i="7"/>
  <c r="Y27" i="7"/>
  <c r="V27" i="7"/>
  <c r="S27" i="7"/>
  <c r="P27" i="7"/>
  <c r="M27" i="7"/>
  <c r="J27" i="7"/>
  <c r="AE26" i="7"/>
  <c r="AB26" i="7"/>
  <c r="Y26" i="7"/>
  <c r="V26" i="7"/>
  <c r="S26" i="7"/>
  <c r="P26" i="7"/>
  <c r="M26" i="7"/>
  <c r="J26" i="7"/>
  <c r="AE25" i="7"/>
  <c r="AB25" i="7"/>
  <c r="Y25" i="7"/>
  <c r="V25" i="7"/>
  <c r="S25" i="7"/>
  <c r="P25" i="7"/>
  <c r="M25" i="7"/>
  <c r="J25" i="7"/>
  <c r="AE24" i="7"/>
  <c r="AB24" i="7"/>
  <c r="Y24" i="7"/>
  <c r="V24" i="7"/>
  <c r="S24" i="7"/>
  <c r="P24" i="7"/>
  <c r="M24" i="7"/>
  <c r="J24" i="7"/>
  <c r="K23" i="7"/>
  <c r="G23" i="7"/>
  <c r="S23" i="7" s="1"/>
  <c r="K22" i="7"/>
  <c r="G22" i="7"/>
  <c r="S22" i="7" s="1"/>
  <c r="AE21" i="7"/>
  <c r="AB21" i="7"/>
  <c r="V21" i="7"/>
  <c r="S21" i="7"/>
  <c r="P21" i="7"/>
  <c r="M21" i="7"/>
  <c r="AE20" i="7"/>
  <c r="AB20" i="7"/>
  <c r="Y20" i="7"/>
  <c r="V20" i="7"/>
  <c r="S20" i="7"/>
  <c r="P20" i="7"/>
  <c r="M20" i="7"/>
  <c r="J20" i="7"/>
  <c r="K19" i="7"/>
  <c r="G19" i="7"/>
  <c r="S19" i="7" s="1"/>
  <c r="K18" i="7"/>
  <c r="G18" i="7"/>
  <c r="S18" i="7" s="1"/>
  <c r="AE17" i="7"/>
  <c r="AB17" i="7"/>
  <c r="V17" i="7"/>
  <c r="S17" i="7"/>
  <c r="P17" i="7"/>
  <c r="M17" i="7"/>
  <c r="AE16" i="7"/>
  <c r="AB16" i="7"/>
  <c r="Y16" i="7"/>
  <c r="V16" i="7"/>
  <c r="S16" i="7"/>
  <c r="P16" i="7"/>
  <c r="M16" i="7"/>
  <c r="J16" i="7"/>
  <c r="AE15" i="7"/>
  <c r="AB15" i="7"/>
  <c r="V15" i="7"/>
  <c r="S15" i="7"/>
  <c r="P15" i="7"/>
  <c r="M15" i="7"/>
  <c r="K14" i="7"/>
  <c r="M14" i="7" s="1"/>
  <c r="G14" i="7"/>
  <c r="S14" i="7" s="1"/>
  <c r="K13" i="7"/>
  <c r="G13" i="7"/>
  <c r="S13" i="7" s="1"/>
  <c r="AE12" i="7"/>
  <c r="AB12" i="7"/>
  <c r="V12" i="7"/>
  <c r="S12" i="7"/>
  <c r="P12" i="7"/>
  <c r="M12" i="7"/>
  <c r="AE11" i="7"/>
  <c r="AB11" i="7"/>
  <c r="V11" i="7"/>
  <c r="S11" i="7"/>
  <c r="P11" i="7"/>
  <c r="M11" i="7"/>
  <c r="AE10" i="7"/>
  <c r="AB10" i="7"/>
  <c r="V10" i="7"/>
  <c r="S10" i="7"/>
  <c r="P10" i="7"/>
  <c r="M10" i="7"/>
  <c r="K9" i="7"/>
  <c r="G9" i="7"/>
  <c r="S9" i="7" s="1"/>
  <c r="K8" i="7"/>
  <c r="G8" i="7"/>
  <c r="S8" i="7" s="1"/>
  <c r="AE7" i="7"/>
  <c r="AB7" i="7"/>
  <c r="V7" i="7"/>
  <c r="S7" i="7"/>
  <c r="P7" i="7"/>
  <c r="M7" i="7"/>
  <c r="AE6" i="7"/>
  <c r="AB6" i="7"/>
  <c r="V6" i="7"/>
  <c r="S6" i="7"/>
  <c r="P6" i="7"/>
  <c r="M6" i="7"/>
  <c r="AE5" i="7"/>
  <c r="AB5" i="7"/>
  <c r="V5" i="7"/>
  <c r="S5" i="7"/>
  <c r="P5" i="7"/>
  <c r="M5" i="7"/>
  <c r="G4" i="7"/>
  <c r="M4" i="7" s="1"/>
  <c r="AE3" i="7"/>
  <c r="AB3" i="7"/>
  <c r="Y3" i="7"/>
  <c r="V3" i="7"/>
  <c r="S3" i="7"/>
  <c r="P3" i="7"/>
  <c r="M3" i="7"/>
  <c r="J3" i="7"/>
  <c r="AE2" i="7"/>
  <c r="AB2" i="7"/>
  <c r="Y2" i="7"/>
  <c r="V2" i="7"/>
  <c r="S2" i="7"/>
  <c r="P2" i="7"/>
  <c r="M2" i="7"/>
  <c r="J2" i="7"/>
  <c r="AK1578" i="30" l="1"/>
  <c r="AK2471" i="30"/>
  <c r="AK1236" i="30"/>
  <c r="AK2751" i="30"/>
  <c r="AK2450" i="30"/>
  <c r="AK1079" i="30"/>
  <c r="AK99" i="30"/>
  <c r="AL99" i="30" s="1"/>
  <c r="AK1931" i="30"/>
  <c r="AL1931" i="30" s="1"/>
  <c r="AK1728" i="30"/>
  <c r="AK2508" i="30"/>
  <c r="AK2412" i="30"/>
  <c r="AK2314" i="30"/>
  <c r="AK2212" i="30"/>
  <c r="AK2116" i="30"/>
  <c r="AK1999" i="30"/>
  <c r="AL1999" i="30" s="1"/>
  <c r="AK1890" i="30"/>
  <c r="AK1566" i="30"/>
  <c r="AK848" i="30"/>
  <c r="AK2780" i="30"/>
  <c r="AK2698" i="30"/>
  <c r="AK2634" i="30"/>
  <c r="AK2570" i="30"/>
  <c r="AK2482" i="30"/>
  <c r="AL2482" i="30" s="1"/>
  <c r="AK2381" i="30"/>
  <c r="AK2280" i="30"/>
  <c r="AK2187" i="30"/>
  <c r="AK2085" i="30"/>
  <c r="AK1858" i="30"/>
  <c r="AK1344" i="30"/>
  <c r="AK653" i="30"/>
  <c r="AK2688" i="30"/>
  <c r="AL2688" i="30" s="1"/>
  <c r="AK2624" i="30"/>
  <c r="AL2624" i="30" s="1"/>
  <c r="AK2560" i="30"/>
  <c r="AK2365" i="30"/>
  <c r="AK1954" i="30"/>
  <c r="AK1702" i="30"/>
  <c r="AK1225" i="30"/>
  <c r="AK2845" i="30"/>
  <c r="AK2551" i="30"/>
  <c r="AL2551" i="30" s="1"/>
  <c r="AK2247" i="30"/>
  <c r="AL2247" i="30" s="1"/>
  <c r="AK2161" i="30"/>
  <c r="AK2052" i="30"/>
  <c r="AK1683" i="30"/>
  <c r="AK1111" i="30"/>
  <c r="AK425" i="30"/>
  <c r="AK2832" i="30"/>
  <c r="AK2606" i="30"/>
  <c r="AK2540" i="30"/>
  <c r="AK2339" i="30"/>
  <c r="AK2237" i="30"/>
  <c r="AK2147" i="30"/>
  <c r="AK2033" i="30"/>
  <c r="AK1926" i="30"/>
  <c r="AK1671" i="30"/>
  <c r="AK2730" i="30"/>
  <c r="AL2730" i="30" s="1"/>
  <c r="AK2661" i="30"/>
  <c r="AL2661" i="30" s="1"/>
  <c r="AK2597" i="30"/>
  <c r="AK2528" i="30"/>
  <c r="AK2426" i="30"/>
  <c r="AK2327" i="30"/>
  <c r="AK2228" i="30"/>
  <c r="AK2017" i="30"/>
  <c r="AK1777" i="30"/>
  <c r="AK241" i="30"/>
  <c r="AL241" i="30" s="1"/>
  <c r="AK1088" i="30"/>
  <c r="AK875" i="30"/>
  <c r="AK770" i="30"/>
  <c r="AK684" i="30"/>
  <c r="AK592" i="30"/>
  <c r="AK498" i="30"/>
  <c r="AK1647" i="30"/>
  <c r="AL1647" i="30" s="1"/>
  <c r="AK1144" i="30"/>
  <c r="AK1053" i="30"/>
  <c r="AK984" i="30"/>
  <c r="AK920" i="30"/>
  <c r="AK831" i="30"/>
  <c r="AK365" i="30"/>
  <c r="AK290" i="30"/>
  <c r="AK210" i="30"/>
  <c r="AL210" i="30" s="1"/>
  <c r="AK108" i="30"/>
  <c r="AL108" i="30" s="1"/>
  <c r="AK16" i="30"/>
  <c r="AK1609" i="30"/>
  <c r="AK1505" i="30"/>
  <c r="AK1402" i="30"/>
  <c r="AK1300" i="30"/>
  <c r="AK1023" i="30"/>
  <c r="AK959" i="30"/>
  <c r="AL959" i="30" s="1"/>
  <c r="AK796" i="30"/>
  <c r="AL796" i="30" s="1"/>
  <c r="AK698" i="30"/>
  <c r="AK614" i="30"/>
  <c r="AK519" i="30"/>
  <c r="AK421" i="30"/>
  <c r="AK1368" i="30"/>
  <c r="AK1169" i="30"/>
  <c r="AK1072" i="30"/>
  <c r="AL1072" i="30" s="1"/>
  <c r="AK998" i="30"/>
  <c r="AL998" i="30" s="1"/>
  <c r="AK934" i="30"/>
  <c r="AK756" i="30"/>
  <c r="AK673" i="30"/>
  <c r="AK578" i="30"/>
  <c r="AK482" i="30"/>
  <c r="AK386" i="30"/>
  <c r="AK313" i="30"/>
  <c r="AL313" i="30" s="1"/>
  <c r="AK227" i="30"/>
  <c r="AL227" i="30" s="1"/>
  <c r="AK132" i="30"/>
  <c r="AK35" i="30"/>
  <c r="AK1631" i="30"/>
  <c r="AK1529" i="30"/>
  <c r="AK1424" i="30"/>
  <c r="AK1322" i="30"/>
  <c r="AK1229" i="30"/>
  <c r="AK1128" i="30"/>
  <c r="AK1037" i="30"/>
  <c r="AK443" i="30"/>
  <c r="AK354" i="30"/>
  <c r="AK276" i="30"/>
  <c r="AK191" i="30"/>
  <c r="AK90" i="30"/>
  <c r="AK1287" i="30"/>
  <c r="AL1287" i="30" s="1"/>
  <c r="AK1183" i="30"/>
  <c r="AL1183" i="30" s="1"/>
  <c r="AK1093" i="30"/>
  <c r="AK1012" i="30"/>
  <c r="AK948" i="30"/>
  <c r="AK878" i="30"/>
  <c r="AK777" i="30"/>
  <c r="AK503" i="30"/>
  <c r="AK407" i="30"/>
  <c r="AL407" i="30" s="1"/>
  <c r="AK329" i="30"/>
  <c r="AL329" i="30" s="1"/>
  <c r="AK157" i="30"/>
  <c r="AK52" i="30"/>
  <c r="AK1260" i="30"/>
  <c r="AK1164" i="30"/>
  <c r="AK1069" i="30"/>
  <c r="AK995" i="30"/>
  <c r="AK931" i="30"/>
  <c r="AL931" i="30" s="1"/>
  <c r="AK849" i="30"/>
  <c r="AK751" i="30"/>
  <c r="AK668" i="30"/>
  <c r="AK573" i="30"/>
  <c r="AK477" i="30"/>
  <c r="AK308" i="30"/>
  <c r="AK1794" i="30"/>
  <c r="AL1794" i="30" s="1"/>
  <c r="AK2009" i="30"/>
  <c r="AL2009" i="30" s="1"/>
  <c r="AK2238" i="30"/>
  <c r="AL2238" i="30" s="1"/>
  <c r="AK1148" i="30"/>
  <c r="V98" i="7"/>
  <c r="U845" i="30"/>
  <c r="U1107" i="30"/>
  <c r="U1219" i="30"/>
  <c r="AK1797" i="30"/>
  <c r="AK1845" i="30"/>
  <c r="AL1845" i="30" s="1"/>
  <c r="AK1902" i="30"/>
  <c r="AL1902" i="30" s="1"/>
  <c r="U2090" i="30"/>
  <c r="U2350" i="30"/>
  <c r="U2510" i="30"/>
  <c r="U2518" i="30"/>
  <c r="U2525" i="30"/>
  <c r="AK2588" i="30"/>
  <c r="AK1173" i="30"/>
  <c r="AL1173" i="30" s="1"/>
  <c r="AK2697" i="30"/>
  <c r="AL2697" i="30" s="1"/>
  <c r="AK2380" i="30"/>
  <c r="AK1969" i="30"/>
  <c r="AK2818" i="30"/>
  <c r="AK2527" i="30"/>
  <c r="AK2131" i="30"/>
  <c r="AK1655" i="30"/>
  <c r="AK140" i="30"/>
  <c r="AL140" i="30" s="1"/>
  <c r="AK2689" i="30"/>
  <c r="AL2689" i="30" s="1"/>
  <c r="AK2366" i="30"/>
  <c r="AK1955" i="30"/>
  <c r="AK549" i="30"/>
  <c r="AK2356" i="30"/>
  <c r="AK449" i="30"/>
  <c r="AK2676" i="30"/>
  <c r="AK2348" i="30"/>
  <c r="AL2348" i="30" s="1"/>
  <c r="AK393" i="30"/>
  <c r="AK2556" i="30"/>
  <c r="AK2112" i="30"/>
  <c r="AK2240" i="30"/>
  <c r="AK1812" i="30"/>
  <c r="AK2784" i="30"/>
  <c r="AK2486" i="30"/>
  <c r="AK2088" i="30"/>
  <c r="AL2088" i="30" s="1"/>
  <c r="AK1374" i="30"/>
  <c r="AK2781" i="30"/>
  <c r="AK2699" i="30"/>
  <c r="AK2635" i="30"/>
  <c r="AK2571" i="30"/>
  <c r="AK2485" i="30"/>
  <c r="AK2386" i="30"/>
  <c r="AK2283" i="30"/>
  <c r="AL2283" i="30" s="1"/>
  <c r="AK1971" i="30"/>
  <c r="AL1971" i="30" s="1"/>
  <c r="AK1727" i="30"/>
  <c r="AK1359" i="30"/>
  <c r="AK667" i="30"/>
  <c r="AK2848" i="30"/>
  <c r="AK2761" i="30"/>
  <c r="AK2682" i="30"/>
  <c r="AK2618" i="30"/>
  <c r="AL2618" i="30" s="1"/>
  <c r="AK2554" i="30"/>
  <c r="AK2460" i="30"/>
  <c r="AK2359" i="30"/>
  <c r="AK2252" i="30"/>
  <c r="AK2164" i="30"/>
  <c r="AK2059" i="30"/>
  <c r="AK1942" i="30"/>
  <c r="AK1829" i="30"/>
  <c r="AL1829" i="30" s="1"/>
  <c r="AK1689" i="30"/>
  <c r="AL1689" i="30" s="1"/>
  <c r="AK1147" i="30"/>
  <c r="AK459" i="30"/>
  <c r="AK2834" i="30"/>
  <c r="AK2672" i="30"/>
  <c r="AK2444" i="30"/>
  <c r="AK2239" i="30"/>
  <c r="AK2149" i="30"/>
  <c r="AL2149" i="30" s="1"/>
  <c r="AK1675" i="30"/>
  <c r="AK1034" i="30"/>
  <c r="AK351" i="30"/>
  <c r="AK2823" i="30"/>
  <c r="AK2732" i="30"/>
  <c r="AK2663" i="30"/>
  <c r="AK2599" i="30"/>
  <c r="AK2530" i="30"/>
  <c r="AL2530" i="30" s="1"/>
  <c r="AK2430" i="30"/>
  <c r="AL2430" i="30" s="1"/>
  <c r="AK2330" i="30"/>
  <c r="AK2230" i="30"/>
  <c r="AK2136" i="30"/>
  <c r="AK2019" i="30"/>
  <c r="AK1781" i="30"/>
  <c r="AK1660" i="30"/>
  <c r="AK962" i="30"/>
  <c r="AL962" i="30" s="1"/>
  <c r="AK260" i="30"/>
  <c r="AL260" i="30" s="1"/>
  <c r="AK2810" i="30"/>
  <c r="AK2720" i="30"/>
  <c r="AK2654" i="30"/>
  <c r="AK2590" i="30"/>
  <c r="AK2513" i="30"/>
  <c r="AK2415" i="30"/>
  <c r="AK2318" i="30"/>
  <c r="AL2318" i="30" s="1"/>
  <c r="AK2218" i="30"/>
  <c r="AL2218" i="30" s="1"/>
  <c r="AK2121" i="30"/>
  <c r="AK2004" i="30"/>
  <c r="AK1895" i="30"/>
  <c r="AK1602" i="30"/>
  <c r="AK888" i="30"/>
  <c r="AK2799" i="30"/>
  <c r="AK2709" i="30"/>
  <c r="AL2709" i="30" s="1"/>
  <c r="AK2645" i="30"/>
  <c r="AK2581" i="30"/>
  <c r="AK2501" i="30"/>
  <c r="AK2402" i="30"/>
  <c r="AK2306" i="30"/>
  <c r="AK2203" i="30"/>
  <c r="AK2104" i="30"/>
  <c r="AK1989" i="30"/>
  <c r="AL1989" i="30" s="1"/>
  <c r="AK1877" i="30"/>
  <c r="AL1877" i="30" s="1"/>
  <c r="AK1747" i="30"/>
  <c r="AK1484" i="30"/>
  <c r="AK773" i="30"/>
  <c r="AK50" i="30"/>
  <c r="AK1565" i="30"/>
  <c r="AK1457" i="30"/>
  <c r="AK1358" i="30"/>
  <c r="AL1358" i="30" s="1"/>
  <c r="AK1258" i="30"/>
  <c r="AL1258" i="30" s="1"/>
  <c r="AK1160" i="30"/>
  <c r="AK1067" i="30"/>
  <c r="AK993" i="30"/>
  <c r="AK929" i="30"/>
  <c r="AK847" i="30"/>
  <c r="AK747" i="30"/>
  <c r="AK664" i="30"/>
  <c r="AL664" i="30" s="1"/>
  <c r="AK569" i="30"/>
  <c r="AL569" i="30" s="1"/>
  <c r="AK475" i="30"/>
  <c r="AK379" i="30"/>
  <c r="AK305" i="30"/>
  <c r="AK28" i="30"/>
  <c r="AK1623" i="30"/>
  <c r="AK1520" i="30"/>
  <c r="AK1417" i="30"/>
  <c r="AL1417" i="30" s="1"/>
  <c r="AK1313" i="30"/>
  <c r="AK1223" i="30"/>
  <c r="AK1121" i="30"/>
  <c r="AK1032" i="30"/>
  <c r="AK968" i="30"/>
  <c r="AK904" i="30"/>
  <c r="AK808" i="30"/>
  <c r="AK709" i="30"/>
  <c r="AL709" i="30" s="1"/>
  <c r="AK627" i="30"/>
  <c r="AL627" i="30" s="1"/>
  <c r="AK533" i="30"/>
  <c r="AK436" i="30"/>
  <c r="AK349" i="30"/>
  <c r="AK268" i="30"/>
  <c r="AK184" i="30"/>
  <c r="AK83" i="30"/>
  <c r="AK1585" i="30"/>
  <c r="AL1585" i="30" s="1"/>
  <c r="AK1479" i="30"/>
  <c r="AL1479" i="30" s="1"/>
  <c r="AK1379" i="30"/>
  <c r="AK1280" i="30"/>
  <c r="AK1178" i="30"/>
  <c r="AK1086" i="30"/>
  <c r="AK1007" i="30"/>
  <c r="AK943" i="30"/>
  <c r="AK871" i="30"/>
  <c r="AK767" i="30"/>
  <c r="AL767" i="30" s="1"/>
  <c r="AK682" i="30"/>
  <c r="AK588" i="30"/>
  <c r="AK494" i="30"/>
  <c r="AK400" i="30"/>
  <c r="AK324" i="30"/>
  <c r="AK238" i="30"/>
  <c r="AK148" i="30"/>
  <c r="AK47" i="30"/>
  <c r="AL47" i="30" s="1"/>
  <c r="AK1644" i="30"/>
  <c r="AK1546" i="30"/>
  <c r="AK1439" i="30"/>
  <c r="AK1340" i="30"/>
  <c r="AK1242" i="30"/>
  <c r="AK1140" i="30"/>
  <c r="AK1050" i="30"/>
  <c r="AK982" i="30"/>
  <c r="AK918" i="30"/>
  <c r="AK829" i="30"/>
  <c r="AK731" i="30"/>
  <c r="AK648" i="30"/>
  <c r="AK553" i="30"/>
  <c r="AK455" i="30"/>
  <c r="AK363" i="30"/>
  <c r="AK288" i="30"/>
  <c r="AL288" i="30" s="1"/>
  <c r="AK206" i="30"/>
  <c r="AK106" i="30"/>
  <c r="AK12" i="30"/>
  <c r="AK1607" i="30"/>
  <c r="AK1501" i="30"/>
  <c r="AK1398" i="30"/>
  <c r="AK1298" i="30"/>
  <c r="AL1298" i="30" s="1"/>
  <c r="AK1199" i="30"/>
  <c r="AK1104" i="30"/>
  <c r="AK1021" i="30"/>
  <c r="AK957" i="30"/>
  <c r="AK792" i="30"/>
  <c r="AK696" i="30"/>
  <c r="AK611" i="30"/>
  <c r="AK516" i="30"/>
  <c r="AL516" i="30" s="1"/>
  <c r="AK338" i="30"/>
  <c r="AL338" i="30" s="1"/>
  <c r="AK255" i="30"/>
  <c r="AK172" i="30"/>
  <c r="AK66" i="30"/>
  <c r="AK1568" i="30"/>
  <c r="AK1462" i="30"/>
  <c r="AK1365" i="30"/>
  <c r="AK1263" i="30"/>
  <c r="AL1263" i="30" s="1"/>
  <c r="AK1165" i="30"/>
  <c r="AL1165" i="30" s="1"/>
  <c r="AK1070" i="30"/>
  <c r="AK996" i="30"/>
  <c r="AK932" i="30"/>
  <c r="AK850" i="30"/>
  <c r="AK752" i="30"/>
  <c r="AK669" i="30"/>
  <c r="AK576" i="30"/>
  <c r="AL576" i="30" s="1"/>
  <c r="AK478" i="30"/>
  <c r="AK384" i="30"/>
  <c r="AK309" i="30"/>
  <c r="AK223" i="30"/>
  <c r="AK130" i="30"/>
  <c r="AK31" i="30"/>
  <c r="AK1639" i="30"/>
  <c r="AK1539" i="30"/>
  <c r="AL1539" i="30" s="1"/>
  <c r="AK1434" i="30"/>
  <c r="AL1434" i="30" s="1"/>
  <c r="AK1333" i="30"/>
  <c r="AK1237" i="30"/>
  <c r="AK1136" i="30"/>
  <c r="AK1044" i="30"/>
  <c r="AK979" i="30"/>
  <c r="AK915" i="30"/>
  <c r="AK826" i="30"/>
  <c r="AL826" i="30" s="1"/>
  <c r="AK726" i="30"/>
  <c r="AL726" i="30" s="1"/>
  <c r="AK644" i="30"/>
  <c r="AK550" i="30"/>
  <c r="AK450" i="30"/>
  <c r="AK360" i="30"/>
  <c r="AK284" i="30"/>
  <c r="AK201" i="30"/>
  <c r="AK100" i="30"/>
  <c r="AK8" i="30"/>
  <c r="AL8" i="30" s="1"/>
  <c r="AK42" i="30"/>
  <c r="AK2334" i="30"/>
  <c r="AK1273" i="30"/>
  <c r="AK2323" i="30"/>
  <c r="AK2847" i="30"/>
  <c r="AL2847" i="30" s="1"/>
  <c r="AK2577" i="30"/>
  <c r="AK2773" i="30"/>
  <c r="AK2627" i="30"/>
  <c r="AK2370" i="30"/>
  <c r="AK1259" i="30"/>
  <c r="AK2674" i="30"/>
  <c r="AK2448" i="30"/>
  <c r="AK2241" i="30"/>
  <c r="AL2241" i="30" s="1"/>
  <c r="AK2041" i="30"/>
  <c r="AL2041" i="30" s="1"/>
  <c r="AK1677" i="30"/>
  <c r="AK368" i="30"/>
  <c r="AK2333" i="30"/>
  <c r="AK1782" i="30"/>
  <c r="AK1661" i="30"/>
  <c r="AK2811" i="30"/>
  <c r="AK2655" i="30"/>
  <c r="AL2655" i="30" s="1"/>
  <c r="AK2319" i="30"/>
  <c r="AK2005" i="30"/>
  <c r="AK2800" i="30"/>
  <c r="AK2204" i="30"/>
  <c r="AK1992" i="30"/>
  <c r="AK1498" i="30"/>
  <c r="AK2787" i="30"/>
  <c r="AK2637" i="30"/>
  <c r="AL2637" i="30" s="1"/>
  <c r="AK2388" i="30"/>
  <c r="AL2388" i="30" s="1"/>
  <c r="AK2190" i="30"/>
  <c r="AK1865" i="30"/>
  <c r="AK1382" i="30"/>
  <c r="AK1055" i="30"/>
  <c r="AK834" i="30"/>
  <c r="AK651" i="30"/>
  <c r="AK291" i="30"/>
  <c r="AL291" i="30" s="1"/>
  <c r="AK17" i="30"/>
  <c r="AL17" i="30" s="1"/>
  <c r="AK797" i="30"/>
  <c r="AK258" i="30"/>
  <c r="AK73" i="30"/>
  <c r="AK314" i="30"/>
  <c r="AK36" i="30"/>
  <c r="AK1038" i="30"/>
  <c r="AK974" i="30"/>
  <c r="AL974" i="30" s="1"/>
  <c r="AK910" i="30"/>
  <c r="AL910" i="30" s="1"/>
  <c r="AK818" i="30"/>
  <c r="AK719" i="30"/>
  <c r="AK637" i="30"/>
  <c r="AK543" i="30"/>
  <c r="AK444" i="30"/>
  <c r="AK194" i="30"/>
  <c r="AK1387" i="30"/>
  <c r="AL1387" i="30" s="1"/>
  <c r="AK1185" i="30"/>
  <c r="AL1185" i="30" s="1"/>
  <c r="AK1013" i="30"/>
  <c r="AK949" i="30"/>
  <c r="AK778" i="30"/>
  <c r="AK688" i="30"/>
  <c r="AK599" i="30"/>
  <c r="AK504" i="30"/>
  <c r="AK244" i="30"/>
  <c r="AL244" i="30" s="1"/>
  <c r="AK1554" i="30"/>
  <c r="AL1554" i="30" s="1"/>
  <c r="AK1448" i="30"/>
  <c r="AK1348" i="30"/>
  <c r="AK1252" i="30"/>
  <c r="AK837" i="30"/>
  <c r="AK738" i="30"/>
  <c r="AK657" i="30"/>
  <c r="AK560" i="30"/>
  <c r="AL560" i="30" s="1"/>
  <c r="AK466" i="30"/>
  <c r="AL466" i="30" s="1"/>
  <c r="AK296" i="30"/>
  <c r="AK215" i="30"/>
  <c r="AK21" i="30"/>
  <c r="AK1628" i="30"/>
  <c r="AK1420" i="30"/>
  <c r="AK1226" i="30"/>
  <c r="AK1126" i="30"/>
  <c r="AL1126" i="30" s="1"/>
  <c r="AK1035" i="30"/>
  <c r="AL1035" i="30" s="1"/>
  <c r="AK971" i="30"/>
  <c r="AK907" i="30"/>
  <c r="AK813" i="30"/>
  <c r="AK712" i="30"/>
  <c r="AK440" i="30"/>
  <c r="AK352" i="30"/>
  <c r="AK273" i="30"/>
  <c r="AL273" i="30" s="1"/>
  <c r="AK187" i="30"/>
  <c r="AL187" i="30" s="1"/>
  <c r="AK88" i="30"/>
  <c r="AK2413" i="30"/>
  <c r="AK2665" i="30"/>
  <c r="AK2077" i="30"/>
  <c r="AK2657" i="30"/>
  <c r="AK2803" i="30"/>
  <c r="AK1738" i="30"/>
  <c r="AL1738" i="30" s="1"/>
  <c r="AK1002" i="30"/>
  <c r="AK2691" i="30"/>
  <c r="AK2473" i="30"/>
  <c r="AK2269" i="30"/>
  <c r="AK1959" i="30"/>
  <c r="AK1707" i="30"/>
  <c r="AK2747" i="30"/>
  <c r="AK2546" i="30"/>
  <c r="AL2546" i="30" s="1"/>
  <c r="AK1932" i="30"/>
  <c r="AK2664" i="30"/>
  <c r="AK2531" i="30"/>
  <c r="AK1917" i="30"/>
  <c r="AK2722" i="30"/>
  <c r="AK2591" i="30"/>
  <c r="AK2416" i="30"/>
  <c r="AK2123" i="30"/>
  <c r="AL2123" i="30" s="1"/>
  <c r="AK1764" i="30"/>
  <c r="AL1764" i="30" s="1"/>
  <c r="AK177" i="30"/>
  <c r="AK2712" i="30"/>
  <c r="AK2701" i="30"/>
  <c r="AK2487" i="30"/>
  <c r="AK2289" i="30"/>
  <c r="AK1973" i="30"/>
  <c r="AK1731" i="30"/>
  <c r="AL1731" i="30" s="1"/>
  <c r="AK1444" i="30"/>
  <c r="AK1145" i="30"/>
  <c r="AK985" i="30"/>
  <c r="AK735" i="30"/>
  <c r="AK557" i="30"/>
  <c r="AK366" i="30"/>
  <c r="AK109" i="30"/>
  <c r="AK1210" i="30"/>
  <c r="AK699" i="30"/>
  <c r="AL699" i="30" s="1"/>
  <c r="AK175" i="30"/>
  <c r="AK1573" i="30"/>
  <c r="AK1369" i="30"/>
  <c r="AK674" i="30"/>
  <c r="AK387" i="30"/>
  <c r="AK135" i="30"/>
  <c r="J134" i="7"/>
  <c r="AB135" i="7"/>
  <c r="AK1656" i="30"/>
  <c r="AK1742" i="30"/>
  <c r="U1789" i="30"/>
  <c r="AK1832" i="30"/>
  <c r="U2151" i="30"/>
  <c r="U2152" i="30"/>
  <c r="U2181" i="30"/>
  <c r="U2281" i="30"/>
  <c r="U2854" i="30"/>
  <c r="AK2315" i="30"/>
  <c r="AK2633" i="30"/>
  <c r="AK2279" i="30"/>
  <c r="AK1857" i="30"/>
  <c r="AK2729" i="30"/>
  <c r="AK2425" i="30"/>
  <c r="AL2425" i="30" s="1"/>
  <c r="AK2014" i="30"/>
  <c r="AK938" i="30"/>
  <c r="AK2117" i="30"/>
  <c r="AK2625" i="30"/>
  <c r="AK2265" i="30"/>
  <c r="AK1840" i="30"/>
  <c r="AK2758" i="30"/>
  <c r="AK2163" i="30"/>
  <c r="AL2163" i="30" s="1"/>
  <c r="AK2612" i="30"/>
  <c r="AL2612" i="30" s="1"/>
  <c r="AK2243" i="30"/>
  <c r="AK1817" i="30"/>
  <c r="AK2715" i="30"/>
  <c r="AK1888" i="30"/>
  <c r="AK2150" i="30"/>
  <c r="AK1676" i="30"/>
  <c r="AK2700" i="30"/>
  <c r="AK2387" i="30"/>
  <c r="AL2387" i="30" s="1"/>
  <c r="AK1972" i="30"/>
  <c r="AK677" i="30"/>
  <c r="AK2851" i="30"/>
  <c r="AK2762" i="30"/>
  <c r="AK2683" i="30"/>
  <c r="AK2619" i="30"/>
  <c r="AK2555" i="30"/>
  <c r="AK2461" i="30"/>
  <c r="AL2461" i="30" s="1"/>
  <c r="AK2360" i="30"/>
  <c r="AK2255" i="30"/>
  <c r="AK2165" i="30"/>
  <c r="AK2062" i="30"/>
  <c r="AK1943" i="30"/>
  <c r="AK1830" i="30"/>
  <c r="AK1690" i="30"/>
  <c r="AL1690" i="30" s="1"/>
  <c r="AK1161" i="30"/>
  <c r="AK476" i="30"/>
  <c r="AK2826" i="30"/>
  <c r="AK2737" i="30"/>
  <c r="AK2666" i="30"/>
  <c r="AK2602" i="30"/>
  <c r="AK2534" i="30"/>
  <c r="AK2437" i="30"/>
  <c r="AL2437" i="30" s="1"/>
  <c r="AK2335" i="30"/>
  <c r="AK2233" i="30"/>
  <c r="AK2140" i="30"/>
  <c r="AK2024" i="30"/>
  <c r="AK1921" i="30"/>
  <c r="AK1785" i="30"/>
  <c r="AK1663" i="30"/>
  <c r="AK986" i="30"/>
  <c r="AL986" i="30" s="1"/>
  <c r="AK292" i="30"/>
  <c r="AK2723" i="30"/>
  <c r="AK2592" i="30"/>
  <c r="AK2517" i="30"/>
  <c r="AK2322" i="30"/>
  <c r="AK2220" i="30"/>
  <c r="AK2124" i="30"/>
  <c r="AK2006" i="30"/>
  <c r="AL2006" i="30" s="1"/>
  <c r="AK1765" i="30"/>
  <c r="AL1765" i="30" s="1"/>
  <c r="AK1625" i="30"/>
  <c r="AK906" i="30"/>
  <c r="AK186" i="30"/>
  <c r="AK2801" i="30"/>
  <c r="AK2647" i="30"/>
  <c r="AK2583" i="30"/>
  <c r="AK2503" i="30"/>
  <c r="AL2503" i="30" s="1"/>
  <c r="AK2406" i="30"/>
  <c r="AK2308" i="30"/>
  <c r="AK2205" i="30"/>
  <c r="AK2108" i="30"/>
  <c r="AK1884" i="30"/>
  <c r="AK1749" i="30"/>
  <c r="AK799" i="30"/>
  <c r="AK75" i="30"/>
  <c r="AL75" i="30" s="1"/>
  <c r="AK2788" i="30"/>
  <c r="AK2702" i="30"/>
  <c r="AK2638" i="30"/>
  <c r="AK2574" i="30"/>
  <c r="AK2488" i="30"/>
  <c r="AK2391" i="30"/>
  <c r="AK2290" i="30"/>
  <c r="AK2191" i="30"/>
  <c r="AL2191" i="30" s="1"/>
  <c r="AK2092" i="30"/>
  <c r="AL2092" i="30" s="1"/>
  <c r="AK1866" i="30"/>
  <c r="AK1732" i="30"/>
  <c r="AK1394" i="30"/>
  <c r="AK693" i="30"/>
  <c r="AK2775" i="30"/>
  <c r="AK2693" i="30"/>
  <c r="AK2629" i="30"/>
  <c r="AL2629" i="30" s="1"/>
  <c r="AK2565" i="30"/>
  <c r="AL2565" i="30" s="1"/>
  <c r="AK2476" i="30"/>
  <c r="AK2372" i="30"/>
  <c r="AK2273" i="30"/>
  <c r="AK2180" i="30"/>
  <c r="AK2078" i="30"/>
  <c r="AK1961" i="30"/>
  <c r="AK1850" i="30"/>
  <c r="AL1850" i="30" s="1"/>
  <c r="AK1711" i="30"/>
  <c r="AK1284" i="30"/>
  <c r="AK595" i="30"/>
  <c r="AK1637" i="30"/>
  <c r="AK1537" i="30"/>
  <c r="AK1432" i="30"/>
  <c r="AK1330" i="30"/>
  <c r="AK1235" i="30"/>
  <c r="AL1235" i="30" s="1"/>
  <c r="AK1134" i="30"/>
  <c r="AL1134" i="30" s="1"/>
  <c r="AK1042" i="30"/>
  <c r="AK977" i="30"/>
  <c r="AK913" i="30"/>
  <c r="AK722" i="30"/>
  <c r="AK358" i="30"/>
  <c r="AK197" i="30"/>
  <c r="AK96" i="30"/>
  <c r="AL96" i="30" s="1"/>
  <c r="AK1598" i="30"/>
  <c r="AK1495" i="30"/>
  <c r="AK1392" i="30"/>
  <c r="AK1293" i="30"/>
  <c r="AK1097" i="30"/>
  <c r="AK1016" i="30"/>
  <c r="AK952" i="30"/>
  <c r="AK886" i="30"/>
  <c r="AK785" i="30"/>
  <c r="AL785" i="30" s="1"/>
  <c r="AK691" i="30"/>
  <c r="AK606" i="30"/>
  <c r="AK509" i="30"/>
  <c r="AK248" i="30"/>
  <c r="AK1561" i="30"/>
  <c r="AK1453" i="30"/>
  <c r="AK1354" i="30"/>
  <c r="AL1354" i="30" s="1"/>
  <c r="AK1256" i="30"/>
  <c r="AL1256" i="30" s="1"/>
  <c r="AK1156" i="30"/>
  <c r="AK1063" i="30"/>
  <c r="AK991" i="30"/>
  <c r="AK927" i="30"/>
  <c r="AK842" i="30"/>
  <c r="AK743" i="30"/>
  <c r="AK662" i="30"/>
  <c r="AL662" i="30" s="1"/>
  <c r="AK567" i="30"/>
  <c r="AL567" i="30" s="1"/>
  <c r="AK473" i="30"/>
  <c r="AK375" i="30"/>
  <c r="AK301" i="30"/>
  <c r="AK218" i="30"/>
  <c r="AK121" i="30"/>
  <c r="AK26" i="30"/>
  <c r="AK1619" i="30"/>
  <c r="AL1619" i="30" s="1"/>
  <c r="AK1516" i="30"/>
  <c r="AK1413" i="30"/>
  <c r="AK1309" i="30"/>
  <c r="AK1221" i="30"/>
  <c r="AK1117" i="30"/>
  <c r="AK1030" i="30"/>
  <c r="AK966" i="30"/>
  <c r="AK902" i="30"/>
  <c r="AL902" i="30" s="1"/>
  <c r="AK805" i="30"/>
  <c r="AL805" i="30" s="1"/>
  <c r="AK707" i="30"/>
  <c r="AK625" i="30"/>
  <c r="AK530" i="30"/>
  <c r="AK433" i="30"/>
  <c r="AK347" i="30"/>
  <c r="AK266" i="30"/>
  <c r="AK182" i="30"/>
  <c r="AL182" i="30" s="1"/>
  <c r="AK80" i="30"/>
  <c r="AL80" i="30" s="1"/>
  <c r="AK1583" i="30"/>
  <c r="AK1475" i="30"/>
  <c r="AK1377" i="30"/>
  <c r="AK1278" i="30"/>
  <c r="AK1176" i="30"/>
  <c r="AK1082" i="30"/>
  <c r="AK1005" i="30"/>
  <c r="AL1005" i="30" s="1"/>
  <c r="AK941" i="30"/>
  <c r="AL941" i="30" s="1"/>
  <c r="AK867" i="30"/>
  <c r="AK764" i="30"/>
  <c r="AK680" i="30"/>
  <c r="AK586" i="30"/>
  <c r="AK492" i="30"/>
  <c r="AK396" i="30"/>
  <c r="AK322" i="30"/>
  <c r="AL322" i="30" s="1"/>
  <c r="AK236" i="30"/>
  <c r="AL236" i="30" s="1"/>
  <c r="AK144" i="30"/>
  <c r="AK45" i="30"/>
  <c r="AK1640" i="30"/>
  <c r="AK1540" i="30"/>
  <c r="AK1435" i="30"/>
  <c r="AK1336" i="30"/>
  <c r="AK1240" i="30"/>
  <c r="AL1240" i="30" s="1"/>
  <c r="AK1137" i="30"/>
  <c r="AL1137" i="30" s="1"/>
  <c r="AK1047" i="30"/>
  <c r="AK980" i="30"/>
  <c r="AK916" i="30"/>
  <c r="AK827" i="30"/>
  <c r="AK727" i="30"/>
  <c r="AK646" i="30"/>
  <c r="AK551" i="30"/>
  <c r="AL551" i="30" s="1"/>
  <c r="AK451" i="30"/>
  <c r="AL451" i="30" s="1"/>
  <c r="AK361" i="30"/>
  <c r="AK286" i="30"/>
  <c r="AK204" i="30"/>
  <c r="AK101" i="30"/>
  <c r="AK9" i="30"/>
  <c r="AK1616" i="30"/>
  <c r="AK1511" i="30"/>
  <c r="AL1511" i="30" s="1"/>
  <c r="AK1410" i="30"/>
  <c r="AL1410" i="30" s="1"/>
  <c r="AK1304" i="30"/>
  <c r="AK1215" i="30"/>
  <c r="AK1112" i="30"/>
  <c r="AK1027" i="30"/>
  <c r="AK963" i="30"/>
  <c r="AK899" i="30"/>
  <c r="AK802" i="30"/>
  <c r="AK702" i="30"/>
  <c r="AK618" i="30"/>
  <c r="AK525" i="30"/>
  <c r="AK427" i="30"/>
  <c r="AK344" i="30"/>
  <c r="AK261" i="30"/>
  <c r="AK178" i="30"/>
  <c r="AK76" i="30"/>
  <c r="AL76" i="30" s="1"/>
  <c r="U1808" i="30"/>
  <c r="AK1808" i="30" s="1"/>
  <c r="AL1808" i="30" s="1"/>
  <c r="AK1347" i="30"/>
  <c r="AK1057" i="30"/>
  <c r="AK1918" i="30"/>
  <c r="AK2474" i="30"/>
  <c r="AK2215" i="30"/>
  <c r="AK40" i="30"/>
  <c r="AK2563" i="30"/>
  <c r="AL2563" i="30" s="1"/>
  <c r="AK1842" i="30"/>
  <c r="AK2836" i="30"/>
  <c r="AK2610" i="30"/>
  <c r="AK2344" i="30"/>
  <c r="AK2433" i="30"/>
  <c r="AK2022" i="30"/>
  <c r="AK2514" i="30"/>
  <c r="AK2219" i="30"/>
  <c r="AL2219" i="30" s="1"/>
  <c r="AK898" i="30"/>
  <c r="AL898" i="30" s="1"/>
  <c r="AK2646" i="30"/>
  <c r="AK787" i="30"/>
  <c r="AK2573" i="30"/>
  <c r="AK2089" i="30"/>
  <c r="AK1247" i="30"/>
  <c r="AK921" i="30"/>
  <c r="AK458" i="30"/>
  <c r="AK211" i="30"/>
  <c r="AL211" i="30" s="1"/>
  <c r="AK341" i="30"/>
  <c r="AK1465" i="30"/>
  <c r="AK1170" i="30"/>
  <c r="AK228" i="30"/>
  <c r="V88" i="7"/>
  <c r="U794" i="30"/>
  <c r="U840" i="30"/>
  <c r="U880" i="30"/>
  <c r="U1074" i="30"/>
  <c r="U1101" i="30"/>
  <c r="AK1110" i="30"/>
  <c r="AK1201" i="30"/>
  <c r="U1238" i="30"/>
  <c r="U1593" i="30"/>
  <c r="U1601" i="30"/>
  <c r="U1612" i="30"/>
  <c r="U1648" i="30"/>
  <c r="AK1720" i="30"/>
  <c r="AK1761" i="30"/>
  <c r="U1774" i="30"/>
  <c r="U1790" i="30"/>
  <c r="U1813" i="30"/>
  <c r="U1833" i="30"/>
  <c r="AK1911" i="30"/>
  <c r="U2038" i="30"/>
  <c r="U2070" i="30"/>
  <c r="U2082" i="30"/>
  <c r="U2102" i="30"/>
  <c r="U2111" i="30"/>
  <c r="U2120" i="30"/>
  <c r="U2133" i="30"/>
  <c r="U2142" i="30"/>
  <c r="U2282" i="30"/>
  <c r="U2305" i="30"/>
  <c r="U2466" i="30"/>
  <c r="U2489" i="30"/>
  <c r="U2497" i="30"/>
  <c r="AK2601" i="30"/>
  <c r="AK2232" i="30"/>
  <c r="AK1783" i="30"/>
  <c r="AK2692" i="30"/>
  <c r="AK2371" i="30"/>
  <c r="AK1960" i="30"/>
  <c r="AK583" i="30"/>
  <c r="AK2852" i="30"/>
  <c r="AK2000" i="30"/>
  <c r="AK2593" i="30"/>
  <c r="AL2593" i="30" s="1"/>
  <c r="AK2222" i="30"/>
  <c r="AK1768" i="30"/>
  <c r="AK2681" i="30"/>
  <c r="AK2058" i="30"/>
  <c r="AK2580" i="30"/>
  <c r="AK1746" i="30"/>
  <c r="AK2649" i="30"/>
  <c r="AL2649" i="30" s="1"/>
  <c r="AK1753" i="30"/>
  <c r="AK2793" i="30"/>
  <c r="AK2495" i="30"/>
  <c r="AK2096" i="30"/>
  <c r="AK1433" i="30"/>
  <c r="AK2668" i="30"/>
  <c r="AK1923" i="30"/>
  <c r="AK318" i="30"/>
  <c r="AL318" i="30" s="1"/>
  <c r="AK2837" i="30"/>
  <c r="AL2837" i="30" s="1"/>
  <c r="AK2750" i="30"/>
  <c r="AK2675" i="30"/>
  <c r="AK2611" i="30"/>
  <c r="AK2547" i="30"/>
  <c r="AK2449" i="30"/>
  <c r="AK2347" i="30"/>
  <c r="AK2242" i="30"/>
  <c r="AK2154" i="30"/>
  <c r="AL2154" i="30" s="1"/>
  <c r="AK1933" i="30"/>
  <c r="AK1816" i="30"/>
  <c r="AK1678" i="30"/>
  <c r="AK1068" i="30"/>
  <c r="AK380" i="30"/>
  <c r="AK2816" i="30"/>
  <c r="AK2727" i="30"/>
  <c r="AL2727" i="30" s="1"/>
  <c r="AK2658" i="30"/>
  <c r="AK2594" i="30"/>
  <c r="AK2521" i="30"/>
  <c r="AK2423" i="30"/>
  <c r="AK2324" i="30"/>
  <c r="AK2223" i="30"/>
  <c r="AK2127" i="30"/>
  <c r="AK2010" i="30"/>
  <c r="AL2010" i="30" s="1"/>
  <c r="AK1769" i="30"/>
  <c r="AL1769" i="30" s="1"/>
  <c r="AK1651" i="30"/>
  <c r="AK922" i="30"/>
  <c r="AK213" i="30"/>
  <c r="AK2802" i="30"/>
  <c r="AK2714" i="30"/>
  <c r="AK2648" i="30"/>
  <c r="AK2584" i="30"/>
  <c r="AL2584" i="30" s="1"/>
  <c r="AK2504" i="30"/>
  <c r="AL2504" i="30" s="1"/>
  <c r="AK2409" i="30"/>
  <c r="AK2311" i="30"/>
  <c r="AK2109" i="30"/>
  <c r="AK1994" i="30"/>
  <c r="AK1752" i="30"/>
  <c r="AK1524" i="30"/>
  <c r="AK85" i="30"/>
  <c r="AL85" i="30" s="1"/>
  <c r="AK2789" i="30"/>
  <c r="AL2789" i="30" s="1"/>
  <c r="AK2703" i="30"/>
  <c r="AK2639" i="30"/>
  <c r="AK2575" i="30"/>
  <c r="AK2491" i="30"/>
  <c r="AK2392" i="30"/>
  <c r="AK2295" i="30"/>
  <c r="AK2192" i="30"/>
  <c r="AK2093" i="30"/>
  <c r="AL2093" i="30" s="1"/>
  <c r="AK1978" i="30"/>
  <c r="AK1407" i="30"/>
  <c r="AK701" i="30"/>
  <c r="AK2776" i="30"/>
  <c r="AK2694" i="30"/>
  <c r="AK2630" i="30"/>
  <c r="AK2566" i="30"/>
  <c r="AL2566" i="30" s="1"/>
  <c r="AK2477" i="30"/>
  <c r="AL2477" i="30" s="1"/>
  <c r="AK2373" i="30"/>
  <c r="AK2274" i="30"/>
  <c r="AK2182" i="30"/>
  <c r="AK2079" i="30"/>
  <c r="AK1964" i="30"/>
  <c r="AK1851" i="30"/>
  <c r="AK1295" i="30"/>
  <c r="AK608" i="30"/>
  <c r="AL608" i="30" s="1"/>
  <c r="AK2853" i="30"/>
  <c r="AK2764" i="30"/>
  <c r="AK2685" i="30"/>
  <c r="AK2621" i="30"/>
  <c r="AK2557" i="30"/>
  <c r="AK2467" i="30"/>
  <c r="AK2362" i="30"/>
  <c r="AL2362" i="30" s="1"/>
  <c r="AK2259" i="30"/>
  <c r="AL2259" i="30" s="1"/>
  <c r="AK2169" i="30"/>
  <c r="AK2065" i="30"/>
  <c r="AK1947" i="30"/>
  <c r="AK1697" i="30"/>
  <c r="AK1181" i="30"/>
  <c r="AK499" i="30"/>
  <c r="AK1624" i="30"/>
  <c r="AL1624" i="30" s="1"/>
  <c r="AK1521" i="30"/>
  <c r="AK1418" i="30"/>
  <c r="AK1314" i="30"/>
  <c r="AK1224" i="30"/>
  <c r="AK1033" i="30"/>
  <c r="AK969" i="30"/>
  <c r="AK905" i="30"/>
  <c r="AK809" i="30"/>
  <c r="AL809" i="30" s="1"/>
  <c r="AK710" i="30"/>
  <c r="AL710" i="30" s="1"/>
  <c r="AK630" i="30"/>
  <c r="AK534" i="30"/>
  <c r="AK437" i="30"/>
  <c r="AK350" i="30"/>
  <c r="AK84" i="30"/>
  <c r="AK1586" i="30"/>
  <c r="AK1482" i="30"/>
  <c r="AK1380" i="30"/>
  <c r="AL1380" i="30" s="1"/>
  <c r="AK1281" i="30"/>
  <c r="AK1179" i="30"/>
  <c r="AK1087" i="30"/>
  <c r="AK1008" i="30"/>
  <c r="AK944" i="30"/>
  <c r="AK874" i="30"/>
  <c r="AK769" i="30"/>
  <c r="AL769" i="30" s="1"/>
  <c r="AK683" i="30"/>
  <c r="AL683" i="30" s="1"/>
  <c r="AK591" i="30"/>
  <c r="AK495" i="30"/>
  <c r="AK402" i="30"/>
  <c r="AK325" i="30"/>
  <c r="AK239" i="30"/>
  <c r="AK149" i="30"/>
  <c r="AK48" i="30"/>
  <c r="AL48" i="30" s="1"/>
  <c r="AK1646" i="30"/>
  <c r="AK1547" i="30"/>
  <c r="AK1440" i="30"/>
  <c r="AK1341" i="30"/>
  <c r="AK1245" i="30"/>
  <c r="AK1143" i="30"/>
  <c r="AK1052" i="30"/>
  <c r="AK983" i="30"/>
  <c r="AL983" i="30" s="1"/>
  <c r="AK919" i="30"/>
  <c r="AL919" i="30" s="1"/>
  <c r="AK830" i="30"/>
  <c r="AK732" i="30"/>
  <c r="AK649" i="30"/>
  <c r="AK555" i="30"/>
  <c r="AK456" i="30"/>
  <c r="AK364" i="30"/>
  <c r="AK289" i="30"/>
  <c r="AL289" i="30" s="1"/>
  <c r="AK207" i="30"/>
  <c r="AL207" i="30" s="1"/>
  <c r="AK107" i="30"/>
  <c r="AK13" i="30"/>
  <c r="AK1608" i="30"/>
  <c r="AK1504" i="30"/>
  <c r="AK1399" i="30"/>
  <c r="AK1299" i="30"/>
  <c r="AK1204" i="30"/>
  <c r="AL1204" i="30" s="1"/>
  <c r="AK1105" i="30"/>
  <c r="AL1105" i="30" s="1"/>
  <c r="AK1022" i="30"/>
  <c r="AK958" i="30"/>
  <c r="AK894" i="30"/>
  <c r="AK795" i="30"/>
  <c r="AK697" i="30"/>
  <c r="AK613" i="30"/>
  <c r="AK518" i="30"/>
  <c r="AL518" i="30" s="1"/>
  <c r="AK69" i="30"/>
  <c r="AL69" i="30" s="1"/>
  <c r="AK1569" i="30"/>
  <c r="AK1463" i="30"/>
  <c r="AK1366" i="30"/>
  <c r="AK1264" i="30"/>
  <c r="AK1166" i="30"/>
  <c r="AK1071" i="30"/>
  <c r="AK997" i="30"/>
  <c r="AL997" i="30" s="1"/>
  <c r="AK933" i="30"/>
  <c r="AL933" i="30" s="1"/>
  <c r="AK853" i="30"/>
  <c r="AK753" i="30"/>
  <c r="AK670" i="30"/>
  <c r="AK577" i="30"/>
  <c r="AK479" i="30"/>
  <c r="AK385" i="30"/>
  <c r="AK312" i="30"/>
  <c r="AL312" i="30" s="1"/>
  <c r="AK226" i="30"/>
  <c r="AK131" i="30"/>
  <c r="AK34" i="30"/>
  <c r="AK1629" i="30"/>
  <c r="AK1127" i="30"/>
  <c r="AK1036" i="30"/>
  <c r="AK972" i="30"/>
  <c r="AK908" i="30"/>
  <c r="AL908" i="30" s="1"/>
  <c r="AK816" i="30"/>
  <c r="AL816" i="30" s="1"/>
  <c r="AK715" i="30"/>
  <c r="AK635" i="30"/>
  <c r="AK539" i="30"/>
  <c r="AK441" i="30"/>
  <c r="AK353" i="30"/>
  <c r="AK275" i="30"/>
  <c r="AK190" i="30"/>
  <c r="AL190" i="30" s="1"/>
  <c r="AK89" i="30"/>
  <c r="AL89" i="30" s="1"/>
  <c r="AK1603" i="30"/>
  <c r="AK1499" i="30"/>
  <c r="AK1395" i="30"/>
  <c r="AK1296" i="30"/>
  <c r="AK1195" i="30"/>
  <c r="AK1100" i="30"/>
  <c r="AK1019" i="30"/>
  <c r="AL1019" i="30" s="1"/>
  <c r="AK955" i="30"/>
  <c r="AL955" i="30" s="1"/>
  <c r="AK889" i="30"/>
  <c r="AK694" i="30"/>
  <c r="AK336" i="30"/>
  <c r="AK251" i="30"/>
  <c r="AK170" i="30"/>
  <c r="AK64" i="30"/>
  <c r="U1831" i="30"/>
  <c r="AK1831" i="30" s="1"/>
  <c r="AL1831" i="30" s="1"/>
  <c r="U1809" i="30"/>
  <c r="AK1809" i="30" s="1"/>
  <c r="AL1809" i="30" s="1"/>
  <c r="AK861" i="30"/>
  <c r="AK622" i="30"/>
  <c r="AK1206" i="30"/>
  <c r="AL1206" i="30" s="1"/>
  <c r="V87" i="7"/>
  <c r="Y106" i="7"/>
  <c r="U1239" i="30"/>
  <c r="U2285" i="30"/>
  <c r="U2849" i="30"/>
  <c r="AK2569" i="30"/>
  <c r="AK2186" i="30"/>
  <c r="AK1723" i="30"/>
  <c r="AK2660" i="30"/>
  <c r="AK2326" i="30"/>
  <c r="AK1905" i="30"/>
  <c r="AK231" i="30"/>
  <c r="AL231" i="30" s="1"/>
  <c r="AK2859" i="30"/>
  <c r="AL2859" i="30" s="1"/>
  <c r="AK2561" i="30"/>
  <c r="AK2173" i="30"/>
  <c r="AK1705" i="30"/>
  <c r="AK2617" i="30"/>
  <c r="AK1941" i="30"/>
  <c r="AK2548" i="30"/>
  <c r="AK2155" i="30"/>
  <c r="AL2155" i="30" s="1"/>
  <c r="AK1679" i="30"/>
  <c r="AL1679" i="30" s="1"/>
  <c r="AK2553" i="30"/>
  <c r="AK1538" i="30"/>
  <c r="AK2746" i="30"/>
  <c r="AK2445" i="30"/>
  <c r="AK2039" i="30"/>
  <c r="AK2636" i="30"/>
  <c r="AK2284" i="30"/>
  <c r="AL2284" i="30" s="1"/>
  <c r="AK2827" i="30"/>
  <c r="AL2827" i="30" s="1"/>
  <c r="AK2738" i="30"/>
  <c r="AK2667" i="30"/>
  <c r="AK2603" i="30"/>
  <c r="AK2536" i="30"/>
  <c r="AK2438" i="30"/>
  <c r="AK2336" i="30"/>
  <c r="AK2234" i="30"/>
  <c r="AL2234" i="30" s="1"/>
  <c r="AK2143" i="30"/>
  <c r="AL2143" i="30" s="1"/>
  <c r="AK2027" i="30"/>
  <c r="AK1922" i="30"/>
  <c r="AK1664" i="30"/>
  <c r="AK994" i="30"/>
  <c r="AK306" i="30"/>
  <c r="AK2804" i="30"/>
  <c r="AK2716" i="30"/>
  <c r="AL2716" i="30" s="1"/>
  <c r="AK2650" i="30"/>
  <c r="AL2650" i="30" s="1"/>
  <c r="AK2586" i="30"/>
  <c r="AK2506" i="30"/>
  <c r="AK2411" i="30"/>
  <c r="AK2313" i="30"/>
  <c r="AK2211" i="30"/>
  <c r="AK2113" i="30"/>
  <c r="AK1998" i="30"/>
  <c r="AL1998" i="30" s="1"/>
  <c r="AK1889" i="30"/>
  <c r="AL1889" i="30" s="1"/>
  <c r="AK1756" i="30"/>
  <c r="AK1550" i="30"/>
  <c r="AK835" i="30"/>
  <c r="AK112" i="30"/>
  <c r="AK2790" i="30"/>
  <c r="AK2704" i="30"/>
  <c r="AK2640" i="30"/>
  <c r="AL2640" i="30" s="1"/>
  <c r="AK2576" i="30"/>
  <c r="AL2576" i="30" s="1"/>
  <c r="AK2492" i="30"/>
  <c r="AK2395" i="30"/>
  <c r="AK2296" i="30"/>
  <c r="AK2193" i="30"/>
  <c r="AK2095" i="30"/>
  <c r="AK1980" i="30"/>
  <c r="AK1870" i="30"/>
  <c r="AL1870" i="30" s="1"/>
  <c r="AK1419" i="30"/>
  <c r="AL1419" i="30" s="1"/>
  <c r="AK711" i="30"/>
  <c r="AK2777" i="30"/>
  <c r="AK2695" i="30"/>
  <c r="AK2631" i="30"/>
  <c r="AK2567" i="30"/>
  <c r="AK2479" i="30"/>
  <c r="AK2377" i="30"/>
  <c r="AL2377" i="30" s="1"/>
  <c r="AK2080" i="30"/>
  <c r="AL2080" i="30" s="1"/>
  <c r="AK1965" i="30"/>
  <c r="AK1853" i="30"/>
  <c r="AK617" i="30"/>
  <c r="AK2856" i="30"/>
  <c r="AK2765" i="30"/>
  <c r="AK2686" i="30"/>
  <c r="AK2622" i="30"/>
  <c r="AL2622" i="30" s="1"/>
  <c r="AK2558" i="30"/>
  <c r="AK2468" i="30"/>
  <c r="AK2363" i="30"/>
  <c r="AK2260" i="30"/>
  <c r="AK2170" i="30"/>
  <c r="AK2066" i="30"/>
  <c r="AK1950" i="30"/>
  <c r="AK1835" i="30"/>
  <c r="AL1835" i="30" s="1"/>
  <c r="AK1698" i="30"/>
  <c r="AL1698" i="30" s="1"/>
  <c r="AK1192" i="30"/>
  <c r="AK513" i="30"/>
  <c r="AK2841" i="30"/>
  <c r="AK2752" i="30"/>
  <c r="AK2677" i="30"/>
  <c r="AK2613" i="30"/>
  <c r="AK2549" i="30"/>
  <c r="AK2451" i="30"/>
  <c r="AL2451" i="30" s="1"/>
  <c r="AK2351" i="30"/>
  <c r="AK2244" i="30"/>
  <c r="AK2157" i="30"/>
  <c r="AK2048" i="30"/>
  <c r="AK1818" i="30"/>
  <c r="AK1681" i="30"/>
  <c r="AK1089" i="30"/>
  <c r="AL1089" i="30" s="1"/>
  <c r="AK404" i="30"/>
  <c r="AK1211" i="30"/>
  <c r="AK961" i="30"/>
  <c r="AK897" i="30"/>
  <c r="AK700" i="30"/>
  <c r="AK616" i="30"/>
  <c r="AK424" i="30"/>
  <c r="AK342" i="30"/>
  <c r="AL342" i="30" s="1"/>
  <c r="AK259" i="30"/>
  <c r="AL259" i="30" s="1"/>
  <c r="AK176" i="30"/>
  <c r="AK74" i="30"/>
  <c r="AK1574" i="30"/>
  <c r="AK1468" i="30"/>
  <c r="AK1372" i="30"/>
  <c r="AK1269" i="30"/>
  <c r="AK1171" i="30"/>
  <c r="AL1171" i="30" s="1"/>
  <c r="AK1000" i="30"/>
  <c r="AL1000" i="30" s="1"/>
  <c r="AK936" i="30"/>
  <c r="AK758" i="30"/>
  <c r="AK675" i="30"/>
  <c r="AK580" i="30"/>
  <c r="AK484" i="30"/>
  <c r="AK389" i="30"/>
  <c r="AK37" i="30"/>
  <c r="AK1633" i="30"/>
  <c r="AL1633" i="30" s="1"/>
  <c r="AK1533" i="30"/>
  <c r="AK1428" i="30"/>
  <c r="AK1326" i="30"/>
  <c r="AK1231" i="30"/>
  <c r="AK1130" i="30"/>
  <c r="AK1039" i="30"/>
  <c r="AK975" i="30"/>
  <c r="AL975" i="30" s="1"/>
  <c r="AK911" i="30"/>
  <c r="AK819" i="30"/>
  <c r="AK720" i="30"/>
  <c r="AK638" i="30"/>
  <c r="AK544" i="30"/>
  <c r="AK445" i="30"/>
  <c r="AK3" i="30"/>
  <c r="AK1594" i="30"/>
  <c r="AK1490" i="30"/>
  <c r="AL1490" i="30" s="1"/>
  <c r="AK1289" i="30"/>
  <c r="AK950" i="30"/>
  <c r="AK882" i="30"/>
  <c r="AK409" i="30"/>
  <c r="AK331" i="30"/>
  <c r="AK246" i="30"/>
  <c r="AK160" i="30"/>
  <c r="AL160" i="30" s="1"/>
  <c r="AK55" i="30"/>
  <c r="AL55" i="30" s="1"/>
  <c r="AK1557" i="30"/>
  <c r="AK1449" i="30"/>
  <c r="AK1351" i="30"/>
  <c r="AK1152" i="30"/>
  <c r="AK1061" i="30"/>
  <c r="AK989" i="30"/>
  <c r="AK925" i="30"/>
  <c r="AL925" i="30" s="1"/>
  <c r="AK838" i="30"/>
  <c r="AK739" i="30"/>
  <c r="AK658" i="30"/>
  <c r="AK563" i="30"/>
  <c r="AK469" i="30"/>
  <c r="AK371" i="30"/>
  <c r="AK299" i="30"/>
  <c r="AK216" i="30"/>
  <c r="AL216" i="30" s="1"/>
  <c r="AK117" i="30"/>
  <c r="AK22" i="30"/>
  <c r="AK1617" i="30"/>
  <c r="AK1514" i="30"/>
  <c r="AK1411" i="30"/>
  <c r="AK1305" i="30"/>
  <c r="AK1217" i="30"/>
  <c r="AK1113" i="30"/>
  <c r="AL1113" i="30" s="1"/>
  <c r="AK1028" i="30"/>
  <c r="AK964" i="30"/>
  <c r="AK900" i="30"/>
  <c r="AK803" i="30"/>
  <c r="AK703" i="30"/>
  <c r="AK621" i="30"/>
  <c r="AK526" i="30"/>
  <c r="AK429" i="30"/>
  <c r="AK345" i="30"/>
  <c r="AL345" i="30" s="1"/>
  <c r="AK262" i="30"/>
  <c r="AK179" i="30"/>
  <c r="AK77" i="30"/>
  <c r="AK1589" i="30"/>
  <c r="AK1485" i="30"/>
  <c r="AK1385" i="30"/>
  <c r="AK1285" i="30"/>
  <c r="AL1285" i="30" s="1"/>
  <c r="AK1182" i="30"/>
  <c r="AL1182" i="30" s="1"/>
  <c r="AK1090" i="30"/>
  <c r="AK1011" i="30"/>
  <c r="AK947" i="30"/>
  <c r="AK877" i="30"/>
  <c r="AK774" i="30"/>
  <c r="AK686" i="30"/>
  <c r="AK596" i="30"/>
  <c r="AL596" i="30" s="1"/>
  <c r="AK502" i="30"/>
  <c r="AL502" i="30" s="1"/>
  <c r="AK405" i="30"/>
  <c r="AK154" i="30"/>
  <c r="AK51" i="30"/>
  <c r="AK572" i="30"/>
  <c r="U884" i="30"/>
  <c r="U1102" i="30"/>
  <c r="U1220" i="30"/>
  <c r="AK1388" i="30"/>
  <c r="AL1388" i="30" s="1"/>
  <c r="U1775" i="30"/>
  <c r="U1792" i="30"/>
  <c r="AK1800" i="30"/>
  <c r="AK1900" i="30"/>
  <c r="U2452" i="30"/>
  <c r="U2838" i="30"/>
  <c r="Y55" i="7"/>
  <c r="J83" i="7"/>
  <c r="V112" i="7"/>
  <c r="U790" i="30"/>
  <c r="U1106" i="30"/>
  <c r="AK1389" i="30"/>
  <c r="U1580" i="30"/>
  <c r="U1596" i="30"/>
  <c r="U1604" i="30"/>
  <c r="U1763" i="30"/>
  <c r="U1767" i="30"/>
  <c r="U1810" i="30"/>
  <c r="U1827" i="30"/>
  <c r="AK1896" i="30"/>
  <c r="AK2044" i="30"/>
  <c r="U2071" i="30"/>
  <c r="U2083" i="30"/>
  <c r="U2098" i="30"/>
  <c r="U2106" i="30"/>
  <c r="U2114" i="30"/>
  <c r="U2130" i="30"/>
  <c r="U2141" i="30"/>
  <c r="U2309" i="30"/>
  <c r="U2331" i="30"/>
  <c r="U2490" i="30"/>
  <c r="U2498" i="30"/>
  <c r="U2743" i="30"/>
  <c r="U2855" i="30"/>
  <c r="AK2808" i="30"/>
  <c r="AK1946" i="30"/>
  <c r="AK2825" i="30"/>
  <c r="AK2532" i="30"/>
  <c r="AK2139" i="30"/>
  <c r="AL2139" i="30" s="1"/>
  <c r="AK1662" i="30"/>
  <c r="AL1662" i="30" s="1"/>
  <c r="AK2628" i="30"/>
  <c r="AK2270" i="30"/>
  <c r="AK1849" i="30"/>
  <c r="AK2684" i="30"/>
  <c r="AK2815" i="30"/>
  <c r="AK2520" i="30"/>
  <c r="AK2125" i="30"/>
  <c r="AL2125" i="30" s="1"/>
  <c r="AK1638" i="30"/>
  <c r="AK2585" i="30"/>
  <c r="AK1826" i="30"/>
  <c r="AK2798" i="30"/>
  <c r="AK1470" i="30"/>
  <c r="AK2410" i="30"/>
  <c r="AK823" i="30"/>
  <c r="AK2705" i="30"/>
  <c r="AL2705" i="30" s="1"/>
  <c r="AK2396" i="30"/>
  <c r="AL2396" i="30" s="1"/>
  <c r="AK1981" i="30"/>
  <c r="AK723" i="30"/>
  <c r="AK2817" i="30"/>
  <c r="AK2728" i="30"/>
  <c r="AK2659" i="30"/>
  <c r="AK2595" i="30"/>
  <c r="AK2524" i="30"/>
  <c r="AL2524" i="30" s="1"/>
  <c r="AK2424" i="30"/>
  <c r="AL2424" i="30" s="1"/>
  <c r="AK2325" i="30"/>
  <c r="AK2226" i="30"/>
  <c r="AK2128" i="30"/>
  <c r="AK2013" i="30"/>
  <c r="AK1904" i="30"/>
  <c r="AK1772" i="30"/>
  <c r="AK1654" i="30"/>
  <c r="AL1654" i="30" s="1"/>
  <c r="AK930" i="30"/>
  <c r="AL930" i="30" s="1"/>
  <c r="AK221" i="30"/>
  <c r="AK2794" i="30"/>
  <c r="AK2706" i="30"/>
  <c r="AK2642" i="30"/>
  <c r="AK2578" i="30"/>
  <c r="AK2496" i="30"/>
  <c r="AK2397" i="30"/>
  <c r="AK2300" i="30"/>
  <c r="AK2196" i="30"/>
  <c r="AK2097" i="30"/>
  <c r="AK1984" i="30"/>
  <c r="AK1739" i="30"/>
  <c r="AK1445" i="30"/>
  <c r="AK736" i="30"/>
  <c r="AK18" i="30"/>
  <c r="AL18" i="30" s="1"/>
  <c r="AK2778" i="30"/>
  <c r="AL2778" i="30" s="1"/>
  <c r="AK2696" i="30"/>
  <c r="AK2632" i="30"/>
  <c r="AK2568" i="30"/>
  <c r="AK2480" i="30"/>
  <c r="AK2378" i="30"/>
  <c r="AK2276" i="30"/>
  <c r="AK2185" i="30"/>
  <c r="AL2185" i="30" s="1"/>
  <c r="AK2081" i="30"/>
  <c r="AL2081" i="30" s="1"/>
  <c r="AK1966" i="30"/>
  <c r="AK1854" i="30"/>
  <c r="AK1716" i="30"/>
  <c r="AK1317" i="30"/>
  <c r="AK2857" i="30"/>
  <c r="AK2766" i="30"/>
  <c r="AK2687" i="30"/>
  <c r="AL2687" i="30" s="1"/>
  <c r="AK2623" i="30"/>
  <c r="AK2559" i="30"/>
  <c r="AK2469" i="30"/>
  <c r="AK2364" i="30"/>
  <c r="AK2261" i="30"/>
  <c r="AK2171" i="30"/>
  <c r="AK2068" i="30"/>
  <c r="AK1836" i="30"/>
  <c r="AL1836" i="30" s="1"/>
  <c r="AK1699" i="30"/>
  <c r="AL1699" i="30" s="1"/>
  <c r="AK1214" i="30"/>
  <c r="AK524" i="30"/>
  <c r="AK2842" i="30"/>
  <c r="AK2753" i="30"/>
  <c r="AK2678" i="30"/>
  <c r="AK2614" i="30"/>
  <c r="AK2550" i="30"/>
  <c r="AL2550" i="30" s="1"/>
  <c r="AK2454" i="30"/>
  <c r="AL2454" i="30" s="1"/>
  <c r="AK2352" i="30"/>
  <c r="AK2245" i="30"/>
  <c r="AK2158" i="30"/>
  <c r="AK2049" i="30"/>
  <c r="AK1936" i="30"/>
  <c r="AK1821" i="30"/>
  <c r="AK1682" i="30"/>
  <c r="AL1682" i="30" s="1"/>
  <c r="AK2831" i="30"/>
  <c r="AL2831" i="30" s="1"/>
  <c r="AK2740" i="30"/>
  <c r="AK2669" i="30"/>
  <c r="AK2605" i="30"/>
  <c r="AK2539" i="30"/>
  <c r="AK2440" i="30"/>
  <c r="AK2338" i="30"/>
  <c r="AK2236" i="30"/>
  <c r="AK2031" i="30"/>
  <c r="AK1925" i="30"/>
  <c r="AK1804" i="30"/>
  <c r="AK1668" i="30"/>
  <c r="AK1010" i="30"/>
  <c r="AK327" i="30"/>
  <c r="AK1599" i="30"/>
  <c r="AK1496" i="30"/>
  <c r="AK1393" i="30"/>
  <c r="AL1393" i="30" s="1"/>
  <c r="AK1294" i="30"/>
  <c r="AK1191" i="30"/>
  <c r="AK1098" i="30"/>
  <c r="AK1017" i="30"/>
  <c r="AK953" i="30"/>
  <c r="AK887" i="30"/>
  <c r="AK786" i="30"/>
  <c r="AL786" i="30" s="1"/>
  <c r="AK692" i="30"/>
  <c r="AL692" i="30" s="1"/>
  <c r="AK607" i="30"/>
  <c r="AK510" i="30"/>
  <c r="AK413" i="30"/>
  <c r="AK334" i="30"/>
  <c r="AK249" i="30"/>
  <c r="AK166" i="30"/>
  <c r="AK60" i="30"/>
  <c r="AL60" i="30" s="1"/>
  <c r="AK1562" i="30"/>
  <c r="AL1562" i="30" s="1"/>
  <c r="AK1454" i="30"/>
  <c r="AK1355" i="30"/>
  <c r="AK1257" i="30"/>
  <c r="AK1159" i="30"/>
  <c r="AK1066" i="30"/>
  <c r="AK992" i="30"/>
  <c r="AK928" i="30"/>
  <c r="AL928" i="30" s="1"/>
  <c r="AK843" i="30"/>
  <c r="AK746" i="30"/>
  <c r="AK663" i="30"/>
  <c r="AK568" i="30"/>
  <c r="AK474" i="30"/>
  <c r="AK378" i="30"/>
  <c r="AK302" i="30"/>
  <c r="AK219" i="30"/>
  <c r="AL219" i="30" s="1"/>
  <c r="AK122" i="30"/>
  <c r="AK27" i="30"/>
  <c r="AK1622" i="30"/>
  <c r="AK1517" i="30"/>
  <c r="AK1414" i="30"/>
  <c r="AK1310" i="30"/>
  <c r="AK1222" i="30"/>
  <c r="AK1120" i="30"/>
  <c r="AL1120" i="30" s="1"/>
  <c r="AK1031" i="30"/>
  <c r="AL1031" i="30" s="1"/>
  <c r="AK967" i="30"/>
  <c r="AK903" i="30"/>
  <c r="AK807" i="30"/>
  <c r="AK708" i="30"/>
  <c r="AK626" i="30"/>
  <c r="AK532" i="30"/>
  <c r="AK435" i="30"/>
  <c r="AL435" i="30" s="1"/>
  <c r="AK348" i="30"/>
  <c r="AK267" i="30"/>
  <c r="AK183" i="30"/>
  <c r="AK82" i="30"/>
  <c r="AK1584" i="30"/>
  <c r="AK1478" i="30"/>
  <c r="AK1378" i="30"/>
  <c r="AK1279" i="30"/>
  <c r="AK1177" i="30"/>
  <c r="AL1177" i="30" s="1"/>
  <c r="AK1085" i="30"/>
  <c r="AK1006" i="30"/>
  <c r="AK870" i="30"/>
  <c r="AK766" i="30"/>
  <c r="AK681" i="30"/>
  <c r="AK587" i="30"/>
  <c r="AK493" i="30"/>
  <c r="AL493" i="30" s="1"/>
  <c r="AK397" i="30"/>
  <c r="AL397" i="30" s="1"/>
  <c r="AK323" i="30"/>
  <c r="AK237" i="30"/>
  <c r="AK146" i="30"/>
  <c r="AK46" i="30"/>
  <c r="AK1641" i="30"/>
  <c r="AK1543" i="30"/>
  <c r="AK1436" i="30"/>
  <c r="AL1436" i="30" s="1"/>
  <c r="AK1337" i="30"/>
  <c r="AL1337" i="30" s="1"/>
  <c r="AK1241" i="30"/>
  <c r="AK1139" i="30"/>
  <c r="AK1048" i="30"/>
  <c r="AK981" i="30"/>
  <c r="AK917" i="30"/>
  <c r="AK828" i="30"/>
  <c r="AK730" i="30"/>
  <c r="AL730" i="30" s="1"/>
  <c r="AK647" i="30"/>
  <c r="AK552" i="30"/>
  <c r="AK454" i="30"/>
  <c r="AK362" i="30"/>
  <c r="AK287" i="30"/>
  <c r="AK205" i="30"/>
  <c r="AK103" i="30"/>
  <c r="AK1606" i="30"/>
  <c r="AL1606" i="30" s="1"/>
  <c r="AK1500" i="30"/>
  <c r="AL1500" i="30" s="1"/>
  <c r="AK1397" i="30"/>
  <c r="AK1297" i="30"/>
  <c r="AK1196" i="30"/>
  <c r="AK1103" i="30"/>
  <c r="AK1020" i="30"/>
  <c r="AK956" i="30"/>
  <c r="AK890" i="30"/>
  <c r="AL890" i="30" s="1"/>
  <c r="AK791" i="30"/>
  <c r="AK695" i="30"/>
  <c r="AK610" i="30"/>
  <c r="AK515" i="30"/>
  <c r="AK337" i="30"/>
  <c r="AK254" i="30"/>
  <c r="AK171" i="30"/>
  <c r="AK65" i="30"/>
  <c r="AL65" i="30" s="1"/>
  <c r="AK1579" i="30"/>
  <c r="AK1471" i="30"/>
  <c r="AK1375" i="30"/>
  <c r="AK1274" i="30"/>
  <c r="AK1174" i="30"/>
  <c r="AK1080" i="30"/>
  <c r="AK1003" i="30"/>
  <c r="AK939" i="30"/>
  <c r="AK863" i="30"/>
  <c r="AL863" i="30" s="1"/>
  <c r="AK762" i="30"/>
  <c r="AK678" i="30"/>
  <c r="AK584" i="30"/>
  <c r="AK487" i="30"/>
  <c r="AK394" i="30"/>
  <c r="AK319" i="30"/>
  <c r="AK234" i="30"/>
  <c r="AL234" i="30" s="1"/>
  <c r="AK141" i="30"/>
  <c r="AL141" i="30" s="1"/>
  <c r="AK41" i="30"/>
  <c r="AJ1202" i="30"/>
  <c r="AG1202" i="30"/>
  <c r="AA1202" i="30"/>
  <c r="AD1202" i="30"/>
  <c r="X1202" i="30"/>
  <c r="R1202" i="30"/>
  <c r="O1202" i="30"/>
  <c r="AJ1636" i="30"/>
  <c r="AG1636" i="30"/>
  <c r="AD1636" i="30"/>
  <c r="AA1636" i="30"/>
  <c r="X1636" i="30"/>
  <c r="R1636" i="30"/>
  <c r="O1636" i="30"/>
  <c r="AK1636" i="30" s="1"/>
  <c r="AL1636" i="30" s="1"/>
  <c r="AJ1740" i="30"/>
  <c r="AG1740" i="30"/>
  <c r="AD1740" i="30"/>
  <c r="AA1740" i="30"/>
  <c r="X1740" i="30"/>
  <c r="R1740" i="30"/>
  <c r="O1740" i="30"/>
  <c r="AJ1928" i="30"/>
  <c r="AG1928" i="30"/>
  <c r="AD1928" i="30"/>
  <c r="AA1928" i="30"/>
  <c r="X1928" i="30"/>
  <c r="R1928" i="30"/>
  <c r="O1928" i="30"/>
  <c r="AJ2045" i="30"/>
  <c r="AG2045" i="30"/>
  <c r="AD2045" i="30"/>
  <c r="AA2045" i="30"/>
  <c r="X2045" i="30"/>
  <c r="R2045" i="30"/>
  <c r="O2045" i="30"/>
  <c r="AG2126" i="30"/>
  <c r="AJ2126" i="30"/>
  <c r="AD2126" i="30"/>
  <c r="AA2126" i="30"/>
  <c r="X2126" i="30"/>
  <c r="R2126" i="30"/>
  <c r="O2126" i="30"/>
  <c r="AJ2168" i="30"/>
  <c r="AG2168" i="30"/>
  <c r="AD2168" i="30"/>
  <c r="X2168" i="30"/>
  <c r="AA2168" i="30"/>
  <c r="R2168" i="30"/>
  <c r="O2168" i="30"/>
  <c r="AJ2523" i="30"/>
  <c r="AG2523" i="30"/>
  <c r="AD2523" i="30"/>
  <c r="AA2523" i="30"/>
  <c r="X2523" i="30"/>
  <c r="R2523" i="30"/>
  <c r="O2523" i="30"/>
  <c r="AJ2783" i="30"/>
  <c r="AG2783" i="30"/>
  <c r="AD2783" i="30"/>
  <c r="AA2783" i="30"/>
  <c r="X2783" i="30"/>
  <c r="R2783" i="30"/>
  <c r="O2783" i="30"/>
  <c r="AG2820" i="30"/>
  <c r="AJ2820" i="30"/>
  <c r="AD2820" i="30"/>
  <c r="AA2820" i="30"/>
  <c r="X2820" i="30"/>
  <c r="R2820" i="30"/>
  <c r="O2820" i="30"/>
  <c r="AK2820" i="30" s="1"/>
  <c r="AL2820" i="30" s="1"/>
  <c r="AJ2843" i="30"/>
  <c r="AG2843" i="30"/>
  <c r="AD2843" i="30"/>
  <c r="AA2843" i="30"/>
  <c r="X2843" i="30"/>
  <c r="R2843" i="30"/>
  <c r="O2843" i="30"/>
  <c r="AJ771" i="30"/>
  <c r="AD771" i="30"/>
  <c r="AG771" i="30"/>
  <c r="AA771" i="30"/>
  <c r="X771" i="30"/>
  <c r="R771" i="30"/>
  <c r="O771" i="30"/>
  <c r="AJ1213" i="30"/>
  <c r="AG1213" i="30"/>
  <c r="AA1213" i="30"/>
  <c r="AD1213" i="30"/>
  <c r="X1213" i="30"/>
  <c r="R1213" i="30"/>
  <c r="O1213" i="30"/>
  <c r="AJ1168" i="30"/>
  <c r="AG1168" i="30"/>
  <c r="AA1168" i="30"/>
  <c r="AD1168" i="30"/>
  <c r="X1168" i="30"/>
  <c r="R1168" i="30"/>
  <c r="O1168" i="30"/>
  <c r="AJ1346" i="30"/>
  <c r="AG1346" i="30"/>
  <c r="AD1346" i="30"/>
  <c r="AA1346" i="30"/>
  <c r="X1346" i="30"/>
  <c r="R1346" i="30"/>
  <c r="O1346" i="30"/>
  <c r="AJ1489" i="30"/>
  <c r="AG1489" i="30"/>
  <c r="AD1489" i="30"/>
  <c r="AA1489" i="30"/>
  <c r="X1489" i="30"/>
  <c r="R1489" i="30"/>
  <c r="O1489" i="30"/>
  <c r="AJ1713" i="30"/>
  <c r="AG1713" i="30"/>
  <c r="AD1713" i="30"/>
  <c r="AA1713" i="30"/>
  <c r="X1713" i="30"/>
  <c r="R1713" i="30"/>
  <c r="O1713" i="30"/>
  <c r="AJ1755" i="30"/>
  <c r="AG1755" i="30"/>
  <c r="AD1755" i="30"/>
  <c r="AA1755" i="30"/>
  <c r="X1755" i="30"/>
  <c r="R1755" i="30"/>
  <c r="O1755" i="30"/>
  <c r="AK1755" i="30" s="1"/>
  <c r="AL1755" i="30" s="1"/>
  <c r="AJ1795" i="30"/>
  <c r="AG1795" i="30"/>
  <c r="AD1795" i="30"/>
  <c r="AA1795" i="30"/>
  <c r="X1795" i="30"/>
  <c r="R1795" i="30"/>
  <c r="O1795" i="30"/>
  <c r="AJ1953" i="30"/>
  <c r="AG1953" i="30"/>
  <c r="AD1953" i="30"/>
  <c r="AA1953" i="30"/>
  <c r="X1953" i="30"/>
  <c r="R1953" i="30"/>
  <c r="O1953" i="30"/>
  <c r="AJ2034" i="30"/>
  <c r="AG2034" i="30"/>
  <c r="AD2034" i="30"/>
  <c r="AA2034" i="30"/>
  <c r="X2034" i="30"/>
  <c r="R2034" i="30"/>
  <c r="O2034" i="30"/>
  <c r="AJ2375" i="30"/>
  <c r="AG2375" i="30"/>
  <c r="AD2375" i="30"/>
  <c r="AA2375" i="30"/>
  <c r="X2375" i="30"/>
  <c r="R2375" i="30"/>
  <c r="O2375" i="30"/>
  <c r="AJ811" i="30"/>
  <c r="AD811" i="30"/>
  <c r="AG811" i="30"/>
  <c r="AA811" i="30"/>
  <c r="X811" i="30"/>
  <c r="R811" i="30"/>
  <c r="O811" i="30"/>
  <c r="AJ1051" i="30"/>
  <c r="AD1051" i="30"/>
  <c r="AG1051" i="30"/>
  <c r="AA1051" i="30"/>
  <c r="X1051" i="30"/>
  <c r="R1051" i="30"/>
  <c r="O1051" i="30"/>
  <c r="AJ1083" i="30"/>
  <c r="AD1083" i="30"/>
  <c r="AG1083" i="30"/>
  <c r="AA1083" i="30"/>
  <c r="X1083" i="30"/>
  <c r="R1083" i="30"/>
  <c r="O1083" i="30"/>
  <c r="AJ1115" i="30"/>
  <c r="AD1115" i="30"/>
  <c r="AG1115" i="30"/>
  <c r="AA1115" i="30"/>
  <c r="X1115" i="30"/>
  <c r="R1115" i="30"/>
  <c r="O1115" i="30"/>
  <c r="AK1115" i="30" s="1"/>
  <c r="AL1115" i="30" s="1"/>
  <c r="AJ1193" i="30"/>
  <c r="AG1193" i="30"/>
  <c r="AA1193" i="30"/>
  <c r="AD1193" i="30"/>
  <c r="X1193" i="30"/>
  <c r="R1193" i="30"/>
  <c r="O1193" i="30"/>
  <c r="AJ1455" i="30"/>
  <c r="AG1455" i="30"/>
  <c r="AD1455" i="30"/>
  <c r="AA1455" i="30"/>
  <c r="X1455" i="30"/>
  <c r="R1455" i="30"/>
  <c r="O1455" i="30"/>
  <c r="AG1518" i="30"/>
  <c r="AJ1518" i="30"/>
  <c r="AD1518" i="30"/>
  <c r="AA1518" i="30"/>
  <c r="X1518" i="30"/>
  <c r="R1518" i="30"/>
  <c r="O1518" i="30"/>
  <c r="AJ1597" i="30"/>
  <c r="AG1597" i="30"/>
  <c r="AD1597" i="30"/>
  <c r="AA1597" i="30"/>
  <c r="X1597" i="30"/>
  <c r="R1597" i="30"/>
  <c r="O1597" i="30"/>
  <c r="AJ1759" i="30"/>
  <c r="AG1759" i="30"/>
  <c r="AD1759" i="30"/>
  <c r="AA1759" i="30"/>
  <c r="X1759" i="30"/>
  <c r="R1759" i="30"/>
  <c r="O1759" i="30"/>
  <c r="AJ1779" i="30"/>
  <c r="AG1779" i="30"/>
  <c r="AD1779" i="30"/>
  <c r="AA1779" i="30"/>
  <c r="X1779" i="30"/>
  <c r="R1779" i="30"/>
  <c r="O1779" i="30"/>
  <c r="AJ1852" i="30"/>
  <c r="AG1852" i="30"/>
  <c r="AD1852" i="30"/>
  <c r="X1852" i="30"/>
  <c r="AA1852" i="30"/>
  <c r="R1852" i="30"/>
  <c r="O1852" i="30"/>
  <c r="AJ2008" i="30"/>
  <c r="AG2008" i="30"/>
  <c r="AD2008" i="30"/>
  <c r="AA2008" i="30"/>
  <c r="X2008" i="30"/>
  <c r="R2008" i="30"/>
  <c r="O2008" i="30"/>
  <c r="AK2008" i="30" s="1"/>
  <c r="AL2008" i="30" s="1"/>
  <c r="AJ2087" i="30"/>
  <c r="AG2087" i="30"/>
  <c r="AD2087" i="30"/>
  <c r="AA2087" i="30"/>
  <c r="X2087" i="30"/>
  <c r="R2087" i="30"/>
  <c r="O2087" i="30"/>
  <c r="AJ2129" i="30"/>
  <c r="AG2129" i="30"/>
  <c r="AD2129" i="30"/>
  <c r="AA2129" i="30"/>
  <c r="X2129" i="30"/>
  <c r="R2129" i="30"/>
  <c r="O2129" i="30"/>
  <c r="AJ2217" i="30"/>
  <c r="AG2217" i="30"/>
  <c r="AD2217" i="30"/>
  <c r="AA2217" i="30"/>
  <c r="X2217" i="30"/>
  <c r="R2217" i="30"/>
  <c r="O2217" i="30"/>
  <c r="AJ2376" i="30"/>
  <c r="AG2376" i="30"/>
  <c r="AD2376" i="30"/>
  <c r="X2376" i="30"/>
  <c r="AA2376" i="30"/>
  <c r="R2376" i="30"/>
  <c r="O2376" i="30"/>
  <c r="AJ2421" i="30"/>
  <c r="AG2421" i="30"/>
  <c r="AD2421" i="30"/>
  <c r="AA2421" i="30"/>
  <c r="X2421" i="30"/>
  <c r="R2421" i="30"/>
  <c r="O2421" i="30"/>
  <c r="AJ772" i="30"/>
  <c r="AG772" i="30"/>
  <c r="AD772" i="30"/>
  <c r="AA772" i="30"/>
  <c r="X772" i="30"/>
  <c r="R772" i="30"/>
  <c r="O772" i="30"/>
  <c r="AJ780" i="30"/>
  <c r="AG780" i="30"/>
  <c r="AD780" i="30"/>
  <c r="AA780" i="30"/>
  <c r="X780" i="30"/>
  <c r="R780" i="30"/>
  <c r="O780" i="30"/>
  <c r="AJ820" i="30"/>
  <c r="AG820" i="30"/>
  <c r="AD820" i="30"/>
  <c r="X820" i="30"/>
  <c r="AA820" i="30"/>
  <c r="R820" i="30"/>
  <c r="O820" i="30"/>
  <c r="AK820" i="30" s="1"/>
  <c r="AL820" i="30" s="1"/>
  <c r="AJ845" i="30"/>
  <c r="AG845" i="30"/>
  <c r="AD845" i="30"/>
  <c r="AA845" i="30"/>
  <c r="X845" i="30"/>
  <c r="R845" i="30"/>
  <c r="O845" i="30"/>
  <c r="AJ846" i="30"/>
  <c r="AG846" i="30"/>
  <c r="AD846" i="30"/>
  <c r="AA846" i="30"/>
  <c r="X846" i="30"/>
  <c r="O846" i="30"/>
  <c r="R846" i="30"/>
  <c r="AJ1041" i="30"/>
  <c r="AG1041" i="30"/>
  <c r="AD1041" i="30"/>
  <c r="AA1041" i="30"/>
  <c r="X1041" i="30"/>
  <c r="R1041" i="30"/>
  <c r="O1041" i="30"/>
  <c r="AJ1107" i="30"/>
  <c r="AD1107" i="30"/>
  <c r="AG1107" i="30"/>
  <c r="AA1107" i="30"/>
  <c r="X1107" i="30"/>
  <c r="R1107" i="30"/>
  <c r="O1107" i="30"/>
  <c r="AJ1118" i="30"/>
  <c r="AG1118" i="30"/>
  <c r="AA1118" i="30"/>
  <c r="AD1118" i="30"/>
  <c r="X1118" i="30"/>
  <c r="O1118" i="30"/>
  <c r="R1118" i="30"/>
  <c r="AJ1131" i="30"/>
  <c r="AG1131" i="30"/>
  <c r="AD1131" i="30"/>
  <c r="AA1131" i="30"/>
  <c r="X1131" i="30"/>
  <c r="R1131" i="30"/>
  <c r="O1131" i="30"/>
  <c r="AJ1153" i="30"/>
  <c r="AG1153" i="30"/>
  <c r="AD1153" i="30"/>
  <c r="AA1153" i="30"/>
  <c r="X1153" i="30"/>
  <c r="R1153" i="30"/>
  <c r="O1153" i="30"/>
  <c r="AJ1162" i="30"/>
  <c r="AG1162" i="30"/>
  <c r="AD1162" i="30"/>
  <c r="AA1162" i="30"/>
  <c r="X1162" i="30"/>
  <c r="R1162" i="30"/>
  <c r="O1162" i="30"/>
  <c r="AK1162" i="30" s="1"/>
  <c r="AL1162" i="30" s="1"/>
  <c r="AJ1184" i="30"/>
  <c r="AG1184" i="30"/>
  <c r="AA1184" i="30"/>
  <c r="AD1184" i="30"/>
  <c r="X1184" i="30"/>
  <c r="R1184" i="30"/>
  <c r="O1184" i="30"/>
  <c r="AJ1194" i="30"/>
  <c r="AG1194" i="30"/>
  <c r="AA1194" i="30"/>
  <c r="AD1194" i="30"/>
  <c r="X1194" i="30"/>
  <c r="R1194" i="30"/>
  <c r="O1194" i="30"/>
  <c r="AK1200" i="30"/>
  <c r="AL1200" i="30" s="1"/>
  <c r="AJ1219" i="30"/>
  <c r="AG1219" i="30"/>
  <c r="AD1219" i="30"/>
  <c r="AA1219" i="30"/>
  <c r="X1219" i="30"/>
  <c r="R1219" i="30"/>
  <c r="O1219" i="30"/>
  <c r="AJ1228" i="30"/>
  <c r="AG1228" i="30"/>
  <c r="AD1228" i="30"/>
  <c r="AA1228" i="30"/>
  <c r="X1228" i="30"/>
  <c r="R1228" i="30"/>
  <c r="O1228" i="30"/>
  <c r="AJ1250" i="30"/>
  <c r="AG1250" i="30"/>
  <c r="AA1250" i="30"/>
  <c r="AD1250" i="30"/>
  <c r="X1250" i="30"/>
  <c r="R1250" i="30"/>
  <c r="O1250" i="30"/>
  <c r="AJ1316" i="30"/>
  <c r="AG1316" i="30"/>
  <c r="AD1316" i="30"/>
  <c r="AA1316" i="30"/>
  <c r="X1316" i="30"/>
  <c r="R1316" i="30"/>
  <c r="O1316" i="30"/>
  <c r="AJ1334" i="30"/>
  <c r="AG1334" i="30"/>
  <c r="AD1334" i="30"/>
  <c r="AA1334" i="30"/>
  <c r="X1334" i="30"/>
  <c r="R1334" i="30"/>
  <c r="O1334" i="30"/>
  <c r="AJ1349" i="30"/>
  <c r="AG1349" i="30"/>
  <c r="AD1349" i="30"/>
  <c r="AA1349" i="30"/>
  <c r="X1349" i="30"/>
  <c r="R1349" i="30"/>
  <c r="O1349" i="30"/>
  <c r="AJ1357" i="30"/>
  <c r="AG1357" i="30"/>
  <c r="AD1357" i="30"/>
  <c r="AA1357" i="30"/>
  <c r="X1357" i="30"/>
  <c r="R1357" i="30"/>
  <c r="O1357" i="30"/>
  <c r="AJ1364" i="30"/>
  <c r="AG1364" i="30"/>
  <c r="AD1364" i="30"/>
  <c r="X1364" i="30"/>
  <c r="AA1364" i="30"/>
  <c r="R1364" i="30"/>
  <c r="O1364" i="30"/>
  <c r="AJ1383" i="30"/>
  <c r="AG1383" i="30"/>
  <c r="AD1383" i="30"/>
  <c r="AA1383" i="30"/>
  <c r="X1383" i="30"/>
  <c r="R1383" i="30"/>
  <c r="O1383" i="30"/>
  <c r="AJ1391" i="30"/>
  <c r="AG1391" i="30"/>
  <c r="AD1391" i="30"/>
  <c r="AA1391" i="30"/>
  <c r="X1391" i="30"/>
  <c r="R1391" i="30"/>
  <c r="O1391" i="30"/>
  <c r="AJ1404" i="30"/>
  <c r="AG1404" i="30"/>
  <c r="AD1404" i="30"/>
  <c r="X1404" i="30"/>
  <c r="AA1404" i="30"/>
  <c r="R1404" i="30"/>
  <c r="O1404" i="30"/>
  <c r="AJ1425" i="30"/>
  <c r="AG1425" i="30"/>
  <c r="AD1425" i="30"/>
  <c r="AA1425" i="30"/>
  <c r="R1425" i="30"/>
  <c r="X1425" i="30"/>
  <c r="O1425" i="30"/>
  <c r="AJ1447" i="30"/>
  <c r="AG1447" i="30"/>
  <c r="AD1447" i="30"/>
  <c r="AA1447" i="30"/>
  <c r="X1447" i="30"/>
  <c r="R1447" i="30"/>
  <c r="O1447" i="30"/>
  <c r="AJ1460" i="30"/>
  <c r="AG1460" i="30"/>
  <c r="AD1460" i="30"/>
  <c r="AA1460" i="30"/>
  <c r="X1460" i="30"/>
  <c r="R1460" i="30"/>
  <c r="O1460" i="30"/>
  <c r="AJ1481" i="30"/>
  <c r="AG1481" i="30"/>
  <c r="AD1481" i="30"/>
  <c r="AA1481" i="30"/>
  <c r="X1481" i="30"/>
  <c r="R1481" i="30"/>
  <c r="O1481" i="30"/>
  <c r="AJ1503" i="30"/>
  <c r="AG1503" i="30"/>
  <c r="AD1503" i="30"/>
  <c r="AA1503" i="30"/>
  <c r="X1503" i="30"/>
  <c r="R1503" i="30"/>
  <c r="O1503" i="30"/>
  <c r="AJ1523" i="30"/>
  <c r="AG1523" i="30"/>
  <c r="AD1523" i="30"/>
  <c r="AA1523" i="30"/>
  <c r="X1523" i="30"/>
  <c r="R1523" i="30"/>
  <c r="O1523" i="30"/>
  <c r="AJ1545" i="30"/>
  <c r="AG1545" i="30"/>
  <c r="AD1545" i="30"/>
  <c r="AA1545" i="30"/>
  <c r="X1545" i="30"/>
  <c r="R1545" i="30"/>
  <c r="O1545" i="30"/>
  <c r="AJ1560" i="30"/>
  <c r="AG1560" i="30"/>
  <c r="AD1560" i="30"/>
  <c r="AA1560" i="30"/>
  <c r="X1560" i="30"/>
  <c r="R1560" i="30"/>
  <c r="O1560" i="30"/>
  <c r="AJ1581" i="30"/>
  <c r="AG1581" i="30"/>
  <c r="AD1581" i="30"/>
  <c r="AA1581" i="30"/>
  <c r="X1581" i="30"/>
  <c r="R1581" i="30"/>
  <c r="O1581" i="30"/>
  <c r="AJ1665" i="30"/>
  <c r="AG1665" i="30"/>
  <c r="AD1665" i="30"/>
  <c r="AA1665" i="30"/>
  <c r="X1665" i="30"/>
  <c r="R1665" i="30"/>
  <c r="O1665" i="30"/>
  <c r="AJ1669" i="30"/>
  <c r="AG1669" i="30"/>
  <c r="AD1669" i="30"/>
  <c r="AA1669" i="30"/>
  <c r="X1669" i="30"/>
  <c r="R1669" i="30"/>
  <c r="O1669" i="30"/>
  <c r="AJ1673" i="30"/>
  <c r="AG1673" i="30"/>
  <c r="AD1673" i="30"/>
  <c r="AA1673" i="30"/>
  <c r="R1673" i="30"/>
  <c r="X1673" i="30"/>
  <c r="O1673" i="30"/>
  <c r="AK1693" i="30"/>
  <c r="AL1693" i="30" s="1"/>
  <c r="AJ1709" i="30"/>
  <c r="AG1709" i="30"/>
  <c r="AD1709" i="30"/>
  <c r="AA1709" i="30"/>
  <c r="R1709" i="30"/>
  <c r="X1709" i="30"/>
  <c r="O1709" i="30"/>
  <c r="AG1718" i="30"/>
  <c r="AJ1718" i="30"/>
  <c r="AD1718" i="30"/>
  <c r="AA1718" i="30"/>
  <c r="X1718" i="30"/>
  <c r="R1718" i="30"/>
  <c r="O1718" i="30"/>
  <c r="AJ1726" i="30"/>
  <c r="AG1726" i="30"/>
  <c r="AD1726" i="30"/>
  <c r="AA1726" i="30"/>
  <c r="X1726" i="30"/>
  <c r="R1726" i="30"/>
  <c r="O1726" i="30"/>
  <c r="AJ1750" i="30"/>
  <c r="AG1750" i="30"/>
  <c r="AD1750" i="30"/>
  <c r="AA1750" i="30"/>
  <c r="X1750" i="30"/>
  <c r="R1750" i="30"/>
  <c r="O1750" i="30"/>
  <c r="AK1760" i="30"/>
  <c r="AL1760" i="30" s="1"/>
  <c r="AJ1784" i="30"/>
  <c r="AG1784" i="30"/>
  <c r="AD1784" i="30"/>
  <c r="AA1784" i="30"/>
  <c r="X1784" i="30"/>
  <c r="R1784" i="30"/>
  <c r="O1784" i="30"/>
  <c r="AL1797" i="30"/>
  <c r="AG1806" i="30"/>
  <c r="AJ1806" i="30"/>
  <c r="AD1806" i="30"/>
  <c r="AA1806" i="30"/>
  <c r="X1806" i="30"/>
  <c r="R1806" i="30"/>
  <c r="O1806" i="30"/>
  <c r="AJ1828" i="30"/>
  <c r="AG1828" i="30"/>
  <c r="AD1828" i="30"/>
  <c r="AA1828" i="30"/>
  <c r="X1828" i="30"/>
  <c r="R1828" i="30"/>
  <c r="O1828" i="30"/>
  <c r="AJ1837" i="30"/>
  <c r="AG1837" i="30"/>
  <c r="AD1837" i="30"/>
  <c r="AA1837" i="30"/>
  <c r="X1837" i="30"/>
  <c r="R1837" i="30"/>
  <c r="O1837" i="30"/>
  <c r="AJ1855" i="30"/>
  <c r="AG1855" i="30"/>
  <c r="AD1855" i="30"/>
  <c r="AA1855" i="30"/>
  <c r="X1855" i="30"/>
  <c r="R1855" i="30"/>
  <c r="O1855" i="30"/>
  <c r="AJ1881" i="30"/>
  <c r="AG1881" i="30"/>
  <c r="AD1881" i="30"/>
  <c r="AA1881" i="30"/>
  <c r="X1881" i="30"/>
  <c r="R1881" i="30"/>
  <c r="O1881" i="30"/>
  <c r="AJ1938" i="30"/>
  <c r="AG1938" i="30"/>
  <c r="AD1938" i="30"/>
  <c r="AA1938" i="30"/>
  <c r="X1938" i="30"/>
  <c r="R1938" i="30"/>
  <c r="O1938" i="30"/>
  <c r="AJ1948" i="30"/>
  <c r="AG1948" i="30"/>
  <c r="AD1948" i="30"/>
  <c r="AA1948" i="30"/>
  <c r="X1948" i="30"/>
  <c r="R1948" i="30"/>
  <c r="O1948" i="30"/>
  <c r="AJ1956" i="30"/>
  <c r="AG1956" i="30"/>
  <c r="AD1956" i="30"/>
  <c r="AA1956" i="30"/>
  <c r="X1956" i="30"/>
  <c r="R1956" i="30"/>
  <c r="O1956" i="30"/>
  <c r="AJ1983" i="30"/>
  <c r="AG1983" i="30"/>
  <c r="AD1983" i="30"/>
  <c r="AA1983" i="30"/>
  <c r="X1983" i="30"/>
  <c r="R1983" i="30"/>
  <c r="O1983" i="30"/>
  <c r="AJ2011" i="30"/>
  <c r="AG2011" i="30"/>
  <c r="AD2011" i="30"/>
  <c r="AA2011" i="30"/>
  <c r="X2011" i="30"/>
  <c r="R2011" i="30"/>
  <c r="O2011" i="30"/>
  <c r="AJ2047" i="30"/>
  <c r="AG2047" i="30"/>
  <c r="AD2047" i="30"/>
  <c r="AA2047" i="30"/>
  <c r="X2047" i="30"/>
  <c r="R2047" i="30"/>
  <c r="O2047" i="30"/>
  <c r="AJ2056" i="30"/>
  <c r="AG2056" i="30"/>
  <c r="AD2056" i="30"/>
  <c r="AA2056" i="30"/>
  <c r="X2056" i="30"/>
  <c r="R2056" i="30"/>
  <c r="O2056" i="30"/>
  <c r="AJ2063" i="30"/>
  <c r="AG2063" i="30"/>
  <c r="AD2063" i="30"/>
  <c r="AA2063" i="30"/>
  <c r="X2063" i="30"/>
  <c r="R2063" i="30"/>
  <c r="O2063" i="30"/>
  <c r="AJ2090" i="30"/>
  <c r="AG2090" i="30"/>
  <c r="AD2090" i="30"/>
  <c r="AA2090" i="30"/>
  <c r="X2090" i="30"/>
  <c r="R2090" i="30"/>
  <c r="O2090" i="30"/>
  <c r="AJ2160" i="30"/>
  <c r="AG2160" i="30"/>
  <c r="AD2160" i="30"/>
  <c r="X2160" i="30"/>
  <c r="AA2160" i="30"/>
  <c r="R2160" i="30"/>
  <c r="O2160" i="30"/>
  <c r="AJ2175" i="30"/>
  <c r="AG2175" i="30"/>
  <c r="AD2175" i="30"/>
  <c r="AA2175" i="30"/>
  <c r="X2175" i="30"/>
  <c r="R2175" i="30"/>
  <c r="O2175" i="30"/>
  <c r="AJ2210" i="30"/>
  <c r="AG2210" i="30"/>
  <c r="AD2210" i="30"/>
  <c r="AA2210" i="30"/>
  <c r="X2210" i="30"/>
  <c r="R2210" i="30"/>
  <c r="O2210" i="30"/>
  <c r="AJ2250" i="30"/>
  <c r="AG2250" i="30"/>
  <c r="AD2250" i="30"/>
  <c r="AA2250" i="30"/>
  <c r="X2250" i="30"/>
  <c r="R2250" i="30"/>
  <c r="O2250" i="30"/>
  <c r="AJ2267" i="30"/>
  <c r="AG2267" i="30"/>
  <c r="AD2267" i="30"/>
  <c r="AA2267" i="30"/>
  <c r="X2267" i="30"/>
  <c r="R2267" i="30"/>
  <c r="O2267" i="30"/>
  <c r="AJ2291" i="30"/>
  <c r="AG2291" i="30"/>
  <c r="AD2291" i="30"/>
  <c r="AA2291" i="30"/>
  <c r="X2291" i="30"/>
  <c r="R2291" i="30"/>
  <c r="O2291" i="30"/>
  <c r="AG2302" i="30"/>
  <c r="AJ2302" i="30"/>
  <c r="AD2302" i="30"/>
  <c r="AA2302" i="30"/>
  <c r="X2302" i="30"/>
  <c r="R2302" i="30"/>
  <c r="O2302" i="30"/>
  <c r="AJ2316" i="30"/>
  <c r="AG2316" i="30"/>
  <c r="AD2316" i="30"/>
  <c r="AA2316" i="30"/>
  <c r="X2316" i="30"/>
  <c r="R2316" i="30"/>
  <c r="O2316" i="30"/>
  <c r="AJ2350" i="30"/>
  <c r="AG2350" i="30"/>
  <c r="AD2350" i="30"/>
  <c r="AA2350" i="30"/>
  <c r="X2350" i="30"/>
  <c r="R2350" i="30"/>
  <c r="O2350" i="30"/>
  <c r="AJ2379" i="30"/>
  <c r="AG2379" i="30"/>
  <c r="AD2379" i="30"/>
  <c r="AA2379" i="30"/>
  <c r="X2379" i="30"/>
  <c r="R2379" i="30"/>
  <c r="O2379" i="30"/>
  <c r="AJ2385" i="30"/>
  <c r="AG2385" i="30"/>
  <c r="AD2385" i="30"/>
  <c r="AA2385" i="30"/>
  <c r="X2385" i="30"/>
  <c r="R2385" i="30"/>
  <c r="O2385" i="30"/>
  <c r="AJ2428" i="30"/>
  <c r="AG2428" i="30"/>
  <c r="AD2428" i="30"/>
  <c r="AA2428" i="30"/>
  <c r="X2428" i="30"/>
  <c r="R2428" i="30"/>
  <c r="O2428" i="30"/>
  <c r="AG2446" i="30"/>
  <c r="AJ2446" i="30"/>
  <c r="AD2446" i="30"/>
  <c r="AA2446" i="30"/>
  <c r="X2446" i="30"/>
  <c r="R2446" i="30"/>
  <c r="O2446" i="30"/>
  <c r="AG2462" i="30"/>
  <c r="AJ2462" i="30"/>
  <c r="AD2462" i="30"/>
  <c r="AA2462" i="30"/>
  <c r="X2462" i="30"/>
  <c r="R2462" i="30"/>
  <c r="O2462" i="30"/>
  <c r="AJ2510" i="30"/>
  <c r="AG2510" i="30"/>
  <c r="AD2510" i="30"/>
  <c r="AA2510" i="30"/>
  <c r="X2510" i="30"/>
  <c r="R2510" i="30"/>
  <c r="O2510" i="30"/>
  <c r="AG2518" i="30"/>
  <c r="AJ2518" i="30"/>
  <c r="AD2518" i="30"/>
  <c r="AA2518" i="30"/>
  <c r="X2518" i="30"/>
  <c r="R2518" i="30"/>
  <c r="O2518" i="30"/>
  <c r="AJ2525" i="30"/>
  <c r="AG2525" i="30"/>
  <c r="AD2525" i="30"/>
  <c r="AA2525" i="30"/>
  <c r="X2525" i="30"/>
  <c r="R2525" i="30"/>
  <c r="O2525" i="30"/>
  <c r="AJ2538" i="30"/>
  <c r="AG2538" i="30"/>
  <c r="AD2538" i="30"/>
  <c r="AA2538" i="30"/>
  <c r="X2538" i="30"/>
  <c r="R2538" i="30"/>
  <c r="O2538" i="30"/>
  <c r="AJ2721" i="30"/>
  <c r="AG2721" i="30"/>
  <c r="AD2721" i="30"/>
  <c r="AA2721" i="30"/>
  <c r="X2721" i="30"/>
  <c r="R2721" i="30"/>
  <c r="O2721" i="30"/>
  <c r="AG2772" i="30"/>
  <c r="AJ2772" i="30"/>
  <c r="AD2772" i="30"/>
  <c r="AA2772" i="30"/>
  <c r="X2772" i="30"/>
  <c r="R2772" i="30"/>
  <c r="O2772" i="30"/>
  <c r="AG2812" i="30"/>
  <c r="AJ2812" i="30"/>
  <c r="AD2812" i="30"/>
  <c r="AA2812" i="30"/>
  <c r="X2812" i="30"/>
  <c r="R2812" i="30"/>
  <c r="O2812" i="30"/>
  <c r="AJ789" i="30"/>
  <c r="AG789" i="30"/>
  <c r="AD789" i="30"/>
  <c r="AA789" i="30"/>
  <c r="X789" i="30"/>
  <c r="R789" i="30"/>
  <c r="O789" i="30"/>
  <c r="AJ1151" i="30"/>
  <c r="AG1151" i="30"/>
  <c r="AA1151" i="30"/>
  <c r="AD1151" i="30"/>
  <c r="X1151" i="30"/>
  <c r="R1151" i="30"/>
  <c r="O1151" i="30"/>
  <c r="AJ1209" i="30"/>
  <c r="AG1209" i="30"/>
  <c r="AA1209" i="30"/>
  <c r="AD1209" i="30"/>
  <c r="X1209" i="30"/>
  <c r="R1209" i="30"/>
  <c r="O1209" i="30"/>
  <c r="AJ1244" i="30"/>
  <c r="AG1244" i="30"/>
  <c r="AD1244" i="30"/>
  <c r="X1244" i="30"/>
  <c r="AA1244" i="30"/>
  <c r="R1244" i="30"/>
  <c r="O1244" i="30"/>
  <c r="AJ1338" i="30"/>
  <c r="AG1338" i="30"/>
  <c r="AD1338" i="30"/>
  <c r="AA1338" i="30"/>
  <c r="X1338" i="30"/>
  <c r="R1338" i="30"/>
  <c r="O1338" i="30"/>
  <c r="AJ1356" i="30"/>
  <c r="AG1356" i="30"/>
  <c r="AD1356" i="30"/>
  <c r="AA1356" i="30"/>
  <c r="X1356" i="30"/>
  <c r="R1356" i="30"/>
  <c r="O1356" i="30"/>
  <c r="AJ1371" i="30"/>
  <c r="AG1371" i="30"/>
  <c r="AD1371" i="30"/>
  <c r="AA1371" i="30"/>
  <c r="X1371" i="30"/>
  <c r="R1371" i="30"/>
  <c r="O1371" i="30"/>
  <c r="AJ1620" i="30"/>
  <c r="AG1620" i="30"/>
  <c r="AD1620" i="30"/>
  <c r="X1620" i="30"/>
  <c r="AA1620" i="30"/>
  <c r="R1620" i="30"/>
  <c r="O1620" i="30"/>
  <c r="AJ1649" i="30"/>
  <c r="AG1649" i="30"/>
  <c r="AD1649" i="30"/>
  <c r="AA1649" i="30"/>
  <c r="X1649" i="30"/>
  <c r="R1649" i="30"/>
  <c r="O1649" i="30"/>
  <c r="AJ1684" i="30"/>
  <c r="AG1684" i="30"/>
  <c r="AD1684" i="30"/>
  <c r="AA1684" i="30"/>
  <c r="X1684" i="30"/>
  <c r="R1684" i="30"/>
  <c r="O1684" i="30"/>
  <c r="AJ1730" i="30"/>
  <c r="AG1730" i="30"/>
  <c r="AD1730" i="30"/>
  <c r="AA1730" i="30"/>
  <c r="X1730" i="30"/>
  <c r="R1730" i="30"/>
  <c r="O1730" i="30"/>
  <c r="AJ1762" i="30"/>
  <c r="AG1762" i="30"/>
  <c r="AD1762" i="30"/>
  <c r="AA1762" i="30"/>
  <c r="X1762" i="30"/>
  <c r="R1762" i="30"/>
  <c r="O1762" i="30"/>
  <c r="AJ1834" i="30"/>
  <c r="AG1834" i="30"/>
  <c r="AD1834" i="30"/>
  <c r="AA1834" i="30"/>
  <c r="X1834" i="30"/>
  <c r="R1834" i="30"/>
  <c r="O1834" i="30"/>
  <c r="AJ1867" i="30"/>
  <c r="AG1867" i="30"/>
  <c r="AD1867" i="30"/>
  <c r="AA1867" i="30"/>
  <c r="X1867" i="30"/>
  <c r="R1867" i="30"/>
  <c r="O1867" i="30"/>
  <c r="AJ1975" i="30"/>
  <c r="AG1975" i="30"/>
  <c r="AD1975" i="30"/>
  <c r="AA1975" i="30"/>
  <c r="X1975" i="30"/>
  <c r="R1975" i="30"/>
  <c r="O1975" i="30"/>
  <c r="AJ1996" i="30"/>
  <c r="AG1996" i="30"/>
  <c r="AD1996" i="30"/>
  <c r="X1996" i="30"/>
  <c r="AA1996" i="30"/>
  <c r="R1996" i="30"/>
  <c r="O1996" i="30"/>
  <c r="AJ2021" i="30"/>
  <c r="AG2021" i="30"/>
  <c r="AD2021" i="30"/>
  <c r="AA2021" i="30"/>
  <c r="X2021" i="30"/>
  <c r="R2021" i="30"/>
  <c r="O2021" i="30"/>
  <c r="AJ2271" i="30"/>
  <c r="AG2271" i="30"/>
  <c r="AD2271" i="30"/>
  <c r="AA2271" i="30"/>
  <c r="X2271" i="30"/>
  <c r="R2271" i="30"/>
  <c r="O2271" i="30"/>
  <c r="AJ2298" i="30"/>
  <c r="AG2298" i="30"/>
  <c r="AD2298" i="30"/>
  <c r="AA2298" i="30"/>
  <c r="X2298" i="30"/>
  <c r="R2298" i="30"/>
  <c r="O2298" i="30"/>
  <c r="AJ2349" i="30"/>
  <c r="AG2349" i="30"/>
  <c r="AD2349" i="30"/>
  <c r="AA2349" i="30"/>
  <c r="X2349" i="30"/>
  <c r="R2349" i="30"/>
  <c r="O2349" i="30"/>
  <c r="AJ2458" i="30"/>
  <c r="AG2458" i="30"/>
  <c r="AD2458" i="30"/>
  <c r="AA2458" i="30"/>
  <c r="X2458" i="30"/>
  <c r="R2458" i="30"/>
  <c r="O2458" i="30"/>
  <c r="AJ2711" i="30"/>
  <c r="AG2711" i="30"/>
  <c r="AD2711" i="30"/>
  <c r="AA2711" i="30"/>
  <c r="X2711" i="30"/>
  <c r="R2711" i="30"/>
  <c r="O2711" i="30"/>
  <c r="AJ2786" i="30"/>
  <c r="AG2786" i="30"/>
  <c r="AD2786" i="30"/>
  <c r="AA2786" i="30"/>
  <c r="X2786" i="30"/>
  <c r="R2786" i="30"/>
  <c r="O2786" i="30"/>
  <c r="AJ1125" i="30"/>
  <c r="AG1125" i="30"/>
  <c r="AD1125" i="30"/>
  <c r="AA1125" i="30"/>
  <c r="X1125" i="30"/>
  <c r="R1125" i="30"/>
  <c r="O1125" i="30"/>
  <c r="AJ1198" i="30"/>
  <c r="AG1198" i="30"/>
  <c r="AA1198" i="30"/>
  <c r="AD1198" i="30"/>
  <c r="X1198" i="30"/>
  <c r="O1198" i="30"/>
  <c r="R1198" i="30"/>
  <c r="AJ1249" i="30"/>
  <c r="AG1249" i="30"/>
  <c r="AA1249" i="30"/>
  <c r="AD1249" i="30"/>
  <c r="X1249" i="30"/>
  <c r="R1249" i="30"/>
  <c r="O1249" i="30"/>
  <c r="AJ1605" i="30"/>
  <c r="AG1605" i="30"/>
  <c r="AD1605" i="30"/>
  <c r="AA1605" i="30"/>
  <c r="X1605" i="30"/>
  <c r="R1605" i="30"/>
  <c r="O1605" i="30"/>
  <c r="AJ1659" i="30"/>
  <c r="AG1659" i="30"/>
  <c r="AD1659" i="30"/>
  <c r="AA1659" i="30"/>
  <c r="X1659" i="30"/>
  <c r="R1659" i="30"/>
  <c r="O1659" i="30"/>
  <c r="AJ1692" i="30"/>
  <c r="AG1692" i="30"/>
  <c r="AD1692" i="30"/>
  <c r="AA1692" i="30"/>
  <c r="X1692" i="30"/>
  <c r="R1692" i="30"/>
  <c r="O1692" i="30"/>
  <c r="AJ1802" i="30"/>
  <c r="AG1802" i="30"/>
  <c r="AD1802" i="30"/>
  <c r="AA1802" i="30"/>
  <c r="X1802" i="30"/>
  <c r="R1802" i="30"/>
  <c r="O1802" i="30"/>
  <c r="AJ1898" i="30"/>
  <c r="AG1898" i="30"/>
  <c r="AD1898" i="30"/>
  <c r="AA1898" i="30"/>
  <c r="X1898" i="30"/>
  <c r="R1898" i="30"/>
  <c r="O1898" i="30"/>
  <c r="AJ1919" i="30"/>
  <c r="AG1919" i="30"/>
  <c r="AD1919" i="30"/>
  <c r="AA1919" i="30"/>
  <c r="X1919" i="30"/>
  <c r="R1919" i="30"/>
  <c r="O1919" i="30"/>
  <c r="AJ2107" i="30"/>
  <c r="AG2107" i="30"/>
  <c r="AD2107" i="30"/>
  <c r="AA2107" i="30"/>
  <c r="X2107" i="30"/>
  <c r="R2107" i="30"/>
  <c r="O2107" i="30"/>
  <c r="AJ2288" i="30"/>
  <c r="AG2288" i="30"/>
  <c r="AD2288" i="30"/>
  <c r="X2288" i="30"/>
  <c r="R2288" i="30"/>
  <c r="AA2288" i="30"/>
  <c r="O2288" i="30"/>
  <c r="AG2358" i="30"/>
  <c r="AJ2358" i="30"/>
  <c r="AD2358" i="30"/>
  <c r="AA2358" i="30"/>
  <c r="X2358" i="30"/>
  <c r="R2358" i="30"/>
  <c r="O2358" i="30"/>
  <c r="AJ844" i="30"/>
  <c r="AG844" i="30"/>
  <c r="AD844" i="30"/>
  <c r="X844" i="30"/>
  <c r="AA844" i="30"/>
  <c r="R844" i="30"/>
  <c r="O844" i="30"/>
  <c r="AJ851" i="30"/>
  <c r="AD851" i="30"/>
  <c r="AG851" i="30"/>
  <c r="AA851" i="30"/>
  <c r="X851" i="30"/>
  <c r="R851" i="30"/>
  <c r="O851" i="30"/>
  <c r="AJ856" i="30"/>
  <c r="AG856" i="30"/>
  <c r="AD856" i="30"/>
  <c r="AA856" i="30"/>
  <c r="X856" i="30"/>
  <c r="R856" i="30"/>
  <c r="O856" i="30"/>
  <c r="AJ860" i="30"/>
  <c r="AG860" i="30"/>
  <c r="AD860" i="30"/>
  <c r="AA860" i="30"/>
  <c r="X860" i="30"/>
  <c r="R860" i="30"/>
  <c r="O860" i="30"/>
  <c r="AJ868" i="30"/>
  <c r="AG868" i="30"/>
  <c r="AD868" i="30"/>
  <c r="X868" i="30"/>
  <c r="AA868" i="30"/>
  <c r="R868" i="30"/>
  <c r="O868" i="30"/>
  <c r="AJ872" i="30"/>
  <c r="AG872" i="30"/>
  <c r="AD872" i="30"/>
  <c r="AA872" i="30"/>
  <c r="X872" i="30"/>
  <c r="R872" i="30"/>
  <c r="O872" i="30"/>
  <c r="AJ1045" i="30"/>
  <c r="AG1045" i="30"/>
  <c r="AD1045" i="30"/>
  <c r="AA1045" i="30"/>
  <c r="X1045" i="30"/>
  <c r="R1045" i="30"/>
  <c r="O1045" i="30"/>
  <c r="AJ1065" i="30"/>
  <c r="AG1065" i="30"/>
  <c r="AD1065" i="30"/>
  <c r="AA1065" i="30"/>
  <c r="R1065" i="30"/>
  <c r="X1065" i="30"/>
  <c r="O1065" i="30"/>
  <c r="AJ1091" i="30"/>
  <c r="AD1091" i="30"/>
  <c r="AG1091" i="30"/>
  <c r="AA1091" i="30"/>
  <c r="X1091" i="30"/>
  <c r="R1091" i="30"/>
  <c r="O1091" i="30"/>
  <c r="AJ1142" i="30"/>
  <c r="AG1142" i="30"/>
  <c r="AA1142" i="30"/>
  <c r="AD1142" i="30"/>
  <c r="X1142" i="30"/>
  <c r="R1142" i="30"/>
  <c r="O1142" i="30"/>
  <c r="AJ1189" i="30"/>
  <c r="AG1189" i="30"/>
  <c r="AA1189" i="30"/>
  <c r="AD1189" i="30"/>
  <c r="X1189" i="30"/>
  <c r="R1189" i="30"/>
  <c r="O1189" i="30"/>
  <c r="AJ1232" i="30"/>
  <c r="AG1232" i="30"/>
  <c r="AA1232" i="30"/>
  <c r="AD1232" i="30"/>
  <c r="X1232" i="30"/>
  <c r="R1232" i="30"/>
  <c r="O1232" i="30"/>
  <c r="AJ1306" i="30"/>
  <c r="AG1306" i="30"/>
  <c r="AD1306" i="30"/>
  <c r="AA1306" i="30"/>
  <c r="X1306" i="30"/>
  <c r="R1306" i="30"/>
  <c r="O1306" i="30"/>
  <c r="AJ1323" i="30"/>
  <c r="AG1323" i="30"/>
  <c r="AD1323" i="30"/>
  <c r="AA1323" i="30"/>
  <c r="X1323" i="30"/>
  <c r="R1323" i="30"/>
  <c r="O1323" i="30"/>
  <c r="AJ1339" i="30"/>
  <c r="AG1339" i="30"/>
  <c r="AD1339" i="30"/>
  <c r="AA1339" i="30"/>
  <c r="X1339" i="30"/>
  <c r="R1339" i="30"/>
  <c r="O1339" i="30"/>
  <c r="AJ1492" i="30"/>
  <c r="AG1492" i="30"/>
  <c r="AD1492" i="30"/>
  <c r="AA1492" i="30"/>
  <c r="X1492" i="30"/>
  <c r="R1492" i="30"/>
  <c r="O1492" i="30"/>
  <c r="AJ1551" i="30"/>
  <c r="AG1551" i="30"/>
  <c r="AD1551" i="30"/>
  <c r="AA1551" i="30"/>
  <c r="X1551" i="30"/>
  <c r="R1551" i="30"/>
  <c r="O1551" i="30"/>
  <c r="AJ1611" i="30"/>
  <c r="AG1611" i="30"/>
  <c r="AD1611" i="30"/>
  <c r="AA1611" i="30"/>
  <c r="X1611" i="30"/>
  <c r="R1611" i="30"/>
  <c r="O1611" i="30"/>
  <c r="AJ1653" i="30"/>
  <c r="AG1653" i="30"/>
  <c r="AD1653" i="30"/>
  <c r="AA1653" i="30"/>
  <c r="X1653" i="30"/>
  <c r="R1653" i="30"/>
  <c r="O1653" i="30"/>
  <c r="AJ1770" i="30"/>
  <c r="AG1770" i="30"/>
  <c r="AD1770" i="30"/>
  <c r="AA1770" i="30"/>
  <c r="X1770" i="30"/>
  <c r="R1770" i="30"/>
  <c r="O1770" i="30"/>
  <c r="AJ1798" i="30"/>
  <c r="AG1798" i="30"/>
  <c r="AD1798" i="30"/>
  <c r="AA1798" i="30"/>
  <c r="X1798" i="30"/>
  <c r="R1798" i="30"/>
  <c r="O1798" i="30"/>
  <c r="AJ1819" i="30"/>
  <c r="AG1819" i="30"/>
  <c r="AD1819" i="30"/>
  <c r="AA1819" i="30"/>
  <c r="X1819" i="30"/>
  <c r="R1819" i="30"/>
  <c r="O1819" i="30"/>
  <c r="AG1886" i="30"/>
  <c r="AJ1886" i="30"/>
  <c r="AD1886" i="30"/>
  <c r="AA1886" i="30"/>
  <c r="X1886" i="30"/>
  <c r="R1886" i="30"/>
  <c r="O1886" i="30"/>
  <c r="AG1894" i="30"/>
  <c r="AJ1894" i="30"/>
  <c r="AD1894" i="30"/>
  <c r="AA1894" i="30"/>
  <c r="X1894" i="30"/>
  <c r="R1894" i="30"/>
  <c r="O1894" i="30"/>
  <c r="AJ1903" i="30"/>
  <c r="AG1903" i="30"/>
  <c r="AD1903" i="30"/>
  <c r="AA1903" i="30"/>
  <c r="X1903" i="30"/>
  <c r="R1903" i="30"/>
  <c r="O1903" i="30"/>
  <c r="AJ1920" i="30"/>
  <c r="AG1920" i="30"/>
  <c r="AD1920" i="30"/>
  <c r="AA1920" i="30"/>
  <c r="X1920" i="30"/>
  <c r="R1920" i="30"/>
  <c r="O1920" i="30"/>
  <c r="AJ1968" i="30"/>
  <c r="AG1968" i="30"/>
  <c r="AD1968" i="30"/>
  <c r="AA1968" i="30"/>
  <c r="X1968" i="30"/>
  <c r="R1968" i="30"/>
  <c r="O1968" i="30"/>
  <c r="AJ1986" i="30"/>
  <c r="AG1986" i="30"/>
  <c r="AD1986" i="30"/>
  <c r="AA1986" i="30"/>
  <c r="X1986" i="30"/>
  <c r="R1986" i="30"/>
  <c r="O1986" i="30"/>
  <c r="AJ1990" i="30"/>
  <c r="AG1990" i="30"/>
  <c r="AD1990" i="30"/>
  <c r="AA1990" i="30"/>
  <c r="X1990" i="30"/>
  <c r="R1990" i="30"/>
  <c r="O1990" i="30"/>
  <c r="AJ2016" i="30"/>
  <c r="AG2016" i="30"/>
  <c r="AD2016" i="30"/>
  <c r="AA2016" i="30"/>
  <c r="X2016" i="30"/>
  <c r="R2016" i="30"/>
  <c r="O2016" i="30"/>
  <c r="AJ2075" i="30"/>
  <c r="AG2075" i="30"/>
  <c r="AD2075" i="30"/>
  <c r="AA2075" i="30"/>
  <c r="X2075" i="30"/>
  <c r="R2075" i="30"/>
  <c r="O2075" i="30"/>
  <c r="AJ2101" i="30"/>
  <c r="AG2101" i="30"/>
  <c r="AD2101" i="30"/>
  <c r="AA2101" i="30"/>
  <c r="X2101" i="30"/>
  <c r="R2101" i="30"/>
  <c r="O2101" i="30"/>
  <c r="AG2110" i="30"/>
  <c r="AJ2110" i="30"/>
  <c r="AD2110" i="30"/>
  <c r="AA2110" i="30"/>
  <c r="X2110" i="30"/>
  <c r="R2110" i="30"/>
  <c r="O2110" i="30"/>
  <c r="AJ2119" i="30"/>
  <c r="AG2119" i="30"/>
  <c r="AD2119" i="30"/>
  <c r="AA2119" i="30"/>
  <c r="X2119" i="30"/>
  <c r="R2119" i="30"/>
  <c r="O2119" i="30"/>
  <c r="AG2134" i="30"/>
  <c r="AJ2134" i="30"/>
  <c r="AD2134" i="30"/>
  <c r="AA2134" i="30"/>
  <c r="X2134" i="30"/>
  <c r="R2134" i="30"/>
  <c r="O2134" i="30"/>
  <c r="AJ2146" i="30"/>
  <c r="AG2146" i="30"/>
  <c r="AD2146" i="30"/>
  <c r="AA2146" i="30"/>
  <c r="X2146" i="30"/>
  <c r="R2146" i="30"/>
  <c r="O2146" i="30"/>
  <c r="AJ2179" i="30"/>
  <c r="AG2179" i="30"/>
  <c r="AD2179" i="30"/>
  <c r="AA2179" i="30"/>
  <c r="X2179" i="30"/>
  <c r="R2179" i="30"/>
  <c r="O2179" i="30"/>
  <c r="AG2198" i="30"/>
  <c r="AJ2198" i="30"/>
  <c r="AD2198" i="30"/>
  <c r="AA2198" i="30"/>
  <c r="X2198" i="30"/>
  <c r="R2198" i="30"/>
  <c r="O2198" i="30"/>
  <c r="AJ2213" i="30"/>
  <c r="AG2213" i="30"/>
  <c r="AD2213" i="30"/>
  <c r="AA2213" i="30"/>
  <c r="X2213" i="30"/>
  <c r="R2213" i="30"/>
  <c r="O2213" i="30"/>
  <c r="AD1283" i="30"/>
  <c r="AJ1283" i="30"/>
  <c r="AG1283" i="30"/>
  <c r="AA1283" i="30"/>
  <c r="X1283" i="30"/>
  <c r="R1283" i="30"/>
  <c r="O1283" i="30"/>
  <c r="AG2254" i="30"/>
  <c r="AJ2254" i="30"/>
  <c r="AD2254" i="30"/>
  <c r="AA2254" i="30"/>
  <c r="X2254" i="30"/>
  <c r="R2254" i="30"/>
  <c r="O2254" i="30"/>
  <c r="AJ2272" i="30"/>
  <c r="AG2272" i="30"/>
  <c r="AD2272" i="30"/>
  <c r="X2272" i="30"/>
  <c r="AA2272" i="30"/>
  <c r="R2272" i="30"/>
  <c r="O2272" i="30"/>
  <c r="AJ2292" i="30"/>
  <c r="AG2292" i="30"/>
  <c r="AD2292" i="30"/>
  <c r="AA2292" i="30"/>
  <c r="X2292" i="30"/>
  <c r="R2292" i="30"/>
  <c r="O2292" i="30"/>
  <c r="AJ2304" i="30"/>
  <c r="AG2304" i="30"/>
  <c r="AD2304" i="30"/>
  <c r="X2304" i="30"/>
  <c r="AA2304" i="30"/>
  <c r="R2304" i="30"/>
  <c r="O2304" i="30"/>
  <c r="AJ2320" i="30"/>
  <c r="AG2320" i="30"/>
  <c r="AD2320" i="30"/>
  <c r="X2320" i="30"/>
  <c r="AA2320" i="30"/>
  <c r="R2320" i="30"/>
  <c r="O2320" i="30"/>
  <c r="AG2342" i="30"/>
  <c r="AJ2342" i="30"/>
  <c r="AD2342" i="30"/>
  <c r="AA2342" i="30"/>
  <c r="X2342" i="30"/>
  <c r="R2342" i="30"/>
  <c r="O2342" i="30"/>
  <c r="AJ2382" i="30"/>
  <c r="AG2382" i="30"/>
  <c r="AD2382" i="30"/>
  <c r="AA2382" i="30"/>
  <c r="X2382" i="30"/>
  <c r="R2382" i="30"/>
  <c r="O2382" i="30"/>
  <c r="AJ2389" i="30"/>
  <c r="AG2389" i="30"/>
  <c r="AD2389" i="30"/>
  <c r="AA2389" i="30"/>
  <c r="X2389" i="30"/>
  <c r="R2389" i="30"/>
  <c r="O2389" i="30"/>
  <c r="AJ2393" i="30"/>
  <c r="AG2393" i="30"/>
  <c r="AD2393" i="30"/>
  <c r="AA2393" i="30"/>
  <c r="X2393" i="30"/>
  <c r="R2393" i="30"/>
  <c r="O2393" i="30"/>
  <c r="AJ2399" i="30"/>
  <c r="AG2399" i="30"/>
  <c r="AD2399" i="30"/>
  <c r="AA2399" i="30"/>
  <c r="X2399" i="30"/>
  <c r="R2399" i="30"/>
  <c r="O2399" i="30"/>
  <c r="AJ2403" i="30"/>
  <c r="AG2403" i="30"/>
  <c r="AD2403" i="30"/>
  <c r="AA2403" i="30"/>
  <c r="X2403" i="30"/>
  <c r="R2403" i="30"/>
  <c r="O2403" i="30"/>
  <c r="AJ2407" i="30"/>
  <c r="AG2407" i="30"/>
  <c r="AD2407" i="30"/>
  <c r="AA2407" i="30"/>
  <c r="X2407" i="30"/>
  <c r="R2407" i="30"/>
  <c r="O2407" i="30"/>
  <c r="AJ2417" i="30"/>
  <c r="AG2417" i="30"/>
  <c r="AD2417" i="30"/>
  <c r="AA2417" i="30"/>
  <c r="X2417" i="30"/>
  <c r="R2417" i="30"/>
  <c r="O2417" i="30"/>
  <c r="AJ2435" i="30"/>
  <c r="AG2435" i="30"/>
  <c r="AD2435" i="30"/>
  <c r="AA2435" i="30"/>
  <c r="X2435" i="30"/>
  <c r="R2435" i="30"/>
  <c r="O2435" i="30"/>
  <c r="AJ2463" i="30"/>
  <c r="AG2463" i="30"/>
  <c r="AD2463" i="30"/>
  <c r="AA2463" i="30"/>
  <c r="X2463" i="30"/>
  <c r="R2463" i="30"/>
  <c r="O2463" i="30"/>
  <c r="AJ2484" i="30"/>
  <c r="AG2484" i="30"/>
  <c r="AD2484" i="30"/>
  <c r="AA2484" i="30"/>
  <c r="X2484" i="30"/>
  <c r="R2484" i="30"/>
  <c r="O2484" i="30"/>
  <c r="AG2494" i="30"/>
  <c r="AJ2494" i="30"/>
  <c r="AD2494" i="30"/>
  <c r="AA2494" i="30"/>
  <c r="X2494" i="30"/>
  <c r="R2494" i="30"/>
  <c r="O2494" i="30"/>
  <c r="AJ2541" i="30"/>
  <c r="AG2541" i="30"/>
  <c r="AD2541" i="30"/>
  <c r="AA2541" i="30"/>
  <c r="X2541" i="30"/>
  <c r="R2541" i="30"/>
  <c r="O2541" i="30"/>
  <c r="AJ2724" i="30"/>
  <c r="AG2724" i="30"/>
  <c r="AD2724" i="30"/>
  <c r="AA2724" i="30"/>
  <c r="X2724" i="30"/>
  <c r="R2724" i="30"/>
  <c r="O2724" i="30"/>
  <c r="AG2748" i="30"/>
  <c r="AJ2748" i="30"/>
  <c r="AD2748" i="30"/>
  <c r="AA2748" i="30"/>
  <c r="X2748" i="30"/>
  <c r="R2748" i="30"/>
  <c r="O2748" i="30"/>
  <c r="AJ2759" i="30"/>
  <c r="AG2759" i="30"/>
  <c r="AD2759" i="30"/>
  <c r="AA2759" i="30"/>
  <c r="X2759" i="30"/>
  <c r="R2759" i="30"/>
  <c r="O2759" i="30"/>
  <c r="AJ2829" i="30"/>
  <c r="AG2829" i="30"/>
  <c r="AD2829" i="30"/>
  <c r="AA2829" i="30"/>
  <c r="X2829" i="30"/>
  <c r="R2829" i="30"/>
  <c r="O2829" i="30"/>
  <c r="AG2844" i="30"/>
  <c r="AJ2844" i="30"/>
  <c r="AD2844" i="30"/>
  <c r="AA2844" i="30"/>
  <c r="X2844" i="30"/>
  <c r="R2844" i="30"/>
  <c r="O2844" i="30"/>
  <c r="AL2846" i="30"/>
  <c r="AL2614" i="30"/>
  <c r="AL2373" i="30"/>
  <c r="AL2714" i="30"/>
  <c r="AL2506" i="30"/>
  <c r="AL2793" i="30"/>
  <c r="AL2800" i="30"/>
  <c r="AL2664" i="30"/>
  <c r="AL2536" i="30"/>
  <c r="AL2815" i="30"/>
  <c r="AL2695" i="30"/>
  <c r="AL2631" i="30"/>
  <c r="AL2567" i="30"/>
  <c r="AL2479" i="30"/>
  <c r="AL2338" i="30"/>
  <c r="AL2203" i="30"/>
  <c r="AL2004" i="30"/>
  <c r="AL2798" i="30"/>
  <c r="AL2558" i="30"/>
  <c r="AL2245" i="30"/>
  <c r="AL1861" i="30"/>
  <c r="AL2797" i="30"/>
  <c r="AL2573" i="30"/>
  <c r="AL2397" i="30"/>
  <c r="AL2300" i="30"/>
  <c r="AL2018" i="30"/>
  <c r="AL1525" i="30"/>
  <c r="AL829" i="30"/>
  <c r="AL2852" i="30"/>
  <c r="AL2644" i="30"/>
  <c r="AL2500" i="30"/>
  <c r="AL2380" i="30"/>
  <c r="AL2252" i="30"/>
  <c r="AL2157" i="30"/>
  <c r="AL1818" i="30"/>
  <c r="AL1303" i="30"/>
  <c r="AL2780" i="30"/>
  <c r="AL2636" i="30"/>
  <c r="AL2508" i="30"/>
  <c r="AL2811" i="30"/>
  <c r="AL2723" i="30"/>
  <c r="AL2659" i="30"/>
  <c r="AL2595" i="30"/>
  <c r="AL2531" i="30"/>
  <c r="AL2242" i="30"/>
  <c r="AL1637" i="30"/>
  <c r="AL1322" i="30"/>
  <c r="AL2686" i="30"/>
  <c r="AL2834" i="30"/>
  <c r="AL2626" i="30"/>
  <c r="AL2378" i="30"/>
  <c r="AL2023" i="30"/>
  <c r="AL2625" i="30"/>
  <c r="AL2561" i="30"/>
  <c r="AL2481" i="30"/>
  <c r="AL2401" i="30"/>
  <c r="AL2295" i="30"/>
  <c r="AL2187" i="30"/>
  <c r="AL2058" i="30"/>
  <c r="AL1344" i="30"/>
  <c r="AL2794" i="30"/>
  <c r="AL2586" i="30"/>
  <c r="AL2276" i="30"/>
  <c r="AL2841" i="30"/>
  <c r="AL2824" i="30"/>
  <c r="AL2512" i="30"/>
  <c r="AL2416" i="30"/>
  <c r="AL2266" i="30"/>
  <c r="AL2178" i="30"/>
  <c r="AL2005" i="30"/>
  <c r="AL1781" i="30"/>
  <c r="AL1196" i="30"/>
  <c r="AL1047" i="30"/>
  <c r="AL981" i="30"/>
  <c r="AL917" i="30"/>
  <c r="AL555" i="30"/>
  <c r="AL325" i="30"/>
  <c r="AL2337" i="30"/>
  <c r="AL2233" i="30"/>
  <c r="AL2145" i="30"/>
  <c r="AL2073" i="30"/>
  <c r="AL1985" i="30"/>
  <c r="AL1873" i="30"/>
  <c r="AL1785" i="30"/>
  <c r="AL1475" i="30"/>
  <c r="AL1362" i="30"/>
  <c r="AL1205" i="30"/>
  <c r="AL835" i="30"/>
  <c r="AL1936" i="30"/>
  <c r="AL1752" i="30"/>
  <c r="AL1640" i="30"/>
  <c r="AL1520" i="30"/>
  <c r="AL1403" i="30"/>
  <c r="AL1284" i="30"/>
  <c r="AL1140" i="30"/>
  <c r="AL1011" i="30"/>
  <c r="AL947" i="30"/>
  <c r="AL747" i="30"/>
  <c r="AL347" i="30"/>
  <c r="AL1895" i="30"/>
  <c r="AL1711" i="30"/>
  <c r="AL1623" i="30"/>
  <c r="AL1501" i="30"/>
  <c r="AL1402" i="30"/>
  <c r="AL1300" i="30"/>
  <c r="AL1080" i="30"/>
  <c r="AL1002" i="30"/>
  <c r="AL843" i="30"/>
  <c r="AL443" i="30"/>
  <c r="AL2366" i="30"/>
  <c r="AL2222" i="30"/>
  <c r="AL2086" i="30"/>
  <c r="AL1758" i="30"/>
  <c r="AL1638" i="30"/>
  <c r="AL1566" i="30"/>
  <c r="AL1428" i="30"/>
  <c r="AL1264" i="30"/>
  <c r="AL1087" i="30"/>
  <c r="AL787" i="30"/>
  <c r="AL309" i="30"/>
  <c r="AL475" i="30"/>
  <c r="AL1884" i="30"/>
  <c r="AL1756" i="30"/>
  <c r="AL1660" i="30"/>
  <c r="AL1532" i="30"/>
  <c r="AL1453" i="30"/>
  <c r="AL1280" i="30"/>
  <c r="AL1180" i="30"/>
  <c r="AL1093" i="30"/>
  <c r="AL1015" i="30"/>
  <c r="AL951" i="30"/>
  <c r="AL459" i="30"/>
  <c r="AL1691" i="30"/>
  <c r="AL1587" i="30"/>
  <c r="AL1279" i="30"/>
  <c r="AL1144" i="30"/>
  <c r="AL861" i="30"/>
  <c r="AL2822" i="30"/>
  <c r="AL2590" i="30"/>
  <c r="AL2356" i="30"/>
  <c r="AL2690" i="30"/>
  <c r="AL2450" i="30"/>
  <c r="AL2128" i="30"/>
  <c r="AL2769" i="30"/>
  <c r="AL2784" i="30"/>
  <c r="AL2648" i="30"/>
  <c r="AL2520" i="30"/>
  <c r="AL2799" i="30"/>
  <c r="AL2623" i="30"/>
  <c r="AL2559" i="30"/>
  <c r="AL2471" i="30"/>
  <c r="AL2330" i="30"/>
  <c r="AL2144" i="30"/>
  <c r="AL1995" i="30"/>
  <c r="AL1661" i="30"/>
  <c r="AL1152" i="30"/>
  <c r="AL2758" i="30"/>
  <c r="AL2502" i="30"/>
  <c r="AL2237" i="30"/>
  <c r="AL1749" i="30"/>
  <c r="AL2765" i="30"/>
  <c r="AL2469" i="30"/>
  <c r="AL2381" i="30"/>
  <c r="AL2290" i="30"/>
  <c r="AL2183" i="30"/>
  <c r="AL1821" i="30"/>
  <c r="AL1514" i="30"/>
  <c r="AL1930" i="30"/>
  <c r="AL2788" i="30"/>
  <c r="AL2628" i="30"/>
  <c r="AL2476" i="30"/>
  <c r="AL2371" i="30"/>
  <c r="AL2243" i="30"/>
  <c r="AL2035" i="30"/>
  <c r="AL1773" i="30"/>
  <c r="AL1295" i="30"/>
  <c r="AL2773" i="30"/>
  <c r="AL2756" i="30"/>
  <c r="AL2620" i="30"/>
  <c r="AL2492" i="30"/>
  <c r="AL2803" i="30"/>
  <c r="AL2715" i="30"/>
  <c r="AL2651" i="30"/>
  <c r="AL2587" i="30"/>
  <c r="AL2499" i="30"/>
  <c r="AL2370" i="30"/>
  <c r="AL2112" i="30"/>
  <c r="AL1981" i="30"/>
  <c r="AL1485" i="30"/>
  <c r="AL1685" i="30"/>
  <c r="AL1178" i="30"/>
  <c r="AL2646" i="30"/>
  <c r="AL2810" i="30"/>
  <c r="AL2602" i="30"/>
  <c r="AL2341" i="30"/>
  <c r="AL1970" i="30"/>
  <c r="AL2617" i="30"/>
  <c r="AL2553" i="30"/>
  <c r="AL2473" i="30"/>
  <c r="AL2275" i="30"/>
  <c r="AL2170" i="30"/>
  <c r="AL1988" i="30"/>
  <c r="AL1613" i="30"/>
  <c r="AL1269" i="30"/>
  <c r="AL2770" i="30"/>
  <c r="AL2562" i="30"/>
  <c r="AL2215" i="30"/>
  <c r="AL2809" i="30"/>
  <c r="AL2808" i="30"/>
  <c r="AL2496" i="30"/>
  <c r="AL2392" i="30"/>
  <c r="AL2248" i="30"/>
  <c r="AL2136" i="30"/>
  <c r="AL1978" i="30"/>
  <c r="AL1143" i="30"/>
  <c r="AL1037" i="30"/>
  <c r="AL973" i="30"/>
  <c r="AL909" i="30"/>
  <c r="AL533" i="30"/>
  <c r="AL315" i="30"/>
  <c r="AL2329" i="30"/>
  <c r="AL2209" i="30"/>
  <c r="AL2137" i="30"/>
  <c r="AL2065" i="30"/>
  <c r="AL1969" i="30"/>
  <c r="AL1865" i="30"/>
  <c r="AL1777" i="30"/>
  <c r="AL1681" i="30"/>
  <c r="AL1569" i="30"/>
  <c r="AL1458" i="30"/>
  <c r="AL1343" i="30"/>
  <c r="AL1195" i="30"/>
  <c r="AL803" i="30"/>
  <c r="AL283" i="30"/>
  <c r="AL1904" i="30"/>
  <c r="AL1736" i="30"/>
  <c r="AL1632" i="30"/>
  <c r="AL1394" i="30"/>
  <c r="AL1267" i="30"/>
  <c r="AL1003" i="30"/>
  <c r="AL939" i="30"/>
  <c r="AL659" i="30"/>
  <c r="AL339" i="30"/>
  <c r="AL1887" i="30"/>
  <c r="AL1607" i="30"/>
  <c r="AL1491" i="30"/>
  <c r="AL1376" i="30"/>
  <c r="AL1292" i="30"/>
  <c r="AL1175" i="30"/>
  <c r="AL1071" i="30"/>
  <c r="AL994" i="30"/>
  <c r="AL821" i="30"/>
  <c r="AL395" i="30"/>
  <c r="AL2334" i="30"/>
  <c r="AL2206" i="30"/>
  <c r="AL2078" i="30"/>
  <c r="AL1966" i="30"/>
  <c r="AL1862" i="30"/>
  <c r="AL1702" i="30"/>
  <c r="AL1622" i="30"/>
  <c r="AL1558" i="30"/>
  <c r="AL1418" i="30"/>
  <c r="AL1237" i="30"/>
  <c r="AL1079" i="30"/>
  <c r="AL723" i="30"/>
  <c r="AL299" i="30"/>
  <c r="AL1876" i="30"/>
  <c r="AL1748" i="30"/>
  <c r="AL1652" i="30"/>
  <c r="AL1524" i="30"/>
  <c r="AL1445" i="30"/>
  <c r="AL1253" i="30"/>
  <c r="AL1172" i="30"/>
  <c r="AL1085" i="30"/>
  <c r="AL1007" i="30"/>
  <c r="AL875" i="30"/>
  <c r="AL403" i="30"/>
  <c r="AL1747" i="30"/>
  <c r="AL1683" i="30"/>
  <c r="AL1579" i="30"/>
  <c r="AL1424" i="30"/>
  <c r="AL1271" i="30"/>
  <c r="AL1135" i="30"/>
  <c r="AL837" i="30"/>
  <c r="AL691" i="30"/>
  <c r="AL1505" i="30"/>
  <c r="AL1377" i="30"/>
  <c r="AL1289" i="30"/>
  <c r="AL1017" i="30"/>
  <c r="AL2774" i="30"/>
  <c r="AL2312" i="30"/>
  <c r="AL2666" i="30"/>
  <c r="AL2434" i="30"/>
  <c r="AL2745" i="30"/>
  <c r="AL2752" i="30"/>
  <c r="AL2632" i="30"/>
  <c r="AL2775" i="30"/>
  <c r="AL2679" i="30"/>
  <c r="AL2615" i="30"/>
  <c r="AL2455" i="30"/>
  <c r="AL2322" i="30"/>
  <c r="AL2135" i="30"/>
  <c r="AL1976" i="30"/>
  <c r="AL1578" i="30"/>
  <c r="AL701" i="30"/>
  <c r="AL2718" i="30"/>
  <c r="AL2470" i="30"/>
  <c r="AL2229" i="30"/>
  <c r="AL2072" i="30"/>
  <c r="AL1629" i="30"/>
  <c r="AL2733" i="30"/>
  <c r="AL2621" i="30"/>
  <c r="AL2557" i="30"/>
  <c r="AL2372" i="30"/>
  <c r="AL2280" i="30"/>
  <c r="AL2132" i="30"/>
  <c r="AL1984" i="30"/>
  <c r="AL1314" i="30"/>
  <c r="AL2845" i="30"/>
  <c r="AL2764" i="30"/>
  <c r="AL2468" i="30"/>
  <c r="AL2363" i="30"/>
  <c r="AL2235" i="30"/>
  <c r="AL2140" i="30"/>
  <c r="AL2000" i="30"/>
  <c r="AL1677" i="30"/>
  <c r="AL1251" i="30"/>
  <c r="AL2741" i="30"/>
  <c r="AL2732" i="30"/>
  <c r="AL2604" i="30"/>
  <c r="AL2460" i="30"/>
  <c r="AL2787" i="30"/>
  <c r="AL2707" i="30"/>
  <c r="AL2643" i="30"/>
  <c r="AL2579" i="30"/>
  <c r="AL2491" i="30"/>
  <c r="AL2226" i="30"/>
  <c r="AL2103" i="30"/>
  <c r="AL1348" i="30"/>
  <c r="AL1634" i="30"/>
  <c r="AL1170" i="30"/>
  <c r="AL2578" i="30"/>
  <c r="AL2307" i="30"/>
  <c r="AL1923" i="30"/>
  <c r="AL2673" i="30"/>
  <c r="AL2609" i="30"/>
  <c r="AL2545" i="30"/>
  <c r="AL2457" i="30"/>
  <c r="AL2360" i="30"/>
  <c r="AL2162" i="30"/>
  <c r="AL1951" i="30"/>
  <c r="AL1602" i="30"/>
  <c r="AL1224" i="30"/>
  <c r="AL2180" i="30"/>
  <c r="AL2777" i="30"/>
  <c r="AL2776" i="30"/>
  <c r="AL2608" i="30"/>
  <c r="AL2480" i="30"/>
  <c r="AL2359" i="30"/>
  <c r="AL2239" i="30"/>
  <c r="AL1960" i="30"/>
  <c r="AL1610" i="30"/>
  <c r="AL1040" i="30"/>
  <c r="AL1029" i="30"/>
  <c r="AL965" i="30"/>
  <c r="AL901" i="30"/>
  <c r="AL387" i="30"/>
  <c r="AL243" i="30"/>
  <c r="AL2313" i="30"/>
  <c r="AL2193" i="30"/>
  <c r="AL2121" i="30"/>
  <c r="AL2049" i="30"/>
  <c r="AL1961" i="30"/>
  <c r="AL1857" i="30"/>
  <c r="AL1657" i="30"/>
  <c r="AL1561" i="30"/>
  <c r="AL1450" i="30"/>
  <c r="AL1133" i="30"/>
  <c r="AL707" i="30"/>
  <c r="AL261" i="30"/>
  <c r="AL1888" i="30"/>
  <c r="AL1728" i="30"/>
  <c r="AL1483" i="30"/>
  <c r="AL1333" i="30"/>
  <c r="AL1248" i="30"/>
  <c r="AL1063" i="30"/>
  <c r="AL995" i="30"/>
  <c r="AL331" i="30"/>
  <c r="AL1839" i="30"/>
  <c r="AL1671" i="30"/>
  <c r="AL1599" i="30"/>
  <c r="AL1482" i="30"/>
  <c r="AL1368" i="30"/>
  <c r="AL1275" i="30"/>
  <c r="AL1159" i="30"/>
  <c r="AL1053" i="30"/>
  <c r="AL715" i="30"/>
  <c r="AL371" i="30"/>
  <c r="AL2326" i="30"/>
  <c r="AL2190" i="30"/>
  <c r="AL2062" i="30"/>
  <c r="AL1958" i="30"/>
  <c r="AL1854" i="30"/>
  <c r="AL1614" i="30"/>
  <c r="AL1550" i="30"/>
  <c r="AL1191" i="30"/>
  <c r="AL1061" i="30"/>
  <c r="AL605" i="30"/>
  <c r="AL427" i="30"/>
  <c r="AL1732" i="30"/>
  <c r="AL1644" i="30"/>
  <c r="AL1516" i="30"/>
  <c r="AL1435" i="30"/>
  <c r="AL1164" i="30"/>
  <c r="AL1076" i="30"/>
  <c r="AL999" i="30"/>
  <c r="AL653" i="30"/>
  <c r="AL379" i="30"/>
  <c r="AL1739" i="30"/>
  <c r="AL1675" i="30"/>
  <c r="AL1547" i="30"/>
  <c r="AL1397" i="30"/>
  <c r="AL1260" i="30"/>
  <c r="AL1127" i="30"/>
  <c r="AL827" i="30"/>
  <c r="AL483" i="30"/>
  <c r="AL1465" i="30"/>
  <c r="AL1369" i="30"/>
  <c r="AL1281" i="30"/>
  <c r="AL1169" i="30"/>
  <c r="AL2742" i="30"/>
  <c r="AL2534" i="30"/>
  <c r="AL2255" i="30"/>
  <c r="AL2642" i="30"/>
  <c r="AL2386" i="30"/>
  <c r="AL2059" i="30"/>
  <c r="AL2713" i="30"/>
  <c r="AL2736" i="30"/>
  <c r="AL2616" i="30"/>
  <c r="AL2488" i="30"/>
  <c r="AL2767" i="30"/>
  <c r="AL2671" i="30"/>
  <c r="AL2607" i="30"/>
  <c r="AL2543" i="30"/>
  <c r="AL2439" i="30"/>
  <c r="AL2303" i="30"/>
  <c r="AL2124" i="30"/>
  <c r="AL1959" i="30"/>
  <c r="AL693" i="30"/>
  <c r="AL2694" i="30"/>
  <c r="AL2438" i="30"/>
  <c r="AL2220" i="30"/>
  <c r="AL2028" i="30"/>
  <c r="AL1586" i="30"/>
  <c r="AL2693" i="30"/>
  <c r="AL2613" i="30"/>
  <c r="AL2549" i="30"/>
  <c r="AL2445" i="30"/>
  <c r="AL2364" i="30"/>
  <c r="AL2244" i="30"/>
  <c r="AL2096" i="30"/>
  <c r="AL1973" i="30"/>
  <c r="AL1650" i="30"/>
  <c r="AL2805" i="30"/>
  <c r="AL2740" i="30"/>
  <c r="AL2596" i="30"/>
  <c r="AL2444" i="30"/>
  <c r="AL2344" i="30"/>
  <c r="AL2227" i="30"/>
  <c r="AL2131" i="30"/>
  <c r="AL1992" i="30"/>
  <c r="AL1594" i="30"/>
  <c r="AL1227" i="30"/>
  <c r="AL2717" i="30"/>
  <c r="AL2708" i="30"/>
  <c r="AL2588" i="30"/>
  <c r="AL2779" i="30"/>
  <c r="AL2699" i="30"/>
  <c r="AL2635" i="30"/>
  <c r="AL2571" i="30"/>
  <c r="AL2467" i="30"/>
  <c r="AL2343" i="30"/>
  <c r="AL2216" i="30"/>
  <c r="AL1955" i="30"/>
  <c r="AL1259" i="30"/>
  <c r="AL1546" i="30"/>
  <c r="AL763" i="30"/>
  <c r="AL2598" i="30"/>
  <c r="AL2746" i="30"/>
  <c r="AL2260" i="30"/>
  <c r="AL2857" i="30"/>
  <c r="AL2665" i="30"/>
  <c r="AL2601" i="30"/>
  <c r="AL2537" i="30"/>
  <c r="AL2449" i="30"/>
  <c r="AL2351" i="30"/>
  <c r="AL2240" i="30"/>
  <c r="AL1941" i="30"/>
  <c r="AL1589" i="30"/>
  <c r="AL1186" i="30"/>
  <c r="AL2706" i="30"/>
  <c r="AL2753" i="30"/>
  <c r="AL2728" i="30"/>
  <c r="AL2592" i="30"/>
  <c r="AL2472" i="30"/>
  <c r="AL2339" i="30"/>
  <c r="AL2231" i="30"/>
  <c r="AL2117" i="30"/>
  <c r="AL1940" i="30"/>
  <c r="AL773" i="30"/>
  <c r="AL1021" i="30"/>
  <c r="AL957" i="30"/>
  <c r="AL893" i="30"/>
  <c r="AL365" i="30"/>
  <c r="AL235" i="30"/>
  <c r="AL2289" i="30"/>
  <c r="AL2113" i="30"/>
  <c r="AL1937" i="30"/>
  <c r="AL1849" i="30"/>
  <c r="AL1753" i="30"/>
  <c r="AL1641" i="30"/>
  <c r="AL1553" i="30"/>
  <c r="AL1432" i="30"/>
  <c r="AL1268" i="30"/>
  <c r="AL1116" i="30"/>
  <c r="AL469" i="30"/>
  <c r="AL251" i="30"/>
  <c r="AL1840" i="30"/>
  <c r="AL1616" i="30"/>
  <c r="AL1474" i="30"/>
  <c r="AL1325" i="30"/>
  <c r="AL1055" i="30"/>
  <c r="AL987" i="30"/>
  <c r="AL923" i="30"/>
  <c r="AL595" i="30"/>
  <c r="AL323" i="30"/>
  <c r="AL1663" i="30"/>
  <c r="AL1591" i="30"/>
  <c r="AL1464" i="30"/>
  <c r="AL1359" i="30"/>
  <c r="AL1148" i="30"/>
  <c r="AL1043" i="30"/>
  <c r="AL978" i="30"/>
  <c r="AL669" i="30"/>
  <c r="AL2182" i="30"/>
  <c r="AL1950" i="30"/>
  <c r="AL1686" i="30"/>
  <c r="AL1534" i="30"/>
  <c r="AL1392" i="30"/>
  <c r="AL1147" i="30"/>
  <c r="AL1052" i="30"/>
  <c r="AL581" i="30"/>
  <c r="AL59" i="30"/>
  <c r="AL413" i="30"/>
  <c r="AL1812" i="30"/>
  <c r="AL1724" i="30"/>
  <c r="AL1628" i="30"/>
  <c r="AL1507" i="30"/>
  <c r="AL1407" i="30"/>
  <c r="AL1226" i="30"/>
  <c r="AL1155" i="30"/>
  <c r="AL1068" i="30"/>
  <c r="AL991" i="30"/>
  <c r="AL621" i="30"/>
  <c r="AL1667" i="30"/>
  <c r="AL1252" i="30"/>
  <c r="AL1109" i="30"/>
  <c r="AL675" i="30"/>
  <c r="AL437" i="30"/>
  <c r="AL1457" i="30"/>
  <c r="AL1353" i="30"/>
  <c r="AL1273" i="30"/>
  <c r="AL1161" i="30"/>
  <c r="AL1001" i="30"/>
  <c r="AL937" i="30"/>
  <c r="AL857" i="30"/>
  <c r="AL753" i="30"/>
  <c r="AL649" i="30"/>
  <c r="AL529" i="30"/>
  <c r="AL449" i="30"/>
  <c r="AL361" i="30"/>
  <c r="AL201" i="30"/>
  <c r="AL73" i="30"/>
  <c r="AL1016" i="30"/>
  <c r="AL952" i="30"/>
  <c r="AL888" i="30"/>
  <c r="AL712" i="30"/>
  <c r="AL600" i="30"/>
  <c r="AL520" i="30"/>
  <c r="AL368" i="30"/>
  <c r="AL184" i="30"/>
  <c r="AL88" i="30"/>
  <c r="AL943" i="30"/>
  <c r="AL871" i="30"/>
  <c r="AL791" i="30"/>
  <c r="AL711" i="30"/>
  <c r="AL631" i="30"/>
  <c r="AL455" i="30"/>
  <c r="AL335" i="30"/>
  <c r="AL159" i="30"/>
  <c r="AL23" i="30"/>
  <c r="AL1446" i="30"/>
  <c r="AL1342" i="30"/>
  <c r="AL1246" i="30"/>
  <c r="AL1014" i="30"/>
  <c r="AL950" i="30"/>
  <c r="AL886" i="30"/>
  <c r="AL798" i="30"/>
  <c r="AL646" i="30"/>
  <c r="AL470" i="30"/>
  <c r="AL358" i="30"/>
  <c r="AL270" i="30"/>
  <c r="AL206" i="30"/>
  <c r="AL94" i="30"/>
  <c r="AL4" i="30"/>
  <c r="AL173" i="30"/>
  <c r="AL13" i="30"/>
  <c r="AL988" i="30"/>
  <c r="AL924" i="30"/>
  <c r="AL804" i="30"/>
  <c r="AL708" i="30"/>
  <c r="AL532" i="30"/>
  <c r="AL436" i="30"/>
  <c r="AL340" i="30"/>
  <c r="AL268" i="30"/>
  <c r="AL172" i="30"/>
  <c r="AL84" i="30"/>
  <c r="AL938" i="30"/>
  <c r="AL874" i="30"/>
  <c r="AL650" i="30"/>
  <c r="AL538" i="30"/>
  <c r="AL450" i="30"/>
  <c r="AL362" i="30"/>
  <c r="AL290" i="30"/>
  <c r="AL218" i="30"/>
  <c r="AL50" i="30"/>
  <c r="AL2702" i="30"/>
  <c r="AL2486" i="30"/>
  <c r="AL2826" i="30"/>
  <c r="AL2352" i="30"/>
  <c r="AL2681" i="30"/>
  <c r="AL2720" i="30"/>
  <c r="AL2600" i="30"/>
  <c r="AL2456" i="30"/>
  <c r="AL2751" i="30"/>
  <c r="AL2663" i="30"/>
  <c r="AL2599" i="30"/>
  <c r="AL2527" i="30"/>
  <c r="AL2423" i="30"/>
  <c r="AL2116" i="30"/>
  <c r="AL685" i="30"/>
  <c r="AL2662" i="30"/>
  <c r="AL2414" i="30"/>
  <c r="AL2192" i="30"/>
  <c r="AL2019" i="30"/>
  <c r="AL2677" i="30"/>
  <c r="AL2605" i="30"/>
  <c r="AL2517" i="30"/>
  <c r="AL2355" i="30"/>
  <c r="AL2236" i="30"/>
  <c r="AL2079" i="30"/>
  <c r="AL1965" i="30"/>
  <c r="AL1618" i="30"/>
  <c r="AL2781" i="30"/>
  <c r="AL2572" i="30"/>
  <c r="AL2420" i="30"/>
  <c r="AL2335" i="30"/>
  <c r="AL2104" i="30"/>
  <c r="AL1972" i="30"/>
  <c r="AL1573" i="30"/>
  <c r="AL1112" i="30"/>
  <c r="AL2701" i="30"/>
  <c r="AL2692" i="30"/>
  <c r="AL2580" i="30"/>
  <c r="AL2851" i="30"/>
  <c r="AL2763" i="30"/>
  <c r="AL2691" i="30"/>
  <c r="AL2627" i="30"/>
  <c r="AL2317" i="30"/>
  <c r="AL2189" i="30"/>
  <c r="AL2085" i="30"/>
  <c r="AL1943" i="30"/>
  <c r="AL1236" i="30"/>
  <c r="AL1533" i="30"/>
  <c r="AL2814" i="30"/>
  <c r="AL2574" i="30"/>
  <c r="AL2722" i="30"/>
  <c r="AL2514" i="30"/>
  <c r="AL2196" i="30"/>
  <c r="AL2825" i="30"/>
  <c r="AL2657" i="30"/>
  <c r="AL2529" i="30"/>
  <c r="AL2441" i="30"/>
  <c r="AL2340" i="30"/>
  <c r="AL2232" i="30"/>
  <c r="AL2127" i="30"/>
  <c r="AL1933" i="30"/>
  <c r="AL1557" i="30"/>
  <c r="AL1156" i="30"/>
  <c r="AL2682" i="30"/>
  <c r="AL2426" i="30"/>
  <c r="AL2084" i="30"/>
  <c r="AL2729" i="30"/>
  <c r="AL2712" i="30"/>
  <c r="AL2464" i="30"/>
  <c r="AL2323" i="30"/>
  <c r="AL2212" i="30"/>
  <c r="AL2108" i="30"/>
  <c r="AL1890" i="30"/>
  <c r="AL1517" i="30"/>
  <c r="AL1117" i="30"/>
  <c r="AL1013" i="30"/>
  <c r="AL949" i="30"/>
  <c r="AL883" i="30"/>
  <c r="AL357" i="30"/>
  <c r="AL123" i="30"/>
  <c r="AL2273" i="30"/>
  <c r="AL2177" i="30"/>
  <c r="AL2105" i="30"/>
  <c r="AL2033" i="30"/>
  <c r="AL1929" i="30"/>
  <c r="AL1841" i="30"/>
  <c r="AL1745" i="30"/>
  <c r="AL1537" i="30"/>
  <c r="AL1413" i="30"/>
  <c r="AL1098" i="30"/>
  <c r="AL445" i="30"/>
  <c r="AL179" i="30"/>
  <c r="AL1712" i="30"/>
  <c r="AL1608" i="30"/>
  <c r="AL1440" i="30"/>
  <c r="AL1317" i="30"/>
  <c r="AL1044" i="30"/>
  <c r="AL979" i="30"/>
  <c r="AL915" i="30"/>
  <c r="AL573" i="30"/>
  <c r="AL301" i="30"/>
  <c r="AL1807" i="30"/>
  <c r="AL1655" i="30"/>
  <c r="AL1583" i="30"/>
  <c r="AL1448" i="30"/>
  <c r="AL1351" i="30"/>
  <c r="AL1247" i="30"/>
  <c r="AL1139" i="30"/>
  <c r="AL1034" i="30"/>
  <c r="AL970" i="30"/>
  <c r="AL637" i="30"/>
  <c r="AL2270" i="30"/>
  <c r="AL2166" i="30"/>
  <c r="AL2046" i="30"/>
  <c r="AL1942" i="30"/>
  <c r="AL1830" i="30"/>
  <c r="AL1678" i="30"/>
  <c r="AL1598" i="30"/>
  <c r="AL1375" i="30"/>
  <c r="AL1130" i="30"/>
  <c r="AL1042" i="30"/>
  <c r="AL539" i="30"/>
  <c r="AL635" i="30"/>
  <c r="AL277" i="30"/>
  <c r="AL1804" i="30"/>
  <c r="AL1716" i="30"/>
  <c r="AL1588" i="30"/>
  <c r="AL1498" i="30"/>
  <c r="AL1381" i="30"/>
  <c r="AL1218" i="30"/>
  <c r="AL1136" i="30"/>
  <c r="AL1050" i="30"/>
  <c r="AL611" i="30"/>
  <c r="AL195" i="30"/>
  <c r="AL2678" i="30"/>
  <c r="AL2802" i="30"/>
  <c r="AL2594" i="30"/>
  <c r="AL2325" i="30"/>
  <c r="AL1954" i="30"/>
  <c r="AL2848" i="30"/>
  <c r="AL2704" i="30"/>
  <c r="AL2591" i="30"/>
  <c r="AL2415" i="30"/>
  <c r="AL2256" i="30"/>
  <c r="AL2064" i="30"/>
  <c r="AL1330" i="30"/>
  <c r="AL677" i="30"/>
  <c r="AL2630" i="30"/>
  <c r="AL2398" i="30"/>
  <c r="AL2176" i="30"/>
  <c r="AL2003" i="30"/>
  <c r="AL1103" i="30"/>
  <c r="AL2597" i="30"/>
  <c r="AL2509" i="30"/>
  <c r="AL2429" i="30"/>
  <c r="AL2336" i="30"/>
  <c r="AL2228" i="30"/>
  <c r="AL2053" i="30"/>
  <c r="AL1947" i="30"/>
  <c r="AL1565" i="30"/>
  <c r="AL1181" i="30"/>
  <c r="AL2757" i="30"/>
  <c r="AL2700" i="30"/>
  <c r="AL2556" i="30"/>
  <c r="AL2412" i="30"/>
  <c r="AL2327" i="30"/>
  <c r="AL2199" i="30"/>
  <c r="AL2095" i="30"/>
  <c r="AL1964" i="30"/>
  <c r="AL1069" i="30"/>
  <c r="AL2669" i="30"/>
  <c r="AL2676" i="30"/>
  <c r="AL2564" i="30"/>
  <c r="AL2835" i="30"/>
  <c r="AL2747" i="30"/>
  <c r="AL2683" i="30"/>
  <c r="AL2619" i="30"/>
  <c r="AL2555" i="30"/>
  <c r="AL2419" i="30"/>
  <c r="AL2308" i="30"/>
  <c r="AL2172" i="30"/>
  <c r="AL2077" i="30"/>
  <c r="AL1925" i="30"/>
  <c r="AL1883" i="30"/>
  <c r="AL1508" i="30"/>
  <c r="AL2790" i="30"/>
  <c r="AL2698" i="30"/>
  <c r="AL2474" i="30"/>
  <c r="AL2171" i="30"/>
  <c r="AL2801" i="30"/>
  <c r="AL2585" i="30"/>
  <c r="AL2521" i="30"/>
  <c r="AL2433" i="30"/>
  <c r="AL2324" i="30"/>
  <c r="AL2223" i="30"/>
  <c r="AL2109" i="30"/>
  <c r="AL1922" i="30"/>
  <c r="AL1495" i="30"/>
  <c r="AL2670" i="30"/>
  <c r="AL2658" i="30"/>
  <c r="AL2402" i="30"/>
  <c r="AL2042" i="30"/>
  <c r="AL2696" i="30"/>
  <c r="AL2560" i="30"/>
  <c r="AL2448" i="30"/>
  <c r="AL2314" i="30"/>
  <c r="AL2204" i="30"/>
  <c r="AL2048" i="30"/>
  <c r="AL1423" i="30"/>
  <c r="AL1108" i="30"/>
  <c r="AL813" i="30"/>
  <c r="AL349" i="30"/>
  <c r="AL2265" i="30"/>
  <c r="AL2169" i="30"/>
  <c r="AL2097" i="30"/>
  <c r="AL2017" i="30"/>
  <c r="AL1921" i="30"/>
  <c r="AL1825" i="30"/>
  <c r="AL1737" i="30"/>
  <c r="AL1625" i="30"/>
  <c r="AL1529" i="30"/>
  <c r="AL1395" i="30"/>
  <c r="AL1231" i="30"/>
  <c r="AL1090" i="30"/>
  <c r="AL171" i="30"/>
  <c r="AL1816" i="30"/>
  <c r="AL1672" i="30"/>
  <c r="AL1584" i="30"/>
  <c r="AL1431" i="30"/>
  <c r="AL1309" i="30"/>
  <c r="AL1176" i="30"/>
  <c r="AL971" i="30"/>
  <c r="AL907" i="30"/>
  <c r="AL563" i="30"/>
  <c r="AL1783" i="30"/>
  <c r="AL1575" i="30"/>
  <c r="AL1439" i="30"/>
  <c r="AL1341" i="30"/>
  <c r="AL1229" i="30"/>
  <c r="AL1123" i="30"/>
  <c r="AL1026" i="30"/>
  <c r="AL509" i="30"/>
  <c r="AL131" i="30"/>
  <c r="AL2262" i="30"/>
  <c r="AL2158" i="30"/>
  <c r="AL2022" i="30"/>
  <c r="AL1934" i="30"/>
  <c r="AL1822" i="30"/>
  <c r="AL1590" i="30"/>
  <c r="AL1340" i="30"/>
  <c r="AL877" i="30"/>
  <c r="AL429" i="30"/>
  <c r="AL613" i="30"/>
  <c r="AL267" i="30"/>
  <c r="AL1780" i="30"/>
  <c r="AL1708" i="30"/>
  <c r="AL1572" i="30"/>
  <c r="AL1487" i="30"/>
  <c r="AL1373" i="30"/>
  <c r="AL1210" i="30"/>
  <c r="AL1128" i="30"/>
  <c r="AL1039" i="30"/>
  <c r="AL579" i="30"/>
  <c r="AL163" i="30"/>
  <c r="AL1715" i="30"/>
  <c r="AL1496" i="30"/>
  <c r="AL1355" i="30"/>
  <c r="AL1187" i="30"/>
  <c r="AL1075" i="30"/>
  <c r="AL739" i="30"/>
  <c r="AL643" i="30"/>
  <c r="AL317" i="30"/>
  <c r="AL1433" i="30"/>
  <c r="AL1329" i="30"/>
  <c r="AL1241" i="30"/>
  <c r="AL1073" i="30"/>
  <c r="AL985" i="30"/>
  <c r="AL2654" i="30"/>
  <c r="AL2762" i="30"/>
  <c r="AL2570" i="30"/>
  <c r="AL2296" i="30"/>
  <c r="AL2833" i="30"/>
  <c r="AL2832" i="30"/>
  <c r="AL2568" i="30"/>
  <c r="AL2719" i="30"/>
  <c r="AL2647" i="30"/>
  <c r="AL2583" i="30"/>
  <c r="AL2495" i="30"/>
  <c r="AL2391" i="30"/>
  <c r="AL1242" i="30"/>
  <c r="AL667" i="30"/>
  <c r="AL2606" i="30"/>
  <c r="AL2365" i="30"/>
  <c r="AL1994" i="30"/>
  <c r="AL797" i="30"/>
  <c r="AL2653" i="30"/>
  <c r="AL2589" i="30"/>
  <c r="AL2501" i="30"/>
  <c r="AL2413" i="30"/>
  <c r="AL2319" i="30"/>
  <c r="AL2036" i="30"/>
  <c r="AL1874" i="30"/>
  <c r="AL1549" i="30"/>
  <c r="AL2684" i="30"/>
  <c r="AL2540" i="30"/>
  <c r="AL2299" i="30"/>
  <c r="AL2173" i="30"/>
  <c r="AL2069" i="30"/>
  <c r="AL1946" i="30"/>
  <c r="AL1499" i="30"/>
  <c r="AL2750" i="30"/>
  <c r="AL2836" i="30"/>
  <c r="AL2660" i="30"/>
  <c r="AL2548" i="30"/>
  <c r="AL2739" i="30"/>
  <c r="AL2675" i="30"/>
  <c r="AL2611" i="30"/>
  <c r="AL2547" i="30"/>
  <c r="AL2411" i="30"/>
  <c r="AL2269" i="30"/>
  <c r="AL2164" i="30"/>
  <c r="AL2068" i="30"/>
  <c r="AL1757" i="30"/>
  <c r="AL1869" i="30"/>
  <c r="AL1427" i="30"/>
  <c r="AL2766" i="30"/>
  <c r="AL2301" i="30"/>
  <c r="AL2674" i="30"/>
  <c r="AL2442" i="30"/>
  <c r="AL2147" i="30"/>
  <c r="AL2761" i="30"/>
  <c r="AL2641" i="30"/>
  <c r="AL2577" i="30"/>
  <c r="AL2513" i="30"/>
  <c r="AL2315" i="30"/>
  <c r="AL2205" i="30"/>
  <c r="AL2100" i="30"/>
  <c r="AL1891" i="30"/>
  <c r="AL2842" i="30"/>
  <c r="AL2634" i="30"/>
  <c r="AL2369" i="30"/>
  <c r="AL1980" i="30"/>
  <c r="AL2856" i="30"/>
  <c r="AL2680" i="30"/>
  <c r="AL2544" i="30"/>
  <c r="AL2440" i="30"/>
  <c r="AL2194" i="30"/>
  <c r="AL2031" i="30"/>
  <c r="AL1399" i="30"/>
  <c r="AL1099" i="30"/>
  <c r="AL781" i="30"/>
  <c r="AL341" i="30"/>
  <c r="AL2361" i="30"/>
  <c r="AL2249" i="30"/>
  <c r="AL2161" i="30"/>
  <c r="AL2089" i="30"/>
  <c r="AL1905" i="30"/>
  <c r="AL1817" i="30"/>
  <c r="AL1705" i="30"/>
  <c r="AL1617" i="30"/>
  <c r="AL1504" i="30"/>
  <c r="AL1386" i="30"/>
  <c r="AL1223" i="30"/>
  <c r="AL1082" i="30"/>
  <c r="AL421" i="30"/>
  <c r="AL1664" i="30"/>
  <c r="AL1568" i="30"/>
  <c r="AL1420" i="30"/>
  <c r="AL1301" i="30"/>
  <c r="AL1160" i="30"/>
  <c r="AL1027" i="30"/>
  <c r="AL963" i="30"/>
  <c r="AL899" i="30"/>
  <c r="AL363" i="30"/>
  <c r="AL19" i="30"/>
  <c r="AL1727" i="30"/>
  <c r="AL1639" i="30"/>
  <c r="AL1567" i="30"/>
  <c r="AL1332" i="30"/>
  <c r="AL1221" i="30"/>
  <c r="AL1096" i="30"/>
  <c r="AL1018" i="30"/>
  <c r="AL954" i="30"/>
  <c r="AL499" i="30"/>
  <c r="AL107" i="30"/>
  <c r="AL2150" i="30"/>
  <c r="AL2014" i="30"/>
  <c r="AL1926" i="30"/>
  <c r="AL1814" i="30"/>
  <c r="AL1582" i="30"/>
  <c r="AL1471" i="30"/>
  <c r="AL1282" i="30"/>
  <c r="AL1104" i="30"/>
  <c r="AL853" i="30"/>
  <c r="AL405" i="30"/>
  <c r="AL549" i="30"/>
  <c r="AL27" i="30"/>
  <c r="AL1772" i="30"/>
  <c r="AL1676" i="30"/>
  <c r="AL1548" i="30"/>
  <c r="AL1469" i="30"/>
  <c r="AL1365" i="30"/>
  <c r="AL1199" i="30"/>
  <c r="AL967" i="30"/>
  <c r="AL557" i="30"/>
  <c r="AL1875" i="30"/>
  <c r="AL1707" i="30"/>
  <c r="AL1603" i="30"/>
  <c r="AL1468" i="30"/>
  <c r="AL1304" i="30"/>
  <c r="AL1179" i="30"/>
  <c r="AL1067" i="30"/>
  <c r="AL731" i="30"/>
  <c r="AL587" i="30"/>
  <c r="AL2638" i="30"/>
  <c r="AL2406" i="30"/>
  <c r="AL2738" i="30"/>
  <c r="AL2554" i="30"/>
  <c r="AL2188" i="30"/>
  <c r="AL2817" i="30"/>
  <c r="AL2816" i="30"/>
  <c r="AL2672" i="30"/>
  <c r="AL2552" i="30"/>
  <c r="AL2823" i="30"/>
  <c r="AL2703" i="30"/>
  <c r="AL2639" i="30"/>
  <c r="AL2575" i="30"/>
  <c r="AL2487" i="30"/>
  <c r="AL2211" i="30"/>
  <c r="AL2039" i="30"/>
  <c r="AL1706" i="30"/>
  <c r="AL1211" i="30"/>
  <c r="AL2830" i="30"/>
  <c r="AL2582" i="30"/>
  <c r="AL2347" i="30"/>
  <c r="AL1917" i="30"/>
  <c r="AL2645" i="30"/>
  <c r="AL2581" i="30"/>
  <c r="AL2485" i="30"/>
  <c r="AL2405" i="30"/>
  <c r="AL2311" i="30"/>
  <c r="AL2200" i="30"/>
  <c r="AL2027" i="30"/>
  <c r="AL1858" i="30"/>
  <c r="AL1538" i="30"/>
  <c r="AL1060" i="30"/>
  <c r="AL2685" i="30"/>
  <c r="AL2668" i="30"/>
  <c r="AL2279" i="30"/>
  <c r="AL2165" i="30"/>
  <c r="AL2052" i="30"/>
  <c r="AL1842" i="30"/>
  <c r="AL1443" i="30"/>
  <c r="AL2853" i="30"/>
  <c r="AL2804" i="30"/>
  <c r="AL2652" i="30"/>
  <c r="AL2532" i="30"/>
  <c r="AL2819" i="30"/>
  <c r="AL2731" i="30"/>
  <c r="AL2667" i="30"/>
  <c r="AL2603" i="30"/>
  <c r="AL2539" i="30"/>
  <c r="AL2395" i="30"/>
  <c r="AL2261" i="30"/>
  <c r="AL2148" i="30"/>
  <c r="AL2024" i="30"/>
  <c r="AL1746" i="30"/>
  <c r="AL1853" i="30"/>
  <c r="AL1336" i="30"/>
  <c r="AL2726" i="30"/>
  <c r="AL2858" i="30"/>
  <c r="AL2410" i="30"/>
  <c r="AL2076" i="30"/>
  <c r="AL2737" i="30"/>
  <c r="AL2633" i="30"/>
  <c r="AL2569" i="30"/>
  <c r="AL2505" i="30"/>
  <c r="AL2409" i="30"/>
  <c r="AL2306" i="30"/>
  <c r="AL2066" i="30"/>
  <c r="AL1866" i="30"/>
  <c r="AL1379" i="30"/>
  <c r="AL2818" i="30"/>
  <c r="AL2610" i="30"/>
  <c r="AL2333" i="30"/>
  <c r="AL1893" i="30"/>
  <c r="AL2840" i="30"/>
  <c r="AL2656" i="30"/>
  <c r="AL2528" i="30"/>
  <c r="AL2274" i="30"/>
  <c r="AL2186" i="30"/>
  <c r="AL2013" i="30"/>
  <c r="AL1826" i="30"/>
  <c r="AL1245" i="30"/>
  <c r="AL1066" i="30"/>
  <c r="AL989" i="30"/>
  <c r="AL597" i="30"/>
  <c r="AL333" i="30"/>
  <c r="AL2353" i="30"/>
  <c r="AL2153" i="30"/>
  <c r="AL1993" i="30"/>
  <c r="AL1697" i="30"/>
  <c r="AL1609" i="30"/>
  <c r="AL1484" i="30"/>
  <c r="AL1378" i="30"/>
  <c r="AL1215" i="30"/>
  <c r="AL1056" i="30"/>
  <c r="AL51" i="30"/>
  <c r="AL1768" i="30"/>
  <c r="AL1528" i="30"/>
  <c r="AL1412" i="30"/>
  <c r="AL1293" i="30"/>
  <c r="AL1149" i="30"/>
  <c r="AL757" i="30"/>
  <c r="AL355" i="30"/>
  <c r="AL1935" i="30"/>
  <c r="AL1631" i="30"/>
  <c r="AL1543" i="30"/>
  <c r="AL1411" i="30"/>
  <c r="AL1308" i="30"/>
  <c r="AL1192" i="30"/>
  <c r="AL1088" i="30"/>
  <c r="AL1010" i="30"/>
  <c r="AL867" i="30"/>
  <c r="AL477" i="30"/>
  <c r="AL83" i="30"/>
  <c r="AL2230" i="30"/>
  <c r="AL2118" i="30"/>
  <c r="AL1918" i="30"/>
  <c r="AL1782" i="30"/>
  <c r="AL1646" i="30"/>
  <c r="AL1574" i="30"/>
  <c r="AL1463" i="30"/>
  <c r="AL1274" i="30"/>
  <c r="AL1095" i="30"/>
  <c r="AL819" i="30"/>
  <c r="AL381" i="30"/>
  <c r="AL485" i="30"/>
  <c r="AL1932" i="30"/>
  <c r="AL1668" i="30"/>
  <c r="AL1540" i="30"/>
  <c r="AL1461" i="30"/>
  <c r="AL1347" i="30"/>
  <c r="AL1188" i="30"/>
  <c r="AL1111" i="30"/>
  <c r="AL1023" i="30"/>
  <c r="AL525" i="30"/>
  <c r="AL1851" i="30"/>
  <c r="AL1595" i="30"/>
  <c r="AL1444" i="30"/>
  <c r="AL1288" i="30"/>
  <c r="AL1048" i="30"/>
  <c r="AL547" i="30"/>
  <c r="AL35" i="30"/>
  <c r="AL1313" i="30"/>
  <c r="AL1217" i="30"/>
  <c r="AL1121" i="30"/>
  <c r="AL1033" i="30"/>
  <c r="AL969" i="30"/>
  <c r="AL905" i="30"/>
  <c r="AL689" i="30"/>
  <c r="AL585" i="30"/>
  <c r="AL489" i="30"/>
  <c r="AL409" i="30"/>
  <c r="AL257" i="30"/>
  <c r="AL137" i="30"/>
  <c r="AL984" i="30"/>
  <c r="AL920" i="30"/>
  <c r="AL792" i="30"/>
  <c r="AL568" i="30"/>
  <c r="AL424" i="30"/>
  <c r="AL336" i="30"/>
  <c r="AL248" i="30"/>
  <c r="AL136" i="30"/>
  <c r="AL911" i="30"/>
  <c r="AL831" i="30"/>
  <c r="AL743" i="30"/>
  <c r="AL679" i="30"/>
  <c r="AL591" i="30"/>
  <c r="AL503" i="30"/>
  <c r="AL375" i="30"/>
  <c r="AL287" i="30"/>
  <c r="AL191" i="30"/>
  <c r="AL95" i="30"/>
  <c r="AL1478" i="30"/>
  <c r="AL1382" i="30"/>
  <c r="AL1302" i="30"/>
  <c r="AL1062" i="30"/>
  <c r="AL982" i="30"/>
  <c r="AL918" i="30"/>
  <c r="AL854" i="30"/>
  <c r="AL678" i="30"/>
  <c r="AL614" i="30"/>
  <c r="AL326" i="30"/>
  <c r="AL238" i="30"/>
  <c r="AL166" i="30"/>
  <c r="AL46" i="30"/>
  <c r="AL213" i="30"/>
  <c r="AL117" i="30"/>
  <c r="AL45" i="30"/>
  <c r="AL1020" i="30"/>
  <c r="AL956" i="30"/>
  <c r="AL876" i="30"/>
  <c r="AL756" i="30"/>
  <c r="AL676" i="30"/>
  <c r="AL564" i="30"/>
  <c r="AL492" i="30"/>
  <c r="AL380" i="30"/>
  <c r="AL300" i="30"/>
  <c r="AL228" i="30"/>
  <c r="AL132" i="30"/>
  <c r="AL36" i="30"/>
  <c r="AL906" i="30"/>
  <c r="AL842" i="30"/>
  <c r="AL770" i="30"/>
  <c r="AL690" i="30"/>
  <c r="AL618" i="30"/>
  <c r="AL482" i="30"/>
  <c r="AL394" i="30"/>
  <c r="AL330" i="30"/>
  <c r="AL250" i="30"/>
  <c r="AL178" i="30"/>
  <c r="AL90" i="30"/>
  <c r="AL1723" i="30"/>
  <c r="AL515" i="30"/>
  <c r="AL1321" i="30"/>
  <c r="AL1097" i="30"/>
  <c r="AL953" i="30"/>
  <c r="AL849" i="30"/>
  <c r="AL697" i="30"/>
  <c r="AL441" i="30"/>
  <c r="AL337" i="30"/>
  <c r="AL992" i="30"/>
  <c r="AL904" i="30"/>
  <c r="AL696" i="30"/>
  <c r="AL400" i="30"/>
  <c r="AL280" i="30"/>
  <c r="AL144" i="30"/>
  <c r="AL16" i="30"/>
  <c r="AL751" i="30"/>
  <c r="AL647" i="30"/>
  <c r="AL543" i="30"/>
  <c r="AL247" i="30"/>
  <c r="AL135" i="30"/>
  <c r="AL1486" i="30"/>
  <c r="AL1366" i="30"/>
  <c r="AL1230" i="30"/>
  <c r="AL1070" i="30"/>
  <c r="AL966" i="30"/>
  <c r="AL878" i="30"/>
  <c r="AL766" i="30"/>
  <c r="AL670" i="30"/>
  <c r="AL550" i="30"/>
  <c r="AL230" i="30"/>
  <c r="AL229" i="30"/>
  <c r="AL109" i="30"/>
  <c r="AL21" i="30"/>
  <c r="AL972" i="30"/>
  <c r="AL836" i="30"/>
  <c r="AL716" i="30"/>
  <c r="AL580" i="30"/>
  <c r="AL484" i="30"/>
  <c r="AL348" i="30"/>
  <c r="AL124" i="30"/>
  <c r="AL946" i="30"/>
  <c r="AL858" i="30"/>
  <c r="AL762" i="30"/>
  <c r="AL658" i="30"/>
  <c r="AL514" i="30"/>
  <c r="AL386" i="30"/>
  <c r="AL306" i="30"/>
  <c r="AL194" i="30"/>
  <c r="AL106" i="30"/>
  <c r="AL275" i="30"/>
  <c r="AL1651" i="30"/>
  <c r="AL389" i="30"/>
  <c r="AL1305" i="30"/>
  <c r="AL1081" i="30"/>
  <c r="AL945" i="30"/>
  <c r="AL817" i="30"/>
  <c r="AL681" i="30"/>
  <c r="AL553" i="30"/>
  <c r="AL433" i="30"/>
  <c r="AL321" i="30"/>
  <c r="AL217" i="30"/>
  <c r="AL49" i="30"/>
  <c r="AL976" i="30"/>
  <c r="AL896" i="30"/>
  <c r="AL688" i="30"/>
  <c r="AL384" i="30"/>
  <c r="AL272" i="30"/>
  <c r="AL120" i="30"/>
  <c r="AL7" i="30"/>
  <c r="AL847" i="30"/>
  <c r="AL735" i="30"/>
  <c r="AL639" i="30"/>
  <c r="AL535" i="30"/>
  <c r="AL359" i="30"/>
  <c r="AL239" i="30"/>
  <c r="AL127" i="30"/>
  <c r="AL1470" i="30"/>
  <c r="AL1222" i="30"/>
  <c r="AL1038" i="30"/>
  <c r="AL958" i="30"/>
  <c r="AL870" i="30"/>
  <c r="AL334" i="30"/>
  <c r="AL222" i="30"/>
  <c r="AL78" i="30"/>
  <c r="AL221" i="30"/>
  <c r="AL101" i="30"/>
  <c r="AL3" i="30"/>
  <c r="AL964" i="30"/>
  <c r="AL828" i="30"/>
  <c r="AL700" i="30"/>
  <c r="AL572" i="30"/>
  <c r="AL476" i="30"/>
  <c r="AL332" i="30"/>
  <c r="AL850" i="30"/>
  <c r="AL746" i="30"/>
  <c r="AL642" i="30"/>
  <c r="AL498" i="30"/>
  <c r="AL378" i="30"/>
  <c r="AL282" i="30"/>
  <c r="AL82" i="30"/>
  <c r="AL1515" i="30"/>
  <c r="AL1036" i="30"/>
  <c r="AL1372" i="30"/>
  <c r="AL1521" i="30"/>
  <c r="AL1225" i="30"/>
  <c r="AL1025" i="30"/>
  <c r="AL921" i="30"/>
  <c r="AL777" i="30"/>
  <c r="AL657" i="30"/>
  <c r="AL513" i="30"/>
  <c r="AL393" i="30"/>
  <c r="AL305" i="30"/>
  <c r="AL177" i="30"/>
  <c r="AL960" i="30"/>
  <c r="AL648" i="30"/>
  <c r="AL544" i="30"/>
  <c r="AL352" i="30"/>
  <c r="AL240" i="30"/>
  <c r="AL927" i="30"/>
  <c r="AL823" i="30"/>
  <c r="AL719" i="30"/>
  <c r="AL607" i="30"/>
  <c r="AL495" i="30"/>
  <c r="AL343" i="30"/>
  <c r="AL215" i="30"/>
  <c r="AL1454" i="30"/>
  <c r="AL1318" i="30"/>
  <c r="AL1174" i="30"/>
  <c r="AL1022" i="30"/>
  <c r="AL934" i="30"/>
  <c r="AL838" i="30"/>
  <c r="AL734" i="30"/>
  <c r="AL638" i="30"/>
  <c r="AL438" i="30"/>
  <c r="AL54" i="30"/>
  <c r="AL197" i="30"/>
  <c r="AL77" i="30"/>
  <c r="AL1028" i="30"/>
  <c r="AL940" i="30"/>
  <c r="AL684" i="30"/>
  <c r="AL548" i="30"/>
  <c r="AL412" i="30"/>
  <c r="AL308" i="30"/>
  <c r="AL204" i="30"/>
  <c r="AL914" i="30"/>
  <c r="AL722" i="30"/>
  <c r="AL626" i="30"/>
  <c r="AL354" i="30"/>
  <c r="AL258" i="30"/>
  <c r="AL66" i="30"/>
  <c r="AL1234" i="30"/>
  <c r="AL1449" i="30"/>
  <c r="AL1009" i="30"/>
  <c r="AL913" i="30"/>
  <c r="AL625" i="30"/>
  <c r="AL505" i="30"/>
  <c r="AL385" i="30"/>
  <c r="AL281" i="30"/>
  <c r="AL153" i="30"/>
  <c r="AL1032" i="30"/>
  <c r="AL944" i="30"/>
  <c r="AL808" i="30"/>
  <c r="AL616" i="30"/>
  <c r="AL504" i="30"/>
  <c r="AL344" i="30"/>
  <c r="AL807" i="30"/>
  <c r="AL703" i="30"/>
  <c r="AL599" i="30"/>
  <c r="AL487" i="30"/>
  <c r="AL327" i="30"/>
  <c r="AL1414" i="30"/>
  <c r="AL1310" i="30"/>
  <c r="AL1166" i="30"/>
  <c r="AL1006" i="30"/>
  <c r="AL926" i="30"/>
  <c r="AL830" i="30"/>
  <c r="AL630" i="30"/>
  <c r="AL510" i="30"/>
  <c r="AL286" i="30"/>
  <c r="AL38" i="30"/>
  <c r="AL181" i="30"/>
  <c r="AL1012" i="30"/>
  <c r="AL932" i="30"/>
  <c r="AL788" i="30"/>
  <c r="AL668" i="30"/>
  <c r="AL540" i="30"/>
  <c r="AL404" i="30"/>
  <c r="AL292" i="30"/>
  <c r="AL196" i="30"/>
  <c r="AL818" i="30"/>
  <c r="AL706" i="30"/>
  <c r="AL610" i="30"/>
  <c r="AL458" i="30"/>
  <c r="AL346" i="30"/>
  <c r="AL242" i="30"/>
  <c r="AL146" i="30"/>
  <c r="AL42" i="30"/>
  <c r="AL1100" i="30"/>
  <c r="AL1145" i="30"/>
  <c r="AL993" i="30"/>
  <c r="AL897" i="30"/>
  <c r="AL761" i="30"/>
  <c r="AL617" i="30"/>
  <c r="AL473" i="30"/>
  <c r="AL369" i="30"/>
  <c r="AL121" i="30"/>
  <c r="AL1024" i="30"/>
  <c r="AL936" i="30"/>
  <c r="AL752" i="30"/>
  <c r="AL456" i="30"/>
  <c r="AL328" i="30"/>
  <c r="AL200" i="30"/>
  <c r="AL64" i="30"/>
  <c r="AL903" i="30"/>
  <c r="AL799" i="30"/>
  <c r="AL695" i="30"/>
  <c r="AL583" i="30"/>
  <c r="AL479" i="30"/>
  <c r="AL319" i="30"/>
  <c r="AL183" i="30"/>
  <c r="AL31" i="30"/>
  <c r="AL1406" i="30"/>
  <c r="AL1294" i="30"/>
  <c r="AL822" i="30"/>
  <c r="AL702" i="30"/>
  <c r="AL374" i="30"/>
  <c r="AL262" i="30"/>
  <c r="AL174" i="30"/>
  <c r="AL30" i="30"/>
  <c r="AL157" i="30"/>
  <c r="AL61" i="30"/>
  <c r="AL1004" i="30"/>
  <c r="AL916" i="30"/>
  <c r="AL764" i="30"/>
  <c r="AL644" i="30"/>
  <c r="AL524" i="30"/>
  <c r="AL396" i="30"/>
  <c r="AL284" i="30"/>
  <c r="AL164" i="30"/>
  <c r="AL52" i="30"/>
  <c r="AL802" i="30"/>
  <c r="AL698" i="30"/>
  <c r="AL586" i="30"/>
  <c r="AL34" i="30"/>
  <c r="AL929" i="30"/>
  <c r="AL795" i="30"/>
  <c r="AL1385" i="30"/>
  <c r="AL1129" i="30"/>
  <c r="AL977" i="30"/>
  <c r="AL889" i="30"/>
  <c r="AL737" i="30"/>
  <c r="AL609" i="30"/>
  <c r="AL465" i="30"/>
  <c r="AL353" i="30"/>
  <c r="AL265" i="30"/>
  <c r="AL113" i="30"/>
  <c r="AL1008" i="30"/>
  <c r="AL736" i="30"/>
  <c r="AL592" i="30"/>
  <c r="AL440" i="30"/>
  <c r="AL176" i="30"/>
  <c r="AL56" i="30"/>
  <c r="AL895" i="30"/>
  <c r="AL687" i="30"/>
  <c r="AL431" i="30"/>
  <c r="AL295" i="30"/>
  <c r="AL175" i="30"/>
  <c r="AL5" i="30"/>
  <c r="AL1398" i="30"/>
  <c r="AL1278" i="30"/>
  <c r="AL1094" i="30"/>
  <c r="AL990" i="30"/>
  <c r="AL782" i="30"/>
  <c r="AL694" i="30"/>
  <c r="AL606" i="30"/>
  <c r="AL494" i="30"/>
  <c r="AL366" i="30"/>
  <c r="AL254" i="30"/>
  <c r="AL150" i="30"/>
  <c r="AL22" i="30"/>
  <c r="AL149" i="30"/>
  <c r="AL37" i="30"/>
  <c r="AL996" i="30"/>
  <c r="AL748" i="30"/>
  <c r="AL636" i="30"/>
  <c r="AL364" i="30"/>
  <c r="AL276" i="30"/>
  <c r="AL148" i="30"/>
  <c r="AL28" i="30"/>
  <c r="AL882" i="30"/>
  <c r="AL682" i="30"/>
  <c r="AL578" i="30"/>
  <c r="AL410" i="30"/>
  <c r="AL226" i="30"/>
  <c r="AL122" i="30"/>
  <c r="AL26" i="30"/>
  <c r="AL1257" i="30"/>
  <c r="AL521" i="30"/>
  <c r="AL185" i="30"/>
  <c r="AL41" i="30"/>
  <c r="AL968" i="30"/>
  <c r="AL848" i="30"/>
  <c r="AL680" i="30"/>
  <c r="AL552" i="30"/>
  <c r="AL360" i="30"/>
  <c r="AL256" i="30"/>
  <c r="AL112" i="30"/>
  <c r="AL935" i="30"/>
  <c r="AL839" i="30"/>
  <c r="AL727" i="30"/>
  <c r="AL519" i="30"/>
  <c r="AL351" i="30"/>
  <c r="AL223" i="30"/>
  <c r="AL103" i="30"/>
  <c r="AL1326" i="30"/>
  <c r="AL1030" i="30"/>
  <c r="AL446" i="30"/>
  <c r="AL214" i="30"/>
  <c r="AL205" i="30"/>
  <c r="AL948" i="30"/>
  <c r="AL444" i="30"/>
  <c r="AL220" i="30"/>
  <c r="AL922" i="30"/>
  <c r="AL738" i="30"/>
  <c r="AL474" i="30"/>
  <c r="AL266" i="30"/>
  <c r="AL74" i="30"/>
  <c r="AL651" i="30"/>
  <c r="AL961" i="30"/>
  <c r="AL881" i="30"/>
  <c r="AL721" i="30"/>
  <c r="AL577" i="30"/>
  <c r="AL457" i="30"/>
  <c r="AL249" i="30"/>
  <c r="AL912" i="30"/>
  <c r="AL720" i="30"/>
  <c r="AL584" i="30"/>
  <c r="AL408" i="30"/>
  <c r="AL296" i="30"/>
  <c r="AL40" i="30"/>
  <c r="AL887" i="30"/>
  <c r="AL759" i="30"/>
  <c r="AL663" i="30"/>
  <c r="AL559" i="30"/>
  <c r="AL423" i="30"/>
  <c r="AL255" i="30"/>
  <c r="AL167" i="30"/>
  <c r="AL1510" i="30"/>
  <c r="AL1374" i="30"/>
  <c r="AL1254" i="30"/>
  <c r="AL1086" i="30"/>
  <c r="AL894" i="30"/>
  <c r="AL774" i="30"/>
  <c r="AL686" i="30"/>
  <c r="AL558" i="30"/>
  <c r="AL486" i="30"/>
  <c r="AL350" i="30"/>
  <c r="AL246" i="30"/>
  <c r="AL142" i="30"/>
  <c r="AL237" i="30"/>
  <c r="AL29" i="30"/>
  <c r="AL980" i="30"/>
  <c r="AL900" i="30"/>
  <c r="AL732" i="30"/>
  <c r="AL588" i="30"/>
  <c r="AL508" i="30"/>
  <c r="AL356" i="30"/>
  <c r="AL12" i="30"/>
  <c r="AL866" i="30"/>
  <c r="AL778" i="30"/>
  <c r="AL674" i="30"/>
  <c r="AL530" i="30"/>
  <c r="AL402" i="30"/>
  <c r="AL314" i="30"/>
  <c r="AL114" i="30"/>
  <c r="AL9" i="30"/>
  <c r="AL1057" i="30"/>
  <c r="AL673" i="30"/>
  <c r="AL425" i="30"/>
  <c r="AL615" i="30"/>
  <c r="AL1462" i="30"/>
  <c r="AL1214" i="30"/>
  <c r="AL942" i="30"/>
  <c r="AL742" i="30"/>
  <c r="AL654" i="30"/>
  <c r="AL526" i="30"/>
  <c r="AL70" i="30"/>
  <c r="AL93" i="30"/>
  <c r="AL812" i="30"/>
  <c r="AL556" i="30"/>
  <c r="AL324" i="30"/>
  <c r="AL100" i="30"/>
  <c r="AL834" i="30"/>
  <c r="AL634" i="30"/>
  <c r="AL370" i="30"/>
  <c r="AL170" i="30"/>
  <c r="AL862" i="30"/>
  <c r="AL1299" i="30"/>
  <c r="AL622" i="30"/>
  <c r="AL478" i="30"/>
  <c r="AL534" i="30"/>
  <c r="AL1296" i="30"/>
  <c r="AL454" i="30"/>
  <c r="AL154" i="30"/>
  <c r="AL758" i="30"/>
  <c r="AL302" i="30"/>
  <c r="AL1297" i="30"/>
  <c r="AL130" i="30"/>
  <c r="AL186" i="30"/>
  <c r="AJ779" i="30"/>
  <c r="AD779" i="30"/>
  <c r="AG779" i="30"/>
  <c r="AA779" i="30"/>
  <c r="X779" i="30"/>
  <c r="R779" i="30"/>
  <c r="O779" i="30"/>
  <c r="AJ1320" i="30"/>
  <c r="AG1320" i="30"/>
  <c r="AD1320" i="30"/>
  <c r="AA1320" i="30"/>
  <c r="X1320" i="30"/>
  <c r="R1320" i="30"/>
  <c r="O1320" i="30"/>
  <c r="AJ1408" i="30"/>
  <c r="AG1408" i="30"/>
  <c r="AD1408" i="30"/>
  <c r="AA1408" i="30"/>
  <c r="X1408" i="30"/>
  <c r="R1408" i="30"/>
  <c r="O1408" i="30"/>
  <c r="AJ1467" i="30"/>
  <c r="AG1467" i="30"/>
  <c r="AD1467" i="30"/>
  <c r="AA1467" i="30"/>
  <c r="X1467" i="30"/>
  <c r="R1467" i="30"/>
  <c r="O1467" i="30"/>
  <c r="AJ1564" i="30"/>
  <c r="AG1564" i="30"/>
  <c r="AD1564" i="30"/>
  <c r="AA1564" i="30"/>
  <c r="X1564" i="30"/>
  <c r="R1564" i="30"/>
  <c r="O1564" i="30"/>
  <c r="AJ1643" i="30"/>
  <c r="AG1643" i="30"/>
  <c r="AD1643" i="30"/>
  <c r="AA1643" i="30"/>
  <c r="X1643" i="30"/>
  <c r="R1643" i="30"/>
  <c r="O1643" i="30"/>
  <c r="AJ1778" i="30"/>
  <c r="AG1778" i="30"/>
  <c r="AD1778" i="30"/>
  <c r="AA1778" i="30"/>
  <c r="X1778" i="30"/>
  <c r="R1778" i="30"/>
  <c r="O1778" i="30"/>
  <c r="AJ1815" i="30"/>
  <c r="AG1815" i="30"/>
  <c r="AD1815" i="30"/>
  <c r="AA1815" i="30"/>
  <c r="X1815" i="30"/>
  <c r="R1815" i="30"/>
  <c r="O1815" i="30"/>
  <c r="AJ1945" i="30"/>
  <c r="AG1945" i="30"/>
  <c r="AD1945" i="30"/>
  <c r="AA1945" i="30"/>
  <c r="R1945" i="30"/>
  <c r="X1945" i="30"/>
  <c r="O1945" i="30"/>
  <c r="AJ2026" i="30"/>
  <c r="AG2026" i="30"/>
  <c r="AD2026" i="30"/>
  <c r="AA2026" i="30"/>
  <c r="X2026" i="30"/>
  <c r="R2026" i="30"/>
  <c r="O2026" i="30"/>
  <c r="AJ2061" i="30"/>
  <c r="AG2061" i="30"/>
  <c r="AD2061" i="30"/>
  <c r="AA2061" i="30"/>
  <c r="X2061" i="30"/>
  <c r="R2061" i="30"/>
  <c r="O2061" i="30"/>
  <c r="AJ2225" i="30"/>
  <c r="AG2225" i="30"/>
  <c r="AD2225" i="30"/>
  <c r="AA2225" i="30"/>
  <c r="X2225" i="30"/>
  <c r="R2225" i="30"/>
  <c r="O2225" i="30"/>
  <c r="AJ1494" i="30"/>
  <c r="AG1494" i="30"/>
  <c r="AD1494" i="30"/>
  <c r="AA1494" i="30"/>
  <c r="X1494" i="30"/>
  <c r="R1494" i="30"/>
  <c r="O1494" i="30"/>
  <c r="AJ1913" i="30"/>
  <c r="AG1913" i="30"/>
  <c r="AD1913" i="30"/>
  <c r="AA1913" i="30"/>
  <c r="X1913" i="30"/>
  <c r="R1913" i="30"/>
  <c r="O1913" i="30"/>
  <c r="AJ2002" i="30"/>
  <c r="AG2002" i="30"/>
  <c r="AD2002" i="30"/>
  <c r="AA2002" i="30"/>
  <c r="X2002" i="30"/>
  <c r="R2002" i="30"/>
  <c r="O2002" i="30"/>
  <c r="AJ2138" i="30"/>
  <c r="AG2138" i="30"/>
  <c r="AD2138" i="30"/>
  <c r="AA2138" i="30"/>
  <c r="X2138" i="30"/>
  <c r="R2138" i="30"/>
  <c r="O2138" i="30"/>
  <c r="AJ2310" i="30"/>
  <c r="AG2310" i="30"/>
  <c r="AD2310" i="30"/>
  <c r="AA2310" i="30"/>
  <c r="X2310" i="30"/>
  <c r="R2310" i="30"/>
  <c r="O2310" i="30"/>
  <c r="AG2734" i="30"/>
  <c r="AJ2734" i="30"/>
  <c r="AD2734" i="30"/>
  <c r="AA2734" i="30"/>
  <c r="X2734" i="30"/>
  <c r="R2734" i="30"/>
  <c r="O2734" i="30"/>
  <c r="AJ832" i="30"/>
  <c r="AG832" i="30"/>
  <c r="AD832" i="30"/>
  <c r="AA832" i="30"/>
  <c r="X832" i="30"/>
  <c r="R832" i="30"/>
  <c r="O832" i="30"/>
  <c r="AJ1451" i="30"/>
  <c r="AG1451" i="30"/>
  <c r="AD1451" i="30"/>
  <c r="AA1451" i="30"/>
  <c r="X1451" i="30"/>
  <c r="R1451" i="30"/>
  <c r="O1451" i="30"/>
  <c r="AJ1570" i="30"/>
  <c r="AG1570" i="30"/>
  <c r="AD1570" i="30"/>
  <c r="AA1570" i="30"/>
  <c r="X1570" i="30"/>
  <c r="R1570" i="30"/>
  <c r="O1570" i="30"/>
  <c r="AJ1092" i="30"/>
  <c r="AG1092" i="30"/>
  <c r="AD1092" i="30"/>
  <c r="AA1092" i="30"/>
  <c r="X1092" i="30"/>
  <c r="R1092" i="30"/>
  <c r="O1092" i="30"/>
  <c r="AJ1212" i="30"/>
  <c r="AG1212" i="30"/>
  <c r="AD1212" i="30"/>
  <c r="X1212" i="30"/>
  <c r="AA1212" i="30"/>
  <c r="R1212" i="30"/>
  <c r="O1212" i="30"/>
  <c r="AJ1360" i="30"/>
  <c r="AG1360" i="30"/>
  <c r="AD1360" i="30"/>
  <c r="AA1360" i="30"/>
  <c r="X1360" i="30"/>
  <c r="R1360" i="30"/>
  <c r="O1360" i="30"/>
  <c r="AJ1441" i="30"/>
  <c r="AG1441" i="30"/>
  <c r="AD1441" i="30"/>
  <c r="AA1441" i="30"/>
  <c r="X1441" i="30"/>
  <c r="R1441" i="30"/>
  <c r="O1441" i="30"/>
  <c r="AJ1497" i="30"/>
  <c r="AG1497" i="30"/>
  <c r="AD1497" i="30"/>
  <c r="AA1497" i="30"/>
  <c r="X1497" i="30"/>
  <c r="R1497" i="30"/>
  <c r="O1497" i="30"/>
  <c r="AJ1621" i="30"/>
  <c r="AG1621" i="30"/>
  <c r="AD1621" i="30"/>
  <c r="AA1621" i="30"/>
  <c r="X1621" i="30"/>
  <c r="R1621" i="30"/>
  <c r="O1621" i="30"/>
  <c r="AL1742" i="30"/>
  <c r="AJ1771" i="30"/>
  <c r="AG1771" i="30"/>
  <c r="AD1771" i="30"/>
  <c r="AA1771" i="30"/>
  <c r="X1771" i="30"/>
  <c r="R1771" i="30"/>
  <c r="O1771" i="30"/>
  <c r="AJ1811" i="30"/>
  <c r="AG1811" i="30"/>
  <c r="AD1811" i="30"/>
  <c r="AA1811" i="30"/>
  <c r="X1811" i="30"/>
  <c r="R1811" i="30"/>
  <c r="O1811" i="30"/>
  <c r="AJ1843" i="30"/>
  <c r="AG1843" i="30"/>
  <c r="AD1843" i="30"/>
  <c r="AA1843" i="30"/>
  <c r="X1843" i="30"/>
  <c r="R1843" i="30"/>
  <c r="O1843" i="30"/>
  <c r="AJ1872" i="30"/>
  <c r="AG1872" i="30"/>
  <c r="AD1872" i="30"/>
  <c r="AA1872" i="30"/>
  <c r="X1872" i="30"/>
  <c r="R1872" i="30"/>
  <c r="O1872" i="30"/>
  <c r="AJ1977" i="30"/>
  <c r="AG1977" i="30"/>
  <c r="AD1977" i="30"/>
  <c r="AA1977" i="30"/>
  <c r="X1977" i="30"/>
  <c r="R1977" i="30"/>
  <c r="O1977" i="30"/>
  <c r="AJ1997" i="30"/>
  <c r="AG1997" i="30"/>
  <c r="AD1997" i="30"/>
  <c r="AA1997" i="30"/>
  <c r="X1997" i="30"/>
  <c r="R1997" i="30"/>
  <c r="O1997" i="30"/>
  <c r="AJ2025" i="30"/>
  <c r="AG2025" i="30"/>
  <c r="AD2025" i="30"/>
  <c r="AA2025" i="30"/>
  <c r="X2025" i="30"/>
  <c r="R2025" i="30"/>
  <c r="O2025" i="30"/>
  <c r="AJ2091" i="30"/>
  <c r="AG2091" i="30"/>
  <c r="AD2091" i="30"/>
  <c r="AA2091" i="30"/>
  <c r="X2091" i="30"/>
  <c r="R2091" i="30"/>
  <c r="O2091" i="30"/>
  <c r="AJ2152" i="30"/>
  <c r="AG2152" i="30"/>
  <c r="AD2152" i="30"/>
  <c r="AA2152" i="30"/>
  <c r="X2152" i="30"/>
  <c r="R2152" i="30"/>
  <c r="O2152" i="30"/>
  <c r="AJ2207" i="30"/>
  <c r="AG2207" i="30"/>
  <c r="AD2207" i="30"/>
  <c r="AA2207" i="30"/>
  <c r="X2207" i="30"/>
  <c r="R2207" i="30"/>
  <c r="O2207" i="30"/>
  <c r="AJ2281" i="30"/>
  <c r="AG2281" i="30"/>
  <c r="AD2281" i="30"/>
  <c r="AA2281" i="30"/>
  <c r="X2281" i="30"/>
  <c r="R2281" i="30"/>
  <c r="O2281" i="30"/>
  <c r="AJ2345" i="30"/>
  <c r="AG2345" i="30"/>
  <c r="AD2345" i="30"/>
  <c r="AA2345" i="30"/>
  <c r="X2345" i="30"/>
  <c r="R2345" i="30"/>
  <c r="O2345" i="30"/>
  <c r="AJ2519" i="30"/>
  <c r="AG2519" i="30"/>
  <c r="AD2519" i="30"/>
  <c r="AA2519" i="30"/>
  <c r="X2519" i="30"/>
  <c r="R2519" i="30"/>
  <c r="O2519" i="30"/>
  <c r="AJ2785" i="30"/>
  <c r="AG2785" i="30"/>
  <c r="AD2785" i="30"/>
  <c r="AA2785" i="30"/>
  <c r="X2785" i="30"/>
  <c r="R2785" i="30"/>
  <c r="O2785" i="30"/>
  <c r="AJ2806" i="30"/>
  <c r="AG2806" i="30"/>
  <c r="AD2806" i="30"/>
  <c r="AA2806" i="30"/>
  <c r="X2806" i="30"/>
  <c r="R2806" i="30"/>
  <c r="O2806" i="30"/>
  <c r="AJ1078" i="30"/>
  <c r="AG1078" i="30"/>
  <c r="AD1078" i="30"/>
  <c r="AA1078" i="30"/>
  <c r="X1078" i="30"/>
  <c r="O1078" i="30"/>
  <c r="R1078" i="30"/>
  <c r="AJ1158" i="30"/>
  <c r="AG1158" i="30"/>
  <c r="AA1158" i="30"/>
  <c r="AD1158" i="30"/>
  <c r="X1158" i="30"/>
  <c r="O1158" i="30"/>
  <c r="R1158" i="30"/>
  <c r="AJ1527" i="30"/>
  <c r="AG1527" i="30"/>
  <c r="AD1527" i="30"/>
  <c r="AA1527" i="30"/>
  <c r="X1527" i="30"/>
  <c r="R1527" i="30"/>
  <c r="O1527" i="30"/>
  <c r="AG1630" i="30"/>
  <c r="AJ1630" i="30"/>
  <c r="AD1630" i="30"/>
  <c r="AA1630" i="30"/>
  <c r="X1630" i="30"/>
  <c r="R1630" i="30"/>
  <c r="O1630" i="30"/>
  <c r="AJ2030" i="30"/>
  <c r="AG2030" i="30"/>
  <c r="AD2030" i="30"/>
  <c r="AA2030" i="30"/>
  <c r="X2030" i="30"/>
  <c r="R2030" i="30"/>
  <c r="O2030" i="30"/>
  <c r="AJ2792" i="30"/>
  <c r="AG2792" i="30"/>
  <c r="AD2792" i="30"/>
  <c r="X2792" i="30"/>
  <c r="AA2792" i="30"/>
  <c r="R2792" i="30"/>
  <c r="O2792" i="30"/>
  <c r="AJ1216" i="30"/>
  <c r="AG1216" i="30"/>
  <c r="AA1216" i="30"/>
  <c r="AD1216" i="30"/>
  <c r="X1216" i="30"/>
  <c r="R1216" i="30"/>
  <c r="O1216" i="30"/>
  <c r="AJ1327" i="30"/>
  <c r="AG1327" i="30"/>
  <c r="AD1327" i="30"/>
  <c r="AA1327" i="30"/>
  <c r="X1327" i="30"/>
  <c r="R1327" i="30"/>
  <c r="O1327" i="30"/>
  <c r="AJ1576" i="30"/>
  <c r="AG1576" i="30"/>
  <c r="AD1576" i="30"/>
  <c r="AA1576" i="30"/>
  <c r="X1576" i="30"/>
  <c r="R1576" i="30"/>
  <c r="O1576" i="30"/>
  <c r="AJ1701" i="30"/>
  <c r="AG1701" i="30"/>
  <c r="AD1701" i="30"/>
  <c r="AA1701" i="30"/>
  <c r="X1701" i="30"/>
  <c r="R1701" i="30"/>
  <c r="O1701" i="30"/>
  <c r="AJ1733" i="30"/>
  <c r="AG1733" i="30"/>
  <c r="AD1733" i="30"/>
  <c r="AA1733" i="30"/>
  <c r="X1733" i="30"/>
  <c r="R1733" i="30"/>
  <c r="O1733" i="30"/>
  <c r="AJ2115" i="30"/>
  <c r="AG2115" i="30"/>
  <c r="AD2115" i="30"/>
  <c r="AA2115" i="30"/>
  <c r="R2115" i="30"/>
  <c r="X2115" i="30"/>
  <c r="O2115" i="30"/>
  <c r="AJ2258" i="30"/>
  <c r="AG2258" i="30"/>
  <c r="AD2258" i="30"/>
  <c r="AA2258" i="30"/>
  <c r="X2258" i="30"/>
  <c r="R2258" i="30"/>
  <c r="O2258" i="30"/>
  <c r="AJ2483" i="30"/>
  <c r="AG2483" i="30"/>
  <c r="AD2483" i="30"/>
  <c r="AA2483" i="30"/>
  <c r="X2483" i="30"/>
  <c r="R2483" i="30"/>
  <c r="O2483" i="30"/>
  <c r="AJ2850" i="30"/>
  <c r="AG2850" i="30"/>
  <c r="AD2850" i="30"/>
  <c r="AA2850" i="30"/>
  <c r="X2850" i="30"/>
  <c r="R2850" i="30"/>
  <c r="O2850" i="30"/>
  <c r="AJ852" i="30"/>
  <c r="AG852" i="30"/>
  <c r="AD852" i="30"/>
  <c r="AA852" i="30"/>
  <c r="X852" i="30"/>
  <c r="R852" i="30"/>
  <c r="O852" i="30"/>
  <c r="AJ1592" i="30"/>
  <c r="AG1592" i="30"/>
  <c r="AD1592" i="30"/>
  <c r="AA1592" i="30"/>
  <c r="X1592" i="30"/>
  <c r="R1592" i="30"/>
  <c r="O1592" i="30"/>
  <c r="AJ783" i="30"/>
  <c r="AG783" i="30"/>
  <c r="AD783" i="30"/>
  <c r="AA783" i="30"/>
  <c r="X783" i="30"/>
  <c r="R783" i="30"/>
  <c r="O783" i="30"/>
  <c r="AJ800" i="30"/>
  <c r="AG800" i="30"/>
  <c r="AD800" i="30"/>
  <c r="AA800" i="30"/>
  <c r="X800" i="30"/>
  <c r="R800" i="30"/>
  <c r="O800" i="30"/>
  <c r="AJ879" i="30"/>
  <c r="AG879" i="30"/>
  <c r="AD879" i="30"/>
  <c r="AA879" i="30"/>
  <c r="X879" i="30"/>
  <c r="R879" i="30"/>
  <c r="O879" i="30"/>
  <c r="AJ1163" i="30"/>
  <c r="AG1163" i="30"/>
  <c r="AD1163" i="30"/>
  <c r="AA1163" i="30"/>
  <c r="X1163" i="30"/>
  <c r="R1163" i="30"/>
  <c r="O1163" i="30"/>
  <c r="AJ1233" i="30"/>
  <c r="AG1233" i="30"/>
  <c r="AA1233" i="30"/>
  <c r="AD1233" i="30"/>
  <c r="X1233" i="30"/>
  <c r="R1233" i="30"/>
  <c r="O1233" i="30"/>
  <c r="AJ1350" i="30"/>
  <c r="AG1350" i="30"/>
  <c r="AD1350" i="30"/>
  <c r="AA1350" i="30"/>
  <c r="X1350" i="30"/>
  <c r="R1350" i="30"/>
  <c r="O1350" i="30"/>
  <c r="AJ1421" i="30"/>
  <c r="AG1421" i="30"/>
  <c r="AD1421" i="30"/>
  <c r="AA1421" i="30"/>
  <c r="X1421" i="30"/>
  <c r="R1421" i="30"/>
  <c r="O1421" i="30"/>
  <c r="AJ1519" i="30"/>
  <c r="AG1519" i="30"/>
  <c r="AD1519" i="30"/>
  <c r="AA1519" i="30"/>
  <c r="X1519" i="30"/>
  <c r="R1519" i="30"/>
  <c r="O1519" i="30"/>
  <c r="AL1656" i="30"/>
  <c r="AL1832" i="30"/>
  <c r="AJ1863" i="30"/>
  <c r="AG1863" i="30"/>
  <c r="AD1863" i="30"/>
  <c r="AA1863" i="30"/>
  <c r="X1863" i="30"/>
  <c r="R1863" i="30"/>
  <c r="O1863" i="30"/>
  <c r="AJ1915" i="30"/>
  <c r="AG1915" i="30"/>
  <c r="AD1915" i="30"/>
  <c r="AA1915" i="30"/>
  <c r="R1915" i="30"/>
  <c r="X1915" i="30"/>
  <c r="O1915" i="30"/>
  <c r="AG1974" i="30"/>
  <c r="AJ1974" i="30"/>
  <c r="AD1974" i="30"/>
  <c r="AA1974" i="30"/>
  <c r="X1974" i="30"/>
  <c r="R1974" i="30"/>
  <c r="O1974" i="30"/>
  <c r="AJ2032" i="30"/>
  <c r="AG2032" i="30"/>
  <c r="AD2032" i="30"/>
  <c r="AA2032" i="30"/>
  <c r="X2032" i="30"/>
  <c r="R2032" i="30"/>
  <c r="O2032" i="30"/>
  <c r="AJ2050" i="30"/>
  <c r="AG2050" i="30"/>
  <c r="AD2050" i="30"/>
  <c r="AA2050" i="30"/>
  <c r="X2050" i="30"/>
  <c r="R2050" i="30"/>
  <c r="O2050" i="30"/>
  <c r="AJ2156" i="30"/>
  <c r="AG2156" i="30"/>
  <c r="AD2156" i="30"/>
  <c r="AA2156" i="30"/>
  <c r="X2156" i="30"/>
  <c r="R2156" i="30"/>
  <c r="O2156" i="30"/>
  <c r="AJ2221" i="30"/>
  <c r="AG2221" i="30"/>
  <c r="AD2221" i="30"/>
  <c r="AA2221" i="30"/>
  <c r="X2221" i="30"/>
  <c r="R2221" i="30"/>
  <c r="O2221" i="30"/>
  <c r="AJ2263" i="30"/>
  <c r="AG2263" i="30"/>
  <c r="AD2263" i="30"/>
  <c r="AA2263" i="30"/>
  <c r="X2263" i="30"/>
  <c r="R2263" i="30"/>
  <c r="O2263" i="30"/>
  <c r="AJ2293" i="30"/>
  <c r="AG2293" i="30"/>
  <c r="AD2293" i="30"/>
  <c r="AA2293" i="30"/>
  <c r="X2293" i="30"/>
  <c r="R2293" i="30"/>
  <c r="O2293" i="30"/>
  <c r="AJ2354" i="30"/>
  <c r="AG2354" i="30"/>
  <c r="AD2354" i="30"/>
  <c r="AA2354" i="30"/>
  <c r="X2354" i="30"/>
  <c r="R2354" i="30"/>
  <c r="O2354" i="30"/>
  <c r="AJ2422" i="30"/>
  <c r="AG2422" i="30"/>
  <c r="AD2422" i="30"/>
  <c r="AA2422" i="30"/>
  <c r="X2422" i="30"/>
  <c r="R2422" i="30"/>
  <c r="O2422" i="30"/>
  <c r="AJ2447" i="30"/>
  <c r="AG2447" i="30"/>
  <c r="AD2447" i="30"/>
  <c r="AA2447" i="30"/>
  <c r="X2447" i="30"/>
  <c r="R2447" i="30"/>
  <c r="O2447" i="30"/>
  <c r="AG2526" i="30"/>
  <c r="AJ2526" i="30"/>
  <c r="AD2526" i="30"/>
  <c r="AA2526" i="30"/>
  <c r="X2526" i="30"/>
  <c r="R2526" i="30"/>
  <c r="O2526" i="30"/>
  <c r="AJ2735" i="30"/>
  <c r="AG2735" i="30"/>
  <c r="AD2735" i="30"/>
  <c r="AA2735" i="30"/>
  <c r="X2735" i="30"/>
  <c r="R2735" i="30"/>
  <c r="O2735" i="30"/>
  <c r="AJ2782" i="30"/>
  <c r="AG2782" i="30"/>
  <c r="AD2782" i="30"/>
  <c r="AA2782" i="30"/>
  <c r="X2782" i="30"/>
  <c r="R2782" i="30"/>
  <c r="O2782" i="30"/>
  <c r="AJ2795" i="30"/>
  <c r="AG2795" i="30"/>
  <c r="AD2795" i="30"/>
  <c r="AA2795" i="30"/>
  <c r="X2795" i="30"/>
  <c r="R2795" i="30"/>
  <c r="O2795" i="30"/>
  <c r="AJ2821" i="30"/>
  <c r="AG2821" i="30"/>
  <c r="AD2821" i="30"/>
  <c r="AA2821" i="30"/>
  <c r="X2821" i="30"/>
  <c r="R2821" i="30"/>
  <c r="O2821" i="30"/>
  <c r="AJ2854" i="30"/>
  <c r="AG2854" i="30"/>
  <c r="AD2854" i="30"/>
  <c r="AA2854" i="30"/>
  <c r="X2854" i="30"/>
  <c r="R2854" i="30"/>
  <c r="O2854" i="30"/>
  <c r="AJ801" i="30"/>
  <c r="AG801" i="30"/>
  <c r="AD801" i="30"/>
  <c r="AA801" i="30"/>
  <c r="X801" i="30"/>
  <c r="R801" i="30"/>
  <c r="O801" i="30"/>
  <c r="AJ880" i="30"/>
  <c r="AG880" i="30"/>
  <c r="AD880" i="30"/>
  <c r="AA880" i="30"/>
  <c r="X880" i="30"/>
  <c r="R880" i="30"/>
  <c r="O880" i="30"/>
  <c r="AJ1058" i="30"/>
  <c r="AG1058" i="30"/>
  <c r="AD1058" i="30"/>
  <c r="AA1058" i="30"/>
  <c r="X1058" i="30"/>
  <c r="R1058" i="30"/>
  <c r="O1058" i="30"/>
  <c r="AJ1146" i="30"/>
  <c r="AG1146" i="30"/>
  <c r="AD1146" i="30"/>
  <c r="AA1146" i="30"/>
  <c r="X1146" i="30"/>
  <c r="R1146" i="30"/>
  <c r="O1146" i="30"/>
  <c r="AL1201" i="30"/>
  <c r="AJ1238" i="30"/>
  <c r="AG1238" i="30"/>
  <c r="AA1238" i="30"/>
  <c r="AD1238" i="30"/>
  <c r="X1238" i="30"/>
  <c r="R1238" i="30"/>
  <c r="O1238" i="30"/>
  <c r="AJ1319" i="30"/>
  <c r="AG1319" i="30"/>
  <c r="AD1319" i="30"/>
  <c r="AA1319" i="30"/>
  <c r="X1319" i="30"/>
  <c r="R1319" i="30"/>
  <c r="O1319" i="30"/>
  <c r="AJ1335" i="30"/>
  <c r="AG1335" i="30"/>
  <c r="AD1335" i="30"/>
  <c r="AA1335" i="30"/>
  <c r="X1335" i="30"/>
  <c r="R1335" i="30"/>
  <c r="O1335" i="30"/>
  <c r="AJ1405" i="30"/>
  <c r="AG1405" i="30"/>
  <c r="AD1405" i="30"/>
  <c r="AA1405" i="30"/>
  <c r="X1405" i="30"/>
  <c r="R1405" i="30"/>
  <c r="O1405" i="30"/>
  <c r="AJ1426" i="30"/>
  <c r="AG1426" i="30"/>
  <c r="AD1426" i="30"/>
  <c r="AA1426" i="30"/>
  <c r="X1426" i="30"/>
  <c r="R1426" i="30"/>
  <c r="O1426" i="30"/>
  <c r="AJ1466" i="30"/>
  <c r="AG1466" i="30"/>
  <c r="AD1466" i="30"/>
  <c r="AA1466" i="30"/>
  <c r="X1466" i="30"/>
  <c r="R1466" i="30"/>
  <c r="O1466" i="30"/>
  <c r="AJ1488" i="30"/>
  <c r="AG1488" i="30"/>
  <c r="AD1488" i="30"/>
  <c r="AA1488" i="30"/>
  <c r="X1488" i="30"/>
  <c r="R1488" i="30"/>
  <c r="O1488" i="30"/>
  <c r="AJ1506" i="30"/>
  <c r="AG1506" i="30"/>
  <c r="AD1506" i="30"/>
  <c r="AA1506" i="30"/>
  <c r="X1506" i="30"/>
  <c r="R1506" i="30"/>
  <c r="O1506" i="30"/>
  <c r="AJ1526" i="30"/>
  <c r="AG1526" i="30"/>
  <c r="AD1526" i="30"/>
  <c r="AA1526" i="30"/>
  <c r="X1526" i="30"/>
  <c r="R1526" i="30"/>
  <c r="O1526" i="30"/>
  <c r="AJ1563" i="30"/>
  <c r="AG1563" i="30"/>
  <c r="AD1563" i="30"/>
  <c r="AA1563" i="30"/>
  <c r="X1563" i="30"/>
  <c r="R1563" i="30"/>
  <c r="O1563" i="30"/>
  <c r="AJ1593" i="30"/>
  <c r="AG1593" i="30"/>
  <c r="AD1593" i="30"/>
  <c r="AA1593" i="30"/>
  <c r="X1593" i="30"/>
  <c r="R1593" i="30"/>
  <c r="O1593" i="30"/>
  <c r="AJ1601" i="30"/>
  <c r="AG1601" i="30"/>
  <c r="AD1601" i="30"/>
  <c r="AA1601" i="30"/>
  <c r="X1601" i="30"/>
  <c r="R1601" i="30"/>
  <c r="O1601" i="30"/>
  <c r="AJ1612" i="30"/>
  <c r="AG1612" i="30"/>
  <c r="AD1612" i="30"/>
  <c r="AA1612" i="30"/>
  <c r="X1612" i="30"/>
  <c r="R1612" i="30"/>
  <c r="O1612" i="30"/>
  <c r="AJ1648" i="30"/>
  <c r="AG1648" i="30"/>
  <c r="AD1648" i="30"/>
  <c r="AA1648" i="30"/>
  <c r="X1648" i="30"/>
  <c r="R1648" i="30"/>
  <c r="O1648" i="30"/>
  <c r="AJ1688" i="30"/>
  <c r="AG1688" i="30"/>
  <c r="AD1688" i="30"/>
  <c r="AA1688" i="30"/>
  <c r="X1688" i="30"/>
  <c r="R1688" i="30"/>
  <c r="O1688" i="30"/>
  <c r="AG1710" i="30"/>
  <c r="AJ1710" i="30"/>
  <c r="AD1710" i="30"/>
  <c r="AA1710" i="30"/>
  <c r="X1710" i="30"/>
  <c r="R1710" i="30"/>
  <c r="O1710" i="30"/>
  <c r="AL1720" i="30"/>
  <c r="AJ1729" i="30"/>
  <c r="AG1729" i="30"/>
  <c r="AD1729" i="30"/>
  <c r="AA1729" i="30"/>
  <c r="X1729" i="30"/>
  <c r="R1729" i="30"/>
  <c r="O1729" i="30"/>
  <c r="AL1761" i="30"/>
  <c r="AJ1774" i="30"/>
  <c r="AG1774" i="30"/>
  <c r="AD1774" i="30"/>
  <c r="X1774" i="30"/>
  <c r="AA1774" i="30"/>
  <c r="R1774" i="30"/>
  <c r="O1774" i="30"/>
  <c r="AJ1790" i="30"/>
  <c r="AG1790" i="30"/>
  <c r="AD1790" i="30"/>
  <c r="X1790" i="30"/>
  <c r="AA1790" i="30"/>
  <c r="R1790" i="30"/>
  <c r="O1790" i="30"/>
  <c r="AJ1799" i="30"/>
  <c r="AG1799" i="30"/>
  <c r="AD1799" i="30"/>
  <c r="AA1799" i="30"/>
  <c r="X1799" i="30"/>
  <c r="R1799" i="30"/>
  <c r="O1799" i="30"/>
  <c r="AJ1813" i="30"/>
  <c r="AG1813" i="30"/>
  <c r="AD1813" i="30"/>
  <c r="AA1813" i="30"/>
  <c r="X1813" i="30"/>
  <c r="R1813" i="30"/>
  <c r="O1813" i="30"/>
  <c r="AJ1833" i="30"/>
  <c r="AG1833" i="30"/>
  <c r="AD1833" i="30"/>
  <c r="AA1833" i="30"/>
  <c r="X1833" i="30"/>
  <c r="R1833" i="30"/>
  <c r="O1833" i="30"/>
  <c r="AJ1856" i="30"/>
  <c r="AG1856" i="30"/>
  <c r="AD1856" i="30"/>
  <c r="AA1856" i="30"/>
  <c r="X1856" i="30"/>
  <c r="R1856" i="30"/>
  <c r="O1856" i="30"/>
  <c r="AJ1878" i="30"/>
  <c r="AG1878" i="30"/>
  <c r="AD1878" i="30"/>
  <c r="X1878" i="30"/>
  <c r="AA1878" i="30"/>
  <c r="R1878" i="30"/>
  <c r="O1878" i="30"/>
  <c r="AJ1885" i="30"/>
  <c r="AG1885" i="30"/>
  <c r="AD1885" i="30"/>
  <c r="AA1885" i="30"/>
  <c r="X1885" i="30"/>
  <c r="R1885" i="30"/>
  <c r="O1885" i="30"/>
  <c r="AJ1906" i="30"/>
  <c r="AG1906" i="30"/>
  <c r="AD1906" i="30"/>
  <c r="AA1906" i="30"/>
  <c r="X1906" i="30"/>
  <c r="R1906" i="30"/>
  <c r="O1906" i="30"/>
  <c r="AL1911" i="30"/>
  <c r="AJ1924" i="30"/>
  <c r="AG1924" i="30"/>
  <c r="AD1924" i="30"/>
  <c r="AA1924" i="30"/>
  <c r="X1924" i="30"/>
  <c r="R1924" i="30"/>
  <c r="O1924" i="30"/>
  <c r="AJ1979" i="30"/>
  <c r="AG1979" i="30"/>
  <c r="AD1979" i="30"/>
  <c r="AA1979" i="30"/>
  <c r="X1979" i="30"/>
  <c r="R1979" i="30"/>
  <c r="O1979" i="30"/>
  <c r="AJ2001" i="30"/>
  <c r="AG2001" i="30"/>
  <c r="AD2001" i="30"/>
  <c r="AA2001" i="30"/>
  <c r="X2001" i="30"/>
  <c r="R2001" i="30"/>
  <c r="O2001" i="30"/>
  <c r="AJ2007" i="30"/>
  <c r="AG2007" i="30"/>
  <c r="AD2007" i="30"/>
  <c r="AA2007" i="30"/>
  <c r="X2007" i="30"/>
  <c r="R2007" i="30"/>
  <c r="O2007" i="30"/>
  <c r="AG2038" i="30"/>
  <c r="AJ2038" i="30"/>
  <c r="AD2038" i="30"/>
  <c r="AA2038" i="30"/>
  <c r="X2038" i="30"/>
  <c r="R2038" i="30"/>
  <c r="O2038" i="30"/>
  <c r="AJ2070" i="30"/>
  <c r="AG2070" i="30"/>
  <c r="AD2070" i="30"/>
  <c r="AA2070" i="30"/>
  <c r="X2070" i="30"/>
  <c r="R2070" i="30"/>
  <c r="O2070" i="30"/>
  <c r="AJ2082" i="30"/>
  <c r="AG2082" i="30"/>
  <c r="AD2082" i="30"/>
  <c r="AA2082" i="30"/>
  <c r="X2082" i="30"/>
  <c r="R2082" i="30"/>
  <c r="O2082" i="30"/>
  <c r="AG2102" i="30"/>
  <c r="AJ2102" i="30"/>
  <c r="AD2102" i="30"/>
  <c r="AA2102" i="30"/>
  <c r="X2102" i="30"/>
  <c r="R2102" i="30"/>
  <c r="O2102" i="30"/>
  <c r="AJ2111" i="30"/>
  <c r="AG2111" i="30"/>
  <c r="AD2111" i="30"/>
  <c r="AA2111" i="30"/>
  <c r="X2111" i="30"/>
  <c r="R2111" i="30"/>
  <c r="O2111" i="30"/>
  <c r="AJ2120" i="30"/>
  <c r="AG2120" i="30"/>
  <c r="AD2120" i="30"/>
  <c r="AA2120" i="30"/>
  <c r="X2120" i="30"/>
  <c r="R2120" i="30"/>
  <c r="O2120" i="30"/>
  <c r="AJ2133" i="30"/>
  <c r="AG2133" i="30"/>
  <c r="AD2133" i="30"/>
  <c r="AA2133" i="30"/>
  <c r="X2133" i="30"/>
  <c r="R2133" i="30"/>
  <c r="O2133" i="30"/>
  <c r="AJ2142" i="30"/>
  <c r="AG2142" i="30"/>
  <c r="AD2142" i="30"/>
  <c r="AA2142" i="30"/>
  <c r="X2142" i="30"/>
  <c r="R2142" i="30"/>
  <c r="O2142" i="30"/>
  <c r="AJ2159" i="30"/>
  <c r="AG2159" i="30"/>
  <c r="AD2159" i="30"/>
  <c r="AA2159" i="30"/>
  <c r="X2159" i="30"/>
  <c r="R2159" i="30"/>
  <c r="O2159" i="30"/>
  <c r="AJ2184" i="30"/>
  <c r="AG2184" i="30"/>
  <c r="AD2184" i="30"/>
  <c r="X2184" i="30"/>
  <c r="AA2184" i="30"/>
  <c r="R2184" i="30"/>
  <c r="O2184" i="30"/>
  <c r="AJ2224" i="30"/>
  <c r="AG2224" i="30"/>
  <c r="AD2224" i="30"/>
  <c r="X2224" i="30"/>
  <c r="AA2224" i="30"/>
  <c r="R2224" i="30"/>
  <c r="O2224" i="30"/>
  <c r="AD1290" i="30"/>
  <c r="AJ1290" i="30"/>
  <c r="AG1290" i="30"/>
  <c r="AA1290" i="30"/>
  <c r="X1290" i="30"/>
  <c r="R1290" i="30"/>
  <c r="O1290" i="30"/>
  <c r="AJ2251" i="30"/>
  <c r="AG2251" i="30"/>
  <c r="AD2251" i="30"/>
  <c r="AA2251" i="30"/>
  <c r="X2251" i="30"/>
  <c r="R2251" i="30"/>
  <c r="O2251" i="30"/>
  <c r="AJ2268" i="30"/>
  <c r="AG2268" i="30"/>
  <c r="AD2268" i="30"/>
  <c r="AA2268" i="30"/>
  <c r="X2268" i="30"/>
  <c r="R2268" i="30"/>
  <c r="O2268" i="30"/>
  <c r="AJ2282" i="30"/>
  <c r="AG2282" i="30"/>
  <c r="AD2282" i="30"/>
  <c r="AA2282" i="30"/>
  <c r="X2282" i="30"/>
  <c r="R2282" i="30"/>
  <c r="O2282" i="30"/>
  <c r="AG2294" i="30"/>
  <c r="AJ2294" i="30"/>
  <c r="AD2294" i="30"/>
  <c r="AA2294" i="30"/>
  <c r="X2294" i="30"/>
  <c r="R2294" i="30"/>
  <c r="O2294" i="30"/>
  <c r="AJ2305" i="30"/>
  <c r="AG2305" i="30"/>
  <c r="AD2305" i="30"/>
  <c r="AA2305" i="30"/>
  <c r="X2305" i="30"/>
  <c r="R2305" i="30"/>
  <c r="O2305" i="30"/>
  <c r="AJ2321" i="30"/>
  <c r="AG2321" i="30"/>
  <c r="AD2321" i="30"/>
  <c r="AA2321" i="30"/>
  <c r="X2321" i="30"/>
  <c r="R2321" i="30"/>
  <c r="O2321" i="30"/>
  <c r="AJ2357" i="30"/>
  <c r="AG2357" i="30"/>
  <c r="AD2357" i="30"/>
  <c r="AA2357" i="30"/>
  <c r="X2357" i="30"/>
  <c r="R2357" i="30"/>
  <c r="O2357" i="30"/>
  <c r="AJ2367" i="30"/>
  <c r="AG2367" i="30"/>
  <c r="AD2367" i="30"/>
  <c r="AA2367" i="30"/>
  <c r="X2367" i="30"/>
  <c r="R2367" i="30"/>
  <c r="O2367" i="30"/>
  <c r="AJ2431" i="30"/>
  <c r="AG2431" i="30"/>
  <c r="AD2431" i="30"/>
  <c r="AA2431" i="30"/>
  <c r="X2431" i="30"/>
  <c r="R2431" i="30"/>
  <c r="O2431" i="30"/>
  <c r="AJ2466" i="30"/>
  <c r="AG2466" i="30"/>
  <c r="AD2466" i="30"/>
  <c r="AA2466" i="30"/>
  <c r="X2466" i="30"/>
  <c r="R2466" i="30"/>
  <c r="O2466" i="30"/>
  <c r="AJ2489" i="30"/>
  <c r="AG2489" i="30"/>
  <c r="AD2489" i="30"/>
  <c r="AA2489" i="30"/>
  <c r="X2489" i="30"/>
  <c r="R2489" i="30"/>
  <c r="O2489" i="30"/>
  <c r="AJ2497" i="30"/>
  <c r="AG2497" i="30"/>
  <c r="AD2497" i="30"/>
  <c r="AA2497" i="30"/>
  <c r="X2497" i="30"/>
  <c r="R2497" i="30"/>
  <c r="O2497" i="30"/>
  <c r="AG2542" i="30"/>
  <c r="AJ2542" i="30"/>
  <c r="AD2542" i="30"/>
  <c r="AA2542" i="30"/>
  <c r="X2542" i="30"/>
  <c r="R2542" i="30"/>
  <c r="O2542" i="30"/>
  <c r="AJ2749" i="30"/>
  <c r="AG2749" i="30"/>
  <c r="AD2749" i="30"/>
  <c r="AA2749" i="30"/>
  <c r="X2749" i="30"/>
  <c r="R2749" i="30"/>
  <c r="O2749" i="30"/>
  <c r="AJ2760" i="30"/>
  <c r="AG2760" i="30"/>
  <c r="AD2760" i="30"/>
  <c r="X2760" i="30"/>
  <c r="AA2760" i="30"/>
  <c r="R2760" i="30"/>
  <c r="O2760" i="30"/>
  <c r="AJ2813" i="30"/>
  <c r="AG2813" i="30"/>
  <c r="AD2813" i="30"/>
  <c r="AA2813" i="30"/>
  <c r="X2813" i="30"/>
  <c r="R2813" i="30"/>
  <c r="O2813" i="30"/>
  <c r="AJ2040" i="30"/>
  <c r="AG2040" i="30"/>
  <c r="AD2040" i="30"/>
  <c r="AA2040" i="30"/>
  <c r="X2040" i="30"/>
  <c r="R2040" i="30"/>
  <c r="O2040" i="30"/>
  <c r="AJ1871" i="30"/>
  <c r="AG1871" i="30"/>
  <c r="AD1871" i="30"/>
  <c r="AA1871" i="30"/>
  <c r="X1871" i="30"/>
  <c r="R1871" i="30"/>
  <c r="O1871" i="30"/>
  <c r="AJ1963" i="30"/>
  <c r="AG1963" i="30"/>
  <c r="AD1963" i="30"/>
  <c r="AA1963" i="30"/>
  <c r="X1963" i="30"/>
  <c r="R1963" i="30"/>
  <c r="O1963" i="30"/>
  <c r="AJ2287" i="30"/>
  <c r="AG2287" i="30"/>
  <c r="AD2287" i="30"/>
  <c r="AA2287" i="30"/>
  <c r="X2287" i="30"/>
  <c r="R2287" i="30"/>
  <c r="O2287" i="30"/>
  <c r="AJ2432" i="30"/>
  <c r="AG2432" i="30"/>
  <c r="AD2432" i="30"/>
  <c r="X2432" i="30"/>
  <c r="AA2432" i="30"/>
  <c r="R2432" i="30"/>
  <c r="O2432" i="30"/>
  <c r="AJ2516" i="30"/>
  <c r="AG2516" i="30"/>
  <c r="AD2516" i="30"/>
  <c r="AA2516" i="30"/>
  <c r="X2516" i="30"/>
  <c r="R2516" i="30"/>
  <c r="O2516" i="30"/>
  <c r="AJ2771" i="30"/>
  <c r="AG2771" i="30"/>
  <c r="AD2771" i="30"/>
  <c r="AA2771" i="30"/>
  <c r="X2771" i="30"/>
  <c r="R2771" i="30"/>
  <c r="O2771" i="30"/>
  <c r="AJ892" i="30"/>
  <c r="AG892" i="30"/>
  <c r="AD892" i="30"/>
  <c r="AA892" i="30"/>
  <c r="X892" i="30"/>
  <c r="R892" i="30"/>
  <c r="O892" i="30"/>
  <c r="AJ1064" i="30"/>
  <c r="AG1064" i="30"/>
  <c r="AD1064" i="30"/>
  <c r="AA1064" i="30"/>
  <c r="X1064" i="30"/>
  <c r="R1064" i="30"/>
  <c r="O1064" i="30"/>
  <c r="AJ1141" i="30"/>
  <c r="AG1141" i="30"/>
  <c r="AD1141" i="30"/>
  <c r="AA1141" i="30"/>
  <c r="X1141" i="30"/>
  <c r="R1141" i="30"/>
  <c r="O1141" i="30"/>
  <c r="AJ1416" i="30"/>
  <c r="AG1416" i="30"/>
  <c r="AD1416" i="30"/>
  <c r="AA1416" i="30"/>
  <c r="X1416" i="30"/>
  <c r="R1416" i="30"/>
  <c r="O1416" i="30"/>
  <c r="AG1438" i="30"/>
  <c r="AJ1438" i="30"/>
  <c r="AD1438" i="30"/>
  <c r="AA1438" i="30"/>
  <c r="X1438" i="30"/>
  <c r="R1438" i="30"/>
  <c r="O1438" i="30"/>
  <c r="AJ1535" i="30"/>
  <c r="AG1535" i="30"/>
  <c r="AD1535" i="30"/>
  <c r="AA1535" i="30"/>
  <c r="X1535" i="30"/>
  <c r="R1535" i="30"/>
  <c r="O1535" i="30"/>
  <c r="AJ1544" i="30"/>
  <c r="AG1544" i="30"/>
  <c r="AD1544" i="30"/>
  <c r="AA1544" i="30"/>
  <c r="X1544" i="30"/>
  <c r="R1544" i="30"/>
  <c r="O1544" i="30"/>
  <c r="AJ1555" i="30"/>
  <c r="AG1555" i="30"/>
  <c r="AD1555" i="30"/>
  <c r="AA1555" i="30"/>
  <c r="X1555" i="30"/>
  <c r="R1555" i="30"/>
  <c r="O1555" i="30"/>
  <c r="AJ1687" i="30"/>
  <c r="AG1687" i="30"/>
  <c r="AD1687" i="30"/>
  <c r="AA1687" i="30"/>
  <c r="X1687" i="30"/>
  <c r="R1687" i="30"/>
  <c r="O1687" i="30"/>
  <c r="AJ1796" i="30"/>
  <c r="AG1796" i="30"/>
  <c r="AD1796" i="30"/>
  <c r="AA1796" i="30"/>
  <c r="X1796" i="30"/>
  <c r="R1796" i="30"/>
  <c r="O1796" i="30"/>
  <c r="AJ1860" i="30"/>
  <c r="AG1860" i="30"/>
  <c r="AD1860" i="30"/>
  <c r="AA1860" i="30"/>
  <c r="X1860" i="30"/>
  <c r="R1860" i="30"/>
  <c r="O1860" i="30"/>
  <c r="AJ1909" i="30"/>
  <c r="AG1909" i="30"/>
  <c r="AD1909" i="30"/>
  <c r="AA1909" i="30"/>
  <c r="X1909" i="30"/>
  <c r="R1909" i="30"/>
  <c r="O1909" i="30"/>
  <c r="AJ2099" i="30"/>
  <c r="AG2099" i="30"/>
  <c r="AD2099" i="30"/>
  <c r="AA2099" i="30"/>
  <c r="X2099" i="30"/>
  <c r="R2099" i="30"/>
  <c r="O2099" i="30"/>
  <c r="AJ2443" i="30"/>
  <c r="AG2443" i="30"/>
  <c r="AD2443" i="30"/>
  <c r="AA2443" i="30"/>
  <c r="X2443" i="30"/>
  <c r="R2443" i="30"/>
  <c r="O2443" i="30"/>
  <c r="AJ2459" i="30"/>
  <c r="AG2459" i="30"/>
  <c r="AD2459" i="30"/>
  <c r="AA2459" i="30"/>
  <c r="X2459" i="30"/>
  <c r="R2459" i="30"/>
  <c r="O2459" i="30"/>
  <c r="AJ2493" i="30"/>
  <c r="AG2493" i="30"/>
  <c r="AD2493" i="30"/>
  <c r="AA2493" i="30"/>
  <c r="X2493" i="30"/>
  <c r="R2493" i="30"/>
  <c r="O2493" i="30"/>
  <c r="AJ2744" i="30"/>
  <c r="AG2744" i="30"/>
  <c r="AD2744" i="30"/>
  <c r="X2744" i="30"/>
  <c r="AA2744" i="30"/>
  <c r="R2744" i="30"/>
  <c r="O2744" i="30"/>
  <c r="AJ864" i="30"/>
  <c r="AG864" i="30"/>
  <c r="AD864" i="30"/>
  <c r="AA864" i="30"/>
  <c r="X864" i="30"/>
  <c r="R864" i="30"/>
  <c r="O864" i="30"/>
  <c r="AJ1600" i="30"/>
  <c r="AG1600" i="30"/>
  <c r="AD1600" i="30"/>
  <c r="AA1600" i="30"/>
  <c r="X1600" i="30"/>
  <c r="R1600" i="30"/>
  <c r="O1600" i="30"/>
  <c r="AG1766" i="30"/>
  <c r="AJ1766" i="30"/>
  <c r="AD1766" i="30"/>
  <c r="AA1766" i="30"/>
  <c r="X1766" i="30"/>
  <c r="R1766" i="30"/>
  <c r="O1766" i="30"/>
  <c r="AJ833" i="30"/>
  <c r="AG833" i="30"/>
  <c r="AD833" i="30"/>
  <c r="AA833" i="30"/>
  <c r="X833" i="30"/>
  <c r="R833" i="30"/>
  <c r="O833" i="30"/>
  <c r="AJ1384" i="30"/>
  <c r="AG1384" i="30"/>
  <c r="AD1384" i="30"/>
  <c r="AA1384" i="30"/>
  <c r="X1384" i="30"/>
  <c r="R1384" i="30"/>
  <c r="O1384" i="30"/>
  <c r="AJ1456" i="30"/>
  <c r="AG1456" i="30"/>
  <c r="AD1456" i="30"/>
  <c r="AA1456" i="30"/>
  <c r="X1456" i="30"/>
  <c r="R1456" i="30"/>
  <c r="O1456" i="30"/>
  <c r="AJ1536" i="30"/>
  <c r="AG1536" i="30"/>
  <c r="AD1536" i="30"/>
  <c r="AA1536" i="30"/>
  <c r="X1536" i="30"/>
  <c r="R1536" i="30"/>
  <c r="O1536" i="30"/>
  <c r="AJ1635" i="30"/>
  <c r="AG1635" i="30"/>
  <c r="AD1635" i="30"/>
  <c r="AA1635" i="30"/>
  <c r="R1635" i="30"/>
  <c r="X1635" i="30"/>
  <c r="O1635" i="30"/>
  <c r="AL1694" i="30"/>
  <c r="AJ1722" i="30"/>
  <c r="AG1722" i="30"/>
  <c r="AD1722" i="30"/>
  <c r="AA1722" i="30"/>
  <c r="X1722" i="30"/>
  <c r="R1722" i="30"/>
  <c r="O1722" i="30"/>
  <c r="AG1734" i="30"/>
  <c r="AJ1734" i="30"/>
  <c r="AD1734" i="30"/>
  <c r="AA1734" i="30"/>
  <c r="X1734" i="30"/>
  <c r="R1734" i="30"/>
  <c r="O1734" i="30"/>
  <c r="AK1787" i="30"/>
  <c r="AL1787" i="30" s="1"/>
  <c r="AJ1789" i="30"/>
  <c r="AG1789" i="30"/>
  <c r="AD1789" i="30"/>
  <c r="AA1789" i="30"/>
  <c r="X1789" i="30"/>
  <c r="R1789" i="30"/>
  <c r="O1789" i="30"/>
  <c r="AJ1949" i="30"/>
  <c r="AG1949" i="30"/>
  <c r="AD1949" i="30"/>
  <c r="AA1949" i="30"/>
  <c r="X1949" i="30"/>
  <c r="R1949" i="30"/>
  <c r="O1949" i="30"/>
  <c r="AJ2020" i="30"/>
  <c r="AG2020" i="30"/>
  <c r="AD2020" i="30"/>
  <c r="AA2020" i="30"/>
  <c r="X2020" i="30"/>
  <c r="R2020" i="30"/>
  <c r="O2020" i="30"/>
  <c r="AJ2067" i="30"/>
  <c r="AG2067" i="30"/>
  <c r="AD2067" i="30"/>
  <c r="AA2067" i="30"/>
  <c r="X2067" i="30"/>
  <c r="R2067" i="30"/>
  <c r="O2067" i="30"/>
  <c r="AJ2181" i="30"/>
  <c r="AG2181" i="30"/>
  <c r="AD2181" i="30"/>
  <c r="AA2181" i="30"/>
  <c r="X2181" i="30"/>
  <c r="R2181" i="30"/>
  <c r="O2181" i="30"/>
  <c r="AD1286" i="30"/>
  <c r="AJ1286" i="30"/>
  <c r="AG1286" i="30"/>
  <c r="AA1286" i="30"/>
  <c r="X1286" i="30"/>
  <c r="O1286" i="30"/>
  <c r="R1286" i="30"/>
  <c r="AJ2511" i="30"/>
  <c r="AG2511" i="30"/>
  <c r="AD2511" i="30"/>
  <c r="AA2511" i="30"/>
  <c r="X2511" i="30"/>
  <c r="R2511" i="30"/>
  <c r="O2511" i="30"/>
  <c r="AJ2791" i="30"/>
  <c r="AG2791" i="30"/>
  <c r="AD2791" i="30"/>
  <c r="AA2791" i="30"/>
  <c r="X2791" i="30"/>
  <c r="R2791" i="30"/>
  <c r="O2791" i="30"/>
  <c r="AK2791" i="30" s="1"/>
  <c r="AL2791" i="30" s="1"/>
  <c r="AL1110" i="30"/>
  <c r="AJ1132" i="30"/>
  <c r="AG1132" i="30"/>
  <c r="AD1132" i="30"/>
  <c r="X1132" i="30"/>
  <c r="AA1132" i="30"/>
  <c r="R1132" i="30"/>
  <c r="O1132" i="30"/>
  <c r="AJ776" i="30"/>
  <c r="AG776" i="30"/>
  <c r="AD776" i="30"/>
  <c r="AA776" i="30"/>
  <c r="X776" i="30"/>
  <c r="R776" i="30"/>
  <c r="O776" i="30"/>
  <c r="AJ784" i="30"/>
  <c r="AG784" i="30"/>
  <c r="AD784" i="30"/>
  <c r="AA784" i="30"/>
  <c r="X784" i="30"/>
  <c r="R784" i="30"/>
  <c r="O784" i="30"/>
  <c r="AJ793" i="30"/>
  <c r="AG793" i="30"/>
  <c r="AD793" i="30"/>
  <c r="AA793" i="30"/>
  <c r="X793" i="30"/>
  <c r="R793" i="30"/>
  <c r="O793" i="30"/>
  <c r="AJ806" i="30"/>
  <c r="AG806" i="30"/>
  <c r="AD806" i="30"/>
  <c r="AA806" i="30"/>
  <c r="X806" i="30"/>
  <c r="R806" i="30"/>
  <c r="O806" i="30"/>
  <c r="AJ884" i="30"/>
  <c r="AG884" i="30"/>
  <c r="AD884" i="30"/>
  <c r="AA884" i="30"/>
  <c r="X884" i="30"/>
  <c r="R884" i="30"/>
  <c r="O884" i="30"/>
  <c r="AJ1077" i="30"/>
  <c r="AG1077" i="30"/>
  <c r="AD1077" i="30"/>
  <c r="AA1077" i="30"/>
  <c r="X1077" i="30"/>
  <c r="R1077" i="30"/>
  <c r="O1077" i="30"/>
  <c r="AJ1084" i="30"/>
  <c r="AG1084" i="30"/>
  <c r="AD1084" i="30"/>
  <c r="AA1084" i="30"/>
  <c r="X1084" i="30"/>
  <c r="R1084" i="30"/>
  <c r="O1084" i="30"/>
  <c r="AJ1102" i="30"/>
  <c r="AG1102" i="30"/>
  <c r="AD1102" i="30"/>
  <c r="AA1102" i="30"/>
  <c r="X1102" i="30"/>
  <c r="R1102" i="30"/>
  <c r="O1102" i="30"/>
  <c r="AJ1114" i="30"/>
  <c r="AG1114" i="30"/>
  <c r="AD1114" i="30"/>
  <c r="AA1114" i="30"/>
  <c r="X1114" i="30"/>
  <c r="R1114" i="30"/>
  <c r="O1114" i="30"/>
  <c r="AL1122" i="30"/>
  <c r="AJ1150" i="30"/>
  <c r="AG1150" i="30"/>
  <c r="AA1150" i="30"/>
  <c r="AD1150" i="30"/>
  <c r="X1150" i="30"/>
  <c r="R1150" i="30"/>
  <c r="O1150" i="30"/>
  <c r="AJ1157" i="30"/>
  <c r="AG1157" i="30"/>
  <c r="AD1157" i="30"/>
  <c r="AA1157" i="30"/>
  <c r="R1157" i="30"/>
  <c r="X1157" i="30"/>
  <c r="O1157" i="30"/>
  <c r="AJ1167" i="30"/>
  <c r="AG1167" i="30"/>
  <c r="AA1167" i="30"/>
  <c r="AD1167" i="30"/>
  <c r="X1167" i="30"/>
  <c r="R1167" i="30"/>
  <c r="O1167" i="30"/>
  <c r="AJ1190" i="30"/>
  <c r="AG1190" i="30"/>
  <c r="AA1190" i="30"/>
  <c r="AD1190" i="30"/>
  <c r="X1190" i="30"/>
  <c r="R1190" i="30"/>
  <c r="O1190" i="30"/>
  <c r="AK1207" i="30"/>
  <c r="AL1207" i="30" s="1"/>
  <c r="AJ1220" i="30"/>
  <c r="AG1220" i="30"/>
  <c r="AD1220" i="30"/>
  <c r="AA1220" i="30"/>
  <c r="X1220" i="30"/>
  <c r="R1220" i="30"/>
  <c r="O1220" i="30"/>
  <c r="AJ1239" i="30"/>
  <c r="AG1239" i="30"/>
  <c r="AA1239" i="30"/>
  <c r="AD1239" i="30"/>
  <c r="X1239" i="30"/>
  <c r="R1239" i="30"/>
  <c r="O1239" i="30"/>
  <c r="AJ1307" i="30"/>
  <c r="AG1307" i="30"/>
  <c r="AD1307" i="30"/>
  <c r="AA1307" i="30"/>
  <c r="X1307" i="30"/>
  <c r="R1307" i="30"/>
  <c r="O1307" i="30"/>
  <c r="AJ1324" i="30"/>
  <c r="AG1324" i="30"/>
  <c r="AD1324" i="30"/>
  <c r="X1324" i="30"/>
  <c r="AA1324" i="30"/>
  <c r="R1324" i="30"/>
  <c r="O1324" i="30"/>
  <c r="AJ1345" i="30"/>
  <c r="AG1345" i="30"/>
  <c r="AD1345" i="30"/>
  <c r="AA1345" i="30"/>
  <c r="X1345" i="30"/>
  <c r="R1345" i="30"/>
  <c r="O1345" i="30"/>
  <c r="AJ1352" i="30"/>
  <c r="AG1352" i="30"/>
  <c r="AD1352" i="30"/>
  <c r="AA1352" i="30"/>
  <c r="X1352" i="30"/>
  <c r="R1352" i="30"/>
  <c r="O1352" i="30"/>
  <c r="AJ1361" i="30"/>
  <c r="AG1361" i="30"/>
  <c r="AD1361" i="30"/>
  <c r="AA1361" i="30"/>
  <c r="X1361" i="30"/>
  <c r="R1361" i="30"/>
  <c r="O1361" i="30"/>
  <c r="AJ1370" i="30"/>
  <c r="AG1370" i="30"/>
  <c r="AD1370" i="30"/>
  <c r="AA1370" i="30"/>
  <c r="X1370" i="30"/>
  <c r="R1370" i="30"/>
  <c r="O1370" i="30"/>
  <c r="AJ1415" i="30"/>
  <c r="AG1415" i="30"/>
  <c r="AD1415" i="30"/>
  <c r="AA1415" i="30"/>
  <c r="X1415" i="30"/>
  <c r="R1415" i="30"/>
  <c r="O1415" i="30"/>
  <c r="AJ1437" i="30"/>
  <c r="AG1437" i="30"/>
  <c r="AD1437" i="30"/>
  <c r="AA1437" i="30"/>
  <c r="X1437" i="30"/>
  <c r="R1437" i="30"/>
  <c r="O1437" i="30"/>
  <c r="AJ1452" i="30"/>
  <c r="AG1452" i="30"/>
  <c r="AD1452" i="30"/>
  <c r="X1452" i="30"/>
  <c r="AA1452" i="30"/>
  <c r="R1452" i="30"/>
  <c r="O1452" i="30"/>
  <c r="AJ1473" i="30"/>
  <c r="AG1473" i="30"/>
  <c r="AD1473" i="30"/>
  <c r="AA1473" i="30"/>
  <c r="X1473" i="30"/>
  <c r="R1473" i="30"/>
  <c r="O1473" i="30"/>
  <c r="AJ1493" i="30"/>
  <c r="AG1493" i="30"/>
  <c r="AD1493" i="30"/>
  <c r="AA1493" i="30"/>
  <c r="X1493" i="30"/>
  <c r="R1493" i="30"/>
  <c r="O1493" i="30"/>
  <c r="AJ1513" i="30"/>
  <c r="AG1513" i="30"/>
  <c r="AD1513" i="30"/>
  <c r="AA1513" i="30"/>
  <c r="X1513" i="30"/>
  <c r="R1513" i="30"/>
  <c r="O1513" i="30"/>
  <c r="AJ1531" i="30"/>
  <c r="AG1531" i="30"/>
  <c r="AD1531" i="30"/>
  <c r="AA1531" i="30"/>
  <c r="X1531" i="30"/>
  <c r="R1531" i="30"/>
  <c r="O1531" i="30"/>
  <c r="AJ1552" i="30"/>
  <c r="AG1552" i="30"/>
  <c r="AD1552" i="30"/>
  <c r="AA1552" i="30"/>
  <c r="X1552" i="30"/>
  <c r="R1552" i="30"/>
  <c r="O1552" i="30"/>
  <c r="AJ1571" i="30"/>
  <c r="AG1571" i="30"/>
  <c r="AD1571" i="30"/>
  <c r="AA1571" i="30"/>
  <c r="X1571" i="30"/>
  <c r="R1571" i="30"/>
  <c r="O1571" i="30"/>
  <c r="AJ1658" i="30"/>
  <c r="AG1658" i="30"/>
  <c r="AD1658" i="30"/>
  <c r="AA1658" i="30"/>
  <c r="X1658" i="30"/>
  <c r="R1658" i="30"/>
  <c r="O1658" i="30"/>
  <c r="AJ1666" i="30"/>
  <c r="AG1666" i="30"/>
  <c r="AD1666" i="30"/>
  <c r="AA1666" i="30"/>
  <c r="X1666" i="30"/>
  <c r="R1666" i="30"/>
  <c r="O1666" i="30"/>
  <c r="AG1670" i="30"/>
  <c r="AJ1670" i="30"/>
  <c r="AD1670" i="30"/>
  <c r="AA1670" i="30"/>
  <c r="X1670" i="30"/>
  <c r="R1670" i="30"/>
  <c r="O1670" i="30"/>
  <c r="AJ1674" i="30"/>
  <c r="AG1674" i="30"/>
  <c r="AD1674" i="30"/>
  <c r="AA1674" i="30"/>
  <c r="X1674" i="30"/>
  <c r="R1674" i="30"/>
  <c r="O1674" i="30"/>
  <c r="AJ1695" i="30"/>
  <c r="AG1695" i="30"/>
  <c r="AD1695" i="30"/>
  <c r="AA1695" i="30"/>
  <c r="X1695" i="30"/>
  <c r="R1695" i="30"/>
  <c r="O1695" i="30"/>
  <c r="AJ1700" i="30"/>
  <c r="AG1700" i="30"/>
  <c r="AD1700" i="30"/>
  <c r="X1700" i="30"/>
  <c r="AA1700" i="30"/>
  <c r="R1700" i="30"/>
  <c r="O1700" i="30"/>
  <c r="AJ1717" i="30"/>
  <c r="AG1717" i="30"/>
  <c r="AD1717" i="30"/>
  <c r="AA1717" i="30"/>
  <c r="X1717" i="30"/>
  <c r="R1717" i="30"/>
  <c r="O1717" i="30"/>
  <c r="AJ1744" i="30"/>
  <c r="AG1744" i="30"/>
  <c r="AD1744" i="30"/>
  <c r="AA1744" i="30"/>
  <c r="X1744" i="30"/>
  <c r="R1744" i="30"/>
  <c r="O1744" i="30"/>
  <c r="AJ1751" i="30"/>
  <c r="AG1751" i="30"/>
  <c r="AD1751" i="30"/>
  <c r="AA1751" i="30"/>
  <c r="X1751" i="30"/>
  <c r="R1751" i="30"/>
  <c r="O1751" i="30"/>
  <c r="AJ1775" i="30"/>
  <c r="AG1775" i="30"/>
  <c r="AD1775" i="30"/>
  <c r="AA1775" i="30"/>
  <c r="X1775" i="30"/>
  <c r="R1775" i="30"/>
  <c r="O1775" i="30"/>
  <c r="AK1791" i="30"/>
  <c r="AL1791" i="30" s="1"/>
  <c r="AJ1792" i="30"/>
  <c r="AG1792" i="30"/>
  <c r="AD1792" i="30"/>
  <c r="AA1792" i="30"/>
  <c r="X1792" i="30"/>
  <c r="R1792" i="30"/>
  <c r="O1792" i="30"/>
  <c r="AL1800" i="30"/>
  <c r="AJ1820" i="30"/>
  <c r="AG1820" i="30"/>
  <c r="AD1820" i="30"/>
  <c r="X1820" i="30"/>
  <c r="AA1820" i="30"/>
  <c r="R1820" i="30"/>
  <c r="O1820" i="30"/>
  <c r="AJ1859" i="30"/>
  <c r="AG1859" i="30"/>
  <c r="AD1859" i="30"/>
  <c r="AA1859" i="30"/>
  <c r="X1859" i="30"/>
  <c r="R1859" i="30"/>
  <c r="O1859" i="30"/>
  <c r="AJ1879" i="30"/>
  <c r="AG1879" i="30"/>
  <c r="AD1879" i="30"/>
  <c r="AA1879" i="30"/>
  <c r="X1879" i="30"/>
  <c r="R1879" i="30"/>
  <c r="O1879" i="30"/>
  <c r="AL1900" i="30"/>
  <c r="AJ1912" i="30"/>
  <c r="AG1912" i="30"/>
  <c r="AD1912" i="30"/>
  <c r="AA1912" i="30"/>
  <c r="X1912" i="30"/>
  <c r="R1912" i="30"/>
  <c r="O1912" i="30"/>
  <c r="AJ1927" i="30"/>
  <c r="AG1927" i="30"/>
  <c r="AD1927" i="30"/>
  <c r="AA1927" i="30"/>
  <c r="X1927" i="30"/>
  <c r="R1927" i="30"/>
  <c r="O1927" i="30"/>
  <c r="AJ1944" i="30"/>
  <c r="AG1944" i="30"/>
  <c r="AD1944" i="30"/>
  <c r="AA1944" i="30"/>
  <c r="X1944" i="30"/>
  <c r="R1944" i="30"/>
  <c r="O1944" i="30"/>
  <c r="AJ1952" i="30"/>
  <c r="AG1952" i="30"/>
  <c r="AD1952" i="30"/>
  <c r="AA1952" i="30"/>
  <c r="X1952" i="30"/>
  <c r="R1952" i="30"/>
  <c r="O1952" i="30"/>
  <c r="AJ1962" i="30"/>
  <c r="AG1962" i="30"/>
  <c r="AD1962" i="30"/>
  <c r="AA1962" i="30"/>
  <c r="X1962" i="30"/>
  <c r="R1962" i="30"/>
  <c r="O1962" i="30"/>
  <c r="AG1982" i="30"/>
  <c r="AJ1982" i="30"/>
  <c r="AD1982" i="30"/>
  <c r="AA1982" i="30"/>
  <c r="X1982" i="30"/>
  <c r="R1982" i="30"/>
  <c r="O1982" i="30"/>
  <c r="AJ2012" i="30"/>
  <c r="AG2012" i="30"/>
  <c r="AD2012" i="30"/>
  <c r="AA2012" i="30"/>
  <c r="X2012" i="30"/>
  <c r="R2012" i="30"/>
  <c r="O2012" i="30"/>
  <c r="AJ2043" i="30"/>
  <c r="AG2043" i="30"/>
  <c r="AD2043" i="30"/>
  <c r="AA2043" i="30"/>
  <c r="X2043" i="30"/>
  <c r="R2043" i="30"/>
  <c r="O2043" i="30"/>
  <c r="AJ2051" i="30"/>
  <c r="AG2051" i="30"/>
  <c r="AD2051" i="30"/>
  <c r="AA2051" i="30"/>
  <c r="X2051" i="30"/>
  <c r="R2051" i="30"/>
  <c r="O2051" i="30"/>
  <c r="AJ2060" i="30"/>
  <c r="AG2060" i="30"/>
  <c r="AD2060" i="30"/>
  <c r="AA2060" i="30"/>
  <c r="X2060" i="30"/>
  <c r="R2060" i="30"/>
  <c r="O2060" i="30"/>
  <c r="AJ2094" i="30"/>
  <c r="AG2094" i="30"/>
  <c r="AD2094" i="30"/>
  <c r="AA2094" i="30"/>
  <c r="X2094" i="30"/>
  <c r="R2094" i="30"/>
  <c r="O2094" i="30"/>
  <c r="AK2195" i="30"/>
  <c r="AL2195" i="30" s="1"/>
  <c r="AJ2201" i="30"/>
  <c r="AG2201" i="30"/>
  <c r="AD2201" i="30"/>
  <c r="AA2201" i="30"/>
  <c r="X2201" i="30"/>
  <c r="R2201" i="30"/>
  <c r="O2201" i="30"/>
  <c r="AG2214" i="30"/>
  <c r="AJ2214" i="30"/>
  <c r="AD2214" i="30"/>
  <c r="AA2214" i="30"/>
  <c r="X2214" i="30"/>
  <c r="R2214" i="30"/>
  <c r="O2214" i="30"/>
  <c r="AJ2257" i="30"/>
  <c r="AG2257" i="30"/>
  <c r="AD2257" i="30"/>
  <c r="AA2257" i="30"/>
  <c r="X2257" i="30"/>
  <c r="R2257" i="30"/>
  <c r="O2257" i="30"/>
  <c r="AJ2277" i="30"/>
  <c r="AG2277" i="30"/>
  <c r="AD2277" i="30"/>
  <c r="AA2277" i="30"/>
  <c r="X2277" i="30"/>
  <c r="R2277" i="30"/>
  <c r="O2277" i="30"/>
  <c r="AJ2285" i="30"/>
  <c r="AG2285" i="30"/>
  <c r="AD2285" i="30"/>
  <c r="AA2285" i="30"/>
  <c r="X2285" i="30"/>
  <c r="R2285" i="30"/>
  <c r="O2285" i="30"/>
  <c r="AJ2297" i="30"/>
  <c r="AG2297" i="30"/>
  <c r="AD2297" i="30"/>
  <c r="AA2297" i="30"/>
  <c r="X2297" i="30"/>
  <c r="R2297" i="30"/>
  <c r="O2297" i="30"/>
  <c r="AJ2328" i="30"/>
  <c r="AG2328" i="30"/>
  <c r="AD2328" i="30"/>
  <c r="X2328" i="30"/>
  <c r="AA2328" i="30"/>
  <c r="R2328" i="30"/>
  <c r="O2328" i="30"/>
  <c r="AJ2346" i="30"/>
  <c r="AG2346" i="30"/>
  <c r="AD2346" i="30"/>
  <c r="AA2346" i="30"/>
  <c r="X2346" i="30"/>
  <c r="R2346" i="30"/>
  <c r="O2346" i="30"/>
  <c r="AK2346" i="30" s="1"/>
  <c r="AL2346" i="30" s="1"/>
  <c r="AJ2368" i="30"/>
  <c r="AG2368" i="30"/>
  <c r="AD2368" i="30"/>
  <c r="X2368" i="30"/>
  <c r="AA2368" i="30"/>
  <c r="R2368" i="30"/>
  <c r="O2368" i="30"/>
  <c r="AJ2383" i="30"/>
  <c r="AG2383" i="30"/>
  <c r="AD2383" i="30"/>
  <c r="AA2383" i="30"/>
  <c r="X2383" i="30"/>
  <c r="R2383" i="30"/>
  <c r="O2383" i="30"/>
  <c r="AJ2418" i="30"/>
  <c r="AG2418" i="30"/>
  <c r="AD2418" i="30"/>
  <c r="AA2418" i="30"/>
  <c r="X2418" i="30"/>
  <c r="R2418" i="30"/>
  <c r="O2418" i="30"/>
  <c r="AJ2436" i="30"/>
  <c r="AG2436" i="30"/>
  <c r="AD2436" i="30"/>
  <c r="AA2436" i="30"/>
  <c r="X2436" i="30"/>
  <c r="R2436" i="30"/>
  <c r="O2436" i="30"/>
  <c r="AJ2452" i="30"/>
  <c r="AG2452" i="30"/>
  <c r="AD2452" i="30"/>
  <c r="AA2452" i="30"/>
  <c r="X2452" i="30"/>
  <c r="R2452" i="30"/>
  <c r="O2452" i="30"/>
  <c r="AJ2475" i="30"/>
  <c r="AG2475" i="30"/>
  <c r="AD2475" i="30"/>
  <c r="AA2475" i="30"/>
  <c r="X2475" i="30"/>
  <c r="R2475" i="30"/>
  <c r="O2475" i="30"/>
  <c r="AJ2515" i="30"/>
  <c r="AG2515" i="30"/>
  <c r="AD2515" i="30"/>
  <c r="AA2515" i="30"/>
  <c r="R2515" i="30"/>
  <c r="X2515" i="30"/>
  <c r="O2515" i="30"/>
  <c r="AJ2522" i="30"/>
  <c r="AG2522" i="30"/>
  <c r="AD2522" i="30"/>
  <c r="AA2522" i="30"/>
  <c r="X2522" i="30"/>
  <c r="R2522" i="30"/>
  <c r="O2522" i="30"/>
  <c r="AK2522" i="30" s="1"/>
  <c r="AL2522" i="30" s="1"/>
  <c r="AJ2533" i="30"/>
  <c r="AG2533" i="30"/>
  <c r="AD2533" i="30"/>
  <c r="AA2533" i="30"/>
  <c r="X2533" i="30"/>
  <c r="R2533" i="30"/>
  <c r="O2533" i="30"/>
  <c r="AG2710" i="30"/>
  <c r="AJ2710" i="30"/>
  <c r="AD2710" i="30"/>
  <c r="AA2710" i="30"/>
  <c r="X2710" i="30"/>
  <c r="R2710" i="30"/>
  <c r="O2710" i="30"/>
  <c r="AJ2725" i="30"/>
  <c r="AG2725" i="30"/>
  <c r="AD2725" i="30"/>
  <c r="AA2725" i="30"/>
  <c r="X2725" i="30"/>
  <c r="R2725" i="30"/>
  <c r="O2725" i="30"/>
  <c r="AJ2838" i="30"/>
  <c r="AG2838" i="30"/>
  <c r="AD2838" i="30"/>
  <c r="AA2838" i="30"/>
  <c r="X2838" i="30"/>
  <c r="R2838" i="30"/>
  <c r="O2838" i="30"/>
  <c r="AJ2849" i="30"/>
  <c r="AG2849" i="30"/>
  <c r="AD2849" i="30"/>
  <c r="AA2849" i="30"/>
  <c r="X2849" i="30"/>
  <c r="R2849" i="30"/>
  <c r="O2849" i="30"/>
  <c r="AJ1805" i="30"/>
  <c r="AG1805" i="30"/>
  <c r="AD1805" i="30"/>
  <c r="AA1805" i="30"/>
  <c r="X1805" i="30"/>
  <c r="R1805" i="30"/>
  <c r="O1805" i="30"/>
  <c r="AJ825" i="30"/>
  <c r="AG825" i="30"/>
  <c r="AD825" i="30"/>
  <c r="AA825" i="30"/>
  <c r="X825" i="30"/>
  <c r="R825" i="30"/>
  <c r="O825" i="30"/>
  <c r="AJ891" i="30"/>
  <c r="AD891" i="30"/>
  <c r="AG891" i="30"/>
  <c r="AA891" i="30"/>
  <c r="X891" i="30"/>
  <c r="R891" i="30"/>
  <c r="O891" i="30"/>
  <c r="AK891" i="30" s="1"/>
  <c r="AL891" i="30" s="1"/>
  <c r="AJ1138" i="30"/>
  <c r="AG1138" i="30"/>
  <c r="AD1138" i="30"/>
  <c r="AA1138" i="30"/>
  <c r="X1138" i="30"/>
  <c r="R1138" i="30"/>
  <c r="O1138" i="30"/>
  <c r="AJ1363" i="30"/>
  <c r="AG1363" i="30"/>
  <c r="AD1363" i="30"/>
  <c r="AA1363" i="30"/>
  <c r="X1363" i="30"/>
  <c r="R1363" i="30"/>
  <c r="O1363" i="30"/>
  <c r="AJ1390" i="30"/>
  <c r="AG1390" i="30"/>
  <c r="AD1390" i="30"/>
  <c r="AA1390" i="30"/>
  <c r="X1390" i="30"/>
  <c r="R1390" i="30"/>
  <c r="O1390" i="30"/>
  <c r="AJ1429" i="30"/>
  <c r="AG1429" i="30"/>
  <c r="AD1429" i="30"/>
  <c r="AA1429" i="30"/>
  <c r="X1429" i="30"/>
  <c r="R1429" i="30"/>
  <c r="O1429" i="30"/>
  <c r="AJ1509" i="30"/>
  <c r="AG1509" i="30"/>
  <c r="AD1509" i="30"/>
  <c r="AA1509" i="30"/>
  <c r="X1509" i="30"/>
  <c r="R1509" i="30"/>
  <c r="O1509" i="30"/>
  <c r="AJ1542" i="30"/>
  <c r="AG1542" i="30"/>
  <c r="AD1542" i="30"/>
  <c r="AA1542" i="30"/>
  <c r="X1542" i="30"/>
  <c r="R1542" i="30"/>
  <c r="O1542" i="30"/>
  <c r="AJ1626" i="30"/>
  <c r="AG1626" i="30"/>
  <c r="AD1626" i="30"/>
  <c r="AA1626" i="30"/>
  <c r="X1626" i="30"/>
  <c r="R1626" i="30"/>
  <c r="O1626" i="30"/>
  <c r="AJ2197" i="30"/>
  <c r="AG2197" i="30"/>
  <c r="AD2197" i="30"/>
  <c r="AA2197" i="30"/>
  <c r="X2197" i="30"/>
  <c r="R2197" i="30"/>
  <c r="O2197" i="30"/>
  <c r="AK2197" i="30" s="1"/>
  <c r="AL2197" i="30" s="1"/>
  <c r="AJ2253" i="30"/>
  <c r="AG2253" i="30"/>
  <c r="AD2253" i="30"/>
  <c r="AA2253" i="30"/>
  <c r="X2253" i="30"/>
  <c r="R2253" i="30"/>
  <c r="O2253" i="30"/>
  <c r="AJ2535" i="30"/>
  <c r="AG2535" i="30"/>
  <c r="AD2535" i="30"/>
  <c r="AA2535" i="30"/>
  <c r="X2535" i="30"/>
  <c r="R2535" i="30"/>
  <c r="O2535" i="30"/>
  <c r="AG2796" i="30"/>
  <c r="AJ2796" i="30"/>
  <c r="AD2796" i="30"/>
  <c r="AA2796" i="30"/>
  <c r="X2796" i="30"/>
  <c r="R2796" i="30"/>
  <c r="O2796" i="30"/>
  <c r="AG2828" i="30"/>
  <c r="AJ2828" i="30"/>
  <c r="AD2828" i="30"/>
  <c r="AA2828" i="30"/>
  <c r="X2828" i="30"/>
  <c r="R2828" i="30"/>
  <c r="O2828" i="30"/>
  <c r="AJ1208" i="30"/>
  <c r="AG1208" i="30"/>
  <c r="AA1208" i="30"/>
  <c r="AD1208" i="30"/>
  <c r="X1208" i="30"/>
  <c r="R1208" i="30"/>
  <c r="O1208" i="30"/>
  <c r="AJ1311" i="30"/>
  <c r="AG1311" i="30"/>
  <c r="AD1311" i="30"/>
  <c r="AA1311" i="30"/>
  <c r="X1311" i="30"/>
  <c r="R1311" i="30"/>
  <c r="O1311" i="30"/>
  <c r="AJ1476" i="30"/>
  <c r="AG1476" i="30"/>
  <c r="AD1476" i="30"/>
  <c r="X1476" i="30"/>
  <c r="AA1476" i="30"/>
  <c r="R1476" i="30"/>
  <c r="O1476" i="30"/>
  <c r="AJ1823" i="30"/>
  <c r="AG1823" i="30"/>
  <c r="AD1823" i="30"/>
  <c r="AA1823" i="30"/>
  <c r="X1823" i="30"/>
  <c r="R1823" i="30"/>
  <c r="O1823" i="30"/>
  <c r="AK1823" i="30" s="1"/>
  <c r="AL1823" i="30" s="1"/>
  <c r="AJ1882" i="30"/>
  <c r="AG1882" i="30"/>
  <c r="AD1882" i="30"/>
  <c r="AA1882" i="30"/>
  <c r="X1882" i="30"/>
  <c r="R1882" i="30"/>
  <c r="O1882" i="30"/>
  <c r="AJ1967" i="30"/>
  <c r="AG1967" i="30"/>
  <c r="AD1967" i="30"/>
  <c r="AA1967" i="30"/>
  <c r="X1967" i="30"/>
  <c r="R1967" i="30"/>
  <c r="O1967" i="30"/>
  <c r="AJ2074" i="30"/>
  <c r="AG2074" i="30"/>
  <c r="AD2074" i="30"/>
  <c r="AA2074" i="30"/>
  <c r="X2074" i="30"/>
  <c r="R2074" i="30"/>
  <c r="O2074" i="30"/>
  <c r="AJ2174" i="30"/>
  <c r="AG2174" i="30"/>
  <c r="AD2174" i="30"/>
  <c r="AA2174" i="30"/>
  <c r="X2174" i="30"/>
  <c r="R2174" i="30"/>
  <c r="O2174" i="30"/>
  <c r="AJ2202" i="30"/>
  <c r="AG2202" i="30"/>
  <c r="AD2202" i="30"/>
  <c r="AA2202" i="30"/>
  <c r="X2202" i="30"/>
  <c r="R2202" i="30"/>
  <c r="O2202" i="30"/>
  <c r="AJ2246" i="30"/>
  <c r="AG2246" i="30"/>
  <c r="AD2246" i="30"/>
  <c r="AA2246" i="30"/>
  <c r="X2246" i="30"/>
  <c r="R2246" i="30"/>
  <c r="O2246" i="30"/>
  <c r="AG2278" i="30"/>
  <c r="AJ2278" i="30"/>
  <c r="AD2278" i="30"/>
  <c r="AA2278" i="30"/>
  <c r="X2278" i="30"/>
  <c r="R2278" i="30"/>
  <c r="O2278" i="30"/>
  <c r="AJ2332" i="30"/>
  <c r="AG2332" i="30"/>
  <c r="AD2332" i="30"/>
  <c r="AA2332" i="30"/>
  <c r="X2332" i="30"/>
  <c r="R2332" i="30"/>
  <c r="O2332" i="30"/>
  <c r="AK2332" i="30" s="1"/>
  <c r="AL2332" i="30" s="1"/>
  <c r="AJ2384" i="30"/>
  <c r="AG2384" i="30"/>
  <c r="AD2384" i="30"/>
  <c r="X2384" i="30"/>
  <c r="AA2384" i="30"/>
  <c r="R2384" i="30"/>
  <c r="O2384" i="30"/>
  <c r="AJ2507" i="30"/>
  <c r="AG2507" i="30"/>
  <c r="AD2507" i="30"/>
  <c r="AA2507" i="30"/>
  <c r="R2507" i="30"/>
  <c r="X2507" i="30"/>
  <c r="O2507" i="30"/>
  <c r="AJ2755" i="30"/>
  <c r="AG2755" i="30"/>
  <c r="AD2755" i="30"/>
  <c r="AA2755" i="30"/>
  <c r="X2755" i="30"/>
  <c r="R2755" i="30"/>
  <c r="O2755" i="30"/>
  <c r="AJ855" i="30"/>
  <c r="AG855" i="30"/>
  <c r="AD855" i="30"/>
  <c r="AA855" i="30"/>
  <c r="X855" i="30"/>
  <c r="R855" i="30"/>
  <c r="O855" i="30"/>
  <c r="AJ859" i="30"/>
  <c r="AD859" i="30"/>
  <c r="AG859" i="30"/>
  <c r="AA859" i="30"/>
  <c r="X859" i="30"/>
  <c r="R859" i="30"/>
  <c r="O859" i="30"/>
  <c r="AJ865" i="30"/>
  <c r="AG865" i="30"/>
  <c r="AD865" i="30"/>
  <c r="AA865" i="30"/>
  <c r="X865" i="30"/>
  <c r="R865" i="30"/>
  <c r="O865" i="30"/>
  <c r="AJ869" i="30"/>
  <c r="AG869" i="30"/>
  <c r="AD869" i="30"/>
  <c r="AA869" i="30"/>
  <c r="X869" i="30"/>
  <c r="R869" i="30"/>
  <c r="O869" i="30"/>
  <c r="AJ873" i="30"/>
  <c r="AG873" i="30"/>
  <c r="AD873" i="30"/>
  <c r="AA873" i="30"/>
  <c r="X873" i="30"/>
  <c r="R873" i="30"/>
  <c r="O873" i="30"/>
  <c r="AK873" i="30" s="1"/>
  <c r="AL873" i="30" s="1"/>
  <c r="AJ1054" i="30"/>
  <c r="AG1054" i="30"/>
  <c r="AD1054" i="30"/>
  <c r="AA1054" i="30"/>
  <c r="X1054" i="30"/>
  <c r="R1054" i="30"/>
  <c r="O1054" i="30"/>
  <c r="AJ1396" i="30"/>
  <c r="AG1396" i="30"/>
  <c r="AD1396" i="30"/>
  <c r="AA1396" i="30"/>
  <c r="X1396" i="30"/>
  <c r="R1396" i="30"/>
  <c r="O1396" i="30"/>
  <c r="AJ1409" i="30"/>
  <c r="AG1409" i="30"/>
  <c r="AD1409" i="30"/>
  <c r="AA1409" i="30"/>
  <c r="X1409" i="30"/>
  <c r="R1409" i="30"/>
  <c r="O1409" i="30"/>
  <c r="AJ1430" i="30"/>
  <c r="AG1430" i="30"/>
  <c r="AD1430" i="30"/>
  <c r="AA1430" i="30"/>
  <c r="X1430" i="30"/>
  <c r="R1430" i="30"/>
  <c r="O1430" i="30"/>
  <c r="AJ1472" i="30"/>
  <c r="AG1472" i="30"/>
  <c r="AD1472" i="30"/>
  <c r="AA1472" i="30"/>
  <c r="X1472" i="30"/>
  <c r="R1472" i="30"/>
  <c r="O1472" i="30"/>
  <c r="AJ1512" i="30"/>
  <c r="AG1512" i="30"/>
  <c r="AD1512" i="30"/>
  <c r="AA1512" i="30"/>
  <c r="X1512" i="30"/>
  <c r="R1512" i="30"/>
  <c r="O1512" i="30"/>
  <c r="AJ1530" i="30"/>
  <c r="AG1530" i="30"/>
  <c r="AD1530" i="30"/>
  <c r="AA1530" i="30"/>
  <c r="X1530" i="30"/>
  <c r="R1530" i="30"/>
  <c r="O1530" i="30"/>
  <c r="AJ1696" i="30"/>
  <c r="AG1696" i="30"/>
  <c r="AD1696" i="30"/>
  <c r="AA1696" i="30"/>
  <c r="X1696" i="30"/>
  <c r="R1696" i="30"/>
  <c r="O1696" i="30"/>
  <c r="AK1696" i="30" s="1"/>
  <c r="AL1696" i="30" s="1"/>
  <c r="AJ1714" i="30"/>
  <c r="AG1714" i="30"/>
  <c r="AD1714" i="30"/>
  <c r="AA1714" i="30"/>
  <c r="X1714" i="30"/>
  <c r="R1714" i="30"/>
  <c r="O1714" i="30"/>
  <c r="AJ1786" i="30"/>
  <c r="AG1786" i="30"/>
  <c r="AD1786" i="30"/>
  <c r="AA1786" i="30"/>
  <c r="X1786" i="30"/>
  <c r="R1786" i="30"/>
  <c r="O1786" i="30"/>
  <c r="AJ1838" i="30"/>
  <c r="AG1838" i="30"/>
  <c r="AD1838" i="30"/>
  <c r="AA1838" i="30"/>
  <c r="X1838" i="30"/>
  <c r="R1838" i="30"/>
  <c r="O1838" i="30"/>
  <c r="AJ775" i="30"/>
  <c r="AG775" i="30"/>
  <c r="AD775" i="30"/>
  <c r="AA775" i="30"/>
  <c r="X775" i="30"/>
  <c r="R775" i="30"/>
  <c r="O775" i="30"/>
  <c r="AJ814" i="30"/>
  <c r="AG814" i="30"/>
  <c r="AD814" i="30"/>
  <c r="AA814" i="30"/>
  <c r="X814" i="30"/>
  <c r="R814" i="30"/>
  <c r="O814" i="30"/>
  <c r="AJ841" i="30"/>
  <c r="AG841" i="30"/>
  <c r="AD841" i="30"/>
  <c r="AA841" i="30"/>
  <c r="X841" i="30"/>
  <c r="R841" i="30"/>
  <c r="O841" i="30"/>
  <c r="AJ1119" i="30"/>
  <c r="AG1119" i="30"/>
  <c r="AD1119" i="30"/>
  <c r="AA1119" i="30"/>
  <c r="X1119" i="30"/>
  <c r="R1119" i="30"/>
  <c r="O1119" i="30"/>
  <c r="AJ1154" i="30"/>
  <c r="AG1154" i="30"/>
  <c r="AD1154" i="30"/>
  <c r="AA1154" i="30"/>
  <c r="X1154" i="30"/>
  <c r="R1154" i="30"/>
  <c r="O1154" i="30"/>
  <c r="AK1154" i="30" s="1"/>
  <c r="AL1154" i="30" s="1"/>
  <c r="AJ1312" i="30"/>
  <c r="AG1312" i="30"/>
  <c r="AD1312" i="30"/>
  <c r="AA1312" i="30"/>
  <c r="X1312" i="30"/>
  <c r="R1312" i="30"/>
  <c r="O1312" i="30"/>
  <c r="AJ1328" i="30"/>
  <c r="AG1328" i="30"/>
  <c r="AD1328" i="30"/>
  <c r="AA1328" i="30"/>
  <c r="X1328" i="30"/>
  <c r="R1328" i="30"/>
  <c r="O1328" i="30"/>
  <c r="AJ1367" i="30"/>
  <c r="AG1367" i="30"/>
  <c r="AD1367" i="30"/>
  <c r="AA1367" i="30"/>
  <c r="X1367" i="30"/>
  <c r="R1367" i="30"/>
  <c r="O1367" i="30"/>
  <c r="AJ1400" i="30"/>
  <c r="AG1400" i="30"/>
  <c r="AD1400" i="30"/>
  <c r="AA1400" i="30"/>
  <c r="X1400" i="30"/>
  <c r="R1400" i="30"/>
  <c r="O1400" i="30"/>
  <c r="AJ1477" i="30"/>
  <c r="AG1477" i="30"/>
  <c r="AD1477" i="30"/>
  <c r="AA1477" i="30"/>
  <c r="X1477" i="30"/>
  <c r="R1477" i="30"/>
  <c r="O1477" i="30"/>
  <c r="AJ1556" i="30"/>
  <c r="AG1556" i="30"/>
  <c r="AD1556" i="30"/>
  <c r="X1556" i="30"/>
  <c r="AA1556" i="30"/>
  <c r="R1556" i="30"/>
  <c r="O1556" i="30"/>
  <c r="AJ1577" i="30"/>
  <c r="AG1577" i="30"/>
  <c r="AD1577" i="30"/>
  <c r="AA1577" i="30"/>
  <c r="X1577" i="30"/>
  <c r="R1577" i="30"/>
  <c r="O1577" i="30"/>
  <c r="AJ1627" i="30"/>
  <c r="AG1627" i="30"/>
  <c r="AD1627" i="30"/>
  <c r="AA1627" i="30"/>
  <c r="X1627" i="30"/>
  <c r="R1627" i="30"/>
  <c r="O1627" i="30"/>
  <c r="AK1627" i="30" s="1"/>
  <c r="AL1627" i="30" s="1"/>
  <c r="AJ1642" i="30"/>
  <c r="AG1642" i="30"/>
  <c r="AD1642" i="30"/>
  <c r="AA1642" i="30"/>
  <c r="X1642" i="30"/>
  <c r="R1642" i="30"/>
  <c r="O1642" i="30"/>
  <c r="AJ1645" i="30"/>
  <c r="AG1645" i="30"/>
  <c r="AD1645" i="30"/>
  <c r="AA1645" i="30"/>
  <c r="X1645" i="30"/>
  <c r="R1645" i="30"/>
  <c r="O1645" i="30"/>
  <c r="AJ1703" i="30"/>
  <c r="AG1703" i="30"/>
  <c r="AD1703" i="30"/>
  <c r="AA1703" i="30"/>
  <c r="X1703" i="30"/>
  <c r="R1703" i="30"/>
  <c r="O1703" i="30"/>
  <c r="AK1788" i="30"/>
  <c r="AL1788" i="30" s="1"/>
  <c r="AJ1824" i="30"/>
  <c r="AG1824" i="30"/>
  <c r="AD1824" i="30"/>
  <c r="AA1824" i="30"/>
  <c r="X1824" i="30"/>
  <c r="R1824" i="30"/>
  <c r="O1824" i="30"/>
  <c r="AJ1847" i="30"/>
  <c r="AG1847" i="30"/>
  <c r="AD1847" i="30"/>
  <c r="AA1847" i="30"/>
  <c r="X1847" i="30"/>
  <c r="R1847" i="30"/>
  <c r="O1847" i="30"/>
  <c r="AJ1868" i="30"/>
  <c r="AG1868" i="30"/>
  <c r="AD1868" i="30"/>
  <c r="X1868" i="30"/>
  <c r="R1868" i="30"/>
  <c r="AA1868" i="30"/>
  <c r="O1868" i="30"/>
  <c r="AJ1899" i="30"/>
  <c r="AG1899" i="30"/>
  <c r="AD1899" i="30"/>
  <c r="X1899" i="30"/>
  <c r="AA1899" i="30"/>
  <c r="R1899" i="30"/>
  <c r="O1899" i="30"/>
  <c r="AG1910" i="30"/>
  <c r="AJ1910" i="30"/>
  <c r="AD1910" i="30"/>
  <c r="AA1910" i="30"/>
  <c r="X1910" i="30"/>
  <c r="R1910" i="30"/>
  <c r="O1910" i="30"/>
  <c r="AJ1939" i="30"/>
  <c r="AG1939" i="30"/>
  <c r="AD1939" i="30"/>
  <c r="AA1939" i="30"/>
  <c r="X1939" i="30"/>
  <c r="R1939" i="30"/>
  <c r="O1939" i="30"/>
  <c r="AJ1957" i="30"/>
  <c r="AG1957" i="30"/>
  <c r="AD1957" i="30"/>
  <c r="AA1957" i="30"/>
  <c r="X1957" i="30"/>
  <c r="R1957" i="30"/>
  <c r="O1957" i="30"/>
  <c r="AJ2029" i="30"/>
  <c r="AG2029" i="30"/>
  <c r="AD2029" i="30"/>
  <c r="AA2029" i="30"/>
  <c r="R2029" i="30"/>
  <c r="X2029" i="30"/>
  <c r="O2029" i="30"/>
  <c r="AJ2037" i="30"/>
  <c r="AG2037" i="30"/>
  <c r="AD2037" i="30"/>
  <c r="AA2037" i="30"/>
  <c r="X2037" i="30"/>
  <c r="R2037" i="30"/>
  <c r="O2037" i="30"/>
  <c r="AJ2057" i="30"/>
  <c r="AG2057" i="30"/>
  <c r="AD2057" i="30"/>
  <c r="AA2057" i="30"/>
  <c r="X2057" i="30"/>
  <c r="R2057" i="30"/>
  <c r="O2057" i="30"/>
  <c r="AJ2151" i="30"/>
  <c r="AG2151" i="30"/>
  <c r="AD2151" i="30"/>
  <c r="AA2151" i="30"/>
  <c r="X2151" i="30"/>
  <c r="R2151" i="30"/>
  <c r="O2151" i="30"/>
  <c r="AJ2465" i="30"/>
  <c r="AG2465" i="30"/>
  <c r="AD2465" i="30"/>
  <c r="AA2465" i="30"/>
  <c r="X2465" i="30"/>
  <c r="R2465" i="30"/>
  <c r="O2465" i="30"/>
  <c r="AJ794" i="30"/>
  <c r="AG794" i="30"/>
  <c r="AD794" i="30"/>
  <c r="AA794" i="30"/>
  <c r="X794" i="30"/>
  <c r="R794" i="30"/>
  <c r="O794" i="30"/>
  <c r="AJ824" i="30"/>
  <c r="AG824" i="30"/>
  <c r="AD824" i="30"/>
  <c r="AA824" i="30"/>
  <c r="X824" i="30"/>
  <c r="R824" i="30"/>
  <c r="O824" i="30"/>
  <c r="AJ840" i="30"/>
  <c r="AG840" i="30"/>
  <c r="AD840" i="30"/>
  <c r="AA840" i="30"/>
  <c r="X840" i="30"/>
  <c r="R840" i="30"/>
  <c r="O840" i="30"/>
  <c r="AJ1046" i="30"/>
  <c r="AG1046" i="30"/>
  <c r="AD1046" i="30"/>
  <c r="AA1046" i="30"/>
  <c r="X1046" i="30"/>
  <c r="R1046" i="30"/>
  <c r="O1046" i="30"/>
  <c r="AJ1074" i="30"/>
  <c r="AG1074" i="30"/>
  <c r="AD1074" i="30"/>
  <c r="AA1074" i="30"/>
  <c r="X1074" i="30"/>
  <c r="R1074" i="30"/>
  <c r="O1074" i="30"/>
  <c r="AJ1101" i="30"/>
  <c r="AG1101" i="30"/>
  <c r="AD1101" i="30"/>
  <c r="AA1101" i="30"/>
  <c r="X1101" i="30"/>
  <c r="R1101" i="30"/>
  <c r="O1101" i="30"/>
  <c r="AJ768" i="30"/>
  <c r="AG768" i="30"/>
  <c r="AD768" i="30"/>
  <c r="AA768" i="30"/>
  <c r="X768" i="30"/>
  <c r="R768" i="30"/>
  <c r="O768" i="30"/>
  <c r="AJ790" i="30"/>
  <c r="AG790" i="30"/>
  <c r="AD790" i="30"/>
  <c r="AA790" i="30"/>
  <c r="X790" i="30"/>
  <c r="O790" i="30"/>
  <c r="R790" i="30"/>
  <c r="AK810" i="30"/>
  <c r="AL810" i="30" s="1"/>
  <c r="AJ815" i="30"/>
  <c r="AG815" i="30"/>
  <c r="AD815" i="30"/>
  <c r="AA815" i="30"/>
  <c r="X815" i="30"/>
  <c r="R815" i="30"/>
  <c r="O815" i="30"/>
  <c r="AJ885" i="30"/>
  <c r="AG885" i="30"/>
  <c r="AD885" i="30"/>
  <c r="AA885" i="30"/>
  <c r="X885" i="30"/>
  <c r="R885" i="30"/>
  <c r="O885" i="30"/>
  <c r="AJ1049" i="30"/>
  <c r="AG1049" i="30"/>
  <c r="AD1049" i="30"/>
  <c r="AA1049" i="30"/>
  <c r="X1049" i="30"/>
  <c r="R1049" i="30"/>
  <c r="O1049" i="30"/>
  <c r="AJ1059" i="30"/>
  <c r="AD1059" i="30"/>
  <c r="AG1059" i="30"/>
  <c r="AA1059" i="30"/>
  <c r="X1059" i="30"/>
  <c r="R1059" i="30"/>
  <c r="O1059" i="30"/>
  <c r="AJ1106" i="30"/>
  <c r="AG1106" i="30"/>
  <c r="AD1106" i="30"/>
  <c r="AA1106" i="30"/>
  <c r="X1106" i="30"/>
  <c r="R1106" i="30"/>
  <c r="O1106" i="30"/>
  <c r="AJ1124" i="30"/>
  <c r="AG1124" i="30"/>
  <c r="AD1124" i="30"/>
  <c r="AA1124" i="30"/>
  <c r="X1124" i="30"/>
  <c r="R1124" i="30"/>
  <c r="O1124" i="30"/>
  <c r="AJ1197" i="30"/>
  <c r="AG1197" i="30"/>
  <c r="AA1197" i="30"/>
  <c r="AD1197" i="30"/>
  <c r="X1197" i="30"/>
  <c r="R1197" i="30"/>
  <c r="O1197" i="30"/>
  <c r="AJ1203" i="30"/>
  <c r="AG1203" i="30"/>
  <c r="AD1203" i="30"/>
  <c r="AA1203" i="30"/>
  <c r="X1203" i="30"/>
  <c r="R1203" i="30"/>
  <c r="O1203" i="30"/>
  <c r="AJ1243" i="30"/>
  <c r="AG1243" i="30"/>
  <c r="AD1243" i="30"/>
  <c r="AA1243" i="30"/>
  <c r="X1243" i="30"/>
  <c r="R1243" i="30"/>
  <c r="O1243" i="30"/>
  <c r="AJ1315" i="30"/>
  <c r="AG1315" i="30"/>
  <c r="AD1315" i="30"/>
  <c r="AA1315" i="30"/>
  <c r="X1315" i="30"/>
  <c r="R1315" i="30"/>
  <c r="O1315" i="30"/>
  <c r="AJ1331" i="30"/>
  <c r="AG1331" i="30"/>
  <c r="AD1331" i="30"/>
  <c r="AA1331" i="30"/>
  <c r="X1331" i="30"/>
  <c r="R1331" i="30"/>
  <c r="O1331" i="30"/>
  <c r="AL1389" i="30"/>
  <c r="AJ1401" i="30"/>
  <c r="AG1401" i="30"/>
  <c r="AD1401" i="30"/>
  <c r="AA1401" i="30"/>
  <c r="X1401" i="30"/>
  <c r="R1401" i="30"/>
  <c r="O1401" i="30"/>
  <c r="AJ1422" i="30"/>
  <c r="AG1422" i="30"/>
  <c r="AD1422" i="30"/>
  <c r="AA1422" i="30"/>
  <c r="X1422" i="30"/>
  <c r="O1422" i="30"/>
  <c r="R1422" i="30"/>
  <c r="AJ1442" i="30"/>
  <c r="AG1442" i="30"/>
  <c r="AD1442" i="30"/>
  <c r="AA1442" i="30"/>
  <c r="X1442" i="30"/>
  <c r="R1442" i="30"/>
  <c r="O1442" i="30"/>
  <c r="AJ1459" i="30"/>
  <c r="AG1459" i="30"/>
  <c r="AD1459" i="30"/>
  <c r="AA1459" i="30"/>
  <c r="X1459" i="30"/>
  <c r="R1459" i="30"/>
  <c r="O1459" i="30"/>
  <c r="AJ1480" i="30"/>
  <c r="AG1480" i="30"/>
  <c r="AD1480" i="30"/>
  <c r="AA1480" i="30"/>
  <c r="X1480" i="30"/>
  <c r="R1480" i="30"/>
  <c r="O1480" i="30"/>
  <c r="AJ1502" i="30"/>
  <c r="AG1502" i="30"/>
  <c r="AD1502" i="30"/>
  <c r="AA1502" i="30"/>
  <c r="X1502" i="30"/>
  <c r="O1502" i="30"/>
  <c r="R1502" i="30"/>
  <c r="AJ1522" i="30"/>
  <c r="AG1522" i="30"/>
  <c r="AD1522" i="30"/>
  <c r="AA1522" i="30"/>
  <c r="X1522" i="30"/>
  <c r="R1522" i="30"/>
  <c r="O1522" i="30"/>
  <c r="AJ1541" i="30"/>
  <c r="AG1541" i="30"/>
  <c r="AD1541" i="30"/>
  <c r="AA1541" i="30"/>
  <c r="X1541" i="30"/>
  <c r="R1541" i="30"/>
  <c r="O1541" i="30"/>
  <c r="AJ1559" i="30"/>
  <c r="AG1559" i="30"/>
  <c r="AD1559" i="30"/>
  <c r="AA1559" i="30"/>
  <c r="X1559" i="30"/>
  <c r="R1559" i="30"/>
  <c r="O1559" i="30"/>
  <c r="AJ1580" i="30"/>
  <c r="AG1580" i="30"/>
  <c r="AD1580" i="30"/>
  <c r="AA1580" i="30"/>
  <c r="X1580" i="30"/>
  <c r="R1580" i="30"/>
  <c r="O1580" i="30"/>
  <c r="AJ1596" i="30"/>
  <c r="AG1596" i="30"/>
  <c r="AD1596" i="30"/>
  <c r="X1596" i="30"/>
  <c r="AA1596" i="30"/>
  <c r="R1596" i="30"/>
  <c r="O1596" i="30"/>
  <c r="AJ1604" i="30"/>
  <c r="AG1604" i="30"/>
  <c r="AD1604" i="30"/>
  <c r="AA1604" i="30"/>
  <c r="X1604" i="30"/>
  <c r="R1604" i="30"/>
  <c r="O1604" i="30"/>
  <c r="AJ1615" i="30"/>
  <c r="AG1615" i="30"/>
  <c r="AD1615" i="30"/>
  <c r="AA1615" i="30"/>
  <c r="X1615" i="30"/>
  <c r="R1615" i="30"/>
  <c r="O1615" i="30"/>
  <c r="AJ1680" i="30"/>
  <c r="AG1680" i="30"/>
  <c r="AD1680" i="30"/>
  <c r="AA1680" i="30"/>
  <c r="X1680" i="30"/>
  <c r="R1680" i="30"/>
  <c r="O1680" i="30"/>
  <c r="AJ1704" i="30"/>
  <c r="AG1704" i="30"/>
  <c r="AD1704" i="30"/>
  <c r="AA1704" i="30"/>
  <c r="X1704" i="30"/>
  <c r="R1704" i="30"/>
  <c r="O1704" i="30"/>
  <c r="AJ1721" i="30"/>
  <c r="AG1721" i="30"/>
  <c r="AD1721" i="30"/>
  <c r="AA1721" i="30"/>
  <c r="X1721" i="30"/>
  <c r="R1721" i="30"/>
  <c r="O1721" i="30"/>
  <c r="AJ1725" i="30"/>
  <c r="AG1725" i="30"/>
  <c r="AD1725" i="30"/>
  <c r="AA1725" i="30"/>
  <c r="R1725" i="30"/>
  <c r="X1725" i="30"/>
  <c r="O1725" i="30"/>
  <c r="AJ1735" i="30"/>
  <c r="AG1735" i="30"/>
  <c r="AD1735" i="30"/>
  <c r="AA1735" i="30"/>
  <c r="X1735" i="30"/>
  <c r="R1735" i="30"/>
  <c r="O1735" i="30"/>
  <c r="AJ1743" i="30"/>
  <c r="AG1743" i="30"/>
  <c r="AD1743" i="30"/>
  <c r="AA1743" i="30"/>
  <c r="X1743" i="30"/>
  <c r="R1743" i="30"/>
  <c r="O1743" i="30"/>
  <c r="AJ1754" i="30"/>
  <c r="AG1754" i="30"/>
  <c r="AD1754" i="30"/>
  <c r="AA1754" i="30"/>
  <c r="X1754" i="30"/>
  <c r="R1754" i="30"/>
  <c r="O1754" i="30"/>
  <c r="AJ1763" i="30"/>
  <c r="AG1763" i="30"/>
  <c r="AD1763" i="30"/>
  <c r="AA1763" i="30"/>
  <c r="X1763" i="30"/>
  <c r="R1763" i="30"/>
  <c r="O1763" i="30"/>
  <c r="AJ1767" i="30"/>
  <c r="AG1767" i="30"/>
  <c r="AD1767" i="30"/>
  <c r="AA1767" i="30"/>
  <c r="X1767" i="30"/>
  <c r="R1767" i="30"/>
  <c r="O1767" i="30"/>
  <c r="AJ1776" i="30"/>
  <c r="AG1776" i="30"/>
  <c r="AD1776" i="30"/>
  <c r="AA1776" i="30"/>
  <c r="X1776" i="30"/>
  <c r="R1776" i="30"/>
  <c r="O1776" i="30"/>
  <c r="AJ1793" i="30"/>
  <c r="AG1793" i="30"/>
  <c r="AD1793" i="30"/>
  <c r="AA1793" i="30"/>
  <c r="X1793" i="30"/>
  <c r="R1793" i="30"/>
  <c r="O1793" i="30"/>
  <c r="AJ1801" i="30"/>
  <c r="AG1801" i="30"/>
  <c r="AD1801" i="30"/>
  <c r="AA1801" i="30"/>
  <c r="X1801" i="30"/>
  <c r="R1801" i="30"/>
  <c r="O1801" i="30"/>
  <c r="AJ1810" i="30"/>
  <c r="AG1810" i="30"/>
  <c r="AD1810" i="30"/>
  <c r="AA1810" i="30"/>
  <c r="X1810" i="30"/>
  <c r="R1810" i="30"/>
  <c r="O1810" i="30"/>
  <c r="AJ1827" i="30"/>
  <c r="AG1827" i="30"/>
  <c r="AD1827" i="30"/>
  <c r="AA1827" i="30"/>
  <c r="R1827" i="30"/>
  <c r="X1827" i="30"/>
  <c r="O1827" i="30"/>
  <c r="AJ1844" i="30"/>
  <c r="AG1844" i="30"/>
  <c r="AD1844" i="30"/>
  <c r="X1844" i="30"/>
  <c r="AA1844" i="30"/>
  <c r="R1844" i="30"/>
  <c r="O1844" i="30"/>
  <c r="AJ1848" i="30"/>
  <c r="AG1848" i="30"/>
  <c r="AD1848" i="30"/>
  <c r="AA1848" i="30"/>
  <c r="X1848" i="30"/>
  <c r="R1848" i="30"/>
  <c r="O1848" i="30"/>
  <c r="AJ1864" i="30"/>
  <c r="AG1864" i="30"/>
  <c r="AD1864" i="30"/>
  <c r="AA1864" i="30"/>
  <c r="X1864" i="30"/>
  <c r="R1864" i="30"/>
  <c r="O1864" i="30"/>
  <c r="AK1880" i="30"/>
  <c r="AL1880" i="30" s="1"/>
  <c r="AJ1892" i="30"/>
  <c r="AG1892" i="30"/>
  <c r="AD1892" i="30"/>
  <c r="AA1892" i="30"/>
  <c r="X1892" i="30"/>
  <c r="R1892" i="30"/>
  <c r="O1892" i="30"/>
  <c r="AL1896" i="30"/>
  <c r="AJ1901" i="30"/>
  <c r="AG1901" i="30"/>
  <c r="AD1901" i="30"/>
  <c r="AA1901" i="30"/>
  <c r="X1901" i="30"/>
  <c r="R1901" i="30"/>
  <c r="O1901" i="30"/>
  <c r="AJ1907" i="30"/>
  <c r="AG1907" i="30"/>
  <c r="AD1907" i="30"/>
  <c r="AA1907" i="30"/>
  <c r="X1907" i="30"/>
  <c r="R1907" i="30"/>
  <c r="O1907" i="30"/>
  <c r="AJ1916" i="30"/>
  <c r="AG1916" i="30"/>
  <c r="AD1916" i="30"/>
  <c r="AA1916" i="30"/>
  <c r="X1916" i="30"/>
  <c r="R1916" i="30"/>
  <c r="O1916" i="30"/>
  <c r="AJ1987" i="30"/>
  <c r="AG1987" i="30"/>
  <c r="AD1987" i="30"/>
  <c r="AA1987" i="30"/>
  <c r="X1987" i="30"/>
  <c r="R1987" i="30"/>
  <c r="O1987" i="30"/>
  <c r="AJ1991" i="30"/>
  <c r="AG1991" i="30"/>
  <c r="AD1991" i="30"/>
  <c r="AA1991" i="30"/>
  <c r="X1991" i="30"/>
  <c r="R1991" i="30"/>
  <c r="O1991" i="30"/>
  <c r="AJ2015" i="30"/>
  <c r="AG2015" i="30"/>
  <c r="AD2015" i="30"/>
  <c r="AA2015" i="30"/>
  <c r="X2015" i="30"/>
  <c r="R2015" i="30"/>
  <c r="O2015" i="30"/>
  <c r="AL2044" i="30"/>
  <c r="AJ2071" i="30"/>
  <c r="AG2071" i="30"/>
  <c r="AD2071" i="30"/>
  <c r="AA2071" i="30"/>
  <c r="X2071" i="30"/>
  <c r="R2071" i="30"/>
  <c r="O2071" i="30"/>
  <c r="AJ2083" i="30"/>
  <c r="AG2083" i="30"/>
  <c r="AD2083" i="30"/>
  <c r="AA2083" i="30"/>
  <c r="X2083" i="30"/>
  <c r="R2083" i="30"/>
  <c r="O2083" i="30"/>
  <c r="AJ2098" i="30"/>
  <c r="AG2098" i="30"/>
  <c r="AD2098" i="30"/>
  <c r="AA2098" i="30"/>
  <c r="X2098" i="30"/>
  <c r="R2098" i="30"/>
  <c r="O2098" i="30"/>
  <c r="AJ2106" i="30"/>
  <c r="AG2106" i="30"/>
  <c r="AD2106" i="30"/>
  <c r="AA2106" i="30"/>
  <c r="X2106" i="30"/>
  <c r="R2106" i="30"/>
  <c r="O2106" i="30"/>
  <c r="AJ2114" i="30"/>
  <c r="AG2114" i="30"/>
  <c r="AD2114" i="30"/>
  <c r="AA2114" i="30"/>
  <c r="X2114" i="30"/>
  <c r="R2114" i="30"/>
  <c r="O2114" i="30"/>
  <c r="AJ2122" i="30"/>
  <c r="AG2122" i="30"/>
  <c r="AD2122" i="30"/>
  <c r="AA2122" i="30"/>
  <c r="X2122" i="30"/>
  <c r="R2122" i="30"/>
  <c r="O2122" i="30"/>
  <c r="AJ2130" i="30"/>
  <c r="AG2130" i="30"/>
  <c r="AD2130" i="30"/>
  <c r="AA2130" i="30"/>
  <c r="X2130" i="30"/>
  <c r="R2130" i="30"/>
  <c r="O2130" i="30"/>
  <c r="AJ2141" i="30"/>
  <c r="AG2141" i="30"/>
  <c r="AD2141" i="30"/>
  <c r="AA2141" i="30"/>
  <c r="X2141" i="30"/>
  <c r="R2141" i="30"/>
  <c r="O2141" i="30"/>
  <c r="AJ2167" i="30"/>
  <c r="AG2167" i="30"/>
  <c r="AD2167" i="30"/>
  <c r="AA2167" i="30"/>
  <c r="X2167" i="30"/>
  <c r="R2167" i="30"/>
  <c r="O2167" i="30"/>
  <c r="AJ2208" i="30"/>
  <c r="AG2208" i="30"/>
  <c r="AD2208" i="30"/>
  <c r="X2208" i="30"/>
  <c r="R2208" i="30"/>
  <c r="AA2208" i="30"/>
  <c r="O2208" i="30"/>
  <c r="AD1291" i="30"/>
  <c r="AJ1291" i="30"/>
  <c r="AG1291" i="30"/>
  <c r="AA1291" i="30"/>
  <c r="X1291" i="30"/>
  <c r="R1291" i="30"/>
  <c r="O1291" i="30"/>
  <c r="AJ2264" i="30"/>
  <c r="AG2264" i="30"/>
  <c r="AD2264" i="30"/>
  <c r="X2264" i="30"/>
  <c r="AA2264" i="30"/>
  <c r="R2264" i="30"/>
  <c r="O2264" i="30"/>
  <c r="AG2286" i="30"/>
  <c r="AJ2286" i="30"/>
  <c r="AD2286" i="30"/>
  <c r="AA2286" i="30"/>
  <c r="X2286" i="30"/>
  <c r="R2286" i="30"/>
  <c r="O2286" i="30"/>
  <c r="AJ2309" i="30"/>
  <c r="AG2309" i="30"/>
  <c r="AD2309" i="30"/>
  <c r="AA2309" i="30"/>
  <c r="X2309" i="30"/>
  <c r="R2309" i="30"/>
  <c r="O2309" i="30"/>
  <c r="AJ2331" i="30"/>
  <c r="AG2331" i="30"/>
  <c r="AD2331" i="30"/>
  <c r="AA2331" i="30"/>
  <c r="X2331" i="30"/>
  <c r="R2331" i="30"/>
  <c r="O2331" i="30"/>
  <c r="AG2374" i="30"/>
  <c r="AJ2374" i="30"/>
  <c r="AD2374" i="30"/>
  <c r="AA2374" i="30"/>
  <c r="X2374" i="30"/>
  <c r="R2374" i="30"/>
  <c r="O2374" i="30"/>
  <c r="AG2390" i="30"/>
  <c r="AJ2390" i="30"/>
  <c r="AD2390" i="30"/>
  <c r="AA2390" i="30"/>
  <c r="X2390" i="30"/>
  <c r="R2390" i="30"/>
  <c r="O2390" i="30"/>
  <c r="AJ2394" i="30"/>
  <c r="AG2394" i="30"/>
  <c r="AD2394" i="30"/>
  <c r="AA2394" i="30"/>
  <c r="X2394" i="30"/>
  <c r="R2394" i="30"/>
  <c r="O2394" i="30"/>
  <c r="AJ2400" i="30"/>
  <c r="AG2400" i="30"/>
  <c r="AD2400" i="30"/>
  <c r="X2400" i="30"/>
  <c r="AA2400" i="30"/>
  <c r="R2400" i="30"/>
  <c r="O2400" i="30"/>
  <c r="AJ2404" i="30"/>
  <c r="AG2404" i="30"/>
  <c r="AD2404" i="30"/>
  <c r="AA2404" i="30"/>
  <c r="X2404" i="30"/>
  <c r="R2404" i="30"/>
  <c r="O2404" i="30"/>
  <c r="AJ2408" i="30"/>
  <c r="AG2408" i="30"/>
  <c r="AD2408" i="30"/>
  <c r="X2408" i="30"/>
  <c r="AA2408" i="30"/>
  <c r="R2408" i="30"/>
  <c r="O2408" i="30"/>
  <c r="AJ2427" i="30"/>
  <c r="AG2427" i="30"/>
  <c r="AD2427" i="30"/>
  <c r="AA2427" i="30"/>
  <c r="X2427" i="30"/>
  <c r="R2427" i="30"/>
  <c r="O2427" i="30"/>
  <c r="AJ2453" i="30"/>
  <c r="AG2453" i="30"/>
  <c r="AD2453" i="30"/>
  <c r="AA2453" i="30"/>
  <c r="X2453" i="30"/>
  <c r="R2453" i="30"/>
  <c r="O2453" i="30"/>
  <c r="AJ2478" i="30"/>
  <c r="AG2478" i="30"/>
  <c r="AD2478" i="30"/>
  <c r="AA2478" i="30"/>
  <c r="X2478" i="30"/>
  <c r="R2478" i="30"/>
  <c r="O2478" i="30"/>
  <c r="AJ2490" i="30"/>
  <c r="AG2490" i="30"/>
  <c r="AD2490" i="30"/>
  <c r="AA2490" i="30"/>
  <c r="X2490" i="30"/>
  <c r="R2490" i="30"/>
  <c r="O2490" i="30"/>
  <c r="AJ2498" i="30"/>
  <c r="AG2498" i="30"/>
  <c r="AD2498" i="30"/>
  <c r="AA2498" i="30"/>
  <c r="X2498" i="30"/>
  <c r="R2498" i="30"/>
  <c r="O2498" i="30"/>
  <c r="AJ2743" i="30"/>
  <c r="AG2743" i="30"/>
  <c r="AD2743" i="30"/>
  <c r="AA2743" i="30"/>
  <c r="X2743" i="30"/>
  <c r="R2743" i="30"/>
  <c r="O2743" i="30"/>
  <c r="AJ2754" i="30"/>
  <c r="AG2754" i="30"/>
  <c r="AD2754" i="30"/>
  <c r="AA2754" i="30"/>
  <c r="X2754" i="30"/>
  <c r="R2754" i="30"/>
  <c r="O2754" i="30"/>
  <c r="AJ2768" i="30"/>
  <c r="AG2768" i="30"/>
  <c r="AD2768" i="30"/>
  <c r="X2768" i="30"/>
  <c r="AA2768" i="30"/>
  <c r="R2768" i="30"/>
  <c r="O2768" i="30"/>
  <c r="AJ2807" i="30"/>
  <c r="AG2807" i="30"/>
  <c r="AD2807" i="30"/>
  <c r="AA2807" i="30"/>
  <c r="X2807" i="30"/>
  <c r="R2807" i="30"/>
  <c r="O2807" i="30"/>
  <c r="AJ2839" i="30"/>
  <c r="AG2839" i="30"/>
  <c r="AD2839" i="30"/>
  <c r="AA2839" i="30"/>
  <c r="X2839" i="30"/>
  <c r="R2839" i="30"/>
  <c r="O2839" i="30"/>
  <c r="AJ2855" i="30"/>
  <c r="AG2855" i="30"/>
  <c r="AD2855" i="30"/>
  <c r="AA2855" i="30"/>
  <c r="X2855" i="30"/>
  <c r="R2855" i="30"/>
  <c r="O2855" i="30"/>
  <c r="AJ1803" i="30"/>
  <c r="AG1803" i="30"/>
  <c r="AD1803" i="30"/>
  <c r="AA1803" i="30"/>
  <c r="R1803" i="30"/>
  <c r="X1803" i="30"/>
  <c r="O1803" i="30"/>
  <c r="J60" i="7"/>
  <c r="M102" i="7"/>
  <c r="J106" i="7"/>
  <c r="V107" i="7"/>
  <c r="S28" i="7"/>
  <c r="S115" i="7"/>
  <c r="Y116" i="7"/>
  <c r="S73" i="7"/>
  <c r="V73" i="7"/>
  <c r="P119" i="7"/>
  <c r="G154" i="30"/>
  <c r="G138" i="30"/>
  <c r="G122" i="30"/>
  <c r="G106" i="30"/>
  <c r="G90" i="30"/>
  <c r="G74" i="30"/>
  <c r="G58" i="30"/>
  <c r="G50" i="30"/>
  <c r="G42" i="30"/>
  <c r="G34" i="30"/>
  <c r="G26" i="30"/>
  <c r="G10" i="30"/>
  <c r="P32" i="7"/>
  <c r="P33" i="7"/>
  <c r="AB46" i="7"/>
  <c r="AB82" i="7"/>
  <c r="AB91" i="7" s="1"/>
  <c r="AE33" i="7"/>
  <c r="V106" i="7"/>
  <c r="G162" i="30"/>
  <c r="G146" i="30"/>
  <c r="G130" i="30"/>
  <c r="G114" i="30"/>
  <c r="G98" i="30"/>
  <c r="G82" i="30"/>
  <c r="G66" i="30"/>
  <c r="G18" i="30"/>
  <c r="AB106" i="7"/>
  <c r="AE4" i="7"/>
  <c r="V32" i="7"/>
  <c r="V40" i="7"/>
  <c r="Y54" i="7"/>
  <c r="S83" i="7"/>
  <c r="S88" i="7"/>
  <c r="AB90" i="7"/>
  <c r="P106" i="7"/>
  <c r="Y111" i="7"/>
  <c r="P111" i="7"/>
  <c r="AB111" i="7"/>
  <c r="AE115" i="7"/>
  <c r="V119" i="7"/>
  <c r="M130" i="7"/>
  <c r="AB55" i="7"/>
  <c r="AE98" i="7"/>
  <c r="AB98" i="7"/>
  <c r="AB116" i="7"/>
  <c r="AF127" i="7"/>
  <c r="AG127" i="7" s="1"/>
  <c r="V129" i="7"/>
  <c r="AF139" i="7"/>
  <c r="AG139" i="7" s="1"/>
  <c r="AF140" i="7"/>
  <c r="AG140" i="7" s="1"/>
  <c r="V141" i="7"/>
  <c r="S112" i="7"/>
  <c r="Y40" i="7"/>
  <c r="J40" i="7"/>
  <c r="J55" i="7"/>
  <c r="AE55" i="7"/>
  <c r="AB4" i="7"/>
  <c r="AE13" i="7"/>
  <c r="V28" i="7"/>
  <c r="S33" i="7"/>
  <c r="S40" i="7"/>
  <c r="M55" i="7"/>
  <c r="AE60" i="7"/>
  <c r="P83" i="7"/>
  <c r="AB83" i="7"/>
  <c r="M87" i="7"/>
  <c r="M91" i="7" s="1"/>
  <c r="Y87" i="7"/>
  <c r="M90" i="7"/>
  <c r="S102" i="7"/>
  <c r="AE102" i="7"/>
  <c r="S107" i="7"/>
  <c r="J130" i="7"/>
  <c r="AF20" i="7"/>
  <c r="AG20" i="7" s="1"/>
  <c r="M29" i="7"/>
  <c r="AB29" i="7"/>
  <c r="J39" i="7"/>
  <c r="AF43" i="7"/>
  <c r="AG43" i="7" s="1"/>
  <c r="AF93" i="7"/>
  <c r="AG93" i="7" s="1"/>
  <c r="AF95" i="7"/>
  <c r="AG95" i="7" s="1"/>
  <c r="AF96" i="7"/>
  <c r="AG96" i="7" s="1"/>
  <c r="AF97" i="7"/>
  <c r="AG97" i="7" s="1"/>
  <c r="V142" i="7"/>
  <c r="P29" i="7"/>
  <c r="M39" i="7"/>
  <c r="J46" i="7"/>
  <c r="AF76" i="7"/>
  <c r="AG76" i="7" s="1"/>
  <c r="AF77" i="7"/>
  <c r="AG77" i="7" s="1"/>
  <c r="AF80" i="7"/>
  <c r="AG80" i="7" s="1"/>
  <c r="V82" i="7"/>
  <c r="J87" i="7"/>
  <c r="AB87" i="7"/>
  <c r="J90" i="7"/>
  <c r="J98" i="7"/>
  <c r="V103" i="7"/>
  <c r="J116" i="7"/>
  <c r="AB120" i="7"/>
  <c r="AF131" i="7"/>
  <c r="AG131" i="7" s="1"/>
  <c r="AF132" i="7"/>
  <c r="AG132" i="7" s="1"/>
  <c r="AF133" i="7"/>
  <c r="AG133" i="7" s="1"/>
  <c r="V134" i="7"/>
  <c r="Y141" i="7"/>
  <c r="V39" i="7"/>
  <c r="Y107" i="7"/>
  <c r="AF121" i="7"/>
  <c r="AG121" i="7" s="1"/>
  <c r="AF24" i="7"/>
  <c r="AG24" i="7" s="1"/>
  <c r="J142" i="7"/>
  <c r="M141" i="7"/>
  <c r="AF26" i="7"/>
  <c r="AG26" i="7" s="1"/>
  <c r="Y28" i="7"/>
  <c r="P64" i="7"/>
  <c r="P90" i="7"/>
  <c r="P4" i="7"/>
  <c r="M13" i="7"/>
  <c r="AB14" i="7"/>
  <c r="AF16" i="7"/>
  <c r="AG16" i="7" s="1"/>
  <c r="J28" i="7"/>
  <c r="AB28" i="7"/>
  <c r="AB33" i="7"/>
  <c r="AB39" i="7"/>
  <c r="S46" i="7"/>
  <c r="P55" i="7"/>
  <c r="V60" i="7"/>
  <c r="S64" i="7"/>
  <c r="V72" i="7"/>
  <c r="V83" i="7"/>
  <c r="Y83" i="7"/>
  <c r="P87" i="7"/>
  <c r="J88" i="7"/>
  <c r="AB88" i="7"/>
  <c r="S90" i="7"/>
  <c r="P98" i="7"/>
  <c r="AB99" i="7"/>
  <c r="AB103" i="7"/>
  <c r="M107" i="7"/>
  <c r="M112" i="7"/>
  <c r="P116" i="7"/>
  <c r="AF117" i="7"/>
  <c r="AG117" i="7" s="1"/>
  <c r="AF118" i="7"/>
  <c r="AG118" i="7" s="1"/>
  <c r="AE119" i="7"/>
  <c r="V130" i="7"/>
  <c r="M134" i="7"/>
  <c r="AB134" i="7"/>
  <c r="AF143" i="7"/>
  <c r="AG143" i="7" s="1"/>
  <c r="AE29" i="7"/>
  <c r="Y112" i="7"/>
  <c r="AF122" i="7"/>
  <c r="AG122" i="7" s="1"/>
  <c r="V14" i="7"/>
  <c r="S29" i="7"/>
  <c r="J103" i="7"/>
  <c r="AF128" i="7"/>
  <c r="AG128" i="7" s="1"/>
  <c r="S4" i="7"/>
  <c r="V13" i="7"/>
  <c r="AE14" i="7"/>
  <c r="M28" i="7"/>
  <c r="J33" i="7"/>
  <c r="V46" i="7"/>
  <c r="P54" i="7"/>
  <c r="S55" i="7"/>
  <c r="V64" i="7"/>
  <c r="Y72" i="7"/>
  <c r="V91" i="7"/>
  <c r="P82" i="7"/>
  <c r="P91" i="7" s="1"/>
  <c r="M88" i="7"/>
  <c r="V90" i="7"/>
  <c r="AE107" i="7"/>
  <c r="V111" i="7"/>
  <c r="AE112" i="7"/>
  <c r="M142" i="7"/>
  <c r="Y39" i="7"/>
  <c r="P46" i="7"/>
  <c r="J72" i="7"/>
  <c r="Y88" i="7"/>
  <c r="Y129" i="7"/>
  <c r="V4" i="7"/>
  <c r="AB13" i="7"/>
  <c r="P28" i="7"/>
  <c r="AE28" i="7"/>
  <c r="Y29" i="7"/>
  <c r="Y46" i="7"/>
  <c r="AB60" i="7"/>
  <c r="M83" i="7"/>
  <c r="P88" i="7"/>
  <c r="AE88" i="7"/>
  <c r="Y90" i="7"/>
  <c r="Y91" i="7" s="1"/>
  <c r="AF100" i="7"/>
  <c r="AG100" i="7" s="1"/>
  <c r="Y102" i="7"/>
  <c r="P103" i="7"/>
  <c r="AF105" i="7"/>
  <c r="AG105" i="7" s="1"/>
  <c r="AF108" i="7"/>
  <c r="AG108" i="7" s="1"/>
  <c r="AF109" i="7"/>
  <c r="AG109" i="7" s="1"/>
  <c r="AF113" i="7"/>
  <c r="AG113" i="7" s="1"/>
  <c r="AF114" i="7"/>
  <c r="AG114" i="7" s="1"/>
  <c r="AB115" i="7"/>
  <c r="AB119" i="7"/>
  <c r="M129" i="7"/>
  <c r="AE130" i="7"/>
  <c r="Y130" i="7"/>
  <c r="P134" i="7"/>
  <c r="G5" i="30"/>
  <c r="G9" i="30"/>
  <c r="G16" i="30"/>
  <c r="G8" i="30"/>
  <c r="G14" i="30"/>
  <c r="G6" i="30"/>
  <c r="G13" i="30"/>
  <c r="G20" i="30"/>
  <c r="G12" i="30"/>
  <c r="G4" i="30"/>
  <c r="G19" i="30"/>
  <c r="G11" i="30"/>
  <c r="G3" i="30"/>
  <c r="G48" i="30"/>
  <c r="G40" i="30"/>
  <c r="G32" i="30"/>
  <c r="G24" i="30"/>
  <c r="G167" i="30"/>
  <c r="G159" i="30"/>
  <c r="G151" i="30"/>
  <c r="G143" i="30"/>
  <c r="G135" i="30"/>
  <c r="G127" i="30"/>
  <c r="G119" i="30"/>
  <c r="G111" i="30"/>
  <c r="G103" i="30"/>
  <c r="G95" i="30"/>
  <c r="G87" i="30"/>
  <c r="G79" i="30"/>
  <c r="G71" i="30"/>
  <c r="G63" i="30"/>
  <c r="G55" i="30"/>
  <c r="G47" i="30"/>
  <c r="G39" i="30"/>
  <c r="G166" i="30"/>
  <c r="G158" i="30"/>
  <c r="G150" i="30"/>
  <c r="G142" i="30"/>
  <c r="G134" i="30"/>
  <c r="G126" i="30"/>
  <c r="G118" i="30"/>
  <c r="G110" i="30"/>
  <c r="G102" i="30"/>
  <c r="G94" i="30"/>
  <c r="G86" i="30"/>
  <c r="G78" i="30"/>
  <c r="G70" i="30"/>
  <c r="G62" i="30"/>
  <c r="G54" i="30"/>
  <c r="G46" i="30"/>
  <c r="G38" i="30"/>
  <c r="G30" i="30"/>
  <c r="G22" i="30"/>
  <c r="G60" i="30"/>
  <c r="G52" i="30"/>
  <c r="G44" i="30"/>
  <c r="G36" i="30"/>
  <c r="G28" i="30"/>
  <c r="G2706" i="30"/>
  <c r="G2543" i="30"/>
  <c r="G1691" i="30"/>
  <c r="G1185" i="30"/>
  <c r="G1532" i="30"/>
  <c r="G2244" i="30"/>
  <c r="G2041" i="30"/>
  <c r="G1303" i="30"/>
  <c r="G1221" i="30"/>
  <c r="G1037" i="30"/>
  <c r="G165" i="30"/>
  <c r="G157" i="30"/>
  <c r="G149" i="30"/>
  <c r="G141" i="30"/>
  <c r="G133" i="30"/>
  <c r="G125" i="30"/>
  <c r="G117" i="30"/>
  <c r="G109" i="30"/>
  <c r="G101" i="30"/>
  <c r="G93" i="30"/>
  <c r="G85" i="30"/>
  <c r="G77" i="30"/>
  <c r="G69" i="30"/>
  <c r="G61" i="30"/>
  <c r="G53" i="30"/>
  <c r="G45" i="30"/>
  <c r="G37" i="30"/>
  <c r="G29" i="30"/>
  <c r="G21" i="30"/>
  <c r="G164" i="30"/>
  <c r="G156" i="30"/>
  <c r="G148" i="30"/>
  <c r="G140" i="30"/>
  <c r="G132" i="30"/>
  <c r="G124" i="30"/>
  <c r="G116" i="30"/>
  <c r="G108" i="30"/>
  <c r="G100" i="30"/>
  <c r="G92" i="30"/>
  <c r="G84" i="30"/>
  <c r="G76" i="30"/>
  <c r="G68" i="30"/>
  <c r="G163" i="30"/>
  <c r="G155" i="30"/>
  <c r="G147" i="30"/>
  <c r="G139" i="30"/>
  <c r="G131" i="30"/>
  <c r="G123" i="30"/>
  <c r="G115" i="30"/>
  <c r="G107" i="30"/>
  <c r="G99" i="30"/>
  <c r="G91" i="30"/>
  <c r="G83" i="30"/>
  <c r="G75" i="30"/>
  <c r="G67" i="30"/>
  <c r="G59" i="30"/>
  <c r="G51" i="30"/>
  <c r="G43" i="30"/>
  <c r="G35" i="30"/>
  <c r="G27" i="30"/>
  <c r="G169" i="30"/>
  <c r="G161" i="30"/>
  <c r="G153" i="30"/>
  <c r="G145" i="30"/>
  <c r="G137" i="30"/>
  <c r="G129" i="30"/>
  <c r="G121" i="30"/>
  <c r="G113" i="30"/>
  <c r="G105" i="30"/>
  <c r="G97" i="30"/>
  <c r="G89" i="30"/>
  <c r="G81" i="30"/>
  <c r="G73" i="30"/>
  <c r="G65" i="30"/>
  <c r="G57" i="30"/>
  <c r="G49" i="30"/>
  <c r="G41" i="30"/>
  <c r="G33" i="30"/>
  <c r="G25" i="30"/>
  <c r="G17" i="30"/>
  <c r="G168" i="30"/>
  <c r="G160" i="30"/>
  <c r="G152" i="30"/>
  <c r="G144" i="30"/>
  <c r="G136" i="30"/>
  <c r="G128" i="30"/>
  <c r="G120" i="30"/>
  <c r="G112" i="30"/>
  <c r="G104" i="30"/>
  <c r="G96" i="30"/>
  <c r="G88" i="30"/>
  <c r="G80" i="30"/>
  <c r="G72" i="30"/>
  <c r="G64" i="30"/>
  <c r="G56" i="30"/>
  <c r="G31" i="30"/>
  <c r="G23" i="30"/>
  <c r="G15" i="30"/>
  <c r="G7" i="30"/>
  <c r="AK2" i="30"/>
  <c r="AL2" i="30" s="1"/>
  <c r="Y33" i="7"/>
  <c r="AF78" i="7"/>
  <c r="AG78" i="7" s="1"/>
  <c r="AF110" i="7"/>
  <c r="AG110" i="7" s="1"/>
  <c r="V51" i="7"/>
  <c r="S51" i="7"/>
  <c r="P51" i="7"/>
  <c r="AE51" i="7"/>
  <c r="AB51" i="7"/>
  <c r="J51" i="7"/>
  <c r="V65" i="7"/>
  <c r="S65" i="7"/>
  <c r="P65" i="7"/>
  <c r="M65" i="7"/>
  <c r="AE65" i="7"/>
  <c r="AF2" i="7"/>
  <c r="AG2" i="7" s="1"/>
  <c r="AE19" i="7"/>
  <c r="AB19" i="7"/>
  <c r="V19" i="7"/>
  <c r="P19" i="7"/>
  <c r="M19" i="7"/>
  <c r="M51" i="7"/>
  <c r="J65" i="7"/>
  <c r="AF79" i="7"/>
  <c r="AG79" i="7" s="1"/>
  <c r="AF85" i="7"/>
  <c r="AG85" i="7" s="1"/>
  <c r="AF3" i="7"/>
  <c r="AG3" i="7" s="1"/>
  <c r="AE23" i="7"/>
  <c r="AB23" i="7"/>
  <c r="V23" i="7"/>
  <c r="P23" i="7"/>
  <c r="M23" i="7"/>
  <c r="Y51" i="7"/>
  <c r="AE8" i="7"/>
  <c r="AB8" i="7"/>
  <c r="V8" i="7"/>
  <c r="P8" i="7"/>
  <c r="M8" i="7"/>
  <c r="AE22" i="7"/>
  <c r="AB22" i="7"/>
  <c r="V22" i="7"/>
  <c r="P22" i="7"/>
  <c r="M22" i="7"/>
  <c r="AF25" i="7"/>
  <c r="AG25" i="7" s="1"/>
  <c r="M54" i="7"/>
  <c r="AE54" i="7"/>
  <c r="AB54" i="7"/>
  <c r="J54" i="7"/>
  <c r="V54" i="7"/>
  <c r="Y65" i="7"/>
  <c r="AE9" i="7"/>
  <c r="AB9" i="7"/>
  <c r="V9" i="7"/>
  <c r="P9" i="7"/>
  <c r="M9" i="7"/>
  <c r="AF42" i="7"/>
  <c r="AG42" i="7" s="1"/>
  <c r="AB65" i="7"/>
  <c r="AF144" i="7"/>
  <c r="AG144" i="7" s="1"/>
  <c r="AF145" i="7"/>
  <c r="AG145" i="7" s="1"/>
  <c r="AF146" i="7"/>
  <c r="AG146" i="7" s="1"/>
  <c r="AE18" i="7"/>
  <c r="AB18" i="7"/>
  <c r="V18" i="7"/>
  <c r="P18" i="7"/>
  <c r="M18" i="7"/>
  <c r="Y32" i="7"/>
  <c r="M32" i="7"/>
  <c r="J32" i="7"/>
  <c r="AE32" i="7"/>
  <c r="S32" i="7"/>
  <c r="AB32" i="7"/>
  <c r="AF92" i="7"/>
  <c r="AG92" i="7" s="1"/>
  <c r="AF94" i="7"/>
  <c r="AG94" i="7" s="1"/>
  <c r="AF101" i="7"/>
  <c r="AG101" i="7" s="1"/>
  <c r="AF104" i="7"/>
  <c r="AG104" i="7" s="1"/>
  <c r="AF123" i="7"/>
  <c r="AG123" i="7" s="1"/>
  <c r="AF136" i="7"/>
  <c r="AG136" i="7" s="1"/>
  <c r="AF137" i="7"/>
  <c r="AG137" i="7" s="1"/>
  <c r="AF138" i="7"/>
  <c r="AG138" i="7" s="1"/>
  <c r="S135" i="7"/>
  <c r="AE39" i="7"/>
  <c r="AB40" i="7"/>
  <c r="Y60" i="7"/>
  <c r="AB72" i="7"/>
  <c r="Y73" i="7"/>
  <c r="M98" i="7"/>
  <c r="Y98" i="7"/>
  <c r="J99" i="7"/>
  <c r="V99" i="7"/>
  <c r="P102" i="7"/>
  <c r="AB102" i="7"/>
  <c r="M103" i="7"/>
  <c r="Y103" i="7"/>
  <c r="S106" i="7"/>
  <c r="AE106" i="7"/>
  <c r="P107" i="7"/>
  <c r="AB107" i="7"/>
  <c r="S111" i="7"/>
  <c r="AE111" i="7"/>
  <c r="P112" i="7"/>
  <c r="AB112" i="7"/>
  <c r="J115" i="7"/>
  <c r="V115" i="7"/>
  <c r="S116" i="7"/>
  <c r="AE116" i="7"/>
  <c r="M119" i="7"/>
  <c r="Y119" i="7"/>
  <c r="J120" i="7"/>
  <c r="P129" i="7"/>
  <c r="AB129" i="7"/>
  <c r="P141" i="7"/>
  <c r="AB141" i="7"/>
  <c r="AE120" i="7"/>
  <c r="AE135" i="7"/>
  <c r="V33" i="7"/>
  <c r="AE40" i="7"/>
  <c r="AE72" i="7"/>
  <c r="AB73" i="7"/>
  <c r="M120" i="7"/>
  <c r="J135" i="7"/>
  <c r="V135" i="7"/>
  <c r="Y142" i="7"/>
  <c r="AE73" i="7"/>
  <c r="M115" i="7"/>
  <c r="Y115" i="7"/>
  <c r="P120" i="7"/>
  <c r="S129" i="7"/>
  <c r="AE129" i="7"/>
  <c r="S141" i="7"/>
  <c r="AE141" i="7"/>
  <c r="P13" i="7"/>
  <c r="P14" i="7"/>
  <c r="V29" i="7"/>
  <c r="M33" i="7"/>
  <c r="P39" i="7"/>
  <c r="M40" i="7"/>
  <c r="V55" i="7"/>
  <c r="M60" i="7"/>
  <c r="Y64" i="7"/>
  <c r="M72" i="7"/>
  <c r="J73" i="7"/>
  <c r="S82" i="7"/>
  <c r="AE82" i="7"/>
  <c r="S87" i="7"/>
  <c r="AE87" i="7"/>
  <c r="S120" i="7"/>
  <c r="P130" i="7"/>
  <c r="AB130" i="7"/>
  <c r="M135" i="7"/>
  <c r="Y135" i="7"/>
  <c r="Y148" i="7" s="1"/>
  <c r="P142" i="7"/>
  <c r="AB142" i="7"/>
  <c r="M99" i="7"/>
  <c r="Y99" i="7"/>
  <c r="P60" i="7"/>
  <c r="J64" i="7"/>
  <c r="AB64" i="7"/>
  <c r="P72" i="7"/>
  <c r="M73" i="7"/>
  <c r="S98" i="7"/>
  <c r="P99" i="7"/>
  <c r="J102" i="7"/>
  <c r="S103" i="7"/>
  <c r="M106" i="7"/>
  <c r="J107" i="7"/>
  <c r="M111" i="7"/>
  <c r="J112" i="7"/>
  <c r="P115" i="7"/>
  <c r="M116" i="7"/>
  <c r="S119" i="7"/>
  <c r="V120" i="7"/>
  <c r="J129" i="7"/>
  <c r="S134" i="7"/>
  <c r="AF134" i="7" s="1"/>
  <c r="AG134" i="7" s="1"/>
  <c r="J141" i="7"/>
  <c r="S130" i="7"/>
  <c r="P135" i="7"/>
  <c r="S142" i="7"/>
  <c r="AK790" i="30" l="1"/>
  <c r="AL790" i="30" s="1"/>
  <c r="AK1577" i="30"/>
  <c r="AL1577" i="30" s="1"/>
  <c r="AK1119" i="30"/>
  <c r="AL1119" i="30" s="1"/>
  <c r="AK1530" i="30"/>
  <c r="AL1530" i="30" s="1"/>
  <c r="AK869" i="30"/>
  <c r="AL869" i="30" s="1"/>
  <c r="AK2278" i="30"/>
  <c r="AL2278" i="30" s="1"/>
  <c r="AK1476" i="30"/>
  <c r="AL1476" i="30" s="1"/>
  <c r="AK1626" i="30"/>
  <c r="AL1626" i="30" s="1"/>
  <c r="AK825" i="30"/>
  <c r="AL825" i="30" s="1"/>
  <c r="AK2515" i="30"/>
  <c r="AL2515" i="30" s="1"/>
  <c r="AK2328" i="30"/>
  <c r="AL2328" i="30" s="1"/>
  <c r="AK2511" i="30"/>
  <c r="AL2511" i="30" s="1"/>
  <c r="AK1153" i="30"/>
  <c r="AL1153" i="30" s="1"/>
  <c r="AK780" i="30"/>
  <c r="AL780" i="30" s="1"/>
  <c r="AK1852" i="30"/>
  <c r="AL1852" i="30" s="1"/>
  <c r="AK1083" i="30"/>
  <c r="AL1083" i="30" s="1"/>
  <c r="AK1713" i="30"/>
  <c r="AL1713" i="30" s="1"/>
  <c r="AK2783" i="30"/>
  <c r="AL2783" i="30" s="1"/>
  <c r="AK1202" i="30"/>
  <c r="AL1202" i="30" s="1"/>
  <c r="AK1642" i="30"/>
  <c r="AL1642" i="30" s="1"/>
  <c r="AK1312" i="30"/>
  <c r="AL1312" i="30" s="1"/>
  <c r="AK1054" i="30"/>
  <c r="AL1054" i="30" s="1"/>
  <c r="AK2384" i="30"/>
  <c r="AL2384" i="30" s="1"/>
  <c r="AK1882" i="30"/>
  <c r="AL1882" i="30" s="1"/>
  <c r="AK2253" i="30"/>
  <c r="AL2253" i="30" s="1"/>
  <c r="AK1138" i="30"/>
  <c r="AL1138" i="30" s="1"/>
  <c r="AK2533" i="30"/>
  <c r="AL2533" i="30" s="1"/>
  <c r="AK2368" i="30"/>
  <c r="AL2368" i="30" s="1"/>
  <c r="AK2201" i="30"/>
  <c r="AL2201" i="30" s="1"/>
  <c r="AK1789" i="30"/>
  <c r="AL1789" i="30" s="1"/>
  <c r="AK1184" i="30"/>
  <c r="AL1184" i="30" s="1"/>
  <c r="AK845" i="30"/>
  <c r="AL845" i="30" s="1"/>
  <c r="AK2087" i="30"/>
  <c r="AL2087" i="30" s="1"/>
  <c r="AK1193" i="30"/>
  <c r="AL1193" i="30" s="1"/>
  <c r="AK1795" i="30"/>
  <c r="AL1795" i="30" s="1"/>
  <c r="AK2843" i="30"/>
  <c r="AL2843" i="30" s="1"/>
  <c r="AK1740" i="30"/>
  <c r="AL1740" i="30" s="1"/>
  <c r="AK1645" i="30"/>
  <c r="AL1645" i="30" s="1"/>
  <c r="AK1328" i="30"/>
  <c r="AL1328" i="30" s="1"/>
  <c r="AK1786" i="30"/>
  <c r="AL1786" i="30" s="1"/>
  <c r="AK1396" i="30"/>
  <c r="AL1396" i="30" s="1"/>
  <c r="AK2507" i="30"/>
  <c r="AL2507" i="30" s="1"/>
  <c r="AK1967" i="30"/>
  <c r="AL1967" i="30" s="1"/>
  <c r="AK2535" i="30"/>
  <c r="AL2535" i="30" s="1"/>
  <c r="AK1363" i="30"/>
  <c r="AL1363" i="30" s="1"/>
  <c r="AK2710" i="30"/>
  <c r="AL2710" i="30" s="1"/>
  <c r="AK2383" i="30"/>
  <c r="AL2383" i="30" s="1"/>
  <c r="AK2214" i="30"/>
  <c r="AL2214" i="30" s="1"/>
  <c r="AK1949" i="30"/>
  <c r="AL1949" i="30" s="1"/>
  <c r="AK1194" i="30"/>
  <c r="AL1194" i="30" s="1"/>
  <c r="AK2129" i="30"/>
  <c r="AL2129" i="30" s="1"/>
  <c r="AK1455" i="30"/>
  <c r="AL1455" i="30" s="1"/>
  <c r="AK1953" i="30"/>
  <c r="AL1953" i="30" s="1"/>
  <c r="AK771" i="30"/>
  <c r="AL771" i="30" s="1"/>
  <c r="AK1928" i="30"/>
  <c r="AL1928" i="30" s="1"/>
  <c r="AK1703" i="30"/>
  <c r="AL1703" i="30" s="1"/>
  <c r="AK1367" i="30"/>
  <c r="AL1367" i="30" s="1"/>
  <c r="AK1838" i="30"/>
  <c r="AL1838" i="30" s="1"/>
  <c r="AK1409" i="30"/>
  <c r="AL1409" i="30" s="1"/>
  <c r="AK2755" i="30"/>
  <c r="AL2755" i="30" s="1"/>
  <c r="AK2074" i="30"/>
  <c r="AL2074" i="30" s="1"/>
  <c r="AK2796" i="30"/>
  <c r="AL2796" i="30" s="1"/>
  <c r="AK1390" i="30"/>
  <c r="AL1390" i="30" s="1"/>
  <c r="AK2725" i="30"/>
  <c r="AL2725" i="30" s="1"/>
  <c r="AK2418" i="30"/>
  <c r="AL2418" i="30" s="1"/>
  <c r="AK2257" i="30"/>
  <c r="AL2257" i="30" s="1"/>
  <c r="AK2020" i="30"/>
  <c r="AL2020" i="30" s="1"/>
  <c r="AK1041" i="30"/>
  <c r="AL1041" i="30" s="1"/>
  <c r="AK2217" i="30"/>
  <c r="AL2217" i="30" s="1"/>
  <c r="AK1518" i="30"/>
  <c r="AL1518" i="30" s="1"/>
  <c r="AK2034" i="30"/>
  <c r="AL2034" i="30" s="1"/>
  <c r="AK1213" i="30"/>
  <c r="AL1213" i="30" s="1"/>
  <c r="AK2045" i="30"/>
  <c r="AL2045" i="30" s="1"/>
  <c r="AK1714" i="30"/>
  <c r="AL1714" i="30" s="1"/>
  <c r="AK1400" i="30"/>
  <c r="AL1400" i="30" s="1"/>
  <c r="AK775" i="30"/>
  <c r="AL775" i="30" s="1"/>
  <c r="AK1430" i="30"/>
  <c r="AL1430" i="30" s="1"/>
  <c r="AK855" i="30"/>
  <c r="AL855" i="30" s="1"/>
  <c r="AK2174" i="30"/>
  <c r="AL2174" i="30" s="1"/>
  <c r="AK2828" i="30"/>
  <c r="AL2828" i="30" s="1"/>
  <c r="AK1429" i="30"/>
  <c r="AL1429" i="30" s="1"/>
  <c r="AK2838" i="30"/>
  <c r="AL2838" i="30" s="1"/>
  <c r="AK2436" i="30"/>
  <c r="AL2436" i="30" s="1"/>
  <c r="AK2277" i="30"/>
  <c r="AL2277" i="30" s="1"/>
  <c r="AK2067" i="30"/>
  <c r="AL2067" i="30" s="1"/>
  <c r="AK1107" i="30"/>
  <c r="AL1107" i="30" s="1"/>
  <c r="AK2376" i="30"/>
  <c r="AL2376" i="30" s="1"/>
  <c r="AK1597" i="30"/>
  <c r="AL1597" i="30" s="1"/>
  <c r="AK2375" i="30"/>
  <c r="AL2375" i="30" s="1"/>
  <c r="AK1168" i="30"/>
  <c r="AL1168" i="30" s="1"/>
  <c r="AK2126" i="30"/>
  <c r="AL2126" i="30" s="1"/>
  <c r="AE91" i="7"/>
  <c r="AE125" i="7"/>
  <c r="AK1477" i="30"/>
  <c r="AL1477" i="30" s="1"/>
  <c r="AK814" i="30"/>
  <c r="AL814" i="30" s="1"/>
  <c r="AK1472" i="30"/>
  <c r="AL1472" i="30" s="1"/>
  <c r="AK859" i="30"/>
  <c r="AL859" i="30" s="1"/>
  <c r="AK2202" i="30"/>
  <c r="AL2202" i="30" s="1"/>
  <c r="AK1208" i="30"/>
  <c r="AL1208" i="30" s="1"/>
  <c r="AK1509" i="30"/>
  <c r="AL1509" i="30" s="1"/>
  <c r="AK2849" i="30"/>
  <c r="AL2849" i="30" s="1"/>
  <c r="AK2452" i="30"/>
  <c r="AL2452" i="30" s="1"/>
  <c r="AK2285" i="30"/>
  <c r="AL2285" i="30" s="1"/>
  <c r="AK2181" i="30"/>
  <c r="AL2181" i="30" s="1"/>
  <c r="AK2421" i="30"/>
  <c r="AL2421" i="30" s="1"/>
  <c r="AK1759" i="30"/>
  <c r="AL1759" i="30" s="1"/>
  <c r="AK811" i="30"/>
  <c r="AL811" i="30" s="1"/>
  <c r="AK1346" i="30"/>
  <c r="AL1346" i="30" s="1"/>
  <c r="AK2168" i="30"/>
  <c r="AL2168" i="30" s="1"/>
  <c r="AK1556" i="30"/>
  <c r="AL1556" i="30" s="1"/>
  <c r="AK841" i="30"/>
  <c r="AL841" i="30" s="1"/>
  <c r="AK1512" i="30"/>
  <c r="AL1512" i="30" s="1"/>
  <c r="AK865" i="30"/>
  <c r="AL865" i="30" s="1"/>
  <c r="AK2246" i="30"/>
  <c r="AL2246" i="30" s="1"/>
  <c r="AK1311" i="30"/>
  <c r="AL1311" i="30" s="1"/>
  <c r="AK1542" i="30"/>
  <c r="AL1542" i="30" s="1"/>
  <c r="AK1805" i="30"/>
  <c r="AL1805" i="30" s="1"/>
  <c r="AK2475" i="30"/>
  <c r="AL2475" i="30" s="1"/>
  <c r="AK2297" i="30"/>
  <c r="AL2297" i="30" s="1"/>
  <c r="AK1131" i="30"/>
  <c r="AL1131" i="30" s="1"/>
  <c r="AK772" i="30"/>
  <c r="AL772" i="30" s="1"/>
  <c r="AK1779" i="30"/>
  <c r="AL1779" i="30" s="1"/>
  <c r="AK1051" i="30"/>
  <c r="AL1051" i="30" s="1"/>
  <c r="AK1489" i="30"/>
  <c r="AL1489" i="30" s="1"/>
  <c r="AK2523" i="30"/>
  <c r="AL2523" i="30" s="1"/>
  <c r="AK2094" i="30"/>
  <c r="AL2094" i="30" s="1"/>
  <c r="AK2060" i="30"/>
  <c r="AL2060" i="30" s="1"/>
  <c r="AK2051" i="30"/>
  <c r="AL2051" i="30" s="1"/>
  <c r="AK2043" i="30"/>
  <c r="AL2043" i="30" s="1"/>
  <c r="AK2012" i="30"/>
  <c r="AL2012" i="30" s="1"/>
  <c r="AK1982" i="30"/>
  <c r="AL1982" i="30" s="1"/>
  <c r="AK1962" i="30"/>
  <c r="AL1962" i="30" s="1"/>
  <c r="AK1952" i="30"/>
  <c r="AL1952" i="30" s="1"/>
  <c r="AK1944" i="30"/>
  <c r="AL1944" i="30" s="1"/>
  <c r="AK1927" i="30"/>
  <c r="AL1927" i="30" s="1"/>
  <c r="AK1912" i="30"/>
  <c r="AL1912" i="30" s="1"/>
  <c r="AK1286" i="30"/>
  <c r="AL1286" i="30" s="1"/>
  <c r="AK1734" i="30"/>
  <c r="AL1734" i="30" s="1"/>
  <c r="AK1722" i="30"/>
  <c r="AL1722" i="30" s="1"/>
  <c r="AK1519" i="30"/>
  <c r="AL1519" i="30" s="1"/>
  <c r="AK1421" i="30"/>
  <c r="AL1421" i="30" s="1"/>
  <c r="AK1350" i="30"/>
  <c r="AL1350" i="30" s="1"/>
  <c r="AK1233" i="30"/>
  <c r="AL1233" i="30" s="1"/>
  <c r="AK1163" i="30"/>
  <c r="AL1163" i="30" s="1"/>
  <c r="AK879" i="30"/>
  <c r="AL879" i="30" s="1"/>
  <c r="AK800" i="30"/>
  <c r="AL800" i="30" s="1"/>
  <c r="AK783" i="30"/>
  <c r="AL783" i="30" s="1"/>
  <c r="AK1592" i="30"/>
  <c r="AL1592" i="30" s="1"/>
  <c r="AK852" i="30"/>
  <c r="AL852" i="30" s="1"/>
  <c r="AK2850" i="30"/>
  <c r="AL2850" i="30" s="1"/>
  <c r="AK2483" i="30"/>
  <c r="AL2483" i="30" s="1"/>
  <c r="AK2258" i="30"/>
  <c r="AL2258" i="30" s="1"/>
  <c r="AK2115" i="30"/>
  <c r="AL2115" i="30" s="1"/>
  <c r="AK1733" i="30"/>
  <c r="AL1733" i="30" s="1"/>
  <c r="AK1701" i="30"/>
  <c r="AL1701" i="30" s="1"/>
  <c r="AK1576" i="30"/>
  <c r="AL1576" i="30" s="1"/>
  <c r="AK1327" i="30"/>
  <c r="AL1327" i="30" s="1"/>
  <c r="AK1216" i="30"/>
  <c r="AL1216" i="30" s="1"/>
  <c r="AK2792" i="30"/>
  <c r="AL2792" i="30" s="1"/>
  <c r="AK2030" i="30"/>
  <c r="AL2030" i="30" s="1"/>
  <c r="AK1630" i="30"/>
  <c r="AL1630" i="30" s="1"/>
  <c r="AK1527" i="30"/>
  <c r="AL1527" i="30" s="1"/>
  <c r="AK2806" i="30"/>
  <c r="AL2806" i="30" s="1"/>
  <c r="AK2785" i="30"/>
  <c r="AL2785" i="30" s="1"/>
  <c r="AK2519" i="30"/>
  <c r="AL2519" i="30" s="1"/>
  <c r="AK2345" i="30"/>
  <c r="AL2345" i="30" s="1"/>
  <c r="AK2281" i="30"/>
  <c r="AL2281" i="30" s="1"/>
  <c r="AK2207" i="30"/>
  <c r="AL2207" i="30" s="1"/>
  <c r="AK2152" i="30"/>
  <c r="AL2152" i="30" s="1"/>
  <c r="AK2091" i="30"/>
  <c r="AL2091" i="30" s="1"/>
  <c r="AK2025" i="30"/>
  <c r="AL2025" i="30" s="1"/>
  <c r="AK1997" i="30"/>
  <c r="AL1997" i="30" s="1"/>
  <c r="AK1977" i="30"/>
  <c r="AL1977" i="30" s="1"/>
  <c r="AK1872" i="30"/>
  <c r="AL1872" i="30" s="1"/>
  <c r="AK1843" i="30"/>
  <c r="AL1843" i="30" s="1"/>
  <c r="AK1811" i="30"/>
  <c r="AL1811" i="30" s="1"/>
  <c r="AK1771" i="30"/>
  <c r="AL1771" i="30" s="1"/>
  <c r="AK1118" i="30"/>
  <c r="AL1118" i="30" s="1"/>
  <c r="AK846" i="30"/>
  <c r="AL846" i="30" s="1"/>
  <c r="AK1803" i="30"/>
  <c r="AL1803" i="30" s="1"/>
  <c r="AK2855" i="30"/>
  <c r="AL2855" i="30" s="1"/>
  <c r="AK2839" i="30"/>
  <c r="AL2839" i="30" s="1"/>
  <c r="AK2807" i="30"/>
  <c r="AL2807" i="30" s="1"/>
  <c r="AK2768" i="30"/>
  <c r="AL2768" i="30" s="1"/>
  <c r="AK2754" i="30"/>
  <c r="AL2754" i="30" s="1"/>
  <c r="AK2743" i="30"/>
  <c r="AL2743" i="30" s="1"/>
  <c r="AK2498" i="30"/>
  <c r="AL2498" i="30" s="1"/>
  <c r="AK2490" i="30"/>
  <c r="AL2490" i="30" s="1"/>
  <c r="AK2478" i="30"/>
  <c r="AL2478" i="30" s="1"/>
  <c r="AK2453" i="30"/>
  <c r="AL2453" i="30" s="1"/>
  <c r="AK2427" i="30"/>
  <c r="AL2427" i="30" s="1"/>
  <c r="AK2408" i="30"/>
  <c r="AL2408" i="30" s="1"/>
  <c r="AK2404" i="30"/>
  <c r="AL2404" i="30" s="1"/>
  <c r="AK2400" i="30"/>
  <c r="AL2400" i="30" s="1"/>
  <c r="AK2394" i="30"/>
  <c r="AL2394" i="30" s="1"/>
  <c r="AK2390" i="30"/>
  <c r="AL2390" i="30" s="1"/>
  <c r="AK2374" i="30"/>
  <c r="AL2374" i="30" s="1"/>
  <c r="AK2331" i="30"/>
  <c r="AL2331" i="30" s="1"/>
  <c r="AK2309" i="30"/>
  <c r="AL2309" i="30" s="1"/>
  <c r="AK2286" i="30"/>
  <c r="AL2286" i="30" s="1"/>
  <c r="AK2264" i="30"/>
  <c r="AL2264" i="30" s="1"/>
  <c r="AK1291" i="30"/>
  <c r="AL1291" i="30" s="1"/>
  <c r="AK2208" i="30"/>
  <c r="AL2208" i="30" s="1"/>
  <c r="AK2167" i="30"/>
  <c r="AL2167" i="30" s="1"/>
  <c r="AK2141" i="30"/>
  <c r="AL2141" i="30" s="1"/>
  <c r="AK2130" i="30"/>
  <c r="AL2130" i="30" s="1"/>
  <c r="AK2122" i="30"/>
  <c r="AL2122" i="30" s="1"/>
  <c r="AK2114" i="30"/>
  <c r="AL2114" i="30" s="1"/>
  <c r="AK2106" i="30"/>
  <c r="AL2106" i="30" s="1"/>
  <c r="AK2098" i="30"/>
  <c r="AL2098" i="30" s="1"/>
  <c r="AK2083" i="30"/>
  <c r="AL2083" i="30" s="1"/>
  <c r="AK2071" i="30"/>
  <c r="AL2071" i="30" s="1"/>
  <c r="AK1879" i="30"/>
  <c r="AL1879" i="30" s="1"/>
  <c r="AK1859" i="30"/>
  <c r="AL1859" i="30" s="1"/>
  <c r="AK1820" i="30"/>
  <c r="AL1820" i="30" s="1"/>
  <c r="AK1635" i="30"/>
  <c r="AL1635" i="30" s="1"/>
  <c r="AK1536" i="30"/>
  <c r="AL1536" i="30" s="1"/>
  <c r="AK1456" i="30"/>
  <c r="AL1456" i="30" s="1"/>
  <c r="AK1384" i="30"/>
  <c r="AL1384" i="30" s="1"/>
  <c r="AK833" i="30"/>
  <c r="AL833" i="30" s="1"/>
  <c r="AK1766" i="30"/>
  <c r="AL1766" i="30" s="1"/>
  <c r="AK1600" i="30"/>
  <c r="AL1600" i="30" s="1"/>
  <c r="AK864" i="30"/>
  <c r="AL864" i="30" s="1"/>
  <c r="AK2744" i="30"/>
  <c r="AL2744" i="30" s="1"/>
  <c r="AK2493" i="30"/>
  <c r="AL2493" i="30" s="1"/>
  <c r="AK2459" i="30"/>
  <c r="AL2459" i="30" s="1"/>
  <c r="AK2443" i="30"/>
  <c r="AL2443" i="30" s="1"/>
  <c r="AK2099" i="30"/>
  <c r="AL2099" i="30" s="1"/>
  <c r="AK1909" i="30"/>
  <c r="AL1909" i="30" s="1"/>
  <c r="AK1860" i="30"/>
  <c r="AL1860" i="30" s="1"/>
  <c r="AK1796" i="30"/>
  <c r="AL1796" i="30" s="1"/>
  <c r="AK1687" i="30"/>
  <c r="AL1687" i="30" s="1"/>
  <c r="AK1555" i="30"/>
  <c r="AL1555" i="30" s="1"/>
  <c r="AK1544" i="30"/>
  <c r="AL1544" i="30" s="1"/>
  <c r="AK1535" i="30"/>
  <c r="AL1535" i="30" s="1"/>
  <c r="AK1438" i="30"/>
  <c r="AL1438" i="30" s="1"/>
  <c r="AK1416" i="30"/>
  <c r="AL1416" i="30" s="1"/>
  <c r="AK1141" i="30"/>
  <c r="AL1141" i="30" s="1"/>
  <c r="AK1064" i="30"/>
  <c r="AL1064" i="30" s="1"/>
  <c r="AK892" i="30"/>
  <c r="AL892" i="30" s="1"/>
  <c r="AK2771" i="30"/>
  <c r="AL2771" i="30" s="1"/>
  <c r="AK2516" i="30"/>
  <c r="AL2516" i="30" s="1"/>
  <c r="AK2432" i="30"/>
  <c r="AL2432" i="30" s="1"/>
  <c r="AK2287" i="30"/>
  <c r="AL2287" i="30" s="1"/>
  <c r="AK1963" i="30"/>
  <c r="AL1963" i="30" s="1"/>
  <c r="AK1871" i="30"/>
  <c r="AL1871" i="30" s="1"/>
  <c r="AK2040" i="30"/>
  <c r="AL2040" i="30" s="1"/>
  <c r="AK2813" i="30"/>
  <c r="AL2813" i="30" s="1"/>
  <c r="AK2760" i="30"/>
  <c r="AL2760" i="30" s="1"/>
  <c r="AK2749" i="30"/>
  <c r="AL2749" i="30" s="1"/>
  <c r="AK2542" i="30"/>
  <c r="AL2542" i="30" s="1"/>
  <c r="AK2497" i="30"/>
  <c r="AL2497" i="30" s="1"/>
  <c r="AK2489" i="30"/>
  <c r="AL2489" i="30" s="1"/>
  <c r="AK2466" i="30"/>
  <c r="AL2466" i="30" s="1"/>
  <c r="AK2431" i="30"/>
  <c r="AL2431" i="30" s="1"/>
  <c r="AK2367" i="30"/>
  <c r="AL2367" i="30" s="1"/>
  <c r="AK2357" i="30"/>
  <c r="AL2357" i="30" s="1"/>
  <c r="AK2321" i="30"/>
  <c r="AL2321" i="30" s="1"/>
  <c r="AK2305" i="30"/>
  <c r="AL2305" i="30" s="1"/>
  <c r="AK2294" i="30"/>
  <c r="AL2294" i="30" s="1"/>
  <c r="AK2282" i="30"/>
  <c r="AL2282" i="30" s="1"/>
  <c r="AK2268" i="30"/>
  <c r="AL2268" i="30" s="1"/>
  <c r="AK2251" i="30"/>
  <c r="AL2251" i="30" s="1"/>
  <c r="AK1290" i="30"/>
  <c r="AL1290" i="30" s="1"/>
  <c r="AK2224" i="30"/>
  <c r="AL2224" i="30" s="1"/>
  <c r="AK2184" i="30"/>
  <c r="AL2184" i="30" s="1"/>
  <c r="AK2159" i="30"/>
  <c r="AL2159" i="30" s="1"/>
  <c r="AK2142" i="30"/>
  <c r="AL2142" i="30" s="1"/>
  <c r="AK2133" i="30"/>
  <c r="AL2133" i="30" s="1"/>
  <c r="AK2120" i="30"/>
  <c r="AL2120" i="30" s="1"/>
  <c r="AK2111" i="30"/>
  <c r="AL2111" i="30" s="1"/>
  <c r="AK2102" i="30"/>
  <c r="AL2102" i="30" s="1"/>
  <c r="AK2082" i="30"/>
  <c r="AL2082" i="30" s="1"/>
  <c r="AK2070" i="30"/>
  <c r="AL2070" i="30" s="1"/>
  <c r="AK2038" i="30"/>
  <c r="AL2038" i="30" s="1"/>
  <c r="AK2007" i="30"/>
  <c r="AL2007" i="30" s="1"/>
  <c r="AK2001" i="30"/>
  <c r="AL2001" i="30" s="1"/>
  <c r="AK1979" i="30"/>
  <c r="AL1979" i="30" s="1"/>
  <c r="AK1924" i="30"/>
  <c r="AL1924" i="30" s="1"/>
  <c r="AK1158" i="30"/>
  <c r="AL1158" i="30" s="1"/>
  <c r="AK1078" i="30"/>
  <c r="AL1078" i="30" s="1"/>
  <c r="AK1621" i="30"/>
  <c r="AL1621" i="30" s="1"/>
  <c r="AK1497" i="30"/>
  <c r="AL1497" i="30" s="1"/>
  <c r="AK1441" i="30"/>
  <c r="AL1441" i="30" s="1"/>
  <c r="AK1360" i="30"/>
  <c r="AL1360" i="30" s="1"/>
  <c r="AK1212" i="30"/>
  <c r="AL1212" i="30" s="1"/>
  <c r="AK1092" i="30"/>
  <c r="AL1092" i="30" s="1"/>
  <c r="AK1570" i="30"/>
  <c r="AL1570" i="30" s="1"/>
  <c r="AK1451" i="30"/>
  <c r="AL1451" i="30" s="1"/>
  <c r="AK832" i="30"/>
  <c r="AL832" i="30" s="1"/>
  <c r="AK2734" i="30"/>
  <c r="AL2734" i="30" s="1"/>
  <c r="AK2310" i="30"/>
  <c r="AL2310" i="30" s="1"/>
  <c r="AK2138" i="30"/>
  <c r="AL2138" i="30" s="1"/>
  <c r="AK2002" i="30"/>
  <c r="AL2002" i="30" s="1"/>
  <c r="AK1913" i="30"/>
  <c r="AL1913" i="30" s="1"/>
  <c r="AK1494" i="30"/>
  <c r="AL1494" i="30" s="1"/>
  <c r="AK2225" i="30"/>
  <c r="AL2225" i="30" s="1"/>
  <c r="AK2061" i="30"/>
  <c r="AL2061" i="30" s="1"/>
  <c r="AK2026" i="30"/>
  <c r="AL2026" i="30" s="1"/>
  <c r="AK1945" i="30"/>
  <c r="AL1945" i="30" s="1"/>
  <c r="AK1815" i="30"/>
  <c r="AL1815" i="30" s="1"/>
  <c r="AK1778" i="30"/>
  <c r="AL1778" i="30" s="1"/>
  <c r="AK1643" i="30"/>
  <c r="AL1643" i="30" s="1"/>
  <c r="AK1564" i="30"/>
  <c r="AL1564" i="30" s="1"/>
  <c r="AK1467" i="30"/>
  <c r="AL1467" i="30" s="1"/>
  <c r="AK1408" i="30"/>
  <c r="AL1408" i="30" s="1"/>
  <c r="AK1320" i="30"/>
  <c r="AL1320" i="30" s="1"/>
  <c r="AK779" i="30"/>
  <c r="AL779" i="30" s="1"/>
  <c r="AK2844" i="30"/>
  <c r="AL2844" i="30" s="1"/>
  <c r="AK2829" i="30"/>
  <c r="AL2829" i="30" s="1"/>
  <c r="AK2759" i="30"/>
  <c r="AL2759" i="30" s="1"/>
  <c r="AK2748" i="30"/>
  <c r="AL2748" i="30" s="1"/>
  <c r="AK2724" i="30"/>
  <c r="AL2724" i="30" s="1"/>
  <c r="AK2541" i="30"/>
  <c r="AL2541" i="30" s="1"/>
  <c r="AK2494" i="30"/>
  <c r="AL2494" i="30" s="1"/>
  <c r="AK2484" i="30"/>
  <c r="AL2484" i="30" s="1"/>
  <c r="AK2463" i="30"/>
  <c r="AL2463" i="30" s="1"/>
  <c r="AK2435" i="30"/>
  <c r="AL2435" i="30" s="1"/>
  <c r="AK2417" i="30"/>
  <c r="AL2417" i="30" s="1"/>
  <c r="AK2407" i="30"/>
  <c r="AL2407" i="30" s="1"/>
  <c r="AK2403" i="30"/>
  <c r="AL2403" i="30" s="1"/>
  <c r="AK2399" i="30"/>
  <c r="AL2399" i="30" s="1"/>
  <c r="AK2393" i="30"/>
  <c r="AL2393" i="30" s="1"/>
  <c r="AK2389" i="30"/>
  <c r="AL2389" i="30" s="1"/>
  <c r="AK2382" i="30"/>
  <c r="AL2382" i="30" s="1"/>
  <c r="AK2342" i="30"/>
  <c r="AL2342" i="30" s="1"/>
  <c r="AK2320" i="30"/>
  <c r="AL2320" i="30" s="1"/>
  <c r="AK2304" i="30"/>
  <c r="AL2304" i="30" s="1"/>
  <c r="AK2292" i="30"/>
  <c r="AL2292" i="30" s="1"/>
  <c r="AK2272" i="30"/>
  <c r="AL2272" i="30" s="1"/>
  <c r="AK2254" i="30"/>
  <c r="AL2254" i="30" s="1"/>
  <c r="AK1283" i="30"/>
  <c r="AL1283" i="30" s="1"/>
  <c r="AK2213" i="30"/>
  <c r="AL2213" i="30" s="1"/>
  <c r="AK2198" i="30"/>
  <c r="AL2198" i="30" s="1"/>
  <c r="AK2179" i="30"/>
  <c r="AL2179" i="30" s="1"/>
  <c r="AK2146" i="30"/>
  <c r="AL2146" i="30" s="1"/>
  <c r="AK2134" i="30"/>
  <c r="AL2134" i="30" s="1"/>
  <c r="AK2119" i="30"/>
  <c r="AL2119" i="30" s="1"/>
  <c r="AK2110" i="30"/>
  <c r="AL2110" i="30" s="1"/>
  <c r="AK2101" i="30"/>
  <c r="AL2101" i="30" s="1"/>
  <c r="AK2075" i="30"/>
  <c r="AL2075" i="30" s="1"/>
  <c r="AK2016" i="30"/>
  <c r="AL2016" i="30" s="1"/>
  <c r="AK1990" i="30"/>
  <c r="AL1990" i="30" s="1"/>
  <c r="AK1986" i="30"/>
  <c r="AL1986" i="30" s="1"/>
  <c r="AK1968" i="30"/>
  <c r="AL1968" i="30" s="1"/>
  <c r="AK1920" i="30"/>
  <c r="AL1920" i="30" s="1"/>
  <c r="AK1903" i="30"/>
  <c r="AL1903" i="30" s="1"/>
  <c r="AK1894" i="30"/>
  <c r="AL1894" i="30" s="1"/>
  <c r="AK1886" i="30"/>
  <c r="AL1886" i="30" s="1"/>
  <c r="AK1819" i="30"/>
  <c r="AL1819" i="30" s="1"/>
  <c r="AK1798" i="30"/>
  <c r="AL1798" i="30" s="1"/>
  <c r="AK1770" i="30"/>
  <c r="AL1770" i="30" s="1"/>
  <c r="AK1653" i="30"/>
  <c r="AL1653" i="30" s="1"/>
  <c r="AK1611" i="30"/>
  <c r="AL1611" i="30" s="1"/>
  <c r="AK1551" i="30"/>
  <c r="AL1551" i="30" s="1"/>
  <c r="AK1492" i="30"/>
  <c r="AL1492" i="30" s="1"/>
  <c r="AK1339" i="30"/>
  <c r="AL1339" i="30" s="1"/>
  <c r="AK1323" i="30"/>
  <c r="AL1323" i="30" s="1"/>
  <c r="AK1306" i="30"/>
  <c r="AL1306" i="30" s="1"/>
  <c r="AK1232" i="30"/>
  <c r="AL1232" i="30" s="1"/>
  <c r="AK1189" i="30"/>
  <c r="AL1189" i="30" s="1"/>
  <c r="AK1142" i="30"/>
  <c r="AL1142" i="30" s="1"/>
  <c r="AK1091" i="30"/>
  <c r="AL1091" i="30" s="1"/>
  <c r="AK1065" i="30"/>
  <c r="AL1065" i="30" s="1"/>
  <c r="AK1045" i="30"/>
  <c r="AL1045" i="30" s="1"/>
  <c r="AK872" i="30"/>
  <c r="AL872" i="30" s="1"/>
  <c r="AK868" i="30"/>
  <c r="AL868" i="30" s="1"/>
  <c r="AK860" i="30"/>
  <c r="AL860" i="30" s="1"/>
  <c r="AK856" i="30"/>
  <c r="AL856" i="30" s="1"/>
  <c r="AK851" i="30"/>
  <c r="AL851" i="30" s="1"/>
  <c r="AK844" i="30"/>
  <c r="AL844" i="30" s="1"/>
  <c r="AK2358" i="30"/>
  <c r="AL2358" i="30" s="1"/>
  <c r="AK2288" i="30"/>
  <c r="AL2288" i="30" s="1"/>
  <c r="AK2107" i="30"/>
  <c r="AL2107" i="30" s="1"/>
  <c r="AK1919" i="30"/>
  <c r="AL1919" i="30" s="1"/>
  <c r="AK1898" i="30"/>
  <c r="AL1898" i="30" s="1"/>
  <c r="AK1802" i="30"/>
  <c r="AL1802" i="30" s="1"/>
  <c r="AK1692" i="30"/>
  <c r="AL1692" i="30" s="1"/>
  <c r="AK1659" i="30"/>
  <c r="AL1659" i="30" s="1"/>
  <c r="AK1605" i="30"/>
  <c r="AL1605" i="30" s="1"/>
  <c r="AK1249" i="30"/>
  <c r="AL1249" i="30" s="1"/>
  <c r="AK1125" i="30"/>
  <c r="AL1125" i="30" s="1"/>
  <c r="AK2786" i="30"/>
  <c r="AL2786" i="30" s="1"/>
  <c r="AK2711" i="30"/>
  <c r="AL2711" i="30" s="1"/>
  <c r="AK2458" i="30"/>
  <c r="AL2458" i="30" s="1"/>
  <c r="AK2349" i="30"/>
  <c r="AL2349" i="30" s="1"/>
  <c r="AK2298" i="30"/>
  <c r="AL2298" i="30" s="1"/>
  <c r="AK2271" i="30"/>
  <c r="AL2271" i="30" s="1"/>
  <c r="AK2021" i="30"/>
  <c r="AL2021" i="30" s="1"/>
  <c r="AK1996" i="30"/>
  <c r="AL1996" i="30" s="1"/>
  <c r="AK1975" i="30"/>
  <c r="AL1975" i="30" s="1"/>
  <c r="AK1867" i="30"/>
  <c r="AL1867" i="30" s="1"/>
  <c r="AK1834" i="30"/>
  <c r="AL1834" i="30" s="1"/>
  <c r="AK1762" i="30"/>
  <c r="AL1762" i="30" s="1"/>
  <c r="AK1730" i="30"/>
  <c r="AL1730" i="30" s="1"/>
  <c r="AK1684" i="30"/>
  <c r="AL1684" i="30" s="1"/>
  <c r="AK1649" i="30"/>
  <c r="AL1649" i="30" s="1"/>
  <c r="AK1620" i="30"/>
  <c r="AL1620" i="30" s="1"/>
  <c r="AK1371" i="30"/>
  <c r="AL1371" i="30" s="1"/>
  <c r="AK1356" i="30"/>
  <c r="AL1356" i="30" s="1"/>
  <c r="AK1338" i="30"/>
  <c r="AL1338" i="30" s="1"/>
  <c r="AK1244" i="30"/>
  <c r="AL1244" i="30" s="1"/>
  <c r="AK1209" i="30"/>
  <c r="AL1209" i="30" s="1"/>
  <c r="AK1151" i="30"/>
  <c r="AL1151" i="30" s="1"/>
  <c r="AK789" i="30"/>
  <c r="AL789" i="30" s="1"/>
  <c r="AK2812" i="30"/>
  <c r="AL2812" i="30" s="1"/>
  <c r="AK2772" i="30"/>
  <c r="AL2772" i="30" s="1"/>
  <c r="AK2721" i="30"/>
  <c r="AL2721" i="30" s="1"/>
  <c r="AK2538" i="30"/>
  <c r="AL2538" i="30" s="1"/>
  <c r="AK2525" i="30"/>
  <c r="AL2525" i="30" s="1"/>
  <c r="AK2518" i="30"/>
  <c r="AL2518" i="30" s="1"/>
  <c r="AK2510" i="30"/>
  <c r="AL2510" i="30" s="1"/>
  <c r="AK2462" i="30"/>
  <c r="AL2462" i="30" s="1"/>
  <c r="AK2446" i="30"/>
  <c r="AL2446" i="30" s="1"/>
  <c r="AK2428" i="30"/>
  <c r="AL2428" i="30" s="1"/>
  <c r="AK2385" i="30"/>
  <c r="AL2385" i="30" s="1"/>
  <c r="AK2379" i="30"/>
  <c r="AL2379" i="30" s="1"/>
  <c r="AK2350" i="30"/>
  <c r="AL2350" i="30" s="1"/>
  <c r="AK2316" i="30"/>
  <c r="AL2316" i="30" s="1"/>
  <c r="AK2302" i="30"/>
  <c r="AL2302" i="30" s="1"/>
  <c r="AK2291" i="30"/>
  <c r="AL2291" i="30" s="1"/>
  <c r="AK2267" i="30"/>
  <c r="AL2267" i="30" s="1"/>
  <c r="AK2250" i="30"/>
  <c r="AL2250" i="30" s="1"/>
  <c r="AK2210" i="30"/>
  <c r="AL2210" i="30" s="1"/>
  <c r="AK2175" i="30"/>
  <c r="AL2175" i="30" s="1"/>
  <c r="AK2160" i="30"/>
  <c r="AL2160" i="30" s="1"/>
  <c r="AK2090" i="30"/>
  <c r="AL2090" i="30" s="1"/>
  <c r="AK2063" i="30"/>
  <c r="AL2063" i="30" s="1"/>
  <c r="AK2056" i="30"/>
  <c r="AL2056" i="30" s="1"/>
  <c r="AK2047" i="30"/>
  <c r="AL2047" i="30" s="1"/>
  <c r="AK2011" i="30"/>
  <c r="AL2011" i="30" s="1"/>
  <c r="AK1983" i="30"/>
  <c r="AL1983" i="30" s="1"/>
  <c r="AK1956" i="30"/>
  <c r="AL1956" i="30" s="1"/>
  <c r="AK1948" i="30"/>
  <c r="AL1948" i="30" s="1"/>
  <c r="AK1938" i="30"/>
  <c r="AL1938" i="30" s="1"/>
  <c r="AK2015" i="30"/>
  <c r="AL2015" i="30" s="1"/>
  <c r="AK1991" i="30"/>
  <c r="AL1991" i="30" s="1"/>
  <c r="AK1987" i="30"/>
  <c r="AL1987" i="30" s="1"/>
  <c r="AK1916" i="30"/>
  <c r="AL1916" i="30" s="1"/>
  <c r="AK1907" i="30"/>
  <c r="AL1907" i="30" s="1"/>
  <c r="AK1901" i="30"/>
  <c r="AL1901" i="30" s="1"/>
  <c r="AK1792" i="30"/>
  <c r="AL1792" i="30" s="1"/>
  <c r="AK1906" i="30"/>
  <c r="AL1906" i="30" s="1"/>
  <c r="AK1885" i="30"/>
  <c r="AL1885" i="30" s="1"/>
  <c r="AK1878" i="30"/>
  <c r="AL1878" i="30" s="1"/>
  <c r="AK1856" i="30"/>
  <c r="AL1856" i="30" s="1"/>
  <c r="AK1833" i="30"/>
  <c r="AL1833" i="30" s="1"/>
  <c r="AK1813" i="30"/>
  <c r="AL1813" i="30" s="1"/>
  <c r="AK1198" i="30"/>
  <c r="AL1198" i="30" s="1"/>
  <c r="AK1881" i="30"/>
  <c r="AL1881" i="30" s="1"/>
  <c r="AK1855" i="30"/>
  <c r="AL1855" i="30" s="1"/>
  <c r="AK1892" i="30"/>
  <c r="AL1892" i="30" s="1"/>
  <c r="AK1775" i="30"/>
  <c r="AL1775" i="30" s="1"/>
  <c r="AK1751" i="30"/>
  <c r="AL1751" i="30" s="1"/>
  <c r="AK1744" i="30"/>
  <c r="AL1744" i="30" s="1"/>
  <c r="AK1717" i="30"/>
  <c r="AL1717" i="30" s="1"/>
  <c r="AK1700" i="30"/>
  <c r="AL1700" i="30" s="1"/>
  <c r="AK1695" i="30"/>
  <c r="AL1695" i="30" s="1"/>
  <c r="AK1674" i="30"/>
  <c r="AL1674" i="30" s="1"/>
  <c r="AK1670" i="30"/>
  <c r="AL1670" i="30" s="1"/>
  <c r="AK1666" i="30"/>
  <c r="AL1666" i="30" s="1"/>
  <c r="AK1658" i="30"/>
  <c r="AL1658" i="30" s="1"/>
  <c r="AK1571" i="30"/>
  <c r="AL1571" i="30" s="1"/>
  <c r="AK1552" i="30"/>
  <c r="AL1552" i="30" s="1"/>
  <c r="AK1531" i="30"/>
  <c r="AL1531" i="30" s="1"/>
  <c r="AK1513" i="30"/>
  <c r="AL1513" i="30" s="1"/>
  <c r="AK1493" i="30"/>
  <c r="AL1493" i="30" s="1"/>
  <c r="AK1473" i="30"/>
  <c r="AL1473" i="30" s="1"/>
  <c r="AK1452" i="30"/>
  <c r="AL1452" i="30" s="1"/>
  <c r="AK1437" i="30"/>
  <c r="AL1437" i="30" s="1"/>
  <c r="AK1415" i="30"/>
  <c r="AL1415" i="30" s="1"/>
  <c r="AK1799" i="30"/>
  <c r="AL1799" i="30" s="1"/>
  <c r="AK1790" i="30"/>
  <c r="AL1790" i="30" s="1"/>
  <c r="AK1774" i="30"/>
  <c r="AL1774" i="30" s="1"/>
  <c r="AK1837" i="30"/>
  <c r="AL1837" i="30" s="1"/>
  <c r="AK1828" i="30"/>
  <c r="AL1828" i="30" s="1"/>
  <c r="AK1806" i="30"/>
  <c r="AL1806" i="30" s="1"/>
  <c r="AK1864" i="30"/>
  <c r="AL1864" i="30" s="1"/>
  <c r="AK1848" i="30"/>
  <c r="AL1848" i="30" s="1"/>
  <c r="AK1844" i="30"/>
  <c r="AL1844" i="30" s="1"/>
  <c r="AK1827" i="30"/>
  <c r="AL1827" i="30" s="1"/>
  <c r="AK1810" i="30"/>
  <c r="AL1810" i="30" s="1"/>
  <c r="AK1801" i="30"/>
  <c r="AL1801" i="30" s="1"/>
  <c r="AK1793" i="30"/>
  <c r="AL1793" i="30" s="1"/>
  <c r="AK1776" i="30"/>
  <c r="AL1776" i="30" s="1"/>
  <c r="AK1767" i="30"/>
  <c r="AL1767" i="30" s="1"/>
  <c r="AK1763" i="30"/>
  <c r="AL1763" i="30" s="1"/>
  <c r="AK1754" i="30"/>
  <c r="AL1754" i="30" s="1"/>
  <c r="AK1743" i="30"/>
  <c r="AL1743" i="30" s="1"/>
  <c r="AK1735" i="30"/>
  <c r="AL1735" i="30" s="1"/>
  <c r="AK1725" i="30"/>
  <c r="AL1725" i="30" s="1"/>
  <c r="AK1721" i="30"/>
  <c r="AL1721" i="30" s="1"/>
  <c r="AK1704" i="30"/>
  <c r="AL1704" i="30" s="1"/>
  <c r="AK1680" i="30"/>
  <c r="AL1680" i="30" s="1"/>
  <c r="AK1615" i="30"/>
  <c r="AL1615" i="30" s="1"/>
  <c r="AK1604" i="30"/>
  <c r="AL1604" i="30" s="1"/>
  <c r="AK1596" i="30"/>
  <c r="AL1596" i="30" s="1"/>
  <c r="AK1580" i="30"/>
  <c r="AL1580" i="30" s="1"/>
  <c r="AK1559" i="30"/>
  <c r="AL1559" i="30" s="1"/>
  <c r="AK1541" i="30"/>
  <c r="AL1541" i="30" s="1"/>
  <c r="AK1522" i="30"/>
  <c r="AL1522" i="30" s="1"/>
  <c r="AK1480" i="30"/>
  <c r="AL1480" i="30" s="1"/>
  <c r="AK1459" i="30"/>
  <c r="AL1459" i="30" s="1"/>
  <c r="AK1442" i="30"/>
  <c r="AL1442" i="30" s="1"/>
  <c r="AK1401" i="30"/>
  <c r="AL1401" i="30" s="1"/>
  <c r="AK1370" i="30"/>
  <c r="AL1370" i="30" s="1"/>
  <c r="AK1361" i="30"/>
  <c r="AL1361" i="30" s="1"/>
  <c r="AK1352" i="30"/>
  <c r="AL1352" i="30" s="1"/>
  <c r="AK1345" i="30"/>
  <c r="AL1345" i="30" s="1"/>
  <c r="AK1324" i="30"/>
  <c r="AL1324" i="30" s="1"/>
  <c r="AK1307" i="30"/>
  <c r="AL1307" i="30" s="1"/>
  <c r="AK1239" i="30"/>
  <c r="AL1239" i="30" s="1"/>
  <c r="AK1220" i="30"/>
  <c r="AL1220" i="30" s="1"/>
  <c r="AK1729" i="30"/>
  <c r="AL1729" i="30" s="1"/>
  <c r="AK1784" i="30"/>
  <c r="AL1784" i="30" s="1"/>
  <c r="AK1502" i="30"/>
  <c r="AL1502" i="30" s="1"/>
  <c r="AK1422" i="30"/>
  <c r="AL1422" i="30" s="1"/>
  <c r="AK1331" i="30"/>
  <c r="AL1331" i="30" s="1"/>
  <c r="AK1315" i="30"/>
  <c r="AL1315" i="30" s="1"/>
  <c r="AK1243" i="30"/>
  <c r="AL1243" i="30" s="1"/>
  <c r="AK1203" i="30"/>
  <c r="AL1203" i="30" s="1"/>
  <c r="AK1197" i="30"/>
  <c r="AL1197" i="30" s="1"/>
  <c r="AK1124" i="30"/>
  <c r="AL1124" i="30" s="1"/>
  <c r="AK1106" i="30"/>
  <c r="AL1106" i="30" s="1"/>
  <c r="AK1059" i="30"/>
  <c r="AL1059" i="30" s="1"/>
  <c r="AK1049" i="30"/>
  <c r="AL1049" i="30" s="1"/>
  <c r="AK885" i="30"/>
  <c r="AL885" i="30" s="1"/>
  <c r="AK815" i="30"/>
  <c r="AL815" i="30" s="1"/>
  <c r="AK1190" i="30"/>
  <c r="AL1190" i="30" s="1"/>
  <c r="AK1167" i="30"/>
  <c r="AL1167" i="30" s="1"/>
  <c r="AK1157" i="30"/>
  <c r="AL1157" i="30" s="1"/>
  <c r="AK1150" i="30"/>
  <c r="AL1150" i="30" s="1"/>
  <c r="AK1710" i="30"/>
  <c r="AL1710" i="30" s="1"/>
  <c r="AK1688" i="30"/>
  <c r="AL1688" i="30" s="1"/>
  <c r="AK1648" i="30"/>
  <c r="AL1648" i="30" s="1"/>
  <c r="AK1612" i="30"/>
  <c r="AL1612" i="30" s="1"/>
  <c r="AK1601" i="30"/>
  <c r="AL1601" i="30" s="1"/>
  <c r="AK1593" i="30"/>
  <c r="AL1593" i="30" s="1"/>
  <c r="AK1563" i="30"/>
  <c r="AL1563" i="30" s="1"/>
  <c r="AK1526" i="30"/>
  <c r="AL1526" i="30" s="1"/>
  <c r="AK1506" i="30"/>
  <c r="AL1506" i="30" s="1"/>
  <c r="AK1488" i="30"/>
  <c r="AL1488" i="30" s="1"/>
  <c r="AK1466" i="30"/>
  <c r="AL1466" i="30" s="1"/>
  <c r="AK1426" i="30"/>
  <c r="AL1426" i="30" s="1"/>
  <c r="AK1405" i="30"/>
  <c r="AL1405" i="30" s="1"/>
  <c r="AK1335" i="30"/>
  <c r="AL1335" i="30" s="1"/>
  <c r="AK1319" i="30"/>
  <c r="AL1319" i="30" s="1"/>
  <c r="AK1238" i="30"/>
  <c r="AL1238" i="30" s="1"/>
  <c r="AK1750" i="30"/>
  <c r="AL1750" i="30" s="1"/>
  <c r="AK1726" i="30"/>
  <c r="AL1726" i="30" s="1"/>
  <c r="AK1718" i="30"/>
  <c r="AL1718" i="30" s="1"/>
  <c r="AK1709" i="30"/>
  <c r="AL1709" i="30" s="1"/>
  <c r="AK768" i="30"/>
  <c r="AL768" i="30" s="1"/>
  <c r="AK1101" i="30"/>
  <c r="AL1101" i="30" s="1"/>
  <c r="AK1074" i="30"/>
  <c r="AL1074" i="30" s="1"/>
  <c r="AK1046" i="30"/>
  <c r="AL1046" i="30" s="1"/>
  <c r="AK840" i="30"/>
  <c r="AL840" i="30" s="1"/>
  <c r="AK824" i="30"/>
  <c r="AL824" i="30" s="1"/>
  <c r="AK794" i="30"/>
  <c r="AL794" i="30" s="1"/>
  <c r="AK2465" i="30"/>
  <c r="AL2465" i="30" s="1"/>
  <c r="AK2151" i="30"/>
  <c r="AL2151" i="30" s="1"/>
  <c r="AK2057" i="30"/>
  <c r="AL2057" i="30" s="1"/>
  <c r="AK2037" i="30"/>
  <c r="AL2037" i="30" s="1"/>
  <c r="AK2029" i="30"/>
  <c r="AL2029" i="30" s="1"/>
  <c r="AK1957" i="30"/>
  <c r="AL1957" i="30" s="1"/>
  <c r="AK1939" i="30"/>
  <c r="AL1939" i="30" s="1"/>
  <c r="AK1910" i="30"/>
  <c r="AL1910" i="30" s="1"/>
  <c r="AK1899" i="30"/>
  <c r="AL1899" i="30" s="1"/>
  <c r="AK1868" i="30"/>
  <c r="AL1868" i="30" s="1"/>
  <c r="AK1847" i="30"/>
  <c r="AL1847" i="30" s="1"/>
  <c r="AK1824" i="30"/>
  <c r="AL1824" i="30" s="1"/>
  <c r="AK1114" i="30"/>
  <c r="AL1114" i="30" s="1"/>
  <c r="AK1102" i="30"/>
  <c r="AL1102" i="30" s="1"/>
  <c r="AK1084" i="30"/>
  <c r="AL1084" i="30" s="1"/>
  <c r="AK1077" i="30"/>
  <c r="AL1077" i="30" s="1"/>
  <c r="AK884" i="30"/>
  <c r="AL884" i="30" s="1"/>
  <c r="AK806" i="30"/>
  <c r="AL806" i="30" s="1"/>
  <c r="AK793" i="30"/>
  <c r="AL793" i="30" s="1"/>
  <c r="AK784" i="30"/>
  <c r="AL784" i="30" s="1"/>
  <c r="AK776" i="30"/>
  <c r="AL776" i="30" s="1"/>
  <c r="AK1132" i="30"/>
  <c r="AL1132" i="30" s="1"/>
  <c r="AK1146" i="30"/>
  <c r="AL1146" i="30" s="1"/>
  <c r="AK1058" i="30"/>
  <c r="AL1058" i="30" s="1"/>
  <c r="AK880" i="30"/>
  <c r="AL880" i="30" s="1"/>
  <c r="AK801" i="30"/>
  <c r="AL801" i="30" s="1"/>
  <c r="AK2854" i="30"/>
  <c r="AL2854" i="30" s="1"/>
  <c r="AK2821" i="30"/>
  <c r="AL2821" i="30" s="1"/>
  <c r="AK2795" i="30"/>
  <c r="AL2795" i="30" s="1"/>
  <c r="AK2782" i="30"/>
  <c r="AL2782" i="30" s="1"/>
  <c r="AK2735" i="30"/>
  <c r="AL2735" i="30" s="1"/>
  <c r="AK2526" i="30"/>
  <c r="AL2526" i="30" s="1"/>
  <c r="AK2447" i="30"/>
  <c r="AL2447" i="30" s="1"/>
  <c r="AK2422" i="30"/>
  <c r="AL2422" i="30" s="1"/>
  <c r="AK2354" i="30"/>
  <c r="AL2354" i="30" s="1"/>
  <c r="AK2293" i="30"/>
  <c r="AL2293" i="30" s="1"/>
  <c r="AK2263" i="30"/>
  <c r="AL2263" i="30" s="1"/>
  <c r="AK2221" i="30"/>
  <c r="AL2221" i="30" s="1"/>
  <c r="AK2156" i="30"/>
  <c r="AL2156" i="30" s="1"/>
  <c r="AK2050" i="30"/>
  <c r="AL2050" i="30" s="1"/>
  <c r="AK2032" i="30"/>
  <c r="AL2032" i="30" s="1"/>
  <c r="AK1974" i="30"/>
  <c r="AL1974" i="30" s="1"/>
  <c r="AK1915" i="30"/>
  <c r="AL1915" i="30" s="1"/>
  <c r="AK1863" i="30"/>
  <c r="AL1863" i="30" s="1"/>
  <c r="AK1673" i="30"/>
  <c r="AL1673" i="30" s="1"/>
  <c r="AK1669" i="30"/>
  <c r="AL1669" i="30" s="1"/>
  <c r="AK1665" i="30"/>
  <c r="AL1665" i="30" s="1"/>
  <c r="AK1581" i="30"/>
  <c r="AL1581" i="30" s="1"/>
  <c r="AK1560" i="30"/>
  <c r="AL1560" i="30" s="1"/>
  <c r="AK1545" i="30"/>
  <c r="AL1545" i="30" s="1"/>
  <c r="AK1523" i="30"/>
  <c r="AL1523" i="30" s="1"/>
  <c r="AK1503" i="30"/>
  <c r="AL1503" i="30" s="1"/>
  <c r="AK1481" i="30"/>
  <c r="AL1481" i="30" s="1"/>
  <c r="AK1460" i="30"/>
  <c r="AL1460" i="30" s="1"/>
  <c r="AK1447" i="30"/>
  <c r="AL1447" i="30" s="1"/>
  <c r="AK1425" i="30"/>
  <c r="AL1425" i="30" s="1"/>
  <c r="AK1404" i="30"/>
  <c r="AL1404" i="30" s="1"/>
  <c r="AK1391" i="30"/>
  <c r="AL1391" i="30" s="1"/>
  <c r="AK1383" i="30"/>
  <c r="AL1383" i="30" s="1"/>
  <c r="AK1364" i="30"/>
  <c r="AL1364" i="30" s="1"/>
  <c r="AK1357" i="30"/>
  <c r="AL1357" i="30" s="1"/>
  <c r="AK1349" i="30"/>
  <c r="AL1349" i="30" s="1"/>
  <c r="AK1334" i="30"/>
  <c r="AL1334" i="30" s="1"/>
  <c r="AK1316" i="30"/>
  <c r="AL1316" i="30" s="1"/>
  <c r="AK1250" i="30"/>
  <c r="AL1250" i="30" s="1"/>
  <c r="AK1228" i="30"/>
  <c r="AL1228" i="30" s="1"/>
  <c r="AK1219" i="30"/>
  <c r="AL1219" i="30" s="1"/>
  <c r="AF4" i="7"/>
  <c r="AG4" i="7" s="1"/>
  <c r="AB125" i="7"/>
  <c r="M148" i="7"/>
  <c r="V148" i="7"/>
  <c r="AF141" i="7"/>
  <c r="AG141" i="7" s="1"/>
  <c r="S91" i="7"/>
  <c r="AF106" i="7"/>
  <c r="AG106" i="7" s="1"/>
  <c r="M75" i="7"/>
  <c r="J91" i="7"/>
  <c r="V75" i="7"/>
  <c r="AF102" i="7"/>
  <c r="AG102" i="7" s="1"/>
  <c r="AF119" i="7"/>
  <c r="AG119" i="7" s="1"/>
  <c r="S75" i="7"/>
  <c r="S125" i="7"/>
  <c r="AE148" i="7"/>
  <c r="P125" i="7"/>
  <c r="J125" i="7"/>
  <c r="P75" i="7"/>
  <c r="AB75" i="7"/>
  <c r="AF90" i="7"/>
  <c r="AG90" i="7" s="1"/>
  <c r="S148" i="7"/>
  <c r="V125" i="7"/>
  <c r="Y125" i="7"/>
  <c r="AE75" i="7"/>
  <c r="AE149" i="7" s="1"/>
  <c r="AF111" i="7"/>
  <c r="AG111" i="7" s="1"/>
  <c r="AB148" i="7"/>
  <c r="AF115" i="7"/>
  <c r="AG115" i="7" s="1"/>
  <c r="AF98" i="7"/>
  <c r="AG98" i="7" s="1"/>
  <c r="P148" i="7"/>
  <c r="Y75" i="7"/>
  <c r="J75" i="7"/>
  <c r="Y149" i="7"/>
  <c r="AF91" i="7"/>
  <c r="AG91" i="7" s="1"/>
  <c r="V149" i="7"/>
  <c r="AF129" i="7"/>
  <c r="AG129" i="7" s="1"/>
  <c r="M125" i="7"/>
  <c r="J148" i="7"/>
  <c r="J149" i="7" s="1"/>
  <c r="AB149" i="7" l="1"/>
  <c r="M149" i="7"/>
  <c r="P149" i="7"/>
  <c r="S149" i="7"/>
  <c r="L765" i="30"/>
  <c r="U765" i="30" s="1"/>
  <c r="AH760" i="30"/>
  <c r="Y760" i="30"/>
  <c r="P760" i="30"/>
  <c r="L760" i="30"/>
  <c r="U760" i="30" s="1"/>
  <c r="L755" i="30"/>
  <c r="U755" i="30" s="1"/>
  <c r="AH754" i="30"/>
  <c r="Y754" i="30"/>
  <c r="P754" i="30"/>
  <c r="L754" i="30"/>
  <c r="U754" i="30" s="1"/>
  <c r="AH750" i="30"/>
  <c r="Y750" i="30"/>
  <c r="P750" i="30"/>
  <c r="L750" i="30"/>
  <c r="U750" i="30" s="1"/>
  <c r="AH749" i="30"/>
  <c r="Y749" i="30"/>
  <c r="P749" i="30"/>
  <c r="L749" i="30"/>
  <c r="U749" i="30" s="1"/>
  <c r="AH745" i="30"/>
  <c r="Y745" i="30"/>
  <c r="P745" i="30"/>
  <c r="L745" i="30"/>
  <c r="U745" i="30" s="1"/>
  <c r="AH744" i="30"/>
  <c r="Y744" i="30"/>
  <c r="P744" i="30"/>
  <c r="L744" i="30"/>
  <c r="U744" i="30" s="1"/>
  <c r="AH741" i="30"/>
  <c r="Y741" i="30"/>
  <c r="P741" i="30"/>
  <c r="L741" i="30"/>
  <c r="U741" i="30" s="1"/>
  <c r="AH740" i="30"/>
  <c r="Y740" i="30"/>
  <c r="P740" i="30"/>
  <c r="L740" i="30"/>
  <c r="U740" i="30" s="1"/>
  <c r="L733" i="30"/>
  <c r="U733" i="30" s="1"/>
  <c r="AE729" i="30"/>
  <c r="V729" i="30"/>
  <c r="L729" i="30"/>
  <c r="U729" i="30" s="1"/>
  <c r="AE728" i="30"/>
  <c r="V728" i="30"/>
  <c r="L728" i="30"/>
  <c r="U728" i="30" s="1"/>
  <c r="AE725" i="30"/>
  <c r="V725" i="30"/>
  <c r="L725" i="30"/>
  <c r="U725" i="30" s="1"/>
  <c r="AE724" i="30"/>
  <c r="V724" i="30"/>
  <c r="L724" i="30"/>
  <c r="U724" i="30" s="1"/>
  <c r="AH718" i="30"/>
  <c r="AB718" i="30"/>
  <c r="S718" i="30"/>
  <c r="L718" i="30"/>
  <c r="U718" i="30" s="1"/>
  <c r="AH717" i="30"/>
  <c r="AB717" i="30"/>
  <c r="S717" i="30"/>
  <c r="L717" i="30"/>
  <c r="U717" i="30" s="1"/>
  <c r="AH714" i="30"/>
  <c r="AB714" i="30"/>
  <c r="S714" i="30"/>
  <c r="L714" i="30"/>
  <c r="U714" i="30" s="1"/>
  <c r="AH713" i="30"/>
  <c r="AB713" i="30"/>
  <c r="S713" i="30"/>
  <c r="L713" i="30"/>
  <c r="U713" i="30" s="1"/>
  <c r="AH705" i="30"/>
  <c r="AB705" i="30"/>
  <c r="S705" i="30"/>
  <c r="L705" i="30"/>
  <c r="U705" i="30" s="1"/>
  <c r="AH704" i="30"/>
  <c r="AB704" i="30"/>
  <c r="S704" i="30"/>
  <c r="L704" i="30"/>
  <c r="U704" i="30" s="1"/>
  <c r="J3" i="6"/>
  <c r="M3" i="6"/>
  <c r="P3" i="6"/>
  <c r="S3" i="6"/>
  <c r="V3" i="6"/>
  <c r="Y3" i="6"/>
  <c r="AB3" i="6"/>
  <c r="AE3" i="6"/>
  <c r="J4" i="6"/>
  <c r="M4" i="6"/>
  <c r="P4" i="6"/>
  <c r="S4" i="6"/>
  <c r="V4" i="6"/>
  <c r="Y4" i="6"/>
  <c r="AB4" i="6"/>
  <c r="AE4" i="6"/>
  <c r="S5" i="6"/>
  <c r="M5" i="6"/>
  <c r="N5" i="6"/>
  <c r="W5" i="6"/>
  <c r="Y5" i="6" s="1"/>
  <c r="AC5" i="6"/>
  <c r="J6" i="6"/>
  <c r="N6" i="6"/>
  <c r="P6" i="6"/>
  <c r="S6" i="6"/>
  <c r="V6" i="6"/>
  <c r="W6" i="6"/>
  <c r="Y6" i="6" s="1"/>
  <c r="AC6" i="6"/>
  <c r="J7" i="6"/>
  <c r="M7" i="6"/>
  <c r="P7" i="6"/>
  <c r="S7" i="6"/>
  <c r="V7" i="6"/>
  <c r="Y7" i="6"/>
  <c r="AB7" i="6"/>
  <c r="AE7" i="6"/>
  <c r="J8" i="6"/>
  <c r="M8" i="6"/>
  <c r="P8" i="6"/>
  <c r="S8" i="6"/>
  <c r="V8" i="6"/>
  <c r="Y8" i="6"/>
  <c r="AB8" i="6"/>
  <c r="AE8" i="6"/>
  <c r="J9" i="6"/>
  <c r="M9" i="6"/>
  <c r="P9" i="6"/>
  <c r="S9" i="6"/>
  <c r="V9" i="6"/>
  <c r="Y9" i="6"/>
  <c r="AB9" i="6"/>
  <c r="AE9" i="6"/>
  <c r="J10" i="6"/>
  <c r="M10" i="6"/>
  <c r="P10" i="6"/>
  <c r="S10" i="6"/>
  <c r="V10" i="6"/>
  <c r="Y10" i="6"/>
  <c r="AB10" i="6"/>
  <c r="AE10" i="6"/>
  <c r="J11" i="6"/>
  <c r="M11" i="6"/>
  <c r="P11" i="6"/>
  <c r="S11" i="6"/>
  <c r="V11" i="6"/>
  <c r="Y11" i="6"/>
  <c r="AB11" i="6"/>
  <c r="AE11" i="6"/>
  <c r="J12" i="6"/>
  <c r="M12" i="6"/>
  <c r="P12" i="6"/>
  <c r="S12" i="6"/>
  <c r="V12" i="6"/>
  <c r="Y12" i="6"/>
  <c r="AB12" i="6"/>
  <c r="AE12" i="6"/>
  <c r="J13" i="6"/>
  <c r="M13" i="6"/>
  <c r="P13" i="6"/>
  <c r="S13" i="6"/>
  <c r="V13" i="6"/>
  <c r="Y13" i="6"/>
  <c r="AB13" i="6"/>
  <c r="AE13" i="6"/>
  <c r="M14" i="6"/>
  <c r="J14" i="6"/>
  <c r="N14" i="6"/>
  <c r="W14" i="6"/>
  <c r="AB14" i="6"/>
  <c r="AC14" i="6"/>
  <c r="S15" i="6"/>
  <c r="N15" i="6"/>
  <c r="W15" i="6"/>
  <c r="AC15" i="6"/>
  <c r="J16" i="6"/>
  <c r="M16" i="6"/>
  <c r="P16" i="6"/>
  <c r="S16" i="6"/>
  <c r="V16" i="6"/>
  <c r="Y16" i="6"/>
  <c r="AB16" i="6"/>
  <c r="AE16" i="6"/>
  <c r="J17" i="6"/>
  <c r="M17" i="6"/>
  <c r="P17" i="6"/>
  <c r="S17" i="6"/>
  <c r="V17" i="6"/>
  <c r="Y17" i="6"/>
  <c r="AB17" i="6"/>
  <c r="AE17" i="6"/>
  <c r="M18" i="6"/>
  <c r="N18" i="6"/>
  <c r="W18" i="6"/>
  <c r="AC18" i="6"/>
  <c r="S19" i="6"/>
  <c r="M19" i="6"/>
  <c r="N19" i="6"/>
  <c r="W19" i="6"/>
  <c r="Y19" i="6" s="1"/>
  <c r="AC19" i="6"/>
  <c r="J20" i="6"/>
  <c r="M20" i="6"/>
  <c r="P20" i="6"/>
  <c r="S20" i="6"/>
  <c r="V20" i="6"/>
  <c r="Y20" i="6"/>
  <c r="AB20" i="6"/>
  <c r="AE20" i="6"/>
  <c r="J21" i="6"/>
  <c r="M21" i="6"/>
  <c r="P21" i="6"/>
  <c r="S21" i="6"/>
  <c r="V21" i="6"/>
  <c r="Y21" i="6"/>
  <c r="AB21" i="6"/>
  <c r="AE21" i="6"/>
  <c r="J22" i="6"/>
  <c r="M22" i="6"/>
  <c r="P22" i="6"/>
  <c r="S22" i="6"/>
  <c r="V22" i="6"/>
  <c r="Y22" i="6"/>
  <c r="AB22" i="6"/>
  <c r="AE22" i="6"/>
  <c r="J25" i="6"/>
  <c r="M25" i="6"/>
  <c r="P25" i="6"/>
  <c r="S25" i="6"/>
  <c r="V25" i="6"/>
  <c r="Y25" i="6"/>
  <c r="AB25" i="6"/>
  <c r="AE25" i="6"/>
  <c r="J26" i="6"/>
  <c r="M26" i="6"/>
  <c r="P26" i="6"/>
  <c r="S26" i="6"/>
  <c r="V26" i="6"/>
  <c r="Y26" i="6"/>
  <c r="AB26" i="6"/>
  <c r="AE26" i="6"/>
  <c r="V27" i="6"/>
  <c r="J27" i="6"/>
  <c r="M27" i="6"/>
  <c r="P27" i="6"/>
  <c r="Q27" i="6"/>
  <c r="S27" i="6"/>
  <c r="Z27" i="6"/>
  <c r="AB27" i="6" s="1"/>
  <c r="AE27" i="6"/>
  <c r="Y28" i="6"/>
  <c r="Q28" i="6"/>
  <c r="Z28" i="6"/>
  <c r="J29" i="6"/>
  <c r="M29" i="6"/>
  <c r="P29" i="6"/>
  <c r="S29" i="6"/>
  <c r="V29" i="6"/>
  <c r="Y29" i="6"/>
  <c r="AB29" i="6"/>
  <c r="AE29" i="6"/>
  <c r="J30" i="6"/>
  <c r="M30" i="6"/>
  <c r="P30" i="6"/>
  <c r="S30" i="6"/>
  <c r="V30" i="6"/>
  <c r="Y30" i="6"/>
  <c r="AB30" i="6"/>
  <c r="AE30" i="6"/>
  <c r="V31" i="6"/>
  <c r="J31" i="6"/>
  <c r="Q31" i="6"/>
  <c r="Y31" i="6"/>
  <c r="Z31" i="6"/>
  <c r="AB31" i="6" s="1"/>
  <c r="J32" i="6"/>
  <c r="Q32" i="6"/>
  <c r="V32" i="6"/>
  <c r="Y32" i="6"/>
  <c r="Z32" i="6"/>
  <c r="AE32" i="6"/>
  <c r="J35" i="6"/>
  <c r="M35" i="6"/>
  <c r="P35" i="6"/>
  <c r="S35" i="6"/>
  <c r="S71" i="6" s="1"/>
  <c r="S72" i="6" s="1"/>
  <c r="V35" i="6"/>
  <c r="Y35" i="6"/>
  <c r="AB35" i="6"/>
  <c r="AE35" i="6"/>
  <c r="J36" i="6"/>
  <c r="M36" i="6"/>
  <c r="P36" i="6"/>
  <c r="V36" i="6"/>
  <c r="Y36" i="6"/>
  <c r="AE36" i="6"/>
  <c r="J37" i="6"/>
  <c r="M37" i="6"/>
  <c r="P37" i="6"/>
  <c r="V37" i="6"/>
  <c r="Y37" i="6"/>
  <c r="AE37" i="6"/>
  <c r="M38" i="6"/>
  <c r="J38" i="6"/>
  <c r="J39" i="6"/>
  <c r="M39" i="6"/>
  <c r="P39" i="6"/>
  <c r="V39" i="6"/>
  <c r="Y39" i="6"/>
  <c r="AE39" i="6"/>
  <c r="J40" i="6"/>
  <c r="M40" i="6"/>
  <c r="P40" i="6"/>
  <c r="V40" i="6"/>
  <c r="Y40" i="6"/>
  <c r="AE40" i="6"/>
  <c r="J41" i="6"/>
  <c r="M41" i="6"/>
  <c r="P41" i="6"/>
  <c r="V41" i="6"/>
  <c r="Y41" i="6"/>
  <c r="AE41" i="6"/>
  <c r="J42" i="6"/>
  <c r="M42" i="6"/>
  <c r="P42" i="6"/>
  <c r="V42" i="6"/>
  <c r="Y42" i="6"/>
  <c r="AE42" i="6"/>
  <c r="J43" i="6"/>
  <c r="M43" i="6"/>
  <c r="P43" i="6"/>
  <c r="V43" i="6"/>
  <c r="Y43" i="6"/>
  <c r="AE43" i="6"/>
  <c r="J44" i="6"/>
  <c r="M44" i="6"/>
  <c r="P44" i="6"/>
  <c r="V44" i="6"/>
  <c r="Y44" i="6"/>
  <c r="AE44" i="6"/>
  <c r="P45" i="6"/>
  <c r="K45" i="6"/>
  <c r="T45" i="6"/>
  <c r="AC45" i="6"/>
  <c r="K46" i="6"/>
  <c r="M46" i="6" s="1"/>
  <c r="T46" i="6"/>
  <c r="AC46" i="6"/>
  <c r="J47" i="6"/>
  <c r="M47" i="6"/>
  <c r="P47" i="6"/>
  <c r="V47" i="6"/>
  <c r="Y47" i="6"/>
  <c r="AE47" i="6"/>
  <c r="J48" i="6"/>
  <c r="M48" i="6"/>
  <c r="P48" i="6"/>
  <c r="V48" i="6"/>
  <c r="Y48" i="6"/>
  <c r="AE48" i="6"/>
  <c r="K49" i="6"/>
  <c r="P49" i="6"/>
  <c r="T49" i="6"/>
  <c r="AC49" i="6"/>
  <c r="K50" i="6"/>
  <c r="T50" i="6"/>
  <c r="AC50" i="6"/>
  <c r="J51" i="6"/>
  <c r="M51" i="6"/>
  <c r="P51" i="6"/>
  <c r="V51" i="6"/>
  <c r="Y51" i="6"/>
  <c r="AE51" i="6"/>
  <c r="J52" i="6"/>
  <c r="M52" i="6"/>
  <c r="P52" i="6"/>
  <c r="V52" i="6"/>
  <c r="Y52" i="6"/>
  <c r="AE52" i="6"/>
  <c r="J53" i="6"/>
  <c r="M53" i="6"/>
  <c r="P53" i="6"/>
  <c r="V53" i="6"/>
  <c r="Y53" i="6"/>
  <c r="AE53" i="6"/>
  <c r="K54" i="6"/>
  <c r="T54" i="6"/>
  <c r="AC54" i="6"/>
  <c r="J55" i="6"/>
  <c r="K55" i="6"/>
  <c r="T55" i="6"/>
  <c r="AC55" i="6"/>
  <c r="J56" i="6"/>
  <c r="M56" i="6"/>
  <c r="P56" i="6"/>
  <c r="V56" i="6"/>
  <c r="Y56" i="6"/>
  <c r="AE56" i="6"/>
  <c r="J57" i="6"/>
  <c r="M57" i="6"/>
  <c r="P57" i="6"/>
  <c r="V57" i="6"/>
  <c r="Y57" i="6"/>
  <c r="AE57" i="6"/>
  <c r="J58" i="6"/>
  <c r="M58" i="6"/>
  <c r="P58" i="6"/>
  <c r="V58" i="6"/>
  <c r="Y58" i="6"/>
  <c r="AE58" i="6"/>
  <c r="K59" i="6"/>
  <c r="P59" i="6"/>
  <c r="T59" i="6"/>
  <c r="AC59" i="6"/>
  <c r="M60" i="6"/>
  <c r="J61" i="6"/>
  <c r="M61" i="6"/>
  <c r="P61" i="6"/>
  <c r="V61" i="6"/>
  <c r="Y61" i="6"/>
  <c r="AE61" i="6"/>
  <c r="J62" i="6"/>
  <c r="M62" i="6"/>
  <c r="P62" i="6"/>
  <c r="V62" i="6"/>
  <c r="Y62" i="6"/>
  <c r="AE62" i="6"/>
  <c r="J63" i="6"/>
  <c r="M63" i="6"/>
  <c r="P63" i="6"/>
  <c r="V63" i="6"/>
  <c r="Y63" i="6"/>
  <c r="AE63" i="6"/>
  <c r="J64" i="6"/>
  <c r="M64" i="6"/>
  <c r="P64" i="6"/>
  <c r="V64" i="6"/>
  <c r="Y64" i="6"/>
  <c r="AE64" i="6"/>
  <c r="J65" i="6"/>
  <c r="K65" i="6"/>
  <c r="T65" i="6"/>
  <c r="AC65" i="6"/>
  <c r="J66" i="6"/>
  <c r="M66" i="6"/>
  <c r="P66" i="6"/>
  <c r="V66" i="6"/>
  <c r="Y66" i="6"/>
  <c r="AE66" i="6"/>
  <c r="J67" i="6"/>
  <c r="M67" i="6"/>
  <c r="P67" i="6"/>
  <c r="V67" i="6"/>
  <c r="Y67" i="6"/>
  <c r="AE67" i="6"/>
  <c r="J68" i="6"/>
  <c r="P68" i="6"/>
  <c r="Y68" i="6"/>
  <c r="J69" i="6"/>
  <c r="P69" i="6"/>
  <c r="Y69" i="6"/>
  <c r="J70" i="6"/>
  <c r="P70" i="6"/>
  <c r="Y70" i="6"/>
  <c r="AB71" i="6"/>
  <c r="AB72" i="6" s="1"/>
  <c r="AH672" i="30"/>
  <c r="AE672" i="30"/>
  <c r="AB672" i="30"/>
  <c r="Y672" i="30"/>
  <c r="V672" i="30"/>
  <c r="S672" i="30"/>
  <c r="P672" i="30"/>
  <c r="M672" i="30"/>
  <c r="L672" i="30"/>
  <c r="U672" i="30" s="1"/>
  <c r="AH671" i="30"/>
  <c r="AE671" i="30"/>
  <c r="AB671" i="30"/>
  <c r="Y671" i="30"/>
  <c r="V671" i="30"/>
  <c r="S671" i="30"/>
  <c r="P671" i="30"/>
  <c r="M671" i="30"/>
  <c r="L671" i="30"/>
  <c r="U671" i="30" s="1"/>
  <c r="L666" i="30"/>
  <c r="U666" i="30" s="1"/>
  <c r="AH665" i="30"/>
  <c r="AE665" i="30"/>
  <c r="AB665" i="30"/>
  <c r="Y665" i="30"/>
  <c r="V665" i="30"/>
  <c r="S665" i="30"/>
  <c r="P665" i="30"/>
  <c r="M665" i="30"/>
  <c r="L665" i="30"/>
  <c r="AH661" i="30"/>
  <c r="AE661" i="30"/>
  <c r="AB661" i="30"/>
  <c r="Y661" i="30"/>
  <c r="V661" i="30"/>
  <c r="S661" i="30"/>
  <c r="P661" i="30"/>
  <c r="M661" i="30"/>
  <c r="L661" i="30"/>
  <c r="AH660" i="30"/>
  <c r="AE660" i="30"/>
  <c r="AB660" i="30"/>
  <c r="Y660" i="30"/>
  <c r="V660" i="30"/>
  <c r="S660" i="30"/>
  <c r="P660" i="30"/>
  <c r="M660" i="30"/>
  <c r="L660" i="30"/>
  <c r="U660" i="30" s="1"/>
  <c r="AH656" i="30"/>
  <c r="AE656" i="30"/>
  <c r="AB656" i="30"/>
  <c r="Y656" i="30"/>
  <c r="V656" i="30"/>
  <c r="S656" i="30"/>
  <c r="P656" i="30"/>
  <c r="M656" i="30"/>
  <c r="L656" i="30"/>
  <c r="U656" i="30" s="1"/>
  <c r="AH655" i="30"/>
  <c r="AE655" i="30"/>
  <c r="AB655" i="30"/>
  <c r="Y655" i="30"/>
  <c r="V655" i="30"/>
  <c r="S655" i="30"/>
  <c r="P655" i="30"/>
  <c r="M655" i="30"/>
  <c r="L655" i="30"/>
  <c r="U655" i="30" s="1"/>
  <c r="L652" i="30"/>
  <c r="U652" i="30" s="1"/>
  <c r="L645" i="30"/>
  <c r="U645" i="30" s="1"/>
  <c r="AH641" i="30"/>
  <c r="AE641" i="30"/>
  <c r="AB641" i="30"/>
  <c r="Y641" i="30"/>
  <c r="V641" i="30"/>
  <c r="S641" i="30"/>
  <c r="P641" i="30"/>
  <c r="M641" i="30"/>
  <c r="L641" i="30"/>
  <c r="AH640" i="30"/>
  <c r="AE640" i="30"/>
  <c r="AB640" i="30"/>
  <c r="Y640" i="30"/>
  <c r="V640" i="30"/>
  <c r="S640" i="30"/>
  <c r="P640" i="30"/>
  <c r="M640" i="30"/>
  <c r="L640" i="30"/>
  <c r="AH633" i="30"/>
  <c r="Y633" i="30"/>
  <c r="P633" i="30"/>
  <c r="L633" i="30"/>
  <c r="U633" i="30" s="1"/>
  <c r="AH632" i="30"/>
  <c r="Y632" i="30"/>
  <c r="P632" i="30"/>
  <c r="L632" i="30"/>
  <c r="U632" i="30" s="1"/>
  <c r="AH629" i="30"/>
  <c r="Y629" i="30"/>
  <c r="P629" i="30"/>
  <c r="L629" i="30"/>
  <c r="U629" i="30" s="1"/>
  <c r="AH628" i="30"/>
  <c r="Y628" i="30"/>
  <c r="P628" i="30"/>
  <c r="L628" i="30"/>
  <c r="U628" i="30" s="1"/>
  <c r="AH624" i="30"/>
  <c r="Y624" i="30"/>
  <c r="P624" i="30"/>
  <c r="L624" i="30"/>
  <c r="U624" i="30" s="1"/>
  <c r="AH623" i="30"/>
  <c r="Y623" i="30"/>
  <c r="P623" i="30"/>
  <c r="L623" i="30"/>
  <c r="U623" i="30" s="1"/>
  <c r="AH620" i="30"/>
  <c r="Y620" i="30"/>
  <c r="P620" i="30"/>
  <c r="L620" i="30"/>
  <c r="U620" i="30" s="1"/>
  <c r="AH619" i="30"/>
  <c r="Y619" i="30"/>
  <c r="P619" i="30"/>
  <c r="L619" i="30"/>
  <c r="U619" i="30" s="1"/>
  <c r="L612" i="30"/>
  <c r="U612" i="30" s="1"/>
  <c r="AB604" i="30"/>
  <c r="P604" i="30"/>
  <c r="L604" i="30"/>
  <c r="U604" i="30" s="1"/>
  <c r="AB603" i="30"/>
  <c r="P603" i="30"/>
  <c r="L603" i="30"/>
  <c r="U603" i="30" s="1"/>
  <c r="L602" i="30"/>
  <c r="U602" i="30" s="1"/>
  <c r="AB601" i="30"/>
  <c r="P601" i="30"/>
  <c r="L601" i="30"/>
  <c r="U601" i="30" s="1"/>
  <c r="AB598" i="30"/>
  <c r="P598" i="30"/>
  <c r="L598" i="30"/>
  <c r="U598" i="30" s="1"/>
  <c r="AB594" i="30"/>
  <c r="P594" i="30"/>
  <c r="L594" i="30"/>
  <c r="U594" i="30" s="1"/>
  <c r="AB593" i="30"/>
  <c r="P593" i="30"/>
  <c r="L593" i="30"/>
  <c r="U593" i="30" s="1"/>
  <c r="AB590" i="30"/>
  <c r="P590" i="30"/>
  <c r="L590" i="30"/>
  <c r="U590" i="30" s="1"/>
  <c r="AB589" i="30"/>
  <c r="P589" i="30"/>
  <c r="L589" i="30"/>
  <c r="U589" i="30" s="1"/>
  <c r="L582" i="30"/>
  <c r="U582" i="30" s="1"/>
  <c r="L575" i="30"/>
  <c r="U575" i="30" s="1"/>
  <c r="AH574" i="30"/>
  <c r="Y574" i="30"/>
  <c r="P574" i="30"/>
  <c r="L574" i="30"/>
  <c r="U574" i="30" s="1"/>
  <c r="AH571" i="30"/>
  <c r="Y571" i="30"/>
  <c r="P571" i="30"/>
  <c r="L571" i="30"/>
  <c r="U571" i="30" s="1"/>
  <c r="AH570" i="30"/>
  <c r="Y570" i="30"/>
  <c r="P570" i="30"/>
  <c r="L570" i="30"/>
  <c r="U570" i="30" s="1"/>
  <c r="AH566" i="30"/>
  <c r="Y566" i="30"/>
  <c r="P566" i="30"/>
  <c r="L566" i="30"/>
  <c r="U566" i="30" s="1"/>
  <c r="AH565" i="30"/>
  <c r="Y565" i="30"/>
  <c r="P565" i="30"/>
  <c r="L565" i="30"/>
  <c r="U565" i="30" s="1"/>
  <c r="AH562" i="30"/>
  <c r="Y562" i="30"/>
  <c r="P562" i="30"/>
  <c r="L562" i="30"/>
  <c r="U562" i="30" s="1"/>
  <c r="AH561" i="30"/>
  <c r="Y561" i="30"/>
  <c r="P561" i="30"/>
  <c r="L561" i="30"/>
  <c r="U561" i="30" s="1"/>
  <c r="L554" i="30"/>
  <c r="U554" i="30" s="1"/>
  <c r="L546" i="30"/>
  <c r="U546" i="30" s="1"/>
  <c r="L545" i="30"/>
  <c r="U545" i="30" s="1"/>
  <c r="L542" i="30"/>
  <c r="U542" i="30" s="1"/>
  <c r="L541" i="30"/>
  <c r="U541" i="30" s="1"/>
  <c r="AH537" i="30"/>
  <c r="V537" i="30"/>
  <c r="M537" i="30"/>
  <c r="L537" i="30"/>
  <c r="U537" i="30" s="1"/>
  <c r="AH536" i="30"/>
  <c r="V536" i="30"/>
  <c r="M536" i="30"/>
  <c r="L536" i="30"/>
  <c r="U536" i="30" s="1"/>
  <c r="L531" i="30"/>
  <c r="U531" i="30" s="1"/>
  <c r="L528" i="30"/>
  <c r="U528" i="30" s="1"/>
  <c r="L527" i="30"/>
  <c r="U527" i="30" s="1"/>
  <c r="AH523" i="30"/>
  <c r="V523" i="30"/>
  <c r="M523" i="30"/>
  <c r="L523" i="30"/>
  <c r="U523" i="30" s="1"/>
  <c r="AH522" i="30"/>
  <c r="V522" i="30"/>
  <c r="M522" i="30"/>
  <c r="L522" i="30"/>
  <c r="U522" i="30" s="1"/>
  <c r="L517" i="30"/>
  <c r="U517" i="30" s="1"/>
  <c r="AE512" i="30"/>
  <c r="S512" i="30"/>
  <c r="M512" i="30"/>
  <c r="L512" i="30"/>
  <c r="AE511" i="30"/>
  <c r="S511" i="30"/>
  <c r="M511" i="30"/>
  <c r="L511" i="30"/>
  <c r="U511" i="30" s="1"/>
  <c r="L507" i="30"/>
  <c r="U507" i="30" s="1"/>
  <c r="AE506" i="30"/>
  <c r="S506" i="30"/>
  <c r="M506" i="30"/>
  <c r="L506" i="30"/>
  <c r="U506" i="30" s="1"/>
  <c r="L501" i="30"/>
  <c r="U501" i="30" s="1"/>
  <c r="AE500" i="30"/>
  <c r="S500" i="30"/>
  <c r="M500" i="30"/>
  <c r="L500" i="30"/>
  <c r="U500" i="30" s="1"/>
  <c r="AE497" i="30"/>
  <c r="S497" i="30"/>
  <c r="M497" i="30"/>
  <c r="L497" i="30"/>
  <c r="U497" i="30" s="1"/>
  <c r="AE496" i="30"/>
  <c r="S496" i="30"/>
  <c r="M496" i="30"/>
  <c r="L496" i="30"/>
  <c r="U496" i="30" s="1"/>
  <c r="L491" i="30"/>
  <c r="U491" i="30" s="1"/>
  <c r="L490" i="30"/>
  <c r="U490" i="30" s="1"/>
  <c r="L488" i="30"/>
  <c r="U488" i="30" s="1"/>
  <c r="Y481" i="30"/>
  <c r="P481" i="30"/>
  <c r="M481" i="30"/>
  <c r="L481" i="30"/>
  <c r="U481" i="30" s="1"/>
  <c r="Y480" i="30"/>
  <c r="P480" i="30"/>
  <c r="M480" i="30"/>
  <c r="L480" i="30"/>
  <c r="U480" i="30" s="1"/>
  <c r="L472" i="30"/>
  <c r="U472" i="30" s="1"/>
  <c r="L471" i="30"/>
  <c r="U471" i="30" s="1"/>
  <c r="L468" i="30"/>
  <c r="U468" i="30" s="1"/>
  <c r="AB467" i="30"/>
  <c r="P467" i="30"/>
  <c r="M467" i="30"/>
  <c r="L467" i="30"/>
  <c r="U467" i="30" s="1"/>
  <c r="AC464" i="30"/>
  <c r="AB464" i="30"/>
  <c r="Q464" i="30"/>
  <c r="P464" i="30"/>
  <c r="N464" i="30"/>
  <c r="M464" i="30"/>
  <c r="L464" i="30"/>
  <c r="U464" i="30" s="1"/>
  <c r="AC463" i="30"/>
  <c r="AB463" i="30"/>
  <c r="Q463" i="30"/>
  <c r="P463" i="30"/>
  <c r="N463" i="30"/>
  <c r="M463" i="30"/>
  <c r="L463" i="30"/>
  <c r="U463" i="30" s="1"/>
  <c r="AC462" i="30"/>
  <c r="AD462" i="30" s="1"/>
  <c r="Q462" i="30"/>
  <c r="R462" i="30" s="1"/>
  <c r="N462" i="30"/>
  <c r="O462" i="30" s="1"/>
  <c r="AK462" i="30" s="1"/>
  <c r="AL462" i="30" s="1"/>
  <c r="AC461" i="30"/>
  <c r="AD461" i="30" s="1"/>
  <c r="Q461" i="30"/>
  <c r="R461" i="30" s="1"/>
  <c r="N461" i="30"/>
  <c r="O461" i="30" s="1"/>
  <c r="L460" i="30"/>
  <c r="U460" i="30" s="1"/>
  <c r="Y453" i="30"/>
  <c r="M453" i="30"/>
  <c r="L453" i="30"/>
  <c r="U453" i="30" s="1"/>
  <c r="L452" i="30"/>
  <c r="U452" i="30" s="1"/>
  <c r="Y448" i="30"/>
  <c r="AA448" i="30" s="1"/>
  <c r="M448" i="30"/>
  <c r="O448" i="30" s="1"/>
  <c r="Y447" i="30"/>
  <c r="M447" i="30"/>
  <c r="L447" i="30"/>
  <c r="U447" i="30" s="1"/>
  <c r="Y442" i="30"/>
  <c r="M442" i="30"/>
  <c r="L442" i="30"/>
  <c r="U442" i="30" s="1"/>
  <c r="L439" i="30"/>
  <c r="U439" i="30" s="1"/>
  <c r="Y434" i="30"/>
  <c r="M434" i="30"/>
  <c r="L434" i="30"/>
  <c r="U434" i="30" s="1"/>
  <c r="Y432" i="30"/>
  <c r="M432" i="30"/>
  <c r="L432" i="30"/>
  <c r="U432" i="30" s="1"/>
  <c r="Y430" i="30"/>
  <c r="M430" i="30"/>
  <c r="L430" i="30"/>
  <c r="U430" i="30" s="1"/>
  <c r="Y428" i="30"/>
  <c r="M428" i="30"/>
  <c r="L428" i="30"/>
  <c r="U428" i="30" s="1"/>
  <c r="L426" i="30"/>
  <c r="U426" i="30" s="1"/>
  <c r="L422" i="30"/>
  <c r="U422" i="30" s="1"/>
  <c r="L420" i="30"/>
  <c r="U420" i="30" s="1"/>
  <c r="AE419" i="30"/>
  <c r="AG419" i="30" s="1"/>
  <c r="AB419" i="30"/>
  <c r="AD419" i="30" s="1"/>
  <c r="V419" i="30"/>
  <c r="X419" i="30" s="1"/>
  <c r="M419" i="30"/>
  <c r="O419" i="30" s="1"/>
  <c r="S418" i="30"/>
  <c r="AE417" i="30"/>
  <c r="AB417" i="30"/>
  <c r="V417" i="30"/>
  <c r="M417" i="30"/>
  <c r="L417" i="30"/>
  <c r="U417" i="30" s="1"/>
  <c r="AE416" i="30"/>
  <c r="AG416" i="30" s="1"/>
  <c r="AB416" i="30"/>
  <c r="AD416" i="30" s="1"/>
  <c r="V416" i="30"/>
  <c r="X416" i="30" s="1"/>
  <c r="S416" i="30"/>
  <c r="U416" i="30" s="1"/>
  <c r="M416" i="30"/>
  <c r="O416" i="30" s="1"/>
  <c r="AE415" i="30"/>
  <c r="AG415" i="30" s="1"/>
  <c r="AB415" i="30"/>
  <c r="AD415" i="30" s="1"/>
  <c r="V415" i="30"/>
  <c r="X415" i="30" s="1"/>
  <c r="S415" i="30"/>
  <c r="U415" i="30" s="1"/>
  <c r="M415" i="30"/>
  <c r="O415" i="30" s="1"/>
  <c r="S414" i="30"/>
  <c r="L411" i="30"/>
  <c r="U411" i="30" s="1"/>
  <c r="L406" i="30"/>
  <c r="U406" i="30" s="1"/>
  <c r="L401" i="30"/>
  <c r="U401" i="30" s="1"/>
  <c r="L399" i="30"/>
  <c r="U399" i="30" s="1"/>
  <c r="L398" i="30"/>
  <c r="U398" i="30" s="1"/>
  <c r="AE392" i="30"/>
  <c r="AB392" i="30"/>
  <c r="V392" i="30"/>
  <c r="M392" i="30"/>
  <c r="L392" i="30"/>
  <c r="U392" i="30" s="1"/>
  <c r="AE391" i="30"/>
  <c r="AB391" i="30"/>
  <c r="V391" i="30"/>
  <c r="S391" i="30"/>
  <c r="M391" i="30"/>
  <c r="L391" i="30"/>
  <c r="U391" i="30" s="1"/>
  <c r="S390" i="30"/>
  <c r="L388" i="30"/>
  <c r="U388" i="30" s="1"/>
  <c r="L383" i="30"/>
  <c r="U383" i="30" s="1"/>
  <c r="L382" i="30"/>
  <c r="U382" i="30" s="1"/>
  <c r="AH377" i="30"/>
  <c r="Y377" i="30"/>
  <c r="P377" i="30"/>
  <c r="L377" i="30"/>
  <c r="U377" i="30" s="1"/>
  <c r="AH376" i="30"/>
  <c r="Y376" i="30"/>
  <c r="P376" i="30"/>
  <c r="L376" i="30"/>
  <c r="U376" i="30" s="1"/>
  <c r="AH373" i="30"/>
  <c r="Y373" i="30"/>
  <c r="P373" i="30"/>
  <c r="L373" i="30"/>
  <c r="U373" i="30" s="1"/>
  <c r="L372" i="30"/>
  <c r="U372" i="30" s="1"/>
  <c r="L367" i="30"/>
  <c r="U367" i="30" s="1"/>
  <c r="AH320" i="30"/>
  <c r="AE320" i="30"/>
  <c r="AB320" i="30"/>
  <c r="Y320" i="30"/>
  <c r="V320" i="30"/>
  <c r="S320" i="30"/>
  <c r="P320" i="30"/>
  <c r="M320" i="30"/>
  <c r="L320" i="30"/>
  <c r="U320" i="30" s="1"/>
  <c r="L316" i="30"/>
  <c r="U316" i="30" s="1"/>
  <c r="AB311" i="30"/>
  <c r="S311" i="30"/>
  <c r="L311" i="30"/>
  <c r="U311" i="30" s="1"/>
  <c r="AB310" i="30"/>
  <c r="S310" i="30"/>
  <c r="L310" i="30"/>
  <c r="U310" i="30" s="1"/>
  <c r="AB307" i="30"/>
  <c r="S307" i="30"/>
  <c r="L307" i="30"/>
  <c r="U307" i="30" s="1"/>
  <c r="AB304" i="30"/>
  <c r="S304" i="30"/>
  <c r="L304" i="30"/>
  <c r="U304" i="30" s="1"/>
  <c r="AB303" i="30"/>
  <c r="S303" i="30"/>
  <c r="L303" i="30"/>
  <c r="U303" i="30" s="1"/>
  <c r="L298" i="30"/>
  <c r="U298" i="30" s="1"/>
  <c r="AB297" i="30"/>
  <c r="S297" i="30"/>
  <c r="L297" i="30"/>
  <c r="U297" i="30" s="1"/>
  <c r="AB294" i="30"/>
  <c r="S294" i="30"/>
  <c r="L294" i="30"/>
  <c r="U294" i="30" s="1"/>
  <c r="AB293" i="30"/>
  <c r="S293" i="30"/>
  <c r="L293" i="30"/>
  <c r="U293" i="30" s="1"/>
  <c r="L285" i="30"/>
  <c r="U285" i="30" s="1"/>
  <c r="AH279" i="30"/>
  <c r="AB279" i="30"/>
  <c r="V279" i="30"/>
  <c r="L279" i="30"/>
  <c r="U279" i="30" s="1"/>
  <c r="AH278" i="30"/>
  <c r="AB278" i="30"/>
  <c r="V278" i="30"/>
  <c r="L278" i="30"/>
  <c r="U278" i="30" s="1"/>
  <c r="L274" i="30"/>
  <c r="U274" i="30" s="1"/>
  <c r="S271" i="30"/>
  <c r="L271" i="30"/>
  <c r="S269" i="30"/>
  <c r="L269" i="30"/>
  <c r="U269" i="30" s="1"/>
  <c r="S264" i="30"/>
  <c r="L264" i="30"/>
  <c r="U264" i="30" s="1"/>
  <c r="S263" i="30"/>
  <c r="L263" i="30"/>
  <c r="U263" i="30" s="1"/>
  <c r="AB253" i="30"/>
  <c r="P253" i="30"/>
  <c r="L253" i="30"/>
  <c r="U253" i="30" s="1"/>
  <c r="AB252" i="30"/>
  <c r="P252" i="30"/>
  <c r="L252" i="30"/>
  <c r="U252" i="30" s="1"/>
  <c r="AB245" i="30"/>
  <c r="P245" i="30"/>
  <c r="L245" i="30"/>
  <c r="U245" i="30" s="1"/>
  <c r="P233" i="30"/>
  <c r="L233" i="30"/>
  <c r="U233" i="30" s="1"/>
  <c r="P232" i="30"/>
  <c r="L232" i="30"/>
  <c r="U232" i="30" s="1"/>
  <c r="S225" i="30"/>
  <c r="L225" i="30"/>
  <c r="S224" i="30"/>
  <c r="L224" i="30"/>
  <c r="U224" i="30" s="1"/>
  <c r="S212" i="30"/>
  <c r="L212" i="30"/>
  <c r="U212" i="30" s="1"/>
  <c r="S209" i="30"/>
  <c r="L209" i="30"/>
  <c r="S208" i="30"/>
  <c r="L208" i="30"/>
  <c r="S203" i="30"/>
  <c r="L203" i="30"/>
  <c r="U203" i="30" s="1"/>
  <c r="S202" i="30"/>
  <c r="L202" i="30"/>
  <c r="U202" i="30" s="1"/>
  <c r="S199" i="30"/>
  <c r="L199" i="30"/>
  <c r="S198" i="30"/>
  <c r="L198" i="30"/>
  <c r="S193" i="30"/>
  <c r="L193" i="30"/>
  <c r="U193" i="30" s="1"/>
  <c r="S192" i="30"/>
  <c r="L192" i="30"/>
  <c r="U192" i="30" s="1"/>
  <c r="S189" i="30"/>
  <c r="L189" i="30"/>
  <c r="S188" i="30"/>
  <c r="L188" i="30"/>
  <c r="L180" i="30"/>
  <c r="U180" i="30" s="1"/>
  <c r="M1277" i="30"/>
  <c r="L1277" i="30"/>
  <c r="U1277" i="30" s="1"/>
  <c r="M1276" i="30"/>
  <c r="L1276" i="30"/>
  <c r="U1276" i="30" s="1"/>
  <c r="M1272" i="30"/>
  <c r="L1272" i="30"/>
  <c r="U1272" i="30" s="1"/>
  <c r="M1270" i="30"/>
  <c r="L1270" i="30"/>
  <c r="U1270" i="30" s="1"/>
  <c r="M1266" i="30"/>
  <c r="L1266" i="30"/>
  <c r="U1266" i="30" s="1"/>
  <c r="M1265" i="30"/>
  <c r="L1265" i="30"/>
  <c r="U1265" i="30" s="1"/>
  <c r="M1262" i="30"/>
  <c r="L1262" i="30"/>
  <c r="U1262" i="30" s="1"/>
  <c r="M1261" i="30"/>
  <c r="L1261" i="30"/>
  <c r="U1261" i="30" s="1"/>
  <c r="L1255" i="30"/>
  <c r="U1255" i="30" s="1"/>
  <c r="AH169" i="30"/>
  <c r="AE169" i="30"/>
  <c r="AB169" i="30"/>
  <c r="Y169" i="30"/>
  <c r="V169" i="30"/>
  <c r="S169" i="30"/>
  <c r="P169" i="30"/>
  <c r="M169" i="30"/>
  <c r="L169" i="30"/>
  <c r="U169" i="30" s="1"/>
  <c r="L168" i="30"/>
  <c r="U168" i="30" s="1"/>
  <c r="AB165" i="30"/>
  <c r="M165" i="30"/>
  <c r="L165" i="30"/>
  <c r="U165" i="30" s="1"/>
  <c r="L162" i="30"/>
  <c r="U162" i="30" s="1"/>
  <c r="AB161" i="30"/>
  <c r="M161" i="30"/>
  <c r="L161" i="30"/>
  <c r="U161" i="30" s="1"/>
  <c r="L158" i="30"/>
  <c r="U158" i="30" s="1"/>
  <c r="S156" i="30"/>
  <c r="L156" i="30"/>
  <c r="L155" i="30"/>
  <c r="U155" i="30" s="1"/>
  <c r="S152" i="30"/>
  <c r="L152" i="30"/>
  <c r="U152" i="30" s="1"/>
  <c r="S151" i="30"/>
  <c r="L151" i="30"/>
  <c r="L147" i="30"/>
  <c r="U147" i="30" s="1"/>
  <c r="T145" i="30"/>
  <c r="S145" i="30"/>
  <c r="L145" i="30"/>
  <c r="AE143" i="30"/>
  <c r="AB143" i="30"/>
  <c r="Y143" i="30"/>
  <c r="V143" i="30"/>
  <c r="S143" i="30"/>
  <c r="P143" i="30"/>
  <c r="M143" i="30"/>
  <c r="L143" i="30"/>
  <c r="U143" i="30" s="1"/>
  <c r="AH139" i="30"/>
  <c r="AE139" i="30"/>
  <c r="AB139" i="30"/>
  <c r="Y139" i="30"/>
  <c r="V139" i="30"/>
  <c r="S139" i="30"/>
  <c r="P139" i="30"/>
  <c r="L139" i="30"/>
  <c r="AH138" i="30"/>
  <c r="AE138" i="30"/>
  <c r="AB138" i="30"/>
  <c r="Y138" i="30"/>
  <c r="V138" i="30"/>
  <c r="S138" i="30"/>
  <c r="P138" i="30"/>
  <c r="L138" i="30"/>
  <c r="AH134" i="30"/>
  <c r="AE134" i="30"/>
  <c r="AB134" i="30"/>
  <c r="Y134" i="30"/>
  <c r="V134" i="30"/>
  <c r="S134" i="30"/>
  <c r="P134" i="30"/>
  <c r="L134" i="30"/>
  <c r="AH133" i="30"/>
  <c r="AE133" i="30"/>
  <c r="AB133" i="30"/>
  <c r="Y133" i="30"/>
  <c r="V133" i="30"/>
  <c r="S133" i="30"/>
  <c r="P133" i="30"/>
  <c r="L133" i="30"/>
  <c r="AH129" i="30"/>
  <c r="AE129" i="30"/>
  <c r="AB129" i="30"/>
  <c r="Y129" i="30"/>
  <c r="V129" i="30"/>
  <c r="S129" i="30"/>
  <c r="P129" i="30"/>
  <c r="L129" i="30"/>
  <c r="AH128" i="30"/>
  <c r="AE128" i="30"/>
  <c r="AB128" i="30"/>
  <c r="Y128" i="30"/>
  <c r="V128" i="30"/>
  <c r="S128" i="30"/>
  <c r="P128" i="30"/>
  <c r="L128" i="30"/>
  <c r="AH126" i="30"/>
  <c r="AJ126" i="30" s="1"/>
  <c r="AE126" i="30"/>
  <c r="AG126" i="30" s="1"/>
  <c r="AB126" i="30"/>
  <c r="AD126" i="30" s="1"/>
  <c r="Y126" i="30"/>
  <c r="AA126" i="30" s="1"/>
  <c r="V126" i="30"/>
  <c r="X126" i="30" s="1"/>
  <c r="S126" i="30"/>
  <c r="U126" i="30" s="1"/>
  <c r="P126" i="30"/>
  <c r="R126" i="30" s="1"/>
  <c r="AH125" i="30"/>
  <c r="AE125" i="30"/>
  <c r="AB125" i="30"/>
  <c r="Y125" i="30"/>
  <c r="V125" i="30"/>
  <c r="S125" i="30"/>
  <c r="P125" i="30"/>
  <c r="L125" i="30"/>
  <c r="U125" i="30" s="1"/>
  <c r="L119" i="30"/>
  <c r="U119" i="30" s="1"/>
  <c r="AH118" i="30"/>
  <c r="Y118" i="30"/>
  <c r="P118" i="30"/>
  <c r="L118" i="30"/>
  <c r="U118" i="30" s="1"/>
  <c r="L116" i="30"/>
  <c r="U116" i="30" s="1"/>
  <c r="AH115" i="30"/>
  <c r="Y115" i="30"/>
  <c r="P115" i="30"/>
  <c r="L115" i="30"/>
  <c r="U115" i="30" s="1"/>
  <c r="L111" i="30"/>
  <c r="U111" i="30" s="1"/>
  <c r="L110" i="30"/>
  <c r="U110" i="30" s="1"/>
  <c r="L105" i="30"/>
  <c r="U105" i="30" s="1"/>
  <c r="AH104" i="30"/>
  <c r="Y104" i="30"/>
  <c r="P104" i="30"/>
  <c r="L104" i="30"/>
  <c r="U104" i="30" s="1"/>
  <c r="L102" i="30"/>
  <c r="U102" i="30" s="1"/>
  <c r="L98" i="30"/>
  <c r="U98" i="30" s="1"/>
  <c r="AE97" i="30"/>
  <c r="S97" i="30"/>
  <c r="M97" i="30"/>
  <c r="L97" i="30"/>
  <c r="U97" i="30" s="1"/>
  <c r="L92" i="30"/>
  <c r="U92" i="30" s="1"/>
  <c r="AE91" i="30"/>
  <c r="S91" i="30"/>
  <c r="M91" i="30"/>
  <c r="L91" i="30"/>
  <c r="U91" i="30" s="1"/>
  <c r="L87" i="30"/>
  <c r="U87" i="30" s="1"/>
  <c r="L86" i="30"/>
  <c r="U86" i="30" s="1"/>
  <c r="AE81" i="30"/>
  <c r="S81" i="30"/>
  <c r="M81" i="30"/>
  <c r="L81" i="30"/>
  <c r="U81" i="30" s="1"/>
  <c r="L79" i="30"/>
  <c r="U79" i="30" s="1"/>
  <c r="L72" i="30"/>
  <c r="U72" i="30" s="1"/>
  <c r="AE71" i="30"/>
  <c r="P71" i="30"/>
  <c r="L71" i="30"/>
  <c r="U71" i="30" s="1"/>
  <c r="L68" i="30"/>
  <c r="U68" i="30" s="1"/>
  <c r="AE67" i="30"/>
  <c r="P67" i="30"/>
  <c r="L67" i="30"/>
  <c r="U67" i="30" s="1"/>
  <c r="L63" i="30"/>
  <c r="U63" i="30" s="1"/>
  <c r="L62" i="30"/>
  <c r="U62" i="30" s="1"/>
  <c r="AE58" i="30"/>
  <c r="P58" i="30"/>
  <c r="L58" i="30"/>
  <c r="U58" i="30" s="1"/>
  <c r="L57" i="30"/>
  <c r="U57" i="30" s="1"/>
  <c r="L53" i="30"/>
  <c r="U53" i="30" s="1"/>
  <c r="Y44" i="30"/>
  <c r="M44" i="30"/>
  <c r="L44" i="30"/>
  <c r="U44" i="30" s="1"/>
  <c r="L43" i="30"/>
  <c r="U43" i="30" s="1"/>
  <c r="L39" i="30"/>
  <c r="U39" i="30" s="1"/>
  <c r="L33" i="30"/>
  <c r="U33" i="30" s="1"/>
  <c r="L32" i="30"/>
  <c r="U32" i="30" s="1"/>
  <c r="AE25" i="30"/>
  <c r="Y25" i="30"/>
  <c r="S25" i="30"/>
  <c r="M25" i="30"/>
  <c r="L25" i="30"/>
  <c r="AE24" i="30"/>
  <c r="Y24" i="30"/>
  <c r="S24" i="30"/>
  <c r="M24" i="30"/>
  <c r="L24" i="30"/>
  <c r="AE20" i="30"/>
  <c r="Y20" i="30"/>
  <c r="S20" i="30"/>
  <c r="M20" i="30"/>
  <c r="L20" i="30"/>
  <c r="U20" i="30" s="1"/>
  <c r="AE15" i="30"/>
  <c r="Y15" i="30"/>
  <c r="S15" i="30"/>
  <c r="M15" i="30"/>
  <c r="L15" i="30"/>
  <c r="AE14" i="30"/>
  <c r="Y14" i="30"/>
  <c r="S14" i="30"/>
  <c r="M14" i="30"/>
  <c r="L14" i="30"/>
  <c r="AE11" i="30"/>
  <c r="Y11" i="30"/>
  <c r="S11" i="30"/>
  <c r="M11" i="30"/>
  <c r="L11" i="30"/>
  <c r="U11" i="30" s="1"/>
  <c r="AE10" i="30"/>
  <c r="AG10" i="30" s="1"/>
  <c r="Y10" i="30"/>
  <c r="AA10" i="30" s="1"/>
  <c r="S10" i="30"/>
  <c r="U10" i="30" s="1"/>
  <c r="M10" i="30"/>
  <c r="O10" i="30" s="1"/>
  <c r="L6" i="30"/>
  <c r="U6" i="30" s="1"/>
  <c r="M21" i="4"/>
  <c r="AH40" i="27"/>
  <c r="U25" i="30" l="1"/>
  <c r="U512" i="30"/>
  <c r="U15" i="30"/>
  <c r="U151" i="30"/>
  <c r="U271" i="30"/>
  <c r="AK390" i="30"/>
  <c r="AL390" i="30" s="1"/>
  <c r="U390" i="30"/>
  <c r="AK414" i="30"/>
  <c r="AL414" i="30" s="1"/>
  <c r="U414" i="30"/>
  <c r="U418" i="30"/>
  <c r="AK418" i="30" s="1"/>
  <c r="AL418" i="30" s="1"/>
  <c r="U24" i="30"/>
  <c r="U14" i="30"/>
  <c r="U188" i="30"/>
  <c r="U198" i="30"/>
  <c r="U208" i="30"/>
  <c r="U225" i="30"/>
  <c r="U661" i="30"/>
  <c r="U129" i="30"/>
  <c r="U138" i="30"/>
  <c r="U640" i="30"/>
  <c r="U665" i="30"/>
  <c r="U128" i="30"/>
  <c r="U133" i="30"/>
  <c r="U134" i="30"/>
  <c r="U139" i="30"/>
  <c r="U145" i="30"/>
  <c r="AK126" i="30"/>
  <c r="AL126" i="30" s="1"/>
  <c r="U156" i="30"/>
  <c r="U189" i="30"/>
  <c r="U199" i="30"/>
  <c r="U209" i="30"/>
  <c r="U641" i="30"/>
  <c r="AJ20" i="30"/>
  <c r="AG20" i="30"/>
  <c r="AD20" i="30"/>
  <c r="AA20" i="30"/>
  <c r="X20" i="30"/>
  <c r="R20" i="30"/>
  <c r="O20" i="30"/>
  <c r="AK20" i="30" s="1"/>
  <c r="AL20" i="30" s="1"/>
  <c r="AJ232" i="30"/>
  <c r="AG232" i="30"/>
  <c r="AD232" i="30"/>
  <c r="AA232" i="30"/>
  <c r="X232" i="30"/>
  <c r="R232" i="30"/>
  <c r="O232" i="30"/>
  <c r="AJ316" i="30"/>
  <c r="AG316" i="30"/>
  <c r="AD316" i="30"/>
  <c r="AA316" i="30"/>
  <c r="X316" i="30"/>
  <c r="R316" i="30"/>
  <c r="O316" i="30"/>
  <c r="AJ501" i="30"/>
  <c r="AG501" i="30"/>
  <c r="AD501" i="30"/>
  <c r="AA501" i="30"/>
  <c r="X501" i="30"/>
  <c r="R501" i="30"/>
  <c r="O501" i="30"/>
  <c r="AJ603" i="30"/>
  <c r="AD603" i="30"/>
  <c r="AG603" i="30"/>
  <c r="AA603" i="30"/>
  <c r="X603" i="30"/>
  <c r="R603" i="30"/>
  <c r="O603" i="30"/>
  <c r="AJ401" i="30"/>
  <c r="AG401" i="30"/>
  <c r="AD401" i="30"/>
  <c r="AA401" i="30"/>
  <c r="X401" i="30"/>
  <c r="R401" i="30"/>
  <c r="O401" i="30"/>
  <c r="AJ25" i="30"/>
  <c r="AG25" i="30"/>
  <c r="AD25" i="30"/>
  <c r="AA25" i="30"/>
  <c r="X25" i="30"/>
  <c r="R25" i="30"/>
  <c r="O25" i="30"/>
  <c r="AJ43" i="30"/>
  <c r="AD43" i="30"/>
  <c r="AG43" i="30"/>
  <c r="AA43" i="30"/>
  <c r="X43" i="30"/>
  <c r="R43" i="30"/>
  <c r="O43" i="30"/>
  <c r="AJ86" i="30"/>
  <c r="AG86" i="30"/>
  <c r="AD86" i="30"/>
  <c r="AA86" i="30"/>
  <c r="X86" i="30"/>
  <c r="R86" i="30"/>
  <c r="O86" i="30"/>
  <c r="AK86" i="30" s="1"/>
  <c r="AL86" i="30" s="1"/>
  <c r="AJ116" i="30"/>
  <c r="AG116" i="30"/>
  <c r="AD116" i="30"/>
  <c r="AA116" i="30"/>
  <c r="X116" i="30"/>
  <c r="R116" i="30"/>
  <c r="O116" i="30"/>
  <c r="AJ147" i="30"/>
  <c r="AD147" i="30"/>
  <c r="AG147" i="30"/>
  <c r="AA147" i="30"/>
  <c r="X147" i="30"/>
  <c r="R147" i="30"/>
  <c r="O147" i="30"/>
  <c r="AJ158" i="30"/>
  <c r="AG158" i="30"/>
  <c r="AD158" i="30"/>
  <c r="AA158" i="30"/>
  <c r="X158" i="30"/>
  <c r="R158" i="30"/>
  <c r="O158" i="30"/>
  <c r="AJ168" i="30"/>
  <c r="AG168" i="30"/>
  <c r="AD168" i="30"/>
  <c r="AA168" i="30"/>
  <c r="X168" i="30"/>
  <c r="R168" i="30"/>
  <c r="O168" i="30"/>
  <c r="AJ192" i="30"/>
  <c r="AG192" i="30"/>
  <c r="AD192" i="30"/>
  <c r="AA192" i="30"/>
  <c r="X192" i="30"/>
  <c r="R192" i="30"/>
  <c r="O192" i="30"/>
  <c r="AJ202" i="30"/>
  <c r="AG202" i="30"/>
  <c r="AD202" i="30"/>
  <c r="AA202" i="30"/>
  <c r="X202" i="30"/>
  <c r="O202" i="30"/>
  <c r="R202" i="30"/>
  <c r="AJ212" i="30"/>
  <c r="AG212" i="30"/>
  <c r="AD212" i="30"/>
  <c r="AA212" i="30"/>
  <c r="X212" i="30"/>
  <c r="R212" i="30"/>
  <c r="O212" i="30"/>
  <c r="AJ233" i="30"/>
  <c r="AG233" i="30"/>
  <c r="AD233" i="30"/>
  <c r="AA233" i="30"/>
  <c r="X233" i="30"/>
  <c r="R233" i="30"/>
  <c r="O233" i="30"/>
  <c r="AK233" i="30" s="1"/>
  <c r="AL233" i="30" s="1"/>
  <c r="AJ253" i="30"/>
  <c r="AG253" i="30"/>
  <c r="AD253" i="30"/>
  <c r="AA253" i="30"/>
  <c r="X253" i="30"/>
  <c r="R253" i="30"/>
  <c r="O253" i="30"/>
  <c r="AJ279" i="30"/>
  <c r="AG279" i="30"/>
  <c r="AD279" i="30"/>
  <c r="AA279" i="30"/>
  <c r="X279" i="30"/>
  <c r="R279" i="30"/>
  <c r="O279" i="30"/>
  <c r="AJ294" i="30"/>
  <c r="AG294" i="30"/>
  <c r="AD294" i="30"/>
  <c r="AA294" i="30"/>
  <c r="X294" i="30"/>
  <c r="R294" i="30"/>
  <c r="O294" i="30"/>
  <c r="AJ310" i="30"/>
  <c r="AG310" i="30"/>
  <c r="AD310" i="30"/>
  <c r="AA310" i="30"/>
  <c r="X310" i="30"/>
  <c r="R310" i="30"/>
  <c r="O310" i="30"/>
  <c r="AJ367" i="30"/>
  <c r="AG367" i="30"/>
  <c r="AD367" i="30"/>
  <c r="AA367" i="30"/>
  <c r="X367" i="30"/>
  <c r="R367" i="30"/>
  <c r="O367" i="30"/>
  <c r="AJ388" i="30"/>
  <c r="AG388" i="30"/>
  <c r="AD388" i="30"/>
  <c r="AA388" i="30"/>
  <c r="X388" i="30"/>
  <c r="R388" i="30"/>
  <c r="O388" i="30"/>
  <c r="AJ392" i="30"/>
  <c r="AG392" i="30"/>
  <c r="AD392" i="30"/>
  <c r="AA392" i="30"/>
  <c r="X392" i="30"/>
  <c r="R392" i="30"/>
  <c r="O392" i="30"/>
  <c r="AJ406" i="30"/>
  <c r="AG406" i="30"/>
  <c r="AD406" i="30"/>
  <c r="AA406" i="30"/>
  <c r="X406" i="30"/>
  <c r="R406" i="30"/>
  <c r="O406" i="30"/>
  <c r="AK406" i="30" s="1"/>
  <c r="AL406" i="30" s="1"/>
  <c r="AK416" i="30"/>
  <c r="AL416" i="30" s="1"/>
  <c r="AJ422" i="30"/>
  <c r="AG422" i="30"/>
  <c r="AD422" i="30"/>
  <c r="AA422" i="30"/>
  <c r="X422" i="30"/>
  <c r="O422" i="30"/>
  <c r="R422" i="30"/>
  <c r="AJ432" i="30"/>
  <c r="AG432" i="30"/>
  <c r="AD432" i="30"/>
  <c r="AA432" i="30"/>
  <c r="X432" i="30"/>
  <c r="R432" i="30"/>
  <c r="O432" i="30"/>
  <c r="AJ453" i="30"/>
  <c r="AG453" i="30"/>
  <c r="AD453" i="30"/>
  <c r="AA453" i="30"/>
  <c r="X453" i="30"/>
  <c r="R453" i="30"/>
  <c r="O453" i="30"/>
  <c r="AJ467" i="30"/>
  <c r="AD467" i="30"/>
  <c r="AG467" i="30"/>
  <c r="AA467" i="30"/>
  <c r="X467" i="30"/>
  <c r="R467" i="30"/>
  <c r="O467" i="30"/>
  <c r="AJ490" i="30"/>
  <c r="AG490" i="30"/>
  <c r="AD490" i="30"/>
  <c r="AA490" i="30"/>
  <c r="X490" i="30"/>
  <c r="O490" i="30"/>
  <c r="R490" i="30"/>
  <c r="AJ512" i="30"/>
  <c r="AG512" i="30"/>
  <c r="AD512" i="30"/>
  <c r="AA512" i="30"/>
  <c r="X512" i="30"/>
  <c r="R512" i="30"/>
  <c r="O512" i="30"/>
  <c r="AJ536" i="30"/>
  <c r="AG536" i="30"/>
  <c r="AD536" i="30"/>
  <c r="AA536" i="30"/>
  <c r="X536" i="30"/>
  <c r="R536" i="30"/>
  <c r="O536" i="30"/>
  <c r="AJ541" i="30"/>
  <c r="AG541" i="30"/>
  <c r="AD541" i="30"/>
  <c r="AA541" i="30"/>
  <c r="X541" i="30"/>
  <c r="R541" i="30"/>
  <c r="O541" i="30"/>
  <c r="AJ652" i="30"/>
  <c r="AG652" i="30"/>
  <c r="AD652" i="30"/>
  <c r="AA652" i="30"/>
  <c r="X652" i="30"/>
  <c r="R652" i="30"/>
  <c r="O652" i="30"/>
  <c r="AJ672" i="30"/>
  <c r="AG672" i="30"/>
  <c r="AD672" i="30"/>
  <c r="AA672" i="30"/>
  <c r="X672" i="30"/>
  <c r="R672" i="30"/>
  <c r="O672" i="30"/>
  <c r="AJ705" i="30"/>
  <c r="AG705" i="30"/>
  <c r="AD705" i="30"/>
  <c r="AA705" i="30"/>
  <c r="X705" i="30"/>
  <c r="R705" i="30"/>
  <c r="O705" i="30"/>
  <c r="AJ714" i="30"/>
  <c r="AG714" i="30"/>
  <c r="AD714" i="30"/>
  <c r="AA714" i="30"/>
  <c r="X714" i="30"/>
  <c r="O714" i="30"/>
  <c r="R714" i="30"/>
  <c r="AJ718" i="30"/>
  <c r="AG718" i="30"/>
  <c r="AD718" i="30"/>
  <c r="AA718" i="30"/>
  <c r="X718" i="30"/>
  <c r="R718" i="30"/>
  <c r="O718" i="30"/>
  <c r="AJ733" i="30"/>
  <c r="AG733" i="30"/>
  <c r="AD733" i="30"/>
  <c r="AA733" i="30"/>
  <c r="X733" i="30"/>
  <c r="R733" i="30"/>
  <c r="O733" i="30"/>
  <c r="AJ92" i="30"/>
  <c r="AG92" i="30"/>
  <c r="AD92" i="30"/>
  <c r="AA92" i="30"/>
  <c r="X92" i="30"/>
  <c r="R92" i="30"/>
  <c r="O92" i="30"/>
  <c r="AJ15" i="30"/>
  <c r="AG15" i="30"/>
  <c r="AD15" i="30"/>
  <c r="AA15" i="30"/>
  <c r="X15" i="30"/>
  <c r="R15" i="30"/>
  <c r="O15" i="30"/>
  <c r="AJ44" i="30"/>
  <c r="AG44" i="30"/>
  <c r="AD44" i="30"/>
  <c r="AA44" i="30"/>
  <c r="X44" i="30"/>
  <c r="R44" i="30"/>
  <c r="O44" i="30"/>
  <c r="AJ62" i="30"/>
  <c r="AG62" i="30"/>
  <c r="AD62" i="30"/>
  <c r="AA62" i="30"/>
  <c r="X62" i="30"/>
  <c r="R62" i="30"/>
  <c r="O62" i="30"/>
  <c r="AJ87" i="30"/>
  <c r="AG87" i="30"/>
  <c r="AD87" i="30"/>
  <c r="AA87" i="30"/>
  <c r="X87" i="30"/>
  <c r="R87" i="30"/>
  <c r="O87" i="30"/>
  <c r="AJ105" i="30"/>
  <c r="AG105" i="30"/>
  <c r="AD105" i="30"/>
  <c r="AA105" i="30"/>
  <c r="X105" i="30"/>
  <c r="R105" i="30"/>
  <c r="O105" i="30"/>
  <c r="AJ118" i="30"/>
  <c r="AG118" i="30"/>
  <c r="AD118" i="30"/>
  <c r="AA118" i="30"/>
  <c r="X118" i="30"/>
  <c r="R118" i="30"/>
  <c r="O118" i="30"/>
  <c r="AJ151" i="30"/>
  <c r="AG151" i="30"/>
  <c r="AD151" i="30"/>
  <c r="AA151" i="30"/>
  <c r="X151" i="30"/>
  <c r="R151" i="30"/>
  <c r="O151" i="30"/>
  <c r="AJ161" i="30"/>
  <c r="AG161" i="30"/>
  <c r="AD161" i="30"/>
  <c r="AA161" i="30"/>
  <c r="X161" i="30"/>
  <c r="R161" i="30"/>
  <c r="O161" i="30"/>
  <c r="AJ169" i="30"/>
  <c r="AG169" i="30"/>
  <c r="AD169" i="30"/>
  <c r="AA169" i="30"/>
  <c r="X169" i="30"/>
  <c r="R169" i="30"/>
  <c r="O169" i="30"/>
  <c r="AJ1266" i="30"/>
  <c r="AG1266" i="30"/>
  <c r="AA1266" i="30"/>
  <c r="AD1266" i="30"/>
  <c r="X1266" i="30"/>
  <c r="R1266" i="30"/>
  <c r="O1266" i="30"/>
  <c r="AJ1277" i="30"/>
  <c r="AG1277" i="30"/>
  <c r="AA1277" i="30"/>
  <c r="AD1277" i="30"/>
  <c r="X1277" i="30"/>
  <c r="R1277" i="30"/>
  <c r="O1277" i="30"/>
  <c r="AJ271" i="30"/>
  <c r="AG271" i="30"/>
  <c r="AD271" i="30"/>
  <c r="AA271" i="30"/>
  <c r="X271" i="30"/>
  <c r="R271" i="30"/>
  <c r="O271" i="30"/>
  <c r="AJ372" i="30"/>
  <c r="AG372" i="30"/>
  <c r="AD372" i="30"/>
  <c r="AA372" i="30"/>
  <c r="X372" i="30"/>
  <c r="R372" i="30"/>
  <c r="O372" i="30"/>
  <c r="AJ411" i="30"/>
  <c r="AD411" i="30"/>
  <c r="AG411" i="30"/>
  <c r="AA411" i="30"/>
  <c r="X411" i="30"/>
  <c r="R411" i="30"/>
  <c r="O411" i="30"/>
  <c r="AJ426" i="30"/>
  <c r="AG426" i="30"/>
  <c r="AD426" i="30"/>
  <c r="AA426" i="30"/>
  <c r="X426" i="30"/>
  <c r="O426" i="30"/>
  <c r="R426" i="30"/>
  <c r="AJ464" i="30"/>
  <c r="AG464" i="30"/>
  <c r="AD464" i="30"/>
  <c r="AA464" i="30"/>
  <c r="X464" i="30"/>
  <c r="R464" i="30"/>
  <c r="O464" i="30"/>
  <c r="AJ491" i="30"/>
  <c r="AD491" i="30"/>
  <c r="AG491" i="30"/>
  <c r="AA491" i="30"/>
  <c r="X491" i="30"/>
  <c r="R491" i="30"/>
  <c r="O491" i="30"/>
  <c r="AJ523" i="30"/>
  <c r="AD523" i="30"/>
  <c r="AG523" i="30"/>
  <c r="AA523" i="30"/>
  <c r="X523" i="30"/>
  <c r="R523" i="30"/>
  <c r="O523" i="30"/>
  <c r="AJ542" i="30"/>
  <c r="AG542" i="30"/>
  <c r="AD542" i="30"/>
  <c r="AA542" i="30"/>
  <c r="X542" i="30"/>
  <c r="O542" i="30"/>
  <c r="R542" i="30"/>
  <c r="AJ562" i="30"/>
  <c r="AG562" i="30"/>
  <c r="AD562" i="30"/>
  <c r="AA562" i="30"/>
  <c r="X562" i="30"/>
  <c r="R562" i="30"/>
  <c r="O562" i="30"/>
  <c r="AJ566" i="30"/>
  <c r="AG566" i="30"/>
  <c r="AD566" i="30"/>
  <c r="AA566" i="30"/>
  <c r="X566" i="30"/>
  <c r="R566" i="30"/>
  <c r="O566" i="30"/>
  <c r="AJ571" i="30"/>
  <c r="AD571" i="30"/>
  <c r="AG571" i="30"/>
  <c r="AA571" i="30"/>
  <c r="X571" i="30"/>
  <c r="R571" i="30"/>
  <c r="O571" i="30"/>
  <c r="AJ575" i="30"/>
  <c r="AG575" i="30"/>
  <c r="AD575" i="30"/>
  <c r="AA575" i="30"/>
  <c r="X575" i="30"/>
  <c r="R575" i="30"/>
  <c r="O575" i="30"/>
  <c r="AJ593" i="30"/>
  <c r="AG593" i="30"/>
  <c r="AD593" i="30"/>
  <c r="AA593" i="30"/>
  <c r="X593" i="30"/>
  <c r="R593" i="30"/>
  <c r="O593" i="30"/>
  <c r="AJ604" i="30"/>
  <c r="AG604" i="30"/>
  <c r="AD604" i="30"/>
  <c r="AA604" i="30"/>
  <c r="X604" i="30"/>
  <c r="R604" i="30"/>
  <c r="O604" i="30"/>
  <c r="AJ620" i="30"/>
  <c r="AG620" i="30"/>
  <c r="AD620" i="30"/>
  <c r="AA620" i="30"/>
  <c r="X620" i="30"/>
  <c r="R620" i="30"/>
  <c r="O620" i="30"/>
  <c r="AJ624" i="30"/>
  <c r="AG624" i="30"/>
  <c r="AD624" i="30"/>
  <c r="AA624" i="30"/>
  <c r="X624" i="30"/>
  <c r="R624" i="30"/>
  <c r="O624" i="30"/>
  <c r="AJ629" i="30"/>
  <c r="AG629" i="30"/>
  <c r="AD629" i="30"/>
  <c r="AA629" i="30"/>
  <c r="X629" i="30"/>
  <c r="R629" i="30"/>
  <c r="O629" i="30"/>
  <c r="AJ633" i="30"/>
  <c r="AG633" i="30"/>
  <c r="AD633" i="30"/>
  <c r="AA633" i="30"/>
  <c r="X633" i="30"/>
  <c r="R633" i="30"/>
  <c r="O633" i="30"/>
  <c r="AJ655" i="30"/>
  <c r="AG655" i="30"/>
  <c r="AD655" i="30"/>
  <c r="AA655" i="30"/>
  <c r="X655" i="30"/>
  <c r="R655" i="30"/>
  <c r="O655" i="30"/>
  <c r="AJ740" i="30"/>
  <c r="AG740" i="30"/>
  <c r="AD740" i="30"/>
  <c r="X740" i="30"/>
  <c r="AA740" i="30"/>
  <c r="R740" i="30"/>
  <c r="O740" i="30"/>
  <c r="AJ744" i="30"/>
  <c r="AG744" i="30"/>
  <c r="AD744" i="30"/>
  <c r="AA744" i="30"/>
  <c r="X744" i="30"/>
  <c r="R744" i="30"/>
  <c r="O744" i="30"/>
  <c r="AJ749" i="30"/>
  <c r="AG749" i="30"/>
  <c r="AD749" i="30"/>
  <c r="AA749" i="30"/>
  <c r="X749" i="30"/>
  <c r="R749" i="30"/>
  <c r="O749" i="30"/>
  <c r="AJ754" i="30"/>
  <c r="AG754" i="30"/>
  <c r="AD754" i="30"/>
  <c r="AA754" i="30"/>
  <c r="X754" i="30"/>
  <c r="O754" i="30"/>
  <c r="R754" i="30"/>
  <c r="AJ33" i="30"/>
  <c r="AG33" i="30"/>
  <c r="AD33" i="30"/>
  <c r="AA33" i="30"/>
  <c r="X33" i="30"/>
  <c r="R33" i="30"/>
  <c r="O33" i="30"/>
  <c r="AJ125" i="30"/>
  <c r="AG125" i="30"/>
  <c r="AD125" i="30"/>
  <c r="AA125" i="30"/>
  <c r="X125" i="30"/>
  <c r="R125" i="30"/>
  <c r="O125" i="30"/>
  <c r="AJ209" i="30"/>
  <c r="AG209" i="30"/>
  <c r="AD209" i="30"/>
  <c r="AA209" i="30"/>
  <c r="X209" i="30"/>
  <c r="R209" i="30"/>
  <c r="O209" i="30"/>
  <c r="AJ376" i="30"/>
  <c r="AG376" i="30"/>
  <c r="AD376" i="30"/>
  <c r="AA376" i="30"/>
  <c r="X376" i="30"/>
  <c r="R376" i="30"/>
  <c r="O376" i="30"/>
  <c r="AJ399" i="30"/>
  <c r="AG399" i="30"/>
  <c r="AD399" i="30"/>
  <c r="AA399" i="30"/>
  <c r="X399" i="30"/>
  <c r="R399" i="30"/>
  <c r="O399" i="30"/>
  <c r="AJ472" i="30"/>
  <c r="AG472" i="30"/>
  <c r="AD472" i="30"/>
  <c r="AA472" i="30"/>
  <c r="X472" i="30"/>
  <c r="R472" i="30"/>
  <c r="O472" i="30"/>
  <c r="AJ641" i="30"/>
  <c r="AG641" i="30"/>
  <c r="AD641" i="30"/>
  <c r="AA641" i="30"/>
  <c r="X641" i="30"/>
  <c r="R641" i="30"/>
  <c r="O641" i="30"/>
  <c r="AJ760" i="30"/>
  <c r="AG760" i="30"/>
  <c r="AD760" i="30"/>
  <c r="AA760" i="30"/>
  <c r="X760" i="30"/>
  <c r="R760" i="30"/>
  <c r="O760" i="30"/>
  <c r="AJ71" i="30"/>
  <c r="AG71" i="30"/>
  <c r="AD71" i="30"/>
  <c r="AA71" i="30"/>
  <c r="X71" i="30"/>
  <c r="R71" i="30"/>
  <c r="O71" i="30"/>
  <c r="AJ97" i="30"/>
  <c r="AG97" i="30"/>
  <c r="AD97" i="30"/>
  <c r="AA97" i="30"/>
  <c r="X97" i="30"/>
  <c r="R97" i="30"/>
  <c r="O97" i="30"/>
  <c r="AJ269" i="30"/>
  <c r="AG269" i="30"/>
  <c r="AD269" i="30"/>
  <c r="AA269" i="30"/>
  <c r="X269" i="30"/>
  <c r="R269" i="30"/>
  <c r="O269" i="30"/>
  <c r="AJ303" i="30"/>
  <c r="AG303" i="30"/>
  <c r="AD303" i="30"/>
  <c r="AA303" i="30"/>
  <c r="X303" i="30"/>
  <c r="R303" i="30"/>
  <c r="O303" i="30"/>
  <c r="AJ383" i="30"/>
  <c r="AG383" i="30"/>
  <c r="AD383" i="30"/>
  <c r="AA383" i="30"/>
  <c r="X383" i="30"/>
  <c r="R383" i="30"/>
  <c r="O383" i="30"/>
  <c r="AJ480" i="30"/>
  <c r="AG480" i="30"/>
  <c r="AD480" i="30"/>
  <c r="AA480" i="30"/>
  <c r="X480" i="30"/>
  <c r="R480" i="30"/>
  <c r="O480" i="30"/>
  <c r="AJ531" i="30"/>
  <c r="AD531" i="30"/>
  <c r="AG531" i="30"/>
  <c r="AA531" i="30"/>
  <c r="X531" i="30"/>
  <c r="R531" i="30"/>
  <c r="O531" i="30"/>
  <c r="AJ598" i="30"/>
  <c r="AG598" i="30"/>
  <c r="AD598" i="30"/>
  <c r="AA598" i="30"/>
  <c r="X598" i="30"/>
  <c r="O598" i="30"/>
  <c r="R598" i="30"/>
  <c r="AJ645" i="30"/>
  <c r="AG645" i="30"/>
  <c r="AD645" i="30"/>
  <c r="AA645" i="30"/>
  <c r="X645" i="30"/>
  <c r="R645" i="30"/>
  <c r="O645" i="30"/>
  <c r="AJ671" i="30"/>
  <c r="AG671" i="30"/>
  <c r="AD671" i="30"/>
  <c r="AA671" i="30"/>
  <c r="X671" i="30"/>
  <c r="R671" i="30"/>
  <c r="O671" i="30"/>
  <c r="AJ6" i="30"/>
  <c r="AG6" i="30"/>
  <c r="AD6" i="30"/>
  <c r="AA6" i="30"/>
  <c r="X6" i="30"/>
  <c r="R6" i="30"/>
  <c r="O6" i="30"/>
  <c r="AJ63" i="30"/>
  <c r="AG63" i="30"/>
  <c r="AD63" i="30"/>
  <c r="AA63" i="30"/>
  <c r="X63" i="30"/>
  <c r="R63" i="30"/>
  <c r="O63" i="30"/>
  <c r="AJ91" i="30"/>
  <c r="AD91" i="30"/>
  <c r="AG91" i="30"/>
  <c r="AA91" i="30"/>
  <c r="X91" i="30"/>
  <c r="R91" i="30"/>
  <c r="O91" i="30"/>
  <c r="AJ1255" i="30"/>
  <c r="AG1255" i="30"/>
  <c r="AA1255" i="30"/>
  <c r="AD1255" i="30"/>
  <c r="X1255" i="30"/>
  <c r="R1255" i="30"/>
  <c r="O1255" i="30"/>
  <c r="AJ193" i="30"/>
  <c r="AG193" i="30"/>
  <c r="AD193" i="30"/>
  <c r="AA193" i="30"/>
  <c r="X193" i="30"/>
  <c r="R193" i="30"/>
  <c r="O193" i="30"/>
  <c r="AJ203" i="30"/>
  <c r="AD203" i="30"/>
  <c r="AG203" i="30"/>
  <c r="AA203" i="30"/>
  <c r="X203" i="30"/>
  <c r="R203" i="30"/>
  <c r="O203" i="30"/>
  <c r="AJ224" i="30"/>
  <c r="AG224" i="30"/>
  <c r="AD224" i="30"/>
  <c r="AA224" i="30"/>
  <c r="X224" i="30"/>
  <c r="R224" i="30"/>
  <c r="O224" i="30"/>
  <c r="AJ245" i="30"/>
  <c r="AG245" i="30"/>
  <c r="AD245" i="30"/>
  <c r="AA245" i="30"/>
  <c r="X245" i="30"/>
  <c r="R245" i="30"/>
  <c r="O245" i="30"/>
  <c r="AJ304" i="30"/>
  <c r="AG304" i="30"/>
  <c r="AD304" i="30"/>
  <c r="AA304" i="30"/>
  <c r="X304" i="30"/>
  <c r="R304" i="30"/>
  <c r="O304" i="30"/>
  <c r="AJ373" i="30"/>
  <c r="AG373" i="30"/>
  <c r="AD373" i="30"/>
  <c r="AA373" i="30"/>
  <c r="X373" i="30"/>
  <c r="R373" i="30"/>
  <c r="O373" i="30"/>
  <c r="AJ377" i="30"/>
  <c r="AG377" i="30"/>
  <c r="AD377" i="30"/>
  <c r="AA377" i="30"/>
  <c r="X377" i="30"/>
  <c r="R377" i="30"/>
  <c r="O377" i="30"/>
  <c r="AJ391" i="30"/>
  <c r="AG391" i="30"/>
  <c r="AD391" i="30"/>
  <c r="AA391" i="30"/>
  <c r="X391" i="30"/>
  <c r="R391" i="30"/>
  <c r="O391" i="30"/>
  <c r="AJ428" i="30"/>
  <c r="AG428" i="30"/>
  <c r="AD428" i="30"/>
  <c r="AA428" i="30"/>
  <c r="X428" i="30"/>
  <c r="R428" i="30"/>
  <c r="O428" i="30"/>
  <c r="AJ447" i="30"/>
  <c r="AG447" i="30"/>
  <c r="AD447" i="30"/>
  <c r="AA447" i="30"/>
  <c r="X447" i="30"/>
  <c r="R447" i="30"/>
  <c r="O447" i="30"/>
  <c r="AJ463" i="30"/>
  <c r="AG463" i="30"/>
  <c r="AD463" i="30"/>
  <c r="AA463" i="30"/>
  <c r="X463" i="30"/>
  <c r="R463" i="30"/>
  <c r="O463" i="30"/>
  <c r="AJ496" i="30"/>
  <c r="AG496" i="30"/>
  <c r="AD496" i="30"/>
  <c r="AA496" i="30"/>
  <c r="X496" i="30"/>
  <c r="R496" i="30"/>
  <c r="O496" i="30"/>
  <c r="AJ500" i="30"/>
  <c r="AG500" i="30"/>
  <c r="AD500" i="30"/>
  <c r="AA500" i="30"/>
  <c r="X500" i="30"/>
  <c r="R500" i="30"/>
  <c r="O500" i="30"/>
  <c r="AJ545" i="30"/>
  <c r="AG545" i="30"/>
  <c r="AD545" i="30"/>
  <c r="AA545" i="30"/>
  <c r="X545" i="30"/>
  <c r="R545" i="30"/>
  <c r="O545" i="30"/>
  <c r="AJ582" i="30"/>
  <c r="AG582" i="30"/>
  <c r="AD582" i="30"/>
  <c r="AA582" i="30"/>
  <c r="X582" i="30"/>
  <c r="R582" i="30"/>
  <c r="O582" i="30"/>
  <c r="AJ601" i="30"/>
  <c r="AG601" i="30"/>
  <c r="AD601" i="30"/>
  <c r="AA601" i="30"/>
  <c r="X601" i="30"/>
  <c r="R601" i="30"/>
  <c r="O601" i="30"/>
  <c r="AJ656" i="30"/>
  <c r="AG656" i="30"/>
  <c r="AD656" i="30"/>
  <c r="AA656" i="30"/>
  <c r="X656" i="30"/>
  <c r="R656" i="30"/>
  <c r="O656" i="30"/>
  <c r="AJ728" i="30"/>
  <c r="AG728" i="30"/>
  <c r="AD728" i="30"/>
  <c r="AA728" i="30"/>
  <c r="X728" i="30"/>
  <c r="R728" i="30"/>
  <c r="O728" i="30"/>
  <c r="AJ765" i="30"/>
  <c r="AG765" i="30"/>
  <c r="AD765" i="30"/>
  <c r="AA765" i="30"/>
  <c r="X765" i="30"/>
  <c r="R765" i="30"/>
  <c r="O765" i="30"/>
  <c r="AJ156" i="30"/>
  <c r="AG156" i="30"/>
  <c r="AD156" i="30"/>
  <c r="AA156" i="30"/>
  <c r="X156" i="30"/>
  <c r="R156" i="30"/>
  <c r="O156" i="30"/>
  <c r="AJ189" i="30"/>
  <c r="AG189" i="30"/>
  <c r="AD189" i="30"/>
  <c r="AA189" i="30"/>
  <c r="X189" i="30"/>
  <c r="R189" i="30"/>
  <c r="O189" i="30"/>
  <c r="AJ666" i="30"/>
  <c r="AG666" i="30"/>
  <c r="AD666" i="30"/>
  <c r="AA666" i="30"/>
  <c r="X666" i="30"/>
  <c r="O666" i="30"/>
  <c r="R666" i="30"/>
  <c r="AJ442" i="30"/>
  <c r="AG442" i="30"/>
  <c r="AD442" i="30"/>
  <c r="AA442" i="30"/>
  <c r="X442" i="30"/>
  <c r="R442" i="30"/>
  <c r="O442" i="30"/>
  <c r="AJ72" i="30"/>
  <c r="AG72" i="30"/>
  <c r="AD72" i="30"/>
  <c r="AA72" i="30"/>
  <c r="X72" i="30"/>
  <c r="R72" i="30"/>
  <c r="O72" i="30"/>
  <c r="AJ110" i="30"/>
  <c r="AG110" i="30"/>
  <c r="AD110" i="30"/>
  <c r="AA110" i="30"/>
  <c r="X110" i="30"/>
  <c r="R110" i="30"/>
  <c r="O110" i="30"/>
  <c r="AK10" i="30"/>
  <c r="AL10" i="30" s="1"/>
  <c r="AJ24" i="30"/>
  <c r="AG24" i="30"/>
  <c r="AD24" i="30"/>
  <c r="AA24" i="30"/>
  <c r="X24" i="30"/>
  <c r="R24" i="30"/>
  <c r="O24" i="30"/>
  <c r="AJ67" i="30"/>
  <c r="AD67" i="30"/>
  <c r="AG67" i="30"/>
  <c r="AA67" i="30"/>
  <c r="X67" i="30"/>
  <c r="R67" i="30"/>
  <c r="O67" i="30"/>
  <c r="AJ79" i="30"/>
  <c r="AG79" i="30"/>
  <c r="AD79" i="30"/>
  <c r="AA79" i="30"/>
  <c r="X79" i="30"/>
  <c r="R79" i="30"/>
  <c r="O79" i="30"/>
  <c r="AJ98" i="30"/>
  <c r="AG98" i="30"/>
  <c r="AD98" i="30"/>
  <c r="AA98" i="30"/>
  <c r="X98" i="30"/>
  <c r="R98" i="30"/>
  <c r="O98" i="30"/>
  <c r="AJ111" i="30"/>
  <c r="AG111" i="30"/>
  <c r="AD111" i="30"/>
  <c r="AA111" i="30"/>
  <c r="X111" i="30"/>
  <c r="R111" i="30"/>
  <c r="O111" i="30"/>
  <c r="AJ152" i="30"/>
  <c r="AG152" i="30"/>
  <c r="AD152" i="30"/>
  <c r="AA152" i="30"/>
  <c r="X152" i="30"/>
  <c r="R152" i="30"/>
  <c r="O152" i="30"/>
  <c r="AJ1261" i="30"/>
  <c r="AG1261" i="30"/>
  <c r="AA1261" i="30"/>
  <c r="AD1261" i="30"/>
  <c r="X1261" i="30"/>
  <c r="R1261" i="30"/>
  <c r="O1261" i="30"/>
  <c r="AJ1270" i="30"/>
  <c r="AG1270" i="30"/>
  <c r="AA1270" i="30"/>
  <c r="AD1270" i="30"/>
  <c r="X1270" i="30"/>
  <c r="R1270" i="30"/>
  <c r="O1270" i="30"/>
  <c r="AJ180" i="30"/>
  <c r="AG180" i="30"/>
  <c r="AD180" i="30"/>
  <c r="AA180" i="30"/>
  <c r="X180" i="30"/>
  <c r="R180" i="30"/>
  <c r="O180" i="30"/>
  <c r="AJ263" i="30"/>
  <c r="AG263" i="30"/>
  <c r="AD263" i="30"/>
  <c r="AA263" i="30"/>
  <c r="X263" i="30"/>
  <c r="R263" i="30"/>
  <c r="O263" i="30"/>
  <c r="AJ274" i="30"/>
  <c r="AG274" i="30"/>
  <c r="AD274" i="30"/>
  <c r="AA274" i="30"/>
  <c r="X274" i="30"/>
  <c r="O274" i="30"/>
  <c r="R274" i="30"/>
  <c r="AJ297" i="30"/>
  <c r="AG297" i="30"/>
  <c r="AD297" i="30"/>
  <c r="AA297" i="30"/>
  <c r="X297" i="30"/>
  <c r="R297" i="30"/>
  <c r="O297" i="30"/>
  <c r="AJ311" i="30"/>
  <c r="AG311" i="30"/>
  <c r="AD311" i="30"/>
  <c r="AA311" i="30"/>
  <c r="X311" i="30"/>
  <c r="R311" i="30"/>
  <c r="O311" i="30"/>
  <c r="AK415" i="30"/>
  <c r="AL415" i="30" s="1"/>
  <c r="AK419" i="30"/>
  <c r="AL419" i="30" s="1"/>
  <c r="AJ434" i="30"/>
  <c r="AG434" i="30"/>
  <c r="AD434" i="30"/>
  <c r="AA434" i="30"/>
  <c r="X434" i="30"/>
  <c r="O434" i="30"/>
  <c r="R434" i="30"/>
  <c r="AJ460" i="30"/>
  <c r="AG460" i="30"/>
  <c r="AD460" i="30"/>
  <c r="AA460" i="30"/>
  <c r="X460" i="30"/>
  <c r="R460" i="30"/>
  <c r="O460" i="30"/>
  <c r="AJ481" i="30"/>
  <c r="AG481" i="30"/>
  <c r="AD481" i="30"/>
  <c r="AA481" i="30"/>
  <c r="R481" i="30"/>
  <c r="X481" i="30"/>
  <c r="O481" i="30"/>
  <c r="AJ507" i="30"/>
  <c r="AD507" i="30"/>
  <c r="AG507" i="30"/>
  <c r="AA507" i="30"/>
  <c r="X507" i="30"/>
  <c r="R507" i="30"/>
  <c r="O507" i="30"/>
  <c r="AJ546" i="30"/>
  <c r="AG546" i="30"/>
  <c r="AD546" i="30"/>
  <c r="AA546" i="30"/>
  <c r="X546" i="30"/>
  <c r="O546" i="30"/>
  <c r="R546" i="30"/>
  <c r="AJ589" i="30"/>
  <c r="AG589" i="30"/>
  <c r="AD589" i="30"/>
  <c r="AA589" i="30"/>
  <c r="X589" i="30"/>
  <c r="R589" i="30"/>
  <c r="O589" i="30"/>
  <c r="AJ660" i="30"/>
  <c r="AG660" i="30"/>
  <c r="AD660" i="30"/>
  <c r="AA660" i="30"/>
  <c r="X660" i="30"/>
  <c r="R660" i="30"/>
  <c r="O660" i="30"/>
  <c r="AJ68" i="30"/>
  <c r="AG68" i="30"/>
  <c r="AD68" i="30"/>
  <c r="AA68" i="30"/>
  <c r="X68" i="30"/>
  <c r="R68" i="30"/>
  <c r="O68" i="30"/>
  <c r="AJ199" i="30"/>
  <c r="AG199" i="30"/>
  <c r="AD199" i="30"/>
  <c r="AA199" i="30"/>
  <c r="X199" i="30"/>
  <c r="R199" i="30"/>
  <c r="O199" i="30"/>
  <c r="AJ528" i="30"/>
  <c r="AG528" i="30"/>
  <c r="AD528" i="30"/>
  <c r="AA528" i="30"/>
  <c r="X528" i="30"/>
  <c r="R528" i="30"/>
  <c r="O528" i="30"/>
  <c r="AJ590" i="30"/>
  <c r="AG590" i="30"/>
  <c r="AD590" i="30"/>
  <c r="AA590" i="30"/>
  <c r="X590" i="30"/>
  <c r="R590" i="30"/>
  <c r="O590" i="30"/>
  <c r="AJ11" i="30"/>
  <c r="AD11" i="30"/>
  <c r="AG11" i="30"/>
  <c r="AA11" i="30"/>
  <c r="X11" i="30"/>
  <c r="R11" i="30"/>
  <c r="O11" i="30"/>
  <c r="AJ39" i="30"/>
  <c r="AG39" i="30"/>
  <c r="AD39" i="30"/>
  <c r="AA39" i="30"/>
  <c r="X39" i="30"/>
  <c r="R39" i="30"/>
  <c r="O39" i="30"/>
  <c r="AJ1265" i="30"/>
  <c r="AG1265" i="30"/>
  <c r="AA1265" i="30"/>
  <c r="AD1265" i="30"/>
  <c r="X1265" i="30"/>
  <c r="R1265" i="30"/>
  <c r="O1265" i="30"/>
  <c r="AJ320" i="30"/>
  <c r="AG320" i="30"/>
  <c r="AD320" i="30"/>
  <c r="AA320" i="30"/>
  <c r="X320" i="30"/>
  <c r="R320" i="30"/>
  <c r="O320" i="30"/>
  <c r="AJ420" i="30"/>
  <c r="AG420" i="30"/>
  <c r="AD420" i="30"/>
  <c r="AA420" i="30"/>
  <c r="X420" i="30"/>
  <c r="R420" i="30"/>
  <c r="O420" i="30"/>
  <c r="AJ452" i="30"/>
  <c r="AG452" i="30"/>
  <c r="AD452" i="30"/>
  <c r="AA452" i="30"/>
  <c r="X452" i="30"/>
  <c r="R452" i="30"/>
  <c r="O452" i="30"/>
  <c r="AJ488" i="30"/>
  <c r="AG488" i="30"/>
  <c r="AD488" i="30"/>
  <c r="AA488" i="30"/>
  <c r="X488" i="30"/>
  <c r="R488" i="30"/>
  <c r="O488" i="30"/>
  <c r="AJ506" i="30"/>
  <c r="AG506" i="30"/>
  <c r="AD506" i="30"/>
  <c r="AA506" i="30"/>
  <c r="X506" i="30"/>
  <c r="O506" i="30"/>
  <c r="R506" i="30"/>
  <c r="AJ725" i="30"/>
  <c r="AG725" i="30"/>
  <c r="AD725" i="30"/>
  <c r="AA725" i="30"/>
  <c r="X725" i="30"/>
  <c r="R725" i="30"/>
  <c r="O725" i="30"/>
  <c r="AJ53" i="30"/>
  <c r="AG53" i="30"/>
  <c r="AD53" i="30"/>
  <c r="AA53" i="30"/>
  <c r="X53" i="30"/>
  <c r="R53" i="30"/>
  <c r="O53" i="30"/>
  <c r="AJ81" i="30"/>
  <c r="AG81" i="30"/>
  <c r="AD81" i="30"/>
  <c r="AA81" i="30"/>
  <c r="X81" i="30"/>
  <c r="R81" i="30"/>
  <c r="O81" i="30"/>
  <c r="AJ102" i="30"/>
  <c r="AG102" i="30"/>
  <c r="AD102" i="30"/>
  <c r="AA102" i="30"/>
  <c r="X102" i="30"/>
  <c r="R102" i="30"/>
  <c r="O102" i="30"/>
  <c r="AJ162" i="30"/>
  <c r="AG162" i="30"/>
  <c r="AD162" i="30"/>
  <c r="AA162" i="30"/>
  <c r="X162" i="30"/>
  <c r="O162" i="30"/>
  <c r="R162" i="30"/>
  <c r="AJ188" i="30"/>
  <c r="AG188" i="30"/>
  <c r="AD188" i="30"/>
  <c r="AA188" i="30"/>
  <c r="X188" i="30"/>
  <c r="R188" i="30"/>
  <c r="O188" i="30"/>
  <c r="AJ198" i="30"/>
  <c r="AG198" i="30"/>
  <c r="AD198" i="30"/>
  <c r="AA198" i="30"/>
  <c r="X198" i="30"/>
  <c r="R198" i="30"/>
  <c r="O198" i="30"/>
  <c r="AJ208" i="30"/>
  <c r="AG208" i="30"/>
  <c r="AD208" i="30"/>
  <c r="AA208" i="30"/>
  <c r="X208" i="30"/>
  <c r="R208" i="30"/>
  <c r="O208" i="30"/>
  <c r="AJ225" i="30"/>
  <c r="AG225" i="30"/>
  <c r="AD225" i="30"/>
  <c r="AA225" i="30"/>
  <c r="X225" i="30"/>
  <c r="R225" i="30"/>
  <c r="O225" i="30"/>
  <c r="AJ278" i="30"/>
  <c r="AG278" i="30"/>
  <c r="AD278" i="30"/>
  <c r="AA278" i="30"/>
  <c r="X278" i="30"/>
  <c r="R278" i="30"/>
  <c r="O278" i="30"/>
  <c r="AJ285" i="30"/>
  <c r="AG285" i="30"/>
  <c r="AD285" i="30"/>
  <c r="AA285" i="30"/>
  <c r="X285" i="30"/>
  <c r="R285" i="30"/>
  <c r="O285" i="30"/>
  <c r="AK461" i="30"/>
  <c r="AL461" i="30" s="1"/>
  <c r="AJ468" i="30"/>
  <c r="AG468" i="30"/>
  <c r="AD468" i="30"/>
  <c r="AA468" i="30"/>
  <c r="X468" i="30"/>
  <c r="R468" i="30"/>
  <c r="O468" i="30"/>
  <c r="AJ511" i="30"/>
  <c r="AG511" i="30"/>
  <c r="AD511" i="30"/>
  <c r="AA511" i="30"/>
  <c r="X511" i="30"/>
  <c r="R511" i="30"/>
  <c r="O511" i="30"/>
  <c r="AJ517" i="30"/>
  <c r="AG517" i="30"/>
  <c r="AD517" i="30"/>
  <c r="AA517" i="30"/>
  <c r="X517" i="30"/>
  <c r="R517" i="30"/>
  <c r="O517" i="30"/>
  <c r="AJ537" i="30"/>
  <c r="AG537" i="30"/>
  <c r="AD537" i="30"/>
  <c r="AA537" i="30"/>
  <c r="X537" i="30"/>
  <c r="R537" i="30"/>
  <c r="O537" i="30"/>
  <c r="AJ554" i="30"/>
  <c r="AG554" i="30"/>
  <c r="AD554" i="30"/>
  <c r="AA554" i="30"/>
  <c r="X554" i="30"/>
  <c r="O554" i="30"/>
  <c r="R554" i="30"/>
  <c r="AJ594" i="30"/>
  <c r="AG594" i="30"/>
  <c r="AD594" i="30"/>
  <c r="AA594" i="30"/>
  <c r="X594" i="30"/>
  <c r="O594" i="30"/>
  <c r="R594" i="30"/>
  <c r="AJ612" i="30"/>
  <c r="AG612" i="30"/>
  <c r="AD612" i="30"/>
  <c r="AA612" i="30"/>
  <c r="X612" i="30"/>
  <c r="R612" i="30"/>
  <c r="O612" i="30"/>
  <c r="AJ661" i="30"/>
  <c r="AG661" i="30"/>
  <c r="AD661" i="30"/>
  <c r="AA661" i="30"/>
  <c r="X661" i="30"/>
  <c r="R661" i="30"/>
  <c r="O661" i="30"/>
  <c r="AJ704" i="30"/>
  <c r="AG704" i="30"/>
  <c r="AD704" i="30"/>
  <c r="AA704" i="30"/>
  <c r="X704" i="30"/>
  <c r="R704" i="30"/>
  <c r="O704" i="30"/>
  <c r="AJ713" i="30"/>
  <c r="AG713" i="30"/>
  <c r="AD713" i="30"/>
  <c r="AA713" i="30"/>
  <c r="X713" i="30"/>
  <c r="R713" i="30"/>
  <c r="O713" i="30"/>
  <c r="AJ717" i="30"/>
  <c r="AG717" i="30"/>
  <c r="AD717" i="30"/>
  <c r="AA717" i="30"/>
  <c r="X717" i="30"/>
  <c r="R717" i="30"/>
  <c r="O717" i="30"/>
  <c r="AJ724" i="30"/>
  <c r="AG724" i="30"/>
  <c r="AD724" i="30"/>
  <c r="AA724" i="30"/>
  <c r="X724" i="30"/>
  <c r="R724" i="30"/>
  <c r="O724" i="30"/>
  <c r="AJ58" i="30"/>
  <c r="AG58" i="30"/>
  <c r="AD58" i="30"/>
  <c r="AA58" i="30"/>
  <c r="X58" i="30"/>
  <c r="R58" i="30"/>
  <c r="O58" i="30"/>
  <c r="AJ298" i="30"/>
  <c r="AG298" i="30"/>
  <c r="AD298" i="30"/>
  <c r="AA298" i="30"/>
  <c r="X298" i="30"/>
  <c r="O298" i="30"/>
  <c r="R298" i="30"/>
  <c r="AJ382" i="30"/>
  <c r="AG382" i="30"/>
  <c r="AD382" i="30"/>
  <c r="AA382" i="30"/>
  <c r="X382" i="30"/>
  <c r="R382" i="30"/>
  <c r="O382" i="30"/>
  <c r="AJ439" i="30"/>
  <c r="AG439" i="30"/>
  <c r="AD439" i="30"/>
  <c r="AA439" i="30"/>
  <c r="X439" i="30"/>
  <c r="R439" i="30"/>
  <c r="O439" i="30"/>
  <c r="AJ497" i="30"/>
  <c r="AG497" i="30"/>
  <c r="AD497" i="30"/>
  <c r="AA497" i="30"/>
  <c r="X497" i="30"/>
  <c r="R497" i="30"/>
  <c r="O497" i="30"/>
  <c r="AJ1276" i="30"/>
  <c r="AG1276" i="30"/>
  <c r="AD1276" i="30"/>
  <c r="AA1276" i="30"/>
  <c r="X1276" i="30"/>
  <c r="R1276" i="30"/>
  <c r="O1276" i="30"/>
  <c r="AJ14" i="30"/>
  <c r="AG14" i="30"/>
  <c r="AD14" i="30"/>
  <c r="AA14" i="30"/>
  <c r="X14" i="30"/>
  <c r="R14" i="30"/>
  <c r="O14" i="30"/>
  <c r="AJ115" i="30"/>
  <c r="AD115" i="30"/>
  <c r="AG115" i="30"/>
  <c r="AA115" i="30"/>
  <c r="X115" i="30"/>
  <c r="R115" i="30"/>
  <c r="O115" i="30"/>
  <c r="AJ32" i="30"/>
  <c r="AG32" i="30"/>
  <c r="AD32" i="30"/>
  <c r="AA32" i="30"/>
  <c r="X32" i="30"/>
  <c r="R32" i="30"/>
  <c r="O32" i="30"/>
  <c r="AJ57" i="30"/>
  <c r="AG57" i="30"/>
  <c r="AD57" i="30"/>
  <c r="AA57" i="30"/>
  <c r="X57" i="30"/>
  <c r="R57" i="30"/>
  <c r="O57" i="30"/>
  <c r="AJ104" i="30"/>
  <c r="AG104" i="30"/>
  <c r="AD104" i="30"/>
  <c r="AA104" i="30"/>
  <c r="X104" i="30"/>
  <c r="R104" i="30"/>
  <c r="O104" i="30"/>
  <c r="AJ119" i="30"/>
  <c r="AG119" i="30"/>
  <c r="AD119" i="30"/>
  <c r="AA119" i="30"/>
  <c r="X119" i="30"/>
  <c r="R119" i="30"/>
  <c r="O119" i="30"/>
  <c r="AJ128" i="30"/>
  <c r="AG128" i="30"/>
  <c r="AD128" i="30"/>
  <c r="AA128" i="30"/>
  <c r="X128" i="30"/>
  <c r="R128" i="30"/>
  <c r="O128" i="30"/>
  <c r="AJ129" i="30"/>
  <c r="AG129" i="30"/>
  <c r="AD129" i="30"/>
  <c r="AA129" i="30"/>
  <c r="X129" i="30"/>
  <c r="R129" i="30"/>
  <c r="O129" i="30"/>
  <c r="AJ133" i="30"/>
  <c r="AG133" i="30"/>
  <c r="AD133" i="30"/>
  <c r="AA133" i="30"/>
  <c r="X133" i="30"/>
  <c r="R133" i="30"/>
  <c r="O133" i="30"/>
  <c r="AJ134" i="30"/>
  <c r="AG134" i="30"/>
  <c r="AD134" i="30"/>
  <c r="AA134" i="30"/>
  <c r="X134" i="30"/>
  <c r="R134" i="30"/>
  <c r="O134" i="30"/>
  <c r="AJ138" i="30"/>
  <c r="AG138" i="30"/>
  <c r="AD138" i="30"/>
  <c r="AA138" i="30"/>
  <c r="X138" i="30"/>
  <c r="O138" i="30"/>
  <c r="R138" i="30"/>
  <c r="AJ139" i="30"/>
  <c r="AD139" i="30"/>
  <c r="AG139" i="30"/>
  <c r="AA139" i="30"/>
  <c r="X139" i="30"/>
  <c r="R139" i="30"/>
  <c r="O139" i="30"/>
  <c r="AJ143" i="30"/>
  <c r="AG143" i="30"/>
  <c r="AD143" i="30"/>
  <c r="AA143" i="30"/>
  <c r="X143" i="30"/>
  <c r="R143" i="30"/>
  <c r="O143" i="30"/>
  <c r="AJ145" i="30"/>
  <c r="AG145" i="30"/>
  <c r="AD145" i="30"/>
  <c r="AA145" i="30"/>
  <c r="X145" i="30"/>
  <c r="R145" i="30"/>
  <c r="O145" i="30"/>
  <c r="AJ155" i="30"/>
  <c r="AD155" i="30"/>
  <c r="AG155" i="30"/>
  <c r="AA155" i="30"/>
  <c r="X155" i="30"/>
  <c r="R155" i="30"/>
  <c r="O155" i="30"/>
  <c r="AJ165" i="30"/>
  <c r="AG165" i="30"/>
  <c r="AD165" i="30"/>
  <c r="AA165" i="30"/>
  <c r="X165" i="30"/>
  <c r="R165" i="30"/>
  <c r="O165" i="30"/>
  <c r="AJ1262" i="30"/>
  <c r="AG1262" i="30"/>
  <c r="AA1262" i="30"/>
  <c r="AD1262" i="30"/>
  <c r="X1262" i="30"/>
  <c r="R1262" i="30"/>
  <c r="O1262" i="30"/>
  <c r="AJ1272" i="30"/>
  <c r="AG1272" i="30"/>
  <c r="AA1272" i="30"/>
  <c r="AD1272" i="30"/>
  <c r="X1272" i="30"/>
  <c r="R1272" i="30"/>
  <c r="O1272" i="30"/>
  <c r="AJ252" i="30"/>
  <c r="AG252" i="30"/>
  <c r="AD252" i="30"/>
  <c r="AA252" i="30"/>
  <c r="X252" i="30"/>
  <c r="R252" i="30"/>
  <c r="O252" i="30"/>
  <c r="AJ264" i="30"/>
  <c r="AG264" i="30"/>
  <c r="AD264" i="30"/>
  <c r="AA264" i="30"/>
  <c r="X264" i="30"/>
  <c r="R264" i="30"/>
  <c r="O264" i="30"/>
  <c r="AJ293" i="30"/>
  <c r="AG293" i="30"/>
  <c r="AD293" i="30"/>
  <c r="AA293" i="30"/>
  <c r="X293" i="30"/>
  <c r="R293" i="30"/>
  <c r="O293" i="30"/>
  <c r="AJ307" i="30"/>
  <c r="AD307" i="30"/>
  <c r="AG307" i="30"/>
  <c r="AA307" i="30"/>
  <c r="X307" i="30"/>
  <c r="R307" i="30"/>
  <c r="O307" i="30"/>
  <c r="AJ398" i="30"/>
  <c r="AG398" i="30"/>
  <c r="AD398" i="30"/>
  <c r="AA398" i="30"/>
  <c r="X398" i="30"/>
  <c r="R398" i="30"/>
  <c r="O398" i="30"/>
  <c r="AJ417" i="30"/>
  <c r="AG417" i="30"/>
  <c r="AD417" i="30"/>
  <c r="AA417" i="30"/>
  <c r="R417" i="30"/>
  <c r="X417" i="30"/>
  <c r="O417" i="30"/>
  <c r="AJ430" i="30"/>
  <c r="AG430" i="30"/>
  <c r="AD430" i="30"/>
  <c r="AA430" i="30"/>
  <c r="X430" i="30"/>
  <c r="O430" i="30"/>
  <c r="R430" i="30"/>
  <c r="AK448" i="30"/>
  <c r="AL448" i="30" s="1"/>
  <c r="AJ471" i="30"/>
  <c r="AG471" i="30"/>
  <c r="AD471" i="30"/>
  <c r="AA471" i="30"/>
  <c r="X471" i="30"/>
  <c r="R471" i="30"/>
  <c r="O471" i="30"/>
  <c r="AJ522" i="30"/>
  <c r="AG522" i="30"/>
  <c r="AD522" i="30"/>
  <c r="AA522" i="30"/>
  <c r="X522" i="30"/>
  <c r="O522" i="30"/>
  <c r="R522" i="30"/>
  <c r="AJ527" i="30"/>
  <c r="AG527" i="30"/>
  <c r="AD527" i="30"/>
  <c r="AA527" i="30"/>
  <c r="X527" i="30"/>
  <c r="R527" i="30"/>
  <c r="O527" i="30"/>
  <c r="AJ561" i="30"/>
  <c r="AG561" i="30"/>
  <c r="AD561" i="30"/>
  <c r="AA561" i="30"/>
  <c r="R561" i="30"/>
  <c r="X561" i="30"/>
  <c r="O561" i="30"/>
  <c r="AJ565" i="30"/>
  <c r="AG565" i="30"/>
  <c r="AD565" i="30"/>
  <c r="AA565" i="30"/>
  <c r="X565" i="30"/>
  <c r="R565" i="30"/>
  <c r="O565" i="30"/>
  <c r="AJ570" i="30"/>
  <c r="AG570" i="30"/>
  <c r="AD570" i="30"/>
  <c r="AA570" i="30"/>
  <c r="X570" i="30"/>
  <c r="O570" i="30"/>
  <c r="R570" i="30"/>
  <c r="AJ574" i="30"/>
  <c r="AG574" i="30"/>
  <c r="AD574" i="30"/>
  <c r="AA574" i="30"/>
  <c r="X574" i="30"/>
  <c r="R574" i="30"/>
  <c r="O574" i="30"/>
  <c r="AJ602" i="30"/>
  <c r="AG602" i="30"/>
  <c r="AD602" i="30"/>
  <c r="AA602" i="30"/>
  <c r="X602" i="30"/>
  <c r="O602" i="30"/>
  <c r="R602" i="30"/>
  <c r="AJ619" i="30"/>
  <c r="AD619" i="30"/>
  <c r="AG619" i="30"/>
  <c r="AA619" i="30"/>
  <c r="X619" i="30"/>
  <c r="R619" i="30"/>
  <c r="O619" i="30"/>
  <c r="AJ623" i="30"/>
  <c r="AG623" i="30"/>
  <c r="AD623" i="30"/>
  <c r="AA623" i="30"/>
  <c r="X623" i="30"/>
  <c r="R623" i="30"/>
  <c r="O623" i="30"/>
  <c r="AJ628" i="30"/>
  <c r="AG628" i="30"/>
  <c r="AD628" i="30"/>
  <c r="AA628" i="30"/>
  <c r="X628" i="30"/>
  <c r="R628" i="30"/>
  <c r="O628" i="30"/>
  <c r="AJ632" i="30"/>
  <c r="AG632" i="30"/>
  <c r="AD632" i="30"/>
  <c r="AA632" i="30"/>
  <c r="X632" i="30"/>
  <c r="R632" i="30"/>
  <c r="O632" i="30"/>
  <c r="AJ640" i="30"/>
  <c r="AG640" i="30"/>
  <c r="AD640" i="30"/>
  <c r="AA640" i="30"/>
  <c r="X640" i="30"/>
  <c r="R640" i="30"/>
  <c r="O640" i="30"/>
  <c r="AJ665" i="30"/>
  <c r="AG665" i="30"/>
  <c r="AD665" i="30"/>
  <c r="AA665" i="30"/>
  <c r="X665" i="30"/>
  <c r="R665" i="30"/>
  <c r="O665" i="30"/>
  <c r="AJ729" i="30"/>
  <c r="AG729" i="30"/>
  <c r="AD729" i="30"/>
  <c r="AA729" i="30"/>
  <c r="X729" i="30"/>
  <c r="R729" i="30"/>
  <c r="O729" i="30"/>
  <c r="AJ741" i="30"/>
  <c r="AG741" i="30"/>
  <c r="AD741" i="30"/>
  <c r="AA741" i="30"/>
  <c r="X741" i="30"/>
  <c r="R741" i="30"/>
  <c r="O741" i="30"/>
  <c r="AJ745" i="30"/>
  <c r="AG745" i="30"/>
  <c r="AD745" i="30"/>
  <c r="AA745" i="30"/>
  <c r="X745" i="30"/>
  <c r="R745" i="30"/>
  <c r="O745" i="30"/>
  <c r="AJ750" i="30"/>
  <c r="AG750" i="30"/>
  <c r="AD750" i="30"/>
  <c r="AA750" i="30"/>
  <c r="X750" i="30"/>
  <c r="R750" i="30"/>
  <c r="O750" i="30"/>
  <c r="AJ755" i="30"/>
  <c r="AD755" i="30"/>
  <c r="AG755" i="30"/>
  <c r="AA755" i="30"/>
  <c r="X755" i="30"/>
  <c r="R755" i="30"/>
  <c r="O755" i="30"/>
  <c r="AF68" i="6"/>
  <c r="AG68" i="6" s="1"/>
  <c r="AF35" i="6"/>
  <c r="AG35" i="6" s="1"/>
  <c r="AF21" i="6"/>
  <c r="AG21" i="6" s="1"/>
  <c r="AF70" i="6"/>
  <c r="AG70" i="6" s="1"/>
  <c r="AF66" i="6"/>
  <c r="AG66" i="6" s="1"/>
  <c r="AF63" i="6"/>
  <c r="AG63" i="6" s="1"/>
  <c r="M50" i="6"/>
  <c r="AF43" i="6"/>
  <c r="AG43" i="6" s="1"/>
  <c r="AF11" i="6"/>
  <c r="AG11" i="6" s="1"/>
  <c r="AF4" i="6"/>
  <c r="AG4" i="6" s="1"/>
  <c r="AE55" i="6"/>
  <c r="AE38" i="6"/>
  <c r="AF36" i="6"/>
  <c r="AG36" i="6" s="1"/>
  <c r="S31" i="6"/>
  <c r="V19" i="6"/>
  <c r="V5" i="6"/>
  <c r="V54" i="6"/>
  <c r="AE46" i="6"/>
  <c r="J46" i="6"/>
  <c r="Y38" i="6"/>
  <c r="AF37" i="6"/>
  <c r="AG37" i="6" s="1"/>
  <c r="P31" i="6"/>
  <c r="S28" i="6"/>
  <c r="P19" i="6"/>
  <c r="AE5" i="6"/>
  <c r="P5" i="6"/>
  <c r="AF39" i="6"/>
  <c r="AG39" i="6" s="1"/>
  <c r="J18" i="6"/>
  <c r="M15" i="6"/>
  <c r="AF3" i="6"/>
  <c r="AG3" i="6" s="1"/>
  <c r="AF58" i="6"/>
  <c r="AG58" i="6" s="1"/>
  <c r="AF47" i="6"/>
  <c r="AG47" i="6" s="1"/>
  <c r="AF7" i="6"/>
  <c r="AG7" i="6" s="1"/>
  <c r="AF67" i="6"/>
  <c r="AG67" i="6" s="1"/>
  <c r="AF64" i="6"/>
  <c r="AG64" i="6" s="1"/>
  <c r="AF51" i="6"/>
  <c r="AG51" i="6" s="1"/>
  <c r="AF44" i="6"/>
  <c r="AG44" i="6" s="1"/>
  <c r="AF40" i="6"/>
  <c r="AG40" i="6" s="1"/>
  <c r="AF30" i="6"/>
  <c r="AG30" i="6" s="1"/>
  <c r="AF26" i="6"/>
  <c r="AG26" i="6" s="1"/>
  <c r="AF25" i="6"/>
  <c r="AG25" i="6" s="1"/>
  <c r="AE15" i="6"/>
  <c r="V59" i="6"/>
  <c r="M55" i="6"/>
  <c r="AE50" i="6"/>
  <c r="AF48" i="6"/>
  <c r="AG48" i="6" s="1"/>
  <c r="V38" i="6"/>
  <c r="AF29" i="6"/>
  <c r="AG29" i="6" s="1"/>
  <c r="AF22" i="6"/>
  <c r="AG22" i="6" s="1"/>
  <c r="AF12" i="6"/>
  <c r="AG12" i="6" s="1"/>
  <c r="AF8" i="6"/>
  <c r="AG8" i="6" s="1"/>
  <c r="AF61" i="6"/>
  <c r="AG61" i="6" s="1"/>
  <c r="AF52" i="6"/>
  <c r="AG52" i="6" s="1"/>
  <c r="V45" i="6"/>
  <c r="AF41" i="6"/>
  <c r="AG41" i="6" s="1"/>
  <c r="P38" i="6"/>
  <c r="AF38" i="6" s="1"/>
  <c r="AG38" i="6" s="1"/>
  <c r="Y27" i="6"/>
  <c r="AF27" i="6" s="1"/>
  <c r="AG27" i="6" s="1"/>
  <c r="AE19" i="6"/>
  <c r="Y15" i="6"/>
  <c r="J60" i="6"/>
  <c r="AF56" i="6"/>
  <c r="AG56" i="6" s="1"/>
  <c r="V49" i="6"/>
  <c r="V28" i="6"/>
  <c r="V33" i="6" s="1"/>
  <c r="V34" i="6" s="1"/>
  <c r="AB18" i="6"/>
  <c r="AF16" i="6"/>
  <c r="AG16" i="6" s="1"/>
  <c r="AF13" i="6"/>
  <c r="AG13" i="6" s="1"/>
  <c r="AF9" i="6"/>
  <c r="AG9" i="6" s="1"/>
  <c r="AF62" i="6"/>
  <c r="AG62" i="6" s="1"/>
  <c r="P54" i="6"/>
  <c r="AF53" i="6"/>
  <c r="AG53" i="6" s="1"/>
  <c r="AF42" i="6"/>
  <c r="AG42" i="6" s="1"/>
  <c r="V15" i="6"/>
  <c r="AF69" i="6"/>
  <c r="AG69" i="6" s="1"/>
  <c r="AF57" i="6"/>
  <c r="AG57" i="6" s="1"/>
  <c r="J50" i="6"/>
  <c r="AF20" i="6"/>
  <c r="AG20" i="6" s="1"/>
  <c r="AF17" i="6"/>
  <c r="AG17" i="6" s="1"/>
  <c r="P15" i="6"/>
  <c r="AF10" i="6"/>
  <c r="AG10" i="6" s="1"/>
  <c r="S33" i="6"/>
  <c r="S34" i="6" s="1"/>
  <c r="Y14" i="6"/>
  <c r="V65" i="6"/>
  <c r="M59" i="6"/>
  <c r="Y55" i="6"/>
  <c r="M54" i="6"/>
  <c r="Y50" i="6"/>
  <c r="M49" i="6"/>
  <c r="Y46" i="6"/>
  <c r="M45" i="6"/>
  <c r="S32" i="6"/>
  <c r="AE31" i="6"/>
  <c r="M31" i="6"/>
  <c r="P28" i="6"/>
  <c r="AB19" i="6"/>
  <c r="J19" i="6"/>
  <c r="AB15" i="6"/>
  <c r="J15" i="6"/>
  <c r="AE6" i="6"/>
  <c r="AB5" i="6"/>
  <c r="J5" i="6"/>
  <c r="AE60" i="6"/>
  <c r="V55" i="6"/>
  <c r="V50" i="6"/>
  <c r="V46" i="6"/>
  <c r="AE28" i="6"/>
  <c r="M28" i="6"/>
  <c r="M33" i="6" s="1"/>
  <c r="M34" i="6" s="1"/>
  <c r="V18" i="6"/>
  <c r="V14" i="6"/>
  <c r="M6" i="6"/>
  <c r="P65" i="6"/>
  <c r="Y60" i="6"/>
  <c r="AE59" i="6"/>
  <c r="J59" i="6"/>
  <c r="AE54" i="6"/>
  <c r="J54" i="6"/>
  <c r="AE49" i="6"/>
  <c r="J49" i="6"/>
  <c r="AE45" i="6"/>
  <c r="J45" i="6"/>
  <c r="P32" i="6"/>
  <c r="AB28" i="6"/>
  <c r="AB33" i="6" s="1"/>
  <c r="J28" i="6"/>
  <c r="J33" i="6" s="1"/>
  <c r="S18" i="6"/>
  <c r="S14" i="6"/>
  <c r="AB6" i="6"/>
  <c r="M65" i="6"/>
  <c r="V60" i="6"/>
  <c r="P55" i="6"/>
  <c r="P50" i="6"/>
  <c r="P46" i="6"/>
  <c r="M32" i="6"/>
  <c r="P18" i="6"/>
  <c r="P14" i="6"/>
  <c r="Y18" i="6"/>
  <c r="P60" i="6"/>
  <c r="Y59" i="6"/>
  <c r="Y54" i="6"/>
  <c r="Y49" i="6"/>
  <c r="Y45" i="6"/>
  <c r="AB32" i="6"/>
  <c r="AE18" i="6"/>
  <c r="AE14" i="6"/>
  <c r="Y65" i="6"/>
  <c r="AE65" i="6"/>
  <c r="J355" i="24"/>
  <c r="M355" i="24"/>
  <c r="P355" i="24"/>
  <c r="S355" i="24"/>
  <c r="V355" i="24"/>
  <c r="Y355" i="24"/>
  <c r="AB355" i="24"/>
  <c r="AE355" i="24"/>
  <c r="AH145" i="22"/>
  <c r="AH239" i="22"/>
  <c r="AK598" i="30" l="1"/>
  <c r="AL598" i="30" s="1"/>
  <c r="AK754" i="30"/>
  <c r="AL754" i="30" s="1"/>
  <c r="AK422" i="30"/>
  <c r="AL422" i="30" s="1"/>
  <c r="AK253" i="30"/>
  <c r="AL253" i="30" s="1"/>
  <c r="AK116" i="30"/>
  <c r="AL116" i="30" s="1"/>
  <c r="AK232" i="30"/>
  <c r="AL232" i="30" s="1"/>
  <c r="AK542" i="30"/>
  <c r="AL542" i="30" s="1"/>
  <c r="AK279" i="30"/>
  <c r="AL279" i="30" s="1"/>
  <c r="AK147" i="30"/>
  <c r="AL147" i="30" s="1"/>
  <c r="AK316" i="30"/>
  <c r="AL316" i="30" s="1"/>
  <c r="AK501" i="30"/>
  <c r="AL501" i="30" s="1"/>
  <c r="AK714" i="30"/>
  <c r="AL714" i="30" s="1"/>
  <c r="AK310" i="30"/>
  <c r="AL310" i="30" s="1"/>
  <c r="AK168" i="30"/>
  <c r="AL168" i="30" s="1"/>
  <c r="AK603" i="30"/>
  <c r="AL603" i="30" s="1"/>
  <c r="AK158" i="30"/>
  <c r="AL158" i="30" s="1"/>
  <c r="AK666" i="30"/>
  <c r="AL666" i="30" s="1"/>
  <c r="AK490" i="30"/>
  <c r="AL490" i="30" s="1"/>
  <c r="AK367" i="30"/>
  <c r="AL367" i="30" s="1"/>
  <c r="AK192" i="30"/>
  <c r="AL192" i="30" s="1"/>
  <c r="AK401" i="30"/>
  <c r="AL401" i="30" s="1"/>
  <c r="AK294" i="30"/>
  <c r="AL294" i="30" s="1"/>
  <c r="AK426" i="30"/>
  <c r="AL426" i="30" s="1"/>
  <c r="AK388" i="30"/>
  <c r="AL388" i="30" s="1"/>
  <c r="AK25" i="30"/>
  <c r="AL25" i="30" s="1"/>
  <c r="AK392" i="30"/>
  <c r="AL392" i="30" s="1"/>
  <c r="AK212" i="30"/>
  <c r="AL212" i="30" s="1"/>
  <c r="AK43" i="30"/>
  <c r="AL43" i="30" s="1"/>
  <c r="AK202" i="30"/>
  <c r="AL202" i="30" s="1"/>
  <c r="AK741" i="30"/>
  <c r="AL741" i="30" s="1"/>
  <c r="AK632" i="30"/>
  <c r="AL632" i="30" s="1"/>
  <c r="AK623" i="30"/>
  <c r="AL623" i="30" s="1"/>
  <c r="AK565" i="30"/>
  <c r="AL565" i="30" s="1"/>
  <c r="AK561" i="30"/>
  <c r="AL561" i="30" s="1"/>
  <c r="AK527" i="30"/>
  <c r="AL527" i="30" s="1"/>
  <c r="AK471" i="30"/>
  <c r="AL471" i="30" s="1"/>
  <c r="AK755" i="30"/>
  <c r="AL755" i="30" s="1"/>
  <c r="AK729" i="30"/>
  <c r="AL729" i="30" s="1"/>
  <c r="AK619" i="30"/>
  <c r="AL619" i="30" s="1"/>
  <c r="AK602" i="30"/>
  <c r="AL602" i="30" s="1"/>
  <c r="AK570" i="30"/>
  <c r="AL570" i="30" s="1"/>
  <c r="AK522" i="30"/>
  <c r="AL522" i="30" s="1"/>
  <c r="AK417" i="30"/>
  <c r="AL417" i="30" s="1"/>
  <c r="AK398" i="30"/>
  <c r="AL398" i="30" s="1"/>
  <c r="AK307" i="30"/>
  <c r="AL307" i="30" s="1"/>
  <c r="AK293" i="30"/>
  <c r="AL293" i="30" s="1"/>
  <c r="AK264" i="30"/>
  <c r="AL264" i="30" s="1"/>
  <c r="AK252" i="30"/>
  <c r="AL252" i="30" s="1"/>
  <c r="AK1272" i="30"/>
  <c r="AL1272" i="30" s="1"/>
  <c r="AK1262" i="30"/>
  <c r="AL1262" i="30" s="1"/>
  <c r="AK165" i="30"/>
  <c r="AL165" i="30" s="1"/>
  <c r="AK155" i="30"/>
  <c r="AL155" i="30" s="1"/>
  <c r="AK145" i="30"/>
  <c r="AL145" i="30" s="1"/>
  <c r="AK143" i="30"/>
  <c r="AL143" i="30" s="1"/>
  <c r="AK139" i="30"/>
  <c r="AL139" i="30" s="1"/>
  <c r="AK134" i="30"/>
  <c r="AL134" i="30" s="1"/>
  <c r="AK133" i="30"/>
  <c r="AL133" i="30" s="1"/>
  <c r="AK129" i="30"/>
  <c r="AL129" i="30" s="1"/>
  <c r="AK128" i="30"/>
  <c r="AL128" i="30" s="1"/>
  <c r="AK119" i="30"/>
  <c r="AL119" i="30" s="1"/>
  <c r="AK104" i="30"/>
  <c r="AL104" i="30" s="1"/>
  <c r="AK57" i="30"/>
  <c r="AL57" i="30" s="1"/>
  <c r="AK32" i="30"/>
  <c r="AL32" i="30" s="1"/>
  <c r="AK115" i="30"/>
  <c r="AL115" i="30" s="1"/>
  <c r="AK14" i="30"/>
  <c r="AL14" i="30" s="1"/>
  <c r="AK1276" i="30"/>
  <c r="AL1276" i="30" s="1"/>
  <c r="AK497" i="30"/>
  <c r="AL497" i="30" s="1"/>
  <c r="AK439" i="30"/>
  <c r="AL439" i="30" s="1"/>
  <c r="AK382" i="30"/>
  <c r="AL382" i="30" s="1"/>
  <c r="AK58" i="30"/>
  <c r="AL58" i="30" s="1"/>
  <c r="AK724" i="30"/>
  <c r="AL724" i="30" s="1"/>
  <c r="AK717" i="30"/>
  <c r="AL717" i="30" s="1"/>
  <c r="AK713" i="30"/>
  <c r="AL713" i="30" s="1"/>
  <c r="AK704" i="30"/>
  <c r="AL704" i="30" s="1"/>
  <c r="AK661" i="30"/>
  <c r="AL661" i="30" s="1"/>
  <c r="AK612" i="30"/>
  <c r="AL612" i="30" s="1"/>
  <c r="AK537" i="30"/>
  <c r="AL537" i="30" s="1"/>
  <c r="AK517" i="30"/>
  <c r="AL517" i="30" s="1"/>
  <c r="AK511" i="30"/>
  <c r="AL511" i="30" s="1"/>
  <c r="AK468" i="30"/>
  <c r="AL468" i="30" s="1"/>
  <c r="AK750" i="30"/>
  <c r="AL750" i="30" s="1"/>
  <c r="AK665" i="30"/>
  <c r="AL665" i="30" s="1"/>
  <c r="AK628" i="30"/>
  <c r="AL628" i="30" s="1"/>
  <c r="AK574" i="30"/>
  <c r="AL574" i="30" s="1"/>
  <c r="AK138" i="30"/>
  <c r="AL138" i="30" s="1"/>
  <c r="AK298" i="30"/>
  <c r="AL298" i="30" s="1"/>
  <c r="AK594" i="30"/>
  <c r="AL594" i="30" s="1"/>
  <c r="AK554" i="30"/>
  <c r="AL554" i="30" s="1"/>
  <c r="AK285" i="30"/>
  <c r="AL285" i="30" s="1"/>
  <c r="AK278" i="30"/>
  <c r="AL278" i="30" s="1"/>
  <c r="AK225" i="30"/>
  <c r="AL225" i="30" s="1"/>
  <c r="AK208" i="30"/>
  <c r="AL208" i="30" s="1"/>
  <c r="AK198" i="30"/>
  <c r="AL198" i="30" s="1"/>
  <c r="AK188" i="30"/>
  <c r="AL188" i="30" s="1"/>
  <c r="AK102" i="30"/>
  <c r="AL102" i="30" s="1"/>
  <c r="AK81" i="30"/>
  <c r="AL81" i="30" s="1"/>
  <c r="AK53" i="30"/>
  <c r="AL53" i="30" s="1"/>
  <c r="AK725" i="30"/>
  <c r="AL725" i="30" s="1"/>
  <c r="AK488" i="30"/>
  <c r="AL488" i="30" s="1"/>
  <c r="AK452" i="30"/>
  <c r="AL452" i="30" s="1"/>
  <c r="AK420" i="30"/>
  <c r="AL420" i="30" s="1"/>
  <c r="AK320" i="30"/>
  <c r="AL320" i="30" s="1"/>
  <c r="AK1265" i="30"/>
  <c r="AL1265" i="30" s="1"/>
  <c r="AK39" i="30"/>
  <c r="AL39" i="30" s="1"/>
  <c r="AK11" i="30"/>
  <c r="AL11" i="30" s="1"/>
  <c r="AK590" i="30"/>
  <c r="AL590" i="30" s="1"/>
  <c r="AK528" i="30"/>
  <c r="AL528" i="30" s="1"/>
  <c r="AK199" i="30"/>
  <c r="AL199" i="30" s="1"/>
  <c r="AK68" i="30"/>
  <c r="AL68" i="30" s="1"/>
  <c r="AK660" i="30"/>
  <c r="AL660" i="30" s="1"/>
  <c r="AK589" i="30"/>
  <c r="AL589" i="30" s="1"/>
  <c r="AK507" i="30"/>
  <c r="AL507" i="30" s="1"/>
  <c r="AK481" i="30"/>
  <c r="AL481" i="30" s="1"/>
  <c r="AK460" i="30"/>
  <c r="AL460" i="30" s="1"/>
  <c r="AK745" i="30"/>
  <c r="AL745" i="30" s="1"/>
  <c r="AK640" i="30"/>
  <c r="AL640" i="30" s="1"/>
  <c r="AK430" i="30"/>
  <c r="AL430" i="30" s="1"/>
  <c r="AK162" i="30"/>
  <c r="AL162" i="30" s="1"/>
  <c r="AK506" i="30"/>
  <c r="AL506" i="30" s="1"/>
  <c r="AK546" i="30"/>
  <c r="AL546" i="30" s="1"/>
  <c r="AK434" i="30"/>
  <c r="AL434" i="30" s="1"/>
  <c r="AK311" i="30"/>
  <c r="AL311" i="30" s="1"/>
  <c r="AK297" i="30"/>
  <c r="AL297" i="30" s="1"/>
  <c r="AK263" i="30"/>
  <c r="AL263" i="30" s="1"/>
  <c r="AK180" i="30"/>
  <c r="AL180" i="30" s="1"/>
  <c r="AK1270" i="30"/>
  <c r="AL1270" i="30" s="1"/>
  <c r="AK1261" i="30"/>
  <c r="AL1261" i="30" s="1"/>
  <c r="AK152" i="30"/>
  <c r="AL152" i="30" s="1"/>
  <c r="AK111" i="30"/>
  <c r="AL111" i="30" s="1"/>
  <c r="AK98" i="30"/>
  <c r="AL98" i="30" s="1"/>
  <c r="AK79" i="30"/>
  <c r="AL79" i="30" s="1"/>
  <c r="AK67" i="30"/>
  <c r="AL67" i="30" s="1"/>
  <c r="AK24" i="30"/>
  <c r="AL24" i="30" s="1"/>
  <c r="AK274" i="30"/>
  <c r="AL274" i="30" s="1"/>
  <c r="AK110" i="30"/>
  <c r="AL110" i="30" s="1"/>
  <c r="AK72" i="30"/>
  <c r="AL72" i="30" s="1"/>
  <c r="AK442" i="30"/>
  <c r="AL442" i="30" s="1"/>
  <c r="AK189" i="30"/>
  <c r="AL189" i="30" s="1"/>
  <c r="AK156" i="30"/>
  <c r="AL156" i="30" s="1"/>
  <c r="AK765" i="30"/>
  <c r="AL765" i="30" s="1"/>
  <c r="AK728" i="30"/>
  <c r="AL728" i="30" s="1"/>
  <c r="AK656" i="30"/>
  <c r="AL656" i="30" s="1"/>
  <c r="AK601" i="30"/>
  <c r="AL601" i="30" s="1"/>
  <c r="AK582" i="30"/>
  <c r="AL582" i="30" s="1"/>
  <c r="AK545" i="30"/>
  <c r="AL545" i="30" s="1"/>
  <c r="AK500" i="30"/>
  <c r="AL500" i="30" s="1"/>
  <c r="AK496" i="30"/>
  <c r="AL496" i="30" s="1"/>
  <c r="AK463" i="30"/>
  <c r="AL463" i="30" s="1"/>
  <c r="AK447" i="30"/>
  <c r="AL447" i="30" s="1"/>
  <c r="AK428" i="30"/>
  <c r="AL428" i="30" s="1"/>
  <c r="AK391" i="30"/>
  <c r="AL391" i="30" s="1"/>
  <c r="AK377" i="30"/>
  <c r="AL377" i="30" s="1"/>
  <c r="AK373" i="30"/>
  <c r="AL373" i="30" s="1"/>
  <c r="AK304" i="30"/>
  <c r="AL304" i="30" s="1"/>
  <c r="AK245" i="30"/>
  <c r="AL245" i="30" s="1"/>
  <c r="AK224" i="30"/>
  <c r="AL224" i="30" s="1"/>
  <c r="AK203" i="30"/>
  <c r="AL203" i="30" s="1"/>
  <c r="AK193" i="30"/>
  <c r="AL193" i="30" s="1"/>
  <c r="AK1255" i="30"/>
  <c r="AL1255" i="30" s="1"/>
  <c r="AK91" i="30"/>
  <c r="AL91" i="30" s="1"/>
  <c r="AK63" i="30"/>
  <c r="AL63" i="30" s="1"/>
  <c r="AK6" i="30"/>
  <c r="AL6" i="30" s="1"/>
  <c r="AK671" i="30"/>
  <c r="AL671" i="30" s="1"/>
  <c r="AK645" i="30"/>
  <c r="AL645" i="30" s="1"/>
  <c r="AK531" i="30"/>
  <c r="AL531" i="30" s="1"/>
  <c r="AK480" i="30"/>
  <c r="AL480" i="30" s="1"/>
  <c r="AK383" i="30"/>
  <c r="AL383" i="30" s="1"/>
  <c r="AK303" i="30"/>
  <c r="AL303" i="30" s="1"/>
  <c r="AK269" i="30"/>
  <c r="AL269" i="30" s="1"/>
  <c r="AK97" i="30"/>
  <c r="AL97" i="30" s="1"/>
  <c r="AK71" i="30"/>
  <c r="AL71" i="30" s="1"/>
  <c r="AK760" i="30"/>
  <c r="AL760" i="30" s="1"/>
  <c r="AK641" i="30"/>
  <c r="AL641" i="30" s="1"/>
  <c r="AK472" i="30"/>
  <c r="AL472" i="30" s="1"/>
  <c r="AK399" i="30"/>
  <c r="AL399" i="30" s="1"/>
  <c r="AK376" i="30"/>
  <c r="AL376" i="30" s="1"/>
  <c r="AK209" i="30"/>
  <c r="AL209" i="30" s="1"/>
  <c r="AK125" i="30"/>
  <c r="AL125" i="30" s="1"/>
  <c r="AK33" i="30"/>
  <c r="AL33" i="30" s="1"/>
  <c r="AK749" i="30"/>
  <c r="AL749" i="30" s="1"/>
  <c r="AK744" i="30"/>
  <c r="AL744" i="30" s="1"/>
  <c r="AK740" i="30"/>
  <c r="AL740" i="30" s="1"/>
  <c r="AK655" i="30"/>
  <c r="AL655" i="30" s="1"/>
  <c r="AK633" i="30"/>
  <c r="AL633" i="30" s="1"/>
  <c r="AK629" i="30"/>
  <c r="AL629" i="30" s="1"/>
  <c r="AK624" i="30"/>
  <c r="AL624" i="30" s="1"/>
  <c r="AK620" i="30"/>
  <c r="AL620" i="30" s="1"/>
  <c r="AK604" i="30"/>
  <c r="AL604" i="30" s="1"/>
  <c r="AK593" i="30"/>
  <c r="AL593" i="30" s="1"/>
  <c r="AK575" i="30"/>
  <c r="AL575" i="30" s="1"/>
  <c r="AK571" i="30"/>
  <c r="AL571" i="30" s="1"/>
  <c r="AK566" i="30"/>
  <c r="AL566" i="30" s="1"/>
  <c r="AK562" i="30"/>
  <c r="AL562" i="30" s="1"/>
  <c r="AK523" i="30"/>
  <c r="AL523" i="30" s="1"/>
  <c r="AK491" i="30"/>
  <c r="AL491" i="30" s="1"/>
  <c r="AK464" i="30"/>
  <c r="AL464" i="30" s="1"/>
  <c r="AK411" i="30"/>
  <c r="AL411" i="30" s="1"/>
  <c r="AK372" i="30"/>
  <c r="AL372" i="30" s="1"/>
  <c r="AK271" i="30"/>
  <c r="AL271" i="30" s="1"/>
  <c r="AK1277" i="30"/>
  <c r="AL1277" i="30" s="1"/>
  <c r="AK1266" i="30"/>
  <c r="AL1266" i="30" s="1"/>
  <c r="AK169" i="30"/>
  <c r="AL169" i="30" s="1"/>
  <c r="AK161" i="30"/>
  <c r="AL161" i="30" s="1"/>
  <c r="AK151" i="30"/>
  <c r="AL151" i="30" s="1"/>
  <c r="AK118" i="30"/>
  <c r="AL118" i="30" s="1"/>
  <c r="AK105" i="30"/>
  <c r="AL105" i="30" s="1"/>
  <c r="AK87" i="30"/>
  <c r="AL87" i="30" s="1"/>
  <c r="AK62" i="30"/>
  <c r="AL62" i="30" s="1"/>
  <c r="AK44" i="30"/>
  <c r="AL44" i="30" s="1"/>
  <c r="AK15" i="30"/>
  <c r="AL15" i="30" s="1"/>
  <c r="AK92" i="30"/>
  <c r="AL92" i="30" s="1"/>
  <c r="AK733" i="30"/>
  <c r="AL733" i="30" s="1"/>
  <c r="AK718" i="30"/>
  <c r="AL718" i="30" s="1"/>
  <c r="AK705" i="30"/>
  <c r="AL705" i="30" s="1"/>
  <c r="AK672" i="30"/>
  <c r="AL672" i="30" s="1"/>
  <c r="AK652" i="30"/>
  <c r="AL652" i="30" s="1"/>
  <c r="AK541" i="30"/>
  <c r="AL541" i="30" s="1"/>
  <c r="AK536" i="30"/>
  <c r="AL536" i="30" s="1"/>
  <c r="AK512" i="30"/>
  <c r="AL512" i="30" s="1"/>
  <c r="AK467" i="30"/>
  <c r="AL467" i="30" s="1"/>
  <c r="AK453" i="30"/>
  <c r="AL453" i="30" s="1"/>
  <c r="AK432" i="30"/>
  <c r="AL432" i="30" s="1"/>
  <c r="AF31" i="6"/>
  <c r="AG31" i="6" s="1"/>
  <c r="AF46" i="6"/>
  <c r="AG46" i="6" s="1"/>
  <c r="AF60" i="6"/>
  <c r="AG60" i="6" s="1"/>
  <c r="Y33" i="6"/>
  <c r="Y34" i="6" s="1"/>
  <c r="AF50" i="6"/>
  <c r="AG50" i="6" s="1"/>
  <c r="AF59" i="6"/>
  <c r="AG59" i="6" s="1"/>
  <c r="AE33" i="6"/>
  <c r="AF33" i="6" s="1"/>
  <c r="AG33" i="6" s="1"/>
  <c r="AF15" i="6"/>
  <c r="AG15" i="6" s="1"/>
  <c r="P33" i="6"/>
  <c r="P34" i="6" s="1"/>
  <c r="AF55" i="6"/>
  <c r="AG55" i="6" s="1"/>
  <c r="AF45" i="6"/>
  <c r="AG45" i="6" s="1"/>
  <c r="AF18" i="6"/>
  <c r="AG18" i="6" s="1"/>
  <c r="Y71" i="6"/>
  <c r="Y72" i="6" s="1"/>
  <c r="AF32" i="6"/>
  <c r="AG32" i="6" s="1"/>
  <c r="V71" i="6"/>
  <c r="V72" i="6" s="1"/>
  <c r="AF19" i="6"/>
  <c r="AG19" i="6" s="1"/>
  <c r="AF65" i="6"/>
  <c r="AG65" i="6" s="1"/>
  <c r="AE71" i="6"/>
  <c r="AE72" i="6" s="1"/>
  <c r="AF14" i="6"/>
  <c r="AG14" i="6" s="1"/>
  <c r="M71" i="6"/>
  <c r="M72" i="6" s="1"/>
  <c r="AF49" i="6"/>
  <c r="AG49" i="6" s="1"/>
  <c r="J71" i="6"/>
  <c r="J34" i="6"/>
  <c r="AF34" i="6" s="1"/>
  <c r="AG34" i="6" s="1"/>
  <c r="AF54" i="6"/>
  <c r="AG54" i="6" s="1"/>
  <c r="AF5" i="6"/>
  <c r="AG5" i="6" s="1"/>
  <c r="AF6" i="6"/>
  <c r="AG6" i="6" s="1"/>
  <c r="AF28" i="6"/>
  <c r="AG28" i="6" s="1"/>
  <c r="P71" i="6"/>
  <c r="P72" i="6" s="1"/>
  <c r="AF355" i="24"/>
  <c r="AG355" i="24" s="1"/>
  <c r="AF72" i="6" l="1"/>
  <c r="AG72" i="6" s="1"/>
  <c r="AF71" i="6"/>
  <c r="AG71" i="6" s="1"/>
  <c r="AH21" i="4"/>
  <c r="AL2" i="3" l="1"/>
  <c r="AG32" i="3" l="1"/>
  <c r="AG58" i="3"/>
  <c r="AG45" i="3"/>
  <c r="AE220" i="3"/>
  <c r="AG264" i="3"/>
  <c r="AG242" i="3"/>
  <c r="AG229" i="3"/>
  <c r="AG60" i="3"/>
  <c r="AG190" i="3"/>
  <c r="AG233" i="3"/>
  <c r="AG230" i="3"/>
  <c r="V220" i="3"/>
  <c r="AG228" i="3"/>
  <c r="AG57" i="3"/>
  <c r="AG237" i="3"/>
  <c r="AG70" i="3"/>
  <c r="AG82" i="3"/>
  <c r="AG62" i="3"/>
  <c r="AG316" i="3"/>
  <c r="AG43" i="3"/>
  <c r="AG56" i="3"/>
  <c r="AG262" i="3"/>
  <c r="AG118" i="3"/>
  <c r="AG38" i="3"/>
  <c r="AG244" i="3"/>
  <c r="AG21" i="3"/>
  <c r="AG369" i="3"/>
  <c r="AG91" i="3"/>
  <c r="AG225" i="3"/>
  <c r="AG157" i="3"/>
  <c r="AG51" i="3"/>
  <c r="AG305" i="3"/>
  <c r="AG174" i="3"/>
  <c r="AG309" i="3"/>
  <c r="AG271" i="3"/>
  <c r="AG340" i="3"/>
  <c r="AG327" i="3"/>
  <c r="AG348" i="3"/>
  <c r="AG344" i="3"/>
  <c r="AG364" i="3"/>
  <c r="AG198" i="3"/>
  <c r="AG155" i="3"/>
  <c r="AG251" i="3"/>
  <c r="AG293" i="3"/>
  <c r="AG250" i="3"/>
  <c r="AG23" i="3"/>
  <c r="AG202" i="3"/>
  <c r="AG336" i="3"/>
  <c r="AG178" i="3"/>
  <c r="AG126" i="3"/>
  <c r="AG375" i="3"/>
  <c r="V151" i="3"/>
  <c r="AG3" i="3"/>
  <c r="AG22" i="3"/>
  <c r="AG267" i="3"/>
  <c r="AG345" i="3"/>
  <c r="AG222" i="3"/>
  <c r="AG138" i="3"/>
  <c r="S37" i="3"/>
  <c r="P286" i="3"/>
  <c r="P300" i="3" s="1"/>
  <c r="P301" i="3" s="1"/>
  <c r="AG133" i="3"/>
  <c r="AG179" i="3"/>
  <c r="AG105" i="3"/>
  <c r="AG49" i="3"/>
  <c r="AG282" i="3"/>
  <c r="AG34" i="3"/>
  <c r="AG351" i="3"/>
  <c r="AG268" i="3"/>
  <c r="AG132" i="3"/>
  <c r="AG346" i="3"/>
  <c r="AG177" i="3"/>
  <c r="AG106" i="3"/>
  <c r="AG166" i="3"/>
  <c r="AG209" i="3"/>
  <c r="AG260" i="3"/>
  <c r="AG65" i="3"/>
  <c r="AG187" i="3"/>
  <c r="AG217" i="3"/>
  <c r="AG276" i="3"/>
  <c r="AG67" i="3"/>
  <c r="V330" i="3"/>
  <c r="AG75" i="3"/>
  <c r="AG129" i="3"/>
  <c r="AG94" i="3"/>
  <c r="AG241" i="3"/>
  <c r="AG372" i="3"/>
  <c r="AG100" i="3"/>
  <c r="AG171" i="3"/>
  <c r="Y286" i="3"/>
  <c r="Y300" i="3" s="1"/>
  <c r="Y301" i="3" s="1"/>
  <c r="AE37" i="3"/>
  <c r="M266" i="3"/>
  <c r="AG195" i="3"/>
  <c r="AG213" i="3"/>
  <c r="M368" i="3"/>
  <c r="AG50" i="3"/>
  <c r="AG234" i="3"/>
  <c r="AG224" i="3"/>
  <c r="AG16" i="3"/>
  <c r="AG277" i="3"/>
  <c r="AG41" i="3"/>
  <c r="AG256" i="3"/>
  <c r="AG284" i="3"/>
  <c r="S368" i="3"/>
  <c r="AG303" i="3"/>
  <c r="AG146" i="3"/>
  <c r="AG114" i="3"/>
  <c r="AG335" i="3"/>
  <c r="AG311" i="3"/>
  <c r="AG183" i="3"/>
  <c r="AG4" i="3"/>
  <c r="AG90" i="3"/>
  <c r="AG269" i="3"/>
  <c r="AG31" i="3"/>
  <c r="AG274" i="3"/>
  <c r="AG18" i="3"/>
  <c r="AG290" i="3"/>
  <c r="AG259" i="3"/>
  <c r="AG48" i="3"/>
  <c r="AG331" i="3"/>
  <c r="AG101" i="3"/>
  <c r="AE286" i="3"/>
  <c r="AE300" i="3" s="1"/>
  <c r="AE301" i="3" s="1"/>
  <c r="V286" i="3"/>
  <c r="V300" i="3" s="1"/>
  <c r="V301" i="3" s="1"/>
  <c r="AG212" i="3"/>
  <c r="AE368" i="3"/>
  <c r="AG236" i="3"/>
  <c r="AG333" i="3"/>
  <c r="V37" i="3"/>
  <c r="AG128" i="3"/>
  <c r="AG339" i="3"/>
  <c r="AG81" i="3"/>
  <c r="AG218" i="3"/>
  <c r="AG298" i="3"/>
  <c r="AG185" i="3"/>
  <c r="AG291" i="3"/>
  <c r="AG204" i="3"/>
  <c r="AG373" i="3"/>
  <c r="AG257" i="3"/>
  <c r="AG168" i="3"/>
  <c r="AG283" i="3"/>
  <c r="AG363" i="3"/>
  <c r="AG321" i="3"/>
  <c r="AG323" i="3"/>
  <c r="AG214" i="3"/>
  <c r="AG295" i="3"/>
  <c r="AG13" i="3"/>
  <c r="AG366" i="3"/>
  <c r="AG152" i="3"/>
  <c r="AG27" i="3"/>
  <c r="Y220" i="3"/>
  <c r="V368" i="3"/>
  <c r="AG354" i="3"/>
  <c r="AG39" i="3"/>
  <c r="AG115" i="3"/>
  <c r="AG200" i="3"/>
  <c r="AG163" i="3"/>
  <c r="AG332" i="3"/>
  <c r="AB220" i="3"/>
  <c r="AG355" i="3"/>
  <c r="AG191" i="3"/>
  <c r="AG136" i="3"/>
  <c r="AG170" i="3"/>
  <c r="AG253" i="3"/>
  <c r="AE211" i="3"/>
  <c r="S330" i="3"/>
  <c r="AG349" i="3"/>
  <c r="AG314" i="3"/>
  <c r="AG199" i="3"/>
  <c r="AG29" i="3"/>
  <c r="AG93" i="3"/>
  <c r="AG47" i="3"/>
  <c r="AG175" i="3"/>
  <c r="AG319" i="3"/>
  <c r="AG270" i="3"/>
  <c r="AG318" i="3"/>
  <c r="AG337" i="3"/>
  <c r="AG7" i="3"/>
  <c r="AG12" i="3"/>
  <c r="AG130" i="3"/>
  <c r="AG313" i="3"/>
  <c r="AG83" i="3"/>
  <c r="AG288" i="3"/>
  <c r="AG227" i="3"/>
  <c r="AG216" i="3"/>
  <c r="M330" i="3"/>
  <c r="AG361" i="3"/>
  <c r="AG299" i="3"/>
  <c r="AG240" i="3"/>
  <c r="AG88" i="3"/>
  <c r="AG113" i="3"/>
  <c r="P211" i="3"/>
  <c r="P219" i="3" s="1"/>
  <c r="P220" i="3" s="1"/>
  <c r="S286" i="3"/>
  <c r="S300" i="3" s="1"/>
  <c r="S301" i="3" s="1"/>
  <c r="AG162" i="3"/>
  <c r="AG232" i="3"/>
  <c r="AG52" i="3"/>
  <c r="AG362" i="3"/>
  <c r="AG306" i="3"/>
  <c r="AG261" i="3"/>
  <c r="AG86" i="3"/>
  <c r="AG127" i="3"/>
  <c r="AG109" i="3"/>
  <c r="AG287" i="3"/>
  <c r="AG223" i="3"/>
  <c r="AG84" i="3"/>
  <c r="AG312" i="3"/>
  <c r="AG370" i="3"/>
  <c r="AG53" i="3"/>
  <c r="AG134" i="3"/>
  <c r="M211" i="3"/>
  <c r="AG322" i="3"/>
  <c r="AG8" i="3"/>
  <c r="AG338" i="3"/>
  <c r="AG141" i="3"/>
  <c r="AG294" i="3"/>
  <c r="AG102" i="3"/>
  <c r="AG328" i="3"/>
  <c r="AG263" i="3"/>
  <c r="AG243" i="3"/>
  <c r="AG215" i="3"/>
  <c r="AG2" i="3"/>
  <c r="AG167" i="3"/>
  <c r="AG26" i="3"/>
  <c r="AG28" i="3"/>
  <c r="AB182" i="3"/>
  <c r="AG89" i="3"/>
  <c r="AG66" i="3"/>
  <c r="AG44" i="3"/>
  <c r="AG304" i="3"/>
  <c r="AG374" i="3"/>
  <c r="AG189" i="3"/>
  <c r="AG292" i="3"/>
  <c r="AG153" i="3"/>
  <c r="AG40" i="3"/>
  <c r="AG278" i="3"/>
  <c r="S220" i="3"/>
  <c r="M220" i="3"/>
  <c r="AG137" i="3"/>
  <c r="AG147" i="3"/>
  <c r="AG231" i="3"/>
  <c r="AG169" i="3"/>
  <c r="AG252" i="3"/>
  <c r="AB368" i="3"/>
  <c r="AG76" i="3"/>
  <c r="AG307" i="3"/>
  <c r="AG275" i="3"/>
  <c r="AB37" i="3"/>
  <c r="V211" i="3"/>
  <c r="AG99" i="3"/>
  <c r="AG17" i="3"/>
  <c r="AB330" i="3"/>
  <c r="AG302" i="3"/>
  <c r="AG123" i="3"/>
  <c r="AG221" i="3"/>
  <c r="AG188" i="3"/>
  <c r="AG79" i="3"/>
  <c r="AG341" i="3"/>
  <c r="AG30" i="3"/>
  <c r="AG308" i="3"/>
  <c r="AG194" i="3"/>
  <c r="AG148" i="3"/>
  <c r="AG107" i="3"/>
  <c r="M286" i="3"/>
  <c r="M300" i="3" s="1"/>
  <c r="M301" i="3" s="1"/>
  <c r="AG184" i="3"/>
  <c r="AB151" i="3"/>
  <c r="AG35" i="3"/>
  <c r="AG80" i="3"/>
  <c r="AG112" i="3"/>
  <c r="AG59" i="3"/>
  <c r="AG350" i="3"/>
  <c r="AG61" i="3"/>
  <c r="AG5" i="3"/>
  <c r="AG315" i="3"/>
  <c r="AG196" i="3"/>
  <c r="AG258" i="3"/>
  <c r="Y151" i="3"/>
  <c r="Y266" i="3"/>
  <c r="S151" i="3"/>
  <c r="AG201" i="3"/>
  <c r="AG85" i="3"/>
  <c r="AG238" i="3"/>
  <c r="AE151" i="3"/>
  <c r="P266" i="3"/>
  <c r="AB286" i="3"/>
  <c r="AB300" i="3" s="1"/>
  <c r="AB301" i="3" s="1"/>
  <c r="Y368" i="3"/>
  <c r="AG352" i="3"/>
  <c r="M37" i="3"/>
  <c r="M426" i="3" s="1"/>
  <c r="AG186" i="3"/>
  <c r="AG33" i="3"/>
  <c r="AG289" i="3"/>
  <c r="AG87" i="3"/>
  <c r="V266" i="3"/>
  <c r="AG296" i="3"/>
  <c r="AG226" i="3"/>
  <c r="AG365" i="3"/>
  <c r="AG154" i="3"/>
  <c r="AG320" i="3"/>
  <c r="AG69" i="3"/>
  <c r="AG20" i="3"/>
  <c r="AG116" i="3"/>
  <c r="P182" i="3"/>
  <c r="M151" i="3"/>
  <c r="AG165" i="3"/>
  <c r="M182" i="3"/>
  <c r="AG42" i="3"/>
  <c r="AB211" i="3"/>
  <c r="Y182" i="3"/>
  <c r="AG371" i="3"/>
  <c r="AG219" i="3"/>
  <c r="S182" i="3"/>
  <c r="AG108" i="3"/>
  <c r="AE330" i="3"/>
  <c r="AG180" i="3"/>
  <c r="AG15" i="3"/>
  <c r="AE266" i="3"/>
  <c r="AG172" i="3"/>
  <c r="P151" i="3"/>
  <c r="AG176" i="3"/>
  <c r="AG192" i="3"/>
  <c r="V182" i="3"/>
  <c r="AG254" i="3"/>
  <c r="AF220" i="3"/>
  <c r="P37" i="3"/>
  <c r="AG343" i="3"/>
  <c r="AG156" i="3"/>
  <c r="AG110" i="3"/>
  <c r="AG325" i="3"/>
  <c r="AG150" i="3"/>
  <c r="AG356" i="3"/>
  <c r="AG24" i="3"/>
  <c r="V55" i="3"/>
  <c r="AE182" i="3"/>
  <c r="AG124" i="3"/>
  <c r="P330" i="3"/>
  <c r="AG272" i="3"/>
  <c r="S266" i="3"/>
  <c r="AG6" i="3"/>
  <c r="Y330" i="3"/>
  <c r="AG334" i="3"/>
  <c r="AB266" i="3"/>
  <c r="AF151" i="3"/>
  <c r="Y211" i="3"/>
  <c r="P368" i="3"/>
  <c r="AG64" i="3"/>
  <c r="AG149" i="3"/>
  <c r="S211" i="3"/>
  <c r="AG77" i="3"/>
  <c r="Y37" i="3"/>
  <c r="AG139" i="3"/>
  <c r="AG265" i="3"/>
  <c r="AG210" i="3"/>
  <c r="AG367" i="3"/>
  <c r="AF55" i="3"/>
  <c r="AG181" i="3"/>
  <c r="AG425" i="3"/>
  <c r="AF211" i="3"/>
  <c r="AF368" i="3"/>
  <c r="AG368" i="3" s="1"/>
  <c r="AF286" i="3"/>
  <c r="AF300" i="3" s="1"/>
  <c r="AG54" i="3"/>
  <c r="AG285" i="3"/>
  <c r="AG329" i="3"/>
  <c r="AG36" i="3"/>
  <c r="AF37" i="3"/>
  <c r="AF330" i="3"/>
  <c r="AG330" i="3" s="1"/>
  <c r="AF182" i="3"/>
  <c r="AF176" i="28"/>
  <c r="AG176" i="28" s="1"/>
  <c r="P175" i="28"/>
  <c r="M175" i="28"/>
  <c r="J175" i="28"/>
  <c r="P174" i="28"/>
  <c r="M174" i="28"/>
  <c r="J174" i="28"/>
  <c r="P173" i="28"/>
  <c r="M173" i="28"/>
  <c r="J173" i="28"/>
  <c r="P172" i="28"/>
  <c r="M172" i="28"/>
  <c r="J172" i="28"/>
  <c r="N171" i="28"/>
  <c r="K171" i="28"/>
  <c r="J171" i="28"/>
  <c r="N170" i="28"/>
  <c r="K170" i="28"/>
  <c r="J170" i="28"/>
  <c r="P169" i="28"/>
  <c r="M169" i="28"/>
  <c r="J169" i="28"/>
  <c r="P168" i="28"/>
  <c r="M168" i="28"/>
  <c r="J168" i="28"/>
  <c r="P167" i="28"/>
  <c r="M167" i="28"/>
  <c r="J167" i="28"/>
  <c r="N166" i="28"/>
  <c r="K166" i="28"/>
  <c r="N165" i="28"/>
  <c r="K165" i="28"/>
  <c r="M165" i="28" s="1"/>
  <c r="J165" i="28"/>
  <c r="P164" i="28"/>
  <c r="M164" i="28"/>
  <c r="J164" i="28"/>
  <c r="P163" i="28"/>
  <c r="M163" i="28"/>
  <c r="J163" i="28"/>
  <c r="P162" i="28"/>
  <c r="M162" i="28"/>
  <c r="J162" i="28"/>
  <c r="P161" i="28"/>
  <c r="M161" i="28"/>
  <c r="J161" i="28"/>
  <c r="N160" i="28"/>
  <c r="K160" i="28"/>
  <c r="J160" i="28"/>
  <c r="N159" i="28"/>
  <c r="K159" i="28"/>
  <c r="J159" i="28"/>
  <c r="P158" i="28"/>
  <c r="M158" i="28"/>
  <c r="J158" i="28"/>
  <c r="P157" i="28"/>
  <c r="M157" i="28"/>
  <c r="J157" i="28"/>
  <c r="AE156" i="28"/>
  <c r="AB156" i="28"/>
  <c r="Y156" i="28"/>
  <c r="V156" i="28"/>
  <c r="S156" i="28"/>
  <c r="P156" i="28"/>
  <c r="M156" i="28"/>
  <c r="J156" i="28"/>
  <c r="AF155" i="28"/>
  <c r="AG155" i="28" s="1"/>
  <c r="AF154" i="28"/>
  <c r="AG154" i="28" s="1"/>
  <c r="AF153" i="28"/>
  <c r="AG153" i="28" s="1"/>
  <c r="AC151" i="28"/>
  <c r="Z151" i="28"/>
  <c r="W151" i="28"/>
  <c r="T151" i="28"/>
  <c r="Q151" i="28"/>
  <c r="N151" i="28"/>
  <c r="K151" i="28"/>
  <c r="H151" i="28"/>
  <c r="V151" i="28"/>
  <c r="AE150" i="28"/>
  <c r="AB150" i="28"/>
  <c r="Y150" i="28"/>
  <c r="V150" i="28"/>
  <c r="S150" i="28"/>
  <c r="P150" i="28"/>
  <c r="M150" i="28"/>
  <c r="J150" i="28"/>
  <c r="AE149" i="28"/>
  <c r="AB149" i="28"/>
  <c r="Y149" i="28"/>
  <c r="V149" i="28"/>
  <c r="S149" i="28"/>
  <c r="P149" i="28"/>
  <c r="M149" i="28"/>
  <c r="J149" i="28"/>
  <c r="AF148" i="28"/>
  <c r="AG148" i="28" s="1"/>
  <c r="AF147" i="28"/>
  <c r="AG147" i="28" s="1"/>
  <c r="AE146" i="28"/>
  <c r="M146" i="28"/>
  <c r="AE145" i="28"/>
  <c r="M145" i="28"/>
  <c r="AE144" i="28"/>
  <c r="M144" i="28"/>
  <c r="AE143" i="28"/>
  <c r="M143" i="28"/>
  <c r="AE142" i="28"/>
  <c r="M142" i="28"/>
  <c r="AE141" i="28"/>
  <c r="AF141" i="28" s="1"/>
  <c r="AG141" i="28" s="1"/>
  <c r="M141" i="28"/>
  <c r="AC140" i="28"/>
  <c r="K140" i="28"/>
  <c r="AC139" i="28"/>
  <c r="K139" i="28"/>
  <c r="AE138" i="28"/>
  <c r="M138" i="28"/>
  <c r="AE137" i="28"/>
  <c r="M137" i="28"/>
  <c r="AE136" i="28"/>
  <c r="M136" i="28"/>
  <c r="AE135" i="28"/>
  <c r="M135" i="28"/>
  <c r="AB134" i="28"/>
  <c r="S134" i="28"/>
  <c r="J134" i="28"/>
  <c r="AB133" i="28"/>
  <c r="S133" i="28"/>
  <c r="J133" i="28"/>
  <c r="Z132" i="28"/>
  <c r="Q132" i="28"/>
  <c r="H132" i="28"/>
  <c r="J132" i="28" s="1"/>
  <c r="AB132" i="28"/>
  <c r="Z131" i="28"/>
  <c r="Q131" i="28"/>
  <c r="H131" i="28"/>
  <c r="AB130" i="28"/>
  <c r="S130" i="28"/>
  <c r="J130" i="28"/>
  <c r="AB129" i="28"/>
  <c r="S129" i="28"/>
  <c r="J129" i="28"/>
  <c r="AB128" i="28"/>
  <c r="S128" i="28"/>
  <c r="J128" i="28"/>
  <c r="AF127" i="28"/>
  <c r="AG127" i="28" s="1"/>
  <c r="AF126" i="28"/>
  <c r="AG126" i="28" s="1"/>
  <c r="AE125" i="28"/>
  <c r="M125" i="28"/>
  <c r="J125" i="28"/>
  <c r="AE124" i="28"/>
  <c r="M124" i="28"/>
  <c r="J124" i="28"/>
  <c r="AE123" i="28"/>
  <c r="M123" i="28"/>
  <c r="J123" i="28"/>
  <c r="AC122" i="28"/>
  <c r="K122" i="28"/>
  <c r="J122" i="28"/>
  <c r="AC121" i="28"/>
  <c r="K121" i="28"/>
  <c r="J121" i="28"/>
  <c r="AE120" i="28"/>
  <c r="M120" i="28"/>
  <c r="J120" i="28"/>
  <c r="AE119" i="28"/>
  <c r="M119" i="28"/>
  <c r="J119" i="28"/>
  <c r="AE118" i="28"/>
  <c r="M118" i="28"/>
  <c r="J118" i="28"/>
  <c r="AE117" i="28"/>
  <c r="M117" i="28"/>
  <c r="J117" i="28"/>
  <c r="AC116" i="28"/>
  <c r="K116" i="28"/>
  <c r="J116" i="28"/>
  <c r="AC115" i="28"/>
  <c r="K115" i="28"/>
  <c r="J115" i="28"/>
  <c r="AE114" i="28"/>
  <c r="AF114" i="28" s="1"/>
  <c r="AG114" i="28" s="1"/>
  <c r="M114" i="28"/>
  <c r="J114" i="28"/>
  <c r="AE113" i="28"/>
  <c r="M113" i="28"/>
  <c r="J113" i="28"/>
  <c r="AE112" i="28"/>
  <c r="M112" i="28"/>
  <c r="J112" i="28"/>
  <c r="AB111" i="28"/>
  <c r="S111" i="28"/>
  <c r="J111" i="28"/>
  <c r="AB110" i="28"/>
  <c r="S110" i="28"/>
  <c r="J110" i="28"/>
  <c r="AB109" i="28"/>
  <c r="S109" i="28"/>
  <c r="J109" i="28"/>
  <c r="AB108" i="28"/>
  <c r="S108" i="28"/>
  <c r="J108" i="28"/>
  <c r="AB107" i="28"/>
  <c r="S107" i="28"/>
  <c r="J107" i="28"/>
  <c r="AB106" i="28"/>
  <c r="S106" i="28"/>
  <c r="J106" i="28"/>
  <c r="Z105" i="28"/>
  <c r="Q105" i="28"/>
  <c r="H105" i="28"/>
  <c r="Z104" i="28"/>
  <c r="Q104" i="28"/>
  <c r="H104" i="28"/>
  <c r="AB103" i="28"/>
  <c r="S103" i="28"/>
  <c r="J103" i="28"/>
  <c r="AB102" i="28"/>
  <c r="S102" i="28"/>
  <c r="J102" i="28"/>
  <c r="Z101" i="28"/>
  <c r="AB101" i="28" s="1"/>
  <c r="Q101" i="28"/>
  <c r="S101" i="28" s="1"/>
  <c r="H101" i="28"/>
  <c r="Z100" i="28"/>
  <c r="Q100" i="28"/>
  <c r="H100" i="28"/>
  <c r="AB99" i="28"/>
  <c r="S99" i="28"/>
  <c r="J99" i="28"/>
  <c r="AB98" i="28"/>
  <c r="S98" i="28"/>
  <c r="J98" i="28"/>
  <c r="AB97" i="28"/>
  <c r="S97" i="28"/>
  <c r="J97" i="28"/>
  <c r="AB96" i="28"/>
  <c r="S96" i="28"/>
  <c r="J96" i="28"/>
  <c r="Z95" i="28"/>
  <c r="Q95" i="28"/>
  <c r="H95" i="28"/>
  <c r="Z94" i="28"/>
  <c r="Q94" i="28"/>
  <c r="H94" i="28"/>
  <c r="AB93" i="28"/>
  <c r="S93" i="28"/>
  <c r="J93" i="28"/>
  <c r="Z92" i="28"/>
  <c r="AB92" i="28" s="1"/>
  <c r="Q92" i="28"/>
  <c r="H92" i="28"/>
  <c r="Z91" i="28"/>
  <c r="Q91" i="28"/>
  <c r="H91" i="28"/>
  <c r="AB90" i="28"/>
  <c r="S90" i="28"/>
  <c r="J90" i="28"/>
  <c r="AB89" i="28"/>
  <c r="S89" i="28"/>
  <c r="J89" i="28"/>
  <c r="AB88" i="28"/>
  <c r="S88" i="28"/>
  <c r="J88" i="28"/>
  <c r="AF87" i="28"/>
  <c r="AG87" i="28" s="1"/>
  <c r="AF86" i="28"/>
  <c r="AG86" i="28" s="1"/>
  <c r="AB85" i="28"/>
  <c r="S85" i="28"/>
  <c r="J85" i="28"/>
  <c r="AF84" i="28"/>
  <c r="AG84" i="28" s="1"/>
  <c r="AF83" i="28"/>
  <c r="AG83" i="28" s="1"/>
  <c r="S82" i="28"/>
  <c r="M82" i="28"/>
  <c r="S81" i="28"/>
  <c r="M81" i="28"/>
  <c r="S80" i="28"/>
  <c r="M80" i="28"/>
  <c r="S79" i="28"/>
  <c r="M79" i="28"/>
  <c r="S78" i="28"/>
  <c r="M78" i="28"/>
  <c r="Q77" i="28"/>
  <c r="Q76" i="28"/>
  <c r="S75" i="28"/>
  <c r="M75" i="28"/>
  <c r="S74" i="28"/>
  <c r="M74" i="28"/>
  <c r="S73" i="28"/>
  <c r="M73" i="28"/>
  <c r="S72" i="28"/>
  <c r="M72" i="28"/>
  <c r="S71" i="28"/>
  <c r="M71" i="28"/>
  <c r="S70" i="28"/>
  <c r="M70" i="28"/>
  <c r="AF69" i="28"/>
  <c r="AG69" i="28" s="1"/>
  <c r="AF68" i="28"/>
  <c r="AG68" i="28" s="1"/>
  <c r="S67" i="28"/>
  <c r="AF67" i="28" s="1"/>
  <c r="AG67" i="28" s="1"/>
  <c r="S66" i="28"/>
  <c r="AF66" i="28" s="1"/>
  <c r="AG66" i="28" s="1"/>
  <c r="S65" i="28"/>
  <c r="AF65" i="28" s="1"/>
  <c r="AG65" i="28" s="1"/>
  <c r="S64" i="28"/>
  <c r="AF64" i="28" s="1"/>
  <c r="AG64" i="28" s="1"/>
  <c r="Q63" i="28"/>
  <c r="Q62" i="28"/>
  <c r="S61" i="28"/>
  <c r="AF61" i="28" s="1"/>
  <c r="AG61" i="28" s="1"/>
  <c r="S60" i="28"/>
  <c r="AF60" i="28" s="1"/>
  <c r="AG60" i="28" s="1"/>
  <c r="S59" i="28"/>
  <c r="AF59" i="28" s="1"/>
  <c r="AG59" i="28" s="1"/>
  <c r="Q58" i="28"/>
  <c r="Q57" i="28"/>
  <c r="S56" i="28"/>
  <c r="AF56" i="28" s="1"/>
  <c r="AG56" i="28" s="1"/>
  <c r="S55" i="28"/>
  <c r="AF55" i="28" s="1"/>
  <c r="AG55" i="28" s="1"/>
  <c r="S54" i="28"/>
  <c r="AF54" i="28" s="1"/>
  <c r="AG54" i="28" s="1"/>
  <c r="S53" i="28"/>
  <c r="AF53" i="28" s="1"/>
  <c r="AG53" i="28" s="1"/>
  <c r="Q52" i="28"/>
  <c r="Q51" i="28"/>
  <c r="S50" i="28"/>
  <c r="AF50" i="28" s="1"/>
  <c r="AG50" i="28" s="1"/>
  <c r="S49" i="28"/>
  <c r="AF49" i="28" s="1"/>
  <c r="AG49" i="28" s="1"/>
  <c r="S48" i="28"/>
  <c r="J48" i="28"/>
  <c r="AF47" i="28"/>
  <c r="AG47" i="28" s="1"/>
  <c r="AF46" i="28"/>
  <c r="AG46" i="28" s="1"/>
  <c r="N45" i="28"/>
  <c r="J45" i="28"/>
  <c r="AF45" i="28" s="1"/>
  <c r="AG45" i="28" s="1"/>
  <c r="N44" i="28"/>
  <c r="J44" i="28"/>
  <c r="AF44" i="28" s="1"/>
  <c r="AG44" i="28" s="1"/>
  <c r="J43" i="28"/>
  <c r="AF43" i="28" s="1"/>
  <c r="AG43" i="28" s="1"/>
  <c r="J42" i="28"/>
  <c r="AF42" i="28" s="1"/>
  <c r="AG42" i="28" s="1"/>
  <c r="AB41" i="28"/>
  <c r="M41" i="28"/>
  <c r="J41" i="28"/>
  <c r="AB40" i="28"/>
  <c r="M40" i="28"/>
  <c r="J40" i="28"/>
  <c r="AB39" i="28"/>
  <c r="M39" i="28"/>
  <c r="J39" i="28"/>
  <c r="AB38" i="28"/>
  <c r="M38" i="28"/>
  <c r="J38" i="28"/>
  <c r="AB37" i="28"/>
  <c r="M37" i="28"/>
  <c r="J37" i="28"/>
  <c r="Z36" i="28"/>
  <c r="K36" i="28"/>
  <c r="Z35" i="28"/>
  <c r="K35" i="28"/>
  <c r="J35" i="28"/>
  <c r="AB34" i="28"/>
  <c r="M34" i="28"/>
  <c r="J34" i="28"/>
  <c r="AB33" i="28"/>
  <c r="M33" i="28"/>
  <c r="J33" i="28"/>
  <c r="AB32" i="28"/>
  <c r="M32" i="28"/>
  <c r="J32" i="28"/>
  <c r="AF31" i="28"/>
  <c r="AG31" i="28" s="1"/>
  <c r="AF30" i="28"/>
  <c r="AG30" i="28" s="1"/>
  <c r="AE29" i="28"/>
  <c r="P29" i="28"/>
  <c r="M29" i="28"/>
  <c r="J29" i="28"/>
  <c r="AE28" i="28"/>
  <c r="P28" i="28"/>
  <c r="M28" i="28"/>
  <c r="J28" i="28"/>
  <c r="AE27" i="28"/>
  <c r="P27" i="28"/>
  <c r="M27" i="28"/>
  <c r="J27" i="28"/>
  <c r="AE26" i="28"/>
  <c r="P26" i="28"/>
  <c r="M26" i="28"/>
  <c r="J26" i="28"/>
  <c r="AE25" i="28"/>
  <c r="P25" i="28"/>
  <c r="M25" i="28"/>
  <c r="J25" i="28"/>
  <c r="AC24" i="28"/>
  <c r="N24" i="28"/>
  <c r="J24" i="28"/>
  <c r="AC23" i="28"/>
  <c r="N23" i="28"/>
  <c r="M23" i="28"/>
  <c r="AE22" i="28"/>
  <c r="P22" i="28"/>
  <c r="M22" i="28"/>
  <c r="J22" i="28"/>
  <c r="AE21" i="28"/>
  <c r="P21" i="28"/>
  <c r="M21" i="28"/>
  <c r="J21" i="28"/>
  <c r="M20" i="28"/>
  <c r="AE19" i="28"/>
  <c r="P19" i="28"/>
  <c r="M19" i="28"/>
  <c r="J19" i="28"/>
  <c r="AE18" i="28"/>
  <c r="P18" i="28"/>
  <c r="M18" i="28"/>
  <c r="J18" i="28"/>
  <c r="AE17" i="28"/>
  <c r="AB17" i="28"/>
  <c r="Y17" i="28"/>
  <c r="V17" i="28"/>
  <c r="S17" i="28"/>
  <c r="P17" i="28"/>
  <c r="M17" i="28"/>
  <c r="J17" i="28"/>
  <c r="AF15" i="28"/>
  <c r="AG15" i="28" s="1"/>
  <c r="AF14" i="28"/>
  <c r="AG14" i="28" s="1"/>
  <c r="M13" i="28"/>
  <c r="J13" i="28"/>
  <c r="M12" i="28"/>
  <c r="J12" i="28"/>
  <c r="M11" i="28"/>
  <c r="J11" i="28"/>
  <c r="M10" i="28"/>
  <c r="J10" i="28"/>
  <c r="M9" i="28"/>
  <c r="J9" i="28"/>
  <c r="M8" i="28"/>
  <c r="J8" i="28"/>
  <c r="H7" i="28"/>
  <c r="H6" i="28"/>
  <c r="J6" i="28" s="1"/>
  <c r="M5" i="28"/>
  <c r="J5" i="28"/>
  <c r="M4" i="28"/>
  <c r="J4" i="28"/>
  <c r="M3" i="28"/>
  <c r="J3" i="28"/>
  <c r="AE2" i="28"/>
  <c r="AB2" i="28"/>
  <c r="Y2" i="28"/>
  <c r="V2" i="28"/>
  <c r="S2" i="28"/>
  <c r="P2" i="28"/>
  <c r="M2" i="28"/>
  <c r="J2" i="28"/>
  <c r="AF169" i="23"/>
  <c r="AG169" i="23" s="1"/>
  <c r="AE168" i="23"/>
  <c r="M168" i="23"/>
  <c r="AE167" i="23"/>
  <c r="M167" i="23"/>
  <c r="AC166" i="23"/>
  <c r="T166" i="23"/>
  <c r="K166" i="23"/>
  <c r="M166" i="23"/>
  <c r="AC165" i="23"/>
  <c r="T165" i="23"/>
  <c r="K165" i="23"/>
  <c r="AE164" i="23"/>
  <c r="V164" i="23"/>
  <c r="M164" i="23"/>
  <c r="AE163" i="23"/>
  <c r="V163" i="23"/>
  <c r="M163" i="23"/>
  <c r="AE162" i="23"/>
  <c r="AE161" i="23"/>
  <c r="V161" i="23"/>
  <c r="M161" i="23"/>
  <c r="AE160" i="23"/>
  <c r="V160" i="23"/>
  <c r="M160" i="23"/>
  <c r="AE159" i="23"/>
  <c r="V159" i="23"/>
  <c r="M159" i="23"/>
  <c r="V158" i="23"/>
  <c r="M158" i="23"/>
  <c r="AE158" i="23"/>
  <c r="AE157" i="23"/>
  <c r="V157" i="23"/>
  <c r="M157" i="23"/>
  <c r="AE156" i="23"/>
  <c r="V156" i="23"/>
  <c r="M156" i="23"/>
  <c r="AE155" i="23"/>
  <c r="V155" i="23"/>
  <c r="M155" i="23"/>
  <c r="AE154" i="23"/>
  <c r="V154" i="23"/>
  <c r="M154" i="23"/>
  <c r="AE153" i="23"/>
  <c r="V153" i="23"/>
  <c r="M153" i="23"/>
  <c r="AC151" i="23"/>
  <c r="T151" i="23"/>
  <c r="K151" i="23"/>
  <c r="AE150" i="23"/>
  <c r="V150" i="23"/>
  <c r="M150" i="23"/>
  <c r="AE149" i="23"/>
  <c r="V149" i="23"/>
  <c r="M149" i="23"/>
  <c r="AC148" i="23"/>
  <c r="T148" i="23"/>
  <c r="K148" i="23"/>
  <c r="AC147" i="23"/>
  <c r="T147" i="23"/>
  <c r="K147" i="23"/>
  <c r="AE146" i="23"/>
  <c r="V146" i="23"/>
  <c r="M146" i="23"/>
  <c r="AE145" i="23"/>
  <c r="V145" i="23"/>
  <c r="M145" i="23"/>
  <c r="AC144" i="23"/>
  <c r="T144" i="23"/>
  <c r="K144" i="23"/>
  <c r="AC143" i="23"/>
  <c r="T143" i="23"/>
  <c r="V143" i="23" s="1"/>
  <c r="K143" i="23"/>
  <c r="M143" i="23" s="1"/>
  <c r="AE142" i="23"/>
  <c r="V142" i="23"/>
  <c r="M142" i="23"/>
  <c r="AE141" i="23"/>
  <c r="V141" i="23"/>
  <c r="M141" i="23"/>
  <c r="AE140" i="23"/>
  <c r="V140" i="23"/>
  <c r="M140" i="23"/>
  <c r="AE139" i="23"/>
  <c r="V139" i="23"/>
  <c r="M139" i="23"/>
  <c r="AE138" i="23"/>
  <c r="V138" i="23"/>
  <c r="M138" i="23"/>
  <c r="AF137" i="23"/>
  <c r="AG137" i="23" s="1"/>
  <c r="AE136" i="23"/>
  <c r="AC135" i="23"/>
  <c r="N135" i="23"/>
  <c r="AE134" i="23"/>
  <c r="P134" i="23"/>
  <c r="AC133" i="23"/>
  <c r="AE133" i="23" s="1"/>
  <c r="N133" i="23"/>
  <c r="P133" i="23" s="1"/>
  <c r="Y132" i="23"/>
  <c r="P132" i="23"/>
  <c r="Y131" i="23"/>
  <c r="P131" i="23"/>
  <c r="Y130" i="23"/>
  <c r="Y129" i="23"/>
  <c r="P129" i="23"/>
  <c r="Y128" i="23"/>
  <c r="P128" i="23"/>
  <c r="Y127" i="23"/>
  <c r="P127" i="23"/>
  <c r="W126" i="23"/>
  <c r="Y126" i="23" s="1"/>
  <c r="N126" i="23"/>
  <c r="W125" i="23"/>
  <c r="N125" i="23"/>
  <c r="Y124" i="23"/>
  <c r="P124" i="23"/>
  <c r="Y123" i="23"/>
  <c r="P123" i="23"/>
  <c r="P122" i="23"/>
  <c r="Y121" i="23"/>
  <c r="P121" i="23"/>
  <c r="AF120" i="23"/>
  <c r="AG120" i="23" s="1"/>
  <c r="AC119" i="23"/>
  <c r="T119" i="23"/>
  <c r="K119" i="23"/>
  <c r="M119" i="23" s="1"/>
  <c r="AC118" i="23"/>
  <c r="T118" i="23"/>
  <c r="K118" i="23"/>
  <c r="AE117" i="23"/>
  <c r="V117" i="23"/>
  <c r="M117" i="23"/>
  <c r="AE116" i="23"/>
  <c r="V116" i="23"/>
  <c r="M116" i="23"/>
  <c r="AE115" i="23"/>
  <c r="V115" i="23"/>
  <c r="M115" i="23"/>
  <c r="AE114" i="23"/>
  <c r="V114" i="23"/>
  <c r="M114" i="23"/>
  <c r="AE113" i="23"/>
  <c r="V113" i="23"/>
  <c r="M113" i="23"/>
  <c r="AC112" i="23"/>
  <c r="T112" i="23"/>
  <c r="K112" i="23"/>
  <c r="AC111" i="23"/>
  <c r="T111" i="23"/>
  <c r="K111" i="23"/>
  <c r="AE110" i="23"/>
  <c r="V110" i="23"/>
  <c r="M110" i="23"/>
  <c r="AE109" i="23"/>
  <c r="V109" i="23"/>
  <c r="M109" i="23"/>
  <c r="AE108" i="23"/>
  <c r="V108" i="23"/>
  <c r="M108" i="23"/>
  <c r="AE107" i="23"/>
  <c r="V107" i="23"/>
  <c r="M107" i="23"/>
  <c r="AC106" i="23"/>
  <c r="T106" i="23"/>
  <c r="K106" i="23"/>
  <c r="AE105" i="23"/>
  <c r="AF105" i="23" s="1"/>
  <c r="AG105" i="23" s="1"/>
  <c r="V105" i="23"/>
  <c r="M105" i="23"/>
  <c r="AE104" i="23"/>
  <c r="V104" i="23"/>
  <c r="M104" i="23"/>
  <c r="AC103" i="23"/>
  <c r="T103" i="23"/>
  <c r="K103" i="23"/>
  <c r="M103" i="23" s="1"/>
  <c r="AC102" i="23"/>
  <c r="T102" i="23"/>
  <c r="K102" i="23"/>
  <c r="AE101" i="23"/>
  <c r="V101" i="23"/>
  <c r="M101" i="23"/>
  <c r="AE100" i="23"/>
  <c r="V100" i="23"/>
  <c r="M100" i="23"/>
  <c r="AE99" i="23"/>
  <c r="V99" i="23"/>
  <c r="M99" i="23"/>
  <c r="AE98" i="23"/>
  <c r="V98" i="23"/>
  <c r="M98" i="23"/>
  <c r="AC97" i="23"/>
  <c r="T97" i="23"/>
  <c r="K97" i="23"/>
  <c r="AC96" i="23"/>
  <c r="T96" i="23"/>
  <c r="K96" i="23"/>
  <c r="AE95" i="23"/>
  <c r="V95" i="23"/>
  <c r="M95" i="23"/>
  <c r="AE94" i="23"/>
  <c r="V94" i="23"/>
  <c r="M94" i="23"/>
  <c r="AE93" i="23"/>
  <c r="V93" i="23"/>
  <c r="M93" i="23"/>
  <c r="AE92" i="23"/>
  <c r="V92" i="23"/>
  <c r="M92" i="23"/>
  <c r="M91" i="23"/>
  <c r="AE90" i="23"/>
  <c r="V90" i="23"/>
  <c r="M90" i="23"/>
  <c r="AE89" i="23"/>
  <c r="V89" i="23"/>
  <c r="M89" i="23"/>
  <c r="AF88" i="23"/>
  <c r="AG88" i="23" s="1"/>
  <c r="N87" i="23"/>
  <c r="P87" i="23"/>
  <c r="N86" i="23"/>
  <c r="M86" i="23"/>
  <c r="P85" i="23"/>
  <c r="M85" i="23"/>
  <c r="AF85" i="23" s="1"/>
  <c r="AG85" i="23" s="1"/>
  <c r="P84" i="23"/>
  <c r="M84" i="23"/>
  <c r="P83" i="23"/>
  <c r="M83" i="23"/>
  <c r="P82" i="23"/>
  <c r="M82" i="23"/>
  <c r="P81" i="23"/>
  <c r="M81" i="23"/>
  <c r="N80" i="23"/>
  <c r="P80" i="23" s="1"/>
  <c r="N79" i="23"/>
  <c r="P79" i="23" s="1"/>
  <c r="M79" i="23"/>
  <c r="P78" i="23"/>
  <c r="M78" i="23"/>
  <c r="P77" i="23"/>
  <c r="M77" i="23"/>
  <c r="N76" i="23"/>
  <c r="N75" i="23"/>
  <c r="P74" i="23"/>
  <c r="M74" i="23"/>
  <c r="P73" i="23"/>
  <c r="M73" i="23"/>
  <c r="N72" i="23"/>
  <c r="N71" i="23"/>
  <c r="M71" i="23"/>
  <c r="P70" i="23"/>
  <c r="M70" i="23"/>
  <c r="P69" i="23"/>
  <c r="M69" i="23"/>
  <c r="N68" i="23"/>
  <c r="N67" i="23"/>
  <c r="P66" i="23"/>
  <c r="M66" i="23"/>
  <c r="P65" i="23"/>
  <c r="M65" i="23"/>
  <c r="P64" i="23"/>
  <c r="M64" i="23"/>
  <c r="P63" i="23"/>
  <c r="M63" i="23"/>
  <c r="AE62" i="23"/>
  <c r="AB62" i="23"/>
  <c r="Y62" i="23"/>
  <c r="V62" i="23"/>
  <c r="S62" i="23"/>
  <c r="P62" i="23"/>
  <c r="M62" i="23"/>
  <c r="J62" i="23"/>
  <c r="AF61" i="23"/>
  <c r="AG61" i="23" s="1"/>
  <c r="AF60" i="23"/>
  <c r="AG60" i="23" s="1"/>
  <c r="M59" i="23"/>
  <c r="AF59" i="23" s="1"/>
  <c r="AG59" i="23" s="1"/>
  <c r="M58" i="23"/>
  <c r="AF58" i="23" s="1"/>
  <c r="AG58" i="23" s="1"/>
  <c r="M57" i="23"/>
  <c r="AF57" i="23" s="1"/>
  <c r="AG57" i="23" s="1"/>
  <c r="AE56" i="23"/>
  <c r="P56" i="23"/>
  <c r="M56" i="23"/>
  <c r="AE55" i="23"/>
  <c r="P55" i="23"/>
  <c r="M55" i="23"/>
  <c r="M54" i="23"/>
  <c r="AC53" i="23"/>
  <c r="N53" i="23"/>
  <c r="M53" i="23"/>
  <c r="AE52" i="23"/>
  <c r="P52" i="23"/>
  <c r="M52" i="23"/>
  <c r="AE51" i="23"/>
  <c r="P51" i="23"/>
  <c r="M51" i="23"/>
  <c r="AC50" i="23"/>
  <c r="N50" i="23"/>
  <c r="AC49" i="23"/>
  <c r="N49" i="23"/>
  <c r="AE48" i="23"/>
  <c r="P48" i="23"/>
  <c r="M48" i="23"/>
  <c r="AE47" i="23"/>
  <c r="P47" i="23"/>
  <c r="M47" i="23"/>
  <c r="AE46" i="23"/>
  <c r="P46" i="23"/>
  <c r="M46" i="23"/>
  <c r="AE45" i="23"/>
  <c r="AB45" i="23"/>
  <c r="Y45" i="23"/>
  <c r="V45" i="23"/>
  <c r="S45" i="23"/>
  <c r="P45" i="23"/>
  <c r="M45" i="23"/>
  <c r="AF44" i="23"/>
  <c r="AG44" i="23" s="1"/>
  <c r="Z43" i="23"/>
  <c r="K43" i="23"/>
  <c r="Z42" i="23"/>
  <c r="K42" i="23"/>
  <c r="AB41" i="23"/>
  <c r="M41" i="23"/>
  <c r="AB40" i="23"/>
  <c r="M40" i="23"/>
  <c r="AB39" i="23"/>
  <c r="M39" i="23"/>
  <c r="AB38" i="23"/>
  <c r="M38" i="23"/>
  <c r="AB37" i="23"/>
  <c r="M37" i="23"/>
  <c r="Z36" i="23"/>
  <c r="K36" i="23"/>
  <c r="M36" i="23" s="1"/>
  <c r="Z35" i="23"/>
  <c r="K35" i="23"/>
  <c r="AB34" i="23"/>
  <c r="M34" i="23"/>
  <c r="AB33" i="23"/>
  <c r="M33" i="23"/>
  <c r="Z32" i="23"/>
  <c r="K32" i="23"/>
  <c r="Z31" i="23"/>
  <c r="K31" i="23"/>
  <c r="AB30" i="23"/>
  <c r="M30" i="23"/>
  <c r="AB29" i="23"/>
  <c r="M29" i="23"/>
  <c r="Z28" i="23"/>
  <c r="K28" i="23"/>
  <c r="Z27" i="23"/>
  <c r="K27" i="23"/>
  <c r="AB26" i="23"/>
  <c r="M26" i="23"/>
  <c r="AB25" i="23"/>
  <c r="M25" i="23"/>
  <c r="Z24" i="23"/>
  <c r="AB24" i="23" s="1"/>
  <c r="K24" i="23"/>
  <c r="Z23" i="23"/>
  <c r="K23" i="23"/>
  <c r="AB22" i="23"/>
  <c r="M22" i="23"/>
  <c r="AB21" i="23"/>
  <c r="M21" i="23"/>
  <c r="AB20" i="23"/>
  <c r="M20" i="23"/>
  <c r="AE19" i="23"/>
  <c r="AB19" i="23"/>
  <c r="Y19" i="23"/>
  <c r="V19" i="23"/>
  <c r="S19" i="23"/>
  <c r="P19" i="23"/>
  <c r="M19" i="23"/>
  <c r="J19" i="23"/>
  <c r="AF18" i="23"/>
  <c r="AG18" i="23" s="1"/>
  <c r="AF17" i="23"/>
  <c r="AG17" i="23" s="1"/>
  <c r="AE16" i="23"/>
  <c r="AB16" i="23"/>
  <c r="Y16" i="23"/>
  <c r="V16" i="23"/>
  <c r="S16" i="23"/>
  <c r="P16" i="23"/>
  <c r="M16" i="23"/>
  <c r="J16" i="23"/>
  <c r="AC15" i="23"/>
  <c r="Z15" i="23"/>
  <c r="W15" i="23"/>
  <c r="T15" i="23"/>
  <c r="Q15" i="23"/>
  <c r="N15" i="23"/>
  <c r="K15" i="23"/>
  <c r="H15" i="23"/>
  <c r="AC14" i="23"/>
  <c r="Z14" i="23"/>
  <c r="AB14" i="23" s="1"/>
  <c r="W14" i="23"/>
  <c r="T14" i="23"/>
  <c r="Q14" i="23"/>
  <c r="N14" i="23"/>
  <c r="K14" i="23"/>
  <c r="H14" i="23"/>
  <c r="AE13" i="23"/>
  <c r="AB13" i="23"/>
  <c r="Y13" i="23"/>
  <c r="V13" i="23"/>
  <c r="S13" i="23"/>
  <c r="P13" i="23"/>
  <c r="M13" i="23"/>
  <c r="J13" i="23"/>
  <c r="AC12" i="23"/>
  <c r="Z12" i="23"/>
  <c r="W12" i="23"/>
  <c r="T12" i="23"/>
  <c r="Q12" i="23"/>
  <c r="N12" i="23"/>
  <c r="P12" i="23" s="1"/>
  <c r="K12" i="23"/>
  <c r="H12" i="23"/>
  <c r="J12" i="23" s="1"/>
  <c r="AB11" i="23"/>
  <c r="Y11" i="23"/>
  <c r="P11" i="23"/>
  <c r="M11" i="23"/>
  <c r="J11" i="23"/>
  <c r="S11" i="23"/>
  <c r="AE10" i="23"/>
  <c r="AB10" i="23"/>
  <c r="Y10" i="23"/>
  <c r="V10" i="23"/>
  <c r="S10" i="23"/>
  <c r="P10" i="23"/>
  <c r="M10" i="23"/>
  <c r="J10" i="23"/>
  <c r="AE9" i="23"/>
  <c r="AB9" i="23"/>
  <c r="Y9" i="23"/>
  <c r="V9" i="23"/>
  <c r="S9" i="23"/>
  <c r="P9" i="23"/>
  <c r="M9" i="23"/>
  <c r="J9" i="23"/>
  <c r="AE8" i="23"/>
  <c r="AB8" i="23"/>
  <c r="Y8" i="23"/>
  <c r="V8" i="23"/>
  <c r="S8" i="23"/>
  <c r="P8" i="23"/>
  <c r="M8" i="23"/>
  <c r="J8" i="23"/>
  <c r="AE7" i="23"/>
  <c r="AB7" i="23"/>
  <c r="Y7" i="23"/>
  <c r="V7" i="23"/>
  <c r="S7" i="23"/>
  <c r="P7" i="23"/>
  <c r="M7" i="23"/>
  <c r="J7" i="23"/>
  <c r="W6" i="23"/>
  <c r="H6" i="23"/>
  <c r="AB6" i="23"/>
  <c r="W5" i="23"/>
  <c r="Y5" i="23" s="1"/>
  <c r="H5" i="23"/>
  <c r="AE4" i="23"/>
  <c r="AB4" i="23"/>
  <c r="Y4" i="23"/>
  <c r="V4" i="23"/>
  <c r="S4" i="23"/>
  <c r="P4" i="23"/>
  <c r="M4" i="23"/>
  <c r="J4" i="23"/>
  <c r="AE3" i="23"/>
  <c r="AB3" i="23"/>
  <c r="Y3" i="23"/>
  <c r="V3" i="23"/>
  <c r="S3" i="23"/>
  <c r="P3" i="23"/>
  <c r="M3" i="23"/>
  <c r="J3" i="23"/>
  <c r="AE2" i="23"/>
  <c r="AB2" i="23"/>
  <c r="Y2" i="23"/>
  <c r="V2" i="23"/>
  <c r="S2" i="23"/>
  <c r="P2" i="23"/>
  <c r="M2" i="23"/>
  <c r="J2" i="23"/>
  <c r="AE126" i="9"/>
  <c r="AB126" i="9"/>
  <c r="Y126" i="9"/>
  <c r="V126" i="9"/>
  <c r="S126" i="9"/>
  <c r="P126" i="9"/>
  <c r="M126" i="9"/>
  <c r="J126" i="9"/>
  <c r="AC125" i="9"/>
  <c r="Z125" i="9"/>
  <c r="W125" i="9"/>
  <c r="T125" i="9"/>
  <c r="Q125" i="9"/>
  <c r="N125" i="9"/>
  <c r="K125" i="9"/>
  <c r="H125" i="9"/>
  <c r="AC124" i="9"/>
  <c r="Z124" i="9"/>
  <c r="W124" i="9"/>
  <c r="T124" i="9"/>
  <c r="Q124" i="9"/>
  <c r="N124" i="9"/>
  <c r="K124" i="9"/>
  <c r="H124" i="9"/>
  <c r="AE124" i="9"/>
  <c r="AE123" i="9"/>
  <c r="AB123" i="9"/>
  <c r="Y123" i="9"/>
  <c r="V123" i="9"/>
  <c r="S123" i="9"/>
  <c r="P123" i="9"/>
  <c r="M123" i="9"/>
  <c r="J123" i="9"/>
  <c r="AE122" i="9"/>
  <c r="AB122" i="9"/>
  <c r="Y122" i="9"/>
  <c r="V122" i="9"/>
  <c r="S122" i="9"/>
  <c r="P122" i="9"/>
  <c r="M122" i="9"/>
  <c r="J122" i="9"/>
  <c r="Y121" i="9"/>
  <c r="P121" i="9"/>
  <c r="Y120" i="9"/>
  <c r="W119" i="9"/>
  <c r="N119" i="9"/>
  <c r="Y118" i="9"/>
  <c r="P118" i="9"/>
  <c r="Y117" i="9"/>
  <c r="P117" i="9"/>
  <c r="Y116" i="9"/>
  <c r="P116" i="9"/>
  <c r="Y115" i="9"/>
  <c r="P115" i="9"/>
  <c r="Y114" i="9"/>
  <c r="Y113" i="9"/>
  <c r="P113" i="9"/>
  <c r="Y112" i="9"/>
  <c r="P112" i="9"/>
  <c r="AE111" i="9"/>
  <c r="AB111" i="9"/>
  <c r="Y111" i="9"/>
  <c r="V111" i="9"/>
  <c r="S111" i="9"/>
  <c r="P111" i="9"/>
  <c r="M111" i="9"/>
  <c r="J111" i="9"/>
  <c r="J110" i="9"/>
  <c r="M109" i="9"/>
  <c r="J109" i="9"/>
  <c r="K108" i="9"/>
  <c r="J108" i="9"/>
  <c r="K107" i="9"/>
  <c r="J107" i="9"/>
  <c r="M106" i="9"/>
  <c r="J106" i="9"/>
  <c r="M105" i="9"/>
  <c r="J105" i="9"/>
  <c r="M104" i="9"/>
  <c r="J104" i="9"/>
  <c r="K103" i="9"/>
  <c r="M101" i="9"/>
  <c r="J101" i="9"/>
  <c r="M100" i="9"/>
  <c r="J100" i="9"/>
  <c r="M99" i="9"/>
  <c r="J99" i="9"/>
  <c r="J98" i="9"/>
  <c r="M98" i="9"/>
  <c r="M97" i="9"/>
  <c r="J97" i="9"/>
  <c r="M96" i="9"/>
  <c r="M95" i="9"/>
  <c r="M94" i="9"/>
  <c r="J94" i="9"/>
  <c r="M93" i="9"/>
  <c r="J93" i="9"/>
  <c r="M92" i="9"/>
  <c r="J92" i="9"/>
  <c r="M91" i="9"/>
  <c r="J91" i="9"/>
  <c r="M90" i="9"/>
  <c r="J90" i="9"/>
  <c r="M89" i="9"/>
  <c r="M88" i="9"/>
  <c r="J88" i="9"/>
  <c r="M87" i="9"/>
  <c r="J87" i="9"/>
  <c r="K86" i="9"/>
  <c r="K85" i="9"/>
  <c r="J85" i="9"/>
  <c r="M84" i="9"/>
  <c r="J84" i="9"/>
  <c r="AE83" i="9"/>
  <c r="AB83" i="9"/>
  <c r="Y83" i="9"/>
  <c r="V83" i="9"/>
  <c r="S83" i="9"/>
  <c r="P83" i="9"/>
  <c r="M83" i="9"/>
  <c r="J83" i="9"/>
  <c r="AC81" i="9"/>
  <c r="AE81" i="9" s="1"/>
  <c r="T81" i="9"/>
  <c r="K81" i="9"/>
  <c r="AC80" i="9"/>
  <c r="T80" i="9"/>
  <c r="K80" i="9"/>
  <c r="AE79" i="9"/>
  <c r="V79" i="9"/>
  <c r="M79" i="9"/>
  <c r="AE78" i="9"/>
  <c r="V78" i="9"/>
  <c r="M78" i="9"/>
  <c r="AE77" i="9"/>
  <c r="V77" i="9"/>
  <c r="M77" i="9"/>
  <c r="AE76" i="9"/>
  <c r="V76" i="9"/>
  <c r="M76" i="9"/>
  <c r="AE75" i="9"/>
  <c r="V75" i="9"/>
  <c r="M75" i="9"/>
  <c r="AE74" i="9"/>
  <c r="V74" i="9"/>
  <c r="M74" i="9"/>
  <c r="AC73" i="9"/>
  <c r="T73" i="9"/>
  <c r="K73" i="9"/>
  <c r="AE72" i="9"/>
  <c r="V72" i="9"/>
  <c r="M72" i="9"/>
  <c r="AE71" i="9"/>
  <c r="V71" i="9"/>
  <c r="M71" i="9"/>
  <c r="V70" i="9"/>
  <c r="AE69" i="9"/>
  <c r="V69" i="9"/>
  <c r="M69" i="9"/>
  <c r="AE68" i="9"/>
  <c r="V68" i="9"/>
  <c r="M68" i="9"/>
  <c r="AE67" i="9"/>
  <c r="V67" i="9"/>
  <c r="M67" i="9"/>
  <c r="AE66" i="9"/>
  <c r="AB66" i="9"/>
  <c r="Y66" i="9"/>
  <c r="V66" i="9"/>
  <c r="S66" i="9"/>
  <c r="P66" i="9"/>
  <c r="M66" i="9"/>
  <c r="J56" i="9"/>
  <c r="J55" i="9"/>
  <c r="J54" i="9"/>
  <c r="J53" i="9"/>
  <c r="J52" i="9"/>
  <c r="J51" i="9"/>
  <c r="J50" i="9"/>
  <c r="J49" i="9"/>
  <c r="J48" i="9"/>
  <c r="Z47" i="9"/>
  <c r="H47" i="9"/>
  <c r="J47" i="9"/>
  <c r="Z46" i="9"/>
  <c r="H46" i="9"/>
  <c r="J46" i="9"/>
  <c r="J45" i="9"/>
  <c r="J44" i="9"/>
  <c r="J43" i="9"/>
  <c r="Z42" i="9"/>
  <c r="H42" i="9"/>
  <c r="J41" i="9"/>
  <c r="J40" i="9"/>
  <c r="J39" i="9"/>
  <c r="J38" i="9"/>
  <c r="Z37" i="9"/>
  <c r="H37" i="9"/>
  <c r="Z36" i="9"/>
  <c r="H36" i="9"/>
  <c r="J35" i="9"/>
  <c r="J34" i="9"/>
  <c r="Z33" i="9"/>
  <c r="H33" i="9"/>
  <c r="Z32" i="9"/>
  <c r="H32" i="9"/>
  <c r="J32" i="9" s="1"/>
  <c r="J31" i="9"/>
  <c r="J30" i="9"/>
  <c r="J29" i="9"/>
  <c r="J28" i="9"/>
  <c r="J27" i="9"/>
  <c r="J26" i="9"/>
  <c r="J25" i="9"/>
  <c r="J24" i="9"/>
  <c r="Z23" i="9"/>
  <c r="H23" i="9"/>
  <c r="Z22" i="9"/>
  <c r="P22" i="9"/>
  <c r="H22" i="9"/>
  <c r="J22" i="9" s="1"/>
  <c r="V22" i="9"/>
  <c r="AE21" i="9"/>
  <c r="AB21" i="9"/>
  <c r="Y21" i="9"/>
  <c r="V21" i="9"/>
  <c r="S21" i="9"/>
  <c r="P21" i="9"/>
  <c r="M21" i="9"/>
  <c r="J21" i="9"/>
  <c r="AE20" i="9"/>
  <c r="AB20" i="9"/>
  <c r="Y20" i="9"/>
  <c r="V20" i="9"/>
  <c r="S20" i="9"/>
  <c r="P20" i="9"/>
  <c r="M20" i="9"/>
  <c r="J20" i="9"/>
  <c r="Z19" i="9"/>
  <c r="H19" i="9"/>
  <c r="Y19" i="9"/>
  <c r="Z18" i="9"/>
  <c r="M18" i="9"/>
  <c r="H18" i="9"/>
  <c r="AE18" i="9"/>
  <c r="AE17" i="9"/>
  <c r="AB17" i="9"/>
  <c r="Y17" i="9"/>
  <c r="V17" i="9"/>
  <c r="S17" i="9"/>
  <c r="P17" i="9"/>
  <c r="M17" i="9"/>
  <c r="J17" i="9"/>
  <c r="AE16" i="9"/>
  <c r="AB16" i="9"/>
  <c r="Y16" i="9"/>
  <c r="V16" i="9"/>
  <c r="S16" i="9"/>
  <c r="P16" i="9"/>
  <c r="M16" i="9"/>
  <c r="J16" i="9"/>
  <c r="Z15" i="9"/>
  <c r="S15" i="9"/>
  <c r="H15" i="9"/>
  <c r="AE15" i="9"/>
  <c r="Z14" i="9"/>
  <c r="H14" i="9"/>
  <c r="AE13" i="9"/>
  <c r="AB13" i="9"/>
  <c r="Y13" i="9"/>
  <c r="V13" i="9"/>
  <c r="S13" i="9"/>
  <c r="P13" i="9"/>
  <c r="M13" i="9"/>
  <c r="J13" i="9"/>
  <c r="AE12" i="9"/>
  <c r="AB12" i="9"/>
  <c r="Y12" i="9"/>
  <c r="V12" i="9"/>
  <c r="S12" i="9"/>
  <c r="P12" i="9"/>
  <c r="M12" i="9"/>
  <c r="J12" i="9"/>
  <c r="Z11" i="9"/>
  <c r="H11" i="9"/>
  <c r="P11" i="9"/>
  <c r="Z10" i="9"/>
  <c r="V10" i="9"/>
  <c r="M10" i="9"/>
  <c r="H10" i="9"/>
  <c r="Y10" i="9"/>
  <c r="AE9" i="9"/>
  <c r="AB9" i="9"/>
  <c r="Y9" i="9"/>
  <c r="V9" i="9"/>
  <c r="S9" i="9"/>
  <c r="P9" i="9"/>
  <c r="M9" i="9"/>
  <c r="J9" i="9"/>
  <c r="AE8" i="9"/>
  <c r="AB8" i="9"/>
  <c r="Y8" i="9"/>
  <c r="V8" i="9"/>
  <c r="S8" i="9"/>
  <c r="P8" i="9"/>
  <c r="M8" i="9"/>
  <c r="J8" i="9"/>
  <c r="AE7" i="9"/>
  <c r="AB7" i="9"/>
  <c r="Y7" i="9"/>
  <c r="V7" i="9"/>
  <c r="S7" i="9"/>
  <c r="P7" i="9"/>
  <c r="M7" i="9"/>
  <c r="J7" i="9"/>
  <c r="AE6" i="9"/>
  <c r="AB6" i="9"/>
  <c r="Y6" i="9"/>
  <c r="V6" i="9"/>
  <c r="S6" i="9"/>
  <c r="P6" i="9"/>
  <c r="M6" i="9"/>
  <c r="J6" i="9"/>
  <c r="AE5" i="9"/>
  <c r="AB5" i="9"/>
  <c r="Y5" i="9"/>
  <c r="V5" i="9"/>
  <c r="S5" i="9"/>
  <c r="P5" i="9"/>
  <c r="M5" i="9"/>
  <c r="J5" i="9"/>
  <c r="AE4" i="9"/>
  <c r="AB4" i="9"/>
  <c r="Y4" i="9"/>
  <c r="V4" i="9"/>
  <c r="S4" i="9"/>
  <c r="P4" i="9"/>
  <c r="M4" i="9"/>
  <c r="J4" i="9"/>
  <c r="AE3" i="9"/>
  <c r="AB3" i="9"/>
  <c r="Y3" i="9"/>
  <c r="V3" i="9"/>
  <c r="S3" i="9"/>
  <c r="P3" i="9"/>
  <c r="M3" i="9"/>
  <c r="J3" i="9"/>
  <c r="AE2" i="9"/>
  <c r="AB2" i="9"/>
  <c r="Y2" i="9"/>
  <c r="V2" i="9"/>
  <c r="S2" i="9"/>
  <c r="P2" i="9"/>
  <c r="M2" i="9"/>
  <c r="J2" i="9"/>
  <c r="AF75" i="6"/>
  <c r="AG75" i="6" s="1"/>
  <c r="AF74" i="6"/>
  <c r="AG74" i="6" s="1"/>
  <c r="AF73" i="6"/>
  <c r="AG73" i="6" s="1"/>
  <c r="AE2" i="6"/>
  <c r="AE23" i="6" s="1"/>
  <c r="AB2" i="6"/>
  <c r="AB23" i="6" s="1"/>
  <c r="Y2" i="6"/>
  <c r="Y23" i="6" s="1"/>
  <c r="V2" i="6"/>
  <c r="V23" i="6" s="1"/>
  <c r="V24" i="6" s="1"/>
  <c r="S2" i="6"/>
  <c r="S23" i="6" s="1"/>
  <c r="S24" i="6" s="1"/>
  <c r="P2" i="6"/>
  <c r="P23" i="6" s="1"/>
  <c r="P24" i="6" s="1"/>
  <c r="M2" i="6"/>
  <c r="M23" i="6" s="1"/>
  <c r="M24" i="6" s="1"/>
  <c r="J2" i="6"/>
  <c r="J23" i="6" s="1"/>
  <c r="AF34" i="23" l="1"/>
  <c r="AG34" i="23" s="1"/>
  <c r="AF64" i="23"/>
  <c r="AG64" i="23" s="1"/>
  <c r="AF98" i="28"/>
  <c r="AG98" i="28" s="1"/>
  <c r="AF78" i="28"/>
  <c r="AG78" i="28" s="1"/>
  <c r="AF82" i="28"/>
  <c r="AG82" i="28" s="1"/>
  <c r="AF26" i="28"/>
  <c r="AG26" i="28" s="1"/>
  <c r="AF123" i="28"/>
  <c r="AG123" i="28" s="1"/>
  <c r="AF121" i="23"/>
  <c r="AG121" i="23" s="1"/>
  <c r="AF4" i="28"/>
  <c r="AG4" i="28" s="1"/>
  <c r="AF75" i="28"/>
  <c r="AG75" i="28" s="1"/>
  <c r="AF110" i="28"/>
  <c r="AG110" i="28" s="1"/>
  <c r="AF124" i="23"/>
  <c r="AG124" i="23" s="1"/>
  <c r="AF136" i="28"/>
  <c r="AG136" i="28" s="1"/>
  <c r="V426" i="3"/>
  <c r="AF73" i="23"/>
  <c r="AG73" i="23" s="1"/>
  <c r="AF78" i="23"/>
  <c r="AG78" i="23" s="1"/>
  <c r="AF8" i="28"/>
  <c r="AG8" i="28" s="1"/>
  <c r="AF12" i="28"/>
  <c r="AG12" i="28" s="1"/>
  <c r="AF74" i="28"/>
  <c r="AG74" i="28" s="1"/>
  <c r="AF129" i="28"/>
  <c r="AG129" i="28" s="1"/>
  <c r="AG300" i="3"/>
  <c r="AF427" i="3"/>
  <c r="AG427" i="3" s="1"/>
  <c r="AF301" i="3"/>
  <c r="AG301" i="3" s="1"/>
  <c r="AF65" i="23"/>
  <c r="AG65" i="23" s="1"/>
  <c r="AF131" i="23"/>
  <c r="AG131" i="23" s="1"/>
  <c r="S426" i="3"/>
  <c r="AF84" i="23"/>
  <c r="AG84" i="23" s="1"/>
  <c r="Y426" i="3"/>
  <c r="AB426" i="3"/>
  <c r="AE426" i="3"/>
  <c r="P426" i="3"/>
  <c r="AF266" i="3"/>
  <c r="AB18" i="9"/>
  <c r="Y22" i="9"/>
  <c r="J95" i="9"/>
  <c r="AE103" i="23"/>
  <c r="V119" i="23"/>
  <c r="P136" i="23"/>
  <c r="M147" i="23"/>
  <c r="AF149" i="23"/>
  <c r="AG149" i="23" s="1"/>
  <c r="M24" i="28"/>
  <c r="AF33" i="28"/>
  <c r="AG33" i="28" s="1"/>
  <c r="AF39" i="28"/>
  <c r="AG39" i="28" s="1"/>
  <c r="AB104" i="28"/>
  <c r="AB105" i="28"/>
  <c r="AF106" i="28"/>
  <c r="AG106" i="28" s="1"/>
  <c r="J10" i="9"/>
  <c r="AE10" i="9"/>
  <c r="AE70" i="9"/>
  <c r="M73" i="9"/>
  <c r="V11" i="23"/>
  <c r="P54" i="23"/>
  <c r="AF66" i="23"/>
  <c r="AG66" i="23" s="1"/>
  <c r="AF81" i="23"/>
  <c r="AG81" i="23" s="1"/>
  <c r="AF94" i="23"/>
  <c r="AG94" i="23" s="1"/>
  <c r="AF159" i="23"/>
  <c r="AG159" i="23" s="1"/>
  <c r="AF5" i="28"/>
  <c r="AG5" i="28" s="1"/>
  <c r="M6" i="28"/>
  <c r="AF6" i="28" s="1"/>
  <c r="AG6" i="28" s="1"/>
  <c r="AF32" i="28"/>
  <c r="AG32" i="28" s="1"/>
  <c r="S52" i="28"/>
  <c r="AF52" i="28" s="1"/>
  <c r="AG52" i="28" s="1"/>
  <c r="S62" i="28"/>
  <c r="AF62" i="28" s="1"/>
  <c r="AG62" i="28" s="1"/>
  <c r="AF80" i="28"/>
  <c r="AG80" i="28" s="1"/>
  <c r="AF89" i="28"/>
  <c r="AG89" i="28" s="1"/>
  <c r="J100" i="28"/>
  <c r="AF100" i="28" s="1"/>
  <c r="AG100" i="28" s="1"/>
  <c r="AF146" i="28"/>
  <c r="AG146" i="28" s="1"/>
  <c r="AF157" i="28"/>
  <c r="AG157" i="28" s="1"/>
  <c r="AF162" i="28"/>
  <c r="AG162" i="28" s="1"/>
  <c r="P166" i="28"/>
  <c r="M80" i="9"/>
  <c r="M86" i="9"/>
  <c r="M103" i="9"/>
  <c r="AF22" i="23"/>
  <c r="AG22" i="23" s="1"/>
  <c r="AF48" i="23"/>
  <c r="AG48" i="23" s="1"/>
  <c r="AF128" i="23"/>
  <c r="AG128" i="23" s="1"/>
  <c r="AE147" i="23"/>
  <c r="J7" i="28"/>
  <c r="AF40" i="28"/>
  <c r="AG40" i="28" s="1"/>
  <c r="AF93" i="28"/>
  <c r="AG93" i="28" s="1"/>
  <c r="AF143" i="28"/>
  <c r="AG143" i="28" s="1"/>
  <c r="AF145" i="28"/>
  <c r="AG145" i="28" s="1"/>
  <c r="AE6" i="23"/>
  <c r="AB12" i="23"/>
  <c r="AF110" i="23"/>
  <c r="AG110" i="23" s="1"/>
  <c r="AF141" i="23"/>
  <c r="AG141" i="23" s="1"/>
  <c r="AF156" i="23"/>
  <c r="AG156" i="23" s="1"/>
  <c r="AB36" i="28"/>
  <c r="AF88" i="28"/>
  <c r="AG88" i="28" s="1"/>
  <c r="AF97" i="28"/>
  <c r="AG97" i="28" s="1"/>
  <c r="AF172" i="28"/>
  <c r="AG172" i="28" s="1"/>
  <c r="P10" i="9"/>
  <c r="V15" i="9"/>
  <c r="M85" i="9"/>
  <c r="AF20" i="23"/>
  <c r="AG20" i="23" s="1"/>
  <c r="AE50" i="23"/>
  <c r="AE54" i="23"/>
  <c r="AF54" i="23" s="1"/>
  <c r="AG54" i="23" s="1"/>
  <c r="AF79" i="23"/>
  <c r="AG79" i="23" s="1"/>
  <c r="AF83" i="23"/>
  <c r="AG83" i="23" s="1"/>
  <c r="AF90" i="23"/>
  <c r="AG90" i="23" s="1"/>
  <c r="AF153" i="23"/>
  <c r="AG153" i="23" s="1"/>
  <c r="AF167" i="23"/>
  <c r="AG167" i="23" s="1"/>
  <c r="AF11" i="28"/>
  <c r="AG11" i="28" s="1"/>
  <c r="AF18" i="28"/>
  <c r="AG18" i="28" s="1"/>
  <c r="S51" i="28"/>
  <c r="AF51" i="28" s="1"/>
  <c r="AG51" i="28" s="1"/>
  <c r="AB95" i="28"/>
  <c r="AF111" i="28"/>
  <c r="AG111" i="28" s="1"/>
  <c r="AE122" i="28"/>
  <c r="J166" i="28"/>
  <c r="AF118" i="28"/>
  <c r="AG118" i="28" s="1"/>
  <c r="AF125" i="28"/>
  <c r="AG125" i="28" s="1"/>
  <c r="AF164" i="28"/>
  <c r="AG164" i="28" s="1"/>
  <c r="AF23" i="6"/>
  <c r="AG23" i="6" s="1"/>
  <c r="J24" i="6"/>
  <c r="AF24" i="6" s="1"/>
  <c r="AG24" i="6" s="1"/>
  <c r="J6" i="23"/>
  <c r="M12" i="23"/>
  <c r="J14" i="23"/>
  <c r="AF21" i="23"/>
  <c r="AG21" i="23" s="1"/>
  <c r="M27" i="23"/>
  <c r="V111" i="23"/>
  <c r="AF113" i="23"/>
  <c r="AG113" i="23" s="1"/>
  <c r="Y125" i="23"/>
  <c r="AF132" i="23"/>
  <c r="AG132" i="23" s="1"/>
  <c r="AF142" i="23"/>
  <c r="AG142" i="23" s="1"/>
  <c r="AF146" i="23"/>
  <c r="AG146" i="23" s="1"/>
  <c r="M151" i="23"/>
  <c r="AF157" i="23"/>
  <c r="AG157" i="23" s="1"/>
  <c r="AF163" i="23"/>
  <c r="AG163" i="23" s="1"/>
  <c r="AF168" i="23"/>
  <c r="AG168" i="23" s="1"/>
  <c r="J23" i="28"/>
  <c r="S77" i="28"/>
  <c r="AF81" i="28"/>
  <c r="AG81" i="28" s="1"/>
  <c r="J91" i="28"/>
  <c r="AF109" i="28"/>
  <c r="AG109" i="28" s="1"/>
  <c r="AF138" i="28"/>
  <c r="AG138" i="28" s="1"/>
  <c r="AF144" i="28"/>
  <c r="AG144" i="28" s="1"/>
  <c r="M166" i="28"/>
  <c r="AF173" i="28"/>
  <c r="AG173" i="28" s="1"/>
  <c r="J36" i="9"/>
  <c r="M6" i="23"/>
  <c r="P15" i="23"/>
  <c r="AB15" i="23"/>
  <c r="AB27" i="23"/>
  <c r="AF41" i="23"/>
  <c r="AG41" i="23" s="1"/>
  <c r="P53" i="23"/>
  <c r="AF69" i="23"/>
  <c r="AG69" i="23" s="1"/>
  <c r="AF77" i="23"/>
  <c r="AG77" i="23" s="1"/>
  <c r="V151" i="23"/>
  <c r="AF9" i="28"/>
  <c r="AG9" i="28" s="1"/>
  <c r="AF13" i="28"/>
  <c r="AG13" i="28" s="1"/>
  <c r="AF29" i="28"/>
  <c r="AG29" i="28" s="1"/>
  <c r="S58" i="28"/>
  <c r="AF58" i="28" s="1"/>
  <c r="AG58" i="28" s="1"/>
  <c r="P6" i="23"/>
  <c r="AF45" i="23"/>
  <c r="AG45" i="23" s="1"/>
  <c r="AE53" i="23"/>
  <c r="AE97" i="23"/>
  <c r="AE118" i="23"/>
  <c r="AE151" i="23"/>
  <c r="P23" i="28"/>
  <c r="AB94" i="28"/>
  <c r="S100" i="28"/>
  <c r="J151" i="28"/>
  <c r="P160" i="28"/>
  <c r="AF169" i="28"/>
  <c r="AG169" i="28" s="1"/>
  <c r="M171" i="28"/>
  <c r="AB10" i="9"/>
  <c r="M15" i="9"/>
  <c r="M22" i="9"/>
  <c r="M70" i="9"/>
  <c r="V6" i="23"/>
  <c r="J15" i="23"/>
  <c r="AB35" i="23"/>
  <c r="AE49" i="23"/>
  <c r="AF70" i="23"/>
  <c r="AG70" i="23" s="1"/>
  <c r="AE111" i="23"/>
  <c r="Y122" i="23"/>
  <c r="AF122" i="23" s="1"/>
  <c r="AG122" i="23" s="1"/>
  <c r="P126" i="23"/>
  <c r="AF126" i="23" s="1"/>
  <c r="AG126" i="23" s="1"/>
  <c r="AF3" i="28"/>
  <c r="AG3" i="28" s="1"/>
  <c r="AF38" i="28"/>
  <c r="AG38" i="28" s="1"/>
  <c r="AB100" i="28"/>
  <c r="AF120" i="28"/>
  <c r="AG120" i="28" s="1"/>
  <c r="AE139" i="28"/>
  <c r="AF142" i="28"/>
  <c r="AG142" i="28" s="1"/>
  <c r="AF158" i="28"/>
  <c r="AG158" i="28" s="1"/>
  <c r="AF167" i="28"/>
  <c r="AG167" i="28" s="1"/>
  <c r="AF174" i="28"/>
  <c r="AG174" i="28" s="1"/>
  <c r="P15" i="9"/>
  <c r="AE73" i="9"/>
  <c r="V14" i="23"/>
  <c r="M15" i="23"/>
  <c r="AF25" i="23"/>
  <c r="AG25" i="23" s="1"/>
  <c r="AF63" i="23"/>
  <c r="AG63" i="23" s="1"/>
  <c r="AF82" i="23"/>
  <c r="AG82" i="23" s="1"/>
  <c r="AF100" i="23"/>
  <c r="AG100" i="23" s="1"/>
  <c r="AF109" i="23"/>
  <c r="AG109" i="23" s="1"/>
  <c r="AF117" i="23"/>
  <c r="AG117" i="23" s="1"/>
  <c r="AF19" i="28"/>
  <c r="AG19" i="28" s="1"/>
  <c r="AF71" i="28"/>
  <c r="AG71" i="28" s="1"/>
  <c r="AF79" i="28"/>
  <c r="AG79" i="28" s="1"/>
  <c r="AF90" i="28"/>
  <c r="AG90" i="28" s="1"/>
  <c r="AF99" i="28"/>
  <c r="AG99" i="28" s="1"/>
  <c r="AF103" i="28"/>
  <c r="AG103" i="28" s="1"/>
  <c r="AF113" i="28"/>
  <c r="AG113" i="28" s="1"/>
  <c r="M122" i="28"/>
  <c r="AF128" i="28"/>
  <c r="AG128" i="28" s="1"/>
  <c r="P171" i="28"/>
  <c r="AB23" i="9"/>
  <c r="AE23" i="9"/>
  <c r="AB125" i="9"/>
  <c r="S125" i="9"/>
  <c r="AE125" i="9"/>
  <c r="V106" i="23"/>
  <c r="AE106" i="23"/>
  <c r="M106" i="23"/>
  <c r="M148" i="23"/>
  <c r="V148" i="23"/>
  <c r="AF2" i="28"/>
  <c r="AG2" i="28" s="1"/>
  <c r="AF166" i="28"/>
  <c r="AG166" i="28" s="1"/>
  <c r="M102" i="9"/>
  <c r="J102" i="9"/>
  <c r="Y119" i="9"/>
  <c r="P119" i="9"/>
  <c r="AF33" i="23"/>
  <c r="AG33" i="23" s="1"/>
  <c r="AF92" i="23"/>
  <c r="AG92" i="23" s="1"/>
  <c r="AF99" i="23"/>
  <c r="AG99" i="23" s="1"/>
  <c r="AE102" i="23"/>
  <c r="M102" i="23"/>
  <c r="AF127" i="23"/>
  <c r="AG127" i="23" s="1"/>
  <c r="AF138" i="23"/>
  <c r="AG138" i="23" s="1"/>
  <c r="AF70" i="28"/>
  <c r="AG70" i="28" s="1"/>
  <c r="AF119" i="28"/>
  <c r="AG119" i="28" s="1"/>
  <c r="AF175" i="28"/>
  <c r="AG175" i="28" s="1"/>
  <c r="J23" i="9"/>
  <c r="J103" i="9"/>
  <c r="AF95" i="23"/>
  <c r="AG95" i="23" s="1"/>
  <c r="M165" i="23"/>
  <c r="V165" i="23"/>
  <c r="P125" i="23"/>
  <c r="AF17" i="28"/>
  <c r="AG17" i="28" s="1"/>
  <c r="J95" i="28"/>
  <c r="AF122" i="28"/>
  <c r="AG122" i="28" s="1"/>
  <c r="V80" i="9"/>
  <c r="M107" i="9"/>
  <c r="P86" i="23"/>
  <c r="AF86" i="23" s="1"/>
  <c r="AG86" i="23" s="1"/>
  <c r="AF107" i="23"/>
  <c r="AG107" i="23" s="1"/>
  <c r="AF108" i="28"/>
  <c r="AG108" i="28" s="1"/>
  <c r="M152" i="28"/>
  <c r="AB152" i="28"/>
  <c r="Y152" i="28"/>
  <c r="V152" i="28"/>
  <c r="S152" i="28"/>
  <c r="P152" i="28"/>
  <c r="Y11" i="9"/>
  <c r="AB11" i="9"/>
  <c r="M11" i="9"/>
  <c r="J11" i="9"/>
  <c r="AB28" i="23"/>
  <c r="M28" i="23"/>
  <c r="AF28" i="23" s="1"/>
  <c r="AG28" i="23" s="1"/>
  <c r="AB131" i="28"/>
  <c r="S131" i="28"/>
  <c r="J131" i="28"/>
  <c r="AE11" i="9"/>
  <c r="J42" i="9"/>
  <c r="AF114" i="23"/>
  <c r="AG114" i="23" s="1"/>
  <c r="AF145" i="23"/>
  <c r="AG145" i="23" s="1"/>
  <c r="AF155" i="23"/>
  <c r="AG155" i="23" s="1"/>
  <c r="AF34" i="28"/>
  <c r="AG34" i="28" s="1"/>
  <c r="J36" i="28"/>
  <c r="S76" i="28"/>
  <c r="M76" i="28"/>
  <c r="AF134" i="28"/>
  <c r="AG134" i="28" s="1"/>
  <c r="S14" i="9"/>
  <c r="AB14" i="9"/>
  <c r="Y14" i="9"/>
  <c r="V14" i="9"/>
  <c r="J33" i="9"/>
  <c r="J37" i="9"/>
  <c r="AF30" i="23"/>
  <c r="AG30" i="23" s="1"/>
  <c r="AF39" i="23"/>
  <c r="AG39" i="23" s="1"/>
  <c r="P67" i="23"/>
  <c r="AF74" i="23"/>
  <c r="AG74" i="23" s="1"/>
  <c r="AF25" i="28"/>
  <c r="AG25" i="28" s="1"/>
  <c r="AF73" i="28"/>
  <c r="AG73" i="28" s="1"/>
  <c r="AF102" i="28"/>
  <c r="AG102" i="28" s="1"/>
  <c r="AE121" i="28"/>
  <c r="M121" i="28"/>
  <c r="AF168" i="28"/>
  <c r="AG168" i="28" s="1"/>
  <c r="S10" i="9"/>
  <c r="S22" i="9"/>
  <c r="V73" i="9"/>
  <c r="AF13" i="23"/>
  <c r="AG13" i="23" s="1"/>
  <c r="Y14" i="23"/>
  <c r="AF16" i="23"/>
  <c r="AG16" i="23" s="1"/>
  <c r="AB31" i="23"/>
  <c r="AB36" i="23"/>
  <c r="AF36" i="23" s="1"/>
  <c r="AG36" i="23" s="1"/>
  <c r="AF40" i="23"/>
  <c r="AG40" i="23" s="1"/>
  <c r="AF47" i="23"/>
  <c r="AG47" i="23" s="1"/>
  <c r="P71" i="23"/>
  <c r="AF71" i="23" s="1"/>
  <c r="AG71" i="23" s="1"/>
  <c r="AF93" i="23"/>
  <c r="AG93" i="23" s="1"/>
  <c r="AF104" i="23"/>
  <c r="AG104" i="23" s="1"/>
  <c r="AF108" i="23"/>
  <c r="AG108" i="23" s="1"/>
  <c r="AE143" i="23"/>
  <c r="AF150" i="23"/>
  <c r="AG150" i="23" s="1"/>
  <c r="AF160" i="23"/>
  <c r="AG160" i="23" s="1"/>
  <c r="AF22" i="28"/>
  <c r="AG22" i="28" s="1"/>
  <c r="S57" i="28"/>
  <c r="AF57" i="28" s="1"/>
  <c r="AG57" i="28" s="1"/>
  <c r="AE115" i="28"/>
  <c r="AF117" i="28"/>
  <c r="AG117" i="28" s="1"/>
  <c r="AF124" i="28"/>
  <c r="AG124" i="28" s="1"/>
  <c r="AF137" i="28"/>
  <c r="AG137" i="28" s="1"/>
  <c r="P165" i="28"/>
  <c r="AF165" i="28" s="1"/>
  <c r="AG165" i="28" s="1"/>
  <c r="M170" i="28"/>
  <c r="M23" i="23"/>
  <c r="AF37" i="23"/>
  <c r="AG37" i="23" s="1"/>
  <c r="AF52" i="23"/>
  <c r="AG52" i="23" s="1"/>
  <c r="AF56" i="23"/>
  <c r="AG56" i="23" s="1"/>
  <c r="AF62" i="23"/>
  <c r="AG62" i="23" s="1"/>
  <c r="P72" i="23"/>
  <c r="P75" i="23"/>
  <c r="AF98" i="23"/>
  <c r="AG98" i="23" s="1"/>
  <c r="V102" i="23"/>
  <c r="AF115" i="23"/>
  <c r="AG115" i="23" s="1"/>
  <c r="AF129" i="23"/>
  <c r="AG129" i="23" s="1"/>
  <c r="AF139" i="23"/>
  <c r="AG139" i="23" s="1"/>
  <c r="AF158" i="23"/>
  <c r="AG158" i="23" s="1"/>
  <c r="AF85" i="28"/>
  <c r="AG85" i="28" s="1"/>
  <c r="J101" i="28"/>
  <c r="AF101" i="28" s="1"/>
  <c r="AG101" i="28" s="1"/>
  <c r="AE140" i="28"/>
  <c r="V118" i="23"/>
  <c r="AF136" i="23"/>
  <c r="AG136" i="23" s="1"/>
  <c r="AF10" i="28"/>
  <c r="AG10" i="28" s="1"/>
  <c r="P20" i="28"/>
  <c r="AF27" i="28"/>
  <c r="AG27" i="28" s="1"/>
  <c r="AB35" i="28"/>
  <c r="AF37" i="28"/>
  <c r="AG37" i="28" s="1"/>
  <c r="J94" i="28"/>
  <c r="AF96" i="28"/>
  <c r="AG96" i="28" s="1"/>
  <c r="AF107" i="28"/>
  <c r="AG107" i="28" s="1"/>
  <c r="AF133" i="28"/>
  <c r="AG133" i="28" s="1"/>
  <c r="AF135" i="28"/>
  <c r="AG135" i="28" s="1"/>
  <c r="AF156" i="28"/>
  <c r="AG156" i="28" s="1"/>
  <c r="P170" i="28"/>
  <c r="AB22" i="9"/>
  <c r="M81" i="9"/>
  <c r="M108" i="9"/>
  <c r="AE12" i="23"/>
  <c r="V12" i="23"/>
  <c r="AE15" i="23"/>
  <c r="V15" i="23"/>
  <c r="AF19" i="23"/>
  <c r="AG19" i="23" s="1"/>
  <c r="AB23" i="23"/>
  <c r="AF26" i="23"/>
  <c r="AG26" i="23" s="1"/>
  <c r="AF29" i="23"/>
  <c r="AG29" i="23" s="1"/>
  <c r="M35" i="23"/>
  <c r="AF35" i="23" s="1"/>
  <c r="AG35" i="23" s="1"/>
  <c r="AF89" i="23"/>
  <c r="AG89" i="23" s="1"/>
  <c r="V91" i="23"/>
  <c r="AF101" i="23"/>
  <c r="AG101" i="23" s="1"/>
  <c r="M111" i="23"/>
  <c r="AF116" i="23"/>
  <c r="AG116" i="23" s="1"/>
  <c r="AE119" i="23"/>
  <c r="AF123" i="23"/>
  <c r="AG123" i="23" s="1"/>
  <c r="AF140" i="23"/>
  <c r="AG140" i="23" s="1"/>
  <c r="V147" i="23"/>
  <c r="AF164" i="23"/>
  <c r="AG164" i="23" s="1"/>
  <c r="AE20" i="28"/>
  <c r="AF28" i="28"/>
  <c r="AG28" i="28" s="1"/>
  <c r="AF112" i="28"/>
  <c r="AG112" i="28" s="1"/>
  <c r="AF171" i="28"/>
  <c r="AG171" i="28" s="1"/>
  <c r="AF2" i="9"/>
  <c r="AG2" i="9" s="1"/>
  <c r="AE22" i="9"/>
  <c r="AE80" i="9"/>
  <c r="V81" i="9"/>
  <c r="AF10" i="23"/>
  <c r="AG10" i="23" s="1"/>
  <c r="Y12" i="23"/>
  <c r="P14" i="23"/>
  <c r="Y15" i="23"/>
  <c r="M24" i="23"/>
  <c r="AF24" i="23" s="1"/>
  <c r="AG24" i="23" s="1"/>
  <c r="AF38" i="23"/>
  <c r="AG38" i="23" s="1"/>
  <c r="AB42" i="23"/>
  <c r="AF46" i="23"/>
  <c r="AG46" i="23" s="1"/>
  <c r="AF51" i="23"/>
  <c r="AG51" i="23" s="1"/>
  <c r="AF55" i="23"/>
  <c r="AG55" i="23" s="1"/>
  <c r="AE91" i="23"/>
  <c r="V103" i="23"/>
  <c r="AF103" i="23" s="1"/>
  <c r="AG103" i="23" s="1"/>
  <c r="M118" i="23"/>
  <c r="AF134" i="23"/>
  <c r="AG134" i="23" s="1"/>
  <c r="AF154" i="23"/>
  <c r="AG154" i="23" s="1"/>
  <c r="AF161" i="23"/>
  <c r="AG161" i="23" s="1"/>
  <c r="V166" i="23"/>
  <c r="M7" i="28"/>
  <c r="AF7" i="28" s="1"/>
  <c r="AG7" i="28" s="1"/>
  <c r="AF21" i="28"/>
  <c r="AG21" i="28" s="1"/>
  <c r="AE23" i="28"/>
  <c r="AF41" i="28"/>
  <c r="AG41" i="28" s="1"/>
  <c r="AF48" i="28"/>
  <c r="AG48" i="28" s="1"/>
  <c r="S63" i="28"/>
  <c r="AF63" i="28" s="1"/>
  <c r="AG63" i="28" s="1"/>
  <c r="AF72" i="28"/>
  <c r="AG72" i="28" s="1"/>
  <c r="AB91" i="28"/>
  <c r="AE116" i="28"/>
  <c r="AF130" i="28"/>
  <c r="AG130" i="28" s="1"/>
  <c r="AF149" i="28"/>
  <c r="AG149" i="28" s="1"/>
  <c r="AF150" i="28"/>
  <c r="AG150" i="28" s="1"/>
  <c r="AE151" i="28"/>
  <c r="P159" i="28"/>
  <c r="AF161" i="28"/>
  <c r="AG161" i="28" s="1"/>
  <c r="AF163" i="28"/>
  <c r="AG163" i="28" s="1"/>
  <c r="P24" i="28"/>
  <c r="M77" i="28"/>
  <c r="AF77" i="28" s="1"/>
  <c r="AG77" i="28" s="1"/>
  <c r="J92" i="28"/>
  <c r="S94" i="28"/>
  <c r="J104" i="28"/>
  <c r="M115" i="28"/>
  <c r="M116" i="28"/>
  <c r="S132" i="28"/>
  <c r="AF132" i="28" s="1"/>
  <c r="AG132" i="28" s="1"/>
  <c r="M140" i="28"/>
  <c r="AE152" i="28"/>
  <c r="M159" i="28"/>
  <c r="M160" i="28"/>
  <c r="AF160" i="28" s="1"/>
  <c r="AG160" i="28" s="1"/>
  <c r="J20" i="28"/>
  <c r="M35" i="28"/>
  <c r="M36" i="28"/>
  <c r="S91" i="28"/>
  <c r="AF91" i="28" s="1"/>
  <c r="AG91" i="28" s="1"/>
  <c r="S95" i="28"/>
  <c r="J105" i="28"/>
  <c r="M139" i="28"/>
  <c r="AF139" i="28" s="1"/>
  <c r="AG139" i="28" s="1"/>
  <c r="M151" i="28"/>
  <c r="Y151" i="28"/>
  <c r="J152" i="28"/>
  <c r="AE24" i="28"/>
  <c r="S92" i="28"/>
  <c r="S104" i="28"/>
  <c r="S105" i="28"/>
  <c r="P151" i="28"/>
  <c r="AB151" i="28"/>
  <c r="S151" i="28"/>
  <c r="AE152" i="23"/>
  <c r="M152" i="23"/>
  <c r="V152" i="23"/>
  <c r="AE144" i="23"/>
  <c r="V144" i="23"/>
  <c r="M144" i="23"/>
  <c r="AB43" i="23"/>
  <c r="M43" i="23"/>
  <c r="AF133" i="23"/>
  <c r="AG133" i="23" s="1"/>
  <c r="AF7" i="23"/>
  <c r="AG7" i="23" s="1"/>
  <c r="AF8" i="23"/>
  <c r="AG8" i="23" s="1"/>
  <c r="AF9" i="23"/>
  <c r="AG9" i="23" s="1"/>
  <c r="M76" i="23"/>
  <c r="P76" i="23"/>
  <c r="AE112" i="23"/>
  <c r="V112" i="23"/>
  <c r="M112" i="23"/>
  <c r="AE96" i="23"/>
  <c r="V96" i="23"/>
  <c r="M96" i="23"/>
  <c r="AF106" i="23"/>
  <c r="AG106" i="23" s="1"/>
  <c r="AB32" i="23"/>
  <c r="M32" i="23"/>
  <c r="AF2" i="23"/>
  <c r="AG2" i="23" s="1"/>
  <c r="AF3" i="23"/>
  <c r="AG3" i="23" s="1"/>
  <c r="AF4" i="23"/>
  <c r="AG4" i="23" s="1"/>
  <c r="AF151" i="23"/>
  <c r="AG151" i="23" s="1"/>
  <c r="V5" i="23"/>
  <c r="S5" i="23"/>
  <c r="P5" i="23"/>
  <c r="M5" i="23"/>
  <c r="AE5" i="23"/>
  <c r="J5" i="23"/>
  <c r="AB5" i="23"/>
  <c r="P68" i="23"/>
  <c r="M68" i="23"/>
  <c r="AE135" i="23"/>
  <c r="P135" i="23"/>
  <c r="AF143" i="23"/>
  <c r="AG143" i="23" s="1"/>
  <c r="M49" i="23"/>
  <c r="M50" i="23"/>
  <c r="P130" i="23"/>
  <c r="AF130" i="23" s="1"/>
  <c r="AG130" i="23" s="1"/>
  <c r="AE148" i="23"/>
  <c r="AE165" i="23"/>
  <c r="S6" i="23"/>
  <c r="AE11" i="23"/>
  <c r="AF11" i="23" s="1"/>
  <c r="AG11" i="23" s="1"/>
  <c r="S14" i="23"/>
  <c r="AE14" i="23"/>
  <c r="M31" i="23"/>
  <c r="M42" i="23"/>
  <c r="M67" i="23"/>
  <c r="M75" i="23"/>
  <c r="M97" i="23"/>
  <c r="AE166" i="23"/>
  <c r="P49" i="23"/>
  <c r="P50" i="23"/>
  <c r="M72" i="23"/>
  <c r="AF72" i="23" s="1"/>
  <c r="AG72" i="23" s="1"/>
  <c r="M80" i="23"/>
  <c r="AF80" i="23" s="1"/>
  <c r="AG80" i="23" s="1"/>
  <c r="M87" i="23"/>
  <c r="AF87" i="23" s="1"/>
  <c r="AG87" i="23" s="1"/>
  <c r="V97" i="23"/>
  <c r="M162" i="23"/>
  <c r="Y6" i="23"/>
  <c r="S12" i="23"/>
  <c r="S15" i="23"/>
  <c r="V162" i="23"/>
  <c r="M14" i="23"/>
  <c r="S11" i="9"/>
  <c r="J14" i="9"/>
  <c r="AE14" i="9"/>
  <c r="Y15" i="9"/>
  <c r="P18" i="9"/>
  <c r="AB19" i="9"/>
  <c r="M23" i="9"/>
  <c r="J86" i="9"/>
  <c r="J89" i="9"/>
  <c r="J96" i="9"/>
  <c r="J124" i="9"/>
  <c r="V124" i="9"/>
  <c r="V11" i="9"/>
  <c r="M14" i="9"/>
  <c r="S18" i="9"/>
  <c r="J19" i="9"/>
  <c r="AE19" i="9"/>
  <c r="P23" i="9"/>
  <c r="J125" i="9"/>
  <c r="V125" i="9"/>
  <c r="P14" i="9"/>
  <c r="AB15" i="9"/>
  <c r="V18" i="9"/>
  <c r="M19" i="9"/>
  <c r="S23" i="9"/>
  <c r="P114" i="9"/>
  <c r="P120" i="9"/>
  <c r="M124" i="9"/>
  <c r="Y124" i="9"/>
  <c r="J15" i="9"/>
  <c r="Y18" i="9"/>
  <c r="P19" i="9"/>
  <c r="V23" i="9"/>
  <c r="M125" i="9"/>
  <c r="Y125" i="9"/>
  <c r="S19" i="9"/>
  <c r="Y23" i="9"/>
  <c r="P124" i="9"/>
  <c r="AB124" i="9"/>
  <c r="V19" i="9"/>
  <c r="P125" i="9"/>
  <c r="J18" i="9"/>
  <c r="S124" i="9"/>
  <c r="AF2" i="6"/>
  <c r="AG2" i="6" s="1"/>
  <c r="AF102" i="23" l="1"/>
  <c r="AG102" i="23" s="1"/>
  <c r="AF119" i="23"/>
  <c r="AG119" i="23" s="1"/>
  <c r="AF111" i="23"/>
  <c r="AG111" i="23" s="1"/>
  <c r="AF148" i="23"/>
  <c r="AG148" i="23" s="1"/>
  <c r="AF75" i="23"/>
  <c r="AG75" i="23" s="1"/>
  <c r="AF35" i="28"/>
  <c r="AG35" i="28" s="1"/>
  <c r="AF147" i="23"/>
  <c r="AG147" i="23" s="1"/>
  <c r="AF53" i="23"/>
  <c r="AG53" i="23" s="1"/>
  <c r="AF23" i="28"/>
  <c r="AG23" i="28" s="1"/>
  <c r="AF121" i="28"/>
  <c r="AG121" i="28" s="1"/>
  <c r="AF125" i="23"/>
  <c r="AG125" i="23" s="1"/>
  <c r="AF166" i="23"/>
  <c r="AG166" i="23" s="1"/>
  <c r="AF135" i="23"/>
  <c r="AG135" i="23" s="1"/>
  <c r="AF140" i="28"/>
  <c r="AG140" i="28" s="1"/>
  <c r="AF95" i="28"/>
  <c r="AG95" i="28" s="1"/>
  <c r="AF116" i="28"/>
  <c r="AG116" i="28" s="1"/>
  <c r="AF94" i="28"/>
  <c r="AG94" i="28" s="1"/>
  <c r="AF14" i="23"/>
  <c r="AG14" i="23" s="1"/>
  <c r="AF12" i="23"/>
  <c r="AG12" i="23" s="1"/>
  <c r="AF67" i="23"/>
  <c r="AG67" i="23" s="1"/>
  <c r="AF31" i="23"/>
  <c r="AG31" i="23" s="1"/>
  <c r="AF32" i="23"/>
  <c r="AG32" i="23" s="1"/>
  <c r="AF24" i="28"/>
  <c r="AG24" i="28" s="1"/>
  <c r="AF159" i="28"/>
  <c r="AG159" i="28" s="1"/>
  <c r="P178" i="28"/>
  <c r="J178" i="28"/>
  <c r="AF131" i="28"/>
  <c r="AG131" i="28" s="1"/>
  <c r="P142" i="9"/>
  <c r="P143" i="9" s="1"/>
  <c r="AF170" i="28"/>
  <c r="AG170" i="28" s="1"/>
  <c r="AF27" i="23"/>
  <c r="AG27" i="23" s="1"/>
  <c r="AF162" i="23"/>
  <c r="AG162" i="23" s="1"/>
  <c r="AF68" i="23"/>
  <c r="AG68" i="23" s="1"/>
  <c r="AF91" i="23"/>
  <c r="AG91" i="23" s="1"/>
  <c r="AF144" i="23"/>
  <c r="AG144" i="23" s="1"/>
  <c r="AF118" i="23"/>
  <c r="AG118" i="23" s="1"/>
  <c r="AF36" i="28"/>
  <c r="AG36" i="28" s="1"/>
  <c r="AF115" i="28"/>
  <c r="AG115" i="28" s="1"/>
  <c r="AF165" i="23"/>
  <c r="AG165" i="23" s="1"/>
  <c r="AF20" i="28"/>
  <c r="AG20" i="28" s="1"/>
  <c r="Y142" i="9"/>
  <c r="Y143" i="9" s="1"/>
  <c r="AF152" i="28"/>
  <c r="AG152" i="28" s="1"/>
  <c r="AE142" i="9"/>
  <c r="AE143" i="9" s="1"/>
  <c r="S142" i="9"/>
  <c r="S143" i="9" s="1"/>
  <c r="AF151" i="28"/>
  <c r="AG151" i="28" s="1"/>
  <c r="AF23" i="23"/>
  <c r="AG23" i="23" s="1"/>
  <c r="AF6" i="23"/>
  <c r="AG6" i="23" s="1"/>
  <c r="V142" i="9"/>
  <c r="V143" i="9" s="1"/>
  <c r="AF42" i="23"/>
  <c r="AG42" i="23" s="1"/>
  <c r="P177" i="28"/>
  <c r="M178" i="28"/>
  <c r="AF178" i="28" s="1"/>
  <c r="AG178" i="28" s="1"/>
  <c r="J142" i="9"/>
  <c r="J143" i="9" s="1"/>
  <c r="AB142" i="9"/>
  <c r="AB143" i="9" s="1"/>
  <c r="M142" i="9"/>
  <c r="M143" i="9" s="1"/>
  <c r="AF15" i="23"/>
  <c r="AG15" i="23" s="1"/>
  <c r="AF49" i="23"/>
  <c r="AG49" i="23" s="1"/>
  <c r="AF43" i="23"/>
  <c r="AG43" i="23" s="1"/>
  <c r="AF76" i="28"/>
  <c r="AG76" i="28" s="1"/>
  <c r="AF104" i="28"/>
  <c r="AG104" i="28" s="1"/>
  <c r="M177" i="28"/>
  <c r="AF92" i="28"/>
  <c r="AG92" i="28" s="1"/>
  <c r="AF105" i="28"/>
  <c r="AG105" i="28" s="1"/>
  <c r="AF5" i="23"/>
  <c r="AG5" i="23" s="1"/>
  <c r="AF97" i="23"/>
  <c r="AG97" i="23" s="1"/>
  <c r="AF96" i="23"/>
  <c r="AG96" i="23" s="1"/>
  <c r="AF76" i="23"/>
  <c r="AG76" i="23" s="1"/>
  <c r="AF152" i="23"/>
  <c r="AG152" i="23" s="1"/>
  <c r="AF50" i="23"/>
  <c r="AG50" i="23" s="1"/>
  <c r="AF112" i="23"/>
  <c r="AG112" i="23" s="1"/>
  <c r="AF177" i="28" l="1"/>
  <c r="AG177" i="28" s="1"/>
  <c r="J237" i="22" l="1"/>
  <c r="J197" i="22"/>
  <c r="J198" i="22" s="1"/>
  <c r="AF178" i="27"/>
  <c r="AG178" i="27" s="1"/>
  <c r="AF177" i="27"/>
  <c r="AG177" i="27" s="1"/>
  <c r="P173" i="27" l="1"/>
  <c r="P172" i="27"/>
  <c r="P171" i="27"/>
  <c r="P170" i="27"/>
  <c r="P169" i="27"/>
  <c r="P168" i="27"/>
  <c r="P167" i="27"/>
  <c r="P166" i="27"/>
  <c r="P165" i="27"/>
  <c r="P164" i="27"/>
  <c r="P163" i="27"/>
  <c r="P162" i="27"/>
  <c r="P161" i="27"/>
  <c r="P160" i="27"/>
  <c r="P159" i="27"/>
  <c r="P158" i="27"/>
  <c r="P155" i="27"/>
  <c r="P154" i="27"/>
  <c r="P153" i="27"/>
  <c r="P152" i="27"/>
  <c r="P151" i="27"/>
  <c r="P150" i="27"/>
  <c r="P149" i="27"/>
  <c r="P148" i="27"/>
  <c r="P147" i="27"/>
  <c r="P146" i="27"/>
  <c r="P143" i="27"/>
  <c r="P142" i="27"/>
  <c r="P141" i="27"/>
  <c r="P140" i="27"/>
  <c r="P139" i="27"/>
  <c r="P138" i="27"/>
  <c r="P137" i="27"/>
  <c r="P136" i="27"/>
  <c r="P135" i="27"/>
  <c r="P134" i="27"/>
  <c r="P133" i="27"/>
  <c r="P132" i="27"/>
  <c r="P131" i="27"/>
  <c r="P130" i="27"/>
  <c r="P129" i="27"/>
  <c r="P128" i="27"/>
  <c r="P127" i="27"/>
  <c r="P126" i="27"/>
  <c r="P125" i="27"/>
  <c r="P124" i="27"/>
  <c r="P123" i="27"/>
  <c r="P122" i="27"/>
  <c r="P121" i="27"/>
  <c r="P120" i="27"/>
  <c r="P119" i="27"/>
  <c r="P118" i="27"/>
  <c r="P117" i="27"/>
  <c r="P116" i="27"/>
  <c r="P115" i="27"/>
  <c r="P114" i="27"/>
  <c r="P113" i="27"/>
  <c r="P112" i="27"/>
  <c r="P111" i="27"/>
  <c r="P110" i="27"/>
  <c r="P109" i="27"/>
  <c r="P108" i="27"/>
  <c r="P107" i="27"/>
  <c r="P106" i="27"/>
  <c r="P105" i="27"/>
  <c r="P104" i="27"/>
  <c r="P103" i="27"/>
  <c r="P102" i="27"/>
  <c r="P101" i="27"/>
  <c r="P100" i="27"/>
  <c r="P99" i="27"/>
  <c r="P98" i="27"/>
  <c r="P97" i="27"/>
  <c r="P96" i="27"/>
  <c r="P95" i="27"/>
  <c r="P94" i="27"/>
  <c r="P93" i="27"/>
  <c r="P90" i="27"/>
  <c r="P89" i="27"/>
  <c r="P88" i="27"/>
  <c r="P87" i="27"/>
  <c r="P86" i="27"/>
  <c r="P85" i="27"/>
  <c r="P84" i="27"/>
  <c r="P83" i="27"/>
  <c r="P82" i="27"/>
  <c r="P81" i="27"/>
  <c r="P80" i="27"/>
  <c r="P79" i="27"/>
  <c r="P78" i="27"/>
  <c r="P77" i="27"/>
  <c r="P76" i="27"/>
  <c r="P75" i="27"/>
  <c r="P74" i="27"/>
  <c r="P73" i="27"/>
  <c r="P72" i="27"/>
  <c r="P71" i="27"/>
  <c r="P70" i="27"/>
  <c r="P69" i="27"/>
  <c r="P68" i="27"/>
  <c r="P67" i="27"/>
  <c r="P66" i="27"/>
  <c r="P65" i="27"/>
  <c r="P64" i="27"/>
  <c r="P63" i="27"/>
  <c r="P62" i="27"/>
  <c r="P61" i="27"/>
  <c r="P60" i="27"/>
  <c r="P59" i="27"/>
  <c r="P58" i="27"/>
  <c r="P57" i="27"/>
  <c r="P56" i="27"/>
  <c r="P55" i="27"/>
  <c r="P54" i="27"/>
  <c r="P53" i="27"/>
  <c r="P52" i="27"/>
  <c r="P51" i="27"/>
  <c r="P50" i="27"/>
  <c r="P49" i="27"/>
  <c r="P48" i="27"/>
  <c r="P47" i="27"/>
  <c r="P46" i="27"/>
  <c r="P45" i="27"/>
  <c r="P44" i="27"/>
  <c r="P43" i="27"/>
  <c r="P42" i="27"/>
  <c r="P41" i="27"/>
  <c r="P38" i="27"/>
  <c r="P37" i="27"/>
  <c r="P36" i="27"/>
  <c r="P35" i="27"/>
  <c r="P34" i="27"/>
  <c r="P33" i="27"/>
  <c r="P32" i="27"/>
  <c r="P31" i="27"/>
  <c r="P30" i="27"/>
  <c r="P29" i="27"/>
  <c r="P28" i="27"/>
  <c r="P27" i="27"/>
  <c r="P26" i="27"/>
  <c r="P25" i="27"/>
  <c r="P24" i="27"/>
  <c r="P23" i="27"/>
  <c r="P22" i="27"/>
  <c r="P21" i="27"/>
  <c r="P20" i="27"/>
  <c r="P19" i="27"/>
  <c r="P18" i="27"/>
  <c r="P17" i="27"/>
  <c r="P16" i="27"/>
  <c r="P15" i="27"/>
  <c r="P14" i="27"/>
  <c r="P13" i="27"/>
  <c r="P12" i="27"/>
  <c r="P11" i="27"/>
  <c r="P10" i="27"/>
  <c r="P9" i="27"/>
  <c r="P8" i="27"/>
  <c r="P7" i="27"/>
  <c r="P6" i="27"/>
  <c r="P5" i="27"/>
  <c r="P4" i="27"/>
  <c r="P3" i="27"/>
  <c r="P2" i="27"/>
  <c r="S173" i="27"/>
  <c r="S172" i="27"/>
  <c r="S171" i="27"/>
  <c r="S170" i="27"/>
  <c r="S169" i="27"/>
  <c r="S168" i="27"/>
  <c r="S167" i="27"/>
  <c r="S166" i="27"/>
  <c r="S165" i="27"/>
  <c r="S164" i="27"/>
  <c r="S163" i="27"/>
  <c r="S162" i="27"/>
  <c r="S161" i="27"/>
  <c r="S160" i="27"/>
  <c r="S159" i="27"/>
  <c r="S158" i="27"/>
  <c r="S155" i="27"/>
  <c r="S154" i="27"/>
  <c r="S153" i="27"/>
  <c r="S152" i="27"/>
  <c r="S151" i="27"/>
  <c r="S150" i="27"/>
  <c r="S149" i="27"/>
  <c r="S148" i="27"/>
  <c r="S147" i="27"/>
  <c r="S146" i="27"/>
  <c r="S143" i="27"/>
  <c r="S142" i="27"/>
  <c r="S141" i="27"/>
  <c r="S140" i="27"/>
  <c r="S139" i="27"/>
  <c r="S138" i="27"/>
  <c r="S137" i="27"/>
  <c r="S136" i="27"/>
  <c r="S135" i="27"/>
  <c r="S134" i="27"/>
  <c r="S133" i="27"/>
  <c r="S132" i="27"/>
  <c r="S131" i="27"/>
  <c r="S130" i="27"/>
  <c r="S129" i="27"/>
  <c r="S128" i="27"/>
  <c r="S127" i="27"/>
  <c r="S126" i="27"/>
  <c r="S125" i="27"/>
  <c r="S124" i="27"/>
  <c r="S123" i="27"/>
  <c r="S122" i="27"/>
  <c r="S121" i="27"/>
  <c r="S120" i="27"/>
  <c r="S119" i="27"/>
  <c r="S118" i="27"/>
  <c r="S117" i="27"/>
  <c r="S116" i="27"/>
  <c r="S115" i="27"/>
  <c r="S114" i="27"/>
  <c r="S113" i="27"/>
  <c r="S112" i="27"/>
  <c r="S111" i="27"/>
  <c r="S110" i="27"/>
  <c r="S109" i="27"/>
  <c r="S108" i="27"/>
  <c r="S107" i="27"/>
  <c r="S106" i="27"/>
  <c r="S105" i="27"/>
  <c r="S104" i="27"/>
  <c r="S103" i="27"/>
  <c r="S102" i="27"/>
  <c r="S101" i="27"/>
  <c r="S100" i="27"/>
  <c r="S99" i="27"/>
  <c r="S98" i="27"/>
  <c r="S97" i="27"/>
  <c r="S96" i="27"/>
  <c r="S95" i="27"/>
  <c r="S94" i="27"/>
  <c r="S93" i="27"/>
  <c r="S90" i="27"/>
  <c r="S89" i="27"/>
  <c r="S88" i="27"/>
  <c r="S87" i="27"/>
  <c r="S86" i="27"/>
  <c r="S85" i="27"/>
  <c r="S84" i="27"/>
  <c r="S83" i="27"/>
  <c r="S82" i="27"/>
  <c r="S81" i="27"/>
  <c r="S80" i="27"/>
  <c r="S79" i="27"/>
  <c r="S78" i="27"/>
  <c r="S77" i="27"/>
  <c r="S76" i="27"/>
  <c r="S75" i="27"/>
  <c r="S74" i="27"/>
  <c r="S73" i="27"/>
  <c r="S72" i="27"/>
  <c r="S71" i="27"/>
  <c r="S70" i="27"/>
  <c r="S69" i="27"/>
  <c r="S68" i="27"/>
  <c r="S67" i="27"/>
  <c r="S66" i="27"/>
  <c r="S65" i="27"/>
  <c r="S64" i="27"/>
  <c r="S63" i="27"/>
  <c r="S62" i="27"/>
  <c r="S61" i="27"/>
  <c r="S60" i="27"/>
  <c r="S59" i="27"/>
  <c r="S58" i="27"/>
  <c r="S57" i="27"/>
  <c r="S56" i="27"/>
  <c r="S55" i="27"/>
  <c r="S54" i="27"/>
  <c r="S53" i="27"/>
  <c r="S52" i="27"/>
  <c r="S51" i="27"/>
  <c r="S50" i="27"/>
  <c r="S49" i="27"/>
  <c r="S48" i="27"/>
  <c r="S47" i="27"/>
  <c r="S46" i="27"/>
  <c r="S45" i="27"/>
  <c r="S44" i="27"/>
  <c r="S43" i="27"/>
  <c r="S42" i="27"/>
  <c r="S41"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9" i="27"/>
  <c r="S8" i="27"/>
  <c r="S7" i="27"/>
  <c r="S6" i="27"/>
  <c r="S5" i="27"/>
  <c r="S4" i="27"/>
  <c r="S3" i="27"/>
  <c r="S2" i="27"/>
  <c r="V173" i="27"/>
  <c r="V172" i="27"/>
  <c r="V171" i="27"/>
  <c r="V170" i="27"/>
  <c r="V169" i="27"/>
  <c r="V168" i="27"/>
  <c r="V167" i="27"/>
  <c r="V166" i="27"/>
  <c r="V165" i="27"/>
  <c r="V164" i="27"/>
  <c r="V163" i="27"/>
  <c r="V162" i="27"/>
  <c r="V161" i="27"/>
  <c r="V160" i="27"/>
  <c r="V159" i="27"/>
  <c r="V158" i="27"/>
  <c r="V155" i="27"/>
  <c r="V154" i="27"/>
  <c r="V153" i="27"/>
  <c r="V152" i="27"/>
  <c r="V151" i="27"/>
  <c r="V150" i="27"/>
  <c r="V149" i="27"/>
  <c r="V148" i="27"/>
  <c r="V147" i="27"/>
  <c r="V146" i="27"/>
  <c r="V143" i="27"/>
  <c r="V142" i="27"/>
  <c r="V141" i="27"/>
  <c r="V140" i="27"/>
  <c r="V139" i="27"/>
  <c r="V138" i="27"/>
  <c r="V137" i="27"/>
  <c r="V136" i="27"/>
  <c r="V135" i="27"/>
  <c r="V134" i="27"/>
  <c r="V133" i="27"/>
  <c r="V132" i="27"/>
  <c r="V131" i="27"/>
  <c r="V130" i="27"/>
  <c r="V129" i="27"/>
  <c r="V128" i="27"/>
  <c r="V127" i="27"/>
  <c r="V126" i="27"/>
  <c r="V125" i="27"/>
  <c r="V124" i="27"/>
  <c r="V123" i="27"/>
  <c r="V122" i="27"/>
  <c r="V121" i="27"/>
  <c r="V120" i="27"/>
  <c r="V119" i="27"/>
  <c r="V118" i="27"/>
  <c r="V117" i="27"/>
  <c r="V116" i="27"/>
  <c r="V115" i="27"/>
  <c r="V114" i="27"/>
  <c r="V113" i="27"/>
  <c r="V112" i="27"/>
  <c r="V111" i="27"/>
  <c r="V110" i="27"/>
  <c r="V109" i="27"/>
  <c r="V108" i="27"/>
  <c r="V107" i="27"/>
  <c r="V106" i="27"/>
  <c r="V105" i="27"/>
  <c r="V104" i="27"/>
  <c r="V103" i="27"/>
  <c r="V102" i="27"/>
  <c r="V101" i="27"/>
  <c r="V100" i="27"/>
  <c r="V99" i="27"/>
  <c r="V98" i="27"/>
  <c r="V97" i="27"/>
  <c r="V96" i="27"/>
  <c r="V95" i="27"/>
  <c r="V94" i="27"/>
  <c r="V93" i="27"/>
  <c r="V90" i="27"/>
  <c r="V89" i="27"/>
  <c r="V88" i="27"/>
  <c r="V87" i="27"/>
  <c r="V86" i="27"/>
  <c r="V85" i="27"/>
  <c r="V84" i="27"/>
  <c r="V83" i="27"/>
  <c r="V82" i="27"/>
  <c r="V81" i="27"/>
  <c r="V80" i="27"/>
  <c r="V79" i="27"/>
  <c r="V78" i="27"/>
  <c r="V77" i="27"/>
  <c r="V76" i="27"/>
  <c r="V75" i="27"/>
  <c r="V74" i="27"/>
  <c r="V73" i="27"/>
  <c r="V72" i="27"/>
  <c r="V71" i="27"/>
  <c r="V70" i="27"/>
  <c r="V69" i="27"/>
  <c r="V68" i="27"/>
  <c r="V67" i="27"/>
  <c r="V66" i="27"/>
  <c r="V65" i="27"/>
  <c r="V64" i="27"/>
  <c r="V63" i="27"/>
  <c r="V62" i="27"/>
  <c r="V61" i="27"/>
  <c r="V60" i="27"/>
  <c r="V59" i="27"/>
  <c r="V58" i="27"/>
  <c r="V57" i="27"/>
  <c r="V56" i="27"/>
  <c r="V55" i="27"/>
  <c r="V54" i="27"/>
  <c r="V53" i="27"/>
  <c r="V52" i="27"/>
  <c r="V51" i="27"/>
  <c r="V50" i="27"/>
  <c r="V49" i="27"/>
  <c r="V48" i="27"/>
  <c r="V47" i="27"/>
  <c r="V46" i="27"/>
  <c r="V45" i="27"/>
  <c r="V44" i="27"/>
  <c r="V43" i="27"/>
  <c r="V42" i="27"/>
  <c r="V41" i="27"/>
  <c r="V38" i="27"/>
  <c r="V37" i="27"/>
  <c r="V36" i="27"/>
  <c r="V35" i="27"/>
  <c r="V34" i="27"/>
  <c r="V33" i="27"/>
  <c r="V32" i="27"/>
  <c r="V31" i="27"/>
  <c r="V30" i="27"/>
  <c r="V29" i="27"/>
  <c r="V28" i="27"/>
  <c r="V27" i="27"/>
  <c r="V26" i="27"/>
  <c r="V25" i="27"/>
  <c r="V24" i="27"/>
  <c r="V23" i="27"/>
  <c r="V22" i="27"/>
  <c r="V21" i="27"/>
  <c r="V20" i="27"/>
  <c r="V19" i="27"/>
  <c r="V18" i="27"/>
  <c r="V17" i="27"/>
  <c r="V16" i="27"/>
  <c r="V15" i="27"/>
  <c r="V14" i="27"/>
  <c r="V13" i="27"/>
  <c r="V12" i="27"/>
  <c r="V11" i="27"/>
  <c r="V10" i="27"/>
  <c r="V9" i="27"/>
  <c r="V8" i="27"/>
  <c r="V7" i="27"/>
  <c r="V6" i="27"/>
  <c r="V5" i="27"/>
  <c r="V4" i="27"/>
  <c r="V3" i="27"/>
  <c r="V2" i="27"/>
  <c r="Y173" i="27"/>
  <c r="Y172" i="27"/>
  <c r="Y171" i="27"/>
  <c r="Y170" i="27"/>
  <c r="Y169" i="27"/>
  <c r="Y168" i="27"/>
  <c r="Y167" i="27"/>
  <c r="Y166" i="27"/>
  <c r="Y165" i="27"/>
  <c r="Y164" i="27"/>
  <c r="Y163" i="27"/>
  <c r="Y162" i="27"/>
  <c r="Y161" i="27"/>
  <c r="Y160" i="27"/>
  <c r="Y159" i="27"/>
  <c r="Y158" i="27"/>
  <c r="Y155" i="27"/>
  <c r="Y154" i="27"/>
  <c r="Y153" i="27"/>
  <c r="Y152" i="27"/>
  <c r="Y151" i="27"/>
  <c r="Y150" i="27"/>
  <c r="Y149" i="27"/>
  <c r="Y148" i="27"/>
  <c r="Y147" i="27"/>
  <c r="Y146" i="27"/>
  <c r="Y143" i="27"/>
  <c r="Y142" i="27"/>
  <c r="Y141" i="27"/>
  <c r="Y140" i="27"/>
  <c r="Y139" i="27"/>
  <c r="Y138" i="27"/>
  <c r="Y137" i="27"/>
  <c r="Y136" i="27"/>
  <c r="Y135" i="27"/>
  <c r="Y134" i="27"/>
  <c r="Y133" i="27"/>
  <c r="Y132" i="27"/>
  <c r="Y131" i="27"/>
  <c r="Y130" i="27"/>
  <c r="Y129" i="27"/>
  <c r="Y128" i="27"/>
  <c r="Y127" i="27"/>
  <c r="Y126" i="27"/>
  <c r="Y125" i="27"/>
  <c r="Y124" i="27"/>
  <c r="Y123" i="27"/>
  <c r="Y122" i="27"/>
  <c r="Y121" i="27"/>
  <c r="Y120"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4" i="27"/>
  <c r="Y93" i="27"/>
  <c r="Y90" i="27"/>
  <c r="Y89" i="27"/>
  <c r="Y88" i="27"/>
  <c r="Y87" i="27"/>
  <c r="Y86" i="27"/>
  <c r="Y85" i="27"/>
  <c r="Y84" i="27"/>
  <c r="Y83" i="27"/>
  <c r="Y82" i="27"/>
  <c r="Y81" i="27"/>
  <c r="Y80" i="27"/>
  <c r="Y79" i="27"/>
  <c r="Y78" i="27"/>
  <c r="Y77" i="27"/>
  <c r="Y76" i="27"/>
  <c r="Y75" i="27"/>
  <c r="Y74" i="27"/>
  <c r="Y73" i="27"/>
  <c r="Y72" i="27"/>
  <c r="Y71" i="27"/>
  <c r="Y70" i="27"/>
  <c r="Y69" i="27"/>
  <c r="Y68" i="27"/>
  <c r="Y67" i="27"/>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Y9" i="27"/>
  <c r="Y8" i="27"/>
  <c r="Y7" i="27"/>
  <c r="Y6" i="27"/>
  <c r="Y5" i="27"/>
  <c r="Y4" i="27"/>
  <c r="Y3" i="27"/>
  <c r="Y2" i="27"/>
  <c r="AB173" i="27"/>
  <c r="AB172" i="27"/>
  <c r="AB171" i="27"/>
  <c r="AB170" i="27"/>
  <c r="AB169" i="27"/>
  <c r="AB168" i="27"/>
  <c r="AB167" i="27"/>
  <c r="AB166" i="27"/>
  <c r="AB165" i="27"/>
  <c r="AB164" i="27"/>
  <c r="AB163" i="27"/>
  <c r="AB162" i="27"/>
  <c r="AB161" i="27"/>
  <c r="AB160" i="27"/>
  <c r="AB159" i="27"/>
  <c r="AB158" i="27"/>
  <c r="AB155" i="27"/>
  <c r="AB154" i="27"/>
  <c r="AB153" i="27"/>
  <c r="AB152" i="27"/>
  <c r="AB151" i="27"/>
  <c r="AB150" i="27"/>
  <c r="AB149" i="27"/>
  <c r="AB148" i="27"/>
  <c r="AB147" i="27"/>
  <c r="AB146" i="27"/>
  <c r="AB143" i="27"/>
  <c r="AB142" i="27"/>
  <c r="AB141" i="27"/>
  <c r="AB140" i="27"/>
  <c r="AB139" i="27"/>
  <c r="AB138" i="27"/>
  <c r="AB137" i="27"/>
  <c r="AB136" i="27"/>
  <c r="AB135" i="27"/>
  <c r="AB134" i="27"/>
  <c r="AB133" i="27"/>
  <c r="AB132" i="27"/>
  <c r="AB131" i="27"/>
  <c r="AB130" i="27"/>
  <c r="AB129" i="27"/>
  <c r="AB128" i="27"/>
  <c r="AB127" i="27"/>
  <c r="AB126" i="27"/>
  <c r="AB125" i="27"/>
  <c r="AB124" i="27"/>
  <c r="AB123" i="27"/>
  <c r="AB122" i="27"/>
  <c r="AB121" i="27"/>
  <c r="AB120" i="27"/>
  <c r="AB119" i="27"/>
  <c r="AB118" i="27"/>
  <c r="AB117" i="27"/>
  <c r="AB116" i="27"/>
  <c r="AB115" i="27"/>
  <c r="AB114" i="27"/>
  <c r="AB113" i="27"/>
  <c r="AB112" i="27"/>
  <c r="AB111" i="27"/>
  <c r="AB110" i="27"/>
  <c r="AB109" i="27"/>
  <c r="AB108" i="27"/>
  <c r="AB107" i="27"/>
  <c r="AB106" i="27"/>
  <c r="AB105" i="27"/>
  <c r="AB104" i="27"/>
  <c r="AB103" i="27"/>
  <c r="AB102" i="27"/>
  <c r="AB101" i="27"/>
  <c r="AB100" i="27"/>
  <c r="AB99" i="27"/>
  <c r="AB98" i="27"/>
  <c r="AB97" i="27"/>
  <c r="AB96" i="27"/>
  <c r="AB95" i="27"/>
  <c r="AB94" i="27"/>
  <c r="AB93" i="27"/>
  <c r="AB90" i="27"/>
  <c r="AB89" i="27"/>
  <c r="AB88" i="27"/>
  <c r="AB87" i="27"/>
  <c r="AB86" i="27"/>
  <c r="AB85" i="27"/>
  <c r="AB84" i="27"/>
  <c r="AB83" i="27"/>
  <c r="AB82" i="27"/>
  <c r="AB81" i="27"/>
  <c r="AB80" i="27"/>
  <c r="AB79" i="27"/>
  <c r="AB78" i="27"/>
  <c r="AB77" i="27"/>
  <c r="AB76" i="27"/>
  <c r="AB75" i="27"/>
  <c r="AB74" i="27"/>
  <c r="AB73" i="27"/>
  <c r="AB72" i="27"/>
  <c r="AB71" i="27"/>
  <c r="AB70" i="27"/>
  <c r="AB69" i="27"/>
  <c r="AB68" i="27"/>
  <c r="AB67" i="27"/>
  <c r="AB66" i="27"/>
  <c r="AB65" i="27"/>
  <c r="AB64" i="27"/>
  <c r="AB63" i="27"/>
  <c r="AB62" i="27"/>
  <c r="AB61" i="27"/>
  <c r="AB60" i="27"/>
  <c r="AB59" i="27"/>
  <c r="AB58" i="27"/>
  <c r="AB57" i="27"/>
  <c r="AB56" i="27"/>
  <c r="AB55" i="27"/>
  <c r="AB54" i="27"/>
  <c r="AB53" i="27"/>
  <c r="AB52" i="27"/>
  <c r="AB51" i="27"/>
  <c r="AB50" i="27"/>
  <c r="AB49" i="27"/>
  <c r="AB48" i="27"/>
  <c r="AB47" i="27"/>
  <c r="AB46" i="27"/>
  <c r="AB45" i="27"/>
  <c r="AB44" i="27"/>
  <c r="AB43" i="27"/>
  <c r="AB42" i="27"/>
  <c r="AB41" i="27"/>
  <c r="AB38" i="27"/>
  <c r="AB37" i="27"/>
  <c r="AB36" i="27"/>
  <c r="AB35" i="27"/>
  <c r="AB34" i="27"/>
  <c r="AB33" i="27"/>
  <c r="AB32" i="27"/>
  <c r="AB31" i="27"/>
  <c r="AB30" i="27"/>
  <c r="AB29" i="27"/>
  <c r="AB28" i="27"/>
  <c r="AB27" i="27"/>
  <c r="AB26" i="27"/>
  <c r="AB25" i="27"/>
  <c r="AB24" i="27"/>
  <c r="AB23" i="27"/>
  <c r="AB22" i="27"/>
  <c r="AB21" i="27"/>
  <c r="AB20" i="27"/>
  <c r="AB19" i="27"/>
  <c r="AB18" i="27"/>
  <c r="AB17" i="27"/>
  <c r="AB16" i="27"/>
  <c r="AB15" i="27"/>
  <c r="AB14" i="27"/>
  <c r="AB13" i="27"/>
  <c r="AB12" i="27"/>
  <c r="AB11" i="27"/>
  <c r="AB10" i="27"/>
  <c r="AB9" i="27"/>
  <c r="AB8" i="27"/>
  <c r="AB7" i="27"/>
  <c r="AB6" i="27"/>
  <c r="AB5" i="27"/>
  <c r="AB4" i="27"/>
  <c r="AB3" i="27"/>
  <c r="AB2" i="27"/>
  <c r="AE173" i="27"/>
  <c r="AE172" i="27"/>
  <c r="AE171" i="27"/>
  <c r="AE170" i="27"/>
  <c r="AE169" i="27"/>
  <c r="AE168" i="27"/>
  <c r="AE167" i="27"/>
  <c r="AE166" i="27"/>
  <c r="AE165" i="27"/>
  <c r="AE164" i="27"/>
  <c r="AE163" i="27"/>
  <c r="AE162" i="27"/>
  <c r="AE161" i="27"/>
  <c r="AE160" i="27"/>
  <c r="AE159" i="27"/>
  <c r="AE158" i="27"/>
  <c r="AE155" i="27"/>
  <c r="AE154" i="27"/>
  <c r="AE153" i="27"/>
  <c r="AE152" i="27"/>
  <c r="AE151" i="27"/>
  <c r="AE150" i="27"/>
  <c r="AE149" i="27"/>
  <c r="AE148" i="27"/>
  <c r="AE147" i="27"/>
  <c r="AE146" i="27"/>
  <c r="AE143" i="27"/>
  <c r="AE142" i="27"/>
  <c r="AE141" i="27"/>
  <c r="AE140" i="27"/>
  <c r="AE139" i="27"/>
  <c r="AE138" i="27"/>
  <c r="AE137" i="27"/>
  <c r="AE136" i="27"/>
  <c r="AE135" i="27"/>
  <c r="AE134" i="27"/>
  <c r="AE133" i="27"/>
  <c r="AE132" i="27"/>
  <c r="AE131" i="27"/>
  <c r="AE130" i="27"/>
  <c r="AE129" i="27"/>
  <c r="AE128" i="27"/>
  <c r="AE127" i="27"/>
  <c r="AE126" i="27"/>
  <c r="AE125" i="27"/>
  <c r="AE124" i="27"/>
  <c r="AE123" i="27"/>
  <c r="AE122" i="27"/>
  <c r="AE121" i="27"/>
  <c r="AE120" i="27"/>
  <c r="AE119" i="27"/>
  <c r="AE118" i="27"/>
  <c r="AE117" i="27"/>
  <c r="AE116" i="27"/>
  <c r="AE115" i="27"/>
  <c r="AE114" i="27"/>
  <c r="AE113" i="27"/>
  <c r="AE112" i="27"/>
  <c r="AE111" i="27"/>
  <c r="AE110" i="27"/>
  <c r="AE109" i="27"/>
  <c r="AE108" i="27"/>
  <c r="AE107" i="27"/>
  <c r="AE106" i="27"/>
  <c r="AE105" i="27"/>
  <c r="AE104" i="27"/>
  <c r="AE103" i="27"/>
  <c r="AE102" i="27"/>
  <c r="AE101" i="27"/>
  <c r="AE100" i="27"/>
  <c r="AE99" i="27"/>
  <c r="AE98" i="27"/>
  <c r="AE97" i="27"/>
  <c r="AE96" i="27"/>
  <c r="AE95" i="27"/>
  <c r="AE94" i="27"/>
  <c r="AE93" i="27"/>
  <c r="AE90" i="27"/>
  <c r="AE89" i="27"/>
  <c r="AE88" i="27"/>
  <c r="AE87" i="27"/>
  <c r="AE86" i="27"/>
  <c r="AE85" i="27"/>
  <c r="AE84" i="27"/>
  <c r="AE83" i="27"/>
  <c r="AE82" i="27"/>
  <c r="AE81" i="27"/>
  <c r="AE80" i="27"/>
  <c r="AE79" i="27"/>
  <c r="AE78" i="27"/>
  <c r="AE77" i="27"/>
  <c r="AE76" i="27"/>
  <c r="AE75" i="27"/>
  <c r="AE74" i="27"/>
  <c r="AE73" i="27"/>
  <c r="AE72" i="27"/>
  <c r="AE71" i="27"/>
  <c r="AE70" i="27"/>
  <c r="AE69" i="27"/>
  <c r="AE68" i="27"/>
  <c r="AE67" i="27"/>
  <c r="AE66" i="27"/>
  <c r="AE65" i="27"/>
  <c r="AE64" i="27"/>
  <c r="AE63" i="27"/>
  <c r="AE62" i="27"/>
  <c r="AE61" i="27"/>
  <c r="AE60" i="27"/>
  <c r="AE59" i="27"/>
  <c r="AE58" i="27"/>
  <c r="AE57" i="27"/>
  <c r="AE56" i="27"/>
  <c r="AE55" i="27"/>
  <c r="AE54" i="27"/>
  <c r="AE53" i="27"/>
  <c r="AE52" i="27"/>
  <c r="AE51" i="27"/>
  <c r="AE50" i="27"/>
  <c r="AE49" i="27"/>
  <c r="AE48" i="27"/>
  <c r="AE47" i="27"/>
  <c r="AE46" i="27"/>
  <c r="AE45" i="27"/>
  <c r="AE44" i="27"/>
  <c r="AE43" i="27"/>
  <c r="AE42" i="27"/>
  <c r="AE41" i="27"/>
  <c r="AE38" i="27"/>
  <c r="AE37" i="27"/>
  <c r="AE36" i="27"/>
  <c r="AE35" i="27"/>
  <c r="AE34" i="27"/>
  <c r="AE33" i="27"/>
  <c r="AE32" i="27"/>
  <c r="AE31" i="27"/>
  <c r="AE30" i="27"/>
  <c r="AE29" i="27"/>
  <c r="AE28" i="27"/>
  <c r="AE27" i="27"/>
  <c r="AE26" i="27"/>
  <c r="AE25" i="27"/>
  <c r="AE24" i="27"/>
  <c r="AE23" i="27"/>
  <c r="AE22" i="27"/>
  <c r="AE21" i="27"/>
  <c r="AE20" i="27"/>
  <c r="AE19" i="27"/>
  <c r="AE18" i="27"/>
  <c r="AE17" i="27"/>
  <c r="AE16" i="27"/>
  <c r="AE15" i="27"/>
  <c r="AE14" i="27"/>
  <c r="AE13" i="27"/>
  <c r="AE12" i="27"/>
  <c r="AE11" i="27"/>
  <c r="AE10" i="27"/>
  <c r="AE9" i="27"/>
  <c r="AE8" i="27"/>
  <c r="AE7" i="27"/>
  <c r="AE6" i="27"/>
  <c r="AE5" i="27"/>
  <c r="AE4" i="27"/>
  <c r="AE3" i="27"/>
  <c r="AE2" i="27"/>
  <c r="M173" i="27"/>
  <c r="M172" i="27"/>
  <c r="M171" i="27"/>
  <c r="M170" i="27"/>
  <c r="M169" i="27"/>
  <c r="M168" i="27"/>
  <c r="M167" i="27"/>
  <c r="M166" i="27"/>
  <c r="M165" i="27"/>
  <c r="M164" i="27"/>
  <c r="M163" i="27"/>
  <c r="M162" i="27"/>
  <c r="M161" i="27"/>
  <c r="M160" i="27"/>
  <c r="M159" i="27"/>
  <c r="M158" i="27"/>
  <c r="M155" i="27"/>
  <c r="M154" i="27"/>
  <c r="M153" i="27"/>
  <c r="M152" i="27"/>
  <c r="M151" i="27"/>
  <c r="M150" i="27"/>
  <c r="M149" i="27"/>
  <c r="M148" i="27"/>
  <c r="M147" i="27"/>
  <c r="M146" i="27"/>
  <c r="M143" i="27"/>
  <c r="M142" i="27"/>
  <c r="M141" i="27"/>
  <c r="M140" i="27"/>
  <c r="M139" i="27"/>
  <c r="M138" i="27"/>
  <c r="M137" i="27"/>
  <c r="M136" i="27"/>
  <c r="M135" i="27"/>
  <c r="M134" i="27"/>
  <c r="M133" i="27"/>
  <c r="M132" i="27"/>
  <c r="M131" i="27"/>
  <c r="M130" i="27"/>
  <c r="M129" i="27"/>
  <c r="M128" i="27"/>
  <c r="M127" i="27"/>
  <c r="M126" i="27"/>
  <c r="M125" i="27"/>
  <c r="M124" i="27"/>
  <c r="M123" i="27"/>
  <c r="M122" i="27"/>
  <c r="M121" i="27"/>
  <c r="M120" i="27"/>
  <c r="M119" i="27"/>
  <c r="M118" i="27"/>
  <c r="M117" i="27"/>
  <c r="M116" i="27"/>
  <c r="M115" i="27"/>
  <c r="M114" i="27"/>
  <c r="M113" i="27"/>
  <c r="M112" i="27"/>
  <c r="M111" i="27"/>
  <c r="M110" i="27"/>
  <c r="M109" i="27"/>
  <c r="M108" i="27"/>
  <c r="M107" i="27"/>
  <c r="M106" i="27"/>
  <c r="M105" i="27"/>
  <c r="M104" i="27"/>
  <c r="M103" i="27"/>
  <c r="M102" i="27"/>
  <c r="M101" i="27"/>
  <c r="M100" i="27"/>
  <c r="M99" i="27"/>
  <c r="M98" i="27"/>
  <c r="M97" i="27"/>
  <c r="M96" i="27"/>
  <c r="M95" i="27"/>
  <c r="M94" i="27"/>
  <c r="M93" i="27"/>
  <c r="M90" i="27"/>
  <c r="M89" i="27"/>
  <c r="M88" i="27"/>
  <c r="M87" i="27"/>
  <c r="M86" i="27"/>
  <c r="M85" i="27"/>
  <c r="M84" i="27"/>
  <c r="M83" i="27"/>
  <c r="M82" i="27"/>
  <c r="M81" i="27"/>
  <c r="M80" i="27"/>
  <c r="M79" i="27"/>
  <c r="M78" i="27"/>
  <c r="M77" i="27"/>
  <c r="M76" i="27"/>
  <c r="M75" i="27"/>
  <c r="M74" i="27"/>
  <c r="M73" i="27"/>
  <c r="M72" i="27"/>
  <c r="M71" i="27"/>
  <c r="M70" i="27"/>
  <c r="M69" i="27"/>
  <c r="M68" i="27"/>
  <c r="M67" i="27"/>
  <c r="M66" i="27"/>
  <c r="M65" i="27"/>
  <c r="M64" i="27"/>
  <c r="M63" i="27"/>
  <c r="M62" i="27"/>
  <c r="M61" i="27"/>
  <c r="M60" i="27"/>
  <c r="M59" i="27"/>
  <c r="M58" i="27"/>
  <c r="M57" i="27"/>
  <c r="M56" i="27"/>
  <c r="M55" i="27"/>
  <c r="M54" i="27"/>
  <c r="M53" i="27"/>
  <c r="M52" i="27"/>
  <c r="M51" i="27"/>
  <c r="M50" i="27"/>
  <c r="M49" i="27"/>
  <c r="M48" i="27"/>
  <c r="M47" i="27"/>
  <c r="M46" i="27"/>
  <c r="M45" i="27"/>
  <c r="M44" i="27"/>
  <c r="M43" i="27"/>
  <c r="M42" i="27"/>
  <c r="M41" i="27"/>
  <c r="M38"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M9" i="27"/>
  <c r="M8" i="27"/>
  <c r="M7" i="27"/>
  <c r="M6" i="27"/>
  <c r="M5" i="27"/>
  <c r="M4" i="27"/>
  <c r="M3" i="27"/>
  <c r="M2" i="27"/>
  <c r="J173" i="27"/>
  <c r="AF173" i="27" s="1"/>
  <c r="AG173" i="27" s="1"/>
  <c r="J172" i="27"/>
  <c r="J171" i="27"/>
  <c r="AF171" i="27" s="1"/>
  <c r="AG171" i="27" s="1"/>
  <c r="J170" i="27"/>
  <c r="AF170" i="27" s="1"/>
  <c r="AG170" i="27" s="1"/>
  <c r="J169" i="27"/>
  <c r="J168" i="27"/>
  <c r="J167" i="27"/>
  <c r="J166" i="27"/>
  <c r="J165" i="27"/>
  <c r="AF165" i="27" s="1"/>
  <c r="AG165" i="27" s="1"/>
  <c r="J164" i="27"/>
  <c r="J163" i="27"/>
  <c r="AF163" i="27" s="1"/>
  <c r="AG163" i="27" s="1"/>
  <c r="J162" i="27"/>
  <c r="AF162" i="27" s="1"/>
  <c r="AG162" i="27" s="1"/>
  <c r="J161" i="27"/>
  <c r="J160" i="27"/>
  <c r="J159" i="27"/>
  <c r="J158" i="27"/>
  <c r="J155" i="27"/>
  <c r="AF155" i="27" s="1"/>
  <c r="AG155" i="27" s="1"/>
  <c r="J154" i="27"/>
  <c r="J153" i="27"/>
  <c r="AF153" i="27" s="1"/>
  <c r="AG153" i="27" s="1"/>
  <c r="J152" i="27"/>
  <c r="AF152" i="27" s="1"/>
  <c r="AG152" i="27" s="1"/>
  <c r="J151" i="27"/>
  <c r="J150" i="27"/>
  <c r="J149" i="27"/>
  <c r="J148" i="27"/>
  <c r="J147" i="27"/>
  <c r="AF147" i="27" s="1"/>
  <c r="AG147" i="27" s="1"/>
  <c r="J146" i="27"/>
  <c r="J143" i="27"/>
  <c r="AF143" i="27" s="1"/>
  <c r="AG143" i="27" s="1"/>
  <c r="J142" i="27"/>
  <c r="AF142" i="27" s="1"/>
  <c r="AG142" i="27" s="1"/>
  <c r="J141" i="27"/>
  <c r="J140" i="27"/>
  <c r="J139" i="27"/>
  <c r="J138" i="27"/>
  <c r="J137" i="27"/>
  <c r="AF137" i="27" s="1"/>
  <c r="AG137" i="27" s="1"/>
  <c r="J136" i="27"/>
  <c r="J135" i="27"/>
  <c r="AF135" i="27" s="1"/>
  <c r="AG135" i="27" s="1"/>
  <c r="J134" i="27"/>
  <c r="AF134" i="27" s="1"/>
  <c r="AG134" i="27" s="1"/>
  <c r="J133" i="27"/>
  <c r="J132" i="27"/>
  <c r="J131" i="27"/>
  <c r="J130" i="27"/>
  <c r="J129" i="27"/>
  <c r="AF129" i="27" s="1"/>
  <c r="AG129" i="27" s="1"/>
  <c r="J128" i="27"/>
  <c r="J127" i="27"/>
  <c r="AF127" i="27" s="1"/>
  <c r="AG127" i="27" s="1"/>
  <c r="J126" i="27"/>
  <c r="AF126" i="27" s="1"/>
  <c r="AG126" i="27" s="1"/>
  <c r="J125" i="27"/>
  <c r="J124" i="27"/>
  <c r="J123" i="27"/>
  <c r="J122" i="27"/>
  <c r="J121" i="27"/>
  <c r="AF121" i="27" s="1"/>
  <c r="AG121" i="27" s="1"/>
  <c r="J120" i="27"/>
  <c r="J119" i="27"/>
  <c r="AF119" i="27" s="1"/>
  <c r="AG119" i="27" s="1"/>
  <c r="J118" i="27"/>
  <c r="AF118" i="27" s="1"/>
  <c r="AG118" i="27" s="1"/>
  <c r="J117" i="27"/>
  <c r="J116" i="27"/>
  <c r="J115" i="27"/>
  <c r="J114" i="27"/>
  <c r="J113" i="27"/>
  <c r="AF113" i="27" s="1"/>
  <c r="AG113" i="27" s="1"/>
  <c r="J112" i="27"/>
  <c r="J111" i="27"/>
  <c r="AF111" i="27" s="1"/>
  <c r="AG111" i="27" s="1"/>
  <c r="J110" i="27"/>
  <c r="AF110" i="27" s="1"/>
  <c r="AG110" i="27" s="1"/>
  <c r="J109" i="27"/>
  <c r="J108" i="27"/>
  <c r="J107" i="27"/>
  <c r="J106" i="27"/>
  <c r="J105" i="27"/>
  <c r="AF105" i="27" s="1"/>
  <c r="AG105" i="27" s="1"/>
  <c r="J104" i="27"/>
  <c r="J103" i="27"/>
  <c r="AF103" i="27" s="1"/>
  <c r="AG103" i="27" s="1"/>
  <c r="J102" i="27"/>
  <c r="AF102" i="27" s="1"/>
  <c r="AG102" i="27" s="1"/>
  <c r="J101" i="27"/>
  <c r="J100" i="27"/>
  <c r="J99" i="27"/>
  <c r="J98" i="27"/>
  <c r="J97" i="27"/>
  <c r="AF97" i="27" s="1"/>
  <c r="AG97" i="27" s="1"/>
  <c r="J96" i="27"/>
  <c r="J95" i="27"/>
  <c r="AF95" i="27" s="1"/>
  <c r="AG95" i="27" s="1"/>
  <c r="J94" i="27"/>
  <c r="AF94" i="27" s="1"/>
  <c r="AG94" i="27" s="1"/>
  <c r="J93" i="27"/>
  <c r="J90" i="27"/>
  <c r="J89" i="27"/>
  <c r="J88" i="27"/>
  <c r="J87" i="27"/>
  <c r="AF87" i="27" s="1"/>
  <c r="AG87" i="27" s="1"/>
  <c r="J86" i="27"/>
  <c r="J85" i="27"/>
  <c r="AF85" i="27" s="1"/>
  <c r="AG85" i="27" s="1"/>
  <c r="J84" i="27"/>
  <c r="AF84" i="27" s="1"/>
  <c r="AG84" i="27" s="1"/>
  <c r="J83" i="27"/>
  <c r="J82" i="27"/>
  <c r="J81" i="27"/>
  <c r="J80" i="27"/>
  <c r="J79" i="27"/>
  <c r="AF79" i="27" s="1"/>
  <c r="AG79" i="27" s="1"/>
  <c r="J78" i="27"/>
  <c r="J77" i="27"/>
  <c r="AF77" i="27" s="1"/>
  <c r="AG77" i="27" s="1"/>
  <c r="J76" i="27"/>
  <c r="AF76" i="27" s="1"/>
  <c r="AG76" i="27" s="1"/>
  <c r="J75" i="27"/>
  <c r="J74" i="27"/>
  <c r="J73" i="27"/>
  <c r="J72" i="27"/>
  <c r="J71" i="27"/>
  <c r="AF71" i="27" s="1"/>
  <c r="AG71" i="27" s="1"/>
  <c r="J70" i="27"/>
  <c r="J69" i="27"/>
  <c r="AF69" i="27" s="1"/>
  <c r="AG69" i="27" s="1"/>
  <c r="J68" i="27"/>
  <c r="AF68" i="27" s="1"/>
  <c r="AG68" i="27" s="1"/>
  <c r="J67" i="27"/>
  <c r="J66" i="27"/>
  <c r="J65" i="27"/>
  <c r="J64" i="27"/>
  <c r="J63" i="27"/>
  <c r="AF63" i="27" s="1"/>
  <c r="AG63" i="27" s="1"/>
  <c r="J62" i="27"/>
  <c r="J61" i="27"/>
  <c r="AF61" i="27" s="1"/>
  <c r="AG61" i="27" s="1"/>
  <c r="J60" i="27"/>
  <c r="AF60" i="27" s="1"/>
  <c r="AG60" i="27" s="1"/>
  <c r="J59" i="27"/>
  <c r="J58" i="27"/>
  <c r="J57" i="27"/>
  <c r="J56" i="27"/>
  <c r="J55" i="27"/>
  <c r="AF55" i="27" s="1"/>
  <c r="AG55" i="27" s="1"/>
  <c r="J54" i="27"/>
  <c r="J53" i="27"/>
  <c r="AF53" i="27" s="1"/>
  <c r="AG53" i="27" s="1"/>
  <c r="J52" i="27"/>
  <c r="AF52" i="27" s="1"/>
  <c r="AG52" i="27" s="1"/>
  <c r="J51" i="27"/>
  <c r="J50" i="27"/>
  <c r="J49" i="27"/>
  <c r="J48" i="27"/>
  <c r="J47" i="27"/>
  <c r="AF47" i="27" s="1"/>
  <c r="AG47" i="27" s="1"/>
  <c r="J46" i="27"/>
  <c r="J45" i="27"/>
  <c r="AF45" i="27" s="1"/>
  <c r="AG45" i="27" s="1"/>
  <c r="J44" i="27"/>
  <c r="AF44" i="27" s="1"/>
  <c r="AG44" i="27" s="1"/>
  <c r="J43" i="27"/>
  <c r="J42" i="27"/>
  <c r="J41" i="27"/>
  <c r="J38" i="27"/>
  <c r="J37" i="27"/>
  <c r="AF37" i="27" s="1"/>
  <c r="AG37" i="27" s="1"/>
  <c r="J36" i="27"/>
  <c r="J35" i="27"/>
  <c r="AF35" i="27" s="1"/>
  <c r="AG35" i="27" s="1"/>
  <c r="J34" i="27"/>
  <c r="AF34" i="27" s="1"/>
  <c r="AG34" i="27" s="1"/>
  <c r="J33" i="27"/>
  <c r="J32" i="27"/>
  <c r="J31" i="27"/>
  <c r="J30" i="27"/>
  <c r="J29" i="27"/>
  <c r="AF29" i="27" s="1"/>
  <c r="AG29" i="27" s="1"/>
  <c r="J28" i="27"/>
  <c r="J27" i="27"/>
  <c r="AF27" i="27" s="1"/>
  <c r="AG27" i="27" s="1"/>
  <c r="J26" i="27"/>
  <c r="AF26" i="27" s="1"/>
  <c r="AG26" i="27" s="1"/>
  <c r="J25" i="27"/>
  <c r="J24" i="27"/>
  <c r="J23" i="27"/>
  <c r="J22" i="27"/>
  <c r="J21" i="27"/>
  <c r="AF21" i="27" s="1"/>
  <c r="AG21" i="27" s="1"/>
  <c r="J20" i="27"/>
  <c r="J19" i="27"/>
  <c r="AF19" i="27" s="1"/>
  <c r="AG19" i="27" s="1"/>
  <c r="J18" i="27"/>
  <c r="AF18" i="27" s="1"/>
  <c r="AG18" i="27" s="1"/>
  <c r="J17" i="27"/>
  <c r="J16" i="27"/>
  <c r="J15" i="27"/>
  <c r="J14" i="27"/>
  <c r="J13" i="27"/>
  <c r="AF13" i="27" s="1"/>
  <c r="AG13" i="27" s="1"/>
  <c r="J12" i="27"/>
  <c r="J11" i="27"/>
  <c r="AF11" i="27" s="1"/>
  <c r="AG11" i="27" s="1"/>
  <c r="J10" i="27"/>
  <c r="AF10" i="27" s="1"/>
  <c r="AG10" i="27" s="1"/>
  <c r="J9" i="27"/>
  <c r="J8" i="27"/>
  <c r="J7" i="27"/>
  <c r="J6" i="27"/>
  <c r="J5" i="27"/>
  <c r="AF5" i="27" s="1"/>
  <c r="AG5" i="27" s="1"/>
  <c r="J4" i="27"/>
  <c r="J3" i="27"/>
  <c r="AF3" i="27" s="1"/>
  <c r="AG3" i="27" s="1"/>
  <c r="J2" i="27"/>
  <c r="S308" i="26"/>
  <c r="S307" i="26"/>
  <c r="S305" i="26"/>
  <c r="S304" i="26"/>
  <c r="S300" i="26"/>
  <c r="S298" i="26"/>
  <c r="S297" i="26"/>
  <c r="S296" i="26"/>
  <c r="S295" i="26"/>
  <c r="S294" i="26"/>
  <c r="S293" i="26"/>
  <c r="S290" i="26"/>
  <c r="S287" i="26"/>
  <c r="S286" i="26"/>
  <c r="S283" i="26"/>
  <c r="S280" i="26"/>
  <c r="S279" i="26"/>
  <c r="S278" i="26"/>
  <c r="S275" i="26"/>
  <c r="S274" i="26"/>
  <c r="S272" i="26"/>
  <c r="S271" i="26"/>
  <c r="S270" i="26"/>
  <c r="S269" i="26"/>
  <c r="S268" i="26"/>
  <c r="S267" i="26"/>
  <c r="S266" i="26"/>
  <c r="S265" i="26"/>
  <c r="S262" i="26"/>
  <c r="S261" i="26"/>
  <c r="S258" i="26"/>
  <c r="S257" i="26"/>
  <c r="S254" i="26"/>
  <c r="S253" i="26"/>
  <c r="S252" i="26"/>
  <c r="S251" i="26"/>
  <c r="S248" i="26"/>
  <c r="S247" i="26"/>
  <c r="S246" i="26"/>
  <c r="S245" i="26"/>
  <c r="S243" i="26"/>
  <c r="S242" i="26"/>
  <c r="S240" i="26"/>
  <c r="S239" i="26"/>
  <c r="S238" i="26"/>
  <c r="S237" i="26"/>
  <c r="S236" i="26"/>
  <c r="S235" i="26"/>
  <c r="S234" i="26"/>
  <c r="S233" i="26"/>
  <c r="S230" i="26"/>
  <c r="S227" i="26"/>
  <c r="S226" i="26"/>
  <c r="S223" i="26"/>
  <c r="S222" i="26"/>
  <c r="S221" i="26"/>
  <c r="S220" i="26"/>
  <c r="S217" i="26"/>
  <c r="S216" i="26"/>
  <c r="S215" i="26"/>
  <c r="S214" i="26"/>
  <c r="S211" i="26"/>
  <c r="S210" i="26"/>
  <c r="S208" i="26"/>
  <c r="S207" i="26"/>
  <c r="S204" i="26"/>
  <c r="S203" i="26"/>
  <c r="S202" i="26"/>
  <c r="S201" i="26"/>
  <c r="S198" i="26"/>
  <c r="S197" i="26"/>
  <c r="S194" i="26"/>
  <c r="S193" i="26"/>
  <c r="S190" i="26"/>
  <c r="S189" i="26"/>
  <c r="S188" i="26"/>
  <c r="S187" i="26"/>
  <c r="S184" i="26"/>
  <c r="S183" i="26"/>
  <c r="S180" i="26"/>
  <c r="S179" i="26"/>
  <c r="S178" i="26"/>
  <c r="S177" i="26"/>
  <c r="S176" i="26"/>
  <c r="S175" i="26"/>
  <c r="S174" i="26"/>
  <c r="S173" i="26"/>
  <c r="S170" i="26"/>
  <c r="S169" i="26"/>
  <c r="S166" i="26"/>
  <c r="S165" i="26"/>
  <c r="S162" i="26"/>
  <c r="S161" i="26"/>
  <c r="S160" i="26"/>
  <c r="S159" i="26"/>
  <c r="S156" i="26"/>
  <c r="S155" i="26"/>
  <c r="S152" i="26"/>
  <c r="S151" i="26"/>
  <c r="S150" i="26"/>
  <c r="S145" i="26"/>
  <c r="S144" i="26"/>
  <c r="S142" i="26"/>
  <c r="S141" i="26"/>
  <c r="S140" i="26"/>
  <c r="S139" i="26"/>
  <c r="S135" i="26"/>
  <c r="S134" i="26"/>
  <c r="S133" i="26"/>
  <c r="S132" i="26"/>
  <c r="S131" i="26"/>
  <c r="S126" i="26"/>
  <c r="S125" i="26"/>
  <c r="S124" i="26"/>
  <c r="S123" i="26"/>
  <c r="S122" i="26"/>
  <c r="S121" i="26"/>
  <c r="S120" i="26"/>
  <c r="S119" i="26"/>
  <c r="S116" i="26"/>
  <c r="S115" i="26"/>
  <c r="S113" i="26"/>
  <c r="S112" i="26"/>
  <c r="S111" i="26"/>
  <c r="S108" i="26"/>
  <c r="S107" i="26"/>
  <c r="S104" i="26"/>
  <c r="S103" i="26"/>
  <c r="S101" i="26"/>
  <c r="S100" i="26"/>
  <c r="S99" i="26"/>
  <c r="S98" i="26"/>
  <c r="S97" i="26"/>
  <c r="S96" i="26"/>
  <c r="S95" i="26"/>
  <c r="S94" i="26"/>
  <c r="S91" i="26"/>
  <c r="S88" i="26"/>
  <c r="S87" i="26"/>
  <c r="S85" i="26"/>
  <c r="S84" i="26"/>
  <c r="S83" i="26"/>
  <c r="S82" i="26"/>
  <c r="S81" i="26"/>
  <c r="S80" i="26"/>
  <c r="S77" i="26"/>
  <c r="S76" i="26"/>
  <c r="S75" i="26"/>
  <c r="S73" i="26"/>
  <c r="S72" i="26"/>
  <c r="S71" i="26"/>
  <c r="S70" i="26"/>
  <c r="S69" i="26"/>
  <c r="S66" i="26"/>
  <c r="S65" i="26"/>
  <c r="S64" i="26"/>
  <c r="S61" i="26"/>
  <c r="S59" i="26"/>
  <c r="S58" i="26"/>
  <c r="S57" i="26"/>
  <c r="S54" i="26"/>
  <c r="S53" i="26"/>
  <c r="S48" i="26"/>
  <c r="S47" i="26"/>
  <c r="S42" i="26"/>
  <c r="S41" i="26"/>
  <c r="S38" i="26"/>
  <c r="S37" i="26"/>
  <c r="S34" i="26"/>
  <c r="S33" i="26"/>
  <c r="S32" i="26"/>
  <c r="S31" i="26"/>
  <c r="S28" i="26"/>
  <c r="S27" i="26"/>
  <c r="S24" i="26"/>
  <c r="S23" i="26"/>
  <c r="S20" i="26"/>
  <c r="S19" i="26"/>
  <c r="S18" i="26"/>
  <c r="S17" i="26"/>
  <c r="S14" i="26"/>
  <c r="S13" i="26"/>
  <c r="S10" i="26"/>
  <c r="S7" i="26"/>
  <c r="S6" i="26"/>
  <c r="S5" i="26"/>
  <c r="S3" i="26"/>
  <c r="S2" i="26"/>
  <c r="V308" i="26"/>
  <c r="V307" i="26"/>
  <c r="V305" i="26"/>
  <c r="V304" i="26"/>
  <c r="V300" i="26"/>
  <c r="V298" i="26"/>
  <c r="V297" i="26"/>
  <c r="V296" i="26"/>
  <c r="V295" i="26"/>
  <c r="V294" i="26"/>
  <c r="V293" i="26"/>
  <c r="V290" i="26"/>
  <c r="V287" i="26"/>
  <c r="V286" i="26"/>
  <c r="V283" i="26"/>
  <c r="V280" i="26"/>
  <c r="V279" i="26"/>
  <c r="V278" i="26"/>
  <c r="V275" i="26"/>
  <c r="V274" i="26"/>
  <c r="V272" i="26"/>
  <c r="V271" i="26"/>
  <c r="V270" i="26"/>
  <c r="V269" i="26"/>
  <c r="V268" i="26"/>
  <c r="V267" i="26"/>
  <c r="V266" i="26"/>
  <c r="V265" i="26"/>
  <c r="V262" i="26"/>
  <c r="V261" i="26"/>
  <c r="V258" i="26"/>
  <c r="V257" i="26"/>
  <c r="V254" i="26"/>
  <c r="V253" i="26"/>
  <c r="V252" i="26"/>
  <c r="V251" i="26"/>
  <c r="V248" i="26"/>
  <c r="V247" i="26"/>
  <c r="V246" i="26"/>
  <c r="V245" i="26"/>
  <c r="V243" i="26"/>
  <c r="V242" i="26"/>
  <c r="V240" i="26"/>
  <c r="V239" i="26"/>
  <c r="V238" i="26"/>
  <c r="V237" i="26"/>
  <c r="V236" i="26"/>
  <c r="V235" i="26"/>
  <c r="V234" i="26"/>
  <c r="V233" i="26"/>
  <c r="V230" i="26"/>
  <c r="V227" i="26"/>
  <c r="V226" i="26"/>
  <c r="V223" i="26"/>
  <c r="V222" i="26"/>
  <c r="V221" i="26"/>
  <c r="V220" i="26"/>
  <c r="V217" i="26"/>
  <c r="V216" i="26"/>
  <c r="V215" i="26"/>
  <c r="V214" i="26"/>
  <c r="V211" i="26"/>
  <c r="V210" i="26"/>
  <c r="V208" i="26"/>
  <c r="V207" i="26"/>
  <c r="V204" i="26"/>
  <c r="V203" i="26"/>
  <c r="V202" i="26"/>
  <c r="V201" i="26"/>
  <c r="V198" i="26"/>
  <c r="V197" i="26"/>
  <c r="V194" i="26"/>
  <c r="V193" i="26"/>
  <c r="V190" i="26"/>
  <c r="V189" i="26"/>
  <c r="V188" i="26"/>
  <c r="V187" i="26"/>
  <c r="V184" i="26"/>
  <c r="V183" i="26"/>
  <c r="V180" i="26"/>
  <c r="V179" i="26"/>
  <c r="V178" i="26"/>
  <c r="V177" i="26"/>
  <c r="V176" i="26"/>
  <c r="V175" i="26"/>
  <c r="V174" i="26"/>
  <c r="V173" i="26"/>
  <c r="V170" i="26"/>
  <c r="V169" i="26"/>
  <c r="V166" i="26"/>
  <c r="V165" i="26"/>
  <c r="V162" i="26"/>
  <c r="V161" i="26"/>
  <c r="V160" i="26"/>
  <c r="V159" i="26"/>
  <c r="V156" i="26"/>
  <c r="V155" i="26"/>
  <c r="V152" i="26"/>
  <c r="V151" i="26"/>
  <c r="V150" i="26"/>
  <c r="V145" i="26"/>
  <c r="V144" i="26"/>
  <c r="V142" i="26"/>
  <c r="V141" i="26"/>
  <c r="V140" i="26"/>
  <c r="V139" i="26"/>
  <c r="V135" i="26"/>
  <c r="V134" i="26"/>
  <c r="V133" i="26"/>
  <c r="V132" i="26"/>
  <c r="V131" i="26"/>
  <c r="V126" i="26"/>
  <c r="V125" i="26"/>
  <c r="V124" i="26"/>
  <c r="V123" i="26"/>
  <c r="V122" i="26"/>
  <c r="V121" i="26"/>
  <c r="V120" i="26"/>
  <c r="V119" i="26"/>
  <c r="V116" i="26"/>
  <c r="V115" i="26"/>
  <c r="V113" i="26"/>
  <c r="V112" i="26"/>
  <c r="V111" i="26"/>
  <c r="V108" i="26"/>
  <c r="V107" i="26"/>
  <c r="V104" i="26"/>
  <c r="V103" i="26"/>
  <c r="V101" i="26"/>
  <c r="V100" i="26"/>
  <c r="V99" i="26"/>
  <c r="V98" i="26"/>
  <c r="V97" i="26"/>
  <c r="V96" i="26"/>
  <c r="V95" i="26"/>
  <c r="V94" i="26"/>
  <c r="V91" i="26"/>
  <c r="V88" i="26"/>
  <c r="V87" i="26"/>
  <c r="V85" i="26"/>
  <c r="V84" i="26"/>
  <c r="V83" i="26"/>
  <c r="V82" i="26"/>
  <c r="V81" i="26"/>
  <c r="V80" i="26"/>
  <c r="V77" i="26"/>
  <c r="V76" i="26"/>
  <c r="V75" i="26"/>
  <c r="V73" i="26"/>
  <c r="V72" i="26"/>
  <c r="V71" i="26"/>
  <c r="V70" i="26"/>
  <c r="V69" i="26"/>
  <c r="V66" i="26"/>
  <c r="V65" i="26"/>
  <c r="V64" i="26"/>
  <c r="V61" i="26"/>
  <c r="V59" i="26"/>
  <c r="V58" i="26"/>
  <c r="V57" i="26"/>
  <c r="V54" i="26"/>
  <c r="V53" i="26"/>
  <c r="V48" i="26"/>
  <c r="V47" i="26"/>
  <c r="V42" i="26"/>
  <c r="V41" i="26"/>
  <c r="V38" i="26"/>
  <c r="V37" i="26"/>
  <c r="V34" i="26"/>
  <c r="V33" i="26"/>
  <c r="V32" i="26"/>
  <c r="V31" i="26"/>
  <c r="V28" i="26"/>
  <c r="V27" i="26"/>
  <c r="V24" i="26"/>
  <c r="V23" i="26"/>
  <c r="V20" i="26"/>
  <c r="V19" i="26"/>
  <c r="V18" i="26"/>
  <c r="V17" i="26"/>
  <c r="V14" i="26"/>
  <c r="V13" i="26"/>
  <c r="V10" i="26"/>
  <c r="V7" i="26"/>
  <c r="V6" i="26"/>
  <c r="V5" i="26"/>
  <c r="V3" i="26"/>
  <c r="V2" i="26"/>
  <c r="Y308" i="26"/>
  <c r="Y307" i="26"/>
  <c r="Y305" i="26"/>
  <c r="Y304" i="26"/>
  <c r="Y300" i="26"/>
  <c r="Y298" i="26"/>
  <c r="Y297" i="26"/>
  <c r="Y296" i="26"/>
  <c r="Y295" i="26"/>
  <c r="Y294" i="26"/>
  <c r="Y293" i="26"/>
  <c r="Y290" i="26"/>
  <c r="Y287" i="26"/>
  <c r="Y286" i="26"/>
  <c r="Y283" i="26"/>
  <c r="Y280" i="26"/>
  <c r="Y279" i="26"/>
  <c r="Y278" i="26"/>
  <c r="Y275" i="26"/>
  <c r="Y274" i="26"/>
  <c r="Y272" i="26"/>
  <c r="Y271" i="26"/>
  <c r="Y270" i="26"/>
  <c r="Y269" i="26"/>
  <c r="Y268" i="26"/>
  <c r="Y267" i="26"/>
  <c r="Y266" i="26"/>
  <c r="Y265" i="26"/>
  <c r="Y262" i="26"/>
  <c r="Y261" i="26"/>
  <c r="Y258" i="26"/>
  <c r="Y257" i="26"/>
  <c r="Y254" i="26"/>
  <c r="Y253" i="26"/>
  <c r="Y252" i="26"/>
  <c r="Y251" i="26"/>
  <c r="Y248" i="26"/>
  <c r="Y247" i="26"/>
  <c r="Y246" i="26"/>
  <c r="Y245" i="26"/>
  <c r="Y243" i="26"/>
  <c r="Y242" i="26"/>
  <c r="Y240" i="26"/>
  <c r="Y239" i="26"/>
  <c r="Y238" i="26"/>
  <c r="Y237" i="26"/>
  <c r="Y236" i="26"/>
  <c r="Y235" i="26"/>
  <c r="Y234" i="26"/>
  <c r="Y233" i="26"/>
  <c r="Y230" i="26"/>
  <c r="Y227" i="26"/>
  <c r="Y226" i="26"/>
  <c r="Y223" i="26"/>
  <c r="Y222" i="26"/>
  <c r="Y221" i="26"/>
  <c r="Y220" i="26"/>
  <c r="Y217" i="26"/>
  <c r="Y216" i="26"/>
  <c r="Y215" i="26"/>
  <c r="Y214" i="26"/>
  <c r="Y211" i="26"/>
  <c r="Y210" i="26"/>
  <c r="Y208" i="26"/>
  <c r="Y207" i="26"/>
  <c r="Y204" i="26"/>
  <c r="Y203" i="26"/>
  <c r="Y202" i="26"/>
  <c r="Y201" i="26"/>
  <c r="Y198" i="26"/>
  <c r="Y197" i="26"/>
  <c r="Y194" i="26"/>
  <c r="Y193" i="26"/>
  <c r="Y190" i="26"/>
  <c r="Y189" i="26"/>
  <c r="Y188" i="26"/>
  <c r="Y187" i="26"/>
  <c r="Y184" i="26"/>
  <c r="Y183" i="26"/>
  <c r="Y180" i="26"/>
  <c r="Y179" i="26"/>
  <c r="Y178" i="26"/>
  <c r="Y177" i="26"/>
  <c r="Y176" i="26"/>
  <c r="Y175" i="26"/>
  <c r="Y174" i="26"/>
  <c r="Y173" i="26"/>
  <c r="Y170" i="26"/>
  <c r="Y169" i="26"/>
  <c r="Y166" i="26"/>
  <c r="Y165" i="26"/>
  <c r="Y162" i="26"/>
  <c r="Y161" i="26"/>
  <c r="Y160" i="26"/>
  <c r="Y159" i="26"/>
  <c r="Y156" i="26"/>
  <c r="Y155" i="26"/>
  <c r="Y152" i="26"/>
  <c r="Y151" i="26"/>
  <c r="Y150" i="26"/>
  <c r="Y145" i="26"/>
  <c r="Y144" i="26"/>
  <c r="Y142" i="26"/>
  <c r="Y141" i="26"/>
  <c r="Y140" i="26"/>
  <c r="Y139" i="26"/>
  <c r="Y135" i="26"/>
  <c r="Y134" i="26"/>
  <c r="Y133" i="26"/>
  <c r="Y132" i="26"/>
  <c r="Y131" i="26"/>
  <c r="Y126" i="26"/>
  <c r="Y125" i="26"/>
  <c r="Y124" i="26"/>
  <c r="Y123" i="26"/>
  <c r="Y122" i="26"/>
  <c r="Y121" i="26"/>
  <c r="Y120" i="26"/>
  <c r="Y119" i="26"/>
  <c r="Y116" i="26"/>
  <c r="Y115" i="26"/>
  <c r="Y113" i="26"/>
  <c r="Y112" i="26"/>
  <c r="Y111" i="26"/>
  <c r="Y108" i="26"/>
  <c r="Y107" i="26"/>
  <c r="Y104" i="26"/>
  <c r="Y103" i="26"/>
  <c r="Y101" i="26"/>
  <c r="Y100" i="26"/>
  <c r="Y99" i="26"/>
  <c r="Y98" i="26"/>
  <c r="Y97" i="26"/>
  <c r="Y96" i="26"/>
  <c r="Y95" i="26"/>
  <c r="Y94" i="26"/>
  <c r="Y91" i="26"/>
  <c r="Y88" i="26"/>
  <c r="Y87" i="26"/>
  <c r="Y85" i="26"/>
  <c r="Y84" i="26"/>
  <c r="Y83" i="26"/>
  <c r="Y82" i="26"/>
  <c r="Y81" i="26"/>
  <c r="Y80" i="26"/>
  <c r="Y77" i="26"/>
  <c r="Y76" i="26"/>
  <c r="Y75" i="26"/>
  <c r="Y73" i="26"/>
  <c r="Y72" i="26"/>
  <c r="Y71" i="26"/>
  <c r="Y70" i="26"/>
  <c r="Y69" i="26"/>
  <c r="Y66" i="26"/>
  <c r="Y65" i="26"/>
  <c r="Y64" i="26"/>
  <c r="Y61" i="26"/>
  <c r="Y59" i="26"/>
  <c r="Y58" i="26"/>
  <c r="Y57" i="26"/>
  <c r="Y54" i="26"/>
  <c r="Y53" i="26"/>
  <c r="Y48" i="26"/>
  <c r="Y47" i="26"/>
  <c r="Y42" i="26"/>
  <c r="Y41" i="26"/>
  <c r="Y38" i="26"/>
  <c r="Y37" i="26"/>
  <c r="Y34" i="26"/>
  <c r="Y33" i="26"/>
  <c r="Y32" i="26"/>
  <c r="Y31" i="26"/>
  <c r="Y28" i="26"/>
  <c r="Y27" i="26"/>
  <c r="Y24" i="26"/>
  <c r="Y23" i="26"/>
  <c r="Y20" i="26"/>
  <c r="Y19" i="26"/>
  <c r="Y18" i="26"/>
  <c r="Y17" i="26"/>
  <c r="Y14" i="26"/>
  <c r="Y13" i="26"/>
  <c r="Y10" i="26"/>
  <c r="Y7" i="26"/>
  <c r="Y6" i="26"/>
  <c r="Y5" i="26"/>
  <c r="Y3" i="26"/>
  <c r="Y2" i="26"/>
  <c r="AB308" i="26"/>
  <c r="AB307" i="26"/>
  <c r="AB305" i="26"/>
  <c r="AB304" i="26"/>
  <c r="AB300" i="26"/>
  <c r="AB298" i="26"/>
  <c r="AB297" i="26"/>
  <c r="AB296" i="26"/>
  <c r="AB295" i="26"/>
  <c r="AB294" i="26"/>
  <c r="AB293" i="26"/>
  <c r="AB290" i="26"/>
  <c r="AB287" i="26"/>
  <c r="AB286" i="26"/>
  <c r="AB283" i="26"/>
  <c r="AB280" i="26"/>
  <c r="AB279" i="26"/>
  <c r="AB278" i="26"/>
  <c r="AB275" i="26"/>
  <c r="AB274" i="26"/>
  <c r="AB272" i="26"/>
  <c r="AB271" i="26"/>
  <c r="AB270" i="26"/>
  <c r="AB269" i="26"/>
  <c r="AB268" i="26"/>
  <c r="AB267" i="26"/>
  <c r="AB266" i="26"/>
  <c r="AB265" i="26"/>
  <c r="AB262" i="26"/>
  <c r="AB261" i="26"/>
  <c r="AB258" i="26"/>
  <c r="AB257" i="26"/>
  <c r="AB254" i="26"/>
  <c r="AB253" i="26"/>
  <c r="AB252" i="26"/>
  <c r="AB251" i="26"/>
  <c r="AB248" i="26"/>
  <c r="AB247" i="26"/>
  <c r="AB246" i="26"/>
  <c r="AB245" i="26"/>
  <c r="AB243" i="26"/>
  <c r="AB242" i="26"/>
  <c r="AB240" i="26"/>
  <c r="AB239" i="26"/>
  <c r="AB238" i="26"/>
  <c r="AB237" i="26"/>
  <c r="AB236" i="26"/>
  <c r="AB235" i="26"/>
  <c r="AB234" i="26"/>
  <c r="AB233" i="26"/>
  <c r="AB230" i="26"/>
  <c r="AB227" i="26"/>
  <c r="AB226" i="26"/>
  <c r="AB223" i="26"/>
  <c r="AB222" i="26"/>
  <c r="AB221" i="26"/>
  <c r="AB220" i="26"/>
  <c r="AB217" i="26"/>
  <c r="AB216" i="26"/>
  <c r="AB215" i="26"/>
  <c r="AB214" i="26"/>
  <c r="AB211" i="26"/>
  <c r="AB210" i="26"/>
  <c r="AB208" i="26"/>
  <c r="AB207" i="26"/>
  <c r="AB204" i="26"/>
  <c r="AB203" i="26"/>
  <c r="AB202" i="26"/>
  <c r="AB201" i="26"/>
  <c r="AB198" i="26"/>
  <c r="AB197" i="26"/>
  <c r="AB194" i="26"/>
  <c r="AB193" i="26"/>
  <c r="AB190" i="26"/>
  <c r="AB189" i="26"/>
  <c r="AB188" i="26"/>
  <c r="AB187" i="26"/>
  <c r="AB184" i="26"/>
  <c r="AB183" i="26"/>
  <c r="AB180" i="26"/>
  <c r="AB179" i="26"/>
  <c r="AB178" i="26"/>
  <c r="AB177" i="26"/>
  <c r="AB176" i="26"/>
  <c r="AB175" i="26"/>
  <c r="AB174" i="26"/>
  <c r="AB173" i="26"/>
  <c r="AB170" i="26"/>
  <c r="AB169" i="26"/>
  <c r="AB166" i="26"/>
  <c r="AB165" i="26"/>
  <c r="AB162" i="26"/>
  <c r="AB161" i="26"/>
  <c r="AB160" i="26"/>
  <c r="AB159" i="26"/>
  <c r="AB156" i="26"/>
  <c r="AB155" i="26"/>
  <c r="AB152" i="26"/>
  <c r="AB151" i="26"/>
  <c r="AB150" i="26"/>
  <c r="AB145" i="26"/>
  <c r="AB144" i="26"/>
  <c r="AB142" i="26"/>
  <c r="AB141" i="26"/>
  <c r="AB140" i="26"/>
  <c r="AB139" i="26"/>
  <c r="AB135" i="26"/>
  <c r="AB134" i="26"/>
  <c r="AB133" i="26"/>
  <c r="AB132" i="26"/>
  <c r="AB131" i="26"/>
  <c r="AB126" i="26"/>
  <c r="AB125" i="26"/>
  <c r="AB124" i="26"/>
  <c r="AB123" i="26"/>
  <c r="AB122" i="26"/>
  <c r="AB121" i="26"/>
  <c r="AB120" i="26"/>
  <c r="AB119" i="26"/>
  <c r="AB116" i="26"/>
  <c r="AB115" i="26"/>
  <c r="AB113" i="26"/>
  <c r="AB112" i="26"/>
  <c r="AB111" i="26"/>
  <c r="AB108" i="26"/>
  <c r="AB107" i="26"/>
  <c r="AB104" i="26"/>
  <c r="AB103" i="26"/>
  <c r="AB101" i="26"/>
  <c r="AB100" i="26"/>
  <c r="AB99" i="26"/>
  <c r="AB98" i="26"/>
  <c r="AB97" i="26"/>
  <c r="AB96" i="26"/>
  <c r="AB95" i="26"/>
  <c r="AB94" i="26"/>
  <c r="AB91" i="26"/>
  <c r="AB88" i="26"/>
  <c r="AB87" i="26"/>
  <c r="AB85" i="26"/>
  <c r="AB84" i="26"/>
  <c r="AB83" i="26"/>
  <c r="AB82" i="26"/>
  <c r="AB81" i="26"/>
  <c r="AB80" i="26"/>
  <c r="AB77" i="26"/>
  <c r="AB76" i="26"/>
  <c r="AB75" i="26"/>
  <c r="AB73" i="26"/>
  <c r="AB72" i="26"/>
  <c r="AB71" i="26"/>
  <c r="AB70" i="26"/>
  <c r="AB69" i="26"/>
  <c r="AB66" i="26"/>
  <c r="AB65" i="26"/>
  <c r="AB64" i="26"/>
  <c r="AB61" i="26"/>
  <c r="AB59" i="26"/>
  <c r="AB58" i="26"/>
  <c r="AB57" i="26"/>
  <c r="AB54" i="26"/>
  <c r="AB53" i="26"/>
  <c r="AB48" i="26"/>
  <c r="AB47" i="26"/>
  <c r="AB42" i="26"/>
  <c r="AB41" i="26"/>
  <c r="AB38" i="26"/>
  <c r="AB37" i="26"/>
  <c r="AB34" i="26"/>
  <c r="AB33" i="26"/>
  <c r="AB32" i="26"/>
  <c r="AB31" i="26"/>
  <c r="AB28" i="26"/>
  <c r="AB27" i="26"/>
  <c r="AB24" i="26"/>
  <c r="AB23" i="26"/>
  <c r="AB20" i="26"/>
  <c r="AB19" i="26"/>
  <c r="AB18" i="26"/>
  <c r="AB17" i="26"/>
  <c r="AB14" i="26"/>
  <c r="AB13" i="26"/>
  <c r="AB10" i="26"/>
  <c r="AB7" i="26"/>
  <c r="AB6" i="26"/>
  <c r="AB5" i="26"/>
  <c r="AB3" i="26"/>
  <c r="AB2" i="26"/>
  <c r="AE308" i="26"/>
  <c r="AE307" i="26"/>
  <c r="AE305" i="26"/>
  <c r="AE304" i="26"/>
  <c r="AE300" i="26"/>
  <c r="AE298" i="26"/>
  <c r="AE297" i="26"/>
  <c r="AE296" i="26"/>
  <c r="AE295" i="26"/>
  <c r="AE294" i="26"/>
  <c r="AE293" i="26"/>
  <c r="AE290" i="26"/>
  <c r="AE287" i="26"/>
  <c r="AE286" i="26"/>
  <c r="AE283" i="26"/>
  <c r="AE280" i="26"/>
  <c r="AE279" i="26"/>
  <c r="AE278" i="26"/>
  <c r="AE275" i="26"/>
  <c r="AE274" i="26"/>
  <c r="AE272" i="26"/>
  <c r="AE271" i="26"/>
  <c r="AE270" i="26"/>
  <c r="AE269" i="26"/>
  <c r="AE268" i="26"/>
  <c r="AE267" i="26"/>
  <c r="AE266" i="26"/>
  <c r="AE265" i="26"/>
  <c r="AE262" i="26"/>
  <c r="AE261" i="26"/>
  <c r="AE258" i="26"/>
  <c r="AE257" i="26"/>
  <c r="AE254" i="26"/>
  <c r="AE253" i="26"/>
  <c r="AE252" i="26"/>
  <c r="AE251" i="26"/>
  <c r="AE248" i="26"/>
  <c r="AE247" i="26"/>
  <c r="AE246" i="26"/>
  <c r="AE245" i="26"/>
  <c r="AE243" i="26"/>
  <c r="AE242" i="26"/>
  <c r="AE240" i="26"/>
  <c r="AE239" i="26"/>
  <c r="AE238" i="26"/>
  <c r="AE237" i="26"/>
  <c r="AE236" i="26"/>
  <c r="AE235" i="26"/>
  <c r="AE234" i="26"/>
  <c r="AE233" i="26"/>
  <c r="AE230" i="26"/>
  <c r="AE227" i="26"/>
  <c r="AE226" i="26"/>
  <c r="AE223" i="26"/>
  <c r="AE222" i="26"/>
  <c r="AE221" i="26"/>
  <c r="AE220" i="26"/>
  <c r="AE217" i="26"/>
  <c r="AE216" i="26"/>
  <c r="AE215" i="26"/>
  <c r="AE214" i="26"/>
  <c r="AE211" i="26"/>
  <c r="AE210" i="26"/>
  <c r="AE208" i="26"/>
  <c r="AE207" i="26"/>
  <c r="AE204" i="26"/>
  <c r="AE203" i="26"/>
  <c r="AE202" i="26"/>
  <c r="AE201" i="26"/>
  <c r="AE198" i="26"/>
  <c r="AE197" i="26"/>
  <c r="AE194" i="26"/>
  <c r="AE193" i="26"/>
  <c r="AE190" i="26"/>
  <c r="AE189" i="26"/>
  <c r="AE188" i="26"/>
  <c r="AE187" i="26"/>
  <c r="AE184" i="26"/>
  <c r="AE183" i="26"/>
  <c r="AE180" i="26"/>
  <c r="AE179" i="26"/>
  <c r="AE178" i="26"/>
  <c r="AE177" i="26"/>
  <c r="AE176" i="26"/>
  <c r="AE175" i="26"/>
  <c r="AE174" i="26"/>
  <c r="AE173" i="26"/>
  <c r="AE170" i="26"/>
  <c r="AE169" i="26"/>
  <c r="AE166" i="26"/>
  <c r="AE165" i="26"/>
  <c r="AE162" i="26"/>
  <c r="AE161" i="26"/>
  <c r="AE160" i="26"/>
  <c r="AE159" i="26"/>
  <c r="AE156" i="26"/>
  <c r="AE155" i="26"/>
  <c r="AE152" i="26"/>
  <c r="AE151" i="26"/>
  <c r="AE150" i="26"/>
  <c r="AE145" i="26"/>
  <c r="AE144" i="26"/>
  <c r="AE142" i="26"/>
  <c r="AE141" i="26"/>
  <c r="AE140" i="26"/>
  <c r="AE139" i="26"/>
  <c r="AE135" i="26"/>
  <c r="AE134" i="26"/>
  <c r="AE133" i="26"/>
  <c r="AE132" i="26"/>
  <c r="AE131" i="26"/>
  <c r="AE126" i="26"/>
  <c r="AE125" i="26"/>
  <c r="AE124" i="26"/>
  <c r="AE123" i="26"/>
  <c r="AE122" i="26"/>
  <c r="AE121" i="26"/>
  <c r="AE120" i="26"/>
  <c r="AE119" i="26"/>
  <c r="AE116" i="26"/>
  <c r="AE115" i="26"/>
  <c r="AE113" i="26"/>
  <c r="AE112" i="26"/>
  <c r="AE111" i="26"/>
  <c r="AE108" i="26"/>
  <c r="AE107" i="26"/>
  <c r="AE104" i="26"/>
  <c r="AE103" i="26"/>
  <c r="AE101" i="26"/>
  <c r="AE100" i="26"/>
  <c r="AE99" i="26"/>
  <c r="AE98" i="26"/>
  <c r="AE97" i="26"/>
  <c r="AE96" i="26"/>
  <c r="AE95" i="26"/>
  <c r="AE94" i="26"/>
  <c r="AE91" i="26"/>
  <c r="AE88" i="26"/>
  <c r="AE87" i="26"/>
  <c r="AE85" i="26"/>
  <c r="AE84" i="26"/>
  <c r="AE83" i="26"/>
  <c r="AE82" i="26"/>
  <c r="AE81" i="26"/>
  <c r="AE80" i="26"/>
  <c r="AE77" i="26"/>
  <c r="AE76" i="26"/>
  <c r="AE75" i="26"/>
  <c r="AE73" i="26"/>
  <c r="AE72" i="26"/>
  <c r="AE71" i="26"/>
  <c r="AE70" i="26"/>
  <c r="AE69" i="26"/>
  <c r="AE66" i="26"/>
  <c r="AE65" i="26"/>
  <c r="AE64" i="26"/>
  <c r="AE61" i="26"/>
  <c r="AE59" i="26"/>
  <c r="AE58" i="26"/>
  <c r="AE57" i="26"/>
  <c r="AE54" i="26"/>
  <c r="AE53" i="26"/>
  <c r="AE48" i="26"/>
  <c r="AE47" i="26"/>
  <c r="AE42" i="26"/>
  <c r="AE41" i="26"/>
  <c r="AE38" i="26"/>
  <c r="AE37" i="26"/>
  <c r="AE34" i="26"/>
  <c r="AE33" i="26"/>
  <c r="AE32" i="26"/>
  <c r="AE31" i="26"/>
  <c r="AE28" i="26"/>
  <c r="AE27" i="26"/>
  <c r="AE24" i="26"/>
  <c r="AE23" i="26"/>
  <c r="AE20" i="26"/>
  <c r="AE19" i="26"/>
  <c r="AE18" i="26"/>
  <c r="AE17" i="26"/>
  <c r="AE14" i="26"/>
  <c r="AE13" i="26"/>
  <c r="AE10" i="26"/>
  <c r="AE7" i="26"/>
  <c r="AE6" i="26"/>
  <c r="AE5" i="26"/>
  <c r="AE3" i="26"/>
  <c r="AE2" i="26"/>
  <c r="P308" i="26"/>
  <c r="P307" i="26"/>
  <c r="P305" i="26"/>
  <c r="P304" i="26"/>
  <c r="P300" i="26"/>
  <c r="P298" i="26"/>
  <c r="P297" i="26"/>
  <c r="P296" i="26"/>
  <c r="P295" i="26"/>
  <c r="P294" i="26"/>
  <c r="P293" i="26"/>
  <c r="P290" i="26"/>
  <c r="P287" i="26"/>
  <c r="P286" i="26"/>
  <c r="P283" i="26"/>
  <c r="P280" i="26"/>
  <c r="P279" i="26"/>
  <c r="P278" i="26"/>
  <c r="P275" i="26"/>
  <c r="P274" i="26"/>
  <c r="P272" i="26"/>
  <c r="P271" i="26"/>
  <c r="P270" i="26"/>
  <c r="P269" i="26"/>
  <c r="P268" i="26"/>
  <c r="P267" i="26"/>
  <c r="P266" i="26"/>
  <c r="P265" i="26"/>
  <c r="P262" i="26"/>
  <c r="P261" i="26"/>
  <c r="P258" i="26"/>
  <c r="P257" i="26"/>
  <c r="P254" i="26"/>
  <c r="P253" i="26"/>
  <c r="P252" i="26"/>
  <c r="P251" i="26"/>
  <c r="P248" i="26"/>
  <c r="P247" i="26"/>
  <c r="P246" i="26"/>
  <c r="P245" i="26"/>
  <c r="P243" i="26"/>
  <c r="P242" i="26"/>
  <c r="P240" i="26"/>
  <c r="P239" i="26"/>
  <c r="P238" i="26"/>
  <c r="P237" i="26"/>
  <c r="P236" i="26"/>
  <c r="P235" i="26"/>
  <c r="P234" i="26"/>
  <c r="P233" i="26"/>
  <c r="P230" i="26"/>
  <c r="P227" i="26"/>
  <c r="P226" i="26"/>
  <c r="P223" i="26"/>
  <c r="P222" i="26"/>
  <c r="P221" i="26"/>
  <c r="P220" i="26"/>
  <c r="P217" i="26"/>
  <c r="P216" i="26"/>
  <c r="P215" i="26"/>
  <c r="P214" i="26"/>
  <c r="P211" i="26"/>
  <c r="P210" i="26"/>
  <c r="P208" i="26"/>
  <c r="P207" i="26"/>
  <c r="P204" i="26"/>
  <c r="P203" i="26"/>
  <c r="P202" i="26"/>
  <c r="P201" i="26"/>
  <c r="P198" i="26"/>
  <c r="P197" i="26"/>
  <c r="P194" i="26"/>
  <c r="P193" i="26"/>
  <c r="P190" i="26"/>
  <c r="P189" i="26"/>
  <c r="P188" i="26"/>
  <c r="P187" i="26"/>
  <c r="P184" i="26"/>
  <c r="P183" i="26"/>
  <c r="P180" i="26"/>
  <c r="P179" i="26"/>
  <c r="P178" i="26"/>
  <c r="P177" i="26"/>
  <c r="P176" i="26"/>
  <c r="P175" i="26"/>
  <c r="P174" i="26"/>
  <c r="P173" i="26"/>
  <c r="P170" i="26"/>
  <c r="P169" i="26"/>
  <c r="P166" i="26"/>
  <c r="P165" i="26"/>
  <c r="P162" i="26"/>
  <c r="P161" i="26"/>
  <c r="P160" i="26"/>
  <c r="P159" i="26"/>
  <c r="P156" i="26"/>
  <c r="P155" i="26"/>
  <c r="AF155" i="26" s="1"/>
  <c r="AG155" i="26" s="1"/>
  <c r="P152" i="26"/>
  <c r="P151" i="26"/>
  <c r="P150" i="26"/>
  <c r="P145" i="26"/>
  <c r="P144" i="26"/>
  <c r="P142" i="26"/>
  <c r="P141" i="26"/>
  <c r="P140" i="26"/>
  <c r="P139" i="26"/>
  <c r="P135" i="26"/>
  <c r="P134" i="26"/>
  <c r="P133" i="26"/>
  <c r="P132" i="26"/>
  <c r="P131" i="26"/>
  <c r="P126" i="26"/>
  <c r="P125" i="26"/>
  <c r="P124" i="26"/>
  <c r="P123" i="26"/>
  <c r="P122" i="26"/>
  <c r="P121" i="26"/>
  <c r="P120" i="26"/>
  <c r="P119" i="26"/>
  <c r="P116" i="26"/>
  <c r="P115" i="26"/>
  <c r="P113" i="26"/>
  <c r="P112" i="26"/>
  <c r="P111" i="26"/>
  <c r="P108" i="26"/>
  <c r="P107" i="26"/>
  <c r="P104" i="26"/>
  <c r="P103" i="26"/>
  <c r="P101" i="26"/>
  <c r="P100" i="26"/>
  <c r="P99" i="26"/>
  <c r="P98" i="26"/>
  <c r="P97" i="26"/>
  <c r="P96" i="26"/>
  <c r="P95" i="26"/>
  <c r="P94" i="26"/>
  <c r="P91" i="26"/>
  <c r="P88" i="26"/>
  <c r="P87" i="26"/>
  <c r="P85" i="26"/>
  <c r="P84" i="26"/>
  <c r="P83" i="26"/>
  <c r="P82" i="26"/>
  <c r="P81" i="26"/>
  <c r="P80" i="26"/>
  <c r="P77" i="26"/>
  <c r="P76" i="26"/>
  <c r="P75" i="26"/>
  <c r="P73" i="26"/>
  <c r="P72" i="26"/>
  <c r="P71" i="26"/>
  <c r="P70" i="26"/>
  <c r="P69" i="26"/>
  <c r="P66" i="26"/>
  <c r="P65" i="26"/>
  <c r="P64" i="26"/>
  <c r="P61" i="26"/>
  <c r="P59" i="26"/>
  <c r="P58" i="26"/>
  <c r="P57" i="26"/>
  <c r="P54" i="26"/>
  <c r="P53" i="26"/>
  <c r="P48" i="26"/>
  <c r="P47" i="26"/>
  <c r="P42" i="26"/>
  <c r="P41" i="26"/>
  <c r="P38" i="26"/>
  <c r="P37" i="26"/>
  <c r="P34" i="26"/>
  <c r="P33" i="26"/>
  <c r="P32" i="26"/>
  <c r="P31" i="26"/>
  <c r="P28" i="26"/>
  <c r="P27" i="26"/>
  <c r="P24" i="26"/>
  <c r="P23" i="26"/>
  <c r="P20" i="26"/>
  <c r="P19" i="26"/>
  <c r="P18" i="26"/>
  <c r="P17" i="26"/>
  <c r="P14" i="26"/>
  <c r="P13" i="26"/>
  <c r="P10" i="26"/>
  <c r="P7" i="26"/>
  <c r="P6" i="26"/>
  <c r="P5" i="26"/>
  <c r="P3" i="26"/>
  <c r="P2" i="26"/>
  <c r="M308" i="26"/>
  <c r="M307" i="26"/>
  <c r="M305" i="26"/>
  <c r="M304" i="26"/>
  <c r="M300" i="26"/>
  <c r="AF300" i="26" s="1"/>
  <c r="AG300" i="26" s="1"/>
  <c r="M298" i="26"/>
  <c r="M297" i="26"/>
  <c r="M296" i="26"/>
  <c r="M295" i="26"/>
  <c r="M294" i="26"/>
  <c r="M293" i="26"/>
  <c r="M290" i="26"/>
  <c r="M287" i="26"/>
  <c r="AF287" i="26" s="1"/>
  <c r="AG287" i="26" s="1"/>
  <c r="M286" i="26"/>
  <c r="M283" i="26"/>
  <c r="M280" i="26"/>
  <c r="M279" i="26"/>
  <c r="M278" i="26"/>
  <c r="M275" i="26"/>
  <c r="M274" i="26"/>
  <c r="M272" i="26"/>
  <c r="M271" i="26"/>
  <c r="M270" i="26"/>
  <c r="AF270" i="26" s="1"/>
  <c r="AG270" i="26" s="1"/>
  <c r="M269" i="26"/>
  <c r="M268" i="26"/>
  <c r="M267" i="26"/>
  <c r="M266" i="26"/>
  <c r="M265" i="26"/>
  <c r="M262" i="26"/>
  <c r="M261" i="26"/>
  <c r="M258" i="26"/>
  <c r="M257" i="26"/>
  <c r="M254" i="26"/>
  <c r="M253" i="26"/>
  <c r="M252" i="26"/>
  <c r="M251" i="26"/>
  <c r="M248" i="26"/>
  <c r="M247" i="26"/>
  <c r="M246" i="26"/>
  <c r="M245" i="26"/>
  <c r="M243" i="26"/>
  <c r="M242" i="26"/>
  <c r="M240" i="26"/>
  <c r="M239" i="26"/>
  <c r="M238" i="26"/>
  <c r="M237" i="26"/>
  <c r="M236" i="26"/>
  <c r="M235" i="26"/>
  <c r="M234" i="26"/>
  <c r="M233" i="26"/>
  <c r="M230" i="26"/>
  <c r="M227" i="26"/>
  <c r="M226" i="26"/>
  <c r="M223" i="26"/>
  <c r="M222" i="26"/>
  <c r="M221" i="26"/>
  <c r="M220" i="26"/>
  <c r="M217" i="26"/>
  <c r="M216" i="26"/>
  <c r="M215" i="26"/>
  <c r="M214" i="26"/>
  <c r="M211" i="26"/>
  <c r="M210" i="26"/>
  <c r="M208" i="26"/>
  <c r="M207" i="26"/>
  <c r="M204" i="26"/>
  <c r="AF204" i="26" s="1"/>
  <c r="AG204" i="26" s="1"/>
  <c r="M203" i="26"/>
  <c r="M202" i="26"/>
  <c r="M201" i="26"/>
  <c r="M198" i="26"/>
  <c r="M197" i="26"/>
  <c r="M194" i="26"/>
  <c r="M193" i="26"/>
  <c r="M190" i="26"/>
  <c r="M189" i="26"/>
  <c r="M188" i="26"/>
  <c r="M187" i="26"/>
  <c r="M184" i="26"/>
  <c r="M183" i="26"/>
  <c r="M180" i="26"/>
  <c r="AF180" i="26" s="1"/>
  <c r="AG180" i="26" s="1"/>
  <c r="M179" i="26"/>
  <c r="M178" i="26"/>
  <c r="M177" i="26"/>
  <c r="M176" i="26"/>
  <c r="M175" i="26"/>
  <c r="M174" i="26"/>
  <c r="M173" i="26"/>
  <c r="AF173" i="26" s="1"/>
  <c r="AG173" i="26" s="1"/>
  <c r="M170" i="26"/>
  <c r="M169" i="26"/>
  <c r="M166" i="26"/>
  <c r="M165" i="26"/>
  <c r="AF165" i="26" s="1"/>
  <c r="AG165" i="26" s="1"/>
  <c r="M162" i="26"/>
  <c r="M161" i="26"/>
  <c r="M160" i="26"/>
  <c r="M159" i="26"/>
  <c r="M156" i="26"/>
  <c r="AF156" i="26" s="1"/>
  <c r="AG156" i="26" s="1"/>
  <c r="M155" i="26"/>
  <c r="M152" i="26"/>
  <c r="M151" i="26"/>
  <c r="M150" i="26"/>
  <c r="M145" i="26"/>
  <c r="M144" i="26"/>
  <c r="M142" i="26"/>
  <c r="M141" i="26"/>
  <c r="M140" i="26"/>
  <c r="M139" i="26"/>
  <c r="M135" i="26"/>
  <c r="M134" i="26"/>
  <c r="M133" i="26"/>
  <c r="M132" i="26"/>
  <c r="M131" i="26"/>
  <c r="M126" i="26"/>
  <c r="AF126" i="26" s="1"/>
  <c r="AG126" i="26" s="1"/>
  <c r="M125" i="26"/>
  <c r="M124" i="26"/>
  <c r="M123" i="26"/>
  <c r="M122" i="26"/>
  <c r="M121" i="26"/>
  <c r="M120" i="26"/>
  <c r="M119" i="26"/>
  <c r="M116" i="26"/>
  <c r="AF116" i="26" s="1"/>
  <c r="AG116" i="26" s="1"/>
  <c r="M115" i="26"/>
  <c r="M113" i="26"/>
  <c r="M112" i="26"/>
  <c r="M111" i="26"/>
  <c r="M108" i="26"/>
  <c r="AF108" i="26" s="1"/>
  <c r="AG108" i="26" s="1"/>
  <c r="M107" i="26"/>
  <c r="M104" i="26"/>
  <c r="M103" i="26"/>
  <c r="M101" i="26"/>
  <c r="M100" i="26"/>
  <c r="M99" i="26"/>
  <c r="M98" i="26"/>
  <c r="M97" i="26"/>
  <c r="M96" i="26"/>
  <c r="M95" i="26"/>
  <c r="M94" i="26"/>
  <c r="AF94" i="26" s="1"/>
  <c r="AG94" i="26" s="1"/>
  <c r="M91" i="26"/>
  <c r="M88" i="26"/>
  <c r="M87" i="26"/>
  <c r="AF87" i="26" s="1"/>
  <c r="AG87" i="26" s="1"/>
  <c r="M85" i="26"/>
  <c r="M84" i="26"/>
  <c r="M83" i="26"/>
  <c r="M82" i="26"/>
  <c r="M81" i="26"/>
  <c r="M80" i="26"/>
  <c r="M77" i="26"/>
  <c r="M76" i="26"/>
  <c r="M75" i="26"/>
  <c r="M73" i="26"/>
  <c r="M72" i="26"/>
  <c r="M71" i="26"/>
  <c r="M70" i="26"/>
  <c r="M69" i="26"/>
  <c r="M66" i="26"/>
  <c r="M65" i="26"/>
  <c r="M64" i="26"/>
  <c r="M61" i="26"/>
  <c r="AF61" i="26" s="1"/>
  <c r="AG61" i="26" s="1"/>
  <c r="M59" i="26"/>
  <c r="M58" i="26"/>
  <c r="M57" i="26"/>
  <c r="M54" i="26"/>
  <c r="M53" i="26"/>
  <c r="AF53" i="26" s="1"/>
  <c r="AG53" i="26" s="1"/>
  <c r="M48" i="26"/>
  <c r="M47" i="26"/>
  <c r="M42" i="26"/>
  <c r="M41" i="26"/>
  <c r="M38" i="26"/>
  <c r="M37" i="26"/>
  <c r="M34" i="26"/>
  <c r="M33" i="26"/>
  <c r="M32" i="26"/>
  <c r="M31" i="26"/>
  <c r="M28" i="26"/>
  <c r="M27" i="26"/>
  <c r="M24" i="26"/>
  <c r="M23" i="26"/>
  <c r="M20" i="26"/>
  <c r="M19" i="26"/>
  <c r="M18" i="26"/>
  <c r="M17" i="26"/>
  <c r="M14" i="26"/>
  <c r="M13" i="26"/>
  <c r="M10" i="26"/>
  <c r="M7" i="26"/>
  <c r="M6" i="26"/>
  <c r="M5" i="26"/>
  <c r="M3" i="26"/>
  <c r="M2" i="26"/>
  <c r="AF308" i="26"/>
  <c r="AG308" i="26" s="1"/>
  <c r="AF261" i="26"/>
  <c r="AG261" i="26" s="1"/>
  <c r="AF252" i="26"/>
  <c r="AG252" i="26" s="1"/>
  <c r="Y310" i="26"/>
  <c r="K309" i="26"/>
  <c r="J304" i="26"/>
  <c r="N301" i="26"/>
  <c r="N299" i="26"/>
  <c r="AE299" i="26"/>
  <c r="N292" i="26"/>
  <c r="AE292" i="26"/>
  <c r="N291" i="26"/>
  <c r="M291" i="26"/>
  <c r="N289" i="26"/>
  <c r="Y289" i="26"/>
  <c r="N288" i="26"/>
  <c r="Y288" i="26"/>
  <c r="N285" i="26"/>
  <c r="N284" i="26"/>
  <c r="V284" i="26"/>
  <c r="N282" i="26"/>
  <c r="N281" i="26"/>
  <c r="J279" i="26"/>
  <c r="J278" i="26"/>
  <c r="N277" i="26"/>
  <c r="N276" i="26"/>
  <c r="M273" i="26"/>
  <c r="J271" i="26"/>
  <c r="AF271" i="26" s="1"/>
  <c r="AG271" i="26" s="1"/>
  <c r="N264" i="26"/>
  <c r="N263" i="26"/>
  <c r="S263" i="26"/>
  <c r="N260" i="26"/>
  <c r="N259" i="26"/>
  <c r="AE259" i="26"/>
  <c r="N256" i="26"/>
  <c r="M256" i="26"/>
  <c r="N255" i="26"/>
  <c r="M255" i="26"/>
  <c r="N250" i="26"/>
  <c r="N249" i="26"/>
  <c r="J247" i="26"/>
  <c r="J246" i="26"/>
  <c r="J245" i="26"/>
  <c r="H244" i="26"/>
  <c r="M244" i="26"/>
  <c r="J243" i="26"/>
  <c r="J242" i="26"/>
  <c r="Y241" i="26"/>
  <c r="J240" i="26"/>
  <c r="J239" i="26"/>
  <c r="J238" i="26"/>
  <c r="J237" i="26"/>
  <c r="AF237" i="26" s="1"/>
  <c r="AG237" i="26" s="1"/>
  <c r="J236" i="26"/>
  <c r="AF236" i="26" s="1"/>
  <c r="AG236" i="26" s="1"/>
  <c r="J235" i="26"/>
  <c r="J234" i="26"/>
  <c r="J233" i="26"/>
  <c r="AC232" i="26"/>
  <c r="Z232" i="26"/>
  <c r="W232" i="26"/>
  <c r="T232" i="26"/>
  <c r="Q232" i="26"/>
  <c r="N232" i="26"/>
  <c r="K232" i="26"/>
  <c r="H232" i="26"/>
  <c r="M232" i="26"/>
  <c r="AC231" i="26"/>
  <c r="Z231" i="26"/>
  <c r="W231" i="26"/>
  <c r="T231" i="26"/>
  <c r="Q231" i="26"/>
  <c r="N231" i="26"/>
  <c r="K231" i="26"/>
  <c r="H231" i="26"/>
  <c r="J230" i="26"/>
  <c r="AC229" i="26"/>
  <c r="Z229" i="26"/>
  <c r="W229" i="26"/>
  <c r="T229" i="26"/>
  <c r="Q229" i="26"/>
  <c r="N229" i="26"/>
  <c r="K229" i="26"/>
  <c r="H229" i="26"/>
  <c r="AC228" i="26"/>
  <c r="Z228" i="26"/>
  <c r="W228" i="26"/>
  <c r="T228" i="26"/>
  <c r="Q228" i="26"/>
  <c r="N228" i="26"/>
  <c r="K228" i="26"/>
  <c r="H228" i="26"/>
  <c r="J227" i="26"/>
  <c r="J226" i="26"/>
  <c r="AC225" i="26"/>
  <c r="Z225" i="26"/>
  <c r="W225" i="26"/>
  <c r="T225" i="26"/>
  <c r="Q225" i="26"/>
  <c r="N225" i="26"/>
  <c r="K225" i="26"/>
  <c r="H225" i="26"/>
  <c r="AC224" i="26"/>
  <c r="Z224" i="26"/>
  <c r="W224" i="26"/>
  <c r="T224" i="26"/>
  <c r="Q224" i="26"/>
  <c r="N224" i="26"/>
  <c r="K224" i="26"/>
  <c r="H224" i="26"/>
  <c r="J223" i="26"/>
  <c r="J222" i="26"/>
  <c r="J221" i="26"/>
  <c r="J220" i="26"/>
  <c r="AC219" i="26"/>
  <c r="Z219" i="26"/>
  <c r="W219" i="26"/>
  <c r="T219" i="26"/>
  <c r="Q219" i="26"/>
  <c r="N219" i="26"/>
  <c r="K219" i="26"/>
  <c r="H219" i="26"/>
  <c r="AC218" i="26"/>
  <c r="Z218" i="26"/>
  <c r="W218" i="26"/>
  <c r="T218" i="26"/>
  <c r="Q218" i="26"/>
  <c r="N218" i="26"/>
  <c r="K218" i="26"/>
  <c r="H218" i="26"/>
  <c r="J217" i="26"/>
  <c r="J216" i="26"/>
  <c r="J215" i="26"/>
  <c r="J214" i="26"/>
  <c r="H213" i="26"/>
  <c r="H212" i="26"/>
  <c r="J211" i="26"/>
  <c r="J210" i="26"/>
  <c r="M209" i="26"/>
  <c r="J208" i="26"/>
  <c r="J207" i="26"/>
  <c r="Z200" i="26"/>
  <c r="Q200" i="26"/>
  <c r="M200" i="26"/>
  <c r="Z199" i="26"/>
  <c r="Q199" i="26"/>
  <c r="P199" i="26"/>
  <c r="Z196" i="26"/>
  <c r="Q196" i="26"/>
  <c r="Z195" i="26"/>
  <c r="Q195" i="26"/>
  <c r="Z192" i="26"/>
  <c r="Q192" i="26"/>
  <c r="P192" i="26"/>
  <c r="Z191" i="26"/>
  <c r="Q191" i="26"/>
  <c r="AF190" i="26"/>
  <c r="AG190" i="26" s="1"/>
  <c r="AF189" i="26"/>
  <c r="AG189" i="26" s="1"/>
  <c r="Z186" i="26"/>
  <c r="Q186" i="26"/>
  <c r="AE186" i="26"/>
  <c r="Z185" i="26"/>
  <c r="Q185" i="26"/>
  <c r="Z182" i="26"/>
  <c r="Q182" i="26"/>
  <c r="Y182" i="26"/>
  <c r="Z181" i="26"/>
  <c r="Q181" i="26"/>
  <c r="M181" i="26"/>
  <c r="J179" i="26"/>
  <c r="J178" i="26"/>
  <c r="Z172" i="26"/>
  <c r="T172" i="26"/>
  <c r="K172" i="26"/>
  <c r="Z171" i="26"/>
  <c r="T171" i="26"/>
  <c r="K171" i="26"/>
  <c r="Z168" i="26"/>
  <c r="T168" i="26"/>
  <c r="K168" i="26"/>
  <c r="Z167" i="26"/>
  <c r="T167" i="26"/>
  <c r="K167" i="26"/>
  <c r="Z164" i="26"/>
  <c r="T164" i="26"/>
  <c r="K164" i="26"/>
  <c r="Z163" i="26"/>
  <c r="T163" i="26"/>
  <c r="K163" i="26"/>
  <c r="Z158" i="26"/>
  <c r="T158" i="26"/>
  <c r="K158" i="26"/>
  <c r="P158" i="26"/>
  <c r="Z157" i="26"/>
  <c r="T157" i="26"/>
  <c r="K157" i="26"/>
  <c r="AE157" i="26"/>
  <c r="Z154" i="26"/>
  <c r="T154" i="26"/>
  <c r="K154" i="26"/>
  <c r="M154" i="26"/>
  <c r="Z153" i="26"/>
  <c r="T153" i="26"/>
  <c r="K153" i="26"/>
  <c r="J151" i="26"/>
  <c r="AF151" i="26" s="1"/>
  <c r="AG151" i="26" s="1"/>
  <c r="J150" i="26"/>
  <c r="P148" i="26"/>
  <c r="Z147" i="26"/>
  <c r="H147" i="26"/>
  <c r="J147" i="26" s="1"/>
  <c r="M147" i="26"/>
  <c r="Z146" i="26"/>
  <c r="H146" i="26"/>
  <c r="J145" i="26"/>
  <c r="J144" i="26"/>
  <c r="J143" i="26"/>
  <c r="AB143" i="26"/>
  <c r="J142" i="26"/>
  <c r="J141" i="26"/>
  <c r="M138" i="26"/>
  <c r="J137" i="26"/>
  <c r="P136" i="26"/>
  <c r="J135" i="26"/>
  <c r="AF135" i="26" s="1"/>
  <c r="AG135" i="26" s="1"/>
  <c r="J134" i="26"/>
  <c r="J133" i="26"/>
  <c r="J132" i="26"/>
  <c r="AF132" i="26" s="1"/>
  <c r="AG132" i="26" s="1"/>
  <c r="J131" i="26"/>
  <c r="J125" i="26"/>
  <c r="J124" i="26"/>
  <c r="AF124" i="26" s="1"/>
  <c r="AG124" i="26" s="1"/>
  <c r="J123" i="26"/>
  <c r="J122" i="26"/>
  <c r="J121" i="26"/>
  <c r="J120" i="26"/>
  <c r="J119" i="26"/>
  <c r="AF119" i="26" s="1"/>
  <c r="AG119" i="26" s="1"/>
  <c r="W118" i="26"/>
  <c r="T118" i="26"/>
  <c r="Q118" i="26"/>
  <c r="P118" i="26"/>
  <c r="W117" i="26"/>
  <c r="T117" i="26"/>
  <c r="Q117" i="26"/>
  <c r="AE117" i="26"/>
  <c r="AB114" i="26"/>
  <c r="N110" i="26"/>
  <c r="N109" i="26"/>
  <c r="AE109" i="26"/>
  <c r="N106" i="26"/>
  <c r="N105" i="26"/>
  <c r="AB105" i="26"/>
  <c r="P102" i="26"/>
  <c r="J100" i="26"/>
  <c r="J99" i="26"/>
  <c r="J98" i="26"/>
  <c r="J97" i="26"/>
  <c r="J96" i="26"/>
  <c r="J95" i="26"/>
  <c r="J91" i="26"/>
  <c r="N90" i="26"/>
  <c r="P90" i="26" s="1"/>
  <c r="N89" i="26"/>
  <c r="J84" i="26"/>
  <c r="J83" i="26"/>
  <c r="J82" i="26"/>
  <c r="M79" i="26"/>
  <c r="K78" i="26"/>
  <c r="AE78" i="26"/>
  <c r="J75" i="26"/>
  <c r="P68" i="26"/>
  <c r="N67" i="26"/>
  <c r="N63" i="26"/>
  <c r="AB63" i="26"/>
  <c r="N62" i="26"/>
  <c r="P60" i="26"/>
  <c r="J58" i="26"/>
  <c r="J57" i="26"/>
  <c r="N56" i="26"/>
  <c r="P56" i="26"/>
  <c r="N55" i="26"/>
  <c r="M55" i="26"/>
  <c r="P51" i="26"/>
  <c r="J48" i="26"/>
  <c r="J47" i="26"/>
  <c r="V46" i="26"/>
  <c r="M45" i="26"/>
  <c r="AC44" i="26"/>
  <c r="Z44" i="26"/>
  <c r="W44" i="26"/>
  <c r="T44" i="26"/>
  <c r="Q44" i="26"/>
  <c r="N44" i="26"/>
  <c r="K44" i="26"/>
  <c r="H44" i="26"/>
  <c r="AC43" i="26"/>
  <c r="Z43" i="26"/>
  <c r="W43" i="26"/>
  <c r="T43" i="26"/>
  <c r="Q43" i="26"/>
  <c r="N43" i="26"/>
  <c r="K43" i="26"/>
  <c r="H43" i="26"/>
  <c r="J42" i="26"/>
  <c r="J41" i="26"/>
  <c r="AC40" i="26"/>
  <c r="Z40" i="26"/>
  <c r="W40" i="26"/>
  <c r="T40" i="26"/>
  <c r="Q40" i="26"/>
  <c r="N40" i="26"/>
  <c r="K40" i="26"/>
  <c r="H40" i="26"/>
  <c r="AC39" i="26"/>
  <c r="Z39" i="26"/>
  <c r="W39" i="26"/>
  <c r="T39" i="26"/>
  <c r="Q39" i="26"/>
  <c r="N39" i="26"/>
  <c r="K39" i="26"/>
  <c r="H39" i="26"/>
  <c r="J38" i="26"/>
  <c r="J37" i="26"/>
  <c r="W36" i="26"/>
  <c r="H36" i="26"/>
  <c r="S36" i="26"/>
  <c r="W35" i="26"/>
  <c r="H35" i="26"/>
  <c r="M35" i="26"/>
  <c r="J34" i="26"/>
  <c r="J33" i="26"/>
  <c r="J32" i="26"/>
  <c r="J31" i="26"/>
  <c r="W30" i="26"/>
  <c r="H30" i="26"/>
  <c r="W29" i="26"/>
  <c r="H29" i="26"/>
  <c r="M29" i="26"/>
  <c r="J28" i="26"/>
  <c r="J27" i="26"/>
  <c r="W26" i="26"/>
  <c r="H26" i="26"/>
  <c r="AE26" i="26"/>
  <c r="W25" i="26"/>
  <c r="H25" i="26"/>
  <c r="AE25" i="26"/>
  <c r="J24" i="26"/>
  <c r="J23" i="26"/>
  <c r="W22" i="26"/>
  <c r="H22" i="26"/>
  <c r="J22" i="26" s="1"/>
  <c r="W21" i="26"/>
  <c r="H21" i="26"/>
  <c r="J21" i="26" s="1"/>
  <c r="M21" i="26"/>
  <c r="J20" i="26"/>
  <c r="J19" i="26"/>
  <c r="J18" i="26"/>
  <c r="J17" i="26"/>
  <c r="W16" i="26"/>
  <c r="H16" i="26"/>
  <c r="AE16" i="26"/>
  <c r="W15" i="26"/>
  <c r="H15" i="26"/>
  <c r="AE15" i="26"/>
  <c r="J14" i="26"/>
  <c r="J13" i="26"/>
  <c r="W12" i="26"/>
  <c r="H12" i="26"/>
  <c r="M12" i="26"/>
  <c r="W11" i="26"/>
  <c r="H11" i="26"/>
  <c r="J10" i="26"/>
  <c r="W9" i="26"/>
  <c r="H9" i="26"/>
  <c r="AE9" i="26"/>
  <c r="W8" i="26"/>
  <c r="H8" i="26"/>
  <c r="J7" i="26"/>
  <c r="J6" i="26"/>
  <c r="J5" i="26"/>
  <c r="M4" i="26"/>
  <c r="J3" i="26"/>
  <c r="J2" i="26"/>
  <c r="AF111" i="26" l="1"/>
  <c r="AG111" i="26" s="1"/>
  <c r="AF6" i="27"/>
  <c r="AG6" i="27" s="1"/>
  <c r="AF14" i="27"/>
  <c r="AG14" i="27" s="1"/>
  <c r="AF22" i="27"/>
  <c r="AG22" i="27" s="1"/>
  <c r="AF30" i="27"/>
  <c r="AG30" i="27" s="1"/>
  <c r="AF38" i="27"/>
  <c r="AG38" i="27" s="1"/>
  <c r="AF48" i="27"/>
  <c r="AG48" i="27" s="1"/>
  <c r="AF56" i="27"/>
  <c r="AG56" i="27" s="1"/>
  <c r="AF64" i="27"/>
  <c r="AG64" i="27" s="1"/>
  <c r="AF72" i="27"/>
  <c r="AG72" i="27" s="1"/>
  <c r="AF80" i="27"/>
  <c r="AG80" i="27" s="1"/>
  <c r="AF88" i="27"/>
  <c r="AG88" i="27" s="1"/>
  <c r="AF98" i="27"/>
  <c r="AG98" i="27" s="1"/>
  <c r="AF106" i="27"/>
  <c r="AG106" i="27" s="1"/>
  <c r="AF114" i="27"/>
  <c r="AG114" i="27" s="1"/>
  <c r="AF122" i="27"/>
  <c r="AG122" i="27" s="1"/>
  <c r="AF130" i="27"/>
  <c r="AG130" i="27" s="1"/>
  <c r="AF138" i="27"/>
  <c r="AG138" i="27" s="1"/>
  <c r="AF148" i="27"/>
  <c r="AG148" i="27" s="1"/>
  <c r="AF158" i="27"/>
  <c r="AG158" i="27" s="1"/>
  <c r="AF166" i="27"/>
  <c r="AG166" i="27" s="1"/>
  <c r="AF69" i="26"/>
  <c r="AG69" i="26" s="1"/>
  <c r="AF268" i="26"/>
  <c r="AG268" i="26" s="1"/>
  <c r="AF220" i="26"/>
  <c r="AG220" i="26" s="1"/>
  <c r="AF14" i="26"/>
  <c r="AG14" i="26" s="1"/>
  <c r="AF133" i="26"/>
  <c r="AG133" i="26" s="1"/>
  <c r="AF37" i="26"/>
  <c r="AG37" i="26" s="1"/>
  <c r="AF20" i="26"/>
  <c r="AG20" i="26" s="1"/>
  <c r="AF4" i="27"/>
  <c r="AG4" i="27" s="1"/>
  <c r="AF12" i="27"/>
  <c r="AG12" i="27" s="1"/>
  <c r="AF20" i="27"/>
  <c r="AG20" i="27" s="1"/>
  <c r="AF28" i="27"/>
  <c r="AG28" i="27" s="1"/>
  <c r="AF36" i="27"/>
  <c r="AG36" i="27" s="1"/>
  <c r="AF46" i="27"/>
  <c r="AG46" i="27" s="1"/>
  <c r="AF54" i="27"/>
  <c r="AG54" i="27" s="1"/>
  <c r="AF62" i="27"/>
  <c r="AG62" i="27" s="1"/>
  <c r="AF70" i="27"/>
  <c r="AG70" i="27" s="1"/>
  <c r="AF78" i="27"/>
  <c r="AG78" i="27" s="1"/>
  <c r="AF86" i="27"/>
  <c r="AG86" i="27" s="1"/>
  <c r="AF96" i="27"/>
  <c r="AG96" i="27" s="1"/>
  <c r="AF104" i="27"/>
  <c r="AG104" i="27" s="1"/>
  <c r="AF112" i="27"/>
  <c r="AG112" i="27" s="1"/>
  <c r="AF120" i="27"/>
  <c r="AG120" i="27" s="1"/>
  <c r="AF128" i="27"/>
  <c r="AG128" i="27" s="1"/>
  <c r="AF136" i="27"/>
  <c r="AG136" i="27" s="1"/>
  <c r="AF154" i="27"/>
  <c r="AG154" i="27" s="1"/>
  <c r="AF164" i="27"/>
  <c r="AG164" i="27" s="1"/>
  <c r="AF172" i="27"/>
  <c r="AG172" i="27" s="1"/>
  <c r="AF84" i="26"/>
  <c r="AG84" i="26" s="1"/>
  <c r="AF57" i="26"/>
  <c r="AG57" i="26" s="1"/>
  <c r="AF295" i="26"/>
  <c r="AG295" i="26" s="1"/>
  <c r="AF9" i="27"/>
  <c r="AG9" i="27" s="1"/>
  <c r="AF17" i="27"/>
  <c r="AG17" i="27" s="1"/>
  <c r="AF25" i="27"/>
  <c r="AG25" i="27" s="1"/>
  <c r="AF33" i="27"/>
  <c r="AG33" i="27" s="1"/>
  <c r="AF43" i="27"/>
  <c r="AG43" i="27" s="1"/>
  <c r="AF51" i="27"/>
  <c r="AG51" i="27" s="1"/>
  <c r="AF59" i="27"/>
  <c r="AG59" i="27" s="1"/>
  <c r="AF67" i="27"/>
  <c r="AG67" i="27" s="1"/>
  <c r="AF75" i="27"/>
  <c r="AG75" i="27" s="1"/>
  <c r="AF83" i="27"/>
  <c r="AG83" i="27" s="1"/>
  <c r="AF101" i="27"/>
  <c r="AG101" i="27" s="1"/>
  <c r="AF109" i="27"/>
  <c r="AG109" i="27" s="1"/>
  <c r="AF117" i="27"/>
  <c r="AG117" i="27" s="1"/>
  <c r="AF125" i="27"/>
  <c r="AG125" i="27" s="1"/>
  <c r="AF133" i="27"/>
  <c r="AG133" i="27" s="1"/>
  <c r="AF141" i="27"/>
  <c r="AG141" i="27" s="1"/>
  <c r="AF151" i="27"/>
  <c r="AG151" i="27" s="1"/>
  <c r="AF161" i="27"/>
  <c r="AG161" i="27" s="1"/>
  <c r="AF169" i="27"/>
  <c r="AG169" i="27" s="1"/>
  <c r="J25" i="26"/>
  <c r="AF141" i="26"/>
  <c r="AG141" i="26" s="1"/>
  <c r="AF221" i="26"/>
  <c r="AG221" i="26" s="1"/>
  <c r="J11" i="26"/>
  <c r="AF23" i="26"/>
  <c r="AG23" i="26" s="1"/>
  <c r="M43" i="26"/>
  <c r="AF222" i="26"/>
  <c r="AG222" i="26" s="1"/>
  <c r="AE156" i="27"/>
  <c r="AE157" i="27" s="1"/>
  <c r="AE174" i="27" s="1"/>
  <c r="Y156" i="27"/>
  <c r="Y157" i="27" s="1"/>
  <c r="Y174" i="27" s="1"/>
  <c r="AF7" i="26"/>
  <c r="AG7" i="26" s="1"/>
  <c r="J16" i="26"/>
  <c r="AF47" i="26"/>
  <c r="AG47" i="26" s="1"/>
  <c r="AF5" i="26"/>
  <c r="AG5" i="26" s="1"/>
  <c r="Y22" i="26"/>
  <c r="J30" i="26"/>
  <c r="J39" i="26"/>
  <c r="M40" i="26"/>
  <c r="J43" i="26"/>
  <c r="M44" i="26"/>
  <c r="M163" i="26"/>
  <c r="M171" i="26"/>
  <c r="J212" i="26"/>
  <c r="AF215" i="26"/>
  <c r="AG215" i="26" s="1"/>
  <c r="P250" i="26"/>
  <c r="P282" i="26"/>
  <c r="M309" i="26"/>
  <c r="J40" i="26"/>
  <c r="J8" i="26"/>
  <c r="J36" i="26"/>
  <c r="M231" i="26"/>
  <c r="P291" i="26"/>
  <c r="M109" i="26"/>
  <c r="P29" i="26"/>
  <c r="AF280" i="26"/>
  <c r="AG280" i="26" s="1"/>
  <c r="P309" i="26"/>
  <c r="S25" i="26"/>
  <c r="P40" i="26"/>
  <c r="P264" i="26"/>
  <c r="M192" i="26"/>
  <c r="AF279" i="26"/>
  <c r="AG279" i="26" s="1"/>
  <c r="M292" i="26"/>
  <c r="AF140" i="26"/>
  <c r="AG140" i="26" s="1"/>
  <c r="AF70" i="26"/>
  <c r="AG70" i="26" s="1"/>
  <c r="AB147" i="26"/>
  <c r="Y51" i="26"/>
  <c r="M90" i="26"/>
  <c r="AF100" i="26"/>
  <c r="AG100" i="26" s="1"/>
  <c r="M182" i="26"/>
  <c r="AF32" i="26"/>
  <c r="AG32" i="26" s="1"/>
  <c r="AF48" i="26"/>
  <c r="AG48" i="26" s="1"/>
  <c r="AE40" i="26"/>
  <c r="AE291" i="26"/>
  <c r="AF188" i="26"/>
  <c r="AG188" i="26" s="1"/>
  <c r="AF286" i="26"/>
  <c r="AG286" i="26" s="1"/>
  <c r="J9" i="26"/>
  <c r="J29" i="26"/>
  <c r="J44" i="26"/>
  <c r="AB167" i="26"/>
  <c r="J232" i="26"/>
  <c r="M263" i="26"/>
  <c r="P21" i="26"/>
  <c r="P167" i="26"/>
  <c r="P273" i="26"/>
  <c r="AE29" i="26"/>
  <c r="AF96" i="26"/>
  <c r="AG96" i="26" s="1"/>
  <c r="P110" i="26"/>
  <c r="M26" i="26"/>
  <c r="M36" i="26"/>
  <c r="M136" i="26"/>
  <c r="M264" i="26"/>
  <c r="M284" i="26"/>
  <c r="P12" i="26"/>
  <c r="AF76" i="26"/>
  <c r="AG76" i="26" s="1"/>
  <c r="P109" i="26"/>
  <c r="P143" i="26"/>
  <c r="P232" i="26"/>
  <c r="AF240" i="26"/>
  <c r="AG240" i="26" s="1"/>
  <c r="AF266" i="26"/>
  <c r="AG266" i="26" s="1"/>
  <c r="AF101" i="26"/>
  <c r="AG101" i="26" s="1"/>
  <c r="AF294" i="26"/>
  <c r="AG294" i="26" s="1"/>
  <c r="M16" i="26"/>
  <c r="M63" i="26"/>
  <c r="AF77" i="26"/>
  <c r="AG77" i="26" s="1"/>
  <c r="AF85" i="26"/>
  <c r="AG85" i="26" s="1"/>
  <c r="AF197" i="26"/>
  <c r="AG197" i="26" s="1"/>
  <c r="J136" i="26"/>
  <c r="J228" i="26"/>
  <c r="M118" i="26"/>
  <c r="M199" i="26"/>
  <c r="AE21" i="26"/>
  <c r="AB40" i="26"/>
  <c r="AF269" i="26"/>
  <c r="AG269" i="26" s="1"/>
  <c r="M228" i="26"/>
  <c r="M289" i="26"/>
  <c r="AE199" i="26"/>
  <c r="AB16" i="26"/>
  <c r="Y8" i="26"/>
  <c r="V8" i="26"/>
  <c r="S8" i="26"/>
  <c r="AB8" i="26"/>
  <c r="V11" i="26"/>
  <c r="S11" i="26"/>
  <c r="AB11" i="26"/>
  <c r="AE11" i="26"/>
  <c r="Y11" i="26"/>
  <c r="AB22" i="26"/>
  <c r="S22" i="26"/>
  <c r="AE22" i="26"/>
  <c r="P22" i="26"/>
  <c r="M22" i="26"/>
  <c r="V22" i="26"/>
  <c r="V43" i="26"/>
  <c r="S43" i="26"/>
  <c r="AB43" i="26"/>
  <c r="V50" i="26"/>
  <c r="AE50" i="26"/>
  <c r="AB50" i="26"/>
  <c r="S50" i="26"/>
  <c r="Y50" i="26"/>
  <c r="V117" i="26"/>
  <c r="S117" i="26"/>
  <c r="AB117" i="26"/>
  <c r="AB128" i="26"/>
  <c r="S128" i="26"/>
  <c r="V128" i="26"/>
  <c r="Y128" i="26"/>
  <c r="P128" i="26"/>
  <c r="AB137" i="26"/>
  <c r="S137" i="26"/>
  <c r="Y137" i="26"/>
  <c r="V137" i="26"/>
  <c r="M137" i="26"/>
  <c r="V191" i="26"/>
  <c r="S191" i="26"/>
  <c r="AB191" i="26"/>
  <c r="S229" i="26"/>
  <c r="Y229" i="26"/>
  <c r="V229" i="26"/>
  <c r="AE229" i="26"/>
  <c r="M229" i="26"/>
  <c r="P229" i="26"/>
  <c r="M8" i="26"/>
  <c r="AF71" i="26"/>
  <c r="AG71" i="26" s="1"/>
  <c r="M117" i="26"/>
  <c r="AF125" i="26"/>
  <c r="AG125" i="26" s="1"/>
  <c r="M191" i="26"/>
  <c r="P11" i="26"/>
  <c r="P50" i="26"/>
  <c r="AF88" i="26"/>
  <c r="AG88" i="26" s="1"/>
  <c r="AF144" i="26"/>
  <c r="AG144" i="26" s="1"/>
  <c r="P241" i="26"/>
  <c r="P259" i="26"/>
  <c r="P289" i="26"/>
  <c r="AF54" i="26"/>
  <c r="AG54" i="26" s="1"/>
  <c r="AE128" i="26"/>
  <c r="Y49" i="26"/>
  <c r="AB49" i="26"/>
  <c r="P49" i="26"/>
  <c r="M49" i="26"/>
  <c r="V49" i="26"/>
  <c r="AB127" i="26"/>
  <c r="S127" i="26"/>
  <c r="Y127" i="26"/>
  <c r="AE127" i="26"/>
  <c r="V127" i="26"/>
  <c r="M127" i="26"/>
  <c r="J209" i="26"/>
  <c r="V209" i="26"/>
  <c r="S209" i="26"/>
  <c r="Y209" i="26"/>
  <c r="AE209" i="26"/>
  <c r="V249" i="26"/>
  <c r="AE249" i="26"/>
  <c r="S249" i="26"/>
  <c r="V281" i="26"/>
  <c r="AE281" i="26"/>
  <c r="S281" i="26"/>
  <c r="Y281" i="26"/>
  <c r="P288" i="26"/>
  <c r="V35" i="26"/>
  <c r="S35" i="26"/>
  <c r="AB35" i="26"/>
  <c r="Y35" i="26"/>
  <c r="AE35" i="26"/>
  <c r="V68" i="26"/>
  <c r="AE68" i="26"/>
  <c r="AB68" i="26"/>
  <c r="Y68" i="26"/>
  <c r="S68" i="26"/>
  <c r="AB276" i="26"/>
  <c r="S276" i="26"/>
  <c r="V276" i="26"/>
  <c r="AE276" i="26"/>
  <c r="P276" i="26"/>
  <c r="Y276" i="26"/>
  <c r="AF146" i="27"/>
  <c r="AG146" i="27" s="1"/>
  <c r="J156" i="27"/>
  <c r="S156" i="27"/>
  <c r="S157" i="27" s="1"/>
  <c r="S174" i="27" s="1"/>
  <c r="J26" i="26"/>
  <c r="S39" i="26"/>
  <c r="Y39" i="26"/>
  <c r="V39" i="26"/>
  <c r="AE39" i="26"/>
  <c r="P39" i="26"/>
  <c r="V44" i="26"/>
  <c r="AE44" i="26"/>
  <c r="AB44" i="26"/>
  <c r="Y44" i="26"/>
  <c r="S44" i="26"/>
  <c r="V52" i="26"/>
  <c r="AE52" i="26"/>
  <c r="AB52" i="26"/>
  <c r="Y52" i="26"/>
  <c r="S52" i="26"/>
  <c r="V60" i="26"/>
  <c r="AE60" i="26"/>
  <c r="AB60" i="26"/>
  <c r="Y60" i="26"/>
  <c r="V74" i="26"/>
  <c r="AE74" i="26"/>
  <c r="AB74" i="26"/>
  <c r="S74" i="26"/>
  <c r="Y74" i="26"/>
  <c r="AB86" i="26"/>
  <c r="S86" i="26"/>
  <c r="V86" i="26"/>
  <c r="AE86" i="26"/>
  <c r="Y86" i="26"/>
  <c r="P86" i="26"/>
  <c r="M86" i="26"/>
  <c r="J138" i="26"/>
  <c r="AB138" i="26"/>
  <c r="S138" i="26"/>
  <c r="AE138" i="26"/>
  <c r="V138" i="26"/>
  <c r="P138" i="26"/>
  <c r="J148" i="26"/>
  <c r="AB154" i="26"/>
  <c r="S154" i="26"/>
  <c r="Y154" i="26"/>
  <c r="AE154" i="26"/>
  <c r="P154" i="26"/>
  <c r="V158" i="26"/>
  <c r="AE158" i="26"/>
  <c r="AB158" i="26"/>
  <c r="S158" i="26"/>
  <c r="Y158" i="26"/>
  <c r="Y164" i="26"/>
  <c r="V164" i="26"/>
  <c r="AE164" i="26"/>
  <c r="AB164" i="26"/>
  <c r="M164" i="26"/>
  <c r="S164" i="26"/>
  <c r="V168" i="26"/>
  <c r="AE168" i="26"/>
  <c r="AB168" i="26"/>
  <c r="Y168" i="26"/>
  <c r="S168" i="26"/>
  <c r="Y172" i="26"/>
  <c r="V172" i="26"/>
  <c r="AE172" i="26"/>
  <c r="S172" i="26"/>
  <c r="M172" i="26"/>
  <c r="AB172" i="26"/>
  <c r="AB186" i="26"/>
  <c r="S186" i="26"/>
  <c r="Y186" i="26"/>
  <c r="M186" i="26"/>
  <c r="P186" i="26"/>
  <c r="Y196" i="26"/>
  <c r="V196" i="26"/>
  <c r="AE196" i="26"/>
  <c r="M196" i="26"/>
  <c r="AB196" i="26"/>
  <c r="V200" i="26"/>
  <c r="AE200" i="26"/>
  <c r="AB200" i="26"/>
  <c r="Y200" i="26"/>
  <c r="S200" i="26"/>
  <c r="AB212" i="26"/>
  <c r="S212" i="26"/>
  <c r="P212" i="26"/>
  <c r="V224" i="26"/>
  <c r="AE224" i="26"/>
  <c r="AB224" i="26"/>
  <c r="S224" i="26"/>
  <c r="J229" i="26"/>
  <c r="AB244" i="26"/>
  <c r="S244" i="26"/>
  <c r="Y244" i="26"/>
  <c r="V244" i="26"/>
  <c r="AE244" i="26"/>
  <c r="P244" i="26"/>
  <c r="M11" i="26"/>
  <c r="M56" i="26"/>
  <c r="M110" i="26"/>
  <c r="M128" i="26"/>
  <c r="M157" i="26"/>
  <c r="AF175" i="26"/>
  <c r="AG175" i="26" s="1"/>
  <c r="AF239" i="26"/>
  <c r="AG239" i="26" s="1"/>
  <c r="AF247" i="26"/>
  <c r="AG247" i="26" s="1"/>
  <c r="P4" i="26"/>
  <c r="P52" i="26"/>
  <c r="P137" i="26"/>
  <c r="P168" i="26"/>
  <c r="P196" i="26"/>
  <c r="AF216" i="26"/>
  <c r="AG216" i="26" s="1"/>
  <c r="P224" i="26"/>
  <c r="P281" i="26"/>
  <c r="AE43" i="26"/>
  <c r="AE212" i="26"/>
  <c r="AB281" i="26"/>
  <c r="Y138" i="26"/>
  <c r="V186" i="26"/>
  <c r="S102" i="26"/>
  <c r="V67" i="26"/>
  <c r="S67" i="26"/>
  <c r="AE67" i="26"/>
  <c r="AB67" i="26"/>
  <c r="J241" i="26"/>
  <c r="V241" i="26"/>
  <c r="AE241" i="26"/>
  <c r="S241" i="26"/>
  <c r="AB241" i="26"/>
  <c r="P249" i="26"/>
  <c r="AB146" i="26"/>
  <c r="S146" i="26"/>
  <c r="AE146" i="26"/>
  <c r="V146" i="26"/>
  <c r="P146" i="26"/>
  <c r="V289" i="26"/>
  <c r="AE289" i="26"/>
  <c r="S289" i="26"/>
  <c r="M146" i="26"/>
  <c r="J35" i="26"/>
  <c r="AB45" i="26"/>
  <c r="S45" i="26"/>
  <c r="Y45" i="26"/>
  <c r="AE45" i="26"/>
  <c r="V45" i="26"/>
  <c r="AB62" i="26"/>
  <c r="S62" i="26"/>
  <c r="Y62" i="26"/>
  <c r="V62" i="26"/>
  <c r="P62" i="26"/>
  <c r="M62" i="26"/>
  <c r="Y89" i="26"/>
  <c r="AB89" i="26"/>
  <c r="P89" i="26"/>
  <c r="M89" i="26"/>
  <c r="S89" i="26"/>
  <c r="V109" i="26"/>
  <c r="S109" i="26"/>
  <c r="AB109" i="26"/>
  <c r="Y109" i="26"/>
  <c r="J146" i="26"/>
  <c r="J149" i="26"/>
  <c r="Y149" i="26"/>
  <c r="AB149" i="26"/>
  <c r="P149" i="26"/>
  <c r="S149" i="26"/>
  <c r="V149" i="26"/>
  <c r="V218" i="26"/>
  <c r="AE218" i="26"/>
  <c r="AB218" i="26"/>
  <c r="Y218" i="26"/>
  <c r="M218" i="26"/>
  <c r="V225" i="26"/>
  <c r="S225" i="26"/>
  <c r="AB225" i="26"/>
  <c r="Y225" i="26"/>
  <c r="AE225" i="26"/>
  <c r="Y231" i="26"/>
  <c r="AB231" i="26"/>
  <c r="P231" i="26"/>
  <c r="V231" i="26"/>
  <c r="Y255" i="26"/>
  <c r="AB255" i="26"/>
  <c r="P255" i="26"/>
  <c r="S255" i="26"/>
  <c r="V255" i="26"/>
  <c r="AE255" i="26"/>
  <c r="Y263" i="26"/>
  <c r="AB263" i="26"/>
  <c r="P263" i="26"/>
  <c r="V263" i="26"/>
  <c r="AE263" i="26"/>
  <c r="S277" i="26"/>
  <c r="Y277" i="26"/>
  <c r="V277" i="26"/>
  <c r="AE277" i="26"/>
  <c r="AB277" i="26"/>
  <c r="M277" i="26"/>
  <c r="P277" i="26"/>
  <c r="AF31" i="26"/>
  <c r="AG31" i="26" s="1"/>
  <c r="M39" i="26"/>
  <c r="M74" i="26"/>
  <c r="M102" i="26"/>
  <c r="M149" i="26"/>
  <c r="M158" i="26"/>
  <c r="M167" i="26"/>
  <c r="M212" i="26"/>
  <c r="AF223" i="26"/>
  <c r="AG223" i="26" s="1"/>
  <c r="AF24" i="26"/>
  <c r="AG24" i="26" s="1"/>
  <c r="P43" i="26"/>
  <c r="AF64" i="26"/>
  <c r="AG64" i="26" s="1"/>
  <c r="AF72" i="26"/>
  <c r="AG72" i="26" s="1"/>
  <c r="P127" i="26"/>
  <c r="AF160" i="26"/>
  <c r="AG160" i="26" s="1"/>
  <c r="P225" i="26"/>
  <c r="AF272" i="26"/>
  <c r="AG272" i="26" s="1"/>
  <c r="AF304" i="26"/>
  <c r="AG304" i="26" s="1"/>
  <c r="AE89" i="26"/>
  <c r="Y212" i="26"/>
  <c r="AF201" i="26"/>
  <c r="AG201" i="26" s="1"/>
  <c r="V212" i="26"/>
  <c r="S4" i="26"/>
  <c r="S218" i="26"/>
  <c r="S231" i="26"/>
  <c r="Y114" i="26"/>
  <c r="V114" i="26"/>
  <c r="AE114" i="26"/>
  <c r="M114" i="26"/>
  <c r="S114" i="26"/>
  <c r="AB185" i="26"/>
  <c r="S185" i="26"/>
  <c r="Y185" i="26"/>
  <c r="AE185" i="26"/>
  <c r="M185" i="26"/>
  <c r="V185" i="26"/>
  <c r="S195" i="26"/>
  <c r="Y195" i="26"/>
  <c r="V195" i="26"/>
  <c r="AE195" i="26"/>
  <c r="P195" i="26"/>
  <c r="V288" i="26"/>
  <c r="AE288" i="26"/>
  <c r="AB288" i="26"/>
  <c r="S288" i="26"/>
  <c r="Y249" i="26"/>
  <c r="V51" i="26"/>
  <c r="S51" i="26"/>
  <c r="Y181" i="26"/>
  <c r="AB181" i="26"/>
  <c r="S181" i="26"/>
  <c r="P181" i="26"/>
  <c r="V181" i="26"/>
  <c r="AB260" i="26"/>
  <c r="S260" i="26"/>
  <c r="P260" i="26"/>
  <c r="V260" i="26"/>
  <c r="S301" i="26"/>
  <c r="Y301" i="26"/>
  <c r="V301" i="26"/>
  <c r="AE301" i="26"/>
  <c r="M301" i="26"/>
  <c r="P301" i="26"/>
  <c r="AB301" i="26"/>
  <c r="P117" i="26"/>
  <c r="AF176" i="26"/>
  <c r="AG176" i="26" s="1"/>
  <c r="Y9" i="26"/>
  <c r="AB9" i="26"/>
  <c r="V9" i="26"/>
  <c r="S9" i="26"/>
  <c r="P9" i="26"/>
  <c r="M9" i="26"/>
  <c r="V12" i="26"/>
  <c r="AE12" i="26"/>
  <c r="AB12" i="26"/>
  <c r="Y12" i="26"/>
  <c r="S12" i="26"/>
  <c r="S55" i="26"/>
  <c r="Y55" i="26"/>
  <c r="V55" i="26"/>
  <c r="P55" i="26"/>
  <c r="AB55" i="26"/>
  <c r="AE55" i="26"/>
  <c r="V118" i="26"/>
  <c r="AE118" i="26"/>
  <c r="AB118" i="26"/>
  <c r="Y118" i="26"/>
  <c r="S118" i="26"/>
  <c r="V182" i="26"/>
  <c r="AE182" i="26"/>
  <c r="AB182" i="26"/>
  <c r="S182" i="26"/>
  <c r="V192" i="26"/>
  <c r="AE192" i="26"/>
  <c r="AB192" i="26"/>
  <c r="Y192" i="26"/>
  <c r="S192" i="26"/>
  <c r="AE306" i="26"/>
  <c r="V306" i="26"/>
  <c r="AB306" i="26"/>
  <c r="S306" i="26"/>
  <c r="Y306" i="26"/>
  <c r="AF13" i="26"/>
  <c r="AG13" i="26" s="1"/>
  <c r="M50" i="26"/>
  <c r="M67" i="26"/>
  <c r="AF159" i="26"/>
  <c r="AG159" i="26" s="1"/>
  <c r="M168" i="26"/>
  <c r="M195" i="26"/>
  <c r="M224" i="26"/>
  <c r="M241" i="26"/>
  <c r="M249" i="26"/>
  <c r="M306" i="26"/>
  <c r="P16" i="26"/>
  <c r="P26" i="26"/>
  <c r="P35" i="26"/>
  <c r="P44" i="26"/>
  <c r="AF208" i="26"/>
  <c r="AG208" i="26" s="1"/>
  <c r="P218" i="26"/>
  <c r="AF6" i="26"/>
  <c r="AG6" i="26" s="1"/>
  <c r="AE181" i="26"/>
  <c r="AE191" i="26"/>
  <c r="AE260" i="26"/>
  <c r="AB51" i="26"/>
  <c r="AB229" i="26"/>
  <c r="AB249" i="26"/>
  <c r="Y43" i="26"/>
  <c r="Y117" i="26"/>
  <c r="Y224" i="26"/>
  <c r="V89" i="26"/>
  <c r="S60" i="26"/>
  <c r="S196" i="26"/>
  <c r="S105" i="26"/>
  <c r="Y105" i="26"/>
  <c r="V105" i="26"/>
  <c r="AE105" i="26"/>
  <c r="P105" i="26"/>
  <c r="AB259" i="26"/>
  <c r="S259" i="26"/>
  <c r="Y259" i="26"/>
  <c r="V259" i="26"/>
  <c r="M259" i="26"/>
  <c r="AB299" i="26"/>
  <c r="S299" i="26"/>
  <c r="Y299" i="26"/>
  <c r="V299" i="26"/>
  <c r="M299" i="26"/>
  <c r="AB209" i="26"/>
  <c r="S15" i="26"/>
  <c r="Y15" i="26"/>
  <c r="V15" i="26"/>
  <c r="P15" i="26"/>
  <c r="AB30" i="26"/>
  <c r="S30" i="26"/>
  <c r="V30" i="26"/>
  <c r="AE30" i="26"/>
  <c r="P30" i="26"/>
  <c r="M30" i="26"/>
  <c r="Y30" i="26"/>
  <c r="Y106" i="26"/>
  <c r="V106" i="26"/>
  <c r="AE106" i="26"/>
  <c r="M106" i="26"/>
  <c r="S106" i="26"/>
  <c r="AB106" i="26"/>
  <c r="Y148" i="26"/>
  <c r="V148" i="26"/>
  <c r="AE148" i="26"/>
  <c r="M148" i="26"/>
  <c r="S148" i="26"/>
  <c r="AB148" i="26"/>
  <c r="V250" i="26"/>
  <c r="AE250" i="26"/>
  <c r="AB250" i="26"/>
  <c r="Y250" i="26"/>
  <c r="M250" i="26"/>
  <c r="S250" i="26"/>
  <c r="AF80" i="26"/>
  <c r="AG80" i="26" s="1"/>
  <c r="Y67" i="26"/>
  <c r="V4" i="26"/>
  <c r="AE4" i="26"/>
  <c r="AB4" i="26"/>
  <c r="Y4" i="26"/>
  <c r="J15" i="26"/>
  <c r="J4" i="26"/>
  <c r="AB21" i="26"/>
  <c r="S21" i="26"/>
  <c r="Y21" i="26"/>
  <c r="V21" i="26"/>
  <c r="Y40" i="26"/>
  <c r="V40" i="26"/>
  <c r="S40" i="26"/>
  <c r="AB46" i="26"/>
  <c r="S46" i="26"/>
  <c r="AE46" i="26"/>
  <c r="Y46" i="26"/>
  <c r="P46" i="26"/>
  <c r="M46" i="26"/>
  <c r="AB78" i="26"/>
  <c r="S78" i="26"/>
  <c r="V78" i="26"/>
  <c r="Y78" i="26"/>
  <c r="P78" i="26"/>
  <c r="M78" i="26"/>
  <c r="J12" i="26"/>
  <c r="Y16" i="26"/>
  <c r="V16" i="26"/>
  <c r="S16" i="26"/>
  <c r="Y25" i="26"/>
  <c r="AB25" i="26"/>
  <c r="P25" i="26"/>
  <c r="M25" i="26"/>
  <c r="V25" i="26"/>
  <c r="AF28" i="26"/>
  <c r="AG28" i="26" s="1"/>
  <c r="V36" i="26"/>
  <c r="AE36" i="26"/>
  <c r="AB36" i="26"/>
  <c r="Y36" i="26"/>
  <c r="S63" i="26"/>
  <c r="Y63" i="26"/>
  <c r="V63" i="26"/>
  <c r="P63" i="26"/>
  <c r="V90" i="26"/>
  <c r="AE90" i="26"/>
  <c r="AB90" i="26"/>
  <c r="S90" i="26"/>
  <c r="Y90" i="26"/>
  <c r="V110" i="26"/>
  <c r="AE110" i="26"/>
  <c r="AB110" i="26"/>
  <c r="Y110" i="26"/>
  <c r="S110" i="26"/>
  <c r="V143" i="26"/>
  <c r="S143" i="26"/>
  <c r="Y143" i="26"/>
  <c r="AE143" i="26"/>
  <c r="S147" i="26"/>
  <c r="Y147" i="26"/>
  <c r="V147" i="26"/>
  <c r="AE147" i="26"/>
  <c r="P147" i="26"/>
  <c r="AF207" i="26"/>
  <c r="AG207" i="26" s="1"/>
  <c r="J213" i="26"/>
  <c r="S213" i="26"/>
  <c r="Y213" i="26"/>
  <c r="V213" i="26"/>
  <c r="AE213" i="26"/>
  <c r="M213" i="26"/>
  <c r="AB213" i="26"/>
  <c r="P213" i="26"/>
  <c r="J218" i="26"/>
  <c r="AB219" i="26"/>
  <c r="S219" i="26"/>
  <c r="Y219" i="26"/>
  <c r="V219" i="26"/>
  <c r="AE219" i="26"/>
  <c r="M219" i="26"/>
  <c r="J231" i="26"/>
  <c r="V232" i="26"/>
  <c r="AE232" i="26"/>
  <c r="AB232" i="26"/>
  <c r="S232" i="26"/>
  <c r="Y232" i="26"/>
  <c r="V256" i="26"/>
  <c r="AE256" i="26"/>
  <c r="AB256" i="26"/>
  <c r="S256" i="26"/>
  <c r="Y256" i="26"/>
  <c r="V264" i="26"/>
  <c r="AE264" i="26"/>
  <c r="AB264" i="26"/>
  <c r="S264" i="26"/>
  <c r="Y264" i="26"/>
  <c r="S285" i="26"/>
  <c r="Y285" i="26"/>
  <c r="V285" i="26"/>
  <c r="AE285" i="26"/>
  <c r="M285" i="26"/>
  <c r="AB285" i="26"/>
  <c r="P285" i="26"/>
  <c r="AB292" i="26"/>
  <c r="S292" i="26"/>
  <c r="Y292" i="26"/>
  <c r="P292" i="26"/>
  <c r="V292" i="26"/>
  <c r="AB309" i="26"/>
  <c r="S309" i="26"/>
  <c r="Y309" i="26"/>
  <c r="V309" i="26"/>
  <c r="AE309" i="26"/>
  <c r="M51" i="26"/>
  <c r="M68" i="26"/>
  <c r="M225" i="26"/>
  <c r="M260" i="26"/>
  <c r="M276" i="26"/>
  <c r="P36" i="26"/>
  <c r="P45" i="26"/>
  <c r="P74" i="26"/>
  <c r="AF152" i="26"/>
  <c r="AG152" i="26" s="1"/>
  <c r="P172" i="26"/>
  <c r="P209" i="26"/>
  <c r="P219" i="26"/>
  <c r="P256" i="26"/>
  <c r="P306" i="26"/>
  <c r="AE49" i="26"/>
  <c r="AE62" i="26"/>
  <c r="AE149" i="26"/>
  <c r="V154" i="26"/>
  <c r="AB310" i="26"/>
  <c r="S310" i="26"/>
  <c r="AE310" i="26"/>
  <c r="V310" i="26"/>
  <c r="M310" i="26"/>
  <c r="P310" i="26"/>
  <c r="V26" i="26"/>
  <c r="AB26" i="26"/>
  <c r="S26" i="26"/>
  <c r="Y26" i="26"/>
  <c r="V282" i="26"/>
  <c r="AE282" i="26"/>
  <c r="AB282" i="26"/>
  <c r="Y282" i="26"/>
  <c r="M282" i="26"/>
  <c r="S282" i="26"/>
  <c r="M281" i="26"/>
  <c r="P185" i="26"/>
  <c r="P299" i="26"/>
  <c r="Y146" i="26"/>
  <c r="AB29" i="26"/>
  <c r="S29" i="26"/>
  <c r="Y29" i="26"/>
  <c r="V29" i="26"/>
  <c r="Y56" i="26"/>
  <c r="V56" i="26"/>
  <c r="S56" i="26"/>
  <c r="AB56" i="26"/>
  <c r="AE56" i="26"/>
  <c r="S79" i="26"/>
  <c r="Y79" i="26"/>
  <c r="V79" i="26"/>
  <c r="AE79" i="26"/>
  <c r="AB79" i="26"/>
  <c r="P79" i="26"/>
  <c r="V102" i="26"/>
  <c r="AE102" i="26"/>
  <c r="AB102" i="26"/>
  <c r="Y102" i="26"/>
  <c r="V136" i="26"/>
  <c r="AE136" i="26"/>
  <c r="AB136" i="26"/>
  <c r="Y136" i="26"/>
  <c r="S136" i="26"/>
  <c r="AB153" i="26"/>
  <c r="S153" i="26"/>
  <c r="Y153" i="26"/>
  <c r="AE153" i="26"/>
  <c r="M153" i="26"/>
  <c r="V153" i="26"/>
  <c r="Y157" i="26"/>
  <c r="AB157" i="26"/>
  <c r="P157" i="26"/>
  <c r="V157" i="26"/>
  <c r="S157" i="26"/>
  <c r="S163" i="26"/>
  <c r="Y163" i="26"/>
  <c r="V163" i="26"/>
  <c r="AE163" i="26"/>
  <c r="AB163" i="26"/>
  <c r="P163" i="26"/>
  <c r="V167" i="26"/>
  <c r="S167" i="26"/>
  <c r="Y167" i="26"/>
  <c r="AE167" i="26"/>
  <c r="S171" i="26"/>
  <c r="Y171" i="26"/>
  <c r="V171" i="26"/>
  <c r="AE171" i="26"/>
  <c r="AB171" i="26"/>
  <c r="P171" i="26"/>
  <c r="V199" i="26"/>
  <c r="S199" i="26"/>
  <c r="Y199" i="26"/>
  <c r="AB199" i="26"/>
  <c r="AB228" i="26"/>
  <c r="S228" i="26"/>
  <c r="V228" i="26"/>
  <c r="Y228" i="26"/>
  <c r="AE228" i="26"/>
  <c r="P228" i="26"/>
  <c r="M15" i="26"/>
  <c r="M52" i="26"/>
  <c r="M60" i="26"/>
  <c r="M105" i="26"/>
  <c r="M143" i="26"/>
  <c r="M288" i="26"/>
  <c r="P8" i="26"/>
  <c r="P67" i="26"/>
  <c r="P106" i="26"/>
  <c r="P114" i="26"/>
  <c r="P153" i="26"/>
  <c r="P164" i="26"/>
  <c r="P182" i="26"/>
  <c r="P191" i="26"/>
  <c r="P200" i="26"/>
  <c r="AF248" i="26"/>
  <c r="AG248" i="26" s="1"/>
  <c r="AF296" i="26"/>
  <c r="AG296" i="26" s="1"/>
  <c r="AE8" i="26"/>
  <c r="AF38" i="26"/>
  <c r="AG38" i="26" s="1"/>
  <c r="AE51" i="26"/>
  <c r="AE63" i="26"/>
  <c r="AE137" i="26"/>
  <c r="AE231" i="26"/>
  <c r="AB15" i="26"/>
  <c r="AB39" i="26"/>
  <c r="AB195" i="26"/>
  <c r="AB289" i="26"/>
  <c r="Y191" i="26"/>
  <c r="Y260" i="26"/>
  <c r="S49" i="26"/>
  <c r="M91" i="27"/>
  <c r="M92" i="27" s="1"/>
  <c r="AB91" i="27"/>
  <c r="AB92" i="27" s="1"/>
  <c r="V91" i="27"/>
  <c r="V92" i="27" s="1"/>
  <c r="P91" i="27"/>
  <c r="P92" i="27" s="1"/>
  <c r="V273" i="26"/>
  <c r="AE273" i="26"/>
  <c r="S273" i="26"/>
  <c r="AF95" i="26"/>
  <c r="AG95" i="26" s="1"/>
  <c r="AF103" i="26"/>
  <c r="AG103" i="26" s="1"/>
  <c r="AF104" i="26"/>
  <c r="AG104" i="26" s="1"/>
  <c r="AF112" i="26"/>
  <c r="AG112" i="26" s="1"/>
  <c r="AF120" i="26"/>
  <c r="AG120" i="26" s="1"/>
  <c r="P284" i="26"/>
  <c r="AE284" i="26"/>
  <c r="AB273" i="26"/>
  <c r="Y273" i="26"/>
  <c r="AF7" i="27"/>
  <c r="AG7" i="27" s="1"/>
  <c r="AF15" i="27"/>
  <c r="AG15" i="27" s="1"/>
  <c r="AF23" i="27"/>
  <c r="AG23" i="27" s="1"/>
  <c r="AF31" i="27"/>
  <c r="AG31" i="27" s="1"/>
  <c r="AF41" i="27"/>
  <c r="AG41" i="27" s="1"/>
  <c r="J91" i="27"/>
  <c r="AF49" i="27"/>
  <c r="AG49" i="27" s="1"/>
  <c r="AF57" i="27"/>
  <c r="AG57" i="27" s="1"/>
  <c r="AF65" i="27"/>
  <c r="AG65" i="27" s="1"/>
  <c r="AF73" i="27"/>
  <c r="AG73" i="27" s="1"/>
  <c r="AF81" i="27"/>
  <c r="AG81" i="27" s="1"/>
  <c r="AF89" i="27"/>
  <c r="AG89" i="27" s="1"/>
  <c r="AF99" i="27"/>
  <c r="AG99" i="27" s="1"/>
  <c r="AF107" i="27"/>
  <c r="AG107" i="27" s="1"/>
  <c r="AF115" i="27"/>
  <c r="AG115" i="27" s="1"/>
  <c r="AF123" i="27"/>
  <c r="AG123" i="27" s="1"/>
  <c r="AF131" i="27"/>
  <c r="AG131" i="27" s="1"/>
  <c r="AF139" i="27"/>
  <c r="AG139" i="27" s="1"/>
  <c r="AF149" i="27"/>
  <c r="AG149" i="27" s="1"/>
  <c r="AF159" i="27"/>
  <c r="AG159" i="27" s="1"/>
  <c r="AF167" i="27"/>
  <c r="AG167" i="27" s="1"/>
  <c r="AE91" i="27"/>
  <c r="AE92" i="27" s="1"/>
  <c r="AB284" i="26"/>
  <c r="S284" i="26"/>
  <c r="AB291" i="26"/>
  <c r="S291" i="26"/>
  <c r="Y291" i="26"/>
  <c r="AF245" i="26"/>
  <c r="AG245" i="26" s="1"/>
  <c r="AF253" i="26"/>
  <c r="AG253" i="26" s="1"/>
  <c r="AF293" i="26"/>
  <c r="AG293" i="26" s="1"/>
  <c r="Y284" i="26"/>
  <c r="AF107" i="26"/>
  <c r="AG107" i="26" s="1"/>
  <c r="V291" i="26"/>
  <c r="M144" i="27"/>
  <c r="M145" i="27" s="1"/>
  <c r="AB144" i="27"/>
  <c r="AB145" i="27" s="1"/>
  <c r="V144" i="27"/>
  <c r="V145" i="27" s="1"/>
  <c r="P144" i="27"/>
  <c r="P145" i="27" s="1"/>
  <c r="AF214" i="26"/>
  <c r="AG214" i="26" s="1"/>
  <c r="AF230" i="26"/>
  <c r="AG230" i="26" s="1"/>
  <c r="AF238" i="26"/>
  <c r="AG238" i="26" s="1"/>
  <c r="AF246" i="26"/>
  <c r="AG246" i="26" s="1"/>
  <c r="AF254" i="26"/>
  <c r="AG254" i="26" s="1"/>
  <c r="AF262" i="26"/>
  <c r="AG262" i="26" s="1"/>
  <c r="AF278" i="26"/>
  <c r="AG278" i="26" s="1"/>
  <c r="AF58" i="26"/>
  <c r="AG58" i="26" s="1"/>
  <c r="AF66" i="26"/>
  <c r="AG66" i="26" s="1"/>
  <c r="AF75" i="26"/>
  <c r="AG75" i="26" s="1"/>
  <c r="AF91" i="26"/>
  <c r="AG91" i="26" s="1"/>
  <c r="AF307" i="26"/>
  <c r="AG307" i="26" s="1"/>
  <c r="M39" i="27"/>
  <c r="M40" i="27" s="1"/>
  <c r="AB39" i="27"/>
  <c r="AB40" i="27" s="1"/>
  <c r="V39" i="27"/>
  <c r="V40" i="27" s="1"/>
  <c r="P39" i="27"/>
  <c r="P40" i="27" s="1"/>
  <c r="Y91" i="27"/>
  <c r="Y92" i="27" s="1"/>
  <c r="S91" i="27"/>
  <c r="S92" i="27" s="1"/>
  <c r="AF134" i="26"/>
  <c r="AG134" i="26" s="1"/>
  <c r="AF142" i="26"/>
  <c r="AG142" i="26" s="1"/>
  <c r="AF150" i="26"/>
  <c r="AG150" i="26" s="1"/>
  <c r="AF166" i="26"/>
  <c r="AG166" i="26" s="1"/>
  <c r="AF174" i="26"/>
  <c r="AG174" i="26" s="1"/>
  <c r="AF274" i="26"/>
  <c r="AG274" i="26" s="1"/>
  <c r="AF227" i="26"/>
  <c r="AG227" i="26" s="1"/>
  <c r="AF283" i="26"/>
  <c r="AG283" i="26" s="1"/>
  <c r="AF8" i="27"/>
  <c r="AG8" i="27" s="1"/>
  <c r="AF16" i="27"/>
  <c r="AG16" i="27" s="1"/>
  <c r="AF24" i="27"/>
  <c r="AG24" i="27" s="1"/>
  <c r="AF32" i="27"/>
  <c r="AG32" i="27" s="1"/>
  <c r="AF42" i="27"/>
  <c r="AG42" i="27" s="1"/>
  <c r="AF50" i="27"/>
  <c r="AG50" i="27" s="1"/>
  <c r="AF58" i="27"/>
  <c r="AG58" i="27" s="1"/>
  <c r="AF66" i="27"/>
  <c r="AG66" i="27" s="1"/>
  <c r="AF74" i="27"/>
  <c r="AG74" i="27" s="1"/>
  <c r="AF82" i="27"/>
  <c r="AG82" i="27" s="1"/>
  <c r="AF90" i="27"/>
  <c r="AG90" i="27" s="1"/>
  <c r="AF100" i="27"/>
  <c r="AG100" i="27" s="1"/>
  <c r="AF108" i="27"/>
  <c r="AG108" i="27" s="1"/>
  <c r="AF116" i="27"/>
  <c r="AG116" i="27" s="1"/>
  <c r="AF124" i="27"/>
  <c r="AG124" i="27" s="1"/>
  <c r="AF132" i="27"/>
  <c r="AG132" i="27" s="1"/>
  <c r="AF140" i="27"/>
  <c r="AG140" i="27" s="1"/>
  <c r="AF150" i="27"/>
  <c r="AG150" i="27" s="1"/>
  <c r="AF160" i="27"/>
  <c r="AG160" i="27" s="1"/>
  <c r="AF168" i="27"/>
  <c r="AG168" i="27" s="1"/>
  <c r="M156" i="27"/>
  <c r="M157" i="27" s="1"/>
  <c r="M174" i="27" s="1"/>
  <c r="AB156" i="27"/>
  <c r="AB157" i="27" s="1"/>
  <c r="AB174" i="27" s="1"/>
  <c r="V156" i="27"/>
  <c r="V157" i="27" s="1"/>
  <c r="V174" i="27" s="1"/>
  <c r="P156" i="27"/>
  <c r="P157" i="27" s="1"/>
  <c r="P174" i="27" s="1"/>
  <c r="AF93" i="27"/>
  <c r="AG93" i="27" s="1"/>
  <c r="J144" i="27"/>
  <c r="AE144" i="27"/>
  <c r="AE145" i="27" s="1"/>
  <c r="Y144" i="27"/>
  <c r="Y145" i="27" s="1"/>
  <c r="S144" i="27"/>
  <c r="S145" i="27" s="1"/>
  <c r="AF170" i="26"/>
  <c r="AG170" i="26" s="1"/>
  <c r="AF194" i="26"/>
  <c r="AG194" i="26" s="1"/>
  <c r="AF131" i="26"/>
  <c r="AG131" i="26" s="1"/>
  <c r="AF179" i="26"/>
  <c r="AG179" i="26" s="1"/>
  <c r="AF2" i="27"/>
  <c r="AG2" i="27" s="1"/>
  <c r="J39" i="27"/>
  <c r="AE39" i="27"/>
  <c r="AE40" i="27" s="1"/>
  <c r="Y39" i="27"/>
  <c r="Y40" i="27" s="1"/>
  <c r="S39" i="27"/>
  <c r="S40" i="27" s="1"/>
  <c r="AF3" i="26"/>
  <c r="AG3" i="26" s="1"/>
  <c r="AF19" i="26"/>
  <c r="AG19" i="26" s="1"/>
  <c r="AF27" i="26"/>
  <c r="AG27" i="26" s="1"/>
  <c r="AF59" i="26"/>
  <c r="AG59" i="26" s="1"/>
  <c r="AF83" i="26"/>
  <c r="AG83" i="26" s="1"/>
  <c r="AF99" i="26"/>
  <c r="AG99" i="26" s="1"/>
  <c r="AF115" i="26"/>
  <c r="AG115" i="26" s="1"/>
  <c r="AF123" i="26"/>
  <c r="AG123" i="26" s="1"/>
  <c r="AF139" i="26"/>
  <c r="AG139" i="26" s="1"/>
  <c r="AF187" i="26"/>
  <c r="AG187" i="26" s="1"/>
  <c r="AF203" i="26"/>
  <c r="AG203" i="26" s="1"/>
  <c r="AF211" i="26"/>
  <c r="AG211" i="26" s="1"/>
  <c r="AF235" i="26"/>
  <c r="AG235" i="26" s="1"/>
  <c r="AF243" i="26"/>
  <c r="AG243" i="26" s="1"/>
  <c r="AF251" i="26"/>
  <c r="AG251" i="26" s="1"/>
  <c r="AF267" i="26"/>
  <c r="AG267" i="26" s="1"/>
  <c r="AF275" i="26"/>
  <c r="AG275" i="26" s="1"/>
  <c r="AF33" i="26"/>
  <c r="AG33" i="26" s="1"/>
  <c r="AF41" i="26"/>
  <c r="AG41" i="26" s="1"/>
  <c r="AF65" i="26"/>
  <c r="AG65" i="26" s="1"/>
  <c r="AF73" i="26"/>
  <c r="AG73" i="26" s="1"/>
  <c r="AF97" i="26"/>
  <c r="AG97" i="26" s="1"/>
  <c r="AF113" i="26"/>
  <c r="AG113" i="26" s="1"/>
  <c r="AF121" i="26"/>
  <c r="AG121" i="26" s="1"/>
  <c r="AF193" i="26"/>
  <c r="AG193" i="26" s="1"/>
  <c r="AF217" i="26"/>
  <c r="AG217" i="26" s="1"/>
  <c r="AF17" i="26"/>
  <c r="AG17" i="26" s="1"/>
  <c r="AF81" i="26"/>
  <c r="AG81" i="26" s="1"/>
  <c r="AF145" i="26"/>
  <c r="AG145" i="26" s="1"/>
  <c r="AF161" i="26"/>
  <c r="AG161" i="26" s="1"/>
  <c r="AF169" i="26"/>
  <c r="AG169" i="26" s="1"/>
  <c r="AF177" i="26"/>
  <c r="AG177" i="26" s="1"/>
  <c r="AF233" i="26"/>
  <c r="AG233" i="26" s="1"/>
  <c r="AF257" i="26"/>
  <c r="AG257" i="26" s="1"/>
  <c r="AF265" i="26"/>
  <c r="AG265" i="26" s="1"/>
  <c r="AF297" i="26"/>
  <c r="AG297" i="26" s="1"/>
  <c r="AF305" i="26"/>
  <c r="AG305" i="26" s="1"/>
  <c r="AF10" i="26"/>
  <c r="AG10" i="26" s="1"/>
  <c r="AF18" i="26"/>
  <c r="AG18" i="26" s="1"/>
  <c r="AF34" i="26"/>
  <c r="AG34" i="26" s="1"/>
  <c r="AF42" i="26"/>
  <c r="AG42" i="26" s="1"/>
  <c r="AF82" i="26"/>
  <c r="AG82" i="26" s="1"/>
  <c r="AF98" i="26"/>
  <c r="AG98" i="26" s="1"/>
  <c r="AF122" i="26"/>
  <c r="AG122" i="26" s="1"/>
  <c r="AF162" i="26"/>
  <c r="AG162" i="26" s="1"/>
  <c r="AF178" i="26"/>
  <c r="AG178" i="26" s="1"/>
  <c r="AF210" i="26"/>
  <c r="AG210" i="26" s="1"/>
  <c r="AF226" i="26"/>
  <c r="AG226" i="26" s="1"/>
  <c r="AF234" i="26"/>
  <c r="AG234" i="26" s="1"/>
  <c r="AF242" i="26"/>
  <c r="AG242" i="26" s="1"/>
  <c r="AF258" i="26"/>
  <c r="AG258" i="26" s="1"/>
  <c r="AF290" i="26"/>
  <c r="AG290" i="26" s="1"/>
  <c r="AF298" i="26"/>
  <c r="AG298" i="26" s="1"/>
  <c r="AF198" i="26"/>
  <c r="AG198" i="26" s="1"/>
  <c r="AF202" i="26"/>
  <c r="AG202" i="26" s="1"/>
  <c r="AF183" i="26"/>
  <c r="AG183" i="26" s="1"/>
  <c r="AF184" i="26"/>
  <c r="AG184" i="26" s="1"/>
  <c r="AF2" i="26"/>
  <c r="AG2" i="26" s="1"/>
  <c r="J46" i="26"/>
  <c r="J224" i="26"/>
  <c r="J310" i="26"/>
  <c r="J219" i="26"/>
  <c r="J225" i="26"/>
  <c r="J244" i="26"/>
  <c r="J45" i="26"/>
  <c r="Y311" i="26" l="1"/>
  <c r="AF143" i="26"/>
  <c r="AG143" i="26" s="1"/>
  <c r="AF232" i="26"/>
  <c r="AG232" i="26" s="1"/>
  <c r="AF284" i="26"/>
  <c r="AG284" i="26" s="1"/>
  <c r="AF182" i="26"/>
  <c r="AG182" i="26" s="1"/>
  <c r="AF29" i="26"/>
  <c r="AG29" i="26" s="1"/>
  <c r="P311" i="26"/>
  <c r="AE311" i="26"/>
  <c r="AF292" i="26"/>
  <c r="AG292" i="26" s="1"/>
  <c r="AF90" i="26"/>
  <c r="AG90" i="26" s="1"/>
  <c r="AF55" i="26"/>
  <c r="AG55" i="26" s="1"/>
  <c r="AF231" i="26"/>
  <c r="AG231" i="26" s="1"/>
  <c r="AF289" i="26"/>
  <c r="AG289" i="26" s="1"/>
  <c r="AF67" i="26"/>
  <c r="AG67" i="26" s="1"/>
  <c r="AF62" i="26"/>
  <c r="AG62" i="26" s="1"/>
  <c r="J205" i="26"/>
  <c r="J206" i="26" s="1"/>
  <c r="AF153" i="26"/>
  <c r="AG153" i="26" s="1"/>
  <c r="V302" i="26"/>
  <c r="V303" i="26" s="1"/>
  <c r="AF147" i="26"/>
  <c r="AG147" i="26" s="1"/>
  <c r="AF291" i="26"/>
  <c r="AG291" i="26" s="1"/>
  <c r="AF264" i="26"/>
  <c r="AG264" i="26" s="1"/>
  <c r="Y302" i="26"/>
  <c r="Y303" i="26" s="1"/>
  <c r="AF146" i="26"/>
  <c r="AG146" i="26" s="1"/>
  <c r="AF11" i="26"/>
  <c r="AG11" i="26" s="1"/>
  <c r="AF22" i="26"/>
  <c r="AG22" i="26" s="1"/>
  <c r="AF225" i="26"/>
  <c r="AG225" i="26" s="1"/>
  <c r="AF273" i="26"/>
  <c r="AG273" i="26" s="1"/>
  <c r="AF309" i="26"/>
  <c r="AG309" i="26" s="1"/>
  <c r="AF4" i="26"/>
  <c r="AG4" i="26" s="1"/>
  <c r="AF163" i="26"/>
  <c r="AG163" i="26" s="1"/>
  <c r="AF192" i="26"/>
  <c r="AG192" i="26" s="1"/>
  <c r="AF310" i="26"/>
  <c r="AG310" i="26" s="1"/>
  <c r="AF200" i="26"/>
  <c r="AG200" i="26" s="1"/>
  <c r="AF8" i="26"/>
  <c r="AG8" i="26" s="1"/>
  <c r="AF106" i="26"/>
  <c r="AG106" i="26" s="1"/>
  <c r="AF30" i="26"/>
  <c r="AG30" i="26" s="1"/>
  <c r="AB302" i="26"/>
  <c r="AB303" i="26" s="1"/>
  <c r="AF51" i="26"/>
  <c r="AG51" i="26" s="1"/>
  <c r="AF114" i="26"/>
  <c r="AG114" i="26" s="1"/>
  <c r="AF241" i="26"/>
  <c r="AG241" i="26" s="1"/>
  <c r="P205" i="26"/>
  <c r="P206" i="26" s="1"/>
  <c r="M311" i="26"/>
  <c r="AF74" i="26"/>
  <c r="AG74" i="26" s="1"/>
  <c r="AF185" i="26"/>
  <c r="AG185" i="26" s="1"/>
  <c r="AF219" i="26"/>
  <c r="AG219" i="26" s="1"/>
  <c r="J302" i="26"/>
  <c r="J303" i="26" s="1"/>
  <c r="V311" i="26"/>
  <c r="AF49" i="26"/>
  <c r="AG49" i="26" s="1"/>
  <c r="AF171" i="26"/>
  <c r="AG171" i="26" s="1"/>
  <c r="AF25" i="26"/>
  <c r="AG25" i="26" s="1"/>
  <c r="AF78" i="26"/>
  <c r="AG78" i="26" s="1"/>
  <c r="AF46" i="26"/>
  <c r="AG46" i="26" s="1"/>
  <c r="AF21" i="26"/>
  <c r="AG21" i="26" s="1"/>
  <c r="M205" i="26"/>
  <c r="M206" i="26" s="1"/>
  <c r="AF218" i="26"/>
  <c r="AG218" i="26" s="1"/>
  <c r="AF35" i="26"/>
  <c r="AG35" i="26" s="1"/>
  <c r="AF128" i="26"/>
  <c r="AG128" i="26" s="1"/>
  <c r="AF136" i="26"/>
  <c r="AG136" i="26" s="1"/>
  <c r="M302" i="26"/>
  <c r="M303" i="26" s="1"/>
  <c r="AF40" i="26"/>
  <c r="AG40" i="26" s="1"/>
  <c r="AF186" i="26"/>
  <c r="AG186" i="26" s="1"/>
  <c r="AF164" i="26"/>
  <c r="AG164" i="26" s="1"/>
  <c r="AF158" i="26"/>
  <c r="AG158" i="26" s="1"/>
  <c r="AF249" i="26"/>
  <c r="AG249" i="26" s="1"/>
  <c r="AF50" i="26"/>
  <c r="AG50" i="26" s="1"/>
  <c r="AF89" i="26"/>
  <c r="AG89" i="26" s="1"/>
  <c r="Y205" i="26"/>
  <c r="Y206" i="26" s="1"/>
  <c r="AF79" i="26"/>
  <c r="AG79" i="26" s="1"/>
  <c r="AF56" i="26"/>
  <c r="AG56" i="26" s="1"/>
  <c r="AF299" i="26"/>
  <c r="AG299" i="26" s="1"/>
  <c r="Y92" i="26"/>
  <c r="Y93" i="26" s="1"/>
  <c r="Y129" i="26" s="1"/>
  <c r="Y130" i="26" s="1"/>
  <c r="S302" i="26"/>
  <c r="S303" i="26" s="1"/>
  <c r="AF212" i="26"/>
  <c r="AG212" i="26" s="1"/>
  <c r="V205" i="26"/>
  <c r="V206" i="26" s="1"/>
  <c r="AE302" i="26"/>
  <c r="AE303" i="26" s="1"/>
  <c r="S205" i="26"/>
  <c r="S206" i="26" s="1"/>
  <c r="S92" i="26"/>
  <c r="S93" i="26" s="1"/>
  <c r="S129" i="26" s="1"/>
  <c r="S130" i="26" s="1"/>
  <c r="AB205" i="26"/>
  <c r="AB206" i="26" s="1"/>
  <c r="AF259" i="26"/>
  <c r="AG259" i="26" s="1"/>
  <c r="S311" i="26"/>
  <c r="AF9" i="26"/>
  <c r="AG9" i="26" s="1"/>
  <c r="J92" i="26"/>
  <c r="J93" i="26" s="1"/>
  <c r="P302" i="26"/>
  <c r="P303" i="26" s="1"/>
  <c r="AF154" i="26"/>
  <c r="AG154" i="26" s="1"/>
  <c r="P92" i="26"/>
  <c r="P93" i="26" s="1"/>
  <c r="P129" i="26" s="1"/>
  <c r="P130" i="26" s="1"/>
  <c r="M92" i="26"/>
  <c r="M93" i="26" s="1"/>
  <c r="M129" i="26" s="1"/>
  <c r="M130" i="26" s="1"/>
  <c r="AF255" i="26"/>
  <c r="AG255" i="26" s="1"/>
  <c r="AF260" i="26"/>
  <c r="AG260" i="26" s="1"/>
  <c r="AF228" i="26"/>
  <c r="AG228" i="26" s="1"/>
  <c r="AF199" i="26"/>
  <c r="AG199" i="26" s="1"/>
  <c r="AE205" i="26"/>
  <c r="AE206" i="26" s="1"/>
  <c r="AF281" i="26"/>
  <c r="AG281" i="26" s="1"/>
  <c r="AF105" i="26"/>
  <c r="AG105" i="26" s="1"/>
  <c r="AF44" i="26"/>
  <c r="AG44" i="26" s="1"/>
  <c r="AF195" i="26"/>
  <c r="AG195" i="26" s="1"/>
  <c r="AB311" i="26"/>
  <c r="AF118" i="26"/>
  <c r="AG118" i="26" s="1"/>
  <c r="AB92" i="26"/>
  <c r="AB93" i="26" s="1"/>
  <c r="AB129" i="26" s="1"/>
  <c r="AB130" i="26" s="1"/>
  <c r="AF181" i="26"/>
  <c r="AG181" i="26" s="1"/>
  <c r="AF263" i="26"/>
  <c r="AG263" i="26" s="1"/>
  <c r="AF109" i="26"/>
  <c r="AG109" i="26" s="1"/>
  <c r="AF168" i="26"/>
  <c r="AG168" i="26" s="1"/>
  <c r="AF157" i="26"/>
  <c r="AG157" i="26" s="1"/>
  <c r="AF256" i="26"/>
  <c r="AG256" i="26" s="1"/>
  <c r="AF306" i="26"/>
  <c r="AG306" i="26" s="1"/>
  <c r="J40" i="27"/>
  <c r="AF39" i="27"/>
  <c r="AG39" i="27" s="1"/>
  <c r="AF36" i="26"/>
  <c r="AG36" i="26" s="1"/>
  <c r="AF288" i="26"/>
  <c r="AG288" i="26" s="1"/>
  <c r="AF137" i="26"/>
  <c r="AG137" i="26" s="1"/>
  <c r="AB175" i="27"/>
  <c r="AB176" i="27" s="1"/>
  <c r="AF276" i="26"/>
  <c r="AG276" i="26" s="1"/>
  <c r="AF15" i="26"/>
  <c r="AG15" i="26" s="1"/>
  <c r="AF39" i="26"/>
  <c r="AG39" i="26" s="1"/>
  <c r="AF149" i="26"/>
  <c r="AG149" i="26" s="1"/>
  <c r="AF196" i="26"/>
  <c r="AG196" i="26" s="1"/>
  <c r="AE175" i="27"/>
  <c r="AE176" i="27" s="1"/>
  <c r="AF138" i="26"/>
  <c r="AG138" i="26" s="1"/>
  <c r="AF209" i="26"/>
  <c r="AG209" i="26" s="1"/>
  <c r="V175" i="27"/>
  <c r="V176" i="27" s="1"/>
  <c r="AF282" i="26"/>
  <c r="AG282" i="26" s="1"/>
  <c r="AF45" i="26"/>
  <c r="AG45" i="26" s="1"/>
  <c r="AF16" i="26"/>
  <c r="AG16" i="26" s="1"/>
  <c r="AF244" i="26"/>
  <c r="AG244" i="26" s="1"/>
  <c r="S175" i="27"/>
  <c r="S176" i="27" s="1"/>
  <c r="M175" i="27"/>
  <c r="M176" i="27" s="1"/>
  <c r="J92" i="27"/>
  <c r="AF91" i="27"/>
  <c r="AF63" i="26"/>
  <c r="AG63" i="26" s="1"/>
  <c r="AF167" i="26"/>
  <c r="AG167" i="26" s="1"/>
  <c r="AF224" i="26"/>
  <c r="AG224" i="26" s="1"/>
  <c r="AF229" i="26"/>
  <c r="AG229" i="26" s="1"/>
  <c r="AF172" i="26"/>
  <c r="AG172" i="26" s="1"/>
  <c r="AF191" i="26"/>
  <c r="AG191" i="26" s="1"/>
  <c r="V92" i="26"/>
  <c r="AF285" i="26"/>
  <c r="AG285" i="26" s="1"/>
  <c r="J145" i="27"/>
  <c r="AF145" i="27" s="1"/>
  <c r="AG145" i="27" s="1"/>
  <c r="AF144" i="27"/>
  <c r="AG144" i="27" s="1"/>
  <c r="AF60" i="26"/>
  <c r="AG60" i="26" s="1"/>
  <c r="AF102" i="26"/>
  <c r="AG102" i="26" s="1"/>
  <c r="AF26" i="26"/>
  <c r="AG26" i="26" s="1"/>
  <c r="AF68" i="26"/>
  <c r="AG68" i="26" s="1"/>
  <c r="AF110" i="26"/>
  <c r="AG110" i="26" s="1"/>
  <c r="AF12" i="26"/>
  <c r="AG12" i="26" s="1"/>
  <c r="AF250" i="26"/>
  <c r="AG250" i="26" s="1"/>
  <c r="AF277" i="26"/>
  <c r="AG277" i="26" s="1"/>
  <c r="AF43" i="26"/>
  <c r="AG43" i="26" s="1"/>
  <c r="AE92" i="26"/>
  <c r="AF86" i="26"/>
  <c r="AG86" i="26" s="1"/>
  <c r="Y175" i="27"/>
  <c r="Y176" i="27" s="1"/>
  <c r="P175" i="27"/>
  <c r="P176" i="27" s="1"/>
  <c r="J311" i="26"/>
  <c r="AF52" i="26"/>
  <c r="AG52" i="26" s="1"/>
  <c r="AF213" i="26"/>
  <c r="AG213" i="26" s="1"/>
  <c r="AF301" i="26"/>
  <c r="AG301" i="26" s="1"/>
  <c r="AF148" i="26"/>
  <c r="AG148" i="26" s="1"/>
  <c r="J157" i="27"/>
  <c r="AF156" i="27"/>
  <c r="AG156" i="27" s="1"/>
  <c r="AF127" i="26"/>
  <c r="AG127" i="26" s="1"/>
  <c r="AF117" i="26"/>
  <c r="AG117" i="26" s="1"/>
  <c r="Y240" i="25"/>
  <c r="Y222" i="25"/>
  <c r="Y219" i="25"/>
  <c r="Y218" i="25"/>
  <c r="Y217" i="25"/>
  <c r="Y215" i="25"/>
  <c r="Y214" i="25"/>
  <c r="Y212" i="25"/>
  <c r="Y211" i="25"/>
  <c r="Y210" i="25"/>
  <c r="Y207" i="25"/>
  <c r="Y206" i="25"/>
  <c r="Y205" i="25"/>
  <c r="Y204" i="25"/>
  <c r="Y203" i="25"/>
  <c r="Y202" i="25"/>
  <c r="Y201" i="25"/>
  <c r="Y200" i="25"/>
  <c r="Y199" i="25"/>
  <c r="Y198" i="25"/>
  <c r="Y195" i="25"/>
  <c r="Y194" i="25"/>
  <c r="Y192" i="25"/>
  <c r="Y191" i="25"/>
  <c r="Y188" i="25"/>
  <c r="Y186" i="25"/>
  <c r="Y185" i="25"/>
  <c r="Y182" i="25"/>
  <c r="Y181" i="25"/>
  <c r="Y179" i="25"/>
  <c r="Y176" i="25"/>
  <c r="Y175" i="25"/>
  <c r="Y174" i="25"/>
  <c r="Y173" i="25"/>
  <c r="Y170" i="25"/>
  <c r="Y169" i="25"/>
  <c r="Y166" i="25"/>
  <c r="Y165" i="25"/>
  <c r="Y162" i="25"/>
  <c r="Y161" i="25"/>
  <c r="Y160" i="25"/>
  <c r="Y159" i="25"/>
  <c r="Y158" i="25"/>
  <c r="Y157" i="25"/>
  <c r="Y156" i="25"/>
  <c r="Y155" i="25"/>
  <c r="Y154" i="25"/>
  <c r="Y153" i="25"/>
  <c r="Y149" i="25"/>
  <c r="Y148" i="25"/>
  <c r="Y146" i="25"/>
  <c r="Y144" i="25"/>
  <c r="Y143" i="25"/>
  <c r="Y142" i="25"/>
  <c r="Y139" i="25"/>
  <c r="Y138" i="25"/>
  <c r="Y137" i="25"/>
  <c r="Y136" i="25"/>
  <c r="Y135" i="25"/>
  <c r="Y132" i="25"/>
  <c r="Y131" i="25"/>
  <c r="Y130" i="25"/>
  <c r="Y129" i="25"/>
  <c r="Y128" i="25"/>
  <c r="Y127" i="25"/>
  <c r="Y124" i="25"/>
  <c r="Y123" i="25"/>
  <c r="Y121" i="25"/>
  <c r="Y120" i="25"/>
  <c r="Y119" i="25"/>
  <c r="Y116" i="25"/>
  <c r="Y115" i="25"/>
  <c r="Y114" i="25"/>
  <c r="Y113" i="25"/>
  <c r="Y111" i="25"/>
  <c r="Y110" i="25"/>
  <c r="Y109" i="25"/>
  <c r="Y104" i="25"/>
  <c r="Y103" i="25"/>
  <c r="Y101" i="25"/>
  <c r="Y100" i="25"/>
  <c r="Y99" i="25"/>
  <c r="Y96" i="25"/>
  <c r="Y95" i="25"/>
  <c r="Y92" i="25"/>
  <c r="Y91" i="25"/>
  <c r="Y89" i="25"/>
  <c r="Y88" i="25"/>
  <c r="Y87" i="25"/>
  <c r="Y83" i="25"/>
  <c r="Y80" i="25"/>
  <c r="Y79" i="25"/>
  <c r="Y78" i="25"/>
  <c r="Y75" i="25"/>
  <c r="Y74" i="25"/>
  <c r="Y71" i="25"/>
  <c r="Y70" i="25"/>
  <c r="Y67" i="25"/>
  <c r="Y66" i="25"/>
  <c r="Y65" i="25"/>
  <c r="Y62" i="25"/>
  <c r="Y59" i="25"/>
  <c r="Y58" i="25"/>
  <c r="Y57" i="25"/>
  <c r="Y55" i="25"/>
  <c r="Y54" i="25"/>
  <c r="Y51" i="25"/>
  <c r="Y50" i="25"/>
  <c r="Y48" i="25"/>
  <c r="Y47" i="25"/>
  <c r="Y46" i="25"/>
  <c r="Y43" i="25"/>
  <c r="Y42" i="25"/>
  <c r="Y41" i="25"/>
  <c r="Y40" i="25"/>
  <c r="Y39" i="25"/>
  <c r="Y38" i="25"/>
  <c r="Y35" i="25"/>
  <c r="Y34" i="25"/>
  <c r="Y31" i="25"/>
  <c r="Y30" i="25"/>
  <c r="Y28" i="25"/>
  <c r="Y27" i="25"/>
  <c r="Y26" i="25"/>
  <c r="Y25" i="25"/>
  <c r="Y23" i="25"/>
  <c r="Y20" i="25"/>
  <c r="Y19" i="25"/>
  <c r="Y16" i="25"/>
  <c r="Y15" i="25"/>
  <c r="Y14" i="25"/>
  <c r="Y13" i="25"/>
  <c r="Y10" i="25"/>
  <c r="Y9" i="25"/>
  <c r="Y7" i="25"/>
  <c r="Y5" i="25"/>
  <c r="Y3" i="25"/>
  <c r="Y2" i="25"/>
  <c r="V241" i="25"/>
  <c r="V240" i="25"/>
  <c r="V222" i="25"/>
  <c r="V219" i="25"/>
  <c r="V218" i="25"/>
  <c r="V217" i="25"/>
  <c r="V215" i="25"/>
  <c r="V214" i="25"/>
  <c r="V212" i="25"/>
  <c r="V211" i="25"/>
  <c r="V210" i="25"/>
  <c r="V207" i="25"/>
  <c r="V206" i="25"/>
  <c r="V205" i="25"/>
  <c r="V204" i="25"/>
  <c r="V203" i="25"/>
  <c r="V202" i="25"/>
  <c r="V201" i="25"/>
  <c r="V200" i="25"/>
  <c r="V199" i="25"/>
  <c r="V198" i="25"/>
  <c r="V195" i="25"/>
  <c r="V194" i="25"/>
  <c r="V192" i="25"/>
  <c r="V191" i="25"/>
  <c r="V188" i="25"/>
  <c r="V186" i="25"/>
  <c r="V185" i="25"/>
  <c r="V182" i="25"/>
  <c r="V181" i="25"/>
  <c r="V179" i="25"/>
  <c r="V176" i="25"/>
  <c r="V175" i="25"/>
  <c r="V174" i="25"/>
  <c r="V173" i="25"/>
  <c r="V170" i="25"/>
  <c r="V169" i="25"/>
  <c r="V166" i="25"/>
  <c r="V165" i="25"/>
  <c r="V162" i="25"/>
  <c r="V161" i="25"/>
  <c r="V160" i="25"/>
  <c r="V159" i="25"/>
  <c r="V158" i="25"/>
  <c r="V157" i="25"/>
  <c r="V156" i="25"/>
  <c r="V155" i="25"/>
  <c r="V154" i="25"/>
  <c r="V153" i="25"/>
  <c r="V149" i="25"/>
  <c r="V148" i="25"/>
  <c r="V146" i="25"/>
  <c r="V144" i="25"/>
  <c r="V143" i="25"/>
  <c r="V142" i="25"/>
  <c r="V139" i="25"/>
  <c r="V138" i="25"/>
  <c r="V137" i="25"/>
  <c r="V136" i="25"/>
  <c r="V135" i="25"/>
  <c r="V132" i="25"/>
  <c r="V131" i="25"/>
  <c r="V130" i="25"/>
  <c r="V129" i="25"/>
  <c r="V128" i="25"/>
  <c r="V127" i="25"/>
  <c r="V124" i="25"/>
  <c r="V123" i="25"/>
  <c r="V121" i="25"/>
  <c r="V120" i="25"/>
  <c r="V119" i="25"/>
  <c r="V116" i="25"/>
  <c r="V115" i="25"/>
  <c r="V114" i="25"/>
  <c r="V113" i="25"/>
  <c r="V111" i="25"/>
  <c r="V110" i="25"/>
  <c r="V109" i="25"/>
  <c r="V104" i="25"/>
  <c r="V103" i="25"/>
  <c r="V101" i="25"/>
  <c r="V100" i="25"/>
  <c r="V99" i="25"/>
  <c r="V96" i="25"/>
  <c r="V95" i="25"/>
  <c r="V92" i="25"/>
  <c r="V91" i="25"/>
  <c r="V89" i="25"/>
  <c r="V88" i="25"/>
  <c r="V87" i="25"/>
  <c r="V83" i="25"/>
  <c r="V80" i="25"/>
  <c r="V79" i="25"/>
  <c r="V78" i="25"/>
  <c r="V75" i="25"/>
  <c r="V74" i="25"/>
  <c r="V71" i="25"/>
  <c r="V70" i="25"/>
  <c r="V67" i="25"/>
  <c r="V66" i="25"/>
  <c r="V65" i="25"/>
  <c r="V62" i="25"/>
  <c r="V59" i="25"/>
  <c r="V58" i="25"/>
  <c r="V57" i="25"/>
  <c r="V55" i="25"/>
  <c r="V54" i="25"/>
  <c r="V51" i="25"/>
  <c r="V50" i="25"/>
  <c r="V48" i="25"/>
  <c r="V47" i="25"/>
  <c r="V46" i="25"/>
  <c r="V43" i="25"/>
  <c r="V42" i="25"/>
  <c r="V41" i="25"/>
  <c r="V40" i="25"/>
  <c r="V39" i="25"/>
  <c r="V38" i="25"/>
  <c r="V35" i="25"/>
  <c r="V34" i="25"/>
  <c r="V31" i="25"/>
  <c r="V30" i="25"/>
  <c r="V28" i="25"/>
  <c r="V27" i="25"/>
  <c r="V26" i="25"/>
  <c r="V25" i="25"/>
  <c r="V23" i="25"/>
  <c r="V20" i="25"/>
  <c r="V19" i="25"/>
  <c r="V16" i="25"/>
  <c r="V15" i="25"/>
  <c r="V14" i="25"/>
  <c r="V13" i="25"/>
  <c r="V10" i="25"/>
  <c r="V9" i="25"/>
  <c r="V7" i="25"/>
  <c r="V5" i="25"/>
  <c r="V3" i="25"/>
  <c r="V2" i="25"/>
  <c r="S222" i="25"/>
  <c r="S219" i="25"/>
  <c r="S218" i="25"/>
  <c r="S217" i="25"/>
  <c r="S215" i="25"/>
  <c r="S214" i="25"/>
  <c r="S212" i="25"/>
  <c r="S211" i="25"/>
  <c r="S210" i="25"/>
  <c r="S207" i="25"/>
  <c r="S206" i="25"/>
  <c r="S205" i="25"/>
  <c r="S204" i="25"/>
  <c r="S203" i="25"/>
  <c r="S202" i="25"/>
  <c r="S201" i="25"/>
  <c r="S200" i="25"/>
  <c r="S199" i="25"/>
  <c r="S198" i="25"/>
  <c r="S195" i="25"/>
  <c r="S194" i="25"/>
  <c r="S192" i="25"/>
  <c r="S191" i="25"/>
  <c r="S188" i="25"/>
  <c r="S186" i="25"/>
  <c r="S185" i="25"/>
  <c r="S182" i="25"/>
  <c r="S181" i="25"/>
  <c r="S179" i="25"/>
  <c r="S176" i="25"/>
  <c r="S175" i="25"/>
  <c r="S174" i="25"/>
  <c r="S173" i="25"/>
  <c r="S170" i="25"/>
  <c r="S169" i="25"/>
  <c r="S166" i="25"/>
  <c r="S165" i="25"/>
  <c r="S162" i="25"/>
  <c r="S161" i="25"/>
  <c r="S160" i="25"/>
  <c r="S159" i="25"/>
  <c r="S158" i="25"/>
  <c r="S157" i="25"/>
  <c r="S156" i="25"/>
  <c r="S155" i="25"/>
  <c r="S154" i="25"/>
  <c r="S153" i="25"/>
  <c r="S149" i="25"/>
  <c r="S148" i="25"/>
  <c r="S146" i="25"/>
  <c r="S144" i="25"/>
  <c r="S143" i="25"/>
  <c r="S142" i="25"/>
  <c r="S139" i="25"/>
  <c r="S138" i="25"/>
  <c r="S137" i="25"/>
  <c r="S136" i="25"/>
  <c r="S135" i="25"/>
  <c r="S132" i="25"/>
  <c r="S131" i="25"/>
  <c r="S130" i="25"/>
  <c r="S129" i="25"/>
  <c r="S128" i="25"/>
  <c r="S127" i="25"/>
  <c r="S124" i="25"/>
  <c r="S123" i="25"/>
  <c r="S121" i="25"/>
  <c r="S120" i="25"/>
  <c r="S119" i="25"/>
  <c r="S116" i="25"/>
  <c r="S115" i="25"/>
  <c r="S114" i="25"/>
  <c r="S113" i="25"/>
  <c r="S111" i="25"/>
  <c r="S110" i="25"/>
  <c r="S109" i="25"/>
  <c r="S104" i="25"/>
  <c r="S103" i="25"/>
  <c r="S101" i="25"/>
  <c r="S100" i="25"/>
  <c r="S99" i="25"/>
  <c r="S96" i="25"/>
  <c r="S95" i="25"/>
  <c r="S92" i="25"/>
  <c r="S91" i="25"/>
  <c r="S89" i="25"/>
  <c r="S88" i="25"/>
  <c r="S87" i="25"/>
  <c r="S83" i="25"/>
  <c r="S80" i="25"/>
  <c r="S79" i="25"/>
  <c r="S78" i="25"/>
  <c r="S75" i="25"/>
  <c r="S74" i="25"/>
  <c r="S71" i="25"/>
  <c r="S70" i="25"/>
  <c r="S67" i="25"/>
  <c r="S66" i="25"/>
  <c r="S65" i="25"/>
  <c r="S62" i="25"/>
  <c r="S59" i="25"/>
  <c r="S58" i="25"/>
  <c r="S57" i="25"/>
  <c r="S55" i="25"/>
  <c r="S54" i="25"/>
  <c r="S51" i="25"/>
  <c r="S50" i="25"/>
  <c r="S48" i="25"/>
  <c r="S47" i="25"/>
  <c r="S46" i="25"/>
  <c r="S43" i="25"/>
  <c r="S42" i="25"/>
  <c r="S41" i="25"/>
  <c r="S40" i="25"/>
  <c r="S39" i="25"/>
  <c r="S38" i="25"/>
  <c r="S35" i="25"/>
  <c r="S34" i="25"/>
  <c r="S31" i="25"/>
  <c r="S30" i="25"/>
  <c r="S28" i="25"/>
  <c r="S27" i="25"/>
  <c r="S26" i="25"/>
  <c r="S25" i="25"/>
  <c r="S23" i="25"/>
  <c r="S20" i="25"/>
  <c r="S19" i="25"/>
  <c r="S16" i="25"/>
  <c r="S15" i="25"/>
  <c r="S14" i="25"/>
  <c r="S13" i="25"/>
  <c r="S10" i="25"/>
  <c r="S9" i="25"/>
  <c r="S7" i="25"/>
  <c r="S5" i="25"/>
  <c r="S3" i="25"/>
  <c r="S2" i="25"/>
  <c r="P222" i="25"/>
  <c r="P219" i="25"/>
  <c r="P218" i="25"/>
  <c r="P217" i="25"/>
  <c r="P215" i="25"/>
  <c r="P214" i="25"/>
  <c r="P212" i="25"/>
  <c r="P211" i="25"/>
  <c r="P210" i="25"/>
  <c r="P207" i="25"/>
  <c r="P206" i="25"/>
  <c r="P205" i="25"/>
  <c r="P204" i="25"/>
  <c r="P203" i="25"/>
  <c r="P202" i="25"/>
  <c r="P201" i="25"/>
  <c r="P200" i="25"/>
  <c r="P199" i="25"/>
  <c r="P198" i="25"/>
  <c r="P195" i="25"/>
  <c r="P194" i="25"/>
  <c r="P192" i="25"/>
  <c r="P191" i="25"/>
  <c r="P188" i="25"/>
  <c r="P186" i="25"/>
  <c r="P185" i="25"/>
  <c r="P182" i="25"/>
  <c r="P181" i="25"/>
  <c r="P179" i="25"/>
  <c r="P176" i="25"/>
  <c r="P175" i="25"/>
  <c r="P174" i="25"/>
  <c r="P173" i="25"/>
  <c r="P170" i="25"/>
  <c r="P169" i="25"/>
  <c r="P166" i="25"/>
  <c r="P165" i="25"/>
  <c r="P162" i="25"/>
  <c r="P161" i="25"/>
  <c r="P160" i="25"/>
  <c r="P159" i="25"/>
  <c r="P158" i="25"/>
  <c r="P157" i="25"/>
  <c r="P156" i="25"/>
  <c r="P155" i="25"/>
  <c r="P154" i="25"/>
  <c r="P153" i="25"/>
  <c r="P149" i="25"/>
  <c r="P148" i="25"/>
  <c r="P146" i="25"/>
  <c r="P144" i="25"/>
  <c r="P143" i="25"/>
  <c r="P142" i="25"/>
  <c r="P139" i="25"/>
  <c r="P138" i="25"/>
  <c r="P137" i="25"/>
  <c r="P136" i="25"/>
  <c r="P135" i="25"/>
  <c r="P132" i="25"/>
  <c r="P131" i="25"/>
  <c r="P130" i="25"/>
  <c r="P129" i="25"/>
  <c r="P128" i="25"/>
  <c r="P127" i="25"/>
  <c r="P124" i="25"/>
  <c r="P123" i="25"/>
  <c r="P121" i="25"/>
  <c r="P120" i="25"/>
  <c r="P119" i="25"/>
  <c r="P116" i="25"/>
  <c r="P115" i="25"/>
  <c r="P114" i="25"/>
  <c r="P113" i="25"/>
  <c r="P111" i="25"/>
  <c r="P110" i="25"/>
  <c r="P109" i="25"/>
  <c r="P104" i="25"/>
  <c r="P103" i="25"/>
  <c r="P101" i="25"/>
  <c r="P100" i="25"/>
  <c r="P99" i="25"/>
  <c r="P96" i="25"/>
  <c r="P95" i="25"/>
  <c r="P92" i="25"/>
  <c r="P91" i="25"/>
  <c r="P89" i="25"/>
  <c r="P88" i="25"/>
  <c r="P87" i="25"/>
  <c r="P83" i="25"/>
  <c r="P80" i="25"/>
  <c r="P79" i="25"/>
  <c r="P78" i="25"/>
  <c r="P75" i="25"/>
  <c r="P74" i="25"/>
  <c r="P71" i="25"/>
  <c r="P70" i="25"/>
  <c r="P67" i="25"/>
  <c r="P66" i="25"/>
  <c r="P65" i="25"/>
  <c r="P62" i="25"/>
  <c r="P59" i="25"/>
  <c r="P58" i="25"/>
  <c r="P57" i="25"/>
  <c r="P55" i="25"/>
  <c r="P54" i="25"/>
  <c r="P51" i="25"/>
  <c r="P50" i="25"/>
  <c r="P48" i="25"/>
  <c r="P47" i="25"/>
  <c r="P46" i="25"/>
  <c r="P43" i="25"/>
  <c r="P42" i="25"/>
  <c r="P41" i="25"/>
  <c r="P40" i="25"/>
  <c r="P39" i="25"/>
  <c r="P38" i="25"/>
  <c r="P35" i="25"/>
  <c r="P34" i="25"/>
  <c r="P31" i="25"/>
  <c r="P30" i="25"/>
  <c r="P28" i="25"/>
  <c r="P27" i="25"/>
  <c r="P26" i="25"/>
  <c r="P25" i="25"/>
  <c r="P23" i="25"/>
  <c r="P20" i="25"/>
  <c r="P19" i="25"/>
  <c r="P16" i="25"/>
  <c r="P15" i="25"/>
  <c r="P14" i="25"/>
  <c r="P13" i="25"/>
  <c r="P10" i="25"/>
  <c r="P9" i="25"/>
  <c r="P7" i="25"/>
  <c r="P5" i="25"/>
  <c r="P3" i="25"/>
  <c r="P2" i="25"/>
  <c r="M240" i="25"/>
  <c r="M222" i="25"/>
  <c r="M219" i="25"/>
  <c r="M218" i="25"/>
  <c r="M217" i="25"/>
  <c r="M215" i="25"/>
  <c r="M214" i="25"/>
  <c r="M212" i="25"/>
  <c r="M211" i="25"/>
  <c r="M210" i="25"/>
  <c r="M207" i="25"/>
  <c r="M206" i="25"/>
  <c r="M205" i="25"/>
  <c r="M204" i="25"/>
  <c r="M203" i="25"/>
  <c r="M202" i="25"/>
  <c r="M201" i="25"/>
  <c r="M200" i="25"/>
  <c r="M199" i="25"/>
  <c r="M198" i="25"/>
  <c r="M195" i="25"/>
  <c r="M194" i="25"/>
  <c r="M192" i="25"/>
  <c r="M191" i="25"/>
  <c r="M188" i="25"/>
  <c r="M186" i="25"/>
  <c r="M185" i="25"/>
  <c r="M182" i="25"/>
  <c r="M181" i="25"/>
  <c r="M179" i="25"/>
  <c r="M176" i="25"/>
  <c r="M175" i="25"/>
  <c r="M174" i="25"/>
  <c r="M173" i="25"/>
  <c r="M170" i="25"/>
  <c r="M169" i="25"/>
  <c r="M166" i="25"/>
  <c r="M162" i="25"/>
  <c r="M161" i="25"/>
  <c r="M160" i="25"/>
  <c r="M159" i="25"/>
  <c r="M158" i="25"/>
  <c r="M157" i="25"/>
  <c r="M156" i="25"/>
  <c r="M155" i="25"/>
  <c r="M154" i="25"/>
  <c r="M153" i="25"/>
  <c r="M149" i="25"/>
  <c r="M148" i="25"/>
  <c r="M146" i="25"/>
  <c r="M144" i="25"/>
  <c r="M143" i="25"/>
  <c r="M142" i="25"/>
  <c r="M139" i="25"/>
  <c r="M138" i="25"/>
  <c r="M137" i="25"/>
  <c r="M136" i="25"/>
  <c r="M135" i="25"/>
  <c r="M132" i="25"/>
  <c r="M131" i="25"/>
  <c r="M130" i="25"/>
  <c r="M129" i="25"/>
  <c r="M128" i="25"/>
  <c r="M127" i="25"/>
  <c r="M124" i="25"/>
  <c r="M123" i="25"/>
  <c r="M121" i="25"/>
  <c r="M120" i="25"/>
  <c r="M119" i="25"/>
  <c r="M116" i="25"/>
  <c r="M115" i="25"/>
  <c r="M114" i="25"/>
  <c r="M113" i="25"/>
  <c r="M111" i="25"/>
  <c r="M110" i="25"/>
  <c r="M109" i="25"/>
  <c r="M104" i="25"/>
  <c r="M103" i="25"/>
  <c r="M101" i="25"/>
  <c r="M100" i="25"/>
  <c r="M99" i="25"/>
  <c r="M96" i="25"/>
  <c r="M95" i="25"/>
  <c r="M92" i="25"/>
  <c r="M91" i="25"/>
  <c r="M89" i="25"/>
  <c r="M88" i="25"/>
  <c r="M87" i="25"/>
  <c r="M83" i="25"/>
  <c r="M80" i="25"/>
  <c r="M79" i="25"/>
  <c r="M78" i="25"/>
  <c r="M75" i="25"/>
  <c r="M74" i="25"/>
  <c r="M71" i="25"/>
  <c r="M70" i="25"/>
  <c r="M67" i="25"/>
  <c r="M66" i="25"/>
  <c r="M65" i="25"/>
  <c r="M62" i="25"/>
  <c r="M59" i="25"/>
  <c r="M58" i="25"/>
  <c r="M57" i="25"/>
  <c r="M55" i="25"/>
  <c r="M54" i="25"/>
  <c r="M51" i="25"/>
  <c r="M50" i="25"/>
  <c r="M48" i="25"/>
  <c r="M47" i="25"/>
  <c r="M46" i="25"/>
  <c r="M43" i="25"/>
  <c r="M42" i="25"/>
  <c r="M41" i="25"/>
  <c r="M40" i="25"/>
  <c r="M39" i="25"/>
  <c r="M38" i="25"/>
  <c r="M35" i="25"/>
  <c r="M34" i="25"/>
  <c r="M31" i="25"/>
  <c r="M30" i="25"/>
  <c r="M28" i="25"/>
  <c r="M27" i="25"/>
  <c r="M26" i="25"/>
  <c r="M25" i="25"/>
  <c r="M23" i="25"/>
  <c r="M20" i="25"/>
  <c r="M19" i="25"/>
  <c r="M14" i="25"/>
  <c r="M13" i="25"/>
  <c r="M10" i="25"/>
  <c r="M9" i="25"/>
  <c r="M7" i="25"/>
  <c r="M3" i="25"/>
  <c r="M2" i="25"/>
  <c r="AB222" i="25"/>
  <c r="AB219" i="25"/>
  <c r="AB218" i="25"/>
  <c r="AB217" i="25"/>
  <c r="AB215" i="25"/>
  <c r="AB214" i="25"/>
  <c r="AB212" i="25"/>
  <c r="AB211" i="25"/>
  <c r="AB210" i="25"/>
  <c r="AB207" i="25"/>
  <c r="AB206" i="25"/>
  <c r="AB205" i="25"/>
  <c r="AB204" i="25"/>
  <c r="AB203" i="25"/>
  <c r="AB202" i="25"/>
  <c r="AB201" i="25"/>
  <c r="AB200" i="25"/>
  <c r="AB199" i="25"/>
  <c r="AB198" i="25"/>
  <c r="AB195" i="25"/>
  <c r="AB194" i="25"/>
  <c r="AB192" i="25"/>
  <c r="AB191" i="25"/>
  <c r="AB188" i="25"/>
  <c r="AB186" i="25"/>
  <c r="AB185" i="25"/>
  <c r="AB182" i="25"/>
  <c r="AB181" i="25"/>
  <c r="AB179" i="25"/>
  <c r="AB176" i="25"/>
  <c r="AB175" i="25"/>
  <c r="AB174" i="25"/>
  <c r="AB173" i="25"/>
  <c r="AB170" i="25"/>
  <c r="AB169" i="25"/>
  <c r="AB166" i="25"/>
  <c r="AB162" i="25"/>
  <c r="AB161" i="25"/>
  <c r="AB160" i="25"/>
  <c r="AB159" i="25"/>
  <c r="AB158" i="25"/>
  <c r="AB157" i="25"/>
  <c r="AB156" i="25"/>
  <c r="AB155" i="25"/>
  <c r="AB154" i="25"/>
  <c r="AB153" i="25"/>
  <c r="AB149" i="25"/>
  <c r="AB148" i="25"/>
  <c r="AB146" i="25"/>
  <c r="AB144" i="25"/>
  <c r="AB143" i="25"/>
  <c r="AB142" i="25"/>
  <c r="AB139" i="25"/>
  <c r="AB138" i="25"/>
  <c r="AB137" i="25"/>
  <c r="AB136" i="25"/>
  <c r="AB135" i="25"/>
  <c r="AB132" i="25"/>
  <c r="AB131" i="25"/>
  <c r="AB130" i="25"/>
  <c r="AB129" i="25"/>
  <c r="AB128" i="25"/>
  <c r="AB127" i="25"/>
  <c r="AB124" i="25"/>
  <c r="AB123" i="25"/>
  <c r="AB121" i="25"/>
  <c r="AB120" i="25"/>
  <c r="AB119" i="25"/>
  <c r="AB116" i="25"/>
  <c r="AB115" i="25"/>
  <c r="AB114" i="25"/>
  <c r="AB113" i="25"/>
  <c r="AB111" i="25"/>
  <c r="AB110" i="25"/>
  <c r="AB109" i="25"/>
  <c r="AB104" i="25"/>
  <c r="AB103" i="25"/>
  <c r="AB101" i="25"/>
  <c r="AB100" i="25"/>
  <c r="AB99" i="25"/>
  <c r="AB96" i="25"/>
  <c r="AB95" i="25"/>
  <c r="AB92" i="25"/>
  <c r="AB91" i="25"/>
  <c r="AB89" i="25"/>
  <c r="AB88" i="25"/>
  <c r="AB87" i="25"/>
  <c r="AB83" i="25"/>
  <c r="AB80" i="25"/>
  <c r="AB79" i="25"/>
  <c r="AB78" i="25"/>
  <c r="AB75" i="25"/>
  <c r="AB74" i="25"/>
  <c r="AB71" i="25"/>
  <c r="AB70" i="25"/>
  <c r="AB67" i="25"/>
  <c r="AB66" i="25"/>
  <c r="AB65" i="25"/>
  <c r="AB62" i="25"/>
  <c r="AB59" i="25"/>
  <c r="AB58" i="25"/>
  <c r="AB57" i="25"/>
  <c r="AB55" i="25"/>
  <c r="AB54" i="25"/>
  <c r="AB51" i="25"/>
  <c r="AB50" i="25"/>
  <c r="AB48" i="25"/>
  <c r="AB47" i="25"/>
  <c r="AB46" i="25"/>
  <c r="AB43" i="25"/>
  <c r="AB42" i="25"/>
  <c r="AB41" i="25"/>
  <c r="AB40" i="25"/>
  <c r="AB39" i="25"/>
  <c r="AB38" i="25"/>
  <c r="AB35" i="25"/>
  <c r="AB34" i="25"/>
  <c r="AB31" i="25"/>
  <c r="AB30" i="25"/>
  <c r="AB28" i="25"/>
  <c r="AB27" i="25"/>
  <c r="AB26" i="25"/>
  <c r="AB25" i="25"/>
  <c r="AB23" i="25"/>
  <c r="AB20" i="25"/>
  <c r="AB19" i="25"/>
  <c r="AB16" i="25"/>
  <c r="AB15" i="25"/>
  <c r="AB14" i="25"/>
  <c r="AB13" i="25"/>
  <c r="AB10" i="25"/>
  <c r="AB9" i="25"/>
  <c r="AB7" i="25"/>
  <c r="AB5" i="25"/>
  <c r="AB3" i="25"/>
  <c r="AB2" i="25"/>
  <c r="AE222" i="25"/>
  <c r="AE219" i="25"/>
  <c r="AE218" i="25"/>
  <c r="AE217" i="25"/>
  <c r="AE215" i="25"/>
  <c r="AE214" i="25"/>
  <c r="AE212" i="25"/>
  <c r="AE211" i="25"/>
  <c r="AE210" i="25"/>
  <c r="AE207" i="25"/>
  <c r="AE206" i="25"/>
  <c r="AE205" i="25"/>
  <c r="AE204" i="25"/>
  <c r="AE203" i="25"/>
  <c r="AE202" i="25"/>
  <c r="AE201" i="25"/>
  <c r="AE200" i="25"/>
  <c r="AE199" i="25"/>
  <c r="AE198" i="25"/>
  <c r="AE195" i="25"/>
  <c r="AE194" i="25"/>
  <c r="AE192" i="25"/>
  <c r="AE191" i="25"/>
  <c r="AE188" i="25"/>
  <c r="AE186" i="25"/>
  <c r="AE185" i="25"/>
  <c r="AE182" i="25"/>
  <c r="AE181" i="25"/>
  <c r="AE179" i="25"/>
  <c r="AE176" i="25"/>
  <c r="AE175" i="25"/>
  <c r="AE174" i="25"/>
  <c r="AE173" i="25"/>
  <c r="AE170" i="25"/>
  <c r="AE169" i="25"/>
  <c r="AE166" i="25"/>
  <c r="AE165" i="25"/>
  <c r="AE162" i="25"/>
  <c r="AE161" i="25"/>
  <c r="AE160" i="25"/>
  <c r="AE159" i="25"/>
  <c r="AE158" i="25"/>
  <c r="AE157" i="25"/>
  <c r="AE156" i="25"/>
  <c r="AE155" i="25"/>
  <c r="AE154" i="25"/>
  <c r="AE153" i="25"/>
  <c r="AE149" i="25"/>
  <c r="AE148" i="25"/>
  <c r="AE146" i="25"/>
  <c r="AE144" i="25"/>
  <c r="AE143" i="25"/>
  <c r="AE142" i="25"/>
  <c r="AE139" i="25"/>
  <c r="AE138" i="25"/>
  <c r="AE137" i="25"/>
  <c r="AE136" i="25"/>
  <c r="AE135" i="25"/>
  <c r="AE132" i="25"/>
  <c r="AE131" i="25"/>
  <c r="AE130" i="25"/>
  <c r="AE129" i="25"/>
  <c r="AE128" i="25"/>
  <c r="AE127" i="25"/>
  <c r="AE124" i="25"/>
  <c r="AE123" i="25"/>
  <c r="AE121" i="25"/>
  <c r="AE120" i="25"/>
  <c r="AE119" i="25"/>
  <c r="AE116" i="25"/>
  <c r="AE115" i="25"/>
  <c r="AE114" i="25"/>
  <c r="AE113" i="25"/>
  <c r="AE111" i="25"/>
  <c r="AE110" i="25"/>
  <c r="AE109" i="25"/>
  <c r="AE104" i="25"/>
  <c r="AE103" i="25"/>
  <c r="AE101" i="25"/>
  <c r="AE100" i="25"/>
  <c r="AE99" i="25"/>
  <c r="AE96" i="25"/>
  <c r="AE95" i="25"/>
  <c r="AE92" i="25"/>
  <c r="AE91" i="25"/>
  <c r="AE89" i="25"/>
  <c r="AE88" i="25"/>
  <c r="AE87" i="25"/>
  <c r="AE83" i="25"/>
  <c r="AE80" i="25"/>
  <c r="AE79" i="25"/>
  <c r="AE78" i="25"/>
  <c r="AE75" i="25"/>
  <c r="AE74" i="25"/>
  <c r="AE71" i="25"/>
  <c r="AE70" i="25"/>
  <c r="AE67" i="25"/>
  <c r="AE66" i="25"/>
  <c r="AE65" i="25"/>
  <c r="AE62" i="25"/>
  <c r="AE59" i="25"/>
  <c r="AE58" i="25"/>
  <c r="AE57" i="25"/>
  <c r="AE55" i="25"/>
  <c r="AE54" i="25"/>
  <c r="AE51" i="25"/>
  <c r="AE50" i="25"/>
  <c r="AE48" i="25"/>
  <c r="AE47" i="25"/>
  <c r="AE46" i="25"/>
  <c r="AE43" i="25"/>
  <c r="AE42" i="25"/>
  <c r="AE41" i="25"/>
  <c r="AE40" i="25"/>
  <c r="AE39" i="25"/>
  <c r="AE38" i="25"/>
  <c r="AE35" i="25"/>
  <c r="AE34" i="25"/>
  <c r="AE31" i="25"/>
  <c r="AE30" i="25"/>
  <c r="AE28" i="25"/>
  <c r="AE27" i="25"/>
  <c r="AE26" i="25"/>
  <c r="AE25" i="25"/>
  <c r="AE23" i="25"/>
  <c r="AE20" i="25"/>
  <c r="AE19" i="25"/>
  <c r="AE16" i="25"/>
  <c r="AE15" i="25"/>
  <c r="AE14" i="25"/>
  <c r="AE13" i="25"/>
  <c r="AE10" i="25"/>
  <c r="AE9" i="25"/>
  <c r="AE7" i="25"/>
  <c r="AE5" i="25"/>
  <c r="AE3" i="25"/>
  <c r="AE2" i="25"/>
  <c r="Y2" i="24"/>
  <c r="AE359" i="24"/>
  <c r="AE356" i="24"/>
  <c r="AE351" i="24"/>
  <c r="AE349" i="24"/>
  <c r="AE346" i="24"/>
  <c r="AE345" i="24"/>
  <c r="AE342" i="24"/>
  <c r="AE341" i="24"/>
  <c r="AE340" i="24"/>
  <c r="AE337" i="24"/>
  <c r="AE336" i="24"/>
  <c r="AE335" i="24"/>
  <c r="AE332" i="24"/>
  <c r="AE331" i="24"/>
  <c r="AE328" i="24"/>
  <c r="AE327" i="24"/>
  <c r="AE324" i="24"/>
  <c r="AE323" i="24"/>
  <c r="AE322" i="24"/>
  <c r="AE321" i="24"/>
  <c r="AE318" i="24"/>
  <c r="AE317" i="24"/>
  <c r="AE316" i="24"/>
  <c r="AE313" i="24"/>
  <c r="AE312" i="24"/>
  <c r="AE311" i="24"/>
  <c r="AE310" i="24"/>
  <c r="AE307" i="24"/>
  <c r="AE306" i="24"/>
  <c r="AE303" i="24"/>
  <c r="AE302" i="24"/>
  <c r="AE299" i="24"/>
  <c r="AE298" i="24"/>
  <c r="AE296" i="24"/>
  <c r="AE294" i="24"/>
  <c r="AE291" i="24"/>
  <c r="AE290" i="24"/>
  <c r="AE287" i="24"/>
  <c r="AE286" i="24"/>
  <c r="AE285" i="24"/>
  <c r="AE284" i="24"/>
  <c r="AE281" i="24"/>
  <c r="AE280" i="24"/>
  <c r="AE279" i="24"/>
  <c r="AE276" i="24"/>
  <c r="AE275" i="24"/>
  <c r="AE274" i="24"/>
  <c r="AE273" i="24"/>
  <c r="AE270" i="24"/>
  <c r="AE269" i="24"/>
  <c r="AE266" i="24"/>
  <c r="AE265" i="24"/>
  <c r="AE262" i="24"/>
  <c r="AE261" i="24"/>
  <c r="AE258" i="24"/>
  <c r="AE257" i="24"/>
  <c r="AE256" i="24"/>
  <c r="AE255" i="24"/>
  <c r="AE252" i="24"/>
  <c r="AE251" i="24"/>
  <c r="AE250" i="24"/>
  <c r="AE249" i="24"/>
  <c r="AE248" i="24"/>
  <c r="AE247" i="24"/>
  <c r="AE244" i="24"/>
  <c r="AE243" i="24"/>
  <c r="AE242" i="24"/>
  <c r="AE239" i="24"/>
  <c r="AE238" i="24"/>
  <c r="AE236" i="24"/>
  <c r="AE235" i="24"/>
  <c r="AE234" i="24"/>
  <c r="AE231" i="24"/>
  <c r="AE230" i="24"/>
  <c r="AE227" i="24"/>
  <c r="AE224" i="24"/>
  <c r="AE221" i="24"/>
  <c r="AE218" i="24"/>
  <c r="AE217" i="24"/>
  <c r="AE215" i="24"/>
  <c r="AE213" i="24"/>
  <c r="AE210" i="24"/>
  <c r="AE209" i="24"/>
  <c r="AE208" i="24"/>
  <c r="AE206" i="24"/>
  <c r="AE204" i="24"/>
  <c r="AE203" i="24"/>
  <c r="AE202" i="24"/>
  <c r="AE201" i="24"/>
  <c r="AE200" i="24"/>
  <c r="AE197" i="24"/>
  <c r="AE196" i="24"/>
  <c r="AE193" i="24"/>
  <c r="AE190" i="24"/>
  <c r="AE189" i="24"/>
  <c r="AE188" i="24"/>
  <c r="AE187" i="24"/>
  <c r="AE186" i="24"/>
  <c r="AE183" i="24"/>
  <c r="AE182" i="24"/>
  <c r="AE179" i="24"/>
  <c r="AE178" i="24"/>
  <c r="AE175" i="24"/>
  <c r="AE174" i="24"/>
  <c r="AE171" i="24"/>
  <c r="AE170" i="24"/>
  <c r="AE167" i="24"/>
  <c r="AE166" i="24"/>
  <c r="AE164" i="24"/>
  <c r="AE163" i="24"/>
  <c r="AE162" i="24"/>
  <c r="AE159" i="24"/>
  <c r="AE158" i="24"/>
  <c r="AE155" i="24"/>
  <c r="AE154" i="24"/>
  <c r="AE153" i="24"/>
  <c r="AE152" i="24"/>
  <c r="AE149" i="24"/>
  <c r="AE148" i="24"/>
  <c r="AE145" i="24"/>
  <c r="AE144" i="24"/>
  <c r="AE143" i="24"/>
  <c r="AE142" i="24"/>
  <c r="AE139" i="24"/>
  <c r="AE138" i="24"/>
  <c r="AE135" i="24"/>
  <c r="AE134" i="24"/>
  <c r="AE131" i="24"/>
  <c r="AE130" i="24"/>
  <c r="AE129" i="24"/>
  <c r="AE127" i="24"/>
  <c r="AE125" i="24"/>
  <c r="AE122" i="24"/>
  <c r="AE121" i="24"/>
  <c r="AE120" i="24"/>
  <c r="AE115" i="24"/>
  <c r="AE111" i="24"/>
  <c r="AE108" i="24"/>
  <c r="AE96" i="24"/>
  <c r="AE94" i="24"/>
  <c r="AE93" i="24"/>
  <c r="AE92" i="24"/>
  <c r="AE91" i="24"/>
  <c r="AE88" i="24"/>
  <c r="AE84" i="24"/>
  <c r="AE83" i="24"/>
  <c r="AE80" i="24"/>
  <c r="AE79" i="24"/>
  <c r="AE76" i="24"/>
  <c r="AE75" i="24"/>
  <c r="AE72" i="24"/>
  <c r="AE71" i="24"/>
  <c r="AE69" i="24"/>
  <c r="AE68" i="24"/>
  <c r="AE67" i="24"/>
  <c r="AE64" i="24"/>
  <c r="AE63" i="24"/>
  <c r="AE60" i="24"/>
  <c r="AE59" i="24"/>
  <c r="AE58" i="24"/>
  <c r="AE57" i="24"/>
  <c r="AE56" i="24"/>
  <c r="AE53" i="24"/>
  <c r="AE52" i="24"/>
  <c r="AE50" i="24"/>
  <c r="AE49" i="24"/>
  <c r="AE48" i="24"/>
  <c r="AE47" i="24"/>
  <c r="AE43" i="24"/>
  <c r="AE42" i="24"/>
  <c r="AE39" i="24"/>
  <c r="AE38" i="24"/>
  <c r="AE35" i="24"/>
  <c r="AE34" i="24"/>
  <c r="AE31" i="24"/>
  <c r="AE30" i="24"/>
  <c r="AE27" i="24"/>
  <c r="AE26" i="24"/>
  <c r="AE23" i="24"/>
  <c r="AE22" i="24"/>
  <c r="AE19" i="24"/>
  <c r="AE18" i="24"/>
  <c r="AE17" i="24"/>
  <c r="AE16" i="24"/>
  <c r="AE13" i="24"/>
  <c r="AE10" i="24"/>
  <c r="AE9" i="24"/>
  <c r="AE8" i="24"/>
  <c r="AE5" i="24"/>
  <c r="AE4" i="24"/>
  <c r="AE2" i="24"/>
  <c r="J246" i="25"/>
  <c r="J245" i="25"/>
  <c r="J244" i="25"/>
  <c r="J243" i="25"/>
  <c r="J242" i="25"/>
  <c r="J241" i="25"/>
  <c r="J240" i="25"/>
  <c r="J222" i="25"/>
  <c r="J219" i="25"/>
  <c r="J218" i="25"/>
  <c r="J217" i="25"/>
  <c r="J215" i="25"/>
  <c r="J214" i="25"/>
  <c r="J212" i="25"/>
  <c r="J211" i="25"/>
  <c r="J210" i="25"/>
  <c r="J207" i="25"/>
  <c r="J206" i="25"/>
  <c r="J205" i="25"/>
  <c r="J204" i="25"/>
  <c r="J203" i="25"/>
  <c r="J202" i="25"/>
  <c r="J201" i="25"/>
  <c r="J200" i="25"/>
  <c r="J199" i="25"/>
  <c r="J198" i="25"/>
  <c r="J195" i="25"/>
  <c r="J194" i="25"/>
  <c r="J192" i="25"/>
  <c r="J191" i="25"/>
  <c r="J188" i="25"/>
  <c r="J186" i="25"/>
  <c r="J185" i="25"/>
  <c r="J182" i="25"/>
  <c r="J181" i="25"/>
  <c r="J179" i="25"/>
  <c r="J176" i="25"/>
  <c r="J175" i="25"/>
  <c r="J174" i="25"/>
  <c r="J173" i="25"/>
  <c r="J170" i="25"/>
  <c r="J169" i="25"/>
  <c r="J166" i="25"/>
  <c r="J165" i="25"/>
  <c r="J162" i="25"/>
  <c r="J161" i="25"/>
  <c r="J160" i="25"/>
  <c r="J159" i="25"/>
  <c r="J158" i="25"/>
  <c r="J157" i="25"/>
  <c r="J156" i="25"/>
  <c r="J155" i="25"/>
  <c r="J154" i="25"/>
  <c r="J153" i="25"/>
  <c r="J149" i="25"/>
  <c r="J148" i="25"/>
  <c r="J146" i="25"/>
  <c r="J144" i="25"/>
  <c r="J143" i="25"/>
  <c r="J142" i="25"/>
  <c r="J139" i="25"/>
  <c r="J138" i="25"/>
  <c r="J137" i="25"/>
  <c r="J136" i="25"/>
  <c r="J135" i="25"/>
  <c r="J132" i="25"/>
  <c r="J131" i="25"/>
  <c r="J130" i="25"/>
  <c r="J129" i="25"/>
  <c r="J128" i="25"/>
  <c r="J127" i="25"/>
  <c r="J124" i="25"/>
  <c r="J123" i="25"/>
  <c r="J121" i="25"/>
  <c r="J120" i="25"/>
  <c r="J119" i="25"/>
  <c r="J116" i="25"/>
  <c r="J115" i="25"/>
  <c r="J114" i="25"/>
  <c r="J113" i="25"/>
  <c r="J111" i="25"/>
  <c r="J110" i="25"/>
  <c r="J109" i="25"/>
  <c r="J104" i="25"/>
  <c r="J103" i="25"/>
  <c r="J101" i="25"/>
  <c r="J100" i="25"/>
  <c r="J99" i="25"/>
  <c r="J96" i="25"/>
  <c r="J95" i="25"/>
  <c r="J92" i="25"/>
  <c r="J91" i="25"/>
  <c r="J89" i="25"/>
  <c r="J88" i="25"/>
  <c r="J87" i="25"/>
  <c r="J83" i="25"/>
  <c r="J80" i="25"/>
  <c r="J79" i="25"/>
  <c r="J78" i="25"/>
  <c r="J75" i="25"/>
  <c r="J74" i="25"/>
  <c r="J71" i="25"/>
  <c r="J70" i="25"/>
  <c r="J67" i="25"/>
  <c r="J66" i="25"/>
  <c r="J65" i="25"/>
  <c r="J62" i="25"/>
  <c r="J59" i="25"/>
  <c r="J58" i="25"/>
  <c r="J57" i="25"/>
  <c r="J55" i="25"/>
  <c r="J54" i="25"/>
  <c r="J51" i="25"/>
  <c r="J50" i="25"/>
  <c r="J48" i="25"/>
  <c r="J47" i="25"/>
  <c r="J46" i="25"/>
  <c r="J43" i="25"/>
  <c r="J42" i="25"/>
  <c r="J41" i="25"/>
  <c r="J40" i="25"/>
  <c r="J39" i="25"/>
  <c r="J38" i="25"/>
  <c r="J35" i="25"/>
  <c r="J34" i="25"/>
  <c r="J31" i="25"/>
  <c r="J30" i="25"/>
  <c r="J28" i="25"/>
  <c r="J27" i="25"/>
  <c r="J26" i="25"/>
  <c r="J25" i="25"/>
  <c r="J23" i="25"/>
  <c r="J20" i="25"/>
  <c r="J19" i="25"/>
  <c r="J16" i="25"/>
  <c r="J15" i="25"/>
  <c r="J14" i="25"/>
  <c r="J13" i="25"/>
  <c r="J10" i="25"/>
  <c r="J9" i="25"/>
  <c r="J7" i="25"/>
  <c r="J5" i="25"/>
  <c r="J3" i="25"/>
  <c r="K221" i="25"/>
  <c r="AE221" i="25"/>
  <c r="K220" i="25"/>
  <c r="J216" i="25"/>
  <c r="G213" i="25"/>
  <c r="Z197" i="25"/>
  <c r="K197" i="25"/>
  <c r="AE197" i="25"/>
  <c r="Z196" i="25"/>
  <c r="K196" i="25"/>
  <c r="G193" i="25"/>
  <c r="J193" i="25" s="1"/>
  <c r="Z187" i="25"/>
  <c r="K187" i="25"/>
  <c r="Z184" i="25"/>
  <c r="K184" i="25"/>
  <c r="Z183" i="25"/>
  <c r="K183" i="25"/>
  <c r="G180" i="25"/>
  <c r="Z178" i="25"/>
  <c r="K178" i="25"/>
  <c r="S178" i="25"/>
  <c r="Z177" i="25"/>
  <c r="K177" i="25"/>
  <c r="AE177" i="25"/>
  <c r="Z172" i="25"/>
  <c r="K172" i="25"/>
  <c r="Z171" i="25"/>
  <c r="K171" i="25"/>
  <c r="J171" i="25"/>
  <c r="Z168" i="25"/>
  <c r="K168" i="25"/>
  <c r="J168" i="25"/>
  <c r="Z167" i="25"/>
  <c r="K167" i="25"/>
  <c r="AA165" i="25"/>
  <c r="AB165" i="25" s="1"/>
  <c r="L165" i="25"/>
  <c r="M165" i="25" s="1"/>
  <c r="G150" i="25"/>
  <c r="AC147" i="25"/>
  <c r="Z147" i="25"/>
  <c r="W147" i="25"/>
  <c r="T147" i="25"/>
  <c r="Q147" i="25"/>
  <c r="N147" i="25"/>
  <c r="K147" i="25"/>
  <c r="H147" i="25"/>
  <c r="AC145" i="25"/>
  <c r="Z145" i="25"/>
  <c r="W145" i="25"/>
  <c r="T145" i="25"/>
  <c r="Q145" i="25"/>
  <c r="N145" i="25"/>
  <c r="K145" i="25"/>
  <c r="H145" i="25"/>
  <c r="AE145" i="25"/>
  <c r="AC141" i="25"/>
  <c r="Z141" i="25"/>
  <c r="W141" i="25"/>
  <c r="T141" i="25"/>
  <c r="Q141" i="25"/>
  <c r="N141" i="25"/>
  <c r="K141" i="25"/>
  <c r="H141" i="25"/>
  <c r="AC140" i="25"/>
  <c r="Z140" i="25"/>
  <c r="W140" i="25"/>
  <c r="T140" i="25"/>
  <c r="Q140" i="25"/>
  <c r="N140" i="25"/>
  <c r="K140" i="25"/>
  <c r="H140" i="25"/>
  <c r="AC134" i="25"/>
  <c r="Z134" i="25"/>
  <c r="W134" i="25"/>
  <c r="T134" i="25"/>
  <c r="Q134" i="25"/>
  <c r="N134" i="25"/>
  <c r="K134" i="25"/>
  <c r="H134" i="25"/>
  <c r="AC133" i="25"/>
  <c r="Z133" i="25"/>
  <c r="W133" i="25"/>
  <c r="T133" i="25"/>
  <c r="Q133" i="25"/>
  <c r="N133" i="25"/>
  <c r="K133" i="25"/>
  <c r="H133" i="25"/>
  <c r="AC126" i="25"/>
  <c r="W126" i="25"/>
  <c r="Q126" i="25"/>
  <c r="K126" i="25"/>
  <c r="AC125" i="25"/>
  <c r="W125" i="25"/>
  <c r="Q125" i="25"/>
  <c r="K125" i="25"/>
  <c r="G122" i="25"/>
  <c r="P122" i="25" s="1"/>
  <c r="AC118" i="25"/>
  <c r="Z118" i="25"/>
  <c r="W118" i="25"/>
  <c r="T118" i="25"/>
  <c r="Q118" i="25"/>
  <c r="N118" i="25"/>
  <c r="K118" i="25"/>
  <c r="AC117" i="25"/>
  <c r="Z117" i="25"/>
  <c r="W117" i="25"/>
  <c r="T117" i="25"/>
  <c r="Q117" i="25"/>
  <c r="N117" i="25"/>
  <c r="K117" i="25"/>
  <c r="G112" i="25"/>
  <c r="J112" i="25" s="1"/>
  <c r="W106" i="25"/>
  <c r="T106" i="25"/>
  <c r="Q106" i="25"/>
  <c r="N106" i="25"/>
  <c r="K106" i="25"/>
  <c r="W105" i="25"/>
  <c r="T105" i="25"/>
  <c r="Q105" i="25"/>
  <c r="N105" i="25"/>
  <c r="K105" i="25"/>
  <c r="AE105" i="25"/>
  <c r="W102" i="25"/>
  <c r="T102" i="25"/>
  <c r="Q102" i="25"/>
  <c r="N102" i="25"/>
  <c r="K102" i="25"/>
  <c r="W98" i="25"/>
  <c r="T98" i="25"/>
  <c r="Q98" i="25"/>
  <c r="N98" i="25"/>
  <c r="K98" i="25"/>
  <c r="W97" i="25"/>
  <c r="T97" i="25"/>
  <c r="Q97" i="25"/>
  <c r="N97" i="25"/>
  <c r="K97" i="25"/>
  <c r="W94" i="25"/>
  <c r="T94" i="25"/>
  <c r="Q94" i="25"/>
  <c r="N94" i="25"/>
  <c r="K94" i="25"/>
  <c r="W93" i="25"/>
  <c r="T93" i="25"/>
  <c r="Q93" i="25"/>
  <c r="N93" i="25"/>
  <c r="K93" i="25"/>
  <c r="G90" i="25"/>
  <c r="S90" i="25" s="1"/>
  <c r="G84" i="25"/>
  <c r="J84" i="25" s="1"/>
  <c r="N82" i="25"/>
  <c r="N81" i="25"/>
  <c r="AE81" i="25"/>
  <c r="N77" i="25"/>
  <c r="N76" i="25"/>
  <c r="J76" i="25"/>
  <c r="N73" i="25"/>
  <c r="N72" i="25"/>
  <c r="J72" i="25"/>
  <c r="N69" i="25"/>
  <c r="N68" i="25"/>
  <c r="J68" i="25"/>
  <c r="N64" i="25"/>
  <c r="N63" i="25"/>
  <c r="M63" i="25"/>
  <c r="N61" i="25"/>
  <c r="N60" i="25"/>
  <c r="J60" i="25"/>
  <c r="G56" i="25"/>
  <c r="AE56" i="25" s="1"/>
  <c r="N53" i="25"/>
  <c r="J53" i="25"/>
  <c r="N52" i="25"/>
  <c r="AE52" i="25"/>
  <c r="G49" i="25"/>
  <c r="N45" i="25"/>
  <c r="AE45" i="25"/>
  <c r="N44" i="25"/>
  <c r="N37" i="25"/>
  <c r="AE37" i="25"/>
  <c r="N36" i="25"/>
  <c r="N33" i="25"/>
  <c r="AE33" i="25"/>
  <c r="N32" i="25"/>
  <c r="G29" i="25"/>
  <c r="J29" i="25" s="1"/>
  <c r="K24" i="25"/>
  <c r="AE24" i="25"/>
  <c r="K22" i="25"/>
  <c r="AE22" i="25"/>
  <c r="K21" i="25"/>
  <c r="K18" i="25"/>
  <c r="AE18" i="25"/>
  <c r="K17" i="25"/>
  <c r="K16" i="25"/>
  <c r="M16" i="25" s="1"/>
  <c r="K15" i="25"/>
  <c r="M15" i="25" s="1"/>
  <c r="K12" i="25"/>
  <c r="AE12" i="25"/>
  <c r="K11" i="25"/>
  <c r="K8" i="25"/>
  <c r="AE8" i="25"/>
  <c r="K6" i="25"/>
  <c r="AE6" i="25"/>
  <c r="L5" i="25"/>
  <c r="M5" i="25" s="1"/>
  <c r="G4" i="25"/>
  <c r="AE4" i="25" s="1"/>
  <c r="J2" i="25"/>
  <c r="M359" i="24"/>
  <c r="M356" i="24"/>
  <c r="M351" i="24"/>
  <c r="M349" i="24"/>
  <c r="M346" i="24"/>
  <c r="M345" i="24"/>
  <c r="M342" i="24"/>
  <c r="M341" i="24"/>
  <c r="M340" i="24"/>
  <c r="M337" i="24"/>
  <c r="M336" i="24"/>
  <c r="M335" i="24"/>
  <c r="M332" i="24"/>
  <c r="M331" i="24"/>
  <c r="M328" i="24"/>
  <c r="M327" i="24"/>
  <c r="M324" i="24"/>
  <c r="M323" i="24"/>
  <c r="M322" i="24"/>
  <c r="M321" i="24"/>
  <c r="M318" i="24"/>
  <c r="M317" i="24"/>
  <c r="M316" i="24"/>
  <c r="M313" i="24"/>
  <c r="M312" i="24"/>
  <c r="M311" i="24"/>
  <c r="M310" i="24"/>
  <c r="M307" i="24"/>
  <c r="M306" i="24"/>
  <c r="M303" i="24"/>
  <c r="M302" i="24"/>
  <c r="M299" i="24"/>
  <c r="M298" i="24"/>
  <c r="M296" i="24"/>
  <c r="M294" i="24"/>
  <c r="M291" i="24"/>
  <c r="M290" i="24"/>
  <c r="M287" i="24"/>
  <c r="M286" i="24"/>
  <c r="M285" i="24"/>
  <c r="M284" i="24"/>
  <c r="M281" i="24"/>
  <c r="M280" i="24"/>
  <c r="M279" i="24"/>
  <c r="M276" i="24"/>
  <c r="M275" i="24"/>
  <c r="M274" i="24"/>
  <c r="M273" i="24"/>
  <c r="M270" i="24"/>
  <c r="M269" i="24"/>
  <c r="M266" i="24"/>
  <c r="M265" i="24"/>
  <c r="M262" i="24"/>
  <c r="M261" i="24"/>
  <c r="M258" i="24"/>
  <c r="M257" i="24"/>
  <c r="M256" i="24"/>
  <c r="M255" i="24"/>
  <c r="M252" i="24"/>
  <c r="M251" i="24"/>
  <c r="M250" i="24"/>
  <c r="M249" i="24"/>
  <c r="M248" i="24"/>
  <c r="M247" i="24"/>
  <c r="M244" i="24"/>
  <c r="M243" i="24"/>
  <c r="M242" i="24"/>
  <c r="M239" i="24"/>
  <c r="M238" i="24"/>
  <c r="M236" i="24"/>
  <c r="M235" i="24"/>
  <c r="M234" i="24"/>
  <c r="M231" i="24"/>
  <c r="M230" i="24"/>
  <c r="M227" i="24"/>
  <c r="M224" i="24"/>
  <c r="M221" i="24"/>
  <c r="M218" i="24"/>
  <c r="M217" i="24"/>
  <c r="M215" i="24"/>
  <c r="M213" i="24"/>
  <c r="M210" i="24"/>
  <c r="M209" i="24"/>
  <c r="M208" i="24"/>
  <c r="M206" i="24"/>
  <c r="M204" i="24"/>
  <c r="M203" i="24"/>
  <c r="M202" i="24"/>
  <c r="M201" i="24"/>
  <c r="M200" i="24"/>
  <c r="M197" i="24"/>
  <c r="M196" i="24"/>
  <c r="M190" i="24"/>
  <c r="M189" i="24"/>
  <c r="M188" i="24"/>
  <c r="M187" i="24"/>
  <c r="M186" i="24"/>
  <c r="M183" i="24"/>
  <c r="M182" i="24"/>
  <c r="M179" i="24"/>
  <c r="M178" i="24"/>
  <c r="M175" i="24"/>
  <c r="M174" i="24"/>
  <c r="M171" i="24"/>
  <c r="M170" i="24"/>
  <c r="M167" i="24"/>
  <c r="M166" i="24"/>
  <c r="M164" i="24"/>
  <c r="M163" i="24"/>
  <c r="M162" i="24"/>
  <c r="M155" i="24"/>
  <c r="M154" i="24"/>
  <c r="M153" i="24"/>
  <c r="M152" i="24"/>
  <c r="M149" i="24"/>
  <c r="M148" i="24"/>
  <c r="M145" i="24"/>
  <c r="M144" i="24"/>
  <c r="M143" i="24"/>
  <c r="M142" i="24"/>
  <c r="M139" i="24"/>
  <c r="M138" i="24"/>
  <c r="M135" i="24"/>
  <c r="M134" i="24"/>
  <c r="M131" i="24"/>
  <c r="M130" i="24"/>
  <c r="M129" i="24"/>
  <c r="M127" i="24"/>
  <c r="M125" i="24"/>
  <c r="M122" i="24"/>
  <c r="M121" i="24"/>
  <c r="M120" i="24"/>
  <c r="M115" i="24"/>
  <c r="M111" i="24"/>
  <c r="M108" i="24"/>
  <c r="M96" i="24"/>
  <c r="M94" i="24"/>
  <c r="M93" i="24"/>
  <c r="M92" i="24"/>
  <c r="M91" i="24"/>
  <c r="M88" i="24"/>
  <c r="M84" i="24"/>
  <c r="M83" i="24"/>
  <c r="M80" i="24"/>
  <c r="M79" i="24"/>
  <c r="M76" i="24"/>
  <c r="M75" i="24"/>
  <c r="M72" i="24"/>
  <c r="M71" i="24"/>
  <c r="M69" i="24"/>
  <c r="M68" i="24"/>
  <c r="M67" i="24"/>
  <c r="M64" i="24"/>
  <c r="M63" i="24"/>
  <c r="M60" i="24"/>
  <c r="M59" i="24"/>
  <c r="M58" i="24"/>
  <c r="M57" i="24"/>
  <c r="M56" i="24"/>
  <c r="M50" i="24"/>
  <c r="M49" i="24"/>
  <c r="M48" i="24"/>
  <c r="M47" i="24"/>
  <c r="M43" i="24"/>
  <c r="M42" i="24"/>
  <c r="M39" i="24"/>
  <c r="M38" i="24"/>
  <c r="M35" i="24"/>
  <c r="M34" i="24"/>
  <c r="M27" i="24"/>
  <c r="M26" i="24"/>
  <c r="M23" i="24"/>
  <c r="M22" i="24"/>
  <c r="M19" i="24"/>
  <c r="M18" i="24"/>
  <c r="M17" i="24"/>
  <c r="M16" i="24"/>
  <c r="M13" i="24"/>
  <c r="M10" i="24"/>
  <c r="M9" i="24"/>
  <c r="M8" i="24"/>
  <c r="M2" i="24"/>
  <c r="P359" i="24"/>
  <c r="P356" i="24"/>
  <c r="P351" i="24"/>
  <c r="P349" i="24"/>
  <c r="P346" i="24"/>
  <c r="P345" i="24"/>
  <c r="P342" i="24"/>
  <c r="P341" i="24"/>
  <c r="P340" i="24"/>
  <c r="P337" i="24"/>
  <c r="P336" i="24"/>
  <c r="P335" i="24"/>
  <c r="P332" i="24"/>
  <c r="P331" i="24"/>
  <c r="P328" i="24"/>
  <c r="P327" i="24"/>
  <c r="P324" i="24"/>
  <c r="P323" i="24"/>
  <c r="P322" i="24"/>
  <c r="P321" i="24"/>
  <c r="P318" i="24"/>
  <c r="P317" i="24"/>
  <c r="P316" i="24"/>
  <c r="P313" i="24"/>
  <c r="P312" i="24"/>
  <c r="P311" i="24"/>
  <c r="P310" i="24"/>
  <c r="P307" i="24"/>
  <c r="P306" i="24"/>
  <c r="P303" i="24"/>
  <c r="P302" i="24"/>
  <c r="P299" i="24"/>
  <c r="P298" i="24"/>
  <c r="P296" i="24"/>
  <c r="P294" i="24"/>
  <c r="P291" i="24"/>
  <c r="P290" i="24"/>
  <c r="P287" i="24"/>
  <c r="P286" i="24"/>
  <c r="P285" i="24"/>
  <c r="P284" i="24"/>
  <c r="P281" i="24"/>
  <c r="P280" i="24"/>
  <c r="P279" i="24"/>
  <c r="P276" i="24"/>
  <c r="P275" i="24"/>
  <c r="P274" i="24"/>
  <c r="P273" i="24"/>
  <c r="P270" i="24"/>
  <c r="P269" i="24"/>
  <c r="P266" i="24"/>
  <c r="P265" i="24"/>
  <c r="P262" i="24"/>
  <c r="P261" i="24"/>
  <c r="P258" i="24"/>
  <c r="P257" i="24"/>
  <c r="P256" i="24"/>
  <c r="P255" i="24"/>
  <c r="P252" i="24"/>
  <c r="P251" i="24"/>
  <c r="P250" i="24"/>
  <c r="P249" i="24"/>
  <c r="P248" i="24"/>
  <c r="P247" i="24"/>
  <c r="P244" i="24"/>
  <c r="P243" i="24"/>
  <c r="P242" i="24"/>
  <c r="P239" i="24"/>
  <c r="P238" i="24"/>
  <c r="P236" i="24"/>
  <c r="P235" i="24"/>
  <c r="P234" i="24"/>
  <c r="P231" i="24"/>
  <c r="P230" i="24"/>
  <c r="P227" i="24"/>
  <c r="P224" i="24"/>
  <c r="P221" i="24"/>
  <c r="P218" i="24"/>
  <c r="P217" i="24"/>
  <c r="P215" i="24"/>
  <c r="P213" i="24"/>
  <c r="P210" i="24"/>
  <c r="P209" i="24"/>
  <c r="P208" i="24"/>
  <c r="P206" i="24"/>
  <c r="P204" i="24"/>
  <c r="P203" i="24"/>
  <c r="P202" i="24"/>
  <c r="P201" i="24"/>
  <c r="P200" i="24"/>
  <c r="P197" i="24"/>
  <c r="P196" i="24"/>
  <c r="P193" i="24"/>
  <c r="P190" i="24"/>
  <c r="P189" i="24"/>
  <c r="P188" i="24"/>
  <c r="P187" i="24"/>
  <c r="P186" i="24"/>
  <c r="P183" i="24"/>
  <c r="P182" i="24"/>
  <c r="P179" i="24"/>
  <c r="P178" i="24"/>
  <c r="P175" i="24"/>
  <c r="P174" i="24"/>
  <c r="P171" i="24"/>
  <c r="P170" i="24"/>
  <c r="P167" i="24"/>
  <c r="P166" i="24"/>
  <c r="P164" i="24"/>
  <c r="P163" i="24"/>
  <c r="P162" i="24"/>
  <c r="P159" i="24"/>
  <c r="P158" i="24"/>
  <c r="P155" i="24"/>
  <c r="P154" i="24"/>
  <c r="P153" i="24"/>
  <c r="P152" i="24"/>
  <c r="P149" i="24"/>
  <c r="P148" i="24"/>
  <c r="P143" i="24"/>
  <c r="P142" i="24"/>
  <c r="P139" i="24"/>
  <c r="P138" i="24"/>
  <c r="P135" i="24"/>
  <c r="P134" i="24"/>
  <c r="P131" i="24"/>
  <c r="P130" i="24"/>
  <c r="P129" i="24"/>
  <c r="P127" i="24"/>
  <c r="P125" i="24"/>
  <c r="P120" i="24"/>
  <c r="P115" i="24"/>
  <c r="P111" i="24"/>
  <c r="P108" i="24"/>
  <c r="P96" i="24"/>
  <c r="P94" i="24"/>
  <c r="P93" i="24"/>
  <c r="P92" i="24"/>
  <c r="P91" i="24"/>
  <c r="P88" i="24"/>
  <c r="P84" i="24"/>
  <c r="P83" i="24"/>
  <c r="P80" i="24"/>
  <c r="P79" i="24"/>
  <c r="P76" i="24"/>
  <c r="P75" i="24"/>
  <c r="P69" i="24"/>
  <c r="P68" i="24"/>
  <c r="P67" i="24"/>
  <c r="P64" i="24"/>
  <c r="P63" i="24"/>
  <c r="P60" i="24"/>
  <c r="P59" i="24"/>
  <c r="P58" i="24"/>
  <c r="P57" i="24"/>
  <c r="P56" i="24"/>
  <c r="P53" i="24"/>
  <c r="P52" i="24"/>
  <c r="P50" i="24"/>
  <c r="P49" i="24"/>
  <c r="P48" i="24"/>
  <c r="P47" i="24"/>
  <c r="P43" i="24"/>
  <c r="P42" i="24"/>
  <c r="P39" i="24"/>
  <c r="P38" i="24"/>
  <c r="P35" i="24"/>
  <c r="P34" i="24"/>
  <c r="P31" i="24"/>
  <c r="P30" i="24"/>
  <c r="P27" i="24"/>
  <c r="P26" i="24"/>
  <c r="P23" i="24"/>
  <c r="P22" i="24"/>
  <c r="P19" i="24"/>
  <c r="P18" i="24"/>
  <c r="P17" i="24"/>
  <c r="P16" i="24"/>
  <c r="P13" i="24"/>
  <c r="P10" i="24"/>
  <c r="P9" i="24"/>
  <c r="P8" i="24"/>
  <c r="P5" i="24"/>
  <c r="P4" i="24"/>
  <c r="P2" i="24"/>
  <c r="S364" i="24"/>
  <c r="S359" i="24"/>
  <c r="S356" i="24"/>
  <c r="S351" i="24"/>
  <c r="S349" i="24"/>
  <c r="S346" i="24"/>
  <c r="S345" i="24"/>
  <c r="S342" i="24"/>
  <c r="S341" i="24"/>
  <c r="S340" i="24"/>
  <c r="S337" i="24"/>
  <c r="S336" i="24"/>
  <c r="S335" i="24"/>
  <c r="S332" i="24"/>
  <c r="S331" i="24"/>
  <c r="S328" i="24"/>
  <c r="S327" i="24"/>
  <c r="S324" i="24"/>
  <c r="S323" i="24"/>
  <c r="S322" i="24"/>
  <c r="S321" i="24"/>
  <c r="S318" i="24"/>
  <c r="S317" i="24"/>
  <c r="S316" i="24"/>
  <c r="S313" i="24"/>
  <c r="S312" i="24"/>
  <c r="S311" i="24"/>
  <c r="S310" i="24"/>
  <c r="S307" i="24"/>
  <c r="S306" i="24"/>
  <c r="S303" i="24"/>
  <c r="S302" i="24"/>
  <c r="S299" i="24"/>
  <c r="S298" i="24"/>
  <c r="S296" i="24"/>
  <c r="S294" i="24"/>
  <c r="S291" i="24"/>
  <c r="S290" i="24"/>
  <c r="S287" i="24"/>
  <c r="S286" i="24"/>
  <c r="S285" i="24"/>
  <c r="S284" i="24"/>
  <c r="S281" i="24"/>
  <c r="S280" i="24"/>
  <c r="S279" i="24"/>
  <c r="S276" i="24"/>
  <c r="S275" i="24"/>
  <c r="S274" i="24"/>
  <c r="S273" i="24"/>
  <c r="S270" i="24"/>
  <c r="S269" i="24"/>
  <c r="S266" i="24"/>
  <c r="S265" i="24"/>
  <c r="S262" i="24"/>
  <c r="S261" i="24"/>
  <c r="S258" i="24"/>
  <c r="S257" i="24"/>
  <c r="S256" i="24"/>
  <c r="S255" i="24"/>
  <c r="S252" i="24"/>
  <c r="S251" i="24"/>
  <c r="S250" i="24"/>
  <c r="S249" i="24"/>
  <c r="S248" i="24"/>
  <c r="S247" i="24"/>
  <c r="S244" i="24"/>
  <c r="S243" i="24"/>
  <c r="S242" i="24"/>
  <c r="S239" i="24"/>
  <c r="S238" i="24"/>
  <c r="S236" i="24"/>
  <c r="S235" i="24"/>
  <c r="S234" i="24"/>
  <c r="S231" i="24"/>
  <c r="S230" i="24"/>
  <c r="S227" i="24"/>
  <c r="S224" i="24"/>
  <c r="S221" i="24"/>
  <c r="S218" i="24"/>
  <c r="S217" i="24"/>
  <c r="S215" i="24"/>
  <c r="S213" i="24"/>
  <c r="S210" i="24"/>
  <c r="S209" i="24"/>
  <c r="S208" i="24"/>
  <c r="S206" i="24"/>
  <c r="S204" i="24"/>
  <c r="S203" i="24"/>
  <c r="S202" i="24"/>
  <c r="S201" i="24"/>
  <c r="S200" i="24"/>
  <c r="S197" i="24"/>
  <c r="S196" i="24"/>
  <c r="S193" i="24"/>
  <c r="S190" i="24"/>
  <c r="S189" i="24"/>
  <c r="S188" i="24"/>
  <c r="S187" i="24"/>
  <c r="S186" i="24"/>
  <c r="S183" i="24"/>
  <c r="S182" i="24"/>
  <c r="S179" i="24"/>
  <c r="S178" i="24"/>
  <c r="S175" i="24"/>
  <c r="S174" i="24"/>
  <c r="S171" i="24"/>
  <c r="S170" i="24"/>
  <c r="S167" i="24"/>
  <c r="S166" i="24"/>
  <c r="S164" i="24"/>
  <c r="S163" i="24"/>
  <c r="S162" i="24"/>
  <c r="S159" i="24"/>
  <c r="S158" i="24"/>
  <c r="S155" i="24"/>
  <c r="S154" i="24"/>
  <c r="S153" i="24"/>
  <c r="S152" i="24"/>
  <c r="S149" i="24"/>
  <c r="S148" i="24"/>
  <c r="S145" i="24"/>
  <c r="S144" i="24"/>
  <c r="S143" i="24"/>
  <c r="S142" i="24"/>
  <c r="S139" i="24"/>
  <c r="S138" i="24"/>
  <c r="S135" i="24"/>
  <c r="S134" i="24"/>
  <c r="S131" i="24"/>
  <c r="S130" i="24"/>
  <c r="S129" i="24"/>
  <c r="S127" i="24"/>
  <c r="S125" i="24"/>
  <c r="S122" i="24"/>
  <c r="S121" i="24"/>
  <c r="S120" i="24"/>
  <c r="S115" i="24"/>
  <c r="S111" i="24"/>
  <c r="S108" i="24"/>
  <c r="S96" i="24"/>
  <c r="S94" i="24"/>
  <c r="S93" i="24"/>
  <c r="S92" i="24"/>
  <c r="S91" i="24"/>
  <c r="S88" i="24"/>
  <c r="S84" i="24"/>
  <c r="S83" i="24"/>
  <c r="S80" i="24"/>
  <c r="S79" i="24"/>
  <c r="S76" i="24"/>
  <c r="S75" i="24"/>
  <c r="S72" i="24"/>
  <c r="S71" i="24"/>
  <c r="S69" i="24"/>
  <c r="S68" i="24"/>
  <c r="S67" i="24"/>
  <c r="S64" i="24"/>
  <c r="S63" i="24"/>
  <c r="S60" i="24"/>
  <c r="S59" i="24"/>
  <c r="S58" i="24"/>
  <c r="S57" i="24"/>
  <c r="S56" i="24"/>
  <c r="S53" i="24"/>
  <c r="S52" i="24"/>
  <c r="S50" i="24"/>
  <c r="S49" i="24"/>
  <c r="S48" i="24"/>
  <c r="S47" i="24"/>
  <c r="S43" i="24"/>
  <c r="S42" i="24"/>
  <c r="S39" i="24"/>
  <c r="S38" i="24"/>
  <c r="S35" i="24"/>
  <c r="S34" i="24"/>
  <c r="S31" i="24"/>
  <c r="S30" i="24"/>
  <c r="S27" i="24"/>
  <c r="S26" i="24"/>
  <c r="S23" i="24"/>
  <c r="S22" i="24"/>
  <c r="S19" i="24"/>
  <c r="S18" i="24"/>
  <c r="S17" i="24"/>
  <c r="S16" i="24"/>
  <c r="S13" i="24"/>
  <c r="S10" i="24"/>
  <c r="S9" i="24"/>
  <c r="S8" i="24"/>
  <c r="S5" i="24"/>
  <c r="S4" i="24"/>
  <c r="S2" i="24"/>
  <c r="V359" i="24"/>
  <c r="V356" i="24"/>
  <c r="V351" i="24"/>
  <c r="V349" i="24"/>
  <c r="V346" i="24"/>
  <c r="V345" i="24"/>
  <c r="V342" i="24"/>
  <c r="V341" i="24"/>
  <c r="V340" i="24"/>
  <c r="V337" i="24"/>
  <c r="V336" i="24"/>
  <c r="V335" i="24"/>
  <c r="V332" i="24"/>
  <c r="V331" i="24"/>
  <c r="V328" i="24"/>
  <c r="V327" i="24"/>
  <c r="V324" i="24"/>
  <c r="V323" i="24"/>
  <c r="V322" i="24"/>
  <c r="V321" i="24"/>
  <c r="V318" i="24"/>
  <c r="V317" i="24"/>
  <c r="V316" i="24"/>
  <c r="V313" i="24"/>
  <c r="V312" i="24"/>
  <c r="V311" i="24"/>
  <c r="V310" i="24"/>
  <c r="V307" i="24"/>
  <c r="V306" i="24"/>
  <c r="V303" i="24"/>
  <c r="V302" i="24"/>
  <c r="V299" i="24"/>
  <c r="V298" i="24"/>
  <c r="V296" i="24"/>
  <c r="V294" i="24"/>
  <c r="V291" i="24"/>
  <c r="V290" i="24"/>
  <c r="V287" i="24"/>
  <c r="V286" i="24"/>
  <c r="V285" i="24"/>
  <c r="V284" i="24"/>
  <c r="V281" i="24"/>
  <c r="V280" i="24"/>
  <c r="V279" i="24"/>
  <c r="V276" i="24"/>
  <c r="V275" i="24"/>
  <c r="V274" i="24"/>
  <c r="V273" i="24"/>
  <c r="V270" i="24"/>
  <c r="V269" i="24"/>
  <c r="V266" i="24"/>
  <c r="V265" i="24"/>
  <c r="V262" i="24"/>
  <c r="V261" i="24"/>
  <c r="V258" i="24"/>
  <c r="V257" i="24"/>
  <c r="V256" i="24"/>
  <c r="V255" i="24"/>
  <c r="V252" i="24"/>
  <c r="V251" i="24"/>
  <c r="V250" i="24"/>
  <c r="V249" i="24"/>
  <c r="V248" i="24"/>
  <c r="V247" i="24"/>
  <c r="V244" i="24"/>
  <c r="V243" i="24"/>
  <c r="V242" i="24"/>
  <c r="V239" i="24"/>
  <c r="V238" i="24"/>
  <c r="V236" i="24"/>
  <c r="V235" i="24"/>
  <c r="V234" i="24"/>
  <c r="V231" i="24"/>
  <c r="V230" i="24"/>
  <c r="V227" i="24"/>
  <c r="V224" i="24"/>
  <c r="V221" i="24"/>
  <c r="V218" i="24"/>
  <c r="V217" i="24"/>
  <c r="V215" i="24"/>
  <c r="V213" i="24"/>
  <c r="V210" i="24"/>
  <c r="V209" i="24"/>
  <c r="V208" i="24"/>
  <c r="V206" i="24"/>
  <c r="V204" i="24"/>
  <c r="V203" i="24"/>
  <c r="V202" i="24"/>
  <c r="V201" i="24"/>
  <c r="V200" i="24"/>
  <c r="V197" i="24"/>
  <c r="V196" i="24"/>
  <c r="V193" i="24"/>
  <c r="V190" i="24"/>
  <c r="V189" i="24"/>
  <c r="V188" i="24"/>
  <c r="V187" i="24"/>
  <c r="V186" i="24"/>
  <c r="V183" i="24"/>
  <c r="V182" i="24"/>
  <c r="V179" i="24"/>
  <c r="V178" i="24"/>
  <c r="V175" i="24"/>
  <c r="V174" i="24"/>
  <c r="V171" i="24"/>
  <c r="V170" i="24"/>
  <c r="V167" i="24"/>
  <c r="V166" i="24"/>
  <c r="V164" i="24"/>
  <c r="V163" i="24"/>
  <c r="V162" i="24"/>
  <c r="V159" i="24"/>
  <c r="V158" i="24"/>
  <c r="V155" i="24"/>
  <c r="V154" i="24"/>
  <c r="V153" i="24"/>
  <c r="V152" i="24"/>
  <c r="V149" i="24"/>
  <c r="V148" i="24"/>
  <c r="V145" i="24"/>
  <c r="V144" i="24"/>
  <c r="V143" i="24"/>
  <c r="V142" i="24"/>
  <c r="V139" i="24"/>
  <c r="V138" i="24"/>
  <c r="V135" i="24"/>
  <c r="V134" i="24"/>
  <c r="V131" i="24"/>
  <c r="V130" i="24"/>
  <c r="V129" i="24"/>
  <c r="V127" i="24"/>
  <c r="V125" i="24"/>
  <c r="V122" i="24"/>
  <c r="V121" i="24"/>
  <c r="V120" i="24"/>
  <c r="V115" i="24"/>
  <c r="V111" i="24"/>
  <c r="V108" i="24"/>
  <c r="V96" i="24"/>
  <c r="V94" i="24"/>
  <c r="V93" i="24"/>
  <c r="V92" i="24"/>
  <c r="V91" i="24"/>
  <c r="V88" i="24"/>
  <c r="V84" i="24"/>
  <c r="V83" i="24"/>
  <c r="V80" i="24"/>
  <c r="V79" i="24"/>
  <c r="V76" i="24"/>
  <c r="V75" i="24"/>
  <c r="V72" i="24"/>
  <c r="V71" i="24"/>
  <c r="V69" i="24"/>
  <c r="V68" i="24"/>
  <c r="V67" i="24"/>
  <c r="V64" i="24"/>
  <c r="V63" i="24"/>
  <c r="V60" i="24"/>
  <c r="V59" i="24"/>
  <c r="V58" i="24"/>
  <c r="V57" i="24"/>
  <c r="V56" i="24"/>
  <c r="V53" i="24"/>
  <c r="V52" i="24"/>
  <c r="V50" i="24"/>
  <c r="V49" i="24"/>
  <c r="V48" i="24"/>
  <c r="V47" i="24"/>
  <c r="V43" i="24"/>
  <c r="V42" i="24"/>
  <c r="V39" i="24"/>
  <c r="V38" i="24"/>
  <c r="V35" i="24"/>
  <c r="V34" i="24"/>
  <c r="V31" i="24"/>
  <c r="V30" i="24"/>
  <c r="V27" i="24"/>
  <c r="V26" i="24"/>
  <c r="V23" i="24"/>
  <c r="V22" i="24"/>
  <c r="V19" i="24"/>
  <c r="V18" i="24"/>
  <c r="V17" i="24"/>
  <c r="V16" i="24"/>
  <c r="V15" i="24"/>
  <c r="V13" i="24"/>
  <c r="V10" i="24"/>
  <c r="V9" i="24"/>
  <c r="V8" i="24"/>
  <c r="V5" i="24"/>
  <c r="V4" i="24"/>
  <c r="V2" i="24"/>
  <c r="AB359" i="24"/>
  <c r="AB356" i="24"/>
  <c r="AB351" i="24"/>
  <c r="AB350" i="24"/>
  <c r="AB349" i="24"/>
  <c r="AB346" i="24"/>
  <c r="AB345" i="24"/>
  <c r="AB342" i="24"/>
  <c r="AB341" i="24"/>
  <c r="AB340" i="24"/>
  <c r="AB337" i="24"/>
  <c r="AB336" i="24"/>
  <c r="AB335" i="24"/>
  <c r="AB332" i="24"/>
  <c r="AB331" i="24"/>
  <c r="AB328" i="24"/>
  <c r="AB327" i="24"/>
  <c r="AB324" i="24"/>
  <c r="AB323" i="24"/>
  <c r="AB322" i="24"/>
  <c r="AB321" i="24"/>
  <c r="AB318" i="24"/>
  <c r="AB317" i="24"/>
  <c r="AB316" i="24"/>
  <c r="AB313" i="24"/>
  <c r="AB312" i="24"/>
  <c r="AB311" i="24"/>
  <c r="AB310" i="24"/>
  <c r="AB307" i="24"/>
  <c r="AB306" i="24"/>
  <c r="AB303" i="24"/>
  <c r="AB302" i="24"/>
  <c r="AB299" i="24"/>
  <c r="AB298" i="24"/>
  <c r="AB296" i="24"/>
  <c r="AB294" i="24"/>
  <c r="AB291" i="24"/>
  <c r="AB290" i="24"/>
  <c r="AB287" i="24"/>
  <c r="AB286" i="24"/>
  <c r="AB285" i="24"/>
  <c r="AB284" i="24"/>
  <c r="AB281" i="24"/>
  <c r="AB280" i="24"/>
  <c r="AB279" i="24"/>
  <c r="AB276" i="24"/>
  <c r="AB275" i="24"/>
  <c r="AB274" i="24"/>
  <c r="AB273" i="24"/>
  <c r="AB270" i="24"/>
  <c r="AB269" i="24"/>
  <c r="AB266" i="24"/>
  <c r="AB265" i="24"/>
  <c r="AB262" i="24"/>
  <c r="AB261" i="24"/>
  <c r="AB258" i="24"/>
  <c r="AB257" i="24"/>
  <c r="AB256" i="24"/>
  <c r="AB255" i="24"/>
  <c r="AB252" i="24"/>
  <c r="AB251" i="24"/>
  <c r="AB250" i="24"/>
  <c r="AB249" i="24"/>
  <c r="AB248" i="24"/>
  <c r="AB247" i="24"/>
  <c r="AB244" i="24"/>
  <c r="AB243" i="24"/>
  <c r="AB242" i="24"/>
  <c r="AB239" i="24"/>
  <c r="AB238" i="24"/>
  <c r="AB236" i="24"/>
  <c r="AB235" i="24"/>
  <c r="AB234" i="24"/>
  <c r="AB231" i="24"/>
  <c r="AB230" i="24"/>
  <c r="AB227" i="24"/>
  <c r="AB224" i="24"/>
  <c r="AB221" i="24"/>
  <c r="AB218" i="24"/>
  <c r="AB217" i="24"/>
  <c r="AB215" i="24"/>
  <c r="AB213" i="24"/>
  <c r="AB210" i="24"/>
  <c r="AB209" i="24"/>
  <c r="AB208" i="24"/>
  <c r="AB206" i="24"/>
  <c r="AB204" i="24"/>
  <c r="AB203" i="24"/>
  <c r="AB202" i="24"/>
  <c r="AB201" i="24"/>
  <c r="AB200" i="24"/>
  <c r="AB197" i="24"/>
  <c r="AB196" i="24"/>
  <c r="AB193" i="24"/>
  <c r="AB190" i="24"/>
  <c r="AB189" i="24"/>
  <c r="AB188" i="24"/>
  <c r="AB187" i="24"/>
  <c r="AB186" i="24"/>
  <c r="AB183" i="24"/>
  <c r="AB182" i="24"/>
  <c r="AB179" i="24"/>
  <c r="AB178" i="24"/>
  <c r="AB175" i="24"/>
  <c r="AB174" i="24"/>
  <c r="AB171" i="24"/>
  <c r="AB170" i="24"/>
  <c r="AB167" i="24"/>
  <c r="AB166" i="24"/>
  <c r="AB164" i="24"/>
  <c r="AB163" i="24"/>
  <c r="AB162" i="24"/>
  <c r="AB159" i="24"/>
  <c r="AB158" i="24"/>
  <c r="AB155" i="24"/>
  <c r="AB154" i="24"/>
  <c r="AB153" i="24"/>
  <c r="AB152" i="24"/>
  <c r="AB149" i="24"/>
  <c r="AB148" i="24"/>
  <c r="AB145" i="24"/>
  <c r="AB144" i="24"/>
  <c r="AB143" i="24"/>
  <c r="AB142" i="24"/>
  <c r="AB139" i="24"/>
  <c r="AB138" i="24"/>
  <c r="AB135" i="24"/>
  <c r="AB134" i="24"/>
  <c r="AB131" i="24"/>
  <c r="AB130" i="24"/>
  <c r="AB129" i="24"/>
  <c r="AB127" i="24"/>
  <c r="AB125" i="24"/>
  <c r="AB120" i="24"/>
  <c r="AB115" i="24"/>
  <c r="AB111" i="24"/>
  <c r="AB108" i="24"/>
  <c r="AB96" i="24"/>
  <c r="AB94" i="24"/>
  <c r="AB93" i="24"/>
  <c r="AB92" i="24"/>
  <c r="AB91" i="24"/>
  <c r="AB88" i="24"/>
  <c r="AB84" i="24"/>
  <c r="AB83" i="24"/>
  <c r="AB80" i="24"/>
  <c r="AB79" i="24"/>
  <c r="AB76" i="24"/>
  <c r="AB75" i="24"/>
  <c r="AB72" i="24"/>
  <c r="AB71" i="24"/>
  <c r="AB69" i="24"/>
  <c r="AB68" i="24"/>
  <c r="AB67" i="24"/>
  <c r="AB64" i="24"/>
  <c r="AB63" i="24"/>
  <c r="AB60" i="24"/>
  <c r="AB59" i="24"/>
  <c r="AB58" i="24"/>
  <c r="AB57" i="24"/>
  <c r="AB56" i="24"/>
  <c r="AB50" i="24"/>
  <c r="AB49" i="24"/>
  <c r="AB48" i="24"/>
  <c r="AB47" i="24"/>
  <c r="AB43" i="24"/>
  <c r="AB42" i="24"/>
  <c r="AB39" i="24"/>
  <c r="AB38" i="24"/>
  <c r="AB35" i="24"/>
  <c r="AB34" i="24"/>
  <c r="AB27" i="24"/>
  <c r="AB26" i="24"/>
  <c r="AB23" i="24"/>
  <c r="AB22" i="24"/>
  <c r="AB19" i="24"/>
  <c r="AB18" i="24"/>
  <c r="AB17" i="24"/>
  <c r="AB16" i="24"/>
  <c r="AB13" i="24"/>
  <c r="AB10" i="24"/>
  <c r="AB9" i="24"/>
  <c r="AB8" i="24"/>
  <c r="AB5" i="24"/>
  <c r="AB4" i="24"/>
  <c r="AB2" i="24"/>
  <c r="Y365" i="24"/>
  <c r="Y364" i="24"/>
  <c r="Y359" i="24"/>
  <c r="Y356" i="24"/>
  <c r="Y351" i="24"/>
  <c r="Y349" i="24"/>
  <c r="Y346" i="24"/>
  <c r="Y345" i="24"/>
  <c r="Y342" i="24"/>
  <c r="Y341" i="24"/>
  <c r="Y340" i="24"/>
  <c r="Y337" i="24"/>
  <c r="Y336" i="24"/>
  <c r="Y335" i="24"/>
  <c r="Y332" i="24"/>
  <c r="Y331" i="24"/>
  <c r="Y328" i="24"/>
  <c r="Y327" i="24"/>
  <c r="Y324" i="24"/>
  <c r="Y323" i="24"/>
  <c r="Y322" i="24"/>
  <c r="Y321" i="24"/>
  <c r="Y318" i="24"/>
  <c r="Y317" i="24"/>
  <c r="Y316" i="24"/>
  <c r="Y313" i="24"/>
  <c r="Y312" i="24"/>
  <c r="Y311" i="24"/>
  <c r="Y310" i="24"/>
  <c r="Y307" i="24"/>
  <c r="Y306" i="24"/>
  <c r="Y303" i="24"/>
  <c r="Y302" i="24"/>
  <c r="Y299" i="24"/>
  <c r="Y298" i="24"/>
  <c r="Y296" i="24"/>
  <c r="Y294" i="24"/>
  <c r="Y291" i="24"/>
  <c r="Y290" i="24"/>
  <c r="Y287" i="24"/>
  <c r="Y286" i="24"/>
  <c r="Y285" i="24"/>
  <c r="Y284" i="24"/>
  <c r="Y281" i="24"/>
  <c r="Y280" i="24"/>
  <c r="Y279" i="24"/>
  <c r="Y276" i="24"/>
  <c r="Y275" i="24"/>
  <c r="Y274" i="24"/>
  <c r="Y273" i="24"/>
  <c r="Y270" i="24"/>
  <c r="Y269" i="24"/>
  <c r="Y266" i="24"/>
  <c r="Y265" i="24"/>
  <c r="Y262" i="24"/>
  <c r="Y261" i="24"/>
  <c r="Y258" i="24"/>
  <c r="Y257" i="24"/>
  <c r="Y256" i="24"/>
  <c r="Y255" i="24"/>
  <c r="Y252" i="24"/>
  <c r="Y251" i="24"/>
  <c r="Y250" i="24"/>
  <c r="Y249" i="24"/>
  <c r="Y248" i="24"/>
  <c r="Y247" i="24"/>
  <c r="Y244" i="24"/>
  <c r="Y243" i="24"/>
  <c r="Y242" i="24"/>
  <c r="Y239" i="24"/>
  <c r="Y238" i="24"/>
  <c r="Y236" i="24"/>
  <c r="Y235" i="24"/>
  <c r="Y234" i="24"/>
  <c r="Y231" i="24"/>
  <c r="Y230" i="24"/>
  <c r="Y227" i="24"/>
  <c r="Y224" i="24"/>
  <c r="Y221" i="24"/>
  <c r="Y218" i="24"/>
  <c r="Y217" i="24"/>
  <c r="Y215" i="24"/>
  <c r="Y213" i="24"/>
  <c r="Y210" i="24"/>
  <c r="Y209" i="24"/>
  <c r="Y208" i="24"/>
  <c r="Y206" i="24"/>
  <c r="Y204" i="24"/>
  <c r="Y203" i="24"/>
  <c r="Y202" i="24"/>
  <c r="Y201" i="24"/>
  <c r="Y200" i="24"/>
  <c r="Y197" i="24"/>
  <c r="Y196" i="24"/>
  <c r="Y190" i="24"/>
  <c r="Y189" i="24"/>
  <c r="Y188" i="24"/>
  <c r="Y187" i="24"/>
  <c r="Y186" i="24"/>
  <c r="Y183" i="24"/>
  <c r="Y182" i="24"/>
  <c r="Y179" i="24"/>
  <c r="Y178" i="24"/>
  <c r="Y175" i="24"/>
  <c r="Y174" i="24"/>
  <c r="Y171" i="24"/>
  <c r="Y170" i="24"/>
  <c r="Y167" i="24"/>
  <c r="Y166" i="24"/>
  <c r="Y164" i="24"/>
  <c r="Y163" i="24"/>
  <c r="Y162" i="24"/>
  <c r="Y159" i="24"/>
  <c r="Y158" i="24"/>
  <c r="Y155" i="24"/>
  <c r="Y154" i="24"/>
  <c r="Y153" i="24"/>
  <c r="Y152" i="24"/>
  <c r="Y149" i="24"/>
  <c r="Y148" i="24"/>
  <c r="Y145" i="24"/>
  <c r="Y144" i="24"/>
  <c r="Y143" i="24"/>
  <c r="Y142" i="24"/>
  <c r="Y139" i="24"/>
  <c r="Y138" i="24"/>
  <c r="Y135" i="24"/>
  <c r="Y134" i="24"/>
  <c r="Y131" i="24"/>
  <c r="Y130" i="24"/>
  <c r="Y129" i="24"/>
  <c r="Y127" i="24"/>
  <c r="Y125" i="24"/>
  <c r="Y122" i="24"/>
  <c r="Y121" i="24"/>
  <c r="Y120" i="24"/>
  <c r="Y115" i="24"/>
  <c r="Y111" i="24"/>
  <c r="Y108" i="24"/>
  <c r="Y96" i="24"/>
  <c r="Y94" i="24"/>
  <c r="Y93" i="24"/>
  <c r="Y92" i="24"/>
  <c r="Y91" i="24"/>
  <c r="Y88" i="24"/>
  <c r="Y84" i="24"/>
  <c r="Y83" i="24"/>
  <c r="Y80" i="24"/>
  <c r="Y79" i="24"/>
  <c r="Y76" i="24"/>
  <c r="Y75" i="24"/>
  <c r="Y69" i="24"/>
  <c r="Y68" i="24"/>
  <c r="Y67" i="24"/>
  <c r="Y64" i="24"/>
  <c r="Y63" i="24"/>
  <c r="Y60" i="24"/>
  <c r="Y59" i="24"/>
  <c r="Y58" i="24"/>
  <c r="Y57" i="24"/>
  <c r="Y56" i="24"/>
  <c r="Y53" i="24"/>
  <c r="Y52" i="24"/>
  <c r="Y50" i="24"/>
  <c r="Y49" i="24"/>
  <c r="Y48" i="24"/>
  <c r="Y47" i="24"/>
  <c r="Y43" i="24"/>
  <c r="Y42" i="24"/>
  <c r="Y39" i="24"/>
  <c r="Y38" i="24"/>
  <c r="Y35" i="24"/>
  <c r="Y34" i="24"/>
  <c r="Y31" i="24"/>
  <c r="Y30" i="24"/>
  <c r="Y27" i="24"/>
  <c r="Y26" i="24"/>
  <c r="Y23" i="24"/>
  <c r="Y22" i="24"/>
  <c r="Y19" i="24"/>
  <c r="Y18" i="24"/>
  <c r="Y17" i="24"/>
  <c r="Y16" i="24"/>
  <c r="Y13" i="24"/>
  <c r="Y10" i="24"/>
  <c r="Y9" i="24"/>
  <c r="Y8" i="24"/>
  <c r="Y366" i="24"/>
  <c r="H360" i="24"/>
  <c r="Y360" i="24"/>
  <c r="J359" i="24"/>
  <c r="AC358" i="24"/>
  <c r="Z358" i="24"/>
  <c r="W358" i="24"/>
  <c r="T358" i="24"/>
  <c r="Q358" i="24"/>
  <c r="N358" i="24"/>
  <c r="K358" i="24"/>
  <c r="H358" i="24"/>
  <c r="AE358" i="24"/>
  <c r="AC357" i="24"/>
  <c r="Z357" i="24"/>
  <c r="W357" i="24"/>
  <c r="T357" i="24"/>
  <c r="Q357" i="24"/>
  <c r="S357" i="24" s="1"/>
  <c r="N357" i="24"/>
  <c r="K357" i="24"/>
  <c r="H357" i="24"/>
  <c r="J356" i="24"/>
  <c r="AC352" i="24"/>
  <c r="K352" i="24"/>
  <c r="H352" i="24"/>
  <c r="J351" i="24"/>
  <c r="AC350" i="24"/>
  <c r="K350" i="24"/>
  <c r="H350" i="24"/>
  <c r="V350" i="24"/>
  <c r="J349" i="24"/>
  <c r="AC348" i="24"/>
  <c r="K348" i="24"/>
  <c r="H348" i="24"/>
  <c r="V348" i="24"/>
  <c r="AC347" i="24"/>
  <c r="K347" i="24"/>
  <c r="H347" i="24"/>
  <c r="J346" i="24"/>
  <c r="J345" i="24"/>
  <c r="AC344" i="24"/>
  <c r="K344" i="24"/>
  <c r="H344" i="24"/>
  <c r="J344" i="24"/>
  <c r="AC343" i="24"/>
  <c r="K343" i="24"/>
  <c r="H343" i="24"/>
  <c r="AB343" i="24"/>
  <c r="J342" i="24"/>
  <c r="J341" i="24"/>
  <c r="J340" i="24"/>
  <c r="AC339" i="24"/>
  <c r="K339" i="24"/>
  <c r="H339" i="24"/>
  <c r="AC338" i="24"/>
  <c r="K338" i="24"/>
  <c r="H338" i="24"/>
  <c r="J337" i="24"/>
  <c r="J336" i="24"/>
  <c r="J335" i="24"/>
  <c r="V334" i="24"/>
  <c r="AC333" i="24"/>
  <c r="K333" i="24"/>
  <c r="H333" i="24"/>
  <c r="S333" i="24"/>
  <c r="J332" i="24"/>
  <c r="J331" i="24"/>
  <c r="AC329" i="24"/>
  <c r="K329" i="24"/>
  <c r="H329" i="24"/>
  <c r="J328" i="24"/>
  <c r="J327" i="24"/>
  <c r="AC325" i="24"/>
  <c r="K325" i="24"/>
  <c r="H325" i="24"/>
  <c r="S325" i="24"/>
  <c r="J324" i="24"/>
  <c r="J323" i="24"/>
  <c r="J322" i="24"/>
  <c r="J321" i="24"/>
  <c r="AC320" i="24"/>
  <c r="K320" i="24"/>
  <c r="H320" i="24"/>
  <c r="V320" i="24"/>
  <c r="AC319" i="24"/>
  <c r="K319" i="24"/>
  <c r="H319" i="24"/>
  <c r="J318" i="24"/>
  <c r="J317" i="24"/>
  <c r="J316" i="24"/>
  <c r="M315" i="24"/>
  <c r="AC314" i="24"/>
  <c r="K314" i="24"/>
  <c r="J314" i="24"/>
  <c r="H314" i="24"/>
  <c r="AB314" i="24"/>
  <c r="J313" i="24"/>
  <c r="J312" i="24"/>
  <c r="J311" i="24"/>
  <c r="J310" i="24"/>
  <c r="AC308" i="24"/>
  <c r="K308" i="24"/>
  <c r="H308" i="24"/>
  <c r="J307" i="24"/>
  <c r="J306" i="24"/>
  <c r="AC305" i="24"/>
  <c r="K305" i="24"/>
  <c r="H305" i="24"/>
  <c r="J305" i="24" s="1"/>
  <c r="V305" i="24"/>
  <c r="AC304" i="24"/>
  <c r="K304" i="24"/>
  <c r="H304" i="24"/>
  <c r="J303" i="24"/>
  <c r="J302" i="24"/>
  <c r="S301" i="24"/>
  <c r="AC300" i="24"/>
  <c r="K300" i="24"/>
  <c r="H300" i="24"/>
  <c r="V300" i="24"/>
  <c r="J299" i="24"/>
  <c r="J298" i="24"/>
  <c r="S297" i="24"/>
  <c r="J296" i="24"/>
  <c r="Y295" i="24"/>
  <c r="J294" i="24"/>
  <c r="AC293" i="24"/>
  <c r="K293" i="24"/>
  <c r="H293" i="24"/>
  <c r="AC292" i="24"/>
  <c r="K292" i="24"/>
  <c r="H292" i="24"/>
  <c r="J291" i="24"/>
  <c r="J290" i="24"/>
  <c r="J287" i="24"/>
  <c r="J286" i="24"/>
  <c r="J285" i="24"/>
  <c r="J284" i="24"/>
  <c r="S283" i="24"/>
  <c r="H282" i="24"/>
  <c r="P282" i="24"/>
  <c r="J281" i="24"/>
  <c r="J280" i="24"/>
  <c r="J279" i="24"/>
  <c r="H277" i="24"/>
  <c r="M277" i="24"/>
  <c r="J276" i="24"/>
  <c r="J275" i="24"/>
  <c r="J274" i="24"/>
  <c r="J273" i="24"/>
  <c r="H272" i="24"/>
  <c r="P272" i="24"/>
  <c r="H271" i="24"/>
  <c r="S271" i="24"/>
  <c r="J270" i="24"/>
  <c r="J269" i="24"/>
  <c r="H268" i="24"/>
  <c r="H267" i="24"/>
  <c r="S267" i="24"/>
  <c r="J266" i="24"/>
  <c r="J265" i="24"/>
  <c r="H264" i="24"/>
  <c r="AB264" i="24"/>
  <c r="H263" i="24"/>
  <c r="Y263" i="24"/>
  <c r="J262" i="24"/>
  <c r="J261" i="24"/>
  <c r="H260" i="24"/>
  <c r="AE260" i="24"/>
  <c r="H259" i="24"/>
  <c r="S259" i="24"/>
  <c r="J258" i="24"/>
  <c r="J257" i="24"/>
  <c r="J256" i="24"/>
  <c r="J255" i="24"/>
  <c r="H254" i="24"/>
  <c r="H253" i="24"/>
  <c r="Y253" i="24"/>
  <c r="J252" i="24"/>
  <c r="J251" i="24"/>
  <c r="J250" i="24"/>
  <c r="J249" i="24"/>
  <c r="J248" i="24"/>
  <c r="J247" i="24"/>
  <c r="J244" i="24"/>
  <c r="J243" i="24"/>
  <c r="J242" i="24"/>
  <c r="H241" i="24"/>
  <c r="AB241" i="24"/>
  <c r="H240" i="24"/>
  <c r="J239" i="24"/>
  <c r="J238" i="24"/>
  <c r="J236" i="24"/>
  <c r="J235" i="24"/>
  <c r="J234" i="24"/>
  <c r="H233" i="24"/>
  <c r="AE233" i="24"/>
  <c r="H232" i="24"/>
  <c r="S232" i="24"/>
  <c r="J231" i="24"/>
  <c r="J230" i="24"/>
  <c r="H229" i="24"/>
  <c r="V229" i="24"/>
  <c r="I228" i="24"/>
  <c r="H228" i="24"/>
  <c r="I227" i="24"/>
  <c r="J227" i="24" s="1"/>
  <c r="H226" i="24"/>
  <c r="AE226" i="24"/>
  <c r="I225" i="24"/>
  <c r="H225" i="24"/>
  <c r="S225" i="24"/>
  <c r="I224" i="24"/>
  <c r="J224" i="24" s="1"/>
  <c r="I222" i="24"/>
  <c r="H222" i="24"/>
  <c r="V222" i="24"/>
  <c r="I221" i="24"/>
  <c r="J221" i="24" s="1"/>
  <c r="H219" i="24"/>
  <c r="AB219" i="24"/>
  <c r="J218" i="24"/>
  <c r="J217" i="24"/>
  <c r="H216" i="24"/>
  <c r="P216" i="24"/>
  <c r="I215" i="24"/>
  <c r="J215" i="24" s="1"/>
  <c r="I214" i="24"/>
  <c r="H214" i="24"/>
  <c r="Y214" i="24"/>
  <c r="I213" i="24"/>
  <c r="J213" i="24" s="1"/>
  <c r="H212" i="24"/>
  <c r="I211" i="24"/>
  <c r="H211" i="24"/>
  <c r="V211" i="24"/>
  <c r="I210" i="24"/>
  <c r="J210" i="24" s="1"/>
  <c r="I209" i="24"/>
  <c r="J209" i="24" s="1"/>
  <c r="J208" i="24"/>
  <c r="W207" i="24"/>
  <c r="K207" i="24"/>
  <c r="H207" i="24"/>
  <c r="P207" i="24"/>
  <c r="J206" i="24"/>
  <c r="W205" i="24"/>
  <c r="K205" i="24"/>
  <c r="H205" i="24"/>
  <c r="J204" i="24"/>
  <c r="J203" i="24"/>
  <c r="J202" i="24"/>
  <c r="J201" i="24"/>
  <c r="J200" i="24"/>
  <c r="W199" i="24"/>
  <c r="K199" i="24"/>
  <c r="H199" i="24"/>
  <c r="P199" i="24"/>
  <c r="X198" i="24"/>
  <c r="W198" i="24"/>
  <c r="K198" i="24"/>
  <c r="I198" i="24"/>
  <c r="H198" i="24"/>
  <c r="J197" i="24"/>
  <c r="J196" i="24"/>
  <c r="W195" i="24"/>
  <c r="K195" i="24"/>
  <c r="H195" i="24"/>
  <c r="V195" i="24"/>
  <c r="X194" i="24"/>
  <c r="W194" i="24"/>
  <c r="L194" i="24"/>
  <c r="K194" i="24"/>
  <c r="I194" i="24"/>
  <c r="H194" i="24"/>
  <c r="X193" i="24"/>
  <c r="Y193" i="24" s="1"/>
  <c r="L193" i="24"/>
  <c r="M193" i="24" s="1"/>
  <c r="I193" i="24"/>
  <c r="J193" i="24" s="1"/>
  <c r="AE192" i="24"/>
  <c r="J190" i="24"/>
  <c r="J189" i="24"/>
  <c r="J188" i="24"/>
  <c r="J187" i="24"/>
  <c r="J186" i="24"/>
  <c r="AB185" i="24"/>
  <c r="W184" i="24"/>
  <c r="K184" i="24"/>
  <c r="H184" i="24"/>
  <c r="AB184" i="24"/>
  <c r="J183" i="24"/>
  <c r="J182" i="24"/>
  <c r="W181" i="24"/>
  <c r="K181" i="24"/>
  <c r="H181" i="24"/>
  <c r="W180" i="24"/>
  <c r="K180" i="24"/>
  <c r="H180" i="24"/>
  <c r="P180" i="24"/>
  <c r="J179" i="24"/>
  <c r="J178" i="24"/>
  <c r="J177" i="24"/>
  <c r="S177" i="24"/>
  <c r="W176" i="24"/>
  <c r="K176" i="24"/>
  <c r="J176" i="24"/>
  <c r="AB176" i="24"/>
  <c r="J175" i="24"/>
  <c r="J174" i="24"/>
  <c r="W173" i="24"/>
  <c r="K173" i="24"/>
  <c r="W172" i="24"/>
  <c r="K172" i="24"/>
  <c r="J171" i="24"/>
  <c r="J170" i="24"/>
  <c r="V169" i="24"/>
  <c r="W168" i="24"/>
  <c r="K168" i="24"/>
  <c r="V168" i="24"/>
  <c r="J167" i="24"/>
  <c r="J166" i="24"/>
  <c r="V165" i="24"/>
  <c r="J164" i="24"/>
  <c r="J163" i="24"/>
  <c r="J162" i="24"/>
  <c r="K161" i="24"/>
  <c r="J161" i="24"/>
  <c r="L160" i="24"/>
  <c r="K160" i="24"/>
  <c r="J160" i="24"/>
  <c r="AE160" i="24"/>
  <c r="L159" i="24"/>
  <c r="M159" i="24" s="1"/>
  <c r="J159" i="24"/>
  <c r="L158" i="24"/>
  <c r="M158" i="24" s="1"/>
  <c r="J158" i="24"/>
  <c r="K157" i="24"/>
  <c r="H157" i="24"/>
  <c r="K156" i="24"/>
  <c r="H156" i="24"/>
  <c r="J155" i="24"/>
  <c r="J154" i="24"/>
  <c r="J153" i="24"/>
  <c r="J152" i="24"/>
  <c r="J151" i="24"/>
  <c r="M151" i="24"/>
  <c r="S150" i="24"/>
  <c r="J149" i="24"/>
  <c r="J148" i="24"/>
  <c r="N147" i="24"/>
  <c r="Y147" i="24"/>
  <c r="O146" i="24"/>
  <c r="N146" i="24"/>
  <c r="V146" i="24"/>
  <c r="O145" i="24"/>
  <c r="P145" i="24" s="1"/>
  <c r="J145" i="24"/>
  <c r="O144" i="24"/>
  <c r="P144" i="24" s="1"/>
  <c r="J144" i="24"/>
  <c r="J143" i="24"/>
  <c r="J142" i="24"/>
  <c r="Z140" i="24"/>
  <c r="N140" i="24"/>
  <c r="V140" i="24"/>
  <c r="J139" i="24"/>
  <c r="J138" i="24"/>
  <c r="Z137" i="24"/>
  <c r="N137" i="24"/>
  <c r="V137" i="24"/>
  <c r="Z136" i="24"/>
  <c r="N136" i="24"/>
  <c r="J136" i="24"/>
  <c r="J135" i="24"/>
  <c r="J134" i="24"/>
  <c r="Z133" i="24"/>
  <c r="N133" i="24"/>
  <c r="Z132" i="24"/>
  <c r="N132" i="24"/>
  <c r="V132" i="24"/>
  <c r="J131" i="24"/>
  <c r="J130" i="24"/>
  <c r="J129" i="24"/>
  <c r="Z128" i="24"/>
  <c r="N128" i="24"/>
  <c r="V128" i="24"/>
  <c r="J127" i="24"/>
  <c r="Z126" i="24"/>
  <c r="N126" i="24"/>
  <c r="J125" i="24"/>
  <c r="P124" i="24"/>
  <c r="AA123" i="24"/>
  <c r="AB123" i="24" s="1"/>
  <c r="Z123" i="24"/>
  <c r="O123" i="24"/>
  <c r="N123" i="24"/>
  <c r="AA122" i="24"/>
  <c r="AB122" i="24" s="1"/>
  <c r="O122" i="24"/>
  <c r="P122" i="24" s="1"/>
  <c r="J122" i="24"/>
  <c r="AA121" i="24"/>
  <c r="AB121" i="24" s="1"/>
  <c r="O121" i="24"/>
  <c r="P121" i="24" s="1"/>
  <c r="J121" i="24"/>
  <c r="J120" i="24"/>
  <c r="G117" i="24"/>
  <c r="J117" i="24" s="1"/>
  <c r="J115" i="24"/>
  <c r="V113" i="24"/>
  <c r="I112" i="24"/>
  <c r="I111" i="24"/>
  <c r="J111" i="24" s="1"/>
  <c r="V110" i="24"/>
  <c r="I109" i="24"/>
  <c r="I108" i="24"/>
  <c r="J108" i="24" s="1"/>
  <c r="AD106" i="24"/>
  <c r="AA106" i="24"/>
  <c r="X106" i="24"/>
  <c r="U106" i="24"/>
  <c r="R106" i="24"/>
  <c r="S106" i="24" s="1"/>
  <c r="O106" i="24"/>
  <c r="L106" i="24"/>
  <c r="I106" i="24"/>
  <c r="J106" i="24" s="1"/>
  <c r="AD105" i="24"/>
  <c r="AE105" i="24" s="1"/>
  <c r="AA105" i="24"/>
  <c r="AB105" i="24" s="1"/>
  <c r="X105" i="24"/>
  <c r="Y105" i="24" s="1"/>
  <c r="U105" i="24"/>
  <c r="V105" i="24" s="1"/>
  <c r="R105" i="24"/>
  <c r="S105" i="24" s="1"/>
  <c r="O105" i="24"/>
  <c r="P105" i="24" s="1"/>
  <c r="L105" i="24"/>
  <c r="M105" i="24" s="1"/>
  <c r="I105" i="24"/>
  <c r="J105" i="24" s="1"/>
  <c r="P104" i="24"/>
  <c r="AD103" i="24"/>
  <c r="AA103" i="24"/>
  <c r="X103" i="24"/>
  <c r="U103" i="24"/>
  <c r="R103" i="24"/>
  <c r="O103" i="24"/>
  <c r="L103" i="24"/>
  <c r="I103" i="24"/>
  <c r="AE103" i="24"/>
  <c r="AD102" i="24"/>
  <c r="AE102" i="24" s="1"/>
  <c r="AA102" i="24"/>
  <c r="AB102" i="24" s="1"/>
  <c r="X102" i="24"/>
  <c r="Y102" i="24" s="1"/>
  <c r="U102" i="24"/>
  <c r="V102" i="24" s="1"/>
  <c r="R102" i="24"/>
  <c r="S102" i="24" s="1"/>
  <c r="O102" i="24"/>
  <c r="P102" i="24" s="1"/>
  <c r="L102" i="24"/>
  <c r="M102" i="24" s="1"/>
  <c r="I102" i="24"/>
  <c r="J102" i="24" s="1"/>
  <c r="AC101" i="24"/>
  <c r="Z101" i="24"/>
  <c r="W101" i="24"/>
  <c r="T101" i="24"/>
  <c r="Q101" i="24"/>
  <c r="N101" i="24"/>
  <c r="K101" i="24"/>
  <c r="H101" i="24"/>
  <c r="AD100" i="24"/>
  <c r="AC100" i="24"/>
  <c r="AA100" i="24"/>
  <c r="Z100" i="24"/>
  <c r="X100" i="24"/>
  <c r="W100" i="24"/>
  <c r="U100" i="24"/>
  <c r="T100" i="24"/>
  <c r="R100" i="24"/>
  <c r="Q100" i="24"/>
  <c r="O100" i="24"/>
  <c r="N100" i="24"/>
  <c r="L100" i="24"/>
  <c r="K100" i="24"/>
  <c r="I100" i="24"/>
  <c r="H100" i="24"/>
  <c r="AD99" i="24"/>
  <c r="AE99" i="24" s="1"/>
  <c r="AA99" i="24"/>
  <c r="AB99" i="24" s="1"/>
  <c r="X99" i="24"/>
  <c r="Y99" i="24" s="1"/>
  <c r="U99" i="24"/>
  <c r="V99" i="24" s="1"/>
  <c r="R99" i="24"/>
  <c r="S99" i="24" s="1"/>
  <c r="O99" i="24"/>
  <c r="P99" i="24" s="1"/>
  <c r="L99" i="24"/>
  <c r="M99" i="24" s="1"/>
  <c r="I99" i="24"/>
  <c r="J99" i="24" s="1"/>
  <c r="AD98" i="24"/>
  <c r="AE98" i="24" s="1"/>
  <c r="AA98" i="24"/>
  <c r="AB98" i="24" s="1"/>
  <c r="X98" i="24"/>
  <c r="Y98" i="24" s="1"/>
  <c r="U98" i="24"/>
  <c r="V98" i="24" s="1"/>
  <c r="R98" i="24"/>
  <c r="S98" i="24" s="1"/>
  <c r="O98" i="24"/>
  <c r="P98" i="24" s="1"/>
  <c r="L98" i="24"/>
  <c r="M98" i="24" s="1"/>
  <c r="I98" i="24"/>
  <c r="J98" i="24" s="1"/>
  <c r="AB97" i="24"/>
  <c r="J96" i="24"/>
  <c r="J94" i="24"/>
  <c r="V90" i="24"/>
  <c r="V89" i="24"/>
  <c r="J88" i="24"/>
  <c r="AC86" i="24"/>
  <c r="Z86" i="24"/>
  <c r="W86" i="24"/>
  <c r="T86" i="24"/>
  <c r="Q86" i="24"/>
  <c r="N86" i="24"/>
  <c r="K86" i="24"/>
  <c r="H86" i="24"/>
  <c r="AC85" i="24"/>
  <c r="Z85" i="24"/>
  <c r="W85" i="24"/>
  <c r="T85" i="24"/>
  <c r="Q85" i="24"/>
  <c r="N85" i="24"/>
  <c r="K85" i="24"/>
  <c r="H85" i="24"/>
  <c r="J84" i="24"/>
  <c r="J83" i="24"/>
  <c r="V82" i="24"/>
  <c r="V81" i="24"/>
  <c r="J80" i="24"/>
  <c r="J79" i="24"/>
  <c r="W78" i="24"/>
  <c r="N78" i="24"/>
  <c r="H78" i="24"/>
  <c r="AE78" i="24"/>
  <c r="W77" i="24"/>
  <c r="N77" i="24"/>
  <c r="H77" i="24"/>
  <c r="J76" i="24"/>
  <c r="J75" i="24"/>
  <c r="W74" i="24"/>
  <c r="N74" i="24"/>
  <c r="H74" i="24"/>
  <c r="V74" i="24"/>
  <c r="X73" i="24"/>
  <c r="W73" i="24"/>
  <c r="O73" i="24"/>
  <c r="N73" i="24"/>
  <c r="I73" i="24"/>
  <c r="H73" i="24"/>
  <c r="M73" i="24"/>
  <c r="X72" i="24"/>
  <c r="Y72" i="24" s="1"/>
  <c r="O72" i="24"/>
  <c r="P72" i="24" s="1"/>
  <c r="I72" i="24"/>
  <c r="J72" i="24" s="1"/>
  <c r="X71" i="24"/>
  <c r="Y71" i="24" s="1"/>
  <c r="O71" i="24"/>
  <c r="P71" i="24" s="1"/>
  <c r="I71" i="24"/>
  <c r="J71" i="24" s="1"/>
  <c r="AE70" i="24"/>
  <c r="J69" i="24"/>
  <c r="P66" i="24"/>
  <c r="S65" i="24"/>
  <c r="Z61" i="24"/>
  <c r="K61" i="24"/>
  <c r="H61" i="24"/>
  <c r="P61" i="24"/>
  <c r="J60" i="24"/>
  <c r="J59" i="24"/>
  <c r="J57" i="24"/>
  <c r="J56" i="24"/>
  <c r="Z55" i="24"/>
  <c r="K55" i="24"/>
  <c r="H55" i="24"/>
  <c r="V55" i="24"/>
  <c r="AA54" i="24"/>
  <c r="Z54" i="24"/>
  <c r="L54" i="24"/>
  <c r="K54" i="24"/>
  <c r="I54" i="24"/>
  <c r="H54" i="24"/>
  <c r="AA53" i="24"/>
  <c r="AB53" i="24" s="1"/>
  <c r="L53" i="24"/>
  <c r="M53" i="24" s="1"/>
  <c r="I53" i="24"/>
  <c r="J53" i="24" s="1"/>
  <c r="AA52" i="24"/>
  <c r="AB52" i="24" s="1"/>
  <c r="L52" i="24"/>
  <c r="M52" i="24" s="1"/>
  <c r="I52" i="24"/>
  <c r="J52" i="24" s="1"/>
  <c r="J50" i="24"/>
  <c r="V46" i="24"/>
  <c r="Z45" i="24"/>
  <c r="K45" i="24"/>
  <c r="P45" i="24"/>
  <c r="Z44" i="24"/>
  <c r="K44" i="24"/>
  <c r="P44" i="24"/>
  <c r="M41" i="24"/>
  <c r="Z40" i="24"/>
  <c r="K40" i="24"/>
  <c r="P40" i="24"/>
  <c r="Z37" i="24"/>
  <c r="K37" i="24"/>
  <c r="Z36" i="24"/>
  <c r="K36" i="24"/>
  <c r="Z33" i="24"/>
  <c r="K33" i="24"/>
  <c r="S33" i="24"/>
  <c r="AA32" i="24"/>
  <c r="Z32" i="24"/>
  <c r="L32" i="24"/>
  <c r="K32" i="24"/>
  <c r="S32" i="24"/>
  <c r="AA31" i="24"/>
  <c r="AB31" i="24" s="1"/>
  <c r="L31" i="24"/>
  <c r="M31" i="24" s="1"/>
  <c r="AA30" i="24"/>
  <c r="AB30" i="24" s="1"/>
  <c r="L30" i="24"/>
  <c r="M30" i="24" s="1"/>
  <c r="AE29" i="24"/>
  <c r="W28" i="24"/>
  <c r="Y28" i="24" s="1"/>
  <c r="K28" i="24"/>
  <c r="H28" i="24"/>
  <c r="J28" i="24" s="1"/>
  <c r="V28" i="24"/>
  <c r="J27" i="24"/>
  <c r="W25" i="24"/>
  <c r="K25" i="24"/>
  <c r="W24" i="24"/>
  <c r="K24" i="24"/>
  <c r="AB24" i="24"/>
  <c r="W21" i="24"/>
  <c r="K21" i="24"/>
  <c r="AE21" i="24"/>
  <c r="W20" i="24"/>
  <c r="K20" i="24"/>
  <c r="W15" i="24"/>
  <c r="Y15" i="24" s="1"/>
  <c r="K15" i="24"/>
  <c r="S15" i="24"/>
  <c r="W14" i="24"/>
  <c r="K14" i="24"/>
  <c r="V14" i="24"/>
  <c r="W12" i="24"/>
  <c r="K12" i="24"/>
  <c r="W11" i="24"/>
  <c r="K11" i="24"/>
  <c r="V11" i="24"/>
  <c r="W7" i="24"/>
  <c r="K7" i="24"/>
  <c r="AE7" i="24"/>
  <c r="X6" i="24"/>
  <c r="W6" i="24"/>
  <c r="L6" i="24"/>
  <c r="K6" i="24"/>
  <c r="V6" i="24"/>
  <c r="X5" i="24"/>
  <c r="Y5" i="24" s="1"/>
  <c r="L5" i="24"/>
  <c r="M5" i="24" s="1"/>
  <c r="X4" i="24"/>
  <c r="Y4" i="24" s="1"/>
  <c r="L4" i="24"/>
  <c r="M4" i="24" s="1"/>
  <c r="AE234" i="22"/>
  <c r="AE233" i="22"/>
  <c r="AE230" i="22"/>
  <c r="AE229" i="22"/>
  <c r="AE226" i="22"/>
  <c r="AE225" i="22"/>
  <c r="AE222" i="22"/>
  <c r="AE221" i="22"/>
  <c r="AE220" i="22"/>
  <c r="AE219" i="22"/>
  <c r="AE216" i="22"/>
  <c r="AE215" i="22"/>
  <c r="AE213" i="22"/>
  <c r="AE212" i="22"/>
  <c r="AE210" i="22"/>
  <c r="AE209" i="22"/>
  <c r="AE206" i="22"/>
  <c r="AE205" i="22"/>
  <c r="AE204" i="22"/>
  <c r="AE203" i="22"/>
  <c r="AE201" i="22"/>
  <c r="AE200" i="22"/>
  <c r="AE194" i="22"/>
  <c r="AE193" i="22"/>
  <c r="AE190" i="22"/>
  <c r="AE189" i="22"/>
  <c r="AE188" i="22"/>
  <c r="AE187" i="22"/>
  <c r="AE186" i="22"/>
  <c r="AE185" i="22"/>
  <c r="AE182" i="22"/>
  <c r="AE181" i="22"/>
  <c r="AE178" i="22"/>
  <c r="AE177" i="22"/>
  <c r="AE174" i="22"/>
  <c r="AE173" i="22"/>
  <c r="AE172" i="22"/>
  <c r="AE171" i="22"/>
  <c r="AE168" i="22"/>
  <c r="AE167" i="22"/>
  <c r="AE166" i="22"/>
  <c r="AE165" i="22"/>
  <c r="AE164" i="22"/>
  <c r="AE161" i="22"/>
  <c r="AE160" i="22"/>
  <c r="AE157" i="22"/>
  <c r="AE156" i="22"/>
  <c r="AE153" i="22"/>
  <c r="AE152" i="22"/>
  <c r="AE151" i="22"/>
  <c r="AE149" i="22"/>
  <c r="AE148" i="22"/>
  <c r="AE147" i="22"/>
  <c r="AE146" i="22"/>
  <c r="AE141" i="22"/>
  <c r="AE140" i="22"/>
  <c r="AE137" i="22"/>
  <c r="AE136" i="22"/>
  <c r="AE135" i="22"/>
  <c r="AE134" i="22"/>
  <c r="AE133" i="22"/>
  <c r="AE132" i="22"/>
  <c r="AE129" i="22"/>
  <c r="AE128" i="22"/>
  <c r="AE125" i="22"/>
  <c r="AE124" i="22"/>
  <c r="AE121" i="22"/>
  <c r="AE120" i="22"/>
  <c r="AE119" i="22"/>
  <c r="AE118" i="22"/>
  <c r="AE115" i="22"/>
  <c r="AE114" i="22"/>
  <c r="AE113" i="22"/>
  <c r="AE112" i="22"/>
  <c r="AE111" i="22"/>
  <c r="AE108" i="22"/>
  <c r="AE107" i="22"/>
  <c r="AE104" i="22"/>
  <c r="AE103" i="22"/>
  <c r="AE100" i="22"/>
  <c r="AE99" i="22"/>
  <c r="AE98" i="22"/>
  <c r="AE96" i="22"/>
  <c r="AE95" i="22"/>
  <c r="AE94" i="22"/>
  <c r="AE93" i="22"/>
  <c r="AE88" i="22"/>
  <c r="AE87" i="22"/>
  <c r="AE86" i="22"/>
  <c r="AE85" i="22"/>
  <c r="AE84" i="22"/>
  <c r="AE81" i="22"/>
  <c r="AE80" i="22"/>
  <c r="AE79" i="22"/>
  <c r="AE78" i="22"/>
  <c r="AE77" i="22"/>
  <c r="AE76" i="22"/>
  <c r="AE75" i="22"/>
  <c r="AE74" i="22"/>
  <c r="AE73" i="22"/>
  <c r="AE72" i="22"/>
  <c r="AE71" i="22"/>
  <c r="AE68" i="22"/>
  <c r="AE67" i="22"/>
  <c r="AE65" i="22"/>
  <c r="AE64" i="22"/>
  <c r="AE61" i="22"/>
  <c r="AE58" i="22"/>
  <c r="AE57" i="22"/>
  <c r="AE54" i="22"/>
  <c r="AE53" i="22"/>
  <c r="AE52" i="22"/>
  <c r="AE50" i="22"/>
  <c r="AE47" i="22"/>
  <c r="AE46" i="22"/>
  <c r="AE43" i="22"/>
  <c r="AE42" i="22"/>
  <c r="AE41" i="22"/>
  <c r="AE40" i="22"/>
  <c r="AE39" i="22"/>
  <c r="AE36" i="22"/>
  <c r="AE35" i="22"/>
  <c r="AE32" i="22"/>
  <c r="AE31" i="22"/>
  <c r="AE29" i="22"/>
  <c r="AE28" i="22"/>
  <c r="AE25" i="22"/>
  <c r="AE24" i="22"/>
  <c r="AE21" i="22"/>
  <c r="AE20" i="22"/>
  <c r="AE17" i="22"/>
  <c r="AE16" i="22"/>
  <c r="AE13" i="22"/>
  <c r="AE12" i="22"/>
  <c r="AE9" i="22"/>
  <c r="AE8" i="22"/>
  <c r="AE7" i="22"/>
  <c r="AE4" i="22"/>
  <c r="AE3" i="22"/>
  <c r="AE2" i="22"/>
  <c r="AB240" i="22"/>
  <c r="AB234" i="22"/>
  <c r="AB233" i="22"/>
  <c r="AB230" i="22"/>
  <c r="AB229" i="22"/>
  <c r="AB226" i="22"/>
  <c r="AB225" i="22"/>
  <c r="AB222" i="22"/>
  <c r="AB221" i="22"/>
  <c r="AB220" i="22"/>
  <c r="AB219" i="22"/>
  <c r="AB216" i="22"/>
  <c r="AB215" i="22"/>
  <c r="AB213" i="22"/>
  <c r="AB212" i="22"/>
  <c r="AB210" i="22"/>
  <c r="AB209" i="22"/>
  <c r="AB206" i="22"/>
  <c r="AB205" i="22"/>
  <c r="AB204" i="22"/>
  <c r="AB203" i="22"/>
  <c r="AB201" i="22"/>
  <c r="AB200" i="22"/>
  <c r="AB194" i="22"/>
  <c r="AB193" i="22"/>
  <c r="AB190" i="22"/>
  <c r="AB189" i="22"/>
  <c r="AB188" i="22"/>
  <c r="AB187" i="22"/>
  <c r="AB186" i="22"/>
  <c r="AB185" i="22"/>
  <c r="AB182" i="22"/>
  <c r="AB181" i="22"/>
  <c r="AB178" i="22"/>
  <c r="AB177" i="22"/>
  <c r="AB174" i="22"/>
  <c r="AB173" i="22"/>
  <c r="AB172" i="22"/>
  <c r="AB171" i="22"/>
  <c r="AB168" i="22"/>
  <c r="AB167" i="22"/>
  <c r="AB166" i="22"/>
  <c r="AB165" i="22"/>
  <c r="AB164" i="22"/>
  <c r="AB161" i="22"/>
  <c r="AB160" i="22"/>
  <c r="AB157" i="22"/>
  <c r="AB156" i="22"/>
  <c r="AB153" i="22"/>
  <c r="AB152" i="22"/>
  <c r="AB151" i="22"/>
  <c r="AB149" i="22"/>
  <c r="AB148" i="22"/>
  <c r="AB147" i="22"/>
  <c r="AB146" i="22"/>
  <c r="AB141" i="22"/>
  <c r="AB140" i="22"/>
  <c r="AB137" i="22"/>
  <c r="AB136" i="22"/>
  <c r="AB135" i="22"/>
  <c r="AB134" i="22"/>
  <c r="AB133" i="22"/>
  <c r="AB132" i="22"/>
  <c r="AB129" i="22"/>
  <c r="AB128" i="22"/>
  <c r="AB125" i="22"/>
  <c r="AB124" i="22"/>
  <c r="AB121" i="22"/>
  <c r="AB120" i="22"/>
  <c r="AB119" i="22"/>
  <c r="AB118" i="22"/>
  <c r="AB115" i="22"/>
  <c r="AB114" i="22"/>
  <c r="AB113" i="22"/>
  <c r="AB112" i="22"/>
  <c r="AB111" i="22"/>
  <c r="AB108" i="22"/>
  <c r="AB107" i="22"/>
  <c r="AB104" i="22"/>
  <c r="AB103" i="22"/>
  <c r="AB100" i="22"/>
  <c r="AB99" i="22"/>
  <c r="AB98" i="22"/>
  <c r="AB96" i="22"/>
  <c r="AB95" i="22"/>
  <c r="AB94" i="22"/>
  <c r="AB93" i="22"/>
  <c r="AB88" i="22"/>
  <c r="AB87" i="22"/>
  <c r="AB86" i="22"/>
  <c r="AB85" i="22"/>
  <c r="AB84" i="22"/>
  <c r="AB81" i="22"/>
  <c r="AB80" i="22"/>
  <c r="AB79" i="22"/>
  <c r="AB78" i="22"/>
  <c r="AB77" i="22"/>
  <c r="AB76" i="22"/>
  <c r="AB75" i="22"/>
  <c r="AB74" i="22"/>
  <c r="AB73" i="22"/>
  <c r="AB72" i="22"/>
  <c r="AB71" i="22"/>
  <c r="AB68" i="22"/>
  <c r="AB67" i="22"/>
  <c r="AB65" i="22"/>
  <c r="AB64" i="22"/>
  <c r="AB61" i="22"/>
  <c r="AB58" i="22"/>
  <c r="AB57" i="22"/>
  <c r="AB54" i="22"/>
  <c r="AB53" i="22"/>
  <c r="AB52" i="22"/>
  <c r="AB50" i="22"/>
  <c r="AB47" i="22"/>
  <c r="AB46" i="22"/>
  <c r="AB45" i="22"/>
  <c r="AB43" i="22"/>
  <c r="AB42" i="22"/>
  <c r="AB41" i="22"/>
  <c r="AB40" i="22"/>
  <c r="AB39" i="22"/>
  <c r="AB36" i="22"/>
  <c r="AB35" i="22"/>
  <c r="AB32" i="22"/>
  <c r="AB31" i="22"/>
  <c r="AB29" i="22"/>
  <c r="AB28" i="22"/>
  <c r="AB25" i="22"/>
  <c r="AB24" i="22"/>
  <c r="AB21" i="22"/>
  <c r="AB20" i="22"/>
  <c r="AB17" i="22"/>
  <c r="AB16" i="22"/>
  <c r="AB13" i="22"/>
  <c r="AB12" i="22"/>
  <c r="AB9" i="22"/>
  <c r="AB8" i="22"/>
  <c r="AB7" i="22"/>
  <c r="AB4" i="22"/>
  <c r="AB3" i="22"/>
  <c r="AB2" i="22"/>
  <c r="Y240" i="22"/>
  <c r="Y234" i="22"/>
  <c r="Y233" i="22"/>
  <c r="Y230" i="22"/>
  <c r="Y229" i="22"/>
  <c r="Y226" i="22"/>
  <c r="Y225" i="22"/>
  <c r="Y222" i="22"/>
  <c r="Y221" i="22"/>
  <c r="Y220" i="22"/>
  <c r="Y219" i="22"/>
  <c r="Y216" i="22"/>
  <c r="Y215" i="22"/>
  <c r="Y213" i="22"/>
  <c r="Y212" i="22"/>
  <c r="Y210" i="22"/>
  <c r="Y209" i="22"/>
  <c r="Y206" i="22"/>
  <c r="Y205" i="22"/>
  <c r="Y204" i="22"/>
  <c r="Y203" i="22"/>
  <c r="Y201" i="22"/>
  <c r="Y200" i="22"/>
  <c r="Y194" i="22"/>
  <c r="Y193" i="22"/>
  <c r="Y190" i="22"/>
  <c r="Y189" i="22"/>
  <c r="Y188" i="22"/>
  <c r="Y187" i="22"/>
  <c r="Y186" i="22"/>
  <c r="Y185" i="22"/>
  <c r="Y182" i="22"/>
  <c r="Y181" i="22"/>
  <c r="Y178" i="22"/>
  <c r="Y177" i="22"/>
  <c r="Y174" i="22"/>
  <c r="Y173" i="22"/>
  <c r="Y172" i="22"/>
  <c r="Y171" i="22"/>
  <c r="Y168" i="22"/>
  <c r="Y167" i="22"/>
  <c r="Y166" i="22"/>
  <c r="Y165" i="22"/>
  <c r="Y164" i="22"/>
  <c r="Y161" i="22"/>
  <c r="Y160" i="22"/>
  <c r="Y157" i="22"/>
  <c r="Y156" i="22"/>
  <c r="Y153" i="22"/>
  <c r="Y152" i="22"/>
  <c r="Y151" i="22"/>
  <c r="Y149" i="22"/>
  <c r="Y148" i="22"/>
  <c r="Y147" i="22"/>
  <c r="Y146" i="22"/>
  <c r="Y141" i="22"/>
  <c r="Y140" i="22"/>
  <c r="Y137" i="22"/>
  <c r="Y136" i="22"/>
  <c r="Y135" i="22"/>
  <c r="Y134" i="22"/>
  <c r="Y133" i="22"/>
  <c r="Y132" i="22"/>
  <c r="Y129" i="22"/>
  <c r="Y128" i="22"/>
  <c r="Y125" i="22"/>
  <c r="Y124" i="22"/>
  <c r="Y121" i="22"/>
  <c r="Y120" i="22"/>
  <c r="Y119" i="22"/>
  <c r="Y118" i="22"/>
  <c r="Y115" i="22"/>
  <c r="Y114" i="22"/>
  <c r="Y113" i="22"/>
  <c r="Y112" i="22"/>
  <c r="Y111" i="22"/>
  <c r="Y108" i="22"/>
  <c r="Y107" i="22"/>
  <c r="Y104" i="22"/>
  <c r="Y103" i="22"/>
  <c r="Y100" i="22"/>
  <c r="Y99" i="22"/>
  <c r="Y98" i="22"/>
  <c r="Y96" i="22"/>
  <c r="Y95" i="22"/>
  <c r="Y94" i="22"/>
  <c r="Y93" i="22"/>
  <c r="Y88" i="22"/>
  <c r="Y87" i="22"/>
  <c r="Y86" i="22"/>
  <c r="Y85" i="22"/>
  <c r="Y84" i="22"/>
  <c r="Y81" i="22"/>
  <c r="Y80" i="22"/>
  <c r="Y79" i="22"/>
  <c r="Y78" i="22"/>
  <c r="Y77" i="22"/>
  <c r="Y76" i="22"/>
  <c r="Y75" i="22"/>
  <c r="Y74" i="22"/>
  <c r="Y73" i="22"/>
  <c r="Y72" i="22"/>
  <c r="Y71" i="22"/>
  <c r="Y68" i="22"/>
  <c r="Y67" i="22"/>
  <c r="Y65" i="22"/>
  <c r="Y64" i="22"/>
  <c r="Y61" i="22"/>
  <c r="Y58" i="22"/>
  <c r="Y57" i="22"/>
  <c r="Y54" i="22"/>
  <c r="Y53" i="22"/>
  <c r="Y52" i="22"/>
  <c r="Y50" i="22"/>
  <c r="Y47" i="22"/>
  <c r="Y46" i="22"/>
  <c r="Y43" i="22"/>
  <c r="Y42" i="22"/>
  <c r="Y41" i="22"/>
  <c r="Y40" i="22"/>
  <c r="Y39" i="22"/>
  <c r="Y36" i="22"/>
  <c r="Y35" i="22"/>
  <c r="Y32" i="22"/>
  <c r="Y31" i="22"/>
  <c r="Y29" i="22"/>
  <c r="Y28" i="22"/>
  <c r="Y25" i="22"/>
  <c r="Y24" i="22"/>
  <c r="Y21" i="22"/>
  <c r="Y20" i="22"/>
  <c r="Y19" i="22"/>
  <c r="Y17" i="22"/>
  <c r="Y16" i="22"/>
  <c r="Y13" i="22"/>
  <c r="Y12" i="22"/>
  <c r="Y9" i="22"/>
  <c r="Y8" i="22"/>
  <c r="Y7" i="22"/>
  <c r="Y4" i="22"/>
  <c r="Y3" i="22"/>
  <c r="Y2" i="22"/>
  <c r="V240" i="22"/>
  <c r="V234" i="22"/>
  <c r="V233" i="22"/>
  <c r="V230" i="22"/>
  <c r="V229" i="22"/>
  <c r="V226" i="22"/>
  <c r="V225" i="22"/>
  <c r="V222" i="22"/>
  <c r="V221" i="22"/>
  <c r="V220" i="22"/>
  <c r="V219" i="22"/>
  <c r="V216" i="22"/>
  <c r="V215" i="22"/>
  <c r="V213" i="22"/>
  <c r="V212" i="22"/>
  <c r="V210" i="22"/>
  <c r="V209" i="22"/>
  <c r="V207" i="22"/>
  <c r="V206" i="22"/>
  <c r="V205" i="22"/>
  <c r="V204" i="22"/>
  <c r="V203" i="22"/>
  <c r="V201" i="22"/>
  <c r="V200" i="22"/>
  <c r="V194" i="22"/>
  <c r="V193" i="22"/>
  <c r="V190" i="22"/>
  <c r="V189" i="22"/>
  <c r="V188" i="22"/>
  <c r="V187" i="22"/>
  <c r="V186" i="22"/>
  <c r="V185" i="22"/>
  <c r="V182" i="22"/>
  <c r="V181" i="22"/>
  <c r="V178" i="22"/>
  <c r="V177" i="22"/>
  <c r="V176" i="22"/>
  <c r="V174" i="22"/>
  <c r="V173" i="22"/>
  <c r="V172" i="22"/>
  <c r="V171" i="22"/>
  <c r="V168" i="22"/>
  <c r="V167" i="22"/>
  <c r="V166" i="22"/>
  <c r="V165" i="22"/>
  <c r="V164" i="22"/>
  <c r="V161" i="22"/>
  <c r="V160" i="22"/>
  <c r="V157" i="22"/>
  <c r="V156" i="22"/>
  <c r="V153" i="22"/>
  <c r="V152" i="22"/>
  <c r="V151" i="22"/>
  <c r="V149" i="22"/>
  <c r="V148" i="22"/>
  <c r="V147" i="22"/>
  <c r="V146" i="22"/>
  <c r="V141" i="22"/>
  <c r="V140" i="22"/>
  <c r="V137" i="22"/>
  <c r="V136" i="22"/>
  <c r="V135" i="22"/>
  <c r="V134" i="22"/>
  <c r="V133" i="22"/>
  <c r="V132" i="22"/>
  <c r="V129" i="22"/>
  <c r="V128" i="22"/>
  <c r="V125" i="22"/>
  <c r="V124" i="22"/>
  <c r="V121" i="22"/>
  <c r="V120" i="22"/>
  <c r="V119" i="22"/>
  <c r="V118" i="22"/>
  <c r="V115" i="22"/>
  <c r="V114" i="22"/>
  <c r="V113" i="22"/>
  <c r="V112" i="22"/>
  <c r="V111" i="22"/>
  <c r="V108" i="22"/>
  <c r="V107" i="22"/>
  <c r="V104" i="22"/>
  <c r="V103" i="22"/>
  <c r="V100" i="22"/>
  <c r="V99" i="22"/>
  <c r="V98" i="22"/>
  <c r="V96" i="22"/>
  <c r="V95" i="22"/>
  <c r="V94" i="22"/>
  <c r="V93" i="22"/>
  <c r="V88" i="22"/>
  <c r="V87" i="22"/>
  <c r="V86" i="22"/>
  <c r="V85" i="22"/>
  <c r="V84" i="22"/>
  <c r="V81" i="22"/>
  <c r="V80" i="22"/>
  <c r="V79" i="22"/>
  <c r="V78" i="22"/>
  <c r="V77" i="22"/>
  <c r="V76" i="22"/>
  <c r="V75" i="22"/>
  <c r="V74" i="22"/>
  <c r="V73" i="22"/>
  <c r="V72" i="22"/>
  <c r="V71" i="22"/>
  <c r="V68" i="22"/>
  <c r="V67" i="22"/>
  <c r="V65" i="22"/>
  <c r="V64" i="22"/>
  <c r="V61" i="22"/>
  <c r="V58" i="22"/>
  <c r="V57" i="22"/>
  <c r="V54" i="22"/>
  <c r="V53" i="22"/>
  <c r="V52" i="22"/>
  <c r="V50" i="22"/>
  <c r="V47" i="22"/>
  <c r="V46" i="22"/>
  <c r="V43" i="22"/>
  <c r="V42" i="22"/>
  <c r="V41" i="22"/>
  <c r="V40" i="22"/>
  <c r="V39" i="22"/>
  <c r="V36" i="22"/>
  <c r="V35" i="22"/>
  <c r="V32" i="22"/>
  <c r="V31" i="22"/>
  <c r="V29" i="22"/>
  <c r="V28" i="22"/>
  <c r="V25" i="22"/>
  <c r="V24" i="22"/>
  <c r="V21" i="22"/>
  <c r="V20" i="22"/>
  <c r="V17" i="22"/>
  <c r="V16" i="22"/>
  <c r="V13" i="22"/>
  <c r="V12" i="22"/>
  <c r="V9" i="22"/>
  <c r="V8" i="22"/>
  <c r="V7" i="22"/>
  <c r="V4" i="22"/>
  <c r="V3" i="22"/>
  <c r="V2" i="22"/>
  <c r="S240" i="22"/>
  <c r="S234" i="22"/>
  <c r="S233" i="22"/>
  <c r="S230" i="22"/>
  <c r="S229" i="22"/>
  <c r="S226" i="22"/>
  <c r="S225" i="22"/>
  <c r="S222" i="22"/>
  <c r="S221" i="22"/>
  <c r="S220" i="22"/>
  <c r="S219" i="22"/>
  <c r="S216" i="22"/>
  <c r="S215" i="22"/>
  <c r="S213" i="22"/>
  <c r="S212" i="22"/>
  <c r="S210" i="22"/>
  <c r="S209" i="22"/>
  <c r="S206" i="22"/>
  <c r="S205" i="22"/>
  <c r="S204" i="22"/>
  <c r="S203" i="22"/>
  <c r="S201" i="22"/>
  <c r="S200" i="22"/>
  <c r="S194" i="22"/>
  <c r="S193" i="22"/>
  <c r="S190" i="22"/>
  <c r="S189" i="22"/>
  <c r="S188" i="22"/>
  <c r="S187" i="22"/>
  <c r="S186" i="22"/>
  <c r="S185" i="22"/>
  <c r="S182" i="22"/>
  <c r="S181" i="22"/>
  <c r="S178" i="22"/>
  <c r="S177" i="22"/>
  <c r="S174" i="22"/>
  <c r="S173" i="22"/>
  <c r="S172" i="22"/>
  <c r="S171" i="22"/>
  <c r="S168" i="22"/>
  <c r="S167" i="22"/>
  <c r="S166" i="22"/>
  <c r="S165" i="22"/>
  <c r="S164" i="22"/>
  <c r="S161" i="22"/>
  <c r="S160" i="22"/>
  <c r="S157" i="22"/>
  <c r="S156" i="22"/>
  <c r="S153" i="22"/>
  <c r="S152" i="22"/>
  <c r="S151" i="22"/>
  <c r="S149" i="22"/>
  <c r="S148" i="22"/>
  <c r="S147" i="22"/>
  <c r="S146" i="22"/>
  <c r="S141" i="22"/>
  <c r="S140" i="22"/>
  <c r="S137" i="22"/>
  <c r="S136" i="22"/>
  <c r="S135" i="22"/>
  <c r="S134" i="22"/>
  <c r="S133" i="22"/>
  <c r="S132" i="22"/>
  <c r="S129" i="22"/>
  <c r="S128" i="22"/>
  <c r="S125" i="22"/>
  <c r="S124" i="22"/>
  <c r="S121" i="22"/>
  <c r="S120" i="22"/>
  <c r="S119" i="22"/>
  <c r="S118" i="22"/>
  <c r="S115" i="22"/>
  <c r="S114" i="22"/>
  <c r="S113" i="22"/>
  <c r="S112" i="22"/>
  <c r="S111" i="22"/>
  <c r="S108" i="22"/>
  <c r="S107" i="22"/>
  <c r="S104" i="22"/>
  <c r="S103" i="22"/>
  <c r="S100" i="22"/>
  <c r="S99" i="22"/>
  <c r="S98" i="22"/>
  <c r="S96" i="22"/>
  <c r="S95" i="22"/>
  <c r="S94" i="22"/>
  <c r="S93" i="22"/>
  <c r="S88" i="22"/>
  <c r="S87" i="22"/>
  <c r="S86" i="22"/>
  <c r="S85" i="22"/>
  <c r="S84" i="22"/>
  <c r="S81" i="22"/>
  <c r="S80" i="22"/>
  <c r="S79" i="22"/>
  <c r="S78" i="22"/>
  <c r="S77" i="22"/>
  <c r="S76" i="22"/>
  <c r="S75" i="22"/>
  <c r="S74" i="22"/>
  <c r="S73" i="22"/>
  <c r="S72" i="22"/>
  <c r="S71" i="22"/>
  <c r="S68" i="22"/>
  <c r="S67" i="22"/>
  <c r="S65" i="22"/>
  <c r="S64" i="22"/>
  <c r="S61" i="22"/>
  <c r="S58" i="22"/>
  <c r="S57" i="22"/>
  <c r="S54" i="22"/>
  <c r="S53" i="22"/>
  <c r="S52" i="22"/>
  <c r="S50" i="22"/>
  <c r="S47" i="22"/>
  <c r="S46" i="22"/>
  <c r="S43" i="22"/>
  <c r="S42" i="22"/>
  <c r="S41" i="22"/>
  <c r="S40" i="22"/>
  <c r="S39" i="22"/>
  <c r="S36" i="22"/>
  <c r="S35" i="22"/>
  <c r="S32" i="22"/>
  <c r="S31" i="22"/>
  <c r="S29" i="22"/>
  <c r="S28" i="22"/>
  <c r="S25" i="22"/>
  <c r="S24" i="22"/>
  <c r="S21" i="22"/>
  <c r="S20" i="22"/>
  <c r="S17" i="22"/>
  <c r="S16" i="22"/>
  <c r="S13" i="22"/>
  <c r="S12" i="22"/>
  <c r="S9" i="22"/>
  <c r="S8" i="22"/>
  <c r="S7" i="22"/>
  <c r="S4" i="22"/>
  <c r="S3" i="22"/>
  <c r="S2" i="22"/>
  <c r="P240" i="22"/>
  <c r="P234" i="22"/>
  <c r="P233" i="22"/>
  <c r="P230" i="22"/>
  <c r="P229" i="22"/>
  <c r="P227" i="22"/>
  <c r="P226" i="22"/>
  <c r="P225" i="22"/>
  <c r="P222" i="22"/>
  <c r="P221" i="22"/>
  <c r="P220" i="22"/>
  <c r="P219" i="22"/>
  <c r="P218" i="22"/>
  <c r="P216" i="22"/>
  <c r="P215" i="22"/>
  <c r="P213" i="22"/>
  <c r="P212" i="22"/>
  <c r="P210" i="22"/>
  <c r="P209" i="22"/>
  <c r="P206" i="22"/>
  <c r="P205" i="22"/>
  <c r="P204" i="22"/>
  <c r="P203" i="22"/>
  <c r="P201" i="22"/>
  <c r="P200" i="22"/>
  <c r="P194" i="22"/>
  <c r="P193" i="22"/>
  <c r="P190" i="22"/>
  <c r="P189" i="22"/>
  <c r="P188" i="22"/>
  <c r="P187" i="22"/>
  <c r="P186" i="22"/>
  <c r="P185" i="22"/>
  <c r="P182" i="22"/>
  <c r="P181" i="22"/>
  <c r="P178" i="22"/>
  <c r="P177" i="22"/>
  <c r="P174" i="22"/>
  <c r="P173" i="22"/>
  <c r="P172" i="22"/>
  <c r="P171" i="22"/>
  <c r="P168" i="22"/>
  <c r="P167" i="22"/>
  <c r="P166" i="22"/>
  <c r="P165" i="22"/>
  <c r="P164" i="22"/>
  <c r="P161" i="22"/>
  <c r="P160" i="22"/>
  <c r="P157" i="22"/>
  <c r="P156" i="22"/>
  <c r="P153" i="22"/>
  <c r="P152" i="22"/>
  <c r="P151" i="22"/>
  <c r="P149" i="22"/>
  <c r="P148" i="22"/>
  <c r="P147" i="22"/>
  <c r="P146" i="22"/>
  <c r="P143" i="22"/>
  <c r="P141" i="22"/>
  <c r="P140" i="22"/>
  <c r="P137" i="22"/>
  <c r="P136" i="22"/>
  <c r="P135" i="22"/>
  <c r="P134" i="22"/>
  <c r="P133" i="22"/>
  <c r="P132" i="22"/>
  <c r="P129" i="22"/>
  <c r="P128" i="22"/>
  <c r="P125" i="22"/>
  <c r="P124" i="22"/>
  <c r="P121" i="22"/>
  <c r="P120" i="22"/>
  <c r="P119" i="22"/>
  <c r="P118" i="22"/>
  <c r="P115" i="22"/>
  <c r="P114" i="22"/>
  <c r="P113" i="22"/>
  <c r="P112" i="22"/>
  <c r="P111" i="22"/>
  <c r="P108" i="22"/>
  <c r="P107" i="22"/>
  <c r="P104" i="22"/>
  <c r="P103" i="22"/>
  <c r="P100" i="22"/>
  <c r="P99" i="22"/>
  <c r="P98" i="22"/>
  <c r="P96" i="22"/>
  <c r="P95" i="22"/>
  <c r="P94" i="22"/>
  <c r="P93" i="22"/>
  <c r="P89" i="22"/>
  <c r="P88" i="22"/>
  <c r="P87" i="22"/>
  <c r="P86" i="22"/>
  <c r="P85" i="22"/>
  <c r="P84" i="22"/>
  <c r="P81" i="22"/>
  <c r="P80" i="22"/>
  <c r="P79" i="22"/>
  <c r="P78" i="22"/>
  <c r="P77" i="22"/>
  <c r="P76" i="22"/>
  <c r="P75" i="22"/>
  <c r="P74" i="22"/>
  <c r="P73" i="22"/>
  <c r="P72" i="22"/>
  <c r="P71" i="22"/>
  <c r="P68" i="22"/>
  <c r="P67" i="22"/>
  <c r="P65" i="22"/>
  <c r="P64" i="22"/>
  <c r="P61" i="22"/>
  <c r="P58" i="22"/>
  <c r="P57" i="22"/>
  <c r="P54" i="22"/>
  <c r="P53" i="22"/>
  <c r="P52" i="22"/>
  <c r="P51" i="22"/>
  <c r="P50" i="22"/>
  <c r="P47" i="22"/>
  <c r="P46" i="22"/>
  <c r="P43" i="22"/>
  <c r="P42" i="22"/>
  <c r="P41" i="22"/>
  <c r="P40" i="22"/>
  <c r="P39" i="22"/>
  <c r="P36" i="22"/>
  <c r="P35" i="22"/>
  <c r="P32" i="22"/>
  <c r="P31" i="22"/>
  <c r="P29" i="22"/>
  <c r="P28" i="22"/>
  <c r="P25" i="22"/>
  <c r="P24" i="22"/>
  <c r="P21" i="22"/>
  <c r="P20" i="22"/>
  <c r="P17" i="22"/>
  <c r="P16" i="22"/>
  <c r="P13" i="22"/>
  <c r="P12" i="22"/>
  <c r="P9" i="22"/>
  <c r="P8" i="22"/>
  <c r="P7" i="22"/>
  <c r="P4" i="22"/>
  <c r="P3" i="22"/>
  <c r="P2" i="22"/>
  <c r="M234" i="22"/>
  <c r="M233" i="22"/>
  <c r="M230" i="22"/>
  <c r="M229" i="22"/>
  <c r="M226" i="22"/>
  <c r="M225" i="22"/>
  <c r="M222" i="22"/>
  <c r="M221" i="22"/>
  <c r="M220" i="22"/>
  <c r="M219" i="22"/>
  <c r="M216" i="22"/>
  <c r="M215" i="22"/>
  <c r="M213" i="22"/>
  <c r="M212" i="22"/>
  <c r="M210" i="22"/>
  <c r="M209" i="22"/>
  <c r="M206" i="22"/>
  <c r="M205" i="22"/>
  <c r="M204" i="22"/>
  <c r="M203" i="22"/>
  <c r="M201" i="22"/>
  <c r="M200" i="22"/>
  <c r="M194" i="22"/>
  <c r="M193" i="22"/>
  <c r="M190" i="22"/>
  <c r="M189" i="22"/>
  <c r="M188" i="22"/>
  <c r="M187" i="22"/>
  <c r="M186" i="22"/>
  <c r="M185" i="22"/>
  <c r="M182" i="22"/>
  <c r="M181" i="22"/>
  <c r="M178" i="22"/>
  <c r="M177" i="22"/>
  <c r="M174" i="22"/>
  <c r="M173" i="22"/>
  <c r="M172" i="22"/>
  <c r="M171" i="22"/>
  <c r="M168" i="22"/>
  <c r="M167" i="22"/>
  <c r="M166" i="22"/>
  <c r="M165" i="22"/>
  <c r="M164" i="22"/>
  <c r="M161" i="22"/>
  <c r="M160" i="22"/>
  <c r="M157" i="22"/>
  <c r="M156" i="22"/>
  <c r="M153" i="22"/>
  <c r="M152" i="22"/>
  <c r="M151" i="22"/>
  <c r="M149" i="22"/>
  <c r="M148" i="22"/>
  <c r="M147" i="22"/>
  <c r="M146" i="22"/>
  <c r="M141" i="22"/>
  <c r="M140" i="22"/>
  <c r="M137" i="22"/>
  <c r="M136" i="22"/>
  <c r="M135" i="22"/>
  <c r="M134" i="22"/>
  <c r="M133" i="22"/>
  <c r="M132" i="22"/>
  <c r="M129" i="22"/>
  <c r="M128" i="22"/>
  <c r="M125" i="22"/>
  <c r="M124" i="22"/>
  <c r="M121" i="22"/>
  <c r="M120" i="22"/>
  <c r="M119" i="22"/>
  <c r="M118" i="22"/>
  <c r="M115" i="22"/>
  <c r="M114" i="22"/>
  <c r="M113" i="22"/>
  <c r="M112" i="22"/>
  <c r="M111" i="22"/>
  <c r="M108" i="22"/>
  <c r="M107" i="22"/>
  <c r="M104" i="22"/>
  <c r="M103" i="22"/>
  <c r="M100" i="22"/>
  <c r="M99" i="22"/>
  <c r="M98" i="22"/>
  <c r="M96" i="22"/>
  <c r="M95" i="22"/>
  <c r="M94" i="22"/>
  <c r="M93" i="22"/>
  <c r="M88" i="22"/>
  <c r="M87" i="22"/>
  <c r="M86" i="22"/>
  <c r="M85" i="22"/>
  <c r="M84" i="22"/>
  <c r="M83" i="22"/>
  <c r="M81" i="22"/>
  <c r="M80" i="22"/>
  <c r="M79" i="22"/>
  <c r="M78" i="22"/>
  <c r="M77" i="22"/>
  <c r="M76" i="22"/>
  <c r="M75" i="22"/>
  <c r="M74" i="22"/>
  <c r="M73" i="22"/>
  <c r="M72" i="22"/>
  <c r="M71" i="22"/>
  <c r="M68" i="22"/>
  <c r="M67" i="22"/>
  <c r="M65" i="22"/>
  <c r="M64" i="22"/>
  <c r="M61" i="22"/>
  <c r="M58" i="22"/>
  <c r="M57" i="22"/>
  <c r="M54" i="22"/>
  <c r="M53" i="22"/>
  <c r="M52" i="22"/>
  <c r="M51" i="22"/>
  <c r="M50" i="22"/>
  <c r="M47" i="22"/>
  <c r="M46" i="22"/>
  <c r="M43" i="22"/>
  <c r="M42" i="22"/>
  <c r="M41" i="22"/>
  <c r="M40" i="22"/>
  <c r="M39" i="22"/>
  <c r="M36" i="22"/>
  <c r="M35" i="22"/>
  <c r="M32" i="22"/>
  <c r="M31" i="22"/>
  <c r="M29" i="22"/>
  <c r="M28" i="22"/>
  <c r="M25" i="22"/>
  <c r="M24" i="22"/>
  <c r="M21" i="22"/>
  <c r="M20" i="22"/>
  <c r="M17" i="22"/>
  <c r="M16" i="22"/>
  <c r="M13" i="22"/>
  <c r="M12" i="22"/>
  <c r="M9" i="22"/>
  <c r="M8" i="22"/>
  <c r="M7" i="22"/>
  <c r="M4" i="22"/>
  <c r="M3" i="22"/>
  <c r="M2" i="22"/>
  <c r="AC236" i="22"/>
  <c r="K236" i="22"/>
  <c r="V236" i="22"/>
  <c r="AC235" i="22"/>
  <c r="K235" i="22"/>
  <c r="AB235" i="22"/>
  <c r="AC232" i="22"/>
  <c r="K232" i="22"/>
  <c r="S232" i="22"/>
  <c r="AC231" i="22"/>
  <c r="K231" i="22"/>
  <c r="AC228" i="22"/>
  <c r="K228" i="22"/>
  <c r="AC227" i="22"/>
  <c r="K227" i="22"/>
  <c r="M227" i="22" s="1"/>
  <c r="AB227" i="22"/>
  <c r="AC224" i="22"/>
  <c r="K224" i="22"/>
  <c r="V224" i="22"/>
  <c r="AC223" i="22"/>
  <c r="K223" i="22"/>
  <c r="AC218" i="22"/>
  <c r="K218" i="22"/>
  <c r="S218" i="22"/>
  <c r="AC217" i="22"/>
  <c r="AE217" i="22" s="1"/>
  <c r="K217" i="22"/>
  <c r="AC214" i="22"/>
  <c r="K214" i="22"/>
  <c r="AB214" i="22"/>
  <c r="AC211" i="22"/>
  <c r="K211" i="22"/>
  <c r="P211" i="22"/>
  <c r="AC208" i="22"/>
  <c r="AE208" i="22" s="1"/>
  <c r="K208" i="22"/>
  <c r="AC207" i="22"/>
  <c r="K207" i="22"/>
  <c r="AC202" i="22"/>
  <c r="K202" i="22"/>
  <c r="M202" i="22" s="1"/>
  <c r="AC199" i="22"/>
  <c r="K199" i="22"/>
  <c r="V199" i="22"/>
  <c r="AC196" i="22"/>
  <c r="K196" i="22"/>
  <c r="Y196" i="22"/>
  <c r="AC195" i="22"/>
  <c r="K195" i="22"/>
  <c r="Y195" i="22"/>
  <c r="AC192" i="22"/>
  <c r="K192" i="22"/>
  <c r="V192" i="22"/>
  <c r="AC191" i="22"/>
  <c r="K191" i="22"/>
  <c r="P191" i="22"/>
  <c r="AC184" i="22"/>
  <c r="K184" i="22"/>
  <c r="AC183" i="22"/>
  <c r="K183" i="22"/>
  <c r="Y183" i="22"/>
  <c r="AC180" i="22"/>
  <c r="K180" i="22"/>
  <c r="M180" i="22"/>
  <c r="AC179" i="22"/>
  <c r="K179" i="22"/>
  <c r="S179" i="22"/>
  <c r="AC176" i="22"/>
  <c r="K176" i="22"/>
  <c r="S176" i="22"/>
  <c r="AC175" i="22"/>
  <c r="K175" i="22"/>
  <c r="AE175" i="22"/>
  <c r="AC170" i="22"/>
  <c r="K170" i="22"/>
  <c r="Y170" i="22"/>
  <c r="AC169" i="22"/>
  <c r="K169" i="22"/>
  <c r="AC163" i="22"/>
  <c r="K163" i="22"/>
  <c r="AE163" i="22"/>
  <c r="AC162" i="22"/>
  <c r="K162" i="22"/>
  <c r="S162" i="22"/>
  <c r="AC159" i="22"/>
  <c r="K159" i="22"/>
  <c r="AC158" i="22"/>
  <c r="K158" i="22"/>
  <c r="AC155" i="22"/>
  <c r="K155" i="22"/>
  <c r="Y155" i="22"/>
  <c r="AC154" i="22"/>
  <c r="K154" i="22"/>
  <c r="AB154" i="22"/>
  <c r="M150" i="22"/>
  <c r="AC143" i="22"/>
  <c r="K143" i="22"/>
  <c r="AC142" i="22"/>
  <c r="K142" i="22"/>
  <c r="M142" i="22" s="1"/>
  <c r="AC139" i="22"/>
  <c r="K139" i="22"/>
  <c r="V139" i="22"/>
  <c r="AC138" i="22"/>
  <c r="K138" i="22"/>
  <c r="P138" i="22"/>
  <c r="AC131" i="22"/>
  <c r="K131" i="22"/>
  <c r="AB131" i="22"/>
  <c r="AC130" i="22"/>
  <c r="K130" i="22"/>
  <c r="V130" i="22"/>
  <c r="AC127" i="22"/>
  <c r="K127" i="22"/>
  <c r="AC126" i="22"/>
  <c r="K126" i="22"/>
  <c r="AC123" i="22"/>
  <c r="K123" i="22"/>
  <c r="AC122" i="22"/>
  <c r="K122" i="22"/>
  <c r="P122" i="22"/>
  <c r="AC117" i="22"/>
  <c r="K117" i="22"/>
  <c r="Y117" i="22"/>
  <c r="AC116" i="22"/>
  <c r="K116" i="22"/>
  <c r="V116" i="22"/>
  <c r="AC110" i="22"/>
  <c r="K110" i="22"/>
  <c r="AC109" i="22"/>
  <c r="K109" i="22"/>
  <c r="P109" i="22"/>
  <c r="AC106" i="22"/>
  <c r="K106" i="22"/>
  <c r="V106" i="22"/>
  <c r="AC105" i="22"/>
  <c r="K105" i="22"/>
  <c r="AC102" i="22"/>
  <c r="K102" i="22"/>
  <c r="P102" i="22"/>
  <c r="AC101" i="22"/>
  <c r="K101" i="22"/>
  <c r="P101" i="22"/>
  <c r="Y97" i="22"/>
  <c r="J96" i="22"/>
  <c r="J94" i="22"/>
  <c r="J93" i="22"/>
  <c r="V90" i="22"/>
  <c r="H89" i="22"/>
  <c r="M89" i="22"/>
  <c r="H88" i="22"/>
  <c r="J88" i="22" s="1"/>
  <c r="H87" i="22"/>
  <c r="J87" i="22" s="1"/>
  <c r="J86" i="22"/>
  <c r="J84" i="22"/>
  <c r="H83" i="22"/>
  <c r="H82" i="22"/>
  <c r="J81" i="22"/>
  <c r="J80" i="22"/>
  <c r="J79" i="22"/>
  <c r="J78" i="22"/>
  <c r="J77" i="22"/>
  <c r="J76" i="22"/>
  <c r="J75" i="22"/>
  <c r="J74" i="22"/>
  <c r="J73" i="22"/>
  <c r="J72" i="22"/>
  <c r="J71" i="22"/>
  <c r="H70" i="22"/>
  <c r="AB70" i="22"/>
  <c r="H69" i="22"/>
  <c r="V69" i="22"/>
  <c r="J68" i="22"/>
  <c r="J67" i="22"/>
  <c r="H66" i="22"/>
  <c r="Y66" i="22"/>
  <c r="J65" i="22"/>
  <c r="J64" i="22"/>
  <c r="H63" i="22"/>
  <c r="Y63" i="22"/>
  <c r="H62" i="22"/>
  <c r="Y62" i="22"/>
  <c r="J61" i="22"/>
  <c r="H60" i="22"/>
  <c r="V60" i="22"/>
  <c r="H59" i="22"/>
  <c r="AE59" i="22"/>
  <c r="J58" i="22"/>
  <c r="J57" i="22"/>
  <c r="J56" i="22"/>
  <c r="H56" i="22"/>
  <c r="P56" i="22"/>
  <c r="H55" i="22"/>
  <c r="J54" i="22"/>
  <c r="J53" i="22"/>
  <c r="J52" i="22"/>
  <c r="H51" i="22"/>
  <c r="J51" i="22" s="1"/>
  <c r="Y51" i="22"/>
  <c r="J50" i="22"/>
  <c r="H49" i="22"/>
  <c r="M49" i="22"/>
  <c r="H48" i="22"/>
  <c r="AE48" i="22"/>
  <c r="J47" i="22"/>
  <c r="J46" i="22"/>
  <c r="H45" i="22"/>
  <c r="V45" i="22"/>
  <c r="H44" i="22"/>
  <c r="Y44" i="22"/>
  <c r="J43" i="22"/>
  <c r="J42" i="22"/>
  <c r="J41" i="22"/>
  <c r="J40" i="22"/>
  <c r="J39" i="22"/>
  <c r="AC38" i="22"/>
  <c r="H38" i="22"/>
  <c r="AB38" i="22"/>
  <c r="AC37" i="22"/>
  <c r="H37" i="22"/>
  <c r="J36" i="22"/>
  <c r="J35" i="22"/>
  <c r="AC34" i="22"/>
  <c r="H34" i="22"/>
  <c r="V34" i="22"/>
  <c r="AC33" i="22"/>
  <c r="H33" i="22"/>
  <c r="J32" i="22"/>
  <c r="J31" i="22"/>
  <c r="AC30" i="22"/>
  <c r="H30" i="22"/>
  <c r="AB30" i="22"/>
  <c r="J29" i="22"/>
  <c r="J28" i="22"/>
  <c r="AC27" i="22"/>
  <c r="H27" i="22"/>
  <c r="P27" i="22"/>
  <c r="AC26" i="22"/>
  <c r="H26" i="22"/>
  <c r="V26" i="22"/>
  <c r="J25" i="22"/>
  <c r="J24" i="22"/>
  <c r="AC23" i="22"/>
  <c r="H23" i="22"/>
  <c r="AB23" i="22"/>
  <c r="AC22" i="22"/>
  <c r="H22" i="22"/>
  <c r="AB22" i="22"/>
  <c r="J21" i="22"/>
  <c r="J20" i="22"/>
  <c r="AC19" i="22"/>
  <c r="H19" i="22"/>
  <c r="AC18" i="22"/>
  <c r="AE18" i="22" s="1"/>
  <c r="H18" i="22"/>
  <c r="J17" i="22"/>
  <c r="J16" i="22"/>
  <c r="AC15" i="22"/>
  <c r="H15" i="22"/>
  <c r="J15" i="22" s="1"/>
  <c r="Y15" i="22"/>
  <c r="AC14" i="22"/>
  <c r="H14" i="22"/>
  <c r="M14" i="22"/>
  <c r="J13" i="22"/>
  <c r="J12" i="22"/>
  <c r="AC11" i="22"/>
  <c r="AE11" i="22" s="1"/>
  <c r="H11" i="22"/>
  <c r="AC10" i="22"/>
  <c r="H10" i="22"/>
  <c r="Y10" i="22"/>
  <c r="J9" i="22"/>
  <c r="J8" i="22"/>
  <c r="J7" i="22"/>
  <c r="AC6" i="22"/>
  <c r="H6" i="22"/>
  <c r="M6" i="22"/>
  <c r="AC5" i="22"/>
  <c r="H5" i="22"/>
  <c r="V5" i="22"/>
  <c r="J4" i="22"/>
  <c r="J3" i="22"/>
  <c r="J2" i="22"/>
  <c r="V35" i="20"/>
  <c r="V34" i="20"/>
  <c r="V31" i="20"/>
  <c r="V30" i="20"/>
  <c r="V29" i="20"/>
  <c r="V28" i="20"/>
  <c r="V25" i="20"/>
  <c r="V24" i="20"/>
  <c r="V23" i="20"/>
  <c r="V20" i="20"/>
  <c r="V19" i="20"/>
  <c r="V18" i="20"/>
  <c r="V17" i="20"/>
  <c r="V14" i="20"/>
  <c r="V13" i="20"/>
  <c r="V12" i="20"/>
  <c r="V10" i="20"/>
  <c r="V9" i="20"/>
  <c r="V8" i="20"/>
  <c r="V7" i="20"/>
  <c r="V4" i="20"/>
  <c r="V3" i="20"/>
  <c r="V2" i="20"/>
  <c r="S35" i="20"/>
  <c r="S34" i="20"/>
  <c r="S31" i="20"/>
  <c r="S30" i="20"/>
  <c r="S29" i="20"/>
  <c r="S28" i="20"/>
  <c r="S25" i="20"/>
  <c r="S24" i="20"/>
  <c r="S23" i="20"/>
  <c r="S20" i="20"/>
  <c r="S19" i="20"/>
  <c r="S18" i="20"/>
  <c r="S17" i="20"/>
  <c r="S14" i="20"/>
  <c r="S13" i="20"/>
  <c r="S12" i="20"/>
  <c r="S10" i="20"/>
  <c r="S9" i="20"/>
  <c r="S8" i="20"/>
  <c r="S7" i="20"/>
  <c r="S4" i="20"/>
  <c r="S3" i="20"/>
  <c r="S2" i="20"/>
  <c r="P35" i="20"/>
  <c r="P34" i="20"/>
  <c r="P31" i="20"/>
  <c r="P30" i="20"/>
  <c r="P29" i="20"/>
  <c r="P28" i="20"/>
  <c r="P25" i="20"/>
  <c r="P24" i="20"/>
  <c r="P23" i="20"/>
  <c r="P20" i="20"/>
  <c r="P19" i="20"/>
  <c r="P18" i="20"/>
  <c r="P17" i="20"/>
  <c r="P14" i="20"/>
  <c r="P13" i="20"/>
  <c r="P12" i="20"/>
  <c r="P10" i="20"/>
  <c r="P9" i="20"/>
  <c r="P8" i="20"/>
  <c r="P7" i="20"/>
  <c r="P4" i="20"/>
  <c r="P3" i="20"/>
  <c r="P2" i="20"/>
  <c r="M35" i="20"/>
  <c r="M34" i="20"/>
  <c r="M31" i="20"/>
  <c r="M30" i="20"/>
  <c r="M29" i="20"/>
  <c r="M28" i="20"/>
  <c r="M25" i="20"/>
  <c r="M24" i="20"/>
  <c r="M23" i="20"/>
  <c r="M20" i="20"/>
  <c r="M19" i="20"/>
  <c r="M18" i="20"/>
  <c r="M17" i="20"/>
  <c r="M14" i="20"/>
  <c r="M13" i="20"/>
  <c r="M12" i="20"/>
  <c r="M10" i="20"/>
  <c r="M9" i="20"/>
  <c r="M8" i="20"/>
  <c r="M7" i="20"/>
  <c r="M4" i="20"/>
  <c r="M3" i="20"/>
  <c r="M2" i="20"/>
  <c r="J35" i="20"/>
  <c r="J34" i="20"/>
  <c r="J31" i="20"/>
  <c r="J30" i="20"/>
  <c r="J29" i="20"/>
  <c r="J28" i="20"/>
  <c r="J25" i="20"/>
  <c r="J24" i="20"/>
  <c r="J23" i="20"/>
  <c r="J20" i="20"/>
  <c r="J19" i="20"/>
  <c r="J18" i="20"/>
  <c r="J17" i="20"/>
  <c r="J14" i="20"/>
  <c r="J13" i="20"/>
  <c r="J12" i="20"/>
  <c r="J10" i="20"/>
  <c r="J9" i="20"/>
  <c r="J8" i="20"/>
  <c r="J7" i="20"/>
  <c r="J4" i="20"/>
  <c r="J3" i="20"/>
  <c r="J2" i="20"/>
  <c r="Y31" i="20"/>
  <c r="Y30" i="20"/>
  <c r="Y29" i="20"/>
  <c r="Y28" i="20"/>
  <c r="Y25" i="20"/>
  <c r="Y24" i="20"/>
  <c r="Y23" i="20"/>
  <c r="Y20" i="20"/>
  <c r="Y19" i="20"/>
  <c r="Y18" i="20"/>
  <c r="Y17" i="20"/>
  <c r="Y14" i="20"/>
  <c r="Y13" i="20"/>
  <c r="Y12" i="20"/>
  <c r="Y10" i="20"/>
  <c r="Y9" i="20"/>
  <c r="Y8" i="20"/>
  <c r="Y7" i="20"/>
  <c r="Y4" i="20"/>
  <c r="Y3" i="20"/>
  <c r="Y2" i="20"/>
  <c r="AB35" i="20"/>
  <c r="AB34" i="20"/>
  <c r="AB31" i="20"/>
  <c r="AB30" i="20"/>
  <c r="AB29" i="20"/>
  <c r="AB28" i="20"/>
  <c r="AB25" i="20"/>
  <c r="AB24" i="20"/>
  <c r="AB23" i="20"/>
  <c r="AB20" i="20"/>
  <c r="AB19" i="20"/>
  <c r="AB18" i="20"/>
  <c r="AB17" i="20"/>
  <c r="AB14" i="20"/>
  <c r="AB13" i="20"/>
  <c r="AB12" i="20"/>
  <c r="AB10" i="20"/>
  <c r="AB9" i="20"/>
  <c r="AB8" i="20"/>
  <c r="AB7" i="20"/>
  <c r="AB4" i="20"/>
  <c r="AB3" i="20"/>
  <c r="AB2" i="20"/>
  <c r="AE35" i="20"/>
  <c r="AE34" i="20"/>
  <c r="AE31" i="20"/>
  <c r="AE30" i="20"/>
  <c r="AE29" i="20"/>
  <c r="AE28" i="20"/>
  <c r="AE25" i="20"/>
  <c r="AE24" i="20"/>
  <c r="AE23" i="20"/>
  <c r="AE20" i="20"/>
  <c r="AE19" i="20"/>
  <c r="AE18" i="20"/>
  <c r="AE17" i="20"/>
  <c r="AE14" i="20"/>
  <c r="AE13" i="20"/>
  <c r="AE12" i="20"/>
  <c r="AE10" i="20"/>
  <c r="AE9" i="20"/>
  <c r="AE8" i="20"/>
  <c r="AE7" i="20"/>
  <c r="AE4" i="20"/>
  <c r="AE3" i="20"/>
  <c r="AE2" i="20"/>
  <c r="W33" i="20"/>
  <c r="T33" i="20"/>
  <c r="Q33" i="20"/>
  <c r="N33" i="20"/>
  <c r="K33" i="20"/>
  <c r="H33" i="20"/>
  <c r="AC32" i="20"/>
  <c r="Z32" i="20"/>
  <c r="W32" i="20"/>
  <c r="T32" i="20"/>
  <c r="Q32" i="20"/>
  <c r="N32" i="20"/>
  <c r="K32" i="20"/>
  <c r="AC27" i="20"/>
  <c r="Z27" i="20"/>
  <c r="W27" i="20"/>
  <c r="T27" i="20"/>
  <c r="Q27" i="20"/>
  <c r="N27" i="20"/>
  <c r="K27" i="20"/>
  <c r="H27" i="20"/>
  <c r="AC26" i="20"/>
  <c r="Z26" i="20"/>
  <c r="W26" i="20"/>
  <c r="T26" i="20"/>
  <c r="Q26" i="20"/>
  <c r="N26" i="20"/>
  <c r="K26" i="20"/>
  <c r="AC22" i="20"/>
  <c r="Z22" i="20"/>
  <c r="W22" i="20"/>
  <c r="T22" i="20"/>
  <c r="Q22" i="20"/>
  <c r="N22" i="20"/>
  <c r="K22" i="20"/>
  <c r="H22" i="20"/>
  <c r="AC21" i="20"/>
  <c r="Z21" i="20"/>
  <c r="W21" i="20"/>
  <c r="T21" i="20"/>
  <c r="Q21" i="20"/>
  <c r="N21" i="20"/>
  <c r="K21" i="20"/>
  <c r="H21" i="20"/>
  <c r="AC16" i="20"/>
  <c r="Z16" i="20"/>
  <c r="W16" i="20"/>
  <c r="T16" i="20"/>
  <c r="Q16" i="20"/>
  <c r="N16" i="20"/>
  <c r="K16" i="20"/>
  <c r="H16" i="20"/>
  <c r="AC15" i="20"/>
  <c r="AE15" i="20" s="1"/>
  <c r="Z15" i="20"/>
  <c r="W15" i="20"/>
  <c r="T15" i="20"/>
  <c r="Q15" i="20"/>
  <c r="N15" i="20"/>
  <c r="K15" i="20"/>
  <c r="H15" i="20"/>
  <c r="AF15" i="19"/>
  <c r="AG15" i="19" s="1"/>
  <c r="AF14" i="19"/>
  <c r="AG14" i="19" s="1"/>
  <c r="AF13" i="19"/>
  <c r="AG13" i="19" s="1"/>
  <c r="AC39" i="19"/>
  <c r="N39" i="19"/>
  <c r="H39" i="19"/>
  <c r="J39" i="19" s="1"/>
  <c r="Y39" i="19"/>
  <c r="AC38" i="19"/>
  <c r="N38" i="19"/>
  <c r="H38" i="19"/>
  <c r="AE37" i="19"/>
  <c r="AB37" i="19"/>
  <c r="Y37" i="19"/>
  <c r="V37" i="19"/>
  <c r="S37" i="19"/>
  <c r="P37" i="19"/>
  <c r="M37" i="19"/>
  <c r="J37" i="19"/>
  <c r="AE36" i="19"/>
  <c r="AB36" i="19"/>
  <c r="Y36" i="19"/>
  <c r="V36" i="19"/>
  <c r="S36" i="19"/>
  <c r="P36" i="19"/>
  <c r="M36" i="19"/>
  <c r="J36" i="19"/>
  <c r="AB33" i="19"/>
  <c r="AE32" i="19"/>
  <c r="AB32" i="19"/>
  <c r="Y32" i="19"/>
  <c r="V32" i="19"/>
  <c r="S32" i="19"/>
  <c r="P32" i="19"/>
  <c r="M32" i="19"/>
  <c r="J32" i="19"/>
  <c r="AE31" i="19"/>
  <c r="AB31" i="19"/>
  <c r="Y31" i="19"/>
  <c r="V31" i="19"/>
  <c r="S31" i="19"/>
  <c r="P31" i="19"/>
  <c r="M31" i="19"/>
  <c r="J31" i="19"/>
  <c r="AE30" i="19"/>
  <c r="W29" i="19"/>
  <c r="K29" i="19"/>
  <c r="H29" i="19"/>
  <c r="AB29" i="19"/>
  <c r="AE28" i="19"/>
  <c r="AB28" i="19"/>
  <c r="Y28" i="19"/>
  <c r="V28" i="19"/>
  <c r="S28" i="19"/>
  <c r="P28" i="19"/>
  <c r="M28" i="19"/>
  <c r="J28" i="19"/>
  <c r="AE27" i="19"/>
  <c r="AB27" i="19"/>
  <c r="Y27" i="19"/>
  <c r="V27" i="19"/>
  <c r="S27" i="19"/>
  <c r="P27" i="19"/>
  <c r="M27" i="19"/>
  <c r="J27" i="19"/>
  <c r="W26" i="19"/>
  <c r="K26" i="19"/>
  <c r="H26" i="19"/>
  <c r="X25" i="19"/>
  <c r="W25" i="19"/>
  <c r="L25" i="19"/>
  <c r="K25" i="19"/>
  <c r="I25" i="19"/>
  <c r="H25" i="19"/>
  <c r="P25" i="19"/>
  <c r="AE24" i="19"/>
  <c r="AB24" i="19"/>
  <c r="X24" i="19"/>
  <c r="Y24" i="19" s="1"/>
  <c r="V24" i="19"/>
  <c r="S24" i="19"/>
  <c r="P24" i="19"/>
  <c r="L24" i="19"/>
  <c r="M24" i="19" s="1"/>
  <c r="I24" i="19"/>
  <c r="J24" i="19" s="1"/>
  <c r="AE23" i="19"/>
  <c r="AB23" i="19"/>
  <c r="X23" i="19"/>
  <c r="Y23" i="19" s="1"/>
  <c r="V23" i="19"/>
  <c r="S23" i="19"/>
  <c r="P23" i="19"/>
  <c r="L23" i="19"/>
  <c r="M23" i="19" s="1"/>
  <c r="I23" i="19"/>
  <c r="J23" i="19" s="1"/>
  <c r="AE22" i="19"/>
  <c r="AB22" i="19"/>
  <c r="Y22" i="19"/>
  <c r="V22" i="19"/>
  <c r="S22" i="19"/>
  <c r="P22" i="19"/>
  <c r="M22" i="19"/>
  <c r="J22" i="19"/>
  <c r="AE21" i="19"/>
  <c r="AB21" i="19"/>
  <c r="Y21" i="19"/>
  <c r="V21" i="19"/>
  <c r="S21" i="19"/>
  <c r="P21" i="19"/>
  <c r="M21" i="19"/>
  <c r="J21" i="19"/>
  <c r="W20" i="19"/>
  <c r="K20" i="19"/>
  <c r="H20" i="19"/>
  <c r="J20" i="19" s="1"/>
  <c r="V20" i="19"/>
  <c r="X19" i="19"/>
  <c r="W19" i="19"/>
  <c r="L19" i="19"/>
  <c r="K19" i="19"/>
  <c r="I19" i="19"/>
  <c r="H19" i="19"/>
  <c r="S19" i="19"/>
  <c r="AE18" i="19"/>
  <c r="AB18" i="19"/>
  <c r="X18" i="19"/>
  <c r="Y18" i="19" s="1"/>
  <c r="V18" i="19"/>
  <c r="S18" i="19"/>
  <c r="P18" i="19"/>
  <c r="L18" i="19"/>
  <c r="M18" i="19" s="1"/>
  <c r="I18" i="19"/>
  <c r="J18" i="19" s="1"/>
  <c r="AE17" i="19"/>
  <c r="AB17" i="19"/>
  <c r="X17" i="19"/>
  <c r="Y17" i="19" s="1"/>
  <c r="V17" i="19"/>
  <c r="S17" i="19"/>
  <c r="P17" i="19"/>
  <c r="L17" i="19"/>
  <c r="M17" i="19" s="1"/>
  <c r="I17" i="19"/>
  <c r="J17" i="19" s="1"/>
  <c r="AE16" i="19"/>
  <c r="AB16" i="19"/>
  <c r="Y16" i="19"/>
  <c r="V16" i="19"/>
  <c r="S16" i="19"/>
  <c r="P16" i="19"/>
  <c r="M16" i="19"/>
  <c r="J16" i="19"/>
  <c r="H14" i="19"/>
  <c r="AE12" i="19"/>
  <c r="AB12" i="19"/>
  <c r="Y12" i="19"/>
  <c r="V12" i="19"/>
  <c r="S12" i="19"/>
  <c r="P12" i="19"/>
  <c r="M12" i="19"/>
  <c r="J12" i="19"/>
  <c r="Z11" i="19"/>
  <c r="T11" i="19"/>
  <c r="K11" i="19"/>
  <c r="H11" i="19"/>
  <c r="AB11" i="19"/>
  <c r="AB10" i="19"/>
  <c r="AE9" i="19"/>
  <c r="AB9" i="19"/>
  <c r="Y9" i="19"/>
  <c r="V9" i="19"/>
  <c r="S9" i="19"/>
  <c r="P9" i="19"/>
  <c r="M9" i="19"/>
  <c r="J9" i="19"/>
  <c r="AE8" i="19"/>
  <c r="AB8" i="19"/>
  <c r="Y8" i="19"/>
  <c r="V8" i="19"/>
  <c r="S8" i="19"/>
  <c r="P8" i="19"/>
  <c r="M8" i="19"/>
  <c r="J8" i="19"/>
  <c r="T7" i="19"/>
  <c r="H7" i="19"/>
  <c r="AE7" i="19"/>
  <c r="T6" i="19"/>
  <c r="H6" i="19"/>
  <c r="AE6" i="19"/>
  <c r="AE5" i="19"/>
  <c r="AB5" i="19"/>
  <c r="Y5" i="19"/>
  <c r="V5" i="19"/>
  <c r="S5" i="19"/>
  <c r="P5" i="19"/>
  <c r="M5" i="19"/>
  <c r="J5" i="19"/>
  <c r="AE4" i="19"/>
  <c r="AB4" i="19"/>
  <c r="Y4" i="19"/>
  <c r="V4" i="19"/>
  <c r="S4" i="19"/>
  <c r="P4" i="19"/>
  <c r="M4" i="19"/>
  <c r="J4" i="19"/>
  <c r="AE3" i="19"/>
  <c r="AB3" i="19"/>
  <c r="Y3" i="19"/>
  <c r="V3" i="19"/>
  <c r="S3" i="19"/>
  <c r="P3" i="19"/>
  <c r="M3" i="19"/>
  <c r="J3" i="19"/>
  <c r="AE2" i="19"/>
  <c r="AB2" i="19"/>
  <c r="Y2" i="19"/>
  <c r="V2" i="19"/>
  <c r="S2" i="19"/>
  <c r="P2" i="19"/>
  <c r="M2" i="19"/>
  <c r="J2" i="19"/>
  <c r="M229" i="10"/>
  <c r="M228" i="10"/>
  <c r="M227" i="10"/>
  <c r="M226" i="10"/>
  <c r="M225" i="10"/>
  <c r="M224" i="10"/>
  <c r="M223" i="10"/>
  <c r="M222" i="10"/>
  <c r="M221" i="10"/>
  <c r="M220" i="10"/>
  <c r="M219" i="10"/>
  <c r="M218" i="10"/>
  <c r="M217" i="10"/>
  <c r="M216" i="10"/>
  <c r="AF216" i="10" s="1"/>
  <c r="AG216" i="10" s="1"/>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4" i="10"/>
  <c r="M153" i="10"/>
  <c r="M152" i="10"/>
  <c r="M151" i="10"/>
  <c r="M150" i="10"/>
  <c r="M149" i="10"/>
  <c r="M148" i="10"/>
  <c r="M147" i="10"/>
  <c r="M146" i="10"/>
  <c r="M145" i="10"/>
  <c r="M144" i="10"/>
  <c r="M143" i="10"/>
  <c r="M142" i="10"/>
  <c r="M141" i="10"/>
  <c r="M140" i="10"/>
  <c r="M137" i="10"/>
  <c r="M136" i="10"/>
  <c r="M135" i="10"/>
  <c r="M132" i="10"/>
  <c r="M131" i="10"/>
  <c r="M130" i="10"/>
  <c r="M127" i="10"/>
  <c r="M126" i="10"/>
  <c r="M123" i="10"/>
  <c r="M120" i="10"/>
  <c r="M119" i="10"/>
  <c r="M118" i="10"/>
  <c r="M116" i="10"/>
  <c r="M115" i="10"/>
  <c r="M114" i="10"/>
  <c r="M111" i="10"/>
  <c r="M110" i="10"/>
  <c r="M108" i="10"/>
  <c r="M107" i="10"/>
  <c r="M106" i="10"/>
  <c r="M105" i="10"/>
  <c r="M102" i="10"/>
  <c r="M99" i="10"/>
  <c r="M98" i="10"/>
  <c r="M97" i="10"/>
  <c r="M96" i="10"/>
  <c r="M95" i="10"/>
  <c r="M92" i="10"/>
  <c r="M91" i="10"/>
  <c r="M90" i="10"/>
  <c r="M89" i="10"/>
  <c r="M86" i="10"/>
  <c r="M85" i="10"/>
  <c r="M82" i="10"/>
  <c r="M81" i="10"/>
  <c r="M80" i="10"/>
  <c r="M79" i="10"/>
  <c r="M78" i="10"/>
  <c r="M75" i="10"/>
  <c r="M72" i="10"/>
  <c r="M71" i="10"/>
  <c r="M70" i="10"/>
  <c r="M67" i="10"/>
  <c r="M66" i="10"/>
  <c r="M65" i="10"/>
  <c r="M64" i="10"/>
  <c r="M63" i="10"/>
  <c r="M62" i="10"/>
  <c r="M61" i="10"/>
  <c r="M60" i="10"/>
  <c r="M57" i="10"/>
  <c r="M56" i="10"/>
  <c r="M53" i="10"/>
  <c r="M52" i="10"/>
  <c r="M51" i="10"/>
  <c r="M50" i="10"/>
  <c r="M47" i="10"/>
  <c r="M46" i="10"/>
  <c r="M45" i="10"/>
  <c r="M44" i="10"/>
  <c r="M41" i="10"/>
  <c r="M40" i="10"/>
  <c r="M38" i="10"/>
  <c r="M37" i="10"/>
  <c r="M36" i="10"/>
  <c r="M35" i="10"/>
  <c r="M34" i="10"/>
  <c r="M33" i="10"/>
  <c r="M32" i="10"/>
  <c r="M31" i="10"/>
  <c r="M28" i="10"/>
  <c r="M27" i="10"/>
  <c r="M26" i="10"/>
  <c r="M25" i="10"/>
  <c r="M23" i="10"/>
  <c r="M22" i="10"/>
  <c r="M21" i="10"/>
  <c r="M20" i="10"/>
  <c r="M18" i="10"/>
  <c r="M17" i="10"/>
  <c r="M15" i="10"/>
  <c r="M13" i="10"/>
  <c r="M12" i="10"/>
  <c r="M9" i="10"/>
  <c r="M8" i="10"/>
  <c r="M7" i="10"/>
  <c r="M5" i="10"/>
  <c r="M4" i="10"/>
  <c r="M3" i="10"/>
  <c r="P224" i="10"/>
  <c r="P223" i="10"/>
  <c r="P222" i="10"/>
  <c r="P221" i="10"/>
  <c r="P220" i="10"/>
  <c r="P219" i="10"/>
  <c r="P218" i="10"/>
  <c r="P217" i="10"/>
  <c r="P216" i="10"/>
  <c r="P215" i="10"/>
  <c r="P214" i="10"/>
  <c r="P213" i="10"/>
  <c r="P212" i="10"/>
  <c r="P211" i="10"/>
  <c r="P210" i="10"/>
  <c r="P209" i="10"/>
  <c r="P208" i="10"/>
  <c r="P207" i="10"/>
  <c r="P206" i="10"/>
  <c r="P205" i="10"/>
  <c r="P204" i="10"/>
  <c r="P203" i="10"/>
  <c r="P202" i="10"/>
  <c r="P201" i="10"/>
  <c r="P200" i="10"/>
  <c r="P199" i="10"/>
  <c r="P198" i="10"/>
  <c r="P197" i="10"/>
  <c r="P196" i="10"/>
  <c r="P195" i="10"/>
  <c r="P194" i="10"/>
  <c r="P193" i="10"/>
  <c r="P192" i="10"/>
  <c r="P191" i="10"/>
  <c r="P190" i="10"/>
  <c r="P189" i="10"/>
  <c r="P188" i="10"/>
  <c r="P187" i="10"/>
  <c r="P186" i="10"/>
  <c r="P185" i="10"/>
  <c r="P184" i="10"/>
  <c r="P183" i="10"/>
  <c r="P182" i="10"/>
  <c r="P181" i="10"/>
  <c r="P180" i="10"/>
  <c r="P179" i="10"/>
  <c r="P178" i="10"/>
  <c r="P177" i="10"/>
  <c r="P176" i="10"/>
  <c r="P175" i="10"/>
  <c r="P174" i="10"/>
  <c r="P173" i="10"/>
  <c r="P172" i="10"/>
  <c r="P171" i="10"/>
  <c r="P170" i="10"/>
  <c r="P169" i="10"/>
  <c r="P168" i="10"/>
  <c r="P167" i="10"/>
  <c r="P166" i="10"/>
  <c r="P165" i="10"/>
  <c r="P164" i="10"/>
  <c r="P163" i="10"/>
  <c r="P162" i="10"/>
  <c r="P161" i="10"/>
  <c r="P160" i="10"/>
  <c r="P159" i="10"/>
  <c r="P154" i="10"/>
  <c r="P153" i="10"/>
  <c r="P152" i="10"/>
  <c r="P151" i="10"/>
  <c r="P150" i="10"/>
  <c r="P149" i="10"/>
  <c r="P148" i="10"/>
  <c r="P147" i="10"/>
  <c r="P146" i="10"/>
  <c r="P145" i="10"/>
  <c r="P144" i="10"/>
  <c r="P143" i="10"/>
  <c r="P142" i="10"/>
  <c r="P141" i="10"/>
  <c r="P140" i="10"/>
  <c r="P137" i="10"/>
  <c r="P136" i="10"/>
  <c r="P135" i="10"/>
  <c r="P132" i="10"/>
  <c r="P131" i="10"/>
  <c r="P130" i="10"/>
  <c r="P127" i="10"/>
  <c r="P126" i="10"/>
  <c r="P123" i="10"/>
  <c r="P120" i="10"/>
  <c r="P119" i="10"/>
  <c r="P118" i="10"/>
  <c r="P116" i="10"/>
  <c r="P115" i="10"/>
  <c r="P114" i="10"/>
  <c r="P111" i="10"/>
  <c r="P110" i="10"/>
  <c r="P108" i="10"/>
  <c r="P107" i="10"/>
  <c r="P106" i="10"/>
  <c r="P105" i="10"/>
  <c r="P102" i="10"/>
  <c r="P99" i="10"/>
  <c r="P98" i="10"/>
  <c r="P97" i="10"/>
  <c r="P96" i="10"/>
  <c r="P95" i="10"/>
  <c r="P92" i="10"/>
  <c r="P91" i="10"/>
  <c r="P90" i="10"/>
  <c r="P89" i="10"/>
  <c r="P86" i="10"/>
  <c r="P85" i="10"/>
  <c r="P82" i="10"/>
  <c r="P81" i="10"/>
  <c r="P80" i="10"/>
  <c r="P79" i="10"/>
  <c r="P78" i="10"/>
  <c r="P75" i="10"/>
  <c r="P72" i="10"/>
  <c r="P71" i="10"/>
  <c r="P70" i="10"/>
  <c r="P67" i="10"/>
  <c r="P66" i="10"/>
  <c r="P65" i="10"/>
  <c r="P64" i="10"/>
  <c r="P63" i="10"/>
  <c r="P62" i="10"/>
  <c r="P61" i="10"/>
  <c r="P60" i="10"/>
  <c r="P57" i="10"/>
  <c r="P56" i="10"/>
  <c r="P53" i="10"/>
  <c r="P52" i="10"/>
  <c r="P51" i="10"/>
  <c r="P50" i="10"/>
  <c r="P47" i="10"/>
  <c r="P46" i="10"/>
  <c r="P45" i="10"/>
  <c r="P44" i="10"/>
  <c r="P41" i="10"/>
  <c r="P40" i="10"/>
  <c r="P38" i="10"/>
  <c r="P37" i="10"/>
  <c r="P36" i="10"/>
  <c r="P35" i="10"/>
  <c r="P34" i="10"/>
  <c r="P33" i="10"/>
  <c r="P32" i="10"/>
  <c r="P31" i="10"/>
  <c r="P28" i="10"/>
  <c r="P27" i="10"/>
  <c r="P26" i="10"/>
  <c r="P25" i="10"/>
  <c r="P22" i="10"/>
  <c r="P21" i="10"/>
  <c r="P20" i="10"/>
  <c r="P18" i="10"/>
  <c r="P17" i="10"/>
  <c r="P15" i="10"/>
  <c r="P13" i="10"/>
  <c r="P12" i="10"/>
  <c r="P9" i="10"/>
  <c r="P8" i="10"/>
  <c r="P7" i="10"/>
  <c r="P5" i="10"/>
  <c r="P4" i="10"/>
  <c r="P3" i="10"/>
  <c r="P2"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4" i="10"/>
  <c r="S153" i="10"/>
  <c r="S152" i="10"/>
  <c r="S151" i="10"/>
  <c r="S150" i="10"/>
  <c r="S149" i="10"/>
  <c r="S148" i="10"/>
  <c r="S147" i="10"/>
  <c r="S146" i="10"/>
  <c r="S145" i="10"/>
  <c r="S144" i="10"/>
  <c r="S143" i="10"/>
  <c r="S142" i="10"/>
  <c r="S141" i="10"/>
  <c r="S140" i="10"/>
  <c r="S137" i="10"/>
  <c r="S136" i="10"/>
  <c r="S135" i="10"/>
  <c r="S132" i="10"/>
  <c r="S131" i="10"/>
  <c r="S130" i="10"/>
  <c r="S127" i="10"/>
  <c r="S126" i="10"/>
  <c r="S123" i="10"/>
  <c r="S120" i="10"/>
  <c r="S119" i="10"/>
  <c r="S118" i="10"/>
  <c r="S116" i="10"/>
  <c r="S115" i="10"/>
  <c r="S114" i="10"/>
  <c r="S111" i="10"/>
  <c r="S110" i="10"/>
  <c r="S108" i="10"/>
  <c r="S107" i="10"/>
  <c r="S106" i="10"/>
  <c r="S105" i="10"/>
  <c r="S102" i="10"/>
  <c r="S99" i="10"/>
  <c r="S98" i="10"/>
  <c r="S97" i="10"/>
  <c r="S96" i="10"/>
  <c r="S95" i="10"/>
  <c r="S92" i="10"/>
  <c r="S91" i="10"/>
  <c r="S90" i="10"/>
  <c r="S89" i="10"/>
  <c r="S86" i="10"/>
  <c r="S85" i="10"/>
  <c r="S82" i="10"/>
  <c r="S81" i="10"/>
  <c r="S80" i="10"/>
  <c r="S79" i="10"/>
  <c r="S78" i="10"/>
  <c r="S75" i="10"/>
  <c r="S72" i="10"/>
  <c r="S71" i="10"/>
  <c r="S70" i="10"/>
  <c r="S67" i="10"/>
  <c r="S66" i="10"/>
  <c r="S65" i="10"/>
  <c r="S64" i="10"/>
  <c r="S63" i="10"/>
  <c r="S62" i="10"/>
  <c r="S61" i="10"/>
  <c r="S60" i="10"/>
  <c r="S57" i="10"/>
  <c r="S56" i="10"/>
  <c r="S53" i="10"/>
  <c r="S52" i="10"/>
  <c r="S51" i="10"/>
  <c r="S50" i="10"/>
  <c r="S47" i="10"/>
  <c r="S46" i="10"/>
  <c r="S45" i="10"/>
  <c r="S44" i="10"/>
  <c r="S41" i="10"/>
  <c r="S40" i="10"/>
  <c r="S38" i="10"/>
  <c r="S37" i="10"/>
  <c r="S36" i="10"/>
  <c r="S35" i="10"/>
  <c r="S34" i="10"/>
  <c r="S33" i="10"/>
  <c r="S32" i="10"/>
  <c r="S31" i="10"/>
  <c r="S28" i="10"/>
  <c r="S27" i="10"/>
  <c r="S26" i="10"/>
  <c r="S25" i="10"/>
  <c r="S22" i="10"/>
  <c r="S21" i="10"/>
  <c r="S20" i="10"/>
  <c r="S18" i="10"/>
  <c r="S17" i="10"/>
  <c r="S15" i="10"/>
  <c r="S13" i="10"/>
  <c r="S12" i="10"/>
  <c r="S9" i="10"/>
  <c r="S8" i="10"/>
  <c r="S7" i="10"/>
  <c r="S5" i="10"/>
  <c r="S4" i="10"/>
  <c r="S3" i="10"/>
  <c r="S2" i="10"/>
  <c r="V3"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4" i="10"/>
  <c r="V153" i="10"/>
  <c r="V152" i="10"/>
  <c r="V151" i="10"/>
  <c r="V150" i="10"/>
  <c r="V149" i="10"/>
  <c r="V148" i="10"/>
  <c r="V147" i="10"/>
  <c r="V146" i="10"/>
  <c r="V145" i="10"/>
  <c r="V144" i="10"/>
  <c r="V143" i="10"/>
  <c r="V142" i="10"/>
  <c r="V141" i="10"/>
  <c r="V140" i="10"/>
  <c r="V137" i="10"/>
  <c r="V136" i="10"/>
  <c r="V135" i="10"/>
  <c r="V132" i="10"/>
  <c r="V131" i="10"/>
  <c r="V130" i="10"/>
  <c r="V127" i="10"/>
  <c r="V126" i="10"/>
  <c r="V123" i="10"/>
  <c r="V120" i="10"/>
  <c r="V119" i="10"/>
  <c r="V118" i="10"/>
  <c r="V116" i="10"/>
  <c r="V115" i="10"/>
  <c r="V114" i="10"/>
  <c r="V112" i="10"/>
  <c r="V111" i="10"/>
  <c r="V110" i="10"/>
  <c r="V108" i="10"/>
  <c r="V107" i="10"/>
  <c r="V106" i="10"/>
  <c r="V105" i="10"/>
  <c r="V102" i="10"/>
  <c r="V99" i="10"/>
  <c r="V98" i="10"/>
  <c r="V97" i="10"/>
  <c r="V96" i="10"/>
  <c r="V95" i="10"/>
  <c r="V92" i="10"/>
  <c r="V90" i="10"/>
  <c r="V89" i="10"/>
  <c r="V88" i="10"/>
  <c r="V86" i="10"/>
  <c r="V85" i="10"/>
  <c r="V82" i="10"/>
  <c r="V81" i="10"/>
  <c r="V80" i="10"/>
  <c r="V79" i="10"/>
  <c r="V78" i="10"/>
  <c r="V75" i="10"/>
  <c r="V72" i="10"/>
  <c r="V71" i="10"/>
  <c r="V70" i="10"/>
  <c r="V67" i="10"/>
  <c r="V66" i="10"/>
  <c r="V65" i="10"/>
  <c r="V64" i="10"/>
  <c r="V63" i="10"/>
  <c r="V62" i="10"/>
  <c r="V61" i="10"/>
  <c r="V60" i="10"/>
  <c r="V57" i="10"/>
  <c r="V56" i="10"/>
  <c r="V53" i="10"/>
  <c r="V52" i="10"/>
  <c r="V51" i="10"/>
  <c r="V50" i="10"/>
  <c r="V47" i="10"/>
  <c r="V46" i="10"/>
  <c r="V45" i="10"/>
  <c r="V44" i="10"/>
  <c r="V41" i="10"/>
  <c r="V40" i="10"/>
  <c r="V38" i="10"/>
  <c r="V37" i="10"/>
  <c r="V36" i="10"/>
  <c r="V35" i="10"/>
  <c r="V34" i="10"/>
  <c r="V33" i="10"/>
  <c r="V32" i="10"/>
  <c r="V31" i="10"/>
  <c r="V28" i="10"/>
  <c r="V27" i="10"/>
  <c r="V26" i="10"/>
  <c r="V25" i="10"/>
  <c r="V22" i="10"/>
  <c r="V21" i="10"/>
  <c r="V20" i="10"/>
  <c r="V18" i="10"/>
  <c r="V17" i="10"/>
  <c r="V15" i="10"/>
  <c r="V13" i="10"/>
  <c r="V12" i="10"/>
  <c r="V9" i="10"/>
  <c r="V8" i="10"/>
  <c r="V7" i="10"/>
  <c r="V5" i="10"/>
  <c r="V4" i="10"/>
  <c r="V2" i="10"/>
  <c r="Y280" i="10"/>
  <c r="AF280" i="10" s="1"/>
  <c r="AG280" i="10" s="1"/>
  <c r="Y279" i="10"/>
  <c r="Y278" i="10"/>
  <c r="AF278" i="10" s="1"/>
  <c r="AG278" i="10" s="1"/>
  <c r="Y277" i="10"/>
  <c r="AF277" i="10" s="1"/>
  <c r="AG277" i="10" s="1"/>
  <c r="Y276" i="10"/>
  <c r="AF276" i="10" s="1"/>
  <c r="AG276" i="10" s="1"/>
  <c r="Y275" i="10"/>
  <c r="AF275" i="10" s="1"/>
  <c r="AG275" i="10" s="1"/>
  <c r="Y274" i="10"/>
  <c r="AF274" i="10" s="1"/>
  <c r="AG274" i="10" s="1"/>
  <c r="Y273" i="10"/>
  <c r="AF273" i="10" s="1"/>
  <c r="AG273" i="10" s="1"/>
  <c r="Y272" i="10"/>
  <c r="AF272" i="10" s="1"/>
  <c r="AG272" i="10" s="1"/>
  <c r="Y271" i="10"/>
  <c r="AF271" i="10" s="1"/>
  <c r="AG271" i="10" s="1"/>
  <c r="Y270" i="10"/>
  <c r="AF270" i="10" s="1"/>
  <c r="AG270" i="10" s="1"/>
  <c r="Y269" i="10"/>
  <c r="AF269" i="10" s="1"/>
  <c r="AG269" i="10" s="1"/>
  <c r="Y268" i="10"/>
  <c r="AF268" i="10" s="1"/>
  <c r="AG268" i="10" s="1"/>
  <c r="Y267" i="10"/>
  <c r="AF267" i="10" s="1"/>
  <c r="AG267" i="10" s="1"/>
  <c r="Y266" i="10"/>
  <c r="AF266" i="10" s="1"/>
  <c r="AG266" i="10" s="1"/>
  <c r="Y265" i="10"/>
  <c r="AF265" i="10" s="1"/>
  <c r="AG265" i="10" s="1"/>
  <c r="Y264" i="10"/>
  <c r="AF264" i="10" s="1"/>
  <c r="AG264" i="10" s="1"/>
  <c r="Y263" i="10"/>
  <c r="AF263" i="10" s="1"/>
  <c r="AG263" i="10" s="1"/>
  <c r="Y262" i="10"/>
  <c r="AF262" i="10" s="1"/>
  <c r="AG262" i="10" s="1"/>
  <c r="Y261" i="10"/>
  <c r="AF261" i="10" s="1"/>
  <c r="AG261" i="10" s="1"/>
  <c r="Y260" i="10"/>
  <c r="AF260" i="10" s="1"/>
  <c r="AG260" i="10" s="1"/>
  <c r="Y259" i="10"/>
  <c r="AF259" i="10" s="1"/>
  <c r="AG259" i="10" s="1"/>
  <c r="Y258" i="10"/>
  <c r="AF258" i="10" s="1"/>
  <c r="AG258" i="10" s="1"/>
  <c r="Y257" i="10"/>
  <c r="AF257" i="10" s="1"/>
  <c r="AG257" i="10" s="1"/>
  <c r="Y256" i="10"/>
  <c r="AF256" i="10" s="1"/>
  <c r="AG256" i="10" s="1"/>
  <c r="Y255" i="10"/>
  <c r="AF255" i="10" s="1"/>
  <c r="AG255" i="10" s="1"/>
  <c r="Y254" i="10"/>
  <c r="AF254" i="10" s="1"/>
  <c r="AG254" i="10" s="1"/>
  <c r="Y253" i="10"/>
  <c r="AF253" i="10" s="1"/>
  <c r="AG253" i="10" s="1"/>
  <c r="Y252" i="10"/>
  <c r="AF252" i="10" s="1"/>
  <c r="AG252" i="10" s="1"/>
  <c r="Y251" i="10"/>
  <c r="Y250" i="10"/>
  <c r="AF250" i="10" s="1"/>
  <c r="AG250" i="10" s="1"/>
  <c r="Y249" i="10"/>
  <c r="AF249" i="10" s="1"/>
  <c r="AG249" i="10" s="1"/>
  <c r="Y248" i="10"/>
  <c r="AF248" i="10" s="1"/>
  <c r="AG248" i="10" s="1"/>
  <c r="Y247" i="10"/>
  <c r="Y246" i="10"/>
  <c r="AF246" i="10" s="1"/>
  <c r="AG246" i="10" s="1"/>
  <c r="Y245" i="10"/>
  <c r="AF245" i="10" s="1"/>
  <c r="AG245" i="10" s="1"/>
  <c r="Y244" i="10"/>
  <c r="AF244" i="10" s="1"/>
  <c r="AG244" i="10" s="1"/>
  <c r="Y243" i="10"/>
  <c r="AF243" i="10" s="1"/>
  <c r="AG243" i="10" s="1"/>
  <c r="Y242" i="10"/>
  <c r="AF242" i="10" s="1"/>
  <c r="AG242" i="10" s="1"/>
  <c r="Y241" i="10"/>
  <c r="AF241" i="10" s="1"/>
  <c r="AG241" i="10" s="1"/>
  <c r="Y240" i="10"/>
  <c r="AF240" i="10" s="1"/>
  <c r="AG240" i="10" s="1"/>
  <c r="Y239" i="10"/>
  <c r="Y238" i="10"/>
  <c r="AF238" i="10" s="1"/>
  <c r="AG238" i="10" s="1"/>
  <c r="Y237" i="10"/>
  <c r="Y236" i="10"/>
  <c r="AF236" i="10" s="1"/>
  <c r="AG236" i="10" s="1"/>
  <c r="Y235" i="10"/>
  <c r="Y234" i="10"/>
  <c r="AF234" i="10" s="1"/>
  <c r="AG234" i="10" s="1"/>
  <c r="Y233" i="10"/>
  <c r="AF233" i="10" s="1"/>
  <c r="AG233" i="10" s="1"/>
  <c r="Y232" i="10"/>
  <c r="AF232" i="10" s="1"/>
  <c r="AG232" i="10" s="1"/>
  <c r="Y231" i="10"/>
  <c r="AF231" i="10" s="1"/>
  <c r="AG231" i="10" s="1"/>
  <c r="Y230" i="10"/>
  <c r="AF230" i="10" s="1"/>
  <c r="AG230" i="10" s="1"/>
  <c r="Y229" i="10"/>
  <c r="Y228" i="10"/>
  <c r="AF228" i="10" s="1"/>
  <c r="AG228" i="10" s="1"/>
  <c r="Y227" i="10"/>
  <c r="Y226" i="10"/>
  <c r="AF226" i="10" s="1"/>
  <c r="AG226" i="10" s="1"/>
  <c r="Y225" i="10"/>
  <c r="Y224" i="10"/>
  <c r="Y223" i="10"/>
  <c r="Y222" i="10"/>
  <c r="Y221" i="10"/>
  <c r="Y220" i="10"/>
  <c r="Y219" i="10"/>
  <c r="Y218" i="10"/>
  <c r="Y217" i="10"/>
  <c r="Y216" i="10"/>
  <c r="Y215" i="10"/>
  <c r="Y214" i="10"/>
  <c r="Y213" i="10"/>
  <c r="Y212" i="10"/>
  <c r="AF212" i="10" s="1"/>
  <c r="AG212" i="10" s="1"/>
  <c r="Y211" i="10"/>
  <c r="Y210" i="10"/>
  <c r="Y209" i="10"/>
  <c r="Y208" i="10"/>
  <c r="Y207" i="10"/>
  <c r="Y206" i="10"/>
  <c r="Y205" i="10"/>
  <c r="Y204" i="10"/>
  <c r="Y203" i="10"/>
  <c r="Y202" i="10"/>
  <c r="Y201" i="10"/>
  <c r="Y200" i="10"/>
  <c r="Y199" i="10"/>
  <c r="Y198" i="10"/>
  <c r="Y197" i="10"/>
  <c r="Y196" i="10"/>
  <c r="Y195" i="10"/>
  <c r="Y194" i="10"/>
  <c r="Y193" i="10"/>
  <c r="Y192" i="10"/>
  <c r="Y191" i="10"/>
  <c r="Y190" i="10"/>
  <c r="Y189" i="10"/>
  <c r="Y188" i="10"/>
  <c r="Y187" i="10"/>
  <c r="Y186" i="10"/>
  <c r="Y185" i="10"/>
  <c r="Y184" i="10"/>
  <c r="Y183" i="10"/>
  <c r="Y182" i="10"/>
  <c r="Y181" i="10"/>
  <c r="Y180" i="10"/>
  <c r="Y179" i="10"/>
  <c r="Y178" i="10"/>
  <c r="Y177" i="10"/>
  <c r="Y176" i="10"/>
  <c r="Y175" i="10"/>
  <c r="Y174" i="10"/>
  <c r="Y173" i="10"/>
  <c r="Y172" i="10"/>
  <c r="Y171" i="10"/>
  <c r="Y170" i="10"/>
  <c r="Y169" i="10"/>
  <c r="Y168" i="10"/>
  <c r="Y167" i="10"/>
  <c r="Y166" i="10"/>
  <c r="Y165" i="10"/>
  <c r="Y164" i="10"/>
  <c r="Y163" i="10"/>
  <c r="Y162" i="10"/>
  <c r="Y161" i="10"/>
  <c r="Y160" i="10"/>
  <c r="Y159" i="10"/>
  <c r="Y154" i="10"/>
  <c r="Y153" i="10"/>
  <c r="Y152" i="10"/>
  <c r="Y151" i="10"/>
  <c r="Y150" i="10"/>
  <c r="Y149" i="10"/>
  <c r="Y148" i="10"/>
  <c r="Y147" i="10"/>
  <c r="Y146" i="10"/>
  <c r="Y145" i="10"/>
  <c r="Y144" i="10"/>
  <c r="Y143" i="10"/>
  <c r="Y142" i="10"/>
  <c r="Y141" i="10"/>
  <c r="Y140" i="10"/>
  <c r="Y137" i="10"/>
  <c r="Y136" i="10"/>
  <c r="Y135" i="10"/>
  <c r="Y132" i="10"/>
  <c r="Y131" i="10"/>
  <c r="Y130" i="10"/>
  <c r="Y127" i="10"/>
  <c r="Y126" i="10"/>
  <c r="Y123" i="10"/>
  <c r="Y120" i="10"/>
  <c r="Y119" i="10"/>
  <c r="Y118" i="10"/>
  <c r="Y116" i="10"/>
  <c r="Y115" i="10"/>
  <c r="Y114" i="10"/>
  <c r="Y111" i="10"/>
  <c r="Y110" i="10"/>
  <c r="Y108" i="10"/>
  <c r="Y107" i="10"/>
  <c r="Y106" i="10"/>
  <c r="Y105" i="10"/>
  <c r="Y102" i="10"/>
  <c r="Y99" i="10"/>
  <c r="Y98" i="10"/>
  <c r="Y97" i="10"/>
  <c r="Y96" i="10"/>
  <c r="Y95" i="10"/>
  <c r="Y92" i="10"/>
  <c r="Y91" i="10"/>
  <c r="Y90" i="10"/>
  <c r="Y89" i="10"/>
  <c r="Y86" i="10"/>
  <c r="Y85" i="10"/>
  <c r="Y82" i="10"/>
  <c r="Y81" i="10"/>
  <c r="Y80" i="10"/>
  <c r="Y79" i="10"/>
  <c r="Y78" i="10"/>
  <c r="Y75" i="10"/>
  <c r="Y72" i="10"/>
  <c r="Y71" i="10"/>
  <c r="Y70" i="10"/>
  <c r="Y67" i="10"/>
  <c r="Y66" i="10"/>
  <c r="Y65" i="10"/>
  <c r="Y64" i="10"/>
  <c r="Y63" i="10"/>
  <c r="Y62" i="10"/>
  <c r="Y61" i="10"/>
  <c r="Y60" i="10"/>
  <c r="Y57" i="10"/>
  <c r="Y56" i="10"/>
  <c r="Y53" i="10"/>
  <c r="Y52" i="10"/>
  <c r="Y51" i="10"/>
  <c r="Y50" i="10"/>
  <c r="Y47" i="10"/>
  <c r="Y46" i="10"/>
  <c r="Y45" i="10"/>
  <c r="Y44" i="10"/>
  <c r="Y41" i="10"/>
  <c r="Y40" i="10"/>
  <c r="Y38" i="10"/>
  <c r="Y37" i="10"/>
  <c r="Y36" i="10"/>
  <c r="Y35" i="10"/>
  <c r="Y34" i="10"/>
  <c r="Y33" i="10"/>
  <c r="Y32" i="10"/>
  <c r="Y31" i="10"/>
  <c r="Y28" i="10"/>
  <c r="Y27" i="10"/>
  <c r="Y26" i="10"/>
  <c r="Y25" i="10"/>
  <c r="Y22" i="10"/>
  <c r="Y21" i="10"/>
  <c r="Y20" i="10"/>
  <c r="Y18" i="10"/>
  <c r="Y17" i="10"/>
  <c r="Y15" i="10"/>
  <c r="Y13" i="10"/>
  <c r="Y12" i="10"/>
  <c r="Y9" i="10"/>
  <c r="Y8" i="10"/>
  <c r="Y7" i="10"/>
  <c r="Y5" i="10"/>
  <c r="Y4" i="10"/>
  <c r="Y3" i="10"/>
  <c r="Y2" i="10"/>
  <c r="AB2" i="10"/>
  <c r="AB218" i="10"/>
  <c r="AB217" i="10"/>
  <c r="AB216" i="10"/>
  <c r="AB215" i="10"/>
  <c r="AB214" i="10"/>
  <c r="AB213" i="10"/>
  <c r="AB212" i="10"/>
  <c r="AB211" i="10"/>
  <c r="AB210" i="10"/>
  <c r="AB209" i="10"/>
  <c r="AB208" i="10"/>
  <c r="AB207" i="10"/>
  <c r="AB206" i="10"/>
  <c r="AB205" i="10"/>
  <c r="AB204" i="10"/>
  <c r="AB203" i="10"/>
  <c r="AB202" i="10"/>
  <c r="AB201" i="10"/>
  <c r="AB200" i="10"/>
  <c r="AB199" i="10"/>
  <c r="AB198" i="10"/>
  <c r="AB197" i="10"/>
  <c r="AB196" i="10"/>
  <c r="AB195" i="10"/>
  <c r="AB194" i="10"/>
  <c r="AB193" i="10"/>
  <c r="AB192" i="10"/>
  <c r="AB191" i="10"/>
  <c r="AB190" i="10"/>
  <c r="AB189" i="10"/>
  <c r="AB188" i="10"/>
  <c r="AB187" i="10"/>
  <c r="AB186" i="10"/>
  <c r="AB185" i="10"/>
  <c r="AB184" i="10"/>
  <c r="AB183" i="10"/>
  <c r="AB182" i="10"/>
  <c r="AB181" i="10"/>
  <c r="AB180" i="10"/>
  <c r="AB179" i="10"/>
  <c r="AB178" i="10"/>
  <c r="AB177" i="10"/>
  <c r="AB176" i="10"/>
  <c r="AB175" i="10"/>
  <c r="AB174" i="10"/>
  <c r="AB173" i="10"/>
  <c r="AB172" i="10"/>
  <c r="AB171" i="10"/>
  <c r="AB170" i="10"/>
  <c r="AB169" i="10"/>
  <c r="AB168" i="10"/>
  <c r="AB167" i="10"/>
  <c r="AB166" i="10"/>
  <c r="AB165" i="10"/>
  <c r="AB164" i="10"/>
  <c r="AB163" i="10"/>
  <c r="AB162" i="10"/>
  <c r="AB161" i="10"/>
  <c r="AB160" i="10"/>
  <c r="AB159" i="10"/>
  <c r="AB154" i="10"/>
  <c r="AB153" i="10"/>
  <c r="AB152" i="10"/>
  <c r="AB151" i="10"/>
  <c r="AB150" i="10"/>
  <c r="AB149" i="10"/>
  <c r="AB148" i="10"/>
  <c r="AB147" i="10"/>
  <c r="AB146" i="10"/>
  <c r="AB145" i="10"/>
  <c r="AB144" i="10"/>
  <c r="AB143" i="10"/>
  <c r="AB142" i="10"/>
  <c r="AB141" i="10"/>
  <c r="AB140" i="10"/>
  <c r="AB137" i="10"/>
  <c r="AB136" i="10"/>
  <c r="AB135" i="10"/>
  <c r="AB132" i="10"/>
  <c r="AB131" i="10"/>
  <c r="AB130" i="10"/>
  <c r="AB127" i="10"/>
  <c r="AB126" i="10"/>
  <c r="AB123" i="10"/>
  <c r="AB120" i="10"/>
  <c r="AB119" i="10"/>
  <c r="AB118" i="10"/>
  <c r="AB116" i="10"/>
  <c r="AB115" i="10"/>
  <c r="AB114" i="10"/>
  <c r="AB111" i="10"/>
  <c r="AB110" i="10"/>
  <c r="AB108" i="10"/>
  <c r="AB107" i="10"/>
  <c r="AB106" i="10"/>
  <c r="AB105" i="10"/>
  <c r="AB102" i="10"/>
  <c r="AB99" i="10"/>
  <c r="AB98" i="10"/>
  <c r="AB97" i="10"/>
  <c r="AB96" i="10"/>
  <c r="AB95" i="10"/>
  <c r="AB92" i="10"/>
  <c r="AB91" i="10"/>
  <c r="AB90" i="10"/>
  <c r="AB89" i="10"/>
  <c r="AB86" i="10"/>
  <c r="AB85" i="10"/>
  <c r="AB82" i="10"/>
  <c r="AB81" i="10"/>
  <c r="AB80" i="10"/>
  <c r="AB79" i="10"/>
  <c r="AB78" i="10"/>
  <c r="AB75" i="10"/>
  <c r="AB72" i="10"/>
  <c r="AB71" i="10"/>
  <c r="AB70" i="10"/>
  <c r="AB67" i="10"/>
  <c r="AB66" i="10"/>
  <c r="AB65" i="10"/>
  <c r="AB64" i="10"/>
  <c r="AB63" i="10"/>
  <c r="AB62" i="10"/>
  <c r="AB61" i="10"/>
  <c r="AB60" i="10"/>
  <c r="AB57" i="10"/>
  <c r="AB56" i="10"/>
  <c r="AB53" i="10"/>
  <c r="AB52" i="10"/>
  <c r="AB51" i="10"/>
  <c r="AB50" i="10"/>
  <c r="AB47" i="10"/>
  <c r="AB46" i="10"/>
  <c r="AB45" i="10"/>
  <c r="AB44" i="10"/>
  <c r="AB41" i="10"/>
  <c r="AB40" i="10"/>
  <c r="AB38" i="10"/>
  <c r="AB37" i="10"/>
  <c r="AB36" i="10"/>
  <c r="AB35" i="10"/>
  <c r="AB34" i="10"/>
  <c r="AB33" i="10"/>
  <c r="AB32" i="10"/>
  <c r="AB31" i="10"/>
  <c r="AB28" i="10"/>
  <c r="AB27" i="10"/>
  <c r="AB26" i="10"/>
  <c r="AB25" i="10"/>
  <c r="AB22" i="10"/>
  <c r="AB21" i="10"/>
  <c r="AB20" i="10"/>
  <c r="AB18" i="10"/>
  <c r="AB17" i="10"/>
  <c r="AB16" i="10"/>
  <c r="AB15" i="10"/>
  <c r="AB13" i="10"/>
  <c r="AB12" i="10"/>
  <c r="AB9" i="10"/>
  <c r="AB8" i="10"/>
  <c r="AB7" i="10"/>
  <c r="AB5" i="10"/>
  <c r="AB4" i="10"/>
  <c r="AB3" i="10"/>
  <c r="AE206" i="10"/>
  <c r="AE205" i="10"/>
  <c r="AE204" i="10"/>
  <c r="AE203" i="10"/>
  <c r="AE202" i="10"/>
  <c r="AE201" i="10"/>
  <c r="AE200" i="10"/>
  <c r="AE199" i="10"/>
  <c r="AE198" i="10"/>
  <c r="AE197" i="10"/>
  <c r="AE196" i="10"/>
  <c r="AE195" i="10"/>
  <c r="AE194" i="10"/>
  <c r="AE193" i="10"/>
  <c r="AE192" i="10"/>
  <c r="AE191" i="10"/>
  <c r="AE190" i="10"/>
  <c r="AE189" i="10"/>
  <c r="AE188" i="10"/>
  <c r="AE187" i="10"/>
  <c r="AE186" i="10"/>
  <c r="AE185" i="10"/>
  <c r="AE184" i="10"/>
  <c r="AE183" i="10"/>
  <c r="AE182" i="10"/>
  <c r="AE181" i="10"/>
  <c r="AE180" i="10"/>
  <c r="AE179" i="10"/>
  <c r="AE178" i="10"/>
  <c r="AE177" i="10"/>
  <c r="AE176" i="10"/>
  <c r="AE175" i="10"/>
  <c r="AE174" i="10"/>
  <c r="AE173" i="10"/>
  <c r="AE172" i="10"/>
  <c r="AE171" i="10"/>
  <c r="AE170" i="10"/>
  <c r="AE169" i="10"/>
  <c r="AE168" i="10"/>
  <c r="AE167" i="10"/>
  <c r="AE166" i="10"/>
  <c r="AE165" i="10"/>
  <c r="AE164" i="10"/>
  <c r="AE163" i="10"/>
  <c r="AE162" i="10"/>
  <c r="AE161" i="10"/>
  <c r="AE160" i="10"/>
  <c r="AE154" i="10"/>
  <c r="AE153" i="10"/>
  <c r="AE152" i="10"/>
  <c r="AE151" i="10"/>
  <c r="AE150" i="10"/>
  <c r="AE149" i="10"/>
  <c r="AE148" i="10"/>
  <c r="AE147" i="10"/>
  <c r="AE146" i="10"/>
  <c r="AE145" i="10"/>
  <c r="AE144" i="10"/>
  <c r="AE143" i="10"/>
  <c r="AE142" i="10"/>
  <c r="AE141" i="10"/>
  <c r="AE140" i="10"/>
  <c r="AE138" i="10"/>
  <c r="AE137" i="10"/>
  <c r="AE136" i="10"/>
  <c r="AE135" i="10"/>
  <c r="AE132" i="10"/>
  <c r="AE131" i="10"/>
  <c r="AE130" i="10"/>
  <c r="AE127" i="10"/>
  <c r="AE126" i="10"/>
  <c r="AE123" i="10"/>
  <c r="AE120" i="10"/>
  <c r="AE119" i="10"/>
  <c r="AE118" i="10"/>
  <c r="AE116" i="10"/>
  <c r="AE115" i="10"/>
  <c r="AE114" i="10"/>
  <c r="AE111" i="10"/>
  <c r="AE110" i="10"/>
  <c r="AE108" i="10"/>
  <c r="AE107" i="10"/>
  <c r="AE106" i="10"/>
  <c r="AE105" i="10"/>
  <c r="AE102" i="10"/>
  <c r="AE99" i="10"/>
  <c r="AE98" i="10"/>
  <c r="AE97" i="10"/>
  <c r="AE96" i="10"/>
  <c r="AE95" i="10"/>
  <c r="AE92" i="10"/>
  <c r="AE91" i="10"/>
  <c r="AE90" i="10"/>
  <c r="AE89" i="10"/>
  <c r="AE86" i="10"/>
  <c r="AE85" i="10"/>
  <c r="AE82" i="10"/>
  <c r="AE81" i="10"/>
  <c r="AE80" i="10"/>
  <c r="AE79" i="10"/>
  <c r="AE78" i="10"/>
  <c r="AE75" i="10"/>
  <c r="AE72" i="10"/>
  <c r="AE71" i="10"/>
  <c r="AE70" i="10"/>
  <c r="AE67" i="10"/>
  <c r="AE66" i="10"/>
  <c r="AE65" i="10"/>
  <c r="AE64" i="10"/>
  <c r="AE63" i="10"/>
  <c r="AE62" i="10"/>
  <c r="AE61" i="10"/>
  <c r="AE60" i="10"/>
  <c r="AE57" i="10"/>
  <c r="AE56" i="10"/>
  <c r="AE53" i="10"/>
  <c r="AE52" i="10"/>
  <c r="AE51" i="10"/>
  <c r="AE50" i="10"/>
  <c r="AE47" i="10"/>
  <c r="AE46" i="10"/>
  <c r="AE45" i="10"/>
  <c r="AE44" i="10"/>
  <c r="AE41" i="10"/>
  <c r="AE40" i="10"/>
  <c r="AE38" i="10"/>
  <c r="AE37" i="10"/>
  <c r="AE36" i="10"/>
  <c r="AE35" i="10"/>
  <c r="AE34" i="10"/>
  <c r="AE33" i="10"/>
  <c r="AE32" i="10"/>
  <c r="AE31" i="10"/>
  <c r="AE28" i="10"/>
  <c r="AE27" i="10"/>
  <c r="AE26" i="10"/>
  <c r="AE25" i="10"/>
  <c r="AE22" i="10"/>
  <c r="AE21" i="10"/>
  <c r="AE20" i="10"/>
  <c r="AE18" i="10"/>
  <c r="AE17" i="10"/>
  <c r="AE15" i="10"/>
  <c r="AE13" i="10"/>
  <c r="AE12" i="10"/>
  <c r="AE9" i="10"/>
  <c r="AE8" i="10"/>
  <c r="AE7" i="10"/>
  <c r="AE5" i="10"/>
  <c r="AE4" i="10"/>
  <c r="AE3" i="10"/>
  <c r="AE2" i="10"/>
  <c r="J155" i="10"/>
  <c r="J154" i="10"/>
  <c r="J153" i="10"/>
  <c r="J152" i="10"/>
  <c r="J151" i="10"/>
  <c r="J150" i="10"/>
  <c r="J149" i="10"/>
  <c r="J148" i="10"/>
  <c r="J147" i="10"/>
  <c r="J146" i="10"/>
  <c r="J145" i="10"/>
  <c r="J144" i="10"/>
  <c r="J143" i="10"/>
  <c r="J142" i="10"/>
  <c r="J141" i="10"/>
  <c r="J140" i="10"/>
  <c r="H139" i="10"/>
  <c r="Y139" i="10"/>
  <c r="H138" i="10"/>
  <c r="Y138" i="10"/>
  <c r="J137" i="10"/>
  <c r="J136" i="10"/>
  <c r="J135" i="10"/>
  <c r="H134" i="10"/>
  <c r="H133" i="10"/>
  <c r="Y133" i="10"/>
  <c r="J132" i="10"/>
  <c r="J131" i="10"/>
  <c r="J130" i="10"/>
  <c r="H129" i="10"/>
  <c r="Y129" i="10"/>
  <c r="H128" i="10"/>
  <c r="M128" i="10"/>
  <c r="J127" i="10"/>
  <c r="J126" i="10"/>
  <c r="H125" i="10"/>
  <c r="J125" i="10" s="1"/>
  <c r="Y125" i="10"/>
  <c r="H124" i="10"/>
  <c r="M124" i="10"/>
  <c r="J123" i="10"/>
  <c r="H122" i="10"/>
  <c r="Y122" i="10"/>
  <c r="H121" i="10"/>
  <c r="J120" i="10"/>
  <c r="J119" i="10"/>
  <c r="J118" i="10"/>
  <c r="M117" i="10"/>
  <c r="J116" i="10"/>
  <c r="J115" i="10"/>
  <c r="J114" i="10"/>
  <c r="H113" i="10"/>
  <c r="J113" i="10" s="1"/>
  <c r="P113" i="10"/>
  <c r="H112" i="10"/>
  <c r="M112" i="10"/>
  <c r="J111" i="10"/>
  <c r="J110" i="10"/>
  <c r="Y109" i="10"/>
  <c r="J108" i="10"/>
  <c r="J107" i="10"/>
  <c r="J106" i="10"/>
  <c r="J105" i="10"/>
  <c r="J102" i="10"/>
  <c r="T101" i="10"/>
  <c r="H101" i="10"/>
  <c r="AB101" i="10"/>
  <c r="T100" i="10"/>
  <c r="H100" i="10"/>
  <c r="P100" i="10"/>
  <c r="J99" i="10"/>
  <c r="J98" i="10"/>
  <c r="J97" i="10"/>
  <c r="J96" i="10"/>
  <c r="J95" i="10"/>
  <c r="P94" i="10"/>
  <c r="T93" i="10"/>
  <c r="M93" i="10"/>
  <c r="T91" i="10"/>
  <c r="V91" i="10" s="1"/>
  <c r="J90" i="10"/>
  <c r="J89" i="10"/>
  <c r="Q88" i="10"/>
  <c r="Q87" i="10"/>
  <c r="AE87" i="10"/>
  <c r="P84" i="10"/>
  <c r="Z83" i="10"/>
  <c r="AB83" i="10" s="1"/>
  <c r="N83" i="10"/>
  <c r="J80" i="10"/>
  <c r="I79" i="10"/>
  <c r="J79" i="10" s="1"/>
  <c r="J78" i="10"/>
  <c r="J75" i="10"/>
  <c r="T74" i="10"/>
  <c r="N74" i="10"/>
  <c r="T73" i="10"/>
  <c r="N73" i="10"/>
  <c r="Y73" i="10"/>
  <c r="J71" i="10"/>
  <c r="J70" i="10"/>
  <c r="AC69" i="10"/>
  <c r="AE69" i="10" s="1"/>
  <c r="Z69" i="10"/>
  <c r="W69" i="10"/>
  <c r="T69" i="10"/>
  <c r="Q69" i="10"/>
  <c r="N69" i="10"/>
  <c r="K69" i="10"/>
  <c r="H69" i="10"/>
  <c r="AC68" i="10"/>
  <c r="Z68" i="10"/>
  <c r="AB68" i="10" s="1"/>
  <c r="W68" i="10"/>
  <c r="T68" i="10"/>
  <c r="V68" i="10" s="1"/>
  <c r="Q68" i="10"/>
  <c r="N68" i="10"/>
  <c r="K68" i="10"/>
  <c r="H68" i="10"/>
  <c r="AE68" i="10"/>
  <c r="J67" i="10"/>
  <c r="J66" i="10"/>
  <c r="J65" i="10"/>
  <c r="J64" i="10"/>
  <c r="J63" i="10"/>
  <c r="J62" i="10"/>
  <c r="J61" i="10"/>
  <c r="J60" i="10"/>
  <c r="AC59" i="10"/>
  <c r="Z59" i="10"/>
  <c r="W59" i="10"/>
  <c r="T59" i="10"/>
  <c r="Q59" i="10"/>
  <c r="N59" i="10"/>
  <c r="K59" i="10"/>
  <c r="H59" i="10"/>
  <c r="AC58" i="10"/>
  <c r="Z58" i="10"/>
  <c r="W58" i="10"/>
  <c r="T58" i="10"/>
  <c r="Q58" i="10"/>
  <c r="N58" i="10"/>
  <c r="K58" i="10"/>
  <c r="H58" i="10"/>
  <c r="J57" i="10"/>
  <c r="J56" i="10"/>
  <c r="J53" i="10"/>
  <c r="J52" i="10"/>
  <c r="J51" i="10"/>
  <c r="J50" i="10"/>
  <c r="AC49" i="10"/>
  <c r="W49" i="10"/>
  <c r="Q49" i="10"/>
  <c r="K49" i="10"/>
  <c r="P49" i="10"/>
  <c r="AC48" i="10"/>
  <c r="W48" i="10"/>
  <c r="Q48" i="10"/>
  <c r="K48" i="10"/>
  <c r="J46" i="10"/>
  <c r="J45" i="10"/>
  <c r="J44" i="10"/>
  <c r="AC43" i="10"/>
  <c r="Z43" i="10"/>
  <c r="W43" i="10"/>
  <c r="T43" i="10"/>
  <c r="Q43" i="10"/>
  <c r="N43" i="10"/>
  <c r="K43" i="10"/>
  <c r="H43" i="10"/>
  <c r="H42" i="10"/>
  <c r="AB42" i="10"/>
  <c r="J41" i="10"/>
  <c r="J40" i="10"/>
  <c r="AC39" i="10"/>
  <c r="Z39" i="10"/>
  <c r="W39" i="10"/>
  <c r="Y39" i="10" s="1"/>
  <c r="T39" i="10"/>
  <c r="Q39" i="10"/>
  <c r="N39" i="10"/>
  <c r="K39" i="10"/>
  <c r="H39" i="10"/>
  <c r="J38" i="10"/>
  <c r="J37" i="10"/>
  <c r="J36" i="10"/>
  <c r="J35" i="10"/>
  <c r="J34" i="10"/>
  <c r="J33" i="10"/>
  <c r="J32" i="10"/>
  <c r="J31" i="10"/>
  <c r="H30" i="10"/>
  <c r="H29" i="10"/>
  <c r="J28" i="10"/>
  <c r="J27" i="10"/>
  <c r="J26" i="10"/>
  <c r="J25" i="10"/>
  <c r="H24" i="10"/>
  <c r="H23" i="10"/>
  <c r="Y23" i="10"/>
  <c r="J22" i="10"/>
  <c r="J21" i="10"/>
  <c r="J20" i="10"/>
  <c r="H19" i="10"/>
  <c r="J18" i="10"/>
  <c r="J17" i="10"/>
  <c r="H16" i="10"/>
  <c r="J15" i="10"/>
  <c r="H14" i="10"/>
  <c r="Y14" i="10"/>
  <c r="J13" i="10"/>
  <c r="J12" i="10"/>
  <c r="H11" i="10"/>
  <c r="S11" i="10"/>
  <c r="H10" i="10"/>
  <c r="M10" i="10"/>
  <c r="J9" i="10"/>
  <c r="J8" i="10"/>
  <c r="J7" i="10"/>
  <c r="M6" i="10"/>
  <c r="J5" i="10"/>
  <c r="J4" i="10"/>
  <c r="J3" i="10"/>
  <c r="M2" i="10"/>
  <c r="J2" i="10"/>
  <c r="AF310" i="10"/>
  <c r="AG310" i="10" s="1"/>
  <c r="AF309" i="10"/>
  <c r="AG309" i="10" s="1"/>
  <c r="AF308" i="10"/>
  <c r="AG308" i="10" s="1"/>
  <c r="AF307" i="10"/>
  <c r="AG307" i="10" s="1"/>
  <c r="AF306" i="10"/>
  <c r="AG306" i="10" s="1"/>
  <c r="AF305" i="10"/>
  <c r="AG305" i="10" s="1"/>
  <c r="AF304" i="10"/>
  <c r="AG304" i="10" s="1"/>
  <c r="AF303" i="10"/>
  <c r="AG303" i="10" s="1"/>
  <c r="AF302" i="10"/>
  <c r="AG302" i="10" s="1"/>
  <c r="AF301" i="10"/>
  <c r="AG301" i="10" s="1"/>
  <c r="AF300" i="10"/>
  <c r="AG300" i="10" s="1"/>
  <c r="AF299" i="10"/>
  <c r="AG299" i="10" s="1"/>
  <c r="AF298" i="10"/>
  <c r="AG298" i="10" s="1"/>
  <c r="AF297" i="10"/>
  <c r="AG297" i="10" s="1"/>
  <c r="AF296" i="10"/>
  <c r="AG296" i="10" s="1"/>
  <c r="AF295" i="10"/>
  <c r="AG295" i="10" s="1"/>
  <c r="AF294" i="10"/>
  <c r="AG294" i="10" s="1"/>
  <c r="AF293" i="10"/>
  <c r="AG293" i="10" s="1"/>
  <c r="AF292" i="10"/>
  <c r="AG292" i="10" s="1"/>
  <c r="AF291" i="10"/>
  <c r="AG291" i="10" s="1"/>
  <c r="AF290" i="10"/>
  <c r="AG290" i="10" s="1"/>
  <c r="AF289" i="10"/>
  <c r="AG289" i="10" s="1"/>
  <c r="AF288" i="10"/>
  <c r="AG288" i="10" s="1"/>
  <c r="AF287" i="10"/>
  <c r="AG287" i="10" s="1"/>
  <c r="AF286" i="10"/>
  <c r="AG286" i="10" s="1"/>
  <c r="AF285" i="10"/>
  <c r="AG285" i="10" s="1"/>
  <c r="AF284" i="10"/>
  <c r="AG284" i="10" s="1"/>
  <c r="AF283" i="10"/>
  <c r="AG283" i="10" s="1"/>
  <c r="AF282" i="10"/>
  <c r="AG282" i="10" s="1"/>
  <c r="AF281" i="10"/>
  <c r="AG281" i="10" s="1"/>
  <c r="AF279" i="10"/>
  <c r="AG279" i="10" s="1"/>
  <c r="AF251" i="10"/>
  <c r="AG251" i="10" s="1"/>
  <c r="AF247" i="10"/>
  <c r="AG247" i="10" s="1"/>
  <c r="AF239" i="10"/>
  <c r="AG239" i="10" s="1"/>
  <c r="AF237" i="10"/>
  <c r="AG237" i="10" s="1"/>
  <c r="AF235" i="10"/>
  <c r="AG235" i="10" s="1"/>
  <c r="AF200" i="4"/>
  <c r="AG200" i="4" s="1"/>
  <c r="AF199" i="4"/>
  <c r="AG199" i="4" s="1"/>
  <c r="AF198" i="4"/>
  <c r="AG198" i="4" s="1"/>
  <c r="AF197" i="4"/>
  <c r="AG197" i="4" s="1"/>
  <c r="AF188" i="4"/>
  <c r="AG188" i="4" s="1"/>
  <c r="AF187" i="4"/>
  <c r="AG187" i="4" s="1"/>
  <c r="AF183" i="4"/>
  <c r="AG183" i="4" s="1"/>
  <c r="AF165" i="4"/>
  <c r="AG165" i="4" s="1"/>
  <c r="AF164" i="4"/>
  <c r="AG164" i="4" s="1"/>
  <c r="AF121" i="4"/>
  <c r="AG121" i="4" s="1"/>
  <c r="AF120" i="4"/>
  <c r="AG120" i="4" s="1"/>
  <c r="AF112" i="4"/>
  <c r="AG112" i="4" s="1"/>
  <c r="AF111" i="4"/>
  <c r="AG111" i="4" s="1"/>
  <c r="AF104" i="4"/>
  <c r="AG104" i="4" s="1"/>
  <c r="AF103" i="4"/>
  <c r="AG103" i="4" s="1"/>
  <c r="AF102" i="4"/>
  <c r="AG102" i="4" s="1"/>
  <c r="AF101" i="4"/>
  <c r="AG101" i="4" s="1"/>
  <c r="AF70" i="4"/>
  <c r="AG70" i="4" s="1"/>
  <c r="AF69" i="4"/>
  <c r="AG69" i="4" s="1"/>
  <c r="AF68" i="4"/>
  <c r="AG68" i="4" s="1"/>
  <c r="AF67" i="4"/>
  <c r="AG67" i="4" s="1"/>
  <c r="Y196" i="4"/>
  <c r="V196" i="4"/>
  <c r="Y195" i="4"/>
  <c r="V195" i="4"/>
  <c r="AE191" i="4"/>
  <c r="AB191" i="4"/>
  <c r="Y191" i="4"/>
  <c r="V191" i="4"/>
  <c r="S191" i="4"/>
  <c r="P191" i="4"/>
  <c r="M191" i="4"/>
  <c r="J191" i="4"/>
  <c r="AE190" i="4"/>
  <c r="AB190" i="4"/>
  <c r="Y190" i="4"/>
  <c r="V190" i="4"/>
  <c r="S190" i="4"/>
  <c r="P190" i="4"/>
  <c r="M190" i="4"/>
  <c r="J190" i="4"/>
  <c r="AE189" i="4"/>
  <c r="AB189" i="4"/>
  <c r="Y189" i="4"/>
  <c r="V189" i="4"/>
  <c r="S189" i="4"/>
  <c r="P189" i="4"/>
  <c r="M189" i="4"/>
  <c r="J189" i="4"/>
  <c r="AE186" i="4"/>
  <c r="AB186" i="4"/>
  <c r="Y186" i="4"/>
  <c r="J186" i="4"/>
  <c r="AE185" i="4"/>
  <c r="AB185" i="4"/>
  <c r="Y185" i="4"/>
  <c r="V185" i="4"/>
  <c r="S185" i="4"/>
  <c r="P185" i="4"/>
  <c r="M185" i="4"/>
  <c r="J185" i="4"/>
  <c r="AB184" i="4"/>
  <c r="AE182" i="4"/>
  <c r="AB182" i="4"/>
  <c r="Y182" i="4"/>
  <c r="J182" i="4"/>
  <c r="AE181" i="4"/>
  <c r="AB181" i="4"/>
  <c r="Y181" i="4"/>
  <c r="V181" i="4"/>
  <c r="S181" i="4"/>
  <c r="P181" i="4"/>
  <c r="M181" i="4"/>
  <c r="J181" i="4"/>
  <c r="AE180" i="4"/>
  <c r="AB180" i="4"/>
  <c r="Y180" i="4"/>
  <c r="V180" i="4"/>
  <c r="S180" i="4"/>
  <c r="P180" i="4"/>
  <c r="M180" i="4"/>
  <c r="J180" i="4"/>
  <c r="AC179" i="4"/>
  <c r="Q179" i="4"/>
  <c r="H179" i="4"/>
  <c r="AC178" i="4"/>
  <c r="Q178" i="4"/>
  <c r="P178" i="4"/>
  <c r="M178" i="4"/>
  <c r="H178" i="4"/>
  <c r="AB178" i="4"/>
  <c r="AE177" i="4"/>
  <c r="AB177" i="4"/>
  <c r="Y177" i="4"/>
  <c r="V177" i="4"/>
  <c r="S177" i="4"/>
  <c r="P177" i="4"/>
  <c r="M177" i="4"/>
  <c r="J177" i="4"/>
  <c r="AE176" i="4"/>
  <c r="AB176" i="4"/>
  <c r="Y176" i="4"/>
  <c r="V176" i="4"/>
  <c r="S176" i="4"/>
  <c r="P176" i="4"/>
  <c r="M176" i="4"/>
  <c r="J176" i="4"/>
  <c r="AE175" i="4"/>
  <c r="AB175" i="4"/>
  <c r="Y175" i="4"/>
  <c r="V175" i="4"/>
  <c r="S175" i="4"/>
  <c r="P175" i="4"/>
  <c r="M175" i="4"/>
  <c r="J175" i="4"/>
  <c r="AE174" i="4"/>
  <c r="AB174" i="4"/>
  <c r="Y174" i="4"/>
  <c r="V174" i="4"/>
  <c r="S174" i="4"/>
  <c r="P174" i="4"/>
  <c r="M174" i="4"/>
  <c r="J174" i="4"/>
  <c r="AE172" i="4"/>
  <c r="AB172" i="4"/>
  <c r="Y172" i="4"/>
  <c r="V172" i="4"/>
  <c r="S172" i="4"/>
  <c r="P172" i="4"/>
  <c r="M172" i="4"/>
  <c r="J172" i="4"/>
  <c r="AE171" i="4"/>
  <c r="AB171" i="4"/>
  <c r="Y171" i="4"/>
  <c r="V171" i="4"/>
  <c r="S171" i="4"/>
  <c r="P171" i="4"/>
  <c r="M171" i="4"/>
  <c r="J171" i="4"/>
  <c r="AB170" i="4"/>
  <c r="Y170" i="4"/>
  <c r="S170" i="4"/>
  <c r="AB169" i="4"/>
  <c r="AE168" i="4"/>
  <c r="AB168" i="4"/>
  <c r="Y168" i="4"/>
  <c r="V168" i="4"/>
  <c r="S168" i="4"/>
  <c r="P168" i="4"/>
  <c r="M168" i="4"/>
  <c r="J168" i="4"/>
  <c r="AE167" i="4"/>
  <c r="AB167" i="4"/>
  <c r="Y167" i="4"/>
  <c r="V167" i="4"/>
  <c r="S167" i="4"/>
  <c r="P167" i="4"/>
  <c r="M167" i="4"/>
  <c r="J167" i="4"/>
  <c r="AE166" i="4"/>
  <c r="AB166" i="4"/>
  <c r="Y166" i="4"/>
  <c r="V166" i="4"/>
  <c r="S166" i="4"/>
  <c r="P166" i="4"/>
  <c r="M166" i="4"/>
  <c r="J166" i="4"/>
  <c r="AC165" i="4"/>
  <c r="Q165" i="4"/>
  <c r="H165" i="4"/>
  <c r="AC164" i="4"/>
  <c r="Q164" i="4"/>
  <c r="H164" i="4"/>
  <c r="J163" i="4"/>
  <c r="AF163" i="4" s="1"/>
  <c r="AG163" i="4" s="1"/>
  <c r="AE162" i="4"/>
  <c r="AB162" i="4"/>
  <c r="Y162" i="4"/>
  <c r="V162" i="4"/>
  <c r="S162" i="4"/>
  <c r="P162" i="4"/>
  <c r="M162" i="4"/>
  <c r="J162" i="4"/>
  <c r="AE161" i="4"/>
  <c r="AB161" i="4"/>
  <c r="Y161" i="4"/>
  <c r="V161" i="4"/>
  <c r="S161" i="4"/>
  <c r="P161" i="4"/>
  <c r="M161" i="4"/>
  <c r="J161" i="4"/>
  <c r="AE160" i="4"/>
  <c r="AB160" i="4"/>
  <c r="Y160" i="4"/>
  <c r="V160" i="4"/>
  <c r="S160" i="4"/>
  <c r="P160" i="4"/>
  <c r="M160" i="4"/>
  <c r="J160" i="4"/>
  <c r="Y159" i="4"/>
  <c r="AE159" i="4"/>
  <c r="AE158" i="4"/>
  <c r="AB158" i="4"/>
  <c r="Y158" i="4"/>
  <c r="V158" i="4"/>
  <c r="S158" i="4"/>
  <c r="P158" i="4"/>
  <c r="M158" i="4"/>
  <c r="J158" i="4"/>
  <c r="AE157" i="4"/>
  <c r="AB157" i="4"/>
  <c r="Y157" i="4"/>
  <c r="V157" i="4"/>
  <c r="S157" i="4"/>
  <c r="P157" i="4"/>
  <c r="M157" i="4"/>
  <c r="J157" i="4"/>
  <c r="AE156" i="4"/>
  <c r="AB156" i="4"/>
  <c r="Y156" i="4"/>
  <c r="V156" i="4"/>
  <c r="S156" i="4"/>
  <c r="P156" i="4"/>
  <c r="M156" i="4"/>
  <c r="J156" i="4"/>
  <c r="AE155" i="4"/>
  <c r="AB155" i="4"/>
  <c r="Y155" i="4"/>
  <c r="V155" i="4"/>
  <c r="S155" i="4"/>
  <c r="P155" i="4"/>
  <c r="M155" i="4"/>
  <c r="J155" i="4"/>
  <c r="Z152" i="4"/>
  <c r="S152" i="4"/>
  <c r="N152" i="4"/>
  <c r="P152" i="4" s="1"/>
  <c r="H152" i="4"/>
  <c r="J152" i="4" s="1"/>
  <c r="AE152" i="4"/>
  <c r="Z151" i="4"/>
  <c r="S151" i="4"/>
  <c r="N151" i="4"/>
  <c r="H151" i="4"/>
  <c r="J151" i="4" s="1"/>
  <c r="Y151" i="4"/>
  <c r="AE150" i="4"/>
  <c r="AB150" i="4"/>
  <c r="Y150" i="4"/>
  <c r="V150" i="4"/>
  <c r="S150" i="4"/>
  <c r="P150" i="4"/>
  <c r="M150" i="4"/>
  <c r="J150" i="4"/>
  <c r="AE149" i="4"/>
  <c r="AB149" i="4"/>
  <c r="Y149" i="4"/>
  <c r="V149" i="4"/>
  <c r="S149" i="4"/>
  <c r="P149" i="4"/>
  <c r="M149" i="4"/>
  <c r="J149" i="4"/>
  <c r="AE148" i="4"/>
  <c r="AB148" i="4"/>
  <c r="Y148" i="4"/>
  <c r="V148" i="4"/>
  <c r="S148" i="4"/>
  <c r="P148" i="4"/>
  <c r="M148" i="4"/>
  <c r="J148" i="4"/>
  <c r="AB147" i="4"/>
  <c r="V147" i="4"/>
  <c r="P147" i="4"/>
  <c r="M147" i="4"/>
  <c r="J147" i="4"/>
  <c r="AE147" i="4"/>
  <c r="Z146" i="4"/>
  <c r="AB146" i="4" s="1"/>
  <c r="S146" i="4"/>
  <c r="P146" i="4"/>
  <c r="N146" i="4"/>
  <c r="M146" i="4"/>
  <c r="H146" i="4"/>
  <c r="J146" i="4" s="1"/>
  <c r="Y146" i="4"/>
  <c r="AE145" i="4"/>
  <c r="AB145" i="4"/>
  <c r="Y145" i="4"/>
  <c r="V145" i="4"/>
  <c r="S145" i="4"/>
  <c r="P145" i="4"/>
  <c r="M145" i="4"/>
  <c r="J145" i="4"/>
  <c r="AE144" i="4"/>
  <c r="AB144" i="4"/>
  <c r="Y144" i="4"/>
  <c r="V144" i="4"/>
  <c r="S144" i="4"/>
  <c r="P144" i="4"/>
  <c r="M144" i="4"/>
  <c r="J144" i="4"/>
  <c r="AE143" i="4"/>
  <c r="AB143" i="4"/>
  <c r="Y143" i="4"/>
  <c r="V143" i="4"/>
  <c r="S143" i="4"/>
  <c r="P143" i="4"/>
  <c r="M143" i="4"/>
  <c r="J143" i="4"/>
  <c r="AE142" i="4"/>
  <c r="AB142" i="4"/>
  <c r="Y142" i="4"/>
  <c r="V142" i="4"/>
  <c r="S142" i="4"/>
  <c r="P142" i="4"/>
  <c r="M142" i="4"/>
  <c r="J142" i="4"/>
  <c r="AB141" i="4"/>
  <c r="Z140" i="4"/>
  <c r="N140" i="4"/>
  <c r="M140" i="4"/>
  <c r="H140" i="4"/>
  <c r="AE140" i="4"/>
  <c r="AE139" i="4"/>
  <c r="AB139" i="4"/>
  <c r="Y139" i="4"/>
  <c r="V139" i="4"/>
  <c r="S139" i="4"/>
  <c r="P139" i="4"/>
  <c r="M139" i="4"/>
  <c r="J139" i="4"/>
  <c r="AE138" i="4"/>
  <c r="AB138" i="4"/>
  <c r="Y138" i="4"/>
  <c r="V138" i="4"/>
  <c r="S138" i="4"/>
  <c r="P138" i="4"/>
  <c r="M138" i="4"/>
  <c r="J138" i="4"/>
  <c r="Z137" i="4"/>
  <c r="N137" i="4"/>
  <c r="H137" i="4"/>
  <c r="V137" i="4"/>
  <c r="AE136" i="4"/>
  <c r="Z136" i="4"/>
  <c r="N136" i="4"/>
  <c r="H136" i="4"/>
  <c r="AE135" i="4"/>
  <c r="AB135" i="4"/>
  <c r="Y135" i="4"/>
  <c r="V135" i="4"/>
  <c r="S135" i="4"/>
  <c r="P135" i="4"/>
  <c r="M135" i="4"/>
  <c r="J135" i="4"/>
  <c r="AE134" i="4"/>
  <c r="AB134" i="4"/>
  <c r="Y134" i="4"/>
  <c r="V134" i="4"/>
  <c r="S134" i="4"/>
  <c r="P134" i="4"/>
  <c r="M134" i="4"/>
  <c r="J134" i="4"/>
  <c r="AE133" i="4"/>
  <c r="AB133" i="4"/>
  <c r="Y133" i="4"/>
  <c r="V133" i="4"/>
  <c r="S133" i="4"/>
  <c r="P133" i="4"/>
  <c r="M133" i="4"/>
  <c r="J133" i="4"/>
  <c r="AE132" i="4"/>
  <c r="AB132" i="4"/>
  <c r="Y132" i="4"/>
  <c r="V132" i="4"/>
  <c r="S132" i="4"/>
  <c r="P132" i="4"/>
  <c r="M132" i="4"/>
  <c r="J132" i="4"/>
  <c r="AB131" i="4"/>
  <c r="V131" i="4"/>
  <c r="S131" i="4"/>
  <c r="P131" i="4"/>
  <c r="J131" i="4"/>
  <c r="M131" i="4"/>
  <c r="AE129" i="4"/>
  <c r="AB129" i="4"/>
  <c r="Y129" i="4"/>
  <c r="V129" i="4"/>
  <c r="S129" i="4"/>
  <c r="P129" i="4"/>
  <c r="M129" i="4"/>
  <c r="J129" i="4"/>
  <c r="Y128" i="4"/>
  <c r="AE127" i="4"/>
  <c r="AB127" i="4"/>
  <c r="Y127" i="4"/>
  <c r="V127" i="4"/>
  <c r="S127" i="4"/>
  <c r="P127" i="4"/>
  <c r="M127" i="4"/>
  <c r="J127" i="4"/>
  <c r="AE126" i="4"/>
  <c r="AB126" i="4"/>
  <c r="Y126" i="4"/>
  <c r="V126" i="4"/>
  <c r="S126" i="4"/>
  <c r="P126" i="4"/>
  <c r="M126" i="4"/>
  <c r="J126" i="4"/>
  <c r="AE125" i="4"/>
  <c r="AB125" i="4"/>
  <c r="Y125" i="4"/>
  <c r="V125" i="4"/>
  <c r="S125" i="4"/>
  <c r="P125" i="4"/>
  <c r="M125" i="4"/>
  <c r="J125" i="4"/>
  <c r="AE124" i="4"/>
  <c r="AB124" i="4"/>
  <c r="Y124" i="4"/>
  <c r="V124" i="4"/>
  <c r="S124" i="4"/>
  <c r="P124" i="4"/>
  <c r="M124" i="4"/>
  <c r="J124" i="4"/>
  <c r="AE123" i="4"/>
  <c r="AB123" i="4"/>
  <c r="Y123" i="4"/>
  <c r="V123" i="4"/>
  <c r="S123" i="4"/>
  <c r="P123" i="4"/>
  <c r="M123" i="4"/>
  <c r="J123" i="4"/>
  <c r="AE122" i="4"/>
  <c r="AB122" i="4"/>
  <c r="Y122" i="4"/>
  <c r="V122" i="4"/>
  <c r="S122" i="4"/>
  <c r="P122" i="4"/>
  <c r="M122" i="4"/>
  <c r="J122" i="4"/>
  <c r="T121" i="4"/>
  <c r="K121" i="4"/>
  <c r="H121" i="4"/>
  <c r="T120" i="4"/>
  <c r="K120" i="4"/>
  <c r="H120" i="4"/>
  <c r="J119" i="4"/>
  <c r="AF119" i="4" s="1"/>
  <c r="AG119" i="4" s="1"/>
  <c r="AE118" i="4"/>
  <c r="AB118" i="4"/>
  <c r="Y118" i="4"/>
  <c r="V118" i="4"/>
  <c r="S118" i="4"/>
  <c r="P118" i="4"/>
  <c r="M118" i="4"/>
  <c r="J118" i="4"/>
  <c r="AE117" i="4"/>
  <c r="AB117" i="4"/>
  <c r="Y117" i="4"/>
  <c r="V117" i="4"/>
  <c r="S117" i="4"/>
  <c r="P117" i="4"/>
  <c r="M117" i="4"/>
  <c r="J117" i="4"/>
  <c r="AE116" i="4"/>
  <c r="AB116" i="4"/>
  <c r="Y116" i="4"/>
  <c r="V116" i="4"/>
  <c r="S116" i="4"/>
  <c r="P116" i="4"/>
  <c r="M116" i="4"/>
  <c r="J116" i="4"/>
  <c r="AE115" i="4"/>
  <c r="AB115" i="4"/>
  <c r="Y115" i="4"/>
  <c r="V115" i="4"/>
  <c r="S115" i="4"/>
  <c r="P115" i="4"/>
  <c r="M115" i="4"/>
  <c r="J115" i="4"/>
  <c r="AE114" i="4"/>
  <c r="AB114" i="4"/>
  <c r="Y114" i="4"/>
  <c r="V114" i="4"/>
  <c r="S114" i="4"/>
  <c r="P114" i="4"/>
  <c r="M114" i="4"/>
  <c r="J114" i="4"/>
  <c r="AE113" i="4"/>
  <c r="AB113" i="4"/>
  <c r="Y113" i="4"/>
  <c r="V113" i="4"/>
  <c r="S113" i="4"/>
  <c r="P113" i="4"/>
  <c r="M113" i="4"/>
  <c r="J113" i="4"/>
  <c r="J110" i="4"/>
  <c r="AF110" i="4" s="1"/>
  <c r="AG110" i="4" s="1"/>
  <c r="AE109" i="4"/>
  <c r="AB109" i="4"/>
  <c r="Y109" i="4"/>
  <c r="V109" i="4"/>
  <c r="S109" i="4"/>
  <c r="P109" i="4"/>
  <c r="M109" i="4"/>
  <c r="J109" i="4"/>
  <c r="M108" i="4"/>
  <c r="W107" i="4"/>
  <c r="K107" i="4"/>
  <c r="H107" i="4"/>
  <c r="V107" i="4"/>
  <c r="AE106" i="4"/>
  <c r="AB106" i="4"/>
  <c r="Y106" i="4"/>
  <c r="J106" i="4"/>
  <c r="AE105" i="4"/>
  <c r="AB105" i="4"/>
  <c r="Y105" i="4"/>
  <c r="V105" i="4"/>
  <c r="S105" i="4"/>
  <c r="P105" i="4"/>
  <c r="M105" i="4"/>
  <c r="J105" i="4"/>
  <c r="X104" i="4"/>
  <c r="W104" i="4"/>
  <c r="L104" i="4"/>
  <c r="K104" i="4"/>
  <c r="I104" i="4"/>
  <c r="H104" i="4"/>
  <c r="X103" i="4"/>
  <c r="W103" i="4"/>
  <c r="L103" i="4"/>
  <c r="K103" i="4"/>
  <c r="I103" i="4"/>
  <c r="H103" i="4"/>
  <c r="X102" i="4"/>
  <c r="L102" i="4"/>
  <c r="I102" i="4"/>
  <c r="X101" i="4"/>
  <c r="L101" i="4"/>
  <c r="I101" i="4"/>
  <c r="AE100" i="4"/>
  <c r="AE99" i="4"/>
  <c r="AB99" i="4"/>
  <c r="Y99" i="4"/>
  <c r="V99" i="4"/>
  <c r="S99" i="4"/>
  <c r="P99" i="4"/>
  <c r="M99" i="4"/>
  <c r="J99" i="4"/>
  <c r="AE98" i="4"/>
  <c r="AB98" i="4"/>
  <c r="Y98" i="4"/>
  <c r="V98" i="4"/>
  <c r="S98" i="4"/>
  <c r="P98" i="4"/>
  <c r="M98" i="4"/>
  <c r="J98" i="4"/>
  <c r="AE97" i="4"/>
  <c r="AB97" i="4"/>
  <c r="Y97" i="4"/>
  <c r="V97" i="4"/>
  <c r="S97" i="4"/>
  <c r="P97" i="4"/>
  <c r="M97" i="4"/>
  <c r="J97" i="4"/>
  <c r="AE96" i="4"/>
  <c r="AB96" i="4"/>
  <c r="Y96" i="4"/>
  <c r="V96" i="4"/>
  <c r="S96" i="4"/>
  <c r="P96" i="4"/>
  <c r="M96" i="4"/>
  <c r="J96" i="4"/>
  <c r="AE95" i="4"/>
  <c r="AB95" i="4"/>
  <c r="Y95" i="4"/>
  <c r="V95" i="4"/>
  <c r="S95" i="4"/>
  <c r="P95" i="4"/>
  <c r="M95" i="4"/>
  <c r="J95" i="4"/>
  <c r="AE94" i="4"/>
  <c r="AB94" i="4"/>
  <c r="Y94" i="4"/>
  <c r="V94" i="4"/>
  <c r="S94" i="4"/>
  <c r="P94" i="4"/>
  <c r="M94" i="4"/>
  <c r="J94" i="4"/>
  <c r="T93" i="4"/>
  <c r="H93" i="4"/>
  <c r="V92" i="4"/>
  <c r="P92" i="4"/>
  <c r="AE91" i="4"/>
  <c r="AB91" i="4"/>
  <c r="Y91" i="4"/>
  <c r="V91" i="4"/>
  <c r="S91" i="4"/>
  <c r="P91" i="4"/>
  <c r="M91" i="4"/>
  <c r="J91" i="4"/>
  <c r="AE90" i="4"/>
  <c r="AB90" i="4"/>
  <c r="Y90" i="4"/>
  <c r="V90" i="4"/>
  <c r="S90" i="4"/>
  <c r="P90" i="4"/>
  <c r="M90" i="4"/>
  <c r="J90" i="4"/>
  <c r="AE89" i="4"/>
  <c r="AB89" i="4"/>
  <c r="Y89" i="4"/>
  <c r="V89" i="4"/>
  <c r="S89" i="4"/>
  <c r="P89" i="4"/>
  <c r="M89" i="4"/>
  <c r="J89" i="4"/>
  <c r="AE88" i="4"/>
  <c r="AB88" i="4"/>
  <c r="Y88" i="4"/>
  <c r="T88" i="4"/>
  <c r="V88" i="4" s="1"/>
  <c r="S88" i="4"/>
  <c r="P88" i="4"/>
  <c r="M88" i="4"/>
  <c r="H88" i="4"/>
  <c r="J88" i="4" s="1"/>
  <c r="AB87" i="4"/>
  <c r="T87" i="4"/>
  <c r="H87" i="4"/>
  <c r="Y87" i="4"/>
  <c r="AE86" i="4"/>
  <c r="AB86" i="4"/>
  <c r="Y86" i="4"/>
  <c r="V86" i="4"/>
  <c r="S86" i="4"/>
  <c r="P86" i="4"/>
  <c r="M86" i="4"/>
  <c r="J86" i="4"/>
  <c r="AE85" i="4"/>
  <c r="AB85" i="4"/>
  <c r="Y85" i="4"/>
  <c r="V85" i="4"/>
  <c r="S85" i="4"/>
  <c r="P85" i="4"/>
  <c r="M85" i="4"/>
  <c r="J85" i="4"/>
  <c r="AE84" i="4"/>
  <c r="AB84" i="4"/>
  <c r="Y84" i="4"/>
  <c r="V84" i="4"/>
  <c r="S84" i="4"/>
  <c r="P84" i="4"/>
  <c r="M84" i="4"/>
  <c r="J84" i="4"/>
  <c r="AE83" i="4"/>
  <c r="AB83" i="4"/>
  <c r="Y83" i="4"/>
  <c r="V83" i="4"/>
  <c r="S83" i="4"/>
  <c r="P83" i="4"/>
  <c r="M83" i="4"/>
  <c r="J83" i="4"/>
  <c r="T82" i="4"/>
  <c r="P82" i="4"/>
  <c r="M82" i="4"/>
  <c r="H82" i="4"/>
  <c r="AE82" i="4"/>
  <c r="AE81" i="4"/>
  <c r="AB81" i="4"/>
  <c r="Y81" i="4"/>
  <c r="V81" i="4"/>
  <c r="S81" i="4"/>
  <c r="P81" i="4"/>
  <c r="M81" i="4"/>
  <c r="J81" i="4"/>
  <c r="AE80" i="4"/>
  <c r="AB80" i="4"/>
  <c r="Y80" i="4"/>
  <c r="V80" i="4"/>
  <c r="S80" i="4"/>
  <c r="P80" i="4"/>
  <c r="M80" i="4"/>
  <c r="J80" i="4"/>
  <c r="M79" i="4"/>
  <c r="AE78" i="4"/>
  <c r="AB78" i="4"/>
  <c r="Y78" i="4"/>
  <c r="V78" i="4"/>
  <c r="S78" i="4"/>
  <c r="P78" i="4"/>
  <c r="M78" i="4"/>
  <c r="J78" i="4"/>
  <c r="AE77" i="4"/>
  <c r="AB77" i="4"/>
  <c r="Y77" i="4"/>
  <c r="V77" i="4"/>
  <c r="S77" i="4"/>
  <c r="P77" i="4"/>
  <c r="M77" i="4"/>
  <c r="J77" i="4"/>
  <c r="AE76" i="4"/>
  <c r="AB76" i="4"/>
  <c r="Y76" i="4"/>
  <c r="V76" i="4"/>
  <c r="S76" i="4"/>
  <c r="P76" i="4"/>
  <c r="M76" i="4"/>
  <c r="J76" i="4"/>
  <c r="AE75" i="4"/>
  <c r="AB75" i="4"/>
  <c r="Y75" i="4"/>
  <c r="V75" i="4"/>
  <c r="S75" i="4"/>
  <c r="P75" i="4"/>
  <c r="M75" i="4"/>
  <c r="J75" i="4"/>
  <c r="T74" i="4"/>
  <c r="H74" i="4"/>
  <c r="J73" i="4"/>
  <c r="AF73" i="4" s="1"/>
  <c r="AG73" i="4" s="1"/>
  <c r="T72" i="4"/>
  <c r="H72" i="4"/>
  <c r="J72" i="4" s="1"/>
  <c r="AF72" i="4" s="1"/>
  <c r="AG72" i="4" s="1"/>
  <c r="AE71" i="4"/>
  <c r="AB71" i="4"/>
  <c r="Y71" i="4"/>
  <c r="V71" i="4"/>
  <c r="S71" i="4"/>
  <c r="P71" i="4"/>
  <c r="M71" i="4"/>
  <c r="J71" i="4"/>
  <c r="T70" i="4"/>
  <c r="H70" i="4"/>
  <c r="T68" i="4"/>
  <c r="H68" i="4"/>
  <c r="S66" i="4"/>
  <c r="M66" i="4"/>
  <c r="AE65" i="4"/>
  <c r="AB65" i="4"/>
  <c r="Y65" i="4"/>
  <c r="V65" i="4"/>
  <c r="S65" i="4"/>
  <c r="P65" i="4"/>
  <c r="M65" i="4"/>
  <c r="J65" i="4"/>
  <c r="AE63" i="4"/>
  <c r="AE64" i="4" s="1"/>
  <c r="AB63" i="4"/>
  <c r="AB64" i="4" s="1"/>
  <c r="Y63" i="4"/>
  <c r="Y64" i="4" s="1"/>
  <c r="V63" i="4"/>
  <c r="V64" i="4" s="1"/>
  <c r="S63" i="4"/>
  <c r="S64" i="4" s="1"/>
  <c r="P63" i="4"/>
  <c r="P64" i="4" s="1"/>
  <c r="M63" i="4"/>
  <c r="M64" i="4" s="1"/>
  <c r="AE62" i="4"/>
  <c r="AB62" i="4"/>
  <c r="Y62" i="4"/>
  <c r="V62" i="4"/>
  <c r="S62" i="4"/>
  <c r="P62" i="4"/>
  <c r="M62" i="4"/>
  <c r="J62" i="4"/>
  <c r="AE61" i="4"/>
  <c r="AB61" i="4"/>
  <c r="Y61" i="4"/>
  <c r="V61" i="4"/>
  <c r="S61" i="4"/>
  <c r="P61" i="4"/>
  <c r="M61" i="4"/>
  <c r="J61" i="4"/>
  <c r="P60" i="4"/>
  <c r="AE59" i="4"/>
  <c r="AB59" i="4"/>
  <c r="Y59" i="4"/>
  <c r="V59" i="4"/>
  <c r="S59" i="4"/>
  <c r="P59" i="4"/>
  <c r="M59" i="4"/>
  <c r="J59" i="4"/>
  <c r="S58" i="4"/>
  <c r="AE57" i="4"/>
  <c r="Z57" i="4"/>
  <c r="AB57" i="4" s="1"/>
  <c r="W57" i="4"/>
  <c r="Y57" i="4" s="1"/>
  <c r="V57" i="4"/>
  <c r="Q57" i="4"/>
  <c r="S57" i="4" s="1"/>
  <c r="P57" i="4"/>
  <c r="M57" i="4"/>
  <c r="H57" i="4"/>
  <c r="J57" i="4" s="1"/>
  <c r="AE56" i="4"/>
  <c r="AB56" i="4"/>
  <c r="Y56" i="4"/>
  <c r="V56" i="4"/>
  <c r="S56" i="4"/>
  <c r="N56" i="4"/>
  <c r="P56" i="4" s="1"/>
  <c r="M56" i="4"/>
  <c r="J56" i="4"/>
  <c r="Z55" i="4"/>
  <c r="W55" i="4"/>
  <c r="Q55" i="4"/>
  <c r="H55" i="4"/>
  <c r="V55" i="4"/>
  <c r="AE54" i="4"/>
  <c r="Z54" i="4"/>
  <c r="AB54" i="4" s="1"/>
  <c r="W54" i="4"/>
  <c r="Y54" i="4" s="1"/>
  <c r="V54" i="4"/>
  <c r="Q54" i="4"/>
  <c r="S54" i="4" s="1"/>
  <c r="N54" i="4"/>
  <c r="P54" i="4" s="1"/>
  <c r="M54" i="4"/>
  <c r="H54" i="4"/>
  <c r="J54" i="4" s="1"/>
  <c r="AE53" i="4"/>
  <c r="Z53" i="4"/>
  <c r="AB53" i="4" s="1"/>
  <c r="W53" i="4"/>
  <c r="Y53" i="4" s="1"/>
  <c r="V53" i="4"/>
  <c r="Q53" i="4"/>
  <c r="S53" i="4" s="1"/>
  <c r="N53" i="4"/>
  <c r="P53" i="4" s="1"/>
  <c r="M53" i="4"/>
  <c r="H53" i="4"/>
  <c r="J53" i="4" s="1"/>
  <c r="AE52" i="4"/>
  <c r="AB52" i="4"/>
  <c r="Y52" i="4"/>
  <c r="V52" i="4"/>
  <c r="S52" i="4"/>
  <c r="N52" i="4"/>
  <c r="P52" i="4" s="1"/>
  <c r="M52" i="4"/>
  <c r="J52" i="4"/>
  <c r="AE51" i="4"/>
  <c r="AB51" i="4"/>
  <c r="Y51" i="4"/>
  <c r="V51" i="4"/>
  <c r="S51" i="4"/>
  <c r="P51" i="4"/>
  <c r="M51" i="4"/>
  <c r="J51" i="4"/>
  <c r="AE50" i="4"/>
  <c r="AB50" i="4"/>
  <c r="Y50" i="4"/>
  <c r="V50" i="4"/>
  <c r="S50" i="4"/>
  <c r="P50" i="4"/>
  <c r="M50" i="4"/>
  <c r="J50" i="4"/>
  <c r="AB49" i="4"/>
  <c r="V49" i="4"/>
  <c r="S49" i="4"/>
  <c r="P49" i="4"/>
  <c r="J49" i="4"/>
  <c r="M49" i="4"/>
  <c r="AE48" i="4"/>
  <c r="AB48" i="4"/>
  <c r="Y48" i="4"/>
  <c r="V48" i="4"/>
  <c r="S48" i="4"/>
  <c r="P48" i="4"/>
  <c r="M48" i="4"/>
  <c r="J48" i="4"/>
  <c r="AE47" i="4"/>
  <c r="AB47" i="4"/>
  <c r="Y47" i="4"/>
  <c r="V47" i="4"/>
  <c r="S47" i="4"/>
  <c r="P47" i="4"/>
  <c r="M47" i="4"/>
  <c r="J47" i="4"/>
  <c r="AE46" i="4"/>
  <c r="AB46" i="4"/>
  <c r="Y46" i="4"/>
  <c r="V46" i="4"/>
  <c r="S46" i="4"/>
  <c r="P46" i="4"/>
  <c r="M46" i="4"/>
  <c r="J46" i="4"/>
  <c r="AE45" i="4"/>
  <c r="AB45" i="4"/>
  <c r="Y45" i="4"/>
  <c r="V45" i="4"/>
  <c r="S45" i="4"/>
  <c r="P45" i="4"/>
  <c r="M45" i="4"/>
  <c r="J45" i="4"/>
  <c r="Y44" i="4"/>
  <c r="V44" i="4"/>
  <c r="S44" i="4"/>
  <c r="M44" i="4"/>
  <c r="P44" i="4"/>
  <c r="AE43" i="4"/>
  <c r="AB43" i="4"/>
  <c r="Y43" i="4"/>
  <c r="V43" i="4"/>
  <c r="S43" i="4"/>
  <c r="P43" i="4"/>
  <c r="M43" i="4"/>
  <c r="J43" i="4"/>
  <c r="AE42" i="4"/>
  <c r="AB42" i="4"/>
  <c r="Y42" i="4"/>
  <c r="V42" i="4"/>
  <c r="S42" i="4"/>
  <c r="P42" i="4"/>
  <c r="M42" i="4"/>
  <c r="J42" i="4"/>
  <c r="AE41" i="4"/>
  <c r="AB41" i="4"/>
  <c r="Y41" i="4"/>
  <c r="V41" i="4"/>
  <c r="S41" i="4"/>
  <c r="P41" i="4"/>
  <c r="M41" i="4"/>
  <c r="J41" i="4"/>
  <c r="AE40" i="4"/>
  <c r="AB40" i="4"/>
  <c r="Y40" i="4"/>
  <c r="V40" i="4"/>
  <c r="S40" i="4"/>
  <c r="P40" i="4"/>
  <c r="M40" i="4"/>
  <c r="J40" i="4"/>
  <c r="P39" i="4"/>
  <c r="M39" i="4"/>
  <c r="J39" i="4"/>
  <c r="S39" i="4"/>
  <c r="AE38" i="4"/>
  <c r="AB38" i="4"/>
  <c r="Y38" i="4"/>
  <c r="V38" i="4"/>
  <c r="S38" i="4"/>
  <c r="P38" i="4"/>
  <c r="M38" i="4"/>
  <c r="J38" i="4"/>
  <c r="AB37" i="4"/>
  <c r="AE36" i="4"/>
  <c r="AE35" i="4"/>
  <c r="AB35" i="4"/>
  <c r="Y35" i="4"/>
  <c r="V35" i="4"/>
  <c r="S35" i="4"/>
  <c r="P35" i="4"/>
  <c r="M35" i="4"/>
  <c r="J35" i="4"/>
  <c r="AE34" i="4"/>
  <c r="AB34" i="4"/>
  <c r="Y34" i="4"/>
  <c r="V34" i="4"/>
  <c r="S34" i="4"/>
  <c r="P34" i="4"/>
  <c r="M34" i="4"/>
  <c r="J34" i="4"/>
  <c r="AE33" i="4"/>
  <c r="AB33" i="4"/>
  <c r="Y33" i="4"/>
  <c r="V33" i="4"/>
  <c r="S33" i="4"/>
  <c r="P33" i="4"/>
  <c r="M33" i="4"/>
  <c r="J33" i="4"/>
  <c r="AE32" i="4"/>
  <c r="AB32" i="4"/>
  <c r="Y32" i="4"/>
  <c r="V32" i="4"/>
  <c r="S32" i="4"/>
  <c r="P32" i="4"/>
  <c r="M32" i="4"/>
  <c r="J32" i="4"/>
  <c r="AE31" i="4"/>
  <c r="AB31" i="4"/>
  <c r="Y31" i="4"/>
  <c r="V31" i="4"/>
  <c r="S31" i="4"/>
  <c r="P31" i="4"/>
  <c r="M31" i="4"/>
  <c r="J31" i="4"/>
  <c r="Z30" i="4"/>
  <c r="W30" i="4"/>
  <c r="S30" i="4"/>
  <c r="Q30" i="4"/>
  <c r="P30" i="4"/>
  <c r="H30" i="4"/>
  <c r="AE30" i="4"/>
  <c r="Z29" i="4"/>
  <c r="W29" i="4"/>
  <c r="Y29" i="4" s="1"/>
  <c r="Q29" i="4"/>
  <c r="S29" i="4" s="1"/>
  <c r="N29" i="4"/>
  <c r="H29" i="4"/>
  <c r="V29" i="4"/>
  <c r="AE28" i="4"/>
  <c r="AB28" i="4"/>
  <c r="Y28" i="4"/>
  <c r="V28" i="4"/>
  <c r="S28" i="4"/>
  <c r="N28" i="4"/>
  <c r="P28" i="4" s="1"/>
  <c r="M28" i="4"/>
  <c r="J28" i="4"/>
  <c r="AE27" i="4"/>
  <c r="AB27" i="4"/>
  <c r="Y27" i="4"/>
  <c r="V27" i="4"/>
  <c r="S27" i="4"/>
  <c r="P27" i="4"/>
  <c r="M27" i="4"/>
  <c r="J27" i="4"/>
  <c r="AE25" i="4"/>
  <c r="AB25" i="4"/>
  <c r="Y25" i="4"/>
  <c r="V25" i="4"/>
  <c r="S25" i="4"/>
  <c r="P25" i="4"/>
  <c r="M25" i="4"/>
  <c r="J25" i="4"/>
  <c r="AE24" i="4"/>
  <c r="AB24" i="4"/>
  <c r="Y24" i="4"/>
  <c r="V24" i="4"/>
  <c r="S24" i="4"/>
  <c r="P24" i="4"/>
  <c r="M24" i="4"/>
  <c r="J24" i="4"/>
  <c r="AE23" i="4"/>
  <c r="AB23" i="4"/>
  <c r="Y23" i="4"/>
  <c r="V23" i="4"/>
  <c r="S23" i="4"/>
  <c r="P23" i="4"/>
  <c r="M23" i="4"/>
  <c r="J23" i="4"/>
  <c r="AE22" i="4"/>
  <c r="AB22" i="4"/>
  <c r="Y22" i="4"/>
  <c r="V22" i="4"/>
  <c r="S22" i="4"/>
  <c r="P22" i="4"/>
  <c r="M22" i="4"/>
  <c r="J22" i="4"/>
  <c r="AE20" i="4"/>
  <c r="AE21" i="4" s="1"/>
  <c r="AB20" i="4"/>
  <c r="AB21" i="4" s="1"/>
  <c r="Y20" i="4"/>
  <c r="Y21" i="4" s="1"/>
  <c r="V20" i="4"/>
  <c r="V21" i="4" s="1"/>
  <c r="S20" i="4"/>
  <c r="S21" i="4" s="1"/>
  <c r="P20" i="4"/>
  <c r="P21" i="4" s="1"/>
  <c r="J20" i="4"/>
  <c r="M19" i="4"/>
  <c r="Y18" i="4"/>
  <c r="V18" i="4"/>
  <c r="S18" i="4"/>
  <c r="M18" i="4"/>
  <c r="P18" i="4"/>
  <c r="AE17" i="4"/>
  <c r="AB17" i="4"/>
  <c r="Y17" i="4"/>
  <c r="V17" i="4"/>
  <c r="S17" i="4"/>
  <c r="P17" i="4"/>
  <c r="M17" i="4"/>
  <c r="J17" i="4"/>
  <c r="AE16" i="4"/>
  <c r="AB16" i="4"/>
  <c r="Y16" i="4"/>
  <c r="V16" i="4"/>
  <c r="S16" i="4"/>
  <c r="P16" i="4"/>
  <c r="M16" i="4"/>
  <c r="J16" i="4"/>
  <c r="AE15" i="4"/>
  <c r="AB15" i="4"/>
  <c r="Y15" i="4"/>
  <c r="V15" i="4"/>
  <c r="S15" i="4"/>
  <c r="P15" i="4"/>
  <c r="M15" i="4"/>
  <c r="J15" i="4"/>
  <c r="AE14" i="4"/>
  <c r="AB14" i="4"/>
  <c r="Y14" i="4"/>
  <c r="V14" i="4"/>
  <c r="S14" i="4"/>
  <c r="P14" i="4"/>
  <c r="M14" i="4"/>
  <c r="J14" i="4"/>
  <c r="AC13" i="4"/>
  <c r="T13" i="4"/>
  <c r="K13" i="4"/>
  <c r="J13" i="4"/>
  <c r="Y13" i="4"/>
  <c r="AC12" i="4"/>
  <c r="T12" i="4"/>
  <c r="K12" i="4"/>
  <c r="AE12" i="4"/>
  <c r="AE11" i="4"/>
  <c r="AB11" i="4"/>
  <c r="Y11" i="4"/>
  <c r="V11" i="4"/>
  <c r="S11" i="4"/>
  <c r="P11" i="4"/>
  <c r="M11" i="4"/>
  <c r="J11" i="4"/>
  <c r="AE10" i="4"/>
  <c r="AB10" i="4"/>
  <c r="Y10" i="4"/>
  <c r="V10" i="4"/>
  <c r="S10" i="4"/>
  <c r="P10" i="4"/>
  <c r="M10" i="4"/>
  <c r="J10" i="4"/>
  <c r="AC9" i="4"/>
  <c r="AB9" i="4"/>
  <c r="T9" i="4"/>
  <c r="K9" i="4"/>
  <c r="J9" i="4"/>
  <c r="Y9" i="4"/>
  <c r="AB8" i="4"/>
  <c r="Y8" i="4"/>
  <c r="V8" i="4"/>
  <c r="P8" i="4"/>
  <c r="M8" i="4"/>
  <c r="AE8" i="4"/>
  <c r="AE7" i="4"/>
  <c r="AB7" i="4"/>
  <c r="Y7" i="4"/>
  <c r="V7" i="4"/>
  <c r="S7" i="4"/>
  <c r="P7" i="4"/>
  <c r="M7" i="4"/>
  <c r="J7" i="4"/>
  <c r="AE6" i="4"/>
  <c r="AB6" i="4"/>
  <c r="Y6" i="4"/>
  <c r="V6" i="4"/>
  <c r="S6" i="4"/>
  <c r="P6" i="4"/>
  <c r="M6" i="4"/>
  <c r="J6" i="4"/>
  <c r="AE5" i="4"/>
  <c r="AB5" i="4"/>
  <c r="Y5" i="4"/>
  <c r="V5" i="4"/>
  <c r="S5" i="4"/>
  <c r="P5" i="4"/>
  <c r="M5" i="4"/>
  <c r="J5" i="4"/>
  <c r="AE4" i="4"/>
  <c r="AB4" i="4"/>
  <c r="Y4" i="4"/>
  <c r="V4" i="4"/>
  <c r="S4" i="4"/>
  <c r="P4" i="4"/>
  <c r="M4" i="4"/>
  <c r="J4" i="4"/>
  <c r="M3" i="4"/>
  <c r="AE2" i="4"/>
  <c r="AB2" i="4"/>
  <c r="Y2" i="4"/>
  <c r="V2" i="4"/>
  <c r="S2" i="4"/>
  <c r="P2" i="4"/>
  <c r="M2" i="4"/>
  <c r="J2" i="4"/>
  <c r="AF196" i="4" l="1"/>
  <c r="AG196" i="4" s="1"/>
  <c r="AF46" i="22"/>
  <c r="AG46" i="22" s="1"/>
  <c r="AF34" i="20"/>
  <c r="AG34" i="20" s="1"/>
  <c r="AF160" i="22"/>
  <c r="AG160" i="22" s="1"/>
  <c r="AF35" i="20"/>
  <c r="AG35" i="20" s="1"/>
  <c r="AF229" i="10"/>
  <c r="AG229" i="10" s="1"/>
  <c r="AF189" i="22"/>
  <c r="AG189" i="22" s="1"/>
  <c r="AF205" i="22"/>
  <c r="AG205" i="22" s="1"/>
  <c r="AF168" i="10"/>
  <c r="AG168" i="10" s="1"/>
  <c r="AF166" i="22"/>
  <c r="AG166" i="22" s="1"/>
  <c r="AF106" i="4"/>
  <c r="AG106" i="4" s="1"/>
  <c r="AF185" i="4"/>
  <c r="AG185" i="4" s="1"/>
  <c r="AF186" i="4"/>
  <c r="AG186" i="4" s="1"/>
  <c r="M312" i="26"/>
  <c r="M313" i="26" s="1"/>
  <c r="Y312" i="26"/>
  <c r="Y313" i="26" s="1"/>
  <c r="AB27" i="20"/>
  <c r="AB26" i="20"/>
  <c r="M26" i="20"/>
  <c r="J27" i="20"/>
  <c r="Y32" i="20"/>
  <c r="M27" i="20"/>
  <c r="V38" i="19"/>
  <c r="M38" i="19"/>
  <c r="AF139" i="4"/>
  <c r="AG139" i="4" s="1"/>
  <c r="AF171" i="4"/>
  <c r="AG171" i="4" s="1"/>
  <c r="AF207" i="10"/>
  <c r="AG207" i="10" s="1"/>
  <c r="AF215" i="10"/>
  <c r="AG215" i="10" s="1"/>
  <c r="AF223" i="10"/>
  <c r="AG223" i="10" s="1"/>
  <c r="M26" i="4"/>
  <c r="S26" i="4"/>
  <c r="P26" i="4"/>
  <c r="P24" i="10"/>
  <c r="Y24" i="10"/>
  <c r="Y74" i="10"/>
  <c r="AB74" i="10"/>
  <c r="AF108" i="10"/>
  <c r="AG108" i="10" s="1"/>
  <c r="M134" i="10"/>
  <c r="AB134" i="10"/>
  <c r="AF137" i="10"/>
  <c r="AG137" i="10" s="1"/>
  <c r="Y11" i="20"/>
  <c r="AB11" i="20"/>
  <c r="AE11" i="20"/>
  <c r="Y22" i="20"/>
  <c r="J22" i="20"/>
  <c r="AB130" i="22"/>
  <c r="Y259" i="24"/>
  <c r="AB81" i="24"/>
  <c r="S272" i="24"/>
  <c r="AF23" i="4"/>
  <c r="AG23" i="4" s="1"/>
  <c r="AF31" i="4"/>
  <c r="AG31" i="4" s="1"/>
  <c r="AF46" i="4"/>
  <c r="AG46" i="4" s="1"/>
  <c r="AF47" i="4"/>
  <c r="AG47" i="4" s="1"/>
  <c r="AB66" i="4"/>
  <c r="J19" i="10"/>
  <c r="AF64" i="10"/>
  <c r="AG64" i="10" s="1"/>
  <c r="S68" i="10"/>
  <c r="S88" i="10"/>
  <c r="AF148" i="10"/>
  <c r="AG148" i="10" s="1"/>
  <c r="AE128" i="10"/>
  <c r="Y100" i="10"/>
  <c r="AF173" i="10"/>
  <c r="AG173" i="10" s="1"/>
  <c r="AF4" i="10"/>
  <c r="AG4" i="10" s="1"/>
  <c r="AF140" i="10"/>
  <c r="AG140" i="10" s="1"/>
  <c r="AF192" i="10"/>
  <c r="AG192" i="10" s="1"/>
  <c r="AF200" i="10"/>
  <c r="AG200" i="10" s="1"/>
  <c r="M39" i="10"/>
  <c r="Y20" i="19"/>
  <c r="V22" i="20"/>
  <c r="V26" i="20"/>
  <c r="M32" i="20"/>
  <c r="J33" i="20"/>
  <c r="AE23" i="22"/>
  <c r="J38" i="22"/>
  <c r="J70" i="22"/>
  <c r="J82" i="22"/>
  <c r="M169" i="22"/>
  <c r="M223" i="22"/>
  <c r="M224" i="22"/>
  <c r="P90" i="22"/>
  <c r="P183" i="22"/>
  <c r="P202" i="22"/>
  <c r="P224" i="22"/>
  <c r="V138" i="22"/>
  <c r="Y26" i="22"/>
  <c r="AF112" i="22"/>
  <c r="AG112" i="22" s="1"/>
  <c r="Y162" i="22"/>
  <c r="Y236" i="22"/>
  <c r="AB196" i="22"/>
  <c r="Y25" i="24"/>
  <c r="AB86" i="24"/>
  <c r="P126" i="24"/>
  <c r="M194" i="24"/>
  <c r="J195" i="24"/>
  <c r="J267" i="24"/>
  <c r="AE292" i="24"/>
  <c r="M308" i="24"/>
  <c r="Y211" i="24"/>
  <c r="Y226" i="24"/>
  <c r="Y267" i="24"/>
  <c r="Y305" i="24"/>
  <c r="AB169" i="24"/>
  <c r="AB195" i="24"/>
  <c r="AB253" i="24"/>
  <c r="V259" i="24"/>
  <c r="S82" i="24"/>
  <c r="S124" i="24"/>
  <c r="P21" i="24"/>
  <c r="P90" i="24"/>
  <c r="M103" i="24"/>
  <c r="P34" i="22"/>
  <c r="P44" i="22"/>
  <c r="M267" i="24"/>
  <c r="AF172" i="4"/>
  <c r="AG172" i="4" s="1"/>
  <c r="AF190" i="4"/>
  <c r="AG190" i="4" s="1"/>
  <c r="V69" i="10"/>
  <c r="S42" i="10"/>
  <c r="S122" i="10"/>
  <c r="P129" i="10"/>
  <c r="M129" i="10"/>
  <c r="AE38" i="22"/>
  <c r="M38" i="22"/>
  <c r="M48" i="22"/>
  <c r="M122" i="22"/>
  <c r="AF149" i="22"/>
  <c r="AG149" i="22" s="1"/>
  <c r="AF168" i="22"/>
  <c r="AG168" i="22" s="1"/>
  <c r="P196" i="22"/>
  <c r="S23" i="22"/>
  <c r="S142" i="22"/>
  <c r="S224" i="22"/>
  <c r="V23" i="22"/>
  <c r="Y70" i="22"/>
  <c r="AB69" i="22"/>
  <c r="AB218" i="22"/>
  <c r="AB40" i="24"/>
  <c r="P100" i="24"/>
  <c r="P101" i="24"/>
  <c r="Y103" i="24"/>
  <c r="Y219" i="24"/>
  <c r="Y301" i="24"/>
  <c r="AB146" i="24"/>
  <c r="AB267" i="24"/>
  <c r="AB301" i="24"/>
  <c r="AB325" i="24"/>
  <c r="S219" i="24"/>
  <c r="M226" i="24"/>
  <c r="AE117" i="25"/>
  <c r="AB147" i="25"/>
  <c r="AE117" i="24"/>
  <c r="V44" i="22"/>
  <c r="P66" i="4"/>
  <c r="AF144" i="4"/>
  <c r="AG144" i="4" s="1"/>
  <c r="Y49" i="10"/>
  <c r="AF116" i="10"/>
  <c r="AG116" i="10" s="1"/>
  <c r="AF196" i="10"/>
  <c r="AG196" i="10" s="1"/>
  <c r="AF37" i="10"/>
  <c r="AG37" i="10" s="1"/>
  <c r="V122" i="10"/>
  <c r="AF17" i="19"/>
  <c r="AG17" i="19" s="1"/>
  <c r="J19" i="22"/>
  <c r="M110" i="22"/>
  <c r="M123" i="22"/>
  <c r="M34" i="22"/>
  <c r="M63" i="22"/>
  <c r="M82" i="22"/>
  <c r="AF119" i="22"/>
  <c r="AG119" i="22" s="1"/>
  <c r="AF182" i="22"/>
  <c r="AG182" i="22" s="1"/>
  <c r="P69" i="22"/>
  <c r="S30" i="22"/>
  <c r="S170" i="22"/>
  <c r="S202" i="22"/>
  <c r="V56" i="22"/>
  <c r="Y89" i="22"/>
  <c r="Y109" i="22"/>
  <c r="Y138" i="22"/>
  <c r="AB116" i="22"/>
  <c r="AE30" i="22"/>
  <c r="J358" i="24"/>
  <c r="Y7" i="24"/>
  <c r="Y334" i="24"/>
  <c r="AB25" i="24"/>
  <c r="AB161" i="24"/>
  <c r="V7" i="24"/>
  <c r="V176" i="24"/>
  <c r="V226" i="24"/>
  <c r="AE301" i="24"/>
  <c r="AF205" i="26"/>
  <c r="AG205" i="26" s="1"/>
  <c r="AF113" i="4"/>
  <c r="AG113" i="4" s="1"/>
  <c r="AF166" i="4"/>
  <c r="AG166" i="4" s="1"/>
  <c r="M43" i="10"/>
  <c r="S19" i="10"/>
  <c r="S32" i="20"/>
  <c r="AF18" i="20"/>
  <c r="AG18" i="20" s="1"/>
  <c r="AE158" i="22"/>
  <c r="AE179" i="22"/>
  <c r="M66" i="22"/>
  <c r="AF75" i="22"/>
  <c r="AG75" i="22" s="1"/>
  <c r="AF103" i="22"/>
  <c r="AG103" i="22" s="1"/>
  <c r="AF190" i="22"/>
  <c r="AG190" i="22" s="1"/>
  <c r="AF229" i="22"/>
  <c r="AG229" i="22" s="1"/>
  <c r="P5" i="22"/>
  <c r="AF152" i="22"/>
  <c r="AG152" i="22" s="1"/>
  <c r="P175" i="22"/>
  <c r="P235" i="22"/>
  <c r="S62" i="22"/>
  <c r="S235" i="22"/>
  <c r="V195" i="22"/>
  <c r="AE62" i="22"/>
  <c r="AE195" i="22"/>
  <c r="Y357" i="24"/>
  <c r="Y40" i="24"/>
  <c r="AB260" i="24"/>
  <c r="V184" i="24"/>
  <c r="V282" i="24"/>
  <c r="V292" i="24"/>
  <c r="S24" i="24"/>
  <c r="S184" i="24"/>
  <c r="S282" i="24"/>
  <c r="P6" i="24"/>
  <c r="M70" i="24"/>
  <c r="AF302" i="26"/>
  <c r="AG302" i="26" s="1"/>
  <c r="AF81" i="4"/>
  <c r="AG81" i="4" s="1"/>
  <c r="AF114" i="4"/>
  <c r="AG114" i="4" s="1"/>
  <c r="AF138" i="4"/>
  <c r="AG138" i="4" s="1"/>
  <c r="AF141" i="10"/>
  <c r="AG141" i="10" s="1"/>
  <c r="AB19" i="10"/>
  <c r="AF119" i="10"/>
  <c r="AG119" i="10" s="1"/>
  <c r="AF22" i="4"/>
  <c r="AG22" i="4" s="1"/>
  <c r="V66" i="4"/>
  <c r="AF132" i="4"/>
  <c r="AG132" i="4" s="1"/>
  <c r="AF133" i="4"/>
  <c r="AG133" i="4" s="1"/>
  <c r="AF158" i="4"/>
  <c r="AG158" i="4" s="1"/>
  <c r="AF160" i="4"/>
  <c r="AG160" i="4" s="1"/>
  <c r="AF161" i="4"/>
  <c r="AG161" i="4" s="1"/>
  <c r="AF162" i="4"/>
  <c r="AG162" i="4" s="1"/>
  <c r="J30" i="10"/>
  <c r="P68" i="10"/>
  <c r="J69" i="10"/>
  <c r="AF36" i="10"/>
  <c r="AG36" i="10" s="1"/>
  <c r="AB10" i="10"/>
  <c r="AB49" i="10"/>
  <c r="AB69" i="10"/>
  <c r="AB76" i="10" s="1"/>
  <c r="AB77" i="10" s="1"/>
  <c r="AB100" i="10"/>
  <c r="AB112" i="10"/>
  <c r="Y134" i="10"/>
  <c r="S10" i="10"/>
  <c r="S112" i="10"/>
  <c r="AF144" i="10"/>
  <c r="AG144" i="10" s="1"/>
  <c r="AF172" i="10"/>
  <c r="AG172" i="10" s="1"/>
  <c r="P128" i="10"/>
  <c r="P138" i="10"/>
  <c r="M100" i="10"/>
  <c r="S6" i="19"/>
  <c r="AF8" i="19"/>
  <c r="AG8" i="19" s="1"/>
  <c r="AF9" i="19"/>
  <c r="AG9" i="19" s="1"/>
  <c r="AF12" i="19"/>
  <c r="AG12" i="19" s="1"/>
  <c r="M39" i="19"/>
  <c r="S22" i="20"/>
  <c r="P26" i="20"/>
  <c r="J32" i="20"/>
  <c r="M33" i="20"/>
  <c r="S33" i="20"/>
  <c r="AF7" i="22"/>
  <c r="AG7" i="22" s="1"/>
  <c r="AE15" i="22"/>
  <c r="J45" i="22"/>
  <c r="M158" i="22"/>
  <c r="M179" i="22"/>
  <c r="M15" i="22"/>
  <c r="M26" i="22"/>
  <c r="AF148" i="22"/>
  <c r="AG148" i="22" s="1"/>
  <c r="AF157" i="22"/>
  <c r="AG157" i="22" s="1"/>
  <c r="AF181" i="22"/>
  <c r="AG181" i="22" s="1"/>
  <c r="AF32" i="22"/>
  <c r="AG32" i="22" s="1"/>
  <c r="P82" i="22"/>
  <c r="P142" i="22"/>
  <c r="P176" i="22"/>
  <c r="P217" i="22"/>
  <c r="S10" i="22"/>
  <c r="S22" i="22"/>
  <c r="S63" i="22"/>
  <c r="S90" i="22"/>
  <c r="AF136" i="22"/>
  <c r="AG136" i="22" s="1"/>
  <c r="S158" i="22"/>
  <c r="AF178" i="22"/>
  <c r="AG178" i="22" s="1"/>
  <c r="S236" i="22"/>
  <c r="V22" i="22"/>
  <c r="V97" i="22"/>
  <c r="V131" i="22"/>
  <c r="V196" i="22"/>
  <c r="V218" i="22"/>
  <c r="Y38" i="22"/>
  <c r="Y48" i="22"/>
  <c r="Y59" i="22"/>
  <c r="Y131" i="22"/>
  <c r="AB34" i="22"/>
  <c r="AB44" i="22"/>
  <c r="AB138" i="22"/>
  <c r="AB217" i="22"/>
  <c r="AE63" i="22"/>
  <c r="AE90" i="22"/>
  <c r="AE162" i="22"/>
  <c r="M176" i="24"/>
  <c r="J180" i="24"/>
  <c r="J264" i="24"/>
  <c r="J315" i="24"/>
  <c r="J329" i="24"/>
  <c r="J333" i="24"/>
  <c r="J350" i="24"/>
  <c r="AB357" i="24"/>
  <c r="Y55" i="24"/>
  <c r="Y65" i="24"/>
  <c r="Y113" i="24"/>
  <c r="Y165" i="24"/>
  <c r="Y177" i="24"/>
  <c r="Y225" i="24"/>
  <c r="Y277" i="24"/>
  <c r="Y333" i="24"/>
  <c r="Y343" i="24"/>
  <c r="AB137" i="24"/>
  <c r="AB147" i="24"/>
  <c r="AB194" i="24"/>
  <c r="V40" i="24"/>
  <c r="V225" i="24"/>
  <c r="V260" i="24"/>
  <c r="V283" i="24"/>
  <c r="S25" i="24"/>
  <c r="S81" i="24"/>
  <c r="AE184" i="24"/>
  <c r="AF311" i="26"/>
  <c r="AG311" i="26" s="1"/>
  <c r="AF303" i="26"/>
  <c r="AG303" i="26" s="1"/>
  <c r="Y32" i="24"/>
  <c r="V308" i="24"/>
  <c r="AE225" i="24"/>
  <c r="AF5" i="4"/>
  <c r="AG5" i="4" s="1"/>
  <c r="AF6" i="4"/>
  <c r="AG6" i="4" s="1"/>
  <c r="AF7" i="4"/>
  <c r="AG7" i="4" s="1"/>
  <c r="AB39" i="10"/>
  <c r="Y59" i="10"/>
  <c r="P69" i="10"/>
  <c r="AF132" i="10"/>
  <c r="AG132" i="10" s="1"/>
  <c r="AE129" i="10"/>
  <c r="AE139" i="10"/>
  <c r="AE155" i="10"/>
  <c r="AB93" i="10"/>
  <c r="AB128" i="10"/>
  <c r="V113" i="10"/>
  <c r="M14" i="10"/>
  <c r="AB6" i="19"/>
  <c r="AB20" i="19"/>
  <c r="P29" i="19"/>
  <c r="AF37" i="19"/>
  <c r="AG37" i="19" s="1"/>
  <c r="AB39" i="19"/>
  <c r="M16" i="20"/>
  <c r="AE33" i="20"/>
  <c r="S16" i="20"/>
  <c r="S26" i="20"/>
  <c r="V32" i="20"/>
  <c r="AF9" i="22"/>
  <c r="AG9" i="22" s="1"/>
  <c r="AF13" i="22"/>
  <c r="AG13" i="22" s="1"/>
  <c r="AF17" i="22"/>
  <c r="AG17" i="22" s="1"/>
  <c r="AF20" i="22"/>
  <c r="AG20" i="22" s="1"/>
  <c r="AF41" i="22"/>
  <c r="AG41" i="22" s="1"/>
  <c r="AF52" i="22"/>
  <c r="AG52" i="22" s="1"/>
  <c r="AF57" i="22"/>
  <c r="AG57" i="22" s="1"/>
  <c r="AE101" i="22"/>
  <c r="AE122" i="22"/>
  <c r="AE159" i="22"/>
  <c r="AE180" i="22"/>
  <c r="M59" i="22"/>
  <c r="M70" i="22"/>
  <c r="M130" i="22"/>
  <c r="M138" i="22"/>
  <c r="M195" i="22"/>
  <c r="P45" i="22"/>
  <c r="S34" i="22"/>
  <c r="S82" i="22"/>
  <c r="V70" i="22"/>
  <c r="V142" i="22"/>
  <c r="V154" i="22"/>
  <c r="Y30" i="22"/>
  <c r="Y90" i="22"/>
  <c r="Y101" i="22"/>
  <c r="Y175" i="22"/>
  <c r="Y224" i="22"/>
  <c r="AB11" i="22"/>
  <c r="AB176" i="22"/>
  <c r="AE82" i="22"/>
  <c r="AE142" i="22"/>
  <c r="AE154" i="22"/>
  <c r="AE202" i="22"/>
  <c r="AE224" i="22"/>
  <c r="J73" i="24"/>
  <c r="P132" i="24"/>
  <c r="M195" i="24"/>
  <c r="AF262" i="24"/>
  <c r="AG262" i="24" s="1"/>
  <c r="J283" i="24"/>
  <c r="AB358" i="24"/>
  <c r="Y33" i="24"/>
  <c r="Y81" i="24"/>
  <c r="Y260" i="24"/>
  <c r="AB15" i="24"/>
  <c r="V177" i="24"/>
  <c r="V333" i="24"/>
  <c r="S73" i="24"/>
  <c r="S113" i="24"/>
  <c r="S140" i="24"/>
  <c r="S176" i="24"/>
  <c r="S211" i="24"/>
  <c r="S263" i="24"/>
  <c r="P301" i="24"/>
  <c r="M216" i="24"/>
  <c r="P94" i="25"/>
  <c r="AE40" i="24"/>
  <c r="AF206" i="26"/>
  <c r="AG206" i="26" s="1"/>
  <c r="AB312" i="26"/>
  <c r="AB313" i="26" s="1"/>
  <c r="S312" i="26"/>
  <c r="S313" i="26" s="1"/>
  <c r="AF53" i="10"/>
  <c r="AG53" i="10" s="1"/>
  <c r="Y15" i="20"/>
  <c r="V110" i="22"/>
  <c r="AB110" i="22"/>
  <c r="AF14" i="4"/>
  <c r="AG14" i="4" s="1"/>
  <c r="AF15" i="4"/>
  <c r="AG15" i="4" s="1"/>
  <c r="AF38" i="4"/>
  <c r="AG38" i="4" s="1"/>
  <c r="AF142" i="4"/>
  <c r="AG142" i="4" s="1"/>
  <c r="AF143" i="4"/>
  <c r="AG143" i="4" s="1"/>
  <c r="AF40" i="10"/>
  <c r="AG40" i="10" s="1"/>
  <c r="S43" i="10"/>
  <c r="AB59" i="10"/>
  <c r="J133" i="10"/>
  <c r="AE19" i="10"/>
  <c r="AB24" i="10"/>
  <c r="AB43" i="10"/>
  <c r="AB84" i="10"/>
  <c r="AB129" i="10"/>
  <c r="Y83" i="10"/>
  <c r="Y93" i="10"/>
  <c r="V10" i="10"/>
  <c r="S128" i="10"/>
  <c r="S138" i="10"/>
  <c r="AF118" i="10"/>
  <c r="AG118" i="10" s="1"/>
  <c r="AF227" i="10"/>
  <c r="AG227" i="10" s="1"/>
  <c r="V19" i="19"/>
  <c r="AF23" i="19"/>
  <c r="AG23" i="19" s="1"/>
  <c r="P38" i="19"/>
  <c r="J16" i="20"/>
  <c r="Y26" i="20"/>
  <c r="V27" i="20"/>
  <c r="J26" i="20"/>
  <c r="M11" i="20"/>
  <c r="V33" i="20"/>
  <c r="J5" i="22"/>
  <c r="AF42" i="22"/>
  <c r="AG42" i="22" s="1"/>
  <c r="AE110" i="22"/>
  <c r="M30" i="22"/>
  <c r="M97" i="22"/>
  <c r="AF111" i="22"/>
  <c r="AG111" i="22" s="1"/>
  <c r="AF121" i="22"/>
  <c r="AG121" i="22" s="1"/>
  <c r="M131" i="22"/>
  <c r="M139" i="22"/>
  <c r="AF173" i="22"/>
  <c r="AG173" i="22" s="1"/>
  <c r="M211" i="22"/>
  <c r="M235" i="22"/>
  <c r="P11" i="22"/>
  <c r="P116" i="22"/>
  <c r="P159" i="22"/>
  <c r="P180" i="22"/>
  <c r="S15" i="22"/>
  <c r="S44" i="22"/>
  <c r="S116" i="22"/>
  <c r="V15" i="22"/>
  <c r="AF25" i="22"/>
  <c r="AG25" i="22" s="1"/>
  <c r="V38" i="22"/>
  <c r="V89" i="22"/>
  <c r="V122" i="22"/>
  <c r="V155" i="22"/>
  <c r="Y82" i="22"/>
  <c r="Y122" i="22"/>
  <c r="AB26" i="22"/>
  <c r="AB59" i="22"/>
  <c r="AB90" i="22"/>
  <c r="AB101" i="22"/>
  <c r="AB142" i="22"/>
  <c r="AE155" i="22"/>
  <c r="M184" i="24"/>
  <c r="Y195" i="24"/>
  <c r="AF215" i="24"/>
  <c r="AG215" i="24" s="1"/>
  <c r="AF296" i="24"/>
  <c r="AG296" i="24" s="1"/>
  <c r="AF351" i="24"/>
  <c r="AG351" i="24" s="1"/>
  <c r="AF359" i="24"/>
  <c r="AG359" i="24" s="1"/>
  <c r="Y24" i="24"/>
  <c r="Y146" i="24"/>
  <c r="Y169" i="24"/>
  <c r="Y229" i="24"/>
  <c r="Y314" i="24"/>
  <c r="Y325" i="24"/>
  <c r="V32" i="24"/>
  <c r="V216" i="24"/>
  <c r="S40" i="24"/>
  <c r="S74" i="24"/>
  <c r="S165" i="24"/>
  <c r="S300" i="24"/>
  <c r="P232" i="24"/>
  <c r="M348" i="24"/>
  <c r="AE333" i="24"/>
  <c r="V19" i="10"/>
  <c r="Y154" i="22"/>
  <c r="AB175" i="22"/>
  <c r="V78" i="24"/>
  <c r="AF45" i="4"/>
  <c r="AG45" i="4" s="1"/>
  <c r="AF75" i="4"/>
  <c r="AG75" i="4" s="1"/>
  <c r="AF76" i="4"/>
  <c r="AG76" i="4" s="1"/>
  <c r="AF77" i="4"/>
  <c r="AG77" i="4" s="1"/>
  <c r="AF78" i="4"/>
  <c r="AG78" i="4" s="1"/>
  <c r="AF94" i="4"/>
  <c r="AG94" i="4" s="1"/>
  <c r="AF99" i="4"/>
  <c r="AG99" i="4" s="1"/>
  <c r="AF180" i="4"/>
  <c r="AG180" i="4" s="1"/>
  <c r="AF181" i="4"/>
  <c r="AG181" i="4" s="1"/>
  <c r="AF182" i="4"/>
  <c r="AG182" i="4" s="1"/>
  <c r="V43" i="10"/>
  <c r="P59" i="10"/>
  <c r="AF8" i="10"/>
  <c r="AG8" i="10" s="1"/>
  <c r="Y84" i="10"/>
  <c r="AF160" i="10"/>
  <c r="AG160" i="10" s="1"/>
  <c r="AF176" i="10"/>
  <c r="AG176" i="10" s="1"/>
  <c r="AF184" i="10"/>
  <c r="AG184" i="10" s="1"/>
  <c r="AF208" i="10"/>
  <c r="AG208" i="10" s="1"/>
  <c r="AF224" i="10"/>
  <c r="AG224" i="10" s="1"/>
  <c r="S69" i="10"/>
  <c r="S129" i="10"/>
  <c r="P19" i="10"/>
  <c r="P87" i="10"/>
  <c r="P122" i="10"/>
  <c r="AF28" i="19"/>
  <c r="AG28" i="19" s="1"/>
  <c r="S38" i="19"/>
  <c r="AF140" i="22"/>
  <c r="AG140" i="22" s="1"/>
  <c r="P26" i="22"/>
  <c r="P117" i="22"/>
  <c r="P232" i="22"/>
  <c r="S5" i="22"/>
  <c r="S26" i="22"/>
  <c r="S45" i="22"/>
  <c r="S154" i="22"/>
  <c r="S195" i="22"/>
  <c r="AF220" i="22"/>
  <c r="AG220" i="22" s="1"/>
  <c r="V48" i="22"/>
  <c r="V180" i="22"/>
  <c r="V202" i="22"/>
  <c r="Y11" i="22"/>
  <c r="Y22" i="22"/>
  <c r="Y159" i="22"/>
  <c r="AB48" i="22"/>
  <c r="AB102" i="22"/>
  <c r="AB122" i="22"/>
  <c r="AB202" i="22"/>
  <c r="AE34" i="22"/>
  <c r="AF174" i="24"/>
  <c r="AG174" i="24" s="1"/>
  <c r="M199" i="24"/>
  <c r="P357" i="24"/>
  <c r="Y137" i="24"/>
  <c r="Y283" i="24"/>
  <c r="Y350" i="24"/>
  <c r="AB73" i="24"/>
  <c r="AB177" i="24"/>
  <c r="V136" i="24"/>
  <c r="V301" i="24"/>
  <c r="S66" i="24"/>
  <c r="P15" i="24"/>
  <c r="AE151" i="24"/>
  <c r="P312" i="26"/>
  <c r="P313" i="26" s="1"/>
  <c r="AF59" i="4"/>
  <c r="AG59" i="4" s="1"/>
  <c r="AF80" i="4"/>
  <c r="AG80" i="4" s="1"/>
  <c r="AF145" i="4"/>
  <c r="AG145" i="4" s="1"/>
  <c r="J159" i="4"/>
  <c r="AF177" i="4"/>
  <c r="AG177" i="4" s="1"/>
  <c r="AF191" i="4"/>
  <c r="AG191" i="4" s="1"/>
  <c r="AF195" i="4"/>
  <c r="AG195" i="4" s="1"/>
  <c r="M68" i="10"/>
  <c r="P74" i="10"/>
  <c r="AE10" i="10"/>
  <c r="AE43" i="10"/>
  <c r="AE112" i="10"/>
  <c r="AE122" i="10"/>
  <c r="Y117" i="10"/>
  <c r="AF225" i="10"/>
  <c r="AG225" i="10" s="1"/>
  <c r="V128" i="10"/>
  <c r="V138" i="10"/>
  <c r="P112" i="10"/>
  <c r="AF21" i="19"/>
  <c r="AG21" i="19" s="1"/>
  <c r="AF22" i="19"/>
  <c r="AG22" i="19" s="1"/>
  <c r="AE26" i="20"/>
  <c r="Y33" i="20"/>
  <c r="P11" i="20"/>
  <c r="P22" i="20"/>
  <c r="P32" i="20"/>
  <c r="V16" i="20"/>
  <c r="J22" i="22"/>
  <c r="J59" i="22"/>
  <c r="J90" i="22"/>
  <c r="M116" i="22"/>
  <c r="M143" i="22"/>
  <c r="M155" i="22"/>
  <c r="M196" i="22"/>
  <c r="M11" i="22"/>
  <c r="M22" i="22"/>
  <c r="AF99" i="22"/>
  <c r="AG99" i="22" s="1"/>
  <c r="AF113" i="22"/>
  <c r="AG113" i="22" s="1"/>
  <c r="AF177" i="22"/>
  <c r="AG177" i="22" s="1"/>
  <c r="P48" i="22"/>
  <c r="P59" i="22"/>
  <c r="P110" i="22"/>
  <c r="AF161" i="22"/>
  <c r="AG161" i="22" s="1"/>
  <c r="S38" i="22"/>
  <c r="S60" i="22"/>
  <c r="S69" i="22"/>
  <c r="S97" i="22"/>
  <c r="S110" i="22"/>
  <c r="S155" i="22"/>
  <c r="V6" i="22"/>
  <c r="V63" i="22"/>
  <c r="Y34" i="22"/>
  <c r="Y116" i="22"/>
  <c r="Y180" i="22"/>
  <c r="Y217" i="22"/>
  <c r="AB82" i="22"/>
  <c r="AB159" i="22"/>
  <c r="AB180" i="22"/>
  <c r="AE44" i="22"/>
  <c r="AE69" i="22"/>
  <c r="AE97" i="22"/>
  <c r="M7" i="24"/>
  <c r="AB32" i="24"/>
  <c r="M54" i="24"/>
  <c r="Y73" i="24"/>
  <c r="J113" i="24"/>
  <c r="J226" i="24"/>
  <c r="J263" i="24"/>
  <c r="AB7" i="24"/>
  <c r="AB33" i="24"/>
  <c r="AB89" i="24"/>
  <c r="AB113" i="24"/>
  <c r="AB211" i="24"/>
  <c r="AB225" i="24"/>
  <c r="V103" i="24"/>
  <c r="V160" i="24"/>
  <c r="V267" i="24"/>
  <c r="V325" i="24"/>
  <c r="S89" i="24"/>
  <c r="S104" i="24"/>
  <c r="S132" i="24"/>
  <c r="P82" i="24"/>
  <c r="P292" i="24"/>
  <c r="M40" i="24"/>
  <c r="AF61" i="4"/>
  <c r="AG61" i="4" s="1"/>
  <c r="AF62" i="4"/>
  <c r="AG62" i="4" s="1"/>
  <c r="AF71" i="4"/>
  <c r="AG71" i="4" s="1"/>
  <c r="AF88" i="4"/>
  <c r="AG88" i="4" s="1"/>
  <c r="AF89" i="4"/>
  <c r="AG89" i="4" s="1"/>
  <c r="AF90" i="4"/>
  <c r="AG90" i="4" s="1"/>
  <c r="AF91" i="4"/>
  <c r="AG91" i="4" s="1"/>
  <c r="AF122" i="4"/>
  <c r="AG122" i="4" s="1"/>
  <c r="AF123" i="4"/>
  <c r="AG123" i="4" s="1"/>
  <c r="AF124" i="4"/>
  <c r="AG124" i="4" s="1"/>
  <c r="AF125" i="4"/>
  <c r="AG125" i="4" s="1"/>
  <c r="AF126" i="4"/>
  <c r="AG126" i="4" s="1"/>
  <c r="AF127" i="4"/>
  <c r="AG127" i="4" s="1"/>
  <c r="M159" i="4"/>
  <c r="AE113" i="10"/>
  <c r="AF195" i="10"/>
  <c r="AG195" i="10" s="1"/>
  <c r="V129" i="10"/>
  <c r="P10" i="10"/>
  <c r="P43" i="10"/>
  <c r="M30" i="10"/>
  <c r="AF72" i="10"/>
  <c r="AG72" i="10" s="1"/>
  <c r="AF18" i="19"/>
  <c r="AG18" i="19" s="1"/>
  <c r="M22" i="20"/>
  <c r="P27" i="20"/>
  <c r="AE22" i="22"/>
  <c r="J26" i="22"/>
  <c r="AF65" i="22"/>
  <c r="AG65" i="22" s="1"/>
  <c r="AE116" i="22"/>
  <c r="AE176" i="22"/>
  <c r="M214" i="22"/>
  <c r="AE218" i="22"/>
  <c r="M232" i="22"/>
  <c r="M90" i="22"/>
  <c r="AF100" i="22"/>
  <c r="AG100" i="22" s="1"/>
  <c r="M154" i="22"/>
  <c r="P60" i="22"/>
  <c r="P131" i="22"/>
  <c r="P192" i="22"/>
  <c r="S70" i="22"/>
  <c r="AF187" i="22"/>
  <c r="AG187" i="22" s="1"/>
  <c r="V30" i="22"/>
  <c r="AB5" i="22"/>
  <c r="AB192" i="22"/>
  <c r="AB224" i="22"/>
  <c r="AE26" i="22"/>
  <c r="AE70" i="22"/>
  <c r="J199" i="24"/>
  <c r="Y89" i="24"/>
  <c r="Y222" i="24"/>
  <c r="Y264" i="24"/>
  <c r="Y297" i="24"/>
  <c r="AB226" i="24"/>
  <c r="AB259" i="24"/>
  <c r="AB283" i="24"/>
  <c r="AB333" i="24"/>
  <c r="V24" i="24"/>
  <c r="V86" i="24"/>
  <c r="S90" i="24"/>
  <c r="S195" i="24"/>
  <c r="S292" i="24"/>
  <c r="P259" i="24"/>
  <c r="P283" i="24"/>
  <c r="P333" i="24"/>
  <c r="M81" i="24"/>
  <c r="M325" i="24"/>
  <c r="AF166" i="24"/>
  <c r="AG166" i="24" s="1"/>
  <c r="AF134" i="24"/>
  <c r="AG134" i="24" s="1"/>
  <c r="AF167" i="24"/>
  <c r="AG167" i="24" s="1"/>
  <c r="AF135" i="24"/>
  <c r="AG135" i="24" s="1"/>
  <c r="AF183" i="24"/>
  <c r="AG183" i="24" s="1"/>
  <c r="AF312" i="24"/>
  <c r="AG312" i="24" s="1"/>
  <c r="AF159" i="24"/>
  <c r="AG159" i="24" s="1"/>
  <c r="AF31" i="24"/>
  <c r="AG31" i="24" s="1"/>
  <c r="AF30" i="24"/>
  <c r="AG30" i="24" s="1"/>
  <c r="AF175" i="24"/>
  <c r="AG175" i="24" s="1"/>
  <c r="AF286" i="24"/>
  <c r="AG286" i="24" s="1"/>
  <c r="AF336" i="24"/>
  <c r="AG336" i="24" s="1"/>
  <c r="AF287" i="24"/>
  <c r="AG287" i="24" s="1"/>
  <c r="AF328" i="24"/>
  <c r="AG328" i="24" s="1"/>
  <c r="AF38" i="24"/>
  <c r="AG38" i="24" s="1"/>
  <c r="AF182" i="24"/>
  <c r="AG182" i="24" s="1"/>
  <c r="AF142" i="24"/>
  <c r="AG142" i="24" s="1"/>
  <c r="AF270" i="24"/>
  <c r="AG270" i="24" s="1"/>
  <c r="AF53" i="4"/>
  <c r="AG53" i="4" s="1"/>
  <c r="AF54" i="4"/>
  <c r="AG54" i="4" s="1"/>
  <c r="Y121" i="10"/>
  <c r="M121" i="10"/>
  <c r="AB121" i="10"/>
  <c r="AF11" i="4"/>
  <c r="AG11" i="4" s="1"/>
  <c r="AF168" i="4"/>
  <c r="AG168" i="4" s="1"/>
  <c r="J58" i="4"/>
  <c r="P79" i="4"/>
  <c r="P48" i="10"/>
  <c r="S48" i="10"/>
  <c r="V48" i="10"/>
  <c r="AE48" i="10"/>
  <c r="M48" i="10"/>
  <c r="AF211" i="10"/>
  <c r="AG211" i="10" s="1"/>
  <c r="AE5" i="20"/>
  <c r="AE6" i="20" s="1"/>
  <c r="S3" i="4"/>
  <c r="P12" i="4"/>
  <c r="AB13" i="4"/>
  <c r="J19" i="4"/>
  <c r="V39" i="4"/>
  <c r="AF48" i="4"/>
  <c r="AG48" i="4" s="1"/>
  <c r="Y55" i="4"/>
  <c r="M58" i="4"/>
  <c r="V60" i="4"/>
  <c r="S79" i="4"/>
  <c r="AF83" i="4"/>
  <c r="AG83" i="4" s="1"/>
  <c r="AF84" i="4"/>
  <c r="AG84" i="4" s="1"/>
  <c r="AF85" i="4"/>
  <c r="AG85" i="4" s="1"/>
  <c r="AF86" i="4"/>
  <c r="AG86" i="4" s="1"/>
  <c r="AF105" i="4"/>
  <c r="AG105" i="4" s="1"/>
  <c r="AB128" i="4"/>
  <c r="AF134" i="4"/>
  <c r="AG134" i="4" s="1"/>
  <c r="AF135" i="4"/>
  <c r="AG135" i="4" s="1"/>
  <c r="P16" i="10"/>
  <c r="S16" i="10"/>
  <c r="V16" i="10"/>
  <c r="AE16" i="10"/>
  <c r="M16" i="10"/>
  <c r="AB94" i="10"/>
  <c r="Y16" i="10"/>
  <c r="AF18" i="10"/>
  <c r="AG18" i="10" s="1"/>
  <c r="AF114" i="10"/>
  <c r="AG114" i="10" s="1"/>
  <c r="S87" i="10"/>
  <c r="AF60" i="10"/>
  <c r="AG60" i="10" s="1"/>
  <c r="P121" i="10"/>
  <c r="AF4" i="19"/>
  <c r="AG4" i="19" s="1"/>
  <c r="AF5" i="19"/>
  <c r="AG5" i="19" s="1"/>
  <c r="V21" i="20"/>
  <c r="S21" i="20"/>
  <c r="P21" i="20"/>
  <c r="M21" i="20"/>
  <c r="J21" i="20"/>
  <c r="Y21" i="20"/>
  <c r="AB21" i="20"/>
  <c r="AE21" i="20"/>
  <c r="Y105" i="22"/>
  <c r="AB105" i="22"/>
  <c r="P105" i="22"/>
  <c r="V105" i="22"/>
  <c r="AE105" i="22"/>
  <c r="M105" i="22"/>
  <c r="M126" i="22"/>
  <c r="Y126" i="22"/>
  <c r="AE126" i="22"/>
  <c r="AB126" i="22"/>
  <c r="V150" i="22"/>
  <c r="AB150" i="22"/>
  <c r="P150" i="22"/>
  <c r="AE150" i="22"/>
  <c r="Y163" i="22"/>
  <c r="AB163" i="22"/>
  <c r="P163" i="22"/>
  <c r="V163" i="22"/>
  <c r="S163" i="22"/>
  <c r="M163" i="22"/>
  <c r="M184" i="22"/>
  <c r="Y184" i="22"/>
  <c r="AE184" i="22"/>
  <c r="V184" i="22"/>
  <c r="S184" i="22"/>
  <c r="P184" i="22"/>
  <c r="V208" i="22"/>
  <c r="AB208" i="22"/>
  <c r="S208" i="22"/>
  <c r="M208" i="22"/>
  <c r="P208" i="22"/>
  <c r="Y208" i="22"/>
  <c r="M228" i="22"/>
  <c r="AB228" i="22"/>
  <c r="P228" i="22"/>
  <c r="AE228" i="22"/>
  <c r="V228" i="22"/>
  <c r="S228" i="22"/>
  <c r="Y228" i="22"/>
  <c r="V126" i="22"/>
  <c r="AF130" i="10"/>
  <c r="AG130" i="10" s="1"/>
  <c r="AF10" i="4"/>
  <c r="AG10" i="4" s="1"/>
  <c r="AF52" i="4"/>
  <c r="AG52" i="4" s="1"/>
  <c r="V128" i="4"/>
  <c r="AB109" i="10"/>
  <c r="P109" i="10"/>
  <c r="S109" i="10"/>
  <c r="V109" i="10"/>
  <c r="AE109" i="10"/>
  <c r="S94" i="10"/>
  <c r="P88" i="10"/>
  <c r="AF28" i="4"/>
  <c r="AG28" i="4" s="1"/>
  <c r="S60" i="4"/>
  <c r="AE93" i="4"/>
  <c r="P93" i="4"/>
  <c r="P58" i="10"/>
  <c r="S58" i="10"/>
  <c r="V58" i="10"/>
  <c r="AE58" i="10"/>
  <c r="M58" i="10"/>
  <c r="AF96" i="10"/>
  <c r="AG96" i="10" s="1"/>
  <c r="AF92" i="10"/>
  <c r="AG92" i="10" s="1"/>
  <c r="M88" i="10"/>
  <c r="AF221" i="22"/>
  <c r="AG221" i="22" s="1"/>
  <c r="AF4" i="4"/>
  <c r="AG4" i="4" s="1"/>
  <c r="S12" i="4"/>
  <c r="P19" i="4"/>
  <c r="AB30" i="4"/>
  <c r="AF32" i="4"/>
  <c r="AG32" i="4" s="1"/>
  <c r="AF33" i="4"/>
  <c r="AG33" i="4" s="1"/>
  <c r="AF34" i="4"/>
  <c r="AG34" i="4" s="1"/>
  <c r="AF35" i="4"/>
  <c r="AG35" i="4" s="1"/>
  <c r="Y39" i="4"/>
  <c r="P58" i="4"/>
  <c r="Y60" i="4"/>
  <c r="AF65" i="4"/>
  <c r="AG65" i="4" s="1"/>
  <c r="V79" i="4"/>
  <c r="M93" i="4"/>
  <c r="AF109" i="4"/>
  <c r="AG109" i="4" s="1"/>
  <c r="AF129" i="4"/>
  <c r="AG129" i="4" s="1"/>
  <c r="S130" i="4"/>
  <c r="Y130" i="4"/>
  <c r="V130" i="4"/>
  <c r="M130" i="4"/>
  <c r="AF155" i="4"/>
  <c r="AG155" i="4" s="1"/>
  <c r="AF156" i="4"/>
  <c r="AG156" i="4" s="1"/>
  <c r="AF157" i="4"/>
  <c r="AG157" i="4" s="1"/>
  <c r="Y179" i="4"/>
  <c r="AB179" i="4"/>
  <c r="AF189" i="4"/>
  <c r="AG189" i="4" s="1"/>
  <c r="M11" i="10"/>
  <c r="Y11" i="10"/>
  <c r="AB11" i="10"/>
  <c r="AF28" i="10"/>
  <c r="AG28" i="10" s="1"/>
  <c r="M42" i="10"/>
  <c r="J42" i="10"/>
  <c r="Y42" i="10"/>
  <c r="AE94" i="10"/>
  <c r="AF50" i="10"/>
  <c r="AG50" i="10" s="1"/>
  <c r="V94" i="10"/>
  <c r="AF126" i="10"/>
  <c r="AG126" i="10" s="1"/>
  <c r="AF31" i="19"/>
  <c r="AG31" i="19" s="1"/>
  <c r="AF32" i="19"/>
  <c r="AG32" i="19" s="1"/>
  <c r="AF40" i="22"/>
  <c r="AG40" i="22" s="1"/>
  <c r="AB62" i="22"/>
  <c r="P62" i="22"/>
  <c r="V62" i="22"/>
  <c r="M62" i="22"/>
  <c r="AF114" i="22"/>
  <c r="AG114" i="22" s="1"/>
  <c r="P126" i="22"/>
  <c r="S105" i="22"/>
  <c r="S126" i="22"/>
  <c r="S150" i="22"/>
  <c r="AF96" i="22"/>
  <c r="AG96" i="22" s="1"/>
  <c r="AF128" i="22"/>
  <c r="AG128" i="22" s="1"/>
  <c r="Y150" i="22"/>
  <c r="AB14" i="24"/>
  <c r="Y14" i="24"/>
  <c r="S14" i="24"/>
  <c r="M14" i="24"/>
  <c r="AE14" i="24"/>
  <c r="P14" i="24"/>
  <c r="AB62" i="24"/>
  <c r="Y62" i="24"/>
  <c r="S62" i="24"/>
  <c r="AE62" i="24"/>
  <c r="P62" i="24"/>
  <c r="M62" i="24"/>
  <c r="V62" i="24"/>
  <c r="J77" i="24"/>
  <c r="M77" i="24"/>
  <c r="AE77" i="24"/>
  <c r="V77" i="24"/>
  <c r="P77" i="24"/>
  <c r="AB77" i="24"/>
  <c r="Y77" i="24"/>
  <c r="S77" i="24"/>
  <c r="AE87" i="24"/>
  <c r="P87" i="24"/>
  <c r="S87" i="24"/>
  <c r="M87" i="24"/>
  <c r="V87" i="24"/>
  <c r="AB87" i="24"/>
  <c r="M109" i="24"/>
  <c r="P109" i="24"/>
  <c r="V109" i="24"/>
  <c r="AB109" i="24"/>
  <c r="Y109" i="24"/>
  <c r="S109" i="24"/>
  <c r="AE109" i="24"/>
  <c r="S212" i="24"/>
  <c r="P212" i="24"/>
  <c r="AE212" i="24"/>
  <c r="M212" i="24"/>
  <c r="V212" i="24"/>
  <c r="AB212" i="24"/>
  <c r="Y212" i="24"/>
  <c r="P319" i="24"/>
  <c r="AE319" i="24"/>
  <c r="M319" i="24"/>
  <c r="V319" i="24"/>
  <c r="Y319" i="24"/>
  <c r="AB319" i="24"/>
  <c r="J319" i="24"/>
  <c r="S319" i="24"/>
  <c r="S326" i="24"/>
  <c r="P326" i="24"/>
  <c r="AE326" i="24"/>
  <c r="Y326" i="24"/>
  <c r="V326" i="24"/>
  <c r="AB326" i="24"/>
  <c r="M326" i="24"/>
  <c r="S352" i="24"/>
  <c r="P352" i="24"/>
  <c r="AE352" i="24"/>
  <c r="M352" i="24"/>
  <c r="V352" i="24"/>
  <c r="AB352" i="24"/>
  <c r="Y352" i="24"/>
  <c r="S360" i="24"/>
  <c r="M360" i="24"/>
  <c r="P360" i="24"/>
  <c r="AE360" i="24"/>
  <c r="V360" i="24"/>
  <c r="AB360" i="24"/>
  <c r="J21" i="4"/>
  <c r="AF21" i="4" s="1"/>
  <c r="AG21" i="4" s="1"/>
  <c r="AF20" i="4"/>
  <c r="AG20" i="4" s="1"/>
  <c r="AF56" i="10"/>
  <c r="AG56" i="10" s="1"/>
  <c r="AF2" i="4"/>
  <c r="AG2" i="4" s="1"/>
  <c r="AF50" i="4"/>
  <c r="AG50" i="4" s="1"/>
  <c r="AF51" i="4"/>
  <c r="AG51" i="4" s="1"/>
  <c r="M60" i="4"/>
  <c r="J79" i="4"/>
  <c r="AF167" i="4"/>
  <c r="AG167" i="4" s="1"/>
  <c r="AB73" i="10"/>
  <c r="P73" i="10"/>
  <c r="S73" i="10"/>
  <c r="V73" i="10"/>
  <c r="AE73" i="10"/>
  <c r="M73" i="10"/>
  <c r="Y88" i="10"/>
  <c r="AB88" i="10"/>
  <c r="M101" i="10"/>
  <c r="P101" i="10"/>
  <c r="S101" i="10"/>
  <c r="V101" i="10"/>
  <c r="AE101" i="10"/>
  <c r="AE121" i="10"/>
  <c r="AF26" i="10"/>
  <c r="AG26" i="10" s="1"/>
  <c r="V121" i="10"/>
  <c r="AF44" i="10"/>
  <c r="AG44" i="10" s="1"/>
  <c r="AF24" i="19"/>
  <c r="AG24" i="19" s="1"/>
  <c r="P3" i="4"/>
  <c r="AF27" i="4"/>
  <c r="AG27" i="4" s="1"/>
  <c r="AF32" i="10"/>
  <c r="AG32" i="10" s="1"/>
  <c r="Y101" i="10"/>
  <c r="AF203" i="10"/>
  <c r="AG203" i="10" s="1"/>
  <c r="M109" i="10"/>
  <c r="AF132" i="22"/>
  <c r="AG132" i="22" s="1"/>
  <c r="AF212" i="22"/>
  <c r="AG212" i="22" s="1"/>
  <c r="J8" i="4"/>
  <c r="AF16" i="4"/>
  <c r="AG16" i="4" s="1"/>
  <c r="AF17" i="4"/>
  <c r="AG17" i="4" s="1"/>
  <c r="S19" i="4"/>
  <c r="M29" i="4"/>
  <c r="J36" i="4"/>
  <c r="AB39" i="4"/>
  <c r="AF56" i="4"/>
  <c r="AG56" i="4" s="1"/>
  <c r="V58" i="4"/>
  <c r="J66" i="4"/>
  <c r="J74" i="4"/>
  <c r="AF74" i="4" s="1"/>
  <c r="AG74" i="4" s="1"/>
  <c r="AB79" i="4"/>
  <c r="P173" i="4"/>
  <c r="Y173" i="4"/>
  <c r="V173" i="4"/>
  <c r="S173" i="4"/>
  <c r="M173" i="4"/>
  <c r="J16" i="10"/>
  <c r="AB23" i="10"/>
  <c r="P23" i="10"/>
  <c r="S23" i="10"/>
  <c r="V23" i="10"/>
  <c r="AE23" i="10"/>
  <c r="Y29" i="10"/>
  <c r="AB29" i="10"/>
  <c r="J29" i="10"/>
  <c r="P29" i="10"/>
  <c r="S29" i="10"/>
  <c r="V29" i="10"/>
  <c r="AE29" i="10"/>
  <c r="M69" i="10"/>
  <c r="AE11" i="10"/>
  <c r="AE42" i="10"/>
  <c r="AB48" i="10"/>
  <c r="AB58" i="10"/>
  <c r="AF146" i="10"/>
  <c r="AG146" i="10" s="1"/>
  <c r="AF154" i="10"/>
  <c r="AG154" i="10" s="1"/>
  <c r="AF152" i="10"/>
  <c r="AG152" i="10" s="1"/>
  <c r="AF164" i="10"/>
  <c r="AG164" i="10" s="1"/>
  <c r="AF180" i="10"/>
  <c r="AG180" i="10" s="1"/>
  <c r="AF188" i="10"/>
  <c r="AG188" i="10" s="1"/>
  <c r="AF204" i="10"/>
  <c r="AG204" i="10" s="1"/>
  <c r="AF220" i="10"/>
  <c r="AG220" i="10" s="1"/>
  <c r="AF80" i="10"/>
  <c r="AG80" i="10" s="1"/>
  <c r="AF36" i="19"/>
  <c r="AG36" i="19" s="1"/>
  <c r="V10" i="22"/>
  <c r="AB10" i="22"/>
  <c r="P10" i="22"/>
  <c r="M10" i="22"/>
  <c r="AF24" i="22"/>
  <c r="AG24" i="22" s="1"/>
  <c r="J33" i="22"/>
  <c r="AB33" i="22"/>
  <c r="P33" i="22"/>
  <c r="AE33" i="22"/>
  <c r="S33" i="22"/>
  <c r="Y33" i="22"/>
  <c r="V33" i="22"/>
  <c r="M33" i="22"/>
  <c r="V37" i="22"/>
  <c r="Y37" i="22"/>
  <c r="M37" i="22"/>
  <c r="AE37" i="22"/>
  <c r="S37" i="22"/>
  <c r="AB37" i="22"/>
  <c r="P37" i="22"/>
  <c r="AF47" i="22"/>
  <c r="AG47" i="22" s="1"/>
  <c r="AF188" i="22"/>
  <c r="AG188" i="22" s="1"/>
  <c r="AE10" i="22"/>
  <c r="AE198" i="24"/>
  <c r="M198" i="24"/>
  <c r="V198" i="24"/>
  <c r="S198" i="24"/>
  <c r="AB198" i="24"/>
  <c r="Y198" i="24"/>
  <c r="P198" i="24"/>
  <c r="P205" i="24"/>
  <c r="AE205" i="24"/>
  <c r="M205" i="24"/>
  <c r="V205" i="24"/>
  <c r="S205" i="24"/>
  <c r="AB205" i="24"/>
  <c r="Y205" i="24"/>
  <c r="P237" i="24"/>
  <c r="AE237" i="24"/>
  <c r="M237" i="24"/>
  <c r="S237" i="24"/>
  <c r="V237" i="24"/>
  <c r="AB237" i="24"/>
  <c r="Y237" i="24"/>
  <c r="S268" i="24"/>
  <c r="P268" i="24"/>
  <c r="AE268" i="24"/>
  <c r="M268" i="24"/>
  <c r="Y268" i="24"/>
  <c r="V268" i="24"/>
  <c r="AB268" i="24"/>
  <c r="S293" i="24"/>
  <c r="M293" i="24"/>
  <c r="AE293" i="24"/>
  <c r="P293" i="24"/>
  <c r="V293" i="24"/>
  <c r="Y293" i="24"/>
  <c r="AB293" i="24"/>
  <c r="S309" i="24"/>
  <c r="AE309" i="24"/>
  <c r="P309" i="24"/>
  <c r="M309" i="24"/>
  <c r="AB309" i="24"/>
  <c r="Y309" i="24"/>
  <c r="V309" i="24"/>
  <c r="AF219" i="10"/>
  <c r="AG219" i="10" s="1"/>
  <c r="V19" i="4"/>
  <c r="AF40" i="4"/>
  <c r="AG40" i="4" s="1"/>
  <c r="AF41" i="4"/>
  <c r="AG41" i="4" s="1"/>
  <c r="AF42" i="4"/>
  <c r="AG42" i="4" s="1"/>
  <c r="AF43" i="4"/>
  <c r="AG43" i="4" s="1"/>
  <c r="Y58" i="4"/>
  <c r="AF95" i="4"/>
  <c r="AG95" i="4" s="1"/>
  <c r="AF96" i="4"/>
  <c r="AG96" i="4" s="1"/>
  <c r="AF97" i="4"/>
  <c r="AG97" i="4" s="1"/>
  <c r="AF98" i="4"/>
  <c r="AG98" i="4" s="1"/>
  <c r="AF174" i="4"/>
  <c r="AG174" i="4" s="1"/>
  <c r="AF175" i="4"/>
  <c r="AG175" i="4" s="1"/>
  <c r="AF176" i="4"/>
  <c r="AG176" i="4" s="1"/>
  <c r="Y6" i="10"/>
  <c r="AB6" i="10"/>
  <c r="P6" i="10"/>
  <c r="S6" i="10"/>
  <c r="V6" i="10"/>
  <c r="AE6" i="10"/>
  <c r="J6" i="10"/>
  <c r="AF12" i="10"/>
  <c r="AG12" i="10" s="1"/>
  <c r="Y113" i="10"/>
  <c r="M113" i="10"/>
  <c r="AB113" i="10"/>
  <c r="Y48" i="10"/>
  <c r="Y58" i="10"/>
  <c r="V11" i="10"/>
  <c r="V42" i="10"/>
  <c r="S121" i="10"/>
  <c r="AF20" i="10"/>
  <c r="AG20" i="10" s="1"/>
  <c r="AF106" i="10"/>
  <c r="AG106" i="10" s="1"/>
  <c r="AF189" i="10"/>
  <c r="AG189" i="10" s="1"/>
  <c r="AF205" i="10"/>
  <c r="AG205" i="10" s="1"/>
  <c r="Y11" i="19"/>
  <c r="P11" i="19"/>
  <c r="AE11" i="19"/>
  <c r="J11" i="19"/>
  <c r="S11" i="19"/>
  <c r="M11" i="19"/>
  <c r="AB14" i="22"/>
  <c r="P14" i="22"/>
  <c r="AE14" i="22"/>
  <c r="Y14" i="22"/>
  <c r="S14" i="22"/>
  <c r="V18" i="22"/>
  <c r="AB18" i="22"/>
  <c r="Y18" i="22"/>
  <c r="S18" i="22"/>
  <c r="M18" i="22"/>
  <c r="P18" i="22"/>
  <c r="AF21" i="22"/>
  <c r="AG21" i="22" s="1"/>
  <c r="AF28" i="22"/>
  <c r="AG28" i="22" s="1"/>
  <c r="Y87" i="24"/>
  <c r="AE128" i="4"/>
  <c r="S128" i="4"/>
  <c r="P128" i="4"/>
  <c r="M128" i="4"/>
  <c r="J128" i="4"/>
  <c r="M94" i="10"/>
  <c r="Y94" i="10"/>
  <c r="AB19" i="4"/>
  <c r="AF24" i="4"/>
  <c r="AG24" i="4" s="1"/>
  <c r="AF25" i="4"/>
  <c r="AG25" i="4" s="1"/>
  <c r="AF57" i="4"/>
  <c r="AG57" i="4" s="1"/>
  <c r="AB58" i="4"/>
  <c r="AF115" i="4"/>
  <c r="AG115" i="4" s="1"/>
  <c r="AF116" i="4"/>
  <c r="AG116" i="4" s="1"/>
  <c r="AF117" i="4"/>
  <c r="AG117" i="4" s="1"/>
  <c r="AF118" i="4"/>
  <c r="AG118" i="4" s="1"/>
  <c r="AF148" i="4"/>
  <c r="AG148" i="4" s="1"/>
  <c r="AF149" i="4"/>
  <c r="AG149" i="4" s="1"/>
  <c r="AF150" i="4"/>
  <c r="AG150" i="4" s="1"/>
  <c r="M87" i="10"/>
  <c r="Y87" i="10"/>
  <c r="AB87" i="10"/>
  <c r="AF120" i="10"/>
  <c r="AG120" i="10" s="1"/>
  <c r="M125" i="10"/>
  <c r="AB125" i="10"/>
  <c r="P125" i="10"/>
  <c r="S125" i="10"/>
  <c r="V125" i="10"/>
  <c r="AE125" i="10"/>
  <c r="AF136" i="10"/>
  <c r="AG136" i="10" s="1"/>
  <c r="AE88" i="10"/>
  <c r="AF209" i="10"/>
  <c r="AG209" i="10" s="1"/>
  <c r="AF217" i="10"/>
  <c r="AG217" i="10" s="1"/>
  <c r="AF34" i="10"/>
  <c r="AG34" i="10" s="1"/>
  <c r="V87" i="10"/>
  <c r="S113" i="10"/>
  <c r="P11" i="10"/>
  <c r="P42" i="10"/>
  <c r="AF52" i="10"/>
  <c r="AG52" i="10" s="1"/>
  <c r="M29" i="10"/>
  <c r="Y5" i="20"/>
  <c r="Y6" i="20" s="1"/>
  <c r="AB6" i="22"/>
  <c r="P6" i="22"/>
  <c r="AE6" i="22"/>
  <c r="Y6" i="22"/>
  <c r="S6" i="22"/>
  <c r="J10" i="22"/>
  <c r="AF43" i="22"/>
  <c r="AG43" i="22" s="1"/>
  <c r="V14" i="22"/>
  <c r="AB184" i="22"/>
  <c r="Y10" i="10"/>
  <c r="Y68" i="10"/>
  <c r="Y112" i="10"/>
  <c r="Y128" i="10"/>
  <c r="V139" i="10"/>
  <c r="V155" i="10"/>
  <c r="S139" i="10"/>
  <c r="S155" i="10"/>
  <c r="P139" i="10"/>
  <c r="P155" i="10"/>
  <c r="M24" i="10"/>
  <c r="M83" i="10"/>
  <c r="M138" i="10"/>
  <c r="AF27" i="19"/>
  <c r="AG27" i="19" s="1"/>
  <c r="V29" i="19"/>
  <c r="AE29" i="19"/>
  <c r="Y29" i="19"/>
  <c r="AE83" i="22"/>
  <c r="S83" i="22"/>
  <c r="V83" i="22"/>
  <c r="AB83" i="22"/>
  <c r="AE106" i="22"/>
  <c r="S106" i="22"/>
  <c r="Y106" i="22"/>
  <c r="V127" i="22"/>
  <c r="Y127" i="22"/>
  <c r="AE127" i="22"/>
  <c r="S127" i="22"/>
  <c r="V169" i="22"/>
  <c r="Y169" i="22"/>
  <c r="AE169" i="22"/>
  <c r="S169" i="22"/>
  <c r="AE191" i="22"/>
  <c r="S191" i="22"/>
  <c r="V191" i="22"/>
  <c r="M191" i="22"/>
  <c r="AB191" i="22"/>
  <c r="V211" i="22"/>
  <c r="Y211" i="22"/>
  <c r="AE211" i="22"/>
  <c r="S211" i="22"/>
  <c r="AE231" i="22"/>
  <c r="AB231" i="22"/>
  <c r="P231" i="22"/>
  <c r="S231" i="22"/>
  <c r="Y231" i="22"/>
  <c r="AF78" i="22"/>
  <c r="AG78" i="22" s="1"/>
  <c r="AF86" i="22"/>
  <c r="AG86" i="22" s="1"/>
  <c r="AF95" i="22"/>
  <c r="AG95" i="22" s="1"/>
  <c r="AF115" i="22"/>
  <c r="AG115" i="22" s="1"/>
  <c r="AF124" i="22"/>
  <c r="AG124" i="22" s="1"/>
  <c r="AF171" i="22"/>
  <c r="AG171" i="22" s="1"/>
  <c r="AF193" i="22"/>
  <c r="AG193" i="22" s="1"/>
  <c r="M231" i="22"/>
  <c r="P127" i="22"/>
  <c r="AF120" i="22"/>
  <c r="AG120" i="22" s="1"/>
  <c r="Y191" i="22"/>
  <c r="AB56" i="22"/>
  <c r="AB106" i="22"/>
  <c r="AB143" i="22"/>
  <c r="P123" i="24"/>
  <c r="AE123" i="24"/>
  <c r="J123" i="24"/>
  <c r="M123" i="24"/>
  <c r="V123" i="24"/>
  <c r="S123" i="24"/>
  <c r="AB168" i="24"/>
  <c r="Y168" i="24"/>
  <c r="AE168" i="24"/>
  <c r="P168" i="24"/>
  <c r="M168" i="24"/>
  <c r="S168" i="24"/>
  <c r="Y123" i="24"/>
  <c r="V146" i="4"/>
  <c r="Y147" i="4"/>
  <c r="AB151" i="4"/>
  <c r="AB152" i="4"/>
  <c r="J170" i="4"/>
  <c r="V178" i="4"/>
  <c r="AE14" i="10"/>
  <c r="AE30" i="10"/>
  <c r="AE124" i="10"/>
  <c r="AB122" i="10"/>
  <c r="AB138" i="10"/>
  <c r="Y19" i="10"/>
  <c r="Y43" i="10"/>
  <c r="Y69" i="10"/>
  <c r="AF145" i="10"/>
  <c r="AG145" i="10" s="1"/>
  <c r="AF153" i="10"/>
  <c r="AG153" i="10" s="1"/>
  <c r="V14" i="10"/>
  <c r="V30" i="10"/>
  <c r="AF82" i="10"/>
  <c r="AG82" i="10" s="1"/>
  <c r="AF90" i="10"/>
  <c r="AG90" i="10" s="1"/>
  <c r="AF98" i="10"/>
  <c r="AG98" i="10" s="1"/>
  <c r="V124" i="10"/>
  <c r="S14" i="10"/>
  <c r="S30" i="10"/>
  <c r="S124" i="10"/>
  <c r="P14" i="10"/>
  <c r="P30" i="10"/>
  <c r="P124" i="10"/>
  <c r="M49" i="10"/>
  <c r="M74" i="10"/>
  <c r="M84" i="10"/>
  <c r="M122" i="10"/>
  <c r="M139" i="10"/>
  <c r="M155" i="10"/>
  <c r="Y7" i="19"/>
  <c r="AB7" i="19"/>
  <c r="M7" i="19"/>
  <c r="J7" i="19"/>
  <c r="AF16" i="19"/>
  <c r="AG16" i="19" s="1"/>
  <c r="J30" i="19"/>
  <c r="AE27" i="20"/>
  <c r="AB5" i="20"/>
  <c r="AB6" i="20" s="1"/>
  <c r="Y27" i="20"/>
  <c r="J11" i="20"/>
  <c r="P16" i="20"/>
  <c r="P33" i="20"/>
  <c r="S27" i="20"/>
  <c r="V11" i="20"/>
  <c r="AE19" i="22"/>
  <c r="S19" i="22"/>
  <c r="V19" i="22"/>
  <c r="AB19" i="22"/>
  <c r="J49" i="22"/>
  <c r="AB49" i="22"/>
  <c r="P49" i="22"/>
  <c r="AE49" i="22"/>
  <c r="S49" i="22"/>
  <c r="Y49" i="22"/>
  <c r="J55" i="22"/>
  <c r="Y55" i="22"/>
  <c r="M55" i="22"/>
  <c r="AB55" i="22"/>
  <c r="P55" i="22"/>
  <c r="V55" i="22"/>
  <c r="AF64" i="22"/>
  <c r="AG64" i="22" s="1"/>
  <c r="AE138" i="22"/>
  <c r="M176" i="22"/>
  <c r="AE196" i="22"/>
  <c r="M218" i="22"/>
  <c r="AE236" i="22"/>
  <c r="M106" i="22"/>
  <c r="AF134" i="22"/>
  <c r="AG134" i="22" s="1"/>
  <c r="AF153" i="22"/>
  <c r="AG153" i="22" s="1"/>
  <c r="AF172" i="22"/>
  <c r="AG172" i="22" s="1"/>
  <c r="AF194" i="22"/>
  <c r="AG194" i="22" s="1"/>
  <c r="AF213" i="22"/>
  <c r="AG213" i="22" s="1"/>
  <c r="P66" i="22"/>
  <c r="P83" i="22"/>
  <c r="P214" i="22"/>
  <c r="AF146" i="22"/>
  <c r="AG146" i="22" s="1"/>
  <c r="S192" i="22"/>
  <c r="AF204" i="22"/>
  <c r="AG204" i="22" s="1"/>
  <c r="V49" i="22"/>
  <c r="V231" i="22"/>
  <c r="AE156" i="24"/>
  <c r="M156" i="24"/>
  <c r="P156" i="24"/>
  <c r="V156" i="24"/>
  <c r="AB156" i="24"/>
  <c r="Y156" i="24"/>
  <c r="S156" i="24"/>
  <c r="Y194" i="24"/>
  <c r="S233" i="24"/>
  <c r="M233" i="24"/>
  <c r="P233" i="24"/>
  <c r="AB233" i="24"/>
  <c r="Y233" i="24"/>
  <c r="V233" i="24"/>
  <c r="AB240" i="24"/>
  <c r="Y240" i="24"/>
  <c r="J240" i="24"/>
  <c r="AE240" i="24"/>
  <c r="M240" i="24"/>
  <c r="P240" i="24"/>
  <c r="S240" i="24"/>
  <c r="P108" i="4"/>
  <c r="AB136" i="4"/>
  <c r="M170" i="4"/>
  <c r="AE39" i="10"/>
  <c r="AE83" i="10"/>
  <c r="AE117" i="10"/>
  <c r="AE133" i="10"/>
  <c r="AB139" i="10"/>
  <c r="AB155" i="10"/>
  <c r="V39" i="10"/>
  <c r="V83" i="10"/>
  <c r="V117" i="10"/>
  <c r="V133" i="10"/>
  <c r="S39" i="10"/>
  <c r="S83" i="10"/>
  <c r="S117" i="10"/>
  <c r="S133" i="10"/>
  <c r="P39" i="10"/>
  <c r="P83" i="10"/>
  <c r="P117" i="10"/>
  <c r="P133" i="10"/>
  <c r="M59" i="10"/>
  <c r="AF174" i="10"/>
  <c r="AG174" i="10" s="1"/>
  <c r="AF190" i="10"/>
  <c r="AG190" i="10" s="1"/>
  <c r="AF206" i="10"/>
  <c r="AG206" i="10" s="1"/>
  <c r="AF214" i="10"/>
  <c r="AG214" i="10" s="1"/>
  <c r="AF2" i="19"/>
  <c r="AG2" i="19" s="1"/>
  <c r="AF3" i="19"/>
  <c r="AG3" i="19" s="1"/>
  <c r="Y6" i="19"/>
  <c r="P6" i="19"/>
  <c r="M6" i="19"/>
  <c r="J29" i="19"/>
  <c r="AB33" i="20"/>
  <c r="AF4" i="22"/>
  <c r="AG4" i="22" s="1"/>
  <c r="J60" i="22"/>
  <c r="Y60" i="22"/>
  <c r="M60" i="22"/>
  <c r="AE60" i="22"/>
  <c r="J83" i="22"/>
  <c r="M102" i="22"/>
  <c r="Y102" i="22"/>
  <c r="AE102" i="22"/>
  <c r="AB123" i="22"/>
  <c r="P123" i="22"/>
  <c r="AE123" i="22"/>
  <c r="S123" i="22"/>
  <c r="Y123" i="22"/>
  <c r="V143" i="22"/>
  <c r="Y143" i="22"/>
  <c r="AE143" i="22"/>
  <c r="S143" i="22"/>
  <c r="M162" i="22"/>
  <c r="AB162" i="22"/>
  <c r="P162" i="22"/>
  <c r="V162" i="22"/>
  <c r="AE183" i="22"/>
  <c r="S183" i="22"/>
  <c r="V183" i="22"/>
  <c r="M183" i="22"/>
  <c r="AB183" i="22"/>
  <c r="AB207" i="22"/>
  <c r="P207" i="22"/>
  <c r="AE207" i="22"/>
  <c r="S207" i="22"/>
  <c r="Y207" i="22"/>
  <c r="AE227" i="22"/>
  <c r="V227" i="22"/>
  <c r="Y227" i="22"/>
  <c r="S227" i="22"/>
  <c r="AF72" i="22"/>
  <c r="AG72" i="22" s="1"/>
  <c r="AF80" i="22"/>
  <c r="AG80" i="22" s="1"/>
  <c r="AF88" i="22"/>
  <c r="AG88" i="22" s="1"/>
  <c r="AF107" i="22"/>
  <c r="AG107" i="22" s="1"/>
  <c r="M127" i="22"/>
  <c r="AF135" i="22"/>
  <c r="AG135" i="22" s="1"/>
  <c r="AF164" i="22"/>
  <c r="AG164" i="22" s="1"/>
  <c r="AF185" i="22"/>
  <c r="AG185" i="22" s="1"/>
  <c r="P158" i="22"/>
  <c r="S55" i="22"/>
  <c r="S102" i="22"/>
  <c r="Y83" i="22"/>
  <c r="AB127" i="22"/>
  <c r="AB169" i="22"/>
  <c r="AB211" i="22"/>
  <c r="J112" i="24"/>
  <c r="P112" i="24"/>
  <c r="AE112" i="24"/>
  <c r="M112" i="24"/>
  <c r="V112" i="24"/>
  <c r="Y112" i="24"/>
  <c r="AB112" i="24"/>
  <c r="S112" i="24"/>
  <c r="S108" i="4"/>
  <c r="AE146" i="4"/>
  <c r="P170" i="4"/>
  <c r="J68" i="10"/>
  <c r="AE24" i="10"/>
  <c r="AE74" i="10"/>
  <c r="AE84" i="10"/>
  <c r="AE100" i="10"/>
  <c r="AE134" i="10"/>
  <c r="AB14" i="10"/>
  <c r="AB30" i="10"/>
  <c r="AB124" i="10"/>
  <c r="AF97" i="10"/>
  <c r="AG97" i="10" s="1"/>
  <c r="Y155" i="10"/>
  <c r="V24" i="10"/>
  <c r="AF66" i="10"/>
  <c r="AG66" i="10" s="1"/>
  <c r="V74" i="10"/>
  <c r="V84" i="10"/>
  <c r="V100" i="10"/>
  <c r="V134" i="10"/>
  <c r="S24" i="10"/>
  <c r="S74" i="10"/>
  <c r="S84" i="10"/>
  <c r="S100" i="10"/>
  <c r="S134" i="10"/>
  <c r="P134" i="10"/>
  <c r="AF134" i="10" s="1"/>
  <c r="AG134" i="10" s="1"/>
  <c r="M19" i="10"/>
  <c r="M133" i="10"/>
  <c r="AB38" i="19"/>
  <c r="AB40" i="19" s="1"/>
  <c r="J38" i="19"/>
  <c r="J40" i="19" s="1"/>
  <c r="AE38" i="19"/>
  <c r="V15" i="20"/>
  <c r="S15" i="20"/>
  <c r="P15" i="20"/>
  <c r="M15" i="20"/>
  <c r="J15" i="20"/>
  <c r="S11" i="20"/>
  <c r="AE27" i="22"/>
  <c r="S27" i="22"/>
  <c r="V27" i="22"/>
  <c r="AB27" i="22"/>
  <c r="AF31" i="22"/>
  <c r="AG31" i="22" s="1"/>
  <c r="AF35" i="22"/>
  <c r="AG35" i="22" s="1"/>
  <c r="AF39" i="22"/>
  <c r="AG39" i="22" s="1"/>
  <c r="AF50" i="22"/>
  <c r="AG50" i="22" s="1"/>
  <c r="AE56" i="22"/>
  <c r="S56" i="22"/>
  <c r="Y56" i="22"/>
  <c r="V66" i="22"/>
  <c r="AB66" i="22"/>
  <c r="J144" i="22"/>
  <c r="J145" i="22" s="1"/>
  <c r="AE109" i="22"/>
  <c r="S109" i="22"/>
  <c r="V109" i="22"/>
  <c r="M109" i="22"/>
  <c r="AB109" i="22"/>
  <c r="AE130" i="22"/>
  <c r="S130" i="22"/>
  <c r="Y130" i="22"/>
  <c r="M170" i="22"/>
  <c r="AB170" i="22"/>
  <c r="P170" i="22"/>
  <c r="V170" i="22"/>
  <c r="M192" i="22"/>
  <c r="Y192" i="22"/>
  <c r="AE192" i="22"/>
  <c r="AE214" i="22"/>
  <c r="S214" i="22"/>
  <c r="Y214" i="22"/>
  <c r="AE232" i="22"/>
  <c r="V232" i="22"/>
  <c r="AB232" i="22"/>
  <c r="M27" i="22"/>
  <c r="AF54" i="22"/>
  <c r="AG54" i="22" s="1"/>
  <c r="AF73" i="22"/>
  <c r="AG73" i="22" s="1"/>
  <c r="AF81" i="22"/>
  <c r="AG81" i="22" s="1"/>
  <c r="AF98" i="22"/>
  <c r="AG98" i="22" s="1"/>
  <c r="AF108" i="22"/>
  <c r="AG108" i="22" s="1"/>
  <c r="AF147" i="22"/>
  <c r="AG147" i="22" s="1"/>
  <c r="AF165" i="22"/>
  <c r="AG165" i="22" s="1"/>
  <c r="AF174" i="22"/>
  <c r="AG174" i="22" s="1"/>
  <c r="AF186" i="22"/>
  <c r="AG186" i="22" s="1"/>
  <c r="M207" i="22"/>
  <c r="P19" i="22"/>
  <c r="AF29" i="22"/>
  <c r="AG29" i="22" s="1"/>
  <c r="P130" i="22"/>
  <c r="P169" i="22"/>
  <c r="S66" i="22"/>
  <c r="V102" i="22"/>
  <c r="AF104" i="22"/>
  <c r="AG104" i="22" s="1"/>
  <c r="AE55" i="22"/>
  <c r="AE66" i="22"/>
  <c r="P107" i="24"/>
  <c r="AE107" i="24"/>
  <c r="M107" i="24"/>
  <c r="V107" i="24"/>
  <c r="AB107" i="24"/>
  <c r="Y107" i="24"/>
  <c r="S107" i="24"/>
  <c r="J107" i="24"/>
  <c r="P181" i="24"/>
  <c r="AE181" i="24"/>
  <c r="M181" i="24"/>
  <c r="S181" i="24"/>
  <c r="V181" i="24"/>
  <c r="AB181" i="24"/>
  <c r="Y181" i="24"/>
  <c r="M191" i="24"/>
  <c r="S191" i="24"/>
  <c r="V191" i="24"/>
  <c r="AB191" i="24"/>
  <c r="Y191" i="24"/>
  <c r="P191" i="24"/>
  <c r="J191" i="24"/>
  <c r="AE191" i="24"/>
  <c r="AF39" i="24"/>
  <c r="AG39" i="24" s="1"/>
  <c r="S92" i="4"/>
  <c r="J100" i="4"/>
  <c r="M136" i="4"/>
  <c r="AB140" i="4"/>
  <c r="V170" i="4"/>
  <c r="J178" i="4"/>
  <c r="AE178" i="4"/>
  <c r="J10" i="10"/>
  <c r="J49" i="10"/>
  <c r="J112" i="10"/>
  <c r="J124" i="10"/>
  <c r="J134" i="10"/>
  <c r="AE49" i="10"/>
  <c r="AE59" i="10"/>
  <c r="AE93" i="10"/>
  <c r="AB117" i="10"/>
  <c r="AB133" i="10"/>
  <c r="Y30" i="10"/>
  <c r="Y124" i="10"/>
  <c r="V49" i="10"/>
  <c r="V59" i="10"/>
  <c r="V93" i="10"/>
  <c r="AF162" i="10"/>
  <c r="AG162" i="10" s="1"/>
  <c r="AF170" i="10"/>
  <c r="AG170" i="10" s="1"/>
  <c r="AF178" i="10"/>
  <c r="AG178" i="10" s="1"/>
  <c r="AF186" i="10"/>
  <c r="AG186" i="10" s="1"/>
  <c r="AF194" i="10"/>
  <c r="AG194" i="10" s="1"/>
  <c r="AF202" i="10"/>
  <c r="AG202" i="10" s="1"/>
  <c r="AF210" i="10"/>
  <c r="AG210" i="10" s="1"/>
  <c r="AF218" i="10"/>
  <c r="AG218" i="10" s="1"/>
  <c r="S49" i="10"/>
  <c r="S59" i="10"/>
  <c r="S93" i="10"/>
  <c r="P93" i="10"/>
  <c r="AF142" i="10"/>
  <c r="AG142" i="10" s="1"/>
  <c r="J6" i="19"/>
  <c r="V26" i="19"/>
  <c r="Y26" i="19"/>
  <c r="M29" i="19"/>
  <c r="Y16" i="20"/>
  <c r="AB16" i="20"/>
  <c r="AE16" i="20"/>
  <c r="AB15" i="20"/>
  <c r="AF12" i="22"/>
  <c r="AG12" i="22" s="1"/>
  <c r="AF16" i="22"/>
  <c r="AG16" i="22" s="1"/>
  <c r="AF36" i="22"/>
  <c r="AG36" i="22" s="1"/>
  <c r="AE51" i="22"/>
  <c r="S51" i="22"/>
  <c r="V51" i="22"/>
  <c r="AB51" i="22"/>
  <c r="AF61" i="22"/>
  <c r="AG61" i="22" s="1"/>
  <c r="AE117" i="22"/>
  <c r="S117" i="22"/>
  <c r="V117" i="22"/>
  <c r="M117" i="22"/>
  <c r="AB117" i="22"/>
  <c r="AB139" i="22"/>
  <c r="P139" i="22"/>
  <c r="AE139" i="22"/>
  <c r="S139" i="22"/>
  <c r="Y139" i="22"/>
  <c r="V158" i="22"/>
  <c r="AB158" i="22"/>
  <c r="Y179" i="22"/>
  <c r="AB179" i="22"/>
  <c r="P179" i="22"/>
  <c r="V179" i="22"/>
  <c r="AB199" i="22"/>
  <c r="P199" i="22"/>
  <c r="AE199" i="22"/>
  <c r="S199" i="22"/>
  <c r="Y199" i="22"/>
  <c r="AB223" i="22"/>
  <c r="P223" i="22"/>
  <c r="AE223" i="22"/>
  <c r="S223" i="22"/>
  <c r="Y223" i="22"/>
  <c r="AF2" i="22"/>
  <c r="AG2" i="22" s="1"/>
  <c r="M19" i="22"/>
  <c r="M56" i="22"/>
  <c r="AF74" i="22"/>
  <c r="AG74" i="22" s="1"/>
  <c r="AF129" i="22"/>
  <c r="AG129" i="22" s="1"/>
  <c r="AF137" i="22"/>
  <c r="AG137" i="22" s="1"/>
  <c r="AF156" i="22"/>
  <c r="AG156" i="22" s="1"/>
  <c r="M199" i="22"/>
  <c r="P106" i="22"/>
  <c r="V123" i="22"/>
  <c r="V214" i="22"/>
  <c r="V223" i="22"/>
  <c r="Y27" i="22"/>
  <c r="Y158" i="22"/>
  <c r="Y232" i="22"/>
  <c r="AB60" i="22"/>
  <c r="AE170" i="22"/>
  <c r="P97" i="24"/>
  <c r="AE97" i="24"/>
  <c r="M97" i="24"/>
  <c r="V97" i="24"/>
  <c r="Y97" i="24"/>
  <c r="S97" i="24"/>
  <c r="P133" i="24"/>
  <c r="AE133" i="24"/>
  <c r="M133" i="24"/>
  <c r="V133" i="24"/>
  <c r="AB133" i="24"/>
  <c r="Y133" i="24"/>
  <c r="S133" i="24"/>
  <c r="J137" i="24"/>
  <c r="S137" i="24"/>
  <c r="AE137" i="24"/>
  <c r="M137" i="24"/>
  <c r="P137" i="24"/>
  <c r="P141" i="24"/>
  <c r="AE141" i="24"/>
  <c r="M141" i="24"/>
  <c r="V141" i="24"/>
  <c r="AB141" i="24"/>
  <c r="Y141" i="24"/>
  <c r="J141" i="24"/>
  <c r="S141" i="24"/>
  <c r="P157" i="24"/>
  <c r="AE157" i="24"/>
  <c r="M157" i="24"/>
  <c r="V157" i="24"/>
  <c r="AB157" i="24"/>
  <c r="Y157" i="24"/>
  <c r="S157" i="24"/>
  <c r="AE330" i="24"/>
  <c r="M330" i="24"/>
  <c r="P330" i="24"/>
  <c r="V330" i="24"/>
  <c r="AB330" i="24"/>
  <c r="Y330" i="24"/>
  <c r="S330" i="24"/>
  <c r="S334" i="24"/>
  <c r="P334" i="24"/>
  <c r="M334" i="24"/>
  <c r="AE334" i="24"/>
  <c r="AB334" i="24"/>
  <c r="J339" i="24"/>
  <c r="M339" i="24"/>
  <c r="AE339" i="24"/>
  <c r="P339" i="24"/>
  <c r="S339" i="24"/>
  <c r="V339" i="24"/>
  <c r="AB339" i="24"/>
  <c r="Y339" i="24"/>
  <c r="V240" i="24"/>
  <c r="P3" i="24"/>
  <c r="AE3" i="24"/>
  <c r="M3" i="24"/>
  <c r="V3" i="24"/>
  <c r="Y3" i="24"/>
  <c r="AB3" i="24"/>
  <c r="S3" i="24"/>
  <c r="AE12" i="24"/>
  <c r="M12" i="24"/>
  <c r="P12" i="24"/>
  <c r="V12" i="24"/>
  <c r="AB12" i="24"/>
  <c r="Y12" i="24"/>
  <c r="S12" i="24"/>
  <c r="P41" i="24"/>
  <c r="AE41" i="24"/>
  <c r="V41" i="24"/>
  <c r="AB54" i="24"/>
  <c r="Y54" i="24"/>
  <c r="S54" i="24"/>
  <c r="AE54" i="24"/>
  <c r="S95" i="24"/>
  <c r="P95" i="24"/>
  <c r="AE95" i="24"/>
  <c r="M95" i="24"/>
  <c r="J110" i="24"/>
  <c r="AB110" i="24"/>
  <c r="Y110" i="24"/>
  <c r="S110" i="24"/>
  <c r="AE110" i="24"/>
  <c r="M110" i="24"/>
  <c r="AF143" i="24"/>
  <c r="AG143" i="24" s="1"/>
  <c r="P147" i="24"/>
  <c r="AE147" i="24"/>
  <c r="S147" i="24"/>
  <c r="M147" i="24"/>
  <c r="J147" i="24"/>
  <c r="V147" i="24"/>
  <c r="AE172" i="24"/>
  <c r="M172" i="24"/>
  <c r="S172" i="24"/>
  <c r="V172" i="24"/>
  <c r="AB172" i="24"/>
  <c r="Y172" i="24"/>
  <c r="S185" i="24"/>
  <c r="P185" i="24"/>
  <c r="AE185" i="24"/>
  <c r="M192" i="24"/>
  <c r="AB192" i="24"/>
  <c r="Y192" i="24"/>
  <c r="P192" i="24"/>
  <c r="J192" i="24"/>
  <c r="S241" i="24"/>
  <c r="AE241" i="24"/>
  <c r="M241" i="24"/>
  <c r="P295" i="24"/>
  <c r="AE295" i="24"/>
  <c r="S295" i="24"/>
  <c r="V295" i="24"/>
  <c r="AB41" i="24"/>
  <c r="AB104" i="24"/>
  <c r="S41" i="24"/>
  <c r="P54" i="24"/>
  <c r="AF8" i="24"/>
  <c r="AG8" i="24" s="1"/>
  <c r="J175" i="27"/>
  <c r="AF77" i="22"/>
  <c r="AG77" i="22" s="1"/>
  <c r="AF85" i="22"/>
  <c r="AG85" i="22" s="1"/>
  <c r="AE5" i="22"/>
  <c r="AE45" i="22"/>
  <c r="AE20" i="24"/>
  <c r="M20" i="24"/>
  <c r="P20" i="24"/>
  <c r="V20" i="24"/>
  <c r="AB20" i="24"/>
  <c r="Y20" i="24"/>
  <c r="S20" i="24"/>
  <c r="AE44" i="24"/>
  <c r="M44" i="24"/>
  <c r="V44" i="24"/>
  <c r="AB44" i="24"/>
  <c r="Y44" i="24"/>
  <c r="S44" i="24"/>
  <c r="P51" i="24"/>
  <c r="AE51" i="24"/>
  <c r="M51" i="24"/>
  <c r="V51" i="24"/>
  <c r="AB51" i="24"/>
  <c r="Y51" i="24"/>
  <c r="S51" i="24"/>
  <c r="J85" i="24"/>
  <c r="M85" i="24"/>
  <c r="V85" i="24"/>
  <c r="AB85" i="24"/>
  <c r="Y85" i="24"/>
  <c r="AE85" i="24"/>
  <c r="P85" i="24"/>
  <c r="S85" i="24"/>
  <c r="J95" i="24"/>
  <c r="J104" i="24"/>
  <c r="M117" i="24"/>
  <c r="V117" i="24"/>
  <c r="AB117" i="24"/>
  <c r="Y117" i="24"/>
  <c r="P117" i="24"/>
  <c r="S117" i="24"/>
  <c r="G116" i="24"/>
  <c r="J126" i="24"/>
  <c r="AE126" i="24"/>
  <c r="M126" i="24"/>
  <c r="V126" i="24"/>
  <c r="AB126" i="24"/>
  <c r="Y126" i="24"/>
  <c r="S126" i="24"/>
  <c r="AF158" i="24"/>
  <c r="AG158" i="24" s="1"/>
  <c r="S161" i="24"/>
  <c r="M161" i="24"/>
  <c r="J172" i="24"/>
  <c r="J241" i="24"/>
  <c r="S278" i="24"/>
  <c r="P278" i="24"/>
  <c r="AE278" i="24"/>
  <c r="M278" i="24"/>
  <c r="V278" i="24"/>
  <c r="AB278" i="24"/>
  <c r="Y278" i="24"/>
  <c r="M343" i="24"/>
  <c r="Y104" i="24"/>
  <c r="AF47" i="24"/>
  <c r="AG47" i="24" s="1"/>
  <c r="V104" i="24"/>
  <c r="S192" i="24"/>
  <c r="P110" i="24"/>
  <c r="P241" i="24"/>
  <c r="AF63" i="24"/>
  <c r="AG63" i="24" s="1"/>
  <c r="M185" i="24"/>
  <c r="M295" i="24"/>
  <c r="AF110" i="25"/>
  <c r="AG110" i="25" s="1"/>
  <c r="M40" i="19"/>
  <c r="AE39" i="19"/>
  <c r="J5" i="20"/>
  <c r="J6" i="20" s="1"/>
  <c r="M5" i="20"/>
  <c r="M6" i="20" s="1"/>
  <c r="P5" i="20"/>
  <c r="P6" i="20" s="1"/>
  <c r="S5" i="20"/>
  <c r="S6" i="20" s="1"/>
  <c r="AF12" i="20"/>
  <c r="AG12" i="20" s="1"/>
  <c r="V5" i="20"/>
  <c r="V6" i="20" s="1"/>
  <c r="AF53" i="22"/>
  <c r="AG53" i="22" s="1"/>
  <c r="AF58" i="22"/>
  <c r="AG58" i="22" s="1"/>
  <c r="J62" i="22"/>
  <c r="AE235" i="22"/>
  <c r="M44" i="22"/>
  <c r="AF68" i="22"/>
  <c r="AG68" i="22" s="1"/>
  <c r="AF76" i="22"/>
  <c r="AG76" i="22" s="1"/>
  <c r="AF84" i="22"/>
  <c r="AG84" i="22" s="1"/>
  <c r="AF93" i="22"/>
  <c r="AG93" i="22" s="1"/>
  <c r="M101" i="22"/>
  <c r="AF125" i="22"/>
  <c r="AG125" i="22" s="1"/>
  <c r="AF133" i="22"/>
  <c r="AG133" i="22" s="1"/>
  <c r="AF141" i="22"/>
  <c r="AG141" i="22" s="1"/>
  <c r="AF151" i="22"/>
  <c r="AG151" i="22" s="1"/>
  <c r="M159" i="22"/>
  <c r="AF167" i="22"/>
  <c r="AG167" i="22" s="1"/>
  <c r="M175" i="22"/>
  <c r="AF201" i="22"/>
  <c r="AG201" i="22" s="1"/>
  <c r="AF209" i="22"/>
  <c r="AG209" i="22" s="1"/>
  <c r="M217" i="22"/>
  <c r="AF225" i="22"/>
  <c r="AG225" i="22" s="1"/>
  <c r="AF233" i="22"/>
  <c r="AG233" i="22" s="1"/>
  <c r="P22" i="22"/>
  <c r="P30" i="22"/>
  <c r="P38" i="22"/>
  <c r="P70" i="22"/>
  <c r="P154" i="22"/>
  <c r="P236" i="22"/>
  <c r="S48" i="22"/>
  <c r="S122" i="22"/>
  <c r="S138" i="22"/>
  <c r="S180" i="22"/>
  <c r="S196" i="22"/>
  <c r="V82" i="22"/>
  <c r="Y110" i="22"/>
  <c r="Y142" i="22"/>
  <c r="Y176" i="22"/>
  <c r="Y202" i="22"/>
  <c r="Y218" i="22"/>
  <c r="AB236" i="22"/>
  <c r="M21" i="24"/>
  <c r="V21" i="24"/>
  <c r="AB21" i="24"/>
  <c r="Y21" i="24"/>
  <c r="S21" i="24"/>
  <c r="P33" i="24"/>
  <c r="AE33" i="24"/>
  <c r="M33" i="24"/>
  <c r="V33" i="24"/>
  <c r="M45" i="24"/>
  <c r="V45" i="24"/>
  <c r="AB45" i="24"/>
  <c r="Y45" i="24"/>
  <c r="S45" i="24"/>
  <c r="AE45" i="24"/>
  <c r="P65" i="24"/>
  <c r="AE65" i="24"/>
  <c r="M65" i="24"/>
  <c r="V65" i="24"/>
  <c r="AE100" i="24"/>
  <c r="M100" i="24"/>
  <c r="V100" i="24"/>
  <c r="AB100" i="24"/>
  <c r="Y100" i="24"/>
  <c r="S100" i="24"/>
  <c r="AE150" i="24"/>
  <c r="M150" i="24"/>
  <c r="P150" i="24"/>
  <c r="V150" i="24"/>
  <c r="AB150" i="24"/>
  <c r="Y150" i="24"/>
  <c r="J150" i="24"/>
  <c r="P173" i="24"/>
  <c r="AE173" i="24"/>
  <c r="M173" i="24"/>
  <c r="S173" i="24"/>
  <c r="J173" i="24"/>
  <c r="V173" i="24"/>
  <c r="AB173" i="24"/>
  <c r="Y173" i="24"/>
  <c r="M223" i="24"/>
  <c r="V223" i="24"/>
  <c r="AB223" i="24"/>
  <c r="Y223" i="24"/>
  <c r="P223" i="24"/>
  <c r="S223" i="24"/>
  <c r="AE232" i="24"/>
  <c r="AB232" i="24"/>
  <c r="Y232" i="24"/>
  <c r="M232" i="24"/>
  <c r="J232" i="24"/>
  <c r="S304" i="24"/>
  <c r="P304" i="24"/>
  <c r="AE304" i="24"/>
  <c r="M304" i="24"/>
  <c r="V304" i="24"/>
  <c r="AB304" i="24"/>
  <c r="Y304" i="24"/>
  <c r="AF327" i="24"/>
  <c r="AG327" i="24" s="1"/>
  <c r="M347" i="24"/>
  <c r="V347" i="24"/>
  <c r="S347" i="24"/>
  <c r="AB347" i="24"/>
  <c r="Y347" i="24"/>
  <c r="AE347" i="24"/>
  <c r="P347" i="24"/>
  <c r="J352" i="24"/>
  <c r="Y161" i="24"/>
  <c r="AB95" i="24"/>
  <c r="AB295" i="24"/>
  <c r="V70" i="24"/>
  <c r="V161" i="24"/>
  <c r="AF22" i="24"/>
  <c r="AG22" i="24" s="1"/>
  <c r="AE223" i="24"/>
  <c r="AF78" i="10"/>
  <c r="AG78" i="10" s="1"/>
  <c r="AE22" i="20"/>
  <c r="AB22" i="20"/>
  <c r="AF3" i="22"/>
  <c r="AG3" i="22" s="1"/>
  <c r="J89" i="22"/>
  <c r="M5" i="22"/>
  <c r="M45" i="22"/>
  <c r="M69" i="22"/>
  <c r="AF94" i="22"/>
  <c r="AG94" i="22" s="1"/>
  <c r="AF118" i="22"/>
  <c r="AG118" i="22" s="1"/>
  <c r="P15" i="22"/>
  <c r="P23" i="22"/>
  <c r="P63" i="22"/>
  <c r="P97" i="22"/>
  <c r="P155" i="22"/>
  <c r="P195" i="22"/>
  <c r="S89" i="22"/>
  <c r="S131" i="22"/>
  <c r="V11" i="22"/>
  <c r="V59" i="22"/>
  <c r="V101" i="22"/>
  <c r="V159" i="22"/>
  <c r="V175" i="22"/>
  <c r="V217" i="22"/>
  <c r="Y5" i="22"/>
  <c r="Y45" i="22"/>
  <c r="Y69" i="22"/>
  <c r="Y235" i="22"/>
  <c r="AB15" i="22"/>
  <c r="AB63" i="22"/>
  <c r="AB97" i="22"/>
  <c r="AB155" i="22"/>
  <c r="AB195" i="22"/>
  <c r="AE89" i="22"/>
  <c r="AE131" i="22"/>
  <c r="M6" i="24"/>
  <c r="S101" i="24"/>
  <c r="AE128" i="24"/>
  <c r="M128" i="24"/>
  <c r="AB128" i="24"/>
  <c r="Y128" i="24"/>
  <c r="S128" i="24"/>
  <c r="P128" i="24"/>
  <c r="S146" i="24"/>
  <c r="P146" i="24"/>
  <c r="AE146" i="24"/>
  <c r="M146" i="24"/>
  <c r="S169" i="24"/>
  <c r="AE169" i="24"/>
  <c r="P169" i="24"/>
  <c r="J169" i="24"/>
  <c r="M169" i="24"/>
  <c r="AF190" i="24"/>
  <c r="AG190" i="24" s="1"/>
  <c r="S194" i="24"/>
  <c r="P194" i="24"/>
  <c r="AE194" i="24"/>
  <c r="S254" i="24"/>
  <c r="P254" i="24"/>
  <c r="AE254" i="24"/>
  <c r="M254" i="24"/>
  <c r="J254" i="24"/>
  <c r="V254" i="24"/>
  <c r="AB254" i="24"/>
  <c r="Y254" i="24"/>
  <c r="AE282" i="24"/>
  <c r="AB282" i="24"/>
  <c r="Y282" i="24"/>
  <c r="M282" i="24"/>
  <c r="J282" i="24"/>
  <c r="AE300" i="24"/>
  <c r="P300" i="24"/>
  <c r="AB300" i="24"/>
  <c r="Y300" i="24"/>
  <c r="M300" i="24"/>
  <c r="J300" i="24"/>
  <c r="Y95" i="24"/>
  <c r="Y185" i="24"/>
  <c r="V95" i="24"/>
  <c r="V192" i="24"/>
  <c r="AF23" i="24"/>
  <c r="AG23" i="24" s="1"/>
  <c r="P70" i="24"/>
  <c r="P161" i="24"/>
  <c r="P172" i="24"/>
  <c r="AE161" i="24"/>
  <c r="AE32" i="20"/>
  <c r="AB32" i="20"/>
  <c r="AF8" i="20"/>
  <c r="AG8" i="20" s="1"/>
  <c r="AF24" i="20"/>
  <c r="AG24" i="20" s="1"/>
  <c r="AF8" i="22"/>
  <c r="AG8" i="22" s="1"/>
  <c r="J23" i="22"/>
  <c r="M23" i="22"/>
  <c r="AF71" i="22"/>
  <c r="AG71" i="22" s="1"/>
  <c r="AF79" i="22"/>
  <c r="AG79" i="22" s="1"/>
  <c r="AF87" i="22"/>
  <c r="AG87" i="22" s="1"/>
  <c r="M236" i="22"/>
  <c r="S11" i="22"/>
  <c r="S59" i="22"/>
  <c r="S101" i="22"/>
  <c r="S159" i="22"/>
  <c r="S175" i="22"/>
  <c r="S217" i="22"/>
  <c r="V235" i="22"/>
  <c r="Y23" i="22"/>
  <c r="AB89" i="22"/>
  <c r="P24" i="24"/>
  <c r="AE24" i="24"/>
  <c r="M24" i="24"/>
  <c r="P32" i="24"/>
  <c r="AE32" i="24"/>
  <c r="M32" i="24"/>
  <c r="AE36" i="24"/>
  <c r="M36" i="24"/>
  <c r="V36" i="24"/>
  <c r="AB36" i="24"/>
  <c r="Y36" i="24"/>
  <c r="S36" i="24"/>
  <c r="P36" i="24"/>
  <c r="AB46" i="24"/>
  <c r="Y46" i="24"/>
  <c r="S46" i="24"/>
  <c r="AE46" i="24"/>
  <c r="M46" i="24"/>
  <c r="P46" i="24"/>
  <c r="J55" i="24"/>
  <c r="S55" i="24"/>
  <c r="AE55" i="24"/>
  <c r="M55" i="24"/>
  <c r="P55" i="24"/>
  <c r="M61" i="24"/>
  <c r="V61" i="24"/>
  <c r="AB61" i="24"/>
  <c r="Y61" i="24"/>
  <c r="S61" i="24"/>
  <c r="AE61" i="24"/>
  <c r="AB70" i="24"/>
  <c r="Y70" i="24"/>
  <c r="S70" i="24"/>
  <c r="J78" i="24"/>
  <c r="P78" i="24"/>
  <c r="AB78" i="24"/>
  <c r="Y78" i="24"/>
  <c r="M78" i="24"/>
  <c r="S78" i="24"/>
  <c r="AF102" i="24"/>
  <c r="AG102" i="24" s="1"/>
  <c r="J103" i="24"/>
  <c r="S103" i="24"/>
  <c r="P103" i="24"/>
  <c r="J109" i="24"/>
  <c r="G114" i="24"/>
  <c r="J114" i="24" s="1"/>
  <c r="J181" i="24"/>
  <c r="J194" i="24"/>
  <c r="M207" i="24"/>
  <c r="V207" i="24"/>
  <c r="AE207" i="24"/>
  <c r="S207" i="24"/>
  <c r="AB207" i="24"/>
  <c r="Y207" i="24"/>
  <c r="J207" i="24"/>
  <c r="S220" i="24"/>
  <c r="P220" i="24"/>
  <c r="AE220" i="24"/>
  <c r="M220" i="24"/>
  <c r="V220" i="24"/>
  <c r="AB220" i="24"/>
  <c r="Y220" i="24"/>
  <c r="P271" i="24"/>
  <c r="AE271" i="24"/>
  <c r="M271" i="24"/>
  <c r="V271" i="24"/>
  <c r="AB271" i="24"/>
  <c r="Y271" i="24"/>
  <c r="J271" i="24"/>
  <c r="P277" i="24"/>
  <c r="AE277" i="24"/>
  <c r="S277" i="24"/>
  <c r="J277" i="24"/>
  <c r="V277" i="24"/>
  <c r="AE308" i="24"/>
  <c r="AB308" i="24"/>
  <c r="Y308" i="24"/>
  <c r="S308" i="24"/>
  <c r="P308" i="24"/>
  <c r="Y41" i="24"/>
  <c r="Y241" i="24"/>
  <c r="AB55" i="24"/>
  <c r="AB65" i="24"/>
  <c r="AB103" i="24"/>
  <c r="AB277" i="24"/>
  <c r="V54" i="24"/>
  <c r="V185" i="24"/>
  <c r="V194" i="24"/>
  <c r="V232" i="24"/>
  <c r="V241" i="24"/>
  <c r="M104" i="24"/>
  <c r="AE104" i="24"/>
  <c r="P25" i="24"/>
  <c r="AE25" i="24"/>
  <c r="J29" i="24"/>
  <c r="M29" i="24"/>
  <c r="M37" i="24"/>
  <c r="J54" i="24"/>
  <c r="AE106" i="24"/>
  <c r="M106" i="24"/>
  <c r="AE124" i="24"/>
  <c r="M124" i="24"/>
  <c r="J156" i="24"/>
  <c r="AE180" i="24"/>
  <c r="M180" i="24"/>
  <c r="AE214" i="24"/>
  <c r="M214" i="24"/>
  <c r="P219" i="24"/>
  <c r="AE219" i="24"/>
  <c r="S228" i="24"/>
  <c r="P228" i="24"/>
  <c r="AE228" i="24"/>
  <c r="M228" i="24"/>
  <c r="P253" i="24"/>
  <c r="AE253" i="24"/>
  <c r="P263" i="24"/>
  <c r="AE263" i="24"/>
  <c r="M263" i="24"/>
  <c r="AF311" i="24"/>
  <c r="AG311" i="24" s="1"/>
  <c r="S344" i="24"/>
  <c r="P344" i="24"/>
  <c r="AE344" i="24"/>
  <c r="M344" i="24"/>
  <c r="S350" i="24"/>
  <c r="P350" i="24"/>
  <c r="Y66" i="24"/>
  <c r="Y74" i="24"/>
  <c r="Y82" i="24"/>
  <c r="Y90" i="24"/>
  <c r="Y106" i="24"/>
  <c r="Y124" i="24"/>
  <c r="Y132" i="24"/>
  <c r="Y140" i="24"/>
  <c r="Y180" i="24"/>
  <c r="Y228" i="24"/>
  <c r="Y320" i="24"/>
  <c r="Y344" i="24"/>
  <c r="AB66" i="24"/>
  <c r="AB74" i="24"/>
  <c r="AB82" i="24"/>
  <c r="AB90" i="24"/>
  <c r="AB106" i="24"/>
  <c r="AB124" i="24"/>
  <c r="AB132" i="24"/>
  <c r="AB140" i="24"/>
  <c r="AB180" i="24"/>
  <c r="AB228" i="24"/>
  <c r="AB320" i="24"/>
  <c r="AB344" i="24"/>
  <c r="V25" i="24"/>
  <c r="V73" i="24"/>
  <c r="V219" i="24"/>
  <c r="V253" i="24"/>
  <c r="AF303" i="24"/>
  <c r="AG303" i="24" s="1"/>
  <c r="AF335" i="24"/>
  <c r="AG335" i="24" s="1"/>
  <c r="V343" i="24"/>
  <c r="S11" i="24"/>
  <c r="S151" i="24"/>
  <c r="S222" i="24"/>
  <c r="S253" i="24"/>
  <c r="S264" i="24"/>
  <c r="S305" i="24"/>
  <c r="S314" i="24"/>
  <c r="S343" i="24"/>
  <c r="P7" i="24"/>
  <c r="P74" i="24"/>
  <c r="P136" i="24"/>
  <c r="P222" i="24"/>
  <c r="P264" i="24"/>
  <c r="P314" i="24"/>
  <c r="P358" i="24"/>
  <c r="M177" i="24"/>
  <c r="M259" i="24"/>
  <c r="M350" i="24"/>
  <c r="AE267" i="24"/>
  <c r="P211" i="24"/>
  <c r="AE211" i="24"/>
  <c r="AE272" i="24"/>
  <c r="M272" i="24"/>
  <c r="P329" i="24"/>
  <c r="AE329" i="24"/>
  <c r="M329" i="24"/>
  <c r="AE338" i="24"/>
  <c r="M338" i="24"/>
  <c r="Y11" i="24"/>
  <c r="Y329" i="24"/>
  <c r="AB11" i="24"/>
  <c r="AB165" i="24"/>
  <c r="AB229" i="24"/>
  <c r="AB263" i="24"/>
  <c r="AB297" i="24"/>
  <c r="AB305" i="24"/>
  <c r="AB329" i="24"/>
  <c r="V66" i="24"/>
  <c r="V106" i="24"/>
  <c r="V124" i="24"/>
  <c r="V180" i="24"/>
  <c r="V228" i="24"/>
  <c r="V344" i="24"/>
  <c r="S28" i="24"/>
  <c r="S160" i="24"/>
  <c r="S214" i="24"/>
  <c r="S315" i="24"/>
  <c r="S358" i="24"/>
  <c r="P37" i="24"/>
  <c r="P184" i="24"/>
  <c r="P315" i="24"/>
  <c r="P325" i="24"/>
  <c r="M86" i="24"/>
  <c r="M219" i="24"/>
  <c r="M260" i="24"/>
  <c r="AE176" i="24"/>
  <c r="AE216" i="24"/>
  <c r="AE315" i="24"/>
  <c r="AE325" i="24"/>
  <c r="Y163" i="25"/>
  <c r="Y164" i="25" s="1"/>
  <c r="S320" i="24"/>
  <c r="P320" i="24"/>
  <c r="AE320" i="24"/>
  <c r="M320" i="24"/>
  <c r="Y272" i="24"/>
  <c r="Y338" i="24"/>
  <c r="AB28" i="24"/>
  <c r="AB214" i="24"/>
  <c r="AB222" i="24"/>
  <c r="AB272" i="24"/>
  <c r="AB338" i="24"/>
  <c r="V263" i="24"/>
  <c r="V297" i="24"/>
  <c r="V329" i="24"/>
  <c r="S29" i="24"/>
  <c r="S37" i="24"/>
  <c r="S180" i="24"/>
  <c r="P28" i="24"/>
  <c r="P106" i="24"/>
  <c r="P176" i="24"/>
  <c r="P214" i="24"/>
  <c r="M136" i="24"/>
  <c r="M160" i="24"/>
  <c r="M292" i="24"/>
  <c r="M301" i="24"/>
  <c r="AF5" i="24"/>
  <c r="AG5" i="24" s="1"/>
  <c r="AE15" i="24"/>
  <c r="AE136" i="24"/>
  <c r="AE177" i="24"/>
  <c r="AE259" i="24"/>
  <c r="V93" i="26"/>
  <c r="AF92" i="26"/>
  <c r="AG92" i="26" s="1"/>
  <c r="P11" i="24"/>
  <c r="AE11" i="24"/>
  <c r="M11" i="24"/>
  <c r="AE66" i="24"/>
  <c r="M66" i="24"/>
  <c r="AE74" i="24"/>
  <c r="M74" i="24"/>
  <c r="P81" i="24"/>
  <c r="AE81" i="24"/>
  <c r="P89" i="24"/>
  <c r="AE89" i="24"/>
  <c r="M101" i="24"/>
  <c r="P165" i="24"/>
  <c r="AE165" i="24"/>
  <c r="M165" i="24"/>
  <c r="P229" i="24"/>
  <c r="AE229" i="24"/>
  <c r="M229" i="24"/>
  <c r="J259" i="24"/>
  <c r="AE264" i="24"/>
  <c r="M264" i="24"/>
  <c r="AF279" i="24"/>
  <c r="AG279" i="24" s="1"/>
  <c r="P305" i="24"/>
  <c r="AE305" i="24"/>
  <c r="M305" i="24"/>
  <c r="J308" i="24"/>
  <c r="AE314" i="24"/>
  <c r="M314" i="24"/>
  <c r="J320" i="24"/>
  <c r="AE348" i="24"/>
  <c r="AE357" i="24"/>
  <c r="M357" i="24"/>
  <c r="Y29" i="24"/>
  <c r="Y37" i="24"/>
  <c r="Y101" i="24"/>
  <c r="Y151" i="24"/>
  <c r="Y199" i="24"/>
  <c r="Y315" i="24"/>
  <c r="Y358" i="24"/>
  <c r="AB29" i="24"/>
  <c r="AB37" i="24"/>
  <c r="AB101" i="24"/>
  <c r="AB151" i="24"/>
  <c r="AB199" i="24"/>
  <c r="AB315" i="24"/>
  <c r="V214" i="24"/>
  <c r="V264" i="24"/>
  <c r="V272" i="24"/>
  <c r="V314" i="24"/>
  <c r="V338" i="24"/>
  <c r="V357" i="24"/>
  <c r="S6" i="24"/>
  <c r="S86" i="24"/>
  <c r="S136" i="24"/>
  <c r="S199" i="24"/>
  <c r="S216" i="24"/>
  <c r="S338" i="24"/>
  <c r="P29" i="24"/>
  <c r="P86" i="24"/>
  <c r="P177" i="24"/>
  <c r="P225" i="24"/>
  <c r="P267" i="24"/>
  <c r="P338" i="24"/>
  <c r="P348" i="24"/>
  <c r="M15" i="24"/>
  <c r="M25" i="24"/>
  <c r="M211" i="24"/>
  <c r="M253" i="24"/>
  <c r="M283" i="24"/>
  <c r="M333" i="24"/>
  <c r="M183" i="25"/>
  <c r="AF103" i="25"/>
  <c r="AG103" i="25" s="1"/>
  <c r="AE6" i="24"/>
  <c r="AE37" i="24"/>
  <c r="AE86" i="24"/>
  <c r="AE283" i="24"/>
  <c r="AE28" i="24"/>
  <c r="M28" i="24"/>
  <c r="AF60" i="24"/>
  <c r="AG60" i="24" s="1"/>
  <c r="P73" i="24"/>
  <c r="AE73" i="24"/>
  <c r="AE82" i="24"/>
  <c r="M82" i="24"/>
  <c r="AE90" i="24"/>
  <c r="M90" i="24"/>
  <c r="P113" i="24"/>
  <c r="AE113" i="24"/>
  <c r="AE132" i="24"/>
  <c r="M132" i="24"/>
  <c r="AE140" i="24"/>
  <c r="M140" i="24"/>
  <c r="J165" i="24"/>
  <c r="P195" i="24"/>
  <c r="AE195" i="24"/>
  <c r="J198" i="24"/>
  <c r="J211" i="24"/>
  <c r="J222" i="24"/>
  <c r="AE222" i="24"/>
  <c r="M222" i="24"/>
  <c r="S226" i="24"/>
  <c r="P226" i="24"/>
  <c r="S260" i="24"/>
  <c r="P260" i="24"/>
  <c r="AF285" i="24"/>
  <c r="AG285" i="24" s="1"/>
  <c r="P297" i="24"/>
  <c r="AE297" i="24"/>
  <c r="M297" i="24"/>
  <c r="J343" i="24"/>
  <c r="P343" i="24"/>
  <c r="AE343" i="24"/>
  <c r="J357" i="24"/>
  <c r="M358" i="24"/>
  <c r="Y6" i="24"/>
  <c r="Y86" i="24"/>
  <c r="Y136" i="24"/>
  <c r="Y160" i="24"/>
  <c r="Y176" i="24"/>
  <c r="Y184" i="24"/>
  <c r="Y216" i="24"/>
  <c r="Y292" i="24"/>
  <c r="Y348" i="24"/>
  <c r="AB6" i="24"/>
  <c r="AB136" i="24"/>
  <c r="AB160" i="24"/>
  <c r="AB216" i="24"/>
  <c r="AB292" i="24"/>
  <c r="AB348" i="24"/>
  <c r="V29" i="24"/>
  <c r="V37" i="24"/>
  <c r="V101" i="24"/>
  <c r="V151" i="24"/>
  <c r="V199" i="24"/>
  <c r="V315" i="24"/>
  <c r="V358" i="24"/>
  <c r="S7" i="24"/>
  <c r="S229" i="24"/>
  <c r="S329" i="24"/>
  <c r="S348" i="24"/>
  <c r="P140" i="24"/>
  <c r="P151" i="24"/>
  <c r="P160" i="24"/>
  <c r="AF48" i="24"/>
  <c r="AG48" i="24" s="1"/>
  <c r="M89" i="24"/>
  <c r="M113" i="24"/>
  <c r="M225" i="24"/>
  <c r="M11" i="25"/>
  <c r="P118" i="25"/>
  <c r="AF47" i="25"/>
  <c r="AG47" i="25" s="1"/>
  <c r="AE101" i="24"/>
  <c r="AE199" i="24"/>
  <c r="AE350" i="24"/>
  <c r="AF111" i="25"/>
  <c r="AG111" i="25" s="1"/>
  <c r="AF49" i="24"/>
  <c r="AG49" i="24" s="1"/>
  <c r="M163" i="25"/>
  <c r="M164" i="25" s="1"/>
  <c r="AF337" i="24"/>
  <c r="AG337" i="24" s="1"/>
  <c r="V134" i="25"/>
  <c r="M167" i="25"/>
  <c r="AF188" i="24"/>
  <c r="AG188" i="24" s="1"/>
  <c r="P163" i="25"/>
  <c r="P164" i="25" s="1"/>
  <c r="AF157" i="27"/>
  <c r="AG157" i="27" s="1"/>
  <c r="J174" i="27"/>
  <c r="AF174" i="27" s="1"/>
  <c r="AG174" i="27" s="1"/>
  <c r="J129" i="26"/>
  <c r="AF55" i="25"/>
  <c r="AG55" i="25" s="1"/>
  <c r="AF127" i="25"/>
  <c r="AG127" i="25" s="1"/>
  <c r="AF189" i="24"/>
  <c r="AG189" i="24" s="1"/>
  <c r="AE163" i="25"/>
  <c r="AE164" i="25" s="1"/>
  <c r="S163" i="25"/>
  <c r="S164" i="25" s="1"/>
  <c r="AE93" i="26"/>
  <c r="AE129" i="26" s="1"/>
  <c r="AE130" i="26" s="1"/>
  <c r="AF31" i="25"/>
  <c r="AG31" i="25" s="1"/>
  <c r="J163" i="25"/>
  <c r="J164" i="25" s="1"/>
  <c r="AF191" i="25"/>
  <c r="AG191" i="25" s="1"/>
  <c r="AF4" i="24"/>
  <c r="AG4" i="24" s="1"/>
  <c r="AB163" i="25"/>
  <c r="AB164" i="25" s="1"/>
  <c r="V163" i="25"/>
  <c r="V164" i="25" s="1"/>
  <c r="AG91" i="27"/>
  <c r="AF92" i="27"/>
  <c r="AF206" i="24"/>
  <c r="AG206" i="24" s="1"/>
  <c r="AF238" i="24"/>
  <c r="AG238" i="24" s="1"/>
  <c r="AF71" i="24"/>
  <c r="AG71" i="24" s="1"/>
  <c r="AF127" i="24"/>
  <c r="AG127" i="24" s="1"/>
  <c r="AF197" i="24"/>
  <c r="AG197" i="24" s="1"/>
  <c r="AF230" i="24"/>
  <c r="AG230" i="24" s="1"/>
  <c r="AF239" i="24"/>
  <c r="AG239" i="24" s="1"/>
  <c r="AF94" i="24"/>
  <c r="AG94" i="24" s="1"/>
  <c r="AF231" i="24"/>
  <c r="AG231" i="24" s="1"/>
  <c r="AF255" i="24"/>
  <c r="AG255" i="24" s="1"/>
  <c r="AF79" i="24"/>
  <c r="AG79" i="24" s="1"/>
  <c r="AF111" i="24"/>
  <c r="AG111" i="24" s="1"/>
  <c r="AF210" i="22"/>
  <c r="AG210" i="22" s="1"/>
  <c r="AF226" i="22"/>
  <c r="AG226" i="22" s="1"/>
  <c r="AF230" i="22"/>
  <c r="AG230" i="22" s="1"/>
  <c r="AF203" i="22"/>
  <c r="AG203" i="22" s="1"/>
  <c r="AF215" i="22"/>
  <c r="AG215" i="22" s="1"/>
  <c r="AF219" i="22"/>
  <c r="AG219" i="22" s="1"/>
  <c r="AF227" i="22"/>
  <c r="AG227" i="22" s="1"/>
  <c r="AF206" i="22"/>
  <c r="AG206" i="22" s="1"/>
  <c r="AF222" i="22"/>
  <c r="AG222" i="22" s="1"/>
  <c r="AF234" i="22"/>
  <c r="AG234" i="22" s="1"/>
  <c r="AF200" i="22"/>
  <c r="AG200" i="22" s="1"/>
  <c r="AF216" i="22"/>
  <c r="AG216" i="22" s="1"/>
  <c r="V32" i="25"/>
  <c r="S32" i="25"/>
  <c r="P32" i="25"/>
  <c r="Y32" i="25"/>
  <c r="M32" i="25"/>
  <c r="AB32" i="25"/>
  <c r="V36" i="25"/>
  <c r="S36" i="25"/>
  <c r="P36" i="25"/>
  <c r="M36" i="25"/>
  <c r="AB36" i="25"/>
  <c r="Y36" i="25"/>
  <c r="V44" i="25"/>
  <c r="S44" i="25"/>
  <c r="P44" i="25"/>
  <c r="Y44" i="25"/>
  <c r="M44" i="25"/>
  <c r="AB44" i="25"/>
  <c r="V49" i="25"/>
  <c r="S49" i="25"/>
  <c r="P49" i="25"/>
  <c r="Y49" i="25"/>
  <c r="M49" i="25"/>
  <c r="AB49" i="25"/>
  <c r="V61" i="25"/>
  <c r="S61" i="25"/>
  <c r="P61" i="25"/>
  <c r="Y61" i="25"/>
  <c r="M61" i="25"/>
  <c r="AB61" i="25"/>
  <c r="V64" i="25"/>
  <c r="S64" i="25"/>
  <c r="P64" i="25"/>
  <c r="Y64" i="25"/>
  <c r="M64" i="25"/>
  <c r="AB64" i="25"/>
  <c r="V69" i="25"/>
  <c r="S69" i="25"/>
  <c r="P69" i="25"/>
  <c r="Y69" i="25"/>
  <c r="M69" i="25"/>
  <c r="AB69" i="25"/>
  <c r="V73" i="25"/>
  <c r="S73" i="25"/>
  <c r="P73" i="25"/>
  <c r="Y73" i="25"/>
  <c r="M73" i="25"/>
  <c r="AB73" i="25"/>
  <c r="V77" i="25"/>
  <c r="S77" i="25"/>
  <c r="P77" i="25"/>
  <c r="Y77" i="25"/>
  <c r="M77" i="25"/>
  <c r="AB77" i="25"/>
  <c r="Y82" i="25"/>
  <c r="M82" i="25"/>
  <c r="AB82" i="25"/>
  <c r="P82" i="25"/>
  <c r="S82" i="25"/>
  <c r="AE82" i="25"/>
  <c r="V93" i="25"/>
  <c r="S93" i="25"/>
  <c r="P93" i="25"/>
  <c r="Y93" i="25"/>
  <c r="M93" i="25"/>
  <c r="AB93" i="25"/>
  <c r="V97" i="25"/>
  <c r="S97" i="25"/>
  <c r="P97" i="25"/>
  <c r="Y97" i="25"/>
  <c r="M97" i="25"/>
  <c r="AB97" i="25"/>
  <c r="Y102" i="25"/>
  <c r="P102" i="25"/>
  <c r="M102" i="25"/>
  <c r="AB102" i="25"/>
  <c r="S102" i="25"/>
  <c r="V102" i="25"/>
  <c r="AE102" i="25"/>
  <c r="Y106" i="25"/>
  <c r="M106" i="25"/>
  <c r="AB106" i="25"/>
  <c r="P106" i="25"/>
  <c r="S106" i="25"/>
  <c r="AE106" i="25"/>
  <c r="V125" i="25"/>
  <c r="S125" i="25"/>
  <c r="P125" i="25"/>
  <c r="Y125" i="25"/>
  <c r="M125" i="25"/>
  <c r="AB125" i="25"/>
  <c r="V140" i="25"/>
  <c r="S140" i="25"/>
  <c r="P140" i="25"/>
  <c r="AE140" i="25"/>
  <c r="Y140" i="25"/>
  <c r="M140" i="25"/>
  <c r="AB140" i="25"/>
  <c r="Y150" i="25"/>
  <c r="M150" i="25"/>
  <c r="AB150" i="25"/>
  <c r="P150" i="25"/>
  <c r="S150" i="25"/>
  <c r="AE150" i="25"/>
  <c r="V172" i="25"/>
  <c r="S172" i="25"/>
  <c r="P172" i="25"/>
  <c r="AE172" i="25"/>
  <c r="M172" i="25"/>
  <c r="AB172" i="25"/>
  <c r="Y172" i="25"/>
  <c r="Y187" i="25"/>
  <c r="V187" i="25"/>
  <c r="S187" i="25"/>
  <c r="P187" i="25"/>
  <c r="V196" i="25"/>
  <c r="S196" i="25"/>
  <c r="P196" i="25"/>
  <c r="Y196" i="25"/>
  <c r="AE196" i="25"/>
  <c r="M196" i="25"/>
  <c r="AB196" i="25"/>
  <c r="V220" i="25"/>
  <c r="S220" i="25"/>
  <c r="P220" i="25"/>
  <c r="AE220" i="25"/>
  <c r="Y220" i="25"/>
  <c r="M220" i="25"/>
  <c r="AB220" i="25"/>
  <c r="J11" i="25"/>
  <c r="J63" i="25"/>
  <c r="J147" i="25"/>
  <c r="J167" i="25"/>
  <c r="J183" i="25"/>
  <c r="J187" i="25"/>
  <c r="AE32" i="25"/>
  <c r="AE36" i="25"/>
  <c r="AF40" i="25"/>
  <c r="AG40" i="25" s="1"/>
  <c r="AE44" i="25"/>
  <c r="AF48" i="25"/>
  <c r="AG48" i="25" s="1"/>
  <c r="AE60" i="25"/>
  <c r="AE64" i="25"/>
  <c r="AE68" i="25"/>
  <c r="AE72" i="25"/>
  <c r="AE76" i="25"/>
  <c r="AF80" i="25"/>
  <c r="AG80" i="25" s="1"/>
  <c r="AE125" i="25"/>
  <c r="M147" i="25"/>
  <c r="M187" i="25"/>
  <c r="P6" i="25"/>
  <c r="P18" i="25"/>
  <c r="V82" i="25"/>
  <c r="V106" i="25"/>
  <c r="V4" i="25"/>
  <c r="S4" i="25"/>
  <c r="P4" i="25"/>
  <c r="M4" i="25"/>
  <c r="AB4" i="25"/>
  <c r="Y4" i="25"/>
  <c r="V8" i="25"/>
  <c r="S8" i="25"/>
  <c r="Y8" i="25"/>
  <c r="P8" i="25"/>
  <c r="M8" i="25"/>
  <c r="AB8" i="25"/>
  <c r="V12" i="25"/>
  <c r="S12" i="25"/>
  <c r="Y12" i="25"/>
  <c r="P12" i="25"/>
  <c r="M12" i="25"/>
  <c r="AB12" i="25"/>
  <c r="V17" i="25"/>
  <c r="S17" i="25"/>
  <c r="Y17" i="25"/>
  <c r="P17" i="25"/>
  <c r="M17" i="25"/>
  <c r="AB17" i="25"/>
  <c r="V21" i="25"/>
  <c r="S21" i="25"/>
  <c r="Y21" i="25"/>
  <c r="P21" i="25"/>
  <c r="M21" i="25"/>
  <c r="AB21" i="25"/>
  <c r="V24" i="25"/>
  <c r="S24" i="25"/>
  <c r="Y24" i="25"/>
  <c r="P24" i="25"/>
  <c r="M24" i="25"/>
  <c r="AB24" i="25"/>
  <c r="V52" i="25"/>
  <c r="S52" i="25"/>
  <c r="P52" i="25"/>
  <c r="Y52" i="25"/>
  <c r="M52" i="25"/>
  <c r="AB52" i="25"/>
  <c r="V56" i="25"/>
  <c r="S56" i="25"/>
  <c r="P56" i="25"/>
  <c r="M56" i="25"/>
  <c r="AB56" i="25"/>
  <c r="Y56" i="25"/>
  <c r="Y126" i="25"/>
  <c r="P126" i="25"/>
  <c r="M126" i="25"/>
  <c r="AB126" i="25"/>
  <c r="S126" i="25"/>
  <c r="V126" i="25"/>
  <c r="AE126" i="25"/>
  <c r="V141" i="25"/>
  <c r="S141" i="25"/>
  <c r="P141" i="25"/>
  <c r="Y141" i="25"/>
  <c r="M141" i="25"/>
  <c r="AB141" i="25"/>
  <c r="Y171" i="25"/>
  <c r="V171" i="25"/>
  <c r="S171" i="25"/>
  <c r="P171" i="25"/>
  <c r="V180" i="25"/>
  <c r="S180" i="25"/>
  <c r="P180" i="25"/>
  <c r="AE180" i="25"/>
  <c r="Y180" i="25"/>
  <c r="M180" i="25"/>
  <c r="AB180" i="25"/>
  <c r="V184" i="25"/>
  <c r="S184" i="25"/>
  <c r="P184" i="25"/>
  <c r="AE184" i="25"/>
  <c r="Y184" i="25"/>
  <c r="M184" i="25"/>
  <c r="AB184" i="25"/>
  <c r="J4" i="25"/>
  <c r="J8" i="25"/>
  <c r="J12" i="25"/>
  <c r="J24" i="25"/>
  <c r="J32" i="25"/>
  <c r="J36" i="25"/>
  <c r="J44" i="25"/>
  <c r="J52" i="25"/>
  <c r="J56" i="25"/>
  <c r="J64" i="25"/>
  <c r="J140" i="25"/>
  <c r="J172" i="25"/>
  <c r="J180" i="25"/>
  <c r="J184" i="25"/>
  <c r="J196" i="25"/>
  <c r="J220" i="25"/>
  <c r="AF9" i="25"/>
  <c r="AG9" i="25" s="1"/>
  <c r="AE17" i="25"/>
  <c r="AE21" i="25"/>
  <c r="AE29" i="25"/>
  <c r="AE49" i="25"/>
  <c r="AE53" i="25"/>
  <c r="AE61" i="25"/>
  <c r="AE69" i="25"/>
  <c r="AE73" i="25"/>
  <c r="AE77" i="25"/>
  <c r="AF96" i="25"/>
  <c r="AG96" i="25" s="1"/>
  <c r="AE141" i="25"/>
  <c r="AE171" i="25"/>
  <c r="AE187" i="25"/>
  <c r="AB11" i="25"/>
  <c r="AB187" i="25"/>
  <c r="M171" i="25"/>
  <c r="AF2" i="25"/>
  <c r="AG2" i="25" s="1"/>
  <c r="V6" i="25"/>
  <c r="V18" i="25"/>
  <c r="V150" i="25"/>
  <c r="V33" i="25"/>
  <c r="S33" i="25"/>
  <c r="P33" i="25"/>
  <c r="Y33" i="25"/>
  <c r="M33" i="25"/>
  <c r="AB33" i="25"/>
  <c r="V37" i="25"/>
  <c r="S37" i="25"/>
  <c r="P37" i="25"/>
  <c r="Y37" i="25"/>
  <c r="M37" i="25"/>
  <c r="AB37" i="25"/>
  <c r="V45" i="25"/>
  <c r="S45" i="25"/>
  <c r="P45" i="25"/>
  <c r="Y45" i="25"/>
  <c r="M45" i="25"/>
  <c r="AB45" i="25"/>
  <c r="V60" i="25"/>
  <c r="S60" i="25"/>
  <c r="P60" i="25"/>
  <c r="M60" i="25"/>
  <c r="AB60" i="25"/>
  <c r="Y60" i="25"/>
  <c r="Y63" i="25"/>
  <c r="V63" i="25"/>
  <c r="S63" i="25"/>
  <c r="P63" i="25"/>
  <c r="V68" i="25"/>
  <c r="S68" i="25"/>
  <c r="P68" i="25"/>
  <c r="Y68" i="25"/>
  <c r="M68" i="25"/>
  <c r="AB68" i="25"/>
  <c r="V72" i="25"/>
  <c r="S72" i="25"/>
  <c r="P72" i="25"/>
  <c r="Y72" i="25"/>
  <c r="M72" i="25"/>
  <c r="AB72" i="25"/>
  <c r="V76" i="25"/>
  <c r="S76" i="25"/>
  <c r="P76" i="25"/>
  <c r="M76" i="25"/>
  <c r="AB76" i="25"/>
  <c r="Y76" i="25"/>
  <c r="V81" i="25"/>
  <c r="S81" i="25"/>
  <c r="P81" i="25"/>
  <c r="Y81" i="25"/>
  <c r="M81" i="25"/>
  <c r="AB81" i="25"/>
  <c r="V84" i="25"/>
  <c r="S84" i="25"/>
  <c r="P84" i="25"/>
  <c r="Y84" i="25"/>
  <c r="M84" i="25"/>
  <c r="AB84" i="25"/>
  <c r="Y94" i="25"/>
  <c r="S94" i="25"/>
  <c r="M94" i="25"/>
  <c r="AB94" i="25"/>
  <c r="V94" i="25"/>
  <c r="AE94" i="25"/>
  <c r="Y98" i="25"/>
  <c r="P98" i="25"/>
  <c r="M98" i="25"/>
  <c r="AB98" i="25"/>
  <c r="S98" i="25"/>
  <c r="V98" i="25"/>
  <c r="AE98" i="25"/>
  <c r="V105" i="25"/>
  <c r="S105" i="25"/>
  <c r="P105" i="25"/>
  <c r="Y105" i="25"/>
  <c r="M105" i="25"/>
  <c r="AB105" i="25"/>
  <c r="V112" i="25"/>
  <c r="S112" i="25"/>
  <c r="P112" i="25"/>
  <c r="AE112" i="25"/>
  <c r="Y112" i="25"/>
  <c r="M112" i="25"/>
  <c r="AB112" i="25"/>
  <c r="V133" i="25"/>
  <c r="S133" i="25"/>
  <c r="P133" i="25"/>
  <c r="Y133" i="25"/>
  <c r="M133" i="25"/>
  <c r="AB133" i="25"/>
  <c r="V145" i="25"/>
  <c r="S145" i="25"/>
  <c r="P145" i="25"/>
  <c r="Y145" i="25"/>
  <c r="M145" i="25"/>
  <c r="AB145" i="25"/>
  <c r="V168" i="25"/>
  <c r="S168" i="25"/>
  <c r="P168" i="25"/>
  <c r="AE168" i="25"/>
  <c r="Y168" i="25"/>
  <c r="M168" i="25"/>
  <c r="AB168" i="25"/>
  <c r="Y178" i="25"/>
  <c r="V178" i="25"/>
  <c r="M178" i="25"/>
  <c r="AB178" i="25"/>
  <c r="P178" i="25"/>
  <c r="AE178" i="25"/>
  <c r="Y183" i="25"/>
  <c r="V183" i="25"/>
  <c r="S183" i="25"/>
  <c r="P183" i="25"/>
  <c r="V213" i="25"/>
  <c r="S213" i="25"/>
  <c r="P213" i="25"/>
  <c r="Y213" i="25"/>
  <c r="M213" i="25"/>
  <c r="AB213" i="25"/>
  <c r="V221" i="25"/>
  <c r="S221" i="25"/>
  <c r="P221" i="25"/>
  <c r="Y221" i="25"/>
  <c r="M221" i="25"/>
  <c r="AB221" i="25"/>
  <c r="J17" i="25"/>
  <c r="J21" i="25"/>
  <c r="J33" i="25"/>
  <c r="J37" i="25"/>
  <c r="J45" i="25"/>
  <c r="J49" i="25"/>
  <c r="J61" i="25"/>
  <c r="J69" i="25"/>
  <c r="J73" i="25"/>
  <c r="J77" i="25"/>
  <c r="J81" i="25"/>
  <c r="J93" i="25"/>
  <c r="J97" i="25"/>
  <c r="J105" i="25"/>
  <c r="J117" i="25"/>
  <c r="J125" i="25"/>
  <c r="J133" i="25"/>
  <c r="J141" i="25"/>
  <c r="J145" i="25"/>
  <c r="AF165" i="25"/>
  <c r="AG165" i="25" s="1"/>
  <c r="J177" i="25"/>
  <c r="J197" i="25"/>
  <c r="J213" i="25"/>
  <c r="J221" i="25"/>
  <c r="AE97" i="25"/>
  <c r="AE167" i="25"/>
  <c r="AE183" i="25"/>
  <c r="AE213" i="25"/>
  <c r="AB63" i="25"/>
  <c r="AB171" i="25"/>
  <c r="AB183" i="25"/>
  <c r="Y6" i="25"/>
  <c r="M6" i="25"/>
  <c r="AB6" i="25"/>
  <c r="S6" i="25"/>
  <c r="Y11" i="25"/>
  <c r="V11" i="25"/>
  <c r="S11" i="25"/>
  <c r="P11" i="25"/>
  <c r="Y18" i="25"/>
  <c r="M18" i="25"/>
  <c r="AB18" i="25"/>
  <c r="S18" i="25"/>
  <c r="Y22" i="25"/>
  <c r="V22" i="25"/>
  <c r="M22" i="25"/>
  <c r="AB22" i="25"/>
  <c r="V29" i="25"/>
  <c r="S29" i="25"/>
  <c r="P29" i="25"/>
  <c r="Y29" i="25"/>
  <c r="M29" i="25"/>
  <c r="AB29" i="25"/>
  <c r="V53" i="25"/>
  <c r="S53" i="25"/>
  <c r="P53" i="25"/>
  <c r="Y53" i="25"/>
  <c r="M53" i="25"/>
  <c r="AB53" i="25"/>
  <c r="Y90" i="25"/>
  <c r="V90" i="25"/>
  <c r="M90" i="25"/>
  <c r="AB90" i="25"/>
  <c r="P90" i="25"/>
  <c r="AE90" i="25"/>
  <c r="V117" i="25"/>
  <c r="S117" i="25"/>
  <c r="P117" i="25"/>
  <c r="Y117" i="25"/>
  <c r="M117" i="25"/>
  <c r="AB117" i="25"/>
  <c r="Y118" i="25"/>
  <c r="S118" i="25"/>
  <c r="M118" i="25"/>
  <c r="AB118" i="25"/>
  <c r="V118" i="25"/>
  <c r="AE118" i="25"/>
  <c r="Y122" i="25"/>
  <c r="S122" i="25"/>
  <c r="M122" i="25"/>
  <c r="AB122" i="25"/>
  <c r="V122" i="25"/>
  <c r="AE122" i="25"/>
  <c r="Y134" i="25"/>
  <c r="M134" i="25"/>
  <c r="AB134" i="25"/>
  <c r="P134" i="25"/>
  <c r="S134" i="25"/>
  <c r="AE134" i="25"/>
  <c r="Y147" i="25"/>
  <c r="V147" i="25"/>
  <c r="S147" i="25"/>
  <c r="P147" i="25"/>
  <c r="Y167" i="25"/>
  <c r="V167" i="25"/>
  <c r="S167" i="25"/>
  <c r="P167" i="25"/>
  <c r="V177" i="25"/>
  <c r="S177" i="25"/>
  <c r="P177" i="25"/>
  <c r="Y177" i="25"/>
  <c r="M177" i="25"/>
  <c r="AB177" i="25"/>
  <c r="V193" i="25"/>
  <c r="S193" i="25"/>
  <c r="P193" i="25"/>
  <c r="Y193" i="25"/>
  <c r="M193" i="25"/>
  <c r="AB193" i="25"/>
  <c r="V197" i="25"/>
  <c r="S197" i="25"/>
  <c r="P197" i="25"/>
  <c r="Y197" i="25"/>
  <c r="M197" i="25"/>
  <c r="AB197" i="25"/>
  <c r="V216" i="25"/>
  <c r="S216" i="25"/>
  <c r="P216" i="25"/>
  <c r="AE216" i="25"/>
  <c r="Y216" i="25"/>
  <c r="M216" i="25"/>
  <c r="AB216" i="25"/>
  <c r="J6" i="25"/>
  <c r="J18" i="25"/>
  <c r="J22" i="25"/>
  <c r="J82" i="25"/>
  <c r="J90" i="25"/>
  <c r="J94" i="25"/>
  <c r="J98" i="25"/>
  <c r="J102" i="25"/>
  <c r="J106" i="25"/>
  <c r="J118" i="25"/>
  <c r="J122" i="25"/>
  <c r="J126" i="25"/>
  <c r="J134" i="25"/>
  <c r="J150" i="25"/>
  <c r="J178" i="25"/>
  <c r="AE11" i="25"/>
  <c r="AE63" i="25"/>
  <c r="AE84" i="25"/>
  <c r="AF88" i="25"/>
  <c r="AG88" i="25" s="1"/>
  <c r="AE93" i="25"/>
  <c r="AE133" i="25"/>
  <c r="AE147" i="25"/>
  <c r="AE193" i="25"/>
  <c r="AB167" i="25"/>
  <c r="P22" i="25"/>
  <c r="S22" i="25"/>
  <c r="AF30" i="25"/>
  <c r="AG30" i="25" s="1"/>
  <c r="AF62" i="25"/>
  <c r="AG62" i="25" s="1"/>
  <c r="AF78" i="25"/>
  <c r="AG78" i="25" s="1"/>
  <c r="AF104" i="25"/>
  <c r="AG104" i="25" s="1"/>
  <c r="AF120" i="25"/>
  <c r="AG120" i="25" s="1"/>
  <c r="AF128" i="25"/>
  <c r="AG128" i="25" s="1"/>
  <c r="AF136" i="25"/>
  <c r="AG136" i="25" s="1"/>
  <c r="AF144" i="25"/>
  <c r="AG144" i="25" s="1"/>
  <c r="AF160" i="25"/>
  <c r="AG160" i="25" s="1"/>
  <c r="AF176" i="25"/>
  <c r="AG176" i="25" s="1"/>
  <c r="AF192" i="25"/>
  <c r="AG192" i="25" s="1"/>
  <c r="AF200" i="25"/>
  <c r="AG200" i="25" s="1"/>
  <c r="AF7" i="25"/>
  <c r="AG7" i="25" s="1"/>
  <c r="AF79" i="25"/>
  <c r="AG79" i="25" s="1"/>
  <c r="AF87" i="25"/>
  <c r="AG87" i="25" s="1"/>
  <c r="AF135" i="25"/>
  <c r="AG135" i="25" s="1"/>
  <c r="AF159" i="25"/>
  <c r="AG159" i="25" s="1"/>
  <c r="AF175" i="25"/>
  <c r="AG175" i="25" s="1"/>
  <c r="AF207" i="25"/>
  <c r="AG207" i="25" s="1"/>
  <c r="AF215" i="25"/>
  <c r="AG215" i="25" s="1"/>
  <c r="AF109" i="25"/>
  <c r="AG109" i="25" s="1"/>
  <c r="AF157" i="25"/>
  <c r="AG157" i="25" s="1"/>
  <c r="AF67" i="22"/>
  <c r="AG67" i="22" s="1"/>
  <c r="AF224" i="24"/>
  <c r="AG224" i="24" s="1"/>
  <c r="AF324" i="24"/>
  <c r="AG324" i="24" s="1"/>
  <c r="AF227" i="24"/>
  <c r="AG227" i="24" s="1"/>
  <c r="AF280" i="24"/>
  <c r="AG280" i="24" s="1"/>
  <c r="AF247" i="24"/>
  <c r="AG247" i="24" s="1"/>
  <c r="AF321" i="24"/>
  <c r="AG321" i="24" s="1"/>
  <c r="AF54" i="25"/>
  <c r="AG54" i="25" s="1"/>
  <c r="AF182" i="25"/>
  <c r="AG182" i="25" s="1"/>
  <c r="AF158" i="25"/>
  <c r="AG158" i="25" s="1"/>
  <c r="AF214" i="25"/>
  <c r="AG214" i="25" s="1"/>
  <c r="AF101" i="25"/>
  <c r="AG101" i="25" s="1"/>
  <c r="AF149" i="25"/>
  <c r="AG149" i="25" s="1"/>
  <c r="AF173" i="25"/>
  <c r="AG173" i="25" s="1"/>
  <c r="AF205" i="25"/>
  <c r="AG205" i="25" s="1"/>
  <c r="AF15" i="25"/>
  <c r="AG15" i="25" s="1"/>
  <c r="AF23" i="25"/>
  <c r="AG23" i="25" s="1"/>
  <c r="AF38" i="25"/>
  <c r="AG38" i="25" s="1"/>
  <c r="AF46" i="25"/>
  <c r="AG46" i="25" s="1"/>
  <c r="AF70" i="25"/>
  <c r="AG70" i="25" s="1"/>
  <c r="AF142" i="25"/>
  <c r="AG142" i="25" s="1"/>
  <c r="AF166" i="25"/>
  <c r="AG166" i="25" s="1"/>
  <c r="AF174" i="25"/>
  <c r="AG174" i="25" s="1"/>
  <c r="AF198" i="25"/>
  <c r="AG198" i="25" s="1"/>
  <c r="AF206" i="25"/>
  <c r="AG206" i="25" s="1"/>
  <c r="AF222" i="25"/>
  <c r="AG222" i="25" s="1"/>
  <c r="AF16" i="25"/>
  <c r="AG16" i="25" s="1"/>
  <c r="AF39" i="25"/>
  <c r="AG39" i="25" s="1"/>
  <c r="AF71" i="25"/>
  <c r="AG71" i="25" s="1"/>
  <c r="AF95" i="25"/>
  <c r="AG95" i="25" s="1"/>
  <c r="AF119" i="25"/>
  <c r="AG119" i="25" s="1"/>
  <c r="AF143" i="25"/>
  <c r="AG143" i="25" s="1"/>
  <c r="AF199" i="25"/>
  <c r="AG199" i="25" s="1"/>
  <c r="AF14" i="25"/>
  <c r="AG14" i="25" s="1"/>
  <c r="AF181" i="25"/>
  <c r="AG181" i="25" s="1"/>
  <c r="AF20" i="25"/>
  <c r="AG20" i="25" s="1"/>
  <c r="AF27" i="25"/>
  <c r="AG27" i="25" s="1"/>
  <c r="AF35" i="25"/>
  <c r="AG35" i="25" s="1"/>
  <c r="AF43" i="25"/>
  <c r="AG43" i="25" s="1"/>
  <c r="AF51" i="25"/>
  <c r="AG51" i="25" s="1"/>
  <c r="AF59" i="25"/>
  <c r="AG59" i="25" s="1"/>
  <c r="AF67" i="25"/>
  <c r="AG67" i="25" s="1"/>
  <c r="AF75" i="25"/>
  <c r="AG75" i="25" s="1"/>
  <c r="AF83" i="25"/>
  <c r="AG83" i="25" s="1"/>
  <c r="AF91" i="25"/>
  <c r="AG91" i="25" s="1"/>
  <c r="AF99" i="25"/>
  <c r="AG99" i="25" s="1"/>
  <c r="AF115" i="25"/>
  <c r="AG115" i="25" s="1"/>
  <c r="AF123" i="25"/>
  <c r="AG123" i="25" s="1"/>
  <c r="AF131" i="25"/>
  <c r="AG131" i="25" s="1"/>
  <c r="AF139" i="25"/>
  <c r="AG139" i="25" s="1"/>
  <c r="AF155" i="25"/>
  <c r="AG155" i="25" s="1"/>
  <c r="AF179" i="25"/>
  <c r="AG179" i="25" s="1"/>
  <c r="AF195" i="25"/>
  <c r="AG195" i="25" s="1"/>
  <c r="AF203" i="25"/>
  <c r="AG203" i="25" s="1"/>
  <c r="AF211" i="25"/>
  <c r="AG211" i="25" s="1"/>
  <c r="AF219" i="25"/>
  <c r="AG219" i="25" s="1"/>
  <c r="AF10" i="25"/>
  <c r="AG10" i="25" s="1"/>
  <c r="AF25" i="25"/>
  <c r="AG25" i="25" s="1"/>
  <c r="AF41" i="25"/>
  <c r="AG41" i="25" s="1"/>
  <c r="AF57" i="25"/>
  <c r="AG57" i="25" s="1"/>
  <c r="AF65" i="25"/>
  <c r="AG65" i="25" s="1"/>
  <c r="AF89" i="25"/>
  <c r="AG89" i="25" s="1"/>
  <c r="AF113" i="25"/>
  <c r="AG113" i="25" s="1"/>
  <c r="AF121" i="25"/>
  <c r="AG121" i="25" s="1"/>
  <c r="AF129" i="25"/>
  <c r="AG129" i="25" s="1"/>
  <c r="AF137" i="25"/>
  <c r="AG137" i="25" s="1"/>
  <c r="AF153" i="25"/>
  <c r="AG153" i="25" s="1"/>
  <c r="AF161" i="25"/>
  <c r="AG161" i="25" s="1"/>
  <c r="AF169" i="25"/>
  <c r="AG169" i="25" s="1"/>
  <c r="AF185" i="25"/>
  <c r="AG185" i="25" s="1"/>
  <c r="AF201" i="25"/>
  <c r="AG201" i="25" s="1"/>
  <c r="AF217" i="25"/>
  <c r="AG217" i="25" s="1"/>
  <c r="AF3" i="25"/>
  <c r="AG3" i="25" s="1"/>
  <c r="AF19" i="25"/>
  <c r="AG19" i="25" s="1"/>
  <c r="AF26" i="25"/>
  <c r="AG26" i="25" s="1"/>
  <c r="AF34" i="25"/>
  <c r="AG34" i="25" s="1"/>
  <c r="AF42" i="25"/>
  <c r="AG42" i="25" s="1"/>
  <c r="AF50" i="25"/>
  <c r="AG50" i="25" s="1"/>
  <c r="AF58" i="25"/>
  <c r="AG58" i="25" s="1"/>
  <c r="AF66" i="25"/>
  <c r="AG66" i="25" s="1"/>
  <c r="AF74" i="25"/>
  <c r="AG74" i="25" s="1"/>
  <c r="AF114" i="25"/>
  <c r="AG114" i="25" s="1"/>
  <c r="AF130" i="25"/>
  <c r="AG130" i="25" s="1"/>
  <c r="AF138" i="25"/>
  <c r="AG138" i="25" s="1"/>
  <c r="AF146" i="25"/>
  <c r="AG146" i="25" s="1"/>
  <c r="AF154" i="25"/>
  <c r="AG154" i="25" s="1"/>
  <c r="AF162" i="25"/>
  <c r="AG162" i="25" s="1"/>
  <c r="AF170" i="25"/>
  <c r="AG170" i="25" s="1"/>
  <c r="AF186" i="25"/>
  <c r="AG186" i="25" s="1"/>
  <c r="AF194" i="25"/>
  <c r="AG194" i="25" s="1"/>
  <c r="AF202" i="25"/>
  <c r="AG202" i="25" s="1"/>
  <c r="AF210" i="25"/>
  <c r="AG210" i="25" s="1"/>
  <c r="AF218" i="25"/>
  <c r="AG218" i="25" s="1"/>
  <c r="AF5" i="25"/>
  <c r="AG5" i="25" s="1"/>
  <c r="AF13" i="25"/>
  <c r="AG13" i="25" s="1"/>
  <c r="AF28" i="25"/>
  <c r="AG28" i="25" s="1"/>
  <c r="AF92" i="25"/>
  <c r="AG92" i="25" s="1"/>
  <c r="AF100" i="25"/>
  <c r="AG100" i="25" s="1"/>
  <c r="AF116" i="25"/>
  <c r="AG116" i="25" s="1"/>
  <c r="AF124" i="25"/>
  <c r="AG124" i="25" s="1"/>
  <c r="AF132" i="25"/>
  <c r="AG132" i="25" s="1"/>
  <c r="AF148" i="25"/>
  <c r="AG148" i="25" s="1"/>
  <c r="AF156" i="25"/>
  <c r="AG156" i="25" s="1"/>
  <c r="AF188" i="25"/>
  <c r="AG188" i="25" s="1"/>
  <c r="AF204" i="25"/>
  <c r="AG204" i="25" s="1"/>
  <c r="AF212" i="25"/>
  <c r="AG212" i="25" s="1"/>
  <c r="AF68" i="24"/>
  <c r="AG68" i="24" s="1"/>
  <c r="AF92" i="24"/>
  <c r="AG92" i="24" s="1"/>
  <c r="AF164" i="24"/>
  <c r="AG164" i="24" s="1"/>
  <c r="AF196" i="24"/>
  <c r="AG196" i="24" s="1"/>
  <c r="AF252" i="24"/>
  <c r="AG252" i="24" s="1"/>
  <c r="AF284" i="24"/>
  <c r="AG284" i="24" s="1"/>
  <c r="AF317" i="24"/>
  <c r="AG317" i="24" s="1"/>
  <c r="AF349" i="24"/>
  <c r="AG349" i="24" s="1"/>
  <c r="AF69" i="24"/>
  <c r="AG69" i="24" s="1"/>
  <c r="AF93" i="24"/>
  <c r="AG93" i="24" s="1"/>
  <c r="AF125" i="24"/>
  <c r="AG125" i="24" s="1"/>
  <c r="AF221" i="24"/>
  <c r="AG221" i="24" s="1"/>
  <c r="AF261" i="24"/>
  <c r="AG261" i="24" s="1"/>
  <c r="AF294" i="24"/>
  <c r="AG294" i="24" s="1"/>
  <c r="AF318" i="24"/>
  <c r="AG318" i="24" s="1"/>
  <c r="AF16" i="24"/>
  <c r="AG16" i="24" s="1"/>
  <c r="AF72" i="24"/>
  <c r="AG72" i="24" s="1"/>
  <c r="AF120" i="24"/>
  <c r="AG120" i="24" s="1"/>
  <c r="AF144" i="24"/>
  <c r="AG144" i="24" s="1"/>
  <c r="AF208" i="24"/>
  <c r="AG208" i="24" s="1"/>
  <c r="AF248" i="24"/>
  <c r="AG248" i="24" s="1"/>
  <c r="AF313" i="24"/>
  <c r="AG313" i="24" s="1"/>
  <c r="AF202" i="24"/>
  <c r="AG202" i="24" s="1"/>
  <c r="AF299" i="24"/>
  <c r="AG299" i="24" s="1"/>
  <c r="AF64" i="24"/>
  <c r="AG64" i="24" s="1"/>
  <c r="AF88" i="24"/>
  <c r="AG88" i="24" s="1"/>
  <c r="AF152" i="24"/>
  <c r="AG152" i="24" s="1"/>
  <c r="AF345" i="24"/>
  <c r="AG345" i="24" s="1"/>
  <c r="AF35" i="24"/>
  <c r="AG35" i="24" s="1"/>
  <c r="AF67" i="24"/>
  <c r="AG67" i="24" s="1"/>
  <c r="AF163" i="24"/>
  <c r="AG163" i="24" s="1"/>
  <c r="AF99" i="24"/>
  <c r="AG99" i="24" s="1"/>
  <c r="AF131" i="24"/>
  <c r="AG131" i="24" s="1"/>
  <c r="AF56" i="24"/>
  <c r="AG56" i="24" s="1"/>
  <c r="AF80" i="24"/>
  <c r="AG80" i="24" s="1"/>
  <c r="AF96" i="24"/>
  <c r="AG96" i="24" s="1"/>
  <c r="AF200" i="24"/>
  <c r="AG200" i="24" s="1"/>
  <c r="AF256" i="24"/>
  <c r="AG256" i="24" s="1"/>
  <c r="AF201" i="24"/>
  <c r="AG201" i="24" s="1"/>
  <c r="AF9" i="24"/>
  <c r="AG9" i="24" s="1"/>
  <c r="AF17" i="24"/>
  <c r="AG17" i="24" s="1"/>
  <c r="AF57" i="24"/>
  <c r="AG57" i="24" s="1"/>
  <c r="AF105" i="24"/>
  <c r="AG105" i="24" s="1"/>
  <c r="AF121" i="24"/>
  <c r="AG121" i="24" s="1"/>
  <c r="AF129" i="24"/>
  <c r="AG129" i="24" s="1"/>
  <c r="AF145" i="24"/>
  <c r="AG145" i="24" s="1"/>
  <c r="AF153" i="24"/>
  <c r="AG153" i="24" s="1"/>
  <c r="AF193" i="24"/>
  <c r="AG193" i="24" s="1"/>
  <c r="AF209" i="24"/>
  <c r="AG209" i="24" s="1"/>
  <c r="AF217" i="24"/>
  <c r="AG217" i="24" s="1"/>
  <c r="AF249" i="24"/>
  <c r="AG249" i="24" s="1"/>
  <c r="AF257" i="24"/>
  <c r="AG257" i="24" s="1"/>
  <c r="AF265" i="24"/>
  <c r="AG265" i="24" s="1"/>
  <c r="AF273" i="24"/>
  <c r="AG273" i="24" s="1"/>
  <c r="AF281" i="24"/>
  <c r="AG281" i="24" s="1"/>
  <c r="AF290" i="24"/>
  <c r="AG290" i="24" s="1"/>
  <c r="AF298" i="24"/>
  <c r="AG298" i="24" s="1"/>
  <c r="AF306" i="24"/>
  <c r="AG306" i="24" s="1"/>
  <c r="AF322" i="24"/>
  <c r="AG322" i="24" s="1"/>
  <c r="AF346" i="24"/>
  <c r="AG346" i="24" s="1"/>
  <c r="AF356" i="24"/>
  <c r="AG356" i="24" s="1"/>
  <c r="AF10" i="24"/>
  <c r="AG10" i="24" s="1"/>
  <c r="AF34" i="24"/>
  <c r="AG34" i="24" s="1"/>
  <c r="AF58" i="24"/>
  <c r="AG58" i="24" s="1"/>
  <c r="AF122" i="24"/>
  <c r="AG122" i="24" s="1"/>
  <c r="AF154" i="24"/>
  <c r="AG154" i="24" s="1"/>
  <c r="AF194" i="24"/>
  <c r="AG194" i="24" s="1"/>
  <c r="AF250" i="24"/>
  <c r="AG250" i="24" s="1"/>
  <c r="AF274" i="24"/>
  <c r="AG274" i="24" s="1"/>
  <c r="AF19" i="24"/>
  <c r="AG19" i="24" s="1"/>
  <c r="AF27" i="24"/>
  <c r="AG27" i="24" s="1"/>
  <c r="AF43" i="24"/>
  <c r="AG43" i="24" s="1"/>
  <c r="AF59" i="24"/>
  <c r="AG59" i="24" s="1"/>
  <c r="AF75" i="24"/>
  <c r="AG75" i="24" s="1"/>
  <c r="AF83" i="24"/>
  <c r="AG83" i="24" s="1"/>
  <c r="AF91" i="24"/>
  <c r="AG91" i="24" s="1"/>
  <c r="AF115" i="24"/>
  <c r="AG115" i="24" s="1"/>
  <c r="AF139" i="24"/>
  <c r="AG139" i="24" s="1"/>
  <c r="AF155" i="24"/>
  <c r="AG155" i="24" s="1"/>
  <c r="AF171" i="24"/>
  <c r="AG171" i="24" s="1"/>
  <c r="AF179" i="24"/>
  <c r="AG179" i="24" s="1"/>
  <c r="AF187" i="24"/>
  <c r="AG187" i="24" s="1"/>
  <c r="AF203" i="24"/>
  <c r="AG203" i="24" s="1"/>
  <c r="AF235" i="24"/>
  <c r="AG235" i="24" s="1"/>
  <c r="AF243" i="24"/>
  <c r="AG243" i="24" s="1"/>
  <c r="AF251" i="24"/>
  <c r="AG251" i="24" s="1"/>
  <c r="AF275" i="24"/>
  <c r="AG275" i="24" s="1"/>
  <c r="AF316" i="24"/>
  <c r="AG316" i="24" s="1"/>
  <c r="AF332" i="24"/>
  <c r="AG332" i="24" s="1"/>
  <c r="AF340" i="24"/>
  <c r="AG340" i="24" s="1"/>
  <c r="AF76" i="24"/>
  <c r="AG76" i="24" s="1"/>
  <c r="AF13" i="24"/>
  <c r="AG13" i="24" s="1"/>
  <c r="AF53" i="24"/>
  <c r="AG53" i="24" s="1"/>
  <c r="AF149" i="24"/>
  <c r="AG149" i="24" s="1"/>
  <c r="AF213" i="24"/>
  <c r="AG213" i="24" s="1"/>
  <c r="AF269" i="24"/>
  <c r="AG269" i="24" s="1"/>
  <c r="AF302" i="24"/>
  <c r="AG302" i="24" s="1"/>
  <c r="AF310" i="24"/>
  <c r="AG310" i="24" s="1"/>
  <c r="AF342" i="24"/>
  <c r="AG342" i="24" s="1"/>
  <c r="AF18" i="24"/>
  <c r="AG18" i="24" s="1"/>
  <c r="AF42" i="24"/>
  <c r="AG42" i="24" s="1"/>
  <c r="AF130" i="24"/>
  <c r="AG130" i="24" s="1"/>
  <c r="AF170" i="24"/>
  <c r="AG170" i="24" s="1"/>
  <c r="AF178" i="24"/>
  <c r="AG178" i="24" s="1"/>
  <c r="AF210" i="24"/>
  <c r="AG210" i="24" s="1"/>
  <c r="AF234" i="24"/>
  <c r="AG234" i="24" s="1"/>
  <c r="AF258" i="24"/>
  <c r="AG258" i="24" s="1"/>
  <c r="AF307" i="24"/>
  <c r="AG307" i="24" s="1"/>
  <c r="AF323" i="24"/>
  <c r="AG323" i="24" s="1"/>
  <c r="AF84" i="24"/>
  <c r="AG84" i="24" s="1"/>
  <c r="AF108" i="24"/>
  <c r="AG108" i="24" s="1"/>
  <c r="AF148" i="24"/>
  <c r="AG148" i="24" s="1"/>
  <c r="AF236" i="24"/>
  <c r="AG236" i="24" s="1"/>
  <c r="AF341" i="24"/>
  <c r="AG341" i="24" s="1"/>
  <c r="AF26" i="24"/>
  <c r="AG26" i="24" s="1"/>
  <c r="AF50" i="24"/>
  <c r="AG50" i="24" s="1"/>
  <c r="AF98" i="24"/>
  <c r="AG98" i="24" s="1"/>
  <c r="AF138" i="24"/>
  <c r="AG138" i="24" s="1"/>
  <c r="AF162" i="24"/>
  <c r="AG162" i="24" s="1"/>
  <c r="AF186" i="24"/>
  <c r="AG186" i="24" s="1"/>
  <c r="AF218" i="24"/>
  <c r="AG218" i="24" s="1"/>
  <c r="AF242" i="24"/>
  <c r="AG242" i="24" s="1"/>
  <c r="AF266" i="24"/>
  <c r="AG266" i="24" s="1"/>
  <c r="AF291" i="24"/>
  <c r="AG291" i="24" s="1"/>
  <c r="AF331" i="24"/>
  <c r="AG331" i="24" s="1"/>
  <c r="AF52" i="24"/>
  <c r="AG52" i="24" s="1"/>
  <c r="AF204" i="24"/>
  <c r="AG204" i="24" s="1"/>
  <c r="AF244" i="24"/>
  <c r="AG244" i="24" s="1"/>
  <c r="AF276" i="24"/>
  <c r="AG276" i="24" s="1"/>
  <c r="J133" i="24"/>
  <c r="J309" i="24"/>
  <c r="J214" i="24"/>
  <c r="J82" i="24"/>
  <c r="J212" i="24"/>
  <c r="J233" i="24"/>
  <c r="J132" i="24"/>
  <c r="J292" i="24"/>
  <c r="J70" i="24"/>
  <c r="J74" i="24"/>
  <c r="J81" i="24"/>
  <c r="J124" i="24"/>
  <c r="J278" i="24"/>
  <c r="J326" i="24"/>
  <c r="J100" i="24"/>
  <c r="J146" i="24"/>
  <c r="J219" i="24"/>
  <c r="J140" i="24"/>
  <c r="J228" i="24"/>
  <c r="J61" i="24"/>
  <c r="J86" i="24"/>
  <c r="J184" i="24"/>
  <c r="J293" i="24"/>
  <c r="J128" i="24"/>
  <c r="J216" i="24"/>
  <c r="J360" i="24"/>
  <c r="J62" i="24"/>
  <c r="J304" i="24"/>
  <c r="J185" i="24"/>
  <c r="J205" i="24"/>
  <c r="J225" i="24"/>
  <c r="J297" i="24"/>
  <c r="J272" i="24"/>
  <c r="J348" i="24"/>
  <c r="J157" i="24"/>
  <c r="J253" i="24"/>
  <c r="J330" i="24"/>
  <c r="J338" i="24"/>
  <c r="J168" i="24"/>
  <c r="J220" i="24"/>
  <c r="J229" i="24"/>
  <c r="J237" i="24"/>
  <c r="J325" i="24"/>
  <c r="J347" i="24"/>
  <c r="J268" i="24"/>
  <c r="J223" i="24"/>
  <c r="J260" i="24"/>
  <c r="J295" i="24"/>
  <c r="J301" i="24"/>
  <c r="J334" i="24"/>
  <c r="J18" i="22"/>
  <c r="J34" i="22"/>
  <c r="J6" i="22"/>
  <c r="J11" i="22"/>
  <c r="J27" i="22"/>
  <c r="J37" i="22"/>
  <c r="J44" i="22"/>
  <c r="J14" i="22"/>
  <c r="AF14" i="22" s="1"/>
  <c r="AG14" i="22" s="1"/>
  <c r="J30" i="22"/>
  <c r="J63" i="22"/>
  <c r="J66" i="22"/>
  <c r="J69" i="22"/>
  <c r="AF4" i="20"/>
  <c r="AG4" i="20" s="1"/>
  <c r="AF20" i="20"/>
  <c r="AG20" i="20" s="1"/>
  <c r="AF28" i="20"/>
  <c r="AG28" i="20" s="1"/>
  <c r="AF10" i="20"/>
  <c r="AG10" i="20" s="1"/>
  <c r="AF3" i="20"/>
  <c r="AG3" i="20" s="1"/>
  <c r="AF19" i="20"/>
  <c r="AG19" i="20" s="1"/>
  <c r="AF13" i="20"/>
  <c r="AG13" i="20" s="1"/>
  <c r="AF29" i="20"/>
  <c r="AG29" i="20" s="1"/>
  <c r="AF14" i="20"/>
  <c r="AG14" i="20" s="1"/>
  <c r="AF30" i="20"/>
  <c r="AG30" i="20" s="1"/>
  <c r="AF2" i="20"/>
  <c r="AG2" i="20" s="1"/>
  <c r="AF7" i="20"/>
  <c r="AG7" i="20" s="1"/>
  <c r="AF23" i="20"/>
  <c r="AG23" i="20" s="1"/>
  <c r="AF31" i="20"/>
  <c r="AG31" i="20" s="1"/>
  <c r="AF9" i="20"/>
  <c r="AG9" i="20" s="1"/>
  <c r="AF17" i="20"/>
  <c r="AG17" i="20" s="1"/>
  <c r="AF25" i="20"/>
  <c r="AG25" i="20" s="1"/>
  <c r="V6" i="19"/>
  <c r="P7" i="19"/>
  <c r="J10" i="19"/>
  <c r="V11" i="19"/>
  <c r="AE20" i="19"/>
  <c r="V25" i="19"/>
  <c r="J26" i="19"/>
  <c r="AB26" i="19"/>
  <c r="S29" i="19"/>
  <c r="M30" i="19"/>
  <c r="J33" i="19"/>
  <c r="Y38" i="19"/>
  <c r="Y40" i="19" s="1"/>
  <c r="S7" i="19"/>
  <c r="M10" i="19"/>
  <c r="J19" i="19"/>
  <c r="M20" i="19"/>
  <c r="AE26" i="19"/>
  <c r="P30" i="19"/>
  <c r="M33" i="19"/>
  <c r="P39" i="19"/>
  <c r="P10" i="19"/>
  <c r="Y19" i="19"/>
  <c r="P20" i="19"/>
  <c r="J25" i="19"/>
  <c r="M26" i="19"/>
  <c r="S30" i="19"/>
  <c r="P33" i="19"/>
  <c r="S39" i="19"/>
  <c r="S40" i="19" s="1"/>
  <c r="AE10" i="19"/>
  <c r="V7" i="19"/>
  <c r="S10" i="19"/>
  <c r="AB19" i="19"/>
  <c r="S20" i="19"/>
  <c r="Y25" i="19"/>
  <c r="P26" i="19"/>
  <c r="V30" i="19"/>
  <c r="S33" i="19"/>
  <c r="V39" i="19"/>
  <c r="V40" i="19" s="1"/>
  <c r="S25" i="19"/>
  <c r="AE33" i="19"/>
  <c r="V10" i="19"/>
  <c r="M19" i="19"/>
  <c r="AE19" i="19"/>
  <c r="AB25" i="19"/>
  <c r="S26" i="19"/>
  <c r="Y30" i="19"/>
  <c r="V33" i="19"/>
  <c r="Y10" i="19"/>
  <c r="P19" i="19"/>
  <c r="M25" i="19"/>
  <c r="AE25" i="19"/>
  <c r="AB30" i="19"/>
  <c r="Y33" i="19"/>
  <c r="AF5" i="10"/>
  <c r="AG5" i="10" s="1"/>
  <c r="AF13" i="10"/>
  <c r="AG13" i="10" s="1"/>
  <c r="AF21" i="10"/>
  <c r="AG21" i="10" s="1"/>
  <c r="AF45" i="10"/>
  <c r="AG45" i="10" s="1"/>
  <c r="AF61" i="10"/>
  <c r="AG61" i="10" s="1"/>
  <c r="AF85" i="10"/>
  <c r="AG85" i="10" s="1"/>
  <c r="AF149" i="10"/>
  <c r="AG149" i="10" s="1"/>
  <c r="AF165" i="10"/>
  <c r="AG165" i="10" s="1"/>
  <c r="AF181" i="10"/>
  <c r="AG181" i="10" s="1"/>
  <c r="AF197" i="10"/>
  <c r="AG197" i="10" s="1"/>
  <c r="AF213" i="10"/>
  <c r="AG213" i="10" s="1"/>
  <c r="AF221" i="10"/>
  <c r="AG221" i="10" s="1"/>
  <c r="AF22" i="10"/>
  <c r="AG22" i="10" s="1"/>
  <c r="AF38" i="10"/>
  <c r="AG38" i="10" s="1"/>
  <c r="AF46" i="10"/>
  <c r="AG46" i="10" s="1"/>
  <c r="AF62" i="10"/>
  <c r="AG62" i="10" s="1"/>
  <c r="AF70" i="10"/>
  <c r="AG70" i="10" s="1"/>
  <c r="AF86" i="10"/>
  <c r="AG86" i="10" s="1"/>
  <c r="AF102" i="10"/>
  <c r="AG102" i="10" s="1"/>
  <c r="AF110" i="10"/>
  <c r="AG110" i="10" s="1"/>
  <c r="AF150" i="10"/>
  <c r="AG150" i="10" s="1"/>
  <c r="AF166" i="10"/>
  <c r="AG166" i="10" s="1"/>
  <c r="AF182" i="10"/>
  <c r="AG182" i="10" s="1"/>
  <c r="AF198" i="10"/>
  <c r="AG198" i="10" s="1"/>
  <c r="AF222" i="10"/>
  <c r="AG222" i="10" s="1"/>
  <c r="AF41" i="10"/>
  <c r="AG41" i="10" s="1"/>
  <c r="AF123" i="10"/>
  <c r="AG123" i="10" s="1"/>
  <c r="AF7" i="10"/>
  <c r="AG7" i="10" s="1"/>
  <c r="AF63" i="10"/>
  <c r="AG63" i="10" s="1"/>
  <c r="AF135" i="10"/>
  <c r="AG135" i="10" s="1"/>
  <c r="AF3" i="10"/>
  <c r="AG3" i="10" s="1"/>
  <c r="AF27" i="10"/>
  <c r="AG27" i="10" s="1"/>
  <c r="AF35" i="10"/>
  <c r="AG35" i="10" s="1"/>
  <c r="AF51" i="10"/>
  <c r="AG51" i="10" s="1"/>
  <c r="AF67" i="10"/>
  <c r="AG67" i="10" s="1"/>
  <c r="AF75" i="10"/>
  <c r="AG75" i="10" s="1"/>
  <c r="AF91" i="10"/>
  <c r="AG91" i="10" s="1"/>
  <c r="AF99" i="10"/>
  <c r="AG99" i="10" s="1"/>
  <c r="AF107" i="10"/>
  <c r="AG107" i="10" s="1"/>
  <c r="AF115" i="10"/>
  <c r="AG115" i="10" s="1"/>
  <c r="AF131" i="10"/>
  <c r="AG131" i="10" s="1"/>
  <c r="AF147" i="10"/>
  <c r="AG147" i="10" s="1"/>
  <c r="AF163" i="10"/>
  <c r="AG163" i="10" s="1"/>
  <c r="AF179" i="10"/>
  <c r="AG179" i="10" s="1"/>
  <c r="AF187" i="10"/>
  <c r="AG187" i="10" s="1"/>
  <c r="AF9" i="10"/>
  <c r="AG9" i="10" s="1"/>
  <c r="AF65" i="10"/>
  <c r="AG65" i="10" s="1"/>
  <c r="AF171" i="10"/>
  <c r="AG171" i="10" s="1"/>
  <c r="AF15" i="10"/>
  <c r="AG15" i="10" s="1"/>
  <c r="AF31" i="10"/>
  <c r="AG31" i="10" s="1"/>
  <c r="AF47" i="10"/>
  <c r="AG47" i="10" s="1"/>
  <c r="AF71" i="10"/>
  <c r="AG71" i="10" s="1"/>
  <c r="AF95" i="10"/>
  <c r="AG95" i="10" s="1"/>
  <c r="AF111" i="10"/>
  <c r="AG111" i="10" s="1"/>
  <c r="AF127" i="10"/>
  <c r="AG127" i="10" s="1"/>
  <c r="AF143" i="10"/>
  <c r="AG143" i="10" s="1"/>
  <c r="AF151" i="10"/>
  <c r="AG151" i="10" s="1"/>
  <c r="AF159" i="10"/>
  <c r="AG159" i="10" s="1"/>
  <c r="AF167" i="10"/>
  <c r="AG167" i="10" s="1"/>
  <c r="AF175" i="10"/>
  <c r="AG175" i="10" s="1"/>
  <c r="AF183" i="10"/>
  <c r="AG183" i="10" s="1"/>
  <c r="AF17" i="10"/>
  <c r="AG17" i="10" s="1"/>
  <c r="AF25" i="10"/>
  <c r="AG25" i="10" s="1"/>
  <c r="AF33" i="10"/>
  <c r="AG33" i="10" s="1"/>
  <c r="AF57" i="10"/>
  <c r="AG57" i="10" s="1"/>
  <c r="AF81" i="10"/>
  <c r="AG81" i="10" s="1"/>
  <c r="AF89" i="10"/>
  <c r="AG89" i="10" s="1"/>
  <c r="AF105" i="10"/>
  <c r="AG105" i="10" s="1"/>
  <c r="AF161" i="10"/>
  <c r="AG161" i="10" s="1"/>
  <c r="AF169" i="10"/>
  <c r="AG169" i="10" s="1"/>
  <c r="AF177" i="10"/>
  <c r="AG177" i="10" s="1"/>
  <c r="AF185" i="10"/>
  <c r="AG185" i="10" s="1"/>
  <c r="AF193" i="10"/>
  <c r="AG193" i="10" s="1"/>
  <c r="AF201" i="10"/>
  <c r="AG201" i="10" s="1"/>
  <c r="AF199" i="10"/>
  <c r="AG199" i="10" s="1"/>
  <c r="AF191" i="10"/>
  <c r="AG191" i="10" s="1"/>
  <c r="AF2" i="10"/>
  <c r="AG2" i="10" s="1"/>
  <c r="AF79" i="10"/>
  <c r="AG79" i="10" s="1"/>
  <c r="J121" i="10"/>
  <c r="J128" i="10"/>
  <c r="J138" i="10"/>
  <c r="J11" i="10"/>
  <c r="J23" i="10"/>
  <c r="J39" i="10"/>
  <c r="J109" i="10"/>
  <c r="J122" i="10"/>
  <c r="J129" i="10"/>
  <c r="J139" i="10"/>
  <c r="J14" i="10"/>
  <c r="J24" i="10"/>
  <c r="J58" i="10"/>
  <c r="J43" i="10"/>
  <c r="J59" i="10"/>
  <c r="J100" i="10"/>
  <c r="J117" i="10"/>
  <c r="J101" i="10"/>
  <c r="Y137" i="4"/>
  <c r="V3" i="4"/>
  <c r="S8" i="4"/>
  <c r="M9" i="4"/>
  <c r="AE9" i="4"/>
  <c r="V12" i="4"/>
  <c r="M13" i="4"/>
  <c r="AE13" i="4"/>
  <c r="AB18" i="4"/>
  <c r="Y19" i="4"/>
  <c r="V26" i="4"/>
  <c r="AB29" i="4"/>
  <c r="V30" i="4"/>
  <c r="M36" i="4"/>
  <c r="J37" i="4"/>
  <c r="AE39" i="4"/>
  <c r="AB44" i="4"/>
  <c r="Y49" i="4"/>
  <c r="J55" i="4"/>
  <c r="AE58" i="4"/>
  <c r="AB60" i="4"/>
  <c r="Y66" i="4"/>
  <c r="Y79" i="4"/>
  <c r="S82" i="4"/>
  <c r="J87" i="4"/>
  <c r="AE87" i="4"/>
  <c r="Y92" i="4"/>
  <c r="S93" i="4"/>
  <c r="M100" i="4"/>
  <c r="Y107" i="4"/>
  <c r="V108" i="4"/>
  <c r="AB130" i="4"/>
  <c r="Y131" i="4"/>
  <c r="P136" i="4"/>
  <c r="P140" i="4"/>
  <c r="J141" i="4"/>
  <c r="S147" i="4"/>
  <c r="M151" i="4"/>
  <c r="AE151" i="4"/>
  <c r="V152" i="4"/>
  <c r="P159" i="4"/>
  <c r="J169" i="4"/>
  <c r="AE170" i="4"/>
  <c r="AB173" i="4"/>
  <c r="S178" i="4"/>
  <c r="J179" i="4"/>
  <c r="J184" i="4"/>
  <c r="AE141" i="4"/>
  <c r="AE169" i="4"/>
  <c r="Y3" i="4"/>
  <c r="P9" i="4"/>
  <c r="Y12" i="4"/>
  <c r="P13" i="4"/>
  <c r="AE18" i="4"/>
  <c r="Y26" i="4"/>
  <c r="P29" i="4"/>
  <c r="AE29" i="4"/>
  <c r="P36" i="4"/>
  <c r="M37" i="4"/>
  <c r="AE44" i="4"/>
  <c r="M55" i="4"/>
  <c r="AB55" i="4"/>
  <c r="AE60" i="4"/>
  <c r="M87" i="4"/>
  <c r="AB92" i="4"/>
  <c r="P100" i="4"/>
  <c r="J107" i="4"/>
  <c r="AB107" i="4"/>
  <c r="Y108" i="4"/>
  <c r="AE130" i="4"/>
  <c r="S136" i="4"/>
  <c r="J137" i="4"/>
  <c r="AB137" i="4"/>
  <c r="S140" i="4"/>
  <c r="M141" i="4"/>
  <c r="Y152" i="4"/>
  <c r="S159" i="4"/>
  <c r="M169" i="4"/>
  <c r="AE173" i="4"/>
  <c r="M179" i="4"/>
  <c r="AE179" i="4"/>
  <c r="M184" i="4"/>
  <c r="AB3" i="4"/>
  <c r="S9" i="4"/>
  <c r="J12" i="4"/>
  <c r="AB12" i="4"/>
  <c r="S13" i="4"/>
  <c r="J18" i="4"/>
  <c r="AE19" i="4"/>
  <c r="AB26" i="4"/>
  <c r="Y30" i="4"/>
  <c r="S36" i="4"/>
  <c r="P37" i="4"/>
  <c r="J44" i="4"/>
  <c r="AE49" i="4"/>
  <c r="P55" i="4"/>
  <c r="AE55" i="4"/>
  <c r="J60" i="4"/>
  <c r="AE66" i="4"/>
  <c r="AE79" i="4"/>
  <c r="V82" i="4"/>
  <c r="P87" i="4"/>
  <c r="AE92" i="4"/>
  <c r="V93" i="4"/>
  <c r="S100" i="4"/>
  <c r="AE107" i="4"/>
  <c r="AB108" i="4"/>
  <c r="J130" i="4"/>
  <c r="AE131" i="4"/>
  <c r="V136" i="4"/>
  <c r="M137" i="4"/>
  <c r="AE137" i="4"/>
  <c r="V140" i="4"/>
  <c r="P141" i="4"/>
  <c r="P151" i="4"/>
  <c r="V159" i="4"/>
  <c r="P169" i="4"/>
  <c r="J173" i="4"/>
  <c r="Y178" i="4"/>
  <c r="P179" i="4"/>
  <c r="P184" i="4"/>
  <c r="AE3" i="4"/>
  <c r="AE26" i="4"/>
  <c r="V36" i="4"/>
  <c r="S37" i="4"/>
  <c r="Y82" i="4"/>
  <c r="S87" i="4"/>
  <c r="Y93" i="4"/>
  <c r="V100" i="4"/>
  <c r="M107" i="4"/>
  <c r="AE108" i="4"/>
  <c r="Y136" i="4"/>
  <c r="Y140" i="4"/>
  <c r="S141" i="4"/>
  <c r="S169" i="4"/>
  <c r="S184" i="4"/>
  <c r="AE37" i="4"/>
  <c r="AE184" i="4"/>
  <c r="J3" i="4"/>
  <c r="V9" i="4"/>
  <c r="M12" i="4"/>
  <c r="V13" i="4"/>
  <c r="J26" i="4"/>
  <c r="M30" i="4"/>
  <c r="Y36" i="4"/>
  <c r="V37" i="4"/>
  <c r="S55" i="4"/>
  <c r="AB82" i="4"/>
  <c r="M92" i="4"/>
  <c r="AB93" i="4"/>
  <c r="Y100" i="4"/>
  <c r="P107" i="4"/>
  <c r="J108" i="4"/>
  <c r="P130" i="4"/>
  <c r="P137" i="4"/>
  <c r="V141" i="4"/>
  <c r="V151" i="4"/>
  <c r="M152" i="4"/>
  <c r="AB159" i="4"/>
  <c r="V169" i="4"/>
  <c r="S179" i="4"/>
  <c r="V184" i="4"/>
  <c r="AB36" i="4"/>
  <c r="Y37" i="4"/>
  <c r="J82" i="4"/>
  <c r="V87" i="4"/>
  <c r="J93" i="4"/>
  <c r="AB100" i="4"/>
  <c r="S107" i="4"/>
  <c r="J136" i="4"/>
  <c r="S137" i="4"/>
  <c r="J140" i="4"/>
  <c r="Y141" i="4"/>
  <c r="Y169" i="4"/>
  <c r="V179" i="4"/>
  <c r="Y184" i="4"/>
  <c r="AF301" i="24" l="1"/>
  <c r="AG301" i="24" s="1"/>
  <c r="AF196" i="22"/>
  <c r="AG196" i="22" s="1"/>
  <c r="AF38" i="22"/>
  <c r="AG38" i="22" s="1"/>
  <c r="P237" i="22"/>
  <c r="P288" i="24"/>
  <c r="P289" i="24" s="1"/>
  <c r="Y361" i="24"/>
  <c r="AF33" i="24"/>
  <c r="AG33" i="24" s="1"/>
  <c r="AF180" i="22"/>
  <c r="AG180" i="22" s="1"/>
  <c r="AF218" i="22"/>
  <c r="AG218" i="22" s="1"/>
  <c r="AF122" i="22"/>
  <c r="AG122" i="22" s="1"/>
  <c r="Y76" i="10"/>
  <c r="Y77" i="10" s="1"/>
  <c r="AF89" i="24"/>
  <c r="AG89" i="24" s="1"/>
  <c r="AF40" i="24"/>
  <c r="AG40" i="24" s="1"/>
  <c r="AF90" i="22"/>
  <c r="AG90" i="22" s="1"/>
  <c r="AF30" i="10"/>
  <c r="AG30" i="10" s="1"/>
  <c r="AF129" i="10"/>
  <c r="AG129" i="10" s="1"/>
  <c r="AF214" i="22"/>
  <c r="AG214" i="22" s="1"/>
  <c r="AF19" i="10"/>
  <c r="AG19" i="10" s="1"/>
  <c r="AF113" i="10"/>
  <c r="AG113" i="10" s="1"/>
  <c r="AF10" i="10"/>
  <c r="AG10" i="10" s="1"/>
  <c r="P76" i="10"/>
  <c r="P77" i="10" s="1"/>
  <c r="AF146" i="24"/>
  <c r="AG146" i="24" s="1"/>
  <c r="AF138" i="22"/>
  <c r="AG138" i="22" s="1"/>
  <c r="AF22" i="22"/>
  <c r="AG22" i="22" s="1"/>
  <c r="AF225" i="24"/>
  <c r="AG225" i="24" s="1"/>
  <c r="AF202" i="22"/>
  <c r="AG202" i="22" s="1"/>
  <c r="S361" i="24"/>
  <c r="AF48" i="22"/>
  <c r="AG48" i="22" s="1"/>
  <c r="AF338" i="24"/>
  <c r="AG338" i="24" s="1"/>
  <c r="S144" i="22"/>
  <c r="S145" i="22" s="1"/>
  <c r="AF142" i="22"/>
  <c r="AG142" i="22" s="1"/>
  <c r="AF147" i="4"/>
  <c r="AG147" i="4" s="1"/>
  <c r="AF63" i="22"/>
  <c r="AG63" i="22" s="1"/>
  <c r="AF154" i="22"/>
  <c r="AG154" i="22" s="1"/>
  <c r="AF62" i="22"/>
  <c r="AG62" i="22" s="1"/>
  <c r="AF56" i="22"/>
  <c r="AG56" i="22" s="1"/>
  <c r="AF44" i="22"/>
  <c r="AG44" i="22" s="1"/>
  <c r="AF69" i="22"/>
  <c r="AG69" i="22" s="1"/>
  <c r="P40" i="19"/>
  <c r="AF30" i="22"/>
  <c r="AG30" i="22" s="1"/>
  <c r="AF82" i="22"/>
  <c r="AG82" i="22" s="1"/>
  <c r="AF70" i="22"/>
  <c r="AG70" i="22" s="1"/>
  <c r="AE103" i="10"/>
  <c r="AE104" i="10" s="1"/>
  <c r="AF305" i="24"/>
  <c r="AG305" i="24" s="1"/>
  <c r="AF314" i="24"/>
  <c r="AG314" i="24" s="1"/>
  <c r="AE208" i="25"/>
  <c r="AE209" i="25" s="1"/>
  <c r="Y107" i="25"/>
  <c r="Y108" i="25" s="1"/>
  <c r="M208" i="25"/>
  <c r="M209" i="25" s="1"/>
  <c r="AF94" i="25"/>
  <c r="AG94" i="25" s="1"/>
  <c r="P107" i="25"/>
  <c r="P108" i="25" s="1"/>
  <c r="AF177" i="25"/>
  <c r="AG177" i="25" s="1"/>
  <c r="AF133" i="25"/>
  <c r="AG133" i="25" s="1"/>
  <c r="AF45" i="25"/>
  <c r="AG45" i="25" s="1"/>
  <c r="AF180" i="25"/>
  <c r="AG180" i="25" s="1"/>
  <c r="AF21" i="25"/>
  <c r="AG21" i="25" s="1"/>
  <c r="AF172" i="25"/>
  <c r="AG172" i="25" s="1"/>
  <c r="AF102" i="25"/>
  <c r="AG102" i="25" s="1"/>
  <c r="AF82" i="25"/>
  <c r="AG82" i="25" s="1"/>
  <c r="Y208" i="25"/>
  <c r="Y209" i="25" s="1"/>
  <c r="AF106" i="25"/>
  <c r="AG106" i="25" s="1"/>
  <c r="AB107" i="25"/>
  <c r="AB108" i="25" s="1"/>
  <c r="AF145" i="25"/>
  <c r="AG145" i="25" s="1"/>
  <c r="AF167" i="25"/>
  <c r="AG167" i="25" s="1"/>
  <c r="AF26" i="20"/>
  <c r="AG26" i="20" s="1"/>
  <c r="M47" i="20"/>
  <c r="M48" i="20" s="1"/>
  <c r="M49" i="20" s="1"/>
  <c r="AF11" i="20"/>
  <c r="AG11" i="20" s="1"/>
  <c r="J47" i="20"/>
  <c r="J48" i="20" s="1"/>
  <c r="AB47" i="20"/>
  <c r="AB48" i="20" s="1"/>
  <c r="AB49" i="20" s="1"/>
  <c r="V208" i="25"/>
  <c r="V209" i="25" s="1"/>
  <c r="M107" i="25"/>
  <c r="M108" i="25" s="1"/>
  <c r="M288" i="24"/>
  <c r="M289" i="24" s="1"/>
  <c r="AF155" i="22"/>
  <c r="AG155" i="22" s="1"/>
  <c r="AF15" i="22"/>
  <c r="AG15" i="22" s="1"/>
  <c r="AF223" i="22"/>
  <c r="AG223" i="22" s="1"/>
  <c r="Y103" i="10"/>
  <c r="Y104" i="10" s="1"/>
  <c r="AF24" i="24"/>
  <c r="AG24" i="24" s="1"/>
  <c r="AF232" i="22"/>
  <c r="AG232" i="22" s="1"/>
  <c r="AF27" i="20"/>
  <c r="AG27" i="20" s="1"/>
  <c r="AF112" i="10"/>
  <c r="AG112" i="10" s="1"/>
  <c r="AF137" i="24"/>
  <c r="AG137" i="24" s="1"/>
  <c r="V47" i="20"/>
  <c r="V48" i="20" s="1"/>
  <c r="V49" i="20" s="1"/>
  <c r="AF224" i="22"/>
  <c r="AG224" i="22" s="1"/>
  <c r="AF155" i="10"/>
  <c r="AG155" i="10" s="1"/>
  <c r="AF20" i="19"/>
  <c r="AG20" i="19" s="1"/>
  <c r="AF32" i="20"/>
  <c r="AG32" i="20" s="1"/>
  <c r="AF131" i="22"/>
  <c r="AG131" i="22" s="1"/>
  <c r="P144" i="22"/>
  <c r="P145" i="22" s="1"/>
  <c r="M237" i="22"/>
  <c r="AF235" i="22"/>
  <c r="AG235" i="22" s="1"/>
  <c r="V76" i="10"/>
  <c r="V77" i="10" s="1"/>
  <c r="AE76" i="10"/>
  <c r="AE77" i="10" s="1"/>
  <c r="AF84" i="10"/>
  <c r="AG84" i="10" s="1"/>
  <c r="AF83" i="22"/>
  <c r="AG83" i="22" s="1"/>
  <c r="S103" i="10"/>
  <c r="S104" i="10" s="1"/>
  <c r="S156" i="10" s="1"/>
  <c r="AF133" i="10"/>
  <c r="AG133" i="10" s="1"/>
  <c r="AF231" i="22"/>
  <c r="AG231" i="22" s="1"/>
  <c r="Y237" i="22"/>
  <c r="AE151" i="25"/>
  <c r="AE152" i="25" s="1"/>
  <c r="AF52" i="25"/>
  <c r="AG52" i="25" s="1"/>
  <c r="AF12" i="25"/>
  <c r="AG12" i="25" s="1"/>
  <c r="AF4" i="25"/>
  <c r="AG4" i="25" s="1"/>
  <c r="AF77" i="25"/>
  <c r="AG77" i="25" s="1"/>
  <c r="AF49" i="25"/>
  <c r="AG49" i="25" s="1"/>
  <c r="AF51" i="22"/>
  <c r="AG51" i="22" s="1"/>
  <c r="J34" i="19"/>
  <c r="J35" i="19" s="1"/>
  <c r="AF49" i="10"/>
  <c r="AG49" i="10" s="1"/>
  <c r="S47" i="20"/>
  <c r="S48" i="20" s="1"/>
  <c r="S49" i="20" s="1"/>
  <c r="AF158" i="22"/>
  <c r="AG158" i="22" s="1"/>
  <c r="AF207" i="22"/>
  <c r="AG207" i="22" s="1"/>
  <c r="J237" i="25"/>
  <c r="AF6" i="10"/>
  <c r="AG6" i="10" s="1"/>
  <c r="AB361" i="24"/>
  <c r="AF26" i="22"/>
  <c r="AG26" i="22" s="1"/>
  <c r="AF68" i="10"/>
  <c r="AG68" i="10" s="1"/>
  <c r="J54" i="10"/>
  <c r="J55" i="10" s="1"/>
  <c r="AF126" i="25"/>
  <c r="AG126" i="25" s="1"/>
  <c r="Y189" i="25"/>
  <c r="Y190" i="25" s="1"/>
  <c r="AF122" i="25"/>
  <c r="AG122" i="25" s="1"/>
  <c r="AF117" i="25"/>
  <c r="AG117" i="25" s="1"/>
  <c r="AF11" i="25"/>
  <c r="AG11" i="25" s="1"/>
  <c r="AB189" i="25"/>
  <c r="AB190" i="25" s="1"/>
  <c r="AF197" i="25"/>
  <c r="AG197" i="25" s="1"/>
  <c r="AF105" i="25"/>
  <c r="AG105" i="25" s="1"/>
  <c r="S237" i="25"/>
  <c r="M151" i="25"/>
  <c r="M152" i="25" s="1"/>
  <c r="AF98" i="25"/>
  <c r="AG98" i="25" s="1"/>
  <c r="AF76" i="25"/>
  <c r="AG76" i="25" s="1"/>
  <c r="AF60" i="25"/>
  <c r="AG60" i="25" s="1"/>
  <c r="AF220" i="25"/>
  <c r="AG220" i="25" s="1"/>
  <c r="AF171" i="25"/>
  <c r="AG171" i="25" s="1"/>
  <c r="Y85" i="25"/>
  <c r="Y86" i="25" s="1"/>
  <c r="AF140" i="25"/>
  <c r="AG140" i="25" s="1"/>
  <c r="AF125" i="25"/>
  <c r="AG125" i="25" s="1"/>
  <c r="AF93" i="25"/>
  <c r="AG93" i="25" s="1"/>
  <c r="AF73" i="25"/>
  <c r="AG73" i="25" s="1"/>
  <c r="AF69" i="25"/>
  <c r="AG69" i="25" s="1"/>
  <c r="AF44" i="25"/>
  <c r="AG44" i="25" s="1"/>
  <c r="AF36" i="25"/>
  <c r="AG36" i="25" s="1"/>
  <c r="AE361" i="24"/>
  <c r="S237" i="22"/>
  <c r="AF102" i="22"/>
  <c r="AG102" i="22" s="1"/>
  <c r="AF163" i="22"/>
  <c r="AG163" i="22" s="1"/>
  <c r="AF116" i="22"/>
  <c r="AG116" i="22" s="1"/>
  <c r="J103" i="10"/>
  <c r="J104" i="10" s="1"/>
  <c r="AF22" i="25"/>
  <c r="AG22" i="25" s="1"/>
  <c r="AB208" i="25"/>
  <c r="AB209" i="25" s="1"/>
  <c r="AF147" i="25"/>
  <c r="AG147" i="25" s="1"/>
  <c r="V107" i="25"/>
  <c r="V108" i="25" s="1"/>
  <c r="AF97" i="25"/>
  <c r="AG97" i="25" s="1"/>
  <c r="AF221" i="25"/>
  <c r="AG221" i="25" s="1"/>
  <c r="V237" i="25"/>
  <c r="Y151" i="25"/>
  <c r="Y152" i="25" s="1"/>
  <c r="J208" i="25"/>
  <c r="J209" i="25" s="1"/>
  <c r="M189" i="25"/>
  <c r="M190" i="25" s="1"/>
  <c r="AF195" i="24"/>
  <c r="AG195" i="24" s="1"/>
  <c r="AF113" i="24"/>
  <c r="AG113" i="24" s="1"/>
  <c r="AF28" i="24"/>
  <c r="AG28" i="24" s="1"/>
  <c r="AF333" i="24"/>
  <c r="AG333" i="24" s="1"/>
  <c r="AF315" i="24"/>
  <c r="AG315" i="24" s="1"/>
  <c r="AF259" i="24"/>
  <c r="AG259" i="24" s="1"/>
  <c r="AF308" i="24"/>
  <c r="AG308" i="24" s="1"/>
  <c r="AF32" i="24"/>
  <c r="AG32" i="24" s="1"/>
  <c r="AF236" i="22"/>
  <c r="AG236" i="22" s="1"/>
  <c r="AF282" i="24"/>
  <c r="AG282" i="24" s="1"/>
  <c r="AF169" i="24"/>
  <c r="AG169" i="24" s="1"/>
  <c r="V91" i="22"/>
  <c r="V92" i="22" s="1"/>
  <c r="AF22" i="20"/>
  <c r="AG22" i="20" s="1"/>
  <c r="AF241" i="24"/>
  <c r="AG241" i="24" s="1"/>
  <c r="AF51" i="24"/>
  <c r="AG51" i="24" s="1"/>
  <c r="AF339" i="24"/>
  <c r="AG339" i="24" s="1"/>
  <c r="AF141" i="24"/>
  <c r="AG141" i="24" s="1"/>
  <c r="P47" i="20"/>
  <c r="M34" i="19"/>
  <c r="M35" i="19" s="1"/>
  <c r="M41" i="19" s="1"/>
  <c r="M42" i="19" s="1"/>
  <c r="AE197" i="22"/>
  <c r="AE198" i="22" s="1"/>
  <c r="P91" i="22"/>
  <c r="P92" i="22" s="1"/>
  <c r="AF87" i="24"/>
  <c r="AG87" i="24" s="1"/>
  <c r="AB91" i="22"/>
  <c r="AB92" i="22" s="1"/>
  <c r="P34" i="19"/>
  <c r="P35" i="19" s="1"/>
  <c r="P41" i="19" s="1"/>
  <c r="P42" i="19" s="1"/>
  <c r="AF11" i="22"/>
  <c r="AG11" i="22" s="1"/>
  <c r="AF6" i="25"/>
  <c r="AG6" i="25" s="1"/>
  <c r="AF118" i="25"/>
  <c r="AG118" i="25" s="1"/>
  <c r="S151" i="25"/>
  <c r="S152" i="25" s="1"/>
  <c r="AF18" i="25"/>
  <c r="AG18" i="25" s="1"/>
  <c r="AF81" i="25"/>
  <c r="AG81" i="25" s="1"/>
  <c r="AF33" i="25"/>
  <c r="AG33" i="25" s="1"/>
  <c r="AF178" i="25"/>
  <c r="AG178" i="25" s="1"/>
  <c r="P151" i="25"/>
  <c r="P152" i="25" s="1"/>
  <c r="AF84" i="25"/>
  <c r="AG84" i="25" s="1"/>
  <c r="AF68" i="25"/>
  <c r="AG68" i="25" s="1"/>
  <c r="AF150" i="25"/>
  <c r="AG150" i="25" s="1"/>
  <c r="AF187" i="25"/>
  <c r="AG187" i="25" s="1"/>
  <c r="J189" i="25"/>
  <c r="J190" i="25" s="1"/>
  <c r="AF196" i="25"/>
  <c r="AG196" i="25" s="1"/>
  <c r="AF160" i="24"/>
  <c r="AG160" i="24" s="1"/>
  <c r="AF226" i="24"/>
  <c r="AG226" i="24" s="1"/>
  <c r="AF165" i="24"/>
  <c r="AG165" i="24" s="1"/>
  <c r="AF283" i="24"/>
  <c r="AG283" i="24" s="1"/>
  <c r="AF177" i="24"/>
  <c r="AG177" i="24" s="1"/>
  <c r="AF101" i="24"/>
  <c r="AG101" i="24" s="1"/>
  <c r="AF176" i="24"/>
  <c r="AG176" i="24" s="1"/>
  <c r="AF90" i="24"/>
  <c r="AG90" i="24" s="1"/>
  <c r="Y91" i="22"/>
  <c r="Y92" i="22" s="1"/>
  <c r="Y144" i="22"/>
  <c r="Y145" i="22" s="1"/>
  <c r="AF179" i="22"/>
  <c r="AG179" i="22" s="1"/>
  <c r="AF139" i="22"/>
  <c r="AG139" i="22" s="1"/>
  <c r="AE47" i="20"/>
  <c r="AE48" i="20" s="1"/>
  <c r="AE49" i="20" s="1"/>
  <c r="M76" i="10"/>
  <c r="M77" i="10" s="1"/>
  <c r="AF125" i="10"/>
  <c r="AG125" i="10" s="1"/>
  <c r="P361" i="24"/>
  <c r="S107" i="25"/>
  <c r="S108" i="25" s="1"/>
  <c r="AF136" i="4"/>
  <c r="AG136" i="4" s="1"/>
  <c r="AF49" i="4"/>
  <c r="AG49" i="4" s="1"/>
  <c r="J76" i="10"/>
  <c r="J77" i="10" s="1"/>
  <c r="AF77" i="10" s="1"/>
  <c r="AG77" i="10" s="1"/>
  <c r="P208" i="25"/>
  <c r="P209" i="25" s="1"/>
  <c r="AB85" i="25"/>
  <c r="AB86" i="25" s="1"/>
  <c r="AE189" i="25"/>
  <c r="AE190" i="25" s="1"/>
  <c r="AB237" i="25"/>
  <c r="S197" i="22"/>
  <c r="S198" i="22" s="1"/>
  <c r="AB197" i="22"/>
  <c r="AB198" i="22" s="1"/>
  <c r="V237" i="22"/>
  <c r="AF195" i="22"/>
  <c r="AG195" i="22" s="1"/>
  <c r="AF101" i="22"/>
  <c r="AG101" i="22" s="1"/>
  <c r="AF6" i="20"/>
  <c r="AG6" i="20" s="1"/>
  <c r="AF124" i="10"/>
  <c r="AG124" i="10" s="1"/>
  <c r="AF169" i="22"/>
  <c r="AG169" i="22" s="1"/>
  <c r="AE40" i="19"/>
  <c r="AF40" i="19" s="1"/>
  <c r="AG40" i="19" s="1"/>
  <c r="AB237" i="22"/>
  <c r="AF123" i="22"/>
  <c r="AG123" i="22" s="1"/>
  <c r="AF73" i="10"/>
  <c r="AG73" i="10" s="1"/>
  <c r="AF34" i="22"/>
  <c r="AG34" i="22" s="1"/>
  <c r="S208" i="25"/>
  <c r="S209" i="25" s="1"/>
  <c r="P189" i="25"/>
  <c r="P190" i="25" s="1"/>
  <c r="AE107" i="25"/>
  <c r="AE108" i="25" s="1"/>
  <c r="M237" i="25"/>
  <c r="V151" i="25"/>
  <c r="V152" i="25" s="1"/>
  <c r="AB144" i="22"/>
  <c r="AB145" i="22" s="1"/>
  <c r="AF45" i="22"/>
  <c r="AG45" i="22" s="1"/>
  <c r="AF19" i="22"/>
  <c r="AG19" i="22" s="1"/>
  <c r="AF130" i="22"/>
  <c r="AG130" i="22" s="1"/>
  <c r="V144" i="22"/>
  <c r="V145" i="22" s="1"/>
  <c r="AF143" i="22"/>
  <c r="AG143" i="22" s="1"/>
  <c r="AF29" i="10"/>
  <c r="AG29" i="10" s="1"/>
  <c r="Y197" i="22"/>
  <c r="Y198" i="22" s="1"/>
  <c r="S76" i="10"/>
  <c r="S77" i="10" s="1"/>
  <c r="AF325" i="24"/>
  <c r="AG325" i="24" s="1"/>
  <c r="S189" i="25"/>
  <c r="S190" i="25" s="1"/>
  <c r="Y237" i="25"/>
  <c r="AF23" i="22"/>
  <c r="AG23" i="22" s="1"/>
  <c r="AF5" i="22"/>
  <c r="AG5" i="22" s="1"/>
  <c r="AF39" i="19"/>
  <c r="AG39" i="19" s="1"/>
  <c r="P103" i="10"/>
  <c r="P104" i="10" s="1"/>
  <c r="P156" i="10" s="1"/>
  <c r="V103" i="10"/>
  <c r="V104" i="10" s="1"/>
  <c r="V156" i="10" s="1"/>
  <c r="AF33" i="20"/>
  <c r="AG33" i="20" s="1"/>
  <c r="S91" i="22"/>
  <c r="S92" i="22" s="1"/>
  <c r="AF21" i="20"/>
  <c r="AG21" i="20" s="1"/>
  <c r="AF16" i="10"/>
  <c r="AG16" i="10" s="1"/>
  <c r="AF134" i="25"/>
  <c r="AG134" i="25" s="1"/>
  <c r="J107" i="25"/>
  <c r="J108" i="25" s="1"/>
  <c r="AE237" i="25"/>
  <c r="V189" i="25"/>
  <c r="V190" i="25" s="1"/>
  <c r="J151" i="25"/>
  <c r="J152" i="25" s="1"/>
  <c r="AF61" i="25"/>
  <c r="AG61" i="25" s="1"/>
  <c r="P237" i="25"/>
  <c r="AB151" i="25"/>
  <c r="AB152" i="25" s="1"/>
  <c r="AF164" i="25"/>
  <c r="AF59" i="22"/>
  <c r="AG59" i="22" s="1"/>
  <c r="AF89" i="22"/>
  <c r="AG89" i="22" s="1"/>
  <c r="M91" i="22"/>
  <c r="M92" i="22" s="1"/>
  <c r="AE237" i="22"/>
  <c r="V197" i="22"/>
  <c r="V198" i="22" s="1"/>
  <c r="AF176" i="22"/>
  <c r="AG176" i="22" s="1"/>
  <c r="S54" i="10"/>
  <c r="S55" i="10" s="1"/>
  <c r="AF211" i="22"/>
  <c r="AG211" i="22" s="1"/>
  <c r="AB103" i="10"/>
  <c r="AB104" i="10" s="1"/>
  <c r="AB156" i="10" s="1"/>
  <c r="M103" i="10"/>
  <c r="M104" i="10" s="1"/>
  <c r="M156" i="10" s="1"/>
  <c r="AF208" i="22"/>
  <c r="AG208" i="22" s="1"/>
  <c r="AF150" i="22"/>
  <c r="AG150" i="22" s="1"/>
  <c r="AE144" i="22"/>
  <c r="AE145" i="22" s="1"/>
  <c r="AF92" i="4"/>
  <c r="AG92" i="4" s="1"/>
  <c r="V153" i="4"/>
  <c r="V154" i="4" s="1"/>
  <c r="AF9" i="4"/>
  <c r="AG9" i="4" s="1"/>
  <c r="AB153" i="4"/>
  <c r="AB154" i="4" s="1"/>
  <c r="AF131" i="4"/>
  <c r="AG131" i="4" s="1"/>
  <c r="M153" i="4"/>
  <c r="M154" i="4" s="1"/>
  <c r="M193" i="4" s="1"/>
  <c r="M194" i="4" s="1"/>
  <c r="S153" i="4"/>
  <c r="AF146" i="4"/>
  <c r="AG146" i="4" s="1"/>
  <c r="AF13" i="4"/>
  <c r="AG13" i="4" s="1"/>
  <c r="AF39" i="4"/>
  <c r="AG39" i="4" s="1"/>
  <c r="AE153" i="4"/>
  <c r="AE154" i="4" s="1"/>
  <c r="AE193" i="4"/>
  <c r="AE194" i="4" s="1"/>
  <c r="P153" i="4"/>
  <c r="P154" i="4" s="1"/>
  <c r="AF151" i="4"/>
  <c r="AG151" i="4" s="1"/>
  <c r="Y153" i="4"/>
  <c r="Y154" i="4" s="1"/>
  <c r="AF95" i="24"/>
  <c r="AG95" i="24" s="1"/>
  <c r="V288" i="24"/>
  <c r="V289" i="24" s="1"/>
  <c r="AE353" i="24"/>
  <c r="AE354" i="24" s="1"/>
  <c r="AF184" i="24"/>
  <c r="AG184" i="24" s="1"/>
  <c r="AF264" i="24"/>
  <c r="AG264" i="24" s="1"/>
  <c r="V353" i="24"/>
  <c r="V354" i="24" s="1"/>
  <c r="AF37" i="24"/>
  <c r="AG37" i="24" s="1"/>
  <c r="AF180" i="24"/>
  <c r="AG180" i="24" s="1"/>
  <c r="AB288" i="24"/>
  <c r="AB289" i="24" s="1"/>
  <c r="AF329" i="24"/>
  <c r="AG329" i="24" s="1"/>
  <c r="AF350" i="24"/>
  <c r="AG350" i="24" s="1"/>
  <c r="AF25" i="24"/>
  <c r="AG25" i="24" s="1"/>
  <c r="AF106" i="24"/>
  <c r="AG106" i="24" s="1"/>
  <c r="AF66" i="24"/>
  <c r="AG66" i="24" s="1"/>
  <c r="AF357" i="24"/>
  <c r="AG357" i="24" s="1"/>
  <c r="AF334" i="24"/>
  <c r="AG334" i="24" s="1"/>
  <c r="AF348" i="24"/>
  <c r="AG348" i="24" s="1"/>
  <c r="AF229" i="24"/>
  <c r="AG229" i="24" s="1"/>
  <c r="AF309" i="24"/>
  <c r="AG309" i="24" s="1"/>
  <c r="AF219" i="24"/>
  <c r="AG219" i="24" s="1"/>
  <c r="AF344" i="24"/>
  <c r="AG344" i="24" s="1"/>
  <c r="AF260" i="24"/>
  <c r="AG260" i="24" s="1"/>
  <c r="AF36" i="24"/>
  <c r="AG36" i="24" s="1"/>
  <c r="AF104" i="24"/>
  <c r="AG104" i="24" s="1"/>
  <c r="AF263" i="24"/>
  <c r="AG263" i="24" s="1"/>
  <c r="P245" i="24"/>
  <c r="P246" i="24" s="1"/>
  <c r="AF272" i="24"/>
  <c r="AG272" i="24" s="1"/>
  <c r="AF360" i="24"/>
  <c r="AG360" i="24" s="1"/>
  <c r="AF140" i="24"/>
  <c r="AG140" i="24" s="1"/>
  <c r="AF74" i="24"/>
  <c r="AG74" i="24" s="1"/>
  <c r="AF161" i="24"/>
  <c r="AG161" i="24" s="1"/>
  <c r="AF300" i="24"/>
  <c r="AG300" i="24" s="1"/>
  <c r="AF240" i="24"/>
  <c r="AG240" i="24" s="1"/>
  <c r="V245" i="24"/>
  <c r="V246" i="24" s="1"/>
  <c r="AE245" i="24"/>
  <c r="AE246" i="24" s="1"/>
  <c r="Y288" i="24"/>
  <c r="Y289" i="24" s="1"/>
  <c r="AE288" i="24"/>
  <c r="AE289" i="24" s="1"/>
  <c r="AF297" i="24"/>
  <c r="AG297" i="24" s="1"/>
  <c r="AF103" i="24"/>
  <c r="AG103" i="24" s="1"/>
  <c r="AF207" i="24"/>
  <c r="AG207" i="24" s="1"/>
  <c r="AF41" i="24"/>
  <c r="AG41" i="24" s="1"/>
  <c r="AF192" i="24"/>
  <c r="AG192" i="24" s="1"/>
  <c r="AF172" i="24"/>
  <c r="AG172" i="24" s="1"/>
  <c r="AF147" i="24"/>
  <c r="AG147" i="24" s="1"/>
  <c r="AF110" i="24"/>
  <c r="AG110" i="24" s="1"/>
  <c r="AF3" i="24"/>
  <c r="AG3" i="24" s="1"/>
  <c r="AF181" i="24"/>
  <c r="AG181" i="24" s="1"/>
  <c r="AF107" i="24"/>
  <c r="AG107" i="24" s="1"/>
  <c r="AF168" i="24"/>
  <c r="AG168" i="24" s="1"/>
  <c r="Y353" i="24"/>
  <c r="Y354" i="24" s="1"/>
  <c r="AF358" i="24"/>
  <c r="AG358" i="24" s="1"/>
  <c r="AF211" i="24"/>
  <c r="AG211" i="24" s="1"/>
  <c r="AF73" i="24"/>
  <c r="AG73" i="24" s="1"/>
  <c r="AF11" i="24"/>
  <c r="AG11" i="24" s="1"/>
  <c r="P353" i="24"/>
  <c r="P354" i="24" s="1"/>
  <c r="AF254" i="24"/>
  <c r="AG254" i="24" s="1"/>
  <c r="AF232" i="24"/>
  <c r="AG232" i="24" s="1"/>
  <c r="AF173" i="24"/>
  <c r="AG173" i="24" s="1"/>
  <c r="AF65" i="24"/>
  <c r="AG65" i="24" s="1"/>
  <c r="AF45" i="24"/>
  <c r="AG45" i="24" s="1"/>
  <c r="AF21" i="24"/>
  <c r="AG21" i="24" s="1"/>
  <c r="AF112" i="24"/>
  <c r="AG112" i="24" s="1"/>
  <c r="AF100" i="24"/>
  <c r="AG100" i="24" s="1"/>
  <c r="J361" i="24"/>
  <c r="AF198" i="24"/>
  <c r="AG198" i="24" s="1"/>
  <c r="AF199" i="24"/>
  <c r="AG199" i="24" s="1"/>
  <c r="M361" i="24"/>
  <c r="S353" i="24"/>
  <c r="S354" i="24" s="1"/>
  <c r="AF330" i="24"/>
  <c r="AG330" i="24" s="1"/>
  <c r="AB353" i="24"/>
  <c r="AB354" i="24" s="1"/>
  <c r="AF109" i="24"/>
  <c r="AG109" i="24" s="1"/>
  <c r="AF77" i="24"/>
  <c r="AG77" i="24" s="1"/>
  <c r="AF268" i="24"/>
  <c r="AG268" i="24" s="1"/>
  <c r="AF347" i="24"/>
  <c r="AG347" i="24" s="1"/>
  <c r="AF86" i="24"/>
  <c r="AG86" i="24" s="1"/>
  <c r="M245" i="24"/>
  <c r="M246" i="24" s="1"/>
  <c r="V361" i="24"/>
  <c r="AF157" i="24"/>
  <c r="AG157" i="24" s="1"/>
  <c r="AF61" i="24"/>
  <c r="AG61" i="24" s="1"/>
  <c r="AF82" i="24"/>
  <c r="AG82" i="24" s="1"/>
  <c r="AF151" i="24"/>
  <c r="AG151" i="24" s="1"/>
  <c r="AF267" i="24"/>
  <c r="AG267" i="24" s="1"/>
  <c r="AF222" i="24"/>
  <c r="AG222" i="24" s="1"/>
  <c r="AB245" i="24"/>
  <c r="AB246" i="24" s="1"/>
  <c r="AF156" i="24"/>
  <c r="AG156" i="24" s="1"/>
  <c r="AF29" i="24"/>
  <c r="AG29" i="24" s="1"/>
  <c r="AF185" i="24"/>
  <c r="AG185" i="24" s="1"/>
  <c r="S288" i="24"/>
  <c r="S289" i="24" s="1"/>
  <c r="AF78" i="24"/>
  <c r="AG78" i="24" s="1"/>
  <c r="M353" i="24"/>
  <c r="M354" i="24" s="1"/>
  <c r="AF126" i="24"/>
  <c r="AG126" i="24" s="1"/>
  <c r="AF117" i="24"/>
  <c r="AG117" i="24" s="1"/>
  <c r="AF85" i="24"/>
  <c r="AG85" i="24" s="1"/>
  <c r="AF44" i="24"/>
  <c r="AG44" i="24" s="1"/>
  <c r="AF20" i="24"/>
  <c r="AG20" i="24" s="1"/>
  <c r="S245" i="24"/>
  <c r="S246" i="24" s="1"/>
  <c r="AF97" i="24"/>
  <c r="AG97" i="24" s="1"/>
  <c r="AF223" i="24"/>
  <c r="AG223" i="24" s="1"/>
  <c r="AF93" i="4"/>
  <c r="AG93" i="4" s="1"/>
  <c r="AB192" i="4"/>
  <c r="AF26" i="4"/>
  <c r="AG26" i="4" s="1"/>
  <c r="AF184" i="4"/>
  <c r="AG184" i="4" s="1"/>
  <c r="AF37" i="4"/>
  <c r="AG37" i="4" s="1"/>
  <c r="AF19" i="19"/>
  <c r="AG19" i="19" s="1"/>
  <c r="AF26" i="19"/>
  <c r="AG26" i="19" s="1"/>
  <c r="AF5" i="20"/>
  <c r="AG5" i="20" s="1"/>
  <c r="AF18" i="22"/>
  <c r="AG18" i="22" s="1"/>
  <c r="AF124" i="24"/>
  <c r="AG124" i="24" s="1"/>
  <c r="AF12" i="24"/>
  <c r="AG12" i="24" s="1"/>
  <c r="AF136" i="24"/>
  <c r="AG136" i="24" s="1"/>
  <c r="AF193" i="25"/>
  <c r="AG193" i="25" s="1"/>
  <c r="Y245" i="24"/>
  <c r="Y246" i="24" s="1"/>
  <c r="AF93" i="26"/>
  <c r="AG93" i="26" s="1"/>
  <c r="S85" i="25"/>
  <c r="S86" i="25" s="1"/>
  <c r="AF159" i="22"/>
  <c r="AG159" i="22" s="1"/>
  <c r="AF178" i="4"/>
  <c r="AG178" i="4" s="1"/>
  <c r="AF191" i="24"/>
  <c r="AG191" i="24" s="1"/>
  <c r="Y54" i="10"/>
  <c r="Y55" i="10" s="1"/>
  <c r="V54" i="10"/>
  <c r="V55" i="10" s="1"/>
  <c r="AF94" i="10"/>
  <c r="AG94" i="10" s="1"/>
  <c r="AF36" i="4"/>
  <c r="AG36" i="4" s="1"/>
  <c r="Y34" i="19"/>
  <c r="Y35" i="19" s="1"/>
  <c r="AF126" i="22"/>
  <c r="AG126" i="22" s="1"/>
  <c r="AF184" i="22"/>
  <c r="AG184" i="22" s="1"/>
  <c r="J192" i="4"/>
  <c r="AF169" i="4"/>
  <c r="AG169" i="4" s="1"/>
  <c r="AF15" i="20"/>
  <c r="AG15" i="20" s="1"/>
  <c r="AF152" i="4"/>
  <c r="AG152" i="4" s="1"/>
  <c r="AF173" i="4"/>
  <c r="AG173" i="4" s="1"/>
  <c r="J63" i="4"/>
  <c r="AF44" i="4"/>
  <c r="AG44" i="4" s="1"/>
  <c r="AF179" i="4"/>
  <c r="AG179" i="4" s="1"/>
  <c r="AF237" i="24"/>
  <c r="AG237" i="24" s="1"/>
  <c r="AF62" i="24"/>
  <c r="AG62" i="24" s="1"/>
  <c r="AF228" i="24"/>
  <c r="AG228" i="24" s="1"/>
  <c r="AF81" i="24"/>
  <c r="AG81" i="24" s="1"/>
  <c r="AF214" i="24"/>
  <c r="AG214" i="24" s="1"/>
  <c r="AF90" i="25"/>
  <c r="AG90" i="25" s="1"/>
  <c r="AF213" i="25"/>
  <c r="AG213" i="25" s="1"/>
  <c r="AF56" i="25"/>
  <c r="AG56" i="25" s="1"/>
  <c r="AE312" i="26"/>
  <c r="AE313" i="26" s="1"/>
  <c r="J130" i="26"/>
  <c r="AF15" i="24"/>
  <c r="AG15" i="24" s="1"/>
  <c r="AF6" i="24"/>
  <c r="AG6" i="24" s="1"/>
  <c r="AF352" i="24"/>
  <c r="AG352" i="24" s="1"/>
  <c r="AF117" i="22"/>
  <c r="AG117" i="22" s="1"/>
  <c r="AF16" i="20"/>
  <c r="AG16" i="20" s="1"/>
  <c r="AF97" i="22"/>
  <c r="AG97" i="22" s="1"/>
  <c r="AF49" i="22"/>
  <c r="AG49" i="22" s="1"/>
  <c r="AE34" i="19"/>
  <c r="AE35" i="19" s="1"/>
  <c r="AF128" i="4"/>
  <c r="AG128" i="4" s="1"/>
  <c r="AF29" i="4"/>
  <c r="AG29" i="4" s="1"/>
  <c r="AF79" i="4"/>
  <c r="AG79" i="4" s="1"/>
  <c r="AF228" i="22"/>
  <c r="AG228" i="22" s="1"/>
  <c r="AF105" i="22"/>
  <c r="AG105" i="22" s="1"/>
  <c r="AF141" i="4"/>
  <c r="AG141" i="4" s="1"/>
  <c r="AF37" i="22"/>
  <c r="AG37" i="22" s="1"/>
  <c r="AF295" i="24"/>
  <c r="AG295" i="24" s="1"/>
  <c r="AF220" i="24"/>
  <c r="AG220" i="24" s="1"/>
  <c r="AF216" i="24"/>
  <c r="AG216" i="24" s="1"/>
  <c r="AF123" i="24"/>
  <c r="AG123" i="24" s="1"/>
  <c r="M85" i="25"/>
  <c r="M86" i="25" s="1"/>
  <c r="AF217" i="22"/>
  <c r="AG217" i="22" s="1"/>
  <c r="AF192" i="22"/>
  <c r="AG192" i="22" s="1"/>
  <c r="AF55" i="22"/>
  <c r="AG55" i="22" s="1"/>
  <c r="AF30" i="19"/>
  <c r="AG30" i="19" s="1"/>
  <c r="Y47" i="20"/>
  <c r="Y48" i="20" s="1"/>
  <c r="Y49" i="20" s="1"/>
  <c r="P54" i="10"/>
  <c r="P55" i="10" s="1"/>
  <c r="AF11" i="19"/>
  <c r="AG11" i="19" s="1"/>
  <c r="AF66" i="4"/>
  <c r="AG66" i="4" s="1"/>
  <c r="AB54" i="10"/>
  <c r="AB55" i="10" s="1"/>
  <c r="AF140" i="4"/>
  <c r="AG140" i="4" s="1"/>
  <c r="AF130" i="4"/>
  <c r="AG130" i="4" s="1"/>
  <c r="AF70" i="24"/>
  <c r="AG70" i="24" s="1"/>
  <c r="AF3" i="4"/>
  <c r="AG3" i="4" s="1"/>
  <c r="AF107" i="4"/>
  <c r="AG107" i="4" s="1"/>
  <c r="AF55" i="4"/>
  <c r="AG55" i="4" s="1"/>
  <c r="AF33" i="19"/>
  <c r="AG33" i="19" s="1"/>
  <c r="AF10" i="19"/>
  <c r="AG10" i="19" s="1"/>
  <c r="AF27" i="22"/>
  <c r="AG27" i="22" s="1"/>
  <c r="AF128" i="24"/>
  <c r="AG128" i="24" s="1"/>
  <c r="AF292" i="24"/>
  <c r="AG292" i="24" s="1"/>
  <c r="AF277" i="24"/>
  <c r="AG277" i="24" s="1"/>
  <c r="AF199" i="22"/>
  <c r="AG199" i="22" s="1"/>
  <c r="V129" i="26"/>
  <c r="V130" i="26" s="1"/>
  <c r="AF7" i="24"/>
  <c r="AG7" i="24" s="1"/>
  <c r="AE114" i="24"/>
  <c r="M114" i="24"/>
  <c r="V114" i="24"/>
  <c r="AB114" i="24"/>
  <c r="Y114" i="24"/>
  <c r="P114" i="24"/>
  <c r="S114" i="24"/>
  <c r="AF150" i="24"/>
  <c r="AG150" i="24" s="1"/>
  <c r="P197" i="22"/>
  <c r="P198" i="22" s="1"/>
  <c r="J85" i="25"/>
  <c r="AF100" i="4"/>
  <c r="AG100" i="4" s="1"/>
  <c r="AF109" i="22"/>
  <c r="AG109" i="22" s="1"/>
  <c r="AF29" i="19"/>
  <c r="AG29" i="19" s="1"/>
  <c r="AF170" i="4"/>
  <c r="AG170" i="4" s="1"/>
  <c r="AE91" i="22"/>
  <c r="AE92" i="22" s="1"/>
  <c r="AE54" i="10"/>
  <c r="AE55" i="10" s="1"/>
  <c r="AF319" i="24"/>
  <c r="AG319" i="24" s="1"/>
  <c r="AF110" i="22"/>
  <c r="AG110" i="22" s="1"/>
  <c r="AF293" i="24"/>
  <c r="AG293" i="24" s="1"/>
  <c r="AF271" i="24"/>
  <c r="AG271" i="24" s="1"/>
  <c r="AF55" i="24"/>
  <c r="AG55" i="24" s="1"/>
  <c r="M197" i="22"/>
  <c r="M54" i="10"/>
  <c r="M55" i="10" s="1"/>
  <c r="AF7" i="19"/>
  <c r="AG7" i="19" s="1"/>
  <c r="Y156" i="10"/>
  <c r="AE156" i="10"/>
  <c r="AF8" i="4"/>
  <c r="AG8" i="4" s="1"/>
  <c r="AF14" i="24"/>
  <c r="AG14" i="24" s="1"/>
  <c r="AF58" i="4"/>
  <c r="AG58" i="4" s="1"/>
  <c r="J176" i="27"/>
  <c r="AF176" i="27" s="1"/>
  <c r="AG176" i="27" s="1"/>
  <c r="AF175" i="27"/>
  <c r="AG175" i="27" s="1"/>
  <c r="AF108" i="4"/>
  <c r="AG108" i="4" s="1"/>
  <c r="AF159" i="4"/>
  <c r="AG159" i="4" s="1"/>
  <c r="AF87" i="4"/>
  <c r="AG87" i="4" s="1"/>
  <c r="AF66" i="22"/>
  <c r="AG66" i="22" s="1"/>
  <c r="J91" i="22"/>
  <c r="J92" i="22" s="1"/>
  <c r="AF6" i="22"/>
  <c r="AG6" i="22" s="1"/>
  <c r="AF326" i="24"/>
  <c r="AG326" i="24" s="1"/>
  <c r="AF233" i="24"/>
  <c r="AG233" i="24" s="1"/>
  <c r="V85" i="25"/>
  <c r="V86" i="25" s="1"/>
  <c r="AE85" i="25"/>
  <c r="AE86" i="25" s="1"/>
  <c r="AF343" i="24"/>
  <c r="AG343" i="24" s="1"/>
  <c r="AF320" i="24"/>
  <c r="AG320" i="24" s="1"/>
  <c r="P85" i="25"/>
  <c r="P86" i="25" s="1"/>
  <c r="AB34" i="19"/>
  <c r="AB35" i="19" s="1"/>
  <c r="V34" i="19"/>
  <c r="V35" i="19" s="1"/>
  <c r="AF175" i="22"/>
  <c r="AG175" i="22" s="1"/>
  <c r="M144" i="22"/>
  <c r="M145" i="22" s="1"/>
  <c r="S34" i="19"/>
  <c r="S35" i="19" s="1"/>
  <c r="AF6" i="19"/>
  <c r="AG6" i="19" s="1"/>
  <c r="AF38" i="19"/>
  <c r="AG38" i="19" s="1"/>
  <c r="AF162" i="22"/>
  <c r="AG162" i="22" s="1"/>
  <c r="AF106" i="22"/>
  <c r="AG106" i="22" s="1"/>
  <c r="AF33" i="22"/>
  <c r="AG33" i="22" s="1"/>
  <c r="AF19" i="4"/>
  <c r="AG19" i="4" s="1"/>
  <c r="J153" i="4"/>
  <c r="AF82" i="4"/>
  <c r="AG82" i="4" s="1"/>
  <c r="AF12" i="4"/>
  <c r="AG12" i="4" s="1"/>
  <c r="AF60" i="4"/>
  <c r="AG60" i="4" s="1"/>
  <c r="AF205" i="24"/>
  <c r="AG205" i="24" s="1"/>
  <c r="AF132" i="24"/>
  <c r="AG132" i="24" s="1"/>
  <c r="AF30" i="4"/>
  <c r="AG30" i="4" s="1"/>
  <c r="AF18" i="4"/>
  <c r="AG18" i="4" s="1"/>
  <c r="AF137" i="4"/>
  <c r="AG137" i="4" s="1"/>
  <c r="AF25" i="19"/>
  <c r="AG25" i="19" s="1"/>
  <c r="AF304" i="24"/>
  <c r="AG304" i="24" s="1"/>
  <c r="AF278" i="24"/>
  <c r="AG278" i="24" s="1"/>
  <c r="AF212" i="24"/>
  <c r="AG212" i="24" s="1"/>
  <c r="AF163" i="25"/>
  <c r="AG163" i="25" s="1"/>
  <c r="AG164" i="25" s="1"/>
  <c r="AF54" i="24"/>
  <c r="AG54" i="24" s="1"/>
  <c r="AF46" i="24"/>
  <c r="AG46" i="24" s="1"/>
  <c r="J353" i="24"/>
  <c r="J354" i="24" s="1"/>
  <c r="J116" i="24"/>
  <c r="AE116" i="24"/>
  <c r="M116" i="24"/>
  <c r="V116" i="24"/>
  <c r="AB116" i="24"/>
  <c r="Y116" i="24"/>
  <c r="P116" i="24"/>
  <c r="S116" i="24"/>
  <c r="AF133" i="24"/>
  <c r="AG133" i="24" s="1"/>
  <c r="AF170" i="22"/>
  <c r="AG170" i="22" s="1"/>
  <c r="AF127" i="22"/>
  <c r="AG127" i="22" s="1"/>
  <c r="AF183" i="22"/>
  <c r="AG183" i="22" s="1"/>
  <c r="AF60" i="22"/>
  <c r="AG60" i="22" s="1"/>
  <c r="AF191" i="22"/>
  <c r="AG191" i="22" s="1"/>
  <c r="AF10" i="22"/>
  <c r="AG10" i="22" s="1"/>
  <c r="J288" i="24"/>
  <c r="AF63" i="25"/>
  <c r="AG63" i="25" s="1"/>
  <c r="AF29" i="25"/>
  <c r="AG29" i="25" s="1"/>
  <c r="AF112" i="25"/>
  <c r="AG112" i="25" s="1"/>
  <c r="AF17" i="25"/>
  <c r="AG17" i="25" s="1"/>
  <c r="AF64" i="25"/>
  <c r="AG64" i="25" s="1"/>
  <c r="AF183" i="25"/>
  <c r="AG183" i="25" s="1"/>
  <c r="AF216" i="25"/>
  <c r="AG216" i="25" s="1"/>
  <c r="AF168" i="25"/>
  <c r="AG168" i="25" s="1"/>
  <c r="AF184" i="25"/>
  <c r="AG184" i="25" s="1"/>
  <c r="AF141" i="25"/>
  <c r="AG141" i="25" s="1"/>
  <c r="AF53" i="25"/>
  <c r="AG53" i="25" s="1"/>
  <c r="AF37" i="25"/>
  <c r="AG37" i="25" s="1"/>
  <c r="AF24" i="25"/>
  <c r="AG24" i="25" s="1"/>
  <c r="AF8" i="25"/>
  <c r="AG8" i="25" s="1"/>
  <c r="AF72" i="25"/>
  <c r="AG72" i="25" s="1"/>
  <c r="AF32" i="25"/>
  <c r="AG32" i="25" s="1"/>
  <c r="J245" i="24"/>
  <c r="AF253" i="24"/>
  <c r="AG253" i="24" s="1"/>
  <c r="AF59" i="10"/>
  <c r="AG59" i="10" s="1"/>
  <c r="AF122" i="10"/>
  <c r="AG122" i="10" s="1"/>
  <c r="AF43" i="10"/>
  <c r="AG43" i="10" s="1"/>
  <c r="AF58" i="10"/>
  <c r="AG58" i="10" s="1"/>
  <c r="AF88" i="10"/>
  <c r="AG88" i="10" s="1"/>
  <c r="AF83" i="10"/>
  <c r="AG83" i="10" s="1"/>
  <c r="AF128" i="10"/>
  <c r="AG128" i="10" s="1"/>
  <c r="AF139" i="10"/>
  <c r="AG139" i="10" s="1"/>
  <c r="AF39" i="10"/>
  <c r="AG39" i="10" s="1"/>
  <c r="AF117" i="10"/>
  <c r="AG117" i="10" s="1"/>
  <c r="AF48" i="10"/>
  <c r="AG48" i="10" s="1"/>
  <c r="AF109" i="10"/>
  <c r="AG109" i="10" s="1"/>
  <c r="AF93" i="10"/>
  <c r="AG93" i="10" s="1"/>
  <c r="AF11" i="10"/>
  <c r="AG11" i="10" s="1"/>
  <c r="AF42" i="10"/>
  <c r="AG42" i="10" s="1"/>
  <c r="AF14" i="10"/>
  <c r="AG14" i="10" s="1"/>
  <c r="AF74" i="10"/>
  <c r="AG74" i="10" s="1"/>
  <c r="AF23" i="10"/>
  <c r="AG23" i="10" s="1"/>
  <c r="AF101" i="10"/>
  <c r="AG101" i="10" s="1"/>
  <c r="AF100" i="10"/>
  <c r="AG100" i="10" s="1"/>
  <c r="AF69" i="10"/>
  <c r="AG69" i="10" s="1"/>
  <c r="AF138" i="10"/>
  <c r="AG138" i="10" s="1"/>
  <c r="AF121" i="10"/>
  <c r="AG121" i="10" s="1"/>
  <c r="AF24" i="10"/>
  <c r="AG24" i="10" s="1"/>
  <c r="AF87" i="10"/>
  <c r="AG87" i="10" s="1"/>
  <c r="V192" i="4" l="1"/>
  <c r="AF237" i="22"/>
  <c r="AG237" i="22" s="1"/>
  <c r="Y192" i="4"/>
  <c r="AB238" i="22"/>
  <c r="AB239" i="22" s="1"/>
  <c r="Y193" i="4"/>
  <c r="Y194" i="4" s="1"/>
  <c r="S157" i="10"/>
  <c r="S158" i="10" s="1"/>
  <c r="AF76" i="10"/>
  <c r="AG76" i="10" s="1"/>
  <c r="Y238" i="22"/>
  <c r="Y239" i="22" s="1"/>
  <c r="V238" i="22"/>
  <c r="V239" i="22" s="1"/>
  <c r="S193" i="4"/>
  <c r="S194" i="4" s="1"/>
  <c r="S154" i="4"/>
  <c r="S192" i="4" s="1"/>
  <c r="AB193" i="4"/>
  <c r="AB194" i="4" s="1"/>
  <c r="V193" i="4"/>
  <c r="V194" i="4" s="1"/>
  <c r="AF209" i="25"/>
  <c r="AG209" i="25" s="1"/>
  <c r="AF151" i="25"/>
  <c r="AG151" i="25" s="1"/>
  <c r="AF208" i="25"/>
  <c r="AG208" i="25" s="1"/>
  <c r="S118" i="24"/>
  <c r="S119" i="24" s="1"/>
  <c r="V312" i="26"/>
  <c r="V313" i="26" s="1"/>
  <c r="AB41" i="19"/>
  <c r="AB42" i="19" s="1"/>
  <c r="AF47" i="20"/>
  <c r="AG47" i="20" s="1"/>
  <c r="P48" i="20"/>
  <c r="P49" i="20" s="1"/>
  <c r="M192" i="4"/>
  <c r="AF152" i="25"/>
  <c r="AG152" i="25" s="1"/>
  <c r="AF189" i="25"/>
  <c r="AG189" i="25" s="1"/>
  <c r="AF54" i="10"/>
  <c r="AG54" i="10" s="1"/>
  <c r="AB238" i="25"/>
  <c r="AB239" i="25" s="1"/>
  <c r="AF107" i="25"/>
  <c r="AG107" i="25" s="1"/>
  <c r="AF190" i="25"/>
  <c r="AG190" i="25" s="1"/>
  <c r="AF108" i="25"/>
  <c r="AG108" i="25" s="1"/>
  <c r="Y238" i="25"/>
  <c r="Y239" i="25" s="1"/>
  <c r="S238" i="22"/>
  <c r="S239" i="22" s="1"/>
  <c r="AF103" i="10"/>
  <c r="AG103" i="10" s="1"/>
  <c r="P192" i="4"/>
  <c r="P193" i="4"/>
  <c r="P194" i="4" s="1"/>
  <c r="AE192" i="4"/>
  <c r="V118" i="24"/>
  <c r="V119" i="24" s="1"/>
  <c r="V362" i="24" s="1"/>
  <c r="V363" i="24" s="1"/>
  <c r="AF361" i="24"/>
  <c r="AG361" i="24" s="1"/>
  <c r="P118" i="24"/>
  <c r="P119" i="24" s="1"/>
  <c r="Y118" i="24"/>
  <c r="Y119" i="24" s="1"/>
  <c r="Y362" i="24" s="1"/>
  <c r="Y363" i="24" s="1"/>
  <c r="M118" i="24"/>
  <c r="M119" i="24" s="1"/>
  <c r="M362" i="24" s="1"/>
  <c r="M363" i="24" s="1"/>
  <c r="AE118" i="24"/>
  <c r="AE119" i="24" s="1"/>
  <c r="AF116" i="24"/>
  <c r="AG116" i="24" s="1"/>
  <c r="AF91" i="22"/>
  <c r="AG91" i="22" s="1"/>
  <c r="AF129" i="26"/>
  <c r="AG129" i="26" s="1"/>
  <c r="AF35" i="19"/>
  <c r="AG35" i="19" s="1"/>
  <c r="Y41" i="19"/>
  <c r="Y42" i="19" s="1"/>
  <c r="P157" i="10"/>
  <c r="P158" i="10" s="1"/>
  <c r="J154" i="4"/>
  <c r="AF153" i="4"/>
  <c r="AG153" i="4" s="1"/>
  <c r="J312" i="26"/>
  <c r="AF130" i="26"/>
  <c r="AG130" i="26" s="1"/>
  <c r="S41" i="19"/>
  <c r="S42" i="19" s="1"/>
  <c r="S238" i="25"/>
  <c r="S239" i="25" s="1"/>
  <c r="AB118" i="24"/>
  <c r="AB119" i="24" s="1"/>
  <c r="J41" i="19"/>
  <c r="AB157" i="10"/>
  <c r="AB158" i="10" s="1"/>
  <c r="J238" i="22"/>
  <c r="V238" i="25"/>
  <c r="V239" i="25" s="1"/>
  <c r="P238" i="25"/>
  <c r="P239" i="25" s="1"/>
  <c r="AF55" i="10"/>
  <c r="AG55" i="10" s="1"/>
  <c r="AF114" i="24"/>
  <c r="AG114" i="24" s="1"/>
  <c r="J118" i="24"/>
  <c r="J119" i="24" s="1"/>
  <c r="S362" i="24"/>
  <c r="S363" i="24" s="1"/>
  <c r="J49" i="20"/>
  <c r="V41" i="19"/>
  <c r="V42" i="19" s="1"/>
  <c r="AE238" i="25"/>
  <c r="AE239" i="25" s="1"/>
  <c r="Y157" i="10"/>
  <c r="Y158" i="10" s="1"/>
  <c r="M198" i="22"/>
  <c r="M238" i="22" s="1"/>
  <c r="M239" i="22" s="1"/>
  <c r="AF197" i="22"/>
  <c r="AG197" i="22" s="1"/>
  <c r="J64" i="4"/>
  <c r="AF63" i="4"/>
  <c r="AE157" i="10"/>
  <c r="AE158" i="10" s="1"/>
  <c r="M238" i="25"/>
  <c r="M239" i="25" s="1"/>
  <c r="AE41" i="19"/>
  <c r="AE42" i="19" s="1"/>
  <c r="AE238" i="22"/>
  <c r="AE239" i="22" s="1"/>
  <c r="AF92" i="22"/>
  <c r="AG92" i="22" s="1"/>
  <c r="J86" i="25"/>
  <c r="AF86" i="25" s="1"/>
  <c r="AG86" i="25" s="1"/>
  <c r="AF85" i="25"/>
  <c r="AG85" i="25" s="1"/>
  <c r="AF34" i="19"/>
  <c r="AG34" i="19" s="1"/>
  <c r="V157" i="10"/>
  <c r="V158" i="10" s="1"/>
  <c r="J157" i="10"/>
  <c r="J156" i="10"/>
  <c r="AF156" i="10" s="1"/>
  <c r="AG156" i="10" s="1"/>
  <c r="AF104" i="10"/>
  <c r="AG104" i="10" s="1"/>
  <c r="P238" i="22"/>
  <c r="P239" i="22" s="1"/>
  <c r="M157" i="10"/>
  <c r="M158" i="10" s="1"/>
  <c r="AF288" i="24"/>
  <c r="AG288" i="24" s="1"/>
  <c r="J289" i="24"/>
  <c r="AF245" i="24"/>
  <c r="AG245" i="24" s="1"/>
  <c r="J246" i="24"/>
  <c r="AF246" i="24" s="1"/>
  <c r="AG246" i="24" s="1"/>
  <c r="C8" i="29"/>
  <c r="C3" i="29"/>
  <c r="C9" i="29"/>
  <c r="AF154" i="4" l="1"/>
  <c r="AG154" i="4" s="1"/>
  <c r="AF48" i="20"/>
  <c r="AG48" i="20" s="1"/>
  <c r="AF49" i="20"/>
  <c r="AG49" i="20" s="1"/>
  <c r="J238" i="25"/>
  <c r="J239" i="25" s="1"/>
  <c r="AF192" i="4"/>
  <c r="AG192" i="4" s="1"/>
  <c r="J362" i="24"/>
  <c r="J363" i="24" s="1"/>
  <c r="P362" i="24"/>
  <c r="P363" i="24" s="1"/>
  <c r="J193" i="4"/>
  <c r="J194" i="4" s="1"/>
  <c r="AF194" i="4" s="1"/>
  <c r="AG194" i="4" s="1"/>
  <c r="AE362" i="24"/>
  <c r="AE363" i="24" s="1"/>
  <c r="AB362" i="24"/>
  <c r="AB363" i="24" s="1"/>
  <c r="J313" i="26"/>
  <c r="AF312" i="26"/>
  <c r="C10" i="29"/>
  <c r="AF119" i="24"/>
  <c r="AG119" i="24" s="1"/>
  <c r="J42" i="19"/>
  <c r="AF42" i="19" s="1"/>
  <c r="AG42" i="19" s="1"/>
  <c r="AF41" i="19"/>
  <c r="AG41" i="19" s="1"/>
  <c r="J239" i="22"/>
  <c r="AF238" i="22"/>
  <c r="AG238" i="22" s="1"/>
  <c r="C12" i="29"/>
  <c r="J158" i="10"/>
  <c r="AF158" i="10" s="1"/>
  <c r="AG158" i="10" s="1"/>
  <c r="AF157" i="10"/>
  <c r="AG157" i="10" s="1"/>
  <c r="C11" i="29"/>
  <c r="AG63" i="4"/>
  <c r="AG64" i="4" s="1"/>
  <c r="AF64" i="4"/>
  <c r="C4" i="29"/>
  <c r="C2" i="29"/>
  <c r="C13" i="29"/>
  <c r="C5" i="29"/>
  <c r="C6" i="29"/>
  <c r="C7" i="29"/>
  <c r="AF193" i="4" l="1"/>
  <c r="AG193" i="4" s="1"/>
  <c r="AF363" i="24"/>
  <c r="AG363" i="24" s="1"/>
  <c r="AF362" i="24"/>
  <c r="AG362" i="24" s="1"/>
  <c r="AF313" i="26"/>
  <c r="AG312" i="26"/>
  <c r="AG313" i="26" s="1"/>
  <c r="C14" i="29"/>
  <c r="AF950" i="2"/>
  <c r="AC950" i="2"/>
  <c r="Z950" i="2"/>
  <c r="W950" i="2"/>
  <c r="T950" i="2"/>
  <c r="Q950" i="2"/>
  <c r="N950" i="2"/>
  <c r="K950" i="2"/>
  <c r="AF949" i="2"/>
  <c r="AC949" i="2"/>
  <c r="Z949" i="2"/>
  <c r="W949" i="2"/>
  <c r="T949" i="2"/>
  <c r="Q949" i="2"/>
  <c r="N949" i="2"/>
  <c r="K949" i="2"/>
  <c r="AF948" i="2"/>
  <c r="AC948" i="2"/>
  <c r="Z948" i="2"/>
  <c r="W948" i="2"/>
  <c r="T948" i="2"/>
  <c r="Q948" i="2"/>
  <c r="N948" i="2"/>
  <c r="K948" i="2"/>
  <c r="AF947" i="2"/>
  <c r="AC947" i="2"/>
  <c r="Z947" i="2"/>
  <c r="W947" i="2"/>
  <c r="T947" i="2"/>
  <c r="Q947" i="2"/>
  <c r="N947" i="2"/>
  <c r="K947" i="2"/>
  <c r="AF946" i="2"/>
  <c r="AC946" i="2"/>
  <c r="Z946" i="2"/>
  <c r="W946" i="2"/>
  <c r="T946" i="2"/>
  <c r="Q946" i="2"/>
  <c r="N946" i="2"/>
  <c r="K946" i="2"/>
  <c r="AF945" i="2"/>
  <c r="AC945" i="2"/>
  <c r="Z945" i="2"/>
  <c r="W945" i="2"/>
  <c r="T945" i="2"/>
  <c r="Q945" i="2"/>
  <c r="N945" i="2"/>
  <c r="K945" i="2"/>
  <c r="AF944" i="2"/>
  <c r="AC944" i="2"/>
  <c r="Z944" i="2"/>
  <c r="W944" i="2"/>
  <c r="T944" i="2"/>
  <c r="Q944" i="2"/>
  <c r="N944" i="2"/>
  <c r="K944" i="2"/>
  <c r="AF943" i="2"/>
  <c r="AC943" i="2"/>
  <c r="Z943" i="2"/>
  <c r="W943" i="2"/>
  <c r="T943" i="2"/>
  <c r="Q943" i="2"/>
  <c r="N943" i="2"/>
  <c r="K943" i="2"/>
  <c r="AF942" i="2"/>
  <c r="AC942" i="2"/>
  <c r="Z942" i="2"/>
  <c r="W942" i="2"/>
  <c r="T942" i="2"/>
  <c r="Q942" i="2"/>
  <c r="N942" i="2"/>
  <c r="K942" i="2"/>
  <c r="AF941" i="2"/>
  <c r="AC941" i="2"/>
  <c r="Z941" i="2"/>
  <c r="W941" i="2"/>
  <c r="T941" i="2"/>
  <c r="Q941" i="2"/>
  <c r="N941" i="2"/>
  <c r="K941" i="2"/>
  <c r="AF940" i="2"/>
  <c r="AC940" i="2"/>
  <c r="Z940" i="2"/>
  <c r="W940" i="2"/>
  <c r="T940" i="2"/>
  <c r="Q940" i="2"/>
  <c r="N940" i="2"/>
  <c r="K940" i="2"/>
  <c r="AF939" i="2"/>
  <c r="AC939" i="2"/>
  <c r="Z939" i="2"/>
  <c r="W939" i="2"/>
  <c r="T939" i="2"/>
  <c r="Q939" i="2"/>
  <c r="N939" i="2"/>
  <c r="K939" i="2"/>
  <c r="AF938" i="2"/>
  <c r="AC938" i="2"/>
  <c r="Z938" i="2"/>
  <c r="W938" i="2"/>
  <c r="T938" i="2"/>
  <c r="Q938" i="2"/>
  <c r="N938" i="2"/>
  <c r="K938" i="2"/>
  <c r="AF937" i="2"/>
  <c r="AC937" i="2"/>
  <c r="Z937" i="2"/>
  <c r="W937" i="2"/>
  <c r="T937" i="2"/>
  <c r="Q937" i="2"/>
  <c r="N937" i="2"/>
  <c r="K937" i="2"/>
  <c r="AF936" i="2"/>
  <c r="AC936" i="2"/>
  <c r="Z936" i="2"/>
  <c r="W936" i="2"/>
  <c r="T936" i="2"/>
  <c r="Q936" i="2"/>
  <c r="N936" i="2"/>
  <c r="K936" i="2"/>
  <c r="AF935" i="2"/>
  <c r="AC935" i="2"/>
  <c r="Z935" i="2"/>
  <c r="W935" i="2"/>
  <c r="T935" i="2"/>
  <c r="Q935" i="2"/>
  <c r="N935" i="2"/>
  <c r="K935" i="2"/>
  <c r="AF934" i="2"/>
  <c r="AC934" i="2"/>
  <c r="Z934" i="2"/>
  <c r="W934" i="2"/>
  <c r="T934" i="2"/>
  <c r="Q934" i="2"/>
  <c r="N934" i="2"/>
  <c r="K934" i="2"/>
  <c r="AF933" i="2"/>
  <c r="AC933" i="2"/>
  <c r="Z933" i="2"/>
  <c r="W933" i="2"/>
  <c r="T933" i="2"/>
  <c r="Q933" i="2"/>
  <c r="N933" i="2"/>
  <c r="K933" i="2"/>
  <c r="AF932" i="2"/>
  <c r="AC932" i="2"/>
  <c r="Z932" i="2"/>
  <c r="W932" i="2"/>
  <c r="T932" i="2"/>
  <c r="Q932" i="2"/>
  <c r="N932" i="2"/>
  <c r="K932" i="2"/>
  <c r="AF931" i="2"/>
  <c r="AC931" i="2"/>
  <c r="Z931" i="2"/>
  <c r="W931" i="2"/>
  <c r="T931" i="2"/>
  <c r="Q931" i="2"/>
  <c r="N931" i="2"/>
  <c r="K931" i="2"/>
  <c r="AF930" i="2"/>
  <c r="AC930" i="2"/>
  <c r="Z930" i="2"/>
  <c r="W930" i="2"/>
  <c r="T930" i="2"/>
  <c r="Q930" i="2"/>
  <c r="N930" i="2"/>
  <c r="K930" i="2"/>
  <c r="AF929" i="2"/>
  <c r="AC929" i="2"/>
  <c r="Z929" i="2"/>
  <c r="W929" i="2"/>
  <c r="T929" i="2"/>
  <c r="Q929" i="2"/>
  <c r="N929" i="2"/>
  <c r="K929" i="2"/>
  <c r="AF928" i="2"/>
  <c r="AC928" i="2"/>
  <c r="Z928" i="2"/>
  <c r="W928" i="2"/>
  <c r="T928" i="2"/>
  <c r="Q928" i="2"/>
  <c r="N928" i="2"/>
  <c r="K928" i="2"/>
  <c r="AF927" i="2"/>
  <c r="AC927" i="2"/>
  <c r="Z927" i="2"/>
  <c r="W927" i="2"/>
  <c r="T927" i="2"/>
  <c r="Q927" i="2"/>
  <c r="N927" i="2"/>
  <c r="K927" i="2"/>
  <c r="AF926" i="2"/>
  <c r="AC926" i="2"/>
  <c r="Z926" i="2"/>
  <c r="W926" i="2"/>
  <c r="T926" i="2"/>
  <c r="Q926" i="2"/>
  <c r="N926" i="2"/>
  <c r="K926" i="2"/>
  <c r="AF925" i="2"/>
  <c r="AC925" i="2"/>
  <c r="Z925" i="2"/>
  <c r="W925" i="2"/>
  <c r="T925" i="2"/>
  <c r="Q925" i="2"/>
  <c r="N925" i="2"/>
  <c r="K925" i="2"/>
  <c r="AF924" i="2"/>
  <c r="AC924" i="2"/>
  <c r="Z924" i="2"/>
  <c r="W924" i="2"/>
  <c r="T924" i="2"/>
  <c r="Q924" i="2"/>
  <c r="N924" i="2"/>
  <c r="K924" i="2"/>
  <c r="AF923" i="2"/>
  <c r="AC923" i="2"/>
  <c r="Z923" i="2"/>
  <c r="W923" i="2"/>
  <c r="T923" i="2"/>
  <c r="Q923" i="2"/>
  <c r="N923" i="2"/>
  <c r="K923" i="2"/>
  <c r="AF922" i="2"/>
  <c r="AC922" i="2"/>
  <c r="Z922" i="2"/>
  <c r="W922" i="2"/>
  <c r="T922" i="2"/>
  <c r="Q922" i="2"/>
  <c r="N922" i="2"/>
  <c r="K922" i="2"/>
  <c r="AF921" i="2"/>
  <c r="AC921" i="2"/>
  <c r="Z921" i="2"/>
  <c r="W921" i="2"/>
  <c r="T921" i="2"/>
  <c r="Q921" i="2"/>
  <c r="N921" i="2"/>
  <c r="K921" i="2"/>
  <c r="AF920" i="2"/>
  <c r="AC920" i="2"/>
  <c r="Z920" i="2"/>
  <c r="W920" i="2"/>
  <c r="T920" i="2"/>
  <c r="Q920" i="2"/>
  <c r="N920" i="2"/>
  <c r="K920" i="2"/>
  <c r="AF919" i="2"/>
  <c r="AC919" i="2"/>
  <c r="Z919" i="2"/>
  <c r="W919" i="2"/>
  <c r="T919" i="2"/>
  <c r="Q919" i="2"/>
  <c r="N919" i="2"/>
  <c r="K919" i="2"/>
  <c r="AF918" i="2"/>
  <c r="AC918" i="2"/>
  <c r="Z918" i="2"/>
  <c r="W918" i="2"/>
  <c r="T918" i="2"/>
  <c r="Q918" i="2"/>
  <c r="N918" i="2"/>
  <c r="K918" i="2"/>
  <c r="AF917" i="2"/>
  <c r="AC917" i="2"/>
  <c r="Z917" i="2"/>
  <c r="W917" i="2"/>
  <c r="T917" i="2"/>
  <c r="Q917" i="2"/>
  <c r="N917" i="2"/>
  <c r="K917" i="2"/>
  <c r="AF916" i="2"/>
  <c r="AC916" i="2"/>
  <c r="Z916" i="2"/>
  <c r="W916" i="2"/>
  <c r="T916" i="2"/>
  <c r="Q916" i="2"/>
  <c r="N916" i="2"/>
  <c r="K916" i="2"/>
  <c r="AF915" i="2"/>
  <c r="AC915" i="2"/>
  <c r="Z915" i="2"/>
  <c r="W915" i="2"/>
  <c r="T915" i="2"/>
  <c r="Q915" i="2"/>
  <c r="N915" i="2"/>
  <c r="K915" i="2"/>
  <c r="AF914" i="2"/>
  <c r="AC914" i="2"/>
  <c r="Z914" i="2"/>
  <c r="W914" i="2"/>
  <c r="T914" i="2"/>
  <c r="Q914" i="2"/>
  <c r="N914" i="2"/>
  <c r="K914" i="2"/>
  <c r="AF913" i="2"/>
  <c r="AC913" i="2"/>
  <c r="Z913" i="2"/>
  <c r="W913" i="2"/>
  <c r="T913" i="2"/>
  <c r="Q913" i="2"/>
  <c r="N913" i="2"/>
  <c r="K913" i="2"/>
  <c r="AF912" i="2"/>
  <c r="AC912" i="2"/>
  <c r="Z912" i="2"/>
  <c r="W912" i="2"/>
  <c r="T912" i="2"/>
  <c r="Q912" i="2"/>
  <c r="N912" i="2"/>
  <c r="K912" i="2"/>
  <c r="AF911" i="2"/>
  <c r="AC911" i="2"/>
  <c r="Z911" i="2"/>
  <c r="W911" i="2"/>
  <c r="T911" i="2"/>
  <c r="Q911" i="2"/>
  <c r="N911" i="2"/>
  <c r="K911" i="2"/>
  <c r="AF910" i="2"/>
  <c r="AC910" i="2"/>
  <c r="Z910" i="2"/>
  <c r="W910" i="2"/>
  <c r="T910" i="2"/>
  <c r="Q910" i="2"/>
  <c r="N910" i="2"/>
  <c r="K910" i="2"/>
  <c r="AF909" i="2"/>
  <c r="AC909" i="2"/>
  <c r="Z909" i="2"/>
  <c r="W909" i="2"/>
  <c r="T909" i="2"/>
  <c r="Q909" i="2"/>
  <c r="N909" i="2"/>
  <c r="K909" i="2"/>
  <c r="AF908" i="2"/>
  <c r="AC908" i="2"/>
  <c r="Z908" i="2"/>
  <c r="W908" i="2"/>
  <c r="T908" i="2"/>
  <c r="Q908" i="2"/>
  <c r="N908" i="2"/>
  <c r="K908" i="2"/>
  <c r="AF907" i="2"/>
  <c r="AC907" i="2"/>
  <c r="Z907" i="2"/>
  <c r="W907" i="2"/>
  <c r="T907" i="2"/>
  <c r="Q907" i="2"/>
  <c r="N907" i="2"/>
  <c r="K907" i="2"/>
  <c r="AF906" i="2"/>
  <c r="AC906" i="2"/>
  <c r="Z906" i="2"/>
  <c r="W906" i="2"/>
  <c r="T906" i="2"/>
  <c r="Q906" i="2"/>
  <c r="N906" i="2"/>
  <c r="K906" i="2"/>
  <c r="AF905" i="2"/>
  <c r="AC905" i="2"/>
  <c r="Z905" i="2"/>
  <c r="W905" i="2"/>
  <c r="T905" i="2"/>
  <c r="Q905" i="2"/>
  <c r="N905" i="2"/>
  <c r="K905" i="2"/>
  <c r="AF904" i="2"/>
  <c r="AC904" i="2"/>
  <c r="Z904" i="2"/>
  <c r="W904" i="2"/>
  <c r="T904" i="2"/>
  <c r="Q904" i="2"/>
  <c r="N904" i="2"/>
  <c r="K904" i="2"/>
  <c r="AF903" i="2"/>
  <c r="AC903" i="2"/>
  <c r="Z903" i="2"/>
  <c r="W903" i="2"/>
  <c r="T903" i="2"/>
  <c r="Q903" i="2"/>
  <c r="N903" i="2"/>
  <c r="K903" i="2"/>
  <c r="AF902" i="2"/>
  <c r="AC902" i="2"/>
  <c r="Z902" i="2"/>
  <c r="W902" i="2"/>
  <c r="T902" i="2"/>
  <c r="Q902" i="2"/>
  <c r="N902" i="2"/>
  <c r="K902" i="2"/>
  <c r="AF901" i="2"/>
  <c r="AC901" i="2"/>
  <c r="Z901" i="2"/>
  <c r="W901" i="2"/>
  <c r="T901" i="2"/>
  <c r="Q901" i="2"/>
  <c r="N901" i="2"/>
  <c r="K901" i="2"/>
  <c r="AF900" i="2"/>
  <c r="AC900" i="2"/>
  <c r="Z900" i="2"/>
  <c r="W900" i="2"/>
  <c r="T900" i="2"/>
  <c r="Q900" i="2"/>
  <c r="N900" i="2"/>
  <c r="K900" i="2"/>
  <c r="AF899" i="2"/>
  <c r="AC899" i="2"/>
  <c r="Z899" i="2"/>
  <c r="W899" i="2"/>
  <c r="T899" i="2"/>
  <c r="Q899" i="2"/>
  <c r="N899" i="2"/>
  <c r="K899" i="2"/>
  <c r="AF898" i="2"/>
  <c r="AC898" i="2"/>
  <c r="Z898" i="2"/>
  <c r="W898" i="2"/>
  <c r="T898" i="2"/>
  <c r="Q898" i="2"/>
  <c r="N898" i="2"/>
  <c r="K898" i="2"/>
  <c r="AF897" i="2"/>
  <c r="AC897" i="2"/>
  <c r="Z897" i="2"/>
  <c r="W897" i="2"/>
  <c r="T897" i="2"/>
  <c r="Q897" i="2"/>
  <c r="N897" i="2"/>
  <c r="K897" i="2"/>
  <c r="AF896" i="2"/>
  <c r="AC896" i="2"/>
  <c r="Z896" i="2"/>
  <c r="W896" i="2"/>
  <c r="T896" i="2"/>
  <c r="Q896" i="2"/>
  <c r="N896" i="2"/>
  <c r="K896" i="2"/>
  <c r="AF895" i="2"/>
  <c r="AC895" i="2"/>
  <c r="Z895" i="2"/>
  <c r="W895" i="2"/>
  <c r="T895" i="2"/>
  <c r="Q895" i="2"/>
  <c r="N895" i="2"/>
  <c r="K895" i="2"/>
  <c r="AF894" i="2"/>
  <c r="AC894" i="2"/>
  <c r="Z894" i="2"/>
  <c r="W894" i="2"/>
  <c r="T894" i="2"/>
  <c r="Q894" i="2"/>
  <c r="N894" i="2"/>
  <c r="K894" i="2"/>
  <c r="AF893" i="2"/>
  <c r="AC893" i="2"/>
  <c r="Z893" i="2"/>
  <c r="W893" i="2"/>
  <c r="T893" i="2"/>
  <c r="Q893" i="2"/>
  <c r="N893" i="2"/>
  <c r="K893" i="2"/>
  <c r="AF892" i="2"/>
  <c r="AC892" i="2"/>
  <c r="Z892" i="2"/>
  <c r="W892" i="2"/>
  <c r="T892" i="2"/>
  <c r="Q892" i="2"/>
  <c r="N892" i="2"/>
  <c r="K892" i="2"/>
  <c r="AF891" i="2"/>
  <c r="AC891" i="2"/>
  <c r="Z891" i="2"/>
  <c r="W891" i="2"/>
  <c r="T891" i="2"/>
  <c r="Q891" i="2"/>
  <c r="N891" i="2"/>
  <c r="K891" i="2"/>
  <c r="AF890" i="2"/>
  <c r="AC890" i="2"/>
  <c r="Z890" i="2"/>
  <c r="W890" i="2"/>
  <c r="T890" i="2"/>
  <c r="Q890" i="2"/>
  <c r="N890" i="2"/>
  <c r="K890" i="2"/>
  <c r="AF889" i="2"/>
  <c r="AC889" i="2"/>
  <c r="Z889" i="2"/>
  <c r="W889" i="2"/>
  <c r="T889" i="2"/>
  <c r="Q889" i="2"/>
  <c r="N889" i="2"/>
  <c r="K889" i="2"/>
  <c r="AF888" i="2"/>
  <c r="AC888" i="2"/>
  <c r="Z888" i="2"/>
  <c r="W888" i="2"/>
  <c r="T888" i="2"/>
  <c r="Q888" i="2"/>
  <c r="N888" i="2"/>
  <c r="K888" i="2"/>
  <c r="AF887" i="2"/>
  <c r="AC887" i="2"/>
  <c r="Z887" i="2"/>
  <c r="W887" i="2"/>
  <c r="T887" i="2"/>
  <c r="Q887" i="2"/>
  <c r="N887" i="2"/>
  <c r="K887" i="2"/>
  <c r="AF886" i="2"/>
  <c r="AC886" i="2"/>
  <c r="Z886" i="2"/>
  <c r="W886" i="2"/>
  <c r="T886" i="2"/>
  <c r="Q886" i="2"/>
  <c r="N886" i="2"/>
  <c r="K886" i="2"/>
  <c r="AF885" i="2"/>
  <c r="AC885" i="2"/>
  <c r="Z885" i="2"/>
  <c r="W885" i="2"/>
  <c r="T885" i="2"/>
  <c r="Q885" i="2"/>
  <c r="N885" i="2"/>
  <c r="K885" i="2"/>
  <c r="AF884" i="2"/>
  <c r="AC884" i="2"/>
  <c r="Z884" i="2"/>
  <c r="W884" i="2"/>
  <c r="T884" i="2"/>
  <c r="Q884" i="2"/>
  <c r="N884" i="2"/>
  <c r="K884" i="2"/>
  <c r="AF883" i="2"/>
  <c r="AC883" i="2"/>
  <c r="Z883" i="2"/>
  <c r="W883" i="2"/>
  <c r="T883" i="2"/>
  <c r="Q883" i="2"/>
  <c r="N883" i="2"/>
  <c r="K883" i="2"/>
  <c r="AF882" i="2"/>
  <c r="AC882" i="2"/>
  <c r="Z882" i="2"/>
  <c r="W882" i="2"/>
  <c r="T882" i="2"/>
  <c r="Q882" i="2"/>
  <c r="N882" i="2"/>
  <c r="K882" i="2"/>
  <c r="AF881" i="2"/>
  <c r="AC881" i="2"/>
  <c r="Z881" i="2"/>
  <c r="W881" i="2"/>
  <c r="T881" i="2"/>
  <c r="Q881" i="2"/>
  <c r="N881" i="2"/>
  <c r="K881" i="2"/>
  <c r="AF880" i="2"/>
  <c r="AC880" i="2"/>
  <c r="Z880" i="2"/>
  <c r="W880" i="2"/>
  <c r="T880" i="2"/>
  <c r="Q880" i="2"/>
  <c r="N880" i="2"/>
  <c r="K880" i="2"/>
  <c r="AF879" i="2"/>
  <c r="AC879" i="2"/>
  <c r="Z879" i="2"/>
  <c r="W879" i="2"/>
  <c r="T879" i="2"/>
  <c r="Q879" i="2"/>
  <c r="N879" i="2"/>
  <c r="K879" i="2"/>
  <c r="AF878" i="2"/>
  <c r="AC878" i="2"/>
  <c r="Z878" i="2"/>
  <c r="W878" i="2"/>
  <c r="T878" i="2"/>
  <c r="Q878" i="2"/>
  <c r="N878" i="2"/>
  <c r="K878" i="2"/>
  <c r="AF877" i="2"/>
  <c r="AC877" i="2"/>
  <c r="Z877" i="2"/>
  <c r="W877" i="2"/>
  <c r="T877" i="2"/>
  <c r="Q877" i="2"/>
  <c r="N877" i="2"/>
  <c r="K877" i="2"/>
  <c r="AF876" i="2"/>
  <c r="AC876" i="2"/>
  <c r="Z876" i="2"/>
  <c r="W876" i="2"/>
  <c r="T876" i="2"/>
  <c r="Q876" i="2"/>
  <c r="N876" i="2"/>
  <c r="K876" i="2"/>
  <c r="AF875" i="2"/>
  <c r="AC875" i="2"/>
  <c r="Z875" i="2"/>
  <c r="W875" i="2"/>
  <c r="T875" i="2"/>
  <c r="Q875" i="2"/>
  <c r="N875" i="2"/>
  <c r="K875" i="2"/>
  <c r="AF874" i="2"/>
  <c r="AC874" i="2"/>
  <c r="Z874" i="2"/>
  <c r="W874" i="2"/>
  <c r="T874" i="2"/>
  <c r="Q874" i="2"/>
  <c r="N874" i="2"/>
  <c r="K874" i="2"/>
  <c r="AF873" i="2"/>
  <c r="AC873" i="2"/>
  <c r="Z873" i="2"/>
  <c r="W873" i="2"/>
  <c r="T873" i="2"/>
  <c r="Q873" i="2"/>
  <c r="N873" i="2"/>
  <c r="K873" i="2"/>
  <c r="AF872" i="2"/>
  <c r="AC872" i="2"/>
  <c r="Z872" i="2"/>
  <c r="W872" i="2"/>
  <c r="T872" i="2"/>
  <c r="Q872" i="2"/>
  <c r="N872" i="2"/>
  <c r="K872" i="2"/>
  <c r="AF871" i="2"/>
  <c r="AC871" i="2"/>
  <c r="Z871" i="2"/>
  <c r="W871" i="2"/>
  <c r="T871" i="2"/>
  <c r="Q871" i="2"/>
  <c r="N871" i="2"/>
  <c r="K871" i="2"/>
  <c r="AF870" i="2"/>
  <c r="AC870" i="2"/>
  <c r="Z870" i="2"/>
  <c r="W870" i="2"/>
  <c r="T870" i="2"/>
  <c r="Q870" i="2"/>
  <c r="N870" i="2"/>
  <c r="K870" i="2"/>
  <c r="AF869" i="2"/>
  <c r="AC869" i="2"/>
  <c r="Z869" i="2"/>
  <c r="W869" i="2"/>
  <c r="T869" i="2"/>
  <c r="Q869" i="2"/>
  <c r="N869" i="2"/>
  <c r="K869" i="2"/>
  <c r="AF868" i="2"/>
  <c r="AC868" i="2"/>
  <c r="Z868" i="2"/>
  <c r="W868" i="2"/>
  <c r="T868" i="2"/>
  <c r="Q868" i="2"/>
  <c r="N868" i="2"/>
  <c r="K868" i="2"/>
  <c r="AF867" i="2"/>
  <c r="AC867" i="2"/>
  <c r="Z867" i="2"/>
  <c r="W867" i="2"/>
  <c r="T867" i="2"/>
  <c r="Q867" i="2"/>
  <c r="N867" i="2"/>
  <c r="K867" i="2"/>
  <c r="AF866" i="2"/>
  <c r="AC866" i="2"/>
  <c r="Z866" i="2"/>
  <c r="W866" i="2"/>
  <c r="T866" i="2"/>
  <c r="Q866" i="2"/>
  <c r="N866" i="2"/>
  <c r="K866" i="2"/>
  <c r="AF865" i="2"/>
  <c r="AC865" i="2"/>
  <c r="Z865" i="2"/>
  <c r="W865" i="2"/>
  <c r="T865" i="2"/>
  <c r="Q865" i="2"/>
  <c r="N865" i="2"/>
  <c r="K865" i="2"/>
  <c r="AF864" i="2"/>
  <c r="AC864" i="2"/>
  <c r="Z864" i="2"/>
  <c r="W864" i="2"/>
  <c r="T864" i="2"/>
  <c r="Q864" i="2"/>
  <c r="N864" i="2"/>
  <c r="K864" i="2"/>
  <c r="AF863" i="2"/>
  <c r="AC863" i="2"/>
  <c r="Z863" i="2"/>
  <c r="W863" i="2"/>
  <c r="T863" i="2"/>
  <c r="Q863" i="2"/>
  <c r="N863" i="2"/>
  <c r="K863" i="2"/>
  <c r="AF862" i="2"/>
  <c r="AC862" i="2"/>
  <c r="Z862" i="2"/>
  <c r="W862" i="2"/>
  <c r="T862" i="2"/>
  <c r="Q862" i="2"/>
  <c r="N862" i="2"/>
  <c r="K862" i="2"/>
  <c r="AF861" i="2"/>
  <c r="AC861" i="2"/>
  <c r="Z861" i="2"/>
  <c r="W861" i="2"/>
  <c r="T861" i="2"/>
  <c r="Q861" i="2"/>
  <c r="N861" i="2"/>
  <c r="K861" i="2"/>
  <c r="AF860" i="2"/>
  <c r="AC860" i="2"/>
  <c r="Z860" i="2"/>
  <c r="W860" i="2"/>
  <c r="T860" i="2"/>
  <c r="Q860" i="2"/>
  <c r="N860" i="2"/>
  <c r="K860" i="2"/>
  <c r="AF859" i="2"/>
  <c r="AC859" i="2"/>
  <c r="Z859" i="2"/>
  <c r="W859" i="2"/>
  <c r="T859" i="2"/>
  <c r="Q859" i="2"/>
  <c r="N859" i="2"/>
  <c r="K859" i="2"/>
  <c r="AF858" i="2"/>
  <c r="AC858" i="2"/>
  <c r="Z858" i="2"/>
  <c r="W858" i="2"/>
  <c r="T858" i="2"/>
  <c r="Q858" i="2"/>
  <c r="N858" i="2"/>
  <c r="K858" i="2"/>
  <c r="AF857" i="2"/>
  <c r="AC857" i="2"/>
  <c r="Z857" i="2"/>
  <c r="W857" i="2"/>
  <c r="T857" i="2"/>
  <c r="Q857" i="2"/>
  <c r="N857" i="2"/>
  <c r="K857" i="2"/>
  <c r="AF856" i="2"/>
  <c r="AC856" i="2"/>
  <c r="Z856" i="2"/>
  <c r="W856" i="2"/>
  <c r="T856" i="2"/>
  <c r="Q856" i="2"/>
  <c r="N856" i="2"/>
  <c r="K856" i="2"/>
  <c r="AF855" i="2"/>
  <c r="AC855" i="2"/>
  <c r="Z855" i="2"/>
  <c r="W855" i="2"/>
  <c r="T855" i="2"/>
  <c r="Q855" i="2"/>
  <c r="N855" i="2"/>
  <c r="K855" i="2"/>
  <c r="AF854" i="2"/>
  <c r="AC854" i="2"/>
  <c r="Z854" i="2"/>
  <c r="W854" i="2"/>
  <c r="T854" i="2"/>
  <c r="Q854" i="2"/>
  <c r="N854" i="2"/>
  <c r="K854" i="2"/>
  <c r="AF853" i="2"/>
  <c r="AC853" i="2"/>
  <c r="Z853" i="2"/>
  <c r="W853" i="2"/>
  <c r="T853" i="2"/>
  <c r="Q853" i="2"/>
  <c r="N853" i="2"/>
  <c r="K853" i="2"/>
  <c r="AF852" i="2"/>
  <c r="AC852" i="2"/>
  <c r="Z852" i="2"/>
  <c r="W852" i="2"/>
  <c r="T852" i="2"/>
  <c r="Q852" i="2"/>
  <c r="N852" i="2"/>
  <c r="K852" i="2"/>
  <c r="AF851" i="2"/>
  <c r="AC851" i="2"/>
  <c r="Z851" i="2"/>
  <c r="W851" i="2"/>
  <c r="T851" i="2"/>
  <c r="Q851" i="2"/>
  <c r="N851" i="2"/>
  <c r="K851" i="2"/>
  <c r="AF850" i="2"/>
  <c r="AC850" i="2"/>
  <c r="Z850" i="2"/>
  <c r="W850" i="2"/>
  <c r="T850" i="2"/>
  <c r="Q850" i="2"/>
  <c r="N850" i="2"/>
  <c r="K850" i="2"/>
  <c r="AF849" i="2"/>
  <c r="AC849" i="2"/>
  <c r="Z849" i="2"/>
  <c r="W849" i="2"/>
  <c r="T849" i="2"/>
  <c r="Q849" i="2"/>
  <c r="N849" i="2"/>
  <c r="K849" i="2"/>
  <c r="AF848" i="2"/>
  <c r="AC848" i="2"/>
  <c r="Z848" i="2"/>
  <c r="W848" i="2"/>
  <c r="T848" i="2"/>
  <c r="Q848" i="2"/>
  <c r="N848" i="2"/>
  <c r="K848" i="2"/>
  <c r="AF847" i="2"/>
  <c r="AC847" i="2"/>
  <c r="Z847" i="2"/>
  <c r="W847" i="2"/>
  <c r="T847" i="2"/>
  <c r="Q847" i="2"/>
  <c r="N847" i="2"/>
  <c r="K847" i="2"/>
  <c r="AF846" i="2"/>
  <c r="AC846" i="2"/>
  <c r="Z846" i="2"/>
  <c r="W846" i="2"/>
  <c r="T846" i="2"/>
  <c r="Q846" i="2"/>
  <c r="N846" i="2"/>
  <c r="K846" i="2"/>
  <c r="AF845" i="2"/>
  <c r="AC845" i="2"/>
  <c r="Z845" i="2"/>
  <c r="W845" i="2"/>
  <c r="T845" i="2"/>
  <c r="Q845" i="2"/>
  <c r="N845" i="2"/>
  <c r="K845" i="2"/>
  <c r="AF844" i="2"/>
  <c r="AC844" i="2"/>
  <c r="Z844" i="2"/>
  <c r="W844" i="2"/>
  <c r="T844" i="2"/>
  <c r="Q844" i="2"/>
  <c r="N844" i="2"/>
  <c r="K844" i="2"/>
  <c r="AF843" i="2"/>
  <c r="AC843" i="2"/>
  <c r="Z843" i="2"/>
  <c r="W843" i="2"/>
  <c r="T843" i="2"/>
  <c r="Q843" i="2"/>
  <c r="N843" i="2"/>
  <c r="K843" i="2"/>
  <c r="AF842" i="2"/>
  <c r="AC842" i="2"/>
  <c r="Z842" i="2"/>
  <c r="W842" i="2"/>
  <c r="T842" i="2"/>
  <c r="Q842" i="2"/>
  <c r="N842" i="2"/>
  <c r="K842" i="2"/>
  <c r="AF841" i="2"/>
  <c r="AC841" i="2"/>
  <c r="Z841" i="2"/>
  <c r="W841" i="2"/>
  <c r="T841" i="2"/>
  <c r="Q841" i="2"/>
  <c r="N841" i="2"/>
  <c r="K841" i="2"/>
  <c r="AF840" i="2"/>
  <c r="AC840" i="2"/>
  <c r="Z840" i="2"/>
  <c r="W840" i="2"/>
  <c r="T840" i="2"/>
  <c r="Q840" i="2"/>
  <c r="N840" i="2"/>
  <c r="K840" i="2"/>
  <c r="AF839" i="2"/>
  <c r="AC839" i="2"/>
  <c r="Z839" i="2"/>
  <c r="W839" i="2"/>
  <c r="T839" i="2"/>
  <c r="Q839" i="2"/>
  <c r="N839" i="2"/>
  <c r="K839" i="2"/>
  <c r="AF838" i="2"/>
  <c r="AC838" i="2"/>
  <c r="Z838" i="2"/>
  <c r="W838" i="2"/>
  <c r="T838" i="2"/>
  <c r="Q838" i="2"/>
  <c r="N838" i="2"/>
  <c r="K838" i="2"/>
  <c r="AF837" i="2"/>
  <c r="AC837" i="2"/>
  <c r="Z837" i="2"/>
  <c r="W837" i="2"/>
  <c r="T837" i="2"/>
  <c r="Q837" i="2"/>
  <c r="N837" i="2"/>
  <c r="K837" i="2"/>
  <c r="AF836" i="2"/>
  <c r="AC836" i="2"/>
  <c r="Z836" i="2"/>
  <c r="W836" i="2"/>
  <c r="T836" i="2"/>
  <c r="Q836" i="2"/>
  <c r="N836" i="2"/>
  <c r="K836" i="2"/>
  <c r="AF835" i="2"/>
  <c r="AC835" i="2"/>
  <c r="Z835" i="2"/>
  <c r="W835" i="2"/>
  <c r="T835" i="2"/>
  <c r="Q835" i="2"/>
  <c r="N835" i="2"/>
  <c r="K835" i="2"/>
  <c r="AF834" i="2"/>
  <c r="AC834" i="2"/>
  <c r="Z834" i="2"/>
  <c r="W834" i="2"/>
  <c r="T834" i="2"/>
  <c r="Q834" i="2"/>
  <c r="N834" i="2"/>
  <c r="K834" i="2"/>
  <c r="AF833" i="2"/>
  <c r="AC833" i="2"/>
  <c r="Z833" i="2"/>
  <c r="W833" i="2"/>
  <c r="T833" i="2"/>
  <c r="Q833" i="2"/>
  <c r="N833" i="2"/>
  <c r="K833" i="2"/>
  <c r="AF832" i="2"/>
  <c r="AC832" i="2"/>
  <c r="Z832" i="2"/>
  <c r="W832" i="2"/>
  <c r="T832" i="2"/>
  <c r="Q832" i="2"/>
  <c r="N832" i="2"/>
  <c r="K832" i="2"/>
  <c r="AF831" i="2"/>
  <c r="AC831" i="2"/>
  <c r="Z831" i="2"/>
  <c r="W831" i="2"/>
  <c r="T831" i="2"/>
  <c r="Q831" i="2"/>
  <c r="N831" i="2"/>
  <c r="K831" i="2"/>
  <c r="AF830" i="2"/>
  <c r="AC830" i="2"/>
  <c r="Z830" i="2"/>
  <c r="W830" i="2"/>
  <c r="T830" i="2"/>
  <c r="Q830" i="2"/>
  <c r="N830" i="2"/>
  <c r="K830" i="2"/>
  <c r="AF829" i="2"/>
  <c r="AC829" i="2"/>
  <c r="Z829" i="2"/>
  <c r="W829" i="2"/>
  <c r="T829" i="2"/>
  <c r="Q829" i="2"/>
  <c r="N829" i="2"/>
  <c r="K829" i="2"/>
  <c r="AF828" i="2"/>
  <c r="AC828" i="2"/>
  <c r="Z828" i="2"/>
  <c r="W828" i="2"/>
  <c r="T828" i="2"/>
  <c r="Q828" i="2"/>
  <c r="N828" i="2"/>
  <c r="K828" i="2"/>
  <c r="AF827" i="2"/>
  <c r="AC827" i="2"/>
  <c r="Z827" i="2"/>
  <c r="W827" i="2"/>
  <c r="T827" i="2"/>
  <c r="Q827" i="2"/>
  <c r="N827" i="2"/>
  <c r="K827" i="2"/>
  <c r="AF826" i="2"/>
  <c r="AC826" i="2"/>
  <c r="Z826" i="2"/>
  <c r="W826" i="2"/>
  <c r="T826" i="2"/>
  <c r="Q826" i="2"/>
  <c r="N826" i="2"/>
  <c r="K826" i="2"/>
  <c r="AF825" i="2"/>
  <c r="AC825" i="2"/>
  <c r="Z825" i="2"/>
  <c r="W825" i="2"/>
  <c r="T825" i="2"/>
  <c r="Q825" i="2"/>
  <c r="N825" i="2"/>
  <c r="K825" i="2"/>
  <c r="AF824" i="2"/>
  <c r="AC824" i="2"/>
  <c r="Z824" i="2"/>
  <c r="W824" i="2"/>
  <c r="T824" i="2"/>
  <c r="Q824" i="2"/>
  <c r="N824" i="2"/>
  <c r="K824" i="2"/>
  <c r="AF823" i="2"/>
  <c r="AC823" i="2"/>
  <c r="Z823" i="2"/>
  <c r="W823" i="2"/>
  <c r="T823" i="2"/>
  <c r="Q823" i="2"/>
  <c r="N823" i="2"/>
  <c r="K823" i="2"/>
  <c r="AF822" i="2"/>
  <c r="AC822" i="2"/>
  <c r="Z822" i="2"/>
  <c r="W822" i="2"/>
  <c r="T822" i="2"/>
  <c r="Q822" i="2"/>
  <c r="N822" i="2"/>
  <c r="K822" i="2"/>
  <c r="AF821" i="2"/>
  <c r="AC821" i="2"/>
  <c r="Z821" i="2"/>
  <c r="W821" i="2"/>
  <c r="T821" i="2"/>
  <c r="Q821" i="2"/>
  <c r="N821" i="2"/>
  <c r="K821" i="2"/>
  <c r="AF820" i="2"/>
  <c r="AC820" i="2"/>
  <c r="Z820" i="2"/>
  <c r="W820" i="2"/>
  <c r="T820" i="2"/>
  <c r="Q820" i="2"/>
  <c r="N820" i="2"/>
  <c r="K820" i="2"/>
  <c r="AF819" i="2"/>
  <c r="AC819" i="2"/>
  <c r="Z819" i="2"/>
  <c r="W819" i="2"/>
  <c r="T819" i="2"/>
  <c r="Q819" i="2"/>
  <c r="N819" i="2"/>
  <c r="K819" i="2"/>
  <c r="AF818" i="2"/>
  <c r="AC818" i="2"/>
  <c r="Z818" i="2"/>
  <c r="W818" i="2"/>
  <c r="T818" i="2"/>
  <c r="Q818" i="2"/>
  <c r="N818" i="2"/>
  <c r="K818" i="2"/>
  <c r="AF817" i="2"/>
  <c r="AC817" i="2"/>
  <c r="Z817" i="2"/>
  <c r="W817" i="2"/>
  <c r="T817" i="2"/>
  <c r="Q817" i="2"/>
  <c r="N817" i="2"/>
  <c r="K817" i="2"/>
  <c r="AF816" i="2"/>
  <c r="AC816" i="2"/>
  <c r="Z816" i="2"/>
  <c r="W816" i="2"/>
  <c r="T816" i="2"/>
  <c r="Q816" i="2"/>
  <c r="N816" i="2"/>
  <c r="K816" i="2"/>
  <c r="AF815" i="2"/>
  <c r="AC815" i="2"/>
  <c r="Z815" i="2"/>
  <c r="W815" i="2"/>
  <c r="T815" i="2"/>
  <c r="Q815" i="2"/>
  <c r="N815" i="2"/>
  <c r="K815" i="2"/>
  <c r="AF814" i="2"/>
  <c r="AC814" i="2"/>
  <c r="Z814" i="2"/>
  <c r="W814" i="2"/>
  <c r="T814" i="2"/>
  <c r="Q814" i="2"/>
  <c r="N814" i="2"/>
  <c r="K814" i="2"/>
  <c r="AF813" i="2"/>
  <c r="AC813" i="2"/>
  <c r="Z813" i="2"/>
  <c r="W813" i="2"/>
  <c r="T813" i="2"/>
  <c r="Q813" i="2"/>
  <c r="N813" i="2"/>
  <c r="K813" i="2"/>
  <c r="AF812" i="2"/>
  <c r="AC812" i="2"/>
  <c r="Z812" i="2"/>
  <c r="W812" i="2"/>
  <c r="T812" i="2"/>
  <c r="Q812" i="2"/>
  <c r="N812" i="2"/>
  <c r="K812" i="2"/>
  <c r="AF811" i="2"/>
  <c r="AC811" i="2"/>
  <c r="Z811" i="2"/>
  <c r="W811" i="2"/>
  <c r="T811" i="2"/>
  <c r="Q811" i="2"/>
  <c r="N811" i="2"/>
  <c r="K811" i="2"/>
  <c r="AF810" i="2"/>
  <c r="AC810" i="2"/>
  <c r="Z810" i="2"/>
  <c r="W810" i="2"/>
  <c r="T810" i="2"/>
  <c r="Q810" i="2"/>
  <c r="N810" i="2"/>
  <c r="K810" i="2"/>
  <c r="AF809" i="2"/>
  <c r="AC809" i="2"/>
  <c r="Z809" i="2"/>
  <c r="W809" i="2"/>
  <c r="T809" i="2"/>
  <c r="Q809" i="2"/>
  <c r="N809" i="2"/>
  <c r="K809" i="2"/>
  <c r="AF808" i="2"/>
  <c r="AC808" i="2"/>
  <c r="Z808" i="2"/>
  <c r="W808" i="2"/>
  <c r="T808" i="2"/>
  <c r="Q808" i="2"/>
  <c r="N808" i="2"/>
  <c r="K808" i="2"/>
  <c r="AF807" i="2"/>
  <c r="AC807" i="2"/>
  <c r="Z807" i="2"/>
  <c r="W807" i="2"/>
  <c r="T807" i="2"/>
  <c r="Q807" i="2"/>
  <c r="N807" i="2"/>
  <c r="K807" i="2"/>
  <c r="AF806" i="2"/>
  <c r="AC806" i="2"/>
  <c r="Z806" i="2"/>
  <c r="W806" i="2"/>
  <c r="T806" i="2"/>
  <c r="Q806" i="2"/>
  <c r="N806" i="2"/>
  <c r="K806" i="2"/>
  <c r="AF805" i="2"/>
  <c r="AC805" i="2"/>
  <c r="Z805" i="2"/>
  <c r="W805" i="2"/>
  <c r="T805" i="2"/>
  <c r="Q805" i="2"/>
  <c r="N805" i="2"/>
  <c r="K805" i="2"/>
  <c r="AF804" i="2"/>
  <c r="AC804" i="2"/>
  <c r="Z804" i="2"/>
  <c r="W804" i="2"/>
  <c r="T804" i="2"/>
  <c r="Q804" i="2"/>
  <c r="N804" i="2"/>
  <c r="K804" i="2"/>
  <c r="AF803" i="2"/>
  <c r="AC803" i="2"/>
  <c r="Z803" i="2"/>
  <c r="W803" i="2"/>
  <c r="T803" i="2"/>
  <c r="Q803" i="2"/>
  <c r="N803" i="2"/>
  <c r="K803" i="2"/>
  <c r="AF802" i="2"/>
  <c r="AC802" i="2"/>
  <c r="Z802" i="2"/>
  <c r="W802" i="2"/>
  <c r="T802" i="2"/>
  <c r="Q802" i="2"/>
  <c r="N802" i="2"/>
  <c r="K802" i="2"/>
  <c r="AF801" i="2"/>
  <c r="AC801" i="2"/>
  <c r="Z801" i="2"/>
  <c r="W801" i="2"/>
  <c r="T801" i="2"/>
  <c r="Q801" i="2"/>
  <c r="N801" i="2"/>
  <c r="K801" i="2"/>
  <c r="AF800" i="2"/>
  <c r="AC800" i="2"/>
  <c r="Z800" i="2"/>
  <c r="W800" i="2"/>
  <c r="T800" i="2"/>
  <c r="Q800" i="2"/>
  <c r="N800" i="2"/>
  <c r="K800" i="2"/>
  <c r="AF799" i="2"/>
  <c r="AC799" i="2"/>
  <c r="Z799" i="2"/>
  <c r="W799" i="2"/>
  <c r="T799" i="2"/>
  <c r="Q799" i="2"/>
  <c r="N799" i="2"/>
  <c r="K799" i="2"/>
  <c r="AF798" i="2"/>
  <c r="AC798" i="2"/>
  <c r="Z798" i="2"/>
  <c r="W798" i="2"/>
  <c r="T798" i="2"/>
  <c r="Q798" i="2"/>
  <c r="N798" i="2"/>
  <c r="K798" i="2"/>
  <c r="AF797" i="2"/>
  <c r="AC797" i="2"/>
  <c r="Z797" i="2"/>
  <c r="W797" i="2"/>
  <c r="T797" i="2"/>
  <c r="Q797" i="2"/>
  <c r="N797" i="2"/>
  <c r="K797" i="2"/>
  <c r="AF796" i="2"/>
  <c r="AC796" i="2"/>
  <c r="Z796" i="2"/>
  <c r="W796" i="2"/>
  <c r="T796" i="2"/>
  <c r="Q796" i="2"/>
  <c r="N796" i="2"/>
  <c r="K796" i="2"/>
  <c r="AF795" i="2"/>
  <c r="AC795" i="2"/>
  <c r="Z795" i="2"/>
  <c r="W795" i="2"/>
  <c r="T795" i="2"/>
  <c r="Q795" i="2"/>
  <c r="N795" i="2"/>
  <c r="K795" i="2"/>
  <c r="AF794" i="2"/>
  <c r="AC794" i="2"/>
  <c r="Z794" i="2"/>
  <c r="W794" i="2"/>
  <c r="T794" i="2"/>
  <c r="Q794" i="2"/>
  <c r="N794" i="2"/>
  <c r="K794" i="2"/>
  <c r="AF793" i="2"/>
  <c r="AC793" i="2"/>
  <c r="Z793" i="2"/>
  <c r="W793" i="2"/>
  <c r="T793" i="2"/>
  <c r="Q793" i="2"/>
  <c r="N793" i="2"/>
  <c r="K793" i="2"/>
  <c r="AF792" i="2"/>
  <c r="AC792" i="2"/>
  <c r="Z792" i="2"/>
  <c r="W792" i="2"/>
  <c r="T792" i="2"/>
  <c r="Q792" i="2"/>
  <c r="N792" i="2"/>
  <c r="K792" i="2"/>
  <c r="AF791" i="2"/>
  <c r="AC791" i="2"/>
  <c r="Z791" i="2"/>
  <c r="W791" i="2"/>
  <c r="T791" i="2"/>
  <c r="Q791" i="2"/>
  <c r="N791" i="2"/>
  <c r="K791" i="2"/>
  <c r="AF790" i="2"/>
  <c r="AC790" i="2"/>
  <c r="Z790" i="2"/>
  <c r="W790" i="2"/>
  <c r="T790" i="2"/>
  <c r="Q790" i="2"/>
  <c r="N790" i="2"/>
  <c r="K790" i="2"/>
  <c r="AF789" i="2"/>
  <c r="AC789" i="2"/>
  <c r="Z789" i="2"/>
  <c r="W789" i="2"/>
  <c r="T789" i="2"/>
  <c r="Q789" i="2"/>
  <c r="N789" i="2"/>
  <c r="K789" i="2"/>
  <c r="AF788" i="2"/>
  <c r="AC788" i="2"/>
  <c r="Z788" i="2"/>
  <c r="W788" i="2"/>
  <c r="T788" i="2"/>
  <c r="Q788" i="2"/>
  <c r="N788" i="2"/>
  <c r="K788" i="2"/>
  <c r="AF787" i="2"/>
  <c r="AC787" i="2"/>
  <c r="Z787" i="2"/>
  <c r="W787" i="2"/>
  <c r="T787" i="2"/>
  <c r="Q787" i="2"/>
  <c r="N787" i="2"/>
  <c r="K787" i="2"/>
  <c r="AF786" i="2"/>
  <c r="AC786" i="2"/>
  <c r="Z786" i="2"/>
  <c r="W786" i="2"/>
  <c r="T786" i="2"/>
  <c r="Q786" i="2"/>
  <c r="N786" i="2"/>
  <c r="K786" i="2"/>
  <c r="AF785" i="2"/>
  <c r="AC785" i="2"/>
  <c r="Z785" i="2"/>
  <c r="W785" i="2"/>
  <c r="T785" i="2"/>
  <c r="Q785" i="2"/>
  <c r="N785" i="2"/>
  <c r="K785" i="2"/>
  <c r="AF784" i="2"/>
  <c r="AC784" i="2"/>
  <c r="Z784" i="2"/>
  <c r="W784" i="2"/>
  <c r="T784" i="2"/>
  <c r="Q784" i="2"/>
  <c r="N784" i="2"/>
  <c r="K784" i="2"/>
  <c r="AF783" i="2"/>
  <c r="AC783" i="2"/>
  <c r="Z783" i="2"/>
  <c r="W783" i="2"/>
  <c r="T783" i="2"/>
  <c r="Q783" i="2"/>
  <c r="N783" i="2"/>
  <c r="K783" i="2"/>
  <c r="AF782" i="2"/>
  <c r="AC782" i="2"/>
  <c r="Z782" i="2"/>
  <c r="W782" i="2"/>
  <c r="T782" i="2"/>
  <c r="Q782" i="2"/>
  <c r="N782" i="2"/>
  <c r="K782" i="2"/>
  <c r="AF781" i="2"/>
  <c r="AC781" i="2"/>
  <c r="Z781" i="2"/>
  <c r="W781" i="2"/>
  <c r="T781" i="2"/>
  <c r="Q781" i="2"/>
  <c r="N781" i="2"/>
  <c r="K781" i="2"/>
  <c r="AF780" i="2"/>
  <c r="AC780" i="2"/>
  <c r="Z780" i="2"/>
  <c r="W780" i="2"/>
  <c r="T780" i="2"/>
  <c r="Q780" i="2"/>
  <c r="N780" i="2"/>
  <c r="K780" i="2"/>
  <c r="AF779" i="2"/>
  <c r="AC779" i="2"/>
  <c r="Z779" i="2"/>
  <c r="W779" i="2"/>
  <c r="T779" i="2"/>
  <c r="Q779" i="2"/>
  <c r="N779" i="2"/>
  <c r="K779" i="2"/>
  <c r="AF778" i="2"/>
  <c r="AC778" i="2"/>
  <c r="Z778" i="2"/>
  <c r="W778" i="2"/>
  <c r="T778" i="2"/>
  <c r="Q778" i="2"/>
  <c r="N778" i="2"/>
  <c r="K778" i="2"/>
  <c r="AF777" i="2"/>
  <c r="AC777" i="2"/>
  <c r="Z777" i="2"/>
  <c r="W777" i="2"/>
  <c r="T777" i="2"/>
  <c r="Q777" i="2"/>
  <c r="N777" i="2"/>
  <c r="K777" i="2"/>
  <c r="AF776" i="2"/>
  <c r="AC776" i="2"/>
  <c r="Z776" i="2"/>
  <c r="W776" i="2"/>
  <c r="T776" i="2"/>
  <c r="Q776" i="2"/>
  <c r="N776" i="2"/>
  <c r="K776" i="2"/>
  <c r="AF775" i="2"/>
  <c r="AC775" i="2"/>
  <c r="Z775" i="2"/>
  <c r="W775" i="2"/>
  <c r="T775" i="2"/>
  <c r="Q775" i="2"/>
  <c r="N775" i="2"/>
  <c r="K775" i="2"/>
  <c r="AF774" i="2"/>
  <c r="AC774" i="2"/>
  <c r="Z774" i="2"/>
  <c r="W774" i="2"/>
  <c r="T774" i="2"/>
  <c r="Q774" i="2"/>
  <c r="N774" i="2"/>
  <c r="K774" i="2"/>
  <c r="AF773" i="2"/>
  <c r="AC773" i="2"/>
  <c r="Z773" i="2"/>
  <c r="W773" i="2"/>
  <c r="T773" i="2"/>
  <c r="Q773" i="2"/>
  <c r="N773" i="2"/>
  <c r="K773" i="2"/>
  <c r="AF772" i="2"/>
  <c r="AC772" i="2"/>
  <c r="Z772" i="2"/>
  <c r="W772" i="2"/>
  <c r="T772" i="2"/>
  <c r="Q772" i="2"/>
  <c r="N772" i="2"/>
  <c r="K772" i="2"/>
  <c r="AF771" i="2"/>
  <c r="AC771" i="2"/>
  <c r="Z771" i="2"/>
  <c r="W771" i="2"/>
  <c r="T771" i="2"/>
  <c r="Q771" i="2"/>
  <c r="N771" i="2"/>
  <c r="K771" i="2"/>
  <c r="AF770" i="2"/>
  <c r="AC770" i="2"/>
  <c r="Z770" i="2"/>
  <c r="W770" i="2"/>
  <c r="T770" i="2"/>
  <c r="Q770" i="2"/>
  <c r="N770" i="2"/>
  <c r="K770" i="2"/>
  <c r="AF769" i="2"/>
  <c r="AC769" i="2"/>
  <c r="Z769" i="2"/>
  <c r="W769" i="2"/>
  <c r="T769" i="2"/>
  <c r="Q769" i="2"/>
  <c r="N769" i="2"/>
  <c r="K769" i="2"/>
  <c r="AF768" i="2"/>
  <c r="AC768" i="2"/>
  <c r="Z768" i="2"/>
  <c r="W768" i="2"/>
  <c r="T768" i="2"/>
  <c r="Q768" i="2"/>
  <c r="N768" i="2"/>
  <c r="K768" i="2"/>
  <c r="AF767" i="2"/>
  <c r="AC767" i="2"/>
  <c r="Z767" i="2"/>
  <c r="W767" i="2"/>
  <c r="T767" i="2"/>
  <c r="Q767" i="2"/>
  <c r="N767" i="2"/>
  <c r="K767" i="2"/>
  <c r="AF766" i="2"/>
  <c r="AC766" i="2"/>
  <c r="Z766" i="2"/>
  <c r="W766" i="2"/>
  <c r="T766" i="2"/>
  <c r="Q766" i="2"/>
  <c r="N766" i="2"/>
  <c r="K766" i="2"/>
  <c r="AF765" i="2"/>
  <c r="AC765" i="2"/>
  <c r="Z765" i="2"/>
  <c r="W765" i="2"/>
  <c r="T765" i="2"/>
  <c r="Q765" i="2"/>
  <c r="N765" i="2"/>
  <c r="K765" i="2"/>
  <c r="AF764" i="2"/>
  <c r="AC764" i="2"/>
  <c r="Z764" i="2"/>
  <c r="W764" i="2"/>
  <c r="T764" i="2"/>
  <c r="Q764" i="2"/>
  <c r="N764" i="2"/>
  <c r="K764" i="2"/>
  <c r="AF763" i="2"/>
  <c r="AC763" i="2"/>
  <c r="Z763" i="2"/>
  <c r="W763" i="2"/>
  <c r="T763" i="2"/>
  <c r="Q763" i="2"/>
  <c r="N763" i="2"/>
  <c r="K763" i="2"/>
  <c r="AF762" i="2"/>
  <c r="AC762" i="2"/>
  <c r="Z762" i="2"/>
  <c r="W762" i="2"/>
  <c r="T762" i="2"/>
  <c r="Q762" i="2"/>
  <c r="N762" i="2"/>
  <c r="K762" i="2"/>
  <c r="AF761" i="2"/>
  <c r="AC761" i="2"/>
  <c r="Z761" i="2"/>
  <c r="W761" i="2"/>
  <c r="T761" i="2"/>
  <c r="Q761" i="2"/>
  <c r="N761" i="2"/>
  <c r="K761" i="2"/>
  <c r="AF760" i="2"/>
  <c r="AC760" i="2"/>
  <c r="Z760" i="2"/>
  <c r="W760" i="2"/>
  <c r="T760" i="2"/>
  <c r="Q760" i="2"/>
  <c r="N760" i="2"/>
  <c r="K760" i="2"/>
  <c r="AF759" i="2"/>
  <c r="AC759" i="2"/>
  <c r="Z759" i="2"/>
  <c r="W759" i="2"/>
  <c r="T759" i="2"/>
  <c r="Q759" i="2"/>
  <c r="N759" i="2"/>
  <c r="K759" i="2"/>
  <c r="AF758" i="2"/>
  <c r="AC758" i="2"/>
  <c r="Z758" i="2"/>
  <c r="W758" i="2"/>
  <c r="T758" i="2"/>
  <c r="Q758" i="2"/>
  <c r="N758" i="2"/>
  <c r="K758" i="2"/>
  <c r="AF757" i="2"/>
  <c r="AC757" i="2"/>
  <c r="Z757" i="2"/>
  <c r="W757" i="2"/>
  <c r="T757" i="2"/>
  <c r="Q757" i="2"/>
  <c r="N757" i="2"/>
  <c r="K757" i="2"/>
  <c r="AF756" i="2"/>
  <c r="AC756" i="2"/>
  <c r="Z756" i="2"/>
  <c r="W756" i="2"/>
  <c r="T756" i="2"/>
  <c r="Q756" i="2"/>
  <c r="N756" i="2"/>
  <c r="K756" i="2"/>
  <c r="AF755" i="2"/>
  <c r="AC755" i="2"/>
  <c r="Z755" i="2"/>
  <c r="W755" i="2"/>
  <c r="T755" i="2"/>
  <c r="Q755" i="2"/>
  <c r="N755" i="2"/>
  <c r="K755" i="2"/>
  <c r="AF754" i="2"/>
  <c r="AC754" i="2"/>
  <c r="Z754" i="2"/>
  <c r="W754" i="2"/>
  <c r="T754" i="2"/>
  <c r="Q754" i="2"/>
  <c r="N754" i="2"/>
  <c r="K754" i="2"/>
  <c r="AF753" i="2"/>
  <c r="AC753" i="2"/>
  <c r="Z753" i="2"/>
  <c r="W753" i="2"/>
  <c r="T753" i="2"/>
  <c r="Q753" i="2"/>
  <c r="N753" i="2"/>
  <c r="K753" i="2"/>
  <c r="AF752" i="2"/>
  <c r="AC752" i="2"/>
  <c r="Z752" i="2"/>
  <c r="W752" i="2"/>
  <c r="T752" i="2"/>
  <c r="Q752" i="2"/>
  <c r="N752" i="2"/>
  <c r="K752" i="2"/>
  <c r="AF751" i="2"/>
  <c r="AC751" i="2"/>
  <c r="Z751" i="2"/>
  <c r="W751" i="2"/>
  <c r="T751" i="2"/>
  <c r="Q751" i="2"/>
  <c r="N751" i="2"/>
  <c r="K751" i="2"/>
  <c r="AF750" i="2"/>
  <c r="AC750" i="2"/>
  <c r="Z750" i="2"/>
  <c r="W750" i="2"/>
  <c r="T750" i="2"/>
  <c r="Q750" i="2"/>
  <c r="N750" i="2"/>
  <c r="K750" i="2"/>
  <c r="AF749" i="2"/>
  <c r="AC749" i="2"/>
  <c r="Z749" i="2"/>
  <c r="W749" i="2"/>
  <c r="T749" i="2"/>
  <c r="Q749" i="2"/>
  <c r="N749" i="2"/>
  <c r="K749" i="2"/>
  <c r="AF748" i="2"/>
  <c r="AC748" i="2"/>
  <c r="Z748" i="2"/>
  <c r="W748" i="2"/>
  <c r="T748" i="2"/>
  <c r="Q748" i="2"/>
  <c r="N748" i="2"/>
  <c r="K748" i="2"/>
  <c r="AF747" i="2"/>
  <c r="AC747" i="2"/>
  <c r="Z747" i="2"/>
  <c r="W747" i="2"/>
  <c r="T747" i="2"/>
  <c r="Q747" i="2"/>
  <c r="N747" i="2"/>
  <c r="K747" i="2"/>
  <c r="AF746" i="2"/>
  <c r="AC746" i="2"/>
  <c r="Z746" i="2"/>
  <c r="W746" i="2"/>
  <c r="T746" i="2"/>
  <c r="Q746" i="2"/>
  <c r="N746" i="2"/>
  <c r="K746" i="2"/>
  <c r="AF745" i="2"/>
  <c r="AC745" i="2"/>
  <c r="Z745" i="2"/>
  <c r="W745" i="2"/>
  <c r="T745" i="2"/>
  <c r="Q745" i="2"/>
  <c r="N745" i="2"/>
  <c r="K745" i="2"/>
  <c r="AF744" i="2"/>
  <c r="AC744" i="2"/>
  <c r="Z744" i="2"/>
  <c r="W744" i="2"/>
  <c r="T744" i="2"/>
  <c r="Q744" i="2"/>
  <c r="N744" i="2"/>
  <c r="K744" i="2"/>
  <c r="AF743" i="2"/>
  <c r="AC743" i="2"/>
  <c r="Z743" i="2"/>
  <c r="W743" i="2"/>
  <c r="T743" i="2"/>
  <c r="Q743" i="2"/>
  <c r="N743" i="2"/>
  <c r="K743" i="2"/>
  <c r="AF742" i="2"/>
  <c r="AC742" i="2"/>
  <c r="Z742" i="2"/>
  <c r="W742" i="2"/>
  <c r="T742" i="2"/>
  <c r="Q742" i="2"/>
  <c r="N742" i="2"/>
  <c r="K742" i="2"/>
  <c r="AF741" i="2"/>
  <c r="AC741" i="2"/>
  <c r="Z741" i="2"/>
  <c r="W741" i="2"/>
  <c r="T741" i="2"/>
  <c r="Q741" i="2"/>
  <c r="N741" i="2"/>
  <c r="K741" i="2"/>
  <c r="AF740" i="2"/>
  <c r="AC740" i="2"/>
  <c r="Z740" i="2"/>
  <c r="W740" i="2"/>
  <c r="T740" i="2"/>
  <c r="Q740" i="2"/>
  <c r="N740" i="2"/>
  <c r="K740" i="2"/>
  <c r="AF739" i="2"/>
  <c r="AC739" i="2"/>
  <c r="Z739" i="2"/>
  <c r="W739" i="2"/>
  <c r="T739" i="2"/>
  <c r="Q739" i="2"/>
  <c r="N739" i="2"/>
  <c r="K739" i="2"/>
  <c r="AF738" i="2"/>
  <c r="AC738" i="2"/>
  <c r="Z738" i="2"/>
  <c r="W738" i="2"/>
  <c r="T738" i="2"/>
  <c r="Q738" i="2"/>
  <c r="N738" i="2"/>
  <c r="K738" i="2"/>
  <c r="AF737" i="2"/>
  <c r="AC737" i="2"/>
  <c r="Z737" i="2"/>
  <c r="W737" i="2"/>
  <c r="T737" i="2"/>
  <c r="Q737" i="2"/>
  <c r="N737" i="2"/>
  <c r="K737" i="2"/>
  <c r="AF736" i="2"/>
  <c r="AC736" i="2"/>
  <c r="Z736" i="2"/>
  <c r="W736" i="2"/>
  <c r="T736" i="2"/>
  <c r="Q736" i="2"/>
  <c r="N736" i="2"/>
  <c r="K736" i="2"/>
  <c r="AF735" i="2"/>
  <c r="AC735" i="2"/>
  <c r="Z735" i="2"/>
  <c r="W735" i="2"/>
  <c r="T735" i="2"/>
  <c r="Q735" i="2"/>
  <c r="N735" i="2"/>
  <c r="K735" i="2"/>
  <c r="AF734" i="2"/>
  <c r="AC734" i="2"/>
  <c r="Z734" i="2"/>
  <c r="W734" i="2"/>
  <c r="T734" i="2"/>
  <c r="Q734" i="2"/>
  <c r="N734" i="2"/>
  <c r="K734" i="2"/>
  <c r="AF733" i="2"/>
  <c r="AC733" i="2"/>
  <c r="Z733" i="2"/>
  <c r="W733" i="2"/>
  <c r="T733" i="2"/>
  <c r="Q733" i="2"/>
  <c r="N733" i="2"/>
  <c r="K733" i="2"/>
  <c r="AF732" i="2"/>
  <c r="AC732" i="2"/>
  <c r="Z732" i="2"/>
  <c r="W732" i="2"/>
  <c r="T732" i="2"/>
  <c r="Q732" i="2"/>
  <c r="N732" i="2"/>
  <c r="K732" i="2"/>
  <c r="AF731" i="2"/>
  <c r="AC731" i="2"/>
  <c r="Z731" i="2"/>
  <c r="W731" i="2"/>
  <c r="T731" i="2"/>
  <c r="Q731" i="2"/>
  <c r="N731" i="2"/>
  <c r="K731" i="2"/>
  <c r="AF730" i="2"/>
  <c r="AC730" i="2"/>
  <c r="Z730" i="2"/>
  <c r="W730" i="2"/>
  <c r="T730" i="2"/>
  <c r="Q730" i="2"/>
  <c r="N730" i="2"/>
  <c r="K730" i="2"/>
  <c r="AF729" i="2"/>
  <c r="AC729" i="2"/>
  <c r="Z729" i="2"/>
  <c r="W729" i="2"/>
  <c r="T729" i="2"/>
  <c r="Q729" i="2"/>
  <c r="N729" i="2"/>
  <c r="K729" i="2"/>
  <c r="AF728" i="2"/>
  <c r="AC728" i="2"/>
  <c r="Z728" i="2"/>
  <c r="W728" i="2"/>
  <c r="T728" i="2"/>
  <c r="Q728" i="2"/>
  <c r="N728" i="2"/>
  <c r="K728" i="2"/>
  <c r="AF727" i="2"/>
  <c r="AC727" i="2"/>
  <c r="Z727" i="2"/>
  <c r="W727" i="2"/>
  <c r="T727" i="2"/>
  <c r="Q727" i="2"/>
  <c r="N727" i="2"/>
  <c r="K727" i="2"/>
  <c r="AF726" i="2"/>
  <c r="AC726" i="2"/>
  <c r="Z726" i="2"/>
  <c r="W726" i="2"/>
  <c r="T726" i="2"/>
  <c r="Q726" i="2"/>
  <c r="N726" i="2"/>
  <c r="K726" i="2"/>
  <c r="AF725" i="2"/>
  <c r="AC725" i="2"/>
  <c r="Z725" i="2"/>
  <c r="W725" i="2"/>
  <c r="T725" i="2"/>
  <c r="Q725" i="2"/>
  <c r="N725" i="2"/>
  <c r="K725" i="2"/>
  <c r="AF724" i="2"/>
  <c r="AC724" i="2"/>
  <c r="Z724" i="2"/>
  <c r="W724" i="2"/>
  <c r="T724" i="2"/>
  <c r="Q724" i="2"/>
  <c r="N724" i="2"/>
  <c r="K724" i="2"/>
  <c r="AF723" i="2"/>
  <c r="AC723" i="2"/>
  <c r="Z723" i="2"/>
  <c r="W723" i="2"/>
  <c r="T723" i="2"/>
  <c r="Q723" i="2"/>
  <c r="N723" i="2"/>
  <c r="K723" i="2"/>
  <c r="AF722" i="2"/>
  <c r="AC722" i="2"/>
  <c r="Z722" i="2"/>
  <c r="W722" i="2"/>
  <c r="T722" i="2"/>
  <c r="Q722" i="2"/>
  <c r="N722" i="2"/>
  <c r="K722" i="2"/>
  <c r="AF721" i="2"/>
  <c r="AC721" i="2"/>
  <c r="Z721" i="2"/>
  <c r="W721" i="2"/>
  <c r="T721" i="2"/>
  <c r="Q721" i="2"/>
  <c r="N721" i="2"/>
  <c r="K721" i="2"/>
  <c r="AF720" i="2"/>
  <c r="AC720" i="2"/>
  <c r="Z720" i="2"/>
  <c r="W720" i="2"/>
  <c r="T720" i="2"/>
  <c r="Q720" i="2"/>
  <c r="N720" i="2"/>
  <c r="K720" i="2"/>
  <c r="AF719" i="2"/>
  <c r="AC719" i="2"/>
  <c r="Z719" i="2"/>
  <c r="W719" i="2"/>
  <c r="T719" i="2"/>
  <c r="Q719" i="2"/>
  <c r="N719" i="2"/>
  <c r="K719" i="2"/>
  <c r="AF718" i="2"/>
  <c r="AC718" i="2"/>
  <c r="Z718" i="2"/>
  <c r="W718" i="2"/>
  <c r="T718" i="2"/>
  <c r="Q718" i="2"/>
  <c r="N718" i="2"/>
  <c r="K718" i="2"/>
  <c r="AF717" i="2"/>
  <c r="AC717" i="2"/>
  <c r="Z717" i="2"/>
  <c r="W717" i="2"/>
  <c r="T717" i="2"/>
  <c r="Q717" i="2"/>
  <c r="N717" i="2"/>
  <c r="K717" i="2"/>
  <c r="AF716" i="2"/>
  <c r="AC716" i="2"/>
  <c r="Z716" i="2"/>
  <c r="W716" i="2"/>
  <c r="T716" i="2"/>
  <c r="Q716" i="2"/>
  <c r="N716" i="2"/>
  <c r="K716" i="2"/>
  <c r="AF715" i="2"/>
  <c r="AC715" i="2"/>
  <c r="Z715" i="2"/>
  <c r="W715" i="2"/>
  <c r="T715" i="2"/>
  <c r="Q715" i="2"/>
  <c r="N715" i="2"/>
  <c r="K715" i="2"/>
  <c r="AF714" i="2"/>
  <c r="AC714" i="2"/>
  <c r="Z714" i="2"/>
  <c r="W714" i="2"/>
  <c r="T714" i="2"/>
  <c r="Q714" i="2"/>
  <c r="N714" i="2"/>
  <c r="K714" i="2"/>
  <c r="AF713" i="2"/>
  <c r="AC713" i="2"/>
  <c r="Z713" i="2"/>
  <c r="W713" i="2"/>
  <c r="T713" i="2"/>
  <c r="Q713" i="2"/>
  <c r="N713" i="2"/>
  <c r="K713" i="2"/>
  <c r="AF712" i="2"/>
  <c r="AC712" i="2"/>
  <c r="Z712" i="2"/>
  <c r="W712" i="2"/>
  <c r="T712" i="2"/>
  <c r="Q712" i="2"/>
  <c r="N712" i="2"/>
  <c r="K712" i="2"/>
  <c r="AF711" i="2"/>
  <c r="AC711" i="2"/>
  <c r="Z711" i="2"/>
  <c r="W711" i="2"/>
  <c r="T711" i="2"/>
  <c r="Q711" i="2"/>
  <c r="N711" i="2"/>
  <c r="K711" i="2"/>
  <c r="AF710" i="2"/>
  <c r="AC710" i="2"/>
  <c r="Z710" i="2"/>
  <c r="W710" i="2"/>
  <c r="T710" i="2"/>
  <c r="Q710" i="2"/>
  <c r="N710" i="2"/>
  <c r="K710" i="2"/>
  <c r="AF709" i="2"/>
  <c r="AC709" i="2"/>
  <c r="Z709" i="2"/>
  <c r="W709" i="2"/>
  <c r="T709" i="2"/>
  <c r="Q709" i="2"/>
  <c r="N709" i="2"/>
  <c r="K709" i="2"/>
  <c r="AF708" i="2"/>
  <c r="AC708" i="2"/>
  <c r="Z708" i="2"/>
  <c r="W708" i="2"/>
  <c r="T708" i="2"/>
  <c r="Q708" i="2"/>
  <c r="N708" i="2"/>
  <c r="K708" i="2"/>
  <c r="AF707" i="2"/>
  <c r="AC707" i="2"/>
  <c r="Z707" i="2"/>
  <c r="W707" i="2"/>
  <c r="T707" i="2"/>
  <c r="Q707" i="2"/>
  <c r="N707" i="2"/>
  <c r="K707" i="2"/>
  <c r="AF706" i="2"/>
  <c r="AC706" i="2"/>
  <c r="Z706" i="2"/>
  <c r="W706" i="2"/>
  <c r="T706" i="2"/>
  <c r="Q706" i="2"/>
  <c r="N706" i="2"/>
  <c r="K706" i="2"/>
  <c r="AF705" i="2"/>
  <c r="AC705" i="2"/>
  <c r="Z705" i="2"/>
  <c r="W705" i="2"/>
  <c r="T705" i="2"/>
  <c r="Q705" i="2"/>
  <c r="N705" i="2"/>
  <c r="K705" i="2"/>
  <c r="AF704" i="2"/>
  <c r="AC704" i="2"/>
  <c r="Z704" i="2"/>
  <c r="W704" i="2"/>
  <c r="T704" i="2"/>
  <c r="Q704" i="2"/>
  <c r="N704" i="2"/>
  <c r="K704" i="2"/>
  <c r="AF703" i="2"/>
  <c r="AC703" i="2"/>
  <c r="Z703" i="2"/>
  <c r="W703" i="2"/>
  <c r="T703" i="2"/>
  <c r="Q703" i="2"/>
  <c r="N703" i="2"/>
  <c r="K703" i="2"/>
  <c r="AF702" i="2"/>
  <c r="AC702" i="2"/>
  <c r="Z702" i="2"/>
  <c r="W702" i="2"/>
  <c r="T702" i="2"/>
  <c r="Q702" i="2"/>
  <c r="N702" i="2"/>
  <c r="K702" i="2"/>
  <c r="AF701" i="2"/>
  <c r="AC701" i="2"/>
  <c r="Z701" i="2"/>
  <c r="W701" i="2"/>
  <c r="T701" i="2"/>
  <c r="Q701" i="2"/>
  <c r="N701" i="2"/>
  <c r="K701" i="2"/>
  <c r="AF700" i="2"/>
  <c r="AC700" i="2"/>
  <c r="Z700" i="2"/>
  <c r="W700" i="2"/>
  <c r="T700" i="2"/>
  <c r="Q700" i="2"/>
  <c r="N700" i="2"/>
  <c r="K700" i="2"/>
  <c r="AF699" i="2"/>
  <c r="AC699" i="2"/>
  <c r="Z699" i="2"/>
  <c r="W699" i="2"/>
  <c r="T699" i="2"/>
  <c r="Q699" i="2"/>
  <c r="N699" i="2"/>
  <c r="K699" i="2"/>
  <c r="AF698" i="2"/>
  <c r="AC698" i="2"/>
  <c r="Z698" i="2"/>
  <c r="W698" i="2"/>
  <c r="T698" i="2"/>
  <c r="Q698" i="2"/>
  <c r="N698" i="2"/>
  <c r="K698" i="2"/>
  <c r="AF697" i="2"/>
  <c r="AC697" i="2"/>
  <c r="Z697" i="2"/>
  <c r="W697" i="2"/>
  <c r="T697" i="2"/>
  <c r="Q697" i="2"/>
  <c r="N697" i="2"/>
  <c r="K697" i="2"/>
  <c r="AF696" i="2"/>
  <c r="AC696" i="2"/>
  <c r="Z696" i="2"/>
  <c r="W696" i="2"/>
  <c r="T696" i="2"/>
  <c r="Q696" i="2"/>
  <c r="N696" i="2"/>
  <c r="K696" i="2"/>
  <c r="AF695" i="2"/>
  <c r="AC695" i="2"/>
  <c r="Z695" i="2"/>
  <c r="W695" i="2"/>
  <c r="T695" i="2"/>
  <c r="Q695" i="2"/>
  <c r="N695" i="2"/>
  <c r="K695" i="2"/>
  <c r="AF694" i="2"/>
  <c r="AC694" i="2"/>
  <c r="Z694" i="2"/>
  <c r="W694" i="2"/>
  <c r="T694" i="2"/>
  <c r="Q694" i="2"/>
  <c r="N694" i="2"/>
  <c r="K694" i="2"/>
  <c r="AF693" i="2"/>
  <c r="AC693" i="2"/>
  <c r="Z693" i="2"/>
  <c r="W693" i="2"/>
  <c r="T693" i="2"/>
  <c r="Q693" i="2"/>
  <c r="N693" i="2"/>
  <c r="K693" i="2"/>
  <c r="AF692" i="2"/>
  <c r="AC692" i="2"/>
  <c r="Z692" i="2"/>
  <c r="W692" i="2"/>
  <c r="T692" i="2"/>
  <c r="Q692" i="2"/>
  <c r="N692" i="2"/>
  <c r="K692" i="2"/>
  <c r="AF691" i="2"/>
  <c r="AC691" i="2"/>
  <c r="Z691" i="2"/>
  <c r="W691" i="2"/>
  <c r="T691" i="2"/>
  <c r="Q691" i="2"/>
  <c r="N691" i="2"/>
  <c r="K691" i="2"/>
  <c r="AF690" i="2"/>
  <c r="AC690" i="2"/>
  <c r="Z690" i="2"/>
  <c r="W690" i="2"/>
  <c r="T690" i="2"/>
  <c r="Q690" i="2"/>
  <c r="N690" i="2"/>
  <c r="K690" i="2"/>
  <c r="AF689" i="2"/>
  <c r="AC689" i="2"/>
  <c r="Z689" i="2"/>
  <c r="W689" i="2"/>
  <c r="T689" i="2"/>
  <c r="Q689" i="2"/>
  <c r="N689" i="2"/>
  <c r="K689" i="2"/>
  <c r="AF688" i="2"/>
  <c r="AC688" i="2"/>
  <c r="Z688" i="2"/>
  <c r="W688" i="2"/>
  <c r="T688" i="2"/>
  <c r="Q688" i="2"/>
  <c r="N688" i="2"/>
  <c r="K688" i="2"/>
  <c r="AF687" i="2"/>
  <c r="AC687" i="2"/>
  <c r="Z687" i="2"/>
  <c r="W687" i="2"/>
  <c r="T687" i="2"/>
  <c r="Q687" i="2"/>
  <c r="N687" i="2"/>
  <c r="K687" i="2"/>
  <c r="AF686" i="2"/>
  <c r="AC686" i="2"/>
  <c r="Z686" i="2"/>
  <c r="W686" i="2"/>
  <c r="T686" i="2"/>
  <c r="Q686" i="2"/>
  <c r="N686" i="2"/>
  <c r="K686" i="2"/>
  <c r="AF685" i="2"/>
  <c r="AC685" i="2"/>
  <c r="Z685" i="2"/>
  <c r="W685" i="2"/>
  <c r="T685" i="2"/>
  <c r="Q685" i="2"/>
  <c r="N685" i="2"/>
  <c r="K685" i="2"/>
  <c r="AF684" i="2"/>
  <c r="AC684" i="2"/>
  <c r="Z684" i="2"/>
  <c r="W684" i="2"/>
  <c r="T684" i="2"/>
  <c r="Q684" i="2"/>
  <c r="N684" i="2"/>
  <c r="K684" i="2"/>
  <c r="AF683" i="2"/>
  <c r="AC683" i="2"/>
  <c r="Z683" i="2"/>
  <c r="W683" i="2"/>
  <c r="T683" i="2"/>
  <c r="Q683" i="2"/>
  <c r="N683" i="2"/>
  <c r="K683" i="2"/>
  <c r="AF682" i="2"/>
  <c r="AC682" i="2"/>
  <c r="Z682" i="2"/>
  <c r="W682" i="2"/>
  <c r="T682" i="2"/>
  <c r="Q682" i="2"/>
  <c r="N682" i="2"/>
  <c r="K682" i="2"/>
  <c r="AF681" i="2"/>
  <c r="AC681" i="2"/>
  <c r="Z681" i="2"/>
  <c r="W681" i="2"/>
  <c r="T681" i="2"/>
  <c r="Q681" i="2"/>
  <c r="N681" i="2"/>
  <c r="K681" i="2"/>
  <c r="AF680" i="2"/>
  <c r="AC680" i="2"/>
  <c r="Z680" i="2"/>
  <c r="W680" i="2"/>
  <c r="T680" i="2"/>
  <c r="Q680" i="2"/>
  <c r="N680" i="2"/>
  <c r="K680" i="2"/>
  <c r="AF679" i="2"/>
  <c r="AC679" i="2"/>
  <c r="Z679" i="2"/>
  <c r="W679" i="2"/>
  <c r="T679" i="2"/>
  <c r="Q679" i="2"/>
  <c r="N679" i="2"/>
  <c r="K679" i="2"/>
  <c r="AF678" i="2"/>
  <c r="AC678" i="2"/>
  <c r="Z678" i="2"/>
  <c r="W678" i="2"/>
  <c r="T678" i="2"/>
  <c r="Q678" i="2"/>
  <c r="N678" i="2"/>
  <c r="K678" i="2"/>
  <c r="AF677" i="2"/>
  <c r="AC677" i="2"/>
  <c r="Z677" i="2"/>
  <c r="W677" i="2"/>
  <c r="T677" i="2"/>
  <c r="Q677" i="2"/>
  <c r="N677" i="2"/>
  <c r="K677" i="2"/>
  <c r="AF676" i="2"/>
  <c r="AC676" i="2"/>
  <c r="Z676" i="2"/>
  <c r="W676" i="2"/>
  <c r="T676" i="2"/>
  <c r="Q676" i="2"/>
  <c r="N676" i="2"/>
  <c r="K676" i="2"/>
  <c r="AF675" i="2"/>
  <c r="AC675" i="2"/>
  <c r="Z675" i="2"/>
  <c r="W675" i="2"/>
  <c r="T675" i="2"/>
  <c r="Q675" i="2"/>
  <c r="N675" i="2"/>
  <c r="K675" i="2"/>
  <c r="AF674" i="2"/>
  <c r="AC674" i="2"/>
  <c r="Z674" i="2"/>
  <c r="W674" i="2"/>
  <c r="T674" i="2"/>
  <c r="Q674" i="2"/>
  <c r="N674" i="2"/>
  <c r="K674" i="2"/>
  <c r="AF673" i="2"/>
  <c r="AC673" i="2"/>
  <c r="Z673" i="2"/>
  <c r="W673" i="2"/>
  <c r="T673" i="2"/>
  <c r="Q673" i="2"/>
  <c r="N673" i="2"/>
  <c r="K673" i="2"/>
  <c r="AF672" i="2"/>
  <c r="AC672" i="2"/>
  <c r="Z672" i="2"/>
  <c r="W672" i="2"/>
  <c r="T672" i="2"/>
  <c r="Q672" i="2"/>
  <c r="N672" i="2"/>
  <c r="K672" i="2"/>
  <c r="AF671" i="2"/>
  <c r="AC671" i="2"/>
  <c r="Z671" i="2"/>
  <c r="W671" i="2"/>
  <c r="T671" i="2"/>
  <c r="Q671" i="2"/>
  <c r="N671" i="2"/>
  <c r="K671" i="2"/>
  <c r="AF670" i="2"/>
  <c r="AC670" i="2"/>
  <c r="Z670" i="2"/>
  <c r="W670" i="2"/>
  <c r="T670" i="2"/>
  <c r="Q670" i="2"/>
  <c r="N670" i="2"/>
  <c r="K670" i="2"/>
  <c r="AF669" i="2"/>
  <c r="AC669" i="2"/>
  <c r="Z669" i="2"/>
  <c r="W669" i="2"/>
  <c r="T669" i="2"/>
  <c r="Q669" i="2"/>
  <c r="N669" i="2"/>
  <c r="K669" i="2"/>
  <c r="AF668" i="2"/>
  <c r="AC668" i="2"/>
  <c r="Z668" i="2"/>
  <c r="W668" i="2"/>
  <c r="T668" i="2"/>
  <c r="Q668" i="2"/>
  <c r="N668" i="2"/>
  <c r="K668" i="2"/>
  <c r="AF667" i="2"/>
  <c r="AC667" i="2"/>
  <c r="Z667" i="2"/>
  <c r="W667" i="2"/>
  <c r="T667" i="2"/>
  <c r="Q667" i="2"/>
  <c r="N667" i="2"/>
  <c r="K667" i="2"/>
  <c r="AF666" i="2"/>
  <c r="AC666" i="2"/>
  <c r="Z666" i="2"/>
  <c r="W666" i="2"/>
  <c r="T666" i="2"/>
  <c r="Q666" i="2"/>
  <c r="N666" i="2"/>
  <c r="K666" i="2"/>
  <c r="AF665" i="2"/>
  <c r="AC665" i="2"/>
  <c r="Z665" i="2"/>
  <c r="W665" i="2"/>
  <c r="T665" i="2"/>
  <c r="Q665" i="2"/>
  <c r="N665" i="2"/>
  <c r="K665" i="2"/>
  <c r="AF664" i="2"/>
  <c r="AC664" i="2"/>
  <c r="Z664" i="2"/>
  <c r="W664" i="2"/>
  <c r="T664" i="2"/>
  <c r="Q664" i="2"/>
  <c r="N664" i="2"/>
  <c r="K664" i="2"/>
  <c r="AF663" i="2"/>
  <c r="AC663" i="2"/>
  <c r="Z663" i="2"/>
  <c r="W663" i="2"/>
  <c r="T663" i="2"/>
  <c r="Q663" i="2"/>
  <c r="N663" i="2"/>
  <c r="K663" i="2"/>
  <c r="AF662" i="2"/>
  <c r="AC662" i="2"/>
  <c r="Z662" i="2"/>
  <c r="W662" i="2"/>
  <c r="T662" i="2"/>
  <c r="Q662" i="2"/>
  <c r="N662" i="2"/>
  <c r="K662" i="2"/>
  <c r="AF661" i="2"/>
  <c r="AC661" i="2"/>
  <c r="Z661" i="2"/>
  <c r="W661" i="2"/>
  <c r="T661" i="2"/>
  <c r="Q661" i="2"/>
  <c r="N661" i="2"/>
  <c r="K661" i="2"/>
  <c r="AF660" i="2"/>
  <c r="AC660" i="2"/>
  <c r="Z660" i="2"/>
  <c r="W660" i="2"/>
  <c r="T660" i="2"/>
  <c r="Q660" i="2"/>
  <c r="N660" i="2"/>
  <c r="K660" i="2"/>
  <c r="AF659" i="2"/>
  <c r="AC659" i="2"/>
  <c r="Z659" i="2"/>
  <c r="W659" i="2"/>
  <c r="T659" i="2"/>
  <c r="Q659" i="2"/>
  <c r="N659" i="2"/>
  <c r="K659" i="2"/>
  <c r="AF658" i="2"/>
  <c r="AC658" i="2"/>
  <c r="Z658" i="2"/>
  <c r="W658" i="2"/>
  <c r="T658" i="2"/>
  <c r="Q658" i="2"/>
  <c r="N658" i="2"/>
  <c r="K658" i="2"/>
  <c r="AF657" i="2"/>
  <c r="AC657" i="2"/>
  <c r="Z657" i="2"/>
  <c r="W657" i="2"/>
  <c r="T657" i="2"/>
  <c r="Q657" i="2"/>
  <c r="N657" i="2"/>
  <c r="K657" i="2"/>
  <c r="AF656" i="2"/>
  <c r="AC656" i="2"/>
  <c r="Z656" i="2"/>
  <c r="W656" i="2"/>
  <c r="T656" i="2"/>
  <c r="Q656" i="2"/>
  <c r="N656" i="2"/>
  <c r="K656" i="2"/>
  <c r="AF655" i="2"/>
  <c r="AC655" i="2"/>
  <c r="Z655" i="2"/>
  <c r="W655" i="2"/>
  <c r="T655" i="2"/>
  <c r="Q655" i="2"/>
  <c r="N655" i="2"/>
  <c r="K655" i="2"/>
  <c r="AF654" i="2"/>
  <c r="AC654" i="2"/>
  <c r="Z654" i="2"/>
  <c r="W654" i="2"/>
  <c r="T654" i="2"/>
  <c r="Q654" i="2"/>
  <c r="N654" i="2"/>
  <c r="K654" i="2"/>
  <c r="AF653" i="2"/>
  <c r="AC653" i="2"/>
  <c r="Z653" i="2"/>
  <c r="W653" i="2"/>
  <c r="T653" i="2"/>
  <c r="Q653" i="2"/>
  <c r="N653" i="2"/>
  <c r="K653" i="2"/>
  <c r="AF652" i="2"/>
  <c r="AC652" i="2"/>
  <c r="Z652" i="2"/>
  <c r="W652" i="2"/>
  <c r="T652" i="2"/>
  <c r="Q652" i="2"/>
  <c r="N652" i="2"/>
  <c r="K652" i="2"/>
  <c r="AF651" i="2"/>
  <c r="AC651" i="2"/>
  <c r="Z651" i="2"/>
  <c r="W651" i="2"/>
  <c r="T651" i="2"/>
  <c r="Q651" i="2"/>
  <c r="N651" i="2"/>
  <c r="K651" i="2"/>
  <c r="AF650" i="2"/>
  <c r="AC650" i="2"/>
  <c r="Z650" i="2"/>
  <c r="W650" i="2"/>
  <c r="T650" i="2"/>
  <c r="Q650" i="2"/>
  <c r="N650" i="2"/>
  <c r="K650" i="2"/>
  <c r="AF649" i="2"/>
  <c r="AC649" i="2"/>
  <c r="Z649" i="2"/>
  <c r="W649" i="2"/>
  <c r="T649" i="2"/>
  <c r="Q649" i="2"/>
  <c r="N649" i="2"/>
  <c r="K649" i="2"/>
  <c r="AF648" i="2"/>
  <c r="AC648" i="2"/>
  <c r="Z648" i="2"/>
  <c r="W648" i="2"/>
  <c r="T648" i="2"/>
  <c r="Q648" i="2"/>
  <c r="N648" i="2"/>
  <c r="K648" i="2"/>
  <c r="AF647" i="2"/>
  <c r="AC647" i="2"/>
  <c r="Z647" i="2"/>
  <c r="W647" i="2"/>
  <c r="T647" i="2"/>
  <c r="Q647" i="2"/>
  <c r="N647" i="2"/>
  <c r="K647" i="2"/>
  <c r="AF646" i="2"/>
  <c r="AC646" i="2"/>
  <c r="Z646" i="2"/>
  <c r="W646" i="2"/>
  <c r="T646" i="2"/>
  <c r="Q646" i="2"/>
  <c r="N646" i="2"/>
  <c r="K646" i="2"/>
  <c r="AF645" i="2"/>
  <c r="AC645" i="2"/>
  <c r="Z645" i="2"/>
  <c r="W645" i="2"/>
  <c r="T645" i="2"/>
  <c r="Q645" i="2"/>
  <c r="N645" i="2"/>
  <c r="K645" i="2"/>
  <c r="AF644" i="2"/>
  <c r="AC644" i="2"/>
  <c r="Z644" i="2"/>
  <c r="W644" i="2"/>
  <c r="T644" i="2"/>
  <c r="Q644" i="2"/>
  <c r="N644" i="2"/>
  <c r="K644" i="2"/>
  <c r="AF643" i="2"/>
  <c r="AC643" i="2"/>
  <c r="Z643" i="2"/>
  <c r="W643" i="2"/>
  <c r="T643" i="2"/>
  <c r="Q643" i="2"/>
  <c r="N643" i="2"/>
  <c r="K643" i="2"/>
  <c r="AF642" i="2"/>
  <c r="AC642" i="2"/>
  <c r="Z642" i="2"/>
  <c r="W642" i="2"/>
  <c r="T642" i="2"/>
  <c r="Q642" i="2"/>
  <c r="N642" i="2"/>
  <c r="K642" i="2"/>
  <c r="AF641" i="2"/>
  <c r="AC641" i="2"/>
  <c r="Z641" i="2"/>
  <c r="W641" i="2"/>
  <c r="T641" i="2"/>
  <c r="Q641" i="2"/>
  <c r="N641" i="2"/>
  <c r="K641" i="2"/>
  <c r="AF640" i="2"/>
  <c r="AC640" i="2"/>
  <c r="Z640" i="2"/>
  <c r="W640" i="2"/>
  <c r="T640" i="2"/>
  <c r="Q640" i="2"/>
  <c r="N640" i="2"/>
  <c r="K640" i="2"/>
  <c r="AF639" i="2"/>
  <c r="AC639" i="2"/>
  <c r="Z639" i="2"/>
  <c r="W639" i="2"/>
  <c r="T639" i="2"/>
  <c r="Q639" i="2"/>
  <c r="N639" i="2"/>
  <c r="K639" i="2"/>
  <c r="AF638" i="2"/>
  <c r="AC638" i="2"/>
  <c r="Z638" i="2"/>
  <c r="W638" i="2"/>
  <c r="T638" i="2"/>
  <c r="Q638" i="2"/>
  <c r="N638" i="2"/>
  <c r="K638" i="2"/>
  <c r="AF637" i="2"/>
  <c r="AC637" i="2"/>
  <c r="Z637" i="2"/>
  <c r="W637" i="2"/>
  <c r="T637" i="2"/>
  <c r="Q637" i="2"/>
  <c r="N637" i="2"/>
  <c r="K637" i="2"/>
  <c r="AF636" i="2"/>
  <c r="AC636" i="2"/>
  <c r="Z636" i="2"/>
  <c r="W636" i="2"/>
  <c r="T636" i="2"/>
  <c r="Q636" i="2"/>
  <c r="N636" i="2"/>
  <c r="K636" i="2"/>
  <c r="AF635" i="2"/>
  <c r="AC635" i="2"/>
  <c r="Z635" i="2"/>
  <c r="W635" i="2"/>
  <c r="T635" i="2"/>
  <c r="Q635" i="2"/>
  <c r="N635" i="2"/>
  <c r="K635" i="2"/>
  <c r="AF634" i="2"/>
  <c r="AC634" i="2"/>
  <c r="Z634" i="2"/>
  <c r="W634" i="2"/>
  <c r="T634" i="2"/>
  <c r="Q634" i="2"/>
  <c r="N634" i="2"/>
  <c r="K634" i="2"/>
  <c r="AF633" i="2"/>
  <c r="AC633" i="2"/>
  <c r="Z633" i="2"/>
  <c r="W633" i="2"/>
  <c r="T633" i="2"/>
  <c r="Q633" i="2"/>
  <c r="N633" i="2"/>
  <c r="K633" i="2"/>
  <c r="AF632" i="2"/>
  <c r="AC632" i="2"/>
  <c r="Z632" i="2"/>
  <c r="W632" i="2"/>
  <c r="T632" i="2"/>
  <c r="Q632" i="2"/>
  <c r="N632" i="2"/>
  <c r="K632" i="2"/>
  <c r="AF631" i="2"/>
  <c r="AC631" i="2"/>
  <c r="Z631" i="2"/>
  <c r="W631" i="2"/>
  <c r="T631" i="2"/>
  <c r="Q631" i="2"/>
  <c r="N631" i="2"/>
  <c r="K631" i="2"/>
  <c r="AF630" i="2"/>
  <c r="AC630" i="2"/>
  <c r="Z630" i="2"/>
  <c r="W630" i="2"/>
  <c r="T630" i="2"/>
  <c r="Q630" i="2"/>
  <c r="N630" i="2"/>
  <c r="K630" i="2"/>
  <c r="AF629" i="2"/>
  <c r="AC629" i="2"/>
  <c r="Z629" i="2"/>
  <c r="W629" i="2"/>
  <c r="T629" i="2"/>
  <c r="Q629" i="2"/>
  <c r="N629" i="2"/>
  <c r="K629" i="2"/>
  <c r="AF628" i="2"/>
  <c r="AC628" i="2"/>
  <c r="Z628" i="2"/>
  <c r="W628" i="2"/>
  <c r="T628" i="2"/>
  <c r="Q628" i="2"/>
  <c r="N628" i="2"/>
  <c r="K628" i="2"/>
  <c r="AF627" i="2"/>
  <c r="AC627" i="2"/>
  <c r="Z627" i="2"/>
  <c r="W627" i="2"/>
  <c r="T627" i="2"/>
  <c r="Q627" i="2"/>
  <c r="N627" i="2"/>
  <c r="K627" i="2"/>
  <c r="AF626" i="2"/>
  <c r="AC626" i="2"/>
  <c r="Z626" i="2"/>
  <c r="W626" i="2"/>
  <c r="T626" i="2"/>
  <c r="Q626" i="2"/>
  <c r="N626" i="2"/>
  <c r="K626" i="2"/>
  <c r="AF625" i="2"/>
  <c r="AC625" i="2"/>
  <c r="Z625" i="2"/>
  <c r="W625" i="2"/>
  <c r="T625" i="2"/>
  <c r="Q625" i="2"/>
  <c r="N625" i="2"/>
  <c r="K625" i="2"/>
  <c r="AF624" i="2"/>
  <c r="AC624" i="2"/>
  <c r="Z624" i="2"/>
  <c r="W624" i="2"/>
  <c r="T624" i="2"/>
  <c r="Q624" i="2"/>
  <c r="N624" i="2"/>
  <c r="K624" i="2"/>
  <c r="AF623" i="2"/>
  <c r="AC623" i="2"/>
  <c r="Z623" i="2"/>
  <c r="W623" i="2"/>
  <c r="T623" i="2"/>
  <c r="Q623" i="2"/>
  <c r="N623" i="2"/>
  <c r="K623" i="2"/>
  <c r="AF622" i="2"/>
  <c r="AC622" i="2"/>
  <c r="Z622" i="2"/>
  <c r="W622" i="2"/>
  <c r="T622" i="2"/>
  <c r="Q622" i="2"/>
  <c r="N622" i="2"/>
  <c r="K622" i="2"/>
  <c r="AF621" i="2"/>
  <c r="AC621" i="2"/>
  <c r="Z621" i="2"/>
  <c r="W621" i="2"/>
  <c r="T621" i="2"/>
  <c r="Q621" i="2"/>
  <c r="N621" i="2"/>
  <c r="K621" i="2"/>
  <c r="AF620" i="2"/>
  <c r="AC620" i="2"/>
  <c r="Z620" i="2"/>
  <c r="W620" i="2"/>
  <c r="T620" i="2"/>
  <c r="Q620" i="2"/>
  <c r="N620" i="2"/>
  <c r="K620" i="2"/>
  <c r="AF619" i="2"/>
  <c r="AC619" i="2"/>
  <c r="Z619" i="2"/>
  <c r="W619" i="2"/>
  <c r="T619" i="2"/>
  <c r="Q619" i="2"/>
  <c r="N619" i="2"/>
  <c r="K619" i="2"/>
  <c r="AF618" i="2"/>
  <c r="AC618" i="2"/>
  <c r="Z618" i="2"/>
  <c r="W618" i="2"/>
  <c r="T618" i="2"/>
  <c r="Q618" i="2"/>
  <c r="N618" i="2"/>
  <c r="K618" i="2"/>
  <c r="AF617" i="2"/>
  <c r="AC617" i="2"/>
  <c r="Z617" i="2"/>
  <c r="W617" i="2"/>
  <c r="T617" i="2"/>
  <c r="Q617" i="2"/>
  <c r="N617" i="2"/>
  <c r="K617" i="2"/>
  <c r="AF616" i="2"/>
  <c r="AC616" i="2"/>
  <c r="Z616" i="2"/>
  <c r="W616" i="2"/>
  <c r="T616" i="2"/>
  <c r="Q616" i="2"/>
  <c r="N616" i="2"/>
  <c r="K616" i="2"/>
  <c r="AF615" i="2"/>
  <c r="AC615" i="2"/>
  <c r="Z615" i="2"/>
  <c r="W615" i="2"/>
  <c r="T615" i="2"/>
  <c r="Q615" i="2"/>
  <c r="N615" i="2"/>
  <c r="K615" i="2"/>
  <c r="AF614" i="2"/>
  <c r="AC614" i="2"/>
  <c r="Z614" i="2"/>
  <c r="W614" i="2"/>
  <c r="T614" i="2"/>
  <c r="Q614" i="2"/>
  <c r="N614" i="2"/>
  <c r="K614" i="2"/>
  <c r="AF613" i="2"/>
  <c r="AC613" i="2"/>
  <c r="Z613" i="2"/>
  <c r="W613" i="2"/>
  <c r="T613" i="2"/>
  <c r="Q613" i="2"/>
  <c r="N613" i="2"/>
  <c r="K613" i="2"/>
  <c r="AF612" i="2"/>
  <c r="AC612" i="2"/>
  <c r="Z612" i="2"/>
  <c r="W612" i="2"/>
  <c r="T612" i="2"/>
  <c r="Q612" i="2"/>
  <c r="N612" i="2"/>
  <c r="K612" i="2"/>
  <c r="AF611" i="2"/>
  <c r="AC611" i="2"/>
  <c r="Z611" i="2"/>
  <c r="W611" i="2"/>
  <c r="T611" i="2"/>
  <c r="Q611" i="2"/>
  <c r="N611" i="2"/>
  <c r="K611" i="2"/>
  <c r="AF610" i="2"/>
  <c r="AC610" i="2"/>
  <c r="Z610" i="2"/>
  <c r="W610" i="2"/>
  <c r="T610" i="2"/>
  <c r="Q610" i="2"/>
  <c r="N610" i="2"/>
  <c r="K610" i="2"/>
  <c r="AF609" i="2"/>
  <c r="AC609" i="2"/>
  <c r="Z609" i="2"/>
  <c r="W609" i="2"/>
  <c r="T609" i="2"/>
  <c r="Q609" i="2"/>
  <c r="N609" i="2"/>
  <c r="K609" i="2"/>
  <c r="AF608" i="2"/>
  <c r="AC608" i="2"/>
  <c r="Z608" i="2"/>
  <c r="W608" i="2"/>
  <c r="T608" i="2"/>
  <c r="Q608" i="2"/>
  <c r="N608" i="2"/>
  <c r="K608" i="2"/>
  <c r="AF607" i="2"/>
  <c r="AC607" i="2"/>
  <c r="Z607" i="2"/>
  <c r="W607" i="2"/>
  <c r="T607" i="2"/>
  <c r="Q607" i="2"/>
  <c r="N607" i="2"/>
  <c r="K607" i="2"/>
  <c r="AF606" i="2"/>
  <c r="AC606" i="2"/>
  <c r="Z606" i="2"/>
  <c r="W606" i="2"/>
  <c r="T606" i="2"/>
  <c r="Q606" i="2"/>
  <c r="N606" i="2"/>
  <c r="K606" i="2"/>
  <c r="AF605" i="2"/>
  <c r="AC605" i="2"/>
  <c r="Z605" i="2"/>
  <c r="W605" i="2"/>
  <c r="T605" i="2"/>
  <c r="Q605" i="2"/>
  <c r="N605" i="2"/>
  <c r="K605" i="2"/>
  <c r="AF604" i="2"/>
  <c r="AC604" i="2"/>
  <c r="Z604" i="2"/>
  <c r="W604" i="2"/>
  <c r="T604" i="2"/>
  <c r="Q604" i="2"/>
  <c r="N604" i="2"/>
  <c r="K604" i="2"/>
  <c r="AF603" i="2"/>
  <c r="AC603" i="2"/>
  <c r="Z603" i="2"/>
  <c r="W603" i="2"/>
  <c r="T603" i="2"/>
  <c r="Q603" i="2"/>
  <c r="N603" i="2"/>
  <c r="K603" i="2"/>
  <c r="AF602" i="2"/>
  <c r="AC602" i="2"/>
  <c r="Z602" i="2"/>
  <c r="W602" i="2"/>
  <c r="T602" i="2"/>
  <c r="Q602" i="2"/>
  <c r="N602" i="2"/>
  <c r="K602" i="2"/>
  <c r="AF601" i="2"/>
  <c r="AC601" i="2"/>
  <c r="Z601" i="2"/>
  <c r="W601" i="2"/>
  <c r="T601" i="2"/>
  <c r="Q601" i="2"/>
  <c r="N601" i="2"/>
  <c r="K601" i="2"/>
  <c r="AF600" i="2"/>
  <c r="AC600" i="2"/>
  <c r="Z600" i="2"/>
  <c r="W600" i="2"/>
  <c r="T600" i="2"/>
  <c r="Q600" i="2"/>
  <c r="N600" i="2"/>
  <c r="K600" i="2"/>
  <c r="AF599" i="2"/>
  <c r="AC599" i="2"/>
  <c r="Z599" i="2"/>
  <c r="W599" i="2"/>
  <c r="T599" i="2"/>
  <c r="Q599" i="2"/>
  <c r="N599" i="2"/>
  <c r="K599" i="2"/>
  <c r="AF598" i="2"/>
  <c r="AC598" i="2"/>
  <c r="Z598" i="2"/>
  <c r="W598" i="2"/>
  <c r="T598" i="2"/>
  <c r="Q598" i="2"/>
  <c r="N598" i="2"/>
  <c r="K598" i="2"/>
  <c r="AF597" i="2"/>
  <c r="AC597" i="2"/>
  <c r="Z597" i="2"/>
  <c r="W597" i="2"/>
  <c r="T597" i="2"/>
  <c r="Q597" i="2"/>
  <c r="N597" i="2"/>
  <c r="K597" i="2"/>
  <c r="AF596" i="2"/>
  <c r="AC596" i="2"/>
  <c r="Z596" i="2"/>
  <c r="W596" i="2"/>
  <c r="T596" i="2"/>
  <c r="Q596" i="2"/>
  <c r="N596" i="2"/>
  <c r="K596" i="2"/>
  <c r="AF595" i="2"/>
  <c r="AC595" i="2"/>
  <c r="Z595" i="2"/>
  <c r="W595" i="2"/>
  <c r="T595" i="2"/>
  <c r="Q595" i="2"/>
  <c r="N595" i="2"/>
  <c r="K595" i="2"/>
  <c r="AF594" i="2"/>
  <c r="AC594" i="2"/>
  <c r="Z594" i="2"/>
  <c r="W594" i="2"/>
  <c r="T594" i="2"/>
  <c r="Q594" i="2"/>
  <c r="N594" i="2"/>
  <c r="K594" i="2"/>
  <c r="AF593" i="2"/>
  <c r="AC593" i="2"/>
  <c r="Z593" i="2"/>
  <c r="W593" i="2"/>
  <c r="T593" i="2"/>
  <c r="Q593" i="2"/>
  <c r="N593" i="2"/>
  <c r="K593" i="2"/>
  <c r="AF592" i="2"/>
  <c r="AC592" i="2"/>
  <c r="Z592" i="2"/>
  <c r="W592" i="2"/>
  <c r="T592" i="2"/>
  <c r="Q592" i="2"/>
  <c r="N592" i="2"/>
  <c r="K592" i="2"/>
  <c r="AF591" i="2"/>
  <c r="AC591" i="2"/>
  <c r="Z591" i="2"/>
  <c r="W591" i="2"/>
  <c r="T591" i="2"/>
  <c r="Q591" i="2"/>
  <c r="N591" i="2"/>
  <c r="K591" i="2"/>
  <c r="AF590" i="2"/>
  <c r="AC590" i="2"/>
  <c r="Z590" i="2"/>
  <c r="W590" i="2"/>
  <c r="T590" i="2"/>
  <c r="Q590" i="2"/>
  <c r="N590" i="2"/>
  <c r="K590" i="2"/>
  <c r="AF589" i="2"/>
  <c r="AC589" i="2"/>
  <c r="Z589" i="2"/>
  <c r="W589" i="2"/>
  <c r="T589" i="2"/>
  <c r="Q589" i="2"/>
  <c r="N589" i="2"/>
  <c r="K589" i="2"/>
  <c r="AF588" i="2"/>
  <c r="AC588" i="2"/>
  <c r="Z588" i="2"/>
  <c r="W588" i="2"/>
  <c r="T588" i="2"/>
  <c r="Q588" i="2"/>
  <c r="N588" i="2"/>
  <c r="K588" i="2"/>
  <c r="AF587" i="2"/>
  <c r="AC587" i="2"/>
  <c r="Z587" i="2"/>
  <c r="W587" i="2"/>
  <c r="T587" i="2"/>
  <c r="Q587" i="2"/>
  <c r="N587" i="2"/>
  <c r="K587" i="2"/>
  <c r="AF586" i="2"/>
  <c r="AC586" i="2"/>
  <c r="Z586" i="2"/>
  <c r="W586" i="2"/>
  <c r="T586" i="2"/>
  <c r="Q586" i="2"/>
  <c r="N586" i="2"/>
  <c r="K586" i="2"/>
  <c r="AF585" i="2"/>
  <c r="AC585" i="2"/>
  <c r="Z585" i="2"/>
  <c r="W585" i="2"/>
  <c r="T585" i="2"/>
  <c r="Q585" i="2"/>
  <c r="N585" i="2"/>
  <c r="K585" i="2"/>
  <c r="AF584" i="2"/>
  <c r="AC584" i="2"/>
  <c r="Z584" i="2"/>
  <c r="W584" i="2"/>
  <c r="T584" i="2"/>
  <c r="Q584" i="2"/>
  <c r="N584" i="2"/>
  <c r="K584" i="2"/>
  <c r="AF583" i="2"/>
  <c r="AC583" i="2"/>
  <c r="Z583" i="2"/>
  <c r="W583" i="2"/>
  <c r="T583" i="2"/>
  <c r="Q583" i="2"/>
  <c r="N583" i="2"/>
  <c r="K583" i="2"/>
  <c r="AF582" i="2"/>
  <c r="AC582" i="2"/>
  <c r="Z582" i="2"/>
  <c r="W582" i="2"/>
  <c r="T582" i="2"/>
  <c r="Q582" i="2"/>
  <c r="N582" i="2"/>
  <c r="K582" i="2"/>
  <c r="AF581" i="2"/>
  <c r="AC581" i="2"/>
  <c r="Z581" i="2"/>
  <c r="W581" i="2"/>
  <c r="T581" i="2"/>
  <c r="Q581" i="2"/>
  <c r="N581" i="2"/>
  <c r="K581" i="2"/>
  <c r="AF580" i="2"/>
  <c r="AC580" i="2"/>
  <c r="Z580" i="2"/>
  <c r="W580" i="2"/>
  <c r="T580" i="2"/>
  <c r="Q580" i="2"/>
  <c r="N580" i="2"/>
  <c r="K580" i="2"/>
  <c r="AF579" i="2"/>
  <c r="AC579" i="2"/>
  <c r="Z579" i="2"/>
  <c r="W579" i="2"/>
  <c r="T579" i="2"/>
  <c r="Q579" i="2"/>
  <c r="N579" i="2"/>
  <c r="K579" i="2"/>
  <c r="AF578" i="2"/>
  <c r="AC578" i="2"/>
  <c r="Z578" i="2"/>
  <c r="W578" i="2"/>
  <c r="T578" i="2"/>
  <c r="Q578" i="2"/>
  <c r="N578" i="2"/>
  <c r="K578" i="2"/>
  <c r="AF577" i="2"/>
  <c r="AC577" i="2"/>
  <c r="Z577" i="2"/>
  <c r="W577" i="2"/>
  <c r="T577" i="2"/>
  <c r="Q577" i="2"/>
  <c r="N577" i="2"/>
  <c r="K577" i="2"/>
  <c r="AF576" i="2"/>
  <c r="AC576" i="2"/>
  <c r="Z576" i="2"/>
  <c r="W576" i="2"/>
  <c r="T576" i="2"/>
  <c r="Q576" i="2"/>
  <c r="N576" i="2"/>
  <c r="K576" i="2"/>
  <c r="AF575" i="2"/>
  <c r="AC575" i="2"/>
  <c r="Z575" i="2"/>
  <c r="W575" i="2"/>
  <c r="T575" i="2"/>
  <c r="Q575" i="2"/>
  <c r="N575" i="2"/>
  <c r="K575" i="2"/>
  <c r="AF574" i="2"/>
  <c r="AC574" i="2"/>
  <c r="Z574" i="2"/>
  <c r="W574" i="2"/>
  <c r="T574" i="2"/>
  <c r="Q574" i="2"/>
  <c r="N574" i="2"/>
  <c r="K574" i="2"/>
  <c r="AF573" i="2"/>
  <c r="AC573" i="2"/>
  <c r="Z573" i="2"/>
  <c r="W573" i="2"/>
  <c r="T573" i="2"/>
  <c r="Q573" i="2"/>
  <c r="N573" i="2"/>
  <c r="K573" i="2"/>
  <c r="AF572" i="2"/>
  <c r="AC572" i="2"/>
  <c r="Z572" i="2"/>
  <c r="W572" i="2"/>
  <c r="T572" i="2"/>
  <c r="Q572" i="2"/>
  <c r="N572" i="2"/>
  <c r="K572" i="2"/>
  <c r="AF571" i="2"/>
  <c r="AC571" i="2"/>
  <c r="Z571" i="2"/>
  <c r="W571" i="2"/>
  <c r="T571" i="2"/>
  <c r="Q571" i="2"/>
  <c r="N571" i="2"/>
  <c r="K571" i="2"/>
  <c r="AF570" i="2"/>
  <c r="AC570" i="2"/>
  <c r="Z570" i="2"/>
  <c r="W570" i="2"/>
  <c r="T570" i="2"/>
  <c r="Q570" i="2"/>
  <c r="N570" i="2"/>
  <c r="K570" i="2"/>
  <c r="AF569" i="2"/>
  <c r="AC569" i="2"/>
  <c r="Z569" i="2"/>
  <c r="W569" i="2"/>
  <c r="T569" i="2"/>
  <c r="Q569" i="2"/>
  <c r="N569" i="2"/>
  <c r="K569" i="2"/>
  <c r="AF568" i="2"/>
  <c r="AC568" i="2"/>
  <c r="Z568" i="2"/>
  <c r="W568" i="2"/>
  <c r="T568" i="2"/>
  <c r="Q568" i="2"/>
  <c r="N568" i="2"/>
  <c r="K568" i="2"/>
  <c r="AF567" i="2"/>
  <c r="AC567" i="2"/>
  <c r="Z567" i="2"/>
  <c r="W567" i="2"/>
  <c r="T567" i="2"/>
  <c r="Q567" i="2"/>
  <c r="N567" i="2"/>
  <c r="K567" i="2"/>
  <c r="AF566" i="2"/>
  <c r="AC566" i="2"/>
  <c r="Z566" i="2"/>
  <c r="W566" i="2"/>
  <c r="T566" i="2"/>
  <c r="Q566" i="2"/>
  <c r="N566" i="2"/>
  <c r="K566" i="2"/>
  <c r="AF565" i="2"/>
  <c r="AC565" i="2"/>
  <c r="Z565" i="2"/>
  <c r="W565" i="2"/>
  <c r="T565" i="2"/>
  <c r="Q565" i="2"/>
  <c r="N565" i="2"/>
  <c r="K565" i="2"/>
  <c r="AF564" i="2"/>
  <c r="AC564" i="2"/>
  <c r="Z564" i="2"/>
  <c r="W564" i="2"/>
  <c r="T564" i="2"/>
  <c r="Q564" i="2"/>
  <c r="N564" i="2"/>
  <c r="K564" i="2"/>
  <c r="AF563" i="2"/>
  <c r="AC563" i="2"/>
  <c r="Z563" i="2"/>
  <c r="W563" i="2"/>
  <c r="T563" i="2"/>
  <c r="Q563" i="2"/>
  <c r="N563" i="2"/>
  <c r="K563" i="2"/>
  <c r="AF562" i="2"/>
  <c r="AC562" i="2"/>
  <c r="Z562" i="2"/>
  <c r="W562" i="2"/>
  <c r="T562" i="2"/>
  <c r="Q562" i="2"/>
  <c r="N562" i="2"/>
  <c r="K562" i="2"/>
  <c r="AF561" i="2"/>
  <c r="AC561" i="2"/>
  <c r="Z561" i="2"/>
  <c r="W561" i="2"/>
  <c r="T561" i="2"/>
  <c r="Q561" i="2"/>
  <c r="N561" i="2"/>
  <c r="K561" i="2"/>
  <c r="AF560" i="2"/>
  <c r="AC560" i="2"/>
  <c r="Z560" i="2"/>
  <c r="W560" i="2"/>
  <c r="T560" i="2"/>
  <c r="Q560" i="2"/>
  <c r="N560" i="2"/>
  <c r="K560" i="2"/>
  <c r="AF559" i="2"/>
  <c r="AC559" i="2"/>
  <c r="Z559" i="2"/>
  <c r="W559" i="2"/>
  <c r="T559" i="2"/>
  <c r="Q559" i="2"/>
  <c r="N559" i="2"/>
  <c r="K559" i="2"/>
  <c r="AF558" i="2"/>
  <c r="AC558" i="2"/>
  <c r="Z558" i="2"/>
  <c r="W558" i="2"/>
  <c r="T558" i="2"/>
  <c r="Q558" i="2"/>
  <c r="N558" i="2"/>
  <c r="K558" i="2"/>
  <c r="AF557" i="2"/>
  <c r="AC557" i="2"/>
  <c r="Z557" i="2"/>
  <c r="W557" i="2"/>
  <c r="T557" i="2"/>
  <c r="Q557" i="2"/>
  <c r="N557" i="2"/>
  <c r="K557" i="2"/>
  <c r="AF556" i="2"/>
  <c r="AC556" i="2"/>
  <c r="Z556" i="2"/>
  <c r="W556" i="2"/>
  <c r="T556" i="2"/>
  <c r="Q556" i="2"/>
  <c r="N556" i="2"/>
  <c r="K556" i="2"/>
  <c r="AF555" i="2"/>
  <c r="AC555" i="2"/>
  <c r="Z555" i="2"/>
  <c r="W555" i="2"/>
  <c r="T555" i="2"/>
  <c r="Q555" i="2"/>
  <c r="N555" i="2"/>
  <c r="K555" i="2"/>
  <c r="AF554" i="2"/>
  <c r="AC554" i="2"/>
  <c r="Z554" i="2"/>
  <c r="W554" i="2"/>
  <c r="T554" i="2"/>
  <c r="Q554" i="2"/>
  <c r="N554" i="2"/>
  <c r="K554" i="2"/>
  <c r="AF553" i="2"/>
  <c r="AC553" i="2"/>
  <c r="Z553" i="2"/>
  <c r="W553" i="2"/>
  <c r="T553" i="2"/>
  <c r="Q553" i="2"/>
  <c r="N553" i="2"/>
  <c r="K553" i="2"/>
  <c r="AF552" i="2"/>
  <c r="AC552" i="2"/>
  <c r="Z552" i="2"/>
  <c r="W552" i="2"/>
  <c r="T552" i="2"/>
  <c r="Q552" i="2"/>
  <c r="N552" i="2"/>
  <c r="K552" i="2"/>
  <c r="AF551" i="2"/>
  <c r="AC551" i="2"/>
  <c r="Z551" i="2"/>
  <c r="W551" i="2"/>
  <c r="T551" i="2"/>
  <c r="Q551" i="2"/>
  <c r="N551" i="2"/>
  <c r="K551" i="2"/>
  <c r="AF550" i="2"/>
  <c r="AC550" i="2"/>
  <c r="Z550" i="2"/>
  <c r="W550" i="2"/>
  <c r="T550" i="2"/>
  <c r="Q550" i="2"/>
  <c r="N550" i="2"/>
  <c r="K550" i="2"/>
  <c r="AF549" i="2"/>
  <c r="AC549" i="2"/>
  <c r="Z549" i="2"/>
  <c r="W549" i="2"/>
  <c r="T549" i="2"/>
  <c r="Q549" i="2"/>
  <c r="N549" i="2"/>
  <c r="K549" i="2"/>
  <c r="AF548" i="2"/>
  <c r="AC548" i="2"/>
  <c r="Z548" i="2"/>
  <c r="W548" i="2"/>
  <c r="T548" i="2"/>
  <c r="Q548" i="2"/>
  <c r="N548" i="2"/>
  <c r="K548" i="2"/>
  <c r="AF547" i="2"/>
  <c r="AC547" i="2"/>
  <c r="Z547" i="2"/>
  <c r="W547" i="2"/>
  <c r="T547" i="2"/>
  <c r="Q547" i="2"/>
  <c r="N547" i="2"/>
  <c r="K547" i="2"/>
  <c r="AF546" i="2"/>
  <c r="AC546" i="2"/>
  <c r="Z546" i="2"/>
  <c r="W546" i="2"/>
  <c r="T546" i="2"/>
  <c r="Q546" i="2"/>
  <c r="N546" i="2"/>
  <c r="K546" i="2"/>
  <c r="AF545" i="2"/>
  <c r="AC545" i="2"/>
  <c r="Z545" i="2"/>
  <c r="W545" i="2"/>
  <c r="T545" i="2"/>
  <c r="Q545" i="2"/>
  <c r="N545" i="2"/>
  <c r="K545" i="2"/>
  <c r="AF544" i="2"/>
  <c r="AC544" i="2"/>
  <c r="Z544" i="2"/>
  <c r="W544" i="2"/>
  <c r="T544" i="2"/>
  <c r="Q544" i="2"/>
  <c r="N544" i="2"/>
  <c r="K544" i="2"/>
  <c r="AF543" i="2"/>
  <c r="AC543" i="2"/>
  <c r="Z543" i="2"/>
  <c r="W543" i="2"/>
  <c r="T543" i="2"/>
  <c r="Q543" i="2"/>
  <c r="N543" i="2"/>
  <c r="K543" i="2"/>
  <c r="AF542" i="2"/>
  <c r="AC542" i="2"/>
  <c r="Z542" i="2"/>
  <c r="W542" i="2"/>
  <c r="T542" i="2"/>
  <c r="Q542" i="2"/>
  <c r="N542" i="2"/>
  <c r="K542" i="2"/>
  <c r="AF541" i="2"/>
  <c r="AC541" i="2"/>
  <c r="Z541" i="2"/>
  <c r="W541" i="2"/>
  <c r="T541" i="2"/>
  <c r="Q541" i="2"/>
  <c r="N541" i="2"/>
  <c r="K541" i="2"/>
  <c r="AF540" i="2"/>
  <c r="AC540" i="2"/>
  <c r="Z540" i="2"/>
  <c r="W540" i="2"/>
  <c r="T540" i="2"/>
  <c r="Q540" i="2"/>
  <c r="N540" i="2"/>
  <c r="K540" i="2"/>
  <c r="AF539" i="2"/>
  <c r="AC539" i="2"/>
  <c r="Z539" i="2"/>
  <c r="W539" i="2"/>
  <c r="T539" i="2"/>
  <c r="Q539" i="2"/>
  <c r="N539" i="2"/>
  <c r="K539" i="2"/>
  <c r="AF538" i="2"/>
  <c r="AC538" i="2"/>
  <c r="Z538" i="2"/>
  <c r="W538" i="2"/>
  <c r="T538" i="2"/>
  <c r="Q538" i="2"/>
  <c r="N538" i="2"/>
  <c r="K538" i="2"/>
  <c r="AF537" i="2"/>
  <c r="AC537" i="2"/>
  <c r="Z537" i="2"/>
  <c r="W537" i="2"/>
  <c r="T537" i="2"/>
  <c r="Q537" i="2"/>
  <c r="N537" i="2"/>
  <c r="K537" i="2"/>
  <c r="AF536" i="2"/>
  <c r="AC536" i="2"/>
  <c r="Z536" i="2"/>
  <c r="W536" i="2"/>
  <c r="T536" i="2"/>
  <c r="Q536" i="2"/>
  <c r="N536" i="2"/>
  <c r="K536" i="2"/>
  <c r="AF535" i="2"/>
  <c r="AC535" i="2"/>
  <c r="Z535" i="2"/>
  <c r="W535" i="2"/>
  <c r="T535" i="2"/>
  <c r="Q535" i="2"/>
  <c r="N535" i="2"/>
  <c r="K535" i="2"/>
  <c r="AF534" i="2"/>
  <c r="AC534" i="2"/>
  <c r="Z534" i="2"/>
  <c r="W534" i="2"/>
  <c r="T534" i="2"/>
  <c r="Q534" i="2"/>
  <c r="N534" i="2"/>
  <c r="K534" i="2"/>
  <c r="AF533" i="2"/>
  <c r="AC533" i="2"/>
  <c r="Z533" i="2"/>
  <c r="W533" i="2"/>
  <c r="T533" i="2"/>
  <c r="Q533" i="2"/>
  <c r="N533" i="2"/>
  <c r="K533" i="2"/>
  <c r="AF532" i="2"/>
  <c r="AC532" i="2"/>
  <c r="Z532" i="2"/>
  <c r="W532" i="2"/>
  <c r="T532" i="2"/>
  <c r="Q532" i="2"/>
  <c r="N532" i="2"/>
  <c r="K532" i="2"/>
  <c r="AF531" i="2"/>
  <c r="AC531" i="2"/>
  <c r="Z531" i="2"/>
  <c r="W531" i="2"/>
  <c r="T531" i="2"/>
  <c r="Q531" i="2"/>
  <c r="N531" i="2"/>
  <c r="K531" i="2"/>
  <c r="AF530" i="2"/>
  <c r="AC530" i="2"/>
  <c r="Z530" i="2"/>
  <c r="W530" i="2"/>
  <c r="T530" i="2"/>
  <c r="Q530" i="2"/>
  <c r="N530" i="2"/>
  <c r="K530" i="2"/>
  <c r="AF529" i="2"/>
  <c r="AC529" i="2"/>
  <c r="Z529" i="2"/>
  <c r="W529" i="2"/>
  <c r="T529" i="2"/>
  <c r="Q529" i="2"/>
  <c r="N529" i="2"/>
  <c r="K529" i="2"/>
  <c r="AF528" i="2"/>
  <c r="AC528" i="2"/>
  <c r="Z528" i="2"/>
  <c r="W528" i="2"/>
  <c r="T528" i="2"/>
  <c r="Q528" i="2"/>
  <c r="N528" i="2"/>
  <c r="K528" i="2"/>
  <c r="AF527" i="2"/>
  <c r="AC527" i="2"/>
  <c r="Z527" i="2"/>
  <c r="W527" i="2"/>
  <c r="T527" i="2"/>
  <c r="Q527" i="2"/>
  <c r="N527" i="2"/>
  <c r="K527" i="2"/>
  <c r="AF526" i="2"/>
  <c r="AC526" i="2"/>
  <c r="Z526" i="2"/>
  <c r="W526" i="2"/>
  <c r="T526" i="2"/>
  <c r="Q526" i="2"/>
  <c r="N526" i="2"/>
  <c r="K526" i="2"/>
  <c r="AF525" i="2"/>
  <c r="AC525" i="2"/>
  <c r="Z525" i="2"/>
  <c r="W525" i="2"/>
  <c r="T525" i="2"/>
  <c r="Q525" i="2"/>
  <c r="N525" i="2"/>
  <c r="K525" i="2"/>
  <c r="AF524" i="2"/>
  <c r="AC524" i="2"/>
  <c r="Z524" i="2"/>
  <c r="W524" i="2"/>
  <c r="T524" i="2"/>
  <c r="Q524" i="2"/>
  <c r="N524" i="2"/>
  <c r="K524" i="2"/>
  <c r="AF523" i="2"/>
  <c r="AC523" i="2"/>
  <c r="Z523" i="2"/>
  <c r="W523" i="2"/>
  <c r="T523" i="2"/>
  <c r="Q523" i="2"/>
  <c r="N523" i="2"/>
  <c r="K523" i="2"/>
  <c r="AF522" i="2"/>
  <c r="AC522" i="2"/>
  <c r="Z522" i="2"/>
  <c r="W522" i="2"/>
  <c r="T522" i="2"/>
  <c r="Q522" i="2"/>
  <c r="N522" i="2"/>
  <c r="K522" i="2"/>
  <c r="AF521" i="2"/>
  <c r="AC521" i="2"/>
  <c r="Z521" i="2"/>
  <c r="W521" i="2"/>
  <c r="T521" i="2"/>
  <c r="Q521" i="2"/>
  <c r="N521" i="2"/>
  <c r="K521" i="2"/>
  <c r="AF520" i="2"/>
  <c r="AC520" i="2"/>
  <c r="Z520" i="2"/>
  <c r="W520" i="2"/>
  <c r="T520" i="2"/>
  <c r="Q520" i="2"/>
  <c r="N520" i="2"/>
  <c r="K520" i="2"/>
  <c r="AF519" i="2"/>
  <c r="AC519" i="2"/>
  <c r="Z519" i="2"/>
  <c r="W519" i="2"/>
  <c r="T519" i="2"/>
  <c r="Q519" i="2"/>
  <c r="N519" i="2"/>
  <c r="K519" i="2"/>
  <c r="AF518" i="2"/>
  <c r="AC518" i="2"/>
  <c r="Z518" i="2"/>
  <c r="W518" i="2"/>
  <c r="T518" i="2"/>
  <c r="Q518" i="2"/>
  <c r="N518" i="2"/>
  <c r="K518" i="2"/>
  <c r="AF517" i="2"/>
  <c r="AC517" i="2"/>
  <c r="Z517" i="2"/>
  <c r="W517" i="2"/>
  <c r="T517" i="2"/>
  <c r="Q517" i="2"/>
  <c r="N517" i="2"/>
  <c r="K517" i="2"/>
  <c r="AF516" i="2"/>
  <c r="AC516" i="2"/>
  <c r="Z516" i="2"/>
  <c r="W516" i="2"/>
  <c r="T516" i="2"/>
  <c r="Q516" i="2"/>
  <c r="N516" i="2"/>
  <c r="K516" i="2"/>
  <c r="AF515" i="2"/>
  <c r="AC515" i="2"/>
  <c r="Z515" i="2"/>
  <c r="W515" i="2"/>
  <c r="T515" i="2"/>
  <c r="Q515" i="2"/>
  <c r="N515" i="2"/>
  <c r="K515" i="2"/>
  <c r="AF514" i="2"/>
  <c r="AC514" i="2"/>
  <c r="Z514" i="2"/>
  <c r="W514" i="2"/>
  <c r="T514" i="2"/>
  <c r="Q514" i="2"/>
  <c r="N514" i="2"/>
  <c r="K514" i="2"/>
  <c r="AF513" i="2"/>
  <c r="AC513" i="2"/>
  <c r="Z513" i="2"/>
  <c r="W513" i="2"/>
  <c r="T513" i="2"/>
  <c r="Q513" i="2"/>
  <c r="N513" i="2"/>
  <c r="K513" i="2"/>
  <c r="AF512" i="2"/>
  <c r="AC512" i="2"/>
  <c r="Z512" i="2"/>
  <c r="W512" i="2"/>
  <c r="T512" i="2"/>
  <c r="Q512" i="2"/>
  <c r="N512" i="2"/>
  <c r="K512" i="2"/>
  <c r="AF511" i="2"/>
  <c r="AC511" i="2"/>
  <c r="Z511" i="2"/>
  <c r="W511" i="2"/>
  <c r="T511" i="2"/>
  <c r="Q511" i="2"/>
  <c r="N511" i="2"/>
  <c r="K511" i="2"/>
  <c r="AF510" i="2"/>
  <c r="AC510" i="2"/>
  <c r="Z510" i="2"/>
  <c r="W510" i="2"/>
  <c r="T510" i="2"/>
  <c r="Q510" i="2"/>
  <c r="N510" i="2"/>
  <c r="K510" i="2"/>
  <c r="AF509" i="2"/>
  <c r="AC509" i="2"/>
  <c r="Z509" i="2"/>
  <c r="W509" i="2"/>
  <c r="T509" i="2"/>
  <c r="Q509" i="2"/>
  <c r="N509" i="2"/>
  <c r="K509" i="2"/>
  <c r="AF508" i="2"/>
  <c r="AC508" i="2"/>
  <c r="Z508" i="2"/>
  <c r="W508" i="2"/>
  <c r="T508" i="2"/>
  <c r="Q508" i="2"/>
  <c r="N508" i="2"/>
  <c r="K508" i="2"/>
  <c r="AF507" i="2"/>
  <c r="AC507" i="2"/>
  <c r="Z507" i="2"/>
  <c r="W507" i="2"/>
  <c r="T507" i="2"/>
  <c r="Q507" i="2"/>
  <c r="N507" i="2"/>
  <c r="K507" i="2"/>
  <c r="AF506" i="2"/>
  <c r="AC506" i="2"/>
  <c r="Z506" i="2"/>
  <c r="W506" i="2"/>
  <c r="T506" i="2"/>
  <c r="Q506" i="2"/>
  <c r="N506" i="2"/>
  <c r="K506" i="2"/>
  <c r="AF505" i="2"/>
  <c r="AC505" i="2"/>
  <c r="Z505" i="2"/>
  <c r="W505" i="2"/>
  <c r="T505" i="2"/>
  <c r="Q505" i="2"/>
  <c r="N505" i="2"/>
  <c r="K505" i="2"/>
  <c r="AF504" i="2"/>
  <c r="AC504" i="2"/>
  <c r="Z504" i="2"/>
  <c r="W504" i="2"/>
  <c r="T504" i="2"/>
  <c r="Q504" i="2"/>
  <c r="N504" i="2"/>
  <c r="K504" i="2"/>
  <c r="AF503" i="2"/>
  <c r="AC503" i="2"/>
  <c r="Z503" i="2"/>
  <c r="W503" i="2"/>
  <c r="T503" i="2"/>
  <c r="Q503" i="2"/>
  <c r="N503" i="2"/>
  <c r="K503" i="2"/>
  <c r="AF502" i="2"/>
  <c r="AC502" i="2"/>
  <c r="Z502" i="2"/>
  <c r="W502" i="2"/>
  <c r="T502" i="2"/>
  <c r="Q502" i="2"/>
  <c r="N502" i="2"/>
  <c r="K502" i="2"/>
  <c r="AF501" i="2"/>
  <c r="AC501" i="2"/>
  <c r="Z501" i="2"/>
  <c r="W501" i="2"/>
  <c r="T501" i="2"/>
  <c r="Q501" i="2"/>
  <c r="N501" i="2"/>
  <c r="K501" i="2"/>
  <c r="AF500" i="2"/>
  <c r="AC500" i="2"/>
  <c r="Z500" i="2"/>
  <c r="W500" i="2"/>
  <c r="T500" i="2"/>
  <c r="Q500" i="2"/>
  <c r="N500" i="2"/>
  <c r="K500" i="2"/>
  <c r="AF499" i="2"/>
  <c r="AC499" i="2"/>
  <c r="Z499" i="2"/>
  <c r="W499" i="2"/>
  <c r="T499" i="2"/>
  <c r="Q499" i="2"/>
  <c r="N499" i="2"/>
  <c r="K499" i="2"/>
  <c r="AF498" i="2"/>
  <c r="AC498" i="2"/>
  <c r="Z498" i="2"/>
  <c r="W498" i="2"/>
  <c r="T498" i="2"/>
  <c r="Q498" i="2"/>
  <c r="N498" i="2"/>
  <c r="K498" i="2"/>
  <c r="AF497" i="2"/>
  <c r="AC497" i="2"/>
  <c r="Z497" i="2"/>
  <c r="W497" i="2"/>
  <c r="T497" i="2"/>
  <c r="Q497" i="2"/>
  <c r="N497" i="2"/>
  <c r="K497" i="2"/>
  <c r="AF496" i="2"/>
  <c r="AC496" i="2"/>
  <c r="Z496" i="2"/>
  <c r="W496" i="2"/>
  <c r="T496" i="2"/>
  <c r="Q496" i="2"/>
  <c r="N496" i="2"/>
  <c r="K496" i="2"/>
  <c r="AF495" i="2"/>
  <c r="AC495" i="2"/>
  <c r="Z495" i="2"/>
  <c r="W495" i="2"/>
  <c r="T495" i="2"/>
  <c r="Q495" i="2"/>
  <c r="N495" i="2"/>
  <c r="K495" i="2"/>
  <c r="AF494" i="2"/>
  <c r="AC494" i="2"/>
  <c r="Z494" i="2"/>
  <c r="W494" i="2"/>
  <c r="T494" i="2"/>
  <c r="Q494" i="2"/>
  <c r="N494" i="2"/>
  <c r="K494" i="2"/>
  <c r="AF493" i="2"/>
  <c r="AC493" i="2"/>
  <c r="Z493" i="2"/>
  <c r="W493" i="2"/>
  <c r="T493" i="2"/>
  <c r="Q493" i="2"/>
  <c r="N493" i="2"/>
  <c r="K493" i="2"/>
  <c r="AF492" i="2"/>
  <c r="AC492" i="2"/>
  <c r="Z492" i="2"/>
  <c r="W492" i="2"/>
  <c r="T492" i="2"/>
  <c r="Q492" i="2"/>
  <c r="N492" i="2"/>
  <c r="K492" i="2"/>
  <c r="AF491" i="2"/>
  <c r="AC491" i="2"/>
  <c r="Z491" i="2"/>
  <c r="W491" i="2"/>
  <c r="T491" i="2"/>
  <c r="Q491" i="2"/>
  <c r="N491" i="2"/>
  <c r="K491" i="2"/>
  <c r="AF490" i="2"/>
  <c r="AC490" i="2"/>
  <c r="Z490" i="2"/>
  <c r="W490" i="2"/>
  <c r="T490" i="2"/>
  <c r="Q490" i="2"/>
  <c r="N490" i="2"/>
  <c r="K490" i="2"/>
  <c r="AF489" i="2"/>
  <c r="AC489" i="2"/>
  <c r="Z489" i="2"/>
  <c r="W489" i="2"/>
  <c r="T489" i="2"/>
  <c r="Q489" i="2"/>
  <c r="N489" i="2"/>
  <c r="K489" i="2"/>
  <c r="AF488" i="2"/>
  <c r="AC488" i="2"/>
  <c r="Z488" i="2"/>
  <c r="W488" i="2"/>
  <c r="T488" i="2"/>
  <c r="Q488" i="2"/>
  <c r="N488" i="2"/>
  <c r="K488" i="2"/>
  <c r="AF487" i="2"/>
  <c r="AC487" i="2"/>
  <c r="Z487" i="2"/>
  <c r="W487" i="2"/>
  <c r="T487" i="2"/>
  <c r="Q487" i="2"/>
  <c r="N487" i="2"/>
  <c r="K487" i="2"/>
  <c r="AF486" i="2"/>
  <c r="AC486" i="2"/>
  <c r="Z486" i="2"/>
  <c r="W486" i="2"/>
  <c r="T486" i="2"/>
  <c r="Q486" i="2"/>
  <c r="N486" i="2"/>
  <c r="K486" i="2"/>
  <c r="AF485" i="2"/>
  <c r="AC485" i="2"/>
  <c r="Z485" i="2"/>
  <c r="W485" i="2"/>
  <c r="T485" i="2"/>
  <c r="Q485" i="2"/>
  <c r="N485" i="2"/>
  <c r="K485" i="2"/>
  <c r="AF484" i="2"/>
  <c r="AC484" i="2"/>
  <c r="Z484" i="2"/>
  <c r="W484" i="2"/>
  <c r="T484" i="2"/>
  <c r="Q484" i="2"/>
  <c r="N484" i="2"/>
  <c r="K484" i="2"/>
  <c r="AF483" i="2"/>
  <c r="AC483" i="2"/>
  <c r="Z483" i="2"/>
  <c r="W483" i="2"/>
  <c r="T483" i="2"/>
  <c r="Q483" i="2"/>
  <c r="N483" i="2"/>
  <c r="K483" i="2"/>
  <c r="AF482" i="2"/>
  <c r="AC482" i="2"/>
  <c r="Z482" i="2"/>
  <c r="W482" i="2"/>
  <c r="T482" i="2"/>
  <c r="Q482" i="2"/>
  <c r="N482" i="2"/>
  <c r="K482" i="2"/>
  <c r="AF481" i="2"/>
  <c r="AC481" i="2"/>
  <c r="Z481" i="2"/>
  <c r="W481" i="2"/>
  <c r="T481" i="2"/>
  <c r="Q481" i="2"/>
  <c r="N481" i="2"/>
  <c r="K481" i="2"/>
  <c r="AF480" i="2"/>
  <c r="AC480" i="2"/>
  <c r="Z480" i="2"/>
  <c r="W480" i="2"/>
  <c r="T480" i="2"/>
  <c r="Q480" i="2"/>
  <c r="N480" i="2"/>
  <c r="K480" i="2"/>
  <c r="AF479" i="2"/>
  <c r="AC479" i="2"/>
  <c r="Z479" i="2"/>
  <c r="W479" i="2"/>
  <c r="T479" i="2"/>
  <c r="Q479" i="2"/>
  <c r="N479" i="2"/>
  <c r="K479" i="2"/>
  <c r="AF478" i="2"/>
  <c r="AC478" i="2"/>
  <c r="Z478" i="2"/>
  <c r="W478" i="2"/>
  <c r="T478" i="2"/>
  <c r="Q478" i="2"/>
  <c r="N478" i="2"/>
  <c r="K478" i="2"/>
  <c r="AF477" i="2"/>
  <c r="AC477" i="2"/>
  <c r="Z477" i="2"/>
  <c r="W477" i="2"/>
  <c r="T477" i="2"/>
  <c r="Q477" i="2"/>
  <c r="N477" i="2"/>
  <c r="K477" i="2"/>
  <c r="AF476" i="2"/>
  <c r="AC476" i="2"/>
  <c r="Z476" i="2"/>
  <c r="W476" i="2"/>
  <c r="T476" i="2"/>
  <c r="Q476" i="2"/>
  <c r="N476" i="2"/>
  <c r="K476" i="2"/>
  <c r="AF475" i="2"/>
  <c r="AC475" i="2"/>
  <c r="Z475" i="2"/>
  <c r="W475" i="2"/>
  <c r="T475" i="2"/>
  <c r="Q475" i="2"/>
  <c r="N475" i="2"/>
  <c r="K475" i="2"/>
  <c r="AF474" i="2"/>
  <c r="AC474" i="2"/>
  <c r="Z474" i="2"/>
  <c r="W474" i="2"/>
  <c r="T474" i="2"/>
  <c r="Q474" i="2"/>
  <c r="N474" i="2"/>
  <c r="K474" i="2"/>
  <c r="AF473" i="2"/>
  <c r="AC473" i="2"/>
  <c r="Z473" i="2"/>
  <c r="W473" i="2"/>
  <c r="T473" i="2"/>
  <c r="Q473" i="2"/>
  <c r="N473" i="2"/>
  <c r="K473" i="2"/>
  <c r="AF472" i="2"/>
  <c r="AC472" i="2"/>
  <c r="Z472" i="2"/>
  <c r="W472" i="2"/>
  <c r="T472" i="2"/>
  <c r="Q472" i="2"/>
  <c r="N472" i="2"/>
  <c r="K472" i="2"/>
  <c r="AF471" i="2"/>
  <c r="AC471" i="2"/>
  <c r="Z471" i="2"/>
  <c r="W471" i="2"/>
  <c r="T471" i="2"/>
  <c r="Q471" i="2"/>
  <c r="N471" i="2"/>
  <c r="K471" i="2"/>
  <c r="AF470" i="2"/>
  <c r="AC470" i="2"/>
  <c r="Z470" i="2"/>
  <c r="W470" i="2"/>
  <c r="T470" i="2"/>
  <c r="Q470" i="2"/>
  <c r="N470" i="2"/>
  <c r="K470" i="2"/>
  <c r="AF469" i="2"/>
  <c r="AC469" i="2"/>
  <c r="Z469" i="2"/>
  <c r="W469" i="2"/>
  <c r="T469" i="2"/>
  <c r="Q469" i="2"/>
  <c r="N469" i="2"/>
  <c r="K469" i="2"/>
  <c r="AF468" i="2"/>
  <c r="AC468" i="2"/>
  <c r="Z468" i="2"/>
  <c r="W468" i="2"/>
  <c r="T468" i="2"/>
  <c r="Q468" i="2"/>
  <c r="N468" i="2"/>
  <c r="K468" i="2"/>
  <c r="AF467" i="2"/>
  <c r="AC467" i="2"/>
  <c r="Z467" i="2"/>
  <c r="W467" i="2"/>
  <c r="T467" i="2"/>
  <c r="Q467" i="2"/>
  <c r="N467" i="2"/>
  <c r="K467" i="2"/>
  <c r="AF466" i="2"/>
  <c r="AC466" i="2"/>
  <c r="Z466" i="2"/>
  <c r="W466" i="2"/>
  <c r="T466" i="2"/>
  <c r="Q466" i="2"/>
  <c r="N466" i="2"/>
  <c r="K466" i="2"/>
  <c r="AF465" i="2"/>
  <c r="AC465" i="2"/>
  <c r="Z465" i="2"/>
  <c r="W465" i="2"/>
  <c r="T465" i="2"/>
  <c r="Q465" i="2"/>
  <c r="N465" i="2"/>
  <c r="K465" i="2"/>
  <c r="AF464" i="2"/>
  <c r="AC464" i="2"/>
  <c r="Z464" i="2"/>
  <c r="W464" i="2"/>
  <c r="T464" i="2"/>
  <c r="Q464" i="2"/>
  <c r="N464" i="2"/>
  <c r="K464" i="2"/>
  <c r="AF463" i="2"/>
  <c r="AC463" i="2"/>
  <c r="Z463" i="2"/>
  <c r="W463" i="2"/>
  <c r="T463" i="2"/>
  <c r="Q463" i="2"/>
  <c r="N463" i="2"/>
  <c r="K463" i="2"/>
  <c r="AF462" i="2"/>
  <c r="AC462" i="2"/>
  <c r="Z462" i="2"/>
  <c r="W462" i="2"/>
  <c r="T462" i="2"/>
  <c r="Q462" i="2"/>
  <c r="N462" i="2"/>
  <c r="K462" i="2"/>
  <c r="AF461" i="2"/>
  <c r="AC461" i="2"/>
  <c r="Z461" i="2"/>
  <c r="W461" i="2"/>
  <c r="T461" i="2"/>
  <c r="Q461" i="2"/>
  <c r="N461" i="2"/>
  <c r="K461" i="2"/>
  <c r="AF460" i="2"/>
  <c r="AC460" i="2"/>
  <c r="Z460" i="2"/>
  <c r="W460" i="2"/>
  <c r="T460" i="2"/>
  <c r="Q460" i="2"/>
  <c r="N460" i="2"/>
  <c r="K460" i="2"/>
  <c r="AF459" i="2"/>
  <c r="AC459" i="2"/>
  <c r="Z459" i="2"/>
  <c r="W459" i="2"/>
  <c r="T459" i="2"/>
  <c r="Q459" i="2"/>
  <c r="N459" i="2"/>
  <c r="K459" i="2"/>
  <c r="AF458" i="2"/>
  <c r="AC458" i="2"/>
  <c r="Z458" i="2"/>
  <c r="W458" i="2"/>
  <c r="T458" i="2"/>
  <c r="Q458" i="2"/>
  <c r="N458" i="2"/>
  <c r="K458" i="2"/>
  <c r="AF457" i="2"/>
  <c r="AC457" i="2"/>
  <c r="Z457" i="2"/>
  <c r="W457" i="2"/>
  <c r="T457" i="2"/>
  <c r="Q457" i="2"/>
  <c r="N457" i="2"/>
  <c r="K457" i="2"/>
  <c r="AF456" i="2"/>
  <c r="AC456" i="2"/>
  <c r="Z456" i="2"/>
  <c r="W456" i="2"/>
  <c r="T456" i="2"/>
  <c r="Q456" i="2"/>
  <c r="N456" i="2"/>
  <c r="K456" i="2"/>
  <c r="AF455" i="2"/>
  <c r="AC455" i="2"/>
  <c r="Z455" i="2"/>
  <c r="W455" i="2"/>
  <c r="T455" i="2"/>
  <c r="Q455" i="2"/>
  <c r="N455" i="2"/>
  <c r="K455" i="2"/>
  <c r="AF454" i="2"/>
  <c r="AC454" i="2"/>
  <c r="Z454" i="2"/>
  <c r="W454" i="2"/>
  <c r="T454" i="2"/>
  <c r="Q454" i="2"/>
  <c r="N454" i="2"/>
  <c r="K454" i="2"/>
  <c r="AF453" i="2"/>
  <c r="AC453" i="2"/>
  <c r="Z453" i="2"/>
  <c r="W453" i="2"/>
  <c r="T453" i="2"/>
  <c r="Q453" i="2"/>
  <c r="N453" i="2"/>
  <c r="K453" i="2"/>
  <c r="AF452" i="2"/>
  <c r="AC452" i="2"/>
  <c r="Z452" i="2"/>
  <c r="W452" i="2"/>
  <c r="T452" i="2"/>
  <c r="Q452" i="2"/>
  <c r="N452" i="2"/>
  <c r="K452" i="2"/>
  <c r="AF451" i="2"/>
  <c r="AC451" i="2"/>
  <c r="Z451" i="2"/>
  <c r="W451" i="2"/>
  <c r="T451" i="2"/>
  <c r="Q451" i="2"/>
  <c r="N451" i="2"/>
  <c r="K451" i="2"/>
  <c r="AF450" i="2"/>
  <c r="AC450" i="2"/>
  <c r="Z450" i="2"/>
  <c r="W450" i="2"/>
  <c r="T450" i="2"/>
  <c r="Q450" i="2"/>
  <c r="N450" i="2"/>
  <c r="K450" i="2"/>
  <c r="AF449" i="2"/>
  <c r="AC449" i="2"/>
  <c r="Z449" i="2"/>
  <c r="W449" i="2"/>
  <c r="T449" i="2"/>
  <c r="Q449" i="2"/>
  <c r="N449" i="2"/>
  <c r="K449" i="2"/>
  <c r="AF448" i="2"/>
  <c r="AC448" i="2"/>
  <c r="Z448" i="2"/>
  <c r="W448" i="2"/>
  <c r="T448" i="2"/>
  <c r="Q448" i="2"/>
  <c r="N448" i="2"/>
  <c r="K448" i="2"/>
  <c r="AF447" i="2"/>
  <c r="AC447" i="2"/>
  <c r="Z447" i="2"/>
  <c r="W447" i="2"/>
  <c r="T447" i="2"/>
  <c r="Q447" i="2"/>
  <c r="N447" i="2"/>
  <c r="K447" i="2"/>
  <c r="AF446" i="2"/>
  <c r="AC446" i="2"/>
  <c r="Z446" i="2"/>
  <c r="W446" i="2"/>
  <c r="T446" i="2"/>
  <c r="Q446" i="2"/>
  <c r="N446" i="2"/>
  <c r="K446" i="2"/>
  <c r="AF445" i="2"/>
  <c r="AC445" i="2"/>
  <c r="Z445" i="2"/>
  <c r="W445" i="2"/>
  <c r="T445" i="2"/>
  <c r="Q445" i="2"/>
  <c r="N445" i="2"/>
  <c r="K445" i="2"/>
  <c r="AF444" i="2"/>
  <c r="AC444" i="2"/>
  <c r="Z444" i="2"/>
  <c r="W444" i="2"/>
  <c r="T444" i="2"/>
  <c r="Q444" i="2"/>
  <c r="N444" i="2"/>
  <c r="K444" i="2"/>
  <c r="AF443" i="2"/>
  <c r="AC443" i="2"/>
  <c r="Z443" i="2"/>
  <c r="W443" i="2"/>
  <c r="T443" i="2"/>
  <c r="Q443" i="2"/>
  <c r="N443" i="2"/>
  <c r="K443" i="2"/>
  <c r="AF442" i="2"/>
  <c r="AC442" i="2"/>
  <c r="Z442" i="2"/>
  <c r="W442" i="2"/>
  <c r="T442" i="2"/>
  <c r="Q442" i="2"/>
  <c r="N442" i="2"/>
  <c r="K442" i="2"/>
  <c r="AF441" i="2"/>
  <c r="AC441" i="2"/>
  <c r="Z441" i="2"/>
  <c r="W441" i="2"/>
  <c r="T441" i="2"/>
  <c r="Q441" i="2"/>
  <c r="N441" i="2"/>
  <c r="K441" i="2"/>
  <c r="AF440" i="2"/>
  <c r="AC440" i="2"/>
  <c r="Z440" i="2"/>
  <c r="W440" i="2"/>
  <c r="T440" i="2"/>
  <c r="Q440" i="2"/>
  <c r="N440" i="2"/>
  <c r="K440" i="2"/>
  <c r="AF439" i="2"/>
  <c r="AC439" i="2"/>
  <c r="Z439" i="2"/>
  <c r="W439" i="2"/>
  <c r="T439" i="2"/>
  <c r="Q439" i="2"/>
  <c r="N439" i="2"/>
  <c r="K439" i="2"/>
  <c r="AF438" i="2"/>
  <c r="AC438" i="2"/>
  <c r="Z438" i="2"/>
  <c r="W438" i="2"/>
  <c r="T438" i="2"/>
  <c r="Q438" i="2"/>
  <c r="N438" i="2"/>
  <c r="K438" i="2"/>
  <c r="AF437" i="2"/>
  <c r="AC437" i="2"/>
  <c r="Z437" i="2"/>
  <c r="W437" i="2"/>
  <c r="T437" i="2"/>
  <c r="Q437" i="2"/>
  <c r="N437" i="2"/>
  <c r="K437" i="2"/>
  <c r="AF436" i="2"/>
  <c r="AC436" i="2"/>
  <c r="Z436" i="2"/>
  <c r="W436" i="2"/>
  <c r="T436" i="2"/>
  <c r="Q436" i="2"/>
  <c r="N436" i="2"/>
  <c r="K436" i="2"/>
  <c r="AF435" i="2"/>
  <c r="AC435" i="2"/>
  <c r="Z435" i="2"/>
  <c r="W435" i="2"/>
  <c r="T435" i="2"/>
  <c r="Q435" i="2"/>
  <c r="N435" i="2"/>
  <c r="K435" i="2"/>
  <c r="AF434" i="2"/>
  <c r="AC434" i="2"/>
  <c r="Z434" i="2"/>
  <c r="W434" i="2"/>
  <c r="T434" i="2"/>
  <c r="Q434" i="2"/>
  <c r="N434" i="2"/>
  <c r="K434" i="2"/>
  <c r="AF433" i="2"/>
  <c r="AC433" i="2"/>
  <c r="Z433" i="2"/>
  <c r="W433" i="2"/>
  <c r="T433" i="2"/>
  <c r="Q433" i="2"/>
  <c r="N433" i="2"/>
  <c r="K433" i="2"/>
  <c r="AF432" i="2"/>
  <c r="AC432" i="2"/>
  <c r="Z432" i="2"/>
  <c r="W432" i="2"/>
  <c r="T432" i="2"/>
  <c r="Q432" i="2"/>
  <c r="N432" i="2"/>
  <c r="K432" i="2"/>
  <c r="AF431" i="2"/>
  <c r="AC431" i="2"/>
  <c r="Z431" i="2"/>
  <c r="W431" i="2"/>
  <c r="T431" i="2"/>
  <c r="Q431" i="2"/>
  <c r="N431" i="2"/>
  <c r="K431" i="2"/>
  <c r="AF430" i="2"/>
  <c r="AC430" i="2"/>
  <c r="Z430" i="2"/>
  <c r="W430" i="2"/>
  <c r="T430" i="2"/>
  <c r="Q430" i="2"/>
  <c r="N430" i="2"/>
  <c r="K430" i="2"/>
  <c r="AF429" i="2"/>
  <c r="AC429" i="2"/>
  <c r="Z429" i="2"/>
  <c r="W429" i="2"/>
  <c r="T429" i="2"/>
  <c r="Q429" i="2"/>
  <c r="N429" i="2"/>
  <c r="K429" i="2"/>
  <c r="AF428" i="2"/>
  <c r="AC428" i="2"/>
  <c r="Z428" i="2"/>
  <c r="W428" i="2"/>
  <c r="T428" i="2"/>
  <c r="Q428" i="2"/>
  <c r="N428" i="2"/>
  <c r="K428" i="2"/>
  <c r="AF427" i="2"/>
  <c r="AC427" i="2"/>
  <c r="Z427" i="2"/>
  <c r="W427" i="2"/>
  <c r="T427" i="2"/>
  <c r="Q427" i="2"/>
  <c r="N427" i="2"/>
  <c r="K427" i="2"/>
  <c r="AF426" i="2"/>
  <c r="AC426" i="2"/>
  <c r="Z426" i="2"/>
  <c r="W426" i="2"/>
  <c r="T426" i="2"/>
  <c r="Q426" i="2"/>
  <c r="N426" i="2"/>
  <c r="K426" i="2"/>
  <c r="AF425" i="2"/>
  <c r="AC425" i="2"/>
  <c r="Z425" i="2"/>
  <c r="W425" i="2"/>
  <c r="T425" i="2"/>
  <c r="Q425" i="2"/>
  <c r="N425" i="2"/>
  <c r="K425" i="2"/>
  <c r="AF424" i="2"/>
  <c r="AC424" i="2"/>
  <c r="Z424" i="2"/>
  <c r="W424" i="2"/>
  <c r="T424" i="2"/>
  <c r="Q424" i="2"/>
  <c r="N424" i="2"/>
  <c r="K424" i="2"/>
  <c r="AF423" i="2"/>
  <c r="AC423" i="2"/>
  <c r="Z423" i="2"/>
  <c r="W423" i="2"/>
  <c r="T423" i="2"/>
  <c r="Q423" i="2"/>
  <c r="N423" i="2"/>
  <c r="K423" i="2"/>
  <c r="AF422" i="2"/>
  <c r="AC422" i="2"/>
  <c r="Z422" i="2"/>
  <c r="W422" i="2"/>
  <c r="T422" i="2"/>
  <c r="Q422" i="2"/>
  <c r="N422" i="2"/>
  <c r="K422" i="2"/>
  <c r="AF421" i="2"/>
  <c r="AC421" i="2"/>
  <c r="Z421" i="2"/>
  <c r="W421" i="2"/>
  <c r="T421" i="2"/>
  <c r="Q421" i="2"/>
  <c r="N421" i="2"/>
  <c r="K421" i="2"/>
  <c r="AF420" i="2"/>
  <c r="AC420" i="2"/>
  <c r="Z420" i="2"/>
  <c r="W420" i="2"/>
  <c r="T420" i="2"/>
  <c r="Q420" i="2"/>
  <c r="N420" i="2"/>
  <c r="K420" i="2"/>
  <c r="AF419" i="2"/>
  <c r="AC419" i="2"/>
  <c r="Z419" i="2"/>
  <c r="W419" i="2"/>
  <c r="T419" i="2"/>
  <c r="Q419" i="2"/>
  <c r="N419" i="2"/>
  <c r="K419" i="2"/>
  <c r="AF418" i="2"/>
  <c r="AC418" i="2"/>
  <c r="Z418" i="2"/>
  <c r="W418" i="2"/>
  <c r="T418" i="2"/>
  <c r="Q418" i="2"/>
  <c r="N418" i="2"/>
  <c r="K418" i="2"/>
  <c r="AF417" i="2"/>
  <c r="AC417" i="2"/>
  <c r="Z417" i="2"/>
  <c r="W417" i="2"/>
  <c r="T417" i="2"/>
  <c r="Q417" i="2"/>
  <c r="N417" i="2"/>
  <c r="K417" i="2"/>
  <c r="AF416" i="2"/>
  <c r="AC416" i="2"/>
  <c r="Z416" i="2"/>
  <c r="W416" i="2"/>
  <c r="T416" i="2"/>
  <c r="Q416" i="2"/>
  <c r="N416" i="2"/>
  <c r="K416" i="2"/>
  <c r="AF415" i="2"/>
  <c r="AC415" i="2"/>
  <c r="Z415" i="2"/>
  <c r="W415" i="2"/>
  <c r="T415" i="2"/>
  <c r="Q415" i="2"/>
  <c r="N415" i="2"/>
  <c r="K415" i="2"/>
  <c r="AF414" i="2"/>
  <c r="AC414" i="2"/>
  <c r="Z414" i="2"/>
  <c r="W414" i="2"/>
  <c r="T414" i="2"/>
  <c r="Q414" i="2"/>
  <c r="N414" i="2"/>
  <c r="K414" i="2"/>
  <c r="AF413" i="2"/>
  <c r="AC413" i="2"/>
  <c r="Z413" i="2"/>
  <c r="W413" i="2"/>
  <c r="T413" i="2"/>
  <c r="Q413" i="2"/>
  <c r="N413" i="2"/>
  <c r="K413" i="2"/>
  <c r="AF412" i="2"/>
  <c r="AC412" i="2"/>
  <c r="Z412" i="2"/>
  <c r="W412" i="2"/>
  <c r="T412" i="2"/>
  <c r="Q412" i="2"/>
  <c r="N412" i="2"/>
  <c r="K412" i="2"/>
  <c r="AF411" i="2"/>
  <c r="AC411" i="2"/>
  <c r="Z411" i="2"/>
  <c r="W411" i="2"/>
  <c r="T411" i="2"/>
  <c r="Q411" i="2"/>
  <c r="N411" i="2"/>
  <c r="K411" i="2"/>
  <c r="AF410" i="2"/>
  <c r="AC410" i="2"/>
  <c r="Z410" i="2"/>
  <c r="W410" i="2"/>
  <c r="T410" i="2"/>
  <c r="Q410" i="2"/>
  <c r="N410" i="2"/>
  <c r="K410" i="2"/>
  <c r="AF409" i="2"/>
  <c r="AC409" i="2"/>
  <c r="Z409" i="2"/>
  <c r="W409" i="2"/>
  <c r="T409" i="2"/>
  <c r="Q409" i="2"/>
  <c r="N409" i="2"/>
  <c r="K409" i="2"/>
  <c r="AF408" i="2"/>
  <c r="AC408" i="2"/>
  <c r="Z408" i="2"/>
  <c r="W408" i="2"/>
  <c r="T408" i="2"/>
  <c r="Q408" i="2"/>
  <c r="N408" i="2"/>
  <c r="K408" i="2"/>
  <c r="AF407" i="2"/>
  <c r="AC407" i="2"/>
  <c r="Z407" i="2"/>
  <c r="W407" i="2"/>
  <c r="T407" i="2"/>
  <c r="Q407" i="2"/>
  <c r="N407" i="2"/>
  <c r="K407" i="2"/>
  <c r="AF406" i="2"/>
  <c r="AC406" i="2"/>
  <c r="Z406" i="2"/>
  <c r="W406" i="2"/>
  <c r="T406" i="2"/>
  <c r="Q406" i="2"/>
  <c r="N406" i="2"/>
  <c r="K406" i="2"/>
  <c r="AF405" i="2"/>
  <c r="AC405" i="2"/>
  <c r="Z405" i="2"/>
  <c r="W405" i="2"/>
  <c r="T405" i="2"/>
  <c r="Q405" i="2"/>
  <c r="N405" i="2"/>
  <c r="K405" i="2"/>
  <c r="AF404" i="2"/>
  <c r="AC404" i="2"/>
  <c r="Z404" i="2"/>
  <c r="W404" i="2"/>
  <c r="T404" i="2"/>
  <c r="Q404" i="2"/>
  <c r="N404" i="2"/>
  <c r="K404" i="2"/>
  <c r="AF403" i="2"/>
  <c r="AC403" i="2"/>
  <c r="Z403" i="2"/>
  <c r="W403" i="2"/>
  <c r="T403" i="2"/>
  <c r="Q403" i="2"/>
  <c r="N403" i="2"/>
  <c r="K403" i="2"/>
  <c r="AF402" i="2"/>
  <c r="AC402" i="2"/>
  <c r="Z402" i="2"/>
  <c r="W402" i="2"/>
  <c r="T402" i="2"/>
  <c r="Q402" i="2"/>
  <c r="N402" i="2"/>
  <c r="K402" i="2"/>
  <c r="AF401" i="2"/>
  <c r="AC401" i="2"/>
  <c r="Z401" i="2"/>
  <c r="W401" i="2"/>
  <c r="T401" i="2"/>
  <c r="Q401" i="2"/>
  <c r="N401" i="2"/>
  <c r="K401" i="2"/>
  <c r="AF400" i="2"/>
  <c r="AC400" i="2"/>
  <c r="Z400" i="2"/>
  <c r="W400" i="2"/>
  <c r="T400" i="2"/>
  <c r="Q400" i="2"/>
  <c r="N400" i="2"/>
  <c r="K400" i="2"/>
  <c r="AF399" i="2"/>
  <c r="AC399" i="2"/>
  <c r="Z399" i="2"/>
  <c r="W399" i="2"/>
  <c r="T399" i="2"/>
  <c r="Q399" i="2"/>
  <c r="N399" i="2"/>
  <c r="K399" i="2"/>
  <c r="AF398" i="2"/>
  <c r="AC398" i="2"/>
  <c r="Z398" i="2"/>
  <c r="W398" i="2"/>
  <c r="T398" i="2"/>
  <c r="Q398" i="2"/>
  <c r="N398" i="2"/>
  <c r="K398" i="2"/>
  <c r="AF397" i="2"/>
  <c r="AC397" i="2"/>
  <c r="Z397" i="2"/>
  <c r="W397" i="2"/>
  <c r="T397" i="2"/>
  <c r="Q397" i="2"/>
  <c r="N397" i="2"/>
  <c r="K397" i="2"/>
  <c r="AF396" i="2"/>
  <c r="AC396" i="2"/>
  <c r="Z396" i="2"/>
  <c r="W396" i="2"/>
  <c r="T396" i="2"/>
  <c r="Q396" i="2"/>
  <c r="N396" i="2"/>
  <c r="K396" i="2"/>
  <c r="AF395" i="2"/>
  <c r="AC395" i="2"/>
  <c r="Z395" i="2"/>
  <c r="W395" i="2"/>
  <c r="T395" i="2"/>
  <c r="Q395" i="2"/>
  <c r="N395" i="2"/>
  <c r="K395" i="2"/>
  <c r="AF394" i="2"/>
  <c r="AC394" i="2"/>
  <c r="Z394" i="2"/>
  <c r="W394" i="2"/>
  <c r="T394" i="2"/>
  <c r="Q394" i="2"/>
  <c r="N394" i="2"/>
  <c r="K394" i="2"/>
  <c r="AF393" i="2"/>
  <c r="AC393" i="2"/>
  <c r="Z393" i="2"/>
  <c r="W393" i="2"/>
  <c r="T393" i="2"/>
  <c r="Q393" i="2"/>
  <c r="N393" i="2"/>
  <c r="K393" i="2"/>
  <c r="AF392" i="2"/>
  <c r="AC392" i="2"/>
  <c r="Z392" i="2"/>
  <c r="W392" i="2"/>
  <c r="T392" i="2"/>
  <c r="Q392" i="2"/>
  <c r="N392" i="2"/>
  <c r="K392" i="2"/>
  <c r="AF391" i="2"/>
  <c r="AC391" i="2"/>
  <c r="Z391" i="2"/>
  <c r="W391" i="2"/>
  <c r="T391" i="2"/>
  <c r="Q391" i="2"/>
  <c r="N391" i="2"/>
  <c r="K391" i="2"/>
  <c r="AF390" i="2"/>
  <c r="AC390" i="2"/>
  <c r="Z390" i="2"/>
  <c r="W390" i="2"/>
  <c r="T390" i="2"/>
  <c r="Q390" i="2"/>
  <c r="N390" i="2"/>
  <c r="K390" i="2"/>
  <c r="AF389" i="2"/>
  <c r="AC389" i="2"/>
  <c r="Z389" i="2"/>
  <c r="W389" i="2"/>
  <c r="T389" i="2"/>
  <c r="Q389" i="2"/>
  <c r="N389" i="2"/>
  <c r="K389" i="2"/>
  <c r="AF388" i="2"/>
  <c r="AC388" i="2"/>
  <c r="Z388" i="2"/>
  <c r="W388" i="2"/>
  <c r="T388" i="2"/>
  <c r="Q388" i="2"/>
  <c r="N388" i="2"/>
  <c r="K388" i="2"/>
  <c r="AF387" i="2"/>
  <c r="AC387" i="2"/>
  <c r="Z387" i="2"/>
  <c r="W387" i="2"/>
  <c r="T387" i="2"/>
  <c r="Q387" i="2"/>
  <c r="N387" i="2"/>
  <c r="K387" i="2"/>
  <c r="AF386" i="2"/>
  <c r="AC386" i="2"/>
  <c r="Z386" i="2"/>
  <c r="W386" i="2"/>
  <c r="T386" i="2"/>
  <c r="Q386" i="2"/>
  <c r="N386" i="2"/>
  <c r="K386" i="2"/>
  <c r="AF385" i="2"/>
  <c r="AC385" i="2"/>
  <c r="Z385" i="2"/>
  <c r="W385" i="2"/>
  <c r="T385" i="2"/>
  <c r="Q385" i="2"/>
  <c r="N385" i="2"/>
  <c r="K385" i="2"/>
  <c r="AF384" i="2"/>
  <c r="AC384" i="2"/>
  <c r="Z384" i="2"/>
  <c r="W384" i="2"/>
  <c r="T384" i="2"/>
  <c r="Q384" i="2"/>
  <c r="N384" i="2"/>
  <c r="K384" i="2"/>
  <c r="AF383" i="2"/>
  <c r="AC383" i="2"/>
  <c r="Z383" i="2"/>
  <c r="W383" i="2"/>
  <c r="T383" i="2"/>
  <c r="Q383" i="2"/>
  <c r="N383" i="2"/>
  <c r="K383" i="2"/>
  <c r="AF382" i="2"/>
  <c r="AC382" i="2"/>
  <c r="Z382" i="2"/>
  <c r="W382" i="2"/>
  <c r="T382" i="2"/>
  <c r="Q382" i="2"/>
  <c r="N382" i="2"/>
  <c r="K382" i="2"/>
  <c r="AF381" i="2"/>
  <c r="AC381" i="2"/>
  <c r="Z381" i="2"/>
  <c r="W381" i="2"/>
  <c r="T381" i="2"/>
  <c r="Q381" i="2"/>
  <c r="N381" i="2"/>
  <c r="K381" i="2"/>
  <c r="AF380" i="2"/>
  <c r="AC380" i="2"/>
  <c r="Z380" i="2"/>
  <c r="W380" i="2"/>
  <c r="T380" i="2"/>
  <c r="Q380" i="2"/>
  <c r="N380" i="2"/>
  <c r="K380" i="2"/>
  <c r="AF379" i="2"/>
  <c r="AC379" i="2"/>
  <c r="Z379" i="2"/>
  <c r="W379" i="2"/>
  <c r="T379" i="2"/>
  <c r="Q379" i="2"/>
  <c r="N379" i="2"/>
  <c r="K379" i="2"/>
  <c r="AF378" i="2"/>
  <c r="AC378" i="2"/>
  <c r="Z378" i="2"/>
  <c r="W378" i="2"/>
  <c r="T378" i="2"/>
  <c r="Q378" i="2"/>
  <c r="N378" i="2"/>
  <c r="K378" i="2"/>
  <c r="AF377" i="2"/>
  <c r="AC377" i="2"/>
  <c r="Z377" i="2"/>
  <c r="W377" i="2"/>
  <c r="T377" i="2"/>
  <c r="Q377" i="2"/>
  <c r="N377" i="2"/>
  <c r="K377" i="2"/>
  <c r="AF376" i="2"/>
  <c r="AC376" i="2"/>
  <c r="Z376" i="2"/>
  <c r="W376" i="2"/>
  <c r="T376" i="2"/>
  <c r="Q376" i="2"/>
  <c r="N376" i="2"/>
  <c r="K376" i="2"/>
  <c r="AF375" i="2"/>
  <c r="AC375" i="2"/>
  <c r="Z375" i="2"/>
  <c r="W375" i="2"/>
  <c r="T375" i="2"/>
  <c r="Q375" i="2"/>
  <c r="N375" i="2"/>
  <c r="K375" i="2"/>
  <c r="AF374" i="2"/>
  <c r="AC374" i="2"/>
  <c r="Z374" i="2"/>
  <c r="W374" i="2"/>
  <c r="T374" i="2"/>
  <c r="Q374" i="2"/>
  <c r="N374" i="2"/>
  <c r="K374" i="2"/>
  <c r="AF373" i="2"/>
  <c r="AC373" i="2"/>
  <c r="Z373" i="2"/>
  <c r="W373" i="2"/>
  <c r="T373" i="2"/>
  <c r="Q373" i="2"/>
  <c r="N373" i="2"/>
  <c r="K373" i="2"/>
  <c r="AF372" i="2"/>
  <c r="AC372" i="2"/>
  <c r="Z372" i="2"/>
  <c r="W372" i="2"/>
  <c r="T372" i="2"/>
  <c r="Q372" i="2"/>
  <c r="N372" i="2"/>
  <c r="K372" i="2"/>
  <c r="AF371" i="2"/>
  <c r="AC371" i="2"/>
  <c r="Z371" i="2"/>
  <c r="W371" i="2"/>
  <c r="T371" i="2"/>
  <c r="Q371" i="2"/>
  <c r="N371" i="2"/>
  <c r="K371" i="2"/>
  <c r="AF370" i="2"/>
  <c r="AC370" i="2"/>
  <c r="Z370" i="2"/>
  <c r="W370" i="2"/>
  <c r="T370" i="2"/>
  <c r="Q370" i="2"/>
  <c r="N370" i="2"/>
  <c r="K370" i="2"/>
  <c r="AF369" i="2"/>
  <c r="AC369" i="2"/>
  <c r="Z369" i="2"/>
  <c r="W369" i="2"/>
  <c r="T369" i="2"/>
  <c r="Q369" i="2"/>
  <c r="N369" i="2"/>
  <c r="K369" i="2"/>
  <c r="AF368" i="2"/>
  <c r="AC368" i="2"/>
  <c r="Z368" i="2"/>
  <c r="W368" i="2"/>
  <c r="T368" i="2"/>
  <c r="Q368" i="2"/>
  <c r="N368" i="2"/>
  <c r="K368" i="2"/>
  <c r="AF367" i="2"/>
  <c r="AC367" i="2"/>
  <c r="Z367" i="2"/>
  <c r="W367" i="2"/>
  <c r="T367" i="2"/>
  <c r="Q367" i="2"/>
  <c r="N367" i="2"/>
  <c r="K367" i="2"/>
  <c r="AF366" i="2"/>
  <c r="AC366" i="2"/>
  <c r="Z366" i="2"/>
  <c r="W366" i="2"/>
  <c r="T366" i="2"/>
  <c r="Q366" i="2"/>
  <c r="N366" i="2"/>
  <c r="K366" i="2"/>
  <c r="AF365" i="2"/>
  <c r="AC365" i="2"/>
  <c r="Z365" i="2"/>
  <c r="W365" i="2"/>
  <c r="T365" i="2"/>
  <c r="Q365" i="2"/>
  <c r="N365" i="2"/>
  <c r="K365" i="2"/>
  <c r="AF364" i="2"/>
  <c r="AC364" i="2"/>
  <c r="Z364" i="2"/>
  <c r="W364" i="2"/>
  <c r="T364" i="2"/>
  <c r="Q364" i="2"/>
  <c r="N364" i="2"/>
  <c r="K364" i="2"/>
  <c r="AF363" i="2"/>
  <c r="AC363" i="2"/>
  <c r="Z363" i="2"/>
  <c r="W363" i="2"/>
  <c r="T363" i="2"/>
  <c r="Q363" i="2"/>
  <c r="N363" i="2"/>
  <c r="K363" i="2"/>
  <c r="AF362" i="2"/>
  <c r="AC362" i="2"/>
  <c r="Z362" i="2"/>
  <c r="W362" i="2"/>
  <c r="T362" i="2"/>
  <c r="Q362" i="2"/>
  <c r="N362" i="2"/>
  <c r="K362" i="2"/>
  <c r="AF361" i="2"/>
  <c r="AC361" i="2"/>
  <c r="Z361" i="2"/>
  <c r="W361" i="2"/>
  <c r="T361" i="2"/>
  <c r="Q361" i="2"/>
  <c r="N361" i="2"/>
  <c r="K361" i="2"/>
  <c r="AF360" i="2"/>
  <c r="AC360" i="2"/>
  <c r="Z360" i="2"/>
  <c r="W360" i="2"/>
  <c r="T360" i="2"/>
  <c r="Q360" i="2"/>
  <c r="N360" i="2"/>
  <c r="K360" i="2"/>
  <c r="AF359" i="2"/>
  <c r="AC359" i="2"/>
  <c r="Z359" i="2"/>
  <c r="W359" i="2"/>
  <c r="T359" i="2"/>
  <c r="Q359" i="2"/>
  <c r="N359" i="2"/>
  <c r="K359" i="2"/>
  <c r="AF358" i="2"/>
  <c r="AC358" i="2"/>
  <c r="Z358" i="2"/>
  <c r="W358" i="2"/>
  <c r="T358" i="2"/>
  <c r="Q358" i="2"/>
  <c r="N358" i="2"/>
  <c r="K358" i="2"/>
  <c r="AF357" i="2"/>
  <c r="AC357" i="2"/>
  <c r="Z357" i="2"/>
  <c r="W357" i="2"/>
  <c r="T357" i="2"/>
  <c r="Q357" i="2"/>
  <c r="N357" i="2"/>
  <c r="K357" i="2"/>
  <c r="AF356" i="2"/>
  <c r="AC356" i="2"/>
  <c r="Z356" i="2"/>
  <c r="W356" i="2"/>
  <c r="T356" i="2"/>
  <c r="Q356" i="2"/>
  <c r="N356" i="2"/>
  <c r="K356" i="2"/>
  <c r="AF355" i="2"/>
  <c r="AC355" i="2"/>
  <c r="Z355" i="2"/>
  <c r="W355" i="2"/>
  <c r="T355" i="2"/>
  <c r="Q355" i="2"/>
  <c r="N355" i="2"/>
  <c r="K355" i="2"/>
  <c r="AF354" i="2"/>
  <c r="AC354" i="2"/>
  <c r="Z354" i="2"/>
  <c r="W354" i="2"/>
  <c r="T354" i="2"/>
  <c r="Q354" i="2"/>
  <c r="N354" i="2"/>
  <c r="K354" i="2"/>
  <c r="AF353" i="2"/>
  <c r="AC353" i="2"/>
  <c r="Z353" i="2"/>
  <c r="W353" i="2"/>
  <c r="T353" i="2"/>
  <c r="Q353" i="2"/>
  <c r="N353" i="2"/>
  <c r="K353" i="2"/>
  <c r="AF352" i="2"/>
  <c r="AC352" i="2"/>
  <c r="Z352" i="2"/>
  <c r="W352" i="2"/>
  <c r="T352" i="2"/>
  <c r="Q352" i="2"/>
  <c r="N352" i="2"/>
  <c r="K352" i="2"/>
  <c r="AF351" i="2"/>
  <c r="AC351" i="2"/>
  <c r="Z351" i="2"/>
  <c r="W351" i="2"/>
  <c r="T351" i="2"/>
  <c r="Q351" i="2"/>
  <c r="N351" i="2"/>
  <c r="K351" i="2"/>
  <c r="AF350" i="2"/>
  <c r="AC350" i="2"/>
  <c r="Z350" i="2"/>
  <c r="W350" i="2"/>
  <c r="T350" i="2"/>
  <c r="Q350" i="2"/>
  <c r="N350" i="2"/>
  <c r="K350" i="2"/>
  <c r="AF349" i="2"/>
  <c r="AC349" i="2"/>
  <c r="Z349" i="2"/>
  <c r="W349" i="2"/>
  <c r="T349" i="2"/>
  <c r="Q349" i="2"/>
  <c r="N349" i="2"/>
  <c r="K349" i="2"/>
  <c r="AF348" i="2"/>
  <c r="AC348" i="2"/>
  <c r="Z348" i="2"/>
  <c r="W348" i="2"/>
  <c r="T348" i="2"/>
  <c r="Q348" i="2"/>
  <c r="N348" i="2"/>
  <c r="K348" i="2"/>
  <c r="AF347" i="2"/>
  <c r="AC347" i="2"/>
  <c r="Z347" i="2"/>
  <c r="W347" i="2"/>
  <c r="T347" i="2"/>
  <c r="Q347" i="2"/>
  <c r="N347" i="2"/>
  <c r="K347" i="2"/>
  <c r="AF346" i="2"/>
  <c r="AC346" i="2"/>
  <c r="Z346" i="2"/>
  <c r="W346" i="2"/>
  <c r="T346" i="2"/>
  <c r="Q346" i="2"/>
  <c r="N346" i="2"/>
  <c r="K346" i="2"/>
  <c r="AF345" i="2"/>
  <c r="AC345" i="2"/>
  <c r="Z345" i="2"/>
  <c r="W345" i="2"/>
  <c r="T345" i="2"/>
  <c r="Q345" i="2"/>
  <c r="N345" i="2"/>
  <c r="K345" i="2"/>
  <c r="AF344" i="2"/>
  <c r="AC344" i="2"/>
  <c r="Z344" i="2"/>
  <c r="W344" i="2"/>
  <c r="T344" i="2"/>
  <c r="Q344" i="2"/>
  <c r="N344" i="2"/>
  <c r="K344" i="2"/>
  <c r="AF343" i="2"/>
  <c r="AC343" i="2"/>
  <c r="Z343" i="2"/>
  <c r="W343" i="2"/>
  <c r="T343" i="2"/>
  <c r="Q343" i="2"/>
  <c r="N343" i="2"/>
  <c r="K343" i="2"/>
  <c r="AF342" i="2"/>
  <c r="AC342" i="2"/>
  <c r="Z342" i="2"/>
  <c r="W342" i="2"/>
  <c r="T342" i="2"/>
  <c r="Q342" i="2"/>
  <c r="N342" i="2"/>
  <c r="K342" i="2"/>
  <c r="AF341" i="2"/>
  <c r="AC341" i="2"/>
  <c r="Z341" i="2"/>
  <c r="W341" i="2"/>
  <c r="T341" i="2"/>
  <c r="Q341" i="2"/>
  <c r="N341" i="2"/>
  <c r="K341" i="2"/>
  <c r="AF340" i="2"/>
  <c r="AC340" i="2"/>
  <c r="Z340" i="2"/>
  <c r="W340" i="2"/>
  <c r="T340" i="2"/>
  <c r="Q340" i="2"/>
  <c r="N340" i="2"/>
  <c r="K340" i="2"/>
  <c r="AF339" i="2"/>
  <c r="AC339" i="2"/>
  <c r="Z339" i="2"/>
  <c r="W339" i="2"/>
  <c r="T339" i="2"/>
  <c r="Q339" i="2"/>
  <c r="N339" i="2"/>
  <c r="K339" i="2"/>
  <c r="AF338" i="2"/>
  <c r="AC338" i="2"/>
  <c r="Z338" i="2"/>
  <c r="W338" i="2"/>
  <c r="T338" i="2"/>
  <c r="Q338" i="2"/>
  <c r="N338" i="2"/>
  <c r="K338" i="2"/>
  <c r="AF337" i="2"/>
  <c r="AC337" i="2"/>
  <c r="Z337" i="2"/>
  <c r="W337" i="2"/>
  <c r="T337" i="2"/>
  <c r="Q337" i="2"/>
  <c r="N337" i="2"/>
  <c r="K337" i="2"/>
  <c r="AF336" i="2"/>
  <c r="AC336" i="2"/>
  <c r="Z336" i="2"/>
  <c r="W336" i="2"/>
  <c r="T336" i="2"/>
  <c r="Q336" i="2"/>
  <c r="N336" i="2"/>
  <c r="K336" i="2"/>
  <c r="AF335" i="2"/>
  <c r="AC335" i="2"/>
  <c r="Z335" i="2"/>
  <c r="W335" i="2"/>
  <c r="T335" i="2"/>
  <c r="Q335" i="2"/>
  <c r="N335" i="2"/>
  <c r="K335" i="2"/>
  <c r="AF334" i="2"/>
  <c r="AC334" i="2"/>
  <c r="Z334" i="2"/>
  <c r="W334" i="2"/>
  <c r="T334" i="2"/>
  <c r="Q334" i="2"/>
  <c r="N334" i="2"/>
  <c r="K334" i="2"/>
  <c r="AF333" i="2"/>
  <c r="AC333" i="2"/>
  <c r="Z333" i="2"/>
  <c r="W333" i="2"/>
  <c r="T333" i="2"/>
  <c r="Q333" i="2"/>
  <c r="N333" i="2"/>
  <c r="K333" i="2"/>
  <c r="AF332" i="2"/>
  <c r="AC332" i="2"/>
  <c r="Z332" i="2"/>
  <c r="W332" i="2"/>
  <c r="T332" i="2"/>
  <c r="Q332" i="2"/>
  <c r="N332" i="2"/>
  <c r="K332" i="2"/>
  <c r="AF331" i="2"/>
  <c r="AC331" i="2"/>
  <c r="Z331" i="2"/>
  <c r="W331" i="2"/>
  <c r="T331" i="2"/>
  <c r="Q331" i="2"/>
  <c r="N331" i="2"/>
  <c r="K331" i="2"/>
  <c r="AF330" i="2"/>
  <c r="AC330" i="2"/>
  <c r="Z330" i="2"/>
  <c r="W330" i="2"/>
  <c r="T330" i="2"/>
  <c r="Q330" i="2"/>
  <c r="N330" i="2"/>
  <c r="K330" i="2"/>
  <c r="AF329" i="2"/>
  <c r="AC329" i="2"/>
  <c r="Z329" i="2"/>
  <c r="W329" i="2"/>
  <c r="T329" i="2"/>
  <c r="Q329" i="2"/>
  <c r="N329" i="2"/>
  <c r="K329" i="2"/>
  <c r="AF328" i="2"/>
  <c r="AC328" i="2"/>
  <c r="Z328" i="2"/>
  <c r="W328" i="2"/>
  <c r="T328" i="2"/>
  <c r="Q328" i="2"/>
  <c r="N328" i="2"/>
  <c r="K328" i="2"/>
  <c r="AF327" i="2"/>
  <c r="AC327" i="2"/>
  <c r="Z327" i="2"/>
  <c r="W327" i="2"/>
  <c r="T327" i="2"/>
  <c r="Q327" i="2"/>
  <c r="N327" i="2"/>
  <c r="K327" i="2"/>
  <c r="AF326" i="2"/>
  <c r="AC326" i="2"/>
  <c r="Z326" i="2"/>
  <c r="W326" i="2"/>
  <c r="T326" i="2"/>
  <c r="Q326" i="2"/>
  <c r="N326" i="2"/>
  <c r="K326" i="2"/>
  <c r="AF325" i="2"/>
  <c r="AC325" i="2"/>
  <c r="Z325" i="2"/>
  <c r="W325" i="2"/>
  <c r="T325" i="2"/>
  <c r="Q325" i="2"/>
  <c r="N325" i="2"/>
  <c r="K325" i="2"/>
  <c r="AF324" i="2"/>
  <c r="AC324" i="2"/>
  <c r="Z324" i="2"/>
  <c r="W324" i="2"/>
  <c r="T324" i="2"/>
  <c r="Q324" i="2"/>
  <c r="N324" i="2"/>
  <c r="K324" i="2"/>
  <c r="AF323" i="2"/>
  <c r="AC323" i="2"/>
  <c r="Z323" i="2"/>
  <c r="W323" i="2"/>
  <c r="T323" i="2"/>
  <c r="Q323" i="2"/>
  <c r="N323" i="2"/>
  <c r="K323" i="2"/>
  <c r="AF322" i="2"/>
  <c r="AC322" i="2"/>
  <c r="Z322" i="2"/>
  <c r="W322" i="2"/>
  <c r="T322" i="2"/>
  <c r="Q322" i="2"/>
  <c r="N322" i="2"/>
  <c r="K322" i="2"/>
  <c r="AF321" i="2"/>
  <c r="AC321" i="2"/>
  <c r="Z321" i="2"/>
  <c r="W321" i="2"/>
  <c r="T321" i="2"/>
  <c r="Q321" i="2"/>
  <c r="N321" i="2"/>
  <c r="K321" i="2"/>
  <c r="AF320" i="2"/>
  <c r="AC320" i="2"/>
  <c r="Z320" i="2"/>
  <c r="W320" i="2"/>
  <c r="T320" i="2"/>
  <c r="Q320" i="2"/>
  <c r="N320" i="2"/>
  <c r="K320" i="2"/>
  <c r="AF319" i="2"/>
  <c r="AC319" i="2"/>
  <c r="Z319" i="2"/>
  <c r="W319" i="2"/>
  <c r="T319" i="2"/>
  <c r="Q319" i="2"/>
  <c r="N319" i="2"/>
  <c r="K319" i="2"/>
  <c r="AF318" i="2"/>
  <c r="AC318" i="2"/>
  <c r="Z318" i="2"/>
  <c r="W318" i="2"/>
  <c r="T318" i="2"/>
  <c r="Q318" i="2"/>
  <c r="N318" i="2"/>
  <c r="K318" i="2"/>
  <c r="AF317" i="2"/>
  <c r="AC317" i="2"/>
  <c r="Z317" i="2"/>
  <c r="W317" i="2"/>
  <c r="T317" i="2"/>
  <c r="Q317" i="2"/>
  <c r="N317" i="2"/>
  <c r="K317" i="2"/>
  <c r="AF316" i="2"/>
  <c r="AC316" i="2"/>
  <c r="Z316" i="2"/>
  <c r="W316" i="2"/>
  <c r="T316" i="2"/>
  <c r="Q316" i="2"/>
  <c r="N316" i="2"/>
  <c r="K316" i="2"/>
  <c r="AF315" i="2"/>
  <c r="AC315" i="2"/>
  <c r="Z315" i="2"/>
  <c r="W315" i="2"/>
  <c r="T315" i="2"/>
  <c r="Q315" i="2"/>
  <c r="N315" i="2"/>
  <c r="K315" i="2"/>
  <c r="AF314" i="2"/>
  <c r="AC314" i="2"/>
  <c r="Z314" i="2"/>
  <c r="W314" i="2"/>
  <c r="T314" i="2"/>
  <c r="Q314" i="2"/>
  <c r="N314" i="2"/>
  <c r="K314" i="2"/>
  <c r="AF313" i="2"/>
  <c r="AC313" i="2"/>
  <c r="Z313" i="2"/>
  <c r="W313" i="2"/>
  <c r="T313" i="2"/>
  <c r="Q313" i="2"/>
  <c r="N313" i="2"/>
  <c r="K313" i="2"/>
  <c r="AF312" i="2"/>
  <c r="AC312" i="2"/>
  <c r="Z312" i="2"/>
  <c r="W312" i="2"/>
  <c r="T312" i="2"/>
  <c r="Q312" i="2"/>
  <c r="N312" i="2"/>
  <c r="K312" i="2"/>
  <c r="AF311" i="2"/>
  <c r="AC311" i="2"/>
  <c r="Z311" i="2"/>
  <c r="W311" i="2"/>
  <c r="T311" i="2"/>
  <c r="Q311" i="2"/>
  <c r="N311" i="2"/>
  <c r="K311" i="2"/>
  <c r="AF310" i="2"/>
  <c r="AC310" i="2"/>
  <c r="Z310" i="2"/>
  <c r="W310" i="2"/>
  <c r="T310" i="2"/>
  <c r="Q310" i="2"/>
  <c r="N310" i="2"/>
  <c r="K310" i="2"/>
  <c r="AF309" i="2"/>
  <c r="AC309" i="2"/>
  <c r="Z309" i="2"/>
  <c r="W309" i="2"/>
  <c r="T309" i="2"/>
  <c r="Q309" i="2"/>
  <c r="N309" i="2"/>
  <c r="K309" i="2"/>
  <c r="AF308" i="2"/>
  <c r="AC308" i="2"/>
  <c r="Z308" i="2"/>
  <c r="W308" i="2"/>
  <c r="T308" i="2"/>
  <c r="Q308" i="2"/>
  <c r="N308" i="2"/>
  <c r="K308" i="2"/>
  <c r="AF307" i="2"/>
  <c r="AC307" i="2"/>
  <c r="Z307" i="2"/>
  <c r="W307" i="2"/>
  <c r="T307" i="2"/>
  <c r="Q307" i="2"/>
  <c r="N307" i="2"/>
  <c r="K307" i="2"/>
  <c r="AF306" i="2"/>
  <c r="AC306" i="2"/>
  <c r="Z306" i="2"/>
  <c r="W306" i="2"/>
  <c r="T306" i="2"/>
  <c r="Q306" i="2"/>
  <c r="N306" i="2"/>
  <c r="K306" i="2"/>
  <c r="AF305" i="2"/>
  <c r="AC305" i="2"/>
  <c r="Z305" i="2"/>
  <c r="W305" i="2"/>
  <c r="T305" i="2"/>
  <c r="Q305" i="2"/>
  <c r="N305" i="2"/>
  <c r="K305" i="2"/>
  <c r="AF304" i="2"/>
  <c r="AC304" i="2"/>
  <c r="Z304" i="2"/>
  <c r="W304" i="2"/>
  <c r="T304" i="2"/>
  <c r="Q304" i="2"/>
  <c r="N304" i="2"/>
  <c r="K304" i="2"/>
  <c r="AF303" i="2"/>
  <c r="AC303" i="2"/>
  <c r="Z303" i="2"/>
  <c r="W303" i="2"/>
  <c r="T303" i="2"/>
  <c r="Q303" i="2"/>
  <c r="N303" i="2"/>
  <c r="K303" i="2"/>
  <c r="AF302" i="2"/>
  <c r="AC302" i="2"/>
  <c r="Z302" i="2"/>
  <c r="W302" i="2"/>
  <c r="T302" i="2"/>
  <c r="Q302" i="2"/>
  <c r="N302" i="2"/>
  <c r="K302" i="2"/>
  <c r="AF301" i="2"/>
  <c r="AC301" i="2"/>
  <c r="Z301" i="2"/>
  <c r="W301" i="2"/>
  <c r="T301" i="2"/>
  <c r="Q301" i="2"/>
  <c r="N301" i="2"/>
  <c r="K301" i="2"/>
  <c r="AF300" i="2"/>
  <c r="AC300" i="2"/>
  <c r="Z300" i="2"/>
  <c r="W300" i="2"/>
  <c r="T300" i="2"/>
  <c r="Q300" i="2"/>
  <c r="N300" i="2"/>
  <c r="K300" i="2"/>
  <c r="AF299" i="2"/>
  <c r="AC299" i="2"/>
  <c r="Z299" i="2"/>
  <c r="W299" i="2"/>
  <c r="T299" i="2"/>
  <c r="Q299" i="2"/>
  <c r="N299" i="2"/>
  <c r="K299" i="2"/>
  <c r="AF298" i="2"/>
  <c r="AC298" i="2"/>
  <c r="Z298" i="2"/>
  <c r="W298" i="2"/>
  <c r="T298" i="2"/>
  <c r="Q298" i="2"/>
  <c r="N298" i="2"/>
  <c r="K298" i="2"/>
  <c r="AF297" i="2"/>
  <c r="AC297" i="2"/>
  <c r="Z297" i="2"/>
  <c r="W297" i="2"/>
  <c r="T297" i="2"/>
  <c r="Q297" i="2"/>
  <c r="N297" i="2"/>
  <c r="K297" i="2"/>
  <c r="AF296" i="2"/>
  <c r="AC296" i="2"/>
  <c r="Z296" i="2"/>
  <c r="W296" i="2"/>
  <c r="T296" i="2"/>
  <c r="Q296" i="2"/>
  <c r="N296" i="2"/>
  <c r="K296" i="2"/>
  <c r="AF295" i="2"/>
  <c r="AC295" i="2"/>
  <c r="Z295" i="2"/>
  <c r="W295" i="2"/>
  <c r="T295" i="2"/>
  <c r="Q295" i="2"/>
  <c r="N295" i="2"/>
  <c r="K295" i="2"/>
  <c r="AF294" i="2"/>
  <c r="AC294" i="2"/>
  <c r="Z294" i="2"/>
  <c r="W294" i="2"/>
  <c r="T294" i="2"/>
  <c r="Q294" i="2"/>
  <c r="N294" i="2"/>
  <c r="K294" i="2"/>
  <c r="AF293" i="2"/>
  <c r="AC293" i="2"/>
  <c r="Z293" i="2"/>
  <c r="W293" i="2"/>
  <c r="T293" i="2"/>
  <c r="Q293" i="2"/>
  <c r="N293" i="2"/>
  <c r="K293" i="2"/>
  <c r="AF292" i="2"/>
  <c r="AC292" i="2"/>
  <c r="Z292" i="2"/>
  <c r="W292" i="2"/>
  <c r="T292" i="2"/>
  <c r="Q292" i="2"/>
  <c r="N292" i="2"/>
  <c r="K292" i="2"/>
  <c r="AF291" i="2"/>
  <c r="AC291" i="2"/>
  <c r="Z291" i="2"/>
  <c r="W291" i="2"/>
  <c r="T291" i="2"/>
  <c r="Q291" i="2"/>
  <c r="N291" i="2"/>
  <c r="K291" i="2"/>
  <c r="AF290" i="2"/>
  <c r="AC290" i="2"/>
  <c r="Z290" i="2"/>
  <c r="W290" i="2"/>
  <c r="T290" i="2"/>
  <c r="Q290" i="2"/>
  <c r="N290" i="2"/>
  <c r="K290" i="2"/>
  <c r="AF289" i="2"/>
  <c r="AC289" i="2"/>
  <c r="Z289" i="2"/>
  <c r="W289" i="2"/>
  <c r="T289" i="2"/>
  <c r="Q289" i="2"/>
  <c r="N289" i="2"/>
  <c r="K289" i="2"/>
  <c r="AF288" i="2"/>
  <c r="AC288" i="2"/>
  <c r="Z288" i="2"/>
  <c r="W288" i="2"/>
  <c r="T288" i="2"/>
  <c r="Q288" i="2"/>
  <c r="N288" i="2"/>
  <c r="K288" i="2"/>
  <c r="AF287" i="2"/>
  <c r="AC287" i="2"/>
  <c r="Z287" i="2"/>
  <c r="W287" i="2"/>
  <c r="T287" i="2"/>
  <c r="Q287" i="2"/>
  <c r="N287" i="2"/>
  <c r="K287" i="2"/>
  <c r="AF286" i="2"/>
  <c r="AC286" i="2"/>
  <c r="Z286" i="2"/>
  <c r="W286" i="2"/>
  <c r="T286" i="2"/>
  <c r="Q286" i="2"/>
  <c r="N286" i="2"/>
  <c r="K286" i="2"/>
  <c r="AF285" i="2"/>
  <c r="AC285" i="2"/>
  <c r="Z285" i="2"/>
  <c r="W285" i="2"/>
  <c r="T285" i="2"/>
  <c r="Q285" i="2"/>
  <c r="N285" i="2"/>
  <c r="K285" i="2"/>
  <c r="AF284" i="2"/>
  <c r="AC284" i="2"/>
  <c r="Z284" i="2"/>
  <c r="W284" i="2"/>
  <c r="T284" i="2"/>
  <c r="Q284" i="2"/>
  <c r="N284" i="2"/>
  <c r="K284" i="2"/>
  <c r="AF283" i="2"/>
  <c r="AC283" i="2"/>
  <c r="Z283" i="2"/>
  <c r="W283" i="2"/>
  <c r="T283" i="2"/>
  <c r="Q283" i="2"/>
  <c r="N283" i="2"/>
  <c r="K283" i="2"/>
  <c r="AF282" i="2"/>
  <c r="AC282" i="2"/>
  <c r="Z282" i="2"/>
  <c r="W282" i="2"/>
  <c r="T282" i="2"/>
  <c r="Q282" i="2"/>
  <c r="N282" i="2"/>
  <c r="K282" i="2"/>
  <c r="AF281" i="2"/>
  <c r="AC281" i="2"/>
  <c r="Z281" i="2"/>
  <c r="W281" i="2"/>
  <c r="T281" i="2"/>
  <c r="Q281" i="2"/>
  <c r="N281" i="2"/>
  <c r="K281" i="2"/>
  <c r="AF280" i="2"/>
  <c r="AC280" i="2"/>
  <c r="Z280" i="2"/>
  <c r="W280" i="2"/>
  <c r="T280" i="2"/>
  <c r="Q280" i="2"/>
  <c r="N280" i="2"/>
  <c r="K280" i="2"/>
  <c r="AF279" i="2"/>
  <c r="AC279" i="2"/>
  <c r="Z279" i="2"/>
  <c r="W279" i="2"/>
  <c r="T279" i="2"/>
  <c r="Q279" i="2"/>
  <c r="N279" i="2"/>
  <c r="K279" i="2"/>
  <c r="AF278" i="2"/>
  <c r="AC278" i="2"/>
  <c r="Z278" i="2"/>
  <c r="W278" i="2"/>
  <c r="T278" i="2"/>
  <c r="Q278" i="2"/>
  <c r="N278" i="2"/>
  <c r="K278" i="2"/>
  <c r="AF277" i="2"/>
  <c r="AC277" i="2"/>
  <c r="Z277" i="2"/>
  <c r="W277" i="2"/>
  <c r="T277" i="2"/>
  <c r="Q277" i="2"/>
  <c r="N277" i="2"/>
  <c r="K277" i="2"/>
  <c r="AF276" i="2"/>
  <c r="AC276" i="2"/>
  <c r="Z276" i="2"/>
  <c r="W276" i="2"/>
  <c r="T276" i="2"/>
  <c r="Q276" i="2"/>
  <c r="N276" i="2"/>
  <c r="K276" i="2"/>
  <c r="AF275" i="2"/>
  <c r="AC275" i="2"/>
  <c r="Z275" i="2"/>
  <c r="W275" i="2"/>
  <c r="T275" i="2"/>
  <c r="Q275" i="2"/>
  <c r="N275" i="2"/>
  <c r="K275" i="2"/>
  <c r="AF274" i="2"/>
  <c r="AC274" i="2"/>
  <c r="Z274" i="2"/>
  <c r="W274" i="2"/>
  <c r="T274" i="2"/>
  <c r="Q274" i="2"/>
  <c r="N274" i="2"/>
  <c r="K274" i="2"/>
  <c r="AF273" i="2"/>
  <c r="AC273" i="2"/>
  <c r="Z273" i="2"/>
  <c r="W273" i="2"/>
  <c r="T273" i="2"/>
  <c r="Q273" i="2"/>
  <c r="N273" i="2"/>
  <c r="K273" i="2"/>
  <c r="AF272" i="2"/>
  <c r="AC272" i="2"/>
  <c r="Z272" i="2"/>
  <c r="W272" i="2"/>
  <c r="T272" i="2"/>
  <c r="Q272" i="2"/>
  <c r="N272" i="2"/>
  <c r="K272" i="2"/>
  <c r="AF271" i="2"/>
  <c r="AC271" i="2"/>
  <c r="Z271" i="2"/>
  <c r="W271" i="2"/>
  <c r="T271" i="2"/>
  <c r="Q271" i="2"/>
  <c r="N271" i="2"/>
  <c r="K271" i="2"/>
  <c r="AF270" i="2"/>
  <c r="AC270" i="2"/>
  <c r="Z270" i="2"/>
  <c r="W270" i="2"/>
  <c r="T270" i="2"/>
  <c r="Q270" i="2"/>
  <c r="N270" i="2"/>
  <c r="K270" i="2"/>
  <c r="AF269" i="2"/>
  <c r="AC269" i="2"/>
  <c r="Z269" i="2"/>
  <c r="W269" i="2"/>
  <c r="T269" i="2"/>
  <c r="Q269" i="2"/>
  <c r="N269" i="2"/>
  <c r="K269" i="2"/>
  <c r="AF268" i="2"/>
  <c r="AC268" i="2"/>
  <c r="Z268" i="2"/>
  <c r="W268" i="2"/>
  <c r="T268" i="2"/>
  <c r="Q268" i="2"/>
  <c r="N268" i="2"/>
  <c r="K268" i="2"/>
  <c r="AF267" i="2"/>
  <c r="AC267" i="2"/>
  <c r="Z267" i="2"/>
  <c r="W267" i="2"/>
  <c r="T267" i="2"/>
  <c r="Q267" i="2"/>
  <c r="N267" i="2"/>
  <c r="K267" i="2"/>
  <c r="AF266" i="2"/>
  <c r="AC266" i="2"/>
  <c r="Z266" i="2"/>
  <c r="W266" i="2"/>
  <c r="T266" i="2"/>
  <c r="Q266" i="2"/>
  <c r="N266" i="2"/>
  <c r="K266" i="2"/>
  <c r="AF265" i="2"/>
  <c r="AC265" i="2"/>
  <c r="Z265" i="2"/>
  <c r="W265" i="2"/>
  <c r="T265" i="2"/>
  <c r="Q265" i="2"/>
  <c r="N265" i="2"/>
  <c r="K265" i="2"/>
  <c r="AF264" i="2"/>
  <c r="AC264" i="2"/>
  <c r="Z264" i="2"/>
  <c r="W264" i="2"/>
  <c r="T264" i="2"/>
  <c r="Q264" i="2"/>
  <c r="N264" i="2"/>
  <c r="K264" i="2"/>
  <c r="AF263" i="2"/>
  <c r="AC263" i="2"/>
  <c r="Z263" i="2"/>
  <c r="W263" i="2"/>
  <c r="T263" i="2"/>
  <c r="Q263" i="2"/>
  <c r="N263" i="2"/>
  <c r="K263" i="2"/>
  <c r="AF262" i="2"/>
  <c r="AC262" i="2"/>
  <c r="Z262" i="2"/>
  <c r="W262" i="2"/>
  <c r="T262" i="2"/>
  <c r="Q262" i="2"/>
  <c r="N262" i="2"/>
  <c r="K262" i="2"/>
  <c r="AF261" i="2"/>
  <c r="AC261" i="2"/>
  <c r="Z261" i="2"/>
  <c r="W261" i="2"/>
  <c r="T261" i="2"/>
  <c r="Q261" i="2"/>
  <c r="N261" i="2"/>
  <c r="K261" i="2"/>
  <c r="AF260" i="2"/>
  <c r="AC260" i="2"/>
  <c r="Z260" i="2"/>
  <c r="W260" i="2"/>
  <c r="T260" i="2"/>
  <c r="Q260" i="2"/>
  <c r="N260" i="2"/>
  <c r="K260" i="2"/>
  <c r="AF259" i="2"/>
  <c r="AC259" i="2"/>
  <c r="Z259" i="2"/>
  <c r="W259" i="2"/>
  <c r="T259" i="2"/>
  <c r="Q259" i="2"/>
  <c r="N259" i="2"/>
  <c r="K259" i="2"/>
  <c r="AF258" i="2"/>
  <c r="AC258" i="2"/>
  <c r="Z258" i="2"/>
  <c r="W258" i="2"/>
  <c r="T258" i="2"/>
  <c r="Q258" i="2"/>
  <c r="N258" i="2"/>
  <c r="K258" i="2"/>
  <c r="AF257" i="2"/>
  <c r="AC257" i="2"/>
  <c r="Z257" i="2"/>
  <c r="W257" i="2"/>
  <c r="T257" i="2"/>
  <c r="Q257" i="2"/>
  <c r="N257" i="2"/>
  <c r="K257" i="2"/>
  <c r="AF256" i="2"/>
  <c r="AC256" i="2"/>
  <c r="Z256" i="2"/>
  <c r="W256" i="2"/>
  <c r="T256" i="2"/>
  <c r="Q256" i="2"/>
  <c r="N256" i="2"/>
  <c r="K256" i="2"/>
  <c r="AF255" i="2"/>
  <c r="AC255" i="2"/>
  <c r="Z255" i="2"/>
  <c r="W255" i="2"/>
  <c r="T255" i="2"/>
  <c r="Q255" i="2"/>
  <c r="N255" i="2"/>
  <c r="K255" i="2"/>
  <c r="AF254" i="2"/>
  <c r="AC254" i="2"/>
  <c r="Z254" i="2"/>
  <c r="W254" i="2"/>
  <c r="T254" i="2"/>
  <c r="Q254" i="2"/>
  <c r="N254" i="2"/>
  <c r="K254" i="2"/>
  <c r="AF253" i="2"/>
  <c r="AC253" i="2"/>
  <c r="Z253" i="2"/>
  <c r="W253" i="2"/>
  <c r="T253" i="2"/>
  <c r="Q253" i="2"/>
  <c r="N253" i="2"/>
  <c r="K253" i="2"/>
  <c r="AF252" i="2"/>
  <c r="AC252" i="2"/>
  <c r="Z252" i="2"/>
  <c r="W252" i="2"/>
  <c r="T252" i="2"/>
  <c r="Q252" i="2"/>
  <c r="N252" i="2"/>
  <c r="K252" i="2"/>
  <c r="AF251" i="2"/>
  <c r="AC251" i="2"/>
  <c r="Z251" i="2"/>
  <c r="W251" i="2"/>
  <c r="T251" i="2"/>
  <c r="Q251" i="2"/>
  <c r="N251" i="2"/>
  <c r="K251" i="2"/>
  <c r="AF250" i="2"/>
  <c r="AC250" i="2"/>
  <c r="Z250" i="2"/>
  <c r="W250" i="2"/>
  <c r="T250" i="2"/>
  <c r="Q250" i="2"/>
  <c r="N250" i="2"/>
  <c r="K250" i="2"/>
  <c r="AF249" i="2"/>
  <c r="AC249" i="2"/>
  <c r="Z249" i="2"/>
  <c r="W249" i="2"/>
  <c r="T249" i="2"/>
  <c r="Q249" i="2"/>
  <c r="N249" i="2"/>
  <c r="K249" i="2"/>
  <c r="AF248" i="2"/>
  <c r="AC248" i="2"/>
  <c r="Z248" i="2"/>
  <c r="W248" i="2"/>
  <c r="T248" i="2"/>
  <c r="Q248" i="2"/>
  <c r="N248" i="2"/>
  <c r="K248" i="2"/>
  <c r="AF247" i="2"/>
  <c r="AC247" i="2"/>
  <c r="Z247" i="2"/>
  <c r="W247" i="2"/>
  <c r="T247" i="2"/>
  <c r="Q247" i="2"/>
  <c r="N247" i="2"/>
  <c r="K247" i="2"/>
  <c r="AF246" i="2"/>
  <c r="AC246" i="2"/>
  <c r="Z246" i="2"/>
  <c r="W246" i="2"/>
  <c r="T246" i="2"/>
  <c r="Q246" i="2"/>
  <c r="N246" i="2"/>
  <c r="K246" i="2"/>
  <c r="AF245" i="2"/>
  <c r="AC245" i="2"/>
  <c r="Z245" i="2"/>
  <c r="W245" i="2"/>
  <c r="T245" i="2"/>
  <c r="Q245" i="2"/>
  <c r="N245" i="2"/>
  <c r="K245" i="2"/>
  <c r="AF244" i="2"/>
  <c r="AC244" i="2"/>
  <c r="Z244" i="2"/>
  <c r="W244" i="2"/>
  <c r="T244" i="2"/>
  <c r="Q244" i="2"/>
  <c r="N244" i="2"/>
  <c r="K244" i="2"/>
  <c r="AF243" i="2"/>
  <c r="AC243" i="2"/>
  <c r="Z243" i="2"/>
  <c r="W243" i="2"/>
  <c r="T243" i="2"/>
  <c r="Q243" i="2"/>
  <c r="N243" i="2"/>
  <c r="K243" i="2"/>
  <c r="AF242" i="2"/>
  <c r="AC242" i="2"/>
  <c r="Z242" i="2"/>
  <c r="W242" i="2"/>
  <c r="T242" i="2"/>
  <c r="Q242" i="2"/>
  <c r="N242" i="2"/>
  <c r="K242" i="2"/>
  <c r="AF241" i="2"/>
  <c r="AC241" i="2"/>
  <c r="Z241" i="2"/>
  <c r="W241" i="2"/>
  <c r="T241" i="2"/>
  <c r="Q241" i="2"/>
  <c r="N241" i="2"/>
  <c r="K241" i="2"/>
  <c r="AF240" i="2"/>
  <c r="AC240" i="2"/>
  <c r="Z240" i="2"/>
  <c r="W240" i="2"/>
  <c r="T240" i="2"/>
  <c r="Q240" i="2"/>
  <c r="N240" i="2"/>
  <c r="K240" i="2"/>
  <c r="AF239" i="2"/>
  <c r="AC239" i="2"/>
  <c r="Z239" i="2"/>
  <c r="W239" i="2"/>
  <c r="T239" i="2"/>
  <c r="Q239" i="2"/>
  <c r="N239" i="2"/>
  <c r="K239" i="2"/>
  <c r="AF238" i="2"/>
  <c r="AC238" i="2"/>
  <c r="Z238" i="2"/>
  <c r="W238" i="2"/>
  <c r="T238" i="2"/>
  <c r="Q238" i="2"/>
  <c r="N238" i="2"/>
  <c r="K238" i="2"/>
  <c r="AF237" i="2"/>
  <c r="AC237" i="2"/>
  <c r="Z237" i="2"/>
  <c r="W237" i="2"/>
  <c r="T237" i="2"/>
  <c r="Q237" i="2"/>
  <c r="N237" i="2"/>
  <c r="K237" i="2"/>
  <c r="AF236" i="2"/>
  <c r="AC236" i="2"/>
  <c r="Z236" i="2"/>
  <c r="W236" i="2"/>
  <c r="T236" i="2"/>
  <c r="Q236" i="2"/>
  <c r="N236" i="2"/>
  <c r="K236" i="2"/>
  <c r="AF235" i="2"/>
  <c r="AC235" i="2"/>
  <c r="Z235" i="2"/>
  <c r="W235" i="2"/>
  <c r="T235" i="2"/>
  <c r="Q235" i="2"/>
  <c r="N235" i="2"/>
  <c r="K235" i="2"/>
  <c r="AF234" i="2"/>
  <c r="AC234" i="2"/>
  <c r="Z234" i="2"/>
  <c r="W234" i="2"/>
  <c r="T234" i="2"/>
  <c r="Q234" i="2"/>
  <c r="N234" i="2"/>
  <c r="K234" i="2"/>
  <c r="AF233" i="2"/>
  <c r="AC233" i="2"/>
  <c r="Z233" i="2"/>
  <c r="W233" i="2"/>
  <c r="T233" i="2"/>
  <c r="Q233" i="2"/>
  <c r="N233" i="2"/>
  <c r="K233" i="2"/>
  <c r="AF232" i="2"/>
  <c r="AC232" i="2"/>
  <c r="Z232" i="2"/>
  <c r="W232" i="2"/>
  <c r="T232" i="2"/>
  <c r="Q232" i="2"/>
  <c r="N232" i="2"/>
  <c r="K232" i="2"/>
  <c r="AF231" i="2"/>
  <c r="AC231" i="2"/>
  <c r="Z231" i="2"/>
  <c r="W231" i="2"/>
  <c r="T231" i="2"/>
  <c r="Q231" i="2"/>
  <c r="N231" i="2"/>
  <c r="K231" i="2"/>
  <c r="AF230" i="2"/>
  <c r="AC230" i="2"/>
  <c r="Z230" i="2"/>
  <c r="W230" i="2"/>
  <c r="T230" i="2"/>
  <c r="Q230" i="2"/>
  <c r="N230" i="2"/>
  <c r="K230" i="2"/>
  <c r="AF229" i="2"/>
  <c r="AC229" i="2"/>
  <c r="Z229" i="2"/>
  <c r="W229" i="2"/>
  <c r="T229" i="2"/>
  <c r="Q229" i="2"/>
  <c r="N229" i="2"/>
  <c r="K229" i="2"/>
  <c r="AF228" i="2"/>
  <c r="AC228" i="2"/>
  <c r="Z228" i="2"/>
  <c r="W228" i="2"/>
  <c r="T228" i="2"/>
  <c r="Q228" i="2"/>
  <c r="N228" i="2"/>
  <c r="K228" i="2"/>
  <c r="AF227" i="2"/>
  <c r="AC227" i="2"/>
  <c r="Z227" i="2"/>
  <c r="W227" i="2"/>
  <c r="T227" i="2"/>
  <c r="Q227" i="2"/>
  <c r="N227" i="2"/>
  <c r="K227" i="2"/>
  <c r="AF226" i="2"/>
  <c r="AC226" i="2"/>
  <c r="Z226" i="2"/>
  <c r="W226" i="2"/>
  <c r="T226" i="2"/>
  <c r="Q226" i="2"/>
  <c r="N226" i="2"/>
  <c r="K226" i="2"/>
  <c r="AF225" i="2"/>
  <c r="AC225" i="2"/>
  <c r="Z225" i="2"/>
  <c r="W225" i="2"/>
  <c r="T225" i="2"/>
  <c r="Q225" i="2"/>
  <c r="N225" i="2"/>
  <c r="K225" i="2"/>
  <c r="AF224" i="2"/>
  <c r="AC224" i="2"/>
  <c r="Z224" i="2"/>
  <c r="W224" i="2"/>
  <c r="T224" i="2"/>
  <c r="Q224" i="2"/>
  <c r="N224" i="2"/>
  <c r="K224" i="2"/>
  <c r="AF223" i="2"/>
  <c r="AC223" i="2"/>
  <c r="Z223" i="2"/>
  <c r="W223" i="2"/>
  <c r="T223" i="2"/>
  <c r="Q223" i="2"/>
  <c r="N223" i="2"/>
  <c r="K223" i="2"/>
  <c r="AF222" i="2"/>
  <c r="AC222" i="2"/>
  <c r="Z222" i="2"/>
  <c r="W222" i="2"/>
  <c r="T222" i="2"/>
  <c r="Q222" i="2"/>
  <c r="N222" i="2"/>
  <c r="K222" i="2"/>
  <c r="AF221" i="2"/>
  <c r="AC221" i="2"/>
  <c r="Z221" i="2"/>
  <c r="W221" i="2"/>
  <c r="T221" i="2"/>
  <c r="Q221" i="2"/>
  <c r="N221" i="2"/>
  <c r="K221" i="2"/>
  <c r="AF220" i="2"/>
  <c r="AC220" i="2"/>
  <c r="Z220" i="2"/>
  <c r="W220" i="2"/>
  <c r="T220" i="2"/>
  <c r="Q220" i="2"/>
  <c r="N220" i="2"/>
  <c r="K220" i="2"/>
  <c r="AF219" i="2"/>
  <c r="AC219" i="2"/>
  <c r="Z219" i="2"/>
  <c r="W219" i="2"/>
  <c r="T219" i="2"/>
  <c r="Q219" i="2"/>
  <c r="N219" i="2"/>
  <c r="K219" i="2"/>
  <c r="AF218" i="2"/>
  <c r="AC218" i="2"/>
  <c r="Z218" i="2"/>
  <c r="W218" i="2"/>
  <c r="T218" i="2"/>
  <c r="Q218" i="2"/>
  <c r="N218" i="2"/>
  <c r="K218" i="2"/>
  <c r="AF217" i="2"/>
  <c r="AC217" i="2"/>
  <c r="Z217" i="2"/>
  <c r="W217" i="2"/>
  <c r="T217" i="2"/>
  <c r="Q217" i="2"/>
  <c r="N217" i="2"/>
  <c r="K217" i="2"/>
  <c r="AF216" i="2"/>
  <c r="AC216" i="2"/>
  <c r="Z216" i="2"/>
  <c r="W216" i="2"/>
  <c r="T216" i="2"/>
  <c r="Q216" i="2"/>
  <c r="N216" i="2"/>
  <c r="K216" i="2"/>
  <c r="AF215" i="2"/>
  <c r="AC215" i="2"/>
  <c r="Z215" i="2"/>
  <c r="W215" i="2"/>
  <c r="T215" i="2"/>
  <c r="Q215" i="2"/>
  <c r="N215" i="2"/>
  <c r="K215" i="2"/>
  <c r="AF214" i="2"/>
  <c r="AC214" i="2"/>
  <c r="Z214" i="2"/>
  <c r="W214" i="2"/>
  <c r="T214" i="2"/>
  <c r="Q214" i="2"/>
  <c r="N214" i="2"/>
  <c r="K214" i="2"/>
  <c r="AF213" i="2"/>
  <c r="AC213" i="2"/>
  <c r="Z213" i="2"/>
  <c r="W213" i="2"/>
  <c r="T213" i="2"/>
  <c r="Q213" i="2"/>
  <c r="N213" i="2"/>
  <c r="K213" i="2"/>
  <c r="AF212" i="2"/>
  <c r="AC212" i="2"/>
  <c r="Z212" i="2"/>
  <c r="W212" i="2"/>
  <c r="T212" i="2"/>
  <c r="Q212" i="2"/>
  <c r="N212" i="2"/>
  <c r="K212" i="2"/>
  <c r="AF211" i="2"/>
  <c r="AC211" i="2"/>
  <c r="Z211" i="2"/>
  <c r="W211" i="2"/>
  <c r="T211" i="2"/>
  <c r="Q211" i="2"/>
  <c r="N211" i="2"/>
  <c r="K211" i="2"/>
  <c r="AF210" i="2"/>
  <c r="AC210" i="2"/>
  <c r="Z210" i="2"/>
  <c r="W210" i="2"/>
  <c r="T210" i="2"/>
  <c r="Q210" i="2"/>
  <c r="N210" i="2"/>
  <c r="K210" i="2"/>
  <c r="AF209" i="2"/>
  <c r="AC209" i="2"/>
  <c r="Z209" i="2"/>
  <c r="W209" i="2"/>
  <c r="T209" i="2"/>
  <c r="Q209" i="2"/>
  <c r="N209" i="2"/>
  <c r="K209" i="2"/>
  <c r="AF208" i="2"/>
  <c r="AC208" i="2"/>
  <c r="Z208" i="2"/>
  <c r="W208" i="2"/>
  <c r="T208" i="2"/>
  <c r="Q208" i="2"/>
  <c r="N208" i="2"/>
  <c r="K208" i="2"/>
  <c r="AF207" i="2"/>
  <c r="AC207" i="2"/>
  <c r="Z207" i="2"/>
  <c r="W207" i="2"/>
  <c r="T207" i="2"/>
  <c r="Q207" i="2"/>
  <c r="N207" i="2"/>
  <c r="K207" i="2"/>
  <c r="AF206" i="2"/>
  <c r="AC206" i="2"/>
  <c r="Z206" i="2"/>
  <c r="W206" i="2"/>
  <c r="T206" i="2"/>
  <c r="Q206" i="2"/>
  <c r="N206" i="2"/>
  <c r="K206" i="2"/>
  <c r="AF205" i="2"/>
  <c r="AC205" i="2"/>
  <c r="Z205" i="2"/>
  <c r="W205" i="2"/>
  <c r="T205" i="2"/>
  <c r="Q205" i="2"/>
  <c r="N205" i="2"/>
  <c r="K205" i="2"/>
  <c r="AF204" i="2"/>
  <c r="AC204" i="2"/>
  <c r="Z204" i="2"/>
  <c r="W204" i="2"/>
  <c r="T204" i="2"/>
  <c r="Q204" i="2"/>
  <c r="N204" i="2"/>
  <c r="K204" i="2"/>
  <c r="AF203" i="2"/>
  <c r="AC203" i="2"/>
  <c r="Z203" i="2"/>
  <c r="W203" i="2"/>
  <c r="T203" i="2"/>
  <c r="Q203" i="2"/>
  <c r="N203" i="2"/>
  <c r="K203" i="2"/>
  <c r="AF202" i="2"/>
  <c r="AC202" i="2"/>
  <c r="Z202" i="2"/>
  <c r="W202" i="2"/>
  <c r="T202" i="2"/>
  <c r="Q202" i="2"/>
  <c r="N202" i="2"/>
  <c r="K202" i="2"/>
  <c r="AF201" i="2"/>
  <c r="AC201" i="2"/>
  <c r="Z201" i="2"/>
  <c r="W201" i="2"/>
  <c r="T201" i="2"/>
  <c r="Q201" i="2"/>
  <c r="N201" i="2"/>
  <c r="K201" i="2"/>
  <c r="AF200" i="2"/>
  <c r="AC200" i="2"/>
  <c r="Z200" i="2"/>
  <c r="W200" i="2"/>
  <c r="T200" i="2"/>
  <c r="Q200" i="2"/>
  <c r="N200" i="2"/>
  <c r="K200" i="2"/>
  <c r="AF199" i="2"/>
  <c r="AC199" i="2"/>
  <c r="Z199" i="2"/>
  <c r="W199" i="2"/>
  <c r="T199" i="2"/>
  <c r="Q199" i="2"/>
  <c r="N199" i="2"/>
  <c r="K199" i="2"/>
  <c r="AF198" i="2"/>
  <c r="AC198" i="2"/>
  <c r="Z198" i="2"/>
  <c r="W198" i="2"/>
  <c r="T198" i="2"/>
  <c r="Q198" i="2"/>
  <c r="N198" i="2"/>
  <c r="K198" i="2"/>
  <c r="AF197" i="2"/>
  <c r="AC197" i="2"/>
  <c r="Z197" i="2"/>
  <c r="W197" i="2"/>
  <c r="T197" i="2"/>
  <c r="Q197" i="2"/>
  <c r="N197" i="2"/>
  <c r="K197" i="2"/>
  <c r="AF196" i="2"/>
  <c r="AC196" i="2"/>
  <c r="Z196" i="2"/>
  <c r="W196" i="2"/>
  <c r="T196" i="2"/>
  <c r="Q196" i="2"/>
  <c r="N196" i="2"/>
  <c r="K196" i="2"/>
  <c r="AF195" i="2"/>
  <c r="AC195" i="2"/>
  <c r="Z195" i="2"/>
  <c r="W195" i="2"/>
  <c r="T195" i="2"/>
  <c r="Q195" i="2"/>
  <c r="N195" i="2"/>
  <c r="K195" i="2"/>
  <c r="AF194" i="2"/>
  <c r="AC194" i="2"/>
  <c r="Z194" i="2"/>
  <c r="W194" i="2"/>
  <c r="T194" i="2"/>
  <c r="Q194" i="2"/>
  <c r="N194" i="2"/>
  <c r="K194" i="2"/>
  <c r="AF193" i="2"/>
  <c r="AC193" i="2"/>
  <c r="Z193" i="2"/>
  <c r="W193" i="2"/>
  <c r="T193" i="2"/>
  <c r="Q193" i="2"/>
  <c r="N193" i="2"/>
  <c r="K193" i="2"/>
  <c r="AF192" i="2"/>
  <c r="AC192" i="2"/>
  <c r="Z192" i="2"/>
  <c r="W192" i="2"/>
  <c r="T192" i="2"/>
  <c r="Q192" i="2"/>
  <c r="N192" i="2"/>
  <c r="K192" i="2"/>
  <c r="AF191" i="2"/>
  <c r="AC191" i="2"/>
  <c r="Z191" i="2"/>
  <c r="W191" i="2"/>
  <c r="T191" i="2"/>
  <c r="Q191" i="2"/>
  <c r="N191" i="2"/>
  <c r="K191" i="2"/>
  <c r="AF190" i="2"/>
  <c r="AC190" i="2"/>
  <c r="Z190" i="2"/>
  <c r="W190" i="2"/>
  <c r="T190" i="2"/>
  <c r="Q190" i="2"/>
  <c r="N190" i="2"/>
  <c r="K190" i="2"/>
  <c r="AF189" i="2"/>
  <c r="AC189" i="2"/>
  <c r="Z189" i="2"/>
  <c r="W189" i="2"/>
  <c r="T189" i="2"/>
  <c r="Q189" i="2"/>
  <c r="N189" i="2"/>
  <c r="K189" i="2"/>
  <c r="AF188" i="2"/>
  <c r="AC188" i="2"/>
  <c r="Z188" i="2"/>
  <c r="W188" i="2"/>
  <c r="T188" i="2"/>
  <c r="Q188" i="2"/>
  <c r="N188" i="2"/>
  <c r="K188" i="2"/>
  <c r="AF187" i="2"/>
  <c r="AC187" i="2"/>
  <c r="Z187" i="2"/>
  <c r="W187" i="2"/>
  <c r="T187" i="2"/>
  <c r="Q187" i="2"/>
  <c r="N187" i="2"/>
  <c r="K187" i="2"/>
  <c r="AF186" i="2"/>
  <c r="AC186" i="2"/>
  <c r="Z186" i="2"/>
  <c r="W186" i="2"/>
  <c r="T186" i="2"/>
  <c r="Q186" i="2"/>
  <c r="N186" i="2"/>
  <c r="K186" i="2"/>
  <c r="AF185" i="2"/>
  <c r="AC185" i="2"/>
  <c r="Z185" i="2"/>
  <c r="W185" i="2"/>
  <c r="T185" i="2"/>
  <c r="Q185" i="2"/>
  <c r="N185" i="2"/>
  <c r="K185" i="2"/>
  <c r="AF184" i="2"/>
  <c r="AC184" i="2"/>
  <c r="Z184" i="2"/>
  <c r="W184" i="2"/>
  <c r="T184" i="2"/>
  <c r="Q184" i="2"/>
  <c r="N184" i="2"/>
  <c r="K184" i="2"/>
  <c r="AF183" i="2"/>
  <c r="AC183" i="2"/>
  <c r="Z183" i="2"/>
  <c r="W183" i="2"/>
  <c r="T183" i="2"/>
  <c r="Q183" i="2"/>
  <c r="N183" i="2"/>
  <c r="K183" i="2"/>
  <c r="AF182" i="2"/>
  <c r="AC182" i="2"/>
  <c r="Z182" i="2"/>
  <c r="W182" i="2"/>
  <c r="T182" i="2"/>
  <c r="Q182" i="2"/>
  <c r="N182" i="2"/>
  <c r="K182" i="2"/>
  <c r="AF181" i="2"/>
  <c r="AC181" i="2"/>
  <c r="Z181" i="2"/>
  <c r="W181" i="2"/>
  <c r="T181" i="2"/>
  <c r="Q181" i="2"/>
  <c r="N181" i="2"/>
  <c r="K181" i="2"/>
  <c r="AF180" i="2"/>
  <c r="AC180" i="2"/>
  <c r="Z180" i="2"/>
  <c r="W180" i="2"/>
  <c r="T180" i="2"/>
  <c r="Q180" i="2"/>
  <c r="N180" i="2"/>
  <c r="K180" i="2"/>
  <c r="AF179" i="2"/>
  <c r="AC179" i="2"/>
  <c r="Z179" i="2"/>
  <c r="W179" i="2"/>
  <c r="T179" i="2"/>
  <c r="Q179" i="2"/>
  <c r="N179" i="2"/>
  <c r="K179" i="2"/>
  <c r="AF178" i="2"/>
  <c r="AC178" i="2"/>
  <c r="Z178" i="2"/>
  <c r="W178" i="2"/>
  <c r="T178" i="2"/>
  <c r="Q178" i="2"/>
  <c r="N178" i="2"/>
  <c r="K178" i="2"/>
  <c r="AF177" i="2"/>
  <c r="AC177" i="2"/>
  <c r="Z177" i="2"/>
  <c r="W177" i="2"/>
  <c r="T177" i="2"/>
  <c r="Q177" i="2"/>
  <c r="N177" i="2"/>
  <c r="K177" i="2"/>
  <c r="AF176" i="2"/>
  <c r="AC176" i="2"/>
  <c r="Z176" i="2"/>
  <c r="W176" i="2"/>
  <c r="T176" i="2"/>
  <c r="Q176" i="2"/>
  <c r="N176" i="2"/>
  <c r="K176" i="2"/>
  <c r="AF175" i="2"/>
  <c r="AC175" i="2"/>
  <c r="Z175" i="2"/>
  <c r="W175" i="2"/>
  <c r="T175" i="2"/>
  <c r="Q175" i="2"/>
  <c r="N175" i="2"/>
  <c r="K175" i="2"/>
  <c r="AF174" i="2"/>
  <c r="AC174" i="2"/>
  <c r="Z174" i="2"/>
  <c r="W174" i="2"/>
  <c r="T174" i="2"/>
  <c r="Q174" i="2"/>
  <c r="N174" i="2"/>
  <c r="K174" i="2"/>
  <c r="AF173" i="2"/>
  <c r="AC173" i="2"/>
  <c r="Z173" i="2"/>
  <c r="W173" i="2"/>
  <c r="T173" i="2"/>
  <c r="Q173" i="2"/>
  <c r="N173" i="2"/>
  <c r="K173" i="2"/>
  <c r="AF172" i="2"/>
  <c r="AC172" i="2"/>
  <c r="Z172" i="2"/>
  <c r="W172" i="2"/>
  <c r="T172" i="2"/>
  <c r="Q172" i="2"/>
  <c r="N172" i="2"/>
  <c r="K172" i="2"/>
  <c r="AF171" i="2"/>
  <c r="AC171" i="2"/>
  <c r="Z171" i="2"/>
  <c r="W171" i="2"/>
  <c r="T171" i="2"/>
  <c r="Q171" i="2"/>
  <c r="N171" i="2"/>
  <c r="K171" i="2"/>
  <c r="AF170" i="2"/>
  <c r="AC170" i="2"/>
  <c r="Z170" i="2"/>
  <c r="W170" i="2"/>
  <c r="T170" i="2"/>
  <c r="Q170" i="2"/>
  <c r="N170" i="2"/>
  <c r="K170" i="2"/>
  <c r="AF169" i="2"/>
  <c r="AC169" i="2"/>
  <c r="Z169" i="2"/>
  <c r="W169" i="2"/>
  <c r="T169" i="2"/>
  <c r="Q169" i="2"/>
  <c r="N169" i="2"/>
  <c r="K169" i="2"/>
  <c r="AF168" i="2"/>
  <c r="AC168" i="2"/>
  <c r="Z168" i="2"/>
  <c r="W168" i="2"/>
  <c r="T168" i="2"/>
  <c r="Q168" i="2"/>
  <c r="N168" i="2"/>
  <c r="K168" i="2"/>
  <c r="AF167" i="2"/>
  <c r="AC167" i="2"/>
  <c r="Z167" i="2"/>
  <c r="W167" i="2"/>
  <c r="T167" i="2"/>
  <c r="Q167" i="2"/>
  <c r="N167" i="2"/>
  <c r="K167" i="2"/>
  <c r="AF166" i="2"/>
  <c r="AC166" i="2"/>
  <c r="Z166" i="2"/>
  <c r="W166" i="2"/>
  <c r="T166" i="2"/>
  <c r="Q166" i="2"/>
  <c r="N166" i="2"/>
  <c r="K166" i="2"/>
  <c r="AF165" i="2"/>
  <c r="AC165" i="2"/>
  <c r="Z165" i="2"/>
  <c r="W165" i="2"/>
  <c r="T165" i="2"/>
  <c r="Q165" i="2"/>
  <c r="N165" i="2"/>
  <c r="K165" i="2"/>
  <c r="AF164" i="2"/>
  <c r="AC164" i="2"/>
  <c r="Z164" i="2"/>
  <c r="W164" i="2"/>
  <c r="T164" i="2"/>
  <c r="Q164" i="2"/>
  <c r="N164" i="2"/>
  <c r="K164" i="2"/>
  <c r="AF163" i="2"/>
  <c r="AC163" i="2"/>
  <c r="Z163" i="2"/>
  <c r="W163" i="2"/>
  <c r="T163" i="2"/>
  <c r="Q163" i="2"/>
  <c r="N163" i="2"/>
  <c r="K163" i="2"/>
  <c r="AF162" i="2"/>
  <c r="AC162" i="2"/>
  <c r="Z162" i="2"/>
  <c r="W162" i="2"/>
  <c r="T162" i="2"/>
  <c r="Q162" i="2"/>
  <c r="N162" i="2"/>
  <c r="K162" i="2"/>
  <c r="AF161" i="2"/>
  <c r="AC161" i="2"/>
  <c r="Z161" i="2"/>
  <c r="W161" i="2"/>
  <c r="T161" i="2"/>
  <c r="Q161" i="2"/>
  <c r="N161" i="2"/>
  <c r="K161" i="2"/>
  <c r="AF160" i="2"/>
  <c r="AC160" i="2"/>
  <c r="Z160" i="2"/>
  <c r="W160" i="2"/>
  <c r="T160" i="2"/>
  <c r="Q160" i="2"/>
  <c r="N160" i="2"/>
  <c r="K160" i="2"/>
  <c r="AF159" i="2"/>
  <c r="AC159" i="2"/>
  <c r="Z159" i="2"/>
  <c r="W159" i="2"/>
  <c r="T159" i="2"/>
  <c r="Q159" i="2"/>
  <c r="N159" i="2"/>
  <c r="K159" i="2"/>
  <c r="AF158" i="2"/>
  <c r="AC158" i="2"/>
  <c r="Z158" i="2"/>
  <c r="W158" i="2"/>
  <c r="T158" i="2"/>
  <c r="Q158" i="2"/>
  <c r="N158" i="2"/>
  <c r="K158" i="2"/>
  <c r="AF157" i="2"/>
  <c r="AC157" i="2"/>
  <c r="Z157" i="2"/>
  <c r="W157" i="2"/>
  <c r="T157" i="2"/>
  <c r="Q157" i="2"/>
  <c r="N157" i="2"/>
  <c r="K157" i="2"/>
  <c r="AF156" i="2"/>
  <c r="AC156" i="2"/>
  <c r="Z156" i="2"/>
  <c r="W156" i="2"/>
  <c r="T156" i="2"/>
  <c r="Q156" i="2"/>
  <c r="N156" i="2"/>
  <c r="K156" i="2"/>
  <c r="AF155" i="2"/>
  <c r="AC155" i="2"/>
  <c r="Z155" i="2"/>
  <c r="W155" i="2"/>
  <c r="T155" i="2"/>
  <c r="Q155" i="2"/>
  <c r="N155" i="2"/>
  <c r="K155" i="2"/>
  <c r="AF154" i="2"/>
  <c r="AC154" i="2"/>
  <c r="Z154" i="2"/>
  <c r="W154" i="2"/>
  <c r="T154" i="2"/>
  <c r="Q154" i="2"/>
  <c r="N154" i="2"/>
  <c r="K154" i="2"/>
  <c r="AF153" i="2"/>
  <c r="AC153" i="2"/>
  <c r="Z153" i="2"/>
  <c r="W153" i="2"/>
  <c r="T153" i="2"/>
  <c r="Q153" i="2"/>
  <c r="N153" i="2"/>
  <c r="K153" i="2"/>
  <c r="AF152" i="2"/>
  <c r="AC152" i="2"/>
  <c r="Z152" i="2"/>
  <c r="W152" i="2"/>
  <c r="T152" i="2"/>
  <c r="Q152" i="2"/>
  <c r="N152" i="2"/>
  <c r="K152" i="2"/>
  <c r="AF151" i="2"/>
  <c r="AC151" i="2"/>
  <c r="Z151" i="2"/>
  <c r="W151" i="2"/>
  <c r="T151" i="2"/>
  <c r="Q151" i="2"/>
  <c r="N151" i="2"/>
  <c r="K151" i="2"/>
  <c r="AF150" i="2"/>
  <c r="AC150" i="2"/>
  <c r="Z150" i="2"/>
  <c r="W150" i="2"/>
  <c r="T150" i="2"/>
  <c r="Q150" i="2"/>
  <c r="N150" i="2"/>
  <c r="K150" i="2"/>
  <c r="AF149" i="2"/>
  <c r="AC149" i="2"/>
  <c r="Z149" i="2"/>
  <c r="W149" i="2"/>
  <c r="T149" i="2"/>
  <c r="Q149" i="2"/>
  <c r="N149" i="2"/>
  <c r="K149" i="2"/>
  <c r="AF148" i="2"/>
  <c r="AC148" i="2"/>
  <c r="Z148" i="2"/>
  <c r="W148" i="2"/>
  <c r="T148" i="2"/>
  <c r="Q148" i="2"/>
  <c r="N148" i="2"/>
  <c r="K148" i="2"/>
  <c r="AF147" i="2"/>
  <c r="AC147" i="2"/>
  <c r="Z147" i="2"/>
  <c r="W147" i="2"/>
  <c r="T147" i="2"/>
  <c r="Q147" i="2"/>
  <c r="N147" i="2"/>
  <c r="K147" i="2"/>
  <c r="AF146" i="2"/>
  <c r="AC146" i="2"/>
  <c r="Z146" i="2"/>
  <c r="W146" i="2"/>
  <c r="T146" i="2"/>
  <c r="Q146" i="2"/>
  <c r="N146" i="2"/>
  <c r="K146" i="2"/>
  <c r="AF145" i="2"/>
  <c r="AC145" i="2"/>
  <c r="Z145" i="2"/>
  <c r="W145" i="2"/>
  <c r="T145" i="2"/>
  <c r="Q145" i="2"/>
  <c r="N145" i="2"/>
  <c r="K145" i="2"/>
  <c r="AF144" i="2"/>
  <c r="AC144" i="2"/>
  <c r="Z144" i="2"/>
  <c r="W144" i="2"/>
  <c r="T144" i="2"/>
  <c r="Q144" i="2"/>
  <c r="N144" i="2"/>
  <c r="K144" i="2"/>
  <c r="AF143" i="2"/>
  <c r="AC143" i="2"/>
  <c r="Z143" i="2"/>
  <c r="W143" i="2"/>
  <c r="T143" i="2"/>
  <c r="Q143" i="2"/>
  <c r="N143" i="2"/>
  <c r="K143" i="2"/>
  <c r="AF142" i="2"/>
  <c r="AC142" i="2"/>
  <c r="Z142" i="2"/>
  <c r="W142" i="2"/>
  <c r="T142" i="2"/>
  <c r="Q142" i="2"/>
  <c r="N142" i="2"/>
  <c r="K142" i="2"/>
  <c r="AF141" i="2"/>
  <c r="AC141" i="2"/>
  <c r="Z141" i="2"/>
  <c r="W141" i="2"/>
  <c r="T141" i="2"/>
  <c r="Q141" i="2"/>
  <c r="N141" i="2"/>
  <c r="K141" i="2"/>
  <c r="AF140" i="2"/>
  <c r="AC140" i="2"/>
  <c r="Z140" i="2"/>
  <c r="W140" i="2"/>
  <c r="T140" i="2"/>
  <c r="Q140" i="2"/>
  <c r="N140" i="2"/>
  <c r="K140" i="2"/>
  <c r="AF139" i="2"/>
  <c r="AC139" i="2"/>
  <c r="Z139" i="2"/>
  <c r="W139" i="2"/>
  <c r="T139" i="2"/>
  <c r="Q139" i="2"/>
  <c r="N139" i="2"/>
  <c r="K139" i="2"/>
  <c r="AF138" i="2"/>
  <c r="AC138" i="2"/>
  <c r="Z138" i="2"/>
  <c r="W138" i="2"/>
  <c r="T138" i="2"/>
  <c r="Q138" i="2"/>
  <c r="N138" i="2"/>
  <c r="K138" i="2"/>
  <c r="AF137" i="2"/>
  <c r="AC137" i="2"/>
  <c r="Z137" i="2"/>
  <c r="W137" i="2"/>
  <c r="T137" i="2"/>
  <c r="Q137" i="2"/>
  <c r="N137" i="2"/>
  <c r="K137" i="2"/>
  <c r="AF136" i="2"/>
  <c r="AC136" i="2"/>
  <c r="Z136" i="2"/>
  <c r="W136" i="2"/>
  <c r="T136" i="2"/>
  <c r="Q136" i="2"/>
  <c r="N136" i="2"/>
  <c r="K136" i="2"/>
  <c r="AF135" i="2"/>
  <c r="AC135" i="2"/>
  <c r="Z135" i="2"/>
  <c r="W135" i="2"/>
  <c r="T135" i="2"/>
  <c r="Q135" i="2"/>
  <c r="N135" i="2"/>
  <c r="K135" i="2"/>
  <c r="AF134" i="2"/>
  <c r="AC134" i="2"/>
  <c r="Z134" i="2"/>
  <c r="W134" i="2"/>
  <c r="T134" i="2"/>
  <c r="Q134" i="2"/>
  <c r="N134" i="2"/>
  <c r="K134" i="2"/>
  <c r="AF133" i="2"/>
  <c r="AC133" i="2"/>
  <c r="Z133" i="2"/>
  <c r="W133" i="2"/>
  <c r="T133" i="2"/>
  <c r="Q133" i="2"/>
  <c r="N133" i="2"/>
  <c r="K133" i="2"/>
  <c r="AF132" i="2"/>
  <c r="AC132" i="2"/>
  <c r="Z132" i="2"/>
  <c r="W132" i="2"/>
  <c r="T132" i="2"/>
  <c r="Q132" i="2"/>
  <c r="N132" i="2"/>
  <c r="K132" i="2"/>
  <c r="AF131" i="2"/>
  <c r="AC131" i="2"/>
  <c r="Z131" i="2"/>
  <c r="W131" i="2"/>
  <c r="T131" i="2"/>
  <c r="Q131" i="2"/>
  <c r="N131" i="2"/>
  <c r="K131" i="2"/>
  <c r="AF130" i="2"/>
  <c r="AC130" i="2"/>
  <c r="Z130" i="2"/>
  <c r="W130" i="2"/>
  <c r="T130" i="2"/>
  <c r="Q130" i="2"/>
  <c r="N130" i="2"/>
  <c r="K130" i="2"/>
  <c r="AF129" i="2"/>
  <c r="AC129" i="2"/>
  <c r="Z129" i="2"/>
  <c r="W129" i="2"/>
  <c r="T129" i="2"/>
  <c r="Q129" i="2"/>
  <c r="N129" i="2"/>
  <c r="K129" i="2"/>
  <c r="AF128" i="2"/>
  <c r="AC128" i="2"/>
  <c r="Z128" i="2"/>
  <c r="W128" i="2"/>
  <c r="T128" i="2"/>
  <c r="Q128" i="2"/>
  <c r="N128" i="2"/>
  <c r="K128" i="2"/>
  <c r="AF127" i="2"/>
  <c r="AC127" i="2"/>
  <c r="Z127" i="2"/>
  <c r="W127" i="2"/>
  <c r="T127" i="2"/>
  <c r="Q127" i="2"/>
  <c r="N127" i="2"/>
  <c r="K127" i="2"/>
  <c r="AF126" i="2"/>
  <c r="AC126" i="2"/>
  <c r="Z126" i="2"/>
  <c r="W126" i="2"/>
  <c r="T126" i="2"/>
  <c r="Q126" i="2"/>
  <c r="N126" i="2"/>
  <c r="K126" i="2"/>
  <c r="AF125" i="2"/>
  <c r="AC125" i="2"/>
  <c r="Z125" i="2"/>
  <c r="W125" i="2"/>
  <c r="T125" i="2"/>
  <c r="Q125" i="2"/>
  <c r="N125" i="2"/>
  <c r="K125" i="2"/>
  <c r="AF124" i="2"/>
  <c r="AC124" i="2"/>
  <c r="Z124" i="2"/>
  <c r="W124" i="2"/>
  <c r="T124" i="2"/>
  <c r="Q124" i="2"/>
  <c r="N124" i="2"/>
  <c r="K124" i="2"/>
  <c r="AF123" i="2"/>
  <c r="AC123" i="2"/>
  <c r="Z123" i="2"/>
  <c r="W123" i="2"/>
  <c r="T123" i="2"/>
  <c r="Q123" i="2"/>
  <c r="N123" i="2"/>
  <c r="K123" i="2"/>
  <c r="AF122" i="2"/>
  <c r="AC122" i="2"/>
  <c r="Z122" i="2"/>
  <c r="W122" i="2"/>
  <c r="T122" i="2"/>
  <c r="Q122" i="2"/>
  <c r="N122" i="2"/>
  <c r="K122" i="2"/>
  <c r="AF121" i="2"/>
  <c r="AC121" i="2"/>
  <c r="Z121" i="2"/>
  <c r="W121" i="2"/>
  <c r="T121" i="2"/>
  <c r="Q121" i="2"/>
  <c r="N121" i="2"/>
  <c r="K121" i="2"/>
  <c r="AF120" i="2"/>
  <c r="AC120" i="2"/>
  <c r="Z120" i="2"/>
  <c r="W120" i="2"/>
  <c r="T120" i="2"/>
  <c r="Q120" i="2"/>
  <c r="N120" i="2"/>
  <c r="K120" i="2"/>
  <c r="AF119" i="2"/>
  <c r="AC119" i="2"/>
  <c r="Z119" i="2"/>
  <c r="W119" i="2"/>
  <c r="T119" i="2"/>
  <c r="Q119" i="2"/>
  <c r="N119" i="2"/>
  <c r="K119" i="2"/>
  <c r="AF118" i="2"/>
  <c r="AC118" i="2"/>
  <c r="Z118" i="2"/>
  <c r="W118" i="2"/>
  <c r="T118" i="2"/>
  <c r="Q118" i="2"/>
  <c r="N118" i="2"/>
  <c r="K118" i="2"/>
  <c r="AF117" i="2"/>
  <c r="AC117" i="2"/>
  <c r="Z117" i="2"/>
  <c r="W117" i="2"/>
  <c r="T117" i="2"/>
  <c r="Q117" i="2"/>
  <c r="N117" i="2"/>
  <c r="K117" i="2"/>
  <c r="AF116" i="2"/>
  <c r="AC116" i="2"/>
  <c r="Z116" i="2"/>
  <c r="W116" i="2"/>
  <c r="T116" i="2"/>
  <c r="Q116" i="2"/>
  <c r="N116" i="2"/>
  <c r="K116" i="2"/>
  <c r="AF115" i="2"/>
  <c r="AC115" i="2"/>
  <c r="Z115" i="2"/>
  <c r="W115" i="2"/>
  <c r="T115" i="2"/>
  <c r="Q115" i="2"/>
  <c r="N115" i="2"/>
  <c r="K115" i="2"/>
  <c r="AF114" i="2"/>
  <c r="AC114" i="2"/>
  <c r="Z114" i="2"/>
  <c r="W114" i="2"/>
  <c r="T114" i="2"/>
  <c r="Q114" i="2"/>
  <c r="N114" i="2"/>
  <c r="K114" i="2"/>
  <c r="AF113" i="2"/>
  <c r="AC113" i="2"/>
  <c r="Z113" i="2"/>
  <c r="W113" i="2"/>
  <c r="T113" i="2"/>
  <c r="Q113" i="2"/>
  <c r="N113" i="2"/>
  <c r="K113" i="2"/>
  <c r="AF112" i="2"/>
  <c r="AC112" i="2"/>
  <c r="Z112" i="2"/>
  <c r="W112" i="2"/>
  <c r="T112" i="2"/>
  <c r="Q112" i="2"/>
  <c r="N112" i="2"/>
  <c r="K112" i="2"/>
  <c r="AF111" i="2"/>
  <c r="AC111" i="2"/>
  <c r="Z111" i="2"/>
  <c r="W111" i="2"/>
  <c r="T111" i="2"/>
  <c r="Q111" i="2"/>
  <c r="N111" i="2"/>
  <c r="K111" i="2"/>
  <c r="AF110" i="2"/>
  <c r="AC110" i="2"/>
  <c r="Z110" i="2"/>
  <c r="W110" i="2"/>
  <c r="T110" i="2"/>
  <c r="Q110" i="2"/>
  <c r="N110" i="2"/>
  <c r="K110" i="2"/>
  <c r="AF109" i="2"/>
  <c r="AC109" i="2"/>
  <c r="Z109" i="2"/>
  <c r="W109" i="2"/>
  <c r="T109" i="2"/>
  <c r="Q109" i="2"/>
  <c r="N109" i="2"/>
  <c r="K109" i="2"/>
  <c r="AF108" i="2"/>
  <c r="AC108" i="2"/>
  <c r="Z108" i="2"/>
  <c r="W108" i="2"/>
  <c r="T108" i="2"/>
  <c r="Q108" i="2"/>
  <c r="N108" i="2"/>
  <c r="K108" i="2"/>
  <c r="AF107" i="2"/>
  <c r="AC107" i="2"/>
  <c r="Z107" i="2"/>
  <c r="W107" i="2"/>
  <c r="T107" i="2"/>
  <c r="Q107" i="2"/>
  <c r="N107" i="2"/>
  <c r="K107" i="2"/>
  <c r="AF106" i="2"/>
  <c r="AC106" i="2"/>
  <c r="Z106" i="2"/>
  <c r="W106" i="2"/>
  <c r="T106" i="2"/>
  <c r="Q106" i="2"/>
  <c r="N106" i="2"/>
  <c r="K106" i="2"/>
  <c r="AF105" i="2"/>
  <c r="AC105" i="2"/>
  <c r="Z105" i="2"/>
  <c r="W105" i="2"/>
  <c r="T105" i="2"/>
  <c r="Q105" i="2"/>
  <c r="N105" i="2"/>
  <c r="K105" i="2"/>
  <c r="AF104" i="2"/>
  <c r="AC104" i="2"/>
  <c r="Z104" i="2"/>
  <c r="W104" i="2"/>
  <c r="T104" i="2"/>
  <c r="Q104" i="2"/>
  <c r="N104" i="2"/>
  <c r="K104" i="2"/>
  <c r="AF103" i="2"/>
  <c r="AC103" i="2"/>
  <c r="Z103" i="2"/>
  <c r="W103" i="2"/>
  <c r="T103" i="2"/>
  <c r="Q103" i="2"/>
  <c r="N103" i="2"/>
  <c r="K103" i="2"/>
  <c r="AF102" i="2"/>
  <c r="AC102" i="2"/>
  <c r="Z102" i="2"/>
  <c r="W102" i="2"/>
  <c r="T102" i="2"/>
  <c r="Q102" i="2"/>
  <c r="N102" i="2"/>
  <c r="K102" i="2"/>
  <c r="AF101" i="2"/>
  <c r="AC101" i="2"/>
  <c r="Z101" i="2"/>
  <c r="W101" i="2"/>
  <c r="T101" i="2"/>
  <c r="Q101" i="2"/>
  <c r="N101" i="2"/>
  <c r="K101" i="2"/>
  <c r="AF100" i="2"/>
  <c r="AC100" i="2"/>
  <c r="Z100" i="2"/>
  <c r="W100" i="2"/>
  <c r="T100" i="2"/>
  <c r="Q100" i="2"/>
  <c r="N100" i="2"/>
  <c r="K100" i="2"/>
  <c r="AF99" i="2"/>
  <c r="AC99" i="2"/>
  <c r="Z99" i="2"/>
  <c r="W99" i="2"/>
  <c r="T99" i="2"/>
  <c r="Q99" i="2"/>
  <c r="N99" i="2"/>
  <c r="K99" i="2"/>
  <c r="AF98" i="2"/>
  <c r="AC98" i="2"/>
  <c r="Z98" i="2"/>
  <c r="W98" i="2"/>
  <c r="T98" i="2"/>
  <c r="Q98" i="2"/>
  <c r="N98" i="2"/>
  <c r="K98" i="2"/>
  <c r="AF97" i="2"/>
  <c r="AC97" i="2"/>
  <c r="Z97" i="2"/>
  <c r="W97" i="2"/>
  <c r="T97" i="2"/>
  <c r="Q97" i="2"/>
  <c r="N97" i="2"/>
  <c r="K97" i="2"/>
  <c r="AF96" i="2"/>
  <c r="AC96" i="2"/>
  <c r="Z96" i="2"/>
  <c r="W96" i="2"/>
  <c r="T96" i="2"/>
  <c r="Q96" i="2"/>
  <c r="N96" i="2"/>
  <c r="K96" i="2"/>
  <c r="AF95" i="2"/>
  <c r="AC95" i="2"/>
  <c r="Z95" i="2"/>
  <c r="W95" i="2"/>
  <c r="T95" i="2"/>
  <c r="Q95" i="2"/>
  <c r="N95" i="2"/>
  <c r="K95" i="2"/>
  <c r="AF94" i="2"/>
  <c r="AC94" i="2"/>
  <c r="Z94" i="2"/>
  <c r="W94" i="2"/>
  <c r="T94" i="2"/>
  <c r="Q94" i="2"/>
  <c r="N94" i="2"/>
  <c r="K94" i="2"/>
  <c r="AF93" i="2"/>
  <c r="AC93" i="2"/>
  <c r="Z93" i="2"/>
  <c r="W93" i="2"/>
  <c r="T93" i="2"/>
  <c r="Q93" i="2"/>
  <c r="N93" i="2"/>
  <c r="K93" i="2"/>
  <c r="AF92" i="2"/>
  <c r="AC92" i="2"/>
  <c r="Z92" i="2"/>
  <c r="W92" i="2"/>
  <c r="T92" i="2"/>
  <c r="Q92" i="2"/>
  <c r="N92" i="2"/>
  <c r="K92" i="2"/>
  <c r="AF91" i="2"/>
  <c r="AC91" i="2"/>
  <c r="Z91" i="2"/>
  <c r="W91" i="2"/>
  <c r="T91" i="2"/>
  <c r="Q91" i="2"/>
  <c r="N91" i="2"/>
  <c r="K91" i="2"/>
  <c r="AF90" i="2"/>
  <c r="AC90" i="2"/>
  <c r="Z90" i="2"/>
  <c r="W90" i="2"/>
  <c r="T90" i="2"/>
  <c r="Q90" i="2"/>
  <c r="N90" i="2"/>
  <c r="K90" i="2"/>
  <c r="AF89" i="2"/>
  <c r="AC89" i="2"/>
  <c r="Z89" i="2"/>
  <c r="W89" i="2"/>
  <c r="T89" i="2"/>
  <c r="Q89" i="2"/>
  <c r="N89" i="2"/>
  <c r="K89" i="2"/>
  <c r="AF88" i="2"/>
  <c r="AC88" i="2"/>
  <c r="Z88" i="2"/>
  <c r="W88" i="2"/>
  <c r="T88" i="2"/>
  <c r="Q88" i="2"/>
  <c r="N88" i="2"/>
  <c r="K88" i="2"/>
  <c r="AF87" i="2"/>
  <c r="AC87" i="2"/>
  <c r="Z87" i="2"/>
  <c r="W87" i="2"/>
  <c r="T87" i="2"/>
  <c r="Q87" i="2"/>
  <c r="N87" i="2"/>
  <c r="K87" i="2"/>
  <c r="AF86" i="2"/>
  <c r="AC86" i="2"/>
  <c r="Z86" i="2"/>
  <c r="W86" i="2"/>
  <c r="T86" i="2"/>
  <c r="Q86" i="2"/>
  <c r="N86" i="2"/>
  <c r="K86" i="2"/>
  <c r="AF85" i="2"/>
  <c r="AC85" i="2"/>
  <c r="Z85" i="2"/>
  <c r="W85" i="2"/>
  <c r="T85" i="2"/>
  <c r="Q85" i="2"/>
  <c r="N85" i="2"/>
  <c r="K85" i="2"/>
  <c r="AF84" i="2"/>
  <c r="AC84" i="2"/>
  <c r="Z84" i="2"/>
  <c r="W84" i="2"/>
  <c r="T84" i="2"/>
  <c r="Q84" i="2"/>
  <c r="N84" i="2"/>
  <c r="K84" i="2"/>
  <c r="AF83" i="2"/>
  <c r="AC83" i="2"/>
  <c r="Z83" i="2"/>
  <c r="W83" i="2"/>
  <c r="T83" i="2"/>
  <c r="Q83" i="2"/>
  <c r="N83" i="2"/>
  <c r="K83" i="2"/>
  <c r="AF82" i="2"/>
  <c r="AC82" i="2"/>
  <c r="Z82" i="2"/>
  <c r="W82" i="2"/>
  <c r="T82" i="2"/>
  <c r="Q82" i="2"/>
  <c r="N82" i="2"/>
  <c r="K82" i="2"/>
  <c r="AF81" i="2"/>
  <c r="AC81" i="2"/>
  <c r="Z81" i="2"/>
  <c r="W81" i="2"/>
  <c r="T81" i="2"/>
  <c r="Q81" i="2"/>
  <c r="N81" i="2"/>
  <c r="K81" i="2"/>
  <c r="AF80" i="2"/>
  <c r="AC80" i="2"/>
  <c r="Z80" i="2"/>
  <c r="W80" i="2"/>
  <c r="T80" i="2"/>
  <c r="Q80" i="2"/>
  <c r="N80" i="2"/>
  <c r="K80" i="2"/>
  <c r="AF79" i="2"/>
  <c r="AC79" i="2"/>
  <c r="Z79" i="2"/>
  <c r="W79" i="2"/>
  <c r="T79" i="2"/>
  <c r="Q79" i="2"/>
  <c r="N79" i="2"/>
  <c r="K79" i="2"/>
  <c r="AF78" i="2"/>
  <c r="AC78" i="2"/>
  <c r="Z78" i="2"/>
  <c r="W78" i="2"/>
  <c r="T78" i="2"/>
  <c r="Q78" i="2"/>
  <c r="N78" i="2"/>
  <c r="K78" i="2"/>
  <c r="AF77" i="2"/>
  <c r="AC77" i="2"/>
  <c r="Z77" i="2"/>
  <c r="W77" i="2"/>
  <c r="T77" i="2"/>
  <c r="Q77" i="2"/>
  <c r="N77" i="2"/>
  <c r="K77" i="2"/>
  <c r="AF76" i="2"/>
  <c r="AC76" i="2"/>
  <c r="Z76" i="2"/>
  <c r="W76" i="2"/>
  <c r="T76" i="2"/>
  <c r="Q76" i="2"/>
  <c r="N76" i="2"/>
  <c r="K76" i="2"/>
  <c r="AF75" i="2"/>
  <c r="AC75" i="2"/>
  <c r="Z75" i="2"/>
  <c r="W75" i="2"/>
  <c r="T75" i="2"/>
  <c r="Q75" i="2"/>
  <c r="N75" i="2"/>
  <c r="K75" i="2"/>
  <c r="AF74" i="2"/>
  <c r="AC74" i="2"/>
  <c r="Z74" i="2"/>
  <c r="W74" i="2"/>
  <c r="T74" i="2"/>
  <c r="Q74" i="2"/>
  <c r="N74" i="2"/>
  <c r="K74" i="2"/>
  <c r="AF73" i="2"/>
  <c r="AC73" i="2"/>
  <c r="Z73" i="2"/>
  <c r="W73" i="2"/>
  <c r="T73" i="2"/>
  <c r="Q73" i="2"/>
  <c r="N73" i="2"/>
  <c r="K73" i="2"/>
  <c r="AF72" i="2"/>
  <c r="AC72" i="2"/>
  <c r="Z72" i="2"/>
  <c r="W72" i="2"/>
  <c r="T72" i="2"/>
  <c r="Q72" i="2"/>
  <c r="N72" i="2"/>
  <c r="K72" i="2"/>
  <c r="AF71" i="2"/>
  <c r="AC71" i="2"/>
  <c r="Z71" i="2"/>
  <c r="W71" i="2"/>
  <c r="T71" i="2"/>
  <c r="Q71" i="2"/>
  <c r="N71" i="2"/>
  <c r="K71" i="2"/>
  <c r="AF70" i="2"/>
  <c r="AC70" i="2"/>
  <c r="Z70" i="2"/>
  <c r="W70" i="2"/>
  <c r="T70" i="2"/>
  <c r="Q70" i="2"/>
  <c r="N70" i="2"/>
  <c r="K70" i="2"/>
  <c r="AF69" i="2"/>
  <c r="AC69" i="2"/>
  <c r="Z69" i="2"/>
  <c r="W69" i="2"/>
  <c r="T69" i="2"/>
  <c r="Q69" i="2"/>
  <c r="N69" i="2"/>
  <c r="K69" i="2"/>
  <c r="AF68" i="2"/>
  <c r="AC68" i="2"/>
  <c r="Z68" i="2"/>
  <c r="W68" i="2"/>
  <c r="T68" i="2"/>
  <c r="Q68" i="2"/>
  <c r="N68" i="2"/>
  <c r="K68" i="2"/>
  <c r="AF67" i="2"/>
  <c r="AC67" i="2"/>
  <c r="Z67" i="2"/>
  <c r="W67" i="2"/>
  <c r="T67" i="2"/>
  <c r="Q67" i="2"/>
  <c r="N67" i="2"/>
  <c r="K67" i="2"/>
  <c r="AF66" i="2"/>
  <c r="AC66" i="2"/>
  <c r="Z66" i="2"/>
  <c r="W66" i="2"/>
  <c r="T66" i="2"/>
  <c r="Q66" i="2"/>
  <c r="N66" i="2"/>
  <c r="K66" i="2"/>
  <c r="AF65" i="2"/>
  <c r="AC65" i="2"/>
  <c r="Z65" i="2"/>
  <c r="W65" i="2"/>
  <c r="T65" i="2"/>
  <c r="Q65" i="2"/>
  <c r="N65" i="2"/>
  <c r="K65" i="2"/>
  <c r="AF64" i="2"/>
  <c r="AC64" i="2"/>
  <c r="Z64" i="2"/>
  <c r="W64" i="2"/>
  <c r="T64" i="2"/>
  <c r="Q64" i="2"/>
  <c r="N64" i="2"/>
  <c r="K64" i="2"/>
  <c r="AF63" i="2"/>
  <c r="AC63" i="2"/>
  <c r="Z63" i="2"/>
  <c r="W63" i="2"/>
  <c r="T63" i="2"/>
  <c r="Q63" i="2"/>
  <c r="N63" i="2"/>
  <c r="K63" i="2"/>
  <c r="AF62" i="2"/>
  <c r="AC62" i="2"/>
  <c r="Z62" i="2"/>
  <c r="W62" i="2"/>
  <c r="T62" i="2"/>
  <c r="Q62" i="2"/>
  <c r="N62" i="2"/>
  <c r="K62" i="2"/>
  <c r="AF61" i="2"/>
  <c r="AC61" i="2"/>
  <c r="Z61" i="2"/>
  <c r="W61" i="2"/>
  <c r="T61" i="2"/>
  <c r="Q61" i="2"/>
  <c r="N61" i="2"/>
  <c r="K61" i="2"/>
  <c r="AF60" i="2"/>
  <c r="AC60" i="2"/>
  <c r="Z60" i="2"/>
  <c r="W60" i="2"/>
  <c r="T60" i="2"/>
  <c r="Q60" i="2"/>
  <c r="N60" i="2"/>
  <c r="K60" i="2"/>
  <c r="AF59" i="2"/>
  <c r="AC59" i="2"/>
  <c r="Z59" i="2"/>
  <c r="W59" i="2"/>
  <c r="T59" i="2"/>
  <c r="Q59" i="2"/>
  <c r="N59" i="2"/>
  <c r="K59" i="2"/>
  <c r="AF58" i="2"/>
  <c r="AC58" i="2"/>
  <c r="Z58" i="2"/>
  <c r="W58" i="2"/>
  <c r="T58" i="2"/>
  <c r="Q58" i="2"/>
  <c r="N58" i="2"/>
  <c r="K58" i="2"/>
  <c r="AF57" i="2"/>
  <c r="AC57" i="2"/>
  <c r="Z57" i="2"/>
  <c r="W57" i="2"/>
  <c r="T57" i="2"/>
  <c r="Q57" i="2"/>
  <c r="N57" i="2"/>
  <c r="K57" i="2"/>
  <c r="AF56" i="2"/>
  <c r="AC56" i="2"/>
  <c r="Z56" i="2"/>
  <c r="W56" i="2"/>
  <c r="T56" i="2"/>
  <c r="Q56" i="2"/>
  <c r="N56" i="2"/>
  <c r="K56" i="2"/>
  <c r="AF55" i="2"/>
  <c r="AC55" i="2"/>
  <c r="Z55" i="2"/>
  <c r="W55" i="2"/>
  <c r="T55" i="2"/>
  <c r="Q55" i="2"/>
  <c r="N55" i="2"/>
  <c r="K55" i="2"/>
  <c r="AF54" i="2"/>
  <c r="AC54" i="2"/>
  <c r="Z54" i="2"/>
  <c r="W54" i="2"/>
  <c r="T54" i="2"/>
  <c r="Q54" i="2"/>
  <c r="N54" i="2"/>
  <c r="K54" i="2"/>
  <c r="AF53" i="2"/>
  <c r="AC53" i="2"/>
  <c r="Z53" i="2"/>
  <c r="W53" i="2"/>
  <c r="T53" i="2"/>
  <c r="Q53" i="2"/>
  <c r="N53" i="2"/>
  <c r="K53" i="2"/>
  <c r="AF52" i="2"/>
  <c r="AC52" i="2"/>
  <c r="Z52" i="2"/>
  <c r="W52" i="2"/>
  <c r="T52" i="2"/>
  <c r="Q52" i="2"/>
  <c r="N52" i="2"/>
  <c r="K52" i="2"/>
  <c r="AF51" i="2"/>
  <c r="AC51" i="2"/>
  <c r="Z51" i="2"/>
  <c r="W51" i="2"/>
  <c r="T51" i="2"/>
  <c r="Q51" i="2"/>
  <c r="N51" i="2"/>
  <c r="K51" i="2"/>
  <c r="AF50" i="2"/>
  <c r="AC50" i="2"/>
  <c r="Z50" i="2"/>
  <c r="W50" i="2"/>
  <c r="T50" i="2"/>
  <c r="Q50" i="2"/>
  <c r="N50" i="2"/>
  <c r="K50" i="2"/>
  <c r="AF49" i="2"/>
  <c r="AC49" i="2"/>
  <c r="Z49" i="2"/>
  <c r="W49" i="2"/>
  <c r="T49" i="2"/>
  <c r="Q49" i="2"/>
  <c r="N49" i="2"/>
  <c r="K49" i="2"/>
  <c r="AF48" i="2"/>
  <c r="AC48" i="2"/>
  <c r="Z48" i="2"/>
  <c r="W48" i="2"/>
  <c r="T48" i="2"/>
  <c r="Q48" i="2"/>
  <c r="N48" i="2"/>
  <c r="K48" i="2"/>
  <c r="AF47" i="2"/>
  <c r="AC47" i="2"/>
  <c r="Z47" i="2"/>
  <c r="W47" i="2"/>
  <c r="T47" i="2"/>
  <c r="Q47" i="2"/>
  <c r="N47" i="2"/>
  <c r="K47" i="2"/>
  <c r="AF46" i="2"/>
  <c r="AC46" i="2"/>
  <c r="Z46" i="2"/>
  <c r="W46" i="2"/>
  <c r="T46" i="2"/>
  <c r="Q46" i="2"/>
  <c r="N46" i="2"/>
  <c r="K46" i="2"/>
  <c r="AF45" i="2"/>
  <c r="AC45" i="2"/>
  <c r="Z45" i="2"/>
  <c r="W45" i="2"/>
  <c r="T45" i="2"/>
  <c r="Q45" i="2"/>
  <c r="N45" i="2"/>
  <c r="K45" i="2"/>
  <c r="AF44" i="2"/>
  <c r="AC44" i="2"/>
  <c r="Z44" i="2"/>
  <c r="W44" i="2"/>
  <c r="T44" i="2"/>
  <c r="Q44" i="2"/>
  <c r="N44" i="2"/>
  <c r="K44" i="2"/>
  <c r="AF43" i="2"/>
  <c r="AC43" i="2"/>
  <c r="Z43" i="2"/>
  <c r="W43" i="2"/>
  <c r="T43" i="2"/>
  <c r="Q43" i="2"/>
  <c r="N43" i="2"/>
  <c r="K43" i="2"/>
  <c r="AF42" i="2"/>
  <c r="AC42" i="2"/>
  <c r="Z42" i="2"/>
  <c r="W42" i="2"/>
  <c r="T42" i="2"/>
  <c r="Q42" i="2"/>
  <c r="N42" i="2"/>
  <c r="K42" i="2"/>
  <c r="AF41" i="2"/>
  <c r="AC41" i="2"/>
  <c r="Z41" i="2"/>
  <c r="W41" i="2"/>
  <c r="T41" i="2"/>
  <c r="Q41" i="2"/>
  <c r="N41" i="2"/>
  <c r="K41" i="2"/>
  <c r="AF40" i="2"/>
  <c r="AC40" i="2"/>
  <c r="Z40" i="2"/>
  <c r="W40" i="2"/>
  <c r="T40" i="2"/>
  <c r="Q40" i="2"/>
  <c r="N40" i="2"/>
  <c r="K40" i="2"/>
  <c r="AF39" i="2"/>
  <c r="AC39" i="2"/>
  <c r="Z39" i="2"/>
  <c r="W39" i="2"/>
  <c r="T39" i="2"/>
  <c r="Q39" i="2"/>
  <c r="N39" i="2"/>
  <c r="K39" i="2"/>
  <c r="AF38" i="2"/>
  <c r="AC38" i="2"/>
  <c r="Z38" i="2"/>
  <c r="W38" i="2"/>
  <c r="T38" i="2"/>
  <c r="Q38" i="2"/>
  <c r="N38" i="2"/>
  <c r="K38" i="2"/>
  <c r="AF37" i="2"/>
  <c r="AC37" i="2"/>
  <c r="Z37" i="2"/>
  <c r="W37" i="2"/>
  <c r="T37" i="2"/>
  <c r="Q37" i="2"/>
  <c r="N37" i="2"/>
  <c r="K37" i="2"/>
  <c r="AF36" i="2"/>
  <c r="AC36" i="2"/>
  <c r="Z36" i="2"/>
  <c r="W36" i="2"/>
  <c r="T36" i="2"/>
  <c r="Q36" i="2"/>
  <c r="N36" i="2"/>
  <c r="K36" i="2"/>
  <c r="AF35" i="2"/>
  <c r="AC35" i="2"/>
  <c r="Z35" i="2"/>
  <c r="W35" i="2"/>
  <c r="T35" i="2"/>
  <c r="Q35" i="2"/>
  <c r="N35" i="2"/>
  <c r="K35" i="2"/>
  <c r="AF34" i="2"/>
  <c r="AC34" i="2"/>
  <c r="Z34" i="2"/>
  <c r="W34" i="2"/>
  <c r="T34" i="2"/>
  <c r="Q34" i="2"/>
  <c r="N34" i="2"/>
  <c r="K34" i="2"/>
  <c r="AF33" i="2"/>
  <c r="AC33" i="2"/>
  <c r="Z33" i="2"/>
  <c r="W33" i="2"/>
  <c r="T33" i="2"/>
  <c r="Q33" i="2"/>
  <c r="N33" i="2"/>
  <c r="K33" i="2"/>
  <c r="AF32" i="2"/>
  <c r="AC32" i="2"/>
  <c r="Z32" i="2"/>
  <c r="W32" i="2"/>
  <c r="T32" i="2"/>
  <c r="Q32" i="2"/>
  <c r="N32" i="2"/>
  <c r="K32" i="2"/>
  <c r="AF31" i="2"/>
  <c r="AC31" i="2"/>
  <c r="Z31" i="2"/>
  <c r="W31" i="2"/>
  <c r="T31" i="2"/>
  <c r="Q31" i="2"/>
  <c r="N31" i="2"/>
  <c r="K31" i="2"/>
  <c r="AF30" i="2"/>
  <c r="AC30" i="2"/>
  <c r="Z30" i="2"/>
  <c r="W30" i="2"/>
  <c r="T30" i="2"/>
  <c r="Q30" i="2"/>
  <c r="N30" i="2"/>
  <c r="K30" i="2"/>
  <c r="AF29" i="2"/>
  <c r="AC29" i="2"/>
  <c r="Z29" i="2"/>
  <c r="W29" i="2"/>
  <c r="T29" i="2"/>
  <c r="Q29" i="2"/>
  <c r="N29" i="2"/>
  <c r="K29" i="2"/>
  <c r="AF28" i="2"/>
  <c r="AC28" i="2"/>
  <c r="Z28" i="2"/>
  <c r="W28" i="2"/>
  <c r="T28" i="2"/>
  <c r="Q28" i="2"/>
  <c r="N28" i="2"/>
  <c r="K28" i="2"/>
  <c r="AF27" i="2"/>
  <c r="AC27" i="2"/>
  <c r="Z27" i="2"/>
  <c r="W27" i="2"/>
  <c r="T27" i="2"/>
  <c r="Q27" i="2"/>
  <c r="N27" i="2"/>
  <c r="K27" i="2"/>
  <c r="AF26" i="2"/>
  <c r="AC26" i="2"/>
  <c r="Z26" i="2"/>
  <c r="W26" i="2"/>
  <c r="T26" i="2"/>
  <c r="Q26" i="2"/>
  <c r="N26" i="2"/>
  <c r="K26" i="2"/>
  <c r="AF25" i="2"/>
  <c r="AC25" i="2"/>
  <c r="Z25" i="2"/>
  <c r="W25" i="2"/>
  <c r="T25" i="2"/>
  <c r="Q25" i="2"/>
  <c r="N25" i="2"/>
  <c r="K25" i="2"/>
  <c r="AF24" i="2"/>
  <c r="AC24" i="2"/>
  <c r="Z24" i="2"/>
  <c r="W24" i="2"/>
  <c r="T24" i="2"/>
  <c r="Q24" i="2"/>
  <c r="N24" i="2"/>
  <c r="K24" i="2"/>
  <c r="AF23" i="2"/>
  <c r="AC23" i="2"/>
  <c r="Z23" i="2"/>
  <c r="W23" i="2"/>
  <c r="T23" i="2"/>
  <c r="Q23" i="2"/>
  <c r="N23" i="2"/>
  <c r="K23" i="2"/>
  <c r="AF22" i="2"/>
  <c r="AC22" i="2"/>
  <c r="Z22" i="2"/>
  <c r="W22" i="2"/>
  <c r="T22" i="2"/>
  <c r="Q22" i="2"/>
  <c r="N22" i="2"/>
  <c r="K22" i="2"/>
  <c r="AF21" i="2"/>
  <c r="AC21" i="2"/>
  <c r="Z21" i="2"/>
  <c r="W21" i="2"/>
  <c r="T21" i="2"/>
  <c r="Q21" i="2"/>
  <c r="N21" i="2"/>
  <c r="K21" i="2"/>
  <c r="AF20" i="2"/>
  <c r="AC20" i="2"/>
  <c r="Z20" i="2"/>
  <c r="W20" i="2"/>
  <c r="T20" i="2"/>
  <c r="Q20" i="2"/>
  <c r="N20" i="2"/>
  <c r="K20" i="2"/>
  <c r="AF19" i="2"/>
  <c r="AC19" i="2"/>
  <c r="Z19" i="2"/>
  <c r="W19" i="2"/>
  <c r="T19" i="2"/>
  <c r="Q19" i="2"/>
  <c r="N19" i="2"/>
  <c r="K19" i="2"/>
  <c r="AF18" i="2"/>
  <c r="AC18" i="2"/>
  <c r="Z18" i="2"/>
  <c r="W18" i="2"/>
  <c r="T18" i="2"/>
  <c r="Q18" i="2"/>
  <c r="N18" i="2"/>
  <c r="K18" i="2"/>
  <c r="AF17" i="2"/>
  <c r="AC17" i="2"/>
  <c r="Z17" i="2"/>
  <c r="W17" i="2"/>
  <c r="T17" i="2"/>
  <c r="Q17" i="2"/>
  <c r="N17" i="2"/>
  <c r="K17" i="2"/>
  <c r="AF16" i="2"/>
  <c r="AC16" i="2"/>
  <c r="Z16" i="2"/>
  <c r="W16" i="2"/>
  <c r="T16" i="2"/>
  <c r="Q16" i="2"/>
  <c r="N16" i="2"/>
  <c r="K16" i="2"/>
  <c r="AF15" i="2"/>
  <c r="AC15" i="2"/>
  <c r="Z15" i="2"/>
  <c r="W15" i="2"/>
  <c r="T15" i="2"/>
  <c r="Q15" i="2"/>
  <c r="N15" i="2"/>
  <c r="K15" i="2"/>
  <c r="AF14" i="2"/>
  <c r="AC14" i="2"/>
  <c r="Z14" i="2"/>
  <c r="W14" i="2"/>
  <c r="T14" i="2"/>
  <c r="Q14" i="2"/>
  <c r="N14" i="2"/>
  <c r="K14" i="2"/>
  <c r="AF13" i="2"/>
  <c r="AC13" i="2"/>
  <c r="Z13" i="2"/>
  <c r="W13" i="2"/>
  <c r="T13" i="2"/>
  <c r="Q13" i="2"/>
  <c r="N13" i="2"/>
  <c r="K13" i="2"/>
  <c r="AF12" i="2"/>
  <c r="AC12" i="2"/>
  <c r="Z12" i="2"/>
  <c r="W12" i="2"/>
  <c r="T12" i="2"/>
  <c r="Q12" i="2"/>
  <c r="N12" i="2"/>
  <c r="K12" i="2"/>
  <c r="AF11" i="2"/>
  <c r="AC11" i="2"/>
  <c r="Z11" i="2"/>
  <c r="W11" i="2"/>
  <c r="T11" i="2"/>
  <c r="Q11" i="2"/>
  <c r="N11" i="2"/>
  <c r="K11" i="2"/>
  <c r="AF10" i="2"/>
  <c r="AC10" i="2"/>
  <c r="Z10" i="2"/>
  <c r="W10" i="2"/>
  <c r="T10" i="2"/>
  <c r="Q10" i="2"/>
  <c r="N10" i="2"/>
  <c r="K10" i="2"/>
  <c r="AF9" i="2"/>
  <c r="AC9" i="2"/>
  <c r="Z9" i="2"/>
  <c r="W9" i="2"/>
  <c r="T9" i="2"/>
  <c r="Q9" i="2"/>
  <c r="N9" i="2"/>
  <c r="K9" i="2"/>
  <c r="AF8" i="2"/>
  <c r="AC8" i="2"/>
  <c r="Z8" i="2"/>
  <c r="W8" i="2"/>
  <c r="T8" i="2"/>
  <c r="Q8" i="2"/>
  <c r="N8" i="2"/>
  <c r="K8" i="2"/>
  <c r="AF7" i="2"/>
  <c r="AC7" i="2"/>
  <c r="Z7" i="2"/>
  <c r="W7" i="2"/>
  <c r="T7" i="2"/>
  <c r="Q7" i="2"/>
  <c r="N7" i="2"/>
  <c r="K7" i="2"/>
  <c r="AF6" i="2"/>
  <c r="AC6" i="2"/>
  <c r="Z6" i="2"/>
  <c r="W6" i="2"/>
  <c r="T6" i="2"/>
  <c r="Q6" i="2"/>
  <c r="N6" i="2"/>
  <c r="K6" i="2"/>
  <c r="AF5" i="2"/>
  <c r="AC5" i="2"/>
  <c r="Z5" i="2"/>
  <c r="W5" i="2"/>
  <c r="T5" i="2"/>
  <c r="Q5" i="2"/>
  <c r="N5" i="2"/>
  <c r="K5" i="2"/>
  <c r="AF4" i="2"/>
  <c r="AC4" i="2"/>
  <c r="Z4" i="2"/>
  <c r="W4" i="2"/>
  <c r="T4" i="2"/>
  <c r="Q4" i="2"/>
  <c r="N4" i="2"/>
  <c r="K4" i="2"/>
  <c r="AF3" i="2"/>
  <c r="AC3" i="2"/>
  <c r="Z3" i="2"/>
  <c r="W3" i="2"/>
  <c r="T3" i="2"/>
  <c r="Q3" i="2"/>
  <c r="N3" i="2"/>
  <c r="K3" i="2"/>
  <c r="AF2" i="2"/>
  <c r="AC2" i="2"/>
  <c r="Z2" i="2"/>
  <c r="W2" i="2"/>
  <c r="T2" i="2"/>
  <c r="Q2" i="2"/>
  <c r="N2" i="2"/>
  <c r="K2" i="2"/>
  <c r="AC1085" i="2" l="1"/>
  <c r="AC1086" i="2"/>
  <c r="AC1087" i="2"/>
  <c r="AC1088" i="2"/>
  <c r="AC1089" i="2"/>
  <c r="AC1090" i="2"/>
  <c r="AC1091" i="2"/>
  <c r="AC1092" i="2"/>
  <c r="AC1093" i="2"/>
  <c r="AC1094" i="2"/>
  <c r="AC1095" i="2"/>
  <c r="AC1096" i="2"/>
  <c r="AC1097" i="2"/>
  <c r="AC1098" i="2"/>
  <c r="AC1099" i="2"/>
  <c r="AC1100" i="2"/>
  <c r="AC1101" i="2"/>
  <c r="AC1102" i="2"/>
  <c r="AC1103" i="2"/>
  <c r="AC1104" i="2"/>
  <c r="AC1105" i="2"/>
  <c r="AC1106" i="2"/>
  <c r="AC1107" i="2"/>
  <c r="AC1108" i="2"/>
  <c r="AC1109" i="2"/>
  <c r="AC1110" i="2"/>
  <c r="AC1111" i="2"/>
  <c r="AC1112" i="2"/>
  <c r="AC1113" i="2"/>
  <c r="AC1114" i="2"/>
  <c r="AC1115" i="2"/>
  <c r="AC1116" i="2"/>
  <c r="AC1117" i="2"/>
  <c r="AC1118" i="2"/>
  <c r="AC1119" i="2"/>
  <c r="AC1120" i="2"/>
  <c r="AC1121" i="2"/>
  <c r="AC1122" i="2"/>
  <c r="AC1123" i="2"/>
  <c r="AC1124" i="2"/>
  <c r="AC1125" i="2"/>
  <c r="AC1126" i="2"/>
  <c r="AC1127" i="2"/>
  <c r="AC1128" i="2"/>
  <c r="AC1129" i="2"/>
  <c r="AC1130" i="2"/>
  <c r="AC1131" i="2"/>
  <c r="AC1132" i="2"/>
  <c r="AC1133" i="2"/>
  <c r="AC1134" i="2"/>
  <c r="AC1135" i="2"/>
  <c r="AC1136" i="2"/>
  <c r="AC1137" i="2"/>
  <c r="AC1138" i="2"/>
  <c r="AC1139" i="2"/>
  <c r="AC1140" i="2"/>
  <c r="AC1141" i="2"/>
  <c r="AC1142" i="2"/>
  <c r="AC1143" i="2"/>
  <c r="AC1144" i="2"/>
  <c r="AC1145" i="2"/>
  <c r="AC1146" i="2"/>
  <c r="AC1147" i="2"/>
  <c r="AC1148" i="2"/>
  <c r="AC1149" i="2"/>
  <c r="AC1150" i="2"/>
  <c r="AC1151" i="2"/>
  <c r="AC1152" i="2"/>
  <c r="AC1153" i="2"/>
  <c r="AC1154" i="2"/>
  <c r="AC1155" i="2"/>
  <c r="AC1156" i="2"/>
  <c r="AC1157" i="2"/>
  <c r="AC1158" i="2"/>
  <c r="AC1159" i="2"/>
  <c r="AC1160" i="2"/>
  <c r="AC1161" i="2"/>
  <c r="AC1162" i="2"/>
  <c r="AC1163" i="2"/>
  <c r="AC1164" i="2"/>
  <c r="AC1165" i="2"/>
  <c r="AC1166" i="2"/>
  <c r="AC1167" i="2"/>
  <c r="AC1168" i="2"/>
  <c r="AC1169" i="2"/>
  <c r="AC1170" i="2"/>
  <c r="AC1171" i="2"/>
  <c r="AC1172" i="2"/>
  <c r="AC1173" i="2"/>
  <c r="AC1174" i="2"/>
  <c r="AC1175" i="2"/>
  <c r="AC1176" i="2"/>
  <c r="AC1177" i="2"/>
  <c r="AC1178" i="2"/>
  <c r="AC1179" i="2"/>
  <c r="AC1180" i="2"/>
  <c r="AC1181" i="2"/>
  <c r="AC1182" i="2"/>
  <c r="AC1183" i="2"/>
  <c r="AC1184" i="2"/>
  <c r="AC1185" i="2"/>
  <c r="AC1186" i="2"/>
  <c r="AC1187" i="2"/>
  <c r="AC1188" i="2"/>
  <c r="AC1189" i="2"/>
  <c r="AC1190" i="2"/>
  <c r="AC1191" i="2"/>
  <c r="AC1192" i="2"/>
  <c r="AC1193" i="2"/>
  <c r="AC1194" i="2"/>
  <c r="AC1195" i="2"/>
  <c r="AC1196" i="2"/>
  <c r="AC1197" i="2"/>
  <c r="AC1198" i="2"/>
  <c r="AC1199" i="2"/>
  <c r="AC1200" i="2"/>
  <c r="AC1201" i="2"/>
  <c r="AC1202" i="2"/>
  <c r="AC1203" i="2"/>
  <c r="AC1204" i="2"/>
  <c r="AC1205" i="2"/>
  <c r="AC1206" i="2"/>
  <c r="AC1207" i="2"/>
  <c r="AC1208" i="2"/>
  <c r="AC1209" i="2"/>
  <c r="AC1210" i="2"/>
  <c r="AC1211" i="2"/>
  <c r="AC1212" i="2"/>
  <c r="AC1213" i="2"/>
  <c r="AC1214" i="2"/>
  <c r="AC1215" i="2"/>
  <c r="AC1216" i="2"/>
  <c r="AC1217" i="2"/>
  <c r="AC1218" i="2"/>
  <c r="AC1219" i="2"/>
  <c r="AC1220" i="2"/>
  <c r="AC1221" i="2"/>
  <c r="AC1222" i="2"/>
  <c r="AC1223" i="2"/>
  <c r="AC1224" i="2"/>
  <c r="AC1225" i="2"/>
  <c r="AC1226" i="2"/>
  <c r="AC1227" i="2"/>
  <c r="AC1228" i="2"/>
  <c r="AC1229" i="2"/>
  <c r="AC1230" i="2"/>
  <c r="AC1231" i="2"/>
  <c r="AC1232" i="2"/>
  <c r="AC1233" i="2"/>
  <c r="AC1234" i="2"/>
  <c r="AC1235" i="2"/>
  <c r="AC1236" i="2"/>
  <c r="AC1237" i="2"/>
  <c r="AC1238" i="2"/>
  <c r="AC1239" i="2"/>
  <c r="AC1240" i="2"/>
  <c r="AC1241" i="2"/>
  <c r="AC1242" i="2"/>
  <c r="AC1243" i="2"/>
  <c r="AC1244" i="2"/>
  <c r="AC1245" i="2"/>
  <c r="AC1246" i="2"/>
  <c r="AC1247" i="2"/>
  <c r="AC1248" i="2"/>
  <c r="AC1249" i="2"/>
  <c r="AC1250" i="2"/>
  <c r="AC1251" i="2"/>
  <c r="AC1252" i="2"/>
  <c r="AC1253" i="2"/>
  <c r="AC1254" i="2"/>
  <c r="AC1255" i="2"/>
  <c r="AC1256" i="2"/>
  <c r="AC1257" i="2"/>
  <c r="AC1258" i="2"/>
  <c r="AC1259" i="2"/>
  <c r="AC1260" i="2"/>
  <c r="AC1261" i="2"/>
  <c r="AC1262" i="2"/>
  <c r="AC1263" i="2"/>
  <c r="AC1264" i="2"/>
  <c r="AC1265" i="2"/>
  <c r="AC1266" i="2"/>
  <c r="AC1267" i="2"/>
  <c r="AC1268" i="2"/>
  <c r="AC1269" i="2"/>
  <c r="AC1270" i="2"/>
  <c r="AC1271" i="2"/>
  <c r="AC1272" i="2"/>
  <c r="AC1273" i="2"/>
  <c r="AC1274" i="2"/>
  <c r="AC1275" i="2"/>
  <c r="AC1276" i="2"/>
  <c r="AC1277" i="2"/>
  <c r="AC1278" i="2"/>
  <c r="AC1279" i="2"/>
  <c r="AC1280" i="2"/>
  <c r="AC1281" i="2"/>
  <c r="AC1282" i="2"/>
  <c r="AC1283" i="2"/>
  <c r="AC1284" i="2"/>
  <c r="AC1285" i="2"/>
  <c r="AC1286" i="2"/>
  <c r="AC1287" i="2"/>
  <c r="AC1288" i="2"/>
  <c r="AC1289" i="2"/>
  <c r="AC1290" i="2"/>
  <c r="AC1291" i="2"/>
  <c r="AC1292" i="2"/>
  <c r="AC1293" i="2"/>
  <c r="AC1294" i="2"/>
  <c r="AC1295" i="2"/>
  <c r="AC1296" i="2"/>
  <c r="AC1297" i="2"/>
  <c r="AC1298" i="2"/>
  <c r="AC1299" i="2"/>
  <c r="AC1300" i="2"/>
  <c r="AC1301" i="2"/>
  <c r="AC1302" i="2"/>
  <c r="AC1303" i="2"/>
  <c r="AC1304" i="2"/>
  <c r="AC1305" i="2"/>
  <c r="AC1306" i="2"/>
  <c r="AC1307" i="2"/>
  <c r="AC1308" i="2"/>
  <c r="AC1309" i="2"/>
  <c r="AC1310" i="2"/>
  <c r="AC1311" i="2"/>
  <c r="AC1312" i="2"/>
  <c r="AC1313" i="2"/>
  <c r="AC1314" i="2"/>
  <c r="AC1315" i="2"/>
  <c r="AC1316" i="2"/>
  <c r="AC1317" i="2"/>
  <c r="AC1318" i="2"/>
  <c r="AC1319" i="2"/>
  <c r="AC1320" i="2"/>
  <c r="AC1321" i="2"/>
  <c r="AC1322" i="2"/>
  <c r="AC1323" i="2"/>
  <c r="AC1324" i="2"/>
  <c r="AC1325" i="2"/>
  <c r="AC1326" i="2"/>
  <c r="AC1327" i="2"/>
  <c r="AC1328" i="2"/>
  <c r="AC1329" i="2"/>
  <c r="AC1330" i="2"/>
  <c r="AC1331" i="2"/>
  <c r="AC1332" i="2"/>
  <c r="AC1333" i="2"/>
  <c r="AC1334" i="2"/>
  <c r="AC1335" i="2"/>
  <c r="AC1336" i="2"/>
  <c r="AC1337" i="2"/>
  <c r="AC1338" i="2"/>
  <c r="AC1339" i="2"/>
  <c r="AC1340" i="2"/>
  <c r="AC1341" i="2"/>
  <c r="AC1342" i="2"/>
  <c r="AC1343" i="2"/>
  <c r="AC1344" i="2"/>
  <c r="AC1345" i="2"/>
  <c r="AC1346" i="2"/>
  <c r="AC1347" i="2"/>
  <c r="AC1348" i="2"/>
  <c r="AC1349" i="2"/>
  <c r="AC1350" i="2"/>
  <c r="AC1351" i="2"/>
  <c r="AC1352" i="2"/>
  <c r="AC1353" i="2"/>
  <c r="AC1354" i="2"/>
  <c r="AC1355" i="2"/>
  <c r="AC1356" i="2"/>
  <c r="AC1357" i="2"/>
  <c r="AC1358" i="2"/>
  <c r="AC1359" i="2"/>
  <c r="AC1360" i="2"/>
  <c r="AC1361" i="2"/>
  <c r="AC1362" i="2"/>
  <c r="AC1363" i="2"/>
  <c r="AC1364" i="2"/>
  <c r="AC1365" i="2"/>
  <c r="AC1366" i="2"/>
  <c r="AC1367" i="2"/>
  <c r="AC1368" i="2"/>
  <c r="AC1369" i="2"/>
  <c r="AC1370" i="2"/>
  <c r="AC1371" i="2"/>
  <c r="AC1372" i="2"/>
  <c r="AC1373" i="2"/>
  <c r="AC1374" i="2"/>
  <c r="AC1375" i="2"/>
  <c r="AC1376" i="2"/>
  <c r="AC1377" i="2"/>
  <c r="AC1378" i="2"/>
  <c r="AC1379" i="2"/>
  <c r="AC1380" i="2"/>
  <c r="AC1381" i="2"/>
  <c r="AC1382" i="2"/>
  <c r="AC1383" i="2"/>
  <c r="AC1384" i="2"/>
  <c r="AC1385" i="2"/>
  <c r="AC1386" i="2"/>
  <c r="AC1387" i="2"/>
  <c r="AC1388" i="2"/>
  <c r="AC1389" i="2"/>
  <c r="AC1390" i="2"/>
  <c r="AC1391" i="2"/>
  <c r="AC1392" i="2"/>
  <c r="AC1393" i="2"/>
  <c r="AC1394" i="2"/>
  <c r="AC1395" i="2"/>
  <c r="AC1396" i="2"/>
  <c r="AC1397" i="2"/>
  <c r="AC1398" i="2"/>
  <c r="AC1399" i="2"/>
  <c r="AC1400" i="2"/>
  <c r="AC1401" i="2"/>
  <c r="AC1402" i="2"/>
  <c r="AC1403" i="2"/>
  <c r="AC1404" i="2"/>
  <c r="AC1405" i="2"/>
  <c r="AC1406" i="2"/>
  <c r="AC1407" i="2"/>
  <c r="AC1408" i="2"/>
  <c r="AC1409" i="2"/>
  <c r="AC1410" i="2"/>
  <c r="AC1411" i="2"/>
  <c r="AC1412" i="2"/>
  <c r="AC1413" i="2"/>
  <c r="AC1414" i="2"/>
  <c r="AC1415" i="2"/>
  <c r="AC1416" i="2"/>
  <c r="AC1417" i="2"/>
  <c r="AC1418" i="2"/>
  <c r="AC1419" i="2"/>
  <c r="AC1420" i="2"/>
  <c r="AC1421" i="2"/>
  <c r="AC1422" i="2"/>
  <c r="AC1423" i="2"/>
  <c r="AC1424" i="2"/>
  <c r="AC1425" i="2"/>
  <c r="AC1426" i="2"/>
  <c r="AC1427" i="2"/>
  <c r="AC1428" i="2"/>
  <c r="AC1429" i="2"/>
  <c r="AC1430" i="2"/>
  <c r="AC1431" i="2"/>
  <c r="AC1432" i="2"/>
  <c r="AC1433" i="2"/>
  <c r="AC1434" i="2"/>
  <c r="AC1435" i="2"/>
  <c r="AC1436" i="2"/>
  <c r="AC1437" i="2"/>
  <c r="AC1438" i="2"/>
  <c r="AC1439" i="2"/>
  <c r="AC1440" i="2"/>
  <c r="AC1441" i="2"/>
  <c r="AC1442" i="2"/>
  <c r="AC1443" i="2"/>
  <c r="AC1444" i="2"/>
  <c r="AC1445" i="2"/>
  <c r="AC1446" i="2"/>
  <c r="AC1447" i="2"/>
  <c r="AC1448" i="2"/>
  <c r="AC1449" i="2"/>
  <c r="AC1450" i="2"/>
  <c r="AC1451" i="2"/>
  <c r="AC1452" i="2"/>
  <c r="AC1453" i="2"/>
  <c r="AC1454" i="2"/>
  <c r="AC1455" i="2"/>
  <c r="AC1456" i="2"/>
  <c r="AC1457" i="2"/>
  <c r="AC1458" i="2"/>
  <c r="AC1459" i="2"/>
  <c r="AC1460" i="2"/>
  <c r="AC1461" i="2"/>
  <c r="AC1462" i="2"/>
  <c r="AC1463" i="2"/>
  <c r="AC1464" i="2"/>
  <c r="AC1465" i="2"/>
  <c r="AC1466" i="2"/>
  <c r="AC1467" i="2"/>
  <c r="AC1468" i="2"/>
  <c r="AC1469" i="2"/>
  <c r="AC1470" i="2"/>
  <c r="AC1471" i="2"/>
  <c r="AC1472" i="2"/>
  <c r="AC1473" i="2"/>
  <c r="AC1474" i="2"/>
  <c r="AC1475" i="2"/>
  <c r="AC1476" i="2"/>
  <c r="AC1477" i="2"/>
  <c r="AC1478" i="2"/>
  <c r="AC1479" i="2"/>
  <c r="AC1480" i="2"/>
  <c r="AC1481" i="2"/>
  <c r="AC1482" i="2"/>
  <c r="AC1483" i="2"/>
  <c r="AC1484" i="2"/>
  <c r="AC1485" i="2"/>
  <c r="AC1486" i="2"/>
  <c r="AC1487" i="2"/>
  <c r="AC1488" i="2"/>
  <c r="AC1489" i="2"/>
  <c r="AC1490" i="2"/>
  <c r="AC1491" i="2"/>
  <c r="AC1492" i="2"/>
  <c r="AC1493" i="2"/>
  <c r="AC1494" i="2"/>
  <c r="AC1495" i="2"/>
  <c r="AC1496" i="2"/>
  <c r="AC1497" i="2"/>
  <c r="AC1498" i="2"/>
  <c r="AC1499" i="2"/>
  <c r="AC1500" i="2"/>
  <c r="AC1501" i="2"/>
  <c r="AC1502" i="2"/>
  <c r="AC1503" i="2"/>
  <c r="AC1504" i="2"/>
  <c r="AC1505" i="2"/>
  <c r="AC1506" i="2"/>
  <c r="AC1507" i="2"/>
  <c r="AC1508" i="2"/>
  <c r="AC1509" i="2"/>
  <c r="AC1510" i="2"/>
  <c r="AC1511" i="2"/>
  <c r="AC1512" i="2"/>
  <c r="AC1513" i="2"/>
  <c r="AC1514" i="2"/>
  <c r="AC1515" i="2"/>
  <c r="AC1516" i="2"/>
  <c r="AC1517" i="2"/>
  <c r="AC1518" i="2"/>
  <c r="AC1519" i="2"/>
  <c r="AC1520" i="2"/>
  <c r="AC1521" i="2"/>
  <c r="AC1522" i="2"/>
  <c r="AC1523" i="2"/>
  <c r="AC1524" i="2"/>
  <c r="AC1525" i="2"/>
  <c r="AC1526" i="2"/>
  <c r="AC1527" i="2"/>
  <c r="AC1528" i="2"/>
  <c r="AC1529" i="2"/>
  <c r="AC1530" i="2"/>
  <c r="AC1531" i="2"/>
  <c r="AC1532" i="2"/>
  <c r="AC1533" i="2"/>
  <c r="AC1534" i="2"/>
  <c r="AC1535" i="2"/>
  <c r="AC1536" i="2"/>
  <c r="AC1537" i="2"/>
  <c r="AC1538" i="2"/>
  <c r="AC1539" i="2"/>
  <c r="AC1540" i="2"/>
  <c r="AC1541" i="2"/>
  <c r="AC1542" i="2"/>
  <c r="AC1543" i="2"/>
  <c r="AC1544" i="2"/>
  <c r="AC1545" i="2"/>
  <c r="AC1546" i="2"/>
  <c r="AC1547" i="2"/>
  <c r="AC1548" i="2"/>
  <c r="AC1549" i="2"/>
  <c r="AC1550" i="2"/>
  <c r="AC1551" i="2"/>
  <c r="AC1552" i="2"/>
  <c r="AC1553" i="2"/>
  <c r="AC1554" i="2"/>
  <c r="AC1555" i="2"/>
  <c r="AC1556" i="2"/>
  <c r="AC1557" i="2"/>
  <c r="AC1558" i="2"/>
  <c r="AC1559" i="2"/>
  <c r="AC1560" i="2"/>
  <c r="AC1561" i="2"/>
  <c r="AC1562" i="2"/>
  <c r="AC1563" i="2"/>
  <c r="AC1564" i="2"/>
  <c r="AC1565" i="2"/>
  <c r="AC1566" i="2"/>
  <c r="AC1567" i="2"/>
  <c r="AC1568" i="2"/>
  <c r="AC1569" i="2"/>
  <c r="AC1570" i="2"/>
  <c r="AC1571" i="2"/>
  <c r="AC1572" i="2"/>
  <c r="AC1573" i="2"/>
  <c r="AC1574" i="2"/>
  <c r="AC1575" i="2"/>
  <c r="AC1576" i="2"/>
  <c r="AC1577" i="2"/>
  <c r="AC1578" i="2"/>
  <c r="AC1579" i="2"/>
  <c r="AC1580" i="2"/>
  <c r="AC1581" i="2"/>
  <c r="AC1582" i="2"/>
  <c r="AC1583" i="2"/>
  <c r="AC1584" i="2"/>
  <c r="AC1585" i="2"/>
  <c r="AC1586" i="2"/>
  <c r="AC1587" i="2"/>
  <c r="AC1588" i="2"/>
  <c r="AC1589" i="2"/>
  <c r="AC1590" i="2"/>
  <c r="AC1591" i="2"/>
  <c r="AC1592" i="2"/>
  <c r="AC1593" i="2"/>
  <c r="AC1594" i="2"/>
  <c r="AC1595" i="2"/>
  <c r="AC1596" i="2"/>
  <c r="AC1597" i="2"/>
  <c r="AC1598" i="2"/>
  <c r="AC1599" i="2"/>
  <c r="AC1600" i="2"/>
  <c r="AC1601" i="2"/>
  <c r="AC1602" i="2"/>
  <c r="AC1603" i="2"/>
  <c r="AC1604" i="2"/>
  <c r="AC1605" i="2"/>
  <c r="AC1606" i="2"/>
  <c r="AC1607" i="2"/>
  <c r="AC1608" i="2"/>
  <c r="AC1609" i="2"/>
  <c r="AC1610" i="2"/>
  <c r="AC1611" i="2"/>
  <c r="AC1612" i="2"/>
  <c r="AC1613" i="2"/>
  <c r="AC1614" i="2"/>
  <c r="AC1615" i="2"/>
  <c r="AC1616" i="2"/>
  <c r="AC1617" i="2"/>
  <c r="AC1618" i="2"/>
  <c r="AC1619" i="2"/>
  <c r="AC1620" i="2"/>
  <c r="AC1621" i="2"/>
  <c r="AC1622" i="2"/>
  <c r="AC1623" i="2"/>
  <c r="AC1624" i="2"/>
  <c r="AC1625" i="2"/>
  <c r="AC1626" i="2"/>
  <c r="AC1627" i="2"/>
  <c r="AC1628" i="2"/>
  <c r="AC1629" i="2"/>
  <c r="AC1630" i="2"/>
  <c r="AC1631" i="2"/>
  <c r="AC1632" i="2"/>
  <c r="AC1633" i="2"/>
  <c r="AC1634" i="2"/>
  <c r="AC1635" i="2"/>
  <c r="AC1636" i="2"/>
  <c r="AC1637" i="2"/>
  <c r="AC1638" i="2"/>
  <c r="AC1639" i="2"/>
  <c r="AC1640" i="2"/>
  <c r="AC1641" i="2"/>
  <c r="AC1642" i="2"/>
  <c r="AC1643" i="2"/>
  <c r="AC1644" i="2"/>
  <c r="AC1645" i="2"/>
  <c r="AC1646" i="2"/>
  <c r="AC1647" i="2"/>
  <c r="AC1648" i="2"/>
  <c r="AC1649" i="2"/>
  <c r="AC1650" i="2"/>
  <c r="AC1651" i="2"/>
  <c r="AC1652" i="2"/>
  <c r="AC1653" i="2"/>
  <c r="AC1654" i="2"/>
  <c r="AC1655" i="2"/>
  <c r="AC1656" i="2"/>
  <c r="AC1657" i="2"/>
  <c r="AC1658" i="2"/>
  <c r="AC1659" i="2"/>
  <c r="AC1660" i="2"/>
  <c r="AC1661" i="2"/>
  <c r="AC1662" i="2"/>
  <c r="AC1663" i="2"/>
  <c r="AC1664" i="2"/>
  <c r="AC1665" i="2"/>
  <c r="AC1666" i="2"/>
  <c r="AC1667" i="2"/>
  <c r="AC1668" i="2"/>
  <c r="AC1669" i="2"/>
  <c r="AC1670" i="2"/>
  <c r="AC1671" i="2"/>
  <c r="AC1672" i="2"/>
  <c r="AC1673" i="2"/>
  <c r="AC1674" i="2"/>
  <c r="AC1675" i="2"/>
  <c r="AC1676" i="2"/>
  <c r="AC1677" i="2"/>
  <c r="AC1678" i="2"/>
  <c r="AC1679" i="2"/>
  <c r="AC1680" i="2"/>
  <c r="AC1681" i="2"/>
  <c r="AC1682" i="2"/>
  <c r="AC1683" i="2"/>
  <c r="AC1684" i="2"/>
  <c r="AC1685" i="2"/>
  <c r="AC1686" i="2"/>
  <c r="AC1687" i="2"/>
  <c r="AC1688" i="2"/>
  <c r="AC1689" i="2"/>
  <c r="AC1690" i="2"/>
  <c r="AC1691" i="2"/>
  <c r="AC1692" i="2"/>
  <c r="AC1693" i="2"/>
  <c r="AC1694" i="2"/>
  <c r="AC1695" i="2"/>
  <c r="AC1696" i="2"/>
  <c r="AC1697" i="2"/>
  <c r="AC1698" i="2"/>
  <c r="AC1699" i="2"/>
  <c r="AC1700" i="2"/>
  <c r="AC1701" i="2"/>
  <c r="AC1702" i="2"/>
  <c r="AC1703" i="2"/>
  <c r="AC1704" i="2"/>
  <c r="AC1705" i="2"/>
  <c r="AC1706" i="2"/>
  <c r="AC1707" i="2"/>
  <c r="AC1708" i="2"/>
  <c r="AC1709" i="2"/>
  <c r="AC1710" i="2"/>
  <c r="AC1711" i="2"/>
  <c r="AC1712" i="2"/>
  <c r="AC1713" i="2"/>
  <c r="AC1714" i="2"/>
  <c r="AC1715" i="2"/>
  <c r="AC1716" i="2"/>
  <c r="AC1717" i="2"/>
  <c r="AC1718" i="2"/>
  <c r="AC1719" i="2"/>
  <c r="AC1720" i="2"/>
  <c r="AC1721" i="2"/>
  <c r="AC1722" i="2"/>
  <c r="AC1723" i="2"/>
  <c r="AC1724" i="2"/>
  <c r="AC1725" i="2"/>
  <c r="AC1726" i="2"/>
  <c r="AC1727" i="2"/>
  <c r="AC1728" i="2"/>
  <c r="AC1729" i="2"/>
  <c r="AC1730" i="2"/>
  <c r="AC1731" i="2"/>
  <c r="AC1732" i="2"/>
  <c r="AC1733" i="2"/>
  <c r="AC1734" i="2"/>
  <c r="AC1735" i="2"/>
  <c r="AC1736" i="2"/>
  <c r="AC1737" i="2"/>
  <c r="AC1738" i="2"/>
  <c r="AC1739" i="2"/>
  <c r="AC1740" i="2"/>
  <c r="AC1741" i="2"/>
  <c r="AC1742" i="2"/>
  <c r="AC1743" i="2"/>
  <c r="AC1744" i="2"/>
  <c r="AC1745" i="2"/>
  <c r="AC1746" i="2"/>
  <c r="AC1747" i="2"/>
  <c r="AC1748" i="2"/>
  <c r="AC1749" i="2"/>
  <c r="AC1750" i="2"/>
  <c r="AC1751" i="2"/>
  <c r="AC1752" i="2"/>
  <c r="AC1753" i="2"/>
  <c r="AC1754" i="2"/>
  <c r="AC1755" i="2"/>
  <c r="AC1756" i="2"/>
  <c r="AC1757" i="2"/>
  <c r="AC1758" i="2"/>
  <c r="AC1759" i="2"/>
  <c r="AC1760" i="2"/>
  <c r="AC1761" i="2"/>
  <c r="AC1762" i="2"/>
  <c r="AC1763" i="2"/>
  <c r="AC1764" i="2"/>
  <c r="AC1765" i="2"/>
  <c r="AC1766" i="2"/>
  <c r="AC1767" i="2"/>
  <c r="AC1768" i="2"/>
  <c r="AC1769" i="2"/>
  <c r="AC1770" i="2"/>
  <c r="AC1771" i="2"/>
  <c r="AC1772" i="2"/>
  <c r="AC1773" i="2"/>
  <c r="AC1774" i="2"/>
  <c r="AC1775" i="2"/>
  <c r="AC1776" i="2"/>
  <c r="AC1777" i="2"/>
  <c r="AC1778" i="2"/>
  <c r="AC1779" i="2"/>
  <c r="AC1780" i="2"/>
  <c r="AC1781" i="2"/>
  <c r="AC1782" i="2"/>
  <c r="AC1783" i="2"/>
  <c r="AC1784" i="2"/>
  <c r="AC1785" i="2"/>
  <c r="AC1786" i="2"/>
  <c r="AC1787" i="2"/>
  <c r="AC1788" i="2"/>
  <c r="AC1789" i="2"/>
  <c r="AC1790" i="2"/>
  <c r="AC1791" i="2"/>
  <c r="AC1792" i="2"/>
  <c r="AC1793" i="2"/>
  <c r="AC1794" i="2"/>
  <c r="AC1795" i="2"/>
  <c r="AC1796" i="2"/>
  <c r="AC1797" i="2"/>
  <c r="AC1798" i="2"/>
  <c r="AC1799" i="2"/>
  <c r="AC1800" i="2"/>
  <c r="AC1801" i="2"/>
  <c r="AC1802" i="2"/>
  <c r="AC1803" i="2"/>
  <c r="AC1804" i="2"/>
  <c r="AC1805" i="2"/>
  <c r="AC1806" i="2"/>
  <c r="AC1807" i="2"/>
  <c r="AC1808" i="2"/>
  <c r="AC1809" i="2"/>
  <c r="AC1810" i="2"/>
  <c r="AC1811" i="2"/>
  <c r="AC1812" i="2"/>
  <c r="AC1813" i="2"/>
  <c r="AC1814" i="2"/>
  <c r="AC1815" i="2"/>
  <c r="AC1816" i="2"/>
  <c r="AC1817" i="2"/>
  <c r="AC1818" i="2"/>
  <c r="AC1819" i="2"/>
  <c r="AC1820" i="2"/>
  <c r="AC1821" i="2"/>
  <c r="AC1822" i="2"/>
  <c r="AC1823" i="2"/>
  <c r="AC1824" i="2"/>
  <c r="AC1825" i="2"/>
  <c r="AC1826" i="2"/>
  <c r="AC1827" i="2"/>
  <c r="AC1828" i="2"/>
  <c r="AC1829" i="2"/>
  <c r="AC1830" i="2"/>
  <c r="AC1831" i="2"/>
  <c r="AC1832" i="2"/>
  <c r="AC1833" i="2"/>
  <c r="AC1834" i="2"/>
  <c r="AC1835" i="2"/>
  <c r="AC1836" i="2"/>
  <c r="AC1837" i="2"/>
  <c r="AC1838" i="2"/>
  <c r="AC1839" i="2"/>
  <c r="AC1840" i="2"/>
  <c r="AC1841" i="2"/>
  <c r="AC1842" i="2"/>
  <c r="AC1843" i="2"/>
  <c r="AC1844" i="2"/>
  <c r="AC1845" i="2"/>
  <c r="AC1846" i="2"/>
  <c r="AC1847" i="2"/>
  <c r="AC1848" i="2"/>
  <c r="AC1849" i="2"/>
  <c r="AC1850" i="2"/>
  <c r="AC1851" i="2"/>
  <c r="AC1852" i="2"/>
  <c r="AC1853" i="2"/>
  <c r="AC1854" i="2"/>
  <c r="AC1855" i="2"/>
  <c r="AC1856" i="2"/>
  <c r="AC1857" i="2"/>
  <c r="AC1858" i="2"/>
  <c r="AC1859" i="2"/>
  <c r="AC1860" i="2"/>
  <c r="AC1861" i="2"/>
  <c r="AC1862" i="2"/>
  <c r="AC1863" i="2"/>
  <c r="AC1864" i="2"/>
  <c r="AC1865" i="2"/>
  <c r="AC1866" i="2"/>
  <c r="AC1867" i="2"/>
  <c r="AC1868" i="2"/>
  <c r="AC1869" i="2"/>
  <c r="AC1870" i="2"/>
  <c r="AC1871" i="2"/>
  <c r="AC1872" i="2"/>
  <c r="AC1873" i="2"/>
  <c r="AC1874" i="2"/>
  <c r="AC1875" i="2"/>
  <c r="AC1876" i="2"/>
  <c r="AC1877" i="2"/>
  <c r="AC1878" i="2"/>
  <c r="AC1879" i="2"/>
  <c r="AC1880" i="2"/>
  <c r="AC1881" i="2"/>
  <c r="AC1882" i="2"/>
  <c r="AC1883" i="2"/>
  <c r="AC1884" i="2"/>
  <c r="AC1885" i="2"/>
  <c r="AC1886" i="2"/>
  <c r="AC1887" i="2"/>
  <c r="AC1888" i="2"/>
  <c r="AC1889" i="2"/>
  <c r="AC1890" i="2"/>
  <c r="AC1891" i="2"/>
  <c r="AC1892" i="2"/>
  <c r="AC1893" i="2"/>
  <c r="AC1894" i="2"/>
  <c r="AC1895" i="2"/>
  <c r="AC1896" i="2"/>
  <c r="AC1897" i="2"/>
  <c r="AC1898" i="2"/>
  <c r="AC1899" i="2"/>
  <c r="AC1900" i="2"/>
  <c r="AC1901" i="2"/>
  <c r="AC1902" i="2"/>
  <c r="AC1903" i="2"/>
  <c r="AC1904" i="2"/>
  <c r="AC1905" i="2"/>
  <c r="AC1906" i="2"/>
  <c r="AC1907" i="2"/>
  <c r="AC1908" i="2"/>
  <c r="AC1909" i="2"/>
  <c r="AC1910" i="2"/>
  <c r="AC1911" i="2"/>
  <c r="AC1912" i="2"/>
  <c r="AC1913" i="2"/>
  <c r="AC1914" i="2"/>
  <c r="AC1915" i="2"/>
  <c r="AC1916" i="2"/>
  <c r="AC1917" i="2"/>
  <c r="AC1918" i="2"/>
  <c r="AC1919" i="2"/>
  <c r="AC1920" i="2"/>
  <c r="AC1921" i="2"/>
  <c r="AC1922" i="2"/>
  <c r="AC1923" i="2"/>
  <c r="AC1924" i="2"/>
  <c r="AC1925" i="2"/>
  <c r="AC1926" i="2"/>
  <c r="AC1927" i="2"/>
  <c r="AC1928" i="2"/>
  <c r="AC1929" i="2"/>
  <c r="AC1930" i="2"/>
  <c r="AC1931" i="2"/>
  <c r="AC1932" i="2"/>
  <c r="AC1933" i="2"/>
  <c r="AC1934" i="2"/>
  <c r="AC1935" i="2"/>
  <c r="AC1936" i="2"/>
  <c r="AC1937" i="2"/>
  <c r="AC1938" i="2"/>
  <c r="AC1939" i="2"/>
  <c r="AC1940" i="2"/>
  <c r="AC1941" i="2"/>
  <c r="AC1942" i="2"/>
  <c r="AC1943" i="2"/>
  <c r="AC1944" i="2"/>
  <c r="AC1945" i="2"/>
  <c r="AC1946" i="2"/>
  <c r="AC1947" i="2"/>
  <c r="AC1948" i="2"/>
  <c r="AC1949" i="2"/>
  <c r="AC1950" i="2"/>
  <c r="AC1951" i="2"/>
  <c r="AC1952" i="2"/>
  <c r="AC1953" i="2"/>
  <c r="AC1954" i="2"/>
  <c r="AC1955" i="2"/>
  <c r="AC1956" i="2"/>
  <c r="AC1957" i="2"/>
  <c r="AC1958" i="2"/>
  <c r="AC1959" i="2"/>
  <c r="AC1960" i="2"/>
  <c r="AC1961" i="2"/>
  <c r="AC1962" i="2"/>
  <c r="AC1963" i="2"/>
  <c r="AC1964" i="2"/>
  <c r="AC1965" i="2"/>
  <c r="AC1966" i="2"/>
  <c r="AC1967" i="2"/>
  <c r="AC1968" i="2"/>
  <c r="AC1969" i="2"/>
  <c r="AC1970" i="2"/>
  <c r="AC1971" i="2"/>
  <c r="AC1972" i="2"/>
  <c r="AC1973" i="2"/>
  <c r="AC1974" i="2"/>
  <c r="AC1975" i="2"/>
  <c r="AC1976" i="2"/>
  <c r="AC1977" i="2"/>
  <c r="AC1978" i="2"/>
  <c r="AC1979" i="2"/>
  <c r="AC1980" i="2"/>
  <c r="AC1981" i="2"/>
  <c r="AC1982" i="2"/>
  <c r="AC1983" i="2"/>
  <c r="AC1984" i="2"/>
  <c r="AC1985" i="2"/>
  <c r="AC1986" i="2"/>
  <c r="AC1987" i="2"/>
  <c r="AC1988" i="2"/>
  <c r="AC1989" i="2"/>
  <c r="AC1990" i="2"/>
  <c r="AC1991" i="2"/>
  <c r="AC1992" i="2"/>
  <c r="AC1993" i="2"/>
  <c r="AC1994" i="2"/>
  <c r="AC1995" i="2"/>
  <c r="AC1996" i="2"/>
  <c r="AC1997" i="2"/>
  <c r="AC1998" i="2"/>
  <c r="AC1999" i="2"/>
  <c r="AC2000" i="2"/>
  <c r="AC2001" i="2"/>
  <c r="AC2002" i="2"/>
  <c r="AC2003" i="2"/>
  <c r="AC2004" i="2"/>
  <c r="AC2005" i="2"/>
  <c r="AC2006" i="2"/>
  <c r="AC2007" i="2"/>
  <c r="AC2008" i="2"/>
  <c r="AC2009" i="2"/>
  <c r="AC2010" i="2"/>
  <c r="AC2011" i="2"/>
  <c r="AC2012" i="2"/>
  <c r="AC2013" i="2"/>
  <c r="AC2014" i="2"/>
  <c r="AC2015" i="2"/>
  <c r="AC2016" i="2"/>
  <c r="AC2017" i="2"/>
  <c r="AC2018" i="2"/>
  <c r="AC2019" i="2"/>
  <c r="AC2020" i="2"/>
  <c r="AC2021" i="2"/>
  <c r="AC2022" i="2"/>
  <c r="AC2023" i="2"/>
  <c r="AC2024" i="2"/>
  <c r="AC2025" i="2"/>
  <c r="AC2026" i="2"/>
  <c r="AC2027" i="2"/>
  <c r="AC2028" i="2"/>
  <c r="AC2029" i="2"/>
  <c r="AC2030" i="2"/>
  <c r="AC2031" i="2"/>
  <c r="AC2032" i="2"/>
  <c r="AC2033" i="2"/>
  <c r="AC2034" i="2"/>
  <c r="AC2035" i="2"/>
  <c r="AC2036" i="2"/>
  <c r="AC2037" i="2"/>
  <c r="AC2038" i="2"/>
  <c r="AC2039" i="2"/>
  <c r="AC2040" i="2"/>
  <c r="AC2041" i="2"/>
  <c r="AC2042" i="2"/>
  <c r="AC2043" i="2"/>
  <c r="AC2044" i="2"/>
  <c r="AC2045" i="2"/>
  <c r="AC2046" i="2"/>
  <c r="AC2047" i="2"/>
  <c r="AC2048" i="2"/>
  <c r="AC2049" i="2"/>
  <c r="AC2050" i="2"/>
  <c r="AC2051" i="2"/>
  <c r="AC2052" i="2"/>
  <c r="AC2053" i="2"/>
  <c r="AC2054" i="2"/>
  <c r="AC2055" i="2"/>
  <c r="AC2056" i="2"/>
  <c r="AC2057" i="2"/>
  <c r="AC2058" i="2"/>
  <c r="AC2059" i="2"/>
  <c r="AC2060" i="2"/>
  <c r="AC2061" i="2"/>
  <c r="AC2062" i="2"/>
  <c r="AC2063" i="2"/>
  <c r="AC2064" i="2"/>
  <c r="AC2065" i="2"/>
  <c r="AC2066" i="2"/>
  <c r="AC2067" i="2"/>
  <c r="AC2068" i="2"/>
  <c r="AC2069" i="2"/>
  <c r="AC2070" i="2"/>
  <c r="AC2071" i="2"/>
  <c r="AC2072" i="2"/>
  <c r="AC2073" i="2"/>
  <c r="AC2074" i="2"/>
  <c r="AC2075" i="2"/>
  <c r="AC2076" i="2"/>
  <c r="AC2077" i="2"/>
  <c r="AC2078" i="2"/>
  <c r="AC2079" i="2"/>
  <c r="AC2080" i="2"/>
  <c r="AC2081" i="2"/>
  <c r="AC2082" i="2"/>
  <c r="AC2083" i="2"/>
  <c r="AC2084" i="2"/>
  <c r="AC2085" i="2"/>
  <c r="AC2086" i="2"/>
  <c r="AC2087" i="2"/>
  <c r="AC2088" i="2"/>
  <c r="AC2089" i="2"/>
  <c r="AC2090" i="2"/>
  <c r="AC2091" i="2"/>
  <c r="AC2092" i="2"/>
  <c r="AC2093" i="2"/>
  <c r="AC2094" i="2"/>
  <c r="AC2095" i="2"/>
  <c r="AC2096" i="2"/>
  <c r="AC2097" i="2"/>
  <c r="AC2098" i="2"/>
  <c r="AC2099" i="2"/>
  <c r="AC2100" i="2"/>
  <c r="AC2101" i="2"/>
  <c r="AC2102" i="2"/>
  <c r="AC2103" i="2"/>
  <c r="AC2104" i="2"/>
  <c r="AC2105" i="2"/>
  <c r="AC2106" i="2"/>
  <c r="AC2107" i="2"/>
  <c r="AC2108" i="2"/>
  <c r="AC2109" i="2"/>
  <c r="AC2110" i="2"/>
  <c r="AC2111" i="2"/>
  <c r="AC2112" i="2"/>
  <c r="AC2113" i="2"/>
  <c r="AC2114" i="2"/>
  <c r="AC2115" i="2"/>
  <c r="AC2116" i="2"/>
  <c r="AC2117" i="2"/>
  <c r="AC2118" i="2"/>
  <c r="AC2119" i="2"/>
  <c r="AC2120" i="2"/>
  <c r="AC2121" i="2"/>
  <c r="AC2122" i="2"/>
  <c r="AC2123" i="2"/>
  <c r="AC2124" i="2"/>
  <c r="AC2125" i="2"/>
  <c r="AC2126" i="2"/>
  <c r="AC2127" i="2"/>
  <c r="AC2128" i="2"/>
  <c r="AC2129" i="2"/>
  <c r="AC2130" i="2"/>
  <c r="AC2131" i="2"/>
  <c r="AC2132" i="2"/>
  <c r="AC2133" i="2"/>
  <c r="AC2134" i="2"/>
  <c r="AC2135" i="2"/>
  <c r="AC2136" i="2"/>
  <c r="AC2137" i="2"/>
  <c r="AC2138" i="2"/>
  <c r="AC2139" i="2"/>
  <c r="AC2140" i="2"/>
  <c r="AC2141" i="2"/>
  <c r="AC2142" i="2"/>
  <c r="AC2143" i="2"/>
  <c r="AC2144" i="2"/>
  <c r="AC2145" i="2"/>
  <c r="AC2146" i="2"/>
  <c r="AC2147" i="2"/>
  <c r="AC2148" i="2"/>
  <c r="AC2149" i="2"/>
  <c r="AC2150" i="2"/>
  <c r="AC2151" i="2"/>
  <c r="AC2152" i="2"/>
  <c r="AC2153" i="2"/>
  <c r="AC2154" i="2"/>
  <c r="AC2155" i="2"/>
  <c r="AC2156" i="2"/>
  <c r="AC2157" i="2"/>
  <c r="AC2158" i="2"/>
  <c r="AC2159" i="2"/>
  <c r="AC2160" i="2"/>
  <c r="AC2161" i="2"/>
  <c r="AC2162" i="2"/>
  <c r="AC2163" i="2"/>
  <c r="AC2164" i="2"/>
  <c r="AC2165" i="2"/>
  <c r="AC2166" i="2"/>
  <c r="AC2167" i="2"/>
  <c r="AC2168" i="2"/>
  <c r="AC2169" i="2"/>
  <c r="AC2170" i="2"/>
  <c r="AC2171" i="2"/>
  <c r="AC2172" i="2"/>
  <c r="AC2173" i="2"/>
  <c r="AC2174" i="2"/>
  <c r="AC2175" i="2"/>
  <c r="AC2176" i="2"/>
  <c r="AC2177" i="2"/>
  <c r="AC2178" i="2"/>
  <c r="AC2179" i="2"/>
  <c r="AC2180" i="2"/>
  <c r="AC2181" i="2"/>
  <c r="AC2182" i="2"/>
  <c r="AC2183" i="2"/>
  <c r="AC2184" i="2"/>
  <c r="AC2185" i="2"/>
  <c r="AC2186" i="2"/>
  <c r="AC2187" i="2"/>
  <c r="AC2188" i="2"/>
  <c r="AC2189" i="2"/>
  <c r="AC2190" i="2"/>
  <c r="AC2191" i="2"/>
  <c r="AC2192" i="2"/>
  <c r="AC2193" i="2"/>
  <c r="AC2194" i="2"/>
  <c r="AC2195" i="2"/>
  <c r="AC2196" i="2"/>
  <c r="AC2197" i="2"/>
  <c r="AC2198" i="2"/>
  <c r="AC2199" i="2"/>
  <c r="AC2200" i="2"/>
  <c r="AC2201" i="2"/>
  <c r="AC2202" i="2"/>
  <c r="AC2203" i="2"/>
  <c r="AC2204" i="2"/>
  <c r="AC2205" i="2"/>
  <c r="AC2206" i="2"/>
  <c r="AC2207" i="2"/>
  <c r="AC2208" i="2"/>
  <c r="AC2209" i="2"/>
  <c r="AC2210" i="2"/>
  <c r="AC2211" i="2"/>
  <c r="AC2212" i="2"/>
  <c r="AC2213" i="2"/>
  <c r="AC2214" i="2"/>
  <c r="AC2215" i="2"/>
  <c r="AC2216" i="2"/>
  <c r="AC2217" i="2"/>
  <c r="AC2218" i="2"/>
  <c r="AC2219" i="2"/>
  <c r="AC2220" i="2"/>
  <c r="AC2221" i="2"/>
  <c r="AC2222" i="2"/>
  <c r="AC2223" i="2"/>
  <c r="AC2224" i="2"/>
  <c r="AC2225" i="2"/>
  <c r="AC2226" i="2"/>
  <c r="AC2227" i="2"/>
  <c r="AC2228" i="2"/>
  <c r="AC2229" i="2"/>
  <c r="AC2230" i="2"/>
  <c r="AC2231" i="2"/>
  <c r="AC2232" i="2"/>
  <c r="AC2233" i="2"/>
  <c r="AC2234" i="2"/>
  <c r="AC2235" i="2"/>
  <c r="AC2236" i="2"/>
  <c r="AC2237" i="2"/>
  <c r="AC2238" i="2"/>
  <c r="AC2239" i="2"/>
  <c r="AC2240" i="2"/>
  <c r="AC2241" i="2"/>
  <c r="AC2242" i="2"/>
  <c r="AC2243" i="2"/>
  <c r="AC2244" i="2"/>
  <c r="AC2245" i="2"/>
  <c r="AC2246" i="2"/>
  <c r="AC2247" i="2"/>
  <c r="AC2248" i="2"/>
  <c r="AC2249" i="2"/>
  <c r="AC2250" i="2"/>
  <c r="AC2251" i="2"/>
  <c r="AC2252" i="2"/>
  <c r="AC2253" i="2"/>
  <c r="AC2254" i="2"/>
  <c r="AC2255" i="2"/>
  <c r="AC2256" i="2"/>
  <c r="AC2257" i="2"/>
  <c r="AC2258" i="2"/>
  <c r="AC2259" i="2"/>
  <c r="AC2260" i="2"/>
  <c r="AC2261" i="2"/>
  <c r="AC2262" i="2"/>
  <c r="AC2263" i="2"/>
  <c r="AC2264" i="2"/>
  <c r="AC2265" i="2"/>
  <c r="AC2266" i="2"/>
  <c r="AC2267" i="2"/>
  <c r="AC2268" i="2"/>
  <c r="AC2269" i="2"/>
  <c r="AC2270" i="2"/>
  <c r="AC2271" i="2"/>
  <c r="AC2272" i="2"/>
  <c r="AC2273" i="2"/>
  <c r="AC2274" i="2"/>
  <c r="AC2275" i="2"/>
  <c r="AC2276" i="2"/>
  <c r="AC2277" i="2"/>
  <c r="AC2278" i="2"/>
  <c r="AC2279" i="2"/>
  <c r="AC2280" i="2"/>
  <c r="AC2281" i="2"/>
  <c r="AC2282" i="2"/>
  <c r="AC2283" i="2"/>
  <c r="AC2284" i="2"/>
  <c r="AC2285" i="2"/>
  <c r="AC2286" i="2"/>
  <c r="AC2287" i="2"/>
  <c r="AC2288" i="2"/>
  <c r="AC2289" i="2"/>
  <c r="AC2290" i="2"/>
  <c r="AC2291" i="2"/>
  <c r="AC2292" i="2"/>
  <c r="AC2293" i="2"/>
  <c r="AC2294" i="2"/>
  <c r="AC2295" i="2"/>
  <c r="AC2296" i="2"/>
  <c r="AC2297" i="2"/>
  <c r="AC2298" i="2"/>
  <c r="AC2299" i="2"/>
  <c r="AC2300" i="2"/>
  <c r="AC2301" i="2"/>
  <c r="AC2302" i="2"/>
  <c r="AC2303" i="2"/>
  <c r="AC2304" i="2"/>
  <c r="AC2305" i="2"/>
  <c r="AC2306" i="2"/>
  <c r="AC2307" i="2"/>
  <c r="AC2308" i="2"/>
  <c r="AC2309" i="2"/>
  <c r="AC2310" i="2"/>
  <c r="AC2311" i="2"/>
  <c r="AC2312" i="2"/>
  <c r="AC2313" i="2"/>
  <c r="AC2314" i="2"/>
  <c r="AC2315" i="2"/>
  <c r="AC2316" i="2"/>
  <c r="AC2317" i="2"/>
  <c r="AC2318" i="2"/>
  <c r="AC2319" i="2"/>
  <c r="AC2320" i="2"/>
  <c r="AC2321" i="2"/>
  <c r="AC2322" i="2"/>
  <c r="AC2323" i="2"/>
  <c r="AC2324" i="2"/>
  <c r="AC2325" i="2"/>
  <c r="AC2326" i="2"/>
  <c r="AC2327" i="2"/>
  <c r="AC2328" i="2"/>
  <c r="AC2329" i="2"/>
  <c r="AC2330" i="2"/>
  <c r="AC2331" i="2"/>
  <c r="AC2332" i="2"/>
  <c r="AC2333" i="2"/>
  <c r="AC2334" i="2"/>
  <c r="AC2335" i="2"/>
  <c r="AC2336" i="2"/>
  <c r="AC2337" i="2"/>
  <c r="AC2338" i="2"/>
  <c r="AC2339" i="2"/>
  <c r="AC2340" i="2"/>
  <c r="AC2341" i="2"/>
  <c r="AC2342" i="2"/>
  <c r="AC2343" i="2"/>
  <c r="AC2344" i="2"/>
  <c r="AC2345" i="2"/>
  <c r="AC2346" i="2"/>
  <c r="AC2347" i="2"/>
  <c r="AC2348" i="2"/>
  <c r="AC2349" i="2"/>
  <c r="AC2350" i="2"/>
  <c r="AC2351" i="2"/>
  <c r="AC2352" i="2"/>
  <c r="AC2353" i="2"/>
  <c r="AC2354" i="2"/>
  <c r="AC2355" i="2"/>
  <c r="AC2356" i="2"/>
  <c r="AC2357" i="2"/>
  <c r="AC2358" i="2"/>
  <c r="AC2359" i="2"/>
  <c r="AC2360" i="2"/>
  <c r="AC2361" i="2"/>
  <c r="AC2362" i="2"/>
  <c r="AC2363" i="2"/>
  <c r="AC2364" i="2"/>
  <c r="AC2365" i="2"/>
  <c r="AC2366" i="2"/>
  <c r="AC2367" i="2"/>
  <c r="AC2368" i="2"/>
  <c r="AC2369" i="2"/>
  <c r="AC2370" i="2"/>
  <c r="AC2371" i="2"/>
  <c r="AC2372" i="2"/>
  <c r="AC2373" i="2"/>
  <c r="AC2374" i="2"/>
  <c r="AC2375" i="2"/>
  <c r="AC2376" i="2"/>
  <c r="AC2377" i="2"/>
  <c r="AC2378" i="2"/>
  <c r="AC2379" i="2"/>
  <c r="AC2380" i="2"/>
  <c r="AC2381" i="2"/>
  <c r="AC2382" i="2"/>
  <c r="AC2383" i="2"/>
  <c r="AC2384" i="2"/>
  <c r="AC2385" i="2"/>
  <c r="AC2386" i="2"/>
  <c r="AC2387" i="2"/>
  <c r="AC2388" i="2"/>
  <c r="AC2389" i="2"/>
  <c r="AC2390" i="2"/>
  <c r="AC2391" i="2"/>
  <c r="AC2392" i="2"/>
  <c r="AC2393" i="2"/>
  <c r="AC2394" i="2"/>
  <c r="AC2395" i="2"/>
  <c r="AC2396" i="2"/>
  <c r="AC2397" i="2"/>
  <c r="AC2398" i="2"/>
  <c r="AC2399" i="2"/>
  <c r="AC2400" i="2"/>
  <c r="AC2401" i="2"/>
  <c r="AC2402" i="2"/>
  <c r="AC2403" i="2"/>
  <c r="AC2404" i="2"/>
  <c r="AC2405" i="2"/>
  <c r="AC2406" i="2"/>
  <c r="AC2407" i="2"/>
  <c r="AC2408" i="2"/>
  <c r="AC2409" i="2"/>
  <c r="AC2410" i="2"/>
  <c r="AC2411" i="2"/>
  <c r="AC2412" i="2"/>
  <c r="AC2413" i="2"/>
  <c r="AC2414" i="2"/>
  <c r="AC2415" i="2"/>
  <c r="AC1084" i="2"/>
  <c r="Z1085" i="2"/>
  <c r="Z1086" i="2"/>
  <c r="Z1087" i="2"/>
  <c r="Z1088" i="2"/>
  <c r="Z1089" i="2"/>
  <c r="Z1090" i="2"/>
  <c r="Z1091" i="2"/>
  <c r="Z1092" i="2"/>
  <c r="Z1093" i="2"/>
  <c r="Z1094" i="2"/>
  <c r="Z1095" i="2"/>
  <c r="Z1096" i="2"/>
  <c r="Z1097" i="2"/>
  <c r="Z1098" i="2"/>
  <c r="Z1099" i="2"/>
  <c r="Z1100" i="2"/>
  <c r="Z1101" i="2"/>
  <c r="Z1102" i="2"/>
  <c r="Z1103" i="2"/>
  <c r="Z1104" i="2"/>
  <c r="Z1105" i="2"/>
  <c r="Z1106" i="2"/>
  <c r="Z1107" i="2"/>
  <c r="Z1108" i="2"/>
  <c r="Z1109" i="2"/>
  <c r="Z1110" i="2"/>
  <c r="Z1111" i="2"/>
  <c r="Z1112" i="2"/>
  <c r="Z1113" i="2"/>
  <c r="Z1114" i="2"/>
  <c r="Z1115" i="2"/>
  <c r="Z1116" i="2"/>
  <c r="Z1117" i="2"/>
  <c r="Z1118" i="2"/>
  <c r="Z1119" i="2"/>
  <c r="Z1120" i="2"/>
  <c r="Z1121" i="2"/>
  <c r="Z1122" i="2"/>
  <c r="Z1123" i="2"/>
  <c r="Z1124" i="2"/>
  <c r="Z1125" i="2"/>
  <c r="Z1126" i="2"/>
  <c r="Z1127" i="2"/>
  <c r="Z1128" i="2"/>
  <c r="Z1129" i="2"/>
  <c r="Z1130" i="2"/>
  <c r="Z1131" i="2"/>
  <c r="Z1132" i="2"/>
  <c r="Z1133" i="2"/>
  <c r="Z1134" i="2"/>
  <c r="Z1135" i="2"/>
  <c r="Z1136" i="2"/>
  <c r="Z1137" i="2"/>
  <c r="Z1138" i="2"/>
  <c r="Z1139" i="2"/>
  <c r="Z1140" i="2"/>
  <c r="Z1141" i="2"/>
  <c r="Z1142" i="2"/>
  <c r="Z1143" i="2"/>
  <c r="Z1144" i="2"/>
  <c r="Z1145" i="2"/>
  <c r="Z1146" i="2"/>
  <c r="Z1147" i="2"/>
  <c r="Z1148" i="2"/>
  <c r="Z1149" i="2"/>
  <c r="Z1150" i="2"/>
  <c r="Z1151" i="2"/>
  <c r="Z1152" i="2"/>
  <c r="Z1153" i="2"/>
  <c r="Z1154" i="2"/>
  <c r="Z1155" i="2"/>
  <c r="Z1156" i="2"/>
  <c r="Z1157" i="2"/>
  <c r="Z1158" i="2"/>
  <c r="Z1159" i="2"/>
  <c r="Z1160" i="2"/>
  <c r="Z1161" i="2"/>
  <c r="Z1162" i="2"/>
  <c r="Z1163" i="2"/>
  <c r="Z1164" i="2"/>
  <c r="Z1165" i="2"/>
  <c r="Z1166" i="2"/>
  <c r="Z1167" i="2"/>
  <c r="Z1168" i="2"/>
  <c r="Z1169" i="2"/>
  <c r="Z1170" i="2"/>
  <c r="Z1171" i="2"/>
  <c r="Z1172" i="2"/>
  <c r="Z1173" i="2"/>
  <c r="Z1174" i="2"/>
  <c r="Z1175" i="2"/>
  <c r="Z1176" i="2"/>
  <c r="Z1177" i="2"/>
  <c r="Z1178" i="2"/>
  <c r="Z1179" i="2"/>
  <c r="Z1180" i="2"/>
  <c r="Z1181" i="2"/>
  <c r="Z1182" i="2"/>
  <c r="Z1183" i="2"/>
  <c r="Z1184" i="2"/>
  <c r="Z1185" i="2"/>
  <c r="Z1186" i="2"/>
  <c r="Z1187" i="2"/>
  <c r="Z1188" i="2"/>
  <c r="Z1189" i="2"/>
  <c r="Z1190" i="2"/>
  <c r="Z1191" i="2"/>
  <c r="Z1192" i="2"/>
  <c r="Z1193" i="2"/>
  <c r="Z1194" i="2"/>
  <c r="Z1195" i="2"/>
  <c r="Z1196" i="2"/>
  <c r="Z1197" i="2"/>
  <c r="Z1198" i="2"/>
  <c r="Z1199" i="2"/>
  <c r="Z1200" i="2"/>
  <c r="Z1201" i="2"/>
  <c r="Z1202" i="2"/>
  <c r="Z1203" i="2"/>
  <c r="Z1204" i="2"/>
  <c r="Z1205" i="2"/>
  <c r="Z1206" i="2"/>
  <c r="Z1207" i="2"/>
  <c r="Z1208" i="2"/>
  <c r="Z1209" i="2"/>
  <c r="Z1210" i="2"/>
  <c r="Z1211" i="2"/>
  <c r="Z1212" i="2"/>
  <c r="Z1213" i="2"/>
  <c r="Z1214" i="2"/>
  <c r="Z1215" i="2"/>
  <c r="Z1216" i="2"/>
  <c r="Z1217" i="2"/>
  <c r="Z1218" i="2"/>
  <c r="Z1219" i="2"/>
  <c r="Z1220" i="2"/>
  <c r="Z1221" i="2"/>
  <c r="Z1222" i="2"/>
  <c r="Z1223" i="2"/>
  <c r="Z1224" i="2"/>
  <c r="Z1225" i="2"/>
  <c r="Z1226" i="2"/>
  <c r="Z1227" i="2"/>
  <c r="Z1228" i="2"/>
  <c r="Z1229" i="2"/>
  <c r="Z1230" i="2"/>
  <c r="Z1231" i="2"/>
  <c r="Z1232" i="2"/>
  <c r="Z1233" i="2"/>
  <c r="Z1234" i="2"/>
  <c r="Z1235" i="2"/>
  <c r="Z1236" i="2"/>
  <c r="Z1237" i="2"/>
  <c r="Z1238" i="2"/>
  <c r="Z1239" i="2"/>
  <c r="Z1240" i="2"/>
  <c r="Z1241" i="2"/>
  <c r="Z1242" i="2"/>
  <c r="Z1243" i="2"/>
  <c r="Z1244" i="2"/>
  <c r="Z1245" i="2"/>
  <c r="Z1246" i="2"/>
  <c r="Z1247" i="2"/>
  <c r="Z1248" i="2"/>
  <c r="Z1249" i="2"/>
  <c r="Z1250" i="2"/>
  <c r="Z1251" i="2"/>
  <c r="Z1252" i="2"/>
  <c r="Z1253" i="2"/>
  <c r="Z1254" i="2"/>
  <c r="Z1255" i="2"/>
  <c r="Z1256" i="2"/>
  <c r="Z1257" i="2"/>
  <c r="Z1258" i="2"/>
  <c r="Z1259" i="2"/>
  <c r="Z1260" i="2"/>
  <c r="Z1261" i="2"/>
  <c r="Z1262" i="2"/>
  <c r="Z1263" i="2"/>
  <c r="Z1264" i="2"/>
  <c r="Z1265" i="2"/>
  <c r="Z1266" i="2"/>
  <c r="Z1267" i="2"/>
  <c r="Z1268" i="2"/>
  <c r="Z1269" i="2"/>
  <c r="Z1270" i="2"/>
  <c r="Z1271" i="2"/>
  <c r="Z1272" i="2"/>
  <c r="Z1273" i="2"/>
  <c r="Z1274" i="2"/>
  <c r="Z1275" i="2"/>
  <c r="Z1276" i="2"/>
  <c r="Z1277" i="2"/>
  <c r="Z1278" i="2"/>
  <c r="Z1279" i="2"/>
  <c r="Z1280" i="2"/>
  <c r="Z1281" i="2"/>
  <c r="Z1282" i="2"/>
  <c r="Z1283" i="2"/>
  <c r="Z1284" i="2"/>
  <c r="Z1285" i="2"/>
  <c r="Z1286" i="2"/>
  <c r="Z1287" i="2"/>
  <c r="Z1288" i="2"/>
  <c r="Z1289" i="2"/>
  <c r="Z1290" i="2"/>
  <c r="Z1291" i="2"/>
  <c r="Z1292" i="2"/>
  <c r="Z1293" i="2"/>
  <c r="Z1294" i="2"/>
  <c r="Z1295" i="2"/>
  <c r="Z1296" i="2"/>
  <c r="Z1297" i="2"/>
  <c r="Z1298" i="2"/>
  <c r="Z1299" i="2"/>
  <c r="Z1300" i="2"/>
  <c r="Z1301" i="2"/>
  <c r="Z1302" i="2"/>
  <c r="Z1303" i="2"/>
  <c r="Z1304" i="2"/>
  <c r="Z1305" i="2"/>
  <c r="Z1306" i="2"/>
  <c r="Z1307" i="2"/>
  <c r="Z1308" i="2"/>
  <c r="Z1309" i="2"/>
  <c r="Z1310" i="2"/>
  <c r="Z1311" i="2"/>
  <c r="Z1312" i="2"/>
  <c r="Z1313" i="2"/>
  <c r="Z1314" i="2"/>
  <c r="Z1315" i="2"/>
  <c r="Z1316" i="2"/>
  <c r="Z1317" i="2"/>
  <c r="Z1318" i="2"/>
  <c r="Z1319" i="2"/>
  <c r="Z1320" i="2"/>
  <c r="Z1321" i="2"/>
  <c r="Z1322" i="2"/>
  <c r="Z1323" i="2"/>
  <c r="Z1324" i="2"/>
  <c r="Z1325" i="2"/>
  <c r="Z1326" i="2"/>
  <c r="Z1327" i="2"/>
  <c r="Z1328" i="2"/>
  <c r="Z1329" i="2"/>
  <c r="Z1330" i="2"/>
  <c r="Z1331" i="2"/>
  <c r="Z1332" i="2"/>
  <c r="Z1333" i="2"/>
  <c r="Z1334" i="2"/>
  <c r="Z1335" i="2"/>
  <c r="Z1336" i="2"/>
  <c r="Z1337" i="2"/>
  <c r="Z1338" i="2"/>
  <c r="Z1339" i="2"/>
  <c r="Z1340" i="2"/>
  <c r="Z1341" i="2"/>
  <c r="Z1342" i="2"/>
  <c r="Z1343" i="2"/>
  <c r="Z1344" i="2"/>
  <c r="Z1345" i="2"/>
  <c r="Z1346" i="2"/>
  <c r="Z1347" i="2"/>
  <c r="Z1348" i="2"/>
  <c r="Z1349" i="2"/>
  <c r="Z1350" i="2"/>
  <c r="Z1351" i="2"/>
  <c r="Z1352" i="2"/>
  <c r="Z1353" i="2"/>
  <c r="Z1354" i="2"/>
  <c r="Z1355" i="2"/>
  <c r="Z1356" i="2"/>
  <c r="Z1357" i="2"/>
  <c r="Z1358" i="2"/>
  <c r="Z1359" i="2"/>
  <c r="Z1360" i="2"/>
  <c r="Z1361" i="2"/>
  <c r="Z1362" i="2"/>
  <c r="Z1363" i="2"/>
  <c r="Z1364" i="2"/>
  <c r="Z1365" i="2"/>
  <c r="Z1366" i="2"/>
  <c r="Z1367" i="2"/>
  <c r="Z1368" i="2"/>
  <c r="Z1369" i="2"/>
  <c r="Z1370" i="2"/>
  <c r="Z1371" i="2"/>
  <c r="Z1372" i="2"/>
  <c r="Z1373" i="2"/>
  <c r="Z1374" i="2"/>
  <c r="Z1375" i="2"/>
  <c r="Z1376" i="2"/>
  <c r="Z1377" i="2"/>
  <c r="Z1378" i="2"/>
  <c r="Z1379" i="2"/>
  <c r="Z1380" i="2"/>
  <c r="Z1381" i="2"/>
  <c r="Z1382" i="2"/>
  <c r="Z1383" i="2"/>
  <c r="Z1384" i="2"/>
  <c r="Z1385" i="2"/>
  <c r="Z1386" i="2"/>
  <c r="Z1387" i="2"/>
  <c r="Z1388" i="2"/>
  <c r="Z1389" i="2"/>
  <c r="Z1390" i="2"/>
  <c r="Z1391" i="2"/>
  <c r="Z1392" i="2"/>
  <c r="Z1393" i="2"/>
  <c r="Z1394" i="2"/>
  <c r="Z1395" i="2"/>
  <c r="Z1396" i="2"/>
  <c r="Z1397" i="2"/>
  <c r="Z1398" i="2"/>
  <c r="Z1399" i="2"/>
  <c r="Z1400" i="2"/>
  <c r="Z1401" i="2"/>
  <c r="Z1402" i="2"/>
  <c r="Z1403" i="2"/>
  <c r="Z1404" i="2"/>
  <c r="Z1405" i="2"/>
  <c r="Z1406" i="2"/>
  <c r="Z1407" i="2"/>
  <c r="Z1408" i="2"/>
  <c r="Z1409" i="2"/>
  <c r="Z1410" i="2"/>
  <c r="Z1411" i="2"/>
  <c r="Z1412" i="2"/>
  <c r="Z1413" i="2"/>
  <c r="Z1414" i="2"/>
  <c r="Z1415" i="2"/>
  <c r="Z1416" i="2"/>
  <c r="Z1417" i="2"/>
  <c r="Z1418" i="2"/>
  <c r="Z1419" i="2"/>
  <c r="Z1420" i="2"/>
  <c r="Z1421" i="2"/>
  <c r="Z1422" i="2"/>
  <c r="Z1423" i="2"/>
  <c r="Z1424" i="2"/>
  <c r="Z1425" i="2"/>
  <c r="Z1426" i="2"/>
  <c r="Z1427" i="2"/>
  <c r="Z1428" i="2"/>
  <c r="Z1429" i="2"/>
  <c r="Z1430" i="2"/>
  <c r="Z1431" i="2"/>
  <c r="Z1432" i="2"/>
  <c r="Z1433" i="2"/>
  <c r="Z1434" i="2"/>
  <c r="Z1435" i="2"/>
  <c r="Z1436" i="2"/>
  <c r="Z1437" i="2"/>
  <c r="Z1438" i="2"/>
  <c r="Z1439" i="2"/>
  <c r="Z1440" i="2"/>
  <c r="Z1441" i="2"/>
  <c r="Z1442" i="2"/>
  <c r="Z1443" i="2"/>
  <c r="Z1444" i="2"/>
  <c r="Z1445" i="2"/>
  <c r="Z1446" i="2"/>
  <c r="Z1447" i="2"/>
  <c r="Z1448" i="2"/>
  <c r="Z1449" i="2"/>
  <c r="Z1450" i="2"/>
  <c r="Z1451" i="2"/>
  <c r="Z1452" i="2"/>
  <c r="Z1453" i="2"/>
  <c r="Z1454" i="2"/>
  <c r="Z1455" i="2"/>
  <c r="Z1456" i="2"/>
  <c r="Z1457" i="2"/>
  <c r="Z1458" i="2"/>
  <c r="Z1459" i="2"/>
  <c r="Z1460" i="2"/>
  <c r="Z1461" i="2"/>
  <c r="Z1462" i="2"/>
  <c r="Z1463" i="2"/>
  <c r="Z1464" i="2"/>
  <c r="Z1465" i="2"/>
  <c r="Z1466" i="2"/>
  <c r="Z1467" i="2"/>
  <c r="Z1468" i="2"/>
  <c r="Z1469" i="2"/>
  <c r="Z1470" i="2"/>
  <c r="Z1471" i="2"/>
  <c r="Z1472" i="2"/>
  <c r="Z1473" i="2"/>
  <c r="Z1474" i="2"/>
  <c r="Z1475" i="2"/>
  <c r="Z1476" i="2"/>
  <c r="Z1477" i="2"/>
  <c r="Z1478" i="2"/>
  <c r="Z1479" i="2"/>
  <c r="Z1480" i="2"/>
  <c r="Z1481" i="2"/>
  <c r="Z1482" i="2"/>
  <c r="Z1483" i="2"/>
  <c r="Z1484" i="2"/>
  <c r="Z1485" i="2"/>
  <c r="Z1486" i="2"/>
  <c r="Z1487" i="2"/>
  <c r="Z1488" i="2"/>
  <c r="Z1489" i="2"/>
  <c r="Z1490" i="2"/>
  <c r="Z1491" i="2"/>
  <c r="Z1492" i="2"/>
  <c r="Z1493" i="2"/>
  <c r="Z1494" i="2"/>
  <c r="Z1495" i="2"/>
  <c r="Z1496" i="2"/>
  <c r="Z1497" i="2"/>
  <c r="Z1498" i="2"/>
  <c r="Z1499" i="2"/>
  <c r="Z1500" i="2"/>
  <c r="Z1501" i="2"/>
  <c r="Z1502" i="2"/>
  <c r="Z1503" i="2"/>
  <c r="Z1504" i="2"/>
  <c r="Z1505" i="2"/>
  <c r="Z1506" i="2"/>
  <c r="Z1507" i="2"/>
  <c r="Z1508" i="2"/>
  <c r="Z1509" i="2"/>
  <c r="Z1510" i="2"/>
  <c r="Z1511" i="2"/>
  <c r="Z1512" i="2"/>
  <c r="Z1513" i="2"/>
  <c r="Z1514" i="2"/>
  <c r="Z1515" i="2"/>
  <c r="Z1516" i="2"/>
  <c r="Z1517" i="2"/>
  <c r="Z1518" i="2"/>
  <c r="Z1519" i="2"/>
  <c r="Z1520" i="2"/>
  <c r="Z1521" i="2"/>
  <c r="Z1522" i="2"/>
  <c r="Z1523" i="2"/>
  <c r="Z1524" i="2"/>
  <c r="Z1525" i="2"/>
  <c r="Z1526" i="2"/>
  <c r="Z1527" i="2"/>
  <c r="Z1528" i="2"/>
  <c r="Z1529" i="2"/>
  <c r="Z1530" i="2"/>
  <c r="Z1531" i="2"/>
  <c r="Z1532" i="2"/>
  <c r="Z1533" i="2"/>
  <c r="Z1534" i="2"/>
  <c r="Z1535" i="2"/>
  <c r="Z1536" i="2"/>
  <c r="Z1537" i="2"/>
  <c r="Z1538" i="2"/>
  <c r="Z1539" i="2"/>
  <c r="Z1540" i="2"/>
  <c r="Z1541" i="2"/>
  <c r="Z1542" i="2"/>
  <c r="Z1543" i="2"/>
  <c r="Z1544" i="2"/>
  <c r="Z1545" i="2"/>
  <c r="Z1546" i="2"/>
  <c r="Z1547" i="2"/>
  <c r="Z1548" i="2"/>
  <c r="Z1549" i="2"/>
  <c r="Z1550" i="2"/>
  <c r="Z1551" i="2"/>
  <c r="Z1552" i="2"/>
  <c r="Z1553" i="2"/>
  <c r="Z1554" i="2"/>
  <c r="Z1555" i="2"/>
  <c r="Z1556" i="2"/>
  <c r="Z1557" i="2"/>
  <c r="Z1558" i="2"/>
  <c r="Z1559" i="2"/>
  <c r="Z1560" i="2"/>
  <c r="Z1561" i="2"/>
  <c r="Z1562" i="2"/>
  <c r="Z1563" i="2"/>
  <c r="Z1564" i="2"/>
  <c r="Z1565" i="2"/>
  <c r="Z1566" i="2"/>
  <c r="Z1567" i="2"/>
  <c r="Z1568" i="2"/>
  <c r="Z1569" i="2"/>
  <c r="Z1570" i="2"/>
  <c r="Z1571" i="2"/>
  <c r="Z1572" i="2"/>
  <c r="Z1573" i="2"/>
  <c r="Z1574" i="2"/>
  <c r="Z1575" i="2"/>
  <c r="Z1576" i="2"/>
  <c r="Z1577" i="2"/>
  <c r="Z1578" i="2"/>
  <c r="Z1579" i="2"/>
  <c r="Z1580" i="2"/>
  <c r="Z1581" i="2"/>
  <c r="Z1582" i="2"/>
  <c r="Z1583" i="2"/>
  <c r="Z1584" i="2"/>
  <c r="Z1585" i="2"/>
  <c r="Z1586" i="2"/>
  <c r="Z1587" i="2"/>
  <c r="Z1588" i="2"/>
  <c r="Z1589" i="2"/>
  <c r="Z1590" i="2"/>
  <c r="Z1591" i="2"/>
  <c r="Z1592" i="2"/>
  <c r="Z1593" i="2"/>
  <c r="Z1594" i="2"/>
  <c r="Z1595" i="2"/>
  <c r="Z1596" i="2"/>
  <c r="Z1597" i="2"/>
  <c r="Z1598" i="2"/>
  <c r="Z1599" i="2"/>
  <c r="Z1600" i="2"/>
  <c r="Z1601" i="2"/>
  <c r="Z1602" i="2"/>
  <c r="Z1603" i="2"/>
  <c r="Z1604" i="2"/>
  <c r="Z1605" i="2"/>
  <c r="Z1606" i="2"/>
  <c r="Z1607" i="2"/>
  <c r="Z1608" i="2"/>
  <c r="Z1609" i="2"/>
  <c r="Z1610" i="2"/>
  <c r="Z1611" i="2"/>
  <c r="Z1612" i="2"/>
  <c r="Z1613" i="2"/>
  <c r="Z1614" i="2"/>
  <c r="Z1615" i="2"/>
  <c r="Z1616" i="2"/>
  <c r="Z1617" i="2"/>
  <c r="Z1618" i="2"/>
  <c r="Z1619" i="2"/>
  <c r="Z1620" i="2"/>
  <c r="Z1621" i="2"/>
  <c r="Z1622" i="2"/>
  <c r="Z1623" i="2"/>
  <c r="Z1624" i="2"/>
  <c r="Z1625" i="2"/>
  <c r="Z1626" i="2"/>
  <c r="Z1627" i="2"/>
  <c r="Z1628" i="2"/>
  <c r="Z1629" i="2"/>
  <c r="Z1630" i="2"/>
  <c r="Z1631" i="2"/>
  <c r="Z1632" i="2"/>
  <c r="Z1633" i="2"/>
  <c r="Z1634" i="2"/>
  <c r="Z1635" i="2"/>
  <c r="Z1636" i="2"/>
  <c r="Z1637" i="2"/>
  <c r="Z1638" i="2"/>
  <c r="Z1639" i="2"/>
  <c r="Z1640" i="2"/>
  <c r="Z1641" i="2"/>
  <c r="Z1642" i="2"/>
  <c r="Z1643" i="2"/>
  <c r="Z1644" i="2"/>
  <c r="Z1645" i="2"/>
  <c r="Z1646" i="2"/>
  <c r="Z1647" i="2"/>
  <c r="Z1648" i="2"/>
  <c r="Z1649" i="2"/>
  <c r="Z1650" i="2"/>
  <c r="Z1651" i="2"/>
  <c r="Z1652" i="2"/>
  <c r="Z1653" i="2"/>
  <c r="Z1654" i="2"/>
  <c r="Z1655" i="2"/>
  <c r="Z1656" i="2"/>
  <c r="Z1657" i="2"/>
  <c r="Z1658" i="2"/>
  <c r="Z1659" i="2"/>
  <c r="Z1660" i="2"/>
  <c r="Z1661" i="2"/>
  <c r="Z1662" i="2"/>
  <c r="Z1663" i="2"/>
  <c r="Z1664" i="2"/>
  <c r="Z1665" i="2"/>
  <c r="Z1666" i="2"/>
  <c r="Z1667" i="2"/>
  <c r="Z1668" i="2"/>
  <c r="Z1669" i="2"/>
  <c r="Z1670" i="2"/>
  <c r="Z1671" i="2"/>
  <c r="Z1672" i="2"/>
  <c r="Z1673" i="2"/>
  <c r="Z1674" i="2"/>
  <c r="Z1675" i="2"/>
  <c r="Z1676" i="2"/>
  <c r="Z1677" i="2"/>
  <c r="Z1678" i="2"/>
  <c r="Z1679" i="2"/>
  <c r="Z1680" i="2"/>
  <c r="Z1681" i="2"/>
  <c r="Z1682" i="2"/>
  <c r="Z1683" i="2"/>
  <c r="Z1684" i="2"/>
  <c r="Z1685" i="2"/>
  <c r="Z1686" i="2"/>
  <c r="Z1687" i="2"/>
  <c r="Z1688" i="2"/>
  <c r="Z1689" i="2"/>
  <c r="Z1690" i="2"/>
  <c r="Z1691" i="2"/>
  <c r="Z1692" i="2"/>
  <c r="Z1693" i="2"/>
  <c r="Z1694" i="2"/>
  <c r="Z1695" i="2"/>
  <c r="Z1696" i="2"/>
  <c r="Z1697" i="2"/>
  <c r="Z1698" i="2"/>
  <c r="Z1699" i="2"/>
  <c r="Z1700" i="2"/>
  <c r="Z1701" i="2"/>
  <c r="Z1702" i="2"/>
  <c r="Z1703" i="2"/>
  <c r="Z1704" i="2"/>
  <c r="Z1705" i="2"/>
  <c r="Z1706" i="2"/>
  <c r="Z1707" i="2"/>
  <c r="Z1708" i="2"/>
  <c r="Z1709" i="2"/>
  <c r="Z1710" i="2"/>
  <c r="Z1711" i="2"/>
  <c r="Z1712" i="2"/>
  <c r="Z1713" i="2"/>
  <c r="Z1714" i="2"/>
  <c r="Z1715" i="2"/>
  <c r="Z1716" i="2"/>
  <c r="Z1717" i="2"/>
  <c r="Z1718" i="2"/>
  <c r="Z1719" i="2"/>
  <c r="Z1720" i="2"/>
  <c r="Z1721" i="2"/>
  <c r="Z1722" i="2"/>
  <c r="Z1723" i="2"/>
  <c r="Z1724" i="2"/>
  <c r="Z1725" i="2"/>
  <c r="Z1726" i="2"/>
  <c r="Z1727" i="2"/>
  <c r="Z1728" i="2"/>
  <c r="Z1729" i="2"/>
  <c r="Z1730" i="2"/>
  <c r="Z1731" i="2"/>
  <c r="Z1732" i="2"/>
  <c r="Z1733" i="2"/>
  <c r="Z1734" i="2"/>
  <c r="Z1735" i="2"/>
  <c r="Z1736" i="2"/>
  <c r="Z1737" i="2"/>
  <c r="Z1738" i="2"/>
  <c r="Z1739" i="2"/>
  <c r="Z1740" i="2"/>
  <c r="Z1741" i="2"/>
  <c r="Z1742" i="2"/>
  <c r="Z1743" i="2"/>
  <c r="Z1744" i="2"/>
  <c r="Z1745" i="2"/>
  <c r="Z1746" i="2"/>
  <c r="Z1747" i="2"/>
  <c r="Z1748" i="2"/>
  <c r="Z1749" i="2"/>
  <c r="Z1750" i="2"/>
  <c r="Z1751" i="2"/>
  <c r="Z1752" i="2"/>
  <c r="Z1753" i="2"/>
  <c r="Z1754" i="2"/>
  <c r="Z1755" i="2"/>
  <c r="Z1756" i="2"/>
  <c r="Z1757" i="2"/>
  <c r="Z1758" i="2"/>
  <c r="Z1759" i="2"/>
  <c r="Z1760" i="2"/>
  <c r="Z1761" i="2"/>
  <c r="Z1762" i="2"/>
  <c r="Z1763" i="2"/>
  <c r="Z1764" i="2"/>
  <c r="Z1765" i="2"/>
  <c r="Z1766" i="2"/>
  <c r="Z1767" i="2"/>
  <c r="Z1768" i="2"/>
  <c r="Z1769" i="2"/>
  <c r="Z1770" i="2"/>
  <c r="Z1771" i="2"/>
  <c r="Z1772" i="2"/>
  <c r="Z1773" i="2"/>
  <c r="Z1774" i="2"/>
  <c r="Z1775" i="2"/>
  <c r="Z1776" i="2"/>
  <c r="Z1777" i="2"/>
  <c r="Z1778" i="2"/>
  <c r="Z1779" i="2"/>
  <c r="Z1780" i="2"/>
  <c r="Z1781" i="2"/>
  <c r="Z1782" i="2"/>
  <c r="Z1783" i="2"/>
  <c r="Z1784" i="2"/>
  <c r="Z1785" i="2"/>
  <c r="Z1786" i="2"/>
  <c r="Z1787" i="2"/>
  <c r="Z1788" i="2"/>
  <c r="Z1789" i="2"/>
  <c r="Z1790" i="2"/>
  <c r="Z1791" i="2"/>
  <c r="Z1792" i="2"/>
  <c r="Z1793" i="2"/>
  <c r="Z1794" i="2"/>
  <c r="Z1795" i="2"/>
  <c r="Z1796" i="2"/>
  <c r="Z1797" i="2"/>
  <c r="Z1798" i="2"/>
  <c r="Z1799" i="2"/>
  <c r="Z1800" i="2"/>
  <c r="Z1801" i="2"/>
  <c r="Z1802" i="2"/>
  <c r="Z1803" i="2"/>
  <c r="Z1804" i="2"/>
  <c r="Z1805" i="2"/>
  <c r="Z1806" i="2"/>
  <c r="Z1807" i="2"/>
  <c r="Z1808" i="2"/>
  <c r="Z1809" i="2"/>
  <c r="Z1810" i="2"/>
  <c r="Z1811" i="2"/>
  <c r="Z1812" i="2"/>
  <c r="Z1813" i="2"/>
  <c r="Z1814" i="2"/>
  <c r="Z1815" i="2"/>
  <c r="Z1816" i="2"/>
  <c r="Z1817" i="2"/>
  <c r="Z1818" i="2"/>
  <c r="Z1819" i="2"/>
  <c r="Z1820" i="2"/>
  <c r="Z1821" i="2"/>
  <c r="Z1822" i="2"/>
  <c r="Z1823" i="2"/>
  <c r="Z1824" i="2"/>
  <c r="Z1825" i="2"/>
  <c r="Z1826" i="2"/>
  <c r="Z1827" i="2"/>
  <c r="Z1828" i="2"/>
  <c r="Z1829" i="2"/>
  <c r="Z1830" i="2"/>
  <c r="Z1831" i="2"/>
  <c r="Z1832" i="2"/>
  <c r="Z1833" i="2"/>
  <c r="Z1834" i="2"/>
  <c r="Z1835" i="2"/>
  <c r="Z1836" i="2"/>
  <c r="Z1837" i="2"/>
  <c r="Z1838" i="2"/>
  <c r="Z1839" i="2"/>
  <c r="Z1840" i="2"/>
  <c r="Z1841" i="2"/>
  <c r="Z1842" i="2"/>
  <c r="Z1843" i="2"/>
  <c r="Z1844" i="2"/>
  <c r="Z1845" i="2"/>
  <c r="Z1846" i="2"/>
  <c r="Z1847" i="2"/>
  <c r="Z1848" i="2"/>
  <c r="Z1849" i="2"/>
  <c r="Z1850" i="2"/>
  <c r="Z1851" i="2"/>
  <c r="Z1852" i="2"/>
  <c r="Z1853" i="2"/>
  <c r="Z1854" i="2"/>
  <c r="Z1855" i="2"/>
  <c r="Z1856" i="2"/>
  <c r="Z1857" i="2"/>
  <c r="Z1858" i="2"/>
  <c r="Z1859" i="2"/>
  <c r="Z1860" i="2"/>
  <c r="Z1861" i="2"/>
  <c r="Z1862" i="2"/>
  <c r="Z1863" i="2"/>
  <c r="Z1864" i="2"/>
  <c r="Z1865" i="2"/>
  <c r="Z1866" i="2"/>
  <c r="Z1867" i="2"/>
  <c r="Z1868" i="2"/>
  <c r="Z1869" i="2"/>
  <c r="Z1870" i="2"/>
  <c r="Z1871" i="2"/>
  <c r="Z1872" i="2"/>
  <c r="Z1873" i="2"/>
  <c r="Z1874" i="2"/>
  <c r="Z1875" i="2"/>
  <c r="Z1876" i="2"/>
  <c r="Z1877" i="2"/>
  <c r="Z1878" i="2"/>
  <c r="Z1879" i="2"/>
  <c r="Z1880" i="2"/>
  <c r="Z1881" i="2"/>
  <c r="Z1882" i="2"/>
  <c r="Z1883" i="2"/>
  <c r="Z1884" i="2"/>
  <c r="Z1885" i="2"/>
  <c r="Z1886" i="2"/>
  <c r="Z1887" i="2"/>
  <c r="Z1888" i="2"/>
  <c r="Z1889" i="2"/>
  <c r="Z1890" i="2"/>
  <c r="Z1891" i="2"/>
  <c r="Z1892" i="2"/>
  <c r="Z1893" i="2"/>
  <c r="Z1894" i="2"/>
  <c r="Z1895" i="2"/>
  <c r="Z1896" i="2"/>
  <c r="Z1897" i="2"/>
  <c r="Z1898" i="2"/>
  <c r="Z1899" i="2"/>
  <c r="Z1900" i="2"/>
  <c r="Z1901" i="2"/>
  <c r="Z1902" i="2"/>
  <c r="Z1903" i="2"/>
  <c r="Z1904" i="2"/>
  <c r="Z1905" i="2"/>
  <c r="Z1906" i="2"/>
  <c r="Z1907" i="2"/>
  <c r="Z1908" i="2"/>
  <c r="Z1909" i="2"/>
  <c r="Z1910" i="2"/>
  <c r="Z1911" i="2"/>
  <c r="Z1912" i="2"/>
  <c r="Z1913" i="2"/>
  <c r="Z1914" i="2"/>
  <c r="Z1915" i="2"/>
  <c r="Z1916" i="2"/>
  <c r="Z1917" i="2"/>
  <c r="Z1918" i="2"/>
  <c r="Z1919" i="2"/>
  <c r="Z1920" i="2"/>
  <c r="Z1921" i="2"/>
  <c r="Z1922" i="2"/>
  <c r="Z1923" i="2"/>
  <c r="Z1924" i="2"/>
  <c r="Z1925" i="2"/>
  <c r="Z1926" i="2"/>
  <c r="Z1927" i="2"/>
  <c r="Z1928" i="2"/>
  <c r="Z1929" i="2"/>
  <c r="Z1930" i="2"/>
  <c r="Z1931" i="2"/>
  <c r="Z1932" i="2"/>
  <c r="Z1933" i="2"/>
  <c r="Z1934" i="2"/>
  <c r="Z1935" i="2"/>
  <c r="Z1936" i="2"/>
  <c r="Z1937" i="2"/>
  <c r="Z1938" i="2"/>
  <c r="Z1939" i="2"/>
  <c r="Z1940" i="2"/>
  <c r="Z1941" i="2"/>
  <c r="Z1942" i="2"/>
  <c r="Z1943" i="2"/>
  <c r="Z1944" i="2"/>
  <c r="Z1945" i="2"/>
  <c r="Z1946" i="2"/>
  <c r="Z1947" i="2"/>
  <c r="Z1948" i="2"/>
  <c r="Z1949" i="2"/>
  <c r="Z1950" i="2"/>
  <c r="Z1951" i="2"/>
  <c r="Z1952" i="2"/>
  <c r="Z1953" i="2"/>
  <c r="Z1954" i="2"/>
  <c r="Z1955" i="2"/>
  <c r="Z1956" i="2"/>
  <c r="Z1957" i="2"/>
  <c r="Z1958" i="2"/>
  <c r="Z1959" i="2"/>
  <c r="Z1960" i="2"/>
  <c r="Z1961" i="2"/>
  <c r="Z1962" i="2"/>
  <c r="Z1963" i="2"/>
  <c r="Z1964" i="2"/>
  <c r="Z1965" i="2"/>
  <c r="Z1966" i="2"/>
  <c r="Z1967" i="2"/>
  <c r="Z1968" i="2"/>
  <c r="Z1969" i="2"/>
  <c r="Z1970" i="2"/>
  <c r="Z1971" i="2"/>
  <c r="Z1972" i="2"/>
  <c r="Z1973" i="2"/>
  <c r="Z1974" i="2"/>
  <c r="Z1975" i="2"/>
  <c r="Z1976" i="2"/>
  <c r="Z1977" i="2"/>
  <c r="Z1978" i="2"/>
  <c r="Z1979" i="2"/>
  <c r="Z1980" i="2"/>
  <c r="Z1981" i="2"/>
  <c r="Z1982" i="2"/>
  <c r="Z1983" i="2"/>
  <c r="Z1984" i="2"/>
  <c r="Z1985" i="2"/>
  <c r="Z1986" i="2"/>
  <c r="Z1987" i="2"/>
  <c r="Z1988" i="2"/>
  <c r="Z1989" i="2"/>
  <c r="Z1990" i="2"/>
  <c r="Z1991" i="2"/>
  <c r="Z1992" i="2"/>
  <c r="Z1993" i="2"/>
  <c r="Z1994" i="2"/>
  <c r="Z1995" i="2"/>
  <c r="Z1996" i="2"/>
  <c r="Z1997" i="2"/>
  <c r="Z1998" i="2"/>
  <c r="Z1999" i="2"/>
  <c r="Z2000" i="2"/>
  <c r="Z2001" i="2"/>
  <c r="Z2002" i="2"/>
  <c r="Z2003" i="2"/>
  <c r="Z2004" i="2"/>
  <c r="Z2005" i="2"/>
  <c r="Z2006" i="2"/>
  <c r="Z2007" i="2"/>
  <c r="Z2008" i="2"/>
  <c r="Z2009" i="2"/>
  <c r="Z2010" i="2"/>
  <c r="Z2011" i="2"/>
  <c r="Z2012" i="2"/>
  <c r="Z2013" i="2"/>
  <c r="Z2014" i="2"/>
  <c r="Z2015" i="2"/>
  <c r="Z2016" i="2"/>
  <c r="Z2017" i="2"/>
  <c r="Z2018" i="2"/>
  <c r="Z2019" i="2"/>
  <c r="Z2020" i="2"/>
  <c r="Z2021" i="2"/>
  <c r="Z2022" i="2"/>
  <c r="Z2023" i="2"/>
  <c r="Z2024" i="2"/>
  <c r="Z2025" i="2"/>
  <c r="Z2026" i="2"/>
  <c r="Z2027" i="2"/>
  <c r="Z2028" i="2"/>
  <c r="Z2029" i="2"/>
  <c r="Z2030" i="2"/>
  <c r="Z2031" i="2"/>
  <c r="Z2032" i="2"/>
  <c r="Z2033" i="2"/>
  <c r="Z2034" i="2"/>
  <c r="Z2035" i="2"/>
  <c r="Z2036" i="2"/>
  <c r="Z2037" i="2"/>
  <c r="Z2038" i="2"/>
  <c r="Z2039" i="2"/>
  <c r="Z2040" i="2"/>
  <c r="Z2041" i="2"/>
  <c r="Z2042" i="2"/>
  <c r="Z2043" i="2"/>
  <c r="Z2044" i="2"/>
  <c r="Z2045" i="2"/>
  <c r="Z2046" i="2"/>
  <c r="Z2047" i="2"/>
  <c r="Z2048" i="2"/>
  <c r="Z2049" i="2"/>
  <c r="Z2050" i="2"/>
  <c r="Z2051" i="2"/>
  <c r="Z2052" i="2"/>
  <c r="Z2053" i="2"/>
  <c r="Z2054" i="2"/>
  <c r="Z2055" i="2"/>
  <c r="Z2056" i="2"/>
  <c r="Z2057" i="2"/>
  <c r="Z2058" i="2"/>
  <c r="Z2059" i="2"/>
  <c r="Z2060" i="2"/>
  <c r="Z2061" i="2"/>
  <c r="Z2062" i="2"/>
  <c r="Z2063" i="2"/>
  <c r="Z2064" i="2"/>
  <c r="Z2065" i="2"/>
  <c r="Z2066" i="2"/>
  <c r="Z2067" i="2"/>
  <c r="Z2068" i="2"/>
  <c r="Z2069" i="2"/>
  <c r="Z2070" i="2"/>
  <c r="Z2071" i="2"/>
  <c r="Z2072" i="2"/>
  <c r="Z2073" i="2"/>
  <c r="Z2074" i="2"/>
  <c r="Z2075" i="2"/>
  <c r="Z2076" i="2"/>
  <c r="Z2077" i="2"/>
  <c r="Z2078" i="2"/>
  <c r="Z2079" i="2"/>
  <c r="Z2080" i="2"/>
  <c r="Z2081" i="2"/>
  <c r="Z2082" i="2"/>
  <c r="Z2083" i="2"/>
  <c r="Z2084" i="2"/>
  <c r="Z2085" i="2"/>
  <c r="Z2086" i="2"/>
  <c r="Z2087" i="2"/>
  <c r="Z2088" i="2"/>
  <c r="Z2089" i="2"/>
  <c r="Z2090" i="2"/>
  <c r="Z2091" i="2"/>
  <c r="Z2092" i="2"/>
  <c r="Z2093" i="2"/>
  <c r="Z2094" i="2"/>
  <c r="Z2095" i="2"/>
  <c r="Z2096" i="2"/>
  <c r="Z2097" i="2"/>
  <c r="Z2098" i="2"/>
  <c r="Z2099" i="2"/>
  <c r="Z2100" i="2"/>
  <c r="Z2101" i="2"/>
  <c r="Z2102" i="2"/>
  <c r="Z2103" i="2"/>
  <c r="Z2104" i="2"/>
  <c r="Z2105" i="2"/>
  <c r="Z2106" i="2"/>
  <c r="Z2107" i="2"/>
  <c r="Z2108" i="2"/>
  <c r="Z2109" i="2"/>
  <c r="Z2110" i="2"/>
  <c r="Z2111" i="2"/>
  <c r="Z2112" i="2"/>
  <c r="Z2113" i="2"/>
  <c r="Z2114" i="2"/>
  <c r="Z2115" i="2"/>
  <c r="Z2116" i="2"/>
  <c r="Z2117" i="2"/>
  <c r="Z2118" i="2"/>
  <c r="Z2119" i="2"/>
  <c r="Z2120" i="2"/>
  <c r="Z2121" i="2"/>
  <c r="Z2122" i="2"/>
  <c r="Z2123" i="2"/>
  <c r="Z2124" i="2"/>
  <c r="Z2125" i="2"/>
  <c r="Z2126" i="2"/>
  <c r="Z2127" i="2"/>
  <c r="Z2128" i="2"/>
  <c r="Z2129" i="2"/>
  <c r="Z2130" i="2"/>
  <c r="Z2131" i="2"/>
  <c r="Z2132" i="2"/>
  <c r="Z2133" i="2"/>
  <c r="Z2134" i="2"/>
  <c r="Z2135" i="2"/>
  <c r="Z2136" i="2"/>
  <c r="Z2137" i="2"/>
  <c r="Z2138" i="2"/>
  <c r="Z2139" i="2"/>
  <c r="Z2140" i="2"/>
  <c r="Z2141" i="2"/>
  <c r="Z2142" i="2"/>
  <c r="Z2143" i="2"/>
  <c r="Z2144" i="2"/>
  <c r="Z2145" i="2"/>
  <c r="Z2146" i="2"/>
  <c r="Z2147" i="2"/>
  <c r="Z2148" i="2"/>
  <c r="Z2149" i="2"/>
  <c r="Z2150" i="2"/>
  <c r="Z2151" i="2"/>
  <c r="Z2152" i="2"/>
  <c r="Z2153" i="2"/>
  <c r="Z2154" i="2"/>
  <c r="Z2155" i="2"/>
  <c r="Z2156" i="2"/>
  <c r="Z2157" i="2"/>
  <c r="Z2158" i="2"/>
  <c r="Z2159" i="2"/>
  <c r="Z2160" i="2"/>
  <c r="Z2161" i="2"/>
  <c r="Z2162" i="2"/>
  <c r="Z2163" i="2"/>
  <c r="Z2164" i="2"/>
  <c r="Z2165" i="2"/>
  <c r="Z2166" i="2"/>
  <c r="Z2167" i="2"/>
  <c r="Z2168" i="2"/>
  <c r="Z2169" i="2"/>
  <c r="Z2170" i="2"/>
  <c r="Z2171" i="2"/>
  <c r="Z2172" i="2"/>
  <c r="Z2173" i="2"/>
  <c r="Z2174" i="2"/>
  <c r="Z2175" i="2"/>
  <c r="Z2176" i="2"/>
  <c r="Z2177" i="2"/>
  <c r="Z2178" i="2"/>
  <c r="Z2179" i="2"/>
  <c r="Z2180" i="2"/>
  <c r="Z2181" i="2"/>
  <c r="Z2182" i="2"/>
  <c r="Z2183" i="2"/>
  <c r="Z2184" i="2"/>
  <c r="Z2185" i="2"/>
  <c r="Z2186" i="2"/>
  <c r="Z2187" i="2"/>
  <c r="Z2188" i="2"/>
  <c r="Z2189" i="2"/>
  <c r="Z2190" i="2"/>
  <c r="Z2191" i="2"/>
  <c r="Z2192" i="2"/>
  <c r="Z2193" i="2"/>
  <c r="Z2194" i="2"/>
  <c r="Z2195" i="2"/>
  <c r="Z2196" i="2"/>
  <c r="Z2197" i="2"/>
  <c r="Z2198" i="2"/>
  <c r="Z2199" i="2"/>
  <c r="Z2200" i="2"/>
  <c r="Z2201" i="2"/>
  <c r="Z2202" i="2"/>
  <c r="Z2203" i="2"/>
  <c r="Z2204" i="2"/>
  <c r="Z2205" i="2"/>
  <c r="Z2206" i="2"/>
  <c r="Z2207" i="2"/>
  <c r="Z2208" i="2"/>
  <c r="Z2209" i="2"/>
  <c r="Z2210" i="2"/>
  <c r="Z2211" i="2"/>
  <c r="Z2212" i="2"/>
  <c r="Z2213" i="2"/>
  <c r="Z2214" i="2"/>
  <c r="Z2215" i="2"/>
  <c r="Z2216" i="2"/>
  <c r="Z2217" i="2"/>
  <c r="Z2218" i="2"/>
  <c r="Z2219" i="2"/>
  <c r="Z2220" i="2"/>
  <c r="Z2221" i="2"/>
  <c r="Z2222" i="2"/>
  <c r="Z2223" i="2"/>
  <c r="Z2224" i="2"/>
  <c r="Z2225" i="2"/>
  <c r="Z2226" i="2"/>
  <c r="Z2227" i="2"/>
  <c r="Z2228" i="2"/>
  <c r="Z2229" i="2"/>
  <c r="Z2230" i="2"/>
  <c r="Z2231" i="2"/>
  <c r="Z2232" i="2"/>
  <c r="Z2233" i="2"/>
  <c r="Z2234" i="2"/>
  <c r="Z2235" i="2"/>
  <c r="Z2236" i="2"/>
  <c r="Z2237" i="2"/>
  <c r="Z2238" i="2"/>
  <c r="Z2239" i="2"/>
  <c r="Z2240" i="2"/>
  <c r="Z2241" i="2"/>
  <c r="Z2242" i="2"/>
  <c r="Z2243" i="2"/>
  <c r="Z2244" i="2"/>
  <c r="Z2245" i="2"/>
  <c r="Z2246" i="2"/>
  <c r="Z2247" i="2"/>
  <c r="Z2248" i="2"/>
  <c r="Z2249" i="2"/>
  <c r="Z2250" i="2"/>
  <c r="Z2251" i="2"/>
  <c r="Z2252" i="2"/>
  <c r="Z2253" i="2"/>
  <c r="Z2254" i="2"/>
  <c r="Z2255" i="2"/>
  <c r="Z2256" i="2"/>
  <c r="Z2257" i="2"/>
  <c r="Z2258" i="2"/>
  <c r="Z2259" i="2"/>
  <c r="Z2260" i="2"/>
  <c r="Z2261" i="2"/>
  <c r="Z2262" i="2"/>
  <c r="Z2263" i="2"/>
  <c r="Z2264" i="2"/>
  <c r="Z2265" i="2"/>
  <c r="Z2266" i="2"/>
  <c r="Z2267" i="2"/>
  <c r="Z2268" i="2"/>
  <c r="Z2269" i="2"/>
  <c r="Z2270" i="2"/>
  <c r="Z2271" i="2"/>
  <c r="Z2272" i="2"/>
  <c r="Z2273" i="2"/>
  <c r="Z2274" i="2"/>
  <c r="Z2275" i="2"/>
  <c r="Z2276" i="2"/>
  <c r="Z2277" i="2"/>
  <c r="Z2278" i="2"/>
  <c r="Z2279" i="2"/>
  <c r="Z2280" i="2"/>
  <c r="Z2281" i="2"/>
  <c r="Z2282" i="2"/>
  <c r="Z2283" i="2"/>
  <c r="Z2284" i="2"/>
  <c r="Z2285" i="2"/>
  <c r="Z2286" i="2"/>
  <c r="Z2287" i="2"/>
  <c r="Z2288" i="2"/>
  <c r="Z2289" i="2"/>
  <c r="Z2290" i="2"/>
  <c r="Z2291" i="2"/>
  <c r="Z2292" i="2"/>
  <c r="Z2293" i="2"/>
  <c r="Z2294" i="2"/>
  <c r="Z2295" i="2"/>
  <c r="Z2296" i="2"/>
  <c r="Z2297" i="2"/>
  <c r="Z2298" i="2"/>
  <c r="Z2299" i="2"/>
  <c r="Z2300" i="2"/>
  <c r="Z2301" i="2"/>
  <c r="Z2302" i="2"/>
  <c r="Z2303" i="2"/>
  <c r="Z2304" i="2"/>
  <c r="Z2305" i="2"/>
  <c r="Z2306" i="2"/>
  <c r="Z2307" i="2"/>
  <c r="Z2308" i="2"/>
  <c r="Z2309" i="2"/>
  <c r="Z2310" i="2"/>
  <c r="Z2311" i="2"/>
  <c r="Z2312" i="2"/>
  <c r="Z2313" i="2"/>
  <c r="Z2314" i="2"/>
  <c r="Z2315" i="2"/>
  <c r="Z2316" i="2"/>
  <c r="Z2317" i="2"/>
  <c r="Z2318" i="2"/>
  <c r="Z2319" i="2"/>
  <c r="Z2320" i="2"/>
  <c r="Z2321" i="2"/>
  <c r="Z2322" i="2"/>
  <c r="Z2323" i="2"/>
  <c r="Z2324" i="2"/>
  <c r="Z2325" i="2"/>
  <c r="Z2326" i="2"/>
  <c r="Z2327" i="2"/>
  <c r="Z2328" i="2"/>
  <c r="Z2329" i="2"/>
  <c r="Z2330" i="2"/>
  <c r="Z2331" i="2"/>
  <c r="Z2332" i="2"/>
  <c r="Z2333" i="2"/>
  <c r="Z2334" i="2"/>
  <c r="Z2335" i="2"/>
  <c r="Z2336" i="2"/>
  <c r="Z2337" i="2"/>
  <c r="Z2338" i="2"/>
  <c r="Z2339" i="2"/>
  <c r="Z2340" i="2"/>
  <c r="Z2341" i="2"/>
  <c r="Z2342" i="2"/>
  <c r="Z2343" i="2"/>
  <c r="Z2344" i="2"/>
  <c r="Z2345" i="2"/>
  <c r="Z2346" i="2"/>
  <c r="Z2347" i="2"/>
  <c r="Z2348" i="2"/>
  <c r="Z2349" i="2"/>
  <c r="Z2350" i="2"/>
  <c r="Z2351" i="2"/>
  <c r="Z2352" i="2"/>
  <c r="Z2353" i="2"/>
  <c r="Z2354" i="2"/>
  <c r="Z2355" i="2"/>
  <c r="Z2356" i="2"/>
  <c r="Z2357" i="2"/>
  <c r="Z2358" i="2"/>
  <c r="Z2359" i="2"/>
  <c r="Z2360" i="2"/>
  <c r="Z2361" i="2"/>
  <c r="Z2362" i="2"/>
  <c r="Z2363" i="2"/>
  <c r="Z2364" i="2"/>
  <c r="Z2365" i="2"/>
  <c r="Z2366" i="2"/>
  <c r="Z2367" i="2"/>
  <c r="Z2368" i="2"/>
  <c r="Z2369" i="2"/>
  <c r="Z2370" i="2"/>
  <c r="Z2371" i="2"/>
  <c r="Z2372" i="2"/>
  <c r="Z2373" i="2"/>
  <c r="Z2374" i="2"/>
  <c r="Z2375" i="2"/>
  <c r="Z2376" i="2"/>
  <c r="Z2377" i="2"/>
  <c r="Z2378" i="2"/>
  <c r="Z2379" i="2"/>
  <c r="Z2380" i="2"/>
  <c r="Z2381" i="2"/>
  <c r="Z2382" i="2"/>
  <c r="Z2383" i="2"/>
  <c r="Z2384" i="2"/>
  <c r="Z2385" i="2"/>
  <c r="Z2386" i="2"/>
  <c r="Z2387" i="2"/>
  <c r="Z2388" i="2"/>
  <c r="Z2389" i="2"/>
  <c r="Z2390" i="2"/>
  <c r="Z2391" i="2"/>
  <c r="Z2392" i="2"/>
  <c r="Z2393" i="2"/>
  <c r="Z2394" i="2"/>
  <c r="Z2395" i="2"/>
  <c r="Z2396" i="2"/>
  <c r="Z2397" i="2"/>
  <c r="Z2398" i="2"/>
  <c r="Z2399" i="2"/>
  <c r="Z2400" i="2"/>
  <c r="Z2401" i="2"/>
  <c r="Z2402" i="2"/>
  <c r="Z2403" i="2"/>
  <c r="Z2404" i="2"/>
  <c r="Z2405" i="2"/>
  <c r="Z2406" i="2"/>
  <c r="Z2407" i="2"/>
  <c r="Z2408" i="2"/>
  <c r="Z2409" i="2"/>
  <c r="Z2410" i="2"/>
  <c r="Z2411" i="2"/>
  <c r="Z2412" i="2"/>
  <c r="Z2413" i="2"/>
  <c r="Z2414" i="2"/>
  <c r="Z2415" i="2"/>
  <c r="Z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1084" i="2"/>
  <c r="Q1085" i="2"/>
  <c r="Q1086" i="2"/>
  <c r="Q1087" i="2"/>
  <c r="Q1088" i="2"/>
  <c r="Q1089" i="2"/>
  <c r="Q1090" i="2"/>
  <c r="Q1091" i="2"/>
  <c r="Q1092" i="2"/>
  <c r="Q1093" i="2"/>
  <c r="Q1094" i="2"/>
  <c r="Q1095" i="2"/>
  <c r="Q1096" i="2"/>
  <c r="Q1097" i="2"/>
  <c r="Q1098" i="2"/>
  <c r="Q1099" i="2"/>
  <c r="Q1100" i="2"/>
  <c r="Q1101" i="2"/>
  <c r="Q1102" i="2"/>
  <c r="Q1103" i="2"/>
  <c r="Q1104" i="2"/>
  <c r="Q1105" i="2"/>
  <c r="Q1106" i="2"/>
  <c r="Q1107" i="2"/>
  <c r="Q1108" i="2"/>
  <c r="Q1109" i="2"/>
  <c r="Q1110" i="2"/>
  <c r="Q1111" i="2"/>
  <c r="Q1112" i="2"/>
  <c r="Q1113" i="2"/>
  <c r="Q1114" i="2"/>
  <c r="Q1115" i="2"/>
  <c r="Q1116" i="2"/>
  <c r="Q1117" i="2"/>
  <c r="Q1118" i="2"/>
  <c r="Q1119" i="2"/>
  <c r="Q1120" i="2"/>
  <c r="Q1121" i="2"/>
  <c r="Q1122" i="2"/>
  <c r="Q1123" i="2"/>
  <c r="Q1124" i="2"/>
  <c r="Q1125" i="2"/>
  <c r="Q1126" i="2"/>
  <c r="Q1127" i="2"/>
  <c r="Q1128" i="2"/>
  <c r="Q1129" i="2"/>
  <c r="Q1130" i="2"/>
  <c r="Q1131" i="2"/>
  <c r="Q1132" i="2"/>
  <c r="Q1133" i="2"/>
  <c r="Q1134" i="2"/>
  <c r="Q1135" i="2"/>
  <c r="Q1136" i="2"/>
  <c r="Q1137" i="2"/>
  <c r="Q1138" i="2"/>
  <c r="Q1139" i="2"/>
  <c r="Q1140" i="2"/>
  <c r="Q1141" i="2"/>
  <c r="Q1142" i="2"/>
  <c r="Q1143" i="2"/>
  <c r="Q1144" i="2"/>
  <c r="Q1145" i="2"/>
  <c r="Q1146" i="2"/>
  <c r="Q1147" i="2"/>
  <c r="Q1148" i="2"/>
  <c r="Q1149" i="2"/>
  <c r="Q1150" i="2"/>
  <c r="Q1151" i="2"/>
  <c r="Q1152" i="2"/>
  <c r="Q1153" i="2"/>
  <c r="Q1154" i="2"/>
  <c r="Q1155" i="2"/>
  <c r="Q1156" i="2"/>
  <c r="Q1157" i="2"/>
  <c r="Q1158" i="2"/>
  <c r="Q1159" i="2"/>
  <c r="Q1160" i="2"/>
  <c r="Q1161" i="2"/>
  <c r="Q1162" i="2"/>
  <c r="Q1163" i="2"/>
  <c r="Q1164" i="2"/>
  <c r="Q1165" i="2"/>
  <c r="Q1166" i="2"/>
  <c r="Q1167" i="2"/>
  <c r="Q1168" i="2"/>
  <c r="Q1169" i="2"/>
  <c r="Q1170" i="2"/>
  <c r="Q1171" i="2"/>
  <c r="Q1172" i="2"/>
  <c r="Q1173" i="2"/>
  <c r="Q1174" i="2"/>
  <c r="Q1175" i="2"/>
  <c r="Q1176" i="2"/>
  <c r="Q1177" i="2"/>
  <c r="Q1178" i="2"/>
  <c r="Q1179" i="2"/>
  <c r="Q1180" i="2"/>
  <c r="Q1181" i="2"/>
  <c r="Q1182" i="2"/>
  <c r="Q1183" i="2"/>
  <c r="Q1184" i="2"/>
  <c r="Q1185" i="2"/>
  <c r="Q1186" i="2"/>
  <c r="Q1187" i="2"/>
  <c r="Q1188" i="2"/>
  <c r="Q1189" i="2"/>
  <c r="Q1190" i="2"/>
  <c r="Q1191" i="2"/>
  <c r="Q1192" i="2"/>
  <c r="Q1193" i="2"/>
  <c r="Q1194" i="2"/>
  <c r="Q1195" i="2"/>
  <c r="Q1196" i="2"/>
  <c r="Q1197" i="2"/>
  <c r="Q1198" i="2"/>
  <c r="Q1199" i="2"/>
  <c r="Q1200" i="2"/>
  <c r="Q1201" i="2"/>
  <c r="Q1202" i="2"/>
  <c r="Q1203" i="2"/>
  <c r="Q1204" i="2"/>
  <c r="Q1205" i="2"/>
  <c r="Q1206" i="2"/>
  <c r="Q1207" i="2"/>
  <c r="Q1208" i="2"/>
  <c r="Q1209" i="2"/>
  <c r="Q1210" i="2"/>
  <c r="Q1211" i="2"/>
  <c r="Q1212" i="2"/>
  <c r="Q1213" i="2"/>
  <c r="Q1214" i="2"/>
  <c r="Q1215" i="2"/>
  <c r="Q1216" i="2"/>
  <c r="Q1217" i="2"/>
  <c r="Q1218" i="2"/>
  <c r="Q1219" i="2"/>
  <c r="Q1220" i="2"/>
  <c r="Q1221" i="2"/>
  <c r="Q1222" i="2"/>
  <c r="Q1223" i="2"/>
  <c r="Q1224" i="2"/>
  <c r="Q1225" i="2"/>
  <c r="Q1226" i="2"/>
  <c r="Q1227" i="2"/>
  <c r="Q1228" i="2"/>
  <c r="Q1229" i="2"/>
  <c r="Q1230" i="2"/>
  <c r="Q1231" i="2"/>
  <c r="Q1232" i="2"/>
  <c r="Q1233" i="2"/>
  <c r="Q1234" i="2"/>
  <c r="Q1235" i="2"/>
  <c r="Q1236" i="2"/>
  <c r="Q1237" i="2"/>
  <c r="Q1238" i="2"/>
  <c r="Q1239" i="2"/>
  <c r="Q1240" i="2"/>
  <c r="Q1241" i="2"/>
  <c r="Q1242" i="2"/>
  <c r="Q1243" i="2"/>
  <c r="Q1244" i="2"/>
  <c r="Q1245" i="2"/>
  <c r="Q1246" i="2"/>
  <c r="Q1247" i="2"/>
  <c r="Q1248" i="2"/>
  <c r="Q1249" i="2"/>
  <c r="Q1250" i="2"/>
  <c r="Q1251" i="2"/>
  <c r="Q1252" i="2"/>
  <c r="Q1253" i="2"/>
  <c r="Q1254" i="2"/>
  <c r="Q1255" i="2"/>
  <c r="Q1256" i="2"/>
  <c r="Q1257" i="2"/>
  <c r="Q1258" i="2"/>
  <c r="Q1259" i="2"/>
  <c r="Q1260" i="2"/>
  <c r="Q1261" i="2"/>
  <c r="Q1262" i="2"/>
  <c r="Q1263" i="2"/>
  <c r="Q1264" i="2"/>
  <c r="Q1265" i="2"/>
  <c r="Q1266" i="2"/>
  <c r="Q1267" i="2"/>
  <c r="Q1268" i="2"/>
  <c r="Q1269" i="2"/>
  <c r="Q1270" i="2"/>
  <c r="Q1271" i="2"/>
  <c r="Q1272" i="2"/>
  <c r="Q1273" i="2"/>
  <c r="Q1274" i="2"/>
  <c r="Q1275" i="2"/>
  <c r="Q1276" i="2"/>
  <c r="Q1277" i="2"/>
  <c r="Q1278" i="2"/>
  <c r="Q1279" i="2"/>
  <c r="Q1280" i="2"/>
  <c r="Q1281" i="2"/>
  <c r="Q1282" i="2"/>
  <c r="Q1283" i="2"/>
  <c r="Q1284" i="2"/>
  <c r="Q1285" i="2"/>
  <c r="Q1286" i="2"/>
  <c r="Q1287" i="2"/>
  <c r="Q1288" i="2"/>
  <c r="Q1289" i="2"/>
  <c r="Q1290" i="2"/>
  <c r="Q1291" i="2"/>
  <c r="Q1292" i="2"/>
  <c r="Q1293" i="2"/>
  <c r="Q1294" i="2"/>
  <c r="Q1295" i="2"/>
  <c r="Q1296" i="2"/>
  <c r="Q1297" i="2"/>
  <c r="Q1298" i="2"/>
  <c r="Q1299" i="2"/>
  <c r="Q1300" i="2"/>
  <c r="Q1301" i="2"/>
  <c r="Q1302" i="2"/>
  <c r="Q1303" i="2"/>
  <c r="Q1304" i="2"/>
  <c r="Q1305" i="2"/>
  <c r="Q1306" i="2"/>
  <c r="Q1307" i="2"/>
  <c r="Q1308" i="2"/>
  <c r="Q1309" i="2"/>
  <c r="Q1310" i="2"/>
  <c r="Q1311" i="2"/>
  <c r="Q1312" i="2"/>
  <c r="Q1313" i="2"/>
  <c r="Q1314" i="2"/>
  <c r="Q1315" i="2"/>
  <c r="Q1316" i="2"/>
  <c r="Q1317" i="2"/>
  <c r="Q1318" i="2"/>
  <c r="Q1319" i="2"/>
  <c r="Q1320" i="2"/>
  <c r="Q1321" i="2"/>
  <c r="Q1322" i="2"/>
  <c r="Q1323" i="2"/>
  <c r="Q1324" i="2"/>
  <c r="Q1325" i="2"/>
  <c r="Q1326" i="2"/>
  <c r="Q1327" i="2"/>
  <c r="Q1328" i="2"/>
  <c r="Q1329" i="2"/>
  <c r="Q1330" i="2"/>
  <c r="Q1331" i="2"/>
  <c r="Q1332" i="2"/>
  <c r="Q1333" i="2"/>
  <c r="Q1334" i="2"/>
  <c r="Q1335" i="2"/>
  <c r="Q1336" i="2"/>
  <c r="Q1337" i="2"/>
  <c r="Q1338" i="2"/>
  <c r="Q1339" i="2"/>
  <c r="Q1340" i="2"/>
  <c r="Q1341" i="2"/>
  <c r="Q1342" i="2"/>
  <c r="Q1343" i="2"/>
  <c r="Q1344" i="2"/>
  <c r="Q1345" i="2"/>
  <c r="Q1346" i="2"/>
  <c r="Q1347" i="2"/>
  <c r="Q1348" i="2"/>
  <c r="Q1349" i="2"/>
  <c r="Q1350" i="2"/>
  <c r="Q1351" i="2"/>
  <c r="Q1352" i="2"/>
  <c r="Q1353" i="2"/>
  <c r="Q1354" i="2"/>
  <c r="Q1355" i="2"/>
  <c r="Q1356" i="2"/>
  <c r="Q1357" i="2"/>
  <c r="Q1358" i="2"/>
  <c r="Q1359" i="2"/>
  <c r="Q1360" i="2"/>
  <c r="Q1361" i="2"/>
  <c r="Q1362" i="2"/>
  <c r="Q1363" i="2"/>
  <c r="Q1364" i="2"/>
  <c r="Q1365" i="2"/>
  <c r="Q1366" i="2"/>
  <c r="Q1367" i="2"/>
  <c r="Q1368" i="2"/>
  <c r="Q1369" i="2"/>
  <c r="Q1370" i="2"/>
  <c r="Q1371" i="2"/>
  <c r="Q1372" i="2"/>
  <c r="Q1373" i="2"/>
  <c r="Q1374" i="2"/>
  <c r="Q1375" i="2"/>
  <c r="Q1376" i="2"/>
  <c r="Q1377" i="2"/>
  <c r="Q1378" i="2"/>
  <c r="Q1379" i="2"/>
  <c r="Q1380" i="2"/>
  <c r="Q1381" i="2"/>
  <c r="Q1382" i="2"/>
  <c r="Q1383" i="2"/>
  <c r="Q1384" i="2"/>
  <c r="Q1385" i="2"/>
  <c r="Q1386" i="2"/>
  <c r="Q1387" i="2"/>
  <c r="Q1388" i="2"/>
  <c r="Q1389" i="2"/>
  <c r="Q1390" i="2"/>
  <c r="Q1391" i="2"/>
  <c r="Q1392" i="2"/>
  <c r="Q1393" i="2"/>
  <c r="Q1394" i="2"/>
  <c r="Q1395" i="2"/>
  <c r="Q1396" i="2"/>
  <c r="Q1397" i="2"/>
  <c r="Q1398" i="2"/>
  <c r="Q1399" i="2"/>
  <c r="Q1400" i="2"/>
  <c r="Q1401" i="2"/>
  <c r="Q1402" i="2"/>
  <c r="Q1403" i="2"/>
  <c r="Q1404" i="2"/>
  <c r="Q1405" i="2"/>
  <c r="Q1406" i="2"/>
  <c r="Q1407" i="2"/>
  <c r="Q1408" i="2"/>
  <c r="Q1409" i="2"/>
  <c r="Q1410" i="2"/>
  <c r="Q1411" i="2"/>
  <c r="Q1412" i="2"/>
  <c r="Q1413" i="2"/>
  <c r="Q1414" i="2"/>
  <c r="Q1415" i="2"/>
  <c r="Q1416" i="2"/>
  <c r="Q1417" i="2"/>
  <c r="Q1418" i="2"/>
  <c r="Q1419" i="2"/>
  <c r="Q1420" i="2"/>
  <c r="Q1421" i="2"/>
  <c r="Q1422" i="2"/>
  <c r="Q1423" i="2"/>
  <c r="Q1424" i="2"/>
  <c r="Q1425" i="2"/>
  <c r="Q1426" i="2"/>
  <c r="Q1427" i="2"/>
  <c r="Q1428" i="2"/>
  <c r="Q1429" i="2"/>
  <c r="Q1430" i="2"/>
  <c r="Q1431" i="2"/>
  <c r="Q1432" i="2"/>
  <c r="Q1433" i="2"/>
  <c r="Q1434" i="2"/>
  <c r="Q1435" i="2"/>
  <c r="Q1436" i="2"/>
  <c r="Q1437" i="2"/>
  <c r="Q1438" i="2"/>
  <c r="Q1439" i="2"/>
  <c r="Q1440" i="2"/>
  <c r="Q1441" i="2"/>
  <c r="Q1442" i="2"/>
  <c r="Q1443" i="2"/>
  <c r="Q1444" i="2"/>
  <c r="Q1445" i="2"/>
  <c r="Q1446" i="2"/>
  <c r="Q1447" i="2"/>
  <c r="Q1448" i="2"/>
  <c r="Q1449" i="2"/>
  <c r="Q1450" i="2"/>
  <c r="Q1451" i="2"/>
  <c r="Q1452" i="2"/>
  <c r="Q1453" i="2"/>
  <c r="Q1454" i="2"/>
  <c r="Q1455" i="2"/>
  <c r="Q1456" i="2"/>
  <c r="Q1457" i="2"/>
  <c r="Q1458" i="2"/>
  <c r="Q1459" i="2"/>
  <c r="Q1460" i="2"/>
  <c r="Q1461" i="2"/>
  <c r="Q1462" i="2"/>
  <c r="Q1463" i="2"/>
  <c r="Q1464" i="2"/>
  <c r="Q1465" i="2"/>
  <c r="Q1466" i="2"/>
  <c r="Q1467" i="2"/>
  <c r="Q1468" i="2"/>
  <c r="Q1469" i="2"/>
  <c r="Q1470" i="2"/>
  <c r="Q1471" i="2"/>
  <c r="Q1472" i="2"/>
  <c r="Q1473" i="2"/>
  <c r="Q1474" i="2"/>
  <c r="Q1475" i="2"/>
  <c r="Q1476" i="2"/>
  <c r="Q1477" i="2"/>
  <c r="Q1478" i="2"/>
  <c r="Q1479" i="2"/>
  <c r="Q1480" i="2"/>
  <c r="Q1481" i="2"/>
  <c r="Q1482" i="2"/>
  <c r="Q1483" i="2"/>
  <c r="Q1484" i="2"/>
  <c r="Q1485" i="2"/>
  <c r="Q1486" i="2"/>
  <c r="Q1487" i="2"/>
  <c r="Q1488" i="2"/>
  <c r="Q1489" i="2"/>
  <c r="Q1490" i="2"/>
  <c r="Q1491" i="2"/>
  <c r="Q1492" i="2"/>
  <c r="Q1493" i="2"/>
  <c r="Q1494" i="2"/>
  <c r="Q1495" i="2"/>
  <c r="Q1496" i="2"/>
  <c r="Q1497" i="2"/>
  <c r="Q1498" i="2"/>
  <c r="Q1499" i="2"/>
  <c r="Q1500" i="2"/>
  <c r="Q1501" i="2"/>
  <c r="Q1502" i="2"/>
  <c r="Q1503" i="2"/>
  <c r="Q1504" i="2"/>
  <c r="Q1505" i="2"/>
  <c r="Q1506" i="2"/>
  <c r="Q1507" i="2"/>
  <c r="Q1508" i="2"/>
  <c r="Q1509" i="2"/>
  <c r="Q1510" i="2"/>
  <c r="Q1511" i="2"/>
  <c r="Q1512" i="2"/>
  <c r="Q1513" i="2"/>
  <c r="Q1514" i="2"/>
  <c r="Q1515" i="2"/>
  <c r="Q1516" i="2"/>
  <c r="Q1517" i="2"/>
  <c r="Q1518" i="2"/>
  <c r="Q1519" i="2"/>
  <c r="Q1520" i="2"/>
  <c r="Q1521" i="2"/>
  <c r="Q1522" i="2"/>
  <c r="Q1523" i="2"/>
  <c r="Q1524" i="2"/>
  <c r="Q1525" i="2"/>
  <c r="Q1526" i="2"/>
  <c r="Q1527" i="2"/>
  <c r="Q1528" i="2"/>
  <c r="Q1529" i="2"/>
  <c r="Q1530" i="2"/>
  <c r="Q1531" i="2"/>
  <c r="Q1532" i="2"/>
  <c r="Q1533" i="2"/>
  <c r="Q1534" i="2"/>
  <c r="Q1535" i="2"/>
  <c r="Q1536" i="2"/>
  <c r="Q1537" i="2"/>
  <c r="Q1538" i="2"/>
  <c r="Q1539" i="2"/>
  <c r="Q1540" i="2"/>
  <c r="Q1541" i="2"/>
  <c r="Q1542" i="2"/>
  <c r="Q1543" i="2"/>
  <c r="Q1544" i="2"/>
  <c r="Q1545" i="2"/>
  <c r="Q1546" i="2"/>
  <c r="Q1547" i="2"/>
  <c r="Q1548" i="2"/>
  <c r="Q1549" i="2"/>
  <c r="Q1550" i="2"/>
  <c r="Q1551" i="2"/>
  <c r="Q1552" i="2"/>
  <c r="Q1553" i="2"/>
  <c r="Q1554" i="2"/>
  <c r="Q1555" i="2"/>
  <c r="Q1556" i="2"/>
  <c r="Q1557" i="2"/>
  <c r="Q1558" i="2"/>
  <c r="Q1559" i="2"/>
  <c r="Q1560" i="2"/>
  <c r="Q1561" i="2"/>
  <c r="Q1562" i="2"/>
  <c r="Q1563" i="2"/>
  <c r="Q1564" i="2"/>
  <c r="Q1565" i="2"/>
  <c r="Q1566" i="2"/>
  <c r="Q1567" i="2"/>
  <c r="Q1568" i="2"/>
  <c r="Q1569" i="2"/>
  <c r="Q1570" i="2"/>
  <c r="Q1571" i="2"/>
  <c r="Q1572" i="2"/>
  <c r="Q1573" i="2"/>
  <c r="Q1574" i="2"/>
  <c r="Q1575" i="2"/>
  <c r="Q1576" i="2"/>
  <c r="Q1577" i="2"/>
  <c r="Q1578" i="2"/>
  <c r="Q1579" i="2"/>
  <c r="Q1580" i="2"/>
  <c r="Q1581" i="2"/>
  <c r="Q1582" i="2"/>
  <c r="Q1583" i="2"/>
  <c r="Q1584" i="2"/>
  <c r="Q1585" i="2"/>
  <c r="Q1586" i="2"/>
  <c r="Q1587" i="2"/>
  <c r="Q1588" i="2"/>
  <c r="Q1589" i="2"/>
  <c r="Q1590" i="2"/>
  <c r="Q1591" i="2"/>
  <c r="Q1592" i="2"/>
  <c r="Q1593" i="2"/>
  <c r="Q1594" i="2"/>
  <c r="Q1595" i="2"/>
  <c r="Q1596" i="2"/>
  <c r="Q1597" i="2"/>
  <c r="Q1598" i="2"/>
  <c r="Q1599" i="2"/>
  <c r="Q1600" i="2"/>
  <c r="Q1601" i="2"/>
  <c r="Q1602" i="2"/>
  <c r="Q1603" i="2"/>
  <c r="Q1604" i="2"/>
  <c r="Q1605" i="2"/>
  <c r="Q1606" i="2"/>
  <c r="Q1607" i="2"/>
  <c r="Q1608" i="2"/>
  <c r="Q1609" i="2"/>
  <c r="Q1610" i="2"/>
  <c r="Q1611" i="2"/>
  <c r="Q1612" i="2"/>
  <c r="Q1613" i="2"/>
  <c r="Q1614" i="2"/>
  <c r="Q1615" i="2"/>
  <c r="Q1616" i="2"/>
  <c r="Q1617" i="2"/>
  <c r="Q1618" i="2"/>
  <c r="Q1619" i="2"/>
  <c r="Q1620" i="2"/>
  <c r="Q1621" i="2"/>
  <c r="Q1622" i="2"/>
  <c r="Q1623" i="2"/>
  <c r="Q1624" i="2"/>
  <c r="Q1625" i="2"/>
  <c r="Q1626" i="2"/>
  <c r="Q1627" i="2"/>
  <c r="Q1628" i="2"/>
  <c r="Q1629" i="2"/>
  <c r="Q1630" i="2"/>
  <c r="Q1631" i="2"/>
  <c r="Q1632" i="2"/>
  <c r="Q1633" i="2"/>
  <c r="Q1634" i="2"/>
  <c r="Q1635" i="2"/>
  <c r="Q1636" i="2"/>
  <c r="Q1637" i="2"/>
  <c r="Q1638" i="2"/>
  <c r="Q1639" i="2"/>
  <c r="Q1640" i="2"/>
  <c r="Q1641" i="2"/>
  <c r="Q1642" i="2"/>
  <c r="Q1643" i="2"/>
  <c r="Q1644" i="2"/>
  <c r="Q1645" i="2"/>
  <c r="Q1646" i="2"/>
  <c r="Q1647" i="2"/>
  <c r="Q1648" i="2"/>
  <c r="Q1649" i="2"/>
  <c r="Q1650" i="2"/>
  <c r="Q1651" i="2"/>
  <c r="Q1652" i="2"/>
  <c r="Q1653" i="2"/>
  <c r="Q1654" i="2"/>
  <c r="Q1655" i="2"/>
  <c r="Q1656" i="2"/>
  <c r="Q1657" i="2"/>
  <c r="Q1658" i="2"/>
  <c r="Q1659" i="2"/>
  <c r="Q1660" i="2"/>
  <c r="Q1661" i="2"/>
  <c r="Q1662" i="2"/>
  <c r="Q1663" i="2"/>
  <c r="Q1664" i="2"/>
  <c r="Q1665" i="2"/>
  <c r="Q1666" i="2"/>
  <c r="Q1667" i="2"/>
  <c r="Q1668" i="2"/>
  <c r="Q1669" i="2"/>
  <c r="Q1670" i="2"/>
  <c r="Q1671" i="2"/>
  <c r="Q1672" i="2"/>
  <c r="Q1673" i="2"/>
  <c r="Q1674" i="2"/>
  <c r="Q1675" i="2"/>
  <c r="Q1676" i="2"/>
  <c r="Q1677" i="2"/>
  <c r="Q1678" i="2"/>
  <c r="Q1679" i="2"/>
  <c r="Q1680" i="2"/>
  <c r="Q1681" i="2"/>
  <c r="Q1682" i="2"/>
  <c r="Q1683" i="2"/>
  <c r="Q1684" i="2"/>
  <c r="Q1685" i="2"/>
  <c r="Q1686" i="2"/>
  <c r="Q1687" i="2"/>
  <c r="Q1688" i="2"/>
  <c r="Q1689" i="2"/>
  <c r="Q1690" i="2"/>
  <c r="Q1691" i="2"/>
  <c r="Q1692" i="2"/>
  <c r="Q1693" i="2"/>
  <c r="Q1694" i="2"/>
  <c r="Q1695" i="2"/>
  <c r="Q1696" i="2"/>
  <c r="Q1697" i="2"/>
  <c r="Q1698" i="2"/>
  <c r="Q1699" i="2"/>
  <c r="Q1700" i="2"/>
  <c r="Q1701" i="2"/>
  <c r="Q1702" i="2"/>
  <c r="Q1703" i="2"/>
  <c r="Q1704" i="2"/>
  <c r="Q1705" i="2"/>
  <c r="Q1706" i="2"/>
  <c r="Q1707" i="2"/>
  <c r="Q1708" i="2"/>
  <c r="Q1709" i="2"/>
  <c r="Q1710" i="2"/>
  <c r="Q1711" i="2"/>
  <c r="Q1712" i="2"/>
  <c r="Q1713" i="2"/>
  <c r="Q1714" i="2"/>
  <c r="Q1715" i="2"/>
  <c r="Q1716" i="2"/>
  <c r="Q1717" i="2"/>
  <c r="Q1718" i="2"/>
  <c r="Q1719" i="2"/>
  <c r="Q1720" i="2"/>
  <c r="Q1721" i="2"/>
  <c r="Q1722" i="2"/>
  <c r="Q1723" i="2"/>
  <c r="Q1724" i="2"/>
  <c r="Q1725" i="2"/>
  <c r="Q1726" i="2"/>
  <c r="Q1727" i="2"/>
  <c r="Q1728" i="2"/>
  <c r="Q1729" i="2"/>
  <c r="Q1730" i="2"/>
  <c r="Q1731" i="2"/>
  <c r="Q1732" i="2"/>
  <c r="Q1733" i="2"/>
  <c r="Q1734" i="2"/>
  <c r="Q1735" i="2"/>
  <c r="Q1736" i="2"/>
  <c r="Q1737" i="2"/>
  <c r="Q1738" i="2"/>
  <c r="Q1739" i="2"/>
  <c r="Q1740" i="2"/>
  <c r="Q1741" i="2"/>
  <c r="Q1742" i="2"/>
  <c r="Q1743" i="2"/>
  <c r="Q1744" i="2"/>
  <c r="Q1745" i="2"/>
  <c r="Q1746" i="2"/>
  <c r="Q1747" i="2"/>
  <c r="Q1748" i="2"/>
  <c r="Q1749" i="2"/>
  <c r="Q1750" i="2"/>
  <c r="Q1751" i="2"/>
  <c r="Q1752" i="2"/>
  <c r="Q1753" i="2"/>
  <c r="Q1754" i="2"/>
  <c r="Q1755" i="2"/>
  <c r="Q1756" i="2"/>
  <c r="Q1757" i="2"/>
  <c r="Q1758" i="2"/>
  <c r="Q1759" i="2"/>
  <c r="Q1760" i="2"/>
  <c r="Q1761" i="2"/>
  <c r="Q1762" i="2"/>
  <c r="Q1763" i="2"/>
  <c r="Q1764" i="2"/>
  <c r="Q1765" i="2"/>
  <c r="Q1766" i="2"/>
  <c r="Q1767" i="2"/>
  <c r="Q1768" i="2"/>
  <c r="Q1769" i="2"/>
  <c r="Q1770" i="2"/>
  <c r="Q1771" i="2"/>
  <c r="Q1772" i="2"/>
  <c r="Q1773" i="2"/>
  <c r="Q1774" i="2"/>
  <c r="Q1775" i="2"/>
  <c r="Q1776" i="2"/>
  <c r="Q1777" i="2"/>
  <c r="Q1778" i="2"/>
  <c r="Q1779" i="2"/>
  <c r="Q1780" i="2"/>
  <c r="Q1781" i="2"/>
  <c r="Q1782" i="2"/>
  <c r="Q1783" i="2"/>
  <c r="Q1784" i="2"/>
  <c r="Q1785" i="2"/>
  <c r="Q1786" i="2"/>
  <c r="Q1787" i="2"/>
  <c r="Q1788" i="2"/>
  <c r="Q1789" i="2"/>
  <c r="Q1790" i="2"/>
  <c r="Q1791" i="2"/>
  <c r="Q1792" i="2"/>
  <c r="Q1793" i="2"/>
  <c r="Q1794" i="2"/>
  <c r="Q1795" i="2"/>
  <c r="Q1796" i="2"/>
  <c r="Q1797" i="2"/>
  <c r="Q1798" i="2"/>
  <c r="Q1799" i="2"/>
  <c r="Q1800" i="2"/>
  <c r="Q1801" i="2"/>
  <c r="Q1802" i="2"/>
  <c r="Q1803" i="2"/>
  <c r="Q1804" i="2"/>
  <c r="Q1805" i="2"/>
  <c r="Q1806" i="2"/>
  <c r="Q1807" i="2"/>
  <c r="Q1808" i="2"/>
  <c r="Q1809" i="2"/>
  <c r="Q1810" i="2"/>
  <c r="Q1811" i="2"/>
  <c r="Q1812" i="2"/>
  <c r="Q1813" i="2"/>
  <c r="Q1814" i="2"/>
  <c r="Q1815" i="2"/>
  <c r="Q1816" i="2"/>
  <c r="Q1817" i="2"/>
  <c r="Q1818" i="2"/>
  <c r="Q1819" i="2"/>
  <c r="Q1820" i="2"/>
  <c r="Q1821" i="2"/>
  <c r="Q1822" i="2"/>
  <c r="Q1823" i="2"/>
  <c r="Q1824" i="2"/>
  <c r="Q1825" i="2"/>
  <c r="Q1826" i="2"/>
  <c r="Q1827" i="2"/>
  <c r="Q1828" i="2"/>
  <c r="Q1829" i="2"/>
  <c r="Q1830" i="2"/>
  <c r="Q1831" i="2"/>
  <c r="Q1832" i="2"/>
  <c r="Q1833" i="2"/>
  <c r="Q1834" i="2"/>
  <c r="Q1835" i="2"/>
  <c r="Q1836" i="2"/>
  <c r="Q1837" i="2"/>
  <c r="Q1838" i="2"/>
  <c r="Q1839" i="2"/>
  <c r="Q1840" i="2"/>
  <c r="Q1841" i="2"/>
  <c r="Q1842" i="2"/>
  <c r="Q1843" i="2"/>
  <c r="Q1844" i="2"/>
  <c r="Q1845" i="2"/>
  <c r="Q1846" i="2"/>
  <c r="Q1847" i="2"/>
  <c r="Q1848" i="2"/>
  <c r="Q1849" i="2"/>
  <c r="Q1850" i="2"/>
  <c r="Q1851" i="2"/>
  <c r="Q1852" i="2"/>
  <c r="Q1853" i="2"/>
  <c r="Q1854" i="2"/>
  <c r="Q1855" i="2"/>
  <c r="Q1856" i="2"/>
  <c r="Q1857" i="2"/>
  <c r="Q1858" i="2"/>
  <c r="Q1859" i="2"/>
  <c r="Q1860" i="2"/>
  <c r="Q1861" i="2"/>
  <c r="Q1862" i="2"/>
  <c r="Q1863" i="2"/>
  <c r="Q1864" i="2"/>
  <c r="Q1865" i="2"/>
  <c r="Q1866" i="2"/>
  <c r="Q1867" i="2"/>
  <c r="Q1868" i="2"/>
  <c r="Q1869" i="2"/>
  <c r="Q1870" i="2"/>
  <c r="Q1871" i="2"/>
  <c r="Q1872" i="2"/>
  <c r="Q1873" i="2"/>
  <c r="Q1874" i="2"/>
  <c r="Q1875" i="2"/>
  <c r="Q1876" i="2"/>
  <c r="Q1877" i="2"/>
  <c r="Q1878" i="2"/>
  <c r="Q1879" i="2"/>
  <c r="Q1880" i="2"/>
  <c r="Q1881" i="2"/>
  <c r="Q1882" i="2"/>
  <c r="Q1883" i="2"/>
  <c r="Q1884" i="2"/>
  <c r="Q1885" i="2"/>
  <c r="Q1886" i="2"/>
  <c r="Q1887" i="2"/>
  <c r="Q1888" i="2"/>
  <c r="Q1889" i="2"/>
  <c r="Q1890" i="2"/>
  <c r="Q1891" i="2"/>
  <c r="Q1892" i="2"/>
  <c r="Q1893" i="2"/>
  <c r="Q1894" i="2"/>
  <c r="Q1895" i="2"/>
  <c r="Q1896" i="2"/>
  <c r="Q1897" i="2"/>
  <c r="Q1898" i="2"/>
  <c r="Q1899" i="2"/>
  <c r="Q1900" i="2"/>
  <c r="Q1901" i="2"/>
  <c r="Q1902" i="2"/>
  <c r="Q1903" i="2"/>
  <c r="Q1904" i="2"/>
  <c r="Q1905" i="2"/>
  <c r="Q1906" i="2"/>
  <c r="Q1907" i="2"/>
  <c r="Q1908" i="2"/>
  <c r="Q1909" i="2"/>
  <c r="Q1910" i="2"/>
  <c r="Q1911" i="2"/>
  <c r="Q1912" i="2"/>
  <c r="Q1913" i="2"/>
  <c r="Q1914" i="2"/>
  <c r="Q1915" i="2"/>
  <c r="Q1916" i="2"/>
  <c r="Q1917" i="2"/>
  <c r="Q1918" i="2"/>
  <c r="Q1919" i="2"/>
  <c r="Q1920" i="2"/>
  <c r="Q1921" i="2"/>
  <c r="Q1922" i="2"/>
  <c r="Q1923" i="2"/>
  <c r="Q1924" i="2"/>
  <c r="Q1925" i="2"/>
  <c r="Q1926" i="2"/>
  <c r="Q1927" i="2"/>
  <c r="Q1928" i="2"/>
  <c r="Q1929" i="2"/>
  <c r="Q1930" i="2"/>
  <c r="Q1931" i="2"/>
  <c r="Q1932" i="2"/>
  <c r="Q1933" i="2"/>
  <c r="Q1934" i="2"/>
  <c r="Q1935" i="2"/>
  <c r="Q1936" i="2"/>
  <c r="Q1937" i="2"/>
  <c r="Q1938" i="2"/>
  <c r="Q1939" i="2"/>
  <c r="Q1940" i="2"/>
  <c r="Q1941" i="2"/>
  <c r="Q1942" i="2"/>
  <c r="Q1943" i="2"/>
  <c r="Q1944" i="2"/>
  <c r="Q1945" i="2"/>
  <c r="Q1946" i="2"/>
  <c r="Q1947" i="2"/>
  <c r="Q1948" i="2"/>
  <c r="Q1949" i="2"/>
  <c r="Q1950" i="2"/>
  <c r="Q1951" i="2"/>
  <c r="Q1952" i="2"/>
  <c r="Q1953" i="2"/>
  <c r="Q1954" i="2"/>
  <c r="Q1955" i="2"/>
  <c r="Q1956" i="2"/>
  <c r="Q1957" i="2"/>
  <c r="Q1958" i="2"/>
  <c r="Q1959" i="2"/>
  <c r="Q1960" i="2"/>
  <c r="Q1961" i="2"/>
  <c r="Q1962" i="2"/>
  <c r="Q1963" i="2"/>
  <c r="Q1964" i="2"/>
  <c r="Q1965" i="2"/>
  <c r="Q1966" i="2"/>
  <c r="Q1967" i="2"/>
  <c r="Q1968" i="2"/>
  <c r="Q1969" i="2"/>
  <c r="Q1970" i="2"/>
  <c r="Q1971" i="2"/>
  <c r="Q1972" i="2"/>
  <c r="Q1973" i="2"/>
  <c r="Q1974" i="2"/>
  <c r="Q1975" i="2"/>
  <c r="Q1976" i="2"/>
  <c r="Q1977" i="2"/>
  <c r="Q1978" i="2"/>
  <c r="Q1979" i="2"/>
  <c r="Q1980" i="2"/>
  <c r="Q1981" i="2"/>
  <c r="Q1982" i="2"/>
  <c r="Q1983" i="2"/>
  <c r="Q1984" i="2"/>
  <c r="Q1985" i="2"/>
  <c r="Q1986" i="2"/>
  <c r="Q1987" i="2"/>
  <c r="Q1988" i="2"/>
  <c r="Q1989" i="2"/>
  <c r="Q1990" i="2"/>
  <c r="Q1991" i="2"/>
  <c r="Q1992" i="2"/>
  <c r="Q1993" i="2"/>
  <c r="Q1994" i="2"/>
  <c r="Q1995" i="2"/>
  <c r="Q1996" i="2"/>
  <c r="Q1997" i="2"/>
  <c r="Q1998" i="2"/>
  <c r="Q1999" i="2"/>
  <c r="Q2000" i="2"/>
  <c r="Q2001" i="2"/>
  <c r="Q2002" i="2"/>
  <c r="Q2003" i="2"/>
  <c r="Q2004" i="2"/>
  <c r="Q2005" i="2"/>
  <c r="Q2006" i="2"/>
  <c r="Q2007" i="2"/>
  <c r="Q2008" i="2"/>
  <c r="Q2009" i="2"/>
  <c r="Q2010" i="2"/>
  <c r="Q2011" i="2"/>
  <c r="Q2012" i="2"/>
  <c r="Q2013" i="2"/>
  <c r="Q2014" i="2"/>
  <c r="Q2015" i="2"/>
  <c r="Q2016" i="2"/>
  <c r="Q2017" i="2"/>
  <c r="Q2018" i="2"/>
  <c r="Q2019" i="2"/>
  <c r="Q2020" i="2"/>
  <c r="Q2021" i="2"/>
  <c r="Q2022" i="2"/>
  <c r="Q2023" i="2"/>
  <c r="Q2024" i="2"/>
  <c r="Q2025" i="2"/>
  <c r="Q2026" i="2"/>
  <c r="Q2027" i="2"/>
  <c r="Q2028" i="2"/>
  <c r="Q2029" i="2"/>
  <c r="Q2030" i="2"/>
  <c r="Q2031" i="2"/>
  <c r="Q2032" i="2"/>
  <c r="Q2033" i="2"/>
  <c r="Q2034" i="2"/>
  <c r="Q2035" i="2"/>
  <c r="Q2036" i="2"/>
  <c r="Q2037" i="2"/>
  <c r="Q2038" i="2"/>
  <c r="Q2039" i="2"/>
  <c r="Q2040" i="2"/>
  <c r="Q2041" i="2"/>
  <c r="Q2042" i="2"/>
  <c r="Q2043" i="2"/>
  <c r="Q2044" i="2"/>
  <c r="Q2045" i="2"/>
  <c r="Q2046" i="2"/>
  <c r="Q2047" i="2"/>
  <c r="Q2048" i="2"/>
  <c r="Q2049" i="2"/>
  <c r="Q2050" i="2"/>
  <c r="Q2051" i="2"/>
  <c r="Q2052" i="2"/>
  <c r="Q2053" i="2"/>
  <c r="Q2054" i="2"/>
  <c r="Q2055" i="2"/>
  <c r="Q2056" i="2"/>
  <c r="Q2057" i="2"/>
  <c r="Q2058" i="2"/>
  <c r="Q2059" i="2"/>
  <c r="Q2060" i="2"/>
  <c r="Q2061" i="2"/>
  <c r="Q2062" i="2"/>
  <c r="Q2063" i="2"/>
  <c r="Q2064" i="2"/>
  <c r="Q2065" i="2"/>
  <c r="Q2066" i="2"/>
  <c r="Q2067" i="2"/>
  <c r="Q2068" i="2"/>
  <c r="Q2069" i="2"/>
  <c r="Q2070" i="2"/>
  <c r="Q2071" i="2"/>
  <c r="Q2072" i="2"/>
  <c r="Q2073" i="2"/>
  <c r="Q2074" i="2"/>
  <c r="Q2075" i="2"/>
  <c r="Q2076" i="2"/>
  <c r="Q2077" i="2"/>
  <c r="Q2078" i="2"/>
  <c r="Q2079" i="2"/>
  <c r="Q2080" i="2"/>
  <c r="Q2081" i="2"/>
  <c r="Q2082" i="2"/>
  <c r="Q2083" i="2"/>
  <c r="Q2084" i="2"/>
  <c r="Q2085" i="2"/>
  <c r="Q2086" i="2"/>
  <c r="Q2087" i="2"/>
  <c r="Q2088" i="2"/>
  <c r="Q2089" i="2"/>
  <c r="Q2090" i="2"/>
  <c r="Q2091" i="2"/>
  <c r="Q2092" i="2"/>
  <c r="Q2093" i="2"/>
  <c r="Q2094" i="2"/>
  <c r="Q2095" i="2"/>
  <c r="Q2096" i="2"/>
  <c r="Q2097" i="2"/>
  <c r="Q2098" i="2"/>
  <c r="Q2099" i="2"/>
  <c r="Q2100" i="2"/>
  <c r="Q2101" i="2"/>
  <c r="Q2102" i="2"/>
  <c r="Q2103" i="2"/>
  <c r="Q2104" i="2"/>
  <c r="Q2105" i="2"/>
  <c r="Q2106" i="2"/>
  <c r="Q2107" i="2"/>
  <c r="Q2108" i="2"/>
  <c r="Q2109" i="2"/>
  <c r="Q2110" i="2"/>
  <c r="Q2111" i="2"/>
  <c r="Q2112" i="2"/>
  <c r="Q2113" i="2"/>
  <c r="Q2114" i="2"/>
  <c r="Q2115" i="2"/>
  <c r="Q2116" i="2"/>
  <c r="Q2117" i="2"/>
  <c r="Q2118" i="2"/>
  <c r="Q2119" i="2"/>
  <c r="Q2120" i="2"/>
  <c r="Q2121" i="2"/>
  <c r="Q2122" i="2"/>
  <c r="Q2123" i="2"/>
  <c r="Q2124" i="2"/>
  <c r="Q2125" i="2"/>
  <c r="Q2126" i="2"/>
  <c r="Q2127" i="2"/>
  <c r="Q2128" i="2"/>
  <c r="Q2129" i="2"/>
  <c r="Q2130" i="2"/>
  <c r="Q2131" i="2"/>
  <c r="Q2132" i="2"/>
  <c r="Q2133" i="2"/>
  <c r="Q2134" i="2"/>
  <c r="Q2135" i="2"/>
  <c r="Q2136" i="2"/>
  <c r="Q2137" i="2"/>
  <c r="Q2138" i="2"/>
  <c r="Q2139" i="2"/>
  <c r="Q2140" i="2"/>
  <c r="Q2141" i="2"/>
  <c r="Q2142" i="2"/>
  <c r="Q2143" i="2"/>
  <c r="Q2144" i="2"/>
  <c r="Q2145" i="2"/>
  <c r="Q2146" i="2"/>
  <c r="Q2147" i="2"/>
  <c r="Q2148" i="2"/>
  <c r="Q2149" i="2"/>
  <c r="Q2150" i="2"/>
  <c r="Q2151" i="2"/>
  <c r="Q2152" i="2"/>
  <c r="Q2153" i="2"/>
  <c r="Q2154" i="2"/>
  <c r="Q2155" i="2"/>
  <c r="Q2156" i="2"/>
  <c r="Q2157" i="2"/>
  <c r="Q2158" i="2"/>
  <c r="Q2159" i="2"/>
  <c r="Q2160" i="2"/>
  <c r="Q2161" i="2"/>
  <c r="Q2162" i="2"/>
  <c r="Q2163" i="2"/>
  <c r="Q2164" i="2"/>
  <c r="Q2165" i="2"/>
  <c r="Q2166" i="2"/>
  <c r="Q2167" i="2"/>
  <c r="Q2168" i="2"/>
  <c r="Q2169" i="2"/>
  <c r="Q2170" i="2"/>
  <c r="Q2171" i="2"/>
  <c r="Q2172" i="2"/>
  <c r="Q2173" i="2"/>
  <c r="Q2174" i="2"/>
  <c r="Q2175" i="2"/>
  <c r="Q2176" i="2"/>
  <c r="Q2177" i="2"/>
  <c r="Q2178" i="2"/>
  <c r="Q2179" i="2"/>
  <c r="Q2180" i="2"/>
  <c r="Q2181" i="2"/>
  <c r="Q2182" i="2"/>
  <c r="Q2183" i="2"/>
  <c r="Q2184" i="2"/>
  <c r="Q2185" i="2"/>
  <c r="Q2186" i="2"/>
  <c r="Q2187" i="2"/>
  <c r="Q2188" i="2"/>
  <c r="Q2189" i="2"/>
  <c r="Q2190" i="2"/>
  <c r="Q2191" i="2"/>
  <c r="Q2192" i="2"/>
  <c r="Q2193" i="2"/>
  <c r="Q2194" i="2"/>
  <c r="Q2195" i="2"/>
  <c r="Q2196" i="2"/>
  <c r="Q2197" i="2"/>
  <c r="Q2198" i="2"/>
  <c r="Q2199" i="2"/>
  <c r="Q2200" i="2"/>
  <c r="Q2201" i="2"/>
  <c r="Q2202" i="2"/>
  <c r="Q2203" i="2"/>
  <c r="Q2204" i="2"/>
  <c r="Q2205" i="2"/>
  <c r="Q2206" i="2"/>
  <c r="Q2207" i="2"/>
  <c r="Q2208" i="2"/>
  <c r="Q2209" i="2"/>
  <c r="Q2210" i="2"/>
  <c r="Q2211" i="2"/>
  <c r="Q2212" i="2"/>
  <c r="Q2213" i="2"/>
  <c r="Q2214" i="2"/>
  <c r="Q2215" i="2"/>
  <c r="Q2216" i="2"/>
  <c r="Q2217" i="2"/>
  <c r="Q2218" i="2"/>
  <c r="Q2219" i="2"/>
  <c r="Q2220" i="2"/>
  <c r="Q2221" i="2"/>
  <c r="Q2222" i="2"/>
  <c r="Q2223" i="2"/>
  <c r="Q2224" i="2"/>
  <c r="Q2225" i="2"/>
  <c r="Q2226" i="2"/>
  <c r="Q2227" i="2"/>
  <c r="Q2228" i="2"/>
  <c r="Q2229" i="2"/>
  <c r="Q2230" i="2"/>
  <c r="Q2231" i="2"/>
  <c r="Q2232" i="2"/>
  <c r="Q2233" i="2"/>
  <c r="Q2234" i="2"/>
  <c r="Q2235" i="2"/>
  <c r="Q2236" i="2"/>
  <c r="Q2237" i="2"/>
  <c r="Q2238" i="2"/>
  <c r="Q2239" i="2"/>
  <c r="Q2240" i="2"/>
  <c r="Q2241" i="2"/>
  <c r="Q2242" i="2"/>
  <c r="Q2243" i="2"/>
  <c r="Q2244" i="2"/>
  <c r="Q2245" i="2"/>
  <c r="Q2246" i="2"/>
  <c r="Q2247" i="2"/>
  <c r="Q2248" i="2"/>
  <c r="Q2249" i="2"/>
  <c r="Q2250" i="2"/>
  <c r="Q2251" i="2"/>
  <c r="Q2252" i="2"/>
  <c r="Q2253" i="2"/>
  <c r="Q2254" i="2"/>
  <c r="Q2255" i="2"/>
  <c r="Q2256" i="2"/>
  <c r="Q2257" i="2"/>
  <c r="Q2258" i="2"/>
  <c r="Q2259" i="2"/>
  <c r="Q2260" i="2"/>
  <c r="Q2261" i="2"/>
  <c r="Q2262" i="2"/>
  <c r="Q2263" i="2"/>
  <c r="Q2264" i="2"/>
  <c r="Q2265" i="2"/>
  <c r="Q2266" i="2"/>
  <c r="Q2267" i="2"/>
  <c r="Q2268" i="2"/>
  <c r="Q2269" i="2"/>
  <c r="Q2270" i="2"/>
  <c r="Q2271" i="2"/>
  <c r="Q2272" i="2"/>
  <c r="Q2273" i="2"/>
  <c r="Q2274" i="2"/>
  <c r="Q2275" i="2"/>
  <c r="Q2276" i="2"/>
  <c r="Q2277" i="2"/>
  <c r="Q2278" i="2"/>
  <c r="Q2279" i="2"/>
  <c r="Q2280" i="2"/>
  <c r="Q2281" i="2"/>
  <c r="Q2282" i="2"/>
  <c r="Q2283" i="2"/>
  <c r="Q2284" i="2"/>
  <c r="Q2285" i="2"/>
  <c r="Q2286" i="2"/>
  <c r="Q2287" i="2"/>
  <c r="Q2288" i="2"/>
  <c r="Q2289" i="2"/>
  <c r="Q2290" i="2"/>
  <c r="Q2291" i="2"/>
  <c r="Q2292" i="2"/>
  <c r="Q2293" i="2"/>
  <c r="Q2294" i="2"/>
  <c r="Q2295" i="2"/>
  <c r="Q2296" i="2"/>
  <c r="Q2297" i="2"/>
  <c r="Q2298" i="2"/>
  <c r="Q2299" i="2"/>
  <c r="Q2300" i="2"/>
  <c r="Q2301" i="2"/>
  <c r="Q2302" i="2"/>
  <c r="Q2303" i="2"/>
  <c r="Q2304" i="2"/>
  <c r="Q2305" i="2"/>
  <c r="Q2306" i="2"/>
  <c r="Q2307" i="2"/>
  <c r="Q2308" i="2"/>
  <c r="Q2309" i="2"/>
  <c r="Q2310" i="2"/>
  <c r="Q2311" i="2"/>
  <c r="Q2312" i="2"/>
  <c r="Q2313" i="2"/>
  <c r="Q2314" i="2"/>
  <c r="Q2315" i="2"/>
  <c r="Q2316" i="2"/>
  <c r="Q2317" i="2"/>
  <c r="Q2318" i="2"/>
  <c r="Q2319" i="2"/>
  <c r="Q2320" i="2"/>
  <c r="Q2321" i="2"/>
  <c r="Q2322" i="2"/>
  <c r="Q2323" i="2"/>
  <c r="Q2324" i="2"/>
  <c r="Q2325" i="2"/>
  <c r="Q2326" i="2"/>
  <c r="Q2327" i="2"/>
  <c r="Q2328" i="2"/>
  <c r="Q2329" i="2"/>
  <c r="Q2330" i="2"/>
  <c r="Q2331" i="2"/>
  <c r="Q2332" i="2"/>
  <c r="Q2333" i="2"/>
  <c r="Q2334" i="2"/>
  <c r="Q2335" i="2"/>
  <c r="Q2336" i="2"/>
  <c r="Q2337" i="2"/>
  <c r="Q2338" i="2"/>
  <c r="Q2339" i="2"/>
  <c r="Q2340" i="2"/>
  <c r="Q2341" i="2"/>
  <c r="Q2342" i="2"/>
  <c r="Q2343" i="2"/>
  <c r="Q2344" i="2"/>
  <c r="Q2345" i="2"/>
  <c r="Q2346" i="2"/>
  <c r="Q2347" i="2"/>
  <c r="Q2348" i="2"/>
  <c r="Q2349" i="2"/>
  <c r="Q2350" i="2"/>
  <c r="Q2351" i="2"/>
  <c r="Q2352" i="2"/>
  <c r="Q2353" i="2"/>
  <c r="Q2354" i="2"/>
  <c r="Q2355" i="2"/>
  <c r="Q2356" i="2"/>
  <c r="Q2357" i="2"/>
  <c r="Q2358" i="2"/>
  <c r="Q2359" i="2"/>
  <c r="Q2360" i="2"/>
  <c r="Q2361" i="2"/>
  <c r="Q2362" i="2"/>
  <c r="Q2363" i="2"/>
  <c r="Q2364" i="2"/>
  <c r="Q2365" i="2"/>
  <c r="Q2366" i="2"/>
  <c r="Q2367" i="2"/>
  <c r="Q2368" i="2"/>
  <c r="Q2369" i="2"/>
  <c r="Q2370" i="2"/>
  <c r="Q2371" i="2"/>
  <c r="Q2372" i="2"/>
  <c r="Q2373" i="2"/>
  <c r="Q2374" i="2"/>
  <c r="Q2375" i="2"/>
  <c r="Q2376" i="2"/>
  <c r="Q2377" i="2"/>
  <c r="Q2378" i="2"/>
  <c r="Q2379" i="2"/>
  <c r="Q2380" i="2"/>
  <c r="Q2381" i="2"/>
  <c r="Q2382" i="2"/>
  <c r="Q2383" i="2"/>
  <c r="Q2384" i="2"/>
  <c r="Q2385" i="2"/>
  <c r="Q2386" i="2"/>
  <c r="Q2387" i="2"/>
  <c r="Q2388" i="2"/>
  <c r="Q2389" i="2"/>
  <c r="Q2390" i="2"/>
  <c r="Q2391" i="2"/>
  <c r="Q2392" i="2"/>
  <c r="Q2393" i="2"/>
  <c r="Q2394" i="2"/>
  <c r="Q2395" i="2"/>
  <c r="Q2396" i="2"/>
  <c r="Q2397" i="2"/>
  <c r="Q2398" i="2"/>
  <c r="Q2399" i="2"/>
  <c r="Q2400" i="2"/>
  <c r="Q2401" i="2"/>
  <c r="Q2402" i="2"/>
  <c r="Q2403" i="2"/>
  <c r="Q2404" i="2"/>
  <c r="Q2405" i="2"/>
  <c r="Q2406" i="2"/>
  <c r="Q2407" i="2"/>
  <c r="Q2408" i="2"/>
  <c r="Q2409" i="2"/>
  <c r="Q2410" i="2"/>
  <c r="Q2411" i="2"/>
  <c r="Q2412" i="2"/>
  <c r="Q2413" i="2"/>
  <c r="Q2414" i="2"/>
  <c r="Q2415" i="2"/>
  <c r="Q1084" i="2"/>
  <c r="AC2417" i="2" l="1"/>
  <c r="Q2417" i="2"/>
  <c r="W2417" i="2"/>
  <c r="T2417" i="2"/>
  <c r="Z2417" i="2"/>
  <c r="AF2415" i="2"/>
  <c r="AF2414" i="2"/>
  <c r="AF2413" i="2"/>
  <c r="AF2412" i="2"/>
  <c r="AF2411" i="2"/>
  <c r="AF2410" i="2"/>
  <c r="AF2409" i="2"/>
  <c r="AF2408" i="2"/>
  <c r="AF2407" i="2"/>
  <c r="AF2406" i="2"/>
  <c r="AF2405" i="2"/>
  <c r="AF2404" i="2"/>
  <c r="AF2403" i="2"/>
  <c r="AF2402" i="2"/>
  <c r="AF2401" i="2"/>
  <c r="AF2400" i="2"/>
  <c r="AF2399" i="2"/>
  <c r="AF2398" i="2"/>
  <c r="AF2397" i="2"/>
  <c r="AF2396" i="2"/>
  <c r="AF2395" i="2"/>
  <c r="AF2394" i="2"/>
  <c r="AF2393" i="2"/>
  <c r="AF2392" i="2"/>
  <c r="AF2391" i="2"/>
  <c r="AF2390" i="2"/>
  <c r="AF2389" i="2"/>
  <c r="AF2388" i="2"/>
  <c r="AF2387" i="2"/>
  <c r="AF2386" i="2"/>
  <c r="AF2385" i="2"/>
  <c r="AF2384" i="2"/>
  <c r="AF2383" i="2"/>
  <c r="AF2382" i="2"/>
  <c r="AF2381" i="2"/>
  <c r="AF2380" i="2"/>
  <c r="AF2379" i="2"/>
  <c r="AF2378" i="2"/>
  <c r="AF2377" i="2"/>
  <c r="AF2376" i="2"/>
  <c r="AF2375" i="2"/>
  <c r="AF2374" i="2"/>
  <c r="AF2373" i="2"/>
  <c r="AF2372" i="2"/>
  <c r="AF2371" i="2"/>
  <c r="AF2370" i="2"/>
  <c r="AF2369" i="2"/>
  <c r="AF2368" i="2"/>
  <c r="AF2367" i="2"/>
  <c r="AF2366" i="2"/>
  <c r="AF2365" i="2"/>
  <c r="AF2364" i="2"/>
  <c r="AF2363" i="2"/>
  <c r="AF2362" i="2"/>
  <c r="AF2361" i="2"/>
  <c r="AF2360" i="2"/>
  <c r="AF2359" i="2"/>
  <c r="AF2358" i="2"/>
  <c r="AF2357" i="2"/>
  <c r="AF2356" i="2"/>
  <c r="AF2355" i="2"/>
  <c r="AF2354" i="2"/>
  <c r="AF2353" i="2"/>
  <c r="AF2352" i="2"/>
  <c r="AF2351" i="2"/>
  <c r="AF2350" i="2"/>
  <c r="AF2349" i="2"/>
  <c r="AF2348" i="2"/>
  <c r="AF2347" i="2"/>
  <c r="AF2346" i="2"/>
  <c r="AF2345" i="2"/>
  <c r="AF2344" i="2"/>
  <c r="AF2343" i="2"/>
  <c r="AF2342" i="2"/>
  <c r="AF2341" i="2"/>
  <c r="AF2340" i="2"/>
  <c r="AF2339" i="2"/>
  <c r="AF2338" i="2"/>
  <c r="AF2337" i="2"/>
  <c r="AF2336" i="2"/>
  <c r="AF2335" i="2"/>
  <c r="AF2334" i="2"/>
  <c r="AF2333" i="2"/>
  <c r="AF2332" i="2"/>
  <c r="AF2331" i="2"/>
  <c r="AF2330" i="2"/>
  <c r="AF2329" i="2"/>
  <c r="AF2328" i="2"/>
  <c r="AF2327" i="2"/>
  <c r="AF2326" i="2"/>
  <c r="AF2325" i="2"/>
  <c r="AF2324" i="2"/>
  <c r="AF2323" i="2"/>
  <c r="AF2322" i="2"/>
  <c r="AF2321" i="2"/>
  <c r="AF2320" i="2"/>
  <c r="AF2319" i="2"/>
  <c r="AF2318" i="2"/>
  <c r="AF2317" i="2"/>
  <c r="AF2316" i="2"/>
  <c r="AF2315" i="2"/>
  <c r="AF2314" i="2"/>
  <c r="AF2313" i="2"/>
  <c r="AF2312" i="2"/>
  <c r="AF2311" i="2"/>
  <c r="AF2310" i="2"/>
  <c r="AF2309" i="2"/>
  <c r="AF2308" i="2"/>
  <c r="AF2307" i="2"/>
  <c r="AF2306" i="2"/>
  <c r="AF2305" i="2"/>
  <c r="AF2304" i="2"/>
  <c r="AF2303" i="2"/>
  <c r="AF2302" i="2"/>
  <c r="AF2301" i="2"/>
  <c r="AF2300" i="2"/>
  <c r="AF2299" i="2"/>
  <c r="AF2298" i="2"/>
  <c r="AF2297" i="2"/>
  <c r="AF2296" i="2"/>
  <c r="AF2295" i="2"/>
  <c r="AF2294" i="2"/>
  <c r="AF2293" i="2"/>
  <c r="AF2292" i="2"/>
  <c r="AF2291" i="2"/>
  <c r="AF2290" i="2"/>
  <c r="AF2289" i="2"/>
  <c r="AF2288" i="2"/>
  <c r="AF2287" i="2"/>
  <c r="AF2286" i="2"/>
  <c r="AF2285" i="2"/>
  <c r="AF2284" i="2"/>
  <c r="AF2283" i="2"/>
  <c r="AF2282" i="2"/>
  <c r="AF2281" i="2"/>
  <c r="AF2280" i="2"/>
  <c r="AF2279" i="2"/>
  <c r="AF2278" i="2"/>
  <c r="AF2277" i="2"/>
  <c r="AF2276" i="2"/>
  <c r="AF2275" i="2"/>
  <c r="AF2274" i="2"/>
  <c r="AF2273" i="2"/>
  <c r="AF2272" i="2"/>
  <c r="AF2271" i="2"/>
  <c r="AF2270" i="2"/>
  <c r="AF2269" i="2"/>
  <c r="AF2268" i="2"/>
  <c r="AF2267" i="2"/>
  <c r="AF2266" i="2"/>
  <c r="AF2265" i="2"/>
  <c r="AF2264" i="2"/>
  <c r="AF2263" i="2"/>
  <c r="AF2262" i="2"/>
  <c r="AF2261" i="2"/>
  <c r="AF2260" i="2"/>
  <c r="AF2259" i="2"/>
  <c r="AF2258" i="2"/>
  <c r="AF2257" i="2"/>
  <c r="AF2256" i="2"/>
  <c r="AF2255" i="2"/>
  <c r="AF2254" i="2"/>
  <c r="AF2253" i="2"/>
  <c r="AF2252" i="2"/>
  <c r="AF2251" i="2"/>
  <c r="AF2250" i="2"/>
  <c r="AF2249" i="2"/>
  <c r="AF2248" i="2"/>
  <c r="AF2247" i="2"/>
  <c r="AF2246" i="2"/>
  <c r="AF2245" i="2"/>
  <c r="AF2244" i="2"/>
  <c r="AF2243" i="2"/>
  <c r="AF2242" i="2"/>
  <c r="AF2241" i="2"/>
  <c r="AF2240" i="2"/>
  <c r="AF2239" i="2"/>
  <c r="AF2238" i="2"/>
  <c r="AF2237" i="2"/>
  <c r="AF2236" i="2"/>
  <c r="AF2235" i="2"/>
  <c r="AF2234" i="2"/>
  <c r="AF2233" i="2"/>
  <c r="AF2232" i="2"/>
  <c r="AF2231" i="2"/>
  <c r="AF2230" i="2"/>
  <c r="AF2229" i="2"/>
  <c r="AF2228" i="2"/>
  <c r="AF2227" i="2"/>
  <c r="AF2226" i="2"/>
  <c r="AF2225" i="2"/>
  <c r="AF2224" i="2"/>
  <c r="AF2223" i="2"/>
  <c r="AF2222" i="2"/>
  <c r="AF2221" i="2"/>
  <c r="AF2220" i="2"/>
  <c r="AF2219" i="2"/>
  <c r="AF2218" i="2"/>
  <c r="AF2217" i="2"/>
  <c r="AF2216" i="2"/>
  <c r="AF2215" i="2"/>
  <c r="AF2214" i="2"/>
  <c r="AF2213" i="2"/>
  <c r="AF2212" i="2"/>
  <c r="AF2211" i="2"/>
  <c r="AF2210" i="2"/>
  <c r="AF2209" i="2"/>
  <c r="AF2208" i="2"/>
  <c r="AF2207" i="2"/>
  <c r="AF2206" i="2"/>
  <c r="AF2205" i="2"/>
  <c r="AF2204" i="2"/>
  <c r="AF2203" i="2"/>
  <c r="AF2202" i="2"/>
  <c r="AF2201" i="2"/>
  <c r="AF2200" i="2"/>
  <c r="AF2199" i="2"/>
  <c r="AF2198" i="2"/>
  <c r="AF2197" i="2"/>
  <c r="AF2196" i="2"/>
  <c r="AF2195" i="2"/>
  <c r="AF2194" i="2"/>
  <c r="AF2193" i="2"/>
  <c r="AF2192" i="2"/>
  <c r="AF2191" i="2"/>
  <c r="AF2190" i="2"/>
  <c r="AF2189" i="2"/>
  <c r="AF2188" i="2"/>
  <c r="AF2187" i="2"/>
  <c r="AF2186" i="2"/>
  <c r="AF2185" i="2"/>
  <c r="AF2184" i="2"/>
  <c r="AF2183" i="2"/>
  <c r="AF2182" i="2"/>
  <c r="AF2181" i="2"/>
  <c r="AF2180" i="2"/>
  <c r="AF2179" i="2"/>
  <c r="AF2178" i="2"/>
  <c r="AF2177" i="2"/>
  <c r="AF2176" i="2"/>
  <c r="AF2175" i="2"/>
  <c r="AF2174" i="2"/>
  <c r="AF2173" i="2"/>
  <c r="AF2172" i="2"/>
  <c r="AF2171" i="2"/>
  <c r="AF2170" i="2"/>
  <c r="AF2169" i="2"/>
  <c r="AF2168" i="2"/>
  <c r="AF2167" i="2"/>
  <c r="AF2166" i="2"/>
  <c r="AF2165" i="2"/>
  <c r="AF2164" i="2"/>
  <c r="AF2163" i="2"/>
  <c r="AF2162" i="2"/>
  <c r="AF2161" i="2"/>
  <c r="AF2160" i="2"/>
  <c r="AF2159" i="2"/>
  <c r="AF2158" i="2"/>
  <c r="AF2157" i="2"/>
  <c r="AF2156" i="2"/>
  <c r="AF2155" i="2"/>
  <c r="AF2154" i="2"/>
  <c r="AF2153" i="2"/>
  <c r="AF2152" i="2"/>
  <c r="AF2151" i="2"/>
  <c r="AF2150" i="2"/>
  <c r="AF2149" i="2"/>
  <c r="AF2148" i="2"/>
  <c r="AF2147" i="2"/>
  <c r="AF2146" i="2"/>
  <c r="AF2145" i="2"/>
  <c r="AF2144" i="2"/>
  <c r="AF2143" i="2"/>
  <c r="AF2142" i="2"/>
  <c r="AF2141" i="2"/>
  <c r="AF2140" i="2"/>
  <c r="AF2139" i="2"/>
  <c r="AF2138" i="2"/>
  <c r="AF2137" i="2"/>
  <c r="AF2136" i="2"/>
  <c r="AF2135" i="2"/>
  <c r="AF2134" i="2"/>
  <c r="AF2133" i="2"/>
  <c r="AF2132" i="2"/>
  <c r="AF2131" i="2"/>
  <c r="AF2130" i="2"/>
  <c r="AF2129" i="2"/>
  <c r="AF2128" i="2"/>
  <c r="AF2127" i="2"/>
  <c r="AF2126" i="2"/>
  <c r="AF2125" i="2"/>
  <c r="AF2124" i="2"/>
  <c r="AF2123" i="2"/>
  <c r="AF2122" i="2"/>
  <c r="AF2121" i="2"/>
  <c r="AF2120" i="2"/>
  <c r="AF2119" i="2"/>
  <c r="AF2118" i="2"/>
  <c r="AF2117" i="2"/>
  <c r="AF2116" i="2"/>
  <c r="AF2115" i="2"/>
  <c r="AF2114" i="2"/>
  <c r="AF2113" i="2"/>
  <c r="AF2112" i="2"/>
  <c r="AF2111" i="2"/>
  <c r="AF2110" i="2"/>
  <c r="AF2109" i="2"/>
  <c r="AF2108" i="2"/>
  <c r="AF2107" i="2"/>
  <c r="AF2106" i="2"/>
  <c r="AF2105" i="2"/>
  <c r="AF2104" i="2"/>
  <c r="AF2103" i="2"/>
  <c r="AF2102" i="2"/>
  <c r="AF2101" i="2"/>
  <c r="AF2100" i="2"/>
  <c r="AF2099" i="2"/>
  <c r="AF2098" i="2"/>
  <c r="AF2097" i="2"/>
  <c r="AF2096" i="2"/>
  <c r="AF2095" i="2"/>
  <c r="AF2094" i="2"/>
  <c r="AF2093" i="2"/>
  <c r="AF2092" i="2"/>
  <c r="AF2091" i="2"/>
  <c r="AF2090" i="2"/>
  <c r="AF2089" i="2"/>
  <c r="AF2088" i="2"/>
  <c r="AF2087" i="2"/>
  <c r="AF2086" i="2"/>
  <c r="AF2085" i="2"/>
  <c r="AF2084" i="2"/>
  <c r="AF2083" i="2"/>
  <c r="AF2082" i="2"/>
  <c r="AF2081" i="2"/>
  <c r="AF2080" i="2"/>
  <c r="AF2079" i="2"/>
  <c r="AF2078" i="2"/>
  <c r="AF2077" i="2"/>
  <c r="AF2076" i="2"/>
  <c r="AF2075" i="2"/>
  <c r="AF2074" i="2"/>
  <c r="AF2073" i="2"/>
  <c r="AF2072" i="2"/>
  <c r="AF2071" i="2"/>
  <c r="AF2070" i="2"/>
  <c r="AF2069" i="2"/>
  <c r="AF2068" i="2"/>
  <c r="AF2067" i="2"/>
  <c r="AF2066" i="2"/>
  <c r="AF2065" i="2"/>
  <c r="AF2064" i="2"/>
  <c r="AF2063" i="2"/>
  <c r="AF2062" i="2"/>
  <c r="AF2061" i="2"/>
  <c r="AF2060" i="2"/>
  <c r="AF2059" i="2"/>
  <c r="AF2058" i="2"/>
  <c r="AF2057" i="2"/>
  <c r="AF2056" i="2"/>
  <c r="AF2055" i="2"/>
  <c r="AF2054" i="2"/>
  <c r="AF2053" i="2"/>
  <c r="AF2052" i="2"/>
  <c r="AF2051" i="2"/>
  <c r="AF2050" i="2"/>
  <c r="AF2049" i="2"/>
  <c r="AF2048" i="2"/>
  <c r="AF2047" i="2"/>
  <c r="AF2046" i="2"/>
  <c r="AF2045" i="2"/>
  <c r="AF2044" i="2"/>
  <c r="AF2043" i="2"/>
  <c r="AF2042" i="2"/>
  <c r="AF2041" i="2"/>
  <c r="AF2040" i="2"/>
  <c r="AF2039" i="2"/>
  <c r="AF2038" i="2"/>
  <c r="AF2037" i="2"/>
  <c r="AF2036" i="2"/>
  <c r="AF2035" i="2"/>
  <c r="AF2034" i="2"/>
  <c r="AF2033" i="2"/>
  <c r="AF2032" i="2"/>
  <c r="AF2031" i="2"/>
  <c r="AF2030" i="2"/>
  <c r="AF2029" i="2"/>
  <c r="AF2028" i="2"/>
  <c r="AF2027" i="2"/>
  <c r="AF2026" i="2"/>
  <c r="AF2025" i="2"/>
  <c r="AF2024" i="2"/>
  <c r="AF2023" i="2"/>
  <c r="AF2022" i="2"/>
  <c r="AF2021" i="2"/>
  <c r="AF2020" i="2"/>
  <c r="AF2019" i="2"/>
  <c r="AF2018" i="2"/>
  <c r="AF2017" i="2"/>
  <c r="AF2016" i="2"/>
  <c r="AF2015" i="2"/>
  <c r="AF2014" i="2"/>
  <c r="AF2013" i="2"/>
  <c r="AF2012" i="2"/>
  <c r="AF2011" i="2"/>
  <c r="AF2010" i="2"/>
  <c r="AF2009" i="2"/>
  <c r="AF2008" i="2"/>
  <c r="AF2007" i="2"/>
  <c r="AF2006" i="2"/>
  <c r="AF2005" i="2"/>
  <c r="AF2004" i="2"/>
  <c r="AF2003" i="2"/>
  <c r="AF2002" i="2"/>
  <c r="AF2001" i="2"/>
  <c r="AF2000" i="2"/>
  <c r="AF1999" i="2"/>
  <c r="AF1998" i="2"/>
  <c r="AF1997" i="2"/>
  <c r="AF1996" i="2"/>
  <c r="AF1995" i="2"/>
  <c r="AF1994" i="2"/>
  <c r="AF1993" i="2"/>
  <c r="AF1992" i="2"/>
  <c r="AF1991" i="2"/>
  <c r="AF1990" i="2"/>
  <c r="AF1989" i="2"/>
  <c r="AF1988" i="2"/>
  <c r="AF1987" i="2"/>
  <c r="AF1986" i="2"/>
  <c r="AF1985" i="2"/>
  <c r="AF1984" i="2"/>
  <c r="AF1983" i="2"/>
  <c r="AF1982" i="2"/>
  <c r="AF1981" i="2"/>
  <c r="AF1980" i="2"/>
  <c r="AF1979" i="2"/>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AF1956" i="2"/>
  <c r="AF1955" i="2"/>
  <c r="AF1954" i="2"/>
  <c r="AF1953" i="2"/>
  <c r="AF1952" i="2"/>
  <c r="AF1951" i="2"/>
  <c r="AF1950" i="2"/>
  <c r="AF1949" i="2"/>
  <c r="AF1948" i="2"/>
  <c r="AF1947" i="2"/>
  <c r="AF1946" i="2"/>
  <c r="AF1945" i="2"/>
  <c r="AF1944" i="2"/>
  <c r="AF1943" i="2"/>
  <c r="AF1942" i="2"/>
  <c r="AF1941" i="2"/>
  <c r="AF1940" i="2"/>
  <c r="AF1939" i="2"/>
  <c r="AF1938" i="2"/>
  <c r="AF1937" i="2"/>
  <c r="AF1936" i="2"/>
  <c r="AF1935" i="2"/>
  <c r="AF1934" i="2"/>
  <c r="AF1933" i="2"/>
  <c r="AF1932" i="2"/>
  <c r="AF1931" i="2"/>
  <c r="AF1930" i="2"/>
  <c r="AF1929" i="2"/>
  <c r="AF1928" i="2"/>
  <c r="AF1927" i="2"/>
  <c r="AF1926" i="2"/>
  <c r="AF1925" i="2"/>
  <c r="AF1924" i="2"/>
  <c r="AF1923" i="2"/>
  <c r="AF1922" i="2"/>
  <c r="AF1921" i="2"/>
  <c r="AF1920" i="2"/>
  <c r="AF1919" i="2"/>
  <c r="AF1918" i="2"/>
  <c r="AF1917" i="2"/>
  <c r="AF1916" i="2"/>
  <c r="AF1915" i="2"/>
  <c r="AF1914" i="2"/>
  <c r="AF1913" i="2"/>
  <c r="AF1912" i="2"/>
  <c r="AF1911" i="2"/>
  <c r="AF1910" i="2"/>
  <c r="AF1909" i="2"/>
  <c r="AF1908" i="2"/>
  <c r="AF1907" i="2"/>
  <c r="AF1906" i="2"/>
  <c r="AF1905" i="2"/>
  <c r="AF1904" i="2"/>
  <c r="AF1903" i="2"/>
  <c r="AF1902" i="2"/>
  <c r="AF1901" i="2"/>
  <c r="AF1900" i="2"/>
  <c r="AF1899" i="2"/>
  <c r="AF1898" i="2"/>
  <c r="AF1897" i="2"/>
  <c r="AF1896" i="2"/>
  <c r="AF1895" i="2"/>
  <c r="AF1894" i="2"/>
  <c r="AF1893" i="2"/>
  <c r="AF1892" i="2"/>
  <c r="AF1891" i="2"/>
  <c r="AF1890" i="2"/>
  <c r="AF1889" i="2"/>
  <c r="AF1888" i="2"/>
  <c r="AF1887" i="2"/>
  <c r="AF1886" i="2"/>
  <c r="AF1885" i="2"/>
  <c r="AF1884" i="2"/>
  <c r="AF1883" i="2"/>
  <c r="AF1882" i="2"/>
  <c r="AF1881" i="2"/>
  <c r="AF1880" i="2"/>
  <c r="AF1879" i="2"/>
  <c r="AF1878" i="2"/>
  <c r="AF1877" i="2"/>
  <c r="AF1876" i="2"/>
  <c r="AF1875" i="2"/>
  <c r="AF1874" i="2"/>
  <c r="AF1873" i="2"/>
  <c r="AF1872" i="2"/>
  <c r="AF1871" i="2"/>
  <c r="AF1870" i="2"/>
  <c r="AF1869" i="2"/>
  <c r="AF1868" i="2"/>
  <c r="AF1867" i="2"/>
  <c r="AF1866" i="2"/>
  <c r="AF1865" i="2"/>
  <c r="AF1864" i="2"/>
  <c r="AF1863" i="2"/>
  <c r="AF1862" i="2"/>
  <c r="AF1861" i="2"/>
  <c r="AF1860" i="2"/>
  <c r="AF1859" i="2"/>
  <c r="AF1858" i="2"/>
  <c r="AF1857" i="2"/>
  <c r="AF1856" i="2"/>
  <c r="AF1855" i="2"/>
  <c r="AF1854" i="2"/>
  <c r="AF1853" i="2"/>
  <c r="AF1852" i="2"/>
  <c r="AF1851" i="2"/>
  <c r="AF1850" i="2"/>
  <c r="AF1849" i="2"/>
  <c r="AF1848" i="2"/>
  <c r="AF1847" i="2"/>
  <c r="AF1846" i="2"/>
  <c r="AF1845" i="2"/>
  <c r="AF1844" i="2"/>
  <c r="AF1843" i="2"/>
  <c r="AF1842" i="2"/>
  <c r="AF1841" i="2"/>
  <c r="AF1840" i="2"/>
  <c r="AF1839" i="2"/>
  <c r="AF1838" i="2"/>
  <c r="AF1837" i="2"/>
  <c r="AF1836" i="2"/>
  <c r="AF1835" i="2"/>
  <c r="AF1834" i="2"/>
  <c r="AF1833" i="2"/>
  <c r="AF1832" i="2"/>
  <c r="AF1831" i="2"/>
  <c r="AF1830" i="2"/>
  <c r="AF1829" i="2"/>
  <c r="AF1828" i="2"/>
  <c r="AF1827" i="2"/>
  <c r="AF1826" i="2"/>
  <c r="AF1825" i="2"/>
  <c r="AF1824" i="2"/>
  <c r="AF1823" i="2"/>
  <c r="AF1822" i="2"/>
  <c r="AF1821" i="2"/>
  <c r="AF1820" i="2"/>
  <c r="AF1819" i="2"/>
  <c r="AF1818" i="2"/>
  <c r="AF1817" i="2"/>
  <c r="AF1816" i="2"/>
  <c r="AF1815" i="2"/>
  <c r="AF1814" i="2"/>
  <c r="AF1813" i="2"/>
  <c r="AF1812" i="2"/>
  <c r="AF1811" i="2"/>
  <c r="AF1810" i="2"/>
  <c r="AF1809" i="2"/>
  <c r="AF1808" i="2"/>
  <c r="AF1807" i="2"/>
  <c r="AF1806" i="2"/>
  <c r="AF1805" i="2"/>
  <c r="AF1804" i="2"/>
  <c r="AF1803" i="2"/>
  <c r="AF1802" i="2"/>
  <c r="AF1801" i="2"/>
  <c r="AF1800" i="2"/>
  <c r="AF1799" i="2"/>
  <c r="AF1798" i="2"/>
  <c r="AF1797" i="2"/>
  <c r="AF1796" i="2"/>
  <c r="AF1795" i="2"/>
  <c r="AF1794" i="2"/>
  <c r="AF1793" i="2"/>
  <c r="AF1792" i="2"/>
  <c r="AF1791" i="2"/>
  <c r="AF1790" i="2"/>
  <c r="AF1789" i="2"/>
  <c r="AF1788" i="2"/>
  <c r="AF1787" i="2"/>
  <c r="AF1786" i="2"/>
  <c r="AF1785" i="2"/>
  <c r="AF1784" i="2"/>
  <c r="AF1783" i="2"/>
  <c r="AF1782" i="2"/>
  <c r="AF1781" i="2"/>
  <c r="AF1780" i="2"/>
  <c r="AF1779" i="2"/>
  <c r="AF1778" i="2"/>
  <c r="AF1777" i="2"/>
  <c r="AF1776" i="2"/>
  <c r="AF1775" i="2"/>
  <c r="AF1774" i="2"/>
  <c r="AF1773" i="2"/>
  <c r="AF1772" i="2"/>
  <c r="AF1771" i="2"/>
  <c r="AF1770" i="2"/>
  <c r="AF1769" i="2"/>
  <c r="AF1768" i="2"/>
  <c r="AF1767" i="2"/>
  <c r="AF1766" i="2"/>
  <c r="AF1765" i="2"/>
  <c r="AF1764" i="2"/>
  <c r="AF1763" i="2"/>
  <c r="AF1762" i="2"/>
  <c r="AF1761" i="2"/>
  <c r="AF1760" i="2"/>
  <c r="AF1759" i="2"/>
  <c r="AF1758" i="2"/>
  <c r="AF1757" i="2"/>
  <c r="AF1756" i="2"/>
  <c r="AF1755" i="2"/>
  <c r="AF1754" i="2"/>
  <c r="AF1753" i="2"/>
  <c r="AF1752" i="2"/>
  <c r="AF1751" i="2"/>
  <c r="AF1750" i="2"/>
  <c r="AF1749" i="2"/>
  <c r="AF1748" i="2"/>
  <c r="AF1747" i="2"/>
  <c r="AF1746" i="2"/>
  <c r="AF1745" i="2"/>
  <c r="AF1744" i="2"/>
  <c r="AF1743" i="2"/>
  <c r="AF1742" i="2"/>
  <c r="AF1741" i="2"/>
  <c r="AF1740" i="2"/>
  <c r="AF1739" i="2"/>
  <c r="AF1738" i="2"/>
  <c r="AF1737" i="2"/>
  <c r="AF1736" i="2"/>
  <c r="AF1735" i="2"/>
  <c r="AF1734" i="2"/>
  <c r="AF1733" i="2"/>
  <c r="AF1732" i="2"/>
  <c r="AF1731" i="2"/>
  <c r="AF1730" i="2"/>
  <c r="AF1729" i="2"/>
  <c r="AF1728" i="2"/>
  <c r="AF1727" i="2"/>
  <c r="AF1726" i="2"/>
  <c r="AF1725" i="2"/>
  <c r="AF1724" i="2"/>
  <c r="AF1723" i="2"/>
  <c r="AF1722" i="2"/>
  <c r="AF1721" i="2"/>
  <c r="AF1720" i="2"/>
  <c r="AF1719" i="2"/>
  <c r="AF1718" i="2"/>
  <c r="AF1717" i="2"/>
  <c r="AF1716" i="2"/>
  <c r="AF1715" i="2"/>
  <c r="AF1714" i="2"/>
  <c r="AF1713" i="2"/>
  <c r="AF1712" i="2"/>
  <c r="AF1711" i="2"/>
  <c r="AF1710" i="2"/>
  <c r="AF1709" i="2"/>
  <c r="AF1708" i="2"/>
  <c r="AF1707" i="2"/>
  <c r="AF1706" i="2"/>
  <c r="AF1705" i="2"/>
  <c r="AF1704" i="2"/>
  <c r="AF1703" i="2"/>
  <c r="AF1702" i="2"/>
  <c r="AF1701" i="2"/>
  <c r="AF1700" i="2"/>
  <c r="AF1699" i="2"/>
  <c r="AF1698" i="2"/>
  <c r="AF1697" i="2"/>
  <c r="AF1696" i="2"/>
  <c r="AF1695" i="2"/>
  <c r="AF1694" i="2"/>
  <c r="AF1693" i="2"/>
  <c r="AF1692" i="2"/>
  <c r="AF1691" i="2"/>
  <c r="AF1690" i="2"/>
  <c r="AF1689" i="2"/>
  <c r="AF1688" i="2"/>
  <c r="AF1687" i="2"/>
  <c r="AF1686" i="2"/>
  <c r="AF1685" i="2"/>
  <c r="AF1684" i="2"/>
  <c r="AF1683" i="2"/>
  <c r="AF1682" i="2"/>
  <c r="AF1681" i="2"/>
  <c r="AF1680" i="2"/>
  <c r="AF1679" i="2"/>
  <c r="AF1678" i="2"/>
  <c r="AF1677" i="2"/>
  <c r="AF1676" i="2"/>
  <c r="AF1675" i="2"/>
  <c r="AF1674" i="2"/>
  <c r="AF1673" i="2"/>
  <c r="AF1672" i="2"/>
  <c r="AF1671" i="2"/>
  <c r="AF1670" i="2"/>
  <c r="AF1669" i="2"/>
  <c r="AF1668" i="2"/>
  <c r="AF1667" i="2"/>
  <c r="AF1666" i="2"/>
  <c r="AF1665" i="2"/>
  <c r="AF1664" i="2"/>
  <c r="AF1663" i="2"/>
  <c r="AF1662" i="2"/>
  <c r="AF1661" i="2"/>
  <c r="AF1660" i="2"/>
  <c r="AF1659" i="2"/>
  <c r="AF1658" i="2"/>
  <c r="AF1657" i="2"/>
  <c r="AF1656" i="2"/>
  <c r="AF1655" i="2"/>
  <c r="AF1654" i="2"/>
  <c r="AF1653" i="2"/>
  <c r="AF1652" i="2"/>
  <c r="AF1651" i="2"/>
  <c r="AF1650" i="2"/>
  <c r="AF1649" i="2"/>
  <c r="AF1648" i="2"/>
  <c r="AF1647" i="2"/>
  <c r="AF1646" i="2"/>
  <c r="AF1645" i="2"/>
  <c r="AF1644" i="2"/>
  <c r="AF1643" i="2"/>
  <c r="AF1642" i="2"/>
  <c r="AF1641" i="2"/>
  <c r="AF1640" i="2"/>
  <c r="AF1639" i="2"/>
  <c r="AF1638" i="2"/>
  <c r="AF1637" i="2"/>
  <c r="AF1636" i="2"/>
  <c r="AF1635" i="2"/>
  <c r="AF1634" i="2"/>
  <c r="AF1633" i="2"/>
  <c r="AF1632" i="2"/>
  <c r="AF1631" i="2"/>
  <c r="AF1630" i="2"/>
  <c r="AF1629" i="2"/>
  <c r="AF1628" i="2"/>
  <c r="AF1627" i="2"/>
  <c r="AF1626" i="2"/>
  <c r="AF1625" i="2"/>
  <c r="AF1624" i="2"/>
  <c r="AF1623" i="2"/>
  <c r="AF1622" i="2"/>
  <c r="AF1621" i="2"/>
  <c r="AF1620" i="2"/>
  <c r="AF1619" i="2"/>
  <c r="AF1618" i="2"/>
  <c r="AF1617" i="2"/>
  <c r="AF1616" i="2"/>
  <c r="AF1615" i="2"/>
  <c r="AF1614" i="2"/>
  <c r="AF1613" i="2"/>
  <c r="AF1612" i="2"/>
  <c r="AF1611" i="2"/>
  <c r="AF1610" i="2"/>
  <c r="AF1609" i="2"/>
  <c r="AF1608" i="2"/>
  <c r="AF1607" i="2"/>
  <c r="AF1606" i="2"/>
  <c r="AF1605" i="2"/>
  <c r="AF1604" i="2"/>
  <c r="AF1603" i="2"/>
  <c r="AF1602" i="2"/>
  <c r="AF1601" i="2"/>
  <c r="AF1600" i="2"/>
  <c r="AF1599" i="2"/>
  <c r="AF1598" i="2"/>
  <c r="AF1597" i="2"/>
  <c r="AF1596" i="2"/>
  <c r="AF1595" i="2"/>
  <c r="AF1594" i="2"/>
  <c r="AF1593" i="2"/>
  <c r="AF1592" i="2"/>
  <c r="AF1591" i="2"/>
  <c r="AF1590" i="2"/>
  <c r="AF1589" i="2"/>
  <c r="AF1588" i="2"/>
  <c r="AF1587" i="2"/>
  <c r="AF1586" i="2"/>
  <c r="AF1585" i="2"/>
  <c r="AF1584" i="2"/>
  <c r="AF1583" i="2"/>
  <c r="AF1582" i="2"/>
  <c r="AF1581" i="2"/>
  <c r="AF1580" i="2"/>
  <c r="AF1579" i="2"/>
  <c r="AF1578" i="2"/>
  <c r="AF1577" i="2"/>
  <c r="AF1576" i="2"/>
  <c r="AF1575" i="2"/>
  <c r="AF1574" i="2"/>
  <c r="AF1573" i="2"/>
  <c r="AF1572" i="2"/>
  <c r="AF1571" i="2"/>
  <c r="AF1570" i="2"/>
  <c r="AF1569" i="2"/>
  <c r="AF1568" i="2"/>
  <c r="AF1567" i="2"/>
  <c r="AF1566" i="2"/>
  <c r="AF1565" i="2"/>
  <c r="AF1564" i="2"/>
  <c r="AF1563" i="2"/>
  <c r="AF1562" i="2"/>
  <c r="AF1561" i="2"/>
  <c r="AF1560" i="2"/>
  <c r="AF1559" i="2"/>
  <c r="AF1558" i="2"/>
  <c r="AF1557" i="2"/>
  <c r="AF1556" i="2"/>
  <c r="AF1555" i="2"/>
  <c r="AF1554" i="2"/>
  <c r="AF1553" i="2"/>
  <c r="AF1552" i="2"/>
  <c r="AF1551" i="2"/>
  <c r="AF1550" i="2"/>
  <c r="AF1549" i="2"/>
  <c r="AF1548" i="2"/>
  <c r="AF1547" i="2"/>
  <c r="AF1546" i="2"/>
  <c r="AF1545" i="2"/>
  <c r="AF1544" i="2"/>
  <c r="AF1543" i="2"/>
  <c r="AF1542" i="2"/>
  <c r="AF1541" i="2"/>
  <c r="AF1540" i="2"/>
  <c r="AF1539" i="2"/>
  <c r="AF1538" i="2"/>
  <c r="AF1537" i="2"/>
  <c r="AF1536" i="2"/>
  <c r="AF1535" i="2"/>
  <c r="AF1534" i="2"/>
  <c r="AF1533" i="2"/>
  <c r="AF1532" i="2"/>
  <c r="AF1531" i="2"/>
  <c r="AF1530" i="2"/>
  <c r="AF1529" i="2"/>
  <c r="AF1528" i="2"/>
  <c r="AF1527" i="2"/>
  <c r="AF1526" i="2"/>
  <c r="AF1525" i="2"/>
  <c r="AF1524" i="2"/>
  <c r="AF1523" i="2"/>
  <c r="AF1522" i="2"/>
  <c r="AF1521" i="2"/>
  <c r="AF1520" i="2"/>
  <c r="AF1519" i="2"/>
  <c r="AF1518" i="2"/>
  <c r="AF1517" i="2"/>
  <c r="AF1516" i="2"/>
  <c r="AF1515" i="2"/>
  <c r="AF1514" i="2"/>
  <c r="AF1513" i="2"/>
  <c r="AF1512" i="2"/>
  <c r="AF1511" i="2"/>
  <c r="AF1510" i="2"/>
  <c r="AF1509" i="2"/>
  <c r="AF1508" i="2"/>
  <c r="AF1507" i="2"/>
  <c r="AF1506" i="2"/>
  <c r="AF1505" i="2"/>
  <c r="AF1504" i="2"/>
  <c r="AF1503" i="2"/>
  <c r="AF1502" i="2"/>
  <c r="AF1501" i="2"/>
  <c r="AF1500" i="2"/>
  <c r="AF1499" i="2"/>
  <c r="AF1498" i="2"/>
  <c r="AF1497" i="2"/>
  <c r="AF1496" i="2"/>
  <c r="AF1495" i="2"/>
  <c r="AF1494" i="2"/>
  <c r="AF1493" i="2"/>
  <c r="AF1492" i="2"/>
  <c r="AF1491" i="2"/>
  <c r="AF1490" i="2"/>
  <c r="AF1489" i="2"/>
  <c r="AF1488" i="2"/>
  <c r="AF1487" i="2"/>
  <c r="AF1486" i="2"/>
  <c r="AF1485" i="2"/>
  <c r="AF1484" i="2"/>
  <c r="AF1483" i="2"/>
  <c r="AF1482" i="2"/>
  <c r="AF1481" i="2"/>
  <c r="AF1480" i="2"/>
  <c r="AF1479" i="2"/>
  <c r="AF1478" i="2"/>
  <c r="AF1477" i="2"/>
  <c r="AF1476" i="2"/>
  <c r="AF1475" i="2"/>
  <c r="AF1474" i="2"/>
  <c r="AF1473" i="2"/>
  <c r="AF1472" i="2"/>
  <c r="AF1471" i="2"/>
  <c r="AF1470" i="2"/>
  <c r="AF1469" i="2"/>
  <c r="AF1468" i="2"/>
  <c r="AF1467" i="2"/>
  <c r="AF1466" i="2"/>
  <c r="AF1465" i="2"/>
  <c r="AF1464" i="2"/>
  <c r="AF1463" i="2"/>
  <c r="AF1462" i="2"/>
  <c r="AF1461" i="2"/>
  <c r="AF1460" i="2"/>
  <c r="AF1459" i="2"/>
  <c r="AF1458" i="2"/>
  <c r="AF1457" i="2"/>
  <c r="AF1456" i="2"/>
  <c r="AF1455" i="2"/>
  <c r="AF1454" i="2"/>
  <c r="AF1453" i="2"/>
  <c r="AF1452" i="2"/>
  <c r="AF1451" i="2"/>
  <c r="AF1450" i="2"/>
  <c r="AF1449" i="2"/>
  <c r="AF1448" i="2"/>
  <c r="AF1447" i="2"/>
  <c r="AF1446" i="2"/>
  <c r="AF1445" i="2"/>
  <c r="AF1444" i="2"/>
  <c r="AF1443" i="2"/>
  <c r="AF1442" i="2"/>
  <c r="AF1441" i="2"/>
  <c r="AF1440" i="2"/>
  <c r="AF1439" i="2"/>
  <c r="AF1438" i="2"/>
  <c r="AF1437" i="2"/>
  <c r="AF1436" i="2"/>
  <c r="AF1435" i="2"/>
  <c r="AF1434" i="2"/>
  <c r="AF1433" i="2"/>
  <c r="AF1432" i="2"/>
  <c r="AF1431" i="2"/>
  <c r="AF1430" i="2"/>
  <c r="AF1429" i="2"/>
  <c r="AF1428" i="2"/>
  <c r="AF1427" i="2"/>
  <c r="AF1426" i="2"/>
  <c r="AF1425" i="2"/>
  <c r="AF1424" i="2"/>
  <c r="AF1423" i="2"/>
  <c r="AF1422" i="2"/>
  <c r="AF1421" i="2"/>
  <c r="AF1420" i="2"/>
  <c r="AF1419" i="2"/>
  <c r="AF1418" i="2"/>
  <c r="AF1417" i="2"/>
  <c r="AF1416" i="2"/>
  <c r="AF1415" i="2"/>
  <c r="AF1414" i="2"/>
  <c r="AF1413" i="2"/>
  <c r="AF1412" i="2"/>
  <c r="AF1411" i="2"/>
  <c r="AF1410" i="2"/>
  <c r="AF1409" i="2"/>
  <c r="AF1408" i="2"/>
  <c r="AF1407" i="2"/>
  <c r="AF1406" i="2"/>
  <c r="AF1405" i="2"/>
  <c r="AF1404" i="2"/>
  <c r="AF1403" i="2"/>
  <c r="AF1402" i="2"/>
  <c r="AF1401" i="2"/>
  <c r="AF1400" i="2"/>
  <c r="AF1399" i="2"/>
  <c r="AF1398" i="2"/>
  <c r="AF1397" i="2"/>
  <c r="AF1396" i="2"/>
  <c r="AF1395" i="2"/>
  <c r="AF1394" i="2"/>
  <c r="AF1393" i="2"/>
  <c r="AF1392" i="2"/>
  <c r="AF1391" i="2"/>
  <c r="AF1390" i="2"/>
  <c r="AF1389" i="2"/>
  <c r="AF1388" i="2"/>
  <c r="AF1387" i="2"/>
  <c r="AF1386" i="2"/>
  <c r="AF1385" i="2"/>
  <c r="AF1384" i="2"/>
  <c r="AF1383" i="2"/>
  <c r="AF1382" i="2"/>
  <c r="AF1381" i="2"/>
  <c r="AF1380" i="2"/>
  <c r="AF1379" i="2"/>
  <c r="AF1378" i="2"/>
  <c r="AF1377" i="2"/>
  <c r="AF1376" i="2"/>
  <c r="AF1375" i="2"/>
  <c r="AF1374" i="2"/>
  <c r="AF1373" i="2"/>
  <c r="AF1372" i="2"/>
  <c r="AF1371" i="2"/>
  <c r="AF1370" i="2"/>
  <c r="AF1369" i="2"/>
  <c r="AF1368" i="2"/>
  <c r="AF1367" i="2"/>
  <c r="AF1366" i="2"/>
  <c r="AF1365" i="2"/>
  <c r="AF1364" i="2"/>
  <c r="AF1363" i="2"/>
  <c r="AF1362" i="2"/>
  <c r="AF1361" i="2"/>
  <c r="AF1360" i="2"/>
  <c r="AF1359" i="2"/>
  <c r="AF1358" i="2"/>
  <c r="AF1357" i="2"/>
  <c r="AF1356" i="2"/>
  <c r="AF1355" i="2"/>
  <c r="AF1354" i="2"/>
  <c r="AF1353" i="2"/>
  <c r="AF1352" i="2"/>
  <c r="AF1351" i="2"/>
  <c r="AF1350" i="2"/>
  <c r="AF1349" i="2"/>
  <c r="AF1348" i="2"/>
  <c r="AF1347" i="2"/>
  <c r="AF1346" i="2"/>
  <c r="AF1345" i="2"/>
  <c r="AF1344" i="2"/>
  <c r="AF1343" i="2"/>
  <c r="AF1342" i="2"/>
  <c r="AF1341" i="2"/>
  <c r="AF1340" i="2"/>
  <c r="AF1339" i="2"/>
  <c r="AF1338" i="2"/>
  <c r="AF1337" i="2"/>
  <c r="AF1336" i="2"/>
  <c r="AF1335" i="2"/>
  <c r="AF1334" i="2"/>
  <c r="AF1333" i="2"/>
  <c r="AF1332" i="2"/>
  <c r="AF1331" i="2"/>
  <c r="AF1330" i="2"/>
  <c r="AF1329" i="2"/>
  <c r="AF1328" i="2"/>
  <c r="AF1327" i="2"/>
  <c r="AF1326" i="2"/>
  <c r="AF1325" i="2"/>
  <c r="AF1324" i="2"/>
  <c r="AF1323" i="2"/>
  <c r="AF1322" i="2"/>
  <c r="AF1321" i="2"/>
  <c r="AF1320" i="2"/>
  <c r="AF1319" i="2"/>
  <c r="AF1318" i="2"/>
  <c r="AF1317" i="2"/>
  <c r="AF1316" i="2"/>
  <c r="AF1315" i="2"/>
  <c r="AF1314" i="2"/>
  <c r="AF1313" i="2"/>
  <c r="AF1312" i="2"/>
  <c r="AF1311" i="2"/>
  <c r="AF1310" i="2"/>
  <c r="AF1309" i="2"/>
  <c r="AF1308" i="2"/>
  <c r="AF1307" i="2"/>
  <c r="AF1306" i="2"/>
  <c r="AF1305" i="2"/>
  <c r="AF1304" i="2"/>
  <c r="AF1303" i="2"/>
  <c r="AF1302" i="2"/>
  <c r="AF1301" i="2"/>
  <c r="AF1300" i="2"/>
  <c r="AF1299" i="2"/>
  <c r="AF1298" i="2"/>
  <c r="AF1297" i="2"/>
  <c r="AF1296" i="2"/>
  <c r="AF1295" i="2"/>
  <c r="AF1294" i="2"/>
  <c r="AF1293" i="2"/>
  <c r="AF1292" i="2"/>
  <c r="AF1291" i="2"/>
  <c r="AF1290" i="2"/>
  <c r="AF1289" i="2"/>
  <c r="AF1288" i="2"/>
  <c r="AF1287" i="2"/>
  <c r="AF1286" i="2"/>
  <c r="AF1285" i="2"/>
  <c r="AF1284" i="2"/>
  <c r="AF1283" i="2"/>
  <c r="AF1282" i="2"/>
  <c r="AF1281" i="2"/>
  <c r="AF1280" i="2"/>
  <c r="AF1279" i="2"/>
  <c r="AF1278" i="2"/>
  <c r="AF1277" i="2"/>
  <c r="AF1276" i="2"/>
  <c r="AF1275" i="2"/>
  <c r="AF1274" i="2"/>
  <c r="AF1273" i="2"/>
  <c r="AF1272" i="2"/>
  <c r="AF1271" i="2"/>
  <c r="AF1270" i="2"/>
  <c r="AF1269" i="2"/>
  <c r="AF1268" i="2"/>
  <c r="AF1267" i="2"/>
  <c r="AF1266" i="2"/>
  <c r="AF1265" i="2"/>
  <c r="AF1264" i="2"/>
  <c r="AF1263" i="2"/>
  <c r="AF1262" i="2"/>
  <c r="AF1261" i="2"/>
  <c r="AF1260" i="2"/>
  <c r="AF1259" i="2"/>
  <c r="AF1258" i="2"/>
  <c r="AF1257" i="2"/>
  <c r="AF1256" i="2"/>
  <c r="AF1255" i="2"/>
  <c r="AF1254" i="2"/>
  <c r="AF1253" i="2"/>
  <c r="AF1252" i="2"/>
  <c r="AF1251" i="2"/>
  <c r="AF1250" i="2"/>
  <c r="AF1249" i="2"/>
  <c r="AF1248" i="2"/>
  <c r="AF1247" i="2"/>
  <c r="AF1246" i="2"/>
  <c r="AF1245" i="2"/>
  <c r="AF1244" i="2"/>
  <c r="AF1243" i="2"/>
  <c r="AF1242" i="2"/>
  <c r="AF1241" i="2"/>
  <c r="AF1240" i="2"/>
  <c r="AF1239" i="2"/>
  <c r="AF1238" i="2"/>
  <c r="AF1237" i="2"/>
  <c r="AF1236" i="2"/>
  <c r="AF1235" i="2"/>
  <c r="AF1234" i="2"/>
  <c r="AF1233" i="2"/>
  <c r="AF1232" i="2"/>
  <c r="AF1231" i="2"/>
  <c r="AF1230" i="2"/>
  <c r="AF1229" i="2"/>
  <c r="AF1228" i="2"/>
  <c r="AF1227" i="2"/>
  <c r="AF1226" i="2"/>
  <c r="AF1225" i="2"/>
  <c r="AF1224" i="2"/>
  <c r="AF1223" i="2"/>
  <c r="AF1222" i="2"/>
  <c r="AF1221" i="2"/>
  <c r="AF1220" i="2"/>
  <c r="AF1219" i="2"/>
  <c r="AF1218" i="2"/>
  <c r="AF1217" i="2"/>
  <c r="AF1216" i="2"/>
  <c r="AF1215" i="2"/>
  <c r="AF1214" i="2"/>
  <c r="AF1213" i="2"/>
  <c r="AF1212" i="2"/>
  <c r="AF1211" i="2"/>
  <c r="AF1210" i="2"/>
  <c r="AF1209" i="2"/>
  <c r="AF1208" i="2"/>
  <c r="AF1207" i="2"/>
  <c r="AF1206" i="2"/>
  <c r="AF1205" i="2"/>
  <c r="AF1204" i="2"/>
  <c r="AF1203" i="2"/>
  <c r="AF1202" i="2"/>
  <c r="AF1201" i="2"/>
  <c r="AF1200" i="2"/>
  <c r="AF1199" i="2"/>
  <c r="AF1198" i="2"/>
  <c r="AF1197" i="2"/>
  <c r="AF1196" i="2"/>
  <c r="AF1195" i="2"/>
  <c r="AF1194" i="2"/>
  <c r="AF1193" i="2"/>
  <c r="AF1192" i="2"/>
  <c r="AF1191" i="2"/>
  <c r="AF1190" i="2"/>
  <c r="AF1189" i="2"/>
  <c r="AF1188" i="2"/>
  <c r="AF1187" i="2"/>
  <c r="AF1186" i="2"/>
  <c r="AF1185" i="2"/>
  <c r="AF1184" i="2"/>
  <c r="AF1183" i="2"/>
  <c r="AF1182" i="2"/>
  <c r="AF1181" i="2"/>
  <c r="AF1180" i="2"/>
  <c r="AF1179" i="2"/>
  <c r="AF1178" i="2"/>
  <c r="AF1177" i="2"/>
  <c r="AF1176" i="2"/>
  <c r="AF1175" i="2"/>
  <c r="AF1174" i="2"/>
  <c r="AF1173" i="2"/>
  <c r="AF1172" i="2"/>
  <c r="AF1171" i="2"/>
  <c r="AF1170" i="2"/>
  <c r="AF1169" i="2"/>
  <c r="AF1168" i="2"/>
  <c r="AF1167" i="2"/>
  <c r="AF1166" i="2"/>
  <c r="AF1165" i="2"/>
  <c r="AF1164" i="2"/>
  <c r="AF1163" i="2"/>
  <c r="AF1162" i="2"/>
  <c r="AF1161" i="2"/>
  <c r="AF1160" i="2"/>
  <c r="AF1159" i="2"/>
  <c r="AF1158" i="2"/>
  <c r="AF1157" i="2"/>
  <c r="AF1156" i="2"/>
  <c r="AF1155" i="2"/>
  <c r="AF1154" i="2"/>
  <c r="AF1153" i="2"/>
  <c r="AF1152" i="2"/>
  <c r="AF1151" i="2"/>
  <c r="AF1150" i="2"/>
  <c r="AF1149" i="2"/>
  <c r="AF1148" i="2"/>
  <c r="AF1147" i="2"/>
  <c r="AF1146" i="2"/>
  <c r="AF1145" i="2"/>
  <c r="AF1144" i="2"/>
  <c r="AF1143" i="2"/>
  <c r="AF1142" i="2"/>
  <c r="AF1141" i="2"/>
  <c r="AF1140" i="2"/>
  <c r="AF1139" i="2"/>
  <c r="AF1138" i="2"/>
  <c r="AF1137" i="2"/>
  <c r="AF1136" i="2"/>
  <c r="AF1135" i="2"/>
  <c r="AF1134" i="2"/>
  <c r="AF1133" i="2"/>
  <c r="AF1132" i="2"/>
  <c r="AF1131" i="2"/>
  <c r="AF1130" i="2"/>
  <c r="AF1129" i="2"/>
  <c r="AF1128" i="2"/>
  <c r="AF1127" i="2"/>
  <c r="AF1126" i="2"/>
  <c r="AF1125" i="2"/>
  <c r="AF1124" i="2"/>
  <c r="AF1123" i="2"/>
  <c r="AF1122" i="2"/>
  <c r="AF1121" i="2"/>
  <c r="AF1120" i="2"/>
  <c r="AF1119" i="2"/>
  <c r="AF1118" i="2"/>
  <c r="AF1117" i="2"/>
  <c r="AF1116" i="2"/>
  <c r="AF1115" i="2"/>
  <c r="AF1114" i="2"/>
  <c r="AF1113" i="2"/>
  <c r="AF1112" i="2"/>
  <c r="AF1111" i="2"/>
  <c r="AF1110" i="2"/>
  <c r="AF1109" i="2"/>
  <c r="AF1108" i="2"/>
  <c r="AF1107" i="2"/>
  <c r="AF1106" i="2"/>
  <c r="AF1105" i="2"/>
  <c r="AF1104" i="2"/>
  <c r="AF1103" i="2"/>
  <c r="AF1102" i="2"/>
  <c r="AF1101" i="2"/>
  <c r="AF1100" i="2"/>
  <c r="AF1099" i="2"/>
  <c r="AF1098" i="2"/>
  <c r="AF1097" i="2"/>
  <c r="AF1096" i="2"/>
  <c r="AF1095" i="2"/>
  <c r="AF1094" i="2"/>
  <c r="AF1093" i="2"/>
  <c r="AF1092" i="2"/>
  <c r="AF1091" i="2"/>
  <c r="AF1090" i="2"/>
  <c r="AF1089" i="2"/>
  <c r="AF1088" i="2"/>
  <c r="AF1087" i="2"/>
  <c r="AF1086" i="2"/>
  <c r="AF1085" i="2"/>
  <c r="AF1084" i="2"/>
  <c r="N2415" i="2"/>
  <c r="N2414" i="2"/>
  <c r="N2413" i="2"/>
  <c r="N2412" i="2"/>
  <c r="N2411" i="2"/>
  <c r="N2410" i="2"/>
  <c r="N2409" i="2"/>
  <c r="N2408" i="2"/>
  <c r="N2407" i="2"/>
  <c r="N2406" i="2"/>
  <c r="N2405" i="2"/>
  <c r="N2404" i="2"/>
  <c r="N2403" i="2"/>
  <c r="N2402" i="2"/>
  <c r="N2401" i="2"/>
  <c r="N2400" i="2"/>
  <c r="N2399" i="2"/>
  <c r="N2398" i="2"/>
  <c r="N2397" i="2"/>
  <c r="N2396" i="2"/>
  <c r="N2395" i="2"/>
  <c r="N2394" i="2"/>
  <c r="N2393" i="2"/>
  <c r="N2392" i="2"/>
  <c r="N2391" i="2"/>
  <c r="N2390" i="2"/>
  <c r="N2389" i="2"/>
  <c r="N2388" i="2"/>
  <c r="N2387" i="2"/>
  <c r="N2386" i="2"/>
  <c r="N2385" i="2"/>
  <c r="N2384" i="2"/>
  <c r="N2383" i="2"/>
  <c r="N2382" i="2"/>
  <c r="N2381" i="2"/>
  <c r="N2380" i="2"/>
  <c r="N2379" i="2"/>
  <c r="N2378" i="2"/>
  <c r="N2377" i="2"/>
  <c r="N2376" i="2"/>
  <c r="N2375" i="2"/>
  <c r="N2374" i="2"/>
  <c r="N2373" i="2"/>
  <c r="N2372" i="2"/>
  <c r="N2371" i="2"/>
  <c r="N2370" i="2"/>
  <c r="N2369" i="2"/>
  <c r="N2368" i="2"/>
  <c r="N2367" i="2"/>
  <c r="N2366" i="2"/>
  <c r="N2365" i="2"/>
  <c r="N2364" i="2"/>
  <c r="N2363" i="2"/>
  <c r="N2362" i="2"/>
  <c r="N2361" i="2"/>
  <c r="N2360" i="2"/>
  <c r="N2359" i="2"/>
  <c r="N2358" i="2"/>
  <c r="N2357" i="2"/>
  <c r="N2356" i="2"/>
  <c r="N2355" i="2"/>
  <c r="N2354" i="2"/>
  <c r="N2353" i="2"/>
  <c r="N2352" i="2"/>
  <c r="N2351" i="2"/>
  <c r="N2350" i="2"/>
  <c r="N2349" i="2"/>
  <c r="N2348" i="2"/>
  <c r="N2347" i="2"/>
  <c r="N2346" i="2"/>
  <c r="N2345" i="2"/>
  <c r="N2344" i="2"/>
  <c r="N2343" i="2"/>
  <c r="N2342" i="2"/>
  <c r="N2341" i="2"/>
  <c r="N2340" i="2"/>
  <c r="N2339" i="2"/>
  <c r="N2338" i="2"/>
  <c r="N2337" i="2"/>
  <c r="N2336" i="2"/>
  <c r="N2335" i="2"/>
  <c r="N2334" i="2"/>
  <c r="N2333" i="2"/>
  <c r="N2332" i="2"/>
  <c r="N2331" i="2"/>
  <c r="N2330" i="2"/>
  <c r="N2329" i="2"/>
  <c r="N2328" i="2"/>
  <c r="N2327" i="2"/>
  <c r="N2326" i="2"/>
  <c r="N2325" i="2"/>
  <c r="N2324" i="2"/>
  <c r="N2323" i="2"/>
  <c r="N2322" i="2"/>
  <c r="N2321" i="2"/>
  <c r="N2320" i="2"/>
  <c r="N2319" i="2"/>
  <c r="N2318" i="2"/>
  <c r="N2317" i="2"/>
  <c r="N2316" i="2"/>
  <c r="N2315" i="2"/>
  <c r="N2314" i="2"/>
  <c r="N2313" i="2"/>
  <c r="N2312" i="2"/>
  <c r="N2311" i="2"/>
  <c r="N2310" i="2"/>
  <c r="N2309" i="2"/>
  <c r="N2308" i="2"/>
  <c r="N2307" i="2"/>
  <c r="N2306" i="2"/>
  <c r="N2305" i="2"/>
  <c r="N2304" i="2"/>
  <c r="N2303" i="2"/>
  <c r="N2302" i="2"/>
  <c r="N2301" i="2"/>
  <c r="N2300" i="2"/>
  <c r="N2299" i="2"/>
  <c r="N2298" i="2"/>
  <c r="N2297" i="2"/>
  <c r="N2296" i="2"/>
  <c r="N2295" i="2"/>
  <c r="N2294" i="2"/>
  <c r="N2293" i="2"/>
  <c r="N2292" i="2"/>
  <c r="N2291" i="2"/>
  <c r="N2290" i="2"/>
  <c r="N2289" i="2"/>
  <c r="N2288" i="2"/>
  <c r="N2287" i="2"/>
  <c r="N2286" i="2"/>
  <c r="N2285" i="2"/>
  <c r="N2284" i="2"/>
  <c r="N2283" i="2"/>
  <c r="N2282" i="2"/>
  <c r="N2281" i="2"/>
  <c r="N2280" i="2"/>
  <c r="N2279" i="2"/>
  <c r="N2278" i="2"/>
  <c r="N2277" i="2"/>
  <c r="N2276" i="2"/>
  <c r="N2275" i="2"/>
  <c r="N2274" i="2"/>
  <c r="N2273" i="2"/>
  <c r="N2272" i="2"/>
  <c r="N2271" i="2"/>
  <c r="N2270" i="2"/>
  <c r="N2269" i="2"/>
  <c r="N2268" i="2"/>
  <c r="N2267" i="2"/>
  <c r="N2266" i="2"/>
  <c r="N2265" i="2"/>
  <c r="N2264" i="2"/>
  <c r="N2263" i="2"/>
  <c r="N2262" i="2"/>
  <c r="N2261" i="2"/>
  <c r="N2260" i="2"/>
  <c r="N2259" i="2"/>
  <c r="N2258" i="2"/>
  <c r="N2257" i="2"/>
  <c r="N2256" i="2"/>
  <c r="N2255" i="2"/>
  <c r="N2254" i="2"/>
  <c r="N2253" i="2"/>
  <c r="N2252" i="2"/>
  <c r="N2251" i="2"/>
  <c r="N2250" i="2"/>
  <c r="N2249" i="2"/>
  <c r="N2248" i="2"/>
  <c r="N2247" i="2"/>
  <c r="N2246" i="2"/>
  <c r="N2245" i="2"/>
  <c r="N2244" i="2"/>
  <c r="N2243" i="2"/>
  <c r="N2242" i="2"/>
  <c r="N2241" i="2"/>
  <c r="N2240" i="2"/>
  <c r="N2239" i="2"/>
  <c r="N2238" i="2"/>
  <c r="N2237" i="2"/>
  <c r="N2236" i="2"/>
  <c r="N2235" i="2"/>
  <c r="N2234" i="2"/>
  <c r="N2233" i="2"/>
  <c r="N2232" i="2"/>
  <c r="N2231" i="2"/>
  <c r="N2230" i="2"/>
  <c r="N2229" i="2"/>
  <c r="N2228" i="2"/>
  <c r="N2227" i="2"/>
  <c r="N2226" i="2"/>
  <c r="N2225" i="2"/>
  <c r="N2224" i="2"/>
  <c r="N2223" i="2"/>
  <c r="N2222" i="2"/>
  <c r="N2221" i="2"/>
  <c r="N2220" i="2"/>
  <c r="N2219" i="2"/>
  <c r="N2218" i="2"/>
  <c r="N2217" i="2"/>
  <c r="N2216" i="2"/>
  <c r="N2215" i="2"/>
  <c r="N2214" i="2"/>
  <c r="N2213" i="2"/>
  <c r="N2212" i="2"/>
  <c r="N2211" i="2"/>
  <c r="N2210" i="2"/>
  <c r="N2209" i="2"/>
  <c r="N2208" i="2"/>
  <c r="N2207" i="2"/>
  <c r="N2206" i="2"/>
  <c r="N2205" i="2"/>
  <c r="N2204" i="2"/>
  <c r="N2203" i="2"/>
  <c r="N2202" i="2"/>
  <c r="N2201" i="2"/>
  <c r="N2200" i="2"/>
  <c r="N2199" i="2"/>
  <c r="N2198" i="2"/>
  <c r="N2197" i="2"/>
  <c r="N2196" i="2"/>
  <c r="N2195" i="2"/>
  <c r="N2194" i="2"/>
  <c r="N2193" i="2"/>
  <c r="N2192" i="2"/>
  <c r="N2191" i="2"/>
  <c r="N2190" i="2"/>
  <c r="N2189" i="2"/>
  <c r="N2188" i="2"/>
  <c r="N2187" i="2"/>
  <c r="N2186" i="2"/>
  <c r="N2185" i="2"/>
  <c r="N2184" i="2"/>
  <c r="N2183" i="2"/>
  <c r="N2182" i="2"/>
  <c r="N2181" i="2"/>
  <c r="N2180" i="2"/>
  <c r="N2179" i="2"/>
  <c r="N2178" i="2"/>
  <c r="N2177" i="2"/>
  <c r="N2176" i="2"/>
  <c r="N2175" i="2"/>
  <c r="N2174" i="2"/>
  <c r="N2173" i="2"/>
  <c r="N2172" i="2"/>
  <c r="N2171" i="2"/>
  <c r="N2170" i="2"/>
  <c r="N2169" i="2"/>
  <c r="N2168" i="2"/>
  <c r="N2167" i="2"/>
  <c r="N2166" i="2"/>
  <c r="N2165" i="2"/>
  <c r="N2164" i="2"/>
  <c r="N2163" i="2"/>
  <c r="N2162" i="2"/>
  <c r="N2161" i="2"/>
  <c r="N2160" i="2"/>
  <c r="N2159" i="2"/>
  <c r="N2158" i="2"/>
  <c r="N2157" i="2"/>
  <c r="N2156" i="2"/>
  <c r="N2155" i="2"/>
  <c r="N2154" i="2"/>
  <c r="N2153" i="2"/>
  <c r="N2152" i="2"/>
  <c r="N2151" i="2"/>
  <c r="N2150" i="2"/>
  <c r="N2149" i="2"/>
  <c r="N2148" i="2"/>
  <c r="N2147" i="2"/>
  <c r="N2146" i="2"/>
  <c r="N2145" i="2"/>
  <c r="N2144" i="2"/>
  <c r="N2143" i="2"/>
  <c r="N2142" i="2"/>
  <c r="N2141" i="2"/>
  <c r="N2140" i="2"/>
  <c r="N2139" i="2"/>
  <c r="N2138" i="2"/>
  <c r="N2137" i="2"/>
  <c r="N2136" i="2"/>
  <c r="N2135" i="2"/>
  <c r="N2134" i="2"/>
  <c r="N2133" i="2"/>
  <c r="N2132" i="2"/>
  <c r="N2131" i="2"/>
  <c r="N2130" i="2"/>
  <c r="N2129" i="2"/>
  <c r="N2128" i="2"/>
  <c r="N2127" i="2"/>
  <c r="N2126" i="2"/>
  <c r="N2125" i="2"/>
  <c r="N2124" i="2"/>
  <c r="N2123" i="2"/>
  <c r="N2122" i="2"/>
  <c r="N2121" i="2"/>
  <c r="N2120" i="2"/>
  <c r="N2119" i="2"/>
  <c r="N2118" i="2"/>
  <c r="N2117" i="2"/>
  <c r="N2116" i="2"/>
  <c r="N2115" i="2"/>
  <c r="N2114" i="2"/>
  <c r="N2113" i="2"/>
  <c r="N2112" i="2"/>
  <c r="N2111" i="2"/>
  <c r="N2110" i="2"/>
  <c r="N2109" i="2"/>
  <c r="N2108" i="2"/>
  <c r="N2107" i="2"/>
  <c r="N2106" i="2"/>
  <c r="N2105" i="2"/>
  <c r="N2104" i="2"/>
  <c r="N2103" i="2"/>
  <c r="N2102" i="2"/>
  <c r="N2101" i="2"/>
  <c r="N2100" i="2"/>
  <c r="N2099" i="2"/>
  <c r="N2098" i="2"/>
  <c r="N2097" i="2"/>
  <c r="N2096" i="2"/>
  <c r="N2095" i="2"/>
  <c r="N2094" i="2"/>
  <c r="N2093" i="2"/>
  <c r="N2092" i="2"/>
  <c r="N2091" i="2"/>
  <c r="N2090" i="2"/>
  <c r="N2089" i="2"/>
  <c r="N2088" i="2"/>
  <c r="N2087" i="2"/>
  <c r="N2086" i="2"/>
  <c r="N2085" i="2"/>
  <c r="N2084" i="2"/>
  <c r="N2083" i="2"/>
  <c r="N2082" i="2"/>
  <c r="N2081" i="2"/>
  <c r="N2080" i="2"/>
  <c r="N2079" i="2"/>
  <c r="N2078" i="2"/>
  <c r="N2077" i="2"/>
  <c r="N2076" i="2"/>
  <c r="N2075" i="2"/>
  <c r="N2074" i="2"/>
  <c r="N2073" i="2"/>
  <c r="N2072" i="2"/>
  <c r="N2071" i="2"/>
  <c r="N2070" i="2"/>
  <c r="N2069" i="2"/>
  <c r="N2068" i="2"/>
  <c r="N2067" i="2"/>
  <c r="N2066" i="2"/>
  <c r="N2065" i="2"/>
  <c r="N2064" i="2"/>
  <c r="N2063" i="2"/>
  <c r="N2062" i="2"/>
  <c r="N2061" i="2"/>
  <c r="N2060" i="2"/>
  <c r="N2059" i="2"/>
  <c r="N2058" i="2"/>
  <c r="N2057" i="2"/>
  <c r="N2056" i="2"/>
  <c r="N2055" i="2"/>
  <c r="N2054" i="2"/>
  <c r="N2053" i="2"/>
  <c r="N2052" i="2"/>
  <c r="N2051" i="2"/>
  <c r="N2050" i="2"/>
  <c r="N2049" i="2"/>
  <c r="N2048" i="2"/>
  <c r="N2047" i="2"/>
  <c r="N2046" i="2"/>
  <c r="N2045" i="2"/>
  <c r="N2044" i="2"/>
  <c r="N2043" i="2"/>
  <c r="N2042" i="2"/>
  <c r="N2041" i="2"/>
  <c r="N2040" i="2"/>
  <c r="N2039" i="2"/>
  <c r="N2038" i="2"/>
  <c r="N2037" i="2"/>
  <c r="N2036" i="2"/>
  <c r="N2035" i="2"/>
  <c r="N2034" i="2"/>
  <c r="N2033" i="2"/>
  <c r="N2032" i="2"/>
  <c r="N2031" i="2"/>
  <c r="N2030" i="2"/>
  <c r="N2029" i="2"/>
  <c r="N2028" i="2"/>
  <c r="N2027" i="2"/>
  <c r="N2026" i="2"/>
  <c r="N2025" i="2"/>
  <c r="N2024" i="2"/>
  <c r="N2023" i="2"/>
  <c r="N2022" i="2"/>
  <c r="N2021" i="2"/>
  <c r="N2020" i="2"/>
  <c r="N2019" i="2"/>
  <c r="N2018" i="2"/>
  <c r="N2017" i="2"/>
  <c r="N2016" i="2"/>
  <c r="N2015" i="2"/>
  <c r="N2014" i="2"/>
  <c r="N2013"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K1087" i="2"/>
  <c r="K1086" i="2"/>
  <c r="K1085" i="2"/>
  <c r="K1084" i="2"/>
  <c r="AF2417" i="2" l="1"/>
  <c r="K2417" i="2"/>
  <c r="N2417" i="2"/>
  <c r="AF118" i="24"/>
  <c r="AG118" i="24" s="1"/>
  <c r="AF2" i="24"/>
  <c r="AG2" i="24" s="1"/>
  <c r="E2420" i="2" l="1"/>
  <c r="F367" i="30" l="1"/>
  <c r="F368" i="30" l="1"/>
  <c r="G367" i="30"/>
  <c r="F369" i="30" l="1"/>
  <c r="G368" i="30"/>
  <c r="F370" i="30" l="1"/>
  <c r="G369" i="30"/>
  <c r="F371" i="30" l="1"/>
  <c r="G370" i="30"/>
  <c r="F372" i="30" l="1"/>
  <c r="G371" i="30"/>
  <c r="F373" i="30" l="1"/>
  <c r="G372" i="30"/>
  <c r="F374" i="30" l="1"/>
  <c r="G373" i="30"/>
  <c r="F375" i="30" l="1"/>
  <c r="G374" i="30"/>
  <c r="F376" i="30" l="1"/>
  <c r="G375" i="30"/>
  <c r="F377" i="30" l="1"/>
  <c r="G376" i="30"/>
  <c r="F378" i="30" l="1"/>
  <c r="G377" i="30"/>
  <c r="F379" i="30" l="1"/>
  <c r="G378" i="30"/>
  <c r="F380" i="30" l="1"/>
  <c r="G379" i="30"/>
  <c r="F381" i="30" l="1"/>
  <c r="G380" i="30"/>
  <c r="F382" i="30" l="1"/>
  <c r="G381" i="30"/>
  <c r="F383" i="30" l="1"/>
  <c r="G382" i="30"/>
  <c r="F384" i="30" l="1"/>
  <c r="G383" i="30"/>
  <c r="F385" i="30" l="1"/>
  <c r="G384" i="30"/>
  <c r="F386" i="30" l="1"/>
  <c r="G385" i="30"/>
  <c r="F387" i="30" l="1"/>
  <c r="G386" i="30"/>
  <c r="F388" i="30" l="1"/>
  <c r="G387" i="30"/>
  <c r="F389" i="30" l="1"/>
  <c r="G388" i="30"/>
  <c r="F390" i="30" l="1"/>
  <c r="G389" i="30"/>
  <c r="F391" i="30" l="1"/>
  <c r="G390" i="30"/>
  <c r="F392" i="30" l="1"/>
  <c r="G391" i="30"/>
  <c r="F393" i="30" l="1"/>
  <c r="G392" i="30"/>
  <c r="F394" i="30" l="1"/>
  <c r="G393" i="30"/>
  <c r="F395" i="30" l="1"/>
  <c r="G394" i="30"/>
  <c r="F396" i="30" l="1"/>
  <c r="G395" i="30"/>
  <c r="F397" i="30" l="1"/>
  <c r="G396" i="30"/>
  <c r="F398" i="30" l="1"/>
  <c r="G397" i="30"/>
  <c r="F399" i="30" l="1"/>
  <c r="G398" i="30"/>
  <c r="F400" i="30" l="1"/>
  <c r="G399" i="30"/>
  <c r="F401" i="30" l="1"/>
  <c r="G400" i="30"/>
  <c r="F402" i="30" l="1"/>
  <c r="G401" i="30"/>
  <c r="F403" i="30" l="1"/>
  <c r="G402" i="30"/>
  <c r="F404" i="30" l="1"/>
  <c r="G403" i="30"/>
  <c r="F405" i="30" l="1"/>
  <c r="G404" i="30"/>
  <c r="F406" i="30" l="1"/>
  <c r="G405" i="30"/>
  <c r="F407" i="30" l="1"/>
  <c r="G406" i="30"/>
  <c r="F408" i="30" l="1"/>
  <c r="G407" i="30"/>
  <c r="F409" i="30" l="1"/>
  <c r="G408" i="30"/>
  <c r="F410" i="30" l="1"/>
  <c r="G409" i="30"/>
  <c r="F411" i="30" l="1"/>
  <c r="G410" i="30"/>
  <c r="F412" i="30" l="1"/>
  <c r="G411" i="30"/>
  <c r="F413" i="30" l="1"/>
  <c r="G412" i="30"/>
  <c r="F414" i="30" l="1"/>
  <c r="G413" i="30"/>
  <c r="F415" i="30" l="1"/>
  <c r="G414" i="30"/>
  <c r="F416" i="30" l="1"/>
  <c r="G415" i="30"/>
  <c r="F417" i="30" l="1"/>
  <c r="G416" i="30"/>
  <c r="F418" i="30" l="1"/>
  <c r="G417" i="30"/>
  <c r="F419" i="30" l="1"/>
  <c r="G418" i="30"/>
  <c r="F420" i="30" l="1"/>
  <c r="G419" i="30"/>
  <c r="F421" i="30" l="1"/>
  <c r="G420" i="30"/>
  <c r="F422" i="30" l="1"/>
  <c r="G421" i="30"/>
  <c r="F423" i="30" l="1"/>
  <c r="G422" i="30"/>
  <c r="F424" i="30" l="1"/>
  <c r="G423" i="30"/>
  <c r="F425" i="30" l="1"/>
  <c r="G424" i="30"/>
  <c r="F426" i="30" l="1"/>
  <c r="G425" i="30"/>
  <c r="F427" i="30" l="1"/>
  <c r="G426" i="30"/>
  <c r="F428" i="30" l="1"/>
  <c r="G427" i="30"/>
  <c r="F429" i="30" l="1"/>
  <c r="G428" i="30"/>
  <c r="F430" i="30" l="1"/>
  <c r="G429" i="30"/>
  <c r="F431" i="30" l="1"/>
  <c r="G430" i="30"/>
  <c r="F432" i="30" l="1"/>
  <c r="G431" i="30"/>
  <c r="F433" i="30" l="1"/>
  <c r="G432" i="30"/>
  <c r="F434" i="30" l="1"/>
  <c r="G433" i="30"/>
  <c r="F435" i="30" l="1"/>
  <c r="G434" i="30"/>
  <c r="F436" i="30" l="1"/>
  <c r="G435" i="30"/>
  <c r="F437" i="30" l="1"/>
  <c r="G436" i="30"/>
  <c r="F438" i="30" l="1"/>
  <c r="G437" i="30"/>
  <c r="F439" i="30" l="1"/>
  <c r="G438" i="30"/>
  <c r="F440" i="30" l="1"/>
  <c r="G439" i="30"/>
  <c r="F441" i="30" l="1"/>
  <c r="G440" i="30"/>
  <c r="F442" i="30" l="1"/>
  <c r="G441" i="30"/>
  <c r="F443" i="30" l="1"/>
  <c r="G442" i="30"/>
  <c r="F444" i="30" l="1"/>
  <c r="G443" i="30"/>
  <c r="F445" i="30" l="1"/>
  <c r="G444" i="30"/>
  <c r="F446" i="30" l="1"/>
  <c r="G445" i="30"/>
  <c r="F447" i="30" l="1"/>
  <c r="G446" i="30"/>
  <c r="F448" i="30" l="1"/>
  <c r="G447" i="30"/>
  <c r="F449" i="30" l="1"/>
  <c r="G448" i="30"/>
  <c r="F450" i="30" l="1"/>
  <c r="G449" i="30"/>
  <c r="F451" i="30" l="1"/>
  <c r="G450" i="30"/>
  <c r="F452" i="30" l="1"/>
  <c r="G451" i="30"/>
  <c r="F453" i="30" l="1"/>
  <c r="G452" i="30"/>
  <c r="F454" i="30" l="1"/>
  <c r="G453" i="30"/>
  <c r="F455" i="30" l="1"/>
  <c r="G454" i="30"/>
  <c r="F456" i="30" l="1"/>
  <c r="G455" i="30"/>
  <c r="F457" i="30" l="1"/>
  <c r="G456" i="30"/>
  <c r="F458" i="30" l="1"/>
  <c r="G457" i="30"/>
  <c r="F459" i="30" l="1"/>
  <c r="G458" i="30"/>
  <c r="F460" i="30" l="1"/>
  <c r="G459" i="30"/>
  <c r="F461" i="30" l="1"/>
  <c r="G460" i="30"/>
  <c r="F462" i="30" l="1"/>
  <c r="G461" i="30"/>
  <c r="F463" i="30" l="1"/>
  <c r="G462" i="30"/>
  <c r="F464" i="30" l="1"/>
  <c r="G463" i="30"/>
  <c r="F465" i="30" l="1"/>
  <c r="G464" i="30"/>
  <c r="F466" i="30" l="1"/>
  <c r="G465" i="30"/>
  <c r="F467" i="30" l="1"/>
  <c r="G466" i="30"/>
  <c r="F468" i="30" l="1"/>
  <c r="G467" i="30"/>
  <c r="F469" i="30" l="1"/>
  <c r="G468" i="30"/>
  <c r="F470" i="30" l="1"/>
  <c r="G469" i="30"/>
  <c r="F471" i="30" l="1"/>
  <c r="G470" i="30"/>
  <c r="F472" i="30" l="1"/>
  <c r="G471" i="30"/>
  <c r="F473" i="30" l="1"/>
  <c r="G472" i="30"/>
  <c r="F474" i="30" l="1"/>
  <c r="G473" i="30"/>
  <c r="F475" i="30" l="1"/>
  <c r="G474" i="30"/>
  <c r="F476" i="30" l="1"/>
  <c r="G475" i="30"/>
  <c r="F477" i="30" l="1"/>
  <c r="G476" i="30"/>
  <c r="F478" i="30" l="1"/>
  <c r="G477" i="30"/>
  <c r="F479" i="30" l="1"/>
  <c r="G478" i="30"/>
  <c r="F480" i="30" l="1"/>
  <c r="G479" i="30"/>
  <c r="F481" i="30" l="1"/>
  <c r="G480" i="30"/>
  <c r="F482" i="30" l="1"/>
  <c r="G481" i="30"/>
  <c r="F483" i="30" l="1"/>
  <c r="G482" i="30"/>
  <c r="F484" i="30" l="1"/>
  <c r="G483" i="30"/>
  <c r="F485" i="30" l="1"/>
  <c r="G484" i="30"/>
  <c r="F486" i="30" l="1"/>
  <c r="G485" i="30"/>
  <c r="F487" i="30" l="1"/>
  <c r="G486" i="30"/>
  <c r="F488" i="30" l="1"/>
  <c r="G487" i="30"/>
  <c r="F489" i="30" l="1"/>
  <c r="G488" i="30"/>
  <c r="F490" i="30" l="1"/>
  <c r="G489" i="30"/>
  <c r="F491" i="30" l="1"/>
  <c r="G490" i="30"/>
  <c r="F492" i="30" l="1"/>
  <c r="G491" i="30"/>
  <c r="F493" i="30" l="1"/>
  <c r="G492" i="30"/>
  <c r="F494" i="30" l="1"/>
  <c r="G493" i="30"/>
  <c r="F495" i="30" l="1"/>
  <c r="G494" i="30"/>
  <c r="F496" i="30" l="1"/>
  <c r="G495" i="30"/>
  <c r="F497" i="30" l="1"/>
  <c r="G496" i="30"/>
  <c r="F498" i="30" l="1"/>
  <c r="G497" i="30"/>
  <c r="F499" i="30" l="1"/>
  <c r="G498" i="30"/>
  <c r="F500" i="30" l="1"/>
  <c r="G499" i="30"/>
  <c r="F501" i="30" l="1"/>
  <c r="G500" i="30"/>
  <c r="F502" i="30" l="1"/>
  <c r="G501" i="30"/>
  <c r="F503" i="30" l="1"/>
  <c r="G502" i="30"/>
  <c r="F504" i="30" l="1"/>
  <c r="G503" i="30"/>
  <c r="F505" i="30" l="1"/>
  <c r="G504" i="30"/>
  <c r="F506" i="30" l="1"/>
  <c r="G505" i="30"/>
  <c r="F507" i="30" l="1"/>
  <c r="G506" i="30"/>
  <c r="F508" i="30" l="1"/>
  <c r="G507" i="30"/>
  <c r="F509" i="30" l="1"/>
  <c r="G508" i="30"/>
  <c r="F510" i="30" l="1"/>
  <c r="G509" i="30"/>
  <c r="F511" i="30" l="1"/>
  <c r="G510" i="30"/>
  <c r="F512" i="30" l="1"/>
  <c r="G511" i="30"/>
  <c r="F513" i="30" l="1"/>
  <c r="G512" i="30"/>
  <c r="F514" i="30" l="1"/>
  <c r="G513" i="30"/>
  <c r="F515" i="30" l="1"/>
  <c r="G514" i="30"/>
  <c r="F516" i="30" l="1"/>
  <c r="G515" i="30"/>
  <c r="F517" i="30" l="1"/>
  <c r="G516" i="30"/>
  <c r="F518" i="30" l="1"/>
  <c r="G517" i="30"/>
  <c r="F519" i="30" l="1"/>
  <c r="G518" i="30"/>
  <c r="F520" i="30" l="1"/>
  <c r="G519" i="30"/>
  <c r="F521" i="30" l="1"/>
  <c r="G520" i="30"/>
  <c r="F522" i="30" l="1"/>
  <c r="G521" i="30"/>
  <c r="F523" i="30" l="1"/>
  <c r="G522" i="30"/>
  <c r="F524" i="30" l="1"/>
  <c r="G523" i="30"/>
  <c r="F525" i="30" l="1"/>
  <c r="G524" i="30"/>
  <c r="F526" i="30" l="1"/>
  <c r="G525" i="30"/>
  <c r="F527" i="30" l="1"/>
  <c r="G526" i="30"/>
  <c r="F528" i="30" l="1"/>
  <c r="G527" i="30"/>
  <c r="F529" i="30" l="1"/>
  <c r="G528" i="30"/>
  <c r="F530" i="30" l="1"/>
  <c r="G529" i="30"/>
  <c r="F531" i="30" l="1"/>
  <c r="G530" i="30"/>
  <c r="F532" i="30" l="1"/>
  <c r="G531" i="30"/>
  <c r="F533" i="30" l="1"/>
  <c r="G532" i="30"/>
  <c r="F534" i="30" l="1"/>
  <c r="G533" i="30"/>
  <c r="F535" i="30" l="1"/>
  <c r="G534" i="30"/>
  <c r="F536" i="30" l="1"/>
  <c r="G535" i="30"/>
  <c r="F537" i="30" l="1"/>
  <c r="G536" i="30"/>
  <c r="F538" i="30" l="1"/>
  <c r="G537" i="30"/>
  <c r="F539" i="30" l="1"/>
  <c r="G538" i="30"/>
  <c r="F540" i="30" l="1"/>
  <c r="G539" i="30"/>
  <c r="F541" i="30" l="1"/>
  <c r="G540" i="30"/>
  <c r="F542" i="30" l="1"/>
  <c r="G541" i="30"/>
  <c r="F543" i="30" l="1"/>
  <c r="G542" i="30"/>
  <c r="F544" i="30" l="1"/>
  <c r="G543" i="30"/>
  <c r="F545" i="30" l="1"/>
  <c r="G544" i="30"/>
  <c r="F546" i="30" l="1"/>
  <c r="G545" i="30"/>
  <c r="F547" i="30" l="1"/>
  <c r="G546" i="30"/>
  <c r="F548" i="30" l="1"/>
  <c r="G547" i="30"/>
  <c r="F549" i="30" l="1"/>
  <c r="G548" i="30"/>
  <c r="F551" i="30" l="1"/>
  <c r="G549" i="30"/>
  <c r="F552" i="30" l="1"/>
  <c r="G551" i="30"/>
  <c r="F553" i="30" l="1"/>
  <c r="G552" i="30"/>
  <c r="F554" i="30" l="1"/>
  <c r="G553" i="30"/>
  <c r="F555" i="30" l="1"/>
  <c r="G554" i="30"/>
  <c r="F556" i="30" l="1"/>
  <c r="G555" i="30"/>
  <c r="F557" i="30" l="1"/>
  <c r="G556" i="30"/>
  <c r="F558" i="30" l="1"/>
  <c r="G557" i="30"/>
  <c r="F559" i="30" l="1"/>
  <c r="G558" i="30"/>
  <c r="F560" i="30" l="1"/>
  <c r="G559" i="30"/>
  <c r="F561" i="30" l="1"/>
  <c r="G560" i="30"/>
  <c r="F562" i="30" l="1"/>
  <c r="G561" i="30"/>
  <c r="F563" i="30" l="1"/>
  <c r="G562" i="30"/>
  <c r="F564" i="30" l="1"/>
  <c r="G563" i="30"/>
  <c r="F565" i="30" l="1"/>
  <c r="G564" i="30"/>
  <c r="F566" i="30" l="1"/>
  <c r="G565" i="30"/>
  <c r="F567" i="30" l="1"/>
  <c r="G566" i="30"/>
  <c r="F568" i="30" l="1"/>
  <c r="G567" i="30"/>
  <c r="F569" i="30" l="1"/>
  <c r="G568" i="30"/>
  <c r="F570" i="30" l="1"/>
  <c r="G569" i="30"/>
  <c r="F571" i="30" l="1"/>
  <c r="G570" i="30"/>
  <c r="F572" i="30" l="1"/>
  <c r="G571" i="30"/>
  <c r="F573" i="30" l="1"/>
  <c r="G572" i="30"/>
  <c r="F574" i="30" l="1"/>
  <c r="G573" i="30"/>
  <c r="F575" i="30" l="1"/>
  <c r="G574" i="30"/>
  <c r="F576" i="30" l="1"/>
  <c r="G575" i="30"/>
  <c r="F577" i="30" l="1"/>
  <c r="G576" i="30"/>
  <c r="F578" i="30" l="1"/>
  <c r="G577" i="30"/>
  <c r="F579" i="30" l="1"/>
  <c r="G578" i="30"/>
  <c r="F580" i="30" l="1"/>
  <c r="G579" i="30"/>
  <c r="F581" i="30" l="1"/>
  <c r="G580" i="30"/>
  <c r="F582" i="30" l="1"/>
  <c r="G581" i="30"/>
  <c r="F583" i="30" l="1"/>
  <c r="G582" i="30"/>
  <c r="F584" i="30" l="1"/>
  <c r="G583" i="30"/>
  <c r="F585" i="30" l="1"/>
  <c r="G584" i="30"/>
  <c r="F586" i="30" l="1"/>
  <c r="G585" i="30"/>
  <c r="F587" i="30" l="1"/>
  <c r="G586" i="30"/>
  <c r="F588" i="30" l="1"/>
  <c r="G587" i="30"/>
  <c r="F589" i="30" l="1"/>
  <c r="G588" i="30"/>
  <c r="F590" i="30" l="1"/>
  <c r="G589" i="30"/>
  <c r="F591" i="30" l="1"/>
  <c r="G590" i="30"/>
  <c r="F592" i="30" l="1"/>
  <c r="G591" i="30"/>
  <c r="F593" i="30" l="1"/>
  <c r="G592" i="30"/>
  <c r="F594" i="30" l="1"/>
  <c r="G593" i="30"/>
  <c r="F595" i="30" l="1"/>
  <c r="G594" i="30"/>
  <c r="F596" i="30" l="1"/>
  <c r="G595" i="30"/>
  <c r="F597" i="30" l="1"/>
  <c r="G596" i="30"/>
  <c r="F598" i="30" l="1"/>
  <c r="G597" i="30"/>
  <c r="F599" i="30" l="1"/>
  <c r="G598" i="30"/>
  <c r="F600" i="30" l="1"/>
  <c r="G599" i="30"/>
  <c r="F601" i="30" l="1"/>
  <c r="G600" i="30"/>
  <c r="F602" i="30" l="1"/>
  <c r="G601" i="30"/>
  <c r="F603" i="30" l="1"/>
  <c r="G602" i="30"/>
  <c r="F604" i="30" l="1"/>
  <c r="G603" i="30"/>
  <c r="F605" i="30" l="1"/>
  <c r="G604" i="30"/>
  <c r="F606" i="30" l="1"/>
  <c r="G605" i="30"/>
  <c r="F607" i="30" l="1"/>
  <c r="G606" i="30"/>
  <c r="F608" i="30" l="1"/>
  <c r="G607" i="30"/>
  <c r="F609" i="30" l="1"/>
  <c r="G608" i="30"/>
  <c r="F610" i="30" l="1"/>
  <c r="G609" i="30"/>
  <c r="F611" i="30" l="1"/>
  <c r="G610" i="30"/>
  <c r="F612" i="30" l="1"/>
  <c r="G611" i="30"/>
  <c r="F613" i="30" l="1"/>
  <c r="G612" i="30"/>
  <c r="F614" i="30" l="1"/>
  <c r="G613" i="30"/>
  <c r="F615" i="30" l="1"/>
  <c r="G614" i="30"/>
  <c r="F616" i="30" l="1"/>
  <c r="G615" i="30"/>
  <c r="F617" i="30" l="1"/>
  <c r="G616" i="30"/>
  <c r="F618" i="30" l="1"/>
  <c r="G617" i="30"/>
  <c r="F619" i="30" l="1"/>
  <c r="G618" i="30"/>
  <c r="F620" i="30" l="1"/>
  <c r="G619" i="30"/>
  <c r="F621" i="30" l="1"/>
  <c r="G620" i="30"/>
  <c r="F622" i="30" l="1"/>
  <c r="G621" i="30"/>
  <c r="F623" i="30" l="1"/>
  <c r="G622" i="30"/>
  <c r="F624" i="30" l="1"/>
  <c r="G623" i="30"/>
  <c r="F625" i="30" l="1"/>
  <c r="G624" i="30"/>
  <c r="F626" i="30" l="1"/>
  <c r="G625" i="30"/>
  <c r="F627" i="30" l="1"/>
  <c r="G626" i="30"/>
  <c r="F628" i="30" l="1"/>
  <c r="G627" i="30"/>
  <c r="F629" i="30" l="1"/>
  <c r="G628" i="30"/>
  <c r="F630" i="30" l="1"/>
  <c r="G629" i="30"/>
  <c r="F631" i="30" l="1"/>
  <c r="G630" i="30"/>
  <c r="F632" i="30" l="1"/>
  <c r="G631" i="30"/>
  <c r="F633" i="30" l="1"/>
  <c r="G632" i="30"/>
  <c r="F634" i="30" l="1"/>
  <c r="G633" i="30"/>
  <c r="F635" i="30" l="1"/>
  <c r="G634" i="30"/>
  <c r="F636" i="30" l="1"/>
  <c r="G635" i="30"/>
  <c r="F637" i="30" l="1"/>
  <c r="G636" i="30"/>
  <c r="F638" i="30" l="1"/>
  <c r="G637" i="30"/>
  <c r="F639" i="30" l="1"/>
  <c r="G638" i="30"/>
  <c r="F640" i="30" l="1"/>
  <c r="G639" i="30"/>
  <c r="F641" i="30" l="1"/>
  <c r="G640" i="30"/>
  <c r="F642" i="30" l="1"/>
  <c r="G641" i="30"/>
  <c r="F643" i="30" l="1"/>
  <c r="G642" i="30"/>
  <c r="F644" i="30" l="1"/>
  <c r="G643" i="30"/>
  <c r="F645" i="30" l="1"/>
  <c r="G644" i="30"/>
  <c r="F646" i="30" l="1"/>
  <c r="G645" i="30"/>
  <c r="F647" i="30" l="1"/>
  <c r="G646" i="30"/>
  <c r="F648" i="30" l="1"/>
  <c r="G647" i="30"/>
  <c r="F649" i="30" l="1"/>
  <c r="G648" i="30"/>
  <c r="F650" i="30" l="1"/>
  <c r="G649" i="30"/>
  <c r="F651" i="30" l="1"/>
  <c r="G650" i="30"/>
  <c r="F652" i="30" l="1"/>
  <c r="G651" i="30"/>
  <c r="F653" i="30" l="1"/>
  <c r="G652" i="30"/>
  <c r="F654" i="30" l="1"/>
  <c r="G653" i="30"/>
  <c r="F655" i="30" l="1"/>
  <c r="G654" i="30"/>
  <c r="F656" i="30" l="1"/>
  <c r="G655" i="30"/>
  <c r="F657" i="30" l="1"/>
  <c r="G656" i="30"/>
  <c r="F658" i="30" l="1"/>
  <c r="G657" i="30"/>
  <c r="F659" i="30" l="1"/>
  <c r="G658" i="30"/>
  <c r="F660" i="30" l="1"/>
  <c r="G659" i="30"/>
  <c r="F661" i="30" l="1"/>
  <c r="G660" i="30"/>
  <c r="F662" i="30" l="1"/>
  <c r="G661" i="30"/>
  <c r="F663" i="30" l="1"/>
  <c r="G662" i="30"/>
  <c r="F664" i="30" l="1"/>
  <c r="G663" i="30"/>
  <c r="F665" i="30" l="1"/>
  <c r="G664" i="30"/>
  <c r="F666" i="30" l="1"/>
  <c r="G665" i="30"/>
  <c r="F667" i="30" l="1"/>
  <c r="G666" i="30"/>
  <c r="F668" i="30" l="1"/>
  <c r="G667" i="30"/>
  <c r="F669" i="30" l="1"/>
  <c r="G668" i="30"/>
  <c r="F670" i="30" l="1"/>
  <c r="G669" i="30"/>
  <c r="F671" i="30" l="1"/>
  <c r="G670" i="30"/>
  <c r="F672" i="30" l="1"/>
  <c r="G671" i="30"/>
  <c r="F673" i="30" l="1"/>
  <c r="G672" i="30"/>
  <c r="F674" i="30" l="1"/>
  <c r="F675" i="30" s="1"/>
  <c r="G673" i="30"/>
  <c r="F676" i="30" l="1"/>
  <c r="G675" i="30"/>
  <c r="F702" i="30"/>
  <c r="G674" i="30"/>
  <c r="F677" i="30" l="1"/>
  <c r="G676" i="30"/>
  <c r="F703" i="30"/>
  <c r="G702" i="30"/>
  <c r="F678" i="30" l="1"/>
  <c r="G677" i="30"/>
  <c r="F704" i="30"/>
  <c r="G703" i="30"/>
  <c r="F679" i="30" l="1"/>
  <c r="G678" i="30"/>
  <c r="F705" i="30"/>
  <c r="G704" i="30"/>
  <c r="F680" i="30" l="1"/>
  <c r="G679" i="30"/>
  <c r="F706" i="30"/>
  <c r="G705" i="30"/>
  <c r="F681" i="30" l="1"/>
  <c r="G680" i="30"/>
  <c r="F707" i="30"/>
  <c r="G706" i="30"/>
  <c r="G681" i="30" l="1"/>
  <c r="F682" i="30"/>
  <c r="F708" i="30"/>
  <c r="G707" i="30"/>
  <c r="F683" i="30" l="1"/>
  <c r="G682" i="30"/>
  <c r="F709" i="30"/>
  <c r="G708" i="30"/>
  <c r="F684" i="30" l="1"/>
  <c r="G683" i="30"/>
  <c r="F710" i="30"/>
  <c r="G709" i="30"/>
  <c r="F685" i="30" l="1"/>
  <c r="G684" i="30"/>
  <c r="F711" i="30"/>
  <c r="G710" i="30"/>
  <c r="G685" i="30" l="1"/>
  <c r="F686" i="30"/>
  <c r="F712" i="30"/>
  <c r="G711" i="30"/>
  <c r="F687" i="30" l="1"/>
  <c r="G686" i="30"/>
  <c r="F713" i="30"/>
  <c r="G712" i="30"/>
  <c r="G687" i="30" l="1"/>
  <c r="F688" i="30"/>
  <c r="F714" i="30"/>
  <c r="G713" i="30"/>
  <c r="F689" i="30" l="1"/>
  <c r="G688" i="30"/>
  <c r="F715" i="30"/>
  <c r="G714" i="30"/>
  <c r="G689" i="30" l="1"/>
  <c r="F690" i="30"/>
  <c r="F716" i="30"/>
  <c r="G715" i="30"/>
  <c r="F691" i="30" l="1"/>
  <c r="G690" i="30"/>
  <c r="F717" i="30"/>
  <c r="G716" i="30"/>
  <c r="F692" i="30" l="1"/>
  <c r="G691" i="30"/>
  <c r="F718" i="30"/>
  <c r="G717" i="30"/>
  <c r="F693" i="30" l="1"/>
  <c r="G692" i="30"/>
  <c r="F719" i="30"/>
  <c r="G718" i="30"/>
  <c r="G693" i="30" l="1"/>
  <c r="F694" i="30"/>
  <c r="F720" i="30"/>
  <c r="G719" i="30"/>
  <c r="F695" i="30" l="1"/>
  <c r="G694" i="30"/>
  <c r="F721" i="30"/>
  <c r="G720" i="30"/>
  <c r="F696" i="30" l="1"/>
  <c r="G695" i="30"/>
  <c r="F722" i="30"/>
  <c r="G721" i="30"/>
  <c r="F697" i="30" l="1"/>
  <c r="G696" i="30"/>
  <c r="F723" i="30"/>
  <c r="G722" i="30"/>
  <c r="G697" i="30" l="1"/>
  <c r="F698" i="30"/>
  <c r="F724" i="30"/>
  <c r="G723" i="30"/>
  <c r="F699" i="30" l="1"/>
  <c r="G698" i="30"/>
  <c r="F725" i="30"/>
  <c r="G724" i="30"/>
  <c r="F700" i="30" l="1"/>
  <c r="G700" i="30" s="1"/>
  <c r="G699" i="30"/>
  <c r="F726" i="30"/>
  <c r="G725" i="30"/>
  <c r="F727" i="30" l="1"/>
  <c r="G726" i="30"/>
  <c r="F728" i="30" l="1"/>
  <c r="G727" i="30"/>
  <c r="F729" i="30" l="1"/>
  <c r="G728" i="30"/>
  <c r="F730" i="30" l="1"/>
  <c r="G729" i="30"/>
  <c r="F731" i="30" l="1"/>
  <c r="G730" i="30"/>
  <c r="F732" i="30" l="1"/>
  <c r="G731" i="30"/>
  <c r="F733" i="30" l="1"/>
  <c r="G732" i="30"/>
  <c r="F734" i="30" l="1"/>
  <c r="G733" i="30"/>
  <c r="F735" i="30" l="1"/>
  <c r="G734" i="30"/>
  <c r="F736" i="30" l="1"/>
  <c r="G735" i="30"/>
  <c r="F737" i="30" l="1"/>
  <c r="G736" i="30"/>
  <c r="F738" i="30" l="1"/>
  <c r="G737" i="30"/>
  <c r="F739" i="30" l="1"/>
  <c r="G738" i="30"/>
  <c r="F740" i="30" l="1"/>
  <c r="G739" i="30"/>
  <c r="F741" i="30" l="1"/>
  <c r="G740" i="30"/>
  <c r="F742" i="30" l="1"/>
  <c r="G741" i="30"/>
  <c r="F743" i="30" l="1"/>
  <c r="G742" i="30"/>
  <c r="F744" i="30" l="1"/>
  <c r="G743" i="30"/>
  <c r="F745" i="30" l="1"/>
  <c r="G744" i="30"/>
  <c r="F746" i="30" l="1"/>
  <c r="G745" i="30"/>
  <c r="F747" i="30" l="1"/>
  <c r="G746" i="30"/>
  <c r="F748" i="30" l="1"/>
  <c r="G747" i="30"/>
  <c r="F749" i="30" l="1"/>
  <c r="G748" i="30"/>
  <c r="F750" i="30" l="1"/>
  <c r="G749" i="30"/>
  <c r="F751" i="30" l="1"/>
  <c r="G750" i="30"/>
  <c r="F752" i="30" l="1"/>
  <c r="G751" i="30"/>
  <c r="F753" i="30" l="1"/>
  <c r="G752" i="30"/>
  <c r="F754" i="30" l="1"/>
  <c r="G753" i="30"/>
  <c r="F755" i="30" l="1"/>
  <c r="G754" i="30"/>
  <c r="F756" i="30" l="1"/>
  <c r="G755" i="30"/>
  <c r="F757" i="30" l="1"/>
  <c r="G756" i="30"/>
  <c r="F758" i="30" l="1"/>
  <c r="G757" i="30"/>
  <c r="F759" i="30" l="1"/>
  <c r="G758" i="30"/>
  <c r="F760" i="30" l="1"/>
  <c r="G759" i="30"/>
  <c r="F761" i="30" l="1"/>
  <c r="G760" i="30"/>
  <c r="F762" i="30" l="1"/>
  <c r="G761" i="30"/>
  <c r="F763" i="30" l="1"/>
  <c r="G762" i="30"/>
  <c r="F764" i="30" l="1"/>
  <c r="G763" i="30"/>
  <c r="F765" i="30" l="1"/>
  <c r="G764" i="30"/>
  <c r="F767" i="30" l="1"/>
  <c r="G765" i="30"/>
  <c r="F768" i="30" l="1"/>
  <c r="G767" i="30"/>
  <c r="F769" i="30" l="1"/>
  <c r="G768" i="30"/>
  <c r="F770" i="30" l="1"/>
  <c r="G769" i="30"/>
  <c r="F771" i="30" l="1"/>
  <c r="G770" i="30"/>
  <c r="F772" i="30" l="1"/>
  <c r="G771" i="30"/>
  <c r="F773" i="30" l="1"/>
  <c r="G772" i="30"/>
  <c r="F774" i="30" l="1"/>
  <c r="G773" i="30"/>
  <c r="F775" i="30" l="1"/>
  <c r="G774" i="30"/>
  <c r="F776" i="30" l="1"/>
  <c r="G775" i="30"/>
  <c r="F777" i="30" l="1"/>
  <c r="G776" i="30"/>
  <c r="F778" i="30" l="1"/>
  <c r="G777" i="30"/>
  <c r="F779" i="30" l="1"/>
  <c r="G778" i="30"/>
  <c r="F780" i="30" l="1"/>
  <c r="G779" i="30"/>
  <c r="F781" i="30" l="1"/>
  <c r="G780" i="30"/>
  <c r="F782" i="30" l="1"/>
  <c r="G781" i="30"/>
  <c r="F783" i="30" l="1"/>
  <c r="G782" i="30"/>
  <c r="F784" i="30" l="1"/>
  <c r="G783" i="30"/>
  <c r="F785" i="30" l="1"/>
  <c r="G784" i="30"/>
  <c r="F786" i="30" l="1"/>
  <c r="G785" i="30"/>
  <c r="F787" i="30" l="1"/>
  <c r="G786" i="30"/>
  <c r="F788" i="30" l="1"/>
  <c r="G787" i="30"/>
  <c r="F789" i="30" l="1"/>
  <c r="G788" i="30"/>
  <c r="F790" i="30" l="1"/>
  <c r="G789" i="30"/>
  <c r="F791" i="30" l="1"/>
  <c r="G790" i="30"/>
  <c r="F792" i="30" l="1"/>
  <c r="G791" i="30"/>
  <c r="F793" i="30" l="1"/>
  <c r="G792" i="30"/>
  <c r="F794" i="30" l="1"/>
  <c r="G793" i="30"/>
  <c r="F795" i="30" l="1"/>
  <c r="G794" i="30"/>
  <c r="F796" i="30" l="1"/>
  <c r="G795" i="30"/>
  <c r="F797" i="30" l="1"/>
  <c r="G796" i="30"/>
  <c r="F798" i="30" l="1"/>
  <c r="G797" i="30"/>
  <c r="F799" i="30" l="1"/>
  <c r="G798" i="30"/>
  <c r="F800" i="30" l="1"/>
  <c r="G799" i="30"/>
  <c r="F801" i="30" l="1"/>
  <c r="G800" i="30"/>
  <c r="F802" i="30" l="1"/>
  <c r="G801" i="30"/>
  <c r="F803" i="30" l="1"/>
  <c r="G802" i="30"/>
  <c r="F804" i="30" l="1"/>
  <c r="G803" i="30"/>
  <c r="F805" i="30" l="1"/>
  <c r="G804" i="30"/>
  <c r="F806" i="30" l="1"/>
  <c r="G805" i="30"/>
  <c r="F807" i="30" l="1"/>
  <c r="G806" i="30"/>
  <c r="F808" i="30" l="1"/>
  <c r="G807" i="30"/>
  <c r="F809" i="30" l="1"/>
  <c r="G808" i="30"/>
  <c r="F810" i="30" l="1"/>
  <c r="G809" i="30"/>
  <c r="F811" i="30" l="1"/>
  <c r="G810" i="30"/>
  <c r="F812" i="30" l="1"/>
  <c r="G811" i="30"/>
  <c r="F813" i="30" l="1"/>
  <c r="G812" i="30"/>
  <c r="F814" i="30" l="1"/>
  <c r="G813" i="30"/>
  <c r="F815" i="30" l="1"/>
  <c r="G814" i="30"/>
  <c r="F816" i="30" l="1"/>
  <c r="G815" i="30"/>
  <c r="F817" i="30" l="1"/>
  <c r="G816" i="30"/>
  <c r="F818" i="30" l="1"/>
  <c r="G817" i="30"/>
  <c r="F819" i="30" l="1"/>
  <c r="G818" i="30"/>
  <c r="F820" i="30" l="1"/>
  <c r="G819" i="30"/>
  <c r="F821" i="30" l="1"/>
  <c r="G820" i="30"/>
  <c r="F822" i="30" l="1"/>
  <c r="G821" i="30"/>
  <c r="F823" i="30" l="1"/>
  <c r="G822" i="30"/>
  <c r="F824" i="30" l="1"/>
  <c r="G823" i="30"/>
  <c r="F825" i="30" l="1"/>
  <c r="G824" i="30"/>
  <c r="F826" i="30" l="1"/>
  <c r="G825" i="30"/>
  <c r="F827" i="30" l="1"/>
  <c r="G826" i="30"/>
  <c r="F828" i="30" l="1"/>
  <c r="G827" i="30"/>
  <c r="F829" i="30" l="1"/>
  <c r="G828" i="30"/>
  <c r="F830" i="30" l="1"/>
  <c r="G829" i="30"/>
  <c r="F831" i="30" l="1"/>
  <c r="G830" i="30"/>
  <c r="F832" i="30" l="1"/>
  <c r="G831" i="30"/>
  <c r="F833" i="30" l="1"/>
  <c r="G832" i="30"/>
  <c r="F834" i="30" l="1"/>
  <c r="G833" i="30"/>
  <c r="F835" i="30" l="1"/>
  <c r="G834" i="30"/>
  <c r="F836" i="30" l="1"/>
  <c r="G835" i="30"/>
  <c r="F837" i="30" l="1"/>
  <c r="G836" i="30"/>
  <c r="F838" i="30" l="1"/>
  <c r="G837" i="30"/>
  <c r="F839" i="30" l="1"/>
  <c r="G838" i="30"/>
  <c r="F840" i="30" l="1"/>
  <c r="G839" i="30"/>
  <c r="F841" i="30" l="1"/>
  <c r="G840" i="30"/>
  <c r="F842" i="30" l="1"/>
  <c r="G841" i="30"/>
  <c r="F843" i="30" l="1"/>
  <c r="G842" i="30"/>
  <c r="F844" i="30" l="1"/>
  <c r="G843" i="30"/>
  <c r="F845" i="30" l="1"/>
  <c r="G844" i="30"/>
  <c r="F846" i="30" l="1"/>
  <c r="G845" i="30"/>
  <c r="F847" i="30" l="1"/>
  <c r="G846" i="30"/>
  <c r="F848" i="30" l="1"/>
  <c r="G847" i="30"/>
  <c r="F849" i="30" l="1"/>
  <c r="G848" i="30"/>
  <c r="F850" i="30" l="1"/>
  <c r="G849" i="30"/>
  <c r="F851" i="30" l="1"/>
  <c r="G850" i="30"/>
  <c r="F852" i="30" l="1"/>
  <c r="G851" i="30"/>
  <c r="F853" i="30" l="1"/>
  <c r="G852" i="30"/>
  <c r="F854" i="30" l="1"/>
  <c r="G853" i="30"/>
  <c r="F855" i="30" l="1"/>
  <c r="G854" i="30"/>
  <c r="F856" i="30" l="1"/>
  <c r="G855" i="30"/>
  <c r="F857" i="30" l="1"/>
  <c r="G856" i="30"/>
  <c r="F858" i="30" l="1"/>
  <c r="G857" i="30"/>
  <c r="F859" i="30" l="1"/>
  <c r="G858" i="30"/>
  <c r="F860" i="30" l="1"/>
  <c r="G859" i="30"/>
  <c r="F861" i="30" l="1"/>
  <c r="G860" i="30"/>
  <c r="F862" i="30" l="1"/>
  <c r="G861" i="30"/>
  <c r="F863" i="30" l="1"/>
  <c r="G862" i="30"/>
  <c r="F864" i="30" l="1"/>
  <c r="G863" i="30"/>
  <c r="F865" i="30" l="1"/>
  <c r="G864" i="30"/>
  <c r="F866" i="30" l="1"/>
  <c r="G865" i="30"/>
  <c r="F867" i="30" l="1"/>
  <c r="G866" i="30"/>
  <c r="F868" i="30" l="1"/>
  <c r="G867" i="30"/>
  <c r="F869" i="30" l="1"/>
  <c r="G868" i="30"/>
  <c r="F870" i="30" l="1"/>
  <c r="G869" i="30"/>
  <c r="F871" i="30" l="1"/>
  <c r="G870" i="30"/>
  <c r="F872" i="30" l="1"/>
  <c r="G871" i="30"/>
  <c r="F873" i="30" l="1"/>
  <c r="G872" i="30"/>
  <c r="F874" i="30" l="1"/>
  <c r="G873" i="30"/>
  <c r="F875" i="30" l="1"/>
  <c r="G874" i="30"/>
  <c r="F876" i="30" l="1"/>
  <c r="G875" i="30"/>
  <c r="F877" i="30" l="1"/>
  <c r="G876" i="30"/>
  <c r="F878" i="30" l="1"/>
  <c r="G877" i="30"/>
  <c r="F879" i="30" l="1"/>
  <c r="G878" i="30"/>
  <c r="F880" i="30" l="1"/>
  <c r="G879" i="30"/>
  <c r="F881" i="30" l="1"/>
  <c r="G880" i="30"/>
  <c r="F882" i="30" l="1"/>
  <c r="G881" i="30"/>
  <c r="F883" i="30" l="1"/>
  <c r="G882" i="30"/>
  <c r="F884" i="30" l="1"/>
  <c r="G883" i="30"/>
  <c r="F885" i="30" l="1"/>
  <c r="G884" i="30"/>
  <c r="F886" i="30" l="1"/>
  <c r="G885" i="30"/>
  <c r="F887" i="30" l="1"/>
  <c r="G886" i="30"/>
  <c r="F888" i="30" l="1"/>
  <c r="G887" i="30"/>
  <c r="F889" i="30" l="1"/>
  <c r="G888" i="30"/>
  <c r="F890" i="30" l="1"/>
  <c r="G889" i="30"/>
  <c r="F891" i="30" l="1"/>
  <c r="G890" i="30"/>
  <c r="F892" i="30" l="1"/>
  <c r="G891" i="30"/>
  <c r="F893" i="30" l="1"/>
  <c r="G892" i="30"/>
  <c r="F894" i="30" l="1"/>
  <c r="G893" i="30"/>
  <c r="F895" i="30" l="1"/>
  <c r="G894" i="30"/>
  <c r="F896" i="30" l="1"/>
  <c r="G895" i="30"/>
  <c r="F898" i="30" l="1"/>
  <c r="G896" i="30"/>
  <c r="F899" i="30" l="1"/>
  <c r="G898" i="30"/>
  <c r="F900" i="30" l="1"/>
  <c r="G899" i="30"/>
  <c r="F901" i="30" l="1"/>
  <c r="G900" i="30"/>
  <c r="F902" i="30" l="1"/>
  <c r="G901" i="30"/>
  <c r="F903" i="30" l="1"/>
  <c r="G902" i="30"/>
  <c r="F904" i="30" l="1"/>
  <c r="G903" i="30"/>
  <c r="F905" i="30" l="1"/>
  <c r="G904" i="30"/>
  <c r="F906" i="30" l="1"/>
  <c r="G905" i="30"/>
  <c r="F907" i="30" l="1"/>
  <c r="G906" i="30"/>
  <c r="F908" i="30" l="1"/>
  <c r="G907" i="30"/>
  <c r="F909" i="30" l="1"/>
  <c r="G908" i="30"/>
  <c r="F910" i="30" l="1"/>
  <c r="G909" i="30"/>
  <c r="F911" i="30" l="1"/>
  <c r="G910" i="30"/>
  <c r="F912" i="30" l="1"/>
  <c r="G911" i="30"/>
  <c r="F913" i="30" l="1"/>
  <c r="G912" i="30"/>
  <c r="F914" i="30" l="1"/>
  <c r="G913" i="30"/>
  <c r="F915" i="30" l="1"/>
  <c r="G914" i="30"/>
  <c r="F916" i="30" l="1"/>
  <c r="G915" i="30"/>
  <c r="F917" i="30" l="1"/>
  <c r="G916" i="30"/>
  <c r="F918" i="30" l="1"/>
  <c r="G917" i="30"/>
  <c r="F919" i="30" l="1"/>
  <c r="G918" i="30"/>
  <c r="F920" i="30" l="1"/>
  <c r="G919" i="30"/>
  <c r="F921" i="30" l="1"/>
  <c r="G920" i="30"/>
  <c r="F922" i="30" l="1"/>
  <c r="G921" i="30"/>
  <c r="F923" i="30" l="1"/>
  <c r="G922" i="30"/>
  <c r="F924" i="30" l="1"/>
  <c r="G923" i="30"/>
  <c r="F925" i="30" l="1"/>
  <c r="G924" i="30"/>
  <c r="F926" i="30" l="1"/>
  <c r="G925" i="30"/>
  <c r="F927" i="30" l="1"/>
  <c r="G926" i="30"/>
  <c r="F928" i="30" l="1"/>
  <c r="G927" i="30"/>
  <c r="F929" i="30" l="1"/>
  <c r="G928" i="30"/>
  <c r="F930" i="30" l="1"/>
  <c r="G929" i="30"/>
  <c r="F931" i="30" l="1"/>
  <c r="G930" i="30"/>
  <c r="F932" i="30" l="1"/>
  <c r="G931" i="30"/>
  <c r="F933" i="30" l="1"/>
  <c r="G932" i="30"/>
  <c r="F934" i="30" l="1"/>
  <c r="G933" i="30"/>
  <c r="F935" i="30" l="1"/>
  <c r="G934" i="30"/>
  <c r="F936" i="30" l="1"/>
  <c r="G935" i="30"/>
  <c r="F937" i="30" l="1"/>
  <c r="G936" i="30"/>
  <c r="F938" i="30" l="1"/>
  <c r="G937" i="30"/>
  <c r="F939" i="30" l="1"/>
  <c r="G938" i="30"/>
  <c r="F940" i="30" l="1"/>
  <c r="G939" i="30"/>
  <c r="F941" i="30" l="1"/>
  <c r="G940" i="30"/>
  <c r="F942" i="30" l="1"/>
  <c r="G941" i="30"/>
  <c r="F943" i="30" l="1"/>
  <c r="G942" i="30"/>
  <c r="F944" i="30" l="1"/>
  <c r="G943" i="30"/>
  <c r="F945" i="30" l="1"/>
  <c r="G944" i="30"/>
  <c r="F946" i="30" l="1"/>
  <c r="G945" i="30"/>
  <c r="F947" i="30" l="1"/>
  <c r="G946" i="30"/>
  <c r="F948" i="30" l="1"/>
  <c r="G947" i="30"/>
  <c r="F949" i="30" l="1"/>
  <c r="G948" i="30"/>
  <c r="F950" i="30" l="1"/>
  <c r="G949" i="30"/>
  <c r="F951" i="30" l="1"/>
  <c r="G950" i="30"/>
  <c r="F952" i="30" l="1"/>
  <c r="G951" i="30"/>
  <c r="F953" i="30" l="1"/>
  <c r="G952" i="30"/>
  <c r="F954" i="30" l="1"/>
  <c r="G953" i="30"/>
  <c r="F955" i="30" l="1"/>
  <c r="G954" i="30"/>
  <c r="F956" i="30" l="1"/>
  <c r="G955" i="30"/>
  <c r="F957" i="30" l="1"/>
  <c r="G956" i="30"/>
  <c r="F958" i="30" l="1"/>
  <c r="G957" i="30"/>
  <c r="F959" i="30" l="1"/>
  <c r="G958" i="30"/>
  <c r="F960" i="30" l="1"/>
  <c r="G959" i="30"/>
  <c r="F961" i="30" l="1"/>
  <c r="G960" i="30"/>
  <c r="F962" i="30" l="1"/>
  <c r="G961" i="30"/>
  <c r="F963" i="30" l="1"/>
  <c r="G962" i="30"/>
  <c r="F964" i="30" l="1"/>
  <c r="G963" i="30"/>
  <c r="F965" i="30" l="1"/>
  <c r="G964" i="30"/>
  <c r="F966" i="30" l="1"/>
  <c r="G965" i="30"/>
  <c r="F967" i="30" l="1"/>
  <c r="G966" i="30"/>
  <c r="F968" i="30" l="1"/>
  <c r="G967" i="30"/>
  <c r="F969" i="30" l="1"/>
  <c r="G968" i="30"/>
  <c r="F970" i="30" l="1"/>
  <c r="G969" i="30"/>
  <c r="F971" i="30" l="1"/>
  <c r="G970" i="30"/>
  <c r="F972" i="30" l="1"/>
  <c r="G971" i="30"/>
  <c r="F973" i="30" l="1"/>
  <c r="G972" i="30"/>
  <c r="F974" i="30" l="1"/>
  <c r="G973" i="30"/>
  <c r="F975" i="30" l="1"/>
  <c r="G974" i="30"/>
  <c r="F976" i="30" l="1"/>
  <c r="G975" i="30"/>
  <c r="F977" i="30" l="1"/>
  <c r="G976" i="30"/>
  <c r="F978" i="30" l="1"/>
  <c r="G977" i="30"/>
  <c r="F979" i="30" l="1"/>
  <c r="G978" i="30"/>
  <c r="F980" i="30" l="1"/>
  <c r="G979" i="30"/>
  <c r="F981" i="30" l="1"/>
  <c r="G980" i="30"/>
  <c r="F982" i="30" l="1"/>
  <c r="G981" i="30"/>
  <c r="F983" i="30" l="1"/>
  <c r="G982" i="30"/>
  <c r="F984" i="30" l="1"/>
  <c r="G983" i="30"/>
  <c r="F985" i="30" l="1"/>
  <c r="G984" i="30"/>
  <c r="F986" i="30" l="1"/>
  <c r="G985" i="30"/>
  <c r="F987" i="30" l="1"/>
  <c r="G986" i="30"/>
  <c r="F988" i="30" l="1"/>
  <c r="G987" i="30"/>
  <c r="F989" i="30" l="1"/>
  <c r="G988" i="30"/>
  <c r="F990" i="30" l="1"/>
  <c r="G989" i="30"/>
  <c r="F991" i="30" l="1"/>
  <c r="G990" i="30"/>
  <c r="F992" i="30" l="1"/>
  <c r="G991" i="30"/>
  <c r="F993" i="30" l="1"/>
  <c r="G992" i="30"/>
  <c r="F994" i="30" l="1"/>
  <c r="G993" i="30"/>
  <c r="F995" i="30" l="1"/>
  <c r="G994" i="30"/>
  <c r="F996" i="30" l="1"/>
  <c r="G995" i="30"/>
  <c r="F997" i="30" l="1"/>
  <c r="G996" i="30"/>
  <c r="F998" i="30" l="1"/>
  <c r="G997" i="30"/>
  <c r="F999" i="30" l="1"/>
  <c r="G998" i="30"/>
  <c r="F1000" i="30" l="1"/>
  <c r="G999" i="30"/>
  <c r="F1001" i="30" l="1"/>
  <c r="G1000" i="30"/>
  <c r="F1002" i="30" l="1"/>
  <c r="G1001" i="30"/>
  <c r="F1003" i="30" l="1"/>
  <c r="G1002" i="30"/>
  <c r="F1004" i="30" l="1"/>
  <c r="G1003" i="30"/>
  <c r="F1005" i="30" l="1"/>
  <c r="G1004" i="30"/>
  <c r="F1006" i="30" l="1"/>
  <c r="G1005" i="30"/>
  <c r="F1007" i="30" l="1"/>
  <c r="G1006" i="30"/>
  <c r="F1008" i="30" l="1"/>
  <c r="G1007" i="30"/>
  <c r="F1009" i="30" l="1"/>
  <c r="G1008" i="30"/>
  <c r="F1010" i="30" l="1"/>
  <c r="G1009" i="30"/>
  <c r="F1011" i="30" l="1"/>
  <c r="G1010" i="30"/>
  <c r="F1012" i="30" l="1"/>
  <c r="G1011" i="30"/>
  <c r="F1013" i="30" l="1"/>
  <c r="G1012" i="30"/>
  <c r="F1014" i="30" l="1"/>
  <c r="G1013" i="30"/>
  <c r="F1015" i="30" l="1"/>
  <c r="G1014" i="30"/>
  <c r="F1016" i="30" l="1"/>
  <c r="G1015" i="30"/>
  <c r="F1017" i="30" l="1"/>
  <c r="G1016" i="30"/>
  <c r="F1018" i="30" l="1"/>
  <c r="G1017" i="30"/>
  <c r="F1019" i="30" l="1"/>
  <c r="G1018" i="30"/>
  <c r="F1020" i="30" l="1"/>
  <c r="G1019" i="30"/>
  <c r="F1021" i="30" l="1"/>
  <c r="F1022" i="30" s="1"/>
  <c r="G1020" i="30"/>
  <c r="F1023" i="30" l="1"/>
  <c r="G1022" i="30"/>
  <c r="F1038" i="30"/>
  <c r="G1021" i="30"/>
  <c r="G1023" i="30" l="1"/>
  <c r="F1024" i="30"/>
  <c r="F1039" i="30"/>
  <c r="G1038" i="30"/>
  <c r="F1025" i="30" l="1"/>
  <c r="G1024" i="30"/>
  <c r="F1040" i="30"/>
  <c r="G1039" i="30"/>
  <c r="G1025" i="30" l="1"/>
  <c r="F1026" i="30"/>
  <c r="F1041" i="30"/>
  <c r="G1040" i="30"/>
  <c r="F1027" i="30" l="1"/>
  <c r="G1026" i="30"/>
  <c r="F1042" i="30"/>
  <c r="G1041" i="30"/>
  <c r="F1028" i="30" l="1"/>
  <c r="G1027" i="30"/>
  <c r="F1043" i="30"/>
  <c r="G1042" i="30"/>
  <c r="F1029" i="30" l="1"/>
  <c r="G1028" i="30"/>
  <c r="F1044" i="30"/>
  <c r="G1043" i="30"/>
  <c r="F1030" i="30" l="1"/>
  <c r="G1029" i="30"/>
  <c r="F1045" i="30"/>
  <c r="G1044" i="30"/>
  <c r="F1031" i="30" l="1"/>
  <c r="G1030" i="30"/>
  <c r="F1046" i="30"/>
  <c r="G1045" i="30"/>
  <c r="F1032" i="30" l="1"/>
  <c r="G1031" i="30"/>
  <c r="F1047" i="30"/>
  <c r="G1046" i="30"/>
  <c r="G1032" i="30" l="1"/>
  <c r="F1033" i="30"/>
  <c r="F1048" i="30"/>
  <c r="G1047" i="30"/>
  <c r="G1033" i="30" l="1"/>
  <c r="F1034" i="30"/>
  <c r="F1049" i="30"/>
  <c r="G1048" i="30"/>
  <c r="G1034" i="30" l="1"/>
  <c r="F1035" i="30"/>
  <c r="F1050" i="30"/>
  <c r="G1049" i="30"/>
  <c r="F1036" i="30" l="1"/>
  <c r="G1036" i="30" s="1"/>
  <c r="G1035" i="30"/>
  <c r="F1051" i="30"/>
  <c r="G1050" i="30"/>
  <c r="F1052" i="30" l="1"/>
  <c r="G1051" i="30"/>
  <c r="F1053" i="30" l="1"/>
  <c r="G1052" i="30"/>
  <c r="F1054" i="30" l="1"/>
  <c r="G1053" i="30"/>
  <c r="F1055" i="30" l="1"/>
  <c r="G1054" i="30"/>
  <c r="F1056" i="30" l="1"/>
  <c r="G1055" i="30"/>
  <c r="F1057" i="30" l="1"/>
  <c r="G1056" i="30"/>
  <c r="F1058" i="30" l="1"/>
  <c r="G1057" i="30"/>
  <c r="F1059" i="30" l="1"/>
  <c r="G1058" i="30"/>
  <c r="F1060" i="30" l="1"/>
  <c r="G1059" i="30"/>
  <c r="F1061" i="30" l="1"/>
  <c r="G1060" i="30"/>
  <c r="F1062" i="30" l="1"/>
  <c r="G1061" i="30"/>
  <c r="F1063" i="30" l="1"/>
  <c r="G1062" i="30"/>
  <c r="F1064" i="30" l="1"/>
  <c r="G1063" i="30"/>
  <c r="F1065" i="30" l="1"/>
  <c r="G1064" i="30"/>
  <c r="F1066" i="30" l="1"/>
  <c r="G1065" i="30"/>
  <c r="F1067" i="30" l="1"/>
  <c r="G1066" i="30"/>
  <c r="F1068" i="30" l="1"/>
  <c r="G1067" i="30"/>
  <c r="F1069" i="30" l="1"/>
  <c r="G1068" i="30"/>
  <c r="F1070" i="30" l="1"/>
  <c r="G1069" i="30"/>
  <c r="F1071" i="30" l="1"/>
  <c r="G1070" i="30"/>
  <c r="F1072" i="30" l="1"/>
  <c r="G1071" i="30"/>
  <c r="F1073" i="30" l="1"/>
  <c r="G1072" i="30"/>
  <c r="F1074" i="30" l="1"/>
  <c r="G1073" i="30"/>
  <c r="F1075" i="30" l="1"/>
  <c r="G1074" i="30"/>
  <c r="F1076" i="30" l="1"/>
  <c r="G1075" i="30"/>
  <c r="F1077" i="30" l="1"/>
  <c r="G1076" i="30"/>
  <c r="F1078" i="30" l="1"/>
  <c r="G1077" i="30"/>
  <c r="F1079" i="30" l="1"/>
  <c r="G1078" i="30"/>
  <c r="F1080" i="30" l="1"/>
  <c r="G1079" i="30"/>
  <c r="F1081" i="30" l="1"/>
  <c r="G1080" i="30"/>
  <c r="F1082" i="30" l="1"/>
  <c r="G1081" i="30"/>
  <c r="F1083" i="30" l="1"/>
  <c r="G1082" i="30"/>
  <c r="F1084" i="30" l="1"/>
  <c r="G1083" i="30"/>
  <c r="F1085" i="30" l="1"/>
  <c r="G1084" i="30"/>
  <c r="F1086" i="30" l="1"/>
  <c r="G1085" i="30"/>
  <c r="F1087" i="30" l="1"/>
  <c r="G1086" i="30"/>
  <c r="F1088" i="30" l="1"/>
  <c r="G1087" i="30"/>
  <c r="F1089" i="30" l="1"/>
  <c r="G1088" i="30"/>
  <c r="F1090" i="30" l="1"/>
  <c r="G1089" i="30"/>
  <c r="F1091" i="30" l="1"/>
  <c r="G1090" i="30"/>
  <c r="F1092" i="30" l="1"/>
  <c r="G1091" i="30"/>
  <c r="F1093" i="30" l="1"/>
  <c r="G1092" i="30"/>
  <c r="F1094" i="30" l="1"/>
  <c r="G1093" i="30"/>
  <c r="F1095" i="30" l="1"/>
  <c r="G1094" i="30"/>
  <c r="F1096" i="30" l="1"/>
  <c r="G1095" i="30"/>
  <c r="F1097" i="30" l="1"/>
  <c r="G1096" i="30"/>
  <c r="F1098" i="30" l="1"/>
  <c r="G1097" i="30"/>
  <c r="F1099" i="30" l="1"/>
  <c r="G1098" i="30"/>
  <c r="F1100" i="30" l="1"/>
  <c r="G1099" i="30"/>
  <c r="F1101" i="30" l="1"/>
  <c r="G1100" i="30"/>
  <c r="F1102" i="30" l="1"/>
  <c r="G1101" i="30"/>
  <c r="F1103" i="30" l="1"/>
  <c r="G1102" i="30"/>
  <c r="F1104" i="30" l="1"/>
  <c r="G1103" i="30"/>
  <c r="F1105" i="30" l="1"/>
  <c r="G1104" i="30"/>
  <c r="F1106" i="30" l="1"/>
  <c r="G1105" i="30"/>
  <c r="F1107" i="30" l="1"/>
  <c r="G1106" i="30"/>
  <c r="F1108" i="30" l="1"/>
  <c r="G1107" i="30"/>
  <c r="F1109" i="30" l="1"/>
  <c r="G1108" i="30"/>
  <c r="F1110" i="30" l="1"/>
  <c r="G1109" i="30"/>
  <c r="F1111" i="30" l="1"/>
  <c r="G1110" i="30"/>
  <c r="F1112" i="30" l="1"/>
  <c r="G1111" i="30"/>
  <c r="F1113" i="30" l="1"/>
  <c r="G1112" i="30"/>
  <c r="F1114" i="30" l="1"/>
  <c r="G1113" i="30"/>
  <c r="F1115" i="30" l="1"/>
  <c r="G1114" i="30"/>
  <c r="F1116" i="30" l="1"/>
  <c r="G1115" i="30"/>
  <c r="F1117" i="30" l="1"/>
  <c r="G1116" i="30"/>
  <c r="F1118" i="30" l="1"/>
  <c r="G1117" i="30"/>
  <c r="F1119" i="30" l="1"/>
  <c r="G1118" i="30"/>
  <c r="F1120" i="30" l="1"/>
  <c r="G1119" i="30"/>
  <c r="F1121" i="30" l="1"/>
  <c r="G1120" i="30"/>
  <c r="F1122" i="30" l="1"/>
  <c r="G1121" i="30"/>
  <c r="F1123" i="30" l="1"/>
  <c r="G1122" i="30"/>
  <c r="F1124" i="30" l="1"/>
  <c r="G1123" i="30"/>
  <c r="F1125" i="30" l="1"/>
  <c r="G1124" i="30"/>
  <c r="F1126" i="30" l="1"/>
  <c r="G1125" i="30"/>
  <c r="F1127" i="30" l="1"/>
  <c r="G1126" i="30"/>
  <c r="F1128" i="30" l="1"/>
  <c r="G1127" i="30"/>
  <c r="F1129" i="30" l="1"/>
  <c r="G1128" i="30"/>
  <c r="F1130" i="30" l="1"/>
  <c r="G1129" i="30"/>
  <c r="F1131" i="30" l="1"/>
  <c r="G1130" i="30"/>
  <c r="F1132" i="30" l="1"/>
  <c r="G1131" i="30"/>
  <c r="F1133" i="30" l="1"/>
  <c r="G1132" i="30"/>
  <c r="F1134" i="30" l="1"/>
  <c r="G1133" i="30"/>
  <c r="F1135" i="30" l="1"/>
  <c r="G1134" i="30"/>
  <c r="F1136" i="30" l="1"/>
  <c r="G1135" i="30"/>
  <c r="F1137" i="30" l="1"/>
  <c r="G1136" i="30"/>
  <c r="F1138" i="30" l="1"/>
  <c r="G1137" i="30"/>
  <c r="F1139" i="30" l="1"/>
  <c r="G1138" i="30"/>
  <c r="F1140" i="30" l="1"/>
  <c r="G1139" i="30"/>
  <c r="F1141" i="30" l="1"/>
  <c r="G1140" i="30"/>
  <c r="F1142" i="30" l="1"/>
  <c r="G1141" i="30"/>
  <c r="F1143" i="30" l="1"/>
  <c r="G1142" i="30"/>
  <c r="F1144" i="30" l="1"/>
  <c r="G1143" i="30"/>
  <c r="F1145" i="30" l="1"/>
  <c r="G1144" i="30"/>
  <c r="F1146" i="30" l="1"/>
  <c r="G1145" i="30"/>
  <c r="F1147" i="30" l="1"/>
  <c r="G1146" i="30"/>
  <c r="F1148" i="30" l="1"/>
  <c r="G1147" i="30"/>
  <c r="F1149" i="30" l="1"/>
  <c r="G1148" i="30"/>
  <c r="F1150" i="30" l="1"/>
  <c r="G1149" i="30"/>
  <c r="F1151" i="30" l="1"/>
  <c r="G1150" i="30"/>
  <c r="F1152" i="30" l="1"/>
  <c r="G1151" i="30"/>
  <c r="F1153" i="30" l="1"/>
  <c r="G1152" i="30"/>
  <c r="F1154" i="30" l="1"/>
  <c r="G1153" i="30"/>
  <c r="F1155" i="30" l="1"/>
  <c r="G1154" i="30"/>
  <c r="F1156" i="30" l="1"/>
  <c r="G1155" i="30"/>
  <c r="F1157" i="30" l="1"/>
  <c r="G1156" i="30"/>
  <c r="F1158" i="30" l="1"/>
  <c r="G1157" i="30"/>
  <c r="F1159" i="30" l="1"/>
  <c r="G1158" i="30"/>
  <c r="F1160" i="30" l="1"/>
  <c r="G1159" i="30"/>
  <c r="F1161" i="30" l="1"/>
  <c r="G1160" i="30"/>
  <c r="F1162" i="30" l="1"/>
  <c r="G1161" i="30"/>
  <c r="F1163" i="30" l="1"/>
  <c r="G1162" i="30"/>
  <c r="F1164" i="30" l="1"/>
  <c r="G1163" i="30"/>
  <c r="F1165" i="30" l="1"/>
  <c r="G1164" i="30"/>
  <c r="F1166" i="30" l="1"/>
  <c r="G1165" i="30"/>
  <c r="F1167" i="30" l="1"/>
  <c r="G1166" i="30"/>
  <c r="F1168" i="30" l="1"/>
  <c r="G1167" i="30"/>
  <c r="F1169" i="30" l="1"/>
  <c r="G1168" i="30"/>
  <c r="F1170" i="30" l="1"/>
  <c r="G1169" i="30"/>
  <c r="F1171" i="30" l="1"/>
  <c r="G1170" i="30"/>
  <c r="F1172" i="30" l="1"/>
  <c r="G1171" i="30"/>
  <c r="F1173" i="30" l="1"/>
  <c r="G1172" i="30"/>
  <c r="F1174" i="30" l="1"/>
  <c r="G1173" i="30"/>
  <c r="F1175" i="30" l="1"/>
  <c r="G1174" i="30"/>
  <c r="F1176" i="30" l="1"/>
  <c r="G1175" i="30"/>
  <c r="F1177" i="30" l="1"/>
  <c r="G1176" i="30"/>
  <c r="F1178" i="30" l="1"/>
  <c r="G1177" i="30"/>
  <c r="F1179" i="30" l="1"/>
  <c r="G1178" i="30"/>
  <c r="F1180" i="30" l="1"/>
  <c r="G1179" i="30"/>
  <c r="F1181" i="30" l="1"/>
  <c r="G1180" i="30"/>
  <c r="F1182" i="30" l="1"/>
  <c r="G1181" i="30"/>
  <c r="F1183" i="30" l="1"/>
  <c r="G1182" i="30"/>
  <c r="F1184" i="30" l="1"/>
  <c r="G1183" i="30"/>
  <c r="F1186" i="30" l="1"/>
  <c r="G1184" i="30"/>
  <c r="F1187" i="30" l="1"/>
  <c r="G1186" i="30"/>
  <c r="F1188" i="30" l="1"/>
  <c r="G1187" i="30"/>
  <c r="F1189" i="30" l="1"/>
  <c r="G1188" i="30"/>
  <c r="F1190" i="30" l="1"/>
  <c r="G1189" i="30"/>
  <c r="F1191" i="30" l="1"/>
  <c r="G1190" i="30"/>
  <c r="F1192" i="30" l="1"/>
  <c r="G1191" i="30"/>
  <c r="F1193" i="30" l="1"/>
  <c r="G1192" i="30"/>
  <c r="F1194" i="30" l="1"/>
  <c r="G1193" i="30"/>
  <c r="F1195" i="30" l="1"/>
  <c r="G1194" i="30"/>
  <c r="F1196" i="30" l="1"/>
  <c r="G1195" i="30"/>
  <c r="F1197" i="30" l="1"/>
  <c r="G1196" i="30"/>
  <c r="F1198" i="30" l="1"/>
  <c r="G1197" i="30"/>
  <c r="F1199" i="30" l="1"/>
  <c r="G1198" i="30"/>
  <c r="F1200" i="30" l="1"/>
  <c r="G1199" i="30"/>
  <c r="F1201" i="30" l="1"/>
  <c r="G1200" i="30"/>
  <c r="F1202" i="30" l="1"/>
  <c r="G1201" i="30"/>
  <c r="F1203" i="30" l="1"/>
  <c r="G1202" i="30"/>
  <c r="F1204" i="30" l="1"/>
  <c r="G1203" i="30"/>
  <c r="F1205" i="30" l="1"/>
  <c r="G1204" i="30"/>
  <c r="F1206" i="30" l="1"/>
  <c r="G1205" i="30"/>
  <c r="F1207" i="30" l="1"/>
  <c r="G1206" i="30"/>
  <c r="F1208" i="30" l="1"/>
  <c r="G1207" i="30"/>
  <c r="F1209" i="30" l="1"/>
  <c r="G1208" i="30"/>
  <c r="F1210" i="30" l="1"/>
  <c r="G1209" i="30"/>
  <c r="F1211" i="30" l="1"/>
  <c r="G1210" i="30"/>
  <c r="F1212" i="30" l="1"/>
  <c r="G1211" i="30"/>
  <c r="F1213" i="30" l="1"/>
  <c r="G1212" i="30"/>
  <c r="F1214" i="30" l="1"/>
  <c r="G1213" i="30"/>
  <c r="F1215" i="30" l="1"/>
  <c r="G1214" i="30"/>
  <c r="F1216" i="30" l="1"/>
  <c r="G1215" i="30"/>
  <c r="F1217" i="30" l="1"/>
  <c r="G1216" i="30"/>
  <c r="F1218" i="30" l="1"/>
  <c r="G1217" i="30"/>
  <c r="F1219" i="30" l="1"/>
  <c r="G1218" i="30"/>
  <c r="F1220" i="30" l="1"/>
  <c r="G1219" i="30"/>
  <c r="F1222" i="30" l="1"/>
  <c r="G1220" i="30"/>
  <c r="F1223" i="30" l="1"/>
  <c r="G1222" i="30"/>
  <c r="F1224" i="30" l="1"/>
  <c r="G1223" i="30"/>
  <c r="F1225" i="30" l="1"/>
  <c r="G1224" i="30"/>
  <c r="F1226" i="30" l="1"/>
  <c r="G1225" i="30"/>
  <c r="F1227" i="30" l="1"/>
  <c r="G1226" i="30"/>
  <c r="F1228" i="30" l="1"/>
  <c r="G1227" i="30"/>
  <c r="F1229" i="30" l="1"/>
  <c r="G1228" i="30"/>
  <c r="F1230" i="30" l="1"/>
  <c r="G1229" i="30"/>
  <c r="F1231" i="30" l="1"/>
  <c r="G1230" i="30"/>
  <c r="F1232" i="30" l="1"/>
  <c r="G1231" i="30"/>
  <c r="F1233" i="30" l="1"/>
  <c r="G1232" i="30"/>
  <c r="F1234" i="30" l="1"/>
  <c r="G1233" i="30"/>
  <c r="F1235" i="30" l="1"/>
  <c r="G1234" i="30"/>
  <c r="F1236" i="30" l="1"/>
  <c r="G1235" i="30"/>
  <c r="F1237" i="30" l="1"/>
  <c r="G1236" i="30"/>
  <c r="F1238" i="30" l="1"/>
  <c r="G1237" i="30"/>
  <c r="F1239" i="30" l="1"/>
  <c r="G1238" i="30"/>
  <c r="F1240" i="30" l="1"/>
  <c r="G1239" i="30"/>
  <c r="F1241" i="30" l="1"/>
  <c r="G1240" i="30"/>
  <c r="F1242" i="30" l="1"/>
  <c r="G1241" i="30"/>
  <c r="F1243" i="30" l="1"/>
  <c r="G1242" i="30"/>
  <c r="F1244" i="30" l="1"/>
  <c r="G1243" i="30"/>
  <c r="F1245" i="30" l="1"/>
  <c r="G1244" i="30"/>
  <c r="F1246" i="30" l="1"/>
  <c r="G1245" i="30"/>
  <c r="F1247" i="30" l="1"/>
  <c r="G1246" i="30"/>
  <c r="F1248" i="30" l="1"/>
  <c r="G1247" i="30"/>
  <c r="F1249" i="30" l="1"/>
  <c r="G1248" i="30"/>
  <c r="F1250" i="30" l="1"/>
  <c r="G1249" i="30"/>
  <c r="F1251" i="30" l="1"/>
  <c r="G1250" i="30"/>
  <c r="F1252" i="30" l="1"/>
  <c r="G1251" i="30"/>
  <c r="F1253" i="30" l="1"/>
  <c r="F1304" i="30"/>
  <c r="G1252" i="30"/>
  <c r="G1253" i="30" l="1"/>
  <c r="F1305" i="30"/>
  <c r="G1304" i="30"/>
  <c r="F1306" i="30" l="1"/>
  <c r="G1305" i="30"/>
  <c r="F1307" i="30" l="1"/>
  <c r="G1306" i="30"/>
  <c r="F1308" i="30" l="1"/>
  <c r="G1307" i="30"/>
  <c r="F1309" i="30" l="1"/>
  <c r="G1308" i="30"/>
  <c r="F1310" i="30" l="1"/>
  <c r="G1309" i="30"/>
  <c r="F1311" i="30" l="1"/>
  <c r="G1310" i="30"/>
  <c r="F1312" i="30" l="1"/>
  <c r="G1311" i="30"/>
  <c r="F1313" i="30" l="1"/>
  <c r="G1312" i="30"/>
  <c r="F1314" i="30" l="1"/>
  <c r="G1313" i="30"/>
  <c r="F1315" i="30" l="1"/>
  <c r="G1314" i="30"/>
  <c r="F1316" i="30" l="1"/>
  <c r="G1315" i="30"/>
  <c r="F1317" i="30" l="1"/>
  <c r="G1316" i="30"/>
  <c r="F1318" i="30" l="1"/>
  <c r="G1317" i="30"/>
  <c r="F1319" i="30" l="1"/>
  <c r="G1318" i="30"/>
  <c r="F1320" i="30" l="1"/>
  <c r="G1319" i="30"/>
  <c r="F1321" i="30" l="1"/>
  <c r="G1320" i="30"/>
  <c r="F1322" i="30" l="1"/>
  <c r="G1321" i="30"/>
  <c r="F1323" i="30" l="1"/>
  <c r="G1322" i="30"/>
  <c r="F1324" i="30" l="1"/>
  <c r="G1323" i="30"/>
  <c r="F1325" i="30" l="1"/>
  <c r="G1324" i="30"/>
  <c r="F1326" i="30" l="1"/>
  <c r="G1325" i="30"/>
  <c r="F1327" i="30" l="1"/>
  <c r="G1326" i="30"/>
  <c r="F1328" i="30" l="1"/>
  <c r="G1327" i="30"/>
  <c r="F1329" i="30" l="1"/>
  <c r="G1328" i="30"/>
  <c r="F1330" i="30" l="1"/>
  <c r="G1329" i="30"/>
  <c r="F171" i="30" l="1"/>
  <c r="F1331" i="30"/>
  <c r="G1330" i="30"/>
  <c r="F172" i="30" l="1"/>
  <c r="G171" i="30"/>
  <c r="F1332" i="30"/>
  <c r="G1331" i="30"/>
  <c r="F173" i="30" l="1"/>
  <c r="G172" i="30"/>
  <c r="F1333" i="30"/>
  <c r="G1332" i="30"/>
  <c r="F174" i="30" l="1"/>
  <c r="G173" i="30"/>
  <c r="F1334" i="30"/>
  <c r="G1333" i="30"/>
  <c r="F175" i="30" l="1"/>
  <c r="G174" i="30"/>
  <c r="F1335" i="30"/>
  <c r="G1334" i="30"/>
  <c r="F176" i="30" l="1"/>
  <c r="G175" i="30"/>
  <c r="F1336" i="30"/>
  <c r="G1335" i="30"/>
  <c r="F177" i="30" l="1"/>
  <c r="G176" i="30"/>
  <c r="F1337" i="30"/>
  <c r="G1336" i="30"/>
  <c r="F178" i="30" l="1"/>
  <c r="G177" i="30"/>
  <c r="F1338" i="30"/>
  <c r="G1337" i="30"/>
  <c r="F179" i="30" l="1"/>
  <c r="G178" i="30"/>
  <c r="F1339" i="30"/>
  <c r="G1338" i="30"/>
  <c r="F180" i="30" l="1"/>
  <c r="G179" i="30"/>
  <c r="F1340" i="30"/>
  <c r="G1339" i="30"/>
  <c r="F181" i="30" l="1"/>
  <c r="G180" i="30"/>
  <c r="F1341" i="30"/>
  <c r="G1340" i="30"/>
  <c r="F182" i="30" l="1"/>
  <c r="G181" i="30"/>
  <c r="F1342" i="30"/>
  <c r="G1341" i="30"/>
  <c r="F183" i="30" l="1"/>
  <c r="G182" i="30"/>
  <c r="F1343" i="30"/>
  <c r="G1342" i="30"/>
  <c r="F184" i="30" l="1"/>
  <c r="G183" i="30"/>
  <c r="F1344" i="30"/>
  <c r="G1343" i="30"/>
  <c r="F185" i="30" l="1"/>
  <c r="G184" i="30"/>
  <c r="F1345" i="30"/>
  <c r="G1344" i="30"/>
  <c r="F186" i="30" l="1"/>
  <c r="G185" i="30"/>
  <c r="F1346" i="30"/>
  <c r="G1345" i="30"/>
  <c r="F187" i="30" l="1"/>
  <c r="G186" i="30"/>
  <c r="F1347" i="30"/>
  <c r="G1346" i="30"/>
  <c r="F188" i="30" l="1"/>
  <c r="G187" i="30"/>
  <c r="F1348" i="30"/>
  <c r="G1347" i="30"/>
  <c r="F189" i="30" l="1"/>
  <c r="G188" i="30"/>
  <c r="F1349" i="30"/>
  <c r="G1348" i="30"/>
  <c r="F190" i="30" l="1"/>
  <c r="G189" i="30"/>
  <c r="F1350" i="30"/>
  <c r="G1349" i="30"/>
  <c r="F191" i="30" l="1"/>
  <c r="G190" i="30"/>
  <c r="F1351" i="30"/>
  <c r="G1350" i="30"/>
  <c r="F192" i="30" l="1"/>
  <c r="G191" i="30"/>
  <c r="F1352" i="30"/>
  <c r="G1351" i="30"/>
  <c r="F193" i="30" l="1"/>
  <c r="G192" i="30"/>
  <c r="F1353" i="30"/>
  <c r="G1352" i="30"/>
  <c r="F194" i="30" l="1"/>
  <c r="G193" i="30"/>
  <c r="F1354" i="30"/>
  <c r="G1353" i="30"/>
  <c r="F195" i="30" l="1"/>
  <c r="G194" i="30"/>
  <c r="F1355" i="30"/>
  <c r="G1354" i="30"/>
  <c r="F196" i="30" l="1"/>
  <c r="G195" i="30"/>
  <c r="F1356" i="30"/>
  <c r="G1355" i="30"/>
  <c r="F197" i="30" l="1"/>
  <c r="G196" i="30"/>
  <c r="F1357" i="30"/>
  <c r="G1356" i="30"/>
  <c r="F198" i="30" l="1"/>
  <c r="G197" i="30"/>
  <c r="F1358" i="30"/>
  <c r="G1357" i="30"/>
  <c r="F199" i="30" l="1"/>
  <c r="G198" i="30"/>
  <c r="F1359" i="30"/>
  <c r="G1358" i="30"/>
  <c r="F200" i="30" l="1"/>
  <c r="G199" i="30"/>
  <c r="F1360" i="30"/>
  <c r="G1359" i="30"/>
  <c r="F201" i="30" l="1"/>
  <c r="G200" i="30"/>
  <c r="F1361" i="30"/>
  <c r="G1360" i="30"/>
  <c r="F202" i="30" l="1"/>
  <c r="G201" i="30"/>
  <c r="F1362" i="30"/>
  <c r="G1361" i="30"/>
  <c r="F203" i="30" l="1"/>
  <c r="G202" i="30"/>
  <c r="F1363" i="30"/>
  <c r="G1362" i="30"/>
  <c r="F204" i="30" l="1"/>
  <c r="G203" i="30"/>
  <c r="F1364" i="30"/>
  <c r="G1363" i="30"/>
  <c r="F205" i="30" l="1"/>
  <c r="G204" i="30"/>
  <c r="F1365" i="30"/>
  <c r="G1364" i="30"/>
  <c r="F206" i="30" l="1"/>
  <c r="G205" i="30"/>
  <c r="F1366" i="30"/>
  <c r="G1365" i="30"/>
  <c r="F207" i="30" l="1"/>
  <c r="G206" i="30"/>
  <c r="F1367" i="30"/>
  <c r="G1366" i="30"/>
  <c r="F208" i="30" l="1"/>
  <c r="G207" i="30"/>
  <c r="F1368" i="30"/>
  <c r="G1367" i="30"/>
  <c r="F209" i="30" l="1"/>
  <c r="G208" i="30"/>
  <c r="F1369" i="30"/>
  <c r="G1368" i="30"/>
  <c r="F210" i="30" l="1"/>
  <c r="G209" i="30"/>
  <c r="F1370" i="30"/>
  <c r="G1369" i="30"/>
  <c r="F211" i="30" l="1"/>
  <c r="G210" i="30"/>
  <c r="F1371" i="30"/>
  <c r="G1370" i="30"/>
  <c r="F212" i="30" l="1"/>
  <c r="G211" i="30"/>
  <c r="F1372" i="30"/>
  <c r="G1371" i="30"/>
  <c r="F213" i="30" l="1"/>
  <c r="G212" i="30"/>
  <c r="F1373" i="30"/>
  <c r="G1372" i="30"/>
  <c r="F214" i="30" l="1"/>
  <c r="G213" i="30"/>
  <c r="F1374" i="30"/>
  <c r="G1373" i="30"/>
  <c r="F215" i="30" l="1"/>
  <c r="G214" i="30"/>
  <c r="F1375" i="30"/>
  <c r="G1374" i="30"/>
  <c r="F216" i="30" l="1"/>
  <c r="G215" i="30"/>
  <c r="F1376" i="30"/>
  <c r="G1375" i="30"/>
  <c r="F217" i="30" l="1"/>
  <c r="G216" i="30"/>
  <c r="F1377" i="30"/>
  <c r="G1376" i="30"/>
  <c r="F218" i="30" l="1"/>
  <c r="G217" i="30"/>
  <c r="F1378" i="30"/>
  <c r="G1377" i="30"/>
  <c r="F219" i="30" l="1"/>
  <c r="G218" i="30"/>
  <c r="F1379" i="30"/>
  <c r="G1378" i="30"/>
  <c r="F220" i="30" l="1"/>
  <c r="G219" i="30"/>
  <c r="F1380" i="30"/>
  <c r="G1379" i="30"/>
  <c r="F221" i="30" l="1"/>
  <c r="G220" i="30"/>
  <c r="F1381" i="30"/>
  <c r="G1380" i="30"/>
  <c r="F222" i="30" l="1"/>
  <c r="G221" i="30"/>
  <c r="F1382" i="30"/>
  <c r="G1381" i="30"/>
  <c r="F223" i="30" l="1"/>
  <c r="G222" i="30"/>
  <c r="F1383" i="30"/>
  <c r="G1382" i="30"/>
  <c r="F224" i="30" l="1"/>
  <c r="G223" i="30"/>
  <c r="F1384" i="30"/>
  <c r="G1383" i="30"/>
  <c r="F225" i="30" l="1"/>
  <c r="G224" i="30"/>
  <c r="F1385" i="30"/>
  <c r="G1384" i="30"/>
  <c r="F226" i="30" l="1"/>
  <c r="G225" i="30"/>
  <c r="F1386" i="30"/>
  <c r="G1385" i="30"/>
  <c r="F227" i="30" l="1"/>
  <c r="G226" i="30"/>
  <c r="F1387" i="30"/>
  <c r="G1386" i="30"/>
  <c r="F228" i="30" l="1"/>
  <c r="G227" i="30"/>
  <c r="F1388" i="30"/>
  <c r="G1387" i="30"/>
  <c r="F229" i="30" l="1"/>
  <c r="G228" i="30"/>
  <c r="F1389" i="30"/>
  <c r="G1388" i="30"/>
  <c r="F230" i="30" l="1"/>
  <c r="G229" i="30"/>
  <c r="F1390" i="30"/>
  <c r="G1389" i="30"/>
  <c r="F231" i="30" l="1"/>
  <c r="G230" i="30"/>
  <c r="F1391" i="30"/>
  <c r="G1390" i="30"/>
  <c r="F232" i="30" l="1"/>
  <c r="G231" i="30"/>
  <c r="F1392" i="30"/>
  <c r="G1391" i="30"/>
  <c r="F233" i="30" l="1"/>
  <c r="G232" i="30"/>
  <c r="F1393" i="30"/>
  <c r="G1392" i="30"/>
  <c r="F234" i="30" l="1"/>
  <c r="G233" i="30"/>
  <c r="F1394" i="30"/>
  <c r="G1393" i="30"/>
  <c r="F235" i="30" l="1"/>
  <c r="G234" i="30"/>
  <c r="F1395" i="30"/>
  <c r="G1394" i="30"/>
  <c r="F236" i="30" l="1"/>
  <c r="G235" i="30"/>
  <c r="F1396" i="30"/>
  <c r="G1395" i="30"/>
  <c r="F237" i="30" l="1"/>
  <c r="G236" i="30"/>
  <c r="F1397" i="30"/>
  <c r="G1396" i="30"/>
  <c r="G237" i="30" l="1"/>
  <c r="F238" i="30"/>
  <c r="F1398" i="30"/>
  <c r="G1397" i="30"/>
  <c r="F239" i="30" l="1"/>
  <c r="G238" i="30"/>
  <c r="F1399" i="30"/>
  <c r="G1398" i="30"/>
  <c r="F240" i="30" l="1"/>
  <c r="G239" i="30"/>
  <c r="F1400" i="30"/>
  <c r="G1399" i="30"/>
  <c r="G240" i="30" l="1"/>
  <c r="F241" i="30"/>
  <c r="F1401" i="30"/>
  <c r="G1400" i="30"/>
  <c r="G241" i="30" l="1"/>
  <c r="F242" i="30"/>
  <c r="F1402" i="30"/>
  <c r="G1401" i="30"/>
  <c r="G242" i="30" l="1"/>
  <c r="F243" i="30"/>
  <c r="F1403" i="30"/>
  <c r="G1402" i="30"/>
  <c r="F244" i="30" l="1"/>
  <c r="G243" i="30"/>
  <c r="F1404" i="30"/>
  <c r="G1403" i="30"/>
  <c r="G244" i="30" l="1"/>
  <c r="F245" i="30"/>
  <c r="F1405" i="30"/>
  <c r="G1404" i="30"/>
  <c r="F246" i="30" l="1"/>
  <c r="G245" i="30"/>
  <c r="F1406" i="30"/>
  <c r="G1405" i="30"/>
  <c r="G246" i="30" l="1"/>
  <c r="F247" i="30"/>
  <c r="F1407" i="30"/>
  <c r="G1406" i="30"/>
  <c r="G247" i="30" l="1"/>
  <c r="F248" i="30"/>
  <c r="F1408" i="30"/>
  <c r="G1407" i="30"/>
  <c r="F249" i="30" l="1"/>
  <c r="G248" i="30"/>
  <c r="F1409" i="30"/>
  <c r="G1408" i="30"/>
  <c r="F250" i="30" l="1"/>
  <c r="G249" i="30"/>
  <c r="F1410" i="30"/>
  <c r="G1409" i="30"/>
  <c r="F251" i="30" l="1"/>
  <c r="G250" i="30"/>
  <c r="F1411" i="30"/>
  <c r="G1410" i="30"/>
  <c r="F252" i="30" l="1"/>
  <c r="G251" i="30"/>
  <c r="F1412" i="30"/>
  <c r="G1411" i="30"/>
  <c r="G252" i="30" l="1"/>
  <c r="F253" i="30"/>
  <c r="F1413" i="30"/>
  <c r="G1412" i="30"/>
  <c r="G253" i="30" l="1"/>
  <c r="F254" i="30"/>
  <c r="F1414" i="30"/>
  <c r="G1413" i="30"/>
  <c r="F255" i="30" l="1"/>
  <c r="G254" i="30"/>
  <c r="F1415" i="30"/>
  <c r="G1414" i="30"/>
  <c r="F256" i="30" l="1"/>
  <c r="G255" i="30"/>
  <c r="F1416" i="30"/>
  <c r="G1415" i="30"/>
  <c r="F257" i="30" l="1"/>
  <c r="G256" i="30"/>
  <c r="F1417" i="30"/>
  <c r="G1416" i="30"/>
  <c r="F258" i="30" l="1"/>
  <c r="G257" i="30"/>
  <c r="F1418" i="30"/>
  <c r="G1417" i="30"/>
  <c r="G258" i="30" l="1"/>
  <c r="F259" i="30"/>
  <c r="F1419" i="30"/>
  <c r="G1418" i="30"/>
  <c r="F260" i="30" l="1"/>
  <c r="G259" i="30"/>
  <c r="F1420" i="30"/>
  <c r="G1419" i="30"/>
  <c r="G260" i="30" l="1"/>
  <c r="F261" i="30"/>
  <c r="F1421" i="30"/>
  <c r="G1420" i="30"/>
  <c r="F262" i="30" l="1"/>
  <c r="G261" i="30"/>
  <c r="F1422" i="30"/>
  <c r="G1421" i="30"/>
  <c r="F263" i="30" l="1"/>
  <c r="G262" i="30"/>
  <c r="F1423" i="30"/>
  <c r="G1422" i="30"/>
  <c r="F264" i="30" l="1"/>
  <c r="G263" i="30"/>
  <c r="F1424" i="30"/>
  <c r="G1423" i="30"/>
  <c r="F265" i="30" l="1"/>
  <c r="G264" i="30"/>
  <c r="F1425" i="30"/>
  <c r="G1424" i="30"/>
  <c r="F266" i="30" l="1"/>
  <c r="G265" i="30"/>
  <c r="F1426" i="30"/>
  <c r="G1425" i="30"/>
  <c r="F267" i="30" l="1"/>
  <c r="G266" i="30"/>
  <c r="F1427" i="30"/>
  <c r="G1426" i="30"/>
  <c r="F268" i="30" l="1"/>
  <c r="G267" i="30"/>
  <c r="F1428" i="30"/>
  <c r="G1427" i="30"/>
  <c r="G268" i="30" l="1"/>
  <c r="F269" i="30"/>
  <c r="F1429" i="30"/>
  <c r="G1428" i="30"/>
  <c r="G269" i="30" l="1"/>
  <c r="F270" i="30"/>
  <c r="F1430" i="30"/>
  <c r="G1429" i="30"/>
  <c r="G270" i="30" l="1"/>
  <c r="F271" i="30"/>
  <c r="F1431" i="30"/>
  <c r="G1430" i="30"/>
  <c r="F272" i="30" l="1"/>
  <c r="G271" i="30"/>
  <c r="F1432" i="30"/>
  <c r="G1431" i="30"/>
  <c r="F273" i="30" l="1"/>
  <c r="G272" i="30"/>
  <c r="F1433" i="30"/>
  <c r="G1432" i="30"/>
  <c r="F274" i="30" l="1"/>
  <c r="G273" i="30"/>
  <c r="F1434" i="30"/>
  <c r="G1433" i="30"/>
  <c r="F275" i="30" l="1"/>
  <c r="G274" i="30"/>
  <c r="F1435" i="30"/>
  <c r="G1434" i="30"/>
  <c r="G275" i="30" l="1"/>
  <c r="F276" i="30"/>
  <c r="F1436" i="30"/>
  <c r="G1435" i="30"/>
  <c r="F277" i="30" l="1"/>
  <c r="G276" i="30"/>
  <c r="F1437" i="30"/>
  <c r="G1436" i="30"/>
  <c r="F278" i="30" l="1"/>
  <c r="G277" i="30"/>
  <c r="F1438" i="30"/>
  <c r="G1437" i="30"/>
  <c r="F279" i="30" l="1"/>
  <c r="G278" i="30"/>
  <c r="F1439" i="30"/>
  <c r="G1438" i="30"/>
  <c r="F280" i="30" l="1"/>
  <c r="G279" i="30"/>
  <c r="F1440" i="30"/>
  <c r="G1439" i="30"/>
  <c r="F281" i="30" l="1"/>
  <c r="G280" i="30"/>
  <c r="F1441" i="30"/>
  <c r="G1440" i="30"/>
  <c r="F282" i="30" l="1"/>
  <c r="G281" i="30"/>
  <c r="F1442" i="30"/>
  <c r="G1441" i="30"/>
  <c r="F283" i="30" l="1"/>
  <c r="G282" i="30"/>
  <c r="F1443" i="30"/>
  <c r="G1442" i="30"/>
  <c r="F284" i="30" l="1"/>
  <c r="G283" i="30"/>
  <c r="F1444" i="30"/>
  <c r="G1443" i="30"/>
  <c r="F285" i="30" l="1"/>
  <c r="G284" i="30"/>
  <c r="F1445" i="30"/>
  <c r="G1444" i="30"/>
  <c r="F286" i="30" l="1"/>
  <c r="G285" i="30"/>
  <c r="F1446" i="30"/>
  <c r="G1445" i="30"/>
  <c r="F287" i="30" l="1"/>
  <c r="G286" i="30"/>
  <c r="F1447" i="30"/>
  <c r="G1446" i="30"/>
  <c r="F288" i="30" l="1"/>
  <c r="G287" i="30"/>
  <c r="F1448" i="30"/>
  <c r="G1447" i="30"/>
  <c r="F289" i="30" l="1"/>
  <c r="G288" i="30"/>
  <c r="F1449" i="30"/>
  <c r="G1448" i="30"/>
  <c r="F290" i="30" l="1"/>
  <c r="G289" i="30"/>
  <c r="F1450" i="30"/>
  <c r="G1449" i="30"/>
  <c r="F291" i="30" l="1"/>
  <c r="G290" i="30"/>
  <c r="F1451" i="30"/>
  <c r="G1450" i="30"/>
  <c r="F292" i="30" l="1"/>
  <c r="G291" i="30"/>
  <c r="F1452" i="30"/>
  <c r="G1451" i="30"/>
  <c r="F293" i="30" l="1"/>
  <c r="G292" i="30"/>
  <c r="F1453" i="30"/>
  <c r="G1452" i="30"/>
  <c r="F294" i="30" l="1"/>
  <c r="G293" i="30"/>
  <c r="F1454" i="30"/>
  <c r="G1453" i="30"/>
  <c r="G294" i="30" l="1"/>
  <c r="F295" i="30"/>
  <c r="F1455" i="30"/>
  <c r="G1454" i="30"/>
  <c r="F296" i="30" l="1"/>
  <c r="G295" i="30"/>
  <c r="F1456" i="30"/>
  <c r="G1455" i="30"/>
  <c r="F297" i="30" l="1"/>
  <c r="G296" i="30"/>
  <c r="F1457" i="30"/>
  <c r="G1456" i="30"/>
  <c r="F298" i="30" l="1"/>
  <c r="G297" i="30"/>
  <c r="F1458" i="30"/>
  <c r="G1457" i="30"/>
  <c r="F299" i="30" l="1"/>
  <c r="G298" i="30"/>
  <c r="F1459" i="30"/>
  <c r="G1458" i="30"/>
  <c r="F300" i="30" l="1"/>
  <c r="G299" i="30"/>
  <c r="F1460" i="30"/>
  <c r="G1459" i="30"/>
  <c r="F301" i="30" l="1"/>
  <c r="G300" i="30"/>
  <c r="F1461" i="30"/>
  <c r="G1460" i="30"/>
  <c r="F302" i="30" l="1"/>
  <c r="G301" i="30"/>
  <c r="F1462" i="30"/>
  <c r="G1461" i="30"/>
  <c r="F303" i="30" l="1"/>
  <c r="G302" i="30"/>
  <c r="F1463" i="30"/>
  <c r="G1462" i="30"/>
  <c r="F304" i="30" l="1"/>
  <c r="G303" i="30"/>
  <c r="F1464" i="30"/>
  <c r="G1463" i="30"/>
  <c r="F305" i="30" l="1"/>
  <c r="G304" i="30"/>
  <c r="F1465" i="30"/>
  <c r="G1464" i="30"/>
  <c r="F306" i="30" l="1"/>
  <c r="G305" i="30"/>
  <c r="F1466" i="30"/>
  <c r="G1465" i="30"/>
  <c r="F307" i="30" l="1"/>
  <c r="G306" i="30"/>
  <c r="F1467" i="30"/>
  <c r="G1466" i="30"/>
  <c r="F308" i="30" l="1"/>
  <c r="G307" i="30"/>
  <c r="F1468" i="30"/>
  <c r="G1467" i="30"/>
  <c r="F309" i="30" l="1"/>
  <c r="G308" i="30"/>
  <c r="F1469" i="30"/>
  <c r="G1468" i="30"/>
  <c r="F310" i="30" l="1"/>
  <c r="G309" i="30"/>
  <c r="F1470" i="30"/>
  <c r="G1469" i="30"/>
  <c r="F311" i="30" l="1"/>
  <c r="G310" i="30"/>
  <c r="F1471" i="30"/>
  <c r="G1470" i="30"/>
  <c r="F312" i="30" l="1"/>
  <c r="G311" i="30"/>
  <c r="F1472" i="30"/>
  <c r="G1471" i="30"/>
  <c r="F313" i="30" l="1"/>
  <c r="G312" i="30"/>
  <c r="F1473" i="30"/>
  <c r="G1472" i="30"/>
  <c r="F314" i="30" l="1"/>
  <c r="G313" i="30"/>
  <c r="F1474" i="30"/>
  <c r="G1473" i="30"/>
  <c r="F315" i="30" l="1"/>
  <c r="G314" i="30"/>
  <c r="F1475" i="30"/>
  <c r="G1474" i="30"/>
  <c r="F316" i="30" l="1"/>
  <c r="G315" i="30"/>
  <c r="F1476" i="30"/>
  <c r="G1475" i="30"/>
  <c r="F317" i="30" l="1"/>
  <c r="G316" i="30"/>
  <c r="F1477" i="30"/>
  <c r="G1476" i="30"/>
  <c r="F318" i="30" l="1"/>
  <c r="G317" i="30"/>
  <c r="F1478" i="30"/>
  <c r="G1477" i="30"/>
  <c r="F319" i="30" l="1"/>
  <c r="G318" i="30"/>
  <c r="F1479" i="30"/>
  <c r="G1478" i="30"/>
  <c r="F320" i="30" l="1"/>
  <c r="G319" i="30"/>
  <c r="F1480" i="30"/>
  <c r="G1479" i="30"/>
  <c r="F321" i="30" l="1"/>
  <c r="G320" i="30"/>
  <c r="F1481" i="30"/>
  <c r="G1480" i="30"/>
  <c r="F322" i="30" l="1"/>
  <c r="G321" i="30"/>
  <c r="F1482" i="30"/>
  <c r="G1481" i="30"/>
  <c r="F323" i="30" l="1"/>
  <c r="G322" i="30"/>
  <c r="F1483" i="30"/>
  <c r="G1482" i="30"/>
  <c r="F324" i="30" l="1"/>
  <c r="G323" i="30"/>
  <c r="F1484" i="30"/>
  <c r="G1483" i="30"/>
  <c r="F325" i="30" l="1"/>
  <c r="G324" i="30"/>
  <c r="F1485" i="30"/>
  <c r="G1484" i="30"/>
  <c r="F326" i="30" l="1"/>
  <c r="G325" i="30"/>
  <c r="F1486" i="30"/>
  <c r="G1485" i="30"/>
  <c r="F327" i="30" l="1"/>
  <c r="G326" i="30"/>
  <c r="F1487" i="30"/>
  <c r="G1486" i="30"/>
  <c r="F328" i="30" l="1"/>
  <c r="G327" i="30"/>
  <c r="F1488" i="30"/>
  <c r="G1487" i="30"/>
  <c r="F329" i="30" l="1"/>
  <c r="G328" i="30"/>
  <c r="F1489" i="30"/>
  <c r="G1488" i="30"/>
  <c r="F330" i="30" l="1"/>
  <c r="G329" i="30"/>
  <c r="F1490" i="30"/>
  <c r="G1489" i="30"/>
  <c r="G330" i="30" l="1"/>
  <c r="F331" i="30"/>
  <c r="F1491" i="30"/>
  <c r="G1490" i="30"/>
  <c r="F332" i="30" l="1"/>
  <c r="G331" i="30"/>
  <c r="F1492" i="30"/>
  <c r="G1491" i="30"/>
  <c r="F333" i="30" l="1"/>
  <c r="G332" i="30"/>
  <c r="F1493" i="30"/>
  <c r="G1492" i="30"/>
  <c r="G333" i="30" l="1"/>
  <c r="F334" i="30"/>
  <c r="F1494" i="30"/>
  <c r="G1493" i="30"/>
  <c r="F335" i="30" l="1"/>
  <c r="G334" i="30"/>
  <c r="F1495" i="30"/>
  <c r="G1494" i="30"/>
  <c r="G335" i="30" l="1"/>
  <c r="F336" i="30"/>
  <c r="F1496" i="30"/>
  <c r="G1495" i="30"/>
  <c r="G336" i="30" l="1"/>
  <c r="F337" i="30"/>
  <c r="F1497" i="30"/>
  <c r="G1496" i="30"/>
  <c r="F338" i="30" l="1"/>
  <c r="G337" i="30"/>
  <c r="F1498" i="30"/>
  <c r="G1497" i="30"/>
  <c r="F339" i="30" l="1"/>
  <c r="G338" i="30"/>
  <c r="F1499" i="30"/>
  <c r="G1498" i="30"/>
  <c r="G339" i="30" l="1"/>
  <c r="F340" i="30"/>
  <c r="F1500" i="30"/>
  <c r="G1499" i="30"/>
  <c r="G340" i="30" l="1"/>
  <c r="F341" i="30"/>
  <c r="F1501" i="30"/>
  <c r="G1500" i="30"/>
  <c r="G341" i="30" l="1"/>
  <c r="F342" i="30"/>
  <c r="F1502" i="30"/>
  <c r="G1501" i="30"/>
  <c r="G342" i="30" l="1"/>
  <c r="F343" i="30"/>
  <c r="F1503" i="30"/>
  <c r="G1502" i="30"/>
  <c r="G343" i="30" l="1"/>
  <c r="F344" i="30"/>
  <c r="F1504" i="30"/>
  <c r="G1503" i="30"/>
  <c r="G344" i="30" l="1"/>
  <c r="F345" i="30"/>
  <c r="F1505" i="30"/>
  <c r="G1504" i="30"/>
  <c r="F346" i="30" l="1"/>
  <c r="G345" i="30"/>
  <c r="F1506" i="30"/>
  <c r="G1505" i="30"/>
  <c r="F347" i="30" l="1"/>
  <c r="G346" i="30"/>
  <c r="F1507" i="30"/>
  <c r="G1506" i="30"/>
  <c r="F348" i="30" l="1"/>
  <c r="G347" i="30"/>
  <c r="F1508" i="30"/>
  <c r="G1507" i="30"/>
  <c r="F349" i="30" l="1"/>
  <c r="G348" i="30"/>
  <c r="F1509" i="30"/>
  <c r="G1508" i="30"/>
  <c r="G349" i="30" l="1"/>
  <c r="F350" i="30"/>
  <c r="F1510" i="30"/>
  <c r="G1509" i="30"/>
  <c r="G350" i="30" l="1"/>
  <c r="F351" i="30"/>
  <c r="F1511" i="30"/>
  <c r="G1510" i="30"/>
  <c r="F352" i="30" l="1"/>
  <c r="G351" i="30"/>
  <c r="F1512" i="30"/>
  <c r="G1511" i="30"/>
  <c r="G352" i="30" l="1"/>
  <c r="F353" i="30"/>
  <c r="F1513" i="30"/>
  <c r="G1512" i="30"/>
  <c r="F354" i="30" l="1"/>
  <c r="G353" i="30"/>
  <c r="F1514" i="30"/>
  <c r="G1513" i="30"/>
  <c r="F355" i="30" l="1"/>
  <c r="G354" i="30"/>
  <c r="F1515" i="30"/>
  <c r="G1514" i="30"/>
  <c r="F356" i="30" l="1"/>
  <c r="G355" i="30"/>
  <c r="F1516" i="30"/>
  <c r="G1515" i="30"/>
  <c r="F357" i="30" l="1"/>
  <c r="G356" i="30"/>
  <c r="F1517" i="30"/>
  <c r="G1516" i="30"/>
  <c r="F358" i="30" l="1"/>
  <c r="G357" i="30"/>
  <c r="F1518" i="30"/>
  <c r="G1517" i="30"/>
  <c r="G358" i="30" l="1"/>
  <c r="F359" i="30"/>
  <c r="F1519" i="30"/>
  <c r="G1518" i="30"/>
  <c r="F360" i="30" l="1"/>
  <c r="G359" i="30"/>
  <c r="F1520" i="30"/>
  <c r="G1519" i="30"/>
  <c r="G360" i="30" l="1"/>
  <c r="F361" i="30"/>
  <c r="F1521" i="30"/>
  <c r="G1520" i="30"/>
  <c r="F362" i="30" l="1"/>
  <c r="G361" i="30"/>
  <c r="F1522" i="30"/>
  <c r="G1521" i="30"/>
  <c r="F363" i="30" l="1"/>
  <c r="G362" i="30"/>
  <c r="F1523" i="30"/>
  <c r="G1522" i="30"/>
  <c r="G363" i="30" l="1"/>
  <c r="F364" i="30"/>
  <c r="F1524" i="30"/>
  <c r="G1523" i="30"/>
  <c r="F365" i="30" l="1"/>
  <c r="G365" i="30" s="1"/>
  <c r="G364" i="30"/>
  <c r="F1525" i="30"/>
  <c r="G1524" i="30"/>
  <c r="F1526" i="30" l="1"/>
  <c r="G1525" i="30"/>
  <c r="F1527" i="30" l="1"/>
  <c r="G1526" i="30"/>
  <c r="F1528" i="30" l="1"/>
  <c r="G1527" i="30"/>
  <c r="F1529" i="30" l="1"/>
  <c r="G1528" i="30"/>
  <c r="F1530" i="30" l="1"/>
  <c r="G1529" i="30"/>
  <c r="F1531" i="30" l="1"/>
  <c r="G1530" i="30"/>
  <c r="F1533" i="30" l="1"/>
  <c r="G1531" i="30"/>
  <c r="F1534" i="30" l="1"/>
  <c r="G1533" i="30"/>
  <c r="F1535" i="30" l="1"/>
  <c r="G1534" i="30"/>
  <c r="F1536" i="30" l="1"/>
  <c r="G1535" i="30"/>
  <c r="F1537" i="30" l="1"/>
  <c r="G1536" i="30"/>
  <c r="F1538" i="30" l="1"/>
  <c r="G1537" i="30"/>
  <c r="F1539" i="30" l="1"/>
  <c r="G1538" i="30"/>
  <c r="F1540" i="30" l="1"/>
  <c r="G1539" i="30"/>
  <c r="F1541" i="30" l="1"/>
  <c r="G1540" i="30"/>
  <c r="F1542" i="30" l="1"/>
  <c r="G1541" i="30"/>
  <c r="F1543" i="30" l="1"/>
  <c r="G1542" i="30"/>
  <c r="F1544" i="30" l="1"/>
  <c r="G1543" i="30"/>
  <c r="F1545" i="30" l="1"/>
  <c r="G1544" i="30"/>
  <c r="F1546" i="30" l="1"/>
  <c r="G1545" i="30"/>
  <c r="F1547" i="30" l="1"/>
  <c r="G1546" i="30"/>
  <c r="F1548" i="30" l="1"/>
  <c r="G1547" i="30"/>
  <c r="F1549" i="30" l="1"/>
  <c r="G1548" i="30"/>
  <c r="F1550" i="30" l="1"/>
  <c r="G1549" i="30"/>
  <c r="F1551" i="30" l="1"/>
  <c r="G1550" i="30"/>
  <c r="F1552" i="30" l="1"/>
  <c r="G1551" i="30"/>
  <c r="F1553" i="30" l="1"/>
  <c r="G1552" i="30"/>
  <c r="F1554" i="30" l="1"/>
  <c r="G1553" i="30"/>
  <c r="F1555" i="30" l="1"/>
  <c r="G1554" i="30"/>
  <c r="F1556" i="30" l="1"/>
  <c r="G1555" i="30"/>
  <c r="F1557" i="30" l="1"/>
  <c r="G1556" i="30"/>
  <c r="F1558" i="30" l="1"/>
  <c r="G1557" i="30"/>
  <c r="F1559" i="30" l="1"/>
  <c r="G1558" i="30"/>
  <c r="F1560" i="30" l="1"/>
  <c r="G1559" i="30"/>
  <c r="F1561" i="30" l="1"/>
  <c r="G1560" i="30"/>
  <c r="F1562" i="30" l="1"/>
  <c r="G1561" i="30"/>
  <c r="F1563" i="30" l="1"/>
  <c r="G1562" i="30"/>
  <c r="F1564" i="30" l="1"/>
  <c r="G1563" i="30"/>
  <c r="F1565" i="30" l="1"/>
  <c r="G1564" i="30"/>
  <c r="F1566" i="30" l="1"/>
  <c r="G1565" i="30"/>
  <c r="F1567" i="30" l="1"/>
  <c r="G1566" i="30"/>
  <c r="F1568" i="30" l="1"/>
  <c r="G1567" i="30"/>
  <c r="F1569" i="30" l="1"/>
  <c r="G1568" i="30"/>
  <c r="F1570" i="30" l="1"/>
  <c r="G1569" i="30"/>
  <c r="F1571" i="30" l="1"/>
  <c r="G1570" i="30"/>
  <c r="F1572" i="30" l="1"/>
  <c r="G1571" i="30"/>
  <c r="F1573" i="30" l="1"/>
  <c r="G1572" i="30"/>
  <c r="F1574" i="30" l="1"/>
  <c r="G1573" i="30"/>
  <c r="F1575" i="30" l="1"/>
  <c r="G1574" i="30"/>
  <c r="F1576" i="30" l="1"/>
  <c r="G1575" i="30"/>
  <c r="F1577" i="30" l="1"/>
  <c r="G1576" i="30"/>
  <c r="F1578" i="30" l="1"/>
  <c r="G1577" i="30"/>
  <c r="F1579" i="30" l="1"/>
  <c r="G1578" i="30"/>
  <c r="F1580" i="30" l="1"/>
  <c r="G1579" i="30"/>
  <c r="F1581" i="30" l="1"/>
  <c r="G1580" i="30"/>
  <c r="F1582" i="30" l="1"/>
  <c r="G1581" i="30"/>
  <c r="F1583" i="30" l="1"/>
  <c r="G1582" i="30"/>
  <c r="F1584" i="30" l="1"/>
  <c r="G1583" i="30"/>
  <c r="F1585" i="30" l="1"/>
  <c r="G1584" i="30"/>
  <c r="F1586" i="30" l="1"/>
  <c r="G1585" i="30"/>
  <c r="F1587" i="30" l="1"/>
  <c r="G1586" i="30"/>
  <c r="F1588" i="30" l="1"/>
  <c r="G1587" i="30"/>
  <c r="F1589" i="30" l="1"/>
  <c r="G1588" i="30"/>
  <c r="F1590" i="30" l="1"/>
  <c r="G1589" i="30"/>
  <c r="F1591" i="30" l="1"/>
  <c r="G1590" i="30"/>
  <c r="F1592" i="30" l="1"/>
  <c r="G1591" i="30"/>
  <c r="F1593" i="30" l="1"/>
  <c r="G1592" i="30"/>
  <c r="F1594" i="30" l="1"/>
  <c r="G1593" i="30"/>
  <c r="F1595" i="30" l="1"/>
  <c r="G1594" i="30"/>
  <c r="F1596" i="30" l="1"/>
  <c r="G1595" i="30"/>
  <c r="F1597" i="30" l="1"/>
  <c r="G1596" i="30"/>
  <c r="F1598" i="30" l="1"/>
  <c r="G1597" i="30"/>
  <c r="F1599" i="30" l="1"/>
  <c r="G1598" i="30"/>
  <c r="F1600" i="30" l="1"/>
  <c r="G1599" i="30"/>
  <c r="F1601" i="30" l="1"/>
  <c r="G1600" i="30"/>
  <c r="F1602" i="30" l="1"/>
  <c r="G1601" i="30"/>
  <c r="F1603" i="30" l="1"/>
  <c r="G1602" i="30"/>
  <c r="F1604" i="30" l="1"/>
  <c r="G1603" i="30"/>
  <c r="F1605" i="30" l="1"/>
  <c r="G1604" i="30"/>
  <c r="F1606" i="30" l="1"/>
  <c r="G1605" i="30"/>
  <c r="F1607" i="30" l="1"/>
  <c r="G1606" i="30"/>
  <c r="F1608" i="30" l="1"/>
  <c r="G1607" i="30"/>
  <c r="F1609" i="30" l="1"/>
  <c r="G1608" i="30"/>
  <c r="F1610" i="30" l="1"/>
  <c r="G1609" i="30"/>
  <c r="F1611" i="30" l="1"/>
  <c r="G1610" i="30"/>
  <c r="F1612" i="30" l="1"/>
  <c r="G1611" i="30"/>
  <c r="F1613" i="30" l="1"/>
  <c r="G1612" i="30"/>
  <c r="F1614" i="30" l="1"/>
  <c r="G1613" i="30"/>
  <c r="F1615" i="30" l="1"/>
  <c r="G1614" i="30"/>
  <c r="F1616" i="30" l="1"/>
  <c r="G1615" i="30"/>
  <c r="F1617" i="30" l="1"/>
  <c r="G1616" i="30"/>
  <c r="F1618" i="30" l="1"/>
  <c r="G1617" i="30"/>
  <c r="F1619" i="30" l="1"/>
  <c r="G1618" i="30"/>
  <c r="F1620" i="30" l="1"/>
  <c r="G1619" i="30"/>
  <c r="F1621" i="30" l="1"/>
  <c r="G1620" i="30"/>
  <c r="F1622" i="30" l="1"/>
  <c r="G1621" i="30"/>
  <c r="F1623" i="30" l="1"/>
  <c r="G1622" i="30"/>
  <c r="F1624" i="30" l="1"/>
  <c r="G1623" i="30"/>
  <c r="F1625" i="30" l="1"/>
  <c r="G1624" i="30"/>
  <c r="F1626" i="30" l="1"/>
  <c r="G1625" i="30"/>
  <c r="F1627" i="30" l="1"/>
  <c r="G1626" i="30"/>
  <c r="F1628" i="30" l="1"/>
  <c r="G1627" i="30"/>
  <c r="F1629" i="30" l="1"/>
  <c r="G1628" i="30"/>
  <c r="F1630" i="30" l="1"/>
  <c r="G1629" i="30"/>
  <c r="F1631" i="30" l="1"/>
  <c r="G1630" i="30"/>
  <c r="F1632" i="30" l="1"/>
  <c r="G1631" i="30"/>
  <c r="F1633" i="30" l="1"/>
  <c r="G1632" i="30"/>
  <c r="F1634" i="30" l="1"/>
  <c r="G1633" i="30"/>
  <c r="F1635" i="30" l="1"/>
  <c r="G1634" i="30"/>
  <c r="F1636" i="30" l="1"/>
  <c r="G1635" i="30"/>
  <c r="F1637" i="30" l="1"/>
  <c r="G1636" i="30"/>
  <c r="F1638" i="30" l="1"/>
  <c r="G1637" i="30"/>
  <c r="F1639" i="30" l="1"/>
  <c r="G1638" i="30"/>
  <c r="F1640" i="30" l="1"/>
  <c r="G1639" i="30"/>
  <c r="F1641" i="30" l="1"/>
  <c r="G1640" i="30"/>
  <c r="F1642" i="30" l="1"/>
  <c r="G1641" i="30"/>
  <c r="F1643" i="30" l="1"/>
  <c r="G1642" i="30"/>
  <c r="F1644" i="30" l="1"/>
  <c r="G1643" i="30"/>
  <c r="F1645" i="30" l="1"/>
  <c r="G1644" i="30"/>
  <c r="F1646" i="30" l="1"/>
  <c r="G1645" i="30"/>
  <c r="F1647" i="30" l="1"/>
  <c r="G1646" i="30"/>
  <c r="F1648" i="30" l="1"/>
  <c r="G1647" i="30"/>
  <c r="F1649" i="30" l="1"/>
  <c r="G1648" i="30"/>
  <c r="F1650" i="30" l="1"/>
  <c r="G1649" i="30"/>
  <c r="F1651" i="30" l="1"/>
  <c r="G1650" i="30"/>
  <c r="F1652" i="30" l="1"/>
  <c r="G1651" i="30"/>
  <c r="F1653" i="30" l="1"/>
  <c r="G1652" i="30"/>
  <c r="F1654" i="30" l="1"/>
  <c r="G1653" i="30"/>
  <c r="F1655" i="30" l="1"/>
  <c r="G1654" i="30"/>
  <c r="F1656" i="30" l="1"/>
  <c r="G1655" i="30"/>
  <c r="F1657" i="30" l="1"/>
  <c r="G1656" i="30"/>
  <c r="F1658" i="30" l="1"/>
  <c r="G1657" i="30"/>
  <c r="F1659" i="30" l="1"/>
  <c r="G1658" i="30"/>
  <c r="F1660" i="30" l="1"/>
  <c r="G1659" i="30"/>
  <c r="F1661" i="30" l="1"/>
  <c r="G1660" i="30"/>
  <c r="F1662" i="30" l="1"/>
  <c r="G1661" i="30"/>
  <c r="F1663" i="30" l="1"/>
  <c r="G1662" i="30"/>
  <c r="F1664" i="30" l="1"/>
  <c r="G1663" i="30"/>
  <c r="F1665" i="30" l="1"/>
  <c r="G1664" i="30"/>
  <c r="F1666" i="30" l="1"/>
  <c r="G1665" i="30"/>
  <c r="F1667" i="30" l="1"/>
  <c r="G1666" i="30"/>
  <c r="F1668" i="30" l="1"/>
  <c r="G1667" i="30"/>
  <c r="F1669" i="30" l="1"/>
  <c r="G1668" i="30"/>
  <c r="F1670" i="30" l="1"/>
  <c r="G1669" i="30"/>
  <c r="F1671" i="30" l="1"/>
  <c r="G1670" i="30"/>
  <c r="F1672" i="30" l="1"/>
  <c r="G1671" i="30"/>
  <c r="F1673" i="30" l="1"/>
  <c r="G1672" i="30"/>
  <c r="F1674" i="30" l="1"/>
  <c r="G1673" i="30"/>
  <c r="F1675" i="30" l="1"/>
  <c r="G1674" i="30"/>
  <c r="F1676" i="30" l="1"/>
  <c r="G1675" i="30"/>
  <c r="F1677" i="30" l="1"/>
  <c r="G1676" i="30"/>
  <c r="F1678" i="30" l="1"/>
  <c r="G1677" i="30"/>
  <c r="F1679" i="30" l="1"/>
  <c r="G1678" i="30"/>
  <c r="F1680" i="30" l="1"/>
  <c r="G1679" i="30"/>
  <c r="F1681" i="30" l="1"/>
  <c r="G1680" i="30"/>
  <c r="F1682" i="30" l="1"/>
  <c r="G1681" i="30"/>
  <c r="F1683" i="30" l="1"/>
  <c r="G1682" i="30"/>
  <c r="F1684" i="30" l="1"/>
  <c r="G1683" i="30"/>
  <c r="F1685" i="30" l="1"/>
  <c r="G1684" i="30"/>
  <c r="F1686" i="30" l="1"/>
  <c r="G1685" i="30"/>
  <c r="F1687" i="30" l="1"/>
  <c r="G1686" i="30"/>
  <c r="F1688" i="30" l="1"/>
  <c r="G1687" i="30"/>
  <c r="F1689" i="30" l="1"/>
  <c r="G1688" i="30"/>
  <c r="F1690" i="30" l="1"/>
  <c r="G1689" i="30"/>
  <c r="F1692" i="30" l="1"/>
  <c r="G1690" i="30"/>
  <c r="F1693" i="30" l="1"/>
  <c r="G1692" i="30"/>
  <c r="F1694" i="30" l="1"/>
  <c r="G1693" i="30"/>
  <c r="F1695" i="30" l="1"/>
  <c r="G1694" i="30"/>
  <c r="F1696" i="30" l="1"/>
  <c r="G1695" i="30"/>
  <c r="F1697" i="30" l="1"/>
  <c r="G1696" i="30"/>
  <c r="F1698" i="30" l="1"/>
  <c r="G1697" i="30"/>
  <c r="F1699" i="30" l="1"/>
  <c r="G1698" i="30"/>
  <c r="F1700" i="30" l="1"/>
  <c r="G1699" i="30"/>
  <c r="F1701" i="30" l="1"/>
  <c r="G1700" i="30"/>
  <c r="F1702" i="30" l="1"/>
  <c r="G1701" i="30"/>
  <c r="F1703" i="30" l="1"/>
  <c r="G1702" i="30"/>
  <c r="F1704" i="30" l="1"/>
  <c r="G1703" i="30"/>
  <c r="F1705" i="30" l="1"/>
  <c r="G1704" i="30"/>
  <c r="F1706" i="30" l="1"/>
  <c r="G1705" i="30"/>
  <c r="F1707" i="30" l="1"/>
  <c r="G1706" i="30"/>
  <c r="F1708" i="30" l="1"/>
  <c r="G1707" i="30"/>
  <c r="F1709" i="30" l="1"/>
  <c r="G1708" i="30"/>
  <c r="F1710" i="30" l="1"/>
  <c r="G1709" i="30"/>
  <c r="F1711" i="30" l="1"/>
  <c r="G1710" i="30"/>
  <c r="F1712" i="30" l="1"/>
  <c r="G1711" i="30"/>
  <c r="F1713" i="30" l="1"/>
  <c r="G1712" i="30"/>
  <c r="F1714" i="30" l="1"/>
  <c r="G1713" i="30"/>
  <c r="F1715" i="30" l="1"/>
  <c r="G1714" i="30"/>
  <c r="F1716" i="30" l="1"/>
  <c r="G1715" i="30"/>
  <c r="F1717" i="30" l="1"/>
  <c r="G1716" i="30"/>
  <c r="F1718" i="30" l="1"/>
  <c r="G1717" i="30"/>
  <c r="F1719" i="30" l="1"/>
  <c r="G1718" i="30"/>
  <c r="F1720" i="30" l="1"/>
  <c r="G1719" i="30"/>
  <c r="F1721" i="30" l="1"/>
  <c r="G1720" i="30"/>
  <c r="F1722" i="30" l="1"/>
  <c r="G1721" i="30"/>
  <c r="F1723" i="30" l="1"/>
  <c r="G1722" i="30"/>
  <c r="F1724" i="30" l="1"/>
  <c r="G1723" i="30"/>
  <c r="F1725" i="30" l="1"/>
  <c r="G1724" i="30"/>
  <c r="F1726" i="30" l="1"/>
  <c r="G1725" i="30"/>
  <c r="F1727" i="30" l="1"/>
  <c r="G1726" i="30"/>
  <c r="F1728" i="30" l="1"/>
  <c r="G1727" i="30"/>
  <c r="F1729" i="30" l="1"/>
  <c r="G1728" i="30"/>
  <c r="F1730" i="30" l="1"/>
  <c r="G1729" i="30"/>
  <c r="F1731" i="30" l="1"/>
  <c r="G1730" i="30"/>
  <c r="F1732" i="30" l="1"/>
  <c r="G1731" i="30"/>
  <c r="F1733" i="30" l="1"/>
  <c r="G1732" i="30"/>
  <c r="F1734" i="30" l="1"/>
  <c r="G1733" i="30"/>
  <c r="F1735" i="30" l="1"/>
  <c r="G1734" i="30"/>
  <c r="F1736" i="30" l="1"/>
  <c r="G1735" i="30"/>
  <c r="F1737" i="30" l="1"/>
  <c r="G1736" i="30"/>
  <c r="F1738" i="30" l="1"/>
  <c r="G1737" i="30"/>
  <c r="F1739" i="30" l="1"/>
  <c r="G1738" i="30"/>
  <c r="F1740" i="30" l="1"/>
  <c r="G1739" i="30"/>
  <c r="F1741" i="30" l="1"/>
  <c r="G1740" i="30"/>
  <c r="F1742" i="30" l="1"/>
  <c r="G1741" i="30"/>
  <c r="F1743" i="30" l="1"/>
  <c r="G1742" i="30"/>
  <c r="F1744" i="30" l="1"/>
  <c r="G1743" i="30"/>
  <c r="F1745" i="30" l="1"/>
  <c r="G1744" i="30"/>
  <c r="F1746" i="30" l="1"/>
  <c r="G1745" i="30"/>
  <c r="F1747" i="30" l="1"/>
  <c r="G1746" i="30"/>
  <c r="F1748" i="30" l="1"/>
  <c r="G1747" i="30"/>
  <c r="F1749" i="30" l="1"/>
  <c r="G1748" i="30"/>
  <c r="F1750" i="30" l="1"/>
  <c r="G1749" i="30"/>
  <c r="F1751" i="30" l="1"/>
  <c r="G1750" i="30"/>
  <c r="F1752" i="30" l="1"/>
  <c r="G1751" i="30"/>
  <c r="F1753" i="30" l="1"/>
  <c r="G1752" i="30"/>
  <c r="F1754" i="30" l="1"/>
  <c r="G1753" i="30"/>
  <c r="F1755" i="30" l="1"/>
  <c r="G1754" i="30"/>
  <c r="F1756" i="30" l="1"/>
  <c r="G1755" i="30"/>
  <c r="F1757" i="30" l="1"/>
  <c r="G1756" i="30"/>
  <c r="F1758" i="30" l="1"/>
  <c r="G1757" i="30"/>
  <c r="F1759" i="30" l="1"/>
  <c r="G1758" i="30"/>
  <c r="F1760" i="30" l="1"/>
  <c r="G1759" i="30"/>
  <c r="F1761" i="30" l="1"/>
  <c r="G1760" i="30"/>
  <c r="F1762" i="30" l="1"/>
  <c r="G1761" i="30"/>
  <c r="F1763" i="30" l="1"/>
  <c r="G1762" i="30"/>
  <c r="F1764" i="30" l="1"/>
  <c r="G1763" i="30"/>
  <c r="F1765" i="30" l="1"/>
  <c r="G1764" i="30"/>
  <c r="F1766" i="30" l="1"/>
  <c r="G1765" i="30"/>
  <c r="F1767" i="30" l="1"/>
  <c r="G1766" i="30"/>
  <c r="F1768" i="30" l="1"/>
  <c r="G1767" i="30"/>
  <c r="F1769" i="30" l="1"/>
  <c r="G1768" i="30"/>
  <c r="F1770" i="30" l="1"/>
  <c r="G1769" i="30"/>
  <c r="F1771" i="30" l="1"/>
  <c r="G1770" i="30"/>
  <c r="F1772" i="30" l="1"/>
  <c r="G1771" i="30"/>
  <c r="F1773" i="30" l="1"/>
  <c r="G1772" i="30"/>
  <c r="F1774" i="30" l="1"/>
  <c r="G1773" i="30"/>
  <c r="F1775" i="30" l="1"/>
  <c r="G1774" i="30"/>
  <c r="F1776" i="30" l="1"/>
  <c r="G1775" i="30"/>
  <c r="F1777" i="30" l="1"/>
  <c r="G1776" i="30"/>
  <c r="F1778" i="30" l="1"/>
  <c r="G1777" i="30"/>
  <c r="F1779" i="30" l="1"/>
  <c r="G1778" i="30"/>
  <c r="F1780" i="30" l="1"/>
  <c r="G1779" i="30"/>
  <c r="F1781" i="30" l="1"/>
  <c r="G1780" i="30"/>
  <c r="F1782" i="30" l="1"/>
  <c r="G1781" i="30"/>
  <c r="F1783" i="30" l="1"/>
  <c r="G1782" i="30"/>
  <c r="F1784" i="30" l="1"/>
  <c r="G1783" i="30"/>
  <c r="F1785" i="30" l="1"/>
  <c r="G1784" i="30"/>
  <c r="F1786" i="30" l="1"/>
  <c r="G1785" i="30"/>
  <c r="F1787" i="30" l="1"/>
  <c r="G1786" i="30"/>
  <c r="F1788" i="30" l="1"/>
  <c r="G1787" i="30"/>
  <c r="F1789" i="30" l="1"/>
  <c r="G1788" i="30"/>
  <c r="F1790" i="30" l="1"/>
  <c r="G1789" i="30"/>
  <c r="F1791" i="30" l="1"/>
  <c r="G1790" i="30"/>
  <c r="F1792" i="30" l="1"/>
  <c r="G1791" i="30"/>
  <c r="F1793" i="30" l="1"/>
  <c r="G1792" i="30"/>
  <c r="F1794" i="30" l="1"/>
  <c r="G1793" i="30"/>
  <c r="F1795" i="30" l="1"/>
  <c r="G1794" i="30"/>
  <c r="F1796" i="30" l="1"/>
  <c r="G1795" i="30"/>
  <c r="F1797" i="30" l="1"/>
  <c r="G1796" i="30"/>
  <c r="F1798" i="30" l="1"/>
  <c r="G1797" i="30"/>
  <c r="F1799" i="30" l="1"/>
  <c r="G1798" i="30"/>
  <c r="F1800" i="30" l="1"/>
  <c r="G1799" i="30"/>
  <c r="F1801" i="30" l="1"/>
  <c r="G1800" i="30"/>
  <c r="F1802" i="30" l="1"/>
  <c r="G1801" i="30"/>
  <c r="F1803" i="30" l="1"/>
  <c r="G1802" i="30"/>
  <c r="F1804" i="30" l="1"/>
  <c r="G1803" i="30"/>
  <c r="F1805" i="30" l="1"/>
  <c r="G1804" i="30"/>
  <c r="F1806" i="30" l="1"/>
  <c r="G1805" i="30"/>
  <c r="F1807" i="30" l="1"/>
  <c r="G1806" i="30"/>
  <c r="F1808" i="30" l="1"/>
  <c r="G1807" i="30"/>
  <c r="F1809" i="30" l="1"/>
  <c r="G1808" i="30"/>
  <c r="F1810" i="30" l="1"/>
  <c r="G1809" i="30"/>
  <c r="F1811" i="30" l="1"/>
  <c r="G1810" i="30"/>
  <c r="F1812" i="30" l="1"/>
  <c r="G1811" i="30"/>
  <c r="F1813" i="30" l="1"/>
  <c r="G1812" i="30"/>
  <c r="F1814" i="30" l="1"/>
  <c r="G1813" i="30"/>
  <c r="F1815" i="30" l="1"/>
  <c r="G1814" i="30"/>
  <c r="F1816" i="30" l="1"/>
  <c r="G1815" i="30"/>
  <c r="F1817" i="30" l="1"/>
  <c r="G1816" i="30"/>
  <c r="F1818" i="30" l="1"/>
  <c r="G1817" i="30"/>
  <c r="F1819" i="30" l="1"/>
  <c r="G1818" i="30"/>
  <c r="F1820" i="30" l="1"/>
  <c r="G1819" i="30"/>
  <c r="F1821" i="30" l="1"/>
  <c r="G1820" i="30"/>
  <c r="F1822" i="30" l="1"/>
  <c r="G1821" i="30"/>
  <c r="F1823" i="30" l="1"/>
  <c r="G1822" i="30"/>
  <c r="F1824" i="30" l="1"/>
  <c r="G1823" i="30"/>
  <c r="F1825" i="30" l="1"/>
  <c r="G1824" i="30"/>
  <c r="F1826" i="30" l="1"/>
  <c r="G1825" i="30"/>
  <c r="F1827" i="30" l="1"/>
  <c r="G1826" i="30"/>
  <c r="F1828" i="30" l="1"/>
  <c r="G1827" i="30"/>
  <c r="F1829" i="30" l="1"/>
  <c r="G1828" i="30"/>
  <c r="F1830" i="30" l="1"/>
  <c r="G1829" i="30"/>
  <c r="F1831" i="30" l="1"/>
  <c r="G1830" i="30"/>
  <c r="F1832" i="30" l="1"/>
  <c r="G1831" i="30"/>
  <c r="F1833" i="30" l="1"/>
  <c r="G1832" i="30"/>
  <c r="F1834" i="30" l="1"/>
  <c r="G1833" i="30"/>
  <c r="F1835" i="30" l="1"/>
  <c r="G1834" i="30"/>
  <c r="F1836" i="30" l="1"/>
  <c r="G1835" i="30"/>
  <c r="F1837" i="30" l="1"/>
  <c r="G1836" i="30"/>
  <c r="F1838" i="30" l="1"/>
  <c r="G1837" i="30"/>
  <c r="F1839" i="30" l="1"/>
  <c r="G1838" i="30"/>
  <c r="F1840" i="30" l="1"/>
  <c r="G1839" i="30"/>
  <c r="F1841" i="30" l="1"/>
  <c r="G1840" i="30"/>
  <c r="F1842" i="30" l="1"/>
  <c r="G1841" i="30"/>
  <c r="F1843" i="30" l="1"/>
  <c r="G1842" i="30"/>
  <c r="F1844" i="30" l="1"/>
  <c r="G1843" i="30"/>
  <c r="F1845" i="30" l="1"/>
  <c r="G1844" i="30"/>
  <c r="F1846" i="30" l="1"/>
  <c r="G1845" i="30"/>
  <c r="F1847" i="30" l="1"/>
  <c r="G1846" i="30"/>
  <c r="F1848" i="30" l="1"/>
  <c r="G1847" i="30"/>
  <c r="F1849" i="30" l="1"/>
  <c r="G1848" i="30"/>
  <c r="F1850" i="30" l="1"/>
  <c r="G1849" i="30"/>
  <c r="F1851" i="30" l="1"/>
  <c r="G1850" i="30"/>
  <c r="F1852" i="30" l="1"/>
  <c r="G1851" i="30"/>
  <c r="F1853" i="30" l="1"/>
  <c r="G1852" i="30"/>
  <c r="F1854" i="30" l="1"/>
  <c r="G1853" i="30"/>
  <c r="F1855" i="30" l="1"/>
  <c r="G1854" i="30"/>
  <c r="F1856" i="30" l="1"/>
  <c r="G1855" i="30"/>
  <c r="F1857" i="30" l="1"/>
  <c r="G1856" i="30"/>
  <c r="F1858" i="30" l="1"/>
  <c r="G1857" i="30"/>
  <c r="F1859" i="30" l="1"/>
  <c r="G1858" i="30"/>
  <c r="F1860" i="30" l="1"/>
  <c r="G1859" i="30"/>
  <c r="F1861" i="30" l="1"/>
  <c r="G1860" i="30"/>
  <c r="F1862" i="30" l="1"/>
  <c r="G1861" i="30"/>
  <c r="F1863" i="30" l="1"/>
  <c r="G1862" i="30"/>
  <c r="F1864" i="30" l="1"/>
  <c r="G1863" i="30"/>
  <c r="F1865" i="30" l="1"/>
  <c r="G1864" i="30"/>
  <c r="F1866" i="30" l="1"/>
  <c r="G1865" i="30"/>
  <c r="F1867" i="30" l="1"/>
  <c r="G1866" i="30"/>
  <c r="F1868" i="30" l="1"/>
  <c r="G1867" i="30"/>
  <c r="F1869" i="30" l="1"/>
  <c r="G1868" i="30"/>
  <c r="F1870" i="30" l="1"/>
  <c r="G1869" i="30"/>
  <c r="F1871" i="30" l="1"/>
  <c r="G1870" i="30"/>
  <c r="F1872" i="30" l="1"/>
  <c r="G1871" i="30"/>
  <c r="F1873" i="30" l="1"/>
  <c r="G1872" i="30"/>
  <c r="F1874" i="30" l="1"/>
  <c r="G1873" i="30"/>
  <c r="F1875" i="30" l="1"/>
  <c r="G1874" i="30"/>
  <c r="F1876" i="30" l="1"/>
  <c r="G1875" i="30"/>
  <c r="F1877" i="30" l="1"/>
  <c r="G1876" i="30"/>
  <c r="F1878" i="30" l="1"/>
  <c r="G1877" i="30"/>
  <c r="F1879" i="30" l="1"/>
  <c r="G1878" i="30"/>
  <c r="F1880" i="30" l="1"/>
  <c r="G1879" i="30"/>
  <c r="F1881" i="30" l="1"/>
  <c r="G1880" i="30"/>
  <c r="F1882" i="30" l="1"/>
  <c r="G1881" i="30"/>
  <c r="F1883" i="30" l="1"/>
  <c r="G1882" i="30"/>
  <c r="F1884" i="30" l="1"/>
  <c r="G1883" i="30"/>
  <c r="F1885" i="30" l="1"/>
  <c r="G1884" i="30"/>
  <c r="F1886" i="30" l="1"/>
  <c r="G1885" i="30"/>
  <c r="F1887" i="30" l="1"/>
  <c r="G1886" i="30"/>
  <c r="F1888" i="30" l="1"/>
  <c r="G1887" i="30"/>
  <c r="F1889" i="30" l="1"/>
  <c r="G1888" i="30"/>
  <c r="F1890" i="30" l="1"/>
  <c r="G1889" i="30"/>
  <c r="F1891" i="30" l="1"/>
  <c r="G1890" i="30"/>
  <c r="F1892" i="30" l="1"/>
  <c r="G1891" i="30"/>
  <c r="F1893" i="30" l="1"/>
  <c r="G1892" i="30"/>
  <c r="F1894" i="30" l="1"/>
  <c r="G1893" i="30"/>
  <c r="F1895" i="30" l="1"/>
  <c r="G1894" i="30"/>
  <c r="F1896" i="30" l="1"/>
  <c r="G1895" i="30"/>
  <c r="F1897" i="30" l="1"/>
  <c r="G1896" i="30"/>
  <c r="F1898" i="30" l="1"/>
  <c r="G1897" i="30"/>
  <c r="F1899" i="30" l="1"/>
  <c r="G1898" i="30"/>
  <c r="F1900" i="30" l="1"/>
  <c r="G1899" i="30"/>
  <c r="F1901" i="30" l="1"/>
  <c r="G1900" i="30"/>
  <c r="F1902" i="30" l="1"/>
  <c r="G1901" i="30"/>
  <c r="F1903" i="30" l="1"/>
  <c r="G1902" i="30"/>
  <c r="F1904" i="30" l="1"/>
  <c r="G1903" i="30"/>
  <c r="F1905" i="30" l="1"/>
  <c r="G1904" i="30"/>
  <c r="F1906" i="30" l="1"/>
  <c r="G1905" i="30"/>
  <c r="F1907" i="30" l="1"/>
  <c r="G1906" i="30"/>
  <c r="F1908" i="30" l="1"/>
  <c r="G1907" i="30"/>
  <c r="F1909" i="30" l="1"/>
  <c r="G1908" i="30"/>
  <c r="F1910" i="30" l="1"/>
  <c r="G1909" i="30"/>
  <c r="F1911" i="30" l="1"/>
  <c r="G1910" i="30"/>
  <c r="F1912" i="30" l="1"/>
  <c r="G1911" i="30"/>
  <c r="F1913" i="30" l="1"/>
  <c r="G1912" i="30"/>
  <c r="F1914" i="30" l="1"/>
  <c r="G1913" i="30"/>
  <c r="F1915" i="30" l="1"/>
  <c r="G1914" i="30"/>
  <c r="F1916" i="30" l="1"/>
  <c r="G1915" i="30"/>
  <c r="F1917" i="30" l="1"/>
  <c r="G1916" i="30"/>
  <c r="F1918" i="30" l="1"/>
  <c r="G1917" i="30"/>
  <c r="F1919" i="30" l="1"/>
  <c r="G1918" i="30"/>
  <c r="F1920" i="30" l="1"/>
  <c r="G1919" i="30"/>
  <c r="F1921" i="30" l="1"/>
  <c r="G1920" i="30"/>
  <c r="F1922" i="30" l="1"/>
  <c r="G1921" i="30"/>
  <c r="F1923" i="30" l="1"/>
  <c r="G1922" i="30"/>
  <c r="F1924" i="30" l="1"/>
  <c r="G1923" i="30"/>
  <c r="F1925" i="30" l="1"/>
  <c r="G1924" i="30"/>
  <c r="F1926" i="30" l="1"/>
  <c r="G1925" i="30"/>
  <c r="F1927" i="30" l="1"/>
  <c r="G1926" i="30"/>
  <c r="F1928" i="30" l="1"/>
  <c r="G1927" i="30"/>
  <c r="F1929" i="30" l="1"/>
  <c r="G1928" i="30"/>
  <c r="F1930" i="30" l="1"/>
  <c r="G1929" i="30"/>
  <c r="F1931" i="30" l="1"/>
  <c r="G1930" i="30"/>
  <c r="F1932" i="30" l="1"/>
  <c r="G1931" i="30"/>
  <c r="F1933" i="30" l="1"/>
  <c r="G1932" i="30"/>
  <c r="F1934" i="30" l="1"/>
  <c r="G1933" i="30"/>
  <c r="F1935" i="30" l="1"/>
  <c r="G1934" i="30"/>
  <c r="F1936" i="30" l="1"/>
  <c r="G1935" i="30"/>
  <c r="F1937" i="30" l="1"/>
  <c r="G1936" i="30"/>
  <c r="F1938" i="30" l="1"/>
  <c r="G1937" i="30"/>
  <c r="F1939" i="30" l="1"/>
  <c r="G1938" i="30"/>
  <c r="F1940" i="30" l="1"/>
  <c r="G1939" i="30"/>
  <c r="F1941" i="30" l="1"/>
  <c r="G1940" i="30"/>
  <c r="F1942" i="30" l="1"/>
  <c r="G1941" i="30"/>
  <c r="F1943" i="30" l="1"/>
  <c r="G1942" i="30"/>
  <c r="F1944" i="30" l="1"/>
  <c r="G1943" i="30"/>
  <c r="F1945" i="30" l="1"/>
  <c r="G1944" i="30"/>
  <c r="F1946" i="30" l="1"/>
  <c r="G1945" i="30"/>
  <c r="F1947" i="30" l="1"/>
  <c r="G1946" i="30"/>
  <c r="F1948" i="30" l="1"/>
  <c r="G1947" i="30"/>
  <c r="F1949" i="30" l="1"/>
  <c r="G1948" i="30"/>
  <c r="F1950" i="30" l="1"/>
  <c r="G1949" i="30"/>
  <c r="F1951" i="30" l="1"/>
  <c r="G1950" i="30"/>
  <c r="F1952" i="30" l="1"/>
  <c r="G1951" i="30"/>
  <c r="F1953" i="30" l="1"/>
  <c r="G1952" i="30"/>
  <c r="F1954" i="30" l="1"/>
  <c r="G1953" i="30"/>
  <c r="F1955" i="30" l="1"/>
  <c r="G1954" i="30"/>
  <c r="F1956" i="30" l="1"/>
  <c r="G1955" i="30"/>
  <c r="F1957" i="30" l="1"/>
  <c r="G1956" i="30"/>
  <c r="F1958" i="30" l="1"/>
  <c r="G1957" i="30"/>
  <c r="F1959" i="30" l="1"/>
  <c r="G1958" i="30"/>
  <c r="F1960" i="30" l="1"/>
  <c r="G1959" i="30"/>
  <c r="F1961" i="30" l="1"/>
  <c r="G1960" i="30"/>
  <c r="F1962" i="30" l="1"/>
  <c r="G1961" i="30"/>
  <c r="F1963" i="30" l="1"/>
  <c r="G1962" i="30"/>
  <c r="F1964" i="30" l="1"/>
  <c r="G1963" i="30"/>
  <c r="F1965" i="30" l="1"/>
  <c r="G1964" i="30"/>
  <c r="F1966" i="30" l="1"/>
  <c r="G1965" i="30"/>
  <c r="F1967" i="30" l="1"/>
  <c r="G1966" i="30"/>
  <c r="F1968" i="30" l="1"/>
  <c r="G1967" i="30"/>
  <c r="F1969" i="30" l="1"/>
  <c r="G1968" i="30"/>
  <c r="F1970" i="30" l="1"/>
  <c r="G1969" i="30"/>
  <c r="F1971" i="30" l="1"/>
  <c r="G1970" i="30"/>
  <c r="F1972" i="30" l="1"/>
  <c r="G1971" i="30"/>
  <c r="F1973" i="30" l="1"/>
  <c r="G1972" i="30"/>
  <c r="F1974" i="30" l="1"/>
  <c r="G1973" i="30"/>
  <c r="F1975" i="30" l="1"/>
  <c r="G1974" i="30"/>
  <c r="F1976" i="30" l="1"/>
  <c r="G1975" i="30"/>
  <c r="F1977" i="30" l="1"/>
  <c r="G1976" i="30"/>
  <c r="F1978" i="30" l="1"/>
  <c r="G1977" i="30"/>
  <c r="F1979" i="30" l="1"/>
  <c r="G1978" i="30"/>
  <c r="F1980" i="30" l="1"/>
  <c r="G1979" i="30"/>
  <c r="F1981" i="30" l="1"/>
  <c r="G1980" i="30"/>
  <c r="F1982" i="30" l="1"/>
  <c r="G1981" i="30"/>
  <c r="F1983" i="30" l="1"/>
  <c r="G1982" i="30"/>
  <c r="F1984" i="30" l="1"/>
  <c r="G1983" i="30"/>
  <c r="F1985" i="30" l="1"/>
  <c r="G1984" i="30"/>
  <c r="F1986" i="30" l="1"/>
  <c r="G1985" i="30"/>
  <c r="F1987" i="30" l="1"/>
  <c r="G1986" i="30"/>
  <c r="F1988" i="30" l="1"/>
  <c r="G1987" i="30"/>
  <c r="F1989" i="30" l="1"/>
  <c r="G1988" i="30"/>
  <c r="F1990" i="30" l="1"/>
  <c r="G1989" i="30"/>
  <c r="F1991" i="30" l="1"/>
  <c r="G1990" i="30"/>
  <c r="F1992" i="30" l="1"/>
  <c r="G1991" i="30"/>
  <c r="F1993" i="30" l="1"/>
  <c r="G1992" i="30"/>
  <c r="F1994" i="30" l="1"/>
  <c r="G1993" i="30"/>
  <c r="F1995" i="30" l="1"/>
  <c r="G1994" i="30"/>
  <c r="F1996" i="30" l="1"/>
  <c r="G1995" i="30"/>
  <c r="F1997" i="30" l="1"/>
  <c r="G1996" i="30"/>
  <c r="F1998" i="30" l="1"/>
  <c r="G1997" i="30"/>
  <c r="F1999" i="30" l="1"/>
  <c r="G1998" i="30"/>
  <c r="F2000" i="30" l="1"/>
  <c r="G1999" i="30"/>
  <c r="F2001" i="30" l="1"/>
  <c r="G2000" i="30"/>
  <c r="F2002" i="30" l="1"/>
  <c r="G2001" i="30"/>
  <c r="F2003" i="30" l="1"/>
  <c r="G2002" i="30"/>
  <c r="F2004" i="30" l="1"/>
  <c r="G2003" i="30"/>
  <c r="F2005" i="30" l="1"/>
  <c r="G2004" i="30"/>
  <c r="F2006" i="30" l="1"/>
  <c r="G2005" i="30"/>
  <c r="F2007" i="30" l="1"/>
  <c r="G2006" i="30"/>
  <c r="F2008" i="30" l="1"/>
  <c r="G2007" i="30"/>
  <c r="F2009" i="30" l="1"/>
  <c r="G2008" i="30"/>
  <c r="F2010" i="30" l="1"/>
  <c r="G2009" i="30"/>
  <c r="F2011" i="30" l="1"/>
  <c r="G2010" i="30"/>
  <c r="F2012" i="30" l="1"/>
  <c r="G2011" i="30"/>
  <c r="F2013" i="30" l="1"/>
  <c r="G2012" i="30"/>
  <c r="F2014" i="30" l="1"/>
  <c r="G2013" i="30"/>
  <c r="F2015" i="30" l="1"/>
  <c r="G2014" i="30"/>
  <c r="F2016" i="30" l="1"/>
  <c r="G2015" i="30"/>
  <c r="F2017" i="30" l="1"/>
  <c r="G2016" i="30"/>
  <c r="F2018" i="30" l="1"/>
  <c r="G2017" i="30"/>
  <c r="F2019" i="30" l="1"/>
  <c r="G2018" i="30"/>
  <c r="F2020" i="30" l="1"/>
  <c r="G2019" i="30"/>
  <c r="F2021" i="30" l="1"/>
  <c r="G2020" i="30"/>
  <c r="F2022" i="30" l="1"/>
  <c r="G2021" i="30"/>
  <c r="F2023" i="30" l="1"/>
  <c r="G2022" i="30"/>
  <c r="F2024" i="30" l="1"/>
  <c r="G2023" i="30"/>
  <c r="F2025" i="30" l="1"/>
  <c r="G2024" i="30"/>
  <c r="F2026" i="30" l="1"/>
  <c r="G2025" i="30"/>
  <c r="F2027" i="30" l="1"/>
  <c r="G2026" i="30"/>
  <c r="F2028" i="30" l="1"/>
  <c r="G2027" i="30"/>
  <c r="F2029" i="30" l="1"/>
  <c r="G2028" i="30"/>
  <c r="F2030" i="30" l="1"/>
  <c r="G2029" i="30"/>
  <c r="F2031" i="30" l="1"/>
  <c r="G2030" i="30"/>
  <c r="F2032" i="30" l="1"/>
  <c r="G2031" i="30"/>
  <c r="F2033" i="30" l="1"/>
  <c r="G2032" i="30"/>
  <c r="F2034" i="30" l="1"/>
  <c r="G2033" i="30"/>
  <c r="F2035" i="30" l="1"/>
  <c r="G2034" i="30"/>
  <c r="F2036" i="30" l="1"/>
  <c r="G2035" i="30"/>
  <c r="F2037" i="30" l="1"/>
  <c r="G2036" i="30"/>
  <c r="F2038" i="30" l="1"/>
  <c r="G2037" i="30"/>
  <c r="F2039" i="30" l="1"/>
  <c r="G2038" i="30"/>
  <c r="F2040" i="30" l="1"/>
  <c r="G2039" i="30"/>
  <c r="F2042" i="30" l="1"/>
  <c r="G2040" i="30"/>
  <c r="F2043" i="30" l="1"/>
  <c r="G2042" i="30"/>
  <c r="F2044" i="30" l="1"/>
  <c r="G2043" i="30"/>
  <c r="F2045" i="30" l="1"/>
  <c r="G2044" i="30"/>
  <c r="F2046" i="30" l="1"/>
  <c r="G2045" i="30"/>
  <c r="F2047" i="30" l="1"/>
  <c r="G2046" i="30"/>
  <c r="F2048" i="30" l="1"/>
  <c r="G2047" i="30"/>
  <c r="F2049" i="30" l="1"/>
  <c r="G2048" i="30"/>
  <c r="F2050" i="30" l="1"/>
  <c r="G2049" i="30"/>
  <c r="F2051" i="30" l="1"/>
  <c r="G2050" i="30"/>
  <c r="F2052" i="30" l="1"/>
  <c r="G2051" i="30"/>
  <c r="F2053" i="30" l="1"/>
  <c r="G2052" i="30"/>
  <c r="F2054" i="30" l="1"/>
  <c r="G2053" i="30"/>
  <c r="F2055" i="30" l="1"/>
  <c r="G2054" i="30"/>
  <c r="F2056" i="30" l="1"/>
  <c r="G2055" i="30"/>
  <c r="F2057" i="30" l="1"/>
  <c r="G2056" i="30"/>
  <c r="F2058" i="30" l="1"/>
  <c r="G2057" i="30"/>
  <c r="F2059" i="30" l="1"/>
  <c r="G2058" i="30"/>
  <c r="F2060" i="30" l="1"/>
  <c r="G2059" i="30"/>
  <c r="F2061" i="30" l="1"/>
  <c r="G2060" i="30"/>
  <c r="F2062" i="30" l="1"/>
  <c r="G2061" i="30"/>
  <c r="F2063" i="30" l="1"/>
  <c r="G2062" i="30"/>
  <c r="F2064" i="30" l="1"/>
  <c r="G2063" i="30"/>
  <c r="F2065" i="30" l="1"/>
  <c r="G2064" i="30"/>
  <c r="F2066" i="30" l="1"/>
  <c r="G2065" i="30"/>
  <c r="F2067" i="30" l="1"/>
  <c r="G2066" i="30"/>
  <c r="F2068" i="30" l="1"/>
  <c r="G2067" i="30"/>
  <c r="F2069" i="30" l="1"/>
  <c r="G2068" i="30"/>
  <c r="F2070" i="30" l="1"/>
  <c r="G2069" i="30"/>
  <c r="F2071" i="30" l="1"/>
  <c r="G2070" i="30"/>
  <c r="F2072" i="30" l="1"/>
  <c r="G2071" i="30"/>
  <c r="F2073" i="30" l="1"/>
  <c r="G2072" i="30"/>
  <c r="F2074" i="30" l="1"/>
  <c r="G2073" i="30"/>
  <c r="F2075" i="30" l="1"/>
  <c r="G2074" i="30"/>
  <c r="F2076" i="30" l="1"/>
  <c r="G2075" i="30"/>
  <c r="F2077" i="30" l="1"/>
  <c r="G2076" i="30"/>
  <c r="F2078" i="30" l="1"/>
  <c r="G2077" i="30"/>
  <c r="F2079" i="30" l="1"/>
  <c r="G2078" i="30"/>
  <c r="F2080" i="30" l="1"/>
  <c r="G2079" i="30"/>
  <c r="F2081" i="30" l="1"/>
  <c r="G2080" i="30"/>
  <c r="F2082" i="30" l="1"/>
  <c r="G2081" i="30"/>
  <c r="F2083" i="30" l="1"/>
  <c r="G2082" i="30"/>
  <c r="F2084" i="30" l="1"/>
  <c r="G2083" i="30"/>
  <c r="F2085" i="30" l="1"/>
  <c r="G2084" i="30"/>
  <c r="F2086" i="30" l="1"/>
  <c r="G2085" i="30"/>
  <c r="F2087" i="30" l="1"/>
  <c r="G2086" i="30"/>
  <c r="F2088" i="30" l="1"/>
  <c r="G2087" i="30"/>
  <c r="F2089" i="30" l="1"/>
  <c r="G2088" i="30"/>
  <c r="F2090" i="30" l="1"/>
  <c r="G2089" i="30"/>
  <c r="F2091" i="30" l="1"/>
  <c r="G2090" i="30"/>
  <c r="F2092" i="30" l="1"/>
  <c r="G2091" i="30"/>
  <c r="F2093" i="30" l="1"/>
  <c r="G2092" i="30"/>
  <c r="F2094" i="30" l="1"/>
  <c r="G2093" i="30"/>
  <c r="F2095" i="30" l="1"/>
  <c r="G2094" i="30"/>
  <c r="F2096" i="30" l="1"/>
  <c r="G2095" i="30"/>
  <c r="F2097" i="30" l="1"/>
  <c r="G2096" i="30"/>
  <c r="F2098" i="30" l="1"/>
  <c r="G2097" i="30"/>
  <c r="F2099" i="30" l="1"/>
  <c r="G2098" i="30"/>
  <c r="F2100" i="30" l="1"/>
  <c r="G2099" i="30"/>
  <c r="F2101" i="30" l="1"/>
  <c r="G2100" i="30"/>
  <c r="F2102" i="30" l="1"/>
  <c r="G2101" i="30"/>
  <c r="F2103" i="30" l="1"/>
  <c r="G2102" i="30"/>
  <c r="F2104" i="30" l="1"/>
  <c r="G2103" i="30"/>
  <c r="F2105" i="30" l="1"/>
  <c r="G2104" i="30"/>
  <c r="F2106" i="30" l="1"/>
  <c r="G2105" i="30"/>
  <c r="F2107" i="30" l="1"/>
  <c r="G2106" i="30"/>
  <c r="F2108" i="30" l="1"/>
  <c r="G2107" i="30"/>
  <c r="F2109" i="30" l="1"/>
  <c r="G2108" i="30"/>
  <c r="F2110" i="30" l="1"/>
  <c r="G2109" i="30"/>
  <c r="F2111" i="30" l="1"/>
  <c r="G2110" i="30"/>
  <c r="F2112" i="30" l="1"/>
  <c r="G2111" i="30"/>
  <c r="F2113" i="30" l="1"/>
  <c r="G2112" i="30"/>
  <c r="F2114" i="30" l="1"/>
  <c r="G2113" i="30"/>
  <c r="F2115" i="30" l="1"/>
  <c r="G2114" i="30"/>
  <c r="F2116" i="30" l="1"/>
  <c r="G2115" i="30"/>
  <c r="F2117" i="30" l="1"/>
  <c r="G2116" i="30"/>
  <c r="F2118" i="30" l="1"/>
  <c r="G2117" i="30"/>
  <c r="F2119" i="30" l="1"/>
  <c r="G2118" i="30"/>
  <c r="F2120" i="30" l="1"/>
  <c r="G2119" i="30"/>
  <c r="F2121" i="30" l="1"/>
  <c r="G2120" i="30"/>
  <c r="F2122" i="30" l="1"/>
  <c r="G2121" i="30"/>
  <c r="F2123" i="30" l="1"/>
  <c r="G2122" i="30"/>
  <c r="F2124" i="30" l="1"/>
  <c r="G2123" i="30"/>
  <c r="F2125" i="30" l="1"/>
  <c r="G2124" i="30"/>
  <c r="F2126" i="30" l="1"/>
  <c r="G2125" i="30"/>
  <c r="F2127" i="30" l="1"/>
  <c r="G2126" i="30"/>
  <c r="F2128" i="30" l="1"/>
  <c r="G2127" i="30"/>
  <c r="F2129" i="30" l="1"/>
  <c r="G2128" i="30"/>
  <c r="F2130" i="30" l="1"/>
  <c r="G2129" i="30"/>
  <c r="F2131" i="30" l="1"/>
  <c r="G2130" i="30"/>
  <c r="F2132" i="30" l="1"/>
  <c r="G2131" i="30"/>
  <c r="F2133" i="30" l="1"/>
  <c r="G2132" i="30"/>
  <c r="F2134" i="30" l="1"/>
  <c r="G2133" i="30"/>
  <c r="F2135" i="30" l="1"/>
  <c r="G2134" i="30"/>
  <c r="F2136" i="30" l="1"/>
  <c r="G2135" i="30"/>
  <c r="F2137" i="30" l="1"/>
  <c r="G2136" i="30"/>
  <c r="F2138" i="30" l="1"/>
  <c r="G2137" i="30"/>
  <c r="F2139" i="30" l="1"/>
  <c r="G2138" i="30"/>
  <c r="F2140" i="30" l="1"/>
  <c r="G2139" i="30"/>
  <c r="F2141" i="30" l="1"/>
  <c r="G2140" i="30"/>
  <c r="F2142" i="30" l="1"/>
  <c r="G2141" i="30"/>
  <c r="F2143" i="30" l="1"/>
  <c r="G2142" i="30"/>
  <c r="F2144" i="30" l="1"/>
  <c r="G2143" i="30"/>
  <c r="F2145" i="30" l="1"/>
  <c r="G2144" i="30"/>
  <c r="F2146" i="30" l="1"/>
  <c r="G2145" i="30"/>
  <c r="F2147" i="30" l="1"/>
  <c r="G2146" i="30"/>
  <c r="F2148" i="30" l="1"/>
  <c r="G2147" i="30"/>
  <c r="F2149" i="30" l="1"/>
  <c r="G2148" i="30"/>
  <c r="F2150" i="30" l="1"/>
  <c r="G2149" i="30"/>
  <c r="F2151" i="30" l="1"/>
  <c r="G2150" i="30"/>
  <c r="F2152" i="30" l="1"/>
  <c r="G2151" i="30"/>
  <c r="F2153" i="30" l="1"/>
  <c r="G2152" i="30"/>
  <c r="F2154" i="30" l="1"/>
  <c r="G2153" i="30"/>
  <c r="F2155" i="30" l="1"/>
  <c r="G2154" i="30"/>
  <c r="F2156" i="30" l="1"/>
  <c r="G2155" i="30"/>
  <c r="F2157" i="30" l="1"/>
  <c r="G2156" i="30"/>
  <c r="F2158" i="30" l="1"/>
  <c r="G2157" i="30"/>
  <c r="F2159" i="30" l="1"/>
  <c r="G2158" i="30"/>
  <c r="F2160" i="30" l="1"/>
  <c r="G2159" i="30"/>
  <c r="F2161" i="30" l="1"/>
  <c r="G2160" i="30"/>
  <c r="F2162" i="30" l="1"/>
  <c r="G2161" i="30"/>
  <c r="F2163" i="30" l="1"/>
  <c r="G2162" i="30"/>
  <c r="F2164" i="30" l="1"/>
  <c r="G2163" i="30"/>
  <c r="F2165" i="30" l="1"/>
  <c r="G2164" i="30"/>
  <c r="F2166" i="30" l="1"/>
  <c r="G2165" i="30"/>
  <c r="F2167" i="30" l="1"/>
  <c r="G2166" i="30"/>
  <c r="F2168" i="30" l="1"/>
  <c r="G2167" i="30"/>
  <c r="F2169" i="30" l="1"/>
  <c r="G2168" i="30"/>
  <c r="F2170" i="30" l="1"/>
  <c r="G2169" i="30"/>
  <c r="F2171" i="30" l="1"/>
  <c r="G2170" i="30"/>
  <c r="F2172" i="30" l="1"/>
  <c r="G2171" i="30"/>
  <c r="F2173" i="30" l="1"/>
  <c r="G2172" i="30"/>
  <c r="F2174" i="30" l="1"/>
  <c r="G2173" i="30"/>
  <c r="F2175" i="30" l="1"/>
  <c r="G2174" i="30"/>
  <c r="F2176" i="30" l="1"/>
  <c r="G2175" i="30"/>
  <c r="F2177" i="30" l="1"/>
  <c r="G2176" i="30"/>
  <c r="F2178" i="30" l="1"/>
  <c r="G2177" i="30"/>
  <c r="F2179" i="30" l="1"/>
  <c r="G2178" i="30"/>
  <c r="F2180" i="30" l="1"/>
  <c r="G2179" i="30"/>
  <c r="F2181" i="30" l="1"/>
  <c r="G2180" i="30"/>
  <c r="F2182" i="30" l="1"/>
  <c r="G2181" i="30"/>
  <c r="F2183" i="30" l="1"/>
  <c r="G2182" i="30"/>
  <c r="F2184" i="30" l="1"/>
  <c r="G2183" i="30"/>
  <c r="F2185" i="30" l="1"/>
  <c r="G2184" i="30"/>
  <c r="F2186" i="30" l="1"/>
  <c r="G2185" i="30"/>
  <c r="F2187" i="30" l="1"/>
  <c r="G2186" i="30"/>
  <c r="F2188" i="30" l="1"/>
  <c r="G2187" i="30"/>
  <c r="F2189" i="30" l="1"/>
  <c r="G2188" i="30"/>
  <c r="F2190" i="30" l="1"/>
  <c r="G2189" i="30"/>
  <c r="F2191" i="30" l="1"/>
  <c r="G2190" i="30"/>
  <c r="F2192" i="30" l="1"/>
  <c r="G2191" i="30"/>
  <c r="F2193" i="30" l="1"/>
  <c r="G2192" i="30"/>
  <c r="F2194" i="30" l="1"/>
  <c r="G2193" i="30"/>
  <c r="F2195" i="30" l="1"/>
  <c r="G2194" i="30"/>
  <c r="F2196" i="30" l="1"/>
  <c r="G2195" i="30"/>
  <c r="F2197" i="30" l="1"/>
  <c r="G2196" i="30"/>
  <c r="F2198" i="30" l="1"/>
  <c r="G2197" i="30"/>
  <c r="F2199" i="30" l="1"/>
  <c r="G2198" i="30"/>
  <c r="F2200" i="30" l="1"/>
  <c r="G2199" i="30"/>
  <c r="F2201" i="30" l="1"/>
  <c r="G2200" i="30"/>
  <c r="F2202" i="30" l="1"/>
  <c r="G2201" i="30"/>
  <c r="F2203" i="30" l="1"/>
  <c r="G2202" i="30"/>
  <c r="F2204" i="30" l="1"/>
  <c r="G2203" i="30"/>
  <c r="F2205" i="30" l="1"/>
  <c r="G2204" i="30"/>
  <c r="F2206" i="30" l="1"/>
  <c r="G2205" i="30"/>
  <c r="F2207" i="30" l="1"/>
  <c r="G2206" i="30"/>
  <c r="F2208" i="30" l="1"/>
  <c r="G2207" i="30"/>
  <c r="F2209" i="30" l="1"/>
  <c r="G2208" i="30"/>
  <c r="F2210" i="30" l="1"/>
  <c r="G2209" i="30"/>
  <c r="F2211" i="30" l="1"/>
  <c r="G2210" i="30"/>
  <c r="F2212" i="30" l="1"/>
  <c r="G2211" i="30"/>
  <c r="F2213" i="30" l="1"/>
  <c r="G2212" i="30"/>
  <c r="F2214" i="30" l="1"/>
  <c r="G2213" i="30"/>
  <c r="F2215" i="30" l="1"/>
  <c r="G2214" i="30"/>
  <c r="F2216" i="30" l="1"/>
  <c r="G2215" i="30"/>
  <c r="F2217" i="30" l="1"/>
  <c r="G2216" i="30"/>
  <c r="F2218" i="30" l="1"/>
  <c r="G2217" i="30"/>
  <c r="F2219" i="30" l="1"/>
  <c r="G2218" i="30"/>
  <c r="F2220" i="30" l="1"/>
  <c r="G2219" i="30"/>
  <c r="F2221" i="30" l="1"/>
  <c r="G2220" i="30"/>
  <c r="F2222" i="30" l="1"/>
  <c r="G2221" i="30"/>
  <c r="F2223" i="30" l="1"/>
  <c r="G2222" i="30"/>
  <c r="F2224" i="30" l="1"/>
  <c r="G2223" i="30"/>
  <c r="F2225" i="30" l="1"/>
  <c r="G2224" i="30"/>
  <c r="F2226" i="30" l="1"/>
  <c r="G2225" i="30"/>
  <c r="F2227" i="30" l="1"/>
  <c r="G2226" i="30"/>
  <c r="F2228" i="30" l="1"/>
  <c r="G2227" i="30"/>
  <c r="F2229" i="30" l="1"/>
  <c r="G2228" i="30"/>
  <c r="F2230" i="30" l="1"/>
  <c r="G2229" i="30"/>
  <c r="F2231" i="30" l="1"/>
  <c r="G2230" i="30"/>
  <c r="F2232" i="30" l="1"/>
  <c r="G2231" i="30"/>
  <c r="F2233" i="30" l="1"/>
  <c r="G2232" i="30"/>
  <c r="F2234" i="30" l="1"/>
  <c r="G2233" i="30"/>
  <c r="F2235" i="30" l="1"/>
  <c r="F2236" i="30" s="1"/>
  <c r="G2234" i="30"/>
  <c r="G2236" i="30" l="1"/>
  <c r="F2237" i="30"/>
  <c r="G2235" i="30"/>
  <c r="F2238" i="30" l="1"/>
  <c r="G2237" i="30"/>
  <c r="G2238" i="30" l="1"/>
  <c r="F2239" i="30"/>
  <c r="F2240" i="30" l="1"/>
  <c r="G2239" i="30"/>
  <c r="G2240" i="30" l="1"/>
  <c r="F2241" i="30"/>
  <c r="F2242" i="30" l="1"/>
  <c r="G2241" i="30"/>
  <c r="G2242" i="30" l="1"/>
  <c r="F2243" i="30"/>
  <c r="G2243" i="30" s="1"/>
  <c r="F1254" i="30" l="1"/>
  <c r="F2245" i="30"/>
  <c r="F1255" i="30" l="1"/>
  <c r="G1254" i="30"/>
  <c r="F2246" i="30"/>
  <c r="G2245" i="30"/>
  <c r="F1256" i="30" l="1"/>
  <c r="G1255" i="30"/>
  <c r="F2247" i="30"/>
  <c r="G2246" i="30"/>
  <c r="F1257" i="30" l="1"/>
  <c r="G1256" i="30"/>
  <c r="F2248" i="30"/>
  <c r="G2247" i="30"/>
  <c r="F1258" i="30" l="1"/>
  <c r="G1257" i="30"/>
  <c r="F2249" i="30"/>
  <c r="G2248" i="30"/>
  <c r="F1259" i="30" l="1"/>
  <c r="G1258" i="30"/>
  <c r="F2250" i="30"/>
  <c r="G2249" i="30"/>
  <c r="F1260" i="30" l="1"/>
  <c r="G1259" i="30"/>
  <c r="F2251" i="30"/>
  <c r="G2250" i="30"/>
  <c r="F1261" i="30" l="1"/>
  <c r="G1260" i="30"/>
  <c r="F2252" i="30"/>
  <c r="G2251" i="30"/>
  <c r="F1262" i="30" l="1"/>
  <c r="G1261" i="30"/>
  <c r="F2253" i="30"/>
  <c r="G2252" i="30"/>
  <c r="F1263" i="30" l="1"/>
  <c r="G1262" i="30"/>
  <c r="F2254" i="30"/>
  <c r="G2253" i="30"/>
  <c r="F1264" i="30" l="1"/>
  <c r="G1263" i="30"/>
  <c r="F2255" i="30"/>
  <c r="G2254" i="30"/>
  <c r="F1265" i="30" l="1"/>
  <c r="G1264" i="30"/>
  <c r="F2256" i="30"/>
  <c r="G2255" i="30"/>
  <c r="F1266" i="30" l="1"/>
  <c r="G1265" i="30"/>
  <c r="F2257" i="30"/>
  <c r="G2256" i="30"/>
  <c r="F1267" i="30" l="1"/>
  <c r="G1266" i="30"/>
  <c r="F2258" i="30"/>
  <c r="G2257" i="30"/>
  <c r="F1268" i="30" l="1"/>
  <c r="G1267" i="30"/>
  <c r="F2259" i="30"/>
  <c r="G2258" i="30"/>
  <c r="F1269" i="30" l="1"/>
  <c r="G1268" i="30"/>
  <c r="F2260" i="30"/>
  <c r="G2259" i="30"/>
  <c r="F1270" i="30" l="1"/>
  <c r="G1269" i="30"/>
  <c r="F2261" i="30"/>
  <c r="G2260" i="30"/>
  <c r="F1271" i="30" l="1"/>
  <c r="G1270" i="30"/>
  <c r="F2262" i="30"/>
  <c r="G2261" i="30"/>
  <c r="F1272" i="30" l="1"/>
  <c r="G1271" i="30"/>
  <c r="F2263" i="30"/>
  <c r="G2262" i="30"/>
  <c r="F1273" i="30" l="1"/>
  <c r="G1272" i="30"/>
  <c r="F2264" i="30"/>
  <c r="G2263" i="30"/>
  <c r="F1274" i="30" l="1"/>
  <c r="G1273" i="30"/>
  <c r="F2265" i="30"/>
  <c r="G2264" i="30"/>
  <c r="F1275" i="30" l="1"/>
  <c r="G1274" i="30"/>
  <c r="F2266" i="30"/>
  <c r="G2265" i="30"/>
  <c r="F1276" i="30" l="1"/>
  <c r="G1275" i="30"/>
  <c r="F2267" i="30"/>
  <c r="G2266" i="30"/>
  <c r="F1277" i="30" l="1"/>
  <c r="G1276" i="30"/>
  <c r="F2268" i="30"/>
  <c r="G2267" i="30"/>
  <c r="F1278" i="30" l="1"/>
  <c r="F1279" i="30" s="1"/>
  <c r="G1277" i="30"/>
  <c r="F2269" i="30"/>
  <c r="G2268" i="30"/>
  <c r="G1279" i="30" l="1"/>
  <c r="F1280" i="30"/>
  <c r="G1278" i="30"/>
  <c r="F2270" i="30"/>
  <c r="G2269" i="30"/>
  <c r="G1280" i="30" l="1"/>
  <c r="F1281" i="30"/>
  <c r="F2271" i="30"/>
  <c r="G2270" i="30"/>
  <c r="F1282" i="30" l="1"/>
  <c r="G1281" i="30"/>
  <c r="F2272" i="30"/>
  <c r="G2271" i="30"/>
  <c r="G1282" i="30" l="1"/>
  <c r="F1283" i="30"/>
  <c r="F2273" i="30"/>
  <c r="G2272" i="30"/>
  <c r="G1283" i="30" l="1"/>
  <c r="F1284" i="30"/>
  <c r="F2274" i="30"/>
  <c r="G2273" i="30"/>
  <c r="F1285" i="30" l="1"/>
  <c r="G1284" i="30"/>
  <c r="F2275" i="30"/>
  <c r="G2274" i="30"/>
  <c r="F1286" i="30" l="1"/>
  <c r="G1285" i="30"/>
  <c r="F2276" i="30"/>
  <c r="G2275" i="30"/>
  <c r="F1287" i="30" l="1"/>
  <c r="G1286" i="30"/>
  <c r="F2277" i="30"/>
  <c r="G2276" i="30"/>
  <c r="G1287" i="30" l="1"/>
  <c r="F1288" i="30"/>
  <c r="F2278" i="30"/>
  <c r="G2277" i="30"/>
  <c r="F1289" i="30" l="1"/>
  <c r="G1288" i="30"/>
  <c r="F2279" i="30"/>
  <c r="G2278" i="30"/>
  <c r="F1290" i="30" l="1"/>
  <c r="G1289" i="30"/>
  <c r="F2280" i="30"/>
  <c r="G2279" i="30"/>
  <c r="F1291" i="30" l="1"/>
  <c r="G1290" i="30"/>
  <c r="F2281" i="30"/>
  <c r="G2280" i="30"/>
  <c r="F1292" i="30" l="1"/>
  <c r="G1291" i="30"/>
  <c r="F2282" i="30"/>
  <c r="G2281" i="30"/>
  <c r="F1293" i="30" l="1"/>
  <c r="G1292" i="30"/>
  <c r="F2283" i="30"/>
  <c r="G2282" i="30"/>
  <c r="G1293" i="30" l="1"/>
  <c r="F1294" i="30"/>
  <c r="F2284" i="30"/>
  <c r="G2283" i="30"/>
  <c r="G1294" i="30" l="1"/>
  <c r="F1295" i="30"/>
  <c r="F2285" i="30"/>
  <c r="G2284" i="30"/>
  <c r="G1295" i="30" l="1"/>
  <c r="F1296" i="30"/>
  <c r="F2286" i="30"/>
  <c r="G2285" i="30"/>
  <c r="F1297" i="30" l="1"/>
  <c r="G1296" i="30"/>
  <c r="F2287" i="30"/>
  <c r="G2286" i="30"/>
  <c r="G1297" i="30" l="1"/>
  <c r="F1298" i="30"/>
  <c r="F2288" i="30"/>
  <c r="G2287" i="30"/>
  <c r="F1299" i="30" l="1"/>
  <c r="G1298" i="30"/>
  <c r="F2289" i="30"/>
  <c r="G2288" i="30"/>
  <c r="G1299" i="30" l="1"/>
  <c r="F1300" i="30"/>
  <c r="F2290" i="30"/>
  <c r="G2289" i="30"/>
  <c r="F1301" i="30" l="1"/>
  <c r="G1300" i="30"/>
  <c r="F2291" i="30"/>
  <c r="G2290" i="30"/>
  <c r="G1301" i="30" l="1"/>
  <c r="F1302" i="30"/>
  <c r="G1302" i="30" s="1"/>
  <c r="F2292" i="30"/>
  <c r="G2291" i="30"/>
  <c r="F2293" i="30" l="1"/>
  <c r="G2292" i="30"/>
  <c r="F2294" i="30" l="1"/>
  <c r="G2293" i="30"/>
  <c r="F2295" i="30" l="1"/>
  <c r="G2294" i="30"/>
  <c r="F2296" i="30" l="1"/>
  <c r="G2295" i="30"/>
  <c r="F2297" i="30" l="1"/>
  <c r="G2296" i="30"/>
  <c r="F2298" i="30" l="1"/>
  <c r="G2297" i="30"/>
  <c r="F2299" i="30" l="1"/>
  <c r="G2298" i="30"/>
  <c r="F2300" i="30" l="1"/>
  <c r="G2299" i="30"/>
  <c r="F2301" i="30" l="1"/>
  <c r="G2300" i="30"/>
  <c r="F2302" i="30" l="1"/>
  <c r="G2301" i="30"/>
  <c r="F2303" i="30" l="1"/>
  <c r="G2302" i="30"/>
  <c r="F2304" i="30" l="1"/>
  <c r="G2303" i="30"/>
  <c r="F2305" i="30" l="1"/>
  <c r="G2304" i="30"/>
  <c r="F2306" i="30" l="1"/>
  <c r="G2305" i="30"/>
  <c r="F2307" i="30" l="1"/>
  <c r="G2306" i="30"/>
  <c r="F2308" i="30" l="1"/>
  <c r="G2307" i="30"/>
  <c r="F2309" i="30" l="1"/>
  <c r="G2308" i="30"/>
  <c r="F2310" i="30" l="1"/>
  <c r="G2309" i="30"/>
  <c r="F2311" i="30" l="1"/>
  <c r="G2310" i="30"/>
  <c r="F2312" i="30" l="1"/>
  <c r="G2311" i="30"/>
  <c r="F2313" i="30" l="1"/>
  <c r="G2312" i="30"/>
  <c r="F2314" i="30" l="1"/>
  <c r="G2313" i="30"/>
  <c r="F2315" i="30" l="1"/>
  <c r="G2314" i="30"/>
  <c r="F2316" i="30" l="1"/>
  <c r="G2315" i="30"/>
  <c r="F2317" i="30" l="1"/>
  <c r="G2316" i="30"/>
  <c r="F2318" i="30" l="1"/>
  <c r="G2317" i="30"/>
  <c r="F2319" i="30" l="1"/>
  <c r="G2318" i="30"/>
  <c r="F2320" i="30" l="1"/>
  <c r="G2319" i="30"/>
  <c r="F2321" i="30" l="1"/>
  <c r="G2320" i="30"/>
  <c r="F2322" i="30" l="1"/>
  <c r="G2321" i="30"/>
  <c r="F2323" i="30" l="1"/>
  <c r="G2322" i="30"/>
  <c r="F2324" i="30" l="1"/>
  <c r="G2323" i="30"/>
  <c r="F2325" i="30" l="1"/>
  <c r="G2324" i="30"/>
  <c r="F2326" i="30" l="1"/>
  <c r="G2325" i="30"/>
  <c r="F2327" i="30" l="1"/>
  <c r="G2326" i="30"/>
  <c r="F2328" i="30" l="1"/>
  <c r="G2327" i="30"/>
  <c r="F2329" i="30" l="1"/>
  <c r="G2328" i="30"/>
  <c r="F2330" i="30" l="1"/>
  <c r="G2329" i="30"/>
  <c r="F2331" i="30" l="1"/>
  <c r="G2330" i="30"/>
  <c r="F2332" i="30" l="1"/>
  <c r="G2331" i="30"/>
  <c r="F2333" i="30" l="1"/>
  <c r="G2332" i="30"/>
  <c r="F2334" i="30" l="1"/>
  <c r="G2333" i="30"/>
  <c r="F2335" i="30" l="1"/>
  <c r="G2334" i="30"/>
  <c r="F2336" i="30" l="1"/>
  <c r="G2335" i="30"/>
  <c r="F2337" i="30" l="1"/>
  <c r="G2336" i="30"/>
  <c r="F2338" i="30" l="1"/>
  <c r="G2337" i="30"/>
  <c r="F2339" i="30" l="1"/>
  <c r="G2338" i="30"/>
  <c r="F2340" i="30" l="1"/>
  <c r="G2339" i="30"/>
  <c r="F2341" i="30" l="1"/>
  <c r="G2340" i="30"/>
  <c r="F2342" i="30" l="1"/>
  <c r="G2341" i="30"/>
  <c r="F2343" i="30" l="1"/>
  <c r="G2342" i="30"/>
  <c r="F2344" i="30" l="1"/>
  <c r="G2343" i="30"/>
  <c r="F2345" i="30" l="1"/>
  <c r="G2344" i="30"/>
  <c r="F2346" i="30" l="1"/>
  <c r="G2345" i="30"/>
  <c r="F2347" i="30" l="1"/>
  <c r="G2346" i="30"/>
  <c r="F2348" i="30" l="1"/>
  <c r="G2347" i="30"/>
  <c r="F2349" i="30" l="1"/>
  <c r="G2348" i="30"/>
  <c r="F2350" i="30" l="1"/>
  <c r="G2349" i="30"/>
  <c r="F2351" i="30" l="1"/>
  <c r="G2350" i="30"/>
  <c r="F2352" i="30" l="1"/>
  <c r="G2351" i="30"/>
  <c r="F2353" i="30" l="1"/>
  <c r="G2352" i="30"/>
  <c r="F2354" i="30" l="1"/>
  <c r="G2353" i="30"/>
  <c r="F2355" i="30" l="1"/>
  <c r="G2354" i="30"/>
  <c r="F2356" i="30" l="1"/>
  <c r="G2355" i="30"/>
  <c r="F2357" i="30" l="1"/>
  <c r="G2356" i="30"/>
  <c r="F2358" i="30" l="1"/>
  <c r="G2357" i="30"/>
  <c r="F2359" i="30" l="1"/>
  <c r="G2358" i="30"/>
  <c r="F2360" i="30" l="1"/>
  <c r="G2359" i="30"/>
  <c r="F2361" i="30" l="1"/>
  <c r="G2360" i="30"/>
  <c r="F2362" i="30" l="1"/>
  <c r="G2361" i="30"/>
  <c r="F2363" i="30" l="1"/>
  <c r="G2362" i="30"/>
  <c r="F2364" i="30" l="1"/>
  <c r="G2363" i="30"/>
  <c r="F2365" i="30" l="1"/>
  <c r="G2364" i="30"/>
  <c r="F2366" i="30" l="1"/>
  <c r="G2365" i="30"/>
  <c r="F2367" i="30" l="1"/>
  <c r="G2366" i="30"/>
  <c r="F2368" i="30" l="1"/>
  <c r="G2367" i="30"/>
  <c r="F2369" i="30" l="1"/>
  <c r="G2368" i="30"/>
  <c r="F2370" i="30" l="1"/>
  <c r="G2369" i="30"/>
  <c r="F2371" i="30" l="1"/>
  <c r="G2370" i="30"/>
  <c r="F2372" i="30" l="1"/>
  <c r="G2371" i="30"/>
  <c r="F2373" i="30" l="1"/>
  <c r="G2372" i="30"/>
  <c r="F2374" i="30" l="1"/>
  <c r="G2373" i="30"/>
  <c r="F2375" i="30" l="1"/>
  <c r="G2374" i="30"/>
  <c r="F2376" i="30" l="1"/>
  <c r="G2375" i="30"/>
  <c r="F2377" i="30" l="1"/>
  <c r="G2376" i="30"/>
  <c r="F2378" i="30" l="1"/>
  <c r="G2377" i="30"/>
  <c r="F2379" i="30" l="1"/>
  <c r="G2378" i="30"/>
  <c r="F2380" i="30" l="1"/>
  <c r="G2379" i="30"/>
  <c r="F2381" i="30" l="1"/>
  <c r="G2380" i="30"/>
  <c r="F2382" i="30" l="1"/>
  <c r="G2381" i="30"/>
  <c r="F2383" i="30" l="1"/>
  <c r="G2382" i="30"/>
  <c r="F2384" i="30" l="1"/>
  <c r="G2383" i="30"/>
  <c r="F2385" i="30" l="1"/>
  <c r="G2384" i="30"/>
  <c r="F2386" i="30" l="1"/>
  <c r="G2385" i="30"/>
  <c r="F2387" i="30" l="1"/>
  <c r="G2386" i="30"/>
  <c r="F2388" i="30" l="1"/>
  <c r="G2387" i="30"/>
  <c r="F2389" i="30" l="1"/>
  <c r="G2388" i="30"/>
  <c r="F2390" i="30" l="1"/>
  <c r="G2389" i="30"/>
  <c r="F2391" i="30" l="1"/>
  <c r="G2390" i="30"/>
  <c r="F2392" i="30" l="1"/>
  <c r="G2391" i="30"/>
  <c r="F2393" i="30" l="1"/>
  <c r="G2392" i="30"/>
  <c r="F2394" i="30" l="1"/>
  <c r="G2393" i="30"/>
  <c r="F2395" i="30" l="1"/>
  <c r="G2394" i="30"/>
  <c r="F2396" i="30" l="1"/>
  <c r="G2395" i="30"/>
  <c r="F2397" i="30" l="1"/>
  <c r="G2396" i="30"/>
  <c r="F2398" i="30" l="1"/>
  <c r="G2397" i="30"/>
  <c r="F2399" i="30" l="1"/>
  <c r="G2398" i="30"/>
  <c r="F2400" i="30" l="1"/>
  <c r="G2399" i="30"/>
  <c r="F2401" i="30" l="1"/>
  <c r="G2400" i="30"/>
  <c r="F2402" i="30" l="1"/>
  <c r="G2401" i="30"/>
  <c r="F2403" i="30" l="1"/>
  <c r="G2402" i="30"/>
  <c r="F2404" i="30" l="1"/>
  <c r="G2403" i="30"/>
  <c r="F2405" i="30" l="1"/>
  <c r="G2404" i="30"/>
  <c r="F2406" i="30" l="1"/>
  <c r="G2405" i="30"/>
  <c r="F2407" i="30" l="1"/>
  <c r="G2406" i="30"/>
  <c r="F2408" i="30" l="1"/>
  <c r="G2407" i="30"/>
  <c r="F2409" i="30" l="1"/>
  <c r="G2408" i="30"/>
  <c r="F2410" i="30" l="1"/>
  <c r="G2409" i="30"/>
  <c r="F2411" i="30" l="1"/>
  <c r="G2410" i="30"/>
  <c r="F2412" i="30" l="1"/>
  <c r="G2411" i="30"/>
  <c r="F2413" i="30" l="1"/>
  <c r="G2412" i="30"/>
  <c r="F2414" i="30" l="1"/>
  <c r="G2413" i="30"/>
  <c r="F2415" i="30" l="1"/>
  <c r="G2414" i="30"/>
  <c r="F2416" i="30" l="1"/>
  <c r="G2415" i="30"/>
  <c r="F2417" i="30" l="1"/>
  <c r="G2416" i="30"/>
  <c r="F2418" i="30" l="1"/>
  <c r="G2417" i="30"/>
  <c r="F2419" i="30" l="1"/>
  <c r="G2418" i="30"/>
  <c r="F2420" i="30" l="1"/>
  <c r="G2419" i="30"/>
  <c r="F2421" i="30" l="1"/>
  <c r="G2420" i="30"/>
  <c r="F2422" i="30" l="1"/>
  <c r="G2421" i="30"/>
  <c r="F2423" i="30" l="1"/>
  <c r="G2422" i="30"/>
  <c r="F2424" i="30" l="1"/>
  <c r="G2423" i="30"/>
  <c r="F2425" i="30" l="1"/>
  <c r="G2424" i="30"/>
  <c r="F2426" i="30" l="1"/>
  <c r="G2425" i="30"/>
  <c r="F2427" i="30" l="1"/>
  <c r="G2426" i="30"/>
  <c r="F2428" i="30" l="1"/>
  <c r="G2427" i="30"/>
  <c r="F2429" i="30" l="1"/>
  <c r="G2428" i="30"/>
  <c r="F2430" i="30" l="1"/>
  <c r="G2429" i="30"/>
  <c r="F2431" i="30" l="1"/>
  <c r="G2430" i="30"/>
  <c r="F2432" i="30" l="1"/>
  <c r="G2431" i="30"/>
  <c r="F2433" i="30" l="1"/>
  <c r="G2432" i="30"/>
  <c r="F2434" i="30" l="1"/>
  <c r="G2433" i="30"/>
  <c r="F2435" i="30" l="1"/>
  <c r="G2434" i="30"/>
  <c r="F2436" i="30" l="1"/>
  <c r="G2435" i="30"/>
  <c r="F2437" i="30" l="1"/>
  <c r="G2436" i="30"/>
  <c r="F2438" i="30" l="1"/>
  <c r="G2437" i="30"/>
  <c r="F2439" i="30" l="1"/>
  <c r="G2438" i="30"/>
  <c r="F2440" i="30" l="1"/>
  <c r="G2439" i="30"/>
  <c r="F2441" i="30" l="1"/>
  <c r="G2440" i="30"/>
  <c r="F2442" i="30" l="1"/>
  <c r="G2441" i="30"/>
  <c r="F2443" i="30" l="1"/>
  <c r="G2442" i="30"/>
  <c r="F2444" i="30" l="1"/>
  <c r="G2443" i="30"/>
  <c r="F2445" i="30" l="1"/>
  <c r="G2444" i="30"/>
  <c r="F2446" i="30" l="1"/>
  <c r="G2445" i="30"/>
  <c r="F2447" i="30" l="1"/>
  <c r="G2446" i="30"/>
  <c r="F2448" i="30" l="1"/>
  <c r="G2447" i="30"/>
  <c r="F2449" i="30" l="1"/>
  <c r="G2448" i="30"/>
  <c r="F2450" i="30" l="1"/>
  <c r="G2449" i="30"/>
  <c r="F2451" i="30" l="1"/>
  <c r="G2450" i="30"/>
  <c r="F2452" i="30" l="1"/>
  <c r="G2451" i="30"/>
  <c r="F2453" i="30" l="1"/>
  <c r="G2452" i="30"/>
  <c r="F2454" i="30" l="1"/>
  <c r="G2453" i="30"/>
  <c r="F2455" i="30" l="1"/>
  <c r="G2454" i="30"/>
  <c r="F2456" i="30" l="1"/>
  <c r="G2455" i="30"/>
  <c r="F2457" i="30" l="1"/>
  <c r="G2456" i="30"/>
  <c r="F2458" i="30" l="1"/>
  <c r="G2457" i="30"/>
  <c r="F2459" i="30" l="1"/>
  <c r="G2458" i="30"/>
  <c r="F2460" i="30" l="1"/>
  <c r="G2459" i="30"/>
  <c r="F2461" i="30" l="1"/>
  <c r="G2460" i="30"/>
  <c r="F2462" i="30" l="1"/>
  <c r="G2461" i="30"/>
  <c r="F2463" i="30" l="1"/>
  <c r="G2462" i="30"/>
  <c r="F2464" i="30" l="1"/>
  <c r="G2463" i="30"/>
  <c r="F2465" i="30" l="1"/>
  <c r="G2464" i="30"/>
  <c r="F2466" i="30" l="1"/>
  <c r="G2465" i="30"/>
  <c r="F2467" i="30" l="1"/>
  <c r="G2466" i="30"/>
  <c r="F2468" i="30" l="1"/>
  <c r="G2467" i="30"/>
  <c r="F2469" i="30" l="1"/>
  <c r="G2468" i="30"/>
  <c r="F2470" i="30" l="1"/>
  <c r="G2469" i="30"/>
  <c r="F2471" i="30" l="1"/>
  <c r="G2470" i="30"/>
  <c r="F2472" i="30" l="1"/>
  <c r="G2471" i="30"/>
  <c r="F2473" i="30" l="1"/>
  <c r="G2472" i="30"/>
  <c r="F2474" i="30" l="1"/>
  <c r="G2473" i="30"/>
  <c r="F2475" i="30" l="1"/>
  <c r="G2474" i="30"/>
  <c r="F2476" i="30" l="1"/>
  <c r="G2475" i="30"/>
  <c r="F2477" i="30" l="1"/>
  <c r="G2476" i="30"/>
  <c r="F2478" i="30" l="1"/>
  <c r="G2477" i="30"/>
  <c r="F2479" i="30" l="1"/>
  <c r="G2478" i="30"/>
  <c r="F2480" i="30" l="1"/>
  <c r="G2479" i="30"/>
  <c r="F2481" i="30" l="1"/>
  <c r="G2480" i="30"/>
  <c r="F2482" i="30" l="1"/>
  <c r="G2481" i="30"/>
  <c r="F2483" i="30" l="1"/>
  <c r="G2482" i="30"/>
  <c r="F2484" i="30" l="1"/>
  <c r="G2483" i="30"/>
  <c r="F2485" i="30" l="1"/>
  <c r="G2484" i="30"/>
  <c r="F2486" i="30" l="1"/>
  <c r="G2485" i="30"/>
  <c r="F2487" i="30" l="1"/>
  <c r="G2486" i="30"/>
  <c r="F2488" i="30" l="1"/>
  <c r="G2487" i="30"/>
  <c r="F2489" i="30" l="1"/>
  <c r="G2488" i="30"/>
  <c r="F2490" i="30" l="1"/>
  <c r="G2489" i="30"/>
  <c r="F2491" i="30" l="1"/>
  <c r="G2490" i="30"/>
  <c r="F2492" i="30" l="1"/>
  <c r="G2491" i="30"/>
  <c r="F2493" i="30" l="1"/>
  <c r="G2492" i="30"/>
  <c r="F2494" i="30" l="1"/>
  <c r="G2493" i="30"/>
  <c r="F2495" i="30" l="1"/>
  <c r="G2494" i="30"/>
  <c r="F2496" i="30" l="1"/>
  <c r="G2495" i="30"/>
  <c r="F2497" i="30" l="1"/>
  <c r="G2496" i="30"/>
  <c r="F2498" i="30" l="1"/>
  <c r="G2497" i="30"/>
  <c r="F2499" i="30" l="1"/>
  <c r="G2498" i="30"/>
  <c r="F2500" i="30" l="1"/>
  <c r="G2499" i="30"/>
  <c r="F2501" i="30" l="1"/>
  <c r="G2500" i="30"/>
  <c r="F2502" i="30" l="1"/>
  <c r="G2501" i="30"/>
  <c r="F2503" i="30" l="1"/>
  <c r="G2502" i="30"/>
  <c r="F2504" i="30" l="1"/>
  <c r="G2503" i="30"/>
  <c r="F2505" i="30" l="1"/>
  <c r="G2504" i="30"/>
  <c r="F2506" i="30" l="1"/>
  <c r="G2505" i="30"/>
  <c r="F2507" i="30" l="1"/>
  <c r="G2506" i="30"/>
  <c r="F2508" i="30" l="1"/>
  <c r="G2507" i="30"/>
  <c r="F2509" i="30" l="1"/>
  <c r="G2508" i="30"/>
  <c r="F2510" i="30" l="1"/>
  <c r="G2509" i="30"/>
  <c r="F2511" i="30" l="1"/>
  <c r="G2510" i="30"/>
  <c r="F2512" i="30" l="1"/>
  <c r="G2511" i="30"/>
  <c r="F2513" i="30" l="1"/>
  <c r="G2512" i="30"/>
  <c r="F2514" i="30" l="1"/>
  <c r="G2513" i="30"/>
  <c r="F2515" i="30" l="1"/>
  <c r="G2514" i="30"/>
  <c r="F2516" i="30" l="1"/>
  <c r="G2515" i="30"/>
  <c r="F2517" i="30" l="1"/>
  <c r="G2516" i="30"/>
  <c r="F2518" i="30" l="1"/>
  <c r="G2517" i="30"/>
  <c r="F2519" i="30" l="1"/>
  <c r="G2518" i="30"/>
  <c r="F2520" i="30" l="1"/>
  <c r="G2519" i="30"/>
  <c r="F2521" i="30" l="1"/>
  <c r="G2520" i="30"/>
  <c r="F2522" i="30" l="1"/>
  <c r="G2521" i="30"/>
  <c r="F2523" i="30" l="1"/>
  <c r="G2522" i="30"/>
  <c r="F2524" i="30" l="1"/>
  <c r="G2523" i="30"/>
  <c r="F2525" i="30" l="1"/>
  <c r="G2524" i="30"/>
  <c r="F2526" i="30" l="1"/>
  <c r="G2525" i="30"/>
  <c r="F2527" i="30" l="1"/>
  <c r="G2526" i="30"/>
  <c r="F2528" i="30" l="1"/>
  <c r="G2527" i="30"/>
  <c r="F2529" i="30" l="1"/>
  <c r="G2528" i="30"/>
  <c r="F2530" i="30" l="1"/>
  <c r="G2529" i="30"/>
  <c r="F2531" i="30" l="1"/>
  <c r="G2530" i="30"/>
  <c r="F2532" i="30" l="1"/>
  <c r="G2531" i="30"/>
  <c r="F2533" i="30" l="1"/>
  <c r="G2532" i="30"/>
  <c r="F2534" i="30" l="1"/>
  <c r="G2533" i="30"/>
  <c r="F2535" i="30" l="1"/>
  <c r="G2534" i="30"/>
  <c r="F2536" i="30" l="1"/>
  <c r="G2535" i="30"/>
  <c r="F2537" i="30" l="1"/>
  <c r="G2536" i="30"/>
  <c r="F2538" i="30" l="1"/>
  <c r="G2537" i="30"/>
  <c r="F2539" i="30" l="1"/>
  <c r="G2538" i="30"/>
  <c r="F2540" i="30" l="1"/>
  <c r="G2539" i="30"/>
  <c r="F2541" i="30" l="1"/>
  <c r="G2540" i="30"/>
  <c r="F2542" i="30" l="1"/>
  <c r="G2541" i="30"/>
  <c r="F2544" i="30" l="1"/>
  <c r="G2542" i="30"/>
  <c r="F2545" i="30" l="1"/>
  <c r="G2544" i="30"/>
  <c r="F2546" i="30" l="1"/>
  <c r="G2545" i="30"/>
  <c r="F2547" i="30" l="1"/>
  <c r="G2546" i="30"/>
  <c r="F2548" i="30" l="1"/>
  <c r="G2547" i="30"/>
  <c r="F2549" i="30" l="1"/>
  <c r="G2548" i="30"/>
  <c r="F2550" i="30" l="1"/>
  <c r="G2549" i="30"/>
  <c r="F2551" i="30" l="1"/>
  <c r="G2550" i="30"/>
  <c r="F2552" i="30" l="1"/>
  <c r="G2551" i="30"/>
  <c r="F2553" i="30" l="1"/>
  <c r="G2552" i="30"/>
  <c r="F2554" i="30" l="1"/>
  <c r="G2553" i="30"/>
  <c r="F2555" i="30" l="1"/>
  <c r="G2554" i="30"/>
  <c r="F2556" i="30" l="1"/>
  <c r="G2555" i="30"/>
  <c r="F2557" i="30" l="1"/>
  <c r="G2556" i="30"/>
  <c r="F2558" i="30" l="1"/>
  <c r="G2557" i="30"/>
  <c r="F2559" i="30" l="1"/>
  <c r="G2558" i="30"/>
  <c r="F2560" i="30" l="1"/>
  <c r="G2559" i="30"/>
  <c r="F2561" i="30" l="1"/>
  <c r="G2560" i="30"/>
  <c r="F2562" i="30" l="1"/>
  <c r="G2561" i="30"/>
  <c r="F2563" i="30" l="1"/>
  <c r="G2562" i="30"/>
  <c r="F2564" i="30" l="1"/>
  <c r="G2563" i="30"/>
  <c r="F2565" i="30" l="1"/>
  <c r="G2564" i="30"/>
  <c r="F2566" i="30" l="1"/>
  <c r="G2565" i="30"/>
  <c r="F2567" i="30" l="1"/>
  <c r="G2566" i="30"/>
  <c r="F2568" i="30" l="1"/>
  <c r="G2567" i="30"/>
  <c r="F2569" i="30" l="1"/>
  <c r="G2568" i="30"/>
  <c r="F2570" i="30" l="1"/>
  <c r="G2569" i="30"/>
  <c r="F2571" i="30" l="1"/>
  <c r="G2570" i="30"/>
  <c r="F2572" i="30" l="1"/>
  <c r="G2571" i="30"/>
  <c r="F2573" i="30" l="1"/>
  <c r="G2572" i="30"/>
  <c r="F2574" i="30" l="1"/>
  <c r="G2573" i="30"/>
  <c r="F2575" i="30" l="1"/>
  <c r="G2574" i="30"/>
  <c r="F2576" i="30" l="1"/>
  <c r="G2575" i="30"/>
  <c r="F2577" i="30" l="1"/>
  <c r="G2576" i="30"/>
  <c r="F2578" i="30" l="1"/>
  <c r="G2577" i="30"/>
  <c r="F2579" i="30" l="1"/>
  <c r="G2578" i="30"/>
  <c r="F2580" i="30" l="1"/>
  <c r="G2579" i="30"/>
  <c r="F2581" i="30" l="1"/>
  <c r="G2580" i="30"/>
  <c r="F2582" i="30" l="1"/>
  <c r="G2581" i="30"/>
  <c r="F2583" i="30" l="1"/>
  <c r="G2582" i="30"/>
  <c r="F2584" i="30" l="1"/>
  <c r="G2583" i="30"/>
  <c r="F2585" i="30" l="1"/>
  <c r="G2584" i="30"/>
  <c r="F2586" i="30" l="1"/>
  <c r="G2585" i="30"/>
  <c r="F2587" i="30" l="1"/>
  <c r="G2586" i="30"/>
  <c r="F2588" i="30" l="1"/>
  <c r="G2587" i="30"/>
  <c r="F2589" i="30" l="1"/>
  <c r="G2588" i="30"/>
  <c r="F2590" i="30" l="1"/>
  <c r="G2589" i="30"/>
  <c r="F2591" i="30" l="1"/>
  <c r="G2590" i="30"/>
  <c r="F2592" i="30" l="1"/>
  <c r="G2591" i="30"/>
  <c r="F2593" i="30" l="1"/>
  <c r="G2592" i="30"/>
  <c r="F2594" i="30" l="1"/>
  <c r="G2593" i="30"/>
  <c r="F2595" i="30" l="1"/>
  <c r="G2594" i="30"/>
  <c r="F2596" i="30" l="1"/>
  <c r="G2595" i="30"/>
  <c r="F2597" i="30" l="1"/>
  <c r="G2596" i="30"/>
  <c r="F2598" i="30" l="1"/>
  <c r="G2597" i="30"/>
  <c r="F2599" i="30" l="1"/>
  <c r="G2598" i="30"/>
  <c r="F2600" i="30" l="1"/>
  <c r="G2599" i="30"/>
  <c r="F2601" i="30" l="1"/>
  <c r="G2600" i="30"/>
  <c r="F2602" i="30" l="1"/>
  <c r="G2601" i="30"/>
  <c r="F2603" i="30" l="1"/>
  <c r="G2602" i="30"/>
  <c r="F2604" i="30" l="1"/>
  <c r="G2603" i="30"/>
  <c r="F2605" i="30" l="1"/>
  <c r="G2604" i="30"/>
  <c r="F2606" i="30" l="1"/>
  <c r="G2605" i="30"/>
  <c r="F2607" i="30" l="1"/>
  <c r="G2606" i="30"/>
  <c r="F2608" i="30" l="1"/>
  <c r="G2607" i="30"/>
  <c r="F2609" i="30" l="1"/>
  <c r="G2608" i="30"/>
  <c r="F2610" i="30" l="1"/>
  <c r="G2609" i="30"/>
  <c r="F2611" i="30" l="1"/>
  <c r="G2610" i="30"/>
  <c r="F2612" i="30" l="1"/>
  <c r="G2611" i="30"/>
  <c r="F2613" i="30" l="1"/>
  <c r="G2612" i="30"/>
  <c r="F2614" i="30" l="1"/>
  <c r="G2613" i="30"/>
  <c r="F2615" i="30" l="1"/>
  <c r="G2614" i="30"/>
  <c r="F2616" i="30" l="1"/>
  <c r="G2615" i="30"/>
  <c r="F2617" i="30" l="1"/>
  <c r="G2616" i="30"/>
  <c r="F2618" i="30" l="1"/>
  <c r="G2617" i="30"/>
  <c r="F2619" i="30" l="1"/>
  <c r="G2618" i="30"/>
  <c r="F2620" i="30" l="1"/>
  <c r="G2619" i="30"/>
  <c r="F2621" i="30" l="1"/>
  <c r="G2620" i="30"/>
  <c r="F2622" i="30" l="1"/>
  <c r="G2621" i="30"/>
  <c r="F2623" i="30" l="1"/>
  <c r="G2622" i="30"/>
  <c r="F2624" i="30" l="1"/>
  <c r="G2623" i="30"/>
  <c r="F2625" i="30" l="1"/>
  <c r="G2624" i="30"/>
  <c r="F2626" i="30" l="1"/>
  <c r="G2625" i="30"/>
  <c r="F2627" i="30" l="1"/>
  <c r="G2626" i="30"/>
  <c r="F2628" i="30" l="1"/>
  <c r="G2627" i="30"/>
  <c r="F2629" i="30" l="1"/>
  <c r="G2628" i="30"/>
  <c r="F2630" i="30" l="1"/>
  <c r="G2629" i="30"/>
  <c r="F2631" i="30" l="1"/>
  <c r="G2630" i="30"/>
  <c r="F2632" i="30" l="1"/>
  <c r="G2631" i="30"/>
  <c r="F2633" i="30" l="1"/>
  <c r="G2632" i="30"/>
  <c r="F2634" i="30" l="1"/>
  <c r="G2633" i="30"/>
  <c r="F2635" i="30" l="1"/>
  <c r="G2634" i="30"/>
  <c r="F2636" i="30" l="1"/>
  <c r="G2635" i="30"/>
  <c r="F2637" i="30" l="1"/>
  <c r="G2636" i="30"/>
  <c r="F2638" i="30" l="1"/>
  <c r="G2637" i="30"/>
  <c r="F2639" i="30" l="1"/>
  <c r="G2638" i="30"/>
  <c r="F2640" i="30" l="1"/>
  <c r="G2639" i="30"/>
  <c r="F2641" i="30" l="1"/>
  <c r="G2640" i="30"/>
  <c r="F2642" i="30" l="1"/>
  <c r="G2641" i="30"/>
  <c r="F2643" i="30" l="1"/>
  <c r="G2642" i="30"/>
  <c r="F2644" i="30" l="1"/>
  <c r="G2643" i="30"/>
  <c r="F2645" i="30" l="1"/>
  <c r="G2644" i="30"/>
  <c r="F2646" i="30" l="1"/>
  <c r="G2645" i="30"/>
  <c r="F2647" i="30" l="1"/>
  <c r="G2646" i="30"/>
  <c r="F2648" i="30" l="1"/>
  <c r="G2647" i="30"/>
  <c r="F2649" i="30" l="1"/>
  <c r="G2648" i="30"/>
  <c r="F2650" i="30" l="1"/>
  <c r="G2649" i="30"/>
  <c r="F2651" i="30" l="1"/>
  <c r="G2650" i="30"/>
  <c r="F2652" i="30" l="1"/>
  <c r="G2651" i="30"/>
  <c r="F2653" i="30" l="1"/>
  <c r="G2652" i="30"/>
  <c r="F2654" i="30" l="1"/>
  <c r="G2653" i="30"/>
  <c r="F2655" i="30" l="1"/>
  <c r="G2654" i="30"/>
  <c r="F2656" i="30" l="1"/>
  <c r="G2655" i="30"/>
  <c r="F2657" i="30" l="1"/>
  <c r="G2656" i="30"/>
  <c r="F2658" i="30" l="1"/>
  <c r="G2657" i="30"/>
  <c r="F2659" i="30" l="1"/>
  <c r="G2658" i="30"/>
  <c r="F2660" i="30" l="1"/>
  <c r="G2659" i="30"/>
  <c r="F2661" i="30" l="1"/>
  <c r="G2660" i="30"/>
  <c r="F2662" i="30" l="1"/>
  <c r="G2661" i="30"/>
  <c r="F2663" i="30" l="1"/>
  <c r="G2662" i="30"/>
  <c r="F2664" i="30" l="1"/>
  <c r="G2663" i="30"/>
  <c r="F2665" i="30" l="1"/>
  <c r="G2664" i="30"/>
  <c r="F2666" i="30" l="1"/>
  <c r="G2665" i="30"/>
  <c r="F2667" i="30" l="1"/>
  <c r="G2666" i="30"/>
  <c r="F2668" i="30" l="1"/>
  <c r="G2667" i="30"/>
  <c r="F2669" i="30" l="1"/>
  <c r="G2668" i="30"/>
  <c r="F2670" i="30" l="1"/>
  <c r="G2669" i="30"/>
  <c r="F2671" i="30" l="1"/>
  <c r="G2670" i="30"/>
  <c r="F2672" i="30" l="1"/>
  <c r="G2671" i="30"/>
  <c r="F2673" i="30" l="1"/>
  <c r="G2672" i="30"/>
  <c r="F2674" i="30" l="1"/>
  <c r="G2673" i="30"/>
  <c r="F2675" i="30" l="1"/>
  <c r="G2674" i="30"/>
  <c r="F2676" i="30" l="1"/>
  <c r="G2675" i="30"/>
  <c r="F2677" i="30" l="1"/>
  <c r="G2676" i="30"/>
  <c r="F2678" i="30" l="1"/>
  <c r="G2677" i="30"/>
  <c r="F2679" i="30" l="1"/>
  <c r="G2678" i="30"/>
  <c r="F2680" i="30" l="1"/>
  <c r="G2679" i="30"/>
  <c r="F2681" i="30" l="1"/>
  <c r="G2680" i="30"/>
  <c r="F2682" i="30" l="1"/>
  <c r="G2681" i="30"/>
  <c r="F2683" i="30" l="1"/>
  <c r="G2682" i="30"/>
  <c r="F2684" i="30" l="1"/>
  <c r="G2683" i="30"/>
  <c r="F2685" i="30" l="1"/>
  <c r="G2684" i="30"/>
  <c r="F2686" i="30" l="1"/>
  <c r="G2685" i="30"/>
  <c r="F2687" i="30" l="1"/>
  <c r="G2686" i="30"/>
  <c r="F2688" i="30" l="1"/>
  <c r="G2687" i="30"/>
  <c r="F2689" i="30" l="1"/>
  <c r="G2688" i="30"/>
  <c r="F2690" i="30" l="1"/>
  <c r="G2689" i="30"/>
  <c r="F2691" i="30" l="1"/>
  <c r="G2690" i="30"/>
  <c r="F2692" i="30" l="1"/>
  <c r="G2691" i="30"/>
  <c r="F2693" i="30" l="1"/>
  <c r="G2692" i="30"/>
  <c r="F2694" i="30" l="1"/>
  <c r="G2693" i="30"/>
  <c r="F2695" i="30" l="1"/>
  <c r="G2694" i="30"/>
  <c r="F2696" i="30" l="1"/>
  <c r="G2695" i="30"/>
  <c r="F2697" i="30" l="1"/>
  <c r="G2696" i="30"/>
  <c r="F2698" i="30" l="1"/>
  <c r="G2697" i="30"/>
  <c r="F2699" i="30" l="1"/>
  <c r="G2698" i="30"/>
  <c r="F2700" i="30" l="1"/>
  <c r="G2699" i="30"/>
  <c r="F2701" i="30" l="1"/>
  <c r="G2700" i="30"/>
  <c r="F2702" i="30" l="1"/>
  <c r="G2701" i="30"/>
  <c r="F2703" i="30" l="1"/>
  <c r="G2702" i="30"/>
  <c r="F2704" i="30" l="1"/>
  <c r="G2703" i="30"/>
  <c r="F2705" i="30" l="1"/>
  <c r="G2704" i="30"/>
  <c r="F2707" i="30" l="1"/>
  <c r="G2705" i="30"/>
  <c r="F2708" i="30" l="1"/>
  <c r="G2707" i="30"/>
  <c r="F2709" i="30" l="1"/>
  <c r="G2708" i="30"/>
  <c r="F2710" i="30" l="1"/>
  <c r="G2709" i="30"/>
  <c r="F2711" i="30" l="1"/>
  <c r="G2710" i="30"/>
  <c r="F2712" i="30" l="1"/>
  <c r="G2711" i="30"/>
  <c r="F2713" i="30" l="1"/>
  <c r="G2712" i="30"/>
  <c r="F2714" i="30" l="1"/>
  <c r="G2713" i="30"/>
  <c r="F2715" i="30" l="1"/>
  <c r="G2714" i="30"/>
  <c r="F2716" i="30" l="1"/>
  <c r="G2715" i="30"/>
  <c r="F2717" i="30" l="1"/>
  <c r="G2716" i="30"/>
  <c r="F2718" i="30" l="1"/>
  <c r="G2717" i="30"/>
  <c r="F2719" i="30" l="1"/>
  <c r="G2718" i="30"/>
  <c r="F2720" i="30" l="1"/>
  <c r="G2719" i="30"/>
  <c r="F2721" i="30" l="1"/>
  <c r="G2720" i="30"/>
  <c r="F2722" i="30" l="1"/>
  <c r="G2721" i="30"/>
  <c r="F2723" i="30" l="1"/>
  <c r="G2722" i="30"/>
  <c r="F2724" i="30" l="1"/>
  <c r="G2723" i="30"/>
  <c r="F2725" i="30" l="1"/>
  <c r="G2724" i="30"/>
  <c r="F2726" i="30" l="1"/>
  <c r="G2725" i="30"/>
  <c r="F2727" i="30" l="1"/>
  <c r="G2726" i="30"/>
  <c r="F2728" i="30" l="1"/>
  <c r="G2727" i="30"/>
  <c r="F2729" i="30" l="1"/>
  <c r="G2728" i="30"/>
  <c r="F2730" i="30" l="1"/>
  <c r="G2729" i="30"/>
  <c r="F2731" i="30" l="1"/>
  <c r="G2730" i="30"/>
  <c r="F2732" i="30" l="1"/>
  <c r="G2731" i="30"/>
  <c r="F2733" i="30" l="1"/>
  <c r="G2732" i="30"/>
  <c r="F2734" i="30" l="1"/>
  <c r="G2733" i="30"/>
  <c r="F2735" i="30" l="1"/>
  <c r="G2734" i="30"/>
  <c r="F2736" i="30" l="1"/>
  <c r="G2735" i="30"/>
  <c r="F2737" i="30" l="1"/>
  <c r="G2736" i="30"/>
  <c r="F2738" i="30" l="1"/>
  <c r="G2737" i="30"/>
  <c r="F2739" i="30" l="1"/>
  <c r="G2738" i="30"/>
  <c r="F2740" i="30" l="1"/>
  <c r="G2739" i="30"/>
  <c r="F2741" i="30" l="1"/>
  <c r="G2740" i="30"/>
  <c r="F2742" i="30" l="1"/>
  <c r="G2741" i="30"/>
  <c r="F2743" i="30" l="1"/>
  <c r="G2742" i="30"/>
  <c r="F2744" i="30" l="1"/>
  <c r="G2743" i="30"/>
  <c r="F2745" i="30" l="1"/>
  <c r="G2744" i="30"/>
  <c r="F2746" i="30" l="1"/>
  <c r="G2745" i="30"/>
  <c r="F2747" i="30" l="1"/>
  <c r="G2746" i="30"/>
  <c r="F2748" i="30" l="1"/>
  <c r="G2747" i="30"/>
  <c r="F2749" i="30" l="1"/>
  <c r="G2748" i="30"/>
  <c r="F2750" i="30" l="1"/>
  <c r="G2749" i="30"/>
  <c r="F2751" i="30" l="1"/>
  <c r="G2750" i="30"/>
  <c r="F2752" i="30" l="1"/>
  <c r="G2751" i="30"/>
  <c r="F2753" i="30" l="1"/>
  <c r="G2752" i="30"/>
  <c r="F2754" i="30" l="1"/>
  <c r="G2753" i="30"/>
  <c r="F2755" i="30" l="1"/>
  <c r="G2754" i="30"/>
  <c r="F2756" i="30" l="1"/>
  <c r="G2755" i="30"/>
  <c r="F2757" i="30" l="1"/>
  <c r="G2756" i="30"/>
  <c r="F2758" i="30" l="1"/>
  <c r="G2757" i="30"/>
  <c r="F2759" i="30" l="1"/>
  <c r="G2758" i="30"/>
  <c r="F2760" i="30" l="1"/>
  <c r="G2759" i="30"/>
  <c r="F2761" i="30" l="1"/>
  <c r="G2760" i="30"/>
  <c r="F2762" i="30" l="1"/>
  <c r="G2761" i="30"/>
  <c r="F2763" i="30" l="1"/>
  <c r="G2762" i="30"/>
  <c r="F2764" i="30" l="1"/>
  <c r="G2763" i="30"/>
  <c r="F2765" i="30" l="1"/>
  <c r="G2764" i="30"/>
  <c r="F2766" i="30" l="1"/>
  <c r="G2765" i="30"/>
  <c r="F2767" i="30" l="1"/>
  <c r="G2766" i="30"/>
  <c r="F2768" i="30" l="1"/>
  <c r="G2767" i="30"/>
  <c r="F2769" i="30" l="1"/>
  <c r="G2768" i="30"/>
  <c r="F2770" i="30" l="1"/>
  <c r="G2769" i="30"/>
  <c r="F2771" i="30" l="1"/>
  <c r="G2770" i="30"/>
  <c r="F2772" i="30" l="1"/>
  <c r="G2771" i="30"/>
  <c r="F2773" i="30" l="1"/>
  <c r="G2772" i="30"/>
  <c r="F2774" i="30" l="1"/>
  <c r="G2773" i="30"/>
  <c r="F2775" i="30" l="1"/>
  <c r="G2774" i="30"/>
  <c r="F2776" i="30" l="1"/>
  <c r="G2775" i="30"/>
  <c r="F2777" i="30" l="1"/>
  <c r="G2776" i="30"/>
  <c r="F2778" i="30" l="1"/>
  <c r="G2777" i="30"/>
  <c r="F2779" i="30" l="1"/>
  <c r="G2778" i="30"/>
  <c r="F2780" i="30" l="1"/>
  <c r="G2779" i="30"/>
  <c r="F2781" i="30" l="1"/>
  <c r="G2780" i="30"/>
  <c r="F2782" i="30" l="1"/>
  <c r="G2781" i="30"/>
  <c r="F2783" i="30" l="1"/>
  <c r="G2782" i="30"/>
  <c r="F2784" i="30" l="1"/>
  <c r="G2783" i="30"/>
  <c r="F2785" i="30" l="1"/>
  <c r="G2784" i="30"/>
  <c r="F2786" i="30" l="1"/>
  <c r="G2785" i="30"/>
  <c r="F2787" i="30" l="1"/>
  <c r="G2786" i="30"/>
  <c r="F2788" i="30" l="1"/>
  <c r="G2787" i="30"/>
  <c r="F2789" i="30" l="1"/>
  <c r="G2788" i="30"/>
  <c r="F2790" i="30" l="1"/>
  <c r="G2789" i="30"/>
  <c r="F2791" i="30" l="1"/>
  <c r="G2790" i="30"/>
  <c r="F2792" i="30" l="1"/>
  <c r="G2791" i="30"/>
  <c r="F2793" i="30" l="1"/>
  <c r="G2792" i="30"/>
  <c r="F2794" i="30" l="1"/>
  <c r="G2793" i="30"/>
  <c r="F2795" i="30" l="1"/>
  <c r="G2794" i="30"/>
  <c r="F2796" i="30" l="1"/>
  <c r="G2795" i="30"/>
  <c r="F2797" i="30" l="1"/>
  <c r="G2796" i="30"/>
  <c r="F2798" i="30" l="1"/>
  <c r="G2797" i="30"/>
  <c r="F2799" i="30" l="1"/>
  <c r="G2798" i="30"/>
  <c r="F2800" i="30" l="1"/>
  <c r="G2799" i="30"/>
  <c r="F2801" i="30" l="1"/>
  <c r="G2800" i="30"/>
  <c r="F2802" i="30" l="1"/>
  <c r="G2801" i="30"/>
  <c r="F2803" i="30" l="1"/>
  <c r="G2802" i="30"/>
  <c r="F2804" i="30" l="1"/>
  <c r="G2803" i="30"/>
  <c r="F2805" i="30" l="1"/>
  <c r="G2804" i="30"/>
  <c r="F2806" i="30" l="1"/>
  <c r="G2805" i="30"/>
  <c r="F2807" i="30" l="1"/>
  <c r="G2806" i="30"/>
  <c r="F2808" i="30" l="1"/>
  <c r="G2807" i="30"/>
  <c r="F2809" i="30" l="1"/>
  <c r="G2808" i="30"/>
  <c r="F2810" i="30" l="1"/>
  <c r="G2809" i="30"/>
  <c r="F2811" i="30" l="1"/>
  <c r="G2810" i="30"/>
  <c r="F2812" i="30" l="1"/>
  <c r="G2811" i="30"/>
  <c r="F2813" i="30" l="1"/>
  <c r="G2812" i="30"/>
  <c r="F2814" i="30" l="1"/>
  <c r="G2813" i="30"/>
  <c r="F2815" i="30" l="1"/>
  <c r="G2814" i="30"/>
  <c r="F2816" i="30" l="1"/>
  <c r="G2815" i="30"/>
  <c r="F2817" i="30" l="1"/>
  <c r="G2816" i="30"/>
  <c r="F2818" i="30" l="1"/>
  <c r="G2817" i="30"/>
  <c r="F2819" i="30" l="1"/>
  <c r="G2818" i="30"/>
  <c r="F2820" i="30" l="1"/>
  <c r="G2819" i="30"/>
  <c r="F2821" i="30" l="1"/>
  <c r="G2820" i="30"/>
  <c r="F2822" i="30" l="1"/>
  <c r="G2821" i="30"/>
  <c r="F2823" i="30" l="1"/>
  <c r="G2822" i="30"/>
  <c r="F2824" i="30" l="1"/>
  <c r="G2823" i="30"/>
  <c r="F2825" i="30" l="1"/>
  <c r="G2824" i="30"/>
  <c r="F2826" i="30" l="1"/>
  <c r="G2825" i="30"/>
  <c r="F2827" i="30" l="1"/>
  <c r="G2826" i="30"/>
  <c r="F2828" i="30" l="1"/>
  <c r="G2827" i="30"/>
  <c r="F2829" i="30" l="1"/>
  <c r="G2828" i="30"/>
  <c r="F2830" i="30" l="1"/>
  <c r="G2829" i="30"/>
  <c r="F2831" i="30" l="1"/>
  <c r="G2830" i="30"/>
  <c r="F2832" i="30" l="1"/>
  <c r="G2831" i="30"/>
  <c r="F2833" i="30" l="1"/>
  <c r="G2832" i="30"/>
  <c r="F2834" i="30" l="1"/>
  <c r="G2833" i="30"/>
  <c r="F2835" i="30" l="1"/>
  <c r="G2834" i="30"/>
  <c r="F2836" i="30" l="1"/>
  <c r="G2835" i="30"/>
  <c r="F2837" i="30" l="1"/>
  <c r="G2836" i="30"/>
  <c r="F2838" i="30" l="1"/>
  <c r="G2837" i="30"/>
  <c r="F2839" i="30" l="1"/>
  <c r="G2838" i="30"/>
  <c r="F2840" i="30" l="1"/>
  <c r="G2839" i="30"/>
  <c r="F2841" i="30" l="1"/>
  <c r="G2840" i="30"/>
  <c r="F2842" i="30" l="1"/>
  <c r="G2841" i="30"/>
  <c r="F2843" i="30" l="1"/>
  <c r="G2842" i="30"/>
  <c r="F2844" i="30" l="1"/>
  <c r="G2843" i="30"/>
  <c r="F2845" i="30" l="1"/>
  <c r="G2844" i="30"/>
  <c r="F2846" i="30" l="1"/>
  <c r="G2845" i="30"/>
  <c r="F2847" i="30" l="1"/>
  <c r="G2846" i="30"/>
  <c r="F2848" i="30" l="1"/>
  <c r="G2847" i="30"/>
  <c r="F2849" i="30" l="1"/>
  <c r="G2848" i="30"/>
  <c r="F2850" i="30" l="1"/>
  <c r="G2849" i="30"/>
  <c r="F2851" i="30" l="1"/>
  <c r="G2850" i="30"/>
  <c r="F2852" i="30" l="1"/>
  <c r="G2851" i="30"/>
  <c r="F2853" i="30" l="1"/>
  <c r="G2852" i="30"/>
  <c r="F2854" i="30" l="1"/>
  <c r="G2853" i="30"/>
  <c r="F2855" i="30" l="1"/>
  <c r="G2854" i="30"/>
  <c r="F2856" i="30" l="1"/>
  <c r="G2855" i="30"/>
  <c r="F2857" i="30" l="1"/>
  <c r="G2856" i="30"/>
  <c r="F2858" i="30" l="1"/>
  <c r="G2857" i="30"/>
  <c r="F2859" i="30" l="1"/>
  <c r="G2859" i="30" s="1"/>
  <c r="G2858"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Lalit Sharma</author>
  </authors>
  <commentList>
    <comment ref="C9" authorId="0" shapeId="0" xr:uid="{00000000-0006-0000-0200-000001000000}">
      <text>
        <r>
          <rPr>
            <b/>
            <sz val="9"/>
            <color indexed="81"/>
            <rFont val="Tahoma"/>
            <family val="2"/>
          </rPr>
          <t>Lalit Sharma:</t>
        </r>
        <r>
          <rPr>
            <sz val="9"/>
            <color indexed="81"/>
            <rFont val="Tahoma"/>
            <family val="2"/>
          </rPr>
          <t xml:space="preserve">
This cell links to the formulas in the costing in aggregated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Lalit Sharma</author>
  </authors>
  <commentList>
    <comment ref="AE1" authorId="0" shapeId="0" xr:uid="{5174CABD-AC61-4CC0-A2C6-2A5FAFDADE33}">
      <text>
        <r>
          <rPr>
            <b/>
            <sz val="9"/>
            <color indexed="81"/>
            <rFont val="Tahoma"/>
            <family val="2"/>
          </rPr>
          <t>Lalit Sharma:</t>
        </r>
        <r>
          <rPr>
            <sz val="9"/>
            <color indexed="81"/>
            <rFont val="Tahoma"/>
            <family val="2"/>
          </rPr>
          <t xml:space="preserve">
This cell links to the formulas in the costing in aggregated sheet</t>
        </r>
      </text>
    </comment>
  </commentList>
</comments>
</file>

<file path=xl/sharedStrings.xml><?xml version="1.0" encoding="utf-8"?>
<sst xmlns="http://schemas.openxmlformats.org/spreadsheetml/2006/main" count="55248" uniqueCount="1792">
  <si>
    <t>Donor engagement</t>
  </si>
  <si>
    <t>Define frameworks and tools for developing various levels of EHP</t>
  </si>
  <si>
    <t xml:space="preserve">Define primary level EHPs  </t>
  </si>
  <si>
    <t>Define secondary level EHPs</t>
  </si>
  <si>
    <t>Define tertiary level EHP</t>
  </si>
  <si>
    <t>Undertake additional data collection to fill in the gaps</t>
  </si>
  <si>
    <t>Draft the EHP</t>
  </si>
  <si>
    <t>Define frameworks and tools for developing MSTG, EML, MHL and TML</t>
  </si>
  <si>
    <t>Recruitment of 3 consultants (1 doctor, 1 nurse and 1 pharmacist) to lead the process of revising the MSTG, EML, MHL and TML</t>
  </si>
  <si>
    <t>Define EML, MHL, TML and the Malawi standard treatment guidelines</t>
  </si>
  <si>
    <t>Undertake additional data collection to fill in the gaps.</t>
  </si>
  <si>
    <t>Define frameworks and tools for developing EEL</t>
  </si>
  <si>
    <t>Define EEL</t>
  </si>
  <si>
    <t>Undertake additional data collection to fill in the gaps on EEL</t>
  </si>
  <si>
    <t>conduct a political economy analysis of the EHP</t>
  </si>
  <si>
    <t>develop the EHP communication strategy</t>
  </si>
  <si>
    <t>Develop and Implement guidelines for operationalization of the tertiary level EHP including financing arrangements of EHP services</t>
  </si>
  <si>
    <t>Conduct review meetings</t>
  </si>
  <si>
    <t>Engange treasury and NLGFC on implementation modalities of the formula</t>
  </si>
  <si>
    <t>Engage donor partners on implementation modalities of the formula.</t>
  </si>
  <si>
    <t>Dissemination of the district allocation formulae (DHMT,district council, facility representatives, donors)</t>
  </si>
  <si>
    <t>Conduct advocacy meeting with treasury and NLGFC for more resources for implementing the formula.</t>
  </si>
  <si>
    <t>Monitor implementation of the formula overtime and add any changes to the formula</t>
  </si>
  <si>
    <t xml:space="preserve">Develop the CHRAF </t>
  </si>
  <si>
    <t>Develop operational guidelines for the CHRAF</t>
  </si>
  <si>
    <t>Monitor implementation of the formula overtime and add any changes to the formulae</t>
  </si>
  <si>
    <t>design intra-district resource allocation formula</t>
  </si>
  <si>
    <t>Conduct training needs assessment</t>
  </si>
  <si>
    <t>Develop the PFM checlist for assessing the effectiveness of devoted budget functions</t>
  </si>
  <si>
    <t>Develop the PFM for assessing the effectiveness of devoted budget functions</t>
  </si>
  <si>
    <t>Implement and monitor the PFM checklist</t>
  </si>
  <si>
    <t>Contribute to conceptualization and development of digital health strategy platforms inline with health financing M and E needs</t>
  </si>
  <si>
    <t>Develop a roadmap for implementation of digital health strategy</t>
  </si>
  <si>
    <t>Implementation of the digital health strategy</t>
  </si>
  <si>
    <t xml:space="preserve">Review and update PFM capacity assessments results for district council and health provider levels (Deliverable: Updated PFM Assessment Report) </t>
  </si>
  <si>
    <t xml:space="preserve">Develop guidelines for decentralising the district health budget </t>
  </si>
  <si>
    <t>Implementation of the PFM roadmap</t>
  </si>
  <si>
    <t>Work with Treasury and NLGFC to update PFM guidelines and budget management tools at district council level to accommodate peripheral health facilities as spending entities</t>
  </si>
  <si>
    <t>Build PFM capacity for health facility management committees and community oversight structures in line with devolved budget management functions</t>
  </si>
  <si>
    <t xml:space="preserve">develop PFM in health training curriculum </t>
  </si>
  <si>
    <t>Introduce and sustain health facility grants (Deliverable: monthly allocations and disbursement facilities)</t>
  </si>
  <si>
    <t xml:space="preserve">Review and update assessment on mixed provider payment system for the health sector </t>
  </si>
  <si>
    <t xml:space="preserve">Develop a roadmap for the implementation of recommendations </t>
  </si>
  <si>
    <t>Implementation of MPPS reforms</t>
  </si>
  <si>
    <t>Monitoring Provider Payment System</t>
  </si>
  <si>
    <t>Develop purchaser-provider framework for the health sector</t>
  </si>
  <si>
    <t>Capacity building in the Ministry of Health for the adopted systems</t>
  </si>
  <si>
    <t xml:space="preserve">Introduce purchasing function at district councils  </t>
  </si>
  <si>
    <t>Introduce performance contracts between purchasers and providers</t>
  </si>
  <si>
    <t>Routine Monitoring on purchaser’s provider</t>
  </si>
  <si>
    <t>Stakeholder analysis</t>
  </si>
  <si>
    <t>Conduct Institutional capacity and legal assessment</t>
  </si>
  <si>
    <t>Develop legal instruments for regulatory council</t>
  </si>
  <si>
    <t>Develop staff establishments for regulator council</t>
  </si>
  <si>
    <t>Develop performance management framework for the regulatory councils</t>
  </si>
  <si>
    <t>Secure establishment warrant for the councils</t>
  </si>
  <si>
    <t xml:space="preserve"> Develop contracts</t>
  </si>
  <si>
    <t>Identify funding and recruit council staff</t>
  </si>
  <si>
    <t>Capacity building of support staff in tariff development and health fund management</t>
  </si>
  <si>
    <t>Strengthen Public financial management and accounting capacity at national, district council and sub district levels</t>
  </si>
  <si>
    <t>Develop road map for capacitating district council accounting and auditing departments to optimally perform their functions in line with health PFM goals</t>
  </si>
  <si>
    <t>Training of trainers for existing accounting and auditing personnel at national and district council level to resolve bottlenecks identified in the PFM assessments and routine audits</t>
  </si>
  <si>
    <t>Review and harmonize chart of accounts for the health sector at the national and district-level</t>
  </si>
  <si>
    <t>Roll out IFMIS at sub-national levels in line with health budget management and expenditure requirements</t>
  </si>
  <si>
    <t>Develop decentralization plan for account systems and personnel to area development committees</t>
  </si>
  <si>
    <t>Lobby for decentralizing of account systems and personnel from the council headquarters to area development committees</t>
  </si>
  <si>
    <t>Develop guidelines for budget monitoring at national and sub-national level</t>
  </si>
  <si>
    <t>Develop procurement capacity at facility level</t>
  </si>
  <si>
    <t>Design facility specific PBF mechanisms</t>
  </si>
  <si>
    <t>Execution of the PBF contract</t>
  </si>
  <si>
    <t>Monitoring the execution of the PBF contract</t>
  </si>
  <si>
    <t>Develop a standard operating procedures manual (to define organizational roles and responsibilities) for undertaking the purchasing function (purchaser-provider split)</t>
  </si>
  <si>
    <t>Training of frontline service providers on the SOPs</t>
  </si>
  <si>
    <t xml:space="preserve">Sensitization of the communities </t>
  </si>
  <si>
    <t>Develop and install actual and integrated biometric software system for user identification and managing the claims</t>
  </si>
  <si>
    <t>Implementation of the Biometric Software system</t>
  </si>
  <si>
    <t>Link the biometric software system to DHIS2</t>
  </si>
  <si>
    <t>Link the biometric software system to DHIS3</t>
  </si>
  <si>
    <t>Link the biometric software system to DHIS4</t>
  </si>
  <si>
    <t>Link the biometric software system to DHIS5</t>
  </si>
  <si>
    <t>Develop monitoring system for the purchasing function</t>
  </si>
  <si>
    <t xml:space="preserve">Undertake capacity needs assessment for implementing HFS across these dimensions: financing, staffing, leadership, technical skills, and key ministries </t>
  </si>
  <si>
    <t>Build capacity of Health Financing Division</t>
  </si>
  <si>
    <t>Develop integrated health financing work plan</t>
  </si>
  <si>
    <t xml:space="preserve">Enroll senior staff to professional mentorship programmes in management and health financing Leadership </t>
  </si>
  <si>
    <t xml:space="preserve">identification of focal persons of the district level health financing </t>
  </si>
  <si>
    <t>Train focal persons in basic health financing issues</t>
  </si>
  <si>
    <t>Strengthening capacities of accountant staff to sustain/manage PFM</t>
  </si>
  <si>
    <t>Strengthen capacity of accounting staff in the audit function</t>
  </si>
  <si>
    <t xml:space="preserve">Sustain multi-sectoral committee on sustainable health financing </t>
  </si>
  <si>
    <t>Reviewing aid coordination guidelines</t>
  </si>
  <si>
    <t>Address donor-MoH power imbalances to achieve principles of Paris Aid Coordination</t>
  </si>
  <si>
    <t>Review TORs of the Health Financing TWG as part of holistic review of health TWG arrangements at national levels</t>
  </si>
  <si>
    <t>Strengthen district partnerships forum to discuss health financing issues</t>
  </si>
  <si>
    <t>Establishment of partnership forums - Healthy centre level</t>
  </si>
  <si>
    <t xml:space="preserve">Conduct a procurement capacity needs assessment </t>
  </si>
  <si>
    <t xml:space="preserve">Conduct a policy relevant health financing analysis needs at all levels of the health care system </t>
  </si>
  <si>
    <t xml:space="preserve">Conduct policy relevant health financing analysis trainings </t>
  </si>
  <si>
    <t xml:space="preserve">Develop IT related capacity for health financing analysis </t>
  </si>
  <si>
    <t xml:space="preserve">Develop capacity in the DHIS 2 to host health financing data </t>
  </si>
  <si>
    <t>Asses the legal and regulatory framework for hosting HF data in DHIS II</t>
  </si>
  <si>
    <t>Hosting HF data in DHIS II</t>
  </si>
  <si>
    <t>Provide scholarships in health economics and health financing</t>
  </si>
  <si>
    <t>Finalise the development of the health economics curriculum</t>
  </si>
  <si>
    <t>Build capacity in grant management for health economics and health financing in training and research institutions</t>
  </si>
  <si>
    <t>Build capacity in partnership management amongst academia, policy makers and donors</t>
  </si>
  <si>
    <t xml:space="preserve">Construction of a health economics and health financing training complex at KUHES </t>
  </si>
  <si>
    <t>Finalise NHA institutionalisation roadmap (includes institutionalisation of resource mapping studies and the NASA)</t>
  </si>
  <si>
    <t>Capacity building of KUHES in collaboration with HFD to lead PERs</t>
  </si>
  <si>
    <t xml:space="preserve">Conduct district specific PERs every 5 years </t>
  </si>
  <si>
    <t>conduct health system wide PER every 3 years</t>
  </si>
  <si>
    <t>Conduct capacity building for KUHES and HFD to lead in health financing progress matrix studies</t>
  </si>
  <si>
    <t>Conduct an annual study to produce the health financing progress matrix</t>
  </si>
  <si>
    <t>Conduct capacity building for KUHES and HFD to lead in economic evaluations of health care system, health programs and health interventions</t>
  </si>
  <si>
    <t>Conduct at least 3 economic evaluation studies</t>
  </si>
  <si>
    <t>Conduct capacity building for KUHES and HFD to lead in health outcomes research and epidemiological studies</t>
  </si>
  <si>
    <t>Conduct at least 1 health outcomes research</t>
  </si>
  <si>
    <t>Undergo trainings of PPPs</t>
  </si>
  <si>
    <t xml:space="preserve">Subscribe to PPP health for All </t>
  </si>
  <si>
    <t>Develop an advocacy and communication plan for the Health Financing Strategy</t>
  </si>
  <si>
    <t xml:space="preserve">conduct HFS communications Stakeholders’ analysis and mapping </t>
  </si>
  <si>
    <t>Develop and cost the communication plan for the HFS</t>
  </si>
  <si>
    <t>Conduct an advocacy capacity assessment</t>
  </si>
  <si>
    <t>Develop a health financing advocacy curriculum</t>
  </si>
  <si>
    <t>TOT existing staff (HFD and researchers) based on the HF advocacy curriculum</t>
  </si>
  <si>
    <t>Train other key health financing constituencies in health financing advocacy (parliamentary committee on health, NGO Board) based on the HF advocacy curriculum</t>
  </si>
  <si>
    <t xml:space="preserve">Develop and sustain advocacy platforms at political leadership level </t>
  </si>
  <si>
    <t xml:space="preserve">Develop and sustain advocacy platforms at technical leadership level </t>
  </si>
  <si>
    <t>Develop a health financing advocacy platform</t>
  </si>
  <si>
    <t xml:space="preserve">Develop a health financing knowledge translation platform </t>
  </si>
  <si>
    <t>Conduct periodic assessment on the effectiveness of advocacy platforms</t>
  </si>
  <si>
    <t>Conduct annual monitoring assessment of the effectiveness of the advocacy platforms</t>
  </si>
  <si>
    <t>train CSOs based on the resource mobilization manual</t>
  </si>
  <si>
    <t>Provide long-term technical assistance to CSOs in drafting resource mobilisation proposals</t>
  </si>
  <si>
    <t>Develop a law on voluntary health insurance to guide the sector and to firmly place the role of the health sector in private health insurance</t>
  </si>
  <si>
    <t xml:space="preserve">Develop a voluntary health insurance policy </t>
  </si>
  <si>
    <t xml:space="preserve"> Hold consultations with RBM to provide inputs</t>
  </si>
  <si>
    <t>Develop a health specific VHI policy</t>
  </si>
  <si>
    <t>Development of regulations on strategic health purchasing</t>
  </si>
  <si>
    <t>Develop guidelines for the public health budget accountability fora</t>
  </si>
  <si>
    <t>Implementation of the budget accountability fora</t>
  </si>
  <si>
    <t>Develop a health trust fund bill</t>
  </si>
  <si>
    <t>Development of regulations on the requirement of economic evaluations for all health interventions and programs</t>
  </si>
  <si>
    <t>Review and revise TORs for the health financing TWG</t>
  </si>
  <si>
    <t>Conduct value for money analysis study</t>
  </si>
  <si>
    <t xml:space="preserve">Develop new MOU with faith based organisations </t>
  </si>
  <si>
    <t>Develop a position paper on purchasing essential medicines from alternative preselected prime vendors</t>
  </si>
  <si>
    <t>Development of guidelines for purchasing of essential medicines from preselected prime vendors</t>
  </si>
  <si>
    <t xml:space="preserve">Hold annual health financing summit </t>
  </si>
  <si>
    <t>Recruitment of a consultant</t>
  </si>
  <si>
    <t>Design data collection tool</t>
  </si>
  <si>
    <t>Data collection</t>
  </si>
  <si>
    <t>Data analysis</t>
  </si>
  <si>
    <t>Report writing</t>
  </si>
  <si>
    <t>Dissemination workshop</t>
  </si>
  <si>
    <t>Develop a concept note</t>
  </si>
  <si>
    <t xml:space="preserve">Dissemination </t>
  </si>
  <si>
    <t xml:space="preserve">Data collection </t>
  </si>
  <si>
    <t>Set up a taskforce</t>
  </si>
  <si>
    <t>data analysis</t>
  </si>
  <si>
    <t>Recruitment of the consultant</t>
  </si>
  <si>
    <t>Training users of the system</t>
  </si>
  <si>
    <t>conduct training</t>
  </si>
  <si>
    <t>pretesting of the data collection tool (1 day)</t>
  </si>
  <si>
    <t>Develop TORs for a consultant</t>
  </si>
  <si>
    <t xml:space="preserve">Recruitment of a consultant </t>
  </si>
  <si>
    <t>Present to TWG</t>
  </si>
  <si>
    <t xml:space="preserve">validation of data collection tools </t>
  </si>
  <si>
    <t xml:space="preserve">Validation workshop </t>
  </si>
  <si>
    <t>Set up a task force</t>
  </si>
  <si>
    <t>Validation of the report</t>
  </si>
  <si>
    <t>dissemination</t>
  </si>
  <si>
    <t xml:space="preserve"> Present to TWG for endorsement</t>
  </si>
  <si>
    <t>present to SMT for approval</t>
  </si>
  <si>
    <t>develop data collection tool</t>
  </si>
  <si>
    <t>Validation</t>
  </si>
  <si>
    <t>develop a concept note</t>
  </si>
  <si>
    <t>Validation workshop</t>
  </si>
  <si>
    <t xml:space="preserve">Dissemination of results </t>
  </si>
  <si>
    <t>data collection</t>
  </si>
  <si>
    <t>report writing</t>
  </si>
  <si>
    <t>validation</t>
  </si>
  <si>
    <t>Develop TORs</t>
  </si>
  <si>
    <t>Dissemination</t>
  </si>
  <si>
    <t xml:space="preserve">Set up a taskforce </t>
  </si>
  <si>
    <t>Finalise concept paper on definition of EHP and how it aligns with financing systems</t>
  </si>
  <si>
    <t>Develop guidance and tools for coming up with various levels of EHP</t>
  </si>
  <si>
    <t>Conduct a workshop to redefine primary level EHP</t>
  </si>
  <si>
    <t>Conduct consultative meetings to redefine primary level EHP with Health Centres</t>
  </si>
  <si>
    <t>Refine primary level EHP based on the results (2-day workshop)</t>
  </si>
  <si>
    <t>Conduct a workshop to redefine secondary level EHP</t>
  </si>
  <si>
    <t>Conduct consultative meetings to redefine secondary level EHP with Health Centres</t>
  </si>
  <si>
    <t>Refine secondary level EHP based on the results (2-day workshop)</t>
  </si>
  <si>
    <t>Conduct a workshop to redefine tertiary level EHP</t>
  </si>
  <si>
    <t>Conduct consultative meetings to redefine tertiary level EHP with Health Centres</t>
  </si>
  <si>
    <t>Refine tertiary level EHP based on the results (2-day workshop)</t>
  </si>
  <si>
    <t>Identify the data gaps</t>
  </si>
  <si>
    <t>Develop a data collection tool</t>
  </si>
  <si>
    <t>Validate data collection tool</t>
  </si>
  <si>
    <t>Refine data collection tool</t>
  </si>
  <si>
    <t>Data collection (10 days)</t>
  </si>
  <si>
    <t>Conduct a workshops to draft the new tiered EHP (5 days)</t>
  </si>
  <si>
    <t>Conduct a workshops to finalise the draft on new tiered EHP (5 days)</t>
  </si>
  <si>
    <t>Conduct a workshop to validate the new tiered EHP (5 days)</t>
  </si>
  <si>
    <t xml:space="preserve">Present to the service delivery/EHP TWG for endorsement </t>
  </si>
  <si>
    <t>Present to senior management for approval</t>
  </si>
  <si>
    <t>Disseminate the EHP</t>
  </si>
  <si>
    <t>Develop a summary brief of the EHP</t>
  </si>
  <si>
    <t xml:space="preserve">Dissemination across mass media </t>
  </si>
  <si>
    <t>Disseminate to district based stakeholders at zonal level</t>
  </si>
  <si>
    <t>Capacity building / Orientation of the users.</t>
  </si>
  <si>
    <t>Training of communities on the new EHP;</t>
  </si>
  <si>
    <t>Finalise concept paper on definition of MSTG, EML, MHL and TML and how it aligns to the EHP</t>
  </si>
  <si>
    <t>Develop guidance and tools for coming up with EML, MHL and TML</t>
  </si>
  <si>
    <t>set up a taskforce</t>
  </si>
  <si>
    <t>develop TORs for recruitment of consultants</t>
  </si>
  <si>
    <t>Recruitment of consultants</t>
  </si>
  <si>
    <t>Conduct a workshop to redefine MSTG, EML, MHL and TML (5 days)</t>
  </si>
  <si>
    <t>Conduct consultative meetings to redefine MSTG, EML, MHL and TML with health centres and community hospitals </t>
  </si>
  <si>
    <t>Refine MSTG, EML, MHL and TML based on the results (2-day workshop)</t>
  </si>
  <si>
    <t>Disseminate the MSTG, EML, MHL and TML</t>
  </si>
  <si>
    <t xml:space="preserve"> Disseminate to district based stakeholders at zonal level </t>
  </si>
  <si>
    <t>Training of the service providers</t>
  </si>
  <si>
    <t>Finalise concept paper on definition of EEL and how it aligns to the EHP</t>
  </si>
  <si>
    <t>Develop guidance and tools for coming up with EEL</t>
  </si>
  <si>
    <t xml:space="preserve">Conduct a workshop to redefine EEL </t>
  </si>
  <si>
    <t>Conduct consultative meetings to redefine EELwith health centres and community hospitals</t>
  </si>
  <si>
    <t>Refine EEL based on the results (2-day workshop)</t>
  </si>
  <si>
    <t>Disseminate the EEL</t>
  </si>
  <si>
    <t>Capacity building / Orientation of the users</t>
  </si>
  <si>
    <t>recruit research assistants (10)</t>
  </si>
  <si>
    <t>conduct training on data collection (3 days)</t>
  </si>
  <si>
    <t>validation of the data collection tool (1 day)</t>
  </si>
  <si>
    <t>Validation workshop (1 day)</t>
  </si>
  <si>
    <t>develop TORs for recruitment of a consultant</t>
  </si>
  <si>
    <t xml:space="preserve">Drafting of the communications strategy for the EHP </t>
  </si>
  <si>
    <t xml:space="preserve">Validate the strategy </t>
  </si>
  <si>
    <t xml:space="preserve">Present to TWG for endorsement </t>
  </si>
  <si>
    <t>Present to Senior Management for approval</t>
  </si>
  <si>
    <t xml:space="preserve">Develop TORs for the already existing taskforce </t>
  </si>
  <si>
    <t xml:space="preserve">Hold consultative workshops for development of the guidelines </t>
  </si>
  <si>
    <t xml:space="preserve"> Hold Validation workshops </t>
  </si>
  <si>
    <t>Present to senior Management for approval</t>
  </si>
  <si>
    <t>Disseminate the new guidelines</t>
  </si>
  <si>
    <t>Train health service providers on the new guidelines</t>
  </si>
  <si>
    <t xml:space="preserve">Hold 3days quarterly zonal review workshop </t>
  </si>
  <si>
    <t xml:space="preserve">conduct Joint annual review meetings </t>
  </si>
  <si>
    <t xml:space="preserve">Conduct a two day workshop </t>
  </si>
  <si>
    <t>Conduct a 2days meeting with the Health Donor Group to orient them on the formula (CHAI, Global Fund, GAVI, HSJF, WHO, USAID etc)</t>
  </si>
  <si>
    <t xml:space="preserve">Dissemination workshops </t>
  </si>
  <si>
    <t xml:space="preserve">Conduct a one day workshop </t>
  </si>
  <si>
    <t>Quarterly meeting</t>
  </si>
  <si>
    <t>Joint Annual Review</t>
  </si>
  <si>
    <t>develop a concept note on CHRAF</t>
  </si>
  <si>
    <t>Hold 3-day workshop for members of the taskforce to revise the CHRAF concept note</t>
  </si>
  <si>
    <t>Develop tools for consultative meetings with patient groups, service providers, financers (Workshop, 3 days)</t>
  </si>
  <si>
    <t>Conduct consultative meetings with Central Hospitals, patient groups, and other stakeholders</t>
  </si>
  <si>
    <t>Conduct stakeholder validation meetings (3 days workshop for 25 people)</t>
  </si>
  <si>
    <t>Present draft of the formula to TWGs for endorsement</t>
  </si>
  <si>
    <t>Present draft formula to Senior Management for approval.</t>
  </si>
  <si>
    <t>Conduct adoption meetings with the Ministry of Health and Ministry of Finance.</t>
  </si>
  <si>
    <t>Dissemination of the allocation formulae. (3 day workshop for 45 people)</t>
  </si>
  <si>
    <t>Develop TORs for the committee</t>
  </si>
  <si>
    <t>set up a committee</t>
  </si>
  <si>
    <t>conduct a 3 day workshop (3) to develop the guidelines</t>
  </si>
  <si>
    <t>Present to TWG for endorsement</t>
  </si>
  <si>
    <t xml:space="preserve">Present to SMT for Approval </t>
  </si>
  <si>
    <t>develop CHRAF concept note</t>
  </si>
  <si>
    <t>Develop ToRs of the taskforce</t>
  </si>
  <si>
    <t>set-up the taskforce</t>
  </si>
  <si>
    <t>Hold a workshop for members of the taskforce to revise the CHRAF concept note</t>
  </si>
  <si>
    <t>conduct 3 days workshop to develop tools for consultative meetings</t>
  </si>
  <si>
    <t>Conduct consultative meetings/workshops DHMT, NLGFC, Treasury, CSOs, Central hospitals</t>
  </si>
  <si>
    <t xml:space="preserve">Conduct stakeholder validation meetings </t>
  </si>
  <si>
    <t>Present draft of the formula to TWG for endorsement</t>
  </si>
  <si>
    <t>Present draft formula to senior management for approval</t>
  </si>
  <si>
    <t>Conduct adoption meetings with Ministry of Health and NLGFC, CSOs</t>
  </si>
  <si>
    <t>Disseminaton of the allocation formula</t>
  </si>
  <si>
    <t xml:space="preserve">develop TORs to recruit a consultant </t>
  </si>
  <si>
    <t xml:space="preserve">Recruitment of a facilitator </t>
  </si>
  <si>
    <t>validation workshop</t>
  </si>
  <si>
    <t>develop training tools</t>
  </si>
  <si>
    <t xml:space="preserve">conduct training </t>
  </si>
  <si>
    <t>Develop ToRs for monitoring the effectiveness of using the PFM system</t>
  </si>
  <si>
    <t>Recruitment of a consultant to facilitate the develoment of the PFM checklist</t>
  </si>
  <si>
    <t>Drafting of the PFM checklist</t>
  </si>
  <si>
    <t>Conduct validation meetings of the developed checklist for endorsement</t>
  </si>
  <si>
    <t>Integrate the checklist into routine M and E system</t>
  </si>
  <si>
    <t>Monitor PFM checklist implementation using DHIS II reports</t>
  </si>
  <si>
    <t>Conduct PFM supportive supervisions and mentorships for district councils, DHMTs,and facility teams inline with checklist</t>
  </si>
  <si>
    <t>Develop a concept note on the potential use of digital health for strategic purchasing in Malawi (how to use digital health in the selection of providers, design implementation and enforcement of contracts, use of digital health M+E)</t>
  </si>
  <si>
    <t>Develop TORs for a taskforce on digital health and strategic purchasing of health services</t>
  </si>
  <si>
    <t>set-up the taskforce to review the concept note</t>
  </si>
  <si>
    <t>Revise concept note</t>
  </si>
  <si>
    <t xml:space="preserve">hold 5 workshops to develop the roadmap </t>
  </si>
  <si>
    <t>Conduct validation workshop</t>
  </si>
  <si>
    <t>Present to SMT</t>
  </si>
  <si>
    <t>Mobilize resources</t>
  </si>
  <si>
    <t>Develop ToRs for the recruitment of an IT consultant</t>
  </si>
  <si>
    <t>Develop the digital health system for strategic health purchasing</t>
  </si>
  <si>
    <t>Hold a validation meeting</t>
  </si>
  <si>
    <t>Training the users</t>
  </si>
  <si>
    <t>Piloting the digital health system for strategic purchasing</t>
  </si>
  <si>
    <t>Scaling up of the digital health system for strategic health purchasing</t>
  </si>
  <si>
    <t>Recruit a PFM consultant/ facilitator</t>
  </si>
  <si>
    <t xml:space="preserve">Conduct 3 workshops </t>
  </si>
  <si>
    <t>Validation workshop with stakeholders</t>
  </si>
  <si>
    <t>Conduct 5 central hospital workshops (6 from each)</t>
  </si>
  <si>
    <t>1 national level workshop for cost center specific road map. (25 participants)</t>
  </si>
  <si>
    <t>5 zonal level workshop to carter for all districts at 6 participants per district</t>
  </si>
  <si>
    <t>Adoption and approval of the deliverables by MoH, ministry of finance and councils</t>
  </si>
  <si>
    <t>Recruit TAs (5 Tas for 5 zones,5TAs Central hospitals,1 National PFM adviser)</t>
  </si>
  <si>
    <t>Conduct quarterly PFM review meetings (5 per district councils and each MoH health centers (part of DIP review meetings</t>
  </si>
  <si>
    <t>Recruit a consultant to work with the long term TAs</t>
  </si>
  <si>
    <t xml:space="preserve">Conduct 4 national meetings </t>
  </si>
  <si>
    <t xml:space="preserve">1 drafting workshops </t>
  </si>
  <si>
    <t xml:space="preserve">1 validation meeting </t>
  </si>
  <si>
    <t xml:space="preserve">Approval by treasury  </t>
  </si>
  <si>
    <t xml:space="preserve">Dissemination of guidelines </t>
  </si>
  <si>
    <t>15 (4x4) vehicles for national and zonal level supervision</t>
  </si>
  <si>
    <t>29 vehicles for district level supervision</t>
  </si>
  <si>
    <t>Computers and software for 29 district and all facilities</t>
  </si>
  <si>
    <t>office space, furniture, equipment and supplies at national, zonal and district level</t>
  </si>
  <si>
    <t xml:space="preserve">Hold training for the long term TAs based on the curriculum </t>
  </si>
  <si>
    <t>Long term TAs (TOTs) to train 29 PFM analysts for 5 days X 2 session at district level</t>
  </si>
  <si>
    <t>PFM analysts to train health service providers at facility level</t>
  </si>
  <si>
    <t>1 curriculum review meeting per year X 8 years</t>
  </si>
  <si>
    <t>1 contract (development mid-term review and final evaluation) with level specific training curriculum</t>
  </si>
  <si>
    <t xml:space="preserve">Recruitment of 2 resource mobilization/grant specialist and advocacy </t>
  </si>
  <si>
    <t>Recruitment of 1 contract for fund manager</t>
  </si>
  <si>
    <t>Opening of bank account, contracts for mobile money banking</t>
  </si>
  <si>
    <t>1 contract for verifier (firm), 1 contract for communication(firm)</t>
  </si>
  <si>
    <t>Orientation visit, 5 days for 28 district, 5 national level staff going for a district, 1000 staff for all the districts.</t>
  </si>
  <si>
    <t>Quarterly steering committee meeting for a quarter for 30 participants 4 times a year, 3 days each meeting.</t>
  </si>
  <si>
    <t xml:space="preserve">Monthly supervision and audit visits </t>
  </si>
  <si>
    <t>Monthly PIU supervision visit</t>
  </si>
  <si>
    <t>Monthly verification visits</t>
  </si>
  <si>
    <t xml:space="preserve">Monthly theft prevention visit </t>
  </si>
  <si>
    <t>Prosecution and litigation cost for potential prevention cost</t>
  </si>
  <si>
    <t>One fiduciary oversight contract</t>
  </si>
  <si>
    <t>Provide monthly grants to700 public health facilities at MK500,000 per month</t>
  </si>
  <si>
    <t>Develop meeting concept note</t>
  </si>
  <si>
    <t xml:space="preserve">Conduct 2 National level meetings to review and update assessment on provider payment system for the health sector </t>
  </si>
  <si>
    <t>Stake holder validating meeting</t>
  </si>
  <si>
    <t>present to TWG</t>
  </si>
  <si>
    <t>Conduct 3 taskforce meetings</t>
  </si>
  <si>
    <t>Follow up and update payments assessments</t>
  </si>
  <si>
    <t xml:space="preserve">Conduct an assessment exercise in the districts by central level </t>
  </si>
  <si>
    <t xml:space="preserve">Present assessment findings to stakeholders </t>
  </si>
  <si>
    <t xml:space="preserve">Conduct a 2-day meeting with stakeholders </t>
  </si>
  <si>
    <t>Follow up and update results assessment of HMIS of provider payment reform</t>
  </si>
  <si>
    <t xml:space="preserve">Conduct a 2-day meeting with stakeholders for 30 people </t>
  </si>
  <si>
    <t>Conduct 4-day capacity building to HMIS officers (30) on provider payment reform</t>
  </si>
  <si>
    <t xml:space="preserve">Conduct quarterly review meetings </t>
  </si>
  <si>
    <t xml:space="preserve">Based on the updated MPPS develop a concept note for the purchaser provider split </t>
  </si>
  <si>
    <t xml:space="preserve">Develop TORs for purchaser-provider framework with detailed guidelines </t>
  </si>
  <si>
    <t>Recruit a consultant to facilitate the development of the PPS</t>
  </si>
  <si>
    <t xml:space="preserve">1 National/central workshop </t>
  </si>
  <si>
    <t xml:space="preserve">2-day workshop with faith-based providers </t>
  </si>
  <si>
    <t>5 zonal level workshop, 2 participants per district</t>
  </si>
  <si>
    <t>Adoption and approval of the deliverables by MoH, ministry of finance, councils and faith-based providers.</t>
  </si>
  <si>
    <t xml:space="preserve">Validation </t>
  </si>
  <si>
    <t xml:space="preserve">Conduct adoption meeting with MOH, NLGFC and treasury </t>
  </si>
  <si>
    <t>Implement PPS</t>
  </si>
  <si>
    <t xml:space="preserve">Council specific assessment </t>
  </si>
  <si>
    <t>Monthly supervision and mentorship visit by national level stake holders</t>
  </si>
  <si>
    <t>Quarterly PFM review meetings (5 per district councils and each MoH health centers</t>
  </si>
  <si>
    <t>Institutional assessment and capacity building plan for government and contracted faith-based providers</t>
  </si>
  <si>
    <t>Recruitment of 5 TAs for 5 years</t>
  </si>
  <si>
    <t>Procurement of Computers</t>
  </si>
  <si>
    <t>Securing office space for 5 years, furniture, equipment and supplies at national, zonal and district level</t>
  </si>
  <si>
    <t>1 PFM mentorship / training per month for district and zonal councils</t>
  </si>
  <si>
    <t>Quarterly PFM supervision visit</t>
  </si>
  <si>
    <t>5 zonal trainings based on the institutional purchasing framework</t>
  </si>
  <si>
    <t xml:space="preserve">Quarterly supervision and audit visits </t>
  </si>
  <si>
    <t>Quarterly PIU supervision visit</t>
  </si>
  <si>
    <t>Quarterly verification visits</t>
  </si>
  <si>
    <t>Annual financial and procurement audit</t>
  </si>
  <si>
    <t xml:space="preserve">Quarterly theft prevention visit </t>
  </si>
  <si>
    <t>Hire a health economist to draft a contract</t>
  </si>
  <si>
    <t xml:space="preserve">Developing negotiating strategy </t>
  </si>
  <si>
    <t xml:space="preserve">Monthly supervision visits for performance assessment </t>
  </si>
  <si>
    <t>1 review oversight of the contract</t>
  </si>
  <si>
    <t>Consultation meetings with RBM and Insurance Councils</t>
  </si>
  <si>
    <t>Recruit a consultant to conduct the assessmen</t>
  </si>
  <si>
    <t>2-day National level meeting</t>
  </si>
  <si>
    <t>2-day national level meeting</t>
  </si>
  <si>
    <t>desk work</t>
  </si>
  <si>
    <t>Recruitment of staff</t>
  </si>
  <si>
    <t>Support staff to attend international training on tariff development and health fund management</t>
  </si>
  <si>
    <t>Conduct donor engagement meetings</t>
  </si>
  <si>
    <t xml:space="preserve">Develop ToRs of capacity assessment: </t>
  </si>
  <si>
    <t>Conduct assessment</t>
  </si>
  <si>
    <t>Conduct 2-day national-level meeting</t>
  </si>
  <si>
    <t>Conduct 5 days National level meeting</t>
  </si>
  <si>
    <t>Training of health centre accounting staff by district council</t>
  </si>
  <si>
    <t>3-day national-level meeting</t>
  </si>
  <si>
    <t>Procure equipment</t>
  </si>
  <si>
    <t>Conduct 7-day national-level trainings</t>
  </si>
  <si>
    <t>Lobby for filling of accounting and auditing vacancies at national and sub-national levels</t>
  </si>
  <si>
    <t>Conduct engagement Zonal-level meetings for decentralization of account systems and personnel to area development committees</t>
  </si>
  <si>
    <t>Disseminate guidelines for budget monitoring at national and sub-national level</t>
  </si>
  <si>
    <t>Conduct budget credibility assessments at national and sub-national levels</t>
  </si>
  <si>
    <t>Develop guidelines for facility-level procurement</t>
  </si>
  <si>
    <t>Develop procurement capacity assessment</t>
  </si>
  <si>
    <t>Conduct procurement capacity assessment-Zonal-level meeting</t>
  </si>
  <si>
    <t>Conduct training of trainers for procurement</t>
  </si>
  <si>
    <t>Conduct facility-level training on procurement</t>
  </si>
  <si>
    <t>Hold PBF design workshops (5 days each, 40 participants)</t>
  </si>
  <si>
    <t>10,000,000 per year to each facility for 800 facilities</t>
  </si>
  <si>
    <t>10% of PBF</t>
  </si>
  <si>
    <t>Develop TORs for hiring an international consultant to develop SOPs manual</t>
  </si>
  <si>
    <t>consultative workshop with the stakeholders to define the roles and responsibilities of each organization</t>
  </si>
  <si>
    <t>Hold a 1-day validation workshop</t>
  </si>
  <si>
    <t>Present standard operating procedures manual to the HFTWG</t>
  </si>
  <si>
    <t>Present the document to the Senior Management of the MoH</t>
  </si>
  <si>
    <t>Train the members of the purchasing team (Health Financing Division) on the purchasing function SoPs</t>
  </si>
  <si>
    <t>2 TOTs per health facility at a district level</t>
  </si>
  <si>
    <t xml:space="preserve">Training the rest of the service providers </t>
  </si>
  <si>
    <t xml:space="preserve">Development of sensitization content </t>
  </si>
  <si>
    <t xml:space="preserve">Identify channels and structures for sensitizations </t>
  </si>
  <si>
    <t>Development of concept note</t>
  </si>
  <si>
    <t>Development of TORs for a consultant to develop the biometric software system for identification and managing claims</t>
  </si>
  <si>
    <t>Recruitment of the consultant to develop the biometric software system</t>
  </si>
  <si>
    <t>design data collection tools</t>
  </si>
  <si>
    <t>data collection/consultative meetings</t>
  </si>
  <si>
    <t>validation  workshop</t>
  </si>
  <si>
    <t>Presentation of results to the HFTWG</t>
  </si>
  <si>
    <t>Development of the biometric software system for identification and managing claims</t>
  </si>
  <si>
    <t>Develop the training manual</t>
  </si>
  <si>
    <t xml:space="preserve">Develop TORs to recruit an IT consultant </t>
  </si>
  <si>
    <t>Validation meeting</t>
  </si>
  <si>
    <t>Develop TORs to hire a developer</t>
  </si>
  <si>
    <t>training of enumerators</t>
  </si>
  <si>
    <t>dissemination workshop</t>
  </si>
  <si>
    <t>user trainings</t>
  </si>
  <si>
    <t>TOTs</t>
  </si>
  <si>
    <t xml:space="preserve">Undertake routine monitoring either peer to peer monitoring or HMIS </t>
  </si>
  <si>
    <t>Incorporate the monitoring tools into the normal supportive supervision</t>
  </si>
  <si>
    <t>Engage mid-long term technical assistance on strategic purchasing</t>
  </si>
  <si>
    <t>Develop concept note</t>
  </si>
  <si>
    <t>develop TORs to recruit a consultant in capacity building</t>
  </si>
  <si>
    <t xml:space="preserve">Conduct a needs assessment workshop in all key ministries </t>
  </si>
  <si>
    <t xml:space="preserve">Development of a needs assessment report </t>
  </si>
  <si>
    <t xml:space="preserve">Conduct training of focal persons </t>
  </si>
  <si>
    <t>Staffing: Increasing number of staff working at national level health financing division</t>
  </si>
  <si>
    <t>Improve resource capacity across government institutions implementing HFS</t>
  </si>
  <si>
    <t>Improving staff technical skills</t>
  </si>
  <si>
    <t>2-day workshop inclusive of all stakeholders across government MDAs to develop health financing annual work plan</t>
  </si>
  <si>
    <t>resource mobilization</t>
  </si>
  <si>
    <t>implemmentation</t>
  </si>
  <si>
    <t>Conduct short-term professional courses in management and leadership.</t>
  </si>
  <si>
    <t>Conduct mentorship programmes in health financing for senior management</t>
  </si>
  <si>
    <t xml:space="preserve">Develop the TORs for the district level focal persons </t>
  </si>
  <si>
    <t>write DHSS requesting them to identify/point the focal persons in MoH- Planning, DHRMD, EP&amp;D, MOF, NLGFC Districts (MDAs)</t>
  </si>
  <si>
    <t>engage the focal persons</t>
  </si>
  <si>
    <t>Develop training materials collaboratively with the Health Economics and Policy Unit</t>
  </si>
  <si>
    <t>validate the process</t>
  </si>
  <si>
    <t>conduct the training</t>
  </si>
  <si>
    <t>identification of accounts staff</t>
  </si>
  <si>
    <t>Allocate two short term (1 month) training per year relating to PFM for accounting staff e.g., DoF and Health Accountant DC’s, DHO and accounts 2, DPD, M&amp;E staff (2), DOF and accounts officer</t>
  </si>
  <si>
    <t>Identify 3 accounting staff in the audit function</t>
  </si>
  <si>
    <t>conduct orientation</t>
  </si>
  <si>
    <t>Offer short-term courses to the identified staff</t>
  </si>
  <si>
    <t xml:space="preserve">Conduct technical monthly meetings of multi-sectoral committee on sustainable health financing </t>
  </si>
  <si>
    <t>Conduct quarterly executive level meetings</t>
  </si>
  <si>
    <t xml:space="preserve">The honourable minister meets the health donor group members twice a year to discuss key health financing issues </t>
  </si>
  <si>
    <t>The honourable minister meets selected individual donors at least once a year to discuss key health financing issues</t>
  </si>
  <si>
    <t>The honourable minister meets fellow honourable ministers from ministry of finance and ministry of local government and rural development at least twice a year to discuss key health financing issues</t>
  </si>
  <si>
    <t>The honourable minister meets CSOs at least once a year to discuss key health financing issues</t>
  </si>
  <si>
    <t>Parliamentary committee on health meets CSOs twice a year to discuss key health financing issues</t>
  </si>
  <si>
    <t>Parliamentary committee on health meets Minister of health twice a year to discuss key health financing issues</t>
  </si>
  <si>
    <t>Parliamentary committee on health meets health donor group twice a year to discuss key health financing issues</t>
  </si>
  <si>
    <t>Parliamentary committee on health meets Minister of finance and minister of local government and rural development twice a year to discuss key health financing issues</t>
  </si>
  <si>
    <t xml:space="preserve">Conduct stakeholder consultation workshops </t>
  </si>
  <si>
    <t>Validation meetings with stakeholders</t>
  </si>
  <si>
    <t xml:space="preserve">Hold 1 meeting with HFTWG to endorse the document </t>
  </si>
  <si>
    <t xml:space="preserve">Senior management approval </t>
  </si>
  <si>
    <t xml:space="preserve">Disseminate the aid coordination guidelines through training at National level and District Level </t>
  </si>
  <si>
    <t xml:space="preserve">Conduct trainings in negotiation skills for relevant stakeholders </t>
  </si>
  <si>
    <t>Conduct trainings in crafting of MOUs and Priority setting both at national and district level</t>
  </si>
  <si>
    <t xml:space="preserve">Conduct continuous performance monitoring of adherence to aid coordination </t>
  </si>
  <si>
    <t>develop TORs for a consultant</t>
  </si>
  <si>
    <t>Presentation of findings at stakeholders’ validation workshop- 1 DAY WORKSHOP</t>
  </si>
  <si>
    <t>HFTWG quarterly meetings at national level</t>
  </si>
  <si>
    <t>Development of TORs for the district level partnership forums</t>
  </si>
  <si>
    <t>Each district must develop a calendar for the new partnership forum</t>
  </si>
  <si>
    <t>Conduct quarterly meetings</t>
  </si>
  <si>
    <t>production and dissemination of minutes</t>
  </si>
  <si>
    <t>Development of TORs for the health centre level partnership forums</t>
  </si>
  <si>
    <t>Each health centre must develop a calendar for the new partnership forum</t>
  </si>
  <si>
    <t>design data collection tool</t>
  </si>
  <si>
    <t>training research assistants</t>
  </si>
  <si>
    <t>pre-test data collection tool</t>
  </si>
  <si>
    <t>validation whorkshop</t>
  </si>
  <si>
    <t xml:space="preserve">develop ToRs for the consultant </t>
  </si>
  <si>
    <t>Conduct quarterly trainings of 2 weeks each on various analytical health financing methods at national level</t>
  </si>
  <si>
    <t xml:space="preserve">Conduct quarterly trainings of 1 week each on various analytical health financing methods at district level </t>
  </si>
  <si>
    <t xml:space="preserve">Conduct annual trainings of 1 week each on various analytical health financing methods at community level </t>
  </si>
  <si>
    <t xml:space="preserve">Attend international policy relevant health financing analysis trainings </t>
  </si>
  <si>
    <t xml:space="preserve">Identify annual software and hardware needs </t>
  </si>
  <si>
    <t xml:space="preserve">Engage the procurement committee </t>
  </si>
  <si>
    <t>Procure 15 laptops for HFD</t>
  </si>
  <si>
    <t>Procure 29 laptops for health financing POCs in councils</t>
  </si>
  <si>
    <t>Procure health financing analysis software (SPSS, STATA, Treeage, Nvivo, Cspro)</t>
  </si>
  <si>
    <t>install software packages on 44 laptops</t>
  </si>
  <si>
    <t>Train users of the software packages (1week training per software)</t>
  </si>
  <si>
    <t>consultant facilitates 3 workshops to develop roadmap</t>
  </si>
  <si>
    <t>validation of the roadmap</t>
  </si>
  <si>
    <t>presentation of the roadmap to TWG for endorsement</t>
  </si>
  <si>
    <t>presentation of the roadmap to SMT for approval</t>
  </si>
  <si>
    <t xml:space="preserve">implementation of the recommendations </t>
  </si>
  <si>
    <t>Validation of assessment report (ministry of justice)</t>
  </si>
  <si>
    <t xml:space="preserve">Validation of assessment report by stakeholders </t>
  </si>
  <si>
    <t xml:space="preserve">Presentation of the report to relevant TWG for endorsement </t>
  </si>
  <si>
    <t>Presentation of the report to SMT for approval</t>
  </si>
  <si>
    <t>implementation of recommendations</t>
  </si>
  <si>
    <t>Set up a taskforce to recruit an IT consultant</t>
  </si>
  <si>
    <t>Recruitment of a consultant to create HF modules in DHIS II</t>
  </si>
  <si>
    <t xml:space="preserve">Training of users </t>
  </si>
  <si>
    <t>Rolling out the system</t>
  </si>
  <si>
    <t>Provide annual scholarships to 1 post doc student</t>
  </si>
  <si>
    <t>Conduct follow up meeting with HOD</t>
  </si>
  <si>
    <t>Submission to senate for approval</t>
  </si>
  <si>
    <t>Roll out the health economics curriculum (MSc, PhD, post doc)</t>
  </si>
  <si>
    <t xml:space="preserve">develop a concept note on the establishment of a specific grant management unit for Health Economics and Health Financing </t>
  </si>
  <si>
    <t>set-up a task force</t>
  </si>
  <si>
    <t>Develop ToRs for the consultant</t>
  </si>
  <si>
    <t xml:space="preserve">Recruitment of an international consultant </t>
  </si>
  <si>
    <t>Present to HFTWG</t>
  </si>
  <si>
    <t>present to senate for approval</t>
  </si>
  <si>
    <t>hire staff for the unit</t>
  </si>
  <si>
    <t xml:space="preserve">conduct a grant writing training </t>
  </si>
  <si>
    <t xml:space="preserve">Develop a database of potential donors for health economics and health financing </t>
  </si>
  <si>
    <t>Develop ToRs for the platform of policy makers, academia and donors</t>
  </si>
  <si>
    <t xml:space="preserve">Conduct bi-annual meetings </t>
  </si>
  <si>
    <t>Co-creation of a health financing and health services policy lab (meetings)</t>
  </si>
  <si>
    <t>Identify a site for construction of the training complex</t>
  </si>
  <si>
    <t>Develop TORs for a consultant to design the training complex</t>
  </si>
  <si>
    <t xml:space="preserve">Recruit a consultant to design the complex </t>
  </si>
  <si>
    <t xml:space="preserve">Construction of the site </t>
  </si>
  <si>
    <t xml:space="preserve">Hold a 2day workshop to cost the roadmap </t>
  </si>
  <si>
    <t xml:space="preserve">Hold a 3day workshop to validate the roadmap </t>
  </si>
  <si>
    <t>Present the roadmap to HFTWG for endorsement</t>
  </si>
  <si>
    <t>Present the roadmap to SMT for approval</t>
  </si>
  <si>
    <t>Implement the NHA institutionalization roadmap</t>
  </si>
  <si>
    <t>develop TORs to recruit a consultant to facilitate trainings in PER</t>
  </si>
  <si>
    <t>purchase 3 cars for HFD (4X4)</t>
  </si>
  <si>
    <t>Recruit 2 TA in health Planning and financing division</t>
  </si>
  <si>
    <t>Recruit research assistants (in house)</t>
  </si>
  <si>
    <t>Customize data collection tools to the assignment at hand</t>
  </si>
  <si>
    <t>Pre testing of the data collection tools</t>
  </si>
  <si>
    <t>Validation of the data collection tools</t>
  </si>
  <si>
    <t>validation of the report</t>
  </si>
  <si>
    <t xml:space="preserve">Present report to HFTWG for endorsement </t>
  </si>
  <si>
    <t>Present report to SMT for approval</t>
  </si>
  <si>
    <t>Present report to DEC for approval</t>
  </si>
  <si>
    <t>Develop TORs to recruit a consultant to facilitate training in conducting health financing progress matrix studies</t>
  </si>
  <si>
    <t xml:space="preserve">Conduct training </t>
  </si>
  <si>
    <t>Develop standard data collection tools</t>
  </si>
  <si>
    <t xml:space="preserve">Pre testing of the data collection tools </t>
  </si>
  <si>
    <t xml:space="preserve">Validation of the data collection tools </t>
  </si>
  <si>
    <t>Present to SMT for approval</t>
  </si>
  <si>
    <t>Develop TORs to recruit a consultant (university) to facilitate training in conducting economic evaluations</t>
  </si>
  <si>
    <t>Develop TORs to recruit a consultant to facilitate training in conducting health outcomes research</t>
  </si>
  <si>
    <t>Conduct training</t>
  </si>
  <si>
    <t>Present report to HFTWG for endorsement</t>
  </si>
  <si>
    <t>Develop ToRs to recruit a consultant</t>
  </si>
  <si>
    <t>Annual subscription to advanced package PPP health for all</t>
  </si>
  <si>
    <t>Develop a concept note for advocacy and communication plan for the Health Financing Strategy</t>
  </si>
  <si>
    <t>develop TORs for a taskforce</t>
  </si>
  <si>
    <t>setup a taskforce</t>
  </si>
  <si>
    <t>conduct taskforce meetings</t>
  </si>
  <si>
    <t>recruitment of a consultant</t>
  </si>
  <si>
    <t>Conduct 4 workshops of 5 days each with critical stakeholders on health financing (30-35 participants in each workshop)</t>
  </si>
  <si>
    <t>present to SMT</t>
  </si>
  <si>
    <t>regional dissemination meetings</t>
  </si>
  <si>
    <t>Develop TORs for the consultant/technical assistance to facilitate capacity building.</t>
  </si>
  <si>
    <t>Consultant to update stakeholder list</t>
  </si>
  <si>
    <t>dissemination of the capacity building plan for all institutions</t>
  </si>
  <si>
    <t>Set up a taskforcce</t>
  </si>
  <si>
    <t>Develop TORs to recruit a consultant</t>
  </si>
  <si>
    <t>conduct meetings with relevant stakeholders</t>
  </si>
  <si>
    <t>1 training for 5 days for 15 participants</t>
  </si>
  <si>
    <t>1 training for 5 days for 20 participants from CSOs</t>
  </si>
  <si>
    <t>Conduct 3 trainings 1 week each</t>
  </si>
  <si>
    <t xml:space="preserve">1 curriculum review meeting per year </t>
  </si>
  <si>
    <t>Annual advocacy engagement meetings with treasury on key health financing issues</t>
  </si>
  <si>
    <t>MOH meets CSOs on key health financing issues twice a year</t>
  </si>
  <si>
    <t>Link up with research department</t>
  </si>
  <si>
    <t>HFD and researchers in health financing to undergo knowledge translation training</t>
  </si>
  <si>
    <t>Create a research database</t>
  </si>
  <si>
    <t xml:space="preserve">HFD to meet researchers to discuss key health financing research agenda </t>
  </si>
  <si>
    <t>Develop ToRs for the recruitment of a consultant</t>
  </si>
  <si>
    <t xml:space="preserve">pretesting of the data collection tools </t>
  </si>
  <si>
    <t>Drafting monitoring tool</t>
  </si>
  <si>
    <t>Dissemination meeting</t>
  </si>
  <si>
    <t xml:space="preserve">review of report </t>
  </si>
  <si>
    <t>Develop TORs for recruitment of a consultant</t>
  </si>
  <si>
    <t xml:space="preserve">Conduct 2 trainings on resource mobilisation </t>
  </si>
  <si>
    <t>Recruit resource mobilization specialist</t>
  </si>
  <si>
    <t>Set up a task force from the health sector to review the draft bill</t>
  </si>
  <si>
    <t xml:space="preserve">Conduct 4 stakeholder consultative meetings to review the draft </t>
  </si>
  <si>
    <t>Submission of the draft bill to Ministry of Justice for review and vetting</t>
  </si>
  <si>
    <t xml:space="preserve">Present to relevant PSs committee </t>
  </si>
  <si>
    <t xml:space="preserve">Present to relevant cabinet committee </t>
  </si>
  <si>
    <t xml:space="preserve">Present to relevant parliamentary committee </t>
  </si>
  <si>
    <t xml:space="preserve">Table the bill in parliament </t>
  </si>
  <si>
    <t>Bill is assented by the president</t>
  </si>
  <si>
    <t>Operationalize institutional arrangement for voluntary health Insurance law</t>
  </si>
  <si>
    <t xml:space="preserve">Conduct a meeting to disseminate the bill to the public </t>
  </si>
  <si>
    <t>Develop a concept paper on voluntary health insurance policy</t>
  </si>
  <si>
    <t xml:space="preserve">Validation of the policy </t>
  </si>
  <si>
    <t xml:space="preserve">Present to relevant TWG </t>
  </si>
  <si>
    <t xml:space="preserve">Present to SMT </t>
  </si>
  <si>
    <t>Dissemination of reports on financial management to various stakeholders for planning purposes</t>
  </si>
  <si>
    <t>Conduct annual national review on Health financing in Malawi (to involve MDAs, Donors, Civil society and other relevant stakeholders).</t>
  </si>
  <si>
    <t>Hold 5 meetings with RBM</t>
  </si>
  <si>
    <t>Hold 5 consultative meetings with stakeholders (5 days for each meeting)</t>
  </si>
  <si>
    <t>Recruit a consultant to facilitate the development of regulations on strategic health purchasing</t>
  </si>
  <si>
    <t>Engage CSOs to develop the guidelines (3 workshops)</t>
  </si>
  <si>
    <t>Hold biannual meetings between officers in public health and the citizenry (CSOs)</t>
  </si>
  <si>
    <t>Engage ministry of justice to draft the health trust fund bill (6 workshops)</t>
  </si>
  <si>
    <t>Present to SMT for internal approval</t>
  </si>
  <si>
    <t>Present to relevant PS’s committee</t>
  </si>
  <si>
    <t>Present to relevant cabinet committee</t>
  </si>
  <si>
    <t>Present to parliamentary committee</t>
  </si>
  <si>
    <t>Present to members of parliament for approval</t>
  </si>
  <si>
    <t>Send it to the president to ascent</t>
  </si>
  <si>
    <t>Gazette the health trust fund law</t>
  </si>
  <si>
    <t>Recruit a consultant to facilitate the development of regulations</t>
  </si>
  <si>
    <t>Hold 3 consultative meetings with stakeholders (5 days for each meeting)</t>
  </si>
  <si>
    <t>Develop data collection tools</t>
  </si>
  <si>
    <t>Present to relevant cabinet committee for approval</t>
  </si>
  <si>
    <t>Signing of MOU by the ST</t>
  </si>
  <si>
    <t xml:space="preserve">Hold 3 consultations with stakeholders </t>
  </si>
  <si>
    <t>Drafting the position paper</t>
  </si>
  <si>
    <t>Submit the position paper to treasury and MOH</t>
  </si>
  <si>
    <t>Hold 3 consultative meetings with stakeholders to develop the guidelines (5 days for each meeting)</t>
  </si>
  <si>
    <t>Sub-activity</t>
  </si>
  <si>
    <t>Operational level activity</t>
  </si>
  <si>
    <t>Activity</t>
  </si>
  <si>
    <t>Strategy</t>
  </si>
  <si>
    <t>Objective</t>
  </si>
  <si>
    <t>Clearly articulate the parameters involved in the redefinition of the new EHP for primary/secondary/tertiary care, set conditions, governance structures, and timelines for revisions;</t>
  </si>
  <si>
    <t>Revise the essential medicines list, must-have lists, and tracer medicines list to align with the new EHP and disseminate the same;</t>
  </si>
  <si>
    <t>Revise the essential equipment list to align with the new EHP and disseminate the same;</t>
  </si>
  <si>
    <t>Develop and implement a communication strategy for the EHP; and</t>
  </si>
  <si>
    <t>Implementation of the EHP</t>
  </si>
  <si>
    <t>Monitoring the implementation of the new tiered EHP</t>
  </si>
  <si>
    <t>Facilitate implementation of the district resource allocation formula including for donor or partner resources;</t>
  </si>
  <si>
    <t>Develop resource allocation framework for tertiary care;</t>
  </si>
  <si>
    <t>Implementation of the CHRAF</t>
  </si>
  <si>
    <t>Develop intra-district resource allocation formula;</t>
  </si>
  <si>
    <t>Monitoring effectiveness and informing Devolution of budget planning, execution and evaluation at council level</t>
  </si>
  <si>
    <t>Monitor the effectiveness of using the PFM system as a tool for strategic allocation and use of resources</t>
  </si>
  <si>
    <t>Digitize health care delivery in a way that integrates and captures health care provision, health financing and expenditure information</t>
  </si>
  <si>
    <t>Decentralise the district health budget to peripheral health facilities (Provider level)</t>
  </si>
  <si>
    <t>Negotiate with Treasury to modify PFM rules to allow for purchaser-provider split and flexibility of spending;</t>
  </si>
  <si>
    <t>Establish and capacitate a regulatory council to regulate tariffs for health funders.</t>
  </si>
  <si>
    <t>Strengthen financial management and accounting capacity at the District Council and sub-district levels;</t>
  </si>
  <si>
    <t>Roll out PBF implementation mechanisms</t>
  </si>
  <si>
    <t xml:space="preserve">Develop and sustain active purchasing capacity in the health financing division </t>
  </si>
  <si>
    <t>Capacitate relevant government institutions to coordinate, implement and monitor the health financing strategy</t>
  </si>
  <si>
    <t>Capacitate councils to implement the health financing strategy</t>
  </si>
  <si>
    <t>Develop and sustain collaboration mechanisms between key ministries, Departments and Agencies for effective implementation of the Health Financing Strategy</t>
  </si>
  <si>
    <t>Develop capacity for donor and aid coordination at all levels</t>
  </si>
  <si>
    <t>Develop and sustain TWG governance arrangements for health financing at all levels</t>
  </si>
  <si>
    <t>Capacitate national and subnational levels to undertake government and donor funded procurements</t>
  </si>
  <si>
    <t>Develop capacities in health financing analysis and evidence use at all levels of the health system (Knowledge capacity, resource capacity, human capacity)</t>
  </si>
  <si>
    <t>Develop capacities of health economics and health financing of research institutions</t>
  </si>
  <si>
    <t>Institutionalize resource tracking studies at all levels of decision making</t>
  </si>
  <si>
    <t>Institutionalise public expenditure review studies at national and decentralised levels</t>
  </si>
  <si>
    <t>Conduct needs assessment and commission studies in key areas of health financing of the Strategy</t>
  </si>
  <si>
    <t>Develop capacity for the MoH to lead in health PPPs</t>
  </si>
  <si>
    <t>Create a coherent framework for communicating key messages of the HFS</t>
  </si>
  <si>
    <t>Develop and sustain capacity of advocacy institutions</t>
  </si>
  <si>
    <t>Develop and sustain advocacy platforms to undertake lobbying and communication activities</t>
  </si>
  <si>
    <t>Facilitate resource mobilization and communication function of the advocacy strategy for health financing</t>
  </si>
  <si>
    <t xml:space="preserve"> Improve the legal and policy environment for voluntary health insurance</t>
  </si>
  <si>
    <t>Introduce legislation on voluntary health insurance to guide the sector and to firmly place the role of the health sector in private health insurance;</t>
  </si>
  <si>
    <t>Introduce regulations on strategic health purchasing;</t>
  </si>
  <si>
    <t>Introduce the public health budget accountability forum;</t>
  </si>
  <si>
    <t>Introduce a law on the establishment of a trust fund in health;</t>
  </si>
  <si>
    <t>Introduce regulations or policies requiring economic evaluation for new and current programs to aid the achievement of efficiency;</t>
  </si>
  <si>
    <t>Update terms of reference for the Health Financing TWG so it can effectively carry out its mandate;</t>
  </si>
  <si>
    <t>Revise the memorandum of understanding with the private sector, including the faith-based organizations in pursuit of UHC goals and value for money;</t>
  </si>
  <si>
    <t>Introduce regulation or policy for allowing limited purchase of essential medicines from preselected prime vendors, in the event that the CMST does not have such medicines or commodities in stock; and</t>
  </si>
  <si>
    <t>Re-introduce the annual health financing summit.</t>
  </si>
  <si>
    <t>Define and implement benefit packages for all levels of care</t>
  </si>
  <si>
    <t xml:space="preserve">Develop and implement effective strategic resource allocation and use measures across the healthcare delivery </t>
  </si>
  <si>
    <t>Develop and implement effective provider payment mechanisms</t>
  </si>
  <si>
    <t xml:space="preserve">Strengthen institutional capacity in health financing and PFM to effectively implement the Health Financing Strategy </t>
  </si>
  <si>
    <t xml:space="preserve">Strengthen generation and use of evidence in health financing decision making at all levels </t>
  </si>
  <si>
    <t xml:space="preserve">Strengthen the advocacy capacity for the Health Financing Strategy </t>
  </si>
  <si>
    <t xml:space="preserve">Strengthen the legal, regulatory and policy frameworks for health financing </t>
  </si>
  <si>
    <t>Development and implementation of strategic purchasing measures across the healthcare service delivery continuum</t>
  </si>
  <si>
    <t>To establish and strengthen institutional arrangements and systems for effective health financing at all levels of the health system</t>
  </si>
  <si>
    <t>Year 1</t>
  </si>
  <si>
    <t>Year 2</t>
  </si>
  <si>
    <t>Year 3</t>
  </si>
  <si>
    <t>Year 4</t>
  </si>
  <si>
    <t>Year 5</t>
  </si>
  <si>
    <t>Year 7</t>
  </si>
  <si>
    <t>Year 6</t>
  </si>
  <si>
    <t>Year 8</t>
  </si>
  <si>
    <t>cost item</t>
  </si>
  <si>
    <t>Newspaper advert (full)</t>
  </si>
  <si>
    <t>Local consultant fee - High level</t>
  </si>
  <si>
    <t>Conference package high-level</t>
  </si>
  <si>
    <t>Toner</t>
  </si>
  <si>
    <t>A4, 1 page, 140 gsm paper</t>
  </si>
  <si>
    <t>Local running (diesel, per km)</t>
  </si>
  <si>
    <t>Full DSA</t>
  </si>
  <si>
    <t>Airtime for Research Assistant</t>
  </si>
  <si>
    <t>Tablet</t>
  </si>
  <si>
    <t>DSA (excl. lunch)</t>
  </si>
  <si>
    <t>toner</t>
  </si>
  <si>
    <t>zero cost</t>
  </si>
  <si>
    <t>Accomodation and DSA international (high)</t>
  </si>
  <si>
    <t>International consultant fee - High level</t>
  </si>
  <si>
    <t>Full DSA parliamentarian</t>
  </si>
  <si>
    <t>Air radio adverts: 1 min on Community Radio</t>
  </si>
  <si>
    <t>TV: 1min on air</t>
  </si>
  <si>
    <t>Laptop</t>
  </si>
  <si>
    <t>Double Cab Vehicle</t>
  </si>
  <si>
    <t>Air radio adverts: 1 min on National Radio</t>
  </si>
  <si>
    <t>Dissemination workshops</t>
  </si>
  <si>
    <t>conduct workshop</t>
  </si>
  <si>
    <t>develop concept note</t>
  </si>
  <si>
    <t>Develop ToRs for the taskforce</t>
  </si>
  <si>
    <t>set-up the task-force</t>
  </si>
  <si>
    <t>Hold workshop for members of the taskforce to revise the CHRAF concept note</t>
  </si>
  <si>
    <t>Develop tools for consultative meetings with patient groups, service providers, financers</t>
  </si>
  <si>
    <t>Conduct validation meetings</t>
  </si>
  <si>
    <t>Dissemination of the allocation formula</t>
  </si>
  <si>
    <t>Ball point (Box)</t>
  </si>
  <si>
    <t>2 national level workshop for cost center specific road map. (25 participants)</t>
  </si>
  <si>
    <t>3 national level workshop for cost center specific road map. (25 participants)</t>
  </si>
  <si>
    <t>6 zonal level workshop to carter for all districts at 6 participants per district</t>
  </si>
  <si>
    <t>7 zonal level workshop to carter for all districts at 6 participants per district</t>
  </si>
  <si>
    <t>Technical Assistant</t>
  </si>
  <si>
    <t xml:space="preserve">2 drafting workshops </t>
  </si>
  <si>
    <t xml:space="preserve">3 drafting workshops </t>
  </si>
  <si>
    <t xml:space="preserve">2 validation meeting </t>
  </si>
  <si>
    <t xml:space="preserve">3 validation meeting </t>
  </si>
  <si>
    <t>Desktop computer</t>
  </si>
  <si>
    <t>curriculum review meeting per year X 8 years</t>
  </si>
  <si>
    <t>Opening bank account</t>
  </si>
  <si>
    <t xml:space="preserve">1 contract for verifier (firm), </t>
  </si>
  <si>
    <t>Verification for health facility grants</t>
  </si>
  <si>
    <t>communication for health facility grants</t>
  </si>
  <si>
    <t>1 contract for communication(firm)</t>
  </si>
  <si>
    <t>prosecution and litigation cost</t>
  </si>
  <si>
    <t>contribution towards HSJF fiduciary agent</t>
  </si>
  <si>
    <t>health facility grants</t>
  </si>
  <si>
    <t xml:space="preserve">2 National/central workshop </t>
  </si>
  <si>
    <t>6 zonal level workshop, 2 participants per district</t>
  </si>
  <si>
    <t>7 zonal level workshop, 2 participants per district</t>
  </si>
  <si>
    <t>Securing office space for 5 years, furniture, equipment and supplies at national level</t>
  </si>
  <si>
    <t>Office space</t>
  </si>
  <si>
    <t>PFM mentorship / training per month for district and zonal councils</t>
  </si>
  <si>
    <t>6 zonal trainings based on the institutional purchasing framework</t>
  </si>
  <si>
    <t>7 zonal trainings based on the institutional purchasing framework</t>
  </si>
  <si>
    <t>National level meeting</t>
  </si>
  <si>
    <t>Recruitment</t>
  </si>
  <si>
    <t>IFMIS reconfiguration</t>
  </si>
  <si>
    <t>PBF execution</t>
  </si>
  <si>
    <t>Monitoring of PBF execution</t>
  </si>
  <si>
    <t>3 TOTs per health facility at a district level</t>
  </si>
  <si>
    <t>4 TOTs per health facility at a district level</t>
  </si>
  <si>
    <t>Development of sensitization content</t>
  </si>
  <si>
    <t>recruit 1 principal economist</t>
  </si>
  <si>
    <t>officer grade H</t>
  </si>
  <si>
    <t>recruit 4  economists</t>
  </si>
  <si>
    <t>Officer grade I</t>
  </si>
  <si>
    <t>Masters scholarship</t>
  </si>
  <si>
    <t>PhD scholarship</t>
  </si>
  <si>
    <t>short term training</t>
  </si>
  <si>
    <t>develop TORs for the district level focal persons</t>
  </si>
  <si>
    <t>o   Write DHSS requesting them to identify/point the focal persons in MoH- Planning, DHRMD, EP&amp;D, MOF, NLGFC Districts (MDAs)</t>
  </si>
  <si>
    <t>develop training materials</t>
  </si>
  <si>
    <t>identifying 3 accounting staff in the audit function</t>
  </si>
  <si>
    <t>offer short term courses (once every 2 years)</t>
  </si>
  <si>
    <t>international training</t>
  </si>
  <si>
    <t>Procure health financing analysis software (STATA and Treeage)</t>
  </si>
  <si>
    <t>Microsoft office</t>
  </si>
  <si>
    <t>post doc scholarship</t>
  </si>
  <si>
    <t>hire staff for the grants management unit</t>
  </si>
  <si>
    <t>training complex</t>
  </si>
  <si>
    <t>NHA institutionalisation Y1</t>
  </si>
  <si>
    <t>NHA institutionalisation Y2</t>
  </si>
  <si>
    <t>NHA institutionalisation Y3</t>
  </si>
  <si>
    <t>NHA institutionalisation Y4</t>
  </si>
  <si>
    <t>NHA institutionalisation Y5</t>
  </si>
  <si>
    <t>purchase 3 vehicles</t>
  </si>
  <si>
    <t>recruit 2 TA in HFD</t>
  </si>
  <si>
    <t>Dissemination of the report</t>
  </si>
  <si>
    <t>Annual subscription to PPP</t>
  </si>
  <si>
    <t>stakeholders wporkshop</t>
  </si>
  <si>
    <t>2 training for 5 days for 15 participants</t>
  </si>
  <si>
    <t>3 training for 5 days for 15 participants</t>
  </si>
  <si>
    <t>2 training for 5 days for 20 participants from CSOs</t>
  </si>
  <si>
    <t>3 training for 5 days for 20 participants from CSOs</t>
  </si>
  <si>
    <t xml:space="preserve">2 curriculum review meeting per year </t>
  </si>
  <si>
    <t xml:space="preserve">3 curriculum review meeting per year </t>
  </si>
  <si>
    <t>review of the report</t>
  </si>
  <si>
    <t>Dissemination of the Policy</t>
  </si>
  <si>
    <t>hold 5 meetings with RBM</t>
  </si>
  <si>
    <t>hold summit</t>
  </si>
  <si>
    <t>Y1 No of persons/Quantity</t>
  </si>
  <si>
    <t>Y1 Frequency</t>
  </si>
  <si>
    <t>Year 1 Total Cost</t>
  </si>
  <si>
    <t>Y2 No of persons/Quantity</t>
  </si>
  <si>
    <t>Y2 Frequency</t>
  </si>
  <si>
    <t>Year 2 Total Cost</t>
  </si>
  <si>
    <t>Y3 No of persons/Quantity</t>
  </si>
  <si>
    <t>Y3 Frequency</t>
  </si>
  <si>
    <t>Year 3 Total Cost</t>
  </si>
  <si>
    <t>Y4 No of persons/Quantity</t>
  </si>
  <si>
    <t>Y4 Frequency</t>
  </si>
  <si>
    <t>Year 4 Total Cost</t>
  </si>
  <si>
    <t>Y5 No of persons/Quantity</t>
  </si>
  <si>
    <t>Y5 Frequency</t>
  </si>
  <si>
    <t>Year 5 Total Cost</t>
  </si>
  <si>
    <t>Y6 No of persons/Quantity</t>
  </si>
  <si>
    <t>Y6 Frequency</t>
  </si>
  <si>
    <t>Year 6 Total Cost</t>
  </si>
  <si>
    <t>Y7 No of persons/Quantity</t>
  </si>
  <si>
    <t>Y7 Frequency</t>
  </si>
  <si>
    <t>Year 7 Total Cost</t>
  </si>
  <si>
    <t>Y8 No of persons/Quantity</t>
  </si>
  <si>
    <t>Y8 Frequency</t>
  </si>
  <si>
    <t>Year 8 Total Cost</t>
  </si>
  <si>
    <t>Cost</t>
  </si>
  <si>
    <t>Stationary materials for participant (Pen, Notepad medium, Flipchart, Marker,office Supplies ) - Average</t>
  </si>
  <si>
    <t>To mobilize adequate, sustainable, and predictable funds for the health sector to optimally delivery essential health services</t>
  </si>
  <si>
    <t>Improve efficiency across all health system functions at all levels of the healthcare delivery system</t>
  </si>
  <si>
    <t>Conduct annual efficiency analysis across programs to inform reallocation of resources;</t>
  </si>
  <si>
    <t>Conduct a cross programatic efficiency study</t>
  </si>
  <si>
    <t xml:space="preserve">Develop a concept note </t>
  </si>
  <si>
    <t>Zero cost</t>
  </si>
  <si>
    <t>Conduct 3 meetings to set up CPEA taskforce</t>
  </si>
  <si>
    <t>Develop ToRs for the CPEA consultant</t>
  </si>
  <si>
    <t>Conduct training for research assistants</t>
  </si>
  <si>
    <t>Pre-testing of the data collection tool</t>
  </si>
  <si>
    <t xml:space="preserve">Validation of data collection tool </t>
  </si>
  <si>
    <t>Report writing(cost on consultant)</t>
  </si>
  <si>
    <t>Implement recommendations of the CPEA report</t>
  </si>
  <si>
    <t xml:space="preserve"> Rationalize implementation of in-service training;</t>
  </si>
  <si>
    <t>development of inservice training curriculum</t>
  </si>
  <si>
    <t xml:space="preserve">Finalize recruitment of a consultant </t>
  </si>
  <si>
    <t xml:space="preserve">Consultant to hold stakeholder consultation workshop </t>
  </si>
  <si>
    <t>Consultant to hold a 1 day validation workshop</t>
  </si>
  <si>
    <t>Consultant to produce report and a curriculum for in-service training</t>
  </si>
  <si>
    <t>Consultant to present to the HR TWG</t>
  </si>
  <si>
    <t>Presentation to senior management</t>
  </si>
  <si>
    <t>Promote supply chain integration;</t>
  </si>
  <si>
    <t xml:space="preserve">Clarify roles, responsibilities and processes (including transportation and warehousing) </t>
  </si>
  <si>
    <t>Set up a taskforce on clarifying roles, responsibilities and processes</t>
  </si>
  <si>
    <t xml:space="preserve">Recruit a consultant to conduct process mapping and situation analysis and to develop standard operation procedures for logistics systems </t>
  </si>
  <si>
    <t>Report writing (consultant)</t>
  </si>
  <si>
    <t>Develop SOPs for the new integrated supply chain system</t>
  </si>
  <si>
    <t>Design systems for an agile integrated supply chain system</t>
  </si>
  <si>
    <t>Set up a taskforce on the agility of supply chain system</t>
  </si>
  <si>
    <t>Recruit a consultant to design a procurement system for the new integrated supply chain system</t>
  </si>
  <si>
    <t>Improve functionality of LMIS</t>
  </si>
  <si>
    <t>Recruit a consultant to conduct an assessment of the current LMIS</t>
  </si>
  <si>
    <t>Report writing (addressing current gaps)</t>
  </si>
  <si>
    <t xml:space="preserve">Implementation </t>
  </si>
  <si>
    <t>Conduct annual cost analysis of the integrated supply chain system (LMIS system)</t>
  </si>
  <si>
    <t xml:space="preserve">1week workshop to develop costing tool </t>
  </si>
  <si>
    <t xml:space="preserve">validation </t>
  </si>
  <si>
    <t xml:space="preserve">data collection </t>
  </si>
  <si>
    <t xml:space="preserve">improve data for decision making for the integrated supply chain system </t>
  </si>
  <si>
    <t xml:space="preserve">generate routine LMIS reports and share to all stakeholders </t>
  </si>
  <si>
    <t>foster partnerships for the integrated supply chain system</t>
  </si>
  <si>
    <t>set up a taskforce for the integration of the supply chain system</t>
  </si>
  <si>
    <t xml:space="preserve">conduct quarterly taskforce meetings </t>
  </si>
  <si>
    <t>Promote end to end tracking of medicines and medical supplies (e.g., To monitor potential expiry of medicines);</t>
  </si>
  <si>
    <t>Develop a tracking system</t>
  </si>
  <si>
    <t>Set up a taskforce on tracking and tracing (hold 10 meetings to come up with a list of priority medicines for tracking and tracing))</t>
  </si>
  <si>
    <t>Develop TORs for an IT consultant to develop a tracking system</t>
  </si>
  <si>
    <t xml:space="preserve">Pilot the system and monitor perfomance </t>
  </si>
  <si>
    <t>piloting tracking system</t>
  </si>
  <si>
    <t>Scaling up</t>
  </si>
  <si>
    <t>scaling up the tracking system</t>
  </si>
  <si>
    <t>Build drug theft investigation capacity at councils</t>
  </si>
  <si>
    <t xml:space="preserve"> Conduct district level theft investigation trainings</t>
  </si>
  <si>
    <t>Develop ToRs</t>
  </si>
  <si>
    <t>Develop training curriculum</t>
  </si>
  <si>
    <t>conduct 8 drug theft audits per year</t>
  </si>
  <si>
    <t>Enhance capacity for fiduciary risk assessment and management ;</t>
  </si>
  <si>
    <t>conduct a fiduciary risk assessment</t>
  </si>
  <si>
    <t xml:space="preserve">Form a taskforce for fiduciary risk assessment </t>
  </si>
  <si>
    <t xml:space="preserve">Develop data collection tool </t>
  </si>
  <si>
    <t xml:space="preserve">Conduct data collection training </t>
  </si>
  <si>
    <t>Implementation of findings</t>
  </si>
  <si>
    <t>Improve contract management of public health infrastructure projects</t>
  </si>
  <si>
    <t xml:space="preserve">Finalization of infrastructure management guidelines </t>
  </si>
  <si>
    <t>Conduct follow-up meetings</t>
  </si>
  <si>
    <t>Present the infrastructure guidelines to TWG</t>
  </si>
  <si>
    <t>Presentation to senior management team for approval</t>
  </si>
  <si>
    <t>Implementation of the guidelines upon approval</t>
  </si>
  <si>
    <t>Engage treasury on prioritization of health infrastructure projects</t>
  </si>
  <si>
    <t>Meetings with treasury and discuss processes to improve on payments to infrastructure (internal meeting)</t>
  </si>
  <si>
    <t>Hold biannual meetings with DOB to review progress of projects (internal meeting)</t>
  </si>
  <si>
    <t>Establish active price monitoring mechanisms to support efficient procurement of medicines;</t>
  </si>
  <si>
    <t>Develop a National and International Wholesale Medicines Price Monitoring System</t>
  </si>
  <si>
    <t xml:space="preserve">Develop a concept note on National and International Wholesale Medicines Price Monitoring System </t>
  </si>
  <si>
    <t>Set up a taskforce on national and international wholesale medicines price monitoring system</t>
  </si>
  <si>
    <t xml:space="preserve">Develop a data collection tool </t>
  </si>
  <si>
    <t xml:space="preserve">recruit research assistants </t>
  </si>
  <si>
    <t xml:space="preserve">Conduct training on the data collection tool </t>
  </si>
  <si>
    <t>Validation of data collection tool</t>
  </si>
  <si>
    <t>Collect medicines pricing data</t>
  </si>
  <si>
    <t>Develop an online medicines pricing database(cost under consultant fee)</t>
  </si>
  <si>
    <t>Develop a user manual for the system(cost under consultant fee)</t>
  </si>
  <si>
    <t xml:space="preserve">Validation of the database </t>
  </si>
  <si>
    <t xml:space="preserve">Dissemination of medicines price monitoring system </t>
  </si>
  <si>
    <t>Implementation and monitoring</t>
  </si>
  <si>
    <t>Manage a national and international wholesale medicines price monitoring system</t>
  </si>
  <si>
    <t>Update medicines pricing database (biannual)</t>
  </si>
  <si>
    <t>Continuous dissemination of medicines price monitoring system</t>
  </si>
  <si>
    <t xml:space="preserve">Purchase medicines using data from the price monitoring system </t>
  </si>
  <si>
    <t>Lobby for the enforcement of direct sourcing of medicines e.g. buying as a regional bloc;</t>
  </si>
  <si>
    <t>Set up a mechanism for purchasing of rare conditions medicines as a region</t>
  </si>
  <si>
    <t>Develop a concept note on direct sourcing of medicines</t>
  </si>
  <si>
    <t xml:space="preserve">Lobby treasury to recapitalize CMST </t>
  </si>
  <si>
    <t>Set up a committee to identify medicines not in sufficient demand to meet requirement of direct purchasing (MoH,CMST,DHO, Treasury)</t>
  </si>
  <si>
    <t xml:space="preserve">Develop a proposal on purchasing of rare conditions medicines as a bloc directly from the manufacturers </t>
  </si>
  <si>
    <t xml:space="preserve">Present the proposal to SADC committee </t>
  </si>
  <si>
    <t>Set-up a mechanism for termination of Buy-Malawi Strategy for medicines and medical equipment not manufactured in Malawi</t>
  </si>
  <si>
    <t>Develop a concept note on termination of buy Malawi strategy</t>
  </si>
  <si>
    <t xml:space="preserve">Present to senior management </t>
  </si>
  <si>
    <t>Present to PSs committee on health and nutrition</t>
  </si>
  <si>
    <t>Develop a cabinet paper</t>
  </si>
  <si>
    <t>Present to the cabinet</t>
  </si>
  <si>
    <t>Implement the decision</t>
  </si>
  <si>
    <t>Introduce flexibility in the medicines budget at district level to purchase medicines from prime vendors when there is a stock out at CMST;</t>
  </si>
  <si>
    <t>Develop guidelines on direct purchasing from pharmaceutical prime vendors in districts</t>
  </si>
  <si>
    <t>Conduct workshops to develop guidelines on direct purchasing from pharmaceuticals prime vendors in districts (5 workshops, 5 days each) (20 participants)</t>
  </si>
  <si>
    <t xml:space="preserve"> Present to the medicines and supplies TWG for endorsement</t>
  </si>
  <si>
    <t>Present to MoH senior management for approval</t>
  </si>
  <si>
    <t xml:space="preserve">Dissemination of the guidelines </t>
  </si>
  <si>
    <t>Implementation of the guidelines</t>
  </si>
  <si>
    <t xml:space="preserve">Monitoring </t>
  </si>
  <si>
    <t>Annual review of percentage of medicines budget that can be used to purchase from Pharmaceutical Prime Vendors (3 days)</t>
  </si>
  <si>
    <t>Introduce e-procurement mechanism at the CMST;</t>
  </si>
  <si>
    <t>develop e-procurement system at CMST</t>
  </si>
  <si>
    <t>Develop a concept note on e-procurement</t>
  </si>
  <si>
    <t>Set up a taskforce on e-procurement (PPDA,CMST,Planning,KUHES,HTSS)</t>
  </si>
  <si>
    <t>Study tour (regional)</t>
  </si>
  <si>
    <t>Airfare regional</t>
  </si>
  <si>
    <t>Report writing on the study tour with recommendations</t>
  </si>
  <si>
    <t xml:space="preserve">Develop e-procurement guidelines </t>
  </si>
  <si>
    <t>conduct workshops to develop e-procurement guidelines</t>
  </si>
  <si>
    <t>Present to senior management</t>
  </si>
  <si>
    <t>Dissemination worshop</t>
  </si>
  <si>
    <t>Train users of the system</t>
  </si>
  <si>
    <t xml:space="preserve">Develop TORs to recruit a consultant to train users of the system (firm) </t>
  </si>
  <si>
    <t xml:space="preserve">Conduct trainings of the system </t>
  </si>
  <si>
    <t xml:space="preserve">Pilot the system and monitor the performance </t>
  </si>
  <si>
    <t xml:space="preserve">Scaling up </t>
  </si>
  <si>
    <t>Implement CMST reforms based on CMST efficiency analysis;</t>
  </si>
  <si>
    <t xml:space="preserve">Conduct CMST efficiency analysis </t>
  </si>
  <si>
    <t>Conduct meetings to setup a CMST reforms taskforce</t>
  </si>
  <si>
    <t>Set up a CMST reforms taskforce (meetings)</t>
  </si>
  <si>
    <t>Develop TORs to recruit a consultant to conduct CMST efficiency analysis</t>
  </si>
  <si>
    <t>Engage  a consultant</t>
  </si>
  <si>
    <t>Recruit in house research assistants</t>
  </si>
  <si>
    <t xml:space="preserve">conduct training on the data collection tool </t>
  </si>
  <si>
    <t xml:space="preserve">Pretesting of the data collection tool </t>
  </si>
  <si>
    <t xml:space="preserve">Report writing </t>
  </si>
  <si>
    <t xml:space="preserve">Dissemination workshop </t>
  </si>
  <si>
    <t>Implement recommendations of the CMST efficiency analysis report</t>
  </si>
  <si>
    <t>Enforce adherence to the Capital Investment Plan (CIP);</t>
  </si>
  <si>
    <t xml:space="preserve">Develop a clear annual implementation plan for CIP projects </t>
  </si>
  <si>
    <t xml:space="preserve">Engage treasury and EPD through workshops to prioritize CIP projects </t>
  </si>
  <si>
    <t>Present the implementation plan to senior management</t>
  </si>
  <si>
    <t xml:space="preserve">Engage stakeholders including politicians on health infrastructure and CIP implementation (3 meetings) </t>
  </si>
  <si>
    <t>Develop a concept note on health infrastructure projects</t>
  </si>
  <si>
    <t>Present concept note to parliamentary committee on health, health donor group, treasury</t>
  </si>
  <si>
    <t>Improvement of efficiency and equity in pooling and management of resources for the health sector</t>
  </si>
  <si>
    <t>Incentivize optimal disbursements and execution of government and donor funds; and</t>
  </si>
  <si>
    <t>Address procurement constraints</t>
  </si>
  <si>
    <t>Recruit a consultant to diagnose procurement constraints in the MOH across project PIUs and the DHOs</t>
  </si>
  <si>
    <t>airtime for Research Assistant</t>
  </si>
  <si>
    <t>Report writing (with marked constraints and associated action plan)</t>
  </si>
  <si>
    <t>Decentralize infrastructure management to district councils</t>
  </si>
  <si>
    <t>Conduct 4 workshops to develop an infrastructure management manual at decentralised level</t>
  </si>
  <si>
    <t xml:space="preserve">Train districts on infrastructure management </t>
  </si>
  <si>
    <t>Enhance participation of communities in financing of public health services</t>
  </si>
  <si>
    <t>Develop grant making and governance capabilities for decentralized and community health oversight structures and mechanisms</t>
  </si>
  <si>
    <t>Capacitate decentralized and community health oversight structures (e.g., Health and Environmental Committee; Health Centre Management Committees) on grant making and governance</t>
  </si>
  <si>
    <t>Develop a training manual on grant making and governance (cost on consultant fee)</t>
  </si>
  <si>
    <t xml:space="preserve">Conduct trainings </t>
  </si>
  <si>
    <t>Report writing with clear action points (cost on consultant)</t>
  </si>
  <si>
    <t>Conduct dissemination workshop</t>
  </si>
  <si>
    <t>Facilitate community level revenue mobilization mechanisms  </t>
  </si>
  <si>
    <t>Develop governance mechanisms for the collection and management of locally mobilised resources</t>
  </si>
  <si>
    <t xml:space="preserve">develop a concept note on the establishment of governance mechanisms for the collection and management of locally mobilised resources </t>
  </si>
  <si>
    <t xml:space="preserve">develop a data collection tool </t>
  </si>
  <si>
    <t>pretesting of the data collection tool</t>
  </si>
  <si>
    <t xml:space="preserve">Data analysis </t>
  </si>
  <si>
    <t>Report writing with clear action points and recommendations (cost on consultant)</t>
  </si>
  <si>
    <t xml:space="preserve"> Conduct validation workshop </t>
  </si>
  <si>
    <t>Present to service delivery TWG</t>
  </si>
  <si>
    <t xml:space="preserve">Train DHMT on the guidelines </t>
  </si>
  <si>
    <t xml:space="preserve">Train health centre management committees </t>
  </si>
  <si>
    <t>Monitoring</t>
  </si>
  <si>
    <t>Mobilize citizen engagement into innovative financing mechanisms e.g. citizen involvement in Malaria Fund  as contributors and efficiency watchdogs</t>
  </si>
  <si>
    <t>Establishment of an integrated health fund as a co-financing mechanism</t>
  </si>
  <si>
    <t>Recruit a consultant to update the 2017 health fund report and conduct an assessment on citizen willingness to contribute to the health fund. (and advise on whether there are credible sources of earmarked financing for co-financing specific health needs e.g HIV, Malaria and Vaccines)</t>
  </si>
  <si>
    <t xml:space="preserve">develop data collection tool </t>
  </si>
  <si>
    <t xml:space="preserve">conduct training on data collection </t>
  </si>
  <si>
    <t xml:space="preserve">prestesting of the data collection tool </t>
  </si>
  <si>
    <t xml:space="preserve">validation of the data collection tool </t>
  </si>
  <si>
    <t>Report writing with clear action plans (consultant)</t>
  </si>
  <si>
    <t xml:space="preserve">Validation of results </t>
  </si>
  <si>
    <t>Develop concept note for presentation to stakeholders (treasury, parliamentary committee on health)</t>
  </si>
  <si>
    <t>Lobby treasury for establishment of health trust fund</t>
  </si>
  <si>
    <t>Develop guidelines on management of health trust fund</t>
  </si>
  <si>
    <t>develop a concept note on establishing guidelines on management of health trust fund</t>
  </si>
  <si>
    <t>Set up a taskforce (3 meetings)</t>
  </si>
  <si>
    <t>Develop TORs for consultant</t>
  </si>
  <si>
    <t xml:space="preserve">training on the data collection tool </t>
  </si>
  <si>
    <t xml:space="preserve">Validation of the data collection tool </t>
  </si>
  <si>
    <t>Report writing with clear action points (consultant)</t>
  </si>
  <si>
    <t>local running (diesel, per km)</t>
  </si>
  <si>
    <t>Presentation to TWG</t>
  </si>
  <si>
    <t>monitoring</t>
  </si>
  <si>
    <t>Set up a health trust fund</t>
  </si>
  <si>
    <t xml:space="preserve">Ministry of justice to develop trust deeds </t>
  </si>
  <si>
    <t>Register the trust with the registrar general</t>
  </si>
  <si>
    <t xml:space="preserve">conduct meetings to solicit names of potential trustees </t>
  </si>
  <si>
    <t xml:space="preserve">Seek endorsement of the names from SH, Minister for Health and send to OPC </t>
  </si>
  <si>
    <t>President appoints the trustees</t>
  </si>
  <si>
    <t xml:space="preserve"> Constitute the trust fund with clear oversight of mechanisms for the general oversight of the citizenry </t>
  </si>
  <si>
    <t>Identify potential revenue sources</t>
  </si>
  <si>
    <t>Recruit a consultant to conduct a feasibility study on the establishment of the health trust fund</t>
  </si>
  <si>
    <t>Air time (3gb)</t>
  </si>
  <si>
    <t>report writing (consultant)</t>
  </si>
  <si>
    <t xml:space="preserve">dissemination  </t>
  </si>
  <si>
    <t>establish the trust fund</t>
  </si>
  <si>
    <t>Conduct annual performance review of the trust fund</t>
  </si>
  <si>
    <t>Establish community prepayment mechanisms</t>
  </si>
  <si>
    <t>Design community prepayment mechanisms</t>
  </si>
  <si>
    <t>develop a concept note for establishing a community prepayment mechanism</t>
  </si>
  <si>
    <t>Develop TORs for a consultant to conduct a feasibility study</t>
  </si>
  <si>
    <t>pilot the mechanism and monitoring</t>
  </si>
  <si>
    <t>Improve and scale up optional paying services in public facilities</t>
  </si>
  <si>
    <t>Improve infrastructure, human resources, medical equipment and medical supplies capacity for optional paying services;</t>
  </si>
  <si>
    <t>Joint detailed infrastructure needs assessment</t>
  </si>
  <si>
    <t xml:space="preserve">develop a concept note </t>
  </si>
  <si>
    <t>Set up a committee</t>
  </si>
  <si>
    <t>Develop TORs for assessment</t>
  </si>
  <si>
    <t>Lobby for inclusion of infrastructure needs for optional paying services in CIP and PSIP</t>
  </si>
  <si>
    <t>Improve the financial management and accountability of the optional paying service;</t>
  </si>
  <si>
    <t xml:space="preserve">Revise financial management guidelines for the optional paying services in 
central hospitals
</t>
  </si>
  <si>
    <t xml:space="preserve">Report writing with clear action points </t>
  </si>
  <si>
    <t xml:space="preserve">Meeting with treasury </t>
  </si>
  <si>
    <t>implementation</t>
  </si>
  <si>
    <t>Develop financial management guidelines for optional paying services in districts</t>
  </si>
  <si>
    <t>Meeting with treasury and NLGFC</t>
  </si>
  <si>
    <t>Improve stakeholder engagement on optional paying services ; and</t>
  </si>
  <si>
    <t>Biannual meetings with CSO</t>
  </si>
  <si>
    <t>conduct biannual meetings with CSOs</t>
  </si>
  <si>
    <t xml:space="preserve">Quarterly reporting for optional paying services </t>
  </si>
  <si>
    <t>conduct quarterly meetings to report for optional paying services</t>
  </si>
  <si>
    <t>Revise operational guidelines for optional paying services in public health facilities (including defining human resource organisation for optional paying service)</t>
  </si>
  <si>
    <t>Develop business plans, business plan template and monitoring tool</t>
  </si>
  <si>
    <t>Develop TORs for develop standard guidelines and templates for developing business plans</t>
  </si>
  <si>
    <t>Approval from leadership and governance TWG</t>
  </si>
  <si>
    <t>Approval from SMT</t>
  </si>
  <si>
    <t xml:space="preserve">Hold 2 workshops per district to develop business plans </t>
  </si>
  <si>
    <t>Increase unconditional  external funding to the health sector</t>
  </si>
  <si>
    <t xml:space="preserve">Devise and implement sustainability mechanisms for donor funded interventions  ;in alignment with the HSSP III </t>
  </si>
  <si>
    <t>Assess co-financing investment mechanisms into donor-funded interventions</t>
  </si>
  <si>
    <t xml:space="preserve">Hold a workshop to agree on areas of co-financing </t>
  </si>
  <si>
    <t xml:space="preserve">Draft a workshop report </t>
  </si>
  <si>
    <t xml:space="preserve">Present to SMT and treasury </t>
  </si>
  <si>
    <t>Engage donors regarding co-financing mechanisms</t>
  </si>
  <si>
    <t>Present the report to the health donor group</t>
  </si>
  <si>
    <t>Holding separate discussions with individual donors</t>
  </si>
  <si>
    <t>lobby for more funds</t>
  </si>
  <si>
    <t>Develop co-financing roadmap</t>
  </si>
  <si>
    <t>National-level workshop ( MOH – 5, MOF – 2, NLGFC – 2, Partners – 2 x 3 days)</t>
  </si>
  <si>
    <t>Develop co-financing mechanism implementation and monitoring plans</t>
  </si>
  <si>
    <t>National-level workshop (MOH – 5, MOF – 2, NLGFC – 2, Partners – 2 x 3 days)</t>
  </si>
  <si>
    <t xml:space="preserve">Negotiating contracts with interested partners </t>
  </si>
  <si>
    <t xml:space="preserve">Sign co-financing agreements with interested partners </t>
  </si>
  <si>
    <t>Monitoring of co-investments</t>
  </si>
  <si>
    <t>Evaluation of co-investments</t>
  </si>
  <si>
    <t>Conduct workshop for evaluation</t>
  </si>
  <si>
    <t>Introduce incentives to individuals and institutions to encourage external resource mobilization</t>
  </si>
  <si>
    <t>Develop policy regarding the provision of resource mobilization incentives at National and council level</t>
  </si>
  <si>
    <t>National-level engagement meeting (1 person x 29 districts, MOH - 5, MOF – 2, NLGFC – 5 (3 days))</t>
  </si>
  <si>
    <t>Disseminate policy regarding the provision of resource mobilization incentives at council level</t>
  </si>
  <si>
    <t>National-level engagement meeting, 1 person x 29 districts, MOH - 5, MOF – 2, NLGFC – 2 (1 day)</t>
  </si>
  <si>
    <t>Develop capacity for pro-active external resource mobilization to meet domestic gaps</t>
  </si>
  <si>
    <t>Resource mobilization capacity needs assessment at national and district level</t>
  </si>
  <si>
    <t xml:space="preserve">Develop TORs for a consultant </t>
  </si>
  <si>
    <t>Recruitment of an international consultant (30 days )</t>
  </si>
  <si>
    <t>Report writing with a detailed manual on resource mobilization (consultant)</t>
  </si>
  <si>
    <t xml:space="preserve">Training of trainers at national level </t>
  </si>
  <si>
    <t>Support resource mobilization capacity through longer term technical assistance at national and district level</t>
  </si>
  <si>
    <t xml:space="preserve">Develop resource mobilization TA TORs based on needs assessment </t>
  </si>
  <si>
    <t>recruit resource mobilization technical assistance</t>
  </si>
  <si>
    <t>TA to support in grant writing</t>
  </si>
  <si>
    <t>Resource mobilization TA</t>
  </si>
  <si>
    <t>Develop district resource mobilization guidelines</t>
  </si>
  <si>
    <t>national-level meeting (3 people x 29 district, MOH – 5, Central hospitals)</t>
  </si>
  <si>
    <t>Lobby government/stakeholders  for effective population control management</t>
  </si>
  <si>
    <t>Increase research and training on the interface of health financing and population growth; and</t>
  </si>
  <si>
    <t xml:space="preserve">Engage academic institutions to develop research proposals on health finance and population growth such as synthesising financial data with demographic health survey </t>
  </si>
  <si>
    <t>Lobby with donors</t>
  </si>
  <si>
    <t>conduct 3 meetings (20 participants, 2 days each meeting)</t>
  </si>
  <si>
    <t>Co-create research agenda and discuss dissemination</t>
  </si>
  <si>
    <t xml:space="preserve">conduct meetings </t>
  </si>
  <si>
    <t>Conduct research based on the research agenda (2 research pieces a year)</t>
  </si>
  <si>
    <t>partner with a donor to sponsor the research</t>
  </si>
  <si>
    <t xml:space="preserve">Conduct annual training on population growth research methods for MOH </t>
  </si>
  <si>
    <t>conduct 5-day training in Mangochi/Salima (Academia – 5, MOH – 20)</t>
  </si>
  <si>
    <t>Support educational and research collaborations between academic institutions by providing health financing and demography courses</t>
  </si>
  <si>
    <t xml:space="preserve">Develop concept note </t>
  </si>
  <si>
    <t>conduct workshop to develop a curriculum</t>
  </si>
  <si>
    <t>Implementation of the curriculum</t>
  </si>
  <si>
    <t>Increase advocacy on family planning and population growth as key health financing issues</t>
  </si>
  <si>
    <t>Engage policymakers regarding issues of population growth, family planning, and health finance</t>
  </si>
  <si>
    <t>Develop a policy brief on family planning as a key health financing issue</t>
  </si>
  <si>
    <t>Present to the parliamentary committee on Health (2-days Mangochi/Salima meeting, MPs -15, MOH – 5 )</t>
  </si>
  <si>
    <t xml:space="preserve">Conduct awareness campaigns  </t>
  </si>
  <si>
    <t>Engage RHD to incorporate a financial perspective into family planning awareness campaign messaging  (internal meetings)</t>
  </si>
  <si>
    <t>Create media messages (radio, tv)</t>
  </si>
  <si>
    <t>Air radio adverts: 45 sec on National Radio</t>
  </si>
  <si>
    <t>Introduce innovative health financing mechanisms</t>
  </si>
  <si>
    <t>Implement public private partnerships in health across all health system functions to achieve efficiency and mobilize additional financing; and</t>
  </si>
  <si>
    <t>Conduct 2 PPP feasibility assessments per year</t>
  </si>
  <si>
    <t>conduct assessment</t>
  </si>
  <si>
    <t>PPP feasibility assessment</t>
  </si>
  <si>
    <t>Engage active purchasing of services from faith based facilities (CHAM and IHAM)</t>
  </si>
  <si>
    <t xml:space="preserve">Review and update MOU with faith based facilities </t>
  </si>
  <si>
    <t>Develop draft MOUs</t>
  </si>
  <si>
    <t>Hold meetings with faith based facilities (CHAM, IHAM)</t>
  </si>
  <si>
    <t>Meeting with Treasury</t>
  </si>
  <si>
    <t>Ministry of Justice for vetting</t>
  </si>
  <si>
    <t xml:space="preserve">Draft concept paper </t>
  </si>
  <si>
    <t>Present to PS committee on PPP</t>
  </si>
  <si>
    <t>Present to Cabinet</t>
  </si>
  <si>
    <t>Signing of MOU</t>
  </si>
  <si>
    <t xml:space="preserve">Review SLAs guidelines </t>
  </si>
  <si>
    <t>Recruitment of a consultant to facilitate the review</t>
  </si>
  <si>
    <t>Hold 3 workshops (3 days each workshop with CHAM, IHAM, DHO)</t>
  </si>
  <si>
    <t>Present guidelines to PS committee</t>
  </si>
  <si>
    <t>Present to cabinet</t>
  </si>
  <si>
    <t xml:space="preserve"> Dissemination workshop</t>
  </si>
  <si>
    <t>Design a new reimbursement mechanism for SLAs</t>
  </si>
  <si>
    <t>Defining optimal financing mechanism</t>
  </si>
  <si>
    <t xml:space="preserve">pretesting of the data collection tool </t>
  </si>
  <si>
    <t xml:space="preserve"> Data collection </t>
  </si>
  <si>
    <t>Report writing on feasibility and value of various paying mechanisms with clear action points and recommendations (consultant)</t>
  </si>
  <si>
    <t>Present to MOH and Faith Based Institutions for approval</t>
  </si>
  <si>
    <t xml:space="preserve">Implementation of the new reimbursement mechanism for SLAs </t>
  </si>
  <si>
    <t>Set up an online system for monitoring of the new reimbursement mechanism for SLAs</t>
  </si>
  <si>
    <t>Recruit a consultant to develop the system</t>
  </si>
  <si>
    <t xml:space="preserve">Procurement of IT infrastructure for 200 facilities (laptop, dongle, scanners) </t>
  </si>
  <si>
    <t>Thermal Printer</t>
  </si>
  <si>
    <t>Dongle (airtel router)</t>
  </si>
  <si>
    <t>Monitoring of the new reimbursement mechanism for SLAs</t>
  </si>
  <si>
    <t>Quarterly data collection in all 5 zones</t>
  </si>
  <si>
    <t>Pilot in some facilities</t>
  </si>
  <si>
    <t>Annual review of SLA guidelines and MOU for faith based facilities</t>
  </si>
  <si>
    <t>conduct annual meetings to review SLA guidelines and MOU for faith based facilities</t>
  </si>
  <si>
    <t>Conduct functional review for GOM staff establishment in faith based facilities</t>
  </si>
  <si>
    <t>lobby with HR</t>
  </si>
  <si>
    <t>Reduce fragmentation of health sector funding</t>
  </si>
  <si>
    <t>Design and implement an enhanced HSJF mechanism  managed by a fiduciary agent;/ Reinstate the Sector Budget Support to the Sector Wide Approach (SWAp) under the management of a fiduciary agent at central level</t>
  </si>
  <si>
    <t xml:space="preserve">Engage donors </t>
  </si>
  <si>
    <t>conduct meetings</t>
  </si>
  <si>
    <t>Assess the feasibility of reinstating the sector budget support to SWAP</t>
  </si>
  <si>
    <t>develop data collection tools</t>
  </si>
  <si>
    <t>Conduct assessment (data collection)</t>
  </si>
  <si>
    <t xml:space="preserve">Report writing with recommendations and clear action points(consultant) </t>
  </si>
  <si>
    <t xml:space="preserve">Implementation and monitoring </t>
  </si>
  <si>
    <t>Set up a steering committee for SBS</t>
  </si>
  <si>
    <t>Develop terms of reference for the Health-SBS steering committee</t>
  </si>
  <si>
    <t>Set-up the Health-SBS steering committee</t>
  </si>
  <si>
    <t>Health-SBS steering committee agrees on fundamental values of the SBS pool</t>
  </si>
  <si>
    <t>Agreement on nature of SBS- preferably a fiduciary agent (Traceability of funds; earmarking; role of PFM; role of HSSP 3 etc, type of contract/MoU)</t>
  </si>
  <si>
    <t>Agreement on the amount of funds committed to the Health-SBS Pool</t>
  </si>
  <si>
    <t>Planning and organization</t>
  </si>
  <si>
    <t>Contract signing for the Health-SBS</t>
  </si>
  <si>
    <t xml:space="preserve"> Hold 1 annual 2-day workshop to identify funding under SBS</t>
  </si>
  <si>
    <t>Hold 5-day workshop to develop PBB indicators</t>
  </si>
  <si>
    <t>Enhance fiduciary management of the health SBS</t>
  </si>
  <si>
    <t>Conduct financial and programmatic internal audits on a quarterly basis</t>
  </si>
  <si>
    <t>Schedule external audits with the National Audit Office</t>
  </si>
  <si>
    <t xml:space="preserve">Skills transfer by fiduciary agent after development of risk management framework </t>
  </si>
  <si>
    <t>MoH identifies key support areas- program based budgeting principles to be used as to align to the national budgeting framework and also to focus on outcomes not just input</t>
  </si>
  <si>
    <t>Implementation of the health SBS</t>
  </si>
  <si>
    <t xml:space="preserve">Health-SBS steering committee to hold 1 annual meetings </t>
  </si>
  <si>
    <t>Performance monitoring of SBS</t>
  </si>
  <si>
    <t>Annual reports with indicator targets</t>
  </si>
  <si>
    <t>Annual audits (program and financial)</t>
  </si>
  <si>
    <t>Coordinate budget planning, allocation, execution, and evaluation between partners and GOM at all level, including through HSSP Operational Plan</t>
  </si>
  <si>
    <t>All departments and their partners to come up with consolidated annual program plan (at national level)</t>
  </si>
  <si>
    <t>conduct 5 days’ workshop</t>
  </si>
  <si>
    <t>conduct meeting with relevant TWG to endorse the plan</t>
  </si>
  <si>
    <t xml:space="preserve">Joint monitoring of budget activities </t>
  </si>
  <si>
    <t>conduct quarterly meetings</t>
  </si>
  <si>
    <t>Monitor through sub-committees and relevant TWG</t>
  </si>
  <si>
    <t xml:space="preserve">Review of MOU with partners </t>
  </si>
  <si>
    <t xml:space="preserve">Submit to MoH for vetting </t>
  </si>
  <si>
    <t>Submit to the Ministry of justice for vetting process</t>
  </si>
  <si>
    <t xml:space="preserve">Submit to treasury for vetting </t>
  </si>
  <si>
    <t>5 days’ Biannual workshops</t>
  </si>
  <si>
    <t>Introduce DHSS into MOH sub-committees and TWGs</t>
  </si>
  <si>
    <t>Lobby for revision to council budget planning guidelines to incorporate district health budget planning needs (at district level)</t>
  </si>
  <si>
    <t>hold meetings with Treasury, local government and NLGFC to draft an issues paper speaking about current deficiencies in district budget planning</t>
  </si>
  <si>
    <t>Report on decisions and present to SMT</t>
  </si>
  <si>
    <t>Develop a standard bylaw for all District Councils in collaboration with the Ministry of Local Government on enforcing the compliance of implementing partners to partner coordination requirements set by the District Council;</t>
  </si>
  <si>
    <t xml:space="preserve">Draft a concept paper </t>
  </si>
  <si>
    <t>conduuct meetings to draft a concept note</t>
  </si>
  <si>
    <t>Engagement between MoH and GOM on the issue</t>
  </si>
  <si>
    <t>conduct 3 meetings to strategize</t>
  </si>
  <si>
    <t>Refine the concept note based on the meetings</t>
  </si>
  <si>
    <t>Consultation of community leaders, district executive committees</t>
  </si>
  <si>
    <t xml:space="preserve">Draft bylaws </t>
  </si>
  <si>
    <t>conduct meetings to draft by-laws</t>
  </si>
  <si>
    <t>Present to MOJ for endorsement</t>
  </si>
  <si>
    <t>Present bylaw to full councils for approval</t>
  </si>
  <si>
    <t>Conduct 5 regional (zonal) meetings with partners in collaboration with the NGO Board regarding compliance with bylaws (1 day)</t>
  </si>
  <si>
    <t xml:space="preserve">set-up a taskforce </t>
  </si>
  <si>
    <t xml:space="preserve"> develop concept note  </t>
  </si>
  <si>
    <t>develop ToRs</t>
  </si>
  <si>
    <t>Hold 3 workshops, 5 days each to develop MOU and code of conduct with DHSS and MoLGRD for a standardised MOU, code of conduct, and in/out checklist</t>
  </si>
  <si>
    <t>Disseminate MOU and code of conduct at district-level (Hold a district partnership forum meeting to disseminate MOU, code of conduct and an in/out checklist)</t>
  </si>
  <si>
    <t>Introduce the Sector Budget Support to the District Health Budgets</t>
  </si>
  <si>
    <t>Write DHSS to speak about their interest and readiness in SBS</t>
  </si>
  <si>
    <t>Fiduciary risk assessment</t>
  </si>
  <si>
    <t xml:space="preserve">Assessment report </t>
  </si>
  <si>
    <t xml:space="preserve">Implementation of recommendations </t>
  </si>
  <si>
    <t>Evaluation</t>
  </si>
  <si>
    <t xml:space="preserve">Conduct 1 meeting for a day to set up a district based steering committee </t>
  </si>
  <si>
    <t>Lift activities from DIP</t>
  </si>
  <si>
    <t>Contract signing</t>
  </si>
  <si>
    <t>Conduct internal risk management identification exercise</t>
  </si>
  <si>
    <t>Recruitment of fiduciary agent</t>
  </si>
  <si>
    <t>Implementation</t>
  </si>
  <si>
    <t>Health- district SBS steering committee to conduct  quarterly meetings 2 days' each</t>
  </si>
  <si>
    <t>Performance monitoring of district SBS</t>
  </si>
  <si>
    <t xml:space="preserve"> Recruitment PFM TA to manage a cluster of 3-5 districts</t>
  </si>
  <si>
    <t>Conduct the assessment (data collection)</t>
  </si>
  <si>
    <t>Assessment report</t>
  </si>
  <si>
    <t>Strengthen leadership, governance, and accountability mechanisms to ensure harmonization of health financing decision-making across all levels of the health system</t>
  </si>
  <si>
    <t>Scale up DHMT leadership &amp; management curriculum to additional districts and to additional cadres at the district level, including subsequent coaching &amp; mentorship with a focus on partner coordination;</t>
  </si>
  <si>
    <t>Lobby that all DHMT teams across the country are trained in leadership and management provided by SDI</t>
  </si>
  <si>
    <t>conduct 1-day meeting with SDI</t>
  </si>
  <si>
    <t xml:space="preserve">Lobby that other cadres at council level including DoF, DoA, and DoP are trained in leadership and management </t>
  </si>
  <si>
    <t xml:space="preserve">1-day meeting with SDI (staff development institute) </t>
  </si>
  <si>
    <t>Finalise health centre management curriculum (To include issues on partnerships and health financing)</t>
  </si>
  <si>
    <t xml:space="preserve">Hold 1 meeting with 40 stakeholders </t>
  </si>
  <si>
    <t>Roll out health centre management curriculum to health centre managers</t>
  </si>
  <si>
    <t>conduct 5 meetings for 5 zones, 1 day each</t>
  </si>
  <si>
    <t>Lobby for long-term leadership and governance trainings (professional/masters) to health services Administrators (enrol 35 officers)</t>
  </si>
  <si>
    <t>Meeting with DHMT, DHRMD, MoH</t>
  </si>
  <si>
    <t>Lobby for decentralisation of scholarship funding with health training committee</t>
  </si>
  <si>
    <t>Develop a concept note on revising the LAPA tool to include performance criteria on partner coordination</t>
  </si>
  <si>
    <t>conduct consultation workshops</t>
  </si>
  <si>
    <t>Present to local government TWG</t>
  </si>
  <si>
    <t xml:space="preserve">Present to local government SMT approval </t>
  </si>
  <si>
    <t>Revision of LAPA tool</t>
  </si>
  <si>
    <t>Revisit the requirements for leadership at the district level through the functional review process</t>
  </si>
  <si>
    <t>Engage DHRMD to conduct functional review in the district public health sector</t>
  </si>
  <si>
    <t>conduct 5 meetings with DHRMD</t>
  </si>
  <si>
    <t>Develop clear job requirements for senior leadership of the district public health sector</t>
  </si>
  <si>
    <t>Engage DHRMD as consultants</t>
  </si>
  <si>
    <t>Develop job descriptions</t>
  </si>
  <si>
    <t>OPC approval</t>
  </si>
  <si>
    <t>Improve management and accountability of government and donor funds</t>
  </si>
  <si>
    <t>Reduce the administrative burden of the approval process by seeking efficiencies in the internal controls process</t>
  </si>
  <si>
    <t>Lobby for roll out of new IFMIS at council level and move away from paper-based approvals</t>
  </si>
  <si>
    <t xml:space="preserve">Develop a 2 paged issues paper </t>
  </si>
  <si>
    <t>Engage NLGFC and AG on the need for new IFMIS in district councils (1 Meeting at MoH)</t>
  </si>
  <si>
    <t>Engage selected donors on streamlining approval process for funding</t>
  </si>
  <si>
    <t xml:space="preserve">Hold 1 to 1 meetings with selected donors </t>
  </si>
  <si>
    <t>Decentralize management of donor funds that are under the management of Government (e.g., Global Fund, GAVI, HSJF).</t>
  </si>
  <si>
    <t>set-up consultative meetings with MOF, donors, and central government implementers</t>
  </si>
  <si>
    <t>conduct consultative meetings with MOF, donors, and other central government</t>
  </si>
  <si>
    <t>Conduct risk assessment at council level</t>
  </si>
  <si>
    <t>Monitor performance on contracts on biannual basis</t>
  </si>
  <si>
    <t xml:space="preserve">Develop quarterly and annual reports </t>
  </si>
  <si>
    <t xml:space="preserve">Conduct program and financial audits of the decentralised donor funds programs </t>
  </si>
  <si>
    <t>Total Strategy Cost</t>
  </si>
  <si>
    <t>Conduct biennial efficiency analysis across programs to inform reallocation of resources. The focus will be on high expenditure areas such as HIV/AIDS, Malaria and Reproductive Health, EPI, Tuberculosis and Covid-19</t>
  </si>
  <si>
    <t>Total Actvity Cost</t>
  </si>
  <si>
    <t>A4, 500 pages, 140 gsm paper</t>
  </si>
  <si>
    <t>Dissemination workshop (Lilongwe)</t>
  </si>
  <si>
    <t>Fuel for travelling participants</t>
  </si>
  <si>
    <t>TOTAL (MWK)</t>
  </si>
  <si>
    <t>TOTAL (US$)</t>
  </si>
  <si>
    <t>Total Activity Cost</t>
  </si>
  <si>
    <t>Fuel for Travelling participants</t>
  </si>
  <si>
    <t>Conduct training for research assistants (1 consultant, 5 supervisors, 20 data collectors)</t>
  </si>
  <si>
    <t xml:space="preserve">Conduct training for research assistants </t>
  </si>
  <si>
    <t>Fuel for travelling participants (9 cars to sengabay and back to Lilongwe)</t>
  </si>
  <si>
    <t>Local running (diesel, per km) (9 cars from sengabay to Salima Boma and back for 5 days)</t>
  </si>
  <si>
    <t>A4, 500 pages, 140 gsm paper (10 reams of paper)</t>
  </si>
  <si>
    <t>Local running (diesel, per km)- (9 cars to Mchinji to pretest the data collection tool for 2 days at 211.43 per km)</t>
  </si>
  <si>
    <t>Fuel reimbursement for data collection teams (diesel, per km)- (9 cars to Mchinji to pretest the data collection tool for 2 days at 211.43 per km)</t>
  </si>
  <si>
    <t>Fuel for travelling participants (9 cars to various districts)</t>
  </si>
  <si>
    <t>Fuel for travelling participants (9 cars to Sengabay and back to Lilongwe)</t>
  </si>
  <si>
    <t>Consultant to hold three stakeholder consultation workshops of 4 days each</t>
  </si>
  <si>
    <t>Local running (diesel, per km) (29 cars local running costs in Lilongwe for  1day)</t>
  </si>
  <si>
    <t>Fuel for travelling participants (29 cars from all district health teams to lilongwe and back)</t>
  </si>
  <si>
    <t>Fuel for consultant to collect data (diesel, per km)</t>
  </si>
  <si>
    <t>Airtime for consultant</t>
  </si>
  <si>
    <t>A4, 500 page, 140 gsm paper</t>
  </si>
  <si>
    <t>Validation Workshop</t>
  </si>
  <si>
    <t>Fuel for Traveling Participants</t>
  </si>
  <si>
    <t>Cost item</t>
  </si>
  <si>
    <t>Fuel for Participants</t>
  </si>
  <si>
    <t xml:space="preserve"> </t>
  </si>
  <si>
    <t>Total for Activity</t>
  </si>
  <si>
    <t>Total Cost for Activity</t>
  </si>
  <si>
    <t>Fuel for Traveling Attendants</t>
  </si>
  <si>
    <t>Conduct Value for Money Assessment</t>
  </si>
  <si>
    <t>Draft Concept Paper</t>
  </si>
  <si>
    <t>Zero Cost</t>
  </si>
  <si>
    <t>Present to PS Committee on PPP</t>
  </si>
  <si>
    <t>Identify PPP Proposal</t>
  </si>
  <si>
    <t>Cabinet Meeting</t>
  </si>
  <si>
    <t>Develop TORs and RFP Documents</t>
  </si>
  <si>
    <t>Evaluate Expression of Interest</t>
  </si>
  <si>
    <t>Review of RFP Documents before sending them to shortlisted candidates</t>
  </si>
  <si>
    <t>Fuel for traveling participants</t>
  </si>
  <si>
    <t>Pre-proposal Meeting</t>
  </si>
  <si>
    <t>Conference package (zero cost)</t>
  </si>
  <si>
    <t>Review of proposals</t>
  </si>
  <si>
    <t>Review and update MOU with faith based facilities (3 Workshops)</t>
  </si>
  <si>
    <t>Implement recommendations of the VfM Case Study report</t>
  </si>
  <si>
    <t>Conduct 3 meetings to set up VfM taskforce</t>
  </si>
  <si>
    <t>Conduct Value for Money (VfM) Assessment</t>
  </si>
  <si>
    <t>Develop ToRs for the VfM consultant</t>
  </si>
  <si>
    <t>Defining optimal financing mechanism (3 workshops)</t>
  </si>
  <si>
    <t>Develop a Health Finance Law</t>
  </si>
  <si>
    <t>Engage the Malawi Law Commission to draft the Health Financing Law (20 workshops)</t>
  </si>
  <si>
    <t>Gazette the Health Financing Law</t>
  </si>
  <si>
    <t>Local Running (diesel, per Km)</t>
  </si>
  <si>
    <t>Fuel for Travelling Participants</t>
  </si>
  <si>
    <t>Report writing (Consultant)</t>
  </si>
  <si>
    <t xml:space="preserve">1week workshop to develop/ revise costing tool </t>
  </si>
  <si>
    <t xml:space="preserve">Fuel reimbursement for data collection teams (diesel, per km)- (9 cars to Salima) </t>
  </si>
  <si>
    <t xml:space="preserve">1week workshop to develop/revise costing tool </t>
  </si>
  <si>
    <t>data analysis and Report Writing</t>
  </si>
  <si>
    <t>Conference package high-level-3 TIMES</t>
  </si>
  <si>
    <t>Local running(diesel, per km)</t>
  </si>
  <si>
    <t>total</t>
  </si>
  <si>
    <t>Hold a 5 day validation workshop</t>
  </si>
  <si>
    <t>Conduct trainings  in all 5 zones</t>
  </si>
  <si>
    <t>Local running (diesel, per km)-10 cars per district at 50km per day</t>
  </si>
  <si>
    <t>Fuel for travelling participants- 10 cars per district at 50km per day</t>
  </si>
  <si>
    <t>Hold a 5 day consultative workshop to develop data collection tool</t>
  </si>
  <si>
    <t>Local Running(diesel, per km)</t>
  </si>
  <si>
    <t>International consultant</t>
  </si>
  <si>
    <t>Local running (diesel,per km)</t>
  </si>
  <si>
    <t xml:space="preserve"> solicit names of potential trustees </t>
  </si>
  <si>
    <t>6 days’ Biannual workshops</t>
  </si>
  <si>
    <t>Validation Working</t>
  </si>
  <si>
    <t>Lobby DHRMD to conduct functional review in the district public health sector</t>
  </si>
  <si>
    <t>Fuel for travelling Participants</t>
  </si>
  <si>
    <t>Refine primary level EHP based on the results (5-day workshop)</t>
  </si>
  <si>
    <t>Refine secondary level EHP based on the results (5-day workshop)</t>
  </si>
  <si>
    <t>Refine tertiary level EHP based on the results (5-day workshop)</t>
  </si>
  <si>
    <t>Print commucation materials(Booklets and leaflets) on EHP.</t>
  </si>
  <si>
    <t>Printing costs</t>
  </si>
  <si>
    <t>Training of service providers and Health Centre management committee on the new EHP;</t>
  </si>
  <si>
    <t>Refine MSTG, EML, MHL and TML based on the results (5-day workshop)</t>
  </si>
  <si>
    <t>Revise the essential Equipment list to align with the new EHP and disseminate the same;</t>
  </si>
  <si>
    <t xml:space="preserve">Conduct 5 workshops </t>
  </si>
  <si>
    <t xml:space="preserve"> national level workshop for cost center specific road map. (25 participants)</t>
  </si>
  <si>
    <t xml:space="preserve"> zonal level workshop to carter for all districts at 6 participants per district</t>
  </si>
  <si>
    <t>zonal level workshop to carter for all districts at 6 participants per district</t>
  </si>
  <si>
    <t xml:space="preserve"> validation meeting </t>
  </si>
  <si>
    <t>Computers and software for 900 facilities</t>
  </si>
  <si>
    <t>Orientation visit, 5 days for 29 district, 5 national level staff going for a district, 1000 staff for all the districts.</t>
  </si>
  <si>
    <t>zonal level workshop, 2 participants per district</t>
  </si>
  <si>
    <t>Quartery supervision and mentorship visit by national level stake holders</t>
  </si>
  <si>
    <t>PFM mentorship / training quarterly for district and zonal councils</t>
  </si>
  <si>
    <t>national level trainings based on the institutional purchasing framework</t>
  </si>
  <si>
    <t xml:space="preserve">Quaterly  supervision visits for performance assessment </t>
  </si>
  <si>
    <t>Fuel for travellng participants</t>
  </si>
  <si>
    <t>Hold a 2-day validation workshop</t>
  </si>
  <si>
    <t>Develop an E-monitoring system for the purchasing function</t>
  </si>
  <si>
    <t>Advocate for capacity of Health Financing Division</t>
  </si>
  <si>
    <t>fuel for Travelling Participants</t>
  </si>
  <si>
    <t>A4, 500pages, 140 gsm paper</t>
  </si>
  <si>
    <t>Conduct quarterly trainings of 1week each on various analytical health financing methods at national level</t>
  </si>
  <si>
    <t xml:space="preserve">Conduct biannual trainings of 1 week each on various analytical health financing methods at district level </t>
  </si>
  <si>
    <t>Advocate for hiring staff for the unit</t>
  </si>
  <si>
    <t>NHA institutionalisation Y6</t>
  </si>
  <si>
    <t>NHA institutionalisation Y7</t>
  </si>
  <si>
    <t>NHA institutionalisation Y8</t>
  </si>
  <si>
    <t>recruit 1 TA in HFD</t>
  </si>
  <si>
    <t>A4,500 pages, 140 gsm paper</t>
  </si>
  <si>
    <t>zonal dissemination meetings</t>
  </si>
  <si>
    <t>training for 5 days for 15 participants</t>
  </si>
  <si>
    <t xml:space="preserve"> training for 5 days for 15 participants</t>
  </si>
  <si>
    <t>Total activity cost</t>
  </si>
  <si>
    <t>Total Stratergy cost</t>
  </si>
  <si>
    <t>Total Stratergy Cost</t>
  </si>
  <si>
    <t>Strategy 1</t>
  </si>
  <si>
    <t>Activity 1</t>
  </si>
  <si>
    <t>Activity 2</t>
  </si>
  <si>
    <t>Activity 3</t>
  </si>
  <si>
    <t>Activity 4</t>
  </si>
  <si>
    <t>Activity 5</t>
  </si>
  <si>
    <t>Activity 6</t>
  </si>
  <si>
    <t>Activity 7</t>
  </si>
  <si>
    <t>Activity 8</t>
  </si>
  <si>
    <t>Activity 9</t>
  </si>
  <si>
    <t>Activity 10</t>
  </si>
  <si>
    <t>Activity 11</t>
  </si>
  <si>
    <t>Activity 12</t>
  </si>
  <si>
    <t>Total Costs</t>
  </si>
  <si>
    <t>Strategy 2</t>
  </si>
  <si>
    <t>Total Activity Cost $</t>
  </si>
  <si>
    <t>Total Stratergy Cost $</t>
  </si>
  <si>
    <t>T otal Activity Cost $</t>
  </si>
  <si>
    <t>Total  Strategy Cost</t>
  </si>
  <si>
    <t>Total Activity cost $</t>
  </si>
  <si>
    <t>Total Actvity Cost $</t>
  </si>
  <si>
    <t>Total Cost Activity $</t>
  </si>
  <si>
    <r>
      <t>Total Stratergy Cost</t>
    </r>
    <r>
      <rPr>
        <u/>
        <sz val="11"/>
        <color theme="1"/>
        <rFont val="Calibri"/>
        <family val="2"/>
        <scheme val="minor"/>
      </rPr>
      <t>$</t>
    </r>
  </si>
  <si>
    <t>Total for Activity $</t>
  </si>
  <si>
    <r>
      <t xml:space="preserve">Total Stratergy Cost </t>
    </r>
    <r>
      <rPr>
        <u/>
        <sz val="11"/>
        <color theme="1"/>
        <rFont val="Calibri"/>
        <family val="2"/>
        <scheme val="minor"/>
      </rPr>
      <t>$</t>
    </r>
  </si>
  <si>
    <r>
      <t xml:space="preserve">Total Activity Cost </t>
    </r>
    <r>
      <rPr>
        <u/>
        <sz val="11"/>
        <color theme="1"/>
        <rFont val="Calibri"/>
        <family val="2"/>
        <scheme val="minor"/>
      </rPr>
      <t>$</t>
    </r>
  </si>
  <si>
    <t>Total activity cost $</t>
  </si>
  <si>
    <t xml:space="preserve">Total Stratergy Cost </t>
  </si>
  <si>
    <t>4.3.1.1</t>
  </si>
  <si>
    <t>4.3.1.2</t>
  </si>
  <si>
    <t>4.3.1.3</t>
  </si>
  <si>
    <t>4.3.1.4</t>
  </si>
  <si>
    <t>4.3.1.5</t>
  </si>
  <si>
    <t>4.3.1.6</t>
  </si>
  <si>
    <t>Improve financing of family planning using domestic resources</t>
  </si>
  <si>
    <t xml:space="preserve">Increase domestic resources for procurement of family planning (FP) products and implementation of FP programs through introduction of mutually binding co-investments in FP products </t>
  </si>
  <si>
    <t>Conduct a comprehensive needs assessment for family planning products and programs</t>
  </si>
  <si>
    <t>Review the costed implementation plan for family planning to assess whether all needs are taken into account</t>
  </si>
  <si>
    <t>Concept note</t>
  </si>
  <si>
    <t>Form taskforce</t>
  </si>
  <si>
    <t>Recruit consultant for 30 days</t>
  </si>
  <si>
    <t>1 workshop in salima for 5 days for 30 participants from lilongwe</t>
  </si>
  <si>
    <t>Revise the costs of the FP implementation plan in line with the 2030 goals</t>
  </si>
  <si>
    <t>2 workshops in salima for 5 days each for 30 participants from Lilongwe</t>
  </si>
  <si>
    <t>sign a mutually binding compact between the Government of Malawi and the donors for domestic family planning financing</t>
  </si>
  <si>
    <t>Convene a taskforce to review the revised costs and agree on funding modalities (including domestic versus donor)</t>
  </si>
  <si>
    <t>1 meeting in Lilongwe for 30 people for 2 days</t>
  </si>
  <si>
    <t>Draft a Memorandum of understanding between donors and the GoM on domestic financing for FP products and programs</t>
  </si>
  <si>
    <t>2 workshops in Lilongwe for 4 days each</t>
  </si>
  <si>
    <t>Submit the Compact to Treasury and Justice for review</t>
  </si>
  <si>
    <t>Compact signed</t>
  </si>
  <si>
    <t>Annual review of the compact</t>
  </si>
  <si>
    <t>From year 3 to 8: 1 workshop for 1 week in Lilongwe; 50 participants; 10 districts participants</t>
  </si>
  <si>
    <t>Develop a sustainability analysis tool for FP products and programs for use in Malawi (year 3)</t>
  </si>
  <si>
    <t>2 workshops in salima</t>
  </si>
  <si>
    <t xml:space="preserve">Approvals in TWG </t>
  </si>
  <si>
    <t>Dissemination and use</t>
  </si>
  <si>
    <t>conduct a study on the political economy of FP financing and use results for FP domestic budget advocacy (Years 2 and 6)</t>
  </si>
  <si>
    <t>Improve performance of budget execution of FP products and programs, including through actual allocation of agreed upon finances under the co-financing agreement</t>
  </si>
  <si>
    <t>MoH to write Treasury to transfer funds to an agreed pool of FP products purchase</t>
  </si>
  <si>
    <t>Treasury to transfer domestic funds to the pool for purchasing FP products</t>
  </si>
  <si>
    <t>Based on the FP compact, implement pooled purchasing of FP products</t>
  </si>
  <si>
    <t>Implement a matching funds scheme for FP programs at district level to incentivize execution (up to 10000 per district per year)</t>
  </si>
  <si>
    <t>two workshops to design the matching scheme in Salima, 30 participants</t>
  </si>
  <si>
    <t>One national workshop at national level for 5 days to train participants on the matching scheme</t>
  </si>
  <si>
    <t>actual disbursement (From year 3)</t>
  </si>
  <si>
    <t>Increase research and training on the interface of health financing and population growth</t>
  </si>
  <si>
    <t>Increase advocacy among stakeholders on family planning and population growth as key health financing issues</t>
  </si>
  <si>
    <t>4.3.2.1</t>
  </si>
  <si>
    <t>4.3.2.2</t>
  </si>
  <si>
    <t>4.3.2.3</t>
  </si>
  <si>
    <t>4.3.4.4</t>
  </si>
  <si>
    <t>4.3.3.1</t>
  </si>
  <si>
    <t>4.3.3.2</t>
  </si>
  <si>
    <t>4.3.3.3</t>
  </si>
  <si>
    <t>4.3.4.1</t>
  </si>
  <si>
    <t>4.3.4.2</t>
  </si>
  <si>
    <t>4.3.4.3</t>
  </si>
  <si>
    <t>Grand Total</t>
  </si>
  <si>
    <t>Sum of TOTAL (US$)</t>
  </si>
  <si>
    <t>Sum of TOTAL (MWK)</t>
  </si>
  <si>
    <t>HSSP 3 Coding
(Objective)</t>
  </si>
  <si>
    <t>HSSP 3 Coding
(Strategy)</t>
  </si>
  <si>
    <t xml:space="preserve"> HFS File Coding</t>
  </si>
  <si>
    <t>HSSP 3 Coding
(Activity)</t>
  </si>
  <si>
    <t>HSSP 3 Combined Coding (Activity)</t>
  </si>
  <si>
    <t>1</t>
  </si>
  <si>
    <t>2</t>
  </si>
  <si>
    <t>3</t>
  </si>
  <si>
    <t>4</t>
  </si>
  <si>
    <t>5</t>
  </si>
  <si>
    <t>6</t>
  </si>
  <si>
    <t>1 Total</t>
  </si>
  <si>
    <t>2 Total</t>
  </si>
  <si>
    <t>3 Total</t>
  </si>
  <si>
    <t>4 Total</t>
  </si>
  <si>
    <t>1.1.1</t>
  </si>
  <si>
    <t>1.1.10</t>
  </si>
  <si>
    <t>1.1.11</t>
  </si>
  <si>
    <t>1.1.12</t>
  </si>
  <si>
    <t>1.1.13</t>
  </si>
  <si>
    <t>1.1.2</t>
  </si>
  <si>
    <t>1.1.3</t>
  </si>
  <si>
    <t>1.1.4</t>
  </si>
  <si>
    <t>1.1.5</t>
  </si>
  <si>
    <t>1.1.6</t>
  </si>
  <si>
    <t>1.1.7</t>
  </si>
  <si>
    <t>1.1.8</t>
  </si>
  <si>
    <t>1.1.9</t>
  </si>
  <si>
    <t>1.2.1</t>
  </si>
  <si>
    <t>1.2.2</t>
  </si>
  <si>
    <t>1.2.3</t>
  </si>
  <si>
    <t>1.2.4</t>
  </si>
  <si>
    <t>1.3.1</t>
  </si>
  <si>
    <t>1.3.2</t>
  </si>
  <si>
    <t>1.3.3</t>
  </si>
  <si>
    <t>1.3.4</t>
  </si>
  <si>
    <t>1.4.1</t>
  </si>
  <si>
    <t>1.4.2</t>
  </si>
  <si>
    <t>1.4.3</t>
  </si>
  <si>
    <t>1.5.1</t>
  </si>
  <si>
    <t>1.5.2</t>
  </si>
  <si>
    <t>1.5.3</t>
  </si>
  <si>
    <t>1.5.4</t>
  </si>
  <si>
    <t>1.6.1</t>
  </si>
  <si>
    <t>2.1.1</t>
  </si>
  <si>
    <t>2.1.2</t>
  </si>
  <si>
    <t>2.1.3</t>
  </si>
  <si>
    <t>2.1.4</t>
  </si>
  <si>
    <t>2.2.1</t>
  </si>
  <si>
    <t>2.2.2</t>
  </si>
  <si>
    <t>2.3.1</t>
  </si>
  <si>
    <t>2.3.2</t>
  </si>
  <si>
    <t>3.1.1</t>
  </si>
  <si>
    <t>3.1.2</t>
  </si>
  <si>
    <t>3.1.3</t>
  </si>
  <si>
    <t>3.1.4</t>
  </si>
  <si>
    <t>3.2.1</t>
  </si>
  <si>
    <t>3.2.2</t>
  </si>
  <si>
    <t>3.2.3</t>
  </si>
  <si>
    <t>3.2.4</t>
  </si>
  <si>
    <t>3.2.5</t>
  </si>
  <si>
    <t>3.2.6</t>
  </si>
  <si>
    <t>3.2.7</t>
  </si>
  <si>
    <t>3.3.1</t>
  </si>
  <si>
    <t>3.3.2</t>
  </si>
  <si>
    <t>3.3.3</t>
  </si>
  <si>
    <t>3.3.4</t>
  </si>
  <si>
    <t>3.3.5</t>
  </si>
  <si>
    <t>4.1.1</t>
  </si>
  <si>
    <t>4.1.2</t>
  </si>
  <si>
    <t>4.1.3</t>
  </si>
  <si>
    <t>4.1.4</t>
  </si>
  <si>
    <t>4.1.5</t>
  </si>
  <si>
    <t>4.1.6</t>
  </si>
  <si>
    <t>4.1.7</t>
  </si>
  <si>
    <t>4.2.1</t>
  </si>
  <si>
    <t>4.2.2</t>
  </si>
  <si>
    <t>4.2.3</t>
  </si>
  <si>
    <t>4.2.4</t>
  </si>
  <si>
    <t>4.2.5</t>
  </si>
  <si>
    <t>4.3.1</t>
  </si>
  <si>
    <t>4.3.2</t>
  </si>
  <si>
    <t>4.3.3</t>
  </si>
  <si>
    <t>4.3.4</t>
  </si>
  <si>
    <t>4.3.5</t>
  </si>
  <si>
    <t>4.4.1</t>
  </si>
  <si>
    <t>4.4.10</t>
  </si>
  <si>
    <t>4.4.2</t>
  </si>
  <si>
    <t>4.4.3</t>
  </si>
  <si>
    <t>4.4.4</t>
  </si>
  <si>
    <t>4.4.5</t>
  </si>
  <si>
    <t>4.4.6</t>
  </si>
  <si>
    <t>4.4.7</t>
  </si>
  <si>
    <t>4.4.8</t>
  </si>
  <si>
    <t>4.4.9</t>
  </si>
  <si>
    <t>Major Updates:</t>
  </si>
  <si>
    <t>Combined all sheets into the aggregated sheet</t>
  </si>
  <si>
    <t>Added calculation and sum formulas where missing in all objectives in the Aggregated Sheet. However did not change the invidividual sheets</t>
  </si>
  <si>
    <t>Added coding for objective, strategy and activity</t>
  </si>
  <si>
    <t>Added pivot sheets that display the summary of the HFS costing</t>
  </si>
  <si>
    <t>Exchange rate changed to 1030 MWK to USD</t>
  </si>
  <si>
    <t>Cleaned the information where required</t>
  </si>
  <si>
    <t>Exchange rate</t>
  </si>
  <si>
    <t>Sum of Year 1 Total Cost</t>
  </si>
  <si>
    <t>Sum of Year 2 Total Cost</t>
  </si>
  <si>
    <t>Sum of Year 3 Total Cost</t>
  </si>
  <si>
    <t>Sum of Year 4 Total Cost</t>
  </si>
  <si>
    <t>Sum of Year 5 Total Cost</t>
  </si>
  <si>
    <t>Sum of Year 6 Total Cost</t>
  </si>
  <si>
    <t>Sum of Year 7 Total Cost</t>
  </si>
  <si>
    <t>Sum of Year 8 Total Cost</t>
  </si>
  <si>
    <t>Updated Inflation rate</t>
  </si>
  <si>
    <t xml:space="preserve">total cost  </t>
  </si>
  <si>
    <t>total cost in USD</t>
  </si>
  <si>
    <t>total distance to Lilongwe</t>
  </si>
  <si>
    <t>Return</t>
  </si>
  <si>
    <t>Local running (</t>
  </si>
  <si>
    <t>Conduct periodic absorption capacity assessments</t>
  </si>
  <si>
    <t>Draft a concept Note</t>
  </si>
  <si>
    <t>Set up a Committee</t>
  </si>
  <si>
    <t>Incentivize optimal disbursements and execution of government and donor funds</t>
  </si>
  <si>
    <t>conference Package</t>
  </si>
  <si>
    <t>Develop and sustain collaboration mechanisms between key Ministries, Departments and Agencies(MDAs) for effective implementation of the Health Financing Strategy</t>
  </si>
  <si>
    <t>Quartery meetings for 25 people in salima for 3 days across years</t>
  </si>
  <si>
    <t xml:space="preserve">  Concept note </t>
  </si>
  <si>
    <t xml:space="preserve"> Committee</t>
  </si>
  <si>
    <t xml:space="preserve">TORs for a local consultant </t>
  </si>
  <si>
    <t>Advertise and recruit a consultant</t>
  </si>
  <si>
    <t>Conduct biennial UHC studies</t>
  </si>
  <si>
    <t>Recruitment of Consultant</t>
  </si>
  <si>
    <t>Hold meetings of the technical committee of the multisectoral committee on sustainable health financing</t>
  </si>
  <si>
    <t>Hold meetings of the technical heads of the member ministries of the committee of the multisectoral committee on sustainable health financing</t>
  </si>
  <si>
    <t>biannual meetings for 50 people in Lilongwe for 1 day across years</t>
  </si>
  <si>
    <t>Hold meetings of the political heads of the member ministries of the committee of the multisectoral committee on sustainable health financing</t>
  </si>
  <si>
    <t>recruit a consultant to lead the UHC studies</t>
  </si>
  <si>
    <t>Quartery meetings with stakeholder to review respective funding progress</t>
  </si>
  <si>
    <t>Improve absorption capacity based on evidence</t>
  </si>
  <si>
    <t>recruit a consultant to lead theabsorption capacity studies</t>
  </si>
  <si>
    <t>Engage financiers and the Treasury on the introduction of social bonds for selected health issues</t>
  </si>
  <si>
    <t>Develop concept notes on specific topic requiring social bonds financing</t>
  </si>
  <si>
    <t>Engage debtors and the Treasury on the inroduction of debt2health for selected health conditions</t>
  </si>
  <si>
    <t>Develop concept notes on specific topic requiring debt2health  financing</t>
  </si>
  <si>
    <t>Explore hypothecated taxes on mobile money payments, alcohol, sugary drinks, tobacco and other potential areas for “sin taxes”.</t>
  </si>
  <si>
    <t>Set up a steering committee to manage the exploration</t>
  </si>
  <si>
    <t>Recruit a consultant</t>
  </si>
  <si>
    <t>Fuel (travelling participants)</t>
  </si>
  <si>
    <t>Local running fuel</t>
  </si>
  <si>
    <t>conduct feasibility assessments of hypothecated  taxes</t>
  </si>
  <si>
    <t>Lobby for termination of buy malawi stratergy for medicine and medical equipment not manufactured in malawi</t>
  </si>
  <si>
    <t>Develop key strategies for lobbying stakeholders to terminate the Buy Malawi Strategy in health</t>
  </si>
  <si>
    <t>develop a concept note on terminnation of buy malawi stratergy for mrdicine and medical equipment</t>
  </si>
  <si>
    <t xml:space="preserve">Set up a committee to develop key stratergies for lobbying </t>
  </si>
  <si>
    <t xml:space="preserve">hold a full day meeting with stakeholders includng the relevant parliamentary committee </t>
  </si>
  <si>
    <t>Establish a medicines manufacturing plant for medicines that are high I demand and  use. These include antiretrivial, anti malarial and reproductive health products. The plant could either be in country or regional.</t>
  </si>
  <si>
    <t xml:space="preserve">develop a concept note on establishing a medicines manufacturing plant for medicines that are high in demand and use. </t>
  </si>
  <si>
    <t xml:space="preserve">Set up a committee </t>
  </si>
  <si>
    <t>Establish a medicines manufacturing plant for medicines that are high in demand and  use. These include antiretrivial, anti malarial and reproductive health products. The plant could either be in country or regional.</t>
  </si>
  <si>
    <t>develop a policy note on establishing a medicines manufacturing plant for medicines that are high in demand and use.</t>
  </si>
  <si>
    <t>hold 3 meetings, 3 days each</t>
  </si>
  <si>
    <t>Present the policy note to the committee of PSs on PPs</t>
  </si>
  <si>
    <t>develop a cabinet paper on establishing a medicines manufacturing plant for medicines that are high in demand and usage</t>
  </si>
  <si>
    <t>Assess feasibility of undertaking a PPP for a medicines manufacturing plant</t>
  </si>
  <si>
    <t>Engage a private stakeholder in a PPP to establish a medicines plant</t>
  </si>
  <si>
    <t xml:space="preserve">conduct a PPP feasibility assesment </t>
  </si>
  <si>
    <t xml:space="preserve">Identify and recruit a private company to commission the plant </t>
  </si>
  <si>
    <t xml:space="preserve">total activity cost </t>
  </si>
  <si>
    <t>total activity cost $</t>
  </si>
  <si>
    <t>Improve monitoring of optional paying services</t>
  </si>
  <si>
    <t xml:space="preserve">Develop a concept note on monitoring of optonal paying services </t>
  </si>
  <si>
    <t>conference package high level</t>
  </si>
  <si>
    <t>Develop a monitoring tool</t>
  </si>
  <si>
    <t>Pilot the monitoring tool</t>
  </si>
  <si>
    <t>Incoporate changes to the monitoring tool</t>
  </si>
  <si>
    <t>Conduct annual monitoring visits across the country</t>
  </si>
  <si>
    <t xml:space="preserve">conduct economic evaluation of optional paying services </t>
  </si>
  <si>
    <t>develop a concept note on economic evaluation of optional paying services</t>
  </si>
  <si>
    <t>Hold a meeting to develop a health economics analysis plan for the economic evaluation</t>
  </si>
  <si>
    <t>conduct economic evaluation</t>
  </si>
  <si>
    <t>1.1.14</t>
  </si>
  <si>
    <t>Develop capacity in the HFD to biennial conduct UHC studies</t>
  </si>
  <si>
    <t>1.3.5</t>
  </si>
  <si>
    <t>1.3.6</t>
  </si>
  <si>
    <t>1.6.2</t>
  </si>
  <si>
    <t>1.6.3</t>
  </si>
  <si>
    <t>1.6.4</t>
  </si>
  <si>
    <t>2.3.3</t>
  </si>
  <si>
    <t>2.3.4</t>
  </si>
  <si>
    <t>2.3.5</t>
  </si>
  <si>
    <t>Promote supply chain integration</t>
  </si>
  <si>
    <t>Promote end to end tracking of medicines and medical supplies (e.g., To monitor potential expiry of medicines)</t>
  </si>
  <si>
    <t>Establish active price monitoring mechanisms to support efficient procurement of medicines</t>
  </si>
  <si>
    <t>Introduce flexibility in the medicines budget at district level to purchase medicines from prime vendors when there is a stock out at CMST</t>
  </si>
  <si>
    <t>Introduce e-procurement mechanism at the CMST</t>
  </si>
  <si>
    <t>Implement CMST reforms based on CMST efficiency analysis</t>
  </si>
  <si>
    <t>Enforce adherence to the Capital Investment Plan (CIP)</t>
  </si>
  <si>
    <t>Improve infrastructure, human resources, medical equipment and medical supplies capacity for optional paying services</t>
  </si>
  <si>
    <t>Improve the financial management and accountability of the optional paying service</t>
  </si>
  <si>
    <t>Improve stakeholder engagement on optional paying services. The stakeholders include civil society organizations, communities, the Ministry of Finance and donors</t>
  </si>
  <si>
    <t>Revise guidelines for optional paying services in public health facilities</t>
  </si>
  <si>
    <t>Devise and implement sustainability mechanisms for donor funded interventions. The emphasis will be on introducing co-financing models between Government and donor</t>
  </si>
  <si>
    <t>Explore the possibility of health debt-buy downs</t>
  </si>
  <si>
    <t>Develop a standard bylaw for all District Councils in collaboration with the Ministry of Local Government on enforcing the compliance of implementing partners to partner coordination requirements set by the District Council</t>
  </si>
  <si>
    <t>Disseminate, implement and monitor the implementation of the new tiered BHP</t>
  </si>
  <si>
    <t>Facilitate implementation of the district resource allocation formula including for donor or partner resources</t>
  </si>
  <si>
    <t>Develop intra-district resource allocation formula</t>
  </si>
  <si>
    <t>Establish a regulatory council for medical schemes to regulate tariffs, ethical health care delivery and adjudicate disputes between providers and payers</t>
  </si>
  <si>
    <t>Negotiate with Treasury to modify PFM rules to allow for purchaser-provider split and flexibility of spending</t>
  </si>
  <si>
    <t>Strengthen financial management and accounting capacity at the District Council and sub-district levels</t>
  </si>
  <si>
    <t>Introduce legislation on national health financing to aid the implementation of community and individual contributions towards health financing, enforceability of the essential health package, and improved provider payment mechanisms.</t>
  </si>
  <si>
    <t>Introduce legislation on voluntary health insurance to guide the sector and to firmly place the role of the health sector in private health insurance</t>
  </si>
  <si>
    <t>Introduce regulations on strategic health purchasing</t>
  </si>
  <si>
    <t>Introduce the public health budget accountability forum</t>
  </si>
  <si>
    <t>Introduce a law on the establishment of a trust fund in health</t>
  </si>
  <si>
    <t>Introduce regulations or policies requiring economic evaluation for new and current programs to aid the achievement of efficiency</t>
  </si>
  <si>
    <t>Update terms of reference for the Health Financing TWG so it can effectively carry out its mandate</t>
  </si>
  <si>
    <t xml:space="preserve"> Rationalize implementation of in-service training</t>
  </si>
  <si>
    <t>Lobby for the enforcement of direct sourcing of medicines e.g. buying as a regional bloc</t>
  </si>
  <si>
    <t>Implement public private partnerships in health across all health system functions to achieve efficiency and mobilize additional financing and</t>
  </si>
  <si>
    <t>Design and implement an enhanced HSJF mechanism  managed by a fiduciary agent/ Reinstate the Sector Budget Support to the Sector Wide Approach (SWAp) under the management of a fiduciary agent at central level</t>
  </si>
  <si>
    <t>Scale up DHMT leadership &amp; management curriculum to additional districts and to additional cadres at the district level, including subsequent coaching &amp; mentorship with a focus on partner coordination</t>
  </si>
  <si>
    <t>Enhance capacity for fiduciary risk assessment and management </t>
  </si>
  <si>
    <t>Clearly articulate the parameters involved in the redefinition of the new EHP for primary/secondary/tertiary care, set conditions, governance structures, and timelines for revisions</t>
  </si>
  <si>
    <t>Revise the essential medicines list, must-have lists, and tracer medicines list to align with the new EHP and disseminate the same</t>
  </si>
  <si>
    <t>Revise the essential Equipment list to align with the new EHP and disseminate the same</t>
  </si>
  <si>
    <t>Develop resource allocation framework for tertiary care</t>
  </si>
  <si>
    <t>Revise the memorandum of understanding with the private sector, including the faith-based organizations in pursuit of UHC goals and value for money</t>
  </si>
  <si>
    <t>Introduce regulation or policy for allowing limited purchase of essential medicines from preselected prime vendors, in the event that the CMST does not have such medicines or commodities in stock and</t>
  </si>
  <si>
    <t>conduct economic evaluation of optional paying services</t>
  </si>
  <si>
    <t>Increase external funding to the health sector</t>
  </si>
  <si>
    <t>Increase external funding to the health sector2</t>
  </si>
  <si>
    <t>Devise and implement sustainability mechanisms for donor funded interventions. The emphasis will be on introducing co-financing models between Government and donor2</t>
  </si>
  <si>
    <t>Engage financiers and the Treasury on the introduction of social bonds for selected health issues2</t>
  </si>
  <si>
    <t>Explore the possibility of health debt-buy downs2</t>
  </si>
  <si>
    <t>2.3.6</t>
  </si>
  <si>
    <t>Introduce legislation on national health financing to aid the implementation of community and individual contributions towards health financing, enforceability of the essential health package, and improved provider payment mechanisms.;</t>
  </si>
  <si>
    <t>Disseminate, implement and monitor the implementation of the new tiered BHP2</t>
  </si>
  <si>
    <t>Establish a regulatory council for medical schemes to regulate tariffs, ethical health care delivery and adjudicate disputes between providers and payers2</t>
  </si>
  <si>
    <t>Introduce legislation on national health financing to aid the implementation of community and individual contributions towards health financing, enforceability of the essential health package, and improved provider payment mechanisms</t>
  </si>
  <si>
    <t>(blank)</t>
  </si>
  <si>
    <t>(blank) Total</t>
  </si>
  <si>
    <t>Strategy 3</t>
  </si>
  <si>
    <t>Strategy 4</t>
  </si>
  <si>
    <t>Strategy 5</t>
  </si>
  <si>
    <t>Strategy 6</t>
  </si>
  <si>
    <t>Total Objective cost</t>
  </si>
  <si>
    <t>Strategy 2.1.</t>
  </si>
  <si>
    <t>Strategy 2.2.</t>
  </si>
  <si>
    <t xml:space="preserve">Strategy 2.3. </t>
  </si>
  <si>
    <t>Total Objective costs</t>
  </si>
  <si>
    <t>Strategy 3.1</t>
  </si>
  <si>
    <t>3.2.</t>
  </si>
  <si>
    <t xml:space="preserve">3.3. </t>
  </si>
  <si>
    <t>Strategy 4.1.</t>
  </si>
  <si>
    <t>HSSP 3 Coding</t>
  </si>
  <si>
    <t>HSSP 3 Coding_</t>
  </si>
  <si>
    <t>HSSP 3 output</t>
  </si>
  <si>
    <t>8.1 To mobilize adequate, sustainable, and predictable funds for the health sector to optimally delivery essential health services</t>
  </si>
  <si>
    <t>8.2 Improvement of efficiency and equity in pooling and management of resources for the health sector</t>
  </si>
  <si>
    <t>8.3 Development and implementation of strategic purchasing measures across the healthcare service delivery continuum</t>
  </si>
  <si>
    <t>8.4 To establish and strengthen institutional arrangements and systems for effective health financing at all levels of the health system</t>
  </si>
  <si>
    <t>8.1.1 Improve efficiency across all health system functions at all levels of the healthcare delivery system</t>
  </si>
  <si>
    <t>8.1.2 Enhance participation of communities in financing of public health services</t>
  </si>
  <si>
    <t>8.1.3 Improve and scale up optional paying services in public facilities</t>
  </si>
  <si>
    <t>8.1.4 Increase external funding to the health sector2</t>
  </si>
  <si>
    <t>8.1.5 Improve financing of family planning using domestic resources</t>
  </si>
  <si>
    <t>8.1.6 Introduce innovative health financing mechanisms</t>
  </si>
  <si>
    <t>8.2.1 Reduce fragmentation of health sector funding</t>
  </si>
  <si>
    <t>8.2.2 Strengthen leadership, governance, and accountability mechanisms to ensure harmonization of health financing decision-making across all levels of the health system</t>
  </si>
  <si>
    <t>8.2.3 Improve management and accountability of government and donor funds</t>
  </si>
  <si>
    <t>8.3.1 Define and implement benefit packages for all levels of care</t>
  </si>
  <si>
    <t xml:space="preserve">8.3.2 Develop and implement effective strategic resource allocation and use measures across the healthcare delivery </t>
  </si>
  <si>
    <t>8.3.3 Develop and implement effective provider payment mechanisms</t>
  </si>
  <si>
    <t xml:space="preserve">8.4.1 Strengthen institutional capacity in health financing and PFM to effectively implement the Health Financing Strategy </t>
  </si>
  <si>
    <t xml:space="preserve">8.4.2 Strengthen generation and use of evidence in health financing decision making at all levels </t>
  </si>
  <si>
    <t xml:space="preserve">8.4.3 Strengthen the advocacy capacity for the Health Financing Strategy </t>
  </si>
  <si>
    <t xml:space="preserve">8.4.4 Strengthen the legal, regulatory and policy frameworks for health financing </t>
  </si>
  <si>
    <t>Strategy_Code</t>
  </si>
  <si>
    <t>Strategy_Description</t>
  </si>
  <si>
    <t>Activity_CODE</t>
  </si>
  <si>
    <t>Activity_Description</t>
  </si>
  <si>
    <t>Sub-Activity</t>
  </si>
  <si>
    <t>Take place in Y1 or FY 2022/2023?</t>
  </si>
  <si>
    <t>Take place in Y2 or FY 2023/2024?</t>
  </si>
  <si>
    <t>Take place in Y3 or FY 2024/2025?</t>
  </si>
  <si>
    <t>Take place in Y4 or FY 2025/2026?</t>
  </si>
  <si>
    <t>Take place in Y5 or FY 2026/2027?</t>
  </si>
  <si>
    <t>Take place in Y6 or FY 2027/2028?</t>
  </si>
  <si>
    <t>Take place in Y7 or FY 2028/2029?</t>
  </si>
  <si>
    <t>Take place in Y8 or FY 2029/2030?</t>
  </si>
  <si>
    <t>Cost for Y1 or FY 2022/2023</t>
  </si>
  <si>
    <t>Cost for Y2 or FY 2023/2024</t>
  </si>
  <si>
    <t>Cost for Y3 or FY 2024/2025</t>
  </si>
  <si>
    <t>Cost for Y4 or FY 2025/2026</t>
  </si>
  <si>
    <t>Cost for Y5 or FY 2026/2027</t>
  </si>
  <si>
    <t>Cost for Y6 or FY 2027/2028</t>
  </si>
  <si>
    <t>Cost for Y7 or FY 2028/2029</t>
  </si>
  <si>
    <t>Cost for Y8 or FY 2029/2030</t>
  </si>
  <si>
    <t>Inflation rate</t>
  </si>
  <si>
    <t>Deflated Costs in MWK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</si>
</sst>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_(* \(#,##0\);_(* &quot;-&quot;_);_(@_)"/>
    <numFmt numFmtId="44" formatCode="_(&quot;$&quot;* #,##0.00_);_(&quot;$&quot;* \(#,##0.00\);_(&quot;$&quot;* &quot;-&quot;??_);_(@_)"/>
    <numFmt numFmtId="43" formatCode="_(* #,##0.00_);_(* \(#,##0.00\);_(* &quot;-&quot;??_);_(@_)"/>
    <numFmt numFmtId="165" formatCode="_(* #,##0_);_(* \(#,##0\);_(* &quot;-&quot;??_);_(@_)"/>
  </numFmts>
  <fonts count="20" x14ac:knownFonts="1">
    <font>
      <sz val="11"/>
      <color theme="1"/>
      <name val="Calibri"/>
      <family val="2"/>
      <scheme val="minor"/>
    </font>
    <font>
      <b/>
      <sz val="11"/>
      <color theme="1"/>
      <name val="Calibri"/>
      <family val="2"/>
      <scheme val="minor"/>
    </font>
    <font>
      <sz val="11"/>
      <color theme="8" tint="-0.499984740745262"/>
      <name val="Calibri"/>
      <family val="2"/>
      <scheme val="minor"/>
    </font>
    <font>
      <b/>
      <sz val="11"/>
      <color theme="8" tint="-0.499984740745262"/>
      <name val="Calibri"/>
      <family val="2"/>
      <scheme val="minor"/>
    </font>
    <font>
      <b/>
      <sz val="11"/>
      <name val="Calibri"/>
      <family val="2"/>
      <scheme val="minor"/>
    </font>
    <font>
      <sz val="11"/>
      <color theme="1"/>
      <name val="Calibri"/>
      <family val="2"/>
      <scheme val="minor"/>
    </font>
    <font>
      <sz val="12"/>
      <color theme="1"/>
      <name val="Calibri"/>
      <family val="2"/>
      <scheme val="minor"/>
    </font>
    <font>
      <sz val="11"/>
      <color theme="8" tint="-0.249977111117893"/>
      <name val="Calibri"/>
      <family val="2"/>
      <scheme val="minor"/>
    </font>
    <font>
      <sz val="11"/>
      <color rgb="FFFF0000"/>
      <name val="Calibri"/>
      <family val="2"/>
      <scheme val="minor"/>
    </font>
    <font>
      <sz val="12"/>
      <color rgb="FF000000"/>
      <name val="Times New Roman"/>
      <family val="1"/>
    </font>
    <font>
      <u/>
      <sz val="11"/>
      <color theme="1"/>
      <name val="Calibri"/>
      <family val="2"/>
      <scheme val="minor"/>
    </font>
    <font>
      <sz val="8"/>
      <name val="Calibri"/>
      <family val="2"/>
      <scheme val="minor"/>
    </font>
    <font>
      <sz val="11"/>
      <name val="Calibri"/>
      <family val="2"/>
      <scheme val="minor"/>
    </font>
    <font>
      <sz val="9"/>
      <color indexed="81"/>
      <name val="Tahoma"/>
      <family val="2"/>
    </font>
    <font>
      <b/>
      <sz val="9"/>
      <color indexed="81"/>
      <name val="Tahoma"/>
      <family val="2"/>
    </font>
    <font>
      <sz val="11"/>
      <color rgb="FF000000"/>
      <name val="Times New Roman"/>
      <family val="1"/>
    </font>
    <font>
      <sz val="11"/>
      <color rgb="FF000000"/>
      <name val="Calibri"/>
      <family val="2"/>
      <scheme val="minor"/>
    </font>
    <font>
      <sz val="11"/>
      <color rgb="FF00B050"/>
      <name val="Calibri"/>
      <family val="2"/>
      <scheme val="minor"/>
    </font>
    <font>
      <b/>
      <sz val="10"/>
      <color theme="1"/>
      <name val="Calibri"/>
      <family val="2"/>
    </font>
    <font>
      <b/>
      <sz val="12"/>
      <color theme="1"/>
      <name val="Calibri"/>
      <family val="2"/>
    </font>
  </fonts>
  <fills count="22">
    <fill>
      <patternFill patternType="none"/>
    </fill>
    <fill>
      <patternFill patternType="gray125"/>
    </fill>
    <fill>
      <patternFill patternType="solid">
        <fgColor rgb="FFFFFFB7"/>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theme="5"/>
        <bgColor indexed="64"/>
      </patternFill>
    </fill>
    <fill>
      <patternFill patternType="solid">
        <fgColor theme="9" tint="-0.249977111117893"/>
        <bgColor indexed="64"/>
      </patternFill>
    </fill>
    <fill>
      <patternFill patternType="solid">
        <fgColor theme="7"/>
        <bgColor indexed="64"/>
      </patternFill>
    </fill>
    <fill>
      <patternFill patternType="solid">
        <fgColor theme="9"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C9DAF8"/>
        <bgColor rgb="FFC9DAF8"/>
      </patternFill>
    </fill>
    <fill>
      <patternFill patternType="solid">
        <fgColor rgb="FFD9EAD3"/>
        <bgColor rgb="FFD9EAD3"/>
      </patternFill>
    </fill>
    <fill>
      <patternFill patternType="solid">
        <fgColor rgb="FFD9D2E9"/>
        <bgColor rgb="FFD9D2E9"/>
      </patternFill>
    </fill>
  </fills>
  <borders count="15">
    <border>
      <left/>
      <right/>
      <top/>
      <bottom/>
      <diagonal/>
    </border>
    <border>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style="thin">
        <color theme="4" tint="0.59999389629810485"/>
      </left>
      <right/>
      <top/>
      <bottom/>
      <diagonal/>
    </border>
    <border>
      <left style="thin">
        <color theme="4" tint="0.39997558519241921"/>
      </left>
      <right/>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6">
    <xf numFmtId="0" fontId="0" fillId="0" borderId="0"/>
    <xf numFmtId="43" fontId="5" fillId="0" borderId="0" applyFont="0" applyFill="0" applyBorder="0" applyAlignment="0" applyProtection="0"/>
    <xf numFmtId="0" fontId="6" fillId="0" borderId="0"/>
    <xf numFmtId="43" fontId="6"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220">
    <xf numFmtId="0" fontId="0" fillId="0" borderId="0" xfId="0"/>
    <xf numFmtId="0" fontId="2" fillId="2" borderId="1" xfId="0" applyFont="1" applyFill="1" applyBorder="1" applyAlignment="1">
      <alignment vertical="center"/>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1" fillId="0" borderId="0" xfId="0" applyFont="1"/>
    <xf numFmtId="0" fontId="3" fillId="2" borderId="2" xfId="0" applyFont="1" applyFill="1" applyBorder="1" applyAlignment="1">
      <alignment vertical="center" wrapText="1"/>
    </xf>
    <xf numFmtId="2" fontId="4" fillId="3" borderId="3" xfId="0" applyNumberFormat="1" applyFont="1" applyFill="1" applyBorder="1" applyAlignment="1">
      <alignment horizontal="center" vertical="center" wrapText="1"/>
    </xf>
    <xf numFmtId="0" fontId="7" fillId="4" borderId="6" xfId="2" applyFont="1" applyFill="1" applyBorder="1" applyAlignment="1">
      <alignment vertical="center" wrapText="1"/>
    </xf>
    <xf numFmtId="43" fontId="7" fillId="4" borderId="5" xfId="3" applyFont="1" applyFill="1" applyBorder="1" applyAlignment="1">
      <alignment horizontal="center" vertical="center"/>
    </xf>
    <xf numFmtId="0" fontId="7" fillId="5" borderId="6" xfId="2" applyFont="1" applyFill="1" applyBorder="1" applyAlignment="1">
      <alignment vertical="center" wrapText="1"/>
    </xf>
    <xf numFmtId="43" fontId="7" fillId="5" borderId="5" xfId="3" applyFont="1" applyFill="1" applyBorder="1" applyAlignment="1">
      <alignment vertical="center"/>
    </xf>
    <xf numFmtId="0" fontId="0" fillId="5" borderId="0" xfId="0" applyFill="1"/>
    <xf numFmtId="41" fontId="7" fillId="5" borderId="5" xfId="3" applyNumberFormat="1" applyFont="1" applyFill="1" applyBorder="1" applyAlignment="1">
      <alignment vertical="center"/>
    </xf>
    <xf numFmtId="0" fontId="7" fillId="5" borderId="4" xfId="2" applyFont="1" applyFill="1" applyBorder="1" applyAlignment="1">
      <alignment vertical="center" wrapText="1"/>
    </xf>
    <xf numFmtId="43" fontId="7" fillId="5" borderId="5" xfId="3" applyFont="1" applyFill="1" applyBorder="1" applyAlignment="1">
      <alignment horizontal="center" vertical="center"/>
    </xf>
    <xf numFmtId="0" fontId="3" fillId="4" borderId="2" xfId="0" applyFont="1" applyFill="1" applyBorder="1" applyAlignment="1">
      <alignment vertical="center" wrapText="1"/>
    </xf>
    <xf numFmtId="0" fontId="4" fillId="5" borderId="2" xfId="0" applyFont="1" applyFill="1" applyBorder="1" applyAlignment="1">
      <alignment vertical="center" wrapText="1"/>
    </xf>
    <xf numFmtId="0" fontId="1" fillId="6" borderId="0" xfId="0" applyFont="1" applyFill="1" applyAlignment="1">
      <alignment wrapText="1"/>
    </xf>
    <xf numFmtId="43" fontId="1" fillId="6" borderId="0" xfId="0" applyNumberFormat="1" applyFont="1" applyFill="1" applyAlignment="1">
      <alignment wrapText="1"/>
    </xf>
    <xf numFmtId="43" fontId="0" fillId="6" borderId="0" xfId="0" applyNumberFormat="1" applyFill="1"/>
    <xf numFmtId="43" fontId="1" fillId="6" borderId="0" xfId="0" applyNumberFormat="1" applyFont="1" applyFill="1"/>
    <xf numFmtId="43" fontId="1" fillId="0" borderId="0" xfId="0" applyNumberFormat="1" applyFont="1"/>
    <xf numFmtId="43" fontId="3" fillId="2" borderId="0" xfId="0" applyNumberFormat="1" applyFont="1" applyFill="1" applyAlignment="1">
      <alignment vertical="center" wrapText="1"/>
    </xf>
    <xf numFmtId="43" fontId="7" fillId="5" borderId="5" xfId="3" applyFont="1" applyFill="1" applyBorder="1" applyAlignment="1">
      <alignment horizontal="right" vertical="center"/>
    </xf>
    <xf numFmtId="43" fontId="3" fillId="2" borderId="0" xfId="1" applyFont="1" applyFill="1" applyBorder="1" applyAlignment="1">
      <alignment vertical="center" wrapText="1"/>
    </xf>
    <xf numFmtId="43" fontId="3" fillId="4" borderId="0" xfId="0" applyNumberFormat="1" applyFont="1" applyFill="1" applyAlignment="1">
      <alignment vertical="center" wrapText="1"/>
    </xf>
    <xf numFmtId="43" fontId="4" fillId="5" borderId="0" xfId="0" applyNumberFormat="1" applyFont="1" applyFill="1" applyAlignment="1">
      <alignment vertical="center" wrapText="1"/>
    </xf>
    <xf numFmtId="43" fontId="0" fillId="0" borderId="0" xfId="0" applyNumberFormat="1"/>
    <xf numFmtId="43" fontId="2" fillId="2" borderId="0" xfId="0" applyNumberFormat="1" applyFont="1" applyFill="1" applyAlignment="1">
      <alignment vertical="center" wrapText="1"/>
    </xf>
    <xf numFmtId="43" fontId="0" fillId="8" borderId="0" xfId="0" applyNumberFormat="1" applyFill="1"/>
    <xf numFmtId="0" fontId="0" fillId="8" borderId="0" xfId="0" applyFill="1"/>
    <xf numFmtId="2" fontId="4" fillId="3" borderId="0" xfId="0" applyNumberFormat="1" applyFont="1" applyFill="1" applyAlignment="1">
      <alignment horizontal="center" vertical="center" wrapText="1"/>
    </xf>
    <xf numFmtId="0" fontId="3" fillId="2" borderId="3" xfId="0" applyFont="1" applyFill="1" applyBorder="1" applyAlignment="1">
      <alignment vertical="center" wrapText="1"/>
    </xf>
    <xf numFmtId="0" fontId="3" fillId="4" borderId="3" xfId="0" applyFont="1" applyFill="1" applyBorder="1" applyAlignment="1">
      <alignment vertical="center" wrapText="1"/>
    </xf>
    <xf numFmtId="0" fontId="2" fillId="7" borderId="1" xfId="0" applyFont="1" applyFill="1" applyBorder="1" applyAlignment="1">
      <alignment vertical="center" wrapText="1"/>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3" fillId="2" borderId="2" xfId="0" applyFont="1" applyFill="1" applyBorder="1" applyAlignment="1">
      <alignment horizontal="center" vertical="center"/>
    </xf>
    <xf numFmtId="43" fontId="3" fillId="2" borderId="2" xfId="0" applyNumberFormat="1" applyFont="1" applyFill="1" applyBorder="1" applyAlignment="1">
      <alignment horizontal="center" vertical="center"/>
    </xf>
    <xf numFmtId="0" fontId="9" fillId="0" borderId="0" xfId="0" applyFont="1" applyAlignment="1">
      <alignment wrapText="1"/>
    </xf>
    <xf numFmtId="0" fontId="0" fillId="0" borderId="0" xfId="0" applyAlignment="1">
      <alignment wrapText="1"/>
    </xf>
    <xf numFmtId="0" fontId="0" fillId="4" borderId="0" xfId="0" applyFill="1" applyAlignment="1">
      <alignment wrapText="1"/>
    </xf>
    <xf numFmtId="0" fontId="8" fillId="0" borderId="0" xfId="0" applyFont="1" applyAlignment="1">
      <alignment wrapText="1"/>
    </xf>
    <xf numFmtId="0" fontId="2" fillId="2" borderId="0" xfId="0" applyFont="1" applyFill="1" applyAlignment="1">
      <alignment vertical="center" wrapText="1"/>
    </xf>
    <xf numFmtId="0" fontId="2" fillId="2" borderId="0" xfId="0" applyFont="1" applyFill="1" applyAlignment="1">
      <alignment horizontal="lef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43" fontId="3" fillId="2" borderId="0" xfId="0" applyNumberFormat="1" applyFont="1" applyFill="1" applyAlignment="1">
      <alignment horizontal="center" vertical="center"/>
    </xf>
    <xf numFmtId="2" fontId="4" fillId="3" borderId="7" xfId="0" applyNumberFormat="1" applyFont="1" applyFill="1" applyBorder="1" applyAlignment="1">
      <alignment horizontal="center" vertical="center" wrapText="1"/>
    </xf>
    <xf numFmtId="0" fontId="3" fillId="2" borderId="8" xfId="0" applyFont="1" applyFill="1" applyBorder="1" applyAlignment="1">
      <alignment horizontal="center" vertical="center"/>
    </xf>
    <xf numFmtId="43" fontId="3" fillId="9" borderId="2" xfId="0" applyNumberFormat="1" applyFont="1" applyFill="1" applyBorder="1" applyAlignment="1">
      <alignment horizontal="center" vertical="center"/>
    </xf>
    <xf numFmtId="43" fontId="1" fillId="9" borderId="0" xfId="0" applyNumberFormat="1" applyFont="1" applyFill="1"/>
    <xf numFmtId="0" fontId="3" fillId="9" borderId="0" xfId="0" applyFont="1" applyFill="1" applyAlignment="1">
      <alignment vertical="center" wrapText="1"/>
    </xf>
    <xf numFmtId="0" fontId="1" fillId="9" borderId="0" xfId="0" applyFont="1" applyFill="1"/>
    <xf numFmtId="0" fontId="3" fillId="6" borderId="1" xfId="0" applyFont="1" applyFill="1" applyBorder="1" applyAlignment="1">
      <alignment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3" fillId="6" borderId="2" xfId="0" applyFont="1" applyFill="1" applyBorder="1" applyAlignment="1">
      <alignment vertical="center" wrapText="1"/>
    </xf>
    <xf numFmtId="43" fontId="3" fillId="6" borderId="0" xfId="1" applyFont="1" applyFill="1" applyBorder="1" applyAlignment="1">
      <alignment vertical="center" wrapText="1"/>
    </xf>
    <xf numFmtId="0" fontId="3" fillId="6" borderId="2" xfId="0" applyFont="1" applyFill="1" applyBorder="1" applyAlignment="1">
      <alignment horizontal="center" vertical="center"/>
    </xf>
    <xf numFmtId="43" fontId="3" fillId="6" borderId="2" xfId="0" applyNumberFormat="1" applyFont="1" applyFill="1" applyBorder="1" applyAlignment="1">
      <alignment horizontal="center" vertical="center"/>
    </xf>
    <xf numFmtId="0" fontId="0" fillId="6" borderId="0" xfId="0" applyFill="1"/>
    <xf numFmtId="0" fontId="0" fillId="6" borderId="0" xfId="0" applyFill="1" applyAlignment="1">
      <alignment wrapText="1"/>
    </xf>
    <xf numFmtId="0" fontId="3" fillId="10" borderId="2" xfId="0" applyFont="1" applyFill="1" applyBorder="1" applyAlignment="1">
      <alignment horizontal="center" vertical="center"/>
    </xf>
    <xf numFmtId="43" fontId="0" fillId="10" borderId="0" xfId="0" applyNumberFormat="1" applyFill="1"/>
    <xf numFmtId="0" fontId="0" fillId="10" borderId="0" xfId="0" applyFill="1"/>
    <xf numFmtId="43" fontId="0" fillId="0" borderId="0" xfId="0" applyNumberFormat="1" applyAlignment="1">
      <alignment wrapText="1"/>
    </xf>
    <xf numFmtId="43" fontId="0" fillId="6" borderId="0" xfId="0" applyNumberFormat="1" applyFill="1" applyAlignment="1">
      <alignment wrapText="1"/>
    </xf>
    <xf numFmtId="0" fontId="0" fillId="4" borderId="0" xfId="0" applyFill="1"/>
    <xf numFmtId="43" fontId="0" fillId="0" borderId="0" xfId="1" applyFont="1" applyAlignment="1">
      <alignment wrapText="1"/>
    </xf>
    <xf numFmtId="43" fontId="1" fillId="6" borderId="0" xfId="1" applyFont="1" applyFill="1" applyAlignment="1">
      <alignment wrapText="1"/>
    </xf>
    <xf numFmtId="0" fontId="0" fillId="7" borderId="0" xfId="0" applyFill="1" applyAlignment="1">
      <alignment wrapText="1"/>
    </xf>
    <xf numFmtId="0" fontId="0" fillId="7" borderId="0" xfId="0" applyFill="1"/>
    <xf numFmtId="43" fontId="0" fillId="4" borderId="0" xfId="1" applyFont="1" applyFill="1" applyAlignment="1">
      <alignment wrapText="1"/>
    </xf>
    <xf numFmtId="0" fontId="3" fillId="2" borderId="9" xfId="0" applyFont="1" applyFill="1" applyBorder="1" applyAlignment="1">
      <alignment vertical="center" wrapText="1"/>
    </xf>
    <xf numFmtId="0" fontId="2" fillId="4" borderId="1" xfId="0" applyFont="1" applyFill="1" applyBorder="1" applyAlignment="1">
      <alignment vertical="center" wrapText="1"/>
    </xf>
    <xf numFmtId="0" fontId="2" fillId="4"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43" fontId="3" fillId="4" borderId="0" xfId="1" applyFont="1" applyFill="1" applyBorder="1" applyAlignment="1">
      <alignment vertical="center" wrapText="1"/>
    </xf>
    <xf numFmtId="0" fontId="3" fillId="4" borderId="2" xfId="0" applyFont="1" applyFill="1" applyBorder="1" applyAlignment="1">
      <alignment horizontal="center" vertical="center"/>
    </xf>
    <xf numFmtId="43" fontId="3" fillId="4" borderId="2" xfId="0" applyNumberFormat="1" applyFont="1" applyFill="1" applyBorder="1" applyAlignment="1">
      <alignment horizontal="center" vertical="center"/>
    </xf>
    <xf numFmtId="43" fontId="0" fillId="4" borderId="0" xfId="0" applyNumberFormat="1" applyFill="1"/>
    <xf numFmtId="4" fontId="0" fillId="0" borderId="0" xfId="0" applyNumberFormat="1" applyAlignment="1">
      <alignment wrapText="1"/>
    </xf>
    <xf numFmtId="4" fontId="0" fillId="0" borderId="0" xfId="0" applyNumberFormat="1"/>
    <xf numFmtId="2" fontId="0" fillId="0" borderId="0" xfId="0" applyNumberFormat="1" applyAlignment="1">
      <alignment wrapText="1"/>
    </xf>
    <xf numFmtId="0" fontId="0" fillId="0" borderId="0" xfId="0" applyAlignment="1">
      <alignment horizontal="left" wrapText="1"/>
    </xf>
    <xf numFmtId="43" fontId="0" fillId="0" borderId="0" xfId="4" applyNumberFormat="1" applyFont="1" applyAlignment="1">
      <alignment wrapText="1"/>
    </xf>
    <xf numFmtId="44" fontId="0" fillId="0" borderId="0" xfId="0" applyNumberFormat="1" applyAlignment="1">
      <alignment wrapText="1"/>
    </xf>
    <xf numFmtId="0" fontId="8" fillId="6" borderId="0" xfId="0" applyFont="1" applyFill="1" applyAlignment="1">
      <alignment wrapText="1"/>
    </xf>
    <xf numFmtId="4" fontId="0" fillId="6" borderId="0" xfId="0" applyNumberFormat="1" applyFill="1" applyAlignment="1">
      <alignment wrapText="1"/>
    </xf>
    <xf numFmtId="0" fontId="0" fillId="11" borderId="0" xfId="0" applyFill="1" applyAlignment="1">
      <alignment wrapText="1"/>
    </xf>
    <xf numFmtId="4" fontId="0" fillId="11" borderId="0" xfId="0" applyNumberFormat="1" applyFill="1" applyAlignment="1">
      <alignment wrapText="1"/>
    </xf>
    <xf numFmtId="43" fontId="0" fillId="11" borderId="0" xfId="0" applyNumberFormat="1" applyFill="1" applyAlignment="1">
      <alignment wrapText="1"/>
    </xf>
    <xf numFmtId="0" fontId="0" fillId="11" borderId="0" xfId="0" applyFill="1"/>
    <xf numFmtId="43" fontId="0" fillId="11" borderId="0" xfId="0" applyNumberFormat="1" applyFill="1"/>
    <xf numFmtId="4" fontId="0" fillId="11" borderId="0" xfId="0" applyNumberFormat="1" applyFill="1"/>
    <xf numFmtId="0" fontId="0" fillId="12" borderId="0" xfId="0" applyFill="1" applyAlignment="1">
      <alignment wrapText="1"/>
    </xf>
    <xf numFmtId="0" fontId="0" fillId="12" borderId="0" xfId="0" applyFill="1"/>
    <xf numFmtId="43" fontId="0" fillId="12" borderId="0" xfId="0" applyNumberFormat="1" applyFill="1"/>
    <xf numFmtId="43" fontId="0" fillId="12" borderId="0" xfId="0" applyNumberFormat="1" applyFill="1" applyAlignment="1">
      <alignment wrapText="1"/>
    </xf>
    <xf numFmtId="4" fontId="0" fillId="12" borderId="0" xfId="0" applyNumberFormat="1" applyFill="1" applyAlignment="1">
      <alignment wrapText="1"/>
    </xf>
    <xf numFmtId="0" fontId="2" fillId="12" borderId="1" xfId="0" applyFont="1" applyFill="1" applyBorder="1" applyAlignment="1">
      <alignment vertical="center" wrapText="1"/>
    </xf>
    <xf numFmtId="0" fontId="2" fillId="12" borderId="1" xfId="0" applyFont="1" applyFill="1" applyBorder="1" applyAlignment="1">
      <alignment horizontal="left" vertical="center" wrapText="1"/>
    </xf>
    <xf numFmtId="4" fontId="0" fillId="12" borderId="0" xfId="0" applyNumberFormat="1" applyFill="1"/>
    <xf numFmtId="43" fontId="3" fillId="6" borderId="0" xfId="0" applyNumberFormat="1" applyFont="1" applyFill="1" applyAlignment="1">
      <alignment horizontal="center" vertical="center"/>
    </xf>
    <xf numFmtId="43" fontId="0" fillId="0" borderId="0" xfId="1" applyFont="1"/>
    <xf numFmtId="0" fontId="2" fillId="9" borderId="1" xfId="0" applyFont="1" applyFill="1" applyBorder="1" applyAlignment="1">
      <alignmen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3" fillId="9" borderId="2" xfId="0" applyFont="1" applyFill="1" applyBorder="1" applyAlignment="1">
      <alignment vertical="center" wrapText="1"/>
    </xf>
    <xf numFmtId="43" fontId="3" fillId="9" borderId="0" xfId="1" applyFont="1" applyFill="1" applyBorder="1" applyAlignment="1">
      <alignment vertical="center" wrapText="1"/>
    </xf>
    <xf numFmtId="0" fontId="3" fillId="9" borderId="2" xfId="0" applyFont="1" applyFill="1" applyBorder="1" applyAlignment="1">
      <alignment horizontal="center" vertical="center"/>
    </xf>
    <xf numFmtId="43" fontId="0" fillId="9" borderId="0" xfId="0" applyNumberFormat="1" applyFill="1"/>
    <xf numFmtId="0" fontId="0" fillId="9" borderId="0" xfId="0" applyFill="1"/>
    <xf numFmtId="0" fontId="0" fillId="13" borderId="0" xfId="0" applyFill="1" applyAlignment="1">
      <alignment wrapText="1"/>
    </xf>
    <xf numFmtId="0" fontId="0" fillId="13" borderId="0" xfId="0" applyFill="1"/>
    <xf numFmtId="4" fontId="0" fillId="6" borderId="0" xfId="0" applyNumberFormat="1" applyFill="1"/>
    <xf numFmtId="0" fontId="3" fillId="11" borderId="0" xfId="0" applyFont="1" applyFill="1" applyAlignment="1">
      <alignment vertical="center" wrapText="1"/>
    </xf>
    <xf numFmtId="0" fontId="8" fillId="11" borderId="0" xfId="0" applyFont="1" applyFill="1" applyAlignment="1">
      <alignment wrapText="1"/>
    </xf>
    <xf numFmtId="4" fontId="0" fillId="13" borderId="0" xfId="0" applyNumberFormat="1" applyFill="1" applyAlignment="1">
      <alignment wrapText="1"/>
    </xf>
    <xf numFmtId="43" fontId="0" fillId="13" borderId="0" xfId="0" applyNumberFormat="1" applyFill="1"/>
    <xf numFmtId="0" fontId="0" fillId="0" borderId="0" xfId="0" applyAlignment="1">
      <alignment horizontal="right" wrapText="1"/>
    </xf>
    <xf numFmtId="0" fontId="3" fillId="2" borderId="2" xfId="0" applyFont="1" applyFill="1" applyBorder="1" applyAlignment="1">
      <alignment horizontal="right" vertical="center"/>
    </xf>
    <xf numFmtId="43" fontId="1" fillId="9" borderId="0" xfId="1" applyFont="1" applyFill="1" applyAlignment="1">
      <alignment wrapText="1"/>
    </xf>
    <xf numFmtId="43" fontId="3" fillId="9" borderId="0" xfId="1" applyFont="1" applyFill="1" applyBorder="1" applyAlignment="1">
      <alignment horizontal="right" vertical="center"/>
    </xf>
    <xf numFmtId="43" fontId="3" fillId="9" borderId="0" xfId="1" applyFont="1" applyFill="1" applyBorder="1" applyAlignment="1">
      <alignment horizontal="center" vertical="center"/>
    </xf>
    <xf numFmtId="43" fontId="1" fillId="9" borderId="0" xfId="1" applyFont="1" applyFill="1"/>
    <xf numFmtId="43" fontId="1" fillId="9" borderId="0" xfId="1" applyFont="1" applyFill="1" applyAlignment="1">
      <alignment horizontal="right" wrapText="1"/>
    </xf>
    <xf numFmtId="0" fontId="3" fillId="2" borderId="0" xfId="0" applyFont="1" applyFill="1" applyAlignment="1" applyProtection="1">
      <alignment vertical="center" wrapText="1"/>
      <protection locked="0"/>
    </xf>
    <xf numFmtId="0" fontId="0" fillId="6" borderId="0" xfId="0" applyFill="1" applyAlignment="1">
      <alignment horizontal="right" wrapText="1"/>
    </xf>
    <xf numFmtId="43" fontId="3" fillId="9" borderId="0" xfId="1" applyFont="1" applyFill="1" applyAlignment="1" applyProtection="1">
      <alignment vertical="center" wrapText="1"/>
      <protection locked="0"/>
    </xf>
    <xf numFmtId="0" fontId="0" fillId="0" borderId="0" xfId="0" applyAlignment="1">
      <alignment horizontal="right"/>
    </xf>
    <xf numFmtId="43" fontId="1" fillId="9" borderId="0" xfId="1" applyFont="1" applyFill="1" applyAlignment="1">
      <alignment horizontal="right"/>
    </xf>
    <xf numFmtId="43" fontId="1" fillId="14" borderId="0" xfId="1" applyFont="1" applyFill="1" applyAlignment="1">
      <alignment wrapText="1"/>
    </xf>
    <xf numFmtId="43" fontId="1" fillId="14" borderId="0" xfId="1" applyFont="1" applyFill="1"/>
    <xf numFmtId="43" fontId="1" fillId="14" borderId="0" xfId="1" applyFont="1" applyFill="1" applyAlignment="1">
      <alignment horizontal="right"/>
    </xf>
    <xf numFmtId="2" fontId="4" fillId="3" borderId="3" xfId="0" applyNumberFormat="1" applyFont="1" applyFill="1" applyBorder="1" applyAlignment="1">
      <alignment horizontal="right" vertical="center" wrapText="1"/>
    </xf>
    <xf numFmtId="0" fontId="0" fillId="0" borderId="0" xfId="0" pivotButton="1"/>
    <xf numFmtId="0" fontId="0" fillId="0" borderId="0" xfId="0" pivotButton="1" applyAlignment="1">
      <alignment wrapText="1"/>
    </xf>
    <xf numFmtId="0" fontId="0" fillId="0" borderId="10" xfId="0" applyBorder="1"/>
    <xf numFmtId="0" fontId="1" fillId="0" borderId="10" xfId="0" applyFont="1" applyBorder="1"/>
    <xf numFmtId="2" fontId="4" fillId="15" borderId="10" xfId="0" applyNumberFormat="1" applyFont="1" applyFill="1" applyBorder="1" applyAlignment="1">
      <alignment horizontal="center" vertical="center" wrapText="1"/>
    </xf>
    <xf numFmtId="0" fontId="3" fillId="2" borderId="10" xfId="0" applyFont="1" applyFill="1" applyBorder="1" applyAlignment="1">
      <alignment vertical="center" wrapText="1"/>
    </xf>
    <xf numFmtId="43" fontId="3" fillId="2" borderId="10" xfId="1" applyFont="1" applyFill="1" applyBorder="1" applyAlignment="1">
      <alignment vertical="center" wrapText="1"/>
    </xf>
    <xf numFmtId="0" fontId="3" fillId="2" borderId="10" xfId="0" applyFont="1" applyFill="1" applyBorder="1" applyAlignment="1">
      <alignment horizontal="center" vertical="center"/>
    </xf>
    <xf numFmtId="43" fontId="0" fillId="0" borderId="10" xfId="0" applyNumberFormat="1" applyBorder="1"/>
    <xf numFmtId="0" fontId="4" fillId="15" borderId="10" xfId="0" applyFont="1" applyFill="1" applyBorder="1"/>
    <xf numFmtId="0" fontId="4" fillId="15" borderId="10" xfId="0" applyFont="1" applyFill="1" applyBorder="1" applyAlignment="1">
      <alignment wrapText="1"/>
    </xf>
    <xf numFmtId="43" fontId="4" fillId="15" borderId="10" xfId="0" applyNumberFormat="1" applyFont="1" applyFill="1" applyBorder="1"/>
    <xf numFmtId="0" fontId="12" fillId="0" borderId="0" xfId="0" applyFont="1"/>
    <xf numFmtId="0" fontId="12" fillId="0" borderId="10" xfId="0" applyFont="1" applyBorder="1"/>
    <xf numFmtId="0" fontId="12" fillId="2" borderId="10" xfId="0" applyFont="1" applyFill="1" applyBorder="1" applyAlignment="1">
      <alignment vertical="center" wrapText="1"/>
    </xf>
    <xf numFmtId="0" fontId="12" fillId="2" borderId="10" xfId="0" applyFont="1" applyFill="1" applyBorder="1" applyAlignment="1">
      <alignment horizontal="left" vertical="center" wrapText="1"/>
    </xf>
    <xf numFmtId="0" fontId="12" fillId="0" borderId="10" xfId="0" applyFont="1" applyBorder="1" applyAlignment="1">
      <alignment wrapText="1"/>
    </xf>
    <xf numFmtId="0" fontId="12" fillId="10" borderId="0" xfId="0" applyFont="1" applyFill="1"/>
    <xf numFmtId="0" fontId="12" fillId="0" borderId="10" xfId="0" applyFont="1" applyBorder="1" applyAlignment="1">
      <alignment horizontal="center" vertical="center" wrapText="1"/>
    </xf>
    <xf numFmtId="0" fontId="12" fillId="4" borderId="0" xfId="0" applyFont="1" applyFill="1"/>
    <xf numFmtId="0" fontId="4" fillId="10" borderId="0" xfId="0" applyFont="1" applyFill="1"/>
    <xf numFmtId="0" fontId="12" fillId="0" borderId="10" xfId="0" applyFont="1" applyBorder="1" applyAlignment="1">
      <alignment vertical="center" wrapText="1"/>
    </xf>
    <xf numFmtId="43" fontId="12" fillId="0" borderId="10" xfId="1" applyFont="1" applyFill="1" applyBorder="1" applyAlignment="1">
      <alignment vertical="center" wrapText="1"/>
    </xf>
    <xf numFmtId="0" fontId="12" fillId="0" borderId="10" xfId="0" applyFont="1" applyBorder="1" applyAlignment="1">
      <alignment horizontal="center" vertical="center"/>
    </xf>
    <xf numFmtId="43" fontId="12" fillId="0" borderId="10" xfId="3" applyFont="1" applyFill="1" applyBorder="1" applyAlignment="1">
      <alignment vertical="center"/>
    </xf>
    <xf numFmtId="43" fontId="12" fillId="0" borderId="10" xfId="0" applyNumberFormat="1" applyFont="1" applyBorder="1"/>
    <xf numFmtId="43" fontId="4" fillId="16" borderId="10" xfId="0" applyNumberFormat="1" applyFont="1" applyFill="1" applyBorder="1" applyAlignment="1">
      <alignment horizontal="center" vertical="center"/>
    </xf>
    <xf numFmtId="43" fontId="4" fillId="17" borderId="10" xfId="0" applyNumberFormat="1" applyFont="1" applyFill="1" applyBorder="1" applyAlignment="1">
      <alignment wrapText="1"/>
    </xf>
    <xf numFmtId="0" fontId="0" fillId="0" borderId="10" xfId="0" applyBorder="1" applyAlignment="1">
      <alignment wrapText="1"/>
    </xf>
    <xf numFmtId="43" fontId="0" fillId="0" borderId="10" xfId="0" applyNumberFormat="1" applyBorder="1" applyAlignment="1">
      <alignment wrapText="1"/>
    </xf>
    <xf numFmtId="0" fontId="0" fillId="4" borderId="10" xfId="0" applyFill="1" applyBorder="1" applyAlignment="1">
      <alignment wrapText="1"/>
    </xf>
    <xf numFmtId="0" fontId="0" fillId="0" borderId="10" xfId="0" applyBorder="1" applyAlignment="1">
      <alignment horizontal="right" wrapText="1"/>
    </xf>
    <xf numFmtId="0" fontId="3" fillId="2" borderId="10" xfId="0" applyFont="1" applyFill="1" applyBorder="1" applyAlignment="1">
      <alignment horizontal="right" vertical="center"/>
    </xf>
    <xf numFmtId="0" fontId="3" fillId="2" borderId="10" xfId="0" applyFont="1" applyFill="1" applyBorder="1" applyAlignment="1" applyProtection="1">
      <alignment vertical="center" wrapText="1"/>
      <protection locked="0"/>
    </xf>
    <xf numFmtId="0" fontId="0" fillId="6" borderId="10" xfId="0" applyFill="1" applyBorder="1" applyAlignment="1">
      <alignment wrapText="1"/>
    </xf>
    <xf numFmtId="0" fontId="0" fillId="6" borderId="10" xfId="0" applyFill="1" applyBorder="1" applyAlignment="1">
      <alignment horizontal="right" wrapText="1"/>
    </xf>
    <xf numFmtId="0" fontId="0" fillId="0" borderId="10" xfId="0" applyBorder="1" applyAlignment="1">
      <alignment horizontal="right"/>
    </xf>
    <xf numFmtId="43" fontId="0" fillId="4" borderId="10" xfId="1" applyFont="1" applyFill="1" applyBorder="1" applyAlignment="1">
      <alignment wrapText="1"/>
    </xf>
    <xf numFmtId="43" fontId="0" fillId="0" borderId="10" xfId="1" applyFont="1" applyBorder="1" applyAlignment="1">
      <alignment wrapText="1"/>
    </xf>
    <xf numFmtId="4" fontId="0" fillId="0" borderId="10" xfId="0" applyNumberFormat="1" applyBorder="1" applyAlignment="1">
      <alignment wrapText="1"/>
    </xf>
    <xf numFmtId="4" fontId="0" fillId="0" borderId="10" xfId="0" applyNumberFormat="1" applyBorder="1"/>
    <xf numFmtId="2" fontId="0" fillId="0" borderId="10" xfId="0" applyNumberFormat="1" applyBorder="1" applyAlignment="1">
      <alignment wrapText="1"/>
    </xf>
    <xf numFmtId="0" fontId="0" fillId="0" borderId="10" xfId="0" applyBorder="1" applyAlignment="1">
      <alignment horizontal="left" wrapText="1"/>
    </xf>
    <xf numFmtId="0" fontId="8" fillId="0" borderId="10" xfId="0" applyFont="1" applyBorder="1" applyAlignment="1">
      <alignment wrapText="1"/>
    </xf>
    <xf numFmtId="43" fontId="0" fillId="0" borderId="10" xfId="4" applyNumberFormat="1" applyFont="1" applyBorder="1" applyAlignment="1">
      <alignment wrapText="1"/>
    </xf>
    <xf numFmtId="44" fontId="0" fillId="0" borderId="10" xfId="0" applyNumberFormat="1" applyBorder="1" applyAlignment="1">
      <alignment wrapText="1"/>
    </xf>
    <xf numFmtId="2" fontId="4" fillId="18" borderId="10" xfId="0" applyNumberFormat="1" applyFont="1" applyFill="1" applyBorder="1" applyAlignment="1">
      <alignment horizontal="center" vertical="center" wrapText="1"/>
    </xf>
    <xf numFmtId="43" fontId="4" fillId="18" borderId="10" xfId="0" applyNumberFormat="1" applyFont="1" applyFill="1" applyBorder="1" applyAlignment="1">
      <alignment horizontal="center" vertical="center"/>
    </xf>
    <xf numFmtId="43" fontId="4" fillId="18" borderId="10" xfId="0" applyNumberFormat="1" applyFont="1" applyFill="1" applyBorder="1"/>
    <xf numFmtId="10" fontId="0" fillId="0" borderId="0" xfId="0" applyNumberFormat="1"/>
    <xf numFmtId="0" fontId="3" fillId="2" borderId="2" xfId="0" applyFont="1" applyFill="1" applyBorder="1" applyAlignment="1">
      <alignment horizontal="center" vertical="center" wrapText="1"/>
    </xf>
    <xf numFmtId="43" fontId="1" fillId="0" borderId="10" xfId="0" applyNumberFormat="1" applyFont="1" applyBorder="1"/>
    <xf numFmtId="0" fontId="9" fillId="0" borderId="12" xfId="0" applyFont="1" applyBorder="1" applyAlignment="1">
      <alignment horizontal="right" vertical="center" wrapText="1"/>
    </xf>
    <xf numFmtId="4" fontId="16" fillId="0" borderId="12" xfId="0" applyNumberFormat="1" applyFont="1" applyBorder="1" applyAlignment="1">
      <alignment horizontal="right" vertical="center" wrapText="1"/>
    </xf>
    <xf numFmtId="43" fontId="15" fillId="0" borderId="11" xfId="1" applyFont="1" applyBorder="1" applyAlignment="1">
      <alignment horizontal="right" vertical="center" wrapText="1"/>
    </xf>
    <xf numFmtId="43" fontId="15" fillId="0" borderId="12" xfId="1" applyFont="1" applyBorder="1" applyAlignment="1">
      <alignment horizontal="right" vertical="center" wrapText="1"/>
    </xf>
    <xf numFmtId="43" fontId="9" fillId="0" borderId="12" xfId="1" applyFont="1" applyBorder="1" applyAlignment="1">
      <alignment horizontal="right" vertical="center" wrapText="1"/>
    </xf>
    <xf numFmtId="43" fontId="16" fillId="0" borderId="12" xfId="1" applyFont="1" applyBorder="1" applyAlignment="1">
      <alignment horizontal="right" vertical="center" wrapText="1"/>
    </xf>
    <xf numFmtId="0" fontId="9" fillId="0" borderId="11" xfId="0" applyFont="1" applyBorder="1" applyAlignment="1">
      <alignment horizontal="right" vertical="center" wrapText="1"/>
    </xf>
    <xf numFmtId="43" fontId="0" fillId="4" borderId="0" xfId="1" applyFont="1" applyFill="1"/>
    <xf numFmtId="0" fontId="16" fillId="0" borderId="12" xfId="0" applyFont="1" applyBorder="1" applyAlignment="1">
      <alignment vertical="center" wrapText="1"/>
    </xf>
    <xf numFmtId="0" fontId="16" fillId="0" borderId="11" xfId="0" applyFont="1" applyBorder="1" applyAlignment="1">
      <alignment vertical="center" wrapText="1"/>
    </xf>
    <xf numFmtId="4" fontId="16" fillId="0" borderId="11" xfId="0" applyNumberFormat="1" applyFont="1" applyBorder="1" applyAlignment="1">
      <alignment vertical="center" wrapText="1"/>
    </xf>
    <xf numFmtId="4" fontId="16" fillId="0" borderId="12" xfId="0" applyNumberFormat="1" applyFont="1" applyBorder="1" applyAlignment="1">
      <alignment vertical="center" wrapText="1"/>
    </xf>
    <xf numFmtId="4" fontId="0" fillId="4" borderId="0" xfId="0" applyNumberFormat="1" applyFill="1"/>
    <xf numFmtId="4" fontId="8" fillId="0" borderId="0" xfId="0" applyNumberFormat="1" applyFont="1"/>
    <xf numFmtId="43" fontId="8" fillId="0" borderId="0" xfId="0" applyNumberFormat="1" applyFont="1"/>
    <xf numFmtId="43" fontId="16" fillId="0" borderId="12" xfId="1" applyFont="1" applyBorder="1" applyAlignment="1">
      <alignment vertical="center" wrapText="1"/>
    </xf>
    <xf numFmtId="0" fontId="16" fillId="0" borderId="0" xfId="0" applyFont="1"/>
    <xf numFmtId="43" fontId="8" fillId="0" borderId="0" xfId="1" applyFont="1"/>
    <xf numFmtId="43" fontId="17" fillId="0" borderId="0" xfId="0" applyNumberFormat="1" applyFont="1"/>
    <xf numFmtId="10" fontId="0" fillId="0" borderId="0" xfId="5" applyNumberFormat="1" applyFont="1"/>
    <xf numFmtId="10" fontId="0" fillId="4" borderId="0" xfId="5" applyNumberFormat="1" applyFont="1" applyFill="1"/>
    <xf numFmtId="10" fontId="8" fillId="0" borderId="0" xfId="5" applyNumberFormat="1" applyFont="1"/>
    <xf numFmtId="4" fontId="0" fillId="4" borderId="0" xfId="0" applyNumberFormat="1" applyFill="1" applyAlignment="1">
      <alignment wrapText="1"/>
    </xf>
    <xf numFmtId="0" fontId="0" fillId="0" borderId="0" xfId="0" applyAlignment="1">
      <alignment horizontal="left" vertical="top" wrapText="1"/>
    </xf>
    <xf numFmtId="0" fontId="18" fillId="19" borderId="10" xfId="0" applyFont="1" applyFill="1" applyBorder="1" applyAlignment="1">
      <alignment horizontal="center" vertical="center"/>
    </xf>
    <xf numFmtId="0" fontId="19" fillId="19" borderId="10" xfId="0" applyFont="1" applyFill="1" applyBorder="1" applyAlignment="1">
      <alignment horizontal="center" vertical="center"/>
    </xf>
    <xf numFmtId="0" fontId="18" fillId="20" borderId="13" xfId="0" applyFont="1" applyFill="1" applyBorder="1" applyAlignment="1">
      <alignment horizontal="center" vertical="center" wrapText="1"/>
    </xf>
    <xf numFmtId="0" fontId="18" fillId="21" borderId="13" xfId="0" applyFont="1" applyFill="1" applyBorder="1" applyAlignment="1">
      <alignment horizontal="center" vertical="center" wrapText="1"/>
    </xf>
    <xf numFmtId="0" fontId="18" fillId="21" borderId="14" xfId="0" applyFont="1" applyFill="1" applyBorder="1" applyAlignment="1">
      <alignment horizontal="center" vertical="center" wrapText="1"/>
    </xf>
    <xf numFmtId="165" fontId="1" fillId="0" borderId="0" xfId="1" applyNumberFormat="1" applyFont="1"/>
  </cellXfs>
  <cellStyles count="6">
    <cellStyle name="Comma" xfId="1" builtinId="3"/>
    <cellStyle name="Comma 2" xfId="3" xr:uid="{00000000-0005-0000-0000-000001000000}"/>
    <cellStyle name="Currency" xfId="4" builtinId="4"/>
    <cellStyle name="Normal" xfId="0" builtinId="0"/>
    <cellStyle name="Normal 2" xfId="2" xr:uid="{00000000-0005-0000-0000-000004000000}"/>
    <cellStyle name="Percent" xfId="5" builtinId="5"/>
  </cellStyles>
  <dxfs count="118">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35" formatCode="_(* #,##0.00_);_(* \(#,##0.00\);_(* &quot;-&quot;??_);_(@_)"/>
    </dxf>
    <dxf>
      <alignment wrapText="1"/>
    </dxf>
    <dxf>
      <alignment wrapText="1"/>
    </dxf>
    <dxf>
      <alignment wrapText="1"/>
    </dxf>
    <dxf>
      <alignment wrapText="1"/>
    </dxf>
    <dxf>
      <alignment wrapText="1"/>
    </dxf>
    <dxf>
      <alignment wrapText="1"/>
    </dxf>
    <dxf>
      <font>
        <b/>
      </font>
    </dxf>
    <dxf>
      <fill>
        <patternFill patternType="solid">
          <bgColor rgb="FFFFFF00"/>
        </patternFill>
      </fill>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horizontal="left"/>
    </dxf>
    <dxf>
      <alignment horizontal="left"/>
    </dxf>
    <dxf>
      <alignment horizontal="left"/>
    </dxf>
    <dxf>
      <alignment horizontal="left"/>
    </dxf>
    <dxf>
      <alignment horizontal="left"/>
    </dxf>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sers\USER\Desktop\HEALTH%20FINANCING%20STRATEGY%20DOCUMENTS%20SALIMA%203RD%20SEPTEMBER%202021\LINDE%20HF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ius/Library/Containers/com.microsoft.Excel/Data/Documents/C:/Users/USER/Desktop/HEALTH%20FINANCING%20STRATEGY%20DOCUMENTS%20SALIMA%203RD%20SEPTEMBER%202021/LINDE%20HF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HEALTH%20FINANCING%20STRATEGY%20DOCUMENTS%20SALIMA%203RD%20SEPTEMBER%202021/LINDE%20HF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structions"/>
      <sheetName val="Checks"/>
      <sheetName val="Strategy Overview"/>
      <sheetName val="Inputs_Assumptions"/>
      <sheetName val="Budget summary"/>
      <sheetName val="Detailed budget"/>
      <sheetName val="Cost and Salary Assumptions"/>
      <sheetName val="Budget Assist"/>
      <sheetName val="lookup_tables"/>
      <sheetName val="strategy_helper"/>
      <sheetName val="dd_lists"/>
      <sheetName val="Reference__&gt;"/>
      <sheetName val="Sheet1"/>
      <sheetName val="REF| Health Facilities"/>
      <sheetName val="REF| Current Staffing"/>
      <sheetName val="REF | Cost Assumptions"/>
      <sheetName val="REF | Med Equip"/>
      <sheetName val="REF| HSA Staffing"/>
      <sheetName val="REF| Salaries"/>
      <sheetName val="REF| Infrastructure"/>
      <sheetName val="dropdowns_old"/>
      <sheetName val="REF| Distance Chart"/>
      <sheetName val="Summary Figures"/>
    </sheetNames>
    <sheetDataSet>
      <sheetData sheetId="0"/>
      <sheetData sheetId="1"/>
      <sheetData sheetId="2"/>
      <sheetData sheetId="3"/>
      <sheetData sheetId="4">
        <row r="8">
          <cell r="C8" t="str">
            <v>Objective</v>
          </cell>
          <cell r="D8" t="str">
            <v>Strategy Code</v>
          </cell>
          <cell r="E8" t="str">
            <v>Strategy True Code</v>
          </cell>
          <cell r="F8" t="str">
            <v>Strategy</v>
          </cell>
          <cell r="G8" t="str">
            <v>Activity Code</v>
          </cell>
          <cell r="H8" t="str">
            <v>Activity</v>
          </cell>
        </row>
      </sheetData>
      <sheetData sheetId="5"/>
      <sheetData sheetId="6"/>
      <sheetData sheetId="7"/>
      <sheetData sheetId="8"/>
      <sheetData sheetId="9"/>
      <sheetData sheetId="10"/>
      <sheetData sheetId="11">
        <row r="1">
          <cell r="C1" t="str">
            <v>Allowance</v>
          </cell>
          <cell r="D1" t="str">
            <v>Clothing</v>
          </cell>
          <cell r="E1" t="str">
            <v>Communication</v>
          </cell>
          <cell r="F1" t="str">
            <v>Event Costs</v>
          </cell>
          <cell r="G1" t="str">
            <v>Fuel and Transport Reimbursement</v>
          </cell>
          <cell r="H1" t="str">
            <v>ICT</v>
          </cell>
          <cell r="I1" t="str">
            <v>Infrastructure</v>
          </cell>
          <cell r="J1" t="str">
            <v>Medical Equipment</v>
          </cell>
          <cell r="K1" t="str">
            <v>Monetary Support</v>
          </cell>
          <cell r="L1" t="str">
            <v>Non-Medical Equipment</v>
          </cell>
          <cell r="M1" t="str">
            <v>Office Items</v>
          </cell>
          <cell r="N1" t="str">
            <v>Printing</v>
          </cell>
          <cell r="O1" t="str">
            <v>Research/Accreditation</v>
          </cell>
          <cell r="P1" t="str">
            <v>Salaries and Compensation</v>
          </cell>
          <cell r="Q1" t="str">
            <v>Supplies</v>
          </cell>
          <cell r="R1" t="str">
            <v>Vehicles/Transportation</v>
          </cell>
          <cell r="S1" t="str">
            <v>Other</v>
          </cell>
          <cell r="U1" t="str">
            <v>Sub-Activity</v>
          </cell>
        </row>
        <row r="2">
          <cell r="U2" t="str">
            <v xml:space="preserve"> Conduct district level theft investigation trainings</v>
          </cell>
        </row>
        <row r="3">
          <cell r="U3" t="str">
            <v xml:space="preserve"> Constitute the trust fund with clear oversight of mechanisms for the general oversight of the citizenry </v>
          </cell>
        </row>
        <row r="4">
          <cell r="U4" t="str">
            <v xml:space="preserve"> Develop contracts</v>
          </cell>
        </row>
        <row r="5">
          <cell r="U5" t="str">
            <v xml:space="preserve"> Hold consultations with RBM to provide inputs</v>
          </cell>
        </row>
        <row r="6">
          <cell r="U6" t="str">
            <v xml:space="preserve"> Recruitment PFM TA to manage a cluster of 3-5 districts</v>
          </cell>
        </row>
        <row r="7">
          <cell r="U7" t="str">
            <v xml:space="preserve"> Training of trainers on district resource mobilization guidelines</v>
          </cell>
        </row>
        <row r="8">
          <cell r="U8" t="str">
            <v>Address donor-MoH power imbalances to achieve principles of Paris Aid Coordination</v>
          </cell>
        </row>
        <row r="9">
          <cell r="U9" t="str">
            <v>Address procurement constraints</v>
          </cell>
        </row>
        <row r="10">
          <cell r="U10" t="str">
            <v>All departments and their partners to come up with consolidated annual program plan (at national level)</v>
          </cell>
        </row>
        <row r="11">
          <cell r="U11" t="str">
            <v>Annual review of SLA guidelines and MOU for faith based facilities</v>
          </cell>
        </row>
        <row r="12">
          <cell r="U12" t="str">
            <v>Asses the legal and regulatory framework for hosting HF data in DHIS II</v>
          </cell>
        </row>
        <row r="13">
          <cell r="U13" t="str">
            <v>Assess co-financing investment mechanisms into donor-funded interventions</v>
          </cell>
        </row>
        <row r="14">
          <cell r="U14" t="str">
            <v>Assess the feasibility of reinstating the sector budget support to SWAP</v>
          </cell>
        </row>
        <row r="15">
          <cell r="U15" t="str">
            <v>Biannual meetings with CSO</v>
          </cell>
        </row>
        <row r="16">
          <cell r="U16" t="str">
            <v>Build capacity in grant management for health economics and health financing in training and research institutions</v>
          </cell>
        </row>
        <row r="17">
          <cell r="U17" t="str">
            <v>Build capacity in partnership management amongst academia, policy makers and donors</v>
          </cell>
        </row>
        <row r="18">
          <cell r="U18" t="str">
            <v>Build capacity of Health Financing Division</v>
          </cell>
        </row>
        <row r="19">
          <cell r="U19" t="str">
            <v>Build PFM capacity for health facility management committees and community oversight structures in line with devolved budget management functions</v>
          </cell>
        </row>
        <row r="20">
          <cell r="U20" t="str">
            <v>Capacitate decentralized and community health oversight structures (e.g., Health and Environmental Committee; Health Centre Management Committees) on grant making and governance</v>
          </cell>
        </row>
        <row r="21">
          <cell r="U21" t="str">
            <v>Capacity building in the Ministry of Health for the adopted systems</v>
          </cell>
        </row>
        <row r="22">
          <cell r="U22" t="str">
            <v>Capacity building of KUHES in collaboration with HFD to lead PERs</v>
          </cell>
        </row>
        <row r="23">
          <cell r="U23" t="str">
            <v>Capacity building of support staff in tariff development and health fund management</v>
          </cell>
        </row>
        <row r="24">
          <cell r="U24" t="str">
            <v xml:space="preserve">Clarify roles, responsibilities and processes (including transportation and warehousing) </v>
          </cell>
        </row>
        <row r="25">
          <cell r="U25" t="str">
            <v>Co-create research agenda and discuss dissemination</v>
          </cell>
        </row>
        <row r="26">
          <cell r="U26" t="str">
            <v>Conduct 2 PPP feasibility assessments per year</v>
          </cell>
        </row>
        <row r="27">
          <cell r="U27" t="str">
            <v>Conduct a cross programatic efficiency study</v>
          </cell>
        </row>
        <row r="28">
          <cell r="U28" t="str">
            <v>conduct a fiduciary risk assessment</v>
          </cell>
        </row>
        <row r="29">
          <cell r="U29" t="str">
            <v xml:space="preserve">Conduct a policy relevant health financing analysis needs at all levels of the health care system </v>
          </cell>
        </row>
        <row r="30">
          <cell r="U30" t="str">
            <v>conduct a political economy analysis of the EHP</v>
          </cell>
        </row>
        <row r="31">
          <cell r="U31" t="str">
            <v xml:space="preserve">Conduct a procurement capacity needs assessment </v>
          </cell>
        </row>
        <row r="32">
          <cell r="U32" t="str">
            <v>Conduct advocacy meeting with treasury and NLGFC for more resources for implementing the formula.</v>
          </cell>
        </row>
        <row r="33">
          <cell r="U33" t="str">
            <v>Conduct an advocacy capacity assessment</v>
          </cell>
        </row>
        <row r="34">
          <cell r="U34" t="str">
            <v>Conduct an annual study to produce the health financing progress matrix</v>
          </cell>
        </row>
        <row r="35">
          <cell r="U35" t="str">
            <v>Conduct annual cost analysis of the integrated supply chain system (LMIS system)</v>
          </cell>
        </row>
        <row r="36">
          <cell r="U36" t="str">
            <v>Conduct annual monitoring assessment of the effectiveness of the advocacy platforms</v>
          </cell>
        </row>
        <row r="37">
          <cell r="U37" t="str">
            <v xml:space="preserve">Conduct annual training on population growth research methods for MOH </v>
          </cell>
        </row>
        <row r="38">
          <cell r="U38" t="str">
            <v>Conduct at least 1 health outcomes research</v>
          </cell>
        </row>
        <row r="39">
          <cell r="U39" t="str">
            <v>Conduct at least 3 economic evaluation studies</v>
          </cell>
        </row>
        <row r="40">
          <cell r="U40" t="str">
            <v xml:space="preserve">Conduct awareness campaigns  </v>
          </cell>
        </row>
        <row r="41">
          <cell r="U41" t="str">
            <v>Conduct capacity building for KUHES and HFD to lead in economic evaluations of health care system, health programs and health interventions</v>
          </cell>
        </row>
        <row r="42">
          <cell r="U42" t="str">
            <v>Conduct capacity building for KUHES and HFD to lead in health financing progress matrix studies</v>
          </cell>
        </row>
        <row r="43">
          <cell r="U43" t="str">
            <v>Conduct capacity building for KUHES and HFD to lead in health outcomes research and epidemiological studies</v>
          </cell>
        </row>
        <row r="44">
          <cell r="U44" t="str">
            <v xml:space="preserve">Conduct CMST efficiency analysis </v>
          </cell>
        </row>
        <row r="45">
          <cell r="U45" t="str">
            <v xml:space="preserve">Conduct district specific PERs every 5 years </v>
          </cell>
        </row>
        <row r="46">
          <cell r="U46" t="str">
            <v>Conduct functional review for GOM staff establishment in faith based facilities</v>
          </cell>
        </row>
        <row r="47">
          <cell r="U47" t="str">
            <v>conduct health system wide PER every 3 years</v>
          </cell>
        </row>
        <row r="48">
          <cell r="U48" t="str">
            <v xml:space="preserve">conduct HFS communications Stakeholders’ analysis and mapping </v>
          </cell>
        </row>
        <row r="49">
          <cell r="U49" t="str">
            <v>Conduct Institutional capacity and legal assessment</v>
          </cell>
        </row>
        <row r="50">
          <cell r="U50" t="str">
            <v>Conduct periodic assessment on the effectiveness of advocacy platforms</v>
          </cell>
        </row>
        <row r="51">
          <cell r="U51" t="str">
            <v xml:space="preserve">Conduct policy relevant health financing analysis trainings </v>
          </cell>
        </row>
        <row r="52">
          <cell r="U52" t="str">
            <v>Conduct research based on the research agenda (2 research pieces a year)</v>
          </cell>
        </row>
        <row r="53">
          <cell r="U53" t="str">
            <v>Conduct review meetings</v>
          </cell>
        </row>
        <row r="54">
          <cell r="U54" t="str">
            <v>Conduct risk assessment at council level</v>
          </cell>
        </row>
        <row r="55">
          <cell r="U55" t="str">
            <v>Conduct training needs assessment</v>
          </cell>
        </row>
        <row r="56">
          <cell r="U56" t="str">
            <v>Conduct value for money analysis study</v>
          </cell>
        </row>
        <row r="57">
          <cell r="U57" t="str">
            <v xml:space="preserve">Construction of a health economics and health financing training complex at KUHES </v>
          </cell>
        </row>
        <row r="58">
          <cell r="U58" t="str">
            <v>Contribute to conceptualization and development of digital health strategy platforms inline with health financing M and E needs</v>
          </cell>
        </row>
        <row r="59">
          <cell r="U59" t="str">
            <v>Decentralize infrastructure management to district councils</v>
          </cell>
        </row>
        <row r="60">
          <cell r="U60" t="str">
            <v>Define EEL</v>
          </cell>
        </row>
        <row r="61">
          <cell r="U61" t="str">
            <v>Define EML, MHL, TML and the Malawi standard treatment guidelines</v>
          </cell>
        </row>
        <row r="62">
          <cell r="U62" t="str">
            <v>Define frameworks and tools for developing EEL</v>
          </cell>
        </row>
        <row r="63">
          <cell r="U63" t="str">
            <v>Define frameworks and tools for developing MSTG, EML, MHL and TML</v>
          </cell>
        </row>
        <row r="64">
          <cell r="U64" t="str">
            <v>Define frameworks and tools for developing various levels of EHP</v>
          </cell>
        </row>
        <row r="65">
          <cell r="U65" t="str">
            <v xml:space="preserve">Define primary level EHPs  </v>
          </cell>
        </row>
        <row r="66">
          <cell r="U66" t="str">
            <v>Define secondary level EHPs</v>
          </cell>
        </row>
        <row r="67">
          <cell r="U67" t="str">
            <v>Define tertiary level EHP</v>
          </cell>
        </row>
        <row r="68">
          <cell r="U68" t="str">
            <v>Design a new reimbursement mechanism for SLAs</v>
          </cell>
        </row>
        <row r="69">
          <cell r="U69" t="str">
            <v>Design community prepayment mechanisms</v>
          </cell>
        </row>
        <row r="70">
          <cell r="U70" t="str">
            <v>Design facility specific PBF mechanisms</v>
          </cell>
        </row>
        <row r="71">
          <cell r="U71" t="str">
            <v>design intra-district resource allocation formula</v>
          </cell>
        </row>
        <row r="72">
          <cell r="U72" t="str">
            <v>Design systems for an agile integrated supply chain system</v>
          </cell>
        </row>
        <row r="73">
          <cell r="U73" t="str">
            <v xml:space="preserve">Develop a clear annual implementation plan for CIP projects </v>
          </cell>
        </row>
        <row r="74">
          <cell r="U74" t="str">
            <v>Develop a concept note on revising the LAPA tool to include performance criteria on partner coordination</v>
          </cell>
        </row>
        <row r="75">
          <cell r="U75" t="str">
            <v>Develop a health financing advocacy curriculum</v>
          </cell>
        </row>
        <row r="76">
          <cell r="U76" t="str">
            <v>Develop a health financing advocacy platform</v>
          </cell>
        </row>
        <row r="77">
          <cell r="U77" t="str">
            <v xml:space="preserve">Develop a health financing knowledge translation platform </v>
          </cell>
        </row>
        <row r="78">
          <cell r="U78" t="str">
            <v>Develop a health specific VHI policy</v>
          </cell>
        </row>
        <row r="79">
          <cell r="U79" t="str">
            <v>Develop a health trust fund bill</v>
          </cell>
        </row>
        <row r="80">
          <cell r="U80" t="str">
            <v>Develop a law on voluntary health insurance to guide the sector and to firmly place the role of the health sector in private health insurance</v>
          </cell>
        </row>
        <row r="81">
          <cell r="U81" t="str">
            <v>Develop a National and International Wholesale Medicines Price Monitoring System</v>
          </cell>
        </row>
        <row r="82">
          <cell r="U82" t="str">
            <v>Develop a position paper on purchasing essential medicines from alternative preselected prime vendors</v>
          </cell>
        </row>
        <row r="83">
          <cell r="U83" t="str">
            <v>Develop a roadmap for implementation of digital health strategy</v>
          </cell>
        </row>
        <row r="84">
          <cell r="U84" t="str">
            <v xml:space="preserve">Develop a roadmap for the implementation of recommendations </v>
          </cell>
        </row>
        <row r="85">
          <cell r="U85" t="str">
            <v>Develop a standard operating procedures manual (to define organizational roles and responsibilities) for undertaking the purchasing function (purchaser-provider split)</v>
          </cell>
        </row>
        <row r="86">
          <cell r="U86" t="str">
            <v>Develop a tracking system</v>
          </cell>
        </row>
        <row r="87">
          <cell r="U87" t="str">
            <v xml:space="preserve">Develop a voluntary health insurance policy </v>
          </cell>
        </row>
        <row r="88">
          <cell r="U88" t="str">
            <v>Develop an advocacy and communication plan for the Health Financing Strategy</v>
          </cell>
        </row>
        <row r="89">
          <cell r="U89" t="str">
            <v>Develop and cost the communication plan for the HFS</v>
          </cell>
        </row>
        <row r="90">
          <cell r="U90" t="str">
            <v>Develop and Implement guidelines for operationalization of the tertiary level EHP including financing arrangements of EHP services</v>
          </cell>
        </row>
        <row r="91">
          <cell r="U91" t="str">
            <v>Develop and install actual and integrated biometric software system for user identification and managing the claims</v>
          </cell>
        </row>
        <row r="92">
          <cell r="U92" t="str">
            <v xml:space="preserve">Develop and sustain advocacy platforms at political leadership level </v>
          </cell>
        </row>
        <row r="93">
          <cell r="U93" t="str">
            <v xml:space="preserve">Develop and sustain advocacy platforms at technical leadership level </v>
          </cell>
        </row>
        <row r="94">
          <cell r="U94" t="str">
            <v>Develop business plans, business plan template and monitoring tool</v>
          </cell>
        </row>
        <row r="95">
          <cell r="U95" t="str">
            <v xml:space="preserve">Develop capacity in the DHIS 2 to host health financing data </v>
          </cell>
        </row>
        <row r="96">
          <cell r="U96" t="str">
            <v>Develop clear job requirements for senior leadership of the district public health sector</v>
          </cell>
        </row>
        <row r="97">
          <cell r="U97" t="str">
            <v>Develop co-financing mechanism implementation and monitoring plans</v>
          </cell>
        </row>
        <row r="98">
          <cell r="U98" t="str">
            <v>Develop co-financing roadmap</v>
          </cell>
        </row>
        <row r="99">
          <cell r="U99" t="str">
            <v>Develop decentralization plan for account systems and personnel to area development committees</v>
          </cell>
        </row>
        <row r="100">
          <cell r="U100" t="str">
            <v>Develop district resource mobilization guidelines</v>
          </cell>
        </row>
        <row r="101">
          <cell r="U101" t="str">
            <v xml:space="preserve">Develop e-procurement guidelines </v>
          </cell>
        </row>
        <row r="102">
          <cell r="U102" t="str">
            <v>develop e-procurement system at CMST</v>
          </cell>
        </row>
        <row r="103">
          <cell r="U103" t="str">
            <v>Develop financial management guidelines for optional paying services in districts</v>
          </cell>
        </row>
        <row r="104">
          <cell r="U104" t="str">
            <v>Develop governance mechanisms for the collection and management of locally mobilised resources</v>
          </cell>
        </row>
        <row r="105">
          <cell r="U105" t="str">
            <v>Develop guidelines for budget monitoring at national and sub-national level</v>
          </cell>
        </row>
        <row r="106">
          <cell r="U106" t="str">
            <v xml:space="preserve">Develop guidelines for decentralising the district health budget </v>
          </cell>
        </row>
        <row r="107">
          <cell r="U107" t="str">
            <v>Develop guidelines for the public health budget accountability fora</v>
          </cell>
        </row>
        <row r="108">
          <cell r="U108" t="str">
            <v>Develop guidelines on direct purchasing from pharmaceutical prime vendors in districts</v>
          </cell>
        </row>
        <row r="109">
          <cell r="U109" t="str">
            <v>Develop guidelines on management of health trust fund</v>
          </cell>
        </row>
        <row r="110">
          <cell r="U110" t="str">
            <v>Develop integrated health financing work plan</v>
          </cell>
        </row>
        <row r="111">
          <cell r="U111" t="str">
            <v xml:space="preserve">Develop IT related capacity for health financing analysis </v>
          </cell>
        </row>
        <row r="112">
          <cell r="U112" t="str">
            <v>Develop legal instruments for regulatory council</v>
          </cell>
        </row>
        <row r="113">
          <cell r="U113" t="str">
            <v>Develop monitoring system for the purchasing function</v>
          </cell>
        </row>
        <row r="114">
          <cell r="U114" t="str">
            <v>Develop MOU and Code of Conduct</v>
          </cell>
        </row>
        <row r="115">
          <cell r="U115" t="str">
            <v xml:space="preserve">Develop new MOU with faith based organisations </v>
          </cell>
        </row>
        <row r="116">
          <cell r="U116" t="str">
            <v>Develop operational guidelines for the CHRAF</v>
          </cell>
        </row>
        <row r="117">
          <cell r="U117" t="str">
            <v>Develop performance management framework for the regulatory councils</v>
          </cell>
        </row>
        <row r="118">
          <cell r="U118" t="str">
            <v xml:space="preserve">develop PFM in health training curriculum </v>
          </cell>
        </row>
        <row r="119">
          <cell r="U119" t="str">
            <v>Develop policy regarding the provision of resource mobilization incentives at National and council level</v>
          </cell>
        </row>
        <row r="120">
          <cell r="U120" t="str">
            <v>Develop procurement capacity at facility level</v>
          </cell>
        </row>
        <row r="121">
          <cell r="U121" t="str">
            <v>Develop purchaser-provider framework for the health sector</v>
          </cell>
        </row>
        <row r="122">
          <cell r="U122" t="str">
            <v>Develop road map for capacitating district council accounting and auditing departments to optimally perform their functions in line with health PFM goals</v>
          </cell>
        </row>
        <row r="123">
          <cell r="U123" t="str">
            <v>Develop staff establishments for regulator council</v>
          </cell>
        </row>
        <row r="124">
          <cell r="U124" t="str">
            <v xml:space="preserve">Develop the CHRAF </v>
          </cell>
        </row>
        <row r="125">
          <cell r="U125" t="str">
            <v>develop the EHP communication strategy</v>
          </cell>
        </row>
        <row r="126">
          <cell r="U126" t="str">
            <v>Develop the PFM checlist for assessing the effectiveness of devoted budget functions</v>
          </cell>
        </row>
        <row r="127">
          <cell r="U127" t="str">
            <v>Develop the PFM for assessing the effectiveness of devoted budget functions</v>
          </cell>
        </row>
        <row r="128">
          <cell r="U128" t="str">
            <v>Development of guidelines for purchasing of essential medicines from preselected prime vendors</v>
          </cell>
        </row>
        <row r="129">
          <cell r="U129" t="str">
            <v>development of inservice training curriculum</v>
          </cell>
        </row>
        <row r="130">
          <cell r="U130" t="str">
            <v>Development of regulations on strategic health purchasing</v>
          </cell>
        </row>
        <row r="131">
          <cell r="U131" t="str">
            <v>Development of regulations on the requirement of economic evaluations for all health interventions and programs</v>
          </cell>
        </row>
        <row r="132">
          <cell r="U132" t="str">
            <v>Disseminate policy regarding the provision of resource mobilization incentives at council level</v>
          </cell>
        </row>
        <row r="133">
          <cell r="U133" t="str">
            <v>Dissemination of the district allocation formulae (DHMT,district council, facility representatives, donors)</v>
          </cell>
        </row>
        <row r="134">
          <cell r="U134" t="str">
            <v>Donor engagement</v>
          </cell>
        </row>
        <row r="135">
          <cell r="U135" t="str">
            <v xml:space="preserve">Draft a concept paper </v>
          </cell>
        </row>
        <row r="136">
          <cell r="U136" t="str">
            <v xml:space="preserve">Draft bylaws </v>
          </cell>
        </row>
        <row r="137">
          <cell r="U137" t="str">
            <v>Draft the EHP</v>
          </cell>
        </row>
        <row r="138">
          <cell r="U138" t="str">
            <v xml:space="preserve">Engage academic institutions to develop research proposals on health finance and population growth such as synthesising financial data with demographic health survey </v>
          </cell>
        </row>
        <row r="139">
          <cell r="U139" t="str">
            <v>Engage active purchasing of services from faith based facilities (CHAM and IHAM)</v>
          </cell>
        </row>
        <row r="140">
          <cell r="U140" t="str">
            <v>Engage DHRMD to conduct functional review in the district public health sector</v>
          </cell>
        </row>
        <row r="141">
          <cell r="U141" t="str">
            <v>Engage donor partners on implementation modalities of the formula.</v>
          </cell>
        </row>
        <row r="142">
          <cell r="U142" t="str">
            <v xml:space="preserve">Engage donors </v>
          </cell>
        </row>
        <row r="143">
          <cell r="U143" t="str">
            <v>Engage donors regarding co-financing mechanisms</v>
          </cell>
        </row>
        <row r="144">
          <cell r="U144" t="str">
            <v>Engage policymakers regarding issues of population growth, family planning, and health finance</v>
          </cell>
        </row>
        <row r="145">
          <cell r="U145" t="str">
            <v>Engage selected donors on streamlining approval process for funding</v>
          </cell>
        </row>
        <row r="146">
          <cell r="U146" t="str">
            <v>Engage treasury on prioritization of health infrastructure projects</v>
          </cell>
        </row>
        <row r="147">
          <cell r="U147" t="str">
            <v>Engagement between MoH and GOM on the issue</v>
          </cell>
        </row>
        <row r="148">
          <cell r="U148" t="str">
            <v>Engange treasury and NLGFC on implementation modalities of the formula</v>
          </cell>
        </row>
        <row r="149">
          <cell r="U149" t="str">
            <v>Enhance fiduciary management of the health SBS</v>
          </cell>
        </row>
        <row r="150">
          <cell r="U150" t="str">
            <v xml:space="preserve">Enroll senior staff to professional mentorship programmes in management and health financing Leadership </v>
          </cell>
        </row>
        <row r="151">
          <cell r="U151" t="str">
            <v>Establishment of an integrated health fund as a co-financing mechanism</v>
          </cell>
        </row>
        <row r="152">
          <cell r="U152" t="str">
            <v>Establishment of partnership forums - Healthy centre level</v>
          </cell>
        </row>
        <row r="153">
          <cell r="U153" t="str">
            <v>Evaluation</v>
          </cell>
        </row>
        <row r="154">
          <cell r="U154" t="str">
            <v>Evaluation of co-investments</v>
          </cell>
        </row>
        <row r="155">
          <cell r="U155" t="str">
            <v>Execution of the PBF contract</v>
          </cell>
        </row>
        <row r="156">
          <cell r="U156" t="str">
            <v>Fiduciary risk assessment</v>
          </cell>
        </row>
        <row r="157">
          <cell r="U157" t="str">
            <v>Finalise health centre management curriculum (To include issues on partnerships and health financing)</v>
          </cell>
        </row>
        <row r="158">
          <cell r="U158" t="str">
            <v>Finalise NHA institutionalisation roadmap (includes institutionalisation of resource mapping studies and the NASA)</v>
          </cell>
        </row>
        <row r="159">
          <cell r="U159" t="str">
            <v>Finalise the development of the health economics curriculum</v>
          </cell>
        </row>
        <row r="160">
          <cell r="U160" t="str">
            <v xml:space="preserve">Finalization of infrastructure management guidelines </v>
          </cell>
        </row>
        <row r="161">
          <cell r="U161" t="str">
            <v>foster partnerships for the integrated supply chain system</v>
          </cell>
        </row>
        <row r="162">
          <cell r="U162" t="str">
            <v xml:space="preserve">Hold annual health financing summit </v>
          </cell>
        </row>
        <row r="163">
          <cell r="U163" t="str">
            <v>Hosting HF data in DHIS II</v>
          </cell>
        </row>
        <row r="164">
          <cell r="U164" t="str">
            <v xml:space="preserve">identification of focal persons of the district level health financing </v>
          </cell>
        </row>
        <row r="165">
          <cell r="U165" t="str">
            <v>Identify funding and recruit council staff</v>
          </cell>
        </row>
        <row r="166">
          <cell r="U166" t="str">
            <v>Implement and monitor the PFM checklist</v>
          </cell>
        </row>
        <row r="167">
          <cell r="U167" t="str">
            <v>Implementation</v>
          </cell>
        </row>
        <row r="168">
          <cell r="U168" t="str">
            <v>Implementation of MPPS reforms</v>
          </cell>
        </row>
        <row r="169">
          <cell r="U169" t="str">
            <v>Implementation of the Biometric Software system</v>
          </cell>
        </row>
        <row r="170">
          <cell r="U170" t="str">
            <v>Implementation of the budget accountability fora</v>
          </cell>
        </row>
        <row r="171">
          <cell r="U171" t="str">
            <v>Implementation of the digital health strategy</v>
          </cell>
        </row>
        <row r="172">
          <cell r="U172" t="str">
            <v>Implementation of the health SBS</v>
          </cell>
        </row>
        <row r="173">
          <cell r="U173" t="str">
            <v xml:space="preserve">Implementation of the new reimbursement mechanism for SLAs </v>
          </cell>
        </row>
        <row r="174">
          <cell r="U174" t="str">
            <v>Implementation of the PFM roadmap</v>
          </cell>
        </row>
        <row r="175">
          <cell r="U175" t="str">
            <v xml:space="preserve">improve data for decision making for the integrated supply chain system </v>
          </cell>
        </row>
        <row r="176">
          <cell r="U176" t="str">
            <v>Improve functionality of LMIS</v>
          </cell>
        </row>
        <row r="177">
          <cell r="U177" t="str">
            <v>Introduce and sustain health facility grants (Deliverable: monthly allocations and disbursement facilities)</v>
          </cell>
        </row>
        <row r="178">
          <cell r="U178" t="str">
            <v>Introduce performance contracts between purchasers and providers</v>
          </cell>
        </row>
        <row r="179">
          <cell r="U179" t="str">
            <v xml:space="preserve">Introduce purchasing function at district councils  </v>
          </cell>
        </row>
        <row r="180">
          <cell r="U180" t="str">
            <v>Joint detailed infrastructure needs assessment</v>
          </cell>
        </row>
        <row r="181">
          <cell r="U181" t="str">
            <v xml:space="preserve">Joint monitoring of budget activities </v>
          </cell>
        </row>
        <row r="182">
          <cell r="U182" t="str">
            <v>Link the biometric software system to DHIS2</v>
          </cell>
        </row>
        <row r="183">
          <cell r="U183" t="str">
            <v>Link the biometric software system to DHIS3</v>
          </cell>
        </row>
        <row r="184">
          <cell r="U184" t="str">
            <v>Link the biometric software system to DHIS4</v>
          </cell>
        </row>
        <row r="185">
          <cell r="U185" t="str">
            <v>Link the biometric software system to DHIS5</v>
          </cell>
        </row>
        <row r="186">
          <cell r="U186" t="str">
            <v>Lobby for decentralisation of scholarship funding with health training committee</v>
          </cell>
        </row>
        <row r="187">
          <cell r="U187" t="str">
            <v>Lobby for decentralizing of account systems and personnel from the council headquarters to area development committees</v>
          </cell>
        </row>
        <row r="188">
          <cell r="U188" t="str">
            <v>Lobby for long-term leadership and governance trainings (professional/masters) to health services Administrators (enrol 35 officers)</v>
          </cell>
        </row>
        <row r="189">
          <cell r="U189" t="str">
            <v>Lobby for revision to council budget planning guidelines to incorporate district health budget planning needs (at district level)</v>
          </cell>
        </row>
        <row r="190">
          <cell r="U190" t="str">
            <v>Lobby for roll out of new IFMIS at council level and move away from paper-based approvals</v>
          </cell>
        </row>
        <row r="191">
          <cell r="U191" t="str">
            <v>Lobby that all DHMT teams across the country are trained in leadership and management provided by SDI</v>
          </cell>
        </row>
        <row r="192">
          <cell r="U192" t="str">
            <v xml:space="preserve">Lobby that other cadres at council level including DoF, DoA, and DoP are trained in leadership and management </v>
          </cell>
        </row>
        <row r="193">
          <cell r="U193" t="str">
            <v>Manage a national and international wholesale medicines price monitoring system</v>
          </cell>
        </row>
        <row r="194">
          <cell r="U194" t="str">
            <v>Monitor implementation of the formula overtime and add any changes to the formula</v>
          </cell>
        </row>
        <row r="195">
          <cell r="U195" t="str">
            <v>Monitor implementation of the formula overtime and add any changes to the formulae</v>
          </cell>
        </row>
        <row r="196">
          <cell r="U196" t="str">
            <v>Monitor performance of contracts on biannual basis</v>
          </cell>
        </row>
        <row r="197">
          <cell r="U197" t="str">
            <v>Monitor performance on contracts on biannual basis</v>
          </cell>
        </row>
        <row r="198">
          <cell r="U198" t="str">
            <v xml:space="preserve">Monitoring </v>
          </cell>
        </row>
        <row r="199">
          <cell r="U199" t="str">
            <v>Monitoring of co-investments</v>
          </cell>
        </row>
        <row r="200">
          <cell r="U200" t="str">
            <v>Monitoring of the new reimbursement mechanism for SLAs</v>
          </cell>
        </row>
        <row r="201">
          <cell r="U201" t="str">
            <v>Monitoring Provider Payment System</v>
          </cell>
        </row>
        <row r="202">
          <cell r="U202" t="str">
            <v>Monitoring the execution of the PBF contract</v>
          </cell>
        </row>
        <row r="203">
          <cell r="U203" t="str">
            <v xml:space="preserve">Negotiating contracts with interested partners </v>
          </cell>
        </row>
        <row r="204">
          <cell r="U204" t="str">
            <v>Performance monitoring of district SBS</v>
          </cell>
        </row>
        <row r="205">
          <cell r="U205" t="str">
            <v>Performance monitoring of SBS</v>
          </cell>
        </row>
        <row r="206">
          <cell r="U206" t="str">
            <v>Planning and organization</v>
          </cell>
        </row>
        <row r="207">
          <cell r="U207" t="str">
            <v>Provide long-term technical assistance to CSOs in drafting resource mobilisation proposals</v>
          </cell>
        </row>
        <row r="208">
          <cell r="U208" t="str">
            <v>Provide scholarships in health economics and health financing</v>
          </cell>
        </row>
        <row r="209">
          <cell r="U209" t="str">
            <v xml:space="preserve">Quarterly reporting for optional paying services </v>
          </cell>
        </row>
        <row r="210">
          <cell r="U210" t="str">
            <v>Recruitment of 3 consultants (1 doctor, 1 nurse and 1 pharmacist) to lead the process of revising the MSTG, EML, MHL and TML</v>
          </cell>
        </row>
        <row r="211">
          <cell r="U211" t="str">
            <v>Resource mobilization capacity needs assessment at national and district level</v>
          </cell>
        </row>
        <row r="212">
          <cell r="U212" t="str">
            <v>Review and harmonize chart of accounts for the health sector at the national and district-level</v>
          </cell>
        </row>
        <row r="213">
          <cell r="U213" t="str">
            <v>Review and revise TORs for the health financing TWG</v>
          </cell>
        </row>
        <row r="214">
          <cell r="U214" t="str">
            <v xml:space="preserve">Review and update assessment on mixed provider payment system for the health sector </v>
          </cell>
        </row>
        <row r="215">
          <cell r="U215" t="str">
            <v xml:space="preserve">Review and update PFM capacity assessments results for district council and health provider levels (Deliverable: Updated PFM Assessment Report) </v>
          </cell>
        </row>
        <row r="216">
          <cell r="U216" t="str">
            <v xml:space="preserve">Review of MOU with partners </v>
          </cell>
        </row>
        <row r="217">
          <cell r="U217" t="str">
            <v xml:space="preserve">Review SLAs guidelines </v>
          </cell>
        </row>
        <row r="218">
          <cell r="U218" t="str">
            <v>Review TORs of the Health Financing TWG as part of holistic review of health TWG arrangements at national levels</v>
          </cell>
        </row>
        <row r="219">
          <cell r="U219" t="str">
            <v>Reviewing aid coordination guidelines</v>
          </cell>
        </row>
        <row r="220">
          <cell r="U220" t="str">
            <v xml:space="preserve">Revise financial management guidelines for the optional paying services in 
central hospitals
</v>
          </cell>
        </row>
        <row r="221">
          <cell r="U221" t="str">
            <v xml:space="preserve">Revise financial management guidelines for the optional paying services in central hospitals
</v>
          </cell>
        </row>
        <row r="222">
          <cell r="U222" t="str">
            <v>Roll out health centre management curriculum to health centre managers</v>
          </cell>
        </row>
        <row r="223">
          <cell r="U223" t="str">
            <v>Roll out IFMIS at sub-national levels in line with health budget management and expenditure requirements</v>
          </cell>
        </row>
        <row r="224">
          <cell r="U224" t="str">
            <v>Routine Monitoring on purchaser’s provider</v>
          </cell>
        </row>
        <row r="225">
          <cell r="U225" t="str">
            <v>Secure establishment warrant for the councils</v>
          </cell>
        </row>
        <row r="226">
          <cell r="U226" t="str">
            <v xml:space="preserve">Sensitization of the communities </v>
          </cell>
        </row>
        <row r="227">
          <cell r="U227" t="str">
            <v>Set up a health trust fund</v>
          </cell>
        </row>
        <row r="228">
          <cell r="U228" t="str">
            <v>Set up a mechanism for purchasing of rare conditions medicines as a region</v>
          </cell>
        </row>
        <row r="229">
          <cell r="U229" t="str">
            <v>Set up a steering committee for SBS</v>
          </cell>
        </row>
        <row r="230">
          <cell r="U230" t="str">
            <v>Set up an online system for monitoring of the new reimbursement mechanism for SLAs</v>
          </cell>
        </row>
        <row r="231">
          <cell r="U231" t="str">
            <v>Set-up a mechanism for termination of Buy-Malawi Strategy for medicines and medical equipment not manufactured in Malawi</v>
          </cell>
        </row>
        <row r="232">
          <cell r="U232" t="str">
            <v>set-up consultative meetings with MOF, donors, and central government implementers</v>
          </cell>
        </row>
        <row r="233">
          <cell r="U233" t="str">
            <v>Stakeholder analysis</v>
          </cell>
        </row>
        <row r="234">
          <cell r="U234" t="str">
            <v>Strengthen capacity of accounting staff in the audit function</v>
          </cell>
        </row>
        <row r="235">
          <cell r="U235" t="str">
            <v>Strengthen district partnerships forum to discuss health financing issues</v>
          </cell>
        </row>
        <row r="236">
          <cell r="U236" t="str">
            <v>Strengthen Public financial management and accounting capacity at national, district council and sub district levels</v>
          </cell>
        </row>
        <row r="237">
          <cell r="U237" t="str">
            <v>Strengthening capacities of accountant staff to sustain/manage PFM</v>
          </cell>
        </row>
        <row r="238">
          <cell r="U238" t="str">
            <v xml:space="preserve">Subscribe to PPP health for All </v>
          </cell>
        </row>
        <row r="239">
          <cell r="U239" t="str">
            <v>Support educational and research collaborations between academic institutions by providing health financing and demography courses</v>
          </cell>
        </row>
        <row r="240">
          <cell r="U240" t="str">
            <v>Support resource mobilization capacity through longer term technical assistance at national and district level</v>
          </cell>
        </row>
        <row r="241">
          <cell r="U241" t="str">
            <v xml:space="preserve">Sustain multi-sectoral committee on sustainable health financing </v>
          </cell>
        </row>
        <row r="242">
          <cell r="U242" t="str">
            <v>TOT existing staff (HFD and researchers) based on the HF advocacy curriculum</v>
          </cell>
        </row>
        <row r="243">
          <cell r="U243" t="str">
            <v>train CSOs based on the resource mobilization manual</v>
          </cell>
        </row>
        <row r="244">
          <cell r="U244" t="str">
            <v>Train focal persons in basic health financing issues</v>
          </cell>
        </row>
        <row r="245">
          <cell r="U245" t="str">
            <v>Train other key health financing constituencies in health financing advocacy (parliamentary committee on health, NGO Board) based on the HF advocacy curriculum</v>
          </cell>
        </row>
        <row r="246">
          <cell r="U246" t="str">
            <v>Train users of the system</v>
          </cell>
        </row>
        <row r="247">
          <cell r="U247" t="str">
            <v>Training of frontline service providers on the SOPs</v>
          </cell>
        </row>
        <row r="248">
          <cell r="U248" t="str">
            <v>Training of trainers for existing accounting and auditing personnel at national and district council level to resolve bottlenecks identified in the PFM assessments and routine audits</v>
          </cell>
        </row>
        <row r="249">
          <cell r="U249" t="str">
            <v>Undergo trainings of PPPs</v>
          </cell>
        </row>
        <row r="250">
          <cell r="U250" t="str">
            <v>Undertake additional data collection to fill in the gaps</v>
          </cell>
        </row>
        <row r="251">
          <cell r="U251" t="str">
            <v>Undertake additional data collection to fill in the gaps on EEL</v>
          </cell>
        </row>
        <row r="252">
          <cell r="U252" t="str">
            <v>Undertake additional data collection to fill in the gaps.</v>
          </cell>
        </row>
        <row r="253">
          <cell r="U253" t="str">
            <v xml:space="preserve">Undertake capacity needs assessment for implementing HFS across these dimensions: financing, staffing, leadership, technical skills, and key ministries </v>
          </cell>
        </row>
        <row r="254">
          <cell r="U254" t="str">
            <v>Work with Treasury and NLGFC to update PFM guidelines and budget management tools at district council level to accommodate peripheral health facilities as spending entities</v>
          </cell>
        </row>
        <row r="255">
          <cell r="U255" t="str">
            <v>(blank)</v>
          </cell>
        </row>
        <row r="256">
          <cell r="U256">
            <v>0</v>
          </cell>
        </row>
        <row r="257">
          <cell r="U257">
            <v>0</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Instructions"/>
      <sheetName val="Checks"/>
      <sheetName val="Strategy Overview"/>
      <sheetName val="Inputs_Assumptions"/>
      <sheetName val="Budget summary"/>
      <sheetName val="Detailed budget"/>
      <sheetName val="Cost and Salary Assumptions"/>
      <sheetName val="Budget Assist"/>
      <sheetName val="lookup_tables"/>
      <sheetName val="strategy_helper"/>
      <sheetName val="dd_lists"/>
      <sheetName val="Reference__&gt;"/>
      <sheetName val="Sheet1"/>
      <sheetName val="REF| Health Facilities"/>
      <sheetName val="REF| Current Staffing"/>
      <sheetName val="REF | Cost Assumptions"/>
      <sheetName val="REF | Med Equip"/>
      <sheetName val="REF| HSA Staffing"/>
      <sheetName val="REF| Salaries"/>
      <sheetName val="REF| Infrastructure"/>
      <sheetName val="dropdowns_old"/>
      <sheetName val="REF| Distance Chart"/>
      <sheetName val="Summary Figures"/>
    </sheetNames>
    <sheetDataSet>
      <sheetData sheetId="0"/>
      <sheetData sheetId="1"/>
      <sheetData sheetId="2"/>
      <sheetData sheetId="3"/>
      <sheetData sheetId="4">
        <row r="8">
          <cell r="C8" t="str">
            <v>Objective</v>
          </cell>
        </row>
      </sheetData>
      <sheetData sheetId="5"/>
      <sheetData sheetId="6"/>
      <sheetData sheetId="7"/>
      <sheetData sheetId="8"/>
      <sheetData sheetId="9"/>
      <sheetData sheetId="10"/>
      <sheetData sheetId="11">
        <row r="1">
          <cell r="C1" t="str">
            <v>Allowance</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lit Sharma" refreshedDate="44819.61595590278" createdVersion="8" refreshedVersion="8" minRefreshableVersion="3" recordCount="89" xr:uid="{2CDB77E7-C78B-4857-A4E3-D2BD85B31066}">
  <cacheSource type="worksheet">
    <worksheetSource ref="R6:V95" sheet="Pivot Activity and HSSP Output"/>
  </cacheSource>
  <cacheFields count="5">
    <cacheField name="8.1" numFmtId="0">
      <sharedItems/>
    </cacheField>
    <cacheField name="8.1 To mobilize adequate, sustainable, and predictable funds for the health sector to optimally delivery essential health services" numFmtId="0">
      <sharedItems count="4">
        <s v="8.1 To mobilize adequate, sustainable, and predictable funds for the health sector to optimally delivery essential health services"/>
        <s v="8.2 Improvement of efficiency and equity in pooling and management of resources for the health sector"/>
        <s v="8.3 Development and implementation of strategic purchasing measures across the healthcare service delivery continuum"/>
        <s v="8.4 To establish and strengthen institutional arrangements and systems for effective health financing at all levels of the health system"/>
      </sharedItems>
    </cacheField>
    <cacheField name="8.1.1" numFmtId="0">
      <sharedItems/>
    </cacheField>
    <cacheField name="8.1.1 Improve efficiency across all health system functions at all levels of the healthcare delivery system" numFmtId="0">
      <sharedItems count="16">
        <s v="8.1.1 Improve efficiency across all health system functions at all levels of the healthcare delivery system"/>
        <s v="8.1.2 Enhance participation of communities in financing of public health services"/>
        <s v="8.1.3 Improve and scale up optional paying services in public facilities"/>
        <s v="8.1.4 Increase external funding to the health sector2"/>
        <s v="8.1.5 Improve financing of family planning using domestic resources"/>
        <s v="8.1.6 Introduce innovative health financing mechanisms"/>
        <s v="8.2.1 Reduce fragmentation of health sector funding"/>
        <s v="8.2.2 Strengthen leadership, governance, and accountability mechanisms to ensure harmonization of health financing decision-making across all levels of the health system"/>
        <s v="8.2.3 Improve management and accountability of government and donor funds"/>
        <s v="8.3.1 Define and implement benefit packages for all levels of care"/>
        <s v="8.3.2 Develop and implement effective strategic resource allocation and use measures across the healthcare delivery "/>
        <s v="8.3.3 Develop and implement effective provider payment mechanisms"/>
        <s v="8.4.1 Strengthen institutional capacity in health financing and PFM to effectively implement the Health Financing Strategy "/>
        <s v="8.4.2 Strengthen generation and use of evidence in health financing decision making at all levels "/>
        <s v="8.4.3 Strengthen the advocacy capacity for the Health Financing Strategy "/>
        <s v="8.4.4 Strengthen the legal, regulatory and policy frameworks for health financing "/>
      </sharedItems>
    </cacheField>
    <cacheField name="Conduct biennial efficiency analysis across programs to inform reallocation of resources. The focus will be on high expenditure areas such as HIV/AIDS, Malaria and Reproductive Health, EPI, Tuberculosis and Covid-19"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lit Sharma" refreshedDate="44819.617286689812" createdVersion="8" refreshedVersion="8" minRefreshableVersion="3" recordCount="2859" xr:uid="{00000000-000A-0000-FFFF-FFFF00000000}">
  <cacheSource type="worksheet">
    <worksheetSource ref="A1:AL4000" sheet="Aggregated"/>
  </cacheSource>
  <cacheFields count="38">
    <cacheField name=" HFS File Coding" numFmtId="0">
      <sharedItems containsBlank="1"/>
    </cacheField>
    <cacheField name="HSSP 3 Coding_x000a_(Objective)" numFmtId="0">
      <sharedItems containsString="0" containsBlank="1" containsNumber="1" containsInteger="1" minValue="1" maxValue="4" count="5">
        <n v="1"/>
        <n v="2"/>
        <n v="3"/>
        <n v="4"/>
        <m/>
      </sharedItems>
    </cacheField>
    <cacheField name="Objective" numFmtId="0">
      <sharedItems containsBlank="1" count="5">
        <s v="To mobilize adequate, sustainable, and predictable funds for the health sector to optimally delivery essential health services"/>
        <s v="Improvement of efficiency and equity in pooling and management of resources for the health sector"/>
        <s v="Development and implementation of strategic purchasing measures across the healthcare service delivery continuum"/>
        <s v="To establish and strengthen institutional arrangements and systems for effective health financing at all levels of the health system"/>
        <m/>
      </sharedItems>
    </cacheField>
    <cacheField name="HSSP 3 Coding_x000a_(Strategy)" numFmtId="0">
      <sharedItems containsBlank="1" count="7">
        <s v="1"/>
        <s v="2"/>
        <s v="3"/>
        <s v="4"/>
        <s v="5"/>
        <s v="6"/>
        <m/>
      </sharedItems>
    </cacheField>
    <cacheField name="Strategy" numFmtId="0">
      <sharedItems containsBlank="1" count="17">
        <s v="Improve efficiency across all health system functions at all levels of the healthcare delivery system"/>
        <s v="Enhance participation of communities in financing of public health services"/>
        <s v="Improve and scale up optional paying services in public facilities"/>
        <s v="Increase external funding to the health sector"/>
        <s v="Improve financing of family planning using domestic resources"/>
        <s v="Introduce innovative health financing mechanisms"/>
        <s v="Reduce fragmentation of health sector funding"/>
        <s v="Strengthen leadership, governance, and accountability mechanisms to ensure harmonization of health financing decision-making across all levels of the health system"/>
        <s v="Improve management and accountability of government and donor funds"/>
        <s v="Define and implement benefit packages for all levels of care"/>
        <s v="Develop and implement effective strategic resource allocation and use measures across the healthcare delivery "/>
        <s v="Develop and implement effective provider payment mechanisms"/>
        <s v="Strengthen institutional capacity in health financing and PFM to effectively implement the Health Financing Strategy "/>
        <s v="Strengthen generation and use of evidence in health financing decision making at all levels "/>
        <s v="Strengthen the advocacy capacity for the Health Financing Strategy "/>
        <s v="Strengthen the legal, regulatory and policy frameworks for health financing "/>
        <m/>
      </sharedItems>
    </cacheField>
    <cacheField name="HSSP 3 Coding_x000a_(Activity)" numFmtId="0">
      <sharedItems containsString="0" containsBlank="1" containsNumber="1" containsInteger="1" minValue="1" maxValue="14"/>
    </cacheField>
    <cacheField name="HSSP 3 Combined Coding (Activity)" numFmtId="0">
      <sharedItems containsBlank="1" count="91">
        <s v="1.1.1"/>
        <s v="1.1.2"/>
        <s v="1.1.3"/>
        <s v="1.1.4"/>
        <s v="1.1.5"/>
        <s v="1.1.6"/>
        <s v="1.1.7"/>
        <s v="1.1.8"/>
        <s v="1.1.9"/>
        <s v="1.1.10"/>
        <s v="1.1.11"/>
        <s v="1.1.12"/>
        <s v="1.1.13"/>
        <s v="1.1.14"/>
        <s v="1.2.1"/>
        <s v="1.2.2"/>
        <s v="1.2.3"/>
        <s v="1.2.4"/>
        <s v="1.3.1"/>
        <s v="1.3.2"/>
        <s v="1.3.3"/>
        <s v="1.3.4"/>
        <s v="1.3.5"/>
        <s v="1.3.6"/>
        <s v="1.4.1"/>
        <s v="1.4.2"/>
        <s v="1.4.3"/>
        <s v="1.5.1"/>
        <s v="1.5.2"/>
        <s v="1.5.3"/>
        <s v="1.5.4"/>
        <s v="1.6.1"/>
        <s v="1.6.2"/>
        <s v="1.6.3"/>
        <s v="1.6.4"/>
        <s v="2.1.1"/>
        <s v="2.1.2"/>
        <s v="2.1.3"/>
        <s v="2.1.4"/>
        <s v="2.2.1"/>
        <s v="2.2.2"/>
        <s v="2.3.1"/>
        <s v="2.3.2"/>
        <s v="2.3.3"/>
        <s v="2.3.4"/>
        <s v="2.3.5"/>
        <s v="2.3.6"/>
        <s v="3.1.1"/>
        <s v="3.1.2"/>
        <s v="3.1.3"/>
        <s v="3.1.4"/>
        <s v="3.2.1"/>
        <s v="3.2.2"/>
        <s v="3.2.3"/>
        <s v="3.2.4"/>
        <s v="3.2.5"/>
        <s v="3.2.6"/>
        <s v="3.2.7"/>
        <s v="3.3.1"/>
        <s v="3.3.2"/>
        <s v="3.3.3"/>
        <s v="3.3.4"/>
        <s v="3.3.5"/>
        <s v="4.1.1"/>
        <s v="4.1.2"/>
        <s v="4.1.3"/>
        <s v="4.1.4"/>
        <s v="4.1.5"/>
        <s v="4.1.6"/>
        <s v="4.1.7"/>
        <s v="4.2.1"/>
        <s v="4.2.2"/>
        <s v="4.2.3"/>
        <s v="4.2.4"/>
        <s v="4.2.5"/>
        <s v="4.3.1"/>
        <s v="4.3.2"/>
        <s v="4.3.3"/>
        <s v="4.3.4"/>
        <s v="4.3.5"/>
        <s v="4.4.1"/>
        <s v="4.4.2"/>
        <s v="4.4.3"/>
        <s v="4.4.4"/>
        <s v="4.4.5"/>
        <s v="4.4.6"/>
        <s v="4.4.7"/>
        <s v="4.4.8"/>
        <s v="4.4.9"/>
        <s v="4.4.10"/>
        <m/>
      </sharedItems>
    </cacheField>
    <cacheField name="Activity" numFmtId="0">
      <sharedItems containsBlank="1" count="91">
        <s v="Conduct biennial efficiency analysis across programs to inform reallocation of resources. The focus will be on high expenditure areas such as HIV/AIDS, Malaria and Reproductive Health, EPI, Tuberculosis and Covid-19"/>
        <s v=" Rationalize implementation of in-service training"/>
        <s v="Promote supply chain integration"/>
        <s v="Promote end to end tracking of medicines and medical supplies (e.g., To monitor potential expiry of medicines)"/>
        <s v="Build drug theft investigation capacity at councils"/>
        <s v="Improve contract management of public health infrastructure projects"/>
        <s v="Establish active price monitoring mechanisms to support efficient procurement of medicines"/>
        <s v="Lobby for the enforcement of direct sourcing of medicines e.g. buying as a regional bloc"/>
        <s v="Lobby for termination of buy malawi stratergy for medicine and medical equipment not manufactured in malawi"/>
        <s v="Introduce flexibility in the medicines budget at district level to purchase medicines from prime vendors when there is a stock out at CMST"/>
        <s v="Introduce e-procurement mechanism at the CMST"/>
        <s v="Implement CMST reforms based on CMST efficiency analysis"/>
        <s v="Enforce adherence to the Capital Investment Plan (CIP)"/>
        <s v="Establish a medicines manufacturing plant for medicines that are high I demand and  use. These include antiretrivial, anti malarial and reproductive health products. The plant could either be in country or regional."/>
        <s v="Develop grant making and governance capabilities for decentralized and community health oversight structures and mechanisms"/>
        <s v="Facilitate community level revenue mobilization mechanisms  "/>
        <s v="Mobilize citizen engagement into innovative financing mechanisms e.g. citizen involvement in Malaria Fund  as contributors and efficiency watchdogs"/>
        <s v="Establish community prepayment mechanisms"/>
        <s v="Improve infrastructure, human resources, medical equipment and medical supplies capacity for optional paying services"/>
        <s v="Improve the financial management and accountability of the optional paying service"/>
        <s v="Improve stakeholder engagement on optional paying services. The stakeholders include civil society organizations, communities, the Ministry of Finance and donors"/>
        <s v="Revise operational guidelines for optional paying services in public health facilities (including defining human resource organisation for optional paying service)"/>
        <s v="Improve monitoring of optional paying services"/>
        <s v="conduct economic evaluation of optional paying services "/>
        <s v="Devise and implement sustainability mechanisms for donor funded interventions. The emphasis will be on introducing co-financing models between Government and donor"/>
        <s v="Introduce incentives to individuals and institutions to encourage external resource mobilization"/>
        <s v="Develop capacity for pro-active external resource mobilization to meet domestic gaps"/>
        <s v="Increase domestic resources for procurement of family planning (FP) products and implementation of FP programs through introduction of mutually binding co-investments in FP products "/>
        <s v="Improve performance of budget execution of FP products and programs, including through actual allocation of agreed upon finances under the co-financing agreement"/>
        <s v="Increase research and training on the interface of health financing and population growth"/>
        <s v="Increase advocacy among stakeholders on family planning and population growth as key health financing issues"/>
        <s v="Implement public private partnerships in health across all health system functions to achieve efficiency and mobilize additional financing and"/>
        <s v="Engage financiers and the Treasury on the introduction of social bonds for selected health issues"/>
        <s v="Explore the possibility of health debt-buy downs"/>
        <s v="Explore hypothecated taxes on mobile money payments, alcohol, sugary drinks, tobacco and other potential areas for “sin taxes”."/>
        <s v="Design and implement an enhanced HSJF mechanism  managed by a fiduciary agent/ Reinstate the Sector Budget Support to the Sector Wide Approach (SWAp) under the management of a fiduciary agent at central level"/>
        <s v="Coordinate budget planning, allocation, execution, and evaluation between partners and GOM at all level, including through HSSP Operational Plan"/>
        <s v="Develop a standard bylaw for all District Councils in collaboration with the Ministry of Local Government on enforcing the compliance of implementing partners to partner coordination requirements set by the District Council"/>
        <s v="Introduce the Sector Budget Support to the District Health Budgets"/>
        <s v="Scale up DHMT leadership &amp; management curriculum to additional districts and to additional cadres at the district level, including subsequent coaching &amp; mentorship with a focus on partner coordination"/>
        <s v="Revisit the requirements for leadership at the district level through the functional review process"/>
        <s v="Reduce the administrative burden of the approval process by seeking efficiencies in the internal controls process"/>
        <s v="Decentralize management of donor funds that are under the management of Government (e.g., Global Fund, GAVI, HSJF)."/>
        <s v="Enhance capacity for fiduciary risk assessment and management "/>
        <s v="Incentivize optimal disbursements and execution of government and donor funds"/>
        <s v="Capacitate national and subnational levels to undertake government and donor funded procurements"/>
        <s v="Conduct periodic absorption capacity assessments"/>
        <s v="Clearly articulate the parameters involved in the redefinition of the new EHP for primary/secondary/tertiary care, set conditions, governance structures, and timelines for revisions"/>
        <s v="Revise the essential medicines list, must-have lists, and tracer medicines list to align with the new EHP and disseminate the same"/>
        <s v="Revise the essential Equipment list to align with the new EHP and disseminate the same"/>
        <s v="Disseminate, implement and monitor the implementation of the new tiered BHP"/>
        <s v="Facilitate implementation of the district resource allocation formula including for donor or partner resources"/>
        <s v="Develop resource allocation framework for tertiary care"/>
        <s v="Implementation of the CHRAF"/>
        <s v="Develop intra-district resource allocation formula"/>
        <s v="Monitoring effectiveness and informing Devolution of budget planning, execution and evaluation at council level"/>
        <s v="Monitor the effectiveness of using the PFM system as a tool for strategic allocation and use of resources"/>
        <s v="Digitize health care delivery in a way that integrates and captures health care provision, health financing and expenditure information"/>
        <s v="Decentralise the district health budget to peripheral health facilities (Provider level)"/>
        <s v="Negotiate with Treasury to modify PFM rules to allow for purchaser-provider split and flexibility of spending"/>
        <s v="Establish a regulatory council for medical schemes to regulate tariffs, ethical health care delivery and adjudicate disputes between providers and payers"/>
        <s v="Strengthen financial management and accounting capacity at the District Council and sub-district levels"/>
        <s v="Roll out PBF implementation mechanisms"/>
        <s v="Develop and sustain active purchasing capacity in the health financing division "/>
        <s v="Capacitate relevant government institutions to coordinate, implement and monitor the health financing strategy"/>
        <s v="Capacitate councils to implement the health financing strategy"/>
        <s v="Develop and sustain collaboration mechanisms between key ministries, Departments and Agencies for effective implementation of the Health Financing Strategy"/>
        <s v="Develop capacity for donor and aid coordination at all levels"/>
        <s v="Develop and sustain TWG governance arrangements for health financing at all levels"/>
        <s v="Develop capacity in the HFD to biennial conduct UHC studies"/>
        <s v="Develop capacities in health financing analysis and evidence use at all levels of the health system (Knowledge capacity, resource capacity, human capacity)"/>
        <s v="Develop capacities of health economics and health financing of research institutions"/>
        <s v="Institutionalise public expenditure review studies at national and decentralised levels"/>
        <s v="Conduct needs assessment and commission studies in key areas of health financing of the Strategy"/>
        <s v="Develop capacity for the MoH to lead in health PPPs"/>
        <s v="Create a coherent framework for communicating key messages of the HFS"/>
        <s v="Develop and sustain capacity of advocacy institutions"/>
        <s v="Develop and sustain advocacy platforms to undertake lobbying and communication activities"/>
        <s v="Facilitate resource mobilization and communication function of the advocacy strategy for health financing"/>
        <s v=" Improve the legal and policy environment for voluntary health insurance"/>
        <s v="Introduce legislation on voluntary health insurance to guide the sector and to firmly place the role of the health sector in private health insurance"/>
        <s v="Introduce regulations on strategic health purchasing"/>
        <s v="Introduce the public health budget accountability forum"/>
        <s v="Introduce a law on the establishment of a trust fund in health"/>
        <s v="Introduce regulations or policies requiring economic evaluation for new and current programs to aid the achievement of efficiency"/>
        <s v="Update terms of reference for the Health Financing TWG so it can effectively carry out its mandate"/>
        <s v="Revise the memorandum of understanding with the private sector, including the faith-based organizations in pursuit of UHC goals and value for money"/>
        <s v="Introduce regulation or policy for allowing limited purchase of essential medicines from preselected prime vendors, in the event that the CMST does not have such medicines or commodities in stock and"/>
        <s v="Re-introduce the annual health financing summit."/>
        <s v="Introduce legislation on national health financing to aid the implementation of community and individual contributions towards health financing, enforceability of the essential health package, and improved provider payment mechanisms."/>
        <m/>
      </sharedItems>
    </cacheField>
    <cacheField name="Sub-activity" numFmtId="0">
      <sharedItems containsBlank="1"/>
    </cacheField>
    <cacheField name="Operational level activity" numFmtId="0">
      <sharedItems containsBlank="1" longText="1"/>
    </cacheField>
    <cacheField name="cost item" numFmtId="0">
      <sharedItems containsBlank="1" containsMixedTypes="1" containsNumber="1" minValue="0" maxValue="10220000"/>
    </cacheField>
    <cacheField name="Cost" numFmtId="0">
      <sharedItems containsString="0" containsBlank="1" containsNumber="1" minValue="0" maxValue="5400000000"/>
    </cacheField>
    <cacheField name="Y1 No of persons/Quantity" numFmtId="0">
      <sharedItems containsString="0" containsBlank="1" containsNumber="1" containsInteger="1" minValue="0" maxValue="250000"/>
    </cacheField>
    <cacheField name="Y1 Frequency" numFmtId="0">
      <sharedItems containsString="0" containsBlank="1" containsNumber="1" minValue="0" maxValue="120"/>
    </cacheField>
    <cacheField name="Year 1 Total Cost" numFmtId="0">
      <sharedItems containsString="0" containsBlank="1" containsNumber="1" minValue="0" maxValue="9000000000"/>
    </cacheField>
    <cacheField name="Y2 No of persons/Quantity" numFmtId="0">
      <sharedItems containsString="0" containsBlank="1" containsNumber="1" containsInteger="1" minValue="0" maxValue="135000"/>
    </cacheField>
    <cacheField name="Y2 Frequency" numFmtId="0">
      <sharedItems containsString="0" containsBlank="1" containsNumber="1" minValue="0" maxValue="8000"/>
    </cacheField>
    <cacheField name="Year 2 Total Cost" numFmtId="0">
      <sharedItems containsString="0" containsBlank="1" containsNumber="1" minValue="0" maxValue="9143368776"/>
    </cacheField>
    <cacheField name="Y3 No of persons/Quantity" numFmtId="0">
      <sharedItems containsString="0" containsBlank="1" containsNumber="1" containsInteger="1" minValue="0" maxValue="135000"/>
    </cacheField>
    <cacheField name="Y3 Frequency" numFmtId="0">
      <sharedItems containsString="0" containsBlank="1" containsNumber="1" containsInteger="1" minValue="0" maxValue="16736"/>
    </cacheField>
    <cacheField name="Year 3 Total Cost" numFmtId="0">
      <sharedItems containsString="0" containsBlank="1" containsNumber="1" minValue="0" maxValue="10450149071.741467"/>
    </cacheField>
    <cacheField name="Y4 No of persons/Quantity" numFmtId="0">
      <sharedItems containsString="0" containsBlank="1" containsNumber="1" containsInteger="1" minValue="0" maxValue="135000"/>
    </cacheField>
    <cacheField name="Y4 Frequency" numFmtId="0">
      <sharedItems containsString="0" containsBlank="1" containsNumber="1" minValue="0" maxValue="4000"/>
    </cacheField>
    <cacheField name="Year 4 Total Cost" numFmtId="0">
      <sharedItems containsString="0" containsBlank="1" containsNumber="1" minValue="0" maxValue="11943695840.888287"/>
    </cacheField>
    <cacheField name="Y5 No of persons/Quantity" numFmtId="0">
      <sharedItems containsString="0" containsBlank="1" containsNumber="1" containsInteger="1" minValue="0" maxValue="140000"/>
    </cacheField>
    <cacheField name="Y5 Frequency" numFmtId="0">
      <sharedItems containsString="0" containsBlank="1" containsNumber="1" minValue="0" maxValue="4000"/>
    </cacheField>
    <cacheField name="Year 5 Total Cost" numFmtId="0">
      <sharedItems containsString="0" containsBlank="1" containsNumber="1" minValue="0" maxValue="13650701952.702375"/>
    </cacheField>
    <cacheField name="Y6 No of persons/Quantity" numFmtId="0">
      <sharedItems containsString="0" containsBlank="1" containsNumber="1" containsInteger="1" minValue="0" maxValue="135000"/>
    </cacheField>
    <cacheField name="Y6 Frequency" numFmtId="0">
      <sharedItems containsString="0" containsBlank="1" containsNumber="1" minValue="0" maxValue="16736"/>
    </cacheField>
    <cacheField name="Year 6 Total Cost" numFmtId="0">
      <sharedItems containsString="0" containsBlank="1" containsNumber="1" minValue="0" maxValue="10531130794.156782"/>
    </cacheField>
    <cacheField name="Y7 No of persons/Quantity" numFmtId="0">
      <sharedItems containsString="0" containsBlank="1" containsNumber="1" containsInteger="1" minValue="0" maxValue="135000"/>
    </cacheField>
    <cacheField name="Y7 Frequency" numFmtId="0">
      <sharedItems containsString="0" containsBlank="1" containsNumber="1" containsInteger="1" minValue="0" maxValue="120"/>
    </cacheField>
    <cacheField name="Year 7 Total Cost" numFmtId="0">
      <sharedItems containsString="0" containsBlank="1" containsNumber="1" minValue="0" maxValue="18366428306.230217"/>
    </cacheField>
    <cacheField name="Y8 No of persons/Quantity" numFmtId="0">
      <sharedItems containsString="0" containsBlank="1" containsNumber="1" containsInteger="1" minValue="0" maxValue="135000"/>
    </cacheField>
    <cacheField name="Y8 Frequency" numFmtId="0">
      <sharedItems containsString="0" containsBlank="1" containsNumber="1" containsInteger="1" minValue="0" maxValue="120"/>
    </cacheField>
    <cacheField name="Year 8 Total Cost" numFmtId="0">
      <sharedItems containsString="0" containsBlank="1" containsNumber="1" minValue="0" maxValue="13756485836.618185"/>
    </cacheField>
    <cacheField name="TOTAL (MWK)" numFmtId="0">
      <sharedItems containsString="0" containsBlank="1" containsNumber="1" minValue="0" maxValue="72225711248.582306"/>
    </cacheField>
    <cacheField name="TOTAL (US$)" numFmtId="0">
      <sharedItems containsString="0" containsBlank="1" containsNumber="1" minValue="0" maxValue="70122049.75590515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
  <r>
    <s v="8.1"/>
    <x v="0"/>
    <s v="8.1.1"/>
    <x v="0"/>
    <s v=" Rationalize implementation of in-service training"/>
  </r>
  <r>
    <s v="8.1"/>
    <x v="0"/>
    <s v="8.1.1"/>
    <x v="0"/>
    <s v="Promote supply chain integration"/>
  </r>
  <r>
    <s v="8.1"/>
    <x v="0"/>
    <s v="8.1.1"/>
    <x v="0"/>
    <s v="Promote end to end tracking of medicines and medical supplies (e.g., To monitor potential expiry of medicines)"/>
  </r>
  <r>
    <s v="8.1"/>
    <x v="0"/>
    <s v="8.1.1"/>
    <x v="0"/>
    <s v="Build drug theft investigation capacity at councils"/>
  </r>
  <r>
    <s v="8.1"/>
    <x v="0"/>
    <s v="8.1.1"/>
    <x v="0"/>
    <s v="Improve contract management of public health infrastructure projects"/>
  </r>
  <r>
    <s v="8.1"/>
    <x v="0"/>
    <s v="8.1.1"/>
    <x v="0"/>
    <s v="Establish active price monitoring mechanisms to support efficient procurement of medicines"/>
  </r>
  <r>
    <s v="8.1"/>
    <x v="0"/>
    <s v="8.1.1"/>
    <x v="0"/>
    <s v="Lobby for the enforcement of direct sourcing of medicines e.g. buying as a regional bloc"/>
  </r>
  <r>
    <s v="8.1"/>
    <x v="0"/>
    <s v="8.1.1"/>
    <x v="0"/>
    <s v="Lobby for termination of buy malawi stratergy for medicine and medical equipment not manufactured in malawi"/>
  </r>
  <r>
    <s v="8.1"/>
    <x v="0"/>
    <s v="8.1.1"/>
    <x v="0"/>
    <s v="Introduce flexibility in the medicines budget at district level to purchase medicines from prime vendors when there is a stock out at CMST"/>
  </r>
  <r>
    <s v="8.1"/>
    <x v="0"/>
    <s v="8.1.1"/>
    <x v="0"/>
    <s v="Introduce e-procurement mechanism at the CMST"/>
  </r>
  <r>
    <s v="8.1"/>
    <x v="0"/>
    <s v="8.1.1"/>
    <x v="0"/>
    <s v="Implement CMST reforms based on CMST efficiency analysis"/>
  </r>
  <r>
    <s v="8.1"/>
    <x v="0"/>
    <s v="8.1.1"/>
    <x v="0"/>
    <s v="Enforce adherence to the Capital Investment Plan (CIP)"/>
  </r>
  <r>
    <s v="8.1"/>
    <x v="0"/>
    <s v="8.1.1"/>
    <x v="0"/>
    <s v="Establish a medicines manufacturing plant for medicines that are high I demand and  use. These include antiretrivial, anti malarial and reproductive health products. The plant could either be in country or regional."/>
  </r>
  <r>
    <s v="8.1"/>
    <x v="0"/>
    <s v="8.1.2"/>
    <x v="1"/>
    <s v="Develop grant making and governance capabilities for decentralized and community health oversight structures and mechanisms"/>
  </r>
  <r>
    <s v="8.1"/>
    <x v="0"/>
    <s v="8.1.2"/>
    <x v="1"/>
    <s v="Facilitate community level revenue mobilization mechanisms  "/>
  </r>
  <r>
    <s v="8.1"/>
    <x v="0"/>
    <s v="8.1.2"/>
    <x v="1"/>
    <s v="Mobilize citizen engagement into innovative financing mechanisms e.g. citizen involvement in Malaria Fund  as contributors and efficiency watchdogs"/>
  </r>
  <r>
    <s v="8.1"/>
    <x v="0"/>
    <s v="8.1.2"/>
    <x v="1"/>
    <s v="Establish community prepayment mechanisms"/>
  </r>
  <r>
    <s v="8.1"/>
    <x v="0"/>
    <s v="8.1.3"/>
    <x v="2"/>
    <s v="Improve infrastructure, human resources, medical equipment and medical supplies capacity for optional paying services"/>
  </r>
  <r>
    <s v="8.1"/>
    <x v="0"/>
    <s v="8.1.3"/>
    <x v="2"/>
    <s v="Improve the financial management and accountability of the optional paying service"/>
  </r>
  <r>
    <s v="8.1"/>
    <x v="0"/>
    <s v="8.1.3"/>
    <x v="2"/>
    <s v="Improve stakeholder engagement on optional paying services. The stakeholders include civil society organizations, communities, the Ministry of Finance and donors"/>
  </r>
  <r>
    <s v="8.1"/>
    <x v="0"/>
    <s v="8.1.3"/>
    <x v="2"/>
    <s v="Revise guidelines for optional paying services in public health facilities"/>
  </r>
  <r>
    <s v="8.1"/>
    <x v="0"/>
    <s v="8.1.3"/>
    <x v="2"/>
    <s v="Improve monitoring of optional paying services"/>
  </r>
  <r>
    <s v="8.1"/>
    <x v="0"/>
    <s v="8.1.3"/>
    <x v="2"/>
    <s v="conduct economic evaluation of optional paying services"/>
  </r>
  <r>
    <s v="8.1"/>
    <x v="0"/>
    <s v="8.1.4"/>
    <x v="3"/>
    <s v="Devise and implement sustainability mechanisms for donor funded interventions. The emphasis will be on introducing co-financing models between Government and donor2"/>
  </r>
  <r>
    <s v="8.1"/>
    <x v="0"/>
    <s v="8.1.4"/>
    <x v="3"/>
    <s v="Introduce incentives to individuals and institutions to encourage external resource mobilization"/>
  </r>
  <r>
    <s v="8.1"/>
    <x v="0"/>
    <s v="8.1.4"/>
    <x v="3"/>
    <s v="Develop capacity for pro-active external resource mobilization to meet domestic gaps"/>
  </r>
  <r>
    <s v="8.1"/>
    <x v="0"/>
    <s v="8.1.5"/>
    <x v="4"/>
    <s v="Increase domestic resources for procurement of family planning (FP) products and implementation of FP programs through introduction of mutually binding co-investments in FP products "/>
  </r>
  <r>
    <s v="8.1"/>
    <x v="0"/>
    <s v="8.1.5"/>
    <x v="4"/>
    <s v="Improve performance of budget execution of FP products and programs, including through actual allocation of agreed upon finances under the co-financing agreement"/>
  </r>
  <r>
    <s v="8.1"/>
    <x v="0"/>
    <s v="8.1.5"/>
    <x v="4"/>
    <s v="Increase research and training on the interface of health financing and population growth"/>
  </r>
  <r>
    <s v="8.1"/>
    <x v="0"/>
    <s v="8.1.5"/>
    <x v="4"/>
    <s v="Increase advocacy among stakeholders on family planning and population growth as key health financing issues"/>
  </r>
  <r>
    <s v="8.1"/>
    <x v="0"/>
    <s v="8.1.6"/>
    <x v="5"/>
    <s v="Implement public private partnerships in health across all health system functions to achieve efficiency and mobilize additional financing and"/>
  </r>
  <r>
    <s v="8.1"/>
    <x v="0"/>
    <s v="8.1.6"/>
    <x v="5"/>
    <s v="Engage financiers and the Treasury on the introduction of social bonds for selected health issues2"/>
  </r>
  <r>
    <s v="8.1"/>
    <x v="0"/>
    <s v="8.1.6"/>
    <x v="5"/>
    <s v="Explore the possibility of health debt-buy downs2"/>
  </r>
  <r>
    <s v="8.1"/>
    <x v="0"/>
    <s v="8.1.6"/>
    <x v="5"/>
    <s v="Explore hypothecated taxes on mobile money payments, alcohol, sugary drinks, tobacco and other potential areas for “sin taxes”."/>
  </r>
  <r>
    <s v="8.2"/>
    <x v="1"/>
    <s v="8.2.1"/>
    <x v="6"/>
    <s v="Design and implement an enhanced HSJF mechanism  managed by a fiduciary agent/ Reinstate the Sector Budget Support to the Sector Wide Approach (SWAp) under the management of a fiduciary agent at central level"/>
  </r>
  <r>
    <s v="8.2"/>
    <x v="1"/>
    <s v="8.2.1"/>
    <x v="6"/>
    <s v="Coordinate budget planning, allocation, execution, and evaluation between partners and GOM at all level, including through HSSP Operational Plan"/>
  </r>
  <r>
    <s v="8.2"/>
    <x v="1"/>
    <s v="8.2.1"/>
    <x v="6"/>
    <s v="Develop a standard bylaw for all District Councils in collaboration with the Ministry of Local Government on enforcing the compliance of implementing partners to partner coordination requirements set by the District Council"/>
  </r>
  <r>
    <s v="8.2"/>
    <x v="1"/>
    <s v="8.2.1"/>
    <x v="6"/>
    <s v="Introduce the Sector Budget Support to the District Health Budgets"/>
  </r>
  <r>
    <s v="8.2"/>
    <x v="1"/>
    <s v="8.2.2"/>
    <x v="7"/>
    <s v="Scale up DHMT leadership &amp; management curriculum to additional districts and to additional cadres at the district level, including subsequent coaching &amp; mentorship with a focus on partner coordination"/>
  </r>
  <r>
    <s v="8.2"/>
    <x v="1"/>
    <s v="8.2.2"/>
    <x v="7"/>
    <s v="Revisit the requirements for leadership at the district level through the functional review process"/>
  </r>
  <r>
    <s v="8.2"/>
    <x v="1"/>
    <s v="8.2.3"/>
    <x v="8"/>
    <s v="Reduce the administrative burden of the approval process by seeking efficiencies in the internal controls process"/>
  </r>
  <r>
    <s v="8.2"/>
    <x v="1"/>
    <s v="8.2.3"/>
    <x v="8"/>
    <s v="Decentralize management of donor funds that are under the management of Government (e.g., Global Fund, GAVI, HSJF)."/>
  </r>
  <r>
    <s v="8.2"/>
    <x v="1"/>
    <s v="8.2.3"/>
    <x v="8"/>
    <s v="Enhance capacity for fiduciary risk assessment and management "/>
  </r>
  <r>
    <s v="8.2"/>
    <x v="1"/>
    <s v="8.2.3"/>
    <x v="8"/>
    <s v="Incentivize optimal disbursements and execution of government and donor funds"/>
  </r>
  <r>
    <s v="8.2"/>
    <x v="1"/>
    <s v="8.2.3"/>
    <x v="8"/>
    <s v="Capacitate national and subnational levels to undertake government and donor funded procurements"/>
  </r>
  <r>
    <s v="8.2"/>
    <x v="1"/>
    <s v="8.2.3"/>
    <x v="8"/>
    <s v="Conduct periodic absorption capacity assessments"/>
  </r>
  <r>
    <s v="8.3"/>
    <x v="2"/>
    <s v="8.3.1"/>
    <x v="9"/>
    <s v="Clearly articulate the parameters involved in the redefinition of the new EHP for primary/secondary/tertiary care, set conditions, governance structures, and timelines for revisions"/>
  </r>
  <r>
    <s v="8.3"/>
    <x v="2"/>
    <s v="8.3.1"/>
    <x v="9"/>
    <s v="Revise the essential medicines list, must-have lists, and tracer medicines list to align with the new EHP and disseminate the same"/>
  </r>
  <r>
    <s v="8.3"/>
    <x v="2"/>
    <s v="8.3.1"/>
    <x v="9"/>
    <s v="Revise the essential Equipment list to align with the new EHP and disseminate the same"/>
  </r>
  <r>
    <s v="8.3"/>
    <x v="2"/>
    <s v="8.3.1"/>
    <x v="9"/>
    <s v="Disseminate, implement and monitor the implementation of the new tiered BHP2"/>
  </r>
  <r>
    <s v="8.3"/>
    <x v="2"/>
    <s v="8.3.2"/>
    <x v="10"/>
    <s v="Facilitate implementation of the district resource allocation formula including for donor or partner resources"/>
  </r>
  <r>
    <s v="8.3"/>
    <x v="2"/>
    <s v="8.3.2"/>
    <x v="10"/>
    <s v="Develop resource allocation framework for tertiary care"/>
  </r>
  <r>
    <s v="8.3"/>
    <x v="2"/>
    <s v="8.3.2"/>
    <x v="10"/>
    <s v="Implementation of the CHRAF"/>
  </r>
  <r>
    <s v="8.3"/>
    <x v="2"/>
    <s v="8.3.2"/>
    <x v="10"/>
    <s v="Develop intra-district resource allocation formula"/>
  </r>
  <r>
    <s v="8.3"/>
    <x v="2"/>
    <s v="8.3.2"/>
    <x v="10"/>
    <s v="Monitoring effectiveness and informing Devolution of budget planning, execution and evaluation at council level"/>
  </r>
  <r>
    <s v="8.3"/>
    <x v="2"/>
    <s v="8.3.2"/>
    <x v="10"/>
    <s v="Monitor the effectiveness of using the PFM system as a tool for strategic allocation and use of resources"/>
  </r>
  <r>
    <s v="8.3"/>
    <x v="2"/>
    <s v="8.3.2"/>
    <x v="10"/>
    <s v="Digitize health care delivery in a way that integrates and captures health care provision, health financing and expenditure information"/>
  </r>
  <r>
    <s v="8.3"/>
    <x v="2"/>
    <s v="8.3.3"/>
    <x v="11"/>
    <s v="Decentralise the district health budget to peripheral health facilities (Provider level)"/>
  </r>
  <r>
    <s v="8.3"/>
    <x v="2"/>
    <s v="8.3.3"/>
    <x v="11"/>
    <s v="Negotiate with Treasury to modify PFM rules to allow for purchaser-provider split and flexibility of spending"/>
  </r>
  <r>
    <s v="8.3"/>
    <x v="2"/>
    <s v="8.3.3"/>
    <x v="11"/>
    <s v="Establish a regulatory council for medical schemes to regulate tariffs, ethical health care delivery and adjudicate disputes between providers and payers2"/>
  </r>
  <r>
    <s v="8.3"/>
    <x v="2"/>
    <s v="8.3.3"/>
    <x v="11"/>
    <s v="Strengthen financial management and accounting capacity at the District Council and sub-district levels"/>
  </r>
  <r>
    <s v="8.3"/>
    <x v="2"/>
    <s v="8.3.3"/>
    <x v="11"/>
    <s v="Roll out PBF implementation mechanisms"/>
  </r>
  <r>
    <s v="8.4"/>
    <x v="3"/>
    <s v="8.4.1"/>
    <x v="12"/>
    <s v="Develop and sustain active purchasing capacity in the health financing division "/>
  </r>
  <r>
    <s v="8.4"/>
    <x v="3"/>
    <s v="8.4.1"/>
    <x v="12"/>
    <s v="Capacitate relevant government institutions to coordinate, implement and monitor the health financing strategy"/>
  </r>
  <r>
    <s v="8.4"/>
    <x v="3"/>
    <s v="8.4.1"/>
    <x v="12"/>
    <s v="Capacitate councils to implement the health financing strategy"/>
  </r>
  <r>
    <s v="8.4"/>
    <x v="3"/>
    <s v="8.4.1"/>
    <x v="12"/>
    <s v="Develop and sustain collaboration mechanisms between key ministries, Departments and Agencies for effective implementation of the Health Financing Strategy"/>
  </r>
  <r>
    <s v="8.4"/>
    <x v="3"/>
    <s v="8.4.1"/>
    <x v="12"/>
    <s v="Develop capacity for donor and aid coordination at all levels"/>
  </r>
  <r>
    <s v="8.4"/>
    <x v="3"/>
    <s v="8.4.1"/>
    <x v="12"/>
    <s v="Develop and sustain TWG governance arrangements for health financing at all levels"/>
  </r>
  <r>
    <s v="8.4"/>
    <x v="3"/>
    <s v="8.4.1"/>
    <x v="12"/>
    <s v="Develop capacity in the HFD to biennial conduct UHC studies"/>
  </r>
  <r>
    <s v="8.4"/>
    <x v="3"/>
    <s v="8.4.2"/>
    <x v="13"/>
    <s v="Develop capacities in health financing analysis and evidence use at all levels of the health system (Knowledge capacity, resource capacity, human capacity)"/>
  </r>
  <r>
    <s v="8.4"/>
    <x v="3"/>
    <s v="8.4.2"/>
    <x v="13"/>
    <s v="Develop capacities of health economics and health financing of research institutions"/>
  </r>
  <r>
    <s v="8.4"/>
    <x v="3"/>
    <s v="8.4.2"/>
    <x v="13"/>
    <s v="Institutionalise public expenditure review studies at national and decentralised levels"/>
  </r>
  <r>
    <s v="8.4"/>
    <x v="3"/>
    <s v="8.4.2"/>
    <x v="13"/>
    <s v="Conduct needs assessment and commission studies in key areas of health financing of the Strategy"/>
  </r>
  <r>
    <s v="8.4"/>
    <x v="3"/>
    <s v="8.4.2"/>
    <x v="13"/>
    <s v="Develop capacity for the MoH to lead in health PPPs"/>
  </r>
  <r>
    <s v="8.4"/>
    <x v="3"/>
    <s v="8.4.3"/>
    <x v="14"/>
    <s v="Create a coherent framework for communicating key messages of the HFS"/>
  </r>
  <r>
    <s v="8.4"/>
    <x v="3"/>
    <s v="8.4.3"/>
    <x v="14"/>
    <s v="Develop and sustain capacity of advocacy institutions"/>
  </r>
  <r>
    <s v="8.4"/>
    <x v="3"/>
    <s v="8.4.3"/>
    <x v="14"/>
    <s v="Develop and sustain advocacy platforms to undertake lobbying and communication activities"/>
  </r>
  <r>
    <s v="8.4"/>
    <x v="3"/>
    <s v="8.4.3"/>
    <x v="14"/>
    <s v="Facilitate resource mobilization and communication function of the advocacy strategy for health financing"/>
  </r>
  <r>
    <s v="8.4"/>
    <x v="3"/>
    <s v="8.4.3"/>
    <x v="14"/>
    <s v=" Improve the legal and policy environment for voluntary health insurance"/>
  </r>
  <r>
    <s v="8.4"/>
    <x v="3"/>
    <s v="8.4.4"/>
    <x v="15"/>
    <s v="Introduce legislation on voluntary health insurance to guide the sector and to firmly place the role of the health sector in private health insurance"/>
  </r>
  <r>
    <s v="8.4"/>
    <x v="3"/>
    <s v="8.4.4"/>
    <x v="15"/>
    <s v="Introduce regulations on strategic health purchasing"/>
  </r>
  <r>
    <s v="8.4"/>
    <x v="3"/>
    <s v="8.4.4"/>
    <x v="15"/>
    <s v="Introduce the public health budget accountability forum"/>
  </r>
  <r>
    <s v="8.4"/>
    <x v="3"/>
    <s v="8.4.4"/>
    <x v="15"/>
    <s v="Introduce a law on the establishment of a trust fund in health"/>
  </r>
  <r>
    <s v="8.4"/>
    <x v="3"/>
    <s v="8.4.4"/>
    <x v="15"/>
    <s v="Introduce regulations or policies requiring economic evaluation for new and current programs to aid the achievement of efficiency"/>
  </r>
  <r>
    <s v="8.4"/>
    <x v="3"/>
    <s v="8.4.4"/>
    <x v="15"/>
    <s v="Update terms of reference for the Health Financing TWG so it can effectively carry out its mandate"/>
  </r>
  <r>
    <s v="8.4"/>
    <x v="3"/>
    <s v="8.4.4"/>
    <x v="15"/>
    <s v="Revise the memorandum of understanding with the private sector, including the faith-based organizations in pursuit of UHC goals and value for money"/>
  </r>
  <r>
    <s v="8.4"/>
    <x v="3"/>
    <s v="8.4.4"/>
    <x v="15"/>
    <s v="Introduce regulation or policy for allowing limited purchase of essential medicines from preselected prime vendors, in the event that the CMST does not have such medicines or commodities in stock and"/>
  </r>
  <r>
    <s v="8.4"/>
    <x v="3"/>
    <s v="8.4.4"/>
    <x v="15"/>
    <s v="Re-introduce the annual health financing summit."/>
  </r>
  <r>
    <s v="8.4"/>
    <x v="3"/>
    <s v="8.4.4"/>
    <x v="15"/>
    <s v="Introduce legislation on national health financing to aid the implementation of community and individual contributions towards health financing, enforceability of the essential health package, and improved provider payment mechanism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9">
  <r>
    <s v="4.3.1.1"/>
    <x v="0"/>
    <x v="0"/>
    <x v="0"/>
    <x v="0"/>
    <n v="1"/>
    <x v="0"/>
    <x v="0"/>
    <s v="Conduct a cross programatic efficiency study"/>
    <s v="Develop a concept note "/>
    <s v="Zero cost"/>
    <n v="0"/>
    <n v="0"/>
    <n v="0"/>
    <n v="0"/>
    <m/>
    <m/>
    <n v="0"/>
    <n v="0"/>
    <n v="0"/>
    <n v="0"/>
    <m/>
    <m/>
    <n v="0"/>
    <n v="0"/>
    <n v="0"/>
    <n v="0"/>
    <m/>
    <m/>
    <n v="0"/>
    <n v="0"/>
    <n v="0"/>
    <n v="0"/>
    <m/>
    <m/>
    <n v="0"/>
    <n v="0"/>
    <n v="0"/>
  </r>
  <r>
    <s v="4.3.1.1"/>
    <x v="0"/>
    <x v="0"/>
    <x v="0"/>
    <x v="0"/>
    <n v="1"/>
    <x v="0"/>
    <x v="0"/>
    <s v="Conduct a cross programatic efficiency study"/>
    <s v="Conduct 3 meetings to set up CPEA taskforce"/>
    <s v="Zero cost"/>
    <n v="0"/>
    <n v="0"/>
    <n v="0"/>
    <n v="0"/>
    <m/>
    <m/>
    <n v="0"/>
    <n v="0"/>
    <n v="0"/>
    <n v="0"/>
    <m/>
    <m/>
    <n v="0"/>
    <n v="0"/>
    <n v="0"/>
    <n v="0"/>
    <m/>
    <m/>
    <n v="0"/>
    <n v="0"/>
    <n v="0"/>
    <n v="0"/>
    <m/>
    <m/>
    <n v="0"/>
    <n v="0"/>
    <n v="0"/>
  </r>
  <r>
    <s v="4.3.1.1"/>
    <x v="0"/>
    <x v="0"/>
    <x v="0"/>
    <x v="0"/>
    <n v="1"/>
    <x v="0"/>
    <x v="0"/>
    <s v="Conduct a cross programatic efficiency study"/>
    <s v="Develop ToRs for the CPEA consultant"/>
    <s v="Conference package high-level"/>
    <n v="35000"/>
    <n v="10"/>
    <n v="2"/>
    <n v="700000"/>
    <m/>
    <m/>
    <n v="0"/>
    <n v="10"/>
    <n v="2"/>
    <n v="914388.04377737816"/>
    <m/>
    <m/>
    <n v="0"/>
    <n v="10"/>
    <n v="2"/>
    <n v="1194436.4208614579"/>
    <m/>
    <m/>
    <n v="0"/>
    <n v="10"/>
    <n v="2"/>
    <n v="1560254.8318399454"/>
    <m/>
    <m/>
    <n v="0"/>
    <n v="4369079.2964787818"/>
    <n v="4241.8245596881379"/>
  </r>
  <r>
    <s v="4.3.1.1"/>
    <x v="0"/>
    <x v="0"/>
    <x v="0"/>
    <x v="0"/>
    <n v="1"/>
    <x v="0"/>
    <x v="0"/>
    <s v="Conduct a cross programatic efficiency study"/>
    <s v="Recruitment of a consultant"/>
    <s v="Newspaper advert (full)"/>
    <n v="391991.03749999998"/>
    <n v="2"/>
    <n v="2"/>
    <n v="1567964.15"/>
    <m/>
    <m/>
    <n v="0"/>
    <n v="2"/>
    <n v="2"/>
    <n v="2048182.3883307995"/>
    <m/>
    <m/>
    <n v="0"/>
    <n v="2"/>
    <n v="2"/>
    <n v="2675476.4105215403"/>
    <n v="0"/>
    <n v="0"/>
    <n v="0"/>
    <n v="2"/>
    <n v="2"/>
    <n v="3494890.915984733"/>
    <m/>
    <m/>
    <n v="0"/>
    <n v="9786513.8648370728"/>
    <n v="9501.4697716864775"/>
  </r>
  <r>
    <s v="4.3.1.1"/>
    <x v="0"/>
    <x v="0"/>
    <x v="0"/>
    <x v="0"/>
    <n v="1"/>
    <x v="0"/>
    <x v="0"/>
    <s v="Conduct a cross programatic efficiency study"/>
    <s v="Recruitment of a consultant"/>
    <s v="Local consultant fee - High level"/>
    <n v="511000"/>
    <n v="1"/>
    <n v="25"/>
    <n v="12775000"/>
    <m/>
    <m/>
    <n v="0"/>
    <n v="1"/>
    <n v="25"/>
    <n v="16687581.798937155"/>
    <m/>
    <m/>
    <n v="0"/>
    <n v="1"/>
    <n v="25"/>
    <n v="21798464.680721607"/>
    <m/>
    <m/>
    <n v="0"/>
    <n v="1"/>
    <n v="25"/>
    <n v="28474650.681079004"/>
    <m/>
    <m/>
    <n v="0"/>
    <n v="79735697.160737768"/>
    <n v="77413.29821430851"/>
  </r>
  <r>
    <s v="4.3.1.1"/>
    <x v="0"/>
    <x v="0"/>
    <x v="0"/>
    <x v="0"/>
    <n v="1"/>
    <x v="0"/>
    <x v="0"/>
    <s v="Conduct a cross programatic efficiency study"/>
    <s v="Design data collection tool"/>
    <s v="Zero cost"/>
    <n v="0"/>
    <m/>
    <m/>
    <n v="0"/>
    <m/>
    <m/>
    <n v="0"/>
    <m/>
    <m/>
    <n v="0"/>
    <m/>
    <m/>
    <n v="0"/>
    <m/>
    <m/>
    <n v="0"/>
    <m/>
    <m/>
    <n v="0"/>
    <m/>
    <m/>
    <n v="0"/>
    <m/>
    <m/>
    <n v="0"/>
    <n v="0"/>
    <n v="0"/>
  </r>
  <r>
    <s v="4.3.1.1"/>
    <x v="0"/>
    <x v="0"/>
    <x v="0"/>
    <x v="0"/>
    <n v="1"/>
    <x v="0"/>
    <x v="0"/>
    <s v="Conduct a cross programatic efficiency study"/>
    <s v="Conduct training for research assistants (1 consultant, 5 supervisors, 20 data collectors)"/>
    <s v="Conference package high-level"/>
    <n v="35000"/>
    <n v="26"/>
    <n v="5"/>
    <n v="4550000"/>
    <m/>
    <m/>
    <n v="0"/>
    <n v="26"/>
    <n v="5"/>
    <n v="5943522.2845529579"/>
    <m/>
    <m/>
    <n v="0"/>
    <n v="26"/>
    <n v="5"/>
    <n v="7763836.7355994778"/>
    <m/>
    <m/>
    <n v="0"/>
    <n v="26"/>
    <n v="5"/>
    <n v="10141656.406959645"/>
    <m/>
    <m/>
    <n v="0"/>
    <n v="28399015.42711208"/>
    <n v="27571.859637972895"/>
  </r>
  <r>
    <s v="4.3.1.1"/>
    <x v="0"/>
    <x v="0"/>
    <x v="0"/>
    <x v="0"/>
    <n v="1"/>
    <x v="0"/>
    <x v="0"/>
    <s v="Conduct a cross programatic efficiency study"/>
    <s v="Conduct training for research assistants (1 consultant, 5 supervisors, 20 data collectors)"/>
    <s v="DSA (excl. lunch)"/>
    <n v="39000"/>
    <n v="26"/>
    <n v="6"/>
    <n v="6084000"/>
    <m/>
    <m/>
    <n v="0"/>
    <n v="26"/>
    <n v="6"/>
    <n v="7947338.3690593839"/>
    <m/>
    <m/>
    <n v="0"/>
    <n v="26"/>
    <n v="6"/>
    <n v="10381358.835030159"/>
    <m/>
    <m/>
    <n v="0"/>
    <n v="26"/>
    <n v="6"/>
    <n v="13560843.424163185"/>
    <m/>
    <m/>
    <n v="0"/>
    <n v="37973540.62825273"/>
    <n v="36867.5151730609"/>
  </r>
  <r>
    <s v="4.3.1.1"/>
    <x v="0"/>
    <x v="0"/>
    <x v="0"/>
    <x v="0"/>
    <n v="1"/>
    <x v="0"/>
    <x v="0"/>
    <s v="Conduct a cross programatic efficiency study"/>
    <s v="Conduct training for research assistants (1 consultant, 5 supervisors, 20 data collectors)"/>
    <s v="Fuel for travelling participants (9 cars to sengabay and back to Lilongwe)"/>
    <n v="211.43"/>
    <n v="2430"/>
    <n v="1"/>
    <n v="513774.9"/>
    <m/>
    <m/>
    <n v="0"/>
    <n v="2430"/>
    <n v="1"/>
    <n v="671128.03678988304"/>
    <m/>
    <m/>
    <n v="0"/>
    <n v="2430"/>
    <n v="1"/>
    <n v="876673.50383493362"/>
    <m/>
    <m/>
    <n v="0"/>
    <n v="2430"/>
    <n v="1"/>
    <n v="1145171.1002901213"/>
    <m/>
    <m/>
    <n v="0"/>
    <n v="3206747.5409149379"/>
    <n v="3113.3471271018816"/>
  </r>
  <r>
    <s v="4.3.1.1"/>
    <x v="0"/>
    <x v="0"/>
    <x v="0"/>
    <x v="0"/>
    <n v="1"/>
    <x v="0"/>
    <x v="0"/>
    <s v="Conduct a cross programatic efficiency study"/>
    <s v="Conduct training for research assistants (1 consultant, 5 supervisors, 20 data collectors)"/>
    <s v="Local running (diesel, per km) (9 cars from sengabay to Salima Boma and back for 5 days)"/>
    <n v="285.57142857142856"/>
    <n v="450"/>
    <n v="5"/>
    <n v="642535.71428571432"/>
    <m/>
    <m/>
    <n v="0"/>
    <n v="450"/>
    <n v="5"/>
    <n v="839324.24977544951"/>
    <m/>
    <m/>
    <n v="0"/>
    <n v="450"/>
    <n v="5"/>
    <n v="1096382.941210127"/>
    <m/>
    <m/>
    <n v="0"/>
    <n v="450"/>
    <n v="5"/>
    <n v="1432170.6469200235"/>
    <m/>
    <m/>
    <n v="0"/>
    <n v="4010413.5521913143"/>
    <n v="3893.6053904770042"/>
  </r>
  <r>
    <s v="4.3.1.1"/>
    <x v="0"/>
    <x v="0"/>
    <x v="0"/>
    <x v="0"/>
    <n v="1"/>
    <x v="0"/>
    <x v="0"/>
    <s v="Conduct a cross programatic efficiency study"/>
    <s v="Conduct training for research assistants "/>
    <s v="Toner"/>
    <n v="104850"/>
    <n v="1"/>
    <n v="1"/>
    <n v="104850"/>
    <m/>
    <m/>
    <n v="0"/>
    <n v="1"/>
    <n v="1"/>
    <n v="136962.26627151159"/>
    <m/>
    <m/>
    <n v="0"/>
    <n v="1"/>
    <n v="1"/>
    <n v="178909.51246760553"/>
    <m/>
    <m/>
    <n v="0"/>
    <n v="1"/>
    <n v="1"/>
    <n v="233703.88445488326"/>
    <m/>
    <m/>
    <n v="0"/>
    <n v="654425.66319400037"/>
    <n v="635.36472154757314"/>
  </r>
  <r>
    <s v="4.3.1.1"/>
    <x v="0"/>
    <x v="0"/>
    <x v="0"/>
    <x v="0"/>
    <n v="1"/>
    <x v="0"/>
    <x v="0"/>
    <s v="Conduct a cross programatic efficiency study"/>
    <s v="Conduct training for research assistants"/>
    <s v="A4, 500 pages, 140 gsm paper (10 reams of paper)"/>
    <n v="8000"/>
    <n v="10"/>
    <n v="1"/>
    <n v="80000"/>
    <m/>
    <m/>
    <n v="0"/>
    <n v="10"/>
    <n v="1"/>
    <n v="104501.49071741465"/>
    <m/>
    <m/>
    <n v="0"/>
    <n v="10"/>
    <n v="1"/>
    <n v="136507.01952702377"/>
    <m/>
    <m/>
    <n v="0"/>
    <n v="10"/>
    <n v="1"/>
    <n v="178314.83792456522"/>
    <m/>
    <m/>
    <n v="0"/>
    <n v="499323.34816900361"/>
    <n v="484.7799496786443"/>
  </r>
  <r>
    <s v="4.3.1.1"/>
    <x v="0"/>
    <x v="0"/>
    <x v="0"/>
    <x v="0"/>
    <n v="1"/>
    <x v="0"/>
    <x v="0"/>
    <s v="Conduct a cross programatic efficiency study"/>
    <s v="Pre-testing of the data collection tool"/>
    <s v="Fuel reimbursement for data collection teams (diesel, per km)- (9 cars to Mchinji to pretest the data collection tool for 2 days at 211.43 per km)"/>
    <n v="285.57142857142856"/>
    <n v="3240"/>
    <n v="1"/>
    <n v="925251.42857142852"/>
    <m/>
    <m/>
    <n v="0"/>
    <n v="3240"/>
    <n v="1"/>
    <n v="1208626.9196766473"/>
    <m/>
    <m/>
    <n v="0"/>
    <n v="3240"/>
    <n v="1"/>
    <n v="1578791.4353425829"/>
    <m/>
    <m/>
    <n v="0"/>
    <n v="3240"/>
    <n v="1"/>
    <n v="2062325.7315648335"/>
    <m/>
    <m/>
    <n v="0"/>
    <n v="5774995.5151554924"/>
    <n v="5606.7917622868854"/>
  </r>
  <r>
    <s v="4.3.1.1"/>
    <x v="0"/>
    <x v="0"/>
    <x v="0"/>
    <x v="0"/>
    <n v="1"/>
    <x v="0"/>
    <x v="0"/>
    <s v="Conduct a cross programatic efficiency study"/>
    <s v="Pre-testing of the data collection tool"/>
    <s v="Local running (diesel, per km)- (9 cars to Mchinji to pretest the data collection tool for 2 days at 211.43 per km)"/>
    <n v="285.57142857142856"/>
    <n v="900"/>
    <n v="2"/>
    <n v="514028.57142857142"/>
    <m/>
    <m/>
    <n v="0"/>
    <n v="900"/>
    <n v="2"/>
    <n v="671459.39982035966"/>
    <m/>
    <m/>
    <n v="0"/>
    <n v="900"/>
    <n v="2"/>
    <n v="877106.35296810162"/>
    <m/>
    <m/>
    <n v="0"/>
    <n v="900"/>
    <n v="2"/>
    <n v="1145736.5175360187"/>
    <m/>
    <m/>
    <n v="0"/>
    <n v="3208330.8417530516"/>
    <n v="3114.8843123816036"/>
  </r>
  <r>
    <s v="4.3.1.1"/>
    <x v="0"/>
    <x v="0"/>
    <x v="0"/>
    <x v="0"/>
    <n v="1"/>
    <x v="0"/>
    <x v="0"/>
    <s v="Conduct a cross programatic efficiency study"/>
    <s v="Pre-testing of the data collection tool"/>
    <s v="Full DSA"/>
    <n v="45000"/>
    <n v="25"/>
    <n v="3"/>
    <n v="3375000"/>
    <m/>
    <m/>
    <n v="0"/>
    <n v="25"/>
    <n v="3"/>
    <n v="4408656.639640931"/>
    <m/>
    <m/>
    <n v="0"/>
    <n v="25"/>
    <n v="3"/>
    <n v="5758889.8862963151"/>
    <m/>
    <m/>
    <n v="0"/>
    <n v="25"/>
    <n v="3"/>
    <n v="7522657.2249425948"/>
    <m/>
    <m/>
    <n v="0"/>
    <n v="21065203.750879839"/>
    <n v="20451.654127067806"/>
  </r>
  <r>
    <s v="4.3.1.1"/>
    <x v="0"/>
    <x v="0"/>
    <x v="0"/>
    <x v="0"/>
    <n v="1"/>
    <x v="0"/>
    <x v="0"/>
    <s v="Conduct a cross programatic efficiency study"/>
    <s v="Validation of data collection tool "/>
    <s v="Conference package high-level"/>
    <n v="35000"/>
    <n v="26"/>
    <n v="1"/>
    <n v="910000"/>
    <m/>
    <m/>
    <n v="0"/>
    <n v="26"/>
    <n v="1"/>
    <n v="1188704.4569105916"/>
    <m/>
    <m/>
    <n v="0"/>
    <n v="26"/>
    <n v="1"/>
    <n v="1552767.3471198955"/>
    <m/>
    <m/>
    <n v="0"/>
    <n v="26"/>
    <n v="1"/>
    <n v="2028331.2813919289"/>
    <m/>
    <m/>
    <n v="0"/>
    <n v="5679803.0854224162"/>
    <n v="5514.3719275945787"/>
  </r>
  <r>
    <s v="4.3.1.1"/>
    <x v="0"/>
    <x v="0"/>
    <x v="0"/>
    <x v="0"/>
    <n v="1"/>
    <x v="0"/>
    <x v="0"/>
    <s v="Conduct a cross programatic efficiency study"/>
    <s v="Data collection"/>
    <s v="Full DSA"/>
    <n v="45000"/>
    <n v="26"/>
    <n v="6"/>
    <n v="7020000"/>
    <m/>
    <m/>
    <n v="0"/>
    <n v="26"/>
    <n v="6"/>
    <n v="9170005.8104531374"/>
    <m/>
    <m/>
    <n v="0"/>
    <n v="26"/>
    <n v="6"/>
    <n v="11978490.963496335"/>
    <m/>
    <m/>
    <n v="0"/>
    <n v="26"/>
    <n v="6"/>
    <n v="15647127.027880598"/>
    <m/>
    <m/>
    <n v="0"/>
    <n v="43815623.801830068"/>
    <n v="42539.440584301039"/>
  </r>
  <r>
    <s v="4.3.1.1"/>
    <x v="0"/>
    <x v="0"/>
    <x v="0"/>
    <x v="0"/>
    <n v="1"/>
    <x v="0"/>
    <x v="0"/>
    <s v="Conduct a cross programatic efficiency study"/>
    <s v="Data collection"/>
    <s v="Fuel for travelling participants (9 cars to various districts)"/>
    <n v="211.43"/>
    <n v="22500"/>
    <n v="1"/>
    <n v="4757175"/>
    <m/>
    <m/>
    <n v="0"/>
    <n v="22500"/>
    <n v="1"/>
    <n v="6214148.4887952134"/>
    <m/>
    <m/>
    <n v="0"/>
    <n v="22500"/>
    <n v="1"/>
    <n v="8117347.2577308668"/>
    <m/>
    <m/>
    <n v="0"/>
    <n v="22500"/>
    <n v="1"/>
    <n v="10603436.113797419"/>
    <m/>
    <m/>
    <n v="0"/>
    <n v="29692106.8603235"/>
    <n v="28827.288213906311"/>
  </r>
  <r>
    <s v="4.3.1.1"/>
    <x v="0"/>
    <x v="0"/>
    <x v="0"/>
    <x v="0"/>
    <n v="1"/>
    <x v="0"/>
    <x v="0"/>
    <s v="Conduct a cross programatic efficiency study"/>
    <s v="Data collection"/>
    <s v="Local running (diesel, per km)"/>
    <n v="285.57142857142856"/>
    <n v="900"/>
    <n v="5"/>
    <n v="1285071.4285714286"/>
    <m/>
    <m/>
    <n v="0"/>
    <n v="900"/>
    <n v="5"/>
    <n v="1678648.499550899"/>
    <m/>
    <m/>
    <n v="0"/>
    <n v="900"/>
    <n v="5"/>
    <n v="2192765.8824202539"/>
    <m/>
    <m/>
    <n v="0"/>
    <n v="900"/>
    <n v="5"/>
    <n v="2864341.293840047"/>
    <m/>
    <m/>
    <n v="0"/>
    <n v="8020827.1043826286"/>
    <n v="7787.2107809540084"/>
  </r>
  <r>
    <s v="4.3.1.1"/>
    <x v="0"/>
    <x v="0"/>
    <x v="0"/>
    <x v="0"/>
    <n v="1"/>
    <x v="0"/>
    <x v="0"/>
    <s v="Conduct a cross programatic efficiency study"/>
    <s v="Data collection"/>
    <s v="Airtime for Research Assistant"/>
    <n v="10000"/>
    <n v="20"/>
    <n v="1"/>
    <n v="200000"/>
    <m/>
    <m/>
    <n v="0"/>
    <n v="20"/>
    <n v="1"/>
    <n v="261253.72679353665"/>
    <m/>
    <m/>
    <n v="0"/>
    <n v="20"/>
    <n v="1"/>
    <n v="341267.54881755944"/>
    <m/>
    <m/>
    <n v="0"/>
    <n v="20"/>
    <n v="1"/>
    <n v="445787.09481141303"/>
    <m/>
    <m/>
    <n v="0"/>
    <n v="1248308.370422509"/>
    <n v="1211.9498741966106"/>
  </r>
  <r>
    <s v="4.3.1.1"/>
    <x v="0"/>
    <x v="0"/>
    <x v="0"/>
    <x v="0"/>
    <n v="1"/>
    <x v="0"/>
    <x v="0"/>
    <s v="Conduct a cross programatic efficiency study"/>
    <s v="Data collection"/>
    <s v="Tablet"/>
    <n v="302000"/>
    <n v="26"/>
    <n v="1"/>
    <n v="7852000"/>
    <m/>
    <m/>
    <n v="0"/>
    <n v="26"/>
    <n v="1"/>
    <n v="10256821.313914249"/>
    <m/>
    <m/>
    <n v="0"/>
    <n v="26"/>
    <n v="1"/>
    <n v="13398163.966577383"/>
    <m/>
    <m/>
    <n v="0"/>
    <n v="26"/>
    <n v="1"/>
    <n v="17501601.342296075"/>
    <m/>
    <m/>
    <n v="0"/>
    <n v="49008586.622787699"/>
    <n v="47581.152060958928"/>
  </r>
  <r>
    <s v="4.3.1.1"/>
    <x v="0"/>
    <x v="0"/>
    <x v="0"/>
    <x v="0"/>
    <n v="1"/>
    <x v="0"/>
    <x v="0"/>
    <s v="Conduct a cross programatic efficiency study"/>
    <s v="Data analysis"/>
    <s v="Conference package high-level"/>
    <n v="35000"/>
    <n v="26"/>
    <n v="5"/>
    <n v="4550000"/>
    <m/>
    <m/>
    <n v="0"/>
    <n v="26"/>
    <n v="5"/>
    <n v="5943522.2845529579"/>
    <m/>
    <m/>
    <n v="0"/>
    <n v="26"/>
    <n v="5"/>
    <n v="7763836.7355994778"/>
    <m/>
    <m/>
    <n v="0"/>
    <n v="26"/>
    <n v="5"/>
    <n v="10141656.406959645"/>
    <m/>
    <m/>
    <n v="0"/>
    <n v="28399015.42711208"/>
    <n v="27571.859637972895"/>
  </r>
  <r>
    <s v="4.3.1.1"/>
    <x v="0"/>
    <x v="0"/>
    <x v="0"/>
    <x v="0"/>
    <n v="1"/>
    <x v="0"/>
    <x v="0"/>
    <s v="Conduct a cross programatic efficiency study"/>
    <s v="Data analysis"/>
    <s v="Local running (diesel, per km)"/>
    <n v="285.57142857142856"/>
    <n v="450"/>
    <n v="5"/>
    <n v="642535.71428571432"/>
    <m/>
    <m/>
    <n v="0"/>
    <n v="450"/>
    <n v="5"/>
    <n v="839324.24977544951"/>
    <m/>
    <m/>
    <n v="0"/>
    <n v="450"/>
    <n v="5"/>
    <n v="1096382.941210127"/>
    <m/>
    <m/>
    <n v="0"/>
    <n v="450"/>
    <n v="5"/>
    <n v="1432170.6469200235"/>
    <m/>
    <m/>
    <n v="0"/>
    <n v="4010413.5521913143"/>
    <n v="3893.6053904770042"/>
  </r>
  <r>
    <s v="4.3.1.1"/>
    <x v="0"/>
    <x v="0"/>
    <x v="0"/>
    <x v="0"/>
    <n v="1"/>
    <x v="0"/>
    <x v="0"/>
    <s v="Conduct a cross programatic efficiency study"/>
    <s v="Data analysis"/>
    <s v="Fuel for travelling participants (9 cars to sengabay and back to Lilongwe)"/>
    <n v="285.57142857142856"/>
    <n v="2700"/>
    <n v="1"/>
    <n v="771042.85714285704"/>
    <m/>
    <m/>
    <n v="0"/>
    <n v="2700"/>
    <n v="1"/>
    <n v="1007189.0997305395"/>
    <m/>
    <m/>
    <n v="0"/>
    <n v="2700"/>
    <n v="1"/>
    <n v="1315659.5294521523"/>
    <m/>
    <m/>
    <n v="0"/>
    <n v="2700"/>
    <n v="1"/>
    <n v="1718604.776304028"/>
    <m/>
    <m/>
    <n v="0"/>
    <n v="4812496.262629577"/>
    <n v="4672.3264685724052"/>
  </r>
  <r>
    <s v="4.3.1.1"/>
    <x v="0"/>
    <x v="0"/>
    <x v="0"/>
    <x v="0"/>
    <n v="1"/>
    <x v="0"/>
    <x v="0"/>
    <s v="Conduct a cross programatic efficiency study"/>
    <s v="Data analysis"/>
    <s v="DSA (excl. lunch)"/>
    <n v="39000"/>
    <n v="26"/>
    <n v="6"/>
    <n v="6084000"/>
    <m/>
    <m/>
    <n v="0"/>
    <n v="26"/>
    <n v="6"/>
    <n v="7947338.3690593839"/>
    <m/>
    <m/>
    <n v="0"/>
    <n v="26"/>
    <n v="6"/>
    <n v="10381358.835030159"/>
    <m/>
    <m/>
    <n v="0"/>
    <n v="26"/>
    <n v="6"/>
    <n v="13560843.424163185"/>
    <m/>
    <m/>
    <n v="0"/>
    <n v="37973540.62825273"/>
    <n v="36867.5151730609"/>
  </r>
  <r>
    <s v="4.3.1.1"/>
    <x v="0"/>
    <x v="0"/>
    <x v="0"/>
    <x v="0"/>
    <n v="1"/>
    <x v="0"/>
    <x v="0"/>
    <s v="Conduct a cross programatic efficiency study"/>
    <s v="Report writing(cost on consultant)"/>
    <s v="Zero cost"/>
    <n v="0"/>
    <n v="25"/>
    <n v="5"/>
    <n v="0"/>
    <m/>
    <m/>
    <n v="0"/>
    <n v="25"/>
    <n v="5"/>
    <n v="0"/>
    <m/>
    <m/>
    <n v="0"/>
    <n v="25"/>
    <n v="5"/>
    <n v="0"/>
    <m/>
    <m/>
    <n v="0"/>
    <n v="25"/>
    <n v="5"/>
    <n v="0"/>
    <m/>
    <m/>
    <n v="0"/>
    <n v="0"/>
    <n v="0"/>
  </r>
  <r>
    <s v="4.3.1.1"/>
    <x v="0"/>
    <x v="0"/>
    <x v="0"/>
    <x v="0"/>
    <n v="1"/>
    <x v="0"/>
    <x v="0"/>
    <s v="Conduct a cross programatic efficiency study"/>
    <s v="Dissemination workshop (Lilongwe)"/>
    <s v="Conference package high-level"/>
    <n v="35000"/>
    <n v="75"/>
    <n v="1"/>
    <n v="2625000"/>
    <m/>
    <m/>
    <n v="0"/>
    <n v="75"/>
    <n v="1"/>
    <n v="3428955.1641651681"/>
    <m/>
    <m/>
    <n v="0"/>
    <n v="75"/>
    <n v="1"/>
    <n v="4479136.5782304676"/>
    <m/>
    <m/>
    <n v="0"/>
    <n v="75"/>
    <n v="1"/>
    <n v="5850955.6193997953"/>
    <m/>
    <m/>
    <n v="0"/>
    <n v="16384047.361795431"/>
    <n v="15906.842098830515"/>
  </r>
  <r>
    <s v="4.3.1.1"/>
    <x v="0"/>
    <x v="0"/>
    <x v="0"/>
    <x v="0"/>
    <n v="1"/>
    <x v="0"/>
    <x v="0"/>
    <s v="Conduct a cross programatic efficiency study"/>
    <s v="Dissemination workshop (Lilongwe)"/>
    <s v="DSA (excl. lunch)"/>
    <n v="39000"/>
    <n v="58"/>
    <n v="2"/>
    <n v="4524000"/>
    <m/>
    <m/>
    <n v="0"/>
    <n v="58"/>
    <n v="2"/>
    <n v="5909559.3000697987"/>
    <m/>
    <m/>
    <n v="0"/>
    <n v="58"/>
    <n v="2"/>
    <n v="7719471.9542531949"/>
    <m/>
    <m/>
    <n v="0"/>
    <n v="58"/>
    <n v="2"/>
    <n v="10083704.084634162"/>
    <m/>
    <m/>
    <n v="0"/>
    <n v="28236735.338957153"/>
    <n v="27414.306154327332"/>
  </r>
  <r>
    <s v="4.3.1.1"/>
    <x v="0"/>
    <x v="0"/>
    <x v="0"/>
    <x v="0"/>
    <n v="1"/>
    <x v="0"/>
    <x v="0"/>
    <s v="Conduct a cross programatic efficiency study"/>
    <s v="Dissemination workshop"/>
    <s v="A4, 500 pages, 140 gsm paper"/>
    <n v="8000"/>
    <n v="10"/>
    <n v="1"/>
    <n v="80000"/>
    <m/>
    <m/>
    <n v="0"/>
    <n v="10"/>
    <n v="1"/>
    <n v="104501.49071741465"/>
    <m/>
    <m/>
    <n v="0"/>
    <n v="10"/>
    <n v="1"/>
    <n v="136507.01952702377"/>
    <m/>
    <m/>
    <n v="0"/>
    <n v="10"/>
    <n v="1"/>
    <n v="178314.83792456522"/>
    <m/>
    <m/>
    <n v="0"/>
    <n v="499323.34816900361"/>
    <n v="484.7799496786443"/>
  </r>
  <r>
    <s v="4.3.1.1"/>
    <x v="0"/>
    <x v="0"/>
    <x v="0"/>
    <x v="0"/>
    <n v="1"/>
    <x v="0"/>
    <x v="0"/>
    <s v="Conduct a cross programatic efficiency study"/>
    <s v="Dissemination workshop"/>
    <s v="Toner"/>
    <n v="104850"/>
    <n v="1"/>
    <n v="1"/>
    <n v="104850"/>
    <m/>
    <m/>
    <n v="0"/>
    <n v="1"/>
    <n v="1"/>
    <n v="136962.26627151159"/>
    <m/>
    <m/>
    <n v="0"/>
    <n v="1"/>
    <n v="1"/>
    <n v="178909.51246760553"/>
    <m/>
    <m/>
    <n v="0"/>
    <n v="1"/>
    <n v="1"/>
    <n v="233703.88445488326"/>
    <m/>
    <m/>
    <n v="0"/>
    <n v="654425.66319400037"/>
    <n v="635.36472154757314"/>
  </r>
  <r>
    <s v="4.3.1.1"/>
    <x v="0"/>
    <x v="0"/>
    <x v="0"/>
    <x v="0"/>
    <n v="1"/>
    <x v="0"/>
    <x v="0"/>
    <s v="Conduct a cross programatic efficiency study"/>
    <s v="Dissemination workshop"/>
    <s v="Fuel for travelling participants"/>
    <n v="285.57142857142856"/>
    <n v="22500"/>
    <n v="1"/>
    <n v="6425357.1428571427"/>
    <m/>
    <m/>
    <n v="0"/>
    <n v="22500"/>
    <n v="1"/>
    <n v="8393242.4977544956"/>
    <m/>
    <m/>
    <n v="0"/>
    <n v="22500"/>
    <n v="1"/>
    <n v="10963829.412101271"/>
    <m/>
    <m/>
    <n v="0"/>
    <n v="22500"/>
    <n v="1"/>
    <n v="14321706.469200233"/>
    <m/>
    <m/>
    <n v="0"/>
    <n v="40104135.521913141"/>
    <n v="38936.053904770037"/>
  </r>
  <r>
    <s v="4.3.1.1"/>
    <x v="0"/>
    <x v="0"/>
    <x v="0"/>
    <x v="0"/>
    <n v="1"/>
    <x v="0"/>
    <x v="0"/>
    <s v="Conduct a cross programatic efficiency study"/>
    <s v="Dissemination workshop"/>
    <s v="Local running (diesel, per km)"/>
    <n v="285.57142857142856"/>
    <n v="60"/>
    <n v="29"/>
    <n v="496894.28571428568"/>
    <m/>
    <m/>
    <n v="0"/>
    <n v="60"/>
    <n v="29"/>
    <n v="649077.41982634761"/>
    <m/>
    <m/>
    <n v="0"/>
    <n v="60"/>
    <n v="29"/>
    <n v="847869.47453583148"/>
    <m/>
    <m/>
    <n v="0"/>
    <n v="60"/>
    <n v="29"/>
    <n v="1107545.300284818"/>
    <m/>
    <m/>
    <n v="0"/>
    <n v="3101386.4803612828"/>
    <n v="3011.0548353022164"/>
  </r>
  <r>
    <s v="4.3.1.1"/>
    <x v="0"/>
    <x v="0"/>
    <x v="0"/>
    <x v="0"/>
    <n v="1"/>
    <x v="0"/>
    <x v="0"/>
    <s v="Conduct a cross programatic efficiency study"/>
    <s v="Implement recommendations of the CPEA report"/>
    <s v="Zero cost"/>
    <n v="0"/>
    <m/>
    <m/>
    <n v="0"/>
    <m/>
    <m/>
    <n v="0"/>
    <m/>
    <m/>
    <n v="0"/>
    <m/>
    <m/>
    <n v="0"/>
    <m/>
    <m/>
    <n v="0"/>
    <m/>
    <m/>
    <n v="0"/>
    <m/>
    <m/>
    <n v="0"/>
    <m/>
    <m/>
    <n v="0"/>
    <n v="0"/>
    <n v="0"/>
  </r>
  <r>
    <s v="4.3.1.1"/>
    <x v="0"/>
    <x v="0"/>
    <x v="0"/>
    <x v="0"/>
    <n v="2"/>
    <x v="1"/>
    <x v="1"/>
    <s v="development of inservice training curriculum"/>
    <s v="Develop a concept note "/>
    <s v="Zero cost"/>
    <n v="0"/>
    <n v="0"/>
    <n v="0"/>
    <n v="0"/>
    <n v="0"/>
    <n v="0"/>
    <n v="0"/>
    <n v="0"/>
    <n v="0"/>
    <n v="0"/>
    <n v="0"/>
    <n v="0"/>
    <n v="0"/>
    <n v="0"/>
    <n v="0"/>
    <n v="0"/>
    <n v="0"/>
    <n v="0"/>
    <n v="0"/>
    <n v="0"/>
    <n v="0"/>
    <n v="0"/>
    <n v="0"/>
    <n v="0"/>
    <n v="0"/>
    <n v="0"/>
    <n v="0"/>
  </r>
  <r>
    <s v="4.3.1.1"/>
    <x v="0"/>
    <x v="0"/>
    <x v="0"/>
    <x v="0"/>
    <n v="2"/>
    <x v="1"/>
    <x v="1"/>
    <s v="development of inservice training curriculum"/>
    <s v="Conduct 3 meetings to set up CPEA taskforce"/>
    <s v="Zero cost"/>
    <n v="0"/>
    <n v="0"/>
    <n v="0"/>
    <n v="0"/>
    <n v="0"/>
    <n v="0"/>
    <n v="0"/>
    <n v="0"/>
    <n v="0"/>
    <n v="0"/>
    <n v="0"/>
    <n v="0"/>
    <n v="0"/>
    <n v="0"/>
    <n v="0"/>
    <n v="0"/>
    <n v="0"/>
    <n v="0"/>
    <n v="0"/>
    <n v="0"/>
    <n v="0"/>
    <n v="0"/>
    <n v="0"/>
    <n v="0"/>
    <n v="0"/>
    <n v="0"/>
    <n v="0"/>
  </r>
  <r>
    <s v="4.3.1.1"/>
    <x v="0"/>
    <x v="0"/>
    <x v="0"/>
    <x v="0"/>
    <n v="2"/>
    <x v="1"/>
    <x v="1"/>
    <s v="development of inservice training curriculum"/>
    <s v="Develop ToRs for the CPEA consultant"/>
    <s v="Conference package high-level"/>
    <n v="35000"/>
    <n v="10"/>
    <n v="1"/>
    <n v="350000"/>
    <n v="0"/>
    <n v="0"/>
    <n v="0"/>
    <n v="0"/>
    <n v="0"/>
    <n v="0"/>
    <n v="0"/>
    <n v="0"/>
    <n v="0"/>
    <n v="10"/>
    <n v="1"/>
    <n v="597218.21043072897"/>
    <n v="0"/>
    <n v="0"/>
    <n v="0"/>
    <n v="0"/>
    <n v="0"/>
    <n v="0"/>
    <n v="0"/>
    <n v="0"/>
    <n v="0"/>
    <n v="947218.21043072897"/>
    <n v="919.62933051527079"/>
  </r>
  <r>
    <s v="4.3.1.1"/>
    <x v="0"/>
    <x v="0"/>
    <x v="0"/>
    <x v="0"/>
    <n v="2"/>
    <x v="1"/>
    <x v="1"/>
    <s v="development of inservice training curriculum"/>
    <s v="Recruitment of a consultant"/>
    <s v="Newspaper advert (full)"/>
    <n v="391991.03749999998"/>
    <n v="1"/>
    <n v="1"/>
    <n v="391991.03749999998"/>
    <n v="0"/>
    <n v="0"/>
    <n v="0"/>
    <n v="0"/>
    <n v="0"/>
    <n v="0"/>
    <n v="0"/>
    <n v="0"/>
    <n v="0"/>
    <n v="1"/>
    <n v="1"/>
    <n v="668869.10263038508"/>
    <n v="0"/>
    <n v="0"/>
    <n v="0"/>
    <n v="0"/>
    <n v="0"/>
    <n v="0"/>
    <n v="0"/>
    <n v="0"/>
    <n v="0"/>
    <n v="1060860.1401303851"/>
    <n v="1029.9613010974613"/>
  </r>
  <r>
    <s v="4.3.1.1"/>
    <x v="0"/>
    <x v="0"/>
    <x v="0"/>
    <x v="0"/>
    <n v="2"/>
    <x v="1"/>
    <x v="1"/>
    <s v="development of inservice training curriculum"/>
    <s v="Recruitment of a consultant"/>
    <s v="Local consultant fee - High level"/>
    <n v="511000"/>
    <n v="5"/>
    <n v="45"/>
    <n v="114975000"/>
    <n v="0"/>
    <n v="0"/>
    <n v="0"/>
    <n v="0"/>
    <n v="0"/>
    <n v="0"/>
    <n v="0"/>
    <n v="0"/>
    <n v="0"/>
    <n v="5"/>
    <n v="45"/>
    <n v="196186182.12649447"/>
    <n v="0"/>
    <n v="0"/>
    <n v="0"/>
    <n v="0"/>
    <n v="0"/>
    <n v="0"/>
    <m/>
    <m/>
    <n v="0"/>
    <n v="311161182.12649447"/>
    <n v="302098.2350742665"/>
  </r>
  <r>
    <s v="4.3.1.1"/>
    <x v="0"/>
    <x v="0"/>
    <x v="0"/>
    <x v="0"/>
    <n v="2"/>
    <x v="1"/>
    <x v="1"/>
    <s v="development of inservice training curriculum"/>
    <s v="Finalize recruitment of a consultant "/>
    <s v="Zero cost"/>
    <m/>
    <n v="0"/>
    <n v="0"/>
    <n v="0"/>
    <n v="0"/>
    <n v="0"/>
    <n v="0"/>
    <n v="0"/>
    <n v="0"/>
    <n v="0"/>
    <n v="0"/>
    <n v="0"/>
    <n v="0"/>
    <n v="0"/>
    <n v="0"/>
    <n v="0"/>
    <n v="0"/>
    <n v="0"/>
    <n v="0"/>
    <n v="0"/>
    <n v="0"/>
    <n v="0"/>
    <n v="0"/>
    <n v="0"/>
    <n v="0"/>
    <n v="0"/>
    <n v="0"/>
  </r>
  <r>
    <s v="4.3.1.1"/>
    <x v="0"/>
    <x v="0"/>
    <x v="0"/>
    <x v="0"/>
    <n v="2"/>
    <x v="1"/>
    <x v="1"/>
    <s v="development of inservice training curriculum"/>
    <s v="Consultant to hold three stakeholder consultation workshops of 4 days each"/>
    <s v="Conference package high-level"/>
    <n v="35000"/>
    <n v="100"/>
    <n v="12"/>
    <n v="42000000"/>
    <n v="0"/>
    <n v="0"/>
    <n v="0"/>
    <n v="0"/>
    <n v="0"/>
    <n v="0"/>
    <n v="0"/>
    <n v="0"/>
    <n v="0"/>
    <n v="100"/>
    <n v="12"/>
    <n v="71666185.251687482"/>
    <m/>
    <m/>
    <n v="0"/>
    <m/>
    <m/>
    <n v="0"/>
    <m/>
    <m/>
    <n v="0"/>
    <n v="113666185.25168748"/>
    <n v="110355.51966183251"/>
  </r>
  <r>
    <s v="4.3.1.1"/>
    <x v="0"/>
    <x v="0"/>
    <x v="0"/>
    <x v="0"/>
    <n v="2"/>
    <x v="1"/>
    <x v="1"/>
    <s v="development of inservice training curriculum"/>
    <s v="Consultant to hold stakeholder consultation workshop "/>
    <s v="DSA (excl. lunch)"/>
    <n v="39000"/>
    <n v="58"/>
    <n v="15"/>
    <n v="33930000"/>
    <n v="0"/>
    <n v="0"/>
    <n v="0"/>
    <n v="0"/>
    <n v="0"/>
    <n v="0"/>
    <n v="0"/>
    <n v="0"/>
    <n v="0"/>
    <n v="58"/>
    <n v="15"/>
    <n v="57896039.65689896"/>
    <m/>
    <m/>
    <n v="0"/>
    <m/>
    <m/>
    <n v="0"/>
    <m/>
    <m/>
    <n v="0"/>
    <n v="91826039.65689896"/>
    <n v="89151.494812523262"/>
  </r>
  <r>
    <s v="4.3.1.1"/>
    <x v="0"/>
    <x v="0"/>
    <x v="0"/>
    <x v="0"/>
    <n v="2"/>
    <x v="1"/>
    <x v="1"/>
    <s v="development of inservice training curriculum"/>
    <s v="Consultant to hold three stakeholder consultation workshops of 4 days each"/>
    <s v="Fuel for travelling participants (29 cars from all district health teams to lilongwe and back)"/>
    <n v="285.57142857142856"/>
    <n v="22500"/>
    <n v="1"/>
    <n v="6425357.1428571427"/>
    <n v="0"/>
    <n v="0"/>
    <n v="0"/>
    <n v="0"/>
    <n v="0"/>
    <n v="0"/>
    <n v="0"/>
    <n v="0"/>
    <n v="0"/>
    <n v="22500"/>
    <n v="1"/>
    <n v="10963829.412101271"/>
    <n v="0"/>
    <n v="0"/>
    <n v="0"/>
    <n v="0"/>
    <n v="0"/>
    <n v="0"/>
    <n v="0"/>
    <n v="0"/>
    <n v="0"/>
    <n v="17389186.554958414"/>
    <n v="16882.705393163509"/>
  </r>
  <r>
    <s v="4.3.1.1"/>
    <x v="0"/>
    <x v="0"/>
    <x v="0"/>
    <x v="0"/>
    <n v="2"/>
    <x v="1"/>
    <x v="1"/>
    <s v="development of inservice training curriculum"/>
    <s v="Consultant to hold stakeholder consultation workshop "/>
    <s v="Local running (diesel, per km) (29 cars local running costs in Lilongwe for  1day)"/>
    <n v="285.57142857142856"/>
    <n v="1450"/>
    <n v="2"/>
    <n v="828157.14285714284"/>
    <n v="0"/>
    <n v="0"/>
    <n v="0"/>
    <n v="0"/>
    <n v="0"/>
    <n v="0"/>
    <n v="0"/>
    <n v="0"/>
    <n v="0"/>
    <n v="1450"/>
    <n v="2"/>
    <n v="1413115.7908930525"/>
    <m/>
    <m/>
    <n v="0"/>
    <m/>
    <m/>
    <n v="0"/>
    <m/>
    <m/>
    <n v="0"/>
    <n v="2241272.9337501954"/>
    <n v="2175.9931395632966"/>
  </r>
  <r>
    <s v="4.3.1.1"/>
    <x v="0"/>
    <x v="0"/>
    <x v="0"/>
    <x v="0"/>
    <n v="2"/>
    <x v="1"/>
    <x v="1"/>
    <s v="development of inservice training curriculum"/>
    <s v="Consultant to hold a 1 day validation workshop"/>
    <s v="Conference package high-level"/>
    <n v="35000"/>
    <n v="100"/>
    <n v="1"/>
    <n v="3500000"/>
    <n v="0"/>
    <n v="0"/>
    <n v="0"/>
    <n v="0"/>
    <n v="0"/>
    <n v="0"/>
    <n v="0"/>
    <n v="0"/>
    <n v="0"/>
    <n v="100"/>
    <n v="1"/>
    <n v="5972182.1043072902"/>
    <m/>
    <m/>
    <n v="0"/>
    <m/>
    <m/>
    <n v="0"/>
    <m/>
    <m/>
    <n v="0"/>
    <n v="9472182.1043072902"/>
    <n v="9196.2933051527089"/>
  </r>
  <r>
    <s v="4.3.1.1"/>
    <x v="0"/>
    <x v="0"/>
    <x v="0"/>
    <x v="0"/>
    <n v="2"/>
    <x v="1"/>
    <x v="1"/>
    <s v="development of inservice training curriculum"/>
    <s v="Consultant to hold a 1 day validation workshop"/>
    <s v="DSA (excl. lunch)"/>
    <n v="39000"/>
    <n v="58"/>
    <n v="2"/>
    <n v="4524000"/>
    <n v="0"/>
    <n v="0"/>
    <n v="0"/>
    <n v="0"/>
    <n v="0"/>
    <n v="0"/>
    <n v="0"/>
    <n v="0"/>
    <n v="0"/>
    <n v="58"/>
    <n v="2"/>
    <n v="7719471.9542531949"/>
    <m/>
    <m/>
    <n v="0"/>
    <m/>
    <m/>
    <n v="0"/>
    <m/>
    <m/>
    <n v="0"/>
    <n v="12243471.954253195"/>
    <n v="11886.865975003102"/>
  </r>
  <r>
    <s v="4.3.1.1"/>
    <x v="0"/>
    <x v="0"/>
    <x v="0"/>
    <x v="0"/>
    <n v="2"/>
    <x v="1"/>
    <x v="1"/>
    <s v="development of inservice training curriculum"/>
    <s v="Consultant to produce report and a curriculum for in-service training"/>
    <s v="A4, 500 pages, 140 gsm paper"/>
    <n v="8000"/>
    <n v="10"/>
    <n v="2"/>
    <n v="160000"/>
    <n v="0"/>
    <n v="0"/>
    <n v="0"/>
    <n v="0"/>
    <n v="0"/>
    <n v="0"/>
    <n v="0"/>
    <n v="0"/>
    <n v="0"/>
    <n v="10"/>
    <n v="2"/>
    <n v="273014.03905404755"/>
    <m/>
    <m/>
    <n v="0"/>
    <m/>
    <m/>
    <n v="0"/>
    <m/>
    <m/>
    <n v="0"/>
    <n v="433014.03905404755"/>
    <n v="420.40197966412381"/>
  </r>
  <r>
    <s v="4.3.1.1"/>
    <x v="0"/>
    <x v="0"/>
    <x v="0"/>
    <x v="0"/>
    <n v="2"/>
    <x v="1"/>
    <x v="1"/>
    <s v="development of inservice training curriculum"/>
    <s v="Consultant to produce report and a curriculum for in-service training"/>
    <s v="Toner"/>
    <n v="104850"/>
    <n v="1"/>
    <n v="1"/>
    <n v="104850"/>
    <n v="0"/>
    <n v="0"/>
    <n v="0"/>
    <n v="0"/>
    <n v="0"/>
    <n v="0"/>
    <n v="0"/>
    <n v="0"/>
    <n v="0"/>
    <n v="1"/>
    <n v="1"/>
    <n v="178909.51246760553"/>
    <m/>
    <m/>
    <n v="0"/>
    <m/>
    <m/>
    <n v="0"/>
    <m/>
    <m/>
    <n v="0"/>
    <n v="283759.51246760553"/>
    <n v="275.49467229864615"/>
  </r>
  <r>
    <s v="4.3.1.1"/>
    <x v="0"/>
    <x v="0"/>
    <x v="0"/>
    <x v="0"/>
    <n v="2"/>
    <x v="1"/>
    <x v="1"/>
    <s v="development of inservice training curriculum"/>
    <s v="Consultant to present to the HR TWG"/>
    <s v="Conference package high-level"/>
    <n v="35000"/>
    <n v="35"/>
    <n v="1"/>
    <n v="1225000"/>
    <n v="0"/>
    <n v="0"/>
    <n v="0"/>
    <n v="0"/>
    <n v="0"/>
    <n v="0"/>
    <n v="0"/>
    <n v="0"/>
    <n v="0"/>
    <n v="35"/>
    <n v="1"/>
    <n v="2090263.7365075515"/>
    <m/>
    <m/>
    <n v="0"/>
    <m/>
    <m/>
    <n v="0"/>
    <m/>
    <m/>
    <n v="0"/>
    <n v="3315263.7365075517"/>
    <n v="3218.7026568034485"/>
  </r>
  <r>
    <s v="4.3.1.1"/>
    <x v="0"/>
    <x v="0"/>
    <x v="0"/>
    <x v="0"/>
    <n v="2"/>
    <x v="1"/>
    <x v="1"/>
    <s v="development of inservice training curriculum"/>
    <s v="Presentation to senior management"/>
    <s v="Zero cost"/>
    <n v="0"/>
    <n v="50"/>
    <n v="0.5"/>
    <n v="0"/>
    <n v="0"/>
    <n v="0"/>
    <n v="0"/>
    <n v="0"/>
    <n v="0"/>
    <n v="0"/>
    <n v="0"/>
    <n v="0"/>
    <n v="0"/>
    <n v="50"/>
    <n v="0.5"/>
    <n v="0"/>
    <m/>
    <m/>
    <n v="0"/>
    <m/>
    <m/>
    <n v="0"/>
    <m/>
    <m/>
    <n v="0"/>
    <n v="0"/>
    <n v="0"/>
  </r>
  <r>
    <s v="4.3.1.1"/>
    <x v="0"/>
    <x v="0"/>
    <x v="0"/>
    <x v="0"/>
    <n v="3"/>
    <x v="2"/>
    <x v="2"/>
    <s v="Clarify roles, responsibilities and processes (including transportation and warehousing) "/>
    <s v="Develop a concept note"/>
    <s v="Zero cost"/>
    <n v="0"/>
    <n v="0"/>
    <n v="0"/>
    <n v="0"/>
    <n v="20"/>
    <n v="1"/>
    <n v="0"/>
    <n v="0"/>
    <n v="0"/>
    <n v="0"/>
    <n v="0"/>
    <n v="0"/>
    <n v="0"/>
    <n v="20"/>
    <n v="1"/>
    <n v="0"/>
    <m/>
    <m/>
    <n v="0"/>
    <n v="20"/>
    <n v="1"/>
    <n v="0"/>
    <m/>
    <m/>
    <n v="0"/>
    <n v="0"/>
    <n v="0"/>
  </r>
  <r>
    <s v="4.3.1.1"/>
    <x v="0"/>
    <x v="0"/>
    <x v="0"/>
    <x v="0"/>
    <n v="3"/>
    <x v="2"/>
    <x v="2"/>
    <s v="Clarify roles, responsibilities and processes (including transportation and warehousing) "/>
    <s v="Set up a taskforce on clarifying roles, responsibilities and processes"/>
    <s v="Zero cost"/>
    <n v="0"/>
    <n v="0"/>
    <n v="0"/>
    <n v="0"/>
    <n v="0"/>
    <n v="0"/>
    <n v="0"/>
    <n v="0"/>
    <n v="0"/>
    <n v="0"/>
    <n v="0"/>
    <n v="0"/>
    <n v="0"/>
    <n v="0"/>
    <n v="0"/>
    <n v="0"/>
    <m/>
    <m/>
    <n v="0"/>
    <n v="0"/>
    <n v="0"/>
    <n v="0"/>
    <m/>
    <m/>
    <n v="0"/>
    <n v="0"/>
    <n v="0"/>
  </r>
  <r>
    <s v="4.3.1.1"/>
    <x v="0"/>
    <x v="0"/>
    <x v="0"/>
    <x v="0"/>
    <n v="3"/>
    <x v="2"/>
    <x v="2"/>
    <s v="Clarify roles, responsibilities and processes (including transportation and warehousing) "/>
    <s v="Recruit a consultant to conduct process mapping and situation analysis and to develop standard operation procedures for logistics systems "/>
    <s v="Local consultant fee - High level"/>
    <n v="511000"/>
    <n v="0"/>
    <n v="0"/>
    <n v="0"/>
    <n v="1"/>
    <n v="30"/>
    <n v="17520980.417009998"/>
    <n v="0"/>
    <n v="0"/>
    <n v="0"/>
    <n v="0"/>
    <n v="0"/>
    <n v="0"/>
    <n v="0"/>
    <n v="0"/>
    <n v="0"/>
    <m/>
    <m/>
    <n v="0"/>
    <n v="1"/>
    <n v="30"/>
    <n v="34169580.817294806"/>
    <m/>
    <m/>
    <n v="0"/>
    <n v="51690561.234304801"/>
    <n v="50185.010907092037"/>
  </r>
  <r>
    <s v="4.3.1.1"/>
    <x v="0"/>
    <x v="0"/>
    <x v="0"/>
    <x v="0"/>
    <n v="3"/>
    <x v="2"/>
    <x v="2"/>
    <s v="Clarify roles, responsibilities and processes (including transportation and warehousing) "/>
    <s v="Recruit a consultant to conduct process mapping and situation analysis and to develop standard operation procedures for logistics systems "/>
    <s v="Newspaper advert (full)"/>
    <n v="391991.03749999998"/>
    <n v="0"/>
    <n v="0"/>
    <n v="0"/>
    <n v="2"/>
    <n v="2"/>
    <n v="1792059.3063746723"/>
    <n v="0"/>
    <n v="0"/>
    <n v="0"/>
    <n v="0"/>
    <n v="0"/>
    <n v="0"/>
    <n v="0"/>
    <n v="0"/>
    <n v="0"/>
    <m/>
    <m/>
    <n v="0"/>
    <n v="2"/>
    <n v="2"/>
    <n v="3494890.915984733"/>
    <m/>
    <m/>
    <n v="0"/>
    <n v="5286950.2223594058"/>
    <n v="5132.9613809314624"/>
  </r>
  <r>
    <s v="4.3.1.1"/>
    <x v="0"/>
    <x v="0"/>
    <x v="0"/>
    <x v="0"/>
    <n v="3"/>
    <x v="2"/>
    <x v="2"/>
    <s v="Clarify roles, responsibilities and processes (including transportation and warehousing) "/>
    <s v="Data collection"/>
    <s v="Full DSA"/>
    <n v="45000"/>
    <n v="0"/>
    <n v="0"/>
    <n v="0"/>
    <n v="1"/>
    <n v="15"/>
    <n v="771471.74047499988"/>
    <n v="0"/>
    <n v="0"/>
    <n v="0"/>
    <n v="0"/>
    <n v="0"/>
    <n v="0"/>
    <n v="0"/>
    <n v="0"/>
    <n v="0"/>
    <m/>
    <m/>
    <n v="0"/>
    <n v="1"/>
    <n v="15"/>
    <n v="1504531.444988519"/>
    <m/>
    <m/>
    <n v="0"/>
    <n v="2276003.1854635188"/>
    <n v="2209.7118305471058"/>
  </r>
  <r>
    <s v="4.3.1.1"/>
    <x v="0"/>
    <x v="0"/>
    <x v="0"/>
    <x v="0"/>
    <n v="3"/>
    <x v="2"/>
    <x v="2"/>
    <s v="Clarify roles, responsibilities and processes (including transportation and warehousing) "/>
    <s v="Data collection"/>
    <s v="Tablet"/>
    <n v="302000"/>
    <n v="0"/>
    <n v="0"/>
    <n v="0"/>
    <n v="1"/>
    <n v="1"/>
    <n v="345162.17129399994"/>
    <n v="0"/>
    <n v="0"/>
    <n v="0"/>
    <n v="0"/>
    <n v="0"/>
    <n v="0"/>
    <n v="0"/>
    <n v="0"/>
    <n v="0"/>
    <m/>
    <m/>
    <n v="0"/>
    <n v="1"/>
    <n v="1"/>
    <n v="673138.51316523366"/>
    <m/>
    <m/>
    <n v="0"/>
    <n v="1018300.6844592337"/>
    <n v="988.64144122255698"/>
  </r>
  <r>
    <s v="4.3.1.1"/>
    <x v="0"/>
    <x v="0"/>
    <x v="0"/>
    <x v="0"/>
    <n v="3"/>
    <x v="2"/>
    <x v="2"/>
    <s v="Clarify roles, responsibilities and processes (including transportation and warehousing) "/>
    <s v="Data collection"/>
    <s v="Fuel for consultant to collect data (diesel, per km)"/>
    <n v="285.57142857142856"/>
    <n v="0"/>
    <n v="0"/>
    <n v="0"/>
    <n v="5000"/>
    <n v="1"/>
    <n v="1631928.0520735711"/>
    <m/>
    <m/>
    <n v="0"/>
    <m/>
    <m/>
    <n v="0"/>
    <m/>
    <m/>
    <n v="0"/>
    <m/>
    <m/>
    <n v="0"/>
    <n v="5000"/>
    <n v="1"/>
    <n v="3182601.437600052"/>
    <m/>
    <m/>
    <n v="0"/>
    <n v="4814529.4896736229"/>
    <n v="4674.3004754112844"/>
  </r>
  <r>
    <s v="4.3.1.1"/>
    <x v="0"/>
    <x v="0"/>
    <x v="0"/>
    <x v="0"/>
    <n v="3"/>
    <x v="2"/>
    <x v="2"/>
    <s v="Clarify roles, responsibilities and processes (including transportation and warehousing) "/>
    <s v="Data collection"/>
    <s v="Local running (diesel, per km)"/>
    <n v="285.57142857142856"/>
    <n v="0"/>
    <n v="0"/>
    <n v="0"/>
    <n v="1500"/>
    <n v="1"/>
    <n v="489578.4156220713"/>
    <n v="0"/>
    <n v="0"/>
    <n v="0"/>
    <n v="0"/>
    <n v="0"/>
    <n v="0"/>
    <n v="0"/>
    <n v="0"/>
    <n v="0"/>
    <m/>
    <m/>
    <n v="0"/>
    <n v="1500"/>
    <n v="1"/>
    <n v="954780.4312800155"/>
    <m/>
    <m/>
    <n v="0"/>
    <n v="1444358.8469020869"/>
    <n v="1402.2901426233852"/>
  </r>
  <r>
    <s v="4.3.1.1"/>
    <x v="0"/>
    <x v="0"/>
    <x v="0"/>
    <x v="0"/>
    <n v="3"/>
    <x v="2"/>
    <x v="2"/>
    <s v="Clarify roles, responsibilities and processes (including transportation and warehousing) "/>
    <s v="Data collection"/>
    <s v="Airtime for consultant"/>
    <n v="100000"/>
    <n v="0"/>
    <n v="0"/>
    <n v="0"/>
    <n v="1"/>
    <n v="1"/>
    <n v="114292.10969999999"/>
    <n v="0"/>
    <n v="0"/>
    <n v="0"/>
    <n v="0"/>
    <n v="0"/>
    <n v="0"/>
    <n v="0"/>
    <n v="0"/>
    <n v="0"/>
    <m/>
    <m/>
    <n v="0"/>
    <n v="1"/>
    <n v="1"/>
    <n v="222893.54740570651"/>
    <m/>
    <m/>
    <n v="0"/>
    <n v="337185.65710570652"/>
    <n v="327.36471563660825"/>
  </r>
  <r>
    <s v="4.3.1.1"/>
    <x v="0"/>
    <x v="0"/>
    <x v="0"/>
    <x v="0"/>
    <n v="3"/>
    <x v="2"/>
    <x v="2"/>
    <s v="Clarify roles, responsibilities and processes (including transportation and warehousing) "/>
    <s v="Data analysis"/>
    <s v="DSA (excl. lunch)"/>
    <n v="39000"/>
    <n v="0"/>
    <n v="0"/>
    <n v="0"/>
    <m/>
    <m/>
    <n v="0"/>
    <n v="0"/>
    <n v="0"/>
    <n v="0"/>
    <n v="0"/>
    <n v="0"/>
    <n v="0"/>
    <n v="0"/>
    <n v="0"/>
    <n v="0"/>
    <m/>
    <m/>
    <n v="0"/>
    <m/>
    <m/>
    <n v="0"/>
    <m/>
    <m/>
    <n v="0"/>
    <n v="0"/>
    <n v="0"/>
  </r>
  <r>
    <s v="4.3.1.1"/>
    <x v="0"/>
    <x v="0"/>
    <x v="0"/>
    <x v="0"/>
    <n v="3"/>
    <x v="2"/>
    <x v="2"/>
    <s v="Clarify roles, responsibilities and processes (including transportation and warehousing) "/>
    <s v="Data analysis"/>
    <s v="Conference package high-level"/>
    <n v="35000"/>
    <n v="0"/>
    <n v="0"/>
    <n v="0"/>
    <n v="20"/>
    <n v="5"/>
    <n v="4000223.8394999993"/>
    <n v="0"/>
    <n v="0"/>
    <n v="0"/>
    <n v="0"/>
    <n v="0"/>
    <n v="0"/>
    <n v="0"/>
    <n v="0"/>
    <n v="0"/>
    <m/>
    <m/>
    <n v="0"/>
    <n v="20"/>
    <n v="5"/>
    <n v="7801274.1591997268"/>
    <m/>
    <m/>
    <n v="0"/>
    <n v="11801497.998699727"/>
    <n v="11457.765047281287"/>
  </r>
  <r>
    <s v="4.3.1.1"/>
    <x v="0"/>
    <x v="0"/>
    <x v="0"/>
    <x v="0"/>
    <n v="3"/>
    <x v="2"/>
    <x v="2"/>
    <s v="Clarify roles, responsibilities and processes (including transportation and warehousing) "/>
    <s v="Data analysis"/>
    <s v="Fuel for travelling participants"/>
    <n v="285.57142857142856"/>
    <n v="0"/>
    <n v="0"/>
    <n v="0"/>
    <n v="22500"/>
    <n v="1"/>
    <n v="7343676.2343310704"/>
    <m/>
    <m/>
    <n v="0"/>
    <m/>
    <m/>
    <n v="0"/>
    <m/>
    <m/>
    <n v="0"/>
    <m/>
    <m/>
    <n v="0"/>
    <n v="22500"/>
    <n v="1"/>
    <n v="14321706.469200233"/>
    <m/>
    <m/>
    <n v="0"/>
    <n v="21665382.703531303"/>
    <n v="21034.35213935078"/>
  </r>
  <r>
    <s v="4.3.1.1"/>
    <x v="0"/>
    <x v="0"/>
    <x v="0"/>
    <x v="0"/>
    <n v="3"/>
    <x v="2"/>
    <x v="2"/>
    <s v="Clarify roles, responsibilities and processes (including transportation and warehousing) "/>
    <s v="Data analysis"/>
    <s v="Local running (diesel, per km)"/>
    <n v="285.57142857142856"/>
    <n v="0"/>
    <n v="0"/>
    <n v="0"/>
    <n v="25"/>
    <n v="10"/>
    <n v="81596.402603678551"/>
    <n v="0"/>
    <n v="0"/>
    <n v="0"/>
    <n v="0"/>
    <n v="0"/>
    <n v="0"/>
    <n v="0"/>
    <n v="0"/>
    <n v="0"/>
    <m/>
    <m/>
    <n v="0"/>
    <n v="25"/>
    <n v="10"/>
    <n v="159130.07188000259"/>
    <m/>
    <m/>
    <n v="0"/>
    <n v="240726.47448368114"/>
    <n v="233.71502377056422"/>
  </r>
  <r>
    <s v="4.3.1.1"/>
    <x v="0"/>
    <x v="0"/>
    <x v="0"/>
    <x v="0"/>
    <n v="3"/>
    <x v="2"/>
    <x v="2"/>
    <s v="Clarify roles, responsibilities and processes (including transportation and warehousing) "/>
    <s v="Report writing (consultant)"/>
    <s v="Zero cost"/>
    <n v="0"/>
    <n v="0"/>
    <n v="0"/>
    <n v="0"/>
    <n v="0"/>
    <n v="0"/>
    <n v="0"/>
    <n v="0"/>
    <n v="0"/>
    <n v="0"/>
    <n v="0"/>
    <n v="0"/>
    <n v="0"/>
    <n v="0"/>
    <n v="0"/>
    <n v="0"/>
    <m/>
    <m/>
    <n v="0"/>
    <n v="0"/>
    <n v="0"/>
    <n v="0"/>
    <m/>
    <m/>
    <n v="0"/>
    <n v="0"/>
    <n v="0"/>
  </r>
  <r>
    <s v="4.3.1.1"/>
    <x v="0"/>
    <x v="0"/>
    <x v="0"/>
    <x v="0"/>
    <n v="3"/>
    <x v="2"/>
    <x v="2"/>
    <s v="Clarify roles, responsibilities and processes (including transportation and warehousing) "/>
    <s v="Validation Workshop"/>
    <s v="Conference package high-level"/>
    <n v="35000"/>
    <n v="0"/>
    <n v="0"/>
    <n v="0"/>
    <n v="100"/>
    <n v="5"/>
    <n v="20001119.197499998"/>
    <m/>
    <m/>
    <n v="0"/>
    <m/>
    <m/>
    <n v="0"/>
    <m/>
    <m/>
    <n v="0"/>
    <m/>
    <m/>
    <n v="0"/>
    <n v="100"/>
    <n v="5"/>
    <n v="39006370.795998633"/>
    <m/>
    <m/>
    <n v="0"/>
    <n v="59007489.993498631"/>
    <n v="57288.825236406439"/>
  </r>
  <r>
    <s v="4.3.1.1"/>
    <x v="0"/>
    <x v="0"/>
    <x v="0"/>
    <x v="0"/>
    <n v="3"/>
    <x v="2"/>
    <x v="2"/>
    <s v="Clarify roles, responsibilities and processes (including transportation and warehousing) "/>
    <s v="Validation Workshop"/>
    <s v="DSA (excl. lunch)"/>
    <n v="39000"/>
    <n v="0"/>
    <n v="0"/>
    <n v="0"/>
    <n v="58"/>
    <n v="6"/>
    <n v="15511725.128483998"/>
    <m/>
    <m/>
    <n v="0"/>
    <m/>
    <m/>
    <n v="0"/>
    <m/>
    <m/>
    <n v="0"/>
    <m/>
    <m/>
    <n v="0"/>
    <n v="58"/>
    <n v="6"/>
    <n v="30251112.253902487"/>
    <m/>
    <m/>
    <n v="0"/>
    <n v="45762837.382386483"/>
    <n v="44429.93920620047"/>
  </r>
  <r>
    <s v="4.3.1.1"/>
    <x v="0"/>
    <x v="0"/>
    <x v="0"/>
    <x v="0"/>
    <n v="3"/>
    <x v="2"/>
    <x v="2"/>
    <s v="Clarify roles, responsibilities and processes (including transportation and warehousing) "/>
    <s v="Validation Workshop"/>
    <s v="Local running (diesel, per km)"/>
    <n v="285.57142857142856"/>
    <n v="0"/>
    <n v="0"/>
    <n v="0"/>
    <n v="1450"/>
    <n v="5"/>
    <n v="2366295.6755066784"/>
    <m/>
    <m/>
    <n v="0"/>
    <m/>
    <m/>
    <n v="0"/>
    <m/>
    <m/>
    <n v="0"/>
    <m/>
    <m/>
    <n v="0"/>
    <n v="1450"/>
    <n v="5"/>
    <n v="4614772.0845200755"/>
    <m/>
    <m/>
    <n v="0"/>
    <n v="6981067.7600267539"/>
    <n v="6777.735689346363"/>
  </r>
  <r>
    <s v="4.3.1.1"/>
    <x v="0"/>
    <x v="0"/>
    <x v="0"/>
    <x v="0"/>
    <n v="3"/>
    <x v="2"/>
    <x v="2"/>
    <s v="Clarify roles, responsibilities and processes (including transportation and warehousing) "/>
    <s v="Validation Workshop"/>
    <s v="Fuel for travelling participants"/>
    <n v="285.57142857142856"/>
    <n v="0"/>
    <n v="0"/>
    <n v="0"/>
    <n v="22500"/>
    <n v="1"/>
    <n v="7343676.2343310704"/>
    <m/>
    <m/>
    <n v="0"/>
    <m/>
    <m/>
    <n v="0"/>
    <m/>
    <m/>
    <n v="0"/>
    <m/>
    <m/>
    <n v="0"/>
    <n v="22500"/>
    <n v="1"/>
    <n v="14321706.469200233"/>
    <m/>
    <m/>
    <n v="0"/>
    <n v="21665382.703531303"/>
    <n v="21034.35213935078"/>
  </r>
  <r>
    <s v="4.3.1.1"/>
    <x v="0"/>
    <x v="0"/>
    <x v="0"/>
    <x v="0"/>
    <n v="3"/>
    <x v="2"/>
    <x v="2"/>
    <s v="Clarify roles, responsibilities and processes (including transportation and warehousing) "/>
    <s v="Dissemination "/>
    <s v="Conference package high-level"/>
    <n v="35000"/>
    <n v="0"/>
    <n v="0"/>
    <n v="0"/>
    <n v="100"/>
    <n v="1"/>
    <n v="4000223.8394999993"/>
    <n v="0"/>
    <n v="0"/>
    <n v="0"/>
    <n v="0"/>
    <n v="0"/>
    <n v="0"/>
    <n v="0"/>
    <n v="0"/>
    <n v="0"/>
    <m/>
    <m/>
    <n v="0"/>
    <n v="100"/>
    <n v="1"/>
    <n v="7801274.1591997268"/>
    <m/>
    <m/>
    <n v="0"/>
    <n v="11801497.998699727"/>
    <n v="11457.765047281287"/>
  </r>
  <r>
    <s v="4.3.1.1"/>
    <x v="0"/>
    <x v="0"/>
    <x v="0"/>
    <x v="0"/>
    <n v="3"/>
    <x v="2"/>
    <x v="2"/>
    <s v="Clarify roles, responsibilities and processes (including transportation and warehousing) "/>
    <s v="Dissemination "/>
    <s v="DSA (excl. lunch)"/>
    <n v="39000"/>
    <n v="0"/>
    <n v="0"/>
    <n v="0"/>
    <n v="58"/>
    <n v="2"/>
    <n v="5170575.0428279992"/>
    <n v="0"/>
    <n v="0"/>
    <n v="0"/>
    <n v="0"/>
    <n v="0"/>
    <n v="0"/>
    <n v="0"/>
    <n v="0"/>
    <n v="0"/>
    <m/>
    <m/>
    <n v="0"/>
    <n v="58"/>
    <n v="2"/>
    <n v="10083704.084634162"/>
    <m/>
    <m/>
    <n v="0"/>
    <n v="15254279.127462162"/>
    <n v="14809.979735400157"/>
  </r>
  <r>
    <s v="4.3.1.1"/>
    <x v="0"/>
    <x v="0"/>
    <x v="0"/>
    <x v="0"/>
    <n v="3"/>
    <x v="2"/>
    <x v="2"/>
    <s v="Clarify roles, responsibilities and processes (including transportation and warehousing) "/>
    <s v="Dissemination "/>
    <s v="Local running (diesel, per km)"/>
    <n v="285.57142857142856"/>
    <n v="0"/>
    <n v="0"/>
    <n v="0"/>
    <n v="1450"/>
    <n v="1"/>
    <n v="473259.13510133565"/>
    <n v="0"/>
    <n v="0"/>
    <n v="0"/>
    <n v="0"/>
    <n v="0"/>
    <n v="0"/>
    <n v="0"/>
    <n v="0"/>
    <n v="0"/>
    <m/>
    <m/>
    <n v="0"/>
    <n v="1450"/>
    <n v="1"/>
    <n v="922954.416904015"/>
    <m/>
    <m/>
    <n v="0"/>
    <n v="1396213.5520053506"/>
    <n v="1355.5471378692723"/>
  </r>
  <r>
    <s v="4.3.1.1"/>
    <x v="0"/>
    <x v="0"/>
    <x v="0"/>
    <x v="0"/>
    <n v="3"/>
    <x v="2"/>
    <x v="2"/>
    <s v="Clarify roles, responsibilities and processes (including transportation and warehousing) "/>
    <s v="Dissemination "/>
    <s v="Fuel for travelling participants"/>
    <n v="285.57142857142856"/>
    <n v="0"/>
    <n v="0"/>
    <n v="0"/>
    <n v="22500"/>
    <n v="1"/>
    <n v="7343676.2343310704"/>
    <m/>
    <m/>
    <n v="0"/>
    <m/>
    <m/>
    <n v="0"/>
    <m/>
    <m/>
    <n v="0"/>
    <m/>
    <m/>
    <n v="0"/>
    <n v="22500"/>
    <n v="1"/>
    <n v="14321706.469200233"/>
    <m/>
    <m/>
    <n v="0"/>
    <n v="21665382.703531303"/>
    <n v="21034.35213935078"/>
  </r>
  <r>
    <s v="4.3.1.1"/>
    <x v="0"/>
    <x v="0"/>
    <x v="0"/>
    <x v="0"/>
    <n v="3"/>
    <x v="2"/>
    <x v="2"/>
    <s v="Clarify roles, responsibilities and processes (including transportation and warehousing) "/>
    <s v="Dissemination "/>
    <s v="A4, 500 pages, 140 gsm paper"/>
    <n v="8000"/>
    <n v="0"/>
    <n v="0"/>
    <n v="0"/>
    <n v="10"/>
    <n v="1"/>
    <n v="91433.687760000001"/>
    <n v="0"/>
    <n v="0"/>
    <n v="0"/>
    <n v="0"/>
    <n v="0"/>
    <n v="0"/>
    <n v="0"/>
    <n v="0"/>
    <n v="0"/>
    <m/>
    <m/>
    <n v="0"/>
    <n v="10"/>
    <n v="1"/>
    <n v="178314.83792456522"/>
    <m/>
    <m/>
    <n v="0"/>
    <n v="269748.52568456519"/>
    <n v="261.89177250928657"/>
  </r>
  <r>
    <s v="4.3.1.1"/>
    <x v="0"/>
    <x v="0"/>
    <x v="0"/>
    <x v="0"/>
    <n v="3"/>
    <x v="2"/>
    <x v="2"/>
    <s v="Clarify roles, responsibilities and processes (including transportation and warehousing) "/>
    <s v="Dissemination "/>
    <s v="Toner"/>
    <n v="104850"/>
    <n v="0"/>
    <n v="0"/>
    <n v="0"/>
    <n v="1"/>
    <n v="1"/>
    <n v="119835.27702044998"/>
    <n v="0"/>
    <n v="0"/>
    <n v="0"/>
    <n v="0"/>
    <n v="0"/>
    <n v="0"/>
    <n v="0"/>
    <n v="0"/>
    <n v="0"/>
    <m/>
    <m/>
    <n v="0"/>
    <n v="1"/>
    <n v="1"/>
    <n v="233703.88445488326"/>
    <m/>
    <m/>
    <n v="0"/>
    <n v="353539.16147533327"/>
    <n v="343.24190434498377"/>
  </r>
  <r>
    <s v="4.3.1.1"/>
    <x v="0"/>
    <x v="0"/>
    <x v="0"/>
    <x v="0"/>
    <n v="3"/>
    <x v="2"/>
    <x v="2"/>
    <s v="Clarify roles, responsibilities and processes (including transportation and warehousing) "/>
    <s v="Develop SOPs for the new integrated supply chain system"/>
    <s v="Zero cost"/>
    <n v="0"/>
    <n v="0"/>
    <n v="0"/>
    <n v="0"/>
    <n v="0"/>
    <n v="0"/>
    <n v="0"/>
    <n v="0"/>
    <n v="0"/>
    <n v="0"/>
    <n v="0"/>
    <n v="0"/>
    <n v="0"/>
    <n v="0"/>
    <n v="0"/>
    <n v="0"/>
    <m/>
    <m/>
    <n v="0"/>
    <n v="0"/>
    <n v="0"/>
    <n v="0"/>
    <m/>
    <m/>
    <n v="0"/>
    <n v="0"/>
    <n v="0"/>
  </r>
  <r>
    <s v="4.3.1.1"/>
    <x v="0"/>
    <x v="0"/>
    <x v="0"/>
    <x v="0"/>
    <n v="3"/>
    <x v="2"/>
    <x v="2"/>
    <s v="Design systems for an agile integrated supply chain system"/>
    <s v="Develop a concept note"/>
    <s v="Zero cost"/>
    <n v="0"/>
    <n v="0"/>
    <n v="0"/>
    <n v="0"/>
    <n v="0"/>
    <n v="0"/>
    <n v="0"/>
    <n v="0"/>
    <n v="0"/>
    <n v="0"/>
    <n v="0"/>
    <n v="0"/>
    <n v="0"/>
    <n v="0"/>
    <n v="0"/>
    <n v="0"/>
    <m/>
    <m/>
    <n v="0"/>
    <n v="0"/>
    <n v="0"/>
    <n v="0"/>
    <m/>
    <m/>
    <n v="0"/>
    <n v="0"/>
    <n v="0"/>
  </r>
  <r>
    <s v="4.3.1.1"/>
    <x v="0"/>
    <x v="0"/>
    <x v="0"/>
    <x v="0"/>
    <n v="3"/>
    <x v="2"/>
    <x v="2"/>
    <s v="Design systems for an agile integrated supply chain system"/>
    <s v="Set up a taskforce on the agility of supply chain system"/>
    <s v="Zero cost"/>
    <n v="0"/>
    <n v="0"/>
    <n v="0"/>
    <n v="0"/>
    <n v="0"/>
    <n v="0"/>
    <n v="0"/>
    <n v="0"/>
    <n v="0"/>
    <n v="0"/>
    <n v="0"/>
    <n v="0"/>
    <n v="0"/>
    <n v="0"/>
    <n v="0"/>
    <n v="0"/>
    <m/>
    <m/>
    <n v="0"/>
    <n v="0"/>
    <n v="0"/>
    <n v="0"/>
    <m/>
    <m/>
    <n v="0"/>
    <n v="0"/>
    <n v="0"/>
  </r>
  <r>
    <s v="4.3.1.1"/>
    <x v="0"/>
    <x v="0"/>
    <x v="0"/>
    <x v="0"/>
    <n v="3"/>
    <x v="2"/>
    <x v="2"/>
    <s v="Design systems for an agile integrated supply chain system"/>
    <s v="Recruit a consultant to design a procurement system for the new integrated supply chain system"/>
    <s v="Newspaper advert (full)"/>
    <n v="391991.03749999998"/>
    <n v="1"/>
    <n v="1"/>
    <n v="391991.03749999998"/>
    <n v="0"/>
    <n v="0"/>
    <n v="0"/>
    <n v="1"/>
    <n v="1"/>
    <n v="512045.59708269988"/>
    <n v="0"/>
    <n v="0"/>
    <n v="0"/>
    <n v="0"/>
    <n v="0"/>
    <n v="0"/>
    <m/>
    <m/>
    <n v="0"/>
    <n v="1"/>
    <n v="1"/>
    <n v="873722.72899618326"/>
    <m/>
    <m/>
    <n v="0"/>
    <n v="1777759.363578883"/>
    <n v="1725.9799646396923"/>
  </r>
  <r>
    <s v="4.3.1.1"/>
    <x v="0"/>
    <x v="0"/>
    <x v="0"/>
    <x v="0"/>
    <n v="3"/>
    <x v="2"/>
    <x v="2"/>
    <s v="Design systems for an agile integrated supply chain system"/>
    <s v="Recruit a consultant to design a procurement system for the new integrated supply chain system"/>
    <s v="Local consultant fee - High level"/>
    <n v="511000"/>
    <n v="1"/>
    <n v="25"/>
    <n v="12775000"/>
    <n v="0"/>
    <n v="0"/>
    <n v="0"/>
    <n v="1"/>
    <n v="1"/>
    <n v="667503.27195748617"/>
    <n v="0"/>
    <n v="0"/>
    <n v="0"/>
    <n v="0"/>
    <n v="0"/>
    <n v="0"/>
    <m/>
    <m/>
    <n v="0"/>
    <n v="1"/>
    <n v="1"/>
    <n v="1138986.0272431602"/>
    <m/>
    <m/>
    <n v="0"/>
    <n v="14581489.299200647"/>
    <n v="14156.785727379269"/>
  </r>
  <r>
    <s v="4.3.1.1"/>
    <x v="0"/>
    <x v="0"/>
    <x v="0"/>
    <x v="0"/>
    <n v="3"/>
    <x v="2"/>
    <x v="2"/>
    <s v="Design systems for an agile integrated supply chain system"/>
    <s v="Data collection "/>
    <s v="Full DSA"/>
    <n v="45000"/>
    <n v="25"/>
    <n v="5"/>
    <n v="5625000"/>
    <n v="0"/>
    <n v="0"/>
    <n v="0"/>
    <n v="25"/>
    <n v="5"/>
    <n v="7347761.066068219"/>
    <n v="0"/>
    <n v="0"/>
    <n v="0"/>
    <n v="0"/>
    <n v="0"/>
    <n v="0"/>
    <m/>
    <m/>
    <n v="0"/>
    <n v="25"/>
    <n v="5"/>
    <n v="12537762.041570991"/>
    <m/>
    <m/>
    <n v="0"/>
    <n v="25510523.107639208"/>
    <n v="24767.498162756514"/>
  </r>
  <r>
    <s v="4.3.1.1"/>
    <x v="0"/>
    <x v="0"/>
    <x v="0"/>
    <x v="0"/>
    <n v="3"/>
    <x v="2"/>
    <x v="2"/>
    <s v="Design systems for an agile integrated supply chain system"/>
    <s v="Data collection "/>
    <s v="Local running (diesel, per km)"/>
    <n v="285.57142857142856"/>
    <n v="25"/>
    <n v="10"/>
    <n v="71392.85714285713"/>
    <n v="0"/>
    <n v="0"/>
    <n v="0"/>
    <n v="25"/>
    <n v="10"/>
    <n v="93258.249975049956"/>
    <n v="0"/>
    <n v="0"/>
    <n v="0"/>
    <n v="0"/>
    <n v="0"/>
    <n v="0"/>
    <m/>
    <m/>
    <n v="0"/>
    <n v="25"/>
    <n v="10"/>
    <n v="159130.07188000259"/>
    <m/>
    <m/>
    <n v="0"/>
    <n v="323781.17899790965"/>
    <n v="314.35065922127148"/>
  </r>
  <r>
    <s v="4.3.1.1"/>
    <x v="0"/>
    <x v="0"/>
    <x v="0"/>
    <x v="0"/>
    <n v="3"/>
    <x v="2"/>
    <x v="2"/>
    <s v="Design systems for an agile integrated supply chain system"/>
    <s v="Data collection "/>
    <s v="Tablet"/>
    <n v="302000"/>
    <n v="15"/>
    <n v="1"/>
    <n v="4530000"/>
    <n v="0"/>
    <n v="0"/>
    <n v="0"/>
    <n v="15"/>
    <n v="1"/>
    <n v="5917396.9118736051"/>
    <n v="0"/>
    <n v="0"/>
    <n v="0"/>
    <n v="0"/>
    <n v="0"/>
    <n v="0"/>
    <m/>
    <m/>
    <n v="0"/>
    <n v="15"/>
    <n v="1"/>
    <n v="10097077.697478505"/>
    <m/>
    <m/>
    <n v="0"/>
    <n v="20544474.609352112"/>
    <n v="19946.091853739916"/>
  </r>
  <r>
    <s v="4.3.1.1"/>
    <x v="0"/>
    <x v="0"/>
    <x v="0"/>
    <x v="0"/>
    <n v="3"/>
    <x v="2"/>
    <x v="2"/>
    <s v="Design systems for an agile integrated supply chain system"/>
    <s v="Data collection "/>
    <s v="Airtime for Research Assistant"/>
    <n v="10000"/>
    <n v="15"/>
    <n v="1"/>
    <n v="150000"/>
    <n v="0"/>
    <n v="0"/>
    <n v="0"/>
    <n v="15"/>
    <n v="1"/>
    <n v="195940.29509515248"/>
    <n v="0"/>
    <n v="0"/>
    <n v="0"/>
    <n v="0"/>
    <n v="0"/>
    <n v="0"/>
    <m/>
    <m/>
    <n v="0"/>
    <n v="15"/>
    <n v="1"/>
    <n v="334340.32110855979"/>
    <m/>
    <m/>
    <n v="0"/>
    <n v="680280.6162037123"/>
    <n v="660.46661767350713"/>
  </r>
  <r>
    <s v="4.3.1.1"/>
    <x v="0"/>
    <x v="0"/>
    <x v="0"/>
    <x v="0"/>
    <n v="3"/>
    <x v="2"/>
    <x v="2"/>
    <s v="Design systems for an agile integrated supply chain system"/>
    <s v="Data analysis"/>
    <s v="Conference package high-level"/>
    <n v="35000"/>
    <n v="25"/>
    <n v="5"/>
    <n v="4375000"/>
    <n v="0"/>
    <n v="0"/>
    <n v="0"/>
    <n v="25"/>
    <n v="5"/>
    <n v="5714925.2736086138"/>
    <n v="0"/>
    <n v="0"/>
    <n v="0"/>
    <n v="0"/>
    <n v="0"/>
    <n v="0"/>
    <m/>
    <m/>
    <n v="0"/>
    <n v="25"/>
    <n v="5"/>
    <n v="9751592.6989996582"/>
    <m/>
    <m/>
    <n v="0"/>
    <n v="19841517.972608272"/>
    <n v="19263.609682143953"/>
  </r>
  <r>
    <s v="4.3.1.1"/>
    <x v="0"/>
    <x v="0"/>
    <x v="0"/>
    <x v="0"/>
    <n v="3"/>
    <x v="2"/>
    <x v="2"/>
    <s v="Design systems for an agile integrated supply chain system"/>
    <s v="Data analysis"/>
    <s v="DSA (excl. lunch)"/>
    <n v="39000"/>
    <n v="25"/>
    <n v="5"/>
    <n v="4875000"/>
    <n v="0"/>
    <n v="0"/>
    <n v="0"/>
    <n v="25"/>
    <n v="5"/>
    <n v="6368059.5905924551"/>
    <n v="0"/>
    <n v="0"/>
    <n v="0"/>
    <n v="0"/>
    <n v="0"/>
    <n v="0"/>
    <m/>
    <m/>
    <n v="0"/>
    <n v="25"/>
    <n v="5"/>
    <n v="10866060.436028194"/>
    <m/>
    <m/>
    <n v="0"/>
    <n v="22109120.026620649"/>
    <n v="21465.16507438898"/>
  </r>
  <r>
    <s v="4.3.1.1"/>
    <x v="0"/>
    <x v="0"/>
    <x v="0"/>
    <x v="0"/>
    <n v="3"/>
    <x v="2"/>
    <x v="2"/>
    <s v="Design systems for an agile integrated supply chain system"/>
    <s v="Data analysis"/>
    <s v="Fuel for travelling participants"/>
    <n v="285.57142857142856"/>
    <n v="22500"/>
    <n v="1"/>
    <n v="6425357.1428571427"/>
    <m/>
    <m/>
    <n v="0"/>
    <n v="22500"/>
    <n v="1"/>
    <n v="8393242.4977544956"/>
    <m/>
    <m/>
    <n v="0"/>
    <m/>
    <m/>
    <n v="0"/>
    <m/>
    <m/>
    <n v="0"/>
    <n v="22500"/>
    <n v="1"/>
    <n v="14321706.469200233"/>
    <m/>
    <m/>
    <n v="0"/>
    <n v="29140306.109811872"/>
    <n v="28291.559329914438"/>
  </r>
  <r>
    <s v="4.3.1.1"/>
    <x v="0"/>
    <x v="0"/>
    <x v="0"/>
    <x v="0"/>
    <n v="3"/>
    <x v="2"/>
    <x v="2"/>
    <s v="Design systems for an agile integrated supply chain system"/>
    <s v="Data analysis"/>
    <s v="Local running (diesel, per km)"/>
    <n v="285.57142857142856"/>
    <n v="25"/>
    <n v="10"/>
    <n v="71392.85714285713"/>
    <n v="0"/>
    <n v="0"/>
    <n v="0"/>
    <n v="25"/>
    <n v="10"/>
    <n v="93258.249975049956"/>
    <n v="0"/>
    <n v="0"/>
    <n v="0"/>
    <n v="0"/>
    <n v="0"/>
    <n v="0"/>
    <m/>
    <m/>
    <n v="0"/>
    <n v="25"/>
    <n v="10"/>
    <n v="159130.07188000259"/>
    <m/>
    <m/>
    <n v="0"/>
    <n v="323781.17899790965"/>
    <n v="314.35065922127148"/>
  </r>
  <r>
    <s v="4.3.1.1"/>
    <x v="0"/>
    <x v="0"/>
    <x v="0"/>
    <x v="0"/>
    <n v="3"/>
    <x v="2"/>
    <x v="2"/>
    <s v="Design systems for an agile integrated supply chain system"/>
    <s v="Report writing (consultant)"/>
    <s v="Zero cost"/>
    <n v="0"/>
    <n v="0"/>
    <n v="0"/>
    <n v="0"/>
    <n v="0"/>
    <n v="0"/>
    <n v="0"/>
    <n v="0"/>
    <n v="0"/>
    <n v="0"/>
    <n v="0"/>
    <n v="0"/>
    <n v="0"/>
    <n v="0"/>
    <n v="0"/>
    <n v="0"/>
    <m/>
    <m/>
    <n v="0"/>
    <n v="0"/>
    <n v="0"/>
    <n v="0"/>
    <m/>
    <m/>
    <n v="0"/>
    <n v="0"/>
    <n v="0"/>
  </r>
  <r>
    <s v="4.3.1.1"/>
    <x v="0"/>
    <x v="0"/>
    <x v="0"/>
    <x v="0"/>
    <n v="3"/>
    <x v="2"/>
    <x v="2"/>
    <s v="Design systems for an agile integrated supply chain system"/>
    <s v="Validation Workshop"/>
    <s v="Conference package high-level"/>
    <n v="35000"/>
    <n v="100"/>
    <n v="5"/>
    <n v="17500000"/>
    <m/>
    <m/>
    <n v="0"/>
    <n v="100"/>
    <n v="5"/>
    <n v="22859701.094434455"/>
    <m/>
    <m/>
    <n v="0"/>
    <m/>
    <m/>
    <n v="0"/>
    <m/>
    <m/>
    <n v="0"/>
    <n v="100"/>
    <n v="5"/>
    <n v="39006370.795998633"/>
    <m/>
    <m/>
    <n v="0"/>
    <n v="79366071.890433088"/>
    <n v="77054.438728575813"/>
  </r>
  <r>
    <s v="4.3.1.1"/>
    <x v="0"/>
    <x v="0"/>
    <x v="0"/>
    <x v="0"/>
    <n v="3"/>
    <x v="2"/>
    <x v="2"/>
    <s v="Design systems for an agile integrated supply chain system"/>
    <s v="Validation Workshop"/>
    <s v="DSA (excl. lunch)"/>
    <n v="39000"/>
    <n v="58"/>
    <n v="6"/>
    <n v="13572000"/>
    <m/>
    <m/>
    <n v="0"/>
    <n v="58"/>
    <n v="6"/>
    <n v="17728677.900209397"/>
    <m/>
    <m/>
    <n v="0"/>
    <m/>
    <m/>
    <n v="0"/>
    <m/>
    <m/>
    <n v="0"/>
    <n v="58"/>
    <n v="6"/>
    <n v="30251112.253902487"/>
    <m/>
    <m/>
    <n v="0"/>
    <n v="61551790.154111885"/>
    <n v="59759.01956709892"/>
  </r>
  <r>
    <s v="4.3.1.1"/>
    <x v="0"/>
    <x v="0"/>
    <x v="0"/>
    <x v="0"/>
    <n v="3"/>
    <x v="2"/>
    <x v="2"/>
    <s v="Design systems for an agile integrated supply chain system"/>
    <s v="Validation Workshop"/>
    <s v="Local running (diesel, per km)"/>
    <n v="285.57142857142856"/>
    <n v="1450"/>
    <n v="5"/>
    <n v="2070392.857142857"/>
    <m/>
    <m/>
    <n v="0"/>
    <n v="1450"/>
    <n v="5"/>
    <n v="2704489.2492764485"/>
    <m/>
    <m/>
    <n v="0"/>
    <m/>
    <m/>
    <n v="0"/>
    <m/>
    <m/>
    <n v="0"/>
    <n v="1450"/>
    <n v="5"/>
    <n v="4614772.0845200755"/>
    <m/>
    <m/>
    <n v="0"/>
    <n v="9389654.1909393817"/>
    <n v="9116.1691174168755"/>
  </r>
  <r>
    <s v="4.3.1.1"/>
    <x v="0"/>
    <x v="0"/>
    <x v="0"/>
    <x v="0"/>
    <n v="3"/>
    <x v="2"/>
    <x v="2"/>
    <s v="Design systems for an agile integrated supply chain system"/>
    <s v="Validation Workshop"/>
    <s v="Fuel for travelling participants"/>
    <n v="285.57142857142856"/>
    <n v="22500"/>
    <n v="1"/>
    <n v="6425357.1428571427"/>
    <m/>
    <m/>
    <n v="0"/>
    <n v="22500"/>
    <n v="1"/>
    <n v="8393242.4977544956"/>
    <m/>
    <m/>
    <n v="0"/>
    <m/>
    <m/>
    <n v="0"/>
    <m/>
    <m/>
    <n v="0"/>
    <n v="22500"/>
    <n v="1"/>
    <n v="14321706.469200233"/>
    <m/>
    <m/>
    <n v="0"/>
    <n v="29140306.109811872"/>
    <n v="28291.559329914438"/>
  </r>
  <r>
    <s v="4.3.1.1"/>
    <x v="0"/>
    <x v="0"/>
    <x v="0"/>
    <x v="0"/>
    <n v="3"/>
    <x v="2"/>
    <x v="2"/>
    <s v="Design systems for an agile integrated supply chain system"/>
    <s v="Dissemination "/>
    <s v="Conference package high-level"/>
    <n v="35000"/>
    <n v="100"/>
    <n v="2"/>
    <n v="7000000"/>
    <n v="0"/>
    <n v="0"/>
    <n v="0"/>
    <n v="100"/>
    <n v="2"/>
    <n v="9143880.4377737828"/>
    <n v="0"/>
    <n v="0"/>
    <n v="0"/>
    <n v="0"/>
    <n v="0"/>
    <n v="0"/>
    <m/>
    <m/>
    <n v="0"/>
    <n v="100"/>
    <n v="2"/>
    <n v="15602548.318399454"/>
    <m/>
    <m/>
    <n v="0"/>
    <n v="31746428.756173238"/>
    <n v="30821.77549143033"/>
  </r>
  <r>
    <s v="4.3.1.1"/>
    <x v="0"/>
    <x v="0"/>
    <x v="0"/>
    <x v="0"/>
    <n v="3"/>
    <x v="2"/>
    <x v="2"/>
    <s v="Design systems for an agile integrated supply chain system"/>
    <s v="Dissemination "/>
    <s v="DSA (excl. lunch)"/>
    <n v="39000"/>
    <n v="58"/>
    <n v="2"/>
    <n v="4524000"/>
    <n v="0"/>
    <n v="0"/>
    <n v="0"/>
    <n v="58"/>
    <n v="2"/>
    <n v="5909559.3000697987"/>
    <n v="0"/>
    <n v="0"/>
    <n v="0"/>
    <n v="0"/>
    <n v="0"/>
    <n v="0"/>
    <m/>
    <m/>
    <n v="0"/>
    <n v="58"/>
    <n v="2"/>
    <n v="10083704.084634162"/>
    <m/>
    <m/>
    <n v="0"/>
    <n v="20517263.38470396"/>
    <n v="19919.673189032972"/>
  </r>
  <r>
    <s v="4.3.1.1"/>
    <x v="0"/>
    <x v="0"/>
    <x v="0"/>
    <x v="0"/>
    <n v="3"/>
    <x v="2"/>
    <x v="2"/>
    <s v="Design systems for an agile integrated supply chain system"/>
    <s v="Dissemination "/>
    <s v="A4, 500 pages, 140 gsm paper"/>
    <n v="8000"/>
    <n v="10"/>
    <n v="1"/>
    <n v="80000"/>
    <n v="0"/>
    <n v="0"/>
    <n v="0"/>
    <n v="10"/>
    <n v="1"/>
    <n v="104501.49071741465"/>
    <n v="0"/>
    <n v="0"/>
    <n v="0"/>
    <n v="0"/>
    <n v="0"/>
    <n v="0"/>
    <m/>
    <m/>
    <n v="0"/>
    <n v="10"/>
    <n v="1"/>
    <n v="178314.83792456522"/>
    <m/>
    <m/>
    <n v="0"/>
    <n v="362816.32864197984"/>
    <n v="352.24886275920375"/>
  </r>
  <r>
    <s v="4.3.1.1"/>
    <x v="0"/>
    <x v="0"/>
    <x v="0"/>
    <x v="0"/>
    <n v="3"/>
    <x v="2"/>
    <x v="2"/>
    <s v="Design systems for an agile integrated supply chain system"/>
    <s v="Dissemination "/>
    <s v="Toner"/>
    <n v="104850"/>
    <n v="1"/>
    <n v="1"/>
    <n v="104850"/>
    <n v="0"/>
    <n v="0"/>
    <n v="0"/>
    <n v="1"/>
    <n v="1"/>
    <n v="136962.26627151159"/>
    <n v="0"/>
    <n v="0"/>
    <n v="0"/>
    <n v="0"/>
    <n v="0"/>
    <n v="0"/>
    <m/>
    <m/>
    <n v="0"/>
    <n v="1"/>
    <n v="1"/>
    <n v="233703.88445488326"/>
    <m/>
    <m/>
    <n v="0"/>
    <n v="475516.15072639484"/>
    <n v="461.6661657537814"/>
  </r>
  <r>
    <s v="4.3.1.1"/>
    <x v="0"/>
    <x v="0"/>
    <x v="0"/>
    <x v="0"/>
    <n v="3"/>
    <x v="2"/>
    <x v="2"/>
    <s v="Design systems for an agile integrated supply chain system"/>
    <s v="Dissemination "/>
    <s v="Local running (diesel, per km)"/>
    <n v="285.57142857142856"/>
    <n v="1450"/>
    <n v="1"/>
    <n v="414078.57142857142"/>
    <m/>
    <m/>
    <n v="0"/>
    <n v="1450"/>
    <n v="1"/>
    <n v="540897.84985528968"/>
    <m/>
    <m/>
    <n v="0"/>
    <m/>
    <m/>
    <n v="0"/>
    <m/>
    <m/>
    <n v="0"/>
    <n v="1450"/>
    <n v="1"/>
    <n v="922954.416904015"/>
    <m/>
    <m/>
    <n v="0"/>
    <n v="1877930.8381878762"/>
    <n v="1823.2338234833749"/>
  </r>
  <r>
    <s v="4.3.1.1"/>
    <x v="0"/>
    <x v="0"/>
    <x v="0"/>
    <x v="0"/>
    <n v="3"/>
    <x v="2"/>
    <x v="2"/>
    <s v="Design systems for an agile integrated supply chain system"/>
    <s v="Dissemination "/>
    <s v="Fuel for travelling participants"/>
    <n v="285.57142857142856"/>
    <n v="22500"/>
    <n v="1"/>
    <n v="6425357.1428571427"/>
    <m/>
    <m/>
    <n v="0"/>
    <n v="22500"/>
    <n v="1"/>
    <n v="8393242.4977544956"/>
    <m/>
    <m/>
    <n v="0"/>
    <m/>
    <m/>
    <n v="0"/>
    <m/>
    <m/>
    <n v="0"/>
    <n v="22500"/>
    <n v="1"/>
    <n v="14321706.469200233"/>
    <m/>
    <m/>
    <n v="0"/>
    <n v="29140306.109811872"/>
    <n v="28291.559329914438"/>
  </r>
  <r>
    <s v="4.3.1.1"/>
    <x v="0"/>
    <x v="0"/>
    <x v="0"/>
    <x v="0"/>
    <n v="3"/>
    <x v="2"/>
    <x v="2"/>
    <s v="Improve functionality of LMIS"/>
    <s v="Develop a concept note "/>
    <s v="Zero cost"/>
    <n v="0"/>
    <m/>
    <m/>
    <n v="0"/>
    <n v="0"/>
    <n v="0"/>
    <n v="0"/>
    <n v="5"/>
    <n v="1"/>
    <n v="0"/>
    <n v="0"/>
    <n v="0"/>
    <n v="0"/>
    <n v="0"/>
    <n v="0"/>
    <n v="0"/>
    <m/>
    <m/>
    <n v="0"/>
    <m/>
    <m/>
    <n v="0"/>
    <n v="0"/>
    <n v="0"/>
    <n v="0"/>
    <n v="0"/>
    <n v="0"/>
  </r>
  <r>
    <s v="4.3.1.1"/>
    <x v="0"/>
    <x v="0"/>
    <x v="0"/>
    <x v="0"/>
    <n v="3"/>
    <x v="2"/>
    <x v="2"/>
    <s v="Improve functionality of LMIS"/>
    <s v="Set up a taskforce"/>
    <s v="Zero cost"/>
    <n v="0"/>
    <m/>
    <m/>
    <n v="0"/>
    <n v="0"/>
    <n v="0"/>
    <n v="0"/>
    <m/>
    <m/>
    <n v="0"/>
    <n v="0"/>
    <n v="0"/>
    <n v="0"/>
    <n v="0"/>
    <n v="0"/>
    <n v="0"/>
    <m/>
    <m/>
    <n v="0"/>
    <m/>
    <m/>
    <n v="0"/>
    <n v="0"/>
    <n v="0"/>
    <n v="0"/>
    <n v="0"/>
    <n v="0"/>
  </r>
  <r>
    <s v="4.3.1.1"/>
    <x v="0"/>
    <x v="0"/>
    <x v="0"/>
    <x v="0"/>
    <n v="3"/>
    <x v="2"/>
    <x v="2"/>
    <s v="Improve functionality of LMIS"/>
    <s v="Recruit a consultant to conduct an assessment of the current LMIS"/>
    <s v="Newspaper advert (full)"/>
    <n v="391991.03749999998"/>
    <m/>
    <m/>
    <n v="0"/>
    <n v="1"/>
    <n v="1"/>
    <n v="448014.82659366808"/>
    <m/>
    <m/>
    <n v="0"/>
    <n v="0"/>
    <n v="0"/>
    <n v="0"/>
    <n v="1"/>
    <n v="1"/>
    <n v="668869.10263038508"/>
    <m/>
    <m/>
    <n v="0"/>
    <m/>
    <m/>
    <n v="0"/>
    <n v="1"/>
    <n v="1"/>
    <n v="998596.13989815139"/>
    <n v="2115480.0691222046"/>
    <n v="2053.8641447788395"/>
  </r>
  <r>
    <s v="4.3.1.1"/>
    <x v="0"/>
    <x v="0"/>
    <x v="0"/>
    <x v="0"/>
    <n v="3"/>
    <x v="2"/>
    <x v="2"/>
    <s v="Improve functionality of LMIS"/>
    <s v="Recruit a consultant to conduct an assessment of the current LMIS"/>
    <s v="Local consultant fee - High level"/>
    <n v="511000"/>
    <m/>
    <m/>
    <n v="0"/>
    <n v="5"/>
    <n v="45"/>
    <n v="131407353.127575"/>
    <n v="1"/>
    <n v="6"/>
    <n v="4005019.631744917"/>
    <n v="0"/>
    <n v="0"/>
    <n v="0"/>
    <n v="5"/>
    <n v="45"/>
    <n v="196186182.12649447"/>
    <m/>
    <m/>
    <n v="0"/>
    <m/>
    <m/>
    <n v="0"/>
    <n v="5"/>
    <n v="45"/>
    <n v="292898510.93799555"/>
    <n v="624497065.82380986"/>
    <n v="606307.83089690283"/>
  </r>
  <r>
    <s v="4.3.1.1"/>
    <x v="0"/>
    <x v="0"/>
    <x v="0"/>
    <x v="0"/>
    <n v="3"/>
    <x v="2"/>
    <x v="2"/>
    <s v="Improve functionality of LMIS"/>
    <s v="Data collection"/>
    <s v="Full DSA"/>
    <n v="45000"/>
    <m/>
    <m/>
    <n v="0"/>
    <n v="25"/>
    <n v="5"/>
    <n v="6428931.1706249984"/>
    <n v="1"/>
    <n v="40"/>
    <n v="2351283.5411418299"/>
    <n v="0"/>
    <n v="0"/>
    <n v="0"/>
    <n v="25"/>
    <n v="5"/>
    <n v="9598149.8104938585"/>
    <m/>
    <m/>
    <n v="0"/>
    <m/>
    <m/>
    <n v="0"/>
    <n v="25"/>
    <n v="5"/>
    <n v="14329672.746477276"/>
    <n v="32708037.268737964"/>
    <n v="31755.375989065986"/>
  </r>
  <r>
    <s v="4.3.1.1"/>
    <x v="0"/>
    <x v="0"/>
    <x v="0"/>
    <x v="0"/>
    <n v="3"/>
    <x v="2"/>
    <x v="2"/>
    <s v="Improve functionality of LMIS"/>
    <s v="Data collection"/>
    <s v="Local running (diesel, per km)"/>
    <n v="285.57142857142856"/>
    <m/>
    <m/>
    <n v="0"/>
    <n v="1450"/>
    <n v="5"/>
    <n v="2366295.6755066784"/>
    <n v="25"/>
    <n v="10"/>
    <n v="93258.249975049956"/>
    <n v="0"/>
    <n v="0"/>
    <n v="0"/>
    <n v="1450"/>
    <n v="5"/>
    <n v="3532789.4772326313"/>
    <m/>
    <m/>
    <n v="0"/>
    <m/>
    <m/>
    <n v="0"/>
    <n v="1450"/>
    <n v="5"/>
    <n v="5274320.3732446618"/>
    <n v="11266663.775959022"/>
    <n v="10938.508520348565"/>
  </r>
  <r>
    <s v="4.3.1.1"/>
    <x v="0"/>
    <x v="0"/>
    <x v="0"/>
    <x v="0"/>
    <n v="3"/>
    <x v="2"/>
    <x v="2"/>
    <s v="Improve functionality of LMIS"/>
    <s v="Data collection"/>
    <s v="Fuel for travelling participants"/>
    <n v="285.57142857142856"/>
    <m/>
    <m/>
    <n v="0"/>
    <n v="22500"/>
    <n v="1"/>
    <n v="7343676.2343310704"/>
    <m/>
    <m/>
    <n v="0"/>
    <m/>
    <m/>
    <n v="0"/>
    <n v="22500"/>
    <n v="1"/>
    <n v="10963829.412101271"/>
    <m/>
    <m/>
    <n v="0"/>
    <m/>
    <m/>
    <n v="0"/>
    <n v="22500"/>
    <n v="1"/>
    <n v="16368580.468690328"/>
    <n v="34676086.115122668"/>
    <n v="33666.103024390941"/>
  </r>
  <r>
    <s v="4.3.1.1"/>
    <x v="0"/>
    <x v="0"/>
    <x v="0"/>
    <x v="0"/>
    <n v="3"/>
    <x v="2"/>
    <x v="2"/>
    <s v="Improve functionality of LMIS"/>
    <s v="Data collection"/>
    <s v="Tablet"/>
    <n v="302000"/>
    <m/>
    <m/>
    <n v="0"/>
    <n v="15"/>
    <n v="1"/>
    <n v="5177432.5694099991"/>
    <n v="20000"/>
    <n v="1"/>
    <n v="7889862549.1648064"/>
    <n v="0"/>
    <n v="0"/>
    <n v="0"/>
    <n v="15"/>
    <n v="1"/>
    <n v="7729709.9807177205"/>
    <m/>
    <m/>
    <n v="0"/>
    <m/>
    <m/>
    <n v="0"/>
    <n v="15"/>
    <n v="1"/>
    <n v="11540163.118496366"/>
    <n v="7914309854.8334303"/>
    <n v="7683795.9755664375"/>
  </r>
  <r>
    <s v="4.3.1.1"/>
    <x v="0"/>
    <x v="0"/>
    <x v="0"/>
    <x v="0"/>
    <n v="3"/>
    <x v="2"/>
    <x v="2"/>
    <s v="Improve functionality of LMIS"/>
    <s v="Data collection"/>
    <s v="Airtime for Research Assistant"/>
    <n v="10000"/>
    <m/>
    <m/>
    <n v="0"/>
    <n v="15"/>
    <n v="1"/>
    <n v="171438.16454999999"/>
    <n v="20"/>
    <n v="1"/>
    <n v="261253.72679353665"/>
    <n v="0"/>
    <n v="0"/>
    <n v="0"/>
    <n v="15"/>
    <n v="1"/>
    <n v="255950.66161316959"/>
    <m/>
    <m/>
    <n v="0"/>
    <m/>
    <m/>
    <n v="0"/>
    <n v="15"/>
    <n v="1"/>
    <n v="382124.60657272732"/>
    <n v="1070767.1595294336"/>
    <n v="1039.5797665334308"/>
  </r>
  <r>
    <s v="4.3.1.1"/>
    <x v="0"/>
    <x v="0"/>
    <x v="0"/>
    <x v="0"/>
    <n v="3"/>
    <x v="2"/>
    <x v="2"/>
    <s v="Improve functionality of LMIS"/>
    <s v="Data analysis"/>
    <s v="DSA (excl. lunch)"/>
    <n v="39000"/>
    <m/>
    <m/>
    <n v="0"/>
    <n v="25"/>
    <n v="5"/>
    <n v="5571740.347874999"/>
    <n v="15"/>
    <n v="1"/>
    <n v="764167.15087109467"/>
    <n v="0"/>
    <n v="0"/>
    <n v="0"/>
    <n v="25"/>
    <n v="5"/>
    <n v="8318396.502428012"/>
    <m/>
    <m/>
    <n v="0"/>
    <m/>
    <m/>
    <n v="0"/>
    <n v="25"/>
    <n v="5"/>
    <n v="12419049.713613637"/>
    <n v="27073353.714787744"/>
    <n v="26284.80943183276"/>
  </r>
  <r>
    <s v="4.3.1.1"/>
    <x v="0"/>
    <x v="0"/>
    <x v="0"/>
    <x v="0"/>
    <n v="3"/>
    <x v="2"/>
    <x v="2"/>
    <s v="Improve functionality of LMIS"/>
    <s v="Data analysis"/>
    <s v="Conference package high-level"/>
    <n v="35000"/>
    <m/>
    <m/>
    <n v="0"/>
    <n v="25"/>
    <n v="5"/>
    <n v="5000279.7993749995"/>
    <n v="25"/>
    <n v="5"/>
    <n v="5714925.2736086138"/>
    <n v="0"/>
    <n v="0"/>
    <n v="0"/>
    <n v="25"/>
    <n v="5"/>
    <n v="7465227.6303841127"/>
    <m/>
    <m/>
    <n v="0"/>
    <m/>
    <m/>
    <n v="0"/>
    <n v="25"/>
    <n v="5"/>
    <n v="11145301.025037881"/>
    <n v="29325733.728405606"/>
    <n v="28471.586144083114"/>
  </r>
  <r>
    <s v="4.3.1.1"/>
    <x v="0"/>
    <x v="0"/>
    <x v="0"/>
    <x v="0"/>
    <n v="3"/>
    <x v="2"/>
    <x v="2"/>
    <s v="Improve functionality of LMIS"/>
    <s v="Data analysis"/>
    <s v="Local running (diesel, per km)"/>
    <n v="285.57142857142856"/>
    <m/>
    <m/>
    <n v="0"/>
    <n v="25"/>
    <n v="10"/>
    <n v="81596.402603678551"/>
    <n v="25"/>
    <n v="5"/>
    <n v="46629.124987524978"/>
    <n v="0"/>
    <n v="0"/>
    <n v="0"/>
    <n v="25"/>
    <n v="10"/>
    <n v="121820.32680112521"/>
    <m/>
    <m/>
    <n v="0"/>
    <m/>
    <m/>
    <n v="0"/>
    <n v="25"/>
    <n v="10"/>
    <n v="181873.11631878142"/>
    <n v="431918.97071111016"/>
    <n v="419.33880651564095"/>
  </r>
  <r>
    <s v="4.3.1.1"/>
    <x v="0"/>
    <x v="0"/>
    <x v="0"/>
    <x v="0"/>
    <n v="3"/>
    <x v="2"/>
    <x v="2"/>
    <s v="Improve functionality of LMIS"/>
    <s v="Data analysis"/>
    <s v="Fuel for travelling participants"/>
    <n v="285.57142857142856"/>
    <m/>
    <m/>
    <n v="0"/>
    <n v="22500"/>
    <n v="1"/>
    <n v="7343676.2343310704"/>
    <m/>
    <m/>
    <n v="0"/>
    <m/>
    <m/>
    <n v="0"/>
    <n v="22500"/>
    <n v="1"/>
    <n v="10963829.412101271"/>
    <m/>
    <m/>
    <n v="0"/>
    <m/>
    <m/>
    <n v="0"/>
    <n v="22500"/>
    <n v="1"/>
    <n v="16368580.468690328"/>
    <n v="34676086.115122668"/>
    <n v="33666.103024390941"/>
  </r>
  <r>
    <s v="4.3.1.1"/>
    <x v="0"/>
    <x v="0"/>
    <x v="0"/>
    <x v="0"/>
    <n v="3"/>
    <x v="2"/>
    <x v="2"/>
    <s v="Improve functionality of LMIS"/>
    <s v="Report writing (Consultant)"/>
    <s v="Zero cost"/>
    <n v="0"/>
    <m/>
    <m/>
    <n v="0"/>
    <n v="0"/>
    <n v="0"/>
    <n v="0"/>
    <n v="4000"/>
    <n v="1"/>
    <n v="0"/>
    <n v="0"/>
    <n v="0"/>
    <n v="0"/>
    <n v="0"/>
    <n v="0"/>
    <n v="0"/>
    <m/>
    <m/>
    <n v="0"/>
    <m/>
    <m/>
    <n v="0"/>
    <n v="0"/>
    <n v="0"/>
    <n v="0"/>
    <n v="0"/>
    <n v="0"/>
  </r>
  <r>
    <s v="4.3.1.1"/>
    <x v="0"/>
    <x v="0"/>
    <x v="0"/>
    <x v="0"/>
    <n v="3"/>
    <x v="2"/>
    <x v="2"/>
    <s v="Improve functionality of LMIS"/>
    <s v="Validation Workshop"/>
    <s v="Conference package high-level"/>
    <n v="35000"/>
    <m/>
    <m/>
    <n v="0"/>
    <n v="100"/>
    <n v="1"/>
    <n v="4000223.8394999993"/>
    <m/>
    <m/>
    <n v="0"/>
    <m/>
    <m/>
    <n v="0"/>
    <n v="100"/>
    <n v="1"/>
    <n v="5972182.1043072902"/>
    <m/>
    <m/>
    <n v="0"/>
    <m/>
    <m/>
    <n v="0"/>
    <n v="100"/>
    <n v="1"/>
    <n v="8916240.8200303055"/>
    <n v="18888646.763837595"/>
    <n v="18338.49200372582"/>
  </r>
  <r>
    <s v="4.3.1.1"/>
    <x v="0"/>
    <x v="0"/>
    <x v="0"/>
    <x v="0"/>
    <n v="3"/>
    <x v="2"/>
    <x v="2"/>
    <s v="Improve functionality of LMIS"/>
    <s v="Validation Workshop"/>
    <s v="DSA (excl. lunch)"/>
    <n v="39000"/>
    <m/>
    <m/>
    <n v="0"/>
    <n v="58"/>
    <n v="2"/>
    <n v="5170575.0428279992"/>
    <m/>
    <m/>
    <n v="0"/>
    <m/>
    <m/>
    <n v="0"/>
    <n v="58"/>
    <n v="2"/>
    <n v="7719471.9542531949"/>
    <m/>
    <m/>
    <n v="0"/>
    <m/>
    <m/>
    <n v="0"/>
    <n v="58"/>
    <n v="2"/>
    <n v="11524878.134233456"/>
    <n v="24414925.13131465"/>
    <n v="23703.810807101603"/>
  </r>
  <r>
    <s v="4.3.1.1"/>
    <x v="0"/>
    <x v="0"/>
    <x v="0"/>
    <x v="0"/>
    <n v="3"/>
    <x v="2"/>
    <x v="2"/>
    <s v="Improve functionality of LMIS"/>
    <s v="Validation Workshop"/>
    <s v="Local running (diesel, per km)"/>
    <n v="285.57142857142856"/>
    <m/>
    <m/>
    <n v="0"/>
    <n v="1450"/>
    <n v="1"/>
    <n v="473259.13510133565"/>
    <m/>
    <m/>
    <n v="0"/>
    <m/>
    <m/>
    <n v="0"/>
    <n v="1450"/>
    <n v="1"/>
    <n v="706557.89544652624"/>
    <m/>
    <m/>
    <n v="0"/>
    <m/>
    <m/>
    <n v="0"/>
    <n v="1450"/>
    <n v="1"/>
    <n v="1054864.0746489323"/>
    <n v="2234681.1051967945"/>
    <n v="2169.5933060163052"/>
  </r>
  <r>
    <s v="4.3.1.1"/>
    <x v="0"/>
    <x v="0"/>
    <x v="0"/>
    <x v="0"/>
    <n v="3"/>
    <x v="2"/>
    <x v="2"/>
    <s v="Improve functionality of LMIS"/>
    <s v="Validation Workshop"/>
    <s v="Fuel for travelling participants"/>
    <n v="285.57142857142856"/>
    <m/>
    <m/>
    <n v="0"/>
    <n v="22500"/>
    <n v="1"/>
    <n v="7343676.2343310704"/>
    <m/>
    <m/>
    <n v="0"/>
    <m/>
    <m/>
    <n v="0"/>
    <n v="22500"/>
    <n v="1"/>
    <n v="10963829.412101271"/>
    <m/>
    <m/>
    <n v="0"/>
    <m/>
    <m/>
    <n v="0"/>
    <n v="22500"/>
    <n v="1"/>
    <n v="16368580.468690328"/>
    <n v="34676086.115122668"/>
    <n v="33666.103024390941"/>
  </r>
  <r>
    <s v="4.3.1.1"/>
    <x v="0"/>
    <x v="0"/>
    <x v="0"/>
    <x v="0"/>
    <n v="3"/>
    <x v="2"/>
    <x v="2"/>
    <s v="Improve functionality of LMIS"/>
    <s v="Report writing (addressing current gaps)"/>
    <s v="Conference package high-level"/>
    <n v="35000"/>
    <m/>
    <m/>
    <n v="0"/>
    <n v="25"/>
    <n v="5"/>
    <n v="5000279.7993749995"/>
    <n v="25"/>
    <n v="5"/>
    <n v="5714925.2736086138"/>
    <n v="0"/>
    <n v="0"/>
    <n v="0"/>
    <n v="25"/>
    <n v="5"/>
    <n v="7465227.6303841127"/>
    <m/>
    <m/>
    <n v="0"/>
    <m/>
    <m/>
    <n v="0"/>
    <n v="25"/>
    <n v="5"/>
    <n v="11145301.025037881"/>
    <n v="29325733.728405606"/>
    <n v="28471.586144083114"/>
  </r>
  <r>
    <s v="4.3.1.1"/>
    <x v="0"/>
    <x v="0"/>
    <x v="0"/>
    <x v="0"/>
    <n v="3"/>
    <x v="2"/>
    <x v="2"/>
    <s v="Improve functionality of LMIS"/>
    <s v="Report writing (addressing current gaps)"/>
    <s v="Local running (diesel, per km)"/>
    <n v="285.57142857142856"/>
    <m/>
    <m/>
    <n v="0"/>
    <n v="1450"/>
    <n v="5"/>
    <n v="2366295.6755066784"/>
    <n v="25"/>
    <n v="5"/>
    <n v="46629.124987524978"/>
    <n v="0"/>
    <n v="0"/>
    <n v="0"/>
    <n v="1450"/>
    <n v="5"/>
    <n v="3532789.4772326313"/>
    <m/>
    <m/>
    <n v="0"/>
    <m/>
    <m/>
    <n v="0"/>
    <n v="1450"/>
    <n v="5"/>
    <n v="5274320.3732446618"/>
    <n v="11220034.650971496"/>
    <n v="10893.237525215045"/>
  </r>
  <r>
    <s v="4.3.1.1"/>
    <x v="0"/>
    <x v="0"/>
    <x v="0"/>
    <x v="0"/>
    <n v="3"/>
    <x v="2"/>
    <x v="2"/>
    <s v="Improve functionality of LMIS"/>
    <s v="Report writing (addressing current gaps)"/>
    <s v="Fuel for travelling participants"/>
    <n v="285.57142857142856"/>
    <m/>
    <m/>
    <n v="0"/>
    <n v="22500"/>
    <n v="1"/>
    <n v="7343676.2343310704"/>
    <m/>
    <m/>
    <n v="0"/>
    <m/>
    <m/>
    <n v="0"/>
    <n v="22500"/>
    <n v="1"/>
    <n v="10963829.412101271"/>
    <m/>
    <m/>
    <n v="0"/>
    <m/>
    <m/>
    <n v="0"/>
    <n v="22500"/>
    <n v="1"/>
    <n v="16368580.468690328"/>
    <n v="34676086.115122668"/>
    <n v="33666.103024390941"/>
  </r>
  <r>
    <s v="4.3.1.1"/>
    <x v="0"/>
    <x v="0"/>
    <x v="0"/>
    <x v="0"/>
    <n v="3"/>
    <x v="2"/>
    <x v="2"/>
    <s v="Improve functionality of LMIS"/>
    <s v="Implementation "/>
    <s v="Zero cost"/>
    <n v="0"/>
    <m/>
    <m/>
    <n v="0"/>
    <n v="0"/>
    <n v="0"/>
    <n v="0"/>
    <n v="4000"/>
    <n v="1"/>
    <n v="0"/>
    <n v="0"/>
    <n v="0"/>
    <n v="0"/>
    <n v="0"/>
    <n v="0"/>
    <n v="0"/>
    <m/>
    <m/>
    <n v="0"/>
    <m/>
    <m/>
    <n v="0"/>
    <n v="0"/>
    <n v="0"/>
    <n v="0"/>
    <n v="0"/>
    <n v="0"/>
  </r>
  <r>
    <s v="4.3.1.1"/>
    <x v="0"/>
    <x v="0"/>
    <x v="0"/>
    <x v="0"/>
    <n v="3"/>
    <x v="2"/>
    <x v="2"/>
    <s v="Conduct annual cost analysis of the integrated supply chain system (LMIS system)"/>
    <s v="Develop a concept note"/>
    <s v="Zero cost"/>
    <n v="0"/>
    <m/>
    <m/>
    <n v="0"/>
    <n v="0"/>
    <n v="0"/>
    <n v="0"/>
    <n v="0"/>
    <n v="0"/>
    <n v="0"/>
    <n v="0"/>
    <n v="0"/>
    <n v="0"/>
    <n v="0"/>
    <n v="0"/>
    <n v="0"/>
    <n v="0"/>
    <n v="0"/>
    <n v="0"/>
    <n v="0"/>
    <n v="0"/>
    <n v="0"/>
    <n v="0"/>
    <n v="0"/>
    <n v="0"/>
    <n v="0"/>
    <n v="0"/>
  </r>
  <r>
    <s v="4.3.1.1"/>
    <x v="0"/>
    <x v="0"/>
    <x v="0"/>
    <x v="0"/>
    <n v="3"/>
    <x v="2"/>
    <x v="2"/>
    <s v="Conduct annual cost analysis of the integrated supply chain system (LMIS system)"/>
    <s v="Set up a taskforce"/>
    <s v="Zero cost"/>
    <n v="0"/>
    <m/>
    <m/>
    <n v="0"/>
    <n v="0"/>
    <n v="0"/>
    <n v="0"/>
    <n v="0"/>
    <n v="0"/>
    <n v="0"/>
    <n v="0"/>
    <n v="0"/>
    <n v="0"/>
    <n v="0"/>
    <n v="0"/>
    <n v="0"/>
    <n v="0"/>
    <n v="0"/>
    <n v="0"/>
    <n v="0"/>
    <n v="0"/>
    <n v="0"/>
    <n v="0"/>
    <n v="0"/>
    <n v="0"/>
    <n v="0"/>
    <n v="0"/>
  </r>
  <r>
    <s v="4.3.1.1"/>
    <x v="0"/>
    <x v="0"/>
    <x v="0"/>
    <x v="0"/>
    <n v="3"/>
    <x v="2"/>
    <x v="2"/>
    <s v="Conduct annual cost analysis of the integrated supply chain system (LMIS system)"/>
    <s v="1week workshop to develop/ revise costing tool "/>
    <s v="DSA (excl. lunch)"/>
    <n v="39000"/>
    <m/>
    <m/>
    <n v="0"/>
    <n v="25"/>
    <n v="6"/>
    <n v="6686088.4174499996"/>
    <n v="25"/>
    <n v="6"/>
    <n v="7641671.5087109469"/>
    <n v="25"/>
    <n v="6"/>
    <n v="8733827.5836495608"/>
    <n v="25"/>
    <n v="6"/>
    <n v="9982075.8029136136"/>
    <n v="25"/>
    <n v="6"/>
    <n v="11408725.027003182"/>
    <n v="25"/>
    <n v="6"/>
    <n v="13039272.523233831"/>
    <n v="25"/>
    <n v="6"/>
    <n v="14902859.656336365"/>
    <n v="72394520.519297495"/>
    <n v="70285.942251745146"/>
  </r>
  <r>
    <s v="4.3.1.1"/>
    <x v="0"/>
    <x v="0"/>
    <x v="0"/>
    <x v="0"/>
    <n v="3"/>
    <x v="2"/>
    <x v="2"/>
    <s v="Conduct annual cost analysis of the integrated supply chain system (LMIS system)"/>
    <s v="1week workshop to develop/ revise costing tool "/>
    <s v="Conference package high-level"/>
    <n v="35000"/>
    <m/>
    <m/>
    <n v="0"/>
    <n v="25"/>
    <n v="5"/>
    <n v="5000279.7993749995"/>
    <n v="25"/>
    <n v="5"/>
    <n v="5714925.2736086138"/>
    <n v="25"/>
    <n v="5"/>
    <n v="6531708.6629857821"/>
    <n v="25"/>
    <n v="5"/>
    <n v="7465227.6303841127"/>
    <n v="25"/>
    <n v="5"/>
    <n v="8532166.152673319"/>
    <n v="25"/>
    <n v="5"/>
    <n v="9751592.6989996582"/>
    <n v="25"/>
    <n v="5"/>
    <n v="11145301.025037881"/>
    <n v="54141201.243064374"/>
    <n v="52564.273051518809"/>
  </r>
  <r>
    <s v="4.3.1.1"/>
    <x v="0"/>
    <x v="0"/>
    <x v="0"/>
    <x v="0"/>
    <n v="3"/>
    <x v="2"/>
    <x v="2"/>
    <s v="Conduct annual cost analysis of the integrated supply chain system (LMIS system)"/>
    <s v="1week workshop to develop/ revise costing tool "/>
    <s v="Fuel reimbursement for data collection teams (diesel, per km)- (9 cars to Salima) "/>
    <n v="285.57142857142856"/>
    <m/>
    <m/>
    <n v="0"/>
    <n v="2430"/>
    <n v="1"/>
    <n v="793117.0333077556"/>
    <n v="2430"/>
    <n v="1"/>
    <n v="906470.18975748552"/>
    <n v="2430"/>
    <n v="1"/>
    <n v="1036023.9036754235"/>
    <n v="2430"/>
    <n v="1"/>
    <n v="1184093.5765069372"/>
    <n v="2430"/>
    <n v="1"/>
    <n v="1353325.5294119618"/>
    <n v="2430"/>
    <n v="1"/>
    <n v="1546744.2986736251"/>
    <n v="2430"/>
    <n v="1"/>
    <n v="1767806.6906185555"/>
    <n v="8587581.2219517436"/>
    <n v="8337.4574970405283"/>
  </r>
  <r>
    <s v="4.3.1.1"/>
    <x v="0"/>
    <x v="0"/>
    <x v="0"/>
    <x v="0"/>
    <n v="3"/>
    <x v="2"/>
    <x v="2"/>
    <s v="Conduct annual cost analysis of the integrated supply chain system (LMIS system)"/>
    <s v="1week workshop to develop/revise costing tool "/>
    <s v="Local running (diesel, per km)"/>
    <n v="214.29"/>
    <m/>
    <m/>
    <n v="0"/>
    <n v="450"/>
    <n v="5"/>
    <n v="551062.26422129245"/>
    <n v="450"/>
    <n v="5"/>
    <n v="629820.68753910332"/>
    <n v="450"/>
    <n v="5"/>
    <n v="719835.35111548612"/>
    <n v="450"/>
    <n v="5"/>
    <n v="822715.00915629161"/>
    <n v="450"/>
    <n v="5"/>
    <n v="940298.3407832738"/>
    <n v="450"/>
    <n v="5"/>
    <n v="1074686.811155299"/>
    <n v="450"/>
    <n v="5"/>
    <n v="1228282.2291370463"/>
    <n v="5966700.6931077922"/>
    <n v="5792.9132942794095"/>
  </r>
  <r>
    <s v="4.3.1.1"/>
    <x v="0"/>
    <x v="0"/>
    <x v="0"/>
    <x v="0"/>
    <n v="3"/>
    <x v="2"/>
    <x v="2"/>
    <s v="Conduct annual cost analysis of the integrated supply chain system (LMIS system)"/>
    <s v="data collection "/>
    <s v="Full DSA"/>
    <n v="45000"/>
    <m/>
    <m/>
    <n v="0"/>
    <n v="25"/>
    <n v="5"/>
    <n v="6428931.1706249984"/>
    <n v="25"/>
    <n v="5"/>
    <n v="7347761.066068219"/>
    <n v="25"/>
    <n v="5"/>
    <n v="8397911.1381245758"/>
    <n v="25"/>
    <n v="5"/>
    <n v="9598149.8104938585"/>
    <n v="25"/>
    <n v="5"/>
    <n v="10969927.910579981"/>
    <n v="25"/>
    <n v="5"/>
    <n v="12537762.041570991"/>
    <n v="25"/>
    <n v="5"/>
    <n v="14329672.746477276"/>
    <n v="69610115.883939892"/>
    <n v="67582.636780524161"/>
  </r>
  <r>
    <s v="4.3.1.1"/>
    <x v="0"/>
    <x v="0"/>
    <x v="0"/>
    <x v="0"/>
    <n v="3"/>
    <x v="2"/>
    <x v="2"/>
    <s v="Conduct annual cost analysis of the integrated supply chain system (LMIS system)"/>
    <s v="data collection "/>
    <s v="Local running (diesel, per km)"/>
    <n v="285.57142857142856"/>
    <m/>
    <m/>
    <n v="0"/>
    <n v="1450"/>
    <n v="1"/>
    <n v="473259.13510133565"/>
    <n v="1450"/>
    <n v="1"/>
    <n v="540897.84985528968"/>
    <n v="1450"/>
    <n v="1"/>
    <n v="618203.56392154901"/>
    <n v="1450"/>
    <n v="1"/>
    <n v="706557.89544652624"/>
    <n v="1450"/>
    <n v="1"/>
    <n v="807539.92495775502"/>
    <n v="1450"/>
    <n v="1"/>
    <n v="922954.416904015"/>
    <n v="1450"/>
    <n v="1"/>
    <n v="1054864.0746489323"/>
    <n v="5124276.8608354032"/>
    <n v="4975.0260784809743"/>
  </r>
  <r>
    <s v="4.3.1.1"/>
    <x v="0"/>
    <x v="0"/>
    <x v="0"/>
    <x v="0"/>
    <n v="3"/>
    <x v="2"/>
    <x v="2"/>
    <s v="Conduct annual cost analysis of the integrated supply chain system (LMIS system)"/>
    <s v="data collection "/>
    <s v="Fuel for travelling participants"/>
    <n v="285.57142857142856"/>
    <m/>
    <m/>
    <n v="0"/>
    <n v="2430"/>
    <n v="1"/>
    <n v="793117.0333077556"/>
    <n v="2430"/>
    <n v="1"/>
    <n v="906470.18975748552"/>
    <n v="2430"/>
    <n v="1"/>
    <n v="1036023.9036754235"/>
    <n v="2430"/>
    <n v="1"/>
    <n v="1184093.5765069372"/>
    <n v="2430"/>
    <n v="1"/>
    <n v="1353325.5294119618"/>
    <n v="2430"/>
    <n v="1"/>
    <n v="1546744.2986736251"/>
    <n v="2430"/>
    <n v="1"/>
    <n v="1767806.6906185555"/>
    <n v="8587581.2219517436"/>
    <n v="8337.4574970405283"/>
  </r>
  <r>
    <s v="4.3.1.1"/>
    <x v="0"/>
    <x v="0"/>
    <x v="0"/>
    <x v="0"/>
    <n v="3"/>
    <x v="2"/>
    <x v="2"/>
    <s v="Conduct annual cost analysis of the integrated supply chain system (LMIS system)"/>
    <s v="data collection "/>
    <s v="Tablet"/>
    <n v="302000"/>
    <m/>
    <m/>
    <n v="0"/>
    <n v="15"/>
    <n v="1"/>
    <n v="5177432.5694099991"/>
    <n v="15"/>
    <n v="1"/>
    <n v="5917396.9118736051"/>
    <n v="15"/>
    <n v="1"/>
    <n v="6763117.7699029921"/>
    <n v="15"/>
    <n v="1"/>
    <n v="7729709.9807177205"/>
    <n v="15"/>
    <n v="1"/>
    <n v="8834448.6106537469"/>
    <n v="15"/>
    <n v="1"/>
    <n v="10097077.697478505"/>
    <n v="15"/>
    <n v="1"/>
    <n v="11540163.118496366"/>
    <n v="56059346.65853294"/>
    <n v="54426.550153915472"/>
  </r>
  <r>
    <s v="4.3.1.1"/>
    <x v="0"/>
    <x v="0"/>
    <x v="0"/>
    <x v="0"/>
    <n v="3"/>
    <x v="2"/>
    <x v="2"/>
    <s v="Conduct annual cost analysis of the integrated supply chain system (LMIS system)"/>
    <s v="data collection "/>
    <s v="Airtime for Research Assistant"/>
    <n v="10000"/>
    <m/>
    <m/>
    <n v="0"/>
    <n v="15"/>
    <n v="1"/>
    <n v="171438.16454999999"/>
    <n v="15"/>
    <n v="1"/>
    <n v="195940.29509515248"/>
    <n v="15"/>
    <n v="1"/>
    <n v="223944.29701665539"/>
    <n v="15"/>
    <n v="1"/>
    <n v="255950.66161316959"/>
    <n v="15"/>
    <n v="1"/>
    <n v="292531.41094879952"/>
    <n v="15"/>
    <n v="1"/>
    <n v="334340.32110855979"/>
    <n v="15"/>
    <n v="1"/>
    <n v="382124.60657272732"/>
    <n v="1856269.756905064"/>
    <n v="1802.2036474806446"/>
  </r>
  <r>
    <s v="4.3.1.1"/>
    <x v="0"/>
    <x v="0"/>
    <x v="0"/>
    <x v="0"/>
    <n v="3"/>
    <x v="2"/>
    <x v="2"/>
    <s v="Conduct annual cost analysis of the integrated supply chain system (LMIS system)"/>
    <s v="data analysis and Report Writing"/>
    <s v="DSA (excl. lunch)"/>
    <n v="39000"/>
    <m/>
    <m/>
    <n v="0"/>
    <n v="25"/>
    <n v="5"/>
    <n v="5571740.347874999"/>
    <n v="25"/>
    <n v="5"/>
    <n v="6368059.5905924551"/>
    <n v="25"/>
    <n v="5"/>
    <n v="7278189.6530412994"/>
    <n v="25"/>
    <n v="5"/>
    <n v="8318396.502428012"/>
    <n v="25"/>
    <n v="5"/>
    <n v="9507270.8558359854"/>
    <n v="25"/>
    <n v="5"/>
    <n v="10866060.436028194"/>
    <n v="25"/>
    <n v="5"/>
    <n v="12419049.713613637"/>
    <n v="60328767.09941458"/>
    <n v="58571.618543120952"/>
  </r>
  <r>
    <s v="4.3.1.1"/>
    <x v="0"/>
    <x v="0"/>
    <x v="0"/>
    <x v="0"/>
    <n v="3"/>
    <x v="2"/>
    <x v="2"/>
    <s v="Conduct annual cost analysis of the integrated supply chain system (LMIS system)"/>
    <s v="data analysis and Report Writing"/>
    <s v="Local running (diesel, per km)"/>
    <n v="285.57142857142856"/>
    <m/>
    <m/>
    <n v="0"/>
    <n v="450"/>
    <n v="10"/>
    <n v="1468735.2468662139"/>
    <n v="450"/>
    <n v="10"/>
    <n v="1678648.499550899"/>
    <n v="450"/>
    <n v="10"/>
    <n v="1918562.7845841176"/>
    <n v="450"/>
    <n v="10"/>
    <n v="2192765.8824202539"/>
    <n v="450"/>
    <n v="10"/>
    <n v="2506158.3877999294"/>
    <n v="450"/>
    <n v="10"/>
    <n v="2864341.293840047"/>
    <n v="450"/>
    <n v="10"/>
    <n v="3273716.0937380656"/>
    <n v="15902928.188799527"/>
    <n v="15439.736105630609"/>
  </r>
  <r>
    <s v="4.3.1.1"/>
    <x v="0"/>
    <x v="0"/>
    <x v="0"/>
    <x v="0"/>
    <n v="3"/>
    <x v="2"/>
    <x v="2"/>
    <s v="Conduct annual cost analysis of the integrated supply chain system (LMIS system)"/>
    <s v="data analysis and Report Writing"/>
    <s v="Fuel for travelling participants"/>
    <n v="285.57142857142856"/>
    <m/>
    <m/>
    <n v="0"/>
    <n v="2430"/>
    <n v="1"/>
    <n v="793117.0333077556"/>
    <n v="2430"/>
    <n v="1"/>
    <n v="906470.18975748552"/>
    <n v="2430"/>
    <n v="1"/>
    <n v="1036023.9036754235"/>
    <n v="2430"/>
    <n v="1"/>
    <n v="1184093.5765069372"/>
    <n v="2430"/>
    <n v="1"/>
    <n v="1353325.5294119618"/>
    <n v="2430"/>
    <n v="1"/>
    <n v="1546744.2986736251"/>
    <n v="2430"/>
    <n v="1"/>
    <n v="1767806.6906185555"/>
    <n v="8587581.2219517436"/>
    <n v="8337.4574970405283"/>
  </r>
  <r>
    <s v="4.3.1.1"/>
    <x v="0"/>
    <x v="0"/>
    <x v="0"/>
    <x v="0"/>
    <n v="3"/>
    <x v="2"/>
    <x v="2"/>
    <s v="Conduct annual cost analysis of the integrated supply chain system (LMIS system)"/>
    <s v="data analysis and Report Writing"/>
    <s v="Conference package high-level"/>
    <n v="35000"/>
    <m/>
    <m/>
    <n v="0"/>
    <n v="25"/>
    <n v="5"/>
    <n v="5000279.7993749995"/>
    <n v="25"/>
    <n v="5"/>
    <n v="5714925.2736086138"/>
    <n v="25"/>
    <n v="5"/>
    <n v="6531708.6629857821"/>
    <n v="25"/>
    <n v="5"/>
    <n v="7465227.6303841127"/>
    <n v="25"/>
    <n v="5"/>
    <n v="8532166.152673319"/>
    <n v="25"/>
    <n v="5"/>
    <n v="9751592.6989996582"/>
    <n v="25"/>
    <n v="5"/>
    <n v="11145301.025037881"/>
    <n v="54141201.243064374"/>
    <n v="52564.273051518809"/>
  </r>
  <r>
    <s v="4.3.1.1"/>
    <x v="0"/>
    <x v="0"/>
    <x v="0"/>
    <x v="0"/>
    <n v="3"/>
    <x v="2"/>
    <x v="2"/>
    <s v="Conduct annual cost analysis of the integrated supply chain system (LMIS system)"/>
    <s v="Validation Workshop"/>
    <s v="DSA (excl. lunch)"/>
    <n v="35000"/>
    <m/>
    <m/>
    <n v="0"/>
    <n v="100"/>
    <n v="1"/>
    <n v="4000223.8394999993"/>
    <n v="100"/>
    <n v="1"/>
    <n v="4571940.2188868914"/>
    <n v="100"/>
    <n v="1"/>
    <n v="5225366.9303886257"/>
    <n v="100"/>
    <n v="1"/>
    <n v="5972182.1043072902"/>
    <n v="100"/>
    <n v="1"/>
    <n v="6825732.9221386546"/>
    <n v="100"/>
    <n v="1"/>
    <n v="7801274.1591997268"/>
    <n v="100"/>
    <n v="1"/>
    <n v="8916240.8200303055"/>
    <n v="43312960.994451493"/>
    <n v="42051.418441215043"/>
  </r>
  <r>
    <s v="4.3.1.1"/>
    <x v="0"/>
    <x v="0"/>
    <x v="0"/>
    <x v="0"/>
    <n v="3"/>
    <x v="2"/>
    <x v="2"/>
    <s v="Conduct annual cost analysis of the integrated supply chain system (LMIS system)"/>
    <s v="Validation Workshop"/>
    <s v="Conference package high-level"/>
    <n v="39000"/>
    <m/>
    <m/>
    <n v="0"/>
    <n v="58"/>
    <n v="2"/>
    <n v="5170575.0428279992"/>
    <n v="58"/>
    <n v="2"/>
    <n v="5909559.3000697987"/>
    <n v="58"/>
    <n v="2"/>
    <n v="6754159.9980223263"/>
    <n v="58"/>
    <n v="2"/>
    <n v="7719471.9542531949"/>
    <n v="58"/>
    <n v="2"/>
    <n v="8822747.3542157933"/>
    <n v="58"/>
    <n v="2"/>
    <n v="10083704.084634162"/>
    <n v="58"/>
    <n v="2"/>
    <n v="11524878.134233456"/>
    <n v="55985095.868256733"/>
    <n v="54354.462008016242"/>
  </r>
  <r>
    <s v="4.3.1.1"/>
    <x v="0"/>
    <x v="0"/>
    <x v="0"/>
    <x v="0"/>
    <n v="3"/>
    <x v="2"/>
    <x v="2"/>
    <s v="Conduct annual cost analysis of the integrated supply chain system (LMIS system)"/>
    <s v="Validation Workshop"/>
    <s v="Fuel for travelling participants"/>
    <n v="285.57142857142856"/>
    <m/>
    <m/>
    <n v="0"/>
    <n v="6750"/>
    <n v="1"/>
    <n v="2203102.8702993211"/>
    <n v="6750"/>
    <n v="1"/>
    <n v="2517972.7493263488"/>
    <n v="6750"/>
    <n v="1"/>
    <n v="2877844.1768761761"/>
    <n v="6750"/>
    <n v="1"/>
    <n v="3289148.8236303809"/>
    <n v="6750"/>
    <n v="1"/>
    <n v="3759237.5816998943"/>
    <n v="6750"/>
    <n v="1"/>
    <n v="4296511.9407600695"/>
    <n v="6750"/>
    <n v="1"/>
    <n v="4910574.1406070981"/>
    <n v="23854392.283199288"/>
    <n v="23159.604158445909"/>
  </r>
  <r>
    <s v="4.3.1.1"/>
    <x v="0"/>
    <x v="0"/>
    <x v="0"/>
    <x v="0"/>
    <n v="3"/>
    <x v="2"/>
    <x v="2"/>
    <s v="Conduct annual cost analysis of the integrated supply chain system (LMIS system)"/>
    <s v="Validation Workshop"/>
    <s v="Local running (diesel, per km)"/>
    <n v="285.57142857142856"/>
    <m/>
    <m/>
    <n v="0"/>
    <n v="1450"/>
    <n v="1"/>
    <n v="473259.13510133565"/>
    <n v="1450"/>
    <n v="1"/>
    <n v="540897.84985528968"/>
    <n v="1450"/>
    <n v="1"/>
    <n v="618203.56392154901"/>
    <n v="1450"/>
    <n v="1"/>
    <n v="706557.89544652624"/>
    <n v="1450"/>
    <n v="1"/>
    <n v="807539.92495775502"/>
    <n v="1450"/>
    <n v="1"/>
    <n v="922954.416904015"/>
    <n v="1450"/>
    <n v="1"/>
    <n v="1054864.0746489323"/>
    <n v="5124276.8608354032"/>
    <n v="4975.0260784809743"/>
  </r>
  <r>
    <s v="4.3.1.1"/>
    <x v="0"/>
    <x v="0"/>
    <x v="0"/>
    <x v="0"/>
    <n v="3"/>
    <x v="2"/>
    <x v="2"/>
    <s v="improve data for decision making for the integrated supply chain system "/>
    <s v="generate routine LMIS reports and share to all stakeholders "/>
    <s v="Zero cost"/>
    <n v="0"/>
    <n v="0"/>
    <n v="0"/>
    <n v="0"/>
    <n v="25"/>
    <n v="5"/>
    <n v="0"/>
    <n v="25"/>
    <n v="5"/>
    <n v="0"/>
    <n v="25"/>
    <n v="5"/>
    <n v="0"/>
    <n v="25"/>
    <n v="5"/>
    <n v="0"/>
    <m/>
    <m/>
    <n v="0"/>
    <m/>
    <m/>
    <n v="0"/>
    <m/>
    <m/>
    <n v="0"/>
    <n v="0"/>
    <n v="0"/>
  </r>
  <r>
    <s v="4.3.1.1"/>
    <x v="0"/>
    <x v="0"/>
    <x v="0"/>
    <x v="0"/>
    <n v="3"/>
    <x v="2"/>
    <x v="2"/>
    <s v="foster partnerships for the integrated supply chain system"/>
    <s v="set up a taskforce for the integration of the supply chain system"/>
    <s v="Zero cost"/>
    <n v="0"/>
    <n v="0"/>
    <n v="0"/>
    <n v="0"/>
    <n v="0"/>
    <n v="0"/>
    <n v="0"/>
    <n v="0"/>
    <n v="0"/>
    <n v="0"/>
    <n v="0"/>
    <n v="0"/>
    <n v="0"/>
    <n v="0"/>
    <n v="0"/>
    <n v="0"/>
    <m/>
    <m/>
    <n v="0"/>
    <m/>
    <m/>
    <n v="0"/>
    <m/>
    <m/>
    <n v="0"/>
    <n v="0"/>
    <n v="0"/>
  </r>
  <r>
    <s v="4.3.1.1"/>
    <x v="0"/>
    <x v="0"/>
    <x v="0"/>
    <x v="0"/>
    <n v="3"/>
    <x v="2"/>
    <x v="2"/>
    <s v="foster partnerships for the integrated supply chain system"/>
    <s v="conduct quarterly taskforce meetings "/>
    <s v="Conference package high-level"/>
    <n v="35000"/>
    <n v="30"/>
    <n v="4"/>
    <n v="4200000"/>
    <n v="30"/>
    <n v="4"/>
    <n v="4800268.6073999992"/>
    <n v="30"/>
    <n v="4"/>
    <n v="5486328.2626642687"/>
    <n v="30"/>
    <n v="4"/>
    <n v="6270440.316466351"/>
    <n v="30"/>
    <n v="4"/>
    <n v="7166618.5251687486"/>
    <n v="30"/>
    <n v="4"/>
    <n v="8190879.5065663857"/>
    <n v="30"/>
    <n v="4"/>
    <n v="9361528.9910396729"/>
    <m/>
    <m/>
    <n v="0"/>
    <n v="45476064.209305421"/>
    <n v="44151.518649811085"/>
  </r>
  <r>
    <s v="4.3.1.1"/>
    <x v="0"/>
    <x v="0"/>
    <x v="0"/>
    <x v="0"/>
    <n v="3"/>
    <x v="2"/>
    <x v="2"/>
    <s v="foster partnerships for the integrated supply chain system"/>
    <s v="conduct quarterly taskforce meetings "/>
    <s v="Local running (diesel, per km)"/>
    <n v="285.57142857142856"/>
    <n v="250"/>
    <n v="4"/>
    <n v="285571.42857142858"/>
    <n v="250"/>
    <n v="4"/>
    <n v="326385.6104147142"/>
    <n v="250"/>
    <n v="4"/>
    <n v="373032.99990019982"/>
    <n v="250"/>
    <n v="4"/>
    <n v="426347.2854631372"/>
    <n v="250"/>
    <n v="4"/>
    <n v="487281.30720450089"/>
    <n v="250"/>
    <n v="4"/>
    <n v="556924.08617776213"/>
    <n v="250"/>
    <n v="4"/>
    <n v="636520.28752001037"/>
    <m/>
    <m/>
    <n v="0"/>
    <n v="3092063.0052517531"/>
    <n v="3002.0029177201486"/>
  </r>
  <r>
    <s v="4.3.1.1"/>
    <x v="0"/>
    <x v="0"/>
    <x v="0"/>
    <x v="0"/>
    <n v="4"/>
    <x v="3"/>
    <x v="3"/>
    <s v="Develop a tracking system"/>
    <s v="Set up a taskforce on tracking and tracing (hold 10 meetings to come up with a list of priority medicines for tracking and tracing))"/>
    <s v="Conference package high-level"/>
    <n v="35000"/>
    <m/>
    <m/>
    <n v="0"/>
    <m/>
    <m/>
    <n v="0"/>
    <n v="5"/>
    <n v="10"/>
    <n v="2285970.1094434452"/>
    <n v="1"/>
    <n v="4000"/>
    <n v="209014677.21554503"/>
    <n v="1"/>
    <n v="4000"/>
    <n v="238887284.17229161"/>
    <m/>
    <m/>
    <n v="0"/>
    <m/>
    <m/>
    <n v="0"/>
    <m/>
    <m/>
    <n v="0"/>
    <n v="450187931.49728012"/>
    <n v="437075.66164784477"/>
  </r>
  <r>
    <s v="4.3.1.1"/>
    <x v="0"/>
    <x v="0"/>
    <x v="0"/>
    <x v="0"/>
    <n v="4"/>
    <x v="3"/>
    <x v="3"/>
    <s v="Develop a tracking system"/>
    <s v="Set up a taskforce on tracking and tracing (hold 10 meetings to come up with a list of priority medicines for tracking and tracing))"/>
    <s v="Local running (diesel, per km)"/>
    <n v="285.57142857142856"/>
    <m/>
    <m/>
    <n v="0"/>
    <n v="0"/>
    <n v="0"/>
    <n v="0"/>
    <n v="500"/>
    <n v="50"/>
    <n v="9325824.9975049961"/>
    <n v="0"/>
    <n v="0"/>
    <n v="0"/>
    <n v="0"/>
    <n v="0"/>
    <n v="0"/>
    <m/>
    <m/>
    <n v="0"/>
    <m/>
    <m/>
    <n v="0"/>
    <m/>
    <m/>
    <n v="0"/>
    <n v="9325824.9975049961"/>
    <n v="9054.19902670388"/>
  </r>
  <r>
    <s v="4.3.1.1"/>
    <x v="0"/>
    <x v="0"/>
    <x v="0"/>
    <x v="0"/>
    <n v="4"/>
    <x v="3"/>
    <x v="3"/>
    <s v="Develop a tracking system"/>
    <s v="Develop TORs for an IT consultant to develop a tracking system"/>
    <s v="Zero cost"/>
    <n v="0"/>
    <m/>
    <m/>
    <n v="0"/>
    <n v="0"/>
    <n v="0"/>
    <n v="0"/>
    <n v="0"/>
    <n v="0"/>
    <n v="0"/>
    <n v="0"/>
    <n v="0"/>
    <n v="0"/>
    <n v="0"/>
    <n v="0"/>
    <n v="0"/>
    <m/>
    <m/>
    <n v="0"/>
    <m/>
    <m/>
    <n v="0"/>
    <m/>
    <m/>
    <n v="0"/>
    <n v="0"/>
    <n v="0"/>
  </r>
  <r>
    <s v="4.3.1.1"/>
    <x v="0"/>
    <x v="0"/>
    <x v="0"/>
    <x v="0"/>
    <n v="4"/>
    <x v="3"/>
    <x v="3"/>
    <s v="Develop a tracking system"/>
    <s v="Recruitment of the consultant"/>
    <s v="Local consultant fee - High level"/>
    <n v="511000"/>
    <m/>
    <m/>
    <n v="0"/>
    <n v="0"/>
    <n v="0"/>
    <n v="0"/>
    <n v="1"/>
    <n v="25"/>
    <n v="16687581.798937155"/>
    <n v="0"/>
    <n v="0"/>
    <n v="0"/>
    <n v="0"/>
    <n v="0"/>
    <n v="0"/>
    <m/>
    <m/>
    <n v="0"/>
    <m/>
    <m/>
    <n v="0"/>
    <m/>
    <m/>
    <n v="0"/>
    <n v="16687581.798937155"/>
    <n v="16201.535727123452"/>
  </r>
  <r>
    <s v="4.3.1.1"/>
    <x v="0"/>
    <x v="0"/>
    <x v="0"/>
    <x v="0"/>
    <n v="4"/>
    <x v="3"/>
    <x v="3"/>
    <s v="Develop a tracking system"/>
    <s v="Recruitment of the consultant"/>
    <s v="Newspaper advert (full)"/>
    <n v="391991.03749999998"/>
    <m/>
    <m/>
    <n v="0"/>
    <n v="0"/>
    <n v="0"/>
    <n v="0"/>
    <n v="2"/>
    <n v="2"/>
    <n v="2048182.3883307995"/>
    <n v="0"/>
    <n v="0"/>
    <n v="0"/>
    <n v="0"/>
    <n v="0"/>
    <n v="0"/>
    <m/>
    <m/>
    <n v="0"/>
    <m/>
    <m/>
    <n v="0"/>
    <m/>
    <m/>
    <n v="0"/>
    <n v="2048182.3883307995"/>
    <n v="1988.5265906124266"/>
  </r>
  <r>
    <s v="4.3.1.1"/>
    <x v="0"/>
    <x v="0"/>
    <x v="0"/>
    <x v="0"/>
    <n v="4"/>
    <x v="3"/>
    <x v="3"/>
    <s v="Develop a tracking system"/>
    <s v="Validation Workshop"/>
    <s v="DSA (excl. lunch)"/>
    <n v="35000"/>
    <m/>
    <m/>
    <n v="0"/>
    <m/>
    <m/>
    <n v="0"/>
    <n v="100"/>
    <n v="1"/>
    <n v="4571940.2188868914"/>
    <m/>
    <m/>
    <n v="0"/>
    <m/>
    <m/>
    <n v="0"/>
    <m/>
    <m/>
    <n v="0"/>
    <m/>
    <m/>
    <n v="0"/>
    <m/>
    <m/>
    <n v="0"/>
    <n v="4571940.2188868914"/>
    <n v="4438.7769115406709"/>
  </r>
  <r>
    <s v="4.3.1.1"/>
    <x v="0"/>
    <x v="0"/>
    <x v="0"/>
    <x v="0"/>
    <n v="4"/>
    <x v="3"/>
    <x v="3"/>
    <s v="Develop a tracking system"/>
    <s v="Validation Workshop"/>
    <s v="Conference package high-level"/>
    <n v="39000"/>
    <m/>
    <m/>
    <n v="0"/>
    <m/>
    <m/>
    <n v="0"/>
    <n v="58"/>
    <n v="2"/>
    <n v="5909559.3000697987"/>
    <m/>
    <m/>
    <n v="0"/>
    <m/>
    <m/>
    <n v="0"/>
    <m/>
    <m/>
    <n v="0"/>
    <m/>
    <m/>
    <n v="0"/>
    <m/>
    <m/>
    <n v="0"/>
    <n v="5909559.3000697987"/>
    <n v="5737.4362136599984"/>
  </r>
  <r>
    <s v="4.3.1.1"/>
    <x v="0"/>
    <x v="0"/>
    <x v="0"/>
    <x v="0"/>
    <n v="4"/>
    <x v="3"/>
    <x v="3"/>
    <s v="Develop a tracking system"/>
    <s v="Validation Workshop"/>
    <s v="Fuel for travelling participants"/>
    <n v="285.57142857142856"/>
    <m/>
    <m/>
    <n v="0"/>
    <m/>
    <m/>
    <n v="0"/>
    <n v="6750"/>
    <n v="1"/>
    <n v="2517972.7493263488"/>
    <m/>
    <m/>
    <n v="0"/>
    <m/>
    <m/>
    <n v="0"/>
    <m/>
    <m/>
    <n v="0"/>
    <m/>
    <m/>
    <n v="0"/>
    <m/>
    <m/>
    <n v="0"/>
    <n v="2517972.7493263488"/>
    <n v="2444.6337372100475"/>
  </r>
  <r>
    <s v="4.3.1.1"/>
    <x v="0"/>
    <x v="0"/>
    <x v="0"/>
    <x v="0"/>
    <n v="4"/>
    <x v="3"/>
    <x v="3"/>
    <s v="Develop a tracking system"/>
    <s v="Validation Workshop"/>
    <s v="Local running (diesel, per km)"/>
    <n v="285.57142857142856"/>
    <m/>
    <m/>
    <n v="0"/>
    <m/>
    <m/>
    <n v="0"/>
    <n v="1450"/>
    <n v="1"/>
    <n v="540897.84985528968"/>
    <m/>
    <m/>
    <n v="0"/>
    <m/>
    <m/>
    <n v="0"/>
    <m/>
    <m/>
    <n v="0"/>
    <m/>
    <m/>
    <n v="0"/>
    <m/>
    <m/>
    <n v="0"/>
    <n v="540897.84985528968"/>
    <n v="525.14354354882494"/>
  </r>
  <r>
    <s v="4.3.1.1"/>
    <x v="0"/>
    <x v="0"/>
    <x v="0"/>
    <x v="0"/>
    <n v="4"/>
    <x v="3"/>
    <x v="3"/>
    <s v="Develop a tracking system"/>
    <s v="Training users of the system"/>
    <s v="Conference package high-level"/>
    <n v="35000"/>
    <m/>
    <m/>
    <n v="0"/>
    <n v="0"/>
    <n v="0"/>
    <n v="0"/>
    <n v="100"/>
    <n v="3"/>
    <n v="13715820.656660674"/>
    <n v="0"/>
    <n v="0"/>
    <n v="0"/>
    <n v="0"/>
    <n v="0"/>
    <n v="0"/>
    <m/>
    <m/>
    <n v="0"/>
    <m/>
    <m/>
    <n v="0"/>
    <m/>
    <m/>
    <n v="0"/>
    <n v="13715820.656660674"/>
    <n v="13316.330734622014"/>
  </r>
  <r>
    <s v="4.3.1.1"/>
    <x v="0"/>
    <x v="0"/>
    <x v="0"/>
    <x v="0"/>
    <n v="4"/>
    <x v="3"/>
    <x v="3"/>
    <s v="Develop a tracking system"/>
    <s v="Training users of the system"/>
    <s v="DSA (excl. lunch)"/>
    <n v="39000"/>
    <m/>
    <m/>
    <n v="0"/>
    <n v="0"/>
    <n v="0"/>
    <n v="0"/>
    <n v="58"/>
    <n v="4"/>
    <n v="11819118.600139597"/>
    <n v="0"/>
    <n v="0"/>
    <n v="0"/>
    <n v="0"/>
    <n v="0"/>
    <n v="0"/>
    <m/>
    <m/>
    <n v="0"/>
    <m/>
    <m/>
    <n v="0"/>
    <m/>
    <m/>
    <n v="0"/>
    <n v="11819118.600139597"/>
    <n v="11474.872427319997"/>
  </r>
  <r>
    <s v="4.3.1.1"/>
    <x v="0"/>
    <x v="0"/>
    <x v="0"/>
    <x v="0"/>
    <n v="4"/>
    <x v="3"/>
    <x v="3"/>
    <s v="Develop a tracking system"/>
    <s v="Training users of the system"/>
    <s v="Fuel for travelling participants"/>
    <n v="285.57142857142856"/>
    <m/>
    <m/>
    <n v="0"/>
    <m/>
    <m/>
    <n v="0"/>
    <n v="22500"/>
    <n v="1"/>
    <n v="8393242.4977544956"/>
    <m/>
    <m/>
    <n v="0"/>
    <m/>
    <m/>
    <n v="0"/>
    <m/>
    <m/>
    <n v="0"/>
    <m/>
    <m/>
    <n v="0"/>
    <m/>
    <m/>
    <n v="0"/>
    <n v="8393242.4977544956"/>
    <n v="8148.7791240334909"/>
  </r>
  <r>
    <s v="4.3.1.1"/>
    <x v="0"/>
    <x v="0"/>
    <x v="0"/>
    <x v="0"/>
    <n v="4"/>
    <x v="3"/>
    <x v="3"/>
    <s v="Develop a tracking system"/>
    <s v="Training users of the system"/>
    <s v="Local running (diesel, per km)"/>
    <n v="285.57142857142856"/>
    <m/>
    <m/>
    <n v="0"/>
    <n v="0"/>
    <n v="0"/>
    <n v="0"/>
    <n v="1450"/>
    <n v="3"/>
    <n v="1622693.5495658689"/>
    <n v="0"/>
    <n v="0"/>
    <n v="0"/>
    <n v="0"/>
    <n v="0"/>
    <n v="0"/>
    <m/>
    <m/>
    <n v="0"/>
    <m/>
    <m/>
    <n v="0"/>
    <m/>
    <m/>
    <n v="0"/>
    <n v="1622693.5495658689"/>
    <n v="1575.4306306464746"/>
  </r>
  <r>
    <s v="4.3.1.1"/>
    <x v="0"/>
    <x v="0"/>
    <x v="0"/>
    <x v="0"/>
    <n v="4"/>
    <x v="3"/>
    <x v="3"/>
    <s v="Develop a tracking system"/>
    <s v="Pilot the system and monitor perfomance "/>
    <s v="piloting tracking system"/>
    <n v="8112303"/>
    <m/>
    <m/>
    <n v="0"/>
    <n v="0"/>
    <n v="0"/>
    <n v="0"/>
    <n v="1"/>
    <n v="1"/>
    <n v="10596846.958141938"/>
    <n v="0"/>
    <n v="0"/>
    <n v="0"/>
    <n v="0"/>
    <n v="0"/>
    <n v="0"/>
    <m/>
    <m/>
    <n v="0"/>
    <m/>
    <m/>
    <n v="0"/>
    <m/>
    <m/>
    <n v="0"/>
    <n v="10596846.958141938"/>
    <n v="10288.200930234891"/>
  </r>
  <r>
    <s v="4.3.1.1"/>
    <x v="0"/>
    <x v="0"/>
    <x v="0"/>
    <x v="0"/>
    <n v="4"/>
    <x v="3"/>
    <x v="3"/>
    <s v="Develop a tracking system"/>
    <s v="Scaling up"/>
    <s v="scaling up the tracking system"/>
    <n v="235256787"/>
    <m/>
    <m/>
    <n v="0"/>
    <n v="0"/>
    <n v="0"/>
    <n v="0"/>
    <n v="1"/>
    <n v="1"/>
    <n v="307308561.78611624"/>
    <n v="1"/>
    <n v="1"/>
    <n v="351229438.55408019"/>
    <m/>
    <m/>
    <n v="0"/>
    <m/>
    <m/>
    <n v="0"/>
    <m/>
    <m/>
    <n v="0"/>
    <m/>
    <m/>
    <n v="0"/>
    <n v="658538000.34019637"/>
    <n v="639357.28188368585"/>
  </r>
  <r>
    <s v="4.3.1.1"/>
    <x v="0"/>
    <x v="0"/>
    <x v="0"/>
    <x v="0"/>
    <n v="5"/>
    <x v="4"/>
    <x v="4"/>
    <s v=" Conduct district level theft investigation trainings"/>
    <s v=" Conduct district level theft investigation trainings"/>
    <s v="Conference package high-level"/>
    <n v="35000"/>
    <n v="100"/>
    <n v="5"/>
    <n v="17500000"/>
    <n v="0"/>
    <n v="0"/>
    <n v="0"/>
    <m/>
    <m/>
    <n v="0"/>
    <n v="1"/>
    <n v="1"/>
    <n v="52253.669303886258"/>
    <m/>
    <m/>
    <n v="0"/>
    <n v="100"/>
    <n v="5"/>
    <n v="34128664.610693276"/>
    <m/>
    <m/>
    <n v="0"/>
    <m/>
    <m/>
    <n v="0"/>
    <n v="51680918.279997163"/>
    <n v="50175.648815531225"/>
  </r>
  <r>
    <s v="4.3.1.1"/>
    <x v="0"/>
    <x v="0"/>
    <x v="0"/>
    <x v="0"/>
    <n v="5"/>
    <x v="4"/>
    <x v="4"/>
    <s v=" Conduct district level theft investigation trainings"/>
    <s v=" Conduct district level theft investigation trainings"/>
    <s v="DSA (excl. lunch)"/>
    <n v="39000"/>
    <n v="58"/>
    <n v="5"/>
    <n v="11310000"/>
    <n v="0"/>
    <n v="0"/>
    <n v="0"/>
    <n v="100"/>
    <n v="5"/>
    <n v="25472238.36236982"/>
    <n v="0"/>
    <n v="0"/>
    <n v="0"/>
    <n v="100"/>
    <n v="5"/>
    <n v="33273586.009712048"/>
    <n v="58"/>
    <n v="5"/>
    <n v="22056868.385539483"/>
    <m/>
    <m/>
    <n v="0"/>
    <m/>
    <m/>
    <n v="0"/>
    <n v="92112692.757621363"/>
    <n v="89429.798793807146"/>
  </r>
  <r>
    <s v="4.3.1.1"/>
    <x v="0"/>
    <x v="0"/>
    <x v="0"/>
    <x v="0"/>
    <n v="5"/>
    <x v="4"/>
    <x v="4"/>
    <s v=" Conduct district level theft investigation trainings"/>
    <s v=" Conduct district level theft investigation trainings"/>
    <s v="Local running (diesel, per km)"/>
    <n v="285.57142857142856"/>
    <n v="1450"/>
    <n v="6"/>
    <n v="2484471.4285714286"/>
    <n v="0"/>
    <n v="0"/>
    <n v="0"/>
    <n v="100"/>
    <n v="6"/>
    <n v="223819.79994011988"/>
    <n v="0"/>
    <n v="0"/>
    <n v="0"/>
    <n v="100"/>
    <n v="6"/>
    <n v="292368.78432270052"/>
    <n v="1450"/>
    <n v="6"/>
    <n v="4845239.5497465301"/>
    <m/>
    <m/>
    <n v="0"/>
    <m/>
    <m/>
    <n v="0"/>
    <n v="7845899.5625807792"/>
    <n v="7617.3782160978435"/>
  </r>
  <r>
    <s v="4.3.1.1"/>
    <x v="0"/>
    <x v="0"/>
    <x v="0"/>
    <x v="0"/>
    <n v="5"/>
    <x v="4"/>
    <x v="4"/>
    <s v=" Conduct district level theft investigation trainings"/>
    <s v=" Conduct district level theft investigation trainings"/>
    <s v="Fuel for travelling participants"/>
    <n v="285.57142857142856"/>
    <n v="22500"/>
    <n v="1"/>
    <n v="6425357.1428571427"/>
    <m/>
    <m/>
    <n v="0"/>
    <m/>
    <m/>
    <n v="0"/>
    <m/>
    <m/>
    <n v="0"/>
    <m/>
    <m/>
    <n v="0"/>
    <n v="22500"/>
    <n v="1"/>
    <n v="12530791.938999647"/>
    <m/>
    <m/>
    <n v="0"/>
    <m/>
    <m/>
    <n v="0"/>
    <n v="18956149.081856791"/>
    <n v="18404.02823481242"/>
  </r>
  <r>
    <s v="4.3.1.1"/>
    <x v="0"/>
    <x v="0"/>
    <x v="0"/>
    <x v="0"/>
    <n v="5"/>
    <x v="4"/>
    <x v="4"/>
    <s v=" Conduct district level theft investigation trainings"/>
    <s v="Develop ToRs"/>
    <s v="Zero cost"/>
    <n v="0"/>
    <n v="20000"/>
    <n v="1"/>
    <n v="0"/>
    <n v="0"/>
    <n v="0"/>
    <n v="0"/>
    <n v="20000"/>
    <n v="1"/>
    <n v="0"/>
    <n v="0"/>
    <n v="0"/>
    <n v="0"/>
    <n v="20000"/>
    <n v="1"/>
    <n v="0"/>
    <n v="20000"/>
    <n v="1"/>
    <n v="0"/>
    <m/>
    <m/>
    <n v="0"/>
    <m/>
    <m/>
    <n v="0"/>
    <n v="0"/>
    <n v="0"/>
  </r>
  <r>
    <s v="4.3.1.1"/>
    <x v="0"/>
    <x v="0"/>
    <x v="0"/>
    <x v="0"/>
    <n v="5"/>
    <x v="4"/>
    <x v="4"/>
    <s v=" Conduct district level theft investigation trainings"/>
    <s v="Develop training curriculum"/>
    <s v="DSA (excl. lunch)"/>
    <n v="39000"/>
    <n v="25"/>
    <n v="5"/>
    <n v="4875000"/>
    <n v="0"/>
    <n v="0"/>
    <n v="0"/>
    <n v="0"/>
    <n v="0"/>
    <n v="0"/>
    <n v="0"/>
    <n v="0"/>
    <n v="0"/>
    <n v="0"/>
    <n v="0"/>
    <n v="0"/>
    <n v="25"/>
    <n v="5"/>
    <n v="9507270.8558359854"/>
    <m/>
    <m/>
    <n v="0"/>
    <m/>
    <m/>
    <n v="0"/>
    <n v="14382270.855835985"/>
    <n v="13963.369762947559"/>
  </r>
  <r>
    <s v="4.3.1.1"/>
    <x v="0"/>
    <x v="0"/>
    <x v="0"/>
    <x v="0"/>
    <n v="5"/>
    <x v="4"/>
    <x v="4"/>
    <s v=" Conduct district level theft investigation trainings"/>
    <s v="Develop training curriculum"/>
    <s v="Local running (diesel, per km)"/>
    <n v="285.57142857142856"/>
    <n v="450"/>
    <n v="5"/>
    <n v="642535.71428571432"/>
    <n v="0"/>
    <n v="0"/>
    <n v="0"/>
    <n v="0"/>
    <n v="0"/>
    <n v="0"/>
    <n v="0"/>
    <n v="0"/>
    <n v="0"/>
    <n v="0"/>
    <n v="0"/>
    <n v="0"/>
    <n v="450"/>
    <n v="5"/>
    <n v="1253079.1938999647"/>
    <m/>
    <m/>
    <n v="0"/>
    <m/>
    <m/>
    <n v="0"/>
    <n v="1895614.908185679"/>
    <n v="1840.4028234812417"/>
  </r>
  <r>
    <s v="4.3.1.1"/>
    <x v="0"/>
    <x v="0"/>
    <x v="0"/>
    <x v="0"/>
    <n v="5"/>
    <x v="4"/>
    <x v="4"/>
    <s v=" Conduct district level theft investigation trainings"/>
    <s v="Develop training curriculum"/>
    <s v="Conference package high-level"/>
    <n v="35000"/>
    <n v="25"/>
    <n v="5"/>
    <n v="4375000"/>
    <n v="0"/>
    <n v="0"/>
    <n v="0"/>
    <n v="0"/>
    <n v="0"/>
    <n v="0"/>
    <n v="0"/>
    <n v="0"/>
    <n v="0"/>
    <n v="0"/>
    <n v="0"/>
    <n v="0"/>
    <n v="25"/>
    <n v="5"/>
    <n v="8532166.152673319"/>
    <m/>
    <m/>
    <n v="0"/>
    <m/>
    <m/>
    <n v="0"/>
    <n v="12907166.152673319"/>
    <n v="12531.229274440115"/>
  </r>
  <r>
    <s v="4.3.1.1"/>
    <x v="0"/>
    <x v="0"/>
    <x v="0"/>
    <x v="0"/>
    <n v="5"/>
    <x v="4"/>
    <x v="4"/>
    <s v=" Conduct district level theft investigation trainings"/>
    <s v="conduct 8 drug theft audits per year"/>
    <s v="Full DSA"/>
    <n v="45000"/>
    <n v="10"/>
    <n v="10"/>
    <n v="4500000"/>
    <n v="10"/>
    <n v="10"/>
    <n v="5143144.9364999998"/>
    <n v="10"/>
    <n v="10"/>
    <n v="5878208.852854575"/>
    <n v="10"/>
    <n v="10"/>
    <n v="6718328.9104996612"/>
    <n v="10"/>
    <n v="10"/>
    <n v="7678519.8483950868"/>
    <n v="10"/>
    <n v="10"/>
    <n v="8775942.3284639847"/>
    <n v="10"/>
    <n v="10"/>
    <n v="10030209.633256793"/>
    <n v="10"/>
    <n v="10"/>
    <n v="11463738.197181821"/>
    <n v="60188092.70715192"/>
    <n v="58435.041463254289"/>
  </r>
  <r>
    <s v="4.3.1.1"/>
    <x v="0"/>
    <x v="0"/>
    <x v="0"/>
    <x v="0"/>
    <n v="5"/>
    <x v="4"/>
    <x v="4"/>
    <s v=" Conduct district level theft investigation trainings"/>
    <s v="conduct 8 drug theft audits per year"/>
    <s v="Fuel for travelling participants"/>
    <n v="285.57142857142856"/>
    <n v="22500"/>
    <n v="1"/>
    <n v="6425357.1428571427"/>
    <n v="22500"/>
    <n v="1"/>
    <n v="7343676.2343310704"/>
    <n v="22500"/>
    <n v="1"/>
    <n v="8393242.4977544956"/>
    <n v="22500"/>
    <n v="1"/>
    <n v="9592813.9229205865"/>
    <n v="22500"/>
    <n v="1"/>
    <n v="10963829.412101271"/>
    <n v="22500"/>
    <n v="1"/>
    <n v="12530791.938999647"/>
    <n v="22500"/>
    <n v="1"/>
    <n v="14321706.469200233"/>
    <n v="22500"/>
    <n v="1"/>
    <n v="16368580.468690328"/>
    <n v="85939998.086854786"/>
    <n v="83436.89134646095"/>
  </r>
  <r>
    <s v="4.3.1.1"/>
    <x v="0"/>
    <x v="0"/>
    <x v="0"/>
    <x v="0"/>
    <n v="5"/>
    <x v="4"/>
    <x v="4"/>
    <s v=" Conduct district level theft investigation trainings"/>
    <s v="conduct 8 drug theft audits per year"/>
    <s v="Local running (diesel, per km)"/>
    <n v="285.57142857142856"/>
    <n v="1600"/>
    <n v="5"/>
    <n v="2284571.4285714282"/>
    <n v="1600"/>
    <n v="5"/>
    <n v="2611084.8833177136"/>
    <n v="1600"/>
    <n v="5"/>
    <n v="2984263.9992015986"/>
    <n v="1600"/>
    <n v="5"/>
    <n v="3410778.2837050976"/>
    <n v="1600"/>
    <n v="5"/>
    <n v="3898250.4576360066"/>
    <n v="1600"/>
    <n v="5"/>
    <n v="4455392.6894220971"/>
    <n v="1600"/>
    <n v="5"/>
    <n v="5092162.300160083"/>
    <n v="1600"/>
    <n v="5"/>
    <n v="5819939.7222010056"/>
    <n v="30556443.76421503"/>
    <n v="29666.450256519445"/>
  </r>
  <r>
    <s v="4.3.1.1"/>
    <x v="0"/>
    <x v="0"/>
    <x v="0"/>
    <x v="0"/>
    <n v="6"/>
    <x v="5"/>
    <x v="5"/>
    <s v="Finalization of infrastructure management guidelines "/>
    <s v="Conduct follow-up meetings"/>
    <s v="Zero cost"/>
    <n v="0"/>
    <n v="0"/>
    <n v="0"/>
    <n v="0"/>
    <n v="0"/>
    <n v="0"/>
    <n v="0"/>
    <n v="0"/>
    <n v="0"/>
    <n v="0"/>
    <n v="0"/>
    <n v="0"/>
    <n v="0"/>
    <n v="0"/>
    <n v="0"/>
    <n v="0"/>
    <m/>
    <m/>
    <n v="0"/>
    <m/>
    <m/>
    <n v="0"/>
    <m/>
    <m/>
    <n v="0"/>
    <n v="0"/>
    <n v="0"/>
  </r>
  <r>
    <s v="4.3.1.1"/>
    <x v="0"/>
    <x v="0"/>
    <x v="0"/>
    <x v="0"/>
    <n v="6"/>
    <x v="5"/>
    <x v="5"/>
    <s v="Finalization of infrastructure management guidelines "/>
    <s v="Present the infrastructure guidelines to TWG"/>
    <s v="Conference package high-level"/>
    <n v="35000"/>
    <n v="30"/>
    <n v="1"/>
    <n v="1050000"/>
    <n v="0"/>
    <n v="0"/>
    <n v="0"/>
    <n v="0"/>
    <n v="0"/>
    <n v="0"/>
    <n v="0"/>
    <n v="0"/>
    <n v="0"/>
    <n v="0"/>
    <n v="0"/>
    <n v="0"/>
    <m/>
    <m/>
    <n v="0"/>
    <m/>
    <m/>
    <n v="0"/>
    <m/>
    <m/>
    <n v="0"/>
    <n v="1050000"/>
    <n v="1019.4174757281553"/>
  </r>
  <r>
    <s v="4.3.1.1"/>
    <x v="0"/>
    <x v="0"/>
    <x v="0"/>
    <x v="0"/>
    <n v="6"/>
    <x v="5"/>
    <x v="5"/>
    <s v="Finalization of infrastructure management guidelines "/>
    <s v="Presentation to senior management team for approval"/>
    <s v="Zero cost"/>
    <n v="0"/>
    <n v="30"/>
    <n v="0.5"/>
    <n v="0"/>
    <n v="0"/>
    <n v="0"/>
    <n v="0"/>
    <n v="0"/>
    <n v="0"/>
    <n v="0"/>
    <n v="0"/>
    <n v="0"/>
    <n v="0"/>
    <n v="0"/>
    <n v="0"/>
    <n v="0"/>
    <m/>
    <m/>
    <n v="0"/>
    <m/>
    <m/>
    <n v="0"/>
    <m/>
    <m/>
    <n v="0"/>
    <n v="0"/>
    <n v="0"/>
  </r>
  <r>
    <s v="4.3.1.1"/>
    <x v="0"/>
    <x v="0"/>
    <x v="0"/>
    <x v="0"/>
    <n v="6"/>
    <x v="5"/>
    <x v="5"/>
    <s v="Finalization of infrastructure management guidelines "/>
    <s v="Implementation of the guidelines upon approval"/>
    <s v="Zero cost"/>
    <n v="0"/>
    <n v="20"/>
    <n v="1"/>
    <n v="0"/>
    <n v="0"/>
    <n v="0"/>
    <n v="0"/>
    <n v="0"/>
    <n v="0"/>
    <n v="0"/>
    <n v="0"/>
    <n v="0"/>
    <n v="0"/>
    <n v="0"/>
    <n v="0"/>
    <n v="0"/>
    <m/>
    <m/>
    <n v="0"/>
    <m/>
    <m/>
    <n v="0"/>
    <m/>
    <m/>
    <n v="0"/>
    <n v="0"/>
    <n v="0"/>
  </r>
  <r>
    <s v="4.3.1.1"/>
    <x v="0"/>
    <x v="0"/>
    <x v="0"/>
    <x v="0"/>
    <n v="6"/>
    <x v="5"/>
    <x v="5"/>
    <s v="Engage treasury on prioritization of health infrastructure projects"/>
    <s v="Meetings with treasury and discuss processes to improve on payments to infrastructure (internal meeting)"/>
    <s v="Zero cost"/>
    <n v="0"/>
    <m/>
    <m/>
    <n v="0"/>
    <n v="0"/>
    <n v="0"/>
    <n v="0"/>
    <n v="0"/>
    <n v="0"/>
    <n v="0"/>
    <n v="0"/>
    <n v="0"/>
    <n v="0"/>
    <n v="0"/>
    <n v="0"/>
    <n v="0"/>
    <m/>
    <m/>
    <n v="0"/>
    <m/>
    <m/>
    <n v="0"/>
    <m/>
    <m/>
    <n v="0"/>
    <n v="0"/>
    <n v="0"/>
  </r>
  <r>
    <s v="4.3.1.1"/>
    <x v="0"/>
    <x v="0"/>
    <x v="0"/>
    <x v="0"/>
    <n v="6"/>
    <x v="5"/>
    <x v="5"/>
    <s v="Engage treasury on prioritization of health infrastructure projects"/>
    <s v="Hold biannual meetings with DOB to review progress of projects (internal meeting)"/>
    <s v="Conference package high-level"/>
    <n v="35000"/>
    <n v="10"/>
    <n v="2"/>
    <n v="700000"/>
    <n v="10"/>
    <n v="2"/>
    <n v="800044.76789999986"/>
    <n v="10"/>
    <n v="2"/>
    <n v="914388.04377737816"/>
    <n v="10"/>
    <n v="2"/>
    <n v="1045073.3860777251"/>
    <n v="10"/>
    <n v="2"/>
    <n v="1194436.4208614579"/>
    <n v="10"/>
    <n v="2"/>
    <n v="1365146.5844277311"/>
    <n v="10"/>
    <n v="2"/>
    <n v="1560254.8318399454"/>
    <n v="10"/>
    <n v="2"/>
    <n v="1783248.1640060609"/>
    <n v="9362592.1988902986"/>
    <n v="9089.8953387284455"/>
  </r>
  <r>
    <s v="4.3.1.1"/>
    <x v="0"/>
    <x v="0"/>
    <x v="0"/>
    <x v="0"/>
    <n v="7"/>
    <x v="6"/>
    <x v="6"/>
    <s v="Develop a National and International Wholesale Medicines Price Monitoring System"/>
    <s v="Develop a concept note on National and International Wholesale Medicines Price Monitoring System "/>
    <s v="Zero cost"/>
    <n v="0"/>
    <n v="0"/>
    <n v="0"/>
    <n v="0"/>
    <n v="0"/>
    <n v="0"/>
    <n v="0"/>
    <n v="15"/>
    <n v="1"/>
    <n v="0"/>
    <n v="0"/>
    <n v="0"/>
    <n v="0"/>
    <n v="0"/>
    <n v="0"/>
    <n v="0"/>
    <m/>
    <m/>
    <n v="0"/>
    <m/>
    <m/>
    <n v="0"/>
    <m/>
    <m/>
    <n v="0"/>
    <n v="0"/>
    <n v="0"/>
  </r>
  <r>
    <s v="4.3.1.1"/>
    <x v="0"/>
    <x v="0"/>
    <x v="0"/>
    <x v="0"/>
    <n v="7"/>
    <x v="6"/>
    <x v="6"/>
    <s v="Develop a National and International Wholesale Medicines Price Monitoring System"/>
    <s v="Set up a taskforce on national and international wholesale medicines price monitoring system"/>
    <s v="Zero cost"/>
    <n v="0"/>
    <m/>
    <m/>
    <n v="0"/>
    <n v="0"/>
    <n v="0"/>
    <n v="0"/>
    <n v="0"/>
    <n v="0"/>
    <n v="0"/>
    <n v="0"/>
    <n v="0"/>
    <n v="0"/>
    <n v="0"/>
    <n v="0"/>
    <n v="0"/>
    <m/>
    <m/>
    <n v="0"/>
    <m/>
    <m/>
    <n v="0"/>
    <m/>
    <m/>
    <n v="0"/>
    <n v="0"/>
    <n v="0"/>
  </r>
  <r>
    <s v="4.3.1.1"/>
    <x v="0"/>
    <x v="0"/>
    <x v="0"/>
    <x v="0"/>
    <n v="7"/>
    <x v="6"/>
    <x v="6"/>
    <s v="Develop a National and International Wholesale Medicines Price Monitoring System"/>
    <s v="Develop TORs for a consultant"/>
    <s v="Zero cost"/>
    <n v="0"/>
    <m/>
    <m/>
    <n v="0"/>
    <n v="0"/>
    <n v="0"/>
    <n v="0"/>
    <n v="0"/>
    <n v="0"/>
    <n v="0"/>
    <n v="0"/>
    <n v="0"/>
    <n v="0"/>
    <n v="0"/>
    <n v="0"/>
    <n v="0"/>
    <m/>
    <m/>
    <n v="0"/>
    <m/>
    <m/>
    <n v="0"/>
    <m/>
    <m/>
    <n v="0"/>
    <n v="0"/>
    <n v="0"/>
  </r>
  <r>
    <s v="4.3.1.1"/>
    <x v="0"/>
    <x v="0"/>
    <x v="0"/>
    <x v="0"/>
    <n v="7"/>
    <x v="6"/>
    <x v="6"/>
    <s v="Develop a National and International Wholesale Medicines Price Monitoring System"/>
    <s v="Recruitment of a consultant "/>
    <s v="Newspaper advert (full)"/>
    <n v="391991.03749999998"/>
    <m/>
    <m/>
    <n v="0"/>
    <n v="0"/>
    <n v="0"/>
    <n v="0"/>
    <n v="2"/>
    <n v="2"/>
    <n v="2048182.3883307995"/>
    <n v="0"/>
    <n v="0"/>
    <n v="0"/>
    <n v="0"/>
    <n v="0"/>
    <n v="0"/>
    <m/>
    <m/>
    <n v="0"/>
    <m/>
    <m/>
    <n v="0"/>
    <m/>
    <m/>
    <n v="0"/>
    <n v="2048182.3883307995"/>
    <n v="1988.5265906124266"/>
  </r>
  <r>
    <s v="4.3.1.1"/>
    <x v="0"/>
    <x v="0"/>
    <x v="0"/>
    <x v="0"/>
    <n v="7"/>
    <x v="6"/>
    <x v="6"/>
    <s v="Develop a National and International Wholesale Medicines Price Monitoring System"/>
    <s v="Recruitment of a consultant "/>
    <s v="Local consultant fee - High level"/>
    <n v="511000"/>
    <m/>
    <m/>
    <n v="0"/>
    <n v="0"/>
    <n v="0"/>
    <n v="0"/>
    <n v="1"/>
    <n v="25"/>
    <n v="16687581.798937155"/>
    <n v="0"/>
    <n v="0"/>
    <n v="0"/>
    <n v="0"/>
    <n v="0"/>
    <n v="0"/>
    <m/>
    <m/>
    <n v="0"/>
    <m/>
    <m/>
    <n v="0"/>
    <m/>
    <m/>
    <n v="0"/>
    <n v="16687581.798937155"/>
    <n v="16201.535727123452"/>
  </r>
  <r>
    <s v="4.3.1.1"/>
    <x v="0"/>
    <x v="0"/>
    <x v="0"/>
    <x v="0"/>
    <n v="7"/>
    <x v="6"/>
    <x v="6"/>
    <s v="Develop a National and International Wholesale Medicines Price Monitoring System"/>
    <s v="Develop a data collection tool "/>
    <s v="Zero cost"/>
    <n v="0"/>
    <m/>
    <m/>
    <n v="0"/>
    <n v="0"/>
    <n v="0"/>
    <n v="0"/>
    <n v="0"/>
    <n v="0"/>
    <n v="0"/>
    <n v="0"/>
    <n v="0"/>
    <n v="0"/>
    <n v="0"/>
    <n v="0"/>
    <n v="0"/>
    <m/>
    <m/>
    <n v="0"/>
    <m/>
    <m/>
    <n v="0"/>
    <m/>
    <m/>
    <n v="0"/>
    <n v="0"/>
    <n v="0"/>
  </r>
  <r>
    <s v="4.3.1.1"/>
    <x v="0"/>
    <x v="0"/>
    <x v="0"/>
    <x v="0"/>
    <n v="7"/>
    <x v="6"/>
    <x v="6"/>
    <s v="Develop a National and International Wholesale Medicines Price Monitoring System"/>
    <s v="recruit research assistants "/>
    <s v="Zero cost"/>
    <n v="0"/>
    <m/>
    <m/>
    <n v="0"/>
    <n v="0"/>
    <n v="0"/>
    <n v="0"/>
    <n v="0"/>
    <n v="0"/>
    <n v="0"/>
    <n v="0"/>
    <n v="0"/>
    <n v="0"/>
    <n v="0"/>
    <n v="0"/>
    <n v="0"/>
    <m/>
    <m/>
    <n v="0"/>
    <m/>
    <m/>
    <n v="0"/>
    <m/>
    <m/>
    <n v="0"/>
    <n v="0"/>
    <n v="0"/>
  </r>
  <r>
    <s v="4.3.1.1"/>
    <x v="0"/>
    <x v="0"/>
    <x v="0"/>
    <x v="0"/>
    <n v="7"/>
    <x v="6"/>
    <x v="6"/>
    <s v="Develop a National and International Wholesale Medicines Price Monitoring System"/>
    <s v="Conduct training on the data collection tool "/>
    <s v="Conference package high-level"/>
    <n v="35000"/>
    <m/>
    <m/>
    <n v="0"/>
    <n v="0"/>
    <n v="0"/>
    <n v="0"/>
    <n v="25"/>
    <n v="5"/>
    <n v="5714925.2736086138"/>
    <n v="0"/>
    <n v="0"/>
    <n v="0"/>
    <n v="0"/>
    <n v="0"/>
    <n v="0"/>
    <m/>
    <m/>
    <n v="0"/>
    <m/>
    <m/>
    <n v="0"/>
    <m/>
    <m/>
    <n v="0"/>
    <n v="5714925.2736086138"/>
    <n v="5548.4711394258384"/>
  </r>
  <r>
    <s v="4.3.1.1"/>
    <x v="0"/>
    <x v="0"/>
    <x v="0"/>
    <x v="0"/>
    <n v="7"/>
    <x v="6"/>
    <x v="6"/>
    <s v="Develop a National and International Wholesale Medicines Price Monitoring System"/>
    <s v="Conduct training on the data collection tool "/>
    <s v="Toner"/>
    <n v="104850"/>
    <m/>
    <m/>
    <n v="0"/>
    <n v="0"/>
    <n v="0"/>
    <n v="0"/>
    <n v="1"/>
    <n v="1"/>
    <n v="136962.26627151159"/>
    <n v="0"/>
    <n v="0"/>
    <n v="0"/>
    <n v="0"/>
    <n v="0"/>
    <n v="0"/>
    <m/>
    <m/>
    <n v="0"/>
    <m/>
    <m/>
    <n v="0"/>
    <m/>
    <m/>
    <n v="0"/>
    <n v="136962.26627151159"/>
    <n v="132.97307405001126"/>
  </r>
  <r>
    <s v="4.3.1.1"/>
    <x v="0"/>
    <x v="0"/>
    <x v="0"/>
    <x v="0"/>
    <n v="7"/>
    <x v="6"/>
    <x v="6"/>
    <s v="Develop a National and International Wholesale Medicines Price Monitoring System"/>
    <s v="Conduct training on the data collection tool "/>
    <s v="A4, 500 pages, 140 gsm paper"/>
    <n v="8000"/>
    <m/>
    <m/>
    <n v="0"/>
    <n v="0"/>
    <n v="0"/>
    <n v="0"/>
    <n v="10"/>
    <n v="1"/>
    <n v="104501.49071741465"/>
    <n v="0"/>
    <n v="0"/>
    <n v="0"/>
    <n v="0"/>
    <n v="0"/>
    <n v="0"/>
    <m/>
    <m/>
    <n v="0"/>
    <m/>
    <m/>
    <n v="0"/>
    <m/>
    <m/>
    <n v="0"/>
    <n v="104501.49071741465"/>
    <n v="101.45775797807248"/>
  </r>
  <r>
    <s v="4.3.1.1"/>
    <x v="0"/>
    <x v="0"/>
    <x v="0"/>
    <x v="0"/>
    <n v="7"/>
    <x v="6"/>
    <x v="6"/>
    <s v="Develop a National and International Wholesale Medicines Price Monitoring System"/>
    <s v="Conduct training on the data collection tool "/>
    <s v="Stationary materials for participant (Pen, Notepad medium, Flipchart, Marker,office Supplies ) - Average"/>
    <n v="8000"/>
    <m/>
    <m/>
    <n v="0"/>
    <n v="0"/>
    <n v="0"/>
    <n v="0"/>
    <n v="10"/>
    <n v="1"/>
    <n v="104501.49071741465"/>
    <n v="0"/>
    <n v="0"/>
    <n v="0"/>
    <n v="0"/>
    <n v="0"/>
    <n v="0"/>
    <m/>
    <m/>
    <n v="0"/>
    <m/>
    <m/>
    <n v="0"/>
    <m/>
    <m/>
    <n v="0"/>
    <n v="104501.49071741465"/>
    <n v="101.45775797807248"/>
  </r>
  <r>
    <s v="4.3.1.1"/>
    <x v="0"/>
    <x v="0"/>
    <x v="0"/>
    <x v="0"/>
    <n v="7"/>
    <x v="6"/>
    <x v="6"/>
    <s v="Develop a National and International Wholesale Medicines Price Monitoring System"/>
    <s v="Pre-testing of the data collection tool"/>
    <s v="Full DSA"/>
    <n v="45000"/>
    <m/>
    <m/>
    <n v="0"/>
    <n v="0"/>
    <n v="0"/>
    <n v="0"/>
    <n v="25"/>
    <n v="2"/>
    <n v="2939104.4264272875"/>
    <n v="0"/>
    <n v="0"/>
    <n v="0"/>
    <n v="0"/>
    <n v="0"/>
    <n v="0"/>
    <m/>
    <m/>
    <n v="0"/>
    <m/>
    <m/>
    <n v="0"/>
    <m/>
    <m/>
    <n v="0"/>
    <n v="2939104.4264272875"/>
    <n v="2853.4994431332889"/>
  </r>
  <r>
    <s v="4.3.1.1"/>
    <x v="0"/>
    <x v="0"/>
    <x v="0"/>
    <x v="0"/>
    <n v="7"/>
    <x v="6"/>
    <x v="6"/>
    <s v="Develop a National and International Wholesale Medicines Price Monitoring System"/>
    <s v="Pre-testing of the data collection tool"/>
    <s v="Local running (diesel, per km)"/>
    <n v="285.57142857142856"/>
    <m/>
    <m/>
    <n v="0"/>
    <n v="0"/>
    <n v="0"/>
    <n v="0"/>
    <n v="450"/>
    <n v="1"/>
    <n v="167864.84995508991"/>
    <n v="0"/>
    <n v="0"/>
    <n v="0"/>
    <n v="0"/>
    <n v="0"/>
    <n v="0"/>
    <m/>
    <m/>
    <n v="0"/>
    <m/>
    <m/>
    <n v="0"/>
    <m/>
    <m/>
    <n v="0"/>
    <n v="167864.84995508991"/>
    <n v="162.97558248066983"/>
  </r>
  <r>
    <s v="4.3.1.1"/>
    <x v="0"/>
    <x v="0"/>
    <x v="0"/>
    <x v="0"/>
    <n v="7"/>
    <x v="6"/>
    <x v="6"/>
    <s v="Develop a National and International Wholesale Medicines Price Monitoring System"/>
    <s v="Pre-testing of the data collection tool"/>
    <s v="Fuel for travelling participants"/>
    <n v="285.57142857142856"/>
    <m/>
    <m/>
    <n v="0"/>
    <m/>
    <m/>
    <n v="0"/>
    <n v="2430"/>
    <n v="1"/>
    <n v="906470.18975748552"/>
    <m/>
    <m/>
    <n v="0"/>
    <m/>
    <m/>
    <n v="0"/>
    <m/>
    <m/>
    <n v="0"/>
    <m/>
    <m/>
    <n v="0"/>
    <m/>
    <m/>
    <n v="0"/>
    <n v="906470.18975748552"/>
    <n v="880.06814539561697"/>
  </r>
  <r>
    <s v="4.3.1.1"/>
    <x v="0"/>
    <x v="0"/>
    <x v="0"/>
    <x v="0"/>
    <n v="7"/>
    <x v="6"/>
    <x v="6"/>
    <s v="Develop a National and International Wholesale Medicines Price Monitoring System"/>
    <s v="Validation of data collection tool"/>
    <s v="Conference package high-level"/>
    <n v="35000"/>
    <m/>
    <m/>
    <n v="0"/>
    <n v="0"/>
    <n v="0"/>
    <n v="0"/>
    <n v="100"/>
    <n v="1"/>
    <n v="4571940.2188868914"/>
    <n v="0"/>
    <n v="0"/>
    <n v="0"/>
    <n v="0"/>
    <n v="0"/>
    <n v="0"/>
    <m/>
    <m/>
    <n v="0"/>
    <m/>
    <m/>
    <n v="0"/>
    <m/>
    <m/>
    <n v="0"/>
    <n v="4571940.2188868914"/>
    <n v="4438.7769115406709"/>
  </r>
  <r>
    <s v="4.3.1.1"/>
    <x v="0"/>
    <x v="0"/>
    <x v="0"/>
    <x v="0"/>
    <n v="7"/>
    <x v="6"/>
    <x v="6"/>
    <s v="Develop a National and International Wholesale Medicines Price Monitoring System"/>
    <s v="Collect medicines pricing data"/>
    <s v="Full DSA"/>
    <n v="45000"/>
    <m/>
    <m/>
    <n v="0"/>
    <n v="0"/>
    <n v="0"/>
    <n v="0"/>
    <n v="25"/>
    <n v="2"/>
    <n v="2939104.4264272875"/>
    <n v="0"/>
    <n v="0"/>
    <n v="0"/>
    <n v="0"/>
    <n v="0"/>
    <n v="0"/>
    <m/>
    <m/>
    <n v="0"/>
    <m/>
    <m/>
    <n v="0"/>
    <m/>
    <m/>
    <n v="0"/>
    <n v="2939104.4264272875"/>
    <n v="2853.4994431332889"/>
  </r>
  <r>
    <s v="4.3.1.1"/>
    <x v="0"/>
    <x v="0"/>
    <x v="0"/>
    <x v="0"/>
    <n v="7"/>
    <x v="6"/>
    <x v="6"/>
    <s v="Develop a National and International Wholesale Medicines Price Monitoring System"/>
    <s v="Collect medicines pricing data"/>
    <s v="Local running (diesel, per km)"/>
    <n v="285.57142857142856"/>
    <m/>
    <m/>
    <n v="0"/>
    <n v="0"/>
    <n v="0"/>
    <n v="0"/>
    <n v="450"/>
    <n v="1"/>
    <n v="167864.84995508991"/>
    <n v="0"/>
    <n v="0"/>
    <n v="0"/>
    <n v="0"/>
    <n v="0"/>
    <n v="0"/>
    <m/>
    <m/>
    <n v="0"/>
    <m/>
    <m/>
    <n v="0"/>
    <m/>
    <m/>
    <n v="0"/>
    <n v="167864.84995508991"/>
    <n v="162.97558248066983"/>
  </r>
  <r>
    <s v="4.3.1.1"/>
    <x v="0"/>
    <x v="0"/>
    <x v="0"/>
    <x v="0"/>
    <n v="7"/>
    <x v="6"/>
    <x v="6"/>
    <s v="Develop a National and International Wholesale Medicines Price Monitoring System"/>
    <s v="Collect medicines pricing data"/>
    <s v="Fuel for travelling participants"/>
    <n v="285.57142857142856"/>
    <m/>
    <m/>
    <n v="0"/>
    <m/>
    <m/>
    <n v="0"/>
    <n v="2430"/>
    <n v="1"/>
    <n v="906470.18975748552"/>
    <m/>
    <m/>
    <n v="0"/>
    <m/>
    <m/>
    <n v="0"/>
    <m/>
    <m/>
    <n v="0"/>
    <m/>
    <m/>
    <n v="0"/>
    <m/>
    <m/>
    <n v="0"/>
    <n v="906470.18975748552"/>
    <n v="880.06814539561697"/>
  </r>
  <r>
    <s v="4.3.1.1"/>
    <x v="0"/>
    <x v="0"/>
    <x v="0"/>
    <x v="0"/>
    <n v="7"/>
    <x v="6"/>
    <x v="6"/>
    <s v="Develop a National and International Wholesale Medicines Price Monitoring System"/>
    <s v="Collect medicines pricing data"/>
    <s v="Airtime for Research Assistant"/>
    <n v="10000"/>
    <m/>
    <m/>
    <n v="0"/>
    <n v="0"/>
    <n v="0"/>
    <n v="0"/>
    <n v="15"/>
    <n v="1"/>
    <n v="195940.29509515248"/>
    <n v="0"/>
    <n v="0"/>
    <n v="0"/>
    <n v="0"/>
    <n v="0"/>
    <n v="0"/>
    <m/>
    <m/>
    <n v="0"/>
    <m/>
    <m/>
    <n v="0"/>
    <m/>
    <m/>
    <n v="0"/>
    <n v="195940.29509515248"/>
    <n v="190.23329620888592"/>
  </r>
  <r>
    <s v="4.3.1.1"/>
    <x v="0"/>
    <x v="0"/>
    <x v="0"/>
    <x v="0"/>
    <n v="7"/>
    <x v="6"/>
    <x v="6"/>
    <s v="Develop a National and International Wholesale Medicines Price Monitoring System"/>
    <s v="Collect medicines pricing data"/>
    <s v="Tablet"/>
    <n v="302000"/>
    <m/>
    <m/>
    <n v="0"/>
    <n v="0"/>
    <n v="0"/>
    <n v="0"/>
    <n v="15"/>
    <n v="1"/>
    <n v="5917396.9118736051"/>
    <n v="0"/>
    <n v="0"/>
    <n v="0"/>
    <n v="0"/>
    <n v="0"/>
    <n v="0"/>
    <m/>
    <m/>
    <n v="0"/>
    <m/>
    <m/>
    <n v="0"/>
    <m/>
    <m/>
    <n v="0"/>
    <n v="5917396.9118736051"/>
    <n v="5745.0455455083547"/>
  </r>
  <r>
    <s v="4.3.1.1"/>
    <x v="0"/>
    <x v="0"/>
    <x v="0"/>
    <x v="0"/>
    <n v="7"/>
    <x v="6"/>
    <x v="6"/>
    <s v="Develop a National and International Wholesale Medicines Price Monitoring System"/>
    <s v="Data analysis"/>
    <s v="DSA (excl. lunch)"/>
    <n v="39000"/>
    <m/>
    <m/>
    <n v="0"/>
    <n v="0"/>
    <n v="0"/>
    <n v="0"/>
    <n v="25"/>
    <n v="6"/>
    <n v="7641671.5087109469"/>
    <n v="0"/>
    <n v="0"/>
    <n v="0"/>
    <n v="0"/>
    <n v="0"/>
    <n v="0"/>
    <m/>
    <m/>
    <n v="0"/>
    <m/>
    <m/>
    <n v="0"/>
    <m/>
    <m/>
    <n v="0"/>
    <n v="7641671.5087109469"/>
    <n v="7419.09855214655"/>
  </r>
  <r>
    <s v="4.3.1.1"/>
    <x v="0"/>
    <x v="0"/>
    <x v="0"/>
    <x v="0"/>
    <n v="7"/>
    <x v="6"/>
    <x v="6"/>
    <s v="Develop a National and International Wholesale Medicines Price Monitoring System"/>
    <s v="Data analysis"/>
    <s v="Conference package high-level"/>
    <n v="35000"/>
    <m/>
    <m/>
    <n v="0"/>
    <n v="0"/>
    <n v="0"/>
    <n v="0"/>
    <n v="25"/>
    <n v="5"/>
    <n v="5714925.2736086138"/>
    <n v="0"/>
    <n v="0"/>
    <n v="0"/>
    <n v="0"/>
    <n v="0"/>
    <n v="0"/>
    <m/>
    <m/>
    <n v="0"/>
    <m/>
    <m/>
    <n v="0"/>
    <m/>
    <m/>
    <n v="0"/>
    <n v="5714925.2736086138"/>
    <n v="5548.4711394258384"/>
  </r>
  <r>
    <s v="4.3.1.1"/>
    <x v="0"/>
    <x v="0"/>
    <x v="0"/>
    <x v="0"/>
    <n v="7"/>
    <x v="6"/>
    <x v="6"/>
    <s v="Develop a National and International Wholesale Medicines Price Monitoring System"/>
    <s v="Data analysis"/>
    <s v="Local running (diesel, per km)"/>
    <n v="285.57142857142856"/>
    <m/>
    <m/>
    <n v="0"/>
    <n v="0"/>
    <n v="0"/>
    <n v="0"/>
    <n v="450"/>
    <n v="1"/>
    <n v="167864.84995508991"/>
    <n v="0"/>
    <n v="0"/>
    <n v="0"/>
    <n v="0"/>
    <n v="0"/>
    <n v="0"/>
    <m/>
    <m/>
    <n v="0"/>
    <m/>
    <m/>
    <n v="0"/>
    <m/>
    <m/>
    <n v="0"/>
    <n v="167864.84995508991"/>
    <n v="162.97558248066983"/>
  </r>
  <r>
    <s v="4.3.1.1"/>
    <x v="0"/>
    <x v="0"/>
    <x v="0"/>
    <x v="0"/>
    <n v="7"/>
    <x v="6"/>
    <x v="6"/>
    <s v="Develop a National and International Wholesale Medicines Price Monitoring System"/>
    <s v="Data analysis"/>
    <s v="Fuel for travelling participants"/>
    <n v="285.57142857142856"/>
    <m/>
    <m/>
    <n v="0"/>
    <m/>
    <m/>
    <n v="0"/>
    <n v="2430"/>
    <n v="1"/>
    <n v="906470.18975748552"/>
    <m/>
    <m/>
    <n v="0"/>
    <m/>
    <m/>
    <n v="0"/>
    <m/>
    <m/>
    <n v="0"/>
    <m/>
    <m/>
    <n v="0"/>
    <m/>
    <m/>
    <n v="0"/>
    <n v="906470.18975748552"/>
    <n v="880.06814539561697"/>
  </r>
  <r>
    <s v="4.3.1.1"/>
    <x v="0"/>
    <x v="0"/>
    <x v="0"/>
    <x v="0"/>
    <n v="7"/>
    <x v="6"/>
    <x v="6"/>
    <s v="Develop a National and International Wholesale Medicines Price Monitoring System"/>
    <s v="Validation Workshop"/>
    <s v="DSA (excl. lunch)"/>
    <n v="39000"/>
    <m/>
    <m/>
    <n v="0"/>
    <m/>
    <m/>
    <n v="0"/>
    <n v="25"/>
    <n v="2"/>
    <n v="2547223.8362369821"/>
    <m/>
    <m/>
    <n v="0"/>
    <m/>
    <m/>
    <n v="0"/>
    <m/>
    <m/>
    <n v="0"/>
    <m/>
    <m/>
    <n v="0"/>
    <m/>
    <m/>
    <n v="0"/>
    <n v="2547223.8362369821"/>
    <n v="2473.0328507155168"/>
  </r>
  <r>
    <s v="4.3.1.1"/>
    <x v="0"/>
    <x v="0"/>
    <x v="0"/>
    <x v="0"/>
    <n v="7"/>
    <x v="6"/>
    <x v="6"/>
    <s v="Develop a National and International Wholesale Medicines Price Monitoring System"/>
    <s v="Validation Workshop"/>
    <s v="Conference package high-level"/>
    <n v="35000"/>
    <m/>
    <m/>
    <n v="0"/>
    <m/>
    <m/>
    <n v="0"/>
    <n v="25"/>
    <n v="1"/>
    <n v="1142985.0547217228"/>
    <m/>
    <m/>
    <n v="0"/>
    <m/>
    <m/>
    <n v="0"/>
    <m/>
    <m/>
    <n v="0"/>
    <m/>
    <m/>
    <n v="0"/>
    <m/>
    <m/>
    <n v="0"/>
    <n v="1142985.0547217228"/>
    <n v="1109.6942278851677"/>
  </r>
  <r>
    <s v="4.3.1.1"/>
    <x v="0"/>
    <x v="0"/>
    <x v="0"/>
    <x v="0"/>
    <n v="7"/>
    <x v="6"/>
    <x v="6"/>
    <s v="Develop a National and International Wholesale Medicines Price Monitoring System"/>
    <s v="Validation Workshop"/>
    <s v="Local running (diesel, per km)"/>
    <n v="285.57142857142856"/>
    <m/>
    <m/>
    <n v="0"/>
    <m/>
    <m/>
    <n v="0"/>
    <n v="450"/>
    <n v="1"/>
    <n v="167864.84995508991"/>
    <m/>
    <m/>
    <n v="0"/>
    <m/>
    <m/>
    <n v="0"/>
    <m/>
    <m/>
    <n v="0"/>
    <m/>
    <m/>
    <n v="0"/>
    <m/>
    <m/>
    <n v="0"/>
    <n v="167864.84995508991"/>
    <n v="162.97558248066983"/>
  </r>
  <r>
    <s v="4.3.1.1"/>
    <x v="0"/>
    <x v="0"/>
    <x v="0"/>
    <x v="0"/>
    <n v="7"/>
    <x v="6"/>
    <x v="6"/>
    <s v="Develop a National and International Wholesale Medicines Price Monitoring System"/>
    <s v="Validation Workshop"/>
    <s v="Fuel for travelling participants"/>
    <n v="285.57142857142856"/>
    <m/>
    <m/>
    <n v="0"/>
    <m/>
    <m/>
    <n v="0"/>
    <n v="2430"/>
    <n v="1"/>
    <n v="906470.18975748552"/>
    <m/>
    <m/>
    <n v="0"/>
    <m/>
    <m/>
    <n v="0"/>
    <m/>
    <m/>
    <n v="0"/>
    <m/>
    <m/>
    <n v="0"/>
    <m/>
    <m/>
    <n v="0"/>
    <n v="906470.18975748552"/>
    <n v="880.06814539561697"/>
  </r>
  <r>
    <s v="4.3.1.1"/>
    <x v="0"/>
    <x v="0"/>
    <x v="0"/>
    <x v="0"/>
    <n v="7"/>
    <x v="6"/>
    <x v="6"/>
    <s v="Develop a National and International Wholesale Medicines Price Monitoring System"/>
    <s v="Develop an online medicines pricing database(cost under consultant fee)"/>
    <s v="Zero cost"/>
    <n v="0"/>
    <m/>
    <m/>
    <n v="0"/>
    <n v="0"/>
    <n v="0"/>
    <n v="0"/>
    <n v="0"/>
    <n v="0"/>
    <n v="0"/>
    <n v="0"/>
    <n v="0"/>
    <n v="0"/>
    <n v="0"/>
    <n v="0"/>
    <n v="0"/>
    <m/>
    <m/>
    <n v="0"/>
    <m/>
    <m/>
    <n v="0"/>
    <m/>
    <m/>
    <n v="0"/>
    <n v="0"/>
    <n v="0"/>
  </r>
  <r>
    <s v="4.3.1.1"/>
    <x v="0"/>
    <x v="0"/>
    <x v="0"/>
    <x v="0"/>
    <n v="7"/>
    <x v="6"/>
    <x v="6"/>
    <s v="Develop a National and International Wholesale Medicines Price Monitoring System"/>
    <s v="Develop a user manual for the system(cost under consultant fee)"/>
    <s v="Zero cost"/>
    <n v="0"/>
    <m/>
    <m/>
    <n v="0"/>
    <n v="0"/>
    <n v="0"/>
    <n v="0"/>
    <n v="0"/>
    <n v="0"/>
    <n v="0"/>
    <n v="0"/>
    <n v="0"/>
    <n v="0"/>
    <n v="0"/>
    <n v="0"/>
    <n v="0"/>
    <m/>
    <m/>
    <n v="0"/>
    <m/>
    <m/>
    <n v="0"/>
    <m/>
    <m/>
    <n v="0"/>
    <n v="0"/>
    <n v="0"/>
  </r>
  <r>
    <s v="4.3.1.1"/>
    <x v="0"/>
    <x v="0"/>
    <x v="0"/>
    <x v="0"/>
    <n v="7"/>
    <x v="6"/>
    <x v="6"/>
    <s v="Develop a National and International Wholesale Medicines Price Monitoring System"/>
    <s v="Validation of the database "/>
    <s v="Conference package high-level"/>
    <n v="35000"/>
    <m/>
    <m/>
    <n v="0"/>
    <n v="0"/>
    <n v="0"/>
    <n v="0"/>
    <n v="25"/>
    <n v="1"/>
    <n v="1142985.0547217228"/>
    <n v="0"/>
    <n v="0"/>
    <n v="0"/>
    <n v="0"/>
    <n v="0"/>
    <n v="0"/>
    <m/>
    <m/>
    <n v="0"/>
    <m/>
    <m/>
    <n v="0"/>
    <m/>
    <m/>
    <n v="0"/>
    <n v="1142985.0547217228"/>
    <n v="1109.6942278851677"/>
  </r>
  <r>
    <s v="4.3.1.1"/>
    <x v="0"/>
    <x v="0"/>
    <x v="0"/>
    <x v="0"/>
    <n v="7"/>
    <x v="6"/>
    <x v="6"/>
    <s v="Develop a National and International Wholesale Medicines Price Monitoring System"/>
    <s v="Validation of the database "/>
    <s v="DSA (excl. lunch)"/>
    <n v="39000"/>
    <m/>
    <m/>
    <n v="0"/>
    <n v="0"/>
    <n v="0"/>
    <n v="0"/>
    <n v="25"/>
    <n v="1"/>
    <n v="1273611.9181184911"/>
    <n v="0"/>
    <n v="0"/>
    <n v="0"/>
    <n v="0"/>
    <n v="0"/>
    <n v="0"/>
    <m/>
    <m/>
    <n v="0"/>
    <m/>
    <m/>
    <n v="0"/>
    <m/>
    <m/>
    <n v="0"/>
    <n v="1273611.9181184911"/>
    <n v="1236.5164253577584"/>
  </r>
  <r>
    <s v="4.3.1.1"/>
    <x v="0"/>
    <x v="0"/>
    <x v="0"/>
    <x v="0"/>
    <n v="7"/>
    <x v="6"/>
    <x v="6"/>
    <s v="Develop a National and International Wholesale Medicines Price Monitoring System"/>
    <s v="Validation of the database "/>
    <s v="Local running (diesel, per km)"/>
    <n v="285.57142857142856"/>
    <m/>
    <m/>
    <n v="0"/>
    <n v="0"/>
    <n v="0"/>
    <n v="0"/>
    <n v="450"/>
    <n v="1"/>
    <n v="167864.84995508991"/>
    <n v="0"/>
    <n v="0"/>
    <n v="0"/>
    <n v="0"/>
    <n v="0"/>
    <n v="0"/>
    <m/>
    <m/>
    <n v="0"/>
    <m/>
    <m/>
    <n v="0"/>
    <m/>
    <m/>
    <n v="0"/>
    <n v="167864.84995508991"/>
    <n v="162.97558248066983"/>
  </r>
  <r>
    <s v="4.3.1.1"/>
    <x v="0"/>
    <x v="0"/>
    <x v="0"/>
    <x v="0"/>
    <n v="7"/>
    <x v="6"/>
    <x v="6"/>
    <s v="Develop a National and International Wholesale Medicines Price Monitoring System"/>
    <s v="Validation of the database "/>
    <s v="Fuel for travelling participants"/>
    <n v="285.57142857142856"/>
    <m/>
    <m/>
    <n v="0"/>
    <m/>
    <m/>
    <n v="0"/>
    <n v="2430"/>
    <n v="1"/>
    <n v="906470.18975748552"/>
    <m/>
    <m/>
    <n v="0"/>
    <m/>
    <m/>
    <n v="0"/>
    <m/>
    <m/>
    <n v="0"/>
    <m/>
    <m/>
    <n v="0"/>
    <m/>
    <m/>
    <n v="0"/>
    <n v="906470.18975748552"/>
    <n v="880.06814539561697"/>
  </r>
  <r>
    <s v="4.3.1.1"/>
    <x v="0"/>
    <x v="0"/>
    <x v="0"/>
    <x v="0"/>
    <n v="7"/>
    <x v="6"/>
    <x v="6"/>
    <s v="Develop a National and International Wholesale Medicines Price Monitoring System"/>
    <s v="Dissemination of medicines price monitoring system "/>
    <s v="Conference package high-level"/>
    <n v="35000"/>
    <m/>
    <m/>
    <n v="0"/>
    <n v="0"/>
    <n v="0"/>
    <n v="0"/>
    <n v="100"/>
    <n v="1"/>
    <n v="4571940.2188868914"/>
    <n v="0"/>
    <n v="0"/>
    <n v="0"/>
    <n v="0"/>
    <n v="0"/>
    <n v="0"/>
    <m/>
    <m/>
    <n v="0"/>
    <m/>
    <m/>
    <n v="0"/>
    <m/>
    <m/>
    <n v="0"/>
    <n v="4571940.2188868914"/>
    <n v="4438.7769115406709"/>
  </r>
  <r>
    <s v="4.3.1.1"/>
    <x v="0"/>
    <x v="0"/>
    <x v="0"/>
    <x v="0"/>
    <n v="7"/>
    <x v="6"/>
    <x v="6"/>
    <s v="Develop a National and International Wholesale Medicines Price Monitoring System"/>
    <s v="Dissemination of medicines price monitoring system "/>
    <s v="DSA (excl. lunch)"/>
    <n v="39000"/>
    <m/>
    <m/>
    <n v="0"/>
    <n v="0"/>
    <n v="0"/>
    <n v="0"/>
    <n v="58"/>
    <n v="2"/>
    <n v="5909559.3000697987"/>
    <n v="0"/>
    <n v="0"/>
    <n v="0"/>
    <n v="0"/>
    <n v="0"/>
    <n v="0"/>
    <m/>
    <m/>
    <n v="0"/>
    <m/>
    <m/>
    <n v="0"/>
    <m/>
    <m/>
    <n v="0"/>
    <n v="5909559.3000697987"/>
    <n v="5737.4362136599984"/>
  </r>
  <r>
    <s v="4.3.1.1"/>
    <x v="0"/>
    <x v="0"/>
    <x v="0"/>
    <x v="0"/>
    <n v="7"/>
    <x v="6"/>
    <x v="6"/>
    <s v="Develop a National and International Wholesale Medicines Price Monitoring System"/>
    <s v="Dissemination of medicines price monitoring system "/>
    <s v="Local running (diesel, per km)"/>
    <n v="285.57142857142856"/>
    <m/>
    <m/>
    <n v="0"/>
    <n v="0"/>
    <n v="0"/>
    <n v="0"/>
    <n v="1450"/>
    <n v="1"/>
    <n v="540897.84985528968"/>
    <n v="0"/>
    <n v="0"/>
    <n v="0"/>
    <n v="0"/>
    <n v="0"/>
    <n v="0"/>
    <m/>
    <m/>
    <n v="0"/>
    <m/>
    <m/>
    <n v="0"/>
    <m/>
    <m/>
    <n v="0"/>
    <n v="540897.84985528968"/>
    <n v="525.14354354882494"/>
  </r>
  <r>
    <s v="4.3.1.1"/>
    <x v="0"/>
    <x v="0"/>
    <x v="0"/>
    <x v="0"/>
    <n v="7"/>
    <x v="6"/>
    <x v="6"/>
    <s v="Develop a National and International Wholesale Medicines Price Monitoring System"/>
    <s v="Dissemination of medicines price monitoring system "/>
    <s v="A4, 500 pages, 140 gsm paper"/>
    <n v="8000"/>
    <m/>
    <m/>
    <n v="0"/>
    <n v="0"/>
    <n v="0"/>
    <n v="0"/>
    <n v="10"/>
    <n v="1"/>
    <n v="104501.49071741465"/>
    <n v="0"/>
    <n v="0"/>
    <n v="0"/>
    <n v="0"/>
    <n v="0"/>
    <n v="0"/>
    <m/>
    <m/>
    <n v="0"/>
    <m/>
    <m/>
    <n v="0"/>
    <m/>
    <m/>
    <n v="0"/>
    <n v="104501.49071741465"/>
    <n v="101.45775797807248"/>
  </r>
  <r>
    <s v="4.3.1.1"/>
    <x v="0"/>
    <x v="0"/>
    <x v="0"/>
    <x v="0"/>
    <n v="7"/>
    <x v="6"/>
    <x v="6"/>
    <s v="Develop a National and International Wholesale Medicines Price Monitoring System"/>
    <s v="Dissemination of medicines price monitoring system "/>
    <s v="Toner"/>
    <n v="104850"/>
    <m/>
    <m/>
    <n v="0"/>
    <n v="0"/>
    <n v="0"/>
    <n v="0"/>
    <n v="1"/>
    <n v="1"/>
    <n v="136962.26627151159"/>
    <n v="0"/>
    <n v="0"/>
    <n v="0"/>
    <n v="0"/>
    <n v="0"/>
    <n v="0"/>
    <m/>
    <m/>
    <n v="0"/>
    <m/>
    <m/>
    <n v="0"/>
    <m/>
    <m/>
    <n v="0"/>
    <n v="136962.26627151159"/>
    <n v="132.97307405001126"/>
  </r>
  <r>
    <s v="4.3.1.1"/>
    <x v="0"/>
    <x v="0"/>
    <x v="0"/>
    <x v="0"/>
    <n v="7"/>
    <x v="6"/>
    <x v="6"/>
    <s v="Develop a National and International Wholesale Medicines Price Monitoring System"/>
    <s v="Implementation and monitoring"/>
    <s v="Zero cost"/>
    <n v="0"/>
    <m/>
    <m/>
    <n v="0"/>
    <n v="0"/>
    <n v="0"/>
    <n v="0"/>
    <n v="0"/>
    <n v="0"/>
    <n v="0"/>
    <n v="0"/>
    <n v="0"/>
    <n v="0"/>
    <n v="0"/>
    <n v="0"/>
    <n v="0"/>
    <m/>
    <m/>
    <n v="0"/>
    <m/>
    <m/>
    <n v="0"/>
    <m/>
    <m/>
    <n v="0"/>
    <n v="0"/>
    <n v="0"/>
  </r>
  <r>
    <s v="4.3.1.1"/>
    <x v="0"/>
    <x v="0"/>
    <x v="0"/>
    <x v="0"/>
    <n v="7"/>
    <x v="6"/>
    <x v="6"/>
    <s v="Manage a national and international wholesale medicines price monitoring system"/>
    <s v="Update medicines pricing database (biannual)"/>
    <s v="Zero cost"/>
    <n v="0"/>
    <n v="0"/>
    <n v="0"/>
    <n v="0"/>
    <n v="0"/>
    <n v="0"/>
    <n v="0"/>
    <n v="0"/>
    <n v="0"/>
    <n v="0"/>
    <n v="0"/>
    <n v="0"/>
    <n v="0"/>
    <n v="0"/>
    <n v="0"/>
    <n v="0"/>
    <m/>
    <m/>
    <n v="0"/>
    <m/>
    <m/>
    <n v="0"/>
    <m/>
    <m/>
    <n v="0"/>
    <n v="0"/>
    <n v="0"/>
  </r>
  <r>
    <s v="4.3.1.1"/>
    <x v="0"/>
    <x v="0"/>
    <x v="0"/>
    <x v="0"/>
    <n v="7"/>
    <x v="6"/>
    <x v="6"/>
    <s v="Manage a national and international wholesale medicines price monitoring system"/>
    <s v="Continuous dissemination of medicines price monitoring system"/>
    <s v="Zero cost"/>
    <n v="0"/>
    <n v="0"/>
    <n v="0"/>
    <n v="0"/>
    <n v="0"/>
    <n v="0"/>
    <n v="0"/>
    <n v="0"/>
    <n v="0"/>
    <n v="0"/>
    <n v="0"/>
    <n v="0"/>
    <n v="0"/>
    <n v="0"/>
    <n v="0"/>
    <n v="0"/>
    <m/>
    <m/>
    <n v="0"/>
    <m/>
    <m/>
    <n v="0"/>
    <m/>
    <m/>
    <n v="0"/>
    <n v="0"/>
    <n v="0"/>
  </r>
  <r>
    <s v="4.3.1.1"/>
    <x v="0"/>
    <x v="0"/>
    <x v="0"/>
    <x v="0"/>
    <n v="7"/>
    <x v="6"/>
    <x v="6"/>
    <s v="Manage a national and international wholesale medicines price monitoring system"/>
    <s v="Purchase medicines using data from the price monitoring system "/>
    <s v="Zero cost"/>
    <n v="0"/>
    <n v="0"/>
    <n v="0"/>
    <n v="0"/>
    <n v="0"/>
    <n v="0"/>
    <n v="0"/>
    <n v="0"/>
    <n v="0"/>
    <n v="0"/>
    <n v="0"/>
    <n v="0"/>
    <n v="0"/>
    <n v="0"/>
    <n v="0"/>
    <n v="0"/>
    <m/>
    <m/>
    <n v="0"/>
    <m/>
    <m/>
    <n v="0"/>
    <m/>
    <m/>
    <n v="0"/>
    <n v="0"/>
    <n v="0"/>
  </r>
  <r>
    <s v="4.3.1.1"/>
    <x v="0"/>
    <x v="0"/>
    <x v="0"/>
    <x v="0"/>
    <n v="8"/>
    <x v="7"/>
    <x v="7"/>
    <s v="Set up a mechanism for purchasing of rare conditions medicines as a region"/>
    <s v="Develop a concept note on direct sourcing of medicines"/>
    <s v="Zero cost"/>
    <n v="0"/>
    <n v="0"/>
    <n v="0"/>
    <n v="0"/>
    <n v="0"/>
    <n v="0"/>
    <n v="0"/>
    <n v="0"/>
    <n v="0"/>
    <n v="0"/>
    <n v="0"/>
    <n v="0"/>
    <n v="0"/>
    <n v="0"/>
    <n v="0"/>
    <n v="0"/>
    <m/>
    <m/>
    <n v="0"/>
    <m/>
    <m/>
    <n v="0"/>
    <m/>
    <m/>
    <n v="0"/>
    <n v="0"/>
    <n v="0"/>
  </r>
  <r>
    <s v="4.3.1.1"/>
    <x v="0"/>
    <x v="0"/>
    <x v="0"/>
    <x v="0"/>
    <n v="8"/>
    <x v="7"/>
    <x v="7"/>
    <s v="Set up a mechanism for purchasing of rare conditions medicines as a region"/>
    <s v="Lobby treasury to recapitalize CMST "/>
    <s v="Zero cost"/>
    <n v="0"/>
    <n v="0"/>
    <n v="0"/>
    <n v="0"/>
    <n v="0"/>
    <n v="0"/>
    <n v="0"/>
    <n v="0"/>
    <n v="0"/>
    <n v="0"/>
    <n v="0"/>
    <n v="0"/>
    <n v="0"/>
    <n v="0"/>
    <n v="0"/>
    <n v="0"/>
    <m/>
    <m/>
    <n v="0"/>
    <m/>
    <m/>
    <n v="0"/>
    <m/>
    <m/>
    <n v="0"/>
    <n v="0"/>
    <n v="0"/>
  </r>
  <r>
    <s v="4.3.1.1"/>
    <x v="0"/>
    <x v="0"/>
    <x v="0"/>
    <x v="0"/>
    <n v="8"/>
    <x v="7"/>
    <x v="7"/>
    <s v="Set up a mechanism for purchasing of rare conditions medicines as a region"/>
    <s v="Set up a committee to identify medicines not in sufficient demand to meet requirement of direct purchasing (MoH,CMST,DHO, Treasury)"/>
    <s v="Zero cost"/>
    <n v="0"/>
    <n v="0"/>
    <n v="0"/>
    <n v="0"/>
    <n v="0"/>
    <n v="0"/>
    <n v="0"/>
    <n v="0"/>
    <n v="0"/>
    <n v="0"/>
    <n v="0"/>
    <n v="0"/>
    <n v="0"/>
    <n v="0"/>
    <n v="0"/>
    <n v="0"/>
    <m/>
    <m/>
    <n v="0"/>
    <m/>
    <m/>
    <n v="0"/>
    <m/>
    <m/>
    <n v="0"/>
    <n v="0"/>
    <n v="0"/>
  </r>
  <r>
    <s v="4.3.1.1"/>
    <x v="0"/>
    <x v="0"/>
    <x v="0"/>
    <x v="0"/>
    <n v="8"/>
    <x v="7"/>
    <x v="7"/>
    <s v="Set up a mechanism for purchasing of rare conditions medicines as a region"/>
    <s v="Develop a proposal on purchasing of rare conditions medicines as a bloc directly from the manufacturers "/>
    <s v="Conference package high-level-3 TIMES"/>
    <n v="35000"/>
    <m/>
    <m/>
    <n v="0"/>
    <n v="0"/>
    <n v="0"/>
    <n v="0"/>
    <n v="30"/>
    <n v="15"/>
    <n v="20573730.984991007"/>
    <n v="0"/>
    <n v="0"/>
    <n v="0"/>
    <n v="0"/>
    <n v="0"/>
    <n v="0"/>
    <m/>
    <m/>
    <n v="0"/>
    <m/>
    <m/>
    <n v="0"/>
    <m/>
    <m/>
    <n v="0"/>
    <n v="20573730.984991007"/>
    <n v="19974.496101933015"/>
  </r>
  <r>
    <s v="4.3.1.1"/>
    <x v="0"/>
    <x v="0"/>
    <x v="0"/>
    <x v="0"/>
    <n v="8"/>
    <x v="7"/>
    <x v="7"/>
    <s v="Set up a mechanism for purchasing of rare conditions medicines as a region"/>
    <s v="Develop a proposal on purchasing of rare conditions medicines as a bloc directly from the manufacturers "/>
    <s v="DSA (excl. lunch)"/>
    <n v="39000"/>
    <m/>
    <m/>
    <n v="0"/>
    <n v="0"/>
    <n v="0"/>
    <n v="0"/>
    <n v="30"/>
    <n v="18"/>
    <n v="27510017.431359407"/>
    <n v="0"/>
    <n v="0"/>
    <n v="0"/>
    <n v="0"/>
    <n v="0"/>
    <n v="0"/>
    <m/>
    <m/>
    <n v="0"/>
    <m/>
    <m/>
    <n v="0"/>
    <m/>
    <m/>
    <n v="0"/>
    <n v="27510017.431359407"/>
    <n v="26708.754787727579"/>
  </r>
  <r>
    <s v="4.3.1.1"/>
    <x v="0"/>
    <x v="0"/>
    <x v="0"/>
    <x v="0"/>
    <n v="8"/>
    <x v="7"/>
    <x v="7"/>
    <s v="Set up a mechanism for purchasing of rare conditions medicines as a region"/>
    <s v="Develop a proposal on purchasing of rare conditions medicines as a bloc directly from the manufacturers "/>
    <s v="Local running (diesel, per km)"/>
    <n v="285.57142857142856"/>
    <m/>
    <m/>
    <n v="0"/>
    <n v="0"/>
    <n v="0"/>
    <n v="0"/>
    <n v="500"/>
    <n v="15"/>
    <n v="2797747.4992514988"/>
    <n v="0"/>
    <n v="0"/>
    <n v="0"/>
    <n v="0"/>
    <n v="0"/>
    <n v="0"/>
    <m/>
    <m/>
    <n v="0"/>
    <m/>
    <m/>
    <n v="0"/>
    <m/>
    <m/>
    <n v="0"/>
    <n v="2797747.4992514988"/>
    <n v="2716.2597080111641"/>
  </r>
  <r>
    <s v="4.3.1.1"/>
    <x v="0"/>
    <x v="0"/>
    <x v="0"/>
    <x v="0"/>
    <n v="8"/>
    <x v="7"/>
    <x v="7"/>
    <s v="Set up a mechanism for purchasing of rare conditions medicines as a region"/>
    <s v="Develop a proposal on purchasing of rare conditions medicines as a bloc directly from the manufacturers "/>
    <s v="Fuel for travelling participants"/>
    <n v="285.57142857142856"/>
    <m/>
    <m/>
    <n v="0"/>
    <m/>
    <m/>
    <n v="0"/>
    <n v="2430"/>
    <n v="3"/>
    <n v="2719410.5692724567"/>
    <m/>
    <m/>
    <n v="0"/>
    <m/>
    <m/>
    <n v="0"/>
    <m/>
    <m/>
    <n v="0"/>
    <m/>
    <m/>
    <n v="0"/>
    <m/>
    <m/>
    <n v="0"/>
    <n v="2719410.5692724567"/>
    <n v="2640.2044361868511"/>
  </r>
  <r>
    <s v="4.3.1.1"/>
    <x v="0"/>
    <x v="0"/>
    <x v="0"/>
    <x v="0"/>
    <n v="8"/>
    <x v="7"/>
    <x v="7"/>
    <s v="Set up a mechanism for purchasing of rare conditions medicines as a region"/>
    <s v="Present the proposal to SADC committee "/>
    <s v="Zero cost"/>
    <n v="0"/>
    <n v="0"/>
    <n v="0"/>
    <n v="0"/>
    <n v="0"/>
    <n v="0"/>
    <n v="0"/>
    <n v="0"/>
    <n v="0"/>
    <n v="0"/>
    <n v="0"/>
    <n v="0"/>
    <n v="0"/>
    <n v="0"/>
    <n v="0"/>
    <n v="0"/>
    <m/>
    <m/>
    <n v="0"/>
    <m/>
    <m/>
    <n v="0"/>
    <m/>
    <m/>
    <n v="0"/>
    <n v="0"/>
    <n v="0"/>
  </r>
  <r>
    <s v="4.3.1.1"/>
    <x v="0"/>
    <x v="0"/>
    <x v="0"/>
    <x v="0"/>
    <n v="8"/>
    <x v="7"/>
    <x v="7"/>
    <s v="Set up a mechanism for purchasing of rare conditions medicines as a region"/>
    <s v="Present the proposal to SADC committee "/>
    <s v="Zero cost"/>
    <n v="0"/>
    <n v="0"/>
    <n v="0"/>
    <n v="0"/>
    <n v="30"/>
    <n v="1"/>
    <n v="0"/>
    <n v="0"/>
    <n v="0"/>
    <n v="0"/>
    <n v="0"/>
    <n v="0"/>
    <n v="0"/>
    <n v="0"/>
    <n v="0"/>
    <n v="0"/>
    <m/>
    <m/>
    <n v="0"/>
    <m/>
    <m/>
    <n v="0"/>
    <m/>
    <m/>
    <n v="0"/>
    <n v="0"/>
    <n v="0"/>
  </r>
  <r>
    <s v="4.3.1.1"/>
    <x v="0"/>
    <x v="0"/>
    <x v="0"/>
    <x v="0"/>
    <n v="8"/>
    <x v="7"/>
    <x v="7"/>
    <s v="Set-up a mechanism for termination of Buy-Malawi Strategy for medicines and medical equipment not manufactured in Malawi"/>
    <s v="Develop a concept note on termination of buy Malawi strategy"/>
    <s v="Zero cost"/>
    <n v="0"/>
    <n v="0"/>
    <n v="0"/>
    <n v="0"/>
    <n v="1"/>
    <n v="8000"/>
    <n v="0"/>
    <n v="0"/>
    <n v="0"/>
    <n v="0"/>
    <n v="0"/>
    <n v="0"/>
    <n v="0"/>
    <n v="0"/>
    <n v="0"/>
    <n v="0"/>
    <m/>
    <m/>
    <n v="0"/>
    <m/>
    <m/>
    <n v="0"/>
    <m/>
    <m/>
    <n v="0"/>
    <n v="0"/>
    <n v="0"/>
  </r>
  <r>
    <s v="4.3.1.1"/>
    <x v="0"/>
    <x v="0"/>
    <x v="0"/>
    <x v="0"/>
    <n v="8"/>
    <x v="7"/>
    <x v="7"/>
    <s v="Set-up a mechanism for termination of Buy-Malawi Strategy for medicines and medical equipment not manufactured in Malawi"/>
    <s v="Present to senior management "/>
    <s v="Zero cost"/>
    <n v="0"/>
    <n v="0"/>
    <n v="0"/>
    <n v="0"/>
    <m/>
    <m/>
    <n v="0"/>
    <n v="0"/>
    <n v="0"/>
    <n v="0"/>
    <n v="0"/>
    <n v="0"/>
    <n v="0"/>
    <n v="0"/>
    <n v="0"/>
    <n v="0"/>
    <m/>
    <m/>
    <n v="0"/>
    <m/>
    <m/>
    <n v="0"/>
    <m/>
    <m/>
    <n v="0"/>
    <n v="0"/>
    <n v="0"/>
  </r>
  <r>
    <s v="4.3.1.1"/>
    <x v="0"/>
    <x v="0"/>
    <x v="0"/>
    <x v="0"/>
    <n v="8"/>
    <x v="7"/>
    <x v="7"/>
    <s v="Set-up a mechanism for termination of Buy-Malawi Strategy for medicines and medical equipment not manufactured in Malawi"/>
    <s v="Present to PSs committee on health and nutrition"/>
    <s v="Conference package high-level"/>
    <n v="35000"/>
    <m/>
    <m/>
    <n v="0"/>
    <n v="60"/>
    <n v="1"/>
    <n v="2400134.3036999996"/>
    <n v="0"/>
    <n v="0"/>
    <n v="0"/>
    <n v="0"/>
    <n v="0"/>
    <n v="0"/>
    <n v="0"/>
    <n v="0"/>
    <n v="0"/>
    <m/>
    <m/>
    <n v="0"/>
    <m/>
    <m/>
    <n v="0"/>
    <m/>
    <m/>
    <n v="0"/>
    <n v="2400134.3036999996"/>
    <n v="2330.2274793203878"/>
  </r>
  <r>
    <s v="4.3.1.1"/>
    <x v="0"/>
    <x v="0"/>
    <x v="0"/>
    <x v="0"/>
    <n v="8"/>
    <x v="7"/>
    <x v="7"/>
    <s v="Set-up a mechanism for termination of Buy-Malawi Strategy for medicines and medical equipment not manufactured in Malawi"/>
    <s v="Present to PSs committee on health and nutrition"/>
    <s v="DSA (excl. lunch)"/>
    <n v="39000"/>
    <m/>
    <m/>
    <n v="0"/>
    <n v="60"/>
    <n v="2"/>
    <n v="5348870.7339599989"/>
    <m/>
    <m/>
    <n v="0"/>
    <m/>
    <m/>
    <n v="0"/>
    <m/>
    <m/>
    <n v="0"/>
    <m/>
    <m/>
    <n v="0"/>
    <m/>
    <m/>
    <n v="0"/>
    <m/>
    <m/>
    <n v="0"/>
    <n v="5348870.7339599989"/>
    <n v="5193.0783824854361"/>
  </r>
  <r>
    <s v="4.3.1.1"/>
    <x v="0"/>
    <x v="0"/>
    <x v="0"/>
    <x v="0"/>
    <n v="8"/>
    <x v="7"/>
    <x v="7"/>
    <s v="Set-up a mechanism for termination of Buy-Malawi Strategy for medicines and medical equipment not manufactured in Malawi"/>
    <s v="Present to PSs committee on health and nutrition"/>
    <s v="Fuel for travelling participants"/>
    <n v="285.57142857142856"/>
    <m/>
    <m/>
    <n v="0"/>
    <n v="8100"/>
    <n v="1"/>
    <n v="2643723.4443591852"/>
    <m/>
    <m/>
    <n v="0"/>
    <m/>
    <m/>
    <n v="0"/>
    <m/>
    <m/>
    <n v="0"/>
    <m/>
    <m/>
    <n v="0"/>
    <m/>
    <m/>
    <n v="0"/>
    <m/>
    <m/>
    <n v="0"/>
    <n v="2643723.4443591852"/>
    <n v="2566.7217906399856"/>
  </r>
  <r>
    <s v="4.3.1.1"/>
    <x v="0"/>
    <x v="0"/>
    <x v="0"/>
    <x v="0"/>
    <n v="8"/>
    <x v="7"/>
    <x v="7"/>
    <s v="Set-up a mechanism for termination of Buy-Malawi Strategy for medicines and medical equipment not manufactured in Malawi"/>
    <s v="Present to PSs committee on health and nutrition"/>
    <s v="Local running(diesel, per km)"/>
    <n v="285.57142857142856"/>
    <m/>
    <m/>
    <n v="0"/>
    <n v="1500"/>
    <n v="1"/>
    <n v="489578.4156220713"/>
    <m/>
    <m/>
    <n v="0"/>
    <m/>
    <m/>
    <n v="0"/>
    <m/>
    <m/>
    <n v="0"/>
    <m/>
    <m/>
    <n v="0"/>
    <m/>
    <m/>
    <n v="0"/>
    <m/>
    <m/>
    <n v="0"/>
    <n v="489578.4156220713"/>
    <n v="475.31885011851585"/>
  </r>
  <r>
    <s v="4.3.1.1"/>
    <x v="0"/>
    <x v="0"/>
    <x v="0"/>
    <x v="0"/>
    <n v="8"/>
    <x v="7"/>
    <x v="7"/>
    <s v="Set-up a mechanism for termination of Buy-Malawi Strategy for medicines and medical equipment not manufactured in Malawi"/>
    <s v="Develop a cabinet paper"/>
    <s v="Zero cost"/>
    <n v="0"/>
    <m/>
    <m/>
    <n v="0"/>
    <n v="0"/>
    <n v="0"/>
    <n v="0"/>
    <n v="0"/>
    <n v="0"/>
    <n v="0"/>
    <n v="0"/>
    <n v="0"/>
    <n v="0"/>
    <n v="0"/>
    <n v="0"/>
    <n v="0"/>
    <m/>
    <m/>
    <n v="0"/>
    <m/>
    <m/>
    <n v="0"/>
    <m/>
    <m/>
    <n v="0"/>
    <n v="0"/>
    <n v="0"/>
  </r>
  <r>
    <s v="4.3.1.1"/>
    <x v="0"/>
    <x v="0"/>
    <x v="0"/>
    <x v="0"/>
    <n v="8"/>
    <x v="7"/>
    <x v="7"/>
    <s v="Set-up a mechanism for termination of Buy-Malawi Strategy for medicines and medical equipment not manufactured in Malawi"/>
    <s v="Present to the cabinet"/>
    <s v="Conference package high-level"/>
    <n v="35000"/>
    <m/>
    <m/>
    <n v="0"/>
    <n v="30"/>
    <n v="1"/>
    <n v="1200067.1518499998"/>
    <n v="0"/>
    <n v="0"/>
    <n v="0"/>
    <n v="0"/>
    <n v="0"/>
    <n v="0"/>
    <n v="0"/>
    <n v="0"/>
    <n v="0"/>
    <m/>
    <m/>
    <n v="0"/>
    <m/>
    <m/>
    <n v="0"/>
    <m/>
    <m/>
    <n v="0"/>
    <n v="1200067.1518499998"/>
    <n v="1165.1137396601939"/>
  </r>
  <r>
    <s v="4.3.1.1"/>
    <x v="0"/>
    <x v="0"/>
    <x v="0"/>
    <x v="0"/>
    <n v="8"/>
    <x v="7"/>
    <x v="7"/>
    <s v="Set-up a mechanism for termination of Buy-Malawi Strategy for medicines and medical equipment not manufactured in Malawi"/>
    <s v="Implement the decision"/>
    <s v="Zero cost"/>
    <n v="0"/>
    <m/>
    <m/>
    <n v="0"/>
    <n v="0"/>
    <n v="0"/>
    <n v="0"/>
    <n v="0"/>
    <n v="0"/>
    <n v="0"/>
    <n v="0"/>
    <n v="0"/>
    <n v="0"/>
    <n v="0"/>
    <n v="0"/>
    <n v="0"/>
    <m/>
    <m/>
    <n v="0"/>
    <m/>
    <m/>
    <n v="0"/>
    <m/>
    <m/>
    <n v="0"/>
    <n v="0"/>
    <n v="0"/>
  </r>
  <r>
    <s v="4.3.1.1"/>
    <x v="0"/>
    <x v="0"/>
    <x v="0"/>
    <x v="0"/>
    <n v="9"/>
    <x v="8"/>
    <x v="8"/>
    <s v="Develop key strategies for lobbying stakeholders to terminate the Buy Malawi Strategy in health"/>
    <s v="develop a concept note on terminnation of buy malawi stratergy for mrdicine and medical equipment"/>
    <s v="Zero cost"/>
    <m/>
    <m/>
    <m/>
    <n v="0"/>
    <m/>
    <m/>
    <n v="0"/>
    <m/>
    <m/>
    <n v="0"/>
    <m/>
    <m/>
    <n v="0"/>
    <m/>
    <m/>
    <n v="0"/>
    <m/>
    <m/>
    <n v="0"/>
    <m/>
    <m/>
    <n v="0"/>
    <m/>
    <m/>
    <n v="0"/>
    <n v="0"/>
    <n v="0"/>
  </r>
  <r>
    <s v="4.3.1.1"/>
    <x v="0"/>
    <x v="0"/>
    <x v="0"/>
    <x v="0"/>
    <n v="9"/>
    <x v="8"/>
    <x v="8"/>
    <s v="Develop key strategies for lobbying stakeholders to terminate the Buy Malawi Strategy in health"/>
    <s v="Set up a committee to develop key stratergies for lobbying "/>
    <s v="Conference package high-level"/>
    <n v="35000"/>
    <m/>
    <m/>
    <n v="0"/>
    <n v="25"/>
    <n v="2"/>
    <n v="2000111.9197499997"/>
    <m/>
    <m/>
    <n v="0"/>
    <m/>
    <m/>
    <n v="0"/>
    <m/>
    <m/>
    <n v="0"/>
    <m/>
    <m/>
    <n v="0"/>
    <m/>
    <m/>
    <n v="0"/>
    <m/>
    <m/>
    <n v="0"/>
    <n v="2000111.9197499997"/>
    <n v="1941.8562327669899"/>
  </r>
  <r>
    <s v="4.3.1.1"/>
    <x v="0"/>
    <x v="0"/>
    <x v="0"/>
    <x v="0"/>
    <n v="9"/>
    <x v="8"/>
    <x v="8"/>
    <s v="Develop key strategies for lobbying stakeholders to terminate the Buy Malawi Strategy in health"/>
    <s v="Set up a committee to develop key stratergies for lobbying "/>
    <s v="DSA (excl. lunch)"/>
    <n v="39000"/>
    <m/>
    <m/>
    <n v="0"/>
    <n v="25"/>
    <n v="3"/>
    <n v="3343044.2087249998"/>
    <m/>
    <m/>
    <n v="0"/>
    <m/>
    <m/>
    <n v="0"/>
    <m/>
    <m/>
    <n v="0"/>
    <m/>
    <m/>
    <n v="0"/>
    <m/>
    <m/>
    <n v="0"/>
    <m/>
    <m/>
    <n v="0"/>
    <n v="3343044.2087249998"/>
    <n v="3245.6739890533977"/>
  </r>
  <r>
    <s v="4.3.1.1"/>
    <x v="0"/>
    <x v="0"/>
    <x v="0"/>
    <x v="0"/>
    <n v="9"/>
    <x v="8"/>
    <x v="8"/>
    <s v="Develop key strategies for lobbying stakeholders to terminate the Buy Malawi Strategy in health"/>
    <s v="Set up a committee to develop key stratergies for lobbying "/>
    <s v="Local running (diesel, per km)"/>
    <n v="285.57142857142856"/>
    <m/>
    <m/>
    <n v="0"/>
    <n v="450"/>
    <n v="2"/>
    <n v="293747.04937324277"/>
    <m/>
    <m/>
    <n v="0"/>
    <m/>
    <m/>
    <n v="0"/>
    <m/>
    <m/>
    <n v="0"/>
    <m/>
    <m/>
    <n v="0"/>
    <m/>
    <m/>
    <n v="0"/>
    <m/>
    <m/>
    <n v="0"/>
    <n v="293747.04937324277"/>
    <n v="285.19131007110951"/>
  </r>
  <r>
    <s v="4.3.1.1"/>
    <x v="0"/>
    <x v="0"/>
    <x v="0"/>
    <x v="0"/>
    <n v="9"/>
    <x v="8"/>
    <x v="8"/>
    <s v="Develop key strategies for lobbying stakeholders to terminate the Buy Malawi Strategy in health"/>
    <s v="Set up a committee to develop key stratergies for lobbying "/>
    <s v="Fuel for travelling participants"/>
    <n v="285.57142857142856"/>
    <m/>
    <m/>
    <n v="0"/>
    <n v="2430"/>
    <n v="1"/>
    <n v="793117.0333077556"/>
    <m/>
    <m/>
    <n v="0"/>
    <m/>
    <m/>
    <n v="0"/>
    <m/>
    <m/>
    <n v="0"/>
    <m/>
    <m/>
    <n v="0"/>
    <m/>
    <m/>
    <n v="0"/>
    <m/>
    <m/>
    <n v="0"/>
    <n v="793117.0333077556"/>
    <n v="770.01653719199578"/>
  </r>
  <r>
    <s v="4.3.1.1"/>
    <x v="0"/>
    <x v="0"/>
    <x v="0"/>
    <x v="0"/>
    <n v="9"/>
    <x v="8"/>
    <x v="8"/>
    <s v="Develop key strategies for lobbying stakeholders to terminate the Buy Malawi Strategy in health"/>
    <s v="hold a full day meeting with stakeholders includng the relevant parliamentary committee "/>
    <s v="Conference package high-level"/>
    <n v="35000"/>
    <m/>
    <m/>
    <n v="0"/>
    <n v="100"/>
    <n v="1"/>
    <n v="4000223.8394999993"/>
    <n v="100"/>
    <n v="1"/>
    <n v="4571940.2188868914"/>
    <m/>
    <m/>
    <n v="0"/>
    <m/>
    <m/>
    <n v="0"/>
    <m/>
    <m/>
    <n v="0"/>
    <m/>
    <m/>
    <n v="0"/>
    <m/>
    <m/>
    <n v="0"/>
    <n v="8572164.0583868902"/>
    <n v="8322.4893770746512"/>
  </r>
  <r>
    <s v="4.3.1.1"/>
    <x v="0"/>
    <x v="0"/>
    <x v="0"/>
    <x v="0"/>
    <n v="10"/>
    <x v="9"/>
    <x v="9"/>
    <s v="Develop guidelines on direct purchasing from pharmaceutical prime vendors in districts"/>
    <s v="Conduct workshops to develop guidelines on direct purchasing from pharmaceuticals prime vendors in districts (5 workshops, 5 days each) (20 participants)"/>
    <s v="Conference package high-level"/>
    <n v="35000"/>
    <m/>
    <m/>
    <n v="0"/>
    <n v="20"/>
    <n v="25"/>
    <n v="20001119.197499998"/>
    <n v="0"/>
    <n v="0"/>
    <n v="0"/>
    <n v="0"/>
    <n v="0"/>
    <n v="0"/>
    <n v="0"/>
    <n v="0"/>
    <n v="0"/>
    <n v="20"/>
    <n v="25"/>
    <n v="34128664.610693276"/>
    <m/>
    <m/>
    <n v="0"/>
    <m/>
    <m/>
    <n v="0"/>
    <n v="54129783.808193274"/>
    <n v="52553.188163294442"/>
  </r>
  <r>
    <s v="4.3.1.1"/>
    <x v="0"/>
    <x v="0"/>
    <x v="0"/>
    <x v="0"/>
    <n v="10"/>
    <x v="9"/>
    <x v="9"/>
    <s v="Develop guidelines on direct purchasing from pharmaceutical prime vendors in districts"/>
    <s v="Conduct workshops to develop guidelines on direct purchasing from pharmaceuticals prime vendors in districts (5 workshops, 5 days each) (20 participants)"/>
    <s v="DSA (excl. lunch)"/>
    <n v="39000"/>
    <m/>
    <m/>
    <n v="0"/>
    <n v="20"/>
    <n v="25"/>
    <n v="22286961.391499996"/>
    <n v="0"/>
    <n v="0"/>
    <n v="0"/>
    <n v="0"/>
    <n v="0"/>
    <n v="0"/>
    <n v="0"/>
    <n v="0"/>
    <n v="0"/>
    <n v="20"/>
    <n v="25"/>
    <n v="38029083.423343942"/>
    <m/>
    <m/>
    <n v="0"/>
    <m/>
    <m/>
    <n v="0"/>
    <n v="60316044.814843938"/>
    <n v="58559.266810528097"/>
  </r>
  <r>
    <s v="4.3.1.1"/>
    <x v="0"/>
    <x v="0"/>
    <x v="0"/>
    <x v="0"/>
    <n v="10"/>
    <x v="9"/>
    <x v="9"/>
    <s v="Develop guidelines on direct purchasing from pharmaceutical prime vendors in districts"/>
    <s v="Conduct workshops to develop guidelines on direct purchasing from pharmaceuticals prime vendors in districts (5 workshops, 5 days each) (20 participants)"/>
    <s v="Local running (diesel, per km)"/>
    <n v="285.57142857142856"/>
    <m/>
    <m/>
    <n v="0"/>
    <n v="450"/>
    <n v="25"/>
    <n v="3671838.1171655348"/>
    <n v="0"/>
    <n v="0"/>
    <n v="0"/>
    <n v="0"/>
    <n v="0"/>
    <n v="0"/>
    <n v="0"/>
    <n v="0"/>
    <n v="0"/>
    <n v="450"/>
    <n v="25"/>
    <n v="6265395.9694998236"/>
    <m/>
    <m/>
    <n v="0"/>
    <m/>
    <m/>
    <n v="0"/>
    <n v="9937234.0866653584"/>
    <n v="9647.8000841411249"/>
  </r>
  <r>
    <s v="4.3.1.1"/>
    <x v="0"/>
    <x v="0"/>
    <x v="0"/>
    <x v="0"/>
    <n v="10"/>
    <x v="9"/>
    <x v="9"/>
    <s v="Develop guidelines on direct purchasing from pharmaceutical prime vendors in districts"/>
    <s v=" Present to the medicines and supplies TWG for endorsement"/>
    <s v="Conference package high-level"/>
    <n v="35000"/>
    <m/>
    <m/>
    <n v="0"/>
    <n v="30"/>
    <n v="1"/>
    <n v="1200067.1518499998"/>
    <n v="0"/>
    <n v="0"/>
    <n v="0"/>
    <n v="0"/>
    <n v="0"/>
    <n v="0"/>
    <n v="0"/>
    <n v="0"/>
    <n v="0"/>
    <n v="30"/>
    <n v="1"/>
    <n v="2047719.8766415964"/>
    <m/>
    <m/>
    <n v="0"/>
    <m/>
    <m/>
    <n v="0"/>
    <n v="3247787.0284915962"/>
    <n v="3153.1912897976663"/>
  </r>
  <r>
    <s v="4.3.1.1"/>
    <x v="0"/>
    <x v="0"/>
    <x v="0"/>
    <x v="0"/>
    <n v="10"/>
    <x v="9"/>
    <x v="9"/>
    <s v="Develop guidelines on direct purchasing from pharmaceutical prime vendors in districts"/>
    <s v="Present to MoH senior management for approval"/>
    <s v="Zero cost"/>
    <n v="0"/>
    <m/>
    <m/>
    <n v="0"/>
    <n v="20"/>
    <n v="0.5"/>
    <n v="0"/>
    <n v="0"/>
    <n v="0"/>
    <n v="0"/>
    <n v="0"/>
    <n v="0"/>
    <n v="0"/>
    <n v="0"/>
    <n v="0"/>
    <n v="0"/>
    <n v="20"/>
    <n v="0.5"/>
    <n v="0"/>
    <m/>
    <m/>
    <n v="0"/>
    <m/>
    <m/>
    <n v="0"/>
    <n v="0"/>
    <n v="0"/>
  </r>
  <r>
    <s v="4.3.1.1"/>
    <x v="0"/>
    <x v="0"/>
    <x v="0"/>
    <x v="0"/>
    <n v="10"/>
    <x v="9"/>
    <x v="9"/>
    <s v="Develop guidelines on direct purchasing from pharmaceutical prime vendors in districts"/>
    <s v="Dissemination of the guidelines "/>
    <s v="Conference package high-level"/>
    <n v="35000"/>
    <m/>
    <m/>
    <n v="0"/>
    <n v="100"/>
    <n v="1"/>
    <n v="4000223.8394999993"/>
    <n v="0"/>
    <n v="0"/>
    <n v="0"/>
    <n v="0"/>
    <n v="0"/>
    <n v="0"/>
    <n v="0"/>
    <n v="0"/>
    <n v="0"/>
    <n v="100"/>
    <n v="1"/>
    <n v="6825732.9221386546"/>
    <m/>
    <m/>
    <n v="0"/>
    <m/>
    <m/>
    <n v="0"/>
    <n v="10825956.761638654"/>
    <n v="10510.637632658887"/>
  </r>
  <r>
    <s v="4.3.1.1"/>
    <x v="0"/>
    <x v="0"/>
    <x v="0"/>
    <x v="0"/>
    <n v="10"/>
    <x v="9"/>
    <x v="9"/>
    <s v="Develop guidelines on direct purchasing from pharmaceutical prime vendors in districts"/>
    <s v="Dissemination of the guidelines "/>
    <s v="DSA (excl. lunch)"/>
    <n v="39000"/>
    <m/>
    <m/>
    <n v="0"/>
    <n v="58"/>
    <n v="1"/>
    <n v="2585287.5214139996"/>
    <n v="0"/>
    <n v="0"/>
    <n v="0"/>
    <n v="0"/>
    <n v="0"/>
    <n v="0"/>
    <n v="0"/>
    <n v="0"/>
    <n v="0"/>
    <n v="58"/>
    <n v="1"/>
    <n v="4411373.6771078967"/>
    <m/>
    <m/>
    <n v="0"/>
    <m/>
    <m/>
    <n v="0"/>
    <n v="6996661.1985218963"/>
    <n v="6792.8749500212589"/>
  </r>
  <r>
    <s v="4.3.1.1"/>
    <x v="0"/>
    <x v="0"/>
    <x v="0"/>
    <x v="0"/>
    <n v="10"/>
    <x v="9"/>
    <x v="9"/>
    <s v="Develop guidelines on direct purchasing from pharmaceutical prime vendors in districts"/>
    <s v="Dissemination of the guidelines "/>
    <s v="A4, 500 pages, 140 gsm paper"/>
    <n v="8000"/>
    <m/>
    <m/>
    <n v="0"/>
    <n v="10"/>
    <n v="1"/>
    <n v="91433.687760000001"/>
    <n v="0"/>
    <n v="0"/>
    <n v="0"/>
    <n v="0"/>
    <n v="0"/>
    <n v="0"/>
    <n v="0"/>
    <n v="0"/>
    <n v="0"/>
    <n v="10"/>
    <n v="1"/>
    <n v="156016.75250602642"/>
    <m/>
    <m/>
    <n v="0"/>
    <m/>
    <m/>
    <n v="0"/>
    <n v="247450.44026602642"/>
    <n v="240.24314588934604"/>
  </r>
  <r>
    <s v="4.3.1.1"/>
    <x v="0"/>
    <x v="0"/>
    <x v="0"/>
    <x v="0"/>
    <n v="10"/>
    <x v="9"/>
    <x v="9"/>
    <s v="Develop guidelines on direct purchasing from pharmaceutical prime vendors in districts"/>
    <s v="Dissemination of the guidelines "/>
    <s v="Toner"/>
    <n v="104850"/>
    <m/>
    <m/>
    <n v="0"/>
    <n v="1"/>
    <n v="1"/>
    <n v="119835.27702044998"/>
    <n v="0"/>
    <n v="0"/>
    <n v="0"/>
    <n v="0"/>
    <n v="0"/>
    <n v="0"/>
    <n v="0"/>
    <n v="0"/>
    <n v="0"/>
    <n v="1"/>
    <n v="1"/>
    <n v="204479.45625321087"/>
    <m/>
    <m/>
    <n v="0"/>
    <m/>
    <m/>
    <n v="0"/>
    <n v="324314.73327366088"/>
    <n v="314.86867308122413"/>
  </r>
  <r>
    <s v="4.3.1.1"/>
    <x v="0"/>
    <x v="0"/>
    <x v="0"/>
    <x v="0"/>
    <n v="10"/>
    <x v="9"/>
    <x v="9"/>
    <s v="Develop guidelines on direct purchasing from pharmaceutical prime vendors in districts"/>
    <s v="Dissemination of the guidelines "/>
    <s v="Local running (diesel, per km)"/>
    <n v="285.57142857142856"/>
    <m/>
    <m/>
    <n v="0"/>
    <n v="1450"/>
    <n v="1"/>
    <n v="473259.13510133565"/>
    <n v="0"/>
    <n v="0"/>
    <n v="0"/>
    <n v="0"/>
    <n v="0"/>
    <n v="0"/>
    <n v="0"/>
    <n v="0"/>
    <n v="0"/>
    <n v="1450"/>
    <n v="1"/>
    <n v="807539.92495775502"/>
    <m/>
    <m/>
    <n v="0"/>
    <m/>
    <m/>
    <n v="0"/>
    <n v="1280799.0600590906"/>
    <n v="1243.4942330670783"/>
  </r>
  <r>
    <s v="4.3.1.1"/>
    <x v="0"/>
    <x v="0"/>
    <x v="0"/>
    <x v="0"/>
    <n v="10"/>
    <x v="9"/>
    <x v="9"/>
    <s v="Develop guidelines on direct purchasing from pharmaceutical prime vendors in districts"/>
    <s v="Dissemination of the guidelines "/>
    <s v="Fuel for travelling participants"/>
    <n v="285.57142857142856"/>
    <m/>
    <m/>
    <n v="0"/>
    <n v="2430"/>
    <n v="1"/>
    <n v="793117.0333077556"/>
    <m/>
    <m/>
    <n v="0"/>
    <m/>
    <m/>
    <n v="0"/>
    <m/>
    <m/>
    <n v="0"/>
    <n v="2430"/>
    <n v="1"/>
    <n v="1353325.5294119618"/>
    <m/>
    <m/>
    <n v="0"/>
    <m/>
    <m/>
    <n v="0"/>
    <n v="2146442.5627197176"/>
    <n v="2083.9248181744833"/>
  </r>
  <r>
    <s v="4.3.1.1"/>
    <x v="0"/>
    <x v="0"/>
    <x v="0"/>
    <x v="0"/>
    <n v="10"/>
    <x v="9"/>
    <x v="9"/>
    <s v="Develop guidelines on direct purchasing from pharmaceutical prime vendors in districts"/>
    <s v="Implementation of the guidelines"/>
    <s v="Zero cost"/>
    <n v="0"/>
    <m/>
    <m/>
    <n v="0"/>
    <n v="20000"/>
    <n v="1"/>
    <n v="0"/>
    <n v="0"/>
    <n v="0"/>
    <n v="0"/>
    <n v="0"/>
    <n v="0"/>
    <n v="0"/>
    <n v="0"/>
    <n v="0"/>
    <n v="0"/>
    <n v="20000"/>
    <n v="1"/>
    <n v="0"/>
    <m/>
    <m/>
    <n v="0"/>
    <m/>
    <m/>
    <n v="0"/>
    <n v="0"/>
    <n v="0"/>
  </r>
  <r>
    <s v="4.3.1.1"/>
    <x v="0"/>
    <x v="0"/>
    <x v="0"/>
    <x v="0"/>
    <n v="10"/>
    <x v="9"/>
    <x v="9"/>
    <s v="Monitoring "/>
    <s v="Annual review of percentage of medicines budget that can be used to purchase from Pharmaceutical Prime Vendors (3 days)"/>
    <s v="Zero cost"/>
    <n v="0"/>
    <n v="0"/>
    <n v="0"/>
    <n v="0"/>
    <n v="0"/>
    <n v="0"/>
    <n v="0"/>
    <n v="0"/>
    <n v="0"/>
    <n v="0"/>
    <n v="0"/>
    <n v="0"/>
    <n v="0"/>
    <n v="0"/>
    <n v="0"/>
    <n v="0"/>
    <m/>
    <m/>
    <n v="0"/>
    <m/>
    <m/>
    <n v="0"/>
    <m/>
    <m/>
    <n v="0"/>
    <n v="0"/>
    <n v="0"/>
  </r>
  <r>
    <s v="4.3.1.1"/>
    <x v="0"/>
    <x v="0"/>
    <x v="0"/>
    <x v="0"/>
    <n v="11"/>
    <x v="10"/>
    <x v="10"/>
    <s v="develop e-procurement system at CMST"/>
    <s v="Develop a concept note on e-procurement"/>
    <s v="Zero cost"/>
    <n v="0"/>
    <m/>
    <m/>
    <n v="0"/>
    <n v="0"/>
    <n v="0"/>
    <n v="0"/>
    <n v="0"/>
    <n v="0"/>
    <n v="0"/>
    <n v="0"/>
    <n v="0"/>
    <n v="0"/>
    <n v="0"/>
    <n v="0"/>
    <n v="0"/>
    <m/>
    <m/>
    <n v="0"/>
    <m/>
    <m/>
    <n v="0"/>
    <m/>
    <m/>
    <n v="0"/>
    <n v="0"/>
    <n v="0"/>
  </r>
  <r>
    <s v="4.3.1.1"/>
    <x v="0"/>
    <x v="0"/>
    <x v="0"/>
    <x v="0"/>
    <n v="11"/>
    <x v="10"/>
    <x v="10"/>
    <s v="develop e-procurement system at CMST"/>
    <s v="Set up a taskforce on e-procurement (PPDA,CMST,Planning,KUHES,HTSS)"/>
    <s v="Zero cost"/>
    <n v="0"/>
    <m/>
    <m/>
    <n v="0"/>
    <n v="0"/>
    <n v="0"/>
    <n v="0"/>
    <n v="0"/>
    <n v="0"/>
    <n v="0"/>
    <n v="0"/>
    <n v="0"/>
    <n v="0"/>
    <n v="0"/>
    <n v="0"/>
    <n v="0"/>
    <m/>
    <m/>
    <n v="0"/>
    <m/>
    <m/>
    <n v="0"/>
    <m/>
    <m/>
    <n v="0"/>
    <n v="0"/>
    <n v="0"/>
  </r>
  <r>
    <s v="4.3.1.1"/>
    <x v="0"/>
    <x v="0"/>
    <x v="0"/>
    <x v="0"/>
    <n v="11"/>
    <x v="10"/>
    <x v="10"/>
    <s v="develop e-procurement system at CMST"/>
    <s v="Study tour (regional)"/>
    <s v="Accomodation and DSA international (high)"/>
    <n v="286576.30000000005"/>
    <m/>
    <m/>
    <n v="0"/>
    <n v="0"/>
    <n v="0"/>
    <n v="0"/>
    <n v="10"/>
    <n v="7"/>
    <n v="26204194.234995913"/>
    <n v="0"/>
    <n v="0"/>
    <n v="0"/>
    <n v="0"/>
    <n v="0"/>
    <n v="0"/>
    <m/>
    <m/>
    <n v="0"/>
    <m/>
    <m/>
    <n v="0"/>
    <m/>
    <m/>
    <n v="0"/>
    <n v="26204194.234995913"/>
    <n v="25440.96527669506"/>
  </r>
  <r>
    <s v="4.3.1.1"/>
    <x v="0"/>
    <x v="0"/>
    <x v="0"/>
    <x v="0"/>
    <n v="11"/>
    <x v="10"/>
    <x v="10"/>
    <s v="develop e-procurement system at CMST"/>
    <s v="Study tour (regional)"/>
    <s v="Airfare regional"/>
    <n v="639585"/>
    <m/>
    <m/>
    <n v="0"/>
    <n v="5"/>
    <n v="5"/>
    <n v="18274879.745618623"/>
    <n v="10"/>
    <n v="7"/>
    <n v="58482887.697935455"/>
    <n v="0"/>
    <n v="0"/>
    <n v="0"/>
    <n v="0"/>
    <n v="0"/>
    <n v="0"/>
    <m/>
    <m/>
    <n v="0"/>
    <m/>
    <m/>
    <n v="0"/>
    <m/>
    <m/>
    <n v="0"/>
    <n v="76757767.443554074"/>
    <n v="74522.104314130163"/>
  </r>
  <r>
    <s v="4.3.1.1"/>
    <x v="0"/>
    <x v="0"/>
    <x v="0"/>
    <x v="0"/>
    <n v="11"/>
    <x v="10"/>
    <x v="10"/>
    <s v="develop e-procurement system at CMST"/>
    <s v="Report writing on the study tour with recommendations"/>
    <s v="Zero cost"/>
    <n v="0"/>
    <m/>
    <m/>
    <n v="0"/>
    <n v="5"/>
    <n v="1"/>
    <n v="0"/>
    <n v="0"/>
    <n v="0"/>
    <n v="0"/>
    <n v="0"/>
    <n v="0"/>
    <n v="0"/>
    <n v="0"/>
    <n v="0"/>
    <n v="0"/>
    <m/>
    <m/>
    <n v="0"/>
    <m/>
    <m/>
    <n v="0"/>
    <m/>
    <m/>
    <n v="0"/>
    <n v="0"/>
    <n v="0"/>
  </r>
  <r>
    <s v="4.3.1.1"/>
    <x v="0"/>
    <x v="0"/>
    <x v="0"/>
    <x v="0"/>
    <n v="11"/>
    <x v="10"/>
    <x v="10"/>
    <s v="Develop e-procurement guidelines "/>
    <s v="conduct workshops to develop e-procurement guidelines"/>
    <s v="Conference package high-level"/>
    <n v="35000"/>
    <m/>
    <m/>
    <n v="0"/>
    <n v="0"/>
    <n v="0"/>
    <n v="0"/>
    <n v="30"/>
    <n v="5"/>
    <n v="6857910.3283303361"/>
    <n v="0"/>
    <n v="0"/>
    <n v="0"/>
    <n v="0"/>
    <n v="0"/>
    <n v="0"/>
    <m/>
    <m/>
    <n v="0"/>
    <m/>
    <m/>
    <n v="0"/>
    <m/>
    <m/>
    <n v="0"/>
    <n v="6857910.3283303361"/>
    <n v="6658.1653673110059"/>
  </r>
  <r>
    <s v="4.3.1.1"/>
    <x v="0"/>
    <x v="0"/>
    <x v="0"/>
    <x v="0"/>
    <n v="11"/>
    <x v="10"/>
    <x v="10"/>
    <s v="Develop e-procurement guidelines "/>
    <s v="conduct workshops to develop e-procurement guidelines"/>
    <s v="DSA (excl. lunch)"/>
    <n v="39000"/>
    <m/>
    <m/>
    <n v="0"/>
    <n v="0"/>
    <n v="0"/>
    <n v="0"/>
    <n v="30"/>
    <n v="6"/>
    <n v="9170005.8104531355"/>
    <n v="0"/>
    <n v="0"/>
    <n v="0"/>
    <n v="0"/>
    <n v="0"/>
    <n v="0"/>
    <m/>
    <m/>
    <n v="0"/>
    <m/>
    <m/>
    <n v="0"/>
    <m/>
    <m/>
    <n v="0"/>
    <n v="9170005.8104531355"/>
    <n v="8902.9182625758604"/>
  </r>
  <r>
    <s v="4.3.1.1"/>
    <x v="0"/>
    <x v="0"/>
    <x v="0"/>
    <x v="0"/>
    <n v="11"/>
    <x v="10"/>
    <x v="10"/>
    <s v="Develop e-procurement guidelines "/>
    <s v="conduct workshops to develop e-procurement guidelines"/>
    <s v="Local running (diesel, per km)"/>
    <n v="285.57142857142856"/>
    <m/>
    <m/>
    <n v="0"/>
    <n v="0"/>
    <n v="0"/>
    <n v="0"/>
    <n v="450"/>
    <n v="5"/>
    <n v="839324.24977544951"/>
    <n v="0"/>
    <n v="0"/>
    <n v="0"/>
    <n v="0"/>
    <n v="0"/>
    <n v="0"/>
    <m/>
    <m/>
    <n v="0"/>
    <m/>
    <m/>
    <n v="0"/>
    <m/>
    <m/>
    <n v="0"/>
    <n v="839324.24977544951"/>
    <n v="814.877912403349"/>
  </r>
  <r>
    <s v="4.3.1.1"/>
    <x v="0"/>
    <x v="0"/>
    <x v="0"/>
    <x v="0"/>
    <n v="11"/>
    <x v="10"/>
    <x v="10"/>
    <s v="Develop e-procurement guidelines "/>
    <s v="conduct workshops to develop e-procurement guidelines"/>
    <s v="Fuel for travelling participants"/>
    <n v="285.57142857142856"/>
    <m/>
    <m/>
    <n v="0"/>
    <m/>
    <m/>
    <n v="0"/>
    <n v="2430"/>
    <n v="1"/>
    <n v="906470.18975748552"/>
    <m/>
    <m/>
    <n v="0"/>
    <m/>
    <m/>
    <n v="0"/>
    <m/>
    <m/>
    <n v="0"/>
    <m/>
    <m/>
    <n v="0"/>
    <m/>
    <m/>
    <n v="0"/>
    <n v="906470.18975748552"/>
    <n v="880.06814539561697"/>
  </r>
  <r>
    <s v="4.3.1.1"/>
    <x v="0"/>
    <x v="0"/>
    <x v="0"/>
    <x v="0"/>
    <n v="11"/>
    <x v="10"/>
    <x v="10"/>
    <s v="Develop e-procurement guidelines "/>
    <s v="Present to TWG"/>
    <s v="Conference package high-level"/>
    <n v="35000"/>
    <m/>
    <m/>
    <n v="0"/>
    <n v="0"/>
    <n v="0"/>
    <n v="0"/>
    <n v="30"/>
    <n v="1"/>
    <n v="1371582.0656660672"/>
    <n v="0"/>
    <n v="0"/>
    <n v="0"/>
    <n v="0"/>
    <n v="0"/>
    <n v="0"/>
    <m/>
    <m/>
    <n v="0"/>
    <m/>
    <m/>
    <n v="0"/>
    <m/>
    <m/>
    <n v="0"/>
    <n v="1371582.0656660672"/>
    <n v="1331.6330734622011"/>
  </r>
  <r>
    <s v="4.3.1.1"/>
    <x v="0"/>
    <x v="0"/>
    <x v="0"/>
    <x v="0"/>
    <n v="11"/>
    <x v="10"/>
    <x v="10"/>
    <s v="Develop e-procurement guidelines "/>
    <s v="Present to senior management"/>
    <s v="Zero cost"/>
    <n v="0"/>
    <m/>
    <m/>
    <n v="0"/>
    <n v="0"/>
    <n v="0"/>
    <n v="0"/>
    <n v="0"/>
    <n v="0"/>
    <n v="0"/>
    <n v="0"/>
    <n v="0"/>
    <n v="0"/>
    <n v="0"/>
    <n v="0"/>
    <n v="0"/>
    <m/>
    <m/>
    <n v="0"/>
    <m/>
    <m/>
    <n v="0"/>
    <m/>
    <m/>
    <n v="0"/>
    <n v="0"/>
    <n v="0"/>
  </r>
  <r>
    <s v="4.3.1.1"/>
    <x v="0"/>
    <x v="0"/>
    <x v="0"/>
    <x v="0"/>
    <n v="11"/>
    <x v="10"/>
    <x v="10"/>
    <s v="Develop e-procurement guidelines "/>
    <s v="Dissemination worshop"/>
    <s v="Conference package high-level"/>
    <n v="35000"/>
    <m/>
    <m/>
    <n v="0"/>
    <n v="0"/>
    <n v="0"/>
    <n v="0"/>
    <n v="100"/>
    <n v="1"/>
    <n v="4571940.2188868914"/>
    <n v="0"/>
    <n v="0"/>
    <n v="0"/>
    <n v="0"/>
    <n v="0"/>
    <n v="0"/>
    <m/>
    <m/>
    <n v="0"/>
    <m/>
    <m/>
    <n v="0"/>
    <m/>
    <m/>
    <n v="0"/>
    <n v="4571940.2188868914"/>
    <n v="4438.7769115406709"/>
  </r>
  <r>
    <s v="4.3.1.1"/>
    <x v="0"/>
    <x v="0"/>
    <x v="0"/>
    <x v="0"/>
    <n v="11"/>
    <x v="10"/>
    <x v="10"/>
    <s v="Develop e-procurement guidelines "/>
    <s v="Dissemination worshop"/>
    <s v="DSA (excl. lunch)"/>
    <n v="39000"/>
    <m/>
    <m/>
    <n v="0"/>
    <n v="0"/>
    <n v="0"/>
    <n v="0"/>
    <n v="58"/>
    <n v="2"/>
    <n v="5909559.3000697987"/>
    <n v="0"/>
    <n v="0"/>
    <n v="0"/>
    <n v="0"/>
    <n v="0"/>
    <n v="0"/>
    <m/>
    <m/>
    <n v="0"/>
    <m/>
    <m/>
    <n v="0"/>
    <m/>
    <m/>
    <n v="0"/>
    <n v="5909559.3000697987"/>
    <n v="5737.4362136599984"/>
  </r>
  <r>
    <s v="4.3.1.1"/>
    <x v="0"/>
    <x v="0"/>
    <x v="0"/>
    <x v="0"/>
    <n v="11"/>
    <x v="10"/>
    <x v="10"/>
    <s v="Develop e-procurement guidelines "/>
    <s v="Dissemination worshop"/>
    <s v="Local running (diesel, per km)"/>
    <n v="285.57142857142856"/>
    <m/>
    <m/>
    <n v="0"/>
    <n v="0"/>
    <n v="0"/>
    <n v="0"/>
    <n v="1450"/>
    <n v="1"/>
    <n v="540897.84985528968"/>
    <n v="0"/>
    <n v="0"/>
    <n v="0"/>
    <n v="0"/>
    <n v="0"/>
    <n v="0"/>
    <m/>
    <m/>
    <n v="0"/>
    <m/>
    <m/>
    <n v="0"/>
    <m/>
    <m/>
    <n v="0"/>
    <n v="540897.84985528968"/>
    <n v="525.14354354882494"/>
  </r>
  <r>
    <s v="4.3.1.1"/>
    <x v="0"/>
    <x v="0"/>
    <x v="0"/>
    <x v="0"/>
    <n v="11"/>
    <x v="10"/>
    <x v="10"/>
    <s v="Develop e-procurement guidelines "/>
    <s v="Dissemination worshop"/>
    <s v="A4, 500 pages, 140 gsm paper"/>
    <n v="8000"/>
    <m/>
    <m/>
    <n v="0"/>
    <n v="0"/>
    <n v="0"/>
    <n v="0"/>
    <n v="10"/>
    <n v="1"/>
    <n v="104501.49071741465"/>
    <n v="0"/>
    <n v="0"/>
    <n v="0"/>
    <n v="0"/>
    <n v="0"/>
    <n v="0"/>
    <m/>
    <m/>
    <n v="0"/>
    <m/>
    <m/>
    <n v="0"/>
    <m/>
    <m/>
    <n v="0"/>
    <n v="104501.49071741465"/>
    <n v="101.45775797807248"/>
  </r>
  <r>
    <s v="4.3.1.1"/>
    <x v="0"/>
    <x v="0"/>
    <x v="0"/>
    <x v="0"/>
    <n v="11"/>
    <x v="10"/>
    <x v="10"/>
    <s v="Develop e-procurement guidelines "/>
    <s v="Dissemination worshop"/>
    <s v="Fuel for travelling participants"/>
    <n v="285.57142857142856"/>
    <m/>
    <m/>
    <n v="0"/>
    <m/>
    <m/>
    <n v="0"/>
    <n v="7830"/>
    <n v="1"/>
    <n v="2920848.3892185646"/>
    <m/>
    <m/>
    <n v="0"/>
    <m/>
    <m/>
    <n v="0"/>
    <m/>
    <m/>
    <n v="0"/>
    <m/>
    <m/>
    <n v="0"/>
    <m/>
    <m/>
    <n v="0"/>
    <n v="2920848.3892185646"/>
    <n v="2835.7751351636548"/>
  </r>
  <r>
    <s v="4.3.1.1"/>
    <x v="0"/>
    <x v="0"/>
    <x v="0"/>
    <x v="0"/>
    <n v="11"/>
    <x v="10"/>
    <x v="10"/>
    <s v="Develop e-procurement guidelines "/>
    <s v="Dissemination worshop"/>
    <s v="Toner"/>
    <n v="104850"/>
    <m/>
    <m/>
    <n v="0"/>
    <n v="0"/>
    <n v="0"/>
    <n v="0"/>
    <n v="1"/>
    <n v="1"/>
    <n v="136962.26627151159"/>
    <n v="0"/>
    <n v="0"/>
    <n v="0"/>
    <n v="0"/>
    <n v="0"/>
    <n v="0"/>
    <m/>
    <m/>
    <n v="0"/>
    <m/>
    <m/>
    <n v="0"/>
    <m/>
    <m/>
    <n v="0"/>
    <n v="136962.26627151159"/>
    <n v="132.97307405001126"/>
  </r>
  <r>
    <s v="4.3.1.1"/>
    <x v="0"/>
    <x v="0"/>
    <x v="0"/>
    <x v="0"/>
    <n v="11"/>
    <x v="10"/>
    <x v="10"/>
    <s v="Train users of the system"/>
    <s v="Develop TORs to recruit a consultant to train users of the system (firm) "/>
    <s v="Zero cost"/>
    <n v="0"/>
    <m/>
    <m/>
    <n v="0"/>
    <n v="0"/>
    <n v="0"/>
    <n v="0"/>
    <n v="0"/>
    <n v="0"/>
    <n v="0"/>
    <n v="0"/>
    <n v="0"/>
    <n v="0"/>
    <n v="0"/>
    <n v="0"/>
    <n v="0"/>
    <m/>
    <m/>
    <n v="0"/>
    <m/>
    <m/>
    <n v="0"/>
    <m/>
    <m/>
    <n v="0"/>
    <n v="0"/>
    <n v="0"/>
  </r>
  <r>
    <s v="4.3.1.1"/>
    <x v="0"/>
    <x v="0"/>
    <x v="0"/>
    <x v="0"/>
    <n v="11"/>
    <x v="10"/>
    <x v="10"/>
    <s v="Train users of the system"/>
    <s v="Recruitment of a consultant "/>
    <s v="Local consultant fee - High level"/>
    <n v="511000"/>
    <m/>
    <m/>
    <n v="0"/>
    <n v="0"/>
    <n v="0"/>
    <n v="0"/>
    <m/>
    <m/>
    <n v="0"/>
    <n v="1"/>
    <n v="25"/>
    <n v="19072589.295918483"/>
    <n v="0"/>
    <n v="0"/>
    <n v="0"/>
    <n v="1"/>
    <n v="25"/>
    <n v="24913925.165806092"/>
    <m/>
    <m/>
    <n v="0"/>
    <n v="1"/>
    <n v="25"/>
    <n v="32544278.993110616"/>
    <n v="76530793.454835191"/>
    <n v="74301.741218286596"/>
  </r>
  <r>
    <s v="4.3.1.1"/>
    <x v="0"/>
    <x v="0"/>
    <x v="0"/>
    <x v="0"/>
    <n v="11"/>
    <x v="10"/>
    <x v="10"/>
    <s v="Train users of the system"/>
    <s v="Recruitment of a consultant "/>
    <s v="Newspaper advert (full)"/>
    <n v="391991.03749999998"/>
    <m/>
    <m/>
    <n v="0"/>
    <n v="0"/>
    <n v="0"/>
    <n v="0"/>
    <m/>
    <m/>
    <n v="0"/>
    <n v="2"/>
    <n v="2"/>
    <n v="2340910.8621271173"/>
    <n v="0"/>
    <n v="0"/>
    <n v="0"/>
    <n v="2"/>
    <n v="2"/>
    <n v="3057858.4341109009"/>
    <m/>
    <m/>
    <n v="0"/>
    <n v="2"/>
    <n v="2"/>
    <n v="3994384.5595926056"/>
    <n v="9393153.8558306247"/>
    <n v="9119.5668503209945"/>
  </r>
  <r>
    <s v="4.3.1.1"/>
    <x v="0"/>
    <x v="0"/>
    <x v="0"/>
    <x v="0"/>
    <n v="11"/>
    <x v="10"/>
    <x v="10"/>
    <s v="Train users of the system"/>
    <s v="Conduct trainings of the system "/>
    <s v="DSA (excl. lunch)"/>
    <n v="39000"/>
    <m/>
    <m/>
    <n v="0"/>
    <n v="0"/>
    <n v="0"/>
    <n v="0"/>
    <m/>
    <m/>
    <n v="0"/>
    <n v="58"/>
    <n v="6"/>
    <n v="20262479.99406698"/>
    <n v="0"/>
    <n v="0"/>
    <n v="0"/>
    <n v="58"/>
    <n v="6"/>
    <n v="26468242.06264738"/>
    <m/>
    <m/>
    <n v="0"/>
    <n v="58"/>
    <n v="6"/>
    <n v="34574634.402700365"/>
    <n v="81305356.459414721"/>
    <n v="78937.239280985159"/>
  </r>
  <r>
    <s v="4.3.1.1"/>
    <x v="0"/>
    <x v="0"/>
    <x v="0"/>
    <x v="0"/>
    <n v="11"/>
    <x v="10"/>
    <x v="10"/>
    <s v="Train users of the system"/>
    <s v="Conduct trainings of the system "/>
    <s v="Conference package high-level"/>
    <n v="35000"/>
    <m/>
    <m/>
    <n v="0"/>
    <n v="0"/>
    <n v="0"/>
    <n v="0"/>
    <m/>
    <m/>
    <n v="0"/>
    <n v="100"/>
    <n v="5"/>
    <n v="26126834.651943129"/>
    <n v="0"/>
    <n v="0"/>
    <n v="0"/>
    <n v="100"/>
    <n v="5"/>
    <n v="34128664.610693276"/>
    <m/>
    <m/>
    <n v="0"/>
    <n v="100"/>
    <n v="5"/>
    <n v="44581204.100151524"/>
    <n v="104836703.36278793"/>
    <n v="101783.20714833779"/>
  </r>
  <r>
    <s v="4.3.1.1"/>
    <x v="0"/>
    <x v="0"/>
    <x v="0"/>
    <x v="0"/>
    <n v="11"/>
    <x v="10"/>
    <x v="10"/>
    <s v="Train users of the system"/>
    <s v="Conduct trainings of the system "/>
    <s v="Fuel for travelling participants"/>
    <n v="285.57142857142856"/>
    <m/>
    <m/>
    <n v="0"/>
    <m/>
    <m/>
    <n v="0"/>
    <m/>
    <m/>
    <n v="0"/>
    <n v="7830"/>
    <n v="1"/>
    <n v="3338299.2451763642"/>
    <m/>
    <m/>
    <n v="0"/>
    <n v="7830"/>
    <n v="1"/>
    <n v="4360715.5947718769"/>
    <m/>
    <m/>
    <n v="0"/>
    <n v="7830"/>
    <n v="1"/>
    <n v="5696266.0031042341"/>
    <n v="13395280.843052475"/>
    <n v="13005.127032089782"/>
  </r>
  <r>
    <s v="4.3.1.1"/>
    <x v="0"/>
    <x v="0"/>
    <x v="0"/>
    <x v="0"/>
    <n v="11"/>
    <x v="10"/>
    <x v="10"/>
    <s v="Train users of the system"/>
    <s v="Conduct trainings of the system "/>
    <s v="Local running (diesel, per km)"/>
    <n v="285.57142857142856"/>
    <m/>
    <m/>
    <n v="0"/>
    <n v="0"/>
    <n v="0"/>
    <n v="0"/>
    <m/>
    <m/>
    <n v="0"/>
    <n v="1450"/>
    <n v="5"/>
    <n v="3091017.8196077449"/>
    <n v="0"/>
    <n v="0"/>
    <n v="0"/>
    <n v="1450"/>
    <n v="5"/>
    <n v="4037699.6247887751"/>
    <m/>
    <m/>
    <n v="0"/>
    <n v="1450"/>
    <n v="5"/>
    <n v="5274320.3732446618"/>
    <n v="12403037.817641182"/>
    <n v="12041.784288972021"/>
  </r>
  <r>
    <s v="4.3.1.1"/>
    <x v="0"/>
    <x v="0"/>
    <x v="0"/>
    <x v="0"/>
    <n v="11"/>
    <x v="10"/>
    <x v="10"/>
    <s v="Train users of the system"/>
    <s v="Pilot the system and monitor the performance "/>
    <s v="Zero cost"/>
    <n v="0"/>
    <m/>
    <m/>
    <n v="0"/>
    <n v="0"/>
    <n v="0"/>
    <n v="0"/>
    <m/>
    <m/>
    <n v="0"/>
    <n v="0"/>
    <n v="0"/>
    <n v="0"/>
    <n v="0"/>
    <n v="0"/>
    <n v="0"/>
    <n v="0"/>
    <n v="0"/>
    <n v="0"/>
    <m/>
    <m/>
    <n v="0"/>
    <n v="0"/>
    <n v="0"/>
    <n v="0"/>
    <n v="0"/>
    <n v="0"/>
  </r>
  <r>
    <s v="4.3.1.1"/>
    <x v="0"/>
    <x v="0"/>
    <x v="0"/>
    <x v="0"/>
    <n v="11"/>
    <x v="10"/>
    <x v="10"/>
    <s v="Train users of the system"/>
    <s v="Scaling up "/>
    <s v="Zero cost"/>
    <n v="0"/>
    <m/>
    <m/>
    <n v="0"/>
    <n v="0"/>
    <n v="0"/>
    <n v="0"/>
    <m/>
    <m/>
    <n v="0"/>
    <n v="0"/>
    <n v="0"/>
    <n v="0"/>
    <n v="0"/>
    <n v="0"/>
    <n v="0"/>
    <n v="0"/>
    <n v="0"/>
    <n v="0"/>
    <m/>
    <m/>
    <n v="0"/>
    <n v="0"/>
    <n v="0"/>
    <n v="0"/>
    <n v="0"/>
    <n v="0"/>
  </r>
  <r>
    <s v="4.3.1.1"/>
    <x v="0"/>
    <x v="0"/>
    <x v="0"/>
    <x v="0"/>
    <n v="12"/>
    <x v="11"/>
    <x v="11"/>
    <s v="Conduct CMST efficiency analysis "/>
    <s v="Conduct meetings to setup a CMST reforms taskforce"/>
    <s v="Zero cost"/>
    <n v="0"/>
    <m/>
    <m/>
    <n v="0"/>
    <n v="0"/>
    <n v="0"/>
    <n v="0"/>
    <n v="0"/>
    <n v="0"/>
    <n v="0"/>
    <n v="0"/>
    <n v="0"/>
    <n v="0"/>
    <n v="0"/>
    <n v="0"/>
    <n v="0"/>
    <n v="0"/>
    <n v="0"/>
    <n v="0"/>
    <m/>
    <m/>
    <n v="0"/>
    <m/>
    <m/>
    <n v="0"/>
    <n v="0"/>
    <n v="0"/>
  </r>
  <r>
    <s v="4.3.1.1"/>
    <x v="0"/>
    <x v="0"/>
    <x v="0"/>
    <x v="0"/>
    <n v="12"/>
    <x v="11"/>
    <x v="11"/>
    <s v="Conduct CMST efficiency analysis "/>
    <s v="Set up a CMST reforms taskforce (meetings)"/>
    <s v="Zero cost"/>
    <n v="0"/>
    <m/>
    <m/>
    <n v="0"/>
    <n v="0"/>
    <n v="0"/>
    <n v="0"/>
    <n v="0"/>
    <n v="0"/>
    <n v="0"/>
    <n v="0"/>
    <n v="0"/>
    <n v="0"/>
    <n v="0"/>
    <n v="0"/>
    <n v="0"/>
    <n v="0"/>
    <n v="0"/>
    <n v="0"/>
    <m/>
    <m/>
    <n v="0"/>
    <m/>
    <m/>
    <n v="0"/>
    <n v="0"/>
    <n v="0"/>
  </r>
  <r>
    <s v="4.3.1.1"/>
    <x v="0"/>
    <x v="0"/>
    <x v="0"/>
    <x v="0"/>
    <n v="12"/>
    <x v="11"/>
    <x v="11"/>
    <s v="Conduct CMST efficiency analysis "/>
    <s v="Develop TORs to recruit a consultant to conduct CMST efficiency analysis"/>
    <s v="Zero cost"/>
    <n v="0"/>
    <m/>
    <m/>
    <n v="0"/>
    <n v="0"/>
    <n v="0"/>
    <n v="0"/>
    <n v="0"/>
    <n v="0"/>
    <n v="0"/>
    <n v="0"/>
    <n v="0"/>
    <n v="0"/>
    <n v="0"/>
    <n v="0"/>
    <n v="0"/>
    <n v="0"/>
    <n v="0"/>
    <n v="0"/>
    <m/>
    <m/>
    <n v="0"/>
    <m/>
    <m/>
    <n v="0"/>
    <n v="0"/>
    <n v="0"/>
  </r>
  <r>
    <s v="4.3.1.1"/>
    <x v="0"/>
    <x v="0"/>
    <x v="0"/>
    <x v="0"/>
    <n v="12"/>
    <x v="11"/>
    <x v="11"/>
    <s v="Conduct CMST efficiency analysis "/>
    <s v="Engage  a consultant"/>
    <s v="Local consultant fee - High level"/>
    <n v="511000"/>
    <m/>
    <m/>
    <n v="0"/>
    <n v="0"/>
    <n v="0"/>
    <n v="0"/>
    <n v="1"/>
    <n v="25"/>
    <n v="16687581.798937155"/>
    <n v="0"/>
    <n v="0"/>
    <n v="0"/>
    <n v="0"/>
    <n v="0"/>
    <n v="0"/>
    <n v="1"/>
    <n v="25"/>
    <n v="24913925.165806092"/>
    <m/>
    <m/>
    <n v="0"/>
    <m/>
    <m/>
    <n v="0"/>
    <n v="41601506.964743249"/>
    <n v="40389.812587129367"/>
  </r>
  <r>
    <s v="4.3.1.1"/>
    <x v="0"/>
    <x v="0"/>
    <x v="0"/>
    <x v="0"/>
    <n v="12"/>
    <x v="11"/>
    <x v="11"/>
    <s v="Conduct CMST efficiency analysis "/>
    <s v="Engage  a consultant"/>
    <s v="Newspaper advert (full)"/>
    <n v="391991.03749999998"/>
    <m/>
    <m/>
    <n v="0"/>
    <n v="1"/>
    <n v="30"/>
    <n v="13440444.797810042"/>
    <n v="2"/>
    <n v="2"/>
    <n v="2048182.3883307995"/>
    <n v="0"/>
    <n v="0"/>
    <n v="0"/>
    <n v="0"/>
    <n v="0"/>
    <n v="0"/>
    <n v="2"/>
    <n v="2"/>
    <n v="3057858.4341109009"/>
    <m/>
    <m/>
    <n v="0"/>
    <m/>
    <m/>
    <n v="0"/>
    <n v="18546485.620251745"/>
    <n v="18006.296718691014"/>
  </r>
  <r>
    <s v="4.3.1.1"/>
    <x v="0"/>
    <x v="0"/>
    <x v="0"/>
    <x v="0"/>
    <n v="12"/>
    <x v="11"/>
    <x v="11"/>
    <s v="Conduct CMST efficiency analysis "/>
    <s v="Recruit in house research assistants"/>
    <s v="Zero cost"/>
    <n v="0"/>
    <m/>
    <m/>
    <n v="0"/>
    <n v="1"/>
    <n v="4"/>
    <n v="0"/>
    <n v="0"/>
    <n v="0"/>
    <n v="0"/>
    <n v="0"/>
    <n v="0"/>
    <n v="0"/>
    <n v="0"/>
    <n v="0"/>
    <n v="0"/>
    <n v="0"/>
    <n v="0"/>
    <n v="0"/>
    <m/>
    <m/>
    <n v="0"/>
    <m/>
    <m/>
    <n v="0"/>
    <n v="0"/>
    <n v="0"/>
  </r>
  <r>
    <s v="4.3.1.1"/>
    <x v="0"/>
    <x v="0"/>
    <x v="0"/>
    <x v="0"/>
    <n v="12"/>
    <x v="11"/>
    <x v="11"/>
    <s v="Conduct CMST efficiency analysis "/>
    <s v="Develop data collection tool "/>
    <s v="Zero cost"/>
    <n v="0"/>
    <m/>
    <m/>
    <n v="0"/>
    <n v="10"/>
    <n v="3"/>
    <n v="0"/>
    <n v="0"/>
    <n v="0"/>
    <n v="0"/>
    <n v="0"/>
    <n v="0"/>
    <n v="0"/>
    <n v="0"/>
    <n v="0"/>
    <n v="0"/>
    <n v="0"/>
    <n v="0"/>
    <n v="0"/>
    <m/>
    <m/>
    <n v="0"/>
    <m/>
    <m/>
    <n v="0"/>
    <n v="0"/>
    <n v="0"/>
  </r>
  <r>
    <s v="4.3.1.1"/>
    <x v="0"/>
    <x v="0"/>
    <x v="0"/>
    <x v="0"/>
    <n v="12"/>
    <x v="11"/>
    <x v="11"/>
    <s v="Conduct CMST efficiency analysis "/>
    <s v="conduct training on the data collection tool "/>
    <s v="Conference package high-level"/>
    <n v="35000"/>
    <m/>
    <m/>
    <n v="0"/>
    <n v="3"/>
    <n v="14"/>
    <n v="1680094.0125899997"/>
    <n v="25"/>
    <n v="5"/>
    <n v="5714925.2736086138"/>
    <n v="0"/>
    <n v="0"/>
    <n v="0"/>
    <n v="0"/>
    <n v="0"/>
    <n v="0"/>
    <n v="25"/>
    <n v="5"/>
    <n v="8532166.152673319"/>
    <m/>
    <m/>
    <n v="0"/>
    <m/>
    <m/>
    <n v="0"/>
    <n v="15927185.438871931"/>
    <n v="15463.286833856244"/>
  </r>
  <r>
    <s v="4.3.1.1"/>
    <x v="0"/>
    <x v="0"/>
    <x v="0"/>
    <x v="0"/>
    <n v="12"/>
    <x v="11"/>
    <x v="11"/>
    <s v="Conduct CMST efficiency analysis "/>
    <s v="conduct training on the data collection tool "/>
    <s v="A4, 500 pages, 140 gsm paper"/>
    <n v="8000"/>
    <m/>
    <m/>
    <n v="0"/>
    <n v="25"/>
    <n v="3"/>
    <n v="685752.65819999995"/>
    <n v="1"/>
    <n v="1"/>
    <n v="10450.149071741465"/>
    <n v="0"/>
    <n v="0"/>
    <n v="0"/>
    <n v="0"/>
    <n v="0"/>
    <n v="0"/>
    <n v="1"/>
    <n v="1"/>
    <n v="15601.675250602641"/>
    <m/>
    <m/>
    <n v="0"/>
    <m/>
    <m/>
    <n v="0"/>
    <n v="711804.4825223441"/>
    <n v="691.07231312848944"/>
  </r>
  <r>
    <s v="4.3.1.1"/>
    <x v="0"/>
    <x v="0"/>
    <x v="0"/>
    <x v="0"/>
    <n v="12"/>
    <x v="11"/>
    <x v="11"/>
    <s v="Conduct CMST efficiency analysis "/>
    <s v="conduct training on the data collection tool "/>
    <s v="Toner"/>
    <n v="104850"/>
    <m/>
    <m/>
    <n v="0"/>
    <n v="5000"/>
    <n v="1"/>
    <n v="599176385.10224986"/>
    <n v="1"/>
    <n v="1"/>
    <n v="136962.26627151159"/>
    <n v="0"/>
    <n v="0"/>
    <n v="0"/>
    <n v="0"/>
    <n v="0"/>
    <n v="0"/>
    <n v="1"/>
    <n v="1"/>
    <n v="204479.45625321087"/>
    <m/>
    <m/>
    <n v="0"/>
    <m/>
    <m/>
    <n v="0"/>
    <n v="599517826.8247745"/>
    <n v="582056.14254832477"/>
  </r>
  <r>
    <s v="4.3.1.1"/>
    <x v="0"/>
    <x v="0"/>
    <x v="0"/>
    <x v="0"/>
    <n v="12"/>
    <x v="11"/>
    <x v="11"/>
    <s v="Conduct CMST efficiency analysis "/>
    <s v="Pretesting of the data collection tool "/>
    <s v="Full DSA"/>
    <n v="45000"/>
    <m/>
    <m/>
    <n v="0"/>
    <n v="1"/>
    <n v="1"/>
    <n v="51431.449364999993"/>
    <n v="25"/>
    <n v="6"/>
    <n v="8817313.2792818621"/>
    <n v="0"/>
    <n v="0"/>
    <n v="0"/>
    <n v="0"/>
    <n v="0"/>
    <n v="0"/>
    <n v="25"/>
    <n v="6"/>
    <n v="13163913.492695976"/>
    <m/>
    <m/>
    <n v="0"/>
    <m/>
    <m/>
    <n v="0"/>
    <n v="22032658.221342839"/>
    <n v="21390.930311983338"/>
  </r>
  <r>
    <s v="4.3.1.1"/>
    <x v="0"/>
    <x v="0"/>
    <x v="0"/>
    <x v="0"/>
    <n v="12"/>
    <x v="11"/>
    <x v="11"/>
    <s v="Conduct CMST efficiency analysis "/>
    <s v="Pretesting of the data collection tool "/>
    <s v="Fuel for travelling participants"/>
    <n v="285.57142857142856"/>
    <m/>
    <m/>
    <n v="0"/>
    <m/>
    <m/>
    <n v="0"/>
    <n v="2430"/>
    <n v="1"/>
    <n v="906470.18975748552"/>
    <m/>
    <m/>
    <n v="0"/>
    <m/>
    <m/>
    <n v="0"/>
    <n v="2430"/>
    <n v="1"/>
    <n v="1353325.5294119618"/>
    <m/>
    <m/>
    <n v="0"/>
    <m/>
    <m/>
    <n v="0"/>
    <n v="2259795.7191694472"/>
    <n v="2193.976426378104"/>
  </r>
  <r>
    <s v="4.3.1.1"/>
    <x v="0"/>
    <x v="0"/>
    <x v="0"/>
    <x v="0"/>
    <n v="12"/>
    <x v="11"/>
    <x v="11"/>
    <s v="Conduct CMST efficiency analysis "/>
    <s v="Pretesting of the data collection tool "/>
    <s v="Local running (diesel, per km)"/>
    <n v="285.57142857142856"/>
    <m/>
    <m/>
    <n v="0"/>
    <n v="25"/>
    <n v="1"/>
    <n v="8159.6402603678553"/>
    <n v="450"/>
    <n v="6"/>
    <n v="1007189.0997305395"/>
    <n v="0"/>
    <n v="0"/>
    <n v="0"/>
    <n v="0"/>
    <n v="0"/>
    <n v="0"/>
    <n v="450"/>
    <n v="6"/>
    <n v="1503695.0326799578"/>
    <m/>
    <m/>
    <n v="0"/>
    <m/>
    <m/>
    <n v="0"/>
    <n v="2519043.7726708651"/>
    <n v="2445.673565699869"/>
  </r>
  <r>
    <s v="4.3.1.1"/>
    <x v="0"/>
    <x v="0"/>
    <x v="0"/>
    <x v="0"/>
    <n v="12"/>
    <x v="11"/>
    <x v="11"/>
    <s v="Conduct CMST efficiency analysis "/>
    <s v="validation of data collection tools "/>
    <s v="Conference package high-level"/>
    <n v="35000"/>
    <m/>
    <m/>
    <n v="0"/>
    <n v="4000"/>
    <n v="1"/>
    <n v="160008953.57999998"/>
    <n v="30"/>
    <n v="5"/>
    <n v="6857910.3283303361"/>
    <n v="0"/>
    <n v="0"/>
    <n v="0"/>
    <n v="0"/>
    <n v="0"/>
    <n v="0"/>
    <n v="30"/>
    <n v="5"/>
    <n v="10238599.383207982"/>
    <m/>
    <m/>
    <n v="0"/>
    <m/>
    <m/>
    <n v="0"/>
    <n v="177105463.2915383"/>
    <n v="171947.05173935756"/>
  </r>
  <r>
    <s v="4.3.1.1"/>
    <x v="0"/>
    <x v="0"/>
    <x v="0"/>
    <x v="0"/>
    <n v="12"/>
    <x v="11"/>
    <x v="11"/>
    <s v="Conduct CMST efficiency analysis "/>
    <s v="Data collection "/>
    <s v="Full DSA"/>
    <n v="45000"/>
    <m/>
    <m/>
    <n v="0"/>
    <n v="25"/>
    <n v="1"/>
    <n v="1285786.2341249997"/>
    <n v="30"/>
    <n v="5"/>
    <n v="8817313.2792818621"/>
    <n v="0"/>
    <n v="0"/>
    <n v="0"/>
    <n v="0"/>
    <n v="0"/>
    <n v="0"/>
    <n v="30"/>
    <n v="5"/>
    <n v="13163913.492695978"/>
    <m/>
    <m/>
    <n v="0"/>
    <m/>
    <m/>
    <n v="0"/>
    <n v="23267013.006102838"/>
    <n v="22589.333015633823"/>
  </r>
  <r>
    <s v="4.3.1.1"/>
    <x v="0"/>
    <x v="0"/>
    <x v="0"/>
    <x v="0"/>
    <n v="12"/>
    <x v="11"/>
    <x v="11"/>
    <s v="Conduct CMST efficiency analysis "/>
    <s v="Data collection "/>
    <s v="Local running (diesel, per km)"/>
    <n v="285.57142857142856"/>
    <m/>
    <m/>
    <n v="0"/>
    <n v="25"/>
    <n v="10"/>
    <n v="81596.402603678551"/>
    <n v="450"/>
    <n v="5"/>
    <n v="839324.24977544951"/>
    <n v="0"/>
    <n v="0"/>
    <n v="0"/>
    <n v="0"/>
    <n v="0"/>
    <n v="0"/>
    <n v="450"/>
    <n v="5"/>
    <n v="1253079.1938999647"/>
    <m/>
    <m/>
    <n v="0"/>
    <m/>
    <m/>
    <n v="0"/>
    <n v="2173999.8462790926"/>
    <n v="2110.6794624068862"/>
  </r>
  <r>
    <s v="4.3.1.1"/>
    <x v="0"/>
    <x v="0"/>
    <x v="0"/>
    <x v="0"/>
    <n v="12"/>
    <x v="11"/>
    <x v="11"/>
    <s v="Conduct CMST efficiency analysis "/>
    <s v="Data collection "/>
    <s v="Fuel for travelling participants"/>
    <n v="285.57142857142856"/>
    <m/>
    <m/>
    <n v="0"/>
    <m/>
    <m/>
    <n v="0"/>
    <n v="22500"/>
    <n v="1"/>
    <n v="8393242.4977544956"/>
    <m/>
    <m/>
    <n v="0"/>
    <m/>
    <m/>
    <n v="0"/>
    <n v="22500"/>
    <n v="1"/>
    <n v="12530791.938999647"/>
    <m/>
    <m/>
    <n v="0"/>
    <m/>
    <m/>
    <n v="0"/>
    <n v="20924034.436754145"/>
    <n v="20314.596540538005"/>
  </r>
  <r>
    <s v="4.3.1.1"/>
    <x v="0"/>
    <x v="0"/>
    <x v="0"/>
    <x v="0"/>
    <n v="12"/>
    <x v="11"/>
    <x v="11"/>
    <s v="Conduct CMST efficiency analysis "/>
    <s v="Data collection "/>
    <s v="Airtime for Research Assistant"/>
    <n v="10000"/>
    <m/>
    <m/>
    <n v="0"/>
    <n v="20000"/>
    <n v="1"/>
    <n v="228584219.39999998"/>
    <n v="15"/>
    <n v="1"/>
    <n v="195940.29509515248"/>
    <n v="0"/>
    <n v="0"/>
    <n v="0"/>
    <n v="0"/>
    <n v="0"/>
    <n v="0"/>
    <n v="15"/>
    <n v="1"/>
    <n v="292531.41094879952"/>
    <m/>
    <m/>
    <n v="0"/>
    <m/>
    <m/>
    <n v="0"/>
    <n v="229072691.10604393"/>
    <n v="222400.67097674168"/>
  </r>
  <r>
    <s v="4.3.1.1"/>
    <x v="0"/>
    <x v="0"/>
    <x v="0"/>
    <x v="0"/>
    <n v="12"/>
    <x v="11"/>
    <x v="11"/>
    <s v="Conduct CMST efficiency analysis "/>
    <s v="Data collection "/>
    <s v="Tablet"/>
    <n v="302000"/>
    <m/>
    <m/>
    <n v="0"/>
    <n v="15"/>
    <n v="1"/>
    <n v="5177432.5694099991"/>
    <n v="15"/>
    <n v="1"/>
    <n v="5917396.9118736051"/>
    <n v="0"/>
    <n v="0"/>
    <n v="0"/>
    <n v="0"/>
    <n v="0"/>
    <n v="0"/>
    <n v="15"/>
    <n v="1"/>
    <n v="8834448.6106537469"/>
    <m/>
    <m/>
    <n v="0"/>
    <m/>
    <m/>
    <n v="0"/>
    <n v="19929278.091937352"/>
    <n v="19348.813681492575"/>
  </r>
  <r>
    <s v="4.3.1.1"/>
    <x v="0"/>
    <x v="0"/>
    <x v="0"/>
    <x v="0"/>
    <n v="12"/>
    <x v="11"/>
    <x v="11"/>
    <s v="Conduct CMST efficiency analysis "/>
    <s v="Data analysis"/>
    <s v="DSA (excl. lunch)"/>
    <n v="39000"/>
    <m/>
    <m/>
    <n v="0"/>
    <n v="20"/>
    <n v="1"/>
    <n v="891478.45565999986"/>
    <n v="25"/>
    <n v="6"/>
    <n v="7641671.5087109469"/>
    <n v="0"/>
    <n v="0"/>
    <n v="0"/>
    <n v="0"/>
    <n v="0"/>
    <n v="0"/>
    <n v="25"/>
    <n v="6"/>
    <n v="11408725.027003182"/>
    <m/>
    <m/>
    <n v="0"/>
    <m/>
    <m/>
    <n v="0"/>
    <n v="19941874.991374128"/>
    <n v="19361.043680945753"/>
  </r>
  <r>
    <s v="4.3.1.1"/>
    <x v="0"/>
    <x v="0"/>
    <x v="0"/>
    <x v="0"/>
    <n v="12"/>
    <x v="11"/>
    <x v="11"/>
    <s v="Conduct CMST efficiency analysis "/>
    <s v="Data analysis"/>
    <s v="Conference package high-level"/>
    <n v="35000"/>
    <m/>
    <m/>
    <n v="0"/>
    <n v="25"/>
    <n v="5"/>
    <n v="5000279.7993749995"/>
    <n v="25"/>
    <n v="5"/>
    <n v="5714925.2736086138"/>
    <n v="0"/>
    <n v="0"/>
    <n v="0"/>
    <n v="0"/>
    <n v="0"/>
    <n v="0"/>
    <n v="25"/>
    <n v="5"/>
    <n v="8532166.152673319"/>
    <m/>
    <m/>
    <n v="0"/>
    <m/>
    <m/>
    <n v="0"/>
    <n v="19247371.225656934"/>
    <n v="18686.768180249452"/>
  </r>
  <r>
    <s v="4.3.1.1"/>
    <x v="0"/>
    <x v="0"/>
    <x v="0"/>
    <x v="0"/>
    <n v="12"/>
    <x v="11"/>
    <x v="11"/>
    <s v="Conduct CMST efficiency analysis "/>
    <s v="Data analysis"/>
    <s v="Local running (diesel, per km)"/>
    <n v="285.57142857142856"/>
    <m/>
    <m/>
    <n v="0"/>
    <n v="25"/>
    <n v="5"/>
    <n v="40798.201301839275"/>
    <n v="450"/>
    <n v="5"/>
    <n v="839324.24977544951"/>
    <n v="0"/>
    <n v="0"/>
    <n v="0"/>
    <n v="0"/>
    <n v="0"/>
    <n v="0"/>
    <n v="450"/>
    <n v="5"/>
    <n v="1253079.1938999647"/>
    <m/>
    <m/>
    <n v="0"/>
    <m/>
    <m/>
    <n v="0"/>
    <n v="2133201.6449772534"/>
    <n v="2071.0695582303433"/>
  </r>
  <r>
    <s v="4.3.1.1"/>
    <x v="0"/>
    <x v="0"/>
    <x v="0"/>
    <x v="0"/>
    <n v="12"/>
    <x v="11"/>
    <x v="11"/>
    <s v="Conduct CMST efficiency analysis "/>
    <s v="Data analysis"/>
    <s v="Fuel for travelling participants"/>
    <n v="285.57142857142856"/>
    <m/>
    <m/>
    <n v="0"/>
    <m/>
    <m/>
    <n v="0"/>
    <n v="2430"/>
    <n v="1"/>
    <n v="906470.18975748552"/>
    <m/>
    <m/>
    <n v="0"/>
    <m/>
    <m/>
    <n v="0"/>
    <n v="2430"/>
    <n v="1"/>
    <n v="1353325.5294119618"/>
    <m/>
    <m/>
    <n v="0"/>
    <m/>
    <m/>
    <n v="0"/>
    <n v="2259795.7191694472"/>
    <n v="2193.976426378104"/>
  </r>
  <r>
    <s v="4.3.1.1"/>
    <x v="0"/>
    <x v="0"/>
    <x v="0"/>
    <x v="0"/>
    <n v="12"/>
    <x v="11"/>
    <x v="11"/>
    <s v="Conduct CMST efficiency analysis "/>
    <s v="Report writing "/>
    <s v="Conference package high-level"/>
    <n v="35000"/>
    <m/>
    <m/>
    <n v="0"/>
    <n v="4000"/>
    <n v="1"/>
    <n v="160008953.57999998"/>
    <n v="30"/>
    <n v="5"/>
    <n v="6857910.3283303361"/>
    <n v="0"/>
    <n v="0"/>
    <n v="0"/>
    <n v="0"/>
    <n v="0"/>
    <n v="0"/>
    <n v="30"/>
    <n v="5"/>
    <n v="10238599.383207982"/>
    <m/>
    <m/>
    <n v="0"/>
    <m/>
    <m/>
    <n v="0"/>
    <n v="177105463.2915383"/>
    <n v="171947.05173935756"/>
  </r>
  <r>
    <s v="4.3.1.1"/>
    <x v="0"/>
    <x v="0"/>
    <x v="0"/>
    <x v="0"/>
    <n v="12"/>
    <x v="11"/>
    <x v="11"/>
    <s v="Conduct CMST efficiency analysis "/>
    <s v="Report writing "/>
    <s v="DSA (excl. lunch)"/>
    <n v="39000"/>
    <m/>
    <m/>
    <n v="0"/>
    <n v="25"/>
    <n v="5"/>
    <n v="5571740.347874999"/>
    <n v="5"/>
    <n v="6"/>
    <n v="1528334.3017421893"/>
    <n v="0"/>
    <n v="0"/>
    <n v="0"/>
    <n v="0"/>
    <n v="0"/>
    <n v="0"/>
    <n v="5"/>
    <n v="6"/>
    <n v="2281745.0054006362"/>
    <m/>
    <m/>
    <n v="0"/>
    <m/>
    <m/>
    <n v="0"/>
    <n v="9381819.6550178248"/>
    <n v="9108.5627718619653"/>
  </r>
  <r>
    <s v="4.3.1.1"/>
    <x v="0"/>
    <x v="0"/>
    <x v="0"/>
    <x v="0"/>
    <n v="12"/>
    <x v="11"/>
    <x v="11"/>
    <s v="Conduct CMST efficiency analysis "/>
    <s v="Report writing "/>
    <s v="Local running (diesel, per km)"/>
    <n v="285.57142857142856"/>
    <m/>
    <m/>
    <n v="0"/>
    <n v="25"/>
    <n v="5"/>
    <n v="40798.201301839275"/>
    <n v="450"/>
    <n v="5"/>
    <n v="839324.24977544951"/>
    <n v="0"/>
    <n v="0"/>
    <n v="0"/>
    <n v="0"/>
    <n v="0"/>
    <n v="0"/>
    <n v="450"/>
    <n v="5"/>
    <n v="1253079.1938999647"/>
    <m/>
    <m/>
    <n v="0"/>
    <m/>
    <m/>
    <n v="0"/>
    <n v="2133201.6449772534"/>
    <n v="2071.0695582303433"/>
  </r>
  <r>
    <s v="4.3.1.1"/>
    <x v="0"/>
    <x v="0"/>
    <x v="0"/>
    <x v="0"/>
    <n v="12"/>
    <x v="11"/>
    <x v="11"/>
    <s v="Conduct CMST efficiency analysis "/>
    <s v="Validation Workshop"/>
    <s v="Conference package high-level"/>
    <n v="35000"/>
    <m/>
    <m/>
    <n v="0"/>
    <m/>
    <m/>
    <n v="0"/>
    <n v="100"/>
    <n v="1"/>
    <n v="4571940.2188868914"/>
    <m/>
    <m/>
    <n v="0"/>
    <m/>
    <m/>
    <n v="0"/>
    <n v="100"/>
    <n v="1"/>
    <n v="6825732.9221386546"/>
    <m/>
    <m/>
    <n v="0"/>
    <m/>
    <m/>
    <n v="0"/>
    <n v="11397673.141025547"/>
    <n v="11065.702078665579"/>
  </r>
  <r>
    <s v="4.3.1.1"/>
    <x v="0"/>
    <x v="0"/>
    <x v="0"/>
    <x v="0"/>
    <n v="12"/>
    <x v="11"/>
    <x v="11"/>
    <s v="Conduct CMST efficiency analysis "/>
    <s v="Validation Workshop"/>
    <s v="DSA (excl. lunch)"/>
    <n v="39000"/>
    <m/>
    <m/>
    <n v="0"/>
    <m/>
    <m/>
    <n v="0"/>
    <n v="58"/>
    <n v="2"/>
    <n v="5909559.3000697987"/>
    <m/>
    <m/>
    <n v="0"/>
    <m/>
    <m/>
    <n v="0"/>
    <n v="58"/>
    <n v="2"/>
    <n v="8822747.3542157933"/>
    <m/>
    <m/>
    <n v="0"/>
    <m/>
    <m/>
    <n v="0"/>
    <n v="14732306.654285591"/>
    <n v="14303.210343966593"/>
  </r>
  <r>
    <s v="4.3.1.1"/>
    <x v="0"/>
    <x v="0"/>
    <x v="0"/>
    <x v="0"/>
    <n v="12"/>
    <x v="11"/>
    <x v="11"/>
    <s v="Conduct CMST efficiency analysis "/>
    <s v="Validation Workshop"/>
    <s v="Local running (diesel, per km)"/>
    <n v="285.57142857142856"/>
    <m/>
    <m/>
    <n v="0"/>
    <m/>
    <m/>
    <n v="0"/>
    <n v="1450"/>
    <n v="1"/>
    <n v="540897.84985528968"/>
    <m/>
    <m/>
    <n v="0"/>
    <m/>
    <m/>
    <n v="0"/>
    <n v="1450"/>
    <n v="1"/>
    <n v="807539.92495775502"/>
    <m/>
    <m/>
    <n v="0"/>
    <m/>
    <m/>
    <n v="0"/>
    <n v="1348437.7748130448"/>
    <n v="1309.1628881680047"/>
  </r>
  <r>
    <s v="4.3.1.1"/>
    <x v="0"/>
    <x v="0"/>
    <x v="0"/>
    <x v="0"/>
    <n v="12"/>
    <x v="11"/>
    <x v="11"/>
    <s v="Conduct CMST efficiency analysis "/>
    <s v="Validation Workshop"/>
    <s v="Fuel for travelling participants"/>
    <n v="285.57142857142856"/>
    <m/>
    <m/>
    <n v="0"/>
    <m/>
    <m/>
    <n v="0"/>
    <n v="7830"/>
    <n v="1"/>
    <n v="2920848.3892185646"/>
    <m/>
    <m/>
    <n v="0"/>
    <m/>
    <m/>
    <n v="0"/>
    <n v="7830"/>
    <n v="1"/>
    <n v="4360715.5947718769"/>
    <m/>
    <m/>
    <n v="0"/>
    <m/>
    <m/>
    <n v="0"/>
    <n v="7281563.983990442"/>
    <n v="7069.479596107225"/>
  </r>
  <r>
    <s v="4.3.1.1"/>
    <x v="0"/>
    <x v="0"/>
    <x v="0"/>
    <x v="0"/>
    <n v="12"/>
    <x v="11"/>
    <x v="11"/>
    <s v="Conduct CMST efficiency analysis "/>
    <s v="Dissemination workshop "/>
    <s v="Conference package high-level"/>
    <n v="35000"/>
    <m/>
    <m/>
    <n v="0"/>
    <n v="4000"/>
    <n v="1"/>
    <n v="160008953.57999998"/>
    <n v="100"/>
    <n v="2"/>
    <n v="9143880.4377737828"/>
    <n v="0"/>
    <n v="0"/>
    <n v="0"/>
    <n v="0"/>
    <n v="0"/>
    <n v="0"/>
    <n v="100"/>
    <n v="2"/>
    <n v="13651465.844277309"/>
    <m/>
    <m/>
    <n v="0"/>
    <m/>
    <m/>
    <n v="0"/>
    <n v="182804299.8620511"/>
    <n v="177479.90277869039"/>
  </r>
  <r>
    <s v="4.3.1.1"/>
    <x v="0"/>
    <x v="0"/>
    <x v="0"/>
    <x v="0"/>
    <n v="12"/>
    <x v="11"/>
    <x v="11"/>
    <s v="Conduct CMST efficiency analysis "/>
    <s v="Dissemination workshop "/>
    <s v="DSA (excl. lunch)"/>
    <n v="39000"/>
    <m/>
    <m/>
    <n v="0"/>
    <n v="100"/>
    <n v="1"/>
    <n v="4457392.2782999994"/>
    <n v="58"/>
    <n v="2"/>
    <n v="5909559.3000697987"/>
    <n v="0"/>
    <n v="0"/>
    <n v="0"/>
    <n v="0"/>
    <n v="0"/>
    <n v="0"/>
    <n v="58"/>
    <n v="2"/>
    <n v="8822747.3542157933"/>
    <m/>
    <m/>
    <n v="0"/>
    <m/>
    <m/>
    <n v="0"/>
    <n v="19189698.93258559"/>
    <n v="18630.775662704455"/>
  </r>
  <r>
    <s v="4.3.1.1"/>
    <x v="0"/>
    <x v="0"/>
    <x v="0"/>
    <x v="0"/>
    <n v="12"/>
    <x v="11"/>
    <x v="11"/>
    <s v="Conduct CMST efficiency analysis "/>
    <s v="Dissemination workshop "/>
    <s v="A4, 500 pages, 140 gsm paper"/>
    <n v="8000"/>
    <m/>
    <m/>
    <n v="0"/>
    <n v="30"/>
    <n v="1"/>
    <n v="274301.06328"/>
    <n v="10"/>
    <n v="0"/>
    <n v="0"/>
    <n v="0"/>
    <n v="0"/>
    <n v="0"/>
    <n v="0"/>
    <n v="0"/>
    <n v="0"/>
    <n v="10"/>
    <n v="0"/>
    <n v="0"/>
    <m/>
    <m/>
    <n v="0"/>
    <m/>
    <m/>
    <n v="0"/>
    <n v="274301.06328"/>
    <n v="266.31171192233012"/>
  </r>
  <r>
    <s v="4.3.1.1"/>
    <x v="0"/>
    <x v="0"/>
    <x v="0"/>
    <x v="0"/>
    <n v="12"/>
    <x v="11"/>
    <x v="11"/>
    <s v="Conduct CMST efficiency analysis "/>
    <s v="Dissemination workshop "/>
    <s v="Toner"/>
    <n v="104850"/>
    <m/>
    <m/>
    <n v="0"/>
    <n v="50000"/>
    <n v="1"/>
    <n v="5991763851.0224991"/>
    <n v="1"/>
    <n v="1"/>
    <n v="136962.26627151159"/>
    <n v="0"/>
    <n v="0"/>
    <n v="0"/>
    <n v="0"/>
    <n v="0"/>
    <n v="0"/>
    <n v="1"/>
    <n v="1"/>
    <n v="204479.45625321087"/>
    <m/>
    <m/>
    <n v="0"/>
    <m/>
    <m/>
    <n v="0"/>
    <n v="5992105292.7450237"/>
    <n v="5817577.954121382"/>
  </r>
  <r>
    <s v="4.3.1.1"/>
    <x v="0"/>
    <x v="0"/>
    <x v="0"/>
    <x v="0"/>
    <n v="12"/>
    <x v="11"/>
    <x v="11"/>
    <s v="Conduct CMST efficiency analysis "/>
    <s v="Dissemination workshop "/>
    <s v="Local running (diesel, per km)"/>
    <n v="285.57142857142856"/>
    <m/>
    <m/>
    <n v="0"/>
    <n v="5"/>
    <n v="1"/>
    <n v="1631.9280520735711"/>
    <n v="100"/>
    <n v="1"/>
    <n v="37303.299990019979"/>
    <n v="0"/>
    <n v="0"/>
    <n v="0"/>
    <n v="0"/>
    <n v="0"/>
    <n v="0"/>
    <n v="100"/>
    <n v="1"/>
    <n v="55692.408617776207"/>
    <m/>
    <m/>
    <n v="0"/>
    <m/>
    <m/>
    <n v="0"/>
    <n v="94627.63665986975"/>
    <n v="91.871491902786161"/>
  </r>
  <r>
    <s v="4.3.1.1"/>
    <x v="0"/>
    <x v="0"/>
    <x v="0"/>
    <x v="0"/>
    <n v="12"/>
    <x v="11"/>
    <x v="11"/>
    <s v="Conduct CMST efficiency analysis "/>
    <s v="Implement recommendations of the CMST efficiency analysis report"/>
    <s v="Zero cost"/>
    <n v="0"/>
    <m/>
    <m/>
    <n v="0"/>
    <n v="20000"/>
    <n v="1"/>
    <n v="0"/>
    <n v="0"/>
    <n v="0"/>
    <n v="0"/>
    <n v="0"/>
    <n v="0"/>
    <n v="0"/>
    <n v="0"/>
    <n v="0"/>
    <n v="0"/>
    <n v="0"/>
    <n v="0"/>
    <n v="0"/>
    <m/>
    <m/>
    <n v="0"/>
    <m/>
    <m/>
    <n v="0"/>
    <n v="0"/>
    <n v="0"/>
  </r>
  <r>
    <s v="4.3.1.1"/>
    <x v="0"/>
    <x v="0"/>
    <x v="0"/>
    <x v="0"/>
    <n v="13"/>
    <x v="12"/>
    <x v="12"/>
    <s v="Develop a clear annual implementation plan for CIP projects "/>
    <s v="Engage treasury and EPD through workshops to prioritize CIP projects "/>
    <s v="Conference package high-level"/>
    <n v="35000"/>
    <n v="25"/>
    <n v="1"/>
    <n v="875000"/>
    <n v="25"/>
    <n v="1"/>
    <n v="1000055.9598749998"/>
    <n v="25"/>
    <n v="1"/>
    <n v="1142985.0547217228"/>
    <n v="25"/>
    <n v="1"/>
    <n v="1306341.7325971564"/>
    <n v="25"/>
    <n v="1"/>
    <n v="1493045.5260768225"/>
    <n v="25"/>
    <n v="1"/>
    <n v="1706433.2305346637"/>
    <n v="25"/>
    <n v="1"/>
    <n v="1950318.5397999317"/>
    <n v="25"/>
    <n v="1"/>
    <n v="2229060.2050075764"/>
    <n v="11703240.248612873"/>
    <n v="11362.369173410556"/>
  </r>
  <r>
    <s v="4.3.1.1"/>
    <x v="0"/>
    <x v="0"/>
    <x v="0"/>
    <x v="0"/>
    <n v="13"/>
    <x v="12"/>
    <x v="12"/>
    <s v="Develop a clear annual implementation plan for CIP projects "/>
    <s v="Engage treasury and EPD through workshops to prioritize CIP projects "/>
    <s v="DSA (excl. lunch)"/>
    <n v="39000"/>
    <n v="25"/>
    <n v="2"/>
    <n v="1950000"/>
    <n v="25"/>
    <n v="2"/>
    <n v="2228696.1391499997"/>
    <n v="25"/>
    <n v="2"/>
    <n v="2547223.8362369821"/>
    <n v="25"/>
    <n v="2"/>
    <n v="2911275.86121652"/>
    <n v="25"/>
    <n v="2"/>
    <n v="3327358.6009712047"/>
    <n v="25"/>
    <n v="2"/>
    <n v="3802908.3423343939"/>
    <n v="25"/>
    <n v="2"/>
    <n v="4346424.1744112773"/>
    <n v="25"/>
    <n v="2"/>
    <n v="4967619.8854454551"/>
    <n v="26081506.839765832"/>
    <n v="25321.851300743525"/>
  </r>
  <r>
    <s v="4.3.1.1"/>
    <x v="0"/>
    <x v="0"/>
    <x v="0"/>
    <x v="0"/>
    <n v="13"/>
    <x v="12"/>
    <x v="12"/>
    <s v="Develop a clear annual implementation plan for CIP projects "/>
    <s v="Engage treasury and EPD through workshops to prioritize CIP projects "/>
    <s v="Local running (diesel, per km)"/>
    <n v="285.57142857142856"/>
    <n v="450"/>
    <n v="1"/>
    <n v="128507.14285714286"/>
    <n v="450"/>
    <n v="1"/>
    <n v="146873.52468662139"/>
    <n v="450"/>
    <n v="1"/>
    <n v="167864.84995508991"/>
    <n v="450"/>
    <n v="1"/>
    <n v="191856.27845841175"/>
    <n v="450"/>
    <n v="1"/>
    <n v="219276.58824202541"/>
    <n v="450"/>
    <n v="1"/>
    <n v="250615.83877999295"/>
    <n v="450"/>
    <n v="1"/>
    <n v="286434.12938400469"/>
    <n v="450"/>
    <n v="1"/>
    <n v="327371.60937380657"/>
    <n v="1718799.9617370954"/>
    <n v="1668.7378269292187"/>
  </r>
  <r>
    <s v="4.3.1.1"/>
    <x v="0"/>
    <x v="0"/>
    <x v="0"/>
    <x v="0"/>
    <n v="13"/>
    <x v="12"/>
    <x v="12"/>
    <s v="Develop a clear annual implementation plan for CIP projects "/>
    <s v="Present the implementation plan to senior management"/>
    <s v="Zero cost"/>
    <n v="0"/>
    <n v="4000"/>
    <n v="1"/>
    <n v="0"/>
    <n v="4000"/>
    <n v="1"/>
    <n v="0"/>
    <n v="4000"/>
    <n v="1"/>
    <n v="0"/>
    <n v="4000"/>
    <n v="1"/>
    <n v="0"/>
    <n v="4000"/>
    <n v="1"/>
    <n v="0"/>
    <n v="4000"/>
    <n v="1"/>
    <n v="0"/>
    <n v="4000"/>
    <n v="1"/>
    <n v="0"/>
    <n v="4000"/>
    <n v="1"/>
    <n v="0"/>
    <n v="0"/>
    <n v="0"/>
  </r>
  <r>
    <s v="4.3.1.1"/>
    <x v="0"/>
    <x v="0"/>
    <x v="0"/>
    <x v="0"/>
    <n v="13"/>
    <x v="12"/>
    <x v="12"/>
    <s v="Develop a clear annual implementation plan for CIP projects "/>
    <s v="Engage stakeholders including politicians on health infrastructure and CIP implementation (3 meetings) "/>
    <s v="Conference package high-level"/>
    <n v="35000"/>
    <n v="100"/>
    <n v="1"/>
    <n v="3500000"/>
    <n v="100"/>
    <n v="1"/>
    <n v="4000223.8394999993"/>
    <n v="100"/>
    <n v="1"/>
    <n v="4571940.2188868914"/>
    <n v="100"/>
    <n v="1"/>
    <n v="5225366.9303886257"/>
    <n v="100"/>
    <n v="1"/>
    <n v="5972182.1043072902"/>
    <n v="100"/>
    <n v="1"/>
    <n v="6825732.9221386546"/>
    <n v="100"/>
    <n v="1"/>
    <n v="7801274.1591997268"/>
    <n v="100"/>
    <n v="1"/>
    <n v="8916240.8200303055"/>
    <n v="46812960.994451493"/>
    <n v="45449.476693642224"/>
  </r>
  <r>
    <s v="4.3.1.1"/>
    <x v="0"/>
    <x v="0"/>
    <x v="0"/>
    <x v="0"/>
    <n v="13"/>
    <x v="12"/>
    <x v="12"/>
    <s v="Develop a clear annual implementation plan for CIP projects "/>
    <s v="Develop a concept note on health infrastructure projects"/>
    <s v="Zero cost"/>
    <n v="0"/>
    <n v="20"/>
    <n v="3"/>
    <n v="0"/>
    <n v="20"/>
    <n v="3"/>
    <n v="0"/>
    <n v="20"/>
    <n v="3"/>
    <n v="0"/>
    <n v="20"/>
    <n v="3"/>
    <n v="0"/>
    <n v="20"/>
    <n v="3"/>
    <n v="0"/>
    <n v="20"/>
    <n v="3"/>
    <n v="0"/>
    <n v="20"/>
    <n v="3"/>
    <n v="0"/>
    <n v="20"/>
    <n v="3"/>
    <n v="0"/>
    <n v="0"/>
    <n v="0"/>
  </r>
  <r>
    <s v="4.3.1.1"/>
    <x v="0"/>
    <x v="0"/>
    <x v="0"/>
    <x v="0"/>
    <n v="13"/>
    <x v="12"/>
    <x v="12"/>
    <s v="Develop a clear annual implementation plan for CIP projects "/>
    <s v="Present concept note to parliamentary committee on health, health donor group, treasury"/>
    <s v="Conference package high-level"/>
    <n v="35000"/>
    <n v="25"/>
    <n v="1"/>
    <n v="875000"/>
    <n v="25"/>
    <n v="1"/>
    <n v="1000055.9598749998"/>
    <n v="25"/>
    <n v="1"/>
    <n v="1142985.0547217228"/>
    <n v="25"/>
    <n v="1"/>
    <n v="1306341.7325971564"/>
    <n v="25"/>
    <n v="1"/>
    <n v="1493045.5260768225"/>
    <n v="25"/>
    <n v="1"/>
    <n v="1706433.2305346637"/>
    <n v="25"/>
    <n v="1"/>
    <n v="1950318.5397999317"/>
    <n v="25"/>
    <n v="1"/>
    <n v="2229060.2050075764"/>
    <n v="11703240.248612873"/>
    <n v="11362.369173410556"/>
  </r>
  <r>
    <s v="4.3.1.1"/>
    <x v="0"/>
    <x v="0"/>
    <x v="0"/>
    <x v="0"/>
    <n v="14"/>
    <x v="13"/>
    <x v="13"/>
    <s v="Develop a clear annual implementation plan for CIP projects "/>
    <s v="develop a concept note on establishing a medicines manufacturing plant for medicines that are high in demand and use. "/>
    <s v="Zero cost"/>
    <m/>
    <m/>
    <m/>
    <n v="0"/>
    <m/>
    <m/>
    <n v="0"/>
    <m/>
    <m/>
    <n v="0"/>
    <m/>
    <m/>
    <n v="0"/>
    <m/>
    <m/>
    <n v="0"/>
    <m/>
    <m/>
    <n v="0"/>
    <m/>
    <m/>
    <n v="0"/>
    <m/>
    <m/>
    <n v="0"/>
    <n v="0"/>
    <n v="0"/>
  </r>
  <r>
    <s v="4.3.1.1"/>
    <x v="0"/>
    <x v="0"/>
    <x v="0"/>
    <x v="0"/>
    <n v="14"/>
    <x v="13"/>
    <x v="13"/>
    <s v="Develop a clear annual implementation plan for CIP projects "/>
    <s v="Set up a committee "/>
    <s v="Conference package high-level"/>
    <n v="35000"/>
    <m/>
    <m/>
    <n v="0"/>
    <m/>
    <m/>
    <n v="0"/>
    <n v="25"/>
    <n v="2"/>
    <n v="2285970.1094434457"/>
    <m/>
    <m/>
    <n v="0"/>
    <m/>
    <m/>
    <n v="0"/>
    <m/>
    <m/>
    <n v="0"/>
    <m/>
    <m/>
    <n v="0"/>
    <m/>
    <m/>
    <n v="0"/>
    <n v="2285970.1094434457"/>
    <n v="2219.3884557703354"/>
  </r>
  <r>
    <s v="4.3.1.1"/>
    <x v="0"/>
    <x v="0"/>
    <x v="0"/>
    <x v="0"/>
    <n v="14"/>
    <x v="13"/>
    <x v="13"/>
    <s v="Develop a clear annual implementation plan for CIP projects "/>
    <s v="Set up a committee "/>
    <s v="DSA (excl. lunch)"/>
    <n v="39000"/>
    <m/>
    <m/>
    <n v="0"/>
    <m/>
    <m/>
    <n v="0"/>
    <n v="25"/>
    <n v="3"/>
    <n v="3820835.7543554734"/>
    <m/>
    <m/>
    <n v="0"/>
    <m/>
    <m/>
    <n v="0"/>
    <m/>
    <m/>
    <n v="0"/>
    <m/>
    <m/>
    <n v="0"/>
    <m/>
    <m/>
    <n v="0"/>
    <n v="3820835.7543554734"/>
    <n v="3709.549276073275"/>
  </r>
  <r>
    <s v="4.3.1.1"/>
    <x v="0"/>
    <x v="0"/>
    <x v="0"/>
    <x v="0"/>
    <n v="14"/>
    <x v="13"/>
    <x v="13"/>
    <s v="Develop a clear annual implementation plan for CIP projects "/>
    <s v="Set up a committee "/>
    <s v="Local running (diesel, per km)"/>
    <n v="285.57142857142856"/>
    <m/>
    <m/>
    <n v="0"/>
    <m/>
    <m/>
    <n v="0"/>
    <n v="450"/>
    <n v="2"/>
    <n v="335729.69991017983"/>
    <m/>
    <m/>
    <n v="0"/>
    <m/>
    <m/>
    <n v="0"/>
    <m/>
    <m/>
    <n v="0"/>
    <m/>
    <m/>
    <n v="0"/>
    <m/>
    <m/>
    <n v="0"/>
    <n v="335729.69991017983"/>
    <n v="325.95116496133966"/>
  </r>
  <r>
    <s v="4.3.1.1"/>
    <x v="0"/>
    <x v="0"/>
    <x v="0"/>
    <x v="0"/>
    <n v="14"/>
    <x v="13"/>
    <x v="13"/>
    <s v="Develop a clear annual implementation plan for CIP projects "/>
    <s v="Set up a committee "/>
    <s v="Fuel for travelling participants"/>
    <n v="285.57142857142856"/>
    <m/>
    <m/>
    <n v="0"/>
    <m/>
    <m/>
    <n v="0"/>
    <n v="2430"/>
    <n v="1"/>
    <n v="906470.18975748552"/>
    <m/>
    <m/>
    <n v="0"/>
    <m/>
    <m/>
    <n v="0"/>
    <m/>
    <m/>
    <n v="0"/>
    <m/>
    <m/>
    <n v="0"/>
    <m/>
    <m/>
    <n v="0"/>
    <n v="906470.18975748552"/>
    <n v="880.06814539561697"/>
  </r>
  <r>
    <s v="4.3.1.1"/>
    <x v="0"/>
    <x v="0"/>
    <x v="0"/>
    <x v="0"/>
    <n v="14"/>
    <x v="13"/>
    <x v="13"/>
    <s v="develop a policy note on establishing a medicines manufacturing plant for medicines that are high in demand and use."/>
    <s v="hold 3 meetings, 3 days each"/>
    <s v="Conference package high-level"/>
    <n v="35000"/>
    <m/>
    <m/>
    <n v="0"/>
    <m/>
    <m/>
    <n v="0"/>
    <n v="25"/>
    <n v="9"/>
    <n v="10286865.492495505"/>
    <m/>
    <m/>
    <n v="0"/>
    <m/>
    <m/>
    <n v="0"/>
    <m/>
    <m/>
    <n v="0"/>
    <m/>
    <m/>
    <n v="0"/>
    <m/>
    <m/>
    <n v="0"/>
    <n v="10286865.492495505"/>
    <n v="9987.2480509665093"/>
  </r>
  <r>
    <s v="4.3.1.1"/>
    <x v="0"/>
    <x v="0"/>
    <x v="0"/>
    <x v="0"/>
    <n v="14"/>
    <x v="13"/>
    <x v="13"/>
    <s v="develop a policy note on establishing a medicines manufacturing plant for medicines that are high in demand and use."/>
    <s v="hold 3 meetings, 3 days each"/>
    <s v="DSA (excl. lunch)"/>
    <n v="39000"/>
    <m/>
    <m/>
    <n v="0"/>
    <m/>
    <m/>
    <n v="0"/>
    <n v="25"/>
    <n v="12"/>
    <n v="15283343.017421894"/>
    <m/>
    <m/>
    <n v="0"/>
    <m/>
    <m/>
    <n v="0"/>
    <m/>
    <m/>
    <n v="0"/>
    <m/>
    <m/>
    <n v="0"/>
    <m/>
    <m/>
    <n v="0"/>
    <n v="15283343.017421894"/>
    <n v="14838.1971042931"/>
  </r>
  <r>
    <s v="4.3.1.1"/>
    <x v="0"/>
    <x v="0"/>
    <x v="0"/>
    <x v="0"/>
    <n v="14"/>
    <x v="13"/>
    <x v="13"/>
    <s v="develop a policy note on establishing a medicines manufacturing plant for medicines that are high in demand and use."/>
    <s v="hold 3 meetings, 3 days each"/>
    <s v="Local running (diesel, per km)"/>
    <n v="285.57142857142856"/>
    <m/>
    <m/>
    <n v="0"/>
    <m/>
    <m/>
    <n v="0"/>
    <n v="450"/>
    <n v="9"/>
    <n v="1510783.6495958092"/>
    <m/>
    <m/>
    <n v="0"/>
    <m/>
    <m/>
    <n v="0"/>
    <m/>
    <m/>
    <n v="0"/>
    <m/>
    <m/>
    <n v="0"/>
    <m/>
    <m/>
    <n v="0"/>
    <n v="1510783.6495958092"/>
    <n v="1466.7802423260284"/>
  </r>
  <r>
    <s v="4.3.1.1"/>
    <x v="0"/>
    <x v="0"/>
    <x v="0"/>
    <x v="0"/>
    <n v="14"/>
    <x v="13"/>
    <x v="13"/>
    <s v="develop a policy note on establishing a medicines manufacturing plant for medicines that are high in demand and use."/>
    <s v="hold 3 meetings, 3 days each"/>
    <s v="Fuel for travelling participants"/>
    <n v="285.57142857142856"/>
    <m/>
    <m/>
    <n v="0"/>
    <m/>
    <m/>
    <n v="0"/>
    <n v="2430"/>
    <n v="3"/>
    <n v="2719410.5692724567"/>
    <m/>
    <m/>
    <n v="0"/>
    <m/>
    <m/>
    <n v="0"/>
    <m/>
    <m/>
    <n v="0"/>
    <m/>
    <m/>
    <n v="0"/>
    <m/>
    <m/>
    <n v="0"/>
    <n v="2719410.5692724567"/>
    <n v="2640.2044361868511"/>
  </r>
  <r>
    <s v="4.3.1.1"/>
    <x v="0"/>
    <x v="0"/>
    <x v="0"/>
    <x v="0"/>
    <n v="14"/>
    <x v="13"/>
    <x v="13"/>
    <s v="develop a policy note on establishing a medicines manufacturing plant for medicines that are high in demand and use."/>
    <s v="Present the policy note to the committee of PSs on PPs"/>
    <s v="Conference package high-level"/>
    <n v="35000"/>
    <m/>
    <m/>
    <n v="0"/>
    <m/>
    <m/>
    <n v="0"/>
    <n v="25"/>
    <n v="1"/>
    <n v="1142985.0547217228"/>
    <m/>
    <m/>
    <n v="0"/>
    <m/>
    <m/>
    <n v="0"/>
    <m/>
    <m/>
    <n v="0"/>
    <m/>
    <m/>
    <n v="0"/>
    <m/>
    <m/>
    <n v="0"/>
    <n v="1142985.0547217228"/>
    <n v="1109.6942278851677"/>
  </r>
  <r>
    <s v="4.3.1.1"/>
    <x v="0"/>
    <x v="0"/>
    <x v="0"/>
    <x v="0"/>
    <n v="14"/>
    <x v="13"/>
    <x v="13"/>
    <s v="develop a cabinet paper on establishing a medicines manufacturing plant for medicines that are high in demand and usage"/>
    <s v="Develop a cabinet paper"/>
    <s v="Zero cost"/>
    <m/>
    <m/>
    <m/>
    <n v="0"/>
    <m/>
    <m/>
    <n v="0"/>
    <m/>
    <m/>
    <n v="0"/>
    <m/>
    <m/>
    <n v="0"/>
    <m/>
    <m/>
    <n v="0"/>
    <m/>
    <m/>
    <n v="0"/>
    <m/>
    <m/>
    <n v="0"/>
    <m/>
    <m/>
    <n v="0"/>
    <n v="0"/>
    <n v="0"/>
  </r>
  <r>
    <s v="4.3.1.1"/>
    <x v="0"/>
    <x v="0"/>
    <x v="0"/>
    <x v="0"/>
    <n v="14"/>
    <x v="13"/>
    <x v="13"/>
    <s v="develop a cabinet paper on establishing a medicines manufacturing plant for medicines that are high in demand and usage"/>
    <s v="Cabinet Meeting"/>
    <s v="Conference package high-level"/>
    <n v="35000"/>
    <m/>
    <m/>
    <n v="0"/>
    <m/>
    <m/>
    <n v="0"/>
    <n v="60"/>
    <n v="2"/>
    <n v="5486328.2626642687"/>
    <m/>
    <m/>
    <n v="0"/>
    <m/>
    <m/>
    <n v="0"/>
    <m/>
    <m/>
    <n v="0"/>
    <m/>
    <m/>
    <n v="0"/>
    <m/>
    <m/>
    <n v="0"/>
    <n v="5486328.2626642687"/>
    <n v="5326.5322938488043"/>
  </r>
  <r>
    <s v="4.3.1.1"/>
    <x v="0"/>
    <x v="0"/>
    <x v="0"/>
    <x v="0"/>
    <n v="14"/>
    <x v="13"/>
    <x v="13"/>
    <s v="Assess feasibility of undertaking a PPP for a medicines manufacturing plant"/>
    <s v="Develop TORs and RFP Documents"/>
    <s v="Zero cost"/>
    <n v="0"/>
    <m/>
    <m/>
    <n v="0"/>
    <m/>
    <m/>
    <n v="0"/>
    <n v="0"/>
    <n v="0"/>
    <n v="0"/>
    <m/>
    <m/>
    <n v="0"/>
    <m/>
    <m/>
    <n v="0"/>
    <m/>
    <m/>
    <n v="0"/>
    <m/>
    <m/>
    <n v="0"/>
    <m/>
    <m/>
    <n v="0"/>
    <n v="0"/>
    <n v="0"/>
  </r>
  <r>
    <s v="4.3.1.1"/>
    <x v="0"/>
    <x v="0"/>
    <x v="0"/>
    <x v="0"/>
    <n v="14"/>
    <x v="13"/>
    <x v="13"/>
    <s v="Assess feasibility of undertaking a PPP for a medicines manufacturing plant"/>
    <s v="Evaluate Expression of Interest"/>
    <s v="Conference package high-level"/>
    <n v="35000"/>
    <m/>
    <m/>
    <n v="0"/>
    <m/>
    <m/>
    <n v="0"/>
    <n v="15"/>
    <n v="6"/>
    <n v="4114746.1969982013"/>
    <m/>
    <m/>
    <n v="0"/>
    <m/>
    <m/>
    <n v="0"/>
    <m/>
    <m/>
    <n v="0"/>
    <m/>
    <m/>
    <n v="0"/>
    <m/>
    <m/>
    <n v="0"/>
    <n v="4114746.1969982013"/>
    <n v="3994.8992203866032"/>
  </r>
  <r>
    <s v="4.3.1.1"/>
    <x v="0"/>
    <x v="0"/>
    <x v="0"/>
    <x v="0"/>
    <n v="14"/>
    <x v="13"/>
    <x v="13"/>
    <s v="Assess feasibility of undertaking a PPP for a medicines manufacturing plant"/>
    <s v="Evaluate Expression of Interest"/>
    <s v="DSA (excl. lunch)"/>
    <n v="39000"/>
    <m/>
    <m/>
    <n v="0"/>
    <m/>
    <m/>
    <n v="0"/>
    <m/>
    <n v="8"/>
    <n v="0"/>
    <m/>
    <m/>
    <n v="0"/>
    <m/>
    <m/>
    <n v="0"/>
    <m/>
    <m/>
    <n v="0"/>
    <m/>
    <m/>
    <n v="0"/>
    <m/>
    <m/>
    <n v="0"/>
    <n v="0"/>
    <n v="0"/>
  </r>
  <r>
    <s v="4.3.1.1"/>
    <x v="0"/>
    <x v="0"/>
    <x v="0"/>
    <x v="0"/>
    <n v="14"/>
    <x v="13"/>
    <x v="13"/>
    <s v="Assess feasibility of undertaking a PPP for a medicines manufacturing plant"/>
    <s v="Evaluate Expression of Interest"/>
    <s v="Local running (diesel, per km)"/>
    <n v="285.57142857142856"/>
    <m/>
    <m/>
    <n v="0"/>
    <m/>
    <m/>
    <n v="0"/>
    <n v="250"/>
    <n v="6"/>
    <n v="559549.49985029968"/>
    <m/>
    <m/>
    <n v="0"/>
    <m/>
    <m/>
    <n v="0"/>
    <m/>
    <m/>
    <n v="0"/>
    <m/>
    <m/>
    <n v="0"/>
    <m/>
    <m/>
    <n v="0"/>
    <n v="559549.49985029968"/>
    <n v="543.25194160223271"/>
  </r>
  <r>
    <s v="4.3.1.1"/>
    <x v="0"/>
    <x v="0"/>
    <x v="0"/>
    <x v="0"/>
    <n v="14"/>
    <x v="13"/>
    <x v="13"/>
    <s v="Assess feasibility of undertaking a PPP for a medicines manufacturing plant"/>
    <s v="Evaluate Expression of Interest"/>
    <s v="Fuel for traveling participants"/>
    <n v="285.57142857142856"/>
    <m/>
    <m/>
    <n v="0"/>
    <m/>
    <m/>
    <n v="0"/>
    <n v="1350"/>
    <n v="2"/>
    <n v="1007189.0997305395"/>
    <m/>
    <m/>
    <n v="0"/>
    <m/>
    <m/>
    <n v="0"/>
    <m/>
    <m/>
    <n v="0"/>
    <m/>
    <m/>
    <n v="0"/>
    <m/>
    <m/>
    <n v="0"/>
    <n v="1007189.0997305395"/>
    <n v="977.85349488401891"/>
  </r>
  <r>
    <s v="4.3.1.1"/>
    <x v="0"/>
    <x v="0"/>
    <x v="0"/>
    <x v="0"/>
    <n v="14"/>
    <x v="13"/>
    <x v="13"/>
    <s v="Assess feasibility of undertaking a PPP for a medicines manufacturing plant"/>
    <s v="Review of RFP Documents before sending them to shortlisted candidates"/>
    <s v="Conference package high-level"/>
    <n v="35000"/>
    <m/>
    <m/>
    <n v="0"/>
    <m/>
    <m/>
    <n v="0"/>
    <n v="15"/>
    <n v="2"/>
    <n v="1371582.0656660672"/>
    <m/>
    <m/>
    <n v="0"/>
    <m/>
    <m/>
    <n v="0"/>
    <m/>
    <m/>
    <n v="0"/>
    <m/>
    <m/>
    <n v="0"/>
    <m/>
    <m/>
    <n v="0"/>
    <n v="1371582.0656660672"/>
    <n v="1331.6330734622011"/>
  </r>
  <r>
    <s v="4.3.1.1"/>
    <x v="0"/>
    <x v="0"/>
    <x v="0"/>
    <x v="0"/>
    <n v="14"/>
    <x v="13"/>
    <x v="13"/>
    <s v="Assess feasibility of undertaking a PPP for a medicines manufacturing plant"/>
    <s v="Review of RFP Documents before sending them to shortlisted candidates"/>
    <s v="DSA (excl. lunch)"/>
    <n v="39000"/>
    <m/>
    <m/>
    <n v="0"/>
    <m/>
    <m/>
    <n v="0"/>
    <n v="15"/>
    <n v="3"/>
    <n v="2292501.4526132839"/>
    <m/>
    <m/>
    <n v="0"/>
    <m/>
    <m/>
    <n v="0"/>
    <m/>
    <m/>
    <n v="0"/>
    <m/>
    <m/>
    <n v="0"/>
    <m/>
    <m/>
    <n v="0"/>
    <n v="2292501.4526132839"/>
    <n v="2225.7295656439651"/>
  </r>
  <r>
    <s v="4.3.1.1"/>
    <x v="0"/>
    <x v="0"/>
    <x v="0"/>
    <x v="0"/>
    <n v="14"/>
    <x v="13"/>
    <x v="13"/>
    <s v="Assess feasibility of undertaking a PPP for a medicines manufacturing plant"/>
    <s v="Review of RFP Documents before sending them to shortlisted candidates"/>
    <s v="Local running (diesel, per km)"/>
    <n v="285.57142857142856"/>
    <m/>
    <m/>
    <n v="0"/>
    <m/>
    <m/>
    <n v="0"/>
    <n v="250"/>
    <n v="2"/>
    <n v="186516.49995009991"/>
    <m/>
    <m/>
    <n v="0"/>
    <m/>
    <m/>
    <n v="0"/>
    <m/>
    <m/>
    <n v="0"/>
    <m/>
    <m/>
    <n v="0"/>
    <m/>
    <m/>
    <n v="0"/>
    <n v="186516.49995009991"/>
    <n v="181.0839805340776"/>
  </r>
  <r>
    <s v="4.3.1.1"/>
    <x v="0"/>
    <x v="0"/>
    <x v="0"/>
    <x v="0"/>
    <n v="14"/>
    <x v="13"/>
    <x v="13"/>
    <s v="Assess feasibility of undertaking a PPP for a medicines manufacturing plant"/>
    <s v="Review of RFP Documents before sending them to shortlisted candidates"/>
    <s v="Fuel for traveling participants"/>
    <n v="285.57142857142856"/>
    <m/>
    <m/>
    <n v="0"/>
    <m/>
    <m/>
    <n v="0"/>
    <n v="1350"/>
    <n v="1"/>
    <n v="503594.54986526974"/>
    <m/>
    <m/>
    <n v="0"/>
    <m/>
    <m/>
    <n v="0"/>
    <m/>
    <m/>
    <n v="0"/>
    <m/>
    <m/>
    <n v="0"/>
    <m/>
    <m/>
    <n v="0"/>
    <n v="503594.54986526974"/>
    <n v="488.92674744200946"/>
  </r>
  <r>
    <s v="4.3.1.1"/>
    <x v="0"/>
    <x v="0"/>
    <x v="0"/>
    <x v="0"/>
    <n v="14"/>
    <x v="13"/>
    <x v="13"/>
    <s v="Assess feasibility of undertaking a PPP for a medicines manufacturing plant"/>
    <s v="Pre-proposal Meeting"/>
    <s v="Conference package (zero cost)"/>
    <n v="0"/>
    <m/>
    <m/>
    <n v="0"/>
    <m/>
    <m/>
    <n v="0"/>
    <n v="12"/>
    <n v="1"/>
    <n v="0"/>
    <m/>
    <m/>
    <n v="0"/>
    <m/>
    <m/>
    <n v="0"/>
    <m/>
    <m/>
    <n v="0"/>
    <m/>
    <m/>
    <n v="0"/>
    <m/>
    <m/>
    <n v="0"/>
    <n v="0"/>
    <n v="0"/>
  </r>
  <r>
    <s v="4.3.1.1"/>
    <x v="0"/>
    <x v="0"/>
    <x v="0"/>
    <x v="0"/>
    <n v="14"/>
    <x v="13"/>
    <x v="13"/>
    <s v="Assess feasibility of undertaking a PPP for a medicines manufacturing plant"/>
    <s v="Pre-proposal Meeting"/>
    <s v="Full DSA"/>
    <n v="45000"/>
    <m/>
    <m/>
    <n v="0"/>
    <m/>
    <m/>
    <n v="0"/>
    <n v="12"/>
    <n v="2"/>
    <n v="1410770.124685098"/>
    <m/>
    <m/>
    <n v="0"/>
    <m/>
    <m/>
    <n v="0"/>
    <m/>
    <m/>
    <n v="0"/>
    <m/>
    <m/>
    <n v="0"/>
    <m/>
    <m/>
    <n v="0"/>
    <n v="1410770.124685098"/>
    <n v="1369.6797327039785"/>
  </r>
  <r>
    <s v="4.3.1.1"/>
    <x v="0"/>
    <x v="0"/>
    <x v="0"/>
    <x v="0"/>
    <n v="14"/>
    <x v="13"/>
    <x v="13"/>
    <s v="Assess feasibility of undertaking a PPP for a medicines manufacturing plant"/>
    <s v="Pre-proposal Meeting"/>
    <s v="Local running (diesel, per km)"/>
    <n v="285.57142857142856"/>
    <m/>
    <m/>
    <n v="0"/>
    <m/>
    <m/>
    <n v="0"/>
    <n v="250"/>
    <n v="2"/>
    <n v="186516.49995009991"/>
    <m/>
    <m/>
    <n v="0"/>
    <m/>
    <m/>
    <n v="0"/>
    <m/>
    <m/>
    <n v="0"/>
    <m/>
    <m/>
    <n v="0"/>
    <m/>
    <m/>
    <n v="0"/>
    <n v="186516.49995009991"/>
    <n v="181.0839805340776"/>
  </r>
  <r>
    <s v="4.3.1.1"/>
    <x v="0"/>
    <x v="0"/>
    <x v="0"/>
    <x v="0"/>
    <n v="14"/>
    <x v="13"/>
    <x v="13"/>
    <s v="Assess feasibility of undertaking a PPP for a medicines manufacturing plant"/>
    <s v="Pre-proposal Meeting"/>
    <s v="Fuel for traveling participants"/>
    <n v="285.57142857142856"/>
    <m/>
    <m/>
    <n v="0"/>
    <m/>
    <m/>
    <n v="0"/>
    <n v="1350"/>
    <n v="1"/>
    <n v="503594.54986526974"/>
    <m/>
    <m/>
    <n v="0"/>
    <m/>
    <m/>
    <n v="0"/>
    <m/>
    <m/>
    <n v="0"/>
    <m/>
    <m/>
    <n v="0"/>
    <m/>
    <m/>
    <n v="0"/>
    <n v="503594.54986526974"/>
    <n v="488.92674744200946"/>
  </r>
  <r>
    <s v="4.3.1.1"/>
    <x v="0"/>
    <x v="0"/>
    <x v="0"/>
    <x v="0"/>
    <n v="14"/>
    <x v="13"/>
    <x v="13"/>
    <s v="Assess feasibility of undertaking a PPP for a medicines manufacturing plant"/>
    <s v="Review of proposals"/>
    <s v="Conference package high-level"/>
    <n v="35000"/>
    <m/>
    <m/>
    <n v="0"/>
    <m/>
    <m/>
    <n v="0"/>
    <n v="20"/>
    <n v="2"/>
    <n v="1828776.0875547563"/>
    <m/>
    <m/>
    <n v="0"/>
    <m/>
    <m/>
    <n v="0"/>
    <m/>
    <m/>
    <n v="0"/>
    <m/>
    <m/>
    <n v="0"/>
    <m/>
    <m/>
    <n v="0"/>
    <n v="1828776.0875547563"/>
    <n v="1775.5107646162683"/>
  </r>
  <r>
    <s v="4.3.1.1"/>
    <x v="0"/>
    <x v="0"/>
    <x v="0"/>
    <x v="0"/>
    <n v="14"/>
    <x v="13"/>
    <x v="13"/>
    <s v="Assess feasibility of undertaking a PPP for a medicines manufacturing plant"/>
    <s v="Review of proposals"/>
    <s v="DSA (excl. lunch)"/>
    <n v="39000"/>
    <m/>
    <m/>
    <n v="0"/>
    <m/>
    <m/>
    <n v="0"/>
    <n v="20"/>
    <n v="3"/>
    <n v="3056668.6034843787"/>
    <m/>
    <m/>
    <n v="0"/>
    <m/>
    <m/>
    <n v="0"/>
    <m/>
    <m/>
    <n v="0"/>
    <m/>
    <m/>
    <n v="0"/>
    <m/>
    <m/>
    <n v="0"/>
    <n v="3056668.6034843787"/>
    <n v="2967.6394208586203"/>
  </r>
  <r>
    <s v="4.3.1.1"/>
    <x v="0"/>
    <x v="0"/>
    <x v="0"/>
    <x v="0"/>
    <n v="14"/>
    <x v="13"/>
    <x v="13"/>
    <s v="Assess feasibility of undertaking a PPP for a medicines manufacturing plant"/>
    <s v="Review of proposals"/>
    <s v="Local running (diesel, per km)"/>
    <n v="285.57142857142856"/>
    <m/>
    <m/>
    <n v="0"/>
    <m/>
    <m/>
    <n v="0"/>
    <n v="250"/>
    <n v="2"/>
    <n v="186516.49995009991"/>
    <m/>
    <m/>
    <n v="0"/>
    <m/>
    <m/>
    <n v="0"/>
    <m/>
    <m/>
    <n v="0"/>
    <m/>
    <m/>
    <n v="0"/>
    <m/>
    <m/>
    <n v="0"/>
    <n v="186516.49995009991"/>
    <n v="181.0839805340776"/>
  </r>
  <r>
    <s v="4.3.1.1"/>
    <x v="0"/>
    <x v="0"/>
    <x v="0"/>
    <x v="0"/>
    <n v="14"/>
    <x v="13"/>
    <x v="13"/>
    <s v="Assess feasibility of undertaking a PPP for a medicines manufacturing plant"/>
    <s v="Review of proposals"/>
    <s v="Fuel for traveling participants"/>
    <n v="285.57142857142856"/>
    <m/>
    <m/>
    <n v="0"/>
    <m/>
    <m/>
    <n v="0"/>
    <n v="1350"/>
    <n v="1"/>
    <n v="503594.54986526974"/>
    <m/>
    <m/>
    <n v="0"/>
    <m/>
    <m/>
    <n v="0"/>
    <m/>
    <m/>
    <n v="0"/>
    <m/>
    <m/>
    <n v="0"/>
    <m/>
    <m/>
    <n v="0"/>
    <n v="503594.54986526974"/>
    <n v="488.92674744200946"/>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Assess feasibility of undertaking a PPP for a medicines manufacturing plant"/>
    <m/>
    <m/>
    <m/>
    <m/>
    <m/>
    <n v="0"/>
    <m/>
    <m/>
    <n v="0"/>
    <m/>
    <m/>
    <n v="0"/>
    <m/>
    <m/>
    <n v="0"/>
    <m/>
    <m/>
    <n v="0"/>
    <m/>
    <m/>
    <n v="0"/>
    <m/>
    <m/>
    <n v="0"/>
    <m/>
    <m/>
    <n v="0"/>
    <n v="0"/>
    <n v="0"/>
  </r>
  <r>
    <s v="4.3.1.1"/>
    <x v="0"/>
    <x v="0"/>
    <x v="0"/>
    <x v="0"/>
    <n v="14"/>
    <x v="13"/>
    <x v="13"/>
    <s v="Engage a private stakeholder in a PPP to establish a medicines plant"/>
    <s v="conduct a PPP feasibility assesment "/>
    <m/>
    <m/>
    <m/>
    <m/>
    <n v="0"/>
    <m/>
    <m/>
    <n v="0"/>
    <m/>
    <m/>
    <n v="0"/>
    <m/>
    <m/>
    <n v="0"/>
    <m/>
    <m/>
    <n v="0"/>
    <m/>
    <m/>
    <n v="0"/>
    <m/>
    <m/>
    <n v="0"/>
    <m/>
    <m/>
    <n v="0"/>
    <n v="0"/>
    <n v="0"/>
  </r>
  <r>
    <s v="4.3.1.1"/>
    <x v="0"/>
    <x v="0"/>
    <x v="0"/>
    <x v="0"/>
    <n v="14"/>
    <x v="13"/>
    <x v="13"/>
    <s v="Engage a private stakeholder in a PPP to establish a medicines plant"/>
    <s v="Identify and recruit a private company to commission the plant "/>
    <s v="Zero cost"/>
    <m/>
    <m/>
    <m/>
    <n v="0"/>
    <m/>
    <m/>
    <n v="0"/>
    <m/>
    <m/>
    <n v="0"/>
    <m/>
    <m/>
    <n v="0"/>
    <m/>
    <m/>
    <n v="0"/>
    <m/>
    <m/>
    <n v="0"/>
    <m/>
    <m/>
    <n v="0"/>
    <m/>
    <m/>
    <n v="0"/>
    <n v="0"/>
    <n v="0"/>
  </r>
  <r>
    <s v="4.3.1.2"/>
    <x v="0"/>
    <x v="0"/>
    <x v="1"/>
    <x v="1"/>
    <n v="1"/>
    <x v="14"/>
    <x v="14"/>
    <s v="Capacitate decentralized and community health oversight structures (e.g., Health and Environmental Committee; Health Centre Management Committees) on grant making and governance"/>
    <s v="Develop TORs for a consultant"/>
    <s v="Zero cost"/>
    <n v="0"/>
    <m/>
    <m/>
    <n v="0"/>
    <n v="0"/>
    <n v="0"/>
    <n v="0"/>
    <n v="0"/>
    <n v="0"/>
    <n v="0"/>
    <n v="40000"/>
    <n v="1"/>
    <n v="0"/>
    <n v="0"/>
    <n v="0"/>
    <n v="0"/>
    <m/>
    <m/>
    <n v="0"/>
    <m/>
    <m/>
    <n v="0"/>
    <n v="0"/>
    <n v="0"/>
    <n v="0"/>
    <n v="0"/>
    <n v="0"/>
  </r>
  <r>
    <s v="4.3.1.2"/>
    <x v="0"/>
    <x v="0"/>
    <x v="1"/>
    <x v="1"/>
    <n v="1"/>
    <x v="14"/>
    <x v="14"/>
    <s v="Capacitate decentralized and community health oversight structures (e.g., Health and Environmental Committee; Health Centre Management Committees) on grant making and governance"/>
    <s v="Recruitment of a consultant "/>
    <s v="Local consultant fee - High level"/>
    <n v="511000"/>
    <m/>
    <n v="25"/>
    <n v="0"/>
    <n v="1"/>
    <n v="30"/>
    <n v="17520980.417009998"/>
    <n v="0"/>
    <n v="0"/>
    <n v="0"/>
    <n v="0"/>
    <n v="0"/>
    <n v="0"/>
    <n v="1"/>
    <n v="30"/>
    <n v="26158157.616865929"/>
    <m/>
    <m/>
    <n v="0"/>
    <m/>
    <m/>
    <n v="0"/>
    <n v="1"/>
    <n v="30"/>
    <n v="39053134.791732736"/>
    <n v="82732272.825608671"/>
    <n v="80322.594976319102"/>
  </r>
  <r>
    <s v="4.3.1.2"/>
    <x v="0"/>
    <x v="0"/>
    <x v="1"/>
    <x v="1"/>
    <n v="1"/>
    <x v="14"/>
    <x v="14"/>
    <s v="Capacitate decentralized and community health oversight structures (e.g., Health and Environmental Committee; Health Centre Management Committees) on grant making and governance"/>
    <s v="Recruitment of a consultant "/>
    <s v="Newspaper advert (full)"/>
    <n v="391991.03749999998"/>
    <m/>
    <m/>
    <n v="0"/>
    <n v="2"/>
    <n v="2"/>
    <n v="1792059.3063746723"/>
    <n v="0"/>
    <n v="0"/>
    <n v="0"/>
    <n v="0"/>
    <n v="0"/>
    <n v="0"/>
    <n v="2"/>
    <n v="2"/>
    <n v="2675476.4105215403"/>
    <m/>
    <m/>
    <n v="0"/>
    <m/>
    <m/>
    <n v="0"/>
    <n v="2"/>
    <n v="2"/>
    <n v="3994384.5595926056"/>
    <n v="8461920.2764888182"/>
    <n v="8215.4565791153582"/>
  </r>
  <r>
    <s v="4.3.1.2"/>
    <x v="0"/>
    <x v="0"/>
    <x v="1"/>
    <x v="1"/>
    <n v="1"/>
    <x v="14"/>
    <x v="14"/>
    <s v="Capacitate decentralized and community health oversight structures (e.g., Health and Environmental Committee; Health Centre Management Committees) on grant making and governance"/>
    <s v="Develop a training manual on grant making and governance (cost on consultant fee)"/>
    <s v="Zero cost"/>
    <n v="0"/>
    <m/>
    <m/>
    <n v="0"/>
    <n v="1"/>
    <m/>
    <n v="0"/>
    <n v="0"/>
    <n v="0"/>
    <n v="0"/>
    <n v="0"/>
    <n v="0"/>
    <n v="0"/>
    <n v="1"/>
    <m/>
    <n v="0"/>
    <m/>
    <m/>
    <n v="0"/>
    <m/>
    <m/>
    <n v="0"/>
    <n v="1"/>
    <m/>
    <n v="0"/>
    <n v="0"/>
    <n v="0"/>
  </r>
  <r>
    <s v="4.3.1.2"/>
    <x v="0"/>
    <x v="0"/>
    <x v="1"/>
    <x v="1"/>
    <n v="1"/>
    <x v="14"/>
    <x v="14"/>
    <s v="Capacitate decentralized and community health oversight structures (e.g., Health and Environmental Committee; Health Centre Management Committees) on grant making and governance"/>
    <s v="Hold a 5 day validation workshop"/>
    <s v="Conference package high-level"/>
    <n v="35000"/>
    <m/>
    <m/>
    <n v="0"/>
    <m/>
    <m/>
    <n v="0"/>
    <m/>
    <m/>
    <n v="0"/>
    <m/>
    <m/>
    <n v="0"/>
    <m/>
    <m/>
    <n v="0"/>
    <m/>
    <m/>
    <n v="0"/>
    <m/>
    <m/>
    <n v="0"/>
    <m/>
    <m/>
    <n v="0"/>
    <n v="0"/>
    <n v="0"/>
  </r>
  <r>
    <s v="4.3.1.2"/>
    <x v="0"/>
    <x v="0"/>
    <x v="1"/>
    <x v="1"/>
    <n v="1"/>
    <x v="14"/>
    <x v="14"/>
    <s v="Capacitate decentralized and community health oversight structures (e.g., Health and Environmental Committee; Health Centre Management Committees) on grant making and governance"/>
    <s v="Hold a 5 day validation workshop"/>
    <s v="DSA (excl. lunch)"/>
    <n v="39000"/>
    <m/>
    <m/>
    <n v="0"/>
    <n v="58"/>
    <n v="6"/>
    <n v="15511725.128483998"/>
    <m/>
    <m/>
    <n v="0"/>
    <m/>
    <m/>
    <n v="0"/>
    <n v="58"/>
    <n v="6"/>
    <n v="23158415.862759583"/>
    <m/>
    <m/>
    <n v="0"/>
    <m/>
    <m/>
    <n v="0"/>
    <n v="58"/>
    <n v="6"/>
    <n v="34574634.402700365"/>
    <n v="73244775.393943936"/>
    <n v="71111.432421304795"/>
  </r>
  <r>
    <s v="4.3.1.2"/>
    <x v="0"/>
    <x v="0"/>
    <x v="1"/>
    <x v="1"/>
    <n v="1"/>
    <x v="14"/>
    <x v="14"/>
    <s v="Capacitate decentralized and community health oversight structures (e.g., Health and Environmental Committee; Health Centre Management Committees) on grant making and governance"/>
    <s v="Hold a 5 day validation workshop"/>
    <s v="Fuel for travelling participants"/>
    <n v="211.42857142857142"/>
    <m/>
    <m/>
    <n v="0"/>
    <n v="22500"/>
    <n v="1"/>
    <n v="5437038.9328714283"/>
    <m/>
    <m/>
    <n v="0"/>
    <m/>
    <m/>
    <n v="0"/>
    <n v="22500"/>
    <n v="1"/>
    <n v="8117292.4111605193"/>
    <m/>
    <m/>
    <n v="0"/>
    <m/>
    <m/>
    <n v="0"/>
    <n v="22500"/>
    <n v="1"/>
    <n v="12118808.951306494"/>
    <n v="25673140.295338444"/>
    <n v="24925.378927513051"/>
  </r>
  <r>
    <s v="4.3.1.2"/>
    <x v="0"/>
    <x v="0"/>
    <x v="1"/>
    <x v="1"/>
    <n v="1"/>
    <x v="14"/>
    <x v="14"/>
    <s v="Capacitate decentralized and community health oversight structures (e.g., Health and Environmental Committee; Health Centre Management Committees) on grant making and governance"/>
    <s v="Hold a 5 day validation workshop"/>
    <s v="Local running (diesel, per km)"/>
    <n v="211.42857142857142"/>
    <m/>
    <m/>
    <n v="0"/>
    <n v="1450"/>
    <n v="5"/>
    <n v="1751934.7672585712"/>
    <m/>
    <m/>
    <n v="0"/>
    <m/>
    <m/>
    <n v="0"/>
    <n v="1450"/>
    <n v="5"/>
    <n v="2615571.999151723"/>
    <m/>
    <m/>
    <n v="0"/>
    <m/>
    <m/>
    <n v="0"/>
    <n v="1450"/>
    <n v="5"/>
    <n v="3904949.5509765372"/>
    <n v="8272456.3173868312"/>
    <n v="8031.5109877542054"/>
  </r>
  <r>
    <s v="4.3.1.2"/>
    <x v="0"/>
    <x v="0"/>
    <x v="1"/>
    <x v="1"/>
    <n v="1"/>
    <x v="14"/>
    <x v="14"/>
    <s v="Capacitate decentralized and community health oversight structures (e.g., Health and Environmental Committee; Health Centre Management Committees) on grant making and governance"/>
    <s v="Conduct trainings  in all 5 zones"/>
    <s v="DSA (excl. lunch)"/>
    <n v="39000"/>
    <m/>
    <m/>
    <n v="0"/>
    <n v="2090"/>
    <n v="5"/>
    <n v="465797493.08234996"/>
    <n v="0"/>
    <n v="0"/>
    <n v="0"/>
    <n v="0"/>
    <n v="0"/>
    <n v="0"/>
    <n v="2090"/>
    <n v="5"/>
    <n v="695417947.60298181"/>
    <m/>
    <m/>
    <n v="0"/>
    <m/>
    <m/>
    <n v="0"/>
    <n v="2090"/>
    <n v="5"/>
    <n v="1038232556.0581002"/>
    <n v="2199447996.743432"/>
    <n v="2135386.4046052736"/>
  </r>
  <r>
    <s v="4.3.1.2"/>
    <x v="0"/>
    <x v="0"/>
    <x v="1"/>
    <x v="1"/>
    <n v="1"/>
    <x v="14"/>
    <x v="14"/>
    <s v="Capacitate decentralized and community health oversight structures (e.g., Health and Environmental Committee; Health Centre Management Committees) on grant making and governance"/>
    <s v="Conduct trainings  in all 5 zones"/>
    <s v="Conference package high-level"/>
    <n v="35000"/>
    <m/>
    <m/>
    <n v="0"/>
    <n v="2090"/>
    <n v="5"/>
    <n v="418023391.22774994"/>
    <n v="0"/>
    <n v="0"/>
    <n v="0"/>
    <n v="0"/>
    <n v="0"/>
    <n v="0"/>
    <n v="2090"/>
    <n v="5"/>
    <n v="624093029.90011191"/>
    <m/>
    <m/>
    <n v="0"/>
    <m/>
    <m/>
    <n v="0"/>
    <n v="2090"/>
    <n v="5"/>
    <n v="931747165.69316685"/>
    <n v="1973863586.8210287"/>
    <n v="1916372.4143893484"/>
  </r>
  <r>
    <s v="4.3.1.2"/>
    <x v="0"/>
    <x v="0"/>
    <x v="1"/>
    <x v="1"/>
    <n v="1"/>
    <x v="14"/>
    <x v="14"/>
    <s v="Capacitate decentralized and community health oversight structures (e.g., Health and Environmental Committee; Health Centre Management Committees) on grant making and governance"/>
    <s v="Conduct trainings  in all 5 zones"/>
    <s v="Local running (diesel, per km)-10 cars per district at 50km per day"/>
    <n v="211.42857142857142"/>
    <m/>
    <m/>
    <n v="0"/>
    <n v="14500"/>
    <n v="2"/>
    <n v="7007739.0690342849"/>
    <n v="0"/>
    <n v="0"/>
    <n v="0"/>
    <n v="0"/>
    <n v="0"/>
    <n v="0"/>
    <n v="14500"/>
    <n v="2"/>
    <n v="10462287.996606892"/>
    <m/>
    <m/>
    <n v="0"/>
    <m/>
    <m/>
    <n v="0"/>
    <n v="14500"/>
    <n v="2"/>
    <n v="15619798.203906149"/>
    <n v="33089825.269547325"/>
    <n v="32126.043951016822"/>
  </r>
  <r>
    <s v="4.3.1.2"/>
    <x v="0"/>
    <x v="0"/>
    <x v="1"/>
    <x v="1"/>
    <n v="1"/>
    <x v="14"/>
    <x v="14"/>
    <s v="Capacitate decentralized and community health oversight structures (e.g., Health and Environmental Committee; Health Centre Management Committees) on grant making and governance"/>
    <s v="Conduct trainings  in all 5 zones"/>
    <s v="Fuel for travelling participants- 10 cars per district at 50km per day"/>
    <n v="211.42857142857142"/>
    <m/>
    <m/>
    <n v="0"/>
    <n v="45000"/>
    <n v="2"/>
    <n v="21748155.731485713"/>
    <m/>
    <m/>
    <n v="0"/>
    <m/>
    <m/>
    <n v="0"/>
    <n v="45000"/>
    <n v="2"/>
    <n v="32469169.644642077"/>
    <m/>
    <m/>
    <n v="0"/>
    <m/>
    <m/>
    <n v="0"/>
    <n v="45000"/>
    <n v="2"/>
    <n v="48475235.805225976"/>
    <n v="102692561.18135378"/>
    <n v="99701.515710052205"/>
  </r>
  <r>
    <s v="4.3.1.2"/>
    <x v="0"/>
    <x v="0"/>
    <x v="1"/>
    <x v="1"/>
    <n v="1"/>
    <x v="14"/>
    <x v="14"/>
    <s v="Capacitate decentralized and community health oversight structures (e.g., Health and Environmental Committee; Health Centre Management Committees) on grant making and governance"/>
    <s v="Report writing with clear action points (cost on consultant)"/>
    <s v="zero cost"/>
    <n v="0"/>
    <m/>
    <m/>
    <n v="0"/>
    <n v="40000"/>
    <n v="1"/>
    <n v="0"/>
    <n v="0"/>
    <n v="0"/>
    <n v="0"/>
    <n v="0"/>
    <n v="0"/>
    <n v="0"/>
    <n v="40000"/>
    <n v="1"/>
    <n v="0"/>
    <m/>
    <m/>
    <n v="0"/>
    <m/>
    <m/>
    <n v="0"/>
    <n v="40000"/>
    <n v="1"/>
    <n v="0"/>
    <n v="0"/>
    <n v="0"/>
  </r>
  <r>
    <s v="4.3.1.2"/>
    <x v="0"/>
    <x v="0"/>
    <x v="1"/>
    <x v="1"/>
    <n v="1"/>
    <x v="14"/>
    <x v="14"/>
    <s v="Capacitate decentralized and community health oversight structures (e.g., Health and Environmental Committee; Health Centre Management Committees) on grant making and governance"/>
    <s v="Conduct dissemination workshop"/>
    <s v="Conference package high-level"/>
    <n v="35000"/>
    <m/>
    <m/>
    <n v="0"/>
    <n v="100"/>
    <n v="1"/>
    <n v="4000223.8394999993"/>
    <n v="0"/>
    <n v="0"/>
    <n v="0"/>
    <n v="0"/>
    <n v="0"/>
    <n v="0"/>
    <n v="100"/>
    <n v="1"/>
    <n v="5972182.1043072902"/>
    <m/>
    <m/>
    <n v="0"/>
    <m/>
    <m/>
    <n v="0"/>
    <n v="100"/>
    <n v="1"/>
    <n v="8916240.8200303055"/>
    <n v="18888646.763837595"/>
    <n v="18338.49200372582"/>
  </r>
  <r>
    <s v="4.3.1.2"/>
    <x v="0"/>
    <x v="0"/>
    <x v="1"/>
    <x v="1"/>
    <n v="1"/>
    <x v="14"/>
    <x v="14"/>
    <s v="Capacitate decentralized and community health oversight structures (e.g., Health and Environmental Committee; Health Centre Management Committees) on grant making and governance"/>
    <s v="Conduct dissemination workshop"/>
    <s v="A4, 500 pages, 140 gsm paper"/>
    <n v="8000"/>
    <m/>
    <m/>
    <n v="0"/>
    <n v="10"/>
    <n v="1"/>
    <n v="91433.687760000001"/>
    <n v="0"/>
    <n v="0"/>
    <n v="0"/>
    <n v="0"/>
    <n v="0"/>
    <n v="0"/>
    <n v="10"/>
    <n v="1"/>
    <n v="136507.01952702377"/>
    <m/>
    <m/>
    <n v="0"/>
    <m/>
    <m/>
    <n v="0"/>
    <n v="10"/>
    <n v="1"/>
    <n v="203799.79017212125"/>
    <n v="431740.49745914503"/>
    <n v="419.16553151373301"/>
  </r>
  <r>
    <s v="4.3.1.2"/>
    <x v="0"/>
    <x v="0"/>
    <x v="1"/>
    <x v="1"/>
    <n v="1"/>
    <x v="14"/>
    <x v="14"/>
    <s v="Capacitate decentralized and community health oversight structures (e.g., Health and Environmental Committee; Health Centre Management Committees) on grant making and governance"/>
    <s v="Conduct dissemination workshop"/>
    <s v="Toner"/>
    <n v="104850"/>
    <n v="1"/>
    <n v="1"/>
    <n v="104850"/>
    <n v="1"/>
    <n v="1"/>
    <n v="119835.27702044998"/>
    <n v="0"/>
    <n v="0"/>
    <n v="0"/>
    <n v="0"/>
    <n v="0"/>
    <n v="0"/>
    <n v="1"/>
    <n v="1"/>
    <n v="178909.51246760553"/>
    <m/>
    <m/>
    <n v="0"/>
    <m/>
    <m/>
    <n v="0"/>
    <n v="1"/>
    <n v="1"/>
    <n v="267105.09999433643"/>
    <n v="670699.889482392"/>
    <n v="651.16494124504072"/>
  </r>
  <r>
    <s v="4.3.1.2"/>
    <x v="0"/>
    <x v="0"/>
    <x v="1"/>
    <x v="1"/>
    <n v="1"/>
    <x v="14"/>
    <x v="14"/>
    <s v="Capacitate decentralized and community health oversight structures (e.g., Health and Environmental Committee; Health Centre Management Committees) on grant making and governance"/>
    <s v="Conduct dissemination workshop"/>
    <s v="Local running (diesel, per km)"/>
    <n v="211.42857142857142"/>
    <m/>
    <m/>
    <n v="0"/>
    <n v="58"/>
    <n v="10"/>
    <n v="140154.78138068569"/>
    <n v="0"/>
    <n v="0"/>
    <n v="0"/>
    <n v="0"/>
    <n v="0"/>
    <n v="0"/>
    <n v="58"/>
    <n v="10"/>
    <n v="209245.75993213785"/>
    <m/>
    <m/>
    <n v="0"/>
    <m/>
    <m/>
    <n v="0"/>
    <n v="58"/>
    <n v="10"/>
    <n v="312395.96407812298"/>
    <n v="661796.50539094652"/>
    <n v="642.52087902033645"/>
  </r>
  <r>
    <s v="4.3.1.2"/>
    <x v="0"/>
    <x v="0"/>
    <x v="1"/>
    <x v="1"/>
    <n v="1"/>
    <x v="14"/>
    <x v="14"/>
    <s v="Capacitate decentralized and community health oversight structures (e.g., Health and Environmental Committee; Health Centre Management Committees) on grant making and governance"/>
    <s v="Conduct dissemination workshop"/>
    <s v="Fuel for travelling participants"/>
    <n v="211.42857142857142"/>
    <m/>
    <m/>
    <n v="0"/>
    <n v="22500"/>
    <n v="10"/>
    <n v="54370389.328714281"/>
    <m/>
    <m/>
    <n v="0"/>
    <m/>
    <m/>
    <n v="0"/>
    <n v="22500"/>
    <n v="10"/>
    <n v="81172924.111605197"/>
    <m/>
    <m/>
    <n v="0"/>
    <m/>
    <m/>
    <n v="0"/>
    <n v="22500"/>
    <n v="10"/>
    <n v="121188089.51306494"/>
    <n v="256731402.9533844"/>
    <n v="249253.78927513049"/>
  </r>
  <r>
    <s v="4.3.1.2"/>
    <x v="0"/>
    <x v="0"/>
    <x v="1"/>
    <x v="1"/>
    <n v="2"/>
    <x v="15"/>
    <x v="15"/>
    <s v="Develop governance mechanisms for the collection and management of locally mobilised resources"/>
    <s v="develop a concept note on the establishment of governance mechanisms for the collection and management of locally mobilised resources "/>
    <s v="Zero cost"/>
    <n v="0"/>
    <n v="20000"/>
    <n v="1"/>
    <n v="0"/>
    <n v="0"/>
    <n v="0"/>
    <n v="0"/>
    <n v="0"/>
    <n v="0"/>
    <n v="0"/>
    <n v="20000"/>
    <n v="1"/>
    <n v="0"/>
    <n v="0"/>
    <n v="0"/>
    <n v="0"/>
    <n v="20000"/>
    <n v="1"/>
    <n v="0"/>
    <n v="20000"/>
    <n v="1"/>
    <n v="0"/>
    <m/>
    <m/>
    <n v="0"/>
    <n v="0"/>
    <n v="0"/>
  </r>
  <r>
    <s v="4.3.1.2"/>
    <x v="0"/>
    <x v="0"/>
    <x v="1"/>
    <x v="1"/>
    <n v="2"/>
    <x v="15"/>
    <x v="15"/>
    <s v="Develop governance mechanisms for the collection and management of locally mobilised resources"/>
    <s v="Set up a taskforce"/>
    <s v="zero cost"/>
    <n v="0"/>
    <n v="0"/>
    <n v="0"/>
    <n v="0"/>
    <n v="0"/>
    <n v="0"/>
    <n v="0"/>
    <n v="0"/>
    <n v="0"/>
    <n v="0"/>
    <n v="0"/>
    <n v="0"/>
    <n v="0"/>
    <n v="0"/>
    <n v="0"/>
    <n v="0"/>
    <n v="0"/>
    <n v="0"/>
    <n v="0"/>
    <n v="0"/>
    <n v="0"/>
    <n v="0"/>
    <m/>
    <m/>
    <n v="0"/>
    <n v="0"/>
    <n v="0"/>
  </r>
  <r>
    <s v="4.3.1.2"/>
    <x v="0"/>
    <x v="0"/>
    <x v="1"/>
    <x v="1"/>
    <n v="2"/>
    <x v="15"/>
    <x v="15"/>
    <s v="Develop governance mechanisms for the collection and management of locally mobilised resources"/>
    <s v="Develop TORs for a consultant"/>
    <s v="zero cost"/>
    <n v="0"/>
    <n v="0"/>
    <n v="0"/>
    <n v="0"/>
    <n v="0"/>
    <n v="0"/>
    <n v="0"/>
    <n v="2"/>
    <n v="2"/>
    <n v="0"/>
    <n v="0"/>
    <n v="0"/>
    <n v="0"/>
    <n v="0"/>
    <n v="0"/>
    <n v="0"/>
    <n v="0"/>
    <n v="0"/>
    <n v="0"/>
    <n v="0"/>
    <n v="0"/>
    <n v="0"/>
    <m/>
    <m/>
    <n v="0"/>
    <n v="0"/>
    <n v="0"/>
  </r>
  <r>
    <s v="4.3.1.2"/>
    <x v="0"/>
    <x v="0"/>
    <x v="1"/>
    <x v="1"/>
    <n v="2"/>
    <x v="15"/>
    <x v="15"/>
    <s v="Develop governance mechanisms for the collection and management of locally mobilised resources"/>
    <s v="Recruitment of a consultant"/>
    <s v="Newspaper advert (full)"/>
    <n v="391991.03749999998"/>
    <n v="2"/>
    <n v="2"/>
    <n v="1567964.15"/>
    <n v="0"/>
    <n v="0"/>
    <n v="0"/>
    <n v="1"/>
    <n v="25"/>
    <n v="12801139.927067498"/>
    <n v="2"/>
    <n v="2"/>
    <n v="2340910.8621271173"/>
    <n v="0"/>
    <n v="0"/>
    <n v="0"/>
    <n v="2"/>
    <n v="2"/>
    <n v="3057858.4341109009"/>
    <n v="2"/>
    <n v="2"/>
    <n v="3494890.915984733"/>
    <m/>
    <m/>
    <n v="0"/>
    <n v="23262764.289290249"/>
    <n v="22585.208047854612"/>
  </r>
  <r>
    <s v="4.3.1.2"/>
    <x v="0"/>
    <x v="0"/>
    <x v="1"/>
    <x v="1"/>
    <n v="2"/>
    <x v="15"/>
    <x v="15"/>
    <s v="Develop governance mechanisms for the collection and management of locally mobilised resources"/>
    <s v="Recruitment of a consultant"/>
    <s v="Local consultant fee - High level"/>
    <n v="511000"/>
    <n v="1"/>
    <n v="25"/>
    <n v="12775000"/>
    <n v="1"/>
    <n v="4"/>
    <n v="2336130.7222679998"/>
    <n v="25"/>
    <n v="5"/>
    <n v="83437908.994685769"/>
    <n v="1"/>
    <n v="25"/>
    <n v="19072589.295918483"/>
    <n v="0"/>
    <n v="0"/>
    <n v="0"/>
    <n v="1"/>
    <n v="30"/>
    <n v="29896710.198967312"/>
    <n v="1"/>
    <n v="25"/>
    <n v="28474650.681079004"/>
    <m/>
    <m/>
    <n v="0"/>
    <n v="175992989.89291856"/>
    <n v="170866.98047856172"/>
  </r>
  <r>
    <s v="4.3.1.2"/>
    <x v="0"/>
    <x v="0"/>
    <x v="1"/>
    <x v="1"/>
    <n v="2"/>
    <x v="15"/>
    <x v="15"/>
    <s v="Develop governance mechanisms for the collection and management of locally mobilised resources"/>
    <s v="develop a data collection tool "/>
    <s v="Conference package high-level"/>
    <n v="35000"/>
    <n v="25"/>
    <n v="5"/>
    <n v="4375000"/>
    <n v="1"/>
    <n v="40"/>
    <n v="1600089.5357999997"/>
    <n v="25"/>
    <n v="6"/>
    <n v="6857910.3283303371"/>
    <n v="25"/>
    <n v="5"/>
    <n v="6531708.6629857821"/>
    <n v="0"/>
    <n v="0"/>
    <n v="0"/>
    <n v="25"/>
    <n v="5"/>
    <n v="8532166.152673319"/>
    <n v="25"/>
    <n v="5"/>
    <n v="9751592.6989996582"/>
    <m/>
    <m/>
    <n v="0"/>
    <n v="37648467.378789097"/>
    <n v="36551.91007649427"/>
  </r>
  <r>
    <s v="4.3.1.2"/>
    <x v="0"/>
    <x v="0"/>
    <x v="1"/>
    <x v="1"/>
    <n v="2"/>
    <x v="15"/>
    <x v="15"/>
    <s v="Develop governance mechanisms for the collection and management of locally mobilised resources"/>
    <s v="develop a data collection tool "/>
    <s v="DSA (excl. lunch)"/>
    <n v="39000"/>
    <n v="25"/>
    <n v="6"/>
    <n v="5850000"/>
    <m/>
    <m/>
    <n v="0"/>
    <n v="2430"/>
    <n v="1"/>
    <n v="123795078.44111733"/>
    <n v="25"/>
    <n v="6"/>
    <n v="8733827.5836495608"/>
    <m/>
    <m/>
    <n v="0"/>
    <n v="25"/>
    <n v="6"/>
    <n v="11408725.027003182"/>
    <n v="25"/>
    <n v="6"/>
    <n v="13039272.523233831"/>
    <m/>
    <m/>
    <n v="0"/>
    <n v="162826903.57500389"/>
    <n v="158084.3724029164"/>
  </r>
  <r>
    <s v="4.3.1.2"/>
    <x v="0"/>
    <x v="0"/>
    <x v="1"/>
    <x v="1"/>
    <n v="2"/>
    <x v="15"/>
    <x v="15"/>
    <s v="Develop governance mechanisms for the collection and management of locally mobilised resources"/>
    <s v="develop a data collection tool "/>
    <s v="Fuel for travelling participants"/>
    <n v="211.42857142857142"/>
    <n v="2430"/>
    <n v="1"/>
    <n v="513771.42857142852"/>
    <m/>
    <m/>
    <n v="0"/>
    <n v="450"/>
    <n v="5"/>
    <n v="621410.65015891218"/>
    <n v="2430"/>
    <n v="1"/>
    <n v="767041.20932447549"/>
    <m/>
    <m/>
    <n v="0"/>
    <n v="2430"/>
    <n v="1"/>
    <n v="1001961.8727012025"/>
    <n v="2430"/>
    <n v="1"/>
    <n v="1145163.3626998325"/>
    <m/>
    <m/>
    <n v="0"/>
    <n v="4049348.5234558508"/>
    <n v="3931.4063334522825"/>
  </r>
  <r>
    <s v="4.3.1.2"/>
    <x v="0"/>
    <x v="0"/>
    <x v="1"/>
    <x v="1"/>
    <n v="2"/>
    <x v="15"/>
    <x v="15"/>
    <s v="Develop governance mechanisms for the collection and management of locally mobilised resources"/>
    <s v="develop a data collection tool "/>
    <s v="Local running (diesel, per km)"/>
    <n v="211.42857142857142"/>
    <n v="450"/>
    <n v="5"/>
    <n v="475714.28571428568"/>
    <m/>
    <m/>
    <n v="0"/>
    <n v="0"/>
    <n v="0"/>
    <n v="0"/>
    <n v="450"/>
    <n v="5"/>
    <n v="710223.34196710703"/>
    <m/>
    <m/>
    <n v="0"/>
    <n v="450"/>
    <n v="5"/>
    <n v="927742.47472333559"/>
    <n v="450"/>
    <n v="5"/>
    <n v="1060336.4469442894"/>
    <m/>
    <m/>
    <n v="0"/>
    <n v="3174016.5493490179"/>
    <n v="3081.5694653873961"/>
  </r>
  <r>
    <s v="4.3.1.2"/>
    <x v="0"/>
    <x v="0"/>
    <x v="1"/>
    <x v="1"/>
    <n v="2"/>
    <x v="15"/>
    <x v="15"/>
    <s v="Develop governance mechanisms for the collection and management of locally mobilised resources"/>
    <s v="recruit research assistants "/>
    <s v="zero cost"/>
    <n v="0"/>
    <n v="0"/>
    <n v="0"/>
    <n v="0"/>
    <n v="5"/>
    <n v="14"/>
    <n v="0"/>
    <n v="25"/>
    <n v="5"/>
    <n v="0"/>
    <n v="0"/>
    <n v="0"/>
    <n v="0"/>
    <n v="0"/>
    <n v="0"/>
    <n v="0"/>
    <n v="0"/>
    <n v="0"/>
    <n v="0"/>
    <n v="0"/>
    <n v="0"/>
    <n v="0"/>
    <m/>
    <m/>
    <n v="0"/>
    <n v="0"/>
    <n v="0"/>
  </r>
  <r>
    <s v="4.3.1.2"/>
    <x v="0"/>
    <x v="0"/>
    <x v="1"/>
    <x v="1"/>
    <n v="2"/>
    <x v="15"/>
    <x v="15"/>
    <s v="Develop governance mechanisms for the collection and management of locally mobilised resources"/>
    <s v="conduct training on the data collection tool "/>
    <s v="Conference package high-level"/>
    <n v="35000"/>
    <n v="25"/>
    <n v="5"/>
    <n v="4375000"/>
    <n v="15"/>
    <n v="1"/>
    <n v="600033.5759249999"/>
    <n v="10"/>
    <n v="1"/>
    <n v="457194.02188868908"/>
    <n v="25"/>
    <n v="5"/>
    <n v="6531708.6629857821"/>
    <n v="0"/>
    <n v="0"/>
    <n v="0"/>
    <n v="25"/>
    <n v="5"/>
    <n v="8532166.152673319"/>
    <n v="25"/>
    <n v="5"/>
    <n v="9751592.6989996582"/>
    <m/>
    <m/>
    <n v="0"/>
    <n v="30247695.112472448"/>
    <n v="29366.694283953835"/>
  </r>
  <r>
    <s v="4.3.1.2"/>
    <x v="0"/>
    <x v="0"/>
    <x v="1"/>
    <x v="1"/>
    <n v="2"/>
    <x v="15"/>
    <x v="15"/>
    <s v="Develop governance mechanisms for the collection and management of locally mobilised resources"/>
    <s v="conduct training on the data collection tool "/>
    <s v="A4, 500 pages, 140 gsm paper"/>
    <n v="8000"/>
    <n v="10"/>
    <n v="1"/>
    <n v="80000"/>
    <n v="25"/>
    <n v="3"/>
    <n v="685752.65819999995"/>
    <n v="1"/>
    <n v="1"/>
    <n v="10450.149071741465"/>
    <n v="10"/>
    <n v="1"/>
    <n v="119436.95840888287"/>
    <n v="0"/>
    <n v="0"/>
    <n v="0"/>
    <n v="10"/>
    <n v="1"/>
    <n v="156016.75250602642"/>
    <n v="10"/>
    <n v="1"/>
    <n v="178314.83792456522"/>
    <m/>
    <m/>
    <n v="0"/>
    <n v="1229971.3561112159"/>
    <n v="1194.1469476807922"/>
  </r>
  <r>
    <s v="4.3.1.2"/>
    <x v="0"/>
    <x v="0"/>
    <x v="1"/>
    <x v="1"/>
    <n v="2"/>
    <x v="15"/>
    <x v="15"/>
    <s v="Develop governance mechanisms for the collection and management of locally mobilised resources"/>
    <s v="conduct training on the data collection tool "/>
    <s v="Toner"/>
    <n v="104850"/>
    <n v="1"/>
    <n v="1"/>
    <n v="104850"/>
    <n v="5000"/>
    <n v="1"/>
    <n v="599176385.10224986"/>
    <n v="25"/>
    <n v="5"/>
    <n v="17120283.283938948"/>
    <n v="1"/>
    <n v="1"/>
    <n v="156537.0636146421"/>
    <n v="0"/>
    <n v="0"/>
    <n v="0"/>
    <n v="1"/>
    <n v="1"/>
    <n v="204479.45625321087"/>
    <n v="1"/>
    <n v="1"/>
    <n v="233703.88445488326"/>
    <m/>
    <m/>
    <n v="0"/>
    <n v="616996238.79051149"/>
    <n v="599025.4745538946"/>
  </r>
  <r>
    <s v="4.3.1.2"/>
    <x v="0"/>
    <x v="0"/>
    <x v="1"/>
    <x v="1"/>
    <n v="2"/>
    <x v="15"/>
    <x v="15"/>
    <s v="Develop governance mechanisms for the collection and management of locally mobilised resources"/>
    <s v="pretesting of the data collection tool"/>
    <s v="Full DSA"/>
    <n v="45000"/>
    <n v="25"/>
    <n v="5"/>
    <n v="5625000"/>
    <n v="1"/>
    <n v="1"/>
    <n v="51431.449364999993"/>
    <n v="25"/>
    <n v="10"/>
    <n v="14695522.132136438"/>
    <n v="25"/>
    <n v="5"/>
    <n v="8397911.1381245758"/>
    <n v="0"/>
    <n v="0"/>
    <n v="0"/>
    <n v="25"/>
    <n v="5"/>
    <n v="10969927.910579981"/>
    <n v="25"/>
    <n v="5"/>
    <n v="12537762.041570991"/>
    <m/>
    <m/>
    <n v="0"/>
    <n v="52277554.671776988"/>
    <n v="50754.907448327169"/>
  </r>
  <r>
    <s v="4.3.1.2"/>
    <x v="0"/>
    <x v="0"/>
    <x v="1"/>
    <x v="1"/>
    <n v="2"/>
    <x v="15"/>
    <x v="15"/>
    <s v="Develop governance mechanisms for the collection and management of locally mobilised resources"/>
    <s v="pretesting of the data collection tool"/>
    <s v="Local running (diesel, per km)"/>
    <n v="211.42857142857142"/>
    <n v="25"/>
    <n v="10"/>
    <n v="52857.142857142855"/>
    <n v="25"/>
    <n v="1"/>
    <n v="6041.1543698571422"/>
    <n v="22500"/>
    <n v="5"/>
    <n v="31070532.507945605"/>
    <n v="25"/>
    <n v="10"/>
    <n v="78913.704663011886"/>
    <n v="0"/>
    <n v="0"/>
    <n v="0"/>
    <n v="25"/>
    <n v="10"/>
    <n v="103082.49719148174"/>
    <n v="25"/>
    <n v="10"/>
    <n v="117815.1607715877"/>
    <m/>
    <m/>
    <n v="0"/>
    <n v="31429242.167798683"/>
    <n v="30513.827347377362"/>
  </r>
  <r>
    <s v="4.3.1.2"/>
    <x v="0"/>
    <x v="0"/>
    <x v="1"/>
    <x v="1"/>
    <n v="2"/>
    <x v="15"/>
    <x v="15"/>
    <s v="Develop governance mechanisms for the collection and management of locally mobilised resources"/>
    <s v="pretesting of the data collection tool"/>
    <s v="Fuel for travelling participants"/>
    <n v="211.42857142857142"/>
    <n v="22500"/>
    <n v="5"/>
    <n v="23785714.285714287"/>
    <m/>
    <m/>
    <n v="0"/>
    <n v="25"/>
    <n v="5"/>
    <n v="34522.813897717344"/>
    <n v="22500"/>
    <n v="5"/>
    <n v="35511167.098355353"/>
    <m/>
    <m/>
    <n v="0"/>
    <n v="22500"/>
    <n v="5"/>
    <n v="46387123.736166775"/>
    <n v="22500"/>
    <n v="5"/>
    <n v="53016822.347214475"/>
    <m/>
    <m/>
    <n v="0"/>
    <n v="158735350.28134859"/>
    <n v="154111.9905644161"/>
  </r>
  <r>
    <s v="4.3.1.2"/>
    <x v="0"/>
    <x v="0"/>
    <x v="1"/>
    <x v="1"/>
    <n v="2"/>
    <x v="15"/>
    <x v="15"/>
    <s v="Develop governance mechanisms for the collection and management of locally mobilised resources"/>
    <s v="Data collection "/>
    <s v="Full DSA"/>
    <n v="45000"/>
    <n v="25"/>
    <n v="5"/>
    <n v="5625000"/>
    <n v="4000"/>
    <n v="1"/>
    <n v="205725797.45999998"/>
    <n v="25"/>
    <n v="5"/>
    <n v="7347761.066068219"/>
    <n v="25"/>
    <n v="5"/>
    <n v="8397911.1381245758"/>
    <n v="0"/>
    <n v="0"/>
    <n v="0"/>
    <n v="25"/>
    <n v="5"/>
    <n v="10969927.910579981"/>
    <n v="25"/>
    <n v="5"/>
    <n v="12537762.041570991"/>
    <m/>
    <m/>
    <n v="0"/>
    <n v="250604159.61634377"/>
    <n v="243305.00933625607"/>
  </r>
  <r>
    <s v="4.3.1.2"/>
    <x v="0"/>
    <x v="0"/>
    <x v="1"/>
    <x v="1"/>
    <n v="2"/>
    <x v="15"/>
    <x v="15"/>
    <s v="Develop governance mechanisms for the collection and management of locally mobilised resources"/>
    <s v="Data collection "/>
    <s v="Local running (diesel, per km)"/>
    <n v="211.42857142857142"/>
    <n v="25"/>
    <n v="5"/>
    <n v="26428.571428571428"/>
    <n v="25"/>
    <n v="10"/>
    <n v="60411.543698571419"/>
    <n v="15"/>
    <n v="1"/>
    <n v="4142.7376677260809"/>
    <n v="25"/>
    <n v="5"/>
    <n v="39456.852331505943"/>
    <n v="0"/>
    <n v="0"/>
    <n v="0"/>
    <n v="25"/>
    <n v="5"/>
    <n v="51541.248595740872"/>
    <n v="25"/>
    <n v="5"/>
    <n v="58907.580385793852"/>
    <m/>
    <m/>
    <n v="0"/>
    <n v="240888.53410790957"/>
    <n v="233.87236321156269"/>
  </r>
  <r>
    <s v="4.3.1.2"/>
    <x v="0"/>
    <x v="0"/>
    <x v="1"/>
    <x v="1"/>
    <n v="2"/>
    <x v="15"/>
    <x v="15"/>
    <s v="Develop governance mechanisms for the collection and management of locally mobilised resources"/>
    <s v="Data collection "/>
    <s v="Airtime for Research Assistant"/>
    <n v="10000"/>
    <n v="15"/>
    <n v="1"/>
    <n v="150000"/>
    <n v="20000"/>
    <n v="1"/>
    <n v="228584219.39999998"/>
    <n v="15"/>
    <n v="1"/>
    <n v="195940.29509515248"/>
    <n v="15"/>
    <n v="1"/>
    <n v="223944.29701665539"/>
    <n v="0"/>
    <n v="0"/>
    <n v="0"/>
    <n v="15"/>
    <n v="1"/>
    <n v="292531.41094879952"/>
    <n v="15"/>
    <n v="1"/>
    <n v="334340.32110855979"/>
    <m/>
    <m/>
    <n v="0"/>
    <n v="229780975.72416914"/>
    <n v="223088.32594579528"/>
  </r>
  <r>
    <s v="4.3.1.2"/>
    <x v="0"/>
    <x v="0"/>
    <x v="1"/>
    <x v="1"/>
    <n v="2"/>
    <x v="15"/>
    <x v="15"/>
    <s v="Develop governance mechanisms for the collection and management of locally mobilised resources"/>
    <s v="Data collection "/>
    <s v="Tablet"/>
    <n v="302000"/>
    <n v="15"/>
    <n v="1"/>
    <n v="4530000"/>
    <n v="25"/>
    <n v="1"/>
    <n v="8629054.2823499981"/>
    <n v="15"/>
    <n v="5"/>
    <n v="29586984.559368026"/>
    <n v="15"/>
    <n v="1"/>
    <n v="6763117.7699029921"/>
    <n v="0"/>
    <n v="0"/>
    <n v="0"/>
    <n v="15"/>
    <n v="1"/>
    <n v="8834448.6106537469"/>
    <n v="15"/>
    <n v="1"/>
    <n v="10097077.697478505"/>
    <m/>
    <m/>
    <n v="0"/>
    <n v="68440682.919753268"/>
    <n v="66447.264970634234"/>
  </r>
  <r>
    <s v="4.3.1.2"/>
    <x v="0"/>
    <x v="0"/>
    <x v="1"/>
    <x v="1"/>
    <n v="2"/>
    <x v="15"/>
    <x v="15"/>
    <s v="Develop governance mechanisms for the collection and management of locally mobilised resources"/>
    <s v="Data analysis "/>
    <s v="DSA (excl. lunch)"/>
    <n v="39000"/>
    <n v="25"/>
    <n v="5"/>
    <n v="4875000"/>
    <n v="20"/>
    <n v="1"/>
    <n v="891478.45565999986"/>
    <n v="25"/>
    <n v="5"/>
    <n v="6368059.5905924551"/>
    <n v="25"/>
    <n v="5"/>
    <n v="7278189.6530412994"/>
    <n v="0"/>
    <n v="0"/>
    <n v="0"/>
    <n v="15"/>
    <n v="5"/>
    <n v="5704362.5135015901"/>
    <n v="25"/>
    <n v="5"/>
    <n v="10866060.436028194"/>
    <m/>
    <m/>
    <n v="0"/>
    <n v="35983150.648823544"/>
    <n v="34935.097717304408"/>
  </r>
  <r>
    <s v="4.3.1.2"/>
    <x v="0"/>
    <x v="0"/>
    <x v="1"/>
    <x v="1"/>
    <n v="2"/>
    <x v="15"/>
    <x v="15"/>
    <s v="Develop governance mechanisms for the collection and management of locally mobilised resources"/>
    <s v="Data analysis "/>
    <s v="Conference package high-level"/>
    <n v="35000"/>
    <n v="25"/>
    <n v="5"/>
    <n v="4375000"/>
    <n v="25"/>
    <n v="5"/>
    <n v="5000279.7993749995"/>
    <n v="25"/>
    <n v="10"/>
    <n v="11429850.547217228"/>
    <n v="25"/>
    <n v="5"/>
    <n v="6531708.6629857821"/>
    <n v="0"/>
    <n v="0"/>
    <n v="0"/>
    <n v="25"/>
    <n v="5"/>
    <n v="8532166.152673319"/>
    <n v="25"/>
    <n v="5"/>
    <n v="9751592.6989996582"/>
    <m/>
    <m/>
    <n v="0"/>
    <n v="45620597.861250982"/>
    <n v="44291.84258373882"/>
  </r>
  <r>
    <s v="4.3.1.2"/>
    <x v="0"/>
    <x v="0"/>
    <x v="1"/>
    <x v="1"/>
    <n v="2"/>
    <x v="15"/>
    <x v="15"/>
    <s v="Develop governance mechanisms for the collection and management of locally mobilised resources"/>
    <s v="Data analysis "/>
    <s v="Local running (diesel, per km)"/>
    <n v="211.42857142857142"/>
    <n v="15"/>
    <n v="10"/>
    <n v="31714.28571428571"/>
    <n v="25"/>
    <n v="5"/>
    <n v="30205.771849285709"/>
    <n v="22500"/>
    <n v="1"/>
    <n v="6214106.5015891213"/>
    <n v="15"/>
    <n v="10"/>
    <n v="47348.222797807131"/>
    <n v="0"/>
    <n v="0"/>
    <n v="0"/>
    <n v="25"/>
    <n v="10"/>
    <n v="103082.49719148174"/>
    <n v="15"/>
    <n v="10"/>
    <n v="70689.096462952628"/>
    <m/>
    <m/>
    <n v="0"/>
    <n v="6497146.3756049341"/>
    <n v="6307.9091025290618"/>
  </r>
  <r>
    <s v="4.3.1.2"/>
    <x v="0"/>
    <x v="0"/>
    <x v="1"/>
    <x v="1"/>
    <n v="2"/>
    <x v="15"/>
    <x v="15"/>
    <s v="Develop governance mechanisms for the collection and management of locally mobilised resources"/>
    <s v="Data analysis "/>
    <s v="Fuel for travelling participants"/>
    <n v="211.42857142857142"/>
    <n v="22500"/>
    <n v="1"/>
    <n v="4757142.8571428573"/>
    <m/>
    <m/>
    <n v="0"/>
    <n v="0"/>
    <n v="0"/>
    <n v="0"/>
    <n v="22500"/>
    <n v="1"/>
    <n v="7102233.4196710698"/>
    <m/>
    <m/>
    <n v="0"/>
    <n v="22500"/>
    <n v="1"/>
    <n v="9277424.7472333554"/>
    <n v="22500"/>
    <n v="1"/>
    <n v="10603364.469442895"/>
    <m/>
    <m/>
    <n v="0"/>
    <n v="31740165.493490182"/>
    <n v="30815.694653873961"/>
  </r>
  <r>
    <s v="4.3.1.2"/>
    <x v="0"/>
    <x v="0"/>
    <x v="1"/>
    <x v="1"/>
    <n v="2"/>
    <x v="15"/>
    <x v="15"/>
    <s v="Develop governance mechanisms for the collection and management of locally mobilised resources"/>
    <s v="Report writing with clear action points and recommendations (cost on consultant)"/>
    <s v="Zero cost"/>
    <n v="0"/>
    <n v="0"/>
    <n v="0"/>
    <n v="0"/>
    <n v="4000"/>
    <n v="1"/>
    <n v="0"/>
    <n v="100"/>
    <n v="1"/>
    <n v="0"/>
    <n v="0"/>
    <n v="0"/>
    <n v="0"/>
    <n v="0"/>
    <n v="0"/>
    <n v="0"/>
    <n v="0"/>
    <n v="0"/>
    <n v="0"/>
    <n v="0"/>
    <n v="0"/>
    <n v="0"/>
    <m/>
    <m/>
    <n v="0"/>
    <n v="0"/>
    <n v="0"/>
  </r>
  <r>
    <s v="4.3.1.2"/>
    <x v="0"/>
    <x v="0"/>
    <x v="1"/>
    <x v="1"/>
    <n v="2"/>
    <x v="15"/>
    <x v="15"/>
    <s v="Develop governance mechanisms for the collection and management of locally mobilised resources"/>
    <s v=" Conduct validation workshop "/>
    <s v="Conference package high-level"/>
    <n v="35000"/>
    <n v="100"/>
    <n v="1"/>
    <n v="3500000"/>
    <n v="10"/>
    <n v="5"/>
    <n v="2000111.9197499997"/>
    <n v="100"/>
    <n v="1"/>
    <n v="4571940.2188868914"/>
    <n v="100"/>
    <n v="1"/>
    <n v="5225366.9303886257"/>
    <n v="0"/>
    <n v="0"/>
    <n v="0"/>
    <n v="100"/>
    <n v="1"/>
    <n v="6825732.9221386546"/>
    <n v="100"/>
    <n v="1"/>
    <n v="7801274.1591997268"/>
    <m/>
    <m/>
    <n v="0"/>
    <n v="29924426.150363896"/>
    <n v="29052.840922683394"/>
  </r>
  <r>
    <s v="4.3.1.2"/>
    <x v="0"/>
    <x v="0"/>
    <x v="1"/>
    <x v="1"/>
    <n v="2"/>
    <x v="15"/>
    <x v="15"/>
    <s v="Develop governance mechanisms for the collection and management of locally mobilised resources"/>
    <s v=" Conduct validation workshop "/>
    <s v="DSA (excl. lunch)"/>
    <n v="39000"/>
    <n v="100"/>
    <n v="1"/>
    <n v="3900000"/>
    <n v="30"/>
    <n v="1"/>
    <n v="1337217.6834899997"/>
    <n v="100"/>
    <n v="1"/>
    <n v="5094447.6724739643"/>
    <n v="100"/>
    <n v="1"/>
    <n v="5822551.7224330399"/>
    <n v="0"/>
    <n v="0"/>
    <n v="0"/>
    <n v="100"/>
    <n v="1"/>
    <n v="7605816.6846687878"/>
    <n v="100"/>
    <n v="1"/>
    <n v="8692848.3488225546"/>
    <m/>
    <m/>
    <n v="0"/>
    <n v="32452882.111888349"/>
    <n v="31507.65253581393"/>
  </r>
  <r>
    <s v="4.3.1.2"/>
    <x v="0"/>
    <x v="0"/>
    <x v="1"/>
    <x v="1"/>
    <n v="2"/>
    <x v="15"/>
    <x v="15"/>
    <s v="Develop governance mechanisms for the collection and management of locally mobilised resources"/>
    <s v=" Conduct validation workshop "/>
    <s v="Local running (diesel, per km)"/>
    <n v="211.42857142857142"/>
    <n v="100"/>
    <n v="1"/>
    <n v="21142.857142857141"/>
    <n v="30"/>
    <n v="1"/>
    <n v="7249.3852438285703"/>
    <n v="22500"/>
    <n v="1"/>
    <n v="6214106.5015891213"/>
    <n v="100"/>
    <n v="1"/>
    <n v="31565.481865204754"/>
    <n v="0"/>
    <n v="0"/>
    <n v="0"/>
    <n v="100"/>
    <n v="1"/>
    <n v="41232.998876592697"/>
    <n v="100"/>
    <n v="1"/>
    <n v="47126.064308635083"/>
    <m/>
    <m/>
    <n v="0"/>
    <n v="6362423.2890262399"/>
    <n v="6177.1099893458641"/>
  </r>
  <r>
    <s v="4.3.1.2"/>
    <x v="0"/>
    <x v="0"/>
    <x v="1"/>
    <x v="1"/>
    <n v="2"/>
    <x v="15"/>
    <x v="15"/>
    <s v="Develop governance mechanisms for the collection and management of locally mobilised resources"/>
    <s v=" Conduct validation workshop "/>
    <s v="Fuel for travelling participants"/>
    <n v="211.42857142857142"/>
    <n v="22500"/>
    <n v="1"/>
    <n v="4757142.8571428573"/>
    <m/>
    <m/>
    <n v="0"/>
    <n v="35"/>
    <n v="1"/>
    <n v="9666.3878913608551"/>
    <n v="22500"/>
    <n v="1"/>
    <n v="7102233.4196710698"/>
    <m/>
    <m/>
    <n v="0"/>
    <n v="22500"/>
    <n v="1"/>
    <n v="9277424.7472333554"/>
    <n v="22500"/>
    <n v="1"/>
    <n v="10603364.469442895"/>
    <m/>
    <m/>
    <n v="0"/>
    <n v="31749831.881381541"/>
    <n v="30825.079496486935"/>
  </r>
  <r>
    <s v="4.3.1.2"/>
    <x v="0"/>
    <x v="0"/>
    <x v="1"/>
    <x v="1"/>
    <n v="2"/>
    <x v="15"/>
    <x v="15"/>
    <s v="Develop governance mechanisms for the collection and management of locally mobilised resources"/>
    <s v="Present to service delivery TWG"/>
    <s v="Conference package high-level"/>
    <n v="35000"/>
    <n v="35"/>
    <n v="1"/>
    <n v="1225000"/>
    <n v="6000"/>
    <n v="1"/>
    <n v="240013430.36999995"/>
    <n v="0"/>
    <n v="0"/>
    <n v="0"/>
    <n v="35"/>
    <n v="1"/>
    <n v="1828878.4256360191"/>
    <n v="0"/>
    <n v="0"/>
    <n v="0"/>
    <n v="35"/>
    <n v="1"/>
    <n v="2389006.5227485294"/>
    <n v="35"/>
    <n v="1"/>
    <n v="2730445.9557199045"/>
    <m/>
    <m/>
    <n v="0"/>
    <n v="248186761.27410442"/>
    <n v="240958.02065447031"/>
  </r>
  <r>
    <s v="4.3.1.2"/>
    <x v="0"/>
    <x v="0"/>
    <x v="1"/>
    <x v="1"/>
    <n v="2"/>
    <x v="15"/>
    <x v="15"/>
    <s v="Develop governance mechanisms for the collection and management of locally mobilised resources"/>
    <s v="Present to senior management"/>
    <s v="Zero cost"/>
    <n v="0"/>
    <n v="0"/>
    <n v="0"/>
    <n v="0"/>
    <n v="20"/>
    <n v="1"/>
    <n v="0"/>
    <n v="145"/>
    <n v="5"/>
    <n v="0"/>
    <n v="0"/>
    <n v="0"/>
    <n v="0"/>
    <n v="0"/>
    <n v="0"/>
    <n v="0"/>
    <n v="0"/>
    <n v="0"/>
    <n v="0"/>
    <n v="0"/>
    <n v="0"/>
    <n v="0"/>
    <m/>
    <m/>
    <n v="0"/>
    <n v="0"/>
    <n v="0"/>
  </r>
  <r>
    <s v="4.3.1.2"/>
    <x v="0"/>
    <x v="0"/>
    <x v="1"/>
    <x v="1"/>
    <n v="2"/>
    <x v="15"/>
    <x v="15"/>
    <s v="Develop governance mechanisms for the collection and management of locally mobilised resources"/>
    <s v="Train DHMT on the guidelines "/>
    <s v="Conference package high-level"/>
    <n v="35000"/>
    <n v="145"/>
    <n v="5"/>
    <n v="25375000"/>
    <n v="10"/>
    <n v="0.5"/>
    <n v="200011.19197499997"/>
    <n v="145"/>
    <n v="5"/>
    <n v="33146566.586929962"/>
    <n v="145"/>
    <n v="5"/>
    <n v="37883910.245317534"/>
    <n v="0"/>
    <n v="0"/>
    <n v="0"/>
    <n v="145"/>
    <n v="5"/>
    <n v="49486563.685505249"/>
    <n v="145"/>
    <n v="5"/>
    <n v="56559237.654198021"/>
    <m/>
    <m/>
    <n v="0"/>
    <n v="202651289.36392576"/>
    <n v="196748.82462517064"/>
  </r>
  <r>
    <s v="4.3.1.2"/>
    <x v="0"/>
    <x v="0"/>
    <x v="1"/>
    <x v="1"/>
    <n v="2"/>
    <x v="15"/>
    <x v="15"/>
    <s v="Develop governance mechanisms for the collection and management of locally mobilised resources"/>
    <s v="Train DHMT on the guidelines "/>
    <s v="DSA (excl. lunch)"/>
    <n v="39000"/>
    <n v="145"/>
    <n v="5"/>
    <n v="28275000"/>
    <n v="290"/>
    <n v="2"/>
    <n v="25852875.214139998"/>
    <n v="1450"/>
    <n v="5"/>
    <n v="369347456.2543624"/>
    <n v="145"/>
    <n v="5"/>
    <n v="42213499.987639531"/>
    <n v="0"/>
    <n v="0"/>
    <n v="0"/>
    <n v="145"/>
    <n v="5"/>
    <n v="55142170.96384871"/>
    <n v="145"/>
    <n v="5"/>
    <n v="63023150.528963514"/>
    <m/>
    <m/>
    <n v="0"/>
    <n v="583854152.94895422"/>
    <n v="566848.69218345068"/>
  </r>
  <r>
    <s v="4.3.1.2"/>
    <x v="0"/>
    <x v="0"/>
    <x v="1"/>
    <x v="1"/>
    <n v="2"/>
    <x v="15"/>
    <x v="15"/>
    <s v="Develop governance mechanisms for the collection and management of locally mobilised resources"/>
    <s v="Train DHMT on the guidelines "/>
    <s v="Local running (diesel, per km)"/>
    <n v="211.42857142857142"/>
    <n v="1450"/>
    <n v="5"/>
    <n v="1532857.142857143"/>
    <n v="29"/>
    <n v="3"/>
    <n v="21023.217207102854"/>
    <n v="22500"/>
    <n v="1"/>
    <n v="6214106.5015891213"/>
    <n v="1450"/>
    <n v="5"/>
    <n v="2288497.4352273447"/>
    <n v="0"/>
    <n v="0"/>
    <n v="0"/>
    <n v="1450"/>
    <n v="5"/>
    <n v="2989392.41855297"/>
    <n v="1450"/>
    <n v="5"/>
    <n v="3416639.6623760439"/>
    <m/>
    <m/>
    <n v="0"/>
    <n v="16462516.377809726"/>
    <n v="15983.025609524006"/>
  </r>
  <r>
    <s v="4.3.1.2"/>
    <x v="0"/>
    <x v="0"/>
    <x v="1"/>
    <x v="1"/>
    <n v="2"/>
    <x v="15"/>
    <x v="15"/>
    <s v="Develop governance mechanisms for the collection and management of locally mobilised resources"/>
    <s v="Train DHMT on the guidelines "/>
    <s v="Fuel for travelling participants"/>
    <n v="211.42857142857142"/>
    <n v="22500"/>
    <n v="1"/>
    <n v="4757142.8571428573"/>
    <m/>
    <m/>
    <n v="0"/>
    <n v="1800"/>
    <n v="5"/>
    <n v="2485642.6006356487"/>
    <n v="22500"/>
    <n v="1"/>
    <n v="7102233.4196710698"/>
    <m/>
    <m/>
    <n v="0"/>
    <n v="22500"/>
    <n v="1"/>
    <n v="9277424.7472333554"/>
    <n v="22500"/>
    <n v="1"/>
    <n v="10603364.469442895"/>
    <m/>
    <m/>
    <n v="0"/>
    <n v="34225808.09412583"/>
    <n v="33228.939897209544"/>
  </r>
  <r>
    <s v="4.3.1.2"/>
    <x v="0"/>
    <x v="0"/>
    <x v="1"/>
    <x v="1"/>
    <n v="2"/>
    <x v="15"/>
    <x v="15"/>
    <s v="Develop governance mechanisms for the collection and management of locally mobilised resources"/>
    <s v="Train health centre management committees "/>
    <s v="Conference package high-level"/>
    <n v="35000"/>
    <n v="1800"/>
    <n v="5"/>
    <n v="315000000"/>
    <n v="20000"/>
    <n v="1"/>
    <n v="800044767.89999986"/>
    <n v="58"/>
    <n v="5"/>
    <n v="13258626.634771984"/>
    <n v="1800"/>
    <n v="5"/>
    <n v="470283023.73497635"/>
    <n v="0"/>
    <n v="0"/>
    <n v="0"/>
    <n v="1800"/>
    <n v="5"/>
    <n v="614315962.99247897"/>
    <n v="1800"/>
    <n v="5"/>
    <n v="702114674.32797539"/>
    <m/>
    <m/>
    <n v="0"/>
    <n v="2915017055.5902023"/>
    <n v="2830113.64620408"/>
  </r>
  <r>
    <s v="4.3.1.2"/>
    <x v="0"/>
    <x v="0"/>
    <x v="1"/>
    <x v="1"/>
    <n v="2"/>
    <x v="15"/>
    <x v="15"/>
    <s v="Develop governance mechanisms for the collection and management of locally mobilised resources"/>
    <s v="Train health centre management committees "/>
    <s v="Local running (diesel, per km)"/>
    <n v="211.42857142857142"/>
    <n v="58"/>
    <n v="5"/>
    <n v="61314.28571428571"/>
    <n v="5400"/>
    <n v="2"/>
    <n v="2609778.6877782852"/>
    <n v="1800"/>
    <n v="6"/>
    <n v="2982771.1207627784"/>
    <n v="58"/>
    <n v="5"/>
    <n v="91539.897409093799"/>
    <n v="0"/>
    <n v="0"/>
    <n v="0"/>
    <n v="58"/>
    <n v="5"/>
    <n v="119575.69674211882"/>
    <n v="58"/>
    <n v="5"/>
    <n v="136665.58649504176"/>
    <m/>
    <m/>
    <n v="0"/>
    <n v="6001645.2749016043"/>
    <n v="5826.8400727200042"/>
  </r>
  <r>
    <s v="4.3.1.2"/>
    <x v="0"/>
    <x v="0"/>
    <x v="1"/>
    <x v="1"/>
    <n v="2"/>
    <x v="15"/>
    <x v="15"/>
    <s v="Develop governance mechanisms for the collection and management of locally mobilised resources"/>
    <s v="Train health centre management committees "/>
    <s v="DSA (excl. lunch)"/>
    <n v="39000"/>
    <n v="1800"/>
    <n v="6"/>
    <n v="421200000"/>
    <m/>
    <m/>
    <n v="0"/>
    <n v="22500"/>
    <n v="2"/>
    <n v="2292501452.6132841"/>
    <n v="1800"/>
    <n v="6"/>
    <n v="628835586.02276826"/>
    <m/>
    <m/>
    <n v="0"/>
    <n v="1800"/>
    <n v="6"/>
    <n v="821428201.94422913"/>
    <n v="1800"/>
    <n v="6"/>
    <n v="938827621.67283583"/>
    <m/>
    <m/>
    <n v="0"/>
    <n v="5102792862.2531166"/>
    <n v="4954167.8274302101"/>
  </r>
  <r>
    <s v="4.3.1.2"/>
    <x v="0"/>
    <x v="0"/>
    <x v="1"/>
    <x v="1"/>
    <n v="2"/>
    <x v="15"/>
    <x v="15"/>
    <s v="Develop governance mechanisms for the collection and management of locally mobilised resources"/>
    <s v="Train health centre management committees "/>
    <s v="Fuel for travelling participants"/>
    <n v="211.42857142857142"/>
    <n v="22500"/>
    <n v="2"/>
    <n v="9514285.7142857146"/>
    <m/>
    <m/>
    <n v="0"/>
    <n v="0"/>
    <n v="0"/>
    <n v="0"/>
    <n v="22500"/>
    <n v="2"/>
    <n v="14204466.83934214"/>
    <m/>
    <m/>
    <n v="0"/>
    <n v="22500"/>
    <n v="2"/>
    <n v="18554849.494466711"/>
    <n v="22500"/>
    <n v="2"/>
    <n v="21206728.938885789"/>
    <m/>
    <m/>
    <n v="0"/>
    <n v="63480330.986980364"/>
    <n v="61631.389307747922"/>
  </r>
  <r>
    <s v="4.3.1.2"/>
    <x v="0"/>
    <x v="0"/>
    <x v="1"/>
    <x v="1"/>
    <n v="2"/>
    <x v="15"/>
    <x v="15"/>
    <s v="Develop governance mechanisms for the collection and management of locally mobilised resources"/>
    <s v="Implementation of the guidelines"/>
    <s v="Zero cost"/>
    <n v="0"/>
    <n v="0"/>
    <n v="0"/>
    <n v="0"/>
    <n v="20000"/>
    <n v="5"/>
    <n v="0"/>
    <n v="0"/>
    <n v="0"/>
    <n v="0"/>
    <n v="0"/>
    <n v="0"/>
    <n v="0"/>
    <n v="0"/>
    <n v="0"/>
    <n v="0"/>
    <n v="0"/>
    <n v="0"/>
    <n v="0"/>
    <n v="0"/>
    <n v="0"/>
    <n v="0"/>
    <m/>
    <m/>
    <n v="0"/>
    <n v="0"/>
    <n v="0"/>
  </r>
  <r>
    <s v="4.3.1.2"/>
    <x v="0"/>
    <x v="0"/>
    <x v="1"/>
    <x v="1"/>
    <n v="2"/>
    <x v="15"/>
    <x v="15"/>
    <s v="Develop governance mechanisms for the collection and management of locally mobilised resources"/>
    <s v="Monitoring"/>
    <s v="Zero cost"/>
    <n v="0"/>
    <n v="0"/>
    <n v="0"/>
    <n v="0"/>
    <n v="0"/>
    <n v="0"/>
    <n v="0"/>
    <n v="0"/>
    <n v="0"/>
    <n v="0"/>
    <n v="0"/>
    <n v="0"/>
    <n v="0"/>
    <n v="0"/>
    <n v="0"/>
    <n v="0"/>
    <n v="0"/>
    <n v="0"/>
    <n v="0"/>
    <n v="0"/>
    <n v="0"/>
    <n v="0"/>
    <m/>
    <m/>
    <n v="0"/>
    <n v="0"/>
    <n v="0"/>
  </r>
  <r>
    <s v="4.3.1.2"/>
    <x v="0"/>
    <x v="0"/>
    <x v="1"/>
    <x v="1"/>
    <n v="3"/>
    <x v="16"/>
    <x v="16"/>
    <s v="Establishment of an integrated health fund as a co-financing mechanism"/>
    <s v="Recruit a consultant to update the 2017 health fund report and conduct an assessment on citizen willingness to contribute to the health fund. (and advise on whether there are credible sources of earmarked financing for co-financing specific health needs e.g HIV, Malaria and Vaccines)"/>
    <s v="Newspaper advert (full)"/>
    <n v="391991.03749999998"/>
    <n v="2"/>
    <n v="2"/>
    <n v="1567964.15"/>
    <n v="0"/>
    <n v="0"/>
    <n v="0"/>
    <n v="0"/>
    <n v="0"/>
    <n v="0"/>
    <n v="0"/>
    <n v="0"/>
    <n v="0"/>
    <n v="2"/>
    <n v="2"/>
    <n v="2675476.4105215403"/>
    <m/>
    <m/>
    <n v="0"/>
    <m/>
    <m/>
    <n v="0"/>
    <m/>
    <m/>
    <n v="0"/>
    <n v="4243440.5605215402"/>
    <n v="4119.8452043898451"/>
  </r>
  <r>
    <s v="4.3.1.2"/>
    <x v="0"/>
    <x v="0"/>
    <x v="1"/>
    <x v="1"/>
    <n v="3"/>
    <x v="16"/>
    <x v="16"/>
    <s v="Establishment of an integrated health fund as a co-financing mechanism"/>
    <s v="Recruit a consultant to update the 2017 health fund report and conduct an assessment on citizen willingness to contribute to the health fund. (and advise on whether there are credible sources of earmarked financing for co-financing specific health needs e.g HIV, Malaria and Vaccines)"/>
    <s v="Local consultant fee - High level"/>
    <n v="511000"/>
    <n v="1"/>
    <n v="25"/>
    <n v="12775000"/>
    <n v="0"/>
    <n v="0"/>
    <n v="0"/>
    <n v="0"/>
    <n v="0"/>
    <n v="0"/>
    <n v="1"/>
    <n v="4"/>
    <n v="3051614.2873469573"/>
    <n v="1"/>
    <n v="25"/>
    <n v="21798464.680721607"/>
    <m/>
    <m/>
    <n v="0"/>
    <m/>
    <m/>
    <n v="0"/>
    <m/>
    <m/>
    <n v="0"/>
    <n v="37625078.968068562"/>
    <n v="36529.20288161996"/>
  </r>
  <r>
    <s v="4.3.1.2"/>
    <x v="0"/>
    <x v="0"/>
    <x v="1"/>
    <x v="1"/>
    <n v="3"/>
    <x v="16"/>
    <x v="16"/>
    <s v="Establishment of an integrated health fund as a co-financing mechanism"/>
    <s v="Hold a 5 day consultative workshop to develop data collection tool"/>
    <s v="Conference package high-level"/>
    <n v="35000"/>
    <n v="25"/>
    <n v="5"/>
    <n v="4375000"/>
    <m/>
    <m/>
    <n v="0"/>
    <m/>
    <m/>
    <n v="0"/>
    <m/>
    <m/>
    <n v="0"/>
    <n v="25"/>
    <n v="5"/>
    <n v="7465227.6303841127"/>
    <m/>
    <m/>
    <n v="0"/>
    <m/>
    <m/>
    <n v="0"/>
    <m/>
    <m/>
    <n v="0"/>
    <n v="11840227.630384114"/>
    <n v="11495.366631440887"/>
  </r>
  <r>
    <s v="4.3.1.2"/>
    <x v="0"/>
    <x v="0"/>
    <x v="1"/>
    <x v="1"/>
    <n v="3"/>
    <x v="16"/>
    <x v="16"/>
    <s v="Establishment of an integrated health fund as a co-financing mechanism"/>
    <s v="Hold a 5 day consultative workshop to develop data collection tool"/>
    <s v="Local running (diesel, per km)"/>
    <n v="211.42857142857142"/>
    <n v="450"/>
    <n v="5"/>
    <n v="475714.28571428568"/>
    <m/>
    <m/>
    <n v="0"/>
    <m/>
    <m/>
    <n v="0"/>
    <m/>
    <m/>
    <n v="0"/>
    <n v="450"/>
    <n v="5"/>
    <n v="811729.24111605203"/>
    <m/>
    <m/>
    <n v="0"/>
    <m/>
    <m/>
    <n v="0"/>
    <m/>
    <m/>
    <n v="0"/>
    <n v="1287443.5268303377"/>
    <n v="1249.9451716799394"/>
  </r>
  <r>
    <s v="4.3.1.2"/>
    <x v="0"/>
    <x v="0"/>
    <x v="1"/>
    <x v="1"/>
    <n v="3"/>
    <x v="16"/>
    <x v="16"/>
    <s v="Establishment of an integrated health fund as a co-financing mechanism"/>
    <s v="Hold a 5 day consultative workshop to develop data collection tool"/>
    <s v="DSA (excl. lunch)"/>
    <n v="39000"/>
    <n v="25"/>
    <n v="6"/>
    <n v="5850000"/>
    <m/>
    <m/>
    <n v="0"/>
    <m/>
    <m/>
    <n v="0"/>
    <m/>
    <m/>
    <n v="0"/>
    <n v="25"/>
    <n v="6"/>
    <n v="9982075.8029136136"/>
    <m/>
    <m/>
    <n v="0"/>
    <m/>
    <m/>
    <n v="0"/>
    <m/>
    <m/>
    <n v="0"/>
    <n v="15832075.802913614"/>
    <n v="15370.947381469528"/>
  </r>
  <r>
    <s v="4.3.1.2"/>
    <x v="0"/>
    <x v="0"/>
    <x v="1"/>
    <x v="1"/>
    <n v="3"/>
    <x v="16"/>
    <x v="16"/>
    <s v="Establishment of an integrated health fund as a co-financing mechanism"/>
    <s v="Hold a 5 day consultative workshop to develop data collection tool"/>
    <s v="Fuel for travelling participants"/>
    <n v="211.42857142857142"/>
    <n v="2430"/>
    <n v="1"/>
    <n v="513771.42857142852"/>
    <m/>
    <m/>
    <n v="0"/>
    <m/>
    <m/>
    <n v="0"/>
    <m/>
    <m/>
    <n v="0"/>
    <n v="2430"/>
    <n v="1"/>
    <n v="876667.58040533611"/>
    <m/>
    <m/>
    <n v="0"/>
    <m/>
    <m/>
    <n v="0"/>
    <m/>
    <m/>
    <n v="0"/>
    <n v="1390439.0089767645"/>
    <n v="1349.9407854143344"/>
  </r>
  <r>
    <s v="4.3.1.2"/>
    <x v="0"/>
    <x v="0"/>
    <x v="1"/>
    <x v="1"/>
    <n v="3"/>
    <x v="16"/>
    <x v="16"/>
    <s v="Establishment of an integrated health fund as a co-financing mechanism"/>
    <s v="recruit research assistants "/>
    <s v="Zero cost"/>
    <n v="0"/>
    <n v="0"/>
    <n v="0"/>
    <n v="0"/>
    <n v="0"/>
    <n v="0"/>
    <n v="0"/>
    <n v="0"/>
    <n v="0"/>
    <n v="0"/>
    <n v="5"/>
    <n v="14"/>
    <n v="0"/>
    <n v="0"/>
    <n v="0"/>
    <n v="0"/>
    <m/>
    <m/>
    <n v="0"/>
    <m/>
    <m/>
    <n v="0"/>
    <m/>
    <m/>
    <n v="0"/>
    <n v="0"/>
    <n v="0"/>
  </r>
  <r>
    <s v="4.3.1.2"/>
    <x v="0"/>
    <x v="0"/>
    <x v="1"/>
    <x v="1"/>
    <n v="3"/>
    <x v="16"/>
    <x v="16"/>
    <s v="Establishment of an integrated health fund as a co-financing mechanism"/>
    <s v="conduct training on data collection "/>
    <s v="Local Running(diesel, per km)"/>
    <n v="211.42857142857142"/>
    <n v="450"/>
    <n v="5"/>
    <n v="475714.28571428568"/>
    <m/>
    <m/>
    <n v="0"/>
    <m/>
    <m/>
    <n v="0"/>
    <m/>
    <m/>
    <n v="0"/>
    <n v="450"/>
    <n v="5"/>
    <n v="811729.24111605203"/>
    <m/>
    <m/>
    <n v="0"/>
    <m/>
    <m/>
    <n v="0"/>
    <m/>
    <m/>
    <n v="0"/>
    <n v="1287443.5268303377"/>
    <n v="1249.9451716799394"/>
  </r>
  <r>
    <s v="4.3.1.2"/>
    <x v="0"/>
    <x v="0"/>
    <x v="1"/>
    <x v="1"/>
    <n v="3"/>
    <x v="16"/>
    <x v="16"/>
    <s v="Establishment of an integrated health fund as a co-financing mechanism"/>
    <s v="conduct training on data collection "/>
    <s v="DSA (excl. lunch)"/>
    <n v="39000"/>
    <n v="25"/>
    <n v="6"/>
    <n v="5850000"/>
    <m/>
    <m/>
    <n v="0"/>
    <m/>
    <m/>
    <n v="0"/>
    <m/>
    <m/>
    <n v="0"/>
    <n v="25"/>
    <n v="6"/>
    <n v="9982075.8029136136"/>
    <m/>
    <m/>
    <n v="0"/>
    <m/>
    <m/>
    <n v="0"/>
    <m/>
    <m/>
    <n v="0"/>
    <n v="15832075.802913614"/>
    <n v="15370.947381469528"/>
  </r>
  <r>
    <s v="4.3.1.2"/>
    <x v="0"/>
    <x v="0"/>
    <x v="1"/>
    <x v="1"/>
    <n v="3"/>
    <x v="16"/>
    <x v="16"/>
    <s v="Establishment of an integrated health fund as a co-financing mechanism"/>
    <s v="conduct training on data collection "/>
    <s v="Fuel for travelling participants"/>
    <n v="211.42857142857142"/>
    <n v="2430"/>
    <n v="1"/>
    <n v="513771.42857142852"/>
    <m/>
    <m/>
    <n v="0"/>
    <m/>
    <m/>
    <n v="0"/>
    <m/>
    <m/>
    <n v="0"/>
    <n v="2430"/>
    <n v="1"/>
    <n v="876667.58040533611"/>
    <m/>
    <m/>
    <n v="0"/>
    <m/>
    <m/>
    <n v="0"/>
    <m/>
    <m/>
    <n v="0"/>
    <n v="1390439.0089767645"/>
    <n v="1349.9407854143344"/>
  </r>
  <r>
    <s v="4.3.1.2"/>
    <x v="0"/>
    <x v="0"/>
    <x v="1"/>
    <x v="1"/>
    <n v="3"/>
    <x v="16"/>
    <x v="16"/>
    <s v="Establishment of an integrated health fund as a co-financing mechanism"/>
    <s v="conduct training on data collection "/>
    <s v="Conference package high-level"/>
    <n v="35000"/>
    <n v="25"/>
    <n v="5"/>
    <n v="4375000"/>
    <n v="0"/>
    <n v="0"/>
    <n v="0"/>
    <n v="0"/>
    <n v="0"/>
    <n v="0"/>
    <n v="10"/>
    <n v="1"/>
    <n v="522536.69303886255"/>
    <n v="25"/>
    <n v="5"/>
    <n v="7465227.6303841127"/>
    <m/>
    <m/>
    <n v="0"/>
    <m/>
    <m/>
    <n v="0"/>
    <m/>
    <m/>
    <n v="0"/>
    <n v="12362764.323422976"/>
    <n v="12002.683809148521"/>
  </r>
  <r>
    <s v="4.3.1.2"/>
    <x v="0"/>
    <x v="0"/>
    <x v="1"/>
    <x v="1"/>
    <n v="3"/>
    <x v="16"/>
    <x v="16"/>
    <s v="Establishment of an integrated health fund as a co-financing mechanism"/>
    <s v="conduct training on data collection "/>
    <s v="A4, 500 pages, 140 gsm paper"/>
    <n v="8000"/>
    <n v="10"/>
    <n v="1"/>
    <n v="80000"/>
    <n v="0"/>
    <n v="0"/>
    <n v="0"/>
    <n v="0"/>
    <n v="0"/>
    <n v="0"/>
    <n v="25"/>
    <n v="3"/>
    <n v="895777.18806662154"/>
    <n v="10"/>
    <n v="1"/>
    <n v="136507.01952702377"/>
    <m/>
    <m/>
    <n v="0"/>
    <m/>
    <m/>
    <n v="0"/>
    <m/>
    <m/>
    <n v="0"/>
    <n v="1112284.2075936454"/>
    <n v="1079.8875801880054"/>
  </r>
  <r>
    <s v="4.3.1.2"/>
    <x v="0"/>
    <x v="0"/>
    <x v="1"/>
    <x v="1"/>
    <n v="3"/>
    <x v="16"/>
    <x v="16"/>
    <s v="Establishment of an integrated health fund as a co-financing mechanism"/>
    <s v="conduct training on data collection "/>
    <s v="Toner"/>
    <n v="104850"/>
    <n v="1"/>
    <n v="1"/>
    <n v="104850"/>
    <n v="0"/>
    <n v="0"/>
    <n v="0"/>
    <n v="0"/>
    <n v="0"/>
    <n v="0"/>
    <n v="5000"/>
    <n v="1"/>
    <n v="782685318.07321048"/>
    <n v="1"/>
    <n v="1"/>
    <n v="178909.51246760553"/>
    <m/>
    <m/>
    <n v="0"/>
    <m/>
    <m/>
    <n v="0"/>
    <m/>
    <m/>
    <n v="0"/>
    <n v="782969077.5856781"/>
    <n v="760164.15299580398"/>
  </r>
  <r>
    <s v="4.3.1.2"/>
    <x v="0"/>
    <x v="0"/>
    <x v="1"/>
    <x v="1"/>
    <n v="3"/>
    <x v="16"/>
    <x v="16"/>
    <s v="Establishment of an integrated health fund as a co-financing mechanism"/>
    <s v="prestesting of the data collection tool "/>
    <s v="Full DSA"/>
    <n v="45000"/>
    <n v="25"/>
    <n v="1"/>
    <n v="1125000"/>
    <n v="0"/>
    <n v="0"/>
    <n v="0"/>
    <n v="0"/>
    <n v="0"/>
    <n v="0"/>
    <n v="1"/>
    <n v="1"/>
    <n v="67183.289104996613"/>
    <n v="25"/>
    <n v="1"/>
    <n v="1919629.9620987717"/>
    <m/>
    <m/>
    <n v="0"/>
    <m/>
    <m/>
    <n v="0"/>
    <m/>
    <m/>
    <n v="0"/>
    <n v="3111813.2512037684"/>
    <n v="3021.1779137900662"/>
  </r>
  <r>
    <s v="4.3.1.2"/>
    <x v="0"/>
    <x v="0"/>
    <x v="1"/>
    <x v="1"/>
    <n v="3"/>
    <x v="16"/>
    <x v="16"/>
    <s v="Establishment of an integrated health fund as a co-financing mechanism"/>
    <s v="prestesting of the data collection tool "/>
    <s v="Local running (diesel, per km)"/>
    <n v="211.42857142857142"/>
    <n v="25"/>
    <n v="1"/>
    <n v="5285.7142857142853"/>
    <n v="0"/>
    <n v="0"/>
    <n v="0"/>
    <n v="0"/>
    <n v="0"/>
    <n v="0"/>
    <n v="25"/>
    <n v="1"/>
    <n v="7891.3704663011886"/>
    <n v="25"/>
    <n v="1"/>
    <n v="9019.2137901783553"/>
    <m/>
    <m/>
    <n v="0"/>
    <m/>
    <m/>
    <n v="0"/>
    <m/>
    <m/>
    <n v="0"/>
    <n v="22196.298542193828"/>
    <n v="21.549804409896922"/>
  </r>
  <r>
    <s v="4.3.1.2"/>
    <x v="0"/>
    <x v="0"/>
    <x v="1"/>
    <x v="1"/>
    <n v="3"/>
    <x v="16"/>
    <x v="16"/>
    <s v="Establishment of an integrated health fund as a co-financing mechanism"/>
    <s v="validation of the data collection tool "/>
    <s v="Conference package high-level"/>
    <n v="35000"/>
    <n v="100"/>
    <n v="1"/>
    <n v="3500000"/>
    <n v="0"/>
    <n v="0"/>
    <n v="0"/>
    <n v="0"/>
    <n v="0"/>
    <n v="0"/>
    <n v="4000"/>
    <n v="1"/>
    <n v="209014677.21554503"/>
    <n v="100"/>
    <n v="1"/>
    <n v="5972182.1043072902"/>
    <m/>
    <m/>
    <n v="0"/>
    <m/>
    <m/>
    <n v="0"/>
    <m/>
    <m/>
    <n v="0"/>
    <n v="218486859.31985232"/>
    <n v="212123.16438820615"/>
  </r>
  <r>
    <s v="4.3.1.2"/>
    <x v="0"/>
    <x v="0"/>
    <x v="1"/>
    <x v="1"/>
    <n v="3"/>
    <x v="16"/>
    <x v="16"/>
    <s v="Establishment of an integrated health fund as a co-financing mechanism"/>
    <s v="Data collection "/>
    <s v="Full DSA"/>
    <n v="45000"/>
    <n v="25"/>
    <n v="5"/>
    <n v="5625000"/>
    <n v="0"/>
    <n v="0"/>
    <n v="0"/>
    <n v="0"/>
    <n v="0"/>
    <n v="0"/>
    <n v="30"/>
    <n v="1"/>
    <n v="2015498.6731498984"/>
    <n v="25"/>
    <n v="5"/>
    <n v="9598149.8104938585"/>
    <m/>
    <m/>
    <n v="0"/>
    <m/>
    <m/>
    <n v="0"/>
    <m/>
    <m/>
    <n v="0"/>
    <n v="17238648.483643755"/>
    <n v="16736.551925867723"/>
  </r>
  <r>
    <s v="4.3.1.2"/>
    <x v="0"/>
    <x v="0"/>
    <x v="1"/>
    <x v="1"/>
    <n v="3"/>
    <x v="16"/>
    <x v="16"/>
    <s v="Establishment of an integrated health fund as a co-financing mechanism"/>
    <s v="Data collection "/>
    <s v="Local running (diesel, per km)"/>
    <n v="211.42857142857142"/>
    <n v="450"/>
    <n v="5"/>
    <n v="475714.28571428568"/>
    <n v="0"/>
    <n v="0"/>
    <n v="0"/>
    <n v="0"/>
    <n v="0"/>
    <n v="0"/>
    <n v="25"/>
    <n v="10"/>
    <n v="78913.704663011886"/>
    <n v="450"/>
    <n v="5"/>
    <n v="811729.24111605203"/>
    <m/>
    <m/>
    <n v="0"/>
    <m/>
    <m/>
    <n v="0"/>
    <m/>
    <m/>
    <n v="0"/>
    <n v="1366357.2314933497"/>
    <n v="1326.5604189255821"/>
  </r>
  <r>
    <s v="4.3.1.2"/>
    <x v="0"/>
    <x v="0"/>
    <x v="1"/>
    <x v="1"/>
    <n v="3"/>
    <x v="16"/>
    <x v="16"/>
    <s v="Establishment of an integrated health fund as a co-financing mechanism"/>
    <s v="Data collection "/>
    <s v="Tablet"/>
    <n v="302000"/>
    <n v="25"/>
    <n v="1"/>
    <n v="7550000"/>
    <n v="0"/>
    <n v="0"/>
    <n v="0"/>
    <n v="0"/>
    <n v="0"/>
    <n v="0"/>
    <n v="20000"/>
    <n v="1"/>
    <n v="9017490359.870657"/>
    <n v="25"/>
    <n v="1"/>
    <n v="12882849.967862869"/>
    <m/>
    <m/>
    <n v="0"/>
    <m/>
    <m/>
    <n v="0"/>
    <m/>
    <m/>
    <n v="0"/>
    <n v="9037923209.8385201"/>
    <n v="8774682.727998564"/>
  </r>
  <r>
    <s v="4.3.1.2"/>
    <x v="0"/>
    <x v="0"/>
    <x v="1"/>
    <x v="1"/>
    <n v="3"/>
    <x v="16"/>
    <x v="16"/>
    <s v="Establishment of an integrated health fund as a co-financing mechanism"/>
    <s v="Data collection "/>
    <s v="Airtime for Research Assistant"/>
    <n v="10000"/>
    <n v="25"/>
    <n v="1"/>
    <n v="250000"/>
    <n v="0"/>
    <n v="0"/>
    <n v="0"/>
    <n v="0"/>
    <n v="0"/>
    <n v="0"/>
    <n v="20"/>
    <n v="1"/>
    <n v="298592.39602220716"/>
    <n v="25"/>
    <n v="1"/>
    <n v="426584.43602194928"/>
    <m/>
    <m/>
    <n v="0"/>
    <m/>
    <m/>
    <n v="0"/>
    <m/>
    <m/>
    <n v="0"/>
    <n v="975176.83204415638"/>
    <n v="946.77362334384111"/>
  </r>
  <r>
    <s v="4.3.1.2"/>
    <x v="0"/>
    <x v="0"/>
    <x v="1"/>
    <x v="1"/>
    <n v="3"/>
    <x v="16"/>
    <x v="16"/>
    <s v="Establishment of an integrated health fund as a co-financing mechanism"/>
    <s v="Data analysis"/>
    <s v="Conference package high-level"/>
    <n v="35000"/>
    <n v="25"/>
    <n v="5"/>
    <n v="4375000"/>
    <n v="0"/>
    <n v="0"/>
    <n v="0"/>
    <n v="0"/>
    <n v="0"/>
    <n v="0"/>
    <n v="15"/>
    <n v="1"/>
    <n v="783805.03955829388"/>
    <n v="25"/>
    <n v="5"/>
    <n v="7465227.6303841127"/>
    <m/>
    <m/>
    <n v="0"/>
    <m/>
    <m/>
    <n v="0"/>
    <m/>
    <m/>
    <n v="0"/>
    <n v="12624032.669942407"/>
    <n v="12256.342398002336"/>
  </r>
  <r>
    <s v="4.3.1.2"/>
    <x v="0"/>
    <x v="0"/>
    <x v="1"/>
    <x v="1"/>
    <n v="3"/>
    <x v="16"/>
    <x v="16"/>
    <s v="Establishment of an integrated health fund as a co-financing mechanism"/>
    <s v="Data analysis"/>
    <s v="DSA (excl. lunch)"/>
    <n v="39000"/>
    <n v="25"/>
    <n v="6"/>
    <n v="5850000"/>
    <n v="0"/>
    <n v="0"/>
    <n v="0"/>
    <n v="0"/>
    <n v="0"/>
    <n v="0"/>
    <n v="25"/>
    <n v="5"/>
    <n v="7278189.6530412994"/>
    <n v="25"/>
    <n v="6"/>
    <n v="9982075.8029136136"/>
    <m/>
    <m/>
    <n v="0"/>
    <m/>
    <m/>
    <n v="0"/>
    <m/>
    <m/>
    <n v="0"/>
    <n v="23110265.455954913"/>
    <n v="22437.150928111565"/>
  </r>
  <r>
    <s v="4.3.1.2"/>
    <x v="0"/>
    <x v="0"/>
    <x v="1"/>
    <x v="1"/>
    <n v="3"/>
    <x v="16"/>
    <x v="16"/>
    <s v="Establishment of an integrated health fund as a co-financing mechanism"/>
    <s v="Data analysis"/>
    <s v="Local running (diesel, per km)"/>
    <n v="211.42857142857142"/>
    <n v="450"/>
    <n v="5"/>
    <n v="475714.28571428568"/>
    <n v="0"/>
    <n v="0"/>
    <n v="0"/>
    <n v="0"/>
    <n v="0"/>
    <n v="0"/>
    <n v="25"/>
    <n v="5"/>
    <n v="39456.852331505943"/>
    <n v="450"/>
    <n v="5"/>
    <n v="811729.24111605203"/>
    <m/>
    <m/>
    <n v="0"/>
    <m/>
    <m/>
    <n v="0"/>
    <m/>
    <m/>
    <n v="0"/>
    <n v="1326900.3791618436"/>
    <n v="1288.2527953027607"/>
  </r>
  <r>
    <s v="4.3.1.2"/>
    <x v="0"/>
    <x v="0"/>
    <x v="1"/>
    <x v="1"/>
    <n v="3"/>
    <x v="16"/>
    <x v="16"/>
    <s v="Establishment of an integrated health fund as a co-financing mechanism"/>
    <s v="Data analysis"/>
    <s v="Fuel for travelling participants"/>
    <n v="211.42857142857142"/>
    <n v="2430"/>
    <n v="1"/>
    <n v="513771.42857142852"/>
    <m/>
    <m/>
    <n v="0"/>
    <m/>
    <m/>
    <n v="0"/>
    <m/>
    <m/>
    <n v="0"/>
    <n v="2430"/>
    <n v="1"/>
    <n v="876667.58040533611"/>
    <m/>
    <m/>
    <n v="0"/>
    <m/>
    <m/>
    <n v="0"/>
    <m/>
    <m/>
    <n v="0"/>
    <n v="1390439.0089767645"/>
    <n v="1349.9407854143344"/>
  </r>
  <r>
    <s v="4.3.1.2"/>
    <x v="0"/>
    <x v="0"/>
    <x v="1"/>
    <x v="1"/>
    <n v="3"/>
    <x v="16"/>
    <x v="16"/>
    <s v="Establishment of an integrated health fund as a co-financing mechanism"/>
    <s v="Report writing with clear action plans (consultant)"/>
    <s v="Zero cost"/>
    <n v="0"/>
    <n v="0"/>
    <n v="0"/>
    <n v="0"/>
    <n v="0"/>
    <n v="0"/>
    <n v="0"/>
    <n v="0"/>
    <n v="0"/>
    <n v="0"/>
    <n v="5000"/>
    <n v="1"/>
    <n v="0"/>
    <n v="0"/>
    <n v="0"/>
    <n v="0"/>
    <m/>
    <m/>
    <n v="0"/>
    <m/>
    <m/>
    <n v="0"/>
    <m/>
    <m/>
    <n v="0"/>
    <n v="0"/>
    <n v="0"/>
  </r>
  <r>
    <s v="4.3.1.2"/>
    <x v="0"/>
    <x v="0"/>
    <x v="1"/>
    <x v="1"/>
    <n v="3"/>
    <x v="16"/>
    <x v="16"/>
    <s v="Establishment of an integrated health fund as a co-financing mechanism"/>
    <s v="Validation of results "/>
    <s v="Conference package high-level"/>
    <n v="35000"/>
    <n v="100"/>
    <n v="5"/>
    <n v="17500000"/>
    <n v="0"/>
    <n v="0"/>
    <n v="0"/>
    <n v="0"/>
    <n v="0"/>
    <n v="0"/>
    <n v="0"/>
    <n v="0"/>
    <n v="0"/>
    <n v="100"/>
    <n v="5"/>
    <n v="29860910.521536451"/>
    <m/>
    <m/>
    <n v="0"/>
    <m/>
    <m/>
    <n v="0"/>
    <m/>
    <m/>
    <n v="0"/>
    <n v="47360910.521536455"/>
    <n v="45981.46652576355"/>
  </r>
  <r>
    <s v="4.3.1.2"/>
    <x v="0"/>
    <x v="0"/>
    <x v="1"/>
    <x v="1"/>
    <n v="3"/>
    <x v="16"/>
    <x v="16"/>
    <s v="Establishment of an integrated health fund as a co-financing mechanism"/>
    <s v="Validation of results "/>
    <s v="DSA (excl. lunch)"/>
    <n v="39000"/>
    <n v="58"/>
    <n v="5"/>
    <n v="11310000"/>
    <n v="0"/>
    <n v="0"/>
    <n v="0"/>
    <n v="0"/>
    <n v="0"/>
    <n v="0"/>
    <n v="50"/>
    <n v="1"/>
    <n v="2911275.86121652"/>
    <n v="58"/>
    <n v="5"/>
    <n v="19298679.885632988"/>
    <m/>
    <m/>
    <n v="0"/>
    <m/>
    <m/>
    <n v="0"/>
    <m/>
    <m/>
    <n v="0"/>
    <n v="33519955.746849507"/>
    <n v="32543.646356164569"/>
  </r>
  <r>
    <s v="4.3.1.2"/>
    <x v="0"/>
    <x v="0"/>
    <x v="1"/>
    <x v="1"/>
    <n v="3"/>
    <x v="16"/>
    <x v="16"/>
    <s v="Establishment of an integrated health fund as a co-financing mechanism"/>
    <s v="Validation of results "/>
    <s v="Fuel for travelling participants"/>
    <n v="211.42857142857142"/>
    <n v="22500"/>
    <n v="1"/>
    <n v="4757142.8571428573"/>
    <m/>
    <m/>
    <n v="0"/>
    <m/>
    <m/>
    <n v="0"/>
    <m/>
    <m/>
    <n v="0"/>
    <n v="22500"/>
    <n v="1"/>
    <n v="8117292.4111605193"/>
    <m/>
    <m/>
    <n v="0"/>
    <m/>
    <m/>
    <n v="0"/>
    <m/>
    <m/>
    <n v="0"/>
    <n v="12874435.268303376"/>
    <n v="12499.451716799394"/>
  </r>
  <r>
    <s v="4.3.1.2"/>
    <x v="0"/>
    <x v="0"/>
    <x v="1"/>
    <x v="1"/>
    <n v="3"/>
    <x v="16"/>
    <x v="16"/>
    <s v="Establishment of an integrated health fund as a co-financing mechanism"/>
    <s v="Validation of results "/>
    <s v="Local running (diesel, per km)"/>
    <n v="211.42857142857142"/>
    <n v="1450"/>
    <n v="5"/>
    <n v="1532857.142857143"/>
    <n v="0"/>
    <n v="0"/>
    <n v="0"/>
    <n v="0"/>
    <n v="0"/>
    <n v="0"/>
    <n v="20"/>
    <n v="2"/>
    <n v="12626.192746081902"/>
    <n v="1450"/>
    <n v="5"/>
    <n v="2615571.999151723"/>
    <m/>
    <m/>
    <n v="0"/>
    <m/>
    <m/>
    <n v="0"/>
    <m/>
    <m/>
    <n v="0"/>
    <n v="4161055.3347549476"/>
    <n v="4039.8595483057743"/>
  </r>
  <r>
    <s v="4.3.1.2"/>
    <x v="0"/>
    <x v="0"/>
    <x v="1"/>
    <x v="1"/>
    <n v="3"/>
    <x v="16"/>
    <x v="16"/>
    <s v="Establishment of an integrated health fund as a co-financing mechanism"/>
    <s v="Develop concept note for presentation to stakeholders (treasury, parliamentary committee on health)"/>
    <s v="Zero cost"/>
    <n v="0"/>
    <n v="0"/>
    <n v="0"/>
    <n v="0"/>
    <n v="0"/>
    <n v="0"/>
    <n v="0"/>
    <n v="0"/>
    <n v="0"/>
    <n v="0"/>
    <n v="8000"/>
    <n v="1"/>
    <n v="0"/>
    <n v="0"/>
    <n v="0"/>
    <n v="0"/>
    <m/>
    <m/>
    <n v="0"/>
    <m/>
    <m/>
    <n v="0"/>
    <m/>
    <m/>
    <n v="0"/>
    <n v="0"/>
    <n v="0"/>
  </r>
  <r>
    <s v="4.3.1.2"/>
    <x v="0"/>
    <x v="0"/>
    <x v="1"/>
    <x v="1"/>
    <n v="3"/>
    <x v="16"/>
    <x v="16"/>
    <s v="Establishment of an integrated health fund as a co-financing mechanism"/>
    <s v="Lobby treasury for establishment of health trust fund"/>
    <s v="zero cost"/>
    <n v="0"/>
    <n v="0"/>
    <n v="0"/>
    <n v="0"/>
    <n v="0"/>
    <n v="0"/>
    <n v="0"/>
    <n v="0"/>
    <n v="0"/>
    <n v="0"/>
    <n v="3"/>
    <n v="5"/>
    <n v="0"/>
    <n v="0"/>
    <n v="0"/>
    <n v="0"/>
    <m/>
    <m/>
    <n v="0"/>
    <m/>
    <m/>
    <n v="0"/>
    <m/>
    <m/>
    <n v="0"/>
    <n v="0"/>
    <n v="0"/>
  </r>
  <r>
    <s v="4.3.1.2"/>
    <x v="0"/>
    <x v="0"/>
    <x v="1"/>
    <x v="1"/>
    <n v="3"/>
    <x v="16"/>
    <x v="16"/>
    <s v="Develop guidelines on management of health trust fund"/>
    <s v="develop a concept note on establishing guidelines on management of health trust fund"/>
    <s v="Zero cost"/>
    <n v="0"/>
    <n v="0"/>
    <n v="0"/>
    <n v="0"/>
    <n v="0"/>
    <n v="0"/>
    <n v="0"/>
    <n v="0"/>
    <n v="0"/>
    <n v="0"/>
    <n v="0"/>
    <n v="0"/>
    <n v="0"/>
    <n v="0"/>
    <n v="0"/>
    <n v="0"/>
    <n v="0"/>
    <n v="0"/>
    <n v="0"/>
    <m/>
    <m/>
    <n v="0"/>
    <m/>
    <m/>
    <n v="0"/>
    <n v="0"/>
    <n v="0"/>
  </r>
  <r>
    <s v="4.3.1.2"/>
    <x v="0"/>
    <x v="0"/>
    <x v="1"/>
    <x v="1"/>
    <n v="3"/>
    <x v="16"/>
    <x v="16"/>
    <s v="Develop guidelines on management of health trust fund"/>
    <s v="Set up a taskforce (3 meetings)"/>
    <s v="Zero cost"/>
    <n v="0"/>
    <n v="0"/>
    <n v="0"/>
    <n v="0"/>
    <n v="0"/>
    <n v="0"/>
    <n v="0"/>
    <n v="0"/>
    <n v="0"/>
    <n v="0"/>
    <n v="0"/>
    <n v="0"/>
    <n v="0"/>
    <n v="0"/>
    <n v="0"/>
    <n v="0"/>
    <n v="0"/>
    <n v="0"/>
    <n v="0"/>
    <m/>
    <m/>
    <n v="0"/>
    <m/>
    <m/>
    <n v="0"/>
    <n v="0"/>
    <n v="0"/>
  </r>
  <r>
    <s v="4.3.1.2"/>
    <x v="0"/>
    <x v="0"/>
    <x v="1"/>
    <x v="1"/>
    <n v="3"/>
    <x v="16"/>
    <x v="16"/>
    <s v="Develop guidelines on management of health trust fund"/>
    <s v="Develop TORs for consultant"/>
    <s v="Zero cost"/>
    <n v="0"/>
    <n v="0"/>
    <n v="0"/>
    <n v="0"/>
    <n v="0"/>
    <n v="0"/>
    <n v="0"/>
    <n v="0"/>
    <n v="0"/>
    <n v="0"/>
    <n v="0"/>
    <n v="0"/>
    <n v="0"/>
    <n v="0"/>
    <n v="0"/>
    <n v="0"/>
    <n v="0"/>
    <n v="0"/>
    <n v="0"/>
    <m/>
    <m/>
    <n v="0"/>
    <m/>
    <m/>
    <n v="0"/>
    <n v="0"/>
    <n v="0"/>
  </r>
  <r>
    <s v="4.3.1.2"/>
    <x v="0"/>
    <x v="0"/>
    <x v="1"/>
    <x v="1"/>
    <n v="3"/>
    <x v="16"/>
    <x v="16"/>
    <s v="Develop guidelines on management of health trust fund"/>
    <s v="Recruitment of a consultant"/>
    <s v="Newspaper advert (full)"/>
    <n v="391991.03749999998"/>
    <n v="2"/>
    <n v="2"/>
    <n v="1567964.15"/>
    <n v="2"/>
    <n v="2"/>
    <n v="1792059.3063746723"/>
    <n v="0"/>
    <n v="0"/>
    <n v="0"/>
    <n v="0"/>
    <n v="0"/>
    <n v="0"/>
    <n v="0"/>
    <n v="0"/>
    <n v="0"/>
    <n v="2"/>
    <n v="2"/>
    <n v="3057858.4341109009"/>
    <m/>
    <m/>
    <n v="0"/>
    <m/>
    <m/>
    <n v="0"/>
    <n v="6417881.8904855736"/>
    <n v="6230.9532917335664"/>
  </r>
  <r>
    <s v="4.3.1.2"/>
    <x v="0"/>
    <x v="0"/>
    <x v="1"/>
    <x v="1"/>
    <n v="3"/>
    <x v="16"/>
    <x v="16"/>
    <s v="Develop guidelines on management of health trust fund"/>
    <s v="Recruitment of a consultant"/>
    <s v="International consultant"/>
    <n v="1001560"/>
    <n v="1"/>
    <n v="40"/>
    <n v="40062400"/>
    <n v="1"/>
    <n v="40"/>
    <n v="45788162.156452797"/>
    <n v="0"/>
    <n v="0"/>
    <n v="0"/>
    <n v="1"/>
    <n v="4"/>
    <n v="5981164.0032000365"/>
    <n v="0"/>
    <n v="0"/>
    <n v="0"/>
    <n v="1"/>
    <n v="40"/>
    <n v="78130069.319967911"/>
    <m/>
    <m/>
    <n v="0"/>
    <m/>
    <m/>
    <n v="0"/>
    <n v="169961795.47962075"/>
    <n v="165011.45192196191"/>
  </r>
  <r>
    <s v="4.3.1.2"/>
    <x v="0"/>
    <x v="0"/>
    <x v="1"/>
    <x v="1"/>
    <n v="3"/>
    <x v="16"/>
    <x v="16"/>
    <s v="Develop guidelines on management of health trust fund"/>
    <s v="Recruitment of a consultant"/>
    <s v="Conference package high-level"/>
    <n v="35000"/>
    <n v="25"/>
    <n v="15"/>
    <n v="13125000"/>
    <n v="25"/>
    <n v="15"/>
    <n v="15000839.398124997"/>
    <m/>
    <m/>
    <n v="0"/>
    <m/>
    <m/>
    <n v="0"/>
    <m/>
    <m/>
    <n v="0"/>
    <n v="25"/>
    <n v="15"/>
    <n v="25596498.458019953"/>
    <m/>
    <m/>
    <n v="0"/>
    <m/>
    <m/>
    <n v="0"/>
    <n v="53722337.85614495"/>
    <n v="52157.609569072767"/>
  </r>
  <r>
    <s v="4.3.1.2"/>
    <x v="0"/>
    <x v="0"/>
    <x v="1"/>
    <x v="1"/>
    <n v="3"/>
    <x v="16"/>
    <x v="16"/>
    <s v="Develop guidelines on management of health trust fund"/>
    <s v="Recruitment of a consultant"/>
    <s v="DSA (excl. lunch)"/>
    <n v="39000"/>
    <n v="25"/>
    <n v="18"/>
    <n v="17550000"/>
    <n v="25"/>
    <n v="18"/>
    <n v="20058265.252349999"/>
    <m/>
    <m/>
    <n v="0"/>
    <m/>
    <m/>
    <n v="0"/>
    <m/>
    <m/>
    <n v="0"/>
    <n v="25"/>
    <n v="18"/>
    <n v="34226175.081009544"/>
    <m/>
    <m/>
    <n v="0"/>
    <m/>
    <m/>
    <n v="0"/>
    <n v="71834440.33335954"/>
    <n v="69742.175080931585"/>
  </r>
  <r>
    <s v="4.3.1.2"/>
    <x v="0"/>
    <x v="0"/>
    <x v="1"/>
    <x v="1"/>
    <n v="3"/>
    <x v="16"/>
    <x v="16"/>
    <s v="Develop guidelines on management of health trust fund"/>
    <s v="Recruitment of a consultant"/>
    <s v="Fuel for travelling participants"/>
    <n v="211.42857142857142"/>
    <n v="2430"/>
    <n v="15"/>
    <n v="7706571.4285714282"/>
    <n v="2430"/>
    <n v="15"/>
    <n v="8808003.0712517127"/>
    <m/>
    <m/>
    <n v="0"/>
    <m/>
    <m/>
    <n v="0"/>
    <m/>
    <m/>
    <n v="0"/>
    <n v="2430"/>
    <n v="15"/>
    <n v="15029428.090518039"/>
    <m/>
    <m/>
    <n v="0"/>
    <m/>
    <m/>
    <n v="0"/>
    <n v="31544002.590341181"/>
    <n v="30625.245233340953"/>
  </r>
  <r>
    <s v="4.3.1.2"/>
    <x v="0"/>
    <x v="0"/>
    <x v="1"/>
    <x v="1"/>
    <n v="3"/>
    <x v="16"/>
    <x v="16"/>
    <s v="Develop guidelines on management of health trust fund"/>
    <s v="Recruitment of a consultant"/>
    <s v="Local running (diesel, per km)"/>
    <n v="211.42857142857142"/>
    <n v="450"/>
    <n v="15"/>
    <n v="1427142.857142857"/>
    <n v="450"/>
    <n v="15"/>
    <n v="1631111.6798614284"/>
    <m/>
    <m/>
    <n v="0"/>
    <m/>
    <m/>
    <n v="0"/>
    <m/>
    <m/>
    <n v="0"/>
    <n v="450"/>
    <n v="15"/>
    <n v="2783227.424170007"/>
    <m/>
    <m/>
    <n v="0"/>
    <m/>
    <m/>
    <n v="0"/>
    <n v="5841481.9611742925"/>
    <n v="5671.3417098779537"/>
  </r>
  <r>
    <s v="4.3.1.2"/>
    <x v="0"/>
    <x v="0"/>
    <x v="1"/>
    <x v="1"/>
    <n v="3"/>
    <x v="16"/>
    <x v="16"/>
    <s v="Develop guidelines on management of health trust fund"/>
    <s v="Validation workshop "/>
    <s v="Conference package high-level"/>
    <n v="35000"/>
    <n v="100"/>
    <n v="5"/>
    <n v="17500000"/>
    <n v="100"/>
    <n v="5"/>
    <n v="20001119.197499998"/>
    <n v="0"/>
    <n v="0"/>
    <n v="0"/>
    <n v="0"/>
    <n v="0"/>
    <n v="0"/>
    <n v="0"/>
    <n v="0"/>
    <n v="0"/>
    <n v="100"/>
    <n v="5"/>
    <n v="34128664.610693276"/>
    <m/>
    <m/>
    <n v="0"/>
    <m/>
    <m/>
    <n v="0"/>
    <n v="71629783.808193266"/>
    <n v="69543.479425430356"/>
  </r>
  <r>
    <s v="4.3.1.2"/>
    <x v="0"/>
    <x v="0"/>
    <x v="1"/>
    <x v="1"/>
    <n v="3"/>
    <x v="16"/>
    <x v="16"/>
    <s v="Develop guidelines on management of health trust fund"/>
    <s v="Validation workshop "/>
    <s v="DSA (excl. lunch)"/>
    <n v="39000"/>
    <n v="58"/>
    <n v="5"/>
    <n v="11310000"/>
    <n v="58"/>
    <n v="5"/>
    <n v="12926437.607069999"/>
    <m/>
    <m/>
    <n v="0"/>
    <m/>
    <m/>
    <n v="0"/>
    <m/>
    <m/>
    <n v="0"/>
    <n v="58"/>
    <n v="5"/>
    <n v="22056868.385539483"/>
    <m/>
    <m/>
    <n v="0"/>
    <m/>
    <m/>
    <n v="0"/>
    <n v="46293305.992609486"/>
    <n v="44944.957274378139"/>
  </r>
  <r>
    <s v="4.3.1.2"/>
    <x v="0"/>
    <x v="0"/>
    <x v="1"/>
    <x v="1"/>
    <n v="3"/>
    <x v="16"/>
    <x v="16"/>
    <s v="Develop guidelines on management of health trust fund"/>
    <s v="Validation workshop "/>
    <s v="local running (diesel, per km)"/>
    <n v="211.42857142857142"/>
    <n v="1450"/>
    <n v="5"/>
    <n v="1532857.142857143"/>
    <n v="1450"/>
    <n v="5"/>
    <n v="1751934.7672585712"/>
    <n v="0"/>
    <n v="0"/>
    <n v="0"/>
    <n v="30"/>
    <n v="1"/>
    <n v="9469.6445595614259"/>
    <n v="0"/>
    <n v="0"/>
    <n v="0"/>
    <n v="1450"/>
    <n v="5"/>
    <n v="2989392.41855297"/>
    <m/>
    <m/>
    <n v="0"/>
    <m/>
    <m/>
    <n v="0"/>
    <n v="6283653.973228246"/>
    <n v="6100.6349254643164"/>
  </r>
  <r>
    <s v="4.3.1.2"/>
    <x v="0"/>
    <x v="0"/>
    <x v="1"/>
    <x v="1"/>
    <n v="3"/>
    <x v="16"/>
    <x v="16"/>
    <s v="Develop guidelines on management of health trust fund"/>
    <s v="Validation workshop "/>
    <s v="Fuel for travelling participants"/>
    <n v="211.42857142857142"/>
    <n v="22500"/>
    <n v="1"/>
    <n v="4757142.8571428573"/>
    <n v="22500"/>
    <n v="1"/>
    <n v="5437038.9328714283"/>
    <m/>
    <m/>
    <n v="0"/>
    <m/>
    <m/>
    <n v="0"/>
    <m/>
    <m/>
    <n v="0"/>
    <n v="22500"/>
    <n v="1"/>
    <n v="9277424.7472333554"/>
    <m/>
    <m/>
    <n v="0"/>
    <m/>
    <m/>
    <n v="0"/>
    <n v="19471606.537247643"/>
    <n v="18904.472366259848"/>
  </r>
  <r>
    <s v="4.3.1.2"/>
    <x v="0"/>
    <x v="0"/>
    <x v="1"/>
    <x v="1"/>
    <n v="3"/>
    <x v="16"/>
    <x v="16"/>
    <s v="Develop guidelines on management of health trust fund"/>
    <s v="Presentation to TWG"/>
    <s v="Conference package high-level"/>
    <n v="35000"/>
    <n v="50"/>
    <n v="1"/>
    <n v="1750000"/>
    <n v="50"/>
    <n v="1"/>
    <n v="2000111.9197499997"/>
    <n v="0"/>
    <n v="0"/>
    <n v="0"/>
    <n v="8000"/>
    <n v="1"/>
    <n v="418029354.43109006"/>
    <n v="0"/>
    <n v="0"/>
    <n v="0"/>
    <n v="50"/>
    <n v="1"/>
    <n v="3412866.4610693273"/>
    <m/>
    <m/>
    <n v="0"/>
    <m/>
    <m/>
    <n v="0"/>
    <n v="425192332.81190938"/>
    <n v="412808.09010864986"/>
  </r>
  <r>
    <s v="4.3.1.2"/>
    <x v="0"/>
    <x v="0"/>
    <x v="1"/>
    <x v="1"/>
    <n v="3"/>
    <x v="16"/>
    <x v="16"/>
    <s v="Develop guidelines on management of health trust fund"/>
    <s v="Presentation to TWG"/>
    <s v="DSA (excl. lunch)"/>
    <n v="39000"/>
    <m/>
    <m/>
    <n v="0"/>
    <m/>
    <m/>
    <n v="0"/>
    <m/>
    <m/>
    <n v="0"/>
    <m/>
    <m/>
    <n v="0"/>
    <m/>
    <m/>
    <n v="0"/>
    <m/>
    <m/>
    <n v="0"/>
    <m/>
    <m/>
    <n v="0"/>
    <m/>
    <m/>
    <n v="0"/>
    <n v="0"/>
    <n v="0"/>
  </r>
  <r>
    <s v="4.3.1.2"/>
    <x v="0"/>
    <x v="0"/>
    <x v="1"/>
    <x v="1"/>
    <n v="3"/>
    <x v="16"/>
    <x v="16"/>
    <s v="Develop guidelines on management of health trust fund"/>
    <s v="Presentation to TWG"/>
    <s v="Local running (diesel,per km)"/>
    <n v="211.42857142857142"/>
    <m/>
    <m/>
    <n v="0"/>
    <m/>
    <m/>
    <n v="0"/>
    <m/>
    <m/>
    <n v="0"/>
    <m/>
    <m/>
    <n v="0"/>
    <m/>
    <m/>
    <n v="0"/>
    <m/>
    <m/>
    <n v="0"/>
    <m/>
    <m/>
    <n v="0"/>
    <m/>
    <m/>
    <n v="0"/>
    <n v="0"/>
    <n v="0"/>
  </r>
  <r>
    <s v="4.3.1.2"/>
    <x v="0"/>
    <x v="0"/>
    <x v="1"/>
    <x v="1"/>
    <n v="3"/>
    <x v="16"/>
    <x v="16"/>
    <s v="Develop guidelines on management of health trust fund"/>
    <s v="Presentation to TWG"/>
    <s v="Fuel for travelling participants"/>
    <n v="211.42857142857142"/>
    <m/>
    <m/>
    <n v="0"/>
    <m/>
    <m/>
    <n v="0"/>
    <m/>
    <m/>
    <n v="0"/>
    <m/>
    <m/>
    <n v="0"/>
    <m/>
    <m/>
    <n v="0"/>
    <m/>
    <m/>
    <n v="0"/>
    <m/>
    <m/>
    <n v="0"/>
    <m/>
    <m/>
    <n v="0"/>
    <n v="0"/>
    <n v="0"/>
  </r>
  <r>
    <s v="4.3.1.2"/>
    <x v="0"/>
    <x v="0"/>
    <x v="1"/>
    <x v="1"/>
    <n v="3"/>
    <x v="16"/>
    <x v="16"/>
    <s v="Develop guidelines on management of health trust fund"/>
    <s v="Presentation to senior management"/>
    <s v="Zero cost"/>
    <n v="0"/>
    <n v="0"/>
    <n v="0"/>
    <n v="0"/>
    <n v="0"/>
    <n v="0"/>
    <n v="0"/>
    <n v="0"/>
    <n v="0"/>
    <n v="0"/>
    <n v="30"/>
    <n v="0.5"/>
    <n v="0"/>
    <n v="0"/>
    <n v="0"/>
    <n v="0"/>
    <n v="0"/>
    <n v="0"/>
    <n v="0"/>
    <m/>
    <m/>
    <n v="0"/>
    <m/>
    <m/>
    <n v="0"/>
    <n v="0"/>
    <n v="0"/>
  </r>
  <r>
    <s v="4.3.1.2"/>
    <x v="0"/>
    <x v="0"/>
    <x v="1"/>
    <x v="1"/>
    <n v="3"/>
    <x v="16"/>
    <x v="16"/>
    <s v="Develop guidelines on management of health trust fund"/>
    <s v="Implementation of the guidelines"/>
    <s v="Zero cost"/>
    <n v="0"/>
    <n v="0"/>
    <n v="0"/>
    <n v="0"/>
    <n v="0"/>
    <n v="0"/>
    <n v="0"/>
    <n v="0"/>
    <n v="0"/>
    <n v="0"/>
    <n v="10"/>
    <n v="1"/>
    <n v="0"/>
    <n v="0"/>
    <n v="0"/>
    <n v="0"/>
    <n v="0"/>
    <n v="0"/>
    <n v="0"/>
    <m/>
    <m/>
    <n v="0"/>
    <m/>
    <m/>
    <n v="0"/>
    <n v="0"/>
    <n v="0"/>
  </r>
  <r>
    <s v="4.3.1.2"/>
    <x v="0"/>
    <x v="0"/>
    <x v="1"/>
    <x v="1"/>
    <n v="3"/>
    <x v="16"/>
    <x v="16"/>
    <s v="Develop guidelines on management of health trust fund"/>
    <s v="monitoring"/>
    <s v="Zero cost"/>
    <n v="0"/>
    <n v="0"/>
    <n v="0"/>
    <n v="0"/>
    <n v="0"/>
    <n v="0"/>
    <n v="0"/>
    <n v="0"/>
    <n v="0"/>
    <n v="0"/>
    <m/>
    <m/>
    <n v="0"/>
    <n v="0"/>
    <n v="0"/>
    <n v="0"/>
    <n v="0"/>
    <n v="0"/>
    <n v="0"/>
    <m/>
    <m/>
    <n v="0"/>
    <m/>
    <m/>
    <n v="0"/>
    <n v="0"/>
    <n v="0"/>
  </r>
  <r>
    <s v="4.3.1.2"/>
    <x v="0"/>
    <x v="0"/>
    <x v="1"/>
    <x v="1"/>
    <n v="3"/>
    <x v="16"/>
    <x v="16"/>
    <s v="Set up a health trust fund"/>
    <s v="Ministry of justice to develop trust deeds "/>
    <s v="Zero cost"/>
    <n v="0"/>
    <n v="0"/>
    <n v="0"/>
    <n v="0"/>
    <n v="0"/>
    <n v="0"/>
    <n v="0"/>
    <n v="0"/>
    <n v="0"/>
    <n v="0"/>
    <m/>
    <m/>
    <n v="0"/>
    <n v="0"/>
    <n v="0"/>
    <n v="0"/>
    <m/>
    <m/>
    <n v="0"/>
    <m/>
    <m/>
    <n v="0"/>
    <m/>
    <m/>
    <n v="0"/>
    <n v="0"/>
    <n v="0"/>
  </r>
  <r>
    <s v="4.3.1.2"/>
    <x v="0"/>
    <x v="0"/>
    <x v="1"/>
    <x v="1"/>
    <n v="3"/>
    <x v="16"/>
    <x v="16"/>
    <s v="Set up a health trust fund"/>
    <s v="Register the trust with the registrar general"/>
    <s v="Zero cost"/>
    <n v="0"/>
    <n v="0"/>
    <n v="0"/>
    <n v="0"/>
    <n v="0"/>
    <n v="0"/>
    <n v="0"/>
    <n v="0"/>
    <n v="0"/>
    <n v="0"/>
    <m/>
    <m/>
    <n v="0"/>
    <n v="0"/>
    <n v="0"/>
    <n v="0"/>
    <m/>
    <m/>
    <n v="0"/>
    <m/>
    <m/>
    <n v="0"/>
    <m/>
    <m/>
    <n v="0"/>
    <n v="0"/>
    <n v="0"/>
  </r>
  <r>
    <s v="4.3.1.2"/>
    <x v="0"/>
    <x v="0"/>
    <x v="1"/>
    <x v="1"/>
    <n v="3"/>
    <x v="16"/>
    <x v="16"/>
    <s v="Set up a health trust fund"/>
    <s v=" solicit names of potential trustees "/>
    <s v="Zero cost"/>
    <n v="35000"/>
    <n v="25"/>
    <n v="5"/>
    <n v="4375000"/>
    <n v="25"/>
    <n v="5"/>
    <n v="5000279.7993749995"/>
    <n v="0"/>
    <n v="0"/>
    <n v="0"/>
    <m/>
    <m/>
    <n v="0"/>
    <n v="25"/>
    <n v="5"/>
    <n v="7465227.6303841127"/>
    <m/>
    <m/>
    <n v="0"/>
    <m/>
    <m/>
    <n v="0"/>
    <m/>
    <m/>
    <n v="0"/>
    <n v="16840507.429759111"/>
    <n v="16350.00721335836"/>
  </r>
  <r>
    <s v="4.3.1.2"/>
    <x v="0"/>
    <x v="0"/>
    <x v="1"/>
    <x v="1"/>
    <n v="3"/>
    <x v="16"/>
    <x v="16"/>
    <s v="Set up a health trust fund"/>
    <s v="conduct meetings to solicit names of potential trustees "/>
    <s v="DSA (excl. lunch)"/>
    <n v="39000"/>
    <n v="25"/>
    <n v="6"/>
    <n v="5850000"/>
    <n v="25"/>
    <n v="6"/>
    <n v="6686088.4174499996"/>
    <m/>
    <m/>
    <n v="0"/>
    <m/>
    <m/>
    <n v="0"/>
    <n v="25"/>
    <n v="6"/>
    <n v="9982075.8029136136"/>
    <m/>
    <m/>
    <n v="0"/>
    <m/>
    <m/>
    <n v="0"/>
    <m/>
    <m/>
    <n v="0"/>
    <n v="22518164.220363613"/>
    <n v="21862.295359576325"/>
  </r>
  <r>
    <s v="4.3.1.2"/>
    <x v="0"/>
    <x v="0"/>
    <x v="1"/>
    <x v="1"/>
    <n v="3"/>
    <x v="16"/>
    <x v="16"/>
    <s v="Set up a health trust fund"/>
    <s v="conduct meetings to solicit names of potential trustees "/>
    <s v="Local running (diesel, per km)"/>
    <n v="211.42857142857142"/>
    <n v="450"/>
    <n v="5"/>
    <n v="475714.28571428568"/>
    <n v="450"/>
    <n v="5"/>
    <n v="543703.89328714274"/>
    <m/>
    <m/>
    <n v="0"/>
    <m/>
    <m/>
    <n v="0"/>
    <n v="450"/>
    <n v="5"/>
    <n v="811729.24111605203"/>
    <m/>
    <m/>
    <n v="0"/>
    <m/>
    <m/>
    <n v="0"/>
    <m/>
    <m/>
    <n v="0"/>
    <n v="1831147.4201174804"/>
    <n v="1777.8130292402723"/>
  </r>
  <r>
    <s v="4.3.1.2"/>
    <x v="0"/>
    <x v="0"/>
    <x v="1"/>
    <x v="1"/>
    <n v="3"/>
    <x v="16"/>
    <x v="16"/>
    <s v="Set up a health trust fund"/>
    <s v="conduct meetings to solicit names of potential trustees "/>
    <s v="Fuel for travelling participants"/>
    <n v="211.42857142857142"/>
    <n v="2430"/>
    <n v="1"/>
    <n v="513771.42857142852"/>
    <n v="2430"/>
    <n v="1"/>
    <n v="587200.20475011424"/>
    <m/>
    <m/>
    <n v="0"/>
    <m/>
    <m/>
    <n v="0"/>
    <n v="2430"/>
    <n v="1"/>
    <n v="876667.58040533611"/>
    <m/>
    <m/>
    <n v="0"/>
    <m/>
    <m/>
    <n v="0"/>
    <m/>
    <m/>
    <n v="0"/>
    <n v="1977639.2137268789"/>
    <n v="1920.038071579494"/>
  </r>
  <r>
    <s v="4.3.1.2"/>
    <x v="0"/>
    <x v="0"/>
    <x v="1"/>
    <x v="1"/>
    <n v="3"/>
    <x v="16"/>
    <x v="16"/>
    <s v="Set up a health trust fund"/>
    <s v="Seek endorsement of the names from SH, Minister for Health and send to OPC "/>
    <s v="Zero cost"/>
    <n v="0"/>
    <n v="0"/>
    <n v="0"/>
    <n v="0"/>
    <n v="0"/>
    <n v="0"/>
    <n v="0"/>
    <n v="0"/>
    <n v="0"/>
    <n v="0"/>
    <n v="0"/>
    <n v="0"/>
    <n v="0"/>
    <n v="0"/>
    <n v="0"/>
    <n v="0"/>
    <m/>
    <m/>
    <n v="0"/>
    <m/>
    <m/>
    <n v="0"/>
    <m/>
    <m/>
    <n v="0"/>
    <n v="0"/>
    <n v="0"/>
  </r>
  <r>
    <s v="4.3.1.2"/>
    <x v="0"/>
    <x v="0"/>
    <x v="1"/>
    <x v="1"/>
    <n v="3"/>
    <x v="16"/>
    <x v="16"/>
    <s v="Set up a health trust fund"/>
    <s v="President appoints the trustees"/>
    <s v="Zero cost"/>
    <n v="0"/>
    <n v="0"/>
    <n v="0"/>
    <n v="0"/>
    <n v="0"/>
    <n v="0"/>
    <n v="0"/>
    <n v="0"/>
    <n v="0"/>
    <n v="0"/>
    <n v="0"/>
    <n v="0"/>
    <n v="0"/>
    <n v="0"/>
    <n v="0"/>
    <n v="0"/>
    <m/>
    <m/>
    <n v="0"/>
    <m/>
    <m/>
    <n v="0"/>
    <m/>
    <m/>
    <n v="0"/>
    <n v="0"/>
    <n v="0"/>
  </r>
  <r>
    <s v="4.3.1.2"/>
    <x v="0"/>
    <x v="0"/>
    <x v="1"/>
    <x v="1"/>
    <n v="3"/>
    <x v="16"/>
    <x v="16"/>
    <s v=" Constitute the trust fund with clear oversight of mechanisms for the general oversight of the citizenry "/>
    <s v="Develop a concept note"/>
    <s v="Zero cost"/>
    <n v="0"/>
    <n v="0"/>
    <n v="0"/>
    <n v="0"/>
    <n v="0"/>
    <n v="0"/>
    <n v="0"/>
    <n v="0"/>
    <n v="0"/>
    <n v="0"/>
    <n v="0"/>
    <n v="0"/>
    <n v="0"/>
    <n v="0"/>
    <n v="0"/>
    <n v="0"/>
    <m/>
    <m/>
    <n v="0"/>
    <n v="0"/>
    <n v="0"/>
    <n v="0"/>
    <m/>
    <m/>
    <n v="0"/>
    <n v="0"/>
    <n v="0"/>
  </r>
  <r>
    <s v="4.3.1.2"/>
    <x v="0"/>
    <x v="0"/>
    <x v="1"/>
    <x v="1"/>
    <n v="3"/>
    <x v="16"/>
    <x v="16"/>
    <s v=" Constitute the trust fund with clear oversight of mechanisms for the general oversight of the citizenry "/>
    <s v="Set up a task force"/>
    <s v="Zero cost"/>
    <n v="0"/>
    <n v="0"/>
    <n v="0"/>
    <n v="0"/>
    <n v="0"/>
    <n v="0"/>
    <n v="0"/>
    <n v="0"/>
    <n v="0"/>
    <n v="0"/>
    <n v="0"/>
    <n v="0"/>
    <n v="0"/>
    <n v="0"/>
    <n v="0"/>
    <n v="0"/>
    <m/>
    <m/>
    <n v="0"/>
    <n v="0"/>
    <n v="0"/>
    <n v="0"/>
    <m/>
    <m/>
    <n v="0"/>
    <n v="0"/>
    <n v="0"/>
  </r>
  <r>
    <s v="4.3.1.2"/>
    <x v="0"/>
    <x v="0"/>
    <x v="1"/>
    <x v="1"/>
    <n v="3"/>
    <x v="16"/>
    <x v="16"/>
    <s v=" Constitute the trust fund with clear oversight of mechanisms for the general oversight of the citizenry "/>
    <s v="Identify potential revenue sources"/>
    <s v="Zero cost"/>
    <n v="0"/>
    <n v="0"/>
    <n v="0"/>
    <n v="0"/>
    <n v="0"/>
    <n v="0"/>
    <n v="0"/>
    <n v="0"/>
    <n v="0"/>
    <n v="0"/>
    <n v="0"/>
    <n v="0"/>
    <n v="0"/>
    <n v="0"/>
    <n v="0"/>
    <n v="0"/>
    <m/>
    <m/>
    <n v="0"/>
    <n v="0"/>
    <n v="0"/>
    <n v="0"/>
    <m/>
    <m/>
    <n v="0"/>
    <n v="0"/>
    <n v="0"/>
  </r>
  <r>
    <s v="4.3.1.2"/>
    <x v="0"/>
    <x v="0"/>
    <x v="1"/>
    <x v="1"/>
    <n v="3"/>
    <x v="16"/>
    <x v="16"/>
    <s v=" Constitute the trust fund with clear oversight of mechanisms for the general oversight of the citizenry "/>
    <s v="Recruit a consultant to conduct a feasibility study on the establishment of the health trust fund"/>
    <s v="Newspaper advert (full)"/>
    <n v="391991.03749999998"/>
    <n v="2"/>
    <n v="2"/>
    <n v="1567964.15"/>
    <n v="0"/>
    <n v="0"/>
    <n v="0"/>
    <n v="2"/>
    <n v="2"/>
    <n v="2048182.3883307995"/>
    <n v="0"/>
    <n v="0"/>
    <n v="0"/>
    <n v="0"/>
    <n v="0"/>
    <n v="0"/>
    <m/>
    <m/>
    <n v="0"/>
    <n v="2"/>
    <n v="2"/>
    <n v="3494890.915984733"/>
    <m/>
    <m/>
    <n v="0"/>
    <n v="7111037.454315532"/>
    <n v="6903.9198585587692"/>
  </r>
  <r>
    <s v="4.3.1.2"/>
    <x v="0"/>
    <x v="0"/>
    <x v="1"/>
    <x v="1"/>
    <n v="3"/>
    <x v="16"/>
    <x v="16"/>
    <s v=" Constitute the trust fund with clear oversight of mechanisms for the general oversight of the citizenry "/>
    <s v="Recruit a consultant to conduct a feasibility study on the establishment of the health trust fund"/>
    <s v="Local consultant fee - High level"/>
    <n v="1001560"/>
    <n v="1"/>
    <n v="25"/>
    <n v="25039000"/>
    <n v="0"/>
    <n v="0"/>
    <n v="0"/>
    <n v="1"/>
    <n v="25"/>
    <n v="32707660.325916823"/>
    <n v="0"/>
    <n v="0"/>
    <n v="0"/>
    <n v="1"/>
    <n v="6"/>
    <n v="10253997.785811445"/>
    <m/>
    <m/>
    <n v="0"/>
    <n v="1"/>
    <n v="25"/>
    <n v="55810315.334914856"/>
    <m/>
    <m/>
    <n v="0"/>
    <n v="123810973.44664311"/>
    <n v="120204.82858897389"/>
  </r>
  <r>
    <s v="4.3.1.2"/>
    <x v="0"/>
    <x v="0"/>
    <x v="1"/>
    <x v="1"/>
    <n v="3"/>
    <x v="16"/>
    <x v="16"/>
    <s v=" Constitute the trust fund with clear oversight of mechanisms for the general oversight of the citizenry "/>
    <s v="data collection"/>
    <s v="Full DSA"/>
    <n v="45000"/>
    <n v="25"/>
    <n v="5"/>
    <n v="5625000"/>
    <n v="0"/>
    <n v="0"/>
    <n v="0"/>
    <n v="25"/>
    <n v="5"/>
    <n v="7347761.066068219"/>
    <n v="0"/>
    <n v="0"/>
    <n v="0"/>
    <n v="1"/>
    <n v="40"/>
    <n v="3071407.9393580346"/>
    <m/>
    <m/>
    <n v="0"/>
    <n v="25"/>
    <n v="5"/>
    <n v="12537762.041570991"/>
    <m/>
    <m/>
    <n v="0"/>
    <n v="28581931.046997245"/>
    <n v="27749.447618443926"/>
  </r>
  <r>
    <s v="4.3.1.2"/>
    <x v="0"/>
    <x v="0"/>
    <x v="1"/>
    <x v="1"/>
    <n v="3"/>
    <x v="16"/>
    <x v="16"/>
    <s v=" Constitute the trust fund with clear oversight of mechanisms for the general oversight of the citizenry "/>
    <s v="data collection"/>
    <s v="Local running (diesel, per km)"/>
    <n v="211.42857142857142"/>
    <n v="25"/>
    <n v="5"/>
    <n v="26428.571428571428"/>
    <n v="0"/>
    <n v="0"/>
    <n v="0"/>
    <n v="25"/>
    <n v="5"/>
    <n v="34522.813897717344"/>
    <n v="0"/>
    <n v="0"/>
    <n v="0"/>
    <n v="25"/>
    <n v="10"/>
    <n v="90192.137901783557"/>
    <m/>
    <m/>
    <n v="0"/>
    <n v="25"/>
    <n v="5"/>
    <n v="58907.580385793852"/>
    <m/>
    <m/>
    <n v="0"/>
    <n v="210051.10361386617"/>
    <n v="203.93311030472444"/>
  </r>
  <r>
    <s v="4.3.1.2"/>
    <x v="0"/>
    <x v="0"/>
    <x v="1"/>
    <x v="1"/>
    <n v="3"/>
    <x v="16"/>
    <x v="16"/>
    <s v=" Constitute the trust fund with clear oversight of mechanisms for the general oversight of the citizenry "/>
    <s v="data collection"/>
    <s v="Fuel for travelling participants"/>
    <n v="211.42857142857142"/>
    <n v="22500"/>
    <n v="1"/>
    <n v="4757142.8571428573"/>
    <m/>
    <m/>
    <n v="0"/>
    <n v="22500"/>
    <n v="1"/>
    <n v="6214106.5015891213"/>
    <m/>
    <m/>
    <n v="0"/>
    <m/>
    <m/>
    <n v="0"/>
    <m/>
    <m/>
    <n v="0"/>
    <n v="22500"/>
    <n v="1"/>
    <n v="10603364.469442895"/>
    <m/>
    <m/>
    <n v="0"/>
    <n v="21574613.828174874"/>
    <n v="20946.227017645509"/>
  </r>
  <r>
    <s v="4.3.1.2"/>
    <x v="0"/>
    <x v="0"/>
    <x v="1"/>
    <x v="1"/>
    <n v="3"/>
    <x v="16"/>
    <x v="16"/>
    <s v=" Constitute the trust fund with clear oversight of mechanisms for the general oversight of the citizenry "/>
    <s v="data collection"/>
    <s v="Air time (3gb)"/>
    <n v="10000"/>
    <n v="25"/>
    <n v="1"/>
    <n v="250000"/>
    <n v="0"/>
    <n v="0"/>
    <n v="0"/>
    <n v="25"/>
    <n v="1"/>
    <n v="326567.15849192085"/>
    <n v="0"/>
    <n v="0"/>
    <n v="0"/>
    <n v="20000"/>
    <n v="1"/>
    <n v="341267548.81755942"/>
    <m/>
    <m/>
    <n v="0"/>
    <n v="25"/>
    <n v="1"/>
    <n v="557233.86851426633"/>
    <m/>
    <m/>
    <n v="0"/>
    <n v="342401349.84456557"/>
    <n v="332428.49499472388"/>
  </r>
  <r>
    <s v="4.3.1.2"/>
    <x v="0"/>
    <x v="0"/>
    <x v="1"/>
    <x v="1"/>
    <n v="3"/>
    <x v="16"/>
    <x v="16"/>
    <s v=" Constitute the trust fund with clear oversight of mechanisms for the general oversight of the citizenry "/>
    <s v="data collection"/>
    <s v="Tablet"/>
    <n v="302000"/>
    <n v="25"/>
    <n v="1"/>
    <n v="7550000"/>
    <n v="0"/>
    <n v="0"/>
    <n v="0"/>
    <n v="25"/>
    <n v="1"/>
    <n v="9862328.1864560079"/>
    <n v="0"/>
    <n v="0"/>
    <n v="0"/>
    <n v="15"/>
    <n v="10"/>
    <n v="77297099.807177201"/>
    <m/>
    <m/>
    <n v="0"/>
    <n v="25"/>
    <n v="1"/>
    <n v="16828462.829130843"/>
    <m/>
    <m/>
    <n v="0"/>
    <n v="111537890.82276405"/>
    <n v="108289.21439103306"/>
  </r>
  <r>
    <s v="4.3.1.2"/>
    <x v="0"/>
    <x v="0"/>
    <x v="1"/>
    <x v="1"/>
    <n v="3"/>
    <x v="16"/>
    <x v="16"/>
    <s v=" Constitute the trust fund with clear oversight of mechanisms for the general oversight of the citizenry "/>
    <s v="data analysis"/>
    <s v="DSA (excl. lunch)"/>
    <n v="39000"/>
    <n v="25"/>
    <n v="6"/>
    <n v="5850000"/>
    <n v="0"/>
    <n v="0"/>
    <n v="0"/>
    <n v="25"/>
    <n v="6"/>
    <n v="7641671.5087109469"/>
    <n v="0"/>
    <n v="0"/>
    <n v="0"/>
    <n v="20"/>
    <n v="1"/>
    <n v="1330943.4403884818"/>
    <m/>
    <m/>
    <n v="0"/>
    <n v="25"/>
    <n v="6"/>
    <n v="13039272.523233831"/>
    <m/>
    <m/>
    <n v="0"/>
    <n v="27861887.47233326"/>
    <n v="27050.376186731319"/>
  </r>
  <r>
    <s v="4.3.1.2"/>
    <x v="0"/>
    <x v="0"/>
    <x v="1"/>
    <x v="1"/>
    <n v="3"/>
    <x v="16"/>
    <x v="16"/>
    <s v=" Constitute the trust fund with clear oversight of mechanisms for the general oversight of the citizenry "/>
    <s v="data analysis"/>
    <s v="Conference package high-level"/>
    <n v="35000"/>
    <n v="25"/>
    <n v="5"/>
    <n v="4375000"/>
    <n v="0"/>
    <n v="0"/>
    <n v="0"/>
    <n v="25"/>
    <n v="5"/>
    <n v="5714925.2736086138"/>
    <n v="0"/>
    <n v="0"/>
    <n v="0"/>
    <n v="25"/>
    <n v="5"/>
    <n v="7465227.6303841127"/>
    <m/>
    <m/>
    <n v="0"/>
    <n v="25"/>
    <n v="5"/>
    <n v="9751592.6989996582"/>
    <m/>
    <m/>
    <n v="0"/>
    <n v="27306745.602992386"/>
    <n v="26511.403498050859"/>
  </r>
  <r>
    <s v="4.3.1.2"/>
    <x v="0"/>
    <x v="0"/>
    <x v="1"/>
    <x v="1"/>
    <n v="3"/>
    <x v="16"/>
    <x v="16"/>
    <s v=" Constitute the trust fund with clear oversight of mechanisms for the general oversight of the citizenry "/>
    <s v="data analysis"/>
    <s v="Local running (diesel, per km)"/>
    <n v="211.42857142857142"/>
    <n v="450"/>
    <n v="5"/>
    <n v="475714.28571428568"/>
    <n v="0"/>
    <n v="0"/>
    <n v="0"/>
    <n v="450"/>
    <n v="5"/>
    <n v="621410.65015891218"/>
    <n v="0"/>
    <n v="0"/>
    <n v="0"/>
    <n v="25"/>
    <n v="5"/>
    <n v="45096.068950891779"/>
    <m/>
    <m/>
    <n v="0"/>
    <n v="450"/>
    <n v="5"/>
    <n v="1060336.4469442894"/>
    <m/>
    <m/>
    <n v="0"/>
    <n v="2202557.4517683787"/>
    <n v="2138.4052929790087"/>
  </r>
  <r>
    <s v="4.3.1.2"/>
    <x v="0"/>
    <x v="0"/>
    <x v="1"/>
    <x v="1"/>
    <n v="3"/>
    <x v="16"/>
    <x v="16"/>
    <s v=" Constitute the trust fund with clear oversight of mechanisms for the general oversight of the citizenry "/>
    <s v="data analysis"/>
    <s v="Fuel for travelling participants"/>
    <n v="211.42857142857142"/>
    <n v="2430"/>
    <n v="1"/>
    <n v="513771.42857142852"/>
    <m/>
    <m/>
    <n v="0"/>
    <n v="2430"/>
    <n v="1"/>
    <n v="671123.50217162515"/>
    <m/>
    <m/>
    <n v="0"/>
    <m/>
    <m/>
    <n v="0"/>
    <m/>
    <m/>
    <n v="0"/>
    <n v="2430"/>
    <n v="1"/>
    <n v="1145163.3626998325"/>
    <m/>
    <m/>
    <n v="0"/>
    <n v="2330058.2934428863"/>
    <n v="2262.1925179057148"/>
  </r>
  <r>
    <s v="4.3.1.2"/>
    <x v="0"/>
    <x v="0"/>
    <x v="1"/>
    <x v="1"/>
    <n v="3"/>
    <x v="16"/>
    <x v="16"/>
    <s v=" Constitute the trust fund with clear oversight of mechanisms for the general oversight of the citizenry "/>
    <s v="report writing (consultant)"/>
    <s v="DSA (excl. lunch)"/>
    <n v="39000"/>
    <n v="25"/>
    <n v="6"/>
    <n v="5850000"/>
    <n v="0"/>
    <n v="0"/>
    <n v="0"/>
    <n v="25"/>
    <n v="6"/>
    <n v="7641671.5087109469"/>
    <n v="0"/>
    <n v="0"/>
    <n v="0"/>
    <n v="4000"/>
    <n v="1"/>
    <n v="266188688.07769635"/>
    <m/>
    <m/>
    <n v="0"/>
    <n v="25"/>
    <n v="6"/>
    <n v="13039272.523233831"/>
    <m/>
    <m/>
    <n v="0"/>
    <n v="292719632.10964113"/>
    <n v="284193.81758217583"/>
  </r>
  <r>
    <s v="4.3.1.2"/>
    <x v="0"/>
    <x v="0"/>
    <x v="1"/>
    <x v="1"/>
    <n v="3"/>
    <x v="16"/>
    <x v="16"/>
    <s v=" Constitute the trust fund with clear oversight of mechanisms for the general oversight of the citizenry "/>
    <s v="validation"/>
    <s v="Conference package high-level"/>
    <n v="35000"/>
    <n v="100"/>
    <n v="5"/>
    <n v="17500000"/>
    <n v="0"/>
    <n v="0"/>
    <n v="0"/>
    <n v="100"/>
    <n v="5"/>
    <n v="22859701.094434455"/>
    <n v="0"/>
    <n v="0"/>
    <n v="0"/>
    <n v="25"/>
    <n v="5"/>
    <n v="7465227.6303841127"/>
    <m/>
    <m/>
    <n v="0"/>
    <n v="100"/>
    <n v="5"/>
    <n v="39006370.795998633"/>
    <m/>
    <m/>
    <n v="0"/>
    <n v="86831299.52081719"/>
    <n v="84302.232544482715"/>
  </r>
  <r>
    <s v="4.3.1.2"/>
    <x v="0"/>
    <x v="0"/>
    <x v="1"/>
    <x v="1"/>
    <n v="3"/>
    <x v="16"/>
    <x v="16"/>
    <s v=" Constitute the trust fund with clear oversight of mechanisms for the general oversight of the citizenry "/>
    <s v="validation"/>
    <s v="Local running (diesel, per km)"/>
    <n v="211.42857142857142"/>
    <n v="1450"/>
    <n v="5"/>
    <n v="1532857.142857143"/>
    <n v="0"/>
    <n v="0"/>
    <n v="0"/>
    <n v="1450"/>
    <n v="5"/>
    <n v="2002323.2060676059"/>
    <n v="0"/>
    <n v="0"/>
    <n v="0"/>
    <n v="50"/>
    <n v="1"/>
    <n v="18038.427580356711"/>
    <m/>
    <m/>
    <n v="0"/>
    <n v="1450"/>
    <n v="5"/>
    <n v="3416639.6623760439"/>
    <m/>
    <m/>
    <n v="0"/>
    <n v="6969858.4388811495"/>
    <n v="6766.8528532826695"/>
  </r>
  <r>
    <s v="4.3.1.2"/>
    <x v="0"/>
    <x v="0"/>
    <x v="1"/>
    <x v="1"/>
    <n v="3"/>
    <x v="16"/>
    <x v="16"/>
    <s v=" Constitute the trust fund with clear oversight of mechanisms for the general oversight of the citizenry "/>
    <s v="validation"/>
    <s v="Fuel for travelling participants"/>
    <n v="211.42857142857142"/>
    <n v="22500"/>
    <n v="1"/>
    <n v="4757142.8571428573"/>
    <m/>
    <m/>
    <n v="0"/>
    <n v="22500"/>
    <n v="1"/>
    <n v="6214106.5015891213"/>
    <m/>
    <m/>
    <n v="0"/>
    <m/>
    <m/>
    <n v="0"/>
    <m/>
    <m/>
    <n v="0"/>
    <n v="22500"/>
    <n v="1"/>
    <n v="10603364.469442895"/>
    <m/>
    <m/>
    <n v="0"/>
    <n v="21574613.828174874"/>
    <n v="20946.227017645509"/>
  </r>
  <r>
    <s v="4.3.1.2"/>
    <x v="0"/>
    <x v="0"/>
    <x v="1"/>
    <x v="1"/>
    <n v="3"/>
    <x v="16"/>
    <x v="16"/>
    <s v=" Constitute the trust fund with clear oversight of mechanisms for the general oversight of the citizenry "/>
    <s v="validation"/>
    <s v="DSA (excl. lunch)"/>
    <n v="39000"/>
    <n v="58"/>
    <n v="6"/>
    <n v="13572000"/>
    <n v="0"/>
    <n v="0"/>
    <n v="0"/>
    <n v="58"/>
    <n v="6"/>
    <n v="17728677.900209397"/>
    <n v="0"/>
    <n v="0"/>
    <n v="0"/>
    <n v="4000"/>
    <n v="1"/>
    <n v="266188688.07769635"/>
    <m/>
    <m/>
    <n v="0"/>
    <n v="58"/>
    <n v="6"/>
    <n v="30251112.253902487"/>
    <m/>
    <m/>
    <n v="0"/>
    <n v="327740478.23180825"/>
    <n v="318194.63906000799"/>
  </r>
  <r>
    <s v="4.3.1.2"/>
    <x v="0"/>
    <x v="0"/>
    <x v="1"/>
    <x v="1"/>
    <n v="3"/>
    <x v="16"/>
    <x v="16"/>
    <s v=" Constitute the trust fund with clear oversight of mechanisms for the general oversight of the citizenry "/>
    <s v="dissemination  "/>
    <s v="A4, 1 page, 140 gsm paper"/>
    <n v="8000"/>
    <n v="10"/>
    <n v="1"/>
    <n v="80000"/>
    <n v="0"/>
    <n v="0"/>
    <n v="0"/>
    <n v="10"/>
    <n v="1"/>
    <n v="104501.49071741465"/>
    <n v="0"/>
    <n v="0"/>
    <n v="0"/>
    <n v="10"/>
    <n v="2"/>
    <n v="273014.03905404755"/>
    <m/>
    <m/>
    <n v="0"/>
    <n v="10"/>
    <n v="1"/>
    <n v="178314.83792456522"/>
    <m/>
    <m/>
    <n v="0"/>
    <n v="635830.36769602739"/>
    <n v="617.3110365980848"/>
  </r>
  <r>
    <s v="4.3.1.2"/>
    <x v="0"/>
    <x v="0"/>
    <x v="1"/>
    <x v="1"/>
    <n v="3"/>
    <x v="16"/>
    <x v="16"/>
    <s v=" Constitute the trust fund with clear oversight of mechanisms for the general oversight of the citizenry "/>
    <s v="dissemination  "/>
    <s v="Toner"/>
    <n v="104850"/>
    <n v="1"/>
    <n v="1"/>
    <n v="104850"/>
    <n v="0"/>
    <n v="0"/>
    <n v="0"/>
    <n v="1"/>
    <n v="1"/>
    <n v="136962.26627151159"/>
    <n v="0"/>
    <n v="0"/>
    <n v="0"/>
    <n v="50000"/>
    <n v="1"/>
    <n v="8945475623.3802757"/>
    <m/>
    <m/>
    <n v="0"/>
    <n v="1"/>
    <n v="1"/>
    <n v="233703.88445488326"/>
    <m/>
    <m/>
    <n v="0"/>
    <n v="8945951139.531002"/>
    <n v="8685389.4558553416"/>
  </r>
  <r>
    <s v="4.3.1.2"/>
    <x v="0"/>
    <x v="0"/>
    <x v="1"/>
    <x v="1"/>
    <n v="3"/>
    <x v="16"/>
    <x v="16"/>
    <s v=" Constitute the trust fund with clear oversight of mechanisms for the general oversight of the citizenry "/>
    <s v="dissemination  "/>
    <s v="Conference package high-level"/>
    <n v="35000"/>
    <n v="100"/>
    <n v="1"/>
    <n v="3500000"/>
    <n v="0"/>
    <n v="0"/>
    <n v="0"/>
    <n v="100"/>
    <n v="1"/>
    <n v="4571940.2188868914"/>
    <n v="0"/>
    <n v="0"/>
    <n v="0"/>
    <n v="5"/>
    <n v="1"/>
    <n v="298609.10521536449"/>
    <m/>
    <m/>
    <n v="0"/>
    <n v="100"/>
    <n v="1"/>
    <n v="7801274.1591997268"/>
    <m/>
    <m/>
    <n v="0"/>
    <n v="16171823.483301982"/>
    <n v="15700.79949835144"/>
  </r>
  <r>
    <s v="4.3.1.2"/>
    <x v="0"/>
    <x v="0"/>
    <x v="1"/>
    <x v="1"/>
    <n v="3"/>
    <x v="16"/>
    <x v="16"/>
    <s v=" Constitute the trust fund with clear oversight of mechanisms for the general oversight of the citizenry "/>
    <s v="dissemination  "/>
    <s v="Local running (diesel, per km)"/>
    <n v="211.42857142857142"/>
    <n v="1450"/>
    <n v="1"/>
    <n v="306571.42857142858"/>
    <n v="0"/>
    <n v="0"/>
    <n v="0"/>
    <n v="1450"/>
    <n v="1"/>
    <n v="400464.64121352119"/>
    <n v="0"/>
    <n v="0"/>
    <n v="0"/>
    <n v="100"/>
    <n v="1"/>
    <n v="36076.855160713421"/>
    <m/>
    <m/>
    <n v="0"/>
    <n v="1450"/>
    <n v="1"/>
    <n v="683327.93247520877"/>
    <m/>
    <m/>
    <n v="0"/>
    <n v="1426440.857420872"/>
    <n v="1384.8940363309437"/>
  </r>
  <r>
    <s v="4.3.1.2"/>
    <x v="0"/>
    <x v="0"/>
    <x v="1"/>
    <x v="1"/>
    <n v="3"/>
    <x v="16"/>
    <x v="16"/>
    <s v=" Constitute the trust fund with clear oversight of mechanisms for the general oversight of the citizenry "/>
    <s v="dissemination  "/>
    <s v="Fuel for travelling participants"/>
    <n v="211.42857142857142"/>
    <n v="22500"/>
    <n v="1"/>
    <n v="4757142.8571428573"/>
    <m/>
    <m/>
    <n v="0"/>
    <n v="22500"/>
    <n v="1"/>
    <n v="6214106.5015891213"/>
    <m/>
    <m/>
    <n v="0"/>
    <m/>
    <m/>
    <n v="0"/>
    <m/>
    <m/>
    <n v="0"/>
    <n v="22500"/>
    <n v="1"/>
    <n v="10603364.469442895"/>
    <m/>
    <m/>
    <n v="0"/>
    <n v="21574613.828174874"/>
    <n v="20946.227017645509"/>
  </r>
  <r>
    <s v="4.3.1.2"/>
    <x v="0"/>
    <x v="0"/>
    <x v="1"/>
    <x v="1"/>
    <n v="3"/>
    <x v="16"/>
    <x v="16"/>
    <s v=" Constitute the trust fund with clear oversight of mechanisms for the general oversight of the citizenry "/>
    <s v="establish the trust fund"/>
    <s v="Zero cost"/>
    <n v="0"/>
    <n v="0"/>
    <n v="0"/>
    <n v="0"/>
    <n v="0"/>
    <n v="0"/>
    <n v="0"/>
    <n v="0"/>
    <n v="0"/>
    <n v="0"/>
    <n v="0"/>
    <n v="0"/>
    <n v="0"/>
    <n v="20000"/>
    <n v="1"/>
    <n v="0"/>
    <m/>
    <m/>
    <n v="0"/>
    <n v="0"/>
    <n v="0"/>
    <n v="0"/>
    <m/>
    <m/>
    <n v="0"/>
    <n v="0"/>
    <n v="0"/>
  </r>
  <r>
    <s v="4.3.1.2"/>
    <x v="0"/>
    <x v="0"/>
    <x v="1"/>
    <x v="1"/>
    <n v="3"/>
    <x v="16"/>
    <x v="16"/>
    <s v=" Constitute the trust fund with clear oversight of mechanisms for the general oversight of the citizenry "/>
    <s v="Conduct annual performance review of the trust fund"/>
    <s v="Conference package high-level"/>
    <n v="35000"/>
    <n v="25"/>
    <n v="5"/>
    <n v="4375000"/>
    <n v="0"/>
    <n v="0"/>
    <n v="0"/>
    <n v="25"/>
    <n v="5"/>
    <n v="5714925.2736086138"/>
    <n v="0"/>
    <n v="0"/>
    <n v="0"/>
    <n v="0"/>
    <n v="0"/>
    <n v="0"/>
    <m/>
    <m/>
    <n v="0"/>
    <n v="25"/>
    <n v="5"/>
    <n v="9751592.6989996582"/>
    <m/>
    <m/>
    <n v="0"/>
    <n v="19841517.972608272"/>
    <n v="19263.609682143953"/>
  </r>
  <r>
    <s v="4.3.1.2"/>
    <x v="0"/>
    <x v="0"/>
    <x v="1"/>
    <x v="1"/>
    <n v="3"/>
    <x v="16"/>
    <x v="16"/>
    <s v=" Constitute the trust fund with clear oversight of mechanisms for the general oversight of the citizenry "/>
    <s v="Conduct annual performance review of the trust fund"/>
    <s v="DSA (excl. lunch)"/>
    <n v="39000"/>
    <n v="25"/>
    <n v="6"/>
    <n v="5850000"/>
    <n v="0"/>
    <n v="0"/>
    <n v="0"/>
    <n v="25"/>
    <n v="6"/>
    <n v="7641671.5087109469"/>
    <n v="0"/>
    <n v="0"/>
    <n v="0"/>
    <n v="70"/>
    <n v="1"/>
    <n v="4658302.0413596863"/>
    <m/>
    <m/>
    <n v="0"/>
    <n v="25"/>
    <n v="6"/>
    <n v="13039272.523233831"/>
    <m/>
    <m/>
    <n v="0"/>
    <n v="31189246.073304463"/>
    <n v="30280.821430392683"/>
  </r>
  <r>
    <s v="4.3.1.2"/>
    <x v="0"/>
    <x v="0"/>
    <x v="1"/>
    <x v="1"/>
    <n v="3"/>
    <x v="16"/>
    <x v="16"/>
    <s v=" Constitute the trust fund with clear oversight of mechanisms for the general oversight of the citizenry "/>
    <s v="Conduct annual performance review of the trust fund"/>
    <s v="Local running (diesel, per km)"/>
    <n v="211.42857142857142"/>
    <n v="450"/>
    <n v="0"/>
    <n v="0"/>
    <n v="0"/>
    <n v="0"/>
    <n v="0"/>
    <n v="450"/>
    <n v="0"/>
    <n v="0"/>
    <n v="0"/>
    <n v="0"/>
    <n v="0"/>
    <n v="70"/>
    <n v="1"/>
    <n v="25253.798612499395"/>
    <m/>
    <m/>
    <n v="0"/>
    <n v="450"/>
    <n v="0"/>
    <n v="0"/>
    <m/>
    <m/>
    <n v="0"/>
    <n v="25253.798612499395"/>
    <n v="24.518251080096501"/>
  </r>
  <r>
    <s v="4.3.1.2"/>
    <x v="0"/>
    <x v="0"/>
    <x v="1"/>
    <x v="1"/>
    <n v="3"/>
    <x v="16"/>
    <x v="16"/>
    <s v=" Constitute the trust fund with clear oversight of mechanisms for the general oversight of the citizenry "/>
    <s v="Conduct annual performance review of the trust fund"/>
    <s v="Fuel for travelling participants"/>
    <n v="211.42857142857142"/>
    <n v="2430"/>
    <n v="1"/>
    <n v="513771.42857142852"/>
    <m/>
    <m/>
    <n v="0"/>
    <n v="2430"/>
    <n v="1"/>
    <n v="671123.50217162515"/>
    <m/>
    <m/>
    <n v="0"/>
    <m/>
    <m/>
    <n v="0"/>
    <m/>
    <m/>
    <n v="0"/>
    <n v="2430"/>
    <n v="1"/>
    <n v="1145163.3626998325"/>
    <m/>
    <m/>
    <n v="0"/>
    <n v="2330058.2934428863"/>
    <n v="2262.1925179057148"/>
  </r>
  <r>
    <s v="4.3.1.2"/>
    <x v="0"/>
    <x v="0"/>
    <x v="1"/>
    <x v="1"/>
    <n v="4"/>
    <x v="17"/>
    <x v="17"/>
    <s v="Design community prepayment mechanisms"/>
    <s v="develop a concept note for establishing a community prepayment mechanism"/>
    <s v="Zero cost"/>
    <n v="0"/>
    <n v="0"/>
    <n v="0"/>
    <n v="0"/>
    <n v="0"/>
    <n v="0"/>
    <n v="0"/>
    <n v="0"/>
    <n v="0"/>
    <n v="0"/>
    <n v="0"/>
    <n v="0"/>
    <n v="0"/>
    <n v="20000"/>
    <n v="1"/>
    <n v="0"/>
    <m/>
    <m/>
    <n v="0"/>
    <m/>
    <m/>
    <n v="0"/>
    <n v="0"/>
    <n v="0"/>
    <n v="0"/>
    <n v="0"/>
    <n v="0"/>
  </r>
  <r>
    <s v="4.3.1.2"/>
    <x v="0"/>
    <x v="0"/>
    <x v="1"/>
    <x v="1"/>
    <n v="4"/>
    <x v="17"/>
    <x v="17"/>
    <s v="Design community prepayment mechanisms"/>
    <s v="Set up a taskforce (3 meetings)"/>
    <s v="Zero cost"/>
    <n v="0"/>
    <n v="0"/>
    <n v="0"/>
    <n v="0"/>
    <n v="0"/>
    <n v="0"/>
    <n v="0"/>
    <n v="0"/>
    <n v="0"/>
    <n v="0"/>
    <n v="0"/>
    <n v="0"/>
    <n v="0"/>
    <n v="0"/>
    <n v="0"/>
    <n v="0"/>
    <m/>
    <m/>
    <n v="0"/>
    <m/>
    <m/>
    <n v="0"/>
    <n v="0"/>
    <n v="0"/>
    <n v="0"/>
    <n v="0"/>
    <n v="0"/>
  </r>
  <r>
    <s v="4.3.1.2"/>
    <x v="0"/>
    <x v="0"/>
    <x v="1"/>
    <x v="1"/>
    <n v="4"/>
    <x v="17"/>
    <x v="17"/>
    <s v="Design community prepayment mechanisms"/>
    <s v="Develop TORs for a consultant to conduct a feasibility study"/>
    <s v="Zero cost"/>
    <n v="0"/>
    <n v="0"/>
    <n v="0"/>
    <n v="0"/>
    <n v="0"/>
    <n v="0"/>
    <n v="0"/>
    <n v="0"/>
    <n v="0"/>
    <n v="0"/>
    <n v="0"/>
    <n v="0"/>
    <n v="0"/>
    <n v="0"/>
    <n v="0"/>
    <n v="0"/>
    <m/>
    <m/>
    <n v="0"/>
    <m/>
    <m/>
    <n v="0"/>
    <n v="0"/>
    <n v="0"/>
    <n v="0"/>
    <n v="0"/>
    <n v="0"/>
  </r>
  <r>
    <s v="4.3.1.2"/>
    <x v="0"/>
    <x v="0"/>
    <x v="1"/>
    <x v="1"/>
    <n v="4"/>
    <x v="17"/>
    <x v="17"/>
    <s v="Design community prepayment mechanisms"/>
    <s v="Recruitment of a consultant"/>
    <s v="Newspaper advert (full)"/>
    <n v="391991.03749999998"/>
    <n v="2"/>
    <n v="2"/>
    <n v="1567964.15"/>
    <n v="5"/>
    <n v="5"/>
    <n v="11200370.664841702"/>
    <n v="0"/>
    <n v="0"/>
    <n v="0"/>
    <n v="2"/>
    <n v="2"/>
    <n v="2340910.8621271173"/>
    <n v="0"/>
    <n v="0"/>
    <n v="0"/>
    <m/>
    <m/>
    <n v="0"/>
    <m/>
    <m/>
    <n v="0"/>
    <n v="2"/>
    <n v="2"/>
    <n v="3994384.5595926056"/>
    <n v="19103630.236561425"/>
    <n v="18547.213821904297"/>
  </r>
  <r>
    <s v="4.3.1.2"/>
    <x v="0"/>
    <x v="0"/>
    <x v="1"/>
    <x v="1"/>
    <n v="4"/>
    <x v="17"/>
    <x v="17"/>
    <s v="Design community prepayment mechanisms"/>
    <s v="Recruitment of a consultant"/>
    <s v="Local consultant fee - High level"/>
    <n v="1001560"/>
    <n v="1"/>
    <n v="25"/>
    <n v="25039000"/>
    <n v="1"/>
    <n v="4"/>
    <n v="4578816.2156452797"/>
    <n v="0"/>
    <n v="0"/>
    <n v="0"/>
    <n v="1"/>
    <n v="25"/>
    <n v="37382275.020000227"/>
    <n v="0"/>
    <n v="0"/>
    <n v="0"/>
    <m/>
    <m/>
    <n v="0"/>
    <m/>
    <m/>
    <n v="0"/>
    <n v="1"/>
    <n v="25"/>
    <n v="63786786.826496802"/>
    <n v="130786878.06214231"/>
    <n v="126977.55151664303"/>
  </r>
  <r>
    <s v="4.3.1.2"/>
    <x v="0"/>
    <x v="0"/>
    <x v="1"/>
    <x v="1"/>
    <n v="4"/>
    <x v="17"/>
    <x v="17"/>
    <s v="Design community prepayment mechanisms"/>
    <s v="Develop data collection tool "/>
    <s v="Zero cost"/>
    <n v="0"/>
    <n v="0"/>
    <n v="0"/>
    <n v="0"/>
    <n v="1"/>
    <n v="30"/>
    <n v="0"/>
    <n v="0"/>
    <n v="0"/>
    <n v="0"/>
    <n v="0"/>
    <n v="0"/>
    <n v="0"/>
    <n v="0"/>
    <n v="0"/>
    <n v="0"/>
    <m/>
    <m/>
    <n v="0"/>
    <m/>
    <m/>
    <n v="0"/>
    <n v="0"/>
    <n v="0"/>
    <n v="0"/>
    <n v="0"/>
    <n v="0"/>
  </r>
  <r>
    <s v="4.3.1.2"/>
    <x v="0"/>
    <x v="0"/>
    <x v="1"/>
    <x v="1"/>
    <n v="4"/>
    <x v="17"/>
    <x v="17"/>
    <s v="Design community prepayment mechanisms"/>
    <s v="recruit research assistants "/>
    <s v="Zero cost"/>
    <n v="0"/>
    <n v="0"/>
    <n v="0"/>
    <n v="0"/>
    <n v="5"/>
    <n v="5"/>
    <n v="0"/>
    <n v="0"/>
    <n v="0"/>
    <n v="0"/>
    <n v="0"/>
    <n v="0"/>
    <n v="0"/>
    <n v="0"/>
    <n v="0"/>
    <n v="0"/>
    <m/>
    <m/>
    <n v="0"/>
    <m/>
    <m/>
    <n v="0"/>
    <n v="0"/>
    <n v="0"/>
    <n v="0"/>
    <n v="0"/>
    <n v="0"/>
  </r>
  <r>
    <s v="4.3.1.2"/>
    <x v="0"/>
    <x v="0"/>
    <x v="1"/>
    <x v="1"/>
    <n v="4"/>
    <x v="17"/>
    <x v="17"/>
    <s v="Design community prepayment mechanisms"/>
    <s v="training on the data collection tool "/>
    <s v="Conference package high-level"/>
    <n v="35000"/>
    <n v="25"/>
    <n v="5"/>
    <n v="4375000"/>
    <n v="10"/>
    <n v="1"/>
    <n v="400022.38394999993"/>
    <n v="0"/>
    <n v="0"/>
    <n v="0"/>
    <n v="25"/>
    <n v="5"/>
    <n v="6531708.6629857821"/>
    <n v="0"/>
    <n v="0"/>
    <n v="0"/>
    <m/>
    <m/>
    <n v="0"/>
    <m/>
    <m/>
    <n v="0"/>
    <n v="25"/>
    <n v="5"/>
    <n v="11145301.025037881"/>
    <n v="22452032.071973663"/>
    <n v="21798.089390265694"/>
  </r>
  <r>
    <s v="4.3.1.2"/>
    <x v="0"/>
    <x v="0"/>
    <x v="1"/>
    <x v="1"/>
    <n v="4"/>
    <x v="17"/>
    <x v="17"/>
    <s v="Design community prepayment mechanisms"/>
    <s v="training on the data collection tool "/>
    <s v="DSA (excl. lunch)"/>
    <n v="39000"/>
    <n v="25"/>
    <n v="6"/>
    <n v="5850000"/>
    <m/>
    <m/>
    <n v="0"/>
    <m/>
    <m/>
    <n v="0"/>
    <n v="25"/>
    <n v="6"/>
    <n v="8733827.5836495608"/>
    <m/>
    <m/>
    <n v="0"/>
    <m/>
    <m/>
    <n v="0"/>
    <m/>
    <m/>
    <n v="0"/>
    <n v="25"/>
    <n v="6"/>
    <n v="14902859.656336365"/>
    <n v="29486687.239985928"/>
    <n v="28627.851689306724"/>
  </r>
  <r>
    <s v="4.3.1.2"/>
    <x v="0"/>
    <x v="0"/>
    <x v="1"/>
    <x v="1"/>
    <n v="4"/>
    <x v="17"/>
    <x v="17"/>
    <s v="Design community prepayment mechanisms"/>
    <s v="training on the data collection tool "/>
    <s v="Local running (diesel,per km)"/>
    <n v="211.42857142857142"/>
    <n v="450"/>
    <n v="5"/>
    <n v="475714.28571428568"/>
    <m/>
    <m/>
    <n v="0"/>
    <m/>
    <m/>
    <n v="0"/>
    <n v="450"/>
    <n v="5"/>
    <n v="710223.34196710703"/>
    <m/>
    <m/>
    <n v="0"/>
    <m/>
    <m/>
    <n v="0"/>
    <m/>
    <m/>
    <n v="0"/>
    <n v="450"/>
    <n v="5"/>
    <n v="1211880.8951306494"/>
    <n v="2397818.5228120424"/>
    <n v="2327.9791483612062"/>
  </r>
  <r>
    <s v="4.3.1.2"/>
    <x v="0"/>
    <x v="0"/>
    <x v="1"/>
    <x v="1"/>
    <n v="4"/>
    <x v="17"/>
    <x v="17"/>
    <s v="Design community prepayment mechanisms"/>
    <s v="training on the data collection tool "/>
    <s v="Fuel for travelling participants"/>
    <n v="211.42857142857142"/>
    <n v="2430"/>
    <n v="1"/>
    <n v="513771.42857142852"/>
    <m/>
    <m/>
    <n v="0"/>
    <m/>
    <m/>
    <n v="0"/>
    <n v="2430"/>
    <n v="1"/>
    <n v="767041.20932447549"/>
    <m/>
    <m/>
    <n v="0"/>
    <m/>
    <m/>
    <n v="0"/>
    <m/>
    <m/>
    <n v="0"/>
    <n v="2430"/>
    <n v="1"/>
    <n v="1308831.3667411015"/>
    <n v="2589644.0046370057"/>
    <n v="2514.2174802301029"/>
  </r>
  <r>
    <s v="4.3.1.2"/>
    <x v="0"/>
    <x v="0"/>
    <x v="1"/>
    <x v="1"/>
    <n v="4"/>
    <x v="17"/>
    <x v="17"/>
    <s v="Design community prepayment mechanisms"/>
    <s v="training on the data collection tool "/>
    <s v="A4, 500 pages, 140 gsm paper"/>
    <n v="8000"/>
    <n v="10"/>
    <n v="1"/>
    <n v="80000"/>
    <n v="25"/>
    <n v="3"/>
    <n v="685752.65819999995"/>
    <n v="0"/>
    <n v="0"/>
    <n v="0"/>
    <n v="10"/>
    <n v="1"/>
    <n v="119436.95840888287"/>
    <n v="0"/>
    <n v="0"/>
    <n v="0"/>
    <m/>
    <m/>
    <n v="0"/>
    <m/>
    <m/>
    <n v="0"/>
    <n v="10"/>
    <n v="1"/>
    <n v="203799.79017212125"/>
    <n v="1088989.406781004"/>
    <n v="1057.2712687194214"/>
  </r>
  <r>
    <s v="4.3.1.2"/>
    <x v="0"/>
    <x v="0"/>
    <x v="1"/>
    <x v="1"/>
    <n v="4"/>
    <x v="17"/>
    <x v="17"/>
    <s v="Design community prepayment mechanisms"/>
    <s v="training on the data collection tool "/>
    <s v="Toner"/>
    <n v="104850"/>
    <n v="1"/>
    <n v="1"/>
    <n v="104850"/>
    <n v="5000"/>
    <n v="1"/>
    <n v="599176385.10224986"/>
    <n v="0"/>
    <n v="0"/>
    <n v="0"/>
    <n v="1"/>
    <n v="1"/>
    <n v="156537.0636146421"/>
    <n v="0"/>
    <n v="0"/>
    <n v="0"/>
    <m/>
    <m/>
    <n v="0"/>
    <m/>
    <m/>
    <n v="0"/>
    <n v="1"/>
    <n v="1"/>
    <n v="267105.09999433643"/>
    <n v="599704877.26585877"/>
    <n v="582237.7449183095"/>
  </r>
  <r>
    <s v="4.3.1.2"/>
    <x v="0"/>
    <x v="0"/>
    <x v="1"/>
    <x v="1"/>
    <n v="4"/>
    <x v="17"/>
    <x v="17"/>
    <s v="Design community prepayment mechanisms"/>
    <s v="pretesting of the data collection tool (1 day)"/>
    <s v="Full DSA"/>
    <n v="45000"/>
    <n v="25"/>
    <n v="1"/>
    <n v="1125000"/>
    <n v="1"/>
    <n v="1"/>
    <n v="51431.449364999993"/>
    <n v="0"/>
    <n v="0"/>
    <n v="0"/>
    <n v="25"/>
    <n v="1"/>
    <n v="1679582.2276249153"/>
    <n v="0"/>
    <n v="0"/>
    <n v="0"/>
    <m/>
    <m/>
    <n v="0"/>
    <m/>
    <m/>
    <n v="0"/>
    <n v="25"/>
    <n v="1"/>
    <n v="2865934.5492954552"/>
    <n v="5721948.2262853701"/>
    <n v="5555.2895400828838"/>
  </r>
  <r>
    <s v="4.3.1.2"/>
    <x v="0"/>
    <x v="0"/>
    <x v="1"/>
    <x v="1"/>
    <n v="4"/>
    <x v="17"/>
    <x v="17"/>
    <s v="Design community prepayment mechanisms"/>
    <s v="pretesting of the data collection tool (1 day)"/>
    <s v="Local running (diesel, per km)"/>
    <n v="211.42857142857142"/>
    <n v="25"/>
    <n v="5"/>
    <n v="26428.571428571428"/>
    <n v="25"/>
    <n v="1"/>
    <n v="6041.1543698571422"/>
    <n v="0"/>
    <n v="0"/>
    <n v="0"/>
    <n v="25"/>
    <n v="5"/>
    <n v="39456.852331505943"/>
    <n v="0"/>
    <n v="0"/>
    <n v="0"/>
    <m/>
    <m/>
    <n v="0"/>
    <m/>
    <m/>
    <n v="0"/>
    <n v="25"/>
    <n v="5"/>
    <n v="67326.716396147196"/>
    <n v="139253.29452608171"/>
    <n v="135.19737332629293"/>
  </r>
  <r>
    <s v="4.3.1.2"/>
    <x v="0"/>
    <x v="0"/>
    <x v="1"/>
    <x v="1"/>
    <n v="4"/>
    <x v="17"/>
    <x v="17"/>
    <s v="Design community prepayment mechanisms"/>
    <s v="pretesting of the data collection tool (1 day)"/>
    <s v="Fuel for travelling participants"/>
    <n v="211.42857142857142"/>
    <n v="22500"/>
    <n v="1"/>
    <n v="4757142.8571428573"/>
    <m/>
    <m/>
    <n v="0"/>
    <m/>
    <m/>
    <n v="0"/>
    <n v="22500"/>
    <n v="1"/>
    <n v="7102233.4196710698"/>
    <m/>
    <m/>
    <n v="0"/>
    <m/>
    <m/>
    <n v="0"/>
    <m/>
    <m/>
    <n v="0"/>
    <n v="22500"/>
    <n v="1"/>
    <n v="12118808.951306494"/>
    <n v="23978185.228120424"/>
    <n v="23279.791483612062"/>
  </r>
  <r>
    <s v="4.3.1.2"/>
    <x v="0"/>
    <x v="0"/>
    <x v="1"/>
    <x v="1"/>
    <n v="4"/>
    <x v="17"/>
    <x v="17"/>
    <s v="Design community prepayment mechanisms"/>
    <s v="Validation of the data collection tool "/>
    <s v="Zero cost"/>
    <n v="0"/>
    <n v="0"/>
    <n v="0"/>
    <n v="0"/>
    <n v="4000"/>
    <n v="1"/>
    <n v="0"/>
    <n v="0"/>
    <n v="0"/>
    <n v="0"/>
    <n v="0"/>
    <n v="0"/>
    <n v="0"/>
    <n v="0"/>
    <n v="0"/>
    <n v="0"/>
    <m/>
    <m/>
    <n v="0"/>
    <m/>
    <m/>
    <n v="0"/>
    <n v="0"/>
    <n v="0"/>
    <n v="0"/>
    <n v="0"/>
    <n v="0"/>
  </r>
  <r>
    <s v="4.3.1.2"/>
    <x v="0"/>
    <x v="0"/>
    <x v="1"/>
    <x v="1"/>
    <n v="4"/>
    <x v="17"/>
    <x v="17"/>
    <s v="Design community prepayment mechanisms"/>
    <s v="Data collection "/>
    <s v="Full DSA"/>
    <n v="45000"/>
    <n v="25"/>
    <n v="5"/>
    <n v="5625000"/>
    <n v="30"/>
    <n v="5"/>
    <n v="7714717.4047499988"/>
    <n v="0"/>
    <n v="0"/>
    <n v="0"/>
    <n v="25"/>
    <n v="5"/>
    <n v="8397911.1381245758"/>
    <n v="0"/>
    <n v="0"/>
    <n v="0"/>
    <m/>
    <m/>
    <n v="0"/>
    <m/>
    <m/>
    <n v="0"/>
    <n v="25"/>
    <n v="5"/>
    <n v="14329672.746477276"/>
    <n v="36067301.289351851"/>
    <n v="35016.797368302767"/>
  </r>
  <r>
    <s v="4.3.1.2"/>
    <x v="0"/>
    <x v="0"/>
    <x v="1"/>
    <x v="1"/>
    <n v="4"/>
    <x v="17"/>
    <x v="17"/>
    <s v="Design community prepayment mechanisms"/>
    <s v="Data collection "/>
    <s v="Local running (diesel, per km)"/>
    <n v="211.42857142857142"/>
    <n v="25"/>
    <n v="5"/>
    <n v="26428.571428571428"/>
    <n v="25"/>
    <n v="10"/>
    <n v="60411.543698571419"/>
    <n v="0"/>
    <n v="0"/>
    <n v="0"/>
    <n v="25"/>
    <n v="5"/>
    <n v="39456.852331505943"/>
    <n v="0"/>
    <n v="0"/>
    <n v="0"/>
    <m/>
    <m/>
    <n v="0"/>
    <m/>
    <m/>
    <n v="0"/>
    <n v="25"/>
    <n v="5"/>
    <n v="67326.716396147196"/>
    <n v="193623.68385479599"/>
    <n v="187.98415908232622"/>
  </r>
  <r>
    <s v="4.3.1.2"/>
    <x v="0"/>
    <x v="0"/>
    <x v="1"/>
    <x v="1"/>
    <n v="4"/>
    <x v="17"/>
    <x v="17"/>
    <s v="Design community prepayment mechanisms"/>
    <s v="Data collection "/>
    <s v="Airtime for Research Assistant"/>
    <n v="10000"/>
    <n v="15"/>
    <n v="1"/>
    <n v="150000"/>
    <n v="20000"/>
    <n v="1"/>
    <n v="228584219.39999998"/>
    <n v="0"/>
    <n v="0"/>
    <n v="0"/>
    <n v="15"/>
    <n v="1"/>
    <n v="223944.29701665539"/>
    <n v="0"/>
    <n v="0"/>
    <n v="0"/>
    <m/>
    <m/>
    <n v="0"/>
    <m/>
    <m/>
    <n v="0"/>
    <n v="15"/>
    <n v="1"/>
    <n v="382124.60657272732"/>
    <n v="229340288.30358934"/>
    <n v="222660.47408115471"/>
  </r>
  <r>
    <s v="4.3.1.2"/>
    <x v="0"/>
    <x v="0"/>
    <x v="1"/>
    <x v="1"/>
    <n v="4"/>
    <x v="17"/>
    <x v="17"/>
    <s v="Design community prepayment mechanisms"/>
    <s v="Data collection "/>
    <s v="Tablet"/>
    <n v="302000"/>
    <n v="15"/>
    <n v="1"/>
    <n v="4530000"/>
    <n v="15"/>
    <n v="1"/>
    <n v="5177432.5694099991"/>
    <n v="0"/>
    <n v="0"/>
    <n v="0"/>
    <n v="15"/>
    <n v="1"/>
    <n v="6763117.7699029921"/>
    <n v="0"/>
    <n v="0"/>
    <n v="0"/>
    <m/>
    <m/>
    <n v="0"/>
    <m/>
    <m/>
    <n v="0"/>
    <n v="15"/>
    <n v="1"/>
    <n v="11540163.118496366"/>
    <n v="28010713.457809359"/>
    <n v="27194.867434766369"/>
  </r>
  <r>
    <s v="4.3.1.2"/>
    <x v="0"/>
    <x v="0"/>
    <x v="1"/>
    <x v="1"/>
    <n v="4"/>
    <x v="17"/>
    <x v="17"/>
    <s v="Design community prepayment mechanisms"/>
    <s v="Data analysis "/>
    <s v="Conference package high-level"/>
    <n v="35000"/>
    <n v="25"/>
    <n v="5"/>
    <n v="4375000"/>
    <n v="20"/>
    <n v="1"/>
    <n v="800044.76789999986"/>
    <n v="0"/>
    <n v="0"/>
    <n v="0"/>
    <n v="25"/>
    <n v="5"/>
    <n v="6531708.6629857821"/>
    <n v="0"/>
    <n v="0"/>
    <n v="0"/>
    <m/>
    <m/>
    <n v="0"/>
    <m/>
    <m/>
    <n v="0"/>
    <n v="25"/>
    <n v="5"/>
    <n v="11145301.025037881"/>
    <n v="22852054.455923662"/>
    <n v="22186.460636819091"/>
  </r>
  <r>
    <s v="4.3.1.2"/>
    <x v="0"/>
    <x v="0"/>
    <x v="1"/>
    <x v="1"/>
    <n v="4"/>
    <x v="17"/>
    <x v="17"/>
    <s v="Design community prepayment mechanisms"/>
    <s v="Data analysis "/>
    <s v="DSA (excl. lunch)"/>
    <n v="39000"/>
    <n v="25"/>
    <n v="6"/>
    <n v="5850000"/>
    <n v="25"/>
    <n v="5"/>
    <n v="5571740.347874999"/>
    <n v="0"/>
    <n v="0"/>
    <n v="0"/>
    <n v="25"/>
    <n v="6"/>
    <n v="8733827.5836495608"/>
    <n v="0"/>
    <n v="0"/>
    <n v="0"/>
    <m/>
    <m/>
    <n v="0"/>
    <m/>
    <m/>
    <n v="0"/>
    <n v="25"/>
    <n v="6"/>
    <n v="14902859.656336365"/>
    <n v="35058427.587860927"/>
    <n v="34037.308337729053"/>
  </r>
  <r>
    <s v="4.3.1.2"/>
    <x v="0"/>
    <x v="0"/>
    <x v="1"/>
    <x v="1"/>
    <n v="4"/>
    <x v="17"/>
    <x v="17"/>
    <s v="Design community prepayment mechanisms"/>
    <s v="Data analysis "/>
    <s v="Fuel for travelling participants"/>
    <n v="211.42857142857142"/>
    <n v="2430"/>
    <n v="1"/>
    <n v="513771.42857142852"/>
    <m/>
    <m/>
    <n v="0"/>
    <m/>
    <m/>
    <n v="0"/>
    <n v="2430"/>
    <n v="1"/>
    <n v="767041.20932447549"/>
    <m/>
    <m/>
    <n v="0"/>
    <m/>
    <m/>
    <n v="0"/>
    <m/>
    <m/>
    <n v="0"/>
    <n v="2430"/>
    <n v="1"/>
    <n v="1308831.3667411015"/>
    <n v="2589644.0046370057"/>
    <n v="2514.2174802301029"/>
  </r>
  <r>
    <s v="4.3.1.2"/>
    <x v="0"/>
    <x v="0"/>
    <x v="1"/>
    <x v="1"/>
    <n v="4"/>
    <x v="17"/>
    <x v="17"/>
    <s v="Design community prepayment mechanisms"/>
    <s v="Data analysis "/>
    <s v="Local running (diesel, per km)"/>
    <n v="211.42857142857142"/>
    <n v="450"/>
    <n v="5"/>
    <n v="475714.28571428568"/>
    <n v="25"/>
    <n v="5"/>
    <n v="30205.771849285709"/>
    <n v="0"/>
    <n v="0"/>
    <n v="0"/>
    <n v="450"/>
    <n v="5"/>
    <n v="710223.34196710703"/>
    <n v="0"/>
    <n v="0"/>
    <n v="0"/>
    <m/>
    <m/>
    <n v="0"/>
    <m/>
    <m/>
    <n v="0"/>
    <n v="450"/>
    <n v="5"/>
    <n v="1211880.8951306494"/>
    <n v="2428024.2946613282"/>
    <n v="2357.3051404478915"/>
  </r>
  <r>
    <s v="4.3.1.2"/>
    <x v="0"/>
    <x v="0"/>
    <x v="1"/>
    <x v="1"/>
    <n v="4"/>
    <x v="17"/>
    <x v="17"/>
    <s v="Design community prepayment mechanisms"/>
    <s v="Report writing with clear action points (consultant)"/>
    <s v="Zero cost"/>
    <n v="0"/>
    <n v="0"/>
    <n v="0"/>
    <n v="0"/>
    <n v="4000"/>
    <n v="1"/>
    <n v="0"/>
    <n v="0"/>
    <n v="0"/>
    <n v="0"/>
    <n v="0"/>
    <n v="0"/>
    <n v="0"/>
    <n v="0"/>
    <n v="0"/>
    <n v="0"/>
    <m/>
    <m/>
    <n v="0"/>
    <m/>
    <m/>
    <n v="0"/>
    <n v="0"/>
    <n v="0"/>
    <n v="0"/>
    <n v="0"/>
    <n v="0"/>
  </r>
  <r>
    <s v="4.3.1.2"/>
    <x v="0"/>
    <x v="0"/>
    <x v="1"/>
    <x v="1"/>
    <n v="4"/>
    <x v="17"/>
    <x v="17"/>
    <s v="Design community prepayment mechanisms"/>
    <s v="Validation workshop "/>
    <s v="Conference package high-level"/>
    <n v="35000"/>
    <n v="100"/>
    <n v="5"/>
    <n v="17500000"/>
    <n v="25"/>
    <n v="5"/>
    <n v="5000279.7993749995"/>
    <n v="0"/>
    <n v="0"/>
    <n v="0"/>
    <n v="100"/>
    <n v="5"/>
    <n v="26126834.651943129"/>
    <n v="0"/>
    <n v="0"/>
    <n v="0"/>
    <m/>
    <m/>
    <n v="0"/>
    <m/>
    <m/>
    <n v="0"/>
    <n v="100"/>
    <n v="5"/>
    <n v="44581204.100151524"/>
    <n v="93208318.551469654"/>
    <n v="90493.513156766654"/>
  </r>
  <r>
    <s v="4.3.1.2"/>
    <x v="0"/>
    <x v="0"/>
    <x v="1"/>
    <x v="1"/>
    <n v="4"/>
    <x v="17"/>
    <x v="17"/>
    <s v="Design community prepayment mechanisms"/>
    <s v="Validation workshop "/>
    <s v="DSA (excl. lunch)"/>
    <n v="39000"/>
    <n v="58"/>
    <n v="5"/>
    <n v="11310000"/>
    <m/>
    <m/>
    <n v="0"/>
    <m/>
    <m/>
    <n v="0"/>
    <n v="58"/>
    <n v="5"/>
    <n v="16885399.995055817"/>
    <m/>
    <m/>
    <n v="0"/>
    <m/>
    <m/>
    <n v="0"/>
    <m/>
    <m/>
    <n v="0"/>
    <n v="58"/>
    <n v="5"/>
    <n v="28812195.335583642"/>
    <n v="57007595.330639459"/>
    <n v="55347.179932659667"/>
  </r>
  <r>
    <s v="4.3.1.2"/>
    <x v="0"/>
    <x v="0"/>
    <x v="1"/>
    <x v="1"/>
    <n v="4"/>
    <x v="17"/>
    <x v="17"/>
    <s v="Design community prepayment mechanisms"/>
    <s v="Validation workshop "/>
    <s v="Fuel for travelling participants"/>
    <n v="211.42857142857142"/>
    <n v="22500"/>
    <n v="1"/>
    <n v="4757142.8571428573"/>
    <m/>
    <m/>
    <n v="0"/>
    <m/>
    <m/>
    <n v="0"/>
    <n v="22500"/>
    <n v="1"/>
    <n v="7102233.4196710698"/>
    <m/>
    <m/>
    <n v="0"/>
    <m/>
    <m/>
    <n v="0"/>
    <m/>
    <m/>
    <n v="0"/>
    <n v="22500"/>
    <n v="1"/>
    <n v="12118808.951306494"/>
    <n v="23978185.228120424"/>
    <n v="23279.791483612062"/>
  </r>
  <r>
    <s v="4.3.1.2"/>
    <x v="0"/>
    <x v="0"/>
    <x v="1"/>
    <x v="1"/>
    <n v="4"/>
    <x v="17"/>
    <x v="17"/>
    <s v="Design community prepayment mechanisms"/>
    <s v="Validation workshop "/>
    <s v="local running (diesel, per km)"/>
    <n v="211.42857142857142"/>
    <n v="100"/>
    <n v="5"/>
    <n v="105714.28571428571"/>
    <n v="50"/>
    <n v="1"/>
    <n v="12082.308739714284"/>
    <n v="0"/>
    <n v="0"/>
    <n v="0"/>
    <n v="100"/>
    <n v="5"/>
    <n v="157827.40932602377"/>
    <n v="0"/>
    <n v="0"/>
    <n v="0"/>
    <m/>
    <m/>
    <n v="0"/>
    <m/>
    <m/>
    <n v="0"/>
    <n v="100"/>
    <n v="5"/>
    <n v="269306.86558458878"/>
    <n v="544930.8693646125"/>
    <n v="529.05909647049759"/>
  </r>
  <r>
    <s v="4.3.1.2"/>
    <x v="0"/>
    <x v="0"/>
    <x v="1"/>
    <x v="1"/>
    <n v="4"/>
    <x v="17"/>
    <x v="17"/>
    <s v="Design community prepayment mechanisms"/>
    <s v="Presentation to TWG"/>
    <s v="Conference package high-level"/>
    <n v="35000"/>
    <n v="50"/>
    <n v="1"/>
    <n v="1750000"/>
    <n v="8000"/>
    <n v="1"/>
    <n v="320017907.15999997"/>
    <n v="0"/>
    <n v="0"/>
    <n v="0"/>
    <n v="50"/>
    <n v="1"/>
    <n v="2612683.4651943129"/>
    <n v="0"/>
    <n v="0"/>
    <n v="0"/>
    <m/>
    <m/>
    <n v="0"/>
    <m/>
    <m/>
    <n v="0"/>
    <n v="50"/>
    <n v="1"/>
    <n v="4458120.4100151528"/>
    <n v="328838711.03520942"/>
    <n v="319260.8845002033"/>
  </r>
  <r>
    <s v="4.3.1.2"/>
    <x v="0"/>
    <x v="0"/>
    <x v="1"/>
    <x v="1"/>
    <n v="4"/>
    <x v="17"/>
    <x v="17"/>
    <s v="Design community prepayment mechanisms"/>
    <s v="Presentation to TWG"/>
    <s v="DSA (excl. lunch)"/>
    <n v="39000"/>
    <m/>
    <m/>
    <n v="0"/>
    <m/>
    <m/>
    <n v="0"/>
    <m/>
    <m/>
    <n v="0"/>
    <m/>
    <m/>
    <n v="0"/>
    <m/>
    <m/>
    <n v="0"/>
    <m/>
    <m/>
    <n v="0"/>
    <m/>
    <m/>
    <n v="0"/>
    <m/>
    <m/>
    <n v="0"/>
    <n v="0"/>
    <n v="0"/>
  </r>
  <r>
    <s v="4.3.1.2"/>
    <x v="0"/>
    <x v="0"/>
    <x v="1"/>
    <x v="1"/>
    <n v="4"/>
    <x v="17"/>
    <x v="17"/>
    <s v="Design community prepayment mechanisms"/>
    <s v="Presentation to TWG"/>
    <s v="Local running (diesel,per km)"/>
    <n v="211.42857142857142"/>
    <m/>
    <m/>
    <n v="0"/>
    <m/>
    <m/>
    <n v="0"/>
    <m/>
    <m/>
    <n v="0"/>
    <m/>
    <m/>
    <n v="0"/>
    <m/>
    <m/>
    <n v="0"/>
    <m/>
    <m/>
    <n v="0"/>
    <m/>
    <m/>
    <n v="0"/>
    <m/>
    <m/>
    <n v="0"/>
    <n v="0"/>
    <n v="0"/>
  </r>
  <r>
    <s v="4.3.1.2"/>
    <x v="0"/>
    <x v="0"/>
    <x v="1"/>
    <x v="1"/>
    <n v="4"/>
    <x v="17"/>
    <x v="17"/>
    <s v="Design community prepayment mechanisms"/>
    <s v="Presentation to TWG"/>
    <s v="Fuel for travelling participants"/>
    <n v="211.42857142857142"/>
    <m/>
    <m/>
    <n v="0"/>
    <m/>
    <m/>
    <n v="0"/>
    <m/>
    <m/>
    <n v="0"/>
    <m/>
    <m/>
    <n v="0"/>
    <m/>
    <m/>
    <n v="0"/>
    <m/>
    <m/>
    <n v="0"/>
    <m/>
    <m/>
    <n v="0"/>
    <m/>
    <m/>
    <n v="0"/>
    <n v="0"/>
    <n v="0"/>
  </r>
  <r>
    <s v="4.3.1.2"/>
    <x v="0"/>
    <x v="0"/>
    <x v="1"/>
    <x v="1"/>
    <n v="4"/>
    <x v="17"/>
    <x v="17"/>
    <s v="Design community prepayment mechanisms"/>
    <s v="Presentation to senior management"/>
    <s v="Zero cost"/>
    <n v="0"/>
    <n v="0"/>
    <n v="0"/>
    <n v="0"/>
    <n v="30"/>
    <n v="0.5"/>
    <n v="0"/>
    <n v="0"/>
    <n v="0"/>
    <n v="0"/>
    <n v="0"/>
    <n v="0"/>
    <n v="0"/>
    <n v="0"/>
    <n v="0"/>
    <n v="0"/>
    <m/>
    <m/>
    <n v="0"/>
    <m/>
    <m/>
    <n v="0"/>
    <n v="0"/>
    <n v="0"/>
    <n v="0"/>
    <n v="0"/>
    <n v="0"/>
  </r>
  <r>
    <s v="4.3.1.2"/>
    <x v="0"/>
    <x v="0"/>
    <x v="1"/>
    <x v="1"/>
    <n v="4"/>
    <x v="17"/>
    <x v="17"/>
    <s v="Design community prepayment mechanisms"/>
    <s v="Implementation of the guidelines"/>
    <s v="Zero cost"/>
    <n v="0"/>
    <n v="0"/>
    <n v="0"/>
    <n v="0"/>
    <n v="10"/>
    <n v="1"/>
    <n v="0"/>
    <n v="0"/>
    <n v="0"/>
    <n v="0"/>
    <n v="0"/>
    <n v="0"/>
    <n v="0"/>
    <n v="0"/>
    <n v="0"/>
    <n v="0"/>
    <m/>
    <m/>
    <n v="0"/>
    <m/>
    <m/>
    <n v="0"/>
    <n v="0"/>
    <n v="0"/>
    <n v="0"/>
    <n v="0"/>
    <n v="0"/>
  </r>
  <r>
    <s v="4.3.1.2"/>
    <x v="0"/>
    <x v="0"/>
    <x v="1"/>
    <x v="1"/>
    <n v="4"/>
    <x v="17"/>
    <x v="17"/>
    <s v="Design community prepayment mechanisms"/>
    <s v="pilot the mechanism and monitoring"/>
    <s v="Zero cost"/>
    <n v="0"/>
    <n v="0"/>
    <n v="0"/>
    <n v="0"/>
    <n v="0"/>
    <n v="0"/>
    <n v="0"/>
    <n v="0"/>
    <n v="0"/>
    <n v="0"/>
    <n v="0"/>
    <n v="0"/>
    <n v="0"/>
    <n v="0"/>
    <n v="0"/>
    <n v="0"/>
    <m/>
    <m/>
    <n v="0"/>
    <m/>
    <m/>
    <n v="0"/>
    <n v="0"/>
    <n v="0"/>
    <n v="0"/>
    <n v="0"/>
    <n v="0"/>
  </r>
  <r>
    <s v="4.3.1.3"/>
    <x v="0"/>
    <x v="0"/>
    <x v="2"/>
    <x v="2"/>
    <n v="1"/>
    <x v="18"/>
    <x v="18"/>
    <s v="Joint detailed infrastructure needs assessment"/>
    <s v="develop a concept note "/>
    <s v="Zero cost"/>
    <n v="0"/>
    <m/>
    <m/>
    <n v="0"/>
    <n v="0"/>
    <n v="0"/>
    <n v="0"/>
    <m/>
    <m/>
    <n v="0"/>
    <m/>
    <m/>
    <n v="0"/>
    <n v="0"/>
    <n v="0"/>
    <n v="0"/>
    <m/>
    <m/>
    <n v="0"/>
    <m/>
    <m/>
    <n v="0"/>
    <n v="0"/>
    <n v="0"/>
    <n v="0"/>
    <n v="0"/>
    <n v="0"/>
  </r>
  <r>
    <s v="4.3.1.3"/>
    <x v="0"/>
    <x v="0"/>
    <x v="2"/>
    <x v="2"/>
    <n v="1"/>
    <x v="18"/>
    <x v="18"/>
    <s v="Joint detailed infrastructure needs assessment"/>
    <s v="Set up a committee"/>
    <s v="Zero cost"/>
    <n v="0"/>
    <m/>
    <m/>
    <n v="0"/>
    <n v="0"/>
    <n v="0"/>
    <n v="0"/>
    <m/>
    <m/>
    <n v="0"/>
    <m/>
    <m/>
    <n v="0"/>
    <n v="0"/>
    <n v="0"/>
    <n v="0"/>
    <m/>
    <m/>
    <n v="0"/>
    <m/>
    <m/>
    <n v="0"/>
    <n v="0"/>
    <n v="0"/>
    <n v="0"/>
    <n v="0"/>
    <n v="0"/>
  </r>
  <r>
    <s v="4.3.1.3"/>
    <x v="0"/>
    <x v="0"/>
    <x v="2"/>
    <x v="2"/>
    <n v="1"/>
    <x v="18"/>
    <x v="18"/>
    <s v="Joint detailed infrastructure needs assessment"/>
    <s v="Develop TORs for assessment"/>
    <s v="Zero cost"/>
    <n v="0"/>
    <m/>
    <m/>
    <n v="0"/>
    <n v="0"/>
    <n v="0"/>
    <n v="0"/>
    <m/>
    <m/>
    <n v="0"/>
    <m/>
    <m/>
    <n v="0"/>
    <n v="0"/>
    <n v="0"/>
    <n v="0"/>
    <m/>
    <m/>
    <n v="0"/>
    <m/>
    <m/>
    <n v="0"/>
    <n v="0"/>
    <n v="0"/>
    <n v="0"/>
    <n v="0"/>
    <n v="0"/>
  </r>
  <r>
    <s v="4.3.1.3"/>
    <x v="0"/>
    <x v="0"/>
    <x v="2"/>
    <x v="2"/>
    <n v="1"/>
    <x v="18"/>
    <x v="18"/>
    <s v="Joint detailed infrastructure needs assessment"/>
    <s v="Recruitment of a consultant"/>
    <s v="Newspaper advert (full)"/>
    <n v="391991.03749999998"/>
    <m/>
    <m/>
    <n v="0"/>
    <n v="2"/>
    <n v="2"/>
    <n v="1792059.3063746723"/>
    <m/>
    <m/>
    <n v="0"/>
    <m/>
    <m/>
    <n v="0"/>
    <n v="2"/>
    <n v="2"/>
    <n v="2675476.4105215403"/>
    <m/>
    <m/>
    <n v="0"/>
    <m/>
    <m/>
    <n v="0"/>
    <n v="2"/>
    <n v="2"/>
    <n v="3994384.5595926056"/>
    <n v="8461920.2764888182"/>
    <n v="8215.4565791153582"/>
  </r>
  <r>
    <s v="4.3.1.3"/>
    <x v="0"/>
    <x v="0"/>
    <x v="2"/>
    <x v="2"/>
    <n v="1"/>
    <x v="18"/>
    <x v="18"/>
    <s v="Joint detailed infrastructure needs assessment"/>
    <s v="Recruitment of a consultant"/>
    <s v="Local consultant fee - High level"/>
    <n v="1001560"/>
    <m/>
    <m/>
    <n v="0"/>
    <n v="1"/>
    <n v="25"/>
    <n v="28617601.347782999"/>
    <m/>
    <m/>
    <n v="0"/>
    <m/>
    <m/>
    <n v="0"/>
    <n v="1"/>
    <n v="25"/>
    <n v="42724990.774214357"/>
    <m/>
    <m/>
    <n v="0"/>
    <m/>
    <m/>
    <n v="0"/>
    <n v="1"/>
    <n v="25"/>
    <n v="63786786.826496802"/>
    <n v="135129378.94849417"/>
    <n v="131193.57179465453"/>
  </r>
  <r>
    <s v="4.3.1.3"/>
    <x v="0"/>
    <x v="0"/>
    <x v="2"/>
    <x v="2"/>
    <n v="1"/>
    <x v="18"/>
    <x v="18"/>
    <s v="Joint detailed infrastructure needs assessment"/>
    <s v="Develop data collection tool "/>
    <s v="Zero cost"/>
    <n v="0"/>
    <m/>
    <m/>
    <n v="0"/>
    <n v="0"/>
    <n v="0"/>
    <n v="0"/>
    <m/>
    <m/>
    <n v="0"/>
    <m/>
    <m/>
    <n v="0"/>
    <n v="0"/>
    <n v="0"/>
    <n v="0"/>
    <m/>
    <m/>
    <n v="0"/>
    <m/>
    <m/>
    <n v="0"/>
    <n v="0"/>
    <n v="0"/>
    <n v="0"/>
    <n v="0"/>
    <n v="0"/>
  </r>
  <r>
    <s v="4.3.1.3"/>
    <x v="0"/>
    <x v="0"/>
    <x v="2"/>
    <x v="2"/>
    <n v="1"/>
    <x v="18"/>
    <x v="18"/>
    <s v="Joint detailed infrastructure needs assessment"/>
    <s v="recruit research assistants "/>
    <s v="Zero cost"/>
    <n v="0"/>
    <m/>
    <m/>
    <n v="0"/>
    <n v="0"/>
    <n v="0"/>
    <n v="0"/>
    <m/>
    <m/>
    <n v="0"/>
    <m/>
    <m/>
    <n v="0"/>
    <n v="0"/>
    <n v="0"/>
    <n v="0"/>
    <m/>
    <m/>
    <n v="0"/>
    <m/>
    <m/>
    <n v="0"/>
    <n v="0"/>
    <n v="0"/>
    <n v="0"/>
    <n v="0"/>
    <n v="0"/>
  </r>
  <r>
    <s v="4.3.1.3"/>
    <x v="0"/>
    <x v="0"/>
    <x v="2"/>
    <x v="2"/>
    <n v="1"/>
    <x v="18"/>
    <x v="18"/>
    <s v="Joint detailed infrastructure needs assessment"/>
    <s v="training on the data collection tool "/>
    <s v="Conference package high-level"/>
    <n v="35000"/>
    <m/>
    <m/>
    <n v="0"/>
    <n v="10"/>
    <n v="1"/>
    <n v="400022.38394999993"/>
    <m/>
    <m/>
    <n v="0"/>
    <m/>
    <m/>
    <n v="0"/>
    <n v="10"/>
    <n v="1"/>
    <n v="597218.21043072897"/>
    <m/>
    <m/>
    <n v="0"/>
    <m/>
    <m/>
    <n v="0"/>
    <n v="10"/>
    <n v="1"/>
    <n v="891624.08200303046"/>
    <n v="1888864.6763837594"/>
    <n v="1833.8492003725819"/>
  </r>
  <r>
    <s v="4.3.1.3"/>
    <x v="0"/>
    <x v="0"/>
    <x v="2"/>
    <x v="2"/>
    <n v="1"/>
    <x v="18"/>
    <x v="18"/>
    <s v="Joint detailed infrastructure needs assessment"/>
    <s v="training on the data collection tool "/>
    <s v="A4, 500 pages, 140 gsm paper"/>
    <n v="8000"/>
    <m/>
    <m/>
    <n v="0"/>
    <n v="25"/>
    <n v="1"/>
    <n v="228584.21939999997"/>
    <m/>
    <m/>
    <n v="0"/>
    <m/>
    <m/>
    <n v="0"/>
    <n v="25"/>
    <n v="1"/>
    <n v="341267.54881755944"/>
    <m/>
    <m/>
    <n v="0"/>
    <m/>
    <m/>
    <n v="0"/>
    <n v="25"/>
    <n v="1"/>
    <n v="509499.47543030314"/>
    <n v="1079351.2436478627"/>
    <n v="1047.9138287843327"/>
  </r>
  <r>
    <s v="4.3.1.3"/>
    <x v="0"/>
    <x v="0"/>
    <x v="2"/>
    <x v="2"/>
    <n v="1"/>
    <x v="18"/>
    <x v="18"/>
    <s v="Joint detailed infrastructure needs assessment"/>
    <s v="training on the data collection tool "/>
    <s v="Toner"/>
    <n v="104850"/>
    <m/>
    <m/>
    <n v="0"/>
    <n v="1"/>
    <n v="1"/>
    <n v="119835.27702044998"/>
    <m/>
    <m/>
    <n v="0"/>
    <m/>
    <m/>
    <n v="0"/>
    <n v="1"/>
    <n v="1"/>
    <n v="178909.51246760553"/>
    <m/>
    <m/>
    <n v="0"/>
    <m/>
    <m/>
    <n v="0"/>
    <n v="1"/>
    <n v="1"/>
    <n v="267105.09999433643"/>
    <n v="565849.889482392"/>
    <n v="549.36882474018637"/>
  </r>
  <r>
    <s v="4.3.1.3"/>
    <x v="0"/>
    <x v="0"/>
    <x v="2"/>
    <x v="2"/>
    <n v="1"/>
    <x v="18"/>
    <x v="18"/>
    <s v="Joint detailed infrastructure needs assessment"/>
    <s v="pretesting of the data collection tool (1 day)"/>
    <s v="Full DSA"/>
    <n v="45000"/>
    <m/>
    <m/>
    <n v="0"/>
    <n v="10"/>
    <n v="1"/>
    <n v="514314.49364999996"/>
    <m/>
    <m/>
    <n v="0"/>
    <m/>
    <m/>
    <n v="0"/>
    <n v="10"/>
    <n v="1"/>
    <n v="767851.98483950866"/>
    <m/>
    <m/>
    <n v="0"/>
    <m/>
    <m/>
    <n v="0"/>
    <n v="10"/>
    <n v="1"/>
    <n v="1146373.8197181821"/>
    <n v="2428540.2982076909"/>
    <n v="2357.8061147647486"/>
  </r>
  <r>
    <s v="4.3.1.3"/>
    <x v="0"/>
    <x v="0"/>
    <x v="2"/>
    <x v="2"/>
    <n v="1"/>
    <x v="18"/>
    <x v="18"/>
    <s v="Joint detailed infrastructure needs assessment"/>
    <s v="pretesting of the data collection tool (1 day)"/>
    <s v="Local running (diesel, per km)"/>
    <n v="211.42857142857142"/>
    <m/>
    <m/>
    <n v="0"/>
    <n v="450"/>
    <n v="1"/>
    <n v="108740.77865742856"/>
    <m/>
    <m/>
    <n v="0"/>
    <m/>
    <m/>
    <n v="0"/>
    <n v="450"/>
    <n v="1"/>
    <n v="162345.8482232104"/>
    <m/>
    <m/>
    <n v="0"/>
    <m/>
    <m/>
    <n v="0"/>
    <n v="450"/>
    <n v="1"/>
    <n v="242376.17902612989"/>
    <n v="513462.80590676883"/>
    <n v="498.50757855026097"/>
  </r>
  <r>
    <s v="4.3.1.3"/>
    <x v="0"/>
    <x v="0"/>
    <x v="2"/>
    <x v="2"/>
    <n v="1"/>
    <x v="18"/>
    <x v="18"/>
    <s v="Joint detailed infrastructure needs assessment"/>
    <s v="pretesting of the data collection tool (1 day)"/>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1"/>
    <x v="18"/>
    <x v="18"/>
    <s v="Joint detailed infrastructure needs assessment"/>
    <s v="Validation of the data collection tool "/>
    <s v="Conference package high-level"/>
    <n v="35000"/>
    <m/>
    <m/>
    <n v="0"/>
    <n v="30"/>
    <n v="5"/>
    <n v="6000335.7592499992"/>
    <m/>
    <m/>
    <n v="0"/>
    <m/>
    <m/>
    <n v="0"/>
    <n v="30"/>
    <n v="5"/>
    <n v="8958273.1564609352"/>
    <m/>
    <m/>
    <n v="0"/>
    <m/>
    <m/>
    <n v="0"/>
    <n v="30"/>
    <n v="5"/>
    <n v="13374361.230045456"/>
    <n v="28332970.14575639"/>
    <n v="27507.73800558873"/>
  </r>
  <r>
    <s v="4.3.1.3"/>
    <x v="0"/>
    <x v="0"/>
    <x v="2"/>
    <x v="2"/>
    <n v="1"/>
    <x v="18"/>
    <x v="18"/>
    <s v="Joint detailed infrastructure needs assessment"/>
    <s v="Data collection "/>
    <s v="Full DSA"/>
    <n v="45000"/>
    <m/>
    <m/>
    <n v="0"/>
    <n v="30"/>
    <n v="6"/>
    <n v="9257660.8856999986"/>
    <m/>
    <m/>
    <n v="0"/>
    <m/>
    <m/>
    <n v="0"/>
    <n v="30"/>
    <n v="6"/>
    <n v="13821335.727111155"/>
    <m/>
    <m/>
    <n v="0"/>
    <m/>
    <m/>
    <n v="0"/>
    <n v="30"/>
    <n v="6"/>
    <n v="20634728.754927278"/>
    <n v="43713725.367738433"/>
    <n v="42440.510065765469"/>
  </r>
  <r>
    <s v="4.3.1.3"/>
    <x v="0"/>
    <x v="0"/>
    <x v="2"/>
    <x v="2"/>
    <n v="1"/>
    <x v="18"/>
    <x v="18"/>
    <s v="Joint detailed infrastructure needs assessment"/>
    <s v="Data collection "/>
    <s v="Local running (diesel, per km)"/>
    <n v="211.42857142857142"/>
    <m/>
    <m/>
    <n v="0"/>
    <n v="450"/>
    <n v="5"/>
    <n v="543703.89328714274"/>
    <m/>
    <m/>
    <n v="0"/>
    <m/>
    <m/>
    <n v="0"/>
    <n v="450"/>
    <n v="5"/>
    <n v="811729.24111605203"/>
    <m/>
    <m/>
    <n v="0"/>
    <m/>
    <m/>
    <n v="0"/>
    <n v="450"/>
    <n v="5"/>
    <n v="1211880.8951306494"/>
    <n v="2567314.0295338444"/>
    <n v="2492.5378927513052"/>
  </r>
  <r>
    <s v="4.3.1.3"/>
    <x v="0"/>
    <x v="0"/>
    <x v="2"/>
    <x v="2"/>
    <n v="1"/>
    <x v="18"/>
    <x v="18"/>
    <s v="Joint detailed infrastructure needs assessment"/>
    <s v="Data collection "/>
    <s v="Fuel for Traveling Participants"/>
    <n v="211.42857142857142"/>
    <m/>
    <m/>
    <n v="0"/>
    <n v="2430"/>
    <n v="5"/>
    <n v="2936001.0237505711"/>
    <m/>
    <m/>
    <n v="0"/>
    <m/>
    <m/>
    <n v="0"/>
    <n v="2430"/>
    <n v="5"/>
    <n v="4383337.9020266803"/>
    <m/>
    <m/>
    <n v="0"/>
    <m/>
    <m/>
    <n v="0"/>
    <n v="2430"/>
    <n v="5"/>
    <n v="6544156.8337055072"/>
    <n v="13863495.759482758"/>
    <n v="13459.704620857046"/>
  </r>
  <r>
    <s v="4.3.1.3"/>
    <x v="0"/>
    <x v="0"/>
    <x v="2"/>
    <x v="2"/>
    <n v="1"/>
    <x v="18"/>
    <x v="18"/>
    <s v="Joint detailed infrastructure needs assessment"/>
    <s v="Data collection "/>
    <s v="Airtime for Research Assistant"/>
    <n v="10000"/>
    <m/>
    <m/>
    <n v="0"/>
    <n v="30"/>
    <n v="5"/>
    <n v="1714381.6454999999"/>
    <m/>
    <m/>
    <n v="0"/>
    <m/>
    <m/>
    <n v="0"/>
    <n v="30"/>
    <n v="5"/>
    <n v="2559506.6161316959"/>
    <m/>
    <m/>
    <n v="0"/>
    <m/>
    <m/>
    <n v="0"/>
    <n v="30"/>
    <n v="5"/>
    <n v="3821246.065727273"/>
    <n v="8095134.3273589686"/>
    <n v="7859.3537158824938"/>
  </r>
  <r>
    <s v="4.3.1.3"/>
    <x v="0"/>
    <x v="0"/>
    <x v="2"/>
    <x v="2"/>
    <n v="1"/>
    <x v="18"/>
    <x v="18"/>
    <s v="Joint detailed infrastructure needs assessment"/>
    <s v="Data analysis "/>
    <s v="Conference package high-level"/>
    <n v="35000"/>
    <m/>
    <m/>
    <n v="0"/>
    <n v="30"/>
    <n v="5"/>
    <n v="6000335.7592499992"/>
    <m/>
    <m/>
    <n v="0"/>
    <m/>
    <m/>
    <n v="0"/>
    <n v="30"/>
    <n v="5"/>
    <n v="8958273.1564609352"/>
    <m/>
    <m/>
    <n v="0"/>
    <m/>
    <m/>
    <n v="0"/>
    <n v="30"/>
    <n v="5"/>
    <n v="13374361.230045456"/>
    <n v="28332970.14575639"/>
    <n v="27507.73800558873"/>
  </r>
  <r>
    <s v="4.3.1.3"/>
    <x v="0"/>
    <x v="0"/>
    <x v="2"/>
    <x v="2"/>
    <n v="1"/>
    <x v="18"/>
    <x v="18"/>
    <s v="Joint detailed infrastructure needs assessment"/>
    <s v="Data analysis "/>
    <s v="DSA (excl. lunch)"/>
    <n v="39000"/>
    <m/>
    <m/>
    <n v="0"/>
    <n v="30"/>
    <n v="6"/>
    <n v="8023306.1009399984"/>
    <m/>
    <m/>
    <n v="0"/>
    <m/>
    <m/>
    <n v="0"/>
    <n v="30"/>
    <n v="6"/>
    <n v="11978490.963496335"/>
    <m/>
    <m/>
    <n v="0"/>
    <m/>
    <m/>
    <n v="0"/>
    <n v="30"/>
    <n v="6"/>
    <n v="17883431.58760364"/>
    <n v="37885228.652039975"/>
    <n v="36781.775390330076"/>
  </r>
  <r>
    <s v="4.3.1.3"/>
    <x v="0"/>
    <x v="0"/>
    <x v="2"/>
    <x v="2"/>
    <n v="1"/>
    <x v="18"/>
    <x v="18"/>
    <s v="Joint detailed infrastructure needs assessment"/>
    <s v="Data analysis "/>
    <s v="Local running (diesel, per km)"/>
    <n v="211.42857142857142"/>
    <m/>
    <m/>
    <n v="0"/>
    <n v="450"/>
    <n v="5"/>
    <n v="543703.89328714274"/>
    <m/>
    <m/>
    <n v="0"/>
    <m/>
    <m/>
    <n v="0"/>
    <n v="450"/>
    <n v="5"/>
    <n v="811729.24111605203"/>
    <m/>
    <m/>
    <n v="0"/>
    <m/>
    <m/>
    <n v="0"/>
    <n v="450"/>
    <n v="5"/>
    <n v="1211880.8951306494"/>
    <n v="2567314.0295338444"/>
    <n v="2492.5378927513052"/>
  </r>
  <r>
    <s v="4.3.1.3"/>
    <x v="0"/>
    <x v="0"/>
    <x v="2"/>
    <x v="2"/>
    <n v="1"/>
    <x v="18"/>
    <x v="18"/>
    <s v="Joint detailed infrastructure needs assessment"/>
    <s v="Data analysis "/>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1"/>
    <x v="18"/>
    <x v="18"/>
    <s v="Joint detailed infrastructure needs assessment"/>
    <s v="Validation Workshop"/>
    <s v="Conference package high-level"/>
    <n v="35000"/>
    <m/>
    <m/>
    <n v="0"/>
    <n v="100"/>
    <n v="5"/>
    <n v="20001119.197499998"/>
    <m/>
    <m/>
    <n v="0"/>
    <m/>
    <m/>
    <n v="0"/>
    <n v="100"/>
    <n v="5"/>
    <n v="29860910.521536451"/>
    <m/>
    <m/>
    <n v="0"/>
    <m/>
    <m/>
    <n v="0"/>
    <n v="100"/>
    <n v="5"/>
    <n v="44581204.100151524"/>
    <n v="94443233.819187969"/>
    <n v="91692.460018629092"/>
  </r>
  <r>
    <s v="4.3.1.3"/>
    <x v="0"/>
    <x v="0"/>
    <x v="2"/>
    <x v="2"/>
    <n v="1"/>
    <x v="18"/>
    <x v="18"/>
    <s v="Joint detailed infrastructure needs assessment"/>
    <s v="Validation Workshop"/>
    <s v="Full DSA"/>
    <n v="45000"/>
    <m/>
    <m/>
    <n v="0"/>
    <n v="58"/>
    <n v="6"/>
    <n v="17898144.379019998"/>
    <m/>
    <m/>
    <n v="0"/>
    <m/>
    <m/>
    <n v="0"/>
    <n v="58"/>
    <n v="6"/>
    <n v="26721249.072414897"/>
    <m/>
    <m/>
    <n v="0"/>
    <m/>
    <m/>
    <n v="0"/>
    <n v="58"/>
    <n v="6"/>
    <n v="39893808.926192731"/>
    <n v="84513202.377627626"/>
    <n v="82051.652793813235"/>
  </r>
  <r>
    <s v="4.3.1.3"/>
    <x v="0"/>
    <x v="0"/>
    <x v="2"/>
    <x v="2"/>
    <n v="1"/>
    <x v="18"/>
    <x v="18"/>
    <s v="Joint detailed infrastructure needs assessment"/>
    <s v="Validation Workshop"/>
    <s v="Local running (diesel, per km)"/>
    <n v="211.42857142857142"/>
    <m/>
    <m/>
    <n v="0"/>
    <n v="450"/>
    <n v="5"/>
    <n v="543703.89328714274"/>
    <m/>
    <m/>
    <n v="0"/>
    <m/>
    <m/>
    <n v="0"/>
    <n v="450"/>
    <n v="5"/>
    <n v="811729.24111605203"/>
    <m/>
    <m/>
    <n v="0"/>
    <m/>
    <m/>
    <n v="0"/>
    <n v="450"/>
    <n v="5"/>
    <n v="1211880.8951306494"/>
    <n v="2567314.0295338444"/>
    <n v="2492.5378927513052"/>
  </r>
  <r>
    <s v="4.3.1.3"/>
    <x v="0"/>
    <x v="0"/>
    <x v="2"/>
    <x v="2"/>
    <n v="1"/>
    <x v="18"/>
    <x v="18"/>
    <s v="Joint detailed infrastructure needs assessment"/>
    <s v="Validation Workshop"/>
    <s v="Fuel for Traveling Participants"/>
    <n v="211.42857142857142"/>
    <m/>
    <m/>
    <n v="0"/>
    <n v="22500"/>
    <n v="1"/>
    <n v="5437038.9328714283"/>
    <m/>
    <m/>
    <n v="0"/>
    <m/>
    <m/>
    <n v="0"/>
    <n v="22500"/>
    <n v="1"/>
    <n v="8117292.4111605193"/>
    <m/>
    <m/>
    <n v="0"/>
    <m/>
    <m/>
    <n v="0"/>
    <n v="22500"/>
    <n v="1"/>
    <n v="12118808.951306494"/>
    <n v="25673140.295338444"/>
    <n v="24925.378927513051"/>
  </r>
  <r>
    <s v="4.3.1.3"/>
    <x v="0"/>
    <x v="0"/>
    <x v="2"/>
    <x v="2"/>
    <n v="1"/>
    <x v="18"/>
    <x v="18"/>
    <s v="Joint detailed infrastructure needs assessment"/>
    <s v="Report writing with clear action points (consultant)"/>
    <s v="Zero cost"/>
    <n v="0"/>
    <m/>
    <m/>
    <n v="0"/>
    <n v="0"/>
    <n v="0"/>
    <n v="0"/>
    <m/>
    <m/>
    <n v="0"/>
    <m/>
    <m/>
    <n v="0"/>
    <n v="0"/>
    <n v="0"/>
    <n v="0"/>
    <m/>
    <m/>
    <n v="0"/>
    <m/>
    <m/>
    <n v="0"/>
    <n v="0"/>
    <n v="0"/>
    <n v="0"/>
    <n v="0"/>
    <n v="0"/>
  </r>
  <r>
    <s v="4.3.1.3"/>
    <x v="0"/>
    <x v="0"/>
    <x v="2"/>
    <x v="2"/>
    <n v="1"/>
    <x v="18"/>
    <x v="18"/>
    <s v="Joint detailed infrastructure needs assessment"/>
    <s v="Lobby for inclusion of infrastructure needs for optional paying services in CIP and PSIP"/>
    <s v="Zero cost"/>
    <n v="0"/>
    <m/>
    <m/>
    <n v="0"/>
    <n v="0"/>
    <n v="0"/>
    <n v="0"/>
    <m/>
    <m/>
    <n v="0"/>
    <m/>
    <m/>
    <n v="0"/>
    <n v="0"/>
    <n v="0"/>
    <n v="0"/>
    <m/>
    <m/>
    <n v="0"/>
    <m/>
    <m/>
    <n v="0"/>
    <n v="0"/>
    <n v="0"/>
    <n v="0"/>
    <n v="0"/>
    <n v="0"/>
  </r>
  <r>
    <s v="4.3.1.3"/>
    <x v="0"/>
    <x v="0"/>
    <x v="2"/>
    <x v="2"/>
    <n v="2"/>
    <x v="19"/>
    <x v="19"/>
    <s v="Revise financial management guidelines for the optional paying services in _x000a_central hospitals_x000a_"/>
    <s v="develop a concept note for establishing a community prepayment mechanism"/>
    <s v="Zero cost"/>
    <n v="0"/>
    <m/>
    <m/>
    <n v="0"/>
    <n v="0"/>
    <n v="0"/>
    <n v="0"/>
    <m/>
    <m/>
    <n v="0"/>
    <m/>
    <m/>
    <n v="0"/>
    <m/>
    <m/>
    <n v="0"/>
    <n v="0"/>
    <n v="0"/>
    <n v="0"/>
    <m/>
    <m/>
    <n v="0"/>
    <m/>
    <m/>
    <n v="0"/>
    <n v="0"/>
    <n v="0"/>
  </r>
  <r>
    <s v="4.3.1.3"/>
    <x v="0"/>
    <x v="0"/>
    <x v="2"/>
    <x v="2"/>
    <n v="2"/>
    <x v="19"/>
    <x v="19"/>
    <s v="Revise financial management guidelines for the optional paying services in _x000a_central hospitals_x000a_"/>
    <s v="Set up a taskforce (3 meetings)"/>
    <s v="Zero cost"/>
    <n v="0"/>
    <m/>
    <m/>
    <n v="0"/>
    <n v="0"/>
    <n v="0"/>
    <n v="0"/>
    <m/>
    <m/>
    <n v="0"/>
    <m/>
    <m/>
    <n v="0"/>
    <m/>
    <m/>
    <n v="0"/>
    <n v="0"/>
    <n v="0"/>
    <n v="0"/>
    <m/>
    <m/>
    <n v="0"/>
    <m/>
    <m/>
    <n v="0"/>
    <n v="0"/>
    <n v="0"/>
  </r>
  <r>
    <s v="4.3.1.3"/>
    <x v="0"/>
    <x v="0"/>
    <x v="2"/>
    <x v="2"/>
    <n v="2"/>
    <x v="19"/>
    <x v="19"/>
    <s v="Revise financial management guidelines for the optional paying services in _x000a_central hospitals_x000a_"/>
    <s v="Develop TORs for a consultant to conduct a feasibility study"/>
    <s v="Zero cost"/>
    <n v="0"/>
    <m/>
    <m/>
    <n v="0"/>
    <n v="0"/>
    <n v="0"/>
    <n v="0"/>
    <m/>
    <m/>
    <n v="0"/>
    <m/>
    <m/>
    <n v="0"/>
    <m/>
    <m/>
    <n v="0"/>
    <n v="0"/>
    <n v="0"/>
    <n v="0"/>
    <m/>
    <m/>
    <n v="0"/>
    <m/>
    <m/>
    <n v="0"/>
    <n v="0"/>
    <n v="0"/>
  </r>
  <r>
    <s v="4.3.1.3"/>
    <x v="0"/>
    <x v="0"/>
    <x v="2"/>
    <x v="2"/>
    <n v="2"/>
    <x v="19"/>
    <x v="19"/>
    <s v="Revise financial management guidelines for the optional paying services in _x000a_central hospitals_x000a_"/>
    <s v="Recruitment of a consultant"/>
    <s v="Newspaper advert (full)"/>
    <n v="391991.03749999998"/>
    <m/>
    <m/>
    <n v="0"/>
    <n v="2"/>
    <n v="2"/>
    <n v="1792059.3063746723"/>
    <m/>
    <m/>
    <n v="0"/>
    <m/>
    <m/>
    <n v="0"/>
    <m/>
    <m/>
    <n v="0"/>
    <n v="2"/>
    <n v="2"/>
    <n v="3057858.4341109009"/>
    <m/>
    <m/>
    <n v="0"/>
    <m/>
    <m/>
    <n v="0"/>
    <n v="4849917.7404855732"/>
    <n v="4708.6580004714306"/>
  </r>
  <r>
    <s v="4.3.1.3"/>
    <x v="0"/>
    <x v="0"/>
    <x v="2"/>
    <x v="2"/>
    <n v="2"/>
    <x v="19"/>
    <x v="19"/>
    <s v="Revise financial management guidelines for the optional paying services in _x000a_central hospitals_x000a_"/>
    <s v="Recruitment of a consultant"/>
    <s v="Local consultant fee - High level"/>
    <n v="1001560"/>
    <m/>
    <m/>
    <n v="0"/>
    <n v="1"/>
    <n v="25"/>
    <n v="28617601.347782999"/>
    <m/>
    <m/>
    <n v="0"/>
    <m/>
    <m/>
    <n v="0"/>
    <m/>
    <m/>
    <n v="0"/>
    <n v="1"/>
    <n v="25"/>
    <n v="48831293.324979939"/>
    <m/>
    <m/>
    <n v="0"/>
    <m/>
    <m/>
    <n v="0"/>
    <n v="77448894.67276293"/>
    <n v="75193.101624041679"/>
  </r>
  <r>
    <s v="4.3.1.3"/>
    <x v="0"/>
    <x v="0"/>
    <x v="2"/>
    <x v="2"/>
    <n v="2"/>
    <x v="19"/>
    <x v="19"/>
    <s v="Revise financial management guidelines for the optional paying services in _x000a_central hospitals_x000a_"/>
    <s v="Develop data collection tool "/>
    <s v="Zero cost"/>
    <n v="0"/>
    <m/>
    <m/>
    <n v="0"/>
    <n v="0"/>
    <n v="0"/>
    <n v="0"/>
    <m/>
    <m/>
    <n v="0"/>
    <m/>
    <m/>
    <n v="0"/>
    <m/>
    <m/>
    <n v="0"/>
    <n v="0"/>
    <n v="0"/>
    <n v="0"/>
    <m/>
    <m/>
    <n v="0"/>
    <m/>
    <m/>
    <n v="0"/>
    <n v="0"/>
    <n v="0"/>
  </r>
  <r>
    <s v="4.3.1.3"/>
    <x v="0"/>
    <x v="0"/>
    <x v="2"/>
    <x v="2"/>
    <n v="2"/>
    <x v="19"/>
    <x v="19"/>
    <s v="Revise financial management guidelines for the optional paying services in _x000a_central hospitals_x000a_"/>
    <s v="recruit research assistants "/>
    <s v="Zero cost"/>
    <n v="0"/>
    <m/>
    <m/>
    <n v="0"/>
    <n v="0"/>
    <n v="0"/>
    <n v="0"/>
    <m/>
    <m/>
    <n v="0"/>
    <m/>
    <m/>
    <n v="0"/>
    <m/>
    <m/>
    <n v="0"/>
    <n v="0"/>
    <n v="0"/>
    <n v="0"/>
    <m/>
    <m/>
    <n v="0"/>
    <m/>
    <m/>
    <n v="0"/>
    <n v="0"/>
    <n v="0"/>
  </r>
  <r>
    <s v="4.3.1.3"/>
    <x v="0"/>
    <x v="0"/>
    <x v="2"/>
    <x v="2"/>
    <n v="2"/>
    <x v="19"/>
    <x v="19"/>
    <s v="Revise financial management guidelines for the optional paying services in _x000a_central hospitals_x000a_"/>
    <s v="training on the data collection tool "/>
    <s v="Conference package high-level"/>
    <n v="35000"/>
    <m/>
    <m/>
    <n v="0"/>
    <n v="30"/>
    <n v="5"/>
    <n v="6000335.7592499992"/>
    <m/>
    <m/>
    <n v="0"/>
    <m/>
    <m/>
    <n v="0"/>
    <m/>
    <m/>
    <n v="0"/>
    <n v="30"/>
    <n v="5"/>
    <n v="10238599.383207982"/>
    <m/>
    <m/>
    <n v="0"/>
    <m/>
    <m/>
    <n v="0"/>
    <n v="16238935.142457981"/>
    <n v="15765.956448988331"/>
  </r>
  <r>
    <s v="4.3.1.3"/>
    <x v="0"/>
    <x v="0"/>
    <x v="2"/>
    <x v="2"/>
    <n v="2"/>
    <x v="19"/>
    <x v="19"/>
    <s v="Revise financial management guidelines for the optional paying services in _x000a_central hospitals_x000a_"/>
    <s v="training on the data collection tool "/>
    <s v="A4, 500 page, 140 gsm paper"/>
    <n v="8000"/>
    <m/>
    <m/>
    <n v="0"/>
    <n v="10"/>
    <n v="1"/>
    <n v="91433.687760000001"/>
    <m/>
    <m/>
    <n v="0"/>
    <m/>
    <m/>
    <n v="0"/>
    <m/>
    <m/>
    <n v="0"/>
    <n v="10"/>
    <n v="1"/>
    <n v="156016.75250602642"/>
    <m/>
    <m/>
    <n v="0"/>
    <m/>
    <m/>
    <n v="0"/>
    <n v="247450.44026602642"/>
    <n v="240.24314588934604"/>
  </r>
  <r>
    <s v="4.3.1.3"/>
    <x v="0"/>
    <x v="0"/>
    <x v="2"/>
    <x v="2"/>
    <n v="2"/>
    <x v="19"/>
    <x v="19"/>
    <s v="Revise financial management guidelines for the optional paying services in _x000a_central hospitals_x000a_"/>
    <s v="training on the data collection tool "/>
    <s v="Toner"/>
    <n v="104850"/>
    <m/>
    <m/>
    <n v="0"/>
    <n v="1"/>
    <n v="1"/>
    <n v="119835.27702044998"/>
    <m/>
    <m/>
    <n v="0"/>
    <m/>
    <m/>
    <n v="0"/>
    <m/>
    <m/>
    <n v="0"/>
    <n v="1"/>
    <n v="1"/>
    <n v="204479.45625321087"/>
    <m/>
    <m/>
    <n v="0"/>
    <m/>
    <m/>
    <n v="0"/>
    <n v="324314.73327366088"/>
    <n v="314.86867308122413"/>
  </r>
  <r>
    <s v="4.3.1.3"/>
    <x v="0"/>
    <x v="0"/>
    <x v="2"/>
    <x v="2"/>
    <n v="2"/>
    <x v="19"/>
    <x v="19"/>
    <s v="Revise financial management guidelines for the optional paying services in _x000a_central hospitals_x000a_"/>
    <s v="pretesting of the data collection tool (1 day)"/>
    <s v="Full DSA"/>
    <n v="45000"/>
    <m/>
    <m/>
    <n v="0"/>
    <n v="10"/>
    <n v="1"/>
    <n v="514314.49364999996"/>
    <m/>
    <m/>
    <n v="0"/>
    <m/>
    <m/>
    <n v="0"/>
    <m/>
    <m/>
    <n v="0"/>
    <n v="10"/>
    <n v="1"/>
    <n v="877594.23284639849"/>
    <m/>
    <m/>
    <n v="0"/>
    <m/>
    <m/>
    <n v="0"/>
    <n v="1391908.7264963984"/>
    <n v="1351.3676956275713"/>
  </r>
  <r>
    <s v="4.3.1.3"/>
    <x v="0"/>
    <x v="0"/>
    <x v="2"/>
    <x v="2"/>
    <n v="2"/>
    <x v="19"/>
    <x v="19"/>
    <s v="Revise financial management guidelines for the optional paying services in _x000a_central hospitals_x000a_"/>
    <s v="pretesting of the data collection tool (1 day)"/>
    <s v="Local running (diesel, per km)"/>
    <n v="211.42857142857142"/>
    <m/>
    <m/>
    <n v="0"/>
    <n v="450"/>
    <n v="1"/>
    <n v="108740.77865742856"/>
    <m/>
    <m/>
    <n v="0"/>
    <m/>
    <m/>
    <n v="0"/>
    <m/>
    <m/>
    <n v="0"/>
    <n v="450"/>
    <n v="1"/>
    <n v="185548.49494466712"/>
    <m/>
    <m/>
    <n v="0"/>
    <m/>
    <m/>
    <n v="0"/>
    <n v="294289.27360209567"/>
    <n v="285.71774136125794"/>
  </r>
  <r>
    <s v="4.3.1.3"/>
    <x v="0"/>
    <x v="0"/>
    <x v="2"/>
    <x v="2"/>
    <n v="2"/>
    <x v="19"/>
    <x v="19"/>
    <s v="Revise financial management guidelines for the optional paying services in _x000a_central hospitals_x000a_"/>
    <s v="pretesting of the data collection tool (1 day)"/>
    <s v="Fuel for Traveling Participants"/>
    <n v="211.42857142857142"/>
    <m/>
    <m/>
    <n v="0"/>
    <n v="2430"/>
    <n v="1"/>
    <n v="587200.20475011424"/>
    <m/>
    <m/>
    <n v="0"/>
    <m/>
    <m/>
    <n v="0"/>
    <m/>
    <m/>
    <n v="0"/>
    <n v="2430"/>
    <n v="1"/>
    <n v="1001961.8727012025"/>
    <m/>
    <m/>
    <n v="0"/>
    <m/>
    <m/>
    <n v="0"/>
    <n v="1589162.0774513166"/>
    <n v="1542.8758033507929"/>
  </r>
  <r>
    <s v="4.3.1.3"/>
    <x v="0"/>
    <x v="0"/>
    <x v="2"/>
    <x v="2"/>
    <n v="2"/>
    <x v="19"/>
    <x v="19"/>
    <s v="Revise financial management guidelines for the optional paying services in _x000a_central hospitals_x000a_"/>
    <s v="Validation of the data collection tool "/>
    <s v="Conference package high-level"/>
    <n v="35000"/>
    <m/>
    <m/>
    <n v="0"/>
    <n v="30"/>
    <n v="1"/>
    <n v="1200067.1518499998"/>
    <m/>
    <m/>
    <n v="0"/>
    <m/>
    <m/>
    <n v="0"/>
    <m/>
    <m/>
    <n v="0"/>
    <n v="30"/>
    <n v="1"/>
    <n v="2047719.8766415964"/>
    <m/>
    <m/>
    <n v="0"/>
    <m/>
    <m/>
    <n v="0"/>
    <n v="3247787.0284915962"/>
    <n v="3153.1912897976663"/>
  </r>
  <r>
    <s v="4.3.1.3"/>
    <x v="0"/>
    <x v="0"/>
    <x v="2"/>
    <x v="2"/>
    <n v="2"/>
    <x v="19"/>
    <x v="19"/>
    <s v="Revise financial management guidelines for the optional paying services in _x000a_central hospitals_x000a_"/>
    <s v="Data collection "/>
    <s v="Full DSA"/>
    <n v="45000"/>
    <m/>
    <m/>
    <n v="0"/>
    <n v="30"/>
    <n v="6"/>
    <n v="9257660.8856999986"/>
    <m/>
    <m/>
    <n v="0"/>
    <m/>
    <m/>
    <n v="0"/>
    <m/>
    <m/>
    <n v="0"/>
    <n v="30"/>
    <n v="6"/>
    <n v="15796696.191235173"/>
    <m/>
    <m/>
    <n v="0"/>
    <m/>
    <m/>
    <n v="0"/>
    <n v="25054357.076935172"/>
    <n v="24324.618521296285"/>
  </r>
  <r>
    <s v="4.3.1.3"/>
    <x v="0"/>
    <x v="0"/>
    <x v="2"/>
    <x v="2"/>
    <n v="2"/>
    <x v="19"/>
    <x v="19"/>
    <s v="Revise financial management guidelines for the optional paying services in _x000a_central hospitals_x000a_"/>
    <s v="Data collection "/>
    <s v="Local running (diesel, per km)"/>
    <n v="211.42857142857142"/>
    <m/>
    <m/>
    <n v="0"/>
    <n v="450"/>
    <n v="5"/>
    <n v="543703.89328714274"/>
    <m/>
    <m/>
    <n v="0"/>
    <m/>
    <m/>
    <n v="0"/>
    <m/>
    <m/>
    <n v="0"/>
    <n v="450"/>
    <n v="5"/>
    <n v="927742.47472333559"/>
    <m/>
    <m/>
    <n v="0"/>
    <m/>
    <m/>
    <n v="0"/>
    <n v="1471446.3680104783"/>
    <n v="1428.5887068062896"/>
  </r>
  <r>
    <s v="4.3.1.3"/>
    <x v="0"/>
    <x v="0"/>
    <x v="2"/>
    <x v="2"/>
    <n v="2"/>
    <x v="19"/>
    <x v="19"/>
    <s v="Revise financial management guidelines for the optional paying services in _x000a_central hospitals_x000a_"/>
    <s v="Data collection "/>
    <s v="Fuel for Traveling Participants"/>
    <n v="211.42857142857142"/>
    <m/>
    <m/>
    <n v="0"/>
    <n v="2430"/>
    <n v="1"/>
    <n v="587200.20475011424"/>
    <m/>
    <m/>
    <n v="0"/>
    <m/>
    <m/>
    <n v="0"/>
    <m/>
    <m/>
    <n v="0"/>
    <n v="2430"/>
    <n v="1"/>
    <n v="1001961.8727012025"/>
    <m/>
    <m/>
    <n v="0"/>
    <m/>
    <m/>
    <n v="0"/>
    <n v="1589162.0774513166"/>
    <n v="1542.8758033507929"/>
  </r>
  <r>
    <s v="4.3.1.3"/>
    <x v="0"/>
    <x v="0"/>
    <x v="2"/>
    <x v="2"/>
    <n v="2"/>
    <x v="19"/>
    <x v="19"/>
    <s v="Revise financial management guidelines for the optional paying services in _x000a_central hospitals_x000a_"/>
    <s v="Data collection "/>
    <s v="Airtime for Research Assistant"/>
    <n v="10000"/>
    <m/>
    <m/>
    <n v="0"/>
    <n v="30"/>
    <n v="5"/>
    <n v="1714381.6454999999"/>
    <m/>
    <m/>
    <n v="0"/>
    <m/>
    <m/>
    <n v="0"/>
    <m/>
    <m/>
    <n v="0"/>
    <n v="30"/>
    <n v="5"/>
    <n v="2925314.109487995"/>
    <m/>
    <m/>
    <n v="0"/>
    <m/>
    <m/>
    <n v="0"/>
    <n v="4639695.7549879951"/>
    <n v="4504.5589854252376"/>
  </r>
  <r>
    <s v="4.3.1.3"/>
    <x v="0"/>
    <x v="0"/>
    <x v="2"/>
    <x v="2"/>
    <n v="2"/>
    <x v="19"/>
    <x v="19"/>
    <s v="Revise financial management guidelines for the optional paying services in _x000a_central hospitals_x000a_"/>
    <s v="Data analysis "/>
    <s v="Conference package high-level"/>
    <n v="35000"/>
    <m/>
    <m/>
    <n v="0"/>
    <n v="30"/>
    <n v="5"/>
    <n v="6000335.7592499992"/>
    <m/>
    <m/>
    <n v="0"/>
    <m/>
    <m/>
    <n v="0"/>
    <m/>
    <m/>
    <n v="0"/>
    <n v="30"/>
    <n v="5"/>
    <n v="10238599.383207982"/>
    <m/>
    <m/>
    <n v="0"/>
    <m/>
    <m/>
    <n v="0"/>
    <n v="16238935.142457981"/>
    <n v="15765.956448988331"/>
  </r>
  <r>
    <s v="4.3.1.3"/>
    <x v="0"/>
    <x v="0"/>
    <x v="2"/>
    <x v="2"/>
    <n v="2"/>
    <x v="19"/>
    <x v="19"/>
    <s v="Revise financial management guidelines for the optional paying services in _x000a_central hospitals_x000a_"/>
    <s v="Data analysis "/>
    <s v="DSA (excl. lunch)"/>
    <n v="39000"/>
    <m/>
    <m/>
    <n v="0"/>
    <n v="30"/>
    <n v="6"/>
    <n v="8023306.1009399984"/>
    <m/>
    <m/>
    <n v="0"/>
    <m/>
    <m/>
    <n v="0"/>
    <m/>
    <m/>
    <n v="0"/>
    <n v="30"/>
    <n v="6"/>
    <n v="13690470.032403817"/>
    <m/>
    <m/>
    <n v="0"/>
    <m/>
    <m/>
    <n v="0"/>
    <n v="21713776.133343816"/>
    <n v="21081.336051790113"/>
  </r>
  <r>
    <s v="4.3.1.3"/>
    <x v="0"/>
    <x v="0"/>
    <x v="2"/>
    <x v="2"/>
    <n v="2"/>
    <x v="19"/>
    <x v="19"/>
    <s v="Revise financial management guidelines for the optional paying services in _x000a_central hospitals_x000a_"/>
    <s v="Data analysis "/>
    <s v="Local running (diesel, per km)"/>
    <n v="211.42857142857142"/>
    <m/>
    <m/>
    <n v="0"/>
    <n v="450"/>
    <n v="5"/>
    <n v="543703.89328714274"/>
    <m/>
    <m/>
    <n v="0"/>
    <m/>
    <m/>
    <n v="0"/>
    <m/>
    <m/>
    <n v="0"/>
    <n v="450"/>
    <n v="5"/>
    <n v="927742.47472333559"/>
    <m/>
    <m/>
    <n v="0"/>
    <m/>
    <m/>
    <n v="0"/>
    <n v="1471446.3680104783"/>
    <n v="1428.5887068062896"/>
  </r>
  <r>
    <s v="4.3.1.3"/>
    <x v="0"/>
    <x v="0"/>
    <x v="2"/>
    <x v="2"/>
    <n v="2"/>
    <x v="19"/>
    <x v="19"/>
    <s v="Revise financial management guidelines for the optional paying services in _x000a_central hospitals_x000a_"/>
    <s v="Validation Workshop"/>
    <s v="Conference package high-level"/>
    <n v="35000"/>
    <m/>
    <m/>
    <n v="0"/>
    <n v="100"/>
    <n v="5"/>
    <n v="20001119.197499998"/>
    <m/>
    <m/>
    <n v="0"/>
    <m/>
    <m/>
    <n v="0"/>
    <m/>
    <m/>
    <n v="0"/>
    <n v="100"/>
    <n v="5"/>
    <n v="34128664.610693276"/>
    <m/>
    <m/>
    <n v="0"/>
    <m/>
    <m/>
    <n v="0"/>
    <n v="54129783.808193274"/>
    <n v="52553.188163294442"/>
  </r>
  <r>
    <s v="4.3.1.3"/>
    <x v="0"/>
    <x v="0"/>
    <x v="2"/>
    <x v="2"/>
    <n v="2"/>
    <x v="19"/>
    <x v="19"/>
    <s v="Revise financial management guidelines for the optional paying services in _x000a_central hospitals_x000a_"/>
    <s v="Validation Workshop"/>
    <s v="Full DSA"/>
    <n v="45000"/>
    <m/>
    <m/>
    <n v="0"/>
    <n v="58"/>
    <n v="6"/>
    <n v="17898144.379019998"/>
    <m/>
    <m/>
    <n v="0"/>
    <m/>
    <m/>
    <n v="0"/>
    <m/>
    <m/>
    <n v="0"/>
    <n v="58"/>
    <n v="6"/>
    <n v="30540279.303054668"/>
    <m/>
    <m/>
    <n v="0"/>
    <m/>
    <m/>
    <n v="0"/>
    <n v="48438423.682074666"/>
    <n v="47027.595807839483"/>
  </r>
  <r>
    <s v="4.3.1.3"/>
    <x v="0"/>
    <x v="0"/>
    <x v="2"/>
    <x v="2"/>
    <n v="2"/>
    <x v="19"/>
    <x v="19"/>
    <s v="Revise financial management guidelines for the optional paying services in _x000a_central hospitals_x000a_"/>
    <s v="Validation Workshop"/>
    <s v="Local running (diesel, per km)"/>
    <n v="211.42857142857142"/>
    <m/>
    <m/>
    <n v="0"/>
    <n v="450"/>
    <n v="5"/>
    <n v="543703.89328714274"/>
    <m/>
    <m/>
    <n v="0"/>
    <m/>
    <m/>
    <n v="0"/>
    <m/>
    <m/>
    <n v="0"/>
    <n v="450"/>
    <n v="5"/>
    <n v="927742.47472333559"/>
    <m/>
    <m/>
    <n v="0"/>
    <m/>
    <m/>
    <n v="0"/>
    <n v="1471446.3680104783"/>
    <n v="1428.5887068062896"/>
  </r>
  <r>
    <s v="4.3.1.3"/>
    <x v="0"/>
    <x v="0"/>
    <x v="2"/>
    <x v="2"/>
    <n v="2"/>
    <x v="19"/>
    <x v="19"/>
    <s v="Revise financial management guidelines for the optional paying services in _x000a_central hospitals_x000a_"/>
    <s v="Validation Workshop"/>
    <s v="Fuel for Traveling Participants"/>
    <n v="211.42857142857142"/>
    <m/>
    <m/>
    <n v="0"/>
    <n v="22500"/>
    <n v="1"/>
    <n v="5437038.9328714283"/>
    <m/>
    <m/>
    <n v="0"/>
    <m/>
    <m/>
    <n v="0"/>
    <m/>
    <m/>
    <n v="0"/>
    <n v="22500"/>
    <n v="1"/>
    <n v="9277424.7472333554"/>
    <m/>
    <m/>
    <n v="0"/>
    <m/>
    <m/>
    <n v="0"/>
    <n v="14714463.680104785"/>
    <n v="14285.887068062897"/>
  </r>
  <r>
    <s v="4.3.1.3"/>
    <x v="0"/>
    <x v="0"/>
    <x v="2"/>
    <x v="2"/>
    <n v="2"/>
    <x v="19"/>
    <x v="19"/>
    <s v="Revise financial management guidelines for the optional paying services in _x000a_central hospitals_x000a_"/>
    <s v="Report writing with clear action points "/>
    <s v="Local running (diesel, per km)"/>
    <n v="211.42857142857142"/>
    <m/>
    <m/>
    <n v="0"/>
    <n v="1450"/>
    <n v="1"/>
    <n v="350386.95345171425"/>
    <m/>
    <m/>
    <n v="0"/>
    <m/>
    <m/>
    <n v="0"/>
    <m/>
    <m/>
    <n v="0"/>
    <n v="1450"/>
    <n v="1"/>
    <n v="597878.48371059401"/>
    <m/>
    <m/>
    <n v="0"/>
    <m/>
    <m/>
    <n v="0"/>
    <n v="948265.43716230826"/>
    <n v="920.64605549738667"/>
  </r>
  <r>
    <s v="4.3.1.3"/>
    <x v="0"/>
    <x v="0"/>
    <x v="2"/>
    <x v="2"/>
    <n v="2"/>
    <x v="19"/>
    <x v="19"/>
    <s v="Revise financial management guidelines for the optional paying services in _x000a_central hospitals_x000a_"/>
    <s v="Report writing with clear action points "/>
    <s v="Fuel for Traveling Participants"/>
    <n v="211.42857142857142"/>
    <m/>
    <m/>
    <n v="0"/>
    <n v="2430"/>
    <n v="1"/>
    <n v="587200.20475011424"/>
    <m/>
    <m/>
    <n v="0"/>
    <m/>
    <m/>
    <n v="0"/>
    <m/>
    <m/>
    <n v="0"/>
    <n v="2430"/>
    <n v="1"/>
    <n v="1001961.8727012025"/>
    <m/>
    <m/>
    <n v="0"/>
    <m/>
    <m/>
    <n v="0"/>
    <n v="1589162.0774513166"/>
    <n v="1542.8758033507929"/>
  </r>
  <r>
    <s v="4.3.1.3"/>
    <x v="0"/>
    <x v="0"/>
    <x v="2"/>
    <x v="2"/>
    <n v="2"/>
    <x v="19"/>
    <x v="19"/>
    <s v="Revise financial management guidelines for the optional paying services in _x000a_central hospitals_x000a_"/>
    <s v="Meeting with treasury "/>
    <s v="Zero cost"/>
    <n v="0"/>
    <m/>
    <m/>
    <n v="0"/>
    <n v="0"/>
    <n v="0"/>
    <n v="0"/>
    <m/>
    <m/>
    <n v="0"/>
    <m/>
    <m/>
    <n v="0"/>
    <m/>
    <m/>
    <n v="0"/>
    <n v="0"/>
    <n v="0"/>
    <n v="0"/>
    <m/>
    <m/>
    <n v="0"/>
    <m/>
    <m/>
    <n v="0"/>
    <n v="0"/>
    <n v="0"/>
  </r>
  <r>
    <s v="4.3.1.3"/>
    <x v="0"/>
    <x v="0"/>
    <x v="2"/>
    <x v="2"/>
    <n v="2"/>
    <x v="19"/>
    <x v="19"/>
    <s v="Revise financial management guidelines for the optional paying services in _x000a_central hospitals_x000a_"/>
    <s v="implementation"/>
    <s v="zero cost"/>
    <n v="0"/>
    <m/>
    <m/>
    <n v="0"/>
    <n v="0"/>
    <n v="0"/>
    <n v="0"/>
    <m/>
    <m/>
    <n v="0"/>
    <m/>
    <m/>
    <n v="0"/>
    <m/>
    <m/>
    <n v="0"/>
    <n v="0"/>
    <n v="0"/>
    <n v="0"/>
    <m/>
    <m/>
    <n v="0"/>
    <m/>
    <m/>
    <n v="0"/>
    <n v="0"/>
    <n v="0"/>
  </r>
  <r>
    <s v="4.3.1.3"/>
    <x v="0"/>
    <x v="0"/>
    <x v="2"/>
    <x v="2"/>
    <n v="2"/>
    <x v="19"/>
    <x v="19"/>
    <s v="Revise financial management guidelines for the optional paying services in _x000a_central hospitals_x000a_"/>
    <s v="monitoring"/>
    <s v="Zero cost"/>
    <n v="0"/>
    <m/>
    <m/>
    <n v="0"/>
    <n v="0"/>
    <n v="0"/>
    <n v="0"/>
    <m/>
    <m/>
    <n v="0"/>
    <m/>
    <m/>
    <n v="0"/>
    <m/>
    <m/>
    <n v="0"/>
    <n v="0"/>
    <n v="0"/>
    <n v="0"/>
    <m/>
    <m/>
    <n v="0"/>
    <m/>
    <m/>
    <n v="0"/>
    <n v="0"/>
    <n v="0"/>
  </r>
  <r>
    <s v="4.3.1.3"/>
    <x v="0"/>
    <x v="0"/>
    <x v="2"/>
    <x v="2"/>
    <n v="2"/>
    <x v="19"/>
    <x v="19"/>
    <s v="Develop financial management guidelines for optional paying services in districts"/>
    <s v="develop a concept note"/>
    <s v="Zero cost"/>
    <n v="0"/>
    <m/>
    <m/>
    <n v="0"/>
    <m/>
    <m/>
    <n v="0"/>
    <m/>
    <m/>
    <n v="0"/>
    <m/>
    <m/>
    <n v="0"/>
    <m/>
    <m/>
    <n v="0"/>
    <m/>
    <m/>
    <n v="0"/>
    <m/>
    <m/>
    <n v="0"/>
    <m/>
    <m/>
    <n v="0"/>
    <n v="0"/>
    <n v="0"/>
  </r>
  <r>
    <s v="4.3.1.3"/>
    <x v="0"/>
    <x v="0"/>
    <x v="2"/>
    <x v="2"/>
    <n v="2"/>
    <x v="19"/>
    <x v="19"/>
    <s v="Develop financial management guidelines for optional paying services in districts"/>
    <s v="Set up a committee"/>
    <s v="Zero cost"/>
    <n v="0"/>
    <m/>
    <m/>
    <n v="0"/>
    <m/>
    <m/>
    <n v="0"/>
    <m/>
    <m/>
    <n v="0"/>
    <m/>
    <m/>
    <n v="0"/>
    <m/>
    <m/>
    <n v="0"/>
    <m/>
    <m/>
    <n v="0"/>
    <m/>
    <m/>
    <n v="0"/>
    <m/>
    <m/>
    <n v="0"/>
    <n v="0"/>
    <n v="0"/>
  </r>
  <r>
    <s v="4.3.1.3"/>
    <x v="0"/>
    <x v="0"/>
    <x v="2"/>
    <x v="2"/>
    <n v="2"/>
    <x v="19"/>
    <x v="19"/>
    <s v="Develop financial management guidelines for optional paying services in districts"/>
    <s v="Develop TORs for a consultant to conduct a feasibility study"/>
    <s v="Zero cost"/>
    <n v="0"/>
    <m/>
    <m/>
    <n v="0"/>
    <m/>
    <m/>
    <n v="0"/>
    <m/>
    <m/>
    <n v="0"/>
    <m/>
    <m/>
    <n v="0"/>
    <m/>
    <m/>
    <n v="0"/>
    <m/>
    <m/>
    <n v="0"/>
    <m/>
    <m/>
    <n v="0"/>
    <m/>
    <m/>
    <n v="0"/>
    <n v="0"/>
    <n v="0"/>
  </r>
  <r>
    <s v="4.3.1.3"/>
    <x v="0"/>
    <x v="0"/>
    <x v="2"/>
    <x v="2"/>
    <n v="2"/>
    <x v="19"/>
    <x v="19"/>
    <s v="Develop financial management guidelines for optional paying services in districts"/>
    <s v="Recruitment of a consultant"/>
    <s v="Newspaper advert (full)"/>
    <n v="391991.03749999998"/>
    <m/>
    <m/>
    <n v="0"/>
    <n v="2"/>
    <n v="2"/>
    <n v="1792059.3063746723"/>
    <m/>
    <m/>
    <n v="0"/>
    <m/>
    <m/>
    <n v="0"/>
    <n v="2"/>
    <n v="2"/>
    <n v="2675476.4105215403"/>
    <m/>
    <m/>
    <n v="0"/>
    <m/>
    <m/>
    <n v="0"/>
    <n v="2"/>
    <n v="2"/>
    <n v="3994384.5595926056"/>
    <n v="8461920.2764888182"/>
    <n v="8215.4565791153582"/>
  </r>
  <r>
    <s v="4.3.1.3"/>
    <x v="0"/>
    <x v="0"/>
    <x v="2"/>
    <x v="2"/>
    <n v="2"/>
    <x v="19"/>
    <x v="19"/>
    <s v="Develop financial management guidelines for optional paying services in districts"/>
    <s v="Recruitment of a consultant"/>
    <s v="Local consultant fee - High level"/>
    <n v="1001560"/>
    <m/>
    <m/>
    <n v="0"/>
    <n v="1"/>
    <n v="25"/>
    <n v="28617601.347782999"/>
    <m/>
    <m/>
    <n v="0"/>
    <m/>
    <m/>
    <n v="0"/>
    <n v="1"/>
    <n v="25"/>
    <n v="42724990.774214357"/>
    <m/>
    <m/>
    <n v="0"/>
    <m/>
    <m/>
    <n v="0"/>
    <n v="1"/>
    <n v="25"/>
    <n v="63786786.826496802"/>
    <n v="135129378.94849417"/>
    <n v="131193.57179465453"/>
  </r>
  <r>
    <s v="4.3.1.3"/>
    <x v="0"/>
    <x v="0"/>
    <x v="2"/>
    <x v="2"/>
    <n v="2"/>
    <x v="19"/>
    <x v="19"/>
    <s v="Develop financial management guidelines for optional paying services in districts"/>
    <s v="Develop data collection tool "/>
    <s v="Zero cost"/>
    <n v="0"/>
    <m/>
    <m/>
    <n v="0"/>
    <m/>
    <m/>
    <n v="0"/>
    <m/>
    <m/>
    <n v="0"/>
    <m/>
    <m/>
    <n v="0"/>
    <m/>
    <m/>
    <n v="0"/>
    <m/>
    <m/>
    <n v="0"/>
    <m/>
    <m/>
    <n v="0"/>
    <m/>
    <m/>
    <n v="0"/>
    <n v="0"/>
    <n v="0"/>
  </r>
  <r>
    <s v="4.3.1.3"/>
    <x v="0"/>
    <x v="0"/>
    <x v="2"/>
    <x v="2"/>
    <n v="2"/>
    <x v="19"/>
    <x v="19"/>
    <s v="Develop financial management guidelines for optional paying services in districts"/>
    <s v="recruit research assistants "/>
    <s v="Zero cost"/>
    <n v="0"/>
    <m/>
    <m/>
    <n v="0"/>
    <m/>
    <m/>
    <n v="0"/>
    <m/>
    <m/>
    <n v="0"/>
    <m/>
    <m/>
    <n v="0"/>
    <m/>
    <m/>
    <n v="0"/>
    <m/>
    <m/>
    <n v="0"/>
    <m/>
    <m/>
    <n v="0"/>
    <m/>
    <m/>
    <n v="0"/>
    <n v="0"/>
    <n v="0"/>
  </r>
  <r>
    <s v="4.3.1.3"/>
    <x v="0"/>
    <x v="0"/>
    <x v="2"/>
    <x v="2"/>
    <n v="2"/>
    <x v="19"/>
    <x v="19"/>
    <s v="Develop financial management guidelines for optional paying services in districts"/>
    <s v="training on the data collection tool "/>
    <s v="Conference package high-level"/>
    <n v="35000"/>
    <m/>
    <m/>
    <n v="0"/>
    <n v="25"/>
    <n v="1"/>
    <n v="1000055.9598749998"/>
    <m/>
    <m/>
    <n v="0"/>
    <m/>
    <m/>
    <n v="0"/>
    <n v="25"/>
    <n v="1"/>
    <n v="1493045.5260768225"/>
    <m/>
    <m/>
    <n v="0"/>
    <m/>
    <m/>
    <n v="0"/>
    <n v="25"/>
    <n v="1"/>
    <n v="2229060.2050075764"/>
    <n v="4722161.6909593986"/>
    <n v="4584.623000931455"/>
  </r>
  <r>
    <s v="4.3.1.3"/>
    <x v="0"/>
    <x v="0"/>
    <x v="2"/>
    <x v="2"/>
    <n v="2"/>
    <x v="19"/>
    <x v="19"/>
    <s v="Develop financial management guidelines for optional paying services in districts"/>
    <s v="training on the data collection tool "/>
    <s v="A4, 500 pages, 140 gsm paper"/>
    <n v="8000"/>
    <m/>
    <m/>
    <n v="0"/>
    <n v="30"/>
    <n v="1"/>
    <n v="274301.06328"/>
    <m/>
    <m/>
    <n v="0"/>
    <m/>
    <m/>
    <n v="0"/>
    <n v="30"/>
    <n v="1"/>
    <n v="409521.05858107132"/>
    <m/>
    <m/>
    <n v="0"/>
    <m/>
    <m/>
    <n v="0"/>
    <n v="30"/>
    <n v="1"/>
    <n v="611399.37051636376"/>
    <n v="1295221.4923774351"/>
    <n v="1257.4965945411991"/>
  </r>
  <r>
    <s v="4.3.1.3"/>
    <x v="0"/>
    <x v="0"/>
    <x v="2"/>
    <x v="2"/>
    <n v="2"/>
    <x v="19"/>
    <x v="19"/>
    <s v="Develop financial management guidelines for optional paying services in districts"/>
    <s v="training on the data collection tool "/>
    <s v="Toner"/>
    <n v="104850"/>
    <m/>
    <m/>
    <n v="0"/>
    <n v="1"/>
    <n v="1"/>
    <n v="119835.27702044998"/>
    <m/>
    <m/>
    <n v="0"/>
    <m/>
    <m/>
    <n v="0"/>
    <n v="1"/>
    <n v="1"/>
    <n v="178909.51246760553"/>
    <m/>
    <m/>
    <n v="0"/>
    <m/>
    <m/>
    <n v="0"/>
    <n v="1"/>
    <n v="1"/>
    <n v="267105.09999433643"/>
    <n v="565849.889482392"/>
    <n v="549.36882474018637"/>
  </r>
  <r>
    <s v="4.3.1.3"/>
    <x v="0"/>
    <x v="0"/>
    <x v="2"/>
    <x v="2"/>
    <n v="2"/>
    <x v="19"/>
    <x v="19"/>
    <s v="Develop financial management guidelines for optional paying services in districts"/>
    <s v="pretesting of the data collection tool (1 day)"/>
    <s v="Full DSA"/>
    <n v="45000"/>
    <m/>
    <m/>
    <n v="0"/>
    <n v="25"/>
    <n v="1"/>
    <n v="1285786.2341249997"/>
    <m/>
    <m/>
    <n v="0"/>
    <m/>
    <m/>
    <n v="0"/>
    <n v="25"/>
    <n v="1"/>
    <n v="1919629.9620987717"/>
    <m/>
    <m/>
    <n v="0"/>
    <m/>
    <m/>
    <n v="0"/>
    <n v="25"/>
    <n v="1"/>
    <n v="2865934.5492954552"/>
    <n v="6071350.7455192264"/>
    <n v="5894.5152869118701"/>
  </r>
  <r>
    <s v="4.3.1.3"/>
    <x v="0"/>
    <x v="0"/>
    <x v="2"/>
    <x v="2"/>
    <n v="2"/>
    <x v="19"/>
    <x v="19"/>
    <s v="Develop financial management guidelines for optional paying services in districts"/>
    <s v="pretesting of the data collection tool (1 day)"/>
    <s v="Local running (diesel, per km)"/>
    <n v="211.42857142857142"/>
    <m/>
    <m/>
    <n v="0"/>
    <n v="450"/>
    <n v="1"/>
    <n v="108740.77865742856"/>
    <m/>
    <m/>
    <n v="0"/>
    <m/>
    <m/>
    <n v="0"/>
    <n v="450"/>
    <n v="1"/>
    <n v="162345.8482232104"/>
    <m/>
    <m/>
    <n v="0"/>
    <m/>
    <m/>
    <n v="0"/>
    <n v="450"/>
    <n v="1"/>
    <n v="242376.17902612989"/>
    <n v="513462.80590676883"/>
    <n v="498.50757855026097"/>
  </r>
  <r>
    <s v="4.3.1.3"/>
    <x v="0"/>
    <x v="0"/>
    <x v="2"/>
    <x v="2"/>
    <n v="2"/>
    <x v="19"/>
    <x v="19"/>
    <s v="Develop financial management guidelines for optional paying services in districts"/>
    <s v="pretesting of the data collection tool (1 day)"/>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2"/>
    <x v="19"/>
    <x v="19"/>
    <s v="Develop financial management guidelines for optional paying services in districts"/>
    <s v="Validation of the data collection tool "/>
    <s v="Conference package high-level"/>
    <n v="35000"/>
    <m/>
    <m/>
    <n v="0"/>
    <n v="25"/>
    <n v="1"/>
    <n v="1000055.9598749998"/>
    <m/>
    <m/>
    <n v="0"/>
    <m/>
    <m/>
    <n v="0"/>
    <n v="25"/>
    <n v="1"/>
    <n v="1493045.5260768225"/>
    <m/>
    <m/>
    <n v="0"/>
    <m/>
    <m/>
    <n v="0"/>
    <n v="25"/>
    <n v="1"/>
    <n v="2229060.2050075764"/>
    <n v="4722161.6909593986"/>
    <n v="4584.623000931455"/>
  </r>
  <r>
    <s v="4.3.1.3"/>
    <x v="0"/>
    <x v="0"/>
    <x v="2"/>
    <x v="2"/>
    <n v="2"/>
    <x v="19"/>
    <x v="19"/>
    <s v="Develop financial management guidelines for optional paying services in districts"/>
    <s v="Data collection "/>
    <s v="Full DSA"/>
    <n v="45000"/>
    <m/>
    <m/>
    <n v="0"/>
    <n v="30"/>
    <n v="6"/>
    <n v="9257660.8856999986"/>
    <m/>
    <m/>
    <n v="0"/>
    <m/>
    <m/>
    <n v="0"/>
    <n v="30"/>
    <n v="6"/>
    <n v="13821335.727111155"/>
    <m/>
    <m/>
    <n v="0"/>
    <m/>
    <m/>
    <n v="0"/>
    <n v="30"/>
    <n v="6"/>
    <n v="20634728.754927278"/>
    <n v="43713725.367738433"/>
    <n v="42440.510065765469"/>
  </r>
  <r>
    <s v="4.3.1.3"/>
    <x v="0"/>
    <x v="0"/>
    <x v="2"/>
    <x v="2"/>
    <n v="2"/>
    <x v="19"/>
    <x v="19"/>
    <s v="Develop financial management guidelines for optional paying services in districts"/>
    <s v="Data collection "/>
    <s v="Local running (diesel, per km)"/>
    <n v="211.42857142857142"/>
    <m/>
    <m/>
    <n v="0"/>
    <n v="450"/>
    <n v="5"/>
    <n v="543703.89328714274"/>
    <m/>
    <m/>
    <n v="0"/>
    <m/>
    <m/>
    <n v="0"/>
    <n v="450"/>
    <n v="5"/>
    <n v="811729.24111605203"/>
    <m/>
    <m/>
    <n v="0"/>
    <m/>
    <m/>
    <n v="0"/>
    <n v="450"/>
    <n v="5"/>
    <n v="1211880.8951306494"/>
    <n v="2567314.0295338444"/>
    <n v="2492.5378927513052"/>
  </r>
  <r>
    <s v="4.3.1.3"/>
    <x v="0"/>
    <x v="0"/>
    <x v="2"/>
    <x v="2"/>
    <n v="2"/>
    <x v="19"/>
    <x v="19"/>
    <s v="Develop financial management guidelines for optional paying services in districts"/>
    <s v="Data collection "/>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2"/>
    <x v="19"/>
    <x v="19"/>
    <s v="Develop financial management guidelines for optional paying services in districts"/>
    <s v="Data collection "/>
    <s v="Airtime for Research Assistant"/>
    <n v="10000"/>
    <m/>
    <m/>
    <n v="0"/>
    <n v="15"/>
    <n v="1"/>
    <n v="171438.16454999999"/>
    <m/>
    <m/>
    <n v="0"/>
    <m/>
    <m/>
    <n v="0"/>
    <n v="15"/>
    <n v="1"/>
    <n v="255950.66161316959"/>
    <m/>
    <m/>
    <n v="0"/>
    <m/>
    <m/>
    <n v="0"/>
    <n v="15"/>
    <n v="1"/>
    <n v="382124.60657272732"/>
    <n v="809513.4327358969"/>
    <n v="785.93537158824938"/>
  </r>
  <r>
    <s v="4.3.1.3"/>
    <x v="0"/>
    <x v="0"/>
    <x v="2"/>
    <x v="2"/>
    <n v="2"/>
    <x v="19"/>
    <x v="19"/>
    <s v="Develop financial management guidelines for optional paying services in districts"/>
    <s v="Data analysis "/>
    <s v="Conference package high-level"/>
    <n v="35000"/>
    <m/>
    <m/>
    <n v="0"/>
    <n v="30"/>
    <n v="5"/>
    <n v="6000335.7592499992"/>
    <m/>
    <m/>
    <n v="0"/>
    <m/>
    <m/>
    <n v="0"/>
    <n v="30"/>
    <n v="5"/>
    <n v="8958273.1564609352"/>
    <m/>
    <m/>
    <n v="0"/>
    <m/>
    <m/>
    <n v="0"/>
    <n v="30"/>
    <n v="5"/>
    <n v="13374361.230045456"/>
    <n v="28332970.14575639"/>
    <n v="27507.73800558873"/>
  </r>
  <r>
    <s v="4.3.1.3"/>
    <x v="0"/>
    <x v="0"/>
    <x v="2"/>
    <x v="2"/>
    <n v="2"/>
    <x v="19"/>
    <x v="19"/>
    <s v="Develop financial management guidelines for optional paying services in districts"/>
    <s v="Data analysis "/>
    <s v="DSA (excl. lunch)"/>
    <n v="39000"/>
    <m/>
    <m/>
    <n v="0"/>
    <n v="30"/>
    <n v="6"/>
    <n v="8023306.1009399984"/>
    <m/>
    <m/>
    <n v="0"/>
    <m/>
    <m/>
    <n v="0"/>
    <n v="30"/>
    <n v="6"/>
    <n v="11978490.963496335"/>
    <m/>
    <m/>
    <n v="0"/>
    <m/>
    <m/>
    <n v="0"/>
    <n v="30"/>
    <n v="6"/>
    <n v="17883431.58760364"/>
    <n v="37885228.652039975"/>
    <n v="36781.775390330076"/>
  </r>
  <r>
    <s v="4.3.1.3"/>
    <x v="0"/>
    <x v="0"/>
    <x v="2"/>
    <x v="2"/>
    <n v="2"/>
    <x v="19"/>
    <x v="19"/>
    <s v="Develop financial management guidelines for optional paying services in districts"/>
    <s v="Data analysis "/>
    <s v="Local running (diesel, per km)"/>
    <n v="211.42857142857142"/>
    <m/>
    <m/>
    <n v="0"/>
    <n v="450"/>
    <n v="5"/>
    <n v="543703.89328714274"/>
    <m/>
    <m/>
    <n v="0"/>
    <m/>
    <m/>
    <n v="0"/>
    <n v="450"/>
    <n v="5"/>
    <n v="811729.24111605203"/>
    <m/>
    <m/>
    <n v="0"/>
    <m/>
    <m/>
    <n v="0"/>
    <n v="450"/>
    <n v="5"/>
    <n v="1211880.8951306494"/>
    <n v="2567314.0295338444"/>
    <n v="2492.5378927513052"/>
  </r>
  <r>
    <s v="4.3.1.3"/>
    <x v="0"/>
    <x v="0"/>
    <x v="2"/>
    <x v="2"/>
    <n v="2"/>
    <x v="19"/>
    <x v="19"/>
    <s v="Develop financial management guidelines for optional paying services in districts"/>
    <s v="Data analysis "/>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2"/>
    <x v="19"/>
    <x v="19"/>
    <s v="Develop financial management guidelines for optional paying services in districts"/>
    <s v="Validation Workshop"/>
    <s v="Conference package high-level"/>
    <n v="35000"/>
    <m/>
    <m/>
    <n v="0"/>
    <n v="100"/>
    <n v="5"/>
    <n v="20001119.197499998"/>
    <m/>
    <m/>
    <n v="0"/>
    <m/>
    <m/>
    <n v="0"/>
    <n v="100"/>
    <n v="5"/>
    <n v="29860910.521536451"/>
    <m/>
    <m/>
    <n v="0"/>
    <m/>
    <m/>
    <n v="0"/>
    <n v="100"/>
    <n v="5"/>
    <n v="44581204.100151524"/>
    <n v="94443233.819187969"/>
    <n v="91692.460018629092"/>
  </r>
  <r>
    <s v="4.3.1.3"/>
    <x v="0"/>
    <x v="0"/>
    <x v="2"/>
    <x v="2"/>
    <n v="2"/>
    <x v="19"/>
    <x v="19"/>
    <s v="Develop financial management guidelines for optional paying services in districts"/>
    <s v="Validation Workshop"/>
    <s v="Full DSA"/>
    <n v="45000"/>
    <m/>
    <m/>
    <n v="0"/>
    <n v="58"/>
    <n v="5"/>
    <n v="14915120.315849997"/>
    <m/>
    <m/>
    <n v="0"/>
    <m/>
    <m/>
    <n v="0"/>
    <n v="58"/>
    <n v="5"/>
    <n v="22267707.56034575"/>
    <m/>
    <m/>
    <n v="0"/>
    <m/>
    <m/>
    <n v="0"/>
    <n v="58"/>
    <n v="5"/>
    <n v="33244840.771827281"/>
    <n v="70427668.648023024"/>
    <n v="68376.377328177696"/>
  </r>
  <r>
    <s v="4.3.1.3"/>
    <x v="0"/>
    <x v="0"/>
    <x v="2"/>
    <x v="2"/>
    <n v="2"/>
    <x v="19"/>
    <x v="19"/>
    <s v="Develop financial management guidelines for optional paying services in districts"/>
    <s v="Validation Workshop"/>
    <s v="Local running (diesel, per km)"/>
    <n v="211.42857142857142"/>
    <m/>
    <m/>
    <n v="0"/>
    <n v="450"/>
    <n v="5"/>
    <n v="543703.89328714274"/>
    <m/>
    <m/>
    <n v="0"/>
    <m/>
    <m/>
    <n v="0"/>
    <n v="450"/>
    <n v="5"/>
    <n v="811729.24111605203"/>
    <m/>
    <m/>
    <n v="0"/>
    <m/>
    <m/>
    <n v="0"/>
    <n v="450"/>
    <n v="5"/>
    <n v="1211880.8951306494"/>
    <n v="2567314.0295338444"/>
    <n v="2492.5378927513052"/>
  </r>
  <r>
    <s v="4.3.1.3"/>
    <x v="0"/>
    <x v="0"/>
    <x v="2"/>
    <x v="2"/>
    <n v="2"/>
    <x v="19"/>
    <x v="19"/>
    <s v="Develop financial management guidelines for optional paying services in districts"/>
    <s v="Validation Workshop"/>
    <s v="Fuel for Traveling Participants"/>
    <n v="211.42857142857142"/>
    <m/>
    <m/>
    <n v="0"/>
    <n v="2430"/>
    <n v="1"/>
    <n v="587200.20475011424"/>
    <m/>
    <m/>
    <n v="0"/>
    <m/>
    <m/>
    <n v="0"/>
    <n v="2430"/>
    <n v="1"/>
    <n v="876667.58040533611"/>
    <m/>
    <m/>
    <n v="0"/>
    <m/>
    <m/>
    <n v="0"/>
    <n v="2430"/>
    <n v="1"/>
    <n v="1308831.3667411015"/>
    <n v="2772699.1518965522"/>
    <n v="2691.9409241714097"/>
  </r>
  <r>
    <s v="4.3.1.3"/>
    <x v="0"/>
    <x v="0"/>
    <x v="2"/>
    <x v="2"/>
    <n v="2"/>
    <x v="19"/>
    <x v="19"/>
    <s v="Develop financial management guidelines for optional paying services in districts"/>
    <s v="report writing (consultant)"/>
    <s v="Zero cost"/>
    <n v="0"/>
    <m/>
    <m/>
    <n v="0"/>
    <m/>
    <m/>
    <n v="0"/>
    <m/>
    <m/>
    <n v="0"/>
    <m/>
    <m/>
    <n v="0"/>
    <m/>
    <m/>
    <n v="0"/>
    <m/>
    <m/>
    <n v="0"/>
    <m/>
    <m/>
    <n v="0"/>
    <m/>
    <m/>
    <n v="0"/>
    <n v="0"/>
    <n v="0"/>
  </r>
  <r>
    <s v="4.3.1.3"/>
    <x v="0"/>
    <x v="0"/>
    <x v="2"/>
    <x v="2"/>
    <n v="2"/>
    <x v="19"/>
    <x v="19"/>
    <s v="Develop financial management guidelines for optional paying services in districts"/>
    <s v="Meeting with treasury and NLGFC"/>
    <s v="Conference package high-level"/>
    <n v="35000"/>
    <m/>
    <m/>
    <n v="0"/>
    <n v="25"/>
    <n v="1"/>
    <n v="1000055.9598749998"/>
    <m/>
    <m/>
    <n v="0"/>
    <m/>
    <m/>
    <n v="0"/>
    <n v="25"/>
    <n v="1"/>
    <n v="1493045.5260768225"/>
    <m/>
    <m/>
    <n v="0"/>
    <m/>
    <m/>
    <n v="0"/>
    <n v="25"/>
    <n v="1"/>
    <n v="2229060.2050075764"/>
    <n v="4722161.6909593986"/>
    <n v="4584.623000931455"/>
  </r>
  <r>
    <s v="4.3.1.3"/>
    <x v="0"/>
    <x v="0"/>
    <x v="2"/>
    <x v="2"/>
    <n v="2"/>
    <x v="19"/>
    <x v="19"/>
    <s v="Develop financial management guidelines for optional paying services in districts"/>
    <s v="Implementation "/>
    <s v="Zero cost"/>
    <n v="0"/>
    <m/>
    <m/>
    <n v="0"/>
    <m/>
    <m/>
    <n v="0"/>
    <m/>
    <m/>
    <n v="0"/>
    <m/>
    <m/>
    <n v="0"/>
    <m/>
    <m/>
    <n v="0"/>
    <m/>
    <m/>
    <n v="0"/>
    <m/>
    <m/>
    <n v="0"/>
    <m/>
    <m/>
    <n v="0"/>
    <n v="0"/>
    <n v="0"/>
  </r>
  <r>
    <s v="4.3.1.3"/>
    <x v="0"/>
    <x v="0"/>
    <x v="2"/>
    <x v="2"/>
    <n v="2"/>
    <x v="19"/>
    <x v="19"/>
    <s v="Develop financial management guidelines for optional paying services in districts"/>
    <s v="Monitoring "/>
    <s v="Zero cost"/>
    <n v="0"/>
    <m/>
    <m/>
    <n v="0"/>
    <m/>
    <m/>
    <n v="0"/>
    <m/>
    <m/>
    <n v="0"/>
    <m/>
    <m/>
    <n v="0"/>
    <m/>
    <m/>
    <n v="0"/>
    <m/>
    <m/>
    <n v="0"/>
    <m/>
    <m/>
    <n v="0"/>
    <m/>
    <m/>
    <n v="0"/>
    <n v="0"/>
    <n v="0"/>
  </r>
  <r>
    <s v="4.3.1.3"/>
    <x v="0"/>
    <x v="0"/>
    <x v="2"/>
    <x v="2"/>
    <n v="3"/>
    <x v="20"/>
    <x v="20"/>
    <s v="Biannual meetings with CSO"/>
    <s v="conduct biannual meetings with CSOs"/>
    <s v="Conference package high-level"/>
    <n v="35000"/>
    <n v="30"/>
    <n v="2"/>
    <n v="2100000"/>
    <n v="30"/>
    <n v="2"/>
    <n v="2400134.3036999996"/>
    <n v="30"/>
    <n v="2"/>
    <n v="2743164.1313321344"/>
    <n v="30"/>
    <n v="2"/>
    <n v="3135220.1582331755"/>
    <n v="30"/>
    <n v="2"/>
    <n v="3583309.2625843743"/>
    <n v="30"/>
    <n v="2"/>
    <n v="4095439.7532831929"/>
    <n v="30"/>
    <n v="2"/>
    <n v="4680764.4955198364"/>
    <n v="30"/>
    <n v="2"/>
    <n v="5349744.4920181828"/>
    <n v="28087776.596670892"/>
    <n v="27269.686016185333"/>
  </r>
  <r>
    <s v="4.3.1.3"/>
    <x v="0"/>
    <x v="0"/>
    <x v="2"/>
    <x v="2"/>
    <n v="3"/>
    <x v="20"/>
    <x v="20"/>
    <s v="Biannual meetings with CSO"/>
    <s v="conduct biannual meetings with CSOs"/>
    <s v="DSA (excl. lunch)"/>
    <n v="39000"/>
    <n v="30"/>
    <n v="2"/>
    <n v="2340000"/>
    <n v="30"/>
    <n v="2"/>
    <n v="2674435.3669799995"/>
    <n v="30"/>
    <n v="2"/>
    <n v="3056668.6034843787"/>
    <n v="30"/>
    <n v="2"/>
    <n v="3493531.0334598236"/>
    <n v="30"/>
    <n v="2"/>
    <n v="3992830.3211654453"/>
    <n v="30"/>
    <n v="2"/>
    <n v="4563490.0108012725"/>
    <n v="30"/>
    <n v="2"/>
    <n v="5215709.009293532"/>
    <n v="30"/>
    <n v="2"/>
    <n v="5961143.8625345463"/>
    <n v="31297808.207718998"/>
    <n v="30386.221560892231"/>
  </r>
  <r>
    <s v="4.3.1.3"/>
    <x v="0"/>
    <x v="0"/>
    <x v="2"/>
    <x v="2"/>
    <n v="3"/>
    <x v="20"/>
    <x v="20"/>
    <s v="Biannual meetings with CSO"/>
    <s v="conduct biannual meetings with CSOs"/>
    <s v="Local running (diesel, per km)"/>
    <n v="211.42857142857142"/>
    <n v="450"/>
    <n v="2"/>
    <n v="190285.71428571426"/>
    <n v="450"/>
    <n v="2"/>
    <n v="217481.55731485711"/>
    <n v="450"/>
    <n v="2"/>
    <n v="248564.26006356487"/>
    <n v="450"/>
    <n v="2"/>
    <n v="284089.33678684279"/>
    <n v="450"/>
    <n v="2"/>
    <n v="324691.6964464208"/>
    <n v="450"/>
    <n v="2"/>
    <n v="371096.98988933425"/>
    <n v="450"/>
    <n v="2"/>
    <n v="424134.5787777158"/>
    <n v="450"/>
    <n v="2"/>
    <n v="484752.35805225978"/>
    <n v="2545096.4916167096"/>
    <n v="2470.9674675890383"/>
  </r>
  <r>
    <s v="4.3.1.3"/>
    <x v="0"/>
    <x v="0"/>
    <x v="2"/>
    <x v="2"/>
    <n v="3"/>
    <x v="20"/>
    <x v="20"/>
    <s v="Biannual meetings with CSO"/>
    <s v="conduct biannual meetings with CSOs"/>
    <s v="Fuel for Traveling Participants"/>
    <n v="211.42857142857142"/>
    <n v="2430"/>
    <n v="2"/>
    <n v="1027542.857142857"/>
    <n v="2430"/>
    <n v="2"/>
    <n v="1174400.4095002285"/>
    <n v="2430"/>
    <n v="2"/>
    <n v="1342247.0043432503"/>
    <n v="2430"/>
    <n v="2"/>
    <n v="1534082.418648951"/>
    <n v="2430"/>
    <n v="2"/>
    <n v="1753335.1608106722"/>
    <n v="2430"/>
    <n v="2"/>
    <n v="2003923.745402405"/>
    <n v="2430"/>
    <n v="2"/>
    <n v="2290326.7253996651"/>
    <n v="2430"/>
    <n v="2"/>
    <n v="2617662.733482203"/>
    <n v="13743521.054730233"/>
    <n v="13343.224324980809"/>
  </r>
  <r>
    <s v="4.3.1.3"/>
    <x v="0"/>
    <x v="0"/>
    <x v="2"/>
    <x v="2"/>
    <n v="3"/>
    <x v="20"/>
    <x v="20"/>
    <s v="Quarterly reporting for optional paying services "/>
    <s v="conduct quarterly meetings to report for optional paying services"/>
    <s v="Conference package high-level"/>
    <n v="35000"/>
    <n v="50"/>
    <n v="4"/>
    <n v="7000000"/>
    <n v="50"/>
    <n v="4"/>
    <n v="8000447.6789999986"/>
    <n v="50"/>
    <n v="4"/>
    <n v="9143880.4377737828"/>
    <n v="50"/>
    <n v="4"/>
    <n v="10450733.860777251"/>
    <n v="50"/>
    <n v="4"/>
    <n v="11944364.20861458"/>
    <n v="50"/>
    <n v="4"/>
    <n v="13651465.844277309"/>
    <n v="50"/>
    <n v="4"/>
    <n v="15602548.318399454"/>
    <n v="50"/>
    <n v="4"/>
    <n v="17832481.640060611"/>
    <n v="93625921.988902986"/>
    <n v="90898.953387284448"/>
  </r>
  <r>
    <s v="4.3.1.3"/>
    <x v="0"/>
    <x v="0"/>
    <x v="2"/>
    <x v="2"/>
    <n v="4"/>
    <x v="21"/>
    <x v="21"/>
    <s v="Develop business plans, business plan template and monitoring tool"/>
    <s v="Develop TORs for develop standard guidelines and templates for developing business plans"/>
    <s v="Zero cost"/>
    <n v="0"/>
    <n v="40"/>
    <n v="1"/>
    <n v="0"/>
    <m/>
    <m/>
    <n v="0"/>
    <m/>
    <m/>
    <n v="0"/>
    <m/>
    <m/>
    <n v="0"/>
    <m/>
    <m/>
    <n v="0"/>
    <n v="40"/>
    <n v="1"/>
    <n v="0"/>
    <m/>
    <m/>
    <n v="0"/>
    <m/>
    <m/>
    <n v="0"/>
    <n v="0"/>
    <n v="0"/>
  </r>
  <r>
    <s v="4.3.1.3"/>
    <x v="0"/>
    <x v="0"/>
    <x v="2"/>
    <x v="2"/>
    <n v="4"/>
    <x v="21"/>
    <x v="21"/>
    <s v="Develop business plans, business plan template and monitoring tool"/>
    <s v="Recruitment of a consultant"/>
    <s v="Newspaper advert (full)"/>
    <n v="391991.03749999998"/>
    <n v="2"/>
    <n v="2"/>
    <n v="1567964.15"/>
    <m/>
    <m/>
    <n v="0"/>
    <m/>
    <m/>
    <n v="0"/>
    <m/>
    <m/>
    <n v="0"/>
    <m/>
    <m/>
    <n v="0"/>
    <n v="2"/>
    <n v="2"/>
    <n v="3057858.4341109009"/>
    <m/>
    <m/>
    <n v="0"/>
    <m/>
    <m/>
    <n v="0"/>
    <n v="4625822.5841109008"/>
    <n v="4491.0898874863115"/>
  </r>
  <r>
    <s v="4.3.1.3"/>
    <x v="0"/>
    <x v="0"/>
    <x v="2"/>
    <x v="2"/>
    <n v="4"/>
    <x v="21"/>
    <x v="21"/>
    <s v="Develop business plans, business plan template and monitoring tool"/>
    <s v="Recruitment of a consultant"/>
    <s v="Local consultant fee - High level"/>
    <n v="1001560"/>
    <n v="1"/>
    <n v="25"/>
    <n v="25039000"/>
    <m/>
    <m/>
    <n v="0"/>
    <m/>
    <m/>
    <n v="0"/>
    <m/>
    <m/>
    <n v="0"/>
    <m/>
    <m/>
    <n v="0"/>
    <n v="1"/>
    <n v="25"/>
    <n v="48831293.324979939"/>
    <m/>
    <m/>
    <n v="0"/>
    <m/>
    <m/>
    <n v="0"/>
    <n v="73870293.324979931"/>
    <n v="71718.731383475664"/>
  </r>
  <r>
    <s v="4.3.1.3"/>
    <x v="0"/>
    <x v="0"/>
    <x v="2"/>
    <x v="2"/>
    <n v="4"/>
    <x v="21"/>
    <x v="21"/>
    <s v="Develop business plans, business plan template and monitoring tool"/>
    <s v="Develop data collection tool "/>
    <s v="Zero cost"/>
    <n v="0"/>
    <n v="0"/>
    <n v="0"/>
    <n v="0"/>
    <m/>
    <m/>
    <n v="0"/>
    <m/>
    <m/>
    <n v="0"/>
    <m/>
    <m/>
    <n v="0"/>
    <m/>
    <m/>
    <n v="0"/>
    <n v="0"/>
    <n v="0"/>
    <n v="0"/>
    <m/>
    <m/>
    <n v="0"/>
    <m/>
    <m/>
    <n v="0"/>
    <n v="0"/>
    <n v="0"/>
  </r>
  <r>
    <s v="4.3.1.3"/>
    <x v="0"/>
    <x v="0"/>
    <x v="2"/>
    <x v="2"/>
    <n v="4"/>
    <x v="21"/>
    <x v="21"/>
    <s v="Develop business plans, business plan template and monitoring tool"/>
    <s v="recruit research assistants "/>
    <s v="Zero cost"/>
    <n v="0"/>
    <n v="0"/>
    <n v="0"/>
    <n v="0"/>
    <m/>
    <m/>
    <n v="0"/>
    <m/>
    <m/>
    <n v="0"/>
    <m/>
    <m/>
    <n v="0"/>
    <m/>
    <m/>
    <n v="0"/>
    <n v="0"/>
    <n v="0"/>
    <n v="0"/>
    <m/>
    <m/>
    <n v="0"/>
    <m/>
    <m/>
    <n v="0"/>
    <n v="0"/>
    <n v="0"/>
  </r>
  <r>
    <s v="4.3.1.3"/>
    <x v="0"/>
    <x v="0"/>
    <x v="2"/>
    <x v="2"/>
    <n v="4"/>
    <x v="21"/>
    <x v="21"/>
    <s v="Develop business plans, business plan template and monitoring tool"/>
    <s v="training on the data collection tool "/>
    <s v="Conference package high-level"/>
    <n v="35000"/>
    <n v="10"/>
    <n v="1"/>
    <n v="350000"/>
    <m/>
    <m/>
    <n v="0"/>
    <m/>
    <m/>
    <n v="0"/>
    <m/>
    <m/>
    <n v="0"/>
    <m/>
    <m/>
    <n v="0"/>
    <n v="10"/>
    <n v="1"/>
    <n v="682573.29221386556"/>
    <m/>
    <m/>
    <n v="0"/>
    <m/>
    <m/>
    <n v="0"/>
    <n v="1032573.2922138656"/>
    <n v="1002.4983419552093"/>
  </r>
  <r>
    <s v="4.3.1.3"/>
    <x v="0"/>
    <x v="0"/>
    <x v="2"/>
    <x v="2"/>
    <n v="4"/>
    <x v="21"/>
    <x v="21"/>
    <s v="Develop business plans, business plan template and monitoring tool"/>
    <s v="training on the data collection tool "/>
    <s v="A4, 500 pages, 140 gsm paper"/>
    <n v="8000"/>
    <n v="10"/>
    <n v="1"/>
    <n v="80000"/>
    <m/>
    <m/>
    <n v="0"/>
    <m/>
    <m/>
    <n v="0"/>
    <m/>
    <m/>
    <n v="0"/>
    <m/>
    <m/>
    <n v="0"/>
    <n v="10"/>
    <n v="1"/>
    <n v="156016.75250602642"/>
    <m/>
    <m/>
    <n v="0"/>
    <m/>
    <m/>
    <n v="0"/>
    <n v="236016.75250602642"/>
    <n v="229.1424781611907"/>
  </r>
  <r>
    <s v="4.3.1.3"/>
    <x v="0"/>
    <x v="0"/>
    <x v="2"/>
    <x v="2"/>
    <n v="4"/>
    <x v="21"/>
    <x v="21"/>
    <s v="Develop business plans, business plan template and monitoring tool"/>
    <s v="training on the data collection tool "/>
    <s v="Toner"/>
    <n v="104850"/>
    <n v="1"/>
    <n v="1"/>
    <n v="104850"/>
    <m/>
    <m/>
    <n v="0"/>
    <m/>
    <m/>
    <n v="0"/>
    <m/>
    <m/>
    <n v="0"/>
    <m/>
    <m/>
    <n v="0"/>
    <n v="1"/>
    <n v="1"/>
    <n v="204479.45625321087"/>
    <m/>
    <m/>
    <n v="0"/>
    <m/>
    <m/>
    <n v="0"/>
    <n v="309329.4562532109"/>
    <n v="300.31986044001059"/>
  </r>
  <r>
    <s v="4.3.1.3"/>
    <x v="0"/>
    <x v="0"/>
    <x v="2"/>
    <x v="2"/>
    <n v="4"/>
    <x v="21"/>
    <x v="21"/>
    <s v="Develop business plans, business plan template and monitoring tool"/>
    <s v="pretesting of the data collection tool (1 day)"/>
    <s v="Full DSA"/>
    <n v="45000"/>
    <n v="10"/>
    <n v="1"/>
    <n v="450000"/>
    <m/>
    <m/>
    <n v="0"/>
    <m/>
    <m/>
    <n v="0"/>
    <m/>
    <m/>
    <n v="0"/>
    <m/>
    <m/>
    <n v="0"/>
    <n v="10"/>
    <n v="1"/>
    <n v="877594.23284639849"/>
    <m/>
    <m/>
    <n v="0"/>
    <m/>
    <m/>
    <n v="0"/>
    <n v="1327594.2328463984"/>
    <n v="1288.9264396566975"/>
  </r>
  <r>
    <s v="4.3.1.3"/>
    <x v="0"/>
    <x v="0"/>
    <x v="2"/>
    <x v="2"/>
    <n v="4"/>
    <x v="21"/>
    <x v="21"/>
    <s v="Develop business plans, business plan template and monitoring tool"/>
    <s v="pretesting of the data collection tool (1 day)"/>
    <s v="Local running (diesel, per km)"/>
    <n v="211.42857142857142"/>
    <n v="10"/>
    <n v="1"/>
    <n v="2114.2857142857142"/>
    <m/>
    <m/>
    <n v="0"/>
    <m/>
    <m/>
    <n v="0"/>
    <m/>
    <m/>
    <n v="0"/>
    <m/>
    <m/>
    <n v="0"/>
    <n v="10"/>
    <n v="1"/>
    <n v="4123.2998876592692"/>
    <m/>
    <m/>
    <n v="0"/>
    <m/>
    <m/>
    <n v="0"/>
    <n v="6237.5856019449839"/>
    <n v="6.0559083514028966"/>
  </r>
  <r>
    <s v="4.3.1.3"/>
    <x v="0"/>
    <x v="0"/>
    <x v="2"/>
    <x v="2"/>
    <n v="4"/>
    <x v="21"/>
    <x v="21"/>
    <s v="Develop business plans, business plan template and monitoring tool"/>
    <s v="Validation of the data collection tool "/>
    <s v="Conference package high-level"/>
    <n v="35000"/>
    <n v="30"/>
    <n v="1"/>
    <n v="1050000"/>
    <m/>
    <m/>
    <n v="0"/>
    <m/>
    <m/>
    <n v="0"/>
    <m/>
    <m/>
    <n v="0"/>
    <m/>
    <m/>
    <n v="0"/>
    <n v="30"/>
    <n v="1"/>
    <n v="2047719.8766415964"/>
    <m/>
    <m/>
    <n v="0"/>
    <m/>
    <m/>
    <n v="0"/>
    <n v="3097719.8766415967"/>
    <n v="3007.4950258656277"/>
  </r>
  <r>
    <s v="4.3.1.3"/>
    <x v="0"/>
    <x v="0"/>
    <x v="2"/>
    <x v="2"/>
    <n v="4"/>
    <x v="21"/>
    <x v="21"/>
    <s v="Develop business plans, business plan template and monitoring tool"/>
    <s v="Data collection "/>
    <s v="Full DSA"/>
    <n v="45000"/>
    <n v="30"/>
    <n v="5"/>
    <n v="6750000"/>
    <n v="30"/>
    <n v="5"/>
    <n v="7714717.4047499988"/>
    <n v="30"/>
    <n v="5"/>
    <n v="8817313.2792818621"/>
    <n v="30"/>
    <n v="5"/>
    <n v="10077493.365749491"/>
    <n v="30"/>
    <n v="5"/>
    <n v="11517779.77259263"/>
    <n v="30"/>
    <n v="5"/>
    <n v="13163913.492695978"/>
    <n v="30"/>
    <n v="5"/>
    <n v="15045314.44988519"/>
    <n v="30"/>
    <n v="5"/>
    <n v="17195607.295772731"/>
    <n v="90282139.060727894"/>
    <n v="87652.562194881451"/>
  </r>
  <r>
    <s v="4.3.1.3"/>
    <x v="0"/>
    <x v="0"/>
    <x v="2"/>
    <x v="2"/>
    <n v="4"/>
    <x v="21"/>
    <x v="21"/>
    <s v="Develop business plans, business plan template and monitoring tool"/>
    <s v="Data collection "/>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3"/>
    <x v="0"/>
    <x v="0"/>
    <x v="2"/>
    <x v="2"/>
    <n v="4"/>
    <x v="21"/>
    <x v="21"/>
    <s v="Develop business plans, business plan template and monitoring tool"/>
    <s v="Data collection "/>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3"/>
    <x v="0"/>
    <x v="0"/>
    <x v="2"/>
    <x v="2"/>
    <n v="4"/>
    <x v="21"/>
    <x v="21"/>
    <s v="Develop business plans, business plan template and monitoring tool"/>
    <s v="Data collection "/>
    <s v="Airtime for Research Assistant"/>
    <n v="10000"/>
    <n v="15"/>
    <n v="1"/>
    <n v="150000"/>
    <n v="15"/>
    <n v="1"/>
    <n v="171438.16454999999"/>
    <n v="15"/>
    <n v="1"/>
    <n v="195940.29509515248"/>
    <n v="15"/>
    <n v="1"/>
    <n v="223944.29701665539"/>
    <n v="15"/>
    <n v="1"/>
    <n v="255950.66161316959"/>
    <n v="15"/>
    <n v="1"/>
    <n v="292531.41094879952"/>
    <n v="15"/>
    <n v="1"/>
    <n v="334340.32110855979"/>
    <n v="15"/>
    <n v="1"/>
    <n v="382124.60657272732"/>
    <n v="2006269.756905064"/>
    <n v="1947.8347154418097"/>
  </r>
  <r>
    <s v="4.3.1.3"/>
    <x v="0"/>
    <x v="0"/>
    <x v="2"/>
    <x v="2"/>
    <n v="4"/>
    <x v="21"/>
    <x v="21"/>
    <s v="Develop business plans, business plan template and monitoring tool"/>
    <s v="Data analysis "/>
    <s v="Conference package high-level"/>
    <n v="35000"/>
    <n v="30"/>
    <n v="5"/>
    <n v="5250000"/>
    <n v="30"/>
    <n v="5"/>
    <n v="6000335.7592499992"/>
    <n v="30"/>
    <n v="5"/>
    <n v="6857910.3283303361"/>
    <n v="30"/>
    <n v="5"/>
    <n v="7838050.3955829386"/>
    <n v="30"/>
    <n v="5"/>
    <n v="8958273.1564609352"/>
    <n v="30"/>
    <n v="5"/>
    <n v="10238599.383207982"/>
    <n v="30"/>
    <n v="5"/>
    <n v="11701911.238799591"/>
    <n v="30"/>
    <n v="5"/>
    <n v="13374361.230045456"/>
    <n v="70219441.49167724"/>
    <n v="68174.215040463343"/>
  </r>
  <r>
    <s v="4.3.1.3"/>
    <x v="0"/>
    <x v="0"/>
    <x v="2"/>
    <x v="2"/>
    <n v="4"/>
    <x v="21"/>
    <x v="21"/>
    <s v="Develop business plans, business plan template and monitoring tool"/>
    <s v="Data analysis "/>
    <s v="DSA (excl. lunch)"/>
    <n v="39000"/>
    <n v="30"/>
    <n v="6"/>
    <n v="7020000"/>
    <n v="30"/>
    <n v="6"/>
    <n v="8023306.1009399984"/>
    <n v="30"/>
    <n v="6"/>
    <n v="9170005.8104531355"/>
    <n v="30"/>
    <n v="6"/>
    <n v="10480593.100379471"/>
    <n v="30"/>
    <n v="6"/>
    <n v="11978490.963496335"/>
    <n v="30"/>
    <n v="6"/>
    <n v="13690470.032403817"/>
    <n v="30"/>
    <n v="6"/>
    <n v="15647127.027880596"/>
    <n v="30"/>
    <n v="6"/>
    <n v="17883431.58760364"/>
    <n v="93893424.623156995"/>
    <n v="91158.664682676696"/>
  </r>
  <r>
    <s v="4.3.1.3"/>
    <x v="0"/>
    <x v="0"/>
    <x v="2"/>
    <x v="2"/>
    <n v="4"/>
    <x v="21"/>
    <x v="21"/>
    <s v="Develop business plans, business plan template and monitoring tool"/>
    <s v="Data analysis "/>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3"/>
    <x v="0"/>
    <x v="0"/>
    <x v="2"/>
    <x v="2"/>
    <n v="4"/>
    <x v="21"/>
    <x v="21"/>
    <s v="Develop business plans, business plan template and monitoring tool"/>
    <s v="Data analysis "/>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3"/>
    <x v="0"/>
    <x v="0"/>
    <x v="2"/>
    <x v="2"/>
    <n v="4"/>
    <x v="21"/>
    <x v="21"/>
    <s v="Develop business plans, business plan template and monitoring tool"/>
    <s v="report writing (consultant)"/>
    <s v="Zero cost"/>
    <n v="0"/>
    <n v="0"/>
    <n v="0"/>
    <n v="0"/>
    <n v="0"/>
    <n v="0"/>
    <n v="0"/>
    <n v="0"/>
    <n v="0"/>
    <n v="0"/>
    <n v="0"/>
    <n v="0"/>
    <n v="0"/>
    <n v="0"/>
    <n v="0"/>
    <n v="0"/>
    <n v="0"/>
    <n v="0"/>
    <n v="0"/>
    <n v="0"/>
    <n v="0"/>
    <n v="0"/>
    <n v="0"/>
    <n v="0"/>
    <n v="0"/>
    <n v="0"/>
    <n v="0"/>
  </r>
  <r>
    <s v="4.3.1.3"/>
    <x v="0"/>
    <x v="0"/>
    <x v="2"/>
    <x v="2"/>
    <n v="4"/>
    <x v="21"/>
    <x v="21"/>
    <s v="Develop business plans, business plan template and monitoring tool"/>
    <s v="Validation workshop"/>
    <s v="Conference package high-level"/>
    <n v="35000"/>
    <n v="100"/>
    <n v="5"/>
    <n v="17500000"/>
    <n v="100"/>
    <n v="5"/>
    <n v="20001119.197499998"/>
    <n v="100"/>
    <n v="5"/>
    <n v="22859701.094434455"/>
    <n v="100"/>
    <n v="5"/>
    <n v="26126834.651943129"/>
    <n v="100"/>
    <n v="5"/>
    <n v="29860910.521536451"/>
    <n v="100"/>
    <n v="5"/>
    <n v="34128664.610693276"/>
    <n v="100"/>
    <n v="5"/>
    <n v="39006370.795998633"/>
    <n v="100"/>
    <n v="5"/>
    <n v="44581204.100151524"/>
    <n v="234064804.97225749"/>
    <n v="227247.38346821116"/>
  </r>
  <r>
    <s v="4.3.1.3"/>
    <x v="0"/>
    <x v="0"/>
    <x v="2"/>
    <x v="2"/>
    <n v="4"/>
    <x v="21"/>
    <x v="21"/>
    <s v="Develop business plans, business plan template and monitoring tool"/>
    <s v="Validation workshop"/>
    <s v="DSA (excl. lunch)"/>
    <n v="39000"/>
    <n v="58"/>
    <n v="6"/>
    <n v="13572000"/>
    <n v="58"/>
    <n v="6"/>
    <n v="15511725.128483998"/>
    <n v="58"/>
    <n v="6"/>
    <n v="17728677.900209397"/>
    <n v="58"/>
    <n v="6"/>
    <n v="20262479.99406698"/>
    <n v="58"/>
    <n v="6"/>
    <n v="23158415.862759583"/>
    <n v="58"/>
    <n v="6"/>
    <n v="26468242.06264738"/>
    <n v="58"/>
    <n v="6"/>
    <n v="30251112.253902487"/>
    <n v="58"/>
    <n v="6"/>
    <n v="34574634.402700365"/>
    <n v="181527287.60477018"/>
    <n v="176240.08505317493"/>
  </r>
  <r>
    <s v="4.3.1.3"/>
    <x v="0"/>
    <x v="0"/>
    <x v="2"/>
    <x v="2"/>
    <n v="4"/>
    <x v="21"/>
    <x v="21"/>
    <s v="Develop business plans, business plan template and monitoring tool"/>
    <s v="Validation workshop"/>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3"/>
    <x v="0"/>
    <x v="0"/>
    <x v="2"/>
    <x v="2"/>
    <n v="4"/>
    <x v="21"/>
    <x v="21"/>
    <s v="Develop business plans, business plan template and monitoring tool"/>
    <s v="Validation workshop"/>
    <s v="Fuel for Traveling Participants"/>
    <n v="211.42857142857142"/>
    <n v="22500"/>
    <n v="1"/>
    <n v="4757142.8571428573"/>
    <n v="22500"/>
    <n v="1"/>
    <n v="5437038.9328714283"/>
    <n v="22500"/>
    <n v="1"/>
    <n v="6214106.5015891213"/>
    <n v="22500"/>
    <n v="1"/>
    <n v="7102233.4196710698"/>
    <n v="22500"/>
    <n v="1"/>
    <n v="8117292.4111605193"/>
    <n v="22500"/>
    <n v="1"/>
    <n v="9277424.7472333554"/>
    <n v="22500"/>
    <n v="1"/>
    <n v="10603364.469442895"/>
    <n v="22500"/>
    <n v="1"/>
    <n v="12118808.951306494"/>
    <n v="63627412.290417738"/>
    <n v="61774.186689725961"/>
  </r>
  <r>
    <s v="4.3.1.3"/>
    <x v="0"/>
    <x v="0"/>
    <x v="2"/>
    <x v="2"/>
    <n v="4"/>
    <x v="21"/>
    <x v="21"/>
    <s v="Develop business plans, business plan template and monitoring tool"/>
    <s v="Approval from leadership and governance TWG"/>
    <s v="Conference package high-level"/>
    <n v="35000"/>
    <n v="50"/>
    <n v="1"/>
    <n v="1750000"/>
    <n v="50"/>
    <n v="1"/>
    <n v="2000111.9197499997"/>
    <n v="50"/>
    <n v="1"/>
    <n v="2285970.1094434457"/>
    <n v="50"/>
    <n v="1"/>
    <n v="2612683.4651943129"/>
    <n v="50"/>
    <n v="1"/>
    <n v="2986091.0521536451"/>
    <n v="50"/>
    <n v="1"/>
    <n v="3412866.4610693273"/>
    <n v="50"/>
    <n v="1"/>
    <n v="3900637.0795998634"/>
    <n v="50"/>
    <n v="1"/>
    <n v="4458120.4100151528"/>
    <n v="23406480.497225747"/>
    <n v="22724.738346821112"/>
  </r>
  <r>
    <s v="4.3.1.3"/>
    <x v="0"/>
    <x v="0"/>
    <x v="2"/>
    <x v="2"/>
    <n v="4"/>
    <x v="21"/>
    <x v="21"/>
    <s v="Develop business plans, business plan template and monitoring tool"/>
    <s v="Approval from SMT"/>
    <s v="Zero cost"/>
    <n v="0"/>
    <n v="50"/>
    <n v="1"/>
    <n v="0"/>
    <n v="0"/>
    <n v="0"/>
    <n v="0"/>
    <n v="0"/>
    <n v="0"/>
    <n v="0"/>
    <n v="0"/>
    <n v="0"/>
    <n v="0"/>
    <n v="0"/>
    <n v="0"/>
    <n v="0"/>
    <n v="0"/>
    <n v="0"/>
    <n v="0"/>
    <n v="0"/>
    <n v="0"/>
    <n v="0"/>
    <n v="0"/>
    <n v="0"/>
    <n v="0"/>
    <n v="0"/>
    <n v="0"/>
  </r>
  <r>
    <s v="4.3.1.3"/>
    <x v="0"/>
    <x v="0"/>
    <x v="2"/>
    <x v="2"/>
    <n v="4"/>
    <x v="21"/>
    <x v="21"/>
    <s v="Develop business plans, business plan template and monitoring tool"/>
    <s v="Hold 2 workshops per district to develop business plans "/>
    <s v="Conference package high-level"/>
    <n v="35000"/>
    <n v="30"/>
    <n v="5"/>
    <n v="5250000"/>
    <n v="30"/>
    <n v="5"/>
    <n v="6000335.7592499992"/>
    <n v="30"/>
    <n v="5"/>
    <n v="6857910.3283303361"/>
    <n v="30"/>
    <n v="5"/>
    <n v="7838050.3955829386"/>
    <n v="30"/>
    <n v="5"/>
    <n v="8958273.1564609352"/>
    <n v="30"/>
    <n v="5"/>
    <n v="10238599.383207982"/>
    <n v="30"/>
    <n v="5"/>
    <n v="11701911.238799591"/>
    <n v="30"/>
    <n v="5"/>
    <n v="13374361.230045456"/>
    <n v="70219441.49167724"/>
    <n v="68174.215040463343"/>
  </r>
  <r>
    <s v="4.3.1.3"/>
    <x v="0"/>
    <x v="0"/>
    <x v="2"/>
    <x v="2"/>
    <n v="4"/>
    <x v="21"/>
    <x v="21"/>
    <s v="Develop business plans, business plan template and monitoring tool"/>
    <s v="Hold 2 workshops per district to develop business plans "/>
    <s v="DSA (excl. lunch)"/>
    <n v="39000"/>
    <n v="30"/>
    <n v="6"/>
    <n v="7020000"/>
    <n v="30"/>
    <n v="6"/>
    <n v="8023306.1009399984"/>
    <n v="30"/>
    <n v="6"/>
    <n v="9170005.8104531355"/>
    <n v="30"/>
    <n v="6"/>
    <n v="10480593.100379471"/>
    <n v="30"/>
    <n v="6"/>
    <n v="11978490.963496335"/>
    <n v="30"/>
    <n v="6"/>
    <n v="13690470.032403817"/>
    <n v="30"/>
    <n v="6"/>
    <n v="15647127.027880596"/>
    <n v="30"/>
    <n v="6"/>
    <n v="17883431.58760364"/>
    <n v="93893424.623156995"/>
    <n v="91158.664682676696"/>
  </r>
  <r>
    <s v="4.3.1.3"/>
    <x v="0"/>
    <x v="0"/>
    <x v="2"/>
    <x v="2"/>
    <n v="4"/>
    <x v="21"/>
    <x v="21"/>
    <s v="Develop business plans, business plan template and monitoring tool"/>
    <s v="Hold 2 workshops per district to develop business plans "/>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3"/>
    <x v="0"/>
    <x v="0"/>
    <x v="2"/>
    <x v="2"/>
    <n v="4"/>
    <x v="21"/>
    <x v="21"/>
    <s v="Develop business plans, business plan template and monitoring tool"/>
    <s v="Hold 2 workshops per district to develop business plans "/>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3"/>
    <x v="0"/>
    <x v="0"/>
    <x v="2"/>
    <x v="2"/>
    <n v="4"/>
    <x v="21"/>
    <x v="21"/>
    <s v="Develop business plans, business plan template and monitoring tool"/>
    <s v="Implementation "/>
    <s v="Zero cost"/>
    <n v="0"/>
    <n v="0"/>
    <n v="0"/>
    <n v="0"/>
    <n v="0"/>
    <n v="0"/>
    <n v="0"/>
    <n v="0"/>
    <n v="0"/>
    <n v="0"/>
    <n v="0"/>
    <n v="0"/>
    <n v="0"/>
    <n v="0"/>
    <n v="0"/>
    <n v="0"/>
    <n v="0"/>
    <n v="0"/>
    <n v="0"/>
    <n v="0"/>
    <n v="0"/>
    <n v="0"/>
    <n v="0"/>
    <n v="0"/>
    <n v="0"/>
    <n v="0"/>
    <n v="0"/>
  </r>
  <r>
    <s v="4.3.1.3"/>
    <x v="0"/>
    <x v="0"/>
    <x v="2"/>
    <x v="2"/>
    <n v="4"/>
    <x v="21"/>
    <x v="21"/>
    <s v="Develop business plans, business plan template and monitoring tool"/>
    <s v="Monitoring "/>
    <s v="Zero cost"/>
    <n v="0"/>
    <n v="0"/>
    <n v="0"/>
    <n v="0"/>
    <n v="0"/>
    <n v="0"/>
    <n v="0"/>
    <n v="0"/>
    <n v="0"/>
    <n v="0"/>
    <n v="0"/>
    <n v="0"/>
    <n v="0"/>
    <n v="0"/>
    <n v="0"/>
    <n v="0"/>
    <n v="0"/>
    <n v="0"/>
    <n v="0"/>
    <n v="0"/>
    <n v="0"/>
    <n v="0"/>
    <n v="0"/>
    <n v="0"/>
    <n v="0"/>
    <n v="0"/>
    <n v="0"/>
  </r>
  <r>
    <s v="4.3.1.3"/>
    <x v="0"/>
    <x v="0"/>
    <x v="2"/>
    <x v="2"/>
    <n v="5"/>
    <x v="22"/>
    <x v="22"/>
    <m/>
    <s v="Develop a concept note on monitoring of optonal paying services "/>
    <s v="zero cost"/>
    <n v="0"/>
    <m/>
    <m/>
    <n v="0"/>
    <m/>
    <m/>
    <n v="0"/>
    <m/>
    <m/>
    <n v="0"/>
    <m/>
    <m/>
    <n v="0"/>
    <m/>
    <m/>
    <n v="0"/>
    <m/>
    <m/>
    <n v="0"/>
    <m/>
    <m/>
    <n v="0"/>
    <m/>
    <m/>
    <n v="0"/>
    <n v="0"/>
    <n v="0"/>
  </r>
  <r>
    <s v="4.3.1.3"/>
    <x v="0"/>
    <x v="0"/>
    <x v="2"/>
    <x v="2"/>
    <n v="5"/>
    <x v="22"/>
    <x v="22"/>
    <m/>
    <s v="Set up a committee"/>
    <s v="conference package high level"/>
    <n v="35000"/>
    <n v="15"/>
    <n v="2"/>
    <n v="1050000"/>
    <m/>
    <m/>
    <n v="0"/>
    <m/>
    <m/>
    <n v="0"/>
    <m/>
    <m/>
    <n v="0"/>
    <m/>
    <m/>
    <n v="0"/>
    <m/>
    <m/>
    <n v="0"/>
    <m/>
    <m/>
    <n v="0"/>
    <m/>
    <m/>
    <n v="0"/>
    <n v="1050000"/>
    <n v="1019.4174757281553"/>
  </r>
  <r>
    <s v="4.3.1.3"/>
    <x v="0"/>
    <x v="0"/>
    <x v="2"/>
    <x v="2"/>
    <n v="5"/>
    <x v="22"/>
    <x v="22"/>
    <m/>
    <s v="Set up a committee"/>
    <s v="DSA (excl. lunch)"/>
    <n v="39000"/>
    <n v="15"/>
    <n v="3"/>
    <n v="1755000"/>
    <m/>
    <m/>
    <n v="0"/>
    <m/>
    <m/>
    <n v="0"/>
    <m/>
    <m/>
    <n v="0"/>
    <m/>
    <m/>
    <n v="0"/>
    <m/>
    <m/>
    <n v="0"/>
    <m/>
    <m/>
    <n v="0"/>
    <m/>
    <m/>
    <n v="0"/>
    <n v="1755000"/>
    <n v="1703.8834951456311"/>
  </r>
  <r>
    <s v="4.3.1.3"/>
    <x v="0"/>
    <x v="0"/>
    <x v="2"/>
    <x v="2"/>
    <n v="5"/>
    <x v="22"/>
    <x v="22"/>
    <m/>
    <s v="Set up a committee"/>
    <s v="Local running (diesel, per km)"/>
    <n v="285.60000000000002"/>
    <n v="450"/>
    <n v="2"/>
    <n v="257040.00000000003"/>
    <m/>
    <m/>
    <n v="0"/>
    <m/>
    <m/>
    <n v="0"/>
    <m/>
    <m/>
    <n v="0"/>
    <m/>
    <m/>
    <n v="0"/>
    <m/>
    <m/>
    <n v="0"/>
    <m/>
    <m/>
    <n v="0"/>
    <m/>
    <m/>
    <n v="0"/>
    <n v="257040.00000000003"/>
    <n v="249.55339805825247"/>
  </r>
  <r>
    <s v="4.3.1.3"/>
    <x v="0"/>
    <x v="0"/>
    <x v="2"/>
    <x v="2"/>
    <n v="5"/>
    <x v="22"/>
    <x v="22"/>
    <m/>
    <s v="Set up a committee"/>
    <s v="Fuel for Traveling Participants"/>
    <n v="285.60000000000002"/>
    <n v="2430"/>
    <n v="1"/>
    <n v="694008"/>
    <m/>
    <m/>
    <n v="0"/>
    <m/>
    <m/>
    <n v="0"/>
    <m/>
    <m/>
    <n v="0"/>
    <m/>
    <m/>
    <n v="0"/>
    <m/>
    <m/>
    <n v="0"/>
    <m/>
    <m/>
    <n v="0"/>
    <m/>
    <m/>
    <n v="0"/>
    <n v="694008"/>
    <n v="673.79417475728155"/>
  </r>
  <r>
    <s v="4.3.1.3"/>
    <x v="0"/>
    <x v="0"/>
    <x v="2"/>
    <x v="2"/>
    <n v="5"/>
    <x v="22"/>
    <x v="22"/>
    <m/>
    <s v="Develop a monitoring tool"/>
    <s v="conference package high level"/>
    <n v="35000"/>
    <n v="15"/>
    <n v="4"/>
    <n v="2100000"/>
    <m/>
    <m/>
    <n v="0"/>
    <m/>
    <m/>
    <n v="0"/>
    <m/>
    <m/>
    <n v="0"/>
    <m/>
    <m/>
    <n v="0"/>
    <m/>
    <m/>
    <n v="0"/>
    <m/>
    <m/>
    <n v="0"/>
    <m/>
    <m/>
    <n v="0"/>
    <n v="2100000"/>
    <n v="2038.8349514563106"/>
  </r>
  <r>
    <s v="4.3.1.3"/>
    <x v="0"/>
    <x v="0"/>
    <x v="2"/>
    <x v="2"/>
    <n v="5"/>
    <x v="22"/>
    <x v="22"/>
    <m/>
    <s v="Develop a monitoring tool"/>
    <s v="DSA (excl. lunch)"/>
    <n v="39000"/>
    <n v="15"/>
    <n v="5"/>
    <n v="2925000"/>
    <m/>
    <m/>
    <n v="0"/>
    <m/>
    <m/>
    <n v="0"/>
    <m/>
    <m/>
    <n v="0"/>
    <m/>
    <m/>
    <n v="0"/>
    <m/>
    <m/>
    <n v="0"/>
    <m/>
    <m/>
    <n v="0"/>
    <m/>
    <m/>
    <n v="0"/>
    <n v="2925000"/>
    <n v="2839.8058252427186"/>
  </r>
  <r>
    <s v="4.3.1.3"/>
    <x v="0"/>
    <x v="0"/>
    <x v="2"/>
    <x v="2"/>
    <n v="5"/>
    <x v="22"/>
    <x v="22"/>
    <m/>
    <s v="Develop a monitoring tool"/>
    <s v="Local running (diesel, per km)"/>
    <n v="285.60000000000002"/>
    <n v="450"/>
    <n v="4"/>
    <n v="514080.00000000006"/>
    <m/>
    <m/>
    <n v="0"/>
    <m/>
    <m/>
    <n v="0"/>
    <m/>
    <m/>
    <n v="0"/>
    <m/>
    <m/>
    <n v="0"/>
    <m/>
    <m/>
    <n v="0"/>
    <m/>
    <m/>
    <n v="0"/>
    <m/>
    <m/>
    <n v="0"/>
    <n v="514080.00000000006"/>
    <n v="499.10679611650494"/>
  </r>
  <r>
    <s v="4.3.1.3"/>
    <x v="0"/>
    <x v="0"/>
    <x v="2"/>
    <x v="2"/>
    <n v="5"/>
    <x v="22"/>
    <x v="22"/>
    <m/>
    <s v="Develop a monitoring tool"/>
    <s v="Fuel for Traveling Participants"/>
    <n v="285.60000000000002"/>
    <n v="2430"/>
    <n v="1"/>
    <n v="694008"/>
    <m/>
    <m/>
    <n v="0"/>
    <m/>
    <m/>
    <n v="0"/>
    <m/>
    <m/>
    <n v="0"/>
    <m/>
    <m/>
    <n v="0"/>
    <m/>
    <m/>
    <n v="0"/>
    <m/>
    <m/>
    <n v="0"/>
    <m/>
    <m/>
    <n v="0"/>
    <n v="694008"/>
    <n v="673.79417475728155"/>
  </r>
  <r>
    <s v="4.3.1.3"/>
    <x v="0"/>
    <x v="0"/>
    <x v="2"/>
    <x v="2"/>
    <n v="5"/>
    <x v="22"/>
    <x v="22"/>
    <m/>
    <s v="Pilot the monitoring tool"/>
    <s v="conference package high level"/>
    <n v="35000"/>
    <n v="15"/>
    <n v="2"/>
    <n v="1050000"/>
    <m/>
    <m/>
    <n v="0"/>
    <m/>
    <m/>
    <n v="0"/>
    <m/>
    <m/>
    <n v="0"/>
    <m/>
    <m/>
    <n v="0"/>
    <m/>
    <m/>
    <n v="0"/>
    <m/>
    <m/>
    <n v="0"/>
    <m/>
    <m/>
    <n v="0"/>
    <n v="1050000"/>
    <n v="1019.4174757281553"/>
  </r>
  <r>
    <s v="4.3.1.3"/>
    <x v="0"/>
    <x v="0"/>
    <x v="2"/>
    <x v="2"/>
    <n v="5"/>
    <x v="22"/>
    <x v="22"/>
    <m/>
    <s v="Pilot the monitoring tool"/>
    <s v="DSA (excl. lunch)"/>
    <n v="39000"/>
    <n v="15"/>
    <n v="3"/>
    <n v="1755000"/>
    <m/>
    <m/>
    <n v="0"/>
    <m/>
    <m/>
    <n v="0"/>
    <m/>
    <m/>
    <n v="0"/>
    <m/>
    <m/>
    <n v="0"/>
    <m/>
    <m/>
    <n v="0"/>
    <m/>
    <m/>
    <n v="0"/>
    <m/>
    <m/>
    <n v="0"/>
    <n v="1755000"/>
    <n v="1703.8834951456311"/>
  </r>
  <r>
    <s v="4.3.1.3"/>
    <x v="0"/>
    <x v="0"/>
    <x v="2"/>
    <x v="2"/>
    <n v="5"/>
    <x v="22"/>
    <x v="22"/>
    <m/>
    <s v="Pilot the monitoring tool"/>
    <s v="Local running (diesel, per km)"/>
    <n v="285.60000000000002"/>
    <n v="450"/>
    <n v="2"/>
    <n v="257040.00000000003"/>
    <m/>
    <m/>
    <n v="0"/>
    <m/>
    <m/>
    <n v="0"/>
    <m/>
    <m/>
    <n v="0"/>
    <m/>
    <m/>
    <n v="0"/>
    <m/>
    <m/>
    <n v="0"/>
    <m/>
    <m/>
    <n v="0"/>
    <m/>
    <m/>
    <n v="0"/>
    <n v="257040.00000000003"/>
    <n v="249.55339805825247"/>
  </r>
  <r>
    <s v="4.3.1.3"/>
    <x v="0"/>
    <x v="0"/>
    <x v="2"/>
    <x v="2"/>
    <n v="5"/>
    <x v="22"/>
    <x v="22"/>
    <m/>
    <s v="Pilot the monitoring tool"/>
    <s v="Fuel for Traveling Participants"/>
    <n v="285.60000000000002"/>
    <n v="2430"/>
    <n v="1"/>
    <n v="694008"/>
    <m/>
    <m/>
    <n v="0"/>
    <m/>
    <m/>
    <n v="0"/>
    <m/>
    <m/>
    <n v="0"/>
    <m/>
    <m/>
    <n v="0"/>
    <m/>
    <m/>
    <n v="0"/>
    <m/>
    <m/>
    <n v="0"/>
    <m/>
    <m/>
    <n v="0"/>
    <n v="694008"/>
    <n v="673.79417475728155"/>
  </r>
  <r>
    <s v="4.3.1.3"/>
    <x v="0"/>
    <x v="0"/>
    <x v="2"/>
    <x v="2"/>
    <n v="5"/>
    <x v="22"/>
    <x v="22"/>
    <m/>
    <s v="Incoporate changes to the monitoring tool"/>
    <s v="conference package high level"/>
    <n v="35000"/>
    <n v="15"/>
    <n v="1"/>
    <n v="525000"/>
    <m/>
    <m/>
    <n v="0"/>
    <m/>
    <m/>
    <n v="0"/>
    <m/>
    <m/>
    <n v="0"/>
    <m/>
    <m/>
    <n v="0"/>
    <m/>
    <m/>
    <n v="0"/>
    <m/>
    <m/>
    <n v="0"/>
    <m/>
    <m/>
    <n v="0"/>
    <n v="525000"/>
    <n v="509.70873786407765"/>
  </r>
  <r>
    <s v="4.3.1.3"/>
    <x v="0"/>
    <x v="0"/>
    <x v="2"/>
    <x v="2"/>
    <n v="5"/>
    <x v="22"/>
    <x v="22"/>
    <m/>
    <s v="Conduct annual monitoring visits across the country"/>
    <s v="DSA (excl. lunch)"/>
    <n v="39000"/>
    <n v="15"/>
    <n v="10"/>
    <n v="5850000"/>
    <m/>
    <m/>
    <n v="0"/>
    <m/>
    <m/>
    <n v="0"/>
    <m/>
    <m/>
    <n v="0"/>
    <m/>
    <m/>
    <n v="0"/>
    <m/>
    <m/>
    <n v="0"/>
    <m/>
    <m/>
    <n v="0"/>
    <m/>
    <m/>
    <n v="0"/>
    <n v="5850000"/>
    <n v="5679.6116504854372"/>
  </r>
  <r>
    <s v="4.3.1.3"/>
    <x v="0"/>
    <x v="0"/>
    <x v="2"/>
    <x v="2"/>
    <n v="5"/>
    <x v="22"/>
    <x v="22"/>
    <m/>
    <s v="Conduct annual monitoring visits across the country"/>
    <s v="Local running (diesel, per km)"/>
    <n v="285.60000000000002"/>
    <n v="450"/>
    <n v="10"/>
    <n v="1285200.0000000002"/>
    <m/>
    <m/>
    <n v="0"/>
    <m/>
    <m/>
    <n v="0"/>
    <m/>
    <m/>
    <n v="0"/>
    <m/>
    <m/>
    <n v="0"/>
    <m/>
    <m/>
    <n v="0"/>
    <m/>
    <m/>
    <n v="0"/>
    <m/>
    <m/>
    <n v="0"/>
    <n v="1285200.0000000002"/>
    <n v="1247.7669902912623"/>
  </r>
  <r>
    <s v="4.3.1.3"/>
    <x v="0"/>
    <x v="0"/>
    <x v="2"/>
    <x v="2"/>
    <n v="5"/>
    <x v="22"/>
    <x v="22"/>
    <m/>
    <s v="Conduct annual monitoring visits across the country"/>
    <s v="Fuel for Traveling Participants"/>
    <n v="285.60000000000002"/>
    <n v="17376"/>
    <n v="1"/>
    <n v="4962585.6000000006"/>
    <m/>
    <m/>
    <n v="0"/>
    <m/>
    <m/>
    <n v="0"/>
    <m/>
    <m/>
    <n v="0"/>
    <m/>
    <m/>
    <n v="0"/>
    <m/>
    <m/>
    <n v="0"/>
    <m/>
    <m/>
    <n v="0"/>
    <m/>
    <m/>
    <n v="0"/>
    <n v="4962585.6000000006"/>
    <n v="4818.0442718446611"/>
  </r>
  <r>
    <s v="4.3.1.3"/>
    <x v="0"/>
    <x v="0"/>
    <x v="2"/>
    <x v="2"/>
    <n v="6"/>
    <x v="23"/>
    <x v="23"/>
    <m/>
    <s v="develop a concept note on economic evaluation of optional paying services"/>
    <s v="Zero cost"/>
    <m/>
    <m/>
    <m/>
    <n v="0"/>
    <m/>
    <m/>
    <n v="0"/>
    <m/>
    <m/>
    <n v="0"/>
    <m/>
    <m/>
    <n v="0"/>
    <m/>
    <m/>
    <n v="0"/>
    <m/>
    <m/>
    <n v="0"/>
    <m/>
    <m/>
    <n v="0"/>
    <m/>
    <m/>
    <n v="0"/>
    <n v="0"/>
    <n v="0"/>
  </r>
  <r>
    <s v="4.3.1.3"/>
    <x v="0"/>
    <x v="0"/>
    <x v="2"/>
    <x v="2"/>
    <n v="6"/>
    <x v="23"/>
    <x v="23"/>
    <m/>
    <s v="Set up a committee"/>
    <s v="Conference package high-level"/>
    <n v="35000"/>
    <n v="25"/>
    <n v="3"/>
    <n v="2625000"/>
    <m/>
    <m/>
    <n v="0"/>
    <m/>
    <m/>
    <n v="0"/>
    <m/>
    <m/>
    <n v="0"/>
    <m/>
    <m/>
    <n v="0"/>
    <m/>
    <m/>
    <n v="0"/>
    <m/>
    <m/>
    <n v="0"/>
    <m/>
    <m/>
    <n v="0"/>
    <n v="2625000"/>
    <n v="2548.5436893203882"/>
  </r>
  <r>
    <s v="4.3.1.3"/>
    <x v="0"/>
    <x v="0"/>
    <x v="2"/>
    <x v="2"/>
    <n v="6"/>
    <x v="23"/>
    <x v="23"/>
    <m/>
    <s v="Set up a committee"/>
    <s v="DSA (excl. lunch)"/>
    <n v="39000"/>
    <n v="25"/>
    <n v="4"/>
    <n v="3900000"/>
    <m/>
    <m/>
    <n v="0"/>
    <m/>
    <m/>
    <n v="0"/>
    <m/>
    <m/>
    <n v="0"/>
    <m/>
    <m/>
    <n v="0"/>
    <m/>
    <m/>
    <n v="0"/>
    <m/>
    <m/>
    <n v="0"/>
    <m/>
    <m/>
    <n v="0"/>
    <n v="3900000"/>
    <n v="3786.4077669902913"/>
  </r>
  <r>
    <s v="4.3.1.3"/>
    <x v="0"/>
    <x v="0"/>
    <x v="2"/>
    <x v="2"/>
    <n v="6"/>
    <x v="23"/>
    <x v="23"/>
    <m/>
    <s v="Set up a committee"/>
    <s v="Local running (diesel, per km)"/>
    <n v="285.60000000000002"/>
    <n v="450"/>
    <n v="3"/>
    <n v="385560.00000000006"/>
    <m/>
    <m/>
    <n v="0"/>
    <m/>
    <m/>
    <n v="0"/>
    <m/>
    <m/>
    <n v="0"/>
    <m/>
    <m/>
    <n v="0"/>
    <m/>
    <m/>
    <n v="0"/>
    <m/>
    <m/>
    <n v="0"/>
    <m/>
    <m/>
    <n v="0"/>
    <n v="385560.00000000006"/>
    <n v="374.3300970873787"/>
  </r>
  <r>
    <s v="4.3.1.3"/>
    <x v="0"/>
    <x v="0"/>
    <x v="2"/>
    <x v="2"/>
    <n v="6"/>
    <x v="23"/>
    <x v="23"/>
    <m/>
    <s v="Set up a committee"/>
    <s v="Fuel for Traveling Participants"/>
    <n v="285.60000000000002"/>
    <n v="2430"/>
    <n v="1"/>
    <n v="694008"/>
    <m/>
    <m/>
    <n v="0"/>
    <m/>
    <m/>
    <n v="0"/>
    <m/>
    <m/>
    <n v="0"/>
    <m/>
    <m/>
    <n v="0"/>
    <m/>
    <m/>
    <n v="0"/>
    <m/>
    <m/>
    <n v="0"/>
    <m/>
    <m/>
    <n v="0"/>
    <n v="694008"/>
    <n v="673.79417475728155"/>
  </r>
  <r>
    <s v="4.3.1.3"/>
    <x v="0"/>
    <x v="0"/>
    <x v="2"/>
    <x v="2"/>
    <n v="6"/>
    <x v="23"/>
    <x v="23"/>
    <m/>
    <s v="Recruitment of a consultant"/>
    <s v="Newspaper advert (full)"/>
    <n v="391991.03749999998"/>
    <n v="2"/>
    <n v="2"/>
    <n v="1567964.15"/>
    <m/>
    <m/>
    <n v="0"/>
    <m/>
    <m/>
    <n v="0"/>
    <m/>
    <m/>
    <n v="0"/>
    <m/>
    <m/>
    <n v="0"/>
    <m/>
    <m/>
    <n v="0"/>
    <m/>
    <m/>
    <n v="0"/>
    <m/>
    <m/>
    <n v="0"/>
    <n v="1567964.15"/>
    <n v="1522.2952912621358"/>
  </r>
  <r>
    <s v="4.3.1.3"/>
    <x v="0"/>
    <x v="0"/>
    <x v="2"/>
    <x v="2"/>
    <n v="6"/>
    <x v="23"/>
    <x v="23"/>
    <m/>
    <s v="Recruitment of a consultant"/>
    <s v="Local consultant fee - High level"/>
    <n v="1009400"/>
    <n v="1"/>
    <n v="25"/>
    <n v="25235000"/>
    <m/>
    <m/>
    <n v="0"/>
    <m/>
    <m/>
    <n v="0"/>
    <m/>
    <m/>
    <n v="0"/>
    <m/>
    <m/>
    <n v="0"/>
    <m/>
    <m/>
    <n v="0"/>
    <m/>
    <m/>
    <n v="0"/>
    <m/>
    <m/>
    <n v="0"/>
    <n v="25235000"/>
    <n v="24500"/>
  </r>
  <r>
    <s v="4.3.1.3"/>
    <x v="0"/>
    <x v="0"/>
    <x v="2"/>
    <x v="2"/>
    <n v="6"/>
    <x v="23"/>
    <x v="23"/>
    <m/>
    <s v="Hold a meeting to develop a health economics analysis plan for the economic evaluation"/>
    <s v="Conference package high-level"/>
    <n v="35000"/>
    <n v="25"/>
    <n v="1"/>
    <n v="875000"/>
    <m/>
    <m/>
    <n v="0"/>
    <m/>
    <m/>
    <n v="0"/>
    <m/>
    <m/>
    <n v="0"/>
    <m/>
    <m/>
    <n v="0"/>
    <m/>
    <m/>
    <n v="0"/>
    <m/>
    <m/>
    <n v="0"/>
    <m/>
    <m/>
    <n v="0"/>
    <n v="875000"/>
    <n v="849.51456310679612"/>
  </r>
  <r>
    <s v="4.3.1.3"/>
    <x v="0"/>
    <x v="0"/>
    <x v="2"/>
    <x v="2"/>
    <n v="6"/>
    <x v="23"/>
    <x v="23"/>
    <m/>
    <s v="conduct economic evaluation"/>
    <s v="Conference package high-level"/>
    <n v="35000"/>
    <n v="25"/>
    <n v="1"/>
    <n v="875000"/>
    <m/>
    <m/>
    <n v="0"/>
    <m/>
    <m/>
    <n v="0"/>
    <m/>
    <m/>
    <n v="0"/>
    <m/>
    <m/>
    <n v="0"/>
    <m/>
    <m/>
    <n v="0"/>
    <m/>
    <m/>
    <n v="0"/>
    <m/>
    <m/>
    <n v="0"/>
    <n v="875000"/>
    <n v="849.51456310679612"/>
  </r>
  <r>
    <s v="4.3.1.4"/>
    <x v="0"/>
    <x v="0"/>
    <x v="3"/>
    <x v="3"/>
    <n v="1"/>
    <x v="24"/>
    <x v="24"/>
    <s v="Assess co-financing investment mechanisms into donor-funded interventions"/>
    <s v="Develop a concept note"/>
    <s v="Zero cost"/>
    <n v="0"/>
    <m/>
    <m/>
    <n v="0"/>
    <m/>
    <m/>
    <n v="0"/>
    <n v="0"/>
    <n v="0"/>
    <n v="0"/>
    <m/>
    <m/>
    <n v="0"/>
    <m/>
    <m/>
    <n v="0"/>
    <n v="0"/>
    <n v="0"/>
    <n v="0"/>
    <m/>
    <m/>
    <n v="0"/>
    <n v="0"/>
    <n v="0"/>
    <n v="0"/>
    <n v="0"/>
    <n v="0"/>
  </r>
  <r>
    <s v="4.3.1.4"/>
    <x v="0"/>
    <x v="0"/>
    <x v="3"/>
    <x v="3"/>
    <n v="1"/>
    <x v="24"/>
    <x v="24"/>
    <s v="Assess co-financing investment mechanisms into donor-funded interventions"/>
    <s v="Hold a workshop to agree on areas of co-financing "/>
    <s v="Conference package high-level"/>
    <n v="35000"/>
    <m/>
    <m/>
    <n v="0"/>
    <m/>
    <m/>
    <n v="0"/>
    <n v="30"/>
    <n v="5"/>
    <n v="6857910.3283303361"/>
    <m/>
    <m/>
    <n v="0"/>
    <m/>
    <m/>
    <n v="0"/>
    <n v="30"/>
    <n v="5"/>
    <n v="10238599.383207982"/>
    <m/>
    <m/>
    <n v="0"/>
    <n v="30"/>
    <n v="5"/>
    <n v="13374361.230045456"/>
    <n v="30470870.941583775"/>
    <n v="29583.369846197838"/>
  </r>
  <r>
    <s v="4.3.1.4"/>
    <x v="0"/>
    <x v="0"/>
    <x v="3"/>
    <x v="3"/>
    <n v="1"/>
    <x v="24"/>
    <x v="24"/>
    <s v="Assess co-financing investment mechanisms into donor-funded interventions"/>
    <s v="Hold a workshop to agree on areas of co-financing "/>
    <s v="DSA (excl. lunch)"/>
    <n v="39000"/>
    <m/>
    <m/>
    <n v="0"/>
    <m/>
    <m/>
    <n v="0"/>
    <n v="30"/>
    <n v="6"/>
    <n v="9170005.8104531355"/>
    <m/>
    <m/>
    <n v="0"/>
    <m/>
    <m/>
    <n v="0"/>
    <n v="30"/>
    <n v="6"/>
    <n v="13690470.032403817"/>
    <m/>
    <m/>
    <n v="0"/>
    <n v="30"/>
    <n v="6"/>
    <n v="17883431.58760364"/>
    <n v="40743907.430460587"/>
    <n v="39557.191680058822"/>
  </r>
  <r>
    <s v="4.3.1.4"/>
    <x v="0"/>
    <x v="0"/>
    <x v="3"/>
    <x v="3"/>
    <n v="1"/>
    <x v="24"/>
    <x v="24"/>
    <s v="Assess co-financing investment mechanisms into donor-funded interventions"/>
    <s v="Hold a workshop to agree on areas of co-financing "/>
    <s v="Local running (diesel, per km)"/>
    <n v="211.42857142857142"/>
    <m/>
    <m/>
    <n v="0"/>
    <m/>
    <m/>
    <n v="0"/>
    <n v="450"/>
    <n v="5"/>
    <n v="621410.65015891218"/>
    <m/>
    <m/>
    <n v="0"/>
    <m/>
    <m/>
    <n v="0"/>
    <n v="450"/>
    <n v="5"/>
    <n v="927742.47472333559"/>
    <m/>
    <m/>
    <n v="0"/>
    <n v="450"/>
    <n v="5"/>
    <n v="1211880.8951306494"/>
    <n v="2761034.0200128974"/>
    <n v="2680.6155534105801"/>
  </r>
  <r>
    <s v="4.3.1.4"/>
    <x v="0"/>
    <x v="0"/>
    <x v="3"/>
    <x v="3"/>
    <n v="1"/>
    <x v="24"/>
    <x v="24"/>
    <s v="Assess co-financing investment mechanisms into donor-funded interventions"/>
    <s v="Hold a workshop to agree on areas of co-financing "/>
    <s v="Fuel for Traveling Participants"/>
    <n v="211.42857142857142"/>
    <m/>
    <m/>
    <n v="0"/>
    <m/>
    <m/>
    <n v="0"/>
    <n v="2430"/>
    <n v="1"/>
    <n v="671123.50217162515"/>
    <m/>
    <m/>
    <n v="0"/>
    <m/>
    <m/>
    <n v="0"/>
    <n v="2430"/>
    <n v="1"/>
    <n v="1001961.8727012025"/>
    <m/>
    <m/>
    <n v="0"/>
    <n v="2430"/>
    <n v="1"/>
    <n v="1308831.3667411015"/>
    <n v="2981916.7416139292"/>
    <n v="2895.0647976834261"/>
  </r>
  <r>
    <s v="4.3.1.4"/>
    <x v="0"/>
    <x v="0"/>
    <x v="3"/>
    <x v="3"/>
    <n v="1"/>
    <x v="24"/>
    <x v="24"/>
    <s v="Assess co-financing investment mechanisms into donor-funded interventions"/>
    <s v="Draft a workshop report "/>
    <s v="Zero cost"/>
    <n v="0"/>
    <m/>
    <m/>
    <n v="0"/>
    <m/>
    <m/>
    <n v="0"/>
    <n v="8000"/>
    <n v="1"/>
    <n v="0"/>
    <m/>
    <m/>
    <n v="0"/>
    <m/>
    <m/>
    <n v="0"/>
    <n v="8000"/>
    <n v="1"/>
    <n v="0"/>
    <m/>
    <m/>
    <n v="0"/>
    <n v="8000"/>
    <n v="1"/>
    <n v="0"/>
    <n v="0"/>
    <n v="0"/>
  </r>
  <r>
    <s v="4.3.1.4"/>
    <x v="0"/>
    <x v="0"/>
    <x v="3"/>
    <x v="3"/>
    <n v="1"/>
    <x v="24"/>
    <x v="24"/>
    <s v="Assess co-financing investment mechanisms into donor-funded interventions"/>
    <s v="Present to SMT and treasury "/>
    <s v="Zero cost"/>
    <n v="0"/>
    <m/>
    <m/>
    <n v="0"/>
    <m/>
    <m/>
    <n v="0"/>
    <n v="50"/>
    <n v="1"/>
    <n v="0"/>
    <m/>
    <m/>
    <n v="0"/>
    <m/>
    <m/>
    <n v="0"/>
    <n v="50"/>
    <n v="1"/>
    <n v="0"/>
    <m/>
    <m/>
    <n v="0"/>
    <n v="50"/>
    <n v="1"/>
    <n v="0"/>
    <n v="0"/>
    <n v="0"/>
  </r>
  <r>
    <s v="4.3.1.4"/>
    <x v="0"/>
    <x v="0"/>
    <x v="3"/>
    <x v="3"/>
    <n v="1"/>
    <x v="24"/>
    <x v="24"/>
    <s v="Engage donors regarding co-financing mechanisms"/>
    <s v="Present the report to the health donor group"/>
    <s v="Zero cost"/>
    <n v="0"/>
    <m/>
    <m/>
    <n v="0"/>
    <m/>
    <m/>
    <n v="0"/>
    <n v="50"/>
    <n v="1"/>
    <n v="0"/>
    <m/>
    <m/>
    <n v="0"/>
    <m/>
    <m/>
    <n v="0"/>
    <n v="50"/>
    <n v="1"/>
    <n v="0"/>
    <m/>
    <m/>
    <n v="0"/>
    <n v="50"/>
    <n v="1"/>
    <n v="0"/>
    <n v="0"/>
    <n v="0"/>
  </r>
  <r>
    <s v="4.3.1.4"/>
    <x v="0"/>
    <x v="0"/>
    <x v="3"/>
    <x v="3"/>
    <n v="1"/>
    <x v="24"/>
    <x v="24"/>
    <s v="Engage donors regarding co-financing mechanisms"/>
    <s v="Holding separate discussions with individual donors"/>
    <s v="Zero cost"/>
    <n v="0"/>
    <m/>
    <m/>
    <n v="0"/>
    <m/>
    <m/>
    <n v="0"/>
    <n v="20"/>
    <n v="1"/>
    <n v="0"/>
    <m/>
    <m/>
    <n v="0"/>
    <m/>
    <m/>
    <n v="0"/>
    <n v="20"/>
    <n v="1"/>
    <n v="0"/>
    <m/>
    <m/>
    <n v="0"/>
    <n v="20"/>
    <n v="1"/>
    <n v="0"/>
    <n v="0"/>
    <n v="0"/>
  </r>
  <r>
    <s v="4.3.1.4"/>
    <x v="0"/>
    <x v="0"/>
    <x v="3"/>
    <x v="3"/>
    <n v="1"/>
    <x v="24"/>
    <x v="24"/>
    <s v="Engage donors regarding co-financing mechanisms"/>
    <s v="lobby for more funds"/>
    <s v="Zero cost"/>
    <n v="0"/>
    <m/>
    <m/>
    <n v="0"/>
    <m/>
    <m/>
    <n v="0"/>
    <n v="5"/>
    <n v="5"/>
    <n v="0"/>
    <m/>
    <m/>
    <n v="0"/>
    <m/>
    <m/>
    <n v="0"/>
    <n v="5"/>
    <n v="5"/>
    <n v="0"/>
    <m/>
    <m/>
    <n v="0"/>
    <n v="5"/>
    <n v="5"/>
    <n v="0"/>
    <n v="0"/>
    <n v="0"/>
  </r>
  <r>
    <s v="4.3.1.4"/>
    <x v="0"/>
    <x v="0"/>
    <x v="3"/>
    <x v="3"/>
    <n v="1"/>
    <x v="24"/>
    <x v="24"/>
    <s v="Develop co-financing roadmap"/>
    <s v="National-level workshop ( MOH – 5, MOF – 2, NLGFC – 2, Partners – 2 x 3 days)"/>
    <s v="Conference package high-level"/>
    <n v="35000"/>
    <m/>
    <m/>
    <n v="0"/>
    <m/>
    <m/>
    <n v="0"/>
    <n v="11"/>
    <n v="3"/>
    <n v="1508740.2722326741"/>
    <m/>
    <m/>
    <n v="0"/>
    <m/>
    <m/>
    <n v="0"/>
    <n v="11"/>
    <n v="3"/>
    <n v="2252491.8643057561"/>
    <m/>
    <m/>
    <n v="0"/>
    <n v="11"/>
    <n v="3"/>
    <n v="2942359.4706100007"/>
    <n v="6703591.6071484312"/>
    <n v="6508.3413661635259"/>
  </r>
  <r>
    <s v="4.3.1.4"/>
    <x v="0"/>
    <x v="0"/>
    <x v="3"/>
    <x v="3"/>
    <n v="1"/>
    <x v="24"/>
    <x v="24"/>
    <s v="Develop co-financing roadmap"/>
    <s v="National-level workshop ( MOH – 5, MOF – 2, NLGFC – 2, Partners – 2 x 3 days)"/>
    <s v="DSA (excl. lunch)"/>
    <n v="39000"/>
    <m/>
    <m/>
    <n v="0"/>
    <m/>
    <m/>
    <n v="0"/>
    <n v="11"/>
    <n v="3"/>
    <n v="1681167.7319164081"/>
    <m/>
    <m/>
    <n v="0"/>
    <m/>
    <m/>
    <n v="0"/>
    <n v="11"/>
    <n v="3"/>
    <n v="2509919.5059406999"/>
    <m/>
    <m/>
    <n v="0"/>
    <n v="11"/>
    <n v="3"/>
    <n v="3278629.1243940005"/>
    <n v="7469716.3622511085"/>
    <n v="7252.1518080107853"/>
  </r>
  <r>
    <s v="4.3.1.4"/>
    <x v="0"/>
    <x v="0"/>
    <x v="3"/>
    <x v="3"/>
    <n v="1"/>
    <x v="24"/>
    <x v="24"/>
    <s v="Develop co-financing roadmap"/>
    <s v="National-level workshop ( MOH – 5, MOF – 2, NLGFC – 2, Partners – 2 x 3 days)"/>
    <s v="Local running (diesel, per km)"/>
    <n v="211.42857142857142"/>
    <m/>
    <m/>
    <n v="0"/>
    <m/>
    <m/>
    <n v="0"/>
    <n v="450"/>
    <n v="3"/>
    <n v="372846.39009534731"/>
    <m/>
    <m/>
    <n v="0"/>
    <m/>
    <m/>
    <n v="0"/>
    <n v="450"/>
    <n v="3"/>
    <n v="556645.4848340014"/>
    <m/>
    <m/>
    <n v="0"/>
    <n v="450"/>
    <n v="3"/>
    <n v="727128.53707838967"/>
    <n v="1656620.4120077384"/>
    <n v="1608.3693320463478"/>
  </r>
  <r>
    <s v="4.3.1.4"/>
    <x v="0"/>
    <x v="0"/>
    <x v="3"/>
    <x v="3"/>
    <n v="1"/>
    <x v="24"/>
    <x v="24"/>
    <s v="Develop co-financing roadmap"/>
    <s v="National-level workshop ( MOH – 5, MOF – 2, NLGFC – 2, Partners – 2 x 3 days)"/>
    <s v="Fuel for Traveling Participants"/>
    <n v="211.42857142857142"/>
    <m/>
    <m/>
    <n v="0"/>
    <m/>
    <m/>
    <n v="0"/>
    <n v="2430"/>
    <n v="1"/>
    <n v="671123.50217162515"/>
    <m/>
    <m/>
    <n v="0"/>
    <m/>
    <m/>
    <n v="0"/>
    <n v="2430"/>
    <n v="1"/>
    <n v="1001961.8727012025"/>
    <m/>
    <m/>
    <n v="0"/>
    <n v="2430"/>
    <n v="1"/>
    <n v="1308831.3667411015"/>
    <n v="2981916.7416139292"/>
    <n v="2895.0647976834261"/>
  </r>
  <r>
    <s v="4.3.1.4"/>
    <x v="0"/>
    <x v="0"/>
    <x v="3"/>
    <x v="3"/>
    <n v="1"/>
    <x v="24"/>
    <x v="24"/>
    <s v="Develop co-financing mechanism implementation and monitoring plans"/>
    <s v="National-level workshop (MOH – 5, MOF – 2, NLGFC – 2, Partners – 2 x 3 days)"/>
    <s v="Conference package high-level"/>
    <n v="35000"/>
    <m/>
    <m/>
    <n v="0"/>
    <m/>
    <m/>
    <n v="0"/>
    <n v="11"/>
    <n v="3"/>
    <n v="1508740.2722326741"/>
    <m/>
    <m/>
    <n v="0"/>
    <m/>
    <m/>
    <n v="0"/>
    <n v="11"/>
    <n v="3"/>
    <n v="2252491.8643057561"/>
    <m/>
    <m/>
    <n v="0"/>
    <n v="11"/>
    <n v="3"/>
    <n v="2942359.4706100007"/>
    <n v="6703591.6071484312"/>
    <n v="6508.3413661635259"/>
  </r>
  <r>
    <s v="4.3.1.4"/>
    <x v="0"/>
    <x v="0"/>
    <x v="3"/>
    <x v="3"/>
    <n v="1"/>
    <x v="24"/>
    <x v="24"/>
    <s v="Develop co-financing mechanism implementation and monitoring plans"/>
    <s v="National-level workshop (MOH – 5, MOF – 2, NLGFC – 2, Partners – 2 x 3 days)"/>
    <s v="DSA (excl. lunch)"/>
    <n v="39000"/>
    <m/>
    <m/>
    <n v="0"/>
    <m/>
    <m/>
    <n v="0"/>
    <n v="11"/>
    <n v="3"/>
    <n v="1681167.7319164081"/>
    <m/>
    <m/>
    <n v="0"/>
    <m/>
    <m/>
    <n v="0"/>
    <n v="11"/>
    <n v="3"/>
    <n v="2509919.5059406999"/>
    <m/>
    <m/>
    <n v="0"/>
    <n v="11"/>
    <n v="3"/>
    <n v="3278629.1243940005"/>
    <n v="7469716.3622511085"/>
    <n v="7252.1518080107853"/>
  </r>
  <r>
    <s v="4.3.1.4"/>
    <x v="0"/>
    <x v="0"/>
    <x v="3"/>
    <x v="3"/>
    <n v="1"/>
    <x v="24"/>
    <x v="24"/>
    <s v="Develop co-financing mechanism implementation and monitoring plans"/>
    <s v="National-level workshop (MOH – 5, MOF – 2, NLGFC – 2, Partners – 2 x 3 days)"/>
    <s v="Local running (diesel, per km)"/>
    <n v="211.42857142857142"/>
    <m/>
    <m/>
    <n v="0"/>
    <m/>
    <m/>
    <n v="0"/>
    <n v="450"/>
    <n v="3"/>
    <n v="372846.39009534731"/>
    <m/>
    <m/>
    <n v="0"/>
    <m/>
    <m/>
    <n v="0"/>
    <n v="450"/>
    <n v="3"/>
    <n v="556645.4848340014"/>
    <m/>
    <m/>
    <n v="0"/>
    <n v="450"/>
    <n v="3"/>
    <n v="727128.53707838967"/>
    <n v="1656620.4120077384"/>
    <n v="1608.3693320463478"/>
  </r>
  <r>
    <s v="4.3.1.4"/>
    <x v="0"/>
    <x v="0"/>
    <x v="3"/>
    <x v="3"/>
    <n v="1"/>
    <x v="24"/>
    <x v="24"/>
    <s v="Develop co-financing mechanism implementation and monitoring plans"/>
    <s v="National-level workshop (MOH – 5, MOF – 2, NLGFC – 2, Partners – 2 x 3 days)"/>
    <s v="Fuel for Traveling Participants"/>
    <n v="211.42857142857142"/>
    <m/>
    <m/>
    <n v="0"/>
    <m/>
    <m/>
    <n v="0"/>
    <n v="2430"/>
    <n v="1"/>
    <n v="671123.50217162515"/>
    <m/>
    <m/>
    <n v="0"/>
    <m/>
    <m/>
    <n v="0"/>
    <n v="2430"/>
    <n v="1"/>
    <n v="1001961.8727012025"/>
    <m/>
    <m/>
    <n v="0"/>
    <n v="2430"/>
    <n v="1"/>
    <n v="1308831.3667411015"/>
    <n v="2981916.7416139292"/>
    <n v="2895.0647976834261"/>
  </r>
  <r>
    <s v="4.3.1.4"/>
    <x v="0"/>
    <x v="0"/>
    <x v="3"/>
    <x v="3"/>
    <n v="1"/>
    <x v="24"/>
    <x v="24"/>
    <s v="Negotiating contracts with interested partners "/>
    <s v="Sign co-financing agreements with interested partners "/>
    <s v="Zero cost"/>
    <n v="0"/>
    <m/>
    <m/>
    <n v="0"/>
    <m/>
    <m/>
    <n v="0"/>
    <n v="0"/>
    <n v="1"/>
    <n v="0"/>
    <m/>
    <m/>
    <n v="0"/>
    <m/>
    <m/>
    <n v="0"/>
    <n v="0"/>
    <n v="1"/>
    <n v="0"/>
    <m/>
    <m/>
    <n v="0"/>
    <n v="0"/>
    <n v="1"/>
    <n v="0"/>
    <n v="0"/>
    <n v="0"/>
  </r>
  <r>
    <s v="4.3.1.4"/>
    <x v="0"/>
    <x v="0"/>
    <x v="3"/>
    <x v="3"/>
    <n v="1"/>
    <x v="24"/>
    <x v="24"/>
    <s v="Monitoring of co-investments"/>
    <s v="Monitoring "/>
    <s v="Zero cost"/>
    <n v="0"/>
    <m/>
    <m/>
    <n v="0"/>
    <m/>
    <m/>
    <n v="0"/>
    <n v="0"/>
    <n v="0"/>
    <n v="0"/>
    <m/>
    <m/>
    <n v="0"/>
    <m/>
    <m/>
    <n v="0"/>
    <n v="0"/>
    <n v="0"/>
    <n v="0"/>
    <m/>
    <m/>
    <n v="0"/>
    <n v="0"/>
    <n v="0"/>
    <n v="0"/>
    <n v="0"/>
    <n v="0"/>
  </r>
  <r>
    <s v="4.3.1.4"/>
    <x v="0"/>
    <x v="0"/>
    <x v="3"/>
    <x v="3"/>
    <n v="1"/>
    <x v="24"/>
    <x v="24"/>
    <s v="Evaluation of co-investments"/>
    <s v="Conduct workshop for evaluation"/>
    <s v="Conference package high-level"/>
    <n v="35000"/>
    <m/>
    <m/>
    <n v="0"/>
    <m/>
    <m/>
    <n v="0"/>
    <m/>
    <m/>
    <n v="0"/>
    <n v="30"/>
    <n v="5"/>
    <n v="7838050.3955829386"/>
    <n v="30"/>
    <n v="5"/>
    <n v="8958273.1564609352"/>
    <n v="30"/>
    <n v="5"/>
    <n v="10238599.383207982"/>
    <n v="30"/>
    <n v="5"/>
    <n v="11701911.238799591"/>
    <n v="30"/>
    <n v="5"/>
    <n v="13374361.230045456"/>
    <n v="52111195.404096901"/>
    <n v="50593.393596210582"/>
  </r>
  <r>
    <s v="4.3.1.4"/>
    <x v="0"/>
    <x v="0"/>
    <x v="3"/>
    <x v="3"/>
    <n v="2"/>
    <x v="25"/>
    <x v="25"/>
    <s v="Develop policy regarding the provision of resource mobilization incentives at National and council level"/>
    <s v="National-level engagement meeting (1 person x 29 districts, MOH - 5, MOF – 2, NLGFC – 5 (3 days))"/>
    <s v="Conference package high-level"/>
    <n v="35000"/>
    <m/>
    <m/>
    <n v="0"/>
    <m/>
    <m/>
    <n v="0"/>
    <m/>
    <m/>
    <n v="0"/>
    <n v="41"/>
    <n v="3"/>
    <n v="6427201.3243780099"/>
    <m/>
    <m/>
    <n v="0"/>
    <m/>
    <m/>
    <n v="0"/>
    <n v="41"/>
    <n v="3"/>
    <n v="9595567.2158156652"/>
    <m/>
    <m/>
    <n v="0"/>
    <n v="16022768.540193675"/>
    <n v="15556.085961353083"/>
  </r>
  <r>
    <s v="4.3.1.4"/>
    <x v="0"/>
    <x v="0"/>
    <x v="3"/>
    <x v="3"/>
    <n v="2"/>
    <x v="25"/>
    <x v="25"/>
    <s v="Develop policy regarding the provision of resource mobilization incentives at National and council level"/>
    <s v="National-level engagement meeting (1 person x 29 districts, MOH - 5, MOF – 2, NLGFC – 5 (3 days))"/>
    <s v="DSA (excl. lunch)"/>
    <n v="39000"/>
    <m/>
    <m/>
    <n v="0"/>
    <m/>
    <m/>
    <n v="0"/>
    <m/>
    <m/>
    <n v="0"/>
    <n v="41"/>
    <n v="4"/>
    <n v="9548984.8247901853"/>
    <m/>
    <m/>
    <n v="0"/>
    <m/>
    <m/>
    <n v="0"/>
    <n v="41"/>
    <n v="4"/>
    <n v="14256271.292068988"/>
    <m/>
    <m/>
    <n v="0"/>
    <n v="23805256.116859175"/>
    <n v="23111.899142581722"/>
  </r>
  <r>
    <s v="4.3.1.4"/>
    <x v="0"/>
    <x v="0"/>
    <x v="3"/>
    <x v="3"/>
    <n v="2"/>
    <x v="25"/>
    <x v="25"/>
    <s v="Develop policy regarding the provision of resource mobilization incentives at National and council level"/>
    <s v="National-level engagement meeting (1 person x 29 districts, MOH - 5, MOF – 2, NLGFC – 5 (3 days))"/>
    <s v="Local running (diesel, per km)"/>
    <n v="211.42857142857142"/>
    <m/>
    <m/>
    <n v="0"/>
    <m/>
    <m/>
    <n v="0"/>
    <m/>
    <m/>
    <n v="0"/>
    <n v="450"/>
    <n v="3"/>
    <n v="426134.00518026418"/>
    <m/>
    <m/>
    <n v="0"/>
    <m/>
    <m/>
    <n v="0"/>
    <n v="450"/>
    <n v="3"/>
    <n v="636201.86816657369"/>
    <m/>
    <m/>
    <n v="0"/>
    <n v="1062335.8733468379"/>
    <n v="1031.3940517930466"/>
  </r>
  <r>
    <s v="4.3.1.4"/>
    <x v="0"/>
    <x v="0"/>
    <x v="3"/>
    <x v="3"/>
    <n v="2"/>
    <x v="25"/>
    <x v="25"/>
    <s v="Develop policy regarding the provision of resource mobilization incentives at National and council level"/>
    <s v="National-level engagement meeting (1 person x 29 districts, MOH - 5, MOF – 2, NLGFC – 5 (3 days))"/>
    <s v="Fuel for Traveling Participants"/>
    <n v="211.42857142857142"/>
    <m/>
    <m/>
    <n v="0"/>
    <m/>
    <m/>
    <n v="0"/>
    <m/>
    <m/>
    <n v="0"/>
    <n v="2430"/>
    <n v="1"/>
    <n v="767041.20932447549"/>
    <m/>
    <m/>
    <n v="0"/>
    <m/>
    <m/>
    <n v="0"/>
    <n v="2430"/>
    <n v="1"/>
    <n v="1145163.3626998325"/>
    <m/>
    <m/>
    <n v="0"/>
    <n v="1912204.5720243081"/>
    <n v="1856.5092932274836"/>
  </r>
  <r>
    <s v="4.3.1.4"/>
    <x v="0"/>
    <x v="0"/>
    <x v="3"/>
    <x v="3"/>
    <n v="2"/>
    <x v="25"/>
    <x v="25"/>
    <s v="Disseminate policy regarding the provision of resource mobilization incentives at council level"/>
    <s v="National-level engagement meeting, 1 person x 29 districts, MOH - 5, MOF – 2, NLGFC – 2 (1 day)"/>
    <s v="Conference package high-level"/>
    <n v="35000"/>
    <m/>
    <m/>
    <n v="0"/>
    <m/>
    <m/>
    <n v="0"/>
    <m/>
    <m/>
    <n v="0"/>
    <n v="41"/>
    <n v="1"/>
    <n v="2142400.4414593368"/>
    <m/>
    <m/>
    <n v="0"/>
    <m/>
    <m/>
    <n v="0"/>
    <n v="41"/>
    <n v="1"/>
    <n v="3198522.4052718882"/>
    <m/>
    <m/>
    <n v="0"/>
    <n v="5340922.846731225"/>
    <n v="5185.3619871176943"/>
  </r>
  <r>
    <s v="4.3.1.4"/>
    <x v="0"/>
    <x v="0"/>
    <x v="3"/>
    <x v="3"/>
    <n v="2"/>
    <x v="25"/>
    <x v="25"/>
    <s v="Disseminate policy regarding the provision of resource mobilization incentives at council level"/>
    <s v="National-level engagement meeting, 1 person x 29 districts, MOH - 5, MOF – 2, NLGFC – 2 (1 day)"/>
    <s v="DSA (excl. lunch)"/>
    <n v="39000"/>
    <m/>
    <m/>
    <n v="0"/>
    <m/>
    <m/>
    <n v="0"/>
    <m/>
    <m/>
    <n v="0"/>
    <n v="41"/>
    <n v="1"/>
    <n v="2387246.2061975463"/>
    <m/>
    <m/>
    <n v="0"/>
    <m/>
    <m/>
    <n v="0"/>
    <n v="41"/>
    <n v="1"/>
    <n v="3564067.823017247"/>
    <m/>
    <m/>
    <n v="0"/>
    <n v="5951314.0292147938"/>
    <n v="5777.9747856454305"/>
  </r>
  <r>
    <s v="4.3.1.4"/>
    <x v="0"/>
    <x v="0"/>
    <x v="3"/>
    <x v="3"/>
    <n v="2"/>
    <x v="25"/>
    <x v="25"/>
    <s v="Disseminate policy regarding the provision of resource mobilization incentives at council level"/>
    <s v="National-level engagement meeting, 1 person x 29 districts, MOH - 5, MOF – 2, NLGFC – 2 (1 day)"/>
    <s v="Local running (diesel, per km)"/>
    <n v="211.42857142857142"/>
    <m/>
    <m/>
    <n v="0"/>
    <m/>
    <m/>
    <n v="0"/>
    <m/>
    <m/>
    <n v="0"/>
    <n v="450"/>
    <n v="1"/>
    <n v="142044.66839342139"/>
    <m/>
    <m/>
    <n v="0"/>
    <m/>
    <m/>
    <n v="0"/>
    <n v="450"/>
    <n v="1"/>
    <n v="212067.2893888579"/>
    <m/>
    <m/>
    <n v="0"/>
    <n v="354111.95778227929"/>
    <n v="343.7980172643488"/>
  </r>
  <r>
    <s v="4.3.1.4"/>
    <x v="0"/>
    <x v="0"/>
    <x v="3"/>
    <x v="3"/>
    <n v="2"/>
    <x v="25"/>
    <x v="25"/>
    <s v="Disseminate policy regarding the provision of resource mobilization incentives at council level"/>
    <s v="National-level engagement meeting, 1 person x 29 districts, MOH - 5, MOF – 2, NLGFC – 2 (1 day)"/>
    <s v="Fuel for Traveling Participants"/>
    <n v="211.42857142857142"/>
    <m/>
    <m/>
    <n v="0"/>
    <m/>
    <m/>
    <n v="0"/>
    <m/>
    <m/>
    <n v="0"/>
    <n v="2430"/>
    <n v="1"/>
    <n v="767041.20932447549"/>
    <m/>
    <m/>
    <n v="0"/>
    <m/>
    <m/>
    <n v="0"/>
    <n v="2430"/>
    <n v="1"/>
    <n v="1145163.3626998325"/>
    <m/>
    <m/>
    <n v="0"/>
    <n v="1912204.5720243081"/>
    <n v="1856.5092932274836"/>
  </r>
  <r>
    <s v="4.3.1.4"/>
    <x v="0"/>
    <x v="0"/>
    <x v="3"/>
    <x v="3"/>
    <n v="3"/>
    <x v="26"/>
    <x v="26"/>
    <s v="Resource mobilization capacity needs assessment at national and district level"/>
    <s v="develop a concept note"/>
    <s v="Zero cost"/>
    <n v="0"/>
    <m/>
    <m/>
    <n v="0"/>
    <n v="0"/>
    <n v="0"/>
    <n v="0"/>
    <m/>
    <m/>
    <n v="0"/>
    <m/>
    <m/>
    <n v="0"/>
    <n v="0"/>
    <n v="0"/>
    <n v="0"/>
    <m/>
    <m/>
    <n v="0"/>
    <m/>
    <m/>
    <n v="0"/>
    <n v="0"/>
    <n v="0"/>
    <n v="0"/>
    <n v="0"/>
    <n v="0"/>
  </r>
  <r>
    <s v="4.3.1.4"/>
    <x v="0"/>
    <x v="0"/>
    <x v="3"/>
    <x v="3"/>
    <n v="3"/>
    <x v="26"/>
    <x v="26"/>
    <s v="Resource mobilization capacity needs assessment at national and district level"/>
    <s v="Develop TORs for a consultant "/>
    <s v="Zero cost"/>
    <n v="0"/>
    <m/>
    <m/>
    <n v="0"/>
    <n v="3"/>
    <n v="5"/>
    <n v="0"/>
    <m/>
    <m/>
    <n v="0"/>
    <m/>
    <m/>
    <n v="0"/>
    <n v="3"/>
    <n v="5"/>
    <n v="0"/>
    <m/>
    <m/>
    <n v="0"/>
    <m/>
    <m/>
    <n v="0"/>
    <n v="3"/>
    <n v="5"/>
    <n v="0"/>
    <n v="0"/>
    <n v="0"/>
  </r>
  <r>
    <s v="4.3.1.4"/>
    <x v="0"/>
    <x v="0"/>
    <x v="3"/>
    <x v="3"/>
    <n v="3"/>
    <x v="26"/>
    <x v="26"/>
    <s v="Resource mobilization capacity needs assessment at national and district level"/>
    <s v="Recruitment of an international consultant (30 days )"/>
    <s v=" "/>
    <n v="391991.03749999998"/>
    <m/>
    <m/>
    <n v="0"/>
    <n v="1"/>
    <n v="1"/>
    <n v="448014.82659366808"/>
    <m/>
    <m/>
    <n v="0"/>
    <m/>
    <m/>
    <n v="0"/>
    <n v="1"/>
    <n v="1"/>
    <n v="668869.10263038508"/>
    <m/>
    <m/>
    <n v="0"/>
    <m/>
    <m/>
    <n v="0"/>
    <n v="1"/>
    <n v="1"/>
    <n v="998596.13989815139"/>
    <n v="2115480.0691222046"/>
    <n v="2053.8641447788395"/>
  </r>
  <r>
    <s v="4.3.1.4"/>
    <x v="0"/>
    <x v="0"/>
    <x v="3"/>
    <x v="3"/>
    <n v="3"/>
    <x v="26"/>
    <x v="26"/>
    <s v="Resource mobilization capacity needs assessment at national and district level"/>
    <s v="Recruitment of an international consultant (30 days )"/>
    <s v="International consultant fee - High level"/>
    <n v="1001560"/>
    <m/>
    <m/>
    <n v="0"/>
    <n v="1"/>
    <n v="25"/>
    <n v="28617601.347782999"/>
    <m/>
    <m/>
    <n v="0"/>
    <m/>
    <m/>
    <n v="0"/>
    <n v="1"/>
    <n v="25"/>
    <n v="42724990.774214357"/>
    <m/>
    <m/>
    <n v="0"/>
    <m/>
    <m/>
    <n v="0"/>
    <n v="1"/>
    <n v="25"/>
    <n v="63786786.826496802"/>
    <n v="135129378.94849417"/>
    <n v="131193.57179465453"/>
  </r>
  <r>
    <s v="4.3.1.4"/>
    <x v="0"/>
    <x v="0"/>
    <x v="3"/>
    <x v="3"/>
    <n v="3"/>
    <x v="26"/>
    <x v="26"/>
    <s v="Resource mobilization capacity needs assessment at national and district level"/>
    <s v="Develop data collection tool "/>
    <s v="Zero cost"/>
    <n v="0"/>
    <m/>
    <m/>
    <n v="0"/>
    <n v="1"/>
    <n v="30"/>
    <n v="0"/>
    <m/>
    <m/>
    <n v="0"/>
    <m/>
    <m/>
    <n v="0"/>
    <n v="1"/>
    <n v="30"/>
    <n v="0"/>
    <m/>
    <m/>
    <n v="0"/>
    <m/>
    <m/>
    <n v="0"/>
    <n v="1"/>
    <n v="30"/>
    <n v="0"/>
    <n v="0"/>
    <n v="0"/>
  </r>
  <r>
    <s v="4.3.1.4"/>
    <x v="0"/>
    <x v="0"/>
    <x v="3"/>
    <x v="3"/>
    <n v="3"/>
    <x v="26"/>
    <x v="26"/>
    <s v="Resource mobilization capacity needs assessment at national and district level"/>
    <s v="recruit research assistants "/>
    <s v="Zero cost"/>
    <n v="0"/>
    <m/>
    <m/>
    <n v="0"/>
    <n v="5"/>
    <n v="5"/>
    <n v="0"/>
    <m/>
    <m/>
    <n v="0"/>
    <m/>
    <m/>
    <n v="0"/>
    <n v="5"/>
    <n v="5"/>
    <n v="0"/>
    <m/>
    <m/>
    <n v="0"/>
    <m/>
    <m/>
    <n v="0"/>
    <n v="5"/>
    <n v="5"/>
    <n v="0"/>
    <n v="0"/>
    <n v="0"/>
  </r>
  <r>
    <s v="4.3.1.4"/>
    <x v="0"/>
    <x v="0"/>
    <x v="3"/>
    <x v="3"/>
    <n v="3"/>
    <x v="26"/>
    <x v="26"/>
    <s v="Resource mobilization capacity needs assessment at national and district level"/>
    <s v="training on the data collection tool "/>
    <s v="Conference package high-level"/>
    <n v="35000"/>
    <m/>
    <m/>
    <n v="0"/>
    <n v="30"/>
    <n v="1"/>
    <n v="1200067.1518499998"/>
    <m/>
    <m/>
    <n v="0"/>
    <m/>
    <m/>
    <n v="0"/>
    <n v="30"/>
    <n v="1"/>
    <n v="1791654.6312921871"/>
    <m/>
    <m/>
    <n v="0"/>
    <m/>
    <m/>
    <n v="0"/>
    <n v="30"/>
    <n v="1"/>
    <n v="2674872.2460090914"/>
    <n v="5666594.0291512776"/>
    <n v="5501.5476011177452"/>
  </r>
  <r>
    <s v="4.3.1.4"/>
    <x v="0"/>
    <x v="0"/>
    <x v="3"/>
    <x v="3"/>
    <n v="3"/>
    <x v="26"/>
    <x v="26"/>
    <s v="Resource mobilization capacity needs assessment at national and district level"/>
    <s v="training on the data collection tool "/>
    <s v="A4, 500 pages, 140 gsm paper"/>
    <n v="8000"/>
    <m/>
    <m/>
    <n v="0"/>
    <n v="30"/>
    <n v="1"/>
    <n v="274301.06328"/>
    <m/>
    <m/>
    <n v="0"/>
    <m/>
    <m/>
    <n v="0"/>
    <n v="30"/>
    <n v="1"/>
    <n v="409521.05858107132"/>
    <m/>
    <m/>
    <n v="0"/>
    <m/>
    <m/>
    <n v="0"/>
    <n v="30"/>
    <n v="1"/>
    <n v="611399.37051636376"/>
    <n v="1295221.4923774351"/>
    <n v="1257.4965945411991"/>
  </r>
  <r>
    <s v="4.3.1.4"/>
    <x v="0"/>
    <x v="0"/>
    <x v="3"/>
    <x v="3"/>
    <n v="3"/>
    <x v="26"/>
    <x v="26"/>
    <s v="Resource mobilization capacity needs assessment at national and district level"/>
    <s v="training on the data collection tool "/>
    <s v="Toner"/>
    <n v="104850"/>
    <m/>
    <m/>
    <n v="0"/>
    <n v="1"/>
    <n v="1"/>
    <n v="119835.27702044998"/>
    <m/>
    <m/>
    <n v="0"/>
    <m/>
    <m/>
    <n v="0"/>
    <n v="1"/>
    <n v="1"/>
    <n v="178909.51246760553"/>
    <m/>
    <m/>
    <n v="0"/>
    <m/>
    <m/>
    <n v="0"/>
    <n v="1"/>
    <n v="1"/>
    <n v="267105.09999433643"/>
    <n v="565849.889482392"/>
    <n v="549.36882474018637"/>
  </r>
  <r>
    <s v="4.3.1.4"/>
    <x v="0"/>
    <x v="0"/>
    <x v="3"/>
    <x v="3"/>
    <n v="3"/>
    <x v="26"/>
    <x v="26"/>
    <s v="Resource mobilization capacity needs assessment at national and district level"/>
    <s v="pretesting of the data collection tool (1 day)"/>
    <s v="Full DSA"/>
    <n v="45000"/>
    <m/>
    <m/>
    <n v="0"/>
    <n v="30"/>
    <n v="1"/>
    <n v="1542943.4809499998"/>
    <m/>
    <m/>
    <n v="0"/>
    <m/>
    <m/>
    <n v="0"/>
    <n v="30"/>
    <n v="1"/>
    <n v="2303555.9545185259"/>
    <m/>
    <m/>
    <n v="0"/>
    <m/>
    <m/>
    <n v="0"/>
    <n v="30"/>
    <n v="1"/>
    <n v="3439121.4591545463"/>
    <n v="7285620.8946230719"/>
    <n v="7073.4183442942449"/>
  </r>
  <r>
    <s v="4.3.1.4"/>
    <x v="0"/>
    <x v="0"/>
    <x v="3"/>
    <x v="3"/>
    <n v="3"/>
    <x v="26"/>
    <x v="26"/>
    <s v="Resource mobilization capacity needs assessment at national and district level"/>
    <s v="pretesting of the data collection tool (1 day)"/>
    <s v="Local running (diesel, per km)"/>
    <n v="211.42857142857142"/>
    <m/>
    <m/>
    <n v="0"/>
    <n v="450"/>
    <n v="1"/>
    <n v="108740.77865742856"/>
    <m/>
    <m/>
    <n v="0"/>
    <m/>
    <m/>
    <n v="0"/>
    <n v="450"/>
    <n v="1"/>
    <n v="162345.8482232104"/>
    <m/>
    <m/>
    <n v="0"/>
    <m/>
    <m/>
    <n v="0"/>
    <n v="450"/>
    <n v="1"/>
    <n v="242376.17902612989"/>
    <n v="513462.80590676883"/>
    <n v="498.50757855026097"/>
  </r>
  <r>
    <s v="4.3.1.4"/>
    <x v="0"/>
    <x v="0"/>
    <x v="3"/>
    <x v="3"/>
    <n v="3"/>
    <x v="26"/>
    <x v="26"/>
    <s v="Resource mobilization capacity needs assessment at national and district level"/>
    <s v="pretesting of the data collection tool (1 day)"/>
    <s v="Fuel for Traveling Participants"/>
    <n v="211.42857142857142"/>
    <m/>
    <m/>
    <n v="0"/>
    <n v="2430"/>
    <n v="1"/>
    <n v="587200.20475011424"/>
    <m/>
    <m/>
    <n v="0"/>
    <m/>
    <m/>
    <n v="0"/>
    <n v="2430"/>
    <n v="1"/>
    <n v="876667.58040533611"/>
    <m/>
    <m/>
    <n v="0"/>
    <m/>
    <m/>
    <n v="0"/>
    <n v="2430"/>
    <n v="1"/>
    <n v="1308831.3667411015"/>
    <n v="2772699.1518965522"/>
    <n v="2691.9409241714097"/>
  </r>
  <r>
    <s v="4.3.1.4"/>
    <x v="0"/>
    <x v="0"/>
    <x v="3"/>
    <x v="3"/>
    <n v="3"/>
    <x v="26"/>
    <x v="26"/>
    <s v="Resource mobilization capacity needs assessment at national and district level"/>
    <s v="Validation of the data collection tool "/>
    <s v="Conference package high-level"/>
    <n v="35000"/>
    <m/>
    <m/>
    <n v="0"/>
    <n v="30"/>
    <n v="1"/>
    <n v="1200067.1518499998"/>
    <m/>
    <m/>
    <n v="0"/>
    <m/>
    <m/>
    <n v="0"/>
    <n v="30"/>
    <n v="1"/>
    <n v="1791654.6312921871"/>
    <m/>
    <m/>
    <n v="0"/>
    <m/>
    <m/>
    <n v="0"/>
    <n v="30"/>
    <n v="1"/>
    <n v="2674872.2460090914"/>
    <n v="5666594.0291512776"/>
    <n v="5501.5476011177452"/>
  </r>
  <r>
    <s v="4.3.1.4"/>
    <x v="0"/>
    <x v="0"/>
    <x v="3"/>
    <x v="3"/>
    <n v="3"/>
    <x v="26"/>
    <x v="26"/>
    <s v="Resource mobilization capacity needs assessment at national and district level"/>
    <s v="Data collection "/>
    <s v="Full DSA"/>
    <n v="45000"/>
    <m/>
    <m/>
    <n v="0"/>
    <n v="30"/>
    <n v="5"/>
    <n v="7714717.4047499988"/>
    <m/>
    <m/>
    <n v="0"/>
    <m/>
    <m/>
    <n v="0"/>
    <n v="30"/>
    <n v="5"/>
    <n v="11517779.77259263"/>
    <m/>
    <m/>
    <n v="0"/>
    <m/>
    <m/>
    <n v="0"/>
    <n v="30"/>
    <n v="5"/>
    <n v="17195607.295772731"/>
    <n v="36428104.473115362"/>
    <n v="35367.091721471224"/>
  </r>
  <r>
    <s v="4.3.1.4"/>
    <x v="0"/>
    <x v="0"/>
    <x v="3"/>
    <x v="3"/>
    <n v="3"/>
    <x v="26"/>
    <x v="26"/>
    <s v="Resource mobilization capacity needs assessment at national and district level"/>
    <s v="Data collection "/>
    <s v="Local running (diesel, per km)"/>
    <n v="211.42857142857142"/>
    <m/>
    <m/>
    <n v="0"/>
    <n v="450"/>
    <n v="5"/>
    <n v="543703.89328714274"/>
    <m/>
    <m/>
    <n v="0"/>
    <m/>
    <m/>
    <n v="0"/>
    <n v="450"/>
    <n v="5"/>
    <n v="811729.24111605203"/>
    <m/>
    <m/>
    <n v="0"/>
    <m/>
    <m/>
    <n v="0"/>
    <n v="450"/>
    <n v="5"/>
    <n v="1211880.8951306494"/>
    <n v="2567314.0295338444"/>
    <n v="2492.5378927513052"/>
  </r>
  <r>
    <s v="4.3.1.4"/>
    <x v="0"/>
    <x v="0"/>
    <x v="3"/>
    <x v="3"/>
    <n v="3"/>
    <x v="26"/>
    <x v="26"/>
    <s v="Resource mobilization capacity needs assessment at national and district level"/>
    <s v="Data collection "/>
    <s v="Fuel for Traveling Participants"/>
    <n v="211.42857142857142"/>
    <m/>
    <m/>
    <n v="0"/>
    <n v="2430"/>
    <n v="1"/>
    <n v="587200.20475011424"/>
    <m/>
    <m/>
    <n v="0"/>
    <m/>
    <m/>
    <n v="0"/>
    <n v="2430"/>
    <n v="1"/>
    <n v="876667.58040533611"/>
    <m/>
    <m/>
    <n v="0"/>
    <m/>
    <m/>
    <n v="0"/>
    <n v="2430"/>
    <n v="1"/>
    <n v="1308831.3667411015"/>
    <n v="2772699.1518965522"/>
    <n v="2691.9409241714097"/>
  </r>
  <r>
    <s v="4.3.1.4"/>
    <x v="0"/>
    <x v="0"/>
    <x v="3"/>
    <x v="3"/>
    <n v="3"/>
    <x v="26"/>
    <x v="26"/>
    <s v="Resource mobilization capacity needs assessment at national and district level"/>
    <s v="Data collection "/>
    <s v="Air time (3gb)"/>
    <n v="10000"/>
    <m/>
    <m/>
    <n v="0"/>
    <n v="15"/>
    <n v="1"/>
    <n v="171438.16454999999"/>
    <m/>
    <m/>
    <n v="0"/>
    <m/>
    <m/>
    <n v="0"/>
    <n v="15"/>
    <n v="1"/>
    <n v="255950.66161316959"/>
    <m/>
    <m/>
    <n v="0"/>
    <m/>
    <m/>
    <n v="0"/>
    <n v="15"/>
    <n v="1"/>
    <n v="382124.60657272732"/>
    <n v="809513.4327358969"/>
    <n v="785.93537158824938"/>
  </r>
  <r>
    <s v="4.3.1.4"/>
    <x v="0"/>
    <x v="0"/>
    <x v="3"/>
    <x v="3"/>
    <n v="3"/>
    <x v="26"/>
    <x v="26"/>
    <s v="Resource mobilization capacity needs assessment at national and district level"/>
    <s v="Data analysis "/>
    <s v="Conference package high-level"/>
    <n v="35000"/>
    <m/>
    <m/>
    <n v="0"/>
    <n v="30"/>
    <n v="5"/>
    <n v="6000335.7592499992"/>
    <m/>
    <m/>
    <n v="0"/>
    <m/>
    <m/>
    <n v="0"/>
    <n v="30"/>
    <n v="5"/>
    <n v="8958273.1564609352"/>
    <m/>
    <m/>
    <n v="0"/>
    <m/>
    <m/>
    <n v="0"/>
    <n v="30"/>
    <n v="5"/>
    <n v="13374361.230045456"/>
    <n v="28332970.14575639"/>
    <n v="27507.73800558873"/>
  </r>
  <r>
    <s v="4.3.1.4"/>
    <x v="0"/>
    <x v="0"/>
    <x v="3"/>
    <x v="3"/>
    <n v="3"/>
    <x v="26"/>
    <x v="26"/>
    <s v="Resource mobilization capacity needs assessment at national and district level"/>
    <s v="Data analysis "/>
    <s v="DSA (excl. lunch)"/>
    <n v="39000"/>
    <m/>
    <m/>
    <n v="0"/>
    <n v="30"/>
    <n v="5"/>
    <n v="6686088.4174499987"/>
    <m/>
    <m/>
    <n v="0"/>
    <m/>
    <m/>
    <n v="0"/>
    <n v="30"/>
    <n v="5"/>
    <n v="9982075.8029136136"/>
    <m/>
    <m/>
    <n v="0"/>
    <m/>
    <m/>
    <n v="0"/>
    <n v="30"/>
    <n v="5"/>
    <n v="14902859.656336365"/>
    <n v="31571023.876699977"/>
    <n v="30651.479491941725"/>
  </r>
  <r>
    <s v="4.3.1.4"/>
    <x v="0"/>
    <x v="0"/>
    <x v="3"/>
    <x v="3"/>
    <n v="3"/>
    <x v="26"/>
    <x v="26"/>
    <s v="Resource mobilization capacity needs assessment at national and district level"/>
    <s v="Data analysis "/>
    <s v="Local running (diesel, per km)"/>
    <n v="211.42857142857142"/>
    <m/>
    <m/>
    <n v="0"/>
    <n v="450"/>
    <n v="5"/>
    <n v="543703.89328714274"/>
    <m/>
    <m/>
    <n v="0"/>
    <m/>
    <m/>
    <n v="0"/>
    <n v="450"/>
    <n v="5"/>
    <n v="811729.24111605203"/>
    <m/>
    <m/>
    <n v="0"/>
    <m/>
    <m/>
    <n v="0"/>
    <n v="450"/>
    <n v="5"/>
    <n v="1211880.8951306494"/>
    <n v="2567314.0295338444"/>
    <n v="2492.5378927513052"/>
  </r>
  <r>
    <s v="4.3.1.4"/>
    <x v="0"/>
    <x v="0"/>
    <x v="3"/>
    <x v="3"/>
    <n v="3"/>
    <x v="26"/>
    <x v="26"/>
    <s v="Resource mobilization capacity needs assessment at national and district level"/>
    <s v="Data analysis "/>
    <s v="Fuel for Traveling Participants"/>
    <n v="211.42857142857142"/>
    <m/>
    <m/>
    <n v="0"/>
    <n v="2430"/>
    <n v="1"/>
    <n v="587200.20475011424"/>
    <m/>
    <m/>
    <n v="0"/>
    <m/>
    <m/>
    <n v="0"/>
    <n v="2430"/>
    <n v="1"/>
    <n v="876667.58040533611"/>
    <m/>
    <m/>
    <n v="0"/>
    <m/>
    <m/>
    <n v="0"/>
    <n v="2430"/>
    <n v="1"/>
    <n v="1308831.3667411015"/>
    <n v="2772699.1518965522"/>
    <n v="2691.9409241714097"/>
  </r>
  <r>
    <s v="4.3.1.4"/>
    <x v="0"/>
    <x v="0"/>
    <x v="3"/>
    <x v="3"/>
    <n v="3"/>
    <x v="26"/>
    <x v="26"/>
    <s v="Resource mobilization capacity needs assessment at national and district level"/>
    <s v="Report writing with a detailed manual on resource mobilization (consultant)"/>
    <s v="Zero cost"/>
    <n v="0"/>
    <m/>
    <m/>
    <n v="0"/>
    <n v="15"/>
    <n v="1"/>
    <n v="0"/>
    <m/>
    <m/>
    <n v="0"/>
    <m/>
    <m/>
    <n v="0"/>
    <n v="15"/>
    <n v="1"/>
    <n v="0"/>
    <m/>
    <m/>
    <n v="0"/>
    <m/>
    <m/>
    <n v="0"/>
    <n v="15"/>
    <n v="1"/>
    <n v="0"/>
    <n v="0"/>
    <n v="0"/>
  </r>
  <r>
    <s v="4.3.1.4"/>
    <x v="0"/>
    <x v="0"/>
    <x v="3"/>
    <x v="3"/>
    <n v="3"/>
    <x v="26"/>
    <x v="26"/>
    <s v="Resource mobilization capacity needs assessment at national and district level"/>
    <s v="Validation workshop "/>
    <s v="DSA (excl. lunch)"/>
    <n v="39000"/>
    <m/>
    <m/>
    <n v="0"/>
    <n v="58"/>
    <n v="5"/>
    <n v="12926437.607069999"/>
    <m/>
    <m/>
    <n v="0"/>
    <m/>
    <m/>
    <n v="0"/>
    <n v="58"/>
    <n v="5"/>
    <n v="19298679.885632988"/>
    <m/>
    <m/>
    <n v="0"/>
    <m/>
    <m/>
    <n v="0"/>
    <n v="58"/>
    <n v="5"/>
    <n v="28812195.335583642"/>
    <n v="61037312.828286633"/>
    <n v="59259.527017754015"/>
  </r>
  <r>
    <s v="4.3.1.4"/>
    <x v="0"/>
    <x v="0"/>
    <x v="3"/>
    <x v="3"/>
    <n v="3"/>
    <x v="26"/>
    <x v="26"/>
    <s v="Resource mobilization capacity needs assessment at national and district level"/>
    <s v="Validation workshop "/>
    <s v="Conference package high-level"/>
    <n v="35000"/>
    <m/>
    <m/>
    <n v="0"/>
    <n v="100"/>
    <n v="5"/>
    <n v="20001119.197499998"/>
    <m/>
    <m/>
    <n v="0"/>
    <m/>
    <m/>
    <n v="0"/>
    <n v="100"/>
    <n v="5"/>
    <n v="29860910.521536451"/>
    <m/>
    <m/>
    <n v="0"/>
    <m/>
    <m/>
    <n v="0"/>
    <n v="100"/>
    <n v="5"/>
    <n v="44581204.100151524"/>
    <n v="94443233.819187969"/>
    <n v="91692.460018629092"/>
  </r>
  <r>
    <s v="4.3.1.4"/>
    <x v="0"/>
    <x v="0"/>
    <x v="3"/>
    <x v="3"/>
    <n v="3"/>
    <x v="26"/>
    <x v="26"/>
    <s v="Resource mobilization capacity needs assessment at national and district level"/>
    <s v="Validation workshop "/>
    <s v="Local running (diesel, per km)"/>
    <n v="211.42857142857142"/>
    <m/>
    <m/>
    <n v="0"/>
    <n v="450"/>
    <n v="5"/>
    <n v="543703.89328714274"/>
    <m/>
    <m/>
    <n v="0"/>
    <m/>
    <m/>
    <n v="0"/>
    <n v="450"/>
    <n v="5"/>
    <n v="811729.24111605203"/>
    <m/>
    <m/>
    <n v="0"/>
    <m/>
    <m/>
    <n v="0"/>
    <n v="450"/>
    <n v="5"/>
    <n v="1211880.8951306494"/>
    <n v="2567314.0295338444"/>
    <n v="2492.5378927513052"/>
  </r>
  <r>
    <s v="4.3.1.4"/>
    <x v="0"/>
    <x v="0"/>
    <x v="3"/>
    <x v="3"/>
    <n v="3"/>
    <x v="26"/>
    <x v="26"/>
    <s v="Resource mobilization capacity needs assessment at national and district level"/>
    <s v="Validation workshop "/>
    <s v="Fuel for Participants"/>
    <n v="211.42857142857142"/>
    <m/>
    <m/>
    <n v="0"/>
    <n v="22500"/>
    <n v="1"/>
    <n v="5437038.9328714283"/>
    <m/>
    <m/>
    <n v="0"/>
    <m/>
    <m/>
    <n v="0"/>
    <n v="22500"/>
    <n v="1"/>
    <n v="8117292.4111605193"/>
    <m/>
    <m/>
    <n v="0"/>
    <m/>
    <m/>
    <n v="0"/>
    <n v="22500"/>
    <n v="1"/>
    <n v="12118808.951306494"/>
    <n v="25673140.295338444"/>
    <n v="24925.378927513051"/>
  </r>
  <r>
    <s v="4.3.1.4"/>
    <x v="0"/>
    <x v="0"/>
    <x v="3"/>
    <x v="3"/>
    <n v="3"/>
    <x v="26"/>
    <x v="26"/>
    <s v="Resource mobilization capacity needs assessment at national and district level"/>
    <s v="Dissemination of results "/>
    <s v="A4, 500 pages, 140 gsm paper"/>
    <n v="8000"/>
    <m/>
    <m/>
    <n v="0"/>
    <n v="100"/>
    <n v="1"/>
    <n v="914336.87759999989"/>
    <m/>
    <m/>
    <n v="0"/>
    <m/>
    <m/>
    <n v="0"/>
    <n v="100"/>
    <n v="1"/>
    <n v="1365070.1952702377"/>
    <m/>
    <m/>
    <n v="0"/>
    <m/>
    <m/>
    <n v="0"/>
    <n v="100"/>
    <n v="1"/>
    <n v="2037997.9017212125"/>
    <n v="4317404.9745914508"/>
    <n v="4191.6553151373309"/>
  </r>
  <r>
    <s v="4.3.1.4"/>
    <x v="0"/>
    <x v="0"/>
    <x v="3"/>
    <x v="3"/>
    <n v="3"/>
    <x v="26"/>
    <x v="26"/>
    <s v="Resource mobilization capacity needs assessment at national and district level"/>
    <s v="Dissemination of results "/>
    <s v="toner"/>
    <n v="104850"/>
    <m/>
    <m/>
    <n v="0"/>
    <n v="1"/>
    <n v="1"/>
    <n v="119835.27702044998"/>
    <m/>
    <m/>
    <n v="0"/>
    <m/>
    <m/>
    <n v="0"/>
    <n v="1"/>
    <n v="1"/>
    <n v="178909.51246760553"/>
    <m/>
    <m/>
    <n v="0"/>
    <m/>
    <m/>
    <n v="0"/>
    <n v="1"/>
    <n v="1"/>
    <n v="267105.09999433643"/>
    <n v="565849.889482392"/>
    <n v="549.36882474018637"/>
  </r>
  <r>
    <s v="4.3.1.4"/>
    <x v="0"/>
    <x v="0"/>
    <x v="3"/>
    <x v="3"/>
    <n v="3"/>
    <x v="26"/>
    <x v="26"/>
    <s v="Resource mobilization capacity needs assessment at national and district level"/>
    <s v="Dissemination of results "/>
    <s v="Conference package high-level"/>
    <n v="28000"/>
    <m/>
    <m/>
    <n v="0"/>
    <n v="100"/>
    <n v="1"/>
    <n v="3200179.0715999994"/>
    <m/>
    <m/>
    <n v="0"/>
    <m/>
    <m/>
    <n v="0"/>
    <n v="100"/>
    <n v="1"/>
    <n v="4777745.6834458318"/>
    <m/>
    <m/>
    <n v="0"/>
    <m/>
    <m/>
    <n v="0"/>
    <n v="100"/>
    <n v="1"/>
    <n v="7132992.6560242446"/>
    <n v="15110917.411070075"/>
    <n v="14670.793602980655"/>
  </r>
  <r>
    <s v="4.3.1.4"/>
    <x v="0"/>
    <x v="0"/>
    <x v="3"/>
    <x v="3"/>
    <n v="3"/>
    <x v="26"/>
    <x v="26"/>
    <s v="Resource mobilization capacity needs assessment at national and district level"/>
    <s v="Dissemination of results "/>
    <s v="DSA (excl. lunch)"/>
    <n v="39000"/>
    <m/>
    <m/>
    <n v="0"/>
    <n v="58"/>
    <n v="1"/>
    <n v="2585287.5214139996"/>
    <m/>
    <m/>
    <n v="0"/>
    <m/>
    <m/>
    <n v="0"/>
    <n v="58"/>
    <n v="1"/>
    <n v="3859735.9771265974"/>
    <m/>
    <m/>
    <n v="0"/>
    <m/>
    <m/>
    <n v="0"/>
    <n v="58"/>
    <n v="1"/>
    <n v="5762439.0671167281"/>
    <n v="12207462.565657325"/>
    <n v="11851.905403550802"/>
  </r>
  <r>
    <s v="4.3.1.4"/>
    <x v="0"/>
    <x v="0"/>
    <x v="3"/>
    <x v="3"/>
    <n v="3"/>
    <x v="26"/>
    <x v="26"/>
    <s v="Resource mobilization capacity needs assessment at national and district level"/>
    <s v="Dissemination of results "/>
    <s v="local running (diesel, per km)"/>
    <n v="211.42857142857142"/>
    <m/>
    <m/>
    <n v="0"/>
    <n v="450"/>
    <n v="1"/>
    <n v="108740.77865742856"/>
    <m/>
    <m/>
    <n v="0"/>
    <m/>
    <m/>
    <n v="0"/>
    <n v="450"/>
    <n v="1"/>
    <n v="162345.8482232104"/>
    <m/>
    <m/>
    <n v="0"/>
    <m/>
    <m/>
    <n v="0"/>
    <n v="450"/>
    <n v="1"/>
    <n v="242376.17902612989"/>
    <n v="513462.80590676883"/>
    <n v="498.50757855026097"/>
  </r>
  <r>
    <s v="4.3.1.4"/>
    <x v="0"/>
    <x v="0"/>
    <x v="3"/>
    <x v="3"/>
    <n v="3"/>
    <x v="26"/>
    <x v="26"/>
    <s v="Resource mobilization capacity needs assessment at national and district level"/>
    <s v="Training of trainers at national level "/>
    <s v="Conference package high-level"/>
    <n v="28000"/>
    <m/>
    <m/>
    <n v="0"/>
    <n v="15"/>
    <n v="5"/>
    <n v="2400134.3036999996"/>
    <m/>
    <m/>
    <n v="0"/>
    <m/>
    <m/>
    <n v="0"/>
    <n v="15"/>
    <n v="5"/>
    <n v="3583309.2625843738"/>
    <m/>
    <m/>
    <n v="0"/>
    <m/>
    <m/>
    <n v="0"/>
    <n v="15"/>
    <n v="5"/>
    <n v="5349744.4920181837"/>
    <n v="11333188.058302557"/>
    <n v="11003.095202235492"/>
  </r>
  <r>
    <s v="4.3.1.4"/>
    <x v="0"/>
    <x v="0"/>
    <x v="3"/>
    <x v="3"/>
    <n v="3"/>
    <x v="26"/>
    <x v="26"/>
    <s v="Resource mobilization capacity needs assessment at national and district level"/>
    <s v="Training of trainers at national level "/>
    <s v="DSA (excl. lunch)"/>
    <n v="39000"/>
    <m/>
    <m/>
    <n v="0"/>
    <n v="15"/>
    <n v="6"/>
    <n v="4011653.0504699992"/>
    <m/>
    <m/>
    <n v="0"/>
    <m/>
    <m/>
    <n v="0"/>
    <n v="15"/>
    <n v="6"/>
    <n v="5989245.4817481674"/>
    <m/>
    <m/>
    <n v="0"/>
    <m/>
    <m/>
    <n v="0"/>
    <n v="15"/>
    <n v="6"/>
    <n v="8941715.7938018199"/>
    <n v="18942614.326019987"/>
    <n v="18390.887695165038"/>
  </r>
  <r>
    <s v="4.3.1.4"/>
    <x v="0"/>
    <x v="0"/>
    <x v="3"/>
    <x v="3"/>
    <n v="3"/>
    <x v="26"/>
    <x v="26"/>
    <s v="Support resource mobilization capacity through longer term technical assistance at national and district level"/>
    <s v="Develop resource mobilization TA TORs based on needs assessment "/>
    <s v="Zero cost"/>
    <n v="0"/>
    <m/>
    <m/>
    <n v="0"/>
    <m/>
    <m/>
    <n v="0"/>
    <n v="10"/>
    <n v="5"/>
    <n v="0"/>
    <m/>
    <m/>
    <n v="0"/>
    <m/>
    <m/>
    <n v="0"/>
    <n v="10"/>
    <n v="5"/>
    <n v="0"/>
    <m/>
    <m/>
    <n v="0"/>
    <m/>
    <m/>
    <n v="0"/>
    <n v="0"/>
    <n v="0"/>
  </r>
  <r>
    <s v="4.3.1.4"/>
    <x v="0"/>
    <x v="0"/>
    <x v="3"/>
    <x v="3"/>
    <n v="3"/>
    <x v="26"/>
    <x v="26"/>
    <s v="Support resource mobilization capacity through longer term technical assistance at national and district level"/>
    <s v="recruit resource mobilization technical assistance"/>
    <s v="Newspaper advert (full)"/>
    <n v="391991.03749999998"/>
    <m/>
    <m/>
    <n v="0"/>
    <m/>
    <m/>
    <n v="0"/>
    <n v="2"/>
    <n v="2"/>
    <n v="2048182.3883307995"/>
    <m/>
    <m/>
    <n v="0"/>
    <m/>
    <m/>
    <n v="0"/>
    <n v="2"/>
    <n v="2"/>
    <n v="3057858.4341109009"/>
    <m/>
    <m/>
    <n v="0"/>
    <m/>
    <m/>
    <n v="0"/>
    <n v="5106040.8224417008"/>
    <n v="4957.3211868366025"/>
  </r>
  <r>
    <s v="4.3.1.4"/>
    <x v="0"/>
    <x v="0"/>
    <x v="3"/>
    <x v="3"/>
    <n v="3"/>
    <x v="26"/>
    <x v="26"/>
    <s v="Support resource mobilization capacity through longer term technical assistance at national and district level"/>
    <s v="TA to support in grant writing"/>
    <s v="Resource mobilization TA"/>
    <n v="1001560"/>
    <m/>
    <m/>
    <n v="0"/>
    <m/>
    <m/>
    <n v="0"/>
    <n v="1"/>
    <n v="1"/>
    <n v="1308306.4130366729"/>
    <m/>
    <m/>
    <n v="0"/>
    <m/>
    <m/>
    <n v="0"/>
    <n v="1"/>
    <n v="1"/>
    <n v="1953251.7329991977"/>
    <m/>
    <m/>
    <n v="0"/>
    <m/>
    <m/>
    <n v="0"/>
    <n v="3261558.1460358705"/>
    <n v="3166.5613068309422"/>
  </r>
  <r>
    <s v="4.3.1.5"/>
    <x v="0"/>
    <x v="0"/>
    <x v="4"/>
    <x v="4"/>
    <n v="1"/>
    <x v="27"/>
    <x v="27"/>
    <s v="Conduct a comprehensive needs assessment for family planning products and programs"/>
    <s v="Review the costed implementation plan for family planning to assess whether all needs are taken into account"/>
    <s v="Concept note"/>
    <n v="0"/>
    <m/>
    <m/>
    <n v="0"/>
    <n v="0"/>
    <n v="0"/>
    <n v="0"/>
    <m/>
    <m/>
    <n v="0"/>
    <m/>
    <m/>
    <n v="0"/>
    <m/>
    <m/>
    <n v="0"/>
    <m/>
    <m/>
    <n v="0"/>
    <n v="0"/>
    <n v="0"/>
    <n v="0"/>
    <n v="0"/>
    <n v="0"/>
    <n v="0"/>
    <n v="0"/>
    <n v="0"/>
  </r>
  <r>
    <s v="4.3.1.5"/>
    <x v="0"/>
    <x v="0"/>
    <x v="4"/>
    <x v="4"/>
    <n v="1"/>
    <x v="27"/>
    <x v="27"/>
    <s v="Conduct a comprehensive needs assessment for family planning products and programs"/>
    <s v="Review the costed implementation plan for family planning to assess whether all needs are taken into account"/>
    <s v="Form taskforce"/>
    <n v="0"/>
    <m/>
    <m/>
    <n v="0"/>
    <n v="0"/>
    <n v="0"/>
    <n v="0"/>
    <m/>
    <m/>
    <n v="0"/>
    <m/>
    <m/>
    <n v="0"/>
    <m/>
    <m/>
    <n v="0"/>
    <m/>
    <m/>
    <n v="0"/>
    <m/>
    <m/>
    <n v="0"/>
    <m/>
    <m/>
    <n v="0"/>
    <n v="0"/>
    <n v="0"/>
  </r>
  <r>
    <s v="4.3.1.5"/>
    <x v="0"/>
    <x v="0"/>
    <x v="4"/>
    <x v="4"/>
    <n v="1"/>
    <x v="27"/>
    <x v="27"/>
    <s v="Conduct a comprehensive needs assessment for family planning products and programs"/>
    <s v="Review the costed implementation plan for family planning to assess whether all needs are taken into account"/>
    <s v="Recruit consultant for 30 days"/>
    <n v="1001560"/>
    <m/>
    <m/>
    <n v="0"/>
    <n v="1"/>
    <n v="30"/>
    <n v="34341121.617339596"/>
    <m/>
    <m/>
    <n v="0"/>
    <m/>
    <m/>
    <n v="0"/>
    <m/>
    <m/>
    <n v="0"/>
    <m/>
    <m/>
    <n v="0"/>
    <m/>
    <m/>
    <n v="0"/>
    <m/>
    <m/>
    <n v="0"/>
    <n v="34341121.617339596"/>
    <n v="33340.89477411611"/>
  </r>
  <r>
    <s v="4.3.1.5"/>
    <x v="0"/>
    <x v="0"/>
    <x v="4"/>
    <x v="4"/>
    <n v="1"/>
    <x v="27"/>
    <x v="27"/>
    <s v="Conduct a comprehensive needs assessment for family planning products and programs"/>
    <s v="Review the costed implementation plan for family planning to assess whether all needs are taken into account"/>
    <s v="1 workshop in salima for 5 days for 30 participants from lilongwe"/>
    <n v="35000"/>
    <m/>
    <m/>
    <n v="0"/>
    <n v="30"/>
    <n v="5"/>
    <n v="6000335.7592499992"/>
    <m/>
    <m/>
    <n v="0"/>
    <m/>
    <m/>
    <n v="0"/>
    <m/>
    <m/>
    <n v="0"/>
    <m/>
    <m/>
    <n v="0"/>
    <m/>
    <m/>
    <n v="0"/>
    <m/>
    <m/>
    <n v="0"/>
    <n v="6000335.7592499992"/>
    <n v="5825.56869830097"/>
  </r>
  <r>
    <s v="4.3.1.5"/>
    <x v="0"/>
    <x v="0"/>
    <x v="4"/>
    <x v="4"/>
    <n v="1"/>
    <x v="27"/>
    <x v="27"/>
    <s v="Conduct a comprehensive needs assessment for family planning products and programs"/>
    <s v="Review the costed implementation plan for family planning to assess whether all needs are taken into account"/>
    <s v="DSA (excl. lunch)"/>
    <n v="39000"/>
    <m/>
    <m/>
    <n v="0"/>
    <n v="30"/>
    <n v="6"/>
    <n v="8023306.1009399984"/>
    <m/>
    <m/>
    <n v="0"/>
    <m/>
    <m/>
    <n v="0"/>
    <m/>
    <m/>
    <n v="0"/>
    <m/>
    <m/>
    <n v="0"/>
    <m/>
    <m/>
    <n v="0"/>
    <m/>
    <m/>
    <n v="0"/>
    <n v="8023306.1009399984"/>
    <n v="7789.6175737281537"/>
  </r>
  <r>
    <s v="4.3.1.5"/>
    <x v="0"/>
    <x v="0"/>
    <x v="4"/>
    <x v="4"/>
    <n v="1"/>
    <x v="27"/>
    <x v="27"/>
    <s v="Conduct a comprehensive needs assessment for family planning products and programs"/>
    <s v="Review the costed implementation plan for family planning to assess whether all needs are taken into account"/>
    <s v="Local running (diesel, per km)"/>
    <n v="211.42857142857142"/>
    <m/>
    <m/>
    <n v="0"/>
    <n v="450"/>
    <n v="5"/>
    <n v="543703.89328714274"/>
    <m/>
    <m/>
    <n v="0"/>
    <m/>
    <m/>
    <n v="0"/>
    <m/>
    <m/>
    <n v="0"/>
    <m/>
    <m/>
    <n v="0"/>
    <m/>
    <m/>
    <n v="0"/>
    <m/>
    <m/>
    <n v="0"/>
    <n v="543703.89328714274"/>
    <n v="527.86785756033271"/>
  </r>
  <r>
    <s v="4.3.1.5"/>
    <x v="0"/>
    <x v="0"/>
    <x v="4"/>
    <x v="4"/>
    <n v="1"/>
    <x v="27"/>
    <x v="27"/>
    <s v="Conduct a comprehensive needs assessment for family planning products and programs"/>
    <s v="Review the costed implementation plan for family planning to assess whether all needs are taken into account"/>
    <s v="Fuel for Traveling Participants"/>
    <n v="211.42857142857142"/>
    <m/>
    <m/>
    <n v="0"/>
    <n v="2430"/>
    <n v="1"/>
    <n v="587200.20475011424"/>
    <m/>
    <m/>
    <n v="0"/>
    <m/>
    <m/>
    <n v="0"/>
    <m/>
    <m/>
    <n v="0"/>
    <m/>
    <m/>
    <n v="0"/>
    <m/>
    <m/>
    <n v="0"/>
    <m/>
    <m/>
    <n v="0"/>
    <n v="587200.20475011424"/>
    <n v="570.0972861651594"/>
  </r>
  <r>
    <s v="4.3.1.5"/>
    <x v="0"/>
    <x v="0"/>
    <x v="4"/>
    <x v="4"/>
    <n v="1"/>
    <x v="27"/>
    <x v="27"/>
    <s v="Conduct a comprehensive needs assessment for family planning products and programs"/>
    <s v="Revise the costs of the FP implementation plan in line with the 2030 goals"/>
    <s v="2 workshops in salima for 5 days each for 30 participants from Lilongwe"/>
    <n v="35000"/>
    <m/>
    <m/>
    <n v="0"/>
    <n v="30"/>
    <n v="10"/>
    <n v="12000671.518499998"/>
    <m/>
    <m/>
    <n v="0"/>
    <m/>
    <m/>
    <n v="0"/>
    <m/>
    <m/>
    <n v="0"/>
    <m/>
    <m/>
    <n v="0"/>
    <m/>
    <m/>
    <n v="0"/>
    <m/>
    <m/>
    <n v="0"/>
    <n v="12000671.518499998"/>
    <n v="11651.13739660194"/>
  </r>
  <r>
    <s v="4.3.1.5"/>
    <x v="0"/>
    <x v="0"/>
    <x v="4"/>
    <x v="4"/>
    <n v="1"/>
    <x v="27"/>
    <x v="27"/>
    <s v="Conduct a comprehensive needs assessment for family planning products and programs"/>
    <s v="Revise the costs of the FP implementation plan in line with the 2030 goals"/>
    <s v="DSA (excl. lunch)"/>
    <n v="39000"/>
    <m/>
    <m/>
    <n v="0"/>
    <n v="30"/>
    <n v="12"/>
    <n v="16046612.201879997"/>
    <m/>
    <m/>
    <n v="0"/>
    <m/>
    <m/>
    <n v="0"/>
    <m/>
    <m/>
    <n v="0"/>
    <m/>
    <m/>
    <n v="0"/>
    <m/>
    <m/>
    <n v="0"/>
    <m/>
    <m/>
    <n v="0"/>
    <n v="16046612.201879997"/>
    <n v="15579.235147456307"/>
  </r>
  <r>
    <s v="4.3.1.5"/>
    <x v="0"/>
    <x v="0"/>
    <x v="4"/>
    <x v="4"/>
    <n v="1"/>
    <x v="27"/>
    <x v="27"/>
    <s v="Conduct a comprehensive needs assessment for family planning products and programs"/>
    <s v="Revise the costs of the FP implementation plan in line with the 2030 goals"/>
    <s v="Local running (diesel, per km)"/>
    <n v="211.42857142857142"/>
    <m/>
    <m/>
    <n v="0"/>
    <n v="450"/>
    <n v="10"/>
    <n v="1087407.7865742855"/>
    <m/>
    <m/>
    <n v="0"/>
    <m/>
    <m/>
    <n v="0"/>
    <m/>
    <m/>
    <n v="0"/>
    <m/>
    <m/>
    <n v="0"/>
    <m/>
    <m/>
    <n v="0"/>
    <m/>
    <m/>
    <n v="0"/>
    <n v="1087407.7865742855"/>
    <n v="1055.7357151206654"/>
  </r>
  <r>
    <s v="4.3.1.5"/>
    <x v="0"/>
    <x v="0"/>
    <x v="4"/>
    <x v="4"/>
    <n v="1"/>
    <x v="27"/>
    <x v="27"/>
    <s v="Conduct a comprehensive needs assessment for family planning products and programs"/>
    <s v="Revise the costs of the FP implementation plan in line with the 2030 goals"/>
    <s v="Fuel for Traveling Participants"/>
    <n v="211.42857142857142"/>
    <m/>
    <m/>
    <n v="0"/>
    <n v="2430"/>
    <n v="2"/>
    <n v="1174400.4095002285"/>
    <m/>
    <m/>
    <n v="0"/>
    <m/>
    <m/>
    <n v="0"/>
    <m/>
    <m/>
    <n v="0"/>
    <m/>
    <m/>
    <n v="0"/>
    <m/>
    <m/>
    <n v="0"/>
    <m/>
    <m/>
    <n v="0"/>
    <n v="1174400.4095002285"/>
    <n v="1140.1945723303188"/>
  </r>
  <r>
    <s v="4.3.1.5"/>
    <x v="0"/>
    <x v="0"/>
    <x v="4"/>
    <x v="4"/>
    <n v="1"/>
    <x v="27"/>
    <x v="27"/>
    <s v="sign a mutually binding compact between the Government of Malawi and the donors for domestic family planning financing"/>
    <s v="Convene a taskforce to review the revised costs and agree on funding modalities (including domestic versus donor)"/>
    <s v="1 meeting in Lilongwe for 30 people for 2 days"/>
    <n v="35000"/>
    <m/>
    <m/>
    <n v="0"/>
    <n v="30"/>
    <n v="2"/>
    <n v="2400134.3036999996"/>
    <m/>
    <m/>
    <n v="0"/>
    <m/>
    <m/>
    <n v="0"/>
    <m/>
    <m/>
    <n v="0"/>
    <m/>
    <m/>
    <n v="0"/>
    <m/>
    <m/>
    <n v="0"/>
    <m/>
    <m/>
    <n v="0"/>
    <n v="2400134.3036999996"/>
    <n v="2330.2274793203878"/>
  </r>
  <r>
    <s v="4.3.1.5"/>
    <x v="0"/>
    <x v="0"/>
    <x v="4"/>
    <x v="4"/>
    <n v="1"/>
    <x v="27"/>
    <x v="27"/>
    <s v="sign a mutually binding compact between the Government of Malawi and the donors for domestic family planning financing"/>
    <s v="Convene a taskforce to review the revised costs and agree on funding modalities (including domestic versus donor)"/>
    <s v="DSA (excl. lunch)"/>
    <n v="39000"/>
    <m/>
    <m/>
    <n v="0"/>
    <n v="30"/>
    <n v="3"/>
    <n v="4011653.0504699992"/>
    <m/>
    <m/>
    <n v="0"/>
    <m/>
    <m/>
    <n v="0"/>
    <m/>
    <m/>
    <n v="0"/>
    <m/>
    <m/>
    <n v="0"/>
    <m/>
    <m/>
    <n v="0"/>
    <m/>
    <m/>
    <n v="0"/>
    <n v="4011653.0504699992"/>
    <n v="3894.8087868640769"/>
  </r>
  <r>
    <s v="4.3.1.5"/>
    <x v="0"/>
    <x v="0"/>
    <x v="4"/>
    <x v="4"/>
    <n v="1"/>
    <x v="27"/>
    <x v="27"/>
    <s v="sign a mutually binding compact between the Government of Malawi and the donors for domestic family planning financing"/>
    <s v="Convene a taskforce to review the revised costs and agree on funding modalities (including domestic versus donor)"/>
    <s v="Local running (diesel, per km)"/>
    <n v="211.42857142857142"/>
    <m/>
    <m/>
    <n v="0"/>
    <n v="450"/>
    <n v="2"/>
    <n v="217481.55731485711"/>
    <m/>
    <m/>
    <n v="0"/>
    <m/>
    <m/>
    <n v="0"/>
    <m/>
    <m/>
    <n v="0"/>
    <m/>
    <m/>
    <n v="0"/>
    <m/>
    <m/>
    <n v="0"/>
    <m/>
    <m/>
    <n v="0"/>
    <n v="217481.55731485711"/>
    <n v="211.14714302413313"/>
  </r>
  <r>
    <s v="4.3.1.5"/>
    <x v="0"/>
    <x v="0"/>
    <x v="4"/>
    <x v="4"/>
    <n v="1"/>
    <x v="27"/>
    <x v="27"/>
    <s v="sign a mutually binding compact between the Government of Malawi and the donors for domestic family planning financing"/>
    <s v="Convene a taskforce to review the revised costs and agree on funding modalities (including domestic versus donor)"/>
    <s v="Fuel for Traveling Participants"/>
    <n v="211.42857142857142"/>
    <m/>
    <m/>
    <n v="0"/>
    <n v="2430"/>
    <n v="1"/>
    <n v="587200.20475011424"/>
    <m/>
    <m/>
    <n v="0"/>
    <m/>
    <m/>
    <n v="0"/>
    <m/>
    <m/>
    <n v="0"/>
    <m/>
    <m/>
    <n v="0"/>
    <m/>
    <m/>
    <n v="0"/>
    <m/>
    <m/>
    <n v="0"/>
    <n v="587200.20475011424"/>
    <n v="570.0972861651594"/>
  </r>
  <r>
    <s v="4.3.1.5"/>
    <x v="0"/>
    <x v="0"/>
    <x v="4"/>
    <x v="4"/>
    <n v="1"/>
    <x v="27"/>
    <x v="27"/>
    <s v="sign a mutually binding compact between the Government of Malawi and the donors for domestic family planning financing"/>
    <s v="Draft a Memorandum of understanding between donors and the GoM on domestic financing for FP products and programs"/>
    <s v="2 workshops in Lilongwe for 4 days each"/>
    <n v="35000"/>
    <m/>
    <m/>
    <n v="0"/>
    <n v="30"/>
    <n v="8"/>
    <n v="9600537.2147999983"/>
    <m/>
    <m/>
    <n v="0"/>
    <m/>
    <m/>
    <n v="0"/>
    <m/>
    <m/>
    <n v="0"/>
    <m/>
    <m/>
    <n v="0"/>
    <m/>
    <m/>
    <n v="0"/>
    <m/>
    <m/>
    <n v="0"/>
    <n v="9600537.2147999983"/>
    <n v="9320.9099172815513"/>
  </r>
  <r>
    <s v="4.3.1.5"/>
    <x v="0"/>
    <x v="0"/>
    <x v="4"/>
    <x v="4"/>
    <n v="1"/>
    <x v="27"/>
    <x v="27"/>
    <s v="sign a mutually binding compact between the Government of Malawi and the donors for domestic family planning financing"/>
    <s v="Draft a Memorandum of understanding between donors and the GoM on domestic financing for FP products and programs"/>
    <s v="DSA (excl. lunch)"/>
    <n v="39000"/>
    <m/>
    <m/>
    <n v="0"/>
    <n v="30"/>
    <n v="10"/>
    <n v="13372176.834899997"/>
    <m/>
    <m/>
    <n v="0"/>
    <m/>
    <m/>
    <n v="0"/>
    <m/>
    <m/>
    <n v="0"/>
    <m/>
    <m/>
    <n v="0"/>
    <m/>
    <m/>
    <n v="0"/>
    <m/>
    <m/>
    <n v="0"/>
    <n v="13372176.834899997"/>
    <n v="12982.695956213589"/>
  </r>
  <r>
    <s v="4.3.1.5"/>
    <x v="0"/>
    <x v="0"/>
    <x v="4"/>
    <x v="4"/>
    <n v="1"/>
    <x v="27"/>
    <x v="27"/>
    <s v="sign a mutually binding compact between the Government of Malawi and the donors for domestic family planning financing"/>
    <s v="Draft a Memorandum of understanding between donors and the GoM on domestic financing for FP products and programs"/>
    <s v="Local running (diesel, per km)"/>
    <n v="211.42857142857142"/>
    <m/>
    <m/>
    <n v="0"/>
    <n v="450"/>
    <n v="4"/>
    <n v="434963.11462971423"/>
    <m/>
    <m/>
    <n v="0"/>
    <m/>
    <m/>
    <n v="0"/>
    <m/>
    <m/>
    <n v="0"/>
    <m/>
    <m/>
    <n v="0"/>
    <m/>
    <m/>
    <n v="0"/>
    <m/>
    <m/>
    <n v="0"/>
    <n v="434963.11462971423"/>
    <n v="422.29428604826626"/>
  </r>
  <r>
    <s v="4.3.1.5"/>
    <x v="0"/>
    <x v="0"/>
    <x v="4"/>
    <x v="4"/>
    <n v="1"/>
    <x v="27"/>
    <x v="27"/>
    <s v="sign a mutually binding compact between the Government of Malawi and the donors for domestic family planning financing"/>
    <s v="Draft a Memorandum of understanding between donors and the GoM on domestic financing for FP products and programs"/>
    <s v="Fuel for Traveling Participants"/>
    <n v="211.42857142857142"/>
    <m/>
    <m/>
    <n v="0"/>
    <n v="2430"/>
    <n v="2"/>
    <n v="1174400.4095002285"/>
    <m/>
    <m/>
    <n v="0"/>
    <m/>
    <m/>
    <n v="0"/>
    <m/>
    <m/>
    <n v="0"/>
    <m/>
    <m/>
    <n v="0"/>
    <m/>
    <m/>
    <n v="0"/>
    <m/>
    <m/>
    <n v="0"/>
    <n v="1174400.4095002285"/>
    <n v="1140.1945723303188"/>
  </r>
  <r>
    <s v="4.3.1.5"/>
    <x v="0"/>
    <x v="0"/>
    <x v="4"/>
    <x v="4"/>
    <n v="1"/>
    <x v="27"/>
    <x v="27"/>
    <s v="sign a mutually binding compact between the Government of Malawi and the donors for domestic family planning financing"/>
    <s v="Submit the Compact to Treasury and Justice for review"/>
    <s v="zero cost"/>
    <n v="0"/>
    <m/>
    <m/>
    <n v="0"/>
    <n v="0"/>
    <n v="0"/>
    <n v="0"/>
    <m/>
    <m/>
    <n v="0"/>
    <m/>
    <m/>
    <n v="0"/>
    <m/>
    <m/>
    <n v="0"/>
    <m/>
    <m/>
    <n v="0"/>
    <m/>
    <m/>
    <n v="0"/>
    <m/>
    <m/>
    <n v="0"/>
    <n v="0"/>
    <n v="0"/>
  </r>
  <r>
    <s v="4.3.1.5"/>
    <x v="0"/>
    <x v="0"/>
    <x v="4"/>
    <x v="4"/>
    <n v="1"/>
    <x v="27"/>
    <x v="27"/>
    <s v="sign a mutually binding compact between the Government of Malawi and the donors for domestic family planning financing"/>
    <s v="Compact signed"/>
    <s v="zero cost"/>
    <n v="0"/>
    <m/>
    <m/>
    <n v="0"/>
    <n v="0"/>
    <n v="0"/>
    <n v="0"/>
    <m/>
    <m/>
    <n v="0"/>
    <m/>
    <m/>
    <n v="0"/>
    <m/>
    <m/>
    <n v="0"/>
    <m/>
    <m/>
    <n v="0"/>
    <m/>
    <m/>
    <n v="0"/>
    <m/>
    <m/>
    <n v="0"/>
    <n v="0"/>
    <n v="0"/>
  </r>
  <r>
    <s v="4.3.1.5"/>
    <x v="0"/>
    <x v="0"/>
    <x v="4"/>
    <x v="4"/>
    <n v="1"/>
    <x v="27"/>
    <x v="27"/>
    <s v="sign a mutually binding compact between the Government of Malawi and the donors for domestic family planning financing"/>
    <s v="Annual review of the compact"/>
    <s v="From year 3 to 8: 1 workshop for 1 week in Lilongwe; 50 participants; 10 districts participants"/>
    <n v="35000"/>
    <m/>
    <m/>
    <n v="0"/>
    <m/>
    <m/>
    <n v="0"/>
    <n v="50"/>
    <n v="5"/>
    <n v="11429850.547217228"/>
    <n v="50"/>
    <n v="5"/>
    <n v="13063417.325971564"/>
    <n v="50"/>
    <n v="5"/>
    <n v="14930455.260768225"/>
    <n v="50"/>
    <n v="5"/>
    <n v="17064332.305346638"/>
    <n v="50"/>
    <n v="5"/>
    <n v="19503185.397999316"/>
    <n v="50"/>
    <n v="5"/>
    <n v="22290602.050075762"/>
    <n v="98281842.887378752"/>
    <n v="95419.264939202665"/>
  </r>
  <r>
    <s v="4.3.1.5"/>
    <x v="0"/>
    <x v="0"/>
    <x v="4"/>
    <x v="4"/>
    <n v="1"/>
    <x v="27"/>
    <x v="27"/>
    <s v="sign a mutually binding compact between the Government of Malawi and the donors for domestic family planning financing"/>
    <s v="Annual review of the compact"/>
    <s v="DSA (excl. lunch)"/>
    <n v="39000"/>
    <m/>
    <m/>
    <n v="0"/>
    <m/>
    <m/>
    <n v="0"/>
    <n v="10"/>
    <n v="6"/>
    <n v="3056668.6034843787"/>
    <n v="10"/>
    <n v="6"/>
    <n v="3493531.0334598236"/>
    <n v="10"/>
    <n v="6"/>
    <n v="3992830.3211654453"/>
    <n v="10"/>
    <n v="6"/>
    <n v="4563490.0108012725"/>
    <n v="10"/>
    <n v="6"/>
    <n v="5215709.009293532"/>
    <n v="10"/>
    <n v="6"/>
    <n v="5961143.8625345463"/>
    <n v="26283372.840738997"/>
    <n v="25517.837709455336"/>
  </r>
  <r>
    <s v="4.3.1.5"/>
    <x v="0"/>
    <x v="0"/>
    <x v="4"/>
    <x v="4"/>
    <n v="1"/>
    <x v="27"/>
    <x v="27"/>
    <s v="sign a mutually binding compact between the Government of Malawi and the donors for domestic family planning financing"/>
    <s v="Annual review of the compact"/>
    <s v="Local running (diesel, per km)"/>
    <n v="211.42857142857142"/>
    <m/>
    <m/>
    <n v="0"/>
    <m/>
    <m/>
    <n v="0"/>
    <n v="450"/>
    <n v="5"/>
    <n v="621410.65015891218"/>
    <n v="450"/>
    <n v="5"/>
    <n v="710223.34196710703"/>
    <n v="450"/>
    <n v="5"/>
    <n v="811729.24111605203"/>
    <n v="450"/>
    <n v="5"/>
    <n v="927742.47472333559"/>
    <n v="450"/>
    <n v="5"/>
    <n v="1060336.4469442894"/>
    <n v="450"/>
    <n v="5"/>
    <n v="1211880.8951306494"/>
    <n v="5343323.0500403456"/>
    <n v="5187.6922815925682"/>
  </r>
  <r>
    <s v="4.3.1.5"/>
    <x v="0"/>
    <x v="0"/>
    <x v="4"/>
    <x v="4"/>
    <n v="1"/>
    <x v="27"/>
    <x v="27"/>
    <s v="sign a mutually binding compact between the Government of Malawi and the donors for domestic family planning financing"/>
    <s v="Annual review of the compact"/>
    <s v="Fuel for Trave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1.5"/>
    <x v="0"/>
    <x v="0"/>
    <x v="4"/>
    <x v="4"/>
    <n v="1"/>
    <x v="27"/>
    <x v="27"/>
    <s v="Develop a sustainability analysis tool for FP products and programs for use in Malawi (year 3)"/>
    <s v="2 workshops in salima"/>
    <s v="Conference package high-level"/>
    <n v="35000"/>
    <m/>
    <m/>
    <n v="0"/>
    <m/>
    <m/>
    <n v="0"/>
    <n v="30"/>
    <n v="10"/>
    <n v="13715820.656660672"/>
    <n v="30"/>
    <n v="10"/>
    <n v="15676100.791165877"/>
    <n v="30"/>
    <n v="10"/>
    <n v="17916546.31292187"/>
    <n v="30"/>
    <n v="10"/>
    <n v="20477198.766415965"/>
    <n v="30"/>
    <n v="10"/>
    <n v="23403822.477599181"/>
    <n v="30"/>
    <n v="10"/>
    <n v="26748722.460090913"/>
    <n v="117938211.46485448"/>
    <n v="114503.11792704319"/>
  </r>
  <r>
    <s v="4.3.1.5"/>
    <x v="0"/>
    <x v="0"/>
    <x v="4"/>
    <x v="4"/>
    <n v="1"/>
    <x v="27"/>
    <x v="27"/>
    <s v="Develop a sustainability analysis tool for FP products and programs for use in Malawi (year 3)"/>
    <s v="2 workshops in salima"/>
    <s v="DSA (excl. lunch)"/>
    <n v="39000"/>
    <m/>
    <m/>
    <n v="0"/>
    <m/>
    <m/>
    <n v="0"/>
    <n v="30"/>
    <n v="12"/>
    <n v="18340011.620906271"/>
    <n v="30"/>
    <n v="12"/>
    <n v="20961186.200758941"/>
    <n v="30"/>
    <n v="12"/>
    <n v="23956981.92699267"/>
    <n v="30"/>
    <n v="12"/>
    <n v="27380940.064807635"/>
    <n v="30"/>
    <n v="12"/>
    <n v="31294254.055761192"/>
    <n v="30"/>
    <n v="12"/>
    <n v="35766863.17520728"/>
    <n v="157700237.04443398"/>
    <n v="153107.02625673203"/>
  </r>
  <r>
    <s v="4.3.1.5"/>
    <x v="0"/>
    <x v="0"/>
    <x v="4"/>
    <x v="4"/>
    <n v="1"/>
    <x v="27"/>
    <x v="27"/>
    <s v="Develop a sustainability analysis tool for FP products and programs for use in Malawi (year 3)"/>
    <s v="2 workshops in salima"/>
    <s v="Local running (diesel, per km)"/>
    <n v="211.42857142857142"/>
    <m/>
    <m/>
    <n v="0"/>
    <m/>
    <m/>
    <n v="0"/>
    <n v="450"/>
    <n v="10"/>
    <n v="1242821.3003178244"/>
    <n v="450"/>
    <n v="10"/>
    <n v="1420446.6839342141"/>
    <n v="450"/>
    <n v="10"/>
    <n v="1623458.4822321041"/>
    <n v="450"/>
    <n v="10"/>
    <n v="1855484.9494466712"/>
    <n v="450"/>
    <n v="10"/>
    <n v="2120672.8938885788"/>
    <n v="450"/>
    <n v="10"/>
    <n v="2423761.7902612989"/>
    <n v="10686646.100080691"/>
    <n v="10375.384563185136"/>
  </r>
  <r>
    <s v="4.3.1.5"/>
    <x v="0"/>
    <x v="0"/>
    <x v="4"/>
    <x v="4"/>
    <n v="1"/>
    <x v="27"/>
    <x v="27"/>
    <s v="Develop a sustainability analysis tool for FP products and programs for use in Malawi (year 3)"/>
    <s v="2 workshops in salima"/>
    <s v="Fuel for Traveling Participants"/>
    <n v="211.42857142857142"/>
    <m/>
    <m/>
    <n v="0"/>
    <m/>
    <m/>
    <n v="0"/>
    <n v="2430"/>
    <n v="2"/>
    <n v="1342247.0043432503"/>
    <n v="2430"/>
    <n v="2"/>
    <n v="1534082.418648951"/>
    <n v="2430"/>
    <n v="2"/>
    <n v="1753335.1608106722"/>
    <n v="2430"/>
    <n v="2"/>
    <n v="2003923.745402405"/>
    <n v="2430"/>
    <n v="2"/>
    <n v="2290326.7253996651"/>
    <n v="2430"/>
    <n v="2"/>
    <n v="2617662.733482203"/>
    <n v="11541577.788087146"/>
    <n v="11205.415328239947"/>
  </r>
  <r>
    <s v="4.3.1.5"/>
    <x v="0"/>
    <x v="0"/>
    <x v="4"/>
    <x v="4"/>
    <n v="1"/>
    <x v="27"/>
    <x v="27"/>
    <s v="Develop a sustainability analysis tool for FP products and programs for use in Malawi (year 3)"/>
    <s v="Approvals in TWG "/>
    <s v="Conference package high-level"/>
    <n v="35000"/>
    <m/>
    <m/>
    <n v="0"/>
    <m/>
    <m/>
    <n v="0"/>
    <n v="50"/>
    <n v="1"/>
    <n v="2285970.1094434457"/>
    <n v="50"/>
    <n v="1"/>
    <n v="2612683.4651943129"/>
    <n v="50"/>
    <n v="1"/>
    <n v="2986091.0521536451"/>
    <n v="50"/>
    <n v="1"/>
    <n v="3412866.4610693273"/>
    <n v="50"/>
    <n v="1"/>
    <n v="3900637.0795998634"/>
    <n v="50"/>
    <n v="1"/>
    <n v="4458120.4100151528"/>
    <n v="19656368.577475749"/>
    <n v="19083.852987840532"/>
  </r>
  <r>
    <s v="4.3.1.5"/>
    <x v="0"/>
    <x v="0"/>
    <x v="4"/>
    <x v="4"/>
    <n v="1"/>
    <x v="27"/>
    <x v="27"/>
    <s v="Develop a sustainability analysis tool for FP products and programs for use in Malawi (year 3)"/>
    <s v="Approval from SMT"/>
    <s v="Zero cost"/>
    <n v="0"/>
    <m/>
    <m/>
    <n v="0"/>
    <m/>
    <m/>
    <n v="0"/>
    <n v="30"/>
    <n v="0"/>
    <n v="0"/>
    <n v="30"/>
    <n v="0"/>
    <n v="0"/>
    <n v="30"/>
    <n v="0"/>
    <n v="0"/>
    <n v="30"/>
    <n v="0"/>
    <n v="0"/>
    <n v="30"/>
    <n v="0"/>
    <n v="0"/>
    <n v="30"/>
    <n v="0"/>
    <n v="0"/>
    <n v="0"/>
    <n v="0"/>
  </r>
  <r>
    <s v="4.3.1.5"/>
    <x v="0"/>
    <x v="0"/>
    <x v="4"/>
    <x v="4"/>
    <n v="1"/>
    <x v="27"/>
    <x v="27"/>
    <s v="Develop a sustainability analysis tool for FP products and programs for use in Malawi (year 3)"/>
    <s v="Dissemination and use"/>
    <s v="Conference package high-level"/>
    <n v="35000"/>
    <m/>
    <m/>
    <n v="0"/>
    <m/>
    <m/>
    <n v="0"/>
    <n v="100"/>
    <n v="1"/>
    <n v="4571940.2188868914"/>
    <n v="100"/>
    <n v="1"/>
    <n v="5225366.9303886257"/>
    <n v="100"/>
    <n v="1"/>
    <n v="5972182.1043072902"/>
    <n v="100"/>
    <n v="1"/>
    <n v="6825732.9221386546"/>
    <n v="100"/>
    <n v="1"/>
    <n v="7801274.1591997268"/>
    <n v="100"/>
    <n v="1"/>
    <n v="8916240.8200303055"/>
    <n v="39312737.154951498"/>
    <n v="38167.705975681063"/>
  </r>
  <r>
    <s v="4.3.1.5"/>
    <x v="0"/>
    <x v="0"/>
    <x v="4"/>
    <x v="4"/>
    <n v="1"/>
    <x v="27"/>
    <x v="27"/>
    <s v="Develop a sustainability analysis tool for FP products and programs for use in Malawi (year 3)"/>
    <s v="Dissemination and use"/>
    <s v="A4, 500 pages, 140 gsm paper"/>
    <n v="8000"/>
    <m/>
    <m/>
    <n v="0"/>
    <m/>
    <m/>
    <n v="0"/>
    <n v="10"/>
    <n v="1"/>
    <n v="104501.49071741465"/>
    <n v="10"/>
    <n v="1"/>
    <n v="119436.95840888287"/>
    <n v="10"/>
    <n v="1"/>
    <n v="136507.01952702377"/>
    <n v="10"/>
    <n v="1"/>
    <n v="156016.75250602642"/>
    <n v="10"/>
    <n v="1"/>
    <n v="178314.83792456522"/>
    <n v="10"/>
    <n v="1"/>
    <n v="203799.79017212125"/>
    <n v="898576.84925603413"/>
    <n v="872.40470801556717"/>
  </r>
  <r>
    <s v="4.3.1.5"/>
    <x v="0"/>
    <x v="0"/>
    <x v="4"/>
    <x v="4"/>
    <n v="1"/>
    <x v="27"/>
    <x v="27"/>
    <s v="Develop a sustainability analysis tool for FP products and programs for use in Malawi (year 3)"/>
    <s v="Dissemination and use"/>
    <s v="Toner"/>
    <n v="104850"/>
    <m/>
    <m/>
    <n v="0"/>
    <m/>
    <m/>
    <n v="0"/>
    <n v="1"/>
    <n v="1"/>
    <n v="136962.26627151159"/>
    <n v="1"/>
    <n v="1"/>
    <n v="156537.0636146421"/>
    <n v="1"/>
    <n v="1"/>
    <n v="178909.51246760553"/>
    <n v="1"/>
    <n v="1"/>
    <n v="204479.45625321087"/>
    <n v="1"/>
    <n v="1"/>
    <n v="233703.88445488326"/>
    <n v="1"/>
    <n v="1"/>
    <n v="267105.09999433643"/>
    <n v="1177697.2830561898"/>
    <n v="1143.3954204429026"/>
  </r>
  <r>
    <s v="4.3.1.5"/>
    <x v="0"/>
    <x v="0"/>
    <x v="4"/>
    <x v="4"/>
    <n v="1"/>
    <x v="27"/>
    <x v="27"/>
    <s v="Develop a sustainability analysis tool for FP products and programs for use in Malawi (year 3)"/>
    <s v="Dissemination and use"/>
    <s v="Local running (diesel, per km)"/>
    <n v="211.42857142857142"/>
    <m/>
    <m/>
    <n v="0"/>
    <m/>
    <m/>
    <n v="0"/>
    <n v="58"/>
    <n v="10"/>
    <n v="160185.85648540847"/>
    <n v="58"/>
    <n v="10"/>
    <n v="183079.7948181876"/>
    <n v="58"/>
    <n v="10"/>
    <n v="209245.75993213785"/>
    <n v="58"/>
    <n v="10"/>
    <n v="239151.39348423763"/>
    <n v="58"/>
    <n v="10"/>
    <n v="273331.17299008352"/>
    <n v="58"/>
    <n v="10"/>
    <n v="312395.96407812298"/>
    <n v="1377389.9417881779"/>
    <n v="1337.2717881438621"/>
  </r>
  <r>
    <s v="4.3.1.5"/>
    <x v="0"/>
    <x v="0"/>
    <x v="4"/>
    <x v="4"/>
    <n v="1"/>
    <x v="27"/>
    <x v="27"/>
    <s v="Develop a sustainability analysis tool for FP products and programs for use in Malawi (year 3)"/>
    <s v="Dissemination and use"/>
    <s v="Fuel for travelling participants"/>
    <n v="211.42857142857142"/>
    <m/>
    <m/>
    <n v="0"/>
    <m/>
    <m/>
    <n v="0"/>
    <n v="22500"/>
    <n v="10"/>
    <n v="62141065.015891209"/>
    <n v="22500"/>
    <n v="10"/>
    <n v="71022334.196710706"/>
    <n v="22500"/>
    <n v="10"/>
    <n v="81172924.111605197"/>
    <n v="22500"/>
    <n v="10"/>
    <n v="92774247.47233355"/>
    <n v="22500"/>
    <n v="10"/>
    <n v="106033644.69442895"/>
    <n v="22500"/>
    <n v="10"/>
    <n v="121188089.51306494"/>
    <n v="534332305.00403458"/>
    <n v="518769.22815925686"/>
  </r>
  <r>
    <s v="4.3.1.5"/>
    <x v="0"/>
    <x v="0"/>
    <x v="4"/>
    <x v="4"/>
    <n v="1"/>
    <x v="27"/>
    <x v="27"/>
    <s v="conduct a study on the political economy of FP financing and use results for FP domestic budget advocacy (Years 2 and 6)"/>
    <s v="Develop a concept note "/>
    <s v="Zero cost"/>
    <n v="0"/>
    <m/>
    <m/>
    <n v="0"/>
    <n v="0"/>
    <n v="0"/>
    <n v="0"/>
    <m/>
    <m/>
    <n v="0"/>
    <m/>
    <m/>
    <n v="0"/>
    <m/>
    <m/>
    <n v="0"/>
    <n v="0"/>
    <n v="0"/>
    <n v="0"/>
    <m/>
    <m/>
    <n v="0"/>
    <m/>
    <m/>
    <n v="0"/>
    <n v="0"/>
    <n v="0"/>
  </r>
  <r>
    <s v="4.3.1.5"/>
    <x v="0"/>
    <x v="0"/>
    <x v="4"/>
    <x v="4"/>
    <n v="1"/>
    <x v="27"/>
    <x v="27"/>
    <s v="conduct a study on the political economy of FP financing and use results for FP domestic budget advocacy (Years 2 and 6)"/>
    <s v="Conduct 3 meetings to set up CPEA taskforce"/>
    <s v="Zero cost"/>
    <n v="0"/>
    <m/>
    <m/>
    <n v="0"/>
    <n v="0"/>
    <n v="0"/>
    <n v="0"/>
    <m/>
    <m/>
    <n v="0"/>
    <m/>
    <m/>
    <n v="0"/>
    <m/>
    <m/>
    <n v="0"/>
    <n v="0"/>
    <n v="0"/>
    <n v="0"/>
    <m/>
    <m/>
    <n v="0"/>
    <m/>
    <m/>
    <n v="0"/>
    <n v="0"/>
    <n v="0"/>
  </r>
  <r>
    <s v="4.3.1.5"/>
    <x v="0"/>
    <x v="0"/>
    <x v="4"/>
    <x v="4"/>
    <n v="1"/>
    <x v="27"/>
    <x v="27"/>
    <s v="conduct a study on the political economy of FP financing and use results for FP domestic budget advocacy (Years 2 and 6)"/>
    <s v="Develop ToRs for the CPEA consultant"/>
    <s v="Conference package high-level"/>
    <n v="35000"/>
    <m/>
    <m/>
    <n v="0"/>
    <n v="10"/>
    <n v="2"/>
    <n v="800044.76789999986"/>
    <m/>
    <m/>
    <n v="0"/>
    <m/>
    <m/>
    <n v="0"/>
    <m/>
    <m/>
    <n v="0"/>
    <n v="10"/>
    <n v="2"/>
    <n v="1365146.5844277311"/>
    <m/>
    <m/>
    <n v="0"/>
    <m/>
    <m/>
    <n v="0"/>
    <n v="2165191.352327731"/>
    <n v="2102.1275265317777"/>
  </r>
  <r>
    <s v="4.3.1.5"/>
    <x v="0"/>
    <x v="0"/>
    <x v="4"/>
    <x v="4"/>
    <n v="1"/>
    <x v="27"/>
    <x v="27"/>
    <s v="conduct a study on the political economy of FP financing and use results for FP domestic budget advocacy (Years 2 and 6)"/>
    <s v="Recruitment of a consultant"/>
    <s v="Newspaper advert (full)"/>
    <n v="391991.03749999998"/>
    <m/>
    <m/>
    <n v="0"/>
    <n v="2"/>
    <n v="2"/>
    <n v="1792059.3063746723"/>
    <m/>
    <m/>
    <n v="0"/>
    <m/>
    <m/>
    <n v="0"/>
    <m/>
    <m/>
    <n v="0"/>
    <n v="2"/>
    <n v="2"/>
    <n v="3057858.4341109009"/>
    <m/>
    <m/>
    <n v="0"/>
    <m/>
    <m/>
    <n v="0"/>
    <n v="4849917.7404855732"/>
    <n v="4708.6580004714306"/>
  </r>
  <r>
    <s v="4.3.1.5"/>
    <x v="0"/>
    <x v="0"/>
    <x v="4"/>
    <x v="4"/>
    <n v="1"/>
    <x v="27"/>
    <x v="27"/>
    <s v="conduct a study on the political economy of FP financing and use results for FP domestic budget advocacy (Years 2 and 6)"/>
    <s v="Recruitment of a consultant"/>
    <s v="Local consultant fee - High level"/>
    <n v="511000"/>
    <m/>
    <m/>
    <n v="0"/>
    <n v="1"/>
    <n v="25"/>
    <n v="14600817.014174998"/>
    <m/>
    <m/>
    <n v="0"/>
    <m/>
    <m/>
    <n v="0"/>
    <m/>
    <m/>
    <n v="0"/>
    <n v="1"/>
    <n v="25"/>
    <n v="24913925.165806092"/>
    <m/>
    <m/>
    <n v="0"/>
    <m/>
    <m/>
    <n v="0"/>
    <n v="39514742.17998109"/>
    <n v="38363.827359204945"/>
  </r>
  <r>
    <s v="4.3.1.5"/>
    <x v="0"/>
    <x v="0"/>
    <x v="4"/>
    <x v="4"/>
    <n v="1"/>
    <x v="27"/>
    <x v="27"/>
    <s v="conduct a study on the political economy of FP financing and use results for FP domestic budget advocacy (Years 2 and 6)"/>
    <s v="Design data collection tool"/>
    <s v="Zero cost"/>
    <n v="0"/>
    <m/>
    <m/>
    <n v="0"/>
    <n v="0"/>
    <n v="0"/>
    <n v="0"/>
    <m/>
    <m/>
    <n v="0"/>
    <m/>
    <m/>
    <n v="0"/>
    <m/>
    <m/>
    <n v="0"/>
    <n v="0"/>
    <n v="0"/>
    <n v="0"/>
    <m/>
    <m/>
    <n v="0"/>
    <m/>
    <m/>
    <n v="0"/>
    <n v="0"/>
    <n v="0"/>
  </r>
  <r>
    <s v="4.3.1.5"/>
    <x v="0"/>
    <x v="0"/>
    <x v="4"/>
    <x v="4"/>
    <n v="1"/>
    <x v="27"/>
    <x v="27"/>
    <s v="conduct a study on the political economy of FP financing and use results for FP domestic budget advocacy (Years 2 and 6)"/>
    <s v="Conduct training for research assistants (1 consultant, 5 supervisors, 20 data collectors)"/>
    <s v="Conference package high-level"/>
    <n v="35000"/>
    <m/>
    <m/>
    <n v="0"/>
    <n v="26"/>
    <n v="5"/>
    <n v="5200290.9913499989"/>
    <m/>
    <m/>
    <n v="0"/>
    <m/>
    <m/>
    <n v="0"/>
    <m/>
    <m/>
    <n v="0"/>
    <n v="26"/>
    <n v="5"/>
    <n v="8873452.7987802513"/>
    <m/>
    <m/>
    <n v="0"/>
    <m/>
    <m/>
    <n v="0"/>
    <n v="14073743.79013025"/>
    <n v="13663.828922456554"/>
  </r>
  <r>
    <s v="4.3.1.5"/>
    <x v="0"/>
    <x v="0"/>
    <x v="4"/>
    <x v="4"/>
    <n v="1"/>
    <x v="27"/>
    <x v="27"/>
    <s v="conduct a study on the political economy of FP financing and use results for FP domestic budget advocacy (Years 2 and 6)"/>
    <s v="Conduct training for research assistants (1 consultant, 5 supervisors, 20 data collectors)"/>
    <s v="DSA (excl. lunch)"/>
    <n v="39000"/>
    <m/>
    <m/>
    <n v="0"/>
    <n v="26"/>
    <n v="6"/>
    <n v="6953531.9541479982"/>
    <m/>
    <m/>
    <n v="0"/>
    <m/>
    <m/>
    <n v="0"/>
    <m/>
    <m/>
    <n v="0"/>
    <n v="26"/>
    <n v="6"/>
    <n v="11865074.02808331"/>
    <m/>
    <m/>
    <n v="0"/>
    <m/>
    <m/>
    <n v="0"/>
    <n v="18818605.982231308"/>
    <n v="18270.491244884764"/>
  </r>
  <r>
    <s v="4.3.1.5"/>
    <x v="0"/>
    <x v="0"/>
    <x v="4"/>
    <x v="4"/>
    <n v="1"/>
    <x v="27"/>
    <x v="27"/>
    <s v="conduct a study on the political economy of FP financing and use results for FP domestic budget advocacy (Years 2 and 6)"/>
    <s v="Conduct training for research assistants (1 consultant, 5 supervisors, 20 data collectors)"/>
    <s v="Fuel for travelling participants (9 cars to sengabay and back to Lilongwe)"/>
    <n v="211.43"/>
    <m/>
    <m/>
    <n v="0"/>
    <n v="2430"/>
    <n v="1"/>
    <n v="587204.17231906531"/>
    <m/>
    <m/>
    <n v="0"/>
    <m/>
    <m/>
    <n v="0"/>
    <m/>
    <m/>
    <n v="0"/>
    <n v="2430"/>
    <n v="1"/>
    <n v="1001968.642713856"/>
    <m/>
    <m/>
    <n v="0"/>
    <m/>
    <m/>
    <n v="0"/>
    <n v="1589172.8150329213"/>
    <n v="1542.8862281873021"/>
  </r>
  <r>
    <s v="4.3.1.5"/>
    <x v="0"/>
    <x v="0"/>
    <x v="4"/>
    <x v="4"/>
    <n v="1"/>
    <x v="27"/>
    <x v="27"/>
    <s v="conduct a study on the political economy of FP financing and use results for FP domestic budget advocacy (Years 2 and 6)"/>
    <s v="Conduct training for research assistants (1 consultant, 5 supervisors, 20 data collectors)"/>
    <s v="Local running (diesel, per km) (9 cars from sengabay to Salima Boma and back for 5 days)"/>
    <n v="211.42857142857142"/>
    <m/>
    <m/>
    <n v="0"/>
    <n v="450"/>
    <n v="5"/>
    <n v="543703.89328714274"/>
    <m/>
    <m/>
    <n v="0"/>
    <m/>
    <m/>
    <n v="0"/>
    <m/>
    <m/>
    <n v="0"/>
    <n v="450"/>
    <n v="5"/>
    <n v="927742.47472333559"/>
    <m/>
    <m/>
    <n v="0"/>
    <m/>
    <m/>
    <n v="0"/>
    <n v="1471446.3680104783"/>
    <n v="1428.5887068062896"/>
  </r>
  <r>
    <s v="4.3.1.5"/>
    <x v="0"/>
    <x v="0"/>
    <x v="4"/>
    <x v="4"/>
    <n v="1"/>
    <x v="27"/>
    <x v="27"/>
    <s v="conduct a study on the political economy of FP financing and use results for FP domestic budget advocacy (Years 2 and 6)"/>
    <s v="Conduct training for research assistants "/>
    <s v="Toner"/>
    <n v="104850"/>
    <m/>
    <m/>
    <n v="0"/>
    <n v="1"/>
    <n v="1"/>
    <n v="119835.27702044998"/>
    <m/>
    <m/>
    <n v="0"/>
    <m/>
    <m/>
    <n v="0"/>
    <m/>
    <m/>
    <n v="0"/>
    <n v="1"/>
    <n v="1"/>
    <n v="204479.45625321087"/>
    <m/>
    <m/>
    <n v="0"/>
    <m/>
    <m/>
    <n v="0"/>
    <n v="324314.73327366088"/>
    <n v="314.86867308122413"/>
  </r>
  <r>
    <s v="4.3.1.5"/>
    <x v="0"/>
    <x v="0"/>
    <x v="4"/>
    <x v="4"/>
    <n v="1"/>
    <x v="27"/>
    <x v="27"/>
    <s v="conduct a study on the political economy of FP financing and use results for FP domestic budget advocacy (Years 2 and 6)"/>
    <s v="Conduct training for research assistants"/>
    <s v="A4, 500 pages, 140 gsm paper (10 reams of paper)"/>
    <n v="8000"/>
    <m/>
    <m/>
    <n v="0"/>
    <n v="10"/>
    <n v="1"/>
    <n v="91433.687760000001"/>
    <m/>
    <m/>
    <n v="0"/>
    <m/>
    <m/>
    <n v="0"/>
    <m/>
    <m/>
    <n v="0"/>
    <n v="10"/>
    <n v="1"/>
    <n v="156016.75250602642"/>
    <m/>
    <m/>
    <n v="0"/>
    <m/>
    <m/>
    <n v="0"/>
    <n v="247450.44026602642"/>
    <n v="240.24314588934604"/>
  </r>
  <r>
    <s v="4.3.1.5"/>
    <x v="0"/>
    <x v="0"/>
    <x v="4"/>
    <x v="4"/>
    <n v="1"/>
    <x v="27"/>
    <x v="27"/>
    <s v="conduct a study on the political economy of FP financing and use results for FP domestic budget advocacy (Years 2 and 6)"/>
    <s v="Pre-testing of the data collection tool"/>
    <s v="Fuel reimbursement for data collection teams (diesel, per km)- (9 cars to Mchinji to pretest the data collection tool for 2 days at 211.43 per km)"/>
    <n v="211.42857142857142"/>
    <m/>
    <m/>
    <n v="0"/>
    <n v="3240"/>
    <n v="1"/>
    <n v="782933.60633348557"/>
    <m/>
    <m/>
    <n v="0"/>
    <m/>
    <m/>
    <n v="0"/>
    <m/>
    <m/>
    <n v="0"/>
    <n v="3240"/>
    <n v="1"/>
    <n v="1335949.1636016034"/>
    <m/>
    <m/>
    <n v="0"/>
    <m/>
    <m/>
    <n v="0"/>
    <n v="2118882.7699350892"/>
    <n v="2057.1677378010572"/>
  </r>
  <r>
    <s v="4.3.1.5"/>
    <x v="0"/>
    <x v="0"/>
    <x v="4"/>
    <x v="4"/>
    <n v="1"/>
    <x v="27"/>
    <x v="27"/>
    <s v="conduct a study on the political economy of FP financing and use results for FP domestic budget advocacy (Years 2 and 6)"/>
    <s v="Pre-testing of the data collection tool"/>
    <s v="Local running (diesel, per km)- (9 cars to Mchinji to pretest the data collection tool for 2 days at 211.43 per km)"/>
    <n v="211.42857142857142"/>
    <m/>
    <m/>
    <n v="0"/>
    <n v="900"/>
    <n v="2"/>
    <n v="434963.11462971423"/>
    <m/>
    <m/>
    <n v="0"/>
    <m/>
    <m/>
    <n v="0"/>
    <m/>
    <m/>
    <n v="0"/>
    <n v="900"/>
    <n v="2"/>
    <n v="742193.97977866849"/>
    <m/>
    <m/>
    <n v="0"/>
    <m/>
    <m/>
    <n v="0"/>
    <n v="1177157.0944083827"/>
    <n v="1142.8709654450317"/>
  </r>
  <r>
    <s v="4.3.1.5"/>
    <x v="0"/>
    <x v="0"/>
    <x v="4"/>
    <x v="4"/>
    <n v="1"/>
    <x v="27"/>
    <x v="27"/>
    <s v="conduct a study on the political economy of FP financing and use results for FP domestic budget advocacy (Years 2 and 6)"/>
    <s v="Pre-testing of the data collection tool"/>
    <s v="Full DSA"/>
    <n v="45000"/>
    <m/>
    <m/>
    <n v="0"/>
    <n v="25"/>
    <n v="3"/>
    <n v="3857358.7023749994"/>
    <m/>
    <m/>
    <n v="0"/>
    <m/>
    <m/>
    <n v="0"/>
    <m/>
    <m/>
    <n v="0"/>
    <n v="25"/>
    <n v="3"/>
    <n v="6581956.746347988"/>
    <m/>
    <m/>
    <n v="0"/>
    <m/>
    <m/>
    <n v="0"/>
    <n v="10439315.448722988"/>
    <n v="10135.257717206785"/>
  </r>
  <r>
    <s v="4.3.1.5"/>
    <x v="0"/>
    <x v="0"/>
    <x v="4"/>
    <x v="4"/>
    <n v="1"/>
    <x v="27"/>
    <x v="27"/>
    <s v="conduct a study on the political economy of FP financing and use results for FP domestic budget advocacy (Years 2 and 6)"/>
    <s v="Validation of data collection tool "/>
    <s v="Conference package high-level"/>
    <n v="35000"/>
    <m/>
    <m/>
    <n v="0"/>
    <n v="26"/>
    <n v="1"/>
    <n v="1040058.1982699998"/>
    <m/>
    <m/>
    <n v="0"/>
    <m/>
    <m/>
    <n v="0"/>
    <m/>
    <m/>
    <n v="0"/>
    <n v="26"/>
    <n v="1"/>
    <n v="1774690.5597560504"/>
    <m/>
    <m/>
    <n v="0"/>
    <m/>
    <m/>
    <n v="0"/>
    <n v="2814748.7580260504"/>
    <n v="2732.765784491311"/>
  </r>
  <r>
    <s v="4.3.1.5"/>
    <x v="0"/>
    <x v="0"/>
    <x v="4"/>
    <x v="4"/>
    <n v="1"/>
    <x v="27"/>
    <x v="27"/>
    <s v="conduct a study on the political economy of FP financing and use results for FP domestic budget advocacy (Years 2 and 6)"/>
    <s v="Data collection"/>
    <s v="Full DSA"/>
    <n v="45000"/>
    <m/>
    <m/>
    <n v="0"/>
    <n v="26"/>
    <n v="6"/>
    <n v="8023306.1009399984"/>
    <m/>
    <m/>
    <n v="0"/>
    <m/>
    <m/>
    <n v="0"/>
    <m/>
    <m/>
    <n v="0"/>
    <n v="26"/>
    <n v="6"/>
    <n v="13690470.032403817"/>
    <m/>
    <m/>
    <n v="0"/>
    <m/>
    <m/>
    <n v="0"/>
    <n v="21713776.133343816"/>
    <n v="21081.336051790113"/>
  </r>
  <r>
    <s v="4.3.1.5"/>
    <x v="0"/>
    <x v="0"/>
    <x v="4"/>
    <x v="4"/>
    <n v="1"/>
    <x v="27"/>
    <x v="27"/>
    <s v="conduct a study on the political economy of FP financing and use results for FP domestic budget advocacy (Years 2 and 6)"/>
    <s v="Data collection"/>
    <s v="Fuel for travelling participants (9 cars to various districts)"/>
    <n v="211.43"/>
    <m/>
    <m/>
    <n v="0"/>
    <n v="22500"/>
    <n v="1"/>
    <n v="5437075.6696209749"/>
    <m/>
    <m/>
    <n v="0"/>
    <m/>
    <m/>
    <n v="0"/>
    <m/>
    <m/>
    <n v="0"/>
    <n v="22500"/>
    <n v="1"/>
    <n v="9277487.4325357024"/>
    <m/>
    <m/>
    <n v="0"/>
    <m/>
    <m/>
    <n v="0"/>
    <n v="14714563.102156676"/>
    <n v="14285.98359432687"/>
  </r>
  <r>
    <s v="4.3.1.5"/>
    <x v="0"/>
    <x v="0"/>
    <x v="4"/>
    <x v="4"/>
    <n v="1"/>
    <x v="27"/>
    <x v="27"/>
    <s v="conduct a study on the political economy of FP financing and use results for FP domestic budget advocacy (Years 2 and 6)"/>
    <s v="Data collection"/>
    <s v="Local running (diesel, per km)"/>
    <n v="211.42857142857142"/>
    <m/>
    <m/>
    <n v="0"/>
    <n v="900"/>
    <n v="5"/>
    <n v="1087407.7865742855"/>
    <m/>
    <m/>
    <n v="0"/>
    <m/>
    <m/>
    <n v="0"/>
    <m/>
    <m/>
    <n v="0"/>
    <n v="900"/>
    <n v="5"/>
    <n v="1855484.9494466712"/>
    <m/>
    <m/>
    <n v="0"/>
    <m/>
    <m/>
    <n v="0"/>
    <n v="2942892.7360209567"/>
    <n v="2857.1774136125791"/>
  </r>
  <r>
    <s v="4.3.1.5"/>
    <x v="0"/>
    <x v="0"/>
    <x v="4"/>
    <x v="4"/>
    <n v="1"/>
    <x v="27"/>
    <x v="27"/>
    <s v="conduct a study on the political economy of FP financing and use results for FP domestic budget advocacy (Years 2 and 6)"/>
    <s v="Data collection"/>
    <s v="Airtime for Research Assistant"/>
    <n v="10000"/>
    <m/>
    <m/>
    <n v="0"/>
    <n v="20"/>
    <n v="1"/>
    <n v="228584.21939999997"/>
    <m/>
    <m/>
    <n v="0"/>
    <m/>
    <m/>
    <n v="0"/>
    <m/>
    <m/>
    <n v="0"/>
    <n v="20"/>
    <n v="1"/>
    <n v="390041.88126506604"/>
    <m/>
    <m/>
    <n v="0"/>
    <m/>
    <m/>
    <n v="0"/>
    <n v="618626.10066506604"/>
    <n v="600.60786472336508"/>
  </r>
  <r>
    <s v="4.3.1.5"/>
    <x v="0"/>
    <x v="0"/>
    <x v="4"/>
    <x v="4"/>
    <n v="1"/>
    <x v="27"/>
    <x v="27"/>
    <s v="conduct a study on the political economy of FP financing and use results for FP domestic budget advocacy (Years 2 and 6)"/>
    <s v="Data collection"/>
    <s v="Tablet"/>
    <n v="302000"/>
    <m/>
    <m/>
    <n v="0"/>
    <n v="26"/>
    <n v="1"/>
    <n v="8974216.4536439981"/>
    <m/>
    <m/>
    <n v="0"/>
    <m/>
    <m/>
    <n v="0"/>
    <m/>
    <m/>
    <n v="0"/>
    <n v="26"/>
    <n v="1"/>
    <n v="15313044.258466493"/>
    <m/>
    <m/>
    <n v="0"/>
    <m/>
    <m/>
    <n v="0"/>
    <n v="24287260.71211049"/>
    <n v="23579.864769039312"/>
  </r>
  <r>
    <s v="4.3.1.5"/>
    <x v="0"/>
    <x v="0"/>
    <x v="4"/>
    <x v="4"/>
    <n v="1"/>
    <x v="27"/>
    <x v="27"/>
    <s v="conduct a study on the political economy of FP financing and use results for FP domestic budget advocacy (Years 2 and 6)"/>
    <s v="Data analysis"/>
    <s v="Conference package high-level"/>
    <n v="35000"/>
    <m/>
    <m/>
    <n v="0"/>
    <n v="26"/>
    <n v="5"/>
    <n v="5200290.9913499989"/>
    <m/>
    <m/>
    <n v="0"/>
    <m/>
    <m/>
    <n v="0"/>
    <m/>
    <m/>
    <n v="0"/>
    <n v="26"/>
    <n v="5"/>
    <n v="8873452.7987802513"/>
    <m/>
    <m/>
    <n v="0"/>
    <m/>
    <m/>
    <n v="0"/>
    <n v="14073743.79013025"/>
    <n v="13663.828922456554"/>
  </r>
  <r>
    <s v="4.3.1.5"/>
    <x v="0"/>
    <x v="0"/>
    <x v="4"/>
    <x v="4"/>
    <n v="1"/>
    <x v="27"/>
    <x v="27"/>
    <s v="conduct a study on the political economy of FP financing and use results for FP domestic budget advocacy (Years 2 and 6)"/>
    <s v="Data analysis"/>
    <s v="Local running (diesel, per km)"/>
    <n v="211.42857142857142"/>
    <m/>
    <m/>
    <n v="0"/>
    <n v="450"/>
    <n v="5"/>
    <n v="543703.89328714274"/>
    <m/>
    <m/>
    <n v="0"/>
    <m/>
    <m/>
    <n v="0"/>
    <m/>
    <m/>
    <n v="0"/>
    <n v="450"/>
    <n v="5"/>
    <n v="927742.47472333559"/>
    <m/>
    <m/>
    <n v="0"/>
    <m/>
    <m/>
    <n v="0"/>
    <n v="1471446.3680104783"/>
    <n v="1428.5887068062896"/>
  </r>
  <r>
    <s v="4.3.1.5"/>
    <x v="0"/>
    <x v="0"/>
    <x v="4"/>
    <x v="4"/>
    <n v="1"/>
    <x v="27"/>
    <x v="27"/>
    <s v="conduct a study on the political economy of FP financing and use results for FP domestic budget advocacy (Years 2 and 6)"/>
    <s v="Data analysis"/>
    <s v="Fuel for travelling participants (9 cars to Sengabay and back to Lilongwe)"/>
    <n v="211.42857142857142"/>
    <m/>
    <m/>
    <n v="0"/>
    <n v="2700"/>
    <n v="1"/>
    <n v="652444.67194457131"/>
    <m/>
    <m/>
    <n v="0"/>
    <m/>
    <m/>
    <n v="0"/>
    <m/>
    <m/>
    <n v="0"/>
    <n v="2700"/>
    <n v="1"/>
    <n v="1113290.9696680028"/>
    <m/>
    <m/>
    <n v="0"/>
    <m/>
    <m/>
    <n v="0"/>
    <n v="1765735.641612574"/>
    <n v="1714.3064481675476"/>
  </r>
  <r>
    <s v="4.3.1.5"/>
    <x v="0"/>
    <x v="0"/>
    <x v="4"/>
    <x v="4"/>
    <n v="1"/>
    <x v="27"/>
    <x v="27"/>
    <s v="conduct a study on the political economy of FP financing and use results for FP domestic budget advocacy (Years 2 and 6)"/>
    <s v="Data analysis"/>
    <s v="DSA (excl. lunch)"/>
    <n v="39000"/>
    <m/>
    <m/>
    <n v="0"/>
    <n v="26"/>
    <n v="6"/>
    <n v="6953531.9541479982"/>
    <m/>
    <m/>
    <n v="0"/>
    <m/>
    <m/>
    <n v="0"/>
    <m/>
    <m/>
    <n v="0"/>
    <n v="26"/>
    <n v="6"/>
    <n v="11865074.02808331"/>
    <m/>
    <m/>
    <n v="0"/>
    <m/>
    <m/>
    <n v="0"/>
    <n v="18818605.982231308"/>
    <n v="18270.491244884764"/>
  </r>
  <r>
    <s v="4.3.1.5"/>
    <x v="0"/>
    <x v="0"/>
    <x v="4"/>
    <x v="4"/>
    <n v="1"/>
    <x v="27"/>
    <x v="27"/>
    <s v="conduct a study on the political economy of FP financing and use results for FP domestic budget advocacy (Years 2 and 6)"/>
    <s v="Report writing(cost on consultant)"/>
    <s v="Zero cost"/>
    <n v="0"/>
    <m/>
    <m/>
    <n v="0"/>
    <n v="25"/>
    <n v="5"/>
    <n v="0"/>
    <m/>
    <m/>
    <n v="0"/>
    <m/>
    <m/>
    <n v="0"/>
    <m/>
    <m/>
    <n v="0"/>
    <n v="25"/>
    <n v="5"/>
    <n v="0"/>
    <m/>
    <m/>
    <n v="0"/>
    <m/>
    <m/>
    <n v="0"/>
    <n v="0"/>
    <n v="0"/>
  </r>
  <r>
    <s v="4.3.1.5"/>
    <x v="0"/>
    <x v="0"/>
    <x v="4"/>
    <x v="4"/>
    <n v="1"/>
    <x v="27"/>
    <x v="27"/>
    <s v="conduct a study on the political economy of FP financing and use results for FP domestic budget advocacy (Years 2 and 6)"/>
    <s v="Dissemination workshop (Lilongwe)"/>
    <s v="Conference package high-level"/>
    <n v="35000"/>
    <m/>
    <m/>
    <n v="0"/>
    <n v="100"/>
    <n v="1"/>
    <n v="4000223.8394999993"/>
    <m/>
    <m/>
    <n v="0"/>
    <m/>
    <m/>
    <n v="0"/>
    <m/>
    <m/>
    <n v="0"/>
    <n v="100"/>
    <n v="1"/>
    <n v="6825732.9221386546"/>
    <m/>
    <m/>
    <n v="0"/>
    <m/>
    <m/>
    <n v="0"/>
    <n v="10825956.761638654"/>
    <n v="10510.637632658887"/>
  </r>
  <r>
    <s v="4.3.1.5"/>
    <x v="0"/>
    <x v="0"/>
    <x v="4"/>
    <x v="4"/>
    <n v="1"/>
    <x v="27"/>
    <x v="27"/>
    <s v="conduct a study on the political economy of FP financing and use results for FP domestic budget advocacy (Years 2 and 6)"/>
    <s v="Dissemination workshop (Lilongwe)"/>
    <s v="DSA (excl. lunch)"/>
    <n v="39000"/>
    <m/>
    <m/>
    <n v="0"/>
    <n v="58"/>
    <n v="2"/>
    <n v="5170575.0428279992"/>
    <m/>
    <m/>
    <n v="0"/>
    <m/>
    <m/>
    <n v="0"/>
    <m/>
    <m/>
    <n v="0"/>
    <n v="58"/>
    <n v="2"/>
    <n v="8822747.3542157933"/>
    <m/>
    <m/>
    <n v="0"/>
    <m/>
    <m/>
    <n v="0"/>
    <n v="13993322.397043793"/>
    <n v="13585.749900042518"/>
  </r>
  <r>
    <s v="4.3.1.5"/>
    <x v="0"/>
    <x v="0"/>
    <x v="4"/>
    <x v="4"/>
    <n v="1"/>
    <x v="27"/>
    <x v="27"/>
    <s v="conduct a study on the political economy of FP financing and use results for FP domestic budget advocacy (Years 2 and 6)"/>
    <s v="Dissemination workshop"/>
    <s v="A4, 500 pages, 140 gsm paper"/>
    <n v="8000"/>
    <m/>
    <m/>
    <n v="0"/>
    <n v="10"/>
    <n v="1"/>
    <n v="91433.687760000001"/>
    <m/>
    <m/>
    <n v="0"/>
    <m/>
    <m/>
    <n v="0"/>
    <m/>
    <m/>
    <n v="0"/>
    <n v="10"/>
    <n v="1"/>
    <n v="156016.75250602642"/>
    <m/>
    <m/>
    <n v="0"/>
    <m/>
    <m/>
    <n v="0"/>
    <n v="247450.44026602642"/>
    <n v="240.24314588934604"/>
  </r>
  <r>
    <s v="4.3.1.5"/>
    <x v="0"/>
    <x v="0"/>
    <x v="4"/>
    <x v="4"/>
    <n v="1"/>
    <x v="27"/>
    <x v="27"/>
    <s v="conduct a study on the political economy of FP financing and use results for FP domestic budget advocacy (Years 2 and 6)"/>
    <s v="Dissemination workshop"/>
    <s v="toner"/>
    <n v="104850"/>
    <m/>
    <m/>
    <n v="0"/>
    <n v="1"/>
    <n v="1"/>
    <n v="119835.27702044998"/>
    <m/>
    <m/>
    <n v="0"/>
    <m/>
    <m/>
    <n v="0"/>
    <m/>
    <m/>
    <n v="0"/>
    <n v="1"/>
    <n v="1"/>
    <n v="204479.45625321087"/>
    <m/>
    <m/>
    <n v="0"/>
    <m/>
    <m/>
    <n v="0"/>
    <n v="324314.73327366088"/>
    <n v="314.86867308122413"/>
  </r>
  <r>
    <s v="4.3.1.5"/>
    <x v="0"/>
    <x v="0"/>
    <x v="4"/>
    <x v="4"/>
    <n v="1"/>
    <x v="27"/>
    <x v="27"/>
    <s v="conduct a study on the political economy of FP financing and use results for FP domestic budget advocacy (Years 2 and 6)"/>
    <s v="Dissemination workshop"/>
    <s v="Fuel for travelling participants"/>
    <n v="211.42857142857142"/>
    <m/>
    <m/>
    <n v="0"/>
    <n v="22500"/>
    <n v="1"/>
    <n v="5437038.9328714283"/>
    <m/>
    <m/>
    <n v="0"/>
    <m/>
    <m/>
    <n v="0"/>
    <m/>
    <m/>
    <n v="0"/>
    <n v="22500"/>
    <n v="1"/>
    <n v="9277424.7472333554"/>
    <m/>
    <m/>
    <n v="0"/>
    <m/>
    <m/>
    <n v="0"/>
    <n v="14714463.680104785"/>
    <n v="14285.887068062897"/>
  </r>
  <r>
    <s v="4.3.1.5"/>
    <x v="0"/>
    <x v="0"/>
    <x v="4"/>
    <x v="4"/>
    <n v="1"/>
    <x v="27"/>
    <x v="27"/>
    <s v="conduct a study on the political economy of FP financing and use results for FP domestic budget advocacy (Years 2 and 6)"/>
    <s v="Dissemination workshop"/>
    <s v="Local running (diesel, per km)"/>
    <n v="211.42857142857142"/>
    <m/>
    <m/>
    <n v="0"/>
    <n v="60"/>
    <n v="29"/>
    <n v="420464.34414205706"/>
    <m/>
    <m/>
    <n v="0"/>
    <m/>
    <m/>
    <n v="0"/>
    <m/>
    <m/>
    <n v="0"/>
    <n v="60"/>
    <n v="29"/>
    <n v="717454.18045271293"/>
    <m/>
    <m/>
    <n v="0"/>
    <m/>
    <m/>
    <n v="0"/>
    <n v="1137918.52459477"/>
    <n v="1104.7752665968642"/>
  </r>
  <r>
    <s v="4.3.1.5"/>
    <x v="0"/>
    <x v="0"/>
    <x v="4"/>
    <x v="4"/>
    <n v="1"/>
    <x v="27"/>
    <x v="27"/>
    <s v="conduct a study on the political economy of FP financing and use results for FP domestic budget advocacy (Years 2 and 6)"/>
    <s v="Implement recommendations of the CPEA report"/>
    <s v="Zero cost"/>
    <n v="0"/>
    <m/>
    <m/>
    <n v="0"/>
    <n v="0"/>
    <n v="0"/>
    <n v="0"/>
    <m/>
    <m/>
    <n v="0"/>
    <m/>
    <m/>
    <n v="0"/>
    <m/>
    <m/>
    <n v="0"/>
    <n v="0"/>
    <n v="0"/>
    <n v="0"/>
    <m/>
    <m/>
    <n v="0"/>
    <m/>
    <m/>
    <n v="0"/>
    <n v="0"/>
    <n v="0"/>
  </r>
  <r>
    <s v="4.3.1.5"/>
    <x v="0"/>
    <x v="0"/>
    <x v="4"/>
    <x v="4"/>
    <n v="2"/>
    <x v="28"/>
    <x v="28"/>
    <s v="MoH to write Treasury to transfer funds to an agreed pool of FP products purchase"/>
    <s v="Zero cost"/>
    <s v="Zero cost"/>
    <n v="0"/>
    <m/>
    <m/>
    <n v="0"/>
    <m/>
    <m/>
    <n v="0"/>
    <n v="0"/>
    <n v="0"/>
    <n v="0"/>
    <n v="0"/>
    <n v="0"/>
    <n v="0"/>
    <n v="0"/>
    <n v="0"/>
    <n v="0"/>
    <n v="0"/>
    <n v="0"/>
    <n v="0"/>
    <n v="0"/>
    <n v="0"/>
    <n v="0"/>
    <n v="0"/>
    <n v="0"/>
    <n v="0"/>
    <n v="0"/>
    <n v="0"/>
  </r>
  <r>
    <s v="4.3.1.5"/>
    <x v="0"/>
    <x v="0"/>
    <x v="4"/>
    <x v="4"/>
    <n v="2"/>
    <x v="28"/>
    <x v="28"/>
    <s v="Treasury to transfer domestic funds to the pool for purchasing FP products"/>
    <s v="Zero cost"/>
    <s v="Zero cost"/>
    <n v="0"/>
    <m/>
    <m/>
    <n v="0"/>
    <m/>
    <m/>
    <n v="0"/>
    <n v="0"/>
    <n v="0"/>
    <n v="0"/>
    <n v="0"/>
    <n v="0"/>
    <n v="0"/>
    <n v="0"/>
    <n v="0"/>
    <n v="0"/>
    <n v="0"/>
    <n v="0"/>
    <n v="0"/>
    <n v="0"/>
    <n v="0"/>
    <n v="0"/>
    <n v="0"/>
    <n v="0"/>
    <n v="0"/>
    <n v="0"/>
    <n v="0"/>
  </r>
  <r>
    <s v="4.3.1.5"/>
    <x v="0"/>
    <x v="0"/>
    <x v="4"/>
    <x v="4"/>
    <n v="2"/>
    <x v="28"/>
    <x v="28"/>
    <s v="Based on the FP compact, implement pooled purchasing of FP products"/>
    <s v="zero cost"/>
    <s v="zero cost"/>
    <n v="0"/>
    <m/>
    <m/>
    <n v="0"/>
    <m/>
    <m/>
    <n v="0"/>
    <n v="0"/>
    <n v="0"/>
    <n v="0"/>
    <n v="0"/>
    <n v="0"/>
    <n v="0"/>
    <n v="0"/>
    <n v="0"/>
    <n v="0"/>
    <n v="0"/>
    <n v="0"/>
    <n v="0"/>
    <n v="0"/>
    <n v="0"/>
    <n v="0"/>
    <n v="0"/>
    <n v="0"/>
    <n v="0"/>
    <n v="0"/>
    <n v="0"/>
  </r>
  <r>
    <s v="4.3.1.5"/>
    <x v="0"/>
    <x v="0"/>
    <x v="4"/>
    <x v="4"/>
    <n v="2"/>
    <x v="28"/>
    <x v="28"/>
    <s v="Implement a matching funds scheme for FP programs at district level to incentivize execution (up to 10000 per district per year)"/>
    <s v="two workshops to design the matching scheme in Salima, 30 participants"/>
    <s v="Conference package high-level"/>
    <n v="35000"/>
    <m/>
    <m/>
    <n v="0"/>
    <m/>
    <m/>
    <n v="0"/>
    <n v="30"/>
    <n v="5"/>
    <n v="6857910.3283303361"/>
    <n v="30"/>
    <n v="5"/>
    <n v="7838050.3955829386"/>
    <n v="30"/>
    <n v="5"/>
    <n v="8958273.1564609352"/>
    <n v="30"/>
    <n v="5"/>
    <n v="10238599.383207982"/>
    <n v="30"/>
    <n v="5"/>
    <n v="11701911.238799591"/>
    <n v="30"/>
    <n v="5"/>
    <n v="13374361.230045456"/>
    <n v="58969105.732427239"/>
    <n v="57251.558963521595"/>
  </r>
  <r>
    <s v="4.3.1.5"/>
    <x v="0"/>
    <x v="0"/>
    <x v="4"/>
    <x v="4"/>
    <n v="2"/>
    <x v="28"/>
    <x v="28"/>
    <s v="Implement a matching funds scheme for FP programs at district level to incentivize execution (up to 10000 per district per year)"/>
    <s v="two workshops to design the matching scheme in Salima, 30 participants"/>
    <s v="DSA (excl. lunch)"/>
    <n v="39000"/>
    <m/>
    <m/>
    <n v="0"/>
    <m/>
    <m/>
    <n v="0"/>
    <n v="30"/>
    <n v="6"/>
    <n v="9170005.8104531355"/>
    <n v="30"/>
    <n v="6"/>
    <n v="10480593.100379471"/>
    <n v="30"/>
    <n v="6"/>
    <n v="11978490.963496335"/>
    <n v="30"/>
    <n v="6"/>
    <n v="13690470.032403817"/>
    <n v="30"/>
    <n v="6"/>
    <n v="15647127.027880596"/>
    <n v="30"/>
    <n v="6"/>
    <n v="17883431.58760364"/>
    <n v="78850118.522216991"/>
    <n v="76553.513128366016"/>
  </r>
  <r>
    <s v="4.3.1.5"/>
    <x v="0"/>
    <x v="0"/>
    <x v="4"/>
    <x v="4"/>
    <n v="2"/>
    <x v="28"/>
    <x v="28"/>
    <s v="Implement a matching funds scheme for FP programs at district level to incentivize execution (up to 10000 per district per year)"/>
    <s v="two workshops to design the matching scheme in Salima, 30 participants"/>
    <s v="Local running (diesel, per km)"/>
    <n v="211.42857142857142"/>
    <m/>
    <m/>
    <n v="0"/>
    <m/>
    <m/>
    <n v="0"/>
    <n v="450"/>
    <n v="5"/>
    <n v="621410.65015891218"/>
    <n v="450"/>
    <n v="5"/>
    <n v="710223.34196710703"/>
    <n v="450"/>
    <n v="5"/>
    <n v="811729.24111605203"/>
    <n v="450"/>
    <n v="5"/>
    <n v="927742.47472333559"/>
    <n v="450"/>
    <n v="5"/>
    <n v="1060336.4469442894"/>
    <n v="450"/>
    <n v="5"/>
    <n v="1211880.8951306494"/>
    <n v="5343323.0500403456"/>
    <n v="5187.6922815925682"/>
  </r>
  <r>
    <s v="4.3.1.5"/>
    <x v="0"/>
    <x v="0"/>
    <x v="4"/>
    <x v="4"/>
    <n v="2"/>
    <x v="28"/>
    <x v="28"/>
    <s v="Implement a matching funds scheme for FP programs at district level to incentivize execution (up to 10000 per district per year)"/>
    <s v="two workshops to design the matching scheme in Salima, 30 participants"/>
    <s v="Fuel for travelling participants"/>
    <n v="211.42857142857142"/>
    <m/>
    <m/>
    <n v="0"/>
    <m/>
    <m/>
    <n v="0"/>
    <n v="2700"/>
    <n v="1"/>
    <n v="745692.78019069461"/>
    <n v="2700"/>
    <n v="1"/>
    <n v="852268.01036052837"/>
    <n v="2700"/>
    <n v="1"/>
    <n v="974075.08933926234"/>
    <n v="2700"/>
    <n v="1"/>
    <n v="1113290.9696680028"/>
    <n v="2700"/>
    <n v="1"/>
    <n v="1272403.7363331474"/>
    <n v="2700"/>
    <n v="1"/>
    <n v="1454257.0741567793"/>
    <n v="6411987.660048414"/>
    <n v="6225.2307379110816"/>
  </r>
  <r>
    <s v="4.3.1.5"/>
    <x v="0"/>
    <x v="0"/>
    <x v="4"/>
    <x v="4"/>
    <n v="2"/>
    <x v="28"/>
    <x v="28"/>
    <s v="Implement a matching funds scheme for FP programs at district level to incentivize execution (up to 10000 per district per year)"/>
    <s v="One national workshop at national level for 5 days to train participants on the matching scheme"/>
    <s v="Conference package high-level"/>
    <n v="35000"/>
    <m/>
    <m/>
    <n v="0"/>
    <m/>
    <m/>
    <n v="0"/>
    <n v="500"/>
    <n v="5"/>
    <n v="114298505.47217228"/>
    <n v="500"/>
    <n v="5"/>
    <n v="130634173.25971565"/>
    <n v="500"/>
    <n v="5"/>
    <n v="149304552.60768226"/>
    <n v="500"/>
    <n v="5"/>
    <n v="170643323.05346638"/>
    <n v="500"/>
    <n v="5"/>
    <n v="195031853.97999316"/>
    <n v="500"/>
    <n v="5"/>
    <n v="222906020.50075763"/>
    <n v="982818428.8737874"/>
    <n v="954192.64939202659"/>
  </r>
  <r>
    <s v="4.3.1.5"/>
    <x v="0"/>
    <x v="0"/>
    <x v="4"/>
    <x v="4"/>
    <n v="2"/>
    <x v="28"/>
    <x v="28"/>
    <s v="Implement a matching funds scheme for FP programs at district level to incentivize execution (up to 10000 per district per year)"/>
    <s v="One national workshop at national level for 5 days to train participants on the matching scheme"/>
    <s v="DSA (excl. lunch)"/>
    <n v="39000"/>
    <m/>
    <m/>
    <n v="0"/>
    <m/>
    <m/>
    <n v="0"/>
    <n v="100"/>
    <n v="6"/>
    <n v="30566686.034843788"/>
    <n v="100"/>
    <n v="6"/>
    <n v="34935310.334598243"/>
    <n v="100"/>
    <n v="6"/>
    <n v="39928303.211654454"/>
    <n v="100"/>
    <n v="6"/>
    <n v="45634900.108012728"/>
    <n v="100"/>
    <n v="6"/>
    <n v="52157090.092935324"/>
    <n v="100"/>
    <n v="6"/>
    <n v="59611438.625345461"/>
    <n v="262833728.40739"/>
    <n v="255178.37709455341"/>
  </r>
  <r>
    <s v="4.3.1.5"/>
    <x v="0"/>
    <x v="0"/>
    <x v="4"/>
    <x v="4"/>
    <n v="2"/>
    <x v="28"/>
    <x v="28"/>
    <s v="Implement a matching funds scheme for FP programs at district level to incentivize execution (up to 10000 per district per year)"/>
    <s v="One national workshop at national level for 5 days to train participants on the matching scheme"/>
    <s v="Local running (diesel, per km)"/>
    <n v="211.42857142857142"/>
    <m/>
    <m/>
    <n v="0"/>
    <m/>
    <m/>
    <n v="0"/>
    <n v="2750"/>
    <n v="5"/>
    <n v="3797509.5287489076"/>
    <n v="2750"/>
    <n v="5"/>
    <n v="4340253.756465653"/>
    <n v="2750"/>
    <n v="5"/>
    <n v="4960567.5845980952"/>
    <n v="2750"/>
    <n v="5"/>
    <n v="5669537.3455314953"/>
    <n v="2750"/>
    <n v="5"/>
    <n v="6479833.8424373241"/>
    <n v="2750"/>
    <n v="5"/>
    <n v="7405938.8035761919"/>
    <n v="32653640.861357667"/>
    <n v="31702.563943065696"/>
  </r>
  <r>
    <s v="4.3.1.5"/>
    <x v="0"/>
    <x v="0"/>
    <x v="4"/>
    <x v="4"/>
    <n v="2"/>
    <x v="28"/>
    <x v="28"/>
    <s v="Implement a matching funds scheme for FP programs at district level to incentivize execution (up to 10000 per district per year)"/>
    <s v="One national workshop at national level for 5 days to train participants on the matching scheme"/>
    <s v="Fuel for travelling participants"/>
    <n v="211.42857142857142"/>
    <m/>
    <m/>
    <n v="0"/>
    <m/>
    <m/>
    <n v="0"/>
    <n v="16500"/>
    <n v="1"/>
    <n v="4557011.4344986891"/>
    <n v="16500"/>
    <n v="1"/>
    <n v="5208304.5077587841"/>
    <n v="16500"/>
    <n v="1"/>
    <n v="5952681.1015177146"/>
    <n v="16500"/>
    <n v="1"/>
    <n v="6803444.8146377942"/>
    <n v="16500"/>
    <n v="1"/>
    <n v="7775800.6109247888"/>
    <n v="16500"/>
    <n v="1"/>
    <n v="8887126.5642914288"/>
    <n v="39184369.033629194"/>
    <n v="38043.076731678826"/>
  </r>
  <r>
    <s v="4.3.1.5"/>
    <x v="0"/>
    <x v="0"/>
    <x v="4"/>
    <x v="4"/>
    <n v="2"/>
    <x v="28"/>
    <x v="28"/>
    <s v="Implement a matching funds scheme for FP programs at district level to incentivize execution (up to 10000 per district per year)"/>
    <s v="actual disbursement (From year 3)"/>
    <n v="10220000"/>
    <n v="10220000"/>
    <m/>
    <m/>
    <n v="0"/>
    <m/>
    <m/>
    <n v="0"/>
    <n v="1"/>
    <n v="1"/>
    <n v="13350065.439149722"/>
    <n v="1"/>
    <n v="1"/>
    <n v="15258071.436734786"/>
    <n v="1"/>
    <n v="1"/>
    <n v="17438771.744577289"/>
    <n v="1"/>
    <n v="1"/>
    <n v="19931140.132644873"/>
    <n v="1"/>
    <n v="1"/>
    <n v="22779720.544863205"/>
    <n v="1"/>
    <n v="1"/>
    <n v="26035423.194488492"/>
    <n v="114793192.49245837"/>
    <n v="111449.70144898871"/>
  </r>
  <r>
    <s v="4.3.1.5"/>
    <x v="0"/>
    <x v="0"/>
    <x v="4"/>
    <x v="4"/>
    <n v="3"/>
    <x v="29"/>
    <x v="29"/>
    <s v="Engage academic institutions to develop research proposals on health finance and population growth such as synthesising financial data with demographic health survey "/>
    <s v="Develop a concept note"/>
    <s v="Zero cost"/>
    <n v="0"/>
    <m/>
    <m/>
    <n v="0"/>
    <n v="0"/>
    <n v="0"/>
    <n v="0"/>
    <n v="0"/>
    <n v="0"/>
    <n v="0"/>
    <n v="0"/>
    <n v="0"/>
    <n v="0"/>
    <n v="0"/>
    <n v="0"/>
    <n v="0"/>
    <n v="0"/>
    <n v="0"/>
    <n v="0"/>
    <n v="0"/>
    <n v="0"/>
    <n v="0"/>
    <n v="0"/>
    <n v="0"/>
    <n v="0"/>
    <n v="0"/>
    <n v="0"/>
  </r>
  <r>
    <s v="4.3.1.5"/>
    <x v="0"/>
    <x v="0"/>
    <x v="4"/>
    <x v="4"/>
    <n v="3"/>
    <x v="29"/>
    <x v="29"/>
    <s v="Engage academic institutions to develop research proposals on health finance and population growth such as synthesising financial data with demographic health survey "/>
    <s v="Lobby with donors"/>
    <s v="Conference package high-level"/>
    <n v="35000"/>
    <m/>
    <m/>
    <n v="0"/>
    <n v="50"/>
    <n v="1"/>
    <n v="2000111.9197499997"/>
    <n v="50"/>
    <n v="1"/>
    <n v="2285970.1094434457"/>
    <n v="50"/>
    <n v="1"/>
    <n v="2612683.4651943129"/>
    <n v="50"/>
    <n v="1"/>
    <n v="2986091.0521536451"/>
    <n v="50"/>
    <n v="1"/>
    <n v="3412866.4610693273"/>
    <n v="50"/>
    <n v="1"/>
    <n v="3900637.0795998634"/>
    <n v="50"/>
    <n v="1"/>
    <n v="4458120.4100151528"/>
    <n v="21656480.497225747"/>
    <n v="21025.709220607521"/>
  </r>
  <r>
    <s v="4.3.1.5"/>
    <x v="0"/>
    <x v="0"/>
    <x v="4"/>
    <x v="4"/>
    <n v="3"/>
    <x v="29"/>
    <x v="29"/>
    <s v="Engage academic institutions to develop research proposals on health finance and population growth such as synthesising financial data with demographic health survey "/>
    <s v="conduct 3 meetings (20 participants, 2 days each meeting)"/>
    <s v="DSA (excl. lunch)"/>
    <n v="39000"/>
    <m/>
    <m/>
    <n v="0"/>
    <n v="20"/>
    <n v="9"/>
    <n v="8023306.1009399984"/>
    <n v="20"/>
    <n v="9"/>
    <n v="9170005.8104531355"/>
    <n v="20"/>
    <n v="9"/>
    <n v="10480593.100379471"/>
    <n v="20"/>
    <n v="9"/>
    <n v="11978490.963496337"/>
    <n v="20"/>
    <n v="9"/>
    <n v="13690470.032403819"/>
    <n v="20"/>
    <n v="9"/>
    <n v="15647127.027880598"/>
    <n v="20"/>
    <n v="9"/>
    <n v="17883431.58760364"/>
    <n v="86873424.623157009"/>
    <n v="84343.130702094189"/>
  </r>
  <r>
    <s v="4.3.1.5"/>
    <x v="0"/>
    <x v="0"/>
    <x v="4"/>
    <x v="4"/>
    <n v="3"/>
    <x v="29"/>
    <x v="29"/>
    <s v="Engage academic institutions to develop research proposals on health finance and population growth such as synthesising financial data with demographic health survey "/>
    <s v="conduct 3 meetings (20 participants, 2 days each meeting)"/>
    <s v="Conference package high-level"/>
    <n v="35000"/>
    <m/>
    <m/>
    <n v="0"/>
    <n v="20"/>
    <n v="6"/>
    <n v="4800268.6073999992"/>
    <n v="20"/>
    <n v="6"/>
    <n v="5486328.2626642687"/>
    <n v="20"/>
    <n v="6"/>
    <n v="6270440.3164663501"/>
    <n v="20"/>
    <n v="6"/>
    <n v="7166618.5251687476"/>
    <n v="20"/>
    <n v="6"/>
    <n v="8190879.5065663867"/>
    <n v="20"/>
    <n v="6"/>
    <n v="9361528.9910396729"/>
    <n v="20"/>
    <n v="6"/>
    <n v="10699488.984036366"/>
    <n v="51975553.193341792"/>
    <n v="50461.702129458048"/>
  </r>
  <r>
    <s v="4.3.1.5"/>
    <x v="0"/>
    <x v="0"/>
    <x v="4"/>
    <x v="4"/>
    <n v="3"/>
    <x v="29"/>
    <x v="29"/>
    <s v="Engage academic institutions to develop research proposals on health finance and population growth such as synthesising financial data with demographic health survey "/>
    <s v="conduct 3 meetings (20 participants, 2 days each meeting)"/>
    <s v="local running (diesel, per km)"/>
    <n v="211.42857142857142"/>
    <m/>
    <m/>
    <n v="0"/>
    <n v="450"/>
    <n v="6"/>
    <n v="652444.67194457131"/>
    <n v="450"/>
    <n v="6"/>
    <n v="745692.78019069461"/>
    <n v="450"/>
    <n v="6"/>
    <n v="852268.01036052837"/>
    <n v="450"/>
    <n v="6"/>
    <n v="974075.08933926234"/>
    <n v="450"/>
    <n v="6"/>
    <n v="1113290.9696680028"/>
    <n v="450"/>
    <n v="6"/>
    <n v="1272403.7363331474"/>
    <n v="450"/>
    <n v="6"/>
    <n v="1454257.0741567793"/>
    <n v="7064432.3319929857"/>
    <n v="6858.6721669834815"/>
  </r>
  <r>
    <s v="4.3.1.5"/>
    <x v="0"/>
    <x v="0"/>
    <x v="4"/>
    <x v="4"/>
    <n v="3"/>
    <x v="29"/>
    <x v="29"/>
    <s v="Engage academic institutions to develop research proposals on health finance and population growth such as synthesising financial data with demographic health survey "/>
    <s v="conduct 3 meetings (20 participants, 2 days each meeting)"/>
    <s v="Fuel for traveling participants"/>
    <n v="211.42857142857142"/>
    <m/>
    <m/>
    <n v="0"/>
    <n v="2700"/>
    <n v="3"/>
    <n v="1957334.015833714"/>
    <n v="2700"/>
    <n v="3"/>
    <n v="2237078.3405720838"/>
    <n v="2700"/>
    <n v="3"/>
    <n v="2556804.0310815852"/>
    <n v="2700"/>
    <n v="3"/>
    <n v="2922225.268017787"/>
    <n v="2700"/>
    <n v="3"/>
    <n v="3339872.9090040084"/>
    <n v="2700"/>
    <n v="3"/>
    <n v="3817211.2089994419"/>
    <n v="2700"/>
    <n v="3"/>
    <n v="4362771.2224703375"/>
    <n v="21193296.995978959"/>
    <n v="20576.016500950445"/>
  </r>
  <r>
    <s v="4.3.1.5"/>
    <x v="0"/>
    <x v="0"/>
    <x v="4"/>
    <x v="4"/>
    <n v="3"/>
    <x v="29"/>
    <x v="29"/>
    <s v="Co-create research agenda and discuss dissemination"/>
    <s v="conduct meetings "/>
    <s v="Conference package high-level"/>
    <n v="35000"/>
    <m/>
    <m/>
    <n v="0"/>
    <n v="30"/>
    <n v="5"/>
    <n v="6000335.7592499992"/>
    <n v="30"/>
    <n v="5"/>
    <n v="6857910.3283303361"/>
    <n v="30"/>
    <n v="5"/>
    <n v="7838050.3955829386"/>
    <n v="30"/>
    <n v="5"/>
    <n v="8958273.1564609352"/>
    <n v="30"/>
    <n v="5"/>
    <n v="10238599.383207982"/>
    <n v="30"/>
    <n v="5"/>
    <n v="11701911.238799591"/>
    <n v="30"/>
    <n v="5"/>
    <n v="13374361.230045456"/>
    <n v="64969441.49167724"/>
    <n v="63077.12766182256"/>
  </r>
  <r>
    <s v="4.3.1.5"/>
    <x v="0"/>
    <x v="0"/>
    <x v="4"/>
    <x v="4"/>
    <n v="3"/>
    <x v="29"/>
    <x v="29"/>
    <s v="Co-create research agenda and discuss dissemination"/>
    <s v="conduct meetings "/>
    <s v="DSA (excl. lunch)"/>
    <n v="39000"/>
    <m/>
    <m/>
    <n v="0"/>
    <n v="30"/>
    <n v="6"/>
    <n v="8023306.1009399984"/>
    <n v="30"/>
    <n v="6"/>
    <n v="9170005.8104531355"/>
    <n v="30"/>
    <n v="6"/>
    <n v="10480593.100379471"/>
    <n v="30"/>
    <n v="6"/>
    <n v="11978490.963496335"/>
    <n v="30"/>
    <n v="6"/>
    <n v="13690470.032403817"/>
    <n v="30"/>
    <n v="6"/>
    <n v="15647127.027880596"/>
    <n v="30"/>
    <n v="6"/>
    <n v="17883431.58760364"/>
    <n v="86873424.623157009"/>
    <n v="84343.130702094189"/>
  </r>
  <r>
    <s v="4.3.1.5"/>
    <x v="0"/>
    <x v="0"/>
    <x v="4"/>
    <x v="4"/>
    <n v="3"/>
    <x v="29"/>
    <x v="29"/>
    <s v="Co-create research agenda and discuss dissemination"/>
    <s v="conduct meetings "/>
    <s v="Local running (diesel, per km)"/>
    <n v="211.42857142857142"/>
    <m/>
    <m/>
    <n v="0"/>
    <n v="450"/>
    <n v="5"/>
    <n v="543703.89328714274"/>
    <n v="450"/>
    <n v="5"/>
    <n v="621410.65015891218"/>
    <n v="450"/>
    <n v="5"/>
    <n v="710223.34196710703"/>
    <n v="450"/>
    <n v="5"/>
    <n v="811729.24111605203"/>
    <n v="450"/>
    <n v="5"/>
    <n v="927742.47472333559"/>
    <n v="450"/>
    <n v="5"/>
    <n v="1060336.4469442894"/>
    <n v="450"/>
    <n v="5"/>
    <n v="1211880.8951306494"/>
    <n v="5887026.9433274884"/>
    <n v="5715.5601391529017"/>
  </r>
  <r>
    <s v="4.3.1.5"/>
    <x v="0"/>
    <x v="0"/>
    <x v="4"/>
    <x v="4"/>
    <n v="3"/>
    <x v="29"/>
    <x v="29"/>
    <s v="Co-create research agenda and discuss dissemination"/>
    <s v="conduct meetings "/>
    <s v="Fuel for traveling participants"/>
    <n v="211.42857142857142"/>
    <m/>
    <m/>
    <n v="0"/>
    <n v="2700"/>
    <n v="1"/>
    <n v="652444.67194457131"/>
    <n v="2700"/>
    <n v="1"/>
    <n v="745692.78019069461"/>
    <n v="2700"/>
    <n v="1"/>
    <n v="852268.01036052837"/>
    <n v="2700"/>
    <n v="1"/>
    <n v="974075.08933926234"/>
    <n v="2700"/>
    <n v="1"/>
    <n v="1113290.9696680028"/>
    <n v="2700"/>
    <n v="1"/>
    <n v="1272403.7363331474"/>
    <n v="2700"/>
    <n v="1"/>
    <n v="1454257.0741567793"/>
    <n v="7064432.3319929857"/>
    <n v="6858.6721669834815"/>
  </r>
  <r>
    <s v="4.3.1.5"/>
    <x v="0"/>
    <x v="0"/>
    <x v="4"/>
    <x v="4"/>
    <n v="3"/>
    <x v="29"/>
    <x v="29"/>
    <s v="Conduct research based on the research agenda (2 research pieces a year)"/>
    <s v="partner with a donor to sponsor the research"/>
    <s v="Zero cost"/>
    <n v="0"/>
    <m/>
    <m/>
    <n v="0"/>
    <n v="0"/>
    <n v="0"/>
    <n v="0"/>
    <n v="0"/>
    <n v="0"/>
    <n v="0"/>
    <n v="0"/>
    <n v="0"/>
    <n v="0"/>
    <n v="0"/>
    <n v="0"/>
    <n v="0"/>
    <n v="0"/>
    <n v="0"/>
    <n v="0"/>
    <n v="0"/>
    <n v="0"/>
    <n v="0"/>
    <n v="0"/>
    <n v="0"/>
    <n v="0"/>
    <n v="0"/>
    <n v="0"/>
  </r>
  <r>
    <s v="4.3.1.5"/>
    <x v="0"/>
    <x v="0"/>
    <x v="4"/>
    <x v="4"/>
    <n v="3"/>
    <x v="29"/>
    <x v="29"/>
    <s v="Conduct research based on the research agenda (2 research pieces a year)"/>
    <s v="data collection"/>
    <s v="Full DSA"/>
    <n v="45000"/>
    <m/>
    <m/>
    <n v="0"/>
    <n v="30"/>
    <n v="6"/>
    <n v="9257660.8856999986"/>
    <n v="30"/>
    <n v="6"/>
    <n v="10580775.935138233"/>
    <n v="30"/>
    <n v="6"/>
    <n v="12092992.03889939"/>
    <n v="30"/>
    <n v="6"/>
    <n v="13821335.727111155"/>
    <n v="30"/>
    <n v="6"/>
    <n v="15796696.191235173"/>
    <n v="30"/>
    <n v="6"/>
    <n v="18054377.339862227"/>
    <n v="30"/>
    <n v="6"/>
    <n v="20634728.754927278"/>
    <n v="100238566.87287346"/>
    <n v="97318.996963954807"/>
  </r>
  <r>
    <s v="4.3.1.5"/>
    <x v="0"/>
    <x v="0"/>
    <x v="4"/>
    <x v="4"/>
    <n v="3"/>
    <x v="29"/>
    <x v="29"/>
    <s v="Conduct research based on the research agenda (2 research pieces a year)"/>
    <s v="data collection"/>
    <s v="Local running (diesel, per km)"/>
    <n v="211.42857142857142"/>
    <m/>
    <m/>
    <n v="0"/>
    <n v="450"/>
    <n v="5"/>
    <n v="543703.89328714274"/>
    <n v="450"/>
    <n v="5"/>
    <n v="621410.65015891218"/>
    <n v="450"/>
    <n v="5"/>
    <n v="710223.34196710703"/>
    <n v="450"/>
    <n v="5"/>
    <n v="811729.24111605203"/>
    <n v="450"/>
    <n v="5"/>
    <n v="927742.47472333559"/>
    <n v="450"/>
    <n v="5"/>
    <n v="1060336.4469442894"/>
    <n v="450"/>
    <n v="5"/>
    <n v="1211880.8951306494"/>
    <n v="5887026.9433274884"/>
    <n v="5715.5601391529017"/>
  </r>
  <r>
    <s v="4.3.1.5"/>
    <x v="0"/>
    <x v="0"/>
    <x v="4"/>
    <x v="4"/>
    <n v="3"/>
    <x v="29"/>
    <x v="29"/>
    <s v="Conduct research based on the research agenda (2 research pieces a year)"/>
    <s v="data collection"/>
    <s v="Fuel for traveling participants"/>
    <n v="211.42857142857142"/>
    <m/>
    <m/>
    <n v="0"/>
    <n v="2700"/>
    <n v="1"/>
    <n v="652444.67194457131"/>
    <n v="2700"/>
    <n v="1"/>
    <n v="745692.78019069461"/>
    <n v="2700"/>
    <n v="1"/>
    <n v="852268.01036052837"/>
    <n v="2700"/>
    <n v="1"/>
    <n v="974075.08933926234"/>
    <n v="2700"/>
    <n v="1"/>
    <n v="1113290.9696680028"/>
    <n v="2700"/>
    <n v="1"/>
    <n v="1272403.7363331474"/>
    <n v="2700"/>
    <n v="1"/>
    <n v="1454257.0741567793"/>
    <n v="7064432.3319929857"/>
    <n v="6858.6721669834815"/>
  </r>
  <r>
    <s v="4.3.1.5"/>
    <x v="0"/>
    <x v="0"/>
    <x v="4"/>
    <x v="4"/>
    <n v="3"/>
    <x v="29"/>
    <x v="29"/>
    <s v="Conduct research based on the research agenda (2 research pieces a year)"/>
    <s v="data collection"/>
    <s v="Airtime for Research Assistant"/>
    <n v="10000"/>
    <m/>
    <m/>
    <n v="0"/>
    <n v="15"/>
    <n v="1"/>
    <n v="171438.16454999999"/>
    <n v="15"/>
    <n v="1"/>
    <n v="195940.29509515248"/>
    <n v="15"/>
    <n v="1"/>
    <n v="223944.29701665539"/>
    <n v="15"/>
    <n v="1"/>
    <n v="255950.66161316959"/>
    <n v="15"/>
    <n v="1"/>
    <n v="292531.41094879952"/>
    <n v="15"/>
    <n v="1"/>
    <n v="334340.32110855979"/>
    <n v="15"/>
    <n v="1"/>
    <n v="382124.60657272732"/>
    <n v="1856269.756905064"/>
    <n v="1802.2036474806446"/>
  </r>
  <r>
    <s v="4.3.1.5"/>
    <x v="0"/>
    <x v="0"/>
    <x v="4"/>
    <x v="4"/>
    <n v="3"/>
    <x v="29"/>
    <x v="29"/>
    <s v="Conduct research based on the research agenda (2 research pieces a year)"/>
    <s v="Data analysis "/>
    <s v="DSA (excl. lunch)"/>
    <n v="39000"/>
    <m/>
    <m/>
    <n v="0"/>
    <n v="30"/>
    <n v="6"/>
    <n v="8023306.1009399984"/>
    <n v="30"/>
    <n v="6"/>
    <n v="9170005.8104531355"/>
    <n v="30"/>
    <n v="6"/>
    <n v="10480593.100379471"/>
    <n v="30"/>
    <n v="6"/>
    <n v="11978490.963496335"/>
    <n v="30"/>
    <n v="6"/>
    <n v="13690470.032403817"/>
    <n v="30"/>
    <n v="6"/>
    <n v="15647127.027880596"/>
    <n v="30"/>
    <n v="6"/>
    <n v="17883431.58760364"/>
    <n v="86873424.623157009"/>
    <n v="84343.130702094189"/>
  </r>
  <r>
    <s v="4.3.1.5"/>
    <x v="0"/>
    <x v="0"/>
    <x v="4"/>
    <x v="4"/>
    <n v="3"/>
    <x v="29"/>
    <x v="29"/>
    <s v="Conduct research based on the research agenda (2 research pieces a year)"/>
    <s v="Data analysis "/>
    <s v="Conference package high-level"/>
    <n v="35000"/>
    <m/>
    <m/>
    <n v="0"/>
    <n v="30"/>
    <n v="5"/>
    <n v="6000335.7592499992"/>
    <n v="30"/>
    <n v="5"/>
    <n v="6857910.3283303361"/>
    <n v="30"/>
    <n v="5"/>
    <n v="7838050.3955829386"/>
    <n v="30"/>
    <n v="5"/>
    <n v="8958273.1564609352"/>
    <n v="30"/>
    <n v="5"/>
    <n v="10238599.383207982"/>
    <n v="30"/>
    <n v="5"/>
    <n v="11701911.238799591"/>
    <n v="30"/>
    <n v="5"/>
    <n v="13374361.230045456"/>
    <n v="64969441.49167724"/>
    <n v="63077.12766182256"/>
  </r>
  <r>
    <s v="4.3.1.5"/>
    <x v="0"/>
    <x v="0"/>
    <x v="4"/>
    <x v="4"/>
    <n v="3"/>
    <x v="29"/>
    <x v="29"/>
    <s v="Conduct research based on the research agenda (2 research pieces a year)"/>
    <s v="Data analysis "/>
    <s v="Local running (diesel, per km)"/>
    <n v="211.42857142857142"/>
    <m/>
    <m/>
    <n v="0"/>
    <n v="450"/>
    <n v="5"/>
    <n v="543703.89328714274"/>
    <n v="450"/>
    <n v="5"/>
    <n v="621410.65015891218"/>
    <n v="450"/>
    <n v="5"/>
    <n v="710223.34196710703"/>
    <n v="450"/>
    <n v="5"/>
    <n v="811729.24111605203"/>
    <n v="450"/>
    <n v="5"/>
    <n v="927742.47472333559"/>
    <n v="450"/>
    <n v="5"/>
    <n v="1060336.4469442894"/>
    <n v="450"/>
    <n v="5"/>
    <n v="1211880.8951306494"/>
    <n v="5887026.9433274884"/>
    <n v="5715.5601391529017"/>
  </r>
  <r>
    <s v="4.3.1.5"/>
    <x v="0"/>
    <x v="0"/>
    <x v="4"/>
    <x v="4"/>
    <n v="3"/>
    <x v="29"/>
    <x v="29"/>
    <s v="Conduct research based on the research agenda (2 research pieces a year)"/>
    <s v="Data analysis "/>
    <s v="Fuel for traveling participants"/>
    <n v="211.42857142857142"/>
    <m/>
    <m/>
    <n v="0"/>
    <n v="2700"/>
    <n v="1"/>
    <n v="652444.67194457131"/>
    <n v="2700"/>
    <n v="1"/>
    <n v="745692.78019069461"/>
    <n v="2700"/>
    <n v="1"/>
    <n v="852268.01036052837"/>
    <n v="2700"/>
    <n v="1"/>
    <n v="974075.08933926234"/>
    <n v="2700"/>
    <n v="1"/>
    <n v="1113290.9696680028"/>
    <n v="2700"/>
    <n v="1"/>
    <n v="1272403.7363331474"/>
    <n v="2700"/>
    <n v="1"/>
    <n v="1454257.0741567793"/>
    <n v="7064432.3319929857"/>
    <n v="6858.6721669834815"/>
  </r>
  <r>
    <s v="4.3.1.5"/>
    <x v="0"/>
    <x v="0"/>
    <x v="4"/>
    <x v="4"/>
    <n v="3"/>
    <x v="29"/>
    <x v="29"/>
    <s v="Conduct research based on the research agenda (2 research pieces a year)"/>
    <s v="report writing"/>
    <s v="DSA (excl. lunch)"/>
    <n v="39000"/>
    <m/>
    <m/>
    <n v="0"/>
    <n v="30"/>
    <n v="6"/>
    <n v="8023306.1009399984"/>
    <n v="30"/>
    <n v="6"/>
    <n v="9170005.8104531355"/>
    <n v="30"/>
    <n v="6"/>
    <n v="10480593.100379471"/>
    <n v="30"/>
    <n v="6"/>
    <n v="11978490.963496335"/>
    <n v="30"/>
    <n v="6"/>
    <n v="13690470.032403817"/>
    <n v="30"/>
    <n v="6"/>
    <n v="15647127.027880596"/>
    <n v="30"/>
    <n v="6"/>
    <n v="17883431.58760364"/>
    <n v="86873424.623157009"/>
    <n v="84343.130702094189"/>
  </r>
  <r>
    <s v="4.3.1.5"/>
    <x v="0"/>
    <x v="0"/>
    <x v="4"/>
    <x v="4"/>
    <n v="3"/>
    <x v="29"/>
    <x v="29"/>
    <s v="Conduct research based on the research agenda (2 research pieces a year)"/>
    <s v="report writing"/>
    <s v="Conference package high-level"/>
    <n v="35000"/>
    <m/>
    <m/>
    <n v="0"/>
    <n v="30"/>
    <n v="5"/>
    <n v="6000335.7592499992"/>
    <n v="30"/>
    <n v="5"/>
    <n v="6857910.3283303361"/>
    <n v="30"/>
    <n v="5"/>
    <n v="7838050.3955829386"/>
    <n v="30"/>
    <n v="5"/>
    <n v="8958273.1564609352"/>
    <n v="30"/>
    <n v="5"/>
    <n v="10238599.383207982"/>
    <n v="30"/>
    <n v="5"/>
    <n v="11701911.238799591"/>
    <n v="30"/>
    <n v="5"/>
    <n v="13374361.230045456"/>
    <n v="64969441.49167724"/>
    <n v="63077.12766182256"/>
  </r>
  <r>
    <s v="4.3.1.5"/>
    <x v="0"/>
    <x v="0"/>
    <x v="4"/>
    <x v="4"/>
    <n v="3"/>
    <x v="29"/>
    <x v="29"/>
    <s v="Conduct research based on the research agenda (2 research pieces a year)"/>
    <s v="report writing"/>
    <s v="Local running (diesel, per km)"/>
    <n v="211.42857142857142"/>
    <m/>
    <m/>
    <n v="0"/>
    <n v="450"/>
    <n v="5"/>
    <n v="543703.89328714274"/>
    <n v="450"/>
    <n v="5"/>
    <n v="621410.65015891218"/>
    <n v="450"/>
    <n v="5"/>
    <n v="710223.34196710703"/>
    <n v="450"/>
    <n v="5"/>
    <n v="811729.24111605203"/>
    <n v="450"/>
    <n v="5"/>
    <n v="927742.47472333559"/>
    <n v="450"/>
    <n v="5"/>
    <n v="1060336.4469442894"/>
    <n v="450"/>
    <n v="5"/>
    <n v="1211880.8951306494"/>
    <n v="5887026.9433274884"/>
    <n v="5715.5601391529017"/>
  </r>
  <r>
    <s v="4.3.1.5"/>
    <x v="0"/>
    <x v="0"/>
    <x v="4"/>
    <x v="4"/>
    <n v="3"/>
    <x v="29"/>
    <x v="29"/>
    <s v="Conduct research based on the research agenda (2 research pieces a year)"/>
    <s v="report writing"/>
    <s v="Fuel for traveling participants"/>
    <n v="211.42857142857142"/>
    <m/>
    <m/>
    <n v="0"/>
    <n v="2700"/>
    <n v="1"/>
    <n v="652444.67194457131"/>
    <n v="2700"/>
    <n v="1"/>
    <n v="745692.78019069461"/>
    <n v="2700"/>
    <n v="1"/>
    <n v="852268.01036052837"/>
    <n v="2700"/>
    <n v="1"/>
    <n v="974075.08933926234"/>
    <n v="2700"/>
    <n v="1"/>
    <n v="1113290.9696680028"/>
    <n v="2700"/>
    <n v="1"/>
    <n v="1272403.7363331474"/>
    <n v="2700"/>
    <n v="1"/>
    <n v="1454257.0741567793"/>
    <n v="7064432.3319929857"/>
    <n v="6858.6721669834815"/>
  </r>
  <r>
    <s v="4.3.1.5"/>
    <x v="0"/>
    <x v="0"/>
    <x v="4"/>
    <x v="4"/>
    <n v="3"/>
    <x v="29"/>
    <x v="29"/>
    <s v="Conduct research based on the research agenda (2 research pieces a year)"/>
    <s v="validation workshop"/>
    <s v="Conference package high-level"/>
    <n v="35000"/>
    <m/>
    <m/>
    <n v="0"/>
    <n v="100"/>
    <n v="5"/>
    <n v="20001119.197499998"/>
    <n v="100"/>
    <n v="5"/>
    <n v="22859701.094434455"/>
    <n v="100"/>
    <n v="5"/>
    <n v="26126834.651943129"/>
    <n v="100"/>
    <n v="5"/>
    <n v="29860910.521536451"/>
    <n v="100"/>
    <n v="5"/>
    <n v="34128664.610693276"/>
    <n v="100"/>
    <n v="5"/>
    <n v="39006370.795998633"/>
    <n v="100"/>
    <n v="5"/>
    <n v="44581204.100151524"/>
    <n v="216564804.97225749"/>
    <n v="210257.09220607523"/>
  </r>
  <r>
    <s v="4.3.1.5"/>
    <x v="0"/>
    <x v="0"/>
    <x v="4"/>
    <x v="4"/>
    <n v="3"/>
    <x v="29"/>
    <x v="29"/>
    <s v="Conduct research based on the research agenda (2 research pieces a year)"/>
    <s v="validation workshop"/>
    <s v="DSA (excl. lunch)"/>
    <n v="39000"/>
    <m/>
    <m/>
    <n v="0"/>
    <n v="58"/>
    <n v="5"/>
    <n v="12926437.607069999"/>
    <n v="58"/>
    <n v="5"/>
    <n v="14773898.250174496"/>
    <n v="58"/>
    <n v="5"/>
    <n v="16885399.995055817"/>
    <n v="58"/>
    <n v="5"/>
    <n v="19298679.885632988"/>
    <n v="58"/>
    <n v="5"/>
    <n v="22056868.385539483"/>
    <n v="58"/>
    <n v="5"/>
    <n v="25209260.211585406"/>
    <n v="58"/>
    <n v="5"/>
    <n v="28812195.335583642"/>
    <n v="139962739.67064184"/>
    <n v="135886.15502004063"/>
  </r>
  <r>
    <s v="4.3.1.5"/>
    <x v="0"/>
    <x v="0"/>
    <x v="4"/>
    <x v="4"/>
    <n v="3"/>
    <x v="29"/>
    <x v="29"/>
    <s v="Conduct research based on the research agenda (2 research pieces a year)"/>
    <s v="validation workshop"/>
    <s v="Local running (diesel, per km)"/>
    <n v="211.42857142857142"/>
    <m/>
    <m/>
    <n v="0"/>
    <n v="1450"/>
    <n v="5"/>
    <n v="1751934.7672585712"/>
    <n v="1450"/>
    <n v="5"/>
    <n v="2002323.2060676059"/>
    <n v="1450"/>
    <n v="5"/>
    <n v="2288497.4352273447"/>
    <n v="1450"/>
    <n v="5"/>
    <n v="2615571.999151723"/>
    <n v="1450"/>
    <n v="5"/>
    <n v="2989392.41855297"/>
    <n v="1450"/>
    <n v="5"/>
    <n v="3416639.6623760439"/>
    <n v="1450"/>
    <n v="5"/>
    <n v="3904949.5509765372"/>
    <n v="18969309.039610796"/>
    <n v="18416.804892826014"/>
  </r>
  <r>
    <s v="4.3.1.5"/>
    <x v="0"/>
    <x v="0"/>
    <x v="4"/>
    <x v="4"/>
    <n v="3"/>
    <x v="29"/>
    <x v="29"/>
    <s v="Conduct research based on the research agenda (2 research pieces a year)"/>
    <s v="validation workshop"/>
    <s v="Fuel for traveling participants"/>
    <n v="211.42857142857142"/>
    <m/>
    <m/>
    <n v="0"/>
    <n v="22500"/>
    <n v="1"/>
    <n v="5437038.9328714283"/>
    <n v="22500"/>
    <n v="1"/>
    <n v="6214106.5015891213"/>
    <n v="22500"/>
    <n v="1"/>
    <n v="7102233.4196710698"/>
    <n v="22500"/>
    <n v="1"/>
    <n v="8117292.4111605193"/>
    <n v="22500"/>
    <n v="1"/>
    <n v="9277424.7472333554"/>
    <n v="22500"/>
    <n v="1"/>
    <n v="10603364.469442895"/>
    <n v="22500"/>
    <n v="1"/>
    <n v="12118808.951306494"/>
    <n v="58870269.43327488"/>
    <n v="57155.60139152901"/>
  </r>
  <r>
    <s v="4.3.1.5"/>
    <x v="0"/>
    <x v="0"/>
    <x v="4"/>
    <x v="4"/>
    <n v="3"/>
    <x v="29"/>
    <x v="29"/>
    <s v="Conduct research based on the research agenda (2 research pieces a year)"/>
    <s v="dissemination"/>
    <s v="Conference package high-level"/>
    <n v="35000"/>
    <m/>
    <m/>
    <n v="0"/>
    <n v="100"/>
    <n v="1"/>
    <n v="4000223.8394999993"/>
    <n v="100"/>
    <n v="1"/>
    <n v="4571940.2188868914"/>
    <n v="100"/>
    <n v="1"/>
    <n v="5225366.9303886257"/>
    <n v="100"/>
    <n v="1"/>
    <n v="5972182.1043072902"/>
    <n v="100"/>
    <n v="1"/>
    <n v="6825732.9221386546"/>
    <n v="100"/>
    <n v="1"/>
    <n v="7801274.1591997268"/>
    <n v="100"/>
    <n v="1"/>
    <n v="8916240.8200303055"/>
    <n v="43312960.994451493"/>
    <n v="42051.418441215043"/>
  </r>
  <r>
    <s v="4.3.1.5"/>
    <x v="0"/>
    <x v="0"/>
    <x v="4"/>
    <x v="4"/>
    <n v="3"/>
    <x v="29"/>
    <x v="29"/>
    <s v="Conduct research based on the research agenda (2 research pieces a year)"/>
    <s v="dissemination"/>
    <s v="A4, 500 pages, 140 gsm paper"/>
    <n v="8000"/>
    <m/>
    <m/>
    <n v="0"/>
    <n v="10"/>
    <n v="1"/>
    <n v="91433.687760000001"/>
    <n v="10"/>
    <n v="1"/>
    <n v="104501.49071741465"/>
    <n v="10"/>
    <n v="1"/>
    <n v="119436.95840888287"/>
    <n v="10"/>
    <n v="1"/>
    <n v="136507.01952702377"/>
    <n v="10"/>
    <n v="1"/>
    <n v="156016.75250602642"/>
    <n v="10"/>
    <n v="1"/>
    <n v="178314.83792456522"/>
    <n v="10"/>
    <n v="1"/>
    <n v="203799.79017212125"/>
    <n v="990010.53701603413"/>
    <n v="961.17527865634383"/>
  </r>
  <r>
    <s v="4.3.1.5"/>
    <x v="0"/>
    <x v="0"/>
    <x v="4"/>
    <x v="4"/>
    <n v="3"/>
    <x v="29"/>
    <x v="29"/>
    <s v="Conduct research based on the research agenda (2 research pieces a year)"/>
    <s v="dissemination"/>
    <s v="toner"/>
    <n v="104850"/>
    <m/>
    <m/>
    <n v="0"/>
    <n v="1"/>
    <n v="1"/>
    <n v="119835.27702044998"/>
    <n v="1"/>
    <n v="1"/>
    <n v="136962.26627151159"/>
    <n v="1"/>
    <n v="1"/>
    <n v="156537.0636146421"/>
    <n v="1"/>
    <n v="1"/>
    <n v="178909.51246760553"/>
    <n v="1"/>
    <n v="1"/>
    <n v="204479.45625321087"/>
    <n v="1"/>
    <n v="1"/>
    <n v="233703.88445488326"/>
    <n v="1"/>
    <n v="1"/>
    <n v="267105.09999433643"/>
    <n v="1297532.5600766398"/>
    <n v="1259.7403495889707"/>
  </r>
  <r>
    <s v="4.3.1.5"/>
    <x v="0"/>
    <x v="0"/>
    <x v="4"/>
    <x v="4"/>
    <n v="4"/>
    <x v="30"/>
    <x v="30"/>
    <s v="Conduct annual training on population growth research methods for MOH "/>
    <s v="conduct 5-day training in Mangochi/Salima (Academia – 5, MOH – 20)"/>
    <s v="Conference package high-level"/>
    <n v="35000"/>
    <n v="20"/>
    <n v="5"/>
    <n v="3500000"/>
    <n v="20"/>
    <n v="5"/>
    <n v="4000223.8394999993"/>
    <n v="20"/>
    <n v="5"/>
    <n v="4571940.2188868904"/>
    <n v="20"/>
    <n v="5"/>
    <n v="5225366.9303886257"/>
    <n v="20"/>
    <n v="5"/>
    <n v="5972182.1043072902"/>
    <n v="20"/>
    <n v="5"/>
    <n v="6825732.9221386556"/>
    <n v="20"/>
    <n v="5"/>
    <n v="7801274.1591997268"/>
    <n v="20"/>
    <n v="5"/>
    <n v="8916240.8200303055"/>
    <n v="46812960.994451493"/>
    <n v="45449.476693642224"/>
  </r>
  <r>
    <s v="4.3.1.5"/>
    <x v="0"/>
    <x v="0"/>
    <x v="4"/>
    <x v="4"/>
    <n v="4"/>
    <x v="30"/>
    <x v="30"/>
    <s v="Conduct annual training on population growth research methods for MOH "/>
    <s v="conduct 5-day training in Mangochi/Salima (Academia – 5, MOH – 20)"/>
    <s v="DSA (excl. lunch)"/>
    <n v="39000"/>
    <n v="20"/>
    <n v="6"/>
    <n v="4680000"/>
    <n v="20"/>
    <n v="6"/>
    <n v="5348870.7339599989"/>
    <n v="20"/>
    <n v="6"/>
    <n v="6113337.2069687573"/>
    <n v="20"/>
    <n v="6"/>
    <n v="6987062.0669196472"/>
    <n v="20"/>
    <n v="6"/>
    <n v="7985660.6423308905"/>
    <n v="20"/>
    <n v="6"/>
    <n v="9126980.0216025449"/>
    <n v="20"/>
    <n v="6"/>
    <n v="10431418.018587064"/>
    <n v="20"/>
    <n v="6"/>
    <n v="11922287.725069093"/>
    <n v="62595616.415437996"/>
    <n v="60772.443121784461"/>
  </r>
  <r>
    <s v="4.3.1.5"/>
    <x v="0"/>
    <x v="0"/>
    <x v="4"/>
    <x v="4"/>
    <n v="4"/>
    <x v="30"/>
    <x v="30"/>
    <s v="Conduct annual training on population growth research methods for MOH "/>
    <s v="conduct 5-day training in Mangochi/Salima (Academia – 5, MOH – 20)"/>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5"/>
    <x v="0"/>
    <x v="0"/>
    <x v="4"/>
    <x v="4"/>
    <n v="4"/>
    <x v="30"/>
    <x v="30"/>
    <s v="Conduct annual training on population growth research methods for MOH "/>
    <s v="conduct 5-day training in Mangochi/Salima (Academia – 5, MOH – 20)"/>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5"/>
    <x v="0"/>
    <x v="0"/>
    <x v="4"/>
    <x v="4"/>
    <n v="4"/>
    <x v="30"/>
    <x v="30"/>
    <s v="Support educational and research collaborations between academic institutions by providing health financing and demography courses"/>
    <s v="Develop concept note "/>
    <s v="Zero cost"/>
    <n v="0"/>
    <n v="0"/>
    <n v="0"/>
    <n v="0"/>
    <n v="0"/>
    <n v="0"/>
    <n v="0"/>
    <n v="0"/>
    <n v="0"/>
    <n v="0"/>
    <n v="0"/>
    <n v="0"/>
    <n v="0"/>
    <n v="0"/>
    <n v="0"/>
    <n v="0"/>
    <n v="0"/>
    <n v="0"/>
    <n v="0"/>
    <n v="0"/>
    <n v="0"/>
    <n v="0"/>
    <n v="0"/>
    <n v="0"/>
    <n v="0"/>
    <n v="0"/>
    <n v="0"/>
  </r>
  <r>
    <s v="4.3.1.5"/>
    <x v="0"/>
    <x v="0"/>
    <x v="4"/>
    <x v="4"/>
    <n v="4"/>
    <x v="30"/>
    <x v="30"/>
    <s v="Support educational and research collaborations between academic institutions by providing health financing and demography courses"/>
    <s v="conduct workshop to develop a curriculum"/>
    <s v="Conference package high-level"/>
    <n v="35000"/>
    <n v="30"/>
    <n v="5"/>
    <n v="5250000"/>
    <n v="30"/>
    <n v="5"/>
    <n v="6000335.7592499992"/>
    <n v="30"/>
    <n v="5"/>
    <n v="6857910.3283303361"/>
    <n v="30"/>
    <n v="5"/>
    <n v="7838050.3955829386"/>
    <n v="30"/>
    <n v="5"/>
    <n v="8958273.1564609352"/>
    <n v="30"/>
    <n v="5"/>
    <n v="10238599.383207982"/>
    <n v="30"/>
    <n v="5"/>
    <n v="11701911.238799591"/>
    <n v="30"/>
    <n v="5"/>
    <n v="13374361.230045456"/>
    <n v="70219441.49167724"/>
    <n v="68174.215040463343"/>
  </r>
  <r>
    <s v="4.3.1.5"/>
    <x v="0"/>
    <x v="0"/>
    <x v="4"/>
    <x v="4"/>
    <n v="4"/>
    <x v="30"/>
    <x v="30"/>
    <s v="Support educational and research collaborations between academic institutions by providing health financing and demography courses"/>
    <s v="conduct workshop to develop a curriculum"/>
    <s v="DSA (excl. lunch)"/>
    <n v="39000"/>
    <n v="30"/>
    <n v="6"/>
    <n v="7020000"/>
    <n v="30"/>
    <n v="6"/>
    <n v="8023306.1009399984"/>
    <n v="30"/>
    <n v="6"/>
    <n v="9170005.8104531355"/>
    <n v="30"/>
    <n v="6"/>
    <n v="10480593.100379471"/>
    <n v="30"/>
    <n v="6"/>
    <n v="11978490.963496335"/>
    <n v="30"/>
    <n v="6"/>
    <n v="13690470.032403817"/>
    <n v="30"/>
    <n v="6"/>
    <n v="15647127.027880596"/>
    <n v="30"/>
    <n v="6"/>
    <n v="17883431.58760364"/>
    <n v="93893424.623156995"/>
    <n v="91158.664682676696"/>
  </r>
  <r>
    <s v="4.3.1.5"/>
    <x v="0"/>
    <x v="0"/>
    <x v="4"/>
    <x v="4"/>
    <n v="4"/>
    <x v="30"/>
    <x v="30"/>
    <s v="Support educational and research collaborations between academic institutions by providing health financing and demography courses"/>
    <s v="conduct workshop to develop a curriculum"/>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1.5"/>
    <x v="0"/>
    <x v="0"/>
    <x v="4"/>
    <x v="4"/>
    <n v="4"/>
    <x v="30"/>
    <x v="30"/>
    <s v="Support educational and research collaborations between academic institutions by providing health financing and demography courses"/>
    <s v="conduct workshop to develop a curriculum"/>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5"/>
    <x v="0"/>
    <x v="0"/>
    <x v="4"/>
    <x v="4"/>
    <n v="4"/>
    <x v="30"/>
    <x v="30"/>
    <s v="Support educational and research collaborations between academic institutions by providing health financing and demography courses"/>
    <s v="Implementation of the curriculum"/>
    <s v="Zero cost"/>
    <n v="0"/>
    <n v="0"/>
    <n v="0"/>
    <n v="0"/>
    <n v="0"/>
    <n v="0"/>
    <n v="0"/>
    <n v="0"/>
    <n v="0"/>
    <n v="0"/>
    <n v="0"/>
    <n v="0"/>
    <n v="0"/>
    <n v="0"/>
    <n v="0"/>
    <n v="0"/>
    <n v="0"/>
    <n v="0"/>
    <n v="0"/>
    <n v="0"/>
    <n v="0"/>
    <n v="0"/>
    <n v="0"/>
    <n v="0"/>
    <n v="0"/>
    <n v="0"/>
    <n v="0"/>
  </r>
  <r>
    <s v="4.3.1.5"/>
    <x v="0"/>
    <x v="0"/>
    <x v="4"/>
    <x v="4"/>
    <n v="4"/>
    <x v="30"/>
    <x v="30"/>
    <s v="Engage policymakers regarding issues of population growth, family planning, and health finance"/>
    <s v="Develop a policy brief on family planning as a key health financing issue"/>
    <s v="Zero cost"/>
    <n v="0"/>
    <n v="0"/>
    <n v="0"/>
    <n v="0"/>
    <n v="0"/>
    <n v="0"/>
    <n v="0"/>
    <n v="0"/>
    <n v="0"/>
    <n v="0"/>
    <n v="0"/>
    <n v="0"/>
    <n v="0"/>
    <n v="0"/>
    <n v="0"/>
    <n v="0"/>
    <n v="0"/>
    <n v="0"/>
    <n v="0"/>
    <n v="0"/>
    <n v="0"/>
    <n v="0"/>
    <n v="0"/>
    <n v="0"/>
    <n v="0"/>
    <n v="0"/>
    <n v="0"/>
  </r>
  <r>
    <s v="4.3.1.5"/>
    <x v="0"/>
    <x v="0"/>
    <x v="4"/>
    <x v="4"/>
    <n v="4"/>
    <x v="30"/>
    <x v="30"/>
    <s v="Engage policymakers regarding issues of population growth, family planning, and health finance"/>
    <s v="Present to the parliamentary committee on Health (2-days Mangochi/Salima meeting, MPs -15, MOH – 5 )"/>
    <s v="Conference package high-level"/>
    <n v="35000"/>
    <n v="20"/>
    <n v="2"/>
    <n v="1400000"/>
    <n v="20"/>
    <n v="2"/>
    <n v="1600089.5357999997"/>
    <n v="20"/>
    <n v="2"/>
    <n v="1828776.0875547563"/>
    <n v="20"/>
    <n v="2"/>
    <n v="2090146.7721554502"/>
    <n v="20"/>
    <n v="2"/>
    <n v="2388872.8417229159"/>
    <n v="20"/>
    <n v="2"/>
    <n v="2730293.1688554622"/>
    <n v="20"/>
    <n v="2"/>
    <n v="3120509.6636798908"/>
    <n v="20"/>
    <n v="2"/>
    <n v="3566496.3280121218"/>
    <n v="18725184.397780597"/>
    <n v="18179.790677456891"/>
  </r>
  <r>
    <s v="4.3.1.5"/>
    <x v="0"/>
    <x v="0"/>
    <x v="4"/>
    <x v="4"/>
    <n v="4"/>
    <x v="30"/>
    <x v="30"/>
    <s v="Engage policymakers regarding issues of population growth, family planning, and health finance"/>
    <s v="Present to the parliamentary committee on Health (2-days Mangochi/Salima meeting, MPs -15, MOH – 5 )"/>
    <s v="DSA (excl. lunch)"/>
    <n v="39000"/>
    <n v="20"/>
    <n v="3"/>
    <n v="2340000"/>
    <n v="20"/>
    <n v="3"/>
    <n v="2674435.3669799995"/>
    <n v="20"/>
    <n v="3"/>
    <n v="3056668.6034843787"/>
    <n v="20"/>
    <n v="3"/>
    <n v="3493531.0334598236"/>
    <n v="20"/>
    <n v="3"/>
    <n v="3992830.3211654453"/>
    <n v="20"/>
    <n v="3"/>
    <n v="4563490.0108012725"/>
    <n v="20"/>
    <n v="3"/>
    <n v="5215709.009293532"/>
    <n v="20"/>
    <n v="3"/>
    <n v="5961143.8625345463"/>
    <n v="31297808.207718998"/>
    <n v="30386.221560892231"/>
  </r>
  <r>
    <s v="4.3.1.5"/>
    <x v="0"/>
    <x v="0"/>
    <x v="4"/>
    <x v="4"/>
    <n v="4"/>
    <x v="30"/>
    <x v="30"/>
    <s v="Engage policymakers regarding issues of population growth, family planning, and health finance"/>
    <s v="Present to the parliamentary committee on Health (2-days Mangochi/Salima meeting, MPs -15, MOH – 5 )"/>
    <s v="Full DSA parliamentarian"/>
    <n v="80000"/>
    <n v="30"/>
    <n v="3"/>
    <n v="7200000"/>
    <n v="30"/>
    <n v="3"/>
    <n v="8229031.8983999994"/>
    <n v="30"/>
    <n v="3"/>
    <n v="9405134.1645673197"/>
    <n v="30"/>
    <n v="3"/>
    <n v="10749326.256799459"/>
    <n v="30"/>
    <n v="3"/>
    <n v="12285631.75743214"/>
    <n v="30"/>
    <n v="3"/>
    <n v="14041507.725542378"/>
    <n v="30"/>
    <n v="3"/>
    <n v="16048335.413210869"/>
    <n v="30"/>
    <n v="3"/>
    <n v="18341981.115490913"/>
    <n v="96300948.331443071"/>
    <n v="93496.066341206868"/>
  </r>
  <r>
    <s v="4.3.1.5"/>
    <x v="0"/>
    <x v="0"/>
    <x v="4"/>
    <x v="4"/>
    <n v="4"/>
    <x v="30"/>
    <x v="30"/>
    <s v="Engage policymakers regarding issues of population growth, family planning, and health finance"/>
    <s v="Present to the parliamentary committee on Health (2-days Mangochi/Salima meeting, MPs -15, MOH – 5 )"/>
    <s v="Local running (diesel, per km)"/>
    <n v="211.42857142857142"/>
    <n v="450"/>
    <n v="2"/>
    <n v="190285.71428571426"/>
    <n v="450"/>
    <n v="2"/>
    <n v="217481.55731485711"/>
    <n v="450"/>
    <n v="2"/>
    <n v="248564.26006356487"/>
    <n v="450"/>
    <n v="2"/>
    <n v="284089.33678684279"/>
    <n v="450"/>
    <n v="2"/>
    <n v="324691.6964464208"/>
    <n v="450"/>
    <n v="2"/>
    <n v="371096.98988933425"/>
    <n v="450"/>
    <n v="2"/>
    <n v="424134.5787777158"/>
    <n v="450"/>
    <n v="2"/>
    <n v="484752.35805225978"/>
    <n v="2545096.4916167096"/>
    <n v="2470.9674675890383"/>
  </r>
  <r>
    <s v="4.3.1.5"/>
    <x v="0"/>
    <x v="0"/>
    <x v="4"/>
    <x v="4"/>
    <n v="4"/>
    <x v="30"/>
    <x v="30"/>
    <s v="Engage policymakers regarding issues of population growth, family planning, and health finance"/>
    <s v="Present to the parliamentary committee on Health (2-days Mangochi/Salima meeting, MPs -15, MOH – 5 )"/>
    <s v="Fuel for trave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1.5"/>
    <x v="0"/>
    <x v="0"/>
    <x v="4"/>
    <x v="4"/>
    <n v="4"/>
    <x v="30"/>
    <x v="30"/>
    <s v="Conduct awareness campaigns  "/>
    <s v="Engage RHD to incorporate a financial perspective into family planning awareness campaign messaging  (internal meetings)"/>
    <s v="Zero cost"/>
    <n v="0"/>
    <n v="0"/>
    <n v="0"/>
    <n v="0"/>
    <n v="0"/>
    <n v="0"/>
    <n v="0"/>
    <n v="0"/>
    <n v="0"/>
    <n v="0"/>
    <n v="0"/>
    <n v="0"/>
    <n v="0"/>
    <n v="0"/>
    <n v="0"/>
    <n v="0"/>
    <n v="0"/>
    <n v="0"/>
    <n v="0"/>
    <n v="0"/>
    <n v="0"/>
    <n v="0"/>
    <n v="0"/>
    <n v="0"/>
    <n v="0"/>
    <n v="0"/>
    <n v="0"/>
  </r>
  <r>
    <s v="4.3.1.5"/>
    <x v="0"/>
    <x v="0"/>
    <x v="4"/>
    <x v="4"/>
    <n v="4"/>
    <x v="30"/>
    <x v="30"/>
    <s v="Conduct awareness campaigns  "/>
    <s v="Create media messages (radio, tv)"/>
    <s v="Air radio adverts: 1 min on Community Radio"/>
    <n v="10682.15"/>
    <n v="30"/>
    <n v="120"/>
    <n v="38455740"/>
    <n v="30"/>
    <n v="120"/>
    <n v="43951876.546746768"/>
    <n v="30"/>
    <n v="120"/>
    <n v="50233526.958016396"/>
    <n v="30"/>
    <n v="120"/>
    <n v="57412957.737035163"/>
    <n v="30"/>
    <n v="120"/>
    <n v="65618480.638826855"/>
    <n v="30"/>
    <n v="120"/>
    <n v="74996745.875201255"/>
    <n v="30"/>
    <n v="120"/>
    <n v="85715363.067115232"/>
    <n v="30"/>
    <n v="120"/>
    <n v="97965896.786420628"/>
    <n v="514350587.6093623"/>
    <n v="499369.50253336143"/>
  </r>
  <r>
    <s v="4.3.1.5"/>
    <x v="0"/>
    <x v="0"/>
    <x v="4"/>
    <x v="4"/>
    <n v="4"/>
    <x v="30"/>
    <x v="30"/>
    <s v="Conduct awareness campaigns  "/>
    <s v="Create media messages (radio, tv)"/>
    <s v="Air radio adverts: 45 sec on National Radio"/>
    <n v="11824.04"/>
    <n v="4"/>
    <n v="120"/>
    <n v="5675539.2000000002"/>
    <n v="4"/>
    <n v="120"/>
    <n v="6486693.4885305027"/>
    <n v="4"/>
    <n v="120"/>
    <n v="7413778.8378140386"/>
    <n v="4"/>
    <n v="120"/>
    <n v="8473364.2422298063"/>
    <n v="4"/>
    <n v="120"/>
    <n v="9684386.7550098617"/>
    <n v="4"/>
    <n v="120"/>
    <n v="11068489.933808139"/>
    <n v="4"/>
    <n v="120"/>
    <n v="12650410.657281457"/>
    <n v="4"/>
    <n v="120"/>
    <n v="14458421.225920614"/>
    <n v="75911084.340594426"/>
    <n v="73700.081884072264"/>
  </r>
  <r>
    <s v="4.3.1.5"/>
    <x v="0"/>
    <x v="0"/>
    <x v="4"/>
    <x v="4"/>
    <n v="4"/>
    <x v="30"/>
    <x v="30"/>
    <s v="Conduct awareness campaigns  "/>
    <s v="Create media messages (radio, tv)"/>
    <s v="TV: 1min on air"/>
    <n v="70133.84"/>
    <n v="4"/>
    <n v="120"/>
    <n v="33664243.199999996"/>
    <n v="4"/>
    <n v="120"/>
    <n v="38475573.767818786"/>
    <n v="4"/>
    <n v="120"/>
    <n v="43974544.978419863"/>
    <n v="4"/>
    <n v="120"/>
    <n v="50259435.186811469"/>
    <n v="4"/>
    <n v="120"/>
    <n v="57442568.798310958"/>
    <n v="4"/>
    <n v="120"/>
    <n v="65652323.745463528"/>
    <n v="4"/>
    <n v="120"/>
    <n v="75035425.875764325"/>
    <n v="4"/>
    <n v="120"/>
    <n v="85759571.255790755"/>
    <n v="450263686.80837971"/>
    <n v="437149.21049357252"/>
  </r>
  <r>
    <s v="4.3.1.6"/>
    <x v="0"/>
    <x v="0"/>
    <x v="5"/>
    <x v="5"/>
    <n v="1"/>
    <x v="31"/>
    <x v="31"/>
    <s v="Conduct 2 PPP feasibility assessments per year"/>
    <s v="PPP feasibility assessment"/>
    <m/>
    <n v="2060000000"/>
    <n v="2"/>
    <n v="2"/>
    <n v="8240000000"/>
    <m/>
    <m/>
    <n v="0"/>
    <m/>
    <m/>
    <n v="0"/>
    <m/>
    <m/>
    <n v="0"/>
    <m/>
    <m/>
    <n v="0"/>
    <m/>
    <m/>
    <n v="0"/>
    <n v="2"/>
    <n v="2"/>
    <n v="18366428306.230217"/>
    <m/>
    <m/>
    <n v="0"/>
    <n v="26606428306.230217"/>
    <n v="25831483.792456523"/>
  </r>
  <r>
    <s v="4.3.1.6"/>
    <x v="0"/>
    <x v="0"/>
    <x v="5"/>
    <x v="5"/>
    <n v="1"/>
    <x v="31"/>
    <x v="31"/>
    <s v="Conduct 2 PPP feasibility assessments per year"/>
    <s v="Identify PPP Proposal"/>
    <s v="Conference package high-level"/>
    <n v="35000"/>
    <n v="30"/>
    <n v="10"/>
    <n v="10500000"/>
    <m/>
    <m/>
    <n v="0"/>
    <m/>
    <m/>
    <n v="0"/>
    <m/>
    <m/>
    <n v="0"/>
    <m/>
    <m/>
    <n v="0"/>
    <m/>
    <m/>
    <n v="0"/>
    <n v="30"/>
    <n v="10"/>
    <n v="23403822.477599181"/>
    <m/>
    <m/>
    <n v="0"/>
    <n v="33903822.477599181"/>
    <n v="32916.332502523474"/>
  </r>
  <r>
    <s v="4.3.1.6"/>
    <x v="0"/>
    <x v="0"/>
    <x v="5"/>
    <x v="5"/>
    <n v="1"/>
    <x v="31"/>
    <x v="31"/>
    <s v="Conduct 2 PPP feasibility assessments per year"/>
    <s v="Draft Concept Paper"/>
    <s v="Zero Cost"/>
    <n v="0"/>
    <n v="0"/>
    <n v="0"/>
    <n v="0"/>
    <m/>
    <m/>
    <n v="0"/>
    <m/>
    <m/>
    <n v="0"/>
    <m/>
    <m/>
    <n v="0"/>
    <m/>
    <m/>
    <n v="0"/>
    <m/>
    <m/>
    <n v="0"/>
    <n v="0"/>
    <n v="0"/>
    <n v="0"/>
    <m/>
    <m/>
    <n v="0"/>
    <n v="0"/>
    <n v="0"/>
  </r>
  <r>
    <s v="4.3.1.6"/>
    <x v="0"/>
    <x v="0"/>
    <x v="5"/>
    <x v="5"/>
    <n v="1"/>
    <x v="31"/>
    <x v="31"/>
    <s v="Conduct 2 PPP feasibility assessments per year"/>
    <s v="Present to PS Committee on PPP"/>
    <s v="Conference package high-level"/>
    <n v="35000"/>
    <n v="60"/>
    <n v="2"/>
    <n v="4200000"/>
    <m/>
    <m/>
    <n v="0"/>
    <m/>
    <m/>
    <n v="0"/>
    <m/>
    <m/>
    <n v="0"/>
    <m/>
    <m/>
    <n v="0"/>
    <m/>
    <m/>
    <n v="0"/>
    <n v="60"/>
    <n v="2"/>
    <n v="9361528.9910396729"/>
    <m/>
    <m/>
    <n v="0"/>
    <n v="13561528.991039673"/>
    <n v="13166.533001009391"/>
  </r>
  <r>
    <s v="4.3.1.6"/>
    <x v="0"/>
    <x v="0"/>
    <x v="5"/>
    <x v="5"/>
    <n v="1"/>
    <x v="31"/>
    <x v="31"/>
    <s v="Conduct 2 PPP feasibility assessments per year"/>
    <s v="Cabinet Meeting"/>
    <s v="Conference package high-level"/>
    <n v="35000"/>
    <n v="60"/>
    <n v="2"/>
    <n v="4200000"/>
    <m/>
    <m/>
    <n v="0"/>
    <m/>
    <m/>
    <n v="0"/>
    <m/>
    <m/>
    <n v="0"/>
    <m/>
    <m/>
    <n v="0"/>
    <m/>
    <m/>
    <n v="0"/>
    <n v="60"/>
    <n v="2"/>
    <n v="9361528.9910396729"/>
    <m/>
    <m/>
    <n v="0"/>
    <n v="13561528.991039673"/>
    <n v="13166.533001009391"/>
  </r>
  <r>
    <s v="4.3.1.6"/>
    <x v="0"/>
    <x v="0"/>
    <x v="5"/>
    <x v="5"/>
    <n v="1"/>
    <x v="31"/>
    <x v="31"/>
    <s v="Conduct 2 PPP feasibility assessments per year"/>
    <s v="Develop TORs and RFP Documents"/>
    <s v="Zero Cost"/>
    <n v="0"/>
    <n v="0"/>
    <n v="0"/>
    <n v="0"/>
    <m/>
    <m/>
    <n v="0"/>
    <m/>
    <m/>
    <n v="0"/>
    <m/>
    <m/>
    <n v="0"/>
    <m/>
    <m/>
    <n v="0"/>
    <m/>
    <m/>
    <n v="0"/>
    <n v="0"/>
    <n v="0"/>
    <n v="0"/>
    <m/>
    <m/>
    <n v="0"/>
    <n v="0"/>
    <n v="0"/>
  </r>
  <r>
    <s v="4.3.1.6"/>
    <x v="0"/>
    <x v="0"/>
    <x v="5"/>
    <x v="5"/>
    <n v="1"/>
    <x v="31"/>
    <x v="31"/>
    <s v="Conduct 2 PPP feasibility assessments per year"/>
    <s v="Evaluate Expression of Interest"/>
    <s v="Conference package high-level"/>
    <n v="35000"/>
    <n v="15"/>
    <n v="6"/>
    <n v="3150000"/>
    <m/>
    <m/>
    <n v="0"/>
    <m/>
    <m/>
    <n v="0"/>
    <m/>
    <m/>
    <n v="0"/>
    <m/>
    <m/>
    <n v="0"/>
    <m/>
    <m/>
    <n v="0"/>
    <n v="15"/>
    <n v="6"/>
    <n v="7021146.7432797551"/>
    <m/>
    <m/>
    <n v="0"/>
    <n v="10171146.743279755"/>
    <n v="9874.8997507570439"/>
  </r>
  <r>
    <s v="4.3.1.6"/>
    <x v="0"/>
    <x v="0"/>
    <x v="5"/>
    <x v="5"/>
    <n v="1"/>
    <x v="31"/>
    <x v="31"/>
    <s v="Conduct 2 PPP feasibility assessments per year"/>
    <s v="Evaluate Expression of Interest"/>
    <s v="DSA (excl. lunch)"/>
    <n v="39000"/>
    <m/>
    <n v="8"/>
    <n v="0"/>
    <m/>
    <m/>
    <n v="0"/>
    <m/>
    <m/>
    <n v="0"/>
    <m/>
    <m/>
    <n v="0"/>
    <m/>
    <m/>
    <n v="0"/>
    <m/>
    <m/>
    <n v="0"/>
    <m/>
    <n v="8"/>
    <n v="0"/>
    <m/>
    <m/>
    <n v="0"/>
    <n v="0"/>
    <n v="0"/>
  </r>
  <r>
    <s v="4.3.1.6"/>
    <x v="0"/>
    <x v="0"/>
    <x v="5"/>
    <x v="5"/>
    <n v="1"/>
    <x v="31"/>
    <x v="31"/>
    <s v="Conduct 2 PPP feasibility assessments per year"/>
    <s v="Evaluate Expression of Interest"/>
    <s v="Local running (diesel, per km)"/>
    <n v="285.60000000000002"/>
    <n v="250"/>
    <n v="6"/>
    <n v="428400"/>
    <m/>
    <m/>
    <n v="0"/>
    <m/>
    <m/>
    <n v="0"/>
    <m/>
    <m/>
    <n v="0"/>
    <m/>
    <m/>
    <n v="0"/>
    <m/>
    <m/>
    <n v="0"/>
    <n v="250"/>
    <n v="6"/>
    <n v="954875.95708604669"/>
    <m/>
    <m/>
    <n v="0"/>
    <n v="1383275.9570860467"/>
    <n v="1342.9863661029578"/>
  </r>
  <r>
    <s v="4.3.1.6"/>
    <x v="0"/>
    <x v="0"/>
    <x v="5"/>
    <x v="5"/>
    <n v="1"/>
    <x v="31"/>
    <x v="31"/>
    <s v="Conduct 2 PPP feasibility assessments per year"/>
    <s v="Evaluate Expression of Interest"/>
    <s v="Fuel for traveling participants"/>
    <n v="285.60000000000002"/>
    <n v="1350"/>
    <n v="2"/>
    <n v="771120.00000000012"/>
    <m/>
    <m/>
    <n v="0"/>
    <m/>
    <m/>
    <n v="0"/>
    <m/>
    <m/>
    <n v="0"/>
    <m/>
    <m/>
    <n v="0"/>
    <m/>
    <m/>
    <n v="0"/>
    <n v="1350"/>
    <n v="2"/>
    <n v="1718776.722754884"/>
    <m/>
    <m/>
    <n v="0"/>
    <n v="2489896.722754884"/>
    <n v="2417.3754589853243"/>
  </r>
  <r>
    <s v="4.3.1.6"/>
    <x v="0"/>
    <x v="0"/>
    <x v="5"/>
    <x v="5"/>
    <n v="1"/>
    <x v="31"/>
    <x v="31"/>
    <s v="Conduct 2 PPP feasibility assessments per year"/>
    <s v="Review of RFP Documents before sending them to shortlisted candidates"/>
    <s v="Conference package high-level"/>
    <n v="35000"/>
    <n v="15"/>
    <n v="2"/>
    <n v="1050000"/>
    <m/>
    <m/>
    <n v="0"/>
    <m/>
    <m/>
    <n v="0"/>
    <m/>
    <m/>
    <n v="0"/>
    <m/>
    <m/>
    <n v="0"/>
    <m/>
    <m/>
    <n v="0"/>
    <n v="15"/>
    <n v="2"/>
    <n v="2340382.2477599182"/>
    <m/>
    <m/>
    <n v="0"/>
    <n v="3390382.2477599182"/>
    <n v="3291.6332502523478"/>
  </r>
  <r>
    <s v="4.3.1.6"/>
    <x v="0"/>
    <x v="0"/>
    <x v="5"/>
    <x v="5"/>
    <n v="1"/>
    <x v="31"/>
    <x v="31"/>
    <s v="Conduct 2 PPP feasibility assessments per year"/>
    <s v="Review of RFP Documents before sending them to shortlisted candidates"/>
    <s v="DSA (excl. lunch)"/>
    <n v="39000"/>
    <n v="15"/>
    <n v="3"/>
    <n v="1755000"/>
    <m/>
    <m/>
    <n v="0"/>
    <m/>
    <m/>
    <n v="0"/>
    <m/>
    <m/>
    <n v="0"/>
    <m/>
    <m/>
    <n v="0"/>
    <m/>
    <m/>
    <n v="0"/>
    <n v="15"/>
    <n v="3"/>
    <n v="3911781.756970149"/>
    <m/>
    <m/>
    <n v="0"/>
    <n v="5666781.7569701485"/>
    <n v="5501.7298611360666"/>
  </r>
  <r>
    <s v="4.3.1.6"/>
    <x v="0"/>
    <x v="0"/>
    <x v="5"/>
    <x v="5"/>
    <n v="1"/>
    <x v="31"/>
    <x v="31"/>
    <s v="Conduct 2 PPP feasibility assessments per year"/>
    <s v="Review of RFP Documents before sending them to shortlisted candidates"/>
    <s v="Local running (diesel, per km)"/>
    <n v="285.60000000000002"/>
    <n v="250"/>
    <n v="2"/>
    <n v="142800"/>
    <m/>
    <m/>
    <n v="0"/>
    <m/>
    <m/>
    <n v="0"/>
    <m/>
    <m/>
    <n v="0"/>
    <m/>
    <m/>
    <n v="0"/>
    <m/>
    <m/>
    <n v="0"/>
    <n v="250"/>
    <n v="2"/>
    <n v="318291.98569534888"/>
    <m/>
    <m/>
    <n v="0"/>
    <n v="461091.98569534888"/>
    <n v="447.66212203431928"/>
  </r>
  <r>
    <s v="4.3.1.6"/>
    <x v="0"/>
    <x v="0"/>
    <x v="5"/>
    <x v="5"/>
    <n v="1"/>
    <x v="31"/>
    <x v="31"/>
    <s v="Conduct 2 PPP feasibility assessments per year"/>
    <s v="Review of RFP Documents before sending them to shortlisted candidates"/>
    <s v="Fuel for traveling participants"/>
    <n v="285.60000000000002"/>
    <n v="1350"/>
    <n v="1"/>
    <n v="385560.00000000006"/>
    <m/>
    <m/>
    <n v="0"/>
    <m/>
    <m/>
    <n v="0"/>
    <m/>
    <m/>
    <n v="0"/>
    <m/>
    <m/>
    <n v="0"/>
    <m/>
    <m/>
    <n v="0"/>
    <n v="1350"/>
    <n v="1"/>
    <n v="859388.36137744202"/>
    <m/>
    <m/>
    <n v="0"/>
    <n v="1244948.361377442"/>
    <n v="1208.6877294926621"/>
  </r>
  <r>
    <s v="4.3.1.6"/>
    <x v="0"/>
    <x v="0"/>
    <x v="5"/>
    <x v="5"/>
    <n v="1"/>
    <x v="31"/>
    <x v="31"/>
    <s v="Conduct 2 PPP feasibility assessments per year"/>
    <s v="Pre-proposal Meeting"/>
    <s v="Conference package (zero cost)"/>
    <n v="0"/>
    <n v="12"/>
    <n v="1"/>
    <n v="0"/>
    <m/>
    <m/>
    <n v="0"/>
    <m/>
    <m/>
    <n v="0"/>
    <m/>
    <m/>
    <n v="0"/>
    <m/>
    <m/>
    <n v="0"/>
    <m/>
    <m/>
    <n v="0"/>
    <n v="12"/>
    <n v="1"/>
    <n v="0"/>
    <m/>
    <m/>
    <n v="0"/>
    <n v="0"/>
    <n v="0"/>
  </r>
  <r>
    <s v="4.3.1.6"/>
    <x v="0"/>
    <x v="0"/>
    <x v="5"/>
    <x v="5"/>
    <n v="1"/>
    <x v="31"/>
    <x v="31"/>
    <s v="Conduct 2 PPP feasibility assessments per year"/>
    <s v="Pre-proposal Meeting"/>
    <s v="Full DSA"/>
    <n v="45000"/>
    <n v="12"/>
    <n v="2"/>
    <n v="1080000"/>
    <m/>
    <m/>
    <n v="0"/>
    <m/>
    <m/>
    <n v="0"/>
    <m/>
    <m/>
    <n v="0"/>
    <m/>
    <m/>
    <n v="0"/>
    <m/>
    <m/>
    <n v="0"/>
    <n v="12"/>
    <n v="2"/>
    <n v="2407250.3119816305"/>
    <m/>
    <m/>
    <n v="0"/>
    <n v="3487250.3119816305"/>
    <n v="3385.6799145452724"/>
  </r>
  <r>
    <s v="4.3.1.6"/>
    <x v="0"/>
    <x v="0"/>
    <x v="5"/>
    <x v="5"/>
    <n v="1"/>
    <x v="31"/>
    <x v="31"/>
    <s v="Conduct 2 PPP feasibility assessments per year"/>
    <s v="Pre-proposal Meeting"/>
    <s v="Local running (diesel, per km)"/>
    <n v="285.60000000000002"/>
    <n v="250"/>
    <n v="2"/>
    <n v="142800"/>
    <m/>
    <m/>
    <n v="0"/>
    <m/>
    <m/>
    <n v="0"/>
    <m/>
    <m/>
    <n v="0"/>
    <m/>
    <m/>
    <n v="0"/>
    <m/>
    <m/>
    <n v="0"/>
    <n v="250"/>
    <n v="2"/>
    <n v="318291.98569534888"/>
    <m/>
    <m/>
    <n v="0"/>
    <n v="461091.98569534888"/>
    <n v="447.66212203431928"/>
  </r>
  <r>
    <s v="4.3.1.6"/>
    <x v="0"/>
    <x v="0"/>
    <x v="5"/>
    <x v="5"/>
    <n v="1"/>
    <x v="31"/>
    <x v="31"/>
    <s v="Conduct 2 PPP feasibility assessments per year"/>
    <s v="Pre-proposal Meeting"/>
    <s v="Fuel for traveling participants"/>
    <n v="285.60000000000002"/>
    <n v="1350"/>
    <n v="1"/>
    <n v="385560.00000000006"/>
    <m/>
    <m/>
    <n v="0"/>
    <m/>
    <m/>
    <n v="0"/>
    <m/>
    <m/>
    <n v="0"/>
    <m/>
    <m/>
    <n v="0"/>
    <m/>
    <m/>
    <n v="0"/>
    <n v="1350"/>
    <n v="1"/>
    <n v="859388.36137744202"/>
    <m/>
    <m/>
    <n v="0"/>
    <n v="1244948.361377442"/>
    <n v="1208.6877294926621"/>
  </r>
  <r>
    <s v="4.3.1.6"/>
    <x v="0"/>
    <x v="0"/>
    <x v="5"/>
    <x v="5"/>
    <n v="1"/>
    <x v="31"/>
    <x v="31"/>
    <s v="Conduct 2 PPP feasibility assessments per year"/>
    <s v="Review of proposals"/>
    <s v="Conference package high-level"/>
    <n v="35000"/>
    <n v="20"/>
    <n v="2"/>
    <n v="1400000"/>
    <m/>
    <m/>
    <n v="0"/>
    <m/>
    <m/>
    <n v="0"/>
    <m/>
    <m/>
    <n v="0"/>
    <m/>
    <m/>
    <n v="0"/>
    <m/>
    <m/>
    <n v="0"/>
    <n v="20"/>
    <n v="2"/>
    <n v="3120509.6636798908"/>
    <m/>
    <m/>
    <n v="0"/>
    <n v="4520509.6636798903"/>
    <n v="4388.8443336697965"/>
  </r>
  <r>
    <s v="4.3.1.6"/>
    <x v="0"/>
    <x v="0"/>
    <x v="5"/>
    <x v="5"/>
    <n v="1"/>
    <x v="31"/>
    <x v="31"/>
    <s v="Conduct 2 PPP feasibility assessments per year"/>
    <s v="Review of proposals"/>
    <s v="DSA (excl. lunch)"/>
    <n v="39000"/>
    <n v="20"/>
    <n v="3"/>
    <n v="2340000"/>
    <m/>
    <m/>
    <n v="0"/>
    <m/>
    <m/>
    <n v="0"/>
    <m/>
    <m/>
    <n v="0"/>
    <m/>
    <m/>
    <n v="0"/>
    <m/>
    <m/>
    <n v="0"/>
    <n v="20"/>
    <n v="3"/>
    <n v="5215709.009293532"/>
    <m/>
    <m/>
    <n v="0"/>
    <n v="7555709.009293532"/>
    <n v="7335.6398148480894"/>
  </r>
  <r>
    <s v="4.3.1.6"/>
    <x v="0"/>
    <x v="0"/>
    <x v="5"/>
    <x v="5"/>
    <n v="1"/>
    <x v="31"/>
    <x v="31"/>
    <s v="Conduct 2 PPP feasibility assessments per year"/>
    <s v="Review of proposals"/>
    <s v="Local running (diesel, per km)"/>
    <n v="285.60000000000002"/>
    <n v="250"/>
    <n v="2"/>
    <n v="142800"/>
    <m/>
    <m/>
    <n v="0"/>
    <m/>
    <m/>
    <n v="0"/>
    <m/>
    <m/>
    <n v="0"/>
    <m/>
    <m/>
    <n v="0"/>
    <m/>
    <m/>
    <n v="0"/>
    <n v="250"/>
    <n v="2"/>
    <n v="318291.98569534888"/>
    <m/>
    <m/>
    <n v="0"/>
    <n v="461091.98569534888"/>
    <n v="447.66212203431928"/>
  </r>
  <r>
    <s v="4.3.1.6"/>
    <x v="0"/>
    <x v="0"/>
    <x v="5"/>
    <x v="5"/>
    <n v="1"/>
    <x v="31"/>
    <x v="31"/>
    <s v="Conduct 2 PPP feasibility assessments per year"/>
    <s v="Review of proposals"/>
    <s v="Fuel for traveling participants"/>
    <n v="285.60000000000002"/>
    <n v="1350"/>
    <n v="1"/>
    <n v="385560.00000000006"/>
    <m/>
    <m/>
    <n v="0"/>
    <m/>
    <m/>
    <n v="0"/>
    <m/>
    <m/>
    <n v="0"/>
    <m/>
    <m/>
    <n v="0"/>
    <m/>
    <m/>
    <n v="0"/>
    <n v="1350"/>
    <n v="1"/>
    <n v="859388.36137744202"/>
    <m/>
    <m/>
    <n v="0"/>
    <n v="1244948.361377442"/>
    <n v="1208.6877294926621"/>
  </r>
  <r>
    <s v="4.3.1.6"/>
    <x v="0"/>
    <x v="0"/>
    <x v="5"/>
    <x v="5"/>
    <n v="1"/>
    <x v="31"/>
    <x v="31"/>
    <s v="Conduct Value for Money Assessment"/>
    <s v="Develop a concept note "/>
    <s v="Zero cost"/>
    <n v="0"/>
    <n v="0"/>
    <n v="0"/>
    <n v="0"/>
    <m/>
    <m/>
    <n v="0"/>
    <m/>
    <m/>
    <n v="0"/>
    <m/>
    <m/>
    <n v="0"/>
    <m/>
    <m/>
    <n v="0"/>
    <m/>
    <m/>
    <n v="0"/>
    <n v="0"/>
    <n v="0"/>
    <n v="0"/>
    <m/>
    <m/>
    <n v="0"/>
    <n v="0"/>
    <n v="0"/>
  </r>
  <r>
    <s v="4.3.1.6"/>
    <x v="0"/>
    <x v="0"/>
    <x v="5"/>
    <x v="5"/>
    <n v="1"/>
    <x v="31"/>
    <x v="31"/>
    <s v="Conduct Value for Money (VfM) Assessment"/>
    <s v="Conduct 3 meetings to set up VfM taskforce"/>
    <s v="Zero cost"/>
    <n v="0"/>
    <n v="0"/>
    <n v="0"/>
    <n v="0"/>
    <m/>
    <m/>
    <n v="0"/>
    <m/>
    <m/>
    <n v="0"/>
    <m/>
    <m/>
    <n v="0"/>
    <m/>
    <m/>
    <n v="0"/>
    <m/>
    <m/>
    <n v="0"/>
    <n v="0"/>
    <n v="0"/>
    <n v="0"/>
    <m/>
    <m/>
    <n v="0"/>
    <n v="0"/>
    <n v="0"/>
  </r>
  <r>
    <s v="4.3.1.6"/>
    <x v="0"/>
    <x v="0"/>
    <x v="5"/>
    <x v="5"/>
    <n v="1"/>
    <x v="31"/>
    <x v="31"/>
    <s v="Conduct Value for Money Assessment"/>
    <s v="Develop ToRs for the VfM consultant"/>
    <s v="Conference package high-level"/>
    <n v="35000"/>
    <n v="10"/>
    <n v="2"/>
    <n v="700000"/>
    <m/>
    <m/>
    <n v="0"/>
    <m/>
    <m/>
    <n v="0"/>
    <m/>
    <m/>
    <n v="0"/>
    <m/>
    <m/>
    <n v="0"/>
    <m/>
    <m/>
    <n v="0"/>
    <n v="10"/>
    <n v="2"/>
    <n v="1560254.8318399454"/>
    <m/>
    <m/>
    <n v="0"/>
    <n v="2260254.8318399452"/>
    <n v="2194.4221668348982"/>
  </r>
  <r>
    <s v="4.3.1.6"/>
    <x v="0"/>
    <x v="0"/>
    <x v="5"/>
    <x v="5"/>
    <n v="1"/>
    <x v="31"/>
    <x v="31"/>
    <s v="Conduct Value for Money Assessment"/>
    <s v="Recruitment of a consultant"/>
    <s v="Newspaper advert (full)"/>
    <n v="391991.03749999998"/>
    <n v="2"/>
    <n v="2"/>
    <n v="1567964.15"/>
    <m/>
    <m/>
    <n v="0"/>
    <m/>
    <m/>
    <n v="0"/>
    <m/>
    <m/>
    <n v="0"/>
    <m/>
    <m/>
    <n v="0"/>
    <m/>
    <m/>
    <n v="0"/>
    <n v="2"/>
    <n v="2"/>
    <n v="3494890.915984733"/>
    <m/>
    <m/>
    <n v="0"/>
    <n v="5062855.0659847334"/>
    <n v="4915.3932679463433"/>
  </r>
  <r>
    <s v="4.3.1.6"/>
    <x v="0"/>
    <x v="0"/>
    <x v="5"/>
    <x v="5"/>
    <n v="1"/>
    <x v="31"/>
    <x v="31"/>
    <s v="Conduct Value for Money Assessment"/>
    <s v="Recruitment of a consultant"/>
    <s v="Local consultant fee - High level"/>
    <n v="515000"/>
    <n v="1"/>
    <n v="25"/>
    <n v="12875000"/>
    <m/>
    <m/>
    <n v="0"/>
    <m/>
    <m/>
    <n v="0"/>
    <m/>
    <m/>
    <n v="0"/>
    <m/>
    <m/>
    <n v="0"/>
    <m/>
    <m/>
    <n v="0"/>
    <n v="1"/>
    <n v="25"/>
    <n v="28697544.228484713"/>
    <m/>
    <m/>
    <n v="0"/>
    <n v="41572544.228484713"/>
    <n v="40361.693425713311"/>
  </r>
  <r>
    <s v="4.3.1.6"/>
    <x v="0"/>
    <x v="0"/>
    <x v="5"/>
    <x v="5"/>
    <n v="1"/>
    <x v="31"/>
    <x v="31"/>
    <s v="Conduct Value for Money Assessment"/>
    <s v="Design data collection tool"/>
    <s v="Zero cost"/>
    <n v="0"/>
    <m/>
    <m/>
    <n v="0"/>
    <m/>
    <m/>
    <n v="0"/>
    <m/>
    <m/>
    <n v="0"/>
    <m/>
    <m/>
    <n v="0"/>
    <m/>
    <m/>
    <n v="0"/>
    <m/>
    <m/>
    <n v="0"/>
    <m/>
    <m/>
    <n v="0"/>
    <m/>
    <m/>
    <n v="0"/>
    <n v="0"/>
    <n v="0"/>
  </r>
  <r>
    <s v="4.3.1.6"/>
    <x v="0"/>
    <x v="0"/>
    <x v="5"/>
    <x v="5"/>
    <n v="1"/>
    <x v="31"/>
    <x v="31"/>
    <s v="Conduct Value for Money Assessment"/>
    <s v="Conduct training for research assistants (1 consultant, 5 supervisors, 20 data collectors)"/>
    <s v="Conference package high-level"/>
    <n v="35000"/>
    <n v="26"/>
    <n v="5"/>
    <n v="4550000"/>
    <m/>
    <m/>
    <n v="0"/>
    <m/>
    <m/>
    <n v="0"/>
    <m/>
    <m/>
    <n v="0"/>
    <m/>
    <m/>
    <n v="0"/>
    <m/>
    <m/>
    <n v="0"/>
    <n v="26"/>
    <n v="5"/>
    <n v="10141656.406959645"/>
    <m/>
    <m/>
    <n v="0"/>
    <n v="14691656.406959645"/>
    <n v="14263.74408442684"/>
  </r>
  <r>
    <s v="4.3.1.6"/>
    <x v="0"/>
    <x v="0"/>
    <x v="5"/>
    <x v="5"/>
    <n v="1"/>
    <x v="31"/>
    <x v="31"/>
    <s v="Conduct Value for Money Assessment"/>
    <s v="Conduct training for research assistants (1 consultant, 5 supervisors, 20 data collectors)"/>
    <s v="DSA (excl. lunch)"/>
    <n v="39000"/>
    <n v="26"/>
    <n v="6"/>
    <n v="6084000"/>
    <m/>
    <m/>
    <n v="0"/>
    <m/>
    <m/>
    <n v="0"/>
    <m/>
    <m/>
    <n v="0"/>
    <m/>
    <m/>
    <n v="0"/>
    <m/>
    <m/>
    <n v="0"/>
    <n v="26"/>
    <n v="6"/>
    <n v="13560843.424163185"/>
    <m/>
    <m/>
    <n v="0"/>
    <n v="19644843.424163185"/>
    <n v="19072.663518605033"/>
  </r>
  <r>
    <s v="4.3.1.6"/>
    <x v="0"/>
    <x v="0"/>
    <x v="5"/>
    <x v="5"/>
    <n v="1"/>
    <x v="31"/>
    <x v="31"/>
    <s v="Conduct Value for Money Assessment"/>
    <s v="Conduct training for research assistants (1 consultant, 5 supervisors, 20 data collectors)"/>
    <s v="Fuel for travelling participants (9 cars to sengabay and back to Lilongwe)"/>
    <n v="211.43"/>
    <n v="2430"/>
    <n v="1"/>
    <n v="513774.9"/>
    <m/>
    <m/>
    <n v="0"/>
    <m/>
    <m/>
    <n v="0"/>
    <m/>
    <m/>
    <n v="0"/>
    <m/>
    <m/>
    <n v="0"/>
    <m/>
    <m/>
    <n v="0"/>
    <n v="2430"/>
    <n v="1"/>
    <n v="1145171.1002901213"/>
    <m/>
    <m/>
    <n v="0"/>
    <n v="1658946.0002901214"/>
    <n v="1610.6271847476908"/>
  </r>
  <r>
    <s v="4.3.1.6"/>
    <x v="0"/>
    <x v="0"/>
    <x v="5"/>
    <x v="5"/>
    <n v="1"/>
    <x v="31"/>
    <x v="31"/>
    <s v="Conduct Value for Money Assessment"/>
    <s v="Conduct training for research assistants (1 consultant, 5 supervisors, 20 data collectors)"/>
    <s v="Local running (diesel, per km) (9 cars from sengabay to Salima Boma and back for 5 days)"/>
    <n v="285.60000000000002"/>
    <n v="450"/>
    <n v="5"/>
    <n v="642600.00000000012"/>
    <m/>
    <m/>
    <n v="0"/>
    <m/>
    <m/>
    <n v="0"/>
    <m/>
    <m/>
    <n v="0"/>
    <m/>
    <m/>
    <n v="0"/>
    <m/>
    <m/>
    <n v="0"/>
    <n v="450"/>
    <n v="5"/>
    <n v="1432313.93562907"/>
    <m/>
    <m/>
    <n v="0"/>
    <n v="2074913.9356290703"/>
    <n v="2014.4795491544371"/>
  </r>
  <r>
    <s v="4.3.1.6"/>
    <x v="0"/>
    <x v="0"/>
    <x v="5"/>
    <x v="5"/>
    <n v="1"/>
    <x v="31"/>
    <x v="31"/>
    <s v="Conduct Value for Money Assessment"/>
    <s v="Conduct training for research assistants "/>
    <s v="Toner"/>
    <n v="104850"/>
    <n v="1"/>
    <n v="1"/>
    <n v="104850"/>
    <m/>
    <m/>
    <n v="0"/>
    <m/>
    <m/>
    <n v="0"/>
    <m/>
    <m/>
    <n v="0"/>
    <m/>
    <m/>
    <n v="0"/>
    <m/>
    <m/>
    <n v="0"/>
    <n v="1"/>
    <n v="1"/>
    <n v="233703.88445488326"/>
    <m/>
    <m/>
    <n v="0"/>
    <n v="338553.88445488329"/>
    <n v="328.69309170377016"/>
  </r>
  <r>
    <s v="4.3.1.6"/>
    <x v="0"/>
    <x v="0"/>
    <x v="5"/>
    <x v="5"/>
    <n v="1"/>
    <x v="31"/>
    <x v="31"/>
    <s v="Conduct Value for Money Assessment"/>
    <s v="Conduct training for research assistants"/>
    <s v="A4, 500 pages, 140 gsm paper (10 reams of paper)"/>
    <n v="8000"/>
    <n v="10"/>
    <n v="1"/>
    <n v="80000"/>
    <m/>
    <m/>
    <n v="0"/>
    <m/>
    <m/>
    <n v="0"/>
    <m/>
    <m/>
    <n v="0"/>
    <m/>
    <m/>
    <n v="0"/>
    <m/>
    <m/>
    <n v="0"/>
    <n v="10"/>
    <n v="1"/>
    <n v="178314.83792456522"/>
    <m/>
    <m/>
    <n v="0"/>
    <n v="258314.83792456522"/>
    <n v="250.79110478113128"/>
  </r>
  <r>
    <s v="4.3.1.6"/>
    <x v="0"/>
    <x v="0"/>
    <x v="5"/>
    <x v="5"/>
    <n v="1"/>
    <x v="31"/>
    <x v="31"/>
    <s v="Conduct Value for Money Assessment"/>
    <s v="Pre-testing of the data collection tool"/>
    <s v="Fuel reimbursement for data collection teams (diesel, per km)- (9 cars to Mchinji to pretest the data collection tool for 2 days at 211.43 per km)"/>
    <n v="285.60000000000002"/>
    <n v="3240"/>
    <n v="1"/>
    <n v="925344.00000000012"/>
    <m/>
    <m/>
    <n v="0"/>
    <m/>
    <m/>
    <n v="0"/>
    <m/>
    <m/>
    <n v="0"/>
    <m/>
    <m/>
    <n v="0"/>
    <m/>
    <m/>
    <n v="0"/>
    <n v="3240"/>
    <n v="1"/>
    <n v="2062532.0673058608"/>
    <m/>
    <m/>
    <n v="0"/>
    <n v="2987876.067305861"/>
    <n v="2900.8505507823893"/>
  </r>
  <r>
    <s v="4.3.1.6"/>
    <x v="0"/>
    <x v="0"/>
    <x v="5"/>
    <x v="5"/>
    <n v="1"/>
    <x v="31"/>
    <x v="31"/>
    <s v="Conduct Value for Money Assessment"/>
    <s v="Pre-testing of the data collection tool"/>
    <s v="Local running (diesel, per km)- (9 cars to Mchinji to pretest the data collection tool for 2 days at 211.43 per km)"/>
    <n v="285.60000000000002"/>
    <n v="900"/>
    <n v="2"/>
    <n v="514080.00000000006"/>
    <m/>
    <m/>
    <n v="0"/>
    <m/>
    <m/>
    <n v="0"/>
    <m/>
    <m/>
    <n v="0"/>
    <m/>
    <m/>
    <n v="0"/>
    <m/>
    <m/>
    <n v="0"/>
    <n v="900"/>
    <n v="2"/>
    <n v="1145851.148503256"/>
    <m/>
    <m/>
    <n v="0"/>
    <n v="1659931.148503256"/>
    <n v="1611.5836393235495"/>
  </r>
  <r>
    <s v="4.3.1.6"/>
    <x v="0"/>
    <x v="0"/>
    <x v="5"/>
    <x v="5"/>
    <n v="1"/>
    <x v="31"/>
    <x v="31"/>
    <s v="Conduct Value for Money Assessment"/>
    <s v="Pre-testing of the data collection tool"/>
    <s v="Full DSA"/>
    <n v="45000"/>
    <n v="25"/>
    <n v="3"/>
    <n v="3375000"/>
    <m/>
    <m/>
    <n v="0"/>
    <m/>
    <m/>
    <n v="0"/>
    <m/>
    <m/>
    <n v="0"/>
    <m/>
    <m/>
    <n v="0"/>
    <m/>
    <m/>
    <n v="0"/>
    <n v="25"/>
    <n v="3"/>
    <n v="7522657.2249425948"/>
    <m/>
    <m/>
    <n v="0"/>
    <n v="10897657.224942595"/>
    <n v="10580.249732953975"/>
  </r>
  <r>
    <s v="4.3.1.6"/>
    <x v="0"/>
    <x v="0"/>
    <x v="5"/>
    <x v="5"/>
    <n v="1"/>
    <x v="31"/>
    <x v="31"/>
    <s v="Conduct Value for Money Assessment"/>
    <s v="Validation of data collection tool "/>
    <s v="Conference package high-level"/>
    <n v="35000"/>
    <n v="26"/>
    <n v="1"/>
    <n v="910000"/>
    <m/>
    <m/>
    <n v="0"/>
    <m/>
    <m/>
    <n v="0"/>
    <m/>
    <m/>
    <n v="0"/>
    <m/>
    <m/>
    <n v="0"/>
    <m/>
    <m/>
    <n v="0"/>
    <n v="26"/>
    <n v="1"/>
    <n v="2028331.2813919289"/>
    <m/>
    <m/>
    <n v="0"/>
    <n v="2938331.2813919289"/>
    <n v="2852.7488168853679"/>
  </r>
  <r>
    <s v="4.3.1.6"/>
    <x v="0"/>
    <x v="0"/>
    <x v="5"/>
    <x v="5"/>
    <n v="1"/>
    <x v="31"/>
    <x v="31"/>
    <s v="Conduct Value for Money Assessment"/>
    <s v="Data collection"/>
    <s v="Full DSA"/>
    <n v="45000"/>
    <n v="26"/>
    <n v="6"/>
    <n v="7020000"/>
    <m/>
    <m/>
    <n v="0"/>
    <m/>
    <m/>
    <n v="0"/>
    <m/>
    <m/>
    <n v="0"/>
    <m/>
    <m/>
    <n v="0"/>
    <m/>
    <m/>
    <n v="0"/>
    <n v="26"/>
    <n v="6"/>
    <n v="15647127.027880598"/>
    <m/>
    <m/>
    <n v="0"/>
    <n v="22667127.027880598"/>
    <n v="22006.91944454427"/>
  </r>
  <r>
    <s v="4.3.1.6"/>
    <x v="0"/>
    <x v="0"/>
    <x v="5"/>
    <x v="5"/>
    <n v="1"/>
    <x v="31"/>
    <x v="31"/>
    <s v="Conduct Value for Money Assessment"/>
    <s v="Data collection"/>
    <s v="Fuel for travelling participants (9 cars to various districts)"/>
    <n v="211.43"/>
    <n v="22500"/>
    <n v="1"/>
    <n v="4757175"/>
    <m/>
    <m/>
    <n v="0"/>
    <m/>
    <m/>
    <n v="0"/>
    <m/>
    <m/>
    <n v="0"/>
    <m/>
    <m/>
    <n v="0"/>
    <m/>
    <m/>
    <n v="0"/>
    <n v="22500"/>
    <n v="1"/>
    <n v="10603436.113797419"/>
    <m/>
    <m/>
    <n v="0"/>
    <n v="15360611.113797419"/>
    <n v="14913.214673589728"/>
  </r>
  <r>
    <s v="4.3.1.6"/>
    <x v="0"/>
    <x v="0"/>
    <x v="5"/>
    <x v="5"/>
    <n v="1"/>
    <x v="31"/>
    <x v="31"/>
    <s v="Conduct Value for Money Assessment"/>
    <s v="Data collection"/>
    <s v="Local running (diesel, per km)"/>
    <n v="285.60000000000002"/>
    <n v="900"/>
    <n v="5"/>
    <n v="1285200.0000000002"/>
    <m/>
    <m/>
    <n v="0"/>
    <m/>
    <m/>
    <n v="0"/>
    <m/>
    <m/>
    <n v="0"/>
    <m/>
    <m/>
    <n v="0"/>
    <m/>
    <m/>
    <n v="0"/>
    <n v="900"/>
    <n v="5"/>
    <n v="2864627.8712581401"/>
    <m/>
    <m/>
    <n v="0"/>
    <n v="4149827.8712581405"/>
    <n v="4028.9590983088742"/>
  </r>
  <r>
    <s v="4.3.1.6"/>
    <x v="0"/>
    <x v="0"/>
    <x v="5"/>
    <x v="5"/>
    <n v="1"/>
    <x v="31"/>
    <x v="31"/>
    <s v="Conduct Value for Money Assessment"/>
    <s v="Data collection"/>
    <s v="Airtime for Research Assistant"/>
    <n v="10000"/>
    <n v="20"/>
    <n v="1"/>
    <n v="200000"/>
    <m/>
    <m/>
    <n v="0"/>
    <m/>
    <m/>
    <n v="0"/>
    <m/>
    <m/>
    <n v="0"/>
    <m/>
    <m/>
    <n v="0"/>
    <m/>
    <m/>
    <n v="0"/>
    <n v="20"/>
    <n v="1"/>
    <n v="445787.09481141303"/>
    <m/>
    <m/>
    <n v="0"/>
    <n v="645787.09481141297"/>
    <n v="626.97776195282813"/>
  </r>
  <r>
    <s v="4.3.1.6"/>
    <x v="0"/>
    <x v="0"/>
    <x v="5"/>
    <x v="5"/>
    <n v="1"/>
    <x v="31"/>
    <x v="31"/>
    <s v="Conduct Value for Money Assessment"/>
    <s v="Data collection"/>
    <s v="Tablet"/>
    <n v="302000"/>
    <n v="26"/>
    <n v="1"/>
    <n v="7852000"/>
    <m/>
    <m/>
    <n v="0"/>
    <m/>
    <m/>
    <n v="0"/>
    <m/>
    <m/>
    <n v="0"/>
    <m/>
    <m/>
    <n v="0"/>
    <m/>
    <m/>
    <n v="0"/>
    <n v="26"/>
    <n v="1"/>
    <n v="17501601.342296075"/>
    <m/>
    <m/>
    <n v="0"/>
    <n v="25353601.342296075"/>
    <n v="24615.146934268036"/>
  </r>
  <r>
    <s v="4.3.1.6"/>
    <x v="0"/>
    <x v="0"/>
    <x v="5"/>
    <x v="5"/>
    <n v="1"/>
    <x v="31"/>
    <x v="31"/>
    <s v="Conduct Value for Money Assessment"/>
    <s v="Data analysis"/>
    <s v="Conference package high-level"/>
    <n v="35000"/>
    <n v="26"/>
    <n v="5"/>
    <n v="4550000"/>
    <m/>
    <m/>
    <n v="0"/>
    <m/>
    <m/>
    <n v="0"/>
    <m/>
    <m/>
    <n v="0"/>
    <m/>
    <m/>
    <n v="0"/>
    <m/>
    <m/>
    <n v="0"/>
    <n v="26"/>
    <n v="5"/>
    <n v="10141656.406959645"/>
    <m/>
    <m/>
    <n v="0"/>
    <n v="14691656.406959645"/>
    <n v="14263.74408442684"/>
  </r>
  <r>
    <s v="4.3.1.6"/>
    <x v="0"/>
    <x v="0"/>
    <x v="5"/>
    <x v="5"/>
    <n v="1"/>
    <x v="31"/>
    <x v="31"/>
    <s v="Conduct Value for Money Assessment"/>
    <s v="Data analysis"/>
    <s v="Local running (diesel, per km)"/>
    <n v="285.60000000000002"/>
    <n v="450"/>
    <n v="5"/>
    <n v="642600.00000000012"/>
    <m/>
    <m/>
    <n v="0"/>
    <m/>
    <m/>
    <n v="0"/>
    <m/>
    <m/>
    <n v="0"/>
    <m/>
    <m/>
    <n v="0"/>
    <m/>
    <m/>
    <n v="0"/>
    <n v="450"/>
    <n v="5"/>
    <n v="1432313.93562907"/>
    <m/>
    <m/>
    <n v="0"/>
    <n v="2074913.9356290703"/>
    <n v="2014.4795491544371"/>
  </r>
  <r>
    <s v="4.3.1.6"/>
    <x v="0"/>
    <x v="0"/>
    <x v="5"/>
    <x v="5"/>
    <n v="1"/>
    <x v="31"/>
    <x v="31"/>
    <s v="Conduct Value for Money Assessment"/>
    <s v="Data analysis"/>
    <s v="Fuel for travelling participants (9 cars to Sengabay and back to Lilongwe)"/>
    <n v="285.60000000000002"/>
    <n v="2700"/>
    <n v="1"/>
    <n v="771120.00000000012"/>
    <m/>
    <m/>
    <n v="0"/>
    <m/>
    <m/>
    <n v="0"/>
    <m/>
    <m/>
    <n v="0"/>
    <m/>
    <m/>
    <n v="0"/>
    <m/>
    <m/>
    <n v="0"/>
    <n v="2700"/>
    <n v="1"/>
    <n v="1718776.722754884"/>
    <m/>
    <m/>
    <n v="0"/>
    <n v="2489896.722754884"/>
    <n v="2417.3754589853243"/>
  </r>
  <r>
    <s v="4.3.1.6"/>
    <x v="0"/>
    <x v="0"/>
    <x v="5"/>
    <x v="5"/>
    <n v="1"/>
    <x v="31"/>
    <x v="31"/>
    <s v="Conduct Value for Money Assessment"/>
    <s v="Data analysis"/>
    <s v="DSA (excl. lunch)"/>
    <n v="39000"/>
    <n v="26"/>
    <n v="6"/>
    <n v="6084000"/>
    <m/>
    <m/>
    <n v="0"/>
    <m/>
    <m/>
    <n v="0"/>
    <m/>
    <m/>
    <n v="0"/>
    <m/>
    <m/>
    <n v="0"/>
    <m/>
    <m/>
    <n v="0"/>
    <n v="26"/>
    <n v="6"/>
    <n v="13560843.424163185"/>
    <m/>
    <m/>
    <n v="0"/>
    <n v="19644843.424163185"/>
    <n v="19072.663518605033"/>
  </r>
  <r>
    <s v="4.3.1.6"/>
    <x v="0"/>
    <x v="0"/>
    <x v="5"/>
    <x v="5"/>
    <n v="1"/>
    <x v="31"/>
    <x v="31"/>
    <s v="Conduct Value for Money Assessment"/>
    <s v="Report writing(cost on consultant)"/>
    <s v="Zero cost"/>
    <n v="0"/>
    <n v="25"/>
    <n v="5"/>
    <n v="0"/>
    <m/>
    <m/>
    <n v="0"/>
    <m/>
    <m/>
    <n v="0"/>
    <m/>
    <m/>
    <n v="0"/>
    <m/>
    <m/>
    <n v="0"/>
    <m/>
    <m/>
    <n v="0"/>
    <n v="25"/>
    <n v="5"/>
    <n v="0"/>
    <m/>
    <m/>
    <n v="0"/>
    <n v="0"/>
    <n v="0"/>
  </r>
  <r>
    <s v="4.3.1.6"/>
    <x v="0"/>
    <x v="0"/>
    <x v="5"/>
    <x v="5"/>
    <n v="1"/>
    <x v="31"/>
    <x v="31"/>
    <s v="Conduct Value for Money Assessment"/>
    <s v="Dissemination workshop (Lilongwe)"/>
    <s v="Conference package high-level"/>
    <n v="35000"/>
    <n v="75"/>
    <n v="1"/>
    <n v="2625000"/>
    <m/>
    <m/>
    <n v="0"/>
    <m/>
    <m/>
    <n v="0"/>
    <m/>
    <m/>
    <n v="0"/>
    <m/>
    <m/>
    <n v="0"/>
    <m/>
    <m/>
    <n v="0"/>
    <n v="75"/>
    <n v="1"/>
    <n v="5850955.6193997953"/>
    <m/>
    <m/>
    <n v="0"/>
    <n v="8475955.6193997953"/>
    <n v="8229.0831256308684"/>
  </r>
  <r>
    <s v="4.3.1.6"/>
    <x v="0"/>
    <x v="0"/>
    <x v="5"/>
    <x v="5"/>
    <n v="1"/>
    <x v="31"/>
    <x v="31"/>
    <s v="Conduct Value for Money Assessment"/>
    <s v="Dissemination workshop (Lilongwe)"/>
    <s v="DSA (excl. lunch)"/>
    <n v="39000"/>
    <n v="58"/>
    <n v="2"/>
    <n v="4524000"/>
    <m/>
    <m/>
    <n v="0"/>
    <m/>
    <m/>
    <n v="0"/>
    <m/>
    <m/>
    <n v="0"/>
    <m/>
    <m/>
    <n v="0"/>
    <m/>
    <m/>
    <n v="0"/>
    <n v="58"/>
    <n v="2"/>
    <n v="10083704.084634162"/>
    <m/>
    <m/>
    <n v="0"/>
    <n v="14607704.084634162"/>
    <n v="14182.236975372973"/>
  </r>
  <r>
    <s v="4.3.1.6"/>
    <x v="0"/>
    <x v="0"/>
    <x v="5"/>
    <x v="5"/>
    <n v="1"/>
    <x v="31"/>
    <x v="31"/>
    <s v="Conduct Value for Money Assessment"/>
    <s v="Dissemination workshop"/>
    <s v="A4, 500 pages, 140 gsm paper"/>
    <n v="8000"/>
    <n v="10"/>
    <n v="1"/>
    <n v="80000"/>
    <m/>
    <m/>
    <n v="0"/>
    <m/>
    <m/>
    <n v="0"/>
    <m/>
    <m/>
    <n v="0"/>
    <m/>
    <m/>
    <n v="0"/>
    <m/>
    <m/>
    <n v="0"/>
    <n v="10"/>
    <n v="1"/>
    <n v="178314.83792456522"/>
    <m/>
    <m/>
    <n v="0"/>
    <n v="258314.83792456522"/>
    <n v="250.79110478113128"/>
  </r>
  <r>
    <s v="4.3.1.6"/>
    <x v="0"/>
    <x v="0"/>
    <x v="5"/>
    <x v="5"/>
    <n v="1"/>
    <x v="31"/>
    <x v="31"/>
    <s v="Conduct Value for Money Assessment"/>
    <s v="Dissemination workshop"/>
    <s v="toner"/>
    <n v="104850"/>
    <n v="1"/>
    <n v="1"/>
    <n v="104850"/>
    <m/>
    <m/>
    <n v="0"/>
    <m/>
    <m/>
    <n v="0"/>
    <m/>
    <m/>
    <n v="0"/>
    <m/>
    <m/>
    <n v="0"/>
    <m/>
    <m/>
    <n v="0"/>
    <n v="1"/>
    <n v="1"/>
    <n v="233703.88445488326"/>
    <m/>
    <m/>
    <n v="0"/>
    <n v="338553.88445488329"/>
    <n v="328.69309170377016"/>
  </r>
  <r>
    <s v="4.3.1.6"/>
    <x v="0"/>
    <x v="0"/>
    <x v="5"/>
    <x v="5"/>
    <n v="1"/>
    <x v="31"/>
    <x v="31"/>
    <s v="Conduct Value for Money Assessment"/>
    <s v="Dissemination workshop"/>
    <s v="Fuel for travelling participants"/>
    <n v="285.60000000000002"/>
    <n v="22500"/>
    <n v="1"/>
    <n v="6426000.0000000009"/>
    <m/>
    <m/>
    <n v="0"/>
    <m/>
    <m/>
    <n v="0"/>
    <m/>
    <m/>
    <n v="0"/>
    <m/>
    <m/>
    <n v="0"/>
    <m/>
    <m/>
    <n v="0"/>
    <n v="22500"/>
    <n v="1"/>
    <n v="14323139.3562907"/>
    <m/>
    <m/>
    <n v="0"/>
    <n v="20749139.356290702"/>
    <n v="20144.79549154437"/>
  </r>
  <r>
    <s v="4.3.1.6"/>
    <x v="0"/>
    <x v="0"/>
    <x v="5"/>
    <x v="5"/>
    <n v="1"/>
    <x v="31"/>
    <x v="31"/>
    <s v="Conduct Value for Money Assessment"/>
    <s v="Dissemination workshop"/>
    <s v="Local running (diesel, per km)"/>
    <n v="285.60000000000002"/>
    <n v="60"/>
    <n v="1"/>
    <n v="17136"/>
    <m/>
    <m/>
    <n v="0"/>
    <m/>
    <m/>
    <n v="0"/>
    <m/>
    <m/>
    <n v="0"/>
    <m/>
    <m/>
    <n v="0"/>
    <m/>
    <m/>
    <n v="0"/>
    <n v="60"/>
    <n v="1"/>
    <n v="38195.038283441871"/>
    <m/>
    <m/>
    <n v="0"/>
    <n v="55331.038283441871"/>
    <n v="53.719454644118322"/>
  </r>
  <r>
    <s v="4.3.1.6"/>
    <x v="0"/>
    <x v="0"/>
    <x v="5"/>
    <x v="5"/>
    <n v="1"/>
    <x v="31"/>
    <x v="31"/>
    <s v="Conduct Value for Money Assessment"/>
    <s v="Implement recommendations of the VfM Case Study report"/>
    <s v="Zero cost"/>
    <n v="0"/>
    <n v="0"/>
    <n v="0"/>
    <n v="0"/>
    <m/>
    <m/>
    <n v="0"/>
    <m/>
    <m/>
    <n v="0"/>
    <m/>
    <m/>
    <n v="0"/>
    <m/>
    <m/>
    <n v="0"/>
    <m/>
    <m/>
    <n v="0"/>
    <n v="0"/>
    <n v="0"/>
    <n v="0"/>
    <m/>
    <m/>
    <n v="0"/>
    <n v="0"/>
    <n v="0"/>
  </r>
  <r>
    <s v="4.3.1.6"/>
    <x v="0"/>
    <x v="0"/>
    <x v="5"/>
    <x v="5"/>
    <n v="1"/>
    <x v="31"/>
    <x v="31"/>
    <s v="Engage active purchasing of services from faith based facilities (CHAM and IHAM)"/>
    <s v="Review and update MOU with faith based facilities (3 Workshops)"/>
    <s v="Conference package high-level"/>
    <n v="35000"/>
    <n v="30"/>
    <n v="15"/>
    <n v="15750000"/>
    <m/>
    <m/>
    <n v="0"/>
    <m/>
    <m/>
    <n v="0"/>
    <m/>
    <m/>
    <n v="0"/>
    <m/>
    <m/>
    <n v="0"/>
    <m/>
    <m/>
    <n v="0"/>
    <n v="30"/>
    <n v="15"/>
    <n v="35105733.716398776"/>
    <m/>
    <m/>
    <n v="0"/>
    <n v="50855733.716398776"/>
    <n v="49374.498753785221"/>
  </r>
  <r>
    <s v="4.3.1.6"/>
    <x v="0"/>
    <x v="0"/>
    <x v="5"/>
    <x v="5"/>
    <n v="1"/>
    <x v="31"/>
    <x v="31"/>
    <s v="Engage active purchasing of services from faith based facilities (CHAM and IHAM)"/>
    <s v="Develop draft MOUs"/>
    <s v="Zero cost"/>
    <n v="0"/>
    <n v="0"/>
    <n v="0"/>
    <n v="0"/>
    <m/>
    <m/>
    <n v="0"/>
    <m/>
    <m/>
    <n v="0"/>
    <m/>
    <m/>
    <n v="0"/>
    <m/>
    <m/>
    <n v="0"/>
    <m/>
    <m/>
    <n v="0"/>
    <n v="0"/>
    <n v="0"/>
    <n v="0"/>
    <m/>
    <m/>
    <n v="0"/>
    <n v="0"/>
    <n v="0"/>
  </r>
  <r>
    <s v="4.3.1.6"/>
    <x v="0"/>
    <x v="0"/>
    <x v="5"/>
    <x v="5"/>
    <n v="1"/>
    <x v="31"/>
    <x v="31"/>
    <s v="Engage active purchasing of services from faith based facilities (CHAM and IHAM)"/>
    <s v="Hold meetings with faith based facilities (CHAM, IHAM)"/>
    <s v="Conference package high-level"/>
    <n v="35000"/>
    <n v="20"/>
    <n v="1"/>
    <n v="700000"/>
    <m/>
    <m/>
    <n v="0"/>
    <m/>
    <m/>
    <n v="0"/>
    <m/>
    <m/>
    <n v="0"/>
    <m/>
    <m/>
    <n v="0"/>
    <m/>
    <m/>
    <n v="0"/>
    <n v="20"/>
    <n v="1"/>
    <n v="1560254.8318399454"/>
    <m/>
    <m/>
    <n v="0"/>
    <n v="2260254.8318399452"/>
    <n v="2194.4221668348982"/>
  </r>
  <r>
    <s v="4.3.1.6"/>
    <x v="0"/>
    <x v="0"/>
    <x v="5"/>
    <x v="5"/>
    <n v="1"/>
    <x v="31"/>
    <x v="31"/>
    <s v="Engage active purchasing of services from faith based facilities (CHAM and IHAM)"/>
    <s v="Meeting with Treasury"/>
    <s v="Zero cost"/>
    <n v="0"/>
    <n v="20"/>
    <n v="2"/>
    <n v="0"/>
    <m/>
    <m/>
    <n v="0"/>
    <m/>
    <m/>
    <n v="0"/>
    <m/>
    <m/>
    <n v="0"/>
    <m/>
    <m/>
    <n v="0"/>
    <m/>
    <m/>
    <n v="0"/>
    <n v="20"/>
    <n v="2"/>
    <n v="0"/>
    <m/>
    <m/>
    <n v="0"/>
    <n v="0"/>
    <n v="0"/>
  </r>
  <r>
    <s v="4.3.1.6"/>
    <x v="0"/>
    <x v="0"/>
    <x v="5"/>
    <x v="5"/>
    <n v="1"/>
    <x v="31"/>
    <x v="31"/>
    <s v="Engage active purchasing of services from faith based facilities (CHAM and IHAM)"/>
    <s v="Ministry of Justice for vetting"/>
    <s v="Zero cost"/>
    <n v="0"/>
    <n v="10"/>
    <n v="1"/>
    <n v="0"/>
    <m/>
    <m/>
    <n v="0"/>
    <m/>
    <m/>
    <n v="0"/>
    <m/>
    <m/>
    <n v="0"/>
    <m/>
    <m/>
    <n v="0"/>
    <m/>
    <m/>
    <n v="0"/>
    <n v="10"/>
    <n v="1"/>
    <n v="0"/>
    <m/>
    <m/>
    <n v="0"/>
    <n v="0"/>
    <n v="0"/>
  </r>
  <r>
    <s v="4.3.1.6"/>
    <x v="0"/>
    <x v="0"/>
    <x v="5"/>
    <x v="5"/>
    <n v="1"/>
    <x v="31"/>
    <x v="31"/>
    <s v="Engage active purchasing of services from faith based facilities (CHAM and IHAM)"/>
    <s v="Draft concept paper "/>
    <s v="Zero cost"/>
    <n v="0"/>
    <n v="2"/>
    <n v="1"/>
    <n v="0"/>
    <m/>
    <m/>
    <n v="0"/>
    <m/>
    <m/>
    <n v="0"/>
    <m/>
    <m/>
    <n v="0"/>
    <m/>
    <m/>
    <n v="0"/>
    <m/>
    <m/>
    <n v="0"/>
    <n v="2"/>
    <n v="1"/>
    <n v="0"/>
    <m/>
    <m/>
    <n v="0"/>
    <n v="0"/>
    <n v="0"/>
  </r>
  <r>
    <s v="4.3.1.6"/>
    <x v="0"/>
    <x v="0"/>
    <x v="5"/>
    <x v="5"/>
    <n v="1"/>
    <x v="31"/>
    <x v="31"/>
    <s v="Engage active purchasing of services from faith based facilities (CHAM and IHAM)"/>
    <s v="Present to PS committee on PPP"/>
    <s v="Conference package high-level"/>
    <n v="35000"/>
    <n v="60"/>
    <n v="1"/>
    <n v="2100000"/>
    <m/>
    <m/>
    <n v="0"/>
    <m/>
    <m/>
    <n v="0"/>
    <m/>
    <m/>
    <n v="0"/>
    <m/>
    <m/>
    <n v="0"/>
    <m/>
    <m/>
    <n v="0"/>
    <n v="60"/>
    <n v="1"/>
    <n v="4680764.4955198364"/>
    <m/>
    <m/>
    <n v="0"/>
    <n v="6780764.4955198364"/>
    <n v="6583.2665005046956"/>
  </r>
  <r>
    <s v="4.3.1.6"/>
    <x v="0"/>
    <x v="0"/>
    <x v="5"/>
    <x v="5"/>
    <n v="1"/>
    <x v="31"/>
    <x v="31"/>
    <s v="Engage active purchasing of services from faith based facilities (CHAM and IHAM)"/>
    <s v="Present to Cabinet"/>
    <s v="Zero cost"/>
    <n v="0"/>
    <n v="15"/>
    <n v="1"/>
    <n v="0"/>
    <m/>
    <m/>
    <n v="0"/>
    <m/>
    <m/>
    <n v="0"/>
    <m/>
    <m/>
    <n v="0"/>
    <m/>
    <m/>
    <n v="0"/>
    <m/>
    <m/>
    <n v="0"/>
    <n v="15"/>
    <n v="1"/>
    <n v="0"/>
    <m/>
    <m/>
    <n v="0"/>
    <n v="0"/>
    <n v="0"/>
  </r>
  <r>
    <s v="4.3.1.6"/>
    <x v="0"/>
    <x v="0"/>
    <x v="5"/>
    <x v="5"/>
    <n v="1"/>
    <x v="31"/>
    <x v="31"/>
    <s v="Engage active purchasing of services from faith based facilities (CHAM and IHAM)"/>
    <s v="Signing of MOU"/>
    <s v="Zero cost"/>
    <n v="0"/>
    <n v="10"/>
    <n v="1"/>
    <n v="0"/>
    <m/>
    <m/>
    <n v="0"/>
    <m/>
    <m/>
    <n v="0"/>
    <m/>
    <m/>
    <n v="0"/>
    <m/>
    <m/>
    <n v="0"/>
    <m/>
    <m/>
    <n v="0"/>
    <n v="10"/>
    <n v="1"/>
    <n v="0"/>
    <m/>
    <m/>
    <n v="0"/>
    <n v="0"/>
    <n v="0"/>
  </r>
  <r>
    <s v="4.3.1.6"/>
    <x v="0"/>
    <x v="0"/>
    <x v="5"/>
    <x v="5"/>
    <n v="1"/>
    <x v="31"/>
    <x v="31"/>
    <s v="Review SLAs guidelines "/>
    <s v="develop a concept note "/>
    <s v="Zero cost"/>
    <n v="0"/>
    <m/>
    <m/>
    <n v="0"/>
    <n v="0"/>
    <n v="0"/>
    <n v="0"/>
    <n v="0"/>
    <n v="0"/>
    <n v="0"/>
    <n v="0"/>
    <n v="0"/>
    <n v="0"/>
    <n v="5"/>
    <n v="1"/>
    <n v="0"/>
    <m/>
    <m/>
    <n v="0"/>
    <m/>
    <m/>
    <n v="0"/>
    <n v="5"/>
    <n v="1"/>
    <n v="0"/>
    <n v="0"/>
    <n v="0"/>
  </r>
  <r>
    <s v="4.3.1.6"/>
    <x v="0"/>
    <x v="0"/>
    <x v="5"/>
    <x v="5"/>
    <n v="1"/>
    <x v="31"/>
    <x v="31"/>
    <s v="Review SLAs guidelines "/>
    <s v="Set up a taskforce"/>
    <s v="Conference package high-level"/>
    <n v="35000"/>
    <m/>
    <m/>
    <n v="0"/>
    <n v="20"/>
    <n v="1"/>
    <n v="800044.76789999986"/>
    <n v="0"/>
    <n v="0"/>
    <n v="0"/>
    <n v="0"/>
    <n v="0"/>
    <n v="0"/>
    <n v="20"/>
    <n v="1"/>
    <n v="1194436.4208614579"/>
    <m/>
    <m/>
    <n v="0"/>
    <m/>
    <m/>
    <n v="0"/>
    <n v="20"/>
    <n v="1"/>
    <n v="1783248.1640060609"/>
    <n v="3777729.3527675187"/>
    <n v="3667.6984007451638"/>
  </r>
  <r>
    <s v="4.3.1.6"/>
    <x v="0"/>
    <x v="0"/>
    <x v="5"/>
    <x v="5"/>
    <n v="1"/>
    <x v="31"/>
    <x v="31"/>
    <s v="Review SLAs guidelines "/>
    <s v="Develop TORs"/>
    <s v="Zero cost"/>
    <n v="0"/>
    <m/>
    <m/>
    <n v="0"/>
    <n v="15"/>
    <n v="1"/>
    <n v="0"/>
    <n v="0"/>
    <n v="0"/>
    <n v="0"/>
    <n v="0"/>
    <n v="0"/>
    <n v="0"/>
    <n v="15"/>
    <n v="1"/>
    <n v="0"/>
    <m/>
    <m/>
    <n v="0"/>
    <m/>
    <m/>
    <n v="0"/>
    <n v="15"/>
    <n v="1"/>
    <n v="0"/>
    <n v="0"/>
    <n v="0"/>
  </r>
  <r>
    <s v="4.3.1.6"/>
    <x v="0"/>
    <x v="0"/>
    <x v="5"/>
    <x v="5"/>
    <n v="1"/>
    <x v="31"/>
    <x v="31"/>
    <s v="Review SLAs guidelines "/>
    <s v="Recruitment of a consultant to facilitate the review"/>
    <s v="Newspaper advert (full)"/>
    <n v="391991.03749999998"/>
    <m/>
    <m/>
    <n v="0"/>
    <n v="2"/>
    <n v="2"/>
    <n v="1792059.3063746723"/>
    <n v="0"/>
    <n v="0"/>
    <n v="0"/>
    <n v="0"/>
    <n v="0"/>
    <n v="0"/>
    <n v="2"/>
    <n v="2"/>
    <n v="2675476.4105215403"/>
    <m/>
    <m/>
    <n v="0"/>
    <m/>
    <m/>
    <n v="0"/>
    <n v="2"/>
    <n v="2"/>
    <n v="3994384.5595926056"/>
    <n v="8461920.2764888182"/>
    <n v="8215.4565791153582"/>
  </r>
  <r>
    <s v="4.3.1.6"/>
    <x v="0"/>
    <x v="0"/>
    <x v="5"/>
    <x v="5"/>
    <n v="1"/>
    <x v="31"/>
    <x v="31"/>
    <s v="Review SLAs guidelines "/>
    <s v="Recruitment of a consultant to facilitate the review"/>
    <s v="Local consultant fee - High level"/>
    <n v="1009400"/>
    <m/>
    <m/>
    <n v="0"/>
    <n v="1"/>
    <n v="25"/>
    <n v="28841613.882794999"/>
    <n v="0"/>
    <n v="0"/>
    <n v="0"/>
    <n v="0"/>
    <n v="0"/>
    <n v="0"/>
    <n v="1"/>
    <n v="25"/>
    <n v="43059432.972055562"/>
    <m/>
    <m/>
    <n v="0"/>
    <m/>
    <m/>
    <n v="0"/>
    <n v="1"/>
    <n v="25"/>
    <n v="64286096.312418498"/>
    <n v="136187143.16726905"/>
    <n v="132220.52734686315"/>
  </r>
  <r>
    <s v="4.3.1.6"/>
    <x v="0"/>
    <x v="0"/>
    <x v="5"/>
    <x v="5"/>
    <n v="1"/>
    <x v="31"/>
    <x v="31"/>
    <s v="Review SLAs guidelines "/>
    <s v="Hold 3 workshops (3 days each workshop with CHAM, IHAM, DHO)"/>
    <s v="DSA (excl. lunch)"/>
    <n v="39000"/>
    <m/>
    <m/>
    <n v="0"/>
    <n v="30"/>
    <n v="12"/>
    <n v="16046612.201879997"/>
    <n v="0"/>
    <n v="0"/>
    <n v="0"/>
    <n v="0"/>
    <n v="0"/>
    <n v="0"/>
    <n v="30"/>
    <n v="12"/>
    <n v="23956981.92699267"/>
    <m/>
    <m/>
    <n v="0"/>
    <m/>
    <m/>
    <n v="0"/>
    <n v="30"/>
    <n v="12"/>
    <n v="35766863.17520728"/>
    <n v="75770457.30407995"/>
    <n v="73563.550780660153"/>
  </r>
  <r>
    <s v="4.3.1.6"/>
    <x v="0"/>
    <x v="0"/>
    <x v="5"/>
    <x v="5"/>
    <n v="1"/>
    <x v="31"/>
    <x v="31"/>
    <s v="Review SLAs guidelines "/>
    <s v="Hold 3 workshops (3 days each workshop with CHAM, IHAM, DHO)"/>
    <s v="Conference package high-level"/>
    <n v="35000"/>
    <m/>
    <m/>
    <n v="0"/>
    <n v="30"/>
    <n v="9"/>
    <n v="10800604.366649998"/>
    <n v="0"/>
    <n v="0"/>
    <n v="0"/>
    <n v="0"/>
    <n v="0"/>
    <n v="0"/>
    <n v="30"/>
    <n v="9"/>
    <n v="16124891.681629684"/>
    <m/>
    <m/>
    <n v="0"/>
    <m/>
    <m/>
    <n v="0"/>
    <n v="30"/>
    <n v="9"/>
    <n v="24073850.214081824"/>
    <n v="50999346.262361504"/>
    <n v="49513.928410059714"/>
  </r>
  <r>
    <s v="4.3.1.6"/>
    <x v="0"/>
    <x v="0"/>
    <x v="5"/>
    <x v="5"/>
    <n v="1"/>
    <x v="31"/>
    <x v="31"/>
    <s v="Review SLAs guidelines "/>
    <s v="Hold 3 workshops (3 days each workshop with CHAM, IHAM, DHO)"/>
    <s v="Local running (diesel, per km)"/>
    <n v="285.60000000000002"/>
    <m/>
    <m/>
    <n v="0"/>
    <n v="450"/>
    <n v="9"/>
    <n v="1321993.9744779598"/>
    <n v="0"/>
    <n v="0"/>
    <n v="0"/>
    <n v="0"/>
    <n v="0"/>
    <n v="0"/>
    <n v="450"/>
    <n v="9"/>
    <n v="1973686.7418314733"/>
    <m/>
    <m/>
    <n v="0"/>
    <m/>
    <m/>
    <n v="0"/>
    <n v="450"/>
    <n v="9"/>
    <n v="2946639.2662036158"/>
    <n v="6242319.9825130487"/>
    <n v="6060.5048373913096"/>
  </r>
  <r>
    <s v="4.3.1.6"/>
    <x v="0"/>
    <x v="0"/>
    <x v="5"/>
    <x v="5"/>
    <n v="1"/>
    <x v="31"/>
    <x v="31"/>
    <s v="Review SLAs guidelines "/>
    <s v="Present guidelines to PS committee"/>
    <s v="Conference package high-level"/>
    <n v="35000"/>
    <m/>
    <m/>
    <n v="0"/>
    <n v="30"/>
    <n v="1"/>
    <n v="1200067.1518499998"/>
    <n v="0"/>
    <n v="0"/>
    <n v="0"/>
    <n v="0"/>
    <n v="0"/>
    <n v="0"/>
    <n v="30"/>
    <n v="1"/>
    <n v="1791654.6312921871"/>
    <m/>
    <m/>
    <n v="0"/>
    <m/>
    <m/>
    <n v="0"/>
    <n v="30"/>
    <n v="1"/>
    <n v="2674872.2460090914"/>
    <n v="5666594.0291512776"/>
    <n v="5501.5476011177452"/>
  </r>
  <r>
    <s v="4.3.1.6"/>
    <x v="0"/>
    <x v="0"/>
    <x v="5"/>
    <x v="5"/>
    <n v="1"/>
    <x v="31"/>
    <x v="31"/>
    <s v="Review SLAs guidelines "/>
    <s v="Present to cabinet"/>
    <s v="Conference package high-level"/>
    <n v="35000"/>
    <m/>
    <m/>
    <n v="0"/>
    <n v="60"/>
    <n v="1"/>
    <n v="2400134.3036999996"/>
    <n v="0"/>
    <n v="0"/>
    <n v="0"/>
    <n v="0"/>
    <n v="0"/>
    <n v="0"/>
    <n v="60"/>
    <n v="1"/>
    <n v="3583309.2625843743"/>
    <m/>
    <m/>
    <n v="0"/>
    <m/>
    <m/>
    <n v="0"/>
    <n v="60"/>
    <n v="1"/>
    <n v="5349744.4920181828"/>
    <n v="11333188.058302555"/>
    <n v="11003.09520223549"/>
  </r>
  <r>
    <s v="4.3.1.6"/>
    <x v="0"/>
    <x v="0"/>
    <x v="5"/>
    <x v="5"/>
    <n v="1"/>
    <x v="31"/>
    <x v="31"/>
    <s v="Review SLAs guidelines "/>
    <s v=" Dissemination workshop"/>
    <s v="Conference package high-level"/>
    <n v="35000"/>
    <m/>
    <m/>
    <n v="0"/>
    <n v="100"/>
    <n v="1"/>
    <n v="4000223.8394999993"/>
    <n v="0"/>
    <n v="0"/>
    <n v="0"/>
    <n v="0"/>
    <n v="0"/>
    <n v="0"/>
    <n v="100"/>
    <n v="1"/>
    <n v="5972182.1043072902"/>
    <m/>
    <m/>
    <n v="0"/>
    <m/>
    <m/>
    <n v="0"/>
    <n v="100"/>
    <n v="1"/>
    <n v="8916240.8200303055"/>
    <n v="18888646.763837595"/>
    <n v="18338.49200372582"/>
  </r>
  <r>
    <s v="4.3.1.6"/>
    <x v="0"/>
    <x v="0"/>
    <x v="5"/>
    <x v="5"/>
    <n v="1"/>
    <x v="31"/>
    <x v="31"/>
    <s v="Review SLAs guidelines "/>
    <s v=" Dissemination workshop"/>
    <s v="DSA (excl. lunch)"/>
    <n v="39000"/>
    <m/>
    <m/>
    <n v="0"/>
    <n v="58"/>
    <n v="1"/>
    <n v="2585287.5214139996"/>
    <n v="0"/>
    <n v="0"/>
    <n v="0"/>
    <n v="0"/>
    <n v="0"/>
    <n v="0"/>
    <n v="58"/>
    <n v="1"/>
    <n v="3859735.9771265974"/>
    <m/>
    <m/>
    <n v="0"/>
    <m/>
    <m/>
    <n v="0"/>
    <n v="58"/>
    <n v="1"/>
    <n v="5762439.0671167281"/>
    <n v="12207462.565657325"/>
    <n v="11851.905403550802"/>
  </r>
  <r>
    <s v="4.3.1.6"/>
    <x v="0"/>
    <x v="0"/>
    <x v="5"/>
    <x v="5"/>
    <n v="1"/>
    <x v="31"/>
    <x v="31"/>
    <s v="Review SLAs guidelines "/>
    <s v=" Dissemination workshop"/>
    <s v="A4, 500 pages, 140 gsm paper"/>
    <n v="8000"/>
    <m/>
    <m/>
    <n v="0"/>
    <n v="10"/>
    <n v="1"/>
    <n v="91433.687760000001"/>
    <n v="0"/>
    <n v="0"/>
    <n v="0"/>
    <n v="0"/>
    <n v="0"/>
    <n v="0"/>
    <n v="10"/>
    <n v="1"/>
    <n v="136507.01952702377"/>
    <m/>
    <m/>
    <n v="0"/>
    <m/>
    <m/>
    <n v="0"/>
    <n v="10"/>
    <n v="1"/>
    <n v="203799.79017212125"/>
    <n v="431740.49745914503"/>
    <n v="419.16553151373301"/>
  </r>
  <r>
    <s v="4.3.1.6"/>
    <x v="0"/>
    <x v="0"/>
    <x v="5"/>
    <x v="5"/>
    <n v="1"/>
    <x v="31"/>
    <x v="31"/>
    <s v="Review SLAs guidelines "/>
    <s v=" Dissemination workshop"/>
    <s v="Toner"/>
    <n v="104850"/>
    <m/>
    <m/>
    <n v="0"/>
    <n v="1"/>
    <n v="1"/>
    <n v="119835.27702044998"/>
    <n v="0"/>
    <n v="0"/>
    <n v="0"/>
    <n v="0"/>
    <n v="0"/>
    <n v="0"/>
    <n v="1"/>
    <n v="1"/>
    <n v="178909.51246760553"/>
    <m/>
    <m/>
    <n v="0"/>
    <m/>
    <m/>
    <n v="0"/>
    <n v="1"/>
    <n v="1"/>
    <n v="267105.09999433643"/>
    <n v="565849.889482392"/>
    <n v="549.36882474018637"/>
  </r>
  <r>
    <s v="4.3.1.6"/>
    <x v="0"/>
    <x v="0"/>
    <x v="5"/>
    <x v="5"/>
    <n v="1"/>
    <x v="31"/>
    <x v="31"/>
    <s v="Review SLAs guidelines "/>
    <s v=" Dissemination workshop"/>
    <s v="Local running (diesel, per km)"/>
    <n v="285.60000000000002"/>
    <m/>
    <m/>
    <n v="0"/>
    <n v="450"/>
    <n v="1"/>
    <n v="146888.21938643997"/>
    <n v="0"/>
    <n v="0"/>
    <n v="0"/>
    <n v="0"/>
    <n v="0"/>
    <n v="0"/>
    <n v="450"/>
    <n v="1"/>
    <n v="219298.52687016371"/>
    <m/>
    <m/>
    <n v="0"/>
    <m/>
    <m/>
    <n v="0"/>
    <n v="450"/>
    <n v="1"/>
    <n v="327404.36291151284"/>
    <n v="693591.10916811647"/>
    <n v="673.38942637681214"/>
  </r>
  <r>
    <s v="4.3.1.6"/>
    <x v="0"/>
    <x v="0"/>
    <x v="5"/>
    <x v="5"/>
    <n v="1"/>
    <x v="31"/>
    <x v="31"/>
    <s v="Review SLAs guidelines "/>
    <s v=" Dissemination workshop"/>
    <s v="Fuel for Traveling Attendants"/>
    <n v="285.60000000000002"/>
    <m/>
    <m/>
    <n v="0"/>
    <n v="2430"/>
    <n v="1"/>
    <n v="793196.38468677597"/>
    <m/>
    <m/>
    <n v="0"/>
    <m/>
    <m/>
    <n v="0"/>
    <n v="2430"/>
    <n v="1"/>
    <n v="1184212.045098884"/>
    <m/>
    <m/>
    <n v="0"/>
    <m/>
    <m/>
    <n v="0"/>
    <n v="2430"/>
    <n v="1"/>
    <n v="1767983.5597221693"/>
    <n v="3745391.9895078293"/>
    <n v="3636.3029024347857"/>
  </r>
  <r>
    <s v="4.3.1.6"/>
    <x v="0"/>
    <x v="0"/>
    <x v="5"/>
    <x v="5"/>
    <n v="1"/>
    <x v="31"/>
    <x v="31"/>
    <s v="Design a new reimbursement mechanism for SLAs"/>
    <s v="develop a concept note"/>
    <s v="Zero cost"/>
    <n v="0"/>
    <n v="6000"/>
    <n v="1"/>
    <n v="0"/>
    <n v="0"/>
    <n v="0"/>
    <n v="0"/>
    <n v="0"/>
    <n v="0"/>
    <n v="0"/>
    <n v="0"/>
    <n v="0"/>
    <n v="0"/>
    <n v="6000"/>
    <n v="1"/>
    <n v="0"/>
    <m/>
    <m/>
    <n v="0"/>
    <m/>
    <m/>
    <n v="0"/>
    <m/>
    <m/>
    <n v="0"/>
    <n v="0"/>
    <n v="0"/>
  </r>
  <r>
    <s v="4.3.1.6"/>
    <x v="0"/>
    <x v="0"/>
    <x v="5"/>
    <x v="5"/>
    <n v="1"/>
    <x v="31"/>
    <x v="31"/>
    <s v="Design a new reimbursement mechanism for SLAs"/>
    <s v="Defining optimal financing mechanism"/>
    <s v="DSA (excl. lunch)"/>
    <n v="39000"/>
    <m/>
    <m/>
    <n v="0"/>
    <n v="30"/>
    <n v="0"/>
    <n v="0"/>
    <n v="0"/>
    <n v="0"/>
    <n v="0"/>
    <n v="0"/>
    <n v="0"/>
    <n v="0"/>
    <n v="0"/>
    <n v="0"/>
    <n v="0"/>
    <m/>
    <m/>
    <n v="0"/>
    <m/>
    <m/>
    <n v="0"/>
    <m/>
    <m/>
    <n v="0"/>
    <n v="0"/>
    <n v="0"/>
  </r>
  <r>
    <s v="4.3.1.6"/>
    <x v="0"/>
    <x v="0"/>
    <x v="5"/>
    <x v="5"/>
    <n v="1"/>
    <x v="31"/>
    <x v="31"/>
    <s v="Design a new reimbursement mechanism for SLAs"/>
    <s v="Defining optimal financing mechanism (3 workshops)"/>
    <s v="Conference package high-level"/>
    <n v="35000"/>
    <m/>
    <m/>
    <n v="0"/>
    <n v="30"/>
    <n v="15"/>
    <n v="18001007.277749997"/>
    <n v="0"/>
    <n v="0"/>
    <n v="0"/>
    <n v="0"/>
    <n v="0"/>
    <n v="0"/>
    <n v="0"/>
    <n v="0"/>
    <n v="0"/>
    <m/>
    <m/>
    <n v="0"/>
    <m/>
    <m/>
    <n v="0"/>
    <m/>
    <m/>
    <n v="0"/>
    <n v="18001007.277749997"/>
    <n v="17476.706094902911"/>
  </r>
  <r>
    <s v="4.3.1.6"/>
    <x v="0"/>
    <x v="0"/>
    <x v="5"/>
    <x v="5"/>
    <n v="1"/>
    <x v="31"/>
    <x v="31"/>
    <s v="Design a new reimbursement mechanism for SLAs"/>
    <s v="Defining optimal financing mechanism"/>
    <s v="Local running (diesel, per km)"/>
    <n v="285.60000000000002"/>
    <m/>
    <m/>
    <n v="0"/>
    <n v="450"/>
    <n v="15"/>
    <n v="2203323.2907965998"/>
    <n v="0"/>
    <n v="0"/>
    <n v="0"/>
    <n v="0"/>
    <n v="0"/>
    <n v="0"/>
    <n v="0"/>
    <n v="0"/>
    <n v="0"/>
    <m/>
    <m/>
    <n v="0"/>
    <m/>
    <m/>
    <n v="0"/>
    <m/>
    <m/>
    <n v="0"/>
    <n v="2203323.2907965998"/>
    <n v="2139.1488260161163"/>
  </r>
  <r>
    <s v="4.3.1.6"/>
    <x v="0"/>
    <x v="0"/>
    <x v="5"/>
    <x v="5"/>
    <n v="1"/>
    <x v="31"/>
    <x v="31"/>
    <s v="Design a new reimbursement mechanism for SLAs"/>
    <s v="Defining optimal financing mechanism"/>
    <s v="Fuel for Traveling Attendants"/>
    <n v="285.60000000000002"/>
    <m/>
    <m/>
    <n v="0"/>
    <n v="2430"/>
    <n v="3"/>
    <n v="2379589.1540603279"/>
    <m/>
    <m/>
    <n v="0"/>
    <m/>
    <m/>
    <n v="0"/>
    <m/>
    <m/>
    <n v="0"/>
    <m/>
    <m/>
    <n v="0"/>
    <m/>
    <m/>
    <n v="0"/>
    <m/>
    <m/>
    <n v="0"/>
    <n v="2379589.1540603279"/>
    <n v="2310.2807320974057"/>
  </r>
  <r>
    <s v="4.3.1.6"/>
    <x v="0"/>
    <x v="0"/>
    <x v="5"/>
    <x v="5"/>
    <n v="1"/>
    <x v="31"/>
    <x v="31"/>
    <s v="Design a new reimbursement mechanism for SLAs"/>
    <s v="Develop TORs for a consultant "/>
    <s v="Zero cost"/>
    <n v="0"/>
    <m/>
    <m/>
    <n v="0"/>
    <n v="20000"/>
    <n v="1"/>
    <n v="0"/>
    <n v="0"/>
    <n v="0"/>
    <n v="0"/>
    <n v="0"/>
    <n v="0"/>
    <n v="0"/>
    <n v="0"/>
    <n v="0"/>
    <n v="0"/>
    <m/>
    <m/>
    <n v="0"/>
    <m/>
    <m/>
    <n v="0"/>
    <m/>
    <m/>
    <n v="0"/>
    <n v="0"/>
    <n v="0"/>
  </r>
  <r>
    <s v="4.3.1.6"/>
    <x v="0"/>
    <x v="0"/>
    <x v="5"/>
    <x v="5"/>
    <n v="1"/>
    <x v="31"/>
    <x v="31"/>
    <s v="Design a new reimbursement mechanism for SLAs"/>
    <s v="Recruitment of a consultant"/>
    <s v="Newspaper advert (full)"/>
    <n v="391991.03749999998"/>
    <m/>
    <m/>
    <n v="0"/>
    <n v="2"/>
    <n v="2"/>
    <n v="1792059.3063746723"/>
    <n v="0"/>
    <n v="0"/>
    <n v="0"/>
    <n v="0"/>
    <n v="0"/>
    <n v="0"/>
    <n v="0"/>
    <n v="0"/>
    <n v="0"/>
    <m/>
    <m/>
    <n v="0"/>
    <m/>
    <m/>
    <n v="0"/>
    <m/>
    <m/>
    <n v="0"/>
    <n v="1792059.3063746723"/>
    <n v="1739.8634042472547"/>
  </r>
  <r>
    <s v="4.3.1.6"/>
    <x v="0"/>
    <x v="0"/>
    <x v="5"/>
    <x v="5"/>
    <n v="1"/>
    <x v="31"/>
    <x v="31"/>
    <s v="Design a new reimbursement mechanism for SLAs"/>
    <s v="Recruitment of a consultant"/>
    <s v="Local consultant fee - High level"/>
    <n v="1009400"/>
    <m/>
    <m/>
    <n v="0"/>
    <n v="1"/>
    <n v="25"/>
    <n v="28841613.882794999"/>
    <n v="0"/>
    <n v="0"/>
    <n v="0"/>
    <n v="0"/>
    <n v="0"/>
    <n v="0"/>
    <n v="0"/>
    <n v="0"/>
    <n v="0"/>
    <m/>
    <m/>
    <n v="0"/>
    <m/>
    <m/>
    <n v="0"/>
    <m/>
    <m/>
    <n v="0"/>
    <n v="28841613.882794999"/>
    <n v="28001.566876499997"/>
  </r>
  <r>
    <s v="4.3.1.6"/>
    <x v="0"/>
    <x v="0"/>
    <x v="5"/>
    <x v="5"/>
    <n v="1"/>
    <x v="31"/>
    <x v="31"/>
    <s v="Design a new reimbursement mechanism for SLAs"/>
    <s v="develop data collection tool"/>
    <s v="Zero cost"/>
    <n v="0"/>
    <m/>
    <m/>
    <n v="0"/>
    <n v="1"/>
    <n v="40"/>
    <n v="0"/>
    <n v="0"/>
    <n v="0"/>
    <n v="0"/>
    <n v="0"/>
    <n v="0"/>
    <n v="0"/>
    <n v="0"/>
    <n v="0"/>
    <n v="0"/>
    <m/>
    <m/>
    <n v="0"/>
    <m/>
    <m/>
    <n v="0"/>
    <m/>
    <m/>
    <n v="0"/>
    <n v="0"/>
    <n v="0"/>
  </r>
  <r>
    <s v="4.3.1.6"/>
    <x v="0"/>
    <x v="0"/>
    <x v="5"/>
    <x v="5"/>
    <n v="1"/>
    <x v="31"/>
    <x v="31"/>
    <s v="Design a new reimbursement mechanism for SLAs"/>
    <s v="conduct training on data collection "/>
    <s v="Conference package high-level"/>
    <n v="35000"/>
    <m/>
    <m/>
    <n v="0"/>
    <n v="25"/>
    <n v="5"/>
    <n v="5000279.7993749995"/>
    <n v="0"/>
    <n v="0"/>
    <n v="0"/>
    <n v="0"/>
    <n v="0"/>
    <n v="0"/>
    <n v="0"/>
    <n v="0"/>
    <n v="0"/>
    <m/>
    <m/>
    <n v="0"/>
    <m/>
    <m/>
    <n v="0"/>
    <m/>
    <m/>
    <n v="0"/>
    <n v="5000279.7993749995"/>
    <n v="4854.6405819174752"/>
  </r>
  <r>
    <s v="4.3.1.6"/>
    <x v="0"/>
    <x v="0"/>
    <x v="5"/>
    <x v="5"/>
    <n v="1"/>
    <x v="31"/>
    <x v="31"/>
    <s v="Design a new reimbursement mechanism for SLAs"/>
    <s v="conduct training on data collection "/>
    <s v="A4, 500 pages, 140 gsm paper"/>
    <n v="8000"/>
    <m/>
    <m/>
    <n v="0"/>
    <n v="25"/>
    <n v="5"/>
    <n v="1142921.0969999998"/>
    <n v="0"/>
    <n v="0"/>
    <n v="0"/>
    <n v="0"/>
    <n v="0"/>
    <n v="0"/>
    <n v="0"/>
    <n v="0"/>
    <n v="0"/>
    <m/>
    <m/>
    <n v="0"/>
    <m/>
    <m/>
    <n v="0"/>
    <m/>
    <m/>
    <n v="0"/>
    <n v="1142921.0969999998"/>
    <n v="1109.6321330097085"/>
  </r>
  <r>
    <s v="4.3.1.6"/>
    <x v="0"/>
    <x v="0"/>
    <x v="5"/>
    <x v="5"/>
    <n v="1"/>
    <x v="31"/>
    <x v="31"/>
    <s v="Design a new reimbursement mechanism for SLAs"/>
    <s v="conduct training on data collection "/>
    <s v="Toner"/>
    <n v="104850"/>
    <m/>
    <m/>
    <n v="0"/>
    <n v="1"/>
    <n v="1"/>
    <n v="119835.27702044998"/>
    <n v="0"/>
    <n v="0"/>
    <n v="0"/>
    <n v="0"/>
    <n v="0"/>
    <n v="0"/>
    <n v="0"/>
    <n v="0"/>
    <n v="0"/>
    <m/>
    <m/>
    <n v="0"/>
    <m/>
    <m/>
    <n v="0"/>
    <m/>
    <m/>
    <n v="0"/>
    <n v="119835.27702044998"/>
    <n v="116.34492914606794"/>
  </r>
  <r>
    <s v="4.3.1.6"/>
    <x v="0"/>
    <x v="0"/>
    <x v="5"/>
    <x v="5"/>
    <n v="1"/>
    <x v="31"/>
    <x v="31"/>
    <s v="Design a new reimbursement mechanism for SLAs"/>
    <s v="pretesting of the data collection tool "/>
    <s v="Full DSA"/>
    <n v="45000"/>
    <m/>
    <m/>
    <n v="0"/>
    <n v="25"/>
    <n v="3"/>
    <n v="3857358.7023749994"/>
    <n v="0"/>
    <n v="0"/>
    <n v="0"/>
    <n v="0"/>
    <n v="0"/>
    <n v="0"/>
    <n v="0"/>
    <n v="0"/>
    <n v="0"/>
    <m/>
    <m/>
    <n v="0"/>
    <m/>
    <m/>
    <n v="0"/>
    <m/>
    <m/>
    <n v="0"/>
    <n v="3857358.7023749994"/>
    <n v="3745.0084489077663"/>
  </r>
  <r>
    <s v="4.3.1.6"/>
    <x v="0"/>
    <x v="0"/>
    <x v="5"/>
    <x v="5"/>
    <n v="1"/>
    <x v="31"/>
    <x v="31"/>
    <s v="Design a new reimbursement mechanism for SLAs"/>
    <s v="pretesting of the data collection tool "/>
    <s v="Local running (diesel, per km)"/>
    <n v="285.60000000000002"/>
    <m/>
    <m/>
    <n v="0"/>
    <n v="25"/>
    <n v="3"/>
    <n v="24481.369897739998"/>
    <n v="0"/>
    <n v="0"/>
    <n v="0"/>
    <n v="0"/>
    <n v="0"/>
    <n v="0"/>
    <n v="0"/>
    <n v="0"/>
    <n v="0"/>
    <m/>
    <m/>
    <n v="0"/>
    <m/>
    <m/>
    <n v="0"/>
    <m/>
    <m/>
    <n v="0"/>
    <n v="24481.369897739998"/>
    <n v="23.768320289067958"/>
  </r>
  <r>
    <s v="4.3.1.6"/>
    <x v="0"/>
    <x v="0"/>
    <x v="5"/>
    <x v="5"/>
    <n v="1"/>
    <x v="31"/>
    <x v="31"/>
    <s v="Design a new reimbursement mechanism for SLAs"/>
    <m/>
    <s v="Fuel for Traveling Attendants"/>
    <n v="285.60000000000002"/>
    <m/>
    <m/>
    <n v="0"/>
    <n v="25"/>
    <n v="1"/>
    <n v="8160.4566325799997"/>
    <m/>
    <m/>
    <n v="0"/>
    <m/>
    <m/>
    <n v="0"/>
    <m/>
    <m/>
    <n v="0"/>
    <m/>
    <m/>
    <n v="0"/>
    <m/>
    <m/>
    <n v="0"/>
    <m/>
    <m/>
    <n v="0"/>
    <n v="8160.4566325799997"/>
    <n v="7.92277342968932"/>
  </r>
  <r>
    <s v="4.3.1.6"/>
    <x v="0"/>
    <x v="0"/>
    <x v="5"/>
    <x v="5"/>
    <n v="1"/>
    <x v="31"/>
    <x v="31"/>
    <s v="Design a new reimbursement mechanism for SLAs"/>
    <s v=" Data collection "/>
    <s v="Full DSA"/>
    <n v="45000"/>
    <m/>
    <m/>
    <n v="0"/>
    <n v="25"/>
    <n v="6"/>
    <n v="7714717.4047499988"/>
    <n v="0"/>
    <n v="0"/>
    <n v="0"/>
    <n v="0"/>
    <n v="0"/>
    <n v="0"/>
    <n v="0"/>
    <n v="0"/>
    <n v="0"/>
    <m/>
    <m/>
    <n v="0"/>
    <m/>
    <m/>
    <n v="0"/>
    <m/>
    <m/>
    <n v="0"/>
    <n v="7714717.4047499988"/>
    <n v="7490.0168978155325"/>
  </r>
  <r>
    <s v="4.3.1.6"/>
    <x v="0"/>
    <x v="0"/>
    <x v="5"/>
    <x v="5"/>
    <n v="1"/>
    <x v="31"/>
    <x v="31"/>
    <s v="Design a new reimbursement mechanism for SLAs"/>
    <s v=" Data collection "/>
    <s v="Local running (diesel, per km)"/>
    <n v="285.60000000000002"/>
    <m/>
    <m/>
    <n v="0"/>
    <n v="25"/>
    <n v="5"/>
    <n v="40802.283162899999"/>
    <n v="0"/>
    <n v="0"/>
    <n v="0"/>
    <n v="0"/>
    <n v="0"/>
    <n v="0"/>
    <n v="0"/>
    <n v="0"/>
    <n v="0"/>
    <m/>
    <m/>
    <n v="0"/>
    <m/>
    <m/>
    <n v="0"/>
    <m/>
    <m/>
    <n v="0"/>
    <n v="40802.283162899999"/>
    <n v="39.613867148446602"/>
  </r>
  <r>
    <s v="4.3.1.6"/>
    <x v="0"/>
    <x v="0"/>
    <x v="5"/>
    <x v="5"/>
    <n v="1"/>
    <x v="31"/>
    <x v="31"/>
    <s v="Design a new reimbursement mechanism for SLAs"/>
    <s v=" Data collection "/>
    <s v="Airtime for Research Assistant"/>
    <n v="10000"/>
    <m/>
    <m/>
    <n v="0"/>
    <n v="15"/>
    <n v="1"/>
    <n v="171438.16454999999"/>
    <n v="0"/>
    <n v="0"/>
    <n v="0"/>
    <n v="0"/>
    <n v="0"/>
    <n v="0"/>
    <n v="0"/>
    <n v="0"/>
    <n v="0"/>
    <m/>
    <m/>
    <n v="0"/>
    <m/>
    <m/>
    <n v="0"/>
    <m/>
    <m/>
    <n v="0"/>
    <n v="171438.16454999999"/>
    <n v="166.44481995145631"/>
  </r>
  <r>
    <s v="4.3.1.6"/>
    <x v="0"/>
    <x v="0"/>
    <x v="5"/>
    <x v="5"/>
    <n v="1"/>
    <x v="31"/>
    <x v="31"/>
    <s v="Design a new reimbursement mechanism for SLAs"/>
    <s v="Data analysis "/>
    <s v="Conference package high-level"/>
    <n v="35000"/>
    <m/>
    <m/>
    <n v="0"/>
    <n v="25"/>
    <n v="5"/>
    <n v="5000279.7993749995"/>
    <n v="0"/>
    <n v="0"/>
    <n v="0"/>
    <n v="0"/>
    <n v="0"/>
    <n v="0"/>
    <n v="0"/>
    <n v="0"/>
    <n v="0"/>
    <m/>
    <m/>
    <n v="0"/>
    <m/>
    <m/>
    <n v="0"/>
    <m/>
    <m/>
    <n v="0"/>
    <n v="5000279.7993749995"/>
    <n v="4854.6405819174752"/>
  </r>
  <r>
    <s v="4.3.1.6"/>
    <x v="0"/>
    <x v="0"/>
    <x v="5"/>
    <x v="5"/>
    <n v="1"/>
    <x v="31"/>
    <x v="31"/>
    <s v="Design a new reimbursement mechanism for SLAs"/>
    <s v="Data analysis "/>
    <s v="DSA (excl. lunch)"/>
    <n v="39000"/>
    <m/>
    <m/>
    <n v="0"/>
    <n v="25"/>
    <n v="5"/>
    <n v="5571740.347874999"/>
    <n v="0"/>
    <n v="0"/>
    <n v="0"/>
    <n v="0"/>
    <n v="0"/>
    <n v="0"/>
    <n v="0"/>
    <n v="0"/>
    <n v="0"/>
    <m/>
    <m/>
    <n v="0"/>
    <m/>
    <m/>
    <n v="0"/>
    <m/>
    <m/>
    <n v="0"/>
    <n v="5571740.347874999"/>
    <n v="5409.4566484223287"/>
  </r>
  <r>
    <s v="4.3.1.6"/>
    <x v="0"/>
    <x v="0"/>
    <x v="5"/>
    <x v="5"/>
    <n v="1"/>
    <x v="31"/>
    <x v="31"/>
    <s v="Design a new reimbursement mechanism for SLAs"/>
    <s v="Data analysis "/>
    <s v="Local running (diesel, per km)"/>
    <n v="285.60000000000002"/>
    <m/>
    <m/>
    <n v="0"/>
    <n v="25"/>
    <n v="5"/>
    <n v="40802.283162899999"/>
    <n v="0"/>
    <n v="0"/>
    <n v="0"/>
    <n v="0"/>
    <n v="0"/>
    <n v="0"/>
    <n v="0"/>
    <n v="0"/>
    <n v="0"/>
    <m/>
    <m/>
    <n v="0"/>
    <m/>
    <m/>
    <n v="0"/>
    <m/>
    <m/>
    <n v="0"/>
    <n v="40802.283162899999"/>
    <n v="39.613867148446602"/>
  </r>
  <r>
    <s v="4.3.1.6"/>
    <x v="0"/>
    <x v="0"/>
    <x v="5"/>
    <x v="5"/>
    <n v="1"/>
    <x v="31"/>
    <x v="31"/>
    <s v="Design a new reimbursement mechanism for SLAs"/>
    <s v="Data analysis "/>
    <s v="Fuel for Traveling Attendants"/>
    <n v="285.60000000000002"/>
    <m/>
    <m/>
    <n v="0"/>
    <n v="2430"/>
    <n v="1"/>
    <n v="793196.38468677597"/>
    <m/>
    <m/>
    <n v="0"/>
    <m/>
    <m/>
    <n v="0"/>
    <m/>
    <m/>
    <n v="0"/>
    <m/>
    <m/>
    <n v="0"/>
    <m/>
    <m/>
    <n v="0"/>
    <m/>
    <m/>
    <n v="0"/>
    <n v="793196.38468677597"/>
    <n v="770.09357736580193"/>
  </r>
  <r>
    <s v="4.3.1.6"/>
    <x v="0"/>
    <x v="0"/>
    <x v="5"/>
    <x v="5"/>
    <n v="1"/>
    <x v="31"/>
    <x v="31"/>
    <s v="Design a new reimbursement mechanism for SLAs"/>
    <s v="Report writing on feasibility and value of various paying mechanisms with clear action points and recommendations (consultant)"/>
    <s v="Zero cost"/>
    <n v="0"/>
    <m/>
    <m/>
    <n v="0"/>
    <n v="4000"/>
    <n v="1"/>
    <n v="0"/>
    <n v="0"/>
    <n v="0"/>
    <n v="0"/>
    <n v="0"/>
    <n v="0"/>
    <n v="0"/>
    <n v="0"/>
    <n v="0"/>
    <n v="0"/>
    <m/>
    <m/>
    <n v="0"/>
    <m/>
    <m/>
    <n v="0"/>
    <m/>
    <m/>
    <n v="0"/>
    <n v="0"/>
    <n v="0"/>
  </r>
  <r>
    <s v="4.3.1.6"/>
    <x v="0"/>
    <x v="0"/>
    <x v="5"/>
    <x v="5"/>
    <n v="1"/>
    <x v="31"/>
    <x v="31"/>
    <s v="Design a new reimbursement mechanism for SLAs"/>
    <s v="Validation workshop"/>
    <s v="Conference package high-level"/>
    <n v="35000"/>
    <m/>
    <m/>
    <n v="0"/>
    <n v="100"/>
    <n v="5"/>
    <n v="20001119.197499998"/>
    <n v="0"/>
    <n v="0"/>
    <n v="0"/>
    <n v="0"/>
    <n v="0"/>
    <n v="0"/>
    <n v="0"/>
    <n v="0"/>
    <n v="0"/>
    <m/>
    <m/>
    <n v="0"/>
    <m/>
    <m/>
    <n v="0"/>
    <m/>
    <m/>
    <n v="0"/>
    <n v="20001119.197499998"/>
    <n v="19418.562327669901"/>
  </r>
  <r>
    <s v="4.3.1.6"/>
    <x v="0"/>
    <x v="0"/>
    <x v="5"/>
    <x v="5"/>
    <n v="1"/>
    <x v="31"/>
    <x v="31"/>
    <s v="Design a new reimbursement mechanism for SLAs"/>
    <s v="Validation workshop"/>
    <s v="DSA (excl. lunch)"/>
    <n v="39000"/>
    <m/>
    <m/>
    <n v="0"/>
    <n v="58"/>
    <n v="6"/>
    <n v="15511725.128483998"/>
    <n v="0"/>
    <n v="0"/>
    <n v="0"/>
    <n v="0"/>
    <n v="0"/>
    <n v="0"/>
    <n v="0"/>
    <n v="0"/>
    <n v="0"/>
    <m/>
    <m/>
    <n v="0"/>
    <m/>
    <m/>
    <n v="0"/>
    <m/>
    <m/>
    <n v="0"/>
    <n v="15511725.128483998"/>
    <n v="15059.927309207766"/>
  </r>
  <r>
    <s v="4.3.1.6"/>
    <x v="0"/>
    <x v="0"/>
    <x v="5"/>
    <x v="5"/>
    <n v="1"/>
    <x v="31"/>
    <x v="31"/>
    <s v="Design a new reimbursement mechanism for SLAs"/>
    <s v="Validation workshop"/>
    <s v="Local running (diesel, per km)"/>
    <n v="285.60000000000002"/>
    <m/>
    <m/>
    <n v="0"/>
    <n v="450"/>
    <n v="5"/>
    <n v="734441.0969321999"/>
    <n v="0"/>
    <n v="0"/>
    <n v="0"/>
    <n v="0"/>
    <n v="0"/>
    <n v="0"/>
    <n v="0"/>
    <n v="0"/>
    <n v="0"/>
    <m/>
    <m/>
    <n v="0"/>
    <m/>
    <m/>
    <n v="0"/>
    <m/>
    <m/>
    <n v="0"/>
    <n v="734441.0969321999"/>
    <n v="713.04960867203874"/>
  </r>
  <r>
    <s v="4.3.1.6"/>
    <x v="0"/>
    <x v="0"/>
    <x v="5"/>
    <x v="5"/>
    <n v="1"/>
    <x v="31"/>
    <x v="31"/>
    <s v="Design a new reimbursement mechanism for SLAs"/>
    <s v="Validation workshop"/>
    <s v="Fuel for Traveling Attendants"/>
    <n v="285.60000000000002"/>
    <m/>
    <m/>
    <n v="0"/>
    <n v="2430"/>
    <n v="1"/>
    <n v="793196.38468677597"/>
    <m/>
    <m/>
    <n v="0"/>
    <m/>
    <m/>
    <n v="0"/>
    <m/>
    <m/>
    <n v="0"/>
    <m/>
    <m/>
    <n v="0"/>
    <m/>
    <m/>
    <n v="0"/>
    <m/>
    <m/>
    <n v="0"/>
    <n v="793196.38468677597"/>
    <n v="770.09357736580193"/>
  </r>
  <r>
    <s v="4.3.1.6"/>
    <x v="0"/>
    <x v="0"/>
    <x v="5"/>
    <x v="5"/>
    <n v="1"/>
    <x v="31"/>
    <x v="31"/>
    <s v="Design a new reimbursement mechanism for SLAs"/>
    <s v="Present to MOH and Faith Based Institutions for approval"/>
    <s v="Conference package high-level"/>
    <n v="35000"/>
    <m/>
    <m/>
    <n v="0"/>
    <n v="30"/>
    <n v="1"/>
    <n v="1200067.1518499998"/>
    <n v="0"/>
    <n v="0"/>
    <n v="0"/>
    <n v="0"/>
    <n v="0"/>
    <n v="0"/>
    <n v="0"/>
    <n v="0"/>
    <n v="0"/>
    <m/>
    <m/>
    <n v="0"/>
    <m/>
    <m/>
    <n v="0"/>
    <m/>
    <m/>
    <n v="0"/>
    <n v="1200067.1518499998"/>
    <n v="1165.1137396601939"/>
  </r>
  <r>
    <s v="4.3.1.6"/>
    <x v="0"/>
    <x v="0"/>
    <x v="5"/>
    <x v="5"/>
    <n v="1"/>
    <x v="31"/>
    <x v="31"/>
    <s v="Implementation of the new reimbursement mechanism for SLAs "/>
    <s v="implementation"/>
    <s v="Zero cost"/>
    <n v="0"/>
    <m/>
    <m/>
    <n v="0"/>
    <n v="20"/>
    <n v="0.5"/>
    <n v="0"/>
    <n v="0"/>
    <n v="0"/>
    <n v="0"/>
    <n v="0"/>
    <n v="0"/>
    <n v="0"/>
    <n v="0"/>
    <n v="0"/>
    <n v="0"/>
    <m/>
    <m/>
    <n v="0"/>
    <m/>
    <m/>
    <n v="0"/>
    <m/>
    <m/>
    <n v="0"/>
    <n v="0"/>
    <n v="0"/>
  </r>
  <r>
    <s v="4.3.1.6"/>
    <x v="0"/>
    <x v="0"/>
    <x v="5"/>
    <x v="5"/>
    <n v="1"/>
    <x v="31"/>
    <x v="31"/>
    <s v="Set up an online system for monitoring of the new reimbursement mechanism for SLAs"/>
    <s v="Develop a concept note"/>
    <s v="Zero cost"/>
    <n v="0"/>
    <m/>
    <m/>
    <n v="0"/>
    <m/>
    <m/>
    <n v="0"/>
    <n v="0"/>
    <n v="0"/>
    <n v="0"/>
    <m/>
    <m/>
    <n v="0"/>
    <m/>
    <m/>
    <n v="0"/>
    <n v="0"/>
    <n v="0"/>
    <n v="0"/>
    <m/>
    <m/>
    <n v="0"/>
    <m/>
    <m/>
    <n v="0"/>
    <n v="0"/>
    <n v="0"/>
  </r>
  <r>
    <s v="4.3.1.6"/>
    <x v="0"/>
    <x v="0"/>
    <x v="5"/>
    <x v="5"/>
    <n v="1"/>
    <x v="31"/>
    <x v="31"/>
    <s v="Set up an online system for monitoring of the new reimbursement mechanism for SLAs"/>
    <s v="Set up a task force"/>
    <s v="Zero cost"/>
    <n v="0"/>
    <m/>
    <m/>
    <n v="0"/>
    <m/>
    <m/>
    <n v="0"/>
    <n v="0"/>
    <n v="0"/>
    <n v="0"/>
    <m/>
    <m/>
    <n v="0"/>
    <m/>
    <m/>
    <n v="0"/>
    <n v="0"/>
    <n v="0"/>
    <n v="0"/>
    <m/>
    <m/>
    <n v="0"/>
    <m/>
    <m/>
    <n v="0"/>
    <n v="0"/>
    <n v="0"/>
  </r>
  <r>
    <s v="4.3.1.6"/>
    <x v="0"/>
    <x v="0"/>
    <x v="5"/>
    <x v="5"/>
    <n v="1"/>
    <x v="31"/>
    <x v="31"/>
    <s v="Set up an online system for monitoring of the new reimbursement mechanism for SLAs"/>
    <s v="Recruit a consultant to develop the system"/>
    <s v="Newspaper advert (full)"/>
    <n v="391991.03749999998"/>
    <m/>
    <m/>
    <n v="0"/>
    <m/>
    <m/>
    <n v="0"/>
    <n v="2"/>
    <n v="2"/>
    <n v="2048182.3883307995"/>
    <m/>
    <m/>
    <n v="0"/>
    <m/>
    <m/>
    <n v="0"/>
    <n v="2"/>
    <n v="2"/>
    <n v="3057858.4341109009"/>
    <m/>
    <m/>
    <n v="0"/>
    <m/>
    <m/>
    <n v="0"/>
    <n v="5106040.8224417008"/>
    <n v="4957.3211868366025"/>
  </r>
  <r>
    <s v="4.3.1.6"/>
    <x v="0"/>
    <x v="0"/>
    <x v="5"/>
    <x v="5"/>
    <n v="1"/>
    <x v="31"/>
    <x v="31"/>
    <s v="Set up an online system for monitoring of the new reimbursement mechanism for SLAs"/>
    <s v="Recruit a consultant to develop the system"/>
    <s v="Local consultant fee - High level"/>
    <n v="1009400"/>
    <m/>
    <m/>
    <n v="0"/>
    <m/>
    <m/>
    <n v="0"/>
    <n v="1"/>
    <n v="25"/>
    <n v="32963688.978174485"/>
    <m/>
    <m/>
    <n v="0"/>
    <m/>
    <m/>
    <n v="0"/>
    <n v="1"/>
    <n v="25"/>
    <n v="49213534.36861971"/>
    <m/>
    <m/>
    <n v="0"/>
    <m/>
    <m/>
    <n v="0"/>
    <n v="82177223.346794188"/>
    <n v="79783.711987178816"/>
  </r>
  <r>
    <s v="4.3.1.6"/>
    <x v="0"/>
    <x v="0"/>
    <x v="5"/>
    <x v="5"/>
    <n v="1"/>
    <x v="31"/>
    <x v="31"/>
    <s v="Set up an online system for monitoring of the new reimbursement mechanism for SLAs"/>
    <s v="Procurement of IT infrastructure for 200 facilities (laptop, dongle, scanners) "/>
    <s v="Laptop"/>
    <n v="425000"/>
    <m/>
    <m/>
    <n v="0"/>
    <m/>
    <m/>
    <n v="0"/>
    <n v="200"/>
    <n v="1"/>
    <n v="111032833.88725308"/>
    <m/>
    <m/>
    <n v="0"/>
    <m/>
    <m/>
    <n v="0"/>
    <n v="200"/>
    <n v="1"/>
    <n v="165767799.53765306"/>
    <m/>
    <m/>
    <n v="0"/>
    <m/>
    <m/>
    <n v="0"/>
    <n v="276800633.42490613"/>
    <n v="268738.47905330692"/>
  </r>
  <r>
    <s v="4.3.1.6"/>
    <x v="0"/>
    <x v="0"/>
    <x v="5"/>
    <x v="5"/>
    <n v="1"/>
    <x v="31"/>
    <x v="31"/>
    <s v="Set up an online system for monitoring of the new reimbursement mechanism for SLAs"/>
    <s v="Procurement of IT infrastructure for 200 facilities (laptop, dongle, scanners) "/>
    <s v="Thermal Printer"/>
    <n v="400000"/>
    <m/>
    <m/>
    <n v="0"/>
    <m/>
    <m/>
    <n v="0"/>
    <n v="200"/>
    <n v="1"/>
    <n v="104501490.71741466"/>
    <m/>
    <m/>
    <n v="0"/>
    <m/>
    <m/>
    <n v="0"/>
    <n v="200"/>
    <n v="1"/>
    <n v="156016752.50602642"/>
    <m/>
    <m/>
    <n v="0"/>
    <m/>
    <m/>
    <n v="0"/>
    <n v="260518243.22344106"/>
    <n v="252930.33322664181"/>
  </r>
  <r>
    <s v="4.3.1.6"/>
    <x v="0"/>
    <x v="0"/>
    <x v="5"/>
    <x v="5"/>
    <n v="1"/>
    <x v="31"/>
    <x v="31"/>
    <s v="Set up an online system for monitoring of the new reimbursement mechanism for SLAs"/>
    <s v="Procurement of IT infrastructure for 200 facilities (laptop, dongle, scanners) "/>
    <s v="Dongle (airtel router)"/>
    <n v="35000"/>
    <m/>
    <m/>
    <n v="0"/>
    <m/>
    <m/>
    <n v="0"/>
    <n v="200"/>
    <n v="1"/>
    <n v="9143880.4377737828"/>
    <m/>
    <m/>
    <n v="0"/>
    <m/>
    <m/>
    <n v="0"/>
    <n v="200"/>
    <n v="1"/>
    <n v="13651465.844277309"/>
    <m/>
    <m/>
    <n v="0"/>
    <m/>
    <m/>
    <n v="0"/>
    <n v="22795346.282051094"/>
    <n v="22131.404157331159"/>
  </r>
  <r>
    <s v="4.3.1.6"/>
    <x v="0"/>
    <x v="0"/>
    <x v="5"/>
    <x v="5"/>
    <n v="1"/>
    <x v="31"/>
    <x v="31"/>
    <s v="Monitoring of the new reimbursement mechanism for SLAs"/>
    <s v="Quarterly data collection in all 5 zones"/>
    <s v="Full DSA"/>
    <n v="45000"/>
    <m/>
    <m/>
    <n v="0"/>
    <m/>
    <m/>
    <n v="0"/>
    <n v="25"/>
    <n v="20"/>
    <n v="29391044.264272876"/>
    <m/>
    <m/>
    <n v="0"/>
    <m/>
    <m/>
    <n v="0"/>
    <n v="25"/>
    <n v="20"/>
    <n v="43879711.642319925"/>
    <m/>
    <m/>
    <n v="0"/>
    <m/>
    <m/>
    <n v="0"/>
    <n v="73270755.906592801"/>
    <n v="71136.656219993005"/>
  </r>
  <r>
    <s v="4.3.1.6"/>
    <x v="0"/>
    <x v="0"/>
    <x v="5"/>
    <x v="5"/>
    <n v="1"/>
    <x v="31"/>
    <x v="31"/>
    <s v="Monitoring of the new reimbursement mechanism for SLAs"/>
    <s v="Quarterly data collection in all 5 zones"/>
    <s v="Local running (diesel, per km)"/>
    <n v="285.60000000000002"/>
    <m/>
    <m/>
    <n v="0"/>
    <m/>
    <m/>
    <n v="0"/>
    <n v="450"/>
    <n v="20"/>
    <n v="3357632.896750533"/>
    <m/>
    <m/>
    <n v="0"/>
    <m/>
    <m/>
    <n v="0"/>
    <n v="450"/>
    <n v="20"/>
    <n v="5012818.2580186287"/>
    <m/>
    <m/>
    <n v="0"/>
    <m/>
    <m/>
    <n v="0"/>
    <n v="8370451.1547691617"/>
    <n v="8126.6516065720016"/>
  </r>
  <r>
    <s v="4.3.1.6"/>
    <x v="0"/>
    <x v="0"/>
    <x v="5"/>
    <x v="5"/>
    <n v="1"/>
    <x v="31"/>
    <x v="31"/>
    <s v="Monitoring of the new reimbursement mechanism for SLAs"/>
    <s v="Quarterly data collection in all 5 zones"/>
    <s v="Double Cab Vehicle"/>
    <n v="51500000"/>
    <m/>
    <m/>
    <n v="0"/>
    <m/>
    <m/>
    <n v="0"/>
    <n v="5"/>
    <n v="1"/>
    <n v="336364173.24667841"/>
    <m/>
    <m/>
    <n v="0"/>
    <m/>
    <m/>
    <n v="0"/>
    <n v="5"/>
    <n v="1"/>
    <n v="502178922.1287725"/>
    <m/>
    <m/>
    <n v="0"/>
    <m/>
    <m/>
    <n v="0"/>
    <n v="838543095.37545085"/>
    <n v="814119.5100732533"/>
  </r>
  <r>
    <s v="4.3.1.6"/>
    <x v="0"/>
    <x v="0"/>
    <x v="5"/>
    <x v="5"/>
    <n v="1"/>
    <x v="31"/>
    <x v="31"/>
    <s v="Monitoring of the new reimbursement mechanism for SLAs"/>
    <s v="Pilot in some facilities"/>
    <s v="Zero cost"/>
    <n v="0"/>
    <m/>
    <m/>
    <n v="0"/>
    <m/>
    <m/>
    <n v="0"/>
    <n v="0"/>
    <n v="0"/>
    <n v="0"/>
    <m/>
    <m/>
    <n v="0"/>
    <m/>
    <m/>
    <n v="0"/>
    <n v="0"/>
    <n v="0"/>
    <n v="0"/>
    <m/>
    <m/>
    <n v="0"/>
    <m/>
    <m/>
    <n v="0"/>
    <n v="0"/>
    <n v="0"/>
  </r>
  <r>
    <s v="4.3.1.6"/>
    <x v="0"/>
    <x v="0"/>
    <x v="5"/>
    <x v="5"/>
    <n v="1"/>
    <x v="31"/>
    <x v="31"/>
    <s v="Annual review of SLA guidelines and MOU for faith based facilities"/>
    <s v="conduct annual meetings to review SLA guidelines and MOU for faith based facilities"/>
    <s v="Conference package high-level"/>
    <n v="35000"/>
    <n v="40"/>
    <n v="5"/>
    <n v="7000000"/>
    <n v="40"/>
    <n v="5"/>
    <n v="8000447.6789999986"/>
    <n v="40"/>
    <n v="5"/>
    <n v="9143880.4377737809"/>
    <n v="40"/>
    <n v="5"/>
    <n v="10450733.860777251"/>
    <n v="40"/>
    <n v="5"/>
    <n v="11944364.20861458"/>
    <n v="40"/>
    <n v="5"/>
    <n v="13651465.844277311"/>
    <n v="40"/>
    <n v="5"/>
    <n v="15602548.318399454"/>
    <n v="40"/>
    <n v="5"/>
    <n v="17832481.640060611"/>
    <n v="93625921.988902986"/>
    <n v="90898.953387284448"/>
  </r>
  <r>
    <s v="4.3.1.6"/>
    <x v="0"/>
    <x v="0"/>
    <x v="5"/>
    <x v="5"/>
    <n v="1"/>
    <x v="31"/>
    <x v="31"/>
    <s v="Annual review of SLA guidelines and MOU for faith based facilities"/>
    <s v="conduct annual meetings to review SLA guidelines and MOU for faith based facilities"/>
    <s v="DSA (excl. lunch)"/>
    <n v="39000"/>
    <n v="40"/>
    <n v="5"/>
    <n v="7800000"/>
    <n v="40"/>
    <n v="5"/>
    <n v="8914784.5565999988"/>
    <n v="40"/>
    <n v="5"/>
    <n v="10188895.344947929"/>
    <n v="40"/>
    <n v="5"/>
    <n v="11645103.44486608"/>
    <n v="40"/>
    <n v="5"/>
    <n v="13309434.403884819"/>
    <n v="40"/>
    <n v="5"/>
    <n v="15211633.369337577"/>
    <n v="40"/>
    <n v="5"/>
    <n v="17385696.697645109"/>
    <n v="40"/>
    <n v="5"/>
    <n v="19870479.54178182"/>
    <n v="104326027.35906333"/>
    <n v="101287.4052029741"/>
  </r>
  <r>
    <s v="4.3.1.6"/>
    <x v="0"/>
    <x v="0"/>
    <x v="5"/>
    <x v="5"/>
    <n v="1"/>
    <x v="31"/>
    <x v="31"/>
    <s v="Annual review of SLA guidelines and MOU for faith based facilities"/>
    <s v="conduct annual meetings to review SLA guidelines and MOU for faith based facilities"/>
    <s v="Local running (diesel, per km)"/>
    <n v="285.60000000000002"/>
    <n v="500"/>
    <n v="5"/>
    <n v="714000"/>
    <n v="500"/>
    <n v="5"/>
    <n v="816045.66325800004"/>
    <n v="500"/>
    <n v="5"/>
    <n v="932675.80465292605"/>
    <n v="500"/>
    <n v="5"/>
    <n v="1065974.8537992798"/>
    <n v="500"/>
    <n v="5"/>
    <n v="1218325.1492786873"/>
    <n v="500"/>
    <n v="5"/>
    <n v="1392449.5161162857"/>
    <n v="500"/>
    <n v="5"/>
    <n v="1591459.9284767443"/>
    <n v="500"/>
    <n v="5"/>
    <n v="1818913.1272861825"/>
    <n v="9549844.0428681057"/>
    <n v="9271.6932455030146"/>
  </r>
  <r>
    <s v="4.3.1.6"/>
    <x v="0"/>
    <x v="0"/>
    <x v="5"/>
    <x v="5"/>
    <n v="1"/>
    <x v="31"/>
    <x v="31"/>
    <s v="Annual review of SLA guidelines and MOU for faith based facilities"/>
    <s v="conduct annual meetings to review SLA guidelines and MOU for faith based facilities"/>
    <s v="Fuel for Traveling Attendants"/>
    <n v="285.60000000000002"/>
    <n v="2700"/>
    <n v="1"/>
    <n v="771120.00000000012"/>
    <n v="2700"/>
    <n v="1"/>
    <n v="881329.3163186399"/>
    <n v="2700"/>
    <n v="1"/>
    <n v="1007289.8690251601"/>
    <n v="2700"/>
    <n v="1"/>
    <n v="1151252.8421032222"/>
    <n v="2700"/>
    <n v="1"/>
    <n v="1315791.1612209822"/>
    <n v="2700"/>
    <n v="1"/>
    <n v="1503845.4774055886"/>
    <n v="2700"/>
    <n v="1"/>
    <n v="1718776.722754884"/>
    <n v="2700"/>
    <n v="1"/>
    <n v="1964426.1774690768"/>
    <n v="10313831.566297555"/>
    <n v="10013.428705143258"/>
  </r>
  <r>
    <s v="4.3.1.6"/>
    <x v="0"/>
    <x v="0"/>
    <x v="5"/>
    <x v="5"/>
    <n v="1"/>
    <x v="31"/>
    <x v="31"/>
    <s v="Conduct functional review for GOM staff establishment in faith based facilities"/>
    <s v="lobby with HR"/>
    <s v="Zero cost"/>
    <n v="0"/>
    <n v="8000"/>
    <n v="1"/>
    <n v="0"/>
    <n v="8000"/>
    <n v="1"/>
    <n v="0"/>
    <n v="8000"/>
    <n v="1"/>
    <n v="0"/>
    <n v="8000"/>
    <n v="1"/>
    <n v="0"/>
    <n v="8000"/>
    <n v="1"/>
    <n v="0"/>
    <n v="8000"/>
    <n v="1"/>
    <n v="0"/>
    <n v="8000"/>
    <n v="1"/>
    <n v="0"/>
    <n v="8000"/>
    <n v="1"/>
    <n v="0"/>
    <n v="0"/>
    <n v="0"/>
  </r>
  <r>
    <s v="4.3.1.6"/>
    <x v="0"/>
    <x v="0"/>
    <x v="5"/>
    <x v="5"/>
    <n v="2"/>
    <x v="32"/>
    <x v="32"/>
    <s v="Engage financiers and the Treasury on the introduction of social bonds for selected health issues"/>
    <s v="Develop concept notes on specific topic requiring social bonds financing"/>
    <s v="Conference package high-level"/>
    <n v="35000"/>
    <n v="30"/>
    <n v="10"/>
    <n v="10500000"/>
    <n v="30"/>
    <n v="10"/>
    <n v="12000671.518499998"/>
    <n v="30"/>
    <n v="10"/>
    <n v="13715820.656660672"/>
    <n v="30"/>
    <n v="10"/>
    <n v="15676100.791165877"/>
    <n v="30"/>
    <n v="10"/>
    <n v="17916546.31292187"/>
    <n v="30"/>
    <n v="10"/>
    <n v="20477198.766415965"/>
    <n v="30"/>
    <n v="10"/>
    <n v="23403822.477599181"/>
    <n v="30"/>
    <n v="10"/>
    <n v="26748722.460090913"/>
    <n v="140438882.98335448"/>
    <n v="136348.43008092669"/>
  </r>
  <r>
    <s v="4.3.1.6"/>
    <x v="0"/>
    <x v="0"/>
    <x v="5"/>
    <x v="5"/>
    <n v="2"/>
    <x v="32"/>
    <x v="32"/>
    <s v="Engage financiers and the Treasury on the introduction of social bonds for selected health issues"/>
    <s v="Develop concept notes on specific topic requiring social bonds financing"/>
    <s v="DSA (excl. lunch)"/>
    <n v="39000"/>
    <n v="30"/>
    <n v="12"/>
    <n v="14040000"/>
    <n v="30"/>
    <n v="12"/>
    <n v="16046612.201879997"/>
    <n v="30"/>
    <n v="12"/>
    <n v="18340011.620906271"/>
    <n v="30"/>
    <n v="12"/>
    <n v="20961186.200758941"/>
    <n v="30"/>
    <n v="12"/>
    <n v="23956981.92699267"/>
    <n v="30"/>
    <n v="12"/>
    <n v="27380940.064807635"/>
    <n v="30"/>
    <n v="12"/>
    <n v="31294254.055761192"/>
    <n v="30"/>
    <n v="12"/>
    <n v="35766863.17520728"/>
    <n v="187786849.24631399"/>
    <n v="182317.32936535339"/>
  </r>
  <r>
    <s v="4.3.1.6"/>
    <x v="0"/>
    <x v="0"/>
    <x v="5"/>
    <x v="5"/>
    <n v="2"/>
    <x v="32"/>
    <x v="32"/>
    <s v="Engage financiers and the Treasury on the introduction of social bonds for selected health issues"/>
    <s v="Develop concept notes on specific topic requiring social bonds financing"/>
    <s v="Local running (diesel, per km)"/>
    <n v="285.60000000000002"/>
    <n v="2700"/>
    <n v="2"/>
    <n v="1542240.0000000002"/>
    <n v="2700"/>
    <n v="2"/>
    <n v="1762658.6326372798"/>
    <n v="2700"/>
    <n v="2"/>
    <n v="2014579.7380503202"/>
    <n v="2700"/>
    <n v="2"/>
    <n v="2302505.6842064443"/>
    <n v="2700"/>
    <n v="2"/>
    <n v="2631582.3224419644"/>
    <n v="2700"/>
    <n v="2"/>
    <n v="3007690.9548111772"/>
    <n v="2700"/>
    <n v="2"/>
    <n v="3437553.4455097681"/>
    <n v="2700"/>
    <n v="2"/>
    <n v="3928852.3549381536"/>
    <n v="20627663.132595111"/>
    <n v="20026.857410286517"/>
  </r>
  <r>
    <s v="4.3.1.6"/>
    <x v="0"/>
    <x v="0"/>
    <x v="5"/>
    <x v="5"/>
    <n v="2"/>
    <x v="32"/>
    <x v="32"/>
    <s v="Engage financiers and the Treasury on the introduction of social bonds for selected health issues"/>
    <s v="Develop concept notes on specific topic requiring social bonds financing"/>
    <s v="Fuel for Traveling Attendants"/>
    <n v="285.60000000000002"/>
    <n v="1000"/>
    <n v="10"/>
    <n v="2856000"/>
    <n v="1000"/>
    <n v="10"/>
    <n v="3264182.6530320002"/>
    <n v="1000"/>
    <n v="10"/>
    <n v="3730703.2186117042"/>
    <n v="1000"/>
    <n v="10"/>
    <n v="4263899.4151971191"/>
    <n v="1000"/>
    <n v="10"/>
    <n v="4873300.5971147493"/>
    <n v="1000"/>
    <n v="10"/>
    <n v="5569798.0644651428"/>
    <n v="1000"/>
    <n v="10"/>
    <n v="6365839.7139069773"/>
    <n v="1000"/>
    <n v="10"/>
    <n v="7275652.5091447299"/>
    <n v="38199376.171472423"/>
    <n v="37086.772982012058"/>
  </r>
  <r>
    <s v="4.3.1.6"/>
    <x v="0"/>
    <x v="0"/>
    <x v="5"/>
    <x v="5"/>
    <n v="3"/>
    <x v="33"/>
    <x v="33"/>
    <s v="Engage debtors and the Treasury on the inroduction of debt2health for selected health conditions"/>
    <s v="Develop concept notes on specific topic requiring debt2health  financing"/>
    <s v="Conference package high-level"/>
    <n v="35000"/>
    <n v="30"/>
    <n v="10"/>
    <n v="10500000"/>
    <n v="30"/>
    <n v="10"/>
    <n v="12000671.518499998"/>
    <n v="30"/>
    <n v="10"/>
    <n v="13715820.656660672"/>
    <n v="30"/>
    <n v="10"/>
    <n v="15676100.791165877"/>
    <n v="30"/>
    <n v="10"/>
    <n v="17916546.31292187"/>
    <n v="30"/>
    <n v="10"/>
    <n v="20477198.766415965"/>
    <n v="30"/>
    <n v="10"/>
    <n v="23403822.477599181"/>
    <n v="30"/>
    <n v="10"/>
    <n v="26748722.460090913"/>
    <n v="140438882.98335448"/>
    <n v="136348.43008092669"/>
  </r>
  <r>
    <s v="4.3.1.6"/>
    <x v="0"/>
    <x v="0"/>
    <x v="5"/>
    <x v="5"/>
    <n v="3"/>
    <x v="33"/>
    <x v="33"/>
    <s v="Engage debtors and the Treasury on the inroduction of debt2health for selected health conditions"/>
    <s v="Develop concept notes on specific topic requiring debt2health  financing"/>
    <s v="DSA (excl. lunch)"/>
    <n v="39000"/>
    <n v="30"/>
    <n v="12"/>
    <n v="14040000"/>
    <n v="30"/>
    <n v="12"/>
    <n v="16046612.201879997"/>
    <n v="30"/>
    <n v="12"/>
    <n v="18340011.620906271"/>
    <n v="30"/>
    <n v="12"/>
    <n v="20961186.200758941"/>
    <n v="30"/>
    <n v="12"/>
    <n v="23956981.92699267"/>
    <n v="30"/>
    <n v="12"/>
    <n v="27380940.064807635"/>
    <n v="30"/>
    <n v="12"/>
    <n v="31294254.055761192"/>
    <n v="30"/>
    <n v="12"/>
    <n v="35766863.17520728"/>
    <n v="187786849.24631399"/>
    <n v="182317.32936535339"/>
  </r>
  <r>
    <s v="4.3.1.6"/>
    <x v="0"/>
    <x v="0"/>
    <x v="5"/>
    <x v="5"/>
    <n v="3"/>
    <x v="33"/>
    <x v="33"/>
    <s v="Engage debtors and the Treasury on the inroduction of debt2health for selected health conditions"/>
    <s v="Develop concept notes on specific topic requiring debt2health  financing"/>
    <s v="Local running (diesel, per km)"/>
    <n v="285.60000000000002"/>
    <n v="2700"/>
    <n v="2"/>
    <n v="1542240.0000000002"/>
    <n v="2700"/>
    <n v="2"/>
    <n v="1762658.6326372798"/>
    <n v="2700"/>
    <n v="2"/>
    <n v="2014579.7380503202"/>
    <n v="2700"/>
    <n v="2"/>
    <n v="2302505.6842064443"/>
    <n v="2700"/>
    <n v="2"/>
    <n v="2631582.3224419644"/>
    <n v="2700"/>
    <n v="2"/>
    <n v="3007690.9548111772"/>
    <n v="2700"/>
    <n v="2"/>
    <n v="3437553.4455097681"/>
    <n v="2700"/>
    <n v="2"/>
    <n v="3928852.3549381536"/>
    <n v="20627663.132595111"/>
    <n v="20026.857410286517"/>
  </r>
  <r>
    <s v="4.3.1.6"/>
    <x v="0"/>
    <x v="0"/>
    <x v="5"/>
    <x v="5"/>
    <n v="3"/>
    <x v="33"/>
    <x v="33"/>
    <s v="Engage debtors and the Treasury on the inroduction of debt2health for selected health conditions"/>
    <s v="Develop concept notes on specific topic requiring debt2health  financing"/>
    <s v="Fuel for Traveling Attendants"/>
    <n v="285.60000000000002"/>
    <n v="1000"/>
    <n v="10"/>
    <n v="2856000"/>
    <n v="1000"/>
    <n v="10"/>
    <n v="3264182.6530320002"/>
    <n v="1000"/>
    <n v="10"/>
    <n v="3730703.2186117042"/>
    <n v="1000"/>
    <n v="10"/>
    <n v="4263899.4151971191"/>
    <n v="1000"/>
    <n v="10"/>
    <n v="4873300.5971147493"/>
    <n v="1000"/>
    <n v="10"/>
    <n v="5569798.0644651428"/>
    <n v="1000"/>
    <n v="10"/>
    <n v="6365839.7139069773"/>
    <n v="1000"/>
    <n v="10"/>
    <n v="7275652.5091447299"/>
    <n v="38199376.171472423"/>
    <n v="37086.772982012058"/>
  </r>
  <r>
    <s v="4.3.1.6"/>
    <x v="0"/>
    <x v="0"/>
    <x v="5"/>
    <x v="5"/>
    <n v="4"/>
    <x v="34"/>
    <x v="34"/>
    <s v="conduct feasibility assessments of hypothecated  taxes"/>
    <s v="Set up a steering committee to manage the exploration"/>
    <s v="Zero cost"/>
    <n v="0"/>
    <m/>
    <m/>
    <n v="0"/>
    <m/>
    <m/>
    <n v="0"/>
    <m/>
    <m/>
    <n v="0"/>
    <m/>
    <m/>
    <n v="0"/>
    <m/>
    <m/>
    <n v="0"/>
    <m/>
    <m/>
    <n v="0"/>
    <m/>
    <m/>
    <n v="0"/>
    <m/>
    <m/>
    <n v="0"/>
    <n v="0"/>
    <n v="0"/>
  </r>
  <r>
    <s v="4.3.1.6"/>
    <x v="0"/>
    <x v="0"/>
    <x v="5"/>
    <x v="5"/>
    <n v="4"/>
    <x v="34"/>
    <x v="34"/>
    <s v="conduct feasibility assessments of hypothecated  taxes"/>
    <s v="Recruit a consultant"/>
    <s v="Newspaper advert (full)"/>
    <n v="391991.03749999998"/>
    <n v="2"/>
    <n v="2"/>
    <n v="1567964.15"/>
    <n v="2"/>
    <n v="2"/>
    <n v="1792059.3063746723"/>
    <m/>
    <m/>
    <n v="0"/>
    <m/>
    <m/>
    <n v="0"/>
    <m/>
    <m/>
    <n v="0"/>
    <m/>
    <m/>
    <n v="0"/>
    <n v="2"/>
    <n v="2"/>
    <n v="3494890.915984733"/>
    <m/>
    <m/>
    <n v="0"/>
    <n v="6854914.3723594053"/>
    <n v="6655.2566721935973"/>
  </r>
  <r>
    <s v="4.3.1.6"/>
    <x v="0"/>
    <x v="0"/>
    <x v="5"/>
    <x v="5"/>
    <n v="4"/>
    <x v="34"/>
    <x v="34"/>
    <s v="conduct feasibility assessments of hypothecated  taxes"/>
    <s v="Recruit a consultant"/>
    <s v="Local consultant fee - High level"/>
    <n v="515000"/>
    <n v="1"/>
    <n v="25"/>
    <n v="12875000"/>
    <n v="1"/>
    <n v="25"/>
    <n v="14715109.123875"/>
    <m/>
    <m/>
    <n v="0"/>
    <m/>
    <m/>
    <n v="0"/>
    <m/>
    <m/>
    <n v="0"/>
    <m/>
    <m/>
    <n v="0"/>
    <n v="1"/>
    <n v="25"/>
    <n v="28697544.228484713"/>
    <m/>
    <m/>
    <n v="0"/>
    <n v="56287653.352359712"/>
    <n v="54648.207138213314"/>
  </r>
  <r>
    <s v="4.3.1.6"/>
    <x v="0"/>
    <x v="0"/>
    <x v="5"/>
    <x v="5"/>
    <n v="4"/>
    <x v="34"/>
    <x v="34"/>
    <s v="conduct feasibility assessments of hypothecated  taxes"/>
    <s v="Validation workshop"/>
    <s v="Conference package high-level"/>
    <n v="35000"/>
    <n v="100"/>
    <n v="3"/>
    <n v="10500000"/>
    <n v="100"/>
    <n v="3"/>
    <n v="12000671.518499998"/>
    <m/>
    <m/>
    <n v="0"/>
    <m/>
    <m/>
    <n v="0"/>
    <m/>
    <m/>
    <n v="0"/>
    <m/>
    <m/>
    <n v="0"/>
    <n v="100"/>
    <n v="3"/>
    <n v="23403822.477599181"/>
    <m/>
    <m/>
    <n v="0"/>
    <n v="45904493.996099181"/>
    <n v="44567.469899125419"/>
  </r>
  <r>
    <s v="4.3.1.6"/>
    <x v="0"/>
    <x v="0"/>
    <x v="5"/>
    <x v="5"/>
    <n v="4"/>
    <x v="34"/>
    <x v="34"/>
    <s v="conduct feasibility assessments of hypothecated  taxes"/>
    <s v="Validation workshop"/>
    <s v="DSA (excl. lunch)"/>
    <n v="39000"/>
    <n v="58"/>
    <n v="4"/>
    <n v="9048000"/>
    <n v="58"/>
    <n v="4"/>
    <n v="10341150.085655998"/>
    <m/>
    <m/>
    <n v="0"/>
    <m/>
    <m/>
    <n v="0"/>
    <m/>
    <m/>
    <n v="0"/>
    <m/>
    <m/>
    <n v="0"/>
    <n v="58"/>
    <n v="4"/>
    <n v="20167408.169268325"/>
    <m/>
    <m/>
    <n v="0"/>
    <n v="39556558.254924327"/>
    <n v="38404.425490217793"/>
  </r>
  <r>
    <s v="4.3.1.6"/>
    <x v="0"/>
    <x v="0"/>
    <x v="5"/>
    <x v="5"/>
    <n v="4"/>
    <x v="34"/>
    <x v="34"/>
    <s v="conduct feasibility assessments of hypothecated  taxes"/>
    <s v="Validation workshop"/>
    <s v="Fuel (travelling participants)"/>
    <n v="285.60000000000002"/>
    <n v="17376"/>
    <n v="1"/>
    <n v="4962585.6000000006"/>
    <n v="17376"/>
    <n v="1"/>
    <n v="5671843.7779084025"/>
    <m/>
    <m/>
    <n v="0"/>
    <m/>
    <m/>
    <n v="0"/>
    <m/>
    <m/>
    <n v="0"/>
    <m/>
    <m/>
    <n v="0"/>
    <n v="17376"/>
    <n v="1"/>
    <n v="11061283.086884765"/>
    <m/>
    <m/>
    <n v="0"/>
    <n v="21695712.464793168"/>
    <n v="21063.798509507931"/>
  </r>
  <r>
    <s v="4.3.1.6"/>
    <x v="0"/>
    <x v="0"/>
    <x v="5"/>
    <x v="5"/>
    <n v="4"/>
    <x v="34"/>
    <x v="34"/>
    <s v="conduct feasibility assessments of hypothecated  taxes"/>
    <s v="Validation workshop"/>
    <s v="Local running fuel"/>
    <n v="285.60000000000002"/>
    <n v="4350"/>
    <n v="1"/>
    <n v="1242360"/>
    <n v="4350"/>
    <n v="1"/>
    <n v="1419919.4540689199"/>
    <m/>
    <m/>
    <n v="0"/>
    <m/>
    <m/>
    <n v="0"/>
    <m/>
    <m/>
    <n v="0"/>
    <m/>
    <m/>
    <n v="0"/>
    <n v="4350"/>
    <n v="1"/>
    <n v="2769140.2755495356"/>
    <m/>
    <m/>
    <n v="0"/>
    <n v="5431419.7296184553"/>
    <n v="5273.22303846452"/>
  </r>
  <r>
    <s v="4.3.2.1"/>
    <x v="1"/>
    <x v="1"/>
    <x v="0"/>
    <x v="6"/>
    <n v="1"/>
    <x v="35"/>
    <x v="35"/>
    <s v="Engage donors "/>
    <s v="conduct meetings"/>
    <s v="Conference package high-level"/>
    <n v="35000"/>
    <n v="40"/>
    <n v="5"/>
    <n v="7000000"/>
    <n v="40"/>
    <n v="5"/>
    <n v="8000447.6789999986"/>
    <n v="40"/>
    <n v="5"/>
    <n v="9143880.4377737809"/>
    <n v="40"/>
    <n v="5"/>
    <n v="10450733.860777251"/>
    <n v="40"/>
    <n v="5"/>
    <n v="11944364.20861458"/>
    <n v="40"/>
    <n v="5"/>
    <n v="13651465.844277311"/>
    <n v="40"/>
    <n v="5"/>
    <n v="15602548.318399454"/>
    <n v="40"/>
    <n v="5"/>
    <n v="17832481.640060611"/>
    <n v="93625921.988902986"/>
    <n v="90898.953387284448"/>
  </r>
  <r>
    <s v="4.3.2.1"/>
    <x v="1"/>
    <x v="1"/>
    <x v="0"/>
    <x v="6"/>
    <n v="1"/>
    <x v="35"/>
    <x v="35"/>
    <s v="Assess the feasibility of reinstating the sector budget support to SWAP"/>
    <s v="Set up a taskforce"/>
    <s v="Zero cost"/>
    <n v="0"/>
    <n v="0"/>
    <n v="0"/>
    <n v="0"/>
    <n v="0"/>
    <n v="0"/>
    <n v="0"/>
    <n v="0"/>
    <n v="0"/>
    <n v="0"/>
    <n v="0"/>
    <n v="0"/>
    <n v="0"/>
    <n v="0"/>
    <n v="0"/>
    <n v="0"/>
    <m/>
    <m/>
    <n v="0"/>
    <m/>
    <m/>
    <n v="0"/>
    <m/>
    <m/>
    <n v="0"/>
    <n v="0"/>
    <n v="0"/>
  </r>
  <r>
    <s v="4.3.2.1"/>
    <x v="1"/>
    <x v="1"/>
    <x v="0"/>
    <x v="6"/>
    <n v="1"/>
    <x v="35"/>
    <x v="35"/>
    <s v="Assess the feasibility of reinstating the sector budget support to SWAP"/>
    <s v="Develop TORs for consultant"/>
    <s v="Zero cost"/>
    <n v="0"/>
    <n v="0"/>
    <n v="0"/>
    <n v="0"/>
    <n v="0"/>
    <n v="0"/>
    <n v="0"/>
    <n v="0"/>
    <n v="0"/>
    <n v="0"/>
    <n v="0"/>
    <n v="0"/>
    <n v="0"/>
    <n v="0"/>
    <n v="0"/>
    <n v="0"/>
    <m/>
    <m/>
    <n v="0"/>
    <m/>
    <m/>
    <n v="0"/>
    <m/>
    <m/>
    <n v="0"/>
    <n v="0"/>
    <n v="0"/>
  </r>
  <r>
    <s v="4.3.2.1"/>
    <x v="1"/>
    <x v="1"/>
    <x v="0"/>
    <x v="6"/>
    <n v="1"/>
    <x v="35"/>
    <x v="35"/>
    <s v="Assess the feasibility of reinstating the sector budget support to SWAP"/>
    <s v="Recruitment of a consultant"/>
    <s v="Newspaper advert (full)"/>
    <n v="391991.03749999998"/>
    <n v="2"/>
    <n v="2"/>
    <n v="1567964.15"/>
    <n v="2"/>
    <n v="2"/>
    <n v="1792059.3063746723"/>
    <n v="2"/>
    <n v="2"/>
    <n v="2048182.3883307995"/>
    <n v="2"/>
    <n v="2"/>
    <n v="2340910.8621271173"/>
    <n v="2"/>
    <n v="2"/>
    <n v="2675476.4105215403"/>
    <n v="2"/>
    <n v="2"/>
    <n v="3057858.4341109009"/>
    <n v="2"/>
    <n v="2"/>
    <n v="3494890.915984733"/>
    <n v="2"/>
    <n v="2"/>
    <n v="3994384.5595926056"/>
    <n v="20971727.027042367"/>
    <n v="20360.900026254723"/>
  </r>
  <r>
    <s v="4.3.2.1"/>
    <x v="1"/>
    <x v="1"/>
    <x v="0"/>
    <x v="6"/>
    <n v="1"/>
    <x v="35"/>
    <x v="35"/>
    <s v="Assess the feasibility of reinstating the sector budget support to SWAP"/>
    <s v="Recruitment of a consultant"/>
    <s v="Local consultant fee - High level"/>
    <n v="511000"/>
    <n v="1"/>
    <n v="25"/>
    <n v="12775000"/>
    <n v="0"/>
    <n v="0"/>
    <n v="0"/>
    <n v="0"/>
    <n v="0"/>
    <n v="0"/>
    <n v="0"/>
    <n v="0"/>
    <n v="0"/>
    <n v="0"/>
    <n v="0"/>
    <n v="0"/>
    <n v="0"/>
    <n v="0"/>
    <n v="0"/>
    <m/>
    <m/>
    <n v="0"/>
    <m/>
    <m/>
    <n v="0"/>
    <n v="12775000"/>
    <n v="12402.912621359223"/>
  </r>
  <r>
    <s v="4.3.2.1"/>
    <x v="1"/>
    <x v="1"/>
    <x v="0"/>
    <x v="6"/>
    <n v="1"/>
    <x v="35"/>
    <x v="35"/>
    <s v="Assess the feasibility of reinstating the sector budget support to SWAP"/>
    <s v="develop data collection tools"/>
    <s v="Zero cost"/>
    <n v="0"/>
    <n v="1"/>
    <n v="40"/>
    <n v="0"/>
    <n v="0"/>
    <n v="0"/>
    <n v="0"/>
    <n v="0"/>
    <n v="0"/>
    <n v="0"/>
    <n v="0"/>
    <n v="0"/>
    <n v="0"/>
    <n v="0"/>
    <n v="0"/>
    <n v="0"/>
    <m/>
    <m/>
    <n v="0"/>
    <m/>
    <m/>
    <n v="0"/>
    <m/>
    <m/>
    <n v="0"/>
    <n v="0"/>
    <n v="0"/>
  </r>
  <r>
    <s v="4.3.2.1"/>
    <x v="1"/>
    <x v="1"/>
    <x v="0"/>
    <x v="6"/>
    <n v="1"/>
    <x v="35"/>
    <x v="35"/>
    <s v="Assess the feasibility of reinstating the sector budget support to SWAP"/>
    <s v="conduct training on data collection "/>
    <s v="Conference package high-level"/>
    <n v="35000"/>
    <n v="25"/>
    <n v="5"/>
    <n v="4375000"/>
    <n v="0"/>
    <n v="0"/>
    <n v="0"/>
    <n v="0"/>
    <n v="0"/>
    <n v="0"/>
    <n v="0"/>
    <n v="0"/>
    <n v="0"/>
    <n v="0"/>
    <n v="0"/>
    <n v="0"/>
    <m/>
    <m/>
    <n v="0"/>
    <m/>
    <m/>
    <n v="0"/>
    <m/>
    <m/>
    <n v="0"/>
    <n v="4375000"/>
    <n v="4247.5728155339802"/>
  </r>
  <r>
    <s v="4.3.2.1"/>
    <x v="1"/>
    <x v="1"/>
    <x v="0"/>
    <x v="6"/>
    <n v="1"/>
    <x v="35"/>
    <x v="35"/>
    <s v="Assess the feasibility of reinstating the sector budget support to SWAP"/>
    <s v="pretesting of the data collection tool "/>
    <s v="Full DSA"/>
    <n v="45000"/>
    <n v="25"/>
    <n v="2"/>
    <n v="2250000"/>
    <n v="0"/>
    <n v="0"/>
    <n v="0"/>
    <n v="0"/>
    <n v="0"/>
    <n v="0"/>
    <n v="0"/>
    <n v="0"/>
    <n v="0"/>
    <n v="0"/>
    <n v="0"/>
    <n v="0"/>
    <m/>
    <m/>
    <n v="0"/>
    <m/>
    <m/>
    <n v="0"/>
    <m/>
    <m/>
    <n v="0"/>
    <n v="2250000"/>
    <n v="2184.4660194174758"/>
  </r>
  <r>
    <s v="4.3.2.1"/>
    <x v="1"/>
    <x v="1"/>
    <x v="0"/>
    <x v="6"/>
    <n v="1"/>
    <x v="35"/>
    <x v="35"/>
    <s v="Assess the feasibility of reinstating the sector budget support to SWAP"/>
    <s v="pretesting of the data collection tool "/>
    <s v="Fuel for Travelling Participants"/>
    <n v="211.42857142857142"/>
    <n v="2430"/>
    <n v="1"/>
    <n v="513771.42857142852"/>
    <m/>
    <m/>
    <n v="0"/>
    <m/>
    <m/>
    <n v="0"/>
    <m/>
    <m/>
    <n v="0"/>
    <m/>
    <m/>
    <n v="0"/>
    <m/>
    <m/>
    <n v="0"/>
    <m/>
    <m/>
    <n v="0"/>
    <m/>
    <m/>
    <n v="0"/>
    <n v="513771.42857142852"/>
    <n v="498.80721220527039"/>
  </r>
  <r>
    <s v="4.3.2.1"/>
    <x v="1"/>
    <x v="1"/>
    <x v="0"/>
    <x v="6"/>
    <n v="1"/>
    <x v="35"/>
    <x v="35"/>
    <s v="Assess the feasibility of reinstating the sector budget support to SWAP"/>
    <s v="pretesting of the data collection tool "/>
    <s v="Local running (diesel, per km)"/>
    <n v="211.42857142857142"/>
    <n v="450"/>
    <n v="1"/>
    <n v="95142.85714285713"/>
    <n v="0"/>
    <n v="0"/>
    <n v="0"/>
    <n v="0"/>
    <n v="0"/>
    <n v="0"/>
    <n v="0"/>
    <n v="0"/>
    <n v="0"/>
    <n v="0"/>
    <n v="0"/>
    <n v="0"/>
    <m/>
    <m/>
    <n v="0"/>
    <m/>
    <m/>
    <n v="0"/>
    <m/>
    <m/>
    <n v="0"/>
    <n v="95142.85714285713"/>
    <n v="92.371705963938965"/>
  </r>
  <r>
    <s v="4.3.2.1"/>
    <x v="1"/>
    <x v="1"/>
    <x v="0"/>
    <x v="6"/>
    <n v="1"/>
    <x v="35"/>
    <x v="35"/>
    <s v="Assess the feasibility of reinstating the sector budget support to SWAP"/>
    <s v="validation of the data collection tool "/>
    <s v="Conference package high-level"/>
    <n v="35000"/>
    <n v="25"/>
    <n v="1"/>
    <n v="875000"/>
    <n v="0"/>
    <n v="0"/>
    <n v="0"/>
    <n v="0"/>
    <n v="0"/>
    <n v="0"/>
    <n v="0"/>
    <n v="0"/>
    <n v="0"/>
    <n v="0"/>
    <n v="0"/>
    <n v="0"/>
    <m/>
    <m/>
    <n v="0"/>
    <m/>
    <m/>
    <n v="0"/>
    <m/>
    <m/>
    <n v="0"/>
    <n v="875000"/>
    <n v="849.51456310679612"/>
  </r>
  <r>
    <s v="4.3.2.1"/>
    <x v="1"/>
    <x v="1"/>
    <x v="0"/>
    <x v="6"/>
    <n v="1"/>
    <x v="35"/>
    <x v="35"/>
    <s v="Assess the feasibility of reinstating the sector budget support to SWAP"/>
    <s v="Conduct assessment (data collection)"/>
    <s v="Full DSA"/>
    <n v="45000"/>
    <n v="25"/>
    <n v="6"/>
    <n v="6750000"/>
    <n v="0"/>
    <n v="0"/>
    <n v="0"/>
    <n v="0"/>
    <n v="0"/>
    <n v="0"/>
    <n v="0"/>
    <n v="0"/>
    <n v="0"/>
    <n v="0"/>
    <n v="0"/>
    <n v="0"/>
    <m/>
    <m/>
    <n v="0"/>
    <m/>
    <m/>
    <n v="0"/>
    <m/>
    <m/>
    <n v="0"/>
    <n v="6750000"/>
    <n v="6553.3980582524273"/>
  </r>
  <r>
    <s v="4.3.2.1"/>
    <x v="1"/>
    <x v="1"/>
    <x v="0"/>
    <x v="6"/>
    <n v="1"/>
    <x v="35"/>
    <x v="35"/>
    <s v="Assess the feasibility of reinstating the sector budget support to SWAP"/>
    <s v="Conduct assessment (data collection)"/>
    <s v="Local running (diesel, per km)"/>
    <n v="211.42857142857142"/>
    <n v="450"/>
    <n v="5"/>
    <n v="475714.28571428568"/>
    <n v="0"/>
    <n v="0"/>
    <n v="0"/>
    <n v="0"/>
    <n v="0"/>
    <n v="0"/>
    <n v="0"/>
    <n v="0"/>
    <n v="0"/>
    <n v="0"/>
    <n v="0"/>
    <n v="0"/>
    <m/>
    <m/>
    <n v="0"/>
    <m/>
    <m/>
    <n v="0"/>
    <m/>
    <m/>
    <n v="0"/>
    <n v="475714.28571428568"/>
    <n v="461.85852981969481"/>
  </r>
  <r>
    <s v="4.3.2.1"/>
    <x v="1"/>
    <x v="1"/>
    <x v="0"/>
    <x v="6"/>
    <n v="1"/>
    <x v="35"/>
    <x v="35"/>
    <s v="Assess the feasibility of reinstating the sector budget support to SWAP"/>
    <s v="Conduct assessment (data collection)"/>
    <s v="Airtime for Research Assistant"/>
    <n v="10000"/>
    <n v="15"/>
    <n v="1"/>
    <n v="150000"/>
    <n v="0"/>
    <n v="0"/>
    <n v="0"/>
    <n v="0"/>
    <n v="0"/>
    <n v="0"/>
    <n v="0"/>
    <n v="0"/>
    <n v="0"/>
    <n v="0"/>
    <n v="0"/>
    <n v="0"/>
    <m/>
    <m/>
    <n v="0"/>
    <m/>
    <m/>
    <n v="0"/>
    <m/>
    <m/>
    <n v="0"/>
    <n v="150000"/>
    <n v="145.63106796116506"/>
  </r>
  <r>
    <s v="4.3.2.1"/>
    <x v="1"/>
    <x v="1"/>
    <x v="0"/>
    <x v="6"/>
    <n v="1"/>
    <x v="35"/>
    <x v="35"/>
    <s v="Assess the feasibility of reinstating the sector budget support to SWAP"/>
    <s v="Conduct assessment (data collection)"/>
    <s v="Fuel for Travelling Participants"/>
    <n v="211.42857142857142"/>
    <n v="2430"/>
    <n v="1"/>
    <n v="513771.42857142852"/>
    <m/>
    <m/>
    <n v="0"/>
    <m/>
    <m/>
    <n v="0"/>
    <m/>
    <m/>
    <n v="0"/>
    <m/>
    <m/>
    <n v="0"/>
    <m/>
    <m/>
    <n v="0"/>
    <m/>
    <m/>
    <n v="0"/>
    <m/>
    <m/>
    <n v="0"/>
    <n v="513771.42857142852"/>
    <n v="498.80721220527039"/>
  </r>
  <r>
    <s v="4.3.2.1"/>
    <x v="1"/>
    <x v="1"/>
    <x v="0"/>
    <x v="6"/>
    <n v="1"/>
    <x v="35"/>
    <x v="35"/>
    <s v="Assess the feasibility of reinstating the sector budget support to SWAP"/>
    <s v="Data analysis "/>
    <s v="Conference package high-level"/>
    <n v="35000"/>
    <n v="25"/>
    <n v="5"/>
    <n v="4375000"/>
    <n v="0"/>
    <n v="0"/>
    <n v="0"/>
    <n v="0"/>
    <n v="0"/>
    <n v="0"/>
    <n v="0"/>
    <n v="0"/>
    <n v="0"/>
    <n v="0"/>
    <n v="0"/>
    <n v="0"/>
    <m/>
    <m/>
    <n v="0"/>
    <m/>
    <m/>
    <n v="0"/>
    <m/>
    <m/>
    <n v="0"/>
    <n v="4375000"/>
    <n v="4247.5728155339802"/>
  </r>
  <r>
    <s v="4.3.2.1"/>
    <x v="1"/>
    <x v="1"/>
    <x v="0"/>
    <x v="6"/>
    <n v="1"/>
    <x v="35"/>
    <x v="35"/>
    <s v="Assess the feasibility of reinstating the sector budget support to SWAP"/>
    <s v="Data analysis "/>
    <s v="DSA (excl. lunch)"/>
    <n v="39000"/>
    <n v="25"/>
    <n v="6"/>
    <n v="5850000"/>
    <n v="0"/>
    <n v="0"/>
    <n v="0"/>
    <n v="0"/>
    <n v="0"/>
    <n v="0"/>
    <n v="0"/>
    <n v="0"/>
    <n v="0"/>
    <n v="0"/>
    <n v="0"/>
    <n v="0"/>
    <m/>
    <m/>
    <n v="0"/>
    <m/>
    <m/>
    <n v="0"/>
    <m/>
    <m/>
    <n v="0"/>
    <n v="5850000"/>
    <n v="5679.6116504854372"/>
  </r>
  <r>
    <s v="4.3.2.1"/>
    <x v="1"/>
    <x v="1"/>
    <x v="0"/>
    <x v="6"/>
    <n v="1"/>
    <x v="35"/>
    <x v="35"/>
    <s v="Assess the feasibility of reinstating the sector budget support to SWAP"/>
    <s v="Data analysis "/>
    <s v="Local running (diesel, per km)"/>
    <n v="211.42857142857142"/>
    <n v="450"/>
    <n v="5"/>
    <n v="475714.28571428568"/>
    <n v="0"/>
    <n v="0"/>
    <n v="0"/>
    <n v="0"/>
    <n v="0"/>
    <n v="0"/>
    <n v="0"/>
    <n v="0"/>
    <n v="0"/>
    <n v="0"/>
    <n v="0"/>
    <n v="0"/>
    <m/>
    <m/>
    <n v="0"/>
    <m/>
    <m/>
    <n v="0"/>
    <m/>
    <m/>
    <n v="0"/>
    <n v="475714.28571428568"/>
    <n v="461.85852981969481"/>
  </r>
  <r>
    <s v="4.3.2.1"/>
    <x v="1"/>
    <x v="1"/>
    <x v="0"/>
    <x v="6"/>
    <n v="1"/>
    <x v="35"/>
    <x v="35"/>
    <s v="Assess the feasibility of reinstating the sector budget support to SWAP"/>
    <s v="Report writing with recommendations and clear action points(consultant) "/>
    <s v="Zero cost"/>
    <n v="0"/>
    <n v="4000"/>
    <n v="1"/>
    <n v="0"/>
    <n v="0"/>
    <n v="0"/>
    <n v="0"/>
    <n v="0"/>
    <n v="0"/>
    <n v="0"/>
    <n v="0"/>
    <n v="0"/>
    <n v="0"/>
    <n v="0"/>
    <n v="0"/>
    <n v="0"/>
    <m/>
    <m/>
    <n v="0"/>
    <m/>
    <m/>
    <n v="0"/>
    <m/>
    <m/>
    <n v="0"/>
    <n v="0"/>
    <n v="0"/>
  </r>
  <r>
    <s v="4.3.2.1"/>
    <x v="1"/>
    <x v="1"/>
    <x v="0"/>
    <x v="6"/>
    <n v="1"/>
    <x v="35"/>
    <x v="35"/>
    <s v="Assess the feasibility of reinstating the sector budget support to SWAP"/>
    <s v="Validation workshop "/>
    <s v="Conference package high-level"/>
    <n v="35000"/>
    <n v="100"/>
    <n v="1"/>
    <n v="3500000"/>
    <n v="0"/>
    <n v="0"/>
    <n v="0"/>
    <n v="0"/>
    <n v="0"/>
    <n v="0"/>
    <n v="0"/>
    <n v="0"/>
    <n v="0"/>
    <n v="0"/>
    <n v="0"/>
    <n v="0"/>
    <m/>
    <m/>
    <n v="0"/>
    <m/>
    <m/>
    <n v="0"/>
    <m/>
    <m/>
    <n v="0"/>
    <n v="3500000"/>
    <n v="3398.0582524271845"/>
  </r>
  <r>
    <s v="4.3.2.1"/>
    <x v="1"/>
    <x v="1"/>
    <x v="0"/>
    <x v="6"/>
    <n v="1"/>
    <x v="35"/>
    <x v="35"/>
    <s v="Assess the feasibility of reinstating the sector budget support to SWAP"/>
    <s v="Validation workshop "/>
    <s v="DSA (excl. lunch)"/>
    <n v="39000"/>
    <n v="58"/>
    <n v="2"/>
    <n v="4524000"/>
    <n v="0"/>
    <n v="0"/>
    <n v="0"/>
    <n v="0"/>
    <n v="0"/>
    <n v="0"/>
    <n v="0"/>
    <n v="0"/>
    <n v="0"/>
    <n v="0"/>
    <n v="0"/>
    <n v="0"/>
    <m/>
    <m/>
    <n v="0"/>
    <m/>
    <m/>
    <n v="0"/>
    <m/>
    <m/>
    <n v="0"/>
    <n v="4524000"/>
    <n v="4392.2330097087379"/>
  </r>
  <r>
    <s v="4.3.2.1"/>
    <x v="1"/>
    <x v="1"/>
    <x v="0"/>
    <x v="6"/>
    <n v="1"/>
    <x v="35"/>
    <x v="35"/>
    <s v="Assess the feasibility of reinstating the sector budget support to SWAP"/>
    <s v="Validation workshop "/>
    <s v="Fuel for Travelling Participants"/>
    <n v="211.42857142857142"/>
    <n v="2430"/>
    <n v="1"/>
    <n v="513771.42857142852"/>
    <m/>
    <m/>
    <n v="0"/>
    <m/>
    <m/>
    <n v="0"/>
    <m/>
    <m/>
    <n v="0"/>
    <m/>
    <m/>
    <n v="0"/>
    <m/>
    <m/>
    <n v="0"/>
    <m/>
    <m/>
    <n v="0"/>
    <m/>
    <m/>
    <n v="0"/>
    <n v="513771.42857142852"/>
    <n v="498.80721220527039"/>
  </r>
  <r>
    <s v="4.3.2.1"/>
    <x v="1"/>
    <x v="1"/>
    <x v="0"/>
    <x v="6"/>
    <n v="1"/>
    <x v="35"/>
    <x v="35"/>
    <s v="Assess the feasibility of reinstating the sector budget support to SWAP"/>
    <s v="Validation workshop "/>
    <s v="Local running (diesel, per km)"/>
    <n v="211.42857142857142"/>
    <n v="450"/>
    <n v="1"/>
    <n v="95142.85714285713"/>
    <n v="0"/>
    <n v="0"/>
    <n v="0"/>
    <n v="0"/>
    <n v="0"/>
    <n v="0"/>
    <n v="0"/>
    <n v="0"/>
    <n v="0"/>
    <n v="0"/>
    <n v="0"/>
    <n v="0"/>
    <m/>
    <m/>
    <n v="0"/>
    <m/>
    <m/>
    <n v="0"/>
    <m/>
    <m/>
    <n v="0"/>
    <n v="95142.85714285713"/>
    <n v="92.371705963938965"/>
  </r>
  <r>
    <s v="4.3.2.1"/>
    <x v="1"/>
    <x v="1"/>
    <x v="0"/>
    <x v="6"/>
    <n v="1"/>
    <x v="35"/>
    <x v="35"/>
    <s v="Assess the feasibility of reinstating the sector budget support to SWAP"/>
    <s v="Dissemination workshop"/>
    <s v="Conference package high-level"/>
    <n v="35000"/>
    <n v="100"/>
    <n v="1"/>
    <n v="3500000"/>
    <n v="0"/>
    <n v="0"/>
    <n v="0"/>
    <n v="0"/>
    <n v="0"/>
    <n v="0"/>
    <n v="0"/>
    <n v="0"/>
    <n v="0"/>
    <n v="0"/>
    <n v="0"/>
    <n v="0"/>
    <m/>
    <m/>
    <n v="0"/>
    <m/>
    <m/>
    <n v="0"/>
    <m/>
    <m/>
    <n v="0"/>
    <n v="3500000"/>
    <n v="3398.0582524271845"/>
  </r>
  <r>
    <s v="4.3.2.1"/>
    <x v="1"/>
    <x v="1"/>
    <x v="0"/>
    <x v="6"/>
    <n v="1"/>
    <x v="35"/>
    <x v="35"/>
    <s v="Assess the feasibility of reinstating the sector budget support to SWAP"/>
    <s v="Dissemination workshop"/>
    <s v="DSA (excl. lunch)"/>
    <n v="39000"/>
    <n v="100"/>
    <n v="2"/>
    <n v="7800000"/>
    <n v="0"/>
    <n v="0"/>
    <n v="0"/>
    <n v="0"/>
    <n v="0"/>
    <n v="0"/>
    <n v="0"/>
    <n v="0"/>
    <n v="0"/>
    <n v="0"/>
    <n v="0"/>
    <n v="0"/>
    <m/>
    <m/>
    <n v="0"/>
    <m/>
    <m/>
    <n v="0"/>
    <m/>
    <m/>
    <n v="0"/>
    <n v="7800000"/>
    <n v="7572.8155339805826"/>
  </r>
  <r>
    <s v="4.3.2.1"/>
    <x v="1"/>
    <x v="1"/>
    <x v="0"/>
    <x v="6"/>
    <n v="1"/>
    <x v="35"/>
    <x v="35"/>
    <s v="Assess the feasibility of reinstating the sector budget support to SWAP"/>
    <s v="Dissemination workshop"/>
    <s v="A4, 500 pages, 140 gsm paper"/>
    <n v="8000"/>
    <n v="10"/>
    <n v="1"/>
    <n v="80000"/>
    <n v="0"/>
    <n v="0"/>
    <n v="0"/>
    <n v="0"/>
    <n v="0"/>
    <n v="0"/>
    <n v="0"/>
    <n v="0"/>
    <n v="0"/>
    <n v="0"/>
    <n v="0"/>
    <n v="0"/>
    <m/>
    <m/>
    <n v="0"/>
    <m/>
    <m/>
    <n v="0"/>
    <m/>
    <m/>
    <n v="0"/>
    <n v="80000"/>
    <n v="77.669902912621353"/>
  </r>
  <r>
    <s v="4.3.2.1"/>
    <x v="1"/>
    <x v="1"/>
    <x v="0"/>
    <x v="6"/>
    <n v="1"/>
    <x v="35"/>
    <x v="35"/>
    <s v="Assess the feasibility of reinstating the sector budget support to SWAP"/>
    <s v="Dissemination workshop"/>
    <s v="Toner"/>
    <n v="104850"/>
    <n v="1"/>
    <n v="1"/>
    <n v="104850"/>
    <n v="0"/>
    <n v="0"/>
    <n v="0"/>
    <n v="0"/>
    <n v="0"/>
    <n v="0"/>
    <n v="0"/>
    <n v="0"/>
    <n v="0"/>
    <n v="0"/>
    <n v="0"/>
    <n v="0"/>
    <m/>
    <m/>
    <n v="0"/>
    <m/>
    <m/>
    <n v="0"/>
    <m/>
    <m/>
    <n v="0"/>
    <n v="104850"/>
    <n v="101.79611650485437"/>
  </r>
  <r>
    <s v="4.3.2.1"/>
    <x v="1"/>
    <x v="1"/>
    <x v="0"/>
    <x v="6"/>
    <n v="1"/>
    <x v="35"/>
    <x v="35"/>
    <s v="Assess the feasibility of reinstating the sector budget support to SWAP"/>
    <s v="Dissemination workshop"/>
    <s v="Fuel for Travelling Participants"/>
    <n v="211.42857142857142"/>
    <n v="7830"/>
    <n v="1"/>
    <n v="1655485.7142857141"/>
    <m/>
    <m/>
    <n v="0"/>
    <m/>
    <m/>
    <n v="0"/>
    <m/>
    <m/>
    <n v="0"/>
    <m/>
    <m/>
    <n v="0"/>
    <m/>
    <m/>
    <n v="0"/>
    <m/>
    <m/>
    <n v="0"/>
    <m/>
    <m/>
    <n v="0"/>
    <n v="1655485.7142857141"/>
    <n v="1607.267683772538"/>
  </r>
  <r>
    <s v="4.3.2.1"/>
    <x v="1"/>
    <x v="1"/>
    <x v="0"/>
    <x v="6"/>
    <n v="1"/>
    <x v="35"/>
    <x v="35"/>
    <s v="Assess the feasibility of reinstating the sector budget support to SWAP"/>
    <s v="Dissemination workshop"/>
    <s v="Local running (diesel, per km)"/>
    <n v="211.42857142857142"/>
    <n v="1450"/>
    <n v="1"/>
    <n v="306571.42857142858"/>
    <n v="0"/>
    <n v="0"/>
    <n v="0"/>
    <n v="0"/>
    <n v="0"/>
    <n v="0"/>
    <n v="0"/>
    <n v="0"/>
    <n v="0"/>
    <n v="0"/>
    <n v="0"/>
    <n v="0"/>
    <m/>
    <m/>
    <n v="0"/>
    <m/>
    <m/>
    <n v="0"/>
    <m/>
    <m/>
    <n v="0"/>
    <n v="306571.42857142858"/>
    <n v="297.64216366158115"/>
  </r>
  <r>
    <s v="4.3.2.1"/>
    <x v="1"/>
    <x v="1"/>
    <x v="0"/>
    <x v="6"/>
    <n v="1"/>
    <x v="35"/>
    <x v="35"/>
    <s v="Assess the feasibility of reinstating the sector budget support to SWAP"/>
    <s v="Implementation and monitoring "/>
    <s v="Zero cost"/>
    <n v="0"/>
    <n v="8000"/>
    <n v="1"/>
    <n v="0"/>
    <n v="0"/>
    <n v="0"/>
    <n v="0"/>
    <n v="0"/>
    <n v="0"/>
    <n v="0"/>
    <n v="0"/>
    <n v="0"/>
    <n v="0"/>
    <n v="0"/>
    <n v="0"/>
    <n v="0"/>
    <m/>
    <m/>
    <n v="0"/>
    <m/>
    <m/>
    <n v="0"/>
    <m/>
    <m/>
    <n v="0"/>
    <n v="0"/>
    <n v="0"/>
  </r>
  <r>
    <s v="4.3.2.1"/>
    <x v="1"/>
    <x v="1"/>
    <x v="0"/>
    <x v="6"/>
    <n v="1"/>
    <x v="35"/>
    <x v="35"/>
    <s v="Set up a steering committee for SBS"/>
    <s v="Develop terms of reference for the Health-SBS steering committee"/>
    <s v="Zero cost"/>
    <n v="0"/>
    <n v="0"/>
    <n v="0"/>
    <n v="0"/>
    <n v="0"/>
    <n v="0"/>
    <n v="0"/>
    <n v="0"/>
    <n v="0"/>
    <n v="0"/>
    <n v="0"/>
    <n v="0"/>
    <n v="0"/>
    <n v="0"/>
    <n v="0"/>
    <n v="0"/>
    <m/>
    <m/>
    <n v="0"/>
    <m/>
    <m/>
    <n v="0"/>
    <m/>
    <m/>
    <n v="0"/>
    <n v="0"/>
    <n v="0"/>
  </r>
  <r>
    <s v="4.3.2.1"/>
    <x v="1"/>
    <x v="1"/>
    <x v="0"/>
    <x v="6"/>
    <n v="1"/>
    <x v="35"/>
    <x v="35"/>
    <s v="Set up a steering committee for SBS"/>
    <s v="Set-up the Health-SBS steering committee"/>
    <s v="Zero cost"/>
    <n v="0"/>
    <n v="0"/>
    <n v="0"/>
    <n v="0"/>
    <n v="0"/>
    <n v="0"/>
    <n v="0"/>
    <n v="0"/>
    <n v="0"/>
    <n v="0"/>
    <n v="0"/>
    <n v="0"/>
    <n v="0"/>
    <n v="0"/>
    <n v="0"/>
    <n v="0"/>
    <m/>
    <m/>
    <n v="0"/>
    <m/>
    <m/>
    <n v="0"/>
    <m/>
    <m/>
    <n v="0"/>
    <n v="0"/>
    <n v="0"/>
  </r>
  <r>
    <s v="4.3.2.1"/>
    <x v="1"/>
    <x v="1"/>
    <x v="0"/>
    <x v="6"/>
    <n v="1"/>
    <x v="35"/>
    <x v="35"/>
    <s v="Set up a steering committee for SBS"/>
    <s v="Health-SBS steering committee agrees on fundamental values of the SBS pool"/>
    <s v="Zero cost"/>
    <n v="0"/>
    <n v="0"/>
    <n v="0"/>
    <n v="0"/>
    <n v="0"/>
    <n v="0"/>
    <n v="0"/>
    <n v="0"/>
    <n v="0"/>
    <n v="0"/>
    <n v="0"/>
    <n v="0"/>
    <n v="0"/>
    <n v="0"/>
    <n v="0"/>
    <n v="0"/>
    <m/>
    <m/>
    <n v="0"/>
    <m/>
    <m/>
    <n v="0"/>
    <m/>
    <m/>
    <n v="0"/>
    <n v="0"/>
    <n v="0"/>
  </r>
  <r>
    <s v="4.3.2.1"/>
    <x v="1"/>
    <x v="1"/>
    <x v="0"/>
    <x v="6"/>
    <n v="1"/>
    <x v="35"/>
    <x v="35"/>
    <s v="Set up a steering committee for SBS"/>
    <s v="Agreement on nature of SBS- preferably a fiduciary agent (Traceability of funds; earmarking; role of PFM; role of HSSP 3 etc, type of contract/MoU)"/>
    <s v="Conference package high-level"/>
    <n v="35000"/>
    <n v="40"/>
    <n v="1"/>
    <n v="1400000"/>
    <n v="40"/>
    <n v="1"/>
    <n v="1600089.5357999997"/>
    <n v="40"/>
    <n v="1"/>
    <n v="1828776.0875547563"/>
    <n v="40"/>
    <n v="1"/>
    <n v="2090146.7721554502"/>
    <n v="40"/>
    <n v="1"/>
    <n v="2388872.8417229159"/>
    <n v="40"/>
    <n v="1"/>
    <n v="2730293.1688554622"/>
    <n v="40"/>
    <n v="1"/>
    <n v="3120509.6636798908"/>
    <n v="40"/>
    <n v="1"/>
    <n v="3566496.3280121218"/>
    <n v="18725184.397780597"/>
    <n v="18179.790677456891"/>
  </r>
  <r>
    <s v="4.3.2.1"/>
    <x v="1"/>
    <x v="1"/>
    <x v="0"/>
    <x v="6"/>
    <n v="1"/>
    <x v="35"/>
    <x v="35"/>
    <s v="Set up a steering committee for SBS"/>
    <s v="Agreement on the amount of funds committed to the Health-SBS Pool"/>
    <s v="Conference package high-level"/>
    <n v="35000"/>
    <n v="40"/>
    <n v="1"/>
    <n v="1400000"/>
    <n v="40"/>
    <n v="1"/>
    <n v="1600089.5357999997"/>
    <n v="40"/>
    <n v="1"/>
    <n v="1828776.0875547563"/>
    <n v="40"/>
    <n v="1"/>
    <n v="2090146.7721554502"/>
    <n v="40"/>
    <n v="1"/>
    <n v="2388872.8417229159"/>
    <n v="40"/>
    <n v="1"/>
    <n v="2730293.1688554622"/>
    <n v="40"/>
    <n v="1"/>
    <n v="3120509.6636798908"/>
    <n v="40"/>
    <n v="1"/>
    <n v="3566496.3280121218"/>
    <n v="18725184.397780597"/>
    <n v="18179.790677456891"/>
  </r>
  <r>
    <s v="4.3.2.1"/>
    <x v="1"/>
    <x v="1"/>
    <x v="0"/>
    <x v="6"/>
    <n v="1"/>
    <x v="35"/>
    <x v="35"/>
    <s v="Planning and organization"/>
    <s v="Contract signing for the Health-SBS"/>
    <s v="Zero cost"/>
    <n v="0"/>
    <n v="0"/>
    <n v="0"/>
    <n v="0"/>
    <n v="0"/>
    <n v="0"/>
    <n v="0"/>
    <n v="0"/>
    <n v="0"/>
    <n v="0"/>
    <n v="0"/>
    <n v="0"/>
    <n v="0"/>
    <n v="0"/>
    <n v="0"/>
    <n v="0"/>
    <m/>
    <m/>
    <n v="0"/>
    <m/>
    <m/>
    <n v="0"/>
    <m/>
    <m/>
    <n v="0"/>
    <n v="0"/>
    <n v="0"/>
  </r>
  <r>
    <s v="4.3.2.1"/>
    <x v="1"/>
    <x v="1"/>
    <x v="0"/>
    <x v="6"/>
    <n v="1"/>
    <x v="35"/>
    <x v="35"/>
    <s v="Planning and organization"/>
    <s v=" Hold 1 annual 2-day workshop to identify funding under SBS"/>
    <s v="Conference package high-level"/>
    <n v="35000"/>
    <n v="40"/>
    <n v="2"/>
    <n v="2800000"/>
    <n v="40"/>
    <n v="2"/>
    <n v="3200179.0715999994"/>
    <n v="40"/>
    <n v="2"/>
    <n v="3657552.1751095126"/>
    <n v="40"/>
    <n v="2"/>
    <n v="4180293.5443109004"/>
    <n v="40"/>
    <n v="5"/>
    <n v="11944364.20861458"/>
    <n v="40"/>
    <n v="5"/>
    <n v="13651465.844277311"/>
    <n v="40"/>
    <n v="5"/>
    <n v="15602548.318399454"/>
    <n v="40"/>
    <n v="5"/>
    <n v="17832481.640060611"/>
    <n v="72868884.802372366"/>
    <n v="70746.490099390649"/>
  </r>
  <r>
    <s v="4.3.2.1"/>
    <x v="1"/>
    <x v="1"/>
    <x v="0"/>
    <x v="6"/>
    <n v="1"/>
    <x v="35"/>
    <x v="35"/>
    <s v="Planning and organization"/>
    <s v=" Hold 1 annual 2-day workshop to identify funding under SBS"/>
    <s v="Local running (diesel, per km)"/>
    <n v="211.42857142857142"/>
    <n v="750"/>
    <n v="2"/>
    <n v="317142.8571428571"/>
    <n v="750"/>
    <n v="2"/>
    <n v="362469.26219142851"/>
    <n v="750"/>
    <n v="2"/>
    <n v="414273.7667726081"/>
    <n v="750"/>
    <n v="2"/>
    <n v="473482.22797807131"/>
    <n v="750"/>
    <n v="2"/>
    <n v="541152.82741070131"/>
    <n v="750"/>
    <n v="2"/>
    <n v="618494.98314889043"/>
    <n v="750"/>
    <n v="2"/>
    <n v="706890.96462952625"/>
    <n v="750"/>
    <n v="2"/>
    <n v="807920.59675376629"/>
    <n v="4241827.4860278498"/>
    <n v="4118.279112648398"/>
  </r>
  <r>
    <s v="4.3.2.1"/>
    <x v="1"/>
    <x v="1"/>
    <x v="0"/>
    <x v="6"/>
    <n v="1"/>
    <x v="35"/>
    <x v="35"/>
    <s v="Planning and organization"/>
    <s v="Hold 5-day workshop to develop PBB indicators"/>
    <s v="Conference package high-level"/>
    <n v="35000"/>
    <n v="40"/>
    <n v="5"/>
    <n v="7000000"/>
    <n v="40"/>
    <n v="2"/>
    <n v="3200179.0715999994"/>
    <n v="40"/>
    <n v="2"/>
    <n v="3657552.1751095126"/>
    <n v="40"/>
    <n v="2"/>
    <n v="4180293.5443109004"/>
    <n v="40"/>
    <n v="2"/>
    <n v="4777745.6834458318"/>
    <m/>
    <m/>
    <n v="0"/>
    <m/>
    <m/>
    <n v="0"/>
    <m/>
    <m/>
    <n v="0"/>
    <n v="22815770.474466242"/>
    <n v="22151.233470355575"/>
  </r>
  <r>
    <s v="4.3.2.1"/>
    <x v="1"/>
    <x v="1"/>
    <x v="0"/>
    <x v="6"/>
    <n v="1"/>
    <x v="35"/>
    <x v="35"/>
    <s v="Planning and organization"/>
    <s v="Hold 5-day workshop to develop PBB indicators"/>
    <s v="DSA (excl. lunch)"/>
    <n v="39000"/>
    <n v="30"/>
    <n v="6"/>
    <n v="7020000"/>
    <n v="30"/>
    <n v="6"/>
    <n v="8023306.1009399984"/>
    <n v="30"/>
    <n v="6"/>
    <n v="9170005.8104531355"/>
    <n v="30"/>
    <n v="6"/>
    <n v="10480593.100379471"/>
    <n v="30"/>
    <n v="6"/>
    <n v="11978490.963496335"/>
    <n v="30"/>
    <n v="6"/>
    <n v="13690470.032403817"/>
    <n v="30"/>
    <n v="6"/>
    <n v="15647127.027880596"/>
    <n v="30"/>
    <n v="6"/>
    <n v="17883431.58760364"/>
    <n v="93893424.623156995"/>
    <n v="91158.664682676696"/>
  </r>
  <r>
    <s v="4.3.2.1"/>
    <x v="1"/>
    <x v="1"/>
    <x v="0"/>
    <x v="6"/>
    <n v="1"/>
    <x v="35"/>
    <x v="35"/>
    <s v="Planning and organization"/>
    <s v="Hold 5-day workshop to develop PBB indicators"/>
    <s v="Local running (diesel, per km)"/>
    <n v="211.42857142857142"/>
    <n v="500"/>
    <n v="5"/>
    <n v="528571.42857142852"/>
    <n v="500"/>
    <n v="5"/>
    <n v="604115.43698571413"/>
    <n v="500"/>
    <n v="5"/>
    <n v="690456.27795434685"/>
    <n v="500"/>
    <n v="5"/>
    <n v="789137.04663011886"/>
    <n v="500"/>
    <n v="5"/>
    <n v="901921.3790178356"/>
    <n v="500"/>
    <n v="5"/>
    <n v="1030824.9719148173"/>
    <n v="500"/>
    <n v="5"/>
    <n v="1178151.6077158772"/>
    <n v="500"/>
    <n v="5"/>
    <n v="1346534.327922944"/>
    <n v="7069712.4767130818"/>
    <n v="6863.7985210806619"/>
  </r>
  <r>
    <s v="4.3.2.1"/>
    <x v="1"/>
    <x v="1"/>
    <x v="0"/>
    <x v="6"/>
    <n v="1"/>
    <x v="35"/>
    <x v="35"/>
    <s v="Planning and organization"/>
    <s v="Hold 5-day workshop to develop PBB indicators"/>
    <s v="Fuel for Travelling Participants"/>
    <n v="211.42857142857142"/>
    <n v="135000"/>
    <n v="1"/>
    <n v="28542857.142857142"/>
    <n v="135000"/>
    <n v="1"/>
    <n v="32622233.597228568"/>
    <n v="135000"/>
    <n v="1"/>
    <n v="37284639.009534732"/>
    <n v="135000"/>
    <n v="1"/>
    <n v="42613400.518026419"/>
    <n v="135000"/>
    <n v="1"/>
    <n v="48703754.46696312"/>
    <n v="135000"/>
    <n v="1"/>
    <n v="55664548.483400136"/>
    <n v="135000"/>
    <n v="1"/>
    <n v="63620186.816657364"/>
    <n v="135000"/>
    <n v="1"/>
    <n v="72712853.707838967"/>
    <n v="381764473.74250644"/>
    <n v="370645.12013835576"/>
  </r>
  <r>
    <s v="4.3.2.1"/>
    <x v="1"/>
    <x v="1"/>
    <x v="0"/>
    <x v="6"/>
    <n v="1"/>
    <x v="35"/>
    <x v="35"/>
    <s v="Enhance fiduciary management of the health SBS"/>
    <s v="Conduct financial and programmatic internal audits on a quarterly basis"/>
    <s v="Zero cost"/>
    <n v="0"/>
    <n v="0"/>
    <n v="0"/>
    <n v="0"/>
    <n v="0"/>
    <n v="0"/>
    <n v="0"/>
    <n v="0"/>
    <n v="0"/>
    <n v="0"/>
    <n v="0"/>
    <n v="0"/>
    <n v="0"/>
    <n v="8000"/>
    <n v="1"/>
    <n v="0"/>
    <m/>
    <m/>
    <n v="0"/>
    <m/>
    <m/>
    <n v="0"/>
    <m/>
    <m/>
    <n v="0"/>
    <n v="0"/>
    <n v="0"/>
  </r>
  <r>
    <s v="4.3.2.1"/>
    <x v="1"/>
    <x v="1"/>
    <x v="0"/>
    <x v="6"/>
    <n v="1"/>
    <x v="35"/>
    <x v="35"/>
    <s v="Enhance fiduciary management of the health SBS"/>
    <s v="Schedule external audits with the National Audit Office"/>
    <s v="Zero cost"/>
    <n v="0"/>
    <n v="0"/>
    <n v="0"/>
    <n v="0"/>
    <n v="0"/>
    <n v="0"/>
    <n v="0"/>
    <n v="0"/>
    <n v="0"/>
    <n v="0"/>
    <n v="0"/>
    <n v="0"/>
    <n v="0"/>
    <n v="0"/>
    <n v="0"/>
    <n v="0"/>
    <m/>
    <m/>
    <n v="0"/>
    <m/>
    <m/>
    <n v="0"/>
    <m/>
    <m/>
    <n v="0"/>
    <n v="0"/>
    <n v="0"/>
  </r>
  <r>
    <s v="4.3.2.1"/>
    <x v="1"/>
    <x v="1"/>
    <x v="0"/>
    <x v="6"/>
    <n v="1"/>
    <x v="35"/>
    <x v="35"/>
    <s v="Enhance fiduciary management of the health SBS"/>
    <s v="Skills transfer by fiduciary agent after development of risk management framework "/>
    <s v="Conference package high-level"/>
    <n v="35000"/>
    <m/>
    <m/>
    <n v="0"/>
    <n v="100"/>
    <n v="5"/>
    <n v="20001119.197499998"/>
    <n v="0"/>
    <n v="0"/>
    <n v="0"/>
    <n v="100"/>
    <n v="5"/>
    <n v="26126834.651943129"/>
    <n v="0"/>
    <n v="0"/>
    <n v="0"/>
    <n v="100"/>
    <n v="5"/>
    <n v="34128664.610693276"/>
    <m/>
    <m/>
    <n v="0"/>
    <n v="100"/>
    <n v="5"/>
    <n v="44581204.100151524"/>
    <n v="124837822.56028792"/>
    <n v="121201.76947600768"/>
  </r>
  <r>
    <s v="4.3.2.1"/>
    <x v="1"/>
    <x v="1"/>
    <x v="0"/>
    <x v="6"/>
    <n v="1"/>
    <x v="35"/>
    <x v="35"/>
    <s v="Enhance fiduciary management of the health SBS"/>
    <s v="Skills transfer by fiduciary agent after development of risk management framework "/>
    <s v="DSA (excl. lunch)"/>
    <n v="39000"/>
    <m/>
    <m/>
    <n v="0"/>
    <n v="58"/>
    <n v="6"/>
    <n v="15511725.128483998"/>
    <n v="0"/>
    <n v="0"/>
    <n v="0"/>
    <n v="58"/>
    <n v="6"/>
    <n v="20262479.99406698"/>
    <n v="0"/>
    <n v="0"/>
    <n v="0"/>
    <n v="58"/>
    <n v="6"/>
    <n v="26468242.06264738"/>
    <m/>
    <m/>
    <n v="0"/>
    <n v="58"/>
    <n v="6"/>
    <n v="34574634.402700365"/>
    <n v="96817081.587898731"/>
    <n v="93997.166590192937"/>
  </r>
  <r>
    <s v="4.3.2.1"/>
    <x v="1"/>
    <x v="1"/>
    <x v="0"/>
    <x v="6"/>
    <n v="1"/>
    <x v="35"/>
    <x v="35"/>
    <s v="Enhance fiduciary management of the health SBS"/>
    <s v="Skills transfer by fiduciary agent after development of risk management framework "/>
    <s v="Fuel for Travelling Participants"/>
    <n v="211.42857142857142"/>
    <m/>
    <m/>
    <n v="0"/>
    <n v="7830"/>
    <n v="1"/>
    <n v="1892089.548639257"/>
    <m/>
    <m/>
    <n v="0"/>
    <n v="7830"/>
    <n v="1"/>
    <n v="2471577.2300455323"/>
    <m/>
    <m/>
    <n v="0"/>
    <n v="7830"/>
    <n v="1"/>
    <n v="3228543.8120372081"/>
    <m/>
    <m/>
    <n v="0"/>
    <n v="7830"/>
    <n v="1"/>
    <n v="4217345.5150546599"/>
    <n v="11809556.105776656"/>
    <n v="11465.588452210346"/>
  </r>
  <r>
    <s v="4.3.2.1"/>
    <x v="1"/>
    <x v="1"/>
    <x v="0"/>
    <x v="6"/>
    <n v="1"/>
    <x v="35"/>
    <x v="35"/>
    <s v="Enhance fiduciary management of the health SBS"/>
    <s v="Skills transfer by fiduciary agent after development of risk management framework "/>
    <s v="Local running (diesel, per km)"/>
    <n v="211.42857142857142"/>
    <m/>
    <m/>
    <n v="0"/>
    <n v="1450"/>
    <n v="5"/>
    <n v="1751934.7672585712"/>
    <n v="0"/>
    <n v="0"/>
    <n v="0"/>
    <n v="1450"/>
    <n v="5"/>
    <n v="2288497.4352273447"/>
    <n v="0"/>
    <n v="0"/>
    <n v="0"/>
    <n v="1450"/>
    <n v="5"/>
    <n v="2989392.41855297"/>
    <m/>
    <m/>
    <n v="0"/>
    <n v="1450"/>
    <n v="5"/>
    <n v="3904949.5509765372"/>
    <n v="10934774.172015423"/>
    <n v="10616.285603898468"/>
  </r>
  <r>
    <s v="4.3.2.1"/>
    <x v="1"/>
    <x v="1"/>
    <x v="0"/>
    <x v="6"/>
    <n v="1"/>
    <x v="35"/>
    <x v="35"/>
    <s v="Enhance fiduciary management of the health SBS"/>
    <s v="MoH identifies key support areas- program based budgeting principles to be used as to align to the national budgeting framework and also to focus on outcomes not just input"/>
    <s v="Zero cost"/>
    <n v="0"/>
    <n v="0"/>
    <n v="0"/>
    <n v="0"/>
    <n v="0"/>
    <n v="0"/>
    <n v="0"/>
    <n v="0"/>
    <n v="0"/>
    <n v="0"/>
    <n v="0"/>
    <n v="0"/>
    <n v="0"/>
    <n v="0"/>
    <n v="0"/>
    <n v="0"/>
    <m/>
    <m/>
    <n v="0"/>
    <m/>
    <m/>
    <n v="0"/>
    <m/>
    <m/>
    <n v="0"/>
    <n v="0"/>
    <n v="0"/>
  </r>
  <r>
    <s v="4.3.2.1"/>
    <x v="1"/>
    <x v="1"/>
    <x v="0"/>
    <x v="6"/>
    <n v="1"/>
    <x v="35"/>
    <x v="35"/>
    <s v="Implementation of the health SBS"/>
    <s v="Health-SBS steering committee to hold 1 annual meetings "/>
    <s v="Conference package high-level"/>
    <n v="35000"/>
    <n v="50"/>
    <n v="1"/>
    <n v="1750000"/>
    <n v="50"/>
    <n v="1"/>
    <n v="2000111.9197499997"/>
    <n v="50"/>
    <n v="1"/>
    <n v="2285970.1094434457"/>
    <n v="50"/>
    <n v="1"/>
    <n v="2612683.4651943129"/>
    <n v="50"/>
    <n v="1"/>
    <n v="2986091.0521536451"/>
    <n v="50"/>
    <n v="1"/>
    <n v="3412866.4610693273"/>
    <n v="50"/>
    <n v="1"/>
    <n v="3900637.0795998634"/>
    <n v="50"/>
    <n v="1"/>
    <n v="4458120.4100151528"/>
    <n v="23406480.497225747"/>
    <n v="22724.738346821112"/>
  </r>
  <r>
    <s v="4.3.2.1"/>
    <x v="1"/>
    <x v="1"/>
    <x v="0"/>
    <x v="6"/>
    <n v="1"/>
    <x v="35"/>
    <x v="35"/>
    <s v="Performance monitoring of SBS"/>
    <s v="Annual reports with indicator targets"/>
    <s v="Zero cost"/>
    <n v="0"/>
    <n v="40"/>
    <n v="1"/>
    <n v="0"/>
    <n v="40"/>
    <n v="1"/>
    <n v="0"/>
    <n v="40"/>
    <n v="1"/>
    <n v="0"/>
    <n v="40"/>
    <n v="1"/>
    <n v="0"/>
    <n v="40"/>
    <n v="1"/>
    <n v="0"/>
    <m/>
    <m/>
    <n v="0"/>
    <m/>
    <m/>
    <n v="0"/>
    <m/>
    <m/>
    <n v="0"/>
    <n v="0"/>
    <n v="0"/>
  </r>
  <r>
    <s v="4.3.2.1"/>
    <x v="1"/>
    <x v="1"/>
    <x v="0"/>
    <x v="6"/>
    <n v="1"/>
    <x v="35"/>
    <x v="35"/>
    <s v="Performance monitoring of SBS"/>
    <s v="Annual audits (program and financial)"/>
    <s v="Zero cost"/>
    <n v="0"/>
    <n v="0"/>
    <n v="0"/>
    <n v="0"/>
    <n v="0"/>
    <n v="0"/>
    <n v="0"/>
    <n v="0"/>
    <n v="0"/>
    <n v="0"/>
    <n v="0"/>
    <n v="0"/>
    <n v="0"/>
    <n v="0"/>
    <n v="0"/>
    <n v="0"/>
    <m/>
    <m/>
    <n v="0"/>
    <m/>
    <m/>
    <n v="0"/>
    <m/>
    <m/>
    <n v="0"/>
    <n v="0"/>
    <n v="0"/>
  </r>
  <r>
    <s v="4.3.2.1"/>
    <x v="1"/>
    <x v="1"/>
    <x v="0"/>
    <x v="6"/>
    <n v="2"/>
    <x v="36"/>
    <x v="36"/>
    <s v="All departments and their partners to come up with consolidated annual program plan (at national level)"/>
    <s v="conduct 5 days’ workshop"/>
    <s v="Conference package high-level"/>
    <n v="35000"/>
    <n v="60"/>
    <n v="5"/>
    <n v="10500000"/>
    <n v="60"/>
    <n v="5"/>
    <n v="12000671.518499998"/>
    <n v="60"/>
    <n v="5"/>
    <n v="13715820.656660672"/>
    <n v="60"/>
    <n v="5"/>
    <n v="15676100.791165877"/>
    <n v="60"/>
    <n v="5"/>
    <n v="17916546.31292187"/>
    <n v="60"/>
    <n v="5"/>
    <n v="20477198.766415965"/>
    <n v="60"/>
    <n v="5"/>
    <n v="23403822.477599181"/>
    <n v="60"/>
    <n v="5"/>
    <n v="26748722.460090913"/>
    <n v="140438882.98335448"/>
    <n v="136348.43008092669"/>
  </r>
  <r>
    <s v="4.3.2.1"/>
    <x v="1"/>
    <x v="1"/>
    <x v="0"/>
    <x v="6"/>
    <n v="2"/>
    <x v="36"/>
    <x v="36"/>
    <s v="All departments and their partners to come up with consolidated annual program plan (at national level)"/>
    <s v="conduct 5 days’ workshop"/>
    <s v="DSA (excl. lunch)"/>
    <n v="39000"/>
    <n v="60"/>
    <n v="5"/>
    <n v="11700000"/>
    <n v="60"/>
    <n v="5"/>
    <n v="13372176.834899997"/>
    <n v="60"/>
    <n v="5"/>
    <n v="15283343.017421894"/>
    <n v="60"/>
    <n v="5"/>
    <n v="17467655.167299118"/>
    <n v="60"/>
    <n v="5"/>
    <n v="19964151.605827227"/>
    <n v="60"/>
    <n v="5"/>
    <n v="22817450.05400636"/>
    <n v="60"/>
    <n v="5"/>
    <n v="26078545.046467662"/>
    <n v="60"/>
    <n v="5"/>
    <n v="29805719.312672731"/>
    <n v="156489041.03859499"/>
    <n v="151931.10780446115"/>
  </r>
  <r>
    <s v="4.3.2.1"/>
    <x v="1"/>
    <x v="1"/>
    <x v="0"/>
    <x v="6"/>
    <n v="2"/>
    <x v="36"/>
    <x v="36"/>
    <s v="All departments and their partners to come up with consolidated annual program plan (at national level)"/>
    <s v="conduct 5 days’ workshop"/>
    <s v="Local running (diesel, per km)"/>
    <n v="211.42857142857142"/>
    <n v="1500"/>
    <n v="5"/>
    <n v="1585714.2857142854"/>
    <n v="1500"/>
    <n v="5"/>
    <n v="1812346.3109571426"/>
    <n v="1500"/>
    <n v="5"/>
    <n v="2071368.8338630404"/>
    <n v="1500"/>
    <n v="5"/>
    <n v="2367411.1398903565"/>
    <n v="1500"/>
    <n v="5"/>
    <n v="2705764.1370535064"/>
    <n v="1500"/>
    <n v="5"/>
    <n v="3092474.9157444523"/>
    <n v="1500"/>
    <n v="5"/>
    <n v="3534454.8231476313"/>
    <n v="1500"/>
    <n v="5"/>
    <n v="4039602.9837688315"/>
    <n v="21209137.430139247"/>
    <n v="20591.395563241989"/>
  </r>
  <r>
    <s v="4.3.2.1"/>
    <x v="1"/>
    <x v="1"/>
    <x v="0"/>
    <x v="6"/>
    <n v="2"/>
    <x v="36"/>
    <x v="36"/>
    <s v="All departments and their partners to come up with consolidated annual program plan (at national level)"/>
    <s v="conduct 5 days’ workshop"/>
    <s v="Fuel for Travelling Participants"/>
    <n v="211.42857142857142"/>
    <n v="8100"/>
    <n v="1"/>
    <n v="1712571.4285714284"/>
    <n v="8100"/>
    <n v="1"/>
    <n v="1957334.015833714"/>
    <n v="8100"/>
    <n v="1"/>
    <n v="2237078.3405720838"/>
    <n v="8100"/>
    <n v="1"/>
    <n v="2556804.0310815852"/>
    <n v="8100"/>
    <n v="1"/>
    <n v="2922225.268017787"/>
    <n v="8100"/>
    <n v="1"/>
    <n v="3339872.9090040084"/>
    <n v="8100"/>
    <n v="1"/>
    <n v="3817211.2089994419"/>
    <n v="8100"/>
    <n v="1"/>
    <n v="4362771.2224703375"/>
    <n v="22905868.424550384"/>
    <n v="22238.707208301345"/>
  </r>
  <r>
    <s v="4.3.2.1"/>
    <x v="1"/>
    <x v="1"/>
    <x v="0"/>
    <x v="6"/>
    <n v="2"/>
    <x v="36"/>
    <x v="36"/>
    <s v="All departments and their partners to come up with consolidated annual program plan (at national level)"/>
    <s v="conduct meeting with relevant TWG to endorse the plan"/>
    <s v="Zero cost"/>
    <n v="0"/>
    <n v="0"/>
    <n v="0"/>
    <n v="0"/>
    <n v="0"/>
    <n v="0"/>
    <n v="0"/>
    <n v="4000"/>
    <n v="12"/>
    <n v="0"/>
    <n v="4000"/>
    <n v="12"/>
    <n v="0"/>
    <n v="4000"/>
    <n v="12"/>
    <n v="0"/>
    <m/>
    <m/>
    <n v="0"/>
    <m/>
    <m/>
    <n v="0"/>
    <m/>
    <m/>
    <n v="0"/>
    <n v="0"/>
    <n v="0"/>
  </r>
  <r>
    <s v="4.3.2.1"/>
    <x v="1"/>
    <x v="1"/>
    <x v="0"/>
    <x v="6"/>
    <n v="2"/>
    <x v="36"/>
    <x v="36"/>
    <s v="Joint monitoring of budget activities "/>
    <s v="conduct quarterly meetings"/>
    <s v="Zero cost"/>
    <n v="0"/>
    <n v="0"/>
    <n v="0"/>
    <n v="0"/>
    <n v="0"/>
    <n v="0"/>
    <n v="0"/>
    <n v="0"/>
    <n v="0"/>
    <n v="0"/>
    <n v="0"/>
    <n v="0"/>
    <n v="0"/>
    <n v="0"/>
    <n v="0"/>
    <n v="0"/>
    <m/>
    <m/>
    <n v="0"/>
    <m/>
    <m/>
    <n v="0"/>
    <m/>
    <m/>
    <n v="0"/>
    <n v="0"/>
    <n v="0"/>
  </r>
  <r>
    <s v="4.3.2.1"/>
    <x v="1"/>
    <x v="1"/>
    <x v="0"/>
    <x v="6"/>
    <n v="2"/>
    <x v="36"/>
    <x v="36"/>
    <s v="Joint monitoring of budget activities "/>
    <s v="Monitor through sub-committees and relevant TWG"/>
    <s v="Zero cost"/>
    <n v="0"/>
    <n v="20"/>
    <n v="4"/>
    <n v="0"/>
    <n v="20"/>
    <n v="4"/>
    <n v="0"/>
    <n v="20"/>
    <n v="4"/>
    <n v="0"/>
    <n v="20"/>
    <n v="4"/>
    <n v="0"/>
    <n v="20"/>
    <n v="4"/>
    <n v="0"/>
    <m/>
    <m/>
    <n v="0"/>
    <m/>
    <m/>
    <n v="0"/>
    <m/>
    <m/>
    <n v="0"/>
    <n v="0"/>
    <n v="0"/>
  </r>
  <r>
    <s v="4.3.2.1"/>
    <x v="1"/>
    <x v="1"/>
    <x v="0"/>
    <x v="6"/>
    <n v="2"/>
    <x v="36"/>
    <x v="36"/>
    <s v="Review of MOU with partners "/>
    <s v="Submit to MoH for vetting "/>
    <s v="Zero cost"/>
    <n v="0"/>
    <n v="0"/>
    <n v="0"/>
    <n v="0"/>
    <n v="0"/>
    <n v="0"/>
    <n v="0"/>
    <n v="0"/>
    <n v="0"/>
    <n v="0"/>
    <n v="0"/>
    <n v="0"/>
    <n v="0"/>
    <n v="0"/>
    <n v="0"/>
    <n v="0"/>
    <m/>
    <m/>
    <n v="0"/>
    <m/>
    <m/>
    <n v="0"/>
    <m/>
    <m/>
    <n v="0"/>
    <n v="0"/>
    <n v="0"/>
  </r>
  <r>
    <s v="4.3.2.1"/>
    <x v="1"/>
    <x v="1"/>
    <x v="0"/>
    <x v="6"/>
    <n v="2"/>
    <x v="36"/>
    <x v="36"/>
    <s v="Review of MOU with partners "/>
    <s v="Submit to the Ministry of justice for vetting process"/>
    <s v="Zero cost"/>
    <n v="0"/>
    <n v="0"/>
    <n v="0"/>
    <n v="0"/>
    <n v="0"/>
    <n v="0"/>
    <n v="0"/>
    <n v="0"/>
    <n v="0"/>
    <n v="0"/>
    <n v="0"/>
    <n v="0"/>
    <n v="0"/>
    <n v="0"/>
    <n v="0"/>
    <n v="0"/>
    <m/>
    <m/>
    <n v="0"/>
    <m/>
    <m/>
    <n v="0"/>
    <m/>
    <m/>
    <n v="0"/>
    <n v="0"/>
    <n v="0"/>
  </r>
  <r>
    <s v="4.3.2.1"/>
    <x v="1"/>
    <x v="1"/>
    <x v="0"/>
    <x v="6"/>
    <n v="2"/>
    <x v="36"/>
    <x v="36"/>
    <s v="Review of MOU with partners "/>
    <s v="Submit to treasury for vetting "/>
    <s v="Zero cost"/>
    <n v="0"/>
    <n v="0"/>
    <n v="0"/>
    <n v="0"/>
    <n v="0"/>
    <n v="0"/>
    <n v="0"/>
    <n v="0"/>
    <n v="0"/>
    <n v="0"/>
    <n v="0"/>
    <n v="0"/>
    <n v="0"/>
    <n v="0"/>
    <n v="0"/>
    <n v="0"/>
    <m/>
    <m/>
    <n v="0"/>
    <m/>
    <m/>
    <n v="0"/>
    <m/>
    <m/>
    <n v="0"/>
    <n v="0"/>
    <n v="0"/>
  </r>
  <r>
    <s v="4.3.2.1"/>
    <x v="1"/>
    <x v="1"/>
    <x v="0"/>
    <x v="6"/>
    <n v="2"/>
    <x v="36"/>
    <x v="36"/>
    <s v="Review of MOU with partners "/>
    <s v="5 days’ Biannual workshops"/>
    <s v="Conference package high-level"/>
    <n v="35000"/>
    <n v="25"/>
    <n v="5"/>
    <n v="4375000"/>
    <n v="0"/>
    <n v="0"/>
    <n v="0"/>
    <n v="0"/>
    <n v="0"/>
    <n v="0"/>
    <n v="0"/>
    <n v="0"/>
    <n v="0"/>
    <n v="0"/>
    <n v="0"/>
    <n v="0"/>
    <m/>
    <m/>
    <n v="0"/>
    <m/>
    <m/>
    <n v="0"/>
    <m/>
    <m/>
    <n v="0"/>
    <n v="4375000"/>
    <n v="4247.5728155339802"/>
  </r>
  <r>
    <s v="4.3.2.1"/>
    <x v="1"/>
    <x v="1"/>
    <x v="0"/>
    <x v="6"/>
    <n v="2"/>
    <x v="36"/>
    <x v="36"/>
    <s v="Review of MOU with partners "/>
    <s v="5 days’ Biannual workshops"/>
    <s v="DSA (excl. lunch)"/>
    <n v="39000"/>
    <n v="25"/>
    <n v="10"/>
    <n v="9750000"/>
    <n v="25"/>
    <n v="10"/>
    <n v="11143480.695749998"/>
    <n v="25"/>
    <n v="10"/>
    <n v="12736119.18118491"/>
    <n v="25"/>
    <n v="10"/>
    <n v="14556379.306082599"/>
    <n v="25"/>
    <n v="10"/>
    <n v="16636793.004856024"/>
    <n v="25"/>
    <n v="10"/>
    <n v="19014541.711671971"/>
    <n v="25"/>
    <n v="10"/>
    <n v="21732120.872056387"/>
    <n v="25"/>
    <n v="10"/>
    <n v="24838099.427227274"/>
    <n v="130407534.19882916"/>
    <n v="126609.25650371762"/>
  </r>
  <r>
    <s v="4.3.2.1"/>
    <x v="1"/>
    <x v="1"/>
    <x v="0"/>
    <x v="6"/>
    <n v="2"/>
    <x v="36"/>
    <x v="36"/>
    <s v="Review of MOU with partners "/>
    <s v="5 days’ Biannual workshops"/>
    <s v="Local running (diesel, per km)"/>
    <n v="211.42857142857142"/>
    <n v="450"/>
    <n v="10"/>
    <n v="951428.57142857136"/>
    <n v="450"/>
    <n v="10"/>
    <n v="1087407.7865742855"/>
    <n v="450"/>
    <n v="10"/>
    <n v="1242821.3003178244"/>
    <n v="450"/>
    <n v="10"/>
    <n v="1420446.6839342141"/>
    <n v="450"/>
    <n v="10"/>
    <n v="1623458.4822321041"/>
    <n v="450"/>
    <n v="10"/>
    <n v="1855484.9494466712"/>
    <n v="450"/>
    <n v="10"/>
    <n v="2120672.8938885788"/>
    <n v="450"/>
    <n v="10"/>
    <n v="2423761.7902612989"/>
    <n v="12725482.458083548"/>
    <n v="12354.837337945191"/>
  </r>
  <r>
    <s v="4.3.2.1"/>
    <x v="1"/>
    <x v="1"/>
    <x v="0"/>
    <x v="6"/>
    <n v="2"/>
    <x v="36"/>
    <x v="36"/>
    <s v="Review of MOU with partners "/>
    <s v="6 days’ Biannual workshops"/>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2.1"/>
    <x v="1"/>
    <x v="1"/>
    <x v="0"/>
    <x v="6"/>
    <n v="2"/>
    <x v="36"/>
    <x v="36"/>
    <s v="Review of MOU with partners "/>
    <s v="Introduce DHSS into MOH sub-committees and TWGs"/>
    <s v="Zero cost"/>
    <n v="0"/>
    <n v="4000"/>
    <n v="2"/>
    <n v="0"/>
    <n v="4000"/>
    <n v="2"/>
    <n v="0"/>
    <n v="4000"/>
    <n v="2"/>
    <n v="0"/>
    <n v="4000"/>
    <n v="2"/>
    <n v="0"/>
    <n v="4000"/>
    <n v="2"/>
    <n v="0"/>
    <m/>
    <m/>
    <n v="0"/>
    <m/>
    <m/>
    <n v="0"/>
    <m/>
    <m/>
    <n v="0"/>
    <n v="0"/>
    <n v="0"/>
  </r>
  <r>
    <s v="4.3.2.1"/>
    <x v="1"/>
    <x v="1"/>
    <x v="0"/>
    <x v="6"/>
    <n v="2"/>
    <x v="36"/>
    <x v="36"/>
    <s v="Lobby for revision to council budget planning guidelines to incorporate district health budget planning needs (at district level)"/>
    <s v="hold meetings with Treasury, local government and NLGFC to draft an issues paper speaking about current deficiencies in district budget planning"/>
    <s v="Conference package high-level"/>
    <n v="35000"/>
    <n v="25"/>
    <n v="3"/>
    <n v="2625000"/>
    <n v="0"/>
    <n v="0"/>
    <n v="0"/>
    <n v="0"/>
    <n v="0"/>
    <n v="0"/>
    <n v="0"/>
    <n v="0"/>
    <n v="0"/>
    <n v="0"/>
    <n v="0"/>
    <n v="0"/>
    <m/>
    <m/>
    <n v="0"/>
    <m/>
    <m/>
    <n v="0"/>
    <m/>
    <m/>
    <n v="0"/>
    <n v="2625000"/>
    <n v="2548.5436893203882"/>
  </r>
  <r>
    <s v="4.3.2.1"/>
    <x v="1"/>
    <x v="1"/>
    <x v="0"/>
    <x v="6"/>
    <n v="2"/>
    <x v="36"/>
    <x v="36"/>
    <s v="Lobby for revision to council budget planning guidelines to incorporate district health budget planning needs (at district level)"/>
    <s v="hold meetings with Treasury, local government and NLGFC to draft an issues paper speaking about current deficiencies in district budget planning"/>
    <s v="DSA (excl. lunch)"/>
    <n v="39000"/>
    <m/>
    <m/>
    <n v="0"/>
    <m/>
    <m/>
    <n v="0"/>
    <n v="25"/>
    <n v="4"/>
    <n v="5094447.6724739643"/>
    <m/>
    <m/>
    <n v="0"/>
    <n v="25"/>
    <n v="4"/>
    <n v="6654717.2019424094"/>
    <m/>
    <m/>
    <n v="0"/>
    <m/>
    <m/>
    <n v="0"/>
    <m/>
    <m/>
    <n v="0"/>
    <n v="11749164.874416374"/>
    <n v="11406.95618875376"/>
  </r>
  <r>
    <s v="4.3.2.1"/>
    <x v="1"/>
    <x v="1"/>
    <x v="0"/>
    <x v="6"/>
    <n v="2"/>
    <x v="36"/>
    <x v="36"/>
    <s v="Lobby for revision to council budget planning guidelines to incorporate district health budget planning needs (at district level)"/>
    <s v="hold meetings with Treasury, local government and NLGFC to draft an issues paper speaking about current deficiencies in district budget planning"/>
    <s v="Local running (diesel, per km)"/>
    <n v="211.42857142857142"/>
    <m/>
    <m/>
    <n v="0"/>
    <m/>
    <m/>
    <n v="0"/>
    <n v="450"/>
    <n v="3"/>
    <n v="372846.39009534731"/>
    <m/>
    <m/>
    <n v="0"/>
    <n v="450"/>
    <n v="3"/>
    <n v="487037.54466963117"/>
    <m/>
    <m/>
    <n v="0"/>
    <m/>
    <m/>
    <n v="0"/>
    <m/>
    <m/>
    <n v="0"/>
    <n v="859883.93476497848"/>
    <n v="834.838771616484"/>
  </r>
  <r>
    <s v="4.3.2.1"/>
    <x v="1"/>
    <x v="1"/>
    <x v="0"/>
    <x v="6"/>
    <n v="2"/>
    <x v="36"/>
    <x v="36"/>
    <s v="Lobby for revision to council budget planning guidelines to incorporate district health budget planning needs (at district level)"/>
    <s v="hold meetings with Treasury, local government and NLGFC to draft an issues paper speaking about current deficiencies in district budget planning"/>
    <s v="Fuel for Travelling Participants"/>
    <n v="211.42857142857142"/>
    <m/>
    <m/>
    <n v="0"/>
    <n v="0"/>
    <n v="0"/>
    <n v="0"/>
    <n v="2430"/>
    <n v="1"/>
    <n v="671123.50217162515"/>
    <n v="0"/>
    <n v="0"/>
    <n v="0"/>
    <n v="2430"/>
    <n v="1"/>
    <n v="876667.58040533611"/>
    <m/>
    <m/>
    <n v="0"/>
    <m/>
    <m/>
    <n v="0"/>
    <m/>
    <m/>
    <n v="0"/>
    <n v="1547791.0825769613"/>
    <n v="1502.709788909671"/>
  </r>
  <r>
    <s v="4.3.2.1"/>
    <x v="1"/>
    <x v="1"/>
    <x v="0"/>
    <x v="6"/>
    <n v="2"/>
    <x v="36"/>
    <x v="36"/>
    <s v="Lobby for revision to council budget planning guidelines to incorporate district health budget planning needs (at district level)"/>
    <s v="Report on decisions and present to SMT"/>
    <s v="Zero cost"/>
    <n v="0"/>
    <n v="0"/>
    <n v="0"/>
    <n v="0"/>
    <n v="25"/>
    <n v="2"/>
    <n v="0"/>
    <n v="0"/>
    <n v="0"/>
    <n v="0"/>
    <n v="0"/>
    <n v="0"/>
    <n v="0"/>
    <n v="0"/>
    <n v="0"/>
    <n v="0"/>
    <m/>
    <m/>
    <n v="0"/>
    <m/>
    <m/>
    <n v="0"/>
    <m/>
    <m/>
    <n v="0"/>
    <n v="0"/>
    <n v="0"/>
  </r>
  <r>
    <s v="4.3.2.1"/>
    <x v="1"/>
    <x v="1"/>
    <x v="0"/>
    <x v="6"/>
    <n v="3"/>
    <x v="37"/>
    <x v="37"/>
    <s v="Draft a concept paper "/>
    <s v="conduuct meetings to draft a concept note"/>
    <s v="Zero cost"/>
    <n v="0"/>
    <n v="0"/>
    <n v="0"/>
    <n v="0"/>
    <n v="15"/>
    <n v="1"/>
    <n v="0"/>
    <n v="0"/>
    <n v="0"/>
    <n v="0"/>
    <n v="0"/>
    <n v="0"/>
    <n v="0"/>
    <n v="0"/>
    <n v="0"/>
    <n v="0"/>
    <m/>
    <m/>
    <n v="0"/>
    <m/>
    <m/>
    <n v="0"/>
    <m/>
    <m/>
    <n v="0"/>
    <n v="0"/>
    <n v="0"/>
  </r>
  <r>
    <s v="4.3.2.1"/>
    <x v="1"/>
    <x v="1"/>
    <x v="0"/>
    <x v="6"/>
    <n v="3"/>
    <x v="37"/>
    <x v="37"/>
    <s v="Engagement between MoH and GOM on the issue"/>
    <s v="conduct 3 meetings to strategize"/>
    <s v="Conference package high-level"/>
    <n v="35000"/>
    <n v="200"/>
    <n v="15"/>
    <n v="105000000"/>
    <n v="0"/>
    <n v="0"/>
    <n v="0"/>
    <n v="0"/>
    <n v="0"/>
    <n v="0"/>
    <n v="5"/>
    <n v="5"/>
    <n v="1306341.7325971564"/>
    <n v="0"/>
    <n v="0"/>
    <n v="0"/>
    <m/>
    <m/>
    <n v="0"/>
    <m/>
    <m/>
    <n v="0"/>
    <m/>
    <m/>
    <n v="0"/>
    <n v="106306341.73259716"/>
    <n v="103210.04051708462"/>
  </r>
  <r>
    <s v="4.3.2.1"/>
    <x v="1"/>
    <x v="1"/>
    <x v="0"/>
    <x v="6"/>
    <n v="3"/>
    <x v="37"/>
    <x v="37"/>
    <s v="Engagement between MoH and GOM on the issue"/>
    <s v="Refine the concept note based on the meetings"/>
    <s v="Zero cost"/>
    <n v="0"/>
    <n v="0"/>
    <n v="0"/>
    <n v="0"/>
    <n v="0"/>
    <n v="0"/>
    <n v="0"/>
    <n v="0"/>
    <n v="0"/>
    <n v="0"/>
    <n v="15"/>
    <n v="3"/>
    <n v="0"/>
    <n v="0"/>
    <n v="0"/>
    <n v="0"/>
    <m/>
    <m/>
    <n v="0"/>
    <m/>
    <m/>
    <n v="0"/>
    <m/>
    <m/>
    <n v="0"/>
    <n v="0"/>
    <n v="0"/>
  </r>
  <r>
    <s v="4.3.2.1"/>
    <x v="1"/>
    <x v="1"/>
    <x v="0"/>
    <x v="6"/>
    <n v="3"/>
    <x v="37"/>
    <x v="37"/>
    <s v="Engagement between MoH and GOM on the issue"/>
    <s v="Consultation of community leaders, district executive committees"/>
    <s v="Conference package high-level"/>
    <n v="35000"/>
    <m/>
    <m/>
    <n v="0"/>
    <n v="0"/>
    <n v="0"/>
    <n v="0"/>
    <n v="1000"/>
    <n v="3"/>
    <n v="137158206.56660673"/>
    <n v="0"/>
    <n v="0"/>
    <n v="0"/>
    <n v="0"/>
    <n v="0"/>
    <n v="0"/>
    <m/>
    <m/>
    <n v="0"/>
    <n v="1000"/>
    <n v="3"/>
    <n v="234038224.7759918"/>
    <m/>
    <m/>
    <n v="0"/>
    <n v="371196431.34259856"/>
    <n v="360384.8847986394"/>
  </r>
  <r>
    <s v="4.3.2.1"/>
    <x v="1"/>
    <x v="1"/>
    <x v="0"/>
    <x v="6"/>
    <n v="3"/>
    <x v="37"/>
    <x v="37"/>
    <s v="Engagement between MoH and GOM on the issue"/>
    <s v="Consultation of community leaders, district executive committees"/>
    <s v="DSA (excl. lunch)"/>
    <n v="39000"/>
    <m/>
    <m/>
    <n v="0"/>
    <n v="0"/>
    <n v="0"/>
    <n v="0"/>
    <n v="1000"/>
    <n v="4"/>
    <n v="203777906.89895859"/>
    <n v="150"/>
    <n v="2"/>
    <n v="17467655.167299118"/>
    <n v="0"/>
    <n v="0"/>
    <n v="0"/>
    <m/>
    <m/>
    <n v="0"/>
    <n v="1000"/>
    <n v="4"/>
    <n v="347713933.95290214"/>
    <m/>
    <m/>
    <n v="0"/>
    <n v="568959496.01915979"/>
    <n v="552387.86021277646"/>
  </r>
  <r>
    <s v="4.3.2.1"/>
    <x v="1"/>
    <x v="1"/>
    <x v="0"/>
    <x v="6"/>
    <n v="3"/>
    <x v="37"/>
    <x v="37"/>
    <s v="Engagement between MoH and GOM on the issue"/>
    <s v="Consultation of community leaders, district executive committees"/>
    <s v="Fuel for Travelling Participants"/>
    <n v="211.42857142857142"/>
    <m/>
    <m/>
    <n v="0"/>
    <m/>
    <m/>
    <n v="0"/>
    <n v="67500"/>
    <n v="1"/>
    <n v="18642319.504767366"/>
    <m/>
    <m/>
    <n v="0"/>
    <m/>
    <m/>
    <n v="0"/>
    <m/>
    <m/>
    <n v="0"/>
    <n v="67500"/>
    <n v="1"/>
    <n v="31810093.408328682"/>
    <m/>
    <m/>
    <n v="0"/>
    <n v="50452412.913096048"/>
    <n v="48982.925158345679"/>
  </r>
  <r>
    <s v="4.3.2.1"/>
    <x v="1"/>
    <x v="1"/>
    <x v="0"/>
    <x v="6"/>
    <n v="3"/>
    <x v="37"/>
    <x v="37"/>
    <s v="Engagement between MoH and GOM on the issue"/>
    <s v="Consultation of community leaders, district executive committees"/>
    <s v="Local running (diesel, per km)"/>
    <n v="211.42857142857142"/>
    <m/>
    <m/>
    <n v="0"/>
    <n v="0"/>
    <n v="0"/>
    <n v="0"/>
    <n v="45000"/>
    <n v="3"/>
    <n v="37284639.009534732"/>
    <n v="140"/>
    <n v="3"/>
    <n v="132575.02383385994"/>
    <n v="0"/>
    <n v="0"/>
    <n v="0"/>
    <m/>
    <m/>
    <n v="0"/>
    <n v="45000"/>
    <n v="3"/>
    <n v="63620186.816657364"/>
    <m/>
    <m/>
    <n v="0"/>
    <n v="101037400.85002595"/>
    <n v="98094.563932064033"/>
  </r>
  <r>
    <s v="4.3.2.1"/>
    <x v="1"/>
    <x v="1"/>
    <x v="0"/>
    <x v="6"/>
    <n v="3"/>
    <x v="37"/>
    <x v="37"/>
    <s v="Draft bylaws "/>
    <s v="conduct meetings to draft by-laws"/>
    <s v="Conference package high-level"/>
    <n v="35000"/>
    <m/>
    <m/>
    <n v="0"/>
    <n v="0"/>
    <n v="0"/>
    <n v="0"/>
    <n v="0"/>
    <n v="0"/>
    <n v="0"/>
    <n v="25"/>
    <n v="15"/>
    <n v="19595125.988957345"/>
    <n v="0"/>
    <n v="0"/>
    <n v="0"/>
    <m/>
    <m/>
    <n v="0"/>
    <m/>
    <m/>
    <n v="0"/>
    <m/>
    <m/>
    <n v="0"/>
    <n v="19595125.988957345"/>
    <n v="19024.394164036257"/>
  </r>
  <r>
    <s v="4.3.2.1"/>
    <x v="1"/>
    <x v="1"/>
    <x v="0"/>
    <x v="6"/>
    <n v="3"/>
    <x v="37"/>
    <x v="37"/>
    <s v="Draft bylaws "/>
    <s v="conduct meetings to draft by-laws"/>
    <s v="DSA (excl. lunch)"/>
    <n v="39000"/>
    <m/>
    <m/>
    <n v="0"/>
    <n v="0"/>
    <n v="0"/>
    <n v="0"/>
    <n v="0"/>
    <n v="0"/>
    <n v="0"/>
    <n v="25"/>
    <n v="6"/>
    <n v="8733827.5836495608"/>
    <n v="0"/>
    <n v="0"/>
    <n v="0"/>
    <m/>
    <m/>
    <n v="0"/>
    <m/>
    <m/>
    <n v="0"/>
    <m/>
    <m/>
    <n v="0"/>
    <n v="8733827.5836495608"/>
    <n v="8479.4442559704476"/>
  </r>
  <r>
    <s v="4.3.2.1"/>
    <x v="1"/>
    <x v="1"/>
    <x v="0"/>
    <x v="6"/>
    <n v="3"/>
    <x v="37"/>
    <x v="37"/>
    <s v="Draft bylaws "/>
    <s v="conduct meetings to draft by-laws"/>
    <s v="Fuel for Travelling Participants"/>
    <n v="211.42857142857142"/>
    <m/>
    <m/>
    <n v="0"/>
    <m/>
    <m/>
    <n v="0"/>
    <m/>
    <m/>
    <n v="0"/>
    <n v="2430"/>
    <n v="3"/>
    <n v="2301123.6279734266"/>
    <m/>
    <m/>
    <n v="0"/>
    <m/>
    <m/>
    <n v="0"/>
    <m/>
    <m/>
    <n v="0"/>
    <m/>
    <m/>
    <n v="0"/>
    <n v="2301123.6279734266"/>
    <n v="2234.1006096829383"/>
  </r>
  <r>
    <s v="4.3.2.1"/>
    <x v="1"/>
    <x v="1"/>
    <x v="0"/>
    <x v="6"/>
    <n v="3"/>
    <x v="37"/>
    <x v="37"/>
    <s v="Draft bylaws "/>
    <s v="conduct meetings to draft by-laws"/>
    <s v="Local running (diesel, per km)"/>
    <n v="211.42857142857142"/>
    <m/>
    <m/>
    <n v="0"/>
    <n v="0"/>
    <n v="0"/>
    <n v="0"/>
    <n v="0"/>
    <n v="0"/>
    <n v="0"/>
    <n v="450"/>
    <n v="15"/>
    <n v="2130670.0259013209"/>
    <n v="0"/>
    <n v="0"/>
    <n v="0"/>
    <m/>
    <m/>
    <n v="0"/>
    <m/>
    <m/>
    <n v="0"/>
    <m/>
    <m/>
    <n v="0"/>
    <n v="2130670.0259013209"/>
    <n v="2068.6116756323504"/>
  </r>
  <r>
    <s v="4.3.2.1"/>
    <x v="1"/>
    <x v="1"/>
    <x v="0"/>
    <x v="6"/>
    <n v="3"/>
    <x v="37"/>
    <x v="37"/>
    <s v="Draft bylaws "/>
    <s v="Present to MOJ for endorsement"/>
    <s v="Zero cost"/>
    <n v="0"/>
    <n v="0"/>
    <n v="0"/>
    <n v="0"/>
    <n v="0"/>
    <n v="0"/>
    <n v="0"/>
    <n v="0"/>
    <n v="0"/>
    <n v="0"/>
    <n v="8000"/>
    <n v="1"/>
    <n v="0"/>
    <n v="0"/>
    <n v="0"/>
    <n v="0"/>
    <m/>
    <m/>
    <n v="0"/>
    <m/>
    <m/>
    <n v="0"/>
    <m/>
    <m/>
    <n v="0"/>
    <n v="0"/>
    <n v="0"/>
  </r>
  <r>
    <s v="4.3.2.1"/>
    <x v="1"/>
    <x v="1"/>
    <x v="0"/>
    <x v="6"/>
    <n v="3"/>
    <x v="37"/>
    <x v="37"/>
    <s v="Draft bylaws "/>
    <s v="Present bylaw to full councils for approval"/>
    <s v="Zero cost"/>
    <n v="0"/>
    <n v="0"/>
    <n v="0"/>
    <n v="0"/>
    <n v="0"/>
    <n v="0"/>
    <n v="0"/>
    <n v="0"/>
    <n v="0"/>
    <n v="0"/>
    <n v="5"/>
    <n v="1"/>
    <n v="0"/>
    <n v="0"/>
    <n v="0"/>
    <n v="0"/>
    <m/>
    <m/>
    <n v="0"/>
    <m/>
    <m/>
    <n v="0"/>
    <m/>
    <m/>
    <n v="0"/>
    <n v="0"/>
    <n v="0"/>
  </r>
  <r>
    <s v="4.3.2.1"/>
    <x v="1"/>
    <x v="1"/>
    <x v="0"/>
    <x v="6"/>
    <n v="3"/>
    <x v="37"/>
    <x v="37"/>
    <s v="Draft bylaws "/>
    <s v="Conduct 5 regional (zonal) meetings with partners in collaboration with the NGO Board regarding compliance with bylaws (1 day)"/>
    <s v="Conference package high-level"/>
    <n v="35000"/>
    <m/>
    <m/>
    <n v="0"/>
    <n v="0"/>
    <n v="0"/>
    <n v="0"/>
    <n v="0"/>
    <n v="0"/>
    <n v="0"/>
    <n v="0"/>
    <n v="0"/>
    <n v="0"/>
    <n v="500"/>
    <n v="5"/>
    <n v="149304552.60768226"/>
    <m/>
    <m/>
    <n v="0"/>
    <m/>
    <m/>
    <n v="0"/>
    <m/>
    <m/>
    <n v="0"/>
    <n v="149304552.60768226"/>
    <n v="144955.87631813812"/>
  </r>
  <r>
    <s v="4.3.2.1"/>
    <x v="1"/>
    <x v="1"/>
    <x v="0"/>
    <x v="6"/>
    <n v="3"/>
    <x v="37"/>
    <x v="37"/>
    <s v="Draft bylaws "/>
    <s v="Conduct 5 regional (zonal) meetings with partners in collaboration with the NGO Board regarding compliance with bylaws (1 day)"/>
    <s v="DSA (excl. lunch)"/>
    <n v="39000"/>
    <m/>
    <m/>
    <n v="0"/>
    <n v="0"/>
    <n v="0"/>
    <n v="0"/>
    <n v="0"/>
    <n v="0"/>
    <n v="0"/>
    <n v="30"/>
    <n v="5"/>
    <n v="8733827.5836495589"/>
    <n v="500"/>
    <n v="10"/>
    <n v="332735860.09712046"/>
    <m/>
    <m/>
    <n v="0"/>
    <m/>
    <m/>
    <n v="0"/>
    <m/>
    <m/>
    <n v="0"/>
    <n v="341469687.68077004"/>
    <n v="331523.96862210683"/>
  </r>
  <r>
    <s v="4.3.2.1"/>
    <x v="1"/>
    <x v="1"/>
    <x v="0"/>
    <x v="6"/>
    <n v="3"/>
    <x v="37"/>
    <x v="37"/>
    <s v="Draft bylaws "/>
    <s v="Conduct 5 regional (zonal) meetings with partners in collaboration with the NGO Board regarding compliance with bylaws (1 day)"/>
    <s v="Fuel for Travelling Participants"/>
    <n v="211.42857142857142"/>
    <m/>
    <m/>
    <n v="0"/>
    <m/>
    <m/>
    <n v="0"/>
    <m/>
    <m/>
    <n v="0"/>
    <m/>
    <m/>
    <n v="0"/>
    <n v="45000"/>
    <n v="5"/>
    <n v="81172924.111605197"/>
    <m/>
    <m/>
    <n v="0"/>
    <m/>
    <m/>
    <n v="0"/>
    <m/>
    <m/>
    <n v="0"/>
    <n v="81172924.111605197"/>
    <n v="78808.664186024456"/>
  </r>
  <r>
    <s v="4.3.2.1"/>
    <x v="1"/>
    <x v="1"/>
    <x v="0"/>
    <x v="6"/>
    <n v="3"/>
    <x v="37"/>
    <x v="37"/>
    <s v="Draft bylaws "/>
    <s v="Conduct 5 regional (zonal) meetings with partners in collaboration with the NGO Board regarding compliance with bylaws (1 day)"/>
    <s v="Local running (diesel, per km)"/>
    <n v="211.42857142857142"/>
    <m/>
    <m/>
    <n v="0"/>
    <n v="0"/>
    <n v="0"/>
    <n v="0"/>
    <n v="0"/>
    <n v="0"/>
    <n v="0"/>
    <n v="30"/>
    <n v="5"/>
    <n v="47348.222797807131"/>
    <n v="22500"/>
    <n v="5"/>
    <n v="40586462.055802599"/>
    <m/>
    <m/>
    <n v="0"/>
    <m/>
    <m/>
    <n v="0"/>
    <m/>
    <m/>
    <n v="0"/>
    <n v="40633810.278600402"/>
    <n v="39450.301241359615"/>
  </r>
  <r>
    <s v="4.3.2.1"/>
    <x v="1"/>
    <x v="1"/>
    <x v="0"/>
    <x v="6"/>
    <n v="3"/>
    <x v="37"/>
    <x v="37"/>
    <s v="Draft bylaws "/>
    <s v="set-up a taskforce "/>
    <s v="Zero cost"/>
    <n v="0"/>
    <n v="0"/>
    <n v="0"/>
    <n v="0"/>
    <n v="0"/>
    <n v="0"/>
    <n v="0"/>
    <n v="0"/>
    <n v="0"/>
    <n v="0"/>
    <n v="20000"/>
    <n v="1"/>
    <n v="0"/>
    <n v="0"/>
    <n v="0"/>
    <n v="0"/>
    <m/>
    <m/>
    <n v="0"/>
    <m/>
    <m/>
    <n v="0"/>
    <m/>
    <m/>
    <n v="0"/>
    <n v="0"/>
    <n v="0"/>
  </r>
  <r>
    <s v="4.3.2.1"/>
    <x v="1"/>
    <x v="1"/>
    <x v="0"/>
    <x v="6"/>
    <n v="3"/>
    <x v="37"/>
    <x v="37"/>
    <s v="Draft bylaws "/>
    <s v=" develop concept note  "/>
    <s v="Zero cost"/>
    <n v="0"/>
    <n v="0"/>
    <n v="0"/>
    <n v="0"/>
    <n v="0"/>
    <n v="0"/>
    <n v="0"/>
    <n v="0"/>
    <n v="0"/>
    <n v="0"/>
    <n v="15"/>
    <n v="2"/>
    <n v="0"/>
    <n v="0"/>
    <n v="0"/>
    <n v="0"/>
    <m/>
    <m/>
    <n v="0"/>
    <m/>
    <m/>
    <n v="0"/>
    <m/>
    <m/>
    <n v="0"/>
    <n v="0"/>
    <n v="0"/>
  </r>
  <r>
    <s v="4.3.2.1"/>
    <x v="1"/>
    <x v="1"/>
    <x v="0"/>
    <x v="6"/>
    <n v="3"/>
    <x v="37"/>
    <x v="37"/>
    <s v="Draft bylaws "/>
    <s v="develop ToRs"/>
    <s v="Zero cost"/>
    <n v="0"/>
    <n v="0"/>
    <n v="0"/>
    <n v="0"/>
    <n v="0"/>
    <n v="0"/>
    <n v="0"/>
    <n v="0"/>
    <n v="0"/>
    <n v="0"/>
    <n v="3"/>
    <n v="5"/>
    <n v="0"/>
    <n v="0"/>
    <n v="0"/>
    <n v="0"/>
    <m/>
    <m/>
    <n v="0"/>
    <m/>
    <m/>
    <n v="0"/>
    <m/>
    <m/>
    <n v="0"/>
    <n v="0"/>
    <n v="0"/>
  </r>
  <r>
    <s v="4.3.2.1"/>
    <x v="1"/>
    <x v="1"/>
    <x v="0"/>
    <x v="6"/>
    <n v="3"/>
    <x v="37"/>
    <x v="37"/>
    <s v="Draft bylaws "/>
    <s v="Hold 3 workshops, 5 days each to develop MOU and code of conduct with DHSS and MoLGRD for a standardised MOU, code of conduct, and in/out checklist"/>
    <s v="Conference package high-level"/>
    <n v="35000"/>
    <n v="100"/>
    <n v="15"/>
    <n v="52500000"/>
    <n v="0"/>
    <n v="0"/>
    <n v="0"/>
    <n v="0"/>
    <n v="0"/>
    <n v="0"/>
    <m/>
    <m/>
    <n v="0"/>
    <n v="100"/>
    <n v="15"/>
    <n v="89582731.564609349"/>
    <m/>
    <m/>
    <n v="0"/>
    <m/>
    <m/>
    <n v="0"/>
    <m/>
    <m/>
    <n v="0"/>
    <n v="142082731.56460935"/>
    <n v="137944.39957729063"/>
  </r>
  <r>
    <s v="4.3.2.1"/>
    <x v="1"/>
    <x v="1"/>
    <x v="0"/>
    <x v="6"/>
    <n v="3"/>
    <x v="37"/>
    <x v="37"/>
    <s v="Draft bylaws "/>
    <s v="Hold 3 workshops, 5 days each to develop MOU and code of conduct with DHSS and MoLGRD for a standardised MOU, code of conduct, and in/out checklist"/>
    <s v="DSA (excl. lunch)"/>
    <n v="39000"/>
    <n v="100"/>
    <n v="15"/>
    <n v="58500000"/>
    <n v="0"/>
    <n v="0"/>
    <n v="0"/>
    <n v="0"/>
    <n v="0"/>
    <n v="0"/>
    <m/>
    <m/>
    <n v="0"/>
    <n v="100"/>
    <n v="15"/>
    <n v="99820758.029136136"/>
    <m/>
    <m/>
    <n v="0"/>
    <m/>
    <m/>
    <n v="0"/>
    <m/>
    <m/>
    <n v="0"/>
    <n v="158320758.02913612"/>
    <n v="153709.47381469526"/>
  </r>
  <r>
    <s v="4.3.2.1"/>
    <x v="1"/>
    <x v="1"/>
    <x v="0"/>
    <x v="6"/>
    <n v="3"/>
    <x v="37"/>
    <x v="37"/>
    <s v="Draft bylaws "/>
    <s v="Hold 3 workshops, 5 days each to develop MOU and code of conduct with DHSS and MoLGRD for a standardised MOU, code of conduct, and in/out checklist"/>
    <s v="Local running (diesel, per km)"/>
    <n v="211.42857142857142"/>
    <n v="1450"/>
    <n v="15"/>
    <n v="4598571.4285714291"/>
    <n v="0"/>
    <n v="0"/>
    <n v="0"/>
    <n v="0"/>
    <n v="0"/>
    <n v="0"/>
    <m/>
    <m/>
    <n v="0"/>
    <n v="1450"/>
    <n v="15"/>
    <n v="7846715.9974551685"/>
    <m/>
    <m/>
    <n v="0"/>
    <m/>
    <m/>
    <n v="0"/>
    <m/>
    <m/>
    <n v="0"/>
    <n v="12445287.426026598"/>
    <n v="12082.803326239415"/>
  </r>
  <r>
    <s v="4.3.2.1"/>
    <x v="1"/>
    <x v="1"/>
    <x v="0"/>
    <x v="6"/>
    <n v="3"/>
    <x v="37"/>
    <x v="37"/>
    <s v="Draft bylaws "/>
    <s v="Hold 3 workshops, 5 days each to develop MOU and code of conduct with DHSS and MoLGRD for a standardised MOU, code of conduct, and in/out checklist"/>
    <s v="Fuel for Travelling Participants"/>
    <n v="211.42857142857142"/>
    <n v="7830"/>
    <n v="15"/>
    <n v="24832285.714285713"/>
    <m/>
    <m/>
    <n v="0"/>
    <m/>
    <m/>
    <n v="0"/>
    <m/>
    <m/>
    <n v="0"/>
    <n v="7830"/>
    <n v="15"/>
    <n v="42372266.386257917"/>
    <m/>
    <m/>
    <n v="0"/>
    <m/>
    <m/>
    <n v="0"/>
    <m/>
    <m/>
    <n v="0"/>
    <n v="67204552.100543633"/>
    <n v="65247.137961692846"/>
  </r>
  <r>
    <s v="4.3.2.1"/>
    <x v="1"/>
    <x v="1"/>
    <x v="0"/>
    <x v="6"/>
    <n v="3"/>
    <x v="37"/>
    <x v="37"/>
    <s v="Draft bylaws "/>
    <s v="Disseminate MOU and code of conduct at district-level (Hold a district partnership forum meeting to disseminate MOU, code of conduct and an in/out checklist)"/>
    <s v="Zero cost"/>
    <n v="0"/>
    <n v="0"/>
    <n v="0"/>
    <n v="0"/>
    <n v="0"/>
    <n v="0"/>
    <n v="0"/>
    <n v="0"/>
    <n v="0"/>
    <n v="0"/>
    <n v="4000"/>
    <n v="1"/>
    <n v="0"/>
    <n v="0"/>
    <n v="0"/>
    <n v="0"/>
    <m/>
    <m/>
    <n v="0"/>
    <m/>
    <m/>
    <n v="0"/>
    <m/>
    <m/>
    <n v="0"/>
    <n v="0"/>
    <n v="0"/>
  </r>
  <r>
    <s v="4.3.2.1"/>
    <x v="1"/>
    <x v="1"/>
    <x v="0"/>
    <x v="6"/>
    <n v="4"/>
    <x v="38"/>
    <x v="38"/>
    <s v="Donor engagement"/>
    <s v="Write DHSS to speak about their interest and readiness in SBS"/>
    <s v="Zero cost"/>
    <n v="0"/>
    <n v="0"/>
    <n v="0"/>
    <n v="0"/>
    <n v="0"/>
    <n v="0"/>
    <n v="0"/>
    <n v="0"/>
    <n v="0"/>
    <n v="0"/>
    <n v="100"/>
    <n v="1"/>
    <n v="0"/>
    <n v="0"/>
    <n v="0"/>
    <n v="0"/>
    <m/>
    <m/>
    <n v="0"/>
    <m/>
    <m/>
    <n v="0"/>
    <m/>
    <m/>
    <n v="0"/>
    <n v="0"/>
    <n v="0"/>
  </r>
  <r>
    <s v="4.3.2.1"/>
    <x v="1"/>
    <x v="1"/>
    <x v="0"/>
    <x v="6"/>
    <n v="4"/>
    <x v="38"/>
    <x v="38"/>
    <s v="Fiduciary risk assessment"/>
    <s v="Set up a task force"/>
    <s v="Zero cost"/>
    <n v="0"/>
    <n v="0"/>
    <n v="0"/>
    <n v="0"/>
    <n v="0"/>
    <n v="0"/>
    <n v="0"/>
    <n v="0"/>
    <n v="0"/>
    <n v="0"/>
    <n v="0"/>
    <n v="0"/>
    <n v="0"/>
    <n v="0"/>
    <n v="0"/>
    <n v="0"/>
    <m/>
    <m/>
    <n v="0"/>
    <m/>
    <m/>
    <n v="0"/>
    <m/>
    <m/>
    <n v="0"/>
    <n v="0"/>
    <n v="0"/>
  </r>
  <r>
    <s v="4.3.2.1"/>
    <x v="1"/>
    <x v="1"/>
    <x v="0"/>
    <x v="6"/>
    <n v="4"/>
    <x v="38"/>
    <x v="38"/>
    <s v="Fiduciary risk assessment"/>
    <s v="Develop TORs for consultant"/>
    <s v="Zero cost"/>
    <n v="0"/>
    <n v="0"/>
    <n v="0"/>
    <n v="0"/>
    <n v="20"/>
    <n v="1"/>
    <n v="0"/>
    <n v="0"/>
    <n v="0"/>
    <n v="0"/>
    <n v="0"/>
    <n v="0"/>
    <n v="0"/>
    <n v="0"/>
    <n v="0"/>
    <n v="0"/>
    <m/>
    <m/>
    <n v="0"/>
    <m/>
    <m/>
    <n v="0"/>
    <m/>
    <m/>
    <n v="0"/>
    <n v="0"/>
    <n v="0"/>
  </r>
  <r>
    <s v="4.3.2.1"/>
    <x v="1"/>
    <x v="1"/>
    <x v="0"/>
    <x v="6"/>
    <n v="4"/>
    <x v="38"/>
    <x v="38"/>
    <s v="Fiduciary risk assessment"/>
    <s v="Recruitment of a consultant"/>
    <s v="Newspaper advert (full)"/>
    <n v="391991.03749999998"/>
    <n v="1"/>
    <n v="1"/>
    <n v="391991.03749999998"/>
    <n v="5"/>
    <n v="5"/>
    <n v="11200370.664841702"/>
    <n v="0"/>
    <n v="0"/>
    <n v="0"/>
    <n v="0"/>
    <n v="0"/>
    <n v="0"/>
    <n v="0"/>
    <n v="0"/>
    <n v="0"/>
    <m/>
    <m/>
    <n v="0"/>
    <m/>
    <m/>
    <n v="0"/>
    <m/>
    <m/>
    <n v="0"/>
    <n v="11592361.702341702"/>
    <n v="11254.720099360875"/>
  </r>
  <r>
    <s v="4.3.2.1"/>
    <x v="1"/>
    <x v="1"/>
    <x v="0"/>
    <x v="6"/>
    <n v="4"/>
    <x v="38"/>
    <x v="38"/>
    <s v="Fiduciary risk assessment"/>
    <s v="Recruitment of a consultant"/>
    <s v="Local consultant fee - High level"/>
    <n v="511000"/>
    <n v="1"/>
    <n v="10"/>
    <n v="5110000"/>
    <n v="1"/>
    <n v="4"/>
    <n v="2336130.7222679998"/>
    <n v="0"/>
    <n v="0"/>
    <n v="0"/>
    <n v="0"/>
    <n v="0"/>
    <n v="0"/>
    <n v="0"/>
    <n v="0"/>
    <n v="0"/>
    <m/>
    <m/>
    <n v="0"/>
    <m/>
    <m/>
    <n v="0"/>
    <m/>
    <m/>
    <n v="0"/>
    <n v="7446130.7222680002"/>
    <n v="7229.2531284155339"/>
  </r>
  <r>
    <s v="4.3.2.1"/>
    <x v="1"/>
    <x v="1"/>
    <x v="0"/>
    <x v="6"/>
    <n v="4"/>
    <x v="38"/>
    <x v="38"/>
    <s v="Fiduciary risk assessment"/>
    <s v="Validation workshop "/>
    <s v="Conference package high-level"/>
    <n v="35000"/>
    <n v="100"/>
    <n v="1"/>
    <n v="3500000"/>
    <m/>
    <m/>
    <n v="0"/>
    <m/>
    <m/>
    <n v="0"/>
    <m/>
    <m/>
    <n v="0"/>
    <m/>
    <m/>
    <n v="0"/>
    <m/>
    <m/>
    <n v="0"/>
    <m/>
    <m/>
    <n v="0"/>
    <m/>
    <m/>
    <n v="0"/>
    <n v="3500000"/>
    <n v="3398.0582524271845"/>
  </r>
  <r>
    <s v="4.3.2.1"/>
    <x v="1"/>
    <x v="1"/>
    <x v="0"/>
    <x v="6"/>
    <n v="4"/>
    <x v="38"/>
    <x v="38"/>
    <s v="Fiduciary risk assessment"/>
    <s v="Validation workshop "/>
    <s v="DSA (excl. lunch)"/>
    <n v="39000"/>
    <n v="58"/>
    <n v="2"/>
    <n v="4524000"/>
    <m/>
    <m/>
    <n v="0"/>
    <m/>
    <m/>
    <n v="0"/>
    <m/>
    <m/>
    <n v="0"/>
    <m/>
    <m/>
    <n v="0"/>
    <m/>
    <m/>
    <n v="0"/>
    <m/>
    <m/>
    <n v="0"/>
    <m/>
    <m/>
    <n v="0"/>
    <n v="4524000"/>
    <n v="4392.2330097087379"/>
  </r>
  <r>
    <s v="4.3.2.1"/>
    <x v="1"/>
    <x v="1"/>
    <x v="0"/>
    <x v="6"/>
    <n v="4"/>
    <x v="38"/>
    <x v="38"/>
    <s v="Fiduciary risk assessment"/>
    <s v="Validation workshop "/>
    <s v="Fuel for Travelling Participants"/>
    <n v="211.42857142857142"/>
    <n v="7830"/>
    <n v="1"/>
    <n v="1655485.7142857141"/>
    <m/>
    <m/>
    <n v="0"/>
    <m/>
    <m/>
    <n v="0"/>
    <m/>
    <m/>
    <n v="0"/>
    <m/>
    <m/>
    <n v="0"/>
    <m/>
    <m/>
    <n v="0"/>
    <m/>
    <m/>
    <n v="0"/>
    <m/>
    <m/>
    <n v="0"/>
    <n v="1655485.7142857141"/>
    <n v="1607.267683772538"/>
  </r>
  <r>
    <s v="4.3.2.1"/>
    <x v="1"/>
    <x v="1"/>
    <x v="0"/>
    <x v="6"/>
    <n v="4"/>
    <x v="38"/>
    <x v="38"/>
    <s v="Fiduciary risk assessment"/>
    <s v="Validation workshop "/>
    <s v="Local running (diesel, per km)"/>
    <n v="211.42857142857142"/>
    <n v="500"/>
    <n v="1"/>
    <n v="105714.28571428571"/>
    <n v="4000"/>
    <n v="1"/>
    <n v="966584.6991771427"/>
    <n v="0"/>
    <n v="0"/>
    <n v="0"/>
    <n v="0"/>
    <n v="0"/>
    <n v="0"/>
    <n v="0"/>
    <n v="0"/>
    <n v="0"/>
    <m/>
    <m/>
    <n v="0"/>
    <m/>
    <m/>
    <n v="0"/>
    <m/>
    <m/>
    <n v="0"/>
    <n v="1072298.9848914284"/>
    <n v="1041.066975622746"/>
  </r>
  <r>
    <s v="4.3.2.1"/>
    <x v="1"/>
    <x v="1"/>
    <x v="0"/>
    <x v="6"/>
    <n v="4"/>
    <x v="38"/>
    <x v="38"/>
    <s v="Fiduciary risk assessment"/>
    <s v="Implementation of recommendations "/>
    <s v="Zero cost"/>
    <n v="0"/>
    <n v="0"/>
    <n v="0"/>
    <n v="0"/>
    <n v="35"/>
    <n v="0.5"/>
    <n v="0"/>
    <n v="0"/>
    <n v="0"/>
    <n v="0"/>
    <n v="0"/>
    <n v="0"/>
    <n v="0"/>
    <n v="0"/>
    <n v="0"/>
    <n v="0"/>
    <m/>
    <m/>
    <n v="0"/>
    <m/>
    <m/>
    <n v="0"/>
    <m/>
    <m/>
    <n v="0"/>
    <n v="0"/>
    <n v="0"/>
  </r>
  <r>
    <s v="4.3.2.1"/>
    <x v="1"/>
    <x v="1"/>
    <x v="0"/>
    <x v="6"/>
    <n v="4"/>
    <x v="38"/>
    <x v="38"/>
    <s v="Evaluation"/>
    <s v="Develop TORs for consultant"/>
    <s v="Zero cost"/>
    <n v="0"/>
    <n v="0"/>
    <n v="0"/>
    <n v="0"/>
    <n v="0"/>
    <n v="0"/>
    <n v="0"/>
    <n v="0"/>
    <n v="0"/>
    <n v="0"/>
    <n v="0"/>
    <n v="0"/>
    <n v="0"/>
    <n v="0"/>
    <n v="0"/>
    <n v="0"/>
    <m/>
    <m/>
    <n v="0"/>
    <m/>
    <m/>
    <n v="0"/>
    <m/>
    <m/>
    <n v="0"/>
    <n v="0"/>
    <n v="0"/>
  </r>
  <r>
    <s v="4.3.2.1"/>
    <x v="1"/>
    <x v="1"/>
    <x v="0"/>
    <x v="6"/>
    <n v="4"/>
    <x v="38"/>
    <x v="38"/>
    <s v="Evaluation"/>
    <s v="Recruitment of a consultant"/>
    <s v="Newspaper advert (full)"/>
    <n v="391991.03749999998"/>
    <n v="2"/>
    <n v="2"/>
    <n v="1567964.15"/>
    <n v="0"/>
    <n v="0"/>
    <n v="0"/>
    <n v="0"/>
    <n v="0"/>
    <n v="0"/>
    <n v="0"/>
    <n v="0"/>
    <n v="0"/>
    <n v="0"/>
    <n v="0"/>
    <n v="0"/>
    <m/>
    <m/>
    <n v="0"/>
    <m/>
    <m/>
    <n v="0"/>
    <m/>
    <m/>
    <n v="0"/>
    <n v="1567964.15"/>
    <n v="1522.2952912621358"/>
  </r>
  <r>
    <s v="4.3.2.1"/>
    <x v="1"/>
    <x v="1"/>
    <x v="0"/>
    <x v="6"/>
    <n v="4"/>
    <x v="38"/>
    <x v="38"/>
    <s v="Evaluation"/>
    <s v="Recruitment of a consultant"/>
    <s v="Local consultant fee - High level"/>
    <n v="511000"/>
    <n v="1"/>
    <n v="25"/>
    <n v="12775000"/>
    <n v="0"/>
    <n v="0"/>
    <n v="0"/>
    <n v="0"/>
    <n v="0"/>
    <n v="0"/>
    <n v="0"/>
    <n v="0"/>
    <n v="0"/>
    <n v="1"/>
    <n v="4"/>
    <n v="3487754.3489154573"/>
    <m/>
    <m/>
    <n v="0"/>
    <m/>
    <m/>
    <n v="0"/>
    <m/>
    <m/>
    <n v="0"/>
    <n v="16262754.348915458"/>
    <n v="15789.081892150929"/>
  </r>
  <r>
    <s v="4.3.2.1"/>
    <x v="1"/>
    <x v="1"/>
    <x v="0"/>
    <x v="6"/>
    <n v="4"/>
    <x v="38"/>
    <x v="38"/>
    <s v="Evaluation"/>
    <s v="develop data collection tools"/>
    <s v="Zero cost"/>
    <n v="0"/>
    <n v="0"/>
    <n v="0"/>
    <n v="0"/>
    <n v="0"/>
    <n v="0"/>
    <n v="0"/>
    <n v="0"/>
    <n v="0"/>
    <n v="0"/>
    <n v="0"/>
    <n v="0"/>
    <n v="0"/>
    <n v="1"/>
    <n v="40"/>
    <n v="0"/>
    <m/>
    <m/>
    <n v="0"/>
    <m/>
    <m/>
    <n v="0"/>
    <m/>
    <m/>
    <n v="0"/>
    <n v="0"/>
    <n v="0"/>
  </r>
  <r>
    <s v="4.3.2.1"/>
    <x v="1"/>
    <x v="1"/>
    <x v="0"/>
    <x v="6"/>
    <n v="4"/>
    <x v="38"/>
    <x v="38"/>
    <s v="Evaluation"/>
    <s v="conduct training on data collection "/>
    <s v="Conference package high-level"/>
    <n v="35000"/>
    <n v="30"/>
    <n v="2"/>
    <n v="2100000"/>
    <n v="0"/>
    <n v="0"/>
    <n v="0"/>
    <n v="0"/>
    <n v="0"/>
    <n v="0"/>
    <n v="0"/>
    <n v="0"/>
    <n v="0"/>
    <n v="5"/>
    <n v="5"/>
    <n v="1493045.5260768225"/>
    <m/>
    <m/>
    <n v="0"/>
    <m/>
    <m/>
    <n v="0"/>
    <m/>
    <m/>
    <n v="0"/>
    <n v="3593045.5260768225"/>
    <n v="3488.3937146376916"/>
  </r>
  <r>
    <s v="4.3.2.1"/>
    <x v="1"/>
    <x v="1"/>
    <x v="0"/>
    <x v="6"/>
    <n v="4"/>
    <x v="38"/>
    <x v="38"/>
    <s v="Evaluation"/>
    <s v="conduct training on data collection "/>
    <s v="DSA (excl. lunch)"/>
    <n v="39000"/>
    <n v="30"/>
    <n v="3"/>
    <n v="3510000"/>
    <m/>
    <m/>
    <n v="0"/>
    <m/>
    <m/>
    <n v="0"/>
    <m/>
    <m/>
    <n v="0"/>
    <m/>
    <m/>
    <n v="0"/>
    <m/>
    <m/>
    <n v="0"/>
    <m/>
    <m/>
    <n v="0"/>
    <m/>
    <m/>
    <n v="0"/>
    <n v="3510000"/>
    <n v="3407.7669902912621"/>
  </r>
  <r>
    <s v="4.3.2.1"/>
    <x v="1"/>
    <x v="1"/>
    <x v="0"/>
    <x v="6"/>
    <n v="4"/>
    <x v="38"/>
    <x v="38"/>
    <s v="Evaluation"/>
    <s v="conduct training on data collection "/>
    <s v="Local running (diesel, per km)"/>
    <n v="211.42857142857142"/>
    <n v="500"/>
    <n v="3"/>
    <n v="317142.85714285716"/>
    <m/>
    <m/>
    <n v="0"/>
    <m/>
    <m/>
    <n v="0"/>
    <m/>
    <m/>
    <n v="0"/>
    <m/>
    <m/>
    <n v="0"/>
    <m/>
    <m/>
    <n v="0"/>
    <m/>
    <m/>
    <n v="0"/>
    <m/>
    <m/>
    <n v="0"/>
    <n v="317142.85714285716"/>
    <n v="307.90568654646324"/>
  </r>
  <r>
    <s v="4.3.2.1"/>
    <x v="1"/>
    <x v="1"/>
    <x v="0"/>
    <x v="6"/>
    <n v="4"/>
    <x v="38"/>
    <x v="38"/>
    <s v="Evaluation"/>
    <s v="conduct training on data collection "/>
    <s v="Fuel for Travelling Participants"/>
    <n v="211.42857142857142"/>
    <n v="2700"/>
    <m/>
    <n v="0"/>
    <m/>
    <m/>
    <n v="0"/>
    <m/>
    <m/>
    <n v="0"/>
    <m/>
    <m/>
    <n v="0"/>
    <m/>
    <m/>
    <n v="0"/>
    <m/>
    <m/>
    <n v="0"/>
    <m/>
    <m/>
    <n v="0"/>
    <m/>
    <m/>
    <n v="0"/>
    <n v="0"/>
    <n v="0"/>
  </r>
  <r>
    <s v="4.3.2.1"/>
    <x v="1"/>
    <x v="1"/>
    <x v="0"/>
    <x v="6"/>
    <n v="4"/>
    <x v="38"/>
    <x v="38"/>
    <s v="Evaluation"/>
    <s v="pretesting of the data collection tool "/>
    <s v="Full DSA"/>
    <n v="45000"/>
    <n v="25"/>
    <n v="2"/>
    <n v="2250000"/>
    <n v="0"/>
    <n v="0"/>
    <n v="0"/>
    <n v="0"/>
    <n v="0"/>
    <n v="0"/>
    <n v="0"/>
    <n v="0"/>
    <n v="0"/>
    <n v="25"/>
    <n v="3"/>
    <n v="5758889.8862963151"/>
    <m/>
    <m/>
    <n v="0"/>
    <m/>
    <m/>
    <n v="0"/>
    <m/>
    <m/>
    <n v="0"/>
    <n v="8008889.8862963151"/>
    <n v="7775.621248831374"/>
  </r>
  <r>
    <s v="4.3.2.1"/>
    <x v="1"/>
    <x v="1"/>
    <x v="0"/>
    <x v="6"/>
    <n v="4"/>
    <x v="38"/>
    <x v="38"/>
    <s v="Evaluation"/>
    <s v="pretesting of the data collection tool "/>
    <s v="Fuel for Travelling Participants"/>
    <n v="211.42857142857142"/>
    <n v="2430"/>
    <n v="1"/>
    <n v="513771.42857142852"/>
    <m/>
    <m/>
    <n v="0"/>
    <m/>
    <m/>
    <n v="0"/>
    <m/>
    <m/>
    <n v="0"/>
    <m/>
    <m/>
    <n v="0"/>
    <m/>
    <m/>
    <n v="0"/>
    <m/>
    <m/>
    <n v="0"/>
    <m/>
    <m/>
    <n v="0"/>
    <n v="513771.42857142852"/>
    <n v="498.80721220527039"/>
  </r>
  <r>
    <s v="4.3.2.1"/>
    <x v="1"/>
    <x v="1"/>
    <x v="0"/>
    <x v="6"/>
    <n v="4"/>
    <x v="38"/>
    <x v="38"/>
    <s v="Evaluation"/>
    <s v="pretesting of the data collection tool "/>
    <s v="Local running (diesel, per km)"/>
    <n v="211.42857142857142"/>
    <n v="450"/>
    <n v="1"/>
    <n v="95142.85714285713"/>
    <n v="0"/>
    <n v="0"/>
    <n v="0"/>
    <n v="0"/>
    <n v="0"/>
    <n v="0"/>
    <n v="0"/>
    <n v="0"/>
    <n v="0"/>
    <n v="25"/>
    <n v="1"/>
    <n v="9019.2137901783553"/>
    <m/>
    <m/>
    <n v="0"/>
    <m/>
    <m/>
    <n v="0"/>
    <m/>
    <m/>
    <n v="0"/>
    <n v="104162.07093303549"/>
    <n v="101.12822420683057"/>
  </r>
  <r>
    <s v="4.3.2.1"/>
    <x v="1"/>
    <x v="1"/>
    <x v="0"/>
    <x v="6"/>
    <n v="4"/>
    <x v="38"/>
    <x v="38"/>
    <s v="Evaluation"/>
    <s v="validation of the data collection tool "/>
    <s v="Conference package high-level"/>
    <n v="35000"/>
    <n v="25"/>
    <n v="1"/>
    <n v="875000"/>
    <n v="0"/>
    <n v="0"/>
    <n v="0"/>
    <n v="0"/>
    <n v="0"/>
    <n v="0"/>
    <n v="0"/>
    <n v="0"/>
    <n v="0"/>
    <n v="4000"/>
    <n v="1"/>
    <n v="238887284.17229161"/>
    <m/>
    <m/>
    <n v="0"/>
    <m/>
    <m/>
    <n v="0"/>
    <m/>
    <m/>
    <n v="0"/>
    <n v="239762284.17229161"/>
    <n v="232778.91667212779"/>
  </r>
  <r>
    <s v="4.3.2.1"/>
    <x v="1"/>
    <x v="1"/>
    <x v="0"/>
    <x v="6"/>
    <n v="4"/>
    <x v="38"/>
    <x v="38"/>
    <s v="Evaluation"/>
    <s v="Conduct assessment (data collection)"/>
    <s v="Full DSA"/>
    <n v="45000"/>
    <n v="25"/>
    <n v="6"/>
    <n v="6750000"/>
    <n v="0"/>
    <n v="0"/>
    <n v="0"/>
    <n v="0"/>
    <n v="0"/>
    <n v="0"/>
    <n v="0"/>
    <n v="0"/>
    <n v="0"/>
    <n v="30"/>
    <n v="1"/>
    <n v="2303555.9545185259"/>
    <m/>
    <m/>
    <n v="0"/>
    <m/>
    <m/>
    <n v="0"/>
    <m/>
    <m/>
    <n v="0"/>
    <n v="9053555.9545185268"/>
    <n v="8789.8601500179866"/>
  </r>
  <r>
    <s v="4.3.2.1"/>
    <x v="1"/>
    <x v="1"/>
    <x v="0"/>
    <x v="6"/>
    <n v="4"/>
    <x v="38"/>
    <x v="38"/>
    <s v="Evaluation"/>
    <s v="Conduct assessment (data collection)"/>
    <s v="Local running (diesel, per km)"/>
    <n v="211.42857142857142"/>
    <n v="450"/>
    <n v="5"/>
    <n v="475714.28571428568"/>
    <n v="0"/>
    <n v="0"/>
    <n v="0"/>
    <n v="0"/>
    <n v="0"/>
    <n v="0"/>
    <n v="0"/>
    <n v="0"/>
    <n v="0"/>
    <n v="25"/>
    <n v="10"/>
    <n v="90192.137901783557"/>
    <m/>
    <m/>
    <n v="0"/>
    <m/>
    <m/>
    <n v="0"/>
    <m/>
    <m/>
    <n v="0"/>
    <n v="565906.42361606925"/>
    <n v="549.42371224861097"/>
  </r>
  <r>
    <s v="4.3.2.1"/>
    <x v="1"/>
    <x v="1"/>
    <x v="0"/>
    <x v="6"/>
    <n v="4"/>
    <x v="38"/>
    <x v="38"/>
    <s v="Evaluation"/>
    <s v="Conduct assessment (data collection)"/>
    <s v="Fuel for Travelling Participants"/>
    <n v="211.42857142857142"/>
    <n v="2430"/>
    <n v="1"/>
    <n v="513771.42857142852"/>
    <m/>
    <m/>
    <n v="0"/>
    <m/>
    <m/>
    <n v="0"/>
    <m/>
    <m/>
    <n v="0"/>
    <m/>
    <m/>
    <n v="0"/>
    <m/>
    <m/>
    <n v="0"/>
    <m/>
    <m/>
    <n v="0"/>
    <m/>
    <m/>
    <n v="0"/>
    <n v="513771.42857142852"/>
    <n v="498.80721220527039"/>
  </r>
  <r>
    <s v="4.3.2.1"/>
    <x v="1"/>
    <x v="1"/>
    <x v="0"/>
    <x v="6"/>
    <n v="4"/>
    <x v="38"/>
    <x v="38"/>
    <s v="Evaluation"/>
    <s v="Conduct assessment (data collection)"/>
    <s v="Airtime for Research Assistant"/>
    <n v="10000"/>
    <n v="15"/>
    <n v="1"/>
    <n v="150000"/>
    <n v="0"/>
    <n v="0"/>
    <n v="0"/>
    <n v="0"/>
    <n v="0"/>
    <n v="0"/>
    <n v="0"/>
    <n v="0"/>
    <n v="0"/>
    <n v="20000"/>
    <n v="1"/>
    <n v="341267548.81755942"/>
    <m/>
    <m/>
    <n v="0"/>
    <m/>
    <m/>
    <n v="0"/>
    <m/>
    <m/>
    <n v="0"/>
    <n v="341417548.81755942"/>
    <n v="331473.34836656257"/>
  </r>
  <r>
    <s v="4.3.2.1"/>
    <x v="1"/>
    <x v="1"/>
    <x v="0"/>
    <x v="6"/>
    <n v="4"/>
    <x v="38"/>
    <x v="38"/>
    <s v="Evaluation"/>
    <s v="Data analysis "/>
    <s v="Conference package high-level"/>
    <n v="35000"/>
    <n v="25"/>
    <n v="5"/>
    <n v="4375000"/>
    <n v="0"/>
    <n v="0"/>
    <n v="0"/>
    <n v="0"/>
    <n v="0"/>
    <n v="0"/>
    <n v="0"/>
    <n v="0"/>
    <n v="0"/>
    <n v="15"/>
    <n v="1"/>
    <n v="895827.31564609357"/>
    <m/>
    <m/>
    <n v="0"/>
    <m/>
    <m/>
    <n v="0"/>
    <m/>
    <m/>
    <n v="0"/>
    <n v="5270827.3156460933"/>
    <n v="5117.3080734428095"/>
  </r>
  <r>
    <s v="4.3.2.1"/>
    <x v="1"/>
    <x v="1"/>
    <x v="0"/>
    <x v="6"/>
    <n v="4"/>
    <x v="38"/>
    <x v="38"/>
    <s v="Evaluation"/>
    <s v="Data analysis "/>
    <s v="DSA (excl. lunch)"/>
    <n v="39000"/>
    <n v="25"/>
    <n v="6"/>
    <n v="5850000"/>
    <n v="0"/>
    <n v="0"/>
    <n v="0"/>
    <n v="0"/>
    <n v="0"/>
    <n v="0"/>
    <n v="0"/>
    <n v="0"/>
    <n v="0"/>
    <n v="25"/>
    <n v="5"/>
    <n v="8318396.502428012"/>
    <m/>
    <m/>
    <n v="0"/>
    <m/>
    <m/>
    <n v="0"/>
    <m/>
    <m/>
    <n v="0"/>
    <n v="14168396.502428012"/>
    <n v="13755.724759638846"/>
  </r>
  <r>
    <s v="4.3.2.1"/>
    <x v="1"/>
    <x v="1"/>
    <x v="0"/>
    <x v="6"/>
    <n v="4"/>
    <x v="38"/>
    <x v="38"/>
    <s v="Evaluation"/>
    <s v="Data analysis "/>
    <s v="Fuel for Travelling Participants"/>
    <n v="211.42857142857142"/>
    <n v="2430"/>
    <n v="1"/>
    <n v="513771.42857142852"/>
    <m/>
    <m/>
    <n v="0"/>
    <m/>
    <m/>
    <n v="0"/>
    <m/>
    <m/>
    <n v="0"/>
    <m/>
    <m/>
    <n v="0"/>
    <m/>
    <m/>
    <n v="0"/>
    <m/>
    <m/>
    <n v="0"/>
    <m/>
    <m/>
    <n v="0"/>
    <n v="513771.42857142852"/>
    <n v="498.80721220527039"/>
  </r>
  <r>
    <s v="4.3.2.1"/>
    <x v="1"/>
    <x v="1"/>
    <x v="0"/>
    <x v="6"/>
    <n v="4"/>
    <x v="38"/>
    <x v="38"/>
    <s v="Evaluation"/>
    <s v="Data analysis "/>
    <s v="Local running (diesel, per km)"/>
    <n v="211.42857142857142"/>
    <n v="450"/>
    <n v="5"/>
    <n v="475714.28571428568"/>
    <n v="0"/>
    <n v="0"/>
    <n v="0"/>
    <n v="0"/>
    <n v="0"/>
    <n v="0"/>
    <n v="0"/>
    <n v="0"/>
    <n v="0"/>
    <n v="25"/>
    <n v="5"/>
    <n v="45096.068950891779"/>
    <m/>
    <m/>
    <n v="0"/>
    <m/>
    <m/>
    <n v="0"/>
    <m/>
    <m/>
    <n v="0"/>
    <n v="520810.35466517747"/>
    <n v="505.64112103415289"/>
  </r>
  <r>
    <s v="4.3.2.1"/>
    <x v="1"/>
    <x v="1"/>
    <x v="0"/>
    <x v="6"/>
    <n v="4"/>
    <x v="38"/>
    <x v="38"/>
    <s v="Evaluation"/>
    <s v="report writing (consultant)"/>
    <s v="Zero cost"/>
    <n v="0"/>
    <n v="0"/>
    <n v="0"/>
    <n v="0"/>
    <n v="0"/>
    <n v="0"/>
    <n v="0"/>
    <n v="0"/>
    <n v="0"/>
    <n v="0"/>
    <n v="0"/>
    <n v="0"/>
    <n v="0"/>
    <n v="4000"/>
    <n v="1"/>
    <n v="0"/>
    <m/>
    <m/>
    <n v="0"/>
    <m/>
    <m/>
    <n v="0"/>
    <m/>
    <m/>
    <n v="0"/>
    <n v="0"/>
    <n v="0"/>
  </r>
  <r>
    <s v="4.3.2.1"/>
    <x v="1"/>
    <x v="1"/>
    <x v="0"/>
    <x v="6"/>
    <n v="4"/>
    <x v="38"/>
    <x v="38"/>
    <s v="Evaluation"/>
    <s v="Validation Working"/>
    <s v="Conference package high-level"/>
    <n v="35000"/>
    <n v="100"/>
    <n v="1"/>
    <n v="3500000"/>
    <m/>
    <m/>
    <n v="0"/>
    <m/>
    <m/>
    <n v="0"/>
    <m/>
    <m/>
    <n v="0"/>
    <m/>
    <m/>
    <n v="0"/>
    <m/>
    <m/>
    <n v="0"/>
    <m/>
    <m/>
    <n v="0"/>
    <m/>
    <m/>
    <n v="0"/>
    <n v="3500000"/>
    <n v="3398.0582524271845"/>
  </r>
  <r>
    <s v="4.3.2.1"/>
    <x v="1"/>
    <x v="1"/>
    <x v="0"/>
    <x v="6"/>
    <n v="4"/>
    <x v="38"/>
    <x v="38"/>
    <s v="Evaluation"/>
    <s v="Validation Working"/>
    <s v="DSA (excl. lunch)"/>
    <n v="39000"/>
    <n v="58"/>
    <n v="2"/>
    <n v="4524000"/>
    <m/>
    <m/>
    <n v="0"/>
    <m/>
    <m/>
    <n v="0"/>
    <m/>
    <m/>
    <n v="0"/>
    <m/>
    <m/>
    <n v="0"/>
    <m/>
    <m/>
    <n v="0"/>
    <m/>
    <m/>
    <n v="0"/>
    <m/>
    <m/>
    <n v="0"/>
    <n v="4524000"/>
    <n v="4392.2330097087379"/>
  </r>
  <r>
    <s v="4.3.2.1"/>
    <x v="1"/>
    <x v="1"/>
    <x v="0"/>
    <x v="6"/>
    <n v="4"/>
    <x v="38"/>
    <x v="38"/>
    <s v="Evaluation"/>
    <s v="Validation Working"/>
    <s v="Local running (diesel, per km)"/>
    <n v="211.42857142857142"/>
    <n v="1450"/>
    <n v="1"/>
    <n v="306571.42857142858"/>
    <m/>
    <m/>
    <n v="0"/>
    <m/>
    <m/>
    <n v="0"/>
    <m/>
    <m/>
    <n v="0"/>
    <m/>
    <m/>
    <n v="0"/>
    <m/>
    <m/>
    <n v="0"/>
    <m/>
    <m/>
    <n v="0"/>
    <m/>
    <m/>
    <n v="0"/>
    <n v="306571.42857142858"/>
    <n v="297.64216366158115"/>
  </r>
  <r>
    <s v="4.3.2.1"/>
    <x v="1"/>
    <x v="1"/>
    <x v="0"/>
    <x v="6"/>
    <n v="4"/>
    <x v="38"/>
    <x v="38"/>
    <s v="Evaluation"/>
    <s v="Validation Working"/>
    <s v="Fuel for Travelling Participants"/>
    <n v="211.42857142857142"/>
    <n v="7830"/>
    <n v="1"/>
    <n v="1655485.7142857141"/>
    <m/>
    <m/>
    <n v="0"/>
    <m/>
    <m/>
    <n v="0"/>
    <m/>
    <m/>
    <n v="0"/>
    <m/>
    <m/>
    <n v="0"/>
    <m/>
    <m/>
    <n v="0"/>
    <m/>
    <m/>
    <n v="0"/>
    <m/>
    <m/>
    <n v="0"/>
    <n v="1655485.7142857141"/>
    <n v="1607.267683772538"/>
  </r>
  <r>
    <s v="4.3.2.1"/>
    <x v="1"/>
    <x v="1"/>
    <x v="0"/>
    <x v="6"/>
    <n v="4"/>
    <x v="38"/>
    <x v="38"/>
    <s v="Evaluation"/>
    <s v="Dissemination workshop"/>
    <s v="Zero cost"/>
    <n v="0"/>
    <n v="0"/>
    <n v="0"/>
    <n v="0"/>
    <n v="0"/>
    <n v="0"/>
    <n v="0"/>
    <n v="0"/>
    <n v="0"/>
    <n v="0"/>
    <n v="0"/>
    <n v="0"/>
    <n v="0"/>
    <n v="0"/>
    <n v="0"/>
    <n v="0"/>
    <m/>
    <m/>
    <n v="0"/>
    <m/>
    <m/>
    <n v="0"/>
    <m/>
    <m/>
    <n v="0"/>
    <n v="0"/>
    <n v="0"/>
  </r>
  <r>
    <s v="4.3.2.1"/>
    <x v="1"/>
    <x v="1"/>
    <x v="0"/>
    <x v="6"/>
    <n v="4"/>
    <x v="38"/>
    <x v="38"/>
    <s v="Planning and organization"/>
    <s v="Conduct 1 meeting for a day to set up a district based steering committee "/>
    <s v="Conference package high-level"/>
    <n v="35000"/>
    <n v="25"/>
    <n v="1"/>
    <n v="875000"/>
    <n v="0"/>
    <n v="0"/>
    <n v="0"/>
    <n v="0"/>
    <n v="0"/>
    <n v="0"/>
    <n v="0"/>
    <n v="0"/>
    <n v="0"/>
    <n v="0"/>
    <n v="0"/>
    <n v="0"/>
    <m/>
    <m/>
    <n v="0"/>
    <m/>
    <m/>
    <n v="0"/>
    <m/>
    <m/>
    <n v="0"/>
    <n v="875000"/>
    <n v="849.51456310679612"/>
  </r>
  <r>
    <s v="4.3.2.1"/>
    <x v="1"/>
    <x v="1"/>
    <x v="0"/>
    <x v="6"/>
    <n v="4"/>
    <x v="38"/>
    <x v="38"/>
    <s v="Planning and organization"/>
    <s v="Contract signing for the Health-SBS"/>
    <s v="Zero cost"/>
    <n v="0"/>
    <n v="0"/>
    <n v="0"/>
    <n v="0"/>
    <n v="0"/>
    <n v="0"/>
    <n v="0"/>
    <n v="20"/>
    <n v="1"/>
    <n v="0"/>
    <n v="0"/>
    <n v="0"/>
    <n v="0"/>
    <n v="0"/>
    <n v="0"/>
    <n v="0"/>
    <m/>
    <m/>
    <n v="0"/>
    <m/>
    <m/>
    <n v="0"/>
    <m/>
    <m/>
    <n v="0"/>
    <n v="0"/>
    <n v="0"/>
  </r>
  <r>
    <s v="4.3.2.1"/>
    <x v="1"/>
    <x v="1"/>
    <x v="0"/>
    <x v="6"/>
    <n v="4"/>
    <x v="38"/>
    <x v="38"/>
    <s v="Planning and organization"/>
    <s v="Lift activities from DIP"/>
    <s v="Conference package high-level"/>
    <n v="0"/>
    <n v="0"/>
    <n v="0"/>
    <n v="0"/>
    <n v="0"/>
    <n v="0"/>
    <n v="0"/>
    <n v="0"/>
    <n v="0"/>
    <n v="0"/>
    <n v="0"/>
    <n v="0"/>
    <n v="0"/>
    <n v="0"/>
    <n v="0"/>
    <n v="0"/>
    <m/>
    <m/>
    <n v="0"/>
    <m/>
    <m/>
    <n v="0"/>
    <m/>
    <m/>
    <n v="0"/>
    <n v="0"/>
    <n v="0"/>
  </r>
  <r>
    <s v="4.3.2.1"/>
    <x v="1"/>
    <x v="1"/>
    <x v="0"/>
    <x v="6"/>
    <n v="4"/>
    <x v="38"/>
    <x v="38"/>
    <s v="Planning and organization"/>
    <s v="Contract signing"/>
    <s v="zero cost"/>
    <n v="0"/>
    <n v="0"/>
    <n v="0"/>
    <n v="0"/>
    <n v="0"/>
    <n v="0"/>
    <n v="0"/>
    <n v="0"/>
    <n v="0"/>
    <n v="0"/>
    <n v="0"/>
    <n v="0"/>
    <n v="0"/>
    <n v="0"/>
    <n v="0"/>
    <n v="0"/>
    <m/>
    <m/>
    <n v="0"/>
    <m/>
    <m/>
    <n v="0"/>
    <m/>
    <m/>
    <n v="0"/>
    <n v="0"/>
    <n v="0"/>
  </r>
  <r>
    <s v="4.3.2.1"/>
    <x v="1"/>
    <x v="1"/>
    <x v="0"/>
    <x v="6"/>
    <n v="4"/>
    <x v="38"/>
    <x v="38"/>
    <s v="Enhance fiduciary management of the health SBS"/>
    <s v="Conduct internal risk management identification exercise"/>
    <s v="Conference package high-level"/>
    <n v="0"/>
    <n v="0"/>
    <n v="0"/>
    <n v="0"/>
    <n v="0"/>
    <n v="0"/>
    <n v="0"/>
    <n v="0"/>
    <n v="0"/>
    <n v="0"/>
    <n v="0"/>
    <n v="0"/>
    <n v="0"/>
    <n v="0"/>
    <n v="0"/>
    <n v="0"/>
    <m/>
    <m/>
    <n v="0"/>
    <m/>
    <m/>
    <n v="0"/>
    <m/>
    <m/>
    <n v="0"/>
    <n v="0"/>
    <n v="0"/>
  </r>
  <r>
    <s v="4.3.2.1"/>
    <x v="1"/>
    <x v="1"/>
    <x v="0"/>
    <x v="6"/>
    <n v="4"/>
    <x v="38"/>
    <x v="38"/>
    <s v="Enhance fiduciary management of the health SBS"/>
    <s v="Recruitment of fiduciary agent"/>
    <s v="Newspaper advert (full)"/>
    <n v="391991.03749999998"/>
    <n v="2"/>
    <n v="2"/>
    <n v="1567964.15"/>
    <n v="0"/>
    <n v="0"/>
    <n v="0"/>
    <n v="0"/>
    <n v="0"/>
    <n v="0"/>
    <n v="0"/>
    <n v="0"/>
    <n v="0"/>
    <n v="0"/>
    <n v="0"/>
    <n v="0"/>
    <m/>
    <m/>
    <n v="0"/>
    <m/>
    <m/>
    <n v="0"/>
    <m/>
    <m/>
    <n v="0"/>
    <n v="1567964.15"/>
    <n v="1522.2952912621358"/>
  </r>
  <r>
    <s v="4.3.2.1"/>
    <x v="1"/>
    <x v="1"/>
    <x v="0"/>
    <x v="6"/>
    <n v="4"/>
    <x v="38"/>
    <x v="38"/>
    <s v="Enhance fiduciary management of the health SBS"/>
    <s v="Conduct financial and programmatic internal audits on a quarterly basis"/>
    <s v="Zero cost"/>
    <n v="0"/>
    <n v="0"/>
    <n v="0"/>
    <n v="0"/>
    <n v="0"/>
    <n v="0"/>
    <n v="0"/>
    <n v="1"/>
    <n v="4"/>
    <n v="0"/>
    <n v="0"/>
    <n v="0"/>
    <n v="0"/>
    <n v="0"/>
    <n v="0"/>
    <n v="0"/>
    <m/>
    <m/>
    <n v="0"/>
    <m/>
    <m/>
    <n v="0"/>
    <m/>
    <m/>
    <n v="0"/>
    <n v="0"/>
    <n v="0"/>
  </r>
  <r>
    <s v="4.3.2.1"/>
    <x v="1"/>
    <x v="1"/>
    <x v="0"/>
    <x v="6"/>
    <n v="4"/>
    <x v="38"/>
    <x v="38"/>
    <s v="Enhance fiduciary management of the health SBS"/>
    <s v="Schedule external audits with the National Audit Office"/>
    <s v="Zero cost"/>
    <n v="0"/>
    <n v="0"/>
    <n v="0"/>
    <n v="0"/>
    <n v="0"/>
    <n v="0"/>
    <n v="0"/>
    <n v="0"/>
    <n v="0"/>
    <n v="0"/>
    <n v="0"/>
    <n v="0"/>
    <n v="0"/>
    <n v="0"/>
    <n v="0"/>
    <n v="0"/>
    <m/>
    <m/>
    <n v="0"/>
    <m/>
    <m/>
    <n v="0"/>
    <m/>
    <m/>
    <n v="0"/>
    <n v="0"/>
    <n v="0"/>
  </r>
  <r>
    <s v="4.3.2.1"/>
    <x v="1"/>
    <x v="1"/>
    <x v="0"/>
    <x v="6"/>
    <n v="4"/>
    <x v="38"/>
    <x v="38"/>
    <s v="Implementation"/>
    <s v="Health- district SBS steering committee to conduct  quarterly meetings 2 days' each"/>
    <s v="Conference package high-level"/>
    <n v="35000"/>
    <n v="25"/>
    <n v="2"/>
    <n v="1750000"/>
    <n v="0"/>
    <n v="0"/>
    <n v="0"/>
    <n v="0"/>
    <n v="0"/>
    <n v="0"/>
    <n v="0"/>
    <n v="0"/>
    <n v="0"/>
    <n v="0"/>
    <n v="0"/>
    <n v="0"/>
    <m/>
    <m/>
    <n v="0"/>
    <m/>
    <m/>
    <n v="0"/>
    <m/>
    <m/>
    <n v="0"/>
    <n v="1750000"/>
    <n v="1699.0291262135922"/>
  </r>
  <r>
    <s v="4.3.2.1"/>
    <x v="1"/>
    <x v="1"/>
    <x v="0"/>
    <x v="6"/>
    <n v="4"/>
    <x v="38"/>
    <x v="38"/>
    <s v="Performance monitoring of district SBS"/>
    <s v="Annual reports with indicator targets"/>
    <s v="Zero cost"/>
    <n v="0"/>
    <n v="20"/>
    <n v="4"/>
    <n v="0"/>
    <n v="20"/>
    <n v="4"/>
    <n v="0"/>
    <n v="20"/>
    <n v="4"/>
    <n v="0"/>
    <n v="20"/>
    <n v="4"/>
    <n v="0"/>
    <n v="20"/>
    <n v="4"/>
    <n v="0"/>
    <m/>
    <m/>
    <n v="0"/>
    <m/>
    <m/>
    <n v="0"/>
    <m/>
    <m/>
    <n v="0"/>
    <n v="0"/>
    <n v="0"/>
  </r>
  <r>
    <s v="4.3.2.1"/>
    <x v="1"/>
    <x v="1"/>
    <x v="0"/>
    <x v="6"/>
    <n v="4"/>
    <x v="38"/>
    <x v="38"/>
    <s v="Performance monitoring of district SBS"/>
    <s v="Annual audits (program and financial)"/>
    <s v="Zero cost"/>
    <n v="0"/>
    <n v="0"/>
    <n v="0"/>
    <n v="0"/>
    <n v="0"/>
    <n v="0"/>
    <n v="0"/>
    <n v="0"/>
    <n v="0"/>
    <n v="0"/>
    <n v="0"/>
    <n v="0"/>
    <n v="0"/>
    <n v="0"/>
    <n v="0"/>
    <n v="0"/>
    <m/>
    <m/>
    <n v="0"/>
    <m/>
    <m/>
    <n v="0"/>
    <m/>
    <m/>
    <n v="0"/>
    <n v="0"/>
    <n v="0"/>
  </r>
  <r>
    <s v="4.3.2.1"/>
    <x v="1"/>
    <x v="1"/>
    <x v="0"/>
    <x v="6"/>
    <n v="4"/>
    <x v="38"/>
    <x v="38"/>
    <s v=" Recruitment PFM TA to manage a cluster of 3-5 districts"/>
    <s v="Set up a task force"/>
    <s v="Zero cost"/>
    <n v="0"/>
    <n v="0"/>
    <n v="0"/>
    <n v="0"/>
    <n v="0"/>
    <n v="0"/>
    <n v="0"/>
    <n v="0"/>
    <n v="0"/>
    <n v="0"/>
    <n v="0"/>
    <n v="0"/>
    <n v="0"/>
    <n v="0"/>
    <n v="0"/>
    <n v="0"/>
    <m/>
    <m/>
    <n v="0"/>
    <m/>
    <m/>
    <n v="0"/>
    <m/>
    <m/>
    <n v="0"/>
    <n v="0"/>
    <n v="0"/>
  </r>
  <r>
    <s v="4.3.2.1"/>
    <x v="1"/>
    <x v="1"/>
    <x v="0"/>
    <x v="6"/>
    <n v="4"/>
    <x v="38"/>
    <x v="38"/>
    <s v=" Recruitment PFM TA to manage a cluster of 3-5 districts"/>
    <s v="Develop TORs for consultant"/>
    <s v="Zero cost"/>
    <n v="0"/>
    <n v="0"/>
    <n v="0"/>
    <n v="0"/>
    <n v="0"/>
    <n v="0"/>
    <n v="0"/>
    <n v="0"/>
    <n v="0"/>
    <n v="0"/>
    <n v="0"/>
    <n v="0"/>
    <n v="0"/>
    <n v="0"/>
    <n v="0"/>
    <n v="0"/>
    <m/>
    <m/>
    <n v="0"/>
    <m/>
    <m/>
    <n v="0"/>
    <m/>
    <m/>
    <n v="0"/>
    <n v="0"/>
    <n v="0"/>
  </r>
  <r>
    <s v="4.3.2.1"/>
    <x v="1"/>
    <x v="1"/>
    <x v="0"/>
    <x v="6"/>
    <n v="4"/>
    <x v="38"/>
    <x v="38"/>
    <s v=" Recruitment PFM TA to manage a cluster of 3-5 districts"/>
    <s v="Recruitment of a consultant"/>
    <s v="Newspaper advert (full)"/>
    <n v="391991.03749999998"/>
    <m/>
    <m/>
    <n v="0"/>
    <n v="2"/>
    <n v="2"/>
    <n v="1792059.3063746723"/>
    <n v="0"/>
    <n v="0"/>
    <n v="0"/>
    <n v="0"/>
    <n v="0"/>
    <n v="0"/>
    <n v="0"/>
    <n v="0"/>
    <n v="0"/>
    <m/>
    <m/>
    <n v="0"/>
    <m/>
    <m/>
    <n v="0"/>
    <m/>
    <m/>
    <n v="0"/>
    <n v="1792059.3063746723"/>
    <n v="1739.8634042472547"/>
  </r>
  <r>
    <s v="4.3.2.1"/>
    <x v="1"/>
    <x v="1"/>
    <x v="0"/>
    <x v="6"/>
    <n v="4"/>
    <x v="38"/>
    <x v="38"/>
    <s v=" Recruitment PFM TA to manage a cluster of 3-5 districts"/>
    <s v="Recruitment of a consultant"/>
    <s v="Local consultant fee - High level"/>
    <n v="42924000"/>
    <m/>
    <m/>
    <n v="0"/>
    <m/>
    <m/>
    <n v="0"/>
    <n v="1"/>
    <n v="25"/>
    <n v="1401756871.1107209"/>
    <n v="1"/>
    <n v="25"/>
    <n v="1602097500.8571527"/>
    <n v="1"/>
    <n v="25"/>
    <n v="1831071033.1806154"/>
    <n v="1"/>
    <n v="25"/>
    <n v="2092769713.927712"/>
    <n v="1"/>
    <n v="25"/>
    <n v="2391870657.2106366"/>
    <n v="1"/>
    <n v="25"/>
    <n v="2733719435.4212914"/>
    <n v="12053285211.708128"/>
    <n v="11702218.652143814"/>
  </r>
  <r>
    <s v="4.3.2.2"/>
    <x v="1"/>
    <x v="1"/>
    <x v="1"/>
    <x v="7"/>
    <n v="1"/>
    <x v="39"/>
    <x v="39"/>
    <s v="Lobby that all DHMT teams across the country are trained in leadership and management provided by SDI"/>
    <s v="conduct 1-day meeting with SDI"/>
    <s v="Conference package high-level"/>
    <n v="35000"/>
    <n v="25"/>
    <n v="1"/>
    <n v="875000"/>
    <n v="25"/>
    <n v="1"/>
    <n v="1000055.9598749998"/>
    <n v="0"/>
    <n v="0"/>
    <n v="0"/>
    <n v="0"/>
    <n v="0"/>
    <n v="0"/>
    <n v="0"/>
    <n v="0"/>
    <n v="0"/>
    <m/>
    <m/>
    <n v="0"/>
    <m/>
    <m/>
    <n v="0"/>
    <m/>
    <m/>
    <n v="0"/>
    <n v="1875055.9598749997"/>
    <n v="1820.4426794902911"/>
  </r>
  <r>
    <s v="4.3.2.2"/>
    <x v="1"/>
    <x v="1"/>
    <x v="1"/>
    <x v="7"/>
    <n v="1"/>
    <x v="39"/>
    <x v="39"/>
    <s v="Lobby that other cadres at council level including DoF, DoA, and DoP are trained in leadership and management "/>
    <s v="1-day meeting with SDI (staff development institute) "/>
    <s v="Conference package high-level"/>
    <n v="35000"/>
    <n v="25"/>
    <n v="5"/>
    <n v="4375000"/>
    <n v="25"/>
    <n v="5"/>
    <n v="5000279.7993749995"/>
    <n v="0"/>
    <n v="0"/>
    <n v="0"/>
    <n v="0"/>
    <n v="0"/>
    <n v="0"/>
    <n v="0"/>
    <n v="0"/>
    <n v="0"/>
    <m/>
    <m/>
    <n v="0"/>
    <m/>
    <m/>
    <n v="0"/>
    <m/>
    <m/>
    <n v="0"/>
    <n v="9375279.7993749995"/>
    <n v="9102.2133974514563"/>
  </r>
  <r>
    <s v="4.3.2.2"/>
    <x v="1"/>
    <x v="1"/>
    <x v="1"/>
    <x v="7"/>
    <n v="1"/>
    <x v="39"/>
    <x v="39"/>
    <s v="Finalise health centre management curriculum (To include issues on partnerships and health financing)"/>
    <s v="Hold 1 meeting with 40 stakeholders "/>
    <s v="Conference package high-level"/>
    <n v="35000"/>
    <n v="40"/>
    <n v="5"/>
    <n v="7000000"/>
    <n v="10"/>
    <n v="1"/>
    <n v="400022.38394999993"/>
    <n v="0"/>
    <n v="0"/>
    <n v="0"/>
    <n v="0"/>
    <n v="0"/>
    <n v="0"/>
    <n v="40"/>
    <n v="5"/>
    <n v="11944364.20861458"/>
    <m/>
    <m/>
    <n v="0"/>
    <m/>
    <m/>
    <n v="0"/>
    <m/>
    <m/>
    <n v="0"/>
    <n v="19344386.592564579"/>
    <n v="18780.957856858815"/>
  </r>
  <r>
    <s v="4.3.2.2"/>
    <x v="1"/>
    <x v="1"/>
    <x v="1"/>
    <x v="7"/>
    <n v="1"/>
    <x v="39"/>
    <x v="39"/>
    <s v="Finalise health centre management curriculum (To include issues on partnerships and health financing)"/>
    <s v="Hold 1 meeting with 40 stakeholders "/>
    <s v="DSA (excl. lunch)"/>
    <n v="39000"/>
    <n v="40"/>
    <n v="6"/>
    <n v="9360000"/>
    <n v="0"/>
    <n v="0"/>
    <n v="0"/>
    <n v="0"/>
    <n v="0"/>
    <n v="0"/>
    <n v="0"/>
    <n v="0"/>
    <n v="0"/>
    <n v="40"/>
    <n v="6"/>
    <n v="15971321.284661781"/>
    <m/>
    <m/>
    <n v="0"/>
    <m/>
    <m/>
    <n v="0"/>
    <m/>
    <m/>
    <n v="0"/>
    <n v="25331321.284661781"/>
    <n v="24593.515810351244"/>
  </r>
  <r>
    <s v="4.3.2.2"/>
    <x v="1"/>
    <x v="1"/>
    <x v="1"/>
    <x v="7"/>
    <n v="1"/>
    <x v="39"/>
    <x v="39"/>
    <s v="Finalise health centre management curriculum (To include issues on partnerships and health financing)"/>
    <s v="Hold 1 meeting with 40 stakeholders "/>
    <s v="Local running (diesel, per km)"/>
    <n v="211.42857142857142"/>
    <n v="750"/>
    <n v="5"/>
    <n v="792857.14285714272"/>
    <n v="0"/>
    <n v="0"/>
    <n v="0"/>
    <n v="0"/>
    <n v="0"/>
    <n v="0"/>
    <n v="0"/>
    <n v="0"/>
    <n v="0"/>
    <n v="450"/>
    <n v="5"/>
    <n v="811729.24111605203"/>
    <m/>
    <m/>
    <n v="0"/>
    <m/>
    <m/>
    <n v="0"/>
    <m/>
    <m/>
    <n v="0"/>
    <n v="1604586.3839731948"/>
    <n v="1557.8508582264026"/>
  </r>
  <r>
    <s v="4.3.2.2"/>
    <x v="1"/>
    <x v="1"/>
    <x v="1"/>
    <x v="7"/>
    <n v="1"/>
    <x v="39"/>
    <x v="39"/>
    <s v="Finalise health centre management curriculum (To include issues on partnerships and health financing)"/>
    <s v="Hold 1 meeting with 40 stakeholders "/>
    <s v="Fuel for travelling participants"/>
    <n v="211.42857142857142"/>
    <n v="4050"/>
    <n v="1"/>
    <n v="856285.7142857142"/>
    <m/>
    <m/>
    <n v="0"/>
    <m/>
    <m/>
    <n v="0"/>
    <m/>
    <m/>
    <n v="0"/>
    <n v="2430"/>
    <n v="1"/>
    <n v="876667.58040533611"/>
    <m/>
    <m/>
    <n v="0"/>
    <m/>
    <m/>
    <n v="0"/>
    <m/>
    <m/>
    <n v="0"/>
    <n v="1732953.2946910504"/>
    <n v="1682.478926884515"/>
  </r>
  <r>
    <s v="4.3.2.2"/>
    <x v="1"/>
    <x v="1"/>
    <x v="1"/>
    <x v="7"/>
    <n v="1"/>
    <x v="39"/>
    <x v="39"/>
    <s v="Roll out health centre management curriculum to health centre managers"/>
    <s v="conduct 5 meetings for 5 zones, 1 day each"/>
    <s v="Conference package high-level"/>
    <n v="35000"/>
    <n v="1000"/>
    <n v="1"/>
    <n v="35000000"/>
    <n v="1000"/>
    <n v="1"/>
    <n v="40002238.394999996"/>
    <n v="0"/>
    <n v="0"/>
    <n v="0"/>
    <n v="0"/>
    <n v="0"/>
    <n v="0"/>
    <n v="1000"/>
    <n v="1"/>
    <n v="59721821.043072902"/>
    <m/>
    <m/>
    <n v="0"/>
    <n v="1000"/>
    <n v="1"/>
    <n v="78012741.591997266"/>
    <m/>
    <m/>
    <n v="0"/>
    <n v="212736801.03007016"/>
    <n v="206540.58352433995"/>
  </r>
  <r>
    <s v="4.3.2.2"/>
    <x v="1"/>
    <x v="1"/>
    <x v="1"/>
    <x v="7"/>
    <n v="1"/>
    <x v="39"/>
    <x v="39"/>
    <s v="Roll out health centre management curriculum to health centre managers"/>
    <s v="conduct 5 meetings for 5 zones, 1 day each"/>
    <s v="DSA (excl. lunch)"/>
    <n v="39000"/>
    <n v="1000"/>
    <n v="1"/>
    <n v="39000000"/>
    <n v="1000"/>
    <n v="1"/>
    <n v="44573922.782999992"/>
    <n v="0"/>
    <n v="0"/>
    <n v="0"/>
    <n v="0"/>
    <n v="0"/>
    <n v="0"/>
    <n v="1000"/>
    <n v="1"/>
    <n v="66547172.019424088"/>
    <m/>
    <m/>
    <n v="0"/>
    <n v="1000"/>
    <n v="1"/>
    <n v="86928483.488225535"/>
    <m/>
    <m/>
    <n v="0"/>
    <n v="237049578.29064959"/>
    <n v="230145.22164140738"/>
  </r>
  <r>
    <s v="4.3.2.2"/>
    <x v="1"/>
    <x v="1"/>
    <x v="1"/>
    <x v="7"/>
    <n v="1"/>
    <x v="39"/>
    <x v="39"/>
    <s v="Roll out health centre management curriculum to health centre managers"/>
    <s v="conduct 5 meetings for 5 zones, 1 day each"/>
    <s v="Local running (diesel, per km)"/>
    <n v="211.42857142857142"/>
    <n v="14500"/>
    <n v="1"/>
    <n v="3065714.2857142854"/>
    <n v="14500"/>
    <n v="1"/>
    <n v="3503869.5345171425"/>
    <n v="0"/>
    <n v="0"/>
    <n v="0"/>
    <n v="0"/>
    <n v="0"/>
    <n v="0"/>
    <n v="14500"/>
    <n v="1"/>
    <n v="5231143.998303446"/>
    <m/>
    <m/>
    <n v="0"/>
    <n v="14500"/>
    <n v="1"/>
    <n v="6833279.3247520877"/>
    <m/>
    <m/>
    <n v="0"/>
    <n v="18634007.143286962"/>
    <n v="18091.26907115239"/>
  </r>
  <r>
    <s v="4.3.2.2"/>
    <x v="1"/>
    <x v="1"/>
    <x v="1"/>
    <x v="7"/>
    <n v="1"/>
    <x v="39"/>
    <x v="39"/>
    <s v="Roll out health centre management curriculum to health centre managers"/>
    <s v="conduct 5 meetings for 5 zones, 1 day each"/>
    <s v="Fuel for travelling participants"/>
    <n v="211.42857142857142"/>
    <n v="45000"/>
    <n v="1"/>
    <n v="9514285.7142857146"/>
    <n v="45000"/>
    <n v="1"/>
    <n v="10874077.865742857"/>
    <m/>
    <m/>
    <n v="0"/>
    <m/>
    <m/>
    <n v="0"/>
    <n v="45000"/>
    <n v="1"/>
    <n v="16234584.822321039"/>
    <m/>
    <m/>
    <n v="0"/>
    <n v="45000"/>
    <n v="1"/>
    <n v="21206728.938885789"/>
    <m/>
    <m/>
    <n v="0"/>
    <n v="57829677.341235399"/>
    <n v="56145.317807024658"/>
  </r>
  <r>
    <s v="4.3.2.2"/>
    <x v="1"/>
    <x v="1"/>
    <x v="1"/>
    <x v="7"/>
    <n v="1"/>
    <x v="39"/>
    <x v="39"/>
    <s v="Lobby for long-term leadership and governance trainings (professional/masters) to health services Administrators (enrol 35 officers)"/>
    <s v="Meeting with DHMT, DHRMD, MoH"/>
    <s v="Conference package high-level"/>
    <n v="35000"/>
    <n v="100"/>
    <n v="2"/>
    <n v="7000000"/>
    <n v="20000"/>
    <n v="5"/>
    <n v="4000223839.499999"/>
    <n v="0"/>
    <n v="0"/>
    <n v="0"/>
    <n v="0"/>
    <n v="0"/>
    <n v="0"/>
    <n v="0"/>
    <n v="0"/>
    <n v="0"/>
    <m/>
    <m/>
    <n v="0"/>
    <m/>
    <m/>
    <n v="0"/>
    <m/>
    <m/>
    <n v="0"/>
    <n v="4007223839.499999"/>
    <n v="3890508.5820388342"/>
  </r>
  <r>
    <s v="4.3.2.2"/>
    <x v="1"/>
    <x v="1"/>
    <x v="1"/>
    <x v="7"/>
    <n v="1"/>
    <x v="39"/>
    <x v="39"/>
    <s v="Lobby for long-term leadership and governance trainings (professional/masters) to health services Administrators (enrol 35 officers)"/>
    <s v="Meeting with DHMT, DHRMD, MoH"/>
    <s v="DSA (excl. lunch)"/>
    <n v="39000"/>
    <n v="58"/>
    <n v="2"/>
    <n v="4524000"/>
    <m/>
    <m/>
    <n v="0"/>
    <m/>
    <m/>
    <n v="0"/>
    <m/>
    <m/>
    <n v="0"/>
    <m/>
    <m/>
    <n v="0"/>
    <m/>
    <m/>
    <n v="0"/>
    <m/>
    <m/>
    <n v="0"/>
    <m/>
    <m/>
    <n v="0"/>
    <n v="4524000"/>
    <n v="4392.2330097087379"/>
  </r>
  <r>
    <s v="4.3.2.2"/>
    <x v="1"/>
    <x v="1"/>
    <x v="1"/>
    <x v="7"/>
    <n v="1"/>
    <x v="39"/>
    <x v="39"/>
    <s v="Lobby for long-term leadership and governance trainings (professional/masters) to health services Administrators (enrol 35 officers)"/>
    <s v="Meeting with DHMT, DHRMD, MoH"/>
    <s v="Local running (diesel, per km)"/>
    <n v="211.42857142857142"/>
    <n v="1450"/>
    <n v="2"/>
    <n v="613142.85714285716"/>
    <m/>
    <m/>
    <n v="0"/>
    <m/>
    <m/>
    <n v="0"/>
    <m/>
    <m/>
    <n v="0"/>
    <m/>
    <m/>
    <n v="0"/>
    <m/>
    <m/>
    <n v="0"/>
    <m/>
    <m/>
    <n v="0"/>
    <m/>
    <m/>
    <n v="0"/>
    <n v="613142.85714285716"/>
    <n v="595.2843273231623"/>
  </r>
  <r>
    <s v="4.3.2.2"/>
    <x v="1"/>
    <x v="1"/>
    <x v="1"/>
    <x v="7"/>
    <n v="1"/>
    <x v="39"/>
    <x v="39"/>
    <s v="Lobby for long-term leadership and governance trainings (professional/masters) to health services Administrators (enrol 35 officers)"/>
    <s v="Meeting with DHMT, DHRMD, MoH"/>
    <s v="Fuel for travelling participants"/>
    <n v="211.42857142857142"/>
    <n v="22500"/>
    <n v="1"/>
    <n v="4757142.8571428573"/>
    <m/>
    <m/>
    <n v="0"/>
    <m/>
    <m/>
    <n v="0"/>
    <m/>
    <m/>
    <n v="0"/>
    <m/>
    <m/>
    <n v="0"/>
    <m/>
    <m/>
    <n v="0"/>
    <m/>
    <m/>
    <n v="0"/>
    <m/>
    <m/>
    <n v="0"/>
    <n v="4757142.8571428573"/>
    <n v="4618.5852981969492"/>
  </r>
  <r>
    <s v="4.3.2.2"/>
    <x v="1"/>
    <x v="1"/>
    <x v="1"/>
    <x v="7"/>
    <n v="1"/>
    <x v="39"/>
    <x v="39"/>
    <s v="Lobby for decentralisation of scholarship funding with health training committee"/>
    <s v="conduct meetings"/>
    <s v="Zero cost"/>
    <n v="0"/>
    <n v="0"/>
    <n v="0"/>
    <n v="0"/>
    <n v="0"/>
    <n v="0"/>
    <n v="0"/>
    <n v="0"/>
    <n v="0"/>
    <n v="0"/>
    <n v="0"/>
    <n v="0"/>
    <n v="0"/>
    <n v="0"/>
    <n v="0"/>
    <n v="0"/>
    <m/>
    <m/>
    <n v="0"/>
    <m/>
    <m/>
    <n v="0"/>
    <m/>
    <m/>
    <n v="0"/>
    <n v="0"/>
    <n v="0"/>
  </r>
  <r>
    <s v="4.3.2.2"/>
    <x v="1"/>
    <x v="1"/>
    <x v="1"/>
    <x v="7"/>
    <n v="1"/>
    <x v="39"/>
    <x v="39"/>
    <s v="Develop a concept note on revising the LAPA tool to include performance criteria on partner coordination"/>
    <s v="conduct consultation workshops"/>
    <s v="Conference package high-level"/>
    <n v="35000"/>
    <n v="25"/>
    <n v="15"/>
    <n v="13125000"/>
    <n v="25"/>
    <n v="15"/>
    <n v="15000839.398124997"/>
    <n v="0"/>
    <n v="0"/>
    <n v="0"/>
    <n v="0"/>
    <n v="0"/>
    <n v="0"/>
    <n v="0"/>
    <n v="0"/>
    <n v="0"/>
    <n v="25"/>
    <n v="15"/>
    <n v="25596498.458019953"/>
    <m/>
    <m/>
    <n v="0"/>
    <m/>
    <m/>
    <n v="0"/>
    <n v="53722337.85614495"/>
    <n v="52157.609569072767"/>
  </r>
  <r>
    <s v="4.3.2.2"/>
    <x v="1"/>
    <x v="1"/>
    <x v="1"/>
    <x v="7"/>
    <n v="1"/>
    <x v="39"/>
    <x v="39"/>
    <s v="Develop a concept note on revising the LAPA tool to include performance criteria on partner coordination"/>
    <s v="conduct consultation workshops"/>
    <s v="DSA (excl. lunch)"/>
    <n v="39000"/>
    <n v="25"/>
    <n v="18"/>
    <n v="17550000"/>
    <n v="25"/>
    <n v="18"/>
    <n v="20058265.252349999"/>
    <n v="0"/>
    <n v="0"/>
    <n v="0"/>
    <n v="0"/>
    <n v="0"/>
    <n v="0"/>
    <n v="0"/>
    <n v="0"/>
    <n v="0"/>
    <n v="25"/>
    <n v="18"/>
    <n v="34226175.081009544"/>
    <m/>
    <m/>
    <n v="0"/>
    <m/>
    <m/>
    <n v="0"/>
    <n v="71834440.33335954"/>
    <n v="69742.175080931585"/>
  </r>
  <r>
    <s v="4.3.2.2"/>
    <x v="1"/>
    <x v="1"/>
    <x v="1"/>
    <x v="7"/>
    <n v="1"/>
    <x v="39"/>
    <x v="39"/>
    <s v="Develop a concept note on revising the LAPA tool to include performance criteria on partner coordination"/>
    <s v="conduct consultation workshops"/>
    <s v="Local running (diesel, per km)"/>
    <n v="211.42857142857142"/>
    <n v="450"/>
    <n v="15"/>
    <n v="1427142.857142857"/>
    <n v="450"/>
    <n v="15"/>
    <n v="1631111.6798614284"/>
    <n v="0"/>
    <n v="0"/>
    <n v="0"/>
    <n v="0"/>
    <n v="0"/>
    <n v="0"/>
    <n v="0"/>
    <n v="0"/>
    <n v="0"/>
    <n v="450"/>
    <n v="15"/>
    <n v="2783227.424170007"/>
    <m/>
    <m/>
    <n v="0"/>
    <m/>
    <m/>
    <n v="0"/>
    <n v="5841481.9611742925"/>
    <n v="5671.3417098779537"/>
  </r>
  <r>
    <s v="4.3.2.2"/>
    <x v="1"/>
    <x v="1"/>
    <x v="1"/>
    <x v="7"/>
    <n v="1"/>
    <x v="39"/>
    <x v="39"/>
    <s v="Develop a concept note on revising the LAPA tool to include performance criteria on partner coordination"/>
    <s v="conduct consultation workshops"/>
    <s v="Fuel for travelling participants"/>
    <n v="211.42857142857142"/>
    <n v="2430"/>
    <n v="3"/>
    <n v="1541314.2857142854"/>
    <n v="2430"/>
    <n v="3"/>
    <n v="1761600.6142503428"/>
    <m/>
    <m/>
    <n v="0"/>
    <m/>
    <m/>
    <n v="0"/>
    <m/>
    <m/>
    <n v="0"/>
    <n v="2430"/>
    <n v="3"/>
    <n v="3005885.6181036076"/>
    <m/>
    <m/>
    <n v="0"/>
    <m/>
    <m/>
    <n v="0"/>
    <n v="6308800.5180682354"/>
    <n v="6125.0490466681895"/>
  </r>
  <r>
    <s v="4.3.2.2"/>
    <x v="1"/>
    <x v="1"/>
    <x v="1"/>
    <x v="7"/>
    <n v="1"/>
    <x v="39"/>
    <x v="39"/>
    <s v="Develop a concept note on revising the LAPA tool to include performance criteria on partner coordination"/>
    <s v="Present to local government TWG"/>
    <s v="Conference package high-level"/>
    <n v="35000"/>
    <n v="50"/>
    <n v="1"/>
    <n v="1750000"/>
    <n v="50"/>
    <n v="1"/>
    <n v="2000111.9197499997"/>
    <n v="0"/>
    <n v="0"/>
    <n v="0"/>
    <n v="0"/>
    <n v="0"/>
    <n v="0"/>
    <n v="0"/>
    <n v="0"/>
    <n v="0"/>
    <n v="50"/>
    <n v="1"/>
    <n v="3412866.4610693273"/>
    <m/>
    <m/>
    <n v="0"/>
    <m/>
    <m/>
    <n v="0"/>
    <n v="7162978.3808193263"/>
    <n v="6954.3479425430351"/>
  </r>
  <r>
    <s v="4.3.2.2"/>
    <x v="1"/>
    <x v="1"/>
    <x v="1"/>
    <x v="7"/>
    <n v="1"/>
    <x v="39"/>
    <x v="39"/>
    <s v="Develop a concept note on revising the LAPA tool to include performance criteria on partner coordination"/>
    <s v="Present to local government SMT approval "/>
    <s v="Zero cost"/>
    <n v="0"/>
    <n v="0"/>
    <n v="0"/>
    <n v="0"/>
    <n v="0"/>
    <n v="0"/>
    <n v="0"/>
    <n v="0"/>
    <n v="0"/>
    <n v="0"/>
    <n v="0"/>
    <n v="0"/>
    <n v="0"/>
    <n v="0"/>
    <n v="0"/>
    <n v="0"/>
    <n v="0"/>
    <n v="0"/>
    <n v="0"/>
    <m/>
    <m/>
    <n v="0"/>
    <m/>
    <m/>
    <n v="0"/>
    <n v="0"/>
    <n v="0"/>
  </r>
  <r>
    <s v="4.3.2.2"/>
    <x v="1"/>
    <x v="1"/>
    <x v="1"/>
    <x v="7"/>
    <n v="1"/>
    <x v="39"/>
    <x v="39"/>
    <s v="Develop a concept note on revising the LAPA tool to include performance criteria on partner coordination"/>
    <s v="Revision of LAPA tool"/>
    <s v="Conference package high-level"/>
    <n v="35000"/>
    <n v="25"/>
    <n v="15"/>
    <n v="13125000"/>
    <n v="25"/>
    <n v="15"/>
    <n v="15000839.398124997"/>
    <n v="0"/>
    <n v="0"/>
    <n v="0"/>
    <n v="0"/>
    <n v="0"/>
    <n v="0"/>
    <n v="0"/>
    <n v="0"/>
    <n v="0"/>
    <n v="25"/>
    <n v="15"/>
    <n v="25596498.458019953"/>
    <m/>
    <m/>
    <n v="0"/>
    <m/>
    <m/>
    <n v="0"/>
    <n v="53722337.85614495"/>
    <n v="52157.609569072767"/>
  </r>
  <r>
    <s v="4.3.2.2"/>
    <x v="1"/>
    <x v="1"/>
    <x v="1"/>
    <x v="7"/>
    <n v="1"/>
    <x v="39"/>
    <x v="39"/>
    <s v="Develop a concept note on revising the LAPA tool to include performance criteria on partner coordination"/>
    <s v="Revision of LAPA tool"/>
    <s v="DSA (excl. lunch)"/>
    <n v="39000"/>
    <n v="25"/>
    <n v="15"/>
    <n v="14625000"/>
    <n v="25"/>
    <n v="15"/>
    <n v="16715221.043624997"/>
    <n v="0"/>
    <n v="0"/>
    <n v="0"/>
    <n v="0"/>
    <n v="0"/>
    <n v="0"/>
    <n v="0"/>
    <n v="0"/>
    <n v="0"/>
    <n v="25"/>
    <n v="15"/>
    <n v="28521812.567507952"/>
    <m/>
    <m/>
    <n v="0"/>
    <m/>
    <m/>
    <n v="0"/>
    <n v="59862033.61113295"/>
    <n v="58118.479234109662"/>
  </r>
  <r>
    <s v="4.3.2.2"/>
    <x v="1"/>
    <x v="1"/>
    <x v="1"/>
    <x v="7"/>
    <n v="1"/>
    <x v="39"/>
    <x v="39"/>
    <s v="Develop a concept note on revising the LAPA tool to include performance criteria on partner coordination"/>
    <s v="Revision of LAPA tool"/>
    <s v="Local running (diesel, per km)"/>
    <n v="211.42857142857142"/>
    <n v="450"/>
    <n v="15"/>
    <n v="1427142.857142857"/>
    <n v="450"/>
    <n v="15"/>
    <n v="1631111.6798614284"/>
    <n v="0"/>
    <n v="0"/>
    <n v="0"/>
    <n v="0"/>
    <n v="0"/>
    <n v="0"/>
    <n v="0"/>
    <n v="0"/>
    <n v="0"/>
    <n v="450"/>
    <n v="15"/>
    <n v="2783227.424170007"/>
    <m/>
    <m/>
    <n v="0"/>
    <m/>
    <m/>
    <n v="0"/>
    <n v="5841481.9611742925"/>
    <n v="5671.3417098779537"/>
  </r>
  <r>
    <s v="4.3.2.2"/>
    <x v="1"/>
    <x v="1"/>
    <x v="1"/>
    <x v="7"/>
    <n v="1"/>
    <x v="39"/>
    <x v="39"/>
    <s v="Develop a concept note on revising the LAPA tool to include performance criteria on partner coordination"/>
    <s v="Revision of LAPA tool"/>
    <s v="Fuel for travelling participants"/>
    <n v="211.42857142857142"/>
    <n v="2430"/>
    <n v="1"/>
    <n v="513771.42857142852"/>
    <n v="2430"/>
    <n v="1"/>
    <n v="587200.20475011424"/>
    <m/>
    <m/>
    <n v="0"/>
    <m/>
    <m/>
    <n v="0"/>
    <m/>
    <m/>
    <n v="0"/>
    <n v="2430"/>
    <n v="1"/>
    <n v="1001961.8727012025"/>
    <m/>
    <m/>
    <n v="0"/>
    <m/>
    <m/>
    <n v="0"/>
    <n v="2102933.5060227453"/>
    <n v="2041.6830155560633"/>
  </r>
  <r>
    <s v="4.3.2.2"/>
    <x v="1"/>
    <x v="1"/>
    <x v="1"/>
    <x v="7"/>
    <n v="1"/>
    <x v="39"/>
    <x v="39"/>
    <s v="Develop a concept note on revising the LAPA tool to include performance criteria on partner coordination"/>
    <s v=" Dissemination workshop"/>
    <s v="Conference package high-level"/>
    <n v="35000"/>
    <n v="100"/>
    <n v="5"/>
    <n v="17500000"/>
    <n v="100"/>
    <n v="5"/>
    <n v="20001119.197499998"/>
    <n v="0"/>
    <n v="0"/>
    <n v="0"/>
    <n v="0"/>
    <n v="0"/>
    <n v="0"/>
    <n v="0"/>
    <n v="0"/>
    <n v="0"/>
    <n v="100"/>
    <n v="5"/>
    <n v="34128664.610693276"/>
    <m/>
    <m/>
    <n v="0"/>
    <m/>
    <m/>
    <n v="0"/>
    <n v="71629783.808193266"/>
    <n v="69543.479425430356"/>
  </r>
  <r>
    <s v="4.3.2.2"/>
    <x v="1"/>
    <x v="1"/>
    <x v="1"/>
    <x v="7"/>
    <n v="1"/>
    <x v="39"/>
    <x v="39"/>
    <s v="Develop a concept note on revising the LAPA tool to include performance criteria on partner coordination"/>
    <s v=" Dissemination workshop"/>
    <s v="DSA (excl. lunch)"/>
    <n v="39000"/>
    <n v="58"/>
    <n v="5"/>
    <n v="11310000"/>
    <n v="58"/>
    <n v="5"/>
    <n v="12926437.607069999"/>
    <n v="0"/>
    <n v="0"/>
    <n v="0"/>
    <n v="0"/>
    <n v="0"/>
    <n v="0"/>
    <n v="0"/>
    <n v="0"/>
    <n v="0"/>
    <n v="58"/>
    <n v="5"/>
    <n v="22056868.385539483"/>
    <m/>
    <m/>
    <n v="0"/>
    <m/>
    <m/>
    <n v="0"/>
    <n v="46293305.992609486"/>
    <n v="44944.957274378139"/>
  </r>
  <r>
    <s v="4.3.2.2"/>
    <x v="1"/>
    <x v="1"/>
    <x v="1"/>
    <x v="7"/>
    <n v="1"/>
    <x v="39"/>
    <x v="39"/>
    <s v="Develop a concept note on revising the LAPA tool to include performance criteria on partner coordination"/>
    <s v=" Dissemination workshop"/>
    <s v="Local running (diesel, per km)"/>
    <n v="211.42857142857142"/>
    <n v="1450"/>
    <n v="5"/>
    <n v="1532857.142857143"/>
    <n v="1450"/>
    <n v="5"/>
    <n v="1751934.7672585712"/>
    <m/>
    <m/>
    <n v="0"/>
    <m/>
    <m/>
    <n v="0"/>
    <m/>
    <m/>
    <n v="0"/>
    <n v="1450"/>
    <n v="5"/>
    <n v="2989392.41855297"/>
    <m/>
    <m/>
    <n v="0"/>
    <m/>
    <m/>
    <n v="0"/>
    <n v="6274184.3286686838"/>
    <n v="6091.4410957948385"/>
  </r>
  <r>
    <s v="4.3.2.2"/>
    <x v="1"/>
    <x v="1"/>
    <x v="1"/>
    <x v="7"/>
    <n v="1"/>
    <x v="39"/>
    <x v="39"/>
    <s v="Develop a concept note on revising the LAPA tool to include performance criteria on partner coordination"/>
    <s v=" Dissemination workshop"/>
    <s v="Fuel for travelling participants"/>
    <n v="211.42857142857142"/>
    <n v="22500"/>
    <n v="1"/>
    <n v="4757142.8571428573"/>
    <n v="22500"/>
    <n v="1"/>
    <n v="5437038.9328714283"/>
    <m/>
    <m/>
    <n v="0"/>
    <m/>
    <m/>
    <n v="0"/>
    <m/>
    <m/>
    <n v="0"/>
    <n v="22500"/>
    <n v="1"/>
    <n v="9277424.7472333554"/>
    <m/>
    <m/>
    <n v="0"/>
    <m/>
    <m/>
    <n v="0"/>
    <n v="19471606.537247643"/>
    <n v="18904.472366259848"/>
  </r>
  <r>
    <s v="4.3.2.2"/>
    <x v="1"/>
    <x v="1"/>
    <x v="1"/>
    <x v="7"/>
    <n v="1"/>
    <x v="39"/>
    <x v="39"/>
    <s v="Develop a concept note on revising the LAPA tool to include performance criteria on partner coordination"/>
    <s v=" Dissemination workshop"/>
    <s v="A4, 1 page, 140 gsm paper"/>
    <n v="70"/>
    <n v="0"/>
    <n v="0"/>
    <n v="0"/>
    <n v="0"/>
    <n v="0"/>
    <n v="0"/>
    <n v="0"/>
    <n v="0"/>
    <n v="0"/>
    <n v="0"/>
    <n v="0"/>
    <n v="0"/>
    <n v="0"/>
    <n v="0"/>
    <n v="0"/>
    <n v="0"/>
    <n v="0"/>
    <n v="0"/>
    <m/>
    <m/>
    <n v="0"/>
    <m/>
    <m/>
    <n v="0"/>
    <n v="0"/>
    <n v="0"/>
  </r>
  <r>
    <s v="4.3.2.2"/>
    <x v="1"/>
    <x v="1"/>
    <x v="1"/>
    <x v="7"/>
    <n v="1"/>
    <x v="39"/>
    <x v="39"/>
    <s v="Develop a concept note on revising the LAPA tool to include performance criteria on partner coordination"/>
    <s v=" Dissemination workshop"/>
    <s v="Toner"/>
    <n v="104850"/>
    <n v="1"/>
    <n v="1"/>
    <n v="104850"/>
    <n v="1"/>
    <n v="1"/>
    <n v="119835.27702044998"/>
    <n v="0"/>
    <n v="0"/>
    <n v="0"/>
    <n v="0"/>
    <n v="0"/>
    <n v="0"/>
    <n v="0"/>
    <n v="0"/>
    <n v="0"/>
    <n v="1"/>
    <n v="1"/>
    <n v="204479.45625321087"/>
    <m/>
    <m/>
    <n v="0"/>
    <m/>
    <m/>
    <n v="0"/>
    <n v="429164.73327366088"/>
    <n v="416.66478958607854"/>
  </r>
  <r>
    <s v="4.3.2.2"/>
    <x v="1"/>
    <x v="1"/>
    <x v="1"/>
    <x v="7"/>
    <n v="1"/>
    <x v="39"/>
    <x v="39"/>
    <s v="Develop a concept note on revising the LAPA tool to include performance criteria on partner coordination"/>
    <s v=" Dissemination workshop"/>
    <s v="Local running (diesel, per km)"/>
    <n v="211.42857142857142"/>
    <n v="0"/>
    <n v="0"/>
    <n v="0"/>
    <n v="0"/>
    <n v="0"/>
    <n v="0"/>
    <n v="0"/>
    <n v="0"/>
    <n v="0"/>
    <n v="0"/>
    <n v="0"/>
    <n v="0"/>
    <n v="0"/>
    <n v="0"/>
    <n v="0"/>
    <n v="0"/>
    <n v="0"/>
    <n v="0"/>
    <m/>
    <m/>
    <n v="0"/>
    <m/>
    <m/>
    <n v="0"/>
    <n v="0"/>
    <n v="0"/>
  </r>
  <r>
    <s v="4.3.2.2"/>
    <x v="1"/>
    <x v="1"/>
    <x v="1"/>
    <x v="7"/>
    <n v="2"/>
    <x v="40"/>
    <x v="40"/>
    <s v="Lobby DHRMD to conduct functional review in the district public health sector"/>
    <s v="conduct 5 meetings with DHRMD"/>
    <s v="Conference package high-level"/>
    <n v="35000"/>
    <n v="25"/>
    <n v="5"/>
    <n v="4375000"/>
    <n v="20000"/>
    <n v="1"/>
    <n v="800044767.89999986"/>
    <n v="25"/>
    <n v="5"/>
    <n v="5714925.2736086138"/>
    <n v="0"/>
    <n v="0"/>
    <n v="0"/>
    <n v="0"/>
    <n v="0"/>
    <n v="0"/>
    <m/>
    <m/>
    <n v="0"/>
    <m/>
    <m/>
    <n v="0"/>
    <n v="25"/>
    <n v="5"/>
    <n v="11145301.025037881"/>
    <n v="821279994.19864631"/>
    <n v="797359.21766858862"/>
  </r>
  <r>
    <s v="4.3.2.2"/>
    <x v="1"/>
    <x v="1"/>
    <x v="1"/>
    <x v="7"/>
    <n v="2"/>
    <x v="40"/>
    <x v="40"/>
    <s v="Lobby DHRMD to conduct functional review in the district public health sector"/>
    <s v="conduct 5 meetings with DHRMD"/>
    <s v="DSA (excl. lunch)"/>
    <n v="39000"/>
    <n v="25"/>
    <n v="6"/>
    <n v="5850000"/>
    <n v="0"/>
    <n v="0"/>
    <n v="0"/>
    <n v="25"/>
    <n v="6"/>
    <n v="7641671.5087109469"/>
    <n v="0"/>
    <n v="0"/>
    <n v="0"/>
    <n v="15"/>
    <n v="5"/>
    <n v="4991037.9014568068"/>
    <m/>
    <m/>
    <n v="0"/>
    <m/>
    <m/>
    <n v="0"/>
    <n v="25"/>
    <n v="6"/>
    <n v="14902859.656336365"/>
    <n v="33385569.066504121"/>
    <n v="32413.173850974876"/>
  </r>
  <r>
    <s v="4.3.2.2"/>
    <x v="1"/>
    <x v="1"/>
    <x v="1"/>
    <x v="7"/>
    <n v="2"/>
    <x v="40"/>
    <x v="40"/>
    <s v="Lobby DHRMD to conduct functional review in the district public health sector"/>
    <s v="conduct 5 meetings with DHRMD"/>
    <s v="Local running (diesel, per km)"/>
    <n v="211.42857142857142"/>
    <n v="450"/>
    <n v="5"/>
    <n v="475714.28571428568"/>
    <n v="0"/>
    <n v="0"/>
    <n v="0"/>
    <n v="450"/>
    <n v="5"/>
    <n v="621410.65015891218"/>
    <n v="0"/>
    <n v="0"/>
    <n v="0"/>
    <n v="15"/>
    <n v="5"/>
    <n v="27057.641370535064"/>
    <m/>
    <m/>
    <n v="0"/>
    <m/>
    <m/>
    <n v="0"/>
    <n v="450"/>
    <n v="5"/>
    <n v="1211880.8951306494"/>
    <n v="2336063.4723743824"/>
    <n v="2268.0227887129927"/>
  </r>
  <r>
    <s v="4.3.2.2"/>
    <x v="1"/>
    <x v="1"/>
    <x v="1"/>
    <x v="7"/>
    <n v="2"/>
    <x v="40"/>
    <x v="40"/>
    <s v="Lobby DHRMD to conduct functional review in the district public health sector"/>
    <s v="conduct 5 meetings with DHRMD"/>
    <s v="Fuel for travelling participants"/>
    <n v="211.42857142857142"/>
    <n v="2430"/>
    <n v="1"/>
    <n v="513771.42857142852"/>
    <m/>
    <m/>
    <n v="0"/>
    <n v="2430"/>
    <n v="1"/>
    <n v="671123.50217162515"/>
    <m/>
    <m/>
    <n v="0"/>
    <m/>
    <m/>
    <n v="0"/>
    <m/>
    <m/>
    <n v="0"/>
    <m/>
    <m/>
    <n v="0"/>
    <n v="2430"/>
    <n v="1"/>
    <n v="1308831.3667411015"/>
    <n v="2493726.2974841548"/>
    <n v="2421.093492703063"/>
  </r>
  <r>
    <s v="4.3.2.3"/>
    <x v="1"/>
    <x v="1"/>
    <x v="2"/>
    <x v="8"/>
    <n v="1"/>
    <x v="41"/>
    <x v="41"/>
    <s v="Lobby for roll out of new IFMIS at council level and move away from paper-based approvals"/>
    <s v="Develop a 2 paged issues paper "/>
    <s v="Zero cost"/>
    <n v="0"/>
    <n v="0"/>
    <n v="0"/>
    <n v="0"/>
    <n v="0"/>
    <n v="0"/>
    <n v="0"/>
    <n v="0"/>
    <n v="0"/>
    <n v="0"/>
    <n v="0"/>
    <n v="0"/>
    <n v="0"/>
    <n v="50000"/>
    <n v="1"/>
    <n v="0"/>
    <m/>
    <m/>
    <n v="0"/>
    <m/>
    <m/>
    <n v="0"/>
    <m/>
    <m/>
    <n v="0"/>
    <n v="0"/>
    <n v="0"/>
  </r>
  <r>
    <s v="4.3.2.3"/>
    <x v="1"/>
    <x v="1"/>
    <x v="2"/>
    <x v="8"/>
    <n v="1"/>
    <x v="41"/>
    <x v="41"/>
    <s v="Lobby for roll out of new IFMIS at council level and move away from paper-based approvals"/>
    <s v="Engage NLGFC and AG on the need for new IFMIS in district councils (1 Meeting at MoH)"/>
    <s v="Conference package high-level"/>
    <n v="35000"/>
    <m/>
    <m/>
    <n v="0"/>
    <n v="25"/>
    <n v="1"/>
    <n v="1000055.9598749998"/>
    <n v="0"/>
    <n v="0"/>
    <n v="0"/>
    <n v="0"/>
    <n v="0"/>
    <n v="0"/>
    <n v="0"/>
    <n v="0"/>
    <n v="0"/>
    <m/>
    <m/>
    <n v="0"/>
    <m/>
    <m/>
    <n v="0"/>
    <m/>
    <m/>
    <n v="0"/>
    <n v="1000055.9598749998"/>
    <n v="970.92811638349497"/>
  </r>
  <r>
    <s v="4.3.2.3"/>
    <x v="1"/>
    <x v="1"/>
    <x v="2"/>
    <x v="8"/>
    <n v="1"/>
    <x v="41"/>
    <x v="41"/>
    <s v="Engage selected donors on streamlining approval process for funding"/>
    <s v="Hold 1 to 1 meetings with selected donors "/>
    <s v="Conference package high-level"/>
    <n v="35000"/>
    <m/>
    <m/>
    <n v="0"/>
    <n v="25"/>
    <n v="1"/>
    <n v="1000055.9598749998"/>
    <n v="0"/>
    <n v="0"/>
    <n v="0"/>
    <n v="0"/>
    <n v="0"/>
    <n v="0"/>
    <n v="0"/>
    <n v="0"/>
    <n v="0"/>
    <m/>
    <m/>
    <n v="0"/>
    <m/>
    <m/>
    <n v="0"/>
    <m/>
    <m/>
    <n v="0"/>
    <n v="1000055.9598749998"/>
    <n v="970.92811638349497"/>
  </r>
  <r>
    <s v="4.3.2.3"/>
    <x v="1"/>
    <x v="1"/>
    <x v="2"/>
    <x v="8"/>
    <n v="2"/>
    <x v="42"/>
    <x v="42"/>
    <s v="set-up consultative meetings with MOF, donors, and central government implementers"/>
    <s v="conduct consultative meetings with MOF, donors, and other central government"/>
    <s v="Conference package high-level"/>
    <n v="35000"/>
    <n v="25"/>
    <n v="1"/>
    <n v="875000"/>
    <n v="25"/>
    <n v="1"/>
    <n v="1000055.9598749998"/>
    <n v="25"/>
    <n v="1"/>
    <n v="1142985.0547217228"/>
    <n v="25"/>
    <n v="1"/>
    <n v="1306341.7325971564"/>
    <n v="25"/>
    <n v="1"/>
    <n v="1493045.5260768225"/>
    <n v="25"/>
    <n v="1"/>
    <n v="1706433.2305346637"/>
    <n v="25"/>
    <n v="1"/>
    <n v="1950318.5397999317"/>
    <n v="25"/>
    <n v="1"/>
    <n v="2229060.2050075764"/>
    <n v="11703240.248612873"/>
    <n v="11362.369173410556"/>
  </r>
  <r>
    <s v="4.3.2.3"/>
    <x v="1"/>
    <x v="1"/>
    <x v="2"/>
    <x v="8"/>
    <n v="2"/>
    <x v="42"/>
    <x v="42"/>
    <s v="Conduct risk assessment at council level"/>
    <s v="Set up a task force"/>
    <s v="Conference package high-level"/>
    <n v="35000"/>
    <n v="25"/>
    <n v="1"/>
    <n v="875000"/>
    <n v="25"/>
    <n v="1"/>
    <n v="1000055.9598749998"/>
    <n v="25"/>
    <n v="1"/>
    <n v="1142985.0547217228"/>
    <n v="25"/>
    <n v="1"/>
    <n v="1306341.7325971564"/>
    <n v="25"/>
    <n v="1"/>
    <n v="1493045.5260768225"/>
    <n v="25"/>
    <n v="1"/>
    <n v="1706433.2305346637"/>
    <n v="25"/>
    <n v="1"/>
    <n v="1950318.5397999317"/>
    <n v="25"/>
    <n v="1"/>
    <n v="2229060.2050075764"/>
    <n v="11703240.248612873"/>
    <n v="11362.369173410556"/>
  </r>
  <r>
    <s v="4.3.2.3"/>
    <x v="1"/>
    <x v="1"/>
    <x v="2"/>
    <x v="8"/>
    <n v="2"/>
    <x v="42"/>
    <x v="42"/>
    <s v="Conduct risk assessment at council level"/>
    <s v="Develop TORs for consultant"/>
    <s v="Zero cost"/>
    <n v="0"/>
    <n v="0"/>
    <n v="0"/>
    <n v="0"/>
    <n v="0"/>
    <n v="0"/>
    <n v="0"/>
    <n v="0"/>
    <n v="0"/>
    <n v="0"/>
    <n v="0"/>
    <n v="0"/>
    <n v="0"/>
    <n v="0"/>
    <n v="0"/>
    <n v="0"/>
    <n v="0"/>
    <n v="0"/>
    <n v="0"/>
    <n v="0"/>
    <n v="0"/>
    <n v="0"/>
    <n v="0"/>
    <n v="0"/>
    <n v="0"/>
    <n v="0"/>
    <n v="0"/>
  </r>
  <r>
    <s v="4.3.2.3"/>
    <x v="1"/>
    <x v="1"/>
    <x v="2"/>
    <x v="8"/>
    <n v="2"/>
    <x v="42"/>
    <x v="42"/>
    <s v="Conduct risk assessment at council level"/>
    <s v="Recruitment of a consultant"/>
    <s v="Newspaper advert (full)"/>
    <n v="391991.03749999998"/>
    <n v="2"/>
    <n v="2"/>
    <n v="1567964.15"/>
    <n v="2"/>
    <n v="2"/>
    <n v="1792059.3063746723"/>
    <n v="2"/>
    <n v="2"/>
    <n v="2048182.3883307995"/>
    <n v="2"/>
    <n v="2"/>
    <n v="2340910.8621271173"/>
    <n v="2"/>
    <n v="2"/>
    <n v="2675476.4105215403"/>
    <n v="2"/>
    <n v="2"/>
    <n v="3057858.4341109009"/>
    <n v="2"/>
    <n v="2"/>
    <n v="3494890.915984733"/>
    <n v="2"/>
    <n v="2"/>
    <n v="3994384.5595926056"/>
    <n v="20971727.027042367"/>
    <n v="20360.900026254723"/>
  </r>
  <r>
    <s v="4.3.2.3"/>
    <x v="1"/>
    <x v="1"/>
    <x v="2"/>
    <x v="8"/>
    <n v="2"/>
    <x v="42"/>
    <x v="42"/>
    <s v="Conduct risk assessment at council level"/>
    <s v="Recruitment of a consultant"/>
    <s v="Local consultant fee - High level"/>
    <n v="511000"/>
    <n v="1"/>
    <n v="25"/>
    <n v="12775000"/>
    <n v="1"/>
    <n v="25"/>
    <n v="14600817.014174998"/>
    <n v="1"/>
    <n v="25"/>
    <n v="16687581.798937155"/>
    <n v="1"/>
    <n v="25"/>
    <n v="19072589.295918483"/>
    <n v="1"/>
    <n v="25"/>
    <n v="21798464.680721607"/>
    <n v="1"/>
    <n v="25"/>
    <n v="24913925.165806092"/>
    <n v="1"/>
    <n v="25"/>
    <n v="28474650.681079004"/>
    <n v="1"/>
    <n v="25"/>
    <n v="32544278.993110616"/>
    <n v="170867307.62974796"/>
    <n v="165890.58993179412"/>
  </r>
  <r>
    <s v="4.3.2.3"/>
    <x v="1"/>
    <x v="1"/>
    <x v="2"/>
    <x v="8"/>
    <n v="2"/>
    <x v="42"/>
    <x v="42"/>
    <s v="Conduct risk assessment at council level"/>
    <s v="develop data collection tools"/>
    <s v="Zero cost"/>
    <n v="0"/>
    <n v="0"/>
    <n v="0"/>
    <n v="0"/>
    <n v="0"/>
    <n v="0"/>
    <n v="0"/>
    <n v="0"/>
    <n v="0"/>
    <n v="0"/>
    <n v="0"/>
    <n v="0"/>
    <n v="0"/>
    <n v="0"/>
    <n v="0"/>
    <n v="0"/>
    <n v="0"/>
    <n v="0"/>
    <n v="0"/>
    <n v="0"/>
    <n v="0"/>
    <n v="0"/>
    <n v="0"/>
    <n v="0"/>
    <n v="0"/>
    <n v="0"/>
    <n v="0"/>
  </r>
  <r>
    <s v="4.3.2.3"/>
    <x v="1"/>
    <x v="1"/>
    <x v="2"/>
    <x v="8"/>
    <n v="2"/>
    <x v="42"/>
    <x v="42"/>
    <s v="Conduct risk assessment at council level"/>
    <s v="conduct training on data collection "/>
    <s v="Conference package high-level"/>
    <n v="35000"/>
    <n v="25"/>
    <n v="5"/>
    <n v="4375000"/>
    <n v="25"/>
    <n v="5"/>
    <n v="5000279.7993749995"/>
    <n v="25"/>
    <n v="5"/>
    <n v="5714925.2736086138"/>
    <n v="25"/>
    <n v="5"/>
    <n v="6531708.6629857821"/>
    <n v="25"/>
    <n v="5"/>
    <n v="7465227.6303841127"/>
    <n v="25"/>
    <n v="5"/>
    <n v="8532166.152673319"/>
    <n v="25"/>
    <n v="5"/>
    <n v="9751592.6989996582"/>
    <n v="25"/>
    <n v="5"/>
    <n v="11145301.025037881"/>
    <n v="58516201.243064374"/>
    <n v="56811.845867052791"/>
  </r>
  <r>
    <s v="4.3.2.3"/>
    <x v="1"/>
    <x v="1"/>
    <x v="2"/>
    <x v="8"/>
    <n v="2"/>
    <x v="42"/>
    <x v="42"/>
    <s v="Conduct risk assessment at council level"/>
    <s v="conduct training on data collection "/>
    <s v="DSA (excl. lunch)"/>
    <n v="39000"/>
    <n v="25"/>
    <n v="6"/>
    <n v="5850000"/>
    <n v="25"/>
    <n v="6"/>
    <n v="6686088.4174499996"/>
    <n v="25"/>
    <n v="6"/>
    <n v="7641671.5087109469"/>
    <n v="25"/>
    <n v="6"/>
    <n v="8733827.5836495608"/>
    <n v="25"/>
    <n v="6"/>
    <n v="9982075.8029136136"/>
    <n v="25"/>
    <n v="6"/>
    <n v="11408725.027003182"/>
    <n v="25"/>
    <n v="6"/>
    <n v="13039272.523233831"/>
    <n v="25"/>
    <n v="6"/>
    <n v="14902859.656336365"/>
    <n v="78244520.519297495"/>
    <n v="75965.553902230575"/>
  </r>
  <r>
    <s v="4.3.2.3"/>
    <x v="1"/>
    <x v="1"/>
    <x v="2"/>
    <x v="8"/>
    <n v="2"/>
    <x v="42"/>
    <x v="42"/>
    <s v="Conduct risk assessment at council level"/>
    <s v="conduct training on data collection "/>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2.3"/>
    <x v="1"/>
    <x v="1"/>
    <x v="2"/>
    <x v="8"/>
    <n v="2"/>
    <x v="42"/>
    <x v="42"/>
    <s v="Conduct risk assessment at council level"/>
    <s v="conduct training on data collection "/>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2.3"/>
    <x v="1"/>
    <x v="1"/>
    <x v="2"/>
    <x v="8"/>
    <n v="2"/>
    <x v="42"/>
    <x v="42"/>
    <s v="Conduct risk assessment at council level"/>
    <s v="conduct training on data collection "/>
    <s v="A4, 500 pages, 140 gsm paper"/>
    <n v="8000"/>
    <n v="10"/>
    <n v="1"/>
    <n v="80000"/>
    <n v="10"/>
    <n v="1"/>
    <n v="91433.687760000001"/>
    <n v="10"/>
    <n v="1"/>
    <n v="104501.49071741465"/>
    <n v="10"/>
    <n v="1"/>
    <n v="119436.95840888287"/>
    <n v="10"/>
    <n v="1"/>
    <n v="136507.01952702377"/>
    <n v="10"/>
    <n v="1"/>
    <n v="156016.75250602642"/>
    <n v="10"/>
    <n v="1"/>
    <n v="178314.83792456522"/>
    <n v="10"/>
    <n v="1"/>
    <n v="203799.79017212125"/>
    <n v="1070010.5370160341"/>
    <n v="1038.8451815689652"/>
  </r>
  <r>
    <s v="4.3.2.3"/>
    <x v="1"/>
    <x v="1"/>
    <x v="2"/>
    <x v="8"/>
    <n v="2"/>
    <x v="42"/>
    <x v="42"/>
    <s v="Conduct risk assessment at council level"/>
    <s v="conduct training on data collection "/>
    <s v="Toner"/>
    <n v="104850"/>
    <n v="1"/>
    <n v="1"/>
    <n v="104850"/>
    <n v="1"/>
    <n v="1"/>
    <n v="119835.27702044998"/>
    <n v="1"/>
    <n v="1"/>
    <n v="136962.26627151159"/>
    <n v="1"/>
    <n v="1"/>
    <n v="156537.0636146421"/>
    <n v="1"/>
    <n v="1"/>
    <n v="178909.51246760553"/>
    <n v="1"/>
    <n v="1"/>
    <n v="204479.45625321087"/>
    <n v="1"/>
    <n v="1"/>
    <n v="233703.88445488326"/>
    <n v="1"/>
    <n v="1"/>
    <n v="267105.09999433643"/>
    <n v="1402382.5600766398"/>
    <n v="1361.5364660938251"/>
  </r>
  <r>
    <s v="4.3.2.3"/>
    <x v="1"/>
    <x v="1"/>
    <x v="2"/>
    <x v="8"/>
    <n v="2"/>
    <x v="42"/>
    <x v="42"/>
    <s v="Conduct risk assessment at council level"/>
    <s v="conduct training on data collection "/>
    <s v="Stationary materials for participant (Pen, Notepad medium, Flipchart, Marker,office Supplies ) - Average"/>
    <n v="8000"/>
    <n v="10"/>
    <n v="1"/>
    <n v="80000"/>
    <n v="10"/>
    <n v="1"/>
    <n v="91433.687760000001"/>
    <n v="10"/>
    <n v="1"/>
    <n v="104501.49071741465"/>
    <n v="10"/>
    <n v="1"/>
    <n v="119436.95840888287"/>
    <n v="10"/>
    <n v="1"/>
    <n v="136507.01952702377"/>
    <n v="10"/>
    <n v="1"/>
    <n v="156016.75250602642"/>
    <n v="10"/>
    <n v="1"/>
    <n v="178314.83792456522"/>
    <n v="10"/>
    <n v="1"/>
    <n v="203799.79017212125"/>
    <n v="1070010.5370160341"/>
    <n v="1038.8451815689652"/>
  </r>
  <r>
    <s v="4.3.2.3"/>
    <x v="1"/>
    <x v="1"/>
    <x v="2"/>
    <x v="8"/>
    <n v="2"/>
    <x v="42"/>
    <x v="42"/>
    <s v="Conduct risk assessment at council level"/>
    <s v="pretesting of the data collection tool "/>
    <s v="Full DSA"/>
    <n v="45000"/>
    <n v="25"/>
    <n v="2"/>
    <n v="2250000"/>
    <n v="25"/>
    <n v="2"/>
    <n v="2571572.4682499995"/>
    <n v="25"/>
    <n v="2"/>
    <n v="2939104.4264272875"/>
    <n v="25"/>
    <n v="2"/>
    <n v="3359164.4552498306"/>
    <n v="25"/>
    <n v="2"/>
    <n v="3839259.9241975434"/>
    <n v="25"/>
    <n v="2"/>
    <n v="4387971.1642319923"/>
    <n v="25"/>
    <n v="2"/>
    <n v="5015104.8166283965"/>
    <n v="25"/>
    <n v="2"/>
    <n v="5731869.0985909104"/>
    <n v="30094046.35357596"/>
    <n v="29217.520731627144"/>
  </r>
  <r>
    <s v="4.3.2.3"/>
    <x v="1"/>
    <x v="1"/>
    <x v="2"/>
    <x v="8"/>
    <n v="2"/>
    <x v="42"/>
    <x v="42"/>
    <s v="Conduct risk assessment at council level"/>
    <s v="pretesting of the data collection tool "/>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2.3"/>
    <x v="1"/>
    <x v="1"/>
    <x v="2"/>
    <x v="8"/>
    <n v="2"/>
    <x v="42"/>
    <x v="42"/>
    <s v="Conduct risk assessment at council level"/>
    <s v="pretesting of the data collection tool "/>
    <s v="Local running (diesel, per km)"/>
    <n v="211.42857142857142"/>
    <n v="450"/>
    <n v="1"/>
    <n v="95142.85714285713"/>
    <n v="450"/>
    <n v="1"/>
    <n v="108740.77865742856"/>
    <n v="450"/>
    <n v="1"/>
    <n v="124282.13003178244"/>
    <n v="450"/>
    <n v="1"/>
    <n v="142044.66839342139"/>
    <n v="450"/>
    <n v="1"/>
    <n v="162345.8482232104"/>
    <n v="450"/>
    <n v="1"/>
    <n v="185548.49494466712"/>
    <n v="450"/>
    <n v="1"/>
    <n v="212067.2893888579"/>
    <n v="450"/>
    <n v="1"/>
    <n v="242376.17902612989"/>
    <n v="1272548.2458083548"/>
    <n v="1235.4837337945191"/>
  </r>
  <r>
    <s v="4.3.2.3"/>
    <x v="1"/>
    <x v="1"/>
    <x v="2"/>
    <x v="8"/>
    <n v="2"/>
    <x v="42"/>
    <x v="42"/>
    <s v="Conduct risk assessment at council level"/>
    <s v="validation of the data collection tool "/>
    <s v="Conference package high-level"/>
    <n v="35000"/>
    <n v="25"/>
    <n v="1"/>
    <n v="875000"/>
    <n v="25"/>
    <n v="1"/>
    <n v="1000055.9598749998"/>
    <n v="25"/>
    <n v="1"/>
    <n v="1142985.0547217228"/>
    <n v="25"/>
    <n v="1"/>
    <n v="1306341.7325971564"/>
    <n v="25"/>
    <n v="1"/>
    <n v="1493045.5260768225"/>
    <n v="25"/>
    <n v="1"/>
    <n v="1706433.2305346637"/>
    <n v="25"/>
    <n v="1"/>
    <n v="1950318.5397999317"/>
    <n v="25"/>
    <n v="1"/>
    <n v="2229060.2050075764"/>
    <n v="11703240.248612873"/>
    <n v="11362.369173410556"/>
  </r>
  <r>
    <s v="4.3.2.3"/>
    <x v="1"/>
    <x v="1"/>
    <x v="2"/>
    <x v="8"/>
    <n v="2"/>
    <x v="42"/>
    <x v="42"/>
    <s v="Conduct risk assessment at council level"/>
    <s v="Validation workshop "/>
    <s v="Conference package high-level"/>
    <n v="35000"/>
    <n v="100"/>
    <n v="1"/>
    <n v="3500000"/>
    <n v="100"/>
    <n v="1"/>
    <n v="4000223.8394999993"/>
    <n v="100"/>
    <n v="1"/>
    <n v="4571940.2188868914"/>
    <n v="100"/>
    <n v="1"/>
    <n v="5225366.9303886257"/>
    <n v="100"/>
    <n v="1"/>
    <n v="5972182.1043072902"/>
    <n v="100"/>
    <n v="1"/>
    <n v="6825732.9221386546"/>
    <n v="100"/>
    <n v="1"/>
    <n v="7801274.1591997268"/>
    <n v="100"/>
    <n v="1"/>
    <n v="8916240.8200303055"/>
    <n v="46812960.994451493"/>
    <n v="45449.476693642224"/>
  </r>
  <r>
    <s v="4.3.2.3"/>
    <x v="1"/>
    <x v="1"/>
    <x v="2"/>
    <x v="8"/>
    <n v="2"/>
    <x v="42"/>
    <x v="42"/>
    <s v="Conduct risk assessment at council level"/>
    <s v="Validation workshop "/>
    <s v="DSA (excl. lunch)"/>
    <n v="39000"/>
    <n v="58"/>
    <n v="2"/>
    <n v="4524000"/>
    <n v="58"/>
    <n v="2"/>
    <n v="5170575.0428279992"/>
    <n v="58"/>
    <n v="2"/>
    <n v="5909559.3000697987"/>
    <n v="58"/>
    <n v="2"/>
    <n v="6754159.9980223263"/>
    <n v="58"/>
    <n v="2"/>
    <n v="7719471.9542531949"/>
    <n v="58"/>
    <n v="2"/>
    <n v="8822747.3542157933"/>
    <n v="58"/>
    <n v="2"/>
    <n v="10083704.084634162"/>
    <n v="58"/>
    <n v="2"/>
    <n v="11524878.134233456"/>
    <n v="60509095.868256733"/>
    <n v="58746.695017724982"/>
  </r>
  <r>
    <s v="4.3.2.3"/>
    <x v="1"/>
    <x v="1"/>
    <x v="2"/>
    <x v="8"/>
    <n v="2"/>
    <x v="42"/>
    <x v="42"/>
    <s v="Conduct risk assessment at council level"/>
    <s v="Validation workshop "/>
    <s v="Fuel for travelling Participants"/>
    <n v="211.42857142857142"/>
    <n v="7830"/>
    <n v="1"/>
    <n v="1655485.7142857141"/>
    <n v="7830"/>
    <n v="1"/>
    <n v="1892089.548639257"/>
    <n v="7830"/>
    <n v="1"/>
    <n v="2162509.0625530141"/>
    <n v="7830"/>
    <n v="1"/>
    <n v="2471577.2300455323"/>
    <n v="7830"/>
    <n v="1"/>
    <n v="2824817.759083861"/>
    <n v="7830"/>
    <n v="1"/>
    <n v="3228543.8120372081"/>
    <n v="7830"/>
    <n v="1"/>
    <n v="3689970.8353661271"/>
    <n v="7830"/>
    <n v="1"/>
    <n v="4217345.5150546599"/>
    <n v="22142339.477065377"/>
    <n v="21497.416968024638"/>
  </r>
  <r>
    <s v="4.3.2.3"/>
    <x v="1"/>
    <x v="1"/>
    <x v="2"/>
    <x v="8"/>
    <n v="2"/>
    <x v="42"/>
    <x v="42"/>
    <s v="Conduct risk assessment at council level"/>
    <s v="Validation workshop "/>
    <s v="Local running (diesel, per km)"/>
    <n v="211.42857142857142"/>
    <n v="1450"/>
    <n v="1"/>
    <n v="306571.42857142858"/>
    <n v="1450"/>
    <n v="1"/>
    <n v="350386.95345171425"/>
    <n v="1450"/>
    <n v="1"/>
    <n v="400464.64121352119"/>
    <n v="1450"/>
    <n v="1"/>
    <n v="457699.48704546894"/>
    <n v="1450"/>
    <n v="1"/>
    <n v="523114.3998303446"/>
    <n v="1450"/>
    <n v="1"/>
    <n v="597878.48371059401"/>
    <n v="1450"/>
    <n v="1"/>
    <n v="683327.93247520877"/>
    <n v="1450"/>
    <n v="1"/>
    <n v="780989.91019530746"/>
    <n v="4100433.2364935875"/>
    <n v="3981.0031422267839"/>
  </r>
  <r>
    <s v="4.3.2.3"/>
    <x v="1"/>
    <x v="1"/>
    <x v="2"/>
    <x v="8"/>
    <n v="2"/>
    <x v="42"/>
    <x v="42"/>
    <s v="Conduct risk assessment at council level"/>
    <s v=" Dissemination workshop"/>
    <s v="Conference package high-level"/>
    <n v="35000"/>
    <n v="100"/>
    <n v="1"/>
    <n v="3500000"/>
    <n v="100"/>
    <n v="1"/>
    <n v="4000223.8394999993"/>
    <n v="100"/>
    <n v="1"/>
    <n v="4571940.2188868914"/>
    <n v="100"/>
    <n v="1"/>
    <n v="5225366.9303886257"/>
    <n v="100"/>
    <n v="1"/>
    <n v="5972182.1043072902"/>
    <n v="100"/>
    <n v="1"/>
    <n v="6825732.9221386546"/>
    <n v="100"/>
    <n v="1"/>
    <n v="7801274.1591997268"/>
    <n v="100"/>
    <n v="1"/>
    <n v="8916240.8200303055"/>
    <n v="46812960.994451493"/>
    <n v="45449.476693642224"/>
  </r>
  <r>
    <s v="4.3.2.3"/>
    <x v="1"/>
    <x v="1"/>
    <x v="2"/>
    <x v="8"/>
    <n v="2"/>
    <x v="42"/>
    <x v="42"/>
    <s v="Conduct risk assessment at council level"/>
    <s v=" Dissemination workshop"/>
    <s v="DSA (excl. lunch)"/>
    <n v="39000"/>
    <n v="58"/>
    <n v="2"/>
    <n v="4524000"/>
    <n v="58"/>
    <n v="2"/>
    <n v="5170575.0428279992"/>
    <n v="58"/>
    <n v="2"/>
    <n v="5909559.3000697987"/>
    <n v="58"/>
    <n v="2"/>
    <n v="6754159.9980223263"/>
    <n v="58"/>
    <n v="2"/>
    <n v="7719471.9542531949"/>
    <n v="58"/>
    <n v="2"/>
    <n v="8822747.3542157933"/>
    <n v="58"/>
    <n v="2"/>
    <n v="10083704.084634162"/>
    <n v="58"/>
    <n v="2"/>
    <n v="11524878.134233456"/>
    <n v="60509095.868256733"/>
    <n v="58746.695017724982"/>
  </r>
  <r>
    <s v="4.3.2.3"/>
    <x v="1"/>
    <x v="1"/>
    <x v="2"/>
    <x v="8"/>
    <n v="2"/>
    <x v="42"/>
    <x v="42"/>
    <s v="Conduct risk assessment at council level"/>
    <s v=" Dissemination workshop"/>
    <s v="A4, 500 pages, 140 gsm paper"/>
    <n v="8000"/>
    <n v="10"/>
    <n v="1"/>
    <n v="80000"/>
    <n v="10"/>
    <n v="1"/>
    <n v="91433.687760000001"/>
    <n v="10"/>
    <n v="1"/>
    <n v="104501.49071741465"/>
    <n v="10"/>
    <n v="1"/>
    <n v="119436.95840888287"/>
    <n v="10"/>
    <n v="1"/>
    <n v="136507.01952702377"/>
    <n v="10"/>
    <n v="1"/>
    <n v="156016.75250602642"/>
    <n v="10"/>
    <n v="1"/>
    <n v="178314.83792456522"/>
    <n v="10"/>
    <n v="1"/>
    <n v="203799.79017212125"/>
    <n v="1070010.5370160341"/>
    <n v="1038.8451815689652"/>
  </r>
  <r>
    <s v="4.3.2.3"/>
    <x v="1"/>
    <x v="1"/>
    <x v="2"/>
    <x v="8"/>
    <n v="2"/>
    <x v="42"/>
    <x v="42"/>
    <s v="Conduct risk assessment at council level"/>
    <s v=" Dissemination workshop"/>
    <s v="Toner"/>
    <n v="104850"/>
    <n v="1"/>
    <n v="1"/>
    <n v="104850"/>
    <n v="1"/>
    <n v="1"/>
    <n v="119835.27702044998"/>
    <n v="1"/>
    <n v="1"/>
    <n v="136962.26627151159"/>
    <n v="1"/>
    <n v="1"/>
    <n v="156537.0636146421"/>
    <n v="1"/>
    <n v="1"/>
    <n v="178909.51246760553"/>
    <n v="1"/>
    <n v="1"/>
    <n v="204479.45625321087"/>
    <n v="1"/>
    <n v="1"/>
    <n v="233703.88445488326"/>
    <n v="1"/>
    <n v="1"/>
    <n v="267105.09999433643"/>
    <n v="1402382.5600766398"/>
    <n v="1361.5364660938251"/>
  </r>
  <r>
    <s v="4.3.2.3"/>
    <x v="1"/>
    <x v="1"/>
    <x v="2"/>
    <x v="8"/>
    <n v="2"/>
    <x v="42"/>
    <x v="42"/>
    <s v="Conduct risk assessment at council level"/>
    <s v=" Dissemination workshop"/>
    <s v="Fuel for travelling Participants"/>
    <n v="211.42857142857142"/>
    <n v="7830"/>
    <n v="1"/>
    <n v="1655485.7142857141"/>
    <n v="7830"/>
    <n v="1"/>
    <n v="1892089.548639257"/>
    <n v="7830"/>
    <n v="1"/>
    <n v="2162509.0625530141"/>
    <n v="7830"/>
    <n v="1"/>
    <n v="2471577.2300455323"/>
    <n v="7830"/>
    <n v="1"/>
    <n v="2824817.759083861"/>
    <n v="7830"/>
    <n v="1"/>
    <n v="3228543.8120372081"/>
    <n v="7830"/>
    <n v="1"/>
    <n v="3689970.8353661271"/>
    <n v="7830"/>
    <n v="1"/>
    <n v="4217345.5150546599"/>
    <n v="22142339.477065377"/>
    <n v="21497.416968024638"/>
  </r>
  <r>
    <s v="4.3.2.3"/>
    <x v="1"/>
    <x v="1"/>
    <x v="2"/>
    <x v="8"/>
    <n v="2"/>
    <x v="42"/>
    <x v="42"/>
    <s v="Conduct risk assessment at council level"/>
    <s v=" Dissemination workshop"/>
    <s v="Local running (diesel, per km)"/>
    <n v="211.42857142857142"/>
    <n v="1450"/>
    <n v="1"/>
    <n v="306571.42857142858"/>
    <n v="1450"/>
    <n v="1"/>
    <n v="350386.95345171425"/>
    <n v="1450"/>
    <n v="1"/>
    <n v="400464.64121352119"/>
    <n v="1450"/>
    <n v="1"/>
    <n v="457699.48704546894"/>
    <n v="1450"/>
    <n v="1"/>
    <n v="523114.3998303446"/>
    <n v="1450"/>
    <n v="1"/>
    <n v="597878.48371059401"/>
    <n v="1450"/>
    <n v="1"/>
    <n v="683327.93247520877"/>
    <n v="1450"/>
    <n v="1"/>
    <n v="780989.91019530746"/>
    <n v="4100433.2364935875"/>
    <n v="3981.0031422267839"/>
  </r>
  <r>
    <s v="4.3.2.3"/>
    <x v="1"/>
    <x v="1"/>
    <x v="2"/>
    <x v="8"/>
    <n v="2"/>
    <x v="42"/>
    <x v="42"/>
    <s v="Monitor performance on contracts on biannual basis"/>
    <s v="Develop quarterly and annual reports "/>
    <s v="Zero cost"/>
    <n v="0"/>
    <n v="0"/>
    <n v="0"/>
    <n v="0"/>
    <n v="0"/>
    <n v="0"/>
    <n v="0"/>
    <n v="0"/>
    <n v="0"/>
    <n v="0"/>
    <n v="0"/>
    <n v="0"/>
    <n v="0"/>
    <n v="0"/>
    <n v="0"/>
    <n v="0"/>
    <n v="0"/>
    <n v="0"/>
    <n v="0"/>
    <n v="0"/>
    <n v="0"/>
    <n v="0"/>
    <n v="0"/>
    <n v="0"/>
    <n v="0"/>
    <n v="0"/>
    <n v="0"/>
  </r>
  <r>
    <s v="4.3.2.3"/>
    <x v="1"/>
    <x v="1"/>
    <x v="2"/>
    <x v="8"/>
    <n v="2"/>
    <x v="42"/>
    <x v="42"/>
    <s v="Monitor performance on contracts on biannual basis"/>
    <s v="Conduct program and financial audits of the decentralised donor funds programs "/>
    <s v="Zero cost"/>
    <n v="0"/>
    <n v="0"/>
    <n v="0"/>
    <n v="0"/>
    <n v="0"/>
    <n v="0"/>
    <n v="0"/>
    <n v="0"/>
    <n v="0"/>
    <n v="0"/>
    <n v="0"/>
    <n v="0"/>
    <n v="0"/>
    <n v="0"/>
    <n v="0"/>
    <n v="0"/>
    <n v="0"/>
    <n v="0"/>
    <n v="0"/>
    <n v="0"/>
    <n v="0"/>
    <n v="0"/>
    <n v="0"/>
    <n v="0"/>
    <n v="0"/>
    <n v="0"/>
    <n v="0"/>
  </r>
  <r>
    <s v="4.3.2.3"/>
    <x v="1"/>
    <x v="1"/>
    <x v="2"/>
    <x v="8"/>
    <n v="3"/>
    <x v="43"/>
    <x v="43"/>
    <s v="conduct a fiduciary risk assessment"/>
    <s v="Form a taskforce for fiduciary risk assessment "/>
    <s v="Zero cost"/>
    <n v="0"/>
    <n v="20000"/>
    <n v="8"/>
    <n v="0"/>
    <n v="20000"/>
    <n v="8"/>
    <n v="0"/>
    <n v="20000"/>
    <n v="8"/>
    <n v="0"/>
    <n v="20000"/>
    <n v="8"/>
    <n v="0"/>
    <n v="20000"/>
    <n v="8"/>
    <n v="0"/>
    <m/>
    <m/>
    <n v="0"/>
    <m/>
    <m/>
    <n v="0"/>
    <m/>
    <m/>
    <n v="0"/>
    <n v="0"/>
    <n v="0"/>
  </r>
  <r>
    <s v="4.3.2.3"/>
    <x v="1"/>
    <x v="1"/>
    <x v="2"/>
    <x v="8"/>
    <n v="3"/>
    <x v="43"/>
    <x v="43"/>
    <s v="conduct a fiduciary risk assessment"/>
    <s v="Recruitment of a consultant"/>
    <s v="Newspaper advert (full)"/>
    <n v="391991.03749999998"/>
    <n v="2"/>
    <n v="2"/>
    <n v="1567964.15"/>
    <n v="0"/>
    <n v="0"/>
    <n v="0"/>
    <n v="0"/>
    <n v="0"/>
    <n v="0"/>
    <n v="0"/>
    <n v="0"/>
    <n v="0"/>
    <n v="0"/>
    <n v="0"/>
    <n v="0"/>
    <m/>
    <m/>
    <n v="0"/>
    <m/>
    <m/>
    <n v="0"/>
    <m/>
    <m/>
    <n v="0"/>
    <n v="1567964.15"/>
    <n v="1522.2952912621358"/>
  </r>
  <r>
    <s v="4.3.2.3"/>
    <x v="1"/>
    <x v="1"/>
    <x v="2"/>
    <x v="8"/>
    <n v="3"/>
    <x v="43"/>
    <x v="43"/>
    <s v="conduct a fiduciary risk assessment"/>
    <s v="Recruitment of a consultant"/>
    <s v="Local consultant fee - High level"/>
    <n v="511000"/>
    <n v="1"/>
    <n v="25"/>
    <n v="12775000"/>
    <n v="1"/>
    <n v="6"/>
    <n v="3504196.0834019994"/>
    <n v="1"/>
    <n v="6"/>
    <n v="4005019.631744917"/>
    <n v="1"/>
    <n v="6"/>
    <n v="4577421.4310204359"/>
    <n v="0"/>
    <n v="0"/>
    <n v="0"/>
    <m/>
    <m/>
    <n v="0"/>
    <m/>
    <m/>
    <n v="0"/>
    <m/>
    <m/>
    <n v="0"/>
    <n v="24861637.146167353"/>
    <n v="24137.511792395489"/>
  </r>
  <r>
    <s v="4.3.2.3"/>
    <x v="1"/>
    <x v="1"/>
    <x v="2"/>
    <x v="8"/>
    <n v="3"/>
    <x v="43"/>
    <x v="43"/>
    <s v="conduct a fiduciary risk assessment"/>
    <s v="Develop data collection tool "/>
    <s v="Zero cost"/>
    <n v="0"/>
    <n v="0"/>
    <n v="0"/>
    <n v="0"/>
    <n v="1"/>
    <n v="50"/>
    <n v="0"/>
    <n v="1"/>
    <n v="50"/>
    <n v="0"/>
    <n v="1"/>
    <n v="50"/>
    <n v="0"/>
    <n v="0"/>
    <n v="0"/>
    <n v="0"/>
    <m/>
    <m/>
    <n v="0"/>
    <m/>
    <m/>
    <n v="0"/>
    <m/>
    <m/>
    <n v="0"/>
    <n v="0"/>
    <n v="0"/>
  </r>
  <r>
    <s v="4.3.2.3"/>
    <x v="1"/>
    <x v="1"/>
    <x v="2"/>
    <x v="8"/>
    <n v="3"/>
    <x v="43"/>
    <x v="43"/>
    <s v="conduct a fiduciary risk assessment"/>
    <s v="Conduct data collection training "/>
    <s v="Conference package high-level"/>
    <n v="35000"/>
    <n v="25"/>
    <n v="5"/>
    <n v="4375000"/>
    <n v="5"/>
    <n v="14"/>
    <n v="2800156.6876499997"/>
    <n v="5"/>
    <n v="14"/>
    <n v="3200358.1532208235"/>
    <n v="5"/>
    <n v="14"/>
    <n v="3657756.8512720377"/>
    <n v="0"/>
    <n v="0"/>
    <n v="0"/>
    <m/>
    <m/>
    <n v="0"/>
    <m/>
    <m/>
    <n v="0"/>
    <m/>
    <m/>
    <n v="0"/>
    <n v="14033271.692142861"/>
    <n v="13624.535623439671"/>
  </r>
  <r>
    <s v="4.3.2.3"/>
    <x v="1"/>
    <x v="1"/>
    <x v="2"/>
    <x v="8"/>
    <n v="3"/>
    <x v="43"/>
    <x v="43"/>
    <s v="conduct a fiduciary risk assessment"/>
    <s v="Conduct data collection training "/>
    <s v="Toner"/>
    <n v="104850"/>
    <n v="1"/>
    <n v="1"/>
    <n v="104850"/>
    <n v="25"/>
    <n v="3"/>
    <n v="8987645.776533749"/>
    <n v="25"/>
    <n v="3"/>
    <n v="10272169.970363369"/>
    <n v="25"/>
    <n v="3"/>
    <n v="11740279.771098157"/>
    <n v="0"/>
    <n v="0"/>
    <n v="0"/>
    <m/>
    <m/>
    <n v="0"/>
    <m/>
    <m/>
    <n v="0"/>
    <m/>
    <m/>
    <n v="0"/>
    <n v="31104945.517995276"/>
    <n v="30198.976231063374"/>
  </r>
  <r>
    <s v="4.3.2.3"/>
    <x v="1"/>
    <x v="1"/>
    <x v="2"/>
    <x v="8"/>
    <n v="3"/>
    <x v="43"/>
    <x v="43"/>
    <s v="conduct a fiduciary risk assessment"/>
    <s v="Conduct data collection training "/>
    <s v="A4, 500 pages, 140 gsm paper"/>
    <n v="8000"/>
    <n v="10"/>
    <n v="1"/>
    <n v="80000"/>
    <n v="1"/>
    <n v="1"/>
    <n v="9143.3687759999993"/>
    <n v="1"/>
    <n v="1"/>
    <n v="10450.149071741465"/>
    <n v="1"/>
    <n v="1"/>
    <n v="11943.695840888287"/>
    <n v="0"/>
    <n v="0"/>
    <n v="0"/>
    <m/>
    <m/>
    <n v="0"/>
    <m/>
    <m/>
    <n v="0"/>
    <m/>
    <m/>
    <n v="0"/>
    <n v="111537.21368862977"/>
    <n v="108.28855697925221"/>
  </r>
  <r>
    <s v="4.3.2.3"/>
    <x v="1"/>
    <x v="1"/>
    <x v="2"/>
    <x v="8"/>
    <n v="3"/>
    <x v="43"/>
    <x v="43"/>
    <s v="conduct a fiduciary risk assessment"/>
    <s v="pretesting of the data collection tool (1 day)"/>
    <s v="Full DSA"/>
    <n v="45000"/>
    <n v="25"/>
    <n v="6"/>
    <n v="6750000"/>
    <n v="15"/>
    <n v="1"/>
    <n v="771471.74047499988"/>
    <n v="15"/>
    <n v="1"/>
    <n v="881731.32792818616"/>
    <n v="15"/>
    <n v="1"/>
    <n v="1007749.3365749492"/>
    <n v="0"/>
    <n v="0"/>
    <n v="0"/>
    <m/>
    <m/>
    <n v="0"/>
    <m/>
    <m/>
    <n v="0"/>
    <m/>
    <m/>
    <n v="0"/>
    <n v="9410952.4049781356"/>
    <n v="9136.8469951244042"/>
  </r>
  <r>
    <s v="4.3.2.3"/>
    <x v="1"/>
    <x v="1"/>
    <x v="2"/>
    <x v="8"/>
    <n v="3"/>
    <x v="43"/>
    <x v="43"/>
    <s v="conduct a fiduciary risk assessment"/>
    <s v="pretesting of the data collection tool (1 day)"/>
    <s v="Local running (diesel, per km)"/>
    <n v="285.57142857142856"/>
    <n v="450"/>
    <n v="1"/>
    <n v="128507.14285714286"/>
    <n v="25"/>
    <n v="1"/>
    <n v="8159.6402603678553"/>
    <n v="25"/>
    <n v="1"/>
    <n v="9325.8249975049948"/>
    <n v="25"/>
    <n v="1"/>
    <n v="10658.682136578431"/>
    <n v="0"/>
    <n v="0"/>
    <n v="0"/>
    <m/>
    <m/>
    <n v="0"/>
    <m/>
    <m/>
    <n v="0"/>
    <m/>
    <m/>
    <n v="0"/>
    <n v="156651.29025159412"/>
    <n v="152.08863131222731"/>
  </r>
  <r>
    <s v="4.3.2.3"/>
    <x v="1"/>
    <x v="1"/>
    <x v="2"/>
    <x v="8"/>
    <n v="3"/>
    <x v="43"/>
    <x v="43"/>
    <s v="conduct a fiduciary risk assessment"/>
    <s v="pretesting of the data collection tool (1 day)"/>
    <s v="Fuel for Travelling Participants"/>
    <n v="285.57142857142856"/>
    <n v="2430"/>
    <n v="1"/>
    <n v="693938.57142857136"/>
    <m/>
    <m/>
    <n v="0"/>
    <m/>
    <m/>
    <n v="0"/>
    <m/>
    <m/>
    <n v="0"/>
    <m/>
    <m/>
    <n v="0"/>
    <m/>
    <m/>
    <n v="0"/>
    <m/>
    <m/>
    <n v="0"/>
    <m/>
    <m/>
    <n v="0"/>
    <n v="693938.57142857136"/>
    <n v="673.72676837725373"/>
  </r>
  <r>
    <s v="4.3.2.3"/>
    <x v="1"/>
    <x v="1"/>
    <x v="2"/>
    <x v="8"/>
    <n v="3"/>
    <x v="43"/>
    <x v="43"/>
    <s v="conduct a fiduciary risk assessment"/>
    <s v="Validation of data collection tool "/>
    <s v="Conference package high-level"/>
    <n v="35000"/>
    <n v="100"/>
    <n v="1"/>
    <n v="3500000"/>
    <n v="4000"/>
    <n v="1"/>
    <n v="160008953.57999998"/>
    <n v="4000"/>
    <n v="1"/>
    <n v="182877608.75547564"/>
    <n v="4000"/>
    <n v="1"/>
    <n v="209014677.21554503"/>
    <n v="0"/>
    <n v="0"/>
    <n v="0"/>
    <m/>
    <m/>
    <n v="0"/>
    <m/>
    <m/>
    <n v="0"/>
    <m/>
    <m/>
    <n v="0"/>
    <n v="555401239.55102062"/>
    <n v="539224.50441846659"/>
  </r>
  <r>
    <s v="4.3.2.3"/>
    <x v="1"/>
    <x v="1"/>
    <x v="2"/>
    <x v="8"/>
    <n v="3"/>
    <x v="43"/>
    <x v="43"/>
    <s v="conduct a fiduciary risk assessment"/>
    <s v="Data collection"/>
    <s v="Full DSA"/>
    <n v="45000"/>
    <n v="25"/>
    <n v="6"/>
    <n v="6750000"/>
    <n v="25"/>
    <n v="1"/>
    <n v="1285786.2341249997"/>
    <n v="25"/>
    <n v="1"/>
    <n v="1469552.2132136438"/>
    <n v="25"/>
    <n v="1"/>
    <n v="1679582.2276249153"/>
    <n v="0"/>
    <n v="0"/>
    <n v="0"/>
    <m/>
    <m/>
    <n v="0"/>
    <m/>
    <m/>
    <n v="0"/>
    <m/>
    <m/>
    <n v="0"/>
    <n v="11184920.674963558"/>
    <n v="10859.146286372386"/>
  </r>
  <r>
    <s v="4.3.2.3"/>
    <x v="1"/>
    <x v="1"/>
    <x v="2"/>
    <x v="8"/>
    <n v="3"/>
    <x v="43"/>
    <x v="43"/>
    <s v="conduct a fiduciary risk assessment"/>
    <s v="Data collection"/>
    <s v="Local running (diesel, per km)"/>
    <n v="285.57142857142856"/>
    <n v="450"/>
    <n v="5"/>
    <n v="642535.71428571432"/>
    <n v="25"/>
    <n v="10"/>
    <n v="81596.402603678551"/>
    <n v="25"/>
    <n v="10"/>
    <n v="93258.249975049956"/>
    <n v="25"/>
    <n v="10"/>
    <n v="106586.8213657843"/>
    <n v="0"/>
    <n v="0"/>
    <n v="0"/>
    <m/>
    <m/>
    <n v="0"/>
    <m/>
    <m/>
    <n v="0"/>
    <m/>
    <m/>
    <n v="0"/>
    <n v="923977.1882302271"/>
    <n v="897.06523129148263"/>
  </r>
  <r>
    <s v="4.3.2.3"/>
    <x v="1"/>
    <x v="1"/>
    <x v="2"/>
    <x v="8"/>
    <n v="3"/>
    <x v="43"/>
    <x v="43"/>
    <s v="conduct a fiduciary risk assessment"/>
    <s v="Data collection"/>
    <s v="Fuel for travelling participants"/>
    <n v="285.57142857142856"/>
    <n v="2430"/>
    <n v="1"/>
    <n v="693938.57142857136"/>
    <m/>
    <m/>
    <n v="0"/>
    <m/>
    <m/>
    <n v="0"/>
    <m/>
    <m/>
    <n v="0"/>
    <m/>
    <m/>
    <n v="0"/>
    <m/>
    <m/>
    <n v="0"/>
    <m/>
    <m/>
    <n v="0"/>
    <m/>
    <m/>
    <n v="0"/>
    <n v="693938.57142857136"/>
    <n v="673.72676837725373"/>
  </r>
  <r>
    <s v="4.3.2.3"/>
    <x v="1"/>
    <x v="1"/>
    <x v="2"/>
    <x v="8"/>
    <n v="3"/>
    <x v="43"/>
    <x v="43"/>
    <s v="conduct a fiduciary risk assessment"/>
    <s v="Data collection"/>
    <s v="Airtime for Research Assistant"/>
    <n v="10000"/>
    <n v="15"/>
    <n v="1"/>
    <n v="150000"/>
    <n v="20000"/>
    <n v="1"/>
    <n v="228584219.39999998"/>
    <n v="20000"/>
    <n v="1"/>
    <n v="261253726.79353666"/>
    <n v="20000"/>
    <n v="1"/>
    <n v="298592396.0222072"/>
    <n v="0"/>
    <n v="0"/>
    <n v="0"/>
    <m/>
    <m/>
    <n v="0"/>
    <m/>
    <m/>
    <n v="0"/>
    <m/>
    <m/>
    <n v="0"/>
    <n v="788580342.21574378"/>
    <n v="765611.98273373186"/>
  </r>
  <r>
    <s v="4.3.2.3"/>
    <x v="1"/>
    <x v="1"/>
    <x v="2"/>
    <x v="8"/>
    <n v="3"/>
    <x v="43"/>
    <x v="43"/>
    <s v="conduct a fiduciary risk assessment"/>
    <s v="Data collection"/>
    <s v="Tablet"/>
    <n v="302000"/>
    <n v="15"/>
    <n v="1"/>
    <n v="4530000"/>
    <n v="15"/>
    <n v="1"/>
    <n v="5177432.5694099991"/>
    <n v="15"/>
    <n v="1"/>
    <n v="5917396.9118736051"/>
    <n v="15"/>
    <n v="1"/>
    <n v="6763117.7699029921"/>
    <n v="0"/>
    <n v="0"/>
    <n v="0"/>
    <m/>
    <m/>
    <n v="0"/>
    <m/>
    <m/>
    <n v="0"/>
    <m/>
    <m/>
    <n v="0"/>
    <n v="22387947.251186598"/>
    <n v="21735.87111765689"/>
  </r>
  <r>
    <s v="4.3.2.3"/>
    <x v="1"/>
    <x v="1"/>
    <x v="2"/>
    <x v="8"/>
    <n v="3"/>
    <x v="43"/>
    <x v="43"/>
    <s v="conduct a fiduciary risk assessment"/>
    <s v="Data analysis"/>
    <s v="Conference package high-level"/>
    <n v="35000"/>
    <n v="25"/>
    <n v="5"/>
    <n v="4375000"/>
    <n v="20"/>
    <n v="1"/>
    <n v="800044.76789999986"/>
    <n v="20"/>
    <n v="1"/>
    <n v="914388.04377737816"/>
    <n v="20"/>
    <n v="1"/>
    <n v="1045073.3860777251"/>
    <n v="0"/>
    <n v="0"/>
    <n v="0"/>
    <m/>
    <m/>
    <n v="0"/>
    <m/>
    <m/>
    <n v="0"/>
    <m/>
    <m/>
    <n v="0"/>
    <n v="7134506.197755103"/>
    <n v="6926.7050463641781"/>
  </r>
  <r>
    <s v="4.3.2.3"/>
    <x v="1"/>
    <x v="1"/>
    <x v="2"/>
    <x v="8"/>
    <n v="3"/>
    <x v="43"/>
    <x v="43"/>
    <s v="conduct a fiduciary risk assessment"/>
    <s v="Data analysis"/>
    <s v="Local running (diesel, per km)"/>
    <n v="285.57142857142856"/>
    <n v="450"/>
    <n v="5"/>
    <n v="642535.71428571432"/>
    <n v="25"/>
    <n v="10"/>
    <n v="81596.402603678551"/>
    <n v="25"/>
    <n v="10"/>
    <n v="93258.249975049956"/>
    <n v="25"/>
    <n v="10"/>
    <n v="106586.8213657843"/>
    <n v="0"/>
    <n v="0"/>
    <n v="0"/>
    <m/>
    <m/>
    <n v="0"/>
    <m/>
    <m/>
    <n v="0"/>
    <m/>
    <m/>
    <n v="0"/>
    <n v="923977.1882302271"/>
    <n v="897.06523129148263"/>
  </r>
  <r>
    <s v="4.3.2.3"/>
    <x v="1"/>
    <x v="1"/>
    <x v="2"/>
    <x v="8"/>
    <n v="3"/>
    <x v="43"/>
    <x v="43"/>
    <s v="conduct a fiduciary risk assessment"/>
    <s v="Data analysis"/>
    <s v="DSA (excl. lunch)"/>
    <n v="39000"/>
    <n v="25"/>
    <n v="6"/>
    <n v="5850000"/>
    <n v="4000"/>
    <n v="1"/>
    <n v="178295691.13199997"/>
    <n v="4000"/>
    <n v="1"/>
    <n v="203777906.89895859"/>
    <n v="4000"/>
    <n v="1"/>
    <n v="232902068.89732158"/>
    <n v="0"/>
    <n v="0"/>
    <n v="0"/>
    <m/>
    <m/>
    <n v="0"/>
    <m/>
    <m/>
    <n v="0"/>
    <m/>
    <m/>
    <n v="0"/>
    <n v="620825666.92828012"/>
    <n v="602743.3659497865"/>
  </r>
  <r>
    <s v="4.3.2.3"/>
    <x v="1"/>
    <x v="1"/>
    <x v="2"/>
    <x v="8"/>
    <n v="3"/>
    <x v="43"/>
    <x v="43"/>
    <s v="conduct a fiduciary risk assessment"/>
    <s v="Data analysis"/>
    <s v="Fuel for travelling participants"/>
    <n v="285.57142857142856"/>
    <n v="2430"/>
    <n v="1"/>
    <n v="693938.57142857136"/>
    <m/>
    <m/>
    <n v="0"/>
    <m/>
    <m/>
    <n v="0"/>
    <m/>
    <m/>
    <n v="0"/>
    <m/>
    <m/>
    <n v="0"/>
    <m/>
    <m/>
    <n v="0"/>
    <m/>
    <m/>
    <n v="0"/>
    <m/>
    <m/>
    <n v="0"/>
    <n v="693938.57142857136"/>
    <n v="673.72676837725373"/>
  </r>
  <r>
    <s v="4.3.2.3"/>
    <x v="1"/>
    <x v="1"/>
    <x v="2"/>
    <x v="8"/>
    <n v="3"/>
    <x v="43"/>
    <x v="43"/>
    <s v="conduct a fiduciary risk assessment"/>
    <s v="Report writing (consultant)"/>
    <s v="Zero cost"/>
    <n v="0"/>
    <n v="0"/>
    <n v="0"/>
    <n v="0"/>
    <n v="25"/>
    <n v="10"/>
    <n v="0"/>
    <n v="25"/>
    <n v="10"/>
    <n v="0"/>
    <n v="25"/>
    <n v="10"/>
    <n v="0"/>
    <n v="0"/>
    <n v="0"/>
    <n v="0"/>
    <m/>
    <m/>
    <n v="0"/>
    <m/>
    <m/>
    <n v="0"/>
    <m/>
    <m/>
    <n v="0"/>
    <n v="0"/>
    <n v="0"/>
  </r>
  <r>
    <s v="4.3.2.3"/>
    <x v="1"/>
    <x v="1"/>
    <x v="2"/>
    <x v="8"/>
    <n v="3"/>
    <x v="43"/>
    <x v="43"/>
    <s v="conduct a fiduciary risk assessment"/>
    <s v="Validation Workshop"/>
    <s v="Conference package high-level"/>
    <n v="35000"/>
    <n v="100"/>
    <n v="1"/>
    <n v="3500000"/>
    <m/>
    <m/>
    <n v="0"/>
    <m/>
    <m/>
    <n v="0"/>
    <m/>
    <m/>
    <n v="0"/>
    <m/>
    <m/>
    <n v="0"/>
    <m/>
    <m/>
    <n v="0"/>
    <m/>
    <m/>
    <n v="0"/>
    <m/>
    <m/>
    <n v="0"/>
    <n v="3500000"/>
    <n v="3398.0582524271845"/>
  </r>
  <r>
    <s v="4.3.2.3"/>
    <x v="1"/>
    <x v="1"/>
    <x v="2"/>
    <x v="8"/>
    <n v="3"/>
    <x v="43"/>
    <x v="43"/>
    <s v="conduct a fiduciary risk assessment"/>
    <s v="Validation Workshop"/>
    <s v="DSA (excl. lunch)"/>
    <n v="39000"/>
    <n v="58"/>
    <n v="2"/>
    <n v="4524000"/>
    <m/>
    <m/>
    <n v="0"/>
    <m/>
    <m/>
    <n v="0"/>
    <m/>
    <m/>
    <n v="0"/>
    <m/>
    <m/>
    <n v="0"/>
    <m/>
    <m/>
    <n v="0"/>
    <m/>
    <m/>
    <n v="0"/>
    <m/>
    <m/>
    <n v="0"/>
    <n v="4524000"/>
    <n v="4392.2330097087379"/>
  </r>
  <r>
    <s v="4.3.2.3"/>
    <x v="1"/>
    <x v="1"/>
    <x v="2"/>
    <x v="8"/>
    <n v="3"/>
    <x v="43"/>
    <x v="43"/>
    <s v="conduct a fiduciary risk assessment"/>
    <s v="Validation Workshop"/>
    <s v="Fuel for Travelling Participants"/>
    <n v="285.57142857142856"/>
    <n v="1450"/>
    <n v="1"/>
    <n v="414078.57142857142"/>
    <m/>
    <m/>
    <n v="0"/>
    <m/>
    <m/>
    <n v="0"/>
    <m/>
    <m/>
    <n v="0"/>
    <m/>
    <m/>
    <n v="0"/>
    <m/>
    <m/>
    <n v="0"/>
    <m/>
    <m/>
    <n v="0"/>
    <m/>
    <m/>
    <n v="0"/>
    <n v="414078.57142857142"/>
    <n v="402.01803051317614"/>
  </r>
  <r>
    <s v="4.3.2.3"/>
    <x v="1"/>
    <x v="1"/>
    <x v="2"/>
    <x v="8"/>
    <n v="3"/>
    <x v="43"/>
    <x v="43"/>
    <s v="conduct a fiduciary risk assessment"/>
    <s v="Validation Workshop"/>
    <s v="Local running (diesel, per km)"/>
    <n v="285.57142857142856"/>
    <n v="7830"/>
    <n v="1"/>
    <n v="2236024.2857142854"/>
    <m/>
    <m/>
    <n v="0"/>
    <m/>
    <m/>
    <n v="0"/>
    <m/>
    <m/>
    <n v="0"/>
    <m/>
    <m/>
    <n v="0"/>
    <m/>
    <m/>
    <n v="0"/>
    <m/>
    <m/>
    <n v="0"/>
    <m/>
    <m/>
    <n v="0"/>
    <n v="2236024.2857142854"/>
    <n v="2170.8973647711509"/>
  </r>
  <r>
    <s v="4.3.2.3"/>
    <x v="1"/>
    <x v="1"/>
    <x v="2"/>
    <x v="8"/>
    <n v="3"/>
    <x v="43"/>
    <x v="43"/>
    <s v="conduct a fiduciary risk assessment"/>
    <s v="Implementation of findings"/>
    <s v="Zero cost"/>
    <n v="0"/>
    <n v="0"/>
    <n v="0"/>
    <n v="0"/>
    <n v="0"/>
    <n v="0"/>
    <n v="0"/>
    <n v="0"/>
    <n v="0"/>
    <n v="0"/>
    <n v="0"/>
    <n v="0"/>
    <n v="0"/>
    <n v="0"/>
    <n v="0"/>
    <n v="0"/>
    <m/>
    <m/>
    <n v="0"/>
    <m/>
    <m/>
    <n v="0"/>
    <m/>
    <m/>
    <n v="0"/>
    <n v="0"/>
    <n v="0"/>
  </r>
  <r>
    <s v="4.3.2.3"/>
    <x v="1"/>
    <x v="1"/>
    <x v="2"/>
    <x v="8"/>
    <n v="4"/>
    <x v="44"/>
    <x v="44"/>
    <s v="Quartery meetings with stakeholder to review respective funding progress"/>
    <s v="Quartery meetings with stakeholder to review respective funding progress"/>
    <s v="conference Package"/>
    <n v="35000"/>
    <n v="25"/>
    <n v="8"/>
    <n v="7000000"/>
    <n v="25"/>
    <n v="8"/>
    <n v="8000447.6789999986"/>
    <n v="25"/>
    <n v="8"/>
    <n v="9143880.4377737828"/>
    <n v="0"/>
    <n v="0"/>
    <n v="0"/>
    <n v="0"/>
    <n v="0"/>
    <n v="0"/>
    <n v="25"/>
    <n v="8"/>
    <n v="13651465.844277309"/>
    <n v="0"/>
    <n v="0"/>
    <n v="0"/>
    <n v="0"/>
    <n v="0"/>
    <n v="0"/>
    <n v="37795793.961051092"/>
    <n v="36694.945593253484"/>
  </r>
  <r>
    <s v="4.3.2.3"/>
    <x v="1"/>
    <x v="1"/>
    <x v="2"/>
    <x v="8"/>
    <n v="5"/>
    <x v="45"/>
    <x v="45"/>
    <s v="Conduct a procurement capacity needs assessment "/>
    <s v="set up a taskforce"/>
    <s v="zero cost"/>
    <n v="0"/>
    <n v="0"/>
    <n v="0"/>
    <n v="0"/>
    <n v="0"/>
    <n v="0"/>
    <n v="0"/>
    <n v="0"/>
    <n v="0"/>
    <n v="0"/>
    <n v="0"/>
    <n v="0"/>
    <n v="0"/>
    <n v="0"/>
    <n v="0"/>
    <n v="0"/>
    <n v="0"/>
    <n v="0"/>
    <n v="0"/>
    <n v="0"/>
    <n v="0"/>
    <n v="0"/>
    <n v="0"/>
    <n v="0"/>
    <n v="0"/>
    <n v="0"/>
    <n v="0"/>
  </r>
  <r>
    <s v="4.3.2.3"/>
    <x v="1"/>
    <x v="1"/>
    <x v="2"/>
    <x v="8"/>
    <n v="5"/>
    <x v="45"/>
    <x v="45"/>
    <s v="Conduct a procurement capacity needs assessment "/>
    <s v="develop TORs for recruitment of a consultant"/>
    <s v="zero cost"/>
    <n v="0"/>
    <n v="0"/>
    <n v="0"/>
    <n v="0"/>
    <n v="0"/>
    <n v="0"/>
    <n v="0"/>
    <n v="0"/>
    <n v="0"/>
    <n v="0"/>
    <n v="0"/>
    <n v="0"/>
    <n v="0"/>
    <n v="0"/>
    <n v="0"/>
    <n v="0"/>
    <n v="0"/>
    <n v="0"/>
    <n v="0"/>
    <n v="0"/>
    <n v="0"/>
    <n v="0"/>
    <n v="0"/>
    <n v="0"/>
    <n v="0"/>
    <n v="0"/>
    <n v="0"/>
  </r>
  <r>
    <s v="4.3.2.3"/>
    <x v="1"/>
    <x v="1"/>
    <x v="2"/>
    <x v="8"/>
    <n v="5"/>
    <x v="45"/>
    <x v="45"/>
    <s v="Conduct a procurement capacity needs assessment "/>
    <s v="Recruitment of a consultant"/>
    <s v="Newspaper advert (full)"/>
    <n v="391991.03749999998"/>
    <n v="2"/>
    <n v="2"/>
    <n v="1567964.15"/>
    <n v="0"/>
    <n v="0"/>
    <n v="0"/>
    <n v="0"/>
    <n v="0"/>
    <n v="0"/>
    <n v="0"/>
    <n v="0"/>
    <n v="0"/>
    <n v="0"/>
    <n v="0"/>
    <n v="0"/>
    <n v="0"/>
    <n v="0"/>
    <n v="0"/>
    <n v="0"/>
    <n v="0"/>
    <n v="0"/>
    <n v="0"/>
    <n v="0"/>
    <n v="0"/>
    <n v="1567964.15"/>
    <n v="1522.2952912621358"/>
  </r>
  <r>
    <s v="4.3.2.3"/>
    <x v="1"/>
    <x v="1"/>
    <x v="2"/>
    <x v="8"/>
    <n v="5"/>
    <x v="45"/>
    <x v="45"/>
    <s v="Conduct a procurement capacity needs assessment "/>
    <s v="Recruitment of a consultant"/>
    <s v="Local consultant fee - High level"/>
    <n v="511000"/>
    <m/>
    <m/>
    <n v="0"/>
    <n v="1"/>
    <n v="25"/>
    <n v="14600817.014174998"/>
    <n v="0"/>
    <n v="0"/>
    <n v="0"/>
    <n v="0"/>
    <n v="0"/>
    <n v="0"/>
    <n v="0"/>
    <n v="0"/>
    <n v="0"/>
    <n v="0"/>
    <n v="0"/>
    <n v="0"/>
    <n v="1"/>
    <n v="25"/>
    <n v="28474650.681079004"/>
    <n v="0"/>
    <n v="0"/>
    <n v="0"/>
    <n v="43075467.695253998"/>
    <n v="41820.842422576694"/>
  </r>
  <r>
    <s v="4.3.2.3"/>
    <x v="1"/>
    <x v="1"/>
    <x v="2"/>
    <x v="8"/>
    <n v="5"/>
    <x v="45"/>
    <x v="45"/>
    <s v="Conduct a procurement capacity needs assessment "/>
    <s v="design data collection tool"/>
    <s v="Conference package high-level"/>
    <n v="0"/>
    <m/>
    <m/>
    <n v="0"/>
    <n v="0"/>
    <n v="0"/>
    <n v="0"/>
    <n v="0"/>
    <n v="0"/>
    <n v="0"/>
    <n v="0"/>
    <n v="0"/>
    <n v="0"/>
    <n v="0"/>
    <n v="0"/>
    <n v="0"/>
    <n v="0"/>
    <n v="0"/>
    <n v="0"/>
    <n v="0"/>
    <n v="0"/>
    <n v="0"/>
    <n v="0"/>
    <n v="0"/>
    <n v="0"/>
    <n v="0"/>
    <n v="0"/>
  </r>
  <r>
    <s v="4.3.2.3"/>
    <x v="1"/>
    <x v="1"/>
    <x v="2"/>
    <x v="8"/>
    <n v="5"/>
    <x v="45"/>
    <x v="45"/>
    <s v="Conduct a procurement capacity needs assessment "/>
    <s v="pre-test data collection tool"/>
    <s v="Full DSA"/>
    <n v="45000"/>
    <m/>
    <m/>
    <n v="0"/>
    <n v="30"/>
    <n v="6"/>
    <n v="9257660.8856999986"/>
    <n v="0"/>
    <n v="0"/>
    <n v="0"/>
    <n v="0"/>
    <n v="0"/>
    <n v="0"/>
    <n v="0"/>
    <n v="0"/>
    <n v="0"/>
    <n v="0"/>
    <n v="0"/>
    <n v="0"/>
    <n v="30"/>
    <n v="6"/>
    <n v="18054377.339862227"/>
    <n v="0"/>
    <n v="0"/>
    <n v="0"/>
    <n v="27312038.225562226"/>
    <n v="26516.541966565266"/>
  </r>
  <r>
    <s v="4.3.2.3"/>
    <x v="1"/>
    <x v="1"/>
    <x v="2"/>
    <x v="8"/>
    <n v="5"/>
    <x v="45"/>
    <x v="45"/>
    <s v="Conduct a procurement capacity needs assessment "/>
    <s v="pre-test data collection tool"/>
    <s v="Local running (diesel, per km)"/>
    <n v="211.42857142857142"/>
    <m/>
    <m/>
    <n v="0"/>
    <n v="500"/>
    <n v="5"/>
    <n v="604115.43698571413"/>
    <n v="0"/>
    <n v="0"/>
    <n v="0"/>
    <n v="0"/>
    <n v="0"/>
    <n v="0"/>
    <n v="0"/>
    <n v="0"/>
    <n v="0"/>
    <n v="0"/>
    <n v="0"/>
    <n v="0"/>
    <n v="500"/>
    <n v="5"/>
    <n v="1178151.6077158772"/>
    <n v="0"/>
    <n v="0"/>
    <n v="0"/>
    <n v="1782267.0447015914"/>
    <n v="1730.356354079215"/>
  </r>
  <r>
    <s v="4.3.2.3"/>
    <x v="1"/>
    <x v="1"/>
    <x v="2"/>
    <x v="8"/>
    <n v="5"/>
    <x v="45"/>
    <x v="45"/>
    <s v="Conduct a procurement capacity needs assessment "/>
    <s v="validation of the data collection tool (1 day)"/>
    <s v="zero cost"/>
    <n v="0"/>
    <n v="0"/>
    <n v="0"/>
    <n v="0"/>
    <n v="0"/>
    <n v="0"/>
    <n v="0"/>
    <n v="0"/>
    <n v="0"/>
    <n v="0"/>
    <n v="0"/>
    <n v="0"/>
    <n v="0"/>
    <n v="0"/>
    <n v="0"/>
    <n v="0"/>
    <n v="0"/>
    <n v="0"/>
    <n v="0"/>
    <n v="0"/>
    <n v="0"/>
    <n v="0"/>
    <n v="0"/>
    <n v="0"/>
    <n v="0"/>
    <n v="0"/>
    <n v="0"/>
  </r>
  <r>
    <s v="4.3.2.3"/>
    <x v="1"/>
    <x v="1"/>
    <x v="2"/>
    <x v="8"/>
    <n v="5"/>
    <x v="45"/>
    <x v="45"/>
    <s v="Conduct a procurement capacity needs assessment "/>
    <s v="validation whorkshop"/>
    <s v="Conference package high-level"/>
    <n v="35000"/>
    <m/>
    <m/>
    <n v="0"/>
    <n v="100"/>
    <n v="5"/>
    <n v="20001119.197499998"/>
    <n v="0"/>
    <n v="0"/>
    <n v="0"/>
    <n v="0"/>
    <n v="0"/>
    <n v="0"/>
    <n v="0"/>
    <n v="0"/>
    <n v="0"/>
    <n v="0"/>
    <n v="0"/>
    <n v="0"/>
    <n v="100"/>
    <n v="5"/>
    <n v="39006370.795998633"/>
    <n v="0"/>
    <n v="0"/>
    <n v="0"/>
    <n v="59007489.993498631"/>
    <n v="57288.825236406439"/>
  </r>
  <r>
    <s v="4.3.2.3"/>
    <x v="1"/>
    <x v="1"/>
    <x v="2"/>
    <x v="8"/>
    <n v="5"/>
    <x v="45"/>
    <x v="45"/>
    <s v="Conduct a procurement capacity needs assessment "/>
    <s v="validation whorkshop"/>
    <s v="DSA (excl. lunch)"/>
    <n v="39000"/>
    <m/>
    <m/>
    <n v="0"/>
    <n v="58"/>
    <n v="6"/>
    <n v="15511725.128483998"/>
    <n v="0"/>
    <n v="0"/>
    <n v="0"/>
    <n v="0"/>
    <n v="0"/>
    <n v="0"/>
    <n v="0"/>
    <n v="0"/>
    <n v="0"/>
    <n v="0"/>
    <n v="0"/>
    <n v="0"/>
    <n v="58"/>
    <n v="6"/>
    <n v="30251112.253902487"/>
    <n v="0"/>
    <n v="0"/>
    <n v="0"/>
    <n v="45762837.382386483"/>
    <n v="44429.93920620047"/>
  </r>
  <r>
    <s v="4.3.2.3"/>
    <x v="1"/>
    <x v="1"/>
    <x v="2"/>
    <x v="8"/>
    <n v="5"/>
    <x v="45"/>
    <x v="45"/>
    <s v="Conduct a procurement capacity needs assessment "/>
    <s v="validation whorkshop"/>
    <s v="Fuel for travelling Participants"/>
    <n v="211.42857142857142"/>
    <m/>
    <m/>
    <n v="0"/>
    <n v="7830"/>
    <n v="1"/>
    <n v="1892089.548639257"/>
    <n v="0"/>
    <n v="0"/>
    <n v="0"/>
    <n v="0"/>
    <n v="0"/>
    <n v="0"/>
    <n v="0"/>
    <n v="0"/>
    <n v="0"/>
    <n v="0"/>
    <n v="0"/>
    <n v="0"/>
    <n v="7830"/>
    <n v="1"/>
    <n v="3689970.8353661271"/>
    <n v="0"/>
    <n v="0"/>
    <n v="0"/>
    <n v="5582060.3840053845"/>
    <n v="5419.4761009761014"/>
  </r>
  <r>
    <s v="4.3.2.3"/>
    <x v="1"/>
    <x v="1"/>
    <x v="2"/>
    <x v="8"/>
    <n v="5"/>
    <x v="45"/>
    <x v="45"/>
    <s v="Conduct a procurement capacity needs assessment "/>
    <s v="validation whorkshop"/>
    <s v="Local running (diesel, per km)"/>
    <n v="211.42857142857142"/>
    <m/>
    <m/>
    <n v="0"/>
    <n v="1450"/>
    <n v="5"/>
    <n v="1751934.7672585712"/>
    <n v="0"/>
    <n v="0"/>
    <n v="0"/>
    <n v="0"/>
    <n v="0"/>
    <n v="0"/>
    <n v="0"/>
    <n v="0"/>
    <n v="0"/>
    <n v="0"/>
    <n v="0"/>
    <n v="0"/>
    <n v="1450"/>
    <n v="5"/>
    <n v="3416639.6623760439"/>
    <n v="0"/>
    <n v="0"/>
    <n v="0"/>
    <n v="5168574.4296346148"/>
    <n v="5018.0334268297229"/>
  </r>
  <r>
    <s v="4.3.2.3"/>
    <x v="1"/>
    <x v="1"/>
    <x v="2"/>
    <x v="8"/>
    <n v="5"/>
    <x v="45"/>
    <x v="45"/>
    <s v="Conduct a procurement capacity needs assessment "/>
    <s v="dissemination workshop"/>
    <s v="A4, 500 pages, 140 gsm paper"/>
    <n v="8000"/>
    <m/>
    <m/>
    <n v="0"/>
    <n v="5"/>
    <n v="1"/>
    <n v="45716.84388"/>
    <n v="0"/>
    <n v="0"/>
    <n v="0"/>
    <n v="0"/>
    <n v="0"/>
    <n v="0"/>
    <n v="0"/>
    <n v="0"/>
    <n v="0"/>
    <n v="0"/>
    <n v="0"/>
    <n v="0"/>
    <n v="5"/>
    <n v="1"/>
    <n v="89157.418962282609"/>
    <n v="0"/>
    <n v="0"/>
    <n v="0"/>
    <n v="134874.26284228259"/>
    <n v="130.94588625464328"/>
  </r>
  <r>
    <s v="4.3.2.3"/>
    <x v="1"/>
    <x v="1"/>
    <x v="2"/>
    <x v="8"/>
    <n v="6"/>
    <x v="46"/>
    <x v="46"/>
    <s v="Draft a concept Note"/>
    <s v="Zero cost"/>
    <n v="0"/>
    <n v="0"/>
    <m/>
    <n v="0"/>
    <n v="0"/>
    <n v="0"/>
    <n v="0"/>
    <n v="0"/>
    <n v="0"/>
    <n v="0"/>
    <n v="0"/>
    <n v="0"/>
    <n v="0"/>
    <n v="0"/>
    <n v="0"/>
    <n v="0"/>
    <n v="0"/>
    <n v="0"/>
    <n v="0"/>
    <n v="0"/>
    <n v="0"/>
    <n v="0"/>
    <n v="0"/>
    <n v="0"/>
    <n v="0"/>
    <n v="0"/>
    <n v="0"/>
    <n v="0"/>
  </r>
  <r>
    <s v="4.3.2.3"/>
    <x v="1"/>
    <x v="1"/>
    <x v="2"/>
    <x v="8"/>
    <n v="6"/>
    <x v="46"/>
    <x v="46"/>
    <s v="Set up a Committee"/>
    <s v="Zero cost"/>
    <n v="0"/>
    <n v="0"/>
    <m/>
    <n v="0"/>
    <n v="0"/>
    <n v="0"/>
    <n v="0"/>
    <n v="0"/>
    <n v="0"/>
    <n v="0"/>
    <n v="0"/>
    <n v="0"/>
    <n v="0"/>
    <n v="0"/>
    <n v="0"/>
    <n v="0"/>
    <n v="0"/>
    <n v="0"/>
    <n v="0"/>
    <n v="0"/>
    <n v="0"/>
    <n v="0"/>
    <n v="0"/>
    <n v="0"/>
    <n v="0"/>
    <n v="0"/>
    <n v="0"/>
    <n v="0"/>
  </r>
  <r>
    <s v="4.3.2.3"/>
    <x v="1"/>
    <x v="1"/>
    <x v="2"/>
    <x v="8"/>
    <n v="6"/>
    <x v="46"/>
    <x v="46"/>
    <s v="recruit a consultant to lead theabsorption capacity studies"/>
    <s v="TORs for a local consultant "/>
    <n v="0"/>
    <n v="0"/>
    <m/>
    <n v="0"/>
    <n v="0"/>
    <n v="0"/>
    <n v="0"/>
    <n v="0"/>
    <n v="4"/>
    <n v="0"/>
    <n v="0"/>
    <n v="0"/>
    <n v="0"/>
    <n v="0"/>
    <n v="0"/>
    <n v="0"/>
    <n v="0"/>
    <n v="4"/>
    <n v="0"/>
    <n v="0"/>
    <n v="0"/>
    <n v="0"/>
    <n v="0"/>
    <n v="0"/>
    <n v="0"/>
    <n v="0"/>
    <n v="0"/>
    <n v="0"/>
  </r>
  <r>
    <s v="4.3.2.3"/>
    <x v="1"/>
    <x v="1"/>
    <x v="2"/>
    <x v="8"/>
    <n v="6"/>
    <x v="46"/>
    <x v="46"/>
    <s v="recruit a consultant to lead theabsorption capacity studies"/>
    <s v="Advertise and recruit a consultant"/>
    <n v="391991.03749999998"/>
    <n v="391991.03749999998"/>
    <m/>
    <n v="0"/>
    <n v="0"/>
    <n v="0"/>
    <n v="0"/>
    <n v="0"/>
    <n v="2"/>
    <n v="2"/>
    <n v="2048182.3883307995"/>
    <n v="0"/>
    <n v="0"/>
    <n v="0"/>
    <n v="0"/>
    <n v="0"/>
    <n v="0"/>
    <n v="2"/>
    <n v="2"/>
    <n v="3057858.4341109009"/>
    <n v="0"/>
    <n v="0"/>
    <n v="0"/>
    <n v="0"/>
    <n v="0"/>
    <n v="0"/>
    <n v="5106040.8224417008"/>
    <n v="4957.3211868366025"/>
  </r>
  <r>
    <s v="4.3.2.3"/>
    <x v="1"/>
    <x v="1"/>
    <x v="2"/>
    <x v="8"/>
    <n v="6"/>
    <x v="46"/>
    <x v="46"/>
    <s v="recruit a consultant to lead theabsorption capacity studies"/>
    <s v="Recruitment of Consultant"/>
    <n v="515000"/>
    <n v="515000"/>
    <m/>
    <n v="0"/>
    <n v="0"/>
    <n v="0"/>
    <n v="0"/>
    <n v="0"/>
    <n v="25"/>
    <n v="1"/>
    <n v="16818208.662333921"/>
    <n v="0"/>
    <n v="0"/>
    <n v="0"/>
    <n v="0"/>
    <n v="0"/>
    <n v="0"/>
    <n v="25"/>
    <n v="1"/>
    <n v="25108946.106438626"/>
    <n v="0"/>
    <n v="0"/>
    <n v="0"/>
    <n v="0"/>
    <n v="0"/>
    <n v="0"/>
    <n v="41927154.768772542"/>
    <n v="40705.975503662659"/>
  </r>
  <r>
    <s v="4.3.2.3"/>
    <x v="1"/>
    <x v="1"/>
    <x v="2"/>
    <x v="8"/>
    <n v="6"/>
    <x v="46"/>
    <x v="46"/>
    <s v="Validation workshop "/>
    <s v="Conference package high-level"/>
    <n v="35000"/>
    <n v="35000"/>
    <m/>
    <n v="0"/>
    <n v="0"/>
    <n v="0"/>
    <n v="0"/>
    <n v="0"/>
    <n v="2"/>
    <n v="100"/>
    <n v="9143880.4377737828"/>
    <n v="0"/>
    <m/>
    <n v="0"/>
    <n v="0"/>
    <m/>
    <n v="0"/>
    <n v="2"/>
    <n v="100"/>
    <n v="13651465.844277309"/>
    <n v="0"/>
    <m/>
    <n v="0"/>
    <n v="0"/>
    <m/>
    <n v="0"/>
    <n v="22795346.282051094"/>
    <n v="22131.404157331159"/>
  </r>
  <r>
    <s v="4.3.2.3"/>
    <x v="1"/>
    <x v="1"/>
    <x v="2"/>
    <x v="8"/>
    <n v="6"/>
    <x v="46"/>
    <x v="46"/>
    <s v="Validation workshop "/>
    <s v="DSA (excl. lunch)"/>
    <n v="39000"/>
    <n v="39000"/>
    <m/>
    <n v="0"/>
    <n v="0"/>
    <n v="0"/>
    <n v="0"/>
    <n v="0"/>
    <n v="3"/>
    <n v="58"/>
    <n v="8864338.9501046985"/>
    <n v="0"/>
    <m/>
    <n v="0"/>
    <n v="0"/>
    <m/>
    <n v="0"/>
    <n v="3"/>
    <n v="58"/>
    <n v="13234121.03132369"/>
    <n v="0"/>
    <m/>
    <n v="0"/>
    <n v="0"/>
    <m/>
    <n v="0"/>
    <n v="22098459.981428389"/>
    <n v="21454.815515949893"/>
  </r>
  <r>
    <s v="4.3.2.3"/>
    <x v="1"/>
    <x v="1"/>
    <x v="2"/>
    <x v="8"/>
    <n v="6"/>
    <x v="46"/>
    <x v="46"/>
    <s v="Validation workshop "/>
    <s v="Local running (diesel, per km)"/>
    <n v="285.60000000000002"/>
    <n v="285.60000000000002"/>
    <m/>
    <n v="0"/>
    <n v="0"/>
    <n v="0"/>
    <n v="0"/>
    <n v="0"/>
    <n v="1"/>
    <n v="1450"/>
    <n v="540951.96669869707"/>
    <n v="0"/>
    <m/>
    <n v="0"/>
    <n v="0"/>
    <m/>
    <n v="0"/>
    <n v="1"/>
    <n v="1450"/>
    <n v="807620.71934744576"/>
    <n v="0"/>
    <m/>
    <n v="0"/>
    <n v="0"/>
    <m/>
    <n v="0"/>
    <n v="1348572.6860461428"/>
    <n v="1309.2938699477115"/>
  </r>
  <r>
    <s v="4.3.2.3"/>
    <x v="1"/>
    <x v="1"/>
    <x v="2"/>
    <x v="8"/>
    <n v="6"/>
    <x v="46"/>
    <x v="46"/>
    <s v="Validation workshop "/>
    <s v="Fuel for Travelling Participants"/>
    <n v="285.60000000000002"/>
    <n v="285.60000000000002"/>
    <m/>
    <n v="0"/>
    <n v="0"/>
    <n v="0"/>
    <n v="0"/>
    <n v="0"/>
    <n v="1"/>
    <n v="16736"/>
    <n v="6243704.9066685475"/>
    <n v="0"/>
    <m/>
    <n v="0"/>
    <n v="0"/>
    <m/>
    <n v="0"/>
    <n v="1"/>
    <n v="16736"/>
    <n v="9321614.040688863"/>
    <n v="0"/>
    <m/>
    <n v="0"/>
    <n v="0"/>
    <m/>
    <n v="0"/>
    <n v="15565318.947357411"/>
    <n v="15111.960143065447"/>
  </r>
  <r>
    <s v="4.3.2.3"/>
    <x v="1"/>
    <x v="1"/>
    <x v="2"/>
    <x v="8"/>
    <n v="6"/>
    <x v="46"/>
    <x v="46"/>
    <s v="Dissemination "/>
    <s v="Zero cost"/>
    <n v="0"/>
    <n v="0"/>
    <m/>
    <n v="0"/>
    <n v="0"/>
    <n v="0"/>
    <n v="0"/>
    <n v="0"/>
    <n v="0"/>
    <n v="0"/>
    <n v="0"/>
    <n v="0"/>
    <m/>
    <n v="0"/>
    <n v="0"/>
    <m/>
    <n v="0"/>
    <n v="0"/>
    <n v="0"/>
    <n v="0"/>
    <n v="0"/>
    <m/>
    <n v="0"/>
    <n v="0"/>
    <m/>
    <n v="0"/>
    <n v="0"/>
    <n v="0"/>
  </r>
  <r>
    <s v="4.3.3.1"/>
    <x v="2"/>
    <x v="2"/>
    <x v="0"/>
    <x v="9"/>
    <n v="1"/>
    <x v="47"/>
    <x v="47"/>
    <s v="Define frameworks and tools for developing various levels of EHP"/>
    <s v="Finalise concept paper on definition of EHP and how it aligns with financing systems"/>
    <s v="zero cost"/>
    <n v="0"/>
    <n v="0"/>
    <n v="0"/>
    <n v="0"/>
    <n v="0"/>
    <n v="0"/>
    <n v="0"/>
    <n v="0"/>
    <n v="0"/>
    <n v="0"/>
    <n v="0"/>
    <n v="0"/>
    <n v="0"/>
    <n v="0"/>
    <n v="0"/>
    <n v="0"/>
    <n v="0"/>
    <n v="0"/>
    <n v="0"/>
    <n v="0"/>
    <n v="0"/>
    <n v="0"/>
    <n v="0"/>
    <n v="0"/>
    <n v="0"/>
    <n v="0"/>
    <n v="0"/>
  </r>
  <r>
    <s v="4.3.3.1"/>
    <x v="2"/>
    <x v="2"/>
    <x v="0"/>
    <x v="9"/>
    <n v="1"/>
    <x v="47"/>
    <x v="47"/>
    <s v="Define frameworks and tools for developing various levels of EHP"/>
    <s v="Develop guidance and tools for coming up with various levels of EHP"/>
    <s v="zero cost"/>
    <n v="0"/>
    <n v="0"/>
    <n v="0"/>
    <n v="0"/>
    <n v="0"/>
    <n v="0"/>
    <n v="0"/>
    <n v="0"/>
    <n v="0"/>
    <n v="0"/>
    <n v="0"/>
    <n v="0"/>
    <n v="0"/>
    <n v="0"/>
    <n v="0"/>
    <n v="0"/>
    <n v="0"/>
    <n v="0"/>
    <n v="0"/>
    <n v="0"/>
    <n v="0"/>
    <n v="0"/>
    <n v="0"/>
    <n v="0"/>
    <n v="0"/>
    <n v="0"/>
    <n v="0"/>
  </r>
  <r>
    <s v="4.3.3.1"/>
    <x v="2"/>
    <x v="2"/>
    <x v="0"/>
    <x v="9"/>
    <n v="1"/>
    <x v="47"/>
    <x v="47"/>
    <s v="Define primary level EHPs  "/>
    <s v="Conduct a workshop to redefine primary level EHP"/>
    <s v="DSA (excl. lunch)"/>
    <n v="39000"/>
    <n v="25"/>
    <n v="5"/>
    <n v="4875000"/>
    <n v="0"/>
    <n v="0"/>
    <n v="0"/>
    <n v="0"/>
    <n v="0"/>
    <n v="0"/>
    <n v="0"/>
    <n v="0"/>
    <n v="0"/>
    <m/>
    <m/>
    <n v="0"/>
    <n v="0"/>
    <n v="0"/>
    <n v="0"/>
    <n v="0"/>
    <n v="0"/>
    <n v="0"/>
    <n v="25"/>
    <n v="5"/>
    <n v="12419049.713613637"/>
    <n v="17294049.713613637"/>
    <n v="16790.33952778023"/>
  </r>
  <r>
    <s v="4.3.3.1"/>
    <x v="2"/>
    <x v="2"/>
    <x v="0"/>
    <x v="9"/>
    <n v="1"/>
    <x v="47"/>
    <x v="47"/>
    <s v="Define primary level EHPs  "/>
    <s v="Conduct a workshop to redefine primary level EHP"/>
    <s v="Fuel for Travelling Participants"/>
    <n v="211.42857142857142"/>
    <n v="2430"/>
    <n v="1"/>
    <n v="513771.42857142852"/>
    <m/>
    <m/>
    <n v="0"/>
    <m/>
    <m/>
    <n v="0"/>
    <m/>
    <m/>
    <n v="0"/>
    <m/>
    <m/>
    <n v="0"/>
    <m/>
    <m/>
    <n v="0"/>
    <m/>
    <m/>
    <n v="0"/>
    <n v="2430"/>
    <n v="1"/>
    <n v="1308831.3667411015"/>
    <n v="1822602.7953125299"/>
    <n v="1769.5172770024562"/>
  </r>
  <r>
    <s v="4.3.3.1"/>
    <x v="2"/>
    <x v="2"/>
    <x v="0"/>
    <x v="9"/>
    <n v="1"/>
    <x v="47"/>
    <x v="47"/>
    <s v="Define primary level EHPs  "/>
    <s v="Conduct a workshop to redefine primary level EHP"/>
    <s v="Local running (diesel, per km)"/>
    <n v="211.42857142857142"/>
    <n v="450"/>
    <n v="5"/>
    <n v="475714.28571428568"/>
    <n v="0"/>
    <n v="0"/>
    <n v="0"/>
    <n v="0"/>
    <n v="0"/>
    <n v="0"/>
    <n v="0"/>
    <n v="0"/>
    <n v="0"/>
    <n v="20000"/>
    <n v="1"/>
    <n v="7215371.0321426839"/>
    <n v="0"/>
    <n v="0"/>
    <n v="0"/>
    <n v="0"/>
    <n v="0"/>
    <n v="0"/>
    <n v="450"/>
    <n v="5"/>
    <n v="1211880.8951306494"/>
    <n v="8902966.2129876185"/>
    <n v="8643.6565174637071"/>
  </r>
  <r>
    <s v="4.3.3.1"/>
    <x v="2"/>
    <x v="2"/>
    <x v="0"/>
    <x v="9"/>
    <n v="1"/>
    <x v="47"/>
    <x v="47"/>
    <s v="Define primary level EHPs  "/>
    <s v="Conduct a workshop to redefine primary level EHP"/>
    <s v="Conference package high-level"/>
    <n v="35000"/>
    <n v="25"/>
    <n v="5"/>
    <n v="4375000"/>
    <n v="0"/>
    <n v="0"/>
    <n v="0"/>
    <n v="0"/>
    <n v="0"/>
    <n v="0"/>
    <n v="0"/>
    <n v="0"/>
    <n v="0"/>
    <n v="40"/>
    <n v="10"/>
    <n v="23888728.417229161"/>
    <n v="0"/>
    <n v="0"/>
    <n v="0"/>
    <n v="0"/>
    <n v="0"/>
    <n v="0"/>
    <n v="25"/>
    <n v="5"/>
    <n v="11145301.025037881"/>
    <n v="39409029.442267045"/>
    <n v="38261.193633268973"/>
  </r>
  <r>
    <s v="4.3.3.1"/>
    <x v="2"/>
    <x v="2"/>
    <x v="0"/>
    <x v="9"/>
    <n v="1"/>
    <x v="47"/>
    <x v="47"/>
    <s v="Define primary level EHPs  "/>
    <s v="Conduct consultative meetings to redefine primary level EHP with Health Centres"/>
    <s v="DSA (excl. lunch)"/>
    <n v="39000"/>
    <n v="58"/>
    <n v="5"/>
    <n v="11310000"/>
    <n v="0"/>
    <n v="0"/>
    <n v="0"/>
    <n v="0"/>
    <n v="0"/>
    <n v="0"/>
    <n v="0"/>
    <n v="0"/>
    <n v="0"/>
    <n v="40"/>
    <n v="3"/>
    <n v="7985660.6423308905"/>
    <n v="0"/>
    <n v="0"/>
    <n v="0"/>
    <n v="0"/>
    <n v="0"/>
    <n v="0"/>
    <n v="58"/>
    <n v="5"/>
    <n v="28812195.335583642"/>
    <n v="48107855.977914535"/>
    <n v="46706.656289237413"/>
  </r>
  <r>
    <s v="4.3.3.1"/>
    <x v="2"/>
    <x v="2"/>
    <x v="0"/>
    <x v="9"/>
    <n v="1"/>
    <x v="47"/>
    <x v="47"/>
    <s v="Define primary level EHPs  "/>
    <s v="Conduct consultative meetings to redefine primary level EHP with Health Centres"/>
    <s v="Conference package high-level"/>
    <n v="35000"/>
    <n v="100"/>
    <n v="5"/>
    <n v="17500000"/>
    <n v="0"/>
    <n v="0"/>
    <n v="0"/>
    <n v="0"/>
    <n v="0"/>
    <n v="0"/>
    <n v="0"/>
    <n v="0"/>
    <n v="0"/>
    <n v="40"/>
    <n v="3"/>
    <n v="7166618.5251687476"/>
    <n v="0"/>
    <n v="0"/>
    <n v="0"/>
    <n v="0"/>
    <n v="0"/>
    <n v="0"/>
    <n v="100"/>
    <n v="5"/>
    <n v="44581204.100151524"/>
    <n v="69247822.625320271"/>
    <n v="67230.895752738128"/>
  </r>
  <r>
    <s v="4.3.3.1"/>
    <x v="2"/>
    <x v="2"/>
    <x v="0"/>
    <x v="9"/>
    <n v="1"/>
    <x v="47"/>
    <x v="47"/>
    <s v="Define primary level EHPs  "/>
    <s v="Conduct consultative meetings to redefine primary level EHP with Health Centres"/>
    <s v="Fuel for Travelling Participants"/>
    <n v="211.42857142857142"/>
    <n v="7830"/>
    <n v="1"/>
    <n v="1655485.7142857141"/>
    <m/>
    <m/>
    <n v="0"/>
    <m/>
    <m/>
    <n v="0"/>
    <m/>
    <m/>
    <n v="0"/>
    <m/>
    <m/>
    <n v="0"/>
    <m/>
    <m/>
    <n v="0"/>
    <m/>
    <m/>
    <n v="0"/>
    <n v="7830"/>
    <n v="1"/>
    <n v="4217345.5150546599"/>
    <n v="5872831.2293403745"/>
    <n v="5701.7778925634702"/>
  </r>
  <r>
    <s v="4.3.3.1"/>
    <x v="2"/>
    <x v="2"/>
    <x v="0"/>
    <x v="9"/>
    <n v="1"/>
    <x v="47"/>
    <x v="47"/>
    <s v="Define primary level EHPs  "/>
    <s v="Conduct consultative meetings to redefine primary level EHP with Health Centres"/>
    <s v="Local running (diesel, per km)"/>
    <n v="211.42857142857142"/>
    <n v="1450"/>
    <n v="5"/>
    <n v="1532857.142857143"/>
    <n v="0"/>
    <n v="0"/>
    <n v="0"/>
    <n v="0"/>
    <n v="0"/>
    <n v="0"/>
    <n v="0"/>
    <n v="0"/>
    <n v="0"/>
    <n v="8000"/>
    <n v="1"/>
    <n v="2886148.4128570738"/>
    <n v="0"/>
    <n v="0"/>
    <n v="0"/>
    <n v="0"/>
    <n v="0"/>
    <n v="0"/>
    <n v="1450"/>
    <n v="5"/>
    <n v="3904949.5509765372"/>
    <n v="8323955.1066907542"/>
    <n v="8081.509812321121"/>
  </r>
  <r>
    <s v="4.3.3.1"/>
    <x v="2"/>
    <x v="2"/>
    <x v="0"/>
    <x v="9"/>
    <n v="1"/>
    <x v="47"/>
    <x v="47"/>
    <s v="Define primary level EHPs  "/>
    <s v="Refine primary level EHP based on the results (5-day workshop)"/>
    <s v="DSA (excl. lunch)"/>
    <n v="39000"/>
    <n v="25"/>
    <n v="5"/>
    <n v="4875000"/>
    <n v="0"/>
    <n v="0"/>
    <n v="0"/>
    <n v="0"/>
    <n v="0"/>
    <n v="0"/>
    <n v="0"/>
    <n v="0"/>
    <n v="0"/>
    <n v="40"/>
    <n v="2"/>
    <n v="5323773.7615539273"/>
    <n v="0"/>
    <n v="0"/>
    <n v="0"/>
    <n v="0"/>
    <n v="0"/>
    <n v="0"/>
    <n v="25"/>
    <n v="5"/>
    <n v="12419049.713613637"/>
    <n v="22617823.475167565"/>
    <n v="21959.051917638411"/>
  </r>
  <r>
    <s v="4.3.3.1"/>
    <x v="2"/>
    <x v="2"/>
    <x v="0"/>
    <x v="9"/>
    <n v="1"/>
    <x v="47"/>
    <x v="47"/>
    <s v="Define primary level EHPs  "/>
    <s v="Refine primary level EHP based on the results (5-day workshop)"/>
    <s v="Conference package high-level"/>
    <n v="35000"/>
    <n v="25"/>
    <n v="5"/>
    <n v="4375000"/>
    <n v="0"/>
    <n v="0"/>
    <n v="0"/>
    <n v="0"/>
    <n v="0"/>
    <n v="0"/>
    <n v="0"/>
    <n v="0"/>
    <n v="0"/>
    <n v="40"/>
    <n v="2"/>
    <n v="4777745.6834458318"/>
    <n v="0"/>
    <n v="0"/>
    <n v="0"/>
    <n v="0"/>
    <n v="0"/>
    <n v="0"/>
    <n v="25"/>
    <n v="5"/>
    <n v="11145301.025037881"/>
    <n v="20298046.708483711"/>
    <n v="19706.841464547291"/>
  </r>
  <r>
    <s v="4.3.3.1"/>
    <x v="2"/>
    <x v="2"/>
    <x v="0"/>
    <x v="9"/>
    <n v="1"/>
    <x v="47"/>
    <x v="47"/>
    <s v="Define primary level EHPs  "/>
    <s v="Refine primary level EHP based on the results (5-day workshop)"/>
    <s v="Fuel for Travelling Participants"/>
    <n v="211.42857142857142"/>
    <n v="2430"/>
    <n v="1"/>
    <n v="513771.42857142852"/>
    <m/>
    <m/>
    <n v="0"/>
    <m/>
    <m/>
    <n v="0"/>
    <m/>
    <m/>
    <n v="0"/>
    <m/>
    <m/>
    <n v="0"/>
    <m/>
    <m/>
    <n v="0"/>
    <m/>
    <m/>
    <n v="0"/>
    <n v="2430"/>
    <n v="1"/>
    <n v="1308831.3667411015"/>
    <n v="1822602.7953125299"/>
    <n v="1769.5172770024562"/>
  </r>
  <r>
    <s v="4.3.3.1"/>
    <x v="2"/>
    <x v="2"/>
    <x v="0"/>
    <x v="9"/>
    <n v="1"/>
    <x v="47"/>
    <x v="47"/>
    <s v="Define primary level EHPs  "/>
    <s v="Refine primary level EHP based on the results (5-day workshop)"/>
    <s v="Local running (diesel, per km)"/>
    <n v="211.42857142857142"/>
    <n v="450"/>
    <n v="5"/>
    <n v="475714.28571428568"/>
    <n v="0"/>
    <n v="0"/>
    <n v="0"/>
    <n v="0"/>
    <n v="0"/>
    <n v="0"/>
    <n v="0"/>
    <n v="0"/>
    <n v="0"/>
    <n v="15000"/>
    <n v="1"/>
    <n v="5411528.2741070129"/>
    <n v="0"/>
    <n v="0"/>
    <n v="0"/>
    <n v="0"/>
    <n v="0"/>
    <n v="0"/>
    <n v="450"/>
    <n v="5"/>
    <n v="1211880.8951306494"/>
    <n v="7099123.4549519476"/>
    <n v="6892.3528688853858"/>
  </r>
  <r>
    <s v="4.3.3.1"/>
    <x v="2"/>
    <x v="2"/>
    <x v="0"/>
    <x v="9"/>
    <n v="1"/>
    <x v="47"/>
    <x v="47"/>
    <s v="Define secondary level EHPs"/>
    <s v="Conduct a workshop to redefine secondary level EHP"/>
    <s v="DSA (excl. lunch)"/>
    <n v="39000"/>
    <n v="25"/>
    <n v="5"/>
    <n v="4875000"/>
    <n v="0"/>
    <n v="0"/>
    <n v="0"/>
    <n v="0"/>
    <n v="0"/>
    <n v="0"/>
    <n v="0"/>
    <n v="0"/>
    <n v="0"/>
    <n v="20"/>
    <n v="10"/>
    <n v="13309434.403884819"/>
    <n v="0"/>
    <n v="0"/>
    <n v="0"/>
    <n v="0"/>
    <n v="0"/>
    <n v="0"/>
    <n v="25"/>
    <n v="5"/>
    <n v="12419049.713613637"/>
    <n v="30603484.117498457"/>
    <n v="29712.120502425685"/>
  </r>
  <r>
    <s v="4.3.3.1"/>
    <x v="2"/>
    <x v="2"/>
    <x v="0"/>
    <x v="9"/>
    <n v="1"/>
    <x v="47"/>
    <x v="47"/>
    <s v="Define secondary level EHPs"/>
    <s v="Conduct a workshop to redefine secondary level EHP"/>
    <s v="Conference package high-level"/>
    <n v="35000"/>
    <n v="25"/>
    <n v="5"/>
    <n v="4375000"/>
    <n v="0"/>
    <n v="0"/>
    <n v="0"/>
    <n v="0"/>
    <n v="0"/>
    <n v="0"/>
    <n v="0"/>
    <n v="0"/>
    <n v="0"/>
    <n v="20"/>
    <n v="10"/>
    <n v="11944364.20861458"/>
    <n v="0"/>
    <n v="0"/>
    <n v="0"/>
    <n v="0"/>
    <n v="0"/>
    <n v="0"/>
    <n v="25"/>
    <n v="5"/>
    <n v="11145301.025037881"/>
    <n v="27464665.233652461"/>
    <n v="26664.723527817925"/>
  </r>
  <r>
    <s v="4.3.3.1"/>
    <x v="2"/>
    <x v="2"/>
    <x v="0"/>
    <x v="9"/>
    <n v="1"/>
    <x v="47"/>
    <x v="47"/>
    <s v="Define secondary level EHPs"/>
    <s v="Conduct a workshop to redefine secondary level EHP"/>
    <s v="Local running (diesel, per km)"/>
    <n v="211.42857142857142"/>
    <n v="450"/>
    <n v="5"/>
    <n v="475714.28571428568"/>
    <n v="0"/>
    <n v="0"/>
    <n v="0"/>
    <n v="0"/>
    <n v="0"/>
    <n v="0"/>
    <n v="0"/>
    <n v="0"/>
    <n v="0"/>
    <n v="20000"/>
    <n v="1"/>
    <n v="7215371.0321426839"/>
    <n v="0"/>
    <n v="0"/>
    <n v="0"/>
    <n v="0"/>
    <n v="0"/>
    <n v="0"/>
    <n v="450"/>
    <n v="5"/>
    <n v="1211880.8951306494"/>
    <n v="8902966.2129876185"/>
    <n v="8643.6565174637071"/>
  </r>
  <r>
    <s v="4.3.3.1"/>
    <x v="2"/>
    <x v="2"/>
    <x v="0"/>
    <x v="9"/>
    <n v="1"/>
    <x v="47"/>
    <x v="47"/>
    <s v="Define secondary level EHPs"/>
    <s v="Conduct a workshop to redefine secondary level EHP"/>
    <s v="Fuel for Travelling Participants"/>
    <n v="211.42857142857142"/>
    <n v="2430"/>
    <n v="1"/>
    <n v="513771.42857142852"/>
    <m/>
    <m/>
    <n v="0"/>
    <m/>
    <m/>
    <n v="0"/>
    <m/>
    <m/>
    <n v="0"/>
    <m/>
    <m/>
    <n v="0"/>
    <m/>
    <m/>
    <n v="0"/>
    <m/>
    <m/>
    <n v="0"/>
    <n v="2430"/>
    <n v="1"/>
    <n v="1308831.3667411015"/>
    <n v="1822602.7953125299"/>
    <n v="1769.5172770024562"/>
  </r>
  <r>
    <s v="4.3.3.1"/>
    <x v="2"/>
    <x v="2"/>
    <x v="0"/>
    <x v="9"/>
    <n v="1"/>
    <x v="47"/>
    <x v="47"/>
    <s v="Define secondary level EHPs"/>
    <s v="Conduct consultative meetings to redefine secondary level EHP with Health Centres"/>
    <s v="DSA (excl. lunch)"/>
    <n v="39000"/>
    <n v="58"/>
    <n v="3"/>
    <n v="6786000"/>
    <n v="0"/>
    <n v="0"/>
    <n v="0"/>
    <n v="0"/>
    <n v="0"/>
    <n v="0"/>
    <n v="0"/>
    <n v="0"/>
    <n v="0"/>
    <n v="20"/>
    <n v="10"/>
    <n v="13309434.403884819"/>
    <n v="0"/>
    <n v="0"/>
    <n v="0"/>
    <n v="0"/>
    <n v="0"/>
    <n v="0"/>
    <n v="58"/>
    <n v="3"/>
    <n v="17287317.201350182"/>
    <n v="37382751.605235003"/>
    <n v="36293.933597315539"/>
  </r>
  <r>
    <s v="4.3.3.1"/>
    <x v="2"/>
    <x v="2"/>
    <x v="0"/>
    <x v="9"/>
    <n v="1"/>
    <x v="47"/>
    <x v="47"/>
    <s v="Define secondary level EHPs"/>
    <s v="Conduct consultative meetings to redefine secondary level EHP with Health Centres"/>
    <s v="Conference package high-level"/>
    <n v="35000"/>
    <n v="100"/>
    <n v="2"/>
    <n v="7000000"/>
    <n v="0"/>
    <n v="0"/>
    <n v="0"/>
    <n v="0"/>
    <n v="0"/>
    <n v="0"/>
    <n v="0"/>
    <n v="0"/>
    <n v="0"/>
    <n v="20"/>
    <n v="10"/>
    <n v="11944364.20861458"/>
    <n v="0"/>
    <n v="0"/>
    <n v="0"/>
    <n v="0"/>
    <n v="0"/>
    <n v="0"/>
    <n v="100"/>
    <n v="2"/>
    <n v="17832481.640060611"/>
    <n v="36776845.848675191"/>
    <n v="35705.675581238051"/>
  </r>
  <r>
    <s v="4.3.3.1"/>
    <x v="2"/>
    <x v="2"/>
    <x v="0"/>
    <x v="9"/>
    <n v="1"/>
    <x v="47"/>
    <x v="47"/>
    <s v="Define secondary level EHPs"/>
    <s v="Conduct consultative meetings to redefine secondary level EHP with Health Centres"/>
    <s v="Local running (diesel, per km)"/>
    <n v="211.42857142857142"/>
    <n v="1450"/>
    <n v="2"/>
    <n v="613142.85714285716"/>
    <n v="0"/>
    <n v="0"/>
    <n v="0"/>
    <n v="0"/>
    <n v="0"/>
    <n v="0"/>
    <n v="0"/>
    <n v="0"/>
    <n v="0"/>
    <n v="20000"/>
    <n v="1"/>
    <n v="7215371.0321426839"/>
    <n v="0"/>
    <n v="0"/>
    <n v="0"/>
    <n v="0"/>
    <n v="0"/>
    <n v="0"/>
    <n v="1450"/>
    <n v="2"/>
    <n v="1561979.8203906149"/>
    <n v="9390493.7096761558"/>
    <n v="9116.9841841516081"/>
  </r>
  <r>
    <s v="4.3.3.1"/>
    <x v="2"/>
    <x v="2"/>
    <x v="0"/>
    <x v="9"/>
    <n v="1"/>
    <x v="47"/>
    <x v="47"/>
    <s v="Define secondary level EHPs"/>
    <s v="Conduct consultative meetings to redefine secondary level EHP with Health Centres"/>
    <s v="Fuel for Travelling Participants"/>
    <n v="211.42857142857142"/>
    <n v="7830"/>
    <n v="1"/>
    <n v="1655485.7142857141"/>
    <m/>
    <m/>
    <n v="0"/>
    <m/>
    <m/>
    <n v="0"/>
    <m/>
    <m/>
    <n v="0"/>
    <m/>
    <m/>
    <n v="0"/>
    <m/>
    <m/>
    <n v="0"/>
    <m/>
    <m/>
    <n v="0"/>
    <n v="7830"/>
    <n v="1"/>
    <n v="4217345.5150546599"/>
    <n v="5872831.2293403745"/>
    <n v="5701.7778925634702"/>
  </r>
  <r>
    <s v="4.3.3.1"/>
    <x v="2"/>
    <x v="2"/>
    <x v="0"/>
    <x v="9"/>
    <n v="1"/>
    <x v="47"/>
    <x v="47"/>
    <s v="Define secondary level EHPs"/>
    <s v="Refine secondary level EHP based on the results (5-day workshop)"/>
    <s v="DSA (excl. lunch)"/>
    <n v="39000"/>
    <n v="25"/>
    <n v="5"/>
    <n v="4875000"/>
    <n v="0"/>
    <n v="0"/>
    <n v="0"/>
    <n v="0"/>
    <n v="0"/>
    <n v="0"/>
    <n v="0"/>
    <n v="0"/>
    <n v="0"/>
    <n v="20"/>
    <n v="2"/>
    <n v="2661886.8807769637"/>
    <n v="0"/>
    <n v="0"/>
    <n v="0"/>
    <n v="0"/>
    <n v="0"/>
    <n v="0"/>
    <n v="25"/>
    <n v="5"/>
    <n v="12419049.713613637"/>
    <n v="19955936.594390601"/>
    <n v="19374.695722709323"/>
  </r>
  <r>
    <s v="4.3.3.1"/>
    <x v="2"/>
    <x v="2"/>
    <x v="0"/>
    <x v="9"/>
    <n v="1"/>
    <x v="47"/>
    <x v="47"/>
    <s v="Define secondary level EHPs"/>
    <s v="Refine secondary level EHP based on the results (5-day workshop)"/>
    <s v="Conference package high-level"/>
    <n v="35000"/>
    <n v="25"/>
    <n v="5"/>
    <n v="4375000"/>
    <n v="0"/>
    <n v="0"/>
    <n v="0"/>
    <n v="0"/>
    <n v="0"/>
    <n v="0"/>
    <n v="0"/>
    <n v="0"/>
    <n v="0"/>
    <n v="20"/>
    <n v="2"/>
    <n v="2388872.8417229159"/>
    <n v="0"/>
    <n v="0"/>
    <n v="0"/>
    <n v="0"/>
    <n v="0"/>
    <n v="0"/>
    <n v="25"/>
    <n v="5"/>
    <n v="11145301.025037881"/>
    <n v="17909173.866760798"/>
    <n v="17387.547443457086"/>
  </r>
  <r>
    <s v="4.3.3.1"/>
    <x v="2"/>
    <x v="2"/>
    <x v="0"/>
    <x v="9"/>
    <n v="1"/>
    <x v="47"/>
    <x v="47"/>
    <s v="Define secondary level EHPs"/>
    <s v="Refine secondary level EHP based on the results (5-day workshop)"/>
    <s v="Local running (diesel, per km)"/>
    <n v="211.42857142857142"/>
    <n v="450"/>
    <n v="5"/>
    <n v="475714.28571428568"/>
    <n v="0"/>
    <n v="0"/>
    <n v="0"/>
    <n v="0"/>
    <n v="0"/>
    <n v="0"/>
    <n v="0"/>
    <n v="0"/>
    <n v="0"/>
    <n v="8000"/>
    <n v="1"/>
    <n v="2886148.4128570738"/>
    <n v="0"/>
    <n v="0"/>
    <n v="0"/>
    <n v="0"/>
    <n v="0"/>
    <n v="0"/>
    <n v="450"/>
    <n v="5"/>
    <n v="1211880.8951306494"/>
    <n v="4573743.5937020089"/>
    <n v="4440.5277608757369"/>
  </r>
  <r>
    <s v="4.3.3.1"/>
    <x v="2"/>
    <x v="2"/>
    <x v="0"/>
    <x v="9"/>
    <n v="1"/>
    <x v="47"/>
    <x v="47"/>
    <s v="Define secondary level EHPs"/>
    <s v="Refine secondary level EHP based on the results (5-day workshop)"/>
    <s v="Fuel for Travelling Participants"/>
    <n v="211.42857142857142"/>
    <n v="2430"/>
    <n v="1"/>
    <n v="513771.42857142852"/>
    <m/>
    <m/>
    <n v="0"/>
    <m/>
    <m/>
    <n v="0"/>
    <m/>
    <m/>
    <n v="0"/>
    <m/>
    <m/>
    <n v="0"/>
    <m/>
    <m/>
    <n v="0"/>
    <m/>
    <m/>
    <n v="0"/>
    <n v="2430"/>
    <n v="1"/>
    <n v="1308831.3667411015"/>
    <n v="1822602.7953125299"/>
    <n v="1769.5172770024562"/>
  </r>
  <r>
    <s v="4.3.3.1"/>
    <x v="2"/>
    <x v="2"/>
    <x v="0"/>
    <x v="9"/>
    <n v="1"/>
    <x v="47"/>
    <x v="47"/>
    <s v="Define tertiary level EHP"/>
    <s v="Conduct a workshop to redefine tertiary level EHP"/>
    <s v="DSA (excl. lunch)"/>
    <n v="39000"/>
    <n v="25"/>
    <n v="6"/>
    <n v="5850000"/>
    <n v="0"/>
    <n v="0"/>
    <n v="0"/>
    <n v="0"/>
    <n v="0"/>
    <n v="0"/>
    <n v="0"/>
    <n v="0"/>
    <n v="0"/>
    <n v="30"/>
    <n v="10"/>
    <n v="19964151.605827227"/>
    <n v="0"/>
    <n v="0"/>
    <n v="0"/>
    <n v="0"/>
    <n v="0"/>
    <n v="0"/>
    <n v="25"/>
    <n v="6"/>
    <n v="14902859.656336365"/>
    <n v="40717011.262163594"/>
    <n v="39531.078895304461"/>
  </r>
  <r>
    <s v="4.3.3.1"/>
    <x v="2"/>
    <x v="2"/>
    <x v="0"/>
    <x v="9"/>
    <n v="1"/>
    <x v="47"/>
    <x v="47"/>
    <s v="Define tertiary level EHP"/>
    <s v="Conduct a workshop to redefine tertiary level EHP"/>
    <s v="Conference package high-level"/>
    <n v="35000"/>
    <n v="25"/>
    <n v="5"/>
    <n v="4375000"/>
    <n v="0"/>
    <n v="0"/>
    <n v="0"/>
    <n v="0"/>
    <n v="0"/>
    <n v="0"/>
    <n v="0"/>
    <n v="0"/>
    <n v="0"/>
    <n v="30"/>
    <n v="10"/>
    <n v="17916546.31292187"/>
    <n v="0"/>
    <n v="0"/>
    <n v="0"/>
    <n v="0"/>
    <n v="0"/>
    <n v="0"/>
    <n v="25"/>
    <n v="5"/>
    <n v="11145301.025037881"/>
    <n v="33436847.337959751"/>
    <n v="32462.958580543447"/>
  </r>
  <r>
    <s v="4.3.3.1"/>
    <x v="2"/>
    <x v="2"/>
    <x v="0"/>
    <x v="9"/>
    <n v="1"/>
    <x v="47"/>
    <x v="47"/>
    <s v="Define tertiary level EHP"/>
    <s v="Conduct a workshop to redefine tertiary level EHP"/>
    <s v="Local running (diesel, per km)"/>
    <n v="211.42857142857142"/>
    <n v="450"/>
    <n v="5"/>
    <n v="475714.28571428568"/>
    <n v="0"/>
    <n v="0"/>
    <n v="0"/>
    <n v="0"/>
    <n v="0"/>
    <n v="0"/>
    <n v="0"/>
    <n v="0"/>
    <n v="0"/>
    <n v="8000"/>
    <n v="1"/>
    <n v="2886148.4128570738"/>
    <n v="0"/>
    <n v="0"/>
    <n v="0"/>
    <n v="0"/>
    <n v="0"/>
    <n v="0"/>
    <n v="450"/>
    <n v="5"/>
    <n v="1211880.8951306494"/>
    <n v="4573743.5937020089"/>
    <n v="4440.5277608757369"/>
  </r>
  <r>
    <s v="4.3.3.1"/>
    <x v="2"/>
    <x v="2"/>
    <x v="0"/>
    <x v="9"/>
    <n v="1"/>
    <x v="47"/>
    <x v="47"/>
    <s v="Define tertiary level EHP"/>
    <s v="Conduct consultative meetings to redefine tertiary level EHP with Health Centres"/>
    <s v="DSA (excl. lunch)"/>
    <n v="39000"/>
    <n v="58"/>
    <n v="5"/>
    <n v="11310000"/>
    <n v="0"/>
    <n v="0"/>
    <n v="0"/>
    <n v="0"/>
    <n v="0"/>
    <n v="0"/>
    <n v="0"/>
    <n v="0"/>
    <n v="0"/>
    <n v="20"/>
    <n v="10"/>
    <n v="13309434.403884819"/>
    <n v="0"/>
    <n v="0"/>
    <n v="0"/>
    <n v="0"/>
    <n v="0"/>
    <n v="0"/>
    <n v="58"/>
    <n v="5"/>
    <n v="28812195.335583642"/>
    <n v="53431629.739468463"/>
    <n v="51875.368679095598"/>
  </r>
  <r>
    <s v="4.3.3.1"/>
    <x v="2"/>
    <x v="2"/>
    <x v="0"/>
    <x v="9"/>
    <n v="1"/>
    <x v="47"/>
    <x v="47"/>
    <s v="Define tertiary level EHP"/>
    <s v="Conduct consultative meetings to redefine tertiary level EHP with Health Centres"/>
    <s v="Conference package high-level"/>
    <n v="35000"/>
    <n v="100"/>
    <n v="5"/>
    <n v="17500000"/>
    <n v="0"/>
    <n v="0"/>
    <n v="0"/>
    <n v="0"/>
    <n v="0"/>
    <n v="0"/>
    <n v="0"/>
    <n v="0"/>
    <n v="0"/>
    <n v="20"/>
    <n v="10"/>
    <n v="11944364.20861458"/>
    <n v="0"/>
    <n v="0"/>
    <n v="0"/>
    <n v="0"/>
    <n v="0"/>
    <n v="0"/>
    <n v="100"/>
    <n v="5"/>
    <n v="44581204.100151524"/>
    <n v="74025568.308766097"/>
    <n v="71869.483794918546"/>
  </r>
  <r>
    <s v="4.3.3.1"/>
    <x v="2"/>
    <x v="2"/>
    <x v="0"/>
    <x v="9"/>
    <n v="1"/>
    <x v="47"/>
    <x v="47"/>
    <s v="Define tertiary level EHP"/>
    <s v="Conduct consultative meetings to redefine tertiary level EHP with Health Centres"/>
    <s v="Local running (diesel, per km)"/>
    <n v="211.42857142857142"/>
    <n v="1450"/>
    <n v="5"/>
    <n v="1532857.142857143"/>
    <n v="0"/>
    <n v="0"/>
    <n v="0"/>
    <n v="0"/>
    <n v="0"/>
    <n v="0"/>
    <n v="0"/>
    <n v="0"/>
    <n v="0"/>
    <n v="8000"/>
    <n v="1"/>
    <n v="2886148.4128570738"/>
    <n v="0"/>
    <n v="0"/>
    <n v="0"/>
    <n v="0"/>
    <n v="0"/>
    <n v="0"/>
    <n v="1450"/>
    <n v="5"/>
    <n v="3904949.5509765372"/>
    <n v="8323955.1066907542"/>
    <n v="8081.509812321121"/>
  </r>
  <r>
    <s v="4.3.3.1"/>
    <x v="2"/>
    <x v="2"/>
    <x v="0"/>
    <x v="9"/>
    <n v="1"/>
    <x v="47"/>
    <x v="47"/>
    <s v="Define tertiary level EHP"/>
    <s v="Conduct consultative meetings to redefine tertiary level EHP with Health Centres"/>
    <s v="Fuel for Travelling Participants"/>
    <n v="211.42857142857142"/>
    <n v="7830"/>
    <n v="1"/>
    <n v="1655485.7142857141"/>
    <m/>
    <m/>
    <n v="0"/>
    <m/>
    <m/>
    <n v="0"/>
    <m/>
    <m/>
    <n v="0"/>
    <m/>
    <m/>
    <n v="0"/>
    <m/>
    <m/>
    <n v="0"/>
    <m/>
    <m/>
    <n v="0"/>
    <n v="7830"/>
    <n v="1"/>
    <n v="4217345.5150546599"/>
    <n v="5872831.2293403745"/>
    <n v="5701.7778925634702"/>
  </r>
  <r>
    <s v="4.3.3.1"/>
    <x v="2"/>
    <x v="2"/>
    <x v="0"/>
    <x v="9"/>
    <n v="1"/>
    <x v="47"/>
    <x v="47"/>
    <s v="Define tertiary level EHP"/>
    <s v="Refine tertiary level EHP based on the results (2-day workshop)"/>
    <s v="DSA (excl. lunch)"/>
    <n v="39000"/>
    <n v="25"/>
    <n v="3"/>
    <n v="2925000"/>
    <n v="0"/>
    <n v="0"/>
    <n v="0"/>
    <n v="0"/>
    <n v="0"/>
    <n v="0"/>
    <n v="0"/>
    <n v="0"/>
    <n v="0"/>
    <n v="30"/>
    <n v="2"/>
    <n v="3992830.3211654453"/>
    <n v="0"/>
    <n v="0"/>
    <n v="0"/>
    <n v="0"/>
    <n v="0"/>
    <n v="0"/>
    <n v="25"/>
    <n v="3"/>
    <n v="7451429.8281681826"/>
    <n v="14369260.149333628"/>
    <n v="13950.738009061775"/>
  </r>
  <r>
    <s v="4.3.3.1"/>
    <x v="2"/>
    <x v="2"/>
    <x v="0"/>
    <x v="9"/>
    <n v="1"/>
    <x v="47"/>
    <x v="47"/>
    <s v="Define tertiary level EHP"/>
    <s v="Refine tertiary level EHP based on the results (5-day workshop)"/>
    <s v="Conference package high-level"/>
    <n v="35000"/>
    <n v="25"/>
    <n v="5"/>
    <n v="4375000"/>
    <n v="0"/>
    <n v="0"/>
    <n v="0"/>
    <n v="0"/>
    <n v="0"/>
    <n v="0"/>
    <n v="0"/>
    <n v="0"/>
    <n v="0"/>
    <n v="30"/>
    <n v="2"/>
    <n v="3583309.2625843743"/>
    <n v="0"/>
    <n v="0"/>
    <n v="0"/>
    <n v="0"/>
    <n v="0"/>
    <n v="0"/>
    <n v="25"/>
    <n v="5"/>
    <n v="11145301.025037881"/>
    <n v="19103610.287622254"/>
    <n v="18547.19445400219"/>
  </r>
  <r>
    <s v="4.3.3.1"/>
    <x v="2"/>
    <x v="2"/>
    <x v="0"/>
    <x v="9"/>
    <n v="1"/>
    <x v="47"/>
    <x v="47"/>
    <s v="Define tertiary level EHP"/>
    <s v="Refine tertiary level EHP based on the results (2-day workshop)"/>
    <s v="Local running (diesel, per km)"/>
    <n v="211.42857142857142"/>
    <n v="450"/>
    <n v="5"/>
    <n v="475714.28571428568"/>
    <n v="0"/>
    <n v="0"/>
    <n v="0"/>
    <n v="0"/>
    <n v="0"/>
    <n v="0"/>
    <n v="0"/>
    <n v="0"/>
    <n v="0"/>
    <n v="8000"/>
    <n v="1"/>
    <n v="2886148.4128570738"/>
    <n v="0"/>
    <n v="0"/>
    <n v="0"/>
    <n v="0"/>
    <n v="0"/>
    <n v="0"/>
    <n v="450"/>
    <n v="5"/>
    <n v="1211880.8951306494"/>
    <n v="4573743.5937020089"/>
    <n v="4440.5277608757369"/>
  </r>
  <r>
    <s v="4.3.3.1"/>
    <x v="2"/>
    <x v="2"/>
    <x v="0"/>
    <x v="9"/>
    <n v="1"/>
    <x v="47"/>
    <x v="47"/>
    <s v="Define tertiary level EHP"/>
    <s v="Refine tertiary level EHP based on the results (2-day workshop)"/>
    <s v="Fuel for Travelling Participants"/>
    <n v="211.42857142857142"/>
    <n v="2430"/>
    <n v="1"/>
    <n v="513771.42857142852"/>
    <m/>
    <m/>
    <n v="0"/>
    <m/>
    <m/>
    <n v="0"/>
    <m/>
    <m/>
    <n v="0"/>
    <m/>
    <m/>
    <n v="0"/>
    <m/>
    <m/>
    <n v="0"/>
    <m/>
    <m/>
    <n v="0"/>
    <n v="2430"/>
    <n v="1"/>
    <n v="1308831.3667411015"/>
    <n v="1822602.7953125299"/>
    <n v="1769.5172770024562"/>
  </r>
  <r>
    <s v="4.3.3.1"/>
    <x v="2"/>
    <x v="2"/>
    <x v="0"/>
    <x v="9"/>
    <n v="1"/>
    <x v="47"/>
    <x v="47"/>
    <s v="Undertake additional data collection to fill in the gaps"/>
    <s v="Identify the data gaps"/>
    <s v="zero cost"/>
    <n v="0"/>
    <n v="0"/>
    <n v="0"/>
    <n v="0"/>
    <n v="0"/>
    <n v="0"/>
    <n v="0"/>
    <n v="0"/>
    <n v="0"/>
    <n v="0"/>
    <n v="0"/>
    <n v="0"/>
    <n v="0"/>
    <n v="0"/>
    <n v="0"/>
    <n v="0"/>
    <n v="0"/>
    <n v="0"/>
    <n v="0"/>
    <n v="0"/>
    <n v="0"/>
    <n v="0"/>
    <n v="0"/>
    <n v="0"/>
    <n v="0"/>
    <n v="0"/>
    <n v="0"/>
  </r>
  <r>
    <s v="4.3.3.1"/>
    <x v="2"/>
    <x v="2"/>
    <x v="0"/>
    <x v="9"/>
    <n v="1"/>
    <x v="47"/>
    <x v="47"/>
    <s v="Undertake additional data collection to fill in the gaps"/>
    <s v="Develop a data collection tool"/>
    <s v="zero cost"/>
    <n v="0"/>
    <n v="0"/>
    <n v="0"/>
    <n v="0"/>
    <n v="0"/>
    <n v="0"/>
    <n v="0"/>
    <n v="0"/>
    <n v="0"/>
    <n v="0"/>
    <n v="0"/>
    <n v="0"/>
    <n v="0"/>
    <n v="0"/>
    <n v="0"/>
    <n v="0"/>
    <n v="0"/>
    <n v="0"/>
    <n v="0"/>
    <n v="0"/>
    <n v="0"/>
    <n v="0"/>
    <n v="0"/>
    <n v="0"/>
    <n v="0"/>
    <n v="0"/>
    <n v="0"/>
  </r>
  <r>
    <s v="4.3.3.1"/>
    <x v="2"/>
    <x v="2"/>
    <x v="0"/>
    <x v="9"/>
    <n v="1"/>
    <x v="47"/>
    <x v="47"/>
    <s v="Undertake additional data collection to fill in the gaps"/>
    <s v="Validate data collection tool"/>
    <s v="zero cost"/>
    <n v="0"/>
    <n v="0"/>
    <n v="0"/>
    <n v="0"/>
    <n v="0"/>
    <n v="0"/>
    <n v="0"/>
    <n v="0"/>
    <n v="0"/>
    <n v="0"/>
    <n v="0"/>
    <n v="0"/>
    <n v="0"/>
    <n v="0"/>
    <n v="0"/>
    <n v="0"/>
    <n v="0"/>
    <n v="0"/>
    <n v="0"/>
    <n v="0"/>
    <n v="0"/>
    <n v="0"/>
    <n v="0"/>
    <n v="0"/>
    <n v="0"/>
    <n v="0"/>
    <n v="0"/>
  </r>
  <r>
    <s v="4.3.3.1"/>
    <x v="2"/>
    <x v="2"/>
    <x v="0"/>
    <x v="9"/>
    <n v="1"/>
    <x v="47"/>
    <x v="47"/>
    <s v="Undertake additional data collection to fill in the gaps"/>
    <s v="Refine data collection tool"/>
    <s v="zero cost"/>
    <n v="0"/>
    <n v="0"/>
    <n v="0"/>
    <n v="0"/>
    <n v="0"/>
    <n v="0"/>
    <n v="0"/>
    <n v="0"/>
    <n v="0"/>
    <n v="0"/>
    <n v="0"/>
    <n v="0"/>
    <n v="0"/>
    <n v="0"/>
    <n v="0"/>
    <n v="0"/>
    <n v="0"/>
    <n v="0"/>
    <n v="0"/>
    <n v="0"/>
    <n v="0"/>
    <n v="0"/>
    <n v="0"/>
    <n v="0"/>
    <n v="0"/>
    <n v="0"/>
    <n v="0"/>
  </r>
  <r>
    <s v="4.3.3.1"/>
    <x v="2"/>
    <x v="2"/>
    <x v="0"/>
    <x v="9"/>
    <n v="1"/>
    <x v="47"/>
    <x v="47"/>
    <s v="Undertake additional data collection to fill in the gaps"/>
    <s v="Data collection (10 days)"/>
    <s v="Full DSA"/>
    <n v="45000"/>
    <n v="30"/>
    <n v="11"/>
    <n v="14850000"/>
    <n v="0"/>
    <n v="0"/>
    <n v="0"/>
    <n v="0"/>
    <n v="0"/>
    <n v="0"/>
    <n v="0"/>
    <n v="0"/>
    <n v="0"/>
    <n v="15"/>
    <n v="10"/>
    <n v="11517779.77259263"/>
    <n v="0"/>
    <n v="0"/>
    <n v="0"/>
    <n v="0"/>
    <n v="0"/>
    <n v="0"/>
    <n v="30"/>
    <n v="11"/>
    <n v="37830336.050700009"/>
    <n v="64198115.823292643"/>
    <n v="62328.267789604506"/>
  </r>
  <r>
    <s v="4.3.3.1"/>
    <x v="2"/>
    <x v="2"/>
    <x v="0"/>
    <x v="9"/>
    <n v="1"/>
    <x v="47"/>
    <x v="47"/>
    <s v="Undertake additional data collection to fill in the gaps"/>
    <s v="Data collection (10 days)"/>
    <s v="Fuel for Travelling Participants"/>
    <n v="211.42857142857142"/>
    <n v="2700"/>
    <n v="1"/>
    <n v="570857.14285714284"/>
    <m/>
    <m/>
    <n v="0"/>
    <m/>
    <m/>
    <n v="0"/>
    <m/>
    <m/>
    <n v="0"/>
    <m/>
    <m/>
    <n v="0"/>
    <m/>
    <m/>
    <n v="0"/>
    <m/>
    <m/>
    <n v="0"/>
    <n v="2700"/>
    <n v="1"/>
    <n v="1454257.0741567793"/>
    <n v="2025114.2170139221"/>
    <n v="1966.1303077805069"/>
  </r>
  <r>
    <s v="4.3.3.1"/>
    <x v="2"/>
    <x v="2"/>
    <x v="0"/>
    <x v="9"/>
    <n v="1"/>
    <x v="47"/>
    <x v="47"/>
    <s v="Undertake additional data collection to fill in the gaps"/>
    <s v="Data collection (10 days)"/>
    <s v="Local running (diesel, per km)"/>
    <n v="211.42857142857142"/>
    <n v="500"/>
    <n v="10"/>
    <n v="1057142.857142857"/>
    <n v="0"/>
    <n v="0"/>
    <n v="0"/>
    <n v="0"/>
    <n v="0"/>
    <n v="0"/>
    <n v="0"/>
    <n v="0"/>
    <n v="0"/>
    <n v="20000"/>
    <n v="1"/>
    <n v="7215371.0321426839"/>
    <n v="0"/>
    <n v="0"/>
    <n v="0"/>
    <n v="0"/>
    <n v="0"/>
    <n v="0"/>
    <n v="500"/>
    <n v="10"/>
    <n v="2693068.655845888"/>
    <n v="10965582.54513143"/>
    <n v="10646.19664575867"/>
  </r>
  <r>
    <s v="4.3.3.1"/>
    <x v="2"/>
    <x v="2"/>
    <x v="0"/>
    <x v="9"/>
    <n v="1"/>
    <x v="47"/>
    <x v="47"/>
    <s v="Undertake additional data collection to fill in the gaps"/>
    <s v="Data collection (10 days)"/>
    <s v="Tablet"/>
    <n v="302000"/>
    <n v="15"/>
    <n v="1"/>
    <n v="4530000"/>
    <n v="0"/>
    <n v="0"/>
    <n v="0"/>
    <n v="0"/>
    <n v="0"/>
    <n v="0"/>
    <n v="0"/>
    <n v="0"/>
    <n v="0"/>
    <n v="20"/>
    <n v="1"/>
    <n v="10306279.974290295"/>
    <n v="0"/>
    <n v="0"/>
    <n v="0"/>
    <n v="0"/>
    <n v="0"/>
    <n v="0"/>
    <n v="15"/>
    <n v="1"/>
    <n v="11540163.118496366"/>
    <n v="26376443.092786662"/>
    <n v="25608.197177462778"/>
  </r>
  <r>
    <s v="4.3.3.1"/>
    <x v="2"/>
    <x v="2"/>
    <x v="0"/>
    <x v="9"/>
    <n v="1"/>
    <x v="47"/>
    <x v="47"/>
    <s v="Undertake additional data collection to fill in the gaps"/>
    <s v="Data collection (10 days)"/>
    <s v="Airtime for Research Assistant"/>
    <n v="10000"/>
    <n v="15"/>
    <n v="1"/>
    <n v="150000"/>
    <n v="0"/>
    <n v="0"/>
    <n v="0"/>
    <n v="0"/>
    <n v="0"/>
    <n v="0"/>
    <n v="0"/>
    <n v="0"/>
    <n v="0"/>
    <n v="15"/>
    <n v="1"/>
    <n v="255950.66161316959"/>
    <n v="0"/>
    <n v="0"/>
    <n v="0"/>
    <n v="0"/>
    <n v="0"/>
    <n v="0"/>
    <n v="15"/>
    <n v="1"/>
    <n v="382124.60657272732"/>
    <n v="788075.26818589692"/>
    <n v="765.12161959795822"/>
  </r>
  <r>
    <s v="4.3.3.1"/>
    <x v="2"/>
    <x v="2"/>
    <x v="0"/>
    <x v="9"/>
    <n v="1"/>
    <x v="47"/>
    <x v="47"/>
    <s v="Undertake additional data collection to fill in the gaps"/>
    <s v="Data collection (10 days)"/>
    <s v="Fuel for Travelling Participants"/>
    <n v="211.42857142857142"/>
    <n v="2430"/>
    <n v="1"/>
    <n v="513771.42857142852"/>
    <m/>
    <m/>
    <n v="0"/>
    <m/>
    <m/>
    <n v="0"/>
    <m/>
    <m/>
    <n v="0"/>
    <m/>
    <m/>
    <n v="0"/>
    <m/>
    <m/>
    <n v="0"/>
    <m/>
    <m/>
    <n v="0"/>
    <n v="2430"/>
    <n v="1"/>
    <n v="1308831.3667411015"/>
    <n v="1822602.7953125299"/>
    <n v="1769.5172770024562"/>
  </r>
  <r>
    <s v="4.3.3.1"/>
    <x v="2"/>
    <x v="2"/>
    <x v="0"/>
    <x v="9"/>
    <n v="1"/>
    <x v="47"/>
    <x v="47"/>
    <s v="Undertake additional data collection to fill in the gaps"/>
    <s v="Data analysis"/>
    <s v="Local running (diesel, per km)"/>
    <n v="211.42857142857142"/>
    <n v="450"/>
    <n v="5"/>
    <n v="475714.28571428568"/>
    <n v="0"/>
    <n v="0"/>
    <n v="0"/>
    <n v="0"/>
    <n v="0"/>
    <n v="0"/>
    <n v="0"/>
    <n v="0"/>
    <n v="0"/>
    <n v="4000"/>
    <n v="1"/>
    <n v="1443074.2064285369"/>
    <n v="0"/>
    <n v="0"/>
    <n v="0"/>
    <n v="0"/>
    <n v="0"/>
    <n v="0"/>
    <n v="450"/>
    <n v="5"/>
    <n v="1211880.8951306494"/>
    <n v="3130669.3872734718"/>
    <n v="3039.4848420130793"/>
  </r>
  <r>
    <s v="4.3.3.1"/>
    <x v="2"/>
    <x v="2"/>
    <x v="0"/>
    <x v="9"/>
    <n v="1"/>
    <x v="47"/>
    <x v="47"/>
    <s v="Undertake additional data collection to fill in the gaps"/>
    <s v="Data analysis"/>
    <s v="DSA (excl. lunch)"/>
    <n v="39000"/>
    <n v="25"/>
    <n v="6"/>
    <n v="5850000"/>
    <n v="0"/>
    <n v="0"/>
    <n v="0"/>
    <n v="0"/>
    <n v="0"/>
    <n v="0"/>
    <n v="0"/>
    <n v="0"/>
    <n v="0"/>
    <n v="15"/>
    <n v="5"/>
    <n v="4991037.9014568068"/>
    <n v="0"/>
    <n v="0"/>
    <n v="0"/>
    <n v="0"/>
    <n v="0"/>
    <n v="0"/>
    <n v="25"/>
    <n v="6"/>
    <n v="14902859.656336365"/>
    <n v="25743897.55779317"/>
    <n v="24994.07529882832"/>
  </r>
  <r>
    <s v="4.3.3.1"/>
    <x v="2"/>
    <x v="2"/>
    <x v="0"/>
    <x v="9"/>
    <n v="1"/>
    <x v="47"/>
    <x v="47"/>
    <s v="Undertake additional data collection to fill in the gaps"/>
    <s v="Data analysis"/>
    <s v="Fuel for Travelling Participants"/>
    <n v="211.42857142857142"/>
    <n v="2430"/>
    <n v="1"/>
    <n v="513771.42857142852"/>
    <m/>
    <m/>
    <n v="0"/>
    <m/>
    <m/>
    <n v="0"/>
    <m/>
    <m/>
    <n v="0"/>
    <m/>
    <m/>
    <n v="0"/>
    <m/>
    <m/>
    <n v="0"/>
    <m/>
    <m/>
    <n v="0"/>
    <n v="2430"/>
    <n v="1"/>
    <n v="1308831.3667411015"/>
    <n v="1822602.7953125299"/>
    <n v="1769.5172770024562"/>
  </r>
  <r>
    <s v="4.3.3.1"/>
    <x v="2"/>
    <x v="2"/>
    <x v="0"/>
    <x v="9"/>
    <n v="1"/>
    <x v="47"/>
    <x v="47"/>
    <s v="Undertake additional data collection to fill in the gaps"/>
    <s v="Data analysis"/>
    <s v="Conference package high-level"/>
    <n v="35000"/>
    <n v="25"/>
    <n v="5"/>
    <n v="4375000"/>
    <n v="0"/>
    <n v="0"/>
    <n v="0"/>
    <n v="0"/>
    <n v="0"/>
    <n v="0"/>
    <n v="0"/>
    <n v="0"/>
    <n v="0"/>
    <n v="15"/>
    <n v="5"/>
    <n v="4479136.5782304676"/>
    <n v="0"/>
    <n v="0"/>
    <n v="0"/>
    <n v="0"/>
    <n v="0"/>
    <n v="0"/>
    <n v="25"/>
    <n v="5"/>
    <n v="11145301.025037881"/>
    <n v="19999437.603268348"/>
    <n v="19416.929711911016"/>
  </r>
  <r>
    <s v="4.3.3.1"/>
    <x v="2"/>
    <x v="2"/>
    <x v="0"/>
    <x v="9"/>
    <n v="1"/>
    <x v="47"/>
    <x v="47"/>
    <s v="Undertake additional data collection to fill in the gaps"/>
    <s v="Report writing"/>
    <s v="Conference package high-level"/>
    <n v="35000"/>
    <n v="25"/>
    <n v="3"/>
    <n v="2625000"/>
    <n v="0"/>
    <n v="0"/>
    <n v="0"/>
    <n v="0"/>
    <n v="0"/>
    <n v="0"/>
    <n v="0"/>
    <n v="0"/>
    <n v="0"/>
    <n v="15"/>
    <n v="5"/>
    <n v="4479136.5782304676"/>
    <n v="0"/>
    <n v="0"/>
    <n v="0"/>
    <n v="0"/>
    <n v="0"/>
    <n v="0"/>
    <n v="25"/>
    <n v="3"/>
    <n v="6687180.6150227292"/>
    <n v="13791317.193253197"/>
    <n v="13389.628342964268"/>
  </r>
  <r>
    <s v="4.3.3.1"/>
    <x v="2"/>
    <x v="2"/>
    <x v="0"/>
    <x v="9"/>
    <n v="1"/>
    <x v="47"/>
    <x v="47"/>
    <s v="Undertake additional data collection to fill in the gaps"/>
    <s v="Report writing"/>
    <s v="DSA (excl. lunch)"/>
    <n v="39000"/>
    <n v="25"/>
    <n v="4"/>
    <n v="3900000"/>
    <n v="0"/>
    <n v="0"/>
    <n v="0"/>
    <n v="0"/>
    <n v="0"/>
    <n v="0"/>
    <n v="0"/>
    <n v="0"/>
    <n v="0"/>
    <n v="15"/>
    <n v="5"/>
    <n v="4991037.9014568068"/>
    <n v="0"/>
    <n v="0"/>
    <n v="0"/>
    <n v="0"/>
    <n v="0"/>
    <n v="0"/>
    <n v="25"/>
    <n v="4"/>
    <n v="9935239.7708909102"/>
    <n v="18826277.672347717"/>
    <n v="18277.93948771623"/>
  </r>
  <r>
    <s v="4.3.3.1"/>
    <x v="2"/>
    <x v="2"/>
    <x v="0"/>
    <x v="9"/>
    <n v="1"/>
    <x v="47"/>
    <x v="47"/>
    <s v="Undertake additional data collection to fill in the gaps"/>
    <s v="Report writing"/>
    <s v="Fuel for Travelling Participants"/>
    <n v="211.42857142857142"/>
    <n v="2430"/>
    <n v="1"/>
    <n v="513771.42857142852"/>
    <m/>
    <m/>
    <n v="0"/>
    <m/>
    <m/>
    <n v="0"/>
    <m/>
    <m/>
    <n v="0"/>
    <m/>
    <m/>
    <n v="0"/>
    <m/>
    <m/>
    <n v="0"/>
    <m/>
    <m/>
    <n v="0"/>
    <n v="2430"/>
    <n v="1"/>
    <n v="1308831.3667411015"/>
    <n v="1822602.7953125299"/>
    <n v="1769.5172770024562"/>
  </r>
  <r>
    <s v="4.3.3.1"/>
    <x v="2"/>
    <x v="2"/>
    <x v="0"/>
    <x v="9"/>
    <n v="1"/>
    <x v="47"/>
    <x v="47"/>
    <s v="Undertake additional data collection to fill in the gaps"/>
    <s v="Report writing"/>
    <s v="Local running (diesel, per km)"/>
    <n v="211.42857142857142"/>
    <n v="450"/>
    <n v="1"/>
    <n v="95142.85714285713"/>
    <n v="0"/>
    <n v="0"/>
    <n v="0"/>
    <n v="0"/>
    <n v="0"/>
    <n v="0"/>
    <n v="0"/>
    <n v="0"/>
    <n v="0"/>
    <n v="4000"/>
    <n v="1"/>
    <n v="1443074.2064285369"/>
    <n v="0"/>
    <n v="0"/>
    <n v="0"/>
    <n v="0"/>
    <n v="0"/>
    <n v="0"/>
    <n v="450"/>
    <n v="1"/>
    <n v="242376.17902612989"/>
    <n v="1780593.2425975238"/>
    <n v="1728.7313034927415"/>
  </r>
  <r>
    <s v="4.3.3.1"/>
    <x v="2"/>
    <x v="2"/>
    <x v="0"/>
    <x v="9"/>
    <n v="1"/>
    <x v="47"/>
    <x v="47"/>
    <s v="Undertake additional data collection to fill in the gaps"/>
    <s v="Validation Workshop"/>
    <s v="Conference package high-level"/>
    <n v="35000"/>
    <n v="25"/>
    <n v="3"/>
    <n v="2625000"/>
    <m/>
    <m/>
    <n v="0"/>
    <m/>
    <m/>
    <n v="0"/>
    <m/>
    <m/>
    <n v="0"/>
    <m/>
    <m/>
    <n v="0"/>
    <m/>
    <m/>
    <n v="0"/>
    <m/>
    <m/>
    <n v="0"/>
    <n v="25"/>
    <n v="3"/>
    <n v="6687180.6150227292"/>
    <n v="9312180.6150227301"/>
    <n v="9040.9520534201256"/>
  </r>
  <r>
    <s v="4.3.3.1"/>
    <x v="2"/>
    <x v="2"/>
    <x v="0"/>
    <x v="9"/>
    <n v="1"/>
    <x v="47"/>
    <x v="47"/>
    <s v="Undertake additional data collection to fill in the gaps"/>
    <s v="Validation Workshop"/>
    <s v="DSA (excl. lunch)"/>
    <n v="39000"/>
    <n v="25"/>
    <n v="4"/>
    <n v="3900000"/>
    <m/>
    <m/>
    <n v="0"/>
    <m/>
    <m/>
    <n v="0"/>
    <m/>
    <m/>
    <n v="0"/>
    <m/>
    <m/>
    <n v="0"/>
    <m/>
    <m/>
    <n v="0"/>
    <m/>
    <m/>
    <n v="0"/>
    <n v="25"/>
    <n v="4"/>
    <n v="9935239.7708909102"/>
    <n v="13835239.77089091"/>
    <n v="13432.271622224185"/>
  </r>
  <r>
    <s v="4.3.3.1"/>
    <x v="2"/>
    <x v="2"/>
    <x v="0"/>
    <x v="9"/>
    <n v="1"/>
    <x v="47"/>
    <x v="47"/>
    <s v="Undertake additional data collection to fill in the gaps"/>
    <s v="Validation Workshop"/>
    <s v="Fuel for Travelling Participants"/>
    <n v="211.42857142857142"/>
    <n v="2430"/>
    <n v="1"/>
    <n v="513771.42857142852"/>
    <m/>
    <m/>
    <n v="0"/>
    <m/>
    <m/>
    <n v="0"/>
    <m/>
    <m/>
    <n v="0"/>
    <m/>
    <m/>
    <n v="0"/>
    <m/>
    <m/>
    <n v="0"/>
    <m/>
    <m/>
    <n v="0"/>
    <n v="2430"/>
    <n v="1"/>
    <n v="1308831.3667411015"/>
    <n v="1822602.7953125299"/>
    <n v="1769.5172770024562"/>
  </r>
  <r>
    <s v="4.3.3.1"/>
    <x v="2"/>
    <x v="2"/>
    <x v="0"/>
    <x v="9"/>
    <n v="1"/>
    <x v="47"/>
    <x v="47"/>
    <s v="Undertake additional data collection to fill in the gaps"/>
    <s v="Validation Workshop"/>
    <s v="Local running (diesel, per km)"/>
    <n v="211.42857142857142"/>
    <n v="450"/>
    <n v="1"/>
    <n v="95142.85714285713"/>
    <m/>
    <m/>
    <n v="0"/>
    <m/>
    <m/>
    <n v="0"/>
    <m/>
    <m/>
    <n v="0"/>
    <m/>
    <m/>
    <n v="0"/>
    <m/>
    <m/>
    <n v="0"/>
    <m/>
    <m/>
    <n v="0"/>
    <n v="450"/>
    <n v="1"/>
    <n v="242376.17902612989"/>
    <n v="337519.03616898705"/>
    <n v="327.6883846300845"/>
  </r>
  <r>
    <s v="4.3.3.1"/>
    <x v="2"/>
    <x v="2"/>
    <x v="0"/>
    <x v="9"/>
    <n v="1"/>
    <x v="47"/>
    <x v="47"/>
    <s v="Draft the EHP"/>
    <s v="Conduct a workshops to draft the new tiered EHP (5 days)"/>
    <s v="DSA (excl. lunch)"/>
    <n v="39000"/>
    <n v="25"/>
    <n v="6"/>
    <n v="5850000"/>
    <n v="0"/>
    <n v="0"/>
    <n v="0"/>
    <n v="0"/>
    <n v="0"/>
    <n v="0"/>
    <n v="0"/>
    <n v="0"/>
    <n v="0"/>
    <n v="30"/>
    <n v="5"/>
    <n v="9982075.8029136136"/>
    <n v="0"/>
    <n v="0"/>
    <n v="0"/>
    <n v="0"/>
    <n v="0"/>
    <n v="0"/>
    <n v="25"/>
    <n v="6"/>
    <n v="14902859.656336365"/>
    <n v="30734935.459249981"/>
    <n v="29839.743164320371"/>
  </r>
  <r>
    <s v="4.3.3.1"/>
    <x v="2"/>
    <x v="2"/>
    <x v="0"/>
    <x v="9"/>
    <n v="1"/>
    <x v="47"/>
    <x v="47"/>
    <s v="Draft the EHP"/>
    <s v="Conduct a workshops to draft the new tiered EHP (5 days)"/>
    <s v="Fuel for Travelling Participants"/>
    <n v="211.42857142857142"/>
    <n v="2430"/>
    <n v="1"/>
    <n v="513771.42857142852"/>
    <m/>
    <m/>
    <n v="0"/>
    <m/>
    <m/>
    <n v="0"/>
    <m/>
    <m/>
    <n v="0"/>
    <m/>
    <m/>
    <n v="0"/>
    <m/>
    <m/>
    <n v="0"/>
    <m/>
    <m/>
    <n v="0"/>
    <n v="2430"/>
    <n v="1"/>
    <n v="1308831.3667411015"/>
    <n v="1822602.7953125299"/>
    <n v="1769.5172770024562"/>
  </r>
  <r>
    <s v="4.3.3.1"/>
    <x v="2"/>
    <x v="2"/>
    <x v="0"/>
    <x v="9"/>
    <n v="1"/>
    <x v="47"/>
    <x v="47"/>
    <s v="Draft the EHP"/>
    <s v="Conduct a workshops to draft the new tiered EHP (5 days)"/>
    <s v="Local running (diesel, per km)"/>
    <n v="211.42857142857142"/>
    <n v="450"/>
    <n v="5"/>
    <n v="475714.28571428568"/>
    <n v="0"/>
    <n v="0"/>
    <n v="0"/>
    <n v="0"/>
    <n v="0"/>
    <n v="0"/>
    <n v="0"/>
    <n v="0"/>
    <n v="0"/>
    <n v="8000"/>
    <n v="1"/>
    <n v="2886148.4128570738"/>
    <n v="0"/>
    <n v="0"/>
    <n v="0"/>
    <n v="0"/>
    <n v="0"/>
    <n v="0"/>
    <n v="450"/>
    <n v="5"/>
    <n v="1211880.8951306494"/>
    <n v="4573743.5937020089"/>
    <n v="4440.5277608757369"/>
  </r>
  <r>
    <s v="4.3.3.1"/>
    <x v="2"/>
    <x v="2"/>
    <x v="0"/>
    <x v="9"/>
    <n v="1"/>
    <x v="47"/>
    <x v="47"/>
    <s v="Draft the EHP"/>
    <s v="Conduct a workshops to draft the new tiered EHP (5 days)"/>
    <s v="Conference package high-level"/>
    <n v="35000"/>
    <n v="25"/>
    <n v="5"/>
    <n v="4375000"/>
    <n v="0"/>
    <n v="0"/>
    <n v="0"/>
    <n v="0"/>
    <n v="0"/>
    <n v="0"/>
    <n v="0"/>
    <n v="0"/>
    <n v="0"/>
    <n v="30"/>
    <n v="5"/>
    <n v="8958273.1564609352"/>
    <n v="0"/>
    <n v="0"/>
    <n v="0"/>
    <n v="0"/>
    <n v="0"/>
    <n v="0"/>
    <n v="25"/>
    <n v="5"/>
    <n v="11145301.025037881"/>
    <n v="24478574.181498818"/>
    <n v="23765.606001455162"/>
  </r>
  <r>
    <s v="4.3.3.1"/>
    <x v="2"/>
    <x v="2"/>
    <x v="0"/>
    <x v="9"/>
    <n v="1"/>
    <x v="47"/>
    <x v="47"/>
    <s v="Draft the EHP"/>
    <s v="Conduct a workshops to finalise the draft on new tiered EHP (5 days)"/>
    <s v="DSA (excl. lunch)"/>
    <n v="39000"/>
    <n v="25"/>
    <n v="6"/>
    <n v="5850000"/>
    <n v="0"/>
    <n v="0"/>
    <n v="0"/>
    <n v="0"/>
    <n v="0"/>
    <n v="0"/>
    <n v="0"/>
    <n v="0"/>
    <n v="0"/>
    <n v="30"/>
    <n v="5"/>
    <n v="9982075.8029136136"/>
    <n v="0"/>
    <n v="0"/>
    <n v="0"/>
    <n v="0"/>
    <n v="0"/>
    <n v="0"/>
    <n v="25"/>
    <n v="6"/>
    <n v="14902859.656336365"/>
    <n v="30734935.459249981"/>
    <n v="29839.743164320371"/>
  </r>
  <r>
    <s v="4.3.3.1"/>
    <x v="2"/>
    <x v="2"/>
    <x v="0"/>
    <x v="9"/>
    <n v="1"/>
    <x v="47"/>
    <x v="47"/>
    <s v="Draft the EHP"/>
    <s v="Conduct a workshops to finalise the draft on new tiered EHP (5 days)"/>
    <s v="Local running (diesel, per km)"/>
    <n v="211.42857142857142"/>
    <n v="450"/>
    <n v="1"/>
    <n v="95142.85714285713"/>
    <n v="0"/>
    <n v="0"/>
    <n v="0"/>
    <n v="0"/>
    <n v="0"/>
    <n v="0"/>
    <n v="0"/>
    <n v="0"/>
    <n v="0"/>
    <n v="8000"/>
    <n v="1"/>
    <n v="2886148.4128570738"/>
    <n v="0"/>
    <n v="0"/>
    <n v="0"/>
    <n v="0"/>
    <n v="0"/>
    <n v="0"/>
    <n v="450"/>
    <n v="1"/>
    <n v="242376.17902612989"/>
    <n v="3223667.4490260612"/>
    <n v="3129.7742223553992"/>
  </r>
  <r>
    <s v="4.3.3.1"/>
    <x v="2"/>
    <x v="2"/>
    <x v="0"/>
    <x v="9"/>
    <n v="1"/>
    <x v="47"/>
    <x v="47"/>
    <s v="Draft the EHP"/>
    <s v="Conduct a workshops to finalise the draft on new tiered EHP (5 days)"/>
    <s v="Conference package high-level"/>
    <n v="35000"/>
    <n v="25"/>
    <n v="5"/>
    <n v="4375000"/>
    <n v="0"/>
    <n v="0"/>
    <n v="0"/>
    <n v="0"/>
    <n v="0"/>
    <n v="0"/>
    <n v="0"/>
    <n v="0"/>
    <n v="0"/>
    <n v="30"/>
    <n v="5"/>
    <n v="8958273.1564609352"/>
    <n v="0"/>
    <n v="0"/>
    <n v="0"/>
    <n v="0"/>
    <n v="0"/>
    <n v="0"/>
    <n v="25"/>
    <n v="5"/>
    <n v="11145301.025037881"/>
    <n v="24478574.181498818"/>
    <n v="23765.606001455162"/>
  </r>
  <r>
    <s v="4.3.3.1"/>
    <x v="2"/>
    <x v="2"/>
    <x v="0"/>
    <x v="9"/>
    <n v="1"/>
    <x v="47"/>
    <x v="47"/>
    <s v="Draft the EHP"/>
    <s v="Conduct a workshop to validate the new tiered EHP (5 days)"/>
    <s v="DSA (excl. lunch)"/>
    <n v="39000"/>
    <n v="25"/>
    <n v="6"/>
    <n v="5850000"/>
    <n v="0"/>
    <n v="0"/>
    <n v="0"/>
    <n v="0"/>
    <n v="0"/>
    <n v="0"/>
    <n v="0"/>
    <n v="0"/>
    <n v="0"/>
    <n v="20"/>
    <n v="5"/>
    <n v="6654717.2019424094"/>
    <n v="0"/>
    <n v="0"/>
    <n v="0"/>
    <n v="0"/>
    <n v="0"/>
    <n v="0"/>
    <n v="25"/>
    <n v="6"/>
    <n v="14902859.656336365"/>
    <n v="27407576.858278774"/>
    <n v="26609.297920659003"/>
  </r>
  <r>
    <s v="4.3.3.1"/>
    <x v="2"/>
    <x v="2"/>
    <x v="0"/>
    <x v="9"/>
    <n v="1"/>
    <x v="47"/>
    <x v="47"/>
    <s v="Draft the EHP"/>
    <s v="Conduct a workshop to validate the new tiered EHP (5 days)"/>
    <s v="Local running (diesel, per km)"/>
    <n v="211.42857142857142"/>
    <n v="450"/>
    <n v="5"/>
    <n v="475714.28571428568"/>
    <n v="0"/>
    <n v="0"/>
    <n v="0"/>
    <n v="0"/>
    <n v="0"/>
    <n v="0"/>
    <n v="0"/>
    <n v="0"/>
    <n v="0"/>
    <n v="8000"/>
    <n v="1"/>
    <n v="2886148.4128570738"/>
    <n v="0"/>
    <n v="0"/>
    <n v="0"/>
    <n v="0"/>
    <n v="0"/>
    <n v="0"/>
    <n v="450"/>
    <n v="5"/>
    <n v="1211880.8951306494"/>
    <n v="4573743.5937020089"/>
    <n v="4440.5277608757369"/>
  </r>
  <r>
    <s v="4.3.3.1"/>
    <x v="2"/>
    <x v="2"/>
    <x v="0"/>
    <x v="9"/>
    <n v="1"/>
    <x v="47"/>
    <x v="47"/>
    <s v="Draft the EHP"/>
    <s v="Conduct a workshop to validate the new tiered EHP (5 days)"/>
    <s v="Fuel for Travelling Participants"/>
    <n v="211.42857142857142"/>
    <n v="2430"/>
    <n v="1"/>
    <n v="513771.42857142852"/>
    <m/>
    <m/>
    <n v="0"/>
    <m/>
    <m/>
    <n v="0"/>
    <m/>
    <m/>
    <n v="0"/>
    <m/>
    <m/>
    <n v="0"/>
    <m/>
    <m/>
    <n v="0"/>
    <m/>
    <m/>
    <n v="0"/>
    <n v="2430"/>
    <n v="1"/>
    <n v="1308831.3667411015"/>
    <n v="1822602.7953125299"/>
    <n v="1769.5172770024562"/>
  </r>
  <r>
    <s v="4.3.3.1"/>
    <x v="2"/>
    <x v="2"/>
    <x v="0"/>
    <x v="9"/>
    <n v="1"/>
    <x v="47"/>
    <x v="47"/>
    <s v="Draft the EHP"/>
    <s v="Conduct a workshop to validate the new tiered EHP (5 days)"/>
    <s v="Conference package high-level"/>
    <n v="35000"/>
    <n v="25"/>
    <n v="5"/>
    <n v="4375000"/>
    <n v="0"/>
    <n v="0"/>
    <n v="0"/>
    <n v="0"/>
    <n v="0"/>
    <n v="0"/>
    <n v="0"/>
    <n v="0"/>
    <n v="0"/>
    <n v="40"/>
    <n v="1"/>
    <n v="2388872.8417229159"/>
    <n v="0"/>
    <n v="0"/>
    <n v="0"/>
    <n v="0"/>
    <n v="0"/>
    <n v="0"/>
    <n v="25"/>
    <n v="5"/>
    <n v="11145301.025037881"/>
    <n v="17909173.866760798"/>
    <n v="17387.547443457086"/>
  </r>
  <r>
    <s v="4.3.3.1"/>
    <x v="2"/>
    <x v="2"/>
    <x v="0"/>
    <x v="9"/>
    <n v="1"/>
    <x v="47"/>
    <x v="47"/>
    <s v="Draft the EHP"/>
    <s v="Present to the service delivery/EHP TWG for endorsement "/>
    <s v="Conference package high-level"/>
    <n v="35000"/>
    <n v="30"/>
    <n v="1"/>
    <n v="1050000"/>
    <n v="0"/>
    <n v="0"/>
    <n v="0"/>
    <n v="0"/>
    <n v="0"/>
    <n v="0"/>
    <n v="0"/>
    <n v="0"/>
    <n v="0"/>
    <n v="30"/>
    <n v="1"/>
    <n v="1791654.6312921871"/>
    <n v="0"/>
    <n v="0"/>
    <n v="0"/>
    <n v="0"/>
    <n v="0"/>
    <n v="0"/>
    <n v="30"/>
    <n v="1"/>
    <n v="2674872.2460090914"/>
    <n v="5516526.8773012785"/>
    <n v="5355.8513371857071"/>
  </r>
  <r>
    <s v="4.3.3.1"/>
    <x v="2"/>
    <x v="2"/>
    <x v="0"/>
    <x v="9"/>
    <n v="1"/>
    <x v="47"/>
    <x v="47"/>
    <s v="Draft the EHP"/>
    <s v="Present to senior management for approval"/>
    <s v="Conference package high-level"/>
    <n v="35000"/>
    <n v="30"/>
    <n v="1"/>
    <n v="1050000"/>
    <n v="0"/>
    <n v="0"/>
    <n v="0"/>
    <n v="0"/>
    <n v="0"/>
    <n v="0"/>
    <n v="0"/>
    <n v="0"/>
    <n v="0"/>
    <n v="15"/>
    <n v="1"/>
    <n v="895827.31564609357"/>
    <n v="0"/>
    <n v="0"/>
    <n v="0"/>
    <n v="0"/>
    <n v="0"/>
    <n v="0"/>
    <n v="30"/>
    <n v="1"/>
    <n v="2674872.2460090914"/>
    <n v="4620699.5616551852"/>
    <n v="4486.1160792768787"/>
  </r>
  <r>
    <s v="4.3.3.1"/>
    <x v="2"/>
    <x v="2"/>
    <x v="0"/>
    <x v="9"/>
    <n v="1"/>
    <x v="47"/>
    <x v="47"/>
    <s v="Draft the EHP"/>
    <s v="Disseminate the EHP"/>
    <s v="A4, 500 pages, 140 gsm paper"/>
    <n v="8000"/>
    <n v="2"/>
    <n v="1"/>
    <n v="16000"/>
    <n v="0"/>
    <n v="0"/>
    <n v="0"/>
    <n v="0"/>
    <n v="0"/>
    <n v="0"/>
    <n v="0"/>
    <n v="0"/>
    <n v="0"/>
    <n v="50000"/>
    <n v="1"/>
    <n v="682535097.63511884"/>
    <n v="0"/>
    <n v="0"/>
    <n v="0"/>
    <n v="0"/>
    <n v="0"/>
    <n v="0"/>
    <n v="2"/>
    <n v="1"/>
    <n v="40759.958034424249"/>
    <n v="682591857.59315324"/>
    <n v="662710.54135257599"/>
  </r>
  <r>
    <s v="4.3.3.1"/>
    <x v="2"/>
    <x v="2"/>
    <x v="0"/>
    <x v="9"/>
    <n v="1"/>
    <x v="47"/>
    <x v="47"/>
    <s v="Draft the EHP"/>
    <s v="Disseminate the EHP"/>
    <s v="Toner"/>
    <n v="104850"/>
    <n v="1"/>
    <n v="1"/>
    <n v="104850"/>
    <n v="0"/>
    <n v="0"/>
    <n v="0"/>
    <n v="0"/>
    <n v="0"/>
    <n v="0"/>
    <n v="0"/>
    <n v="0"/>
    <n v="0"/>
    <n v="5"/>
    <n v="1"/>
    <n v="894547.56233802764"/>
    <n v="0"/>
    <n v="0"/>
    <n v="0"/>
    <n v="0"/>
    <n v="0"/>
    <n v="0"/>
    <n v="1"/>
    <n v="1"/>
    <n v="267105.09999433643"/>
    <n v="1266502.6623323641"/>
    <n v="1229.6142352741399"/>
  </r>
  <r>
    <s v="4.3.3.1"/>
    <x v="2"/>
    <x v="2"/>
    <x v="0"/>
    <x v="9"/>
    <n v="1"/>
    <x v="47"/>
    <x v="47"/>
    <s v="Draft the EHP"/>
    <s v="Develop a summary brief of the EHP"/>
    <s v="A4, 500 pages, 140 gsm paper"/>
    <n v="8000"/>
    <n v="10"/>
    <n v="1"/>
    <n v="80000"/>
    <n v="0"/>
    <n v="0"/>
    <n v="0"/>
    <n v="0"/>
    <n v="0"/>
    <n v="0"/>
    <n v="0"/>
    <n v="0"/>
    <n v="0"/>
    <n v="20000"/>
    <n v="1"/>
    <n v="273014039.05404752"/>
    <n v="0"/>
    <n v="0"/>
    <n v="0"/>
    <n v="0"/>
    <n v="0"/>
    <n v="0"/>
    <n v="10"/>
    <n v="1"/>
    <n v="203799.79017212125"/>
    <n v="273297838.84421962"/>
    <n v="265337.70761574723"/>
  </r>
  <r>
    <s v="4.3.3.1"/>
    <x v="2"/>
    <x v="2"/>
    <x v="0"/>
    <x v="9"/>
    <n v="1"/>
    <x v="47"/>
    <x v="47"/>
    <s v="Draft the EHP"/>
    <s v="Develop a summary brief of the EHP"/>
    <s v="Toner"/>
    <n v="104850"/>
    <n v="1"/>
    <n v="1"/>
    <n v="104850"/>
    <n v="0"/>
    <n v="0"/>
    <n v="0"/>
    <n v="0"/>
    <n v="0"/>
    <n v="0"/>
    <n v="0"/>
    <n v="0"/>
    <n v="0"/>
    <n v="2"/>
    <n v="1"/>
    <n v="357819.02493521105"/>
    <n v="0"/>
    <n v="0"/>
    <n v="0"/>
    <n v="0"/>
    <n v="0"/>
    <n v="0"/>
    <n v="1"/>
    <n v="1"/>
    <n v="267105.09999433643"/>
    <n v="729774.12492954754"/>
    <n v="708.51856789276462"/>
  </r>
  <r>
    <s v="4.3.3.1"/>
    <x v="2"/>
    <x v="2"/>
    <x v="0"/>
    <x v="9"/>
    <n v="1"/>
    <x v="47"/>
    <x v="47"/>
    <s v="Draft the EHP"/>
    <s v="Dissemination across mass media "/>
    <s v="Air radio adverts: 1 min on Community Radio"/>
    <n v="10682.15"/>
    <n v="1"/>
    <n v="30"/>
    <n v="320464.5"/>
    <n v="0"/>
    <n v="0"/>
    <n v="0"/>
    <n v="0"/>
    <n v="0"/>
    <n v="0"/>
    <n v="0"/>
    <n v="0"/>
    <n v="0"/>
    <n v="1"/>
    <n v="90"/>
    <n v="1640462.0159706715"/>
    <n v="0"/>
    <n v="0"/>
    <n v="0"/>
    <n v="0"/>
    <n v="0"/>
    <n v="0"/>
    <n v="1"/>
    <n v="30"/>
    <n v="816382.47322017187"/>
    <n v="2777308.9891908434"/>
    <n v="2696.4164943600422"/>
  </r>
  <r>
    <s v="4.3.3.1"/>
    <x v="2"/>
    <x v="2"/>
    <x v="0"/>
    <x v="9"/>
    <n v="1"/>
    <x v="47"/>
    <x v="47"/>
    <s v="Draft the EHP"/>
    <s v="Dissemination across mass media "/>
    <s v="Air radio adverts: 1 min on National Radio"/>
    <n v="15765.38"/>
    <n v="1"/>
    <n v="30"/>
    <n v="472961.39999999997"/>
    <n v="0"/>
    <n v="0"/>
    <n v="0"/>
    <n v="0"/>
    <n v="0"/>
    <n v="0"/>
    <n v="0"/>
    <n v="0"/>
    <n v="0"/>
    <n v="1"/>
    <n v="90"/>
    <n v="2421095.6649498185"/>
    <n v="0"/>
    <n v="0"/>
    <n v="0"/>
    <n v="0"/>
    <n v="0"/>
    <n v="0"/>
    <n v="1"/>
    <n v="30"/>
    <n v="1204867.9259939089"/>
    <n v="4098924.9909437271"/>
    <n v="3979.5388261589583"/>
  </r>
  <r>
    <s v="4.3.3.1"/>
    <x v="2"/>
    <x v="2"/>
    <x v="0"/>
    <x v="9"/>
    <n v="1"/>
    <x v="47"/>
    <x v="47"/>
    <s v="Draft the EHP"/>
    <s v="Dissemination across mass media "/>
    <s v="TV: 1min on air"/>
    <n v="70133.84"/>
    <n v="1"/>
    <n v="30"/>
    <n v="2104015.1999999997"/>
    <n v="0"/>
    <n v="0"/>
    <n v="0"/>
    <n v="0"/>
    <n v="0"/>
    <n v="0"/>
    <n v="0"/>
    <n v="0"/>
    <n v="0"/>
    <n v="1"/>
    <n v="90"/>
    <n v="10770481.649683304"/>
    <n v="0"/>
    <n v="0"/>
    <n v="0"/>
    <n v="0"/>
    <n v="0"/>
    <n v="0"/>
    <n v="1"/>
    <n v="30"/>
    <n v="5359973.2034869222"/>
    <n v="18234470.053170227"/>
    <n v="17703.368983660414"/>
  </r>
  <r>
    <s v="4.3.3.1"/>
    <x v="2"/>
    <x v="2"/>
    <x v="0"/>
    <x v="9"/>
    <n v="1"/>
    <x v="47"/>
    <x v="47"/>
    <s v="Draft the EHP"/>
    <s v="Disseminate to district based stakeholders at zonal level"/>
    <s v="DSA (excl. lunch)"/>
    <n v="39000"/>
    <n v="58"/>
    <n v="2"/>
    <n v="4524000"/>
    <n v="0"/>
    <n v="0"/>
    <n v="0"/>
    <n v="0"/>
    <n v="0"/>
    <n v="0"/>
    <n v="0"/>
    <n v="0"/>
    <n v="0"/>
    <n v="40"/>
    <n v="10"/>
    <n v="26618868.807769638"/>
    <n v="0"/>
    <n v="0"/>
    <n v="0"/>
    <n v="0"/>
    <n v="0"/>
    <n v="0"/>
    <n v="58"/>
    <n v="2"/>
    <n v="11524878.134233456"/>
    <n v="42667746.942003094"/>
    <n v="41424.997031070961"/>
  </r>
  <r>
    <s v="4.3.3.1"/>
    <x v="2"/>
    <x v="2"/>
    <x v="0"/>
    <x v="9"/>
    <n v="1"/>
    <x v="47"/>
    <x v="47"/>
    <s v="Draft the EHP"/>
    <s v="Disseminate to district based stakeholders at zonal level"/>
    <s v="Fuel for Travelling Participants"/>
    <n v="211.42857142857142"/>
    <n v="7830"/>
    <n v="1"/>
    <n v="1655485.7142857141"/>
    <m/>
    <m/>
    <n v="0"/>
    <m/>
    <m/>
    <n v="0"/>
    <m/>
    <m/>
    <n v="0"/>
    <m/>
    <m/>
    <n v="0"/>
    <m/>
    <m/>
    <n v="0"/>
    <m/>
    <m/>
    <n v="0"/>
    <n v="7830"/>
    <n v="1"/>
    <n v="4217345.5150546599"/>
    <n v="5872831.2293403745"/>
    <n v="5701.7778925634702"/>
  </r>
  <r>
    <s v="4.3.3.1"/>
    <x v="2"/>
    <x v="2"/>
    <x v="0"/>
    <x v="9"/>
    <n v="1"/>
    <x v="47"/>
    <x v="47"/>
    <s v="Draft the EHP"/>
    <s v="Disseminate to district based stakeholders at zonal level"/>
    <s v="Local running (diesel, per km)"/>
    <n v="211.42857142857142"/>
    <n v="1450"/>
    <n v="1"/>
    <n v="306571.42857142858"/>
    <n v="0"/>
    <n v="0"/>
    <n v="0"/>
    <n v="0"/>
    <n v="0"/>
    <n v="0"/>
    <n v="0"/>
    <n v="0"/>
    <n v="0"/>
    <n v="20000"/>
    <n v="1"/>
    <n v="7215371.0321426839"/>
    <n v="0"/>
    <n v="0"/>
    <n v="0"/>
    <n v="0"/>
    <n v="0"/>
    <n v="0"/>
    <n v="1450"/>
    <n v="1"/>
    <n v="780989.91019530746"/>
    <n v="8302932.3709094198"/>
    <n v="8061.0993892324468"/>
  </r>
  <r>
    <s v="4.3.3.1"/>
    <x v="2"/>
    <x v="2"/>
    <x v="0"/>
    <x v="9"/>
    <n v="1"/>
    <x v="47"/>
    <x v="47"/>
    <s v="Draft the EHP"/>
    <s v="Disseminate to district based stakeholders at zonal level"/>
    <s v="Conference package high-level"/>
    <n v="35000"/>
    <n v="100"/>
    <n v="1"/>
    <n v="3500000"/>
    <n v="0"/>
    <n v="0"/>
    <n v="0"/>
    <n v="0"/>
    <n v="0"/>
    <n v="0"/>
    <n v="0"/>
    <n v="0"/>
    <n v="0"/>
    <n v="40"/>
    <n v="10"/>
    <n v="23888728.417229161"/>
    <n v="0"/>
    <n v="0"/>
    <n v="0"/>
    <n v="0"/>
    <n v="0"/>
    <n v="0"/>
    <n v="100"/>
    <n v="1"/>
    <n v="8916240.8200303055"/>
    <n v="36304969.237259462"/>
    <n v="35247.542948795592"/>
  </r>
  <r>
    <s v="4.3.3.1"/>
    <x v="2"/>
    <x v="2"/>
    <x v="0"/>
    <x v="9"/>
    <n v="1"/>
    <x v="47"/>
    <x v="47"/>
    <s v="Draft the EHP"/>
    <s v="Capacity building / Orientation of the users."/>
    <s v="Conference package high-level"/>
    <n v="35000"/>
    <m/>
    <m/>
    <n v="0"/>
    <n v="25"/>
    <n v="5"/>
    <n v="5000279.7993749995"/>
    <n v="0"/>
    <n v="0"/>
    <n v="0"/>
    <n v="25"/>
    <n v="5"/>
    <n v="6531708.6629857821"/>
    <m/>
    <m/>
    <n v="0"/>
    <n v="25"/>
    <n v="5"/>
    <n v="8532166.152673319"/>
    <n v="0"/>
    <n v="0"/>
    <n v="0"/>
    <n v="25"/>
    <n v="5"/>
    <n v="11145301.025037881"/>
    <n v="31209455.640071981"/>
    <n v="30300.442369001921"/>
  </r>
  <r>
    <s v="4.3.3.1"/>
    <x v="2"/>
    <x v="2"/>
    <x v="0"/>
    <x v="9"/>
    <n v="1"/>
    <x v="47"/>
    <x v="47"/>
    <s v="Disseminate the EHP"/>
    <s v="Print commucation materials(Booklets and leaflets) on EHP."/>
    <s v="Printing costs"/>
    <n v="100000000"/>
    <n v="1"/>
    <n v="1"/>
    <n v="100000000"/>
    <n v="0"/>
    <n v="0"/>
    <n v="0"/>
    <n v="0"/>
    <n v="0"/>
    <n v="0"/>
    <n v="0"/>
    <n v="0"/>
    <n v="0"/>
    <n v="1"/>
    <n v="1"/>
    <n v="170633774.40877971"/>
    <n v="0"/>
    <n v="0"/>
    <n v="0"/>
    <n v="0"/>
    <n v="0"/>
    <n v="0"/>
    <n v="0"/>
    <n v="0"/>
    <n v="0"/>
    <n v="270633774.40877974"/>
    <n v="262751.23729007744"/>
  </r>
  <r>
    <s v="4.3.3.1"/>
    <x v="2"/>
    <x v="2"/>
    <x v="0"/>
    <x v="9"/>
    <n v="1"/>
    <x v="47"/>
    <x v="47"/>
    <s v="Disseminate the EHP"/>
    <s v="Print commucation materials(Booklets and leaflets) on EHP."/>
    <s v="Conference package high-level"/>
    <n v="35000"/>
    <n v="9000"/>
    <n v="1"/>
    <n v="315000000"/>
    <m/>
    <m/>
    <n v="0"/>
    <m/>
    <m/>
    <n v="0"/>
    <m/>
    <m/>
    <n v="0"/>
    <m/>
    <m/>
    <n v="0"/>
    <m/>
    <m/>
    <n v="0"/>
    <m/>
    <m/>
    <n v="0"/>
    <m/>
    <m/>
    <n v="0"/>
    <n v="315000000"/>
    <n v="305825.24271844659"/>
  </r>
  <r>
    <s v="4.3.3.1"/>
    <x v="2"/>
    <x v="2"/>
    <x v="0"/>
    <x v="9"/>
    <n v="1"/>
    <x v="47"/>
    <x v="47"/>
    <s v="Disseminate the EHP"/>
    <s v="Training of service providers and Health Centre management committee on the new EHP;"/>
    <s v="Full DSA"/>
    <n v="45000"/>
    <n v="9000"/>
    <n v="2"/>
    <n v="810000000"/>
    <m/>
    <m/>
    <n v="0"/>
    <m/>
    <m/>
    <n v="0"/>
    <m/>
    <m/>
    <n v="0"/>
    <m/>
    <m/>
    <n v="0"/>
    <m/>
    <m/>
    <n v="0"/>
    <m/>
    <m/>
    <n v="0"/>
    <m/>
    <m/>
    <n v="0"/>
    <n v="810000000"/>
    <n v="786407.7669902913"/>
  </r>
  <r>
    <s v="4.3.3.1"/>
    <x v="2"/>
    <x v="2"/>
    <x v="0"/>
    <x v="9"/>
    <n v="1"/>
    <x v="47"/>
    <x v="47"/>
    <s v="Disseminate the EHP"/>
    <s v="Training of communities on the new EHP;"/>
    <s v="Fuel for Travelling Participants"/>
    <n v="211.42857142857142"/>
    <n v="90000"/>
    <n v="1"/>
    <n v="19028571.428571429"/>
    <m/>
    <m/>
    <n v="0"/>
    <m/>
    <m/>
    <n v="0"/>
    <m/>
    <m/>
    <n v="0"/>
    <m/>
    <m/>
    <n v="0"/>
    <m/>
    <m/>
    <n v="0"/>
    <m/>
    <m/>
    <n v="0"/>
    <m/>
    <m/>
    <n v="0"/>
    <n v="19028571.428571429"/>
    <n v="18474.341192787797"/>
  </r>
  <r>
    <s v="4.3.3.1"/>
    <x v="2"/>
    <x v="2"/>
    <x v="0"/>
    <x v="9"/>
    <n v="1"/>
    <x v="47"/>
    <x v="47"/>
    <s v="Draft the EHP"/>
    <s v="Training of communities on the new EHP;"/>
    <s v="Local running (diesel, per km)"/>
    <n v="211.42857142857142"/>
    <n v="22500"/>
    <n v="1"/>
    <n v="4757142.8571428573"/>
    <n v="0"/>
    <n v="0"/>
    <n v="0"/>
    <n v="0"/>
    <n v="0"/>
    <n v="0"/>
    <n v="0"/>
    <n v="0"/>
    <n v="0"/>
    <n v="20000"/>
    <n v="1"/>
    <n v="7215371.0321426839"/>
    <n v="0"/>
    <n v="0"/>
    <n v="0"/>
    <n v="0"/>
    <n v="0"/>
    <n v="0"/>
    <n v="0"/>
    <n v="0"/>
    <n v="0"/>
    <n v="11972513.889285542"/>
    <n v="11623.799892510235"/>
  </r>
  <r>
    <s v="4.3.3.1"/>
    <x v="2"/>
    <x v="2"/>
    <x v="0"/>
    <x v="9"/>
    <n v="2"/>
    <x v="48"/>
    <x v="48"/>
    <s v="Define frameworks and tools for developing MSTG, EML, MHL and TML"/>
    <s v="Finalise concept paper on definition of MSTG, EML, MHL and TML and how it aligns to the EHP"/>
    <s v="zero cost"/>
    <n v="0"/>
    <n v="0"/>
    <n v="0"/>
    <n v="0"/>
    <n v="0"/>
    <n v="0"/>
    <n v="0"/>
    <n v="0"/>
    <n v="0"/>
    <n v="0"/>
    <n v="0"/>
    <n v="0"/>
    <n v="0"/>
    <n v="0"/>
    <n v="0"/>
    <n v="0"/>
    <n v="0"/>
    <n v="0"/>
    <n v="0"/>
    <n v="0"/>
    <n v="0"/>
    <n v="0"/>
    <n v="0"/>
    <n v="0"/>
    <n v="0"/>
    <n v="0"/>
    <n v="0"/>
  </r>
  <r>
    <s v="4.3.3.1"/>
    <x v="2"/>
    <x v="2"/>
    <x v="0"/>
    <x v="9"/>
    <n v="2"/>
    <x v="48"/>
    <x v="48"/>
    <s v="Define frameworks and tools for developing MSTG, EML, MHL and TML"/>
    <s v="Develop guidance and tools for coming up with EML, MHL and TML"/>
    <s v="zero cost"/>
    <n v="0"/>
    <n v="0"/>
    <n v="0"/>
    <n v="0"/>
    <n v="0"/>
    <n v="0"/>
    <n v="0"/>
    <n v="0"/>
    <n v="0"/>
    <n v="0"/>
    <n v="0"/>
    <n v="0"/>
    <n v="0"/>
    <n v="0"/>
    <n v="0"/>
    <n v="0"/>
    <n v="0"/>
    <n v="0"/>
    <n v="0"/>
    <n v="0"/>
    <n v="0"/>
    <n v="0"/>
    <n v="0"/>
    <n v="0"/>
    <n v="0"/>
    <n v="0"/>
    <n v="0"/>
  </r>
  <r>
    <s v="4.3.3.1"/>
    <x v="2"/>
    <x v="2"/>
    <x v="0"/>
    <x v="9"/>
    <n v="2"/>
    <x v="48"/>
    <x v="48"/>
    <s v="Recruitment of 3 consultants (1 doctor, 1 nurse and 1 pharmacist) to lead the process of revising the MSTG, EML, MHL and TML"/>
    <s v="set up a taskforce"/>
    <s v="Conference package high-level"/>
    <n v="35000"/>
    <m/>
    <m/>
    <n v="0"/>
    <n v="25"/>
    <n v="5"/>
    <n v="5000279.7993749995"/>
    <n v="0"/>
    <n v="0"/>
    <n v="0"/>
    <n v="0"/>
    <n v="0"/>
    <n v="0"/>
    <m/>
    <m/>
    <n v="0"/>
    <n v="0"/>
    <n v="0"/>
    <n v="0"/>
    <n v="0"/>
    <n v="0"/>
    <n v="0"/>
    <n v="25"/>
    <n v="5"/>
    <n v="11145301.025037881"/>
    <n v="16145580.82441288"/>
    <n v="15675.321188750369"/>
  </r>
  <r>
    <s v="4.3.3.1"/>
    <x v="2"/>
    <x v="2"/>
    <x v="0"/>
    <x v="9"/>
    <n v="2"/>
    <x v="48"/>
    <x v="48"/>
    <s v="Recruitment of 3 consultants (1 doctor, 1 nurse and 1 pharmacist) to lead the process of revising the MSTG, EML, MHL and TML"/>
    <s v="develop TORs for recruitment of consultants"/>
    <s v="zero cost"/>
    <n v="0"/>
    <n v="0"/>
    <n v="0"/>
    <n v="0"/>
    <n v="0"/>
    <n v="0"/>
    <n v="0"/>
    <n v="0"/>
    <n v="0"/>
    <n v="0"/>
    <n v="0"/>
    <n v="0"/>
    <n v="0"/>
    <n v="0"/>
    <n v="0"/>
    <n v="0"/>
    <n v="0"/>
    <n v="0"/>
    <n v="0"/>
    <n v="0"/>
    <n v="0"/>
    <n v="0"/>
    <n v="0"/>
    <n v="0"/>
    <n v="0"/>
    <n v="0"/>
    <n v="0"/>
  </r>
  <r>
    <s v="4.3.3.1"/>
    <x v="2"/>
    <x v="2"/>
    <x v="0"/>
    <x v="9"/>
    <n v="2"/>
    <x v="48"/>
    <x v="48"/>
    <s v="Recruitment of 3 consultants (1 doctor, 1 nurse and 1 pharmacist) to lead the process of revising the MSTG, EML, MHL and TML"/>
    <s v="Recruitment of consultants"/>
    <s v="Local consultant fee - High level"/>
    <n v="511000"/>
    <m/>
    <m/>
    <n v="0"/>
    <n v="1"/>
    <n v="25"/>
    <n v="14600817.014174998"/>
    <n v="0"/>
    <n v="0"/>
    <n v="0"/>
    <n v="0"/>
    <n v="0"/>
    <n v="0"/>
    <n v="3"/>
    <n v="40"/>
    <n v="104632630.46746372"/>
    <n v="0"/>
    <n v="0"/>
    <n v="0"/>
    <n v="0"/>
    <n v="0"/>
    <n v="0"/>
    <n v="1"/>
    <n v="25"/>
    <n v="32544278.993110616"/>
    <n v="151777726.47474933"/>
    <n v="147357.01599490226"/>
  </r>
  <r>
    <s v="4.3.3.1"/>
    <x v="2"/>
    <x v="2"/>
    <x v="0"/>
    <x v="9"/>
    <n v="2"/>
    <x v="48"/>
    <x v="48"/>
    <s v="Recruitment of 3 consultants (1 doctor, 1 nurse and 1 pharmacist) to lead the process of revising the MSTG, EML, MHL and TML"/>
    <s v="Recruitment of consultants"/>
    <s v="Newspaper advert (full)"/>
    <n v="391991.03749999998"/>
    <m/>
    <m/>
    <n v="0"/>
    <n v="2"/>
    <n v="2"/>
    <n v="1792059.3063746723"/>
    <n v="0"/>
    <n v="0"/>
    <n v="0"/>
    <n v="0"/>
    <n v="0"/>
    <n v="0"/>
    <n v="1"/>
    <n v="4"/>
    <n v="2675476.4105215403"/>
    <n v="0"/>
    <n v="0"/>
    <n v="0"/>
    <n v="0"/>
    <n v="0"/>
    <n v="0"/>
    <n v="2"/>
    <n v="2"/>
    <n v="3994384.5595926056"/>
    <n v="8461920.2764888182"/>
    <n v="8215.4565791153582"/>
  </r>
  <r>
    <s v="4.3.3.1"/>
    <x v="2"/>
    <x v="2"/>
    <x v="0"/>
    <x v="9"/>
    <n v="2"/>
    <x v="48"/>
    <x v="48"/>
    <s v="Define EML, MHL, TML and the Malawi standard treatment guidelines"/>
    <s v="Conduct a workshop to redefine MSTG, EML, MHL and TML (5 days)"/>
    <s v="DSA (excl. lunch)"/>
    <n v="39000"/>
    <m/>
    <m/>
    <n v="0"/>
    <n v="25"/>
    <n v="6"/>
    <n v="6686088.4174499996"/>
    <n v="0"/>
    <n v="0"/>
    <n v="0"/>
    <n v="0"/>
    <n v="0"/>
    <n v="0"/>
    <n v="40"/>
    <n v="5"/>
    <n v="13309434.403884819"/>
    <n v="0"/>
    <n v="0"/>
    <n v="0"/>
    <n v="0"/>
    <n v="0"/>
    <n v="0"/>
    <n v="25"/>
    <n v="6"/>
    <n v="14902859.656336365"/>
    <n v="34898382.477671184"/>
    <n v="33881.92473560309"/>
  </r>
  <r>
    <s v="4.3.3.1"/>
    <x v="2"/>
    <x v="2"/>
    <x v="0"/>
    <x v="9"/>
    <n v="2"/>
    <x v="48"/>
    <x v="48"/>
    <s v="Define EML, MHL, TML and the Malawi standard treatment guidelines"/>
    <s v="Conduct a workshop to redefine MSTG, EML, MHL and TML (5 days)"/>
    <s v="Conference package high-level"/>
    <n v="35000"/>
    <m/>
    <m/>
    <n v="0"/>
    <n v="25"/>
    <n v="5"/>
    <n v="5000279.7993749995"/>
    <n v="0"/>
    <n v="0"/>
    <n v="0"/>
    <n v="0"/>
    <n v="0"/>
    <n v="0"/>
    <n v="40"/>
    <n v="5"/>
    <n v="11944364.20861458"/>
    <n v="0"/>
    <n v="0"/>
    <n v="0"/>
    <n v="0"/>
    <n v="0"/>
    <n v="0"/>
    <n v="25"/>
    <n v="5"/>
    <n v="11145301.025037881"/>
    <n v="28089945.033027459"/>
    <n v="27271.791294201415"/>
  </r>
  <r>
    <s v="4.3.3.1"/>
    <x v="2"/>
    <x v="2"/>
    <x v="0"/>
    <x v="9"/>
    <n v="2"/>
    <x v="48"/>
    <x v="48"/>
    <s v="Define EML, MHL, TML and the Malawi standard treatment guidelines"/>
    <s v="Conduct a workshop to redefine MSTG, EML, MHL and TML (5 days)"/>
    <s v="Fuel for Travelling Participants"/>
    <n v="211.42857142857142"/>
    <m/>
    <m/>
    <n v="0"/>
    <n v="2430"/>
    <n v="1"/>
    <n v="587200.20475011424"/>
    <m/>
    <m/>
    <n v="0"/>
    <m/>
    <m/>
    <n v="0"/>
    <m/>
    <m/>
    <n v="0"/>
    <m/>
    <m/>
    <n v="0"/>
    <m/>
    <m/>
    <n v="0"/>
    <n v="2430"/>
    <n v="1"/>
    <n v="1308831.3667411015"/>
    <n v="1896031.5714912158"/>
    <n v="1840.8073509623455"/>
  </r>
  <r>
    <s v="4.3.3.1"/>
    <x v="2"/>
    <x v="2"/>
    <x v="0"/>
    <x v="9"/>
    <n v="2"/>
    <x v="48"/>
    <x v="48"/>
    <s v="Define EML, MHL, TML and the Malawi standard treatment guidelines"/>
    <s v="Conduct a workshop to redefine MSTG, EML, MHL and TML (5 days)"/>
    <s v="Local running (diesel, per km)"/>
    <n v="211.42857142857142"/>
    <m/>
    <m/>
    <n v="0"/>
    <n v="450"/>
    <n v="5"/>
    <n v="543703.89328714274"/>
    <n v="0"/>
    <n v="0"/>
    <n v="0"/>
    <n v="0"/>
    <n v="0"/>
    <n v="0"/>
    <n v="20000"/>
    <n v="1"/>
    <n v="7215371.0321426839"/>
    <n v="0"/>
    <n v="0"/>
    <n v="0"/>
    <n v="0"/>
    <n v="0"/>
    <n v="0"/>
    <n v="450"/>
    <n v="5"/>
    <n v="1211880.8951306494"/>
    <n v="8970955.8205604758"/>
    <n v="8709.6658452043448"/>
  </r>
  <r>
    <s v="4.3.3.1"/>
    <x v="2"/>
    <x v="2"/>
    <x v="0"/>
    <x v="9"/>
    <n v="2"/>
    <x v="48"/>
    <x v="48"/>
    <s v="Define EML, MHL, TML and the Malawi standard treatment guidelines"/>
    <s v="Conduct consultative meetings to redefine MSTG, EML, MHL and TML with health centres and community hospitals "/>
    <s v="DSA (excl. lunch)"/>
    <n v="39000"/>
    <m/>
    <m/>
    <n v="0"/>
    <n v="30"/>
    <n v="6"/>
    <n v="8023306.1009399984"/>
    <n v="0"/>
    <n v="0"/>
    <n v="0"/>
    <n v="0"/>
    <n v="0"/>
    <n v="0"/>
    <n v="40"/>
    <n v="3"/>
    <n v="7985660.6423308905"/>
    <n v="0"/>
    <n v="0"/>
    <n v="0"/>
    <n v="0"/>
    <n v="0"/>
    <n v="0"/>
    <n v="30"/>
    <n v="6"/>
    <n v="17883431.58760364"/>
    <n v="33892398.330874532"/>
    <n v="32905.241097936436"/>
  </r>
  <r>
    <s v="4.3.3.1"/>
    <x v="2"/>
    <x v="2"/>
    <x v="0"/>
    <x v="9"/>
    <n v="2"/>
    <x v="48"/>
    <x v="48"/>
    <s v="Define EML, MHL, TML and the Malawi standard treatment guidelines"/>
    <s v="Conduct consultative meetings to redefine MSTG, EML, MHL and TML with health centres and community hospitals "/>
    <s v="Conference package high-level"/>
    <n v="35000"/>
    <m/>
    <m/>
    <n v="0"/>
    <n v="30"/>
    <n v="5"/>
    <n v="6000335.7592499992"/>
    <n v="0"/>
    <n v="0"/>
    <n v="0"/>
    <n v="0"/>
    <n v="0"/>
    <n v="0"/>
    <n v="40"/>
    <n v="3"/>
    <n v="7166618.5251687476"/>
    <n v="0"/>
    <n v="0"/>
    <n v="0"/>
    <n v="0"/>
    <n v="0"/>
    <n v="0"/>
    <n v="30"/>
    <n v="5"/>
    <n v="13374361.230045456"/>
    <n v="26541315.514464203"/>
    <n v="25768.267489771071"/>
  </r>
  <r>
    <s v="4.3.3.1"/>
    <x v="2"/>
    <x v="2"/>
    <x v="0"/>
    <x v="9"/>
    <n v="2"/>
    <x v="48"/>
    <x v="48"/>
    <s v="Define EML, MHL, TML and the Malawi standard treatment guidelines"/>
    <s v="Conduct consultative meetings to redefine MSTG, EML, MHL and TML with health centres and community hospitals "/>
    <s v="Fuel for Travelling Participants"/>
    <n v="211.42857142857142"/>
    <m/>
    <m/>
    <n v="0"/>
    <n v="2700"/>
    <n v="1"/>
    <n v="652444.67194457131"/>
    <m/>
    <m/>
    <n v="0"/>
    <m/>
    <m/>
    <n v="0"/>
    <m/>
    <m/>
    <n v="0"/>
    <m/>
    <m/>
    <n v="0"/>
    <m/>
    <m/>
    <n v="0"/>
    <n v="2700"/>
    <n v="1"/>
    <n v="1454257.0741567793"/>
    <n v="2106701.7461013505"/>
    <n v="2045.3415010692725"/>
  </r>
  <r>
    <s v="4.3.3.1"/>
    <x v="2"/>
    <x v="2"/>
    <x v="0"/>
    <x v="9"/>
    <n v="2"/>
    <x v="48"/>
    <x v="48"/>
    <s v="Define EML, MHL, TML and the Malawi standard treatment guidelines"/>
    <s v="Conduct consultative meetings to redefine MSTG, EML, MHL and TML with health centres and community hospitals "/>
    <s v="Local running (diesel, per km)"/>
    <n v="211.42857142857142"/>
    <m/>
    <m/>
    <n v="0"/>
    <n v="500"/>
    <n v="5"/>
    <n v="604115.43698571413"/>
    <n v="0"/>
    <n v="0"/>
    <n v="0"/>
    <n v="0"/>
    <n v="0"/>
    <n v="0"/>
    <n v="20000"/>
    <n v="1"/>
    <n v="7215371.0321426839"/>
    <n v="0"/>
    <n v="0"/>
    <n v="0"/>
    <n v="0"/>
    <n v="0"/>
    <n v="0"/>
    <n v="500"/>
    <n v="5"/>
    <n v="1346534.327922944"/>
    <n v="9166020.7970513422"/>
    <n v="8899.0493175255742"/>
  </r>
  <r>
    <s v="4.3.3.1"/>
    <x v="2"/>
    <x v="2"/>
    <x v="0"/>
    <x v="9"/>
    <n v="2"/>
    <x v="48"/>
    <x v="48"/>
    <s v="Define EML, MHL, TML and the Malawi standard treatment guidelines"/>
    <s v="Refine MSTG, EML, MHL and TML based on the results (2-day workshop)"/>
    <s v="DSA (excl. lunch)"/>
    <n v="39000"/>
    <m/>
    <m/>
    <n v="0"/>
    <n v="25"/>
    <n v="3"/>
    <n v="3343044.2087249998"/>
    <n v="0"/>
    <n v="0"/>
    <n v="0"/>
    <n v="0"/>
    <n v="0"/>
    <n v="0"/>
    <n v="40"/>
    <n v="2"/>
    <n v="5323773.7615539273"/>
    <n v="0"/>
    <n v="0"/>
    <n v="0"/>
    <n v="0"/>
    <n v="0"/>
    <n v="0"/>
    <n v="25"/>
    <n v="3"/>
    <n v="7451429.8281681826"/>
    <n v="16118247.79844711"/>
    <n v="15648.784270337001"/>
  </r>
  <r>
    <s v="4.3.3.1"/>
    <x v="2"/>
    <x v="2"/>
    <x v="0"/>
    <x v="9"/>
    <n v="2"/>
    <x v="48"/>
    <x v="48"/>
    <s v="Define EML, MHL, TML and the Malawi standard treatment guidelines"/>
    <s v="Refine MSTG, EML, MHL and TML based on the results (5-day workshop)"/>
    <s v="Conference package high-level"/>
    <n v="35000"/>
    <m/>
    <m/>
    <n v="0"/>
    <n v="25"/>
    <n v="2"/>
    <n v="2000111.9197499997"/>
    <n v="0"/>
    <n v="0"/>
    <n v="0"/>
    <n v="0"/>
    <n v="0"/>
    <n v="0"/>
    <n v="40"/>
    <n v="2"/>
    <n v="4777745.6834458318"/>
    <n v="0"/>
    <n v="0"/>
    <n v="0"/>
    <n v="0"/>
    <n v="0"/>
    <n v="0"/>
    <n v="25"/>
    <n v="2"/>
    <n v="4458120.4100151528"/>
    <n v="11235978.013210984"/>
    <n v="10908.716517680567"/>
  </r>
  <r>
    <s v="4.3.3.1"/>
    <x v="2"/>
    <x v="2"/>
    <x v="0"/>
    <x v="9"/>
    <n v="2"/>
    <x v="48"/>
    <x v="48"/>
    <s v="Define EML, MHL, TML and the Malawi standard treatment guidelines"/>
    <s v="Refine MSTG, EML, MHL and TML based on the results (5-day workshop)"/>
    <s v="Local running (diesel, per km)"/>
    <n v="211.42857142857142"/>
    <m/>
    <m/>
    <n v="0"/>
    <n v="450"/>
    <n v="1"/>
    <n v="108740.77865742856"/>
    <n v="0"/>
    <n v="0"/>
    <n v="0"/>
    <n v="0"/>
    <n v="0"/>
    <n v="0"/>
    <n v="20000"/>
    <n v="1"/>
    <n v="7215371.0321426839"/>
    <n v="0"/>
    <n v="0"/>
    <n v="0"/>
    <n v="0"/>
    <n v="0"/>
    <n v="0"/>
    <n v="450"/>
    <n v="1"/>
    <n v="242376.17902612989"/>
    <n v="7566487.9898262424"/>
    <n v="7346.1048444914977"/>
  </r>
  <r>
    <s v="4.3.3.1"/>
    <x v="2"/>
    <x v="2"/>
    <x v="0"/>
    <x v="9"/>
    <n v="2"/>
    <x v="48"/>
    <x v="48"/>
    <s v="Define EML, MHL, TML and the Malawi standard treatment guidelines"/>
    <s v="Refine MSTG, EML, MHL and TML based on the results (5-day workshop)"/>
    <s v="Fuel for Travelling Participants"/>
    <n v="211.42857142857142"/>
    <m/>
    <m/>
    <n v="0"/>
    <n v="2430"/>
    <n v="1"/>
    <n v="587200.20475011424"/>
    <m/>
    <m/>
    <n v="0"/>
    <m/>
    <m/>
    <n v="0"/>
    <m/>
    <m/>
    <n v="0"/>
    <m/>
    <m/>
    <n v="0"/>
    <m/>
    <m/>
    <n v="0"/>
    <n v="2430"/>
    <n v="1"/>
    <n v="1308831.3667411015"/>
    <n v="1896031.5714912158"/>
    <n v="1840.8073509623455"/>
  </r>
  <r>
    <s v="4.3.3.1"/>
    <x v="2"/>
    <x v="2"/>
    <x v="0"/>
    <x v="9"/>
    <n v="2"/>
    <x v="48"/>
    <x v="48"/>
    <s v="Undertake additional data collection to fill in the gaps"/>
    <s v="Identify the data gaps"/>
    <s v="zero cost"/>
    <n v="0"/>
    <m/>
    <m/>
    <n v="0"/>
    <n v="0"/>
    <n v="0"/>
    <n v="0"/>
    <n v="0"/>
    <n v="0"/>
    <n v="0"/>
    <n v="0"/>
    <n v="0"/>
    <n v="0"/>
    <n v="0"/>
    <n v="0"/>
    <n v="0"/>
    <n v="0"/>
    <n v="0"/>
    <n v="0"/>
    <n v="0"/>
    <n v="0"/>
    <n v="0"/>
    <n v="0"/>
    <n v="0"/>
    <n v="0"/>
    <n v="0"/>
    <n v="0"/>
  </r>
  <r>
    <s v="4.3.3.1"/>
    <x v="2"/>
    <x v="2"/>
    <x v="0"/>
    <x v="9"/>
    <n v="2"/>
    <x v="48"/>
    <x v="48"/>
    <s v="Undertake additional data collection to fill in the gaps"/>
    <s v="Develop a data collection tool"/>
    <s v="zero cost"/>
    <n v="0"/>
    <m/>
    <m/>
    <n v="0"/>
    <n v="0"/>
    <n v="0"/>
    <n v="0"/>
    <n v="0"/>
    <n v="0"/>
    <n v="0"/>
    <n v="0"/>
    <n v="0"/>
    <n v="0"/>
    <n v="0"/>
    <n v="0"/>
    <n v="0"/>
    <n v="0"/>
    <n v="0"/>
    <n v="0"/>
    <n v="0"/>
    <n v="0"/>
    <n v="0"/>
    <n v="0"/>
    <n v="0"/>
    <n v="0"/>
    <n v="0"/>
    <n v="0"/>
  </r>
  <r>
    <s v="4.3.3.1"/>
    <x v="2"/>
    <x v="2"/>
    <x v="0"/>
    <x v="9"/>
    <n v="2"/>
    <x v="48"/>
    <x v="48"/>
    <s v="Undertake additional data collection to fill in the gaps"/>
    <s v="Validate data collection tool"/>
    <s v="zero cost"/>
    <n v="0"/>
    <m/>
    <m/>
    <n v="0"/>
    <n v="0"/>
    <n v="0"/>
    <n v="0"/>
    <n v="0"/>
    <n v="0"/>
    <n v="0"/>
    <n v="0"/>
    <n v="0"/>
    <n v="0"/>
    <n v="0"/>
    <n v="0"/>
    <n v="0"/>
    <n v="0"/>
    <n v="0"/>
    <n v="0"/>
    <n v="0"/>
    <n v="0"/>
    <n v="0"/>
    <n v="0"/>
    <n v="0"/>
    <n v="0"/>
    <n v="0"/>
    <n v="0"/>
  </r>
  <r>
    <s v="4.3.3.1"/>
    <x v="2"/>
    <x v="2"/>
    <x v="0"/>
    <x v="9"/>
    <n v="2"/>
    <x v="48"/>
    <x v="48"/>
    <s v="Undertake additional data collection to fill in the gaps"/>
    <s v="Refine data collection tool"/>
    <s v="zero cost"/>
    <n v="0"/>
    <m/>
    <m/>
    <n v="0"/>
    <n v="0"/>
    <n v="0"/>
    <n v="0"/>
    <n v="0"/>
    <n v="0"/>
    <n v="0"/>
    <n v="0"/>
    <n v="0"/>
    <n v="0"/>
    <n v="0"/>
    <n v="0"/>
    <n v="0"/>
    <n v="0"/>
    <n v="0"/>
    <n v="0"/>
    <n v="0"/>
    <n v="0"/>
    <n v="0"/>
    <n v="0"/>
    <n v="0"/>
    <n v="0"/>
    <n v="0"/>
    <n v="0"/>
  </r>
  <r>
    <s v="4.3.3.1"/>
    <x v="2"/>
    <x v="2"/>
    <x v="0"/>
    <x v="9"/>
    <n v="2"/>
    <x v="48"/>
    <x v="48"/>
    <s v="Undertake additional data collection to fill in the gaps"/>
    <s v="Data collection (10 days)"/>
    <s v="Full DSA"/>
    <n v="45000"/>
    <m/>
    <m/>
    <n v="0"/>
    <n v="25"/>
    <n v="11"/>
    <n v="14143648.575374996"/>
    <n v="0"/>
    <n v="0"/>
    <n v="0"/>
    <n v="0"/>
    <n v="0"/>
    <n v="0"/>
    <n v="15"/>
    <n v="10"/>
    <n v="11517779.77259263"/>
    <n v="0"/>
    <n v="0"/>
    <n v="0"/>
    <n v="0"/>
    <n v="0"/>
    <n v="0"/>
    <n v="25"/>
    <n v="11"/>
    <n v="31525280.042250007"/>
    <n v="57186708.390217632"/>
    <n v="55521.076107007408"/>
  </r>
  <r>
    <s v="4.3.3.1"/>
    <x v="2"/>
    <x v="2"/>
    <x v="0"/>
    <x v="9"/>
    <n v="2"/>
    <x v="48"/>
    <x v="48"/>
    <s v="Undertake additional data collection to fill in the gaps"/>
    <s v="Data collection (10 days)"/>
    <s v="Local running (diesel, per km)"/>
    <n v="211.42857142857142"/>
    <m/>
    <m/>
    <n v="0"/>
    <n v="450"/>
    <n v="10"/>
    <n v="1087407.7865742855"/>
    <n v="0"/>
    <n v="0"/>
    <n v="0"/>
    <n v="0"/>
    <n v="0"/>
    <n v="0"/>
    <n v="20000"/>
    <n v="1"/>
    <n v="7215371.0321426839"/>
    <n v="0"/>
    <n v="0"/>
    <n v="0"/>
    <n v="0"/>
    <n v="0"/>
    <n v="0"/>
    <n v="450"/>
    <n v="10"/>
    <n v="2423761.7902612989"/>
    <n v="10726540.608978268"/>
    <n v="10414.117096095406"/>
  </r>
  <r>
    <s v="4.3.3.1"/>
    <x v="2"/>
    <x v="2"/>
    <x v="0"/>
    <x v="9"/>
    <n v="2"/>
    <x v="48"/>
    <x v="48"/>
    <s v="Undertake additional data collection to fill in the gaps"/>
    <s v="Data collection (10 days)"/>
    <s v="Fuel for Travelling Participants"/>
    <n v="211.42857142857142"/>
    <m/>
    <m/>
    <n v="0"/>
    <n v="2430"/>
    <n v="1"/>
    <n v="587200.20475011424"/>
    <m/>
    <m/>
    <n v="0"/>
    <m/>
    <m/>
    <n v="0"/>
    <m/>
    <m/>
    <n v="0"/>
    <m/>
    <m/>
    <n v="0"/>
    <m/>
    <m/>
    <n v="0"/>
    <n v="2430"/>
    <n v="1"/>
    <n v="1308831.3667411015"/>
    <n v="1896031.5714912158"/>
    <n v="1840.8073509623455"/>
  </r>
  <r>
    <s v="4.3.3.1"/>
    <x v="2"/>
    <x v="2"/>
    <x v="0"/>
    <x v="9"/>
    <n v="2"/>
    <x v="48"/>
    <x v="48"/>
    <s v="Undertake additional data collection to fill in the gaps"/>
    <s v="Data collection (10 days)"/>
    <s v="Airtime for Research Assistant"/>
    <n v="10000"/>
    <m/>
    <m/>
    <n v="0"/>
    <n v="15"/>
    <n v="1"/>
    <n v="171438.16454999999"/>
    <n v="0"/>
    <n v="0"/>
    <n v="0"/>
    <n v="0"/>
    <n v="0"/>
    <n v="0"/>
    <n v="15"/>
    <n v="1"/>
    <n v="255950.66161316959"/>
    <n v="0"/>
    <n v="0"/>
    <n v="0"/>
    <n v="0"/>
    <n v="0"/>
    <n v="0"/>
    <n v="15"/>
    <n v="1"/>
    <n v="382124.60657272732"/>
    <n v="809513.4327358969"/>
    <n v="785.93537158824938"/>
  </r>
  <r>
    <s v="4.3.3.1"/>
    <x v="2"/>
    <x v="2"/>
    <x v="0"/>
    <x v="9"/>
    <n v="2"/>
    <x v="48"/>
    <x v="48"/>
    <s v="Undertake additional data collection to fill in the gaps"/>
    <s v="Data collection (10 days)"/>
    <s v="Tablet"/>
    <n v="302000"/>
    <m/>
    <m/>
    <n v="0"/>
    <n v="15"/>
    <n v="1"/>
    <n v="5177432.5694099991"/>
    <n v="0"/>
    <n v="0"/>
    <n v="0"/>
    <n v="0"/>
    <n v="0"/>
    <n v="0"/>
    <n v="20"/>
    <n v="1"/>
    <n v="10306279.974290295"/>
    <n v="0"/>
    <n v="0"/>
    <n v="0"/>
    <n v="0"/>
    <n v="0"/>
    <n v="0"/>
    <n v="15"/>
    <n v="1"/>
    <n v="11540163.118496366"/>
    <n v="27023875.662196659"/>
    <n v="26236.772487569571"/>
  </r>
  <r>
    <s v="4.3.3.1"/>
    <x v="2"/>
    <x v="2"/>
    <x v="0"/>
    <x v="9"/>
    <n v="2"/>
    <x v="48"/>
    <x v="48"/>
    <s v="Undertake additional data collection to fill in the gaps"/>
    <s v="Data analysis"/>
    <s v="DSA (excl. lunch)"/>
    <n v="39000"/>
    <m/>
    <m/>
    <n v="0"/>
    <n v="25"/>
    <n v="6"/>
    <n v="6686088.4174499996"/>
    <n v="0"/>
    <n v="0"/>
    <n v="0"/>
    <n v="0"/>
    <n v="0"/>
    <n v="0"/>
    <n v="15"/>
    <n v="5"/>
    <n v="4991037.9014568068"/>
    <n v="0"/>
    <n v="0"/>
    <n v="0"/>
    <n v="0"/>
    <n v="0"/>
    <n v="0"/>
    <n v="25"/>
    <n v="6"/>
    <n v="14902859.656336365"/>
    <n v="26579985.975243174"/>
    <n v="25805.811626449682"/>
  </r>
  <r>
    <s v="4.3.3.1"/>
    <x v="2"/>
    <x v="2"/>
    <x v="0"/>
    <x v="9"/>
    <n v="2"/>
    <x v="48"/>
    <x v="48"/>
    <s v="Undertake additional data collection to fill in the gaps"/>
    <s v="Data analysis"/>
    <s v="Conference package high-level"/>
    <n v="35000"/>
    <m/>
    <m/>
    <n v="0"/>
    <n v="25"/>
    <n v="5"/>
    <n v="5000279.7993749995"/>
    <n v="0"/>
    <n v="0"/>
    <n v="0"/>
    <n v="0"/>
    <n v="0"/>
    <n v="0"/>
    <n v="15"/>
    <n v="5"/>
    <n v="4479136.5782304676"/>
    <n v="0"/>
    <n v="0"/>
    <n v="0"/>
    <n v="0"/>
    <n v="0"/>
    <n v="0"/>
    <n v="25"/>
    <n v="5"/>
    <n v="11145301.025037881"/>
    <n v="20624717.402643349"/>
    <n v="20023.997478294514"/>
  </r>
  <r>
    <s v="4.3.3.1"/>
    <x v="2"/>
    <x v="2"/>
    <x v="0"/>
    <x v="9"/>
    <n v="2"/>
    <x v="48"/>
    <x v="48"/>
    <s v="Undertake additional data collection to fill in the gaps"/>
    <s v="Data analysis"/>
    <s v="Local running (diesel, per km)"/>
    <n v="211.42857142857142"/>
    <m/>
    <m/>
    <n v="0"/>
    <n v="450"/>
    <n v="5"/>
    <n v="543703.89328714274"/>
    <n v="0"/>
    <n v="0"/>
    <n v="0"/>
    <n v="0"/>
    <n v="0"/>
    <n v="0"/>
    <n v="4000"/>
    <n v="1"/>
    <n v="1443074.2064285369"/>
    <n v="0"/>
    <n v="0"/>
    <n v="0"/>
    <n v="0"/>
    <n v="0"/>
    <n v="0"/>
    <n v="450"/>
    <n v="5"/>
    <n v="1211880.8951306494"/>
    <n v="3198658.9948463291"/>
    <n v="3105.4941697537174"/>
  </r>
  <r>
    <s v="4.3.3.1"/>
    <x v="2"/>
    <x v="2"/>
    <x v="0"/>
    <x v="9"/>
    <n v="2"/>
    <x v="48"/>
    <x v="48"/>
    <s v="Undertake additional data collection to fill in the gaps"/>
    <s v="Data analysis"/>
    <s v="Fuel for Travelling Participants"/>
    <n v="211.42857142857142"/>
    <m/>
    <m/>
    <n v="0"/>
    <n v="2430"/>
    <n v="1"/>
    <n v="587200.20475011424"/>
    <m/>
    <m/>
    <n v="0"/>
    <m/>
    <m/>
    <n v="0"/>
    <m/>
    <m/>
    <n v="0"/>
    <m/>
    <m/>
    <n v="0"/>
    <m/>
    <m/>
    <n v="0"/>
    <n v="2430"/>
    <n v="1"/>
    <n v="1308831.3667411015"/>
    <n v="1896031.5714912158"/>
    <n v="1840.8073509623455"/>
  </r>
  <r>
    <s v="4.3.3.1"/>
    <x v="2"/>
    <x v="2"/>
    <x v="0"/>
    <x v="9"/>
    <n v="2"/>
    <x v="48"/>
    <x v="48"/>
    <s v="Undertake additional data collection to fill in the gaps"/>
    <s v="Report writing"/>
    <s v="Conference package high-level"/>
    <n v="35000"/>
    <m/>
    <m/>
    <n v="0"/>
    <n v="25"/>
    <n v="3"/>
    <n v="3000167.8796249996"/>
    <n v="0"/>
    <n v="0"/>
    <n v="0"/>
    <n v="0"/>
    <n v="0"/>
    <n v="0"/>
    <n v="15"/>
    <n v="5"/>
    <n v="4479136.5782304676"/>
    <n v="0"/>
    <n v="0"/>
    <n v="0"/>
    <n v="0"/>
    <n v="0"/>
    <n v="0"/>
    <n v="25"/>
    <n v="3"/>
    <n v="6687180.6150227292"/>
    <n v="14166485.072878197"/>
    <n v="13753.869002794367"/>
  </r>
  <r>
    <s v="4.3.3.1"/>
    <x v="2"/>
    <x v="2"/>
    <x v="0"/>
    <x v="9"/>
    <n v="2"/>
    <x v="48"/>
    <x v="48"/>
    <s v="Undertake additional data collection to fill in the gaps"/>
    <s v="Report writing"/>
    <s v="DSA (excl. lunch)"/>
    <n v="39000"/>
    <m/>
    <m/>
    <n v="0"/>
    <n v="25"/>
    <n v="4"/>
    <n v="4457392.2782999994"/>
    <n v="0"/>
    <n v="0"/>
    <n v="0"/>
    <n v="0"/>
    <n v="0"/>
    <n v="0"/>
    <n v="15"/>
    <n v="5"/>
    <n v="4991037.9014568068"/>
    <n v="0"/>
    <n v="0"/>
    <n v="0"/>
    <n v="0"/>
    <n v="0"/>
    <n v="0"/>
    <n v="25"/>
    <n v="4"/>
    <n v="9935239.7708909102"/>
    <n v="19383669.950647715"/>
    <n v="18819.097039463803"/>
  </r>
  <r>
    <s v="4.3.3.1"/>
    <x v="2"/>
    <x v="2"/>
    <x v="0"/>
    <x v="9"/>
    <n v="2"/>
    <x v="48"/>
    <x v="48"/>
    <s v="Undertake additional data collection to fill in the gaps"/>
    <s v="Data analysis"/>
    <s v="Fuel for Travelling Participants"/>
    <n v="211.42857142857142"/>
    <m/>
    <m/>
    <n v="0"/>
    <n v="2430"/>
    <n v="1"/>
    <n v="587200.20475011424"/>
    <m/>
    <m/>
    <n v="0"/>
    <m/>
    <m/>
    <n v="0"/>
    <m/>
    <m/>
    <n v="0"/>
    <m/>
    <m/>
    <n v="0"/>
    <m/>
    <m/>
    <n v="0"/>
    <n v="2430"/>
    <n v="1"/>
    <n v="1308831.3667411015"/>
    <n v="1896031.5714912158"/>
    <n v="1840.8073509623455"/>
  </r>
  <r>
    <s v="4.3.3.1"/>
    <x v="2"/>
    <x v="2"/>
    <x v="0"/>
    <x v="9"/>
    <n v="2"/>
    <x v="48"/>
    <x v="48"/>
    <s v="Undertake additional data collection to fill in the gaps"/>
    <s v="Report writing"/>
    <s v="Local running (diesel, per km)"/>
    <n v="211.42857142857142"/>
    <m/>
    <m/>
    <n v="0"/>
    <n v="450"/>
    <n v="3"/>
    <n v="326222.33597228565"/>
    <n v="0"/>
    <n v="0"/>
    <n v="0"/>
    <n v="0"/>
    <n v="0"/>
    <n v="0"/>
    <n v="4000"/>
    <n v="1"/>
    <n v="1443074.2064285369"/>
    <n v="0"/>
    <n v="0"/>
    <n v="0"/>
    <n v="0"/>
    <n v="0"/>
    <n v="0"/>
    <n v="450"/>
    <n v="3"/>
    <n v="727128.53707838967"/>
    <n v="2496425.0794792119"/>
    <n v="2423.713669397293"/>
  </r>
  <r>
    <s v="4.3.3.1"/>
    <x v="2"/>
    <x v="2"/>
    <x v="0"/>
    <x v="9"/>
    <n v="2"/>
    <x v="48"/>
    <x v="48"/>
    <s v="Undertake additional data collection to fill in the gaps"/>
    <s v="Validation workshop"/>
    <s v="DSA (excl. lunch)"/>
    <n v="39000"/>
    <m/>
    <m/>
    <n v="0"/>
    <n v="58"/>
    <n v="2"/>
    <n v="5170575.0428279992"/>
    <n v="0"/>
    <n v="0"/>
    <n v="0"/>
    <n v="0"/>
    <n v="0"/>
    <n v="0"/>
    <n v="10"/>
    <n v="1"/>
    <n v="665471.72019424092"/>
    <n v="0"/>
    <n v="0"/>
    <n v="0"/>
    <n v="0"/>
    <n v="0"/>
    <n v="0"/>
    <n v="58"/>
    <n v="2"/>
    <n v="11524878.134233456"/>
    <n v="17360924.897255696"/>
    <n v="16855.266890539511"/>
  </r>
  <r>
    <s v="4.3.3.1"/>
    <x v="2"/>
    <x v="2"/>
    <x v="0"/>
    <x v="9"/>
    <n v="2"/>
    <x v="48"/>
    <x v="48"/>
    <s v="Undertake additional data collection to fill in the gaps"/>
    <s v="Validation workshop"/>
    <s v="Conference package high-level"/>
    <n v="35000"/>
    <m/>
    <m/>
    <n v="0"/>
    <n v="100"/>
    <n v="1"/>
    <n v="4000223.8394999993"/>
    <n v="0"/>
    <n v="0"/>
    <n v="0"/>
    <n v="0"/>
    <n v="0"/>
    <n v="0"/>
    <n v="30"/>
    <n v="1"/>
    <n v="1791654.6312921871"/>
    <n v="0"/>
    <n v="0"/>
    <n v="0"/>
    <n v="0"/>
    <n v="0"/>
    <n v="0"/>
    <n v="100"/>
    <n v="1"/>
    <n v="8916240.8200303055"/>
    <n v="14708119.290822491"/>
    <n v="14279.727466817953"/>
  </r>
  <r>
    <s v="4.3.3.1"/>
    <x v="2"/>
    <x v="2"/>
    <x v="0"/>
    <x v="9"/>
    <n v="2"/>
    <x v="48"/>
    <x v="48"/>
    <s v="Undertake additional data collection to fill in the gaps"/>
    <s v="Validation workshop"/>
    <s v="Fuel for Travelling Participants"/>
    <n v="211.42857142857142"/>
    <m/>
    <m/>
    <n v="0"/>
    <n v="7830"/>
    <n v="1"/>
    <n v="1892089.548639257"/>
    <m/>
    <m/>
    <n v="0"/>
    <m/>
    <m/>
    <n v="0"/>
    <m/>
    <m/>
    <n v="0"/>
    <m/>
    <m/>
    <n v="0"/>
    <m/>
    <m/>
    <n v="0"/>
    <n v="7830"/>
    <n v="1"/>
    <n v="4217345.5150546599"/>
    <n v="6109435.0636939164"/>
    <n v="5931.4903531008895"/>
  </r>
  <r>
    <s v="4.3.3.1"/>
    <x v="2"/>
    <x v="2"/>
    <x v="0"/>
    <x v="9"/>
    <n v="2"/>
    <x v="48"/>
    <x v="48"/>
    <s v="Undertake additional data collection to fill in the gaps"/>
    <s v="Validation workshop"/>
    <s v="Local running (diesel, per km)"/>
    <n v="211.42857142857142"/>
    <m/>
    <m/>
    <n v="0"/>
    <n v="1450"/>
    <n v="1"/>
    <n v="350386.95345171425"/>
    <n v="0"/>
    <n v="0"/>
    <n v="0"/>
    <n v="0"/>
    <n v="0"/>
    <n v="0"/>
    <n v="8000"/>
    <n v="1"/>
    <n v="2886148.4128570738"/>
    <n v="0"/>
    <n v="0"/>
    <n v="0"/>
    <n v="0"/>
    <n v="0"/>
    <n v="0"/>
    <n v="1450"/>
    <n v="1"/>
    <n v="780989.91019530746"/>
    <n v="4017525.2765040952"/>
    <n v="3900.509977188442"/>
  </r>
  <r>
    <s v="4.3.3.1"/>
    <x v="2"/>
    <x v="2"/>
    <x v="0"/>
    <x v="9"/>
    <n v="2"/>
    <x v="48"/>
    <x v="48"/>
    <s v="Undertake additional data collection to fill in the gaps"/>
    <s v="Present to the service delivery/EHP TWG for endorsement "/>
    <s v="Conference package high-level"/>
    <n v="35000"/>
    <m/>
    <m/>
    <n v="0"/>
    <n v="25"/>
    <n v="1"/>
    <n v="1000055.9598749998"/>
    <n v="0"/>
    <n v="0"/>
    <n v="0"/>
    <n v="0"/>
    <n v="0"/>
    <n v="0"/>
    <n v="30"/>
    <n v="1"/>
    <n v="1791654.6312921871"/>
    <n v="0"/>
    <n v="0"/>
    <n v="0"/>
    <n v="0"/>
    <n v="0"/>
    <n v="0"/>
    <n v="25"/>
    <n v="1"/>
    <n v="2229060.2050075764"/>
    <n v="5020770.7961747628"/>
    <n v="4874.5347535677311"/>
  </r>
  <r>
    <s v="4.3.3.1"/>
    <x v="2"/>
    <x v="2"/>
    <x v="0"/>
    <x v="9"/>
    <n v="2"/>
    <x v="48"/>
    <x v="48"/>
    <s v="Undertake additional data collection to fill in the gaps"/>
    <s v="Present to senior management for approval"/>
    <s v="zero cost"/>
    <n v="0"/>
    <m/>
    <m/>
    <n v="0"/>
    <n v="0"/>
    <n v="0"/>
    <n v="0"/>
    <n v="0"/>
    <n v="0"/>
    <n v="0"/>
    <n v="0"/>
    <n v="0"/>
    <n v="0"/>
    <n v="20"/>
    <n v="1"/>
    <n v="0"/>
    <n v="0"/>
    <n v="0"/>
    <n v="0"/>
    <n v="0"/>
    <n v="0"/>
    <n v="0"/>
    <n v="0"/>
    <n v="0"/>
    <n v="0"/>
    <n v="0"/>
    <n v="0"/>
  </r>
  <r>
    <s v="4.3.3.1"/>
    <x v="2"/>
    <x v="2"/>
    <x v="0"/>
    <x v="9"/>
    <n v="2"/>
    <x v="48"/>
    <x v="48"/>
    <s v="Undertake additional data collection to fill in the gaps"/>
    <s v="Disseminate the MSTG, EML, MHL and TML"/>
    <s v="A4, 500 pages, 140 gsm paper"/>
    <n v="8000"/>
    <m/>
    <m/>
    <n v="0"/>
    <n v="10"/>
    <n v="1"/>
    <n v="91433.687760000001"/>
    <n v="0"/>
    <n v="0"/>
    <n v="0"/>
    <n v="0"/>
    <n v="0"/>
    <n v="0"/>
    <n v="50000"/>
    <n v="1"/>
    <n v="682535097.63511884"/>
    <n v="0"/>
    <n v="0"/>
    <n v="0"/>
    <n v="0"/>
    <n v="0"/>
    <n v="0"/>
    <n v="10"/>
    <n v="1"/>
    <n v="203799.79017212125"/>
    <n v="682830331.11305094"/>
    <n v="662942.06904179708"/>
  </r>
  <r>
    <s v="4.3.3.1"/>
    <x v="2"/>
    <x v="2"/>
    <x v="0"/>
    <x v="9"/>
    <n v="2"/>
    <x v="48"/>
    <x v="48"/>
    <s v="Undertake additional data collection to fill in the gaps"/>
    <s v="Disseminate the MSTG, EML, MHL and TML"/>
    <s v="Toner"/>
    <n v="104850"/>
    <m/>
    <m/>
    <n v="0"/>
    <n v="1"/>
    <n v="1"/>
    <n v="119835.27702044998"/>
    <n v="0"/>
    <n v="0"/>
    <n v="0"/>
    <n v="0"/>
    <n v="0"/>
    <n v="0"/>
    <n v="5"/>
    <n v="1"/>
    <n v="894547.56233802764"/>
    <n v="0"/>
    <n v="0"/>
    <n v="0"/>
    <n v="0"/>
    <n v="0"/>
    <n v="0"/>
    <n v="1"/>
    <n v="1"/>
    <n v="267105.09999433643"/>
    <n v="1281487.9393528141"/>
    <n v="1244.1630479153534"/>
  </r>
  <r>
    <s v="4.3.3.1"/>
    <x v="2"/>
    <x v="2"/>
    <x v="0"/>
    <x v="9"/>
    <n v="2"/>
    <x v="48"/>
    <x v="48"/>
    <s v="Undertake additional data collection to fill in the gaps"/>
    <s v=" Disseminate to district based stakeholders at zonal level "/>
    <s v="DSA (excl. lunch)"/>
    <n v="39000"/>
    <m/>
    <m/>
    <n v="0"/>
    <n v="58"/>
    <n v="2"/>
    <n v="5170575.0428279992"/>
    <n v="0"/>
    <n v="0"/>
    <n v="0"/>
    <n v="0"/>
    <n v="0"/>
    <n v="0"/>
    <n v="300"/>
    <n v="10"/>
    <n v="199641516.05827227"/>
    <n v="0"/>
    <n v="0"/>
    <n v="0"/>
    <n v="0"/>
    <n v="0"/>
    <n v="0"/>
    <n v="58"/>
    <n v="2"/>
    <n v="11524878.134233456"/>
    <n v="216336969.23533371"/>
    <n v="210035.89246148904"/>
  </r>
  <r>
    <s v="4.3.3.1"/>
    <x v="2"/>
    <x v="2"/>
    <x v="0"/>
    <x v="9"/>
    <n v="2"/>
    <x v="48"/>
    <x v="48"/>
    <s v="Undertake additional data collection to fill in the gaps"/>
    <s v=" Disseminate to district based stakeholders at zonal level "/>
    <s v="Conference package high-level"/>
    <n v="35000"/>
    <m/>
    <m/>
    <n v="0"/>
    <n v="100"/>
    <n v="1"/>
    <n v="4000223.8394999993"/>
    <n v="0"/>
    <n v="0"/>
    <n v="0"/>
    <n v="0"/>
    <n v="0"/>
    <n v="0"/>
    <n v="300"/>
    <n v="10"/>
    <n v="179165463.1292187"/>
    <n v="0"/>
    <n v="0"/>
    <n v="0"/>
    <n v="0"/>
    <n v="0"/>
    <n v="0"/>
    <n v="100"/>
    <n v="1"/>
    <n v="8916240.8200303055"/>
    <n v="192081927.78874901"/>
    <n v="186487.30853276604"/>
  </r>
  <r>
    <s v="4.3.3.1"/>
    <x v="2"/>
    <x v="2"/>
    <x v="0"/>
    <x v="9"/>
    <n v="2"/>
    <x v="48"/>
    <x v="48"/>
    <s v="Undertake additional data collection to fill in the gaps"/>
    <s v=" Disseminate to district based stakeholders at zonal level "/>
    <s v="Fuel for Travelling Participants"/>
    <n v="211.42857142857142"/>
    <m/>
    <m/>
    <n v="0"/>
    <n v="7830"/>
    <n v="1"/>
    <n v="1892089.548639257"/>
    <m/>
    <m/>
    <n v="0"/>
    <m/>
    <m/>
    <n v="0"/>
    <m/>
    <m/>
    <n v="0"/>
    <m/>
    <m/>
    <n v="0"/>
    <m/>
    <m/>
    <n v="0"/>
    <n v="7830"/>
    <n v="1"/>
    <n v="4217345.5150546599"/>
    <n v="6109435.0636939164"/>
    <n v="5931.4903531008895"/>
  </r>
  <r>
    <s v="4.3.3.1"/>
    <x v="2"/>
    <x v="2"/>
    <x v="0"/>
    <x v="9"/>
    <n v="2"/>
    <x v="48"/>
    <x v="48"/>
    <s v="Undertake additional data collection to fill in the gaps"/>
    <s v=" Disseminate to district based stakeholders at zonal level "/>
    <s v="Local running (diesel, per km)"/>
    <n v="211.42857142857142"/>
    <m/>
    <m/>
    <n v="0"/>
    <n v="1450"/>
    <n v="1"/>
    <n v="350386.95345171425"/>
    <n v="0"/>
    <n v="0"/>
    <n v="0"/>
    <n v="0"/>
    <n v="0"/>
    <n v="0"/>
    <n v="60000"/>
    <n v="1"/>
    <n v="21646113.096428052"/>
    <n v="0"/>
    <n v="0"/>
    <n v="0"/>
    <n v="0"/>
    <n v="0"/>
    <n v="0"/>
    <n v="1450"/>
    <n v="1"/>
    <n v="780989.91019530746"/>
    <n v="22777489.960075073"/>
    <n v="22114.067922402985"/>
  </r>
  <r>
    <s v="4.3.3.1"/>
    <x v="2"/>
    <x v="2"/>
    <x v="0"/>
    <x v="9"/>
    <n v="2"/>
    <x v="48"/>
    <x v="48"/>
    <s v="Undertake additional data collection to fill in the gaps"/>
    <s v="Capacity building / Orientation of the users."/>
    <s v="Conference package high-level"/>
    <n v="35000"/>
    <m/>
    <m/>
    <n v="0"/>
    <n v="100"/>
    <n v="5"/>
    <n v="20001119.197499998"/>
    <n v="0"/>
    <n v="0"/>
    <n v="0"/>
    <n v="0"/>
    <n v="0"/>
    <n v="0"/>
    <n v="40"/>
    <n v="5"/>
    <n v="11944364.20861458"/>
    <n v="0"/>
    <n v="0"/>
    <n v="0"/>
    <n v="0"/>
    <n v="0"/>
    <n v="0"/>
    <n v="100"/>
    <n v="5"/>
    <n v="44581204.100151524"/>
    <n v="76526687.506266102"/>
    <n v="74297.754860452522"/>
  </r>
  <r>
    <s v="4.3.3.1"/>
    <x v="2"/>
    <x v="2"/>
    <x v="0"/>
    <x v="9"/>
    <n v="2"/>
    <x v="48"/>
    <x v="48"/>
    <s v="Undertake additional data collection to fill in the gaps"/>
    <s v="Capacity building / Orientation of the users."/>
    <s v="DSA (excl. lunch)"/>
    <n v="39000"/>
    <m/>
    <m/>
    <n v="0"/>
    <n v="58"/>
    <n v="6"/>
    <n v="15511725.128483998"/>
    <n v="0"/>
    <n v="0"/>
    <n v="0"/>
    <n v="0"/>
    <n v="0"/>
    <n v="0"/>
    <n v="40"/>
    <n v="5"/>
    <n v="13309434.403884819"/>
    <n v="0"/>
    <n v="0"/>
    <n v="0"/>
    <n v="0"/>
    <n v="0"/>
    <n v="0"/>
    <n v="58"/>
    <n v="6"/>
    <n v="34574634.402700365"/>
    <n v="63395793.935069181"/>
    <n v="61549.314500067165"/>
  </r>
  <r>
    <s v="4.3.3.1"/>
    <x v="2"/>
    <x v="2"/>
    <x v="0"/>
    <x v="9"/>
    <n v="2"/>
    <x v="48"/>
    <x v="48"/>
    <s v="Undertake additional data collection to fill in the gaps"/>
    <s v="Capacity building / Orientation of the users."/>
    <s v="Fuel for Travelling Participants"/>
    <n v="211.42857142857142"/>
    <m/>
    <m/>
    <n v="0"/>
    <n v="7830"/>
    <n v="1"/>
    <n v="1892089.548639257"/>
    <m/>
    <m/>
    <n v="0"/>
    <m/>
    <m/>
    <n v="0"/>
    <m/>
    <m/>
    <n v="0"/>
    <m/>
    <m/>
    <n v="0"/>
    <m/>
    <m/>
    <n v="0"/>
    <n v="7830"/>
    <n v="1"/>
    <n v="4217345.5150546599"/>
    <n v="6109435.0636939164"/>
    <n v="5931.4903531008895"/>
  </r>
  <r>
    <s v="4.3.3.1"/>
    <x v="2"/>
    <x v="2"/>
    <x v="0"/>
    <x v="9"/>
    <n v="2"/>
    <x v="48"/>
    <x v="48"/>
    <s v="Undertake additional data collection to fill in the gaps"/>
    <s v="Capacity building / Orientation of the users."/>
    <s v="Local running (diesel, per km)"/>
    <n v="211.42857142857142"/>
    <m/>
    <m/>
    <n v="0"/>
    <n v="1450"/>
    <n v="5"/>
    <n v="1751934.7672585712"/>
    <m/>
    <m/>
    <n v="0"/>
    <m/>
    <m/>
    <n v="0"/>
    <m/>
    <m/>
    <n v="0"/>
    <m/>
    <m/>
    <n v="0"/>
    <m/>
    <m/>
    <n v="0"/>
    <n v="1450"/>
    <n v="5"/>
    <n v="3904949.5509765372"/>
    <n v="5656884.3182351086"/>
    <n v="5492.1206973156395"/>
  </r>
  <r>
    <s v="4.3.3.1"/>
    <x v="2"/>
    <x v="2"/>
    <x v="0"/>
    <x v="9"/>
    <n v="3"/>
    <x v="49"/>
    <x v="49"/>
    <s v="Define frameworks and tools for developing MSTG, EML, MHL and TML"/>
    <s v="Finalise concept paper on definition of MSTG, EML, MHL and TML and how it aligns to the EHP"/>
    <s v="zero cost"/>
    <n v="0"/>
    <m/>
    <m/>
    <n v="0"/>
    <n v="0"/>
    <n v="0"/>
    <n v="0"/>
    <n v="0"/>
    <n v="0"/>
    <n v="0"/>
    <n v="0"/>
    <n v="0"/>
    <n v="0"/>
    <n v="0"/>
    <n v="0"/>
    <n v="0"/>
    <n v="0"/>
    <n v="0"/>
    <n v="0"/>
    <n v="0"/>
    <n v="0"/>
    <n v="0"/>
    <n v="0"/>
    <n v="0"/>
    <n v="0"/>
    <n v="0"/>
    <n v="0"/>
  </r>
  <r>
    <s v="4.3.3.1"/>
    <x v="2"/>
    <x v="2"/>
    <x v="0"/>
    <x v="9"/>
    <n v="3"/>
    <x v="49"/>
    <x v="49"/>
    <s v="Define frameworks and tools for developing MSTG, EML, MHL and TML"/>
    <s v="Develop guidance and tools for coming up with EML, MHL and TML"/>
    <s v="zero cost"/>
    <n v="0"/>
    <m/>
    <m/>
    <n v="0"/>
    <n v="0"/>
    <n v="0"/>
    <n v="0"/>
    <n v="0"/>
    <n v="0"/>
    <n v="0"/>
    <n v="0"/>
    <n v="0"/>
    <n v="0"/>
    <n v="0"/>
    <n v="0"/>
    <n v="0"/>
    <n v="0"/>
    <n v="0"/>
    <n v="0"/>
    <n v="0"/>
    <n v="0"/>
    <n v="0"/>
    <n v="0"/>
    <n v="0"/>
    <n v="0"/>
    <n v="0"/>
    <n v="0"/>
  </r>
  <r>
    <s v="4.3.3.1"/>
    <x v="2"/>
    <x v="2"/>
    <x v="0"/>
    <x v="9"/>
    <n v="3"/>
    <x v="49"/>
    <x v="49"/>
    <s v="Recruitment of 3 consultants (1 doctor, 1 nurse and 1 pharmacist) to lead the process of revising the MSTG, EML, MHL and TML"/>
    <s v="set up a taskforce"/>
    <s v="Conference package high-level"/>
    <n v="35000"/>
    <m/>
    <m/>
    <n v="0"/>
    <m/>
    <m/>
    <n v="0"/>
    <n v="0"/>
    <n v="0"/>
    <n v="0"/>
    <n v="0"/>
    <n v="0"/>
    <n v="0"/>
    <m/>
    <m/>
    <n v="0"/>
    <n v="0"/>
    <n v="0"/>
    <n v="0"/>
    <n v="0"/>
    <n v="0"/>
    <n v="0"/>
    <m/>
    <m/>
    <n v="0"/>
    <n v="0"/>
    <n v="0"/>
  </r>
  <r>
    <s v="4.3.3.1"/>
    <x v="2"/>
    <x v="2"/>
    <x v="0"/>
    <x v="9"/>
    <n v="3"/>
    <x v="49"/>
    <x v="49"/>
    <s v="Recruitment of 3 consultants (1 doctor, 1 nurse and 1 pharmacist) to lead the process of revising the MSTG, EML, MHL and TML"/>
    <s v="develop TORs for recruitment of consultants"/>
    <s v="zero cost"/>
    <n v="0"/>
    <m/>
    <m/>
    <n v="0"/>
    <n v="0"/>
    <n v="0"/>
    <n v="0"/>
    <n v="0"/>
    <n v="0"/>
    <n v="0"/>
    <n v="0"/>
    <n v="0"/>
    <n v="0"/>
    <n v="0"/>
    <n v="0"/>
    <n v="0"/>
    <n v="0"/>
    <n v="0"/>
    <n v="0"/>
    <n v="0"/>
    <n v="0"/>
    <n v="0"/>
    <n v="0"/>
    <n v="0"/>
    <n v="0"/>
    <n v="0"/>
    <n v="0"/>
  </r>
  <r>
    <s v="4.3.3.1"/>
    <x v="2"/>
    <x v="2"/>
    <x v="0"/>
    <x v="9"/>
    <n v="3"/>
    <x v="49"/>
    <x v="49"/>
    <s v="Recruitment of 3 consultants (1 doctor, 1 nurse and 1 pharmacist) to lead the process of revising the MSTG, EML, MHL and TML"/>
    <s v="Recruitment of consultants"/>
    <s v="Local consultant fee - High level"/>
    <n v="511000"/>
    <m/>
    <m/>
    <n v="0"/>
    <n v="1"/>
    <n v="25"/>
    <n v="14600817.014174998"/>
    <n v="0"/>
    <n v="0"/>
    <n v="0"/>
    <n v="0"/>
    <n v="0"/>
    <n v="0"/>
    <n v="3"/>
    <n v="40"/>
    <n v="104632630.46746372"/>
    <n v="0"/>
    <n v="0"/>
    <n v="0"/>
    <n v="0"/>
    <n v="0"/>
    <n v="0"/>
    <n v="1"/>
    <n v="25"/>
    <n v="32544278.993110616"/>
    <n v="151777726.47474933"/>
    <n v="147357.01599490226"/>
  </r>
  <r>
    <s v="4.3.3.1"/>
    <x v="2"/>
    <x v="2"/>
    <x v="0"/>
    <x v="9"/>
    <n v="3"/>
    <x v="49"/>
    <x v="49"/>
    <s v="Recruitment of 3 consultants (1 doctor, 1 nurse and 1 pharmacist) to lead the process of revising the MSTG, EML, MHL and TML"/>
    <s v="Recruitment of consultants"/>
    <s v="Newspaper advert (full)"/>
    <n v="391991.03749999998"/>
    <m/>
    <m/>
    <n v="0"/>
    <n v="2"/>
    <n v="2"/>
    <n v="1792059.3063746723"/>
    <n v="0"/>
    <n v="0"/>
    <n v="0"/>
    <n v="0"/>
    <n v="0"/>
    <n v="0"/>
    <n v="1"/>
    <n v="4"/>
    <n v="2675476.4105215403"/>
    <n v="0"/>
    <n v="0"/>
    <n v="0"/>
    <n v="0"/>
    <n v="0"/>
    <n v="0"/>
    <n v="2"/>
    <n v="2"/>
    <n v="3994384.5595926056"/>
    <n v="8461920.2764888182"/>
    <n v="8215.4565791153582"/>
  </r>
  <r>
    <s v="4.3.3.1"/>
    <x v="2"/>
    <x v="2"/>
    <x v="0"/>
    <x v="9"/>
    <n v="3"/>
    <x v="49"/>
    <x v="49"/>
    <s v="Define EML, MHL, TML and the Malawi standard treatment guidelines"/>
    <s v="Conduct a workshop to redefine MSTG, EML, MHL and TML (5 days)"/>
    <s v="DSA (excl. lunch)"/>
    <n v="39000"/>
    <m/>
    <m/>
    <n v="0"/>
    <n v="25"/>
    <n v="6"/>
    <n v="6686088.4174499996"/>
    <n v="0"/>
    <n v="0"/>
    <n v="0"/>
    <n v="0"/>
    <n v="0"/>
    <n v="0"/>
    <n v="40"/>
    <n v="5"/>
    <n v="13309434.403884819"/>
    <n v="0"/>
    <n v="0"/>
    <n v="0"/>
    <n v="0"/>
    <n v="0"/>
    <n v="0"/>
    <n v="25"/>
    <n v="6"/>
    <n v="14902859.656336365"/>
    <n v="34898382.477671184"/>
    <n v="33881.92473560309"/>
  </r>
  <r>
    <s v="4.3.3.1"/>
    <x v="2"/>
    <x v="2"/>
    <x v="0"/>
    <x v="9"/>
    <n v="3"/>
    <x v="49"/>
    <x v="49"/>
    <s v="Define EML, MHL, TML and the Malawi standard treatment guidelines"/>
    <s v="Conduct a workshop to redefine MSTG, EML, MHL and TML (5 days)"/>
    <s v="Conference package high-level"/>
    <n v="35000"/>
    <m/>
    <m/>
    <n v="0"/>
    <n v="25"/>
    <n v="5"/>
    <n v="5000279.7993749995"/>
    <n v="0"/>
    <n v="0"/>
    <n v="0"/>
    <n v="0"/>
    <n v="0"/>
    <n v="0"/>
    <n v="40"/>
    <n v="5"/>
    <n v="11944364.20861458"/>
    <n v="0"/>
    <n v="0"/>
    <n v="0"/>
    <n v="0"/>
    <n v="0"/>
    <n v="0"/>
    <n v="25"/>
    <n v="5"/>
    <n v="11145301.025037881"/>
    <n v="28089945.033027459"/>
    <n v="27271.791294201415"/>
  </r>
  <r>
    <s v="4.3.3.1"/>
    <x v="2"/>
    <x v="2"/>
    <x v="0"/>
    <x v="9"/>
    <n v="3"/>
    <x v="49"/>
    <x v="49"/>
    <s v="Define EML, MHL, TML and the Malawi standard treatment guidelines"/>
    <s v="Conduct a workshop to redefine MSTG, EML, MHL and TML (5 days)"/>
    <s v="Fuel for Travelling Participants"/>
    <n v="211.42857142857142"/>
    <m/>
    <m/>
    <n v="0"/>
    <n v="2430"/>
    <n v="1"/>
    <n v="587200.20475011424"/>
    <m/>
    <m/>
    <n v="0"/>
    <m/>
    <m/>
    <n v="0"/>
    <m/>
    <m/>
    <n v="0"/>
    <m/>
    <m/>
    <n v="0"/>
    <m/>
    <m/>
    <n v="0"/>
    <n v="2430"/>
    <n v="1"/>
    <n v="1308831.3667411015"/>
    <n v="1896031.5714912158"/>
    <n v="1840.8073509623455"/>
  </r>
  <r>
    <s v="4.3.3.1"/>
    <x v="2"/>
    <x v="2"/>
    <x v="0"/>
    <x v="9"/>
    <n v="3"/>
    <x v="49"/>
    <x v="49"/>
    <s v="Define EML, MHL, TML and the Malawi standard treatment guidelines"/>
    <s v="Conduct a workshop to redefine MSTG, EML, MHL and TML (5 days)"/>
    <s v="Local running (diesel, per km)"/>
    <n v="211.42857142857142"/>
    <m/>
    <m/>
    <n v="0"/>
    <n v="450"/>
    <n v="5"/>
    <n v="543703.89328714274"/>
    <n v="0"/>
    <n v="0"/>
    <n v="0"/>
    <n v="0"/>
    <n v="0"/>
    <n v="0"/>
    <n v="20000"/>
    <n v="1"/>
    <n v="7215371.0321426839"/>
    <n v="0"/>
    <n v="0"/>
    <n v="0"/>
    <n v="0"/>
    <n v="0"/>
    <n v="0"/>
    <n v="450"/>
    <n v="5"/>
    <n v="1211880.8951306494"/>
    <n v="8970955.8205604758"/>
    <n v="8709.6658452043448"/>
  </r>
  <r>
    <s v="4.3.3.1"/>
    <x v="2"/>
    <x v="2"/>
    <x v="0"/>
    <x v="9"/>
    <n v="3"/>
    <x v="49"/>
    <x v="49"/>
    <s v="Define EML, MHL, TML and the Malawi standard treatment guidelines"/>
    <s v="Conduct consultative meetings to redefine MSTG, EML, MHL and TML with health centres and community hospitals "/>
    <s v="DSA (excl. lunch)"/>
    <n v="39000"/>
    <m/>
    <m/>
    <n v="0"/>
    <n v="30"/>
    <n v="6"/>
    <n v="8023306.1009399984"/>
    <n v="0"/>
    <n v="0"/>
    <n v="0"/>
    <n v="0"/>
    <n v="0"/>
    <n v="0"/>
    <n v="40"/>
    <n v="3"/>
    <n v="7985660.6423308905"/>
    <n v="0"/>
    <n v="0"/>
    <n v="0"/>
    <n v="0"/>
    <n v="0"/>
    <n v="0"/>
    <n v="30"/>
    <n v="6"/>
    <n v="17883431.58760364"/>
    <n v="33892398.330874532"/>
    <n v="32905.241097936436"/>
  </r>
  <r>
    <s v="4.3.3.1"/>
    <x v="2"/>
    <x v="2"/>
    <x v="0"/>
    <x v="9"/>
    <n v="3"/>
    <x v="49"/>
    <x v="49"/>
    <s v="Define EML, MHL, TML and the Malawi standard treatment guidelines"/>
    <s v="Conduct consultative meetings to redefine MSTG, EML, MHL and TML with health centres and community hospitals "/>
    <s v="Conference package high-level"/>
    <n v="35000"/>
    <m/>
    <m/>
    <n v="0"/>
    <n v="30"/>
    <n v="5"/>
    <n v="6000335.7592499992"/>
    <n v="0"/>
    <n v="0"/>
    <n v="0"/>
    <n v="0"/>
    <n v="0"/>
    <n v="0"/>
    <n v="40"/>
    <n v="3"/>
    <n v="7166618.5251687476"/>
    <n v="0"/>
    <n v="0"/>
    <n v="0"/>
    <n v="0"/>
    <n v="0"/>
    <n v="0"/>
    <n v="30"/>
    <n v="5"/>
    <n v="13374361.230045456"/>
    <n v="26541315.514464203"/>
    <n v="25768.267489771071"/>
  </r>
  <r>
    <s v="4.3.3.1"/>
    <x v="2"/>
    <x v="2"/>
    <x v="0"/>
    <x v="9"/>
    <n v="3"/>
    <x v="49"/>
    <x v="49"/>
    <s v="Define EML, MHL, TML and the Malawi standard treatment guidelines"/>
    <s v="Conduct consultative meetings to redefine MSTG, EML, MHL and TML with health centres and community hospitals "/>
    <s v="Fuel for Travelling Participants"/>
    <n v="211.42857142857142"/>
    <m/>
    <m/>
    <n v="0"/>
    <n v="2700"/>
    <n v="1"/>
    <n v="652444.67194457131"/>
    <m/>
    <m/>
    <n v="0"/>
    <m/>
    <m/>
    <n v="0"/>
    <m/>
    <m/>
    <n v="0"/>
    <m/>
    <m/>
    <n v="0"/>
    <m/>
    <m/>
    <n v="0"/>
    <n v="2700"/>
    <n v="1"/>
    <n v="1454257.0741567793"/>
    <n v="2106701.7461013505"/>
    <n v="2045.3415010692725"/>
  </r>
  <r>
    <s v="4.3.3.1"/>
    <x v="2"/>
    <x v="2"/>
    <x v="0"/>
    <x v="9"/>
    <n v="3"/>
    <x v="49"/>
    <x v="49"/>
    <s v="Define EML, MHL, TML and the Malawi standard treatment guidelines"/>
    <s v="Conduct consultative meetings to redefine MSTG, EML, MHL and TML with health centres and community hospitals "/>
    <s v="Local running (diesel, per km)"/>
    <n v="211.42857142857142"/>
    <m/>
    <m/>
    <n v="0"/>
    <n v="500"/>
    <n v="5"/>
    <n v="604115.43698571413"/>
    <n v="0"/>
    <n v="0"/>
    <n v="0"/>
    <n v="0"/>
    <n v="0"/>
    <n v="0"/>
    <n v="20000"/>
    <n v="1"/>
    <n v="7215371.0321426839"/>
    <n v="0"/>
    <n v="0"/>
    <n v="0"/>
    <n v="0"/>
    <n v="0"/>
    <n v="0"/>
    <n v="500"/>
    <n v="5"/>
    <n v="1346534.327922944"/>
    <n v="9166020.7970513422"/>
    <n v="8899.0493175255742"/>
  </r>
  <r>
    <s v="4.3.3.1"/>
    <x v="2"/>
    <x v="2"/>
    <x v="0"/>
    <x v="9"/>
    <n v="3"/>
    <x v="49"/>
    <x v="49"/>
    <s v="Define EML, MHL, TML and the Malawi standard treatment guidelines"/>
    <s v="Refine MSTG, EML, MHL and TML based on the results (2-day workshop)"/>
    <s v="DSA (excl. lunch)"/>
    <n v="39000"/>
    <m/>
    <m/>
    <n v="0"/>
    <n v="25"/>
    <n v="3"/>
    <n v="3343044.2087249998"/>
    <n v="0"/>
    <n v="0"/>
    <n v="0"/>
    <n v="0"/>
    <n v="0"/>
    <n v="0"/>
    <n v="40"/>
    <n v="2"/>
    <n v="5323773.7615539273"/>
    <n v="0"/>
    <n v="0"/>
    <n v="0"/>
    <n v="0"/>
    <n v="0"/>
    <n v="0"/>
    <n v="25"/>
    <n v="3"/>
    <n v="7451429.8281681826"/>
    <n v="16118247.79844711"/>
    <n v="15648.784270337001"/>
  </r>
  <r>
    <s v="4.3.3.1"/>
    <x v="2"/>
    <x v="2"/>
    <x v="0"/>
    <x v="9"/>
    <n v="3"/>
    <x v="49"/>
    <x v="49"/>
    <s v="Define EML, MHL, TML and the Malawi standard treatment guidelines"/>
    <s v="Refine MSTG, EML, MHL and TML based on the results (5-day workshop)"/>
    <s v="Conference package high-level"/>
    <n v="35000"/>
    <m/>
    <m/>
    <n v="0"/>
    <n v="25"/>
    <n v="2"/>
    <n v="2000111.9197499997"/>
    <n v="0"/>
    <n v="0"/>
    <n v="0"/>
    <n v="0"/>
    <n v="0"/>
    <n v="0"/>
    <n v="40"/>
    <n v="2"/>
    <n v="4777745.6834458318"/>
    <n v="0"/>
    <n v="0"/>
    <n v="0"/>
    <n v="0"/>
    <n v="0"/>
    <n v="0"/>
    <n v="25"/>
    <n v="2"/>
    <n v="4458120.4100151528"/>
    <n v="11235978.013210984"/>
    <n v="10908.716517680567"/>
  </r>
  <r>
    <s v="4.3.3.1"/>
    <x v="2"/>
    <x v="2"/>
    <x v="0"/>
    <x v="9"/>
    <n v="3"/>
    <x v="49"/>
    <x v="49"/>
    <s v="Define EML, MHL, TML and the Malawi standard treatment guidelines"/>
    <s v="Refine MSTG, EML, MHL and TML based on the results (5-day workshop)"/>
    <s v="Local running (diesel, per km)"/>
    <n v="211.42857142857142"/>
    <m/>
    <m/>
    <n v="0"/>
    <n v="450"/>
    <n v="1"/>
    <n v="108740.77865742856"/>
    <n v="0"/>
    <n v="0"/>
    <n v="0"/>
    <n v="0"/>
    <n v="0"/>
    <n v="0"/>
    <n v="20000"/>
    <n v="1"/>
    <n v="7215371.0321426839"/>
    <n v="0"/>
    <n v="0"/>
    <n v="0"/>
    <n v="0"/>
    <n v="0"/>
    <n v="0"/>
    <n v="450"/>
    <n v="1"/>
    <n v="242376.17902612989"/>
    <n v="7566487.9898262424"/>
    <n v="7346.1048444914977"/>
  </r>
  <r>
    <s v="4.3.3.1"/>
    <x v="2"/>
    <x v="2"/>
    <x v="0"/>
    <x v="9"/>
    <n v="3"/>
    <x v="49"/>
    <x v="49"/>
    <s v="Define EML, MHL, TML and the Malawi standard treatment guidelines"/>
    <s v="Refine MSTG, EML, MHL and TML based on the results (5-day workshop)"/>
    <s v="Fuel for Travelling Participants"/>
    <n v="211.42857142857142"/>
    <m/>
    <m/>
    <n v="0"/>
    <n v="2430"/>
    <n v="1"/>
    <n v="587200.20475011424"/>
    <m/>
    <m/>
    <n v="0"/>
    <m/>
    <m/>
    <n v="0"/>
    <m/>
    <m/>
    <n v="0"/>
    <m/>
    <m/>
    <n v="0"/>
    <m/>
    <m/>
    <n v="0"/>
    <n v="2430"/>
    <n v="1"/>
    <n v="1308831.3667411015"/>
    <n v="1896031.5714912158"/>
    <n v="1840.8073509623455"/>
  </r>
  <r>
    <s v="4.3.3.1"/>
    <x v="2"/>
    <x v="2"/>
    <x v="0"/>
    <x v="9"/>
    <n v="3"/>
    <x v="49"/>
    <x v="49"/>
    <s v="Undertake additional data collection to fill in the gaps"/>
    <s v="Identify the data gaps"/>
    <s v="zero cost"/>
    <n v="0"/>
    <m/>
    <m/>
    <n v="0"/>
    <n v="0"/>
    <n v="0"/>
    <n v="0"/>
    <n v="0"/>
    <n v="0"/>
    <n v="0"/>
    <n v="0"/>
    <n v="0"/>
    <n v="0"/>
    <n v="0"/>
    <n v="0"/>
    <n v="0"/>
    <n v="0"/>
    <n v="0"/>
    <n v="0"/>
    <n v="0"/>
    <n v="0"/>
    <n v="0"/>
    <n v="0"/>
    <n v="0"/>
    <n v="0"/>
    <n v="0"/>
    <n v="0"/>
  </r>
  <r>
    <s v="4.3.3.1"/>
    <x v="2"/>
    <x v="2"/>
    <x v="0"/>
    <x v="9"/>
    <n v="3"/>
    <x v="49"/>
    <x v="49"/>
    <s v="Undertake additional data collection to fill in the gaps"/>
    <s v="Develop a data collection tool"/>
    <s v="zero cost"/>
    <n v="0"/>
    <m/>
    <m/>
    <n v="0"/>
    <n v="0"/>
    <n v="0"/>
    <n v="0"/>
    <n v="0"/>
    <n v="0"/>
    <n v="0"/>
    <n v="0"/>
    <n v="0"/>
    <n v="0"/>
    <n v="0"/>
    <n v="0"/>
    <n v="0"/>
    <n v="0"/>
    <n v="0"/>
    <n v="0"/>
    <n v="0"/>
    <n v="0"/>
    <n v="0"/>
    <n v="0"/>
    <n v="0"/>
    <n v="0"/>
    <n v="0"/>
    <n v="0"/>
  </r>
  <r>
    <s v="4.3.3.1"/>
    <x v="2"/>
    <x v="2"/>
    <x v="0"/>
    <x v="9"/>
    <n v="3"/>
    <x v="49"/>
    <x v="49"/>
    <s v="Undertake additional data collection to fill in the gaps"/>
    <s v="Validate data collection tool"/>
    <s v="zero cost"/>
    <n v="0"/>
    <m/>
    <m/>
    <n v="0"/>
    <n v="0"/>
    <n v="0"/>
    <n v="0"/>
    <n v="0"/>
    <n v="0"/>
    <n v="0"/>
    <n v="0"/>
    <n v="0"/>
    <n v="0"/>
    <n v="0"/>
    <n v="0"/>
    <n v="0"/>
    <n v="0"/>
    <n v="0"/>
    <n v="0"/>
    <n v="0"/>
    <n v="0"/>
    <n v="0"/>
    <n v="0"/>
    <n v="0"/>
    <n v="0"/>
    <n v="0"/>
    <n v="0"/>
  </r>
  <r>
    <s v="4.3.3.1"/>
    <x v="2"/>
    <x v="2"/>
    <x v="0"/>
    <x v="9"/>
    <n v="3"/>
    <x v="49"/>
    <x v="49"/>
    <s v="Undertake additional data collection to fill in the gaps"/>
    <s v="Refine data collection tool"/>
    <s v="zero cost"/>
    <n v="0"/>
    <m/>
    <m/>
    <n v="0"/>
    <n v="0"/>
    <n v="0"/>
    <n v="0"/>
    <n v="0"/>
    <n v="0"/>
    <n v="0"/>
    <n v="0"/>
    <n v="0"/>
    <n v="0"/>
    <n v="0"/>
    <n v="0"/>
    <n v="0"/>
    <n v="0"/>
    <n v="0"/>
    <n v="0"/>
    <n v="0"/>
    <n v="0"/>
    <n v="0"/>
    <n v="0"/>
    <n v="0"/>
    <n v="0"/>
    <n v="0"/>
    <n v="0"/>
  </r>
  <r>
    <s v="4.3.3.1"/>
    <x v="2"/>
    <x v="2"/>
    <x v="0"/>
    <x v="9"/>
    <n v="3"/>
    <x v="49"/>
    <x v="49"/>
    <s v="Undertake additional data collection to fill in the gaps"/>
    <s v="Data collection (10 days)"/>
    <s v="Full DSA"/>
    <n v="45000"/>
    <m/>
    <m/>
    <n v="0"/>
    <n v="25"/>
    <n v="11"/>
    <n v="14143648.575374996"/>
    <n v="0"/>
    <n v="0"/>
    <n v="0"/>
    <n v="0"/>
    <n v="0"/>
    <n v="0"/>
    <n v="15"/>
    <n v="10"/>
    <n v="11517779.77259263"/>
    <n v="0"/>
    <n v="0"/>
    <n v="0"/>
    <n v="0"/>
    <n v="0"/>
    <n v="0"/>
    <n v="25"/>
    <n v="11"/>
    <n v="31525280.042250007"/>
    <n v="57186708.390217632"/>
    <n v="55521.076107007408"/>
  </r>
  <r>
    <s v="4.3.3.1"/>
    <x v="2"/>
    <x v="2"/>
    <x v="0"/>
    <x v="9"/>
    <n v="3"/>
    <x v="49"/>
    <x v="49"/>
    <s v="Undertake additional data collection to fill in the gaps"/>
    <s v="Data collection (10 days)"/>
    <s v="Local running (diesel, per km)"/>
    <n v="211.42857142857142"/>
    <m/>
    <m/>
    <n v="0"/>
    <n v="450"/>
    <n v="10"/>
    <n v="1087407.7865742855"/>
    <n v="0"/>
    <n v="0"/>
    <n v="0"/>
    <n v="0"/>
    <n v="0"/>
    <n v="0"/>
    <n v="20000"/>
    <n v="1"/>
    <n v="7215371.0321426839"/>
    <n v="0"/>
    <n v="0"/>
    <n v="0"/>
    <n v="0"/>
    <n v="0"/>
    <n v="0"/>
    <n v="450"/>
    <n v="10"/>
    <n v="2423761.7902612989"/>
    <n v="10726540.608978268"/>
    <n v="10414.117096095406"/>
  </r>
  <r>
    <s v="4.3.3.1"/>
    <x v="2"/>
    <x v="2"/>
    <x v="0"/>
    <x v="9"/>
    <n v="3"/>
    <x v="49"/>
    <x v="49"/>
    <s v="Undertake additional data collection to fill in the gaps"/>
    <s v="Data collection (10 days)"/>
    <s v="Fuel for Travelling Participants"/>
    <n v="211.42857142857142"/>
    <m/>
    <m/>
    <n v="0"/>
    <n v="2430"/>
    <n v="1"/>
    <n v="587200.20475011424"/>
    <m/>
    <m/>
    <n v="0"/>
    <m/>
    <m/>
    <n v="0"/>
    <m/>
    <m/>
    <n v="0"/>
    <m/>
    <m/>
    <n v="0"/>
    <m/>
    <m/>
    <n v="0"/>
    <n v="2430"/>
    <n v="1"/>
    <n v="1308831.3667411015"/>
    <n v="1896031.5714912158"/>
    <n v="1840.8073509623455"/>
  </r>
  <r>
    <s v="4.3.3.1"/>
    <x v="2"/>
    <x v="2"/>
    <x v="0"/>
    <x v="9"/>
    <n v="3"/>
    <x v="49"/>
    <x v="49"/>
    <s v="Undertake additional data collection to fill in the gaps"/>
    <s v="Data collection (10 days)"/>
    <s v="Airtime for Research Assistant"/>
    <n v="10000"/>
    <m/>
    <m/>
    <n v="0"/>
    <n v="15"/>
    <n v="1"/>
    <n v="171438.16454999999"/>
    <n v="0"/>
    <n v="0"/>
    <n v="0"/>
    <n v="0"/>
    <n v="0"/>
    <n v="0"/>
    <n v="15"/>
    <n v="1"/>
    <n v="255950.66161316959"/>
    <n v="0"/>
    <n v="0"/>
    <n v="0"/>
    <n v="0"/>
    <n v="0"/>
    <n v="0"/>
    <n v="15"/>
    <n v="1"/>
    <n v="382124.60657272732"/>
    <n v="809513.4327358969"/>
    <n v="785.93537158824938"/>
  </r>
  <r>
    <s v="4.3.3.1"/>
    <x v="2"/>
    <x v="2"/>
    <x v="0"/>
    <x v="9"/>
    <n v="3"/>
    <x v="49"/>
    <x v="49"/>
    <s v="Undertake additional data collection to fill in the gaps"/>
    <s v="Data collection (10 days)"/>
    <s v="Tablet"/>
    <n v="302000"/>
    <m/>
    <m/>
    <n v="0"/>
    <n v="15"/>
    <n v="1"/>
    <n v="5177432.5694099991"/>
    <n v="0"/>
    <n v="0"/>
    <n v="0"/>
    <n v="0"/>
    <n v="0"/>
    <n v="0"/>
    <n v="20"/>
    <n v="1"/>
    <n v="10306279.974290295"/>
    <n v="0"/>
    <n v="0"/>
    <n v="0"/>
    <n v="0"/>
    <n v="0"/>
    <n v="0"/>
    <n v="15"/>
    <n v="1"/>
    <n v="11540163.118496366"/>
    <n v="27023875.662196659"/>
    <n v="26236.772487569571"/>
  </r>
  <r>
    <s v="4.3.3.1"/>
    <x v="2"/>
    <x v="2"/>
    <x v="0"/>
    <x v="9"/>
    <n v="3"/>
    <x v="49"/>
    <x v="49"/>
    <s v="Undertake additional data collection to fill in the gaps"/>
    <s v="Data analysis"/>
    <s v="DSA (excl. lunch)"/>
    <n v="39000"/>
    <m/>
    <m/>
    <n v="0"/>
    <n v="25"/>
    <n v="6"/>
    <n v="6686088.4174499996"/>
    <n v="0"/>
    <n v="0"/>
    <n v="0"/>
    <n v="0"/>
    <n v="0"/>
    <n v="0"/>
    <n v="15"/>
    <n v="5"/>
    <n v="4991037.9014568068"/>
    <n v="0"/>
    <n v="0"/>
    <n v="0"/>
    <n v="0"/>
    <n v="0"/>
    <n v="0"/>
    <n v="25"/>
    <n v="6"/>
    <n v="14902859.656336365"/>
    <n v="26579985.975243174"/>
    <n v="25805.811626449682"/>
  </r>
  <r>
    <s v="4.3.3.1"/>
    <x v="2"/>
    <x v="2"/>
    <x v="0"/>
    <x v="9"/>
    <n v="3"/>
    <x v="49"/>
    <x v="49"/>
    <s v="Undertake additional data collection to fill in the gaps"/>
    <s v="Data analysis"/>
    <s v="Conference package high-level"/>
    <n v="35000"/>
    <m/>
    <m/>
    <n v="0"/>
    <n v="25"/>
    <n v="5"/>
    <n v="5000279.7993749995"/>
    <n v="0"/>
    <n v="0"/>
    <n v="0"/>
    <n v="0"/>
    <n v="0"/>
    <n v="0"/>
    <n v="15"/>
    <n v="5"/>
    <n v="4479136.5782304676"/>
    <n v="0"/>
    <n v="0"/>
    <n v="0"/>
    <n v="0"/>
    <n v="0"/>
    <n v="0"/>
    <n v="25"/>
    <n v="5"/>
    <n v="11145301.025037881"/>
    <n v="20624717.402643349"/>
    <n v="20023.997478294514"/>
  </r>
  <r>
    <s v="4.3.3.1"/>
    <x v="2"/>
    <x v="2"/>
    <x v="0"/>
    <x v="9"/>
    <n v="3"/>
    <x v="49"/>
    <x v="49"/>
    <s v="Undertake additional data collection to fill in the gaps"/>
    <s v="Data analysis"/>
    <s v="Local running (diesel, per km)"/>
    <n v="211.42857142857142"/>
    <m/>
    <m/>
    <n v="0"/>
    <n v="450"/>
    <n v="5"/>
    <n v="543703.89328714274"/>
    <n v="0"/>
    <n v="0"/>
    <n v="0"/>
    <n v="0"/>
    <n v="0"/>
    <n v="0"/>
    <n v="4000"/>
    <n v="1"/>
    <n v="1443074.2064285369"/>
    <n v="0"/>
    <n v="0"/>
    <n v="0"/>
    <n v="0"/>
    <n v="0"/>
    <n v="0"/>
    <n v="450"/>
    <n v="5"/>
    <n v="1211880.8951306494"/>
    <n v="3198658.9948463291"/>
    <n v="3105.4941697537174"/>
  </r>
  <r>
    <s v="4.3.3.1"/>
    <x v="2"/>
    <x v="2"/>
    <x v="0"/>
    <x v="9"/>
    <n v="3"/>
    <x v="49"/>
    <x v="49"/>
    <s v="Undertake additional data collection to fill in the gaps"/>
    <s v="Data analysis"/>
    <s v="Fuel for Travelling Participants"/>
    <n v="211.42857142857142"/>
    <m/>
    <m/>
    <n v="0"/>
    <n v="2430"/>
    <n v="1"/>
    <n v="587200.20475011424"/>
    <m/>
    <m/>
    <n v="0"/>
    <m/>
    <m/>
    <n v="0"/>
    <m/>
    <m/>
    <n v="0"/>
    <m/>
    <m/>
    <n v="0"/>
    <m/>
    <m/>
    <n v="0"/>
    <n v="2430"/>
    <n v="1"/>
    <n v="1308831.3667411015"/>
    <n v="1896031.5714912158"/>
    <n v="1840.8073509623455"/>
  </r>
  <r>
    <s v="4.3.3.1"/>
    <x v="2"/>
    <x v="2"/>
    <x v="0"/>
    <x v="9"/>
    <n v="3"/>
    <x v="49"/>
    <x v="49"/>
    <s v="Undertake additional data collection to fill in the gaps"/>
    <s v="Report writing"/>
    <s v="Conference package high-level"/>
    <n v="35000"/>
    <m/>
    <m/>
    <n v="0"/>
    <n v="25"/>
    <n v="3"/>
    <n v="3000167.8796249996"/>
    <n v="0"/>
    <n v="0"/>
    <n v="0"/>
    <n v="0"/>
    <n v="0"/>
    <n v="0"/>
    <n v="15"/>
    <n v="5"/>
    <n v="4479136.5782304676"/>
    <n v="0"/>
    <n v="0"/>
    <n v="0"/>
    <n v="0"/>
    <n v="0"/>
    <n v="0"/>
    <n v="25"/>
    <n v="3"/>
    <n v="6687180.6150227292"/>
    <n v="14166485.072878197"/>
    <n v="13753.869002794367"/>
  </r>
  <r>
    <s v="4.3.3.1"/>
    <x v="2"/>
    <x v="2"/>
    <x v="0"/>
    <x v="9"/>
    <n v="3"/>
    <x v="49"/>
    <x v="49"/>
    <s v="Undertake additional data collection to fill in the gaps"/>
    <s v="Report writing"/>
    <s v="DSA (excl. lunch)"/>
    <n v="39000"/>
    <m/>
    <m/>
    <n v="0"/>
    <n v="25"/>
    <n v="4"/>
    <n v="4457392.2782999994"/>
    <n v="0"/>
    <n v="0"/>
    <n v="0"/>
    <n v="0"/>
    <n v="0"/>
    <n v="0"/>
    <n v="15"/>
    <n v="5"/>
    <n v="4991037.9014568068"/>
    <n v="0"/>
    <n v="0"/>
    <n v="0"/>
    <n v="0"/>
    <n v="0"/>
    <n v="0"/>
    <n v="25"/>
    <n v="4"/>
    <n v="9935239.7708909102"/>
    <n v="19383669.950647715"/>
    <n v="18819.097039463803"/>
  </r>
  <r>
    <s v="4.3.3.1"/>
    <x v="2"/>
    <x v="2"/>
    <x v="0"/>
    <x v="9"/>
    <n v="3"/>
    <x v="49"/>
    <x v="49"/>
    <s v="Undertake additional data collection to fill in the gaps"/>
    <s v="Data analysis"/>
    <s v="Fuel for Travelling Participants"/>
    <n v="211.42857142857142"/>
    <m/>
    <m/>
    <n v="0"/>
    <n v="2430"/>
    <n v="1"/>
    <n v="587200.20475011424"/>
    <m/>
    <m/>
    <n v="0"/>
    <m/>
    <m/>
    <n v="0"/>
    <m/>
    <m/>
    <n v="0"/>
    <m/>
    <m/>
    <n v="0"/>
    <m/>
    <m/>
    <n v="0"/>
    <n v="2430"/>
    <n v="1"/>
    <n v="1308831.3667411015"/>
    <n v="1896031.5714912158"/>
    <n v="1840.8073509623455"/>
  </r>
  <r>
    <s v="4.3.3.1"/>
    <x v="2"/>
    <x v="2"/>
    <x v="0"/>
    <x v="9"/>
    <n v="3"/>
    <x v="49"/>
    <x v="49"/>
    <s v="Undertake additional data collection to fill in the gaps"/>
    <s v="Report writing"/>
    <s v="Local running (diesel, per km)"/>
    <n v="211.42857142857142"/>
    <m/>
    <m/>
    <n v="0"/>
    <n v="450"/>
    <n v="3"/>
    <n v="326222.33597228565"/>
    <n v="0"/>
    <n v="0"/>
    <n v="0"/>
    <n v="0"/>
    <n v="0"/>
    <n v="0"/>
    <n v="4000"/>
    <n v="1"/>
    <n v="1443074.2064285369"/>
    <n v="0"/>
    <n v="0"/>
    <n v="0"/>
    <n v="0"/>
    <n v="0"/>
    <n v="0"/>
    <n v="450"/>
    <n v="3"/>
    <n v="727128.53707838967"/>
    <n v="2496425.0794792119"/>
    <n v="2423.713669397293"/>
  </r>
  <r>
    <s v="4.3.3.1"/>
    <x v="2"/>
    <x v="2"/>
    <x v="0"/>
    <x v="9"/>
    <n v="3"/>
    <x v="49"/>
    <x v="49"/>
    <s v="Undertake additional data collection to fill in the gaps"/>
    <s v="Validation workshop"/>
    <s v="DSA (excl. lunch)"/>
    <n v="39000"/>
    <m/>
    <m/>
    <n v="0"/>
    <n v="58"/>
    <n v="2"/>
    <n v="5170575.0428279992"/>
    <n v="0"/>
    <n v="0"/>
    <n v="0"/>
    <n v="0"/>
    <n v="0"/>
    <n v="0"/>
    <n v="10"/>
    <n v="1"/>
    <n v="665471.72019424092"/>
    <n v="0"/>
    <n v="0"/>
    <n v="0"/>
    <n v="0"/>
    <n v="0"/>
    <n v="0"/>
    <n v="58"/>
    <n v="2"/>
    <n v="11524878.134233456"/>
    <n v="17360924.897255696"/>
    <n v="16855.266890539511"/>
  </r>
  <r>
    <s v="4.3.3.1"/>
    <x v="2"/>
    <x v="2"/>
    <x v="0"/>
    <x v="9"/>
    <n v="3"/>
    <x v="49"/>
    <x v="49"/>
    <s v="Undertake additional data collection to fill in the gaps"/>
    <s v="Validation workshop"/>
    <s v="Conference package high-level"/>
    <n v="35000"/>
    <m/>
    <m/>
    <n v="0"/>
    <n v="100"/>
    <n v="1"/>
    <n v="4000223.8394999993"/>
    <n v="0"/>
    <n v="0"/>
    <n v="0"/>
    <n v="0"/>
    <n v="0"/>
    <n v="0"/>
    <n v="30"/>
    <n v="1"/>
    <n v="1791654.6312921871"/>
    <n v="0"/>
    <n v="0"/>
    <n v="0"/>
    <n v="0"/>
    <n v="0"/>
    <n v="0"/>
    <n v="100"/>
    <n v="1"/>
    <n v="8916240.8200303055"/>
    <n v="14708119.290822491"/>
    <n v="14279.727466817953"/>
  </r>
  <r>
    <s v="4.3.3.1"/>
    <x v="2"/>
    <x v="2"/>
    <x v="0"/>
    <x v="9"/>
    <n v="3"/>
    <x v="49"/>
    <x v="49"/>
    <s v="Undertake additional data collection to fill in the gaps"/>
    <s v="Validation workshop"/>
    <s v="Fuel for Travelling Participants"/>
    <n v="211.42857142857142"/>
    <m/>
    <m/>
    <n v="0"/>
    <n v="7830"/>
    <n v="1"/>
    <n v="1892089.548639257"/>
    <m/>
    <m/>
    <n v="0"/>
    <m/>
    <m/>
    <n v="0"/>
    <m/>
    <m/>
    <n v="0"/>
    <m/>
    <m/>
    <n v="0"/>
    <m/>
    <m/>
    <n v="0"/>
    <n v="7830"/>
    <n v="1"/>
    <n v="4217345.5150546599"/>
    <n v="6109435.0636939164"/>
    <n v="5931.4903531008895"/>
  </r>
  <r>
    <s v="4.3.3.1"/>
    <x v="2"/>
    <x v="2"/>
    <x v="0"/>
    <x v="9"/>
    <n v="3"/>
    <x v="49"/>
    <x v="49"/>
    <s v="Undertake additional data collection to fill in the gaps"/>
    <s v="Validation workshop"/>
    <s v="Local running (diesel, per km)"/>
    <n v="211.42857142857142"/>
    <m/>
    <m/>
    <n v="0"/>
    <n v="1450"/>
    <n v="1"/>
    <n v="350386.95345171425"/>
    <m/>
    <m/>
    <n v="0"/>
    <n v="0"/>
    <n v="0"/>
    <n v="0"/>
    <n v="8000"/>
    <n v="1"/>
    <n v="2886148.4128570738"/>
    <n v="0"/>
    <n v="0"/>
    <n v="0"/>
    <n v="0"/>
    <n v="0"/>
    <n v="0"/>
    <n v="1450"/>
    <n v="1"/>
    <n v="780989.91019530746"/>
    <n v="4017525.2765040952"/>
    <n v="3900.509977188442"/>
  </r>
  <r>
    <s v="4.3.3.1"/>
    <x v="2"/>
    <x v="2"/>
    <x v="0"/>
    <x v="9"/>
    <n v="3"/>
    <x v="49"/>
    <x v="49"/>
    <s v="Undertake additional data collection to fill in the gaps"/>
    <s v="Present to the service delivery/EHP TWG for endorsement "/>
    <s v="Conference package high-level"/>
    <n v="35000"/>
    <m/>
    <m/>
    <n v="0"/>
    <n v="25"/>
    <n v="1"/>
    <n v="1000055.9598749998"/>
    <m/>
    <m/>
    <n v="0"/>
    <n v="0"/>
    <n v="0"/>
    <n v="0"/>
    <n v="30"/>
    <n v="1"/>
    <n v="1791654.6312921871"/>
    <n v="0"/>
    <n v="0"/>
    <n v="0"/>
    <n v="0"/>
    <n v="0"/>
    <n v="0"/>
    <n v="25"/>
    <n v="1"/>
    <n v="2229060.2050075764"/>
    <n v="5020770.7961747628"/>
    <n v="4874.5347535677311"/>
  </r>
  <r>
    <s v="4.3.3.1"/>
    <x v="2"/>
    <x v="2"/>
    <x v="0"/>
    <x v="9"/>
    <n v="3"/>
    <x v="49"/>
    <x v="49"/>
    <s v="Undertake additional data collection to fill in the gaps"/>
    <s v="Present to senior management for approval"/>
    <s v="zero cost"/>
    <n v="0"/>
    <m/>
    <m/>
    <n v="0"/>
    <n v="0"/>
    <n v="0"/>
    <n v="0"/>
    <m/>
    <m/>
    <n v="0"/>
    <n v="0"/>
    <n v="0"/>
    <n v="0"/>
    <n v="20"/>
    <n v="1"/>
    <n v="0"/>
    <n v="0"/>
    <n v="0"/>
    <n v="0"/>
    <n v="0"/>
    <n v="0"/>
    <n v="0"/>
    <n v="0"/>
    <n v="0"/>
    <n v="0"/>
    <n v="0"/>
    <n v="0"/>
  </r>
  <r>
    <s v="4.3.3.1"/>
    <x v="2"/>
    <x v="2"/>
    <x v="0"/>
    <x v="9"/>
    <n v="3"/>
    <x v="49"/>
    <x v="49"/>
    <s v="Undertake additional data collection to fill in the gaps"/>
    <s v="Disseminate the MSTG, EML, MHL and TML"/>
    <s v="A4, 500 pages, 140 gsm paper"/>
    <n v="8000"/>
    <m/>
    <m/>
    <n v="0"/>
    <n v="10"/>
    <n v="1"/>
    <n v="91433.687760000001"/>
    <m/>
    <m/>
    <n v="0"/>
    <n v="0"/>
    <n v="0"/>
    <n v="0"/>
    <n v="50000"/>
    <n v="1"/>
    <n v="682535097.63511884"/>
    <n v="0"/>
    <n v="0"/>
    <n v="0"/>
    <n v="0"/>
    <n v="0"/>
    <n v="0"/>
    <n v="10"/>
    <n v="1"/>
    <n v="203799.79017212125"/>
    <n v="682830331.11305094"/>
    <n v="662942.06904179708"/>
  </r>
  <r>
    <s v="4.3.3.1"/>
    <x v="2"/>
    <x v="2"/>
    <x v="0"/>
    <x v="9"/>
    <n v="3"/>
    <x v="49"/>
    <x v="49"/>
    <s v="Undertake additional data collection to fill in the gaps"/>
    <s v="Disseminate the MSTG, EML, MHL and TML"/>
    <s v="Toner"/>
    <n v="104850"/>
    <m/>
    <m/>
    <n v="0"/>
    <n v="1"/>
    <n v="1"/>
    <n v="119835.27702044998"/>
    <m/>
    <m/>
    <n v="0"/>
    <n v="0"/>
    <n v="0"/>
    <n v="0"/>
    <n v="5"/>
    <n v="1"/>
    <n v="894547.56233802764"/>
    <n v="0"/>
    <n v="0"/>
    <n v="0"/>
    <n v="0"/>
    <n v="0"/>
    <n v="0"/>
    <n v="1"/>
    <n v="1"/>
    <n v="267105.09999433643"/>
    <n v="1281487.9393528141"/>
    <n v="1244.1630479153534"/>
  </r>
  <r>
    <s v="4.3.3.1"/>
    <x v="2"/>
    <x v="2"/>
    <x v="0"/>
    <x v="9"/>
    <n v="3"/>
    <x v="49"/>
    <x v="49"/>
    <s v="Undertake additional data collection to fill in the gaps"/>
    <s v=" Disseminate to district based stakeholders at zonal level "/>
    <s v="DSA (excl. lunch)"/>
    <n v="39000"/>
    <m/>
    <m/>
    <n v="0"/>
    <n v="58"/>
    <n v="2"/>
    <n v="5170575.0428279992"/>
    <m/>
    <m/>
    <n v="0"/>
    <n v="0"/>
    <n v="0"/>
    <n v="0"/>
    <n v="300"/>
    <n v="10"/>
    <n v="199641516.05827227"/>
    <n v="0"/>
    <n v="0"/>
    <n v="0"/>
    <n v="0"/>
    <n v="0"/>
    <n v="0"/>
    <n v="58"/>
    <n v="2"/>
    <n v="11524878.134233456"/>
    <n v="216336969.23533371"/>
    <n v="210035.89246148904"/>
  </r>
  <r>
    <s v="4.3.3.1"/>
    <x v="2"/>
    <x v="2"/>
    <x v="0"/>
    <x v="9"/>
    <n v="3"/>
    <x v="49"/>
    <x v="49"/>
    <s v="Undertake additional data collection to fill in the gaps"/>
    <s v=" Disseminate to district based stakeholders at zonal level "/>
    <s v="Conference package high-level"/>
    <n v="35000"/>
    <m/>
    <m/>
    <n v="0"/>
    <n v="100"/>
    <n v="1"/>
    <n v="4000223.8394999993"/>
    <m/>
    <m/>
    <n v="0"/>
    <n v="0"/>
    <n v="0"/>
    <n v="0"/>
    <n v="300"/>
    <n v="10"/>
    <n v="179165463.1292187"/>
    <n v="0"/>
    <n v="0"/>
    <n v="0"/>
    <n v="0"/>
    <n v="0"/>
    <n v="0"/>
    <n v="100"/>
    <n v="1"/>
    <n v="8916240.8200303055"/>
    <n v="192081927.78874901"/>
    <n v="186487.30853276604"/>
  </r>
  <r>
    <s v="4.3.3.1"/>
    <x v="2"/>
    <x v="2"/>
    <x v="0"/>
    <x v="9"/>
    <n v="3"/>
    <x v="49"/>
    <x v="49"/>
    <s v="Undertake additional data collection to fill in the gaps"/>
    <s v=" Disseminate to district based stakeholders at zonal level "/>
    <s v="Fuel for Travelling Participants"/>
    <n v="211.42857142857142"/>
    <m/>
    <m/>
    <n v="0"/>
    <n v="7830"/>
    <n v="1"/>
    <n v="1892089.548639257"/>
    <m/>
    <m/>
    <n v="0"/>
    <m/>
    <m/>
    <n v="0"/>
    <m/>
    <m/>
    <n v="0"/>
    <m/>
    <m/>
    <n v="0"/>
    <m/>
    <m/>
    <n v="0"/>
    <n v="7830"/>
    <n v="1"/>
    <n v="4217345.5150546599"/>
    <n v="6109435.0636939164"/>
    <n v="5931.4903531008895"/>
  </r>
  <r>
    <s v="4.3.3.1"/>
    <x v="2"/>
    <x v="2"/>
    <x v="0"/>
    <x v="9"/>
    <n v="3"/>
    <x v="49"/>
    <x v="49"/>
    <s v="Undertake additional data collection to fill in the gaps"/>
    <s v=" Disseminate to district based stakeholders at zonal level "/>
    <s v="Local running (diesel, per km)"/>
    <n v="211.42857142857142"/>
    <m/>
    <m/>
    <n v="0"/>
    <n v="1450"/>
    <n v="1"/>
    <n v="350386.95345171425"/>
    <m/>
    <m/>
    <n v="0"/>
    <n v="0"/>
    <n v="0"/>
    <n v="0"/>
    <n v="60000"/>
    <n v="1"/>
    <n v="21646113.096428052"/>
    <n v="0"/>
    <n v="0"/>
    <n v="0"/>
    <n v="0"/>
    <n v="0"/>
    <n v="0"/>
    <n v="1450"/>
    <n v="1"/>
    <n v="780989.91019530746"/>
    <n v="22777489.960075073"/>
    <n v="22114.067922402985"/>
  </r>
  <r>
    <s v="4.3.3.1"/>
    <x v="2"/>
    <x v="2"/>
    <x v="0"/>
    <x v="9"/>
    <n v="3"/>
    <x v="49"/>
    <x v="49"/>
    <s v="Undertake additional data collection to fill in the gaps"/>
    <s v="Capacity building / Orientation of the users."/>
    <s v="Conference package high-level"/>
    <n v="35000"/>
    <m/>
    <m/>
    <n v="0"/>
    <n v="100"/>
    <n v="5"/>
    <n v="20001119.197499998"/>
    <m/>
    <m/>
    <n v="0"/>
    <n v="0"/>
    <n v="0"/>
    <n v="0"/>
    <n v="40"/>
    <n v="5"/>
    <n v="11944364.20861458"/>
    <n v="0"/>
    <n v="0"/>
    <n v="0"/>
    <n v="0"/>
    <n v="0"/>
    <n v="0"/>
    <n v="100"/>
    <n v="5"/>
    <n v="44581204.100151524"/>
    <n v="76526687.506266102"/>
    <n v="74297.754860452522"/>
  </r>
  <r>
    <s v="4.3.3.1"/>
    <x v="2"/>
    <x v="2"/>
    <x v="0"/>
    <x v="9"/>
    <n v="3"/>
    <x v="49"/>
    <x v="49"/>
    <s v="Undertake additional data collection to fill in the gaps"/>
    <s v="Capacity building / Orientation of the users."/>
    <s v="DSA (excl. lunch)"/>
    <n v="39000"/>
    <m/>
    <m/>
    <n v="0"/>
    <n v="58"/>
    <n v="6"/>
    <n v="15511725.128483998"/>
    <m/>
    <m/>
    <n v="0"/>
    <n v="0"/>
    <n v="0"/>
    <n v="0"/>
    <n v="40"/>
    <n v="5"/>
    <n v="13309434.403884819"/>
    <n v="0"/>
    <n v="0"/>
    <n v="0"/>
    <n v="0"/>
    <n v="0"/>
    <n v="0"/>
    <n v="58"/>
    <n v="6"/>
    <n v="34574634.402700365"/>
    <n v="63395793.935069181"/>
    <n v="61549.314500067165"/>
  </r>
  <r>
    <s v="4.3.3.1"/>
    <x v="2"/>
    <x v="2"/>
    <x v="0"/>
    <x v="9"/>
    <n v="3"/>
    <x v="49"/>
    <x v="49"/>
    <s v="Undertake additional data collection to fill in the gaps"/>
    <s v="Capacity building / Orientation of the users."/>
    <s v="Fuel for Travelling Participants"/>
    <n v="211.42857142857142"/>
    <m/>
    <m/>
    <n v="0"/>
    <n v="7830"/>
    <n v="1"/>
    <n v="1892089.548639257"/>
    <m/>
    <m/>
    <n v="0"/>
    <m/>
    <m/>
    <n v="0"/>
    <m/>
    <m/>
    <n v="0"/>
    <m/>
    <m/>
    <n v="0"/>
    <m/>
    <m/>
    <n v="0"/>
    <n v="7830"/>
    <n v="1"/>
    <n v="4217345.5150546599"/>
    <n v="6109435.0636939164"/>
    <n v="5931.4903531008895"/>
  </r>
  <r>
    <s v="4.3.3.1"/>
    <x v="2"/>
    <x v="2"/>
    <x v="0"/>
    <x v="9"/>
    <n v="3"/>
    <x v="49"/>
    <x v="49"/>
    <s v="Undertake additional data collection to fill in the gaps"/>
    <s v="Capacity building / Orientation of the users."/>
    <s v="Local running (diesel, per km)"/>
    <n v="211.42857142857142"/>
    <m/>
    <m/>
    <n v="0"/>
    <n v="1450"/>
    <n v="5"/>
    <n v="1751934.7672585712"/>
    <m/>
    <m/>
    <n v="0"/>
    <m/>
    <m/>
    <n v="0"/>
    <m/>
    <m/>
    <n v="0"/>
    <m/>
    <m/>
    <n v="0"/>
    <m/>
    <m/>
    <n v="0"/>
    <n v="1450"/>
    <n v="5"/>
    <n v="3904949.5509765372"/>
    <n v="5656884.3182351086"/>
    <n v="5492.1206973156395"/>
  </r>
  <r>
    <s v="4.3.3.1"/>
    <x v="2"/>
    <x v="2"/>
    <x v="0"/>
    <x v="9"/>
    <n v="4"/>
    <x v="50"/>
    <x v="50"/>
    <s v="develop the EHP communication strategy"/>
    <s v="Drafting of the communications strategy for the EHP "/>
    <s v="Local running (diesel, per km)"/>
    <n v="211.42857142857142"/>
    <m/>
    <m/>
    <n v="0"/>
    <n v="900"/>
    <n v="15"/>
    <n v="3262223.3597228569"/>
    <m/>
    <m/>
    <n v="0"/>
    <n v="0"/>
    <n v="0"/>
    <n v="0"/>
    <n v="0"/>
    <n v="0"/>
    <n v="0"/>
    <n v="0"/>
    <n v="0"/>
    <n v="0"/>
    <n v="0"/>
    <n v="0"/>
    <n v="0"/>
    <n v="900"/>
    <n v="15"/>
    <n v="7271285.3707838971"/>
    <n v="10533508.730506754"/>
    <n v="10226.707505346363"/>
  </r>
  <r>
    <s v="4.3.3.1"/>
    <x v="2"/>
    <x v="2"/>
    <x v="0"/>
    <x v="9"/>
    <n v="4"/>
    <x v="50"/>
    <x v="50"/>
    <s v="develop the EHP communication strategy"/>
    <s v="Validate the strategy "/>
    <s v="DSA (excl. lunch)"/>
    <n v="39000"/>
    <m/>
    <m/>
    <n v="0"/>
    <n v="25"/>
    <n v="6"/>
    <n v="6686088.4174499996"/>
    <m/>
    <m/>
    <n v="0"/>
    <n v="0"/>
    <n v="0"/>
    <n v="0"/>
    <n v="0"/>
    <n v="0"/>
    <n v="0"/>
    <n v="0"/>
    <n v="0"/>
    <n v="0"/>
    <n v="0"/>
    <n v="0"/>
    <n v="0"/>
    <n v="25"/>
    <n v="6"/>
    <n v="14902859.656336365"/>
    <n v="21588948.073786363"/>
    <n v="20960.143760957635"/>
  </r>
  <r>
    <s v="4.3.3.1"/>
    <x v="2"/>
    <x v="2"/>
    <x v="0"/>
    <x v="9"/>
    <n v="4"/>
    <x v="50"/>
    <x v="50"/>
    <s v="develop the EHP communication strategy"/>
    <s v="Validate the strategy "/>
    <s v="Conference package high-level"/>
    <n v="35000"/>
    <m/>
    <m/>
    <n v="0"/>
    <n v="25"/>
    <n v="5"/>
    <n v="5000279.7993749995"/>
    <m/>
    <m/>
    <n v="0"/>
    <n v="0"/>
    <n v="0"/>
    <n v="0"/>
    <n v="0"/>
    <n v="0"/>
    <n v="0"/>
    <n v="0"/>
    <n v="0"/>
    <n v="0"/>
    <n v="0"/>
    <n v="0"/>
    <n v="0"/>
    <n v="25"/>
    <n v="5"/>
    <n v="11145301.025037881"/>
    <n v="16145580.82441288"/>
    <n v="15675.321188750369"/>
  </r>
  <r>
    <s v="4.3.3.1"/>
    <x v="2"/>
    <x v="2"/>
    <x v="0"/>
    <x v="9"/>
    <n v="4"/>
    <x v="50"/>
    <x v="50"/>
    <s v="develop the EHP communication strategy"/>
    <s v="Validate the strategy "/>
    <s v="Local running (diesel, per km)"/>
    <n v="211.42857142857142"/>
    <m/>
    <m/>
    <n v="0"/>
    <n v="450"/>
    <n v="5"/>
    <n v="543703.89328714274"/>
    <m/>
    <m/>
    <n v="0"/>
    <n v="0"/>
    <n v="0"/>
    <n v="0"/>
    <n v="0"/>
    <n v="0"/>
    <n v="0"/>
    <n v="0"/>
    <n v="0"/>
    <n v="0"/>
    <n v="0"/>
    <n v="0"/>
    <n v="0"/>
    <n v="450"/>
    <n v="5"/>
    <n v="1211880.8951306494"/>
    <n v="1755584.7884177922"/>
    <n v="1704.4512508910605"/>
  </r>
  <r>
    <s v="4.3.3.1"/>
    <x v="2"/>
    <x v="2"/>
    <x v="0"/>
    <x v="9"/>
    <n v="4"/>
    <x v="50"/>
    <x v="50"/>
    <s v="develop the EHP communication strategy"/>
    <s v="Present to TWG for endorsement "/>
    <s v="Conference package high-level"/>
    <n v="35000"/>
    <m/>
    <m/>
    <n v="0"/>
    <n v="30"/>
    <n v="1"/>
    <n v="1200067.1518499998"/>
    <m/>
    <m/>
    <n v="0"/>
    <n v="0"/>
    <n v="0"/>
    <n v="0"/>
    <n v="0"/>
    <n v="0"/>
    <n v="0"/>
    <n v="0"/>
    <n v="0"/>
    <n v="0"/>
    <n v="0"/>
    <n v="0"/>
    <n v="0"/>
    <n v="30"/>
    <n v="1"/>
    <n v="2674872.2460090914"/>
    <n v="3874939.3978590909"/>
    <n v="3762.0770853000881"/>
  </r>
  <r>
    <s v="4.3.3.1"/>
    <x v="2"/>
    <x v="2"/>
    <x v="0"/>
    <x v="9"/>
    <n v="4"/>
    <x v="50"/>
    <x v="50"/>
    <s v="develop the EHP communication strategy"/>
    <s v="Present to Senior Management for approval"/>
    <s v="zero cost"/>
    <n v="0"/>
    <m/>
    <m/>
    <n v="0"/>
    <m/>
    <m/>
    <n v="0"/>
    <m/>
    <m/>
    <n v="0"/>
    <n v="0"/>
    <n v="0"/>
    <n v="0"/>
    <n v="0"/>
    <n v="0"/>
    <n v="0"/>
    <n v="0"/>
    <n v="0"/>
    <n v="0"/>
    <n v="0"/>
    <n v="0"/>
    <n v="0"/>
    <m/>
    <m/>
    <n v="0"/>
    <n v="0"/>
    <n v="0"/>
  </r>
  <r>
    <s v="4.3.3.1"/>
    <x v="2"/>
    <x v="2"/>
    <x v="0"/>
    <x v="9"/>
    <n v="4"/>
    <x v="50"/>
    <x v="50"/>
    <s v="develop the EHP communication strategy"/>
    <s v="Dissemination"/>
    <s v="DSA (excl. lunch)"/>
    <n v="39000"/>
    <m/>
    <m/>
    <n v="0"/>
    <n v="300"/>
    <n v="10"/>
    <n v="133721768.34899999"/>
    <m/>
    <m/>
    <n v="0"/>
    <n v="0"/>
    <n v="0"/>
    <n v="0"/>
    <n v="0"/>
    <n v="0"/>
    <n v="0"/>
    <n v="0"/>
    <n v="0"/>
    <n v="0"/>
    <n v="0"/>
    <n v="0"/>
    <n v="0"/>
    <n v="300"/>
    <n v="10"/>
    <n v="298057193.12672728"/>
    <n v="431778961.47572726"/>
    <n v="419202.87521915266"/>
  </r>
  <r>
    <s v="4.3.3.1"/>
    <x v="2"/>
    <x v="2"/>
    <x v="0"/>
    <x v="9"/>
    <n v="4"/>
    <x v="50"/>
    <x v="50"/>
    <s v="develop the EHP communication strategy"/>
    <s v="Dissemination"/>
    <s v="Conference package high-level"/>
    <n v="35000"/>
    <m/>
    <m/>
    <n v="0"/>
    <n v="300"/>
    <n v="10"/>
    <n v="120006715.18499999"/>
    <m/>
    <m/>
    <n v="0"/>
    <n v="0"/>
    <n v="0"/>
    <n v="0"/>
    <n v="0"/>
    <n v="0"/>
    <n v="0"/>
    <n v="0"/>
    <n v="0"/>
    <n v="0"/>
    <n v="0"/>
    <n v="0"/>
    <n v="0"/>
    <n v="300"/>
    <n v="10"/>
    <n v="267487224.60090911"/>
    <n v="387493939.78590912"/>
    <n v="376207.70853000885"/>
  </r>
  <r>
    <s v="4.3.3.1"/>
    <x v="2"/>
    <x v="2"/>
    <x v="0"/>
    <x v="9"/>
    <n v="4"/>
    <x v="50"/>
    <x v="50"/>
    <s v="develop the EHP communication strategy"/>
    <s v="Dissemination"/>
    <s v="Fuel for travelling participants"/>
    <n v="211.42857142857142"/>
    <m/>
    <m/>
    <n v="0"/>
    <n v="13500"/>
    <n v="1"/>
    <n v="3262223.3597228569"/>
    <m/>
    <m/>
    <n v="0"/>
    <m/>
    <m/>
    <n v="0"/>
    <m/>
    <m/>
    <n v="0"/>
    <m/>
    <m/>
    <n v="0"/>
    <m/>
    <m/>
    <n v="0"/>
    <n v="13500"/>
    <n v="1"/>
    <n v="7271285.3707838962"/>
    <n v="10533508.730506754"/>
    <n v="10226.707505346363"/>
  </r>
  <r>
    <s v="4.3.3.1"/>
    <x v="2"/>
    <x v="2"/>
    <x v="0"/>
    <x v="9"/>
    <n v="4"/>
    <x v="50"/>
    <x v="50"/>
    <s v="develop the EHP communication strategy"/>
    <s v="Dissemination"/>
    <s v="Local running (diesel, per km)"/>
    <n v="211.42857142857142"/>
    <m/>
    <m/>
    <n v="0"/>
    <n v="2500"/>
    <n v="10"/>
    <n v="6041154.3698571427"/>
    <m/>
    <m/>
    <n v="0"/>
    <n v="0"/>
    <n v="0"/>
    <n v="0"/>
    <n v="0"/>
    <n v="0"/>
    <n v="0"/>
    <n v="0"/>
    <n v="0"/>
    <n v="0"/>
    <n v="0"/>
    <n v="0"/>
    <n v="0"/>
    <n v="2500"/>
    <n v="10"/>
    <n v="13465343.279229438"/>
    <n v="19506497.64908658"/>
    <n v="18938.347232122895"/>
  </r>
  <r>
    <s v="4.3.3.1"/>
    <x v="2"/>
    <x v="2"/>
    <x v="0"/>
    <x v="9"/>
    <n v="4"/>
    <x v="50"/>
    <x v="50"/>
    <s v="Develop and Implement guidelines for operationalization of the tertiary level EHP including financing arrangements of EHP services"/>
    <s v="Develop TORs for the already existing taskforce "/>
    <s v="DSA (excl. lunch)"/>
    <n v="39000"/>
    <m/>
    <m/>
    <n v="0"/>
    <n v="16"/>
    <n v="4"/>
    <n v="2852731.0581119996"/>
    <m/>
    <m/>
    <n v="0"/>
    <n v="0"/>
    <n v="0"/>
    <n v="0"/>
    <n v="0"/>
    <n v="0"/>
    <n v="0"/>
    <n v="0"/>
    <n v="0"/>
    <n v="0"/>
    <n v="0"/>
    <n v="0"/>
    <n v="0"/>
    <n v="16"/>
    <n v="4"/>
    <n v="6358553.4533701828"/>
    <n v="9211284.5114821829"/>
    <n v="8942.9946713419249"/>
  </r>
  <r>
    <s v="4.3.3.1"/>
    <x v="2"/>
    <x v="2"/>
    <x v="0"/>
    <x v="9"/>
    <n v="4"/>
    <x v="50"/>
    <x v="50"/>
    <s v="Develop and Implement guidelines for operationalization of the tertiary level EHP including financing arrangements of EHP services"/>
    <s v="Develop TORs for the already existing taskforce "/>
    <s v="Conference package high-level"/>
    <n v="35000"/>
    <m/>
    <m/>
    <n v="0"/>
    <n v="16"/>
    <n v="3"/>
    <n v="1920107.4429599997"/>
    <m/>
    <m/>
    <n v="0"/>
    <n v="0"/>
    <n v="0"/>
    <n v="0"/>
    <n v="0"/>
    <n v="0"/>
    <n v="0"/>
    <n v="0"/>
    <n v="0"/>
    <n v="0"/>
    <n v="0"/>
    <n v="0"/>
    <n v="0"/>
    <n v="16"/>
    <n v="3"/>
    <n v="4279795.5936145466"/>
    <n v="6199903.0365745462"/>
    <n v="6019.3233364801417"/>
  </r>
  <r>
    <s v="4.3.3.1"/>
    <x v="2"/>
    <x v="2"/>
    <x v="0"/>
    <x v="9"/>
    <n v="4"/>
    <x v="50"/>
    <x v="50"/>
    <s v="Develop and Implement guidelines for operationalization of the tertiary level EHP including financing arrangements of EHP services"/>
    <s v="Develop TORs for the already existing taskforce "/>
    <s v="Local running (diesel, per km)"/>
    <n v="211.42857142857142"/>
    <m/>
    <m/>
    <n v="0"/>
    <n v="250"/>
    <n v="3"/>
    <n v="181234.63109571426"/>
    <m/>
    <m/>
    <n v="0"/>
    <n v="0"/>
    <n v="0"/>
    <n v="0"/>
    <n v="0"/>
    <n v="0"/>
    <n v="0"/>
    <n v="0"/>
    <n v="0"/>
    <n v="0"/>
    <n v="0"/>
    <n v="0"/>
    <n v="0"/>
    <n v="250"/>
    <n v="3"/>
    <n v="403960.29837688315"/>
    <n v="585194.92947259743"/>
    <n v="568.15041696368678"/>
  </r>
  <r>
    <s v="4.3.3.1"/>
    <x v="2"/>
    <x v="2"/>
    <x v="0"/>
    <x v="9"/>
    <n v="4"/>
    <x v="50"/>
    <x v="50"/>
    <s v="Develop and Implement guidelines for operationalization of the tertiary level EHP including financing arrangements of EHP services"/>
    <s v="Hold consultative workshops for development of the guidelines "/>
    <s v="DSA (excl. lunch)"/>
    <n v="39000"/>
    <m/>
    <m/>
    <n v="0"/>
    <n v="30"/>
    <n v="10"/>
    <n v="13372176.834899997"/>
    <m/>
    <m/>
    <n v="0"/>
    <n v="0"/>
    <n v="0"/>
    <n v="0"/>
    <n v="0"/>
    <n v="0"/>
    <n v="0"/>
    <n v="0"/>
    <n v="0"/>
    <n v="0"/>
    <n v="0"/>
    <n v="0"/>
    <n v="0"/>
    <n v="30"/>
    <n v="10"/>
    <n v="29805719.312672731"/>
    <n v="43177896.147572726"/>
    <n v="41920.28752191527"/>
  </r>
  <r>
    <s v="4.3.3.1"/>
    <x v="2"/>
    <x v="2"/>
    <x v="0"/>
    <x v="9"/>
    <n v="4"/>
    <x v="50"/>
    <x v="50"/>
    <s v="Develop and Implement guidelines for operationalization of the tertiary level EHP including financing arrangements of EHP services"/>
    <s v="Hold consultative workshops for development of the guidelines "/>
    <s v="Conference package high-level"/>
    <n v="35000"/>
    <m/>
    <m/>
    <n v="0"/>
    <n v="30"/>
    <n v="10"/>
    <n v="12000671.518499998"/>
    <m/>
    <m/>
    <n v="0"/>
    <n v="0"/>
    <n v="0"/>
    <n v="0"/>
    <n v="0"/>
    <n v="0"/>
    <n v="0"/>
    <n v="0"/>
    <n v="0"/>
    <n v="0"/>
    <n v="0"/>
    <n v="0"/>
    <n v="0"/>
    <n v="30"/>
    <n v="10"/>
    <n v="26748722.460090913"/>
    <n v="38749393.978590913"/>
    <n v="37620.770853000889"/>
  </r>
  <r>
    <s v="4.3.3.1"/>
    <x v="2"/>
    <x v="2"/>
    <x v="0"/>
    <x v="9"/>
    <n v="4"/>
    <x v="50"/>
    <x v="50"/>
    <s v="Develop and Implement guidelines for operationalization of the tertiary level EHP including financing arrangements of EHP services"/>
    <s v="Hold consultative workshops for development of the guidelines "/>
    <s v="Local running (diesel, per km)"/>
    <n v="211.42857142857142"/>
    <m/>
    <m/>
    <n v="0"/>
    <n v="2700"/>
    <n v="10"/>
    <n v="6524446.7194457129"/>
    <m/>
    <m/>
    <n v="0"/>
    <n v="0"/>
    <n v="0"/>
    <n v="0"/>
    <n v="0"/>
    <n v="0"/>
    <n v="0"/>
    <n v="0"/>
    <n v="0"/>
    <n v="0"/>
    <n v="0"/>
    <n v="0"/>
    <n v="0"/>
    <n v="2700"/>
    <n v="10"/>
    <n v="14542570.741567794"/>
    <n v="21067017.461013507"/>
    <n v="20453.415010692726"/>
  </r>
  <r>
    <s v="4.3.3.1"/>
    <x v="2"/>
    <x v="2"/>
    <x v="0"/>
    <x v="9"/>
    <n v="4"/>
    <x v="50"/>
    <x v="50"/>
    <s v="Develop and Implement guidelines for operationalization of the tertiary level EHP including financing arrangements of EHP services"/>
    <s v=" Hold Validation workshops "/>
    <s v="DSA (excl. lunch)"/>
    <n v="39000"/>
    <m/>
    <m/>
    <n v="0"/>
    <n v="58"/>
    <n v="6"/>
    <n v="15511725.128483998"/>
    <m/>
    <m/>
    <n v="0"/>
    <n v="0"/>
    <n v="0"/>
    <n v="0"/>
    <n v="0"/>
    <n v="0"/>
    <n v="0"/>
    <n v="0"/>
    <n v="0"/>
    <n v="0"/>
    <n v="0"/>
    <n v="0"/>
    <n v="0"/>
    <n v="58"/>
    <n v="6"/>
    <n v="34574634.402700365"/>
    <n v="50086359.53118436"/>
    <n v="48627.533525421706"/>
  </r>
  <r>
    <s v="4.3.3.1"/>
    <x v="2"/>
    <x v="2"/>
    <x v="0"/>
    <x v="9"/>
    <n v="4"/>
    <x v="50"/>
    <x v="50"/>
    <s v="Develop and Implement guidelines for operationalization of the tertiary level EHP including financing arrangements of EHP services"/>
    <s v=" Hold Validation workshops "/>
    <s v="Conference package high-level"/>
    <n v="35000"/>
    <m/>
    <m/>
    <n v="0"/>
    <n v="100"/>
    <n v="6"/>
    <n v="24001343.036999997"/>
    <m/>
    <m/>
    <n v="0"/>
    <n v="0"/>
    <n v="0"/>
    <n v="0"/>
    <n v="0"/>
    <n v="0"/>
    <n v="0"/>
    <n v="0"/>
    <n v="0"/>
    <n v="0"/>
    <n v="0"/>
    <n v="0"/>
    <n v="0"/>
    <n v="100"/>
    <n v="6"/>
    <n v="53497444.920181833"/>
    <n v="77498787.957181826"/>
    <n v="75241.541706001779"/>
  </r>
  <r>
    <s v="4.3.3.1"/>
    <x v="2"/>
    <x v="2"/>
    <x v="0"/>
    <x v="9"/>
    <n v="4"/>
    <x v="50"/>
    <x v="50"/>
    <s v="Develop and Implement guidelines for operationalization of the tertiary level EHP including financing arrangements of EHP services"/>
    <s v=" Hold Validation workshops "/>
    <s v="Fuel for travelling participants"/>
    <n v="211.42857142857142"/>
    <m/>
    <m/>
    <n v="0"/>
    <n v="7830"/>
    <n v="1"/>
    <n v="1892089.548639257"/>
    <m/>
    <m/>
    <n v="0"/>
    <m/>
    <m/>
    <n v="0"/>
    <m/>
    <m/>
    <n v="0"/>
    <m/>
    <m/>
    <n v="0"/>
    <m/>
    <m/>
    <n v="0"/>
    <n v="7830"/>
    <n v="1"/>
    <n v="4217345.5150546599"/>
    <n v="6109435.0636939164"/>
    <n v="5931.4903531008895"/>
  </r>
  <r>
    <s v="4.3.3.1"/>
    <x v="2"/>
    <x v="2"/>
    <x v="0"/>
    <x v="9"/>
    <n v="4"/>
    <x v="50"/>
    <x v="50"/>
    <s v="Develop and Implement guidelines for operationalization of the tertiary level EHP including financing arrangements of EHP services"/>
    <s v=" Hold Validation workshops "/>
    <s v="Local running (diesel, per km)"/>
    <n v="211.42857142857142"/>
    <m/>
    <m/>
    <n v="0"/>
    <n v="1450"/>
    <n v="6"/>
    <n v="2102321.7207102855"/>
    <m/>
    <m/>
    <n v="0"/>
    <n v="0"/>
    <n v="0"/>
    <n v="0"/>
    <n v="0"/>
    <n v="0"/>
    <n v="0"/>
    <n v="0"/>
    <n v="0"/>
    <n v="0"/>
    <n v="0"/>
    <n v="0"/>
    <n v="0"/>
    <n v="1450"/>
    <n v="6"/>
    <n v="4685939.461171845"/>
    <n v="6788261.18188213"/>
    <n v="6590.5448367787667"/>
  </r>
  <r>
    <s v="4.3.3.1"/>
    <x v="2"/>
    <x v="2"/>
    <x v="0"/>
    <x v="9"/>
    <n v="4"/>
    <x v="50"/>
    <x v="50"/>
    <s v="Develop and Implement guidelines for operationalization of the tertiary level EHP including financing arrangements of EHP services"/>
    <s v="Present to TWG"/>
    <s v="Conference package high-level"/>
    <n v="35000"/>
    <m/>
    <m/>
    <n v="0"/>
    <n v="30"/>
    <n v="1"/>
    <n v="1200067.1518499998"/>
    <m/>
    <m/>
    <n v="0"/>
    <n v="0"/>
    <n v="0"/>
    <n v="0"/>
    <n v="0"/>
    <n v="0"/>
    <n v="0"/>
    <n v="0"/>
    <n v="0"/>
    <n v="0"/>
    <n v="0"/>
    <n v="0"/>
    <n v="0"/>
    <n v="30"/>
    <n v="1"/>
    <n v="2674872.2460090914"/>
    <n v="3874939.3978590909"/>
    <n v="3762.0770853000881"/>
  </r>
  <r>
    <s v="4.3.3.1"/>
    <x v="2"/>
    <x v="2"/>
    <x v="0"/>
    <x v="9"/>
    <n v="4"/>
    <x v="50"/>
    <x v="50"/>
    <s v="Develop and Implement guidelines for operationalization of the tertiary level EHP including financing arrangements of EHP services"/>
    <s v="Present to senior Management for approval"/>
    <s v="zero cost"/>
    <n v="0"/>
    <m/>
    <m/>
    <n v="0"/>
    <n v="0"/>
    <n v="0"/>
    <n v="0"/>
    <m/>
    <m/>
    <n v="0"/>
    <n v="0"/>
    <n v="0"/>
    <n v="0"/>
    <n v="0"/>
    <n v="0"/>
    <n v="0"/>
    <n v="0"/>
    <n v="0"/>
    <n v="0"/>
    <n v="0"/>
    <n v="0"/>
    <n v="0"/>
    <n v="0"/>
    <n v="0"/>
    <n v="0"/>
    <n v="0"/>
    <n v="0"/>
  </r>
  <r>
    <s v="4.3.3.1"/>
    <x v="2"/>
    <x v="2"/>
    <x v="0"/>
    <x v="9"/>
    <n v="4"/>
    <x v="50"/>
    <x v="50"/>
    <s v="Develop and Implement guidelines for operationalization of the tertiary level EHP including financing arrangements of EHP services"/>
    <s v="Disseminate the new guidelines"/>
    <s v="DSA (excl. lunch)"/>
    <n v="39000"/>
    <m/>
    <m/>
    <n v="0"/>
    <n v="25"/>
    <n v="10"/>
    <n v="11143480.695749998"/>
    <m/>
    <m/>
    <n v="0"/>
    <n v="0"/>
    <n v="0"/>
    <n v="0"/>
    <n v="0"/>
    <n v="0"/>
    <n v="0"/>
    <n v="0"/>
    <n v="0"/>
    <n v="0"/>
    <n v="0"/>
    <n v="0"/>
    <n v="0"/>
    <n v="25"/>
    <n v="10"/>
    <n v="24838099.427227274"/>
    <n v="35981580.122977272"/>
    <n v="34933.572934929391"/>
  </r>
  <r>
    <s v="4.3.3.1"/>
    <x v="2"/>
    <x v="2"/>
    <x v="0"/>
    <x v="9"/>
    <n v="4"/>
    <x v="50"/>
    <x v="50"/>
    <s v="Develop and Implement guidelines for operationalization of the tertiary level EHP including financing arrangements of EHP services"/>
    <s v="Disseminate the new guidelines"/>
    <s v="Conference package high-level"/>
    <n v="35000"/>
    <m/>
    <m/>
    <n v="0"/>
    <n v="60"/>
    <n v="10"/>
    <n v="24001343.036999997"/>
    <m/>
    <m/>
    <n v="0"/>
    <n v="0"/>
    <n v="0"/>
    <n v="0"/>
    <n v="0"/>
    <n v="0"/>
    <n v="0"/>
    <n v="0"/>
    <n v="0"/>
    <n v="0"/>
    <n v="0"/>
    <n v="0"/>
    <n v="0"/>
    <n v="60"/>
    <n v="10"/>
    <n v="53497444.920181826"/>
    <n v="77498787.957181826"/>
    <n v="75241.541706001779"/>
  </r>
  <r>
    <s v="4.3.3.1"/>
    <x v="2"/>
    <x v="2"/>
    <x v="0"/>
    <x v="9"/>
    <n v="4"/>
    <x v="50"/>
    <x v="50"/>
    <s v="Develop and Implement guidelines for operationalization of the tertiary level EHP including financing arrangements of EHP services"/>
    <s v="Disseminate the new guidelines"/>
    <s v="Local running (diesel, per km)"/>
    <n v="211.42857142857142"/>
    <m/>
    <m/>
    <n v="0"/>
    <n v="750"/>
    <n v="9"/>
    <n v="1631111.6798614282"/>
    <m/>
    <m/>
    <n v="0"/>
    <n v="0"/>
    <n v="0"/>
    <n v="0"/>
    <n v="0"/>
    <n v="0"/>
    <n v="0"/>
    <n v="0"/>
    <n v="0"/>
    <n v="0"/>
    <n v="0"/>
    <n v="0"/>
    <n v="0"/>
    <n v="750"/>
    <n v="9"/>
    <n v="3635642.6853919486"/>
    <n v="5266754.3652533768"/>
    <n v="5113.3537526731816"/>
  </r>
  <r>
    <s v="4.3.3.1"/>
    <x v="2"/>
    <x v="2"/>
    <x v="0"/>
    <x v="9"/>
    <n v="4"/>
    <x v="50"/>
    <x v="50"/>
    <s v="Develop and Implement guidelines for operationalization of the tertiary level EHP including financing arrangements of EHP services"/>
    <s v="Disseminate the new guidelines"/>
    <s v="Fuel for travelling participants"/>
    <n v="211.42857142857142"/>
    <m/>
    <m/>
    <n v="0"/>
    <n v="4050"/>
    <n v="1"/>
    <n v="978667.00791685702"/>
    <m/>
    <m/>
    <n v="0"/>
    <m/>
    <m/>
    <n v="0"/>
    <m/>
    <m/>
    <n v="0"/>
    <m/>
    <m/>
    <n v="0"/>
    <m/>
    <m/>
    <n v="0"/>
    <n v="4050"/>
    <n v="1"/>
    <n v="2181385.6112351688"/>
    <n v="3160052.6191520258"/>
    <n v="3068.0122516039087"/>
  </r>
  <r>
    <s v="4.3.3.1"/>
    <x v="2"/>
    <x v="2"/>
    <x v="0"/>
    <x v="9"/>
    <n v="4"/>
    <x v="50"/>
    <x v="50"/>
    <s v="Develop and Implement guidelines for operationalization of the tertiary level EHP including financing arrangements of EHP services"/>
    <s v="Train health service providers on the new guidelines"/>
    <s v="DSA (excl. lunch)"/>
    <n v="39000"/>
    <m/>
    <m/>
    <n v="0"/>
    <n v="25"/>
    <n v="4"/>
    <n v="4457392.2782999994"/>
    <m/>
    <m/>
    <n v="0"/>
    <n v="0"/>
    <n v="0"/>
    <n v="0"/>
    <n v="0"/>
    <n v="0"/>
    <n v="0"/>
    <n v="0"/>
    <n v="0"/>
    <n v="0"/>
    <n v="0"/>
    <n v="0"/>
    <n v="0"/>
    <n v="25"/>
    <n v="4"/>
    <n v="9935239.7708909102"/>
    <n v="14392632.049190909"/>
    <n v="13973.429173971756"/>
  </r>
  <r>
    <s v="4.3.3.1"/>
    <x v="2"/>
    <x v="2"/>
    <x v="0"/>
    <x v="9"/>
    <n v="4"/>
    <x v="50"/>
    <x v="50"/>
    <s v="Develop and Implement guidelines for operationalization of the tertiary level EHP including financing arrangements of EHP services"/>
    <s v="Train health service providers on the new guidelines"/>
    <s v="Conference package high-level"/>
    <n v="35000"/>
    <m/>
    <m/>
    <n v="0"/>
    <n v="30"/>
    <n v="3"/>
    <n v="3600201.4555499991"/>
    <m/>
    <m/>
    <n v="0"/>
    <n v="0"/>
    <n v="0"/>
    <n v="0"/>
    <n v="0"/>
    <n v="0"/>
    <n v="0"/>
    <n v="0"/>
    <n v="0"/>
    <n v="0"/>
    <n v="0"/>
    <n v="0"/>
    <n v="0"/>
    <n v="30"/>
    <n v="3"/>
    <n v="8024616.7380272746"/>
    <n v="11624818.193577275"/>
    <n v="11286.231255900268"/>
  </r>
  <r>
    <s v="4.3.3.1"/>
    <x v="2"/>
    <x v="2"/>
    <x v="0"/>
    <x v="9"/>
    <n v="4"/>
    <x v="50"/>
    <x v="50"/>
    <s v="Develop and Implement guidelines for operationalization of the tertiary level EHP including financing arrangements of EHP services"/>
    <s v="Train health service providers on the new guidelines"/>
    <s v="Fuel for travelling participants"/>
    <n v="211.42857142857142"/>
    <m/>
    <m/>
    <n v="0"/>
    <n v="2700"/>
    <n v="1"/>
    <n v="652444.67194457131"/>
    <m/>
    <m/>
    <n v="0"/>
    <m/>
    <m/>
    <n v="0"/>
    <m/>
    <m/>
    <n v="0"/>
    <m/>
    <m/>
    <n v="0"/>
    <m/>
    <m/>
    <n v="0"/>
    <n v="2700"/>
    <n v="1"/>
    <n v="1454257.0741567793"/>
    <n v="2106701.7461013505"/>
    <n v="2045.3415010692725"/>
  </r>
  <r>
    <s v="4.3.3.1"/>
    <x v="2"/>
    <x v="2"/>
    <x v="0"/>
    <x v="9"/>
    <n v="4"/>
    <x v="50"/>
    <x v="50"/>
    <s v="Develop and Implement guidelines for operationalization of the tertiary level EHP including financing arrangements of EHP services"/>
    <s v="Train health service providers on the new guidelines"/>
    <s v="Local running (diesel, per km)"/>
    <n v="211.42857142857142"/>
    <m/>
    <m/>
    <n v="0"/>
    <n v="500"/>
    <n v="3"/>
    <n v="362469.26219142851"/>
    <m/>
    <m/>
    <n v="0"/>
    <n v="0"/>
    <n v="0"/>
    <n v="0"/>
    <n v="0"/>
    <n v="0"/>
    <n v="0"/>
    <n v="0"/>
    <n v="0"/>
    <n v="0"/>
    <n v="0"/>
    <n v="0"/>
    <n v="0"/>
    <n v="500"/>
    <n v="3"/>
    <n v="807920.59675376629"/>
    <n v="1170389.8589451949"/>
    <n v="1136.3008339273736"/>
  </r>
  <r>
    <s v="4.3.3.1"/>
    <x v="2"/>
    <x v="2"/>
    <x v="0"/>
    <x v="9"/>
    <n v="4"/>
    <x v="50"/>
    <x v="50"/>
    <s v="Conduct review meetings"/>
    <s v="Hold 3days quarterly zonal review workshop "/>
    <s v="DSA (excl. lunch)"/>
    <n v="39000"/>
    <m/>
    <m/>
    <n v="0"/>
    <n v="58"/>
    <n v="12"/>
    <n v="31023450.256967995"/>
    <m/>
    <m/>
    <n v="0"/>
    <m/>
    <m/>
    <n v="0"/>
    <m/>
    <m/>
    <n v="0"/>
    <n v="0"/>
    <n v="0"/>
    <n v="0"/>
    <n v="0"/>
    <n v="0"/>
    <n v="0"/>
    <n v="58"/>
    <n v="12"/>
    <n v="69149268.805400729"/>
    <n v="100172719.06236872"/>
    <n v="97255.067050843412"/>
  </r>
  <r>
    <s v="4.3.3.1"/>
    <x v="2"/>
    <x v="2"/>
    <x v="0"/>
    <x v="9"/>
    <n v="4"/>
    <x v="50"/>
    <x v="50"/>
    <s v="Conduct review meetings"/>
    <s v="Hold 3days quarterly zonal review workshop "/>
    <s v="Conference package high-level"/>
    <n v="35000"/>
    <m/>
    <m/>
    <n v="0"/>
    <n v="100"/>
    <n v="12"/>
    <n v="48002686.073999994"/>
    <m/>
    <m/>
    <n v="0"/>
    <m/>
    <m/>
    <n v="0"/>
    <m/>
    <m/>
    <n v="0"/>
    <n v="0"/>
    <n v="0"/>
    <n v="0"/>
    <n v="0"/>
    <n v="0"/>
    <n v="0"/>
    <n v="100"/>
    <n v="12"/>
    <n v="106994889.84036367"/>
    <n v="154997575.91436365"/>
    <n v="150483.08341200356"/>
  </r>
  <r>
    <s v="4.3.3.1"/>
    <x v="2"/>
    <x v="2"/>
    <x v="0"/>
    <x v="9"/>
    <n v="4"/>
    <x v="50"/>
    <x v="50"/>
    <s v="Conduct review meetings"/>
    <s v="Hold 3days quarterly zonal review workshop "/>
    <s v="Fuel for travelling participants"/>
    <n v="211.42857142857142"/>
    <m/>
    <m/>
    <n v="0"/>
    <n v="7830"/>
    <n v="1"/>
    <n v="1892089.548639257"/>
    <m/>
    <m/>
    <n v="0"/>
    <m/>
    <m/>
    <n v="0"/>
    <m/>
    <m/>
    <n v="0"/>
    <m/>
    <m/>
    <n v="0"/>
    <m/>
    <m/>
    <n v="0"/>
    <n v="7830"/>
    <n v="1"/>
    <n v="4217345.5150546599"/>
    <n v="6109435.0636939164"/>
    <n v="5931.4903531008895"/>
  </r>
  <r>
    <s v="4.3.3.1"/>
    <x v="2"/>
    <x v="2"/>
    <x v="0"/>
    <x v="9"/>
    <n v="4"/>
    <x v="50"/>
    <x v="50"/>
    <s v="Conduct review meetings"/>
    <s v="Hold 3days quarterly zonal review workshop "/>
    <s v="Local running (diesel, per km)"/>
    <n v="211.42857142857142"/>
    <m/>
    <m/>
    <n v="0"/>
    <n v="1450"/>
    <n v="12"/>
    <n v="4204643.4414205709"/>
    <m/>
    <m/>
    <n v="0"/>
    <m/>
    <m/>
    <n v="0"/>
    <m/>
    <m/>
    <n v="0"/>
    <n v="0"/>
    <n v="0"/>
    <n v="0"/>
    <n v="0"/>
    <n v="0"/>
    <n v="0"/>
    <n v="1450"/>
    <n v="12"/>
    <n v="9371878.9223436899"/>
    <n v="13576522.36376426"/>
    <n v="13181.089673557533"/>
  </r>
  <r>
    <s v="4.3.3.1"/>
    <x v="2"/>
    <x v="2"/>
    <x v="0"/>
    <x v="9"/>
    <n v="4"/>
    <x v="50"/>
    <x v="50"/>
    <s v="Conduct review meetings"/>
    <s v="conduct Joint annual review meetings "/>
    <s v="DSA (excl. lunch)"/>
    <n v="39000"/>
    <m/>
    <m/>
    <n v="0"/>
    <n v="300"/>
    <n v="2"/>
    <n v="26744353.669799998"/>
    <m/>
    <m/>
    <n v="0"/>
    <m/>
    <m/>
    <n v="0"/>
    <m/>
    <m/>
    <n v="0"/>
    <n v="0"/>
    <n v="0"/>
    <n v="0"/>
    <n v="0"/>
    <n v="0"/>
    <n v="0"/>
    <n v="300"/>
    <n v="2"/>
    <n v="59611438.625345461"/>
    <n v="86355792.295145452"/>
    <n v="83840.57504383054"/>
  </r>
  <r>
    <s v="4.3.3.1"/>
    <x v="2"/>
    <x v="2"/>
    <x v="0"/>
    <x v="9"/>
    <n v="4"/>
    <x v="50"/>
    <x v="50"/>
    <s v="Conduct review meetings"/>
    <s v="conduct Joint annual review meetings "/>
    <s v="Conference package high-level"/>
    <n v="35000"/>
    <m/>
    <m/>
    <n v="0"/>
    <n v="300"/>
    <n v="2"/>
    <n v="24001343.036999997"/>
    <m/>
    <m/>
    <n v="0"/>
    <m/>
    <m/>
    <n v="0"/>
    <m/>
    <m/>
    <n v="0"/>
    <n v="0"/>
    <n v="0"/>
    <n v="0"/>
    <n v="0"/>
    <n v="0"/>
    <n v="0"/>
    <n v="300"/>
    <n v="2"/>
    <n v="53497444.920181826"/>
    <n v="77498787.957181826"/>
    <n v="75241.541706001779"/>
  </r>
  <r>
    <s v="4.3.3.1"/>
    <x v="2"/>
    <x v="2"/>
    <x v="0"/>
    <x v="9"/>
    <n v="4"/>
    <x v="50"/>
    <x v="50"/>
    <s v="Conduct review meetings"/>
    <s v="conduct Joint annual review meetings "/>
    <s v="Local running (diesel, per km)"/>
    <n v="211.42857142857142"/>
    <m/>
    <m/>
    <n v="0"/>
    <n v="3750"/>
    <n v="2"/>
    <n v="1812346.3109571426"/>
    <m/>
    <m/>
    <n v="0"/>
    <m/>
    <m/>
    <n v="0"/>
    <m/>
    <m/>
    <n v="0"/>
    <n v="0"/>
    <n v="0"/>
    <n v="0"/>
    <n v="0"/>
    <n v="0"/>
    <n v="0"/>
    <n v="3750"/>
    <n v="2"/>
    <n v="4039602.9837688315"/>
    <n v="5851949.2947259741"/>
    <n v="5681.504169636868"/>
  </r>
  <r>
    <s v="4.3.3.1"/>
    <x v="2"/>
    <x v="2"/>
    <x v="0"/>
    <x v="9"/>
    <n v="4"/>
    <x v="50"/>
    <x v="50"/>
    <s v="Conduct review meetings"/>
    <s v="Hold 3days quarterly zonal review workshop "/>
    <s v="Fuel for travelling participants"/>
    <n v="211.42857142857142"/>
    <m/>
    <m/>
    <n v="0"/>
    <n v="20250"/>
    <n v="1"/>
    <n v="4893335.0395842846"/>
    <m/>
    <m/>
    <n v="0"/>
    <m/>
    <m/>
    <n v="0"/>
    <m/>
    <m/>
    <n v="0"/>
    <m/>
    <m/>
    <n v="0"/>
    <m/>
    <m/>
    <n v="0"/>
    <n v="20250"/>
    <n v="1"/>
    <n v="10906928.056175845"/>
    <n v="15800263.095760129"/>
    <n v="15340.061258019543"/>
  </r>
  <r>
    <s v="4.3.3.2"/>
    <x v="2"/>
    <x v="2"/>
    <x v="1"/>
    <x v="10"/>
    <n v="1"/>
    <x v="51"/>
    <x v="51"/>
    <s v="Engange treasury and NLGFC on implementation modalities of the formula"/>
    <s v="Conduct a two day workshop "/>
    <s v="Conference package high-level"/>
    <n v="35000"/>
    <n v="30"/>
    <n v="2"/>
    <n v="2100000"/>
    <n v="0"/>
    <n v="0"/>
    <n v="0"/>
    <n v="0"/>
    <n v="0"/>
    <n v="0"/>
    <n v="0"/>
    <n v="0"/>
    <n v="0"/>
    <m/>
    <m/>
    <n v="0"/>
    <n v="30"/>
    <n v="2"/>
    <n v="4095439.7532831929"/>
    <n v="0"/>
    <n v="0"/>
    <n v="0"/>
    <n v="0"/>
    <n v="0"/>
    <n v="0"/>
    <n v="6195439.7532831933"/>
    <n v="6014.9900517312553"/>
  </r>
  <r>
    <s v="4.3.3.2"/>
    <x v="2"/>
    <x v="2"/>
    <x v="1"/>
    <x v="10"/>
    <n v="1"/>
    <x v="51"/>
    <x v="51"/>
    <s v="Engage donor partners on implementation modalities of the formula."/>
    <s v="Conduct a 2days meeting with the Health Donor Group to orient them on the formula (CHAI, Global Fund, GAVI, HSJF, WHO, USAID etc)"/>
    <s v="Conference package high-level"/>
    <n v="35000"/>
    <n v="30"/>
    <n v="2"/>
    <n v="2100000"/>
    <n v="0"/>
    <n v="0"/>
    <n v="0"/>
    <n v="0"/>
    <n v="0"/>
    <n v="0"/>
    <n v="0"/>
    <n v="0"/>
    <n v="0"/>
    <m/>
    <m/>
    <n v="0"/>
    <n v="30"/>
    <n v="2"/>
    <n v="4095439.7532831929"/>
    <n v="0"/>
    <n v="0"/>
    <n v="0"/>
    <n v="0"/>
    <n v="0"/>
    <n v="0"/>
    <n v="6195439.7532831933"/>
    <n v="6014.9900517312553"/>
  </r>
  <r>
    <s v="4.3.3.2"/>
    <x v="2"/>
    <x v="2"/>
    <x v="1"/>
    <x v="10"/>
    <n v="1"/>
    <x v="51"/>
    <x v="51"/>
    <s v="Dissemination of the district allocation formulae (DHMT,district council, facility representatives, donors)"/>
    <s v="Dissemination workshops"/>
    <s v="Conference package high-level"/>
    <n v="35000"/>
    <n v="100"/>
    <n v="1"/>
    <n v="3500000"/>
    <n v="0"/>
    <n v="0"/>
    <n v="0"/>
    <n v="0"/>
    <n v="0"/>
    <n v="0"/>
    <n v="0"/>
    <n v="0"/>
    <n v="0"/>
    <m/>
    <m/>
    <n v="0"/>
    <n v="100"/>
    <n v="1"/>
    <n v="6825732.9221386546"/>
    <n v="0"/>
    <n v="0"/>
    <n v="0"/>
    <n v="0"/>
    <n v="0"/>
    <n v="0"/>
    <n v="10325732.922138654"/>
    <n v="10024.983419552091"/>
  </r>
  <r>
    <s v="4.3.3.2"/>
    <x v="2"/>
    <x v="2"/>
    <x v="1"/>
    <x v="10"/>
    <n v="1"/>
    <x v="51"/>
    <x v="51"/>
    <s v="Dissemination of the district allocation formulae (DHMT,district council, facility representatives, donors)"/>
    <s v="Dissemination workshops"/>
    <s v="Local running (diesel, per km)"/>
    <n v="211.42857142857142"/>
    <n v="450"/>
    <n v="1"/>
    <n v="95142.85714285713"/>
    <n v="0"/>
    <n v="0"/>
    <n v="0"/>
    <n v="0"/>
    <n v="0"/>
    <n v="0"/>
    <n v="0"/>
    <n v="0"/>
    <n v="0"/>
    <m/>
    <m/>
    <n v="0"/>
    <n v="450"/>
    <n v="1"/>
    <n v="185548.49494466712"/>
    <n v="0"/>
    <n v="0"/>
    <n v="0"/>
    <n v="0"/>
    <n v="0"/>
    <n v="0"/>
    <n v="280691.35208752425"/>
    <n v="272.51587581313032"/>
  </r>
  <r>
    <s v="4.3.3.2"/>
    <x v="2"/>
    <x v="2"/>
    <x v="1"/>
    <x v="10"/>
    <n v="1"/>
    <x v="51"/>
    <x v="51"/>
    <s v="Dissemination of the district allocation formulae (DHMT,district council, facility representatives, donors)"/>
    <s v="Dissemination workshops"/>
    <s v="Fuel for traveling participants"/>
    <n v="211.42857142857142"/>
    <n v="2430"/>
    <n v="1"/>
    <n v="513771.42857142852"/>
    <m/>
    <m/>
    <n v="0"/>
    <m/>
    <m/>
    <n v="0"/>
    <m/>
    <m/>
    <n v="0"/>
    <m/>
    <m/>
    <n v="0"/>
    <n v="2430"/>
    <n v="1"/>
    <n v="1001961.8727012025"/>
    <m/>
    <m/>
    <n v="0"/>
    <m/>
    <m/>
    <n v="0"/>
    <n v="1515733.3012726312"/>
    <n v="1471.5857293909041"/>
  </r>
  <r>
    <s v="4.3.3.2"/>
    <x v="2"/>
    <x v="2"/>
    <x v="1"/>
    <x v="10"/>
    <n v="1"/>
    <x v="51"/>
    <x v="51"/>
    <s v="Dissemination of the district allocation formulae (DHMT,district council, facility representatives, donors)"/>
    <s v="Dissemination workshops"/>
    <s v="DSA (excl. lunch)"/>
    <n v="39000"/>
    <n v="58"/>
    <n v="1"/>
    <n v="2262000"/>
    <n v="0"/>
    <n v="0"/>
    <n v="0"/>
    <n v="0"/>
    <n v="0"/>
    <n v="0"/>
    <n v="0"/>
    <n v="0"/>
    <n v="0"/>
    <m/>
    <m/>
    <n v="0"/>
    <n v="58"/>
    <n v="1"/>
    <n v="4411373.6771078967"/>
    <n v="0"/>
    <n v="0"/>
    <n v="0"/>
    <n v="0"/>
    <n v="0"/>
    <n v="0"/>
    <n v="6673373.6771078967"/>
    <n v="6479.0035700076669"/>
  </r>
  <r>
    <s v="4.3.3.2"/>
    <x v="2"/>
    <x v="2"/>
    <x v="1"/>
    <x v="10"/>
    <n v="1"/>
    <x v="51"/>
    <x v="51"/>
    <s v="Conduct advocacy meeting with treasury and NLGFC for more resources for implementing the formula."/>
    <s v="conduct workshop"/>
    <s v="Conference package high-level"/>
    <n v="35000"/>
    <n v="30"/>
    <n v="1"/>
    <n v="1050000"/>
    <n v="0"/>
    <n v="0"/>
    <n v="0"/>
    <n v="0"/>
    <n v="0"/>
    <n v="0"/>
    <n v="0"/>
    <n v="0"/>
    <n v="0"/>
    <m/>
    <m/>
    <n v="0"/>
    <n v="30"/>
    <n v="1"/>
    <n v="2047719.8766415964"/>
    <n v="0"/>
    <n v="0"/>
    <n v="0"/>
    <n v="0"/>
    <n v="0"/>
    <n v="0"/>
    <n v="3097719.8766415967"/>
    <n v="3007.4950258656277"/>
  </r>
  <r>
    <s v="4.3.3.2"/>
    <x v="2"/>
    <x v="2"/>
    <x v="1"/>
    <x v="10"/>
    <n v="1"/>
    <x v="51"/>
    <x v="51"/>
    <s v="Monitor implementation of the formula overtime and add any changes to the formula"/>
    <s v="Quarterly meeting"/>
    <s v="Conference package high-level"/>
    <n v="35000"/>
    <n v="15"/>
    <n v="4"/>
    <n v="2100000"/>
    <n v="15"/>
    <n v="4"/>
    <n v="2400134.3036999996"/>
    <n v="15"/>
    <n v="4"/>
    <n v="2743164.1313321344"/>
    <n v="15"/>
    <n v="4"/>
    <n v="3135220.1582331755"/>
    <n v="15"/>
    <n v="4"/>
    <n v="3583309.2625843743"/>
    <n v="15"/>
    <n v="4"/>
    <n v="4095439.7532831929"/>
    <n v="15"/>
    <n v="4"/>
    <n v="4680764.4955198364"/>
    <n v="15"/>
    <n v="4"/>
    <n v="5349744.4920181828"/>
    <n v="28087776.596670892"/>
    <n v="27269.686016185333"/>
  </r>
  <r>
    <s v="4.3.3.2"/>
    <x v="2"/>
    <x v="2"/>
    <x v="1"/>
    <x v="10"/>
    <n v="1"/>
    <x v="51"/>
    <x v="51"/>
    <s v="Monitor implementation of the formula overtime and add any changes to the formula"/>
    <s v="Quarterly meeting"/>
    <s v="DSA (excl. lunch)"/>
    <n v="39000"/>
    <n v="15"/>
    <n v="12"/>
    <n v="7020000"/>
    <n v="15"/>
    <n v="12"/>
    <n v="8023306.1009399984"/>
    <n v="15"/>
    <n v="12"/>
    <n v="9170005.8104531355"/>
    <n v="15"/>
    <n v="12"/>
    <n v="10480593.100379471"/>
    <n v="15"/>
    <n v="12"/>
    <n v="11978490.963496335"/>
    <n v="15"/>
    <n v="12"/>
    <n v="13690470.032403817"/>
    <n v="15"/>
    <n v="12"/>
    <n v="15647127.027880596"/>
    <n v="15"/>
    <n v="12"/>
    <n v="17883431.58760364"/>
    <n v="93893424.623156995"/>
    <n v="91158.664682676696"/>
  </r>
  <r>
    <s v="4.3.3.2"/>
    <x v="2"/>
    <x v="2"/>
    <x v="1"/>
    <x v="10"/>
    <n v="1"/>
    <x v="51"/>
    <x v="51"/>
    <s v="Monitor implementation of the formula overtime and add any changes to the formula"/>
    <s v="Quarterly meeting"/>
    <s v="Local running (diesel, per km)"/>
    <n v="211.42857142857142"/>
    <n v="4000"/>
    <n v="4"/>
    <n v="3382857.1428571427"/>
    <n v="4000"/>
    <n v="4"/>
    <n v="3866338.7967085708"/>
    <n v="4000"/>
    <n v="4"/>
    <n v="4418920.17890782"/>
    <n v="4000"/>
    <n v="4"/>
    <n v="5050477.0984327607"/>
    <n v="4000"/>
    <n v="4"/>
    <n v="5772296.8257141476"/>
    <n v="4000"/>
    <n v="4"/>
    <n v="6597279.8202548306"/>
    <n v="4000"/>
    <n v="4"/>
    <n v="7540170.289381614"/>
    <n v="4000"/>
    <n v="4"/>
    <n v="8617819.6987068411"/>
    <n v="45246159.850963734"/>
    <n v="43928.310534916243"/>
  </r>
  <r>
    <s v="4.3.3.2"/>
    <x v="2"/>
    <x v="2"/>
    <x v="1"/>
    <x v="10"/>
    <n v="1"/>
    <x v="51"/>
    <x v="51"/>
    <s v="Monitor implementation of the formula overtime and add any changes to the formula"/>
    <s v="Quarterly meeting"/>
    <s v="Fuel for traveling participants"/>
    <n v="211.42857142857142"/>
    <n v="2430"/>
    <n v="4"/>
    <n v="2055085.7142857141"/>
    <n v="2430"/>
    <n v="4"/>
    <n v="2348800.8190004569"/>
    <n v="2430"/>
    <n v="4"/>
    <n v="2684494.0086865006"/>
    <n v="2430"/>
    <n v="4"/>
    <n v="3068164.837297902"/>
    <n v="2430"/>
    <n v="4"/>
    <n v="3506670.3216213444"/>
    <n v="2430"/>
    <n v="4"/>
    <n v="4007847.4908048101"/>
    <n v="2430"/>
    <n v="4"/>
    <n v="4580653.4507993301"/>
    <n v="2430"/>
    <n v="4"/>
    <n v="5235325.466964406"/>
    <n v="27487042.109460466"/>
    <n v="26686.448649961618"/>
  </r>
  <r>
    <s v="4.3.3.2"/>
    <x v="2"/>
    <x v="2"/>
    <x v="1"/>
    <x v="10"/>
    <n v="1"/>
    <x v="51"/>
    <x v="51"/>
    <s v="Monitor implementation of the formula overtime and add any changes to the formula"/>
    <s v="Joint Annual Review"/>
    <s v="DSA (excl. lunch)"/>
    <n v="39000"/>
    <n v="50"/>
    <n v="3"/>
    <n v="5850000"/>
    <n v="50"/>
    <n v="3"/>
    <n v="6686088.4174499996"/>
    <n v="50"/>
    <n v="3"/>
    <n v="7641671.5087109469"/>
    <n v="50"/>
    <n v="3"/>
    <n v="8733827.5836495608"/>
    <n v="50"/>
    <n v="3"/>
    <n v="9982075.8029136136"/>
    <n v="50"/>
    <n v="3"/>
    <n v="11408725.027003182"/>
    <n v="50"/>
    <n v="3"/>
    <n v="13039272.523233831"/>
    <n v="50"/>
    <n v="3"/>
    <n v="14902859.656336365"/>
    <n v="78244520.519297495"/>
    <n v="75965.553902230575"/>
  </r>
  <r>
    <s v="4.3.3.2"/>
    <x v="2"/>
    <x v="2"/>
    <x v="1"/>
    <x v="10"/>
    <n v="1"/>
    <x v="51"/>
    <x v="51"/>
    <s v="Monitor implementation of the formula overtime and add any changes to the formula"/>
    <s v="Joint Annual Review"/>
    <s v="Local running (diesel, per km)"/>
    <n v="211.42857142857142"/>
    <n v="500"/>
    <n v="1"/>
    <n v="105714.28571428571"/>
    <n v="500"/>
    <n v="1"/>
    <n v="120823.08739714284"/>
    <n v="500"/>
    <n v="1"/>
    <n v="138091.25559086938"/>
    <n v="500"/>
    <n v="1"/>
    <n v="157827.40932602377"/>
    <n v="500"/>
    <n v="1"/>
    <n v="180384.27580356711"/>
    <n v="500"/>
    <n v="1"/>
    <n v="206164.99438296346"/>
    <n v="500"/>
    <n v="1"/>
    <n v="235630.32154317544"/>
    <n v="500"/>
    <n v="1"/>
    <n v="269306.86558458878"/>
    <n v="1413942.4953426167"/>
    <n v="1372.7597042161326"/>
  </r>
  <r>
    <s v="4.3.3.2"/>
    <x v="2"/>
    <x v="2"/>
    <x v="1"/>
    <x v="10"/>
    <n v="1"/>
    <x v="51"/>
    <x v="51"/>
    <s v="Monitor implementation of the formula overtime and add any changes to the formula"/>
    <s v="Joint Annual Review"/>
    <s v="Fuel for traveling participants"/>
    <n v="211.42857142857142"/>
    <n v="2700"/>
    <n v="1"/>
    <n v="570857.14285714284"/>
    <n v="2700"/>
    <n v="1"/>
    <n v="652444.67194457131"/>
    <n v="2700"/>
    <n v="1"/>
    <n v="745692.78019069461"/>
    <n v="2700"/>
    <n v="1"/>
    <n v="852268.01036052837"/>
    <n v="2700"/>
    <n v="1"/>
    <n v="974075.08933926234"/>
    <n v="2700"/>
    <n v="1"/>
    <n v="1113290.9696680028"/>
    <n v="2700"/>
    <n v="1"/>
    <n v="1272403.7363331474"/>
    <n v="2700"/>
    <n v="1"/>
    <n v="1454257.0741567793"/>
    <n v="7635289.4748501293"/>
    <n v="7412.9024027671157"/>
  </r>
  <r>
    <s v="4.3.3.2"/>
    <x v="2"/>
    <x v="2"/>
    <x v="1"/>
    <x v="10"/>
    <n v="1"/>
    <x v="51"/>
    <x v="51"/>
    <s v="Monitor implementation of the formula overtime and add any changes to the formula"/>
    <s v="Joint Annual Review"/>
    <s v="Conference package high-level"/>
    <n v="35000"/>
    <n v="50"/>
    <n v="3"/>
    <n v="5250000"/>
    <n v="50"/>
    <n v="3"/>
    <n v="6000335.7592499992"/>
    <n v="50"/>
    <n v="3"/>
    <n v="6857910.3283303371"/>
    <n v="50"/>
    <n v="3"/>
    <n v="7838050.3955829386"/>
    <n v="50"/>
    <n v="3"/>
    <n v="8958273.1564609352"/>
    <n v="50"/>
    <n v="3"/>
    <n v="10238599.383207982"/>
    <n v="50"/>
    <n v="3"/>
    <n v="11701911.238799591"/>
    <n v="50"/>
    <n v="3"/>
    <n v="13374361.230045458"/>
    <n v="70219441.49167724"/>
    <n v="68174.215040463343"/>
  </r>
  <r>
    <s v="4.3.3.2"/>
    <x v="2"/>
    <x v="2"/>
    <x v="1"/>
    <x v="10"/>
    <n v="2"/>
    <x v="52"/>
    <x v="52"/>
    <s v="Develop the CHRAF "/>
    <s v="develop a concept note on CHRAF"/>
    <s v="zero cost"/>
    <n v="0"/>
    <m/>
    <m/>
    <n v="0"/>
    <n v="0"/>
    <n v="0"/>
    <n v="0"/>
    <n v="0"/>
    <n v="0"/>
    <n v="0"/>
    <n v="0"/>
    <n v="0"/>
    <n v="0"/>
    <n v="0"/>
    <n v="0"/>
    <n v="0"/>
    <n v="0"/>
    <n v="0"/>
    <n v="0"/>
    <n v="0"/>
    <n v="0"/>
    <n v="0"/>
    <n v="0"/>
    <n v="0"/>
    <n v="0"/>
    <n v="0"/>
    <n v="0"/>
  </r>
  <r>
    <s v="4.3.3.2"/>
    <x v="2"/>
    <x v="2"/>
    <x v="1"/>
    <x v="10"/>
    <n v="2"/>
    <x v="52"/>
    <x v="52"/>
    <s v="Develop the CHRAF "/>
    <s v="set up a taskforce"/>
    <s v="zero cost"/>
    <n v="0"/>
    <m/>
    <m/>
    <n v="0"/>
    <n v="0"/>
    <n v="0"/>
    <n v="0"/>
    <n v="0"/>
    <n v="0"/>
    <n v="0"/>
    <n v="0"/>
    <n v="0"/>
    <n v="0"/>
    <n v="0"/>
    <n v="0"/>
    <n v="0"/>
    <n v="0"/>
    <n v="0"/>
    <n v="0"/>
    <n v="0"/>
    <n v="0"/>
    <n v="0"/>
    <n v="0"/>
    <n v="0"/>
    <n v="0"/>
    <n v="0"/>
    <n v="0"/>
  </r>
  <r>
    <s v="4.3.3.2"/>
    <x v="2"/>
    <x v="2"/>
    <x v="1"/>
    <x v="10"/>
    <n v="2"/>
    <x v="52"/>
    <x v="52"/>
    <s v="Develop the CHRAF "/>
    <s v="Hold 3-day workshop for members of the taskforce to revise the CHRAF concept note"/>
    <s v="DSA (excl. lunch)"/>
    <n v="39000"/>
    <m/>
    <m/>
    <n v="0"/>
    <n v="20"/>
    <n v="3"/>
    <n v="2674435.3669799995"/>
    <n v="0"/>
    <n v="0"/>
    <n v="0"/>
    <n v="0"/>
    <n v="0"/>
    <n v="0"/>
    <n v="0"/>
    <n v="0"/>
    <n v="0"/>
    <n v="0"/>
    <n v="0"/>
    <n v="0"/>
    <n v="20"/>
    <n v="3"/>
    <n v="5215709.009293532"/>
    <n v="0"/>
    <n v="0"/>
    <n v="0"/>
    <n v="7890144.3762735315"/>
    <n v="7660.3343458966328"/>
  </r>
  <r>
    <s v="4.3.3.2"/>
    <x v="2"/>
    <x v="2"/>
    <x v="1"/>
    <x v="10"/>
    <n v="2"/>
    <x v="52"/>
    <x v="52"/>
    <s v="Develop the CHRAF "/>
    <s v="Hold 3-day workshop for members of the taskforce to revise the CHRAF concept note"/>
    <s v="Conference package high-level"/>
    <n v="35000"/>
    <m/>
    <m/>
    <n v="0"/>
    <n v="20"/>
    <n v="3"/>
    <n v="2400134.3036999996"/>
    <n v="0"/>
    <n v="0"/>
    <n v="0"/>
    <n v="0"/>
    <n v="0"/>
    <n v="0"/>
    <n v="0"/>
    <n v="0"/>
    <n v="0"/>
    <n v="0"/>
    <n v="0"/>
    <n v="0"/>
    <n v="20"/>
    <n v="3"/>
    <n v="4680764.4955198364"/>
    <n v="0"/>
    <n v="0"/>
    <n v="0"/>
    <n v="7080898.7992198355"/>
    <n v="6874.6590283687719"/>
  </r>
  <r>
    <s v="4.3.3.2"/>
    <x v="2"/>
    <x v="2"/>
    <x v="1"/>
    <x v="10"/>
    <n v="2"/>
    <x v="52"/>
    <x v="52"/>
    <s v="Develop the CHRAF "/>
    <s v="Hold 3-day workshop for members of the taskforce to revise the CHRAF concept note"/>
    <s v="Local running (diesel, per km)"/>
    <n v="211.42857142857142"/>
    <m/>
    <m/>
    <n v="0"/>
    <n v="450"/>
    <n v="3"/>
    <n v="326222.33597228565"/>
    <n v="0"/>
    <n v="0"/>
    <n v="0"/>
    <n v="0"/>
    <n v="0"/>
    <n v="0"/>
    <n v="0"/>
    <n v="0"/>
    <n v="0"/>
    <n v="0"/>
    <n v="0"/>
    <n v="0"/>
    <n v="450"/>
    <n v="3"/>
    <n v="636201.86816657369"/>
    <n v="0"/>
    <n v="0"/>
    <n v="0"/>
    <n v="962424.20413885941"/>
    <n v="934.39243120277615"/>
  </r>
  <r>
    <s v="4.3.3.2"/>
    <x v="2"/>
    <x v="2"/>
    <x v="1"/>
    <x v="10"/>
    <n v="2"/>
    <x v="52"/>
    <x v="52"/>
    <s v="Develop the CHRAF "/>
    <s v="Hold 3-day workshop for members of the taskforce to revise the CHRAF concept note"/>
    <s v="Fuel for traveling participants"/>
    <n v="211.42857142857142"/>
    <m/>
    <m/>
    <n v="0"/>
    <n v="2430"/>
    <n v="1"/>
    <n v="587200.20475011424"/>
    <m/>
    <m/>
    <n v="0"/>
    <m/>
    <m/>
    <n v="0"/>
    <m/>
    <m/>
    <n v="0"/>
    <m/>
    <m/>
    <n v="0"/>
    <n v="2430"/>
    <n v="1"/>
    <n v="1145163.3626998325"/>
    <m/>
    <m/>
    <n v="0"/>
    <n v="1732363.5674499469"/>
    <n v="1681.906376164997"/>
  </r>
  <r>
    <s v="4.3.3.2"/>
    <x v="2"/>
    <x v="2"/>
    <x v="1"/>
    <x v="10"/>
    <n v="2"/>
    <x v="52"/>
    <x v="52"/>
    <s v="Develop the CHRAF "/>
    <s v="Develop tools for consultative meetings with patient groups, service providers, financers (Workshop, 3 days)"/>
    <s v="DSA (excl. lunch)"/>
    <n v="39000"/>
    <m/>
    <m/>
    <n v="0"/>
    <n v="20"/>
    <n v="4"/>
    <n v="3565913.8226399994"/>
    <n v="0"/>
    <n v="0"/>
    <n v="0"/>
    <n v="0"/>
    <n v="0"/>
    <n v="0"/>
    <n v="0"/>
    <n v="0"/>
    <n v="0"/>
    <n v="0"/>
    <n v="0"/>
    <n v="0"/>
    <n v="20"/>
    <n v="4"/>
    <n v="6954278.6790580433"/>
    <n v="0"/>
    <n v="0"/>
    <n v="0"/>
    <n v="10520192.501698043"/>
    <n v="10213.779127862177"/>
  </r>
  <r>
    <s v="4.3.3.2"/>
    <x v="2"/>
    <x v="2"/>
    <x v="1"/>
    <x v="10"/>
    <n v="2"/>
    <x v="52"/>
    <x v="52"/>
    <s v="Develop the CHRAF "/>
    <s v="Develop tools for consultative meetings with patient groups, service providers, financers (Workshop, 3 days)"/>
    <s v="Conference package high-level"/>
    <n v="35000"/>
    <m/>
    <m/>
    <n v="0"/>
    <n v="20"/>
    <n v="3"/>
    <n v="2400134.3036999996"/>
    <n v="0"/>
    <n v="0"/>
    <n v="0"/>
    <n v="0"/>
    <n v="0"/>
    <n v="0"/>
    <n v="0"/>
    <n v="0"/>
    <n v="0"/>
    <n v="0"/>
    <n v="0"/>
    <n v="0"/>
    <n v="20"/>
    <n v="3"/>
    <n v="4680764.4955198364"/>
    <n v="0"/>
    <n v="0"/>
    <n v="0"/>
    <n v="7080898.7992198355"/>
    <n v="6874.6590283687719"/>
  </r>
  <r>
    <s v="4.3.3.2"/>
    <x v="2"/>
    <x v="2"/>
    <x v="1"/>
    <x v="10"/>
    <n v="2"/>
    <x v="52"/>
    <x v="52"/>
    <s v="Develop the CHRAF "/>
    <s v="Develop tools for consultative meetings with patient groups, service providers, financers (Workshop, 3 days)"/>
    <s v="Local running (diesel, per km)"/>
    <n v="211.42857142857142"/>
    <m/>
    <m/>
    <n v="0"/>
    <n v="450"/>
    <n v="3"/>
    <n v="326222.33597228565"/>
    <n v="0"/>
    <n v="0"/>
    <n v="0"/>
    <n v="0"/>
    <n v="0"/>
    <n v="0"/>
    <n v="0"/>
    <n v="0"/>
    <n v="0"/>
    <n v="0"/>
    <n v="0"/>
    <n v="0"/>
    <n v="450"/>
    <n v="3"/>
    <n v="636201.86816657369"/>
    <n v="0"/>
    <n v="0"/>
    <n v="0"/>
    <n v="962424.20413885941"/>
    <n v="934.39243120277615"/>
  </r>
  <r>
    <s v="4.3.3.2"/>
    <x v="2"/>
    <x v="2"/>
    <x v="1"/>
    <x v="10"/>
    <n v="2"/>
    <x v="52"/>
    <x v="52"/>
    <s v="Develop the CHRAF "/>
    <s v="Develop tools for consultative meetings with patient groups, service providers, financers (Workshop, 3 days)"/>
    <s v="Fuel for traveling participants"/>
    <n v="211.42857142857142"/>
    <m/>
    <m/>
    <n v="0"/>
    <n v="2430"/>
    <n v="1"/>
    <n v="587200.20475011424"/>
    <m/>
    <m/>
    <n v="0"/>
    <m/>
    <m/>
    <n v="0"/>
    <m/>
    <m/>
    <n v="0"/>
    <m/>
    <m/>
    <n v="0"/>
    <n v="2430"/>
    <n v="1"/>
    <n v="1145163.3626998325"/>
    <m/>
    <m/>
    <n v="0"/>
    <n v="1732363.5674499469"/>
    <n v="1681.906376164997"/>
  </r>
  <r>
    <s v="4.3.3.2"/>
    <x v="2"/>
    <x v="2"/>
    <x v="1"/>
    <x v="10"/>
    <n v="2"/>
    <x v="52"/>
    <x v="52"/>
    <s v="Develop the CHRAF "/>
    <s v="Conduct consultative meetings with Central Hospitals, patient groups, and other stakeholders"/>
    <s v="DSA (excl. lunch)"/>
    <n v="39000"/>
    <m/>
    <m/>
    <n v="0"/>
    <n v="45"/>
    <n v="3"/>
    <n v="6017479.5757049993"/>
    <n v="0"/>
    <n v="0"/>
    <n v="0"/>
    <n v="0"/>
    <n v="0"/>
    <n v="0"/>
    <n v="0"/>
    <n v="0"/>
    <n v="0"/>
    <n v="0"/>
    <n v="0"/>
    <n v="0"/>
    <n v="45"/>
    <n v="3"/>
    <n v="11735345.270910447"/>
    <n v="0"/>
    <n v="0"/>
    <n v="0"/>
    <n v="17752824.846615449"/>
    <n v="17235.752278267424"/>
  </r>
  <r>
    <s v="4.3.3.2"/>
    <x v="2"/>
    <x v="2"/>
    <x v="1"/>
    <x v="10"/>
    <n v="2"/>
    <x v="52"/>
    <x v="52"/>
    <s v="Develop the CHRAF "/>
    <s v="Conduct consultative meetings with Central Hospitals, patient groups, and other stakeholders"/>
    <s v="Conference package high-level"/>
    <n v="35000"/>
    <m/>
    <m/>
    <n v="0"/>
    <n v="45"/>
    <n v="3"/>
    <n v="5400302.1833249982"/>
    <n v="0"/>
    <n v="0"/>
    <n v="0"/>
    <n v="0"/>
    <n v="0"/>
    <n v="0"/>
    <n v="0"/>
    <n v="0"/>
    <n v="0"/>
    <n v="0"/>
    <n v="0"/>
    <n v="0"/>
    <n v="45"/>
    <n v="3"/>
    <n v="10531720.114919631"/>
    <n v="0"/>
    <n v="0"/>
    <n v="0"/>
    <n v="15932022.298244629"/>
    <n v="15467.982813829736"/>
  </r>
  <r>
    <s v="4.3.3.2"/>
    <x v="2"/>
    <x v="2"/>
    <x v="1"/>
    <x v="10"/>
    <n v="2"/>
    <x v="52"/>
    <x v="52"/>
    <s v="Develop the CHRAF "/>
    <s v="Conduct consultative meetings with Central Hospitals, patient groups, and other stakeholders"/>
    <s v="Local running (diesel, per km)"/>
    <n v="211.42857142857142"/>
    <m/>
    <m/>
    <n v="0"/>
    <n v="450"/>
    <n v="3"/>
    <n v="326222.33597228565"/>
    <n v="0"/>
    <n v="0"/>
    <n v="0"/>
    <n v="0"/>
    <n v="0"/>
    <n v="0"/>
    <n v="0"/>
    <n v="0"/>
    <n v="0"/>
    <n v="0"/>
    <n v="0"/>
    <n v="0"/>
    <n v="450"/>
    <n v="3"/>
    <n v="636201.86816657369"/>
    <n v="0"/>
    <n v="0"/>
    <n v="0"/>
    <n v="962424.20413885941"/>
    <n v="934.39243120277615"/>
  </r>
  <r>
    <s v="4.3.3.2"/>
    <x v="2"/>
    <x v="2"/>
    <x v="1"/>
    <x v="10"/>
    <n v="2"/>
    <x v="52"/>
    <x v="52"/>
    <s v="Develop the CHRAF "/>
    <s v="Conduct consultative meetings with Central Hospitals, patient groups, and other stakeholders"/>
    <s v="Fuel for traveling participants"/>
    <n v="211.42857142857142"/>
    <m/>
    <m/>
    <n v="0"/>
    <n v="2430"/>
    <n v="1"/>
    <n v="587200.20475011424"/>
    <m/>
    <m/>
    <n v="0"/>
    <m/>
    <m/>
    <n v="0"/>
    <m/>
    <m/>
    <n v="0"/>
    <m/>
    <m/>
    <n v="0"/>
    <n v="2430"/>
    <n v="1"/>
    <n v="1145163.3626998325"/>
    <m/>
    <m/>
    <n v="0"/>
    <n v="1732363.5674499469"/>
    <n v="1681.906376164997"/>
  </r>
  <r>
    <s v="4.3.3.2"/>
    <x v="2"/>
    <x v="2"/>
    <x v="1"/>
    <x v="10"/>
    <n v="2"/>
    <x v="52"/>
    <x v="52"/>
    <s v="Develop the CHRAF "/>
    <s v="Conduct stakeholder validation meetings (3 days workshop for 25 people)"/>
    <s v="DSA (excl. lunch)"/>
    <n v="39000"/>
    <m/>
    <m/>
    <n v="0"/>
    <n v="25"/>
    <n v="3"/>
    <n v="3343044.2087249998"/>
    <n v="0"/>
    <n v="0"/>
    <n v="0"/>
    <n v="0"/>
    <n v="0"/>
    <n v="0"/>
    <n v="0"/>
    <n v="0"/>
    <n v="0"/>
    <n v="0"/>
    <n v="0"/>
    <n v="0"/>
    <n v="25"/>
    <n v="3"/>
    <n v="6519636.2616169155"/>
    <n v="0"/>
    <n v="0"/>
    <n v="0"/>
    <n v="9862680.4703419153"/>
    <n v="9575.4179323707922"/>
  </r>
  <r>
    <s v="4.3.3.2"/>
    <x v="2"/>
    <x v="2"/>
    <x v="1"/>
    <x v="10"/>
    <n v="2"/>
    <x v="52"/>
    <x v="52"/>
    <s v="Develop the CHRAF "/>
    <s v="Conduct stakeholder validation meetings (3 days workshop for 25 people)"/>
    <s v="Conference package high-level"/>
    <n v="35000"/>
    <m/>
    <m/>
    <n v="0"/>
    <n v="25"/>
    <n v="3"/>
    <n v="3000167.8796249996"/>
    <n v="0"/>
    <n v="0"/>
    <n v="0"/>
    <n v="0"/>
    <n v="0"/>
    <n v="0"/>
    <n v="0"/>
    <n v="0"/>
    <n v="0"/>
    <n v="0"/>
    <n v="0"/>
    <n v="0"/>
    <n v="25"/>
    <n v="3"/>
    <n v="5850955.6193997953"/>
    <n v="0"/>
    <n v="0"/>
    <n v="0"/>
    <n v="8851123.4990247954"/>
    <n v="8593.323785460967"/>
  </r>
  <r>
    <s v="4.3.3.2"/>
    <x v="2"/>
    <x v="2"/>
    <x v="1"/>
    <x v="10"/>
    <n v="2"/>
    <x v="52"/>
    <x v="52"/>
    <s v="Develop the CHRAF "/>
    <s v="Conduct stakeholder validation meetings (3 days workshop for 25 people)"/>
    <s v="Local running (diesel, per km)"/>
    <n v="211.42857142857142"/>
    <m/>
    <m/>
    <n v="0"/>
    <n v="450"/>
    <n v="3"/>
    <n v="326222.33597228565"/>
    <n v="0"/>
    <n v="0"/>
    <n v="0"/>
    <n v="0"/>
    <n v="0"/>
    <n v="0"/>
    <n v="0"/>
    <n v="0"/>
    <n v="0"/>
    <n v="0"/>
    <n v="0"/>
    <n v="0"/>
    <n v="450"/>
    <n v="3"/>
    <n v="636201.86816657369"/>
    <n v="0"/>
    <n v="0"/>
    <n v="0"/>
    <n v="962424.20413885941"/>
    <n v="934.39243120277615"/>
  </r>
  <r>
    <s v="4.3.3.2"/>
    <x v="2"/>
    <x v="2"/>
    <x v="1"/>
    <x v="10"/>
    <n v="2"/>
    <x v="52"/>
    <x v="52"/>
    <s v="Develop the CHRAF "/>
    <s v="Conduct stakeholder validation meetings (3 days workshop for 25 people)"/>
    <s v="Fuel for traveling participants"/>
    <n v="211.42857142857142"/>
    <m/>
    <m/>
    <n v="0"/>
    <n v="2430"/>
    <n v="1"/>
    <n v="587200.20475011424"/>
    <m/>
    <m/>
    <n v="0"/>
    <m/>
    <m/>
    <n v="0"/>
    <m/>
    <m/>
    <n v="0"/>
    <m/>
    <m/>
    <n v="0"/>
    <n v="2430"/>
    <n v="1"/>
    <n v="1145163.3626998325"/>
    <m/>
    <m/>
    <n v="0"/>
    <n v="1732363.5674499469"/>
    <n v="1681.906376164997"/>
  </r>
  <r>
    <s v="4.3.3.2"/>
    <x v="2"/>
    <x v="2"/>
    <x v="1"/>
    <x v="10"/>
    <n v="2"/>
    <x v="52"/>
    <x v="52"/>
    <s v="Develop the CHRAF "/>
    <s v="Present draft of the formula to TWGs for endorsement"/>
    <s v="Conference package high-level"/>
    <n v="35000"/>
    <m/>
    <m/>
    <n v="0"/>
    <n v="20"/>
    <n v="1"/>
    <n v="800044.76789999986"/>
    <n v="0"/>
    <n v="0"/>
    <n v="0"/>
    <n v="0"/>
    <n v="0"/>
    <n v="0"/>
    <n v="0"/>
    <n v="0"/>
    <n v="0"/>
    <n v="0"/>
    <n v="0"/>
    <n v="0"/>
    <n v="20"/>
    <n v="1"/>
    <n v="1560254.8318399454"/>
    <n v="0"/>
    <n v="0"/>
    <n v="0"/>
    <n v="2360299.5997399455"/>
    <n v="2291.5530094562578"/>
  </r>
  <r>
    <s v="4.3.3.2"/>
    <x v="2"/>
    <x v="2"/>
    <x v="1"/>
    <x v="10"/>
    <n v="2"/>
    <x v="52"/>
    <x v="52"/>
    <s v="Develop the CHRAF "/>
    <s v="Present draft formula to Senior Management for approval."/>
    <s v="zero cost"/>
    <n v="0"/>
    <m/>
    <m/>
    <n v="0"/>
    <n v="0"/>
    <n v="0"/>
    <n v="0"/>
    <n v="0"/>
    <n v="0"/>
    <n v="0"/>
    <n v="0"/>
    <n v="0"/>
    <n v="0"/>
    <n v="0"/>
    <n v="0"/>
    <n v="0"/>
    <n v="0"/>
    <n v="0"/>
    <n v="0"/>
    <n v="0"/>
    <n v="0"/>
    <n v="0"/>
    <n v="0"/>
    <n v="0"/>
    <n v="0"/>
    <n v="0"/>
    <n v="0"/>
  </r>
  <r>
    <s v="4.3.3.2"/>
    <x v="2"/>
    <x v="2"/>
    <x v="1"/>
    <x v="10"/>
    <n v="2"/>
    <x v="52"/>
    <x v="52"/>
    <s v="Develop the CHRAF "/>
    <s v="Conduct adoption meetings with the Ministry of Health and Ministry of Finance."/>
    <s v="zero cost"/>
    <n v="0"/>
    <m/>
    <m/>
    <n v="0"/>
    <n v="0"/>
    <n v="0"/>
    <n v="0"/>
    <n v="0"/>
    <n v="0"/>
    <n v="0"/>
    <n v="0"/>
    <n v="0"/>
    <n v="0"/>
    <n v="0"/>
    <n v="0"/>
    <n v="0"/>
    <n v="0"/>
    <n v="0"/>
    <n v="0"/>
    <n v="0"/>
    <n v="0"/>
    <n v="0"/>
    <n v="0"/>
    <n v="0"/>
    <n v="0"/>
    <n v="0"/>
    <n v="0"/>
  </r>
  <r>
    <s v="4.3.3.2"/>
    <x v="2"/>
    <x v="2"/>
    <x v="1"/>
    <x v="10"/>
    <n v="2"/>
    <x v="52"/>
    <x v="52"/>
    <s v="Develop the CHRAF "/>
    <s v="Dissemination of the allocation formulae. (3 day workshop for 45 people)"/>
    <s v="DSA (excl. lunch)"/>
    <n v="39000"/>
    <m/>
    <m/>
    <n v="0"/>
    <n v="45"/>
    <n v="3"/>
    <n v="6017479.5757049993"/>
    <n v="0"/>
    <n v="0"/>
    <n v="0"/>
    <n v="0"/>
    <n v="0"/>
    <n v="0"/>
    <n v="0"/>
    <n v="0"/>
    <n v="0"/>
    <n v="0"/>
    <n v="0"/>
    <n v="0"/>
    <n v="45"/>
    <n v="3"/>
    <n v="11735345.270910447"/>
    <n v="0"/>
    <n v="0"/>
    <n v="0"/>
    <n v="17752824.846615449"/>
    <n v="17235.752278267424"/>
  </r>
  <r>
    <s v="4.3.3.2"/>
    <x v="2"/>
    <x v="2"/>
    <x v="1"/>
    <x v="10"/>
    <n v="2"/>
    <x v="52"/>
    <x v="52"/>
    <s v="Develop the CHRAF "/>
    <s v="Dissemination of the allocation formulae. (3 day workshop for 45 people)"/>
    <s v="Conference package high-level"/>
    <n v="35000"/>
    <m/>
    <m/>
    <n v="0"/>
    <n v="45"/>
    <n v="3"/>
    <n v="5400302.1833249982"/>
    <n v="0"/>
    <n v="0"/>
    <n v="0"/>
    <n v="0"/>
    <n v="0"/>
    <n v="0"/>
    <n v="0"/>
    <n v="0"/>
    <n v="0"/>
    <n v="0"/>
    <n v="0"/>
    <n v="0"/>
    <n v="45"/>
    <n v="3"/>
    <n v="10531720.114919631"/>
    <n v="0"/>
    <n v="0"/>
    <n v="0"/>
    <n v="15932022.298244629"/>
    <n v="15467.982813829736"/>
  </r>
  <r>
    <s v="4.3.3.2"/>
    <x v="2"/>
    <x v="2"/>
    <x v="1"/>
    <x v="10"/>
    <n v="2"/>
    <x v="52"/>
    <x v="52"/>
    <s v="Develop the CHRAF "/>
    <s v="Dissemination of the allocation formulae. (3 day workshop for 45 people)"/>
    <s v="Local running (diesel, per km)"/>
    <n v="211.42857142857142"/>
    <m/>
    <m/>
    <n v="0"/>
    <n v="450"/>
    <n v="3"/>
    <n v="326222.33597228565"/>
    <n v="0"/>
    <n v="0"/>
    <n v="0"/>
    <n v="0"/>
    <n v="0"/>
    <n v="0"/>
    <n v="0"/>
    <n v="0"/>
    <n v="0"/>
    <n v="0"/>
    <n v="0"/>
    <n v="0"/>
    <n v="450"/>
    <n v="3"/>
    <n v="636201.86816657369"/>
    <n v="0"/>
    <n v="0"/>
    <n v="0"/>
    <n v="962424.20413885941"/>
    <n v="934.39243120277615"/>
  </r>
  <r>
    <s v="4.3.3.2"/>
    <x v="2"/>
    <x v="2"/>
    <x v="1"/>
    <x v="10"/>
    <n v="2"/>
    <x v="52"/>
    <x v="52"/>
    <s v="Develop the CHRAF "/>
    <s v="Dissemination of the allocation formulae. (3 day workshop for 45 people)"/>
    <s v="Fuel for traveling participants"/>
    <n v="211.42857142857142"/>
    <m/>
    <m/>
    <n v="0"/>
    <n v="2430"/>
    <n v="1"/>
    <n v="587200.20475011424"/>
    <m/>
    <m/>
    <n v="0"/>
    <m/>
    <m/>
    <n v="0"/>
    <m/>
    <m/>
    <n v="0"/>
    <m/>
    <m/>
    <n v="0"/>
    <n v="2430"/>
    <n v="1"/>
    <n v="1145163.3626998325"/>
    <m/>
    <m/>
    <n v="0"/>
    <n v="1732363.5674499469"/>
    <n v="1681.906376164997"/>
  </r>
  <r>
    <s v="4.3.3.2"/>
    <x v="2"/>
    <x v="2"/>
    <x v="1"/>
    <x v="10"/>
    <n v="3"/>
    <x v="53"/>
    <x v="53"/>
    <s v="Develop operational guidelines for the CHRAF"/>
    <s v="Develop TORs for the committee"/>
    <s v="zero cost"/>
    <n v="0"/>
    <m/>
    <m/>
    <n v="0"/>
    <m/>
    <m/>
    <n v="0"/>
    <n v="0"/>
    <n v="0"/>
    <n v="0"/>
    <n v="0"/>
    <n v="0"/>
    <n v="0"/>
    <n v="0"/>
    <n v="0"/>
    <n v="0"/>
    <n v="0"/>
    <n v="0"/>
    <n v="0"/>
    <n v="0"/>
    <n v="0"/>
    <n v="0"/>
    <n v="0"/>
    <n v="0"/>
    <n v="0"/>
    <n v="0"/>
    <n v="0"/>
  </r>
  <r>
    <s v="4.3.3.2"/>
    <x v="2"/>
    <x v="2"/>
    <x v="1"/>
    <x v="10"/>
    <n v="3"/>
    <x v="53"/>
    <x v="53"/>
    <s v="Develop operational guidelines for the CHRAF"/>
    <s v="set up a committee"/>
    <s v="zero cost"/>
    <n v="0"/>
    <m/>
    <m/>
    <n v="0"/>
    <m/>
    <m/>
    <n v="0"/>
    <n v="0"/>
    <n v="0"/>
    <n v="0"/>
    <n v="0"/>
    <n v="0"/>
    <n v="0"/>
    <n v="0"/>
    <n v="0"/>
    <n v="0"/>
    <n v="0"/>
    <n v="0"/>
    <n v="0"/>
    <n v="0"/>
    <n v="0"/>
    <n v="0"/>
    <n v="0"/>
    <n v="0"/>
    <n v="0"/>
    <n v="0"/>
    <n v="0"/>
  </r>
  <r>
    <s v="4.3.3.2"/>
    <x v="2"/>
    <x v="2"/>
    <x v="1"/>
    <x v="10"/>
    <n v="3"/>
    <x v="53"/>
    <x v="53"/>
    <s v="Develop operational guidelines for the CHRAF"/>
    <s v="conduct a 3 day workshop (3) to develop the guidelines"/>
    <s v="DSA (excl. lunch)"/>
    <n v="39000"/>
    <m/>
    <m/>
    <n v="0"/>
    <m/>
    <m/>
    <n v="0"/>
    <n v="30"/>
    <n v="4"/>
    <n v="6113337.2069687573"/>
    <n v="0"/>
    <n v="0"/>
    <n v="0"/>
    <n v="0"/>
    <n v="0"/>
    <n v="0"/>
    <n v="0"/>
    <n v="0"/>
    <n v="0"/>
    <n v="0"/>
    <n v="0"/>
    <n v="0"/>
    <n v="30"/>
    <n v="4"/>
    <n v="11922287.725069093"/>
    <n v="18035624.932037849"/>
    <n v="17510.315467997912"/>
  </r>
  <r>
    <s v="4.3.3.2"/>
    <x v="2"/>
    <x v="2"/>
    <x v="1"/>
    <x v="10"/>
    <n v="3"/>
    <x v="53"/>
    <x v="53"/>
    <s v="Develop operational guidelines for the CHRAF"/>
    <s v="conduct a 3 day workshop (3) to develop the guidelines"/>
    <s v="Conference package high-level"/>
    <n v="35000"/>
    <m/>
    <m/>
    <n v="0"/>
    <m/>
    <m/>
    <n v="0"/>
    <n v="30"/>
    <n v="3"/>
    <n v="4114746.1969982013"/>
    <n v="0"/>
    <n v="0"/>
    <n v="0"/>
    <n v="0"/>
    <n v="0"/>
    <n v="0"/>
    <n v="0"/>
    <n v="0"/>
    <n v="0"/>
    <n v="0"/>
    <n v="0"/>
    <n v="0"/>
    <n v="30"/>
    <n v="3"/>
    <n v="8024616.7380272746"/>
    <n v="12139362.935025476"/>
    <n v="11785.789257306287"/>
  </r>
  <r>
    <s v="4.3.3.2"/>
    <x v="2"/>
    <x v="2"/>
    <x v="1"/>
    <x v="10"/>
    <n v="3"/>
    <x v="53"/>
    <x v="53"/>
    <s v="Develop operational guidelines for the CHRAF"/>
    <s v="conduct a 3 day workshop (3) to develop the guidelines"/>
    <s v="Local running (diesel, per km)"/>
    <n v="211.42857142857142"/>
    <m/>
    <m/>
    <n v="0"/>
    <m/>
    <m/>
    <n v="0"/>
    <n v="450"/>
    <n v="3"/>
    <n v="372846.39009534731"/>
    <n v="0"/>
    <n v="0"/>
    <n v="0"/>
    <n v="0"/>
    <n v="0"/>
    <n v="0"/>
    <n v="0"/>
    <n v="0"/>
    <n v="0"/>
    <n v="0"/>
    <n v="0"/>
    <n v="0"/>
    <n v="450"/>
    <n v="3"/>
    <n v="727128.53707838967"/>
    <n v="1099974.927173737"/>
    <n v="1067.9368224987738"/>
  </r>
  <r>
    <s v="4.3.3.2"/>
    <x v="2"/>
    <x v="2"/>
    <x v="1"/>
    <x v="10"/>
    <n v="3"/>
    <x v="53"/>
    <x v="53"/>
    <s v="Develop operational guidelines for the CHRAF"/>
    <s v="conduct a 3 day workshop (3) to develop the guidelines"/>
    <s v="Fuel for traveling participants"/>
    <n v="211.42857142857142"/>
    <m/>
    <m/>
    <n v="0"/>
    <m/>
    <m/>
    <n v="0"/>
    <n v="2430"/>
    <n v="1"/>
    <n v="671123.50217162515"/>
    <m/>
    <m/>
    <n v="0"/>
    <m/>
    <m/>
    <n v="0"/>
    <m/>
    <m/>
    <n v="0"/>
    <m/>
    <m/>
    <n v="0"/>
    <n v="2430"/>
    <n v="1"/>
    <n v="1308831.3667411015"/>
    <n v="1979954.8689127266"/>
    <n v="1922.2862804977929"/>
  </r>
  <r>
    <s v="4.3.3.2"/>
    <x v="2"/>
    <x v="2"/>
    <x v="1"/>
    <x v="10"/>
    <n v="3"/>
    <x v="53"/>
    <x v="53"/>
    <s v="Develop operational guidelines for the CHRAF"/>
    <s v="Validation workshop"/>
    <s v="DSA (excl. lunch)"/>
    <n v="39000"/>
    <m/>
    <m/>
    <n v="0"/>
    <m/>
    <m/>
    <n v="0"/>
    <n v="58"/>
    <n v="5"/>
    <n v="14773898.250174496"/>
    <n v="0"/>
    <n v="0"/>
    <n v="0"/>
    <n v="0"/>
    <n v="0"/>
    <n v="0"/>
    <n v="0"/>
    <n v="0"/>
    <n v="0"/>
    <n v="0"/>
    <n v="0"/>
    <n v="0"/>
    <n v="58"/>
    <n v="5"/>
    <n v="28812195.335583642"/>
    <n v="43586093.585758135"/>
    <n v="42316.595714328287"/>
  </r>
  <r>
    <s v="4.3.3.2"/>
    <x v="2"/>
    <x v="2"/>
    <x v="1"/>
    <x v="10"/>
    <n v="3"/>
    <x v="53"/>
    <x v="53"/>
    <s v="Develop operational guidelines for the CHRAF"/>
    <s v="Validation workshop"/>
    <s v="Conference package high-level"/>
    <n v="35000"/>
    <m/>
    <m/>
    <n v="0"/>
    <m/>
    <m/>
    <n v="0"/>
    <n v="100"/>
    <n v="5"/>
    <n v="22859701.094434455"/>
    <n v="0"/>
    <n v="0"/>
    <n v="0"/>
    <n v="0"/>
    <n v="0"/>
    <n v="0"/>
    <n v="0"/>
    <n v="0"/>
    <n v="0"/>
    <n v="0"/>
    <n v="0"/>
    <n v="0"/>
    <n v="100"/>
    <n v="5"/>
    <n v="44581204.100151524"/>
    <n v="67440905.194585979"/>
    <n v="65476.60698503493"/>
  </r>
  <r>
    <s v="4.3.3.2"/>
    <x v="2"/>
    <x v="2"/>
    <x v="1"/>
    <x v="10"/>
    <n v="3"/>
    <x v="53"/>
    <x v="53"/>
    <s v="Develop operational guidelines for the CHRAF"/>
    <s v="Validation workshop"/>
    <s v="Local running (diesel, per km)"/>
    <n v="211.42857142857142"/>
    <m/>
    <m/>
    <n v="0"/>
    <m/>
    <m/>
    <n v="0"/>
    <n v="450"/>
    <n v="5"/>
    <n v="621410.65015891218"/>
    <n v="0"/>
    <n v="0"/>
    <n v="0"/>
    <n v="0"/>
    <n v="0"/>
    <n v="0"/>
    <n v="0"/>
    <n v="0"/>
    <n v="0"/>
    <n v="0"/>
    <n v="0"/>
    <n v="0"/>
    <n v="450"/>
    <n v="5"/>
    <n v="1211880.8951306494"/>
    <n v="1833291.5452895616"/>
    <n v="1779.8947041646229"/>
  </r>
  <r>
    <s v="4.3.3.2"/>
    <x v="2"/>
    <x v="2"/>
    <x v="1"/>
    <x v="10"/>
    <n v="3"/>
    <x v="53"/>
    <x v="53"/>
    <s v="Develop operational guidelines for the CHRAF"/>
    <s v="Validation workshop"/>
    <s v="Fuel for traveling participants"/>
    <n v="211.42857142857142"/>
    <m/>
    <m/>
    <n v="0"/>
    <m/>
    <m/>
    <n v="0"/>
    <n v="22500"/>
    <n v="1"/>
    <n v="6214106.5015891213"/>
    <m/>
    <m/>
    <n v="0"/>
    <m/>
    <m/>
    <n v="0"/>
    <m/>
    <m/>
    <n v="0"/>
    <m/>
    <m/>
    <n v="0"/>
    <n v="22500"/>
    <n v="1"/>
    <n v="12118808.951306494"/>
    <n v="18332915.452895615"/>
    <n v="17798.947041646228"/>
  </r>
  <r>
    <s v="4.3.3.2"/>
    <x v="2"/>
    <x v="2"/>
    <x v="1"/>
    <x v="10"/>
    <n v="3"/>
    <x v="53"/>
    <x v="53"/>
    <s v="Develop operational guidelines for the CHRAF"/>
    <s v="Present to TWG for endorsement"/>
    <s v="Conference package high-level"/>
    <n v="35000"/>
    <m/>
    <m/>
    <n v="0"/>
    <m/>
    <m/>
    <n v="0"/>
    <n v="30"/>
    <n v="1"/>
    <n v="1371582.0656660672"/>
    <n v="0"/>
    <n v="0"/>
    <n v="0"/>
    <n v="0"/>
    <n v="0"/>
    <n v="0"/>
    <n v="0"/>
    <n v="0"/>
    <n v="0"/>
    <n v="0"/>
    <n v="0"/>
    <n v="0"/>
    <n v="30"/>
    <n v="1"/>
    <n v="2674872.2460090914"/>
    <n v="4046454.3116751583"/>
    <n v="3928.5964191020953"/>
  </r>
  <r>
    <s v="4.3.3.2"/>
    <x v="2"/>
    <x v="2"/>
    <x v="1"/>
    <x v="10"/>
    <n v="3"/>
    <x v="53"/>
    <x v="53"/>
    <s v="Develop operational guidelines for the CHRAF"/>
    <s v="Present to SMT for Approval "/>
    <s v="zero cost"/>
    <n v="0"/>
    <m/>
    <m/>
    <n v="0"/>
    <m/>
    <m/>
    <n v="0"/>
    <n v="0"/>
    <n v="0"/>
    <n v="0"/>
    <n v="0"/>
    <n v="0"/>
    <n v="0"/>
    <n v="0"/>
    <n v="0"/>
    <n v="0"/>
    <n v="0"/>
    <n v="0"/>
    <n v="0"/>
    <n v="0"/>
    <n v="0"/>
    <n v="0"/>
    <n v="0"/>
    <n v="0"/>
    <n v="0"/>
    <n v="0"/>
    <n v="0"/>
  </r>
  <r>
    <s v="4.3.3.2"/>
    <x v="2"/>
    <x v="2"/>
    <x v="1"/>
    <x v="10"/>
    <n v="3"/>
    <x v="53"/>
    <x v="53"/>
    <s v="Monitor implementation of the formula overtime and add any changes to the formula"/>
    <s v="Quarterly meeting"/>
    <s v="Conference package high-level"/>
    <n v="35000"/>
    <m/>
    <m/>
    <n v="0"/>
    <m/>
    <m/>
    <n v="0"/>
    <n v="30"/>
    <n v="4"/>
    <n v="5486328.2626642687"/>
    <n v="30"/>
    <n v="4"/>
    <n v="6270440.316466351"/>
    <n v="30"/>
    <n v="4"/>
    <n v="7166618.5251687486"/>
    <n v="30"/>
    <n v="4"/>
    <n v="8190879.5065663857"/>
    <n v="30"/>
    <n v="4"/>
    <n v="9361528.9910396729"/>
    <n v="30"/>
    <n v="4"/>
    <n v="10699488.984036366"/>
    <n v="47175284.585941792"/>
    <n v="45801.247170817274"/>
  </r>
  <r>
    <s v="4.3.3.2"/>
    <x v="2"/>
    <x v="2"/>
    <x v="1"/>
    <x v="10"/>
    <n v="3"/>
    <x v="53"/>
    <x v="53"/>
    <s v="Monitor implementation of the formula overtime and add any changes to the formula"/>
    <s v="Joint Annual Review"/>
    <s v="Conference package high-level"/>
    <n v="35000"/>
    <m/>
    <m/>
    <n v="0"/>
    <m/>
    <m/>
    <n v="0"/>
    <n v="30"/>
    <n v="1"/>
    <n v="1371582.0656660672"/>
    <n v="30"/>
    <n v="1"/>
    <n v="1567610.0791165878"/>
    <n v="30"/>
    <n v="1"/>
    <n v="1791654.6312921871"/>
    <n v="30"/>
    <n v="1"/>
    <n v="2047719.8766415964"/>
    <n v="30"/>
    <n v="1"/>
    <n v="2340382.2477599182"/>
    <n v="30"/>
    <n v="1"/>
    <n v="2674872.2460090914"/>
    <n v="11793821.146485448"/>
    <n v="11450.311792704319"/>
  </r>
  <r>
    <s v="4.3.3.2"/>
    <x v="2"/>
    <x v="2"/>
    <x v="1"/>
    <x v="10"/>
    <n v="3"/>
    <x v="53"/>
    <x v="53"/>
    <s v="Monitor implementation of the formula overtime and add any changes to the formula"/>
    <s v="Joint Annual Review"/>
    <s v="DSA (excl. lunch)"/>
    <n v="39000"/>
    <m/>
    <m/>
    <n v="0"/>
    <m/>
    <m/>
    <n v="0"/>
    <n v="30"/>
    <n v="2"/>
    <n v="3056668.6034843787"/>
    <n v="30"/>
    <n v="2"/>
    <n v="3493531.0334598236"/>
    <n v="30"/>
    <n v="2"/>
    <n v="3992830.3211654453"/>
    <n v="30"/>
    <n v="2"/>
    <n v="4563490.0108012725"/>
    <n v="30"/>
    <n v="2"/>
    <n v="5215709.009293532"/>
    <n v="30"/>
    <n v="2"/>
    <n v="5961143.8625345463"/>
    <n v="26283372.840738997"/>
    <n v="25517.837709455336"/>
  </r>
  <r>
    <s v="4.3.3.2"/>
    <x v="2"/>
    <x v="2"/>
    <x v="1"/>
    <x v="10"/>
    <n v="4"/>
    <x v="54"/>
    <x v="54"/>
    <s v="design intra-district resource allocation formula"/>
    <s v="develop concept note"/>
    <s v="zero cost"/>
    <n v="0"/>
    <m/>
    <m/>
    <n v="0"/>
    <m/>
    <m/>
    <n v="0"/>
    <n v="0"/>
    <n v="0"/>
    <n v="0"/>
    <n v="0"/>
    <n v="0"/>
    <n v="0"/>
    <n v="0"/>
    <n v="0"/>
    <n v="0"/>
    <n v="0"/>
    <n v="0"/>
    <n v="0"/>
    <n v="0"/>
    <n v="0"/>
    <n v="0"/>
    <n v="0"/>
    <n v="0"/>
    <n v="0"/>
    <n v="0"/>
    <n v="0"/>
  </r>
  <r>
    <s v="4.3.3.2"/>
    <x v="2"/>
    <x v="2"/>
    <x v="1"/>
    <x v="10"/>
    <n v="4"/>
    <x v="54"/>
    <x v="54"/>
    <s v="design intra-district resource allocation formula"/>
    <s v="Develop ToRs for the taskforce"/>
    <s v="zero cost"/>
    <n v="0"/>
    <m/>
    <m/>
    <n v="0"/>
    <m/>
    <m/>
    <n v="0"/>
    <n v="0"/>
    <n v="0"/>
    <n v="0"/>
    <n v="0"/>
    <n v="0"/>
    <n v="0"/>
    <n v="0"/>
    <n v="0"/>
    <n v="0"/>
    <n v="0"/>
    <n v="0"/>
    <n v="0"/>
    <n v="0"/>
    <n v="0"/>
    <n v="0"/>
    <n v="0"/>
    <n v="0"/>
    <n v="0"/>
    <n v="0"/>
    <n v="0"/>
  </r>
  <r>
    <s v="4.3.3.2"/>
    <x v="2"/>
    <x v="2"/>
    <x v="1"/>
    <x v="10"/>
    <n v="4"/>
    <x v="54"/>
    <x v="54"/>
    <s v="design intra-district resource allocation formula"/>
    <s v="set-up the task-force"/>
    <s v="Conference package high-level"/>
    <n v="35000"/>
    <m/>
    <m/>
    <n v="0"/>
    <m/>
    <m/>
    <n v="0"/>
    <n v="50"/>
    <n v="1"/>
    <n v="2285970.1094434457"/>
    <n v="0"/>
    <n v="0"/>
    <n v="0"/>
    <n v="0"/>
    <n v="0"/>
    <n v="0"/>
    <n v="0"/>
    <n v="0"/>
    <n v="0"/>
    <n v="0"/>
    <n v="0"/>
    <n v="0"/>
    <n v="0"/>
    <n v="0"/>
    <n v="0"/>
    <n v="2285970.1094434457"/>
    <n v="2219.3884557703354"/>
  </r>
  <r>
    <s v="4.3.3.2"/>
    <x v="2"/>
    <x v="2"/>
    <x v="1"/>
    <x v="10"/>
    <n v="4"/>
    <x v="54"/>
    <x v="54"/>
    <s v="design intra-district resource allocation formula"/>
    <s v="Hold workshop for members of the taskforce to revise the CHRAF concept note"/>
    <s v="Conference package high-level"/>
    <n v="35000"/>
    <m/>
    <m/>
    <n v="0"/>
    <m/>
    <m/>
    <n v="0"/>
    <n v="40"/>
    <n v="5"/>
    <n v="9143880.4377737809"/>
    <n v="0"/>
    <n v="0"/>
    <n v="0"/>
    <n v="0"/>
    <n v="0"/>
    <n v="0"/>
    <n v="0"/>
    <n v="0"/>
    <n v="0"/>
    <n v="0"/>
    <n v="0"/>
    <n v="0"/>
    <n v="0"/>
    <n v="0"/>
    <n v="0"/>
    <n v="9143880.4377737809"/>
    <n v="8877.5538230813399"/>
  </r>
  <r>
    <s v="4.3.3.2"/>
    <x v="2"/>
    <x v="2"/>
    <x v="1"/>
    <x v="10"/>
    <n v="4"/>
    <x v="54"/>
    <x v="54"/>
    <s v="design intra-district resource allocation formula"/>
    <s v="Hold workshop for members of the taskforce to revise the CHRAF concept note"/>
    <s v="DSA (excl. lunch)"/>
    <n v="39000"/>
    <m/>
    <m/>
    <n v="0"/>
    <m/>
    <m/>
    <n v="0"/>
    <n v="40"/>
    <n v="6"/>
    <n v="12226674.413937515"/>
    <n v="0"/>
    <n v="0"/>
    <n v="0"/>
    <n v="0"/>
    <n v="0"/>
    <n v="0"/>
    <n v="0"/>
    <n v="0"/>
    <n v="0"/>
    <n v="0"/>
    <n v="0"/>
    <n v="0"/>
    <n v="0"/>
    <n v="0"/>
    <n v="0"/>
    <n v="12226674.413937515"/>
    <n v="11870.557683434481"/>
  </r>
  <r>
    <s v="4.3.3.2"/>
    <x v="2"/>
    <x v="2"/>
    <x v="1"/>
    <x v="10"/>
    <n v="4"/>
    <x v="54"/>
    <x v="54"/>
    <s v="design intra-district resource allocation formula"/>
    <s v="Hold workshop for members of the taskforce to revise the CHRAF concept note"/>
    <s v="Local running (diesel, per km)"/>
    <n v="211.42857142857142"/>
    <m/>
    <m/>
    <n v="0"/>
    <m/>
    <m/>
    <n v="0"/>
    <n v="450"/>
    <n v="5"/>
    <n v="621410.65015891218"/>
    <n v="0"/>
    <n v="0"/>
    <n v="0"/>
    <n v="0"/>
    <n v="0"/>
    <n v="0"/>
    <n v="0"/>
    <n v="0"/>
    <n v="0"/>
    <n v="0"/>
    <n v="0"/>
    <n v="0"/>
    <n v="0"/>
    <n v="0"/>
    <n v="0"/>
    <n v="621410.65015891218"/>
    <n v="603.31131083389528"/>
  </r>
  <r>
    <s v="4.3.3.2"/>
    <x v="2"/>
    <x v="2"/>
    <x v="1"/>
    <x v="10"/>
    <n v="4"/>
    <x v="54"/>
    <x v="54"/>
    <s v="design intra-district resource allocation formula"/>
    <s v="Hold workshop for members of the taskforce to revise the CHRAF concept note"/>
    <s v="Fuel for traveling participants"/>
    <n v="211.42857142857142"/>
    <m/>
    <m/>
    <n v="0"/>
    <m/>
    <m/>
    <n v="0"/>
    <n v="2430"/>
    <n v="1"/>
    <n v="671123.50217162515"/>
    <m/>
    <m/>
    <n v="0"/>
    <m/>
    <m/>
    <n v="0"/>
    <m/>
    <m/>
    <n v="0"/>
    <m/>
    <m/>
    <n v="0"/>
    <m/>
    <m/>
    <n v="0"/>
    <n v="671123.50217162515"/>
    <n v="651.57621570060689"/>
  </r>
  <r>
    <s v="4.3.3.2"/>
    <x v="2"/>
    <x v="2"/>
    <x v="1"/>
    <x v="10"/>
    <n v="4"/>
    <x v="54"/>
    <x v="54"/>
    <s v="design intra-district resource allocation formula"/>
    <s v="Develop tools for consultative meetings with patient groups, service providers, financers"/>
    <s v="Conference package high-level"/>
    <n v="35000"/>
    <m/>
    <m/>
    <n v="0"/>
    <m/>
    <m/>
    <n v="0"/>
    <n v="40"/>
    <n v="5"/>
    <n v="9143880.4377737809"/>
    <n v="0"/>
    <n v="0"/>
    <n v="0"/>
    <n v="0"/>
    <n v="0"/>
    <n v="0"/>
    <n v="0"/>
    <n v="0"/>
    <n v="0"/>
    <n v="0"/>
    <n v="0"/>
    <n v="0"/>
    <n v="0"/>
    <n v="0"/>
    <n v="0"/>
    <n v="9143880.4377737809"/>
    <n v="8877.5538230813399"/>
  </r>
  <r>
    <s v="4.3.3.2"/>
    <x v="2"/>
    <x v="2"/>
    <x v="1"/>
    <x v="10"/>
    <n v="4"/>
    <x v="54"/>
    <x v="54"/>
    <s v="design intra-district resource allocation formula"/>
    <s v="Develop tools for consultative meetings with patient groups, service providers, financers"/>
    <s v="DSA (excl. lunch)"/>
    <n v="39000"/>
    <m/>
    <m/>
    <n v="0"/>
    <m/>
    <m/>
    <n v="0"/>
    <n v="40"/>
    <n v="6"/>
    <n v="12226674.413937515"/>
    <n v="0"/>
    <n v="0"/>
    <n v="0"/>
    <n v="0"/>
    <n v="0"/>
    <n v="0"/>
    <n v="0"/>
    <n v="0"/>
    <n v="0"/>
    <n v="0"/>
    <n v="0"/>
    <n v="0"/>
    <n v="0"/>
    <n v="0"/>
    <n v="0"/>
    <n v="12226674.413937515"/>
    <n v="11870.557683434481"/>
  </r>
  <r>
    <s v="4.3.3.2"/>
    <x v="2"/>
    <x v="2"/>
    <x v="1"/>
    <x v="10"/>
    <n v="4"/>
    <x v="54"/>
    <x v="54"/>
    <s v="design intra-district resource allocation formula"/>
    <s v="Develop tools for consultative meetings with patient groups, service providers, financers"/>
    <s v="Local running (diesel, per km)"/>
    <n v="211.42857142857142"/>
    <m/>
    <m/>
    <n v="0"/>
    <m/>
    <m/>
    <n v="0"/>
    <n v="450"/>
    <n v="5"/>
    <n v="621410.65015891218"/>
    <n v="0"/>
    <n v="0"/>
    <n v="0"/>
    <n v="0"/>
    <n v="0"/>
    <n v="0"/>
    <n v="0"/>
    <n v="0"/>
    <n v="0"/>
    <n v="0"/>
    <n v="0"/>
    <n v="0"/>
    <n v="0"/>
    <n v="0"/>
    <n v="0"/>
    <n v="621410.65015891218"/>
    <n v="603.31131083389528"/>
  </r>
  <r>
    <s v="4.3.3.2"/>
    <x v="2"/>
    <x v="2"/>
    <x v="1"/>
    <x v="10"/>
    <n v="4"/>
    <x v="54"/>
    <x v="54"/>
    <s v="design intra-district resource allocation formula"/>
    <s v="Develop tools for consultative meetings with patient groups, service providers, financers"/>
    <s v="Fuel for traveling participants"/>
    <n v="211.42857142857142"/>
    <m/>
    <m/>
    <n v="0"/>
    <m/>
    <m/>
    <n v="0"/>
    <n v="2430"/>
    <n v="1"/>
    <n v="671123.50217162515"/>
    <m/>
    <m/>
    <n v="0"/>
    <m/>
    <m/>
    <n v="0"/>
    <m/>
    <m/>
    <n v="0"/>
    <m/>
    <m/>
    <n v="0"/>
    <m/>
    <m/>
    <n v="0"/>
    <n v="671123.50217162515"/>
    <n v="651.57621570060689"/>
  </r>
  <r>
    <s v="4.3.3.2"/>
    <x v="2"/>
    <x v="2"/>
    <x v="1"/>
    <x v="10"/>
    <n v="4"/>
    <x v="54"/>
    <x v="54"/>
    <s v="design intra-district resource allocation formula"/>
    <s v="Conduct consultative meetings/workshops DHMT, NLGFC, Treasury, CSOs, Central hospitals"/>
    <s v="Conference package high-level"/>
    <n v="35000"/>
    <m/>
    <m/>
    <n v="0"/>
    <m/>
    <m/>
    <n v="0"/>
    <n v="50"/>
    <n v="5"/>
    <n v="11429850.547217228"/>
    <n v="0"/>
    <n v="0"/>
    <n v="0"/>
    <n v="0"/>
    <n v="0"/>
    <n v="0"/>
    <n v="0"/>
    <n v="0"/>
    <n v="0"/>
    <n v="0"/>
    <n v="0"/>
    <n v="0"/>
    <n v="0"/>
    <n v="0"/>
    <n v="0"/>
    <n v="11429850.547217228"/>
    <n v="11096.942278851677"/>
  </r>
  <r>
    <s v="4.3.3.2"/>
    <x v="2"/>
    <x v="2"/>
    <x v="1"/>
    <x v="10"/>
    <n v="4"/>
    <x v="54"/>
    <x v="54"/>
    <s v="design intra-district resource allocation formula"/>
    <s v="Conduct consultative meetings/workshops DHMT, NLGFC, Treasury, CSOs, Central hospitals"/>
    <s v="DSA (excl. lunch)"/>
    <n v="39000"/>
    <m/>
    <m/>
    <n v="0"/>
    <m/>
    <m/>
    <n v="0"/>
    <n v="50"/>
    <n v="6"/>
    <n v="15283343.017421894"/>
    <n v="0"/>
    <n v="0"/>
    <n v="0"/>
    <n v="0"/>
    <n v="0"/>
    <n v="0"/>
    <n v="0"/>
    <n v="0"/>
    <n v="0"/>
    <n v="0"/>
    <n v="0"/>
    <n v="0"/>
    <n v="0"/>
    <n v="0"/>
    <n v="0"/>
    <n v="15283343.017421894"/>
    <n v="14838.1971042931"/>
  </r>
  <r>
    <s v="4.3.3.2"/>
    <x v="2"/>
    <x v="2"/>
    <x v="1"/>
    <x v="10"/>
    <n v="4"/>
    <x v="54"/>
    <x v="54"/>
    <s v="design intra-district resource allocation formula"/>
    <s v="Conduct consultative meetings/workshops DHMT, NLGFC, Treasury, CSOs, Central hospitals"/>
    <s v="Local running (diesel, per km)"/>
    <n v="211.42857142857142"/>
    <m/>
    <m/>
    <n v="0"/>
    <m/>
    <m/>
    <n v="0"/>
    <n v="450"/>
    <n v="5"/>
    <n v="621410.65015891218"/>
    <n v="0"/>
    <n v="0"/>
    <n v="0"/>
    <n v="0"/>
    <n v="0"/>
    <n v="0"/>
    <n v="0"/>
    <n v="0"/>
    <n v="0"/>
    <n v="0"/>
    <n v="0"/>
    <n v="0"/>
    <n v="0"/>
    <n v="0"/>
    <n v="0"/>
    <n v="621410.65015891218"/>
    <n v="603.31131083389528"/>
  </r>
  <r>
    <s v="4.3.3.2"/>
    <x v="2"/>
    <x v="2"/>
    <x v="1"/>
    <x v="10"/>
    <n v="4"/>
    <x v="54"/>
    <x v="54"/>
    <s v="design intra-district resource allocation formula"/>
    <s v="Conduct consultative meetings/workshops DHMT, NLGFC, Treasury, CSOs, Central hospitals"/>
    <s v="Fuel for traveling participants"/>
    <n v="211.42857142857142"/>
    <m/>
    <m/>
    <n v="0"/>
    <m/>
    <m/>
    <n v="0"/>
    <n v="2970"/>
    <n v="1"/>
    <n v="820262.05820976407"/>
    <m/>
    <m/>
    <n v="0"/>
    <m/>
    <m/>
    <n v="0"/>
    <m/>
    <m/>
    <n v="0"/>
    <m/>
    <m/>
    <n v="0"/>
    <m/>
    <m/>
    <n v="0"/>
    <n v="820262.05820976407"/>
    <n v="796.37093030074186"/>
  </r>
  <r>
    <s v="4.3.3.2"/>
    <x v="2"/>
    <x v="2"/>
    <x v="1"/>
    <x v="10"/>
    <n v="4"/>
    <x v="54"/>
    <x v="54"/>
    <s v="design intra-district resource allocation formula"/>
    <s v="Conduct validation meetings"/>
    <s v="Conference package high-level"/>
    <n v="35000"/>
    <m/>
    <m/>
    <n v="0"/>
    <m/>
    <m/>
    <n v="0"/>
    <n v="30"/>
    <n v="5"/>
    <n v="6857910.3283303361"/>
    <n v="0"/>
    <n v="0"/>
    <n v="0"/>
    <n v="0"/>
    <n v="0"/>
    <n v="0"/>
    <n v="0"/>
    <n v="0"/>
    <n v="0"/>
    <n v="0"/>
    <n v="0"/>
    <n v="0"/>
    <n v="0"/>
    <n v="0"/>
    <n v="0"/>
    <n v="6857910.3283303361"/>
    <n v="6658.1653673110059"/>
  </r>
  <r>
    <s v="4.3.3.2"/>
    <x v="2"/>
    <x v="2"/>
    <x v="1"/>
    <x v="10"/>
    <n v="4"/>
    <x v="54"/>
    <x v="54"/>
    <s v="design intra-district resource allocation formula"/>
    <s v="Conduct validation meetings"/>
    <s v="DSA (excl. lunch)"/>
    <n v="39000"/>
    <m/>
    <m/>
    <n v="0"/>
    <m/>
    <m/>
    <n v="0"/>
    <n v="30"/>
    <n v="5"/>
    <n v="7641671.5087109469"/>
    <n v="0"/>
    <n v="0"/>
    <n v="0"/>
    <n v="0"/>
    <n v="0"/>
    <n v="0"/>
    <n v="0"/>
    <n v="0"/>
    <n v="0"/>
    <n v="0"/>
    <n v="0"/>
    <n v="0"/>
    <n v="0"/>
    <n v="0"/>
    <n v="0"/>
    <n v="7641671.5087109469"/>
    <n v="7419.09855214655"/>
  </r>
  <r>
    <s v="4.3.3.2"/>
    <x v="2"/>
    <x v="2"/>
    <x v="1"/>
    <x v="10"/>
    <n v="4"/>
    <x v="54"/>
    <x v="54"/>
    <s v="design intra-district resource allocation formula"/>
    <s v="Conduct validation meetings"/>
    <s v="Local running (diesel, per km)"/>
    <n v="211.42857142857142"/>
    <m/>
    <m/>
    <n v="0"/>
    <m/>
    <m/>
    <n v="0"/>
    <n v="450"/>
    <n v="5"/>
    <n v="621410.65015891218"/>
    <n v="0"/>
    <n v="0"/>
    <n v="0"/>
    <n v="0"/>
    <n v="0"/>
    <n v="0"/>
    <n v="0"/>
    <n v="0"/>
    <n v="0"/>
    <n v="0"/>
    <n v="0"/>
    <n v="0"/>
    <n v="0"/>
    <n v="0"/>
    <n v="0"/>
    <n v="621410.65015891218"/>
    <n v="603.31131083389528"/>
  </r>
  <r>
    <s v="4.3.3.2"/>
    <x v="2"/>
    <x v="2"/>
    <x v="1"/>
    <x v="10"/>
    <n v="4"/>
    <x v="54"/>
    <x v="54"/>
    <s v="design intra-district resource allocation formula"/>
    <s v="Conduct validation meetings"/>
    <s v="Fuel for traveling participants"/>
    <n v="211.42857142857142"/>
    <m/>
    <m/>
    <n v="0"/>
    <m/>
    <m/>
    <n v="0"/>
    <n v="2430"/>
    <n v="1"/>
    <n v="671123.50217162515"/>
    <m/>
    <m/>
    <n v="0"/>
    <m/>
    <m/>
    <n v="0"/>
    <m/>
    <m/>
    <n v="0"/>
    <m/>
    <m/>
    <n v="0"/>
    <m/>
    <m/>
    <n v="0"/>
    <n v="671123.50217162515"/>
    <n v="651.57621570060689"/>
  </r>
  <r>
    <s v="4.3.3.2"/>
    <x v="2"/>
    <x v="2"/>
    <x v="1"/>
    <x v="10"/>
    <n v="4"/>
    <x v="54"/>
    <x v="54"/>
    <s v="design intra-district resource allocation formula"/>
    <s v="Present draft of the formula to TWG for endorsement"/>
    <s v="Conference package high-level"/>
    <n v="35000"/>
    <m/>
    <m/>
    <n v="0"/>
    <m/>
    <m/>
    <n v="0"/>
    <n v="50"/>
    <n v="1"/>
    <n v="2285970.1094434457"/>
    <n v="0"/>
    <n v="0"/>
    <n v="0"/>
    <n v="0"/>
    <n v="0"/>
    <n v="0"/>
    <n v="0"/>
    <n v="0"/>
    <n v="0"/>
    <n v="0"/>
    <n v="0"/>
    <n v="0"/>
    <n v="0"/>
    <n v="0"/>
    <n v="0"/>
    <n v="2285970.1094434457"/>
    <n v="2219.3884557703354"/>
  </r>
  <r>
    <s v="4.3.3.2"/>
    <x v="2"/>
    <x v="2"/>
    <x v="1"/>
    <x v="10"/>
    <n v="4"/>
    <x v="54"/>
    <x v="54"/>
    <s v="design intra-district resource allocation formula"/>
    <s v="Present draft formula to senior management for approval"/>
    <s v="Conference package high-level"/>
    <n v="35000"/>
    <m/>
    <m/>
    <n v="0"/>
    <m/>
    <m/>
    <n v="0"/>
    <n v="50"/>
    <n v="1"/>
    <n v="2285970.1094434457"/>
    <n v="0"/>
    <n v="0"/>
    <n v="0"/>
    <n v="0"/>
    <n v="0"/>
    <n v="0"/>
    <n v="0"/>
    <n v="0"/>
    <n v="0"/>
    <n v="0"/>
    <n v="0"/>
    <n v="0"/>
    <n v="0"/>
    <n v="0"/>
    <n v="0"/>
    <n v="2285970.1094434457"/>
    <n v="2219.3884557703354"/>
  </r>
  <r>
    <s v="4.3.3.2"/>
    <x v="2"/>
    <x v="2"/>
    <x v="1"/>
    <x v="10"/>
    <n v="4"/>
    <x v="54"/>
    <x v="54"/>
    <s v="design intra-district resource allocation formula"/>
    <s v="Conduct adoption meetings with Ministry of Health and NLGFC, CSOs"/>
    <s v="Conference package high-level"/>
    <n v="35000"/>
    <m/>
    <m/>
    <n v="0"/>
    <m/>
    <m/>
    <n v="0"/>
    <n v="50"/>
    <n v="1"/>
    <n v="2285970.1094434457"/>
    <n v="0"/>
    <n v="0"/>
    <n v="0"/>
    <n v="0"/>
    <n v="0"/>
    <n v="0"/>
    <n v="0"/>
    <n v="0"/>
    <n v="0"/>
    <n v="0"/>
    <n v="0"/>
    <n v="0"/>
    <n v="0"/>
    <n v="0"/>
    <n v="0"/>
    <n v="2285970.1094434457"/>
    <n v="2219.3884557703354"/>
  </r>
  <r>
    <s v="4.3.3.2"/>
    <x v="2"/>
    <x v="2"/>
    <x v="1"/>
    <x v="10"/>
    <n v="4"/>
    <x v="54"/>
    <x v="54"/>
    <s v="design intra-district resource allocation formula"/>
    <s v="Dissemination of the allocation formula"/>
    <s v="DSA (excl. lunch)"/>
    <n v="39000"/>
    <m/>
    <m/>
    <n v="0"/>
    <m/>
    <m/>
    <n v="0"/>
    <n v="50"/>
    <n v="1"/>
    <n v="2547223.8362369821"/>
    <n v="0"/>
    <n v="0"/>
    <n v="0"/>
    <n v="0"/>
    <n v="0"/>
    <n v="0"/>
    <n v="0"/>
    <n v="0"/>
    <n v="0"/>
    <n v="0"/>
    <n v="0"/>
    <n v="0"/>
    <n v="0"/>
    <n v="0"/>
    <n v="0"/>
    <n v="2547223.8362369821"/>
    <n v="2473.0328507155168"/>
  </r>
  <r>
    <s v="4.3.3.2"/>
    <x v="2"/>
    <x v="2"/>
    <x v="1"/>
    <x v="10"/>
    <n v="4"/>
    <x v="54"/>
    <x v="54"/>
    <s v="design intra-district resource allocation formula"/>
    <s v="Dissemination of the allocation formula"/>
    <s v="Conference package high-level"/>
    <n v="35000"/>
    <m/>
    <m/>
    <n v="0"/>
    <m/>
    <m/>
    <n v="0"/>
    <n v="100"/>
    <n v="1"/>
    <n v="4571940.2188868914"/>
    <n v="0"/>
    <n v="0"/>
    <n v="0"/>
    <n v="0"/>
    <n v="0"/>
    <n v="0"/>
    <n v="0"/>
    <n v="0"/>
    <n v="0"/>
    <n v="0"/>
    <n v="0"/>
    <n v="0"/>
    <n v="0"/>
    <n v="0"/>
    <n v="0"/>
    <n v="4571940.2188868914"/>
    <n v="4438.7769115406709"/>
  </r>
  <r>
    <s v="4.3.3.2"/>
    <x v="2"/>
    <x v="2"/>
    <x v="1"/>
    <x v="10"/>
    <n v="4"/>
    <x v="54"/>
    <x v="54"/>
    <s v="design intra-district resource allocation formula"/>
    <s v="Dissemination of the allocation formula"/>
    <s v="Local running (diesel, per km)"/>
    <n v="211.42857142857142"/>
    <m/>
    <m/>
    <n v="0"/>
    <m/>
    <m/>
    <n v="0"/>
    <n v="2430"/>
    <n v="1"/>
    <n v="671123.50217162515"/>
    <n v="0"/>
    <n v="0"/>
    <n v="0"/>
    <n v="0"/>
    <n v="0"/>
    <n v="0"/>
    <n v="0"/>
    <n v="0"/>
    <n v="0"/>
    <n v="0"/>
    <n v="0"/>
    <n v="0"/>
    <n v="0"/>
    <n v="0"/>
    <n v="0"/>
    <n v="671123.50217162515"/>
    <n v="651.57621570060689"/>
  </r>
  <r>
    <s v="4.3.3.2"/>
    <x v="2"/>
    <x v="2"/>
    <x v="1"/>
    <x v="10"/>
    <n v="4"/>
    <x v="54"/>
    <x v="54"/>
    <s v="design intra-district resource allocation formula"/>
    <s v="Dissemination of the allocation formula"/>
    <s v="Fuel for traveling participants"/>
    <n v="211.42857142857142"/>
    <m/>
    <m/>
    <n v="0"/>
    <m/>
    <m/>
    <n v="0"/>
    <n v="2430"/>
    <n v="1"/>
    <n v="671123.50217162515"/>
    <m/>
    <m/>
    <n v="0"/>
    <m/>
    <m/>
    <n v="0"/>
    <m/>
    <m/>
    <n v="0"/>
    <m/>
    <m/>
    <n v="0"/>
    <m/>
    <m/>
    <n v="0"/>
    <n v="671123.50217162515"/>
    <n v="651.57621570060689"/>
  </r>
  <r>
    <s v="4.3.3.2"/>
    <x v="2"/>
    <x v="2"/>
    <x v="1"/>
    <x v="10"/>
    <n v="5"/>
    <x v="55"/>
    <x v="55"/>
    <s v="Conduct training needs assessment"/>
    <s v="develop TORs for a consultant"/>
    <s v="zero cost"/>
    <n v="0"/>
    <m/>
    <m/>
    <n v="0"/>
    <n v="0"/>
    <n v="0"/>
    <n v="0"/>
    <m/>
    <m/>
    <n v="0"/>
    <n v="0"/>
    <n v="0"/>
    <n v="0"/>
    <n v="0"/>
    <n v="0"/>
    <n v="0"/>
    <n v="0"/>
    <n v="0"/>
    <n v="0"/>
    <n v="0"/>
    <n v="0"/>
    <n v="0"/>
    <n v="0"/>
    <n v="0"/>
    <n v="0"/>
    <n v="0"/>
    <n v="0"/>
  </r>
  <r>
    <s v="4.3.3.2"/>
    <x v="2"/>
    <x v="2"/>
    <x v="1"/>
    <x v="10"/>
    <n v="5"/>
    <x v="55"/>
    <x v="55"/>
    <s v="Conduct training needs assessment"/>
    <s v="recruitment of a consultant"/>
    <s v="Newspaper advert (full)"/>
    <n v="391991.03749999998"/>
    <m/>
    <m/>
    <n v="0"/>
    <n v="2"/>
    <n v="2"/>
    <n v="1792059.3063746723"/>
    <m/>
    <m/>
    <n v="0"/>
    <n v="0"/>
    <n v="0"/>
    <n v="0"/>
    <n v="2"/>
    <n v="2"/>
    <n v="2675476.4105215403"/>
    <n v="0"/>
    <n v="0"/>
    <n v="0"/>
    <n v="0"/>
    <n v="0"/>
    <n v="0"/>
    <n v="2"/>
    <n v="2"/>
    <n v="3994384.5595926056"/>
    <n v="8461920.2764888182"/>
    <n v="8215.4565791153582"/>
  </r>
  <r>
    <s v="4.3.3.2"/>
    <x v="2"/>
    <x v="2"/>
    <x v="1"/>
    <x v="10"/>
    <n v="5"/>
    <x v="55"/>
    <x v="55"/>
    <s v="Conduct training needs assessment"/>
    <s v="recruitment of a consultant"/>
    <s v="Local consultant fee - High level"/>
    <n v="1001560"/>
    <m/>
    <m/>
    <n v="0"/>
    <n v="1"/>
    <n v="25"/>
    <n v="28617601.347782999"/>
    <m/>
    <m/>
    <n v="0"/>
    <n v="0"/>
    <n v="0"/>
    <n v="0"/>
    <n v="1"/>
    <n v="25"/>
    <n v="42724990.774214357"/>
    <n v="0"/>
    <n v="0"/>
    <n v="0"/>
    <n v="0"/>
    <n v="0"/>
    <n v="0"/>
    <n v="1"/>
    <n v="25"/>
    <n v="63786786.826496802"/>
    <n v="135129378.94849417"/>
    <n v="131193.57179465453"/>
  </r>
  <r>
    <s v="4.3.3.2"/>
    <x v="2"/>
    <x v="2"/>
    <x v="1"/>
    <x v="10"/>
    <n v="5"/>
    <x v="55"/>
    <x v="55"/>
    <s v="Conduct training needs assessment"/>
    <s v="data collection"/>
    <s v="Full DSA"/>
    <n v="45000"/>
    <m/>
    <m/>
    <n v="0"/>
    <n v="30"/>
    <n v="5"/>
    <n v="7714717.4047499988"/>
    <m/>
    <m/>
    <n v="0"/>
    <n v="0"/>
    <n v="0"/>
    <n v="0"/>
    <n v="30"/>
    <n v="5"/>
    <n v="11517779.77259263"/>
    <n v="0"/>
    <n v="0"/>
    <n v="0"/>
    <n v="0"/>
    <n v="0"/>
    <n v="0"/>
    <n v="30"/>
    <n v="5"/>
    <n v="17195607.295772731"/>
    <n v="36428104.473115362"/>
    <n v="35367.091721471224"/>
  </r>
  <r>
    <s v="4.3.3.2"/>
    <x v="2"/>
    <x v="2"/>
    <x v="1"/>
    <x v="10"/>
    <n v="5"/>
    <x v="55"/>
    <x v="55"/>
    <s v="Conduct training needs assessment"/>
    <s v="data collection"/>
    <s v="A4, 500 pages, 140 gsm paper"/>
    <n v="8000"/>
    <m/>
    <m/>
    <n v="0"/>
    <n v="10"/>
    <n v="1"/>
    <n v="91433.687760000001"/>
    <m/>
    <m/>
    <n v="0"/>
    <n v="0"/>
    <n v="0"/>
    <n v="0"/>
    <n v="10"/>
    <n v="1"/>
    <n v="136507.01952702377"/>
    <n v="0"/>
    <n v="0"/>
    <n v="0"/>
    <n v="0"/>
    <n v="0"/>
    <n v="0"/>
    <n v="10"/>
    <n v="1"/>
    <n v="203799.79017212125"/>
    <n v="431740.49745914503"/>
    <n v="419.16553151373301"/>
  </r>
  <r>
    <s v="4.3.3.2"/>
    <x v="2"/>
    <x v="2"/>
    <x v="1"/>
    <x v="10"/>
    <n v="5"/>
    <x v="55"/>
    <x v="55"/>
    <s v="Conduct training needs assessment"/>
    <s v="data collection"/>
    <s v="Toner"/>
    <n v="104850"/>
    <m/>
    <m/>
    <n v="0"/>
    <n v="1"/>
    <n v="1"/>
    <n v="119835.27702044998"/>
    <m/>
    <m/>
    <n v="0"/>
    <n v="0"/>
    <n v="0"/>
    <n v="0"/>
    <n v="1"/>
    <n v="1"/>
    <n v="178909.51246760553"/>
    <n v="0"/>
    <n v="0"/>
    <n v="0"/>
    <n v="0"/>
    <n v="0"/>
    <n v="0"/>
    <n v="1"/>
    <n v="1"/>
    <n v="267105.09999433643"/>
    <n v="565849.889482392"/>
    <n v="549.36882474018637"/>
  </r>
  <r>
    <s v="4.3.3.2"/>
    <x v="2"/>
    <x v="2"/>
    <x v="1"/>
    <x v="10"/>
    <n v="5"/>
    <x v="55"/>
    <x v="55"/>
    <s v="Conduct training needs assessment"/>
    <s v="data collection"/>
    <s v="Ball point (Box)"/>
    <n v="11067.5"/>
    <m/>
    <m/>
    <n v="0"/>
    <n v="2"/>
    <n v="1"/>
    <n v="25298.558482094999"/>
    <m/>
    <m/>
    <n v="0"/>
    <n v="0"/>
    <n v="0"/>
    <n v="0"/>
    <n v="2"/>
    <n v="1"/>
    <n v="37769.785965383388"/>
    <n v="0"/>
    <n v="0"/>
    <n v="0"/>
    <n v="0"/>
    <n v="0"/>
    <n v="0"/>
    <n v="2"/>
    <n v="1"/>
    <n v="56388.854443248798"/>
    <n v="119457.19889072719"/>
    <n v="115.97786300070601"/>
  </r>
  <r>
    <s v="4.3.3.2"/>
    <x v="2"/>
    <x v="2"/>
    <x v="1"/>
    <x v="10"/>
    <n v="5"/>
    <x v="55"/>
    <x v="55"/>
    <s v="Conduct training needs assessment"/>
    <s v="data collection"/>
    <s v="Local running (diesel, per km)"/>
    <n v="211.42857142857142"/>
    <m/>
    <m/>
    <n v="0"/>
    <n v="450"/>
    <n v="5"/>
    <n v="543703.89328714274"/>
    <m/>
    <m/>
    <n v="0"/>
    <n v="0"/>
    <n v="0"/>
    <n v="0"/>
    <n v="450"/>
    <n v="5"/>
    <n v="811729.24111605203"/>
    <n v="0"/>
    <n v="0"/>
    <n v="0"/>
    <n v="0"/>
    <n v="0"/>
    <n v="0"/>
    <n v="450"/>
    <n v="5"/>
    <n v="1211880.8951306494"/>
    <n v="2567314.0295338444"/>
    <n v="2492.5378927513052"/>
  </r>
  <r>
    <s v="4.3.3.2"/>
    <x v="2"/>
    <x v="2"/>
    <x v="1"/>
    <x v="10"/>
    <n v="5"/>
    <x v="55"/>
    <x v="55"/>
    <s v="Conduct training needs assessment"/>
    <s v="data collection"/>
    <s v="Fuel for traveling participants"/>
    <n v="211.42857142857142"/>
    <m/>
    <m/>
    <n v="0"/>
    <n v="2430"/>
    <n v="1"/>
    <n v="587200.20475011424"/>
    <m/>
    <m/>
    <n v="0"/>
    <m/>
    <m/>
    <n v="0"/>
    <n v="2430"/>
    <n v="1"/>
    <n v="876667.58040533611"/>
    <m/>
    <m/>
    <n v="0"/>
    <m/>
    <m/>
    <n v="0"/>
    <n v="2430"/>
    <n v="1"/>
    <n v="1308831.3667411015"/>
    <n v="2772699.1518965522"/>
    <n v="2691.9409241714097"/>
  </r>
  <r>
    <s v="4.3.3.2"/>
    <x v="2"/>
    <x v="2"/>
    <x v="1"/>
    <x v="10"/>
    <n v="5"/>
    <x v="55"/>
    <x v="55"/>
    <s v="Conduct training needs assessment"/>
    <s v="data collection"/>
    <s v="Airtime for Research Assistant"/>
    <n v="10000"/>
    <m/>
    <m/>
    <n v="0"/>
    <n v="15"/>
    <n v="1"/>
    <n v="171438.16454999999"/>
    <m/>
    <m/>
    <n v="0"/>
    <n v="0"/>
    <n v="0"/>
    <n v="0"/>
    <n v="15"/>
    <n v="1"/>
    <n v="255950.66161316959"/>
    <n v="0"/>
    <n v="0"/>
    <n v="0"/>
    <n v="0"/>
    <n v="0"/>
    <n v="0"/>
    <n v="15"/>
    <n v="1"/>
    <n v="382124.60657272732"/>
    <n v="809513.4327358969"/>
    <n v="785.93537158824938"/>
  </r>
  <r>
    <s v="4.3.3.2"/>
    <x v="2"/>
    <x v="2"/>
    <x v="1"/>
    <x v="10"/>
    <n v="5"/>
    <x v="55"/>
    <x v="55"/>
    <s v="Conduct training needs assessment"/>
    <s v="data collection"/>
    <s v="Tablet"/>
    <n v="302000"/>
    <m/>
    <m/>
    <n v="0"/>
    <n v="30"/>
    <n v="1"/>
    <n v="10354865.138819998"/>
    <m/>
    <m/>
    <n v="0"/>
    <n v="0"/>
    <n v="0"/>
    <n v="0"/>
    <n v="30"/>
    <n v="1"/>
    <n v="15459419.961435441"/>
    <n v="0"/>
    <n v="0"/>
    <n v="0"/>
    <n v="0"/>
    <n v="0"/>
    <n v="0"/>
    <n v="30"/>
    <n v="1"/>
    <n v="23080326.236992732"/>
    <n v="48894611.337248169"/>
    <n v="47470.496443930264"/>
  </r>
  <r>
    <s v="4.3.3.2"/>
    <x v="2"/>
    <x v="2"/>
    <x v="1"/>
    <x v="10"/>
    <n v="5"/>
    <x v="55"/>
    <x v="55"/>
    <s v="Conduct training needs assessment"/>
    <s v="data analysis"/>
    <s v="DSA (excl. lunch)"/>
    <n v="39000"/>
    <m/>
    <m/>
    <n v="0"/>
    <n v="30"/>
    <n v="5"/>
    <n v="6686088.4174499987"/>
    <m/>
    <m/>
    <n v="0"/>
    <n v="0"/>
    <n v="0"/>
    <n v="0"/>
    <n v="30"/>
    <n v="5"/>
    <n v="9982075.8029136136"/>
    <n v="0"/>
    <n v="0"/>
    <n v="0"/>
    <n v="0"/>
    <n v="0"/>
    <n v="0"/>
    <n v="30"/>
    <n v="5"/>
    <n v="14902859.656336365"/>
    <n v="31571023.876699977"/>
    <n v="30651.479491941725"/>
  </r>
  <r>
    <s v="4.3.3.2"/>
    <x v="2"/>
    <x v="2"/>
    <x v="1"/>
    <x v="10"/>
    <n v="5"/>
    <x v="55"/>
    <x v="55"/>
    <s v="Conduct training needs assessment"/>
    <s v="data analysis"/>
    <s v="Conference package high-level"/>
    <n v="35000"/>
    <m/>
    <m/>
    <n v="0"/>
    <n v="30"/>
    <n v="5"/>
    <n v="6000335.7592499992"/>
    <m/>
    <m/>
    <n v="0"/>
    <n v="0"/>
    <n v="0"/>
    <n v="0"/>
    <n v="30"/>
    <n v="5"/>
    <n v="8958273.1564609352"/>
    <n v="0"/>
    <n v="0"/>
    <n v="0"/>
    <n v="0"/>
    <n v="0"/>
    <n v="0"/>
    <n v="30"/>
    <n v="5"/>
    <n v="13374361.230045456"/>
    <n v="28332970.14575639"/>
    <n v="27507.73800558873"/>
  </r>
  <r>
    <s v="4.3.3.2"/>
    <x v="2"/>
    <x v="2"/>
    <x v="1"/>
    <x v="10"/>
    <n v="5"/>
    <x v="55"/>
    <x v="55"/>
    <s v="Conduct training needs assessment"/>
    <s v="data analysis"/>
    <s v="Local running (diesel, per km)"/>
    <n v="211.42857142857142"/>
    <m/>
    <m/>
    <n v="0"/>
    <n v="450"/>
    <n v="5"/>
    <n v="543703.89328714274"/>
    <m/>
    <m/>
    <n v="0"/>
    <n v="0"/>
    <n v="0"/>
    <n v="0"/>
    <n v="450"/>
    <n v="5"/>
    <n v="811729.24111605203"/>
    <n v="0"/>
    <n v="0"/>
    <n v="0"/>
    <n v="0"/>
    <n v="0"/>
    <n v="0"/>
    <n v="450"/>
    <n v="5"/>
    <n v="1211880.8951306494"/>
    <n v="2567314.0295338444"/>
    <n v="2492.5378927513052"/>
  </r>
  <r>
    <s v="4.3.3.2"/>
    <x v="2"/>
    <x v="2"/>
    <x v="1"/>
    <x v="10"/>
    <n v="5"/>
    <x v="55"/>
    <x v="55"/>
    <s v="Conduct training needs assessment"/>
    <s v="data analysis"/>
    <s v="Fuel for traveling participants"/>
    <n v="211.42857142857142"/>
    <m/>
    <m/>
    <n v="0"/>
    <n v="2430"/>
    <n v="1"/>
    <n v="587200.20475011424"/>
    <m/>
    <m/>
    <n v="0"/>
    <m/>
    <m/>
    <n v="0"/>
    <n v="2430"/>
    <n v="1"/>
    <n v="876667.58040533611"/>
    <m/>
    <m/>
    <n v="0"/>
    <m/>
    <m/>
    <n v="0"/>
    <n v="2430"/>
    <n v="1"/>
    <n v="1308831.3667411015"/>
    <n v="2772699.1518965522"/>
    <n v="2691.9409241714097"/>
  </r>
  <r>
    <s v="4.3.3.2"/>
    <x v="2"/>
    <x v="2"/>
    <x v="1"/>
    <x v="10"/>
    <n v="5"/>
    <x v="55"/>
    <x v="55"/>
    <s v="Conduct training needs assessment"/>
    <s v="report writing"/>
    <s v="DSA (excl. lunch)"/>
    <n v="39000"/>
    <m/>
    <m/>
    <n v="0"/>
    <n v="15"/>
    <n v="6"/>
    <n v="4011653.0504699992"/>
    <m/>
    <m/>
    <n v="0"/>
    <n v="0"/>
    <n v="0"/>
    <n v="0"/>
    <n v="15"/>
    <n v="6"/>
    <n v="5989245.4817481674"/>
    <n v="0"/>
    <n v="0"/>
    <n v="0"/>
    <n v="0"/>
    <n v="0"/>
    <n v="0"/>
    <n v="15"/>
    <n v="6"/>
    <n v="8941715.7938018199"/>
    <n v="18942614.326019987"/>
    <n v="18390.887695165038"/>
  </r>
  <r>
    <s v="4.3.3.2"/>
    <x v="2"/>
    <x v="2"/>
    <x v="1"/>
    <x v="10"/>
    <n v="5"/>
    <x v="55"/>
    <x v="55"/>
    <s v="Conduct training needs assessment"/>
    <s v="report writing"/>
    <s v="Conference package high-level"/>
    <n v="35000"/>
    <m/>
    <m/>
    <n v="0"/>
    <n v="15"/>
    <n v="5"/>
    <n v="3000167.8796249996"/>
    <m/>
    <m/>
    <n v="0"/>
    <n v="0"/>
    <n v="0"/>
    <n v="0"/>
    <n v="15"/>
    <n v="5"/>
    <n v="4479136.5782304676"/>
    <n v="0"/>
    <n v="0"/>
    <n v="0"/>
    <n v="0"/>
    <n v="0"/>
    <n v="0"/>
    <n v="15"/>
    <n v="5"/>
    <n v="6687180.6150227282"/>
    <n v="14166485.072878195"/>
    <n v="13753.869002794365"/>
  </r>
  <r>
    <s v="4.3.3.2"/>
    <x v="2"/>
    <x v="2"/>
    <x v="1"/>
    <x v="10"/>
    <n v="5"/>
    <x v="55"/>
    <x v="55"/>
    <s v="Conduct training needs assessment"/>
    <s v="report writing"/>
    <s v="Local running (diesel, per km)"/>
    <n v="211.42857142857142"/>
    <m/>
    <m/>
    <n v="0"/>
    <n v="450"/>
    <n v="5"/>
    <n v="543703.89328714274"/>
    <m/>
    <m/>
    <n v="0"/>
    <n v="0"/>
    <n v="0"/>
    <n v="0"/>
    <n v="450"/>
    <n v="5"/>
    <n v="811729.24111605203"/>
    <n v="0"/>
    <n v="0"/>
    <n v="0"/>
    <n v="0"/>
    <n v="0"/>
    <n v="0"/>
    <n v="450"/>
    <n v="5"/>
    <n v="1211880.8951306494"/>
    <n v="2567314.0295338444"/>
    <n v="2492.5378927513052"/>
  </r>
  <r>
    <s v="4.3.3.2"/>
    <x v="2"/>
    <x v="2"/>
    <x v="1"/>
    <x v="10"/>
    <n v="5"/>
    <x v="55"/>
    <x v="55"/>
    <s v="Conduct training needs assessment"/>
    <s v="report writing"/>
    <s v="A4, 500 pages, 140 gsm paper"/>
    <n v="8000"/>
    <m/>
    <m/>
    <n v="0"/>
    <n v="10"/>
    <n v="1"/>
    <n v="91433.687760000001"/>
    <m/>
    <m/>
    <n v="0"/>
    <n v="0"/>
    <n v="0"/>
    <n v="0"/>
    <n v="10"/>
    <n v="1"/>
    <n v="136507.01952702377"/>
    <n v="0"/>
    <n v="0"/>
    <n v="0"/>
    <n v="0"/>
    <n v="0"/>
    <n v="0"/>
    <n v="10"/>
    <n v="1"/>
    <n v="203799.79017212125"/>
    <n v="431740.49745914503"/>
    <n v="419.16553151373301"/>
  </r>
  <r>
    <s v="4.3.3.2"/>
    <x v="2"/>
    <x v="2"/>
    <x v="1"/>
    <x v="10"/>
    <n v="5"/>
    <x v="55"/>
    <x v="55"/>
    <s v="Conduct training needs assessment"/>
    <s v="report writing"/>
    <s v="toner"/>
    <n v="104850"/>
    <m/>
    <m/>
    <n v="0"/>
    <n v="1"/>
    <n v="1"/>
    <n v="119835.27702044998"/>
    <m/>
    <m/>
    <n v="0"/>
    <n v="0"/>
    <n v="0"/>
    <n v="0"/>
    <n v="1"/>
    <n v="1"/>
    <n v="178909.51246760553"/>
    <n v="0"/>
    <n v="0"/>
    <n v="0"/>
    <n v="0"/>
    <n v="0"/>
    <n v="0"/>
    <n v="1"/>
    <n v="1"/>
    <n v="267105.09999433643"/>
    <n v="565849.889482392"/>
    <n v="549.36882474018637"/>
  </r>
  <r>
    <s v="4.3.3.2"/>
    <x v="2"/>
    <x v="2"/>
    <x v="1"/>
    <x v="10"/>
    <n v="5"/>
    <x v="55"/>
    <x v="55"/>
    <s v="Conduct training needs assessment"/>
    <s v="validation workshop"/>
    <s v="Conference package high-level"/>
    <n v="35000"/>
    <m/>
    <m/>
    <n v="0"/>
    <n v="100"/>
    <n v="5"/>
    <n v="20001119.197499998"/>
    <m/>
    <m/>
    <n v="0"/>
    <n v="0"/>
    <n v="0"/>
    <n v="0"/>
    <n v="100"/>
    <n v="5"/>
    <n v="29860910.521536451"/>
    <n v="0"/>
    <n v="0"/>
    <n v="0"/>
    <n v="0"/>
    <n v="0"/>
    <n v="0"/>
    <n v="100"/>
    <n v="5"/>
    <n v="44581204.100151524"/>
    <n v="94443233.819187969"/>
    <n v="91692.460018629092"/>
  </r>
  <r>
    <s v="4.3.3.2"/>
    <x v="2"/>
    <x v="2"/>
    <x v="1"/>
    <x v="10"/>
    <n v="5"/>
    <x v="55"/>
    <x v="55"/>
    <s v="Conduct training needs assessment"/>
    <s v="validation workshop"/>
    <s v="DSA (excl. lunch)"/>
    <n v="39000"/>
    <m/>
    <m/>
    <n v="0"/>
    <n v="58"/>
    <n v="6"/>
    <n v="15511725.128483998"/>
    <m/>
    <m/>
    <n v="0"/>
    <n v="0"/>
    <n v="0"/>
    <n v="0"/>
    <n v="58"/>
    <n v="6"/>
    <n v="23158415.862759583"/>
    <n v="0"/>
    <n v="0"/>
    <n v="0"/>
    <n v="0"/>
    <n v="0"/>
    <n v="0"/>
    <n v="58"/>
    <n v="6"/>
    <n v="34574634.402700365"/>
    <n v="73244775.393943936"/>
    <n v="71111.432421304795"/>
  </r>
  <r>
    <s v="4.3.3.2"/>
    <x v="2"/>
    <x v="2"/>
    <x v="1"/>
    <x v="10"/>
    <n v="5"/>
    <x v="55"/>
    <x v="55"/>
    <s v="Conduct training needs assessment"/>
    <s v="validation workshop"/>
    <s v="Local running (diesel, per km)"/>
    <n v="211.42857142857142"/>
    <m/>
    <m/>
    <n v="0"/>
    <n v="450"/>
    <n v="5"/>
    <n v="543703.89328714274"/>
    <m/>
    <m/>
    <n v="0"/>
    <n v="0"/>
    <n v="0"/>
    <n v="0"/>
    <n v="450"/>
    <n v="5"/>
    <n v="811729.24111605203"/>
    <n v="0"/>
    <n v="0"/>
    <n v="0"/>
    <n v="0"/>
    <n v="0"/>
    <n v="0"/>
    <n v="450"/>
    <n v="5"/>
    <n v="1211880.8951306494"/>
    <n v="2567314.0295338444"/>
    <n v="2492.5378927513052"/>
  </r>
  <r>
    <s v="4.3.3.2"/>
    <x v="2"/>
    <x v="2"/>
    <x v="1"/>
    <x v="10"/>
    <n v="5"/>
    <x v="55"/>
    <x v="55"/>
    <s v="Conduct training needs assessment"/>
    <s v="validation workshop"/>
    <s v="Fuel for traveling participants"/>
    <n v="211.42857142857142"/>
    <m/>
    <m/>
    <n v="0"/>
    <n v="2430"/>
    <n v="1"/>
    <n v="587200.20475011424"/>
    <m/>
    <m/>
    <n v="0"/>
    <m/>
    <m/>
    <n v="0"/>
    <n v="2430"/>
    <n v="1"/>
    <n v="876667.58040533611"/>
    <m/>
    <m/>
    <n v="0"/>
    <m/>
    <m/>
    <n v="0"/>
    <n v="2430"/>
    <n v="1"/>
    <n v="1308831.3667411015"/>
    <n v="2772699.1518965522"/>
    <n v="2691.9409241714097"/>
  </r>
  <r>
    <s v="4.3.3.2"/>
    <x v="2"/>
    <x v="2"/>
    <x v="1"/>
    <x v="10"/>
    <n v="5"/>
    <x v="55"/>
    <x v="55"/>
    <s v="Conduct training needs assessment"/>
    <s v="dissemination"/>
    <s v="zero cost"/>
    <n v="0"/>
    <m/>
    <m/>
    <n v="0"/>
    <n v="0"/>
    <n v="0"/>
    <n v="0"/>
    <m/>
    <m/>
    <n v="0"/>
    <n v="0"/>
    <n v="0"/>
    <n v="0"/>
    <n v="0"/>
    <n v="0"/>
    <n v="0"/>
    <n v="0"/>
    <n v="0"/>
    <n v="0"/>
    <n v="0"/>
    <n v="0"/>
    <n v="0"/>
    <n v="0"/>
    <n v="0"/>
    <n v="0"/>
    <n v="0"/>
    <n v="0"/>
  </r>
  <r>
    <s v="4.3.3.2"/>
    <x v="2"/>
    <x v="2"/>
    <x v="1"/>
    <x v="10"/>
    <n v="5"/>
    <x v="55"/>
    <x v="55"/>
    <s v="Conduct training needs assessment"/>
    <s v="develop training tools"/>
    <s v="A4, 500 pages, 140 gsm paper"/>
    <n v="8000"/>
    <m/>
    <m/>
    <n v="0"/>
    <n v="10"/>
    <n v="1"/>
    <n v="91433.687760000001"/>
    <m/>
    <m/>
    <n v="0"/>
    <n v="0"/>
    <n v="0"/>
    <n v="0"/>
    <n v="10"/>
    <n v="1"/>
    <n v="136507.01952702377"/>
    <n v="0"/>
    <n v="0"/>
    <n v="0"/>
    <n v="0"/>
    <n v="0"/>
    <n v="0"/>
    <n v="10"/>
    <n v="1"/>
    <n v="203799.79017212125"/>
    <n v="431740.49745914503"/>
    <n v="419.16553151373301"/>
  </r>
  <r>
    <s v="4.3.3.2"/>
    <x v="2"/>
    <x v="2"/>
    <x v="1"/>
    <x v="10"/>
    <n v="5"/>
    <x v="55"/>
    <x v="55"/>
    <s v="Conduct training needs assessment"/>
    <s v="develop training tools"/>
    <s v="Toner"/>
    <n v="104850"/>
    <m/>
    <m/>
    <n v="0"/>
    <n v="1"/>
    <n v="1"/>
    <n v="119835.27702044998"/>
    <m/>
    <m/>
    <n v="0"/>
    <n v="0"/>
    <n v="0"/>
    <n v="0"/>
    <n v="1"/>
    <n v="1"/>
    <n v="178909.51246760553"/>
    <n v="0"/>
    <n v="0"/>
    <n v="0"/>
    <n v="0"/>
    <n v="0"/>
    <n v="0"/>
    <n v="1"/>
    <n v="1"/>
    <n v="267105.09999433643"/>
    <n v="565849.889482392"/>
    <n v="549.36882474018637"/>
  </r>
  <r>
    <s v="4.3.3.2"/>
    <x v="2"/>
    <x v="2"/>
    <x v="1"/>
    <x v="10"/>
    <n v="5"/>
    <x v="55"/>
    <x v="55"/>
    <s v="Conduct training needs assessment"/>
    <s v="conduct training"/>
    <s v="DSA (excl. lunch)"/>
    <n v="39000"/>
    <m/>
    <m/>
    <n v="0"/>
    <n v="30"/>
    <n v="5"/>
    <n v="6686088.4174499987"/>
    <m/>
    <m/>
    <n v="0"/>
    <n v="0"/>
    <n v="0"/>
    <n v="0"/>
    <n v="30"/>
    <n v="5"/>
    <n v="9982075.8029136136"/>
    <n v="0"/>
    <n v="0"/>
    <n v="0"/>
    <n v="0"/>
    <n v="0"/>
    <n v="0"/>
    <n v="30"/>
    <n v="5"/>
    <n v="14902859.656336365"/>
    <n v="31571023.876699977"/>
    <n v="30651.479491941725"/>
  </r>
  <r>
    <s v="4.3.3.2"/>
    <x v="2"/>
    <x v="2"/>
    <x v="1"/>
    <x v="10"/>
    <n v="5"/>
    <x v="55"/>
    <x v="55"/>
    <s v="Conduct training needs assessment"/>
    <s v="conduct training"/>
    <s v="Conference package high-level"/>
    <n v="35000"/>
    <m/>
    <m/>
    <n v="0"/>
    <n v="30"/>
    <n v="5"/>
    <n v="6000335.7592499992"/>
    <m/>
    <m/>
    <n v="0"/>
    <n v="0"/>
    <n v="0"/>
    <n v="0"/>
    <n v="30"/>
    <n v="5"/>
    <n v="8958273.1564609352"/>
    <n v="0"/>
    <n v="0"/>
    <n v="0"/>
    <n v="0"/>
    <n v="0"/>
    <n v="0"/>
    <n v="30"/>
    <n v="5"/>
    <n v="13374361.230045456"/>
    <n v="28332970.14575639"/>
    <n v="27507.73800558873"/>
  </r>
  <r>
    <s v="4.3.3.2"/>
    <x v="2"/>
    <x v="2"/>
    <x v="1"/>
    <x v="10"/>
    <n v="5"/>
    <x v="55"/>
    <x v="55"/>
    <s v="Conduct training needs assessment"/>
    <s v="conduct training"/>
    <s v="Local running (diesel, per km)"/>
    <n v="211.42857142857142"/>
    <m/>
    <m/>
    <n v="0"/>
    <n v="450"/>
    <n v="5"/>
    <n v="543703.89328714274"/>
    <m/>
    <m/>
    <n v="0"/>
    <n v="0"/>
    <n v="0"/>
    <n v="0"/>
    <n v="450"/>
    <n v="5"/>
    <n v="811729.24111605203"/>
    <n v="0"/>
    <n v="0"/>
    <n v="0"/>
    <n v="0"/>
    <n v="0"/>
    <n v="0"/>
    <n v="450"/>
    <n v="5"/>
    <n v="1211880.8951306494"/>
    <n v="2567314.0295338444"/>
    <n v="2492.5378927513052"/>
  </r>
  <r>
    <s v="4.3.3.2"/>
    <x v="2"/>
    <x v="2"/>
    <x v="1"/>
    <x v="10"/>
    <n v="5"/>
    <x v="55"/>
    <x v="55"/>
    <s v="Conduct training needs assessment"/>
    <s v="conduct training"/>
    <s v="Fuel for traveling participants"/>
    <n v="211.42857142857142"/>
    <m/>
    <m/>
    <n v="0"/>
    <n v="2430"/>
    <n v="1"/>
    <n v="587200.20475011424"/>
    <m/>
    <m/>
    <n v="0"/>
    <m/>
    <m/>
    <n v="0"/>
    <n v="2430"/>
    <n v="1"/>
    <n v="876667.58040533611"/>
    <m/>
    <m/>
    <n v="0"/>
    <m/>
    <m/>
    <n v="0"/>
    <n v="2430"/>
    <n v="1"/>
    <n v="1308831.3667411015"/>
    <n v="2772699.1518965522"/>
    <n v="2691.9409241714097"/>
  </r>
  <r>
    <s v="4.3.3.2"/>
    <x v="2"/>
    <x v="2"/>
    <x v="1"/>
    <x v="10"/>
    <n v="6"/>
    <x v="56"/>
    <x v="56"/>
    <s v="Develop the PFM checlist for assessing the effectiveness of devoted budget functions"/>
    <s v="Develop ToRs for monitoring the effectiveness of using the PFM system"/>
    <s v="zero cost"/>
    <n v="0"/>
    <n v="0"/>
    <n v="0"/>
    <n v="0"/>
    <n v="0"/>
    <n v="0"/>
    <n v="0"/>
    <n v="0"/>
    <n v="0"/>
    <n v="0"/>
    <n v="0"/>
    <n v="0"/>
    <n v="0"/>
    <n v="0"/>
    <n v="0"/>
    <n v="0"/>
    <n v="0"/>
    <n v="0"/>
    <n v="0"/>
    <n v="0"/>
    <n v="0"/>
    <n v="0"/>
    <n v="0"/>
    <n v="0"/>
    <n v="0"/>
    <n v="0"/>
    <n v="0"/>
  </r>
  <r>
    <s v="4.3.3.2"/>
    <x v="2"/>
    <x v="2"/>
    <x v="1"/>
    <x v="10"/>
    <n v="6"/>
    <x v="56"/>
    <x v="56"/>
    <s v="Develop the PFM checlist for assessing the effectiveness of devoted budget functions"/>
    <s v="Recruitment of a consultant to facilitate the develoment of the PFM checklist"/>
    <s v="Local consultant fee - High level"/>
    <n v="1001560"/>
    <n v="0"/>
    <n v="0"/>
    <n v="0"/>
    <n v="0"/>
    <n v="0"/>
    <n v="0"/>
    <n v="1"/>
    <n v="25"/>
    <n v="32707660.325916823"/>
    <n v="0"/>
    <n v="0"/>
    <n v="0"/>
    <n v="0"/>
    <n v="0"/>
    <n v="0"/>
    <n v="1"/>
    <n v="25"/>
    <n v="48831293.324979939"/>
    <n v="0"/>
    <n v="0"/>
    <n v="0"/>
    <n v="0"/>
    <n v="0"/>
    <n v="0"/>
    <n v="81538953.650896758"/>
    <n v="79164.032670773551"/>
  </r>
  <r>
    <s v="4.3.3.2"/>
    <x v="2"/>
    <x v="2"/>
    <x v="1"/>
    <x v="10"/>
    <n v="6"/>
    <x v="56"/>
    <x v="56"/>
    <s v="Develop the PFM checlist for assessing the effectiveness of devoted budget functions"/>
    <s v="Recruitment of a consultant to facilitate the develoment of the PFM checklist"/>
    <s v="Newspaper advert (full)"/>
    <n v="391991.03749999998"/>
    <n v="0"/>
    <n v="0"/>
    <n v="0"/>
    <n v="0"/>
    <n v="0"/>
    <n v="0"/>
    <n v="2"/>
    <n v="2"/>
    <n v="2048182.3883307995"/>
    <n v="0"/>
    <n v="0"/>
    <n v="0"/>
    <n v="0"/>
    <n v="0"/>
    <n v="0"/>
    <n v="2"/>
    <n v="2"/>
    <n v="3057858.4341109009"/>
    <n v="0"/>
    <n v="0"/>
    <n v="0"/>
    <n v="0"/>
    <n v="0"/>
    <n v="0"/>
    <n v="5106040.8224417008"/>
    <n v="4957.3211868366025"/>
  </r>
  <r>
    <s v="4.3.3.2"/>
    <x v="2"/>
    <x v="2"/>
    <x v="1"/>
    <x v="10"/>
    <n v="6"/>
    <x v="56"/>
    <x v="56"/>
    <s v="Develop the PFM checlist for assessing the effectiveness of devoted budget functions"/>
    <s v="Drafting of the PFM checklist"/>
    <s v="DSA (excl. lunch)"/>
    <n v="39000"/>
    <n v="0"/>
    <n v="0"/>
    <n v="0"/>
    <n v="0"/>
    <n v="0"/>
    <n v="0"/>
    <n v="30"/>
    <n v="4"/>
    <n v="6113337.2069687573"/>
    <n v="0"/>
    <n v="0"/>
    <n v="0"/>
    <n v="0"/>
    <n v="0"/>
    <n v="0"/>
    <n v="30"/>
    <n v="4"/>
    <n v="9126980.0216025449"/>
    <n v="0"/>
    <n v="0"/>
    <n v="0"/>
    <n v="0"/>
    <n v="0"/>
    <n v="0"/>
    <n v="15240317.228571303"/>
    <n v="14796.424493758546"/>
  </r>
  <r>
    <s v="4.3.3.2"/>
    <x v="2"/>
    <x v="2"/>
    <x v="1"/>
    <x v="10"/>
    <n v="6"/>
    <x v="56"/>
    <x v="56"/>
    <s v="Develop the PFM checlist for assessing the effectiveness of devoted budget functions"/>
    <s v="Drafting of the PFM checklist"/>
    <s v="Local running (diesel, per km)"/>
    <n v="211.42857142857142"/>
    <n v="0"/>
    <n v="0"/>
    <n v="0"/>
    <n v="0"/>
    <n v="0"/>
    <n v="0"/>
    <n v="450"/>
    <n v="3"/>
    <n v="372846.39009534731"/>
    <n v="0"/>
    <n v="0"/>
    <n v="0"/>
    <n v="0"/>
    <n v="0"/>
    <n v="0"/>
    <n v="450"/>
    <n v="3"/>
    <n v="556645.4848340014"/>
    <n v="0"/>
    <n v="0"/>
    <n v="0"/>
    <n v="0"/>
    <n v="0"/>
    <n v="0"/>
    <n v="929491.87492934871"/>
    <n v="902.41929604791142"/>
  </r>
  <r>
    <s v="4.3.3.2"/>
    <x v="2"/>
    <x v="2"/>
    <x v="1"/>
    <x v="10"/>
    <n v="6"/>
    <x v="56"/>
    <x v="56"/>
    <s v="Develop the PFM checlist for assessing the effectiveness of devoted budget functions"/>
    <s v="Drafting of the PFM checklist"/>
    <s v="Fuel for traveling participants"/>
    <n v="211.42857142857142"/>
    <n v="0"/>
    <n v="0"/>
    <n v="0"/>
    <n v="0"/>
    <n v="0"/>
    <n v="0"/>
    <n v="2430"/>
    <n v="1"/>
    <n v="671123.50217162515"/>
    <m/>
    <m/>
    <n v="0"/>
    <m/>
    <m/>
    <n v="0"/>
    <n v="2430"/>
    <n v="1"/>
    <n v="1001961.8727012025"/>
    <m/>
    <m/>
    <n v="0"/>
    <m/>
    <m/>
    <n v="0"/>
    <n v="1673085.3748728277"/>
    <n v="1624.3547328862405"/>
  </r>
  <r>
    <s v="4.3.3.2"/>
    <x v="2"/>
    <x v="2"/>
    <x v="1"/>
    <x v="10"/>
    <n v="6"/>
    <x v="56"/>
    <x v="56"/>
    <s v="Develop the PFM checlist for assessing the effectiveness of devoted budget functions"/>
    <s v="Drafting of the PFM checklist"/>
    <s v="Conference package high-level"/>
    <n v="35000"/>
    <n v="0"/>
    <n v="0"/>
    <n v="0"/>
    <n v="0"/>
    <n v="0"/>
    <n v="0"/>
    <n v="30"/>
    <n v="3"/>
    <n v="4114746.1969982013"/>
    <n v="0"/>
    <n v="0"/>
    <n v="0"/>
    <n v="0"/>
    <n v="0"/>
    <n v="0"/>
    <n v="30"/>
    <n v="3"/>
    <n v="6143159.6299247891"/>
    <n v="0"/>
    <n v="0"/>
    <n v="0"/>
    <n v="0"/>
    <n v="0"/>
    <n v="0"/>
    <n v="10257905.82692299"/>
    <n v="9959.1318707990195"/>
  </r>
  <r>
    <s v="4.3.3.2"/>
    <x v="2"/>
    <x v="2"/>
    <x v="1"/>
    <x v="10"/>
    <n v="6"/>
    <x v="56"/>
    <x v="56"/>
    <s v="Develop the PFM checlist for assessing the effectiveness of devoted budget functions"/>
    <s v="Conduct validation meetings of the developed checklist for endorsement"/>
    <s v="Conference package high-level"/>
    <n v="35000"/>
    <n v="0"/>
    <n v="0"/>
    <n v="0"/>
    <n v="0"/>
    <n v="0"/>
    <n v="0"/>
    <n v="40"/>
    <n v="3"/>
    <n v="5486328.2626642687"/>
    <n v="0"/>
    <n v="0"/>
    <n v="0"/>
    <n v="0"/>
    <n v="0"/>
    <n v="0"/>
    <n v="40"/>
    <n v="3"/>
    <n v="8190879.5065663867"/>
    <n v="0"/>
    <n v="0"/>
    <n v="0"/>
    <n v="0"/>
    <n v="0"/>
    <n v="0"/>
    <n v="13677207.769230656"/>
    <n v="13278.842494398696"/>
  </r>
  <r>
    <s v="4.3.3.2"/>
    <x v="2"/>
    <x v="2"/>
    <x v="1"/>
    <x v="10"/>
    <n v="6"/>
    <x v="56"/>
    <x v="56"/>
    <s v="Develop the PFM checlist for assessing the effectiveness of devoted budget functions"/>
    <s v="Conduct validation meetings of the developed checklist for endorsement"/>
    <s v="DSA (excl. lunch)"/>
    <n v="26000"/>
    <n v="0"/>
    <n v="0"/>
    <n v="0"/>
    <n v="0"/>
    <n v="0"/>
    <n v="0"/>
    <n v="0"/>
    <n v="4"/>
    <n v="0"/>
    <n v="0"/>
    <n v="0"/>
    <n v="0"/>
    <n v="0"/>
    <n v="0"/>
    <n v="0"/>
    <n v="0"/>
    <n v="4"/>
    <n v="0"/>
    <n v="0"/>
    <n v="0"/>
    <n v="0"/>
    <n v="0"/>
    <n v="0"/>
    <n v="0"/>
    <n v="0"/>
    <n v="0"/>
  </r>
  <r>
    <s v="4.3.3.2"/>
    <x v="2"/>
    <x v="2"/>
    <x v="1"/>
    <x v="10"/>
    <n v="6"/>
    <x v="56"/>
    <x v="56"/>
    <s v="Develop the PFM checlist for assessing the effectiveness of devoted budget functions"/>
    <s v="Conduct validation meetings of the developed checklist for endorsement"/>
    <s v="Local running (diesel, per km)"/>
    <n v="211.42857142857142"/>
    <n v="0"/>
    <n v="0"/>
    <n v="0"/>
    <n v="0"/>
    <n v="0"/>
    <n v="0"/>
    <n v="0"/>
    <n v="3"/>
    <n v="0"/>
    <n v="0"/>
    <n v="0"/>
    <n v="0"/>
    <n v="0"/>
    <n v="0"/>
    <n v="0"/>
    <n v="0"/>
    <n v="3"/>
    <n v="0"/>
    <n v="0"/>
    <n v="0"/>
    <n v="0"/>
    <n v="0"/>
    <n v="0"/>
    <n v="0"/>
    <n v="0"/>
    <n v="0"/>
  </r>
  <r>
    <s v="4.3.3.2"/>
    <x v="2"/>
    <x v="2"/>
    <x v="1"/>
    <x v="10"/>
    <n v="6"/>
    <x v="56"/>
    <x v="56"/>
    <s v="Implement and monitor the PFM checklist"/>
    <s v="Integrate the checklist into routine M and E system"/>
    <s v="zero cost"/>
    <n v="0"/>
    <n v="0"/>
    <n v="0"/>
    <n v="0"/>
    <n v="0"/>
    <n v="0"/>
    <n v="0"/>
    <n v="0"/>
    <n v="0"/>
    <n v="0"/>
    <n v="0"/>
    <n v="0"/>
    <n v="0"/>
    <n v="0"/>
    <n v="0"/>
    <n v="0"/>
    <n v="0"/>
    <n v="0"/>
    <n v="0"/>
    <n v="0"/>
    <n v="0"/>
    <n v="0"/>
    <n v="0"/>
    <n v="0"/>
    <n v="0"/>
    <n v="0"/>
    <n v="0"/>
  </r>
  <r>
    <s v="4.3.3.2"/>
    <x v="2"/>
    <x v="2"/>
    <x v="1"/>
    <x v="10"/>
    <n v="6"/>
    <x v="56"/>
    <x v="56"/>
    <s v="Implement and monitor the PFM checklist"/>
    <s v="Monitor PFM checklist implementation using DHIS II reports"/>
    <s v="zero cost"/>
    <n v="0"/>
    <n v="0"/>
    <n v="0"/>
    <n v="0"/>
    <n v="0"/>
    <n v="0"/>
    <n v="0"/>
    <n v="0"/>
    <n v="0"/>
    <n v="0"/>
    <n v="0"/>
    <n v="0"/>
    <n v="0"/>
    <n v="0"/>
    <n v="0"/>
    <n v="0"/>
    <n v="0"/>
    <n v="0"/>
    <n v="0"/>
    <n v="0"/>
    <n v="0"/>
    <n v="0"/>
    <n v="0"/>
    <n v="0"/>
    <n v="0"/>
    <n v="0"/>
    <n v="0"/>
  </r>
  <r>
    <s v="4.3.3.2"/>
    <x v="2"/>
    <x v="2"/>
    <x v="1"/>
    <x v="10"/>
    <n v="6"/>
    <x v="56"/>
    <x v="56"/>
    <s v="Implement and monitor the PFM checklist"/>
    <s v="Conduct PFM supportive supervisions and mentorships for district councils, DHMTs,and facility teams inline with checklist"/>
    <s v="Conference package high-level"/>
    <n v="35000"/>
    <m/>
    <m/>
    <n v="0"/>
    <n v="0"/>
    <n v="0"/>
    <n v="0"/>
    <n v="5000"/>
    <n v="2"/>
    <n v="457194021.8886891"/>
    <n v="0"/>
    <n v="0"/>
    <n v="0"/>
    <n v="0"/>
    <n v="0"/>
    <n v="0"/>
    <n v="0"/>
    <n v="0"/>
    <n v="0"/>
    <n v="0"/>
    <n v="0"/>
    <n v="0"/>
    <n v="5000"/>
    <n v="2"/>
    <n v="891624082.00303054"/>
    <n v="1348818103.8917196"/>
    <n v="1309532.1397006987"/>
  </r>
  <r>
    <s v="4.3.3.2"/>
    <x v="2"/>
    <x v="2"/>
    <x v="1"/>
    <x v="10"/>
    <n v="6"/>
    <x v="56"/>
    <x v="56"/>
    <s v="Implement and monitor the PFM checklist"/>
    <s v="Conduct PFM supportive supervisions and mentorships for district councils, DHMTs,and facility teams inline with checklist"/>
    <s v="DSA (excl. lunch)"/>
    <n v="39000"/>
    <m/>
    <m/>
    <n v="0"/>
    <n v="0"/>
    <n v="0"/>
    <n v="0"/>
    <n v="58"/>
    <n v="3"/>
    <n v="8864338.9501046985"/>
    <n v="0"/>
    <n v="0"/>
    <n v="0"/>
    <n v="0"/>
    <n v="0"/>
    <n v="0"/>
    <n v="0"/>
    <n v="0"/>
    <n v="0"/>
    <n v="0"/>
    <n v="0"/>
    <n v="0"/>
    <n v="58"/>
    <n v="3"/>
    <n v="17287317.201350182"/>
    <n v="26151656.151454881"/>
    <n v="25389.957428596972"/>
  </r>
  <r>
    <s v="4.3.3.2"/>
    <x v="2"/>
    <x v="2"/>
    <x v="1"/>
    <x v="10"/>
    <n v="6"/>
    <x v="56"/>
    <x v="56"/>
    <s v="Implement and monitor the PFM checklist"/>
    <s v="Conduct PFM supportive supervisions and mentorships for district councils, DHMTs,and facility teams inline with checklist"/>
    <s v="Local running (diesel, per km)"/>
    <n v="211.42857142857142"/>
    <m/>
    <m/>
    <n v="0"/>
    <n v="0"/>
    <n v="0"/>
    <n v="0"/>
    <n v="450"/>
    <n v="5"/>
    <n v="621410.65015891218"/>
    <n v="0"/>
    <n v="0"/>
    <n v="0"/>
    <n v="0"/>
    <n v="0"/>
    <n v="0"/>
    <n v="0"/>
    <n v="0"/>
    <n v="0"/>
    <n v="0"/>
    <n v="0"/>
    <n v="0"/>
    <n v="450"/>
    <n v="5"/>
    <n v="1211880.8951306494"/>
    <n v="1833291.5452895616"/>
    <n v="1779.8947041646229"/>
  </r>
  <r>
    <s v="4.3.3.2"/>
    <x v="2"/>
    <x v="2"/>
    <x v="1"/>
    <x v="10"/>
    <n v="6"/>
    <x v="56"/>
    <x v="56"/>
    <s v="Implement and monitor the PFM checklist"/>
    <s v="Conduct PFM supportive supervisions and mentorships for district councils, DHMTs,and facility teams inline with checklist"/>
    <s v="Fuel for traveling participants"/>
    <n v="211.42857142857142"/>
    <m/>
    <m/>
    <n v="0"/>
    <m/>
    <m/>
    <n v="0"/>
    <n v="22500"/>
    <n v="1"/>
    <n v="6214106.5015891213"/>
    <m/>
    <m/>
    <n v="0"/>
    <m/>
    <m/>
    <n v="0"/>
    <m/>
    <m/>
    <n v="0"/>
    <m/>
    <m/>
    <n v="0"/>
    <n v="22500"/>
    <n v="1"/>
    <n v="12118808.951306494"/>
    <n v="18332915.452895615"/>
    <n v="17798.947041646228"/>
  </r>
  <r>
    <s v="4.3.3.2"/>
    <x v="2"/>
    <x v="2"/>
    <x v="1"/>
    <x v="10"/>
    <n v="7"/>
    <x v="57"/>
    <x v="57"/>
    <s v="Contribute to conceptualization and development of digital health strategy platforms inline with health financing M and E needs"/>
    <s v="Develop a concept note on the potential use of digital health for strategic purchasing in Malawi (how to use digital health in the selection of providers, design implementation and enforcement of contracts, use of digital health M+E)"/>
    <s v="zero cost"/>
    <n v="0"/>
    <n v="0"/>
    <n v="0"/>
    <n v="0"/>
    <n v="0"/>
    <n v="0"/>
    <n v="0"/>
    <n v="0"/>
    <n v="0"/>
    <n v="0"/>
    <n v="0"/>
    <n v="0"/>
    <n v="0"/>
    <n v="0"/>
    <n v="0"/>
    <n v="0"/>
    <n v="0"/>
    <n v="0"/>
    <n v="0"/>
    <n v="0"/>
    <n v="0"/>
    <n v="0"/>
    <n v="0"/>
    <n v="0"/>
    <n v="0"/>
    <n v="0"/>
    <n v="0"/>
  </r>
  <r>
    <s v="4.3.3.2"/>
    <x v="2"/>
    <x v="2"/>
    <x v="1"/>
    <x v="10"/>
    <n v="7"/>
    <x v="57"/>
    <x v="57"/>
    <s v="Contribute to conceptualization and development of digital health strategy platforms inline with health financing M and E needs"/>
    <s v="Develop TORs for a taskforce on digital health and strategic purchasing of health services"/>
    <s v="zero cost"/>
    <n v="0"/>
    <n v="0"/>
    <n v="0"/>
    <n v="0"/>
    <n v="0"/>
    <n v="0"/>
    <n v="0"/>
    <n v="0"/>
    <n v="0"/>
    <n v="0"/>
    <n v="0"/>
    <n v="0"/>
    <n v="0"/>
    <n v="0"/>
    <n v="0"/>
    <n v="0"/>
    <n v="0"/>
    <n v="0"/>
    <n v="0"/>
    <n v="0"/>
    <n v="0"/>
    <n v="0"/>
    <n v="0"/>
    <n v="0"/>
    <n v="0"/>
    <n v="0"/>
    <n v="0"/>
  </r>
  <r>
    <s v="4.3.3.2"/>
    <x v="2"/>
    <x v="2"/>
    <x v="1"/>
    <x v="10"/>
    <n v="7"/>
    <x v="57"/>
    <x v="57"/>
    <s v="Contribute to conceptualization and development of digital health strategy platforms inline with health financing M and E needs"/>
    <s v="set-up the taskforce to review the concept note"/>
    <s v="Conference package high-level"/>
    <n v="35000"/>
    <n v="0"/>
    <n v="0"/>
    <n v="0"/>
    <n v="30"/>
    <n v="1"/>
    <n v="1200067.1518499998"/>
    <n v="0"/>
    <n v="0"/>
    <n v="0"/>
    <n v="0"/>
    <n v="0"/>
    <n v="0"/>
    <n v="30"/>
    <n v="1"/>
    <n v="1791654.6312921871"/>
    <n v="0"/>
    <n v="0"/>
    <n v="0"/>
    <n v="0"/>
    <n v="0"/>
    <n v="0"/>
    <n v="30"/>
    <n v="1"/>
    <n v="2674872.2460090914"/>
    <n v="5666594.0291512776"/>
    <n v="5501.5476011177452"/>
  </r>
  <r>
    <s v="4.3.3.2"/>
    <x v="2"/>
    <x v="2"/>
    <x v="1"/>
    <x v="10"/>
    <n v="7"/>
    <x v="57"/>
    <x v="57"/>
    <s v="Contribute to conceptualization and development of digital health strategy platforms inline with health financing M and E needs"/>
    <s v="Revise concept note"/>
    <s v="Conference package high-level"/>
    <n v="35000"/>
    <n v="0"/>
    <n v="0"/>
    <n v="0"/>
    <n v="30"/>
    <n v="5"/>
    <n v="6000335.7592499992"/>
    <n v="0"/>
    <n v="0"/>
    <n v="0"/>
    <n v="0"/>
    <n v="0"/>
    <n v="0"/>
    <n v="30"/>
    <n v="5"/>
    <n v="8958273.1564609352"/>
    <n v="0"/>
    <n v="0"/>
    <n v="0"/>
    <n v="0"/>
    <n v="0"/>
    <n v="0"/>
    <n v="30"/>
    <n v="5"/>
    <n v="13374361.230045456"/>
    <n v="28332970.14575639"/>
    <n v="27507.73800558873"/>
  </r>
  <r>
    <s v="4.3.3.2"/>
    <x v="2"/>
    <x v="2"/>
    <x v="1"/>
    <x v="10"/>
    <n v="7"/>
    <x v="57"/>
    <x v="57"/>
    <s v="Contribute to conceptualization and development of digital health strategy platforms inline with health financing M and E needs"/>
    <s v="Revise concept note"/>
    <s v="DSA (excl. lunch)"/>
    <n v="39000"/>
    <n v="0"/>
    <n v="0"/>
    <n v="0"/>
    <n v="0"/>
    <n v="6"/>
    <n v="0"/>
    <n v="0"/>
    <n v="0"/>
    <n v="0"/>
    <n v="0"/>
    <n v="0"/>
    <n v="0"/>
    <n v="0"/>
    <n v="6"/>
    <n v="0"/>
    <n v="0"/>
    <n v="0"/>
    <n v="0"/>
    <n v="0"/>
    <n v="0"/>
    <n v="0"/>
    <n v="0"/>
    <n v="6"/>
    <n v="0"/>
    <n v="0"/>
    <n v="0"/>
  </r>
  <r>
    <s v="4.3.3.2"/>
    <x v="2"/>
    <x v="2"/>
    <x v="1"/>
    <x v="10"/>
    <n v="7"/>
    <x v="57"/>
    <x v="57"/>
    <s v="Contribute to conceptualization and development of digital health strategy platforms inline with health financing M and E needs"/>
    <s v="Revise concept note"/>
    <s v="Local running (diesel, per km)"/>
    <n v="211.42857142857142"/>
    <n v="0"/>
    <n v="0"/>
    <n v="0"/>
    <n v="450"/>
    <n v="5"/>
    <n v="543703.89328714274"/>
    <n v="0"/>
    <n v="0"/>
    <n v="0"/>
    <n v="0"/>
    <n v="0"/>
    <n v="0"/>
    <n v="450"/>
    <n v="5"/>
    <n v="811729.24111605203"/>
    <n v="0"/>
    <n v="0"/>
    <n v="0"/>
    <n v="0"/>
    <n v="0"/>
    <n v="0"/>
    <n v="450"/>
    <n v="5"/>
    <n v="1211880.8951306494"/>
    <n v="2567314.0295338444"/>
    <n v="2492.5378927513052"/>
  </r>
  <r>
    <s v="4.3.3.2"/>
    <x v="2"/>
    <x v="2"/>
    <x v="1"/>
    <x v="10"/>
    <n v="7"/>
    <x v="57"/>
    <x v="57"/>
    <s v="Contribute to conceptualization and development of digital health strategy platforms inline with health financing M and E needs"/>
    <s v="Revise concept note"/>
    <s v="Fuel for traveling participants"/>
    <n v="211.42857142857142"/>
    <n v="0"/>
    <n v="0"/>
    <n v="0"/>
    <n v="2430"/>
    <n v="1"/>
    <n v="587200.20475011424"/>
    <n v="0"/>
    <n v="0"/>
    <n v="0"/>
    <m/>
    <m/>
    <n v="0"/>
    <n v="2430"/>
    <n v="1"/>
    <n v="876667.58040533611"/>
    <m/>
    <m/>
    <n v="0"/>
    <m/>
    <m/>
    <n v="0"/>
    <n v="2430"/>
    <n v="1"/>
    <n v="1308831.3667411015"/>
    <n v="2772699.1518965522"/>
    <n v="2691.9409241714097"/>
  </r>
  <r>
    <s v="4.3.3.2"/>
    <x v="2"/>
    <x v="2"/>
    <x v="1"/>
    <x v="10"/>
    <n v="7"/>
    <x v="57"/>
    <x v="57"/>
    <s v="Develop a roadmap for implementation of digital health strategy"/>
    <s v="hold 5 workshops to develop the roadmap "/>
    <s v="Conference package high-level"/>
    <n v="35000"/>
    <n v="0"/>
    <n v="0"/>
    <n v="0"/>
    <n v="30"/>
    <n v="25"/>
    <n v="30001678.796249993"/>
    <n v="0"/>
    <n v="0"/>
    <n v="0"/>
    <n v="0"/>
    <n v="0"/>
    <n v="0"/>
    <n v="30"/>
    <n v="25"/>
    <n v="44791365.782304682"/>
    <n v="0"/>
    <n v="0"/>
    <n v="0"/>
    <n v="0"/>
    <n v="0"/>
    <n v="0"/>
    <n v="30"/>
    <n v="25"/>
    <n v="66871806.150227286"/>
    <n v="141664850.72878197"/>
    <n v="137538.69002794367"/>
  </r>
  <r>
    <s v="4.3.3.2"/>
    <x v="2"/>
    <x v="2"/>
    <x v="1"/>
    <x v="10"/>
    <n v="7"/>
    <x v="57"/>
    <x v="57"/>
    <s v="Develop a roadmap for implementation of digital health strategy"/>
    <s v="hold 5 workshops to develop the roadmap "/>
    <s v="DSA (excl. lunch)"/>
    <n v="39000"/>
    <n v="0"/>
    <n v="0"/>
    <n v="0"/>
    <n v="0"/>
    <n v="30"/>
    <n v="0"/>
    <n v="0"/>
    <n v="0"/>
    <n v="0"/>
    <n v="0"/>
    <n v="0"/>
    <n v="0"/>
    <n v="0"/>
    <n v="30"/>
    <n v="0"/>
    <n v="0"/>
    <n v="0"/>
    <n v="0"/>
    <n v="0"/>
    <n v="0"/>
    <n v="0"/>
    <n v="0"/>
    <n v="30"/>
    <n v="0"/>
    <n v="0"/>
    <n v="0"/>
  </r>
  <r>
    <s v="4.3.3.2"/>
    <x v="2"/>
    <x v="2"/>
    <x v="1"/>
    <x v="10"/>
    <n v="7"/>
    <x v="57"/>
    <x v="57"/>
    <s v="Develop a roadmap for implementation of digital health strategy"/>
    <s v="hold 5 workshops to develop the roadmap "/>
    <s v="Local running (diesel, per km)"/>
    <n v="211.42857142857142"/>
    <n v="0"/>
    <n v="0"/>
    <n v="0"/>
    <n v="450"/>
    <n v="30"/>
    <n v="3262223.3597228569"/>
    <n v="0"/>
    <n v="0"/>
    <n v="0"/>
    <n v="0"/>
    <n v="0"/>
    <n v="0"/>
    <n v="450"/>
    <n v="30"/>
    <n v="4870375.4466963122"/>
    <n v="0"/>
    <n v="0"/>
    <n v="0"/>
    <n v="0"/>
    <n v="0"/>
    <n v="0"/>
    <n v="450"/>
    <n v="30"/>
    <n v="7271285.3707838971"/>
    <n v="15403884.177203067"/>
    <n v="14955.227356507832"/>
  </r>
  <r>
    <s v="4.3.3.2"/>
    <x v="2"/>
    <x v="2"/>
    <x v="1"/>
    <x v="10"/>
    <n v="7"/>
    <x v="57"/>
    <x v="57"/>
    <s v="Develop a roadmap for implementation of digital health strategy"/>
    <s v="hold 5 workshops to develop the roadmap "/>
    <s v="Fuel for traveling participants"/>
    <n v="211.42857142857142"/>
    <n v="0"/>
    <n v="0"/>
    <n v="0"/>
    <n v="2430"/>
    <n v="1"/>
    <n v="587200.20475011424"/>
    <n v="0"/>
    <n v="0"/>
    <n v="0"/>
    <m/>
    <m/>
    <n v="0"/>
    <n v="2430"/>
    <n v="1"/>
    <n v="876667.58040533611"/>
    <m/>
    <m/>
    <n v="0"/>
    <m/>
    <m/>
    <n v="0"/>
    <n v="2430"/>
    <n v="1"/>
    <n v="1308831.3667411015"/>
    <n v="2772699.1518965522"/>
    <n v="2691.9409241714097"/>
  </r>
  <r>
    <s v="4.3.3.2"/>
    <x v="2"/>
    <x v="2"/>
    <x v="1"/>
    <x v="10"/>
    <n v="7"/>
    <x v="57"/>
    <x v="57"/>
    <s v="Develop a roadmap for implementation of digital health strategy"/>
    <s v="Conduct validation workshop"/>
    <s v="Conference package high-level"/>
    <n v="35000"/>
    <n v="0"/>
    <n v="0"/>
    <n v="0"/>
    <n v="100"/>
    <n v="5"/>
    <n v="20001119.197499998"/>
    <n v="0"/>
    <n v="0"/>
    <n v="0"/>
    <n v="0"/>
    <n v="0"/>
    <n v="0"/>
    <n v="100"/>
    <n v="5"/>
    <n v="29860910.521536451"/>
    <n v="0"/>
    <n v="0"/>
    <n v="0"/>
    <n v="0"/>
    <n v="0"/>
    <n v="0"/>
    <n v="100"/>
    <n v="5"/>
    <n v="44581204.100151524"/>
    <n v="94443233.819187969"/>
    <n v="91692.460018629092"/>
  </r>
  <r>
    <s v="4.3.3.2"/>
    <x v="2"/>
    <x v="2"/>
    <x v="1"/>
    <x v="10"/>
    <n v="7"/>
    <x v="57"/>
    <x v="57"/>
    <s v="Develop a roadmap for implementation of digital health strategy"/>
    <s v="Conduct validation workshop"/>
    <s v="DSA (excl. lunch)"/>
    <n v="39000"/>
    <n v="0"/>
    <n v="0"/>
    <n v="0"/>
    <n v="58"/>
    <n v="6"/>
    <n v="15511725.128483998"/>
    <n v="0"/>
    <n v="0"/>
    <n v="0"/>
    <n v="0"/>
    <n v="0"/>
    <n v="0"/>
    <n v="58"/>
    <n v="6"/>
    <n v="23158415.862759583"/>
    <n v="0"/>
    <n v="0"/>
    <n v="0"/>
    <n v="0"/>
    <n v="0"/>
    <n v="0"/>
    <n v="58"/>
    <n v="6"/>
    <n v="34574634.402700365"/>
    <n v="73244775.393943936"/>
    <n v="71111.432421304795"/>
  </r>
  <r>
    <s v="4.3.3.2"/>
    <x v="2"/>
    <x v="2"/>
    <x v="1"/>
    <x v="10"/>
    <n v="7"/>
    <x v="57"/>
    <x v="57"/>
    <s v="Develop a roadmap for implementation of digital health strategy"/>
    <s v="Conduct validation workshop"/>
    <s v="Local running (diesel, per km)"/>
    <n v="211.42857142857142"/>
    <n v="0"/>
    <n v="0"/>
    <n v="0"/>
    <n v="450"/>
    <n v="5"/>
    <n v="543703.89328714274"/>
    <n v="0"/>
    <n v="0"/>
    <n v="0"/>
    <n v="0"/>
    <n v="0"/>
    <n v="0"/>
    <n v="450"/>
    <n v="5"/>
    <n v="811729.24111605203"/>
    <n v="0"/>
    <n v="0"/>
    <n v="0"/>
    <n v="0"/>
    <n v="0"/>
    <n v="0"/>
    <n v="450"/>
    <n v="5"/>
    <n v="1211880.8951306494"/>
    <n v="2567314.0295338444"/>
    <n v="2492.5378927513052"/>
  </r>
  <r>
    <s v="4.3.3.2"/>
    <x v="2"/>
    <x v="2"/>
    <x v="1"/>
    <x v="10"/>
    <n v="7"/>
    <x v="57"/>
    <x v="57"/>
    <s v="Develop a roadmap for implementation of digital health strategy"/>
    <s v="Conduct validation workshop"/>
    <s v="Fuel for traveling participants"/>
    <n v="211.42857142857142"/>
    <n v="0"/>
    <n v="0"/>
    <n v="0"/>
    <n v="22500"/>
    <n v="1"/>
    <n v="5437038.9328714283"/>
    <n v="0"/>
    <n v="0"/>
    <n v="0"/>
    <m/>
    <m/>
    <n v="0"/>
    <n v="22500"/>
    <n v="1"/>
    <n v="8117292.4111605193"/>
    <m/>
    <m/>
    <n v="0"/>
    <m/>
    <m/>
    <n v="0"/>
    <n v="22500"/>
    <n v="1"/>
    <n v="12118808.951306494"/>
    <n v="25673140.295338444"/>
    <n v="24925.378927513051"/>
  </r>
  <r>
    <s v="4.3.3.2"/>
    <x v="2"/>
    <x v="2"/>
    <x v="1"/>
    <x v="10"/>
    <n v="7"/>
    <x v="57"/>
    <x v="57"/>
    <s v="Develop a roadmap for implementation of digital health strategy"/>
    <s v="Present to TWG"/>
    <s v="Conference package high-level"/>
    <n v="35000"/>
    <n v="0"/>
    <n v="0"/>
    <n v="0"/>
    <n v="30"/>
    <n v="1"/>
    <n v="1200067.1518499998"/>
    <n v="0"/>
    <n v="0"/>
    <n v="0"/>
    <n v="0"/>
    <n v="0"/>
    <n v="0"/>
    <n v="30"/>
    <n v="1"/>
    <n v="1791654.6312921871"/>
    <n v="0"/>
    <n v="0"/>
    <n v="0"/>
    <n v="0"/>
    <n v="0"/>
    <n v="0"/>
    <n v="30"/>
    <n v="1"/>
    <n v="2674872.2460090914"/>
    <n v="5666594.0291512776"/>
    <n v="5501.5476011177452"/>
  </r>
  <r>
    <s v="4.3.3.2"/>
    <x v="2"/>
    <x v="2"/>
    <x v="1"/>
    <x v="10"/>
    <n v="7"/>
    <x v="57"/>
    <x v="57"/>
    <s v="Develop a roadmap for implementation of digital health strategy"/>
    <s v="Present to SMT"/>
    <s v="Conference package high-level"/>
    <n v="35000"/>
    <n v="0"/>
    <n v="0"/>
    <n v="0"/>
    <n v="25"/>
    <n v="1"/>
    <n v="1000055.9598749998"/>
    <n v="0"/>
    <n v="0"/>
    <n v="0"/>
    <n v="0"/>
    <n v="0"/>
    <n v="0"/>
    <n v="25"/>
    <n v="1"/>
    <n v="1493045.5260768225"/>
    <n v="0"/>
    <n v="0"/>
    <n v="0"/>
    <n v="0"/>
    <n v="0"/>
    <n v="0"/>
    <n v="25"/>
    <n v="1"/>
    <n v="2229060.2050075764"/>
    <n v="4722161.6909593986"/>
    <n v="4584.623000931455"/>
  </r>
  <r>
    <s v="4.3.3.2"/>
    <x v="2"/>
    <x v="2"/>
    <x v="1"/>
    <x v="10"/>
    <n v="7"/>
    <x v="57"/>
    <x v="57"/>
    <s v="Implementation of the digital health strategy"/>
    <s v="Mobilize resources"/>
    <s v="zero cost"/>
    <n v="0"/>
    <n v="0"/>
    <n v="0"/>
    <n v="0"/>
    <n v="0"/>
    <n v="0"/>
    <n v="0"/>
    <n v="0"/>
    <n v="0"/>
    <n v="0"/>
    <n v="0"/>
    <n v="0"/>
    <n v="0"/>
    <n v="0"/>
    <n v="0"/>
    <n v="0"/>
    <n v="0"/>
    <n v="0"/>
    <n v="0"/>
    <n v="0"/>
    <n v="0"/>
    <n v="0"/>
    <n v="0"/>
    <n v="0"/>
    <n v="0"/>
    <n v="0"/>
    <n v="0"/>
  </r>
  <r>
    <s v="4.3.3.2"/>
    <x v="2"/>
    <x v="2"/>
    <x v="1"/>
    <x v="10"/>
    <n v="7"/>
    <x v="57"/>
    <x v="57"/>
    <s v="Implementation of the digital health strategy"/>
    <s v="Develop ToRs for the recruitment of an IT consultant"/>
    <s v="zero cost"/>
    <n v="0"/>
    <n v="0"/>
    <n v="0"/>
    <n v="0"/>
    <n v="0"/>
    <n v="0"/>
    <n v="0"/>
    <n v="0"/>
    <n v="0"/>
    <n v="0"/>
    <n v="0"/>
    <n v="0"/>
    <n v="0"/>
    <n v="0"/>
    <n v="0"/>
    <n v="0"/>
    <n v="0"/>
    <n v="0"/>
    <n v="0"/>
    <n v="0"/>
    <n v="0"/>
    <n v="0"/>
    <n v="0"/>
    <n v="0"/>
    <n v="0"/>
    <n v="0"/>
    <n v="0"/>
  </r>
  <r>
    <s v="4.3.3.2"/>
    <x v="2"/>
    <x v="2"/>
    <x v="1"/>
    <x v="10"/>
    <n v="7"/>
    <x v="57"/>
    <x v="57"/>
    <s v="Implementation of the digital health strategy"/>
    <s v="Recruitment of a consultant"/>
    <s v="Newspaper advert (full)"/>
    <n v="391991.03749999998"/>
    <n v="0"/>
    <n v="0"/>
    <n v="0"/>
    <n v="2"/>
    <n v="2"/>
    <n v="1792059.3063746723"/>
    <n v="0"/>
    <n v="0"/>
    <n v="0"/>
    <n v="1"/>
    <n v="4"/>
    <n v="2340910.8621271173"/>
    <n v="2"/>
    <n v="2"/>
    <n v="2675476.4105215403"/>
    <n v="0"/>
    <n v="0"/>
    <n v="0"/>
    <n v="0"/>
    <n v="0"/>
    <n v="0"/>
    <n v="2"/>
    <n v="2"/>
    <n v="3994384.5595926056"/>
    <n v="10802831.138615936"/>
    <n v="10488.185571471782"/>
  </r>
  <r>
    <s v="4.3.3.2"/>
    <x v="2"/>
    <x v="2"/>
    <x v="1"/>
    <x v="10"/>
    <n v="7"/>
    <x v="57"/>
    <x v="57"/>
    <s v="Implementation of the digital health strategy"/>
    <s v="Recruitment of a consultant"/>
    <s v="Local consultant fee - High level"/>
    <n v="1001560"/>
    <n v="0"/>
    <n v="0"/>
    <n v="0"/>
    <n v="1"/>
    <n v="25"/>
    <n v="28617601.347782999"/>
    <n v="0"/>
    <n v="0"/>
    <n v="0"/>
    <n v="1"/>
    <n v="40"/>
    <n v="59811640.032000363"/>
    <n v="1"/>
    <n v="25"/>
    <n v="42724990.774214357"/>
    <n v="0"/>
    <n v="0"/>
    <n v="0"/>
    <n v="0"/>
    <n v="0"/>
    <n v="0"/>
    <n v="1"/>
    <n v="25"/>
    <n v="63786786.826496802"/>
    <n v="194941018.98049453"/>
    <n v="189263.1252237811"/>
  </r>
  <r>
    <s v="4.3.3.2"/>
    <x v="2"/>
    <x v="2"/>
    <x v="1"/>
    <x v="10"/>
    <n v="7"/>
    <x v="57"/>
    <x v="57"/>
    <s v="Implementation of the digital health strategy"/>
    <s v="Develop the digital health system for strategic health purchasing"/>
    <s v="zero cost"/>
    <n v="0"/>
    <n v="0"/>
    <n v="0"/>
    <n v="0"/>
    <n v="0"/>
    <n v="0"/>
    <n v="0"/>
    <n v="0"/>
    <n v="0"/>
    <n v="0"/>
    <n v="0"/>
    <n v="0"/>
    <n v="0"/>
    <n v="0"/>
    <n v="0"/>
    <n v="0"/>
    <n v="0"/>
    <n v="0"/>
    <n v="0"/>
    <n v="0"/>
    <n v="0"/>
    <n v="0"/>
    <n v="0"/>
    <n v="0"/>
    <n v="0"/>
    <n v="0"/>
    <n v="0"/>
  </r>
  <r>
    <s v="4.3.3.2"/>
    <x v="2"/>
    <x v="2"/>
    <x v="1"/>
    <x v="10"/>
    <n v="7"/>
    <x v="57"/>
    <x v="57"/>
    <s v="Implementation of the digital health strategy"/>
    <s v="Hold a validation meeting"/>
    <s v="Conference package high-level"/>
    <n v="35000"/>
    <n v="0"/>
    <n v="0"/>
    <n v="0"/>
    <n v="50"/>
    <n v="5"/>
    <n v="10000559.598749999"/>
    <n v="0"/>
    <n v="0"/>
    <n v="0"/>
    <n v="30"/>
    <n v="1"/>
    <n v="1567610.0791165878"/>
    <n v="50"/>
    <n v="5"/>
    <n v="14930455.260768225"/>
    <n v="0"/>
    <n v="0"/>
    <n v="0"/>
    <n v="0"/>
    <n v="0"/>
    <n v="0"/>
    <n v="50"/>
    <n v="5"/>
    <n v="22290602.050075762"/>
    <n v="48789226.988710575"/>
    <n v="47368.181542437451"/>
  </r>
  <r>
    <s v="4.3.3.2"/>
    <x v="2"/>
    <x v="2"/>
    <x v="1"/>
    <x v="10"/>
    <n v="7"/>
    <x v="57"/>
    <x v="57"/>
    <s v="Implementation of the digital health strategy"/>
    <s v="Hold a validation meeting"/>
    <s v="DSA (excl. lunch)"/>
    <n v="39000"/>
    <n v="0"/>
    <n v="0"/>
    <n v="0"/>
    <n v="25"/>
    <n v="6"/>
    <n v="6686088.4174499996"/>
    <n v="0"/>
    <n v="0"/>
    <n v="0"/>
    <n v="10"/>
    <n v="1"/>
    <n v="582255.17224330397"/>
    <n v="25"/>
    <n v="6"/>
    <n v="9982075.8029136136"/>
    <n v="0"/>
    <n v="0"/>
    <n v="0"/>
    <n v="0"/>
    <n v="0"/>
    <n v="0"/>
    <n v="25"/>
    <n v="6"/>
    <n v="14902859.656336365"/>
    <n v="32153279.048943281"/>
    <n v="31216.77577567309"/>
  </r>
  <r>
    <s v="4.3.3.2"/>
    <x v="2"/>
    <x v="2"/>
    <x v="1"/>
    <x v="10"/>
    <n v="7"/>
    <x v="57"/>
    <x v="57"/>
    <s v="Implementation of the digital health strategy"/>
    <s v="Hold a validation meeting"/>
    <s v="Local running (diesel, per km)"/>
    <n v="211.42857142857142"/>
    <n v="0"/>
    <n v="0"/>
    <n v="0"/>
    <n v="0"/>
    <n v="5"/>
    <n v="0"/>
    <n v="0"/>
    <n v="0"/>
    <n v="0"/>
    <n v="4000"/>
    <n v="1"/>
    <n v="1262619.2746081902"/>
    <n v="0"/>
    <n v="5"/>
    <n v="0"/>
    <n v="0"/>
    <n v="0"/>
    <n v="0"/>
    <n v="0"/>
    <n v="0"/>
    <n v="0"/>
    <n v="0"/>
    <n v="5"/>
    <n v="0"/>
    <n v="1262619.2746081902"/>
    <n v="1225.8439559302817"/>
  </r>
  <r>
    <s v="4.3.3.2"/>
    <x v="2"/>
    <x v="2"/>
    <x v="1"/>
    <x v="10"/>
    <n v="7"/>
    <x v="57"/>
    <x v="57"/>
    <s v="Implementation of the digital health strategy"/>
    <s v="Training the users"/>
    <s v="Conference package high-level"/>
    <n v="35000"/>
    <n v="0"/>
    <n v="0"/>
    <n v="0"/>
    <n v="50"/>
    <n v="5"/>
    <n v="10000559.598749999"/>
    <n v="0"/>
    <n v="0"/>
    <n v="0"/>
    <n v="40"/>
    <n v="5"/>
    <n v="10450733.860777251"/>
    <n v="50"/>
    <n v="5"/>
    <n v="14930455.260768225"/>
    <n v="0"/>
    <n v="0"/>
    <n v="0"/>
    <n v="0"/>
    <n v="0"/>
    <n v="0"/>
    <n v="50"/>
    <n v="5"/>
    <n v="22290602.050075762"/>
    <n v="57672350.770371236"/>
    <n v="55992.573563467216"/>
  </r>
  <r>
    <s v="4.3.3.2"/>
    <x v="2"/>
    <x v="2"/>
    <x v="1"/>
    <x v="10"/>
    <n v="7"/>
    <x v="57"/>
    <x v="57"/>
    <s v="Implementation of the digital health strategy"/>
    <s v="Training the users"/>
    <s v="DSA (excl. lunch)"/>
    <n v="39000"/>
    <n v="0"/>
    <n v="0"/>
    <n v="0"/>
    <n v="50"/>
    <n v="6"/>
    <n v="13372176.834899999"/>
    <n v="0"/>
    <n v="0"/>
    <n v="0"/>
    <n v="40"/>
    <n v="5"/>
    <n v="11645103.44486608"/>
    <n v="50"/>
    <n v="6"/>
    <n v="19964151.605827227"/>
    <n v="0"/>
    <n v="0"/>
    <n v="0"/>
    <n v="0"/>
    <n v="0"/>
    <n v="0"/>
    <n v="50"/>
    <n v="6"/>
    <n v="29805719.312672731"/>
    <n v="74787151.198266044"/>
    <n v="72608.884658510724"/>
  </r>
  <r>
    <s v="4.3.3.2"/>
    <x v="2"/>
    <x v="2"/>
    <x v="1"/>
    <x v="10"/>
    <n v="7"/>
    <x v="57"/>
    <x v="57"/>
    <s v="Implementation of the digital health strategy"/>
    <s v="Training the users"/>
    <s v="Local running (diesel, per km)"/>
    <n v="211.42857142857142"/>
    <n v="0"/>
    <n v="0"/>
    <n v="0"/>
    <n v="450"/>
    <n v="5"/>
    <n v="543703.89328714274"/>
    <n v="0"/>
    <n v="0"/>
    <n v="0"/>
    <n v="8000"/>
    <n v="1"/>
    <n v="2525238.5492163803"/>
    <n v="450"/>
    <n v="5"/>
    <n v="811729.24111605203"/>
    <n v="0"/>
    <n v="0"/>
    <n v="0"/>
    <n v="0"/>
    <n v="0"/>
    <n v="0"/>
    <n v="450"/>
    <n v="5"/>
    <n v="1211880.8951306494"/>
    <n v="5092552.5787502248"/>
    <n v="4944.2258046118686"/>
  </r>
  <r>
    <s v="4.3.3.2"/>
    <x v="2"/>
    <x v="2"/>
    <x v="1"/>
    <x v="10"/>
    <n v="7"/>
    <x v="57"/>
    <x v="57"/>
    <s v="Implementation of the digital health strategy"/>
    <s v="Training the users"/>
    <s v="Fuel for traveling participants"/>
    <n v="211.42857142857142"/>
    <n v="0"/>
    <n v="0"/>
    <n v="0"/>
    <n v="2430"/>
    <n v="1"/>
    <n v="587200.20475011424"/>
    <n v="0"/>
    <n v="0"/>
    <n v="0"/>
    <m/>
    <m/>
    <n v="0"/>
    <n v="2430"/>
    <n v="1"/>
    <n v="876667.58040533611"/>
    <m/>
    <m/>
    <n v="0"/>
    <m/>
    <m/>
    <n v="0"/>
    <n v="2430"/>
    <n v="1"/>
    <n v="1308831.3667411015"/>
    <n v="2772699.1518965522"/>
    <n v="2691.9409241714097"/>
  </r>
  <r>
    <s v="4.3.3.2"/>
    <x v="2"/>
    <x v="2"/>
    <x v="1"/>
    <x v="10"/>
    <n v="7"/>
    <x v="57"/>
    <x v="57"/>
    <s v="Implementation of the digital health strategy"/>
    <s v="Piloting the digital health system for strategic purchasing"/>
    <s v="zero cost"/>
    <n v="0"/>
    <n v="0"/>
    <n v="0"/>
    <n v="0"/>
    <n v="0"/>
    <n v="0"/>
    <n v="0"/>
    <n v="0"/>
    <n v="0"/>
    <n v="0"/>
    <n v="0"/>
    <n v="0"/>
    <n v="0"/>
    <n v="0"/>
    <n v="0"/>
    <n v="0"/>
    <n v="0"/>
    <n v="0"/>
    <n v="0"/>
    <n v="0"/>
    <n v="0"/>
    <n v="0"/>
    <n v="0"/>
    <n v="0"/>
    <n v="0"/>
    <n v="0"/>
    <n v="0"/>
  </r>
  <r>
    <s v="4.3.3.2"/>
    <x v="2"/>
    <x v="2"/>
    <x v="1"/>
    <x v="10"/>
    <n v="7"/>
    <x v="57"/>
    <x v="57"/>
    <s v="Implementation of the digital health strategy"/>
    <s v="Scaling up of the digital health system for strategic health purchasing"/>
    <s v="zero cost"/>
    <n v="0"/>
    <n v="0"/>
    <n v="0"/>
    <n v="0"/>
    <n v="0"/>
    <n v="0"/>
    <n v="0"/>
    <n v="0"/>
    <n v="0"/>
    <n v="0"/>
    <n v="0"/>
    <n v="0"/>
    <n v="0"/>
    <n v="0"/>
    <n v="0"/>
    <n v="0"/>
    <n v="0"/>
    <n v="0"/>
    <n v="0"/>
    <n v="0"/>
    <n v="0"/>
    <n v="0"/>
    <n v="0"/>
    <n v="0"/>
    <n v="0"/>
    <n v="0"/>
    <n v="0"/>
  </r>
  <r>
    <s v="4.3.3.3"/>
    <x v="2"/>
    <x v="2"/>
    <x v="2"/>
    <x v="11"/>
    <n v="1"/>
    <x v="58"/>
    <x v="58"/>
    <s v="Review and update PFM capacity assessments results for district council and health provider levels (Deliverable: Updated PFM Assessment Report) "/>
    <s v="Recruit a PFM consultant/ facilitator"/>
    <s v="Newspaper advert (full)"/>
    <n v="391991.03749999998"/>
    <m/>
    <m/>
    <n v="0"/>
    <n v="2"/>
    <n v="2"/>
    <n v="1792059.3063746723"/>
    <n v="0"/>
    <n v="0"/>
    <n v="0"/>
    <n v="0"/>
    <n v="0"/>
    <n v="0"/>
    <n v="0"/>
    <n v="0"/>
    <n v="0"/>
    <n v="2"/>
    <n v="2"/>
    <n v="3057858.4341109009"/>
    <n v="0"/>
    <n v="0"/>
    <n v="0"/>
    <n v="0"/>
    <n v="0"/>
    <n v="0"/>
    <n v="4849917.7404855732"/>
    <n v="4708.6580004714306"/>
  </r>
  <r>
    <s v="4.3.3.3"/>
    <x v="2"/>
    <x v="2"/>
    <x v="2"/>
    <x v="11"/>
    <n v="1"/>
    <x v="58"/>
    <x v="58"/>
    <s v="Review and update PFM capacity assessments results for district council and health provider levels (Deliverable: Updated PFM Assessment Report) "/>
    <s v="Recruit a PFM consultant/ facilitator"/>
    <s v="Local consultant fee - High level"/>
    <n v="511000"/>
    <m/>
    <m/>
    <n v="0"/>
    <n v="0"/>
    <n v="0"/>
    <n v="0"/>
    <n v="0"/>
    <n v="0"/>
    <n v="0"/>
    <n v="0"/>
    <n v="0"/>
    <n v="0"/>
    <n v="0"/>
    <n v="0"/>
    <n v="0"/>
    <n v="0"/>
    <n v="0"/>
    <n v="0"/>
    <n v="0"/>
    <n v="0"/>
    <n v="0"/>
    <n v="0"/>
    <n v="0"/>
    <n v="0"/>
    <n v="0"/>
    <n v="0"/>
  </r>
  <r>
    <s v="4.3.3.3"/>
    <x v="2"/>
    <x v="2"/>
    <x v="2"/>
    <x v="11"/>
    <n v="1"/>
    <x v="58"/>
    <x v="58"/>
    <s v="Review and update PFM capacity assessments results for district council and health provider levels (Deliverable: Updated PFM Assessment Report) "/>
    <s v="Conduct 3 workshops "/>
    <s v="DSA (excl. lunch)"/>
    <n v="39000"/>
    <m/>
    <m/>
    <n v="0"/>
    <n v="25"/>
    <n v="18"/>
    <n v="20058265.252349999"/>
    <n v="15"/>
    <n v="15"/>
    <n v="11462507.26306642"/>
    <n v="15"/>
    <n v="15"/>
    <n v="13100741.375474337"/>
    <n v="15"/>
    <n v="15"/>
    <n v="14973113.70437042"/>
    <n v="25"/>
    <n v="18"/>
    <n v="34226175.081009544"/>
    <n v="0"/>
    <n v="0"/>
    <n v="0"/>
    <n v="0"/>
    <n v="0"/>
    <n v="0"/>
    <n v="93820802.676270723"/>
    <n v="91088.157938126911"/>
  </r>
  <r>
    <s v="4.3.3.3"/>
    <x v="2"/>
    <x v="2"/>
    <x v="2"/>
    <x v="11"/>
    <n v="1"/>
    <x v="58"/>
    <x v="58"/>
    <s v="Review and update PFM capacity assessments results for district council and health provider levels (Deliverable: Updated PFM Assessment Report) "/>
    <s v="Conduct 3 workshops "/>
    <s v="Conference package high-level"/>
    <n v="35000"/>
    <m/>
    <m/>
    <n v="0"/>
    <n v="25"/>
    <n v="15"/>
    <n v="15000839.398124997"/>
    <n v="20"/>
    <n v="15"/>
    <n v="13715820.656660672"/>
    <n v="20"/>
    <n v="15"/>
    <n v="15676100.791165877"/>
    <n v="20"/>
    <n v="15"/>
    <n v="17916546.31292187"/>
    <n v="25"/>
    <n v="15"/>
    <n v="25596498.458019953"/>
    <n v="0"/>
    <n v="0"/>
    <n v="0"/>
    <n v="0"/>
    <n v="0"/>
    <n v="0"/>
    <n v="87905805.616893366"/>
    <n v="85345.442346498414"/>
  </r>
  <r>
    <s v="4.3.3.3"/>
    <x v="2"/>
    <x v="2"/>
    <x v="2"/>
    <x v="11"/>
    <n v="1"/>
    <x v="58"/>
    <x v="58"/>
    <s v="Review and update PFM capacity assessments results for district council and health provider levels (Deliverable: Updated PFM Assessment Report) "/>
    <s v="Conduct 3 workshops "/>
    <s v="Local running (diesel, per km)"/>
    <n v="211.42857142857142"/>
    <m/>
    <m/>
    <n v="0"/>
    <n v="450"/>
    <n v="15"/>
    <n v="1631111.6798614284"/>
    <n v="4000"/>
    <n v="1"/>
    <n v="1104730.044726955"/>
    <n v="4000"/>
    <n v="1"/>
    <n v="1262619.2746081902"/>
    <n v="4000"/>
    <n v="1"/>
    <n v="1443074.2064285369"/>
    <n v="450"/>
    <n v="15"/>
    <n v="2783227.424170007"/>
    <n v="0"/>
    <n v="0"/>
    <n v="0"/>
    <n v="0"/>
    <n v="0"/>
    <n v="0"/>
    <n v="8224762.6297951173"/>
    <n v="7985.2064366942886"/>
  </r>
  <r>
    <s v="4.3.3.3"/>
    <x v="2"/>
    <x v="2"/>
    <x v="2"/>
    <x v="11"/>
    <n v="1"/>
    <x v="58"/>
    <x v="58"/>
    <s v="Review and update PFM capacity assessments results for district council and health provider levels (Deliverable: Updated PFM Assessment Report) "/>
    <s v="Conduct 3 workshops "/>
    <s v="Fuel for travelling participants"/>
    <n v="211.42857142857142"/>
    <m/>
    <m/>
    <n v="0"/>
    <n v="2430"/>
    <n v="3"/>
    <n v="1761600.6142503428"/>
    <m/>
    <m/>
    <n v="0"/>
    <m/>
    <m/>
    <n v="0"/>
    <m/>
    <m/>
    <n v="0"/>
    <n v="2430"/>
    <n v="3"/>
    <n v="3005885.6181036076"/>
    <m/>
    <m/>
    <n v="0"/>
    <m/>
    <m/>
    <n v="0"/>
    <n v="4767486.2323539499"/>
    <n v="4628.6274100523788"/>
  </r>
  <r>
    <s v="4.3.3.3"/>
    <x v="2"/>
    <x v="2"/>
    <x v="2"/>
    <x v="11"/>
    <n v="1"/>
    <x v="58"/>
    <x v="58"/>
    <s v="Review and update PFM capacity assessments results for district council and health provider levels (Deliverable: Updated PFM Assessment Report) "/>
    <s v="Design data collection tool"/>
    <s v="zero cost"/>
    <n v="0"/>
    <m/>
    <m/>
    <n v="0"/>
    <n v="0"/>
    <n v="0"/>
    <n v="0"/>
    <n v="0"/>
    <n v="0"/>
    <n v="0"/>
    <n v="0"/>
    <n v="0"/>
    <n v="0"/>
    <n v="0"/>
    <n v="0"/>
    <n v="0"/>
    <n v="0"/>
    <n v="0"/>
    <n v="0"/>
    <n v="0"/>
    <n v="0"/>
    <n v="0"/>
    <n v="0"/>
    <n v="0"/>
    <n v="0"/>
    <n v="0"/>
    <n v="0"/>
  </r>
  <r>
    <s v="4.3.3.3"/>
    <x v="2"/>
    <x v="2"/>
    <x v="2"/>
    <x v="11"/>
    <n v="1"/>
    <x v="58"/>
    <x v="58"/>
    <s v="Review and update PFM capacity assessments results for district council and health provider levels (Deliverable: Updated PFM Assessment Report) "/>
    <s v="Validate data collection tool"/>
    <s v="Conference package high-level"/>
    <n v="35000"/>
    <m/>
    <m/>
    <n v="0"/>
    <n v="25"/>
    <n v="5"/>
    <n v="5000279.7993749995"/>
    <n v="0"/>
    <n v="0"/>
    <n v="0"/>
    <n v="0"/>
    <n v="0"/>
    <n v="0"/>
    <n v="0"/>
    <n v="0"/>
    <n v="0"/>
    <n v="25"/>
    <n v="5"/>
    <n v="8532166.152673319"/>
    <n v="0"/>
    <n v="0"/>
    <n v="0"/>
    <n v="0"/>
    <n v="0"/>
    <n v="0"/>
    <n v="13532445.952048318"/>
    <n v="13138.297040823611"/>
  </r>
  <r>
    <s v="4.3.3.3"/>
    <x v="2"/>
    <x v="2"/>
    <x v="2"/>
    <x v="11"/>
    <n v="1"/>
    <x v="58"/>
    <x v="58"/>
    <s v="Review and update PFM capacity assessments results for district council and health provider levels (Deliverable: Updated PFM Assessment Report) "/>
    <s v="Validate data collection tool"/>
    <s v="DSA (excl. lunch)"/>
    <n v="39000"/>
    <m/>
    <m/>
    <n v="0"/>
    <n v="25"/>
    <n v="6"/>
    <n v="6686088.4174499996"/>
    <m/>
    <m/>
    <n v="0"/>
    <m/>
    <m/>
    <n v="0"/>
    <m/>
    <m/>
    <n v="0"/>
    <n v="25"/>
    <n v="6"/>
    <n v="11408725.027003182"/>
    <m/>
    <m/>
    <n v="0"/>
    <m/>
    <m/>
    <n v="0"/>
    <n v="18094813.44445318"/>
    <n v="17567.780043158426"/>
  </r>
  <r>
    <s v="4.3.3.3"/>
    <x v="2"/>
    <x v="2"/>
    <x v="2"/>
    <x v="11"/>
    <n v="1"/>
    <x v="58"/>
    <x v="58"/>
    <s v="Review and update PFM capacity assessments results for district council and health provider levels (Deliverable: Updated PFM Assessment Report) "/>
    <s v="Validate data collection tool"/>
    <s v="Local running (diesel, per km)"/>
    <n v="211.42857142857142"/>
    <m/>
    <m/>
    <n v="0"/>
    <n v="450"/>
    <n v="5"/>
    <n v="543703.89328714274"/>
    <m/>
    <m/>
    <n v="0"/>
    <m/>
    <m/>
    <n v="0"/>
    <m/>
    <m/>
    <n v="0"/>
    <n v="450"/>
    <n v="5"/>
    <n v="927742.47472333559"/>
    <m/>
    <m/>
    <n v="0"/>
    <m/>
    <m/>
    <n v="0"/>
    <n v="1471446.3680104783"/>
    <n v="1428.5887068062896"/>
  </r>
  <r>
    <s v="4.3.3.3"/>
    <x v="2"/>
    <x v="2"/>
    <x v="2"/>
    <x v="11"/>
    <n v="1"/>
    <x v="58"/>
    <x v="58"/>
    <s v="Review and update PFM capacity assessments results for district council and health provider levels (Deliverable: Updated PFM Assessment Report) "/>
    <s v="Validate data collection tool"/>
    <s v="Fuel for travelling participants"/>
    <n v="211.42857142857142"/>
    <m/>
    <m/>
    <n v="0"/>
    <n v="2430"/>
    <n v="1"/>
    <n v="587200.20475011424"/>
    <m/>
    <m/>
    <n v="0"/>
    <m/>
    <m/>
    <n v="0"/>
    <m/>
    <m/>
    <n v="0"/>
    <n v="2430"/>
    <n v="1"/>
    <n v="1001961.8727012025"/>
    <m/>
    <m/>
    <n v="0"/>
    <m/>
    <m/>
    <n v="0"/>
    <n v="1589162.0774513166"/>
    <n v="1542.8758033507929"/>
  </r>
  <r>
    <s v="4.3.3.3"/>
    <x v="2"/>
    <x v="2"/>
    <x v="2"/>
    <x v="11"/>
    <n v="1"/>
    <x v="58"/>
    <x v="58"/>
    <s v="Review and update PFM capacity assessments results for district council and health provider levels (Deliverable: Updated PFM Assessment Report) "/>
    <s v="Data collection"/>
    <s v="Full DSA"/>
    <n v="45000"/>
    <m/>
    <m/>
    <n v="0"/>
    <n v="25"/>
    <n v="6"/>
    <n v="7714717.4047499988"/>
    <n v="15"/>
    <n v="10"/>
    <n v="8817313.2792818621"/>
    <n v="15"/>
    <n v="10"/>
    <n v="10077493.365749491"/>
    <n v="15"/>
    <n v="10"/>
    <n v="11517779.77259263"/>
    <n v="25"/>
    <n v="6"/>
    <n v="13163913.492695976"/>
    <n v="0"/>
    <n v="0"/>
    <n v="0"/>
    <n v="0"/>
    <n v="0"/>
    <n v="0"/>
    <n v="51291217.315069959"/>
    <n v="49797.298364145594"/>
  </r>
  <r>
    <s v="4.3.3.3"/>
    <x v="2"/>
    <x v="2"/>
    <x v="2"/>
    <x v="11"/>
    <n v="1"/>
    <x v="58"/>
    <x v="58"/>
    <s v="Review and update PFM capacity assessments results for district council and health provider levels (Deliverable: Updated PFM Assessment Report) "/>
    <s v="Data collection"/>
    <s v="Local running (diesel, per km)"/>
    <n v="211.42857142857142"/>
    <m/>
    <m/>
    <n v="0"/>
    <n v="450"/>
    <n v="5"/>
    <n v="543703.89328714274"/>
    <n v="8000"/>
    <n v="1"/>
    <n v="2209460.08945391"/>
    <n v="8000"/>
    <n v="1"/>
    <n v="2525238.5492163803"/>
    <n v="8000"/>
    <n v="1"/>
    <n v="2886148.4128570738"/>
    <n v="450"/>
    <n v="5"/>
    <n v="927742.47472333559"/>
    <n v="0"/>
    <n v="0"/>
    <n v="0"/>
    <n v="0"/>
    <n v="0"/>
    <n v="0"/>
    <n v="9092293.4195378423"/>
    <n v="8827.4693393571288"/>
  </r>
  <r>
    <s v="4.3.3.3"/>
    <x v="2"/>
    <x v="2"/>
    <x v="2"/>
    <x v="11"/>
    <n v="1"/>
    <x v="58"/>
    <x v="58"/>
    <s v="Review and update PFM capacity assessments results for district council and health provider levels (Deliverable: Updated PFM Assessment Report) "/>
    <s v="Data collection"/>
    <s v="Fuel for travelling participants"/>
    <n v="211.42857142857142"/>
    <m/>
    <m/>
    <n v="0"/>
    <n v="2430"/>
    <n v="1"/>
    <n v="587200.20475011424"/>
    <m/>
    <m/>
    <n v="0"/>
    <m/>
    <m/>
    <n v="0"/>
    <m/>
    <m/>
    <n v="0"/>
    <n v="2430"/>
    <n v="1"/>
    <n v="1001961.8727012025"/>
    <m/>
    <m/>
    <n v="0"/>
    <m/>
    <m/>
    <n v="0"/>
    <n v="1589162.0774513166"/>
    <n v="1542.8758033507929"/>
  </r>
  <r>
    <s v="4.3.3.3"/>
    <x v="2"/>
    <x v="2"/>
    <x v="2"/>
    <x v="11"/>
    <n v="1"/>
    <x v="58"/>
    <x v="58"/>
    <s v="Review and update PFM capacity assessments results for district council and health provider levels (Deliverable: Updated PFM Assessment Report) "/>
    <s v="Data collection"/>
    <s v="Airtime for Research Assistant"/>
    <n v="10000"/>
    <m/>
    <m/>
    <n v="0"/>
    <n v="25"/>
    <n v="0"/>
    <n v="0"/>
    <n v="15"/>
    <n v="1"/>
    <n v="195940.29509515248"/>
    <n v="15"/>
    <n v="1"/>
    <n v="223944.29701665539"/>
    <n v="15"/>
    <n v="1"/>
    <n v="255950.66161316959"/>
    <n v="25"/>
    <n v="0"/>
    <n v="0"/>
    <n v="0"/>
    <n v="0"/>
    <n v="0"/>
    <n v="0"/>
    <n v="0"/>
    <n v="0"/>
    <n v="675835.25372497749"/>
    <n v="656.15073177182285"/>
  </r>
  <r>
    <s v="4.3.3.3"/>
    <x v="2"/>
    <x v="2"/>
    <x v="2"/>
    <x v="11"/>
    <n v="1"/>
    <x v="58"/>
    <x v="58"/>
    <s v="Review and update PFM capacity assessments results for district council and health provider levels (Deliverable: Updated PFM Assessment Report) "/>
    <s v="Data collection"/>
    <s v="Tablet"/>
    <n v="302000"/>
    <m/>
    <m/>
    <n v="0"/>
    <n v="25"/>
    <n v="0"/>
    <n v="0"/>
    <n v="20"/>
    <n v="1"/>
    <n v="7889862.5491648065"/>
    <n v="20"/>
    <n v="1"/>
    <n v="9017490.3598706573"/>
    <n v="20"/>
    <n v="1"/>
    <n v="10306279.974290295"/>
    <n v="25"/>
    <n v="0"/>
    <n v="0"/>
    <n v="0"/>
    <n v="0"/>
    <n v="0"/>
    <n v="0"/>
    <n v="0"/>
    <n v="0"/>
    <n v="27213632.883325756"/>
    <n v="26421.002799345395"/>
  </r>
  <r>
    <s v="4.3.3.3"/>
    <x v="2"/>
    <x v="2"/>
    <x v="2"/>
    <x v="11"/>
    <n v="1"/>
    <x v="58"/>
    <x v="58"/>
    <s v="Review and update PFM capacity assessments results for district council and health provider levels (Deliverable: Updated PFM Assessment Report) "/>
    <s v="data analysis"/>
    <s v="DSA (excl. lunch)"/>
    <n v="39000"/>
    <m/>
    <m/>
    <n v="0"/>
    <n v="25"/>
    <n v="6"/>
    <n v="6686088.4174499996"/>
    <n v="15"/>
    <n v="5"/>
    <n v="3820835.7543554734"/>
    <n v="15"/>
    <n v="5"/>
    <n v="4366913.7918247795"/>
    <n v="15"/>
    <n v="5"/>
    <n v="4991037.9014568068"/>
    <n v="25"/>
    <n v="6"/>
    <n v="11408725.027003182"/>
    <n v="0"/>
    <n v="0"/>
    <n v="0"/>
    <n v="0"/>
    <n v="0"/>
    <n v="0"/>
    <n v="31273600.892090239"/>
    <n v="30362.71931270897"/>
  </r>
  <r>
    <s v="4.3.3.3"/>
    <x v="2"/>
    <x v="2"/>
    <x v="2"/>
    <x v="11"/>
    <n v="1"/>
    <x v="58"/>
    <x v="58"/>
    <s v="Review and update PFM capacity assessments results for district council and health provider levels (Deliverable: Updated PFM Assessment Report) "/>
    <s v="data analysis"/>
    <s v="Conference package high-level"/>
    <n v="35000"/>
    <m/>
    <m/>
    <n v="0"/>
    <n v="25"/>
    <n v="5"/>
    <n v="5000279.7993749995"/>
    <n v="15"/>
    <n v="5"/>
    <n v="3428955.1641651681"/>
    <n v="15"/>
    <n v="5"/>
    <n v="3919025.1977914693"/>
    <n v="15"/>
    <n v="5"/>
    <n v="4479136.5782304676"/>
    <n v="25"/>
    <n v="5"/>
    <n v="8532166.152673319"/>
    <n v="0"/>
    <n v="0"/>
    <n v="0"/>
    <n v="0"/>
    <n v="0"/>
    <n v="0"/>
    <n v="25359562.892235421"/>
    <n v="24620.934846830507"/>
  </r>
  <r>
    <s v="4.3.3.3"/>
    <x v="2"/>
    <x v="2"/>
    <x v="2"/>
    <x v="11"/>
    <n v="1"/>
    <x v="58"/>
    <x v="58"/>
    <s v="Review and update PFM capacity assessments results for district council and health provider levels (Deliverable: Updated PFM Assessment Report) "/>
    <s v="data analysis"/>
    <s v="Local running (diesel, per km)"/>
    <n v="211.42857142857142"/>
    <m/>
    <m/>
    <n v="0"/>
    <n v="450"/>
    <n v="5"/>
    <n v="543703.89328714274"/>
    <n v="4000"/>
    <n v="1"/>
    <n v="1104730.044726955"/>
    <n v="4000"/>
    <n v="1"/>
    <n v="1262619.2746081902"/>
    <n v="4000"/>
    <n v="1"/>
    <n v="1443074.2064285369"/>
    <n v="450"/>
    <n v="5"/>
    <n v="927742.47472333559"/>
    <n v="0"/>
    <n v="0"/>
    <n v="0"/>
    <n v="0"/>
    <n v="0"/>
    <n v="0"/>
    <n v="5281869.8937741602"/>
    <n v="5128.0290230817091"/>
  </r>
  <r>
    <s v="4.3.3.3"/>
    <x v="2"/>
    <x v="2"/>
    <x v="2"/>
    <x v="11"/>
    <n v="1"/>
    <x v="58"/>
    <x v="58"/>
    <s v="Review and update PFM capacity assessments results for district council and health provider levels (Deliverable: Updated PFM Assessment Report) "/>
    <s v="data analysis"/>
    <s v="Fuel for travelling participants"/>
    <n v="211.42857142857142"/>
    <m/>
    <m/>
    <n v="0"/>
    <n v="2430"/>
    <n v="1"/>
    <n v="587200.20475011424"/>
    <m/>
    <m/>
    <n v="0"/>
    <m/>
    <m/>
    <n v="0"/>
    <m/>
    <m/>
    <n v="0"/>
    <n v="2430"/>
    <n v="1"/>
    <n v="1001961.8727012025"/>
    <m/>
    <m/>
    <n v="0"/>
    <m/>
    <m/>
    <n v="0"/>
    <n v="1589162.0774513166"/>
    <n v="1542.8758033507929"/>
  </r>
  <r>
    <s v="4.3.3.3"/>
    <x v="2"/>
    <x v="2"/>
    <x v="2"/>
    <x v="11"/>
    <n v="1"/>
    <x v="58"/>
    <x v="58"/>
    <s v="Review and update PFM capacity assessments results for district council and health provider levels (Deliverable: Updated PFM Assessment Report) "/>
    <s v="Report writing"/>
    <s v="DSA (excl. lunch)"/>
    <n v="39000"/>
    <m/>
    <m/>
    <n v="0"/>
    <n v="25"/>
    <n v="6"/>
    <n v="6686088.4174499996"/>
    <n v="15"/>
    <n v="5"/>
    <n v="3820835.7543554734"/>
    <n v="15"/>
    <n v="5"/>
    <n v="4366913.7918247795"/>
    <n v="15"/>
    <n v="5"/>
    <n v="4991037.9014568068"/>
    <n v="25"/>
    <n v="6"/>
    <n v="11408725.027003182"/>
    <n v="0"/>
    <n v="0"/>
    <n v="0"/>
    <n v="0"/>
    <n v="0"/>
    <n v="0"/>
    <n v="31273600.892090239"/>
    <n v="30362.71931270897"/>
  </r>
  <r>
    <s v="4.3.3.3"/>
    <x v="2"/>
    <x v="2"/>
    <x v="2"/>
    <x v="11"/>
    <n v="1"/>
    <x v="58"/>
    <x v="58"/>
    <s v="Review and update PFM capacity assessments results for district council and health provider levels (Deliverable: Updated PFM Assessment Report) "/>
    <s v="Report writing"/>
    <s v="Conference package high-level"/>
    <n v="35000"/>
    <m/>
    <m/>
    <n v="0"/>
    <n v="25"/>
    <n v="5"/>
    <n v="5000279.7993749995"/>
    <n v="15"/>
    <n v="5"/>
    <n v="3428955.1641651681"/>
    <n v="15"/>
    <n v="5"/>
    <n v="3919025.1977914693"/>
    <n v="15"/>
    <n v="5"/>
    <n v="4479136.5782304676"/>
    <n v="25"/>
    <n v="5"/>
    <n v="8532166.152673319"/>
    <n v="0"/>
    <n v="0"/>
    <n v="0"/>
    <n v="0"/>
    <n v="0"/>
    <n v="0"/>
    <n v="25359562.892235421"/>
    <n v="24620.934846830507"/>
  </r>
  <r>
    <s v="4.3.3.3"/>
    <x v="2"/>
    <x v="2"/>
    <x v="2"/>
    <x v="11"/>
    <n v="1"/>
    <x v="58"/>
    <x v="58"/>
    <s v="Review and update PFM capacity assessments results for district council and health provider levels (Deliverable: Updated PFM Assessment Report) "/>
    <s v="Report writing"/>
    <s v="Local running (diesel, per km)"/>
    <n v="211.42857142857142"/>
    <m/>
    <m/>
    <n v="0"/>
    <n v="450"/>
    <n v="5"/>
    <n v="543703.89328714274"/>
    <n v="4000"/>
    <n v="1"/>
    <n v="1104730.044726955"/>
    <n v="4000"/>
    <n v="1"/>
    <n v="1262619.2746081902"/>
    <n v="4000"/>
    <n v="1"/>
    <n v="1443074.2064285369"/>
    <n v="450"/>
    <n v="5"/>
    <n v="927742.47472333559"/>
    <n v="0"/>
    <n v="0"/>
    <n v="0"/>
    <n v="0"/>
    <n v="0"/>
    <n v="0"/>
    <n v="5281869.8937741602"/>
    <n v="5128.0290230817091"/>
  </r>
  <r>
    <s v="4.3.3.3"/>
    <x v="2"/>
    <x v="2"/>
    <x v="2"/>
    <x v="11"/>
    <n v="1"/>
    <x v="58"/>
    <x v="58"/>
    <s v="Review and update PFM capacity assessments results for district council and health provider levels (Deliverable: Updated PFM Assessment Report) "/>
    <s v="Report writing"/>
    <s v="Fuel for travelling participants"/>
    <n v="211.42857142857142"/>
    <m/>
    <m/>
    <n v="0"/>
    <n v="2430"/>
    <n v="1"/>
    <n v="587200.20475011424"/>
    <m/>
    <m/>
    <n v="0"/>
    <m/>
    <m/>
    <n v="0"/>
    <m/>
    <m/>
    <n v="0"/>
    <n v="2430"/>
    <n v="1"/>
    <n v="1001961.8727012025"/>
    <m/>
    <m/>
    <n v="0"/>
    <m/>
    <m/>
    <n v="0"/>
    <n v="1589162.0774513166"/>
    <n v="1542.8758033507929"/>
  </r>
  <r>
    <s v="4.3.3.3"/>
    <x v="2"/>
    <x v="2"/>
    <x v="2"/>
    <x v="11"/>
    <n v="1"/>
    <x v="58"/>
    <x v="58"/>
    <s v="Review and update PFM capacity assessments results for district council and health provider levels (Deliverable: Updated PFM Assessment Report) "/>
    <s v="Validation workshop with stakeholders"/>
    <s v="DSA (excl. lunch)"/>
    <n v="39000"/>
    <m/>
    <m/>
    <n v="0"/>
    <n v="58"/>
    <n v="6"/>
    <n v="15511725.128483998"/>
    <n v="15"/>
    <n v="1"/>
    <n v="764167.15087109467"/>
    <n v="15"/>
    <n v="1"/>
    <n v="873382.75836495589"/>
    <n v="15"/>
    <n v="1"/>
    <n v="998207.58029136132"/>
    <n v="58"/>
    <n v="6"/>
    <n v="26468242.06264738"/>
    <n v="0"/>
    <n v="0"/>
    <n v="0"/>
    <n v="0"/>
    <n v="0"/>
    <n v="0"/>
    <n v="44615724.680658787"/>
    <n v="43316.23755403766"/>
  </r>
  <r>
    <s v="4.3.3.3"/>
    <x v="2"/>
    <x v="2"/>
    <x v="2"/>
    <x v="11"/>
    <n v="1"/>
    <x v="58"/>
    <x v="58"/>
    <s v="Review and update PFM capacity assessments results for district council and health provider levels (Deliverable: Updated PFM Assessment Report) "/>
    <s v="Validation workshop with stakeholders"/>
    <s v="Conference package high-level"/>
    <n v="35000"/>
    <n v="100"/>
    <n v="5"/>
    <n v="17500000"/>
    <n v="100"/>
    <n v="5"/>
    <n v="20001119.197499998"/>
    <n v="30"/>
    <n v="1"/>
    <n v="1371582.0656660672"/>
    <n v="30"/>
    <n v="1"/>
    <n v="1567610.0791165878"/>
    <n v="30"/>
    <n v="1"/>
    <n v="1791654.6312921871"/>
    <n v="100"/>
    <n v="5"/>
    <n v="34128664.610693276"/>
    <n v="0"/>
    <n v="0"/>
    <n v="0"/>
    <n v="0"/>
    <n v="0"/>
    <n v="0"/>
    <n v="76360630.584268123"/>
    <n v="74136.534547833129"/>
  </r>
  <r>
    <s v="4.3.3.3"/>
    <x v="2"/>
    <x v="2"/>
    <x v="2"/>
    <x v="11"/>
    <n v="1"/>
    <x v="58"/>
    <x v="58"/>
    <s v="Review and update PFM capacity assessments results for district council and health provider levels (Deliverable: Updated PFM Assessment Report) "/>
    <s v="Validation workshop with stakeholders"/>
    <s v="Local running (diesel, per km)"/>
    <n v="211.42857142857142"/>
    <n v="1450"/>
    <n v="5"/>
    <n v="1532857.142857143"/>
    <n v="1450"/>
    <n v="5"/>
    <n v="1751934.7672585712"/>
    <n v="4000"/>
    <n v="1"/>
    <n v="1104730.044726955"/>
    <n v="4000"/>
    <n v="1"/>
    <n v="1262619.2746081902"/>
    <n v="4000"/>
    <n v="1"/>
    <n v="1443074.2064285369"/>
    <n v="1450"/>
    <n v="5"/>
    <n v="2989392.41855297"/>
    <n v="0"/>
    <n v="0"/>
    <n v="0"/>
    <n v="0"/>
    <n v="0"/>
    <n v="0"/>
    <n v="10084607.854432367"/>
    <n v="9790.8814120702591"/>
  </r>
  <r>
    <s v="4.3.3.3"/>
    <x v="2"/>
    <x v="2"/>
    <x v="2"/>
    <x v="11"/>
    <n v="1"/>
    <x v="58"/>
    <x v="58"/>
    <s v="Review and update PFM capacity assessments results for district council and health provider levels (Deliverable: Updated PFM Assessment Report) "/>
    <s v="Validation workshop with stakeholders"/>
    <s v="Fuel for travelling participants"/>
    <n v="211.42857142857142"/>
    <n v="22500"/>
    <n v="1"/>
    <n v="4757142.8571428573"/>
    <n v="22500"/>
    <n v="1"/>
    <n v="5437038.9328714283"/>
    <m/>
    <m/>
    <n v="0"/>
    <m/>
    <m/>
    <n v="0"/>
    <m/>
    <m/>
    <n v="0"/>
    <n v="22500"/>
    <n v="1"/>
    <n v="9277424.7472333554"/>
    <m/>
    <m/>
    <n v="0"/>
    <m/>
    <m/>
    <n v="0"/>
    <n v="19471606.537247643"/>
    <n v="18904.472366259848"/>
  </r>
  <r>
    <s v="4.3.3.3"/>
    <x v="2"/>
    <x v="2"/>
    <x v="2"/>
    <x v="11"/>
    <n v="1"/>
    <x v="58"/>
    <x v="58"/>
    <s v="Develop guidelines for decentralising the district health budget "/>
    <s v="Conduct 5 central hospital workshops (6 from each)"/>
    <s v="DSA (excl. lunch)"/>
    <n v="39000"/>
    <m/>
    <m/>
    <n v="0"/>
    <n v="30"/>
    <n v="30"/>
    <n v="40116530.50469999"/>
    <n v="0"/>
    <n v="0"/>
    <n v="0"/>
    <n v="0"/>
    <n v="0"/>
    <n v="0"/>
    <n v="0"/>
    <n v="0"/>
    <n v="0"/>
    <n v="0"/>
    <n v="0"/>
    <n v="0"/>
    <n v="30"/>
    <n v="30"/>
    <n v="78235635.139402986"/>
    <n v="0"/>
    <n v="0"/>
    <n v="0"/>
    <n v="118352165.64410298"/>
    <n v="114905.01518844948"/>
  </r>
  <r>
    <s v="4.3.3.3"/>
    <x v="2"/>
    <x v="2"/>
    <x v="2"/>
    <x v="11"/>
    <n v="1"/>
    <x v="58"/>
    <x v="58"/>
    <s v="Develop guidelines for decentralising the district health budget "/>
    <s v="Conduct 5 central hospital workshops (6 from each)"/>
    <s v="Conference package high-level"/>
    <n v="35000"/>
    <m/>
    <m/>
    <n v="0"/>
    <n v="30"/>
    <n v="30"/>
    <n v="36002014.555499993"/>
    <n v="0"/>
    <n v="0"/>
    <n v="0"/>
    <n v="0"/>
    <n v="0"/>
    <n v="0"/>
    <n v="0"/>
    <n v="0"/>
    <n v="0"/>
    <n v="0"/>
    <n v="0"/>
    <n v="0"/>
    <n v="30"/>
    <n v="30"/>
    <n v="70211467.432797551"/>
    <n v="0"/>
    <n v="0"/>
    <n v="0"/>
    <n v="106213481.98829755"/>
    <n v="103119.88542553161"/>
  </r>
  <r>
    <s v="4.3.3.3"/>
    <x v="2"/>
    <x v="2"/>
    <x v="2"/>
    <x v="11"/>
    <n v="1"/>
    <x v="58"/>
    <x v="58"/>
    <s v="Develop guidelines for decentralising the district health budget "/>
    <s v="Conduct 5 workshops "/>
    <s v="Local running (diesel, per km)"/>
    <n v="211.42857142857142"/>
    <m/>
    <m/>
    <n v="0"/>
    <n v="450"/>
    <n v="30"/>
    <n v="3262223.3597228569"/>
    <n v="0"/>
    <n v="0"/>
    <n v="0"/>
    <n v="0"/>
    <n v="0"/>
    <n v="0"/>
    <n v="0"/>
    <n v="0"/>
    <n v="0"/>
    <n v="0"/>
    <n v="0"/>
    <n v="0"/>
    <n v="450"/>
    <n v="30"/>
    <n v="6362018.6816657372"/>
    <n v="0"/>
    <n v="0"/>
    <n v="0"/>
    <n v="9624242.0413885936"/>
    <n v="9343.9243120277606"/>
  </r>
  <r>
    <s v="4.3.3.3"/>
    <x v="2"/>
    <x v="2"/>
    <x v="2"/>
    <x v="11"/>
    <n v="1"/>
    <x v="58"/>
    <x v="58"/>
    <s v="Develop guidelines for decentralising the district health budget "/>
    <s v="Conduct 5 central hospital workshops (6 from each)"/>
    <s v="Fuel for travelling participants"/>
    <n v="211.42857142857142"/>
    <m/>
    <m/>
    <n v="0"/>
    <n v="2430"/>
    <n v="5"/>
    <n v="2936001.0237505711"/>
    <m/>
    <m/>
    <n v="0"/>
    <m/>
    <m/>
    <n v="0"/>
    <m/>
    <m/>
    <n v="0"/>
    <m/>
    <m/>
    <n v="0"/>
    <n v="2430"/>
    <n v="5"/>
    <n v="5725816.8134991629"/>
    <m/>
    <m/>
    <n v="0"/>
    <n v="8661817.8372497335"/>
    <n v="8409.5318808249831"/>
  </r>
  <r>
    <s v="4.3.3.3"/>
    <x v="2"/>
    <x v="2"/>
    <x v="2"/>
    <x v="11"/>
    <n v="1"/>
    <x v="58"/>
    <x v="58"/>
    <s v="Develop guidelines for decentralising the district health budget "/>
    <s v=" national level workshop for cost center specific road map. (25 participants)"/>
    <s v="DSA (excl. lunch)"/>
    <n v="39000"/>
    <m/>
    <m/>
    <n v="0"/>
    <n v="58"/>
    <n v="6"/>
    <n v="15511725.128483998"/>
    <n v="0"/>
    <n v="0"/>
    <n v="0"/>
    <n v="0"/>
    <n v="0"/>
    <n v="0"/>
    <n v="0"/>
    <n v="0"/>
    <n v="0"/>
    <n v="0"/>
    <n v="0"/>
    <n v="0"/>
    <n v="58"/>
    <n v="6"/>
    <n v="30251112.253902487"/>
    <n v="0"/>
    <n v="0"/>
    <n v="0"/>
    <n v="45762837.382386483"/>
    <n v="44429.93920620047"/>
  </r>
  <r>
    <s v="4.3.3.3"/>
    <x v="2"/>
    <x v="2"/>
    <x v="2"/>
    <x v="11"/>
    <n v="1"/>
    <x v="58"/>
    <x v="58"/>
    <s v="Develop guidelines for decentralising the district health budget "/>
    <s v=" national level workshop for cost center specific road map. (25 participants)"/>
    <s v="Conference package high-level"/>
    <n v="35000"/>
    <m/>
    <m/>
    <n v="0"/>
    <n v="100"/>
    <n v="5"/>
    <n v="20001119.197499998"/>
    <n v="0"/>
    <n v="0"/>
    <n v="0"/>
    <n v="0"/>
    <n v="0"/>
    <n v="0"/>
    <n v="0"/>
    <n v="0"/>
    <n v="0"/>
    <n v="0"/>
    <n v="0"/>
    <n v="0"/>
    <n v="100"/>
    <n v="5"/>
    <n v="39006370.795998633"/>
    <n v="0"/>
    <n v="0"/>
    <n v="0"/>
    <n v="59007489.993498631"/>
    <n v="57288.825236406439"/>
  </r>
  <r>
    <s v="4.3.3.3"/>
    <x v="2"/>
    <x v="2"/>
    <x v="2"/>
    <x v="11"/>
    <n v="1"/>
    <x v="58"/>
    <x v="58"/>
    <s v="Develop guidelines for decentralising the district health budget "/>
    <s v=" national level workshop for cost center specific road map. (25 participants)"/>
    <s v="Local running (diesel, per km)"/>
    <n v="211.42857142857142"/>
    <m/>
    <m/>
    <n v="0"/>
    <n v="450"/>
    <n v="5"/>
    <n v="543703.89328714274"/>
    <n v="0"/>
    <n v="0"/>
    <n v="0"/>
    <n v="0"/>
    <n v="0"/>
    <n v="0"/>
    <n v="0"/>
    <n v="0"/>
    <n v="0"/>
    <n v="0"/>
    <n v="0"/>
    <n v="0"/>
    <n v="450"/>
    <n v="5"/>
    <n v="1060336.4469442894"/>
    <n v="0"/>
    <n v="0"/>
    <n v="0"/>
    <n v="1604040.3402314321"/>
    <n v="1557.3207186712932"/>
  </r>
  <r>
    <s v="4.3.3.3"/>
    <x v="2"/>
    <x v="2"/>
    <x v="2"/>
    <x v="11"/>
    <n v="1"/>
    <x v="58"/>
    <x v="58"/>
    <s v="Develop guidelines for decentralising the district health budget "/>
    <s v=" national level workshop for cost center specific road map. (25 participants)"/>
    <s v="Fuel for travelling participants"/>
    <n v="211.42857142857142"/>
    <m/>
    <m/>
    <n v="0"/>
    <n v="2430"/>
    <n v="1"/>
    <n v="587200.20475011424"/>
    <m/>
    <m/>
    <n v="0"/>
    <m/>
    <m/>
    <n v="0"/>
    <m/>
    <m/>
    <n v="0"/>
    <m/>
    <m/>
    <n v="0"/>
    <n v="2430"/>
    <n v="1"/>
    <n v="1145163.3626998325"/>
    <m/>
    <m/>
    <n v="0"/>
    <n v="1732363.5674499469"/>
    <n v="1681.906376164997"/>
  </r>
  <r>
    <s v="4.3.3.3"/>
    <x v="2"/>
    <x v="2"/>
    <x v="2"/>
    <x v="11"/>
    <n v="1"/>
    <x v="58"/>
    <x v="58"/>
    <s v="Develop guidelines for decentralising the district health budget "/>
    <s v=" zonal level workshop to carter for all districts at 6 participants per district"/>
    <s v="DSA (excl. lunch)"/>
    <n v="39000"/>
    <m/>
    <m/>
    <n v="0"/>
    <n v="58"/>
    <n v="6"/>
    <n v="15511725.128483998"/>
    <n v="0"/>
    <n v="0"/>
    <n v="0"/>
    <n v="0"/>
    <n v="0"/>
    <n v="0"/>
    <n v="0"/>
    <n v="0"/>
    <n v="0"/>
    <n v="0"/>
    <n v="0"/>
    <n v="0"/>
    <n v="58"/>
    <n v="6"/>
    <n v="30251112.253902487"/>
    <n v="0"/>
    <n v="0"/>
    <n v="0"/>
    <n v="45762837.382386483"/>
    <n v="44429.93920620047"/>
  </r>
  <r>
    <s v="4.3.3.3"/>
    <x v="2"/>
    <x v="2"/>
    <x v="2"/>
    <x v="11"/>
    <n v="1"/>
    <x v="58"/>
    <x v="58"/>
    <s v="Develop guidelines for decentralising the district health budget "/>
    <s v=" zonal level workshop to carter for all districts at 6 participants per district"/>
    <s v="Conference package high-level"/>
    <n v="35000"/>
    <m/>
    <m/>
    <n v="0"/>
    <n v="100"/>
    <n v="5"/>
    <n v="20001119.197499998"/>
    <n v="0"/>
    <n v="0"/>
    <n v="0"/>
    <n v="0"/>
    <n v="0"/>
    <n v="0"/>
    <n v="0"/>
    <n v="0"/>
    <n v="0"/>
    <n v="0"/>
    <n v="0"/>
    <n v="0"/>
    <n v="100"/>
    <n v="5"/>
    <n v="39006370.795998633"/>
    <n v="0"/>
    <n v="0"/>
    <n v="0"/>
    <n v="59007489.993498631"/>
    <n v="57288.825236406439"/>
  </r>
  <r>
    <s v="4.3.3.3"/>
    <x v="2"/>
    <x v="2"/>
    <x v="2"/>
    <x v="11"/>
    <n v="1"/>
    <x v="58"/>
    <x v="58"/>
    <s v="Develop guidelines for decentralising the district health budget "/>
    <s v="zonal level workshop to carter for all districts at 6 participants per district"/>
    <s v="Local running (diesel, per km)"/>
    <n v="211.42857142857142"/>
    <m/>
    <m/>
    <n v="0"/>
    <n v="1450"/>
    <n v="5"/>
    <n v="1751934.7672585712"/>
    <n v="0"/>
    <n v="0"/>
    <n v="0"/>
    <n v="0"/>
    <n v="0"/>
    <n v="0"/>
    <n v="0"/>
    <n v="0"/>
    <n v="0"/>
    <n v="0"/>
    <n v="0"/>
    <n v="0"/>
    <n v="1450"/>
    <n v="5"/>
    <n v="3416639.6623760439"/>
    <n v="0"/>
    <n v="0"/>
    <n v="0"/>
    <n v="5168574.4296346148"/>
    <n v="5018.0334268297229"/>
  </r>
  <r>
    <s v="4.3.3.3"/>
    <x v="2"/>
    <x v="2"/>
    <x v="2"/>
    <x v="11"/>
    <n v="1"/>
    <x v="58"/>
    <x v="58"/>
    <s v="Develop guidelines for decentralising the district health budget "/>
    <s v=" zonal level workshop to carter for all districts at 6 participants per district"/>
    <s v="Fuel for travelling participants"/>
    <n v="211.42857142857142"/>
    <m/>
    <m/>
    <n v="0"/>
    <n v="22500"/>
    <n v="1"/>
    <n v="5437038.9328714283"/>
    <m/>
    <m/>
    <n v="0"/>
    <m/>
    <m/>
    <n v="0"/>
    <m/>
    <m/>
    <n v="0"/>
    <m/>
    <m/>
    <n v="0"/>
    <n v="22500"/>
    <n v="1"/>
    <n v="10603364.469442895"/>
    <m/>
    <m/>
    <n v="0"/>
    <n v="16040403.402314324"/>
    <n v="15573.207186712936"/>
  </r>
  <r>
    <s v="4.3.3.3"/>
    <x v="2"/>
    <x v="2"/>
    <x v="2"/>
    <x v="11"/>
    <n v="1"/>
    <x v="58"/>
    <x v="58"/>
    <s v="Develop guidelines for decentralising the district health budget "/>
    <s v="Adoption and approval of the deliverables by MoH, ministry of finance and councils"/>
    <s v="Conference package high-level"/>
    <n v="35000"/>
    <m/>
    <m/>
    <n v="0"/>
    <n v="25"/>
    <n v="5"/>
    <n v="5000279.7993749995"/>
    <n v="0"/>
    <n v="0"/>
    <n v="0"/>
    <n v="0"/>
    <n v="0"/>
    <n v="0"/>
    <n v="0"/>
    <n v="0"/>
    <n v="0"/>
    <n v="0"/>
    <n v="0"/>
    <n v="0"/>
    <n v="25"/>
    <n v="5"/>
    <n v="9751592.6989996582"/>
    <n v="0"/>
    <n v="0"/>
    <n v="0"/>
    <n v="14751872.498374658"/>
    <n v="14322.20630910161"/>
  </r>
  <r>
    <s v="4.3.3.3"/>
    <x v="2"/>
    <x v="2"/>
    <x v="2"/>
    <x v="11"/>
    <n v="1"/>
    <x v="58"/>
    <x v="58"/>
    <s v="Develop guidelines for decentralising the district health budget "/>
    <s v="Adoption and approval of the deliverables by MoH, ministry of finance and councils"/>
    <s v="DSA (excl. lunch)"/>
    <n v="39000"/>
    <m/>
    <m/>
    <n v="0"/>
    <n v="25"/>
    <n v="6"/>
    <n v="6686088.4174499996"/>
    <n v="0"/>
    <n v="0"/>
    <n v="0"/>
    <n v="0"/>
    <n v="0"/>
    <n v="0"/>
    <n v="0"/>
    <n v="0"/>
    <n v="0"/>
    <n v="0"/>
    <n v="0"/>
    <n v="0"/>
    <n v="25"/>
    <n v="6"/>
    <n v="13039272.523233831"/>
    <n v="0"/>
    <n v="0"/>
    <n v="0"/>
    <n v="19725360.940683831"/>
    <n v="19150.835864741584"/>
  </r>
  <r>
    <s v="4.3.3.3"/>
    <x v="2"/>
    <x v="2"/>
    <x v="2"/>
    <x v="11"/>
    <n v="1"/>
    <x v="58"/>
    <x v="58"/>
    <s v="Develop guidelines for decentralising the district health budget "/>
    <s v="Adoption and approval of the deliverables by MoH, ministry of finance and councils"/>
    <s v="Local running (diesel, per km)"/>
    <n v="211.42857142857142"/>
    <m/>
    <m/>
    <n v="0"/>
    <n v="450"/>
    <n v="0"/>
    <n v="0"/>
    <n v="0"/>
    <n v="0"/>
    <n v="0"/>
    <n v="0"/>
    <n v="0"/>
    <n v="0"/>
    <n v="0"/>
    <n v="0"/>
    <n v="0"/>
    <n v="0"/>
    <n v="0"/>
    <n v="0"/>
    <n v="450"/>
    <n v="0"/>
    <n v="0"/>
    <n v="0"/>
    <n v="0"/>
    <n v="0"/>
    <n v="0"/>
    <n v="0"/>
  </r>
  <r>
    <s v="4.3.3.3"/>
    <x v="2"/>
    <x v="2"/>
    <x v="2"/>
    <x v="11"/>
    <n v="1"/>
    <x v="58"/>
    <x v="58"/>
    <s v="Develop guidelines for decentralising the district health budget "/>
    <s v="Adoption and approval of the deliverables by MoH, ministry of finance and councils"/>
    <s v="Fuel for travelling participants"/>
    <n v="211.42857142857142"/>
    <m/>
    <m/>
    <n v="0"/>
    <n v="2430"/>
    <m/>
    <n v="0"/>
    <m/>
    <m/>
    <n v="0"/>
    <m/>
    <m/>
    <n v="0"/>
    <m/>
    <m/>
    <n v="0"/>
    <m/>
    <m/>
    <n v="0"/>
    <n v="2430"/>
    <m/>
    <n v="0"/>
    <m/>
    <m/>
    <n v="0"/>
    <n v="0"/>
    <n v="0"/>
  </r>
  <r>
    <s v="4.3.3.3"/>
    <x v="2"/>
    <x v="2"/>
    <x v="2"/>
    <x v="11"/>
    <n v="1"/>
    <x v="58"/>
    <x v="58"/>
    <s v="Implementation of the PFM roadmap"/>
    <s v="Recruit TAs (5 Tas for 5 zones,5TAs Central hospitals,1 National PFM adviser)"/>
    <s v="Technical Assistant"/>
    <n v="42924000"/>
    <m/>
    <m/>
    <n v="0"/>
    <n v="0"/>
    <n v="0"/>
    <n v="0"/>
    <n v="11"/>
    <n v="1"/>
    <n v="616773023.28871727"/>
    <n v="11"/>
    <n v="1"/>
    <n v="704922900.3771472"/>
    <n v="11"/>
    <n v="1"/>
    <n v="805671254.59947073"/>
    <n v="0"/>
    <n v="0"/>
    <n v="0"/>
    <n v="0"/>
    <n v="0"/>
    <n v="0"/>
    <n v="0"/>
    <n v="0"/>
    <n v="0"/>
    <n v="2127367178.2653351"/>
    <n v="2065405.027442073"/>
  </r>
  <r>
    <s v="4.3.3.3"/>
    <x v="2"/>
    <x v="2"/>
    <x v="2"/>
    <x v="11"/>
    <n v="1"/>
    <x v="58"/>
    <x v="58"/>
    <s v="Implementation of the PFM roadmap"/>
    <s v="Conduct quarterly PFM review meetings (5 per district councils and each MoH health centers (part of DIP review meetings"/>
    <s v="zero cost"/>
    <n v="0"/>
    <n v="0"/>
    <n v="0"/>
    <n v="0"/>
    <n v="0"/>
    <n v="0"/>
    <n v="0"/>
    <n v="0"/>
    <n v="0"/>
    <n v="0"/>
    <n v="0"/>
    <n v="0"/>
    <n v="0"/>
    <n v="0"/>
    <n v="0"/>
    <n v="0"/>
    <n v="0"/>
    <n v="0"/>
    <n v="0"/>
    <n v="0"/>
    <n v="0"/>
    <n v="0"/>
    <n v="0"/>
    <n v="0"/>
    <n v="0"/>
    <n v="0"/>
    <n v="0"/>
  </r>
  <r>
    <s v="4.3.3.3"/>
    <x v="2"/>
    <x v="2"/>
    <x v="2"/>
    <x v="11"/>
    <n v="1"/>
    <x v="58"/>
    <x v="58"/>
    <s v="Implementation of the PFM roadmap"/>
    <s v="Conduct quarterly PFM review meetings (5 per district councils and each MoH health centers (part of DIP review meetings"/>
    <s v="zero cost"/>
    <n v="0"/>
    <n v="0"/>
    <n v="0"/>
    <n v="0"/>
    <n v="0"/>
    <n v="0"/>
    <n v="0"/>
    <n v="0"/>
    <n v="0"/>
    <n v="0"/>
    <n v="0"/>
    <n v="0"/>
    <n v="0"/>
    <n v="0"/>
    <n v="0"/>
    <n v="0"/>
    <n v="0"/>
    <n v="0"/>
    <n v="0"/>
    <n v="0"/>
    <n v="0"/>
    <n v="0"/>
    <n v="0"/>
    <n v="0"/>
    <n v="0"/>
    <n v="0"/>
    <n v="0"/>
  </r>
  <r>
    <s v="4.3.3.3"/>
    <x v="2"/>
    <x v="2"/>
    <x v="2"/>
    <x v="11"/>
    <n v="1"/>
    <x v="58"/>
    <x v="58"/>
    <s v="Implementation of the PFM roadmap"/>
    <s v="Conduct quarterly PFM review meetings (5 per district councils and each MoH health centers (part of DIP review meetings"/>
    <s v="zero cost"/>
    <n v="0"/>
    <n v="0"/>
    <n v="0"/>
    <n v="0"/>
    <n v="0"/>
    <n v="0"/>
    <n v="0"/>
    <n v="0"/>
    <n v="0"/>
    <n v="0"/>
    <n v="0"/>
    <n v="0"/>
    <n v="0"/>
    <n v="0"/>
    <n v="0"/>
    <n v="0"/>
    <n v="0"/>
    <n v="0"/>
    <n v="0"/>
    <n v="0"/>
    <n v="0"/>
    <n v="0"/>
    <n v="0"/>
    <n v="0"/>
    <n v="0"/>
    <n v="0"/>
    <n v="0"/>
  </r>
  <r>
    <s v="4.3.3.3"/>
    <x v="2"/>
    <x v="2"/>
    <x v="2"/>
    <x v="11"/>
    <n v="1"/>
    <x v="58"/>
    <x v="58"/>
    <s v="Work with Treasury and NLGFC to update PFM guidelines and budget management tools at district council level to accommodate peripheral health facilities as spending entities"/>
    <s v="Recruit a consultant to work with the long term TAs"/>
    <s v="Newspaper advert (full)"/>
    <n v="391991.03749999998"/>
    <n v="2"/>
    <n v="2"/>
    <n v="1567964.15"/>
    <n v="2"/>
    <n v="2"/>
    <n v="1792059.3063746723"/>
    <n v="0"/>
    <n v="0"/>
    <n v="0"/>
    <n v="0"/>
    <n v="0"/>
    <n v="0"/>
    <n v="0"/>
    <n v="0"/>
    <n v="0"/>
    <n v="0"/>
    <n v="0"/>
    <n v="0"/>
    <n v="2"/>
    <n v="2"/>
    <n v="3494890.915984733"/>
    <n v="0"/>
    <n v="0"/>
    <n v="0"/>
    <n v="6854914.3723594053"/>
    <n v="6655.2566721935973"/>
  </r>
  <r>
    <s v="4.3.3.3"/>
    <x v="2"/>
    <x v="2"/>
    <x v="2"/>
    <x v="11"/>
    <n v="1"/>
    <x v="58"/>
    <x v="58"/>
    <s v="Work with Treasury and NLGFC to update PFM guidelines and budget management tools at district council level to accommodate peripheral health facilities as spending entities"/>
    <s v="Recruit a consultant to work with the long term TAs"/>
    <s v="Local consultant fee - High level"/>
    <n v="511000"/>
    <n v="0"/>
    <n v="0"/>
    <n v="0"/>
    <n v="0"/>
    <n v="0"/>
    <n v="0"/>
    <n v="0"/>
    <n v="0"/>
    <n v="0"/>
    <n v="0"/>
    <n v="0"/>
    <n v="0"/>
    <n v="0"/>
    <n v="0"/>
    <n v="0"/>
    <n v="0"/>
    <n v="0"/>
    <n v="0"/>
    <n v="0"/>
    <n v="0"/>
    <n v="0"/>
    <n v="0"/>
    <n v="0"/>
    <n v="0"/>
    <n v="0"/>
    <n v="0"/>
  </r>
  <r>
    <s v="4.3.3.3"/>
    <x v="2"/>
    <x v="2"/>
    <x v="2"/>
    <x v="11"/>
    <n v="1"/>
    <x v="58"/>
    <x v="58"/>
    <s v="Work with Treasury and NLGFC to update PFM guidelines and budget management tools at district council level to accommodate peripheral health facilities as spending entities"/>
    <s v="Conduct 4 national meetings "/>
    <s v="DSA (excl. lunch)"/>
    <n v="39000"/>
    <n v="25"/>
    <n v="24"/>
    <n v="23400000"/>
    <n v="25"/>
    <n v="24"/>
    <n v="26744353.669799998"/>
    <n v="0"/>
    <n v="0"/>
    <n v="0"/>
    <n v="0"/>
    <n v="0"/>
    <n v="0"/>
    <n v="0"/>
    <n v="0"/>
    <n v="0"/>
    <n v="0"/>
    <n v="0"/>
    <n v="0"/>
    <n v="25"/>
    <n v="24"/>
    <n v="52157090.092935324"/>
    <n v="0"/>
    <n v="0"/>
    <n v="0"/>
    <n v="102301443.76273532"/>
    <n v="99321.790060908083"/>
  </r>
  <r>
    <s v="4.3.3.3"/>
    <x v="2"/>
    <x v="2"/>
    <x v="2"/>
    <x v="11"/>
    <n v="1"/>
    <x v="58"/>
    <x v="58"/>
    <s v="Work with Treasury and NLGFC to update PFM guidelines and budget management tools at district council level to accommodate peripheral health facilities as spending entities"/>
    <s v="Conduct 4 national meetings "/>
    <s v="Conference package high-level"/>
    <n v="35000"/>
    <n v="25"/>
    <n v="20"/>
    <n v="17500000"/>
    <n v="25"/>
    <n v="20"/>
    <n v="20001119.197499998"/>
    <n v="0"/>
    <n v="0"/>
    <n v="0"/>
    <n v="0"/>
    <n v="0"/>
    <n v="0"/>
    <n v="0"/>
    <n v="0"/>
    <n v="0"/>
    <n v="0"/>
    <n v="0"/>
    <n v="0"/>
    <n v="25"/>
    <n v="20"/>
    <n v="39006370.795998633"/>
    <n v="0"/>
    <n v="0"/>
    <n v="0"/>
    <n v="76507489.993498623"/>
    <n v="74279.116498542353"/>
  </r>
  <r>
    <s v="4.3.3.3"/>
    <x v="2"/>
    <x v="2"/>
    <x v="2"/>
    <x v="11"/>
    <n v="1"/>
    <x v="58"/>
    <x v="58"/>
    <s v="Work with Treasury and NLGFC to update PFM guidelines and budget management tools at district council level to accommodate peripheral health facilities as spending entities"/>
    <s v="Conduct 4 national meetings "/>
    <s v="Local running (diesel, per km)"/>
    <n v="211.42857142857142"/>
    <n v="450"/>
    <n v="20"/>
    <n v="1902857.1428571427"/>
    <n v="450"/>
    <n v="20"/>
    <n v="2174815.573148571"/>
    <n v="0"/>
    <n v="0"/>
    <n v="0"/>
    <n v="0"/>
    <n v="0"/>
    <n v="0"/>
    <n v="0"/>
    <n v="0"/>
    <n v="0"/>
    <n v="0"/>
    <n v="0"/>
    <n v="0"/>
    <n v="450"/>
    <n v="20"/>
    <n v="4241345.7877771575"/>
    <n v="0"/>
    <n v="0"/>
    <n v="0"/>
    <n v="8319018.5037828712"/>
    <n v="8076.7169939639525"/>
  </r>
  <r>
    <s v="4.3.3.3"/>
    <x v="2"/>
    <x v="2"/>
    <x v="2"/>
    <x v="11"/>
    <n v="1"/>
    <x v="58"/>
    <x v="58"/>
    <s v="Work with Treasury and NLGFC to update PFM guidelines and budget management tools at district council level to accommodate peripheral health facilities as spending entities"/>
    <s v="Conduct 4 national meetings "/>
    <s v="Fuel for travelling participants"/>
    <n v="211.42857142857142"/>
    <n v="2430"/>
    <n v="4"/>
    <n v="2055085.7142857141"/>
    <n v="2430"/>
    <n v="4"/>
    <n v="2348800.8190004569"/>
    <m/>
    <m/>
    <n v="0"/>
    <m/>
    <m/>
    <n v="0"/>
    <m/>
    <m/>
    <n v="0"/>
    <m/>
    <m/>
    <n v="0"/>
    <n v="2430"/>
    <n v="4"/>
    <n v="4580653.4507993301"/>
    <m/>
    <m/>
    <n v="0"/>
    <n v="8984539.9840855002"/>
    <n v="8722.8543534810688"/>
  </r>
  <r>
    <s v="4.3.3.3"/>
    <x v="2"/>
    <x v="2"/>
    <x v="2"/>
    <x v="11"/>
    <n v="1"/>
    <x v="58"/>
    <x v="58"/>
    <s v="Work with Treasury and NLGFC to update PFM guidelines and budget management tools at district council level to accommodate peripheral health facilities as spending entities"/>
    <s v="1 drafting workshops "/>
    <s v="Conference package high-level"/>
    <n v="35000"/>
    <n v="50"/>
    <n v="1"/>
    <n v="1750000"/>
    <n v="50"/>
    <n v="1"/>
    <n v="2000111.9197499997"/>
    <n v="0"/>
    <n v="0"/>
    <n v="0"/>
    <n v="0"/>
    <n v="0"/>
    <n v="0"/>
    <n v="0"/>
    <n v="0"/>
    <n v="0"/>
    <n v="0"/>
    <n v="0"/>
    <n v="0"/>
    <n v="50"/>
    <n v="1"/>
    <n v="3900637.0795998634"/>
    <n v="0"/>
    <n v="0"/>
    <n v="0"/>
    <n v="7650748.9993498623"/>
    <n v="7427.9116498542353"/>
  </r>
  <r>
    <s v="4.3.3.3"/>
    <x v="2"/>
    <x v="2"/>
    <x v="2"/>
    <x v="11"/>
    <n v="1"/>
    <x v="58"/>
    <x v="58"/>
    <s v="Work with Treasury and NLGFC to update PFM guidelines and budget management tools at district council level to accommodate peripheral health facilities as spending entities"/>
    <s v=" validation meeting "/>
    <s v="Conference package high-level"/>
    <n v="35000"/>
    <n v="58"/>
    <n v="5"/>
    <n v="10150000"/>
    <n v="58"/>
    <n v="5"/>
    <n v="11600649.134549998"/>
    <n v="0"/>
    <n v="0"/>
    <n v="0"/>
    <n v="0"/>
    <n v="0"/>
    <n v="0"/>
    <n v="0"/>
    <n v="0"/>
    <n v="0"/>
    <n v="0"/>
    <n v="0"/>
    <n v="0"/>
    <n v="58"/>
    <n v="5"/>
    <n v="22623695.061679207"/>
    <n v="0"/>
    <n v="0"/>
    <n v="0"/>
    <n v="44374344.196229205"/>
    <n v="43081.887569154569"/>
  </r>
  <r>
    <s v="4.3.3.3"/>
    <x v="2"/>
    <x v="2"/>
    <x v="2"/>
    <x v="11"/>
    <n v="1"/>
    <x v="58"/>
    <x v="58"/>
    <s v="Work with Treasury and NLGFC to update PFM guidelines and budget management tools at district council level to accommodate peripheral health facilities as spending entities"/>
    <s v="Approval by treasury  "/>
    <s v="zero cost"/>
    <n v="0"/>
    <n v="0"/>
    <n v="0"/>
    <n v="0"/>
    <n v="0"/>
    <n v="0"/>
    <n v="0"/>
    <n v="0"/>
    <n v="0"/>
    <n v="0"/>
    <n v="0"/>
    <n v="0"/>
    <n v="0"/>
    <n v="0"/>
    <n v="0"/>
    <n v="0"/>
    <n v="0"/>
    <n v="0"/>
    <n v="0"/>
    <n v="0"/>
    <n v="0"/>
    <n v="0"/>
    <n v="0"/>
    <n v="0"/>
    <n v="0"/>
    <n v="0"/>
    <n v="0"/>
  </r>
  <r>
    <s v="4.3.3.3"/>
    <x v="2"/>
    <x v="2"/>
    <x v="2"/>
    <x v="11"/>
    <n v="1"/>
    <x v="58"/>
    <x v="58"/>
    <s v="Work with Treasury and NLGFC to update PFM guidelines and budget management tools at district council level to accommodate peripheral health facilities as spending entities"/>
    <s v="Dissemination of guidelines "/>
    <s v="DSA (excl. lunch)"/>
    <n v="39000"/>
    <n v="100"/>
    <n v="1"/>
    <n v="3900000"/>
    <n v="100"/>
    <n v="1"/>
    <n v="4457392.2782999994"/>
    <n v="0"/>
    <n v="0"/>
    <n v="0"/>
    <n v="0"/>
    <n v="0"/>
    <n v="0"/>
    <n v="0"/>
    <n v="0"/>
    <n v="0"/>
    <n v="0"/>
    <n v="0"/>
    <n v="0"/>
    <n v="100"/>
    <n v="1"/>
    <n v="8692848.3488225546"/>
    <n v="0"/>
    <n v="0"/>
    <n v="0"/>
    <n v="17050240.627122555"/>
    <n v="16553.631676818015"/>
  </r>
  <r>
    <s v="4.3.3.3"/>
    <x v="2"/>
    <x v="2"/>
    <x v="2"/>
    <x v="11"/>
    <n v="1"/>
    <x v="58"/>
    <x v="58"/>
    <s v="Work with Treasury and NLGFC to update PFM guidelines and budget management tools at district council level to accommodate peripheral health facilities as spending entities"/>
    <s v="Dissemination of guidelines "/>
    <s v="Conference package high-level"/>
    <n v="35000"/>
    <n v="58"/>
    <n v="1"/>
    <n v="2030000"/>
    <n v="58"/>
    <n v="1"/>
    <n v="2320129.8269099994"/>
    <n v="0"/>
    <n v="0"/>
    <n v="0"/>
    <n v="0"/>
    <n v="0"/>
    <n v="0"/>
    <n v="0"/>
    <n v="0"/>
    <n v="0"/>
    <n v="0"/>
    <n v="0"/>
    <n v="0"/>
    <n v="58"/>
    <n v="1"/>
    <n v="4524739.0123358415"/>
    <n v="0"/>
    <n v="0"/>
    <n v="0"/>
    <n v="8874868.8392458409"/>
    <n v="8616.3775138309138"/>
  </r>
  <r>
    <s v="4.3.3.3"/>
    <x v="2"/>
    <x v="2"/>
    <x v="2"/>
    <x v="11"/>
    <n v="1"/>
    <x v="58"/>
    <x v="58"/>
    <s v="Work with Treasury and NLGFC to update PFM guidelines and budget management tools at district council level to accommodate peripheral health facilities as spending entities"/>
    <s v="Dissemination of guidelines "/>
    <s v="Local running (diesel, per km)"/>
    <n v="211.42857142857142"/>
    <n v="1450"/>
    <n v="1"/>
    <n v="306571.42857142858"/>
    <n v="1450"/>
    <n v="1"/>
    <n v="350386.95345171425"/>
    <n v="0"/>
    <n v="0"/>
    <n v="0"/>
    <n v="0"/>
    <n v="0"/>
    <n v="0"/>
    <n v="0"/>
    <n v="0"/>
    <n v="0"/>
    <n v="0"/>
    <n v="0"/>
    <n v="0"/>
    <n v="1450"/>
    <n v="1"/>
    <n v="683327.93247520877"/>
    <n v="0"/>
    <n v="0"/>
    <n v="0"/>
    <n v="1340286.3144983517"/>
    <n v="1301.2488490275259"/>
  </r>
  <r>
    <s v="4.3.3.3"/>
    <x v="2"/>
    <x v="2"/>
    <x v="2"/>
    <x v="11"/>
    <n v="1"/>
    <x v="58"/>
    <x v="58"/>
    <s v="Work with Treasury and NLGFC to update PFM guidelines and budget management tools at district council level to accommodate peripheral health facilities as spending entities"/>
    <s v="Dissemination of guidelines "/>
    <s v="Fuel for travelling participants"/>
    <n v="211.42857142857142"/>
    <n v="22500"/>
    <n v="1"/>
    <n v="4757142.8571428573"/>
    <n v="22500"/>
    <n v="1"/>
    <n v="5437038.9328714283"/>
    <m/>
    <m/>
    <n v="0"/>
    <m/>
    <m/>
    <n v="0"/>
    <m/>
    <m/>
    <n v="0"/>
    <m/>
    <m/>
    <n v="0"/>
    <n v="22500"/>
    <n v="1"/>
    <n v="10603364.469442895"/>
    <m/>
    <m/>
    <n v="0"/>
    <n v="20797546.259457178"/>
    <n v="20191.792484909882"/>
  </r>
  <r>
    <s v="4.3.3.3"/>
    <x v="2"/>
    <x v="2"/>
    <x v="2"/>
    <x v="11"/>
    <n v="1"/>
    <x v="58"/>
    <x v="58"/>
    <s v="Work with Treasury and NLGFC to update PFM guidelines and budget management tools at district council level to accommodate peripheral health facilities as spending entities"/>
    <s v="Dissemination of guidelines "/>
    <s v="A4, 500 page, 140 gsm paper"/>
    <n v="8000"/>
    <m/>
    <m/>
    <n v="0"/>
    <m/>
    <m/>
    <n v="0"/>
    <m/>
    <m/>
    <n v="0"/>
    <m/>
    <m/>
    <n v="0"/>
    <m/>
    <m/>
    <n v="0"/>
    <m/>
    <m/>
    <n v="0"/>
    <m/>
    <m/>
    <n v="0"/>
    <m/>
    <m/>
    <n v="0"/>
    <n v="0"/>
    <n v="0"/>
  </r>
  <r>
    <s v="4.3.3.3"/>
    <x v="2"/>
    <x v="2"/>
    <x v="2"/>
    <x v="11"/>
    <n v="1"/>
    <x v="58"/>
    <x v="58"/>
    <s v="Work with Treasury and NLGFC to update PFM guidelines and budget management tools at district council level to accommodate peripheral health facilities as spending entities"/>
    <s v="Dissemination of guidelines "/>
    <s v="toner"/>
    <n v="104850"/>
    <n v="1"/>
    <n v="1"/>
    <n v="104850"/>
    <m/>
    <m/>
    <n v="0"/>
    <m/>
    <m/>
    <n v="0"/>
    <m/>
    <m/>
    <n v="0"/>
    <m/>
    <m/>
    <n v="0"/>
    <m/>
    <m/>
    <n v="0"/>
    <m/>
    <m/>
    <n v="0"/>
    <m/>
    <m/>
    <n v="0"/>
    <n v="104850"/>
    <n v="101.79611650485437"/>
  </r>
  <r>
    <s v="4.3.3.3"/>
    <x v="2"/>
    <x v="2"/>
    <x v="2"/>
    <x v="11"/>
    <n v="1"/>
    <x v="58"/>
    <x v="58"/>
    <s v="Build PFM capacity for health facility management committees and community oversight structures in line with devolved budget management functions"/>
    <s v="15 (4x4) vehicles for national and zonal level supervision"/>
    <s v="Double Cab Vehicle"/>
    <n v="51100000"/>
    <n v="0"/>
    <n v="0"/>
    <n v="0"/>
    <n v="0"/>
    <n v="0"/>
    <n v="0"/>
    <n v="5"/>
    <n v="1"/>
    <n v="333751635.97874308"/>
    <n v="5"/>
    <n v="1"/>
    <n v="381451785.91836965"/>
    <n v="5"/>
    <n v="1"/>
    <n v="435969293.61443216"/>
    <n v="0"/>
    <n v="0"/>
    <n v="0"/>
    <n v="0"/>
    <n v="0"/>
    <n v="0"/>
    <n v="0"/>
    <n v="0"/>
    <n v="0"/>
    <n v="1151172715.5115449"/>
    <n v="1117643.4131180048"/>
  </r>
  <r>
    <s v="4.3.3.3"/>
    <x v="2"/>
    <x v="2"/>
    <x v="2"/>
    <x v="11"/>
    <n v="1"/>
    <x v="58"/>
    <x v="58"/>
    <s v="Build PFM capacity for health facility management committees and community oversight structures in line with devolved budget management functions"/>
    <s v="29 vehicles for district level supervision"/>
    <s v="Double Cab Vehicle"/>
    <n v="51100000"/>
    <n v="0"/>
    <n v="0"/>
    <n v="0"/>
    <n v="0"/>
    <n v="0"/>
    <n v="0"/>
    <n v="10"/>
    <n v="1"/>
    <n v="667503271.95748615"/>
    <n v="10"/>
    <n v="1"/>
    <n v="762903571.8367393"/>
    <n v="9"/>
    <n v="1"/>
    <n v="784744728.50597787"/>
    <n v="0"/>
    <n v="0"/>
    <n v="0"/>
    <n v="0"/>
    <n v="0"/>
    <n v="0"/>
    <n v="0"/>
    <n v="0"/>
    <n v="0"/>
    <n v="2215151572.3002033"/>
    <n v="2150632.5944662169"/>
  </r>
  <r>
    <s v="4.3.3.3"/>
    <x v="2"/>
    <x v="2"/>
    <x v="2"/>
    <x v="11"/>
    <n v="1"/>
    <x v="58"/>
    <x v="58"/>
    <s v="Build PFM capacity for health facility management committees and community oversight structures in line with devolved budget management functions"/>
    <s v="Computers and software for 900 facilities"/>
    <s v="Desktop computer"/>
    <n v="2000"/>
    <n v="0"/>
    <n v="0"/>
    <n v="0"/>
    <m/>
    <n v="0"/>
    <n v="0"/>
    <n v="300"/>
    <n v="1"/>
    <n v="783761.18038060993"/>
    <n v="300"/>
    <n v="1"/>
    <n v="895777.18806662154"/>
    <n v="300"/>
    <n v="1"/>
    <n v="1023802.6464526783"/>
    <n v="0"/>
    <n v="0"/>
    <n v="0"/>
    <n v="0"/>
    <n v="0"/>
    <n v="0"/>
    <n v="0"/>
    <n v="0"/>
    <n v="0"/>
    <n v="2703341.01489991"/>
    <n v="2624.6029270872914"/>
  </r>
  <r>
    <s v="4.3.3.3"/>
    <x v="2"/>
    <x v="2"/>
    <x v="2"/>
    <x v="11"/>
    <n v="1"/>
    <x v="58"/>
    <x v="58"/>
    <s v="Build PFM capacity for health facility management committees and community oversight structures in line with devolved budget management functions"/>
    <s v="office space, furniture, equipment and supplies at national, zonal and district level"/>
    <s v="zero cost"/>
    <n v="0"/>
    <n v="0"/>
    <n v="0"/>
    <n v="0"/>
    <n v="0"/>
    <n v="0"/>
    <n v="0"/>
    <n v="0"/>
    <n v="0"/>
    <n v="0"/>
    <m/>
    <n v="0"/>
    <n v="0"/>
    <n v="0"/>
    <n v="0"/>
    <n v="0"/>
    <n v="0"/>
    <n v="0"/>
    <n v="0"/>
    <n v="0"/>
    <n v="0"/>
    <n v="0"/>
    <n v="0"/>
    <n v="0"/>
    <n v="0"/>
    <n v="0"/>
    <n v="0"/>
  </r>
  <r>
    <s v="4.3.3.3"/>
    <x v="2"/>
    <x v="2"/>
    <x v="2"/>
    <x v="11"/>
    <n v="1"/>
    <x v="58"/>
    <x v="58"/>
    <s v="develop PFM in health training curriculum "/>
    <s v="Recruitment of a consultant"/>
    <s v="Newspaper advert (full)"/>
    <n v="391991.03749999998"/>
    <n v="2"/>
    <n v="2"/>
    <n v="1567964.15"/>
    <n v="1"/>
    <n v="4"/>
    <n v="1792059.3063746723"/>
    <n v="0"/>
    <n v="0"/>
    <n v="0"/>
    <n v="0"/>
    <n v="0"/>
    <n v="0"/>
    <n v="2"/>
    <n v="2"/>
    <n v="2675476.4105215403"/>
    <n v="0"/>
    <n v="0"/>
    <n v="0"/>
    <n v="0"/>
    <n v="0"/>
    <n v="0"/>
    <n v="0"/>
    <n v="0"/>
    <n v="0"/>
    <n v="6035499.8668962121"/>
    <n v="5859.7086086370991"/>
  </r>
  <r>
    <s v="4.3.3.3"/>
    <x v="2"/>
    <x v="2"/>
    <x v="2"/>
    <x v="11"/>
    <n v="1"/>
    <x v="58"/>
    <x v="58"/>
    <s v="develop PFM in health training curriculum "/>
    <s v="Recruitment of a consultant"/>
    <s v="Local consultant fee - High level"/>
    <n v="511000"/>
    <n v="1"/>
    <n v="25"/>
    <n v="12775000"/>
    <n v="1"/>
    <n v="40"/>
    <n v="23361307.222679999"/>
    <n v="0"/>
    <n v="0"/>
    <n v="0"/>
    <n v="0"/>
    <n v="0"/>
    <n v="0"/>
    <n v="1"/>
    <n v="25"/>
    <n v="21798464.680721607"/>
    <n v="0"/>
    <n v="0"/>
    <n v="0"/>
    <n v="0"/>
    <n v="0"/>
    <n v="0"/>
    <n v="0"/>
    <n v="0"/>
    <n v="0"/>
    <n v="57934771.903401613"/>
    <n v="56247.351362525835"/>
  </r>
  <r>
    <s v="4.3.3.3"/>
    <x v="2"/>
    <x v="2"/>
    <x v="2"/>
    <x v="11"/>
    <n v="1"/>
    <x v="58"/>
    <x v="58"/>
    <s v="develop PFM in health training curriculum "/>
    <s v="Hold training for the long term TAs based on the curriculum "/>
    <s v="Conference package high-level"/>
    <n v="35000"/>
    <n v="25"/>
    <n v="10"/>
    <n v="8750000"/>
    <n v="0"/>
    <n v="0"/>
    <n v="0"/>
    <n v="25"/>
    <n v="10"/>
    <n v="11429850.547217228"/>
    <n v="0"/>
    <n v="0"/>
    <n v="0"/>
    <n v="0"/>
    <n v="0"/>
    <n v="0"/>
    <n v="25"/>
    <n v="10"/>
    <n v="17064332.305346638"/>
    <n v="0"/>
    <n v="0"/>
    <n v="0"/>
    <n v="0"/>
    <n v="0"/>
    <n v="0"/>
    <n v="37244182.852563865"/>
    <n v="36159.400827731908"/>
  </r>
  <r>
    <s v="4.3.3.3"/>
    <x v="2"/>
    <x v="2"/>
    <x v="2"/>
    <x v="11"/>
    <n v="1"/>
    <x v="58"/>
    <x v="58"/>
    <s v="develop PFM in health training curriculum "/>
    <s v="Hold training for the long term TAs based on the curriculum "/>
    <s v="DSA (excl. lunch)"/>
    <n v="39000"/>
    <n v="25"/>
    <n v="12"/>
    <n v="11700000"/>
    <m/>
    <m/>
    <n v="0"/>
    <n v="25"/>
    <n v="12"/>
    <n v="15283343.017421894"/>
    <m/>
    <m/>
    <n v="0"/>
    <m/>
    <m/>
    <n v="0"/>
    <n v="25"/>
    <n v="12"/>
    <n v="22817450.054006364"/>
    <m/>
    <m/>
    <n v="0"/>
    <m/>
    <m/>
    <n v="0"/>
    <n v="49800793.071428254"/>
    <n v="48350.284535367238"/>
  </r>
  <r>
    <s v="4.3.3.3"/>
    <x v="2"/>
    <x v="2"/>
    <x v="2"/>
    <x v="11"/>
    <n v="1"/>
    <x v="58"/>
    <x v="58"/>
    <s v="develop PFM in health training curriculum "/>
    <s v="Hold training for the long term TAs based on the curriculum "/>
    <s v="Local running (diesel, per km)"/>
    <n v="211.42857142857142"/>
    <n v="450"/>
    <n v="10"/>
    <n v="951428.57142857136"/>
    <m/>
    <m/>
    <n v="0"/>
    <n v="450"/>
    <n v="10"/>
    <n v="1242821.3003178244"/>
    <m/>
    <m/>
    <n v="0"/>
    <m/>
    <m/>
    <n v="0"/>
    <n v="450"/>
    <n v="10"/>
    <n v="1855484.9494466712"/>
    <m/>
    <m/>
    <n v="0"/>
    <m/>
    <m/>
    <n v="0"/>
    <n v="4049734.8211930669"/>
    <n v="3931.7813797990939"/>
  </r>
  <r>
    <s v="4.3.3.3"/>
    <x v="2"/>
    <x v="2"/>
    <x v="2"/>
    <x v="11"/>
    <n v="1"/>
    <x v="58"/>
    <x v="58"/>
    <s v="develop PFM in health training curriculum "/>
    <s v="Hold training for the long term TAs based on the curriculum "/>
    <s v="Fuel for travelling participants"/>
    <n v="211.42857142857142"/>
    <n v="2430"/>
    <n v="2"/>
    <n v="1027542.857142857"/>
    <m/>
    <m/>
    <n v="0"/>
    <n v="2430"/>
    <n v="2"/>
    <n v="1342247.0043432503"/>
    <m/>
    <m/>
    <n v="0"/>
    <m/>
    <m/>
    <n v="0"/>
    <n v="2430"/>
    <n v="2"/>
    <n v="2003923.745402405"/>
    <m/>
    <m/>
    <n v="0"/>
    <m/>
    <m/>
    <n v="0"/>
    <n v="4373713.6068885121"/>
    <n v="4246.3238901830218"/>
  </r>
  <r>
    <s v="4.3.3.3"/>
    <x v="2"/>
    <x v="2"/>
    <x v="2"/>
    <x v="11"/>
    <n v="1"/>
    <x v="58"/>
    <x v="58"/>
    <s v="develop PFM in health training curriculum "/>
    <s v="Long term TAs (TOTs) to train 29 PFM analysts for 5 days X 2 session at district level"/>
    <s v="DSA (excl. lunch)"/>
    <n v="39000"/>
    <n v="29"/>
    <n v="6"/>
    <n v="6786000"/>
    <n v="0"/>
    <n v="0"/>
    <n v="0"/>
    <n v="29"/>
    <n v="6"/>
    <n v="8864338.9501046985"/>
    <n v="0"/>
    <n v="0"/>
    <n v="0"/>
    <n v="0"/>
    <n v="0"/>
    <n v="0"/>
    <n v="29"/>
    <n v="6"/>
    <n v="13234121.03132369"/>
    <n v="0"/>
    <n v="0"/>
    <n v="0"/>
    <n v="0"/>
    <n v="0"/>
    <n v="0"/>
    <n v="28884459.981428389"/>
    <n v="28043.165030512999"/>
  </r>
  <r>
    <s v="4.3.3.3"/>
    <x v="2"/>
    <x v="2"/>
    <x v="2"/>
    <x v="11"/>
    <n v="1"/>
    <x v="58"/>
    <x v="58"/>
    <s v="develop PFM in health training curriculum "/>
    <s v="Long term TAs (TOTs) to train 29 PFM analysts for 5 days X 2 session at district level"/>
    <s v="Conference package high-level"/>
    <n v="35000"/>
    <n v="29"/>
    <n v="5"/>
    <n v="5075000"/>
    <n v="0"/>
    <n v="0"/>
    <n v="0"/>
    <n v="29"/>
    <n v="5"/>
    <n v="6629313.317385992"/>
    <n v="0"/>
    <n v="0"/>
    <n v="0"/>
    <n v="0"/>
    <n v="0"/>
    <n v="0"/>
    <n v="29"/>
    <n v="5"/>
    <n v="9897312.7371010501"/>
    <n v="0"/>
    <n v="0"/>
    <n v="0"/>
    <n v="0"/>
    <n v="0"/>
    <n v="0"/>
    <n v="21601626.054487042"/>
    <n v="20972.452480084507"/>
  </r>
  <r>
    <s v="4.3.3.3"/>
    <x v="2"/>
    <x v="2"/>
    <x v="2"/>
    <x v="11"/>
    <n v="1"/>
    <x v="58"/>
    <x v="58"/>
    <s v="develop PFM in health training curriculum "/>
    <s v="Long term TAs (TOTs) to train 29 PFM analysts for 5 days X 2 session at district level"/>
    <s v="Local running (diesel, per km)"/>
    <n v="211.42857142857142"/>
    <n v="500"/>
    <n v="5"/>
    <n v="528571.42857142852"/>
    <n v="0"/>
    <n v="0"/>
    <n v="0"/>
    <n v="500"/>
    <n v="5"/>
    <n v="690456.27795434685"/>
    <n v="0"/>
    <n v="0"/>
    <n v="0"/>
    <n v="0"/>
    <n v="0"/>
    <n v="0"/>
    <n v="500"/>
    <n v="5"/>
    <n v="1030824.9719148173"/>
    <n v="0"/>
    <n v="0"/>
    <n v="0"/>
    <n v="0"/>
    <n v="0"/>
    <n v="0"/>
    <n v="2249852.6784405927"/>
    <n v="2184.3229887772745"/>
  </r>
  <r>
    <s v="4.3.3.3"/>
    <x v="2"/>
    <x v="2"/>
    <x v="2"/>
    <x v="11"/>
    <n v="1"/>
    <x v="58"/>
    <x v="58"/>
    <s v="develop PFM in health training curriculum "/>
    <s v="Long term TAs (TOTs) to train 29 PFM analysts for 5 days X 2 session at district level"/>
    <s v="Fuel for travelling participants"/>
    <n v="211.42857142857142"/>
    <n v="2700"/>
    <n v="1"/>
    <n v="570857.14285714284"/>
    <m/>
    <m/>
    <n v="0"/>
    <n v="2700"/>
    <n v="1"/>
    <n v="745692.78019069461"/>
    <m/>
    <m/>
    <n v="0"/>
    <m/>
    <m/>
    <n v="0"/>
    <n v="2700"/>
    <n v="1"/>
    <n v="1113290.9696680028"/>
    <m/>
    <m/>
    <n v="0"/>
    <m/>
    <m/>
    <n v="0"/>
    <n v="2429840.8927158401"/>
    <n v="2359.0688278794564"/>
  </r>
  <r>
    <s v="4.3.3.3"/>
    <x v="2"/>
    <x v="2"/>
    <x v="2"/>
    <x v="11"/>
    <n v="1"/>
    <x v="58"/>
    <x v="58"/>
    <s v="develop PFM in health training curriculum "/>
    <s v="PFM analysts to train health service providers at facility level"/>
    <s v="Conference package high-level"/>
    <n v="35000"/>
    <n v="4500"/>
    <n v="5"/>
    <n v="787500000"/>
    <n v="4500"/>
    <n v="5"/>
    <n v="900050363.88749981"/>
    <n v="4500"/>
    <n v="5"/>
    <n v="1028686549.2495503"/>
    <n v="4500"/>
    <n v="5"/>
    <n v="1175707559.3374407"/>
    <n v="4500"/>
    <n v="5"/>
    <n v="1343740973.4691403"/>
    <n v="4500"/>
    <n v="5"/>
    <n v="1535789907.4811974"/>
    <n v="4500"/>
    <n v="5"/>
    <n v="1755286685.8199384"/>
    <n v="4500"/>
    <n v="5"/>
    <n v="2006154184.5068188"/>
    <n v="10532916223.751587"/>
    <n v="10226132.256069502"/>
  </r>
  <r>
    <s v="4.3.3.3"/>
    <x v="2"/>
    <x v="2"/>
    <x v="2"/>
    <x v="11"/>
    <n v="1"/>
    <x v="58"/>
    <x v="58"/>
    <s v="develop PFM in health training curriculum "/>
    <s v="PFM analysts to train health service providers at facility level"/>
    <s v="DSA (excl. lunch)"/>
    <n v="39000"/>
    <n v="4500"/>
    <n v="6"/>
    <n v="1053000000"/>
    <n v="4500"/>
    <n v="6"/>
    <n v="1203495915.1409998"/>
    <n v="4500"/>
    <n v="6"/>
    <n v="1375500871.5679703"/>
    <n v="4500"/>
    <n v="6"/>
    <n v="1572088965.0569208"/>
    <n v="4500"/>
    <n v="6"/>
    <n v="1796773644.5244505"/>
    <n v="4500"/>
    <n v="6"/>
    <n v="2053570504.8605726"/>
    <n v="4500"/>
    <n v="6"/>
    <n v="2347069054.1820898"/>
    <n v="4500"/>
    <n v="6"/>
    <n v="2682514738.1405458"/>
    <n v="14084013693.473549"/>
    <n v="13673799.702401504"/>
  </r>
  <r>
    <s v="4.3.3.3"/>
    <x v="2"/>
    <x v="2"/>
    <x v="2"/>
    <x v="11"/>
    <n v="1"/>
    <x v="58"/>
    <x v="58"/>
    <s v="develop PFM in health training curriculum "/>
    <s v="PFM analysts to train health service providers at facility level"/>
    <s v="Local running (diesel, per km)"/>
    <n v="211.42857142857142"/>
    <n v="22500"/>
    <n v="5"/>
    <n v="23785714.285714287"/>
    <n v="22500"/>
    <n v="5"/>
    <n v="27185194.664357141"/>
    <n v="22500"/>
    <n v="5"/>
    <n v="31070532.507945605"/>
    <n v="22500"/>
    <n v="5"/>
    <n v="35511167.098355353"/>
    <n v="22500"/>
    <n v="5"/>
    <n v="40586462.055802599"/>
    <n v="22500"/>
    <n v="5"/>
    <n v="46387123.736166775"/>
    <n v="22500"/>
    <n v="5"/>
    <n v="53016822.347214475"/>
    <n v="22500"/>
    <n v="5"/>
    <n v="60594044.756532468"/>
    <n v="318137061.45208871"/>
    <n v="308870.9334486298"/>
  </r>
  <r>
    <s v="4.3.3.3"/>
    <x v="2"/>
    <x v="2"/>
    <x v="2"/>
    <x v="11"/>
    <n v="1"/>
    <x v="58"/>
    <x v="58"/>
    <s v="develop PFM in health training curriculum "/>
    <s v="PFM analysts to train health service providers at facility level"/>
    <s v="Fuel for travelling participants"/>
    <n v="211.42857142857142"/>
    <n v="90000"/>
    <n v="1"/>
    <n v="19028571.428571429"/>
    <n v="90000"/>
    <n v="1"/>
    <n v="21748155.731485713"/>
    <n v="90000"/>
    <n v="1"/>
    <n v="24856426.006356485"/>
    <n v="90000"/>
    <n v="1"/>
    <n v="28408933.678684279"/>
    <n v="90000"/>
    <n v="1"/>
    <n v="32469169.644642077"/>
    <n v="90000"/>
    <n v="1"/>
    <n v="37109698.988933422"/>
    <n v="90000"/>
    <n v="1"/>
    <n v="42413457.877771579"/>
    <n v="90000"/>
    <n v="1"/>
    <n v="48475235.805225976"/>
    <n v="254509649.16167095"/>
    <n v="247096.74675890384"/>
  </r>
  <r>
    <s v="4.3.3.3"/>
    <x v="2"/>
    <x v="2"/>
    <x v="2"/>
    <x v="11"/>
    <n v="1"/>
    <x v="58"/>
    <x v="58"/>
    <s v="develop PFM in health training curriculum "/>
    <s v="curriculum review meeting per year X 8 years"/>
    <s v="DSA (excl. lunch)"/>
    <n v="39000"/>
    <n v="25"/>
    <n v="6"/>
    <n v="5850000"/>
    <n v="25"/>
    <n v="6"/>
    <n v="6686088.4174499996"/>
    <n v="25"/>
    <n v="6"/>
    <n v="7641671.5087109469"/>
    <n v="25"/>
    <n v="6"/>
    <n v="8733827.5836495608"/>
    <n v="25"/>
    <n v="6"/>
    <n v="9982075.8029136136"/>
    <n v="25"/>
    <n v="6"/>
    <n v="11408725.027003182"/>
    <n v="25"/>
    <n v="6"/>
    <n v="13039272.523233831"/>
    <n v="25"/>
    <n v="6"/>
    <n v="14902859.656336365"/>
    <n v="78244520.519297495"/>
    <n v="75965.553902230575"/>
  </r>
  <r>
    <s v="4.3.3.3"/>
    <x v="2"/>
    <x v="2"/>
    <x v="2"/>
    <x v="11"/>
    <n v="1"/>
    <x v="58"/>
    <x v="58"/>
    <s v="develop PFM in health training curriculum "/>
    <s v="curriculum review meeting per year X 8 years"/>
    <s v="Conference package high-level"/>
    <n v="35000"/>
    <n v="25"/>
    <n v="5"/>
    <n v="4375000"/>
    <n v="25"/>
    <n v="5"/>
    <n v="5000279.7993749995"/>
    <n v="25"/>
    <n v="5"/>
    <n v="5714925.2736086138"/>
    <n v="25"/>
    <n v="5"/>
    <n v="6531708.6629857821"/>
    <n v="25"/>
    <n v="5"/>
    <n v="7465227.6303841127"/>
    <n v="25"/>
    <n v="5"/>
    <n v="8532166.152673319"/>
    <n v="25"/>
    <n v="5"/>
    <n v="9751592.6989996582"/>
    <n v="25"/>
    <n v="5"/>
    <n v="11145301.025037881"/>
    <n v="58516201.243064374"/>
    <n v="56811.845867052791"/>
  </r>
  <r>
    <s v="4.3.3.3"/>
    <x v="2"/>
    <x v="2"/>
    <x v="2"/>
    <x v="11"/>
    <n v="1"/>
    <x v="58"/>
    <x v="58"/>
    <s v="develop PFM in health training curriculum "/>
    <s v="curriculum review meeting per year X 8 years"/>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3.3"/>
    <x v="2"/>
    <x v="2"/>
    <x v="2"/>
    <x v="11"/>
    <n v="1"/>
    <x v="58"/>
    <x v="58"/>
    <s v="develop PFM in health training curriculum "/>
    <s v="curriculum review meeting per year X 8 years"/>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3.3"/>
    <x v="2"/>
    <x v="2"/>
    <x v="2"/>
    <x v="11"/>
    <n v="1"/>
    <x v="58"/>
    <x v="58"/>
    <s v="develop PFM in health training curriculum "/>
    <s v="1 contract (development mid-term review and final evaluation) with level specific training curriculum"/>
    <s v="Local consultant fee - High level"/>
    <n v="511000"/>
    <m/>
    <m/>
    <n v="0"/>
    <n v="0"/>
    <n v="0"/>
    <n v="0"/>
    <n v="0"/>
    <n v="0"/>
    <n v="0"/>
    <n v="0"/>
    <n v="0"/>
    <n v="0"/>
    <n v="1"/>
    <n v="25"/>
    <n v="21798464.680721607"/>
    <n v="0"/>
    <n v="0"/>
    <n v="0"/>
    <n v="0"/>
    <n v="0"/>
    <n v="0"/>
    <n v="1"/>
    <n v="25"/>
    <n v="32544278.993110616"/>
    <n v="54342743.673832223"/>
    <n v="52759.945314400218"/>
  </r>
  <r>
    <s v="4.3.3.3"/>
    <x v="2"/>
    <x v="2"/>
    <x v="2"/>
    <x v="11"/>
    <n v="1"/>
    <x v="58"/>
    <x v="58"/>
    <s v="Introduce and sustain health facility grants (Deliverable: monthly allocations and disbursement facilities)"/>
    <s v="Recruitment of 2 resource mobilization/grant specialist and advocacy "/>
    <s v="Newspaper advert (full)"/>
    <n v="391991.03749999998"/>
    <n v="2"/>
    <n v="2"/>
    <n v="1567964.15"/>
    <n v="0"/>
    <n v="0"/>
    <n v="0"/>
    <n v="0"/>
    <n v="0"/>
    <n v="0"/>
    <n v="0"/>
    <n v="0"/>
    <n v="0"/>
    <n v="0"/>
    <n v="0"/>
    <n v="0"/>
    <n v="0"/>
    <n v="0"/>
    <n v="0"/>
    <n v="0"/>
    <n v="0"/>
    <n v="0"/>
    <n v="0"/>
    <n v="0"/>
    <n v="0"/>
    <n v="1567964.15"/>
    <n v="1522.2952912621358"/>
  </r>
  <r>
    <s v="4.3.3.3"/>
    <x v="2"/>
    <x v="2"/>
    <x v="2"/>
    <x v="11"/>
    <n v="1"/>
    <x v="58"/>
    <x v="58"/>
    <s v="Introduce and sustain health facility grants (Deliverable: monthly allocations and disbursement facilities)"/>
    <s v="Recruitment of 2 resource mobilization/grant specialist and advocacy "/>
    <s v="Technical Assistant"/>
    <n v="42924000"/>
    <m/>
    <m/>
    <n v="0"/>
    <n v="2"/>
    <n v="1"/>
    <n v="98117490.335255995"/>
    <n v="2"/>
    <n v="1"/>
    <n v="112140549.68885767"/>
    <n v="2"/>
    <n v="1"/>
    <n v="128167800.06857221"/>
    <n v="2"/>
    <n v="1"/>
    <n v="146485682.65444922"/>
    <n v="0"/>
    <n v="0"/>
    <n v="0"/>
    <n v="0"/>
    <n v="0"/>
    <n v="0"/>
    <n v="0"/>
    <n v="0"/>
    <n v="0"/>
    <n v="484911522.7471351"/>
    <n v="470787.88616226707"/>
  </r>
  <r>
    <s v="4.3.3.3"/>
    <x v="2"/>
    <x v="2"/>
    <x v="2"/>
    <x v="11"/>
    <n v="1"/>
    <x v="58"/>
    <x v="58"/>
    <s v="Introduce and sustain health facility grants (Deliverable: monthly allocations and disbursement facilities)"/>
    <s v="Recruitment of 1 contract for fund manager"/>
    <s v="Technical Assistant"/>
    <n v="49056000"/>
    <m/>
    <m/>
    <n v="0"/>
    <n v="2"/>
    <n v="1"/>
    <n v="112134274.66886398"/>
    <n v="2"/>
    <n v="1"/>
    <n v="128160628.21583733"/>
    <n v="2"/>
    <n v="1"/>
    <n v="146477485.79265395"/>
    <n v="2"/>
    <n v="1"/>
    <n v="167412208.74794194"/>
    <n v="0"/>
    <n v="0"/>
    <n v="0"/>
    <n v="0"/>
    <n v="0"/>
    <n v="0"/>
    <n v="0"/>
    <n v="0"/>
    <n v="0"/>
    <n v="554184597.42529726"/>
    <n v="538043.29847116244"/>
  </r>
  <r>
    <s v="4.3.3.3"/>
    <x v="2"/>
    <x v="2"/>
    <x v="2"/>
    <x v="11"/>
    <n v="1"/>
    <x v="58"/>
    <x v="58"/>
    <s v="Introduce and sustain health facility grants (Deliverable: monthly allocations and disbursement facilities)"/>
    <s v="Opening of bank account, contracts for mobile money banking"/>
    <s v="Opening bank account"/>
    <n v="10000"/>
    <m/>
    <m/>
    <n v="0"/>
    <n v="900"/>
    <n v="1"/>
    <n v="10286289.872999998"/>
    <n v="200"/>
    <n v="1"/>
    <n v="2612537.2679353668"/>
    <n v="200"/>
    <n v="1"/>
    <n v="2985923.960222072"/>
    <m/>
    <m/>
    <n v="0"/>
    <n v="0"/>
    <n v="0"/>
    <n v="0"/>
    <n v="0"/>
    <n v="0"/>
    <n v="0"/>
    <n v="0"/>
    <n v="0"/>
    <n v="0"/>
    <n v="15884751.101157438"/>
    <n v="15422.088447725668"/>
  </r>
  <r>
    <s v="4.3.3.3"/>
    <x v="2"/>
    <x v="2"/>
    <x v="2"/>
    <x v="11"/>
    <n v="1"/>
    <x v="58"/>
    <x v="58"/>
    <s v="Introduce and sustain health facility grants (Deliverable: monthly allocations and disbursement facilities)"/>
    <s v="1 contract for verifier (firm), "/>
    <s v="Verification for health facility grants"/>
    <n v="420000000"/>
    <m/>
    <m/>
    <n v="0"/>
    <n v="1"/>
    <n v="1"/>
    <n v="480026860.73999995"/>
    <n v="1"/>
    <n v="1"/>
    <n v="548632826.26642692"/>
    <n v="1"/>
    <n v="1"/>
    <n v="627044031.64663506"/>
    <n v="1"/>
    <n v="1"/>
    <n v="716661852.51687479"/>
    <n v="1"/>
    <n v="1"/>
    <n v="819087950.65663862"/>
    <n v="1"/>
    <n v="1"/>
    <n v="936152899.10396731"/>
    <n v="1"/>
    <n v="1"/>
    <n v="1069948898.4036366"/>
    <n v="5197555319.3341789"/>
    <n v="5046170.2129458049"/>
  </r>
  <r>
    <s v="4.3.3.3"/>
    <x v="2"/>
    <x v="2"/>
    <x v="2"/>
    <x v="11"/>
    <n v="1"/>
    <x v="58"/>
    <x v="58"/>
    <s v="Introduce and sustain health facility grants (Deliverable: monthly allocations and disbursement facilities)"/>
    <s v="Orientation visit, 5 days for 29 district, 5 national level staff going for a district, 1000 staff for all the districts."/>
    <s v="communication for health facility grants"/>
    <n v="105000000"/>
    <m/>
    <m/>
    <n v="0"/>
    <n v="1"/>
    <n v="1"/>
    <n v="120006715.18499999"/>
    <n v="1"/>
    <n v="1"/>
    <n v="137158206.56660673"/>
    <n v="1"/>
    <n v="1"/>
    <n v="156761007.91165876"/>
    <n v="1"/>
    <n v="1"/>
    <n v="179165463.1292187"/>
    <n v="1"/>
    <n v="1"/>
    <n v="204771987.66415966"/>
    <n v="1"/>
    <n v="1"/>
    <n v="234038224.77599183"/>
    <n v="1"/>
    <n v="1"/>
    <n v="267487224.60090914"/>
    <n v="1299388829.8335447"/>
    <n v="1261542.5532364512"/>
  </r>
  <r>
    <s v="4.3.3.3"/>
    <x v="2"/>
    <x v="2"/>
    <x v="2"/>
    <x v="11"/>
    <n v="1"/>
    <x v="58"/>
    <x v="58"/>
    <s v="Introduce and sustain health facility grants (Deliverable: monthly allocations and disbursement facilities)"/>
    <s v="Orientation visit, 5 days for 28 district, 5 national level staff going for a district, 1000 staff for all the districts."/>
    <s v="Conference package high-level"/>
    <n v="35000"/>
    <n v="1000"/>
    <n v="6"/>
    <n v="210000000"/>
    <n v="0"/>
    <n v="0"/>
    <n v="0"/>
    <n v="0"/>
    <n v="0"/>
    <n v="0"/>
    <n v="0"/>
    <n v="0"/>
    <n v="0"/>
    <n v="0"/>
    <n v="0"/>
    <n v="0"/>
    <n v="0"/>
    <n v="0"/>
    <n v="0"/>
    <n v="0"/>
    <n v="0"/>
    <n v="0"/>
    <n v="0"/>
    <n v="0"/>
    <n v="0"/>
    <n v="210000000"/>
    <n v="203883.49514563108"/>
  </r>
  <r>
    <s v="4.3.3.3"/>
    <x v="2"/>
    <x v="2"/>
    <x v="2"/>
    <x v="11"/>
    <n v="1"/>
    <x v="58"/>
    <x v="58"/>
    <s v="Introduce and sustain health facility grants (Deliverable: monthly allocations and disbursement facilities)"/>
    <s v="Orientation visit, 5 days for 28 district, 5 national level staff going for a district, 1000 staff for all the districts."/>
    <s v="Local running (diesel, per km)"/>
    <n v="211.42857142857142"/>
    <n v="22500"/>
    <n v="5"/>
    <n v="23785714.285714287"/>
    <n v="0"/>
    <n v="0"/>
    <n v="0"/>
    <n v="0"/>
    <n v="0"/>
    <n v="0"/>
    <n v="0"/>
    <n v="0"/>
    <n v="0"/>
    <n v="0"/>
    <n v="0"/>
    <n v="0"/>
    <n v="0"/>
    <n v="0"/>
    <n v="0"/>
    <n v="0"/>
    <n v="0"/>
    <n v="0"/>
    <n v="0"/>
    <n v="0"/>
    <n v="0"/>
    <n v="23785714.285714287"/>
    <n v="23092.926490984744"/>
  </r>
  <r>
    <s v="4.3.3.3"/>
    <x v="2"/>
    <x v="2"/>
    <x v="2"/>
    <x v="11"/>
    <n v="1"/>
    <x v="58"/>
    <x v="58"/>
    <s v="Introduce and sustain health facility grants (Deliverable: monthly allocations and disbursement facilities)"/>
    <s v="Orientation visit, 5 days for 28 district, 5 national level staff going for a district, 1000 staff for all the districts."/>
    <s v="DSA (excl. lunch)"/>
    <n v="39000"/>
    <n v="1000"/>
    <n v="6"/>
    <n v="234000000"/>
    <m/>
    <m/>
    <n v="0"/>
    <m/>
    <m/>
    <n v="0"/>
    <m/>
    <m/>
    <n v="0"/>
    <m/>
    <m/>
    <n v="0"/>
    <m/>
    <m/>
    <n v="0"/>
    <m/>
    <m/>
    <n v="0"/>
    <m/>
    <m/>
    <n v="0"/>
    <n v="234000000"/>
    <n v="227184.46601941748"/>
  </r>
  <r>
    <s v="4.3.3.3"/>
    <x v="2"/>
    <x v="2"/>
    <x v="2"/>
    <x v="11"/>
    <n v="1"/>
    <x v="58"/>
    <x v="58"/>
    <s v="Introduce and sustain health facility grants (Deliverable: monthly allocations and disbursement facilities)"/>
    <s v="Orientation visit, 5 days for 28 district, 5 national level staff going for a district, 1000 staff for all the districts."/>
    <s v="Fuel for travelling participants"/>
    <n v="211.42857142857142"/>
    <n v="99000"/>
    <n v="1"/>
    <n v="20931428.571428571"/>
    <m/>
    <m/>
    <n v="0"/>
    <m/>
    <m/>
    <n v="0"/>
    <m/>
    <m/>
    <n v="0"/>
    <m/>
    <m/>
    <n v="0"/>
    <m/>
    <m/>
    <n v="0"/>
    <m/>
    <m/>
    <n v="0"/>
    <m/>
    <m/>
    <n v="0"/>
    <n v="20931428.571428571"/>
    <n v="20321.775312066573"/>
  </r>
  <r>
    <s v="4.3.3.3"/>
    <x v="2"/>
    <x v="2"/>
    <x v="2"/>
    <x v="11"/>
    <n v="1"/>
    <x v="58"/>
    <x v="58"/>
    <s v="Introduce and sustain health facility grants (Deliverable: monthly allocations and disbursement facilities)"/>
    <s v="Quarterly steering committee meeting for a quarter for 30 participants 4 times a year, 3 days each meeting."/>
    <s v="DSA (excl. lunch)"/>
    <n v="39000"/>
    <n v="30"/>
    <n v="12"/>
    <n v="14040000"/>
    <n v="30"/>
    <n v="12"/>
    <n v="16046612.201879997"/>
    <n v="30"/>
    <n v="12"/>
    <n v="18340011.620906271"/>
    <n v="30"/>
    <n v="12"/>
    <n v="20961186.200758941"/>
    <n v="30"/>
    <n v="12"/>
    <n v="23956981.92699267"/>
    <n v="30"/>
    <n v="12"/>
    <n v="27380940.064807635"/>
    <n v="30"/>
    <n v="12"/>
    <n v="31294254.055761192"/>
    <n v="30"/>
    <n v="12"/>
    <n v="35766863.17520728"/>
    <n v="187786849.24631399"/>
    <n v="182317.32936535339"/>
  </r>
  <r>
    <s v="4.3.3.3"/>
    <x v="2"/>
    <x v="2"/>
    <x v="2"/>
    <x v="11"/>
    <n v="1"/>
    <x v="58"/>
    <x v="58"/>
    <s v="Introduce and sustain health facility grants (Deliverable: monthly allocations and disbursement facilities)"/>
    <s v="Quarterly steering committee meeting for a quarter for 30 participants 4 times a year, 3 days each meeting."/>
    <s v="Conference package high-level"/>
    <n v="35000"/>
    <n v="30"/>
    <n v="12"/>
    <n v="12600000"/>
    <n v="30"/>
    <n v="12"/>
    <n v="14400805.822199997"/>
    <n v="30"/>
    <n v="12"/>
    <n v="16458984.787992805"/>
    <n v="30"/>
    <n v="12"/>
    <n v="18811320.949399054"/>
    <n v="30"/>
    <n v="12"/>
    <n v="21499855.575506248"/>
    <n v="30"/>
    <n v="12"/>
    <n v="24572638.519699156"/>
    <n v="30"/>
    <n v="12"/>
    <n v="28084586.97311902"/>
    <n v="30"/>
    <n v="12"/>
    <n v="32098466.952109098"/>
    <n v="168526659.58002537"/>
    <n v="163618.11609711201"/>
  </r>
  <r>
    <s v="4.3.3.3"/>
    <x v="2"/>
    <x v="2"/>
    <x v="2"/>
    <x v="11"/>
    <n v="1"/>
    <x v="58"/>
    <x v="58"/>
    <s v="Introduce and sustain health facility grants (Deliverable: monthly allocations and disbursement facilities)"/>
    <s v="Quarterly steering committee meeting for a quarter for 30 participants 4 times a year, 3 days each meeting."/>
    <s v="Local running (diesel, per km)"/>
    <n v="211.42857142857142"/>
    <n v="500"/>
    <n v="12"/>
    <n v="1268571.4285714286"/>
    <n v="500"/>
    <n v="12"/>
    <n v="1449877.048765714"/>
    <n v="500"/>
    <n v="12"/>
    <n v="1657095.0670904326"/>
    <n v="500"/>
    <n v="12"/>
    <n v="1893928.9119122853"/>
    <n v="500"/>
    <n v="12"/>
    <n v="2164611.3096428053"/>
    <n v="500"/>
    <n v="12"/>
    <n v="2473979.9325955613"/>
    <n v="500"/>
    <n v="12"/>
    <n v="2827563.858518105"/>
    <n v="500"/>
    <n v="12"/>
    <n v="3231682.3870150652"/>
    <n v="16967309.944111399"/>
    <n v="16473.116450593592"/>
  </r>
  <r>
    <s v="4.3.3.3"/>
    <x v="2"/>
    <x v="2"/>
    <x v="2"/>
    <x v="11"/>
    <n v="1"/>
    <x v="58"/>
    <x v="58"/>
    <s v="Introduce and sustain health facility grants (Deliverable: monthly allocations and disbursement facilities)"/>
    <s v="Quarterly steering committee meeting for a quarter for 30 participants 4 times a year, 3 days each meeting."/>
    <s v="Fuel for travelling participants"/>
    <n v="211.42857142857142"/>
    <n v="2700"/>
    <n v="4"/>
    <n v="2283428.5714285714"/>
    <n v="2700"/>
    <n v="4"/>
    <n v="2609778.6877782852"/>
    <n v="2700"/>
    <n v="4"/>
    <n v="2982771.1207627784"/>
    <n v="2700"/>
    <n v="4"/>
    <n v="3409072.0414421135"/>
    <n v="2700"/>
    <n v="4"/>
    <n v="3896300.3573570494"/>
    <n v="2700"/>
    <n v="4"/>
    <n v="4453163.8786720112"/>
    <n v="2700"/>
    <n v="4"/>
    <n v="5089614.9453325896"/>
    <n v="2700"/>
    <n v="4"/>
    <n v="5817028.2966271173"/>
    <n v="30541157.899400517"/>
    <n v="29651.609611068463"/>
  </r>
  <r>
    <s v="4.3.3.3"/>
    <x v="2"/>
    <x v="2"/>
    <x v="2"/>
    <x v="11"/>
    <n v="1"/>
    <x v="58"/>
    <x v="58"/>
    <s v="Introduce and sustain health facility grants (Deliverable: monthly allocations and disbursement facilities)"/>
    <s v="Quarterly supervision and audit visits "/>
    <s v="Full DSA"/>
    <n v="45000"/>
    <n v="58"/>
    <n v="24"/>
    <n v="62640000"/>
    <n v="58"/>
    <n v="24"/>
    <n v="71592577.516079992"/>
    <n v="58"/>
    <n v="24"/>
    <n v="81824667.231735677"/>
    <n v="58"/>
    <n v="24"/>
    <n v="93519138.434155285"/>
    <n v="58"/>
    <n v="24"/>
    <n v="106884996.28965959"/>
    <n v="58"/>
    <n v="24"/>
    <n v="122161117.21221867"/>
    <n v="58"/>
    <n v="24"/>
    <n v="139620518.09493458"/>
    <n v="58"/>
    <n v="24"/>
    <n v="159575235.70477092"/>
    <n v="837818250.48355472"/>
    <n v="813415.77716849977"/>
  </r>
  <r>
    <s v="4.3.3.3"/>
    <x v="2"/>
    <x v="2"/>
    <x v="2"/>
    <x v="11"/>
    <n v="1"/>
    <x v="58"/>
    <x v="58"/>
    <s v="Introduce and sustain health facility grants (Deliverable: monthly allocations and disbursement facilities)"/>
    <s v="Quarterly supervision and audit visits "/>
    <s v="Local running (diesel, per km)"/>
    <n v="211.42857142857142"/>
    <n v="22500"/>
    <n v="20"/>
    <n v="95142857.142857149"/>
    <n v="22500"/>
    <n v="20"/>
    <n v="108740778.65742856"/>
    <n v="22500"/>
    <n v="20"/>
    <n v="124282130.03178242"/>
    <n v="22500"/>
    <n v="20"/>
    <n v="142044668.39342141"/>
    <n v="22500"/>
    <n v="20"/>
    <n v="162345848.22321039"/>
    <n v="22500"/>
    <n v="20"/>
    <n v="185548494.9446671"/>
    <n v="22500"/>
    <n v="20"/>
    <n v="212067289.3888579"/>
    <n v="22500"/>
    <n v="20"/>
    <n v="242376179.02612987"/>
    <n v="1272548245.8083549"/>
    <n v="1235483.7337945192"/>
  </r>
  <r>
    <s v="4.3.3.3"/>
    <x v="2"/>
    <x v="2"/>
    <x v="2"/>
    <x v="11"/>
    <n v="1"/>
    <x v="58"/>
    <x v="58"/>
    <s v="Introduce and sustain health facility grants (Deliverable: monthly allocations and disbursement facilities)"/>
    <s v="Quarterly supervision and audit visits "/>
    <s v="Fuel for travelling participants"/>
    <n v="211.42857142857142"/>
    <n v="90000"/>
    <n v="4"/>
    <n v="76114285.714285716"/>
    <n v="90000"/>
    <n v="4"/>
    <n v="86992622.925942853"/>
    <n v="90000"/>
    <n v="4"/>
    <n v="99425704.025425941"/>
    <n v="90000"/>
    <n v="4"/>
    <n v="113635734.71473712"/>
    <n v="90000"/>
    <n v="4"/>
    <n v="129876678.57856831"/>
    <n v="90000"/>
    <n v="4"/>
    <n v="148438795.95573369"/>
    <n v="90000"/>
    <n v="4"/>
    <n v="169653831.51108631"/>
    <n v="90000"/>
    <n v="4"/>
    <n v="193900943.2209039"/>
    <n v="1018038596.6466838"/>
    <n v="988386.98703561537"/>
  </r>
  <r>
    <s v="4.3.3.3"/>
    <x v="2"/>
    <x v="2"/>
    <x v="2"/>
    <x v="11"/>
    <n v="1"/>
    <x v="58"/>
    <x v="58"/>
    <s v="Introduce and sustain health facility grants (Deliverable: monthly allocations and disbursement facilities)"/>
    <s v="Monthly PIU supervision visit"/>
    <s v="Full DSA"/>
    <n v="45000"/>
    <n v="58"/>
    <n v="72"/>
    <n v="187920000"/>
    <n v="58"/>
    <n v="72"/>
    <n v="214777732.54823998"/>
    <n v="58"/>
    <n v="72"/>
    <n v="245474001.69520706"/>
    <n v="58"/>
    <n v="72"/>
    <n v="280557415.30246586"/>
    <n v="58"/>
    <n v="72"/>
    <n v="320654988.8689788"/>
    <n v="58"/>
    <n v="72"/>
    <n v="366483351.63665599"/>
    <n v="58"/>
    <n v="72"/>
    <n v="418861554.28480369"/>
    <n v="58"/>
    <n v="72"/>
    <n v="478725707.11431283"/>
    <n v="2513454751.450664"/>
    <n v="2440247.3315054988"/>
  </r>
  <r>
    <s v="4.3.3.3"/>
    <x v="2"/>
    <x v="2"/>
    <x v="2"/>
    <x v="11"/>
    <n v="1"/>
    <x v="58"/>
    <x v="58"/>
    <s v="Introduce and sustain health facility grants (Deliverable: monthly allocations and disbursement facilities)"/>
    <s v="Monthly PIU supervision visit"/>
    <s v="Local running (diesel, per km)"/>
    <n v="211.42857142857142"/>
    <n v="22500"/>
    <n v="60"/>
    <n v="285428571.42857146"/>
    <n v="22500"/>
    <n v="60"/>
    <n v="326222335.97228569"/>
    <n v="22500"/>
    <n v="60"/>
    <n v="372846390.09534729"/>
    <n v="22500"/>
    <n v="60"/>
    <n v="426134005.18026417"/>
    <n v="22500"/>
    <n v="60"/>
    <n v="487037544.66963118"/>
    <n v="22500"/>
    <n v="60"/>
    <n v="556645484.8340013"/>
    <n v="22500"/>
    <n v="60"/>
    <n v="636201868.16657364"/>
    <n v="22500"/>
    <n v="60"/>
    <n v="727128537.07838964"/>
    <n v="3817644737.4250646"/>
    <n v="3706451.2013835576"/>
  </r>
  <r>
    <s v="4.3.3.3"/>
    <x v="2"/>
    <x v="2"/>
    <x v="2"/>
    <x v="11"/>
    <n v="1"/>
    <x v="58"/>
    <x v="58"/>
    <s v="Introduce and sustain health facility grants (Deliverable: monthly allocations and disbursement facilities)"/>
    <s v="Monthly PIU supervision visit"/>
    <s v="Fuel for travelling participants"/>
    <n v="211.42857142857142"/>
    <n v="90000"/>
    <n v="1"/>
    <n v="19028571.428571429"/>
    <n v="90000"/>
    <n v="1"/>
    <n v="21748155.731485713"/>
    <n v="90000"/>
    <n v="1"/>
    <n v="24856426.006356485"/>
    <n v="90000"/>
    <n v="1"/>
    <n v="28408933.678684279"/>
    <n v="90000"/>
    <n v="1"/>
    <n v="32469169.644642077"/>
    <n v="90000"/>
    <n v="1"/>
    <n v="37109698.988933422"/>
    <n v="90000"/>
    <n v="1"/>
    <n v="42413457.877771579"/>
    <n v="90000"/>
    <n v="1"/>
    <n v="48475235.805225976"/>
    <n v="254509649.16167095"/>
    <n v="247096.74675890384"/>
  </r>
  <r>
    <s v="4.3.3.3"/>
    <x v="2"/>
    <x v="2"/>
    <x v="2"/>
    <x v="11"/>
    <n v="1"/>
    <x v="58"/>
    <x v="58"/>
    <s v="Introduce and sustain health facility grants (Deliverable: monthly allocations and disbursement facilities)"/>
    <s v="Monthly verification visits"/>
    <s v="Full DSA"/>
    <n v="39000"/>
    <n v="58"/>
    <n v="72"/>
    <n v="162864000"/>
    <n v="20"/>
    <n v="10"/>
    <n v="8914784.5565999988"/>
    <n v="20"/>
    <n v="10"/>
    <n v="10188895.344947929"/>
    <n v="20"/>
    <n v="10"/>
    <n v="11645103.44486608"/>
    <n v="20"/>
    <n v="10"/>
    <n v="13309434.403884819"/>
    <n v="0"/>
    <n v="0"/>
    <n v="0"/>
    <n v="0"/>
    <n v="0"/>
    <n v="0"/>
    <n v="0"/>
    <n v="0"/>
    <n v="0"/>
    <n v="206922217.75029886"/>
    <n v="200895.35703912511"/>
  </r>
  <r>
    <s v="4.3.3.3"/>
    <x v="2"/>
    <x v="2"/>
    <x v="2"/>
    <x v="11"/>
    <n v="1"/>
    <x v="58"/>
    <x v="58"/>
    <s v="Introduce and sustain health facility grants (Deliverable: monthly allocations and disbursement facilities)"/>
    <s v="Monthly verification visits"/>
    <s v="Local running (diesel, per km)"/>
    <n v="211.42857142857142"/>
    <n v="22500"/>
    <n v="60"/>
    <n v="285428571.42857146"/>
    <n v="8000"/>
    <n v="1"/>
    <n v="1933169.3983542854"/>
    <n v="8000"/>
    <n v="1"/>
    <n v="2209460.08945391"/>
    <n v="8000"/>
    <n v="1"/>
    <n v="2525238.5492163803"/>
    <n v="8000"/>
    <n v="1"/>
    <n v="2886148.4128570738"/>
    <n v="0"/>
    <n v="0"/>
    <n v="0"/>
    <n v="0"/>
    <n v="0"/>
    <n v="0"/>
    <n v="0"/>
    <n v="0"/>
    <n v="0"/>
    <n v="294982587.87845314"/>
    <n v="286390.86201791564"/>
  </r>
  <r>
    <s v="4.3.3.3"/>
    <x v="2"/>
    <x v="2"/>
    <x v="2"/>
    <x v="11"/>
    <n v="1"/>
    <x v="58"/>
    <x v="58"/>
    <s v="Introduce and sustain health facility grants (Deliverable: monthly allocations and disbursement facilities)"/>
    <s v="Monthly verification visits"/>
    <s v="Fuel for travelling participants"/>
    <n v="211.42857142857142"/>
    <n v="90000"/>
    <n v="1"/>
    <n v="19028571.428571429"/>
    <m/>
    <m/>
    <n v="0"/>
    <m/>
    <m/>
    <n v="0"/>
    <m/>
    <m/>
    <n v="0"/>
    <m/>
    <m/>
    <n v="0"/>
    <m/>
    <m/>
    <n v="0"/>
    <m/>
    <m/>
    <n v="0"/>
    <m/>
    <m/>
    <n v="0"/>
    <n v="19028571.428571429"/>
    <n v="18474.341192787797"/>
  </r>
  <r>
    <s v="4.3.3.3"/>
    <x v="2"/>
    <x v="2"/>
    <x v="2"/>
    <x v="11"/>
    <n v="1"/>
    <x v="58"/>
    <x v="58"/>
    <s v="Introduce and sustain health facility grants (Deliverable: monthly allocations and disbursement facilities)"/>
    <s v="Monthly theft prevention visit "/>
    <s v="Full DSA"/>
    <n v="45000"/>
    <n v="58"/>
    <n v="72"/>
    <n v="187920000"/>
    <n v="20"/>
    <n v="10"/>
    <n v="10286289.873"/>
    <n v="20"/>
    <n v="10"/>
    <n v="11756417.70570915"/>
    <n v="20"/>
    <n v="10"/>
    <n v="13436657.820999322"/>
    <n v="20"/>
    <n v="10"/>
    <n v="15357039.696790174"/>
    <n v="0"/>
    <n v="0"/>
    <n v="0"/>
    <n v="0"/>
    <n v="0"/>
    <n v="0"/>
    <n v="0"/>
    <n v="0"/>
    <n v="0"/>
    <n v="238756405.09649867"/>
    <n v="231802.33504514434"/>
  </r>
  <r>
    <s v="4.3.3.3"/>
    <x v="2"/>
    <x v="2"/>
    <x v="2"/>
    <x v="11"/>
    <n v="1"/>
    <x v="58"/>
    <x v="58"/>
    <s v="Introduce and sustain health facility grants (Deliverable: monthly allocations and disbursement facilities)"/>
    <s v="Monthly theft prevention visit "/>
    <s v="Local running (diesel, per km)"/>
    <n v="211.42857142857142"/>
    <n v="22500"/>
    <n v="60"/>
    <n v="285428571.42857146"/>
    <n v="8000"/>
    <n v="1"/>
    <n v="1933169.3983542854"/>
    <n v="8000"/>
    <n v="1"/>
    <n v="2209460.08945391"/>
    <n v="8000"/>
    <n v="1"/>
    <n v="2525238.5492163803"/>
    <n v="8000"/>
    <n v="1"/>
    <n v="2886148.4128570738"/>
    <n v="0"/>
    <n v="0"/>
    <n v="0"/>
    <n v="0"/>
    <n v="0"/>
    <n v="0"/>
    <n v="0"/>
    <n v="0"/>
    <n v="0"/>
    <n v="294982587.87845314"/>
    <n v="286390.86201791564"/>
  </r>
  <r>
    <s v="4.3.3.3"/>
    <x v="2"/>
    <x v="2"/>
    <x v="2"/>
    <x v="11"/>
    <n v="1"/>
    <x v="58"/>
    <x v="58"/>
    <s v="Introduce and sustain health facility grants (Deliverable: monthly allocations and disbursement facilities)"/>
    <s v="Monthly theft prevention visit "/>
    <s v="Fuel for travelling participants"/>
    <n v="211.42857142857142"/>
    <n v="90000"/>
    <n v="1"/>
    <n v="19028571.428571429"/>
    <m/>
    <m/>
    <n v="0"/>
    <m/>
    <m/>
    <n v="0"/>
    <m/>
    <m/>
    <n v="0"/>
    <m/>
    <m/>
    <n v="0"/>
    <m/>
    <m/>
    <n v="0"/>
    <m/>
    <m/>
    <n v="0"/>
    <m/>
    <m/>
    <n v="0"/>
    <n v="19028571.428571429"/>
    <n v="18474.341192787797"/>
  </r>
  <r>
    <s v="4.3.3.3"/>
    <x v="2"/>
    <x v="2"/>
    <x v="2"/>
    <x v="11"/>
    <n v="1"/>
    <x v="58"/>
    <x v="58"/>
    <s v="Introduce and sustain health facility grants (Deliverable: monthly allocations and disbursement facilities)"/>
    <s v="1 contract for communication(firm)"/>
    <s v="communication for health facility grants"/>
    <n v="135000000"/>
    <n v="1"/>
    <n v="1"/>
    <n v="135000000"/>
    <n v="1"/>
    <n v="1"/>
    <n v="154294348.095"/>
    <n v="1"/>
    <n v="1"/>
    <n v="176346265.58563724"/>
    <n v="1"/>
    <n v="1"/>
    <n v="201549867.31498984"/>
    <n v="1"/>
    <n v="1"/>
    <n v="230355595.45185262"/>
    <n v="1"/>
    <n v="1"/>
    <n v="263278269.85391957"/>
    <n v="1"/>
    <n v="1"/>
    <n v="300906288.99770379"/>
    <n v="1"/>
    <n v="1"/>
    <n v="343912145.91545463"/>
    <n v="1805642781.2145576"/>
    <n v="1753051.2438976287"/>
  </r>
  <r>
    <s v="4.3.3.3"/>
    <x v="2"/>
    <x v="2"/>
    <x v="2"/>
    <x v="11"/>
    <n v="1"/>
    <x v="58"/>
    <x v="58"/>
    <s v="Introduce and sustain health facility grants (Deliverable: monthly allocations and disbursement facilities)"/>
    <s v="Prosecution and litigation cost for potential prevention cost"/>
    <s v="prosecution and litigation cost"/>
    <n v="10000000"/>
    <n v="1"/>
    <n v="1"/>
    <n v="10000000"/>
    <n v="1"/>
    <n v="1"/>
    <n v="11429210.969999999"/>
    <n v="1"/>
    <n v="1"/>
    <n v="13062686.339676833"/>
    <n v="1"/>
    <n v="1"/>
    <n v="14929619.801110359"/>
    <n v="1"/>
    <n v="1"/>
    <n v="17063377.44087797"/>
    <n v="1"/>
    <n v="1"/>
    <n v="19502094.063253302"/>
    <n v="1"/>
    <n v="1"/>
    <n v="22289354.74057065"/>
    <n v="1"/>
    <n v="1"/>
    <n v="25474973.771515157"/>
    <n v="133751317.12700427"/>
    <n v="129855.64769612065"/>
  </r>
  <r>
    <s v="4.3.3.3"/>
    <x v="2"/>
    <x v="2"/>
    <x v="2"/>
    <x v="11"/>
    <n v="1"/>
    <x v="58"/>
    <x v="58"/>
    <s v="Introduce and sustain health facility grants (Deliverable: monthly allocations and disbursement facilities)"/>
    <s v="One fiduciary oversight contract"/>
    <s v="contribution towards HSJF fiduciary agent"/>
    <n v="135000000"/>
    <n v="1"/>
    <n v="1"/>
    <n v="135000000"/>
    <n v="1"/>
    <n v="1"/>
    <n v="154294348.095"/>
    <n v="1"/>
    <n v="1"/>
    <n v="176346265.58563724"/>
    <n v="1"/>
    <n v="1"/>
    <n v="201549867.31498984"/>
    <n v="1"/>
    <n v="1"/>
    <n v="230355595.45185262"/>
    <n v="1"/>
    <n v="1"/>
    <n v="263278269.85391957"/>
    <n v="1"/>
    <n v="1"/>
    <n v="300906288.99770379"/>
    <n v="1"/>
    <n v="1"/>
    <n v="343912145.91545463"/>
    <n v="1805642781.2145576"/>
    <n v="1753051.2438976287"/>
  </r>
  <r>
    <s v="4.3.3.3"/>
    <x v="2"/>
    <x v="2"/>
    <x v="2"/>
    <x v="11"/>
    <n v="1"/>
    <x v="58"/>
    <x v="58"/>
    <s v="Introduce and sustain health facility grants (Deliverable: monthly allocations and disbursement facilities)"/>
    <s v="Provide monthly grants to700 public health facilities at MK500,000 per month"/>
    <s v="health facility grants"/>
    <n v="5400000000"/>
    <n v="1"/>
    <n v="1"/>
    <n v="5400000000"/>
    <n v="1"/>
    <n v="1"/>
    <n v="6171773923.7999992"/>
    <n v="1"/>
    <n v="1"/>
    <n v="7053850623.4254894"/>
    <n v="1"/>
    <n v="1"/>
    <n v="8061994692.5995941"/>
    <n v="1"/>
    <n v="1"/>
    <n v="9214223818.0741043"/>
    <n v="1"/>
    <n v="1"/>
    <n v="10531130794.156782"/>
    <n v="1"/>
    <n v="1"/>
    <n v="12036251559.908152"/>
    <n v="1"/>
    <n v="1"/>
    <n v="13756485836.618185"/>
    <n v="72225711248.582306"/>
    <n v="70122049.755905151"/>
  </r>
  <r>
    <s v="4.3.3.3"/>
    <x v="2"/>
    <x v="2"/>
    <x v="2"/>
    <x v="11"/>
    <n v="2"/>
    <x v="59"/>
    <x v="59"/>
    <s v="Review and update assessment on mixed provider payment system for the health sector "/>
    <s v="Develop meeting concept note"/>
    <s v="zero cost"/>
    <n v="0"/>
    <n v="0"/>
    <n v="0"/>
    <n v="0"/>
    <n v="0"/>
    <n v="0"/>
    <n v="0"/>
    <n v="0"/>
    <n v="0"/>
    <n v="0"/>
    <n v="0"/>
    <n v="0"/>
    <n v="0"/>
    <n v="0"/>
    <n v="0"/>
    <n v="0"/>
    <n v="0"/>
    <n v="0"/>
    <n v="0"/>
    <n v="0"/>
    <n v="0"/>
    <n v="0"/>
    <n v="0"/>
    <n v="0"/>
    <n v="0"/>
    <n v="0"/>
    <n v="0"/>
  </r>
  <r>
    <s v="4.3.3.3"/>
    <x v="2"/>
    <x v="2"/>
    <x v="2"/>
    <x v="11"/>
    <n v="2"/>
    <x v="59"/>
    <x v="59"/>
    <s v="Review and update assessment on mixed provider payment system for the health sector "/>
    <s v="Conduct 2 National level meetings to review and update assessment on provider payment system for the health sector "/>
    <s v="DSA (excl. lunch)"/>
    <n v="39000"/>
    <m/>
    <m/>
    <n v="0"/>
    <n v="0"/>
    <n v="0"/>
    <n v="0"/>
    <n v="58"/>
    <n v="12"/>
    <n v="35457355.800418794"/>
    <n v="0"/>
    <n v="0"/>
    <n v="0"/>
    <n v="40"/>
    <n v="10"/>
    <n v="26618868.807769638"/>
    <n v="0"/>
    <n v="0"/>
    <n v="0"/>
    <n v="58"/>
    <n v="12"/>
    <n v="60502224.507804975"/>
    <n v="0"/>
    <n v="0"/>
    <n v="0"/>
    <n v="122578449.11599341"/>
    <n v="119008.20302523632"/>
  </r>
  <r>
    <s v="4.3.3.3"/>
    <x v="2"/>
    <x v="2"/>
    <x v="2"/>
    <x v="11"/>
    <n v="2"/>
    <x v="59"/>
    <x v="59"/>
    <s v="Review and update assessment on mixed provider payment system for the health sector "/>
    <s v="Conduct 2 National level meetings to review and update assessment on provider payment system for the health sector "/>
    <s v="Conference package high-level"/>
    <n v="35000"/>
    <m/>
    <m/>
    <n v="0"/>
    <n v="0"/>
    <n v="0"/>
    <n v="0"/>
    <n v="100"/>
    <n v="10"/>
    <n v="45719402.18886891"/>
    <n v="0"/>
    <n v="0"/>
    <n v="0"/>
    <n v="40"/>
    <n v="10"/>
    <n v="23888728.417229161"/>
    <n v="0"/>
    <n v="0"/>
    <n v="0"/>
    <n v="100"/>
    <n v="10"/>
    <n v="78012741.591997266"/>
    <n v="0"/>
    <n v="0"/>
    <n v="0"/>
    <n v="147620872.19809532"/>
    <n v="143321.23514378187"/>
  </r>
  <r>
    <s v="4.3.3.3"/>
    <x v="2"/>
    <x v="2"/>
    <x v="2"/>
    <x v="11"/>
    <n v="2"/>
    <x v="59"/>
    <x v="59"/>
    <s v="Review and update assessment on mixed provider payment system for the health sector "/>
    <s v="Conduct 2 National level meetings to review and update assessment on provider payment system for the health sector "/>
    <s v="Local running (diesel, per km)"/>
    <n v="211.42857142857142"/>
    <m/>
    <m/>
    <n v="0"/>
    <n v="0"/>
    <n v="0"/>
    <n v="0"/>
    <n v="1450"/>
    <n v="10"/>
    <n v="4004646.4121352118"/>
    <n v="0"/>
    <n v="0"/>
    <n v="0"/>
    <n v="10000"/>
    <n v="1"/>
    <n v="3607685.5160713419"/>
    <n v="0"/>
    <n v="0"/>
    <n v="0"/>
    <n v="1450"/>
    <n v="10"/>
    <n v="6833279.3247520877"/>
    <n v="0"/>
    <n v="0"/>
    <n v="0"/>
    <n v="14445611.25295864"/>
    <n v="14024.865294134603"/>
  </r>
  <r>
    <s v="4.3.3.3"/>
    <x v="2"/>
    <x v="2"/>
    <x v="2"/>
    <x v="11"/>
    <n v="2"/>
    <x v="59"/>
    <x v="59"/>
    <s v="Review and update assessment on mixed provider payment system for the health sector "/>
    <s v="Conduct 2 National level meetings to review and update assessment on provider payment system for the health sector "/>
    <s v="Fuel for travelling participants"/>
    <n v="211.42857142857142"/>
    <m/>
    <m/>
    <n v="0"/>
    <m/>
    <m/>
    <n v="0"/>
    <n v="22500"/>
    <n v="5"/>
    <n v="31070532.507945605"/>
    <m/>
    <m/>
    <n v="0"/>
    <m/>
    <m/>
    <n v="0"/>
    <m/>
    <m/>
    <n v="0"/>
    <n v="22500"/>
    <n v="5"/>
    <n v="53016822.347214475"/>
    <m/>
    <m/>
    <n v="0"/>
    <n v="84087354.855160087"/>
    <n v="81638.208597242803"/>
  </r>
  <r>
    <s v="4.3.3.3"/>
    <x v="2"/>
    <x v="2"/>
    <x v="2"/>
    <x v="11"/>
    <n v="2"/>
    <x v="59"/>
    <x v="59"/>
    <s v="Review and update assessment on mixed provider payment system for the health sector "/>
    <s v="data collection"/>
    <s v="Full DSA"/>
    <n v="45000"/>
    <m/>
    <m/>
    <n v="0"/>
    <n v="0"/>
    <n v="0"/>
    <n v="0"/>
    <n v="25"/>
    <n v="6"/>
    <n v="8817313.2792818621"/>
    <n v="0"/>
    <n v="0"/>
    <n v="0"/>
    <n v="15"/>
    <n v="25"/>
    <n v="28794449.431481574"/>
    <n v="0"/>
    <n v="0"/>
    <n v="0"/>
    <n v="25"/>
    <n v="6"/>
    <n v="15045314.44988519"/>
    <n v="0"/>
    <n v="0"/>
    <n v="0"/>
    <n v="52657077.160648629"/>
    <n v="51123.375884124885"/>
  </r>
  <r>
    <s v="4.3.3.3"/>
    <x v="2"/>
    <x v="2"/>
    <x v="2"/>
    <x v="11"/>
    <n v="2"/>
    <x v="59"/>
    <x v="59"/>
    <s v="Review and update assessment on mixed provider payment system for the health sector "/>
    <s v="data collection"/>
    <s v="Local running (diesel, per km)"/>
    <n v="211.42857142857142"/>
    <m/>
    <m/>
    <n v="0"/>
    <n v="0"/>
    <n v="0"/>
    <n v="0"/>
    <n v="450"/>
    <n v="5"/>
    <n v="621410.65015891218"/>
    <n v="0"/>
    <n v="0"/>
    <n v="0"/>
    <n v="20000"/>
    <n v="1"/>
    <n v="7215371.0321426839"/>
    <n v="0"/>
    <n v="0"/>
    <n v="0"/>
    <n v="450"/>
    <n v="5"/>
    <n v="1060336.4469442894"/>
    <n v="0"/>
    <n v="0"/>
    <n v="0"/>
    <n v="8897118.1292458847"/>
    <n v="8637.9787662581402"/>
  </r>
  <r>
    <s v="4.3.3.3"/>
    <x v="2"/>
    <x v="2"/>
    <x v="2"/>
    <x v="11"/>
    <n v="2"/>
    <x v="59"/>
    <x v="59"/>
    <s v="Review and update assessment on mixed provider payment system for the health sector "/>
    <s v="data collection"/>
    <s v="Conference package high-level"/>
    <n v="35000"/>
    <m/>
    <m/>
    <n v="0"/>
    <m/>
    <m/>
    <n v="0"/>
    <n v="25"/>
    <n v="5"/>
    <n v="5714925.2736086138"/>
    <m/>
    <m/>
    <n v="0"/>
    <m/>
    <m/>
    <n v="0"/>
    <m/>
    <m/>
    <n v="0"/>
    <n v="25"/>
    <n v="5"/>
    <n v="9751592.6989996582"/>
    <m/>
    <m/>
    <n v="0"/>
    <n v="15466517.972608272"/>
    <n v="15016.036866609973"/>
  </r>
  <r>
    <s v="4.3.3.3"/>
    <x v="2"/>
    <x v="2"/>
    <x v="2"/>
    <x v="11"/>
    <n v="2"/>
    <x v="59"/>
    <x v="59"/>
    <s v="Review and update assessment on mixed provider payment system for the health sector "/>
    <s v="data collection"/>
    <s v="Fuel for travelling participants"/>
    <n v="211.42857142857142"/>
    <m/>
    <m/>
    <n v="0"/>
    <m/>
    <m/>
    <n v="0"/>
    <n v="2430"/>
    <n v="1"/>
    <n v="671123.50217162515"/>
    <m/>
    <m/>
    <n v="0"/>
    <m/>
    <m/>
    <n v="0"/>
    <m/>
    <m/>
    <n v="0"/>
    <n v="2430"/>
    <n v="1"/>
    <n v="1145163.3626998325"/>
    <m/>
    <m/>
    <n v="0"/>
    <n v="1816286.8648714577"/>
    <n v="1763.3853057004444"/>
  </r>
  <r>
    <s v="4.3.3.3"/>
    <x v="2"/>
    <x v="2"/>
    <x v="2"/>
    <x v="11"/>
    <n v="2"/>
    <x v="59"/>
    <x v="59"/>
    <s v="Review and update assessment on mixed provider payment system for the health sector "/>
    <s v="data collection"/>
    <s v="Airtime for Research Assistant"/>
    <n v="10000"/>
    <m/>
    <m/>
    <n v="0"/>
    <n v="0"/>
    <n v="0"/>
    <n v="0"/>
    <n v="15"/>
    <n v="1"/>
    <n v="195940.29509515248"/>
    <n v="0"/>
    <n v="0"/>
    <n v="0"/>
    <n v="15"/>
    <n v="1"/>
    <n v="255950.66161316959"/>
    <n v="0"/>
    <n v="0"/>
    <n v="0"/>
    <n v="15"/>
    <n v="1"/>
    <n v="334340.32110855979"/>
    <n v="0"/>
    <n v="0"/>
    <n v="0"/>
    <n v="786231.27781688189"/>
    <n v="763.33133768629307"/>
  </r>
  <r>
    <s v="4.3.3.3"/>
    <x v="2"/>
    <x v="2"/>
    <x v="2"/>
    <x v="11"/>
    <n v="2"/>
    <x v="59"/>
    <x v="59"/>
    <s v="Review and update assessment on mixed provider payment system for the health sector "/>
    <s v="data analysis"/>
    <s v="DSA (excl. lunch)"/>
    <n v="39000"/>
    <m/>
    <m/>
    <n v="0"/>
    <n v="0"/>
    <n v="0"/>
    <n v="0"/>
    <n v="25"/>
    <n v="6"/>
    <n v="7641671.5087109469"/>
    <n v="0"/>
    <n v="0"/>
    <n v="0"/>
    <n v="20"/>
    <n v="5"/>
    <n v="6654717.2019424094"/>
    <n v="0"/>
    <n v="0"/>
    <n v="0"/>
    <n v="25"/>
    <n v="6"/>
    <n v="13039272.523233831"/>
    <n v="0"/>
    <n v="0"/>
    <n v="0"/>
    <n v="27335661.233887188"/>
    <n v="26539.476926104067"/>
  </r>
  <r>
    <s v="4.3.3.3"/>
    <x v="2"/>
    <x v="2"/>
    <x v="2"/>
    <x v="11"/>
    <n v="2"/>
    <x v="59"/>
    <x v="59"/>
    <s v="Review and update assessment on mixed provider payment system for the health sector "/>
    <s v="data analysis"/>
    <s v="Conference package high-level"/>
    <n v="35000"/>
    <m/>
    <m/>
    <n v="0"/>
    <n v="0"/>
    <n v="0"/>
    <n v="0"/>
    <n v="25"/>
    <n v="5"/>
    <n v="5714925.2736086138"/>
    <n v="0"/>
    <n v="0"/>
    <n v="0"/>
    <n v="20"/>
    <n v="5"/>
    <n v="5972182.1043072902"/>
    <n v="0"/>
    <n v="0"/>
    <n v="0"/>
    <n v="25"/>
    <n v="5"/>
    <n v="9751592.6989996582"/>
    <n v="0"/>
    <n v="0"/>
    <n v="0"/>
    <n v="21438700.076915562"/>
    <n v="20814.271919335497"/>
  </r>
  <r>
    <s v="4.3.3.3"/>
    <x v="2"/>
    <x v="2"/>
    <x v="2"/>
    <x v="11"/>
    <n v="2"/>
    <x v="59"/>
    <x v="59"/>
    <s v="Review and update assessment on mixed provider payment system for the health sector "/>
    <s v="data analysis"/>
    <s v="Local running (diesel, per km)"/>
    <n v="211.42857142857142"/>
    <m/>
    <m/>
    <n v="0"/>
    <n v="0"/>
    <n v="0"/>
    <n v="0"/>
    <n v="450"/>
    <n v="5"/>
    <n v="621410.65015891218"/>
    <n v="0"/>
    <n v="0"/>
    <n v="0"/>
    <n v="4000"/>
    <n v="1"/>
    <n v="1443074.2064285369"/>
    <n v="0"/>
    <n v="0"/>
    <n v="0"/>
    <n v="450"/>
    <n v="5"/>
    <n v="1060336.4469442894"/>
    <n v="0"/>
    <n v="0"/>
    <n v="0"/>
    <n v="3124821.3035317385"/>
    <n v="3033.8070908075129"/>
  </r>
  <r>
    <s v="4.3.3.3"/>
    <x v="2"/>
    <x v="2"/>
    <x v="2"/>
    <x v="11"/>
    <n v="2"/>
    <x v="59"/>
    <x v="59"/>
    <s v="Review and update assessment on mixed provider payment system for the health sector "/>
    <s v="data analysis"/>
    <s v="Fuel for travelling participants"/>
    <n v="211.42857142857142"/>
    <m/>
    <m/>
    <n v="0"/>
    <m/>
    <m/>
    <n v="0"/>
    <n v="2430"/>
    <n v="1"/>
    <n v="671123.50217162515"/>
    <m/>
    <m/>
    <n v="0"/>
    <m/>
    <m/>
    <n v="0"/>
    <m/>
    <m/>
    <n v="0"/>
    <n v="2430"/>
    <n v="1"/>
    <n v="1145163.3626998325"/>
    <m/>
    <m/>
    <n v="0"/>
    <n v="1816286.8648714577"/>
    <n v="1763.3853057004444"/>
  </r>
  <r>
    <s v="4.3.3.3"/>
    <x v="2"/>
    <x v="2"/>
    <x v="2"/>
    <x v="11"/>
    <n v="2"/>
    <x v="59"/>
    <x v="59"/>
    <s v="Review and update assessment on mixed provider payment system for the health sector "/>
    <s v="Report writing"/>
    <s v="DSA (excl. lunch)"/>
    <n v="39000"/>
    <m/>
    <m/>
    <n v="0"/>
    <n v="0"/>
    <n v="0"/>
    <n v="0"/>
    <n v="25"/>
    <n v="6"/>
    <n v="7641671.5087109469"/>
    <n v="0"/>
    <n v="0"/>
    <n v="0"/>
    <n v="20"/>
    <n v="10"/>
    <n v="13309434.403884819"/>
    <n v="0"/>
    <n v="0"/>
    <n v="0"/>
    <n v="25"/>
    <n v="6"/>
    <n v="13039272.523233831"/>
    <n v="0"/>
    <n v="0"/>
    <n v="0"/>
    <n v="33990378.435829595"/>
    <n v="33000.367413426793"/>
  </r>
  <r>
    <s v="4.3.3.3"/>
    <x v="2"/>
    <x v="2"/>
    <x v="2"/>
    <x v="11"/>
    <n v="2"/>
    <x v="59"/>
    <x v="59"/>
    <s v="Review and update assessment on mixed provider payment system for the health sector "/>
    <s v="Report writing"/>
    <s v="Conference package high-level"/>
    <n v="35000"/>
    <m/>
    <m/>
    <n v="0"/>
    <n v="0"/>
    <n v="0"/>
    <n v="0"/>
    <n v="25"/>
    <n v="5"/>
    <n v="5714925.2736086138"/>
    <n v="0"/>
    <n v="0"/>
    <n v="0"/>
    <n v="20"/>
    <n v="10"/>
    <n v="11944364.20861458"/>
    <n v="0"/>
    <n v="0"/>
    <n v="0"/>
    <n v="25"/>
    <n v="5"/>
    <n v="9751592.6989996582"/>
    <n v="0"/>
    <n v="0"/>
    <n v="0"/>
    <n v="27410882.181222852"/>
    <n v="26612.506972061023"/>
  </r>
  <r>
    <s v="4.3.3.3"/>
    <x v="2"/>
    <x v="2"/>
    <x v="2"/>
    <x v="11"/>
    <n v="2"/>
    <x v="59"/>
    <x v="59"/>
    <s v="Review and update assessment on mixed provider payment system for the health sector "/>
    <s v="Report writing"/>
    <s v="Local running (diesel, per km)"/>
    <n v="211.42857142857142"/>
    <m/>
    <m/>
    <n v="0"/>
    <n v="0"/>
    <n v="0"/>
    <n v="0"/>
    <n v="450"/>
    <n v="5"/>
    <n v="621410.65015891218"/>
    <n v="0"/>
    <n v="0"/>
    <n v="0"/>
    <n v="4000"/>
    <n v="2"/>
    <n v="2886148.4128570738"/>
    <n v="0"/>
    <n v="0"/>
    <n v="0"/>
    <n v="450"/>
    <n v="5"/>
    <n v="1060336.4469442894"/>
    <n v="0"/>
    <n v="0"/>
    <n v="0"/>
    <n v="4567895.5099602751"/>
    <n v="4434.85000967017"/>
  </r>
  <r>
    <s v="4.3.3.3"/>
    <x v="2"/>
    <x v="2"/>
    <x v="2"/>
    <x v="11"/>
    <n v="2"/>
    <x v="59"/>
    <x v="59"/>
    <s v="Review and update assessment on mixed provider payment system for the health sector "/>
    <s v="Report writing"/>
    <s v="Fuel for travelling participants"/>
    <n v="211.42857142857142"/>
    <m/>
    <m/>
    <n v="0"/>
    <m/>
    <m/>
    <n v="0"/>
    <n v="2430"/>
    <n v="1"/>
    <n v="671123.50217162515"/>
    <m/>
    <m/>
    <n v="0"/>
    <m/>
    <m/>
    <n v="0"/>
    <m/>
    <m/>
    <n v="0"/>
    <n v="2430"/>
    <n v="1"/>
    <n v="1145163.3626998325"/>
    <m/>
    <m/>
    <n v="0"/>
    <n v="1816286.8648714577"/>
    <n v="1763.3853057004444"/>
  </r>
  <r>
    <s v="4.3.3.3"/>
    <x v="2"/>
    <x v="2"/>
    <x v="2"/>
    <x v="11"/>
    <n v="2"/>
    <x v="59"/>
    <x v="59"/>
    <s v="Review and update assessment on mixed provider payment system for the health sector "/>
    <s v="Stake holder validating meeting"/>
    <s v="DSA (excl. lunch)"/>
    <n v="39000"/>
    <m/>
    <m/>
    <n v="0"/>
    <n v="0"/>
    <n v="0"/>
    <n v="0"/>
    <n v="100"/>
    <n v="5"/>
    <n v="25472238.36236982"/>
    <n v="0"/>
    <n v="0"/>
    <n v="0"/>
    <n v="30"/>
    <n v="2"/>
    <n v="3992830.3211654453"/>
    <n v="0"/>
    <n v="0"/>
    <n v="0"/>
    <n v="100"/>
    <n v="5"/>
    <n v="43464241.744112775"/>
    <n v="0"/>
    <n v="0"/>
    <n v="0"/>
    <n v="72929310.427648038"/>
    <n v="70805.155754998093"/>
  </r>
  <r>
    <s v="4.3.3.3"/>
    <x v="2"/>
    <x v="2"/>
    <x v="2"/>
    <x v="11"/>
    <n v="2"/>
    <x v="59"/>
    <x v="59"/>
    <s v="Review and update assessment on mixed provider payment system for the health sector "/>
    <s v="Stake holder validating meeting"/>
    <s v="Conference package high-level"/>
    <n v="35000"/>
    <m/>
    <m/>
    <n v="0"/>
    <n v="0"/>
    <n v="0"/>
    <n v="0"/>
    <n v="58"/>
    <n v="5"/>
    <n v="13258626.634771984"/>
    <n v="0"/>
    <n v="0"/>
    <n v="0"/>
    <n v="30"/>
    <n v="2"/>
    <n v="3583309.2625843743"/>
    <n v="0"/>
    <n v="0"/>
    <n v="0"/>
    <n v="58"/>
    <n v="5"/>
    <n v="22623695.061679207"/>
    <n v="0"/>
    <n v="0"/>
    <n v="0"/>
    <n v="39465630.95903556"/>
    <n v="38316.146562170448"/>
  </r>
  <r>
    <s v="4.3.3.3"/>
    <x v="2"/>
    <x v="2"/>
    <x v="2"/>
    <x v="11"/>
    <n v="2"/>
    <x v="59"/>
    <x v="59"/>
    <s v="Review and update assessment on mixed provider payment system for the health sector "/>
    <s v="Stake holder validating meeting"/>
    <s v="Local running (diesel, per km)"/>
    <n v="211.42857142857142"/>
    <m/>
    <m/>
    <n v="0"/>
    <n v="0"/>
    <n v="0"/>
    <n v="0"/>
    <n v="1450"/>
    <n v="5"/>
    <n v="2002323.2060676059"/>
    <n v="0"/>
    <n v="0"/>
    <n v="0"/>
    <n v="4000"/>
    <n v="1"/>
    <n v="1443074.2064285369"/>
    <n v="0"/>
    <n v="0"/>
    <n v="0"/>
    <n v="1450"/>
    <n v="5"/>
    <n v="3416639.6623760439"/>
    <n v="0"/>
    <n v="0"/>
    <n v="0"/>
    <n v="6862037.0748721864"/>
    <n v="6662.1719173516376"/>
  </r>
  <r>
    <s v="4.3.3.3"/>
    <x v="2"/>
    <x v="2"/>
    <x v="2"/>
    <x v="11"/>
    <n v="2"/>
    <x v="59"/>
    <x v="59"/>
    <s v="Review and update assessment on mixed provider payment system for the health sector "/>
    <s v="Stake holder validating meeting"/>
    <s v="Fuel for travelling participants"/>
    <n v="211.42857142857142"/>
    <m/>
    <m/>
    <n v="0"/>
    <m/>
    <m/>
    <n v="0"/>
    <n v="22500"/>
    <n v="1"/>
    <n v="6214106.5015891213"/>
    <m/>
    <m/>
    <n v="0"/>
    <m/>
    <m/>
    <n v="0"/>
    <m/>
    <m/>
    <n v="0"/>
    <n v="22500"/>
    <n v="1"/>
    <n v="10603364.469442895"/>
    <m/>
    <m/>
    <n v="0"/>
    <n v="16817470.971032016"/>
    <n v="16327.641719448558"/>
  </r>
  <r>
    <s v="4.3.3.3"/>
    <x v="2"/>
    <x v="2"/>
    <x v="2"/>
    <x v="11"/>
    <n v="2"/>
    <x v="59"/>
    <x v="59"/>
    <s v="Review and update assessment on mixed provider payment system for the health sector "/>
    <s v="present to TWG"/>
    <s v="Conference package high-level"/>
    <n v="35000"/>
    <m/>
    <m/>
    <n v="0"/>
    <n v="0"/>
    <n v="0"/>
    <n v="0"/>
    <n v="50"/>
    <n v="1"/>
    <n v="2285970.1094434457"/>
    <n v="0"/>
    <n v="0"/>
    <n v="0"/>
    <n v="30"/>
    <n v="1"/>
    <n v="1791654.6312921871"/>
    <n v="0"/>
    <n v="0"/>
    <n v="0"/>
    <n v="50"/>
    <n v="1"/>
    <n v="3900637.0795998634"/>
    <n v="0"/>
    <n v="0"/>
    <n v="0"/>
    <n v="7978261.8203354962"/>
    <n v="7745.8852624616466"/>
  </r>
  <r>
    <s v="4.3.3.3"/>
    <x v="2"/>
    <x v="2"/>
    <x v="2"/>
    <x v="11"/>
    <n v="2"/>
    <x v="59"/>
    <x v="59"/>
    <s v="Review and update assessment on mixed provider payment system for the health sector "/>
    <s v="Present to SMT for Approval "/>
    <s v="zero cost"/>
    <n v="0"/>
    <n v="0"/>
    <n v="0"/>
    <n v="0"/>
    <n v="0"/>
    <n v="0"/>
    <n v="0"/>
    <n v="0"/>
    <n v="0"/>
    <n v="0"/>
    <n v="0"/>
    <n v="0"/>
    <n v="0"/>
    <n v="0"/>
    <n v="0"/>
    <n v="0"/>
    <n v="0"/>
    <n v="0"/>
    <n v="0"/>
    <n v="0"/>
    <n v="0"/>
    <n v="0"/>
    <n v="0"/>
    <n v="0"/>
    <n v="0"/>
    <n v="0"/>
    <n v="0"/>
  </r>
  <r>
    <s v="4.3.3.3"/>
    <x v="2"/>
    <x v="2"/>
    <x v="2"/>
    <x v="11"/>
    <n v="2"/>
    <x v="59"/>
    <x v="59"/>
    <s v="Develop a roadmap for the implementation of recommendations "/>
    <s v="Conduct 3 taskforce meetings"/>
    <s v="DSA (excl. lunch)"/>
    <n v="39000"/>
    <m/>
    <m/>
    <n v="0"/>
    <n v="30"/>
    <n v="5"/>
    <n v="6686088.4174499987"/>
    <n v="25"/>
    <n v="18"/>
    <n v="22925014.526132841"/>
    <n v="0"/>
    <n v="0"/>
    <n v="0"/>
    <n v="0"/>
    <n v="0"/>
    <n v="0"/>
    <n v="0"/>
    <n v="0"/>
    <n v="0"/>
    <n v="0"/>
    <n v="0"/>
    <n v="0"/>
    <n v="0"/>
    <n v="0"/>
    <n v="0"/>
    <n v="29611102.94358284"/>
    <n v="28748.643634546446"/>
  </r>
  <r>
    <s v="4.3.3.3"/>
    <x v="2"/>
    <x v="2"/>
    <x v="2"/>
    <x v="11"/>
    <n v="2"/>
    <x v="59"/>
    <x v="59"/>
    <s v="Develop a roadmap for the implementation of recommendations "/>
    <s v="Conduct 3 taskforce meetings"/>
    <s v="Conference package high-level"/>
    <n v="35000"/>
    <m/>
    <m/>
    <n v="0"/>
    <n v="30"/>
    <n v="5"/>
    <n v="6000335.7592499992"/>
    <n v="25"/>
    <n v="15"/>
    <n v="17144775.820825841"/>
    <n v="0"/>
    <n v="0"/>
    <n v="0"/>
    <n v="0"/>
    <n v="0"/>
    <n v="0"/>
    <n v="0"/>
    <n v="0"/>
    <n v="0"/>
    <n v="0"/>
    <n v="0"/>
    <n v="0"/>
    <n v="0"/>
    <n v="0"/>
    <n v="0"/>
    <n v="23145111.580075841"/>
    <n v="22470.982116578485"/>
  </r>
  <r>
    <s v="4.3.3.3"/>
    <x v="2"/>
    <x v="2"/>
    <x v="2"/>
    <x v="11"/>
    <n v="2"/>
    <x v="59"/>
    <x v="59"/>
    <s v="Develop a roadmap for the implementation of recommendations "/>
    <s v="Conduct 3 taskforce meetings"/>
    <s v="Local running (diesel, per km)"/>
    <n v="211.42857142857142"/>
    <m/>
    <m/>
    <n v="0"/>
    <n v="8000"/>
    <n v="1"/>
    <n v="1933169.3983542854"/>
    <n v="450"/>
    <n v="15"/>
    <n v="1864231.9504767365"/>
    <n v="0"/>
    <n v="0"/>
    <n v="0"/>
    <n v="0"/>
    <n v="0"/>
    <n v="0"/>
    <n v="0"/>
    <n v="0"/>
    <n v="0"/>
    <n v="0"/>
    <n v="0"/>
    <n v="0"/>
    <n v="0"/>
    <n v="0"/>
    <n v="0"/>
    <n v="3797401.3488310222"/>
    <n v="3686.7974260495362"/>
  </r>
  <r>
    <s v="4.3.3.3"/>
    <x v="2"/>
    <x v="2"/>
    <x v="2"/>
    <x v="11"/>
    <n v="2"/>
    <x v="59"/>
    <x v="59"/>
    <s v="Develop a roadmap for the implementation of recommendations "/>
    <s v="Conduct 3 taskforce meetings"/>
    <s v="Fuel for travelling participants"/>
    <n v="211.42857142857142"/>
    <m/>
    <m/>
    <n v="0"/>
    <m/>
    <m/>
    <n v="0"/>
    <n v="2430"/>
    <n v="3"/>
    <n v="2013370.5065148755"/>
    <m/>
    <m/>
    <n v="0"/>
    <m/>
    <m/>
    <n v="0"/>
    <m/>
    <m/>
    <n v="0"/>
    <m/>
    <m/>
    <n v="0"/>
    <m/>
    <m/>
    <n v="0"/>
    <n v="2013370.5065148755"/>
    <n v="1954.7286471018208"/>
  </r>
  <r>
    <s v="4.3.3.3"/>
    <x v="2"/>
    <x v="2"/>
    <x v="2"/>
    <x v="11"/>
    <n v="2"/>
    <x v="59"/>
    <x v="59"/>
    <s v="Implementation of MPPS reforms"/>
    <s v="Follow up and update payments assessments"/>
    <s v="zero cost"/>
    <n v="0"/>
    <m/>
    <m/>
    <n v="0"/>
    <n v="0"/>
    <n v="0"/>
    <n v="0"/>
    <n v="0"/>
    <n v="0"/>
    <n v="0"/>
    <n v="0"/>
    <n v="0"/>
    <n v="0"/>
    <n v="0"/>
    <n v="0"/>
    <n v="0"/>
    <n v="0"/>
    <n v="0"/>
    <n v="0"/>
    <n v="0"/>
    <n v="0"/>
    <n v="0"/>
    <n v="0"/>
    <n v="0"/>
    <n v="0"/>
    <n v="0"/>
    <n v="0"/>
  </r>
  <r>
    <s v="4.3.3.3"/>
    <x v="2"/>
    <x v="2"/>
    <x v="2"/>
    <x v="11"/>
    <n v="2"/>
    <x v="59"/>
    <x v="59"/>
    <s v="Implementation of MPPS reforms"/>
    <s v="Conduct an assessment exercise in the districts by central level "/>
    <s v="Full DSA"/>
    <n v="45000"/>
    <n v="29"/>
    <n v="2"/>
    <n v="2610000"/>
    <n v="0"/>
    <n v="0"/>
    <n v="0"/>
    <n v="0"/>
    <n v="0"/>
    <n v="0"/>
    <n v="0"/>
    <n v="0"/>
    <n v="0"/>
    <n v="15"/>
    <n v="10"/>
    <n v="11517779.77259263"/>
    <n v="0"/>
    <n v="0"/>
    <n v="0"/>
    <n v="0"/>
    <n v="0"/>
    <n v="0"/>
    <n v="0"/>
    <n v="0"/>
    <n v="0"/>
    <n v="14127779.77259263"/>
    <n v="13716.291041352068"/>
  </r>
  <r>
    <s v="4.3.3.3"/>
    <x v="2"/>
    <x v="2"/>
    <x v="2"/>
    <x v="11"/>
    <n v="2"/>
    <x v="59"/>
    <x v="59"/>
    <s v="Implementation of MPPS reforms"/>
    <s v="Conduct an assessment exercise in the districts by central level "/>
    <s v="Local running (diesel, per km)"/>
    <n v="211.42857142857142"/>
    <n v="22500"/>
    <n v="2"/>
    <n v="9514285.7142857146"/>
    <n v="0"/>
    <n v="0"/>
    <n v="0"/>
    <n v="0"/>
    <n v="0"/>
    <n v="0"/>
    <n v="0"/>
    <n v="0"/>
    <n v="0"/>
    <n v="8000"/>
    <n v="1"/>
    <n v="2886148.4128570738"/>
    <n v="0"/>
    <n v="0"/>
    <n v="0"/>
    <n v="0"/>
    <n v="0"/>
    <n v="0"/>
    <n v="0"/>
    <n v="0"/>
    <n v="0"/>
    <n v="12400434.127142789"/>
    <n v="12039.256434119212"/>
  </r>
  <r>
    <s v="4.3.3.3"/>
    <x v="2"/>
    <x v="2"/>
    <x v="2"/>
    <x v="11"/>
    <n v="2"/>
    <x v="59"/>
    <x v="59"/>
    <s v="Implementation of MPPS reforms"/>
    <s v="Conduct an assessment exercise in the districts by central level "/>
    <s v="Fuel for travelling participants"/>
    <n v="211.42857142857142"/>
    <n v="90000"/>
    <n v="1"/>
    <n v="19028571.428571429"/>
    <m/>
    <m/>
    <n v="0"/>
    <m/>
    <m/>
    <n v="0"/>
    <m/>
    <m/>
    <n v="0"/>
    <m/>
    <m/>
    <n v="0"/>
    <m/>
    <m/>
    <n v="0"/>
    <m/>
    <m/>
    <n v="0"/>
    <m/>
    <m/>
    <n v="0"/>
    <n v="19028571.428571429"/>
    <n v="18474.341192787797"/>
  </r>
  <r>
    <s v="4.3.3.3"/>
    <x v="2"/>
    <x v="2"/>
    <x v="2"/>
    <x v="11"/>
    <n v="2"/>
    <x v="59"/>
    <x v="59"/>
    <s v="Implementation of MPPS reforms"/>
    <s v="Present assessment findings to stakeholders "/>
    <s v="Conference package high-level"/>
    <n v="35000"/>
    <n v="100"/>
    <n v="2"/>
    <n v="7000000"/>
    <n v="0"/>
    <n v="0"/>
    <n v="0"/>
    <n v="0"/>
    <n v="0"/>
    <n v="0"/>
    <n v="0"/>
    <n v="0"/>
    <n v="0"/>
    <n v="0"/>
    <n v="0"/>
    <n v="0"/>
    <n v="0"/>
    <n v="0"/>
    <n v="0"/>
    <n v="0"/>
    <n v="0"/>
    <n v="0"/>
    <n v="0"/>
    <n v="0"/>
    <n v="0"/>
    <n v="7000000"/>
    <n v="6796.1165048543689"/>
  </r>
  <r>
    <s v="4.3.3.3"/>
    <x v="2"/>
    <x v="2"/>
    <x v="2"/>
    <x v="11"/>
    <n v="2"/>
    <x v="59"/>
    <x v="59"/>
    <s v="Implementation of MPPS reforms"/>
    <s v="Follow up and update results assessment of HMIS of provider payment reform"/>
    <s v="zero cost"/>
    <n v="0"/>
    <n v="0"/>
    <n v="0"/>
    <n v="0"/>
    <n v="0"/>
    <n v="0"/>
    <n v="0"/>
    <n v="0"/>
    <n v="0"/>
    <n v="0"/>
    <n v="0"/>
    <n v="0"/>
    <n v="0"/>
    <n v="0"/>
    <n v="0"/>
    <n v="0"/>
    <n v="0"/>
    <n v="0"/>
    <n v="0"/>
    <n v="0"/>
    <n v="0"/>
    <n v="0"/>
    <n v="0"/>
    <n v="0"/>
    <n v="0"/>
    <n v="0"/>
    <n v="0"/>
  </r>
  <r>
    <s v="4.3.3.3"/>
    <x v="2"/>
    <x v="2"/>
    <x v="2"/>
    <x v="11"/>
    <n v="2"/>
    <x v="59"/>
    <x v="59"/>
    <s v="Implementation of MPPS reforms"/>
    <s v="Conduct 4-day capacity building to HMIS officers (30) on provider payment reform"/>
    <s v="Conference package high-level"/>
    <n v="35000"/>
    <n v="30"/>
    <n v="4"/>
    <n v="4200000"/>
    <n v="30"/>
    <n v="4"/>
    <n v="4800268.6073999992"/>
    <n v="0"/>
    <n v="0"/>
    <n v="0"/>
    <n v="0"/>
    <n v="0"/>
    <n v="0"/>
    <n v="40"/>
    <n v="4"/>
    <n v="9555491.3668916635"/>
    <n v="0"/>
    <n v="0"/>
    <n v="0"/>
    <n v="0"/>
    <n v="0"/>
    <n v="0"/>
    <n v="0"/>
    <n v="0"/>
    <n v="0"/>
    <n v="18555759.974291664"/>
    <n v="18015.300945914238"/>
  </r>
  <r>
    <s v="4.3.3.3"/>
    <x v="2"/>
    <x v="2"/>
    <x v="2"/>
    <x v="11"/>
    <n v="2"/>
    <x v="59"/>
    <x v="59"/>
    <s v="Implementation of MPPS reforms"/>
    <s v="Conduct 4-day capacity building to HMIS officers (30) on provider payment reform"/>
    <s v="DSA (excl. lunch)"/>
    <n v="39000"/>
    <n v="30"/>
    <n v="4"/>
    <n v="4680000"/>
    <n v="30"/>
    <n v="4"/>
    <n v="5348870.7339599989"/>
    <n v="0"/>
    <n v="0"/>
    <n v="0"/>
    <n v="0"/>
    <n v="0"/>
    <n v="0"/>
    <n v="40"/>
    <n v="4"/>
    <n v="10647547.523107855"/>
    <n v="0"/>
    <n v="0"/>
    <n v="0"/>
    <n v="0"/>
    <n v="0"/>
    <n v="0"/>
    <n v="0"/>
    <n v="0"/>
    <n v="0"/>
    <n v="20676418.257067852"/>
    <n v="20074.192482590148"/>
  </r>
  <r>
    <s v="4.3.3.3"/>
    <x v="2"/>
    <x v="2"/>
    <x v="2"/>
    <x v="11"/>
    <n v="2"/>
    <x v="59"/>
    <x v="59"/>
    <s v="Implementation of MPPS reforms"/>
    <s v="Conduct 4-day capacity building to HMIS officers (30) on provider payment reform"/>
    <s v="Local running (diesel, per km)"/>
    <n v="211.42857142857142"/>
    <n v="450"/>
    <n v="4"/>
    <n v="380571.42857142852"/>
    <n v="450"/>
    <n v="4"/>
    <n v="434963.11462971423"/>
    <n v="0"/>
    <n v="0"/>
    <n v="0"/>
    <n v="0"/>
    <n v="0"/>
    <n v="0"/>
    <n v="8000"/>
    <n v="1"/>
    <n v="2886148.4128570738"/>
    <n v="0"/>
    <n v="0"/>
    <n v="0"/>
    <n v="0"/>
    <n v="0"/>
    <n v="0"/>
    <n v="0"/>
    <n v="0"/>
    <n v="0"/>
    <n v="3701682.9560582163"/>
    <n v="3593.8669476293362"/>
  </r>
  <r>
    <s v="4.3.3.3"/>
    <x v="2"/>
    <x v="2"/>
    <x v="2"/>
    <x v="11"/>
    <n v="2"/>
    <x v="59"/>
    <x v="59"/>
    <s v="Implementation of MPPS reforms"/>
    <s v="Conduct 4-day capacity building to HMIS officers (30) on provider payment reform"/>
    <s v="Fuel for travelling participants"/>
    <n v="211.42857142857142"/>
    <n v="2430"/>
    <n v="1"/>
    <n v="513771.42857142852"/>
    <n v="2430"/>
    <n v="1"/>
    <n v="587200.20475011424"/>
    <m/>
    <m/>
    <n v="0"/>
    <m/>
    <m/>
    <n v="0"/>
    <m/>
    <m/>
    <n v="0"/>
    <m/>
    <m/>
    <n v="0"/>
    <m/>
    <m/>
    <n v="0"/>
    <m/>
    <m/>
    <n v="0"/>
    <n v="1100971.6333215428"/>
    <n v="1068.9044983704298"/>
  </r>
  <r>
    <s v="4.3.3.3"/>
    <x v="2"/>
    <x v="2"/>
    <x v="2"/>
    <x v="11"/>
    <n v="2"/>
    <x v="59"/>
    <x v="59"/>
    <s v="Monitoring Provider Payment System"/>
    <s v="Conduct quarterly review meetings "/>
    <s v="DSA (excl. lunch)"/>
    <n v="39000"/>
    <m/>
    <m/>
    <n v="0"/>
    <n v="25"/>
    <n v="24"/>
    <n v="26744353.669799998"/>
    <n v="200"/>
    <n v="3"/>
    <n v="30566686.034843788"/>
    <n v="200"/>
    <n v="3"/>
    <n v="34935310.334598243"/>
    <n v="200"/>
    <n v="3"/>
    <n v="39928303.211654454"/>
    <n v="0"/>
    <n v="0"/>
    <n v="0"/>
    <n v="0"/>
    <n v="0"/>
    <n v="0"/>
    <n v="0"/>
    <n v="0"/>
    <n v="0"/>
    <n v="132174653.25089648"/>
    <n v="128324.90606883154"/>
  </r>
  <r>
    <s v="4.3.3.3"/>
    <x v="2"/>
    <x v="2"/>
    <x v="2"/>
    <x v="11"/>
    <n v="2"/>
    <x v="59"/>
    <x v="59"/>
    <s v="Monitoring Provider Payment System"/>
    <s v="Conduct quarterly review meetings "/>
    <s v="Conference package high-level"/>
    <n v="35000"/>
    <m/>
    <m/>
    <n v="0"/>
    <n v="25"/>
    <n v="20"/>
    <n v="20001119.197499998"/>
    <n v="200"/>
    <n v="3"/>
    <n v="27431641.313321348"/>
    <n v="200"/>
    <n v="3"/>
    <n v="31352201.582331754"/>
    <n v="200"/>
    <n v="3"/>
    <n v="35833092.625843741"/>
    <n v="0"/>
    <n v="0"/>
    <n v="0"/>
    <n v="0"/>
    <n v="0"/>
    <n v="0"/>
    <n v="0"/>
    <n v="0"/>
    <n v="0"/>
    <n v="114618054.71899682"/>
    <n v="111279.66477572508"/>
  </r>
  <r>
    <s v="4.3.3.3"/>
    <x v="2"/>
    <x v="2"/>
    <x v="2"/>
    <x v="11"/>
    <n v="2"/>
    <x v="59"/>
    <x v="59"/>
    <s v="Monitoring Provider Payment System"/>
    <s v="Conduct quarterly review meetings "/>
    <s v="Local running (diesel, per km)"/>
    <n v="211.42857142857142"/>
    <m/>
    <m/>
    <n v="0"/>
    <n v="450"/>
    <n v="20"/>
    <n v="2174815.573148571"/>
    <n v="60000"/>
    <n v="1"/>
    <n v="16570950.670904323"/>
    <n v="60000"/>
    <n v="1"/>
    <n v="18939289.119122852"/>
    <n v="60000"/>
    <n v="1"/>
    <n v="21646113.096428052"/>
    <n v="0"/>
    <n v="0"/>
    <n v="0"/>
    <n v="0"/>
    <n v="0"/>
    <n v="0"/>
    <n v="0"/>
    <n v="0"/>
    <n v="0"/>
    <n v="59331168.459603801"/>
    <n v="57603.076174372625"/>
  </r>
  <r>
    <s v="4.3.3.3"/>
    <x v="2"/>
    <x v="2"/>
    <x v="2"/>
    <x v="11"/>
    <n v="2"/>
    <x v="59"/>
    <x v="59"/>
    <s v="Monitoring Provider Payment System"/>
    <s v="Conduct quarterly review meetings "/>
    <s v="Fuel for travelling participants"/>
    <n v="211.42857142857142"/>
    <m/>
    <m/>
    <n v="0"/>
    <n v="2430"/>
    <n v="4"/>
    <n v="2348800.8190004569"/>
    <m/>
    <m/>
    <n v="0"/>
    <m/>
    <m/>
    <n v="0"/>
    <m/>
    <m/>
    <n v="0"/>
    <m/>
    <m/>
    <n v="0"/>
    <m/>
    <m/>
    <n v="0"/>
    <m/>
    <m/>
    <n v="0"/>
    <n v="2348800.8190004569"/>
    <n v="2280.3891446606376"/>
  </r>
  <r>
    <s v="4.3.3.3"/>
    <x v="2"/>
    <x v="2"/>
    <x v="2"/>
    <x v="11"/>
    <n v="2"/>
    <x v="59"/>
    <x v="59"/>
    <s v="Develop purchaser-provider framework for the health sector"/>
    <s v="Based on the updated MPPS develop a concept note for the purchaser provider split "/>
    <s v="zero cost"/>
    <n v="0"/>
    <n v="0"/>
    <n v="0"/>
    <n v="0"/>
    <n v="0"/>
    <n v="0"/>
    <n v="0"/>
    <n v="0"/>
    <n v="0"/>
    <n v="0"/>
    <n v="0"/>
    <n v="0"/>
    <n v="0"/>
    <n v="0"/>
    <n v="0"/>
    <n v="0"/>
    <n v="0"/>
    <n v="0"/>
    <n v="0"/>
    <n v="0"/>
    <n v="0"/>
    <n v="0"/>
    <n v="0"/>
    <n v="0"/>
    <n v="0"/>
    <n v="0"/>
    <n v="0"/>
  </r>
  <r>
    <s v="4.3.3.3"/>
    <x v="2"/>
    <x v="2"/>
    <x v="2"/>
    <x v="11"/>
    <n v="2"/>
    <x v="59"/>
    <x v="59"/>
    <s v="Develop purchaser-provider framework for the health sector"/>
    <s v="Develop TORs for purchaser-provider framework with detailed guidelines "/>
    <s v="zero cost"/>
    <n v="0"/>
    <n v="0"/>
    <n v="0"/>
    <n v="0"/>
    <n v="0"/>
    <n v="0"/>
    <n v="0"/>
    <n v="0"/>
    <n v="0"/>
    <n v="0"/>
    <n v="0"/>
    <n v="0"/>
    <n v="0"/>
    <n v="0"/>
    <n v="0"/>
    <n v="0"/>
    <n v="0"/>
    <n v="0"/>
    <n v="0"/>
    <n v="0"/>
    <n v="0"/>
    <n v="0"/>
    <n v="0"/>
    <n v="0"/>
    <n v="0"/>
    <n v="0"/>
    <n v="0"/>
  </r>
  <r>
    <s v="4.3.3.3"/>
    <x v="2"/>
    <x v="2"/>
    <x v="2"/>
    <x v="11"/>
    <n v="2"/>
    <x v="59"/>
    <x v="59"/>
    <s v="Develop purchaser-provider framework for the health sector"/>
    <s v="Recruit a consultant to facilitate the development of the PPS"/>
    <s v="Newspaper advert (full)"/>
    <n v="391991.03749999998"/>
    <m/>
    <m/>
    <n v="0"/>
    <n v="2"/>
    <n v="2"/>
    <n v="1792059.3063746723"/>
    <n v="0"/>
    <n v="0"/>
    <n v="0"/>
    <n v="0"/>
    <n v="0"/>
    <n v="0"/>
    <n v="0"/>
    <n v="0"/>
    <n v="0"/>
    <n v="2"/>
    <n v="2"/>
    <n v="3057858.4341109009"/>
    <n v="0"/>
    <n v="0"/>
    <n v="0"/>
    <n v="0"/>
    <n v="0"/>
    <n v="0"/>
    <n v="4849917.7404855732"/>
    <n v="4708.6580004714306"/>
  </r>
  <r>
    <s v="4.3.3.3"/>
    <x v="2"/>
    <x v="2"/>
    <x v="2"/>
    <x v="11"/>
    <n v="2"/>
    <x v="59"/>
    <x v="59"/>
    <s v="Develop purchaser-provider framework for the health sector"/>
    <s v="Recruit a consultant to facilitate the development of the PPS"/>
    <s v="Local consultant fee - High level"/>
    <n v="9279760"/>
    <m/>
    <m/>
    <n v="0"/>
    <n v="1"/>
    <n v="25"/>
    <n v="265150836.97741795"/>
    <m/>
    <m/>
    <n v="0"/>
    <n v="0"/>
    <n v="0"/>
    <n v="0"/>
    <n v="1"/>
    <n v="25"/>
    <n v="395860118.60190439"/>
    <n v="1"/>
    <n v="25"/>
    <n v="452436881.01103866"/>
    <n v="0"/>
    <n v="0"/>
    <n v="0"/>
    <n v="1"/>
    <n v="25"/>
    <n v="591004106.51488876"/>
    <n v="1704451943.1052499"/>
    <n v="1654807.7117526699"/>
  </r>
  <r>
    <s v="4.3.3.3"/>
    <x v="2"/>
    <x v="2"/>
    <x v="2"/>
    <x v="11"/>
    <n v="2"/>
    <x v="59"/>
    <x v="59"/>
    <s v="Develop purchaser-provider framework for the health sector"/>
    <s v="1 National/central workshop "/>
    <s v="Conference package high-level"/>
    <n v="35000"/>
    <m/>
    <m/>
    <n v="0"/>
    <n v="100"/>
    <n v="5"/>
    <n v="20001119.197499998"/>
    <n v="0"/>
    <n v="0"/>
    <n v="0"/>
    <n v="0"/>
    <n v="0"/>
    <n v="0"/>
    <n v="0"/>
    <n v="0"/>
    <n v="0"/>
    <n v="100"/>
    <n v="5"/>
    <n v="34128664.610693276"/>
    <n v="0"/>
    <n v="0"/>
    <n v="0"/>
    <n v="0"/>
    <n v="0"/>
    <n v="0"/>
    <n v="54129783.808193274"/>
    <n v="52553.188163294442"/>
  </r>
  <r>
    <s v="4.3.3.3"/>
    <x v="2"/>
    <x v="2"/>
    <x v="2"/>
    <x v="11"/>
    <n v="2"/>
    <x v="59"/>
    <x v="59"/>
    <s v="Develop purchaser-provider framework for the health sector"/>
    <s v="1 National/central workshop "/>
    <s v="DSA (excl. lunch)"/>
    <n v="39000"/>
    <m/>
    <m/>
    <n v="0"/>
    <n v="58"/>
    <n v="6"/>
    <n v="15511725.128483998"/>
    <m/>
    <m/>
    <n v="0"/>
    <m/>
    <m/>
    <n v="0"/>
    <m/>
    <m/>
    <n v="0"/>
    <n v="58"/>
    <n v="6"/>
    <n v="26468242.06264738"/>
    <m/>
    <m/>
    <n v="0"/>
    <m/>
    <m/>
    <n v="0"/>
    <n v="41979967.191131376"/>
    <n v="40757.249700127548"/>
  </r>
  <r>
    <s v="4.3.3.3"/>
    <x v="2"/>
    <x v="2"/>
    <x v="2"/>
    <x v="11"/>
    <n v="2"/>
    <x v="59"/>
    <x v="59"/>
    <s v="Develop purchaser-provider framework for the health sector"/>
    <s v="2 National/central workshop "/>
    <s v="Local running (diesel, per km)"/>
    <n v="211.42857142857142"/>
    <m/>
    <m/>
    <n v="0"/>
    <n v="1450"/>
    <n v="5"/>
    <n v="1751934.7672585712"/>
    <n v="0"/>
    <n v="0"/>
    <n v="0"/>
    <n v="0"/>
    <n v="0"/>
    <n v="0"/>
    <n v="0"/>
    <n v="0"/>
    <n v="0"/>
    <n v="1450"/>
    <n v="5"/>
    <n v="2989392.41855297"/>
    <n v="0"/>
    <n v="0"/>
    <n v="0"/>
    <n v="0"/>
    <n v="0"/>
    <n v="0"/>
    <n v="4741327.185811541"/>
    <n v="4603.2302774869331"/>
  </r>
  <r>
    <s v="4.3.3.3"/>
    <x v="2"/>
    <x v="2"/>
    <x v="2"/>
    <x v="11"/>
    <n v="2"/>
    <x v="59"/>
    <x v="59"/>
    <s v="Develop purchaser-provider framework for the health sector"/>
    <s v="2 National/central workshop "/>
    <s v="Fuel for travelling participants"/>
    <n v="211.42857142857142"/>
    <m/>
    <m/>
    <n v="0"/>
    <n v="22500"/>
    <n v="1"/>
    <n v="5437038.9328714283"/>
    <m/>
    <m/>
    <n v="0"/>
    <m/>
    <m/>
    <n v="0"/>
    <m/>
    <m/>
    <n v="0"/>
    <n v="22500"/>
    <n v="1"/>
    <n v="9277424.7472333554"/>
    <m/>
    <m/>
    <n v="0"/>
    <m/>
    <m/>
    <n v="0"/>
    <n v="14714463.680104785"/>
    <n v="14285.887068062897"/>
  </r>
  <r>
    <s v="4.3.3.3"/>
    <x v="2"/>
    <x v="2"/>
    <x v="2"/>
    <x v="11"/>
    <n v="2"/>
    <x v="59"/>
    <x v="59"/>
    <s v="Develop purchaser-provider framework for the health sector"/>
    <s v="2-day workshop with faith-based providers "/>
    <s v="Conference package high-level"/>
    <n v="35000"/>
    <m/>
    <m/>
    <n v="0"/>
    <n v="25"/>
    <n v="2"/>
    <n v="2000111.9197499997"/>
    <n v="0"/>
    <n v="0"/>
    <n v="0"/>
    <n v="0"/>
    <n v="0"/>
    <n v="0"/>
    <n v="0"/>
    <n v="0"/>
    <n v="0"/>
    <n v="25"/>
    <n v="2"/>
    <n v="3412866.4610693273"/>
    <n v="0"/>
    <n v="0"/>
    <n v="0"/>
    <n v="0"/>
    <n v="0"/>
    <n v="0"/>
    <n v="5412978.3808193272"/>
    <n v="5255.3188163294435"/>
  </r>
  <r>
    <s v="4.3.3.3"/>
    <x v="2"/>
    <x v="2"/>
    <x v="2"/>
    <x v="11"/>
    <n v="2"/>
    <x v="59"/>
    <x v="59"/>
    <s v="Develop purchaser-provider framework for the health sector"/>
    <s v="2-day workshop with faith-based providers "/>
    <s v="DSA (excl. lunch)"/>
    <n v="39000"/>
    <m/>
    <m/>
    <n v="0"/>
    <n v="25"/>
    <n v="3"/>
    <n v="3343044.2087249998"/>
    <m/>
    <m/>
    <n v="0"/>
    <m/>
    <m/>
    <n v="0"/>
    <m/>
    <m/>
    <n v="0"/>
    <n v="25"/>
    <n v="3"/>
    <n v="5704362.513501591"/>
    <m/>
    <m/>
    <n v="0"/>
    <m/>
    <m/>
    <n v="0"/>
    <n v="9047406.7222265899"/>
    <n v="8783.8900215792128"/>
  </r>
  <r>
    <s v="4.3.3.3"/>
    <x v="2"/>
    <x v="2"/>
    <x v="2"/>
    <x v="11"/>
    <n v="2"/>
    <x v="59"/>
    <x v="59"/>
    <s v="Develop purchaser-provider framework for the health sector"/>
    <s v="2-day workshop with faith-based providers "/>
    <s v="Local running (diesel, per km)"/>
    <n v="211.42857142857142"/>
    <m/>
    <m/>
    <n v="0"/>
    <n v="450"/>
    <n v="2"/>
    <n v="217481.55731485711"/>
    <n v="0"/>
    <n v="0"/>
    <n v="0"/>
    <n v="0"/>
    <n v="0"/>
    <n v="0"/>
    <n v="0"/>
    <n v="0"/>
    <n v="0"/>
    <n v="450"/>
    <n v="2"/>
    <n v="371096.98988933425"/>
    <n v="0"/>
    <n v="0"/>
    <n v="0"/>
    <n v="0"/>
    <n v="0"/>
    <n v="0"/>
    <n v="588578.54720419133"/>
    <n v="571.43548272251587"/>
  </r>
  <r>
    <s v="4.3.3.3"/>
    <x v="2"/>
    <x v="2"/>
    <x v="2"/>
    <x v="11"/>
    <n v="2"/>
    <x v="59"/>
    <x v="59"/>
    <s v="Develop purchaser-provider framework for the health sector"/>
    <s v="2-day workshop with faith-based providers "/>
    <s v="Fuel for travelling participants"/>
    <n v="211.42857142857142"/>
    <m/>
    <m/>
    <n v="0"/>
    <n v="2430"/>
    <n v="1"/>
    <n v="587200.20475011424"/>
    <m/>
    <m/>
    <n v="0"/>
    <m/>
    <m/>
    <n v="0"/>
    <m/>
    <m/>
    <n v="0"/>
    <n v="2430"/>
    <n v="1"/>
    <n v="1001961.8727012025"/>
    <m/>
    <m/>
    <n v="0"/>
    <m/>
    <m/>
    <n v="0"/>
    <n v="1589162.0774513166"/>
    <n v="1542.8758033507929"/>
  </r>
  <r>
    <s v="4.3.3.3"/>
    <x v="2"/>
    <x v="2"/>
    <x v="2"/>
    <x v="11"/>
    <n v="2"/>
    <x v="59"/>
    <x v="59"/>
    <s v="Develop purchaser-provider framework for the health sector"/>
    <s v="zonal level workshop, 2 participants per district"/>
    <s v="DSA (excl. lunch)"/>
    <n v="39000"/>
    <m/>
    <m/>
    <n v="0"/>
    <n v="58"/>
    <n v="6"/>
    <n v="15511725.128483998"/>
    <n v="0"/>
    <n v="0"/>
    <n v="0"/>
    <n v="0"/>
    <n v="0"/>
    <n v="0"/>
    <n v="0"/>
    <n v="0"/>
    <n v="0"/>
    <n v="58"/>
    <n v="6"/>
    <n v="26468242.06264738"/>
    <n v="0"/>
    <n v="0"/>
    <n v="0"/>
    <n v="0"/>
    <n v="0"/>
    <n v="0"/>
    <n v="41979967.191131376"/>
    <n v="40757.249700127548"/>
  </r>
  <r>
    <s v="4.3.3.3"/>
    <x v="2"/>
    <x v="2"/>
    <x v="2"/>
    <x v="11"/>
    <n v="2"/>
    <x v="59"/>
    <x v="59"/>
    <s v="Develop purchaser-provider framework for the health sector"/>
    <s v="zonal level workshop, 2 participants per district"/>
    <s v="Conference package high-level"/>
    <n v="35000"/>
    <m/>
    <m/>
    <n v="0"/>
    <n v="100"/>
    <n v="5"/>
    <n v="20001119.197499998"/>
    <n v="0"/>
    <n v="0"/>
    <n v="0"/>
    <n v="0"/>
    <n v="0"/>
    <n v="0"/>
    <n v="0"/>
    <n v="0"/>
    <n v="0"/>
    <n v="100"/>
    <n v="5"/>
    <n v="34128664.610693276"/>
    <n v="0"/>
    <n v="0"/>
    <n v="0"/>
    <n v="0"/>
    <n v="0"/>
    <n v="0"/>
    <n v="54129783.808193274"/>
    <n v="52553.188163294442"/>
  </r>
  <r>
    <s v="4.3.3.3"/>
    <x v="2"/>
    <x v="2"/>
    <x v="2"/>
    <x v="11"/>
    <n v="2"/>
    <x v="59"/>
    <x v="59"/>
    <s v="Develop purchaser-provider framework for the health sector"/>
    <s v="zonal level workshop, 2 participants per district"/>
    <s v="Local running (diesel, per km)"/>
    <n v="211.42857142857142"/>
    <m/>
    <m/>
    <n v="0"/>
    <n v="1450"/>
    <n v="5"/>
    <n v="1751934.7672585712"/>
    <n v="0"/>
    <n v="0"/>
    <n v="0"/>
    <n v="0"/>
    <n v="0"/>
    <n v="0"/>
    <n v="0"/>
    <n v="0"/>
    <n v="0"/>
    <n v="1450"/>
    <n v="5"/>
    <n v="2989392.41855297"/>
    <n v="0"/>
    <n v="0"/>
    <n v="0"/>
    <n v="0"/>
    <n v="0"/>
    <n v="0"/>
    <n v="4741327.185811541"/>
    <n v="4603.2302774869331"/>
  </r>
  <r>
    <s v="4.3.3.3"/>
    <x v="2"/>
    <x v="2"/>
    <x v="2"/>
    <x v="11"/>
    <n v="2"/>
    <x v="59"/>
    <x v="59"/>
    <s v="Develop purchaser-provider framework for the health sector"/>
    <s v="zonal level workshop, 2 participants per district"/>
    <s v="Fuel for travelling participants"/>
    <n v="211.42857142857142"/>
    <m/>
    <m/>
    <n v="0"/>
    <n v="22500"/>
    <n v="1"/>
    <n v="5437038.9328714283"/>
    <m/>
    <m/>
    <n v="0"/>
    <m/>
    <m/>
    <n v="0"/>
    <m/>
    <m/>
    <n v="0"/>
    <n v="22500"/>
    <n v="1"/>
    <n v="9277424.7472333554"/>
    <m/>
    <m/>
    <n v="0"/>
    <m/>
    <m/>
    <n v="0"/>
    <n v="14714463.680104785"/>
    <n v="14285.887068062897"/>
  </r>
  <r>
    <s v="4.3.3.3"/>
    <x v="2"/>
    <x v="2"/>
    <x v="2"/>
    <x v="11"/>
    <n v="2"/>
    <x v="59"/>
    <x v="59"/>
    <s v="Develop purchaser-provider framework for the health sector"/>
    <s v="Adoption and approval of the deliverables by MoH, ministry of finance, councils and faith-based providers."/>
    <s v="Conference package high-level"/>
    <n v="35000"/>
    <n v="25"/>
    <n v="5"/>
    <n v="4375000"/>
    <n v="25"/>
    <n v="5"/>
    <n v="5000279.7993749995"/>
    <n v="0"/>
    <n v="0"/>
    <n v="0"/>
    <n v="0"/>
    <n v="0"/>
    <n v="0"/>
    <n v="0"/>
    <n v="0"/>
    <n v="0"/>
    <n v="25"/>
    <n v="5"/>
    <n v="8532166.152673319"/>
    <n v="0"/>
    <n v="0"/>
    <n v="0"/>
    <n v="0"/>
    <n v="0"/>
    <n v="0"/>
    <n v="17907445.952048317"/>
    <n v="17385.869856357589"/>
  </r>
  <r>
    <s v="4.3.3.3"/>
    <x v="2"/>
    <x v="2"/>
    <x v="2"/>
    <x v="11"/>
    <n v="2"/>
    <x v="59"/>
    <x v="59"/>
    <s v="Develop purchaser-provider framework for the health sector"/>
    <s v="Adoption and approval of the deliverables by MoH, ministry of finance, councils and faith-based providers."/>
    <s v="DSA (excl. lunch)"/>
    <n v="39000"/>
    <n v="25"/>
    <n v="6"/>
    <n v="5850000"/>
    <n v="25"/>
    <n v="6"/>
    <n v="6686088.4174499996"/>
    <n v="0"/>
    <n v="0"/>
    <n v="0"/>
    <n v="0"/>
    <n v="0"/>
    <n v="0"/>
    <n v="0"/>
    <n v="0"/>
    <n v="0"/>
    <n v="25"/>
    <n v="6"/>
    <n v="11408725.027003182"/>
    <n v="0"/>
    <n v="0"/>
    <n v="0"/>
    <n v="0"/>
    <n v="0"/>
    <n v="0"/>
    <n v="23944813.44445318"/>
    <n v="23247.391693643865"/>
  </r>
  <r>
    <s v="4.3.3.3"/>
    <x v="2"/>
    <x v="2"/>
    <x v="2"/>
    <x v="11"/>
    <n v="2"/>
    <x v="59"/>
    <x v="59"/>
    <s v="Develop purchaser-provider framework for the health sector"/>
    <s v="Adoption and approval of the deliverables by MoH, ministry of finance, councils and faith-based providers."/>
    <s v="Local running (diesel, per km)"/>
    <n v="211.42857142857142"/>
    <n v="450"/>
    <n v="5"/>
    <n v="475714.28571428568"/>
    <n v="450"/>
    <n v="5"/>
    <n v="543703.89328714274"/>
    <n v="0"/>
    <n v="0"/>
    <n v="0"/>
    <n v="0"/>
    <n v="0"/>
    <n v="0"/>
    <n v="0"/>
    <n v="0"/>
    <n v="0"/>
    <n v="450"/>
    <n v="5"/>
    <n v="927742.47472333559"/>
    <n v="0"/>
    <n v="0"/>
    <n v="0"/>
    <n v="0"/>
    <n v="0"/>
    <n v="0"/>
    <n v="1947160.653724764"/>
    <n v="1890.4472366259845"/>
  </r>
  <r>
    <s v="4.3.3.3"/>
    <x v="2"/>
    <x v="2"/>
    <x v="2"/>
    <x v="11"/>
    <n v="2"/>
    <x v="59"/>
    <x v="59"/>
    <s v="Develop purchaser-provider framework for the health sector"/>
    <s v="Adoption and approval of the deliverables by MoH, ministry of finance, councils and faith-based providers."/>
    <s v="Fuel for travelling participants"/>
    <n v="211.42857142857142"/>
    <n v="2430"/>
    <n v="1"/>
    <n v="513771.42857142852"/>
    <n v="2430"/>
    <n v="1"/>
    <n v="587200.20475011424"/>
    <m/>
    <m/>
    <n v="0"/>
    <m/>
    <m/>
    <n v="0"/>
    <m/>
    <m/>
    <n v="0"/>
    <n v="2430"/>
    <n v="1"/>
    <n v="1001961.8727012025"/>
    <m/>
    <m/>
    <n v="0"/>
    <m/>
    <m/>
    <n v="0"/>
    <n v="2102933.5060227453"/>
    <n v="2041.6830155560633"/>
  </r>
  <r>
    <s v="4.3.3.3"/>
    <x v="2"/>
    <x v="2"/>
    <x v="2"/>
    <x v="11"/>
    <n v="2"/>
    <x v="59"/>
    <x v="59"/>
    <s v="Develop purchaser-provider framework for the health sector"/>
    <s v="Validation "/>
    <s v="DSA (excl. lunch)"/>
    <n v="39000"/>
    <n v="100"/>
    <n v="5"/>
    <n v="19500000"/>
    <n v="100"/>
    <n v="5"/>
    <n v="22286961.391499996"/>
    <n v="0"/>
    <n v="0"/>
    <n v="0"/>
    <n v="0"/>
    <n v="0"/>
    <n v="0"/>
    <n v="0"/>
    <n v="0"/>
    <n v="0"/>
    <n v="100"/>
    <n v="5"/>
    <n v="38029083.423343942"/>
    <n v="0"/>
    <n v="0"/>
    <n v="0"/>
    <n v="0"/>
    <n v="0"/>
    <n v="0"/>
    <n v="79816044.814843938"/>
    <n v="77491.305645479544"/>
  </r>
  <r>
    <s v="4.3.3.3"/>
    <x v="2"/>
    <x v="2"/>
    <x v="2"/>
    <x v="11"/>
    <n v="2"/>
    <x v="59"/>
    <x v="59"/>
    <s v="Develop purchaser-provider framework for the health sector"/>
    <s v="Validation "/>
    <s v="Conference package high-level"/>
    <n v="35000"/>
    <n v="58"/>
    <n v="5"/>
    <n v="10150000"/>
    <n v="58"/>
    <n v="5"/>
    <n v="11600649.134549998"/>
    <n v="0"/>
    <n v="0"/>
    <n v="0"/>
    <n v="0"/>
    <n v="0"/>
    <n v="0"/>
    <n v="0"/>
    <n v="0"/>
    <n v="0"/>
    <n v="58"/>
    <n v="5"/>
    <n v="19794625.4742021"/>
    <n v="0"/>
    <n v="0"/>
    <n v="0"/>
    <n v="0"/>
    <n v="0"/>
    <n v="0"/>
    <n v="41545274.608752102"/>
    <n v="40335.218066749614"/>
  </r>
  <r>
    <s v="4.3.3.3"/>
    <x v="2"/>
    <x v="2"/>
    <x v="2"/>
    <x v="11"/>
    <n v="2"/>
    <x v="59"/>
    <x v="59"/>
    <s v="Develop purchaser-provider framework for the health sector"/>
    <s v="Validation "/>
    <s v="Local running (diesel, per km)"/>
    <n v="211.42857142857142"/>
    <n v="1450"/>
    <n v="5"/>
    <n v="1532857.142857143"/>
    <n v="1450"/>
    <n v="5"/>
    <n v="1751934.7672585712"/>
    <n v="0"/>
    <n v="0"/>
    <n v="0"/>
    <n v="0"/>
    <n v="0"/>
    <n v="0"/>
    <n v="0"/>
    <n v="0"/>
    <n v="0"/>
    <n v="1450"/>
    <n v="5"/>
    <n v="2989392.41855297"/>
    <n v="0"/>
    <n v="0"/>
    <n v="0"/>
    <n v="0"/>
    <n v="0"/>
    <n v="0"/>
    <n v="6274184.3286686838"/>
    <n v="6091.4410957948385"/>
  </r>
  <r>
    <s v="4.3.3.3"/>
    <x v="2"/>
    <x v="2"/>
    <x v="2"/>
    <x v="11"/>
    <n v="2"/>
    <x v="59"/>
    <x v="59"/>
    <s v="Develop purchaser-provider framework for the health sector"/>
    <s v="Validation "/>
    <s v="Fuel for travelling participants"/>
    <n v="211.42857142857142"/>
    <n v="22500"/>
    <n v="1"/>
    <n v="4757142.8571428573"/>
    <n v="22500"/>
    <n v="1"/>
    <n v="5437038.9328714283"/>
    <m/>
    <m/>
    <n v="0"/>
    <m/>
    <m/>
    <n v="0"/>
    <m/>
    <m/>
    <n v="0"/>
    <n v="22500"/>
    <n v="1"/>
    <n v="9277424.7472333554"/>
    <m/>
    <m/>
    <n v="0"/>
    <m/>
    <m/>
    <n v="0"/>
    <n v="19471606.537247643"/>
    <n v="18904.472366259848"/>
  </r>
  <r>
    <s v="4.3.3.3"/>
    <x v="2"/>
    <x v="2"/>
    <x v="2"/>
    <x v="11"/>
    <n v="2"/>
    <x v="59"/>
    <x v="59"/>
    <s v="Develop purchaser-provider framework for the health sector"/>
    <s v="Present to TWG"/>
    <s v="Conference package high-level"/>
    <n v="35000"/>
    <n v="50"/>
    <n v="1"/>
    <n v="1750000"/>
    <n v="50"/>
    <n v="1"/>
    <n v="2000111.9197499997"/>
    <n v="0"/>
    <n v="0"/>
    <n v="0"/>
    <n v="0"/>
    <n v="0"/>
    <n v="0"/>
    <n v="0"/>
    <n v="0"/>
    <n v="0"/>
    <n v="50"/>
    <n v="1"/>
    <n v="3412866.4610693273"/>
    <n v="0"/>
    <n v="0"/>
    <n v="0"/>
    <n v="0"/>
    <n v="0"/>
    <n v="0"/>
    <n v="7162978.3808193263"/>
    <n v="6954.3479425430351"/>
  </r>
  <r>
    <s v="4.3.3.3"/>
    <x v="2"/>
    <x v="2"/>
    <x v="2"/>
    <x v="11"/>
    <n v="2"/>
    <x v="59"/>
    <x v="59"/>
    <s v="Develop purchaser-provider framework for the health sector"/>
    <s v="Present to SMT"/>
    <s v="zero cost"/>
    <n v="0"/>
    <n v="0"/>
    <n v="0"/>
    <n v="0"/>
    <n v="0"/>
    <n v="0"/>
    <n v="0"/>
    <n v="0"/>
    <n v="0"/>
    <n v="0"/>
    <n v="0"/>
    <n v="0"/>
    <n v="0"/>
    <n v="0"/>
    <n v="0"/>
    <n v="0"/>
    <n v="0"/>
    <n v="0"/>
    <n v="0"/>
    <n v="0"/>
    <n v="0"/>
    <n v="0"/>
    <n v="0"/>
    <n v="0"/>
    <n v="0"/>
    <n v="0"/>
    <n v="0"/>
  </r>
  <r>
    <s v="4.3.3.3"/>
    <x v="2"/>
    <x v="2"/>
    <x v="2"/>
    <x v="11"/>
    <n v="2"/>
    <x v="59"/>
    <x v="59"/>
    <s v="Develop purchaser-provider framework for the health sector"/>
    <s v="Conduct adoption meeting with MOH, NLGFC and treasury "/>
    <s v="Conference package high-level"/>
    <n v="35000"/>
    <n v="50"/>
    <n v="1"/>
    <n v="1750000"/>
    <n v="50"/>
    <n v="1"/>
    <n v="2000111.9197499997"/>
    <n v="0"/>
    <n v="0"/>
    <n v="0"/>
    <n v="0"/>
    <n v="0"/>
    <n v="0"/>
    <n v="0"/>
    <n v="0"/>
    <n v="0"/>
    <n v="50"/>
    <n v="1"/>
    <n v="3412866.4610693273"/>
    <n v="0"/>
    <n v="0"/>
    <n v="0"/>
    <n v="0"/>
    <n v="0"/>
    <n v="0"/>
    <n v="7162978.3808193263"/>
    <n v="6954.3479425430351"/>
  </r>
  <r>
    <s v="4.3.3.3"/>
    <x v="2"/>
    <x v="2"/>
    <x v="2"/>
    <x v="11"/>
    <n v="2"/>
    <x v="59"/>
    <x v="59"/>
    <s v="Develop purchaser-provider framework for the health sector"/>
    <s v="Implement PPS"/>
    <s v="zero cost"/>
    <n v="0"/>
    <n v="0"/>
    <n v="0"/>
    <n v="0"/>
    <n v="0"/>
    <n v="0"/>
    <n v="0"/>
    <n v="0"/>
    <n v="0"/>
    <n v="0"/>
    <n v="0"/>
    <n v="0"/>
    <n v="0"/>
    <n v="0"/>
    <n v="0"/>
    <n v="0"/>
    <n v="0"/>
    <n v="0"/>
    <n v="0"/>
    <n v="0"/>
    <n v="0"/>
    <n v="0"/>
    <n v="0"/>
    <n v="0"/>
    <n v="0"/>
    <n v="0"/>
    <n v="0"/>
  </r>
  <r>
    <s v="4.3.3.3"/>
    <x v="2"/>
    <x v="2"/>
    <x v="2"/>
    <x v="11"/>
    <n v="2"/>
    <x v="59"/>
    <x v="59"/>
    <s v="Develop purchaser-provider framework for the health sector"/>
    <s v="Council specific assessment "/>
    <s v="Full DSA"/>
    <n v="45000"/>
    <n v="29"/>
    <n v="6"/>
    <n v="7830000"/>
    <n v="29"/>
    <n v="6"/>
    <n v="8949072.189509999"/>
    <n v="0"/>
    <n v="0"/>
    <n v="0"/>
    <n v="0"/>
    <n v="0"/>
    <n v="0"/>
    <n v="0"/>
    <n v="0"/>
    <n v="0"/>
    <n v="29"/>
    <n v="6"/>
    <n v="15270139.651527334"/>
    <n v="0"/>
    <n v="0"/>
    <n v="0"/>
    <n v="0"/>
    <n v="0"/>
    <n v="0"/>
    <n v="32049211.841037333"/>
    <n v="31115.739651492557"/>
  </r>
  <r>
    <s v="4.3.3.3"/>
    <x v="2"/>
    <x v="2"/>
    <x v="2"/>
    <x v="11"/>
    <n v="2"/>
    <x v="59"/>
    <x v="59"/>
    <s v="Develop purchaser-provider framework for the health sector"/>
    <s v="Council specific assessment "/>
    <s v="Local running (diesel, per km)"/>
    <n v="211.42857142857142"/>
    <n v="22500"/>
    <n v="5"/>
    <n v="23785714.285714287"/>
    <n v="22500"/>
    <n v="5"/>
    <n v="27185194.664357141"/>
    <n v="0"/>
    <n v="0"/>
    <n v="0"/>
    <n v="0"/>
    <n v="0"/>
    <n v="0"/>
    <n v="0"/>
    <n v="0"/>
    <n v="0"/>
    <n v="22500"/>
    <n v="5"/>
    <n v="46387123.736166775"/>
    <n v="0"/>
    <n v="0"/>
    <n v="0"/>
    <n v="0"/>
    <n v="0"/>
    <n v="0"/>
    <n v="97358032.686238199"/>
    <n v="94522.361831299218"/>
  </r>
  <r>
    <s v="4.3.3.3"/>
    <x v="2"/>
    <x v="2"/>
    <x v="2"/>
    <x v="11"/>
    <n v="2"/>
    <x v="59"/>
    <x v="59"/>
    <s v="Develop purchaser-provider framework for the health sector"/>
    <s v="Council specific assessment "/>
    <s v="Fuel for travelling participants"/>
    <n v="211.42857142857142"/>
    <n v="90000"/>
    <n v="1"/>
    <n v="19028571.428571429"/>
    <n v="90000"/>
    <n v="1"/>
    <n v="21748155.731485713"/>
    <m/>
    <m/>
    <n v="0"/>
    <m/>
    <m/>
    <n v="0"/>
    <m/>
    <m/>
    <n v="0"/>
    <n v="90000"/>
    <n v="1"/>
    <n v="37109698.988933422"/>
    <m/>
    <m/>
    <n v="0"/>
    <m/>
    <m/>
    <n v="0"/>
    <n v="77886426.148990571"/>
    <n v="75617.889465039392"/>
  </r>
  <r>
    <s v="4.3.3.3"/>
    <x v="2"/>
    <x v="2"/>
    <x v="2"/>
    <x v="11"/>
    <n v="2"/>
    <x v="59"/>
    <x v="59"/>
    <s v="Develop purchaser-provider framework for the health sector"/>
    <s v="Quartery supervision and mentorship visit by national level stake holders"/>
    <s v="Full DSA"/>
    <n v="45000"/>
    <n v="25"/>
    <n v="24"/>
    <n v="27000000"/>
    <n v="25"/>
    <n v="24"/>
    <n v="30858869.618999995"/>
    <n v="0"/>
    <n v="0"/>
    <n v="0"/>
    <n v="0"/>
    <n v="0"/>
    <n v="0"/>
    <n v="0"/>
    <n v="0"/>
    <n v="0"/>
    <n v="25"/>
    <n v="24"/>
    <n v="52655653.970783904"/>
    <n v="0"/>
    <n v="0"/>
    <n v="0"/>
    <n v="0"/>
    <n v="0"/>
    <n v="0"/>
    <n v="110514523.58978391"/>
    <n v="107295.65397066399"/>
  </r>
  <r>
    <s v="4.3.3.3"/>
    <x v="2"/>
    <x v="2"/>
    <x v="2"/>
    <x v="11"/>
    <n v="2"/>
    <x v="59"/>
    <x v="59"/>
    <s v="Develop purchaser-provider framework for the health sector"/>
    <s v="Quartery supervision and mentorship visit by national level stake holders"/>
    <s v="Local running (diesel, per km)"/>
    <n v="211.42857142857142"/>
    <n v="450"/>
    <n v="20"/>
    <n v="1902857.1428571427"/>
    <n v="450"/>
    <n v="20"/>
    <n v="2174815.573148571"/>
    <n v="0"/>
    <n v="0"/>
    <n v="0"/>
    <n v="0"/>
    <n v="0"/>
    <n v="0"/>
    <n v="0"/>
    <n v="0"/>
    <n v="0"/>
    <n v="450"/>
    <n v="20"/>
    <n v="3710969.8988933424"/>
    <n v="0"/>
    <n v="0"/>
    <n v="0"/>
    <n v="0"/>
    <n v="0"/>
    <n v="0"/>
    <n v="7788642.614899056"/>
    <n v="7561.788946503938"/>
  </r>
  <r>
    <s v="4.3.3.3"/>
    <x v="2"/>
    <x v="2"/>
    <x v="2"/>
    <x v="11"/>
    <n v="2"/>
    <x v="59"/>
    <x v="59"/>
    <s v="Develop purchaser-provider framework for the health sector"/>
    <s v="Quartery supervision and mentorship visit by national level stake holders"/>
    <s v="Fuel for travelling participants"/>
    <n v="211.42857142857142"/>
    <n v="2430"/>
    <n v="4"/>
    <n v="2055085.7142857141"/>
    <n v="2430"/>
    <n v="4"/>
    <n v="2348800.8190004569"/>
    <m/>
    <m/>
    <n v="0"/>
    <m/>
    <m/>
    <n v="0"/>
    <m/>
    <m/>
    <n v="0"/>
    <n v="2430"/>
    <n v="4"/>
    <n v="4007847.4908048101"/>
    <m/>
    <m/>
    <n v="0"/>
    <m/>
    <m/>
    <n v="0"/>
    <n v="8411734.0240909811"/>
    <n v="8166.7320622242532"/>
  </r>
  <r>
    <s v="4.3.3.3"/>
    <x v="2"/>
    <x v="2"/>
    <x v="2"/>
    <x v="11"/>
    <n v="2"/>
    <x v="59"/>
    <x v="59"/>
    <s v="Develop purchaser-provider framework for the health sector"/>
    <s v="Quartery supervision and mentorship visit by national level stake holders"/>
    <s v="DSA (excl. lunch)"/>
    <n v="39000"/>
    <n v="4500"/>
    <n v="2"/>
    <n v="351000000"/>
    <n v="4500"/>
    <n v="2"/>
    <n v="401165305.04699993"/>
    <n v="0"/>
    <n v="0"/>
    <n v="0"/>
    <n v="0"/>
    <n v="0"/>
    <n v="0"/>
    <n v="0"/>
    <n v="0"/>
    <n v="0"/>
    <n v="4500"/>
    <n v="2"/>
    <n v="684523501.62019086"/>
    <n v="0"/>
    <n v="0"/>
    <n v="0"/>
    <n v="0"/>
    <n v="0"/>
    <n v="0"/>
    <n v="1436688806.6671908"/>
    <n v="1394843.5016186319"/>
  </r>
  <r>
    <s v="4.3.3.3"/>
    <x v="2"/>
    <x v="2"/>
    <x v="2"/>
    <x v="11"/>
    <n v="2"/>
    <x v="59"/>
    <x v="59"/>
    <s v="Develop purchaser-provider framework for the health sector"/>
    <s v="Quarterly PFM review meetings (5 per district councils and each MoH health centers"/>
    <s v="Conference package high-level"/>
    <n v="35000"/>
    <m/>
    <m/>
    <n v="0"/>
    <m/>
    <m/>
    <n v="0"/>
    <n v="4500"/>
    <n v="2"/>
    <n v="411474619.69982016"/>
    <n v="4500"/>
    <n v="2"/>
    <n v="470283023.73497629"/>
    <n v="4500"/>
    <n v="2"/>
    <n v="537496389.38765609"/>
    <n v="4500"/>
    <n v="2"/>
    <n v="614315962.99247897"/>
    <n v="4500"/>
    <n v="2"/>
    <n v="702114674.32797539"/>
    <n v="4500"/>
    <n v="2"/>
    <n v="802461673.80272746"/>
    <n v="3538146343.9456339"/>
    <n v="3435093.5378112951"/>
  </r>
  <r>
    <s v="4.3.3.3"/>
    <x v="2"/>
    <x v="2"/>
    <x v="2"/>
    <x v="11"/>
    <n v="2"/>
    <x v="59"/>
    <x v="59"/>
    <s v="Develop purchaser-provider framework for the health sector"/>
    <s v="Quarterly PFM review meetings (5 per district councils and each MoH health centers"/>
    <s v="Local running (diesel, per km)"/>
    <n v="211.42857142857142"/>
    <n v="450"/>
    <n v="20"/>
    <n v="1902857.1428571427"/>
    <n v="450"/>
    <n v="20"/>
    <n v="2174815.573148571"/>
    <n v="0"/>
    <n v="0"/>
    <n v="0"/>
    <n v="0"/>
    <n v="0"/>
    <n v="0"/>
    <n v="0"/>
    <n v="0"/>
    <n v="0"/>
    <n v="450"/>
    <n v="20"/>
    <n v="3710969.8988933424"/>
    <n v="0"/>
    <n v="0"/>
    <n v="0"/>
    <n v="0"/>
    <n v="0"/>
    <n v="0"/>
    <n v="7788642.614899056"/>
    <n v="7561.788946503938"/>
  </r>
  <r>
    <s v="4.3.3.3"/>
    <x v="2"/>
    <x v="2"/>
    <x v="2"/>
    <x v="11"/>
    <n v="2"/>
    <x v="59"/>
    <x v="59"/>
    <s v="Develop purchaser-provider framework for the health sector"/>
    <s v="Quarterly PFM review meetings (5 per district councils and each MoH health centers"/>
    <s v="Fuel for travelling participants"/>
    <n v="211.42857142857142"/>
    <n v="2430"/>
    <n v="4"/>
    <n v="2055085.7142857141"/>
    <n v="2430"/>
    <n v="4"/>
    <n v="2348800.8190004569"/>
    <m/>
    <m/>
    <n v="0"/>
    <m/>
    <m/>
    <n v="0"/>
    <m/>
    <m/>
    <n v="0"/>
    <n v="2430"/>
    <n v="4"/>
    <n v="4007847.4908048101"/>
    <m/>
    <m/>
    <n v="0"/>
    <m/>
    <m/>
    <n v="0"/>
    <n v="8411734.0240909811"/>
    <n v="8166.7320622242532"/>
  </r>
  <r>
    <s v="4.3.3.3"/>
    <x v="2"/>
    <x v="2"/>
    <x v="2"/>
    <x v="11"/>
    <n v="2"/>
    <x v="59"/>
    <x v="59"/>
    <s v="Develop purchaser-provider framework for the health sector"/>
    <s v="Institutional assessment and capacity building plan for government and contracted faith-based providers"/>
    <s v="DSA (excl. lunch)"/>
    <n v="39000"/>
    <n v="25"/>
    <n v="5"/>
    <n v="4875000"/>
    <n v="25"/>
    <n v="5"/>
    <n v="5571740.347874999"/>
    <n v="0"/>
    <n v="0"/>
    <n v="0"/>
    <n v="0"/>
    <n v="0"/>
    <n v="0"/>
    <n v="0"/>
    <n v="0"/>
    <n v="0"/>
    <n v="25"/>
    <n v="5"/>
    <n v="9507270.8558359854"/>
    <n v="0"/>
    <n v="0"/>
    <n v="0"/>
    <n v="0"/>
    <n v="0"/>
    <n v="0"/>
    <n v="19954011.203710984"/>
    <n v="19372.826411369886"/>
  </r>
  <r>
    <s v="4.3.3.3"/>
    <x v="2"/>
    <x v="2"/>
    <x v="2"/>
    <x v="11"/>
    <n v="2"/>
    <x v="59"/>
    <x v="59"/>
    <s v="Capacity building in the Ministry of Health for the adopted systems"/>
    <s v="Recruitment of 5 TAs for 5 years"/>
    <s v="Newspaper advert (full)"/>
    <n v="391991.03749999998"/>
    <m/>
    <m/>
    <n v="0"/>
    <m/>
    <m/>
    <n v="0"/>
    <n v="2"/>
    <n v="2"/>
    <n v="2048182.3883307995"/>
    <n v="2"/>
    <n v="2"/>
    <n v="2340910.8621271173"/>
    <n v="2"/>
    <n v="2"/>
    <n v="2675476.4105215403"/>
    <n v="2"/>
    <n v="2"/>
    <n v="3057858.4341109009"/>
    <n v="2"/>
    <n v="2"/>
    <n v="3494890.915984733"/>
    <n v="0"/>
    <n v="0"/>
    <n v="0"/>
    <n v="13617319.011075091"/>
    <n v="13220.698069004942"/>
  </r>
  <r>
    <s v="4.3.3.3"/>
    <x v="2"/>
    <x v="2"/>
    <x v="2"/>
    <x v="11"/>
    <n v="2"/>
    <x v="59"/>
    <x v="59"/>
    <s v="Capacity building in the Ministry of Health for the adopted systems"/>
    <s v="Recruitment of 5 TAs for 5 years"/>
    <s v="Technical Assistant"/>
    <n v="34293000"/>
    <n v="0"/>
    <n v="0"/>
    <n v="0"/>
    <n v="0"/>
    <n v="0"/>
    <n v="0"/>
    <n v="5"/>
    <n v="1"/>
    <n v="223979351.32326877"/>
    <n v="5"/>
    <n v="1"/>
    <n v="255990725.91973874"/>
    <n v="5"/>
    <n v="1"/>
    <n v="292577201.29001415"/>
    <n v="5"/>
    <n v="1"/>
    <n v="334392655.85557276"/>
    <n v="5"/>
    <n v="1"/>
    <n v="382184421.05919468"/>
    <n v="0"/>
    <n v="0"/>
    <n v="0"/>
    <n v="1489124355.4477892"/>
    <n v="1445751.8014056205"/>
  </r>
  <r>
    <s v="4.3.3.3"/>
    <x v="2"/>
    <x v="2"/>
    <x v="2"/>
    <x v="11"/>
    <n v="2"/>
    <x v="59"/>
    <x v="59"/>
    <s v="Capacity building in the Ministry of Health for the adopted systems"/>
    <s v="Procurement of Computers"/>
    <s v="Desktop computer"/>
    <n v="2000"/>
    <n v="0"/>
    <n v="0"/>
    <n v="0"/>
    <n v="0"/>
    <n v="0"/>
    <n v="0"/>
    <n v="10"/>
    <n v="1"/>
    <n v="26125.372679353663"/>
    <n v="0"/>
    <n v="0"/>
    <n v="0"/>
    <n v="0"/>
    <n v="0"/>
    <n v="0"/>
    <n v="0"/>
    <n v="0"/>
    <n v="0"/>
    <n v="0"/>
    <n v="0"/>
    <n v="0"/>
    <n v="0"/>
    <n v="0"/>
    <n v="0"/>
    <n v="26125.372679353663"/>
    <n v="25.36443949451812"/>
  </r>
  <r>
    <s v="4.3.3.3"/>
    <x v="2"/>
    <x v="2"/>
    <x v="2"/>
    <x v="11"/>
    <n v="2"/>
    <x v="59"/>
    <x v="59"/>
    <s v="Develop purchaser-provider framework for the health sector"/>
    <s v="Institutional assessment and capacity building plan for government and contracted faith-based providers"/>
    <s v="Conference package high-level"/>
    <n v="35000"/>
    <n v="25"/>
    <n v="5"/>
    <n v="4375000"/>
    <n v="25"/>
    <n v="5"/>
    <n v="5000279.7993749995"/>
    <n v="0"/>
    <n v="0"/>
    <n v="0"/>
    <n v="0"/>
    <n v="0"/>
    <n v="0"/>
    <n v="0"/>
    <n v="0"/>
    <n v="0"/>
    <n v="25"/>
    <n v="5"/>
    <n v="8532166.152673319"/>
    <n v="0"/>
    <n v="0"/>
    <n v="0"/>
    <n v="0"/>
    <n v="0"/>
    <n v="0"/>
    <n v="17907445.952048317"/>
    <n v="17385.869856357589"/>
  </r>
  <r>
    <s v="4.3.3.3"/>
    <x v="2"/>
    <x v="2"/>
    <x v="2"/>
    <x v="11"/>
    <n v="2"/>
    <x v="59"/>
    <x v="59"/>
    <s v="Develop purchaser-provider framework for the health sector"/>
    <s v="Institutional assessment and capacity building plan for government and contracted faith-based providers"/>
    <s v="Local running (diesel, per km)"/>
    <n v="211.42857142857142"/>
    <n v="450"/>
    <n v="5"/>
    <n v="475714.28571428568"/>
    <n v="450"/>
    <n v="5"/>
    <n v="543703.89328714274"/>
    <n v="0"/>
    <n v="0"/>
    <n v="0"/>
    <n v="0"/>
    <n v="0"/>
    <n v="0"/>
    <n v="0"/>
    <n v="0"/>
    <n v="0"/>
    <n v="450"/>
    <n v="5"/>
    <n v="927742.47472333559"/>
    <n v="0"/>
    <n v="0"/>
    <n v="0"/>
    <n v="0"/>
    <n v="0"/>
    <n v="0"/>
    <n v="1947160.653724764"/>
    <n v="1890.4472366259845"/>
  </r>
  <r>
    <s v="4.3.3.3"/>
    <x v="2"/>
    <x v="2"/>
    <x v="2"/>
    <x v="11"/>
    <n v="2"/>
    <x v="59"/>
    <x v="59"/>
    <s v="Develop purchaser-provider framework for the health sector"/>
    <s v="Institutional assessment and capacity building plan for government and contracted faith-based providers"/>
    <s v="DSA (excl. lunch)"/>
    <n v="39000"/>
    <n v="25"/>
    <n v="6"/>
    <n v="5850000"/>
    <n v="25"/>
    <n v="6"/>
    <n v="6686088.4174499996"/>
    <m/>
    <m/>
    <n v="0"/>
    <m/>
    <m/>
    <n v="0"/>
    <m/>
    <m/>
    <n v="0"/>
    <n v="25"/>
    <n v="6"/>
    <n v="11408725.027003182"/>
    <m/>
    <m/>
    <n v="0"/>
    <m/>
    <m/>
    <n v="0"/>
    <n v="23944813.44445318"/>
    <n v="23247.391693643865"/>
  </r>
  <r>
    <s v="4.3.3.3"/>
    <x v="2"/>
    <x v="2"/>
    <x v="2"/>
    <x v="11"/>
    <n v="2"/>
    <x v="59"/>
    <x v="59"/>
    <s v="Develop purchaser-provider framework for the health sector"/>
    <s v="Institutional assessment and capacity building plan for government and contracted faith-based providers"/>
    <s v="Fuel for travelling participants"/>
    <n v="211.42857142857142"/>
    <n v="2430"/>
    <n v="1"/>
    <n v="513771.42857142852"/>
    <n v="2430"/>
    <n v="1"/>
    <n v="587200.20475011424"/>
    <m/>
    <m/>
    <n v="0"/>
    <m/>
    <m/>
    <n v="0"/>
    <m/>
    <m/>
    <n v="0"/>
    <n v="2430"/>
    <n v="1"/>
    <n v="1001961.8727012025"/>
    <m/>
    <m/>
    <n v="0"/>
    <m/>
    <m/>
    <n v="0"/>
    <n v="2102933.5060227453"/>
    <n v="2041.6830155560633"/>
  </r>
  <r>
    <s v="4.3.3.3"/>
    <x v="2"/>
    <x v="2"/>
    <x v="2"/>
    <x v="11"/>
    <n v="2"/>
    <x v="59"/>
    <x v="59"/>
    <s v="Capacity building in the Ministry of Health for the adopted systems"/>
    <s v="Securing office space for 5 years, furniture, equipment and supplies at national level"/>
    <s v="Office space"/>
    <n v="1500000"/>
    <n v="1"/>
    <n v="12"/>
    <n v="18000000"/>
    <n v="1"/>
    <n v="12"/>
    <n v="20572579.745999999"/>
    <n v="1"/>
    <n v="12"/>
    <n v="23512835.411418296"/>
    <n v="1"/>
    <n v="12"/>
    <n v="26873315.641998645"/>
    <n v="1"/>
    <n v="12"/>
    <n v="30714079.393580351"/>
    <n v="0"/>
    <n v="0"/>
    <n v="0"/>
    <n v="0"/>
    <n v="0"/>
    <n v="0"/>
    <n v="0"/>
    <n v="0"/>
    <n v="0"/>
    <n v="119672810.19299729"/>
    <n v="116187.19436213329"/>
  </r>
  <r>
    <s v="4.3.3.3"/>
    <x v="2"/>
    <x v="2"/>
    <x v="2"/>
    <x v="11"/>
    <n v="2"/>
    <x v="59"/>
    <x v="59"/>
    <s v="Capacity building in the Ministry of Health for the adopted systems"/>
    <s v="PFM mentorship / training quarterly for district and zonal councils"/>
    <s v="DSA (excl. lunch)"/>
    <n v="39000"/>
    <n v="25"/>
    <n v="24"/>
    <n v="23400000"/>
    <n v="0"/>
    <n v="0"/>
    <n v="0"/>
    <n v="60"/>
    <n v="3"/>
    <n v="9170005.8104531355"/>
    <n v="60"/>
    <n v="3"/>
    <n v="10480593.100379471"/>
    <n v="60"/>
    <n v="3"/>
    <n v="11978490.963496335"/>
    <n v="0"/>
    <n v="0"/>
    <n v="0"/>
    <n v="0"/>
    <n v="0"/>
    <n v="0"/>
    <n v="0"/>
    <n v="0"/>
    <n v="0"/>
    <n v="55029089.874328941"/>
    <n v="53426.300848863051"/>
  </r>
  <r>
    <s v="4.3.3.3"/>
    <x v="2"/>
    <x v="2"/>
    <x v="2"/>
    <x v="11"/>
    <n v="2"/>
    <x v="59"/>
    <x v="59"/>
    <s v="Capacity building in the Ministry of Health for the adopted systems"/>
    <s v="PFM mentorship / training quarterly for district and zonal councils"/>
    <s v="Conference package high-level"/>
    <n v="35000"/>
    <n v="25"/>
    <n v="20"/>
    <n v="17500000"/>
    <n v="0"/>
    <n v="0"/>
    <n v="0"/>
    <n v="60"/>
    <n v="3"/>
    <n v="8229492.3939964026"/>
    <n v="60"/>
    <n v="3"/>
    <n v="9405660.474699527"/>
    <n v="60"/>
    <n v="3"/>
    <n v="10749927.787753124"/>
    <n v="0"/>
    <n v="0"/>
    <n v="0"/>
    <n v="0"/>
    <n v="0"/>
    <n v="0"/>
    <n v="0"/>
    <n v="0"/>
    <n v="0"/>
    <n v="45885080.65644905"/>
    <n v="44548.621996552472"/>
  </r>
  <r>
    <s v="4.3.3.3"/>
    <x v="2"/>
    <x v="2"/>
    <x v="2"/>
    <x v="11"/>
    <n v="2"/>
    <x v="59"/>
    <x v="59"/>
    <s v="Capacity building in the Ministry of Health for the adopted systems"/>
    <s v="PFM mentorship / training quarterly for district and zonal councils"/>
    <s v="Local running (diesel, per km)"/>
    <n v="211.42857142857142"/>
    <n v="450"/>
    <n v="20"/>
    <n v="1902857.1428571427"/>
    <n v="0"/>
    <n v="0"/>
    <n v="0"/>
    <n v="20000"/>
    <n v="1"/>
    <n v="5523650.2236347748"/>
    <n v="20000"/>
    <n v="1"/>
    <n v="6313096.3730409509"/>
    <n v="20000"/>
    <n v="1"/>
    <n v="7215371.0321426839"/>
    <n v="0"/>
    <n v="0"/>
    <n v="0"/>
    <n v="0"/>
    <n v="0"/>
    <n v="0"/>
    <n v="0"/>
    <n v="0"/>
    <n v="0"/>
    <n v="20954974.771675553"/>
    <n v="20344.635700655876"/>
  </r>
  <r>
    <s v="4.3.3.3"/>
    <x v="2"/>
    <x v="2"/>
    <x v="2"/>
    <x v="11"/>
    <n v="2"/>
    <x v="59"/>
    <x v="59"/>
    <s v="Capacity building in the Ministry of Health for the adopted systems"/>
    <s v="PFM mentorship / training quarterly for district and zonal councils"/>
    <s v="Fuel for travelling participants"/>
    <n v="211.42857142857142"/>
    <n v="2430"/>
    <n v="4"/>
    <n v="2055085.7142857141"/>
    <m/>
    <m/>
    <n v="0"/>
    <m/>
    <m/>
    <n v="0"/>
    <m/>
    <m/>
    <n v="0"/>
    <m/>
    <m/>
    <n v="0"/>
    <m/>
    <m/>
    <n v="0"/>
    <m/>
    <m/>
    <n v="0"/>
    <m/>
    <m/>
    <n v="0"/>
    <n v="2055085.7142857141"/>
    <n v="1995.2288488210816"/>
  </r>
  <r>
    <s v="4.3.3.3"/>
    <x v="2"/>
    <x v="2"/>
    <x v="2"/>
    <x v="11"/>
    <n v="2"/>
    <x v="59"/>
    <x v="59"/>
    <s v="Capacity building in the Ministry of Health for the adopted systems"/>
    <s v="Quarterly PFM supervision visit"/>
    <s v="DSA (excl. lunch)"/>
    <n v="39000"/>
    <n v="25"/>
    <n v="24"/>
    <n v="23400000"/>
    <n v="0"/>
    <n v="0"/>
    <n v="0"/>
    <n v="15"/>
    <n v="10"/>
    <n v="7641671.5087109469"/>
    <n v="15"/>
    <n v="10"/>
    <n v="8733827.5836495589"/>
    <n v="15"/>
    <n v="10"/>
    <n v="9982075.8029136136"/>
    <n v="0"/>
    <n v="0"/>
    <n v="0"/>
    <n v="0"/>
    <n v="0"/>
    <n v="0"/>
    <n v="0"/>
    <n v="0"/>
    <n v="0"/>
    <n v="49757574.895274118"/>
    <n v="48308.325141042835"/>
  </r>
  <r>
    <s v="4.3.3.3"/>
    <x v="2"/>
    <x v="2"/>
    <x v="2"/>
    <x v="11"/>
    <n v="2"/>
    <x v="59"/>
    <x v="59"/>
    <s v="Capacity building in the Ministry of Health for the adopted systems"/>
    <s v="Quarterly PFM supervision visit"/>
    <s v="Local running (diesel, per km)"/>
    <n v="211.42857142857142"/>
    <n v="450"/>
    <n v="20"/>
    <n v="1902857.1428571427"/>
    <n v="0"/>
    <n v="0"/>
    <n v="0"/>
    <n v="20000"/>
    <n v="1"/>
    <n v="5523650.2236347748"/>
    <n v="20000"/>
    <n v="1"/>
    <n v="6313096.3730409509"/>
    <n v="20000"/>
    <n v="1"/>
    <n v="7215371.0321426839"/>
    <n v="0"/>
    <n v="0"/>
    <n v="0"/>
    <n v="0"/>
    <n v="0"/>
    <n v="0"/>
    <n v="0"/>
    <n v="0"/>
    <n v="0"/>
    <n v="20954974.771675553"/>
    <n v="20344.635700655876"/>
  </r>
  <r>
    <s v="4.3.3.3"/>
    <x v="2"/>
    <x v="2"/>
    <x v="2"/>
    <x v="11"/>
    <n v="2"/>
    <x v="59"/>
    <x v="59"/>
    <s v="Capacity building in the Ministry of Health for the adopted systems"/>
    <s v="Quarterly PFM supervision visit"/>
    <s v="Conference package high-level"/>
    <n v="35000"/>
    <n v="25"/>
    <n v="20"/>
    <n v="17500000"/>
    <m/>
    <m/>
    <n v="0"/>
    <m/>
    <m/>
    <n v="0"/>
    <m/>
    <m/>
    <n v="0"/>
    <m/>
    <m/>
    <n v="0"/>
    <m/>
    <m/>
    <n v="0"/>
    <m/>
    <m/>
    <n v="0"/>
    <m/>
    <m/>
    <n v="0"/>
    <n v="17500000"/>
    <n v="16990.291262135921"/>
  </r>
  <r>
    <s v="4.3.3.3"/>
    <x v="2"/>
    <x v="2"/>
    <x v="2"/>
    <x v="11"/>
    <n v="2"/>
    <x v="59"/>
    <x v="59"/>
    <s v="Capacity building in the Ministry of Health for the adopted systems"/>
    <s v="Quarterly PFM supervision visit"/>
    <s v="Fuel for travelling participants"/>
    <n v="211.42857142857142"/>
    <n v="2430"/>
    <n v="4"/>
    <n v="2055085.7142857141"/>
    <m/>
    <m/>
    <n v="0"/>
    <m/>
    <m/>
    <n v="0"/>
    <m/>
    <m/>
    <n v="0"/>
    <m/>
    <m/>
    <n v="0"/>
    <m/>
    <m/>
    <n v="0"/>
    <m/>
    <m/>
    <n v="0"/>
    <m/>
    <m/>
    <n v="0"/>
    <n v="2055085.7142857141"/>
    <n v="1995.2288488210816"/>
  </r>
  <r>
    <s v="4.3.3.3"/>
    <x v="2"/>
    <x v="2"/>
    <x v="2"/>
    <x v="11"/>
    <n v="2"/>
    <x v="59"/>
    <x v="59"/>
    <s v="Introduce purchasing function at district councils  "/>
    <s v="national level trainings based on the institutional purchasing framework"/>
    <s v="DSA (excl. lunch)"/>
    <n v="39000"/>
    <n v="58"/>
    <n v="6"/>
    <n v="13572000"/>
    <n v="0"/>
    <n v="0"/>
    <n v="0"/>
    <n v="0"/>
    <n v="0"/>
    <n v="0"/>
    <n v="80"/>
    <n v="5"/>
    <n v="23290206.88973216"/>
    <n v="0"/>
    <n v="0"/>
    <n v="0"/>
    <n v="0"/>
    <n v="0"/>
    <n v="0"/>
    <n v="0"/>
    <n v="0"/>
    <n v="0"/>
    <n v="0"/>
    <n v="0"/>
    <n v="0"/>
    <n v="36862206.88973216"/>
    <n v="35788.550378380736"/>
  </r>
  <r>
    <s v="4.3.3.3"/>
    <x v="2"/>
    <x v="2"/>
    <x v="2"/>
    <x v="11"/>
    <n v="2"/>
    <x v="59"/>
    <x v="59"/>
    <s v="Introduce purchasing function at district councils  "/>
    <s v="national level trainings based on the institutional purchasing framework"/>
    <s v="Conference package high-level"/>
    <n v="35000"/>
    <n v="100"/>
    <n v="5"/>
    <n v="17500000"/>
    <n v="0"/>
    <n v="0"/>
    <n v="0"/>
    <n v="0"/>
    <n v="0"/>
    <n v="0"/>
    <n v="80"/>
    <n v="5"/>
    <n v="20901467.721554503"/>
    <n v="0"/>
    <n v="0"/>
    <n v="0"/>
    <n v="0"/>
    <n v="0"/>
    <n v="0"/>
    <n v="0"/>
    <n v="0"/>
    <n v="0"/>
    <n v="0"/>
    <n v="0"/>
    <n v="0"/>
    <n v="38401467.721554503"/>
    <n v="37282.978370441262"/>
  </r>
  <r>
    <s v="4.3.3.3"/>
    <x v="2"/>
    <x v="2"/>
    <x v="2"/>
    <x v="11"/>
    <n v="2"/>
    <x v="59"/>
    <x v="59"/>
    <s v="Introduce purchasing function at district councils  "/>
    <s v="national level trainings based on the institutional purchasing framework"/>
    <s v="Local running (diesel, per km)"/>
    <n v="211.42857142857142"/>
    <n v="1450"/>
    <n v="5"/>
    <n v="1532857.142857143"/>
    <n v="0"/>
    <n v="0"/>
    <n v="0"/>
    <n v="0"/>
    <n v="0"/>
    <n v="0"/>
    <n v="20000"/>
    <n v="1"/>
    <n v="6313096.3730409509"/>
    <n v="0"/>
    <n v="0"/>
    <n v="0"/>
    <n v="0"/>
    <n v="0"/>
    <n v="0"/>
    <n v="0"/>
    <n v="0"/>
    <n v="0"/>
    <n v="0"/>
    <n v="0"/>
    <n v="0"/>
    <n v="7845953.5158980936"/>
    <n v="7617.4305979593146"/>
  </r>
  <r>
    <s v="4.3.3.3"/>
    <x v="2"/>
    <x v="2"/>
    <x v="2"/>
    <x v="11"/>
    <n v="2"/>
    <x v="59"/>
    <x v="59"/>
    <s v="Introduce purchasing function at district councils  "/>
    <s v="national level trainings based on the institutional purchasing framework"/>
    <s v="Fuel for travelling participants"/>
    <n v="211.42857142857142"/>
    <n v="22500"/>
    <n v="1"/>
    <n v="4757142.8571428573"/>
    <m/>
    <m/>
    <n v="0"/>
    <m/>
    <m/>
    <n v="0"/>
    <m/>
    <m/>
    <n v="0"/>
    <m/>
    <m/>
    <n v="0"/>
    <m/>
    <m/>
    <n v="0"/>
    <m/>
    <m/>
    <n v="0"/>
    <m/>
    <m/>
    <n v="0"/>
    <n v="4757142.8571428573"/>
    <n v="4618.5852981969492"/>
  </r>
  <r>
    <s v="4.3.3.3"/>
    <x v="2"/>
    <x v="2"/>
    <x v="2"/>
    <x v="11"/>
    <n v="2"/>
    <x v="59"/>
    <x v="59"/>
    <s v="Introduce purchasing function at district councils  "/>
    <s v="Quarterly supervision and audit visits "/>
    <s v="Full DSA"/>
    <n v="45000"/>
    <n v="100"/>
    <n v="20"/>
    <n v="90000000"/>
    <n v="0"/>
    <n v="0"/>
    <n v="0"/>
    <n v="0"/>
    <n v="0"/>
    <n v="0"/>
    <n v="15"/>
    <n v="40"/>
    <n v="40309973.462997966"/>
    <n v="15"/>
    <n v="40"/>
    <n v="46071119.090370521"/>
    <n v="0"/>
    <n v="0"/>
    <n v="0"/>
    <n v="0"/>
    <n v="0"/>
    <n v="0"/>
    <n v="0"/>
    <n v="0"/>
    <n v="0"/>
    <n v="176381092.55336851"/>
    <n v="171243.77917802767"/>
  </r>
  <r>
    <s v="4.3.3.3"/>
    <x v="2"/>
    <x v="2"/>
    <x v="2"/>
    <x v="11"/>
    <n v="2"/>
    <x v="59"/>
    <x v="59"/>
    <s v="Introduce purchasing function at district councils  "/>
    <s v="Quarterly supervision and audit visits "/>
    <s v="Local running (diesel, per km)"/>
    <n v="211.42857142857142"/>
    <n v="1450"/>
    <n v="20"/>
    <n v="6131428.5714285718"/>
    <n v="0"/>
    <n v="0"/>
    <n v="0"/>
    <n v="0"/>
    <n v="0"/>
    <n v="0"/>
    <n v="20000"/>
    <n v="4"/>
    <n v="25252385.492163803"/>
    <n v="20000"/>
    <n v="4"/>
    <n v="28861484.128570735"/>
    <n v="0"/>
    <n v="0"/>
    <n v="0"/>
    <n v="0"/>
    <n v="0"/>
    <n v="0"/>
    <n v="0"/>
    <n v="0"/>
    <n v="0"/>
    <n v="60245298.19216311"/>
    <n v="58490.580769090397"/>
  </r>
  <r>
    <s v="4.3.3.3"/>
    <x v="2"/>
    <x v="2"/>
    <x v="2"/>
    <x v="11"/>
    <n v="2"/>
    <x v="59"/>
    <x v="59"/>
    <s v="Introduce purchasing function at district councils  "/>
    <s v="Quarterly supervision and audit visits "/>
    <s v="Fuel for travelling participants"/>
    <n v="211.42857142857142"/>
    <n v="22500"/>
    <n v="4"/>
    <n v="19028571.428571429"/>
    <m/>
    <m/>
    <n v="0"/>
    <m/>
    <m/>
    <n v="0"/>
    <m/>
    <m/>
    <n v="0"/>
    <m/>
    <m/>
    <n v="0"/>
    <m/>
    <m/>
    <n v="0"/>
    <m/>
    <m/>
    <n v="0"/>
    <m/>
    <m/>
    <n v="0"/>
    <n v="19028571.428571429"/>
    <n v="18474.341192787797"/>
  </r>
  <r>
    <s v="4.3.3.3"/>
    <x v="2"/>
    <x v="2"/>
    <x v="2"/>
    <x v="11"/>
    <n v="2"/>
    <x v="59"/>
    <x v="59"/>
    <s v="Introduce purchasing function at district councils  "/>
    <s v="Quarterly PIU supervision visit"/>
    <s v="Full DSA"/>
    <n v="45000"/>
    <n v="100"/>
    <n v="24"/>
    <n v="108000000"/>
    <n v="0"/>
    <n v="0"/>
    <n v="0"/>
    <n v="0"/>
    <n v="0"/>
    <n v="0"/>
    <n v="15"/>
    <n v="40"/>
    <n v="40309973.462997966"/>
    <n v="15"/>
    <n v="40"/>
    <n v="46071119.090370521"/>
    <n v="0"/>
    <n v="0"/>
    <n v="0"/>
    <n v="0"/>
    <n v="0"/>
    <n v="0"/>
    <n v="0"/>
    <n v="0"/>
    <n v="0"/>
    <n v="194381092.55336851"/>
    <n v="188719.50733336748"/>
  </r>
  <r>
    <s v="4.3.3.3"/>
    <x v="2"/>
    <x v="2"/>
    <x v="2"/>
    <x v="11"/>
    <n v="2"/>
    <x v="59"/>
    <x v="59"/>
    <s v="Introduce purchasing function at district councils  "/>
    <s v="Quarterly PIU supervision visit"/>
    <s v="Local running (diesel, per km)"/>
    <n v="211.42857142857142"/>
    <n v="450"/>
    <n v="20"/>
    <n v="1902857.1428571427"/>
    <n v="0"/>
    <n v="0"/>
    <n v="0"/>
    <n v="0"/>
    <n v="0"/>
    <n v="0"/>
    <n v="20000"/>
    <n v="4"/>
    <n v="25252385.492163803"/>
    <n v="20000"/>
    <n v="4"/>
    <n v="28861484.128570735"/>
    <n v="0"/>
    <n v="0"/>
    <n v="0"/>
    <n v="0"/>
    <n v="0"/>
    <n v="0"/>
    <n v="0"/>
    <n v="0"/>
    <n v="0"/>
    <n v="56016726.763591677"/>
    <n v="54385.171615137551"/>
  </r>
  <r>
    <s v="4.3.3.3"/>
    <x v="2"/>
    <x v="2"/>
    <x v="2"/>
    <x v="11"/>
    <n v="2"/>
    <x v="59"/>
    <x v="59"/>
    <s v="Introduce purchasing function at district councils  "/>
    <s v="Quarterly PIU supervision visit"/>
    <s v="Fuel for travelling participants"/>
    <n v="211.42857142857142"/>
    <n v="2430"/>
    <n v="4"/>
    <n v="2055085.7142857141"/>
    <m/>
    <m/>
    <n v="0"/>
    <m/>
    <m/>
    <n v="0"/>
    <m/>
    <m/>
    <n v="0"/>
    <m/>
    <m/>
    <n v="0"/>
    <m/>
    <m/>
    <n v="0"/>
    <m/>
    <m/>
    <n v="0"/>
    <m/>
    <m/>
    <n v="0"/>
    <n v="2055085.7142857141"/>
    <n v="1995.2288488210816"/>
  </r>
  <r>
    <s v="4.3.3.3"/>
    <x v="2"/>
    <x v="2"/>
    <x v="2"/>
    <x v="11"/>
    <n v="2"/>
    <x v="59"/>
    <x v="59"/>
    <s v="Introduce purchasing function at district councils  "/>
    <s v="Quarterly verification visits"/>
    <s v="Full DSA"/>
    <n v="45000"/>
    <n v="100"/>
    <n v="24"/>
    <n v="108000000"/>
    <n v="0"/>
    <n v="0"/>
    <n v="0"/>
    <n v="0"/>
    <n v="0"/>
    <n v="0"/>
    <n v="15"/>
    <n v="40"/>
    <n v="40309973.462997966"/>
    <n v="15"/>
    <n v="40"/>
    <n v="46071119.090370521"/>
    <n v="0"/>
    <n v="0"/>
    <n v="0"/>
    <n v="0"/>
    <n v="0"/>
    <n v="0"/>
    <n v="0"/>
    <n v="0"/>
    <n v="0"/>
    <n v="194381092.55336851"/>
    <n v="188719.50733336748"/>
  </r>
  <r>
    <s v="4.3.3.3"/>
    <x v="2"/>
    <x v="2"/>
    <x v="2"/>
    <x v="11"/>
    <n v="2"/>
    <x v="59"/>
    <x v="59"/>
    <s v="Introduce purchasing function at district councils  "/>
    <s v="Quarterly verification visits"/>
    <s v="Local running (diesel, per km)"/>
    <n v="211.42857142857142"/>
    <n v="450"/>
    <n v="20"/>
    <n v="1902857.1428571427"/>
    <n v="0"/>
    <n v="0"/>
    <n v="0"/>
    <n v="0"/>
    <n v="0"/>
    <n v="0"/>
    <n v="20000"/>
    <n v="4"/>
    <n v="25252385.492163803"/>
    <n v="20000"/>
    <n v="4"/>
    <n v="28861484.128570735"/>
    <n v="0"/>
    <n v="0"/>
    <n v="0"/>
    <n v="0"/>
    <n v="0"/>
    <n v="0"/>
    <n v="0"/>
    <n v="0"/>
    <n v="0"/>
    <n v="56016726.763591677"/>
    <n v="54385.171615137551"/>
  </r>
  <r>
    <s v="4.3.3.3"/>
    <x v="2"/>
    <x v="2"/>
    <x v="2"/>
    <x v="11"/>
    <n v="2"/>
    <x v="59"/>
    <x v="59"/>
    <s v="Introduce purchasing function at district councils  "/>
    <s v="Quarterly verification visits"/>
    <s v="Fuel for travelling participants"/>
    <n v="211.42857142857142"/>
    <n v="2430"/>
    <n v="4"/>
    <n v="2055085.7142857141"/>
    <m/>
    <m/>
    <n v="0"/>
    <m/>
    <m/>
    <n v="0"/>
    <m/>
    <m/>
    <n v="0"/>
    <m/>
    <m/>
    <n v="0"/>
    <m/>
    <m/>
    <n v="0"/>
    <m/>
    <m/>
    <n v="0"/>
    <m/>
    <m/>
    <n v="0"/>
    <n v="2055085.7142857141"/>
    <n v="1995.2288488210816"/>
  </r>
  <r>
    <s v="4.3.3.3"/>
    <x v="2"/>
    <x v="2"/>
    <x v="2"/>
    <x v="11"/>
    <n v="2"/>
    <x v="59"/>
    <x v="59"/>
    <s v="Introduce purchasing function at district councils  "/>
    <s v="Annual financial and procurement audit"/>
    <s v="zero cost"/>
    <n v="0"/>
    <n v="0"/>
    <n v="0"/>
    <n v="0"/>
    <n v="0"/>
    <n v="0"/>
    <n v="0"/>
    <n v="0"/>
    <n v="0"/>
    <n v="0"/>
    <n v="0"/>
    <n v="0"/>
    <n v="0"/>
    <n v="0"/>
    <n v="0"/>
    <n v="0"/>
    <n v="0"/>
    <n v="0"/>
    <n v="0"/>
    <n v="0"/>
    <n v="0"/>
    <n v="0"/>
    <n v="0"/>
    <n v="0"/>
    <n v="0"/>
    <n v="0"/>
    <n v="0"/>
  </r>
  <r>
    <s v="4.3.3.3"/>
    <x v="2"/>
    <x v="2"/>
    <x v="2"/>
    <x v="11"/>
    <n v="2"/>
    <x v="59"/>
    <x v="59"/>
    <s v="Introduce purchasing function at district councils  "/>
    <s v="Quarterly theft prevention visit "/>
    <s v="Full DSA"/>
    <n v="45000"/>
    <n v="25"/>
    <n v="6"/>
    <n v="6750000"/>
    <n v="0"/>
    <n v="0"/>
    <n v="0"/>
    <n v="0"/>
    <n v="0"/>
    <n v="0"/>
    <n v="15"/>
    <n v="40"/>
    <n v="40309973.462997966"/>
    <n v="15"/>
    <n v="40"/>
    <n v="46071119.090370521"/>
    <n v="0"/>
    <n v="0"/>
    <n v="0"/>
    <n v="0"/>
    <n v="0"/>
    <n v="0"/>
    <n v="0"/>
    <n v="0"/>
    <n v="0"/>
    <n v="93131092.553368479"/>
    <n v="90418.536459581053"/>
  </r>
  <r>
    <s v="4.3.3.3"/>
    <x v="2"/>
    <x v="2"/>
    <x v="2"/>
    <x v="11"/>
    <n v="2"/>
    <x v="59"/>
    <x v="59"/>
    <s v="Introduce purchasing function at district councils  "/>
    <s v="Quarterly theft prevention visit "/>
    <s v="Local running (diesel, per km)"/>
    <n v="211.42857142857142"/>
    <n v="450"/>
    <n v="5"/>
    <n v="475714.28571428568"/>
    <n v="0"/>
    <n v="0"/>
    <n v="0"/>
    <n v="0"/>
    <n v="0"/>
    <n v="0"/>
    <n v="20000"/>
    <n v="4"/>
    <n v="25252385.492163803"/>
    <n v="20000"/>
    <n v="4"/>
    <n v="28861484.128570735"/>
    <n v="0"/>
    <n v="0"/>
    <n v="0"/>
    <n v="0"/>
    <n v="0"/>
    <n v="0"/>
    <n v="0"/>
    <n v="0"/>
    <n v="0"/>
    <n v="54589583.906448826"/>
    <n v="52999.596025678475"/>
  </r>
  <r>
    <s v="4.3.3.3"/>
    <x v="2"/>
    <x v="2"/>
    <x v="2"/>
    <x v="11"/>
    <n v="2"/>
    <x v="59"/>
    <x v="59"/>
    <s v="Introduce purchasing function at district councils  "/>
    <s v="Quarterly theft prevention visit "/>
    <s v="Fuel for travelling participants"/>
    <n v="211.42857142857142"/>
    <n v="2430"/>
    <n v="1"/>
    <n v="513771.42857142852"/>
    <m/>
    <m/>
    <n v="0"/>
    <m/>
    <m/>
    <n v="0"/>
    <m/>
    <m/>
    <n v="0"/>
    <m/>
    <m/>
    <n v="0"/>
    <m/>
    <m/>
    <n v="0"/>
    <m/>
    <m/>
    <n v="0"/>
    <m/>
    <m/>
    <n v="0"/>
    <n v="513771.42857142852"/>
    <n v="498.80721220527039"/>
  </r>
  <r>
    <s v="4.3.3.3"/>
    <x v="2"/>
    <x v="2"/>
    <x v="2"/>
    <x v="11"/>
    <n v="2"/>
    <x v="59"/>
    <x v="59"/>
    <s v="Introduce purchasing function at district councils  "/>
    <s v="Prosecution and litigation cost for potential prevention cost"/>
    <s v="prosecution and litigation cost"/>
    <n v="135000000"/>
    <n v="0"/>
    <n v="0"/>
    <n v="0"/>
    <n v="0"/>
    <n v="0"/>
    <n v="0"/>
    <n v="0"/>
    <n v="0"/>
    <n v="0"/>
    <n v="1"/>
    <n v="1"/>
    <n v="201549867.31498984"/>
    <n v="1"/>
    <n v="1"/>
    <n v="230355595.45185262"/>
    <n v="0"/>
    <n v="0"/>
    <n v="0"/>
    <n v="0"/>
    <n v="0"/>
    <n v="0"/>
    <n v="0"/>
    <n v="0"/>
    <n v="0"/>
    <n v="431905462.76684248"/>
    <n v="419325.69200664316"/>
  </r>
  <r>
    <s v="4.3.3.3"/>
    <x v="2"/>
    <x v="2"/>
    <x v="2"/>
    <x v="11"/>
    <n v="2"/>
    <x v="59"/>
    <x v="59"/>
    <s v="Introduce purchasing function at district councils  "/>
    <s v="One fiduciary oversight contract"/>
    <s v="contribution towards HSJF fiduciary agent"/>
    <n v="105000000"/>
    <n v="0"/>
    <n v="0"/>
    <n v="0"/>
    <n v="0"/>
    <n v="0"/>
    <n v="0"/>
    <n v="0"/>
    <n v="0"/>
    <n v="0"/>
    <n v="1"/>
    <n v="1"/>
    <n v="156761007.91165876"/>
    <n v="1"/>
    <n v="1"/>
    <n v="179165463.1292187"/>
    <n v="0"/>
    <n v="0"/>
    <n v="0"/>
    <n v="0"/>
    <n v="0"/>
    <n v="0"/>
    <n v="0"/>
    <n v="0"/>
    <n v="0"/>
    <n v="335926471.04087746"/>
    <n v="326142.20489405579"/>
  </r>
  <r>
    <s v="4.3.3.3"/>
    <x v="2"/>
    <x v="2"/>
    <x v="2"/>
    <x v="11"/>
    <n v="2"/>
    <x v="59"/>
    <x v="59"/>
    <s v="Introduce performance contracts between purchasers and providers"/>
    <s v="Hire a health economist to draft a contract"/>
    <s v="Newspaper advert (full)"/>
    <n v="391991.03749999998"/>
    <n v="2"/>
    <n v="2"/>
    <n v="1567964.15"/>
    <n v="0"/>
    <n v="0"/>
    <n v="0"/>
    <n v="1"/>
    <n v="4"/>
    <n v="2048182.3883307995"/>
    <n v="0"/>
    <n v="0"/>
    <n v="0"/>
    <n v="0"/>
    <n v="0"/>
    <n v="0"/>
    <n v="0"/>
    <n v="0"/>
    <n v="0"/>
    <n v="0"/>
    <n v="0"/>
    <n v="0"/>
    <n v="0"/>
    <n v="0"/>
    <n v="0"/>
    <n v="3616146.5383307994"/>
    <n v="3510.8218818745627"/>
  </r>
  <r>
    <s v="4.3.3.3"/>
    <x v="2"/>
    <x v="2"/>
    <x v="2"/>
    <x v="11"/>
    <n v="2"/>
    <x v="59"/>
    <x v="59"/>
    <s v="Introduce performance contracts between purchasers and providers"/>
    <s v="Hire a health economist to draft a contract"/>
    <s v="Local consultant fee - High level"/>
    <n v="511000"/>
    <m/>
    <m/>
    <n v="0"/>
    <n v="0"/>
    <n v="0"/>
    <n v="0"/>
    <n v="1"/>
    <n v="30"/>
    <n v="20025098.158724584"/>
    <n v="1"/>
    <n v="25"/>
    <n v="19072589.295918483"/>
    <n v="0"/>
    <n v="0"/>
    <n v="0"/>
    <n v="0"/>
    <n v="0"/>
    <n v="0"/>
    <n v="0"/>
    <n v="0"/>
    <n v="0"/>
    <n v="0"/>
    <n v="0"/>
    <n v="0"/>
    <n v="39097687.454643071"/>
    <n v="37958.919858876769"/>
  </r>
  <r>
    <s v="4.3.3.3"/>
    <x v="2"/>
    <x v="2"/>
    <x v="2"/>
    <x v="11"/>
    <n v="2"/>
    <x v="59"/>
    <x v="59"/>
    <s v="Introduce performance contracts between purchasers and providers"/>
    <s v="Developing negotiating strategy "/>
    <s v="zero cost"/>
    <n v="0"/>
    <n v="0"/>
    <n v="0"/>
    <n v="0"/>
    <n v="0"/>
    <n v="0"/>
    <n v="0"/>
    <n v="0"/>
    <n v="0"/>
    <n v="0"/>
    <n v="0"/>
    <n v="0"/>
    <n v="0"/>
    <n v="0"/>
    <n v="0"/>
    <n v="0"/>
    <n v="0"/>
    <n v="0"/>
    <n v="0"/>
    <n v="0"/>
    <n v="0"/>
    <n v="0"/>
    <n v="0"/>
    <n v="0"/>
    <n v="0"/>
    <n v="0"/>
    <n v="0"/>
  </r>
  <r>
    <s v="4.3.3.3"/>
    <x v="2"/>
    <x v="2"/>
    <x v="2"/>
    <x v="11"/>
    <n v="2"/>
    <x v="59"/>
    <x v="59"/>
    <s v="Routine Monitoring on purchaser’s provider"/>
    <s v="Quaterly  supervision visits for performance assessment "/>
    <s v="Full DSA"/>
    <n v="45000"/>
    <n v="25"/>
    <n v="6"/>
    <n v="6750000"/>
    <n v="0"/>
    <n v="0"/>
    <n v="0"/>
    <n v="0"/>
    <n v="0"/>
    <n v="0"/>
    <n v="15"/>
    <n v="10"/>
    <n v="10077493.365749491"/>
    <n v="15"/>
    <n v="10"/>
    <n v="11517779.77259263"/>
    <n v="0"/>
    <n v="0"/>
    <n v="0"/>
    <n v="0"/>
    <n v="0"/>
    <n v="0"/>
    <n v="0"/>
    <n v="0"/>
    <n v="0"/>
    <n v="28345273.138342123"/>
    <n v="27519.682658584585"/>
  </r>
  <r>
    <s v="4.3.3.3"/>
    <x v="2"/>
    <x v="2"/>
    <x v="2"/>
    <x v="11"/>
    <n v="2"/>
    <x v="59"/>
    <x v="59"/>
    <s v="Routine Monitoring on purchaser’s provider"/>
    <s v="Quaterly  supervision visits for performance assessment "/>
    <s v="Local running (diesel, per km)"/>
    <n v="211.42857142857142"/>
    <n v="450"/>
    <n v="5"/>
    <n v="475714.28571428568"/>
    <n v="0"/>
    <n v="0"/>
    <n v="0"/>
    <n v="0"/>
    <n v="0"/>
    <n v="0"/>
    <n v="20000"/>
    <n v="1"/>
    <n v="6313096.3730409509"/>
    <n v="20000"/>
    <n v="1"/>
    <n v="7215371.0321426839"/>
    <n v="0"/>
    <n v="0"/>
    <n v="0"/>
    <n v="0"/>
    <n v="0"/>
    <n v="0"/>
    <n v="0"/>
    <n v="0"/>
    <n v="0"/>
    <n v="14004181.690897919"/>
    <n v="13596.292903784388"/>
  </r>
  <r>
    <s v="4.3.3.3"/>
    <x v="2"/>
    <x v="2"/>
    <x v="2"/>
    <x v="11"/>
    <n v="2"/>
    <x v="59"/>
    <x v="59"/>
    <s v="Routine Monitoring on purchaser’s provider"/>
    <s v="Quaterly  supervision visits for performance assessment "/>
    <s v="Fuel for travelling participants"/>
    <n v="211.42857142857142"/>
    <n v="2430"/>
    <n v="1"/>
    <n v="513771.42857142852"/>
    <m/>
    <m/>
    <n v="0"/>
    <m/>
    <m/>
    <n v="0"/>
    <m/>
    <m/>
    <n v="0"/>
    <m/>
    <m/>
    <n v="0"/>
    <m/>
    <m/>
    <n v="0"/>
    <m/>
    <m/>
    <n v="0"/>
    <m/>
    <m/>
    <n v="0"/>
    <n v="513771.42857142852"/>
    <n v="498.80721220527039"/>
  </r>
  <r>
    <s v="4.3.3.3"/>
    <x v="2"/>
    <x v="2"/>
    <x v="2"/>
    <x v="11"/>
    <n v="2"/>
    <x v="59"/>
    <x v="59"/>
    <s v="Routine Monitoring on purchaser’s provider"/>
    <s v="Annual financial and procurement audit"/>
    <s v="zero cost"/>
    <n v="0"/>
    <n v="0"/>
    <n v="0"/>
    <n v="0"/>
    <n v="0"/>
    <n v="0"/>
    <n v="0"/>
    <n v="0"/>
    <n v="0"/>
    <n v="0"/>
    <n v="0"/>
    <n v="0"/>
    <n v="0"/>
    <n v="0"/>
    <n v="0"/>
    <n v="0"/>
    <n v="0"/>
    <n v="0"/>
    <n v="0"/>
    <n v="0"/>
    <n v="0"/>
    <n v="0"/>
    <n v="0"/>
    <n v="0"/>
    <n v="0"/>
    <n v="0"/>
    <n v="0"/>
  </r>
  <r>
    <s v="4.3.3.3"/>
    <x v="2"/>
    <x v="2"/>
    <x v="2"/>
    <x v="11"/>
    <n v="2"/>
    <x v="59"/>
    <x v="59"/>
    <s v="Routine Monitoring on purchaser’s provider"/>
    <s v="Prosecution and litigation cost for potential prevention cost"/>
    <s v="prosecution and litigation cost"/>
    <n v="10000000"/>
    <n v="0"/>
    <n v="0"/>
    <n v="0"/>
    <n v="0"/>
    <n v="0"/>
    <n v="0"/>
    <n v="0"/>
    <n v="0"/>
    <n v="0"/>
    <n v="1"/>
    <n v="1"/>
    <n v="14929619.801110359"/>
    <n v="1"/>
    <n v="1"/>
    <n v="17063377.44087797"/>
    <n v="0"/>
    <n v="0"/>
    <n v="0"/>
    <n v="0"/>
    <n v="0"/>
    <n v="0"/>
    <n v="0"/>
    <n v="0"/>
    <n v="0"/>
    <n v="31992997.241988331"/>
    <n v="31061.162370862457"/>
  </r>
  <r>
    <s v="4.3.3.3"/>
    <x v="2"/>
    <x v="2"/>
    <x v="2"/>
    <x v="11"/>
    <n v="2"/>
    <x v="59"/>
    <x v="59"/>
    <s v="Routine Monitoring on purchaser’s provider"/>
    <s v="1 review oversight of the contract"/>
    <s v="zero cost"/>
    <n v="0"/>
    <n v="0"/>
    <n v="0"/>
    <n v="0"/>
    <n v="0"/>
    <n v="0"/>
    <n v="0"/>
    <n v="0"/>
    <n v="0"/>
    <n v="0"/>
    <n v="0"/>
    <n v="0"/>
    <n v="0"/>
    <n v="0"/>
    <n v="0"/>
    <n v="0"/>
    <n v="0"/>
    <n v="0"/>
    <n v="0"/>
    <n v="0"/>
    <n v="0"/>
    <n v="0"/>
    <n v="0"/>
    <n v="0"/>
    <n v="0"/>
    <n v="0"/>
    <n v="0"/>
  </r>
  <r>
    <s v="4.3.3.3"/>
    <x v="2"/>
    <x v="2"/>
    <x v="2"/>
    <x v="11"/>
    <n v="3"/>
    <x v="60"/>
    <x v="60"/>
    <s v="Stakeholder analysis"/>
    <s v="Consultation meetings with RBM and Insurance Councils"/>
    <s v="Conference package high-level"/>
    <n v="35000"/>
    <n v="25"/>
    <n v="5"/>
    <n v="4375000"/>
    <n v="0"/>
    <n v="0"/>
    <n v="0"/>
    <n v="20"/>
    <n v="1"/>
    <n v="914388.04377737816"/>
    <n v="25"/>
    <n v="5"/>
    <n v="6531708.6629857821"/>
    <n v="0"/>
    <n v="0"/>
    <n v="0"/>
    <n v="0"/>
    <n v="0"/>
    <n v="0"/>
    <n v="0"/>
    <n v="0"/>
    <n v="0"/>
    <n v="0"/>
    <n v="0"/>
    <n v="0"/>
    <n v="11821096.706763159"/>
    <n v="11476.792919187534"/>
  </r>
  <r>
    <s v="4.3.3.3"/>
    <x v="2"/>
    <x v="2"/>
    <x v="2"/>
    <x v="11"/>
    <n v="3"/>
    <x v="60"/>
    <x v="60"/>
    <s v="Conduct Institutional capacity and legal assessment"/>
    <s v="Develop a concept note"/>
    <s v="zero cost"/>
    <n v="0"/>
    <n v="0"/>
    <n v="0"/>
    <n v="0"/>
    <n v="0"/>
    <n v="0"/>
    <n v="0"/>
    <n v="0"/>
    <n v="0"/>
    <n v="0"/>
    <n v="0"/>
    <n v="0"/>
    <n v="0"/>
    <n v="0"/>
    <n v="0"/>
    <n v="0"/>
    <n v="0"/>
    <n v="0"/>
    <n v="0"/>
    <n v="0"/>
    <n v="0"/>
    <n v="0"/>
    <n v="0"/>
    <n v="0"/>
    <n v="0"/>
    <n v="0"/>
    <n v="0"/>
  </r>
  <r>
    <s v="4.3.3.3"/>
    <x v="2"/>
    <x v="2"/>
    <x v="2"/>
    <x v="11"/>
    <n v="3"/>
    <x v="60"/>
    <x v="60"/>
    <s v="Conduct Institutional capacity and legal assessment"/>
    <s v="Set up a task force"/>
    <s v="zero cost"/>
    <n v="0"/>
    <n v="0"/>
    <n v="0"/>
    <n v="0"/>
    <n v="0"/>
    <n v="0"/>
    <n v="0"/>
    <n v="0"/>
    <n v="0"/>
    <n v="0"/>
    <n v="0"/>
    <n v="0"/>
    <n v="0"/>
    <n v="0"/>
    <n v="0"/>
    <n v="0"/>
    <n v="0"/>
    <n v="0"/>
    <n v="0"/>
    <n v="0"/>
    <n v="0"/>
    <n v="0"/>
    <n v="0"/>
    <n v="0"/>
    <n v="0"/>
    <n v="0"/>
    <n v="0"/>
  </r>
  <r>
    <s v="4.3.3.3"/>
    <x v="2"/>
    <x v="2"/>
    <x v="2"/>
    <x v="11"/>
    <n v="3"/>
    <x v="60"/>
    <x v="60"/>
    <s v="Conduct Institutional capacity and legal assessment"/>
    <s v="Recruit a consultant to conduct the assessmen"/>
    <s v="Newspaper advert (full)"/>
    <n v="391991.03749999998"/>
    <n v="2"/>
    <n v="2"/>
    <n v="1567964.15"/>
    <n v="0"/>
    <n v="0"/>
    <n v="0"/>
    <n v="1"/>
    <n v="6"/>
    <n v="3072273.5824961993"/>
    <n v="0"/>
    <n v="0"/>
    <n v="0"/>
    <n v="0"/>
    <n v="0"/>
    <n v="0"/>
    <n v="0"/>
    <n v="0"/>
    <n v="0"/>
    <n v="0"/>
    <n v="0"/>
    <n v="0"/>
    <n v="0"/>
    <n v="0"/>
    <n v="0"/>
    <n v="4640237.7324961992"/>
    <n v="4505.0851771807756"/>
  </r>
  <r>
    <s v="4.3.3.3"/>
    <x v="2"/>
    <x v="2"/>
    <x v="2"/>
    <x v="11"/>
    <n v="3"/>
    <x v="60"/>
    <x v="60"/>
    <s v="Conduct Institutional capacity and legal assessment"/>
    <s v="Recruit a consultant to conduct the assessmen"/>
    <s v="Local consultant fee - High level"/>
    <n v="425000"/>
    <n v="0"/>
    <n v="0"/>
    <n v="0"/>
    <n v="0"/>
    <n v="0"/>
    <n v="0"/>
    <n v="1"/>
    <n v="40"/>
    <n v="22206566.777450614"/>
    <n v="0"/>
    <n v="0"/>
    <n v="0"/>
    <n v="0"/>
    <n v="0"/>
    <n v="0"/>
    <n v="0"/>
    <n v="0"/>
    <n v="0"/>
    <n v="0"/>
    <n v="0"/>
    <n v="0"/>
    <n v="0"/>
    <n v="0"/>
    <n v="0"/>
    <n v="22206566.777450614"/>
    <n v="21559.773570340403"/>
  </r>
  <r>
    <s v="4.3.3.3"/>
    <x v="2"/>
    <x v="2"/>
    <x v="2"/>
    <x v="11"/>
    <n v="3"/>
    <x v="60"/>
    <x v="60"/>
    <s v="Conduct Institutional capacity and legal assessment"/>
    <s v="Data collection"/>
    <s v="Full DSA"/>
    <n v="45000"/>
    <n v="25"/>
    <n v="6"/>
    <n v="6750000"/>
    <n v="0"/>
    <n v="0"/>
    <n v="0"/>
    <n v="15"/>
    <n v="10"/>
    <n v="8817313.2792818621"/>
    <n v="0"/>
    <n v="0"/>
    <n v="0"/>
    <n v="0"/>
    <n v="0"/>
    <n v="0"/>
    <n v="0"/>
    <n v="0"/>
    <n v="0"/>
    <n v="0"/>
    <n v="0"/>
    <n v="0"/>
    <n v="0"/>
    <n v="0"/>
    <n v="0"/>
    <n v="15567313.279281862"/>
    <n v="15113.896387652294"/>
  </r>
  <r>
    <s v="4.3.3.3"/>
    <x v="2"/>
    <x v="2"/>
    <x v="2"/>
    <x v="11"/>
    <n v="3"/>
    <x v="60"/>
    <x v="60"/>
    <s v="Conduct Institutional capacity and legal assessment"/>
    <s v="Data collection"/>
    <s v="Local running (diesel, per km)"/>
    <n v="211.42857142857142"/>
    <n v="450"/>
    <n v="5"/>
    <n v="475714.28571428568"/>
    <n v="0"/>
    <n v="0"/>
    <n v="0"/>
    <n v="20000"/>
    <n v="1"/>
    <n v="5523650.2236347748"/>
    <n v="0"/>
    <n v="0"/>
    <n v="0"/>
    <n v="0"/>
    <n v="0"/>
    <n v="0"/>
    <n v="0"/>
    <n v="0"/>
    <n v="0"/>
    <n v="0"/>
    <n v="0"/>
    <n v="0"/>
    <n v="0"/>
    <n v="0"/>
    <n v="0"/>
    <n v="5999364.5093490602"/>
    <n v="5824.625737232097"/>
  </r>
  <r>
    <s v="4.3.3.3"/>
    <x v="2"/>
    <x v="2"/>
    <x v="2"/>
    <x v="11"/>
    <n v="3"/>
    <x v="60"/>
    <x v="60"/>
    <s v="Conduct Institutional capacity and legal assessment"/>
    <s v="Data collection"/>
    <s v="Fuel for travelling participants"/>
    <n v="211.42857142857142"/>
    <n v="2430"/>
    <n v="1"/>
    <n v="513771.42857142852"/>
    <m/>
    <m/>
    <n v="0"/>
    <m/>
    <m/>
    <n v="0"/>
    <m/>
    <m/>
    <n v="0"/>
    <m/>
    <m/>
    <n v="0"/>
    <m/>
    <m/>
    <n v="0"/>
    <m/>
    <m/>
    <n v="0"/>
    <m/>
    <m/>
    <n v="0"/>
    <n v="513771.42857142852"/>
    <n v="498.80721220527039"/>
  </r>
  <r>
    <s v="4.3.3.3"/>
    <x v="2"/>
    <x v="2"/>
    <x v="2"/>
    <x v="11"/>
    <n v="3"/>
    <x v="60"/>
    <x v="60"/>
    <s v="Conduct Institutional capacity and legal assessment"/>
    <s v="Data collection"/>
    <s v="Tablet"/>
    <n v="302000"/>
    <n v="0"/>
    <n v="0"/>
    <n v="0"/>
    <n v="0"/>
    <n v="0"/>
    <n v="0"/>
    <n v="20"/>
    <n v="1"/>
    <n v="7889862.5491648065"/>
    <n v="0"/>
    <n v="0"/>
    <n v="0"/>
    <n v="0"/>
    <n v="0"/>
    <n v="0"/>
    <n v="0"/>
    <n v="0"/>
    <n v="0"/>
    <n v="0"/>
    <n v="0"/>
    <n v="0"/>
    <n v="0"/>
    <n v="0"/>
    <n v="0"/>
    <n v="7889862.5491648065"/>
    <n v="7660.0607273444721"/>
  </r>
  <r>
    <s v="4.3.3.3"/>
    <x v="2"/>
    <x v="2"/>
    <x v="2"/>
    <x v="11"/>
    <n v="3"/>
    <x v="60"/>
    <x v="60"/>
    <s v="Conduct Institutional capacity and legal assessment"/>
    <s v="Data collection"/>
    <s v="Airtime for Research Assistant"/>
    <n v="10000"/>
    <n v="0"/>
    <n v="0"/>
    <n v="0"/>
    <n v="0"/>
    <n v="0"/>
    <n v="0"/>
    <n v="15"/>
    <n v="1"/>
    <n v="195940.29509515248"/>
    <n v="0"/>
    <n v="0"/>
    <n v="0"/>
    <n v="0"/>
    <n v="0"/>
    <n v="0"/>
    <n v="0"/>
    <n v="0"/>
    <n v="0"/>
    <n v="0"/>
    <n v="0"/>
    <n v="0"/>
    <n v="0"/>
    <n v="0"/>
    <n v="0"/>
    <n v="195940.29509515248"/>
    <n v="190.23329620888592"/>
  </r>
  <r>
    <s v="4.3.3.3"/>
    <x v="2"/>
    <x v="2"/>
    <x v="2"/>
    <x v="11"/>
    <n v="3"/>
    <x v="60"/>
    <x v="60"/>
    <s v="Conduct Institutional capacity and legal assessment"/>
    <s v="Data analysis"/>
    <s v="DSA (excl. lunch)"/>
    <n v="39000"/>
    <n v="25"/>
    <n v="6"/>
    <n v="5850000"/>
    <n v="0"/>
    <n v="0"/>
    <n v="0"/>
    <n v="20"/>
    <n v="5"/>
    <n v="5094447.6724739643"/>
    <n v="0"/>
    <n v="0"/>
    <n v="0"/>
    <n v="0"/>
    <n v="0"/>
    <n v="0"/>
    <n v="0"/>
    <n v="0"/>
    <n v="0"/>
    <n v="0"/>
    <n v="0"/>
    <n v="0"/>
    <n v="0"/>
    <n v="0"/>
    <n v="0"/>
    <n v="10944447.672473963"/>
    <n v="10625.677351916469"/>
  </r>
  <r>
    <s v="4.3.3.3"/>
    <x v="2"/>
    <x v="2"/>
    <x v="2"/>
    <x v="11"/>
    <n v="3"/>
    <x v="60"/>
    <x v="60"/>
    <s v="Conduct Institutional capacity and legal assessment"/>
    <s v="Data analysis"/>
    <s v="Conference package high-level"/>
    <n v="35000"/>
    <n v="25"/>
    <n v="5"/>
    <n v="4375000"/>
    <n v="0"/>
    <n v="0"/>
    <n v="0"/>
    <n v="20"/>
    <n v="5"/>
    <n v="4571940.2188868904"/>
    <n v="0"/>
    <n v="0"/>
    <n v="0"/>
    <n v="0"/>
    <n v="0"/>
    <n v="0"/>
    <n v="0"/>
    <n v="0"/>
    <n v="0"/>
    <n v="0"/>
    <n v="0"/>
    <n v="0"/>
    <n v="0"/>
    <n v="0"/>
    <n v="0"/>
    <n v="8946940.2188868895"/>
    <n v="8686.3497270746502"/>
  </r>
  <r>
    <s v="4.3.3.3"/>
    <x v="2"/>
    <x v="2"/>
    <x v="2"/>
    <x v="11"/>
    <n v="3"/>
    <x v="60"/>
    <x v="60"/>
    <s v="Conduct Institutional capacity and legal assessment"/>
    <s v="Data analysis"/>
    <s v="Local running (diesel, per km)"/>
    <n v="211.42857142857142"/>
    <n v="450"/>
    <n v="5"/>
    <n v="475714.28571428568"/>
    <n v="0"/>
    <n v="0"/>
    <n v="0"/>
    <n v="4000"/>
    <n v="1"/>
    <n v="1104730.044726955"/>
    <n v="0"/>
    <n v="0"/>
    <n v="0"/>
    <n v="0"/>
    <n v="0"/>
    <n v="0"/>
    <n v="0"/>
    <n v="0"/>
    <n v="0"/>
    <n v="0"/>
    <n v="0"/>
    <n v="0"/>
    <n v="0"/>
    <n v="0"/>
    <n v="0"/>
    <n v="1580444.3304412407"/>
    <n v="1534.4119713021755"/>
  </r>
  <r>
    <s v="4.3.3.3"/>
    <x v="2"/>
    <x v="2"/>
    <x v="2"/>
    <x v="11"/>
    <n v="3"/>
    <x v="60"/>
    <x v="60"/>
    <s v="Conduct Institutional capacity and legal assessment"/>
    <s v="Data analysis"/>
    <s v="Fuel for travelling participants"/>
    <n v="211.42857142857142"/>
    <n v="2430"/>
    <n v="1"/>
    <n v="513771.42857142852"/>
    <m/>
    <m/>
    <n v="0"/>
    <m/>
    <m/>
    <n v="0"/>
    <m/>
    <m/>
    <n v="0"/>
    <m/>
    <m/>
    <n v="0"/>
    <m/>
    <m/>
    <n v="0"/>
    <m/>
    <m/>
    <n v="0"/>
    <m/>
    <m/>
    <n v="0"/>
    <n v="513771.42857142852"/>
    <n v="498.80721220527039"/>
  </r>
  <r>
    <s v="4.3.3.3"/>
    <x v="2"/>
    <x v="2"/>
    <x v="2"/>
    <x v="11"/>
    <n v="3"/>
    <x v="60"/>
    <x v="60"/>
    <s v="Conduct Institutional capacity and legal assessment"/>
    <s v="Validation workshop "/>
    <s v="DSA (excl. lunch)"/>
    <n v="39000"/>
    <n v="25"/>
    <n v="6"/>
    <n v="5850000"/>
    <m/>
    <m/>
    <n v="0"/>
    <m/>
    <m/>
    <n v="0"/>
    <m/>
    <m/>
    <n v="0"/>
    <m/>
    <m/>
    <n v="0"/>
    <m/>
    <m/>
    <n v="0"/>
    <m/>
    <m/>
    <n v="0"/>
    <m/>
    <m/>
    <n v="0"/>
    <n v="5850000"/>
    <n v="5679.6116504854372"/>
  </r>
  <r>
    <s v="4.3.3.3"/>
    <x v="2"/>
    <x v="2"/>
    <x v="2"/>
    <x v="11"/>
    <n v="3"/>
    <x v="60"/>
    <x v="60"/>
    <s v="Conduct Institutional capacity and legal assessment"/>
    <s v="Validation workshop "/>
    <s v="Conference package high-level"/>
    <n v="35000"/>
    <n v="25"/>
    <n v="5"/>
    <n v="4375000"/>
    <m/>
    <m/>
    <n v="0"/>
    <m/>
    <m/>
    <n v="0"/>
    <m/>
    <m/>
    <n v="0"/>
    <m/>
    <m/>
    <n v="0"/>
    <m/>
    <m/>
    <n v="0"/>
    <m/>
    <m/>
    <n v="0"/>
    <m/>
    <m/>
    <n v="0"/>
    <n v="4375000"/>
    <n v="4247.5728155339802"/>
  </r>
  <r>
    <s v="4.3.3.3"/>
    <x v="2"/>
    <x v="2"/>
    <x v="2"/>
    <x v="11"/>
    <n v="3"/>
    <x v="60"/>
    <x v="60"/>
    <s v="Conduct Institutional capacity and legal assessment"/>
    <s v="Validation workshop "/>
    <s v="Local running (diesel, per km)"/>
    <n v="211.42857142857142"/>
    <n v="450"/>
    <n v="5"/>
    <n v="475714.28571428568"/>
    <m/>
    <m/>
    <n v="0"/>
    <m/>
    <m/>
    <n v="0"/>
    <m/>
    <m/>
    <n v="0"/>
    <m/>
    <m/>
    <n v="0"/>
    <m/>
    <m/>
    <n v="0"/>
    <m/>
    <m/>
    <n v="0"/>
    <m/>
    <m/>
    <n v="0"/>
    <n v="475714.28571428568"/>
    <n v="461.85852981969481"/>
  </r>
  <r>
    <s v="4.3.3.3"/>
    <x v="2"/>
    <x v="2"/>
    <x v="2"/>
    <x v="11"/>
    <n v="3"/>
    <x v="60"/>
    <x v="60"/>
    <s v="Conduct Institutional capacity and legal assessment"/>
    <s v="Validation workshop "/>
    <s v="Fuel for travelling participants"/>
    <n v="211.42857142857142"/>
    <n v="2430"/>
    <n v="1"/>
    <n v="513771.42857142852"/>
    <m/>
    <m/>
    <n v="0"/>
    <m/>
    <m/>
    <n v="0"/>
    <m/>
    <m/>
    <n v="0"/>
    <m/>
    <m/>
    <n v="0"/>
    <m/>
    <m/>
    <n v="0"/>
    <m/>
    <m/>
    <n v="0"/>
    <m/>
    <m/>
    <n v="0"/>
    <n v="513771.42857142852"/>
    <n v="498.80721220527039"/>
  </r>
  <r>
    <s v="4.3.3.3"/>
    <x v="2"/>
    <x v="2"/>
    <x v="2"/>
    <x v="11"/>
    <n v="3"/>
    <x v="60"/>
    <x v="60"/>
    <s v="Conduct Institutional capacity and legal assessment"/>
    <s v="Report writing"/>
    <s v="DSA (excl. lunch)"/>
    <n v="39000"/>
    <n v="25"/>
    <n v="6"/>
    <n v="5850000"/>
    <n v="0"/>
    <n v="0"/>
    <n v="0"/>
    <n v="20"/>
    <n v="5"/>
    <n v="5094447.6724739643"/>
    <n v="0"/>
    <n v="0"/>
    <n v="0"/>
    <n v="0"/>
    <n v="0"/>
    <n v="0"/>
    <n v="0"/>
    <n v="0"/>
    <n v="0"/>
    <n v="0"/>
    <n v="0"/>
    <n v="0"/>
    <n v="0"/>
    <n v="0"/>
    <n v="0"/>
    <n v="10944447.672473963"/>
    <n v="10625.677351916469"/>
  </r>
  <r>
    <s v="4.3.3.3"/>
    <x v="2"/>
    <x v="2"/>
    <x v="2"/>
    <x v="11"/>
    <n v="3"/>
    <x v="60"/>
    <x v="60"/>
    <s v="Conduct Institutional capacity and legal assessment"/>
    <s v="Report writing"/>
    <s v="Conference package high-level"/>
    <n v="35000"/>
    <n v="25"/>
    <n v="5"/>
    <n v="4375000"/>
    <n v="0"/>
    <n v="0"/>
    <n v="0"/>
    <n v="20"/>
    <n v="5"/>
    <n v="4571940.2188868904"/>
    <n v="0"/>
    <n v="0"/>
    <n v="0"/>
    <n v="0"/>
    <n v="0"/>
    <n v="0"/>
    <n v="0"/>
    <n v="0"/>
    <n v="0"/>
    <n v="0"/>
    <n v="0"/>
    <n v="0"/>
    <n v="0"/>
    <n v="0"/>
    <n v="0"/>
    <n v="8946940.2188868895"/>
    <n v="8686.3497270746502"/>
  </r>
  <r>
    <s v="4.3.3.3"/>
    <x v="2"/>
    <x v="2"/>
    <x v="2"/>
    <x v="11"/>
    <n v="3"/>
    <x v="60"/>
    <x v="60"/>
    <s v="Conduct Institutional capacity and legal assessment"/>
    <s v="Report writing"/>
    <s v="Local running (diesel, per km)"/>
    <n v="211.42857142857142"/>
    <n v="450"/>
    <n v="5"/>
    <n v="475714.28571428568"/>
    <n v="0"/>
    <n v="0"/>
    <n v="0"/>
    <n v="4000"/>
    <n v="1"/>
    <n v="1104730.044726955"/>
    <n v="0"/>
    <n v="0"/>
    <n v="0"/>
    <n v="0"/>
    <n v="0"/>
    <n v="0"/>
    <n v="0"/>
    <n v="0"/>
    <n v="0"/>
    <n v="0"/>
    <n v="0"/>
    <n v="0"/>
    <n v="0"/>
    <n v="0"/>
    <n v="0"/>
    <n v="1580444.3304412407"/>
    <n v="1534.4119713021755"/>
  </r>
  <r>
    <s v="4.3.3.3"/>
    <x v="2"/>
    <x v="2"/>
    <x v="2"/>
    <x v="11"/>
    <n v="3"/>
    <x v="60"/>
    <x v="60"/>
    <s v="Conduct Institutional capacity and legal assessment"/>
    <s v="Report writing"/>
    <s v="Fuel for travelling participants"/>
    <n v="211.42857142857142"/>
    <n v="2430"/>
    <n v="1"/>
    <n v="513771.42857142852"/>
    <m/>
    <m/>
    <n v="0"/>
    <m/>
    <m/>
    <n v="0"/>
    <m/>
    <m/>
    <n v="0"/>
    <m/>
    <m/>
    <n v="0"/>
    <m/>
    <m/>
    <n v="0"/>
    <m/>
    <m/>
    <n v="0"/>
    <m/>
    <m/>
    <n v="0"/>
    <n v="513771.42857142852"/>
    <n v="498.80721220527039"/>
  </r>
  <r>
    <s v="4.3.3.3"/>
    <x v="2"/>
    <x v="2"/>
    <x v="2"/>
    <x v="11"/>
    <n v="3"/>
    <x v="60"/>
    <x v="60"/>
    <s v="Conduct Institutional capacity and legal assessment"/>
    <s v="Dissemination "/>
    <s v="Conference package high-level"/>
    <n v="35000"/>
    <n v="100"/>
    <n v="1"/>
    <n v="3500000"/>
    <n v="0"/>
    <n v="0"/>
    <n v="0"/>
    <n v="50"/>
    <n v="1"/>
    <n v="2285970.1094434457"/>
    <n v="0"/>
    <n v="0"/>
    <n v="0"/>
    <n v="0"/>
    <n v="0"/>
    <n v="0"/>
    <n v="0"/>
    <n v="0"/>
    <n v="0"/>
    <n v="0"/>
    <n v="0"/>
    <n v="0"/>
    <n v="0"/>
    <n v="0"/>
    <n v="0"/>
    <n v="5785970.1094434457"/>
    <n v="5617.4467081975199"/>
  </r>
  <r>
    <s v="4.3.3.3"/>
    <x v="2"/>
    <x v="2"/>
    <x v="2"/>
    <x v="11"/>
    <n v="3"/>
    <x v="60"/>
    <x v="60"/>
    <s v="Conduct Institutional capacity and legal assessment"/>
    <s v="Dissemination "/>
    <s v="DSA (excl. lunch)"/>
    <n v="39000"/>
    <n v="58"/>
    <n v="1"/>
    <n v="2262000"/>
    <m/>
    <m/>
    <n v="0"/>
    <m/>
    <m/>
    <n v="0"/>
    <m/>
    <m/>
    <n v="0"/>
    <m/>
    <m/>
    <n v="0"/>
    <m/>
    <m/>
    <n v="0"/>
    <m/>
    <m/>
    <n v="0"/>
    <m/>
    <m/>
    <n v="0"/>
    <n v="2262000"/>
    <n v="2196.1165048543689"/>
  </r>
  <r>
    <s v="4.3.3.3"/>
    <x v="2"/>
    <x v="2"/>
    <x v="2"/>
    <x v="11"/>
    <n v="3"/>
    <x v="60"/>
    <x v="60"/>
    <s v="Conduct Institutional capacity and legal assessment"/>
    <s v="Dissemination "/>
    <s v="Local running (diesel, per km)"/>
    <n v="211.42857142857142"/>
    <n v="450"/>
    <n v="1"/>
    <n v="95142.85714285713"/>
    <m/>
    <m/>
    <n v="0"/>
    <m/>
    <m/>
    <n v="0"/>
    <m/>
    <m/>
    <n v="0"/>
    <m/>
    <m/>
    <n v="0"/>
    <m/>
    <m/>
    <n v="0"/>
    <m/>
    <m/>
    <n v="0"/>
    <m/>
    <m/>
    <n v="0"/>
    <n v="95142.85714285713"/>
    <n v="92.371705963938965"/>
  </r>
  <r>
    <s v="4.3.3.3"/>
    <x v="2"/>
    <x v="2"/>
    <x v="2"/>
    <x v="11"/>
    <n v="3"/>
    <x v="60"/>
    <x v="60"/>
    <s v="Conduct Institutional capacity and legal assessment"/>
    <s v="Dissemination "/>
    <s v="Fuel for travelling participants"/>
    <n v="211.42857142857142"/>
    <n v="2430"/>
    <n v="1"/>
    <n v="513771.42857142852"/>
    <m/>
    <m/>
    <n v="0"/>
    <m/>
    <m/>
    <n v="0"/>
    <m/>
    <m/>
    <n v="0"/>
    <m/>
    <m/>
    <n v="0"/>
    <m/>
    <m/>
    <n v="0"/>
    <m/>
    <m/>
    <n v="0"/>
    <m/>
    <m/>
    <n v="0"/>
    <n v="513771.42857142852"/>
    <n v="498.80721220527039"/>
  </r>
  <r>
    <s v="4.3.3.3"/>
    <x v="2"/>
    <x v="2"/>
    <x v="2"/>
    <x v="11"/>
    <n v="3"/>
    <x v="60"/>
    <x v="60"/>
    <s v="Conduct Institutional capacity and legal assessment"/>
    <s v="Dissemination "/>
    <s v="A4, 1 page, 140 gsm paper"/>
    <n v="8000"/>
    <n v="1"/>
    <n v="1"/>
    <n v="8000"/>
    <n v="0"/>
    <n v="0"/>
    <n v="0"/>
    <n v="10000"/>
    <n v="1"/>
    <n v="104501490.71741465"/>
    <n v="0"/>
    <n v="0"/>
    <n v="0"/>
    <n v="0"/>
    <n v="0"/>
    <n v="0"/>
    <n v="0"/>
    <n v="0"/>
    <n v="0"/>
    <n v="0"/>
    <n v="0"/>
    <n v="0"/>
    <n v="0"/>
    <n v="0"/>
    <n v="0"/>
    <n v="104509490.71741465"/>
    <n v="101465.52496836374"/>
  </r>
  <r>
    <s v="4.3.3.3"/>
    <x v="2"/>
    <x v="2"/>
    <x v="2"/>
    <x v="11"/>
    <n v="3"/>
    <x v="60"/>
    <x v="60"/>
    <s v="Conduct Institutional capacity and legal assessment"/>
    <s v="Dissemination "/>
    <s v="toner"/>
    <n v="104850"/>
    <n v="1"/>
    <n v="1"/>
    <n v="104850"/>
    <n v="0"/>
    <n v="0"/>
    <n v="0"/>
    <n v="2"/>
    <n v="1"/>
    <n v="273924.53254302318"/>
    <n v="0"/>
    <n v="0"/>
    <n v="0"/>
    <n v="0"/>
    <n v="0"/>
    <n v="0"/>
    <n v="0"/>
    <n v="0"/>
    <n v="0"/>
    <n v="0"/>
    <n v="0"/>
    <n v="0"/>
    <n v="0"/>
    <n v="0"/>
    <n v="0"/>
    <n v="378774.53254302318"/>
    <n v="367.74226460487688"/>
  </r>
  <r>
    <s v="4.3.3.3"/>
    <x v="2"/>
    <x v="2"/>
    <x v="2"/>
    <x v="11"/>
    <n v="3"/>
    <x v="60"/>
    <x v="60"/>
    <s v="Develop legal instruments for regulatory council"/>
    <s v="National level meeting"/>
    <s v="Conference package high-level"/>
    <n v="35000"/>
    <n v="100"/>
    <n v="5"/>
    <n v="17500000"/>
    <n v="0"/>
    <n v="0"/>
    <n v="0"/>
    <n v="0"/>
    <n v="0"/>
    <n v="0"/>
    <n v="30"/>
    <n v="2"/>
    <n v="3135220.1582331755"/>
    <n v="0"/>
    <n v="0"/>
    <n v="0"/>
    <n v="0"/>
    <n v="0"/>
    <n v="0"/>
    <n v="0"/>
    <n v="0"/>
    <n v="0"/>
    <n v="0"/>
    <n v="0"/>
    <n v="0"/>
    <n v="20635220.158233177"/>
    <n v="20034.194328381724"/>
  </r>
  <r>
    <s v="4.3.3.3"/>
    <x v="2"/>
    <x v="2"/>
    <x v="2"/>
    <x v="11"/>
    <n v="3"/>
    <x v="60"/>
    <x v="60"/>
    <s v="Develop staff establishments for regulator council"/>
    <s v="National level meeting"/>
    <s v="DSA (excl. lunch)"/>
    <n v="39000"/>
    <n v="58"/>
    <n v="6"/>
    <n v="13572000"/>
    <n v="0"/>
    <n v="0"/>
    <n v="0"/>
    <n v="0"/>
    <n v="0"/>
    <n v="0"/>
    <n v="30"/>
    <n v="2"/>
    <n v="3493531.0334598236"/>
    <n v="0"/>
    <n v="0"/>
    <n v="0"/>
    <n v="0"/>
    <n v="0"/>
    <n v="0"/>
    <n v="0"/>
    <n v="0"/>
    <n v="0"/>
    <n v="0"/>
    <n v="0"/>
    <n v="0"/>
    <n v="17065531.033459824"/>
    <n v="16568.476731514391"/>
  </r>
  <r>
    <s v="4.3.3.3"/>
    <x v="2"/>
    <x v="2"/>
    <x v="2"/>
    <x v="11"/>
    <n v="3"/>
    <x v="60"/>
    <x v="60"/>
    <s v="Develop performance management framework for the regulatory councils"/>
    <s v="National level meeting"/>
    <s v="Local running (diesel, per km)"/>
    <n v="211.42857142857142"/>
    <n v="1450"/>
    <n v="5"/>
    <n v="1532857.142857143"/>
    <n v="0"/>
    <n v="0"/>
    <n v="0"/>
    <n v="0"/>
    <n v="0"/>
    <n v="0"/>
    <n v="10000"/>
    <n v="2"/>
    <n v="6313096.3730409509"/>
    <n v="0"/>
    <n v="0"/>
    <n v="0"/>
    <n v="0"/>
    <n v="0"/>
    <n v="0"/>
    <n v="0"/>
    <n v="0"/>
    <n v="0"/>
    <n v="0"/>
    <n v="0"/>
    <n v="0"/>
    <n v="7845953.5158980936"/>
    <n v="7617.4305979593146"/>
  </r>
  <r>
    <s v="4.3.3.3"/>
    <x v="2"/>
    <x v="2"/>
    <x v="2"/>
    <x v="11"/>
    <n v="3"/>
    <x v="60"/>
    <x v="60"/>
    <s v="Develop performance management framework for the regulatory councils"/>
    <s v="National level meeting"/>
    <s v="Fuel for travelling participants"/>
    <n v="211.42857142857142"/>
    <n v="22500"/>
    <n v="1"/>
    <n v="4757142.8571428573"/>
    <m/>
    <m/>
    <n v="0"/>
    <m/>
    <m/>
    <n v="0"/>
    <m/>
    <m/>
    <n v="0"/>
    <m/>
    <m/>
    <n v="0"/>
    <m/>
    <m/>
    <n v="0"/>
    <m/>
    <m/>
    <n v="0"/>
    <m/>
    <m/>
    <n v="0"/>
    <n v="4757142.8571428573"/>
    <n v="4618.5852981969492"/>
  </r>
  <r>
    <s v="4.3.3.3"/>
    <x v="2"/>
    <x v="2"/>
    <x v="2"/>
    <x v="11"/>
    <n v="3"/>
    <x v="60"/>
    <x v="60"/>
    <s v="Secure establishment warrant for the councils"/>
    <s v="desk work"/>
    <s v="zero cost"/>
    <n v="0"/>
    <n v="0"/>
    <n v="0"/>
    <n v="0"/>
    <n v="0"/>
    <n v="0"/>
    <n v="0"/>
    <n v="0"/>
    <n v="0"/>
    <n v="0"/>
    <n v="0"/>
    <n v="0"/>
    <n v="0"/>
    <n v="0"/>
    <n v="0"/>
    <n v="0"/>
    <n v="0"/>
    <n v="0"/>
    <n v="0"/>
    <n v="0"/>
    <n v="0"/>
    <n v="0"/>
    <n v="0"/>
    <n v="0"/>
    <n v="0"/>
    <n v="0"/>
    <n v="0"/>
  </r>
  <r>
    <s v="4.3.3.3"/>
    <x v="2"/>
    <x v="2"/>
    <x v="2"/>
    <x v="11"/>
    <n v="3"/>
    <x v="60"/>
    <x v="60"/>
    <s v=" Develop contracts"/>
    <s v="National level meeting"/>
    <s v="Conference package high-level"/>
    <n v="35000"/>
    <n v="100"/>
    <n v="5"/>
    <n v="17500000"/>
    <n v="0"/>
    <n v="0"/>
    <n v="0"/>
    <n v="0"/>
    <n v="0"/>
    <n v="0"/>
    <n v="0"/>
    <n v="0"/>
    <n v="0"/>
    <n v="20"/>
    <n v="2"/>
    <n v="2388872.8417229159"/>
    <n v="0"/>
    <n v="0"/>
    <n v="0"/>
    <n v="0"/>
    <n v="0"/>
    <n v="0"/>
    <n v="0"/>
    <n v="0"/>
    <n v="0"/>
    <n v="19888872.841722917"/>
    <n v="19309.585283226133"/>
  </r>
  <r>
    <s v="4.3.3.3"/>
    <x v="2"/>
    <x v="2"/>
    <x v="2"/>
    <x v="11"/>
    <n v="3"/>
    <x v="60"/>
    <x v="60"/>
    <s v=" Develop contracts"/>
    <s v="National level meeting"/>
    <s v="DSA (excl. lunch)"/>
    <n v="39000"/>
    <n v="58"/>
    <n v="6"/>
    <n v="13572000"/>
    <m/>
    <m/>
    <n v="0"/>
    <m/>
    <m/>
    <n v="0"/>
    <m/>
    <m/>
    <n v="0"/>
    <m/>
    <m/>
    <n v="0"/>
    <m/>
    <m/>
    <n v="0"/>
    <m/>
    <m/>
    <n v="0"/>
    <m/>
    <m/>
    <n v="0"/>
    <n v="13572000"/>
    <n v="13176.699029126214"/>
  </r>
  <r>
    <s v="4.3.3.3"/>
    <x v="2"/>
    <x v="2"/>
    <x v="2"/>
    <x v="11"/>
    <n v="3"/>
    <x v="60"/>
    <x v="60"/>
    <s v=" Develop contracts"/>
    <s v="National level meeting"/>
    <s v="Local running (diesel, per km)"/>
    <n v="211.42857142857142"/>
    <n v="1450"/>
    <n v="5"/>
    <n v="1532857.142857143"/>
    <m/>
    <m/>
    <n v="0"/>
    <m/>
    <m/>
    <n v="0"/>
    <m/>
    <m/>
    <n v="0"/>
    <m/>
    <m/>
    <n v="0"/>
    <m/>
    <m/>
    <n v="0"/>
    <m/>
    <m/>
    <n v="0"/>
    <m/>
    <m/>
    <n v="0"/>
    <n v="1532857.142857143"/>
    <n v="1488.2108183079058"/>
  </r>
  <r>
    <s v="4.3.3.3"/>
    <x v="2"/>
    <x v="2"/>
    <x v="2"/>
    <x v="11"/>
    <n v="3"/>
    <x v="60"/>
    <x v="60"/>
    <s v=" Develop contracts"/>
    <s v="National level meeting"/>
    <s v="Fuel for travelling participants"/>
    <n v="211.42857142857142"/>
    <n v="22500"/>
    <n v="1"/>
    <n v="4757142.8571428573"/>
    <m/>
    <m/>
    <n v="0"/>
    <m/>
    <m/>
    <n v="0"/>
    <m/>
    <m/>
    <n v="0"/>
    <m/>
    <m/>
    <n v="0"/>
    <m/>
    <m/>
    <n v="0"/>
    <m/>
    <m/>
    <n v="0"/>
    <m/>
    <m/>
    <n v="0"/>
    <n v="4757142.8571428573"/>
    <n v="4618.5852981969492"/>
  </r>
  <r>
    <s v="4.3.3.3"/>
    <x v="2"/>
    <x v="2"/>
    <x v="2"/>
    <x v="11"/>
    <n v="3"/>
    <x v="60"/>
    <x v="60"/>
    <s v="Identify funding and recruit council staff"/>
    <s v="Recruitment"/>
    <s v="Newspaper advert (full)"/>
    <n v="391991.03749999998"/>
    <n v="2"/>
    <n v="2"/>
    <n v="1567964.15"/>
    <n v="0"/>
    <n v="0"/>
    <n v="0"/>
    <n v="0"/>
    <n v="0"/>
    <n v="0"/>
    <n v="0"/>
    <n v="0"/>
    <n v="0"/>
    <n v="5"/>
    <n v="4"/>
    <n v="13377382.052607702"/>
    <n v="0"/>
    <n v="0"/>
    <n v="0"/>
    <n v="0"/>
    <n v="0"/>
    <n v="0"/>
    <n v="0"/>
    <n v="0"/>
    <n v="0"/>
    <n v="14945346.202607702"/>
    <n v="14510.044856900682"/>
  </r>
  <r>
    <s v="4.3.3.3"/>
    <x v="2"/>
    <x v="2"/>
    <x v="2"/>
    <x v="11"/>
    <n v="3"/>
    <x v="60"/>
    <x v="60"/>
    <s v="Capacity building of support staff in tariff development and health fund management"/>
    <s v="Support staff to attend international training on tariff development and health fund management"/>
    <s v="Accomodation and DSA international (high)"/>
    <n v="286576.3"/>
    <n v="0"/>
    <n v="0"/>
    <n v="0"/>
    <n v="0"/>
    <n v="0"/>
    <n v="0"/>
    <n v="0"/>
    <n v="0"/>
    <n v="0"/>
    <n v="0"/>
    <n v="0"/>
    <n v="0"/>
    <n v="10"/>
    <n v="15"/>
    <n v="73349393.587654173"/>
    <n v="0"/>
    <n v="0"/>
    <n v="0"/>
    <n v="0"/>
    <n v="0"/>
    <n v="0"/>
    <n v="0"/>
    <n v="0"/>
    <n v="0"/>
    <n v="73349393.587654173"/>
    <n v="71213.003483159395"/>
  </r>
  <r>
    <s v="4.3.3.3"/>
    <x v="2"/>
    <x v="2"/>
    <x v="2"/>
    <x v="11"/>
    <n v="3"/>
    <x v="60"/>
    <x v="60"/>
    <s v="Donor engagement"/>
    <s v="Conduct donor engagement meetings"/>
    <s v="zero cost"/>
    <n v="0"/>
    <n v="0"/>
    <n v="0"/>
    <n v="0"/>
    <n v="0"/>
    <n v="0"/>
    <n v="0"/>
    <n v="0"/>
    <n v="0"/>
    <n v="0"/>
    <n v="0"/>
    <n v="0"/>
    <n v="0"/>
    <n v="0"/>
    <n v="0"/>
    <n v="0"/>
    <n v="0"/>
    <n v="0"/>
    <n v="0"/>
    <n v="0"/>
    <n v="0"/>
    <n v="0"/>
    <n v="0"/>
    <n v="0"/>
    <n v="0"/>
    <n v="0"/>
    <n v="0"/>
  </r>
  <r>
    <s v="4.3.3.3"/>
    <x v="2"/>
    <x v="2"/>
    <x v="2"/>
    <x v="11"/>
    <n v="4"/>
    <x v="61"/>
    <x v="61"/>
    <s v="Strengthen Public financial management and accounting capacity at national, district council and sub district levels"/>
    <s v="Develop ToRs of capacity assessment: "/>
    <s v="zero cost"/>
    <n v="0"/>
    <n v="0"/>
    <n v="0"/>
    <n v="0"/>
    <n v="0"/>
    <n v="0"/>
    <n v="0"/>
    <n v="0"/>
    <n v="0"/>
    <n v="0"/>
    <n v="0"/>
    <n v="0"/>
    <n v="0"/>
    <n v="0"/>
    <n v="0"/>
    <n v="0"/>
    <n v="0"/>
    <n v="0"/>
    <n v="0"/>
    <n v="0"/>
    <n v="0"/>
    <n v="0"/>
    <n v="0"/>
    <n v="0"/>
    <n v="0"/>
    <n v="0"/>
    <n v="0"/>
  </r>
  <r>
    <s v="4.3.3.3"/>
    <x v="2"/>
    <x v="2"/>
    <x v="2"/>
    <x v="11"/>
    <n v="4"/>
    <x v="61"/>
    <x v="61"/>
    <s v="Strengthen Public financial management and accounting capacity at national, district council and sub district levels"/>
    <s v="Conduct assessment"/>
    <s v="Full DSA"/>
    <n v="45000"/>
    <n v="25"/>
    <n v="6"/>
    <n v="6750000"/>
    <n v="25"/>
    <n v="6"/>
    <n v="7714717.4047499988"/>
    <n v="0"/>
    <n v="0"/>
    <n v="0"/>
    <n v="0"/>
    <n v="0"/>
    <n v="0"/>
    <n v="0"/>
    <n v="0"/>
    <n v="0"/>
    <n v="0"/>
    <n v="0"/>
    <n v="0"/>
    <n v="0"/>
    <n v="0"/>
    <n v="0"/>
    <n v="25"/>
    <n v="6"/>
    <n v="17195607.295772731"/>
    <n v="31660324.700522728"/>
    <n v="30738.179320895852"/>
  </r>
  <r>
    <s v="4.3.3.3"/>
    <x v="2"/>
    <x v="2"/>
    <x v="2"/>
    <x v="11"/>
    <n v="4"/>
    <x v="61"/>
    <x v="61"/>
    <s v="Strengthen Public financial management and accounting capacity at national, district council and sub district levels"/>
    <s v="Conduct assessment"/>
    <s v="Local running (diesel, per km)"/>
    <n v="211.42857142857142"/>
    <n v="450"/>
    <n v="5"/>
    <n v="475714.28571428568"/>
    <n v="450"/>
    <n v="5"/>
    <n v="543703.89328714274"/>
    <n v="0"/>
    <n v="0"/>
    <n v="0"/>
    <n v="0"/>
    <n v="0"/>
    <n v="0"/>
    <n v="0"/>
    <n v="0"/>
    <n v="0"/>
    <n v="0"/>
    <n v="0"/>
    <n v="0"/>
    <n v="0"/>
    <n v="0"/>
    <n v="0"/>
    <n v="450"/>
    <n v="5"/>
    <n v="1211880.8951306494"/>
    <n v="2231299.0741320779"/>
    <n v="2166.3097807107551"/>
  </r>
  <r>
    <s v="4.3.3.3"/>
    <x v="2"/>
    <x v="2"/>
    <x v="2"/>
    <x v="11"/>
    <n v="4"/>
    <x v="61"/>
    <x v="61"/>
    <s v="Strengthen Public financial management and accounting capacity at national, district council and sub district levels"/>
    <s v="Conduct assessment"/>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Develop road map for capacitating district council accounting and auditing departments to optimally perform their functions in line with health PFM goals"/>
    <s v="National level meeting"/>
    <s v="DSA (excl. lunch)"/>
    <n v="39000"/>
    <n v="100"/>
    <n v="6"/>
    <n v="23400000"/>
    <n v="100"/>
    <n v="6"/>
    <n v="26744353.669799998"/>
    <n v="0"/>
    <n v="0"/>
    <n v="0"/>
    <n v="0"/>
    <n v="0"/>
    <n v="0"/>
    <n v="0"/>
    <n v="0"/>
    <n v="0"/>
    <n v="0"/>
    <n v="0"/>
    <n v="0"/>
    <n v="0"/>
    <n v="0"/>
    <n v="0"/>
    <n v="100"/>
    <n v="6"/>
    <n v="59611438.625345461"/>
    <n v="109755792.29514545"/>
    <n v="106559.02164577229"/>
  </r>
  <r>
    <s v="4.3.3.3"/>
    <x v="2"/>
    <x v="2"/>
    <x v="2"/>
    <x v="11"/>
    <n v="4"/>
    <x v="61"/>
    <x v="61"/>
    <s v="Develop road map for capacitating district council accounting and auditing departments to optimally perform their functions in line with health PFM goals"/>
    <s v="National level meeting"/>
    <s v="Local running (diesel, per km)"/>
    <n v="211.42857142857142"/>
    <n v="58"/>
    <n v="5"/>
    <n v="61314.28571428571"/>
    <n v="58"/>
    <n v="5"/>
    <n v="70077.390690342843"/>
    <n v="0"/>
    <n v="0"/>
    <n v="0"/>
    <n v="0"/>
    <n v="0"/>
    <n v="0"/>
    <n v="0"/>
    <n v="0"/>
    <n v="0"/>
    <n v="0"/>
    <n v="0"/>
    <n v="0"/>
    <n v="0"/>
    <n v="0"/>
    <n v="0"/>
    <n v="58"/>
    <n v="5"/>
    <n v="156197.98203906149"/>
    <n v="287589.65844369004"/>
    <n v="279.21326062494177"/>
  </r>
  <r>
    <s v="4.3.3.3"/>
    <x v="2"/>
    <x v="2"/>
    <x v="2"/>
    <x v="11"/>
    <n v="4"/>
    <x v="61"/>
    <x v="61"/>
    <s v="Develop road map for capacitating district council accounting and auditing departments to optimally perform their functions in line with health PFM goals"/>
    <s v="National level meeting"/>
    <s v="Conference package high-level"/>
    <n v="35000"/>
    <n v="100"/>
    <n v="5"/>
    <n v="17500000"/>
    <n v="100"/>
    <n v="5"/>
    <n v="20001119.197499998"/>
    <m/>
    <m/>
    <n v="0"/>
    <m/>
    <m/>
    <n v="0"/>
    <m/>
    <m/>
    <n v="0"/>
    <m/>
    <m/>
    <n v="0"/>
    <m/>
    <m/>
    <n v="0"/>
    <n v="100"/>
    <n v="5"/>
    <n v="44581204.100151524"/>
    <n v="82082323.297651529"/>
    <n v="79691.576017137413"/>
  </r>
  <r>
    <s v="4.3.3.3"/>
    <x v="2"/>
    <x v="2"/>
    <x v="2"/>
    <x v="11"/>
    <n v="4"/>
    <x v="61"/>
    <x v="61"/>
    <s v="Develop road map for capacitating district council accounting and auditing departments to optimally perform their functions in line with health PFM goals"/>
    <s v="National level meeting"/>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Training of trainers for existing accounting and auditing personnel at national and district council level to resolve bottlenecks identified in the PFM assessments and routine audits"/>
    <s v="Conduct 5 days National level meeting"/>
    <s v="DSA (excl. lunch)"/>
    <n v="39000"/>
    <n v="100"/>
    <n v="5"/>
    <n v="19500000"/>
    <n v="100"/>
    <n v="5"/>
    <n v="22286961.391499996"/>
    <n v="120"/>
    <n v="5"/>
    <n v="30566686.034843788"/>
    <n v="0"/>
    <n v="0"/>
    <n v="0"/>
    <n v="0"/>
    <n v="0"/>
    <n v="0"/>
    <n v="0"/>
    <n v="0"/>
    <n v="0"/>
    <n v="0"/>
    <n v="0"/>
    <n v="0"/>
    <n v="100"/>
    <n v="5"/>
    <n v="49676198.854454547"/>
    <n v="122029846.28079833"/>
    <n v="118475.57891339644"/>
  </r>
  <r>
    <s v="4.3.3.3"/>
    <x v="2"/>
    <x v="2"/>
    <x v="2"/>
    <x v="11"/>
    <n v="4"/>
    <x v="61"/>
    <x v="61"/>
    <s v="Training of trainers for existing accounting and auditing personnel at national and district council level to resolve bottlenecks identified in the PFM assessments and routine audits"/>
    <s v="Conduct 5 days National level meeting"/>
    <s v="Conference package high-level"/>
    <n v="35000"/>
    <n v="58"/>
    <n v="5"/>
    <n v="10150000"/>
    <n v="58"/>
    <n v="5"/>
    <n v="11600649.134549998"/>
    <n v="120"/>
    <n v="5"/>
    <n v="27431641.313321345"/>
    <n v="0"/>
    <n v="0"/>
    <n v="0"/>
    <n v="0"/>
    <n v="0"/>
    <n v="0"/>
    <n v="0"/>
    <n v="0"/>
    <n v="0"/>
    <n v="0"/>
    <n v="0"/>
    <n v="0"/>
    <n v="58"/>
    <n v="5"/>
    <n v="25857098.378087882"/>
    <n v="75039388.825959221"/>
    <n v="72853.775559183705"/>
  </r>
  <r>
    <s v="4.3.3.3"/>
    <x v="2"/>
    <x v="2"/>
    <x v="2"/>
    <x v="11"/>
    <n v="4"/>
    <x v="61"/>
    <x v="61"/>
    <s v="Training of trainers for existing accounting and auditing personnel at national and district council level to resolve bottlenecks identified in the PFM assessments and routine audits"/>
    <s v="Conduct 5 days National level meeting"/>
    <s v="Local running (diesel, per km)"/>
    <n v="211.42857142857142"/>
    <n v="1450"/>
    <n v="5"/>
    <n v="1532857.142857143"/>
    <n v="1450"/>
    <n v="5"/>
    <n v="1751934.7672585712"/>
    <n v="28000"/>
    <n v="1"/>
    <n v="7733110.3130886843"/>
    <n v="0"/>
    <n v="0"/>
    <n v="0"/>
    <n v="0"/>
    <n v="0"/>
    <n v="0"/>
    <n v="0"/>
    <n v="0"/>
    <n v="0"/>
    <n v="0"/>
    <n v="0"/>
    <n v="0"/>
    <n v="1450"/>
    <n v="5"/>
    <n v="3904949.5509765372"/>
    <n v="14922851.774180936"/>
    <n v="14488.205606000909"/>
  </r>
  <r>
    <s v="4.3.3.3"/>
    <x v="2"/>
    <x v="2"/>
    <x v="2"/>
    <x v="11"/>
    <n v="4"/>
    <x v="61"/>
    <x v="61"/>
    <s v="Training of trainers for existing accounting and auditing personnel at national and district council level to resolve bottlenecks identified in the PFM assessments and routine audits"/>
    <s v="Conduct 5 days National level meeting"/>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Training of trainers for existing accounting and auditing personnel at national and district council level to resolve bottlenecks identified in the PFM assessments and routine audits"/>
    <s v="Training of health centre accounting staff by district council"/>
    <s v="DSA (excl. lunch)"/>
    <n v="39000"/>
    <n v="25"/>
    <n v="6"/>
    <n v="5850000"/>
    <n v="25"/>
    <n v="6"/>
    <n v="6686088.4174499996"/>
    <n v="1100"/>
    <n v="5"/>
    <n v="280194621.98606801"/>
    <n v="0"/>
    <n v="0"/>
    <n v="0"/>
    <n v="0"/>
    <n v="0"/>
    <n v="0"/>
    <n v="0"/>
    <n v="0"/>
    <n v="0"/>
    <n v="0"/>
    <n v="0"/>
    <n v="0"/>
    <n v="25"/>
    <n v="6"/>
    <n v="14902859.656336365"/>
    <n v="307633570.05985439"/>
    <n v="298673.36899014987"/>
  </r>
  <r>
    <s v="4.3.3.3"/>
    <x v="2"/>
    <x v="2"/>
    <x v="2"/>
    <x v="11"/>
    <n v="4"/>
    <x v="61"/>
    <x v="61"/>
    <s v="Training of trainers for existing accounting and auditing personnel at national and district council level to resolve bottlenecks identified in the PFM assessments and routine audits"/>
    <s v="Training of health centre accounting staff by district council"/>
    <s v="Conference package high-level"/>
    <n v="35000"/>
    <n v="25"/>
    <n v="5"/>
    <n v="4375000"/>
    <n v="25"/>
    <n v="5"/>
    <n v="5000279.7993749995"/>
    <n v="1100"/>
    <n v="5"/>
    <n v="251456712.03877899"/>
    <n v="0"/>
    <n v="0"/>
    <n v="0"/>
    <n v="0"/>
    <n v="0"/>
    <n v="0"/>
    <n v="0"/>
    <n v="0"/>
    <n v="0"/>
    <n v="0"/>
    <n v="0"/>
    <n v="0"/>
    <n v="25"/>
    <n v="5"/>
    <n v="11145301.025037881"/>
    <n v="271977292.86319184"/>
    <n v="264055.62413902121"/>
  </r>
  <r>
    <s v="4.3.3.3"/>
    <x v="2"/>
    <x v="2"/>
    <x v="2"/>
    <x v="11"/>
    <n v="4"/>
    <x v="61"/>
    <x v="61"/>
    <s v="Training of trainers for existing accounting and auditing personnel at national and district council level to resolve bottlenecks identified in the PFM assessments and routine audits"/>
    <s v="Training of health centre accounting staff by district council"/>
    <s v="Local running (diesel, per km)"/>
    <n v="211.42857142857142"/>
    <n v="450"/>
    <n v="5"/>
    <n v="475714.28571428568"/>
    <n v="450"/>
    <n v="5"/>
    <n v="543703.89328714274"/>
    <n v="100000"/>
    <n v="1"/>
    <n v="27618251.118173875"/>
    <n v="0"/>
    <n v="0"/>
    <n v="0"/>
    <n v="0"/>
    <n v="0"/>
    <n v="0"/>
    <n v="0"/>
    <n v="0"/>
    <n v="0"/>
    <n v="0"/>
    <n v="0"/>
    <n v="0"/>
    <n v="450"/>
    <n v="5"/>
    <n v="1211880.8951306494"/>
    <n v="29849550.192305952"/>
    <n v="28980.145817772769"/>
  </r>
  <r>
    <s v="4.3.3.3"/>
    <x v="2"/>
    <x v="2"/>
    <x v="2"/>
    <x v="11"/>
    <n v="4"/>
    <x v="61"/>
    <x v="61"/>
    <s v="Training of trainers for existing accounting and auditing personnel at national and district council level to resolve bottlenecks identified in the PFM assessments and routine audits"/>
    <s v="Training of health centre accounting staff by district council"/>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Review and harmonize chart of accounts for the health sector at the national and district-level"/>
    <s v="National level meeting"/>
    <s v="DSA (excl. lunch)"/>
    <n v="39000"/>
    <n v="100"/>
    <n v="6"/>
    <n v="23400000"/>
    <n v="100"/>
    <n v="6"/>
    <n v="26744353.669799998"/>
    <n v="0"/>
    <n v="0"/>
    <n v="0"/>
    <n v="0"/>
    <n v="0"/>
    <n v="0"/>
    <n v="0"/>
    <n v="0"/>
    <n v="0"/>
    <n v="0"/>
    <n v="0"/>
    <n v="0"/>
    <n v="0"/>
    <n v="0"/>
    <n v="0"/>
    <n v="100"/>
    <n v="6"/>
    <n v="59611438.625345461"/>
    <n v="109755792.29514545"/>
    <n v="106559.02164577229"/>
  </r>
  <r>
    <s v="4.3.3.3"/>
    <x v="2"/>
    <x v="2"/>
    <x v="2"/>
    <x v="11"/>
    <n v="4"/>
    <x v="61"/>
    <x v="61"/>
    <s v="Review and harmonize chart of accounts for the health sector at the national and district-level"/>
    <s v="National level meeting"/>
    <s v="Conference package high-level"/>
    <n v="35000"/>
    <n v="58"/>
    <n v="5"/>
    <n v="10150000"/>
    <n v="58"/>
    <n v="5"/>
    <n v="11600649.134549998"/>
    <n v="0"/>
    <n v="0"/>
    <n v="0"/>
    <n v="0"/>
    <n v="0"/>
    <n v="0"/>
    <n v="0"/>
    <n v="0"/>
    <n v="0"/>
    <n v="0"/>
    <n v="0"/>
    <n v="0"/>
    <n v="0"/>
    <n v="0"/>
    <n v="0"/>
    <n v="58"/>
    <n v="5"/>
    <n v="25857098.378087882"/>
    <n v="47607747.512637883"/>
    <n v="46221.114089939692"/>
  </r>
  <r>
    <s v="4.3.3.3"/>
    <x v="2"/>
    <x v="2"/>
    <x v="2"/>
    <x v="11"/>
    <n v="4"/>
    <x v="61"/>
    <x v="61"/>
    <s v="Review and harmonize chart of accounts for the health sector at the national and district-level"/>
    <s v="National level meeting"/>
    <s v="Local running (diesel, per km)"/>
    <n v="211.42857142857142"/>
    <n v="1450"/>
    <n v="5"/>
    <n v="1532857.142857143"/>
    <n v="1450"/>
    <n v="5"/>
    <n v="1751934.7672585712"/>
    <n v="0"/>
    <n v="0"/>
    <n v="0"/>
    <n v="0"/>
    <n v="0"/>
    <n v="0"/>
    <n v="0"/>
    <n v="0"/>
    <n v="0"/>
    <n v="0"/>
    <n v="0"/>
    <n v="0"/>
    <n v="0"/>
    <n v="0"/>
    <n v="0"/>
    <n v="1450"/>
    <n v="5"/>
    <n v="3904949.5509765372"/>
    <n v="7189741.4610922514"/>
    <n v="6980.3315156235449"/>
  </r>
  <r>
    <s v="4.3.3.3"/>
    <x v="2"/>
    <x v="2"/>
    <x v="2"/>
    <x v="11"/>
    <n v="4"/>
    <x v="61"/>
    <x v="61"/>
    <s v="Review and harmonize chart of accounts for the health sector at the national and district-level"/>
    <s v="National level meeting"/>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Roll out IFMIS at sub-national levels in line with health budget management and expenditure requirements"/>
    <s v="Procure equipment"/>
    <s v="Desktop computer"/>
    <n v="1080000"/>
    <n v="0"/>
    <n v="0"/>
    <n v="0"/>
    <n v="0"/>
    <n v="0"/>
    <n v="0"/>
    <n v="58"/>
    <n v="1"/>
    <n v="81824667.231735677"/>
    <n v="0"/>
    <n v="0"/>
    <n v="0"/>
    <n v="0"/>
    <n v="0"/>
    <n v="0"/>
    <n v="0"/>
    <n v="0"/>
    <n v="0"/>
    <n v="0"/>
    <n v="0"/>
    <n v="0"/>
    <n v="0"/>
    <n v="0"/>
    <n v="0"/>
    <n v="81824667.231735677"/>
    <n v="79441.424496830747"/>
  </r>
  <r>
    <s v="4.3.3.3"/>
    <x v="2"/>
    <x v="2"/>
    <x v="2"/>
    <x v="11"/>
    <n v="4"/>
    <x v="61"/>
    <x v="61"/>
    <s v="Roll out IFMIS at sub-national levels in line with health budget management and expenditure requirements"/>
    <s v="Procure equipment"/>
    <s v="IFMIS reconfiguration"/>
    <n v="0"/>
    <n v="0"/>
    <n v="0"/>
    <n v="0"/>
    <n v="0"/>
    <n v="0"/>
    <n v="0"/>
    <n v="1"/>
    <n v="1"/>
    <n v="0"/>
    <n v="0"/>
    <n v="0"/>
    <n v="0"/>
    <n v="0"/>
    <n v="0"/>
    <n v="0"/>
    <n v="0"/>
    <n v="0"/>
    <n v="0"/>
    <n v="0"/>
    <n v="0"/>
    <n v="0"/>
    <n v="0"/>
    <n v="0"/>
    <n v="0"/>
    <n v="0"/>
    <n v="0"/>
  </r>
  <r>
    <s v="4.3.3.3"/>
    <x v="2"/>
    <x v="2"/>
    <x v="2"/>
    <x v="11"/>
    <n v="4"/>
    <x v="61"/>
    <x v="61"/>
    <s v="Roll out IFMIS at sub-national levels in line with health budget management and expenditure requirements"/>
    <s v="Conduct 7-day national-level trainings"/>
    <s v="DSA (excl. lunch)"/>
    <n v="39000"/>
    <n v="100"/>
    <n v="7"/>
    <n v="27300000"/>
    <n v="100"/>
    <n v="7"/>
    <n v="31201745.948099997"/>
    <n v="120"/>
    <n v="7"/>
    <n v="42793360.448781304"/>
    <n v="0"/>
    <n v="0"/>
    <n v="0"/>
    <n v="0"/>
    <n v="0"/>
    <n v="0"/>
    <n v="0"/>
    <n v="0"/>
    <n v="0"/>
    <n v="0"/>
    <n v="0"/>
    <n v="0"/>
    <n v="100"/>
    <n v="7"/>
    <n v="69546678.396236375"/>
    <n v="170841784.7931177"/>
    <n v="165865.81047875504"/>
  </r>
  <r>
    <s v="4.3.3.3"/>
    <x v="2"/>
    <x v="2"/>
    <x v="2"/>
    <x v="11"/>
    <n v="4"/>
    <x v="61"/>
    <x v="61"/>
    <s v="Roll out IFMIS at sub-national levels in line with health budget management and expenditure requirements"/>
    <s v="Conduct 7-day national-level trainings"/>
    <s v="Conference package high-level"/>
    <n v="35000"/>
    <n v="58"/>
    <n v="7"/>
    <n v="14210000"/>
    <n v="58"/>
    <n v="7"/>
    <n v="16240908.788369995"/>
    <n v="120"/>
    <n v="7"/>
    <n v="38404297.838649884"/>
    <n v="0"/>
    <n v="0"/>
    <n v="0"/>
    <n v="0"/>
    <n v="0"/>
    <n v="0"/>
    <n v="0"/>
    <n v="0"/>
    <n v="0"/>
    <n v="0"/>
    <n v="0"/>
    <n v="0"/>
    <n v="58"/>
    <n v="7"/>
    <n v="36199937.729323037"/>
    <n v="105055144.35634291"/>
    <n v="101995.2857828572"/>
  </r>
  <r>
    <s v="4.3.3.3"/>
    <x v="2"/>
    <x v="2"/>
    <x v="2"/>
    <x v="11"/>
    <n v="4"/>
    <x v="61"/>
    <x v="61"/>
    <s v="Roll out IFMIS at sub-national levels in line with health budget management and expenditure requirements"/>
    <s v="Conduct 7-day national-level trainings"/>
    <s v="Local running (diesel, per km)"/>
    <n v="211.42857142857142"/>
    <n v="1450"/>
    <n v="7"/>
    <n v="2146000"/>
    <n v="1450"/>
    <n v="7"/>
    <n v="2452708.6741619995"/>
    <n v="20000"/>
    <n v="1"/>
    <n v="5523650.2236347748"/>
    <n v="0"/>
    <n v="0"/>
    <n v="0"/>
    <n v="0"/>
    <n v="0"/>
    <n v="0"/>
    <n v="0"/>
    <n v="0"/>
    <n v="0"/>
    <n v="0"/>
    <n v="0"/>
    <n v="0"/>
    <n v="1450"/>
    <n v="7"/>
    <n v="5466929.3713671518"/>
    <n v="15589288.269163925"/>
    <n v="15135.231329285365"/>
  </r>
  <r>
    <s v="4.3.3.3"/>
    <x v="2"/>
    <x v="2"/>
    <x v="2"/>
    <x v="11"/>
    <n v="4"/>
    <x v="61"/>
    <x v="61"/>
    <s v="Roll out IFMIS at sub-national levels in line with health budget management and expenditure requirements"/>
    <s v="Conduct 7-day national-level trainings"/>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Roll out IFMIS at sub-national levels in line with health budget management and expenditure requirements"/>
    <s v="Lobby for filling of accounting and auditing vacancies at national and sub-national levels"/>
    <s v="zero cost"/>
    <n v="0"/>
    <n v="0"/>
    <n v="0"/>
    <n v="0"/>
    <n v="0"/>
    <n v="0"/>
    <n v="0"/>
    <n v="0"/>
    <n v="0"/>
    <n v="0"/>
    <n v="0"/>
    <n v="0"/>
    <n v="0"/>
    <n v="0"/>
    <n v="0"/>
    <n v="0"/>
    <n v="0"/>
    <n v="0"/>
    <n v="0"/>
    <n v="0"/>
    <n v="0"/>
    <n v="0"/>
    <n v="0"/>
    <n v="0"/>
    <n v="0"/>
    <n v="0"/>
    <n v="0"/>
  </r>
  <r>
    <s v="4.3.3.3"/>
    <x v="2"/>
    <x v="2"/>
    <x v="2"/>
    <x v="11"/>
    <n v="4"/>
    <x v="61"/>
    <x v="61"/>
    <s v="Roll out IFMIS at sub-national levels in line with health budget management and expenditure requirements"/>
    <s v="Conduct engagement Zonal-level meetings for decentralization of account systems and personnel to area development committees"/>
    <s v="DSA (excl. lunch)"/>
    <n v="39000"/>
    <n v="25"/>
    <n v="6"/>
    <n v="5850000"/>
    <n v="25"/>
    <n v="6"/>
    <n v="6686088.4174499996"/>
    <n v="200"/>
    <n v="3"/>
    <n v="30566686.034843788"/>
    <n v="0"/>
    <n v="0"/>
    <n v="0"/>
    <n v="0"/>
    <n v="0"/>
    <n v="0"/>
    <n v="0"/>
    <n v="0"/>
    <n v="0"/>
    <n v="0"/>
    <n v="0"/>
    <n v="0"/>
    <n v="25"/>
    <n v="6"/>
    <n v="14902859.656336365"/>
    <n v="58005634.108630151"/>
    <n v="56316.149620029275"/>
  </r>
  <r>
    <s v="4.3.3.3"/>
    <x v="2"/>
    <x v="2"/>
    <x v="2"/>
    <x v="11"/>
    <n v="4"/>
    <x v="61"/>
    <x v="61"/>
    <s v="Roll out IFMIS at sub-national levels in line with health budget management and expenditure requirements"/>
    <s v="Conduct engagement Zonal-level meetings for decentralization of account systems and personnel to area development committees"/>
    <s v="Conference package high-level"/>
    <n v="35000"/>
    <n v="25"/>
    <n v="5"/>
    <n v="4375000"/>
    <n v="25"/>
    <n v="5"/>
    <n v="5000279.7993749995"/>
    <n v="200"/>
    <n v="3"/>
    <n v="27431641.313321348"/>
    <n v="0"/>
    <n v="0"/>
    <n v="0"/>
    <n v="0"/>
    <n v="0"/>
    <n v="0"/>
    <n v="0"/>
    <n v="0"/>
    <n v="0"/>
    <n v="0"/>
    <n v="0"/>
    <n v="0"/>
    <n v="25"/>
    <n v="5"/>
    <n v="11145301.025037881"/>
    <n v="47952222.137734234"/>
    <n v="46555.55547352838"/>
  </r>
  <r>
    <s v="4.3.3.3"/>
    <x v="2"/>
    <x v="2"/>
    <x v="2"/>
    <x v="11"/>
    <n v="4"/>
    <x v="61"/>
    <x v="61"/>
    <s v="Roll out IFMIS at sub-national levels in line with health budget management and expenditure requirements"/>
    <s v="Conduct engagement Zonal-level meetings for decentralization of account systems and personnel to area development committees"/>
    <s v="Local running (diesel, per km)"/>
    <n v="211.42857142857142"/>
    <n v="450"/>
    <n v="5"/>
    <n v="475714.28571428568"/>
    <n v="450"/>
    <n v="5"/>
    <n v="543703.89328714274"/>
    <n v="28000"/>
    <n v="1"/>
    <n v="7733110.3130886843"/>
    <n v="0"/>
    <n v="0"/>
    <n v="0"/>
    <n v="0"/>
    <n v="0"/>
    <n v="0"/>
    <n v="0"/>
    <n v="0"/>
    <n v="0"/>
    <n v="0"/>
    <n v="0"/>
    <n v="0"/>
    <n v="450"/>
    <n v="5"/>
    <n v="1211880.8951306494"/>
    <n v="9964409.3872207627"/>
    <n v="9674.1838710881184"/>
  </r>
  <r>
    <s v="4.3.3.3"/>
    <x v="2"/>
    <x v="2"/>
    <x v="2"/>
    <x v="11"/>
    <n v="4"/>
    <x v="61"/>
    <x v="61"/>
    <s v="Roll out IFMIS at sub-national levels in line with health budget management and expenditure requirements"/>
    <s v="Conduct engagement Zonal-level meetings for decentralization of account systems and personnel to area development committees"/>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Develop decentralization plan for account systems and personnel to area development committees"/>
    <s v="National level meeting"/>
    <s v="Conference package high-level"/>
    <n v="35000"/>
    <n v="100"/>
    <n v="5"/>
    <n v="17500000"/>
    <n v="100"/>
    <n v="5"/>
    <n v="20001119.197499998"/>
    <n v="0"/>
    <n v="0"/>
    <n v="0"/>
    <n v="20"/>
    <n v="2"/>
    <n v="2090146.7721554502"/>
    <n v="0"/>
    <n v="0"/>
    <n v="0"/>
    <n v="0"/>
    <n v="0"/>
    <n v="0"/>
    <n v="0"/>
    <n v="0"/>
    <n v="0"/>
    <n v="100"/>
    <n v="5"/>
    <n v="44581204.100151524"/>
    <n v="84172470.069806963"/>
    <n v="81720.844727967924"/>
  </r>
  <r>
    <s v="4.3.3.3"/>
    <x v="2"/>
    <x v="2"/>
    <x v="2"/>
    <x v="11"/>
    <n v="4"/>
    <x v="61"/>
    <x v="61"/>
    <s v="Lobby for decentralizing of account systems and personnel from the council headquarters to area development committees"/>
    <s v="National level meeting"/>
    <s v="Conference package high-level"/>
    <n v="35000"/>
    <n v="100"/>
    <n v="5"/>
    <n v="17500000"/>
    <n v="100"/>
    <n v="5"/>
    <n v="20001119.197499998"/>
    <n v="0"/>
    <n v="0"/>
    <n v="0"/>
    <n v="20"/>
    <n v="2"/>
    <n v="2090146.7721554502"/>
    <n v="0"/>
    <n v="0"/>
    <n v="0"/>
    <n v="0"/>
    <n v="0"/>
    <n v="0"/>
    <n v="0"/>
    <n v="0"/>
    <n v="0"/>
    <n v="100"/>
    <n v="5"/>
    <n v="44581204.100151524"/>
    <n v="84172470.069806963"/>
    <n v="81720.844727967924"/>
  </r>
  <r>
    <s v="4.3.3.3"/>
    <x v="2"/>
    <x v="2"/>
    <x v="2"/>
    <x v="11"/>
    <n v="4"/>
    <x v="61"/>
    <x v="61"/>
    <s v="Develop guidelines for budget monitoring at national and sub-national level"/>
    <s v="National level meeting"/>
    <s v="Conference package high-level"/>
    <n v="35000"/>
    <n v="100"/>
    <n v="5"/>
    <n v="17500000"/>
    <n v="100"/>
    <n v="5"/>
    <n v="20001119.197499998"/>
    <n v="0"/>
    <n v="0"/>
    <n v="0"/>
    <n v="0"/>
    <n v="0"/>
    <n v="0"/>
    <n v="0"/>
    <n v="0"/>
    <n v="0"/>
    <n v="0"/>
    <n v="0"/>
    <n v="0"/>
    <n v="0"/>
    <n v="0"/>
    <n v="0"/>
    <n v="100"/>
    <n v="5"/>
    <n v="44581204.100151524"/>
    <n v="82082323.297651529"/>
    <n v="79691.576017137413"/>
  </r>
  <r>
    <s v="4.3.3.3"/>
    <x v="2"/>
    <x v="2"/>
    <x v="2"/>
    <x v="11"/>
    <n v="4"/>
    <x v="61"/>
    <x v="61"/>
    <s v="Develop guidelines for budget monitoring at national and sub-national level"/>
    <s v="National level meeting"/>
    <s v="DSA (excl. lunch)"/>
    <n v="39000"/>
    <n v="58"/>
    <n v="6"/>
    <n v="13572000"/>
    <n v="58"/>
    <n v="6"/>
    <n v="15511725.128483998"/>
    <m/>
    <m/>
    <n v="0"/>
    <m/>
    <m/>
    <n v="0"/>
    <m/>
    <m/>
    <n v="0"/>
    <m/>
    <m/>
    <n v="0"/>
    <m/>
    <m/>
    <n v="0"/>
    <n v="58"/>
    <n v="6"/>
    <n v="34574634.402700365"/>
    <n v="63658359.53118436"/>
    <n v="61804.232554547925"/>
  </r>
  <r>
    <s v="4.3.3.3"/>
    <x v="2"/>
    <x v="2"/>
    <x v="2"/>
    <x v="11"/>
    <n v="4"/>
    <x v="61"/>
    <x v="61"/>
    <s v="Develop guidelines for budget monitoring at national and sub-national level"/>
    <s v="National level meeting"/>
    <s v="Local running (diesel, per km)"/>
    <n v="211.42857142857142"/>
    <n v="1450"/>
    <n v="5"/>
    <n v="1532857.142857143"/>
    <n v="1450"/>
    <n v="5"/>
    <n v="1751934.7672585712"/>
    <m/>
    <m/>
    <n v="0"/>
    <m/>
    <m/>
    <n v="0"/>
    <m/>
    <m/>
    <n v="0"/>
    <m/>
    <m/>
    <n v="0"/>
    <m/>
    <m/>
    <n v="0"/>
    <n v="1450"/>
    <n v="5"/>
    <n v="3904949.5509765372"/>
    <n v="7189741.4610922514"/>
    <n v="6980.3315156235449"/>
  </r>
  <r>
    <s v="4.3.3.3"/>
    <x v="2"/>
    <x v="2"/>
    <x v="2"/>
    <x v="11"/>
    <n v="4"/>
    <x v="61"/>
    <x v="61"/>
    <s v="Develop guidelines for budget monitoring at national and sub-national level"/>
    <s v="National level meeting"/>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Develop guidelines for budget monitoring at national and sub-national level"/>
    <s v="Conduct 2-day national-level meeting"/>
    <s v="Conference package high-level"/>
    <n v="35000"/>
    <n v="100"/>
    <n v="2"/>
    <n v="7000000"/>
    <n v="100"/>
    <n v="2"/>
    <n v="8000447.6789999986"/>
    <n v="0"/>
    <n v="0"/>
    <n v="0"/>
    <n v="0"/>
    <n v="0"/>
    <n v="0"/>
    <n v="0"/>
    <n v="0"/>
    <n v="0"/>
    <n v="0"/>
    <n v="0"/>
    <n v="0"/>
    <n v="0"/>
    <n v="0"/>
    <n v="0"/>
    <n v="100"/>
    <n v="2"/>
    <n v="17832481.640060611"/>
    <n v="32832929.319060609"/>
    <n v="31876.630406854962"/>
  </r>
  <r>
    <s v="4.3.3.3"/>
    <x v="2"/>
    <x v="2"/>
    <x v="2"/>
    <x v="11"/>
    <n v="4"/>
    <x v="61"/>
    <x v="61"/>
    <s v="Develop guidelines for budget monitoring at national and sub-national level"/>
    <s v="Conduct 2-day national-level meeting"/>
    <s v="DSA (excl. lunch)"/>
    <n v="39000"/>
    <n v="58"/>
    <n v="2"/>
    <n v="4524000"/>
    <n v="58"/>
    <n v="2"/>
    <n v="5170575.0428279992"/>
    <m/>
    <m/>
    <n v="0"/>
    <m/>
    <m/>
    <n v="0"/>
    <m/>
    <m/>
    <n v="0"/>
    <m/>
    <m/>
    <n v="0"/>
    <m/>
    <m/>
    <n v="0"/>
    <n v="58"/>
    <n v="2"/>
    <n v="11524878.134233456"/>
    <n v="21219453.177061453"/>
    <n v="20601.410851515975"/>
  </r>
  <r>
    <s v="4.3.3.3"/>
    <x v="2"/>
    <x v="2"/>
    <x v="2"/>
    <x v="11"/>
    <n v="4"/>
    <x v="61"/>
    <x v="61"/>
    <s v="Develop guidelines for budget monitoring at national and sub-national level"/>
    <s v="Conduct 2-day national-level meeting"/>
    <s v="Local running (diesel, per km)"/>
    <n v="211.42857142857142"/>
    <n v="1450"/>
    <n v="2"/>
    <n v="613142.85714285716"/>
    <n v="1450"/>
    <n v="2"/>
    <n v="700773.90690342849"/>
    <m/>
    <m/>
    <n v="0"/>
    <m/>
    <m/>
    <n v="0"/>
    <m/>
    <m/>
    <n v="0"/>
    <m/>
    <m/>
    <n v="0"/>
    <m/>
    <m/>
    <n v="0"/>
    <n v="1450"/>
    <n v="2"/>
    <n v="1561979.8203906149"/>
    <n v="2875896.5844369009"/>
    <n v="2792.1326062494186"/>
  </r>
  <r>
    <s v="4.3.3.3"/>
    <x v="2"/>
    <x v="2"/>
    <x v="2"/>
    <x v="11"/>
    <n v="4"/>
    <x v="61"/>
    <x v="61"/>
    <s v="Develop guidelines for budget monitoring at national and sub-national level"/>
    <s v="Conduct 2-day national-level meeting"/>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Develop guidelines for budget monitoring at national and sub-national level"/>
    <s v="Disseminate guidelines for budget monitoring at national and sub-national level"/>
    <s v="Conference package high-level"/>
    <n v="35000"/>
    <n v="100"/>
    <n v="1"/>
    <n v="3500000"/>
    <n v="100"/>
    <n v="1"/>
    <n v="4000223.8394999993"/>
    <n v="0"/>
    <n v="0"/>
    <n v="0"/>
    <n v="0"/>
    <n v="0"/>
    <n v="0"/>
    <n v="0"/>
    <n v="0"/>
    <n v="0"/>
    <n v="0"/>
    <n v="0"/>
    <n v="0"/>
    <n v="0"/>
    <n v="0"/>
    <n v="0"/>
    <n v="100"/>
    <n v="1"/>
    <n v="8916240.8200303055"/>
    <n v="16416464.659530304"/>
    <n v="15938.315203427481"/>
  </r>
  <r>
    <s v="4.3.3.3"/>
    <x v="2"/>
    <x v="2"/>
    <x v="2"/>
    <x v="11"/>
    <n v="4"/>
    <x v="61"/>
    <x v="61"/>
    <s v="Develop guidelines for budget monitoring at national and sub-national level"/>
    <s v="Disseminate guidelines for budget monitoring at national and sub-national level"/>
    <s v="DSA (excl. lunch)"/>
    <n v="39000"/>
    <n v="58"/>
    <n v="1"/>
    <n v="2262000"/>
    <n v="58"/>
    <n v="1"/>
    <n v="2585287.5214139996"/>
    <n v="0"/>
    <n v="0"/>
    <n v="0"/>
    <n v="0"/>
    <n v="0"/>
    <n v="0"/>
    <n v="0"/>
    <n v="0"/>
    <n v="0"/>
    <n v="0"/>
    <n v="0"/>
    <n v="0"/>
    <n v="0"/>
    <n v="0"/>
    <n v="0"/>
    <n v="58"/>
    <n v="1"/>
    <n v="5762439.0671167281"/>
    <n v="10609726.588530727"/>
    <n v="10300.705425757988"/>
  </r>
  <r>
    <s v="4.3.3.3"/>
    <x v="2"/>
    <x v="2"/>
    <x v="2"/>
    <x v="11"/>
    <n v="4"/>
    <x v="61"/>
    <x v="61"/>
    <s v="Develop guidelines for budget monitoring at national and sub-national level"/>
    <s v="Disseminate guidelines for budget monitoring at national and sub-national level"/>
    <s v="Local running (diesel, per km)"/>
    <n v="211.42857142857142"/>
    <n v="1450"/>
    <n v="1"/>
    <n v="306571.42857142858"/>
    <n v="1450"/>
    <n v="1"/>
    <n v="350386.95345171425"/>
    <n v="0"/>
    <n v="0"/>
    <n v="0"/>
    <n v="0"/>
    <n v="0"/>
    <n v="0"/>
    <n v="0"/>
    <n v="0"/>
    <n v="0"/>
    <n v="0"/>
    <n v="0"/>
    <n v="0"/>
    <n v="0"/>
    <n v="0"/>
    <n v="0"/>
    <n v="1450"/>
    <n v="1"/>
    <n v="780989.91019530746"/>
    <n v="1437948.2922184505"/>
    <n v="1396.0663031247093"/>
  </r>
  <r>
    <s v="4.3.3.3"/>
    <x v="2"/>
    <x v="2"/>
    <x v="2"/>
    <x v="11"/>
    <n v="4"/>
    <x v="61"/>
    <x v="61"/>
    <s v="Develop guidelines for budget monitoring at national and sub-national level"/>
    <s v="Disseminate guidelines for budget monitoring at national and sub-national level"/>
    <s v="Fuel for travellng participants"/>
    <n v="211.42857142857142"/>
    <n v="22500"/>
    <n v="1"/>
    <n v="4757142.8571428573"/>
    <n v="22500"/>
    <n v="1"/>
    <n v="5437038.9328714283"/>
    <m/>
    <m/>
    <n v="0"/>
    <m/>
    <m/>
    <n v="0"/>
    <m/>
    <m/>
    <n v="0"/>
    <m/>
    <m/>
    <n v="0"/>
    <m/>
    <m/>
    <n v="0"/>
    <n v="22500"/>
    <n v="1"/>
    <n v="12118808.951306494"/>
    <n v="22312990.741320781"/>
    <n v="21663.097807107555"/>
  </r>
  <r>
    <s v="4.3.3.3"/>
    <x v="2"/>
    <x v="2"/>
    <x v="2"/>
    <x v="11"/>
    <n v="4"/>
    <x v="61"/>
    <x v="61"/>
    <s v="Develop guidelines for budget monitoring at national and sub-national level"/>
    <s v="Conduct budget credibility assessments at national and sub-national levels"/>
    <s v="zero cost"/>
    <n v="0"/>
    <m/>
    <n v="0"/>
    <n v="0"/>
    <m/>
    <n v="0"/>
    <n v="0"/>
    <n v="0"/>
    <n v="0"/>
    <n v="0"/>
    <n v="0"/>
    <n v="0"/>
    <n v="0"/>
    <n v="0"/>
    <n v="0"/>
    <n v="0"/>
    <n v="0"/>
    <n v="0"/>
    <n v="0"/>
    <n v="0"/>
    <n v="0"/>
    <n v="0"/>
    <m/>
    <n v="0"/>
    <n v="0"/>
    <n v="0"/>
    <n v="0"/>
  </r>
  <r>
    <s v="4.3.3.3"/>
    <x v="2"/>
    <x v="2"/>
    <x v="2"/>
    <x v="11"/>
    <n v="4"/>
    <x v="61"/>
    <x v="61"/>
    <s v="Develop procurement capacity at facility level"/>
    <s v="Develop guidelines for facility-level procurement"/>
    <s v="DSA (excl. lunch)"/>
    <n v="39000"/>
    <n v="25"/>
    <n v="6"/>
    <n v="5850000"/>
    <n v="25"/>
    <n v="6"/>
    <n v="6686088.4174499996"/>
    <n v="0"/>
    <n v="0"/>
    <n v="0"/>
    <n v="0"/>
    <n v="0"/>
    <n v="0"/>
    <n v="0"/>
    <n v="0"/>
    <n v="0"/>
    <n v="0"/>
    <n v="0"/>
    <n v="0"/>
    <n v="0"/>
    <n v="0"/>
    <n v="0"/>
    <n v="25"/>
    <n v="6"/>
    <n v="14902859.656336365"/>
    <n v="27438948.073786363"/>
    <n v="26639.755411443071"/>
  </r>
  <r>
    <s v="4.3.3.3"/>
    <x v="2"/>
    <x v="2"/>
    <x v="2"/>
    <x v="11"/>
    <n v="4"/>
    <x v="61"/>
    <x v="61"/>
    <s v="Develop procurement capacity at facility level"/>
    <s v="Develop guidelines for facility-level procurement"/>
    <s v="Conference package high-level"/>
    <n v="35000"/>
    <n v="25"/>
    <n v="5"/>
    <n v="4375000"/>
    <n v="25"/>
    <n v="5"/>
    <n v="5000279.7993749995"/>
    <n v="0"/>
    <n v="0"/>
    <n v="0"/>
    <n v="0"/>
    <n v="0"/>
    <n v="0"/>
    <n v="0"/>
    <n v="0"/>
    <n v="0"/>
    <n v="0"/>
    <n v="0"/>
    <n v="0"/>
    <n v="0"/>
    <n v="0"/>
    <n v="0"/>
    <n v="25"/>
    <n v="5"/>
    <n v="11145301.025037881"/>
    <n v="20520580.824412882"/>
    <n v="19922.894004284353"/>
  </r>
  <r>
    <s v="4.3.3.3"/>
    <x v="2"/>
    <x v="2"/>
    <x v="2"/>
    <x v="11"/>
    <n v="4"/>
    <x v="61"/>
    <x v="61"/>
    <s v="Develop procurement capacity at facility level"/>
    <s v="Develop guidelines for facility-level procurement"/>
    <s v="Local running (diesel, per km)"/>
    <n v="211.42857142857142"/>
    <n v="450"/>
    <n v="5"/>
    <n v="475714.28571428568"/>
    <n v="450"/>
    <n v="5"/>
    <n v="543703.89328714274"/>
    <n v="0"/>
    <n v="0"/>
    <n v="0"/>
    <n v="0"/>
    <n v="0"/>
    <n v="0"/>
    <n v="0"/>
    <n v="0"/>
    <n v="0"/>
    <n v="0"/>
    <n v="0"/>
    <n v="0"/>
    <n v="0"/>
    <n v="0"/>
    <n v="0"/>
    <n v="450"/>
    <n v="5"/>
    <n v="1211880.8951306494"/>
    <n v="2231299.0741320779"/>
    <n v="2166.3097807107551"/>
  </r>
  <r>
    <s v="4.3.3.3"/>
    <x v="2"/>
    <x v="2"/>
    <x v="2"/>
    <x v="11"/>
    <n v="4"/>
    <x v="61"/>
    <x v="61"/>
    <s v="Develop procurement capacity at facility level"/>
    <s v="Develop guidelines for facility-level procurement"/>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Develop procurement capacity at facility level"/>
    <s v="Develop procurement capacity assessment"/>
    <s v="zero cost"/>
    <n v="0"/>
    <n v="0"/>
    <n v="0"/>
    <n v="0"/>
    <n v="0"/>
    <n v="0"/>
    <n v="0"/>
    <n v="0"/>
    <n v="0"/>
    <n v="0"/>
    <n v="0"/>
    <n v="0"/>
    <n v="0"/>
    <n v="0"/>
    <n v="0"/>
    <n v="0"/>
    <n v="0"/>
    <n v="0"/>
    <n v="0"/>
    <n v="0"/>
    <n v="0"/>
    <n v="0"/>
    <n v="0"/>
    <n v="0"/>
    <n v="0"/>
    <n v="0"/>
    <n v="0"/>
  </r>
  <r>
    <s v="4.3.3.3"/>
    <x v="2"/>
    <x v="2"/>
    <x v="2"/>
    <x v="11"/>
    <n v="4"/>
    <x v="61"/>
    <x v="61"/>
    <s v="Develop procurement capacity at facility level"/>
    <s v="Conduct procurement capacity assessment-Zonal-level meeting"/>
    <s v="DSA (excl. lunch)"/>
    <n v="39000"/>
    <n v="25"/>
    <n v="6"/>
    <n v="5850000"/>
    <n v="25"/>
    <n v="6"/>
    <n v="6686088.4174499996"/>
    <n v="0"/>
    <n v="0"/>
    <n v="0"/>
    <n v="0"/>
    <n v="0"/>
    <n v="0"/>
    <n v="0"/>
    <n v="0"/>
    <n v="0"/>
    <n v="0"/>
    <n v="0"/>
    <n v="0"/>
    <n v="0"/>
    <n v="0"/>
    <n v="0"/>
    <n v="25"/>
    <n v="6"/>
    <n v="14902859.656336365"/>
    <n v="27438948.073786363"/>
    <n v="26639.755411443071"/>
  </r>
  <r>
    <s v="4.3.3.3"/>
    <x v="2"/>
    <x v="2"/>
    <x v="2"/>
    <x v="11"/>
    <n v="4"/>
    <x v="61"/>
    <x v="61"/>
    <s v="Develop procurement capacity at facility level"/>
    <s v="Conduct procurement capacity assessment-Zonal-level meeting"/>
    <s v="Conference package high-level"/>
    <n v="35000"/>
    <n v="25"/>
    <n v="5"/>
    <n v="4375000"/>
    <n v="25"/>
    <n v="5"/>
    <n v="5000279.7993749995"/>
    <n v="0"/>
    <n v="0"/>
    <n v="0"/>
    <n v="0"/>
    <n v="0"/>
    <n v="0"/>
    <n v="0"/>
    <n v="0"/>
    <n v="0"/>
    <n v="0"/>
    <n v="0"/>
    <n v="0"/>
    <n v="0"/>
    <n v="0"/>
    <n v="0"/>
    <n v="25"/>
    <n v="5"/>
    <n v="11145301.025037881"/>
    <n v="20520580.824412882"/>
    <n v="19922.894004284353"/>
  </r>
  <r>
    <s v="4.3.3.3"/>
    <x v="2"/>
    <x v="2"/>
    <x v="2"/>
    <x v="11"/>
    <n v="4"/>
    <x v="61"/>
    <x v="61"/>
    <s v="Develop procurement capacity at facility level"/>
    <s v="Conduct procurement capacity assessment-Zonal-level meeting"/>
    <s v="Local running (diesel, per km)"/>
    <n v="211.42857142857142"/>
    <n v="450"/>
    <n v="5"/>
    <n v="475714.28571428568"/>
    <n v="450"/>
    <n v="5"/>
    <n v="543703.89328714274"/>
    <n v="0"/>
    <n v="0"/>
    <n v="0"/>
    <n v="0"/>
    <n v="0"/>
    <n v="0"/>
    <n v="0"/>
    <n v="0"/>
    <n v="0"/>
    <n v="0"/>
    <n v="0"/>
    <n v="0"/>
    <n v="0"/>
    <n v="0"/>
    <n v="0"/>
    <n v="450"/>
    <n v="5"/>
    <n v="1211880.8951306494"/>
    <n v="2231299.0741320779"/>
    <n v="2166.3097807107551"/>
  </r>
  <r>
    <s v="4.3.3.3"/>
    <x v="2"/>
    <x v="2"/>
    <x v="2"/>
    <x v="11"/>
    <n v="4"/>
    <x v="61"/>
    <x v="61"/>
    <s v="Develop procurement capacity at facility level"/>
    <s v="Conduct procurement capacity assessment-Zonal-level meeting"/>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Develop procurement capacity at facility level"/>
    <s v="Conduct training of trainers for procurement"/>
    <s v="DSA (excl. lunch)"/>
    <n v="39000"/>
    <n v="25"/>
    <n v="6"/>
    <n v="5850000"/>
    <n v="25"/>
    <n v="6"/>
    <n v="6686088.4174499996"/>
    <n v="0"/>
    <n v="0"/>
    <n v="0"/>
    <n v="0"/>
    <n v="0"/>
    <n v="0"/>
    <n v="0"/>
    <n v="0"/>
    <n v="0"/>
    <n v="0"/>
    <n v="0"/>
    <n v="0"/>
    <n v="0"/>
    <n v="0"/>
    <n v="0"/>
    <n v="25"/>
    <n v="6"/>
    <n v="14902859.656336365"/>
    <n v="27438948.073786363"/>
    <n v="26639.755411443071"/>
  </r>
  <r>
    <s v="4.3.3.3"/>
    <x v="2"/>
    <x v="2"/>
    <x v="2"/>
    <x v="11"/>
    <n v="4"/>
    <x v="61"/>
    <x v="61"/>
    <s v="Develop procurement capacity at facility level"/>
    <s v="Conduct training of trainers for procurement"/>
    <s v="Conference package high-level"/>
    <n v="35000"/>
    <n v="25"/>
    <n v="5"/>
    <n v="4375000"/>
    <n v="25"/>
    <n v="5"/>
    <n v="5000279.7993749995"/>
    <n v="0"/>
    <n v="0"/>
    <n v="0"/>
    <n v="0"/>
    <n v="0"/>
    <n v="0"/>
    <n v="0"/>
    <n v="0"/>
    <n v="0"/>
    <n v="0"/>
    <n v="0"/>
    <n v="0"/>
    <n v="0"/>
    <n v="0"/>
    <n v="0"/>
    <n v="25"/>
    <n v="5"/>
    <n v="11145301.025037881"/>
    <n v="20520580.824412882"/>
    <n v="19922.894004284353"/>
  </r>
  <r>
    <s v="4.3.3.3"/>
    <x v="2"/>
    <x v="2"/>
    <x v="2"/>
    <x v="11"/>
    <n v="4"/>
    <x v="61"/>
    <x v="61"/>
    <s v="Develop procurement capacity at facility level"/>
    <s v="Conduct training of trainers for procurement"/>
    <s v="Local running (diesel, per km)"/>
    <n v="211.42857142857142"/>
    <n v="450"/>
    <n v="5"/>
    <n v="475714.28571428568"/>
    <n v="450"/>
    <n v="5"/>
    <n v="543703.89328714274"/>
    <n v="0"/>
    <n v="0"/>
    <n v="0"/>
    <n v="0"/>
    <n v="0"/>
    <n v="0"/>
    <n v="0"/>
    <n v="0"/>
    <n v="0"/>
    <n v="0"/>
    <n v="0"/>
    <n v="0"/>
    <n v="0"/>
    <n v="0"/>
    <n v="0"/>
    <n v="450"/>
    <n v="5"/>
    <n v="1211880.8951306494"/>
    <n v="2231299.0741320779"/>
    <n v="2166.3097807107551"/>
  </r>
  <r>
    <s v="4.3.3.3"/>
    <x v="2"/>
    <x v="2"/>
    <x v="2"/>
    <x v="11"/>
    <n v="4"/>
    <x v="61"/>
    <x v="61"/>
    <s v="Develop procurement capacity at facility level"/>
    <s v="Conduct training of trainers for procurement"/>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4"/>
    <x v="61"/>
    <x v="61"/>
    <s v="Develop procurement capacity at facility level"/>
    <s v="Conduct facility-level training on procurement"/>
    <s v="Conference package high-level"/>
    <n v="35000"/>
    <n v="25"/>
    <n v="5"/>
    <n v="4375000"/>
    <n v="25"/>
    <n v="5"/>
    <n v="5000279.7993749995"/>
    <n v="0"/>
    <n v="0"/>
    <n v="0"/>
    <n v="0"/>
    <n v="0"/>
    <n v="0"/>
    <n v="0"/>
    <n v="0"/>
    <n v="0"/>
    <n v="0"/>
    <n v="0"/>
    <n v="0"/>
    <n v="0"/>
    <n v="0"/>
    <n v="0"/>
    <n v="25"/>
    <n v="5"/>
    <n v="11145301.025037881"/>
    <n v="20520580.824412882"/>
    <n v="19922.894004284353"/>
  </r>
  <r>
    <s v="4.3.3.3"/>
    <x v="2"/>
    <x v="2"/>
    <x v="2"/>
    <x v="11"/>
    <n v="4"/>
    <x v="61"/>
    <x v="61"/>
    <s v="Develop procurement capacity at facility level"/>
    <s v="Conduct facility-level training on procurement"/>
    <s v="Local running (diesel, per km)"/>
    <n v="211.42857142857142"/>
    <n v="450"/>
    <n v="5"/>
    <n v="475714.28571428568"/>
    <n v="450"/>
    <n v="5"/>
    <n v="543703.89328714274"/>
    <n v="0"/>
    <n v="0"/>
    <n v="0"/>
    <n v="0"/>
    <n v="0"/>
    <n v="0"/>
    <n v="0"/>
    <n v="0"/>
    <n v="0"/>
    <n v="0"/>
    <n v="0"/>
    <n v="0"/>
    <n v="0"/>
    <n v="0"/>
    <n v="0"/>
    <n v="450"/>
    <n v="5"/>
    <n v="1211880.8951306494"/>
    <n v="2231299.0741320779"/>
    <n v="2166.3097807107551"/>
  </r>
  <r>
    <s v="4.3.3.3"/>
    <x v="2"/>
    <x v="2"/>
    <x v="2"/>
    <x v="11"/>
    <n v="4"/>
    <x v="61"/>
    <x v="61"/>
    <s v="Develop procurement capacity at facility level"/>
    <s v="Conduct facility-level training on procurement"/>
    <s v="DSA (excl. lunch)"/>
    <n v="39000"/>
    <n v="25"/>
    <n v="6"/>
    <n v="5850000"/>
    <n v="25"/>
    <n v="6"/>
    <n v="6686088.4174499996"/>
    <m/>
    <m/>
    <n v="0"/>
    <m/>
    <m/>
    <n v="0"/>
    <m/>
    <m/>
    <n v="0"/>
    <m/>
    <m/>
    <n v="0"/>
    <m/>
    <m/>
    <n v="0"/>
    <n v="25"/>
    <n v="6"/>
    <n v="14902859.656336365"/>
    <n v="27438948.073786363"/>
    <n v="26639.755411443071"/>
  </r>
  <r>
    <s v="4.3.3.3"/>
    <x v="2"/>
    <x v="2"/>
    <x v="2"/>
    <x v="11"/>
    <n v="4"/>
    <x v="61"/>
    <x v="61"/>
    <s v="Develop procurement capacity at facility level"/>
    <s v="Conduct facility-level training on procurement"/>
    <s v="Fuel for travellng participants"/>
    <n v="211.42857142857142"/>
    <n v="2430"/>
    <n v="1"/>
    <n v="513771.42857142852"/>
    <n v="2430"/>
    <n v="1"/>
    <n v="587200.20475011424"/>
    <m/>
    <m/>
    <n v="0"/>
    <m/>
    <m/>
    <n v="0"/>
    <m/>
    <m/>
    <n v="0"/>
    <m/>
    <m/>
    <n v="0"/>
    <m/>
    <m/>
    <n v="0"/>
    <n v="2430"/>
    <n v="1"/>
    <n v="1308831.3667411015"/>
    <n v="2409803.0000626445"/>
    <n v="2339.6145631676159"/>
  </r>
  <r>
    <s v="4.3.3.3"/>
    <x v="2"/>
    <x v="2"/>
    <x v="2"/>
    <x v="11"/>
    <n v="5"/>
    <x v="62"/>
    <x v="62"/>
    <s v="Design facility specific PBF mechanisms"/>
    <s v="Hold PBF design workshops (5 days each, 40 participants)"/>
    <s v="DSA (excl. lunch)"/>
    <n v="39000"/>
    <n v="40"/>
    <n v="6"/>
    <n v="9360000"/>
    <n v="40"/>
    <n v="6"/>
    <n v="10697741.467919998"/>
    <n v="40"/>
    <n v="6"/>
    <n v="12226674.413937515"/>
    <n v="40"/>
    <n v="6"/>
    <n v="13974124.133839294"/>
    <n v="40"/>
    <n v="6"/>
    <n v="15971321.284661781"/>
    <n v="40"/>
    <n v="6"/>
    <n v="18253960.04320509"/>
    <n v="40"/>
    <n v="6"/>
    <n v="20862836.037174128"/>
    <n v="40"/>
    <n v="6"/>
    <n v="23844575.450138185"/>
    <n v="125191232.83087599"/>
    <n v="121544.88624356892"/>
  </r>
  <r>
    <s v="4.3.3.3"/>
    <x v="2"/>
    <x v="2"/>
    <x v="2"/>
    <x v="11"/>
    <n v="5"/>
    <x v="62"/>
    <x v="62"/>
    <s v="Design facility specific PBF mechanisms"/>
    <s v="Hold PBF design workshops (5 days each, 40 participants)"/>
    <s v="Conference package high-level"/>
    <n v="35000"/>
    <n v="40"/>
    <n v="5"/>
    <n v="7000000"/>
    <n v="40"/>
    <n v="5"/>
    <n v="8000447.6789999986"/>
    <n v="40"/>
    <n v="5"/>
    <n v="9143880.4377737809"/>
    <n v="40"/>
    <n v="5"/>
    <n v="10450733.860777251"/>
    <n v="40"/>
    <n v="5"/>
    <n v="11944364.20861458"/>
    <n v="40"/>
    <n v="5"/>
    <n v="13651465.844277311"/>
    <n v="40"/>
    <n v="5"/>
    <n v="15602548.318399454"/>
    <n v="40"/>
    <n v="5"/>
    <n v="17832481.640060611"/>
    <n v="93625921.988902986"/>
    <n v="90898.953387284448"/>
  </r>
  <r>
    <s v="4.3.3.3"/>
    <x v="2"/>
    <x v="2"/>
    <x v="2"/>
    <x v="11"/>
    <n v="5"/>
    <x v="62"/>
    <x v="62"/>
    <s v="Design facility specific PBF mechanisms"/>
    <s v="Hold PBF design workshops (5 days each, 40 participants)"/>
    <s v="Local running (diesel, per km)"/>
    <n v="211.42857142857142"/>
    <n v="750"/>
    <n v="5"/>
    <n v="792857.14285714272"/>
    <n v="750"/>
    <n v="5"/>
    <n v="906173.15547857131"/>
    <n v="750"/>
    <n v="5"/>
    <n v="1035684.4169315202"/>
    <n v="750"/>
    <n v="5"/>
    <n v="1183705.5699451782"/>
    <n v="750"/>
    <n v="5"/>
    <n v="1352882.0685267532"/>
    <n v="750"/>
    <n v="5"/>
    <n v="1546237.4578722261"/>
    <n v="750"/>
    <n v="5"/>
    <n v="1767227.4115738156"/>
    <n v="750"/>
    <n v="5"/>
    <n v="2019801.4918844157"/>
    <n v="10604568.715069624"/>
    <n v="10295.697781620995"/>
  </r>
  <r>
    <s v="4.3.3.3"/>
    <x v="2"/>
    <x v="2"/>
    <x v="2"/>
    <x v="11"/>
    <n v="5"/>
    <x v="62"/>
    <x v="62"/>
    <s v="Design facility specific PBF mechanisms"/>
    <s v="Hold PBF design workshops (5 days each, 40 participants)"/>
    <s v="Fuel for travellng participants"/>
    <n v="211.42857142857142"/>
    <n v="4050"/>
    <n v="1"/>
    <n v="856285.7142857142"/>
    <n v="4050"/>
    <n v="1"/>
    <n v="978667.00791685702"/>
    <n v="4050"/>
    <n v="1"/>
    <n v="1118539.1702860419"/>
    <n v="4050"/>
    <n v="1"/>
    <n v="1278402.0155407926"/>
    <n v="4050"/>
    <n v="1"/>
    <n v="1461112.6340088935"/>
    <n v="4050"/>
    <n v="1"/>
    <n v="1669936.4545020042"/>
    <n v="4050"/>
    <n v="1"/>
    <n v="1908605.604499721"/>
    <n v="4050"/>
    <n v="1"/>
    <n v="2181385.6112351688"/>
    <n v="11452934.212275192"/>
    <n v="11119.353604150672"/>
  </r>
  <r>
    <s v="4.3.3.3"/>
    <x v="2"/>
    <x v="2"/>
    <x v="2"/>
    <x v="11"/>
    <n v="5"/>
    <x v="62"/>
    <x v="62"/>
    <s v="Execution of the PBF contract"/>
    <s v="10,000,000 per year to each facility for 800 facilities"/>
    <s v="PBF execution"/>
    <n v="10000000"/>
    <n v="900"/>
    <n v="1"/>
    <n v="9000000000"/>
    <n v="800"/>
    <n v="1"/>
    <n v="9143368776"/>
    <n v="800"/>
    <n v="1"/>
    <n v="10450149071.741467"/>
    <n v="800"/>
    <n v="1"/>
    <n v="11943695840.888287"/>
    <n v="800"/>
    <n v="1"/>
    <n v="13650701952.702375"/>
    <n v="0"/>
    <n v="0"/>
    <n v="0"/>
    <n v="0"/>
    <n v="0"/>
    <n v="0"/>
    <n v="0"/>
    <n v="0"/>
    <n v="0"/>
    <n v="54187915641.33213"/>
    <n v="52609626.836244784"/>
  </r>
  <r>
    <s v="4.3.3.3"/>
    <x v="2"/>
    <x v="2"/>
    <x v="2"/>
    <x v="11"/>
    <n v="5"/>
    <x v="62"/>
    <x v="62"/>
    <s v="Monitoring the execution of the PBF contract"/>
    <s v="10% of PBF"/>
    <s v="Monitoring of PBF execution"/>
    <n v="3576918.2171875001"/>
    <n v="250000"/>
    <n v="0"/>
    <n v="0"/>
    <n v="1"/>
    <n v="1"/>
    <n v="4088135.2926672213"/>
    <n v="1"/>
    <n v="1"/>
    <n v="4672416.0733796367"/>
    <n v="1"/>
    <n v="1"/>
    <n v="5340202.9042274868"/>
    <n v="1"/>
    <n v="1"/>
    <n v="6103430.5615022639"/>
    <n v="0"/>
    <n v="0"/>
    <n v="0"/>
    <n v="0"/>
    <n v="0"/>
    <n v="0"/>
    <n v="0"/>
    <n v="0"/>
    <n v="0"/>
    <n v="20204184.831776608"/>
    <n v="19615.713428909326"/>
  </r>
  <r>
    <s v="4.3.4.1"/>
    <x v="3"/>
    <x v="3"/>
    <x v="0"/>
    <x v="12"/>
    <n v="1"/>
    <x v="63"/>
    <x v="63"/>
    <s v="Develop a standard operating procedures manual (to define organizational roles and responsibilities) for undertaking the purchasing function (purchaser-provider split)"/>
    <s v="Develop TORs for hiring an international consultant to develop SOPs manual"/>
    <s v="zero cost"/>
    <n v="0"/>
    <n v="0"/>
    <n v="0"/>
    <n v="0"/>
    <n v="0"/>
    <n v="0"/>
    <n v="0"/>
    <n v="0"/>
    <n v="0"/>
    <n v="0"/>
    <n v="0"/>
    <n v="0"/>
    <n v="0"/>
    <n v="0"/>
    <n v="0"/>
    <n v="0"/>
    <n v="0"/>
    <n v="0"/>
    <n v="0"/>
    <n v="0"/>
    <n v="0"/>
    <n v="0"/>
    <n v="0"/>
    <n v="0"/>
    <n v="0"/>
    <n v="0"/>
    <n v="0"/>
  </r>
  <r>
    <s v="4.3.4.1"/>
    <x v="3"/>
    <x v="3"/>
    <x v="0"/>
    <x v="12"/>
    <n v="1"/>
    <x v="63"/>
    <x v="63"/>
    <s v="Develop a standard operating procedures manual (to define organizational roles and responsibilities) for undertaking the purchasing function (purchaser-provider split)"/>
    <s v="Recruitment of the consultant"/>
    <s v="Newspaper advert (full)"/>
    <n v="391991.03749999998"/>
    <m/>
    <m/>
    <n v="0"/>
    <n v="2"/>
    <n v="2"/>
    <n v="1792059.3063746723"/>
    <n v="0"/>
    <n v="0"/>
    <n v="0"/>
    <n v="0"/>
    <n v="0"/>
    <n v="0"/>
    <n v="0"/>
    <n v="0"/>
    <n v="0"/>
    <n v="0"/>
    <n v="0"/>
    <n v="0"/>
    <n v="0"/>
    <n v="0"/>
    <n v="0"/>
    <n v="0"/>
    <n v="0"/>
    <n v="0"/>
    <n v="1792059.3063746723"/>
    <n v="1739.8634042472547"/>
  </r>
  <r>
    <s v="4.3.4.1"/>
    <x v="3"/>
    <x v="3"/>
    <x v="0"/>
    <x v="12"/>
    <n v="1"/>
    <x v="63"/>
    <x v="63"/>
    <s v="Develop a standard operating procedures manual (to define organizational roles and responsibilities) for undertaking the purchasing function (purchaser-provider split)"/>
    <s v="Recruitment of the consultant"/>
    <s v="International consultant fee - High level"/>
    <n v="1001560"/>
    <m/>
    <m/>
    <n v="0"/>
    <n v="1"/>
    <n v="25"/>
    <n v="28617601.347782999"/>
    <n v="0"/>
    <n v="0"/>
    <n v="0"/>
    <n v="0"/>
    <n v="0"/>
    <n v="0"/>
    <n v="0"/>
    <n v="0"/>
    <n v="0"/>
    <n v="0"/>
    <n v="0"/>
    <n v="0"/>
    <n v="0"/>
    <n v="0"/>
    <n v="0"/>
    <n v="0"/>
    <n v="0"/>
    <n v="0"/>
    <n v="28617601.347782999"/>
    <n v="27784.078978430098"/>
  </r>
  <r>
    <s v="4.3.4.1"/>
    <x v="3"/>
    <x v="3"/>
    <x v="0"/>
    <x v="12"/>
    <n v="1"/>
    <x v="63"/>
    <x v="63"/>
    <s v="Develop a standard operating procedures manual (to define organizational roles and responsibilities) for undertaking the purchasing function (purchaser-provider split)"/>
    <s v="consultative workshop with the stakeholders to define the roles and responsibilities of each organization"/>
    <s v="Conference package high-level"/>
    <n v="35000"/>
    <m/>
    <m/>
    <n v="0"/>
    <n v="60"/>
    <n v="15"/>
    <n v="36002014.555499993"/>
    <n v="0"/>
    <n v="0"/>
    <n v="0"/>
    <n v="0"/>
    <n v="0"/>
    <n v="0"/>
    <n v="0"/>
    <n v="0"/>
    <n v="0"/>
    <n v="0"/>
    <n v="0"/>
    <n v="0"/>
    <n v="0"/>
    <n v="0"/>
    <n v="0"/>
    <n v="0"/>
    <n v="0"/>
    <n v="0"/>
    <n v="36002014.555499993"/>
    <n v="34953.412189805822"/>
  </r>
  <r>
    <s v="4.3.4.1"/>
    <x v="3"/>
    <x v="3"/>
    <x v="0"/>
    <x v="12"/>
    <n v="1"/>
    <x v="63"/>
    <x v="63"/>
    <s v="Develop a standard operating procedures manual (to define organizational roles and responsibilities) for undertaking the purchasing function (purchaser-provider split)"/>
    <s v="consultative workshop with the stakeholders to define the roles and responsibilities of each organization"/>
    <s v="Local running (diesel, per km)"/>
    <n v="211.42857142857142"/>
    <m/>
    <m/>
    <n v="0"/>
    <n v="1000"/>
    <n v="3"/>
    <n v="724938.52438285702"/>
    <n v="0"/>
    <n v="0"/>
    <n v="0"/>
    <n v="0"/>
    <n v="0"/>
    <n v="0"/>
    <n v="0"/>
    <n v="0"/>
    <n v="0"/>
    <n v="0"/>
    <n v="0"/>
    <n v="0"/>
    <n v="0"/>
    <n v="0"/>
    <n v="0"/>
    <n v="0"/>
    <n v="0"/>
    <n v="0"/>
    <n v="724938.52438285702"/>
    <n v="703.82381008044376"/>
  </r>
  <r>
    <s v="4.3.4.1"/>
    <x v="3"/>
    <x v="3"/>
    <x v="0"/>
    <x v="12"/>
    <n v="1"/>
    <x v="63"/>
    <x v="63"/>
    <s v="Develop a standard operating procedures manual (to define organizational roles and responsibilities) for undertaking the purchasing function (purchaser-provider split)"/>
    <s v="Hold a 2-day validation workshop"/>
    <s v="Conference package high-level"/>
    <n v="35000"/>
    <m/>
    <m/>
    <n v="0"/>
    <n v="100"/>
    <n v="2"/>
    <n v="8000447.6789999986"/>
    <n v="0"/>
    <n v="0"/>
    <n v="0"/>
    <n v="0"/>
    <n v="0"/>
    <n v="0"/>
    <n v="0"/>
    <n v="0"/>
    <n v="0"/>
    <n v="0"/>
    <n v="0"/>
    <n v="0"/>
    <n v="0"/>
    <n v="0"/>
    <n v="0"/>
    <n v="0"/>
    <n v="0"/>
    <n v="0"/>
    <n v="8000447.6789999986"/>
    <n v="7767.4249310679597"/>
  </r>
  <r>
    <s v="4.3.4.1"/>
    <x v="3"/>
    <x v="3"/>
    <x v="0"/>
    <x v="12"/>
    <n v="1"/>
    <x v="63"/>
    <x v="63"/>
    <s v="Develop a standard operating procedures manual (to define organizational roles and responsibilities) for undertaking the purchasing function (purchaser-provider split)"/>
    <s v="Hold a 1-day validation workshop"/>
    <s v="Local running (diesel, per km)"/>
    <n v="211.42857142857142"/>
    <m/>
    <m/>
    <n v="0"/>
    <n v="500"/>
    <n v="1"/>
    <n v="120823.08739714284"/>
    <n v="0"/>
    <n v="0"/>
    <n v="0"/>
    <n v="0"/>
    <n v="0"/>
    <n v="0"/>
    <n v="0"/>
    <n v="0"/>
    <n v="0"/>
    <n v="0"/>
    <n v="0"/>
    <n v="0"/>
    <n v="0"/>
    <n v="0"/>
    <n v="0"/>
    <n v="0"/>
    <n v="0"/>
    <n v="0"/>
    <n v="120823.08739714284"/>
    <n v="117.30396834674062"/>
  </r>
  <r>
    <s v="4.3.4.1"/>
    <x v="3"/>
    <x v="3"/>
    <x v="0"/>
    <x v="12"/>
    <n v="1"/>
    <x v="63"/>
    <x v="63"/>
    <s v="Develop a standard operating procedures manual (to define organizational roles and responsibilities) for undertaking the purchasing function (purchaser-provider split)"/>
    <s v="Present standard operating procedures manual to the HFTWG"/>
    <s v="Conference package high-level"/>
    <n v="35000"/>
    <m/>
    <n v="0"/>
    <n v="0"/>
    <n v="60"/>
    <n v="1"/>
    <n v="2400134.3036999996"/>
    <n v="0"/>
    <n v="0"/>
    <n v="0"/>
    <n v="0"/>
    <n v="0"/>
    <n v="0"/>
    <n v="0"/>
    <n v="0"/>
    <n v="0"/>
    <n v="0"/>
    <n v="0"/>
    <n v="0"/>
    <n v="0"/>
    <n v="0"/>
    <n v="0"/>
    <n v="0"/>
    <n v="0"/>
    <n v="0"/>
    <n v="2400134.3036999996"/>
    <n v="2330.2274793203878"/>
  </r>
  <r>
    <s v="4.3.4.1"/>
    <x v="3"/>
    <x v="3"/>
    <x v="0"/>
    <x v="12"/>
    <n v="1"/>
    <x v="63"/>
    <x v="63"/>
    <s v="Develop a standard operating procedures manual (to define organizational roles and responsibilities) for undertaking the purchasing function (purchaser-provider split)"/>
    <s v="Present standard operating procedures manual to the HFTWG"/>
    <s v="DSA (excl. lunch)"/>
    <n v="39000"/>
    <m/>
    <m/>
    <n v="0"/>
    <n v="60"/>
    <n v="2"/>
    <n v="5348870.7339599989"/>
    <m/>
    <m/>
    <n v="0"/>
    <m/>
    <m/>
    <n v="0"/>
    <m/>
    <m/>
    <n v="0"/>
    <m/>
    <m/>
    <n v="0"/>
    <m/>
    <m/>
    <n v="0"/>
    <m/>
    <m/>
    <n v="0"/>
    <n v="5348870.7339599989"/>
    <n v="5193.0783824854361"/>
  </r>
  <r>
    <s v="4.3.4.1"/>
    <x v="3"/>
    <x v="3"/>
    <x v="0"/>
    <x v="12"/>
    <n v="1"/>
    <x v="63"/>
    <x v="63"/>
    <s v="Develop a standard operating procedures manual (to define organizational roles and responsibilities) for undertaking the purchasing function (purchaser-provider split)"/>
    <s v="Present standard operating procedures manual to the HFTWG"/>
    <s v="Local running (diesel, per km)"/>
    <n v="211.42857142857142"/>
    <m/>
    <m/>
    <n v="0"/>
    <n v="750"/>
    <n v="1"/>
    <n v="181234.63109571426"/>
    <m/>
    <m/>
    <n v="0"/>
    <m/>
    <m/>
    <n v="0"/>
    <m/>
    <m/>
    <n v="0"/>
    <m/>
    <m/>
    <n v="0"/>
    <m/>
    <m/>
    <n v="0"/>
    <m/>
    <m/>
    <n v="0"/>
    <n v="181234.63109571426"/>
    <n v="175.95595252011094"/>
  </r>
  <r>
    <s v="4.3.4.1"/>
    <x v="3"/>
    <x v="3"/>
    <x v="0"/>
    <x v="12"/>
    <n v="1"/>
    <x v="63"/>
    <x v="63"/>
    <s v="Develop a standard operating procedures manual (to define organizational roles and responsibilities) for undertaking the purchasing function (purchaser-provider split)"/>
    <s v="Present standard operating procedures manual to the HFTWG"/>
    <s v="Fuel for Travelling participants"/>
    <n v="211.42857142857142"/>
    <m/>
    <m/>
    <n v="0"/>
    <n v="4050"/>
    <n v="1"/>
    <n v="978667.00791685702"/>
    <m/>
    <m/>
    <n v="0"/>
    <m/>
    <m/>
    <n v="0"/>
    <m/>
    <m/>
    <n v="0"/>
    <m/>
    <m/>
    <n v="0"/>
    <m/>
    <m/>
    <n v="0"/>
    <m/>
    <m/>
    <n v="0"/>
    <n v="978667.00791685702"/>
    <n v="950.16214360859908"/>
  </r>
  <r>
    <s v="4.3.4.1"/>
    <x v="3"/>
    <x v="3"/>
    <x v="0"/>
    <x v="12"/>
    <n v="1"/>
    <x v="63"/>
    <x v="63"/>
    <s v="Develop a standard operating procedures manual (to define organizational roles and responsibilities) for undertaking the purchasing function (purchaser-provider split)"/>
    <s v="Present the document to the Senior Management of the MoH"/>
    <s v="zero cost"/>
    <n v="0"/>
    <n v="0"/>
    <n v="0"/>
    <n v="0"/>
    <n v="0"/>
    <n v="0"/>
    <n v="0"/>
    <n v="0"/>
    <n v="0"/>
    <n v="0"/>
    <n v="0"/>
    <n v="0"/>
    <n v="0"/>
    <n v="0"/>
    <n v="0"/>
    <n v="0"/>
    <n v="0"/>
    <n v="0"/>
    <n v="0"/>
    <n v="0"/>
    <n v="0"/>
    <n v="0"/>
    <n v="0"/>
    <n v="0"/>
    <n v="0"/>
    <n v="0"/>
    <n v="0"/>
  </r>
  <r>
    <s v="4.3.4.1"/>
    <x v="3"/>
    <x v="3"/>
    <x v="0"/>
    <x v="12"/>
    <n v="1"/>
    <x v="63"/>
    <x v="63"/>
    <s v="Develop a standard operating procedures manual (to define organizational roles and responsibilities) for undertaking the purchasing function (purchaser-provider split)"/>
    <s v="Train the members of the purchasing team (Health Financing Division) on the purchasing function SoPs"/>
    <s v="Conference package high-level"/>
    <n v="35000"/>
    <m/>
    <m/>
    <n v="0"/>
    <n v="25"/>
    <n v="3"/>
    <n v="3000167.8796249996"/>
    <n v="0"/>
    <n v="0"/>
    <n v="0"/>
    <n v="0"/>
    <n v="0"/>
    <n v="0"/>
    <n v="0"/>
    <n v="0"/>
    <n v="0"/>
    <n v="0"/>
    <n v="0"/>
    <n v="0"/>
    <n v="0"/>
    <n v="0"/>
    <n v="0"/>
    <n v="0"/>
    <n v="0"/>
    <n v="0"/>
    <n v="3000167.8796249996"/>
    <n v="2912.784349150485"/>
  </r>
  <r>
    <s v="4.3.4.1"/>
    <x v="3"/>
    <x v="3"/>
    <x v="0"/>
    <x v="12"/>
    <n v="1"/>
    <x v="63"/>
    <x v="63"/>
    <s v="Training of frontline service providers on the SOPs"/>
    <s v="2 TOTs per health facility at a district level"/>
    <s v="Conference package high-level"/>
    <n v="35000"/>
    <m/>
    <m/>
    <n v="0"/>
    <n v="1800"/>
    <n v="5"/>
    <n v="360020145.55499995"/>
    <n v="0"/>
    <n v="0"/>
    <n v="0"/>
    <n v="0"/>
    <n v="0"/>
    <n v="0"/>
    <n v="1200"/>
    <n v="5"/>
    <n v="358330926.2584374"/>
    <n v="0"/>
    <n v="0"/>
    <n v="0"/>
    <n v="0"/>
    <n v="0"/>
    <n v="0"/>
    <n v="0"/>
    <n v="0"/>
    <n v="0"/>
    <n v="718351071.81343734"/>
    <n v="697428.22506158962"/>
  </r>
  <r>
    <s v="4.3.4.1"/>
    <x v="3"/>
    <x v="3"/>
    <x v="0"/>
    <x v="12"/>
    <n v="1"/>
    <x v="63"/>
    <x v="63"/>
    <s v="Training of frontline service providers on the SOPs"/>
    <s v="2 TOTs per health facility at a district level"/>
    <s v="DSA (excl. lunch)"/>
    <n v="39000"/>
    <m/>
    <m/>
    <n v="0"/>
    <n v="1800"/>
    <n v="6"/>
    <n v="481398366.05639994"/>
    <n v="0"/>
    <n v="0"/>
    <n v="0"/>
    <n v="0"/>
    <n v="0"/>
    <n v="0"/>
    <n v="1200"/>
    <n v="5"/>
    <n v="399283032.11654454"/>
    <n v="0"/>
    <n v="0"/>
    <n v="0"/>
    <n v="0"/>
    <n v="0"/>
    <n v="0"/>
    <n v="0"/>
    <n v="0"/>
    <n v="0"/>
    <n v="880681398.17294455"/>
    <n v="855030.4836630529"/>
  </r>
  <r>
    <s v="4.3.4.1"/>
    <x v="3"/>
    <x v="3"/>
    <x v="0"/>
    <x v="12"/>
    <n v="1"/>
    <x v="63"/>
    <x v="63"/>
    <s v="Training of frontline service providers on the SOPs"/>
    <s v="2 TOTs per health facility at a district level"/>
    <s v="Local running (diesel, per km)"/>
    <n v="211.42857142857142"/>
    <m/>
    <m/>
    <n v="0"/>
    <n v="22500"/>
    <n v="5"/>
    <n v="27185194.664357141"/>
    <n v="0"/>
    <n v="0"/>
    <n v="0"/>
    <n v="0"/>
    <n v="0"/>
    <n v="0"/>
    <n v="140000"/>
    <n v="1"/>
    <n v="50507597.224998787"/>
    <n v="0"/>
    <n v="0"/>
    <n v="0"/>
    <n v="0"/>
    <n v="0"/>
    <n v="0"/>
    <n v="0"/>
    <n v="0"/>
    <n v="0"/>
    <n v="77692791.889355928"/>
    <n v="75429.895038209637"/>
  </r>
  <r>
    <s v="4.3.4.1"/>
    <x v="3"/>
    <x v="3"/>
    <x v="0"/>
    <x v="12"/>
    <n v="1"/>
    <x v="63"/>
    <x v="63"/>
    <s v="Training of frontline service providers on the SOPs"/>
    <s v="3 TOTs per health facility at a district level"/>
    <s v="Fuel for Travelling participants"/>
    <n v="211.42857142857142"/>
    <m/>
    <m/>
    <n v="0"/>
    <n v="121500"/>
    <n v="1"/>
    <n v="29360010.237505712"/>
    <m/>
    <m/>
    <n v="0"/>
    <m/>
    <m/>
    <n v="0"/>
    <m/>
    <m/>
    <n v="0"/>
    <m/>
    <m/>
    <n v="0"/>
    <m/>
    <m/>
    <n v="0"/>
    <m/>
    <m/>
    <n v="0"/>
    <n v="29360010.237505712"/>
    <n v="28504.864308257973"/>
  </r>
  <r>
    <s v="4.3.4.1"/>
    <x v="3"/>
    <x v="3"/>
    <x v="0"/>
    <x v="12"/>
    <n v="1"/>
    <x v="63"/>
    <x v="63"/>
    <s v="Training of frontline service providers on the SOPs"/>
    <s v="Training the rest of the service providers "/>
    <s v="Conference package high-level"/>
    <n v="35000"/>
    <m/>
    <m/>
    <n v="0"/>
    <n v="100"/>
    <n v="5"/>
    <n v="20001119.197499998"/>
    <n v="0"/>
    <n v="0"/>
    <n v="0"/>
    <n v="0"/>
    <n v="0"/>
    <n v="0"/>
    <n v="190"/>
    <n v="5"/>
    <n v="56735729.990919262"/>
    <n v="0"/>
    <n v="0"/>
    <n v="0"/>
    <n v="0"/>
    <n v="0"/>
    <n v="0"/>
    <n v="0"/>
    <n v="0"/>
    <n v="0"/>
    <n v="76736849.188419253"/>
    <n v="74501.795328562381"/>
  </r>
  <r>
    <s v="4.3.4.1"/>
    <x v="3"/>
    <x v="3"/>
    <x v="0"/>
    <x v="12"/>
    <n v="1"/>
    <x v="63"/>
    <x v="63"/>
    <s v="Training of frontline service providers on the SOPs"/>
    <s v="Training the rest of the service providers "/>
    <s v="DSA (excl. lunch)"/>
    <n v="39000"/>
    <m/>
    <m/>
    <n v="0"/>
    <n v="58"/>
    <n v="6"/>
    <n v="15511725.128483998"/>
    <n v="0"/>
    <n v="0"/>
    <n v="0"/>
    <n v="0"/>
    <n v="0"/>
    <n v="0"/>
    <n v="190"/>
    <n v="5"/>
    <n v="63219813.418452889"/>
    <n v="0"/>
    <n v="0"/>
    <n v="0"/>
    <n v="0"/>
    <n v="0"/>
    <n v="0"/>
    <n v="0"/>
    <n v="0"/>
    <n v="0"/>
    <n v="78731538.546936885"/>
    <n v="76438.386938773678"/>
  </r>
  <r>
    <s v="4.3.4.1"/>
    <x v="3"/>
    <x v="3"/>
    <x v="0"/>
    <x v="12"/>
    <n v="1"/>
    <x v="63"/>
    <x v="63"/>
    <s v="Training of frontline service providers on the SOPs"/>
    <s v="Training the rest of the service providers "/>
    <s v="Local running (diesel, per km)"/>
    <n v="211.42857142857142"/>
    <m/>
    <m/>
    <n v="0"/>
    <n v="1450"/>
    <n v="5"/>
    <n v="1751934.7672585712"/>
    <n v="0"/>
    <n v="0"/>
    <n v="0"/>
    <n v="0"/>
    <n v="0"/>
    <n v="0"/>
    <n v="40000"/>
    <n v="1"/>
    <n v="14430742.064285368"/>
    <n v="0"/>
    <n v="0"/>
    <n v="0"/>
    <n v="0"/>
    <n v="0"/>
    <n v="0"/>
    <n v="0"/>
    <n v="0"/>
    <n v="0"/>
    <n v="16182676.831543939"/>
    <n v="15711.336729654309"/>
  </r>
  <r>
    <s v="4.3.4.1"/>
    <x v="3"/>
    <x v="3"/>
    <x v="0"/>
    <x v="12"/>
    <n v="1"/>
    <x v="63"/>
    <x v="63"/>
    <s v="Training of frontline service providers on the SOPs"/>
    <s v="Training the rest of the service providers "/>
    <s v="Fuel for Travelling participants"/>
    <n v="211.42857142857142"/>
    <m/>
    <m/>
    <n v="0"/>
    <n v="7830"/>
    <n v="1"/>
    <n v="1892089.548639257"/>
    <m/>
    <m/>
    <n v="0"/>
    <m/>
    <m/>
    <n v="0"/>
    <m/>
    <m/>
    <n v="0"/>
    <m/>
    <m/>
    <n v="0"/>
    <m/>
    <m/>
    <n v="0"/>
    <m/>
    <m/>
    <n v="0"/>
    <n v="1892089.548639257"/>
    <n v="1836.9801443099582"/>
  </r>
  <r>
    <s v="4.3.4.1"/>
    <x v="3"/>
    <x v="3"/>
    <x v="0"/>
    <x v="12"/>
    <n v="1"/>
    <x v="63"/>
    <x v="63"/>
    <s v="Sensitization of the communities "/>
    <s v="Development of sensitization content"/>
    <s v="Conference package high-level"/>
    <n v="35000"/>
    <m/>
    <m/>
    <n v="0"/>
    <n v="25"/>
    <n v="3"/>
    <n v="3000167.8796249996"/>
    <n v="0"/>
    <n v="0"/>
    <n v="0"/>
    <n v="0"/>
    <n v="0"/>
    <n v="0"/>
    <n v="10"/>
    <n v="5"/>
    <n v="2986091.0521536451"/>
    <n v="0"/>
    <n v="0"/>
    <n v="0"/>
    <n v="0"/>
    <n v="0"/>
    <n v="0"/>
    <n v="0"/>
    <n v="0"/>
    <n v="0"/>
    <n v="5986258.9317786451"/>
    <n v="5811.9018755132474"/>
  </r>
  <r>
    <s v="4.3.4.1"/>
    <x v="3"/>
    <x v="3"/>
    <x v="0"/>
    <x v="12"/>
    <n v="1"/>
    <x v="63"/>
    <x v="63"/>
    <s v="Sensitization of the communities "/>
    <s v="Development of sensitization content"/>
    <s v="Local running (diesel, per km)"/>
    <n v="211.42857142857142"/>
    <m/>
    <m/>
    <n v="0"/>
    <n v="450"/>
    <n v="3"/>
    <n v="326222.33597228565"/>
    <n v="0"/>
    <n v="0"/>
    <n v="0"/>
    <n v="0"/>
    <n v="0"/>
    <n v="0"/>
    <n v="4000"/>
    <n v="1"/>
    <n v="1443074.2064285369"/>
    <n v="0"/>
    <n v="0"/>
    <n v="0"/>
    <n v="0"/>
    <n v="0"/>
    <n v="0"/>
    <n v="0"/>
    <n v="0"/>
    <n v="0"/>
    <n v="1769296.5424008225"/>
    <n v="1717.7636333988569"/>
  </r>
  <r>
    <s v="4.3.4.1"/>
    <x v="3"/>
    <x v="3"/>
    <x v="0"/>
    <x v="12"/>
    <n v="1"/>
    <x v="63"/>
    <x v="63"/>
    <s v="Develop and install actual and integrated biometric software system for user identification and managing the claims"/>
    <s v="Development of concept note"/>
    <s v="zero cost"/>
    <n v="0"/>
    <n v="0"/>
    <n v="0"/>
    <n v="0"/>
    <n v="0"/>
    <n v="0"/>
    <n v="0"/>
    <n v="0"/>
    <n v="0"/>
    <n v="0"/>
    <n v="0"/>
    <n v="0"/>
    <n v="0"/>
    <n v="0"/>
    <n v="0"/>
    <n v="0"/>
    <n v="0"/>
    <n v="0"/>
    <n v="0"/>
    <n v="0"/>
    <n v="0"/>
    <n v="0"/>
    <n v="0"/>
    <n v="0"/>
    <n v="0"/>
    <n v="0"/>
    <n v="0"/>
  </r>
  <r>
    <s v="4.3.4.1"/>
    <x v="3"/>
    <x v="3"/>
    <x v="0"/>
    <x v="12"/>
    <n v="1"/>
    <x v="63"/>
    <x v="63"/>
    <s v="Develop and install actual and integrated biometric software system for user identification and managing the claims"/>
    <s v="Development of TORs for a consultant to develop the biometric software system for identification and managing claims"/>
    <s v="zero cost"/>
    <n v="0"/>
    <n v="0"/>
    <n v="0"/>
    <n v="0"/>
    <n v="0"/>
    <n v="0"/>
    <n v="0"/>
    <n v="0"/>
    <n v="0"/>
    <n v="0"/>
    <n v="0"/>
    <n v="0"/>
    <n v="0"/>
    <n v="0"/>
    <n v="0"/>
    <n v="0"/>
    <n v="0"/>
    <n v="0"/>
    <n v="0"/>
    <n v="0"/>
    <n v="0"/>
    <n v="0"/>
    <n v="0"/>
    <n v="0"/>
    <n v="0"/>
    <n v="0"/>
    <n v="0"/>
  </r>
  <r>
    <s v="4.3.4.1"/>
    <x v="3"/>
    <x v="3"/>
    <x v="0"/>
    <x v="12"/>
    <n v="1"/>
    <x v="63"/>
    <x v="63"/>
    <s v="Develop and install actual and integrated biometric software system for user identification and managing the claims"/>
    <s v="Recruitment of the consultant to develop the biometric software system"/>
    <s v="Newspaper advert (full)"/>
    <n v="391991.03749999998"/>
    <m/>
    <m/>
    <n v="0"/>
    <n v="0"/>
    <n v="0"/>
    <n v="0"/>
    <n v="2"/>
    <n v="2"/>
    <n v="2048182.3883307995"/>
    <n v="1"/>
    <n v="6"/>
    <n v="3511366.2931906758"/>
    <n v="0"/>
    <n v="0"/>
    <n v="0"/>
    <n v="0"/>
    <n v="0"/>
    <n v="0"/>
    <n v="0"/>
    <n v="0"/>
    <n v="0"/>
    <n v="0"/>
    <n v="0"/>
    <n v="0"/>
    <n v="5559548.6815214753"/>
    <n v="5397.6200791470637"/>
  </r>
  <r>
    <s v="4.3.4.1"/>
    <x v="3"/>
    <x v="3"/>
    <x v="0"/>
    <x v="12"/>
    <n v="1"/>
    <x v="63"/>
    <x v="63"/>
    <s v="Develop and install actual and integrated biometric software system for user identification and managing the claims"/>
    <s v="Recruitment of the consultant to develop the biometric software system"/>
    <s v="Local consultant fee - High level"/>
    <n v="511000"/>
    <m/>
    <m/>
    <n v="0"/>
    <n v="0"/>
    <n v="0"/>
    <n v="0"/>
    <n v="4"/>
    <n v="25"/>
    <n v="66750327.19574862"/>
    <n v="1"/>
    <n v="40"/>
    <n v="30516142.873469573"/>
    <n v="0"/>
    <n v="0"/>
    <n v="0"/>
    <n v="0"/>
    <n v="0"/>
    <n v="0"/>
    <n v="0"/>
    <n v="0"/>
    <n v="0"/>
    <n v="0"/>
    <n v="0"/>
    <n v="0"/>
    <n v="97266470.069218189"/>
    <n v="94433.466086619606"/>
  </r>
  <r>
    <s v="4.3.4.1"/>
    <x v="3"/>
    <x v="3"/>
    <x v="0"/>
    <x v="12"/>
    <n v="1"/>
    <x v="63"/>
    <x v="63"/>
    <s v="Develop and install actual and integrated biometric software system for user identification and managing the claims"/>
    <s v="design data collection tools"/>
    <s v="zero cost"/>
    <n v="0"/>
    <m/>
    <m/>
    <n v="0"/>
    <n v="0"/>
    <n v="0"/>
    <n v="0"/>
    <n v="0"/>
    <n v="0"/>
    <n v="0"/>
    <n v="0"/>
    <n v="0"/>
    <n v="0"/>
    <n v="0"/>
    <n v="0"/>
    <n v="0"/>
    <n v="0"/>
    <n v="0"/>
    <n v="0"/>
    <n v="0"/>
    <n v="0"/>
    <n v="0"/>
    <n v="0"/>
    <n v="0"/>
    <n v="0"/>
    <n v="0"/>
    <n v="0"/>
  </r>
  <r>
    <s v="4.3.4.1"/>
    <x v="3"/>
    <x v="3"/>
    <x v="0"/>
    <x v="12"/>
    <n v="1"/>
    <x v="63"/>
    <x v="63"/>
    <s v="Develop and install actual and integrated biometric software system for user identification and managing the claims"/>
    <s v="data collection/consultative meetings"/>
    <s v="Full DSA"/>
    <n v="45000"/>
    <m/>
    <m/>
    <n v="0"/>
    <n v="0"/>
    <n v="0"/>
    <n v="0"/>
    <n v="25"/>
    <n v="10"/>
    <n v="14695522.132136438"/>
    <n v="15"/>
    <n v="10"/>
    <n v="10077493.365749491"/>
    <n v="0"/>
    <n v="0"/>
    <n v="0"/>
    <n v="0"/>
    <n v="0"/>
    <n v="0"/>
    <n v="0"/>
    <n v="0"/>
    <n v="0"/>
    <n v="0"/>
    <n v="0"/>
    <n v="0"/>
    <n v="24773015.497885928"/>
    <n v="24051.471357170802"/>
  </r>
  <r>
    <s v="4.3.4.1"/>
    <x v="3"/>
    <x v="3"/>
    <x v="0"/>
    <x v="12"/>
    <n v="1"/>
    <x v="63"/>
    <x v="63"/>
    <s v="Develop and install actual and integrated biometric software system for user identification and managing the claims"/>
    <s v="data collection/consultative meetings"/>
    <s v="Local running (diesel, per km)"/>
    <n v="211.42857142857142"/>
    <m/>
    <m/>
    <n v="0"/>
    <n v="0"/>
    <n v="0"/>
    <n v="0"/>
    <n v="450"/>
    <n v="10"/>
    <n v="1242821.3003178244"/>
    <n v="20000"/>
    <n v="1"/>
    <n v="6313096.3730409509"/>
    <n v="0"/>
    <n v="0"/>
    <n v="0"/>
    <n v="0"/>
    <n v="0"/>
    <n v="0"/>
    <n v="0"/>
    <n v="0"/>
    <n v="0"/>
    <n v="0"/>
    <n v="0"/>
    <n v="0"/>
    <n v="7555917.6733587757"/>
    <n v="7335.8424013191998"/>
  </r>
  <r>
    <s v="4.3.4.1"/>
    <x v="3"/>
    <x v="3"/>
    <x v="0"/>
    <x v="12"/>
    <n v="1"/>
    <x v="63"/>
    <x v="63"/>
    <s v="Develop and install actual and integrated biometric software system for user identification and managing the claims"/>
    <s v="data collection/consultative meetings"/>
    <s v="Fuel for Travelling participants"/>
    <n v="211.42857142857142"/>
    <m/>
    <m/>
    <n v="0"/>
    <m/>
    <m/>
    <n v="0"/>
    <n v="2430"/>
    <n v="1"/>
    <n v="671123.50217162515"/>
    <m/>
    <m/>
    <n v="0"/>
    <m/>
    <m/>
    <n v="0"/>
    <m/>
    <m/>
    <n v="0"/>
    <m/>
    <m/>
    <n v="0"/>
    <m/>
    <m/>
    <n v="0"/>
    <n v="671123.50217162515"/>
    <n v="651.57621570060689"/>
  </r>
  <r>
    <s v="4.3.4.1"/>
    <x v="3"/>
    <x v="3"/>
    <x v="0"/>
    <x v="12"/>
    <n v="1"/>
    <x v="63"/>
    <x v="63"/>
    <s v="Develop and install actual and integrated biometric software system for user identification and managing the claims"/>
    <s v="data collection/consultative meetings"/>
    <s v="Airtime for Research Assistant"/>
    <n v="10000"/>
    <m/>
    <m/>
    <n v="0"/>
    <n v="0"/>
    <n v="0"/>
    <n v="0"/>
    <n v="15"/>
    <n v="1"/>
    <n v="195940.29509515248"/>
    <n v="15"/>
    <n v="1"/>
    <n v="223944.29701665539"/>
    <n v="0"/>
    <n v="0"/>
    <n v="0"/>
    <n v="0"/>
    <n v="0"/>
    <n v="0"/>
    <n v="0"/>
    <n v="0"/>
    <n v="0"/>
    <n v="0"/>
    <n v="0"/>
    <n v="0"/>
    <n v="419884.5921118079"/>
    <n v="407.65494379787174"/>
  </r>
  <r>
    <s v="4.3.4.1"/>
    <x v="3"/>
    <x v="3"/>
    <x v="0"/>
    <x v="12"/>
    <n v="1"/>
    <x v="63"/>
    <x v="63"/>
    <s v="Develop and install actual and integrated biometric software system for user identification and managing the claims"/>
    <s v="Validation Workshop"/>
    <s v="DSA (excl. lunch)"/>
    <n v="39000"/>
    <m/>
    <m/>
    <n v="0"/>
    <n v="0"/>
    <n v="0"/>
    <n v="0"/>
    <n v="58"/>
    <n v="5"/>
    <n v="14773898.250174496"/>
    <n v="15"/>
    <n v="5"/>
    <n v="4366913.7918247795"/>
    <n v="0"/>
    <n v="0"/>
    <n v="0"/>
    <n v="0"/>
    <n v="0"/>
    <n v="0"/>
    <n v="0"/>
    <n v="0"/>
    <n v="0"/>
    <n v="0"/>
    <n v="0"/>
    <n v="0"/>
    <n v="19140812.041999277"/>
    <n v="18583.31266213522"/>
  </r>
  <r>
    <s v="4.3.4.1"/>
    <x v="3"/>
    <x v="3"/>
    <x v="0"/>
    <x v="12"/>
    <n v="1"/>
    <x v="63"/>
    <x v="63"/>
    <s v="Develop and install actual and integrated biometric software system for user identification and managing the claims"/>
    <s v="Validation Workshop"/>
    <s v="Fuel for Travelling participants"/>
    <n v="211.42857142857142"/>
    <m/>
    <m/>
    <n v="0"/>
    <m/>
    <m/>
    <n v="0"/>
    <n v="7830"/>
    <n v="1"/>
    <n v="2162509.0625530141"/>
    <m/>
    <m/>
    <n v="0"/>
    <m/>
    <m/>
    <n v="0"/>
    <m/>
    <m/>
    <n v="0"/>
    <m/>
    <m/>
    <n v="0"/>
    <m/>
    <m/>
    <n v="0"/>
    <n v="2162509.0625530141"/>
    <n v="2099.5233617019553"/>
  </r>
  <r>
    <s v="4.3.4.1"/>
    <x v="3"/>
    <x v="3"/>
    <x v="0"/>
    <x v="12"/>
    <n v="1"/>
    <x v="63"/>
    <x v="63"/>
    <s v="Develop and install actual and integrated biometric software system for user identification and managing the claims"/>
    <s v="Validation Workshop"/>
    <s v="Local running (diesel, per km)"/>
    <n v="211.42857142857142"/>
    <m/>
    <m/>
    <n v="0"/>
    <n v="0"/>
    <n v="0"/>
    <n v="0"/>
    <n v="1450"/>
    <n v="5"/>
    <n v="2002323.2060676059"/>
    <n v="4000"/>
    <n v="1"/>
    <n v="1262619.2746081902"/>
    <n v="0"/>
    <n v="0"/>
    <n v="0"/>
    <n v="0"/>
    <n v="0"/>
    <n v="0"/>
    <n v="0"/>
    <n v="0"/>
    <n v="0"/>
    <n v="0"/>
    <n v="0"/>
    <n v="0"/>
    <n v="3264942.480675796"/>
    <n v="3169.8470686172777"/>
  </r>
  <r>
    <s v="4.3.4.1"/>
    <x v="3"/>
    <x v="3"/>
    <x v="0"/>
    <x v="12"/>
    <n v="1"/>
    <x v="63"/>
    <x v="63"/>
    <s v="Develop and install actual and integrated biometric software system for user identification and managing the claims"/>
    <s v="validation  workshop"/>
    <s v="Conference package high-level"/>
    <n v="35000"/>
    <m/>
    <m/>
    <n v="0"/>
    <n v="0"/>
    <n v="0"/>
    <n v="0"/>
    <n v="100"/>
    <n v="1"/>
    <n v="4571940.2188868914"/>
    <n v="30"/>
    <n v="1"/>
    <n v="1567610.0791165878"/>
    <n v="0"/>
    <n v="0"/>
    <n v="0"/>
    <n v="0"/>
    <n v="0"/>
    <n v="0"/>
    <n v="0"/>
    <n v="0"/>
    <n v="0"/>
    <n v="0"/>
    <n v="0"/>
    <n v="0"/>
    <n v="6139550.2980034789"/>
    <n v="5960.7284446635722"/>
  </r>
  <r>
    <s v="4.3.4.1"/>
    <x v="3"/>
    <x v="3"/>
    <x v="0"/>
    <x v="12"/>
    <n v="1"/>
    <x v="63"/>
    <x v="63"/>
    <s v="Develop and install actual and integrated biometric software system for user identification and managing the claims"/>
    <s v="Presentation of results to the HFTWG"/>
    <s v="Conference package high-level"/>
    <n v="35000"/>
    <m/>
    <m/>
    <n v="0"/>
    <n v="0"/>
    <n v="0"/>
    <n v="0"/>
    <n v="30"/>
    <n v="1"/>
    <n v="1371582.0656660672"/>
    <n v="30"/>
    <n v="1"/>
    <n v="1567610.0791165878"/>
    <n v="0"/>
    <n v="0"/>
    <n v="0"/>
    <n v="0"/>
    <n v="0"/>
    <n v="0"/>
    <n v="0"/>
    <n v="0"/>
    <n v="0"/>
    <n v="0"/>
    <n v="0"/>
    <n v="0"/>
    <n v="2939192.1447826549"/>
    <n v="2853.5846065851019"/>
  </r>
  <r>
    <s v="4.3.4.1"/>
    <x v="3"/>
    <x v="3"/>
    <x v="0"/>
    <x v="12"/>
    <n v="1"/>
    <x v="63"/>
    <x v="63"/>
    <s v="Develop and install actual and integrated biometric software system for user identification and managing the claims"/>
    <s v="present to SMT for approval"/>
    <s v="zero cost"/>
    <n v="0"/>
    <m/>
    <m/>
    <n v="0"/>
    <n v="0"/>
    <n v="0"/>
    <n v="0"/>
    <n v="0"/>
    <n v="0"/>
    <n v="0"/>
    <n v="0"/>
    <n v="0"/>
    <n v="0"/>
    <n v="0"/>
    <n v="0"/>
    <n v="0"/>
    <n v="0"/>
    <n v="0"/>
    <n v="0"/>
    <n v="0"/>
    <n v="0"/>
    <n v="0"/>
    <n v="0"/>
    <n v="0"/>
    <n v="0"/>
    <n v="0"/>
    <n v="0"/>
  </r>
  <r>
    <s v="4.3.4.1"/>
    <x v="3"/>
    <x v="3"/>
    <x v="0"/>
    <x v="12"/>
    <n v="1"/>
    <x v="63"/>
    <x v="63"/>
    <s v="Implementation of the Biometric Software system"/>
    <s v="Development of the biometric software system for identification and managing claims"/>
    <s v="zero cost"/>
    <n v="0"/>
    <m/>
    <m/>
    <n v="0"/>
    <n v="0"/>
    <n v="0"/>
    <n v="0"/>
    <n v="0"/>
    <n v="0"/>
    <n v="0"/>
    <n v="0"/>
    <n v="0"/>
    <n v="0"/>
    <n v="0"/>
    <n v="0"/>
    <n v="0"/>
    <n v="0"/>
    <n v="0"/>
    <n v="0"/>
    <n v="0"/>
    <n v="0"/>
    <n v="0"/>
    <n v="0"/>
    <n v="0"/>
    <n v="0"/>
    <n v="0"/>
    <n v="0"/>
  </r>
  <r>
    <s v="4.3.4.1"/>
    <x v="3"/>
    <x v="3"/>
    <x v="0"/>
    <x v="12"/>
    <n v="1"/>
    <x v="63"/>
    <x v="63"/>
    <s v="Implementation of the Biometric Software system"/>
    <s v="Develop the training manual"/>
    <s v="zero cost"/>
    <n v="0"/>
    <m/>
    <m/>
    <n v="0"/>
    <n v="0"/>
    <n v="0"/>
    <n v="0"/>
    <n v="0"/>
    <n v="0"/>
    <n v="0"/>
    <n v="0"/>
    <n v="0"/>
    <n v="0"/>
    <n v="0"/>
    <n v="0"/>
    <n v="0"/>
    <n v="0"/>
    <n v="0"/>
    <n v="0"/>
    <n v="0"/>
    <n v="0"/>
    <n v="0"/>
    <n v="0"/>
    <n v="0"/>
    <n v="0"/>
    <n v="0"/>
    <n v="0"/>
  </r>
  <r>
    <s v="4.3.4.1"/>
    <x v="3"/>
    <x v="3"/>
    <x v="0"/>
    <x v="12"/>
    <n v="1"/>
    <x v="63"/>
    <x v="63"/>
    <s v="Implementation of the Biometric Software system"/>
    <s v="Training users of the system"/>
    <s v="Conference package high-level"/>
    <n v="35000"/>
    <m/>
    <m/>
    <n v="0"/>
    <n v="0"/>
    <n v="0"/>
    <n v="0"/>
    <n v="1800"/>
    <n v="5"/>
    <n v="411474619.69982022"/>
    <n v="0"/>
    <n v="0"/>
    <n v="0"/>
    <n v="30"/>
    <n v="5"/>
    <n v="8958273.1564609352"/>
    <n v="0"/>
    <n v="0"/>
    <n v="0"/>
    <n v="0"/>
    <n v="0"/>
    <n v="0"/>
    <n v="0"/>
    <n v="0"/>
    <n v="0"/>
    <n v="420432892.85628116"/>
    <n v="408187.27461774868"/>
  </r>
  <r>
    <s v="4.3.4.1"/>
    <x v="3"/>
    <x v="3"/>
    <x v="0"/>
    <x v="12"/>
    <n v="1"/>
    <x v="63"/>
    <x v="63"/>
    <s v="Implementation of the Biometric Software system"/>
    <s v="Training users of the system"/>
    <s v="Fuel for Travelling participants"/>
    <n v="211.42857142857142"/>
    <m/>
    <m/>
    <n v="0"/>
    <n v="0"/>
    <n v="0"/>
    <n v="0"/>
    <n v="90000"/>
    <n v="1"/>
    <n v="24856426.006356485"/>
    <n v="0"/>
    <n v="0"/>
    <n v="0"/>
    <n v="80"/>
    <n v="5"/>
    <n v="144307.42064285369"/>
    <n v="0"/>
    <n v="0"/>
    <n v="0"/>
    <n v="0"/>
    <n v="0"/>
    <n v="0"/>
    <n v="0"/>
    <n v="0"/>
    <n v="0"/>
    <n v="25000733.426999338"/>
    <n v="24272.556725242077"/>
  </r>
  <r>
    <s v="4.3.4.1"/>
    <x v="3"/>
    <x v="3"/>
    <x v="0"/>
    <x v="12"/>
    <n v="1"/>
    <x v="63"/>
    <x v="63"/>
    <s v="Implementation of the Biometric Software system"/>
    <s v="Training users of the system"/>
    <s v="Local running (diesel, per km)"/>
    <n v="211.42857142857142"/>
    <m/>
    <m/>
    <n v="0"/>
    <n v="0"/>
    <n v="0"/>
    <n v="0"/>
    <n v="22500"/>
    <n v="5"/>
    <n v="31070532.507945605"/>
    <n v="0"/>
    <n v="0"/>
    <n v="0"/>
    <n v="20000"/>
    <n v="1"/>
    <n v="7215371.0321426839"/>
    <n v="0"/>
    <n v="0"/>
    <n v="0"/>
    <n v="0"/>
    <n v="0"/>
    <n v="0"/>
    <n v="0"/>
    <n v="0"/>
    <n v="0"/>
    <n v="38285903.540088288"/>
    <n v="37170.780136008048"/>
  </r>
  <r>
    <s v="4.3.4.1"/>
    <x v="3"/>
    <x v="3"/>
    <x v="0"/>
    <x v="12"/>
    <n v="1"/>
    <x v="63"/>
    <x v="63"/>
    <s v="Implementation of the Biometric Software system"/>
    <s v="Training users of the system"/>
    <s v="DSA (excl. lunch)"/>
    <n v="39000"/>
    <m/>
    <m/>
    <n v="0"/>
    <n v="0"/>
    <n v="0"/>
    <n v="0"/>
    <n v="1800"/>
    <n v="6"/>
    <n v="550200348.62718821"/>
    <n v="0"/>
    <n v="0"/>
    <n v="0"/>
    <n v="80"/>
    <n v="5"/>
    <n v="26618868.807769638"/>
    <n v="0"/>
    <n v="0"/>
    <n v="0"/>
    <n v="0"/>
    <n v="0"/>
    <n v="0"/>
    <n v="0"/>
    <n v="0"/>
    <n v="0"/>
    <n v="576819217.43495786"/>
    <n v="560018.65770384262"/>
  </r>
  <r>
    <s v="4.3.4.1"/>
    <x v="3"/>
    <x v="3"/>
    <x v="0"/>
    <x v="12"/>
    <n v="1"/>
    <x v="63"/>
    <x v="63"/>
    <s v="Link the biometric software system to DHIS2"/>
    <s v="Develop TORs to recruit an IT consultant "/>
    <s v="zero cost"/>
    <n v="0"/>
    <m/>
    <m/>
    <n v="0"/>
    <n v="0"/>
    <n v="0"/>
    <n v="0"/>
    <n v="0"/>
    <n v="0"/>
    <n v="0"/>
    <n v="0"/>
    <n v="0"/>
    <n v="0"/>
    <n v="0"/>
    <n v="0"/>
    <n v="0"/>
    <n v="0"/>
    <n v="0"/>
    <n v="0"/>
    <n v="0"/>
    <n v="0"/>
    <n v="0"/>
    <n v="0"/>
    <n v="0"/>
    <n v="0"/>
    <n v="0"/>
    <n v="0"/>
  </r>
  <r>
    <s v="4.3.4.1"/>
    <x v="3"/>
    <x v="3"/>
    <x v="0"/>
    <x v="12"/>
    <n v="1"/>
    <x v="63"/>
    <x v="63"/>
    <s v="Link the biometric software system to DHIS2"/>
    <s v="Recruitment of a consultant"/>
    <s v="Newspaper advert (full)"/>
    <n v="391991.03749999998"/>
    <m/>
    <m/>
    <n v="0"/>
    <n v="0"/>
    <n v="0"/>
    <n v="0"/>
    <n v="2"/>
    <n v="2"/>
    <n v="2048182.3883307995"/>
    <n v="1"/>
    <n v="6"/>
    <n v="3511366.2931906758"/>
    <n v="0"/>
    <n v="0"/>
    <n v="0"/>
    <n v="0"/>
    <n v="0"/>
    <n v="0"/>
    <n v="0"/>
    <n v="0"/>
    <n v="0"/>
    <n v="0"/>
    <n v="0"/>
    <n v="0"/>
    <n v="5559548.6815214753"/>
    <n v="5397.6200791470637"/>
  </r>
  <r>
    <s v="4.3.4.1"/>
    <x v="3"/>
    <x v="3"/>
    <x v="0"/>
    <x v="12"/>
    <n v="1"/>
    <x v="63"/>
    <x v="63"/>
    <s v="Link the biometric software system to DHIS2"/>
    <s v="Recruitment of a consultant"/>
    <s v="Local consultant fee - High level"/>
    <n v="511000"/>
    <m/>
    <m/>
    <n v="0"/>
    <n v="0"/>
    <n v="0"/>
    <n v="0"/>
    <n v="1"/>
    <n v="25"/>
    <n v="16687581.798937155"/>
    <n v="1"/>
    <n v="40"/>
    <n v="30516142.873469573"/>
    <n v="0"/>
    <n v="0"/>
    <n v="0"/>
    <n v="0"/>
    <n v="0"/>
    <n v="0"/>
    <n v="0"/>
    <n v="0"/>
    <n v="0"/>
    <n v="0"/>
    <n v="0"/>
    <n v="0"/>
    <n v="47203724.672406726"/>
    <n v="45828.858905249246"/>
  </r>
  <r>
    <s v="4.3.4.1"/>
    <x v="3"/>
    <x v="3"/>
    <x v="0"/>
    <x v="12"/>
    <n v="1"/>
    <x v="63"/>
    <x v="63"/>
    <s v="Link the biometric software system to DHIS2"/>
    <s v="Validation meeting"/>
    <s v="Conference package high-level"/>
    <n v="35000"/>
    <m/>
    <m/>
    <n v="0"/>
    <n v="0"/>
    <n v="0"/>
    <n v="0"/>
    <n v="100"/>
    <n v="5"/>
    <n v="22859701.094434455"/>
    <n v="30"/>
    <n v="1"/>
    <n v="1567610.0791165878"/>
    <n v="0"/>
    <n v="0"/>
    <n v="0"/>
    <n v="0"/>
    <n v="0"/>
    <n v="0"/>
    <n v="0"/>
    <n v="0"/>
    <n v="0"/>
    <n v="0"/>
    <n v="0"/>
    <n v="0"/>
    <n v="24427311.173551042"/>
    <n v="23715.836090826255"/>
  </r>
  <r>
    <s v="4.3.4.1"/>
    <x v="3"/>
    <x v="3"/>
    <x v="0"/>
    <x v="12"/>
    <n v="1"/>
    <x v="63"/>
    <x v="63"/>
    <s v="Link the biometric software system to DHIS2"/>
    <s v="Validation meeting"/>
    <s v="DSA (excl. lunch)"/>
    <n v="39000"/>
    <m/>
    <m/>
    <n v="0"/>
    <n v="0"/>
    <n v="0"/>
    <n v="0"/>
    <n v="58"/>
    <n v="6"/>
    <n v="17728677.900209397"/>
    <n v="30"/>
    <n v="1"/>
    <n v="1746765.5167299118"/>
    <n v="0"/>
    <n v="0"/>
    <n v="0"/>
    <n v="0"/>
    <n v="0"/>
    <n v="0"/>
    <n v="0"/>
    <n v="0"/>
    <n v="0"/>
    <n v="0"/>
    <n v="0"/>
    <n v="0"/>
    <n v="19475443.416939311"/>
    <n v="18908.197492174088"/>
  </r>
  <r>
    <s v="4.3.4.1"/>
    <x v="3"/>
    <x v="3"/>
    <x v="0"/>
    <x v="12"/>
    <n v="1"/>
    <x v="63"/>
    <x v="63"/>
    <s v="Link the biometric software system to DHIS2"/>
    <s v="Validation meeting"/>
    <s v="Local running (diesel, per km)"/>
    <n v="211.42857142857142"/>
    <m/>
    <m/>
    <n v="0"/>
    <n v="0"/>
    <n v="0"/>
    <n v="0"/>
    <n v="1450"/>
    <n v="5"/>
    <n v="2002323.2060676059"/>
    <n v="30"/>
    <n v="1"/>
    <n v="9469.6445595614259"/>
    <n v="0"/>
    <n v="0"/>
    <n v="0"/>
    <n v="0"/>
    <n v="0"/>
    <n v="0"/>
    <n v="0"/>
    <n v="0"/>
    <n v="0"/>
    <n v="0"/>
    <n v="0"/>
    <n v="0"/>
    <n v="2011792.8506271674"/>
    <n v="1953.1969423564733"/>
  </r>
  <r>
    <s v="4.3.4.1"/>
    <x v="3"/>
    <x v="3"/>
    <x v="0"/>
    <x v="12"/>
    <n v="1"/>
    <x v="63"/>
    <x v="63"/>
    <s v="Link the biometric software system to DHIS2"/>
    <s v="Validation meeting"/>
    <s v="Fuel for Travelling participants"/>
    <n v="211.42857142857142"/>
    <m/>
    <m/>
    <n v="0"/>
    <n v="0"/>
    <n v="0"/>
    <n v="0"/>
    <n v="7830"/>
    <n v="1"/>
    <n v="2162509.0625530141"/>
    <n v="30"/>
    <n v="1"/>
    <n v="9469.6445595614259"/>
    <n v="0"/>
    <n v="0"/>
    <n v="0"/>
    <n v="0"/>
    <n v="0"/>
    <n v="0"/>
    <n v="0"/>
    <n v="0"/>
    <n v="0"/>
    <n v="0"/>
    <n v="0"/>
    <n v="0"/>
    <n v="2171978.7071125754"/>
    <n v="2108.7171913714324"/>
  </r>
  <r>
    <s v="4.3.4.1"/>
    <x v="3"/>
    <x v="3"/>
    <x v="0"/>
    <x v="12"/>
    <n v="1"/>
    <x v="63"/>
    <x v="63"/>
    <s v="Develop an E-monitoring system for the purchasing function"/>
    <s v="Develop TORs to hire a developer"/>
    <s v="zero cost"/>
    <n v="0"/>
    <m/>
    <m/>
    <n v="0"/>
    <n v="0"/>
    <n v="0"/>
    <n v="0"/>
    <n v="0"/>
    <n v="0"/>
    <n v="0"/>
    <n v="0"/>
    <n v="0"/>
    <n v="0"/>
    <n v="0"/>
    <n v="0"/>
    <n v="0"/>
    <n v="0"/>
    <n v="0"/>
    <n v="0"/>
    <n v="0"/>
    <n v="0"/>
    <n v="0"/>
    <n v="0"/>
    <n v="0"/>
    <n v="0"/>
    <n v="0"/>
    <n v="0"/>
  </r>
  <r>
    <s v="4.3.4.1"/>
    <x v="3"/>
    <x v="3"/>
    <x v="0"/>
    <x v="12"/>
    <n v="1"/>
    <x v="63"/>
    <x v="63"/>
    <s v="Develop an E-monitoring system for the purchasing function"/>
    <s v="Recruitment of a consultant"/>
    <s v="Newspaper advert (full)"/>
    <n v="391991.03749999998"/>
    <m/>
    <m/>
    <n v="0"/>
    <n v="0"/>
    <n v="0"/>
    <n v="0"/>
    <n v="2"/>
    <n v="2"/>
    <n v="2048182.3883307995"/>
    <n v="1"/>
    <n v="6"/>
    <n v="3511366.2931906758"/>
    <n v="0"/>
    <n v="0"/>
    <n v="0"/>
    <n v="0"/>
    <n v="0"/>
    <n v="0"/>
    <n v="0"/>
    <n v="0"/>
    <n v="0"/>
    <n v="0"/>
    <n v="0"/>
    <n v="0"/>
    <n v="5559548.6815214753"/>
    <n v="5397.6200791470637"/>
  </r>
  <r>
    <s v="4.3.4.1"/>
    <x v="3"/>
    <x v="3"/>
    <x v="0"/>
    <x v="12"/>
    <n v="1"/>
    <x v="63"/>
    <x v="63"/>
    <s v="Develop an E-monitoring system for the purchasing function"/>
    <s v="Recruitment of a consultant"/>
    <s v="Local consultant fee - High level"/>
    <n v="511000"/>
    <m/>
    <m/>
    <n v="0"/>
    <n v="0"/>
    <n v="0"/>
    <n v="0"/>
    <n v="1"/>
    <n v="25"/>
    <n v="16687581.798937155"/>
    <n v="1"/>
    <n v="40"/>
    <n v="30516142.873469573"/>
    <n v="0"/>
    <n v="0"/>
    <n v="0"/>
    <n v="0"/>
    <n v="0"/>
    <n v="0"/>
    <n v="0"/>
    <n v="0"/>
    <n v="0"/>
    <n v="0"/>
    <n v="0"/>
    <n v="0"/>
    <n v="47203724.672406726"/>
    <n v="45828.858905249246"/>
  </r>
  <r>
    <s v="4.3.4.1"/>
    <x v="3"/>
    <x v="3"/>
    <x v="0"/>
    <x v="12"/>
    <n v="1"/>
    <x v="63"/>
    <x v="63"/>
    <s v="Develop an E-monitoring system for the purchasing function"/>
    <s v="Design data collection tool"/>
    <s v="zero cost"/>
    <n v="0"/>
    <m/>
    <m/>
    <n v="0"/>
    <n v="0"/>
    <n v="0"/>
    <n v="0"/>
    <n v="0"/>
    <n v="0"/>
    <n v="0"/>
    <n v="0"/>
    <n v="0"/>
    <n v="0"/>
    <n v="0"/>
    <n v="0"/>
    <n v="0"/>
    <n v="0"/>
    <n v="0"/>
    <n v="0"/>
    <n v="0"/>
    <n v="0"/>
    <n v="0"/>
    <n v="0"/>
    <n v="0"/>
    <n v="0"/>
    <n v="0"/>
    <n v="0"/>
  </r>
  <r>
    <s v="4.3.4.1"/>
    <x v="3"/>
    <x v="3"/>
    <x v="0"/>
    <x v="12"/>
    <n v="1"/>
    <x v="63"/>
    <x v="63"/>
    <s v="Develop an E-monitoring system for the purchasing function"/>
    <s v="Design data collection tool"/>
    <s v="Conference package high-level"/>
    <n v="35000"/>
    <m/>
    <m/>
    <n v="0"/>
    <n v="0"/>
    <n v="0"/>
    <n v="0"/>
    <n v="30"/>
    <n v="5"/>
    <n v="6857910.3283303361"/>
    <n v="15"/>
    <n v="3"/>
    <n v="2351415.1186748818"/>
    <n v="0"/>
    <n v="0"/>
    <n v="0"/>
    <n v="0"/>
    <n v="0"/>
    <n v="0"/>
    <n v="0"/>
    <n v="0"/>
    <n v="0"/>
    <n v="0"/>
    <n v="0"/>
    <n v="0"/>
    <n v="9209325.4470052179"/>
    <n v="8941.0926669953569"/>
  </r>
  <r>
    <s v="4.3.4.1"/>
    <x v="3"/>
    <x v="3"/>
    <x v="0"/>
    <x v="12"/>
    <n v="1"/>
    <x v="63"/>
    <x v="63"/>
    <s v="Develop an E-monitoring system for the purchasing function"/>
    <s v="Design data collection tool"/>
    <s v="DSA (excl. lunch)"/>
    <n v="39000"/>
    <m/>
    <m/>
    <n v="0"/>
    <n v="0"/>
    <n v="0"/>
    <n v="0"/>
    <n v="30"/>
    <n v="6"/>
    <n v="9170005.8104531355"/>
    <n v="15"/>
    <n v="3"/>
    <n v="2620148.2750948677"/>
    <n v="0"/>
    <n v="0"/>
    <n v="0"/>
    <n v="0"/>
    <n v="0"/>
    <n v="0"/>
    <n v="0"/>
    <n v="0"/>
    <n v="0"/>
    <n v="0"/>
    <n v="0"/>
    <n v="0"/>
    <n v="11790154.085548002"/>
    <n v="11446.751539366993"/>
  </r>
  <r>
    <s v="4.3.4.1"/>
    <x v="3"/>
    <x v="3"/>
    <x v="0"/>
    <x v="12"/>
    <n v="1"/>
    <x v="63"/>
    <x v="63"/>
    <s v="Develop an E-monitoring system for the purchasing function"/>
    <s v="Design data collection tool"/>
    <s v="Local running (diesel, per km)"/>
    <n v="211.42857142857142"/>
    <m/>
    <m/>
    <n v="0"/>
    <n v="0"/>
    <n v="0"/>
    <n v="0"/>
    <n v="500"/>
    <n v="5"/>
    <n v="690456.27795434685"/>
    <n v="15"/>
    <n v="3"/>
    <n v="14204.466839342138"/>
    <n v="0"/>
    <n v="0"/>
    <n v="0"/>
    <n v="0"/>
    <n v="0"/>
    <n v="0"/>
    <n v="0"/>
    <n v="0"/>
    <n v="0"/>
    <n v="0"/>
    <n v="0"/>
    <n v="0"/>
    <n v="704660.74479368899"/>
    <n v="684.13664543076607"/>
  </r>
  <r>
    <s v="4.3.4.1"/>
    <x v="3"/>
    <x v="3"/>
    <x v="0"/>
    <x v="12"/>
    <n v="1"/>
    <x v="63"/>
    <x v="63"/>
    <s v="Develop an E-monitoring system for the purchasing function"/>
    <s v="Design data collection tool"/>
    <s v="Fuel for Travelling participants"/>
    <n v="211.42857142857142"/>
    <m/>
    <m/>
    <n v="0"/>
    <n v="0"/>
    <n v="0"/>
    <n v="0"/>
    <n v="2700"/>
    <n v="1"/>
    <n v="745692.78019069461"/>
    <n v="15"/>
    <n v="3"/>
    <n v="14204.466839342138"/>
    <n v="0"/>
    <n v="0"/>
    <n v="0"/>
    <n v="0"/>
    <n v="0"/>
    <n v="0"/>
    <n v="0"/>
    <n v="0"/>
    <n v="0"/>
    <n v="0"/>
    <n v="0"/>
    <n v="0"/>
    <n v="759897.24703003676"/>
    <n v="737.76431750489007"/>
  </r>
  <r>
    <s v="4.3.4.1"/>
    <x v="3"/>
    <x v="3"/>
    <x v="0"/>
    <x v="12"/>
    <n v="1"/>
    <x v="63"/>
    <x v="63"/>
    <s v="Develop an E-monitoring system for the purchasing function"/>
    <s v="pretesting of the data collection tool (1 day)"/>
    <s v="Full DSA"/>
    <n v="45000"/>
    <m/>
    <m/>
    <n v="0"/>
    <n v="0"/>
    <n v="0"/>
    <n v="0"/>
    <n v="30"/>
    <n v="1"/>
    <n v="1763462.6558563723"/>
    <n v="15"/>
    <n v="1"/>
    <n v="1007749.3365749492"/>
    <n v="0"/>
    <n v="0"/>
    <n v="0"/>
    <n v="0"/>
    <n v="0"/>
    <n v="0"/>
    <n v="0"/>
    <n v="0"/>
    <n v="0"/>
    <n v="0"/>
    <n v="0"/>
    <n v="0"/>
    <n v="2771211.9924313216"/>
    <n v="2690.4970800304095"/>
  </r>
  <r>
    <s v="4.3.4.1"/>
    <x v="3"/>
    <x v="3"/>
    <x v="0"/>
    <x v="12"/>
    <n v="1"/>
    <x v="63"/>
    <x v="63"/>
    <s v="Develop an E-monitoring system for the purchasing function"/>
    <s v="pretesting of the data collection tool (1 day)"/>
    <s v="Local running (diesel, per km)"/>
    <n v="211.42857142857142"/>
    <m/>
    <m/>
    <n v="0"/>
    <n v="0"/>
    <n v="0"/>
    <n v="0"/>
    <n v="500"/>
    <n v="1"/>
    <n v="138091.25559086938"/>
    <n v="4000"/>
    <n v="1"/>
    <n v="1262619.2746081902"/>
    <n v="0"/>
    <n v="0"/>
    <n v="0"/>
    <n v="0"/>
    <n v="0"/>
    <n v="0"/>
    <n v="0"/>
    <n v="0"/>
    <n v="0"/>
    <n v="0"/>
    <n v="0"/>
    <n v="0"/>
    <n v="1400710.5301990595"/>
    <n v="1359.9131361155917"/>
  </r>
  <r>
    <s v="4.3.4.1"/>
    <x v="3"/>
    <x v="3"/>
    <x v="0"/>
    <x v="12"/>
    <n v="1"/>
    <x v="63"/>
    <x v="63"/>
    <s v="Develop an E-monitoring system for the purchasing function"/>
    <s v="pretesting of the data collection tool (1 day)"/>
    <s v="Fuel for Travelling participants"/>
    <n v="211.42857142857142"/>
    <m/>
    <m/>
    <n v="0"/>
    <n v="0"/>
    <n v="0"/>
    <n v="0"/>
    <n v="2700"/>
    <n v="1"/>
    <n v="745692.78019069461"/>
    <n v="4000"/>
    <n v="1"/>
    <n v="1262619.2746081902"/>
    <n v="0"/>
    <n v="0"/>
    <n v="0"/>
    <n v="0"/>
    <n v="0"/>
    <n v="0"/>
    <n v="0"/>
    <n v="0"/>
    <n v="0"/>
    <n v="0"/>
    <n v="0"/>
    <n v="0"/>
    <n v="2008312.0547988848"/>
    <n v="1949.8175289309561"/>
  </r>
  <r>
    <s v="4.3.4.1"/>
    <x v="3"/>
    <x v="3"/>
    <x v="0"/>
    <x v="12"/>
    <n v="1"/>
    <x v="63"/>
    <x v="63"/>
    <s v="Develop an E-monitoring system for the purchasing function"/>
    <s v="validation of the data collection tool (1 day)"/>
    <s v="zero cost"/>
    <n v="0"/>
    <m/>
    <m/>
    <n v="0"/>
    <n v="0"/>
    <n v="0"/>
    <n v="0"/>
    <n v="0"/>
    <n v="0"/>
    <n v="0"/>
    <n v="0"/>
    <n v="0"/>
    <n v="0"/>
    <n v="0"/>
    <n v="0"/>
    <n v="0"/>
    <n v="0"/>
    <n v="0"/>
    <n v="0"/>
    <n v="0"/>
    <n v="0"/>
    <n v="0"/>
    <n v="0"/>
    <n v="0"/>
    <n v="0"/>
    <n v="0"/>
    <n v="0"/>
  </r>
  <r>
    <s v="4.3.4.1"/>
    <x v="3"/>
    <x v="3"/>
    <x v="0"/>
    <x v="12"/>
    <n v="1"/>
    <x v="63"/>
    <x v="63"/>
    <s v="Develop an E-monitoring system for the purchasing function"/>
    <s v="validation workshop"/>
    <s v="Conference package high-level"/>
    <n v="35000"/>
    <m/>
    <m/>
    <n v="0"/>
    <n v="0"/>
    <n v="0"/>
    <n v="0"/>
    <n v="100"/>
    <n v="5"/>
    <n v="22859701.094434455"/>
    <n v="30"/>
    <n v="1"/>
    <n v="1567610.0791165878"/>
    <n v="0"/>
    <n v="0"/>
    <n v="0"/>
    <n v="0"/>
    <n v="0"/>
    <n v="0"/>
    <n v="0"/>
    <n v="0"/>
    <n v="0"/>
    <n v="0"/>
    <n v="0"/>
    <n v="0"/>
    <n v="24427311.173551042"/>
    <n v="23715.836090826255"/>
  </r>
  <r>
    <s v="4.3.4.1"/>
    <x v="3"/>
    <x v="3"/>
    <x v="0"/>
    <x v="12"/>
    <n v="1"/>
    <x v="63"/>
    <x v="63"/>
    <s v="Develop an E-monitoring system for the purchasing function"/>
    <s v="validation workshop"/>
    <s v="DSA (excl. lunch)"/>
    <n v="39000"/>
    <m/>
    <m/>
    <n v="0"/>
    <n v="0"/>
    <n v="0"/>
    <n v="0"/>
    <n v="58"/>
    <n v="6"/>
    <n v="17728677.900209397"/>
    <n v="80"/>
    <n v="1"/>
    <n v="4658041.3779464317"/>
    <n v="0"/>
    <n v="0"/>
    <n v="0"/>
    <n v="0"/>
    <n v="0"/>
    <n v="0"/>
    <n v="0"/>
    <n v="0"/>
    <n v="0"/>
    <n v="0"/>
    <n v="0"/>
    <n v="0"/>
    <n v="22386719.27815583"/>
    <n v="21734.678910830902"/>
  </r>
  <r>
    <s v="4.3.4.1"/>
    <x v="3"/>
    <x v="3"/>
    <x v="0"/>
    <x v="12"/>
    <n v="1"/>
    <x v="63"/>
    <x v="63"/>
    <s v="Develop an E-monitoring system for the purchasing function"/>
    <s v="validation workshop"/>
    <s v="Fuel for Travelling participants"/>
    <n v="211.42857142857142"/>
    <m/>
    <m/>
    <n v="0"/>
    <n v="0"/>
    <n v="0"/>
    <n v="0"/>
    <n v="7830"/>
    <n v="1"/>
    <n v="2162509.0625530141"/>
    <n v="40"/>
    <n v="1"/>
    <n v="12626.192746081902"/>
    <n v="0"/>
    <n v="0"/>
    <n v="0"/>
    <n v="0"/>
    <n v="0"/>
    <n v="0"/>
    <n v="0"/>
    <n v="0"/>
    <n v="0"/>
    <n v="0"/>
    <n v="0"/>
    <n v="0"/>
    <n v="2175135.255299096"/>
    <n v="2111.7818012612584"/>
  </r>
  <r>
    <s v="4.3.4.1"/>
    <x v="3"/>
    <x v="3"/>
    <x v="0"/>
    <x v="12"/>
    <n v="1"/>
    <x v="63"/>
    <x v="63"/>
    <s v="Develop an E-monitoring system for the purchasing function"/>
    <s v="validation workshop"/>
    <s v="Local running (diesel, per km)"/>
    <n v="211.42857142857142"/>
    <m/>
    <m/>
    <n v="0"/>
    <n v="0"/>
    <n v="0"/>
    <n v="0"/>
    <n v="1450"/>
    <n v="5"/>
    <n v="2002323.2060676059"/>
    <n v="10000"/>
    <n v="1"/>
    <n v="3156548.1865204754"/>
    <n v="0"/>
    <n v="0"/>
    <n v="0"/>
    <n v="0"/>
    <n v="0"/>
    <n v="0"/>
    <n v="0"/>
    <n v="0"/>
    <n v="0"/>
    <n v="0"/>
    <n v="0"/>
    <n v="0"/>
    <n v="5158871.3925880808"/>
    <n v="5008.6130025126995"/>
  </r>
  <r>
    <s v="4.3.4.1"/>
    <x v="3"/>
    <x v="3"/>
    <x v="0"/>
    <x v="12"/>
    <n v="1"/>
    <x v="63"/>
    <x v="63"/>
    <s v="Develop an E-monitoring system for the purchasing function"/>
    <s v="user trainings"/>
    <s v="Conference package high-level"/>
    <n v="35000"/>
    <m/>
    <m/>
    <n v="0"/>
    <n v="0"/>
    <n v="0"/>
    <n v="0"/>
    <n v="100"/>
    <n v="5"/>
    <n v="22859701.094434455"/>
    <n v="0"/>
    <n v="0"/>
    <n v="0"/>
    <n v="40"/>
    <n v="5"/>
    <n v="11944364.20861458"/>
    <n v="0"/>
    <n v="0"/>
    <n v="0"/>
    <n v="0"/>
    <n v="0"/>
    <n v="0"/>
    <n v="0"/>
    <n v="0"/>
    <n v="0"/>
    <n v="34804065.303049035"/>
    <n v="33790.354663154401"/>
  </r>
  <r>
    <s v="4.3.4.1"/>
    <x v="3"/>
    <x v="3"/>
    <x v="0"/>
    <x v="12"/>
    <n v="1"/>
    <x v="63"/>
    <x v="63"/>
    <s v="Develop an E-monitoring system for the purchasing function"/>
    <s v="user trainings"/>
    <s v="DSA (excl. lunch)"/>
    <n v="39000"/>
    <m/>
    <m/>
    <n v="0"/>
    <n v="0"/>
    <n v="0"/>
    <n v="0"/>
    <n v="58"/>
    <n v="6"/>
    <n v="17728677.900209397"/>
    <n v="0"/>
    <n v="0"/>
    <n v="0"/>
    <n v="40"/>
    <n v="5"/>
    <n v="13309434.403884819"/>
    <n v="0"/>
    <n v="0"/>
    <n v="0"/>
    <n v="0"/>
    <n v="0"/>
    <n v="0"/>
    <n v="0"/>
    <n v="0"/>
    <n v="0"/>
    <n v="31038112.304094218"/>
    <n v="30134.089615625453"/>
  </r>
  <r>
    <s v="4.3.4.1"/>
    <x v="3"/>
    <x v="3"/>
    <x v="0"/>
    <x v="12"/>
    <n v="1"/>
    <x v="63"/>
    <x v="63"/>
    <s v="Develop an E-monitoring system for the purchasing function"/>
    <s v="user trainings"/>
    <s v="Fuel for Travelling participants"/>
    <n v="211.42857142857142"/>
    <m/>
    <m/>
    <n v="0"/>
    <m/>
    <m/>
    <n v="0"/>
    <n v="7830"/>
    <n v="1"/>
    <n v="2162509.0625530141"/>
    <m/>
    <m/>
    <n v="0"/>
    <m/>
    <m/>
    <n v="0"/>
    <m/>
    <m/>
    <n v="0"/>
    <m/>
    <m/>
    <n v="0"/>
    <m/>
    <m/>
    <n v="0"/>
    <n v="2162509.0625530141"/>
    <n v="2099.5233617019553"/>
  </r>
  <r>
    <s v="4.3.4.1"/>
    <x v="3"/>
    <x v="3"/>
    <x v="0"/>
    <x v="12"/>
    <n v="1"/>
    <x v="63"/>
    <x v="63"/>
    <s v="Develop an E-monitoring system for the purchasing function"/>
    <s v="user trainings"/>
    <s v="Local running (diesel, per km)"/>
    <n v="211.42857142857142"/>
    <m/>
    <m/>
    <n v="0"/>
    <n v="0"/>
    <n v="0"/>
    <n v="0"/>
    <n v="1450"/>
    <n v="1"/>
    <n v="400464.64121352119"/>
    <n v="0"/>
    <n v="0"/>
    <n v="0"/>
    <n v="8000"/>
    <n v="1"/>
    <n v="2886148.4128570738"/>
    <n v="0"/>
    <n v="0"/>
    <n v="0"/>
    <n v="0"/>
    <n v="0"/>
    <n v="0"/>
    <n v="0"/>
    <n v="0"/>
    <n v="0"/>
    <n v="3286613.0540705952"/>
    <n v="3190.8864602627136"/>
  </r>
  <r>
    <s v="4.3.4.1"/>
    <x v="3"/>
    <x v="3"/>
    <x v="0"/>
    <x v="12"/>
    <n v="1"/>
    <x v="63"/>
    <x v="63"/>
    <s v="Develop an E-monitoring system for the purchasing function"/>
    <s v="TOTs"/>
    <s v="Conference package high-level"/>
    <n v="35000"/>
    <m/>
    <m/>
    <n v="0"/>
    <n v="0"/>
    <n v="0"/>
    <n v="0"/>
    <n v="100"/>
    <n v="5"/>
    <n v="22859701.094434455"/>
    <n v="0"/>
    <n v="0"/>
    <n v="0"/>
    <n v="40"/>
    <n v="5"/>
    <n v="11944364.20861458"/>
    <n v="0"/>
    <n v="0"/>
    <n v="0"/>
    <n v="0"/>
    <n v="0"/>
    <n v="0"/>
    <n v="0"/>
    <n v="0"/>
    <n v="0"/>
    <n v="34804065.303049035"/>
    <n v="33790.354663154401"/>
  </r>
  <r>
    <s v="4.3.4.1"/>
    <x v="3"/>
    <x v="3"/>
    <x v="0"/>
    <x v="12"/>
    <n v="1"/>
    <x v="63"/>
    <x v="63"/>
    <s v="Develop an E-monitoring system for the purchasing function"/>
    <s v="TOTs"/>
    <s v="DSA (excl. lunch)"/>
    <n v="39000"/>
    <m/>
    <m/>
    <n v="0"/>
    <n v="0"/>
    <n v="0"/>
    <n v="0"/>
    <n v="58"/>
    <n v="6"/>
    <n v="17728677.900209397"/>
    <n v="0"/>
    <n v="0"/>
    <n v="0"/>
    <n v="40"/>
    <n v="5"/>
    <n v="13309434.403884819"/>
    <n v="0"/>
    <n v="0"/>
    <n v="0"/>
    <n v="0"/>
    <n v="0"/>
    <n v="0"/>
    <n v="0"/>
    <n v="0"/>
    <n v="0"/>
    <n v="31038112.304094218"/>
    <n v="30134.089615625453"/>
  </r>
  <r>
    <s v="4.3.4.1"/>
    <x v="3"/>
    <x v="3"/>
    <x v="0"/>
    <x v="12"/>
    <n v="1"/>
    <x v="63"/>
    <x v="63"/>
    <s v="Develop an E-monitoring system for the purchasing function"/>
    <s v="TOTs"/>
    <s v="Fuel for Travelling participants"/>
    <n v="211.42857142857142"/>
    <m/>
    <m/>
    <n v="0"/>
    <n v="0"/>
    <n v="0"/>
    <n v="0"/>
    <n v="7830"/>
    <n v="1"/>
    <n v="2162509.0625530141"/>
    <n v="0"/>
    <n v="0"/>
    <n v="0"/>
    <n v="8000"/>
    <n v="1"/>
    <n v="2886148.4128570738"/>
    <n v="0"/>
    <n v="0"/>
    <n v="0"/>
    <n v="0"/>
    <n v="0"/>
    <n v="0"/>
    <n v="0"/>
    <n v="0"/>
    <n v="0"/>
    <n v="5048657.475410088"/>
    <n v="4901.6091994272701"/>
  </r>
  <r>
    <s v="4.3.4.1"/>
    <x v="3"/>
    <x v="3"/>
    <x v="0"/>
    <x v="12"/>
    <n v="1"/>
    <x v="63"/>
    <x v="63"/>
    <s v="Develop an E-monitoring system for the purchasing function"/>
    <s v="TOTs"/>
    <s v="Local running (diesel, per km)"/>
    <n v="211.42857142857142"/>
    <m/>
    <m/>
    <n v="0"/>
    <n v="0"/>
    <n v="0"/>
    <n v="0"/>
    <n v="1450"/>
    <n v="5"/>
    <n v="2002323.2060676059"/>
    <n v="0"/>
    <n v="0"/>
    <n v="0"/>
    <n v="8000"/>
    <n v="1"/>
    <n v="2886148.4128570738"/>
    <n v="0"/>
    <n v="0"/>
    <n v="0"/>
    <n v="0"/>
    <n v="0"/>
    <n v="0"/>
    <n v="0"/>
    <n v="0"/>
    <n v="0"/>
    <n v="4888471.6189246792"/>
    <n v="4746.0889504123097"/>
  </r>
  <r>
    <s v="4.3.4.1"/>
    <x v="3"/>
    <x v="3"/>
    <x v="0"/>
    <x v="12"/>
    <n v="1"/>
    <x v="63"/>
    <x v="63"/>
    <s v="Develop an E-monitoring system for the purchasing function"/>
    <s v="Undertake routine monitoring either peer to peer monitoring or HMIS "/>
    <s v="zero cost"/>
    <n v="0"/>
    <m/>
    <m/>
    <n v="0"/>
    <n v="0"/>
    <n v="0"/>
    <n v="0"/>
    <n v="0"/>
    <n v="0"/>
    <n v="0"/>
    <n v="0"/>
    <n v="0"/>
    <n v="0"/>
    <n v="0"/>
    <n v="0"/>
    <n v="0"/>
    <n v="0"/>
    <n v="0"/>
    <n v="0"/>
    <n v="0"/>
    <n v="0"/>
    <n v="0"/>
    <n v="0"/>
    <n v="0"/>
    <n v="0"/>
    <n v="0"/>
    <n v="0"/>
  </r>
  <r>
    <s v="4.3.4.1"/>
    <x v="3"/>
    <x v="3"/>
    <x v="0"/>
    <x v="12"/>
    <n v="1"/>
    <x v="63"/>
    <x v="63"/>
    <s v="Develop an E-monitoring system for the purchasing function"/>
    <s v="Incorporate the monitoring tools into the normal supportive supervision"/>
    <s v="DSA (excl. lunch)"/>
    <n v="39000"/>
    <m/>
    <m/>
    <n v="0"/>
    <n v="0"/>
    <n v="0"/>
    <n v="0"/>
    <n v="25"/>
    <n v="6"/>
    <n v="7641671.5087109469"/>
    <n v="0"/>
    <n v="0"/>
    <n v="0"/>
    <n v="150"/>
    <n v="3"/>
    <n v="29946227.408740841"/>
    <n v="0"/>
    <n v="0"/>
    <n v="0"/>
    <n v="0"/>
    <n v="0"/>
    <n v="0"/>
    <n v="0"/>
    <n v="0"/>
    <n v="0"/>
    <n v="37587898.917451784"/>
    <n v="36493.105745098823"/>
  </r>
  <r>
    <s v="4.3.4.1"/>
    <x v="3"/>
    <x v="3"/>
    <x v="0"/>
    <x v="12"/>
    <n v="1"/>
    <x v="63"/>
    <x v="63"/>
    <s v="Develop an E-monitoring system for the purchasing function"/>
    <s v="Incorporate the monitoring tools into the normal supportive supervision"/>
    <s v="Conference package high-level"/>
    <n v="35000"/>
    <m/>
    <m/>
    <n v="0"/>
    <n v="0"/>
    <n v="0"/>
    <n v="0"/>
    <n v="25"/>
    <n v="5"/>
    <n v="5714925.2736086138"/>
    <n v="0"/>
    <n v="0"/>
    <n v="0"/>
    <n v="150"/>
    <n v="3"/>
    <n v="26874819.469382808"/>
    <n v="0"/>
    <n v="0"/>
    <n v="0"/>
    <n v="0"/>
    <n v="0"/>
    <n v="0"/>
    <n v="0"/>
    <n v="0"/>
    <n v="0"/>
    <n v="32589744.742991421"/>
    <n v="31640.5288766907"/>
  </r>
  <r>
    <s v="4.3.4.1"/>
    <x v="3"/>
    <x v="3"/>
    <x v="0"/>
    <x v="12"/>
    <n v="1"/>
    <x v="63"/>
    <x v="63"/>
    <s v="Develop an E-monitoring system for the purchasing function"/>
    <s v="Incorporate the monitoring tools into the normal supportive supervision"/>
    <s v="Local running (diesel, per km)"/>
    <n v="211.42857142857142"/>
    <m/>
    <m/>
    <n v="0"/>
    <n v="0"/>
    <n v="0"/>
    <n v="0"/>
    <n v="450"/>
    <n v="5"/>
    <n v="621410.65015891218"/>
    <n v="0"/>
    <n v="0"/>
    <n v="0"/>
    <n v="28000"/>
    <n v="1"/>
    <n v="10101519.444999758"/>
    <n v="0"/>
    <n v="0"/>
    <n v="0"/>
    <n v="0"/>
    <n v="0"/>
    <n v="0"/>
    <n v="0"/>
    <n v="0"/>
    <n v="0"/>
    <n v="10722930.09515867"/>
    <n v="10410.611742872496"/>
  </r>
  <r>
    <s v="4.3.4.1"/>
    <x v="3"/>
    <x v="3"/>
    <x v="0"/>
    <x v="12"/>
    <n v="1"/>
    <x v="63"/>
    <x v="63"/>
    <s v="Develop an E-monitoring system for the purchasing function"/>
    <s v="Incorporate the monitoring tools into the normal supportive supervision"/>
    <s v="Fuel for Travelling participants"/>
    <n v="211.42857142857142"/>
    <m/>
    <m/>
    <n v="0"/>
    <n v="0"/>
    <n v="0"/>
    <n v="0"/>
    <n v="2430"/>
    <n v="1"/>
    <n v="671123.50217162515"/>
    <n v="0"/>
    <n v="0"/>
    <n v="0"/>
    <n v="28000"/>
    <n v="1"/>
    <n v="10101519.444999758"/>
    <n v="0"/>
    <n v="0"/>
    <n v="0"/>
    <n v="0"/>
    <n v="0"/>
    <n v="0"/>
    <n v="0"/>
    <n v="0"/>
    <n v="0"/>
    <n v="10772642.947171383"/>
    <n v="10458.876647739206"/>
  </r>
  <r>
    <s v="4.3.4.1"/>
    <x v="3"/>
    <x v="3"/>
    <x v="0"/>
    <x v="12"/>
    <n v="1"/>
    <x v="63"/>
    <x v="63"/>
    <s v="Develop an E-monitoring system for the purchasing function"/>
    <s v="Engage mid-long term technical assistance on strategic purchasing"/>
    <s v="Newspaper advert (full)"/>
    <n v="391991.03749999998"/>
    <m/>
    <m/>
    <n v="0"/>
    <n v="0"/>
    <n v="0"/>
    <n v="0"/>
    <n v="2"/>
    <n v="2"/>
    <n v="2048182.3883307995"/>
    <n v="0"/>
    <n v="0"/>
    <n v="0"/>
    <n v="1"/>
    <n v="6"/>
    <n v="4013214.6157823103"/>
    <n v="0"/>
    <n v="0"/>
    <n v="0"/>
    <n v="0"/>
    <n v="0"/>
    <n v="0"/>
    <n v="0"/>
    <n v="0"/>
    <n v="0"/>
    <n v="6061397.0041131098"/>
    <n v="5884.8514603039903"/>
  </r>
  <r>
    <s v="4.3.4.1"/>
    <x v="3"/>
    <x v="3"/>
    <x v="0"/>
    <x v="12"/>
    <n v="1"/>
    <x v="63"/>
    <x v="63"/>
    <s v="Develop an E-monitoring system for the purchasing function"/>
    <s v="Engage mid-long term technical assistance on strategic purchasing"/>
    <s v="Technical Assistant"/>
    <n v="42924000"/>
    <m/>
    <m/>
    <n v="0"/>
    <m/>
    <m/>
    <n v="0"/>
    <n v="1"/>
    <n v="1"/>
    <n v="56070274.844428837"/>
    <n v="0"/>
    <n v="0"/>
    <n v="0"/>
    <n v="1"/>
    <n v="1"/>
    <n v="73242841.327224612"/>
    <n v="0"/>
    <n v="0"/>
    <n v="0"/>
    <n v="0"/>
    <n v="0"/>
    <n v="0"/>
    <n v="0"/>
    <n v="0"/>
    <n v="0"/>
    <n v="129313116.17165345"/>
    <n v="125546.71472976063"/>
  </r>
  <r>
    <s v="4.3.4.1"/>
    <x v="3"/>
    <x v="3"/>
    <x v="0"/>
    <x v="12"/>
    <n v="2"/>
    <x v="64"/>
    <x v="64"/>
    <s v="Undertake capacity needs assessment for implementing HFS across these dimensions: financing, staffing, leadership, technical skills, and key ministries "/>
    <s v="Develop concept note"/>
    <s v="zero cost"/>
    <n v="0"/>
    <n v="0"/>
    <n v="0"/>
    <n v="0"/>
    <n v="0"/>
    <n v="0"/>
    <n v="0"/>
    <n v="0"/>
    <n v="0"/>
    <n v="0"/>
    <n v="0"/>
    <n v="0"/>
    <n v="0"/>
    <n v="0"/>
    <n v="0"/>
    <n v="0"/>
    <n v="0"/>
    <n v="0"/>
    <n v="0"/>
    <n v="0"/>
    <n v="0"/>
    <n v="0"/>
    <n v="0"/>
    <n v="0"/>
    <n v="0"/>
    <n v="0"/>
    <n v="0"/>
  </r>
  <r>
    <s v="4.3.4.1"/>
    <x v="3"/>
    <x v="3"/>
    <x v="0"/>
    <x v="12"/>
    <n v="2"/>
    <x v="64"/>
    <x v="64"/>
    <s v="Undertake capacity needs assessment for implementing HFS across these dimensions: financing, staffing, leadership, technical skills, and key ministries "/>
    <s v="develop TORs to recruit a consultant in capacity building"/>
    <s v="zero cost"/>
    <n v="0"/>
    <n v="0"/>
    <n v="0"/>
    <n v="0"/>
    <n v="0"/>
    <n v="0"/>
    <n v="0"/>
    <n v="0"/>
    <n v="0"/>
    <n v="0"/>
    <n v="0"/>
    <n v="0"/>
    <n v="0"/>
    <n v="0"/>
    <n v="0"/>
    <n v="0"/>
    <n v="0"/>
    <n v="0"/>
    <n v="0"/>
    <n v="0"/>
    <n v="0"/>
    <n v="0"/>
    <n v="0"/>
    <n v="0"/>
    <n v="0"/>
    <n v="0"/>
    <n v="0"/>
  </r>
  <r>
    <s v="4.3.4.1"/>
    <x v="3"/>
    <x v="3"/>
    <x v="0"/>
    <x v="12"/>
    <n v="2"/>
    <x v="64"/>
    <x v="64"/>
    <s v="Undertake capacity needs assessment for implementing HFS across these dimensions: financing, staffing, leadership, technical skills, and key ministries "/>
    <s v="Recruitment of a consultant"/>
    <s v="Newspaper advert (full)"/>
    <n v="391991.03749999998"/>
    <m/>
    <m/>
    <n v="0"/>
    <n v="2"/>
    <n v="2"/>
    <n v="1792059.3063746723"/>
    <n v="2"/>
    <n v="2"/>
    <n v="2048182.3883307995"/>
    <n v="2"/>
    <n v="2"/>
    <n v="2340910.8621271173"/>
    <n v="2"/>
    <n v="2"/>
    <n v="2675476.4105215403"/>
    <n v="2"/>
    <n v="2"/>
    <n v="3057858.4341109009"/>
    <n v="2"/>
    <n v="2"/>
    <n v="3494890.915984733"/>
    <n v="2"/>
    <n v="2"/>
    <n v="3994384.5595926056"/>
    <n v="19403762.877042368"/>
    <n v="18838.60473499259"/>
  </r>
  <r>
    <s v="4.3.4.1"/>
    <x v="3"/>
    <x v="3"/>
    <x v="0"/>
    <x v="12"/>
    <n v="2"/>
    <x v="64"/>
    <x v="64"/>
    <s v="Undertake capacity needs assessment for implementing HFS across these dimensions: financing, staffing, leadership, technical skills, and key ministries "/>
    <s v="Recruitment of a consultant"/>
    <s v="Local consultant fee - High level"/>
    <n v="511000"/>
    <m/>
    <m/>
    <n v="0"/>
    <n v="1"/>
    <n v="25"/>
    <n v="14600817.014174998"/>
    <n v="1"/>
    <n v="25"/>
    <n v="16687581.798937155"/>
    <n v="1"/>
    <n v="25"/>
    <n v="19072589.295918483"/>
    <n v="1"/>
    <n v="25"/>
    <n v="21798464.680721607"/>
    <n v="1"/>
    <n v="25"/>
    <n v="24913925.165806092"/>
    <n v="1"/>
    <n v="25"/>
    <n v="28474650.681079004"/>
    <n v="1"/>
    <n v="25"/>
    <n v="32544278.993110616"/>
    <n v="158092307.62974796"/>
    <n v="153487.6773104349"/>
  </r>
  <r>
    <s v="4.3.4.1"/>
    <x v="3"/>
    <x v="3"/>
    <x v="0"/>
    <x v="12"/>
    <n v="2"/>
    <x v="64"/>
    <x v="64"/>
    <s v="Undertake capacity needs assessment for implementing HFS across these dimensions: financing, staffing, leadership, technical skills, and key ministries "/>
    <s v="Conduct a needs assessment workshop in all key ministries "/>
    <s v="Conference package high-level"/>
    <n v="35000"/>
    <m/>
    <m/>
    <n v="0"/>
    <n v="150"/>
    <n v="3"/>
    <n v="18001007.277749997"/>
    <n v="150"/>
    <n v="3"/>
    <n v="20573730.984991007"/>
    <n v="150"/>
    <n v="3"/>
    <n v="23514151.186748818"/>
    <n v="150"/>
    <n v="3"/>
    <n v="26874819.469382808"/>
    <n v="150"/>
    <n v="3"/>
    <n v="30715798.149623945"/>
    <n v="150"/>
    <n v="3"/>
    <n v="35105733.716398776"/>
    <n v="150"/>
    <n v="3"/>
    <n v="40123083.690136373"/>
    <n v="194908324.47503173"/>
    <n v="189231.3829854677"/>
  </r>
  <r>
    <s v="4.3.4.1"/>
    <x v="3"/>
    <x v="3"/>
    <x v="0"/>
    <x v="12"/>
    <n v="2"/>
    <x v="64"/>
    <x v="64"/>
    <s v="Undertake capacity needs assessment for implementing HFS across these dimensions: financing, staffing, leadership, technical skills, and key ministries "/>
    <s v="Conduct a needs assessment workshop in all key ministries "/>
    <s v="DSA (excl. lunch)"/>
    <n v="39000"/>
    <m/>
    <m/>
    <n v="0"/>
    <n v="150"/>
    <n v="3"/>
    <n v="20058265.252349999"/>
    <n v="150"/>
    <n v="3"/>
    <n v="22925014.526132841"/>
    <n v="150"/>
    <n v="3"/>
    <n v="26201482.750948675"/>
    <n v="150"/>
    <n v="3"/>
    <n v="29946227.408740841"/>
    <n v="150"/>
    <n v="3"/>
    <n v="34226175.081009544"/>
    <n v="150"/>
    <n v="3"/>
    <n v="39117817.569701493"/>
    <n v="150"/>
    <n v="3"/>
    <n v="44708578.969009094"/>
    <n v="217183561.5578925"/>
    <n v="210857.82675523544"/>
  </r>
  <r>
    <s v="4.3.4.1"/>
    <x v="3"/>
    <x v="3"/>
    <x v="0"/>
    <x v="12"/>
    <n v="2"/>
    <x v="64"/>
    <x v="64"/>
    <s v="Undertake capacity needs assessment for implementing HFS across these dimensions: financing, staffing, leadership, technical skills, and key ministries "/>
    <s v="Conduct a needs assessment workshop in all key ministries "/>
    <s v="Local running (diesel, per km)"/>
    <n v="211.42857142857142"/>
    <m/>
    <m/>
    <n v="0"/>
    <n v="3750"/>
    <n v="2"/>
    <n v="1812346.3109571426"/>
    <n v="3750"/>
    <n v="2"/>
    <n v="2071368.8338630404"/>
    <n v="3750"/>
    <n v="2"/>
    <n v="2367411.1398903565"/>
    <n v="3750"/>
    <n v="2"/>
    <n v="2705764.1370535064"/>
    <n v="3750"/>
    <n v="2"/>
    <n v="3092474.9157444523"/>
    <n v="3750"/>
    <n v="2"/>
    <n v="3534454.8231476313"/>
    <n v="3750"/>
    <n v="2"/>
    <n v="4039602.9837688315"/>
    <n v="19623423.14442496"/>
    <n v="19051.867130509669"/>
  </r>
  <r>
    <s v="4.3.4.1"/>
    <x v="3"/>
    <x v="3"/>
    <x v="0"/>
    <x v="12"/>
    <n v="2"/>
    <x v="64"/>
    <x v="64"/>
    <s v="Undertake capacity needs assessment for implementing HFS across these dimensions: financing, staffing, leadership, technical skills, and key ministries "/>
    <s v="Conduct a needs assessment workshop in all key ministries "/>
    <s v="Fuel for Travelling participants"/>
    <n v="211.42857142857142"/>
    <m/>
    <m/>
    <n v="0"/>
    <n v="3750"/>
    <n v="1"/>
    <n v="906173.15547857131"/>
    <n v="3750"/>
    <n v="1"/>
    <n v="1035684.4169315202"/>
    <n v="3750"/>
    <n v="1"/>
    <n v="1183705.5699451782"/>
    <n v="3750"/>
    <n v="1"/>
    <n v="1352882.0685267532"/>
    <n v="3750"/>
    <n v="1"/>
    <n v="1546237.4578722261"/>
    <n v="3750"/>
    <n v="1"/>
    <n v="1767227.4115738156"/>
    <n v="3750"/>
    <n v="1"/>
    <n v="2019801.4918844157"/>
    <n v="9811711.57221248"/>
    <n v="9525.9335652548343"/>
  </r>
  <r>
    <s v="4.3.4.1"/>
    <x v="3"/>
    <x v="3"/>
    <x v="0"/>
    <x v="12"/>
    <n v="2"/>
    <x v="64"/>
    <x v="64"/>
    <s v="Undertake capacity needs assessment for implementing HFS across these dimensions: financing, staffing, leadership, technical skills, and key ministries "/>
    <s v="Development of a needs assessment report "/>
    <s v="DSA (excl. lunch)"/>
    <n v="39000"/>
    <m/>
    <m/>
    <n v="0"/>
    <n v="15"/>
    <n v="5"/>
    <n v="3343044.2087249993"/>
    <n v="15"/>
    <n v="5"/>
    <n v="3820835.7543554734"/>
    <n v="15"/>
    <n v="5"/>
    <n v="4366913.7918247795"/>
    <n v="15"/>
    <n v="5"/>
    <n v="4991037.9014568068"/>
    <n v="15"/>
    <n v="5"/>
    <n v="5704362.5135015901"/>
    <n v="15"/>
    <n v="5"/>
    <n v="6519636.2616169155"/>
    <n v="15"/>
    <n v="5"/>
    <n v="7451429.8281681826"/>
    <n v="36197260.259648748"/>
    <n v="35142.971125872573"/>
  </r>
  <r>
    <s v="4.3.4.1"/>
    <x v="3"/>
    <x v="3"/>
    <x v="0"/>
    <x v="12"/>
    <n v="2"/>
    <x v="64"/>
    <x v="64"/>
    <s v="Undertake capacity needs assessment for implementing HFS across these dimensions: financing, staffing, leadership, technical skills, and key ministries "/>
    <s v="Development of a needs assessment report "/>
    <s v="Conference package high-level"/>
    <n v="35000"/>
    <m/>
    <m/>
    <n v="0"/>
    <n v="15"/>
    <n v="5"/>
    <n v="3000167.8796249996"/>
    <n v="15"/>
    <n v="5"/>
    <n v="3428955.1641651681"/>
    <n v="15"/>
    <n v="5"/>
    <n v="3919025.1977914693"/>
    <n v="15"/>
    <n v="5"/>
    <n v="4479136.5782304676"/>
    <n v="15"/>
    <n v="5"/>
    <n v="5119299.6916039912"/>
    <n v="15"/>
    <n v="5"/>
    <n v="5850955.6193997953"/>
    <n v="15"/>
    <n v="5"/>
    <n v="6687180.6150227282"/>
    <n v="32484720.74583862"/>
    <n v="31538.56383091128"/>
  </r>
  <r>
    <s v="4.3.4.1"/>
    <x v="3"/>
    <x v="3"/>
    <x v="0"/>
    <x v="12"/>
    <n v="2"/>
    <x v="64"/>
    <x v="64"/>
    <s v="Undertake capacity needs assessment for implementing HFS across these dimensions: financing, staffing, leadership, technical skills, and key ministries "/>
    <s v="Development of a needs assessment report "/>
    <s v="Local running (diesel, per km)"/>
    <n v="211.42857142857142"/>
    <m/>
    <m/>
    <n v="0"/>
    <n v="350"/>
    <n v="5"/>
    <n v="422880.80588999996"/>
    <n v="350"/>
    <n v="5"/>
    <n v="483319.39456804277"/>
    <n v="350"/>
    <n v="5"/>
    <n v="552395.93264108314"/>
    <n v="350"/>
    <n v="5"/>
    <n v="631344.96531248488"/>
    <n v="350"/>
    <n v="5"/>
    <n v="721577.48034037207"/>
    <n v="350"/>
    <n v="5"/>
    <n v="824706.125401114"/>
    <n v="350"/>
    <n v="5"/>
    <n v="942574.0295460606"/>
    <n v="4578798.7336991578"/>
    <n v="4445.4356637855899"/>
  </r>
  <r>
    <s v="4.3.4.1"/>
    <x v="3"/>
    <x v="3"/>
    <x v="0"/>
    <x v="12"/>
    <n v="2"/>
    <x v="64"/>
    <x v="64"/>
    <s v="Undertake capacity needs assessment for implementing HFS across these dimensions: financing, staffing, leadership, technical skills, and key ministries "/>
    <s v="Development of a needs assessment report "/>
    <s v="Fuel for Travelling participants"/>
    <n v="211.42857142857142"/>
    <m/>
    <m/>
    <n v="0"/>
    <n v="1890"/>
    <n v="1"/>
    <n v="456711.27036119992"/>
    <n v="1890"/>
    <n v="1"/>
    <n v="521984.94613348623"/>
    <n v="1890"/>
    <n v="1"/>
    <n v="596587.60725236987"/>
    <n v="1890"/>
    <n v="1"/>
    <n v="681852.56253748364"/>
    <n v="1890"/>
    <n v="1"/>
    <n v="779303.67876760196"/>
    <n v="1890"/>
    <n v="1"/>
    <n v="890682.61543320306"/>
    <n v="1890"/>
    <n v="1"/>
    <n v="1017979.9519097456"/>
    <n v="4945102.6323950905"/>
    <n v="4801.0705168884379"/>
  </r>
  <r>
    <s v="4.3.4.1"/>
    <x v="3"/>
    <x v="3"/>
    <x v="0"/>
    <x v="12"/>
    <n v="2"/>
    <x v="64"/>
    <x v="64"/>
    <s v="Undertake capacity needs assessment for implementing HFS across these dimensions: financing, staffing, leadership, technical skills, and key ministries "/>
    <s v="Validation workshop "/>
    <s v="DSA (excl. lunch)"/>
    <n v="39000"/>
    <m/>
    <m/>
    <n v="0"/>
    <n v="40"/>
    <n v="6"/>
    <n v="10697741.467919998"/>
    <n v="40"/>
    <n v="6"/>
    <n v="12226674.413937515"/>
    <n v="40"/>
    <n v="6"/>
    <n v="13974124.133839294"/>
    <n v="40"/>
    <n v="6"/>
    <n v="15971321.284661781"/>
    <n v="40"/>
    <n v="6"/>
    <n v="18253960.04320509"/>
    <n v="40"/>
    <n v="6"/>
    <n v="20862836.037174128"/>
    <n v="40"/>
    <n v="6"/>
    <n v="23844575.450138185"/>
    <n v="115831232.83087599"/>
    <n v="112457.50760279223"/>
  </r>
  <r>
    <s v="4.3.4.1"/>
    <x v="3"/>
    <x v="3"/>
    <x v="0"/>
    <x v="12"/>
    <n v="2"/>
    <x v="64"/>
    <x v="64"/>
    <s v="Undertake capacity needs assessment for implementing HFS across these dimensions: financing, staffing, leadership, technical skills, and key ministries "/>
    <s v="Validation workshop "/>
    <s v="Conference package high-level"/>
    <n v="35000"/>
    <m/>
    <m/>
    <n v="0"/>
    <n v="40"/>
    <n v="5"/>
    <n v="8000447.6789999986"/>
    <n v="40"/>
    <n v="5"/>
    <n v="9143880.4377737809"/>
    <n v="40"/>
    <n v="5"/>
    <n v="10450733.860777251"/>
    <n v="40"/>
    <n v="5"/>
    <n v="11944364.20861458"/>
    <n v="40"/>
    <n v="5"/>
    <n v="13651465.844277311"/>
    <n v="40"/>
    <n v="5"/>
    <n v="15602548.318399454"/>
    <n v="40"/>
    <n v="5"/>
    <n v="17832481.640060611"/>
    <n v="86625921.988902986"/>
    <n v="84102.836882430085"/>
  </r>
  <r>
    <s v="4.3.4.1"/>
    <x v="3"/>
    <x v="3"/>
    <x v="0"/>
    <x v="12"/>
    <n v="2"/>
    <x v="64"/>
    <x v="64"/>
    <s v="Undertake capacity needs assessment for implementing HFS across these dimensions: financing, staffing, leadership, technical skills, and key ministries "/>
    <s v="Validation workshop "/>
    <s v="DSA (excl. lunch)"/>
    <n v="39000"/>
    <m/>
    <m/>
    <n v="0"/>
    <n v="40"/>
    <n v="5"/>
    <n v="8914784.5565999988"/>
    <n v="40"/>
    <n v="5"/>
    <n v="10188895.344947929"/>
    <n v="40"/>
    <n v="5"/>
    <n v="11645103.44486608"/>
    <n v="40"/>
    <n v="5"/>
    <n v="13309434.403884819"/>
    <n v="40"/>
    <n v="5"/>
    <n v="15211633.369337577"/>
    <n v="40"/>
    <n v="5"/>
    <n v="17385696.697645109"/>
    <n v="40"/>
    <n v="5"/>
    <n v="19870479.54178182"/>
    <n v="96526027.359063327"/>
    <n v="93714.589668993518"/>
  </r>
  <r>
    <s v="4.3.4.1"/>
    <x v="3"/>
    <x v="3"/>
    <x v="0"/>
    <x v="12"/>
    <n v="2"/>
    <x v="64"/>
    <x v="64"/>
    <s v="Undertake capacity needs assessment for implementing HFS across these dimensions: financing, staffing, leadership, technical skills, and key ministries "/>
    <s v="Validation workshop "/>
    <s v="Fuel for Travelling participants"/>
    <n v="211.42857142857142"/>
    <m/>
    <m/>
    <n v="0"/>
    <n v="4050"/>
    <n v="5"/>
    <n v="4893335.0395842846"/>
    <n v="4050"/>
    <n v="5"/>
    <n v="5592695.8514302094"/>
    <n v="4050"/>
    <n v="5"/>
    <n v="6392010.077703963"/>
    <n v="4050"/>
    <n v="5"/>
    <n v="7305563.1700444678"/>
    <n v="4050"/>
    <n v="5"/>
    <n v="8349682.272510021"/>
    <n v="4050"/>
    <n v="5"/>
    <n v="9543028.0224986039"/>
    <n v="4050"/>
    <n v="5"/>
    <n v="10906928.056175843"/>
    <n v="52983242.489947394"/>
    <n v="51440.041252376112"/>
  </r>
  <r>
    <s v="4.3.4.1"/>
    <x v="3"/>
    <x v="3"/>
    <x v="0"/>
    <x v="12"/>
    <n v="2"/>
    <x v="64"/>
    <x v="64"/>
    <s v="Undertake capacity needs assessment for implementing HFS across these dimensions: financing, staffing, leadership, technical skills, and key ministries "/>
    <s v="Conduct training of focal persons "/>
    <s v="Conference package high-level"/>
    <n v="35000"/>
    <m/>
    <m/>
    <n v="0"/>
    <n v="20"/>
    <n v="5"/>
    <n v="4000223.8394999993"/>
    <n v="20"/>
    <n v="5"/>
    <n v="4571940.2188868904"/>
    <n v="20"/>
    <n v="5"/>
    <n v="5225366.9303886257"/>
    <n v="20"/>
    <n v="5"/>
    <n v="5972182.1043072902"/>
    <n v="20"/>
    <n v="5"/>
    <n v="6825732.9221386556"/>
    <n v="20"/>
    <n v="5"/>
    <n v="7801274.1591997268"/>
    <n v="20"/>
    <n v="5"/>
    <n v="8916240.8200303055"/>
    <n v="43312960.994451493"/>
    <n v="42051.418441215043"/>
  </r>
  <r>
    <s v="4.3.4.1"/>
    <x v="3"/>
    <x v="3"/>
    <x v="0"/>
    <x v="12"/>
    <n v="2"/>
    <x v="64"/>
    <x v="64"/>
    <s v="Undertake capacity needs assessment for implementing HFS across these dimensions: financing, staffing, leadership, technical skills, and key ministries "/>
    <s v="Conduct training of focal persons "/>
    <s v="DSA (excl. lunch)"/>
    <n v="39000"/>
    <m/>
    <m/>
    <n v="0"/>
    <n v="25"/>
    <n v="5"/>
    <n v="5571740.347874999"/>
    <n v="25"/>
    <n v="5"/>
    <n v="6368059.5905924551"/>
    <n v="25"/>
    <n v="5"/>
    <n v="7278189.6530412994"/>
    <n v="25"/>
    <n v="5"/>
    <n v="8318396.502428012"/>
    <n v="25"/>
    <n v="5"/>
    <n v="9507270.8558359854"/>
    <n v="25"/>
    <n v="5"/>
    <n v="10866060.436028194"/>
    <n v="25"/>
    <n v="5"/>
    <n v="12419049.713613637"/>
    <n v="60328767.09941458"/>
    <n v="58571.618543120952"/>
  </r>
  <r>
    <s v="4.3.4.1"/>
    <x v="3"/>
    <x v="3"/>
    <x v="0"/>
    <x v="12"/>
    <n v="2"/>
    <x v="64"/>
    <x v="64"/>
    <s v="Undertake capacity needs assessment for implementing HFS across these dimensions: financing, staffing, leadership, technical skills, and key ministries "/>
    <s v="Conduct training of focal persons "/>
    <s v="Local running (diesel, per km)"/>
    <n v="211.42857142857142"/>
    <m/>
    <m/>
    <n v="0"/>
    <n v="450"/>
    <n v="5"/>
    <n v="543703.89328714274"/>
    <n v="450"/>
    <n v="5"/>
    <n v="621410.65015891218"/>
    <n v="450"/>
    <n v="5"/>
    <n v="710223.34196710703"/>
    <n v="450"/>
    <n v="5"/>
    <n v="811729.24111605203"/>
    <n v="450"/>
    <n v="5"/>
    <n v="927742.47472333559"/>
    <n v="450"/>
    <n v="5"/>
    <n v="1060336.4469442894"/>
    <n v="450"/>
    <n v="5"/>
    <n v="1211880.8951306494"/>
    <n v="5887026.9433274884"/>
    <n v="5715.5601391529017"/>
  </r>
  <r>
    <s v="4.3.4.1"/>
    <x v="3"/>
    <x v="3"/>
    <x v="0"/>
    <x v="12"/>
    <n v="2"/>
    <x v="64"/>
    <x v="64"/>
    <s v="Undertake capacity needs assessment for implementing HFS across these dimensions: financing, staffing, leadership, technical skills, and key ministries "/>
    <s v="Conduct training of focal persons "/>
    <s v="Fuel for Travelling participants"/>
    <n v="211.42857142857142"/>
    <m/>
    <m/>
    <n v="0"/>
    <n v="2430"/>
    <n v="1"/>
    <n v="587200.20475011424"/>
    <n v="2430"/>
    <n v="1"/>
    <n v="671123.50217162515"/>
    <n v="2430"/>
    <n v="1"/>
    <n v="767041.20932447549"/>
    <n v="2430"/>
    <n v="1"/>
    <n v="876667.58040533611"/>
    <n v="2430"/>
    <n v="1"/>
    <n v="1001961.8727012025"/>
    <n v="2430"/>
    <n v="1"/>
    <n v="1145163.3626998325"/>
    <n v="2430"/>
    <n v="1"/>
    <n v="1308831.3667411015"/>
    <n v="6357989.0987936873"/>
    <n v="6172.8049502851336"/>
  </r>
  <r>
    <s v="4.3.4.1"/>
    <x v="3"/>
    <x v="3"/>
    <x v="0"/>
    <x v="12"/>
    <n v="3"/>
    <x v="65"/>
    <x v="65"/>
    <s v="Advocate for capacity of Health Financing Division"/>
    <s v="Staffing: Increasing number of staff working at national level health financing division"/>
    <s v="zero cost"/>
    <n v="0"/>
    <n v="2"/>
    <n v="2"/>
    <n v="0"/>
    <n v="0"/>
    <n v="0"/>
    <n v="0"/>
    <n v="0"/>
    <n v="0"/>
    <n v="0"/>
    <n v="0"/>
    <n v="0"/>
    <n v="0"/>
    <n v="0"/>
    <n v="0"/>
    <n v="0"/>
    <n v="0"/>
    <n v="0"/>
    <n v="0"/>
    <n v="0"/>
    <n v="0"/>
    <n v="0"/>
    <n v="0"/>
    <n v="0"/>
    <n v="0"/>
    <n v="0"/>
    <n v="0"/>
  </r>
  <r>
    <s v="4.3.4.1"/>
    <x v="3"/>
    <x v="3"/>
    <x v="0"/>
    <x v="12"/>
    <n v="3"/>
    <x v="65"/>
    <x v="65"/>
    <s v="Advocate for capacity of Health Financing Division"/>
    <s v="recruit 1 principal economist"/>
    <s v="zero cost"/>
    <n v="0"/>
    <n v="1"/>
    <n v="1"/>
    <n v="0"/>
    <n v="0"/>
    <n v="0"/>
    <n v="0"/>
    <n v="0"/>
    <n v="0"/>
    <n v="0"/>
    <n v="0"/>
    <n v="0"/>
    <n v="0"/>
    <n v="0"/>
    <n v="0"/>
    <n v="0"/>
    <n v="0"/>
    <n v="0"/>
    <n v="0"/>
    <n v="0"/>
    <n v="0"/>
    <n v="0"/>
    <n v="0"/>
    <n v="0"/>
    <n v="0"/>
    <n v="0"/>
    <n v="0"/>
  </r>
  <r>
    <s v="4.3.4.1"/>
    <x v="3"/>
    <x v="3"/>
    <x v="0"/>
    <x v="12"/>
    <n v="3"/>
    <x v="65"/>
    <x v="65"/>
    <s v="Advocate for capacity of Health Financing Division"/>
    <s v="recruit 4  economists"/>
    <s v="zero cost"/>
    <n v="0"/>
    <n v="4"/>
    <n v="1"/>
    <n v="0"/>
    <n v="0"/>
    <n v="0"/>
    <n v="0"/>
    <n v="0"/>
    <n v="0"/>
    <n v="0"/>
    <n v="0"/>
    <n v="0"/>
    <n v="0"/>
    <n v="0"/>
    <n v="0"/>
    <n v="0"/>
    <n v="0"/>
    <n v="0"/>
    <n v="0"/>
    <n v="0"/>
    <n v="0"/>
    <n v="0"/>
    <n v="0"/>
    <n v="0"/>
    <n v="0"/>
    <n v="0"/>
    <n v="0"/>
  </r>
  <r>
    <s v="4.3.4.1"/>
    <x v="3"/>
    <x v="3"/>
    <x v="0"/>
    <x v="12"/>
    <n v="3"/>
    <x v="65"/>
    <x v="65"/>
    <s v="Advocate for capacity of Health Financing Division"/>
    <s v="Improve resource capacity across government institutions implementing HFS"/>
    <s v="Double Cab Vehicle"/>
    <n v="51100000"/>
    <m/>
    <m/>
    <n v="0"/>
    <n v="1"/>
    <n v="1"/>
    <n v="58403268.056699991"/>
    <m/>
    <m/>
    <n v="0"/>
    <m/>
    <m/>
    <n v="0"/>
    <n v="1"/>
    <n v="1"/>
    <n v="87193858.722886428"/>
    <n v="0"/>
    <n v="0"/>
    <n v="0"/>
    <n v="0"/>
    <n v="0"/>
    <n v="0"/>
    <n v="0"/>
    <n v="0"/>
    <n v="0"/>
    <n v="145597126.77958643"/>
    <n v="141356.43376658877"/>
  </r>
  <r>
    <s v="4.3.4.1"/>
    <x v="3"/>
    <x v="3"/>
    <x v="0"/>
    <x v="12"/>
    <n v="3"/>
    <x v="65"/>
    <x v="65"/>
    <s v="Build capacity of Health Financing Division"/>
    <s v="Improving staff technical skills"/>
    <s v="Masters scholarship"/>
    <n v="44100963"/>
    <m/>
    <m/>
    <n v="0"/>
    <m/>
    <m/>
    <n v="0"/>
    <n v="2"/>
    <n v="1"/>
    <n v="115215409.38933869"/>
    <n v="2"/>
    <n v="1"/>
    <n v="131682122.09056705"/>
    <n v="2"/>
    <n v="1"/>
    <n v="150502275.43503883"/>
    <n v="2"/>
    <n v="1"/>
    <n v="172012225.7412107"/>
    <n v="2"/>
    <n v="1"/>
    <n v="196596401.74155617"/>
    <n v="2"/>
    <n v="1"/>
    <n v="224694175.14471209"/>
    <n v="990702609.54242349"/>
    <n v="961847.19373050821"/>
  </r>
  <r>
    <s v="4.3.4.1"/>
    <x v="3"/>
    <x v="3"/>
    <x v="0"/>
    <x v="12"/>
    <n v="3"/>
    <x v="65"/>
    <x v="65"/>
    <s v="Build capacity of Health Financing Division"/>
    <s v="Improving staff technical skills"/>
    <s v="PhD scholarship"/>
    <n v="49001070"/>
    <m/>
    <m/>
    <n v="0"/>
    <m/>
    <m/>
    <n v="0"/>
    <n v="1"/>
    <n v="1"/>
    <n v="64008560.771854825"/>
    <n v="1"/>
    <n v="1"/>
    <n v="73156734.49475947"/>
    <n v="1"/>
    <n v="1"/>
    <n v="83612375.241688237"/>
    <n v="1"/>
    <n v="1"/>
    <n v="95562347.634005949"/>
    <n v="1"/>
    <n v="1"/>
    <n v="109220223.18975343"/>
    <n v="1"/>
    <n v="1"/>
    <n v="124830097.30261782"/>
    <n v="550390338.63467968"/>
    <n v="534359.55207250454"/>
  </r>
  <r>
    <s v="4.3.4.1"/>
    <x v="3"/>
    <x v="3"/>
    <x v="0"/>
    <x v="12"/>
    <n v="3"/>
    <x v="65"/>
    <x v="65"/>
    <s v="Develop integrated health financing work plan"/>
    <s v="2-day workshop inclusive of all stakeholders across government MDAs to develop health financing annual work plan"/>
    <s v="DSA (excl. lunch)"/>
    <n v="39000"/>
    <m/>
    <m/>
    <n v="0"/>
    <n v="40"/>
    <n v="2"/>
    <n v="3565913.8226399994"/>
    <n v="40"/>
    <n v="2"/>
    <n v="4075558.1379791717"/>
    <n v="40"/>
    <n v="2"/>
    <n v="4658041.3779464317"/>
    <n v="40"/>
    <n v="2"/>
    <n v="5323773.7615539273"/>
    <n v="40"/>
    <n v="2"/>
    <n v="6084653.3477350306"/>
    <n v="40"/>
    <n v="2"/>
    <n v="6954278.6790580433"/>
    <n v="40"/>
    <n v="2"/>
    <n v="7948191.8167127287"/>
    <n v="38610410.943625338"/>
    <n v="37485.835867597416"/>
  </r>
  <r>
    <s v="4.3.4.1"/>
    <x v="3"/>
    <x v="3"/>
    <x v="0"/>
    <x v="12"/>
    <n v="3"/>
    <x v="65"/>
    <x v="65"/>
    <s v="Develop integrated health financing work plan"/>
    <s v="2-day workshop inclusive of all stakeholders across government MDAs to develop health financing annual work plan"/>
    <s v="Conference package high-level"/>
    <n v="35000"/>
    <m/>
    <m/>
    <n v="0"/>
    <n v="40"/>
    <n v="2"/>
    <n v="3200179.0715999994"/>
    <n v="40"/>
    <n v="2"/>
    <n v="3657552.1751095126"/>
    <n v="40"/>
    <n v="2"/>
    <n v="4180293.5443109004"/>
    <n v="40"/>
    <n v="2"/>
    <n v="4777745.6834458318"/>
    <n v="40"/>
    <n v="2"/>
    <n v="5460586.3377109244"/>
    <n v="40"/>
    <n v="2"/>
    <n v="6241019.3273597816"/>
    <n v="40"/>
    <n v="2"/>
    <n v="7132992.6560242437"/>
    <n v="34650368.795561194"/>
    <n v="33641.134752972037"/>
  </r>
  <r>
    <s v="4.3.4.1"/>
    <x v="3"/>
    <x v="3"/>
    <x v="0"/>
    <x v="12"/>
    <n v="3"/>
    <x v="65"/>
    <x v="65"/>
    <s v="Develop integrated health financing work plan"/>
    <s v="2-day workshop inclusive of all stakeholders across government MDAs to develop health financing annual work plan"/>
    <s v="Local running (diesel, per km)"/>
    <n v="211.42857142857142"/>
    <m/>
    <m/>
    <n v="0"/>
    <n v="600"/>
    <n v="2"/>
    <n v="289975.4097531428"/>
    <n v="600"/>
    <n v="1"/>
    <n v="165709.50670904323"/>
    <n v="600"/>
    <n v="1"/>
    <n v="189392.89119122853"/>
    <n v="600"/>
    <n v="1"/>
    <n v="216461.13096428051"/>
    <n v="600"/>
    <n v="1"/>
    <n v="247397.99325955615"/>
    <n v="600"/>
    <n v="1"/>
    <n v="282756.38585181051"/>
    <n v="600"/>
    <n v="1"/>
    <n v="323168.23870150652"/>
    <n v="1714861.5564305682"/>
    <n v="1664.9141324568623"/>
  </r>
  <r>
    <s v="4.3.4.1"/>
    <x v="3"/>
    <x v="3"/>
    <x v="0"/>
    <x v="12"/>
    <n v="3"/>
    <x v="65"/>
    <x v="65"/>
    <s v="Develop integrated health financing work plan"/>
    <s v="2-day workshop inclusive of all stakeholders across government MDAs to develop health financing annual work plan"/>
    <s v="Fuel for travelling participants"/>
    <n v="211.42857142857142"/>
    <m/>
    <m/>
    <n v="0"/>
    <n v="3240"/>
    <n v="1"/>
    <n v="782933.60633348557"/>
    <n v="3240"/>
    <n v="1"/>
    <n v="894831.33622883353"/>
    <n v="3240"/>
    <n v="1"/>
    <n v="1022721.612432634"/>
    <n v="3240"/>
    <n v="1"/>
    <n v="1168890.1072071148"/>
    <n v="3240"/>
    <n v="0"/>
    <n v="0"/>
    <n v="3240"/>
    <n v="1"/>
    <n v="1526884.4835997769"/>
    <n v="3240"/>
    <n v="1"/>
    <n v="1745108.4889881352"/>
    <n v="7141369.6347899791"/>
    <n v="6933.3685774659989"/>
  </r>
  <r>
    <s v="4.3.4.1"/>
    <x v="3"/>
    <x v="3"/>
    <x v="0"/>
    <x v="12"/>
    <n v="3"/>
    <x v="65"/>
    <x v="65"/>
    <s v="Develop integrated health financing work plan"/>
    <s v="validation workshop"/>
    <s v="Conference package high-level"/>
    <n v="35000"/>
    <m/>
    <m/>
    <n v="0"/>
    <n v="40"/>
    <n v="1"/>
    <n v="1600089.5357999997"/>
    <n v="40"/>
    <n v="1"/>
    <n v="1828776.0875547563"/>
    <n v="40"/>
    <n v="1"/>
    <n v="2090146.7721554502"/>
    <n v="40"/>
    <n v="1"/>
    <n v="2388872.8417229159"/>
    <n v="0"/>
    <n v="0"/>
    <n v="0"/>
    <n v="0"/>
    <n v="0"/>
    <n v="0"/>
    <n v="0"/>
    <n v="0"/>
    <n v="0"/>
    <n v="7907885.2372331219"/>
    <n v="7677.5584827506036"/>
  </r>
  <r>
    <s v="4.3.4.1"/>
    <x v="3"/>
    <x v="3"/>
    <x v="0"/>
    <x v="12"/>
    <n v="3"/>
    <x v="65"/>
    <x v="65"/>
    <s v="Develop integrated health financing work plan"/>
    <s v="resource mobilization"/>
    <s v="zero cost"/>
    <n v="0"/>
    <m/>
    <m/>
    <n v="0"/>
    <n v="0"/>
    <n v="0"/>
    <n v="0"/>
    <n v="0"/>
    <n v="0"/>
    <n v="0"/>
    <n v="0"/>
    <n v="0"/>
    <n v="0"/>
    <n v="0"/>
    <n v="0"/>
    <n v="0"/>
    <n v="0"/>
    <n v="0"/>
    <n v="0"/>
    <n v="0"/>
    <n v="0"/>
    <n v="0"/>
    <n v="0"/>
    <n v="0"/>
    <n v="0"/>
    <n v="0"/>
    <n v="0"/>
  </r>
  <r>
    <s v="4.3.4.1"/>
    <x v="3"/>
    <x v="3"/>
    <x v="0"/>
    <x v="12"/>
    <n v="3"/>
    <x v="65"/>
    <x v="65"/>
    <s v="Develop integrated health financing work plan"/>
    <s v="implemmentation"/>
    <s v="zero cost"/>
    <n v="0"/>
    <m/>
    <m/>
    <n v="0"/>
    <n v="0"/>
    <n v="0"/>
    <n v="0"/>
    <n v="0"/>
    <n v="0"/>
    <n v="0"/>
    <n v="0"/>
    <n v="0"/>
    <n v="0"/>
    <n v="0"/>
    <n v="0"/>
    <n v="0"/>
    <n v="0"/>
    <n v="0"/>
    <n v="0"/>
    <n v="0"/>
    <n v="0"/>
    <n v="0"/>
    <n v="0"/>
    <n v="0"/>
    <n v="0"/>
    <n v="0"/>
    <n v="0"/>
  </r>
  <r>
    <s v="4.3.4.1"/>
    <x v="3"/>
    <x v="3"/>
    <x v="0"/>
    <x v="12"/>
    <n v="3"/>
    <x v="65"/>
    <x v="65"/>
    <s v="Enroll senior staff to professional mentorship programmes in management and health financing Leadership "/>
    <s v="Conduct short-term professional courses in management and leadership."/>
    <s v="short term training"/>
    <n v="10220000"/>
    <m/>
    <m/>
    <n v="0"/>
    <n v="1"/>
    <n v="1"/>
    <n v="11680653.611339999"/>
    <n v="1"/>
    <n v="1"/>
    <n v="13350065.439149722"/>
    <n v="1"/>
    <n v="1"/>
    <n v="15258071.436734786"/>
    <n v="1"/>
    <n v="1"/>
    <n v="17438771.744577289"/>
    <n v="1"/>
    <n v="1"/>
    <n v="19931140.132644873"/>
    <n v="1"/>
    <n v="1"/>
    <n v="22779720.544863205"/>
    <n v="1"/>
    <n v="1"/>
    <n v="26035423.194488492"/>
    <n v="126473846.10379837"/>
    <n v="122790.14184834794"/>
  </r>
  <r>
    <s v="4.3.4.1"/>
    <x v="3"/>
    <x v="3"/>
    <x v="0"/>
    <x v="12"/>
    <n v="3"/>
    <x v="65"/>
    <x v="65"/>
    <s v="Enroll senior staff to professional mentorship programmes in management and health financing Leadership "/>
    <s v="Conduct mentorship programmes in health financing for senior management"/>
    <s v="DSA (excl. lunch)"/>
    <n v="39000"/>
    <m/>
    <m/>
    <n v="0"/>
    <n v="10"/>
    <n v="2"/>
    <n v="891478.45565999986"/>
    <m/>
    <m/>
    <n v="0"/>
    <n v="10"/>
    <n v="2"/>
    <n v="1164510.3444866079"/>
    <m/>
    <m/>
    <n v="0"/>
    <n v="10"/>
    <n v="2"/>
    <n v="1521163.3369337576"/>
    <n v="0"/>
    <n v="0"/>
    <n v="0"/>
    <n v="10"/>
    <n v="2"/>
    <n v="1987047.9541781822"/>
    <n v="5564200.0912585473"/>
    <n v="5402.1360109306288"/>
  </r>
  <r>
    <s v="4.3.4.1"/>
    <x v="3"/>
    <x v="3"/>
    <x v="0"/>
    <x v="12"/>
    <n v="3"/>
    <x v="65"/>
    <x v="65"/>
    <s v="Enroll senior staff to professional mentorship programmes in management and health financing Leadership "/>
    <s v="Conduct mentorship programmes in health financing for senior management"/>
    <s v="Conference package high-level"/>
    <n v="35000"/>
    <m/>
    <m/>
    <n v="0"/>
    <n v="10"/>
    <n v="2"/>
    <n v="800044.76789999986"/>
    <n v="0"/>
    <n v="0"/>
    <n v="0"/>
    <n v="10"/>
    <n v="2"/>
    <n v="1045073.3860777251"/>
    <m/>
    <m/>
    <n v="0"/>
    <n v="10"/>
    <n v="2"/>
    <n v="1365146.5844277311"/>
    <n v="0"/>
    <n v="0"/>
    <n v="0"/>
    <n v="10"/>
    <n v="2"/>
    <n v="1783248.1640060609"/>
    <n v="4993512.9024115168"/>
    <n v="4848.0707790403076"/>
  </r>
  <r>
    <s v="4.3.4.1"/>
    <x v="3"/>
    <x v="3"/>
    <x v="0"/>
    <x v="12"/>
    <n v="3"/>
    <x v="65"/>
    <x v="65"/>
    <s v="Enroll senior staff to professional mentorship programmes in management and health financing Leadership "/>
    <s v="Conduct mentorship programmes in health financing for senior management"/>
    <s v="Local running (diesel, per km)"/>
    <n v="211.42857142857142"/>
    <m/>
    <m/>
    <n v="0"/>
    <n v="250"/>
    <n v="5"/>
    <n v="302057.71849285706"/>
    <n v="0"/>
    <n v="0"/>
    <n v="0"/>
    <n v="250"/>
    <n v="5"/>
    <n v="394568.52331505943"/>
    <m/>
    <n v="1"/>
    <n v="0"/>
    <n v="250"/>
    <n v="5"/>
    <n v="515412.48595740867"/>
    <n v="0"/>
    <n v="0"/>
    <n v="0"/>
    <n v="250"/>
    <n v="5"/>
    <n v="673267.16396147199"/>
    <n v="1885305.891726797"/>
    <n v="1830.3940696376669"/>
  </r>
  <r>
    <s v="4.3.4.1"/>
    <x v="3"/>
    <x v="3"/>
    <x v="0"/>
    <x v="12"/>
    <n v="3"/>
    <x v="65"/>
    <x v="65"/>
    <s v="Enroll senior staff to professional mentorship programmes in management and health financing Leadership "/>
    <s v="Conduct mentorship programmes in health financing for senior management"/>
    <s v="Fuel for travelling participants"/>
    <n v="211.42857142857142"/>
    <m/>
    <m/>
    <n v="0"/>
    <n v="1350"/>
    <n v="5"/>
    <n v="1631111.6798614282"/>
    <n v="0"/>
    <n v="0"/>
    <n v="0"/>
    <n v="1350"/>
    <n v="5"/>
    <n v="2130670.0259013209"/>
    <m/>
    <n v="1"/>
    <n v="0"/>
    <n v="1350"/>
    <n v="5"/>
    <n v="2783227.424170007"/>
    <n v="0"/>
    <n v="0"/>
    <n v="0"/>
    <n v="1350"/>
    <n v="5"/>
    <n v="3635642.6853919486"/>
    <n v="10180651.815324705"/>
    <n v="9884.1279760434027"/>
  </r>
  <r>
    <s v="4.3.4.1"/>
    <x v="3"/>
    <x v="3"/>
    <x v="0"/>
    <x v="12"/>
    <n v="3"/>
    <x v="65"/>
    <x v="65"/>
    <s v="identification of focal persons of the district level health financing "/>
    <s v="develop TORs for the district level focal persons"/>
    <s v="zero cost"/>
    <n v="0"/>
    <n v="0"/>
    <n v="0"/>
    <n v="0"/>
    <n v="0"/>
    <n v="0"/>
    <n v="0"/>
    <n v="0"/>
    <n v="0"/>
    <n v="0"/>
    <n v="0"/>
    <n v="0"/>
    <n v="0"/>
    <n v="0"/>
    <n v="0"/>
    <n v="0"/>
    <n v="0"/>
    <n v="0"/>
    <n v="0"/>
    <n v="0"/>
    <n v="0"/>
    <n v="0"/>
    <n v="0"/>
    <n v="0"/>
    <n v="0"/>
    <n v="0"/>
    <n v="0"/>
  </r>
  <r>
    <s v="4.3.4.1"/>
    <x v="3"/>
    <x v="3"/>
    <x v="0"/>
    <x v="12"/>
    <n v="3"/>
    <x v="65"/>
    <x v="65"/>
    <s v="identification of focal persons of the district level health financing "/>
    <s v="o   Write DHSS requesting them to identify/point the focal persons in MoH- Planning, DHRMD, EP&amp;D, MOF, NLGFC Districts (MDAs)"/>
    <s v="zero cost"/>
    <n v="0"/>
    <n v="0"/>
    <n v="0"/>
    <n v="0"/>
    <n v="0"/>
    <n v="0"/>
    <n v="0"/>
    <n v="0"/>
    <n v="0"/>
    <n v="0"/>
    <n v="0"/>
    <n v="0"/>
    <n v="0"/>
    <n v="0"/>
    <n v="0"/>
    <n v="0"/>
    <n v="0"/>
    <n v="0"/>
    <n v="0"/>
    <n v="0"/>
    <n v="0"/>
    <n v="0"/>
    <n v="0"/>
    <n v="0"/>
    <n v="0"/>
    <n v="0"/>
    <n v="0"/>
  </r>
  <r>
    <s v="4.3.4.1"/>
    <x v="3"/>
    <x v="3"/>
    <x v="0"/>
    <x v="12"/>
    <n v="3"/>
    <x v="65"/>
    <x v="65"/>
    <s v="identification of focal persons of the district level health financing "/>
    <s v="engage the focal persons"/>
    <s v="zero cost"/>
    <n v="0"/>
    <n v="0"/>
    <n v="0"/>
    <n v="0"/>
    <n v="0"/>
    <n v="0"/>
    <n v="0"/>
    <n v="0"/>
    <n v="0"/>
    <n v="0"/>
    <n v="0"/>
    <n v="0"/>
    <n v="0"/>
    <n v="0"/>
    <n v="0"/>
    <n v="0"/>
    <n v="0"/>
    <n v="0"/>
    <n v="0"/>
    <n v="0"/>
    <n v="0"/>
    <n v="0"/>
    <n v="0"/>
    <n v="0"/>
    <n v="0"/>
    <n v="0"/>
    <n v="0"/>
  </r>
  <r>
    <s v="4.3.4.1"/>
    <x v="3"/>
    <x v="3"/>
    <x v="0"/>
    <x v="12"/>
    <n v="3"/>
    <x v="65"/>
    <x v="65"/>
    <s v="Train focal persons in basic health financing issues"/>
    <s v="develop training materials"/>
    <s v="zero cost"/>
    <n v="0"/>
    <n v="0"/>
    <n v="0"/>
    <n v="0"/>
    <n v="0"/>
    <n v="0"/>
    <n v="0"/>
    <n v="0"/>
    <n v="0"/>
    <n v="0"/>
    <n v="0"/>
    <n v="0"/>
    <n v="0"/>
    <n v="0"/>
    <n v="0"/>
    <n v="0"/>
    <n v="0"/>
    <n v="0"/>
    <n v="0"/>
    <n v="0"/>
    <n v="0"/>
    <n v="0"/>
    <n v="0"/>
    <n v="0"/>
    <n v="0"/>
    <n v="0"/>
    <n v="0"/>
  </r>
  <r>
    <s v="4.3.4.1"/>
    <x v="3"/>
    <x v="3"/>
    <x v="0"/>
    <x v="12"/>
    <n v="3"/>
    <x v="65"/>
    <x v="65"/>
    <s v="Train focal persons in basic health financing issues"/>
    <s v="develop training materials"/>
    <s v="Conference package high-level"/>
    <n v="35000"/>
    <n v="60"/>
    <n v="5"/>
    <n v="10500000"/>
    <n v="60"/>
    <n v="5"/>
    <n v="12000671.518499998"/>
    <n v="60"/>
    <n v="5"/>
    <n v="13715820.656660672"/>
    <n v="60"/>
    <n v="5"/>
    <n v="15676100.791165877"/>
    <n v="60"/>
    <n v="5"/>
    <n v="17916546.31292187"/>
    <n v="60"/>
    <n v="5"/>
    <n v="20477198.766415965"/>
    <n v="60"/>
    <n v="5"/>
    <n v="23403822.477599181"/>
    <n v="60"/>
    <n v="5"/>
    <n v="26748722.460090913"/>
    <n v="140438882.98335448"/>
    <n v="136348.43008092669"/>
  </r>
  <r>
    <s v="4.3.4.1"/>
    <x v="3"/>
    <x v="3"/>
    <x v="0"/>
    <x v="12"/>
    <n v="3"/>
    <x v="65"/>
    <x v="65"/>
    <s v="Train focal persons in basic health financing issues"/>
    <s v="conduct training"/>
    <s v="DSA (excl. lunch)"/>
    <n v="39000"/>
    <n v="60"/>
    <n v="6"/>
    <n v="14040000"/>
    <n v="60"/>
    <n v="6"/>
    <n v="16046612.201879997"/>
    <n v="60"/>
    <n v="6"/>
    <n v="18340011.620906271"/>
    <n v="60"/>
    <n v="6"/>
    <n v="20961186.200758941"/>
    <n v="60"/>
    <n v="6"/>
    <n v="23956981.92699267"/>
    <n v="60"/>
    <n v="6"/>
    <n v="27380940.064807635"/>
    <n v="60"/>
    <n v="6"/>
    <n v="31294254.055761192"/>
    <n v="60"/>
    <n v="6"/>
    <n v="35766863.17520728"/>
    <n v="187786849.24631399"/>
    <n v="182317.32936535339"/>
  </r>
  <r>
    <s v="4.3.4.1"/>
    <x v="3"/>
    <x v="3"/>
    <x v="0"/>
    <x v="12"/>
    <n v="3"/>
    <x v="65"/>
    <x v="65"/>
    <s v="Train focal persons in basic health financing issues"/>
    <s v="conduct training"/>
    <s v="Local running (diesel, per km)"/>
    <n v="211.42857142857142"/>
    <n v="1250"/>
    <n v="5"/>
    <n v="1321428.5714285714"/>
    <n v="1250"/>
    <n v="5"/>
    <n v="1510288.5924642857"/>
    <n v="1250"/>
    <n v="5"/>
    <n v="1726140.6948858672"/>
    <n v="1250"/>
    <n v="5"/>
    <n v="1972842.6165752972"/>
    <n v="1250"/>
    <n v="5"/>
    <n v="2254803.4475445887"/>
    <n v="1250"/>
    <n v="5"/>
    <n v="2577062.4297870435"/>
    <n v="1250"/>
    <n v="5"/>
    <n v="2945379.0192896929"/>
    <n v="1250"/>
    <n v="5"/>
    <n v="3366335.8198073595"/>
    <n v="17674281.191782705"/>
    <n v="17159.496302701657"/>
  </r>
  <r>
    <s v="4.3.4.1"/>
    <x v="3"/>
    <x v="3"/>
    <x v="0"/>
    <x v="12"/>
    <n v="3"/>
    <x v="65"/>
    <x v="65"/>
    <s v="Train focal persons in basic health financing issues"/>
    <s v="conduct training"/>
    <s v="Fuel for travelling participants"/>
    <n v="211.42857142857142"/>
    <n v="6750"/>
    <n v="1"/>
    <n v="1427142.857142857"/>
    <n v="6750"/>
    <n v="1"/>
    <n v="1631111.6798614284"/>
    <n v="6750"/>
    <n v="1"/>
    <n v="1864231.9504767365"/>
    <n v="6750"/>
    <n v="1"/>
    <n v="2130670.0259013209"/>
    <n v="6750"/>
    <n v="1"/>
    <n v="2435187.7233481561"/>
    <n v="6750"/>
    <n v="1"/>
    <n v="2783227.424170007"/>
    <n v="6750"/>
    <n v="1"/>
    <n v="3181009.3408328681"/>
    <n v="6750"/>
    <n v="1"/>
    <n v="3635642.6853919481"/>
    <n v="19088223.687125325"/>
    <n v="18532.256006917793"/>
  </r>
  <r>
    <s v="4.3.4.1"/>
    <x v="3"/>
    <x v="3"/>
    <x v="0"/>
    <x v="12"/>
    <n v="3"/>
    <x v="65"/>
    <x v="65"/>
    <s v="Train focal persons in basic health financing issues"/>
    <s v="conduct training"/>
    <s v="toner"/>
    <n v="104850"/>
    <n v="1"/>
    <n v="1"/>
    <n v="104850"/>
    <n v="1"/>
    <n v="1"/>
    <n v="119835.27702044998"/>
    <n v="1"/>
    <n v="1"/>
    <n v="136962.26627151159"/>
    <n v="1"/>
    <n v="1"/>
    <n v="156537.0636146421"/>
    <n v="1"/>
    <n v="1"/>
    <n v="178909.51246760553"/>
    <n v="1"/>
    <n v="1"/>
    <n v="204479.45625321087"/>
    <n v="1"/>
    <n v="1"/>
    <n v="233703.88445488326"/>
    <n v="1"/>
    <n v="1"/>
    <n v="267105.09999433643"/>
    <n v="1402382.5600766398"/>
    <n v="1361.5364660938251"/>
  </r>
  <r>
    <s v="4.3.4.1"/>
    <x v="3"/>
    <x v="3"/>
    <x v="0"/>
    <x v="12"/>
    <n v="3"/>
    <x v="65"/>
    <x v="65"/>
    <s v="Train focal persons in basic health financing issues"/>
    <s v="conduct training"/>
    <s v="A4, 500 pages, 140 gsm paper"/>
    <n v="8000"/>
    <n v="5"/>
    <n v="1"/>
    <n v="40000"/>
    <n v="5"/>
    <n v="1"/>
    <n v="45716.84388"/>
    <n v="5"/>
    <n v="1"/>
    <n v="52250.745358707325"/>
    <n v="5"/>
    <n v="1"/>
    <n v="59718.479204441435"/>
    <n v="5"/>
    <n v="1"/>
    <n v="68253.509763511887"/>
    <n v="5"/>
    <n v="1"/>
    <n v="78008.376253013208"/>
    <n v="5"/>
    <n v="1"/>
    <n v="89157.418962282609"/>
    <n v="5"/>
    <n v="1"/>
    <n v="101899.89508606063"/>
    <n v="535005.26850801706"/>
    <n v="519.42259078448262"/>
  </r>
  <r>
    <s v="4.3.4.1"/>
    <x v="3"/>
    <x v="3"/>
    <x v="0"/>
    <x v="12"/>
    <n v="3"/>
    <x v="65"/>
    <x v="65"/>
    <s v="Strengthening capacities of accountant staff to sustain/manage PFM"/>
    <s v="identification of accounts staff"/>
    <s v="zero cost"/>
    <n v="0"/>
    <n v="0"/>
    <n v="0"/>
    <n v="0"/>
    <n v="0"/>
    <n v="0"/>
    <n v="0"/>
    <n v="0"/>
    <n v="0"/>
    <n v="0"/>
    <n v="0"/>
    <n v="0"/>
    <n v="0"/>
    <n v="0"/>
    <n v="0"/>
    <n v="0"/>
    <n v="0"/>
    <n v="0"/>
    <n v="0"/>
    <n v="0"/>
    <n v="0"/>
    <n v="0"/>
    <n v="0"/>
    <n v="0"/>
    <n v="0"/>
    <n v="0"/>
    <n v="0"/>
  </r>
  <r>
    <s v="4.3.4.1"/>
    <x v="3"/>
    <x v="3"/>
    <x v="0"/>
    <x v="12"/>
    <n v="3"/>
    <x v="65"/>
    <x v="65"/>
    <s v="Strengthening capacities of accountant staff to sustain/manage PFM"/>
    <s v="identification of accounts staff"/>
    <s v="Conference package high-level"/>
    <n v="35000"/>
    <n v="100"/>
    <n v="5"/>
    <n v="17500000"/>
    <n v="100"/>
    <n v="5"/>
    <n v="20001119.197499998"/>
    <n v="100"/>
    <n v="5"/>
    <n v="22859701.094434455"/>
    <n v="100"/>
    <n v="5"/>
    <n v="26126834.651943129"/>
    <n v="100"/>
    <n v="5"/>
    <n v="29860910.521536451"/>
    <n v="100"/>
    <n v="5"/>
    <n v="34128664.610693276"/>
    <n v="100"/>
    <n v="5"/>
    <n v="39006370.795998633"/>
    <n v="100"/>
    <n v="5"/>
    <n v="44581204.100151524"/>
    <n v="234064804.97225749"/>
    <n v="227247.38346821116"/>
  </r>
  <r>
    <s v="4.3.4.1"/>
    <x v="3"/>
    <x v="3"/>
    <x v="0"/>
    <x v="12"/>
    <n v="3"/>
    <x v="65"/>
    <x v="65"/>
    <s v="Strengthening capacities of accountant staff to sustain/manage PFM"/>
    <s v="identification of accounts staff"/>
    <s v="DSA (excl. lunch)"/>
    <n v="39000"/>
    <n v="58"/>
    <n v="6"/>
    <n v="13572000"/>
    <n v="58"/>
    <n v="6"/>
    <n v="15511725.128483998"/>
    <n v="58"/>
    <n v="6"/>
    <n v="17728677.900209397"/>
    <n v="58"/>
    <n v="6"/>
    <n v="20262479.99406698"/>
    <n v="58"/>
    <n v="6"/>
    <n v="23158415.862759583"/>
    <n v="58"/>
    <n v="6"/>
    <n v="26468242.06264738"/>
    <n v="58"/>
    <n v="6"/>
    <n v="30251112.253902487"/>
    <n v="58"/>
    <n v="6"/>
    <n v="34574634.402700365"/>
    <n v="181527287.60477018"/>
    <n v="176240.08505317493"/>
  </r>
  <r>
    <s v="4.3.4.1"/>
    <x v="3"/>
    <x v="3"/>
    <x v="0"/>
    <x v="12"/>
    <n v="3"/>
    <x v="65"/>
    <x v="65"/>
    <s v="Strengthening capacities of accountant staff to sustain/manage PFM"/>
    <s v="conduct training"/>
    <s v="Fuel for travelling participants"/>
    <n v="211.42857142857142"/>
    <n v="7830"/>
    <n v="1"/>
    <n v="1655485.7142857141"/>
    <n v="7830"/>
    <n v="1"/>
    <n v="1892089.548639257"/>
    <n v="7830"/>
    <n v="1"/>
    <n v="2162509.0625530141"/>
    <n v="7830"/>
    <n v="1"/>
    <n v="2471577.2300455323"/>
    <n v="7830"/>
    <n v="1"/>
    <n v="2824817.759083861"/>
    <n v="7830"/>
    <n v="1"/>
    <n v="3228543.8120372081"/>
    <n v="7830"/>
    <n v="1"/>
    <n v="3689970.8353661271"/>
    <n v="7830"/>
    <n v="1"/>
    <n v="4217345.5150546599"/>
    <n v="22142339.477065377"/>
    <n v="21497.416968024638"/>
  </r>
  <r>
    <s v="4.3.4.1"/>
    <x v="3"/>
    <x v="3"/>
    <x v="0"/>
    <x v="12"/>
    <n v="3"/>
    <x v="65"/>
    <x v="65"/>
    <s v="Strengthening capacities of accountant staff to sustain/manage PFM"/>
    <s v="conduct training"/>
    <s v="Local running (diesel, per km)"/>
    <n v="211.42857142857142"/>
    <n v="1450"/>
    <n v="5"/>
    <n v="1532857.142857143"/>
    <n v="1450"/>
    <n v="5"/>
    <n v="1751934.7672585712"/>
    <n v="1450"/>
    <n v="5"/>
    <n v="2002323.2060676059"/>
    <n v="1450"/>
    <n v="5"/>
    <n v="2288497.4352273447"/>
    <n v="1450"/>
    <n v="5"/>
    <n v="2615571.999151723"/>
    <n v="1450"/>
    <n v="5"/>
    <n v="2989392.41855297"/>
    <n v="1450"/>
    <n v="5"/>
    <n v="3416639.6623760439"/>
    <n v="1450"/>
    <n v="5"/>
    <n v="3904949.5509765372"/>
    <n v="20502166.182467937"/>
    <n v="19905.015711133921"/>
  </r>
  <r>
    <s v="4.3.4.1"/>
    <x v="3"/>
    <x v="3"/>
    <x v="0"/>
    <x v="12"/>
    <n v="3"/>
    <x v="65"/>
    <x v="65"/>
    <s v="Strengthening capacities of accountant staff to sustain/manage PFM"/>
    <s v="conduct training"/>
    <s v="Conference package high-level"/>
    <n v="35000"/>
    <n v="25"/>
    <n v="5"/>
    <n v="4375000"/>
    <n v="25"/>
    <n v="5"/>
    <n v="5000279.7993749995"/>
    <n v="25"/>
    <n v="5"/>
    <n v="5714925.2736086138"/>
    <n v="25"/>
    <n v="5"/>
    <n v="6531708.6629857821"/>
    <n v="25"/>
    <n v="5"/>
    <n v="7465227.6303841127"/>
    <n v="25"/>
    <n v="5"/>
    <n v="8532166.152673319"/>
    <n v="25"/>
    <n v="5"/>
    <n v="9751592.6989996582"/>
    <n v="25"/>
    <n v="5"/>
    <n v="11145301.025037881"/>
    <n v="58516201.243064374"/>
    <n v="56811.845867052791"/>
  </r>
  <r>
    <s v="4.3.4.1"/>
    <x v="3"/>
    <x v="3"/>
    <x v="0"/>
    <x v="12"/>
    <n v="3"/>
    <x v="65"/>
    <x v="65"/>
    <s v="Strengthen capacity of accounting staff in the audit function"/>
    <s v="identifying 3 accounting staff in the audit function"/>
    <s v="zero cost"/>
    <n v="0"/>
    <n v="0"/>
    <n v="0"/>
    <n v="0"/>
    <n v="0"/>
    <n v="0"/>
    <n v="0"/>
    <n v="0"/>
    <n v="0"/>
    <n v="0"/>
    <n v="0"/>
    <n v="0"/>
    <n v="0"/>
    <n v="0"/>
    <n v="0"/>
    <n v="0"/>
    <n v="0"/>
    <n v="0"/>
    <n v="0"/>
    <n v="0"/>
    <n v="0"/>
    <n v="0"/>
    <n v="0"/>
    <n v="0"/>
    <n v="0"/>
    <n v="0"/>
    <n v="0"/>
  </r>
  <r>
    <s v="4.3.4.1"/>
    <x v="3"/>
    <x v="3"/>
    <x v="0"/>
    <x v="12"/>
    <n v="3"/>
    <x v="65"/>
    <x v="65"/>
    <s v="Strengthen capacity of accounting staff in the audit function"/>
    <s v="conduct orientation"/>
    <s v="DSA (excl. lunch)"/>
    <n v="39000"/>
    <n v="58"/>
    <n v="6"/>
    <n v="13572000"/>
    <n v="58"/>
    <n v="6"/>
    <n v="15511725.128483998"/>
    <n v="25"/>
    <n v="6"/>
    <n v="7641671.5087109469"/>
    <n v="25"/>
    <n v="6"/>
    <n v="8733827.5836495608"/>
    <n v="25"/>
    <n v="6"/>
    <n v="9982075.8029136136"/>
    <n v="25"/>
    <n v="6"/>
    <n v="11408725.027003182"/>
    <n v="25"/>
    <n v="6"/>
    <n v="13039272.523233831"/>
    <n v="25"/>
    <n v="6"/>
    <n v="14902859.656336365"/>
    <n v="94792157.23033151"/>
    <n v="92031.220611972341"/>
  </r>
  <r>
    <s v="4.3.4.1"/>
    <x v="3"/>
    <x v="3"/>
    <x v="0"/>
    <x v="12"/>
    <n v="3"/>
    <x v="65"/>
    <x v="65"/>
    <s v="Strengthen capacity of accounting staff in the audit function"/>
    <s v="conduct orientation"/>
    <s v="Local running (diesel, per km)"/>
    <n v="211.42857142857142"/>
    <n v="1450"/>
    <n v="5"/>
    <n v="1532857.142857143"/>
    <n v="450"/>
    <n v="5"/>
    <n v="543703.89328714274"/>
    <n v="450"/>
    <n v="5"/>
    <n v="621410.65015891218"/>
    <n v="450"/>
    <n v="5"/>
    <n v="710223.34196710703"/>
    <n v="450"/>
    <n v="5"/>
    <n v="811729.24111605203"/>
    <n v="450"/>
    <n v="5"/>
    <n v="927742.47472333559"/>
    <n v="450"/>
    <n v="5"/>
    <n v="1060336.4469442894"/>
    <n v="450"/>
    <n v="5"/>
    <n v="1211880.8951306494"/>
    <n v="7419884.0861846302"/>
    <n v="7203.7709574608061"/>
  </r>
  <r>
    <s v="4.3.4.1"/>
    <x v="3"/>
    <x v="3"/>
    <x v="0"/>
    <x v="12"/>
    <n v="3"/>
    <x v="65"/>
    <x v="65"/>
    <s v="Strengthen capacity of accounting staff in the audit function"/>
    <s v="conduct orientation"/>
    <s v="Conference package high-level"/>
    <n v="35000"/>
    <n v="100"/>
    <n v="5"/>
    <n v="17500000"/>
    <n v="100"/>
    <n v="5"/>
    <n v="20001119.197499998"/>
    <n v="25"/>
    <n v="5"/>
    <n v="5714925.2736086138"/>
    <n v="25"/>
    <n v="5"/>
    <n v="6531708.6629857821"/>
    <n v="25"/>
    <n v="5"/>
    <n v="7465227.6303841127"/>
    <n v="25"/>
    <n v="5"/>
    <n v="8532166.152673319"/>
    <n v="25"/>
    <n v="5"/>
    <n v="9751592.6989996582"/>
    <n v="25"/>
    <n v="5"/>
    <n v="11145301.025037881"/>
    <n v="86642040.641189367"/>
    <n v="84118.486059407151"/>
  </r>
  <r>
    <s v="4.3.4.1"/>
    <x v="3"/>
    <x v="3"/>
    <x v="0"/>
    <x v="12"/>
    <n v="3"/>
    <x v="65"/>
    <x v="65"/>
    <s v="Strengthen capacity of accounting staff in the audit function"/>
    <s v="conduct orientation"/>
    <s v="Fuel for travelling participants"/>
    <n v="211.42857142857142"/>
    <n v="7830"/>
    <n v="5"/>
    <n v="8277428.5714285709"/>
    <n v="2430"/>
    <n v="5"/>
    <n v="2936001.0237505711"/>
    <n v="2430"/>
    <n v="5"/>
    <n v="3355617.510858126"/>
    <n v="2430"/>
    <n v="5"/>
    <n v="3835206.0466223774"/>
    <n v="2430"/>
    <n v="5"/>
    <n v="4383337.9020266803"/>
    <n v="2430"/>
    <n v="5"/>
    <n v="5009809.3635060126"/>
    <n v="2430"/>
    <n v="5"/>
    <n v="5725816.8134991629"/>
    <n v="2430"/>
    <n v="5"/>
    <n v="6544156.8337055072"/>
    <n v="40067374.065397009"/>
    <n v="38900.363170288358"/>
  </r>
  <r>
    <s v="4.3.4.1"/>
    <x v="3"/>
    <x v="3"/>
    <x v="0"/>
    <x v="12"/>
    <n v="3"/>
    <x v="65"/>
    <x v="65"/>
    <s v="Strengthen capacity of accounting staff in the audit function"/>
    <s v="conduct orientation"/>
    <s v="toner"/>
    <n v="104850"/>
    <n v="1"/>
    <n v="1"/>
    <n v="104850"/>
    <n v="1"/>
    <n v="1"/>
    <n v="119835.27702044998"/>
    <n v="1"/>
    <n v="1"/>
    <n v="136962.26627151159"/>
    <n v="1"/>
    <n v="1"/>
    <n v="156537.0636146421"/>
    <n v="1"/>
    <n v="1"/>
    <n v="178909.51246760553"/>
    <n v="1"/>
    <n v="1"/>
    <n v="204479.45625321087"/>
    <n v="1"/>
    <n v="1"/>
    <n v="233703.88445488326"/>
    <n v="1"/>
    <n v="1"/>
    <n v="267105.09999433643"/>
    <n v="1402382.5600766398"/>
    <n v="1361.5364660938251"/>
  </r>
  <r>
    <s v="4.3.4.1"/>
    <x v="3"/>
    <x v="3"/>
    <x v="0"/>
    <x v="12"/>
    <n v="3"/>
    <x v="65"/>
    <x v="65"/>
    <s v="Strengthen capacity of accounting staff in the audit function"/>
    <s v="conduct orientation"/>
    <s v="A4, 500 pages, 140 gsm paper"/>
    <n v="8000"/>
    <n v="5"/>
    <n v="1"/>
    <n v="40000"/>
    <n v="5"/>
    <n v="1"/>
    <n v="45716.84388"/>
    <n v="5"/>
    <n v="1"/>
    <n v="52250.745358707325"/>
    <n v="5"/>
    <n v="1"/>
    <n v="59718.479204441435"/>
    <n v="5"/>
    <n v="1"/>
    <n v="68253.509763511887"/>
    <n v="5"/>
    <n v="1"/>
    <n v="78008.376253013208"/>
    <n v="5"/>
    <n v="1"/>
    <n v="89157.418962282609"/>
    <n v="5"/>
    <n v="1"/>
    <n v="101899.89508606063"/>
    <n v="535005.26850801706"/>
    <n v="519.42259078448262"/>
  </r>
  <r>
    <s v="4.3.4.1"/>
    <x v="3"/>
    <x v="3"/>
    <x v="0"/>
    <x v="12"/>
    <n v="3"/>
    <x v="65"/>
    <x v="65"/>
    <s v="Strengthen capacity of accounting staff in the audit function"/>
    <s v="offer short term courses (once every 2 years)"/>
    <s v="short term training"/>
    <n v="10220000"/>
    <n v="30"/>
    <n v="1"/>
    <n v="306600000"/>
    <n v="30"/>
    <n v="1"/>
    <n v="350419608.34020001"/>
    <n v="30"/>
    <n v="1"/>
    <n v="400501963.17449164"/>
    <n v="30"/>
    <n v="1"/>
    <n v="457742143.10204357"/>
    <n v="30"/>
    <n v="1"/>
    <n v="523163152.33731866"/>
    <n v="30"/>
    <n v="1"/>
    <n v="597934203.97934616"/>
    <n v="30"/>
    <n v="1"/>
    <n v="683391616.34589612"/>
    <n v="30"/>
    <n v="1"/>
    <n v="781062695.83465481"/>
    <n v="4100815383.1139512"/>
    <n v="3981374.1583630596"/>
  </r>
  <r>
    <s v="4.3.4.1"/>
    <x v="3"/>
    <x v="3"/>
    <x v="0"/>
    <x v="12"/>
    <n v="4"/>
    <x v="66"/>
    <x v="66"/>
    <s v="Sustain multi-sectoral committee on sustainable health financing "/>
    <s v="Conduct technical monthly meetings of multi-sectoral committee on sustainable health financing "/>
    <s v="zero cost"/>
    <n v="0"/>
    <n v="0"/>
    <n v="0"/>
    <n v="0"/>
    <n v="0"/>
    <n v="0"/>
    <n v="0"/>
    <n v="0"/>
    <n v="0"/>
    <n v="0"/>
    <n v="0"/>
    <n v="0"/>
    <n v="0"/>
    <n v="0"/>
    <n v="0"/>
    <n v="0"/>
    <n v="0"/>
    <n v="0"/>
    <n v="0"/>
    <n v="0"/>
    <n v="0"/>
    <n v="0"/>
    <n v="0"/>
    <n v="0"/>
    <n v="0"/>
    <n v="0"/>
    <n v="0"/>
  </r>
  <r>
    <s v="4.3.4.1"/>
    <x v="3"/>
    <x v="3"/>
    <x v="0"/>
    <x v="12"/>
    <n v="4"/>
    <x v="66"/>
    <x v="66"/>
    <s v="Sustain multi-sectoral committee on sustainable health financing "/>
    <s v="Conduct quarterly executive level meetings"/>
    <s v="zero cost"/>
    <n v="0"/>
    <n v="0"/>
    <n v="0"/>
    <n v="0"/>
    <n v="0"/>
    <n v="0"/>
    <n v="0"/>
    <n v="0"/>
    <n v="0"/>
    <n v="0"/>
    <n v="0"/>
    <n v="0"/>
    <n v="0"/>
    <n v="0"/>
    <n v="0"/>
    <n v="0"/>
    <n v="0"/>
    <n v="0"/>
    <n v="0"/>
    <n v="0"/>
    <n v="0"/>
    <n v="0"/>
    <n v="0"/>
    <n v="0"/>
    <n v="0"/>
    <n v="0"/>
    <n v="0"/>
  </r>
  <r>
    <s v="4.3.4.1"/>
    <x v="3"/>
    <x v="3"/>
    <x v="0"/>
    <x v="12"/>
    <n v="4"/>
    <x v="66"/>
    <x v="66"/>
    <s v="Sustain multi-sectoral committee on sustainable health financing "/>
    <s v="The honourable minister meets the health donor group members twice a year to discuss key health financing issues "/>
    <s v="zero cost"/>
    <n v="0"/>
    <n v="0"/>
    <n v="0"/>
    <n v="0"/>
    <n v="0"/>
    <n v="0"/>
    <n v="0"/>
    <n v="0"/>
    <n v="0"/>
    <n v="0"/>
    <n v="0"/>
    <n v="0"/>
    <n v="0"/>
    <n v="0"/>
    <n v="0"/>
    <n v="0"/>
    <n v="0"/>
    <n v="0"/>
    <n v="0"/>
    <n v="0"/>
    <n v="0"/>
    <n v="0"/>
    <n v="0"/>
    <n v="0"/>
    <n v="0"/>
    <n v="0"/>
    <n v="0"/>
  </r>
  <r>
    <s v="4.3.4.1"/>
    <x v="3"/>
    <x v="3"/>
    <x v="0"/>
    <x v="12"/>
    <n v="4"/>
    <x v="66"/>
    <x v="66"/>
    <s v="Sustain multi-sectoral committee on sustainable health financing "/>
    <s v="The honourable minister meets selected individual donors at least on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The honourable minister meets fellow honourable ministers from ministry of finance and ministry of local government and rural development at least twi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The honourable minister meets CSOs at least on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Parliamentary committee on health meets CSOs twi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Parliamentary committee on health meets Minister of health twi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Parliamentary committee on health meets health donor group twice a year to discuss key health financing issues"/>
    <s v="zero cost"/>
    <n v="0"/>
    <n v="0"/>
    <n v="0"/>
    <n v="0"/>
    <n v="0"/>
    <n v="0"/>
    <n v="0"/>
    <n v="0"/>
    <n v="0"/>
    <n v="0"/>
    <n v="0"/>
    <n v="0"/>
    <n v="0"/>
    <n v="0"/>
    <n v="0"/>
    <n v="0"/>
    <n v="0"/>
    <n v="0"/>
    <n v="0"/>
    <n v="0"/>
    <n v="0"/>
    <n v="0"/>
    <n v="0"/>
    <n v="0"/>
    <n v="0"/>
    <n v="0"/>
    <n v="0"/>
  </r>
  <r>
    <s v="4.3.4.1"/>
    <x v="3"/>
    <x v="3"/>
    <x v="0"/>
    <x v="12"/>
    <n v="4"/>
    <x v="66"/>
    <x v="66"/>
    <s v="Sustain multi-sectoral committee on sustainable health financing "/>
    <s v="Parliamentary committee on health meets Minister of finance and minister of local government and rural development twice a year to discuss key health financing issues"/>
    <s v="zero cost"/>
    <n v="0"/>
    <n v="0"/>
    <n v="0"/>
    <n v="0"/>
    <n v="0"/>
    <n v="0"/>
    <n v="0"/>
    <n v="0"/>
    <n v="0"/>
    <n v="0"/>
    <n v="0"/>
    <n v="0"/>
    <n v="0"/>
    <n v="0"/>
    <n v="0"/>
    <n v="0"/>
    <n v="0"/>
    <n v="0"/>
    <n v="0"/>
    <n v="0"/>
    <n v="0"/>
    <n v="0"/>
    <n v="0"/>
    <n v="0"/>
    <n v="0"/>
    <n v="0"/>
    <n v="0"/>
  </r>
  <r>
    <s v="4.3.4.1"/>
    <x v="3"/>
    <x v="3"/>
    <x v="0"/>
    <x v="12"/>
    <n v="5"/>
    <x v="67"/>
    <x v="67"/>
    <s v="Reviewing aid coordination guidelines"/>
    <s v="Conduct stakeholder consultation workshops "/>
    <s v="DSA (excl. lunch)"/>
    <n v="39000"/>
    <m/>
    <m/>
    <n v="0"/>
    <n v="60"/>
    <n v="18"/>
    <n v="48139836.605639994"/>
    <n v="0"/>
    <n v="0"/>
    <n v="0"/>
    <n v="0"/>
    <n v="0"/>
    <n v="0"/>
    <n v="0"/>
    <n v="0"/>
    <n v="0"/>
    <n v="0"/>
    <n v="0"/>
    <n v="0"/>
    <n v="60"/>
    <n v="18"/>
    <n v="93882762.16728358"/>
    <n v="0"/>
    <n v="0"/>
    <n v="0"/>
    <n v="142022598.77292359"/>
    <n v="137886.01822613939"/>
  </r>
  <r>
    <s v="4.3.4.1"/>
    <x v="3"/>
    <x v="3"/>
    <x v="0"/>
    <x v="12"/>
    <n v="5"/>
    <x v="67"/>
    <x v="67"/>
    <s v="Reviewing aid coordination guidelines"/>
    <s v="Conduct stakeholder consultation workshops "/>
    <s v="Conference package high-level"/>
    <n v="35000"/>
    <m/>
    <m/>
    <n v="0"/>
    <n v="60"/>
    <n v="15"/>
    <n v="36002014.555499993"/>
    <n v="0"/>
    <n v="0"/>
    <n v="0"/>
    <n v="0"/>
    <n v="0"/>
    <n v="0"/>
    <n v="0"/>
    <n v="0"/>
    <n v="0"/>
    <n v="0"/>
    <n v="0"/>
    <n v="0"/>
    <n v="60"/>
    <n v="15"/>
    <n v="70211467.432797551"/>
    <n v="0"/>
    <n v="0"/>
    <n v="0"/>
    <n v="106213481.98829755"/>
    <n v="103119.88542553161"/>
  </r>
  <r>
    <s v="4.3.4.1"/>
    <x v="3"/>
    <x v="3"/>
    <x v="0"/>
    <x v="12"/>
    <n v="5"/>
    <x v="67"/>
    <x v="67"/>
    <s v="Reviewing aid coordination guidelines"/>
    <s v="Conduct stakeholder consultation workshops "/>
    <s v="Local running (diesel, per km)"/>
    <n v="211.42857142857142"/>
    <m/>
    <m/>
    <n v="0"/>
    <n v="750"/>
    <n v="15"/>
    <n v="2718519.4664357137"/>
    <n v="0"/>
    <n v="0"/>
    <n v="0"/>
    <n v="0"/>
    <n v="0"/>
    <n v="0"/>
    <n v="0"/>
    <n v="0"/>
    <n v="0"/>
    <n v="0"/>
    <n v="0"/>
    <n v="0"/>
    <n v="750"/>
    <n v="15"/>
    <n v="5301682.2347214464"/>
    <n v="0"/>
    <n v="0"/>
    <n v="0"/>
    <n v="8020201.7011571601"/>
    <n v="7786.6035933564663"/>
  </r>
  <r>
    <s v="4.3.4.1"/>
    <x v="3"/>
    <x v="3"/>
    <x v="0"/>
    <x v="12"/>
    <n v="5"/>
    <x v="67"/>
    <x v="67"/>
    <s v="Reviewing aid coordination guidelines"/>
    <s v="Conduct stakeholder consultation workshops "/>
    <s v="Fuel for Travelling Participants"/>
    <n v="211.42857142857142"/>
    <m/>
    <m/>
    <n v="0"/>
    <n v="4050"/>
    <n v="1"/>
    <n v="978667.00791685702"/>
    <n v="0"/>
    <n v="0"/>
    <n v="0"/>
    <n v="0"/>
    <n v="0"/>
    <n v="0"/>
    <n v="0"/>
    <n v="0"/>
    <n v="0"/>
    <n v="0"/>
    <n v="0"/>
    <n v="0"/>
    <n v="4050"/>
    <n v="1"/>
    <n v="1908605.604499721"/>
    <n v="0"/>
    <n v="0"/>
    <n v="0"/>
    <n v="2887272.612416578"/>
    <n v="2803.177293608328"/>
  </r>
  <r>
    <s v="4.3.4.1"/>
    <x v="3"/>
    <x v="3"/>
    <x v="0"/>
    <x v="12"/>
    <n v="5"/>
    <x v="67"/>
    <x v="67"/>
    <s v="Reviewing aid coordination guidelines"/>
    <s v="Validation meetings with stakeholders"/>
    <s v="Conference package high-level"/>
    <n v="35000"/>
    <m/>
    <m/>
    <n v="0"/>
    <n v="100"/>
    <n v="5"/>
    <n v="20001119.197499998"/>
    <n v="0"/>
    <n v="0"/>
    <n v="0"/>
    <n v="0"/>
    <n v="0"/>
    <n v="0"/>
    <n v="0"/>
    <n v="0"/>
    <n v="0"/>
    <n v="0"/>
    <n v="0"/>
    <n v="0"/>
    <n v="100"/>
    <n v="5"/>
    <n v="39006370.795998633"/>
    <n v="0"/>
    <n v="0"/>
    <n v="0"/>
    <n v="59007489.993498631"/>
    <n v="57288.825236406439"/>
  </r>
  <r>
    <s v="4.3.4.1"/>
    <x v="3"/>
    <x v="3"/>
    <x v="0"/>
    <x v="12"/>
    <n v="5"/>
    <x v="67"/>
    <x v="67"/>
    <s v="Reviewing aid coordination guidelines"/>
    <s v="Validation meetings with stakeholders"/>
    <s v="DSA (excl. lunch)"/>
    <n v="39000"/>
    <m/>
    <m/>
    <n v="0"/>
    <n v="58"/>
    <n v="6"/>
    <n v="15511725.128483998"/>
    <n v="0"/>
    <n v="0"/>
    <n v="0"/>
    <n v="0"/>
    <n v="0"/>
    <n v="0"/>
    <n v="0"/>
    <n v="0"/>
    <n v="0"/>
    <n v="0"/>
    <n v="0"/>
    <n v="0"/>
    <n v="58"/>
    <n v="6"/>
    <n v="30251112.253902487"/>
    <n v="0"/>
    <n v="0"/>
    <n v="0"/>
    <n v="45762837.382386483"/>
    <n v="44429.93920620047"/>
  </r>
  <r>
    <s v="4.3.4.1"/>
    <x v="3"/>
    <x v="3"/>
    <x v="0"/>
    <x v="12"/>
    <n v="5"/>
    <x v="67"/>
    <x v="67"/>
    <s v="Reviewing aid coordination guidelines"/>
    <s v="Conduct stakeholder consultation workshops "/>
    <s v="Fuel for Travelling Participants"/>
    <n v="211.42857142857142"/>
    <m/>
    <m/>
    <n v="0"/>
    <n v="7830"/>
    <n v="1"/>
    <n v="1892089.548639257"/>
    <n v="0"/>
    <n v="0"/>
    <n v="0"/>
    <n v="0"/>
    <n v="0"/>
    <n v="0"/>
    <n v="0"/>
    <n v="0"/>
    <n v="0"/>
    <n v="0"/>
    <n v="0"/>
    <n v="0"/>
    <n v="7830"/>
    <n v="1"/>
    <n v="3689970.8353661271"/>
    <n v="0"/>
    <n v="0"/>
    <n v="0"/>
    <n v="5582060.3840053845"/>
    <n v="5419.4761009761014"/>
  </r>
  <r>
    <s v="4.3.4.1"/>
    <x v="3"/>
    <x v="3"/>
    <x v="0"/>
    <x v="12"/>
    <n v="5"/>
    <x v="67"/>
    <x v="67"/>
    <s v="Reviewing aid coordination guidelines"/>
    <s v="Validation meetings with stakeholders"/>
    <s v="Local running (diesel, per km)"/>
    <n v="211.42857142857142"/>
    <m/>
    <m/>
    <n v="0"/>
    <n v="1450"/>
    <n v="5"/>
    <n v="1751934.7672585712"/>
    <n v="0"/>
    <n v="0"/>
    <n v="0"/>
    <n v="0"/>
    <n v="0"/>
    <n v="0"/>
    <n v="0"/>
    <n v="0"/>
    <n v="0"/>
    <n v="0"/>
    <n v="0"/>
    <n v="0"/>
    <n v="1450"/>
    <n v="5"/>
    <n v="3416639.6623760439"/>
    <n v="0"/>
    <n v="0"/>
    <n v="0"/>
    <n v="5168574.4296346148"/>
    <n v="5018.0334268297229"/>
  </r>
  <r>
    <s v="4.3.4.1"/>
    <x v="3"/>
    <x v="3"/>
    <x v="0"/>
    <x v="12"/>
    <n v="5"/>
    <x v="67"/>
    <x v="67"/>
    <s v="Reviewing aid coordination guidelines"/>
    <s v="Hold 1 meeting with HFTWG to endorse the document "/>
    <s v="Conference package high-level"/>
    <n v="35000"/>
    <m/>
    <m/>
    <n v="0"/>
    <n v="60"/>
    <n v="1"/>
    <n v="2400134.3036999996"/>
    <n v="0"/>
    <n v="0"/>
    <n v="0"/>
    <n v="0"/>
    <n v="0"/>
    <n v="0"/>
    <n v="0"/>
    <n v="0"/>
    <n v="0"/>
    <n v="0"/>
    <n v="0"/>
    <n v="0"/>
    <n v="60"/>
    <n v="1"/>
    <n v="4680764.4955198364"/>
    <n v="0"/>
    <n v="0"/>
    <n v="0"/>
    <n v="7080898.7992198355"/>
    <n v="6874.6590283687719"/>
  </r>
  <r>
    <s v="4.3.4.1"/>
    <x v="3"/>
    <x v="3"/>
    <x v="0"/>
    <x v="12"/>
    <n v="5"/>
    <x v="67"/>
    <x v="67"/>
    <s v="Reviewing aid coordination guidelines"/>
    <s v="Senior management approval "/>
    <s v="zero cost"/>
    <n v="0"/>
    <m/>
    <m/>
    <n v="0"/>
    <n v="0"/>
    <n v="1"/>
    <n v="0"/>
    <n v="0"/>
    <n v="0"/>
    <n v="0"/>
    <n v="0"/>
    <n v="0"/>
    <n v="0"/>
    <n v="0"/>
    <n v="0"/>
    <n v="0"/>
    <n v="0"/>
    <n v="0"/>
    <n v="0"/>
    <n v="0"/>
    <n v="1"/>
    <n v="0"/>
    <n v="0"/>
    <n v="0"/>
    <n v="0"/>
    <n v="0"/>
    <n v="0"/>
  </r>
  <r>
    <s v="4.3.4.1"/>
    <x v="3"/>
    <x v="3"/>
    <x v="0"/>
    <x v="12"/>
    <n v="5"/>
    <x v="67"/>
    <x v="67"/>
    <s v="Reviewing aid coordination guidelines"/>
    <s v="Disseminate the aid coordination guidelines through training at National level and District Level "/>
    <s v="Conference package high-level"/>
    <n v="35000"/>
    <m/>
    <m/>
    <n v="0"/>
    <n v="100"/>
    <n v="1"/>
    <n v="4000223.8394999993"/>
    <n v="0"/>
    <n v="0"/>
    <n v="0"/>
    <n v="0"/>
    <n v="0"/>
    <n v="0"/>
    <n v="0"/>
    <n v="0"/>
    <n v="0"/>
    <n v="0"/>
    <n v="0"/>
    <n v="0"/>
    <n v="100"/>
    <n v="1"/>
    <n v="7801274.1591997268"/>
    <n v="0"/>
    <n v="0"/>
    <n v="0"/>
    <n v="11801497.998699727"/>
    <n v="11457.765047281287"/>
  </r>
  <r>
    <s v="4.3.4.1"/>
    <x v="3"/>
    <x v="3"/>
    <x v="0"/>
    <x v="12"/>
    <n v="5"/>
    <x v="67"/>
    <x v="67"/>
    <s v="Reviewing aid coordination guidelines"/>
    <s v="Disseminate the aid coordination guidelines through training at National level and District Level "/>
    <s v="DSA (excl. lunch)"/>
    <n v="39000"/>
    <m/>
    <m/>
    <n v="0"/>
    <n v="58"/>
    <n v="2"/>
    <n v="5170575.0428279992"/>
    <n v="0"/>
    <n v="0"/>
    <n v="0"/>
    <n v="0"/>
    <n v="0"/>
    <n v="0"/>
    <n v="0"/>
    <n v="0"/>
    <n v="0"/>
    <n v="0"/>
    <n v="0"/>
    <n v="0"/>
    <n v="58"/>
    <n v="2"/>
    <n v="10083704.084634162"/>
    <n v="0"/>
    <n v="0"/>
    <n v="0"/>
    <n v="15254279.127462162"/>
    <n v="14809.979735400157"/>
  </r>
  <r>
    <s v="4.3.4.1"/>
    <x v="3"/>
    <x v="3"/>
    <x v="0"/>
    <x v="12"/>
    <n v="5"/>
    <x v="67"/>
    <x v="67"/>
    <s v="Reviewing aid coordination guidelines"/>
    <s v="Disseminate the aid coordination guidelines through training at National level and District Level "/>
    <s v="Local running (diesel, per km)"/>
    <n v="211.42857142857142"/>
    <m/>
    <m/>
    <n v="0"/>
    <n v="1450"/>
    <n v="1"/>
    <n v="350386.95345171425"/>
    <n v="0"/>
    <n v="0"/>
    <n v="0"/>
    <n v="0"/>
    <n v="0"/>
    <n v="0"/>
    <n v="0"/>
    <n v="0"/>
    <n v="0"/>
    <n v="0"/>
    <n v="0"/>
    <n v="0"/>
    <n v="1450"/>
    <n v="1"/>
    <n v="683327.93247520877"/>
    <n v="0"/>
    <n v="0"/>
    <n v="0"/>
    <n v="1033714.885926923"/>
    <n v="1003.6066853659447"/>
  </r>
  <r>
    <s v="4.3.4.1"/>
    <x v="3"/>
    <x v="3"/>
    <x v="0"/>
    <x v="12"/>
    <n v="5"/>
    <x v="67"/>
    <x v="67"/>
    <s v="Reviewing aid coordination guidelines"/>
    <s v="Disseminate the aid coordination guidelines through training at National level and District Level "/>
    <s v="fuel for Travelling Participants"/>
    <n v="211.42857142857142"/>
    <m/>
    <m/>
    <n v="0"/>
    <n v="7830"/>
    <n v="1"/>
    <n v="1892089.548639257"/>
    <n v="0"/>
    <n v="0"/>
    <n v="0"/>
    <n v="0"/>
    <n v="0"/>
    <n v="0"/>
    <n v="0"/>
    <n v="0"/>
    <n v="0"/>
    <n v="0"/>
    <n v="0"/>
    <n v="0"/>
    <n v="7830"/>
    <n v="1"/>
    <n v="3689970.8353661271"/>
    <n v="0"/>
    <n v="0"/>
    <n v="0"/>
    <n v="5582060.3840053845"/>
    <n v="5419.4761009761014"/>
  </r>
  <r>
    <s v="4.3.4.1"/>
    <x v="3"/>
    <x v="3"/>
    <x v="0"/>
    <x v="12"/>
    <n v="5"/>
    <x v="67"/>
    <x v="67"/>
    <s v="Reviewing aid coordination guidelines"/>
    <s v="Disseminate the aid coordination guidelines through training at National level and District Level "/>
    <s v="Newspaper advert (full)"/>
    <n v="391991.03749999998"/>
    <m/>
    <m/>
    <n v="0"/>
    <n v="2"/>
    <n v="2"/>
    <n v="1792059.3063746723"/>
    <m/>
    <m/>
    <n v="0"/>
    <m/>
    <m/>
    <n v="0"/>
    <m/>
    <m/>
    <n v="0"/>
    <m/>
    <m/>
    <n v="0"/>
    <m/>
    <m/>
    <n v="0"/>
    <m/>
    <m/>
    <n v="0"/>
    <n v="1792059.3063746723"/>
    <n v="1739.8634042472547"/>
  </r>
  <r>
    <s v="4.3.4.1"/>
    <x v="3"/>
    <x v="3"/>
    <x v="0"/>
    <x v="12"/>
    <n v="5"/>
    <x v="67"/>
    <x v="67"/>
    <s v="Reviewing aid coordination guidelines"/>
    <s v="Disseminate the aid coordination guidelines through training at National level and District Level "/>
    <s v="Local consultant fee - High level"/>
    <n v="511000"/>
    <m/>
    <m/>
    <n v="0"/>
    <n v="1"/>
    <n v="25"/>
    <n v="14600817.014174998"/>
    <m/>
    <m/>
    <n v="0"/>
    <m/>
    <m/>
    <n v="0"/>
    <m/>
    <m/>
    <n v="0"/>
    <m/>
    <m/>
    <n v="0"/>
    <m/>
    <m/>
    <n v="0"/>
    <m/>
    <m/>
    <n v="0"/>
    <n v="14600817.014174998"/>
    <n v="14175.550499199027"/>
  </r>
  <r>
    <s v="4.3.4.1"/>
    <x v="3"/>
    <x v="3"/>
    <x v="0"/>
    <x v="12"/>
    <n v="5"/>
    <x v="67"/>
    <x v="67"/>
    <s v="Address donor-MoH power imbalances to achieve principles of Paris Aid Coordination"/>
    <s v="Conduct trainings in negotiation skills for relevant stakeholders "/>
    <s v="DSA (excl. lunch)"/>
    <n v="39000"/>
    <m/>
    <m/>
    <n v="0"/>
    <n v="25"/>
    <n v="6"/>
    <n v="6686088.4174499996"/>
    <n v="0"/>
    <n v="0"/>
    <n v="0"/>
    <n v="0"/>
    <n v="0"/>
    <n v="0"/>
    <n v="0"/>
    <n v="0"/>
    <n v="0"/>
    <n v="0"/>
    <n v="0"/>
    <n v="0"/>
    <n v="25"/>
    <n v="6"/>
    <n v="13039272.523233831"/>
    <n v="0"/>
    <n v="0"/>
    <n v="0"/>
    <n v="19725360.940683831"/>
    <n v="19150.835864741584"/>
  </r>
  <r>
    <s v="4.3.4.1"/>
    <x v="3"/>
    <x v="3"/>
    <x v="0"/>
    <x v="12"/>
    <n v="5"/>
    <x v="67"/>
    <x v="67"/>
    <s v="Address donor-MoH power imbalances to achieve principles of Paris Aid Coordination"/>
    <s v="Conduct trainings in negotiation skills for relevant stakeholders "/>
    <s v="Conference package high-level"/>
    <n v="35000"/>
    <m/>
    <m/>
    <n v="0"/>
    <n v="25"/>
    <n v="5"/>
    <n v="5000279.7993749995"/>
    <n v="0"/>
    <n v="0"/>
    <n v="0"/>
    <n v="0"/>
    <n v="0"/>
    <n v="0"/>
    <n v="0"/>
    <n v="0"/>
    <n v="0"/>
    <n v="0"/>
    <n v="0"/>
    <n v="0"/>
    <n v="25"/>
    <n v="5"/>
    <n v="9751592.6989996582"/>
    <n v="0"/>
    <n v="0"/>
    <n v="0"/>
    <n v="14751872.498374658"/>
    <n v="14322.20630910161"/>
  </r>
  <r>
    <s v="4.3.4.1"/>
    <x v="3"/>
    <x v="3"/>
    <x v="0"/>
    <x v="12"/>
    <n v="5"/>
    <x v="67"/>
    <x v="67"/>
    <s v="Address donor-MoH power imbalances to achieve principles of Paris Aid Coordination"/>
    <s v="Conduct trainings in negotiation skills for relevant stakeholders "/>
    <s v="Local running (diesel, per km)"/>
    <n v="211.42857142857142"/>
    <m/>
    <m/>
    <n v="0"/>
    <n v="450"/>
    <n v="5"/>
    <n v="543703.89328714274"/>
    <n v="0"/>
    <n v="0"/>
    <n v="0"/>
    <n v="0"/>
    <n v="0"/>
    <n v="0"/>
    <n v="0"/>
    <n v="0"/>
    <n v="0"/>
    <n v="0"/>
    <n v="0"/>
    <n v="0"/>
    <n v="450"/>
    <n v="5"/>
    <n v="1060336.4469442894"/>
    <n v="0"/>
    <n v="0"/>
    <n v="0"/>
    <n v="1604040.3402314321"/>
    <n v="1557.3207186712932"/>
  </r>
  <r>
    <s v="4.3.4.1"/>
    <x v="3"/>
    <x v="3"/>
    <x v="0"/>
    <x v="12"/>
    <n v="5"/>
    <x v="67"/>
    <x v="67"/>
    <s v="Address donor-MoH power imbalances to achieve principles of Paris Aid Coordination"/>
    <s v="Conduct trainings in negotiation skills for relevant stakeholders "/>
    <s v="Fuel for Travelling Participants"/>
    <n v="211.42857142857142"/>
    <m/>
    <m/>
    <n v="0"/>
    <n v="2430"/>
    <n v="5"/>
    <n v="2936001.0237505711"/>
    <n v="0"/>
    <n v="0"/>
    <n v="0"/>
    <n v="0"/>
    <n v="0"/>
    <n v="0"/>
    <n v="0"/>
    <n v="0"/>
    <n v="0"/>
    <n v="0"/>
    <n v="0"/>
    <n v="0"/>
    <n v="2430"/>
    <n v="5"/>
    <n v="5725816.8134991629"/>
    <n v="0"/>
    <n v="0"/>
    <n v="0"/>
    <n v="8661817.8372497335"/>
    <n v="8409.5318808249831"/>
  </r>
  <r>
    <s v="4.3.4.1"/>
    <x v="3"/>
    <x v="3"/>
    <x v="0"/>
    <x v="12"/>
    <n v="5"/>
    <x v="67"/>
    <x v="67"/>
    <s v="Address donor-MoH power imbalances to achieve principles of Paris Aid Coordination"/>
    <s v="Conduct trainings in crafting of MOUs and Priority setting both at national and district level"/>
    <s v="DSA (excl. lunch)"/>
    <n v="39000"/>
    <m/>
    <m/>
    <n v="0"/>
    <n v="60"/>
    <n v="6"/>
    <n v="16046612.201879997"/>
    <n v="0"/>
    <n v="0"/>
    <n v="0"/>
    <n v="0"/>
    <n v="0"/>
    <n v="0"/>
    <n v="0"/>
    <n v="0"/>
    <n v="0"/>
    <n v="0"/>
    <n v="0"/>
    <n v="0"/>
    <n v="60"/>
    <n v="6"/>
    <n v="31294254.055761192"/>
    <n v="0"/>
    <n v="0"/>
    <n v="0"/>
    <n v="47340866.257641189"/>
    <n v="45962.006075379795"/>
  </r>
  <r>
    <s v="4.3.4.1"/>
    <x v="3"/>
    <x v="3"/>
    <x v="0"/>
    <x v="12"/>
    <n v="5"/>
    <x v="67"/>
    <x v="67"/>
    <s v="Address donor-MoH power imbalances to achieve principles of Paris Aid Coordination"/>
    <s v="Conduct trainings in crafting of MOUs and Priority setting both at national and district level"/>
    <s v="Conference package high-level"/>
    <n v="35000"/>
    <m/>
    <m/>
    <n v="0"/>
    <n v="60"/>
    <n v="5"/>
    <n v="12000671.518499998"/>
    <n v="0"/>
    <n v="0"/>
    <n v="0"/>
    <n v="0"/>
    <n v="0"/>
    <n v="0"/>
    <n v="0"/>
    <n v="0"/>
    <n v="0"/>
    <n v="0"/>
    <n v="0"/>
    <n v="0"/>
    <n v="60"/>
    <n v="5"/>
    <n v="23403822.477599181"/>
    <n v="0"/>
    <n v="0"/>
    <n v="0"/>
    <n v="35404493.996099181"/>
    <n v="34373.295141843868"/>
  </r>
  <r>
    <s v="4.3.4.1"/>
    <x v="3"/>
    <x v="3"/>
    <x v="0"/>
    <x v="12"/>
    <n v="5"/>
    <x v="67"/>
    <x v="67"/>
    <s v="Address donor-MoH power imbalances to achieve principles of Paris Aid Coordination"/>
    <s v="Conduct trainings in crafting of MOUs and Priority setting both at national and district level"/>
    <s v="Local running (diesel, per km)"/>
    <n v="211.42857142857142"/>
    <m/>
    <m/>
    <n v="0"/>
    <n v="1250"/>
    <n v="5"/>
    <n v="1510288.5924642857"/>
    <n v="0"/>
    <n v="0"/>
    <n v="0"/>
    <n v="0"/>
    <n v="0"/>
    <n v="0"/>
    <n v="0"/>
    <n v="0"/>
    <n v="0"/>
    <n v="0"/>
    <n v="0"/>
    <n v="0"/>
    <n v="1250"/>
    <n v="5"/>
    <n v="2945379.0192896929"/>
    <n v="0"/>
    <n v="0"/>
    <n v="0"/>
    <n v="4455667.6117539788"/>
    <n v="4325.8908851980377"/>
  </r>
  <r>
    <s v="4.3.4.1"/>
    <x v="3"/>
    <x v="3"/>
    <x v="0"/>
    <x v="12"/>
    <n v="5"/>
    <x v="67"/>
    <x v="67"/>
    <s v="Address donor-MoH power imbalances to achieve principles of Paris Aid Coordination"/>
    <s v="Conduct continuous performance monitoring of adherence to aid coordination "/>
    <s v="zero cost"/>
    <n v="0"/>
    <n v="0"/>
    <n v="0"/>
    <n v="0"/>
    <n v="0"/>
    <n v="0"/>
    <n v="0"/>
    <n v="0"/>
    <n v="0"/>
    <n v="0"/>
    <n v="0"/>
    <n v="0"/>
    <n v="0"/>
    <n v="0"/>
    <n v="0"/>
    <n v="0"/>
    <n v="0"/>
    <n v="0"/>
    <n v="0"/>
    <n v="0"/>
    <n v="0"/>
    <n v="0"/>
    <n v="0"/>
    <n v="0"/>
    <n v="0"/>
    <n v="0"/>
    <n v="0"/>
  </r>
  <r>
    <s v="4.3.4.1"/>
    <x v="3"/>
    <x v="3"/>
    <x v="0"/>
    <x v="12"/>
    <n v="6"/>
    <x v="68"/>
    <x v="68"/>
    <s v="Review TORs of the Health Financing TWG as part of holistic review of health TWG arrangements at national levels"/>
    <s v="develop TORs for a consultant"/>
    <s v="zero cost"/>
    <n v="0"/>
    <n v="0"/>
    <n v="0"/>
    <n v="0"/>
    <n v="0"/>
    <n v="0"/>
    <n v="0"/>
    <n v="0"/>
    <n v="0"/>
    <n v="0"/>
    <n v="0"/>
    <n v="0"/>
    <n v="0"/>
    <n v="0"/>
    <n v="0"/>
    <n v="0"/>
    <n v="0"/>
    <n v="0"/>
    <n v="0"/>
    <n v="0"/>
    <n v="0"/>
    <n v="0"/>
    <n v="0"/>
    <n v="0"/>
    <n v="0"/>
    <n v="0"/>
    <n v="0"/>
  </r>
  <r>
    <s v="4.3.4.1"/>
    <x v="3"/>
    <x v="3"/>
    <x v="0"/>
    <x v="12"/>
    <n v="6"/>
    <x v="68"/>
    <x v="68"/>
    <s v="Review TORs of the Health Financing TWG as part of holistic review of health TWG arrangements at national levels"/>
    <s v="recruitment of a consultant"/>
    <s v="Newspaper advert (full)"/>
    <n v="391991.03749999998"/>
    <n v="2"/>
    <n v="1"/>
    <n v="783982.07499999995"/>
    <m/>
    <m/>
    <n v="0"/>
    <n v="0"/>
    <n v="0"/>
    <n v="0"/>
    <n v="0"/>
    <n v="0"/>
    <n v="0"/>
    <n v="0"/>
    <n v="0"/>
    <n v="0"/>
    <n v="0"/>
    <n v="0"/>
    <n v="0"/>
    <n v="0"/>
    <n v="0"/>
    <n v="0"/>
    <n v="0"/>
    <n v="0"/>
    <n v="0"/>
    <n v="783982.07499999995"/>
    <n v="761.14764563106792"/>
  </r>
  <r>
    <s v="4.3.4.1"/>
    <x v="3"/>
    <x v="3"/>
    <x v="0"/>
    <x v="12"/>
    <n v="6"/>
    <x v="68"/>
    <x v="68"/>
    <s v="Review TORs of the Health Financing TWG as part of holistic review of health TWG arrangements at national levels"/>
    <s v="recruitment of a consultant"/>
    <s v="Local consultant fee - High level"/>
    <n v="511000"/>
    <n v="1"/>
    <n v="25"/>
    <n v="12775000"/>
    <m/>
    <m/>
    <n v="0"/>
    <n v="0"/>
    <n v="0"/>
    <n v="0"/>
    <n v="0"/>
    <n v="0"/>
    <n v="0"/>
    <n v="0"/>
    <n v="0"/>
    <n v="0"/>
    <n v="0"/>
    <n v="0"/>
    <n v="0"/>
    <n v="0"/>
    <n v="0"/>
    <n v="0"/>
    <n v="0"/>
    <n v="0"/>
    <n v="0"/>
    <n v="12775000"/>
    <n v="12402.912621359223"/>
  </r>
  <r>
    <s v="4.3.4.1"/>
    <x v="3"/>
    <x v="3"/>
    <x v="0"/>
    <x v="12"/>
    <n v="6"/>
    <x v="68"/>
    <x v="68"/>
    <s v="Review TORs of the Health Financing TWG as part of holistic review of health TWG arrangements at national levels"/>
    <s v="validation workshop"/>
    <s v="DSA (excl. lunch)"/>
    <n v="39000"/>
    <m/>
    <m/>
    <n v="0"/>
    <n v="58"/>
    <n v="2"/>
    <n v="5170575.0428279992"/>
    <n v="0"/>
    <n v="0"/>
    <n v="0"/>
    <n v="0"/>
    <n v="0"/>
    <n v="0"/>
    <n v="0"/>
    <n v="0"/>
    <n v="0"/>
    <n v="0"/>
    <n v="0"/>
    <n v="0"/>
    <n v="58"/>
    <n v="2"/>
    <n v="10083704.084634162"/>
    <n v="0"/>
    <n v="0"/>
    <n v="0"/>
    <n v="15254279.127462162"/>
    <n v="14809.979735400157"/>
  </r>
  <r>
    <s v="4.3.4.1"/>
    <x v="3"/>
    <x v="3"/>
    <x v="0"/>
    <x v="12"/>
    <n v="6"/>
    <x v="68"/>
    <x v="68"/>
    <s v="Review TORs of the Health Financing TWG as part of holistic review of health TWG arrangements at national levels"/>
    <s v="validation workshop"/>
    <s v="Conference package high-level"/>
    <n v="35000"/>
    <m/>
    <m/>
    <n v="0"/>
    <n v="100"/>
    <n v="1"/>
    <n v="4000223.8394999993"/>
    <m/>
    <m/>
    <n v="0"/>
    <m/>
    <m/>
    <n v="0"/>
    <m/>
    <m/>
    <n v="0"/>
    <m/>
    <m/>
    <n v="0"/>
    <n v="100"/>
    <n v="1"/>
    <n v="7801274.1591997268"/>
    <m/>
    <m/>
    <n v="0"/>
    <n v="11801497.998699727"/>
    <n v="11457.765047281287"/>
  </r>
  <r>
    <s v="4.3.4.1"/>
    <x v="3"/>
    <x v="3"/>
    <x v="0"/>
    <x v="12"/>
    <n v="6"/>
    <x v="68"/>
    <x v="68"/>
    <s v="Review TORs of the Health Financing TWG as part of holistic review of health TWG arrangements at national levels"/>
    <s v="validation workshop"/>
    <s v="Local running (diesel, per km)"/>
    <n v="211.42857142857142"/>
    <m/>
    <m/>
    <n v="0"/>
    <n v="1450"/>
    <n v="1"/>
    <n v="350386.95345171425"/>
    <m/>
    <m/>
    <n v="0"/>
    <m/>
    <m/>
    <n v="0"/>
    <m/>
    <m/>
    <n v="0"/>
    <m/>
    <m/>
    <n v="0"/>
    <n v="1450"/>
    <n v="1"/>
    <n v="683327.93247520877"/>
    <m/>
    <m/>
    <n v="0"/>
    <n v="1033714.885926923"/>
    <n v="1003.6066853659447"/>
  </r>
  <r>
    <s v="4.3.4.1"/>
    <x v="3"/>
    <x v="3"/>
    <x v="0"/>
    <x v="12"/>
    <n v="6"/>
    <x v="68"/>
    <x v="68"/>
    <s v="Review TORs of the Health Financing TWG as part of holistic review of health TWG arrangements at national levels"/>
    <s v="validation workshop"/>
    <s v="Fuel for travelling Participants"/>
    <n v="211.42857142857142"/>
    <m/>
    <m/>
    <n v="0"/>
    <n v="1450"/>
    <n v="1"/>
    <n v="350386.95345171425"/>
    <m/>
    <m/>
    <n v="0"/>
    <m/>
    <m/>
    <n v="0"/>
    <m/>
    <m/>
    <n v="0"/>
    <m/>
    <m/>
    <n v="0"/>
    <n v="1450"/>
    <n v="1"/>
    <n v="683327.93247520877"/>
    <m/>
    <m/>
    <n v="0"/>
    <n v="1033714.885926923"/>
    <n v="1003.6066853659447"/>
  </r>
  <r>
    <s v="4.3.4.1"/>
    <x v="3"/>
    <x v="3"/>
    <x v="0"/>
    <x v="12"/>
    <n v="6"/>
    <x v="68"/>
    <x v="68"/>
    <s v="Review TORs of the Health Financing TWG as part of holistic review of health TWG arrangements at national levels"/>
    <s v="present to SMT"/>
    <s v="zero cost"/>
    <n v="0"/>
    <n v="0"/>
    <n v="0"/>
    <n v="0"/>
    <n v="0"/>
    <n v="0"/>
    <n v="0"/>
    <n v="0"/>
    <n v="0"/>
    <n v="0"/>
    <n v="0"/>
    <n v="0"/>
    <n v="0"/>
    <n v="0"/>
    <n v="0"/>
    <n v="0"/>
    <n v="0"/>
    <n v="0"/>
    <n v="0"/>
    <n v="0"/>
    <n v="0"/>
    <n v="0"/>
    <n v="0"/>
    <n v="0"/>
    <n v="0"/>
    <n v="0"/>
    <n v="0"/>
  </r>
  <r>
    <s v="4.3.4.1"/>
    <x v="3"/>
    <x v="3"/>
    <x v="0"/>
    <x v="12"/>
    <n v="6"/>
    <x v="68"/>
    <x v="68"/>
    <s v="Review TORs of the Health Financing TWG as part of holistic review of health TWG arrangements at national levels"/>
    <s v="HFTWG quarterly meetings at national level"/>
    <s v="Conference package high-level"/>
    <n v="35000"/>
    <n v="50"/>
    <n v="4"/>
    <n v="7000000"/>
    <n v="50"/>
    <n v="1"/>
    <n v="2000111.9197499997"/>
    <n v="0"/>
    <n v="0"/>
    <n v="0"/>
    <n v="0"/>
    <n v="0"/>
    <n v="0"/>
    <n v="0"/>
    <n v="0"/>
    <n v="0"/>
    <n v="0"/>
    <n v="0"/>
    <n v="0"/>
    <n v="0"/>
    <n v="0"/>
    <n v="0"/>
    <n v="0"/>
    <n v="0"/>
    <n v="0"/>
    <n v="9000111.9197499994"/>
    <n v="8737.9727376213596"/>
  </r>
  <r>
    <s v="4.3.4.1"/>
    <x v="3"/>
    <x v="3"/>
    <x v="0"/>
    <x v="12"/>
    <n v="6"/>
    <x v="68"/>
    <x v="68"/>
    <s v="Strengthen district partnerships forum to discuss health financing issues"/>
    <s v="Development of TORs for the district level partnership forums"/>
    <s v="zero cost"/>
    <n v="0"/>
    <n v="0"/>
    <n v="0"/>
    <n v="0"/>
    <n v="0"/>
    <n v="0"/>
    <n v="0"/>
    <n v="0"/>
    <n v="0"/>
    <n v="0"/>
    <n v="0"/>
    <n v="0"/>
    <n v="0"/>
    <n v="0"/>
    <n v="0"/>
    <n v="0"/>
    <n v="0"/>
    <n v="0"/>
    <n v="0"/>
    <n v="0"/>
    <n v="0"/>
    <n v="0"/>
    <n v="0"/>
    <n v="0"/>
    <n v="0"/>
    <n v="0"/>
    <n v="0"/>
  </r>
  <r>
    <s v="4.3.4.1"/>
    <x v="3"/>
    <x v="3"/>
    <x v="0"/>
    <x v="12"/>
    <n v="6"/>
    <x v="68"/>
    <x v="68"/>
    <s v="Strengthen district partnerships forum to discuss health financing issues"/>
    <s v="Each district must develop a calendar for the new partnership forum"/>
    <s v="zero cost"/>
    <n v="0"/>
    <n v="0"/>
    <n v="0"/>
    <n v="0"/>
    <n v="0"/>
    <n v="0"/>
    <n v="0"/>
    <n v="0"/>
    <n v="0"/>
    <n v="0"/>
    <n v="0"/>
    <n v="0"/>
    <n v="0"/>
    <n v="0"/>
    <n v="0"/>
    <n v="0"/>
    <n v="0"/>
    <n v="0"/>
    <n v="0"/>
    <n v="0"/>
    <n v="0"/>
    <n v="0"/>
    <n v="0"/>
    <n v="0"/>
    <n v="0"/>
    <n v="0"/>
    <n v="0"/>
  </r>
  <r>
    <s v="4.3.4.1"/>
    <x v="3"/>
    <x v="3"/>
    <x v="0"/>
    <x v="12"/>
    <n v="6"/>
    <x v="68"/>
    <x v="68"/>
    <s v="Strengthen district partnerships forum to discuss health financing issues"/>
    <s v="Conduct quarterly meetings"/>
    <s v="zero cost"/>
    <n v="0"/>
    <n v="0"/>
    <n v="0"/>
    <n v="0"/>
    <n v="0"/>
    <n v="0"/>
    <n v="0"/>
    <n v="0"/>
    <n v="0"/>
    <n v="0"/>
    <n v="0"/>
    <n v="0"/>
    <n v="0"/>
    <n v="0"/>
    <n v="0"/>
    <n v="0"/>
    <n v="0"/>
    <n v="0"/>
    <n v="0"/>
    <n v="0"/>
    <n v="0"/>
    <n v="0"/>
    <n v="0"/>
    <n v="0"/>
    <n v="0"/>
    <n v="0"/>
    <n v="0"/>
  </r>
  <r>
    <s v="4.3.4.1"/>
    <x v="3"/>
    <x v="3"/>
    <x v="0"/>
    <x v="12"/>
    <n v="6"/>
    <x v="68"/>
    <x v="68"/>
    <s v="Strengthen district partnerships forum to discuss health financing issues"/>
    <s v="production and dissemination of minutes"/>
    <s v="zero cost"/>
    <n v="0"/>
    <n v="0"/>
    <n v="0"/>
    <n v="0"/>
    <n v="0"/>
    <n v="0"/>
    <n v="0"/>
    <n v="0"/>
    <n v="0"/>
    <n v="0"/>
    <n v="0"/>
    <n v="0"/>
    <n v="0"/>
    <n v="0"/>
    <n v="0"/>
    <n v="0"/>
    <n v="0"/>
    <n v="0"/>
    <n v="0"/>
    <n v="0"/>
    <n v="0"/>
    <n v="0"/>
    <n v="0"/>
    <n v="0"/>
    <n v="0"/>
    <n v="0"/>
    <n v="0"/>
  </r>
  <r>
    <s v="4.3.4.1"/>
    <x v="3"/>
    <x v="3"/>
    <x v="0"/>
    <x v="12"/>
    <n v="6"/>
    <x v="68"/>
    <x v="68"/>
    <s v="Establishment of partnership forums - Healthy centre level"/>
    <s v="Development of TORs for the health centre level partnership forums"/>
    <s v="zero cost"/>
    <n v="0"/>
    <n v="0"/>
    <n v="0"/>
    <n v="0"/>
    <n v="0"/>
    <n v="0"/>
    <n v="0"/>
    <n v="0"/>
    <n v="0"/>
    <n v="0"/>
    <n v="0"/>
    <n v="0"/>
    <n v="0"/>
    <n v="0"/>
    <n v="0"/>
    <n v="0"/>
    <n v="0"/>
    <n v="0"/>
    <n v="0"/>
    <n v="0"/>
    <n v="0"/>
    <n v="0"/>
    <n v="0"/>
    <n v="0"/>
    <n v="0"/>
    <n v="0"/>
    <n v="0"/>
  </r>
  <r>
    <s v="4.3.4.1"/>
    <x v="3"/>
    <x v="3"/>
    <x v="0"/>
    <x v="12"/>
    <n v="6"/>
    <x v="68"/>
    <x v="68"/>
    <s v="Establishment of partnership forums - Healthy centre level"/>
    <s v="Each health centre must develop a calendar for the new partnership forum"/>
    <s v="zero cost"/>
    <n v="0"/>
    <n v="0"/>
    <n v="0"/>
    <n v="0"/>
    <n v="0"/>
    <n v="0"/>
    <n v="0"/>
    <n v="0"/>
    <n v="0"/>
    <n v="0"/>
    <n v="0"/>
    <n v="0"/>
    <n v="0"/>
    <n v="0"/>
    <n v="0"/>
    <n v="0"/>
    <n v="0"/>
    <n v="0"/>
    <n v="0"/>
    <n v="0"/>
    <n v="0"/>
    <n v="0"/>
    <n v="0"/>
    <n v="0"/>
    <n v="0"/>
    <n v="0"/>
    <n v="0"/>
  </r>
  <r>
    <s v="4.3.4.1"/>
    <x v="3"/>
    <x v="3"/>
    <x v="0"/>
    <x v="12"/>
    <n v="6"/>
    <x v="68"/>
    <x v="68"/>
    <s v="Establishment of partnership forums - Healthy centre level"/>
    <s v="Conduct quarterly meetings"/>
    <s v="zero cost"/>
    <n v="0"/>
    <n v="0"/>
    <n v="0"/>
    <n v="0"/>
    <n v="0"/>
    <n v="0"/>
    <n v="0"/>
    <n v="0"/>
    <n v="0"/>
    <n v="0"/>
    <n v="0"/>
    <n v="0"/>
    <n v="0"/>
    <n v="0"/>
    <n v="0"/>
    <n v="0"/>
    <n v="0"/>
    <n v="0"/>
    <n v="0"/>
    <n v="0"/>
    <n v="0"/>
    <n v="0"/>
    <n v="0"/>
    <n v="0"/>
    <n v="0"/>
    <n v="0"/>
    <n v="0"/>
  </r>
  <r>
    <s v="4.3.4.1"/>
    <x v="3"/>
    <x v="3"/>
    <x v="0"/>
    <x v="12"/>
    <n v="6"/>
    <x v="68"/>
    <x v="68"/>
    <s v="Establishment of partnership forums - Healthy centre level"/>
    <s v="production and dissemination of minutes"/>
    <s v="zero cost"/>
    <n v="0"/>
    <n v="0"/>
    <n v="0"/>
    <n v="0"/>
    <n v="0"/>
    <n v="0"/>
    <n v="0"/>
    <n v="0"/>
    <n v="0"/>
    <n v="0"/>
    <n v="0"/>
    <n v="0"/>
    <n v="0"/>
    <n v="0"/>
    <n v="0"/>
    <n v="0"/>
    <n v="0"/>
    <n v="0"/>
    <n v="0"/>
    <n v="0"/>
    <n v="0"/>
    <n v="0"/>
    <n v="0"/>
    <n v="0"/>
    <n v="0"/>
    <n v="0"/>
    <n v="0"/>
  </r>
  <r>
    <s v="4.3.4.1"/>
    <x v="3"/>
    <x v="3"/>
    <x v="0"/>
    <x v="12"/>
    <n v="7"/>
    <x v="69"/>
    <x v="69"/>
    <s v="Conduct biennial UHC studies"/>
    <s v="  Concept note "/>
    <s v="Zero Cost"/>
    <n v="0"/>
    <n v="0"/>
    <n v="0"/>
    <n v="0"/>
    <n v="0"/>
    <n v="0"/>
    <n v="0"/>
    <m/>
    <m/>
    <n v="0"/>
    <n v="0"/>
    <n v="0"/>
    <n v="0"/>
    <m/>
    <m/>
    <n v="0"/>
    <n v="0"/>
    <n v="0"/>
    <n v="0"/>
    <m/>
    <m/>
    <n v="0"/>
    <n v="0"/>
    <n v="0"/>
    <n v="0"/>
    <n v="0"/>
    <n v="0"/>
  </r>
  <r>
    <s v="4.3.4.1"/>
    <x v="3"/>
    <x v="3"/>
    <x v="0"/>
    <x v="12"/>
    <n v="7"/>
    <x v="69"/>
    <x v="69"/>
    <s v="Conduct biennial UHC studies"/>
    <s v=" Committee"/>
    <s v="Zero Cost"/>
    <n v="0"/>
    <m/>
    <m/>
    <n v="0"/>
    <n v="0"/>
    <n v="0"/>
    <n v="0"/>
    <m/>
    <m/>
    <n v="0"/>
    <n v="0"/>
    <n v="0"/>
    <n v="0"/>
    <m/>
    <m/>
    <n v="0"/>
    <n v="0"/>
    <n v="0"/>
    <n v="0"/>
    <m/>
    <m/>
    <n v="0"/>
    <n v="0"/>
    <n v="0"/>
    <n v="0"/>
    <n v="0"/>
    <n v="0"/>
  </r>
  <r>
    <s v="4.3.4.1"/>
    <x v="3"/>
    <x v="3"/>
    <x v="0"/>
    <x v="12"/>
    <n v="7"/>
    <x v="69"/>
    <x v="69"/>
    <s v="Conduct biennial UHC studies"/>
    <s v="recruit a consultant to lead the UHC studies"/>
    <s v="TORs for a local consultant "/>
    <n v="0"/>
    <m/>
    <m/>
    <n v="0"/>
    <n v="0"/>
    <n v="0"/>
    <n v="0"/>
    <m/>
    <m/>
    <n v="0"/>
    <n v="0"/>
    <n v="0"/>
    <n v="0"/>
    <m/>
    <m/>
    <n v="0"/>
    <n v="0"/>
    <n v="0"/>
    <n v="0"/>
    <m/>
    <m/>
    <n v="0"/>
    <n v="0"/>
    <n v="0"/>
    <n v="0"/>
    <n v="0"/>
    <n v="0"/>
  </r>
  <r>
    <s v="4.3.4.1"/>
    <x v="3"/>
    <x v="3"/>
    <x v="0"/>
    <x v="12"/>
    <n v="7"/>
    <x v="69"/>
    <x v="69"/>
    <s v="Conduct biennial UHC studies"/>
    <s v="recruit a consultant to lead the UHC studies"/>
    <s v="Advertise and recruit a consultant"/>
    <n v="391991.03749999998"/>
    <m/>
    <m/>
    <n v="0"/>
    <n v="2"/>
    <n v="2"/>
    <n v="1792059.3063746723"/>
    <m/>
    <m/>
    <n v="0"/>
    <n v="2"/>
    <n v="2"/>
    <n v="2340910.8621271173"/>
    <m/>
    <m/>
    <n v="0"/>
    <n v="2"/>
    <n v="2"/>
    <n v="3057858.4341109009"/>
    <m/>
    <m/>
    <n v="0"/>
    <n v="2"/>
    <n v="2"/>
    <n v="3994384.5595926056"/>
    <n v="11185213.162205297"/>
    <n v="10859.430254568249"/>
  </r>
  <r>
    <s v="4.3.4.1"/>
    <x v="3"/>
    <x v="3"/>
    <x v="0"/>
    <x v="12"/>
    <n v="7"/>
    <x v="69"/>
    <x v="69"/>
    <s v="Conduct biennial UHC studies"/>
    <s v="recruit a consultant to lead the UHC studies"/>
    <s v="Recruitment of Consultant"/>
    <n v="515000"/>
    <m/>
    <m/>
    <n v="0"/>
    <n v="1"/>
    <n v="25"/>
    <n v="14715109.123875"/>
    <m/>
    <m/>
    <n v="0"/>
    <n v="1"/>
    <n v="25"/>
    <n v="19221885.493929587"/>
    <m/>
    <m/>
    <n v="0"/>
    <n v="1"/>
    <n v="25"/>
    <n v="25108946.106438626"/>
    <m/>
    <m/>
    <n v="0"/>
    <n v="1"/>
    <n v="25"/>
    <n v="32799028.730825767"/>
    <n v="91844969.455068976"/>
    <n v="89169.873257348518"/>
  </r>
  <r>
    <s v="4.3.4.1"/>
    <x v="3"/>
    <x v="3"/>
    <x v="0"/>
    <x v="12"/>
    <n v="7"/>
    <x v="69"/>
    <x v="69"/>
    <s v="Conduct biennial UHC studies"/>
    <s v="Validation Workshop"/>
    <s v="Conference package high-level"/>
    <n v="35000"/>
    <m/>
    <m/>
    <n v="0"/>
    <n v="50"/>
    <n v="1"/>
    <n v="2000111.9197499997"/>
    <m/>
    <m/>
    <n v="0"/>
    <n v="50"/>
    <n v="1"/>
    <n v="2612683.4651943129"/>
    <m/>
    <m/>
    <n v="0"/>
    <n v="50"/>
    <n v="1"/>
    <n v="3412866.4610693273"/>
    <m/>
    <m/>
    <n v="0"/>
    <n v="50"/>
    <n v="1"/>
    <n v="4458120.4100151528"/>
    <n v="12483782.256028792"/>
    <n v="12120.176947600768"/>
  </r>
  <r>
    <s v="4.3.4.1"/>
    <x v="3"/>
    <x v="3"/>
    <x v="0"/>
    <x v="12"/>
    <n v="7"/>
    <x v="69"/>
    <x v="69"/>
    <s v="Conduct biennial UHC studies"/>
    <s v="present to TWG"/>
    <s v="Conference package high-level"/>
    <n v="35000"/>
    <m/>
    <m/>
    <n v="0"/>
    <n v="30"/>
    <n v="1"/>
    <n v="1200067.1518499998"/>
    <m/>
    <m/>
    <n v="0"/>
    <n v="30"/>
    <n v="1"/>
    <n v="1567610.0791165878"/>
    <m/>
    <m/>
    <n v="0"/>
    <n v="30"/>
    <n v="1"/>
    <n v="2047719.8766415964"/>
    <m/>
    <m/>
    <n v="0"/>
    <n v="30"/>
    <n v="1"/>
    <n v="2674872.2460090914"/>
    <n v="7490269.3536172751"/>
    <n v="7272.1061685604609"/>
  </r>
  <r>
    <s v="4.3.4.1"/>
    <x v="3"/>
    <x v="3"/>
    <x v="0"/>
    <x v="12"/>
    <n v="7"/>
    <x v="69"/>
    <x v="69"/>
    <s v="Conduct biennial UHC studies"/>
    <s v="present to SMT"/>
    <s v="Conference package high-level"/>
    <n v="35000"/>
    <m/>
    <m/>
    <n v="0"/>
    <n v="20"/>
    <n v="1"/>
    <n v="800044.76789999986"/>
    <m/>
    <m/>
    <n v="0"/>
    <n v="20"/>
    <n v="1"/>
    <n v="1045073.3860777251"/>
    <m/>
    <m/>
    <n v="0"/>
    <n v="20"/>
    <n v="1"/>
    <n v="1365146.5844277311"/>
    <m/>
    <m/>
    <n v="0"/>
    <n v="20"/>
    <n v="1"/>
    <n v="1783248.1640060609"/>
    <n v="4993512.9024115168"/>
    <n v="4848.0707790403076"/>
  </r>
  <r>
    <s v="4.3.4.2"/>
    <x v="3"/>
    <x v="3"/>
    <x v="1"/>
    <x v="13"/>
    <n v="1"/>
    <x v="70"/>
    <x v="70"/>
    <s v="Conduct a policy relevant health financing analysis needs at all levels of the health care system "/>
    <s v="develop TORs for recruitment of a consultant"/>
    <s v="zero cost"/>
    <n v="0"/>
    <n v="0"/>
    <n v="0"/>
    <n v="0"/>
    <n v="0"/>
    <n v="0"/>
    <n v="0"/>
    <n v="0"/>
    <n v="0"/>
    <n v="0"/>
    <n v="0"/>
    <n v="0"/>
    <n v="0"/>
    <n v="0"/>
    <n v="0"/>
    <n v="0"/>
    <n v="0"/>
    <n v="0"/>
    <n v="0"/>
    <n v="0"/>
    <n v="0"/>
    <n v="0"/>
    <n v="0"/>
    <n v="0"/>
    <n v="0"/>
    <n v="0"/>
    <n v="0"/>
  </r>
  <r>
    <s v="4.3.4.2"/>
    <x v="3"/>
    <x v="3"/>
    <x v="1"/>
    <x v="13"/>
    <n v="1"/>
    <x v="70"/>
    <x v="70"/>
    <s v="Conduct a policy relevant health financing analysis needs at all levels of the health care system "/>
    <s v="Recruitment of a consultant"/>
    <s v="Newspaper advert (full)"/>
    <n v="391991.03749999998"/>
    <n v="2"/>
    <n v="2"/>
    <n v="1567964.15"/>
    <m/>
    <m/>
    <n v="0"/>
    <n v="0"/>
    <n v="0"/>
    <n v="0"/>
    <n v="0"/>
    <n v="0"/>
    <n v="0"/>
    <n v="0"/>
    <n v="0"/>
    <n v="0"/>
    <n v="2"/>
    <n v="2"/>
    <n v="3057858.4341109009"/>
    <n v="0"/>
    <n v="0"/>
    <n v="0"/>
    <n v="0"/>
    <n v="0"/>
    <n v="0"/>
    <n v="4625822.5841109008"/>
    <n v="4491.0898874863115"/>
  </r>
  <r>
    <s v="4.3.4.2"/>
    <x v="3"/>
    <x v="3"/>
    <x v="1"/>
    <x v="13"/>
    <n v="1"/>
    <x v="70"/>
    <x v="70"/>
    <s v="Conduct a policy relevant health financing analysis needs at all levels of the health care system "/>
    <s v="Recruitment of a consultant"/>
    <s v="Local consultant fee - High level"/>
    <n v="511000"/>
    <n v="1"/>
    <n v="25"/>
    <n v="12775000"/>
    <m/>
    <m/>
    <n v="0"/>
    <n v="0"/>
    <n v="0"/>
    <n v="0"/>
    <n v="0"/>
    <n v="0"/>
    <n v="0"/>
    <n v="0"/>
    <n v="0"/>
    <n v="0"/>
    <n v="1"/>
    <n v="25"/>
    <n v="24913925.165806092"/>
    <n v="0"/>
    <n v="0"/>
    <n v="0"/>
    <n v="0"/>
    <n v="0"/>
    <n v="0"/>
    <n v="37688925.165806092"/>
    <n v="36591.189481365138"/>
  </r>
  <r>
    <s v="4.3.4.2"/>
    <x v="3"/>
    <x v="3"/>
    <x v="1"/>
    <x v="13"/>
    <n v="1"/>
    <x v="70"/>
    <x v="70"/>
    <s v="Conduct a policy relevant health financing analysis needs at all levels of the health care system "/>
    <s v="design data collection tool"/>
    <s v="zero cost"/>
    <n v="0"/>
    <n v="0"/>
    <n v="0"/>
    <n v="0"/>
    <m/>
    <m/>
    <n v="0"/>
    <n v="0"/>
    <n v="0"/>
    <n v="0"/>
    <n v="0"/>
    <n v="0"/>
    <n v="0"/>
    <n v="0"/>
    <n v="0"/>
    <n v="0"/>
    <n v="0"/>
    <n v="0"/>
    <n v="0"/>
    <n v="0"/>
    <n v="0"/>
    <n v="0"/>
    <n v="0"/>
    <n v="0"/>
    <n v="0"/>
    <n v="0"/>
    <n v="0"/>
  </r>
  <r>
    <s v="4.3.4.2"/>
    <x v="3"/>
    <x v="3"/>
    <x v="1"/>
    <x v="13"/>
    <n v="1"/>
    <x v="70"/>
    <x v="70"/>
    <s v="Conduct a policy relevant health financing analysis needs at all levels of the health care system "/>
    <s v="training research assistants"/>
    <s v="Conference package high-level"/>
    <n v="35000"/>
    <n v="25"/>
    <n v="5"/>
    <n v="4375000"/>
    <m/>
    <m/>
    <n v="0"/>
    <n v="0"/>
    <n v="0"/>
    <n v="0"/>
    <n v="0"/>
    <n v="0"/>
    <n v="0"/>
    <n v="0"/>
    <n v="0"/>
    <n v="0"/>
    <n v="25"/>
    <n v="5"/>
    <n v="8532166.152673319"/>
    <n v="0"/>
    <n v="0"/>
    <n v="0"/>
    <n v="0"/>
    <n v="0"/>
    <n v="0"/>
    <n v="12907166.152673319"/>
    <n v="12531.229274440115"/>
  </r>
  <r>
    <s v="4.3.4.2"/>
    <x v="3"/>
    <x v="3"/>
    <x v="1"/>
    <x v="13"/>
    <n v="1"/>
    <x v="70"/>
    <x v="70"/>
    <s v="Conduct a policy relevant health financing analysis needs at all levels of the health care system "/>
    <s v="training research assistants"/>
    <s v="DSA (excl. lunch)"/>
    <n v="45000"/>
    <n v="25"/>
    <n v="6"/>
    <n v="6750000"/>
    <m/>
    <m/>
    <n v="0"/>
    <m/>
    <m/>
    <n v="0"/>
    <m/>
    <m/>
    <n v="0"/>
    <m/>
    <m/>
    <n v="0"/>
    <n v="25"/>
    <n v="6"/>
    <n v="13163913.492695976"/>
    <m/>
    <m/>
    <n v="0"/>
    <m/>
    <m/>
    <n v="0"/>
    <n v="19913913.492695976"/>
    <n v="19333.896594850463"/>
  </r>
  <r>
    <s v="4.3.4.2"/>
    <x v="3"/>
    <x v="3"/>
    <x v="1"/>
    <x v="13"/>
    <n v="1"/>
    <x v="70"/>
    <x v="70"/>
    <s v="Conduct a policy relevant health financing analysis needs at all levels of the health care system "/>
    <s v="training research assistants"/>
    <s v="Local running (diesel, per km)"/>
    <n v="211.42857142857142"/>
    <n v="450"/>
    <n v="5"/>
    <n v="475714.28571428568"/>
    <m/>
    <m/>
    <n v="0"/>
    <m/>
    <m/>
    <n v="0"/>
    <m/>
    <m/>
    <n v="0"/>
    <m/>
    <m/>
    <n v="0"/>
    <n v="450"/>
    <n v="5"/>
    <n v="927742.47472333559"/>
    <m/>
    <m/>
    <n v="0"/>
    <m/>
    <m/>
    <n v="0"/>
    <n v="1403456.7604376213"/>
    <n v="1362.5793790656517"/>
  </r>
  <r>
    <s v="4.3.4.2"/>
    <x v="3"/>
    <x v="3"/>
    <x v="1"/>
    <x v="13"/>
    <n v="1"/>
    <x v="70"/>
    <x v="70"/>
    <s v="Conduct a policy relevant health financing analysis needs at all levels of the health care system "/>
    <s v="training research assistants"/>
    <s v="Fuel for Travelling Participants"/>
    <n v="211.42857142857142"/>
    <n v="2430"/>
    <n v="1"/>
    <n v="513771.42857142852"/>
    <m/>
    <m/>
    <n v="0"/>
    <m/>
    <m/>
    <n v="0"/>
    <m/>
    <m/>
    <n v="0"/>
    <m/>
    <m/>
    <n v="0"/>
    <n v="2430"/>
    <n v="1"/>
    <n v="1001961.8727012025"/>
    <m/>
    <m/>
    <n v="0"/>
    <m/>
    <m/>
    <n v="0"/>
    <n v="1515733.3012726312"/>
    <n v="1471.5857293909041"/>
  </r>
  <r>
    <s v="4.3.4.2"/>
    <x v="3"/>
    <x v="3"/>
    <x v="1"/>
    <x v="13"/>
    <n v="1"/>
    <x v="70"/>
    <x v="70"/>
    <s v="Conduct a policy relevant health financing analysis needs at all levels of the health care system "/>
    <s v="pre-test data collection tool"/>
    <s v="Full DSA"/>
    <n v="45000"/>
    <n v="25"/>
    <n v="1"/>
    <n v="1125000"/>
    <m/>
    <m/>
    <n v="0"/>
    <n v="0"/>
    <n v="0"/>
    <n v="0"/>
    <n v="0"/>
    <n v="0"/>
    <n v="0"/>
    <n v="0"/>
    <n v="0"/>
    <n v="0"/>
    <n v="25"/>
    <n v="1"/>
    <n v="2193985.5821159962"/>
    <n v="0"/>
    <n v="0"/>
    <n v="0"/>
    <n v="0"/>
    <n v="0"/>
    <n v="0"/>
    <n v="3318985.5821159962"/>
    <n v="3222.316099141744"/>
  </r>
  <r>
    <s v="4.3.4.2"/>
    <x v="3"/>
    <x v="3"/>
    <x v="1"/>
    <x v="13"/>
    <n v="1"/>
    <x v="70"/>
    <x v="70"/>
    <s v="Conduct a policy relevant health financing analysis needs at all levels of the health care system "/>
    <s v="pre-test data collection tool"/>
    <s v="Local running (diesel, per km)"/>
    <n v="211.42857142857142"/>
    <n v="450"/>
    <n v="1"/>
    <n v="95142.85714285713"/>
    <m/>
    <m/>
    <n v="0"/>
    <n v="0"/>
    <n v="0"/>
    <n v="0"/>
    <n v="0"/>
    <n v="0"/>
    <n v="0"/>
    <n v="0"/>
    <n v="0"/>
    <n v="0"/>
    <n v="450"/>
    <n v="1"/>
    <n v="185548.49494466712"/>
    <n v="0"/>
    <n v="0"/>
    <n v="0"/>
    <n v="0"/>
    <n v="0"/>
    <n v="0"/>
    <n v="280691.35208752425"/>
    <n v="272.51587581313032"/>
  </r>
  <r>
    <s v="4.3.4.2"/>
    <x v="3"/>
    <x v="3"/>
    <x v="1"/>
    <x v="13"/>
    <n v="1"/>
    <x v="70"/>
    <x v="70"/>
    <s v="Conduct a policy relevant health financing analysis needs at all levels of the health care system "/>
    <s v="pre-test data collection tool"/>
    <s v="Fuel for Travelling Participants"/>
    <n v="211.42857142857142"/>
    <n v="2430"/>
    <n v="1"/>
    <n v="513771.42857142852"/>
    <m/>
    <m/>
    <n v="0"/>
    <n v="0"/>
    <n v="0"/>
    <n v="0"/>
    <n v="0"/>
    <n v="0"/>
    <n v="0"/>
    <n v="0"/>
    <n v="0"/>
    <n v="0"/>
    <n v="2430"/>
    <n v="1"/>
    <n v="1001961.8727012025"/>
    <n v="0"/>
    <n v="0"/>
    <n v="0"/>
    <n v="0"/>
    <n v="0"/>
    <n v="0"/>
    <n v="1515733.3012726312"/>
    <n v="1471.5857293909041"/>
  </r>
  <r>
    <s v="4.3.4.2"/>
    <x v="3"/>
    <x v="3"/>
    <x v="1"/>
    <x v="13"/>
    <n v="1"/>
    <x v="70"/>
    <x v="70"/>
    <s v="Conduct a policy relevant health financing analysis needs at all levels of the health care system "/>
    <s v="validation of the data collection tool (1 day)"/>
    <s v="zero cost"/>
    <n v="0"/>
    <n v="0"/>
    <n v="0"/>
    <n v="0"/>
    <m/>
    <m/>
    <n v="0"/>
    <n v="0"/>
    <n v="0"/>
    <n v="0"/>
    <n v="0"/>
    <n v="0"/>
    <n v="0"/>
    <n v="0"/>
    <n v="0"/>
    <n v="0"/>
    <n v="0"/>
    <n v="0"/>
    <n v="0"/>
    <n v="0"/>
    <n v="0"/>
    <n v="0"/>
    <n v="0"/>
    <n v="0"/>
    <n v="0"/>
    <n v="0"/>
    <n v="0"/>
  </r>
  <r>
    <s v="4.3.4.2"/>
    <x v="3"/>
    <x v="3"/>
    <x v="1"/>
    <x v="13"/>
    <n v="1"/>
    <x v="70"/>
    <x v="70"/>
    <s v="Conduct a policy relevant health financing analysis needs at all levels of the health care system "/>
    <s v="data collection"/>
    <s v="Full DSA"/>
    <n v="45000"/>
    <n v="25"/>
    <n v="5"/>
    <n v="5625000"/>
    <m/>
    <m/>
    <n v="0"/>
    <n v="0"/>
    <n v="0"/>
    <n v="0"/>
    <n v="0"/>
    <n v="0"/>
    <n v="0"/>
    <n v="0"/>
    <n v="0"/>
    <n v="0"/>
    <n v="25"/>
    <n v="5"/>
    <n v="10969927.910579981"/>
    <n v="0"/>
    <n v="0"/>
    <n v="0"/>
    <n v="0"/>
    <n v="0"/>
    <n v="0"/>
    <n v="16594927.910579981"/>
    <n v="16111.58049570872"/>
  </r>
  <r>
    <s v="4.3.4.2"/>
    <x v="3"/>
    <x v="3"/>
    <x v="1"/>
    <x v="13"/>
    <n v="1"/>
    <x v="70"/>
    <x v="70"/>
    <s v="Conduct a policy relevant health financing analysis needs at all levels of the health care system "/>
    <s v="data collection"/>
    <s v="Local running (diesel, per km)"/>
    <n v="211.42857142857142"/>
    <n v="450"/>
    <n v="5"/>
    <n v="475714.28571428568"/>
    <m/>
    <m/>
    <n v="0"/>
    <n v="0"/>
    <n v="0"/>
    <n v="0"/>
    <n v="0"/>
    <n v="0"/>
    <n v="0"/>
    <n v="0"/>
    <n v="0"/>
    <n v="0"/>
    <n v="450"/>
    <n v="5"/>
    <n v="927742.47472333559"/>
    <n v="0"/>
    <n v="0"/>
    <n v="0"/>
    <n v="0"/>
    <n v="0"/>
    <n v="0"/>
    <n v="1403456.7604376213"/>
    <n v="1362.5793790656517"/>
  </r>
  <r>
    <s v="4.3.4.2"/>
    <x v="3"/>
    <x v="3"/>
    <x v="1"/>
    <x v="13"/>
    <n v="1"/>
    <x v="70"/>
    <x v="70"/>
    <s v="Conduct a policy relevant health financing analysis needs at all levels of the health care system "/>
    <s v="data collection"/>
    <s v="Fuel for Travelling Participants"/>
    <n v="211.42857142857142"/>
    <n v="2430"/>
    <n v="1"/>
    <n v="513771.42857142852"/>
    <m/>
    <m/>
    <n v="0"/>
    <n v="0"/>
    <n v="0"/>
    <n v="0"/>
    <n v="0"/>
    <n v="0"/>
    <n v="0"/>
    <n v="0"/>
    <n v="0"/>
    <n v="0"/>
    <n v="2430"/>
    <n v="1"/>
    <n v="1001961.8727012025"/>
    <n v="0"/>
    <n v="0"/>
    <n v="0"/>
    <n v="0"/>
    <n v="0"/>
    <n v="0"/>
    <n v="1515733.3012726312"/>
    <n v="1471.5857293909041"/>
  </r>
  <r>
    <s v="4.3.4.2"/>
    <x v="3"/>
    <x v="3"/>
    <x v="1"/>
    <x v="13"/>
    <n v="1"/>
    <x v="70"/>
    <x v="70"/>
    <s v="Conduct a policy relevant health financing analysis needs at all levels of the health care system "/>
    <s v="data collection"/>
    <s v="Airtime for Research Assistant"/>
    <n v="10000"/>
    <n v="15"/>
    <n v="1"/>
    <n v="150000"/>
    <m/>
    <m/>
    <n v="0"/>
    <n v="0"/>
    <n v="0"/>
    <n v="0"/>
    <n v="0"/>
    <n v="0"/>
    <n v="0"/>
    <n v="0"/>
    <n v="0"/>
    <n v="0"/>
    <n v="15"/>
    <n v="1"/>
    <n v="292531.41094879952"/>
    <n v="0"/>
    <n v="0"/>
    <n v="0"/>
    <n v="0"/>
    <n v="0"/>
    <n v="0"/>
    <n v="442531.41094879952"/>
    <n v="429.64214655223253"/>
  </r>
  <r>
    <s v="4.3.4.2"/>
    <x v="3"/>
    <x v="3"/>
    <x v="1"/>
    <x v="13"/>
    <n v="1"/>
    <x v="70"/>
    <x v="70"/>
    <s v="Conduct a policy relevant health financing analysis needs at all levels of the health care system "/>
    <s v="data collection"/>
    <s v="Tablet"/>
    <n v="302000"/>
    <n v="1"/>
    <n v="1"/>
    <n v="302000"/>
    <m/>
    <m/>
    <n v="0"/>
    <n v="0"/>
    <n v="0"/>
    <n v="0"/>
    <n v="0"/>
    <n v="0"/>
    <n v="0"/>
    <n v="0"/>
    <n v="0"/>
    <n v="0"/>
    <n v="1"/>
    <n v="1"/>
    <n v="588963.24071024975"/>
    <n v="0"/>
    <n v="0"/>
    <n v="0"/>
    <n v="0"/>
    <n v="0"/>
    <n v="0"/>
    <n v="890963.24071024975"/>
    <n v="865.01285505849489"/>
  </r>
  <r>
    <s v="4.3.4.2"/>
    <x v="3"/>
    <x v="3"/>
    <x v="1"/>
    <x v="13"/>
    <n v="1"/>
    <x v="70"/>
    <x v="70"/>
    <s v="Conduct a policy relevant health financing analysis needs at all levels of the health care system "/>
    <s v="data analysis"/>
    <s v="DSA (excl. lunch)"/>
    <n v="39000"/>
    <n v="25"/>
    <n v="6"/>
    <n v="5850000"/>
    <m/>
    <m/>
    <n v="0"/>
    <n v="0"/>
    <n v="0"/>
    <n v="0"/>
    <n v="0"/>
    <n v="0"/>
    <n v="0"/>
    <n v="0"/>
    <n v="0"/>
    <n v="0"/>
    <n v="25"/>
    <n v="6"/>
    <n v="11408725.027003182"/>
    <n v="0"/>
    <n v="0"/>
    <n v="0"/>
    <n v="0"/>
    <n v="0"/>
    <n v="0"/>
    <n v="17258725.027003184"/>
    <n v="16756.043715537071"/>
  </r>
  <r>
    <s v="4.3.4.2"/>
    <x v="3"/>
    <x v="3"/>
    <x v="1"/>
    <x v="13"/>
    <n v="1"/>
    <x v="70"/>
    <x v="70"/>
    <s v="Conduct a policy relevant health financing analysis needs at all levels of the health care system "/>
    <s v="data analysis"/>
    <s v="Conference package high-level"/>
    <n v="35000"/>
    <n v="25"/>
    <n v="5"/>
    <n v="4375000"/>
    <m/>
    <m/>
    <n v="0"/>
    <n v="0"/>
    <n v="0"/>
    <n v="0"/>
    <n v="0"/>
    <n v="0"/>
    <n v="0"/>
    <n v="0"/>
    <n v="0"/>
    <n v="0"/>
    <n v="25"/>
    <n v="5"/>
    <n v="8532166.152673319"/>
    <n v="0"/>
    <n v="0"/>
    <n v="0"/>
    <n v="0"/>
    <n v="0"/>
    <n v="0"/>
    <n v="12907166.152673319"/>
    <n v="12531.229274440115"/>
  </r>
  <r>
    <s v="4.3.4.2"/>
    <x v="3"/>
    <x v="3"/>
    <x v="1"/>
    <x v="13"/>
    <n v="1"/>
    <x v="70"/>
    <x v="70"/>
    <s v="Conduct a policy relevant health financing analysis needs at all levels of the health care system "/>
    <s v="data collection"/>
    <s v="Fuel for Travelling Participants"/>
    <n v="211.42857142857142"/>
    <n v="2430"/>
    <n v="1"/>
    <n v="513771.42857142852"/>
    <m/>
    <m/>
    <n v="0"/>
    <n v="0"/>
    <n v="0"/>
    <n v="0"/>
    <n v="0"/>
    <n v="0"/>
    <n v="0"/>
    <n v="0"/>
    <n v="0"/>
    <n v="0"/>
    <n v="2430"/>
    <n v="1"/>
    <n v="1001961.8727012025"/>
    <n v="0"/>
    <n v="0"/>
    <n v="0"/>
    <n v="0"/>
    <n v="0"/>
    <n v="0"/>
    <n v="1515733.3012726312"/>
    <n v="1471.5857293909041"/>
  </r>
  <r>
    <s v="4.3.4.2"/>
    <x v="3"/>
    <x v="3"/>
    <x v="1"/>
    <x v="13"/>
    <n v="1"/>
    <x v="70"/>
    <x v="70"/>
    <s v="Conduct a policy relevant health financing analysis needs at all levels of the health care system "/>
    <s v="data analysis"/>
    <s v="Local running (diesel, per km)"/>
    <n v="211.42857142857142"/>
    <n v="450"/>
    <n v="5"/>
    <n v="475714.28571428568"/>
    <m/>
    <m/>
    <n v="0"/>
    <n v="0"/>
    <n v="0"/>
    <n v="0"/>
    <n v="0"/>
    <n v="0"/>
    <n v="0"/>
    <n v="0"/>
    <n v="0"/>
    <n v="0"/>
    <n v="450"/>
    <n v="5"/>
    <n v="927742.47472333559"/>
    <n v="0"/>
    <n v="0"/>
    <n v="0"/>
    <n v="0"/>
    <n v="0"/>
    <n v="0"/>
    <n v="1403456.7604376213"/>
    <n v="1362.5793790656517"/>
  </r>
  <r>
    <s v="4.3.4.2"/>
    <x v="3"/>
    <x v="3"/>
    <x v="1"/>
    <x v="13"/>
    <n v="1"/>
    <x v="70"/>
    <x v="70"/>
    <s v="Conduct a policy relevant health financing analysis needs at all levels of the health care system "/>
    <s v="Report writing"/>
    <s v="DSA (excl. lunch)"/>
    <n v="39000"/>
    <n v="25"/>
    <n v="5"/>
    <n v="4875000"/>
    <m/>
    <m/>
    <n v="0"/>
    <n v="0"/>
    <n v="0"/>
    <n v="0"/>
    <n v="0"/>
    <n v="0"/>
    <n v="0"/>
    <n v="0"/>
    <n v="0"/>
    <n v="0"/>
    <n v="25"/>
    <n v="5"/>
    <n v="9507270.8558359854"/>
    <n v="0"/>
    <n v="0"/>
    <n v="0"/>
    <n v="0"/>
    <n v="0"/>
    <n v="0"/>
    <n v="14382270.855835985"/>
    <n v="13963.369762947559"/>
  </r>
  <r>
    <s v="4.3.4.2"/>
    <x v="3"/>
    <x v="3"/>
    <x v="1"/>
    <x v="13"/>
    <n v="1"/>
    <x v="70"/>
    <x v="70"/>
    <s v="Conduct a policy relevant health financing analysis needs at all levels of the health care system "/>
    <s v="Report writing"/>
    <s v="Conference package high-level"/>
    <n v="35000"/>
    <n v="25"/>
    <n v="4"/>
    <n v="3500000"/>
    <m/>
    <m/>
    <n v="0"/>
    <n v="0"/>
    <n v="0"/>
    <n v="0"/>
    <n v="0"/>
    <n v="0"/>
    <n v="0"/>
    <n v="0"/>
    <n v="0"/>
    <n v="0"/>
    <n v="25"/>
    <n v="4"/>
    <n v="6825732.9221386546"/>
    <n v="0"/>
    <n v="0"/>
    <n v="0"/>
    <n v="0"/>
    <n v="0"/>
    <n v="0"/>
    <n v="10325732.922138654"/>
    <n v="10024.983419552091"/>
  </r>
  <r>
    <s v="4.3.4.2"/>
    <x v="3"/>
    <x v="3"/>
    <x v="1"/>
    <x v="13"/>
    <n v="1"/>
    <x v="70"/>
    <x v="70"/>
    <s v="Conduct a policy relevant health financing analysis needs at all levels of the health care system "/>
    <s v="Report writing"/>
    <s v="Local running (diesel, per km)"/>
    <n v="211.42857142857142"/>
    <n v="450"/>
    <n v="4"/>
    <n v="380571.42857142852"/>
    <m/>
    <m/>
    <n v="0"/>
    <n v="0"/>
    <n v="0"/>
    <n v="0"/>
    <n v="0"/>
    <n v="0"/>
    <n v="0"/>
    <n v="0"/>
    <n v="0"/>
    <n v="0"/>
    <n v="450"/>
    <n v="4"/>
    <n v="742193.97977866849"/>
    <n v="0"/>
    <n v="0"/>
    <n v="0"/>
    <n v="0"/>
    <n v="0"/>
    <n v="0"/>
    <n v="1122765.408350097"/>
    <n v="1090.0635032525213"/>
  </r>
  <r>
    <s v="4.3.4.2"/>
    <x v="3"/>
    <x v="3"/>
    <x v="1"/>
    <x v="13"/>
    <n v="1"/>
    <x v="70"/>
    <x v="70"/>
    <s v="Conduct a policy relevant health financing analysis needs at all levels of the health care system "/>
    <s v="data collection"/>
    <s v="Fuel for Travelling Participants"/>
    <n v="211.42857142857142"/>
    <n v="2430"/>
    <n v="1"/>
    <n v="513771.42857142852"/>
    <m/>
    <m/>
    <n v="0"/>
    <n v="0"/>
    <n v="0"/>
    <n v="0"/>
    <n v="0"/>
    <n v="0"/>
    <n v="0"/>
    <n v="0"/>
    <n v="0"/>
    <n v="0"/>
    <n v="2430"/>
    <n v="1"/>
    <n v="1001961.8727012025"/>
    <n v="0"/>
    <n v="0"/>
    <n v="0"/>
    <n v="0"/>
    <n v="0"/>
    <n v="0"/>
    <n v="1515733.3012726312"/>
    <n v="1471.5857293909041"/>
  </r>
  <r>
    <s v="4.3.4.2"/>
    <x v="3"/>
    <x v="3"/>
    <x v="1"/>
    <x v="13"/>
    <n v="1"/>
    <x v="70"/>
    <x v="70"/>
    <s v="Conduct a policy relevant health financing analysis needs at all levels of the health care system "/>
    <s v="validation whorkshop"/>
    <s v="Conference package high-level"/>
    <n v="35000"/>
    <n v="100"/>
    <n v="5"/>
    <n v="17500000"/>
    <m/>
    <m/>
    <n v="0"/>
    <n v="0"/>
    <n v="0"/>
    <n v="0"/>
    <n v="0"/>
    <n v="0"/>
    <n v="0"/>
    <n v="0"/>
    <n v="0"/>
    <n v="0"/>
    <n v="100"/>
    <n v="5"/>
    <n v="34128664.610693276"/>
    <n v="0"/>
    <n v="0"/>
    <n v="0"/>
    <n v="0"/>
    <n v="0"/>
    <n v="0"/>
    <n v="51628664.610693276"/>
    <n v="50124.917097760459"/>
  </r>
  <r>
    <s v="4.3.4.2"/>
    <x v="3"/>
    <x v="3"/>
    <x v="1"/>
    <x v="13"/>
    <n v="1"/>
    <x v="70"/>
    <x v="70"/>
    <s v="Conduct a policy relevant health financing analysis needs at all levels of the health care system "/>
    <s v="validation whorkshop"/>
    <s v="DSA (excl. lunch)"/>
    <n v="39000"/>
    <n v="58"/>
    <n v="6"/>
    <n v="13572000"/>
    <m/>
    <m/>
    <n v="0"/>
    <m/>
    <m/>
    <n v="0"/>
    <m/>
    <m/>
    <n v="0"/>
    <m/>
    <m/>
    <n v="0"/>
    <n v="58"/>
    <n v="6"/>
    <n v="26468242.06264738"/>
    <m/>
    <m/>
    <n v="0"/>
    <m/>
    <m/>
    <n v="0"/>
    <n v="40040242.06264738"/>
    <n v="38874.021420046003"/>
  </r>
  <r>
    <s v="4.3.4.2"/>
    <x v="3"/>
    <x v="3"/>
    <x v="1"/>
    <x v="13"/>
    <n v="1"/>
    <x v="70"/>
    <x v="70"/>
    <s v="Conduct a policy relevant health financing analysis needs at all levels of the health care system "/>
    <s v="validation whorkshop"/>
    <s v="Local running (diesel, per km)"/>
    <n v="211.42857142857142"/>
    <n v="1450"/>
    <n v="5"/>
    <n v="1532857.142857143"/>
    <m/>
    <m/>
    <n v="0"/>
    <m/>
    <m/>
    <n v="0"/>
    <m/>
    <m/>
    <n v="0"/>
    <m/>
    <m/>
    <n v="0"/>
    <n v="1450"/>
    <n v="5"/>
    <n v="2989392.41855297"/>
    <m/>
    <m/>
    <n v="0"/>
    <m/>
    <m/>
    <n v="0"/>
    <n v="4522249.5614101132"/>
    <n v="4390.5335547671002"/>
  </r>
  <r>
    <s v="4.3.4.2"/>
    <x v="3"/>
    <x v="3"/>
    <x v="1"/>
    <x v="13"/>
    <n v="1"/>
    <x v="70"/>
    <x v="70"/>
    <s v="Conduct a policy relevant health financing analysis needs at all levels of the health care system "/>
    <s v="validation whorkshop"/>
    <s v="Fuel for Travelling Participants"/>
    <n v="211.42857142857142"/>
    <n v="7830"/>
    <n v="1"/>
    <n v="1655485.7142857141"/>
    <m/>
    <m/>
    <n v="0"/>
    <m/>
    <m/>
    <n v="0"/>
    <m/>
    <m/>
    <n v="0"/>
    <m/>
    <m/>
    <n v="0"/>
    <n v="7830"/>
    <n v="1"/>
    <n v="3228543.8120372081"/>
    <m/>
    <m/>
    <n v="0"/>
    <m/>
    <m/>
    <n v="0"/>
    <n v="4884029.5263229217"/>
    <n v="4741.7762391484675"/>
  </r>
  <r>
    <s v="4.3.4.2"/>
    <x v="3"/>
    <x v="3"/>
    <x v="1"/>
    <x v="13"/>
    <n v="1"/>
    <x v="70"/>
    <x v="70"/>
    <s v="Conduct a policy relevant health financing analysis needs at all levels of the health care system "/>
    <s v="dissemination workshop"/>
    <s v="A4, 500pages, 140 gsm paper"/>
    <n v="8000"/>
    <n v="5"/>
    <n v="1"/>
    <n v="40000"/>
    <m/>
    <m/>
    <n v="0"/>
    <n v="0"/>
    <n v="0"/>
    <n v="0"/>
    <n v="0"/>
    <n v="0"/>
    <n v="0"/>
    <n v="0"/>
    <n v="0"/>
    <n v="0"/>
    <n v="5"/>
    <n v="1"/>
    <n v="78008.376253013208"/>
    <n v="0"/>
    <n v="0"/>
    <n v="0"/>
    <n v="0"/>
    <n v="0"/>
    <n v="0"/>
    <n v="118008.37625301321"/>
    <n v="114.57123908059535"/>
  </r>
  <r>
    <s v="4.3.4.2"/>
    <x v="3"/>
    <x v="3"/>
    <x v="1"/>
    <x v="13"/>
    <n v="1"/>
    <x v="70"/>
    <x v="70"/>
    <s v="Conduct a policy relevant health financing analysis needs at all levels of the health care system "/>
    <s v="dissemination workshop"/>
    <s v="toner"/>
    <n v="104850"/>
    <n v="1"/>
    <n v="1"/>
    <n v="104850"/>
    <m/>
    <m/>
    <n v="0"/>
    <n v="0"/>
    <n v="0"/>
    <n v="0"/>
    <n v="0"/>
    <n v="0"/>
    <n v="0"/>
    <n v="0"/>
    <n v="0"/>
    <n v="0"/>
    <n v="1"/>
    <n v="1"/>
    <n v="204479.45625321087"/>
    <n v="0"/>
    <n v="0"/>
    <n v="0"/>
    <n v="0"/>
    <n v="0"/>
    <n v="0"/>
    <n v="309329.4562532109"/>
    <n v="300.31986044001059"/>
  </r>
  <r>
    <s v="4.3.4.2"/>
    <x v="3"/>
    <x v="3"/>
    <x v="1"/>
    <x v="13"/>
    <n v="1"/>
    <x v="70"/>
    <x v="70"/>
    <s v="Conduct a policy relevant health financing analysis needs at all levels of the health care system "/>
    <s v="dissemination workshop"/>
    <s v="Conference package high-level"/>
    <n v="35000"/>
    <n v="100"/>
    <n v="1"/>
    <n v="3500000"/>
    <m/>
    <m/>
    <n v="0"/>
    <n v="0"/>
    <n v="0"/>
    <n v="0"/>
    <n v="0"/>
    <n v="0"/>
    <n v="0"/>
    <n v="0"/>
    <n v="0"/>
    <n v="0"/>
    <n v="100"/>
    <n v="1"/>
    <n v="6825732.9221386546"/>
    <n v="0"/>
    <n v="0"/>
    <n v="0"/>
    <n v="0"/>
    <n v="0"/>
    <n v="0"/>
    <n v="10325732.922138654"/>
    <n v="10024.983419552091"/>
  </r>
  <r>
    <s v="4.3.4.2"/>
    <x v="3"/>
    <x v="3"/>
    <x v="1"/>
    <x v="13"/>
    <n v="1"/>
    <x v="70"/>
    <x v="70"/>
    <s v="Conduct a policy relevant health financing analysis needs at all levels of the health care system "/>
    <s v="dissemination workshop"/>
    <s v="DSA (excl. lunch)"/>
    <n v="39000"/>
    <n v="58"/>
    <n v="2"/>
    <n v="4524000"/>
    <m/>
    <m/>
    <n v="0"/>
    <n v="0"/>
    <n v="0"/>
    <n v="0"/>
    <n v="0"/>
    <n v="0"/>
    <n v="0"/>
    <n v="0"/>
    <n v="0"/>
    <n v="0"/>
    <n v="58"/>
    <n v="2"/>
    <n v="8822747.3542157933"/>
    <n v="0"/>
    <n v="0"/>
    <n v="0"/>
    <n v="0"/>
    <n v="0"/>
    <n v="0"/>
    <n v="13346747.354215793"/>
    <n v="12958.007140015334"/>
  </r>
  <r>
    <s v="4.3.4.2"/>
    <x v="3"/>
    <x v="3"/>
    <x v="1"/>
    <x v="13"/>
    <n v="1"/>
    <x v="70"/>
    <x v="70"/>
    <s v="Conduct a policy relevant health financing analysis needs at all levels of the health care system "/>
    <s v="dissemination workshop"/>
    <s v="Local running (diesel, per km)"/>
    <n v="211.42857142857142"/>
    <n v="1450"/>
    <n v="1"/>
    <n v="306571.42857142858"/>
    <m/>
    <m/>
    <n v="0"/>
    <n v="0"/>
    <n v="0"/>
    <n v="0"/>
    <n v="0"/>
    <n v="0"/>
    <n v="0"/>
    <n v="0"/>
    <n v="0"/>
    <n v="0"/>
    <n v="1450"/>
    <n v="1"/>
    <n v="597878.48371059401"/>
    <n v="0"/>
    <n v="0"/>
    <n v="0"/>
    <n v="0"/>
    <n v="0"/>
    <n v="0"/>
    <n v="904449.91228202265"/>
    <n v="878.10671095342002"/>
  </r>
  <r>
    <s v="4.3.4.2"/>
    <x v="3"/>
    <x v="3"/>
    <x v="1"/>
    <x v="13"/>
    <n v="1"/>
    <x v="70"/>
    <x v="70"/>
    <s v="Conduct a policy relevant health financing analysis needs at all levels of the health care system "/>
    <s v="dissemination workshop"/>
    <s v="Local running (diesel, per km)"/>
    <n v="211.42857142857142"/>
    <n v="7830"/>
    <n v="2"/>
    <n v="3310971.4285714282"/>
    <m/>
    <m/>
    <n v="0"/>
    <m/>
    <m/>
    <n v="0"/>
    <m/>
    <m/>
    <n v="0"/>
    <m/>
    <m/>
    <n v="0"/>
    <n v="7830"/>
    <n v="2"/>
    <n v="6457087.6240744162"/>
    <m/>
    <m/>
    <n v="0"/>
    <m/>
    <m/>
    <n v="0"/>
    <n v="9768059.0526458435"/>
    <n v="9483.5524782969351"/>
  </r>
  <r>
    <s v="4.3.4.2"/>
    <x v="3"/>
    <x v="3"/>
    <x v="1"/>
    <x v="13"/>
    <n v="1"/>
    <x v="70"/>
    <x v="70"/>
    <s v="Conduct policy relevant health financing analysis trainings "/>
    <s v="Conduct quarterly trainings of 1week each on various analytical health financing methods at national level"/>
    <s v="Conference package high-level"/>
    <n v="35000"/>
    <n v="30"/>
    <n v="20"/>
    <n v="21000000"/>
    <n v="30"/>
    <n v="20"/>
    <n v="24001343.036999997"/>
    <n v="30"/>
    <n v="20"/>
    <n v="27431641.313321345"/>
    <n v="30"/>
    <n v="20"/>
    <n v="31352201.582331754"/>
    <n v="30"/>
    <n v="20"/>
    <n v="35833092.625843741"/>
    <n v="30"/>
    <n v="20"/>
    <n v="40954397.53283193"/>
    <n v="30"/>
    <n v="20"/>
    <n v="46807644.955198362"/>
    <n v="30"/>
    <n v="20"/>
    <n v="53497444.920181826"/>
    <n v="280877765.96670896"/>
    <n v="272696.86016185337"/>
  </r>
  <r>
    <s v="4.3.4.2"/>
    <x v="3"/>
    <x v="3"/>
    <x v="1"/>
    <x v="13"/>
    <n v="1"/>
    <x v="70"/>
    <x v="70"/>
    <s v="Conduct policy relevant health financing analysis trainings "/>
    <s v="Conduct quarterly trainings of 2 weeks each on various analytical health financing methods at national level"/>
    <s v="DSA (excl. lunch)"/>
    <n v="39000"/>
    <n v="30"/>
    <n v="15"/>
    <n v="17550000"/>
    <n v="30"/>
    <n v="15"/>
    <n v="20058265.252349995"/>
    <n v="30"/>
    <n v="15"/>
    <n v="22925014.526132841"/>
    <n v="30"/>
    <n v="15"/>
    <n v="26201482.750948675"/>
    <n v="30"/>
    <n v="15"/>
    <n v="29946227.408740841"/>
    <n v="30"/>
    <n v="15"/>
    <n v="34226175.081009544"/>
    <n v="30"/>
    <n v="15"/>
    <n v="39117817.569701493"/>
    <n v="30"/>
    <n v="15"/>
    <n v="44708578.969009094"/>
    <n v="234733561.5578925"/>
    <n v="227896.66170669175"/>
  </r>
  <r>
    <s v="4.3.4.2"/>
    <x v="3"/>
    <x v="3"/>
    <x v="1"/>
    <x v="13"/>
    <n v="1"/>
    <x v="70"/>
    <x v="70"/>
    <s v="Conduct policy relevant health financing analysis trainings "/>
    <s v="Conduct quarterly trainings of 2 weeks each on various analytical health financing methods at national level"/>
    <s v="Fuel for Travelling Participants"/>
    <n v="211.42857142857142"/>
    <n v="500"/>
    <n v="1"/>
    <n v="105714.28571428571"/>
    <n v="500"/>
    <n v="1"/>
    <n v="120823.08739714284"/>
    <n v="500"/>
    <n v="1"/>
    <n v="138091.25559086938"/>
    <n v="500"/>
    <n v="1"/>
    <n v="157827.40932602377"/>
    <n v="500"/>
    <n v="1"/>
    <n v="180384.27580356711"/>
    <n v="500"/>
    <n v="1"/>
    <n v="206164.99438296346"/>
    <n v="500"/>
    <n v="1"/>
    <n v="235630.32154317544"/>
    <n v="500"/>
    <n v="1"/>
    <n v="269306.86558458878"/>
    <n v="1413942.4953426167"/>
    <n v="1372.7597042161326"/>
  </r>
  <r>
    <s v="4.3.4.2"/>
    <x v="3"/>
    <x v="3"/>
    <x v="1"/>
    <x v="13"/>
    <n v="1"/>
    <x v="70"/>
    <x v="70"/>
    <s v="Conduct policy relevant health financing analysis trainings "/>
    <s v="Conduct quarterly trainings of 2 weeks each on various analytical health financing methods at national level"/>
    <s v="Local running (diesel, per km)"/>
    <n v="211.42857142857142"/>
    <n v="2700"/>
    <n v="14"/>
    <n v="7992000"/>
    <n v="2700"/>
    <n v="14"/>
    <n v="9134225.4072239976"/>
    <n v="2700"/>
    <n v="14"/>
    <n v="10439698.922669724"/>
    <n v="2700"/>
    <n v="14"/>
    <n v="11931752.145047396"/>
    <n v="2700"/>
    <n v="14"/>
    <n v="13637051.250749674"/>
    <n v="2700"/>
    <n v="14"/>
    <n v="15586073.575352039"/>
    <n v="2700"/>
    <n v="14"/>
    <n v="17813652.308664065"/>
    <n v="2700"/>
    <n v="14"/>
    <n v="20359599.03819491"/>
    <n v="106894052.64790182"/>
    <n v="103780.63363873963"/>
  </r>
  <r>
    <s v="4.3.4.2"/>
    <x v="3"/>
    <x v="3"/>
    <x v="1"/>
    <x v="13"/>
    <n v="1"/>
    <x v="70"/>
    <x v="70"/>
    <s v="Conduct policy relevant health financing analysis trainings "/>
    <s v="Conduct biannual trainings of 1 week each on various analytical health financing methods at district level "/>
    <s v="Conference package high-level"/>
    <n v="35000"/>
    <n v="100"/>
    <n v="10"/>
    <n v="35000000"/>
    <n v="100"/>
    <n v="10"/>
    <n v="40002238.394999996"/>
    <n v="100"/>
    <n v="10"/>
    <n v="45719402.18886891"/>
    <n v="100"/>
    <n v="10"/>
    <n v="52253669.303886257"/>
    <n v="100"/>
    <n v="10"/>
    <n v="59721821.043072902"/>
    <n v="100"/>
    <n v="10"/>
    <n v="68257329.221386552"/>
    <n v="100"/>
    <n v="10"/>
    <n v="78012741.591997266"/>
    <n v="100"/>
    <n v="10"/>
    <n v="89162408.200303048"/>
    <n v="468129609.94451499"/>
    <n v="454494.76693642233"/>
  </r>
  <r>
    <s v="4.3.4.2"/>
    <x v="3"/>
    <x v="3"/>
    <x v="1"/>
    <x v="13"/>
    <n v="1"/>
    <x v="70"/>
    <x v="70"/>
    <s v="Conduct policy relevant health financing analysis trainings "/>
    <s v="Conduct biannual trainings of 1 week each on various analytical health financing methods at district level "/>
    <s v="DSA (excl. lunch)"/>
    <n v="39000"/>
    <n v="58"/>
    <n v="10"/>
    <n v="22620000"/>
    <n v="58"/>
    <n v="10"/>
    <n v="25852875.214139998"/>
    <n v="58"/>
    <n v="10"/>
    <n v="29547796.500348993"/>
    <n v="58"/>
    <n v="10"/>
    <n v="33770799.990111634"/>
    <n v="58"/>
    <n v="10"/>
    <n v="38597359.771265976"/>
    <n v="58"/>
    <n v="10"/>
    <n v="44113736.771078967"/>
    <n v="58"/>
    <n v="10"/>
    <n v="50418520.423170812"/>
    <n v="58"/>
    <n v="10"/>
    <n v="57624390.671167284"/>
    <n v="302545479.34128368"/>
    <n v="293733.47508862492"/>
  </r>
  <r>
    <s v="4.3.4.2"/>
    <x v="3"/>
    <x v="3"/>
    <x v="1"/>
    <x v="13"/>
    <n v="1"/>
    <x v="70"/>
    <x v="70"/>
    <s v="Conduct policy relevant health financing analysis trainings "/>
    <s v="Conduct biannual trainings of 1 week each on various analytical health financing methods at district level "/>
    <s v="Local running (diesel, per km)"/>
    <n v="211.42857142857142"/>
    <n v="1450"/>
    <n v="10"/>
    <n v="3065714.2857142859"/>
    <n v="1450"/>
    <n v="10"/>
    <n v="3503869.5345171425"/>
    <n v="1450"/>
    <n v="10"/>
    <n v="4004646.4121352118"/>
    <n v="1450"/>
    <n v="10"/>
    <n v="4576994.8704546895"/>
    <n v="1450"/>
    <n v="10"/>
    <n v="5231143.998303446"/>
    <n v="1450"/>
    <n v="10"/>
    <n v="5978784.8371059401"/>
    <n v="1450"/>
    <n v="10"/>
    <n v="6833279.3247520877"/>
    <n v="1450"/>
    <n v="10"/>
    <n v="7809899.1019530743"/>
    <n v="41004332.364935875"/>
    <n v="39810.031422267843"/>
  </r>
  <r>
    <s v="4.3.4.2"/>
    <x v="3"/>
    <x v="3"/>
    <x v="1"/>
    <x v="13"/>
    <n v="1"/>
    <x v="70"/>
    <x v="70"/>
    <s v="Conduct policy relevant health financing analysis trainings "/>
    <s v="Conduct biannual trainings of 1 week each on various analytical health financing methods at district level "/>
    <s v="Fuel for Travelling Participants"/>
    <n v="211.42857142857142"/>
    <n v="7830"/>
    <n v="5"/>
    <n v="8277428.5714285709"/>
    <n v="7830"/>
    <n v="5"/>
    <n v="9460447.7431962844"/>
    <n v="7830"/>
    <n v="5"/>
    <n v="10812545.312765071"/>
    <n v="7830"/>
    <n v="5"/>
    <n v="12357886.150227662"/>
    <n v="7830"/>
    <n v="5"/>
    <n v="14124088.795419306"/>
    <n v="7830"/>
    <n v="5"/>
    <n v="16142719.06018604"/>
    <n v="7830"/>
    <n v="5"/>
    <n v="18449854.176830634"/>
    <n v="7830"/>
    <n v="5"/>
    <n v="21086727.575273298"/>
    <n v="110711697.38532686"/>
    <n v="107487.08484012316"/>
  </r>
  <r>
    <s v="4.3.4.2"/>
    <x v="3"/>
    <x v="3"/>
    <x v="1"/>
    <x v="13"/>
    <n v="1"/>
    <x v="70"/>
    <x v="70"/>
    <s v="Conduct policy relevant health financing analysis trainings "/>
    <s v="Attend international policy relevant health financing analysis trainings "/>
    <s v="Accomodation and DSA international (high)"/>
    <n v="357700"/>
    <n v="2"/>
    <n v="6"/>
    <n v="4292400"/>
    <n v="2"/>
    <n v="6"/>
    <n v="4905874.5167627996"/>
    <n v="2"/>
    <n v="6"/>
    <n v="5607027.4844428832"/>
    <n v="2"/>
    <n v="6"/>
    <n v="6408390.00342861"/>
    <n v="2"/>
    <n v="6"/>
    <n v="7324284.1327224607"/>
    <n v="2"/>
    <n v="6"/>
    <n v="8371078.8557108464"/>
    <n v="2"/>
    <n v="6"/>
    <n v="9567482.6288425475"/>
    <n v="2"/>
    <n v="6"/>
    <n v="10934877.741685167"/>
    <n v="57411415.363595314"/>
    <n v="55739.238217082828"/>
  </r>
  <r>
    <s v="4.3.4.2"/>
    <x v="3"/>
    <x v="3"/>
    <x v="1"/>
    <x v="13"/>
    <n v="1"/>
    <x v="70"/>
    <x v="70"/>
    <s v="Conduct policy relevant health financing analysis trainings "/>
    <s v="Attend international policy relevant health financing analysis trainings "/>
    <s v="international training"/>
    <n v="10220000"/>
    <n v="2"/>
    <n v="1"/>
    <n v="20440000"/>
    <n v="2"/>
    <n v="1"/>
    <n v="23361307.222679999"/>
    <n v="2"/>
    <n v="1"/>
    <n v="26700130.878299445"/>
    <n v="2"/>
    <n v="1"/>
    <n v="30516142.873469573"/>
    <n v="2"/>
    <n v="1"/>
    <n v="34877543.489154577"/>
    <n v="2"/>
    <n v="1"/>
    <n v="39862280.265289746"/>
    <n v="2"/>
    <n v="1"/>
    <n v="45559441.089726411"/>
    <n v="2"/>
    <n v="1"/>
    <n v="52070846.388976984"/>
    <n v="273387692.20759678"/>
    <n v="265424.94389087067"/>
  </r>
  <r>
    <s v="4.3.4.2"/>
    <x v="3"/>
    <x v="3"/>
    <x v="1"/>
    <x v="13"/>
    <n v="1"/>
    <x v="70"/>
    <x v="70"/>
    <s v="Develop IT related capacity for health financing analysis "/>
    <s v="Identify annual software and hardware needs "/>
    <s v="zero cost"/>
    <n v="0"/>
    <n v="0"/>
    <n v="0"/>
    <n v="0"/>
    <n v="0"/>
    <n v="0"/>
    <n v="0"/>
    <n v="0"/>
    <n v="0"/>
    <n v="0"/>
    <n v="0"/>
    <n v="0"/>
    <n v="0"/>
    <n v="0"/>
    <n v="0"/>
    <n v="0"/>
    <n v="0"/>
    <n v="0"/>
    <n v="0"/>
    <n v="0"/>
    <n v="0"/>
    <n v="0"/>
    <n v="0"/>
    <n v="0"/>
    <n v="0"/>
    <n v="0"/>
    <n v="0"/>
  </r>
  <r>
    <s v="4.3.4.2"/>
    <x v="3"/>
    <x v="3"/>
    <x v="1"/>
    <x v="13"/>
    <n v="1"/>
    <x v="70"/>
    <x v="70"/>
    <s v="Develop IT related capacity for health financing analysis "/>
    <s v="Engage the procurement committee "/>
    <s v="zero cost"/>
    <n v="0"/>
    <n v="0"/>
    <n v="0"/>
    <n v="0"/>
    <n v="0"/>
    <n v="0"/>
    <n v="0"/>
    <n v="0"/>
    <n v="0"/>
    <n v="0"/>
    <n v="0"/>
    <n v="0"/>
    <n v="0"/>
    <n v="0"/>
    <n v="0"/>
    <n v="0"/>
    <n v="0"/>
    <n v="0"/>
    <n v="0"/>
    <n v="0"/>
    <n v="0"/>
    <n v="0"/>
    <n v="0"/>
    <n v="0"/>
    <n v="0"/>
    <n v="0"/>
    <n v="0"/>
  </r>
  <r>
    <s v="4.3.4.2"/>
    <x v="3"/>
    <x v="3"/>
    <x v="1"/>
    <x v="13"/>
    <n v="1"/>
    <x v="70"/>
    <x v="70"/>
    <s v="Develop IT related capacity for health financing analysis "/>
    <s v="Procure 15 laptops for HFD"/>
    <s v="Laptop"/>
    <n v="2555000"/>
    <m/>
    <m/>
    <n v="0"/>
    <n v="3"/>
    <n v="1"/>
    <n v="8760490.2085049991"/>
    <n v="3"/>
    <n v="1"/>
    <n v="10012549.079362292"/>
    <n v="3"/>
    <n v="1"/>
    <n v="11443553.577551089"/>
    <n v="3"/>
    <n v="1"/>
    <n v="13079078.808432966"/>
    <n v="3"/>
    <n v="1"/>
    <n v="14948355.099483654"/>
    <n v="0"/>
    <n v="0"/>
    <n v="0"/>
    <n v="0"/>
    <n v="0"/>
    <n v="0"/>
    <n v="58244026.773335002"/>
    <n v="56547.598809063107"/>
  </r>
  <r>
    <s v="4.3.4.2"/>
    <x v="3"/>
    <x v="3"/>
    <x v="1"/>
    <x v="13"/>
    <n v="1"/>
    <x v="70"/>
    <x v="70"/>
    <s v="Develop IT related capacity for health financing analysis "/>
    <s v="Procure 29 laptops for health financing POCs in councils"/>
    <s v="Laptop"/>
    <n v="2555000"/>
    <m/>
    <m/>
    <n v="0"/>
    <n v="6"/>
    <n v="1"/>
    <n v="17520980.417009998"/>
    <n v="6"/>
    <n v="1"/>
    <n v="20025098.158724584"/>
    <n v="6"/>
    <n v="1"/>
    <n v="22887107.155102178"/>
    <n v="6"/>
    <n v="1"/>
    <n v="26158157.616865933"/>
    <n v="5"/>
    <n v="1"/>
    <n v="24913925.165806092"/>
    <n v="0"/>
    <n v="0"/>
    <n v="0"/>
    <n v="0"/>
    <n v="0"/>
    <n v="0"/>
    <n v="111505268.5135088"/>
    <n v="108257.54224612504"/>
  </r>
  <r>
    <s v="4.3.4.2"/>
    <x v="3"/>
    <x v="3"/>
    <x v="1"/>
    <x v="13"/>
    <n v="1"/>
    <x v="70"/>
    <x v="70"/>
    <s v="Develop IT related capacity for health financing analysis "/>
    <s v="Procure health financing analysis software (STATA and Treeage)"/>
    <s v="Microsoft office"/>
    <n v="15330000"/>
    <m/>
    <m/>
    <n v="0"/>
    <n v="1"/>
    <n v="1"/>
    <n v="17520980.417009998"/>
    <n v="1"/>
    <n v="1"/>
    <n v="20025098.158724584"/>
    <n v="1"/>
    <n v="1"/>
    <n v="22887107.155102178"/>
    <n v="1"/>
    <n v="1"/>
    <n v="26158157.616865929"/>
    <n v="1"/>
    <n v="1"/>
    <n v="29896710.198967312"/>
    <n v="0"/>
    <n v="0"/>
    <n v="0"/>
    <n v="0"/>
    <n v="0"/>
    <n v="0"/>
    <n v="116488053.54667"/>
    <n v="113095.19761812621"/>
  </r>
  <r>
    <s v="4.3.4.2"/>
    <x v="3"/>
    <x v="3"/>
    <x v="1"/>
    <x v="13"/>
    <n v="1"/>
    <x v="70"/>
    <x v="70"/>
    <s v="Develop IT related capacity for health financing analysis "/>
    <s v="install software packages on 44 laptops"/>
    <s v="Microsoft office"/>
    <n v="255500"/>
    <m/>
    <m/>
    <n v="0"/>
    <n v="1"/>
    <n v="44"/>
    <n v="12848718.972473999"/>
    <n v="1"/>
    <n v="44"/>
    <n v="14685071.983064696"/>
    <n v="1"/>
    <n v="44"/>
    <n v="16783878.580408264"/>
    <n v="1"/>
    <n v="44"/>
    <n v="19182648.919035014"/>
    <n v="1"/>
    <n v="44"/>
    <n v="21924254.145909362"/>
    <n v="0"/>
    <n v="0"/>
    <n v="0"/>
    <n v="0"/>
    <n v="0"/>
    <n v="0"/>
    <n v="85424572.600891352"/>
    <n v="82936.478253292575"/>
  </r>
  <r>
    <s v="4.3.4.2"/>
    <x v="3"/>
    <x v="3"/>
    <x v="1"/>
    <x v="13"/>
    <n v="1"/>
    <x v="70"/>
    <x v="70"/>
    <s v="Develop IT related capacity for health financing analysis "/>
    <s v="Train users of the software packages (1week training per software)"/>
    <s v="DSA (excl. lunch)"/>
    <n v="39000"/>
    <m/>
    <m/>
    <n v="0"/>
    <m/>
    <m/>
    <n v="0"/>
    <n v="20"/>
    <n v="5"/>
    <n v="5094447.6724739643"/>
    <n v="0"/>
    <n v="0"/>
    <n v="0"/>
    <n v="0"/>
    <n v="0"/>
    <n v="0"/>
    <n v="0"/>
    <n v="0"/>
    <n v="0"/>
    <n v="0"/>
    <n v="0"/>
    <n v="0"/>
    <n v="0"/>
    <n v="0"/>
    <n v="0"/>
    <n v="5094447.6724739643"/>
    <n v="4946.0657014310336"/>
  </r>
  <r>
    <s v="4.3.4.2"/>
    <x v="3"/>
    <x v="3"/>
    <x v="1"/>
    <x v="13"/>
    <n v="1"/>
    <x v="70"/>
    <x v="70"/>
    <s v="Develop IT related capacity for health financing analysis "/>
    <s v="Train users of the software packages (1week training per software)"/>
    <s v="Conference package high-level"/>
    <n v="35000"/>
    <m/>
    <m/>
    <n v="0"/>
    <m/>
    <m/>
    <n v="0"/>
    <n v="20"/>
    <n v="5"/>
    <n v="4571940.2188868904"/>
    <n v="0"/>
    <n v="0"/>
    <n v="0"/>
    <n v="0"/>
    <n v="0"/>
    <n v="0"/>
    <n v="0"/>
    <n v="0"/>
    <n v="0"/>
    <n v="0"/>
    <n v="0"/>
    <n v="0"/>
    <n v="0"/>
    <n v="0"/>
    <n v="0"/>
    <n v="4571940.2188868904"/>
    <n v="4438.77691154067"/>
  </r>
  <r>
    <s v="4.3.4.2"/>
    <x v="3"/>
    <x v="3"/>
    <x v="1"/>
    <x v="13"/>
    <n v="1"/>
    <x v="70"/>
    <x v="70"/>
    <s v="Develop IT related capacity for health financing analysis "/>
    <s v="Train users of the software packages (1week training per software)"/>
    <s v="Local running (diesel, per km)"/>
    <n v="211.42857142857142"/>
    <m/>
    <m/>
    <n v="0"/>
    <m/>
    <m/>
    <n v="0"/>
    <n v="450"/>
    <n v="5"/>
    <n v="621410.65015891218"/>
    <n v="0"/>
    <n v="0"/>
    <n v="0"/>
    <n v="0"/>
    <n v="0"/>
    <n v="0"/>
    <n v="0"/>
    <n v="0"/>
    <n v="0"/>
    <n v="0"/>
    <n v="0"/>
    <n v="0"/>
    <n v="0"/>
    <n v="0"/>
    <n v="0"/>
    <n v="621410.65015891218"/>
    <n v="603.31131083389528"/>
  </r>
  <r>
    <s v="4.3.4.2"/>
    <x v="3"/>
    <x v="3"/>
    <x v="1"/>
    <x v="13"/>
    <n v="1"/>
    <x v="70"/>
    <x v="70"/>
    <s v="Develop IT related capacity for health financing analysis "/>
    <s v="Train users of the software packages (1week training per software)"/>
    <s v="Fuel for Travelling Participants"/>
    <n v="211.42857142857142"/>
    <m/>
    <m/>
    <n v="0"/>
    <m/>
    <m/>
    <n v="0"/>
    <n v="2430"/>
    <n v="6"/>
    <n v="4026741.0130297509"/>
    <m/>
    <m/>
    <n v="0"/>
    <m/>
    <m/>
    <n v="0"/>
    <m/>
    <m/>
    <n v="0"/>
    <m/>
    <m/>
    <n v="0"/>
    <m/>
    <m/>
    <n v="0"/>
    <n v="4026741.0130297509"/>
    <n v="3909.4572942036416"/>
  </r>
  <r>
    <s v="4.3.4.2"/>
    <x v="3"/>
    <x v="3"/>
    <x v="1"/>
    <x v="13"/>
    <n v="1"/>
    <x v="70"/>
    <x v="70"/>
    <s v="Develop capacity in the DHIS 2 to host health financing data "/>
    <s v="Set up a taskforce"/>
    <s v="zero cost"/>
    <n v="0"/>
    <n v="0"/>
    <n v="0"/>
    <n v="0"/>
    <n v="0"/>
    <n v="0"/>
    <n v="0"/>
    <n v="0"/>
    <n v="0"/>
    <n v="0"/>
    <n v="0"/>
    <n v="0"/>
    <n v="0"/>
    <n v="0"/>
    <n v="0"/>
    <n v="0"/>
    <n v="0"/>
    <n v="0"/>
    <n v="0"/>
    <n v="0"/>
    <n v="0"/>
    <n v="0"/>
    <n v="0"/>
    <n v="0"/>
    <n v="0"/>
    <n v="0"/>
    <n v="0"/>
  </r>
  <r>
    <s v="4.3.4.2"/>
    <x v="3"/>
    <x v="3"/>
    <x v="1"/>
    <x v="13"/>
    <n v="1"/>
    <x v="70"/>
    <x v="70"/>
    <s v="Develop capacity in the DHIS 2 to host health financing data "/>
    <s v="develop TORs for a consultant"/>
    <s v="zero cost"/>
    <n v="0"/>
    <n v="0"/>
    <n v="0"/>
    <n v="0"/>
    <n v="0"/>
    <n v="0"/>
    <n v="0"/>
    <n v="0"/>
    <n v="0"/>
    <n v="0"/>
    <n v="0"/>
    <n v="0"/>
    <n v="0"/>
    <n v="0"/>
    <n v="0"/>
    <n v="0"/>
    <n v="0"/>
    <n v="0"/>
    <n v="0"/>
    <n v="0"/>
    <n v="0"/>
    <n v="0"/>
    <n v="0"/>
    <n v="0"/>
    <n v="0"/>
    <n v="0"/>
    <n v="0"/>
  </r>
  <r>
    <s v="4.3.4.2"/>
    <x v="3"/>
    <x v="3"/>
    <x v="1"/>
    <x v="13"/>
    <n v="1"/>
    <x v="70"/>
    <x v="70"/>
    <s v="Develop capacity in the DHIS 2 to host health financing data "/>
    <s v="Recruitment of a consultant"/>
    <s v="Newspaper advert (full)"/>
    <n v="391991.03749999998"/>
    <m/>
    <m/>
    <n v="0"/>
    <m/>
    <m/>
    <n v="0"/>
    <n v="2"/>
    <n v="2"/>
    <n v="2048182.3883307995"/>
    <n v="0"/>
    <n v="0"/>
    <n v="0"/>
    <n v="0"/>
    <n v="0"/>
    <n v="0"/>
    <n v="0"/>
    <n v="0"/>
    <n v="0"/>
    <n v="0"/>
    <n v="0"/>
    <n v="0"/>
    <n v="0"/>
    <n v="0"/>
    <n v="0"/>
    <n v="2048182.3883307995"/>
    <n v="1988.5265906124266"/>
  </r>
  <r>
    <s v="4.3.4.2"/>
    <x v="3"/>
    <x v="3"/>
    <x v="1"/>
    <x v="13"/>
    <n v="1"/>
    <x v="70"/>
    <x v="70"/>
    <s v="Develop capacity in the DHIS 2 to host health financing data "/>
    <s v="Recruitment of a consultant"/>
    <s v="Local consultant fee - High level"/>
    <n v="511000"/>
    <m/>
    <m/>
    <n v="0"/>
    <m/>
    <m/>
    <n v="0"/>
    <n v="1"/>
    <n v="25"/>
    <n v="16687581.798937155"/>
    <n v="0"/>
    <n v="0"/>
    <n v="0"/>
    <n v="0"/>
    <n v="0"/>
    <n v="0"/>
    <n v="0"/>
    <n v="0"/>
    <n v="0"/>
    <n v="0"/>
    <n v="0"/>
    <n v="0"/>
    <n v="0"/>
    <n v="0"/>
    <n v="0"/>
    <n v="16687581.798937155"/>
    <n v="16201.535727123452"/>
  </r>
  <r>
    <s v="4.3.4.2"/>
    <x v="3"/>
    <x v="3"/>
    <x v="1"/>
    <x v="13"/>
    <n v="1"/>
    <x v="70"/>
    <x v="70"/>
    <s v="Develop capacity in the DHIS 2 to host health financing data "/>
    <s v="consultant facilitates 3 workshops to develop roadmap"/>
    <s v="DSA (excl. lunch)"/>
    <n v="39000"/>
    <m/>
    <m/>
    <n v="0"/>
    <m/>
    <m/>
    <n v="0"/>
    <n v="60"/>
    <n v="15"/>
    <n v="45850029.052265681"/>
    <n v="0"/>
    <n v="0"/>
    <n v="0"/>
    <n v="0"/>
    <n v="0"/>
    <n v="0"/>
    <n v="0"/>
    <n v="0"/>
    <n v="0"/>
    <n v="0"/>
    <n v="0"/>
    <n v="0"/>
    <n v="0"/>
    <n v="0"/>
    <n v="0"/>
    <n v="45850029.052265681"/>
    <n v="44514.591312879304"/>
  </r>
  <r>
    <s v="4.3.4.2"/>
    <x v="3"/>
    <x v="3"/>
    <x v="1"/>
    <x v="13"/>
    <n v="1"/>
    <x v="70"/>
    <x v="70"/>
    <s v="Develop capacity in the DHIS 2 to host health financing data "/>
    <s v="consultant facilitates 3 workshops to develop roadmap"/>
    <s v="Local running (diesel, per km)"/>
    <n v="211.42857142857142"/>
    <m/>
    <m/>
    <n v="0"/>
    <m/>
    <m/>
    <n v="0"/>
    <n v="1250"/>
    <n v="15"/>
    <n v="5178422.0846576011"/>
    <n v="0"/>
    <n v="0"/>
    <n v="0"/>
    <n v="0"/>
    <n v="0"/>
    <n v="0"/>
    <n v="0"/>
    <n v="0"/>
    <n v="0"/>
    <n v="0"/>
    <n v="0"/>
    <n v="0"/>
    <n v="0"/>
    <n v="0"/>
    <n v="0"/>
    <n v="5178422.0846576011"/>
    <n v="5027.5942569491272"/>
  </r>
  <r>
    <s v="4.3.4.2"/>
    <x v="3"/>
    <x v="3"/>
    <x v="1"/>
    <x v="13"/>
    <n v="1"/>
    <x v="70"/>
    <x v="70"/>
    <s v="Develop capacity in the DHIS 2 to host health financing data "/>
    <s v="consultant facilitates 3 workshops to develop roadmap"/>
    <s v="Fuel for Travelling Participants"/>
    <n v="211.42857142857142"/>
    <m/>
    <m/>
    <n v="0"/>
    <m/>
    <m/>
    <n v="0"/>
    <n v="6750"/>
    <n v="15"/>
    <n v="27963479.257151049"/>
    <n v="0"/>
    <n v="0"/>
    <n v="0"/>
    <n v="0"/>
    <n v="0"/>
    <n v="0"/>
    <n v="0"/>
    <n v="0"/>
    <n v="0"/>
    <n v="0"/>
    <n v="0"/>
    <n v="0"/>
    <n v="0"/>
    <n v="0"/>
    <n v="0"/>
    <n v="27963479.257151049"/>
    <n v="27149.008987525289"/>
  </r>
  <r>
    <s v="4.3.4.2"/>
    <x v="3"/>
    <x v="3"/>
    <x v="1"/>
    <x v="13"/>
    <n v="1"/>
    <x v="70"/>
    <x v="70"/>
    <s v="Develop capacity in the DHIS 2 to host health financing data "/>
    <s v="consultant facilitates 3 workshops to develop roadmap"/>
    <s v="Conference package high-level"/>
    <n v="35000"/>
    <m/>
    <m/>
    <n v="0"/>
    <m/>
    <m/>
    <n v="0"/>
    <n v="60"/>
    <n v="15"/>
    <n v="41147461.969982013"/>
    <n v="0"/>
    <n v="0"/>
    <n v="0"/>
    <n v="0"/>
    <n v="0"/>
    <n v="0"/>
    <n v="0"/>
    <n v="0"/>
    <n v="0"/>
    <n v="0"/>
    <n v="0"/>
    <n v="0"/>
    <n v="0"/>
    <n v="0"/>
    <n v="0"/>
    <n v="41147461.969982013"/>
    <n v="39948.99220386603"/>
  </r>
  <r>
    <s v="4.3.4.2"/>
    <x v="3"/>
    <x v="3"/>
    <x v="1"/>
    <x v="13"/>
    <n v="1"/>
    <x v="70"/>
    <x v="70"/>
    <s v="Develop capacity in the DHIS 2 to host health financing data "/>
    <s v="validation of the roadmap"/>
    <s v="Conference package high-level"/>
    <n v="28000"/>
    <m/>
    <m/>
    <n v="0"/>
    <m/>
    <m/>
    <n v="0"/>
    <n v="0"/>
    <n v="0"/>
    <n v="0"/>
    <n v="0"/>
    <n v="0"/>
    <n v="0"/>
    <n v="0"/>
    <n v="0"/>
    <n v="0"/>
    <n v="0"/>
    <n v="0"/>
    <n v="0"/>
    <n v="0"/>
    <n v="0"/>
    <n v="0"/>
    <n v="0"/>
    <n v="0"/>
    <n v="0"/>
    <n v="0"/>
    <n v="0"/>
  </r>
  <r>
    <s v="4.3.4.2"/>
    <x v="3"/>
    <x v="3"/>
    <x v="1"/>
    <x v="13"/>
    <n v="1"/>
    <x v="70"/>
    <x v="70"/>
    <s v="Develop capacity in the DHIS 2 to host health financing data "/>
    <s v="validation of the roadmap"/>
    <s v="DSA (excl. lunch)"/>
    <n v="39000"/>
    <m/>
    <m/>
    <n v="0"/>
    <m/>
    <m/>
    <n v="0"/>
    <n v="58"/>
    <n v="6"/>
    <n v="17728677.900209397"/>
    <n v="0"/>
    <n v="0"/>
    <n v="0"/>
    <n v="0"/>
    <n v="0"/>
    <n v="0"/>
    <n v="0"/>
    <n v="0"/>
    <n v="0"/>
    <n v="0"/>
    <n v="0"/>
    <n v="0"/>
    <n v="0"/>
    <n v="0"/>
    <n v="0"/>
    <n v="17728677.900209397"/>
    <n v="17212.308640979998"/>
  </r>
  <r>
    <s v="4.3.4.2"/>
    <x v="3"/>
    <x v="3"/>
    <x v="1"/>
    <x v="13"/>
    <n v="1"/>
    <x v="70"/>
    <x v="70"/>
    <s v="Develop capacity in the DHIS 2 to host health financing data "/>
    <s v="validation of the roadmap"/>
    <s v="Local running (diesel, per km)"/>
    <n v="211.42857142857142"/>
    <m/>
    <m/>
    <n v="0"/>
    <m/>
    <m/>
    <n v="0"/>
    <n v="1450"/>
    <n v="5"/>
    <n v="2002323.2060676059"/>
    <n v="0"/>
    <n v="0"/>
    <n v="0"/>
    <n v="0"/>
    <n v="0"/>
    <n v="0"/>
    <n v="0"/>
    <n v="0"/>
    <n v="0"/>
    <n v="0"/>
    <n v="0"/>
    <n v="0"/>
    <n v="0"/>
    <n v="0"/>
    <n v="0"/>
    <n v="2002323.2060676059"/>
    <n v="1944.003112686996"/>
  </r>
  <r>
    <s v="4.3.4.2"/>
    <x v="3"/>
    <x v="3"/>
    <x v="1"/>
    <x v="13"/>
    <n v="1"/>
    <x v="70"/>
    <x v="70"/>
    <s v="Develop capacity in the DHIS 2 to host health financing data "/>
    <s v="validation of the roadmap"/>
    <s v="Fuel for Travelling Participants"/>
    <n v="211.42857142857142"/>
    <m/>
    <m/>
    <n v="0"/>
    <m/>
    <m/>
    <n v="0"/>
    <n v="22500"/>
    <n v="1"/>
    <n v="6214106.5015891213"/>
    <m/>
    <m/>
    <n v="0"/>
    <m/>
    <m/>
    <n v="0"/>
    <m/>
    <m/>
    <n v="0"/>
    <m/>
    <m/>
    <n v="0"/>
    <m/>
    <m/>
    <n v="0"/>
    <n v="6214106.5015891213"/>
    <n v="6033.1131083389528"/>
  </r>
  <r>
    <s v="4.3.4.2"/>
    <x v="3"/>
    <x v="3"/>
    <x v="1"/>
    <x v="13"/>
    <n v="1"/>
    <x v="70"/>
    <x v="70"/>
    <s v="Develop capacity in the DHIS 2 to host health financing data "/>
    <s v="presentation of the roadmap to TWG for endorsement"/>
    <s v="Conference package high-level"/>
    <n v="35000"/>
    <m/>
    <m/>
    <n v="0"/>
    <m/>
    <m/>
    <n v="0"/>
    <n v="30"/>
    <n v="1"/>
    <n v="1371582.0656660672"/>
    <n v="0"/>
    <n v="0"/>
    <n v="0"/>
    <n v="0"/>
    <n v="0"/>
    <n v="0"/>
    <n v="0"/>
    <n v="0"/>
    <n v="0"/>
    <n v="0"/>
    <n v="0"/>
    <n v="0"/>
    <n v="0"/>
    <n v="0"/>
    <n v="0"/>
    <n v="1371582.0656660672"/>
    <n v="1331.6330734622011"/>
  </r>
  <r>
    <s v="4.3.4.2"/>
    <x v="3"/>
    <x v="3"/>
    <x v="1"/>
    <x v="13"/>
    <n v="1"/>
    <x v="70"/>
    <x v="70"/>
    <s v="Develop capacity in the DHIS 2 to host health financing data "/>
    <s v="presentation of the roadmap to SMT for approval"/>
    <s v="Conference package high-level"/>
    <n v="35000"/>
    <m/>
    <m/>
    <n v="0"/>
    <m/>
    <m/>
    <n v="0"/>
    <n v="30"/>
    <n v="1"/>
    <n v="1371582.0656660672"/>
    <n v="0"/>
    <n v="0"/>
    <n v="0"/>
    <n v="0"/>
    <n v="0"/>
    <n v="0"/>
    <n v="0"/>
    <n v="0"/>
    <n v="0"/>
    <n v="0"/>
    <n v="0"/>
    <n v="0"/>
    <n v="0"/>
    <n v="0"/>
    <n v="0"/>
    <n v="1371582.0656660672"/>
    <n v="1331.6330734622011"/>
  </r>
  <r>
    <s v="4.3.4.2"/>
    <x v="3"/>
    <x v="3"/>
    <x v="1"/>
    <x v="13"/>
    <n v="1"/>
    <x v="70"/>
    <x v="70"/>
    <s v="Develop capacity in the DHIS 2 to host health financing data "/>
    <s v="implementation of the recommendations "/>
    <s v="zero cost"/>
    <n v="0"/>
    <m/>
    <m/>
    <n v="0"/>
    <m/>
    <m/>
    <n v="0"/>
    <n v="0"/>
    <n v="0"/>
    <n v="0"/>
    <n v="0"/>
    <n v="0"/>
    <n v="0"/>
    <n v="0"/>
    <n v="0"/>
    <n v="0"/>
    <n v="0"/>
    <n v="0"/>
    <n v="0"/>
    <n v="0"/>
    <n v="0"/>
    <n v="0"/>
    <n v="0"/>
    <n v="0"/>
    <n v="0"/>
    <n v="0"/>
    <n v="0"/>
  </r>
  <r>
    <s v="4.3.4.2"/>
    <x v="3"/>
    <x v="3"/>
    <x v="1"/>
    <x v="13"/>
    <n v="1"/>
    <x v="70"/>
    <x v="70"/>
    <s v="Asses the legal and regulatory framework for hosting HF data in DHIS II"/>
    <s v="set up a taskforce"/>
    <s v="zero cost"/>
    <n v="0"/>
    <m/>
    <m/>
    <n v="0"/>
    <n v="0"/>
    <n v="0"/>
    <n v="0"/>
    <n v="0"/>
    <n v="0"/>
    <n v="0"/>
    <n v="0"/>
    <n v="0"/>
    <n v="0"/>
    <n v="0"/>
    <n v="0"/>
    <n v="0"/>
    <n v="0"/>
    <n v="0"/>
    <n v="0"/>
    <n v="0"/>
    <n v="0"/>
    <n v="0"/>
    <n v="0"/>
    <n v="0"/>
    <n v="0"/>
    <n v="0"/>
    <n v="0"/>
  </r>
  <r>
    <s v="4.3.4.2"/>
    <x v="3"/>
    <x v="3"/>
    <x v="1"/>
    <x v="13"/>
    <n v="1"/>
    <x v="70"/>
    <x v="70"/>
    <s v="Asses the legal and regulatory framework for hosting HF data in DHIS II"/>
    <s v="Recruitment of a consultant"/>
    <s v="Newspaper advert (full)"/>
    <n v="391991.03749999998"/>
    <m/>
    <m/>
    <n v="0"/>
    <n v="2"/>
    <n v="2"/>
    <n v="1792059.3063746723"/>
    <n v="0"/>
    <n v="0"/>
    <n v="0"/>
    <n v="0"/>
    <n v="0"/>
    <n v="0"/>
    <n v="0"/>
    <n v="0"/>
    <n v="0"/>
    <n v="0"/>
    <n v="0"/>
    <n v="0"/>
    <n v="0"/>
    <n v="0"/>
    <n v="0"/>
    <n v="0"/>
    <n v="0"/>
    <n v="0"/>
    <n v="1792059.3063746723"/>
    <n v="1739.8634042472547"/>
  </r>
  <r>
    <s v="4.3.4.2"/>
    <x v="3"/>
    <x v="3"/>
    <x v="1"/>
    <x v="13"/>
    <n v="1"/>
    <x v="70"/>
    <x v="70"/>
    <s v="Asses the legal and regulatory framework for hosting HF data in DHIS II"/>
    <s v="Recruitment of a consultant"/>
    <s v="Local consultant fee - High level"/>
    <n v="511000"/>
    <m/>
    <m/>
    <n v="0"/>
    <n v="1"/>
    <n v="25"/>
    <n v="14600817.014174998"/>
    <n v="0"/>
    <n v="0"/>
    <n v="0"/>
    <n v="0"/>
    <n v="0"/>
    <n v="0"/>
    <n v="0"/>
    <n v="0"/>
    <n v="0"/>
    <n v="0"/>
    <n v="0"/>
    <n v="0"/>
    <n v="0"/>
    <n v="0"/>
    <n v="0"/>
    <n v="0"/>
    <n v="0"/>
    <n v="0"/>
    <n v="14600817.014174998"/>
    <n v="14175.550499199027"/>
  </r>
  <r>
    <s v="4.3.4.2"/>
    <x v="3"/>
    <x v="3"/>
    <x v="1"/>
    <x v="13"/>
    <n v="1"/>
    <x v="70"/>
    <x v="70"/>
    <s v="Asses the legal and regulatory framework for hosting HF data in DHIS II"/>
    <s v="Validation of assessment report (ministry of justice)"/>
    <s v="zero cost"/>
    <n v="0"/>
    <n v="0"/>
    <n v="0"/>
    <n v="0"/>
    <m/>
    <m/>
    <n v="0"/>
    <n v="0"/>
    <n v="0"/>
    <n v="0"/>
    <n v="0"/>
    <n v="0"/>
    <n v="0"/>
    <n v="0"/>
    <n v="0"/>
    <n v="0"/>
    <n v="0"/>
    <n v="0"/>
    <n v="0"/>
    <n v="0"/>
    <n v="0"/>
    <n v="0"/>
    <n v="0"/>
    <n v="0"/>
    <n v="0"/>
    <n v="0"/>
    <n v="0"/>
  </r>
  <r>
    <s v="4.3.4.2"/>
    <x v="3"/>
    <x v="3"/>
    <x v="1"/>
    <x v="13"/>
    <n v="1"/>
    <x v="70"/>
    <x v="70"/>
    <s v="Asses the legal and regulatory framework for hosting HF data in DHIS II"/>
    <s v="Validation of assessment report by stakeholders "/>
    <s v="Conference package high-level"/>
    <n v="35000"/>
    <m/>
    <m/>
    <n v="0"/>
    <n v="100"/>
    <n v="5"/>
    <n v="20001119.197499998"/>
    <n v="0"/>
    <n v="0"/>
    <n v="0"/>
    <n v="0"/>
    <n v="0"/>
    <n v="0"/>
    <n v="0"/>
    <n v="0"/>
    <n v="0"/>
    <n v="0"/>
    <n v="0"/>
    <n v="0"/>
    <n v="0"/>
    <n v="0"/>
    <n v="0"/>
    <n v="0"/>
    <n v="0"/>
    <n v="0"/>
    <n v="20001119.197499998"/>
    <n v="19418.562327669901"/>
  </r>
  <r>
    <s v="4.3.4.2"/>
    <x v="3"/>
    <x v="3"/>
    <x v="1"/>
    <x v="13"/>
    <n v="1"/>
    <x v="70"/>
    <x v="70"/>
    <s v="Asses the legal and regulatory framework for hosting HF data in DHIS II"/>
    <s v="Validation of assessment report by stakeholders "/>
    <s v="DSA (excl. lunch)"/>
    <n v="39000"/>
    <m/>
    <m/>
    <n v="0"/>
    <n v="58"/>
    <n v="6"/>
    <n v="15511725.128483998"/>
    <n v="0"/>
    <n v="0"/>
    <n v="0"/>
    <n v="0"/>
    <n v="0"/>
    <n v="0"/>
    <n v="0"/>
    <n v="0"/>
    <n v="0"/>
    <n v="0"/>
    <n v="0"/>
    <n v="0"/>
    <n v="0"/>
    <n v="0"/>
    <n v="0"/>
    <n v="0"/>
    <n v="0"/>
    <n v="0"/>
    <n v="15511725.128483998"/>
    <n v="15059.927309207766"/>
  </r>
  <r>
    <s v="4.3.4.2"/>
    <x v="3"/>
    <x v="3"/>
    <x v="1"/>
    <x v="13"/>
    <n v="1"/>
    <x v="70"/>
    <x v="70"/>
    <s v="Asses the legal and regulatory framework for hosting HF data in DHIS II"/>
    <s v="Validation of assessment report by stakeholders "/>
    <s v="Local running (diesel, per km)"/>
    <n v="211.42857142857142"/>
    <m/>
    <m/>
    <n v="0"/>
    <n v="1450"/>
    <n v="5"/>
    <n v="1751934.7672585712"/>
    <n v="0"/>
    <n v="0"/>
    <n v="0"/>
    <n v="0"/>
    <n v="0"/>
    <n v="0"/>
    <n v="0"/>
    <n v="0"/>
    <n v="0"/>
    <n v="0"/>
    <n v="0"/>
    <n v="0"/>
    <n v="0"/>
    <n v="0"/>
    <n v="0"/>
    <n v="0"/>
    <n v="0"/>
    <n v="0"/>
    <n v="1751934.7672585712"/>
    <n v="1700.9075410277389"/>
  </r>
  <r>
    <s v="4.3.4.2"/>
    <x v="3"/>
    <x v="3"/>
    <x v="1"/>
    <x v="13"/>
    <n v="1"/>
    <x v="70"/>
    <x v="70"/>
    <s v="Asses the legal and regulatory framework for hosting HF data in DHIS II"/>
    <s v="Validation of assessment report by stakeholders "/>
    <s v="Fuel for Travelling Participants"/>
    <n v="211.42857142857142"/>
    <m/>
    <m/>
    <n v="0"/>
    <n v="22500"/>
    <n v="1"/>
    <n v="5437038.9328714283"/>
    <n v="0"/>
    <n v="0"/>
    <n v="0"/>
    <n v="0"/>
    <n v="0"/>
    <n v="0"/>
    <n v="0"/>
    <n v="0"/>
    <n v="0"/>
    <n v="0"/>
    <n v="0"/>
    <n v="0"/>
    <n v="0"/>
    <n v="0"/>
    <n v="0"/>
    <n v="0"/>
    <n v="0"/>
    <n v="0"/>
    <n v="5437038.9328714283"/>
    <n v="5278.6785756033287"/>
  </r>
  <r>
    <s v="4.3.4.2"/>
    <x v="3"/>
    <x v="3"/>
    <x v="1"/>
    <x v="13"/>
    <n v="1"/>
    <x v="70"/>
    <x v="70"/>
    <s v="Asses the legal and regulatory framework for hosting HF data in DHIS II"/>
    <s v="Presentation of the report to relevant TWG for endorsement "/>
    <s v="Conference package high-level"/>
    <n v="35000"/>
    <m/>
    <m/>
    <n v="0"/>
    <n v="30"/>
    <n v="1"/>
    <n v="1200067.1518499998"/>
    <n v="0"/>
    <n v="0"/>
    <n v="0"/>
    <n v="0"/>
    <n v="0"/>
    <n v="0"/>
    <n v="0"/>
    <n v="0"/>
    <n v="0"/>
    <n v="0"/>
    <n v="0"/>
    <n v="0"/>
    <n v="0"/>
    <n v="0"/>
    <n v="0"/>
    <n v="0"/>
    <n v="0"/>
    <n v="0"/>
    <n v="1200067.1518499998"/>
    <n v="1165.1137396601939"/>
  </r>
  <r>
    <s v="4.3.4.2"/>
    <x v="3"/>
    <x v="3"/>
    <x v="1"/>
    <x v="13"/>
    <n v="1"/>
    <x v="70"/>
    <x v="70"/>
    <s v="Asses the legal and regulatory framework for hosting HF data in DHIS II"/>
    <s v="Presentation of the report to SMT for approval"/>
    <s v="Conference package high-level"/>
    <n v="35000"/>
    <m/>
    <m/>
    <n v="0"/>
    <n v="25"/>
    <n v="1"/>
    <n v="1000055.9598749998"/>
    <n v="0"/>
    <n v="0"/>
    <n v="0"/>
    <n v="0"/>
    <n v="0"/>
    <n v="0"/>
    <n v="0"/>
    <n v="0"/>
    <n v="0"/>
    <n v="0"/>
    <n v="0"/>
    <n v="0"/>
    <n v="0"/>
    <n v="0"/>
    <n v="0"/>
    <n v="0"/>
    <n v="0"/>
    <n v="0"/>
    <n v="1000055.9598749998"/>
    <n v="970.92811638349497"/>
  </r>
  <r>
    <s v="4.3.4.2"/>
    <x v="3"/>
    <x v="3"/>
    <x v="1"/>
    <x v="13"/>
    <n v="1"/>
    <x v="70"/>
    <x v="70"/>
    <s v="Asses the legal and regulatory framework for hosting HF data in DHIS II"/>
    <s v="implementation of recommendations"/>
    <s v="zero cost"/>
    <n v="0"/>
    <n v="0"/>
    <n v="0"/>
    <n v="0"/>
    <n v="0"/>
    <n v="0"/>
    <n v="0"/>
    <n v="0"/>
    <n v="0"/>
    <n v="0"/>
    <n v="0"/>
    <n v="0"/>
    <n v="0"/>
    <n v="0"/>
    <n v="0"/>
    <n v="0"/>
    <n v="0"/>
    <n v="0"/>
    <n v="0"/>
    <n v="0"/>
    <n v="0"/>
    <n v="0"/>
    <n v="0"/>
    <n v="0"/>
    <n v="0"/>
    <n v="0"/>
    <n v="0"/>
  </r>
  <r>
    <s v="4.3.4.2"/>
    <x v="3"/>
    <x v="3"/>
    <x v="1"/>
    <x v="13"/>
    <n v="1"/>
    <x v="70"/>
    <x v="70"/>
    <s v="Hosting HF data in DHIS II"/>
    <s v="Set up a taskforce to recruit an IT consultant"/>
    <s v="zero cost"/>
    <n v="0"/>
    <n v="0"/>
    <n v="0"/>
    <n v="0"/>
    <n v="0"/>
    <n v="0"/>
    <n v="0"/>
    <n v="0"/>
    <n v="0"/>
    <n v="0"/>
    <n v="0"/>
    <n v="0"/>
    <n v="0"/>
    <n v="0"/>
    <n v="0"/>
    <n v="0"/>
    <n v="0"/>
    <n v="0"/>
    <n v="0"/>
    <n v="0"/>
    <n v="0"/>
    <n v="0"/>
    <n v="0"/>
    <n v="0"/>
    <n v="0"/>
    <n v="0"/>
    <n v="0"/>
  </r>
  <r>
    <s v="4.3.4.2"/>
    <x v="3"/>
    <x v="3"/>
    <x v="1"/>
    <x v="13"/>
    <n v="1"/>
    <x v="70"/>
    <x v="70"/>
    <s v="Hosting HF data in DHIS II"/>
    <s v="Develop TORs for a consultant"/>
    <s v="zero cost"/>
    <n v="0"/>
    <n v="0"/>
    <n v="0"/>
    <n v="0"/>
    <n v="0"/>
    <n v="0"/>
    <n v="0"/>
    <n v="0"/>
    <n v="0"/>
    <n v="0"/>
    <n v="0"/>
    <n v="0"/>
    <n v="0"/>
    <n v="0"/>
    <n v="0"/>
    <n v="0"/>
    <n v="0"/>
    <n v="0"/>
    <n v="0"/>
    <n v="0"/>
    <n v="0"/>
    <n v="0"/>
    <n v="0"/>
    <n v="0"/>
    <n v="0"/>
    <n v="0"/>
    <n v="0"/>
  </r>
  <r>
    <s v="4.3.4.2"/>
    <x v="3"/>
    <x v="3"/>
    <x v="1"/>
    <x v="13"/>
    <n v="1"/>
    <x v="70"/>
    <x v="70"/>
    <s v="Hosting HF data in DHIS II"/>
    <s v="Recruitment of a consultant"/>
    <s v="Newspaper advert (full)"/>
    <n v="391991.03749999998"/>
    <m/>
    <m/>
    <n v="0"/>
    <m/>
    <m/>
    <n v="0"/>
    <n v="2"/>
    <n v="2"/>
    <n v="2048182.3883307995"/>
    <n v="0"/>
    <n v="0"/>
    <n v="0"/>
    <n v="0"/>
    <n v="0"/>
    <n v="0"/>
    <n v="0"/>
    <n v="0"/>
    <n v="0"/>
    <n v="0"/>
    <n v="0"/>
    <n v="0"/>
    <n v="0"/>
    <n v="0"/>
    <n v="0"/>
    <n v="2048182.3883307995"/>
    <n v="1988.5265906124266"/>
  </r>
  <r>
    <s v="4.3.4.2"/>
    <x v="3"/>
    <x v="3"/>
    <x v="1"/>
    <x v="13"/>
    <n v="1"/>
    <x v="70"/>
    <x v="70"/>
    <s v="Hosting HF data in DHIS II"/>
    <s v="Recruitment of a consultant"/>
    <s v="Local consultant fee - High level"/>
    <n v="511000"/>
    <m/>
    <m/>
    <n v="0"/>
    <m/>
    <m/>
    <n v="0"/>
    <n v="1"/>
    <n v="25"/>
    <n v="16687581.798937155"/>
    <n v="0"/>
    <n v="0"/>
    <n v="0"/>
    <n v="0"/>
    <n v="0"/>
    <n v="0"/>
    <n v="0"/>
    <n v="0"/>
    <n v="0"/>
    <n v="0"/>
    <n v="0"/>
    <n v="0"/>
    <n v="0"/>
    <n v="0"/>
    <n v="0"/>
    <n v="16687581.798937155"/>
    <n v="16201.535727123452"/>
  </r>
  <r>
    <s v="4.3.4.2"/>
    <x v="3"/>
    <x v="3"/>
    <x v="1"/>
    <x v="13"/>
    <n v="1"/>
    <x v="70"/>
    <x v="70"/>
    <s v="Hosting HF data in DHIS II"/>
    <s v="Training of users "/>
    <s v="DSA (excl. lunch)"/>
    <n v="39000"/>
    <m/>
    <m/>
    <n v="0"/>
    <m/>
    <m/>
    <n v="0"/>
    <n v="30"/>
    <n v="5"/>
    <n v="7641671.5087109469"/>
    <n v="0"/>
    <n v="0"/>
    <n v="0"/>
    <n v="0"/>
    <n v="0"/>
    <n v="0"/>
    <n v="0"/>
    <n v="0"/>
    <n v="0"/>
    <n v="0"/>
    <n v="0"/>
    <n v="0"/>
    <n v="0"/>
    <n v="0"/>
    <n v="0"/>
    <n v="7641671.5087109469"/>
    <n v="7419.09855214655"/>
  </r>
  <r>
    <s v="4.3.4.2"/>
    <x v="3"/>
    <x v="3"/>
    <x v="1"/>
    <x v="13"/>
    <n v="1"/>
    <x v="70"/>
    <x v="70"/>
    <s v="Hosting HF data in DHIS II"/>
    <s v="Training of users "/>
    <s v="Conference package high-level"/>
    <n v="35000"/>
    <m/>
    <m/>
    <n v="0"/>
    <m/>
    <m/>
    <n v="0"/>
    <n v="30"/>
    <n v="5"/>
    <n v="6857910.3283303361"/>
    <n v="0"/>
    <n v="0"/>
    <n v="0"/>
    <n v="0"/>
    <n v="0"/>
    <n v="0"/>
    <n v="0"/>
    <n v="0"/>
    <n v="0"/>
    <n v="0"/>
    <n v="0"/>
    <n v="0"/>
    <n v="0"/>
    <n v="0"/>
    <n v="0"/>
    <n v="6857910.3283303361"/>
    <n v="6658.1653673110059"/>
  </r>
  <r>
    <s v="4.3.4.2"/>
    <x v="3"/>
    <x v="3"/>
    <x v="1"/>
    <x v="13"/>
    <n v="1"/>
    <x v="70"/>
    <x v="70"/>
    <s v="Hosting HF data in DHIS II"/>
    <s v="Training of users "/>
    <s v="Local running (diesel, per km)"/>
    <n v="211.42857142857142"/>
    <m/>
    <m/>
    <n v="0"/>
    <m/>
    <m/>
    <n v="0"/>
    <n v="500"/>
    <n v="1"/>
    <n v="138091.25559086938"/>
    <n v="0"/>
    <n v="0"/>
    <n v="0"/>
    <n v="0"/>
    <n v="0"/>
    <n v="0"/>
    <n v="0"/>
    <n v="0"/>
    <n v="0"/>
    <n v="0"/>
    <n v="0"/>
    <n v="0"/>
    <n v="0"/>
    <n v="0"/>
    <n v="0"/>
    <n v="138091.25559086938"/>
    <n v="134.06918018531007"/>
  </r>
  <r>
    <s v="4.3.4.2"/>
    <x v="3"/>
    <x v="3"/>
    <x v="1"/>
    <x v="13"/>
    <n v="1"/>
    <x v="70"/>
    <x v="70"/>
    <s v="Hosting HF data in DHIS II"/>
    <s v="Training of users "/>
    <s v="Fuel for Travelling Participants"/>
    <n v="211.42857142857142"/>
    <m/>
    <m/>
    <n v="0"/>
    <m/>
    <m/>
    <n v="0"/>
    <n v="2700"/>
    <n v="2"/>
    <n v="1491385.5603813892"/>
    <m/>
    <m/>
    <n v="0"/>
    <m/>
    <m/>
    <n v="0"/>
    <m/>
    <m/>
    <n v="0"/>
    <m/>
    <m/>
    <n v="0"/>
    <m/>
    <m/>
    <n v="0"/>
    <n v="1491385.5603813892"/>
    <n v="1447.9471460013488"/>
  </r>
  <r>
    <s v="4.3.4.2"/>
    <x v="3"/>
    <x v="3"/>
    <x v="1"/>
    <x v="13"/>
    <n v="1"/>
    <x v="70"/>
    <x v="70"/>
    <s v="Hosting HF data in DHIS II"/>
    <s v="Rolling out the system"/>
    <s v="zero cost"/>
    <n v="0"/>
    <n v="0"/>
    <n v="0"/>
    <n v="0"/>
    <n v="0"/>
    <n v="0"/>
    <n v="0"/>
    <n v="0"/>
    <n v="0"/>
    <n v="0"/>
    <n v="0"/>
    <n v="0"/>
    <n v="0"/>
    <n v="0"/>
    <n v="0"/>
    <n v="0"/>
    <n v="0"/>
    <n v="0"/>
    <n v="0"/>
    <n v="0"/>
    <n v="0"/>
    <n v="0"/>
    <n v="0"/>
    <n v="0"/>
    <n v="0"/>
    <n v="0"/>
    <n v="0"/>
  </r>
  <r>
    <s v="4.3.4.2"/>
    <x v="3"/>
    <x v="3"/>
    <x v="1"/>
    <x v="13"/>
    <n v="2"/>
    <x v="71"/>
    <x v="71"/>
    <s v="Provide scholarships in health economics and health financing"/>
    <s v="Provide annual scholarships to 1 post doc student"/>
    <s v="post doc scholarship"/>
    <n v="65334760"/>
    <m/>
    <m/>
    <n v="0"/>
    <m/>
    <m/>
    <n v="0"/>
    <m/>
    <m/>
    <n v="0"/>
    <n v="1"/>
    <n v="1"/>
    <n v="97542312.659679309"/>
    <n v="1"/>
    <n v="1"/>
    <n v="111483166.98891765"/>
    <n v="1"/>
    <n v="1"/>
    <n v="127416463.51200792"/>
    <n v="1"/>
    <n v="1"/>
    <n v="145626964.25300458"/>
    <n v="1"/>
    <n v="1"/>
    <n v="166440129.73682377"/>
    <n v="648509037.15043318"/>
    <n v="629620.42441789631"/>
  </r>
  <r>
    <s v="4.3.4.2"/>
    <x v="3"/>
    <x v="3"/>
    <x v="1"/>
    <x v="13"/>
    <n v="2"/>
    <x v="71"/>
    <x v="71"/>
    <s v="Finalise the development of the health economics curriculum"/>
    <s v="Conduct follow up meeting with HOD"/>
    <s v="zero cost"/>
    <n v="0"/>
    <n v="0"/>
    <n v="0"/>
    <n v="0"/>
    <n v="0"/>
    <n v="0"/>
    <n v="0"/>
    <n v="0"/>
    <n v="0"/>
    <n v="0"/>
    <n v="0"/>
    <n v="0"/>
    <n v="0"/>
    <n v="0"/>
    <n v="0"/>
    <n v="0"/>
    <n v="0"/>
    <n v="0"/>
    <n v="0"/>
    <n v="0"/>
    <n v="0"/>
    <n v="0"/>
    <n v="0"/>
    <n v="0"/>
    <n v="0"/>
    <n v="0"/>
    <n v="0"/>
  </r>
  <r>
    <s v="4.3.4.2"/>
    <x v="3"/>
    <x v="3"/>
    <x v="1"/>
    <x v="13"/>
    <n v="2"/>
    <x v="71"/>
    <x v="71"/>
    <s v="Finalise the development of the health economics curriculum"/>
    <s v="Submission to senate for approval"/>
    <s v="zero cost"/>
    <n v="0"/>
    <n v="0"/>
    <n v="0"/>
    <n v="0"/>
    <n v="0"/>
    <n v="0"/>
    <n v="0"/>
    <n v="0"/>
    <n v="0"/>
    <n v="0"/>
    <n v="0"/>
    <n v="0"/>
    <n v="0"/>
    <n v="0"/>
    <n v="0"/>
    <n v="0"/>
    <n v="0"/>
    <n v="0"/>
    <n v="0"/>
    <n v="0"/>
    <n v="0"/>
    <n v="0"/>
    <n v="0"/>
    <n v="0"/>
    <n v="0"/>
    <n v="0"/>
    <n v="0"/>
  </r>
  <r>
    <s v="4.3.4.2"/>
    <x v="3"/>
    <x v="3"/>
    <x v="1"/>
    <x v="13"/>
    <n v="2"/>
    <x v="71"/>
    <x v="71"/>
    <s v="Finalise the development of the health economics curriculum"/>
    <s v="Roll out the health economics curriculum (MSc, PhD, post doc)"/>
    <s v="zero cost"/>
    <n v="0"/>
    <n v="0"/>
    <n v="0"/>
    <n v="0"/>
    <n v="0"/>
    <n v="0"/>
    <n v="0"/>
    <n v="0"/>
    <n v="0"/>
    <n v="0"/>
    <n v="0"/>
    <n v="0"/>
    <n v="0"/>
    <n v="0"/>
    <n v="0"/>
    <n v="0"/>
    <n v="0"/>
    <n v="0"/>
    <n v="0"/>
    <n v="0"/>
    <n v="0"/>
    <n v="0"/>
    <n v="0"/>
    <n v="0"/>
    <n v="0"/>
    <n v="0"/>
    <n v="0"/>
  </r>
  <r>
    <s v="4.3.4.2"/>
    <x v="3"/>
    <x v="3"/>
    <x v="1"/>
    <x v="13"/>
    <n v="2"/>
    <x v="71"/>
    <x v="71"/>
    <s v="Build capacity in grant management for health economics and health financing in training and research institutions"/>
    <s v="develop a concept note on the establishment of a specific grant management unit for Health Economics and Health Financing "/>
    <s v="zero cost"/>
    <n v="0"/>
    <n v="0"/>
    <n v="0"/>
    <n v="0"/>
    <n v="0"/>
    <n v="0"/>
    <n v="0"/>
    <n v="0"/>
    <n v="0"/>
    <n v="0"/>
    <n v="0"/>
    <n v="0"/>
    <n v="0"/>
    <n v="0"/>
    <n v="0"/>
    <n v="0"/>
    <n v="0"/>
    <n v="0"/>
    <n v="0"/>
    <n v="0"/>
    <n v="0"/>
    <n v="0"/>
    <n v="0"/>
    <n v="0"/>
    <n v="0"/>
    <n v="0"/>
    <n v="0"/>
  </r>
  <r>
    <s v="4.3.4.2"/>
    <x v="3"/>
    <x v="3"/>
    <x v="1"/>
    <x v="13"/>
    <n v="2"/>
    <x v="71"/>
    <x v="71"/>
    <s v="Build capacity in grant management for health economics and health financing in training and research institutions"/>
    <s v="set-up a task force"/>
    <s v="zero cost"/>
    <n v="0"/>
    <n v="0"/>
    <n v="0"/>
    <n v="0"/>
    <n v="0"/>
    <n v="0"/>
    <n v="0"/>
    <n v="0"/>
    <n v="0"/>
    <n v="0"/>
    <n v="0"/>
    <n v="0"/>
    <n v="0"/>
    <n v="0"/>
    <n v="0"/>
    <n v="0"/>
    <n v="0"/>
    <n v="0"/>
    <n v="0"/>
    <n v="0"/>
    <n v="0"/>
    <n v="0"/>
    <n v="0"/>
    <n v="0"/>
    <n v="0"/>
    <n v="0"/>
    <n v="0"/>
  </r>
  <r>
    <s v="4.3.4.2"/>
    <x v="3"/>
    <x v="3"/>
    <x v="1"/>
    <x v="13"/>
    <n v="2"/>
    <x v="71"/>
    <x v="71"/>
    <s v="Build capacity in grant management for health economics and health financing in training and research institutions"/>
    <s v="Develop ToRs for the consultant"/>
    <s v="zero cost"/>
    <n v="0"/>
    <n v="0"/>
    <n v="0"/>
    <n v="0"/>
    <n v="0"/>
    <n v="0"/>
    <n v="0"/>
    <n v="0"/>
    <n v="0"/>
    <n v="0"/>
    <n v="0"/>
    <n v="0"/>
    <n v="0"/>
    <n v="0"/>
    <n v="0"/>
    <n v="0"/>
    <n v="0"/>
    <n v="0"/>
    <n v="0"/>
    <n v="0"/>
    <n v="0"/>
    <n v="0"/>
    <n v="0"/>
    <n v="0"/>
    <n v="0"/>
    <n v="0"/>
    <n v="0"/>
  </r>
  <r>
    <s v="4.3.4.2"/>
    <x v="3"/>
    <x v="3"/>
    <x v="1"/>
    <x v="13"/>
    <n v="2"/>
    <x v="71"/>
    <x v="71"/>
    <s v="Build capacity in grant management for health economics and health financing in training and research institutions"/>
    <s v="Recruitment of an international consultant "/>
    <s v="Newspaper advert (full)"/>
    <n v="391991.03749999998"/>
    <m/>
    <m/>
    <n v="0"/>
    <m/>
    <m/>
    <n v="0"/>
    <n v="2"/>
    <n v="2"/>
    <n v="2048182.3883307995"/>
    <n v="0"/>
    <n v="0"/>
    <n v="0"/>
    <n v="0"/>
    <n v="0"/>
    <n v="0"/>
    <n v="0"/>
    <n v="0"/>
    <n v="0"/>
    <n v="0"/>
    <n v="0"/>
    <n v="0"/>
    <n v="0"/>
    <n v="0"/>
    <n v="0"/>
    <n v="2048182.3883307995"/>
    <n v="1988.5265906124266"/>
  </r>
  <r>
    <s v="4.3.4.2"/>
    <x v="3"/>
    <x v="3"/>
    <x v="1"/>
    <x v="13"/>
    <n v="2"/>
    <x v="71"/>
    <x v="71"/>
    <s v="Build capacity in grant management for health economics and health financing in training and research institutions"/>
    <s v="Recruitment of an international consultant "/>
    <s v="International consultant fee - High level"/>
    <n v="1001560"/>
    <m/>
    <m/>
    <n v="0"/>
    <m/>
    <m/>
    <n v="0"/>
    <n v="1"/>
    <n v="25"/>
    <n v="32707660.325916823"/>
    <n v="0"/>
    <n v="0"/>
    <n v="0"/>
    <n v="0"/>
    <n v="0"/>
    <n v="0"/>
    <n v="0"/>
    <n v="0"/>
    <n v="0"/>
    <n v="0"/>
    <n v="0"/>
    <n v="0"/>
    <n v="0"/>
    <n v="0"/>
    <n v="0"/>
    <n v="32707660.325916823"/>
    <n v="31755.010025161962"/>
  </r>
  <r>
    <s v="4.3.4.2"/>
    <x v="3"/>
    <x v="3"/>
    <x v="1"/>
    <x v="13"/>
    <n v="2"/>
    <x v="71"/>
    <x v="71"/>
    <s v="Build capacity in grant management for health economics and health financing in training and research institutions"/>
    <s v="Report writing"/>
    <s v="DSA (excl. lunch)"/>
    <n v="39000"/>
    <m/>
    <m/>
    <n v="0"/>
    <m/>
    <m/>
    <n v="0"/>
    <n v="25"/>
    <n v="6"/>
    <n v="7641671.5087109469"/>
    <n v="0"/>
    <n v="0"/>
    <n v="0"/>
    <n v="0"/>
    <n v="0"/>
    <n v="0"/>
    <n v="0"/>
    <n v="0"/>
    <n v="0"/>
    <n v="0"/>
    <n v="0"/>
    <n v="0"/>
    <n v="0"/>
    <n v="0"/>
    <n v="0"/>
    <n v="7641671.5087109469"/>
    <n v="7419.09855214655"/>
  </r>
  <r>
    <s v="4.3.4.2"/>
    <x v="3"/>
    <x v="3"/>
    <x v="1"/>
    <x v="13"/>
    <n v="2"/>
    <x v="71"/>
    <x v="71"/>
    <s v="Build capacity in grant management for health economics and health financing in training and research institutions"/>
    <s v="Report writing"/>
    <s v="Conference package high-level"/>
    <n v="35000"/>
    <m/>
    <m/>
    <n v="0"/>
    <m/>
    <m/>
    <n v="0"/>
    <n v="25"/>
    <n v="5"/>
    <n v="5714925.2736086138"/>
    <n v="0"/>
    <n v="0"/>
    <n v="0"/>
    <n v="0"/>
    <n v="0"/>
    <n v="0"/>
    <n v="0"/>
    <n v="0"/>
    <n v="0"/>
    <n v="0"/>
    <n v="0"/>
    <n v="0"/>
    <n v="0"/>
    <n v="0"/>
    <n v="0"/>
    <n v="5714925.2736086138"/>
    <n v="5548.4711394258384"/>
  </r>
  <r>
    <s v="4.3.4.2"/>
    <x v="3"/>
    <x v="3"/>
    <x v="1"/>
    <x v="13"/>
    <n v="2"/>
    <x v="71"/>
    <x v="71"/>
    <s v="Build capacity in grant management for health economics and health financing in training and research institutions"/>
    <s v="Report writing"/>
    <s v="Fuel for Travelling participants"/>
    <n v="211.42857142857142"/>
    <m/>
    <m/>
    <n v="0"/>
    <m/>
    <m/>
    <n v="0"/>
    <n v="2430"/>
    <n v="1"/>
    <n v="671123.50217162515"/>
    <n v="0"/>
    <n v="0"/>
    <n v="0"/>
    <n v="0"/>
    <n v="0"/>
    <n v="0"/>
    <n v="0"/>
    <n v="0"/>
    <n v="0"/>
    <n v="0"/>
    <n v="0"/>
    <n v="0"/>
    <n v="0"/>
    <n v="0"/>
    <n v="0"/>
    <n v="671123.50217162515"/>
    <n v="651.57621570060689"/>
  </r>
  <r>
    <s v="4.3.4.2"/>
    <x v="3"/>
    <x v="3"/>
    <x v="1"/>
    <x v="13"/>
    <n v="2"/>
    <x v="71"/>
    <x v="71"/>
    <s v="Build capacity in grant management for health economics and health financing in training and research institutions"/>
    <s v="Report writing"/>
    <s v="Local running (diesel, per km)"/>
    <n v="211.42857142857142"/>
    <m/>
    <m/>
    <n v="0"/>
    <m/>
    <m/>
    <n v="0"/>
    <n v="450"/>
    <n v="5"/>
    <n v="621410.65015891218"/>
    <n v="0"/>
    <n v="0"/>
    <n v="0"/>
    <n v="0"/>
    <n v="0"/>
    <n v="0"/>
    <n v="0"/>
    <n v="0"/>
    <n v="0"/>
    <n v="0"/>
    <n v="0"/>
    <n v="0"/>
    <n v="0"/>
    <n v="0"/>
    <n v="0"/>
    <n v="621410.65015891218"/>
    <n v="603.31131083389528"/>
  </r>
  <r>
    <s v="4.3.4.2"/>
    <x v="3"/>
    <x v="3"/>
    <x v="1"/>
    <x v="13"/>
    <n v="2"/>
    <x v="71"/>
    <x v="71"/>
    <s v="Build capacity in grant management for health economics and health financing in training and research institutions"/>
    <s v="validation workshop"/>
    <s v="Conference package high-level"/>
    <n v="35000"/>
    <m/>
    <m/>
    <n v="0"/>
    <m/>
    <m/>
    <n v="0"/>
    <n v="100"/>
    <n v="5"/>
    <n v="22859701.094434455"/>
    <n v="0"/>
    <n v="0"/>
    <n v="0"/>
    <n v="0"/>
    <n v="0"/>
    <n v="0"/>
    <n v="0"/>
    <n v="0"/>
    <n v="0"/>
    <n v="0"/>
    <n v="0"/>
    <n v="0"/>
    <n v="0"/>
    <n v="0"/>
    <n v="0"/>
    <n v="22859701.094434455"/>
    <n v="22193.884557703353"/>
  </r>
  <r>
    <s v="4.3.4.2"/>
    <x v="3"/>
    <x v="3"/>
    <x v="1"/>
    <x v="13"/>
    <n v="2"/>
    <x v="71"/>
    <x v="71"/>
    <s v="Build capacity in grant management for health economics and health financing in training and research institutions"/>
    <s v="validation workshop"/>
    <s v="DSA (excl. lunch)"/>
    <n v="39000"/>
    <m/>
    <m/>
    <n v="0"/>
    <m/>
    <m/>
    <n v="0"/>
    <n v="58"/>
    <n v="6"/>
    <n v="17728677.900209397"/>
    <m/>
    <m/>
    <n v="0"/>
    <m/>
    <m/>
    <n v="0"/>
    <m/>
    <m/>
    <n v="0"/>
    <m/>
    <m/>
    <n v="0"/>
    <m/>
    <m/>
    <n v="0"/>
    <n v="17728677.900209397"/>
    <n v="17212.308640979998"/>
  </r>
  <r>
    <s v="4.3.4.2"/>
    <x v="3"/>
    <x v="3"/>
    <x v="1"/>
    <x v="13"/>
    <n v="2"/>
    <x v="71"/>
    <x v="71"/>
    <s v="Build capacity in grant management for health economics and health financing in training and research institutions"/>
    <s v="validation workshop"/>
    <s v="Fuel for Travelling participants"/>
    <n v="211.42857142857142"/>
    <m/>
    <m/>
    <n v="0"/>
    <m/>
    <m/>
    <n v="0"/>
    <n v="7830"/>
    <n v="1"/>
    <n v="2162509.0625530141"/>
    <m/>
    <m/>
    <n v="0"/>
    <m/>
    <m/>
    <n v="0"/>
    <m/>
    <m/>
    <n v="0"/>
    <m/>
    <m/>
    <n v="0"/>
    <m/>
    <m/>
    <n v="0"/>
    <n v="2162509.0625530141"/>
    <n v="2099.5233617019553"/>
  </r>
  <r>
    <s v="4.3.4.2"/>
    <x v="3"/>
    <x v="3"/>
    <x v="1"/>
    <x v="13"/>
    <n v="2"/>
    <x v="71"/>
    <x v="71"/>
    <s v="Build capacity in grant management for health economics and health financing in training and research institutions"/>
    <s v="validation workshop"/>
    <s v="Local running (diesel, per km)"/>
    <n v="211.42857142857142"/>
    <m/>
    <m/>
    <n v="0"/>
    <m/>
    <m/>
    <n v="0"/>
    <n v="1450"/>
    <n v="5"/>
    <n v="2002323.2060676059"/>
    <m/>
    <m/>
    <n v="0"/>
    <m/>
    <m/>
    <n v="0"/>
    <m/>
    <m/>
    <n v="0"/>
    <m/>
    <m/>
    <n v="0"/>
    <m/>
    <m/>
    <n v="0"/>
    <n v="2002323.2060676059"/>
    <n v="1944.003112686996"/>
  </r>
  <r>
    <s v="4.3.4.2"/>
    <x v="3"/>
    <x v="3"/>
    <x v="1"/>
    <x v="13"/>
    <n v="2"/>
    <x v="71"/>
    <x v="71"/>
    <s v="Build capacity in grant management for health economics and health financing in training and research institutions"/>
    <s v="Present to HFTWG"/>
    <s v="Conference package high-level"/>
    <n v="35000"/>
    <m/>
    <m/>
    <n v="0"/>
    <n v="30"/>
    <n v="1"/>
    <n v="1200067.1518499998"/>
    <n v="30"/>
    <n v="1"/>
    <n v="1371582.0656660672"/>
    <n v="0"/>
    <n v="0"/>
    <n v="0"/>
    <n v="0"/>
    <n v="0"/>
    <n v="0"/>
    <n v="0"/>
    <n v="0"/>
    <n v="0"/>
    <n v="0"/>
    <n v="0"/>
    <n v="0"/>
    <n v="0"/>
    <n v="0"/>
    <n v="0"/>
    <n v="2571649.217516067"/>
    <n v="2496.746813122395"/>
  </r>
  <r>
    <s v="4.3.4.2"/>
    <x v="3"/>
    <x v="3"/>
    <x v="1"/>
    <x v="13"/>
    <n v="2"/>
    <x v="71"/>
    <x v="71"/>
    <s v="Build capacity in grant management for health economics and health financing in training and research institutions"/>
    <s v="present to senate for approval"/>
    <s v="zero cost"/>
    <n v="0"/>
    <m/>
    <m/>
    <n v="0"/>
    <n v="0"/>
    <n v="0"/>
    <n v="0"/>
    <n v="0"/>
    <n v="0"/>
    <n v="0"/>
    <n v="0"/>
    <n v="0"/>
    <n v="0"/>
    <n v="0"/>
    <n v="0"/>
    <n v="0"/>
    <n v="0"/>
    <n v="0"/>
    <n v="0"/>
    <n v="0"/>
    <n v="0"/>
    <n v="0"/>
    <n v="0"/>
    <n v="0"/>
    <n v="0"/>
    <n v="0"/>
    <n v="0"/>
  </r>
  <r>
    <s v="4.3.4.2"/>
    <x v="3"/>
    <x v="3"/>
    <x v="1"/>
    <x v="13"/>
    <n v="2"/>
    <x v="71"/>
    <x v="71"/>
    <s v="Build capacity in grant management for health economics and health financing in training and research institutions"/>
    <s v="Advocate for hiring staff for the unit"/>
    <s v="Zero cost"/>
    <n v="391991.03749999998"/>
    <m/>
    <m/>
    <n v="0"/>
    <n v="1"/>
    <n v="4"/>
    <n v="1792059.3063746723"/>
    <n v="2"/>
    <n v="2"/>
    <n v="2048182.3883307995"/>
    <n v="0"/>
    <n v="0"/>
    <n v="0"/>
    <n v="0"/>
    <n v="0"/>
    <n v="0"/>
    <n v="0"/>
    <n v="0"/>
    <n v="0"/>
    <n v="0"/>
    <n v="0"/>
    <n v="0"/>
    <n v="0"/>
    <n v="0"/>
    <n v="0"/>
    <n v="3840241.6947054719"/>
    <n v="3728.3899948596813"/>
  </r>
  <r>
    <s v="4.3.4.2"/>
    <x v="3"/>
    <x v="3"/>
    <x v="1"/>
    <x v="13"/>
    <n v="2"/>
    <x v="71"/>
    <x v="71"/>
    <s v="Build capacity in grant management for health economics and health financing in training and research institutions"/>
    <s v="Advocate for hiring staff for the unit"/>
    <s v="Technical Assistant"/>
    <n v="42924000"/>
    <m/>
    <m/>
    <n v="0"/>
    <n v="0"/>
    <n v="0"/>
    <n v="0"/>
    <m/>
    <m/>
    <n v="0"/>
    <n v="1"/>
    <n v="1"/>
    <n v="64083900.034286104"/>
    <n v="0"/>
    <n v="0"/>
    <n v="0"/>
    <n v="0"/>
    <n v="0"/>
    <n v="0"/>
    <n v="0"/>
    <n v="0"/>
    <n v="0"/>
    <n v="0"/>
    <n v="0"/>
    <n v="0"/>
    <n v="64083900.034286104"/>
    <n v="62217.378674064181"/>
  </r>
  <r>
    <s v="4.3.4.2"/>
    <x v="3"/>
    <x v="3"/>
    <x v="1"/>
    <x v="13"/>
    <n v="2"/>
    <x v="71"/>
    <x v="71"/>
    <s v="Build capacity in grant management for health economics and health financing in training and research institutions"/>
    <s v="conduct a grant writing training "/>
    <s v="DSA (excl. lunch)"/>
    <n v="39000"/>
    <m/>
    <m/>
    <n v="0"/>
    <n v="0"/>
    <n v="0"/>
    <n v="0"/>
    <m/>
    <m/>
    <n v="0"/>
    <n v="30"/>
    <n v="6"/>
    <n v="10480593.100379471"/>
    <n v="30"/>
    <n v="6"/>
    <n v="11978490.963496335"/>
    <n v="30"/>
    <n v="6"/>
    <n v="13690470.032403817"/>
    <n v="0"/>
    <n v="0"/>
    <n v="0"/>
    <n v="0"/>
    <n v="0"/>
    <n v="0"/>
    <n v="36149554.096279621"/>
    <n v="35096.654462407401"/>
  </r>
  <r>
    <s v="4.3.4.2"/>
    <x v="3"/>
    <x v="3"/>
    <x v="1"/>
    <x v="13"/>
    <n v="2"/>
    <x v="71"/>
    <x v="71"/>
    <s v="Build capacity in grant management for health economics and health financing in training and research institutions"/>
    <s v="conduct a grant writing training "/>
    <s v="Conference package high-level"/>
    <n v="35000"/>
    <m/>
    <m/>
    <n v="0"/>
    <n v="0"/>
    <n v="0"/>
    <n v="0"/>
    <m/>
    <m/>
    <n v="0"/>
    <n v="30"/>
    <n v="5"/>
    <n v="7838050.3955829386"/>
    <n v="30"/>
    <n v="5"/>
    <n v="8958273.1564609352"/>
    <n v="30"/>
    <n v="5"/>
    <n v="10238599.383207982"/>
    <n v="0"/>
    <n v="0"/>
    <n v="0"/>
    <n v="0"/>
    <n v="0"/>
    <n v="0"/>
    <n v="27034922.935251854"/>
    <n v="26247.497995390149"/>
  </r>
  <r>
    <s v="4.3.4.2"/>
    <x v="3"/>
    <x v="3"/>
    <x v="1"/>
    <x v="13"/>
    <n v="2"/>
    <x v="71"/>
    <x v="71"/>
    <s v="Build capacity in grant management for health economics and health financing in training and research institutions"/>
    <s v="conduct a grant writing training "/>
    <s v="Local running (diesel, per km)"/>
    <n v="211.42857142857142"/>
    <m/>
    <m/>
    <n v="0"/>
    <n v="0"/>
    <n v="0"/>
    <n v="0"/>
    <m/>
    <m/>
    <n v="0"/>
    <n v="500"/>
    <n v="5"/>
    <n v="789137.04663011886"/>
    <n v="500"/>
    <n v="5"/>
    <n v="901921.3790178356"/>
    <n v="500"/>
    <n v="5"/>
    <n v="1030824.9719148173"/>
    <n v="0"/>
    <n v="0"/>
    <n v="0"/>
    <n v="0"/>
    <n v="0"/>
    <n v="0"/>
    <n v="2721883.397562772"/>
    <n v="2642.6052403522058"/>
  </r>
  <r>
    <s v="4.3.4.2"/>
    <x v="3"/>
    <x v="3"/>
    <x v="1"/>
    <x v="13"/>
    <n v="2"/>
    <x v="71"/>
    <x v="71"/>
    <s v="Build capacity in grant management for health economics and health financing in training and research institutions"/>
    <s v="conduct a grant writing training "/>
    <s v="Fuel for Travelling participants"/>
    <n v="211.42857142857142"/>
    <m/>
    <m/>
    <n v="0"/>
    <m/>
    <m/>
    <n v="0"/>
    <m/>
    <m/>
    <n v="0"/>
    <n v="2700"/>
    <n v="1"/>
    <n v="852268.01036052837"/>
    <n v="2700"/>
    <n v="1"/>
    <n v="974075.08933926234"/>
    <n v="2700"/>
    <n v="1"/>
    <n v="1113290.9696680028"/>
    <m/>
    <m/>
    <n v="0"/>
    <m/>
    <m/>
    <n v="0"/>
    <n v="2939634.0693677934"/>
    <n v="2854.013659580382"/>
  </r>
  <r>
    <s v="4.3.4.2"/>
    <x v="3"/>
    <x v="3"/>
    <x v="1"/>
    <x v="13"/>
    <n v="2"/>
    <x v="71"/>
    <x v="71"/>
    <s v="Build capacity in grant management for health economics and health financing in training and research institutions"/>
    <s v="Develop a database of potential donors for health economics and health financing "/>
    <s v="zero cost"/>
    <n v="0"/>
    <n v="0"/>
    <n v="0"/>
    <n v="0"/>
    <n v="0"/>
    <n v="0"/>
    <n v="0"/>
    <n v="0"/>
    <n v="0"/>
    <n v="0"/>
    <n v="0"/>
    <n v="0"/>
    <n v="0"/>
    <n v="0"/>
    <n v="0"/>
    <n v="0"/>
    <n v="0"/>
    <n v="0"/>
    <n v="0"/>
    <n v="0"/>
    <n v="0"/>
    <n v="0"/>
    <n v="0"/>
    <n v="0"/>
    <n v="0"/>
    <n v="0"/>
    <n v="0"/>
  </r>
  <r>
    <s v="4.3.4.2"/>
    <x v="3"/>
    <x v="3"/>
    <x v="1"/>
    <x v="13"/>
    <n v="2"/>
    <x v="71"/>
    <x v="71"/>
    <s v="Build capacity in partnership management amongst academia, policy makers and donors"/>
    <s v="Develop ToRs for the platform of policy makers, academia and donors"/>
    <s v="zero cost"/>
    <n v="0"/>
    <n v="0"/>
    <n v="0"/>
    <n v="0"/>
    <n v="0"/>
    <n v="0"/>
    <n v="0"/>
    <n v="0"/>
    <n v="0"/>
    <n v="0"/>
    <n v="0"/>
    <n v="0"/>
    <n v="0"/>
    <n v="0"/>
    <n v="0"/>
    <n v="0"/>
    <n v="0"/>
    <n v="0"/>
    <n v="0"/>
    <n v="0"/>
    <n v="0"/>
    <n v="0"/>
    <n v="0"/>
    <n v="0"/>
    <n v="0"/>
    <n v="0"/>
    <n v="0"/>
  </r>
  <r>
    <s v="4.3.4.2"/>
    <x v="3"/>
    <x v="3"/>
    <x v="1"/>
    <x v="13"/>
    <n v="2"/>
    <x v="71"/>
    <x v="71"/>
    <s v="Build capacity in partnership management amongst academia, policy makers and donors"/>
    <s v="Conduct bi-annual meetings "/>
    <s v="Conference package high-level"/>
    <n v="35000"/>
    <n v="30"/>
    <n v="2"/>
    <n v="2100000"/>
    <n v="30"/>
    <n v="2"/>
    <n v="2400134.3036999996"/>
    <n v="30"/>
    <n v="2"/>
    <n v="2743164.1313321344"/>
    <n v="30"/>
    <n v="2"/>
    <n v="3135220.1582331755"/>
    <n v="30"/>
    <n v="2"/>
    <n v="3583309.2625843743"/>
    <n v="30"/>
    <n v="2"/>
    <n v="4095439.7532831929"/>
    <n v="30"/>
    <n v="2"/>
    <n v="4680764.4955198364"/>
    <n v="30"/>
    <n v="2"/>
    <n v="5349744.4920181828"/>
    <n v="28087776.596670892"/>
    <n v="27269.686016185333"/>
  </r>
  <r>
    <s v="4.3.4.2"/>
    <x v="3"/>
    <x v="3"/>
    <x v="1"/>
    <x v="13"/>
    <n v="2"/>
    <x v="71"/>
    <x v="71"/>
    <s v="Build capacity in partnership management amongst academia, policy makers and donors"/>
    <s v="Co-creation of a health financing and health services policy lab (meetings)"/>
    <s v="Conference package high-level"/>
    <n v="35000"/>
    <n v="30"/>
    <n v="2"/>
    <n v="2100000"/>
    <n v="30"/>
    <n v="2"/>
    <n v="2400134.3036999996"/>
    <n v="30"/>
    <n v="2"/>
    <n v="2743164.1313321344"/>
    <n v="30"/>
    <n v="2"/>
    <n v="3135220.1582331755"/>
    <n v="30"/>
    <n v="2"/>
    <n v="3583309.2625843743"/>
    <n v="30"/>
    <n v="2"/>
    <n v="4095439.7532831929"/>
    <n v="30"/>
    <n v="2"/>
    <n v="4680764.4955198364"/>
    <n v="30"/>
    <n v="2"/>
    <n v="5349744.4920181828"/>
    <n v="28087776.596670892"/>
    <n v="27269.686016185333"/>
  </r>
  <r>
    <s v="4.3.4.2"/>
    <x v="3"/>
    <x v="3"/>
    <x v="1"/>
    <x v="13"/>
    <n v="2"/>
    <x v="71"/>
    <x v="71"/>
    <s v="Construction of a health economics and health financing training complex at KUHES "/>
    <s v="Identify a site for construction of the training complex"/>
    <s v="zero cost"/>
    <n v="0"/>
    <n v="0"/>
    <n v="0"/>
    <n v="0"/>
    <n v="0"/>
    <n v="0"/>
    <n v="0"/>
    <n v="0"/>
    <n v="0"/>
    <n v="0"/>
    <n v="0"/>
    <n v="0"/>
    <n v="0"/>
    <n v="0"/>
    <n v="0"/>
    <n v="0"/>
    <n v="0"/>
    <n v="0"/>
    <n v="0"/>
    <n v="0"/>
    <n v="0"/>
    <n v="0"/>
    <n v="0"/>
    <n v="0"/>
    <n v="0"/>
    <n v="0"/>
    <n v="0"/>
  </r>
  <r>
    <s v="4.3.4.2"/>
    <x v="3"/>
    <x v="3"/>
    <x v="1"/>
    <x v="13"/>
    <n v="2"/>
    <x v="71"/>
    <x v="71"/>
    <s v="Construction of a health economics and health financing training complex at KUHES "/>
    <s v="Set up a taskforce "/>
    <s v="zero cost"/>
    <n v="0"/>
    <n v="0"/>
    <n v="0"/>
    <n v="0"/>
    <n v="0"/>
    <n v="0"/>
    <n v="0"/>
    <n v="0"/>
    <n v="0"/>
    <n v="0"/>
    <n v="0"/>
    <n v="0"/>
    <n v="0"/>
    <n v="0"/>
    <n v="0"/>
    <n v="0"/>
    <n v="0"/>
    <n v="0"/>
    <n v="0"/>
    <n v="0"/>
    <n v="0"/>
    <n v="0"/>
    <n v="0"/>
    <n v="0"/>
    <n v="0"/>
    <n v="0"/>
    <n v="0"/>
  </r>
  <r>
    <s v="4.3.4.2"/>
    <x v="3"/>
    <x v="3"/>
    <x v="1"/>
    <x v="13"/>
    <n v="2"/>
    <x v="71"/>
    <x v="71"/>
    <s v="Construction of a health economics and health financing training complex at KUHES "/>
    <s v="Develop TORs for a consultant to design the training complex"/>
    <s v="zero cost"/>
    <n v="0"/>
    <n v="0"/>
    <n v="0"/>
    <n v="0"/>
    <n v="0"/>
    <n v="0"/>
    <n v="0"/>
    <n v="0"/>
    <n v="0"/>
    <n v="0"/>
    <n v="0"/>
    <n v="0"/>
    <n v="0"/>
    <n v="0"/>
    <n v="0"/>
    <n v="0"/>
    <n v="0"/>
    <n v="0"/>
    <n v="0"/>
    <n v="0"/>
    <n v="0"/>
    <n v="0"/>
    <n v="0"/>
    <n v="0"/>
    <n v="0"/>
    <n v="0"/>
    <n v="0"/>
  </r>
  <r>
    <s v="4.3.4.2"/>
    <x v="3"/>
    <x v="3"/>
    <x v="1"/>
    <x v="13"/>
    <n v="2"/>
    <x v="71"/>
    <x v="71"/>
    <s v="Construction of a health economics and health financing training complex at KUHES "/>
    <s v="Recruit a consultant to design the complex "/>
    <s v="Newspaper advert (full)"/>
    <n v="391991.03749999998"/>
    <m/>
    <m/>
    <n v="0"/>
    <n v="0"/>
    <n v="0"/>
    <n v="0"/>
    <n v="2"/>
    <n v="2"/>
    <n v="2048182.3883307995"/>
    <n v="2"/>
    <n v="2"/>
    <n v="2340910.8621271173"/>
    <n v="2"/>
    <n v="2"/>
    <n v="2675476.4105215403"/>
    <n v="0"/>
    <n v="0"/>
    <n v="0"/>
    <n v="0"/>
    <n v="0"/>
    <n v="0"/>
    <n v="0"/>
    <n v="0"/>
    <n v="0"/>
    <n v="7064569.6609794572"/>
    <n v="6858.8054960965601"/>
  </r>
  <r>
    <s v="4.3.4.2"/>
    <x v="3"/>
    <x v="3"/>
    <x v="1"/>
    <x v="13"/>
    <n v="2"/>
    <x v="71"/>
    <x v="71"/>
    <s v="Construction of a health economics and health financing training complex at KUHES "/>
    <s v="Recruit a consultant to design the complex "/>
    <s v="Local consultant fee - High level"/>
    <n v="511000"/>
    <m/>
    <m/>
    <n v="0"/>
    <n v="0"/>
    <n v="0"/>
    <n v="0"/>
    <n v="1"/>
    <n v="25"/>
    <n v="16687581.798937155"/>
    <n v="1"/>
    <n v="25"/>
    <n v="19072589.295918483"/>
    <n v="1"/>
    <n v="25"/>
    <n v="21798464.680721607"/>
    <n v="0"/>
    <n v="0"/>
    <n v="0"/>
    <n v="0"/>
    <n v="0"/>
    <n v="0"/>
    <n v="0"/>
    <n v="0"/>
    <n v="0"/>
    <n v="57558635.775577247"/>
    <n v="55882.170655900241"/>
  </r>
  <r>
    <s v="4.3.4.2"/>
    <x v="3"/>
    <x v="3"/>
    <x v="1"/>
    <x v="13"/>
    <n v="2"/>
    <x v="71"/>
    <x v="71"/>
    <s v="Construction of a health economics and health financing training complex at KUHES "/>
    <s v="Construction of the site "/>
    <s v="training complex"/>
    <n v="797160000"/>
    <m/>
    <m/>
    <n v="0"/>
    <n v="0"/>
    <n v="0"/>
    <n v="0"/>
    <n v="1"/>
    <n v="1"/>
    <n v="1041305104.2536783"/>
    <n v="1"/>
    <n v="1"/>
    <n v="1190129572.0653133"/>
    <n v="1"/>
    <n v="1"/>
    <n v="1360224196.0770283"/>
    <n v="0"/>
    <n v="0"/>
    <n v="0"/>
    <n v="0"/>
    <n v="0"/>
    <n v="0"/>
    <n v="0"/>
    <n v="0"/>
    <n v="0"/>
    <n v="3591658872.3960199"/>
    <n v="3487047.4489281746"/>
  </r>
  <r>
    <s v="4.3.4.2"/>
    <x v="3"/>
    <x v="3"/>
    <x v="1"/>
    <x v="13"/>
    <n v="3"/>
    <x v="72"/>
    <x v="72"/>
    <s v="Finalise NHA institutionalisation roadmap (includes institutionalisation of resource mapping studies and the NASA)"/>
    <s v="Implement the NHA institutionalization roadmap"/>
    <s v="NHA institutionalisation Y1"/>
    <n v="371004641.5"/>
    <n v="1"/>
    <n v="1"/>
    <n v="371004641.5"/>
    <n v="0"/>
    <n v="0"/>
    <n v="0"/>
    <n v="0"/>
    <n v="0"/>
    <n v="0"/>
    <n v="0"/>
    <n v="0"/>
    <n v="0"/>
    <n v="0"/>
    <n v="0"/>
    <n v="0"/>
    <n v="0"/>
    <n v="0"/>
    <n v="0"/>
    <n v="0"/>
    <n v="0"/>
    <n v="0"/>
    <n v="0"/>
    <n v="0"/>
    <n v="0"/>
    <n v="371004641.5"/>
    <n v="360198.68106796115"/>
  </r>
  <r>
    <s v="4.3.4.2"/>
    <x v="3"/>
    <x v="3"/>
    <x v="1"/>
    <x v="13"/>
    <n v="3"/>
    <x v="72"/>
    <x v="72"/>
    <s v="Finalise NHA institutionalisation roadmap (includes institutionalisation of resource mapping studies and the NASA)"/>
    <s v="Implement the NHA institutionalization roadmap"/>
    <s v="NHA institutionalisation Y2"/>
    <n v="512243318.44999999"/>
    <n v="1"/>
    <n v="1"/>
    <n v="512243318.44999999"/>
    <n v="1"/>
    <n v="1"/>
    <n v="585453695.45379424"/>
    <n v="0"/>
    <n v="0"/>
    <n v="0"/>
    <n v="0"/>
    <n v="0"/>
    <n v="0"/>
    <n v="0"/>
    <n v="0"/>
    <n v="0"/>
    <n v="0"/>
    <n v="0"/>
    <n v="0"/>
    <n v="0"/>
    <n v="0"/>
    <n v="0"/>
    <n v="0"/>
    <n v="0"/>
    <n v="0"/>
    <n v="1097697013.9037943"/>
    <n v="1065725.256217276"/>
  </r>
  <r>
    <s v="4.3.4.2"/>
    <x v="3"/>
    <x v="3"/>
    <x v="1"/>
    <x v="13"/>
    <n v="3"/>
    <x v="72"/>
    <x v="72"/>
    <s v="Finalise NHA institutionalisation roadmap (includes institutionalisation of resource mapping studies and the NASA)"/>
    <s v="Implement the NHA institutionalization roadmap"/>
    <s v="NHA institutionalisation Y3"/>
    <n v="468848070.75"/>
    <n v="1"/>
    <n v="1"/>
    <n v="468848070.75"/>
    <n v="0"/>
    <n v="0"/>
    <n v="0"/>
    <n v="1"/>
    <n v="1"/>
    <n v="612441528.91698623"/>
    <n v="0"/>
    <n v="0"/>
    <n v="0"/>
    <n v="0"/>
    <n v="0"/>
    <n v="0"/>
    <n v="0"/>
    <n v="0"/>
    <n v="0"/>
    <n v="0"/>
    <n v="0"/>
    <n v="0"/>
    <n v="0"/>
    <n v="0"/>
    <n v="0"/>
    <n v="1081289599.6669862"/>
    <n v="1049795.7278320254"/>
  </r>
  <r>
    <s v="4.3.4.2"/>
    <x v="3"/>
    <x v="3"/>
    <x v="1"/>
    <x v="13"/>
    <n v="3"/>
    <x v="72"/>
    <x v="72"/>
    <s v="Finalise NHA institutionalisation roadmap (includes institutionalisation of resource mapping studies and the NASA)"/>
    <s v="Implement the NHA institutionalization roadmap"/>
    <s v="NHA institutionalisation Y4"/>
    <n v="100282000"/>
    <n v="1"/>
    <n v="1"/>
    <n v="100282000"/>
    <n v="0"/>
    <n v="0"/>
    <n v="0"/>
    <n v="0"/>
    <n v="0"/>
    <n v="0"/>
    <n v="1"/>
    <n v="1"/>
    <n v="149717213.2894949"/>
    <n v="0"/>
    <n v="0"/>
    <n v="0"/>
    <n v="0"/>
    <n v="0"/>
    <n v="0"/>
    <n v="0"/>
    <n v="0"/>
    <n v="0"/>
    <n v="0"/>
    <n v="0"/>
    <n v="0"/>
    <n v="249999213.2894949"/>
    <n v="242717.68280533486"/>
  </r>
  <r>
    <s v="4.3.4.2"/>
    <x v="3"/>
    <x v="3"/>
    <x v="1"/>
    <x v="13"/>
    <n v="3"/>
    <x v="72"/>
    <x v="72"/>
    <s v="Finalise NHA institutionalisation roadmap (includes institutionalisation of resource mapping studies and the NASA)"/>
    <s v="Implement the NHA institutionalization roadmap"/>
    <s v="NHA institutionalisation Y5"/>
    <n v="220346000"/>
    <n v="1"/>
    <n v="1"/>
    <n v="220346000"/>
    <n v="0"/>
    <n v="0"/>
    <n v="0"/>
    <n v="0"/>
    <n v="0"/>
    <n v="0"/>
    <n v="0"/>
    <n v="0"/>
    <n v="0"/>
    <n v="1"/>
    <n v="1"/>
    <n v="375984696.55876976"/>
    <n v="0"/>
    <n v="0"/>
    <n v="0"/>
    <n v="0"/>
    <n v="0"/>
    <n v="0"/>
    <n v="0"/>
    <n v="0"/>
    <n v="0"/>
    <n v="596330696.5587697"/>
    <n v="578961.84131919383"/>
  </r>
  <r>
    <s v="4.3.4.2"/>
    <x v="3"/>
    <x v="3"/>
    <x v="1"/>
    <x v="13"/>
    <n v="3"/>
    <x v="72"/>
    <x v="72"/>
    <s v="Finalise NHA institutionalisation roadmap (includes institutionalisation of resource mapping studies and the NASA)"/>
    <s v="Implement the NHA institutionalization roadmap"/>
    <s v="NHA institutionalisation Y6"/>
    <n v="51100000"/>
    <n v="1"/>
    <n v="1"/>
    <n v="51100000"/>
    <m/>
    <m/>
    <n v="0"/>
    <m/>
    <m/>
    <n v="0"/>
    <m/>
    <m/>
    <n v="0"/>
    <m/>
    <m/>
    <n v="0"/>
    <m/>
    <m/>
    <n v="0"/>
    <m/>
    <m/>
    <n v="0"/>
    <m/>
    <m/>
    <n v="0"/>
    <n v="51100000"/>
    <n v="49611.65048543689"/>
  </r>
  <r>
    <s v="4.3.4.2"/>
    <x v="3"/>
    <x v="3"/>
    <x v="1"/>
    <x v="13"/>
    <n v="3"/>
    <x v="72"/>
    <x v="72"/>
    <s v="Finalise NHA institutionalisation roadmap (includes institutionalisation of resource mapping studies and the NASA)"/>
    <s v="Implement the NHA institutionalization roadmap"/>
    <s v="NHA institutionalisation Y7"/>
    <n v="51100000"/>
    <n v="1"/>
    <n v="1"/>
    <n v="51100000"/>
    <m/>
    <m/>
    <n v="0"/>
    <m/>
    <m/>
    <n v="0"/>
    <m/>
    <m/>
    <n v="0"/>
    <m/>
    <m/>
    <n v="0"/>
    <m/>
    <m/>
    <n v="0"/>
    <m/>
    <m/>
    <n v="0"/>
    <m/>
    <m/>
    <n v="0"/>
    <n v="51100000"/>
    <n v="49611.65048543689"/>
  </r>
  <r>
    <s v="4.3.4.2"/>
    <x v="3"/>
    <x v="3"/>
    <x v="1"/>
    <x v="13"/>
    <n v="3"/>
    <x v="72"/>
    <x v="72"/>
    <s v="Finalise NHA institutionalisation roadmap (includes institutionalisation of resource mapping studies and the NASA)"/>
    <s v="Implement the NHA institutionalization roadmap"/>
    <s v="NHA institutionalisation Y8"/>
    <n v="51100000"/>
    <n v="1"/>
    <n v="1"/>
    <n v="51100000"/>
    <m/>
    <m/>
    <n v="0"/>
    <m/>
    <m/>
    <n v="0"/>
    <m/>
    <m/>
    <n v="0"/>
    <m/>
    <m/>
    <n v="0"/>
    <m/>
    <m/>
    <n v="0"/>
    <m/>
    <m/>
    <n v="0"/>
    <m/>
    <m/>
    <n v="0"/>
    <n v="51100000"/>
    <n v="49611.65048543689"/>
  </r>
  <r>
    <s v="4.3.4.2"/>
    <x v="3"/>
    <x v="3"/>
    <x v="1"/>
    <x v="13"/>
    <n v="3"/>
    <x v="72"/>
    <x v="72"/>
    <s v="Capacity building of KUHES in collaboration with HFD to lead PERs"/>
    <s v="develop TORs to recruit a consultant to facilitate trainings in PER"/>
    <s v="zero cost"/>
    <n v="0"/>
    <n v="0"/>
    <n v="0"/>
    <n v="0"/>
    <n v="0"/>
    <n v="0"/>
    <n v="0"/>
    <n v="0"/>
    <n v="0"/>
    <n v="0"/>
    <n v="0"/>
    <n v="0"/>
    <n v="0"/>
    <n v="0"/>
    <n v="0"/>
    <n v="0"/>
    <n v="0"/>
    <n v="0"/>
    <n v="0"/>
    <n v="0"/>
    <n v="0"/>
    <n v="0"/>
    <n v="0"/>
    <n v="0"/>
    <n v="0"/>
    <n v="0"/>
    <n v="0"/>
  </r>
  <r>
    <s v="4.3.4.2"/>
    <x v="3"/>
    <x v="3"/>
    <x v="1"/>
    <x v="13"/>
    <n v="3"/>
    <x v="72"/>
    <x v="72"/>
    <s v="Capacity building of KUHES in collaboration with HFD to lead PERs"/>
    <s v="Recruitment of a consultant "/>
    <s v="Newspaper advert (full)"/>
    <n v="391991.03749999998"/>
    <n v="1"/>
    <n v="1"/>
    <n v="391991.03749999998"/>
    <n v="0"/>
    <n v="0"/>
    <n v="0"/>
    <m/>
    <m/>
    <n v="0"/>
    <n v="0"/>
    <n v="0"/>
    <n v="0"/>
    <n v="0"/>
    <n v="0"/>
    <n v="0"/>
    <n v="0"/>
    <n v="0"/>
    <n v="0"/>
    <n v="1"/>
    <n v="1"/>
    <n v="873722.72899618326"/>
    <n v="0"/>
    <n v="0"/>
    <n v="0"/>
    <n v="1265713.7664961834"/>
    <n v="1228.8483169865858"/>
  </r>
  <r>
    <s v="4.3.4.2"/>
    <x v="3"/>
    <x v="3"/>
    <x v="1"/>
    <x v="13"/>
    <n v="3"/>
    <x v="72"/>
    <x v="72"/>
    <s v="Capacity building of KUHES in collaboration with HFD to lead PERs"/>
    <s v="Recruitment of a consultant "/>
    <s v="Local consultant fee - High level"/>
    <n v="511000"/>
    <n v="1"/>
    <n v="25"/>
    <n v="12775000"/>
    <n v="0"/>
    <n v="0"/>
    <n v="0"/>
    <m/>
    <m/>
    <n v="0"/>
    <n v="0"/>
    <n v="0"/>
    <n v="0"/>
    <n v="0"/>
    <n v="0"/>
    <n v="0"/>
    <n v="0"/>
    <n v="0"/>
    <n v="0"/>
    <n v="1"/>
    <n v="25"/>
    <n v="28474650.681079004"/>
    <n v="0"/>
    <n v="0"/>
    <n v="0"/>
    <n v="41249650.681079"/>
    <n v="40048.204544736895"/>
  </r>
  <r>
    <s v="4.3.4.2"/>
    <x v="3"/>
    <x v="3"/>
    <x v="1"/>
    <x v="13"/>
    <n v="3"/>
    <x v="72"/>
    <x v="72"/>
    <s v="Capacity building of KUHES in collaboration with HFD to lead PERs"/>
    <s v="conduct training"/>
    <s v="DSA (excl. lunch)"/>
    <n v="39000"/>
    <n v="30"/>
    <n v="6"/>
    <n v="7020000"/>
    <n v="0"/>
    <n v="0"/>
    <n v="0"/>
    <m/>
    <m/>
    <n v="0"/>
    <n v="0"/>
    <n v="0"/>
    <n v="0"/>
    <n v="0"/>
    <n v="0"/>
    <n v="0"/>
    <n v="0"/>
    <n v="0"/>
    <n v="0"/>
    <n v="30"/>
    <n v="6"/>
    <n v="15647127.027880596"/>
    <n v="0"/>
    <n v="0"/>
    <n v="0"/>
    <n v="22667127.027880594"/>
    <n v="22006.919444544266"/>
  </r>
  <r>
    <s v="4.3.4.2"/>
    <x v="3"/>
    <x v="3"/>
    <x v="1"/>
    <x v="13"/>
    <n v="3"/>
    <x v="72"/>
    <x v="72"/>
    <s v="Capacity building of KUHES in collaboration with HFD to lead PERs"/>
    <s v="conduct training"/>
    <s v="Conference package high-level"/>
    <n v="35000"/>
    <n v="30"/>
    <n v="5"/>
    <n v="5250000"/>
    <n v="0"/>
    <n v="0"/>
    <n v="0"/>
    <m/>
    <m/>
    <n v="0"/>
    <n v="0"/>
    <n v="0"/>
    <n v="0"/>
    <n v="0"/>
    <n v="0"/>
    <n v="0"/>
    <n v="0"/>
    <n v="0"/>
    <n v="0"/>
    <n v="30"/>
    <n v="5"/>
    <n v="11701911.238799591"/>
    <n v="0"/>
    <n v="0"/>
    <n v="0"/>
    <n v="16951911.238799591"/>
    <n v="16458.166251261737"/>
  </r>
  <r>
    <s v="4.3.4.2"/>
    <x v="3"/>
    <x v="3"/>
    <x v="1"/>
    <x v="13"/>
    <n v="3"/>
    <x v="72"/>
    <x v="72"/>
    <s v="Capacity building of KUHES in collaboration with HFD to lead PERs"/>
    <s v="conduct training"/>
    <s v="Local running (diesel, per km)"/>
    <n v="211.42857142857142"/>
    <n v="500"/>
    <n v="5"/>
    <n v="528571.42857142852"/>
    <n v="0"/>
    <n v="0"/>
    <n v="0"/>
    <m/>
    <m/>
    <n v="0"/>
    <n v="0"/>
    <n v="0"/>
    <n v="0"/>
    <n v="0"/>
    <n v="0"/>
    <n v="0"/>
    <n v="0"/>
    <n v="0"/>
    <n v="0"/>
    <n v="500"/>
    <n v="5"/>
    <n v="1178151.6077158772"/>
    <n v="0"/>
    <n v="0"/>
    <n v="0"/>
    <n v="1706723.0362873059"/>
    <n v="1657.0126565896173"/>
  </r>
  <r>
    <s v="4.3.4.2"/>
    <x v="3"/>
    <x v="3"/>
    <x v="1"/>
    <x v="13"/>
    <n v="3"/>
    <x v="72"/>
    <x v="72"/>
    <s v="Capacity building of KUHES in collaboration with HFD to lead PERs"/>
    <s v="conduct training"/>
    <s v="Fuel for Travelling Participants"/>
    <n v="211.42857142857142"/>
    <n v="500"/>
    <n v="5"/>
    <n v="528571.42857142852"/>
    <n v="0"/>
    <n v="0"/>
    <n v="0"/>
    <m/>
    <m/>
    <n v="0"/>
    <n v="0"/>
    <n v="0"/>
    <n v="0"/>
    <n v="0"/>
    <n v="0"/>
    <n v="0"/>
    <n v="0"/>
    <n v="0"/>
    <n v="0"/>
    <n v="500"/>
    <n v="5"/>
    <n v="1178151.6077158772"/>
    <n v="0"/>
    <n v="0"/>
    <n v="0"/>
    <n v="1706723.0362873059"/>
    <n v="1657.0126565896173"/>
  </r>
  <r>
    <s v="4.3.4.2"/>
    <x v="3"/>
    <x v="3"/>
    <x v="1"/>
    <x v="13"/>
    <n v="3"/>
    <x v="72"/>
    <x v="72"/>
    <s v="Capacity building of KUHES in collaboration with HFD to lead PERs"/>
    <s v="purchase 3 vehicles"/>
    <s v="Double Cab Vehicle"/>
    <n v="51100000"/>
    <n v="1"/>
    <n v="3"/>
    <n v="153300000"/>
    <n v="0"/>
    <n v="0"/>
    <n v="0"/>
    <m/>
    <m/>
    <n v="0"/>
    <n v="0"/>
    <n v="0"/>
    <n v="0"/>
    <n v="0"/>
    <n v="0"/>
    <n v="0"/>
    <n v="0"/>
    <n v="0"/>
    <n v="0"/>
    <n v="1"/>
    <n v="3"/>
    <n v="341695808.17294812"/>
    <n v="0"/>
    <n v="0"/>
    <n v="0"/>
    <n v="494995808.17294812"/>
    <n v="480578.45453684282"/>
  </r>
  <r>
    <s v="4.3.4.2"/>
    <x v="3"/>
    <x v="3"/>
    <x v="1"/>
    <x v="13"/>
    <n v="3"/>
    <x v="72"/>
    <x v="72"/>
    <s v="Capacity building of KUHES in collaboration with HFD to lead PERs"/>
    <s v="recruit 1 TA in HFD"/>
    <s v="Technical Assistant"/>
    <n v="42924000"/>
    <n v="1"/>
    <n v="1"/>
    <n v="42924000"/>
    <n v="0"/>
    <n v="0"/>
    <n v="0"/>
    <m/>
    <m/>
    <n v="0"/>
    <n v="0"/>
    <n v="0"/>
    <n v="0"/>
    <n v="0"/>
    <n v="0"/>
    <n v="0"/>
    <n v="0"/>
    <n v="0"/>
    <n v="0"/>
    <n v="1"/>
    <n v="1"/>
    <n v="95674826.28842546"/>
    <n v="0"/>
    <n v="0"/>
    <n v="0"/>
    <n v="138598826.28842545"/>
    <n v="134561.96727031597"/>
  </r>
  <r>
    <s v="4.3.4.2"/>
    <x v="3"/>
    <x v="3"/>
    <x v="1"/>
    <x v="13"/>
    <n v="3"/>
    <x v="72"/>
    <x v="72"/>
    <s v="conduct health system wide PER every 3 years"/>
    <s v="Recruit research assistants (in house)"/>
    <s v="zero cost"/>
    <n v="0"/>
    <n v="0"/>
    <n v="0"/>
    <n v="0"/>
    <n v="0"/>
    <n v="0"/>
    <n v="0"/>
    <n v="0"/>
    <n v="0"/>
    <n v="0"/>
    <n v="0"/>
    <n v="0"/>
    <n v="0"/>
    <n v="0"/>
    <n v="0"/>
    <n v="0"/>
    <n v="0"/>
    <n v="0"/>
    <n v="0"/>
    <n v="0"/>
    <n v="0"/>
    <n v="0"/>
    <n v="0"/>
    <n v="0"/>
    <n v="0"/>
    <n v="0"/>
    <n v="0"/>
  </r>
  <r>
    <s v="4.3.4.2"/>
    <x v="3"/>
    <x v="3"/>
    <x v="1"/>
    <x v="13"/>
    <n v="3"/>
    <x v="72"/>
    <x v="72"/>
    <s v="conduct health system wide PER every 3 years"/>
    <s v="Customize data collection tools to the assignment at hand"/>
    <s v="zero cost"/>
    <n v="0"/>
    <n v="0"/>
    <n v="0"/>
    <n v="0"/>
    <n v="0"/>
    <n v="0"/>
    <n v="0"/>
    <n v="0"/>
    <n v="0"/>
    <n v="0"/>
    <n v="0"/>
    <n v="0"/>
    <n v="0"/>
    <n v="0"/>
    <n v="0"/>
    <n v="0"/>
    <n v="0"/>
    <n v="0"/>
    <n v="0"/>
    <n v="0"/>
    <n v="0"/>
    <n v="0"/>
    <n v="0"/>
    <n v="0"/>
    <n v="0"/>
    <n v="0"/>
    <n v="0"/>
  </r>
  <r>
    <s v="4.3.4.2"/>
    <x v="3"/>
    <x v="3"/>
    <x v="1"/>
    <x v="13"/>
    <n v="3"/>
    <x v="72"/>
    <x v="72"/>
    <s v="conduct health system wide PER every 3 years"/>
    <s v="Pre testing of the data collection tools"/>
    <s v="Full DSA"/>
    <n v="45000"/>
    <m/>
    <m/>
    <n v="0"/>
    <n v="25"/>
    <n v="2"/>
    <n v="2571572.4682499995"/>
    <m/>
    <m/>
    <n v="0"/>
    <n v="0"/>
    <n v="0"/>
    <n v="0"/>
    <n v="25"/>
    <n v="2"/>
    <n v="3839259.9241975434"/>
    <n v="0"/>
    <n v="0"/>
    <n v="0"/>
    <n v="25"/>
    <n v="2"/>
    <n v="5015104.8166283965"/>
    <n v="0"/>
    <n v="0"/>
    <n v="0"/>
    <n v="11425937.209075939"/>
    <n v="11093.142921432951"/>
  </r>
  <r>
    <s v="4.3.4.2"/>
    <x v="3"/>
    <x v="3"/>
    <x v="1"/>
    <x v="13"/>
    <n v="3"/>
    <x v="72"/>
    <x v="72"/>
    <s v="conduct health system wide PER every 3 years"/>
    <s v="Pre testing of the data collection tools"/>
    <s v="Local running (diesel, per km)"/>
    <n v="211.42857142857142"/>
    <m/>
    <m/>
    <n v="0"/>
    <n v="450"/>
    <n v="1"/>
    <n v="108740.77865742856"/>
    <m/>
    <m/>
    <n v="0"/>
    <n v="0"/>
    <n v="0"/>
    <n v="0"/>
    <n v="450"/>
    <n v="1"/>
    <n v="162345.8482232104"/>
    <n v="0"/>
    <n v="0"/>
    <n v="0"/>
    <n v="450"/>
    <n v="1"/>
    <n v="212067.2893888579"/>
    <n v="0"/>
    <n v="0"/>
    <n v="0"/>
    <n v="483153.91626949684"/>
    <n v="469.08147210630761"/>
  </r>
  <r>
    <s v="4.3.4.2"/>
    <x v="3"/>
    <x v="3"/>
    <x v="1"/>
    <x v="13"/>
    <n v="3"/>
    <x v="72"/>
    <x v="72"/>
    <s v="conduct health system wide PER every 3 years"/>
    <s v="Pre testing of the data collection tools"/>
    <s v="Fuel for Travelling Participants"/>
    <n v="211.42857142857142"/>
    <m/>
    <m/>
    <n v="0"/>
    <n v="2430"/>
    <n v="1"/>
    <n v="587200.20475011424"/>
    <m/>
    <m/>
    <n v="0"/>
    <m/>
    <m/>
    <n v="0"/>
    <n v="2430"/>
    <n v="1"/>
    <n v="876667.58040533611"/>
    <m/>
    <m/>
    <n v="0"/>
    <n v="2430"/>
    <n v="1"/>
    <n v="1145163.3626998325"/>
    <m/>
    <m/>
    <n v="0"/>
    <n v="2609031.1478552828"/>
    <n v="2533.0399493740611"/>
  </r>
  <r>
    <s v="4.3.4.2"/>
    <x v="3"/>
    <x v="3"/>
    <x v="1"/>
    <x v="13"/>
    <n v="3"/>
    <x v="72"/>
    <x v="72"/>
    <s v="conduct health system wide PER every 3 years"/>
    <s v="Validation of the data collection tools"/>
    <s v="Conference package high-level"/>
    <n v="35000"/>
    <m/>
    <m/>
    <n v="0"/>
    <n v="25"/>
    <n v="1"/>
    <n v="1000055.9598749998"/>
    <m/>
    <m/>
    <n v="0"/>
    <m/>
    <m/>
    <n v="0"/>
    <n v="25"/>
    <n v="1"/>
    <n v="1493045.5260768225"/>
    <n v="0"/>
    <n v="0"/>
    <n v="0"/>
    <n v="25"/>
    <n v="1"/>
    <n v="1950318.5397999317"/>
    <n v="0"/>
    <n v="0"/>
    <n v="0"/>
    <n v="4443420.0257517537"/>
    <n v="4314.0000250017029"/>
  </r>
  <r>
    <s v="4.3.4.2"/>
    <x v="3"/>
    <x v="3"/>
    <x v="1"/>
    <x v="13"/>
    <n v="3"/>
    <x v="72"/>
    <x v="72"/>
    <s v="conduct health system wide PER every 3 years"/>
    <s v="Data collection"/>
    <s v="Full DSA"/>
    <n v="45000"/>
    <m/>
    <m/>
    <n v="0"/>
    <n v="25"/>
    <n v="6"/>
    <n v="7714717.4047499988"/>
    <m/>
    <m/>
    <n v="0"/>
    <m/>
    <m/>
    <n v="0"/>
    <n v="25"/>
    <n v="6"/>
    <n v="11517779.77259263"/>
    <n v="0"/>
    <n v="0"/>
    <n v="0"/>
    <n v="25"/>
    <n v="6"/>
    <n v="15045314.44988519"/>
    <n v="0"/>
    <n v="0"/>
    <n v="0"/>
    <n v="34277811.62722782"/>
    <n v="33279.428764298857"/>
  </r>
  <r>
    <s v="4.3.4.2"/>
    <x v="3"/>
    <x v="3"/>
    <x v="1"/>
    <x v="13"/>
    <n v="3"/>
    <x v="72"/>
    <x v="72"/>
    <s v="conduct health system wide PER every 3 years"/>
    <s v="Data collection"/>
    <s v="Fuel for Travelling Participants"/>
    <n v="211.42857142857142"/>
    <m/>
    <m/>
    <n v="0"/>
    <n v="2430"/>
    <n v="1"/>
    <n v="587200.20475011424"/>
    <m/>
    <m/>
    <n v="0"/>
    <m/>
    <m/>
    <n v="0"/>
    <n v="2430"/>
    <n v="1"/>
    <n v="876667.58040533611"/>
    <m/>
    <m/>
    <n v="0"/>
    <n v="2430"/>
    <n v="1"/>
    <n v="1145163.3626998325"/>
    <m/>
    <m/>
    <n v="0"/>
    <n v="2609031.1478552828"/>
    <n v="2533.0399493740611"/>
  </r>
  <r>
    <s v="4.3.4.2"/>
    <x v="3"/>
    <x v="3"/>
    <x v="1"/>
    <x v="13"/>
    <n v="3"/>
    <x v="72"/>
    <x v="72"/>
    <s v="conduct health system wide PER every 3 years"/>
    <s v="Data collection"/>
    <s v="Local running (diesel, per km)"/>
    <n v="211.42857142857142"/>
    <m/>
    <m/>
    <n v="0"/>
    <n v="450"/>
    <n v="5"/>
    <n v="543703.89328714274"/>
    <m/>
    <m/>
    <n v="0"/>
    <m/>
    <m/>
    <n v="0"/>
    <n v="450"/>
    <n v="5"/>
    <n v="811729.24111605203"/>
    <n v="0"/>
    <n v="0"/>
    <n v="0"/>
    <n v="450"/>
    <n v="5"/>
    <n v="1060336.4469442894"/>
    <n v="0"/>
    <n v="0"/>
    <n v="0"/>
    <n v="2415769.5813474841"/>
    <n v="2345.407360531538"/>
  </r>
  <r>
    <s v="4.3.4.2"/>
    <x v="3"/>
    <x v="3"/>
    <x v="1"/>
    <x v="13"/>
    <n v="3"/>
    <x v="72"/>
    <x v="72"/>
    <s v="conduct health system wide PER every 3 years"/>
    <s v="Data collection"/>
    <s v="Tablet"/>
    <n v="302000"/>
    <m/>
    <m/>
    <n v="0"/>
    <n v="25"/>
    <n v="1"/>
    <n v="8629054.2823499981"/>
    <m/>
    <m/>
    <n v="0"/>
    <m/>
    <m/>
    <n v="0"/>
    <n v="25"/>
    <n v="1"/>
    <n v="12882849.967862869"/>
    <n v="0"/>
    <n v="0"/>
    <n v="0"/>
    <n v="25"/>
    <n v="1"/>
    <n v="16828462.829130843"/>
    <n v="0"/>
    <n v="0"/>
    <n v="0"/>
    <n v="38340367.079343706"/>
    <n v="37223.657358586126"/>
  </r>
  <r>
    <s v="4.3.4.2"/>
    <x v="3"/>
    <x v="3"/>
    <x v="1"/>
    <x v="13"/>
    <n v="3"/>
    <x v="72"/>
    <x v="72"/>
    <s v="conduct health system wide PER every 3 years"/>
    <s v="Data collection"/>
    <s v="Airtime for Research Assistant"/>
    <n v="10000"/>
    <m/>
    <m/>
    <n v="0"/>
    <n v="15"/>
    <n v="1"/>
    <n v="171438.16454999999"/>
    <m/>
    <m/>
    <n v="0"/>
    <m/>
    <m/>
    <n v="0"/>
    <n v="15"/>
    <n v="1"/>
    <n v="255950.66161316959"/>
    <n v="0"/>
    <n v="0"/>
    <n v="0"/>
    <n v="15"/>
    <n v="1"/>
    <n v="334340.32110855979"/>
    <n v="0"/>
    <n v="0"/>
    <n v="0"/>
    <n v="761729.14727172931"/>
    <n v="739.54286142886338"/>
  </r>
  <r>
    <s v="4.3.4.2"/>
    <x v="3"/>
    <x v="3"/>
    <x v="1"/>
    <x v="13"/>
    <n v="3"/>
    <x v="72"/>
    <x v="72"/>
    <s v="conduct health system wide PER every 3 years"/>
    <s v="Data analysis"/>
    <s v="DSA (excl. lunch)"/>
    <n v="39000"/>
    <m/>
    <m/>
    <n v="0"/>
    <n v="25"/>
    <n v="6"/>
    <n v="6686088.4174499996"/>
    <m/>
    <m/>
    <n v="0"/>
    <m/>
    <m/>
    <n v="0"/>
    <n v="25"/>
    <n v="6"/>
    <n v="9982075.8029136136"/>
    <n v="0"/>
    <n v="0"/>
    <n v="0"/>
    <n v="25"/>
    <n v="6"/>
    <n v="13039272.523233831"/>
    <n v="0"/>
    <n v="0"/>
    <n v="0"/>
    <n v="29707436.743597444"/>
    <n v="28842.171595725675"/>
  </r>
  <r>
    <s v="4.3.4.2"/>
    <x v="3"/>
    <x v="3"/>
    <x v="1"/>
    <x v="13"/>
    <n v="3"/>
    <x v="72"/>
    <x v="72"/>
    <s v="conduct health system wide PER every 3 years"/>
    <s v="Data analysis"/>
    <s v="Conference package high-level"/>
    <n v="35000"/>
    <m/>
    <m/>
    <n v="0"/>
    <n v="25"/>
    <n v="5"/>
    <n v="5000279.7993749995"/>
    <m/>
    <m/>
    <n v="0"/>
    <m/>
    <m/>
    <n v="0"/>
    <n v="25"/>
    <n v="5"/>
    <n v="7465227.6303841127"/>
    <n v="0"/>
    <n v="0"/>
    <n v="0"/>
    <n v="25"/>
    <n v="5"/>
    <n v="9751592.6989996582"/>
    <n v="0"/>
    <n v="0"/>
    <n v="0"/>
    <n v="22217100.128758769"/>
    <n v="21570.000125008515"/>
  </r>
  <r>
    <s v="4.3.4.2"/>
    <x v="3"/>
    <x v="3"/>
    <x v="1"/>
    <x v="13"/>
    <n v="3"/>
    <x v="72"/>
    <x v="72"/>
    <s v="conduct health system wide PER every 3 years"/>
    <s v="Data analysis"/>
    <s v="Fuel for Travelling Participants"/>
    <n v="211.42857142857142"/>
    <m/>
    <m/>
    <n v="0"/>
    <n v="2430"/>
    <n v="1"/>
    <n v="587200.20475011424"/>
    <m/>
    <m/>
    <n v="0"/>
    <m/>
    <m/>
    <n v="0"/>
    <n v="2430"/>
    <n v="1"/>
    <n v="876667.58040533611"/>
    <m/>
    <m/>
    <n v="0"/>
    <n v="2430"/>
    <n v="1"/>
    <n v="1145163.3626998325"/>
    <m/>
    <m/>
    <n v="0"/>
    <n v="2609031.1478552828"/>
    <n v="2533.0399493740611"/>
  </r>
  <r>
    <s v="4.3.4.2"/>
    <x v="3"/>
    <x v="3"/>
    <x v="1"/>
    <x v="13"/>
    <n v="3"/>
    <x v="72"/>
    <x v="72"/>
    <s v="conduct health system wide PER every 3 years"/>
    <s v="Data analysis"/>
    <s v="Local running (diesel, per km)"/>
    <n v="211.42857142857142"/>
    <m/>
    <m/>
    <n v="0"/>
    <n v="450"/>
    <n v="5"/>
    <n v="543703.89328714274"/>
    <m/>
    <m/>
    <n v="0"/>
    <m/>
    <m/>
    <n v="0"/>
    <n v="450"/>
    <n v="5"/>
    <n v="811729.24111605203"/>
    <n v="0"/>
    <n v="0"/>
    <n v="0"/>
    <n v="450"/>
    <n v="5"/>
    <n v="1060336.4469442894"/>
    <n v="0"/>
    <n v="0"/>
    <n v="0"/>
    <n v="2415769.5813474841"/>
    <n v="2345.407360531538"/>
  </r>
  <r>
    <s v="4.3.4.2"/>
    <x v="3"/>
    <x v="3"/>
    <x v="1"/>
    <x v="13"/>
    <n v="3"/>
    <x v="72"/>
    <x v="72"/>
    <s v="conduct health system wide PER every 3 years"/>
    <s v="report writing"/>
    <s v="DSA (excl. lunch)"/>
    <n v="39000"/>
    <m/>
    <m/>
    <n v="0"/>
    <n v="25"/>
    <n v="5"/>
    <n v="5571740.347874999"/>
    <m/>
    <m/>
    <n v="0"/>
    <m/>
    <m/>
    <n v="0"/>
    <n v="25"/>
    <n v="5"/>
    <n v="8318396.502428012"/>
    <n v="0"/>
    <n v="0"/>
    <n v="0"/>
    <n v="25"/>
    <n v="5"/>
    <n v="10866060.436028194"/>
    <n v="0"/>
    <n v="0"/>
    <n v="0"/>
    <n v="24756197.286331207"/>
    <n v="24035.142996438066"/>
  </r>
  <r>
    <s v="4.3.4.2"/>
    <x v="3"/>
    <x v="3"/>
    <x v="1"/>
    <x v="13"/>
    <n v="3"/>
    <x v="72"/>
    <x v="72"/>
    <s v="conduct health system wide PER every 3 years"/>
    <s v="report writing"/>
    <s v="Conference package high-level"/>
    <n v="35000"/>
    <m/>
    <m/>
    <n v="0"/>
    <n v="25"/>
    <n v="5"/>
    <n v="5000279.7993749995"/>
    <m/>
    <m/>
    <n v="0"/>
    <m/>
    <m/>
    <n v="0"/>
    <n v="25"/>
    <n v="5"/>
    <n v="7465227.6303841127"/>
    <n v="0"/>
    <n v="0"/>
    <n v="0"/>
    <n v="25"/>
    <n v="5"/>
    <n v="9751592.6989996582"/>
    <n v="0"/>
    <n v="0"/>
    <n v="0"/>
    <n v="22217100.128758769"/>
    <n v="21570.000125008515"/>
  </r>
  <r>
    <s v="4.3.4.2"/>
    <x v="3"/>
    <x v="3"/>
    <x v="1"/>
    <x v="13"/>
    <n v="3"/>
    <x v="72"/>
    <x v="72"/>
    <s v="conduct health system wide PER every 3 years"/>
    <s v="report writing"/>
    <s v="Fuel for Travelling Participants"/>
    <n v="211.42857142857142"/>
    <m/>
    <m/>
    <n v="0"/>
    <n v="2430"/>
    <n v="1"/>
    <n v="587200.20475011424"/>
    <m/>
    <m/>
    <n v="0"/>
    <m/>
    <m/>
    <n v="0"/>
    <n v="2430"/>
    <n v="1"/>
    <n v="876667.58040533611"/>
    <m/>
    <m/>
    <n v="0"/>
    <n v="2430"/>
    <n v="1"/>
    <n v="1145163.3626998325"/>
    <m/>
    <m/>
    <n v="0"/>
    <n v="2609031.1478552828"/>
    <n v="2533.0399493740611"/>
  </r>
  <r>
    <s v="4.3.4.2"/>
    <x v="3"/>
    <x v="3"/>
    <x v="1"/>
    <x v="13"/>
    <n v="3"/>
    <x v="72"/>
    <x v="72"/>
    <s v="conduct health system wide PER every 3 years"/>
    <s v="report writing"/>
    <s v="Local running (diesel, per km)"/>
    <n v="211.42857142857142"/>
    <m/>
    <m/>
    <n v="0"/>
    <n v="450"/>
    <n v="5"/>
    <n v="543703.89328714274"/>
    <n v="4000"/>
    <n v="1"/>
    <n v="1104730.044726955"/>
    <n v="0"/>
    <n v="0"/>
    <n v="0"/>
    <n v="450"/>
    <n v="5"/>
    <n v="811729.24111605203"/>
    <n v="0"/>
    <n v="0"/>
    <n v="0"/>
    <n v="450"/>
    <n v="5"/>
    <n v="1060336.4469442894"/>
    <n v="0"/>
    <n v="0"/>
    <n v="0"/>
    <n v="3520499.6260744394"/>
    <n v="3417.960802014019"/>
  </r>
  <r>
    <s v="4.3.4.2"/>
    <x v="3"/>
    <x v="3"/>
    <x v="1"/>
    <x v="13"/>
    <n v="3"/>
    <x v="72"/>
    <x v="72"/>
    <s v="conduct health system wide PER every 3 years"/>
    <s v="validation of the report"/>
    <s v="DSA (excl. lunch)"/>
    <n v="39000"/>
    <m/>
    <m/>
    <n v="0"/>
    <n v="58"/>
    <n v="6"/>
    <n v="15511725.128483998"/>
    <n v="10"/>
    <n v="1"/>
    <n v="509444.76724739646"/>
    <n v="0"/>
    <n v="0"/>
    <n v="0"/>
    <n v="58"/>
    <n v="6"/>
    <n v="23158415.862759583"/>
    <n v="0"/>
    <n v="0"/>
    <n v="0"/>
    <n v="58"/>
    <n v="6"/>
    <n v="30251112.253902487"/>
    <n v="0"/>
    <n v="0"/>
    <n v="0"/>
    <n v="69430698.012393475"/>
    <n v="67408.444672226673"/>
  </r>
  <r>
    <s v="4.3.4.2"/>
    <x v="3"/>
    <x v="3"/>
    <x v="1"/>
    <x v="13"/>
    <n v="3"/>
    <x v="72"/>
    <x v="72"/>
    <s v="conduct health system wide PER every 3 years"/>
    <s v="validation of the report"/>
    <s v="Conference package high-level"/>
    <n v="28000"/>
    <m/>
    <m/>
    <n v="0"/>
    <n v="100"/>
    <n v="5"/>
    <n v="16000895.357999997"/>
    <n v="30"/>
    <n v="1"/>
    <n v="1097265.6525328541"/>
    <n v="0"/>
    <n v="0"/>
    <n v="0"/>
    <n v="100"/>
    <n v="5"/>
    <n v="23888728.417229161"/>
    <n v="0"/>
    <n v="0"/>
    <n v="0"/>
    <n v="100"/>
    <n v="5"/>
    <n v="31205096.636798907"/>
    <n v="0"/>
    <n v="0"/>
    <n v="0"/>
    <n v="72191986.06456092"/>
    <n v="70089.306858797005"/>
  </r>
  <r>
    <s v="4.3.4.2"/>
    <x v="3"/>
    <x v="3"/>
    <x v="1"/>
    <x v="13"/>
    <n v="3"/>
    <x v="72"/>
    <x v="72"/>
    <s v="conduct health system wide PER every 3 years"/>
    <s v="validation of the report"/>
    <s v="Local running (diesel, per km)"/>
    <n v="211.42857142857142"/>
    <m/>
    <m/>
    <n v="0"/>
    <n v="1450"/>
    <n v="5"/>
    <n v="1751934.7672585712"/>
    <n v="8000"/>
    <n v="1"/>
    <n v="2209460.08945391"/>
    <n v="0"/>
    <n v="0"/>
    <n v="0"/>
    <n v="1450"/>
    <n v="5"/>
    <n v="2615571.999151723"/>
    <n v="0"/>
    <n v="0"/>
    <n v="0"/>
    <n v="1450"/>
    <n v="5"/>
    <n v="3416639.6623760439"/>
    <n v="0"/>
    <n v="0"/>
    <n v="0"/>
    <n v="9993606.5182402488"/>
    <n v="9702.5306002332509"/>
  </r>
  <r>
    <s v="4.3.4.2"/>
    <x v="3"/>
    <x v="3"/>
    <x v="1"/>
    <x v="13"/>
    <n v="3"/>
    <x v="72"/>
    <x v="72"/>
    <s v="conduct health system wide PER every 3 years"/>
    <s v="report writing"/>
    <s v="Fuel for Travelling Participants"/>
    <n v="211.42857142857142"/>
    <m/>
    <m/>
    <n v="0"/>
    <n v="7830"/>
    <n v="1"/>
    <n v="1892089.548639257"/>
    <m/>
    <m/>
    <n v="0"/>
    <m/>
    <m/>
    <n v="0"/>
    <n v="7830"/>
    <n v="1"/>
    <n v="2824817.759083861"/>
    <m/>
    <m/>
    <n v="0"/>
    <n v="7830"/>
    <n v="1"/>
    <n v="3689970.8353661271"/>
    <m/>
    <m/>
    <n v="0"/>
    <n v="8406878.143089246"/>
    <n v="8162.0176146497533"/>
  </r>
  <r>
    <s v="4.3.4.2"/>
    <x v="3"/>
    <x v="3"/>
    <x v="1"/>
    <x v="13"/>
    <n v="3"/>
    <x v="72"/>
    <x v="72"/>
    <s v="conduct health system wide PER every 3 years"/>
    <s v="Present report to HFTWG for endorsement "/>
    <s v="Conference package high-level"/>
    <n v="35000"/>
    <m/>
    <m/>
    <n v="0"/>
    <n v="30"/>
    <n v="1"/>
    <n v="1200067.1518499998"/>
    <n v="30"/>
    <n v="1"/>
    <n v="1371582.0656660672"/>
    <n v="0"/>
    <n v="0"/>
    <n v="0"/>
    <n v="30"/>
    <n v="1"/>
    <n v="1791654.6312921871"/>
    <n v="0"/>
    <n v="0"/>
    <n v="0"/>
    <n v="30"/>
    <n v="1"/>
    <n v="2340382.2477599182"/>
    <n v="0"/>
    <n v="0"/>
    <n v="0"/>
    <n v="6703686.0965681728"/>
    <n v="6508.4331034642455"/>
  </r>
  <r>
    <s v="4.3.4.2"/>
    <x v="3"/>
    <x v="3"/>
    <x v="1"/>
    <x v="13"/>
    <n v="3"/>
    <x v="72"/>
    <x v="72"/>
    <s v="conduct health system wide PER every 3 years"/>
    <s v="Present report to SMT for approval"/>
    <s v="Conference package high-level"/>
    <n v="35000"/>
    <m/>
    <m/>
    <n v="0"/>
    <n v="30"/>
    <n v="1"/>
    <n v="1200067.1518499998"/>
    <n v="20"/>
    <n v="1"/>
    <n v="914388.04377737816"/>
    <n v="0"/>
    <n v="0"/>
    <n v="0"/>
    <n v="30"/>
    <n v="1"/>
    <n v="1791654.6312921871"/>
    <n v="0"/>
    <n v="0"/>
    <n v="0"/>
    <n v="30"/>
    <n v="1"/>
    <n v="2340382.2477599182"/>
    <n v="0"/>
    <n v="0"/>
    <n v="0"/>
    <n v="6246492.0746794827"/>
    <n v="6064.5554123101774"/>
  </r>
  <r>
    <s v="4.3.4.2"/>
    <x v="3"/>
    <x v="3"/>
    <x v="1"/>
    <x v="13"/>
    <n v="3"/>
    <x v="72"/>
    <x v="72"/>
    <s v="conduct health system wide PER every 3 years"/>
    <s v="Dissemination of the report"/>
    <s v="Conference package high-level"/>
    <n v="35000"/>
    <m/>
    <m/>
    <n v="0"/>
    <n v="100"/>
    <n v="1"/>
    <n v="4000223.8394999993"/>
    <n v="40"/>
    <n v="1"/>
    <n v="1828776.0875547563"/>
    <n v="0"/>
    <n v="0"/>
    <n v="0"/>
    <n v="100"/>
    <n v="1"/>
    <n v="5972182.1043072902"/>
    <n v="0"/>
    <n v="0"/>
    <n v="0"/>
    <n v="100"/>
    <n v="1"/>
    <n v="7801274.1591997268"/>
    <n v="0"/>
    <n v="0"/>
    <n v="0"/>
    <n v="19602456.190561771"/>
    <n v="19031.51086462308"/>
  </r>
  <r>
    <s v="4.3.4.2"/>
    <x v="3"/>
    <x v="3"/>
    <x v="1"/>
    <x v="13"/>
    <n v="3"/>
    <x v="72"/>
    <x v="72"/>
    <s v="conduct health system wide PER every 3 years"/>
    <s v="Dissemination of the report"/>
    <s v="toner"/>
    <n v="104850"/>
    <m/>
    <m/>
    <n v="0"/>
    <n v="1"/>
    <n v="1"/>
    <n v="119835.27702044998"/>
    <n v="3"/>
    <n v="1"/>
    <n v="410886.79881453479"/>
    <n v="0"/>
    <n v="0"/>
    <n v="0"/>
    <n v="1"/>
    <n v="1"/>
    <n v="178909.51246760553"/>
    <n v="0"/>
    <n v="0"/>
    <n v="0"/>
    <n v="1"/>
    <n v="1"/>
    <n v="233703.88445488326"/>
    <n v="0"/>
    <n v="0"/>
    <n v="0"/>
    <n v="943335.47275747359"/>
    <n v="915.85968228880927"/>
  </r>
  <r>
    <s v="4.3.4.2"/>
    <x v="3"/>
    <x v="3"/>
    <x v="1"/>
    <x v="13"/>
    <n v="3"/>
    <x v="72"/>
    <x v="72"/>
    <s v="conduct health system wide PER every 3 years"/>
    <s v="Dissemination of the report"/>
    <s v="A4, 1 page, 140 gsm paper"/>
    <n v="8000"/>
    <m/>
    <m/>
    <n v="0"/>
    <n v="5"/>
    <n v="1"/>
    <n v="45716.84388"/>
    <n v="50000"/>
    <n v="1"/>
    <n v="522507453.58707327"/>
    <n v="0"/>
    <n v="0"/>
    <n v="0"/>
    <n v="5"/>
    <n v="1"/>
    <n v="68253.509763511887"/>
    <n v="0"/>
    <n v="0"/>
    <n v="0"/>
    <n v="5"/>
    <n v="1"/>
    <n v="89157.418962282609"/>
    <n v="0"/>
    <n v="0"/>
    <n v="0"/>
    <n v="522710581.3596791"/>
    <n v="507486.00132007682"/>
  </r>
  <r>
    <s v="4.3.4.2"/>
    <x v="3"/>
    <x v="3"/>
    <x v="1"/>
    <x v="13"/>
    <n v="3"/>
    <x v="72"/>
    <x v="72"/>
    <s v="Conduct district specific PERs every 5 years "/>
    <s v="Recruit research assistants (in house)"/>
    <s v="zero cost"/>
    <n v="0"/>
    <n v="0"/>
    <n v="0"/>
    <n v="0"/>
    <n v="0"/>
    <n v="0"/>
    <n v="0"/>
    <n v="0"/>
    <n v="0"/>
    <n v="0"/>
    <n v="0"/>
    <n v="0"/>
    <n v="0"/>
    <n v="0"/>
    <n v="0"/>
    <n v="0"/>
    <n v="0"/>
    <n v="0"/>
    <n v="0"/>
    <n v="0"/>
    <n v="0"/>
    <n v="0"/>
    <n v="0"/>
    <n v="0"/>
    <n v="0"/>
    <n v="0"/>
    <n v="0"/>
  </r>
  <r>
    <s v="4.3.4.2"/>
    <x v="3"/>
    <x v="3"/>
    <x v="1"/>
    <x v="13"/>
    <n v="3"/>
    <x v="72"/>
    <x v="72"/>
    <s v="Conduct district specific PERs every 5 years "/>
    <s v="Customize data collection tools to the assignment at hand"/>
    <s v="zero cost"/>
    <n v="0"/>
    <n v="0"/>
    <n v="0"/>
    <n v="0"/>
    <n v="0"/>
    <n v="0"/>
    <n v="0"/>
    <n v="0"/>
    <n v="0"/>
    <n v="0"/>
    <n v="0"/>
    <n v="0"/>
    <n v="0"/>
    <n v="0"/>
    <n v="0"/>
    <n v="0"/>
    <n v="0"/>
    <n v="0"/>
    <n v="0"/>
    <n v="0"/>
    <n v="0"/>
    <n v="0"/>
    <n v="0"/>
    <n v="0"/>
    <n v="0"/>
    <n v="0"/>
    <n v="0"/>
  </r>
  <r>
    <s v="4.3.4.2"/>
    <x v="3"/>
    <x v="3"/>
    <x v="1"/>
    <x v="13"/>
    <n v="3"/>
    <x v="72"/>
    <x v="72"/>
    <s v="Conduct district specific PERs every 5 years "/>
    <s v="Pre testing of the data collection tools"/>
    <s v="Full DSA"/>
    <n v="45000"/>
    <m/>
    <m/>
    <n v="0"/>
    <n v="0"/>
    <n v="0"/>
    <n v="0"/>
    <n v="15"/>
    <n v="1"/>
    <n v="881731.32792818616"/>
    <n v="25"/>
    <n v="1"/>
    <n v="1679582.2276249153"/>
    <n v="0"/>
    <n v="0"/>
    <n v="0"/>
    <n v="0"/>
    <n v="0"/>
    <n v="0"/>
    <n v="25"/>
    <n v="1"/>
    <n v="2507552.4083141983"/>
    <n v="0"/>
    <n v="0"/>
    <n v="0"/>
    <n v="5068865.9638672993"/>
    <n v="4921.2290911333002"/>
  </r>
  <r>
    <s v="4.3.4.2"/>
    <x v="3"/>
    <x v="3"/>
    <x v="1"/>
    <x v="13"/>
    <n v="3"/>
    <x v="72"/>
    <x v="72"/>
    <s v="Conduct district specific PERs every 5 years "/>
    <s v="Pre testing of the data collection tools"/>
    <s v="Local running (diesel, per km)"/>
    <n v="211.42857142857142"/>
    <m/>
    <m/>
    <n v="0"/>
    <n v="0"/>
    <n v="0"/>
    <n v="0"/>
    <n v="4000"/>
    <n v="1"/>
    <n v="1104730.044726955"/>
    <n v="450"/>
    <n v="1"/>
    <n v="142044.66839342139"/>
    <n v="0"/>
    <n v="0"/>
    <n v="0"/>
    <n v="0"/>
    <n v="0"/>
    <n v="0"/>
    <n v="450"/>
    <n v="1"/>
    <n v="212067.2893888579"/>
    <n v="0"/>
    <n v="0"/>
    <n v="0"/>
    <n v="1458842.0025092345"/>
    <n v="1416.3514587468296"/>
  </r>
  <r>
    <s v="4.3.4.2"/>
    <x v="3"/>
    <x v="3"/>
    <x v="1"/>
    <x v="13"/>
    <n v="3"/>
    <x v="72"/>
    <x v="72"/>
    <s v="Conduct district specific PERs every 5 years "/>
    <s v="Pre testing of the data collection tools"/>
    <s v="Fuel for Travelling Participants"/>
    <n v="211.42857142857142"/>
    <m/>
    <m/>
    <n v="0"/>
    <n v="0"/>
    <n v="0"/>
    <n v="0"/>
    <n v="4000"/>
    <n v="1"/>
    <n v="1104730.044726955"/>
    <n v="2430"/>
    <n v="1"/>
    <n v="767041.20932447549"/>
    <n v="0"/>
    <n v="0"/>
    <n v="0"/>
    <n v="0"/>
    <n v="0"/>
    <n v="0"/>
    <n v="2430"/>
    <n v="1"/>
    <n v="1145163.3626998325"/>
    <n v="0"/>
    <n v="0"/>
    <n v="0"/>
    <n v="3016934.6167512629"/>
    <n v="2929.0627347099639"/>
  </r>
  <r>
    <s v="4.3.4.2"/>
    <x v="3"/>
    <x v="3"/>
    <x v="1"/>
    <x v="13"/>
    <n v="3"/>
    <x v="72"/>
    <x v="72"/>
    <s v="Conduct district specific PERs every 5 years "/>
    <s v="Validation of the data collection tools"/>
    <s v="Conference package high-level"/>
    <n v="35000"/>
    <m/>
    <m/>
    <n v="0"/>
    <n v="0"/>
    <n v="0"/>
    <n v="0"/>
    <n v="30"/>
    <n v="1"/>
    <n v="1371582.0656660672"/>
    <n v="25"/>
    <n v="1"/>
    <n v="1306341.7325971564"/>
    <n v="0"/>
    <n v="0"/>
    <n v="0"/>
    <n v="0"/>
    <n v="0"/>
    <n v="0"/>
    <n v="25"/>
    <n v="1"/>
    <n v="1950318.5397999317"/>
    <n v="0"/>
    <n v="0"/>
    <n v="0"/>
    <n v="4628242.3380631553"/>
    <n v="4493.4391631681119"/>
  </r>
  <r>
    <s v="4.3.4.2"/>
    <x v="3"/>
    <x v="3"/>
    <x v="1"/>
    <x v="13"/>
    <n v="3"/>
    <x v="72"/>
    <x v="72"/>
    <s v="Conduct district specific PERs every 5 years "/>
    <s v="Data collection"/>
    <s v="Full DSA"/>
    <n v="45000"/>
    <m/>
    <m/>
    <n v="0"/>
    <n v="0"/>
    <n v="0"/>
    <n v="0"/>
    <n v="15"/>
    <n v="10"/>
    <n v="8817313.2792818621"/>
    <n v="25"/>
    <n v="6"/>
    <n v="10077493.365749491"/>
    <n v="0"/>
    <n v="0"/>
    <n v="0"/>
    <n v="0"/>
    <n v="0"/>
    <n v="0"/>
    <n v="25"/>
    <n v="6"/>
    <n v="15045314.44988519"/>
    <n v="0"/>
    <n v="0"/>
    <n v="0"/>
    <n v="33940121.094916545"/>
    <n v="32951.57387855975"/>
  </r>
  <r>
    <s v="4.3.4.2"/>
    <x v="3"/>
    <x v="3"/>
    <x v="1"/>
    <x v="13"/>
    <n v="3"/>
    <x v="72"/>
    <x v="72"/>
    <s v="Conduct district specific PERs every 5 years "/>
    <s v="Data collection"/>
    <s v="Fuel for Travelling Participants"/>
    <n v="211.42857142857142"/>
    <m/>
    <m/>
    <n v="0"/>
    <n v="0"/>
    <n v="0"/>
    <n v="0"/>
    <n v="4000"/>
    <n v="1"/>
    <n v="1104730.044726955"/>
    <n v="2430"/>
    <n v="1"/>
    <n v="767041.20932447549"/>
    <n v="0"/>
    <n v="0"/>
    <n v="0"/>
    <n v="0"/>
    <n v="0"/>
    <n v="0"/>
    <n v="2430"/>
    <n v="1"/>
    <n v="1145163.3626998325"/>
    <n v="0"/>
    <n v="0"/>
    <n v="0"/>
    <n v="3016934.6167512629"/>
    <n v="2929.0627347099639"/>
  </r>
  <r>
    <s v="4.3.4.2"/>
    <x v="3"/>
    <x v="3"/>
    <x v="1"/>
    <x v="13"/>
    <n v="3"/>
    <x v="72"/>
    <x v="72"/>
    <s v="Conduct district specific PERs every 5 years "/>
    <s v="Data collection"/>
    <s v="Local running (diesel, per km)"/>
    <n v="211.42857142857142"/>
    <m/>
    <m/>
    <n v="0"/>
    <n v="0"/>
    <n v="0"/>
    <n v="0"/>
    <n v="4000"/>
    <n v="1"/>
    <n v="1104730.044726955"/>
    <n v="450"/>
    <n v="5"/>
    <n v="710223.34196710703"/>
    <n v="0"/>
    <n v="0"/>
    <n v="0"/>
    <n v="0"/>
    <n v="0"/>
    <n v="0"/>
    <n v="450"/>
    <n v="5"/>
    <n v="1060336.4469442894"/>
    <n v="0"/>
    <n v="0"/>
    <n v="0"/>
    <n v="2875289.8336383514"/>
    <n v="2791.5435278042246"/>
  </r>
  <r>
    <s v="4.3.4.2"/>
    <x v="3"/>
    <x v="3"/>
    <x v="1"/>
    <x v="13"/>
    <n v="3"/>
    <x v="72"/>
    <x v="72"/>
    <s v="Conduct district specific PERs every 5 years "/>
    <s v="Data collection"/>
    <s v="Tablet"/>
    <n v="302000"/>
    <m/>
    <m/>
    <n v="0"/>
    <n v="0"/>
    <n v="0"/>
    <n v="0"/>
    <n v="20"/>
    <n v="1"/>
    <n v="7889862.5491648065"/>
    <n v="25"/>
    <n v="1"/>
    <n v="11271862.94983832"/>
    <n v="0"/>
    <n v="0"/>
    <n v="0"/>
    <n v="0"/>
    <n v="0"/>
    <n v="0"/>
    <n v="25"/>
    <n v="1"/>
    <n v="16828462.829130843"/>
    <n v="0"/>
    <n v="0"/>
    <n v="0"/>
    <n v="35990188.32813397"/>
    <n v="34941.93041566405"/>
  </r>
  <r>
    <s v="4.3.4.2"/>
    <x v="3"/>
    <x v="3"/>
    <x v="1"/>
    <x v="13"/>
    <n v="3"/>
    <x v="72"/>
    <x v="72"/>
    <s v="Conduct district specific PERs every 5 years "/>
    <s v="Data collection"/>
    <s v="Airtime for Research Assistant"/>
    <n v="10000"/>
    <m/>
    <m/>
    <n v="0"/>
    <n v="0"/>
    <n v="0"/>
    <n v="0"/>
    <n v="10"/>
    <n v="1"/>
    <n v="130626.86339676833"/>
    <n v="15"/>
    <n v="1"/>
    <n v="223944.29701665539"/>
    <n v="0"/>
    <n v="0"/>
    <n v="0"/>
    <n v="0"/>
    <n v="0"/>
    <n v="0"/>
    <n v="15"/>
    <n v="1"/>
    <n v="334340.32110855979"/>
    <n v="0"/>
    <n v="0"/>
    <n v="0"/>
    <n v="688911.48152198351"/>
    <n v="668.84609856503255"/>
  </r>
  <r>
    <s v="4.3.4.2"/>
    <x v="3"/>
    <x v="3"/>
    <x v="1"/>
    <x v="13"/>
    <n v="3"/>
    <x v="72"/>
    <x v="72"/>
    <s v="Conduct district specific PERs every 5 years "/>
    <s v="Data analysis"/>
    <s v="DSA (excl. lunch)"/>
    <n v="39000"/>
    <m/>
    <m/>
    <n v="0"/>
    <n v="0"/>
    <n v="0"/>
    <n v="0"/>
    <n v="15"/>
    <n v="5"/>
    <n v="3820835.7543554734"/>
    <n v="25"/>
    <n v="6"/>
    <n v="8733827.5836495608"/>
    <n v="0"/>
    <n v="0"/>
    <n v="0"/>
    <n v="0"/>
    <n v="0"/>
    <n v="0"/>
    <n v="25"/>
    <n v="6"/>
    <n v="13039272.523233831"/>
    <n v="0"/>
    <n v="0"/>
    <n v="0"/>
    <n v="25593935.861238867"/>
    <n v="24848.481418678512"/>
  </r>
  <r>
    <s v="4.3.4.2"/>
    <x v="3"/>
    <x v="3"/>
    <x v="1"/>
    <x v="13"/>
    <n v="3"/>
    <x v="72"/>
    <x v="72"/>
    <s v="Conduct district specific PERs every 5 years "/>
    <s v="Data analysis"/>
    <s v="Conference package high-level"/>
    <n v="35000"/>
    <m/>
    <m/>
    <n v="0"/>
    <n v="0"/>
    <n v="0"/>
    <n v="0"/>
    <n v="15"/>
    <n v="5"/>
    <n v="3428955.1641651681"/>
    <n v="25"/>
    <n v="5"/>
    <n v="6531708.6629857821"/>
    <n v="0"/>
    <n v="0"/>
    <n v="0"/>
    <n v="0"/>
    <n v="0"/>
    <n v="0"/>
    <n v="25"/>
    <n v="5"/>
    <n v="9751592.6989996582"/>
    <n v="0"/>
    <n v="0"/>
    <n v="0"/>
    <n v="19712256.526150607"/>
    <n v="19138.113132185055"/>
  </r>
  <r>
    <s v="4.3.4.2"/>
    <x v="3"/>
    <x v="3"/>
    <x v="1"/>
    <x v="13"/>
    <n v="3"/>
    <x v="72"/>
    <x v="72"/>
    <s v="Conduct district specific PERs every 5 years "/>
    <s v="Data analysis"/>
    <s v="Local running (diesel, per km)"/>
    <n v="211.42857142857142"/>
    <m/>
    <m/>
    <n v="0"/>
    <n v="0"/>
    <n v="0"/>
    <n v="0"/>
    <n v="4000"/>
    <n v="1"/>
    <n v="1104730.044726955"/>
    <n v="450"/>
    <n v="5"/>
    <n v="710223.34196710703"/>
    <n v="0"/>
    <n v="0"/>
    <n v="0"/>
    <n v="0"/>
    <n v="0"/>
    <n v="0"/>
    <n v="450"/>
    <n v="5"/>
    <n v="1060336.4469442894"/>
    <n v="0"/>
    <n v="0"/>
    <n v="0"/>
    <n v="2875289.8336383514"/>
    <n v="2791.5435278042246"/>
  </r>
  <r>
    <s v="4.3.4.2"/>
    <x v="3"/>
    <x v="3"/>
    <x v="1"/>
    <x v="13"/>
    <n v="3"/>
    <x v="72"/>
    <x v="72"/>
    <s v="Conduct district specific PERs every 5 years "/>
    <s v="Data analysis"/>
    <s v="Fuel for Travelling Participants"/>
    <n v="211.42857142857142"/>
    <m/>
    <m/>
    <n v="0"/>
    <n v="0"/>
    <n v="0"/>
    <n v="0"/>
    <n v="4000"/>
    <n v="1"/>
    <n v="1104730.044726955"/>
    <n v="2430"/>
    <n v="1"/>
    <n v="767041.20932447549"/>
    <n v="0"/>
    <n v="0"/>
    <n v="0"/>
    <n v="0"/>
    <n v="0"/>
    <n v="0"/>
    <n v="2430"/>
    <n v="1"/>
    <n v="1145163.3626998325"/>
    <n v="0"/>
    <n v="0"/>
    <n v="0"/>
    <n v="3016934.6167512629"/>
    <n v="2929.0627347099639"/>
  </r>
  <r>
    <s v="4.3.4.2"/>
    <x v="3"/>
    <x v="3"/>
    <x v="1"/>
    <x v="13"/>
    <n v="3"/>
    <x v="72"/>
    <x v="72"/>
    <s v="Conduct district specific PERs every 5 years "/>
    <s v="report writing"/>
    <s v="DSA (excl. lunch)"/>
    <n v="39000"/>
    <m/>
    <m/>
    <n v="0"/>
    <n v="0"/>
    <n v="0"/>
    <n v="0"/>
    <n v="15"/>
    <n v="5"/>
    <n v="3820835.7543554734"/>
    <n v="25"/>
    <n v="6"/>
    <n v="8733827.5836495608"/>
    <n v="0"/>
    <n v="0"/>
    <n v="0"/>
    <n v="0"/>
    <n v="0"/>
    <n v="0"/>
    <n v="25"/>
    <n v="6"/>
    <n v="13039272.523233831"/>
    <n v="0"/>
    <n v="0"/>
    <n v="0"/>
    <n v="25593935.861238867"/>
    <n v="24848.481418678512"/>
  </r>
  <r>
    <s v="4.3.4.2"/>
    <x v="3"/>
    <x v="3"/>
    <x v="1"/>
    <x v="13"/>
    <n v="3"/>
    <x v="72"/>
    <x v="72"/>
    <s v="Conduct district specific PERs every 5 years "/>
    <s v="report writing"/>
    <s v="Conference package high-level"/>
    <n v="35000"/>
    <m/>
    <m/>
    <n v="0"/>
    <n v="0"/>
    <n v="0"/>
    <n v="0"/>
    <n v="15"/>
    <n v="5"/>
    <n v="3428955.1641651681"/>
    <n v="25"/>
    <n v="5"/>
    <n v="6531708.6629857821"/>
    <n v="0"/>
    <n v="0"/>
    <n v="0"/>
    <n v="0"/>
    <n v="0"/>
    <n v="0"/>
    <n v="25"/>
    <n v="5"/>
    <n v="9751592.6989996582"/>
    <n v="0"/>
    <n v="0"/>
    <n v="0"/>
    <n v="19712256.526150607"/>
    <n v="19138.113132185055"/>
  </r>
  <r>
    <s v="4.3.4.2"/>
    <x v="3"/>
    <x v="3"/>
    <x v="1"/>
    <x v="13"/>
    <n v="3"/>
    <x v="72"/>
    <x v="72"/>
    <s v="Conduct district specific PERs every 5 years "/>
    <s v="report writing"/>
    <s v="Local running (diesel, per km)"/>
    <n v="211.42857142857142"/>
    <m/>
    <m/>
    <n v="0"/>
    <n v="0"/>
    <n v="0"/>
    <n v="0"/>
    <n v="15"/>
    <n v="1"/>
    <n v="4142.7376677260809"/>
    <n v="450"/>
    <n v="0"/>
    <n v="0"/>
    <n v="0"/>
    <n v="0"/>
    <n v="0"/>
    <n v="0"/>
    <n v="0"/>
    <n v="0"/>
    <n v="450"/>
    <n v="0"/>
    <n v="0"/>
    <n v="0"/>
    <n v="0"/>
    <n v="0"/>
    <n v="4142.7376677260809"/>
    <n v="4.0220754055593018"/>
  </r>
  <r>
    <s v="4.3.4.2"/>
    <x v="3"/>
    <x v="3"/>
    <x v="1"/>
    <x v="13"/>
    <n v="3"/>
    <x v="72"/>
    <x v="72"/>
    <s v="Conduct district specific PERs every 5 years "/>
    <s v="report writing"/>
    <s v="Fuel for Travelling Participants"/>
    <n v="211.42857142857142"/>
    <m/>
    <m/>
    <n v="0"/>
    <n v="0"/>
    <n v="0"/>
    <n v="0"/>
    <n v="4000"/>
    <n v="1"/>
    <n v="1104730.044726955"/>
    <n v="2430"/>
    <n v="1"/>
    <n v="767041.20932447549"/>
    <n v="0"/>
    <n v="0"/>
    <n v="0"/>
    <n v="0"/>
    <n v="0"/>
    <n v="0"/>
    <n v="2430"/>
    <n v="1"/>
    <n v="1145163.3626998325"/>
    <n v="0"/>
    <n v="0"/>
    <n v="0"/>
    <n v="3016934.6167512629"/>
    <n v="2929.0627347099639"/>
  </r>
  <r>
    <s v="4.3.4.2"/>
    <x v="3"/>
    <x v="3"/>
    <x v="1"/>
    <x v="13"/>
    <n v="3"/>
    <x v="72"/>
    <x v="72"/>
    <s v="Conduct district specific PERs every 5 years "/>
    <s v="validation of the report"/>
    <s v="DSA (excl. lunch)"/>
    <n v="39000"/>
    <m/>
    <m/>
    <n v="0"/>
    <n v="0"/>
    <n v="0"/>
    <n v="0"/>
    <n v="10"/>
    <n v="1"/>
    <n v="509444.76724739646"/>
    <n v="58"/>
    <n v="6"/>
    <n v="20262479.99406698"/>
    <n v="0"/>
    <n v="0"/>
    <n v="0"/>
    <n v="0"/>
    <n v="0"/>
    <n v="0"/>
    <n v="58"/>
    <n v="6"/>
    <n v="30251112.253902487"/>
    <n v="0"/>
    <n v="0"/>
    <n v="0"/>
    <n v="51023037.015216865"/>
    <n v="49536.929140987246"/>
  </r>
  <r>
    <s v="4.3.4.2"/>
    <x v="3"/>
    <x v="3"/>
    <x v="1"/>
    <x v="13"/>
    <n v="3"/>
    <x v="72"/>
    <x v="72"/>
    <s v="Conduct district specific PERs every 5 years "/>
    <s v="validation of the report"/>
    <s v="Conference package high-level"/>
    <n v="35000"/>
    <m/>
    <m/>
    <n v="0"/>
    <n v="0"/>
    <n v="0"/>
    <n v="0"/>
    <n v="30"/>
    <n v="1"/>
    <n v="1371582.0656660672"/>
    <n v="100"/>
    <n v="5"/>
    <n v="26126834.651943129"/>
    <n v="0"/>
    <n v="0"/>
    <n v="0"/>
    <n v="0"/>
    <n v="0"/>
    <n v="0"/>
    <n v="100"/>
    <n v="5"/>
    <n v="39006370.795998633"/>
    <n v="0"/>
    <n v="0"/>
    <n v="0"/>
    <n v="66504787.51360783"/>
    <n v="64567.754867580414"/>
  </r>
  <r>
    <s v="4.3.4.2"/>
    <x v="3"/>
    <x v="3"/>
    <x v="1"/>
    <x v="13"/>
    <n v="3"/>
    <x v="72"/>
    <x v="72"/>
    <s v="Conduct district specific PERs every 5 years "/>
    <s v="validation of the report"/>
    <s v="Fuel for Travelling Participants"/>
    <n v="211.42857142857142"/>
    <m/>
    <m/>
    <n v="0"/>
    <n v="0"/>
    <n v="0"/>
    <n v="0"/>
    <n v="4000"/>
    <n v="1"/>
    <n v="1104730.044726955"/>
    <n v="7830"/>
    <n v="1"/>
    <n v="2471577.2300455323"/>
    <n v="0"/>
    <n v="0"/>
    <n v="0"/>
    <n v="0"/>
    <n v="0"/>
    <n v="0"/>
    <n v="7830"/>
    <n v="1"/>
    <n v="3689970.8353661271"/>
    <n v="0"/>
    <n v="0"/>
    <n v="0"/>
    <n v="7266278.1101386147"/>
    <n v="7054.63894188215"/>
  </r>
  <r>
    <s v="4.3.4.2"/>
    <x v="3"/>
    <x v="3"/>
    <x v="1"/>
    <x v="13"/>
    <n v="3"/>
    <x v="72"/>
    <x v="72"/>
    <s v="Conduct district specific PERs every 5 years "/>
    <s v="validation of the report"/>
    <s v="Local running (diesel, per km)"/>
    <n v="211.42857142857142"/>
    <m/>
    <m/>
    <n v="0"/>
    <n v="0"/>
    <n v="0"/>
    <n v="0"/>
    <n v="8000"/>
    <n v="1"/>
    <n v="2209460.08945391"/>
    <n v="1450"/>
    <n v="0"/>
    <n v="0"/>
    <n v="0"/>
    <n v="0"/>
    <n v="0"/>
    <n v="0"/>
    <n v="0"/>
    <n v="0"/>
    <n v="1450"/>
    <n v="0"/>
    <n v="0"/>
    <n v="0"/>
    <n v="0"/>
    <n v="0"/>
    <n v="2209460.08945391"/>
    <n v="2145.1068829649612"/>
  </r>
  <r>
    <s v="4.3.4.2"/>
    <x v="3"/>
    <x v="3"/>
    <x v="1"/>
    <x v="13"/>
    <n v="3"/>
    <x v="72"/>
    <x v="72"/>
    <s v="Conduct district specific PERs every 5 years "/>
    <s v="Present report to DEC for approval"/>
    <s v="Conference package high-level"/>
    <n v="35000"/>
    <m/>
    <m/>
    <n v="0"/>
    <n v="0"/>
    <n v="0"/>
    <n v="0"/>
    <n v="20"/>
    <n v="1"/>
    <n v="914388.04377737816"/>
    <n v="60"/>
    <n v="1"/>
    <n v="3135220.1582331755"/>
    <n v="0"/>
    <n v="0"/>
    <n v="0"/>
    <n v="0"/>
    <n v="0"/>
    <n v="0"/>
    <n v="60"/>
    <n v="1"/>
    <n v="4680764.4955198364"/>
    <n v="0"/>
    <n v="0"/>
    <n v="0"/>
    <n v="8730372.6975303907"/>
    <n v="8476.0899976023211"/>
  </r>
  <r>
    <s v="4.3.4.2"/>
    <x v="3"/>
    <x v="3"/>
    <x v="1"/>
    <x v="13"/>
    <n v="3"/>
    <x v="72"/>
    <x v="72"/>
    <s v="Conduct district specific PERs every 5 years "/>
    <s v="Dissemination of the report"/>
    <s v="Conference package high-level"/>
    <n v="35000"/>
    <m/>
    <m/>
    <n v="0"/>
    <n v="0"/>
    <n v="0"/>
    <n v="0"/>
    <n v="40"/>
    <n v="1"/>
    <n v="1828776.0875547563"/>
    <n v="1"/>
    <n v="1"/>
    <n v="52253.669303886258"/>
    <n v="0"/>
    <n v="0"/>
    <n v="0"/>
    <n v="0"/>
    <n v="0"/>
    <n v="0"/>
    <n v="1"/>
    <n v="1"/>
    <n v="78012.74159199727"/>
    <n v="0"/>
    <n v="0"/>
    <n v="0"/>
    <n v="1959042.4984506399"/>
    <n v="1901.9830082045048"/>
  </r>
  <r>
    <s v="4.3.4.2"/>
    <x v="3"/>
    <x v="3"/>
    <x v="1"/>
    <x v="13"/>
    <n v="3"/>
    <x v="72"/>
    <x v="72"/>
    <s v="Conduct district specific PERs every 5 years "/>
    <s v="Dissemination of the report"/>
    <s v="toner"/>
    <n v="104850"/>
    <m/>
    <m/>
    <n v="0"/>
    <n v="0"/>
    <n v="0"/>
    <n v="0"/>
    <n v="5"/>
    <n v="1"/>
    <n v="684811.33135755791"/>
    <n v="1"/>
    <n v="1"/>
    <n v="156537.0636146421"/>
    <n v="0"/>
    <n v="0"/>
    <n v="0"/>
    <n v="0"/>
    <n v="0"/>
    <n v="0"/>
    <n v="1"/>
    <n v="1"/>
    <n v="233703.88445488326"/>
    <n v="0"/>
    <n v="0"/>
    <n v="0"/>
    <n v="1075052.2794270832"/>
    <n v="1043.7400771136731"/>
  </r>
  <r>
    <s v="4.3.4.2"/>
    <x v="3"/>
    <x v="3"/>
    <x v="1"/>
    <x v="13"/>
    <n v="3"/>
    <x v="72"/>
    <x v="72"/>
    <s v="Conduct district specific PERs every 5 years "/>
    <s v="Dissemination of the report"/>
    <s v="A4, 500 pages, 140 gsm paper"/>
    <n v="8000"/>
    <m/>
    <m/>
    <n v="0"/>
    <n v="0"/>
    <n v="0"/>
    <n v="0"/>
    <n v="50000"/>
    <n v="1"/>
    <n v="522507453.58707327"/>
    <n v="5"/>
    <n v="1"/>
    <n v="59718.479204441435"/>
    <n v="0"/>
    <n v="0"/>
    <n v="0"/>
    <n v="0"/>
    <n v="0"/>
    <n v="0"/>
    <n v="5"/>
    <n v="1"/>
    <n v="89157.418962282609"/>
    <n v="0"/>
    <n v="0"/>
    <n v="0"/>
    <n v="522656329.48523998"/>
    <n v="507433.32959732035"/>
  </r>
  <r>
    <s v="4.3.4.2"/>
    <x v="3"/>
    <x v="3"/>
    <x v="1"/>
    <x v="13"/>
    <n v="4"/>
    <x v="73"/>
    <x v="73"/>
    <s v="Conduct capacity building for KUHES and HFD to lead in health financing progress matrix studies"/>
    <s v="Develop TORs to recruit a consultant to facilitate training in conducting health financing progress matrix studies"/>
    <s v="zero cost"/>
    <n v="0"/>
    <n v="0"/>
    <n v="0"/>
    <n v="0"/>
    <n v="0"/>
    <n v="0"/>
    <n v="0"/>
    <n v="0"/>
    <n v="0"/>
    <n v="0"/>
    <n v="0"/>
    <n v="0"/>
    <n v="0"/>
    <n v="0"/>
    <n v="0"/>
    <n v="0"/>
    <n v="0"/>
    <n v="0"/>
    <n v="0"/>
    <n v="0"/>
    <n v="0"/>
    <n v="0"/>
    <n v="0"/>
    <n v="0"/>
    <n v="0"/>
    <n v="0"/>
    <n v="0"/>
  </r>
  <r>
    <s v="4.3.4.2"/>
    <x v="3"/>
    <x v="3"/>
    <x v="1"/>
    <x v="13"/>
    <n v="4"/>
    <x v="73"/>
    <x v="73"/>
    <s v="Conduct capacity building for KUHES and HFD to lead in health financing progress matrix studies"/>
    <s v="Recruitment of a consultant"/>
    <s v="Newspaper advert (full)"/>
    <n v="391991.03749999998"/>
    <n v="2"/>
    <n v="2"/>
    <n v="1567964.15"/>
    <m/>
    <m/>
    <n v="0"/>
    <n v="0"/>
    <n v="0"/>
    <n v="0"/>
    <n v="0"/>
    <n v="0"/>
    <n v="0"/>
    <n v="0"/>
    <n v="0"/>
    <n v="0"/>
    <n v="0"/>
    <n v="0"/>
    <n v="0"/>
    <n v="0"/>
    <n v="0"/>
    <n v="0"/>
    <n v="0"/>
    <n v="0"/>
    <n v="0"/>
    <n v="1567964.15"/>
    <n v="1522.2952912621358"/>
  </r>
  <r>
    <s v="4.3.4.2"/>
    <x v="3"/>
    <x v="3"/>
    <x v="1"/>
    <x v="13"/>
    <n v="4"/>
    <x v="73"/>
    <x v="73"/>
    <s v="Conduct capacity building for KUHES and HFD to lead in health financing progress matrix studies"/>
    <s v="Recruitment of a consultant"/>
    <s v="Local consultant fee - High level"/>
    <n v="511000"/>
    <n v="1"/>
    <n v="25"/>
    <n v="12775000"/>
    <m/>
    <m/>
    <n v="0"/>
    <n v="0"/>
    <n v="0"/>
    <n v="0"/>
    <n v="0"/>
    <n v="0"/>
    <n v="0"/>
    <n v="0"/>
    <n v="0"/>
    <n v="0"/>
    <n v="0"/>
    <n v="0"/>
    <n v="0"/>
    <n v="0"/>
    <n v="0"/>
    <n v="0"/>
    <n v="0"/>
    <n v="0"/>
    <n v="0"/>
    <n v="12775000"/>
    <n v="12402.912621359223"/>
  </r>
  <r>
    <s v="4.3.4.2"/>
    <x v="3"/>
    <x v="3"/>
    <x v="1"/>
    <x v="13"/>
    <n v="4"/>
    <x v="73"/>
    <x v="73"/>
    <s v="Conduct capacity building for KUHES and HFD to lead in health financing progress matrix studies"/>
    <s v="Conduct training "/>
    <s v="DSA (excl. lunch)"/>
    <n v="39000"/>
    <n v="30"/>
    <n v="6"/>
    <n v="7020000"/>
    <m/>
    <m/>
    <n v="0"/>
    <n v="0"/>
    <n v="0"/>
    <n v="0"/>
    <n v="0"/>
    <n v="0"/>
    <n v="0"/>
    <n v="0"/>
    <n v="0"/>
    <n v="0"/>
    <n v="0"/>
    <n v="0"/>
    <n v="0"/>
    <n v="0"/>
    <n v="0"/>
    <n v="0"/>
    <n v="0"/>
    <n v="0"/>
    <n v="0"/>
    <n v="7020000"/>
    <n v="6815.5339805825242"/>
  </r>
  <r>
    <s v="4.3.4.2"/>
    <x v="3"/>
    <x v="3"/>
    <x v="1"/>
    <x v="13"/>
    <n v="4"/>
    <x v="73"/>
    <x v="73"/>
    <s v="Conduct capacity building for KUHES and HFD to lead in health financing progress matrix studies"/>
    <s v="Conduct training "/>
    <s v="Conference package high-level"/>
    <n v="35000"/>
    <n v="30"/>
    <n v="5"/>
    <n v="5250000"/>
    <m/>
    <m/>
    <n v="0"/>
    <n v="0"/>
    <n v="0"/>
    <n v="0"/>
    <n v="0"/>
    <n v="0"/>
    <n v="0"/>
    <n v="0"/>
    <n v="0"/>
    <n v="0"/>
    <n v="0"/>
    <n v="0"/>
    <n v="0"/>
    <n v="0"/>
    <n v="0"/>
    <n v="0"/>
    <n v="0"/>
    <n v="0"/>
    <n v="0"/>
    <n v="5250000"/>
    <n v="5097.0873786407765"/>
  </r>
  <r>
    <s v="4.3.4.2"/>
    <x v="3"/>
    <x v="3"/>
    <x v="1"/>
    <x v="13"/>
    <n v="4"/>
    <x v="73"/>
    <x v="73"/>
    <s v="Conduct capacity building for KUHES and HFD to lead in health financing progress matrix studies"/>
    <s v="Conduct training "/>
    <s v="Local running (diesel, per km)"/>
    <n v="211.42857142857142"/>
    <n v="500"/>
    <n v="5"/>
    <n v="528571.42857142852"/>
    <m/>
    <m/>
    <n v="0"/>
    <n v="0"/>
    <n v="0"/>
    <n v="0"/>
    <n v="0"/>
    <n v="0"/>
    <n v="0"/>
    <n v="0"/>
    <n v="0"/>
    <n v="0"/>
    <n v="0"/>
    <n v="0"/>
    <n v="0"/>
    <n v="0"/>
    <n v="0"/>
    <n v="0"/>
    <n v="0"/>
    <n v="0"/>
    <n v="0"/>
    <n v="528571.42857142852"/>
    <n v="513.17614424410533"/>
  </r>
  <r>
    <s v="4.3.4.2"/>
    <x v="3"/>
    <x v="3"/>
    <x v="1"/>
    <x v="13"/>
    <n v="4"/>
    <x v="73"/>
    <x v="73"/>
    <s v="Conduct capacity building for KUHES and HFD to lead in health financing progress matrix studies"/>
    <s v="Conduct training "/>
    <s v="Fuel for Travelling Participants"/>
    <n v="211.42857142857142"/>
    <n v="2700"/>
    <n v="1"/>
    <n v="570857.14285714284"/>
    <m/>
    <m/>
    <n v="0"/>
    <m/>
    <m/>
    <n v="0"/>
    <m/>
    <m/>
    <n v="0"/>
    <m/>
    <m/>
    <n v="0"/>
    <m/>
    <m/>
    <n v="0"/>
    <m/>
    <m/>
    <n v="0"/>
    <m/>
    <m/>
    <n v="0"/>
    <n v="570857.14285714284"/>
    <n v="554.23023578363382"/>
  </r>
  <r>
    <s v="4.3.4.2"/>
    <x v="3"/>
    <x v="3"/>
    <x v="1"/>
    <x v="13"/>
    <n v="4"/>
    <x v="73"/>
    <x v="73"/>
    <s v="Conduct capacity building for KUHES and HFD to lead in health financing progress matrix studies"/>
    <s v="Develop standard data collection tools"/>
    <s v="zero cost"/>
    <n v="0"/>
    <n v="0"/>
    <n v="0"/>
    <n v="0"/>
    <n v="0"/>
    <n v="0"/>
    <n v="0"/>
    <n v="0"/>
    <n v="0"/>
    <n v="0"/>
    <n v="0"/>
    <n v="0"/>
    <n v="0"/>
    <n v="0"/>
    <n v="0"/>
    <n v="0"/>
    <n v="0"/>
    <n v="0"/>
    <n v="0"/>
    <n v="0"/>
    <n v="0"/>
    <n v="0"/>
    <n v="0"/>
    <n v="0"/>
    <n v="0"/>
    <n v="0"/>
    <n v="0"/>
  </r>
  <r>
    <s v="4.3.4.2"/>
    <x v="3"/>
    <x v="3"/>
    <x v="1"/>
    <x v="13"/>
    <n v="4"/>
    <x v="73"/>
    <x v="73"/>
    <s v="Conduct an annual study to produce the health financing progress matrix"/>
    <s v="Recruit research assistants (in house)"/>
    <s v="zero cost"/>
    <n v="0"/>
    <n v="0"/>
    <n v="0"/>
    <n v="0"/>
    <n v="0"/>
    <n v="0"/>
    <n v="0"/>
    <n v="0"/>
    <n v="0"/>
    <n v="0"/>
    <n v="0"/>
    <n v="0"/>
    <n v="0"/>
    <n v="0"/>
    <n v="0"/>
    <n v="0"/>
    <n v="0"/>
    <n v="0"/>
    <n v="0"/>
    <n v="0"/>
    <n v="0"/>
    <n v="0"/>
    <n v="0"/>
    <n v="0"/>
    <n v="0"/>
    <n v="0"/>
    <n v="0"/>
  </r>
  <r>
    <s v="4.3.4.2"/>
    <x v="3"/>
    <x v="3"/>
    <x v="1"/>
    <x v="13"/>
    <n v="4"/>
    <x v="73"/>
    <x v="73"/>
    <s v="Conduct an annual study to produce the health financing progress matrix"/>
    <s v="Customize data collection tools to the assignment at hand"/>
    <s v="zero cost"/>
    <n v="0"/>
    <n v="0"/>
    <n v="0"/>
    <n v="0"/>
    <n v="0"/>
    <n v="0"/>
    <n v="0"/>
    <n v="0"/>
    <n v="0"/>
    <n v="0"/>
    <n v="0"/>
    <n v="0"/>
    <n v="0"/>
    <n v="0"/>
    <n v="0"/>
    <n v="0"/>
    <n v="0"/>
    <n v="0"/>
    <n v="0"/>
    <n v="0"/>
    <n v="0"/>
    <n v="0"/>
    <n v="0"/>
    <n v="0"/>
    <n v="0"/>
    <n v="0"/>
    <n v="0"/>
  </r>
  <r>
    <s v="4.3.4.2"/>
    <x v="3"/>
    <x v="3"/>
    <x v="1"/>
    <x v="13"/>
    <n v="4"/>
    <x v="73"/>
    <x v="73"/>
    <s v="Conduct an annual study to produce the health financing progress matrix"/>
    <s v="Pre testing of the data collection tools "/>
    <s v="Full DSA"/>
    <n v="45000"/>
    <n v="15"/>
    <n v="2"/>
    <n v="1350000"/>
    <n v="15"/>
    <n v="2"/>
    <n v="1542943.4809499998"/>
    <n v="15"/>
    <n v="2"/>
    <n v="1763462.6558563723"/>
    <n v="15"/>
    <n v="2"/>
    <n v="2015498.6731498984"/>
    <n v="15"/>
    <n v="2"/>
    <n v="2303555.9545185259"/>
    <n v="15"/>
    <n v="2"/>
    <n v="2632782.6985391956"/>
    <n v="15"/>
    <n v="2"/>
    <n v="3009062.8899770379"/>
    <n v="15"/>
    <n v="2"/>
    <n v="3439121.4591545463"/>
    <n v="18056427.812145576"/>
    <n v="17530.512438976286"/>
  </r>
  <r>
    <s v="4.3.4.2"/>
    <x v="3"/>
    <x v="3"/>
    <x v="1"/>
    <x v="13"/>
    <n v="4"/>
    <x v="73"/>
    <x v="73"/>
    <s v="Conduct an annual study to produce the health financing progress matrix"/>
    <s v="Pre testing of the data collection tools "/>
    <s v="Local running (diesel, per km)"/>
    <n v="211.42857142857142"/>
    <n v="350"/>
    <n v="1"/>
    <n v="74000"/>
    <n v="350"/>
    <n v="1"/>
    <n v="84576.161177999995"/>
    <n v="350"/>
    <n v="1"/>
    <n v="96663.878913608554"/>
    <n v="350"/>
    <n v="1"/>
    <n v="110479.18652821664"/>
    <n v="350"/>
    <n v="1"/>
    <n v="126268.99306249697"/>
    <n v="350"/>
    <n v="1"/>
    <n v="144315.49606807443"/>
    <n v="350"/>
    <n v="1"/>
    <n v="164941.22508022279"/>
    <n v="350"/>
    <n v="1"/>
    <n v="188514.80590921213"/>
    <n v="989759.7467398314"/>
    <n v="960.93179295129266"/>
  </r>
  <r>
    <s v="4.3.4.2"/>
    <x v="3"/>
    <x v="3"/>
    <x v="1"/>
    <x v="13"/>
    <n v="4"/>
    <x v="73"/>
    <x v="73"/>
    <s v="Conduct an annual study to produce the health financing progress matrix"/>
    <s v="Pre testing of the data collection tools "/>
    <s v="Fuel for Travelling Participants"/>
    <n v="211.42857142857142"/>
    <n v="1890"/>
    <n v="1"/>
    <n v="399600"/>
    <n v="1890"/>
    <n v="1"/>
    <n v="456711.27036119992"/>
    <n v="1890"/>
    <n v="1"/>
    <n v="521984.94613348623"/>
    <n v="1890"/>
    <n v="1"/>
    <n v="596587.60725236987"/>
    <n v="1890"/>
    <n v="1"/>
    <n v="681852.56253748364"/>
    <n v="1890"/>
    <n v="1"/>
    <n v="779303.67876760196"/>
    <n v="1890"/>
    <n v="1"/>
    <n v="890682.61543320306"/>
    <n v="1890"/>
    <n v="1"/>
    <n v="1017979.9519097456"/>
    <n v="5344702.6323950905"/>
    <n v="5189.0316819369809"/>
  </r>
  <r>
    <s v="4.3.4.2"/>
    <x v="3"/>
    <x v="3"/>
    <x v="1"/>
    <x v="13"/>
    <n v="4"/>
    <x v="73"/>
    <x v="73"/>
    <s v="Conduct an annual study to produce the health financing progress matrix"/>
    <s v="Validation of the data collection tools "/>
    <s v="zero cost"/>
    <n v="0"/>
    <n v="0"/>
    <n v="0"/>
    <n v="0"/>
    <n v="0"/>
    <n v="0"/>
    <n v="0"/>
    <n v="0"/>
    <n v="0"/>
    <n v="0"/>
    <n v="0"/>
    <n v="0"/>
    <n v="0"/>
    <n v="0"/>
    <n v="0"/>
    <n v="0"/>
    <n v="0"/>
    <n v="0"/>
    <n v="0"/>
    <n v="0"/>
    <n v="0"/>
    <n v="0"/>
    <n v="0"/>
    <n v="0"/>
    <n v="0"/>
    <n v="0"/>
    <n v="0"/>
  </r>
  <r>
    <s v="4.3.4.2"/>
    <x v="3"/>
    <x v="3"/>
    <x v="1"/>
    <x v="13"/>
    <n v="4"/>
    <x v="73"/>
    <x v="73"/>
    <s v="Conduct an annual study to produce the health financing progress matrix"/>
    <s v="Data collection "/>
    <s v="Full DSA"/>
    <n v="45000"/>
    <n v="15"/>
    <n v="6"/>
    <n v="4050000"/>
    <n v="15"/>
    <n v="6"/>
    <n v="4628830.4428499993"/>
    <n v="15"/>
    <n v="6"/>
    <n v="5290387.9675691165"/>
    <n v="15"/>
    <n v="6"/>
    <n v="6046496.019449695"/>
    <n v="15"/>
    <n v="6"/>
    <n v="6910667.8635555776"/>
    <n v="15"/>
    <n v="6"/>
    <n v="7898348.0956175867"/>
    <n v="15"/>
    <n v="6"/>
    <n v="9027188.6699311137"/>
    <n v="15"/>
    <n v="6"/>
    <n v="10317364.377463639"/>
    <n v="54169283.436436728"/>
    <n v="52591.537316928865"/>
  </r>
  <r>
    <s v="4.3.4.2"/>
    <x v="3"/>
    <x v="3"/>
    <x v="1"/>
    <x v="13"/>
    <n v="4"/>
    <x v="73"/>
    <x v="73"/>
    <s v="Conduct an annual study to produce the health financing progress matrix"/>
    <s v="Data collection "/>
    <s v="Tablet"/>
    <n v="302000"/>
    <n v="15"/>
    <n v="1"/>
    <n v="4530000"/>
    <n v="15"/>
    <n v="1"/>
    <n v="5177432.5694099991"/>
    <n v="15"/>
    <n v="1"/>
    <n v="5917396.9118736051"/>
    <n v="15"/>
    <n v="1"/>
    <n v="6763117.7699029921"/>
    <n v="15"/>
    <n v="1"/>
    <n v="7729709.9807177205"/>
    <n v="15"/>
    <n v="1"/>
    <n v="8834448.6106537469"/>
    <n v="15"/>
    <n v="1"/>
    <n v="10097077.697478505"/>
    <n v="15"/>
    <n v="1"/>
    <n v="11540163.118496366"/>
    <n v="60589346.65853294"/>
    <n v="58824.608406342661"/>
  </r>
  <r>
    <s v="4.3.4.2"/>
    <x v="3"/>
    <x v="3"/>
    <x v="1"/>
    <x v="13"/>
    <n v="4"/>
    <x v="73"/>
    <x v="73"/>
    <s v="Conduct an annual study to produce the health financing progress matrix"/>
    <s v="Data collection "/>
    <s v="Airtime for Research Assistant"/>
    <n v="10000"/>
    <n v="15"/>
    <n v="1"/>
    <n v="150000"/>
    <n v="15"/>
    <n v="1"/>
    <n v="171438.16454999999"/>
    <n v="15"/>
    <n v="1"/>
    <n v="195940.29509515248"/>
    <n v="15"/>
    <n v="1"/>
    <n v="223944.29701665539"/>
    <n v="15"/>
    <n v="1"/>
    <n v="255950.66161316959"/>
    <n v="15"/>
    <n v="1"/>
    <n v="292531.41094879952"/>
    <n v="15"/>
    <n v="1"/>
    <n v="334340.32110855979"/>
    <n v="15"/>
    <n v="1"/>
    <n v="382124.60657272732"/>
    <n v="2006269.756905064"/>
    <n v="1947.8347154418097"/>
  </r>
  <r>
    <s v="4.3.4.2"/>
    <x v="3"/>
    <x v="3"/>
    <x v="1"/>
    <x v="13"/>
    <n v="4"/>
    <x v="73"/>
    <x v="73"/>
    <s v="Conduct an annual study to produce the health financing progress matrix"/>
    <s v="Data collection "/>
    <s v="Local running (diesel, per km)"/>
    <n v="211.42857142857142"/>
    <n v="350"/>
    <n v="5"/>
    <n v="370000"/>
    <n v="350"/>
    <n v="5"/>
    <n v="422880.80588999996"/>
    <n v="350"/>
    <n v="5"/>
    <n v="483319.39456804277"/>
    <n v="350"/>
    <n v="5"/>
    <n v="552395.93264108314"/>
    <n v="350"/>
    <n v="5"/>
    <n v="631344.96531248488"/>
    <n v="350"/>
    <n v="5"/>
    <n v="721577.48034037207"/>
    <n v="350"/>
    <n v="5"/>
    <n v="824706.125401114"/>
    <n v="350"/>
    <n v="5"/>
    <n v="942574.0295460606"/>
    <n v="4948798.7336991578"/>
    <n v="4804.6589647564642"/>
  </r>
  <r>
    <s v="4.3.4.2"/>
    <x v="3"/>
    <x v="3"/>
    <x v="1"/>
    <x v="13"/>
    <n v="4"/>
    <x v="73"/>
    <x v="73"/>
    <s v="Conduct an annual study to produce the health financing progress matrix"/>
    <s v="Data collection "/>
    <s v="Fuel for Travelling Participants"/>
    <n v="211.42857142857142"/>
    <n v="1890"/>
    <n v="1"/>
    <n v="399600"/>
    <n v="1890"/>
    <n v="1"/>
    <n v="456711.27036119992"/>
    <n v="1890"/>
    <n v="1"/>
    <n v="521984.94613348623"/>
    <n v="1890"/>
    <n v="1"/>
    <n v="596587.60725236987"/>
    <n v="1890"/>
    <n v="1"/>
    <n v="681852.56253748364"/>
    <n v="1890"/>
    <n v="1"/>
    <n v="779303.67876760196"/>
    <n v="1890"/>
    <n v="1"/>
    <n v="890682.61543320306"/>
    <n v="1890"/>
    <n v="1"/>
    <n v="1017979.9519097456"/>
    <n v="5344702.6323950905"/>
    <n v="5189.0316819369809"/>
  </r>
  <r>
    <s v="4.3.4.2"/>
    <x v="3"/>
    <x v="3"/>
    <x v="1"/>
    <x v="13"/>
    <n v="4"/>
    <x v="73"/>
    <x v="73"/>
    <s v="Conduct an annual study to produce the health financing progress matrix"/>
    <s v="Data analysis"/>
    <s v="DSA (excl. lunch)"/>
    <n v="39000"/>
    <n v="25"/>
    <n v="6"/>
    <n v="5850000"/>
    <n v="25"/>
    <n v="6"/>
    <n v="6686088.4174499996"/>
    <n v="25"/>
    <n v="6"/>
    <n v="7641671.5087109469"/>
    <n v="25"/>
    <n v="6"/>
    <n v="8733827.5836495608"/>
    <n v="25"/>
    <n v="6"/>
    <n v="9982075.8029136136"/>
    <n v="25"/>
    <n v="6"/>
    <n v="11408725.027003182"/>
    <n v="25"/>
    <n v="6"/>
    <n v="13039272.523233831"/>
    <n v="25"/>
    <n v="6"/>
    <n v="14902859.656336365"/>
    <n v="78244520.519297495"/>
    <n v="75965.553902230575"/>
  </r>
  <r>
    <s v="4.3.4.2"/>
    <x v="3"/>
    <x v="3"/>
    <x v="1"/>
    <x v="13"/>
    <n v="4"/>
    <x v="73"/>
    <x v="73"/>
    <s v="Conduct an annual study to produce the health financing progress matrix"/>
    <s v="Data analysis"/>
    <s v="Conference package high-level"/>
    <n v="35000"/>
    <n v="25"/>
    <n v="5"/>
    <n v="4375000"/>
    <n v="25"/>
    <n v="5"/>
    <n v="5000279.7993749995"/>
    <n v="25"/>
    <n v="5"/>
    <n v="5714925.2736086138"/>
    <n v="25"/>
    <n v="5"/>
    <n v="6531708.6629857821"/>
    <n v="25"/>
    <n v="5"/>
    <n v="7465227.6303841127"/>
    <n v="25"/>
    <n v="5"/>
    <n v="8532166.152673319"/>
    <n v="25"/>
    <n v="5"/>
    <n v="9751592.6989996582"/>
    <n v="25"/>
    <n v="5"/>
    <n v="11145301.025037881"/>
    <n v="58516201.243064374"/>
    <n v="56811.845867052791"/>
  </r>
  <r>
    <s v="4.3.4.2"/>
    <x v="3"/>
    <x v="3"/>
    <x v="1"/>
    <x v="13"/>
    <n v="4"/>
    <x v="73"/>
    <x v="73"/>
    <s v="Conduct an annual study to produce the health financing progress matrix"/>
    <s v="Data analysis"/>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4.2"/>
    <x v="3"/>
    <x v="3"/>
    <x v="1"/>
    <x v="13"/>
    <n v="4"/>
    <x v="73"/>
    <x v="73"/>
    <s v="Conduct an annual study to produce the health financing progress matrix"/>
    <s v="Data analysis"/>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4.2"/>
    <x v="3"/>
    <x v="3"/>
    <x v="1"/>
    <x v="13"/>
    <n v="4"/>
    <x v="73"/>
    <x v="73"/>
    <s v="Conduct an annual study to produce the health financing progress matrix"/>
    <s v="report writing"/>
    <s v="Conference package high-level"/>
    <n v="35000"/>
    <n v="25"/>
    <n v="5"/>
    <n v="4375000"/>
    <n v="25"/>
    <n v="5"/>
    <n v="5000279.7993749995"/>
    <n v="25"/>
    <n v="5"/>
    <n v="5714925.2736086138"/>
    <n v="25"/>
    <n v="5"/>
    <n v="6531708.6629857821"/>
    <n v="25"/>
    <n v="5"/>
    <n v="7465227.6303841127"/>
    <n v="25"/>
    <n v="5"/>
    <n v="8532166.152673319"/>
    <n v="25"/>
    <n v="5"/>
    <n v="9751592.6989996582"/>
    <n v="25"/>
    <n v="5"/>
    <n v="11145301.025037881"/>
    <n v="58516201.243064374"/>
    <n v="56811.845867052791"/>
  </r>
  <r>
    <s v="4.3.4.2"/>
    <x v="3"/>
    <x v="3"/>
    <x v="1"/>
    <x v="13"/>
    <n v="4"/>
    <x v="73"/>
    <x v="73"/>
    <s v="Conduct an annual study to produce the health financing progress matrix"/>
    <s v="report writing"/>
    <s v="Fuel for Travelling Participants"/>
    <n v="211.42857142857142"/>
    <n v="2430"/>
    <n v="1"/>
    <n v="513771.42857142852"/>
    <n v="2430"/>
    <n v="1"/>
    <n v="587200.20475011424"/>
    <n v="2430"/>
    <n v="1"/>
    <n v="671123.50217162515"/>
    <n v="2430"/>
    <n v="1"/>
    <n v="767041.20932447549"/>
    <n v="2430"/>
    <n v="1"/>
    <n v="876667.58040533611"/>
    <n v="2430"/>
    <n v="1"/>
    <n v="1001961.8727012025"/>
    <n v="2430"/>
    <n v="1"/>
    <n v="1145163.3626998325"/>
    <n v="2430"/>
    <n v="1"/>
    <n v="1308831.3667411015"/>
    <n v="6871760.5273651164"/>
    <n v="6671.6121624904044"/>
  </r>
  <r>
    <s v="4.3.4.2"/>
    <x v="3"/>
    <x v="3"/>
    <x v="1"/>
    <x v="13"/>
    <n v="4"/>
    <x v="73"/>
    <x v="73"/>
    <s v="Conduct an annual study to produce the health financing progress matrix"/>
    <s v="report writing"/>
    <s v="Local running (diesel, per km)"/>
    <n v="211.42857142857142"/>
    <n v="450"/>
    <n v="5"/>
    <n v="475714.28571428568"/>
    <n v="450"/>
    <n v="5"/>
    <n v="543703.89328714274"/>
    <n v="450"/>
    <n v="5"/>
    <n v="621410.65015891218"/>
    <n v="450"/>
    <n v="5"/>
    <n v="710223.34196710703"/>
    <n v="450"/>
    <n v="5"/>
    <n v="811729.24111605203"/>
    <n v="450"/>
    <n v="5"/>
    <n v="927742.47472333559"/>
    <n v="450"/>
    <n v="5"/>
    <n v="1060336.4469442894"/>
    <n v="450"/>
    <n v="5"/>
    <n v="1211880.8951306494"/>
    <n v="6362741.2290417738"/>
    <n v="6177.4186689725957"/>
  </r>
  <r>
    <s v="4.3.4.2"/>
    <x v="3"/>
    <x v="3"/>
    <x v="1"/>
    <x v="13"/>
    <n v="4"/>
    <x v="73"/>
    <x v="73"/>
    <s v="Conduct an annual study to produce the health financing progress matrix"/>
    <s v="Validation of the report"/>
    <s v="Conference package high-level"/>
    <n v="35000"/>
    <n v="30"/>
    <n v="1"/>
    <n v="1050000"/>
    <n v="30"/>
    <n v="1"/>
    <n v="1200067.1518499998"/>
    <n v="30"/>
    <n v="1"/>
    <n v="1371582.0656660672"/>
    <n v="30"/>
    <n v="1"/>
    <n v="1567610.0791165878"/>
    <n v="30"/>
    <n v="1"/>
    <n v="1791654.6312921871"/>
    <n v="30"/>
    <n v="1"/>
    <n v="2047719.8766415964"/>
    <n v="30"/>
    <n v="1"/>
    <n v="2340382.2477599182"/>
    <n v="30"/>
    <n v="1"/>
    <n v="2674872.2460090914"/>
    <n v="14043888.298335446"/>
    <n v="13634.843008092666"/>
  </r>
  <r>
    <s v="4.3.4.2"/>
    <x v="3"/>
    <x v="3"/>
    <x v="1"/>
    <x v="13"/>
    <n v="4"/>
    <x v="73"/>
    <x v="73"/>
    <s v="Conduct an annual study to produce the health financing progress matrix"/>
    <s v="Present report to HFTWG for endorsement "/>
    <s v="Conference package high-level"/>
    <n v="35000"/>
    <n v="30"/>
    <n v="1"/>
    <n v="1050000"/>
    <n v="30"/>
    <n v="1"/>
    <n v="1200067.1518499998"/>
    <n v="30"/>
    <n v="1"/>
    <n v="1371582.0656660672"/>
    <n v="30"/>
    <n v="1"/>
    <n v="1567610.0791165878"/>
    <n v="30"/>
    <n v="1"/>
    <n v="1791654.6312921871"/>
    <n v="30"/>
    <n v="1"/>
    <n v="2047719.8766415964"/>
    <n v="30"/>
    <n v="1"/>
    <n v="2340382.2477599182"/>
    <n v="30"/>
    <n v="1"/>
    <n v="2674872.2460090914"/>
    <n v="14043888.298335446"/>
    <n v="13634.843008092666"/>
  </r>
  <r>
    <s v="4.3.4.2"/>
    <x v="3"/>
    <x v="3"/>
    <x v="1"/>
    <x v="13"/>
    <n v="4"/>
    <x v="73"/>
    <x v="73"/>
    <s v="Conduct an annual study to produce the health financing progress matrix"/>
    <s v="Present to SMT for approval"/>
    <s v="zero cost"/>
    <n v="0"/>
    <n v="0"/>
    <n v="0"/>
    <n v="0"/>
    <n v="0"/>
    <n v="0"/>
    <n v="0"/>
    <n v="0"/>
    <n v="0"/>
    <n v="0"/>
    <n v="0"/>
    <n v="0"/>
    <n v="0"/>
    <n v="0"/>
    <n v="0"/>
    <n v="0"/>
    <n v="0"/>
    <n v="0"/>
    <n v="0"/>
    <n v="0"/>
    <n v="0"/>
    <n v="0"/>
    <n v="0"/>
    <n v="0"/>
    <n v="0"/>
    <n v="0"/>
    <n v="0"/>
  </r>
  <r>
    <s v="4.3.4.2"/>
    <x v="3"/>
    <x v="3"/>
    <x v="1"/>
    <x v="13"/>
    <n v="4"/>
    <x v="73"/>
    <x v="73"/>
    <s v="Conduct an annual study to produce the health financing progress matrix"/>
    <s v="Dissemination"/>
    <s v="A4, 500 pages, 140 gsm paper"/>
    <n v="8000"/>
    <n v="5"/>
    <n v="1"/>
    <n v="40000"/>
    <n v="5"/>
    <n v="1"/>
    <n v="45716.84388"/>
    <n v="5"/>
    <n v="1"/>
    <n v="52250.745358707325"/>
    <n v="5"/>
    <n v="1"/>
    <n v="59718.479204441435"/>
    <n v="5"/>
    <n v="1"/>
    <n v="68253.509763511887"/>
    <n v="5"/>
    <n v="1"/>
    <n v="78008.376253013208"/>
    <n v="5"/>
    <n v="1"/>
    <n v="89157.418962282609"/>
    <n v="5"/>
    <n v="1"/>
    <n v="101899.89508606063"/>
    <n v="535005.26850801706"/>
    <n v="519.42259078448262"/>
  </r>
  <r>
    <s v="4.3.4.2"/>
    <x v="3"/>
    <x v="3"/>
    <x v="1"/>
    <x v="13"/>
    <n v="4"/>
    <x v="73"/>
    <x v="73"/>
    <s v="Conduct an annual study to produce the health financing progress matrix"/>
    <s v="Dissemination"/>
    <s v="toner"/>
    <n v="104850"/>
    <n v="1"/>
    <n v="1"/>
    <n v="104850"/>
    <n v="1"/>
    <n v="1"/>
    <n v="119835.27702044998"/>
    <n v="1"/>
    <n v="1"/>
    <n v="136962.26627151159"/>
    <n v="1"/>
    <n v="1"/>
    <n v="156537.0636146421"/>
    <n v="1"/>
    <n v="1"/>
    <n v="178909.51246760553"/>
    <n v="1"/>
    <n v="1"/>
    <n v="204479.45625321087"/>
    <n v="1"/>
    <n v="1"/>
    <n v="233703.88445488326"/>
    <n v="1"/>
    <n v="1"/>
    <n v="267105.09999433643"/>
    <n v="1402382.5600766398"/>
    <n v="1361.5364660938251"/>
  </r>
  <r>
    <s v="4.3.4.2"/>
    <x v="3"/>
    <x v="3"/>
    <x v="1"/>
    <x v="13"/>
    <n v="4"/>
    <x v="73"/>
    <x v="73"/>
    <s v="Conduct an annual study to produce the health financing progress matrix"/>
    <s v="Dissemination"/>
    <s v="Conference package high-level"/>
    <n v="35000"/>
    <n v="30"/>
    <n v="1"/>
    <n v="1050000"/>
    <n v="30"/>
    <n v="1"/>
    <n v="1200067.1518499998"/>
    <n v="30"/>
    <n v="1"/>
    <n v="1371582.0656660672"/>
    <n v="30"/>
    <n v="1"/>
    <n v="1567610.0791165878"/>
    <n v="30"/>
    <n v="1"/>
    <n v="1791654.6312921871"/>
    <n v="30"/>
    <n v="1"/>
    <n v="2047719.8766415964"/>
    <n v="30"/>
    <n v="1"/>
    <n v="2340382.2477599182"/>
    <n v="30"/>
    <n v="1"/>
    <n v="2674872.2460090914"/>
    <n v="14043888.298335446"/>
    <n v="13634.843008092666"/>
  </r>
  <r>
    <s v="4.3.4.2"/>
    <x v="3"/>
    <x v="3"/>
    <x v="1"/>
    <x v="13"/>
    <n v="4"/>
    <x v="73"/>
    <x v="73"/>
    <s v="Conduct capacity building for KUHES and HFD to lead in economic evaluations of health care system, health programs and health interventions"/>
    <s v="Develop TORs to recruit a consultant (university) to facilitate training in conducting economic evaluations"/>
    <s v="zero cost"/>
    <n v="0"/>
    <n v="0"/>
    <n v="0"/>
    <n v="0"/>
    <n v="0"/>
    <n v="0"/>
    <n v="0"/>
    <n v="0"/>
    <n v="0"/>
    <n v="0"/>
    <n v="0"/>
    <n v="0"/>
    <n v="0"/>
    <n v="0"/>
    <n v="0"/>
    <n v="0"/>
    <n v="0"/>
    <n v="0"/>
    <n v="0"/>
    <n v="0"/>
    <n v="0"/>
    <n v="0"/>
    <n v="0"/>
    <n v="0"/>
    <n v="0"/>
    <n v="0"/>
    <n v="0"/>
  </r>
  <r>
    <s v="4.3.4.2"/>
    <x v="3"/>
    <x v="3"/>
    <x v="1"/>
    <x v="13"/>
    <n v="4"/>
    <x v="73"/>
    <x v="73"/>
    <s v="Conduct capacity building for KUHES and HFD to lead in economic evaluations of health care system, health programs and health interventions"/>
    <s v="Recruitment of a consultant"/>
    <s v="Newspaper advert (full)"/>
    <n v="391991.03749999998"/>
    <n v="2"/>
    <n v="2"/>
    <n v="1567964.15"/>
    <n v="1"/>
    <n v="6"/>
    <n v="2688088.9595620083"/>
    <n v="1"/>
    <n v="6"/>
    <n v="3072273.5824961993"/>
    <n v="0"/>
    <n v="0"/>
    <n v="0"/>
    <n v="0"/>
    <n v="0"/>
    <n v="0"/>
    <n v="0"/>
    <n v="0"/>
    <n v="0"/>
    <n v="0"/>
    <n v="0"/>
    <n v="0"/>
    <n v="0"/>
    <n v="0"/>
    <n v="0"/>
    <n v="7328326.6920582075"/>
    <n v="7114.8802835516581"/>
  </r>
  <r>
    <s v="4.3.4.2"/>
    <x v="3"/>
    <x v="3"/>
    <x v="1"/>
    <x v="13"/>
    <n v="4"/>
    <x v="73"/>
    <x v="73"/>
    <s v="Conduct capacity building for KUHES and HFD to lead in economic evaluations of health care system, health programs and health interventions"/>
    <s v="Recruitment of a consultant"/>
    <s v="International consultant fee - High level"/>
    <n v="1001560"/>
    <n v="1"/>
    <n v="25"/>
    <n v="25039000"/>
    <n v="1"/>
    <n v="40"/>
    <n v="45788162.156452797"/>
    <n v="1"/>
    <n v="40"/>
    <n v="52332256.521466911"/>
    <n v="0"/>
    <n v="0"/>
    <n v="0"/>
    <n v="0"/>
    <n v="0"/>
    <n v="0"/>
    <n v="0"/>
    <n v="0"/>
    <n v="0"/>
    <n v="0"/>
    <n v="0"/>
    <n v="0"/>
    <n v="0"/>
    <n v="0"/>
    <n v="0"/>
    <n v="123159418.67791972"/>
    <n v="119572.25114361137"/>
  </r>
  <r>
    <s v="4.3.4.2"/>
    <x v="3"/>
    <x v="3"/>
    <x v="1"/>
    <x v="13"/>
    <n v="4"/>
    <x v="73"/>
    <x v="73"/>
    <s v="Conduct capacity building for KUHES and HFD to lead in economic evaluations of health care system, health programs and health interventions"/>
    <s v="Conduct training "/>
    <s v="DSA (excl. lunch)"/>
    <n v="39000"/>
    <n v="30"/>
    <n v="6"/>
    <n v="7020000"/>
    <n v="20"/>
    <n v="10"/>
    <n v="8914784.5565999988"/>
    <n v="20"/>
    <n v="10"/>
    <n v="10188895.344947929"/>
    <n v="0"/>
    <n v="0"/>
    <n v="0"/>
    <n v="0"/>
    <n v="0"/>
    <n v="0"/>
    <n v="0"/>
    <n v="0"/>
    <n v="0"/>
    <n v="0"/>
    <n v="0"/>
    <n v="0"/>
    <n v="0"/>
    <n v="0"/>
    <n v="0"/>
    <n v="26123679.901547927"/>
    <n v="25362.796020920319"/>
  </r>
  <r>
    <s v="4.3.4.2"/>
    <x v="3"/>
    <x v="3"/>
    <x v="1"/>
    <x v="13"/>
    <n v="4"/>
    <x v="73"/>
    <x v="73"/>
    <s v="Conduct capacity building for KUHES and HFD to lead in economic evaluations of health care system, health programs and health interventions"/>
    <s v="Conduct training "/>
    <s v="Conference package high-level"/>
    <n v="35000"/>
    <n v="30"/>
    <n v="5"/>
    <n v="5250000"/>
    <n v="20"/>
    <n v="10"/>
    <n v="8000447.6789999986"/>
    <n v="20"/>
    <n v="10"/>
    <n v="9143880.4377737809"/>
    <n v="0"/>
    <n v="0"/>
    <n v="0"/>
    <n v="0"/>
    <n v="0"/>
    <n v="0"/>
    <n v="0"/>
    <n v="0"/>
    <n v="0"/>
    <n v="0"/>
    <n v="0"/>
    <n v="0"/>
    <n v="0"/>
    <n v="0"/>
    <n v="0"/>
    <n v="22394328.116773777"/>
    <n v="21742.066132790074"/>
  </r>
  <r>
    <s v="4.3.4.2"/>
    <x v="3"/>
    <x v="3"/>
    <x v="1"/>
    <x v="13"/>
    <n v="4"/>
    <x v="73"/>
    <x v="73"/>
    <s v="Conduct capacity building for KUHES and HFD to lead in economic evaluations of health care system, health programs and health interventions"/>
    <s v="Conduct training "/>
    <s v="Local running (diesel, per km)"/>
    <n v="211.42857142857142"/>
    <n v="500"/>
    <n v="5"/>
    <n v="528571.42857142852"/>
    <n v="4000"/>
    <n v="1"/>
    <n v="966584.6991771427"/>
    <n v="4000"/>
    <n v="1"/>
    <n v="1104730.044726955"/>
    <n v="0"/>
    <n v="0"/>
    <n v="0"/>
    <n v="0"/>
    <n v="0"/>
    <n v="0"/>
    <n v="0"/>
    <n v="0"/>
    <n v="0"/>
    <n v="0"/>
    <n v="0"/>
    <n v="0"/>
    <n v="0"/>
    <n v="0"/>
    <n v="0"/>
    <n v="2599886.1724755261"/>
    <n v="2524.161332500511"/>
  </r>
  <r>
    <s v="4.3.4.2"/>
    <x v="3"/>
    <x v="3"/>
    <x v="1"/>
    <x v="13"/>
    <n v="4"/>
    <x v="73"/>
    <x v="73"/>
    <s v="Conduct capacity building for KUHES and HFD to lead in economic evaluations of health care system, health programs and health interventions"/>
    <s v="Develop standard data collection tools"/>
    <s v="zero cost"/>
    <n v="0"/>
    <n v="0"/>
    <n v="0"/>
    <n v="0"/>
    <n v="0"/>
    <n v="0"/>
    <n v="0"/>
    <n v="0"/>
    <n v="0"/>
    <n v="0"/>
    <n v="0"/>
    <n v="0"/>
    <n v="0"/>
    <n v="0"/>
    <n v="0"/>
    <n v="0"/>
    <n v="0"/>
    <n v="0"/>
    <n v="0"/>
    <n v="0"/>
    <n v="0"/>
    <n v="0"/>
    <n v="0"/>
    <n v="0"/>
    <n v="0"/>
    <n v="0"/>
    <n v="0"/>
  </r>
  <r>
    <s v="4.3.4.2"/>
    <x v="3"/>
    <x v="3"/>
    <x v="1"/>
    <x v="13"/>
    <n v="4"/>
    <x v="73"/>
    <x v="73"/>
    <s v="Conduct at least 3 economic evaluation studies"/>
    <s v="Recruit research assistants (in house)"/>
    <s v="zero cost"/>
    <n v="0"/>
    <n v="0"/>
    <n v="0"/>
    <n v="0"/>
    <n v="0"/>
    <n v="0"/>
    <n v="0"/>
    <n v="0"/>
    <n v="0"/>
    <n v="0"/>
    <n v="0"/>
    <n v="0"/>
    <n v="0"/>
    <n v="0"/>
    <n v="0"/>
    <n v="0"/>
    <n v="0"/>
    <n v="0"/>
    <n v="0"/>
    <n v="0"/>
    <n v="0"/>
    <n v="0"/>
    <n v="0"/>
    <n v="0"/>
    <n v="0"/>
    <n v="0"/>
    <n v="0"/>
  </r>
  <r>
    <s v="4.3.4.2"/>
    <x v="3"/>
    <x v="3"/>
    <x v="1"/>
    <x v="13"/>
    <n v="4"/>
    <x v="73"/>
    <x v="73"/>
    <s v="Conduct at least 3 economic evaluation studies"/>
    <s v="Customize data collection tools to the assignment at hand"/>
    <s v="zero cost"/>
    <n v="0"/>
    <n v="0"/>
    <n v="0"/>
    <n v="0"/>
    <n v="0"/>
    <n v="0"/>
    <n v="0"/>
    <n v="0"/>
    <n v="0"/>
    <n v="0"/>
    <n v="0"/>
    <n v="0"/>
    <n v="0"/>
    <n v="0"/>
    <n v="0"/>
    <n v="0"/>
    <n v="0"/>
    <n v="0"/>
    <n v="0"/>
    <n v="0"/>
    <n v="0"/>
    <n v="0"/>
    <n v="0"/>
    <n v="0"/>
    <n v="0"/>
    <n v="0"/>
    <n v="0"/>
  </r>
  <r>
    <s v="4.3.4.2"/>
    <x v="3"/>
    <x v="3"/>
    <x v="1"/>
    <x v="13"/>
    <n v="4"/>
    <x v="73"/>
    <x v="73"/>
    <s v="Conduct at least 3 economic evaluation studies"/>
    <s v="Pre testing of the data collection tools "/>
    <s v="Full DSA"/>
    <n v="45000"/>
    <m/>
    <m/>
    <n v="0"/>
    <m/>
    <m/>
    <n v="0"/>
    <n v="25"/>
    <n v="6"/>
    <n v="8817313.2792818621"/>
    <n v="25"/>
    <n v="6"/>
    <n v="10077493.365749491"/>
    <n v="25"/>
    <n v="6"/>
    <n v="11517779.77259263"/>
    <n v="25"/>
    <n v="6"/>
    <n v="13163913.492695976"/>
    <n v="25"/>
    <n v="6"/>
    <n v="15045314.44988519"/>
    <n v="25"/>
    <n v="6"/>
    <n v="17195607.295772731"/>
    <n v="75817421.655977875"/>
    <n v="73609.147238813472"/>
  </r>
  <r>
    <s v="4.3.4.2"/>
    <x v="3"/>
    <x v="3"/>
    <x v="1"/>
    <x v="13"/>
    <n v="4"/>
    <x v="73"/>
    <x v="73"/>
    <s v="Conduct at least 3 economic evaluation studies"/>
    <s v="Pre testing of the data collection tools "/>
    <s v="Local running (diesel, per km)"/>
    <n v="211.42857142857142"/>
    <m/>
    <m/>
    <n v="0"/>
    <m/>
    <m/>
    <n v="0"/>
    <n v="450"/>
    <n v="1"/>
    <n v="124282.13003178244"/>
    <n v="450"/>
    <n v="1"/>
    <n v="142044.66839342139"/>
    <n v="450"/>
    <n v="1"/>
    <n v="162345.8482232104"/>
    <n v="450"/>
    <n v="1"/>
    <n v="185548.49494466712"/>
    <n v="450"/>
    <n v="1"/>
    <n v="212067.2893888579"/>
    <n v="450"/>
    <n v="1"/>
    <n v="242376.17902612989"/>
    <n v="1068664.6100080691"/>
    <n v="1037.5384563185137"/>
  </r>
  <r>
    <s v="4.3.4.2"/>
    <x v="3"/>
    <x v="3"/>
    <x v="1"/>
    <x v="13"/>
    <n v="4"/>
    <x v="73"/>
    <x v="73"/>
    <s v="Conduct at least 3 economic evaluation studies"/>
    <s v="Pre testing of the data collection tools "/>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3 economic evaluation studies"/>
    <s v="Validation of the data collection tools "/>
    <s v="Conference package high-level"/>
    <n v="35000"/>
    <m/>
    <m/>
    <n v="0"/>
    <m/>
    <m/>
    <n v="0"/>
    <n v="100"/>
    <n v="1"/>
    <n v="4571940.2188868914"/>
    <n v="100"/>
    <n v="1"/>
    <n v="5225366.9303886257"/>
    <n v="100"/>
    <n v="1"/>
    <n v="5972182.1043072902"/>
    <n v="100"/>
    <n v="1"/>
    <n v="6825732.9221386546"/>
    <n v="100"/>
    <n v="1"/>
    <n v="7801274.1591997268"/>
    <n v="100"/>
    <n v="1"/>
    <n v="8916240.8200303055"/>
    <n v="39312737.154951498"/>
    <n v="38167.705975681063"/>
  </r>
  <r>
    <s v="4.3.4.2"/>
    <x v="3"/>
    <x v="3"/>
    <x v="1"/>
    <x v="13"/>
    <n v="4"/>
    <x v="73"/>
    <x v="73"/>
    <s v="Conduct at least 3 economic evaluation studies"/>
    <s v="Data collection "/>
    <s v="Full DSA"/>
    <n v="45000"/>
    <m/>
    <m/>
    <n v="0"/>
    <m/>
    <m/>
    <n v="0"/>
    <n v="25"/>
    <n v="6"/>
    <n v="8817313.2792818621"/>
    <n v="25"/>
    <n v="6"/>
    <n v="10077493.365749491"/>
    <n v="25"/>
    <n v="6"/>
    <n v="11517779.77259263"/>
    <n v="25"/>
    <n v="6"/>
    <n v="13163913.492695976"/>
    <n v="25"/>
    <n v="6"/>
    <n v="15045314.44988519"/>
    <n v="25"/>
    <n v="6"/>
    <n v="17195607.295772731"/>
    <n v="75817421.655977875"/>
    <n v="73609.147238813472"/>
  </r>
  <r>
    <s v="4.3.4.2"/>
    <x v="3"/>
    <x v="3"/>
    <x v="1"/>
    <x v="13"/>
    <n v="4"/>
    <x v="73"/>
    <x v="73"/>
    <s v="Conduct at least 3 economic evaluation studies"/>
    <s v="Data collection "/>
    <s v="Tablet"/>
    <n v="302000"/>
    <m/>
    <m/>
    <n v="0"/>
    <m/>
    <m/>
    <n v="0"/>
    <n v="25"/>
    <n v="1"/>
    <n v="9862328.1864560079"/>
    <n v="25"/>
    <n v="1"/>
    <n v="11271862.94983832"/>
    <n v="25"/>
    <n v="1"/>
    <n v="12882849.967862869"/>
    <n v="25"/>
    <n v="1"/>
    <n v="14724081.017756244"/>
    <n v="25"/>
    <n v="1"/>
    <n v="16828462.829130843"/>
    <n v="25"/>
    <n v="1"/>
    <n v="19233605.197493944"/>
    <n v="84803190.148538232"/>
    <n v="82333.194318969152"/>
  </r>
  <r>
    <s v="4.3.4.2"/>
    <x v="3"/>
    <x v="3"/>
    <x v="1"/>
    <x v="13"/>
    <n v="4"/>
    <x v="73"/>
    <x v="73"/>
    <s v="Conduct at least 3 economic evaluation studies"/>
    <s v="Data collection "/>
    <s v="Airtime for Research Assistant"/>
    <n v="10000"/>
    <m/>
    <m/>
    <n v="0"/>
    <m/>
    <m/>
    <n v="0"/>
    <n v="15"/>
    <n v="1"/>
    <n v="195940.29509515248"/>
    <n v="15"/>
    <n v="1"/>
    <n v="223944.29701665539"/>
    <n v="15"/>
    <n v="1"/>
    <n v="255950.66161316959"/>
    <n v="15"/>
    <n v="1"/>
    <n v="292531.41094879952"/>
    <n v="15"/>
    <n v="1"/>
    <n v="334340.32110855979"/>
    <n v="15"/>
    <n v="1"/>
    <n v="382124.60657272732"/>
    <n v="1684831.5923550641"/>
    <n v="1635.7588275291885"/>
  </r>
  <r>
    <s v="4.3.4.2"/>
    <x v="3"/>
    <x v="3"/>
    <x v="1"/>
    <x v="13"/>
    <n v="4"/>
    <x v="73"/>
    <x v="73"/>
    <s v="Conduct at least 3 economic evaluation studies"/>
    <s v="Data collection "/>
    <s v="Local running (diesel, per km)"/>
    <n v="211.42857142857142"/>
    <m/>
    <m/>
    <n v="0"/>
    <m/>
    <m/>
    <n v="0"/>
    <n v="450"/>
    <n v="5"/>
    <n v="621410.65015891218"/>
    <n v="450"/>
    <n v="5"/>
    <n v="710223.34196710703"/>
    <n v="450"/>
    <n v="5"/>
    <n v="811729.24111605203"/>
    <n v="450"/>
    <n v="5"/>
    <n v="927742.47472333559"/>
    <n v="450"/>
    <n v="5"/>
    <n v="1060336.4469442894"/>
    <n v="450"/>
    <n v="5"/>
    <n v="1211880.8951306494"/>
    <n v="5343323.0500403456"/>
    <n v="5187.6922815925682"/>
  </r>
  <r>
    <s v="4.3.4.2"/>
    <x v="3"/>
    <x v="3"/>
    <x v="1"/>
    <x v="13"/>
    <n v="4"/>
    <x v="73"/>
    <x v="73"/>
    <s v="Conduct at least 3 economic evaluation studies"/>
    <s v="Data collection "/>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3 economic evaluation studies"/>
    <s v="Data analysis"/>
    <s v="DSA (excl. lunch)"/>
    <n v="39000"/>
    <m/>
    <m/>
    <n v="0"/>
    <m/>
    <m/>
    <n v="0"/>
    <n v="25"/>
    <n v="6"/>
    <n v="7641671.5087109469"/>
    <n v="25"/>
    <n v="6"/>
    <n v="8733827.5836495608"/>
    <n v="25"/>
    <n v="6"/>
    <n v="9982075.8029136136"/>
    <n v="25"/>
    <n v="6"/>
    <n v="11408725.027003182"/>
    <n v="25"/>
    <n v="6"/>
    <n v="13039272.523233831"/>
    <n v="25"/>
    <n v="6"/>
    <n v="14902859.656336365"/>
    <n v="65708432.1018475"/>
    <n v="63794.594273638351"/>
  </r>
  <r>
    <s v="4.3.4.2"/>
    <x v="3"/>
    <x v="3"/>
    <x v="1"/>
    <x v="13"/>
    <n v="4"/>
    <x v="73"/>
    <x v="73"/>
    <s v="Conduct at least 3 economic evaluation studies"/>
    <s v="Data analysis"/>
    <s v="Conference package high-level"/>
    <n v="35000"/>
    <m/>
    <m/>
    <n v="0"/>
    <m/>
    <m/>
    <n v="0"/>
    <n v="25"/>
    <n v="5"/>
    <n v="5714925.2736086138"/>
    <n v="25"/>
    <n v="5"/>
    <n v="6531708.6629857821"/>
    <n v="25"/>
    <n v="5"/>
    <n v="7465227.6303841127"/>
    <n v="25"/>
    <n v="5"/>
    <n v="8532166.152673319"/>
    <n v="25"/>
    <n v="5"/>
    <n v="9751592.6989996582"/>
    <n v="25"/>
    <n v="5"/>
    <n v="11145301.025037881"/>
    <n v="49140921.443689376"/>
    <n v="47709.632469601333"/>
  </r>
  <r>
    <s v="4.3.4.2"/>
    <x v="3"/>
    <x v="3"/>
    <x v="1"/>
    <x v="13"/>
    <n v="4"/>
    <x v="73"/>
    <x v="73"/>
    <s v="Conduct at least 3 economic evaluation studies"/>
    <s v="Data analysis"/>
    <s v="Local running (diesel, per km)"/>
    <n v="211.42857142857142"/>
    <m/>
    <m/>
    <n v="0"/>
    <m/>
    <m/>
    <n v="0"/>
    <n v="450"/>
    <n v="5"/>
    <n v="621410.65015891218"/>
    <n v="450"/>
    <n v="5"/>
    <n v="710223.34196710703"/>
    <n v="450"/>
    <n v="5"/>
    <n v="811729.24111605203"/>
    <n v="450"/>
    <n v="5"/>
    <n v="927742.47472333559"/>
    <n v="450"/>
    <n v="5"/>
    <n v="1060336.4469442894"/>
    <n v="450"/>
    <n v="5"/>
    <n v="1211880.8951306494"/>
    <n v="5343323.0500403456"/>
    <n v="5187.6922815925682"/>
  </r>
  <r>
    <s v="4.3.4.2"/>
    <x v="3"/>
    <x v="3"/>
    <x v="1"/>
    <x v="13"/>
    <n v="4"/>
    <x v="73"/>
    <x v="73"/>
    <s v="Conduct at least 3 economic evaluation studies"/>
    <s v="Data analysis"/>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3 economic evaluation studies"/>
    <s v="report writing"/>
    <s v="DSA (excl. lunch)"/>
    <n v="39000"/>
    <m/>
    <m/>
    <n v="0"/>
    <m/>
    <m/>
    <n v="0"/>
    <n v="25"/>
    <n v="5"/>
    <n v="6368059.5905924551"/>
    <n v="25"/>
    <n v="5"/>
    <n v="7278189.6530412994"/>
    <n v="25"/>
    <n v="5"/>
    <n v="8318396.502428012"/>
    <n v="25"/>
    <n v="5"/>
    <n v="9507270.8558359854"/>
    <n v="25"/>
    <n v="5"/>
    <n v="10866060.436028194"/>
    <n v="25"/>
    <n v="5"/>
    <n v="12419049.713613637"/>
    <n v="54757026.751539581"/>
    <n v="53162.16189469862"/>
  </r>
  <r>
    <s v="4.3.4.2"/>
    <x v="3"/>
    <x v="3"/>
    <x v="1"/>
    <x v="13"/>
    <n v="4"/>
    <x v="73"/>
    <x v="73"/>
    <s v="Conduct at least 3 economic evaluation studies"/>
    <s v="report writing"/>
    <s v="Conference package high-level"/>
    <n v="35000"/>
    <m/>
    <m/>
    <n v="0"/>
    <m/>
    <m/>
    <n v="0"/>
    <n v="25"/>
    <n v="5"/>
    <n v="5714925.2736086138"/>
    <n v="25"/>
    <n v="5"/>
    <n v="6531708.6629857821"/>
    <n v="25"/>
    <n v="5"/>
    <n v="7465227.6303841127"/>
    <n v="25"/>
    <n v="5"/>
    <n v="8532166.152673319"/>
    <n v="25"/>
    <n v="5"/>
    <n v="9751592.6989996582"/>
    <n v="25"/>
    <n v="5"/>
    <n v="11145301.025037881"/>
    <n v="49140921.443689376"/>
    <n v="47709.632469601333"/>
  </r>
  <r>
    <s v="4.3.4.2"/>
    <x v="3"/>
    <x v="3"/>
    <x v="1"/>
    <x v="13"/>
    <n v="4"/>
    <x v="73"/>
    <x v="73"/>
    <s v="Conduct at least 3 economic evaluation studies"/>
    <s v="report writing"/>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3 economic evaluation studies"/>
    <s v="report writing"/>
    <s v="Local running (diesel, per km)"/>
    <n v="211.42857142857142"/>
    <m/>
    <m/>
    <n v="0"/>
    <m/>
    <m/>
    <n v="0"/>
    <n v="450"/>
    <n v="5"/>
    <n v="621410.65015891218"/>
    <n v="450"/>
    <n v="5"/>
    <n v="710223.34196710703"/>
    <n v="450"/>
    <n v="5"/>
    <n v="811729.24111605203"/>
    <n v="450"/>
    <n v="5"/>
    <n v="927742.47472333559"/>
    <n v="450"/>
    <n v="5"/>
    <n v="1060336.4469442894"/>
    <n v="450"/>
    <n v="5"/>
    <n v="1211880.8951306494"/>
    <n v="5343323.0500403456"/>
    <n v="5187.6922815925682"/>
  </r>
  <r>
    <s v="4.3.4.2"/>
    <x v="3"/>
    <x v="3"/>
    <x v="1"/>
    <x v="13"/>
    <n v="4"/>
    <x v="73"/>
    <x v="73"/>
    <s v="Conduct at least 3 economic evaluation studies"/>
    <s v="Validation"/>
    <s v="Conference package high-level"/>
    <n v="35000"/>
    <m/>
    <m/>
    <n v="0"/>
    <m/>
    <m/>
    <n v="0"/>
    <n v="100"/>
    <n v="5"/>
    <n v="22859701.094434455"/>
    <n v="100"/>
    <n v="5"/>
    <n v="26126834.651943129"/>
    <n v="100"/>
    <n v="5"/>
    <n v="29860910.521536451"/>
    <n v="100"/>
    <n v="5"/>
    <n v="34128664.610693276"/>
    <n v="100"/>
    <n v="5"/>
    <n v="39006370.795998633"/>
    <n v="100"/>
    <n v="5"/>
    <n v="44581204.100151524"/>
    <n v="196563685.7747575"/>
    <n v="190838.52987840533"/>
  </r>
  <r>
    <s v="4.3.4.2"/>
    <x v="3"/>
    <x v="3"/>
    <x v="1"/>
    <x v="13"/>
    <n v="4"/>
    <x v="73"/>
    <x v="73"/>
    <s v="Conduct at least 3 economic evaluation studies"/>
    <s v="Present report to HFTWG for endorsement "/>
    <s v="Conference package high-level"/>
    <n v="35000"/>
    <m/>
    <m/>
    <n v="0"/>
    <m/>
    <m/>
    <n v="0"/>
    <n v="30"/>
    <n v="1"/>
    <n v="1371582.0656660672"/>
    <n v="30"/>
    <n v="1"/>
    <n v="1567610.0791165878"/>
    <n v="30"/>
    <n v="1"/>
    <n v="1791654.6312921871"/>
    <n v="30"/>
    <n v="1"/>
    <n v="2047719.8766415964"/>
    <n v="30"/>
    <n v="1"/>
    <n v="2340382.2477599182"/>
    <n v="30"/>
    <n v="1"/>
    <n v="2674872.2460090914"/>
    <n v="11793821.146485448"/>
    <n v="11450.311792704319"/>
  </r>
  <r>
    <s v="4.3.4.2"/>
    <x v="3"/>
    <x v="3"/>
    <x v="1"/>
    <x v="13"/>
    <n v="4"/>
    <x v="73"/>
    <x v="73"/>
    <s v="Conduct at least 3 economic evaluation studies"/>
    <s v="Present to SMT for approval"/>
    <s v="zero cost"/>
    <n v="0"/>
    <m/>
    <m/>
    <n v="0"/>
    <n v="0"/>
    <n v="0"/>
    <n v="0"/>
    <n v="0"/>
    <n v="0"/>
    <n v="0"/>
    <n v="0"/>
    <n v="0"/>
    <n v="0"/>
    <n v="0"/>
    <n v="0"/>
    <n v="0"/>
    <n v="0"/>
    <n v="0"/>
    <n v="0"/>
    <n v="0"/>
    <n v="0"/>
    <n v="0"/>
    <n v="0"/>
    <n v="0"/>
    <n v="0"/>
    <n v="0"/>
    <n v="0"/>
  </r>
  <r>
    <s v="4.3.4.2"/>
    <x v="3"/>
    <x v="3"/>
    <x v="1"/>
    <x v="13"/>
    <n v="4"/>
    <x v="73"/>
    <x v="73"/>
    <s v="Conduct at least 3 economic evaluation studies"/>
    <s v="Dissemination"/>
    <s v="A4,500 pages, 140 gsm paper"/>
    <n v="8000"/>
    <m/>
    <m/>
    <n v="0"/>
    <n v="50000"/>
    <n v="1"/>
    <n v="457168438.79999995"/>
    <n v="5"/>
    <n v="1"/>
    <n v="52250.745358707325"/>
    <n v="5"/>
    <n v="1"/>
    <n v="59718.479204441435"/>
    <n v="5"/>
    <n v="1"/>
    <n v="68253.509763511887"/>
    <n v="5"/>
    <n v="1"/>
    <n v="78008.376253013208"/>
    <n v="5"/>
    <n v="1"/>
    <n v="89157.418962282609"/>
    <n v="5"/>
    <n v="1"/>
    <n v="101899.89508606063"/>
    <n v="457617727.22462797"/>
    <n v="444289.05555789126"/>
  </r>
  <r>
    <s v="4.3.4.2"/>
    <x v="3"/>
    <x v="3"/>
    <x v="1"/>
    <x v="13"/>
    <n v="4"/>
    <x v="73"/>
    <x v="73"/>
    <s v="Conduct at least 3 economic evaluation studies"/>
    <s v="Dissemination"/>
    <s v="toner"/>
    <n v="104850"/>
    <m/>
    <m/>
    <n v="0"/>
    <n v="5"/>
    <n v="1"/>
    <n v="599176.38510224991"/>
    <n v="1"/>
    <n v="1"/>
    <n v="136962.26627151159"/>
    <n v="1"/>
    <n v="1"/>
    <n v="156537.0636146421"/>
    <n v="1"/>
    <n v="1"/>
    <n v="178909.51246760553"/>
    <n v="1"/>
    <n v="1"/>
    <n v="204479.45625321087"/>
    <n v="1"/>
    <n v="1"/>
    <n v="233703.88445488326"/>
    <n v="1"/>
    <n v="1"/>
    <n v="267105.09999433643"/>
    <n v="1776873.6681584395"/>
    <n v="1725.1200661732421"/>
  </r>
  <r>
    <s v="4.3.4.2"/>
    <x v="3"/>
    <x v="3"/>
    <x v="1"/>
    <x v="13"/>
    <n v="4"/>
    <x v="73"/>
    <x v="73"/>
    <s v="Conduct at least 3 economic evaluation studies"/>
    <s v="Dissemination"/>
    <s v="Conference package high-level"/>
    <n v="35000"/>
    <m/>
    <m/>
    <n v="0"/>
    <n v="50"/>
    <n v="1"/>
    <n v="2000111.9197499997"/>
    <n v="100"/>
    <n v="1"/>
    <n v="4571940.2188868914"/>
    <n v="100"/>
    <n v="1"/>
    <n v="5225366.9303886257"/>
    <n v="100"/>
    <n v="1"/>
    <n v="5972182.1043072902"/>
    <n v="100"/>
    <n v="1"/>
    <n v="6825732.9221386546"/>
    <n v="100"/>
    <n v="1"/>
    <n v="7801274.1591997268"/>
    <n v="100"/>
    <n v="1"/>
    <n v="8916240.8200303055"/>
    <n v="41312849.074701488"/>
    <n v="40109.562208448049"/>
  </r>
  <r>
    <s v="4.3.4.2"/>
    <x v="3"/>
    <x v="3"/>
    <x v="1"/>
    <x v="13"/>
    <n v="4"/>
    <x v="73"/>
    <x v="73"/>
    <s v="Conduct capacity building for KUHES and HFD to lead in health outcomes research and epidemiological studies"/>
    <s v="Develop TORs to recruit a consultant to facilitate training in conducting health outcomes research"/>
    <s v="zero cost"/>
    <n v="0"/>
    <n v="0"/>
    <n v="0"/>
    <n v="0"/>
    <n v="0"/>
    <n v="0"/>
    <n v="0"/>
    <n v="0"/>
    <n v="0"/>
    <n v="0"/>
    <n v="0"/>
    <n v="0"/>
    <n v="0"/>
    <n v="0"/>
    <n v="0"/>
    <n v="0"/>
    <n v="0"/>
    <n v="0"/>
    <n v="0"/>
    <n v="0"/>
    <n v="0"/>
    <n v="0"/>
    <n v="0"/>
    <n v="0"/>
    <n v="0"/>
    <n v="0"/>
    <n v="0"/>
  </r>
  <r>
    <s v="4.3.4.2"/>
    <x v="3"/>
    <x v="3"/>
    <x v="1"/>
    <x v="13"/>
    <n v="4"/>
    <x v="73"/>
    <x v="73"/>
    <s v="Conduct capacity building for KUHES and HFD to lead in health outcomes research and epidemiological studies"/>
    <s v="Recruitment of a consultant"/>
    <s v="Newspaper advert (full)"/>
    <n v="391991.03749999998"/>
    <m/>
    <m/>
    <n v="0"/>
    <n v="0"/>
    <n v="0"/>
    <n v="0"/>
    <n v="2"/>
    <n v="2"/>
    <n v="2048182.3883307995"/>
    <n v="2"/>
    <n v="2"/>
    <n v="2340910.8621271173"/>
    <n v="2"/>
    <n v="2"/>
    <n v="2675476.4105215403"/>
    <n v="2"/>
    <n v="2"/>
    <n v="3057858.4341109009"/>
    <n v="2"/>
    <n v="2"/>
    <n v="3494890.915984733"/>
    <n v="2"/>
    <n v="2"/>
    <n v="3994384.5595926056"/>
    <n v="17611703.570667695"/>
    <n v="17098.741330745335"/>
  </r>
  <r>
    <s v="4.3.4.2"/>
    <x v="3"/>
    <x v="3"/>
    <x v="1"/>
    <x v="13"/>
    <n v="4"/>
    <x v="73"/>
    <x v="73"/>
    <s v="Conduct capacity building for KUHES and HFD to lead in health outcomes research and epidemiological studies"/>
    <s v="Recruitment of a consultant"/>
    <s v="International consultant fee - High level"/>
    <n v="1001560"/>
    <m/>
    <m/>
    <n v="0"/>
    <n v="0"/>
    <n v="0"/>
    <n v="0"/>
    <n v="1"/>
    <n v="25"/>
    <n v="32707660.325916823"/>
    <n v="1"/>
    <n v="25"/>
    <n v="37382275.020000227"/>
    <n v="1"/>
    <n v="25"/>
    <n v="42724990.774214357"/>
    <n v="1"/>
    <n v="25"/>
    <n v="48831293.324979939"/>
    <n v="1"/>
    <n v="25"/>
    <n v="55810315.334914856"/>
    <n v="1"/>
    <n v="25"/>
    <n v="63786786.826496802"/>
    <n v="281243321.60652298"/>
    <n v="273051.76855002233"/>
  </r>
  <r>
    <s v="4.3.4.2"/>
    <x v="3"/>
    <x v="3"/>
    <x v="1"/>
    <x v="13"/>
    <n v="4"/>
    <x v="73"/>
    <x v="73"/>
    <s v="Conduct capacity building for KUHES and HFD to lead in health outcomes research and epidemiological studies"/>
    <s v="Conduct training"/>
    <s v="DSA (excl. lunch)"/>
    <n v="39000"/>
    <m/>
    <m/>
    <n v="0"/>
    <n v="0"/>
    <n v="0"/>
    <n v="0"/>
    <n v="30"/>
    <n v="6"/>
    <n v="9170005.8104531355"/>
    <n v="30"/>
    <n v="6"/>
    <n v="10480593.100379471"/>
    <n v="30"/>
    <n v="6"/>
    <n v="11978490.963496335"/>
    <n v="30"/>
    <n v="6"/>
    <n v="13690470.032403817"/>
    <n v="30"/>
    <n v="6"/>
    <n v="15647127.027880596"/>
    <n v="30"/>
    <n v="6"/>
    <n v="17883431.58760364"/>
    <n v="78850118.522216991"/>
    <n v="76553.513128366016"/>
  </r>
  <r>
    <s v="4.3.4.2"/>
    <x v="3"/>
    <x v="3"/>
    <x v="1"/>
    <x v="13"/>
    <n v="4"/>
    <x v="73"/>
    <x v="73"/>
    <s v="Conduct capacity building for KUHES and HFD to lead in health outcomes research and epidemiological studies"/>
    <s v="Conduct training"/>
    <s v="Conference package high-level"/>
    <n v="35000"/>
    <m/>
    <m/>
    <n v="0"/>
    <n v="0"/>
    <n v="0"/>
    <n v="0"/>
    <n v="30"/>
    <n v="5"/>
    <n v="6857910.3283303361"/>
    <n v="30"/>
    <n v="5"/>
    <n v="7838050.3955829386"/>
    <n v="30"/>
    <n v="5"/>
    <n v="8958273.1564609352"/>
    <n v="30"/>
    <n v="5"/>
    <n v="10238599.383207982"/>
    <n v="30"/>
    <n v="5"/>
    <n v="11701911.238799591"/>
    <n v="30"/>
    <n v="5"/>
    <n v="13374361.230045456"/>
    <n v="58969105.732427239"/>
    <n v="57251.558963521595"/>
  </r>
  <r>
    <s v="4.3.4.2"/>
    <x v="3"/>
    <x v="3"/>
    <x v="1"/>
    <x v="13"/>
    <n v="4"/>
    <x v="73"/>
    <x v="73"/>
    <s v="Conduct capacity building for KUHES and HFD to lead in health outcomes research and epidemiological studies"/>
    <s v="Conduct training"/>
    <s v="Local running (diesel, per km)"/>
    <n v="211.42857142857142"/>
    <m/>
    <m/>
    <n v="0"/>
    <n v="0"/>
    <n v="0"/>
    <n v="0"/>
    <n v="500"/>
    <n v="5"/>
    <n v="690456.27795434685"/>
    <n v="500"/>
    <n v="5"/>
    <n v="789137.04663011886"/>
    <n v="500"/>
    <n v="5"/>
    <n v="901921.3790178356"/>
    <n v="500"/>
    <n v="5"/>
    <n v="1030824.9719148173"/>
    <n v="500"/>
    <n v="5"/>
    <n v="1178151.6077158772"/>
    <n v="500"/>
    <n v="5"/>
    <n v="1346534.327922944"/>
    <n v="5937025.6111559402"/>
    <n v="5764.1025351028547"/>
  </r>
  <r>
    <s v="4.3.4.2"/>
    <x v="3"/>
    <x v="3"/>
    <x v="1"/>
    <x v="13"/>
    <n v="4"/>
    <x v="73"/>
    <x v="73"/>
    <s v="Conduct capacity building for KUHES and HFD to lead in health outcomes research and epidemiological studies"/>
    <s v="Conduct training"/>
    <s v="Fuel for Travelling Participants"/>
    <n v="211.42857142857142"/>
    <m/>
    <m/>
    <n v="0"/>
    <m/>
    <m/>
    <n v="0"/>
    <n v="2700"/>
    <n v="1"/>
    <n v="745692.78019069461"/>
    <n v="2700"/>
    <n v="1"/>
    <n v="852268.01036052837"/>
    <n v="2700"/>
    <n v="1"/>
    <n v="974075.08933926234"/>
    <n v="2700"/>
    <n v="1"/>
    <n v="1113290.9696680028"/>
    <n v="2700"/>
    <n v="1"/>
    <n v="1272403.7363331474"/>
    <n v="2700"/>
    <n v="1"/>
    <n v="1454257.0741567793"/>
    <n v="6411987.660048414"/>
    <n v="6225.2307379110816"/>
  </r>
  <r>
    <s v="4.3.4.2"/>
    <x v="3"/>
    <x v="3"/>
    <x v="1"/>
    <x v="13"/>
    <n v="4"/>
    <x v="73"/>
    <x v="73"/>
    <s v="Conduct capacity building for KUHES and HFD to lead in health outcomes research and epidemiological studies"/>
    <s v="Develop standard data collection tools"/>
    <s v="zero cost"/>
    <n v="0"/>
    <n v="0"/>
    <n v="0"/>
    <n v="0"/>
    <n v="0"/>
    <n v="0"/>
    <n v="0"/>
    <n v="0"/>
    <n v="0"/>
    <n v="0"/>
    <n v="0"/>
    <n v="0"/>
    <n v="0"/>
    <n v="0"/>
    <n v="0"/>
    <n v="0"/>
    <n v="0"/>
    <n v="0"/>
    <n v="0"/>
    <n v="0"/>
    <n v="0"/>
    <n v="0"/>
    <n v="0"/>
    <n v="0"/>
    <n v="0"/>
    <n v="0"/>
    <n v="0"/>
  </r>
  <r>
    <s v="4.3.4.2"/>
    <x v="3"/>
    <x v="3"/>
    <x v="1"/>
    <x v="13"/>
    <n v="4"/>
    <x v="73"/>
    <x v="73"/>
    <s v="Conduct at least 1 health outcomes research"/>
    <s v="Recruit research assistants (in house)"/>
    <s v="zero cost"/>
    <n v="0"/>
    <n v="0"/>
    <n v="0"/>
    <n v="0"/>
    <n v="0"/>
    <n v="0"/>
    <n v="0"/>
    <n v="0"/>
    <n v="0"/>
    <n v="0"/>
    <n v="0"/>
    <n v="0"/>
    <n v="0"/>
    <n v="0"/>
    <n v="0"/>
    <n v="0"/>
    <n v="0"/>
    <n v="0"/>
    <n v="0"/>
    <n v="0"/>
    <n v="0"/>
    <n v="0"/>
    <n v="0"/>
    <n v="0"/>
    <n v="0"/>
    <n v="0"/>
    <n v="0"/>
  </r>
  <r>
    <s v="4.3.4.2"/>
    <x v="3"/>
    <x v="3"/>
    <x v="1"/>
    <x v="13"/>
    <n v="4"/>
    <x v="73"/>
    <x v="73"/>
    <s v="Conduct at least 1 health outcomes research"/>
    <s v="Pre testing of the data collection tools "/>
    <s v="Full DSA"/>
    <n v="45000"/>
    <m/>
    <m/>
    <n v="0"/>
    <n v="0"/>
    <n v="0"/>
    <n v="0"/>
    <n v="25"/>
    <n v="2"/>
    <n v="2939104.4264272875"/>
    <n v="25"/>
    <n v="2"/>
    <n v="3359164.4552498306"/>
    <n v="25"/>
    <n v="2"/>
    <n v="3839259.9241975434"/>
    <n v="25"/>
    <n v="2"/>
    <n v="4387971.1642319923"/>
    <n v="25"/>
    <n v="2"/>
    <n v="5015104.8166283965"/>
    <n v="25"/>
    <n v="2"/>
    <n v="5731869.0985909104"/>
    <n v="25272473.885325961"/>
    <n v="24536.382412937826"/>
  </r>
  <r>
    <s v="4.3.4.2"/>
    <x v="3"/>
    <x v="3"/>
    <x v="1"/>
    <x v="13"/>
    <n v="4"/>
    <x v="73"/>
    <x v="73"/>
    <s v="Conduct at least 1 health outcomes research"/>
    <s v="Pre testing of the data collection tools "/>
    <s v="Local running (diesel, per km)"/>
    <n v="211.42857142857142"/>
    <m/>
    <m/>
    <n v="0"/>
    <n v="0"/>
    <n v="0"/>
    <n v="0"/>
    <n v="450"/>
    <n v="1"/>
    <n v="124282.13003178244"/>
    <n v="450"/>
    <n v="1"/>
    <n v="142044.66839342139"/>
    <n v="450"/>
    <n v="1"/>
    <n v="162345.8482232104"/>
    <n v="450"/>
    <n v="1"/>
    <n v="185548.49494466712"/>
    <n v="450"/>
    <n v="1"/>
    <n v="212067.2893888579"/>
    <n v="450"/>
    <n v="1"/>
    <n v="242376.17902612989"/>
    <n v="1068664.6100080691"/>
    <n v="1037.5384563185137"/>
  </r>
  <r>
    <s v="4.3.4.2"/>
    <x v="3"/>
    <x v="3"/>
    <x v="1"/>
    <x v="13"/>
    <n v="4"/>
    <x v="73"/>
    <x v="73"/>
    <s v="Conduct at least 1 health outcomes research"/>
    <s v="Pre testing of the data collection tools "/>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1 health outcomes research"/>
    <s v="Data collection"/>
    <s v="Full DSA"/>
    <n v="45000"/>
    <m/>
    <m/>
    <n v="0"/>
    <n v="0"/>
    <n v="0"/>
    <n v="0"/>
    <n v="25"/>
    <n v="6"/>
    <n v="8817313.2792818621"/>
    <n v="25"/>
    <n v="6"/>
    <n v="10077493.365749491"/>
    <n v="25"/>
    <n v="6"/>
    <n v="11517779.77259263"/>
    <n v="25"/>
    <n v="6"/>
    <n v="13163913.492695976"/>
    <n v="25"/>
    <n v="6"/>
    <n v="15045314.44988519"/>
    <n v="25"/>
    <n v="6"/>
    <n v="17195607.295772731"/>
    <n v="75817421.655977875"/>
    <n v="73609.147238813472"/>
  </r>
  <r>
    <s v="4.3.4.2"/>
    <x v="3"/>
    <x v="3"/>
    <x v="1"/>
    <x v="13"/>
    <n v="4"/>
    <x v="73"/>
    <x v="73"/>
    <s v="Conduct at least 1 health outcomes research"/>
    <s v="Data collection"/>
    <s v="Local running (diesel, per km)"/>
    <n v="211.42857142857142"/>
    <m/>
    <m/>
    <n v="0"/>
    <n v="0"/>
    <n v="0"/>
    <n v="0"/>
    <n v="450"/>
    <n v="5"/>
    <n v="621410.65015891218"/>
    <n v="450"/>
    <n v="5"/>
    <n v="710223.34196710703"/>
    <n v="450"/>
    <n v="5"/>
    <n v="811729.24111605203"/>
    <n v="450"/>
    <n v="5"/>
    <n v="927742.47472333559"/>
    <n v="450"/>
    <n v="5"/>
    <n v="1060336.4469442894"/>
    <n v="450"/>
    <n v="5"/>
    <n v="1211880.8951306494"/>
    <n v="5343323.0500403456"/>
    <n v="5187.6922815925682"/>
  </r>
  <r>
    <s v="4.3.4.2"/>
    <x v="3"/>
    <x v="3"/>
    <x v="1"/>
    <x v="13"/>
    <n v="4"/>
    <x v="73"/>
    <x v="73"/>
    <s v="Conduct at least 1 health outcomes research"/>
    <s v="Pre testing of the data collection tools "/>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1 health outcomes research"/>
    <s v="Data analysis"/>
    <s v="DSA (excl. lunch)"/>
    <n v="39000"/>
    <m/>
    <m/>
    <n v="0"/>
    <n v="0"/>
    <n v="0"/>
    <n v="0"/>
    <n v="25"/>
    <n v="6"/>
    <n v="7641671.5087109469"/>
    <n v="25"/>
    <n v="6"/>
    <n v="8733827.5836495608"/>
    <n v="25"/>
    <n v="6"/>
    <n v="9982075.8029136136"/>
    <n v="25"/>
    <n v="6"/>
    <n v="11408725.027003182"/>
    <n v="25"/>
    <n v="6"/>
    <n v="13039272.523233831"/>
    <n v="25"/>
    <n v="6"/>
    <n v="14902859.656336365"/>
    <n v="65708432.1018475"/>
    <n v="63794.594273638351"/>
  </r>
  <r>
    <s v="4.3.4.2"/>
    <x v="3"/>
    <x v="3"/>
    <x v="1"/>
    <x v="13"/>
    <n v="4"/>
    <x v="73"/>
    <x v="73"/>
    <s v="Conduct at least 1 health outcomes research"/>
    <s v="Data analysis"/>
    <s v="Conference package high-level"/>
    <n v="35000"/>
    <m/>
    <m/>
    <n v="0"/>
    <n v="0"/>
    <n v="0"/>
    <n v="0"/>
    <n v="25"/>
    <n v="5"/>
    <n v="5714925.2736086138"/>
    <n v="25"/>
    <n v="5"/>
    <n v="6531708.6629857821"/>
    <n v="25"/>
    <n v="5"/>
    <n v="7465227.6303841127"/>
    <n v="25"/>
    <n v="5"/>
    <n v="8532166.152673319"/>
    <n v="25"/>
    <n v="5"/>
    <n v="9751592.6989996582"/>
    <n v="25"/>
    <n v="5"/>
    <n v="11145301.025037881"/>
    <n v="49140921.443689376"/>
    <n v="47709.632469601333"/>
  </r>
  <r>
    <s v="4.3.4.2"/>
    <x v="3"/>
    <x v="3"/>
    <x v="1"/>
    <x v="13"/>
    <n v="4"/>
    <x v="73"/>
    <x v="73"/>
    <s v="Conduct at least 1 health outcomes research"/>
    <s v="Data analysis"/>
    <s v="Local running (diesel, per km)"/>
    <n v="211.42857142857142"/>
    <m/>
    <m/>
    <n v="0"/>
    <n v="0"/>
    <n v="0"/>
    <n v="0"/>
    <n v="450"/>
    <n v="5"/>
    <n v="621410.65015891218"/>
    <n v="450"/>
    <n v="5"/>
    <n v="710223.34196710703"/>
    <n v="450"/>
    <n v="5"/>
    <n v="811729.24111605203"/>
    <n v="450"/>
    <n v="5"/>
    <n v="927742.47472333559"/>
    <n v="450"/>
    <n v="5"/>
    <n v="1060336.4469442894"/>
    <n v="450"/>
    <n v="5"/>
    <n v="1211880.8951306494"/>
    <n v="5343323.0500403456"/>
    <n v="5187.6922815925682"/>
  </r>
  <r>
    <s v="4.3.4.2"/>
    <x v="3"/>
    <x v="3"/>
    <x v="1"/>
    <x v="13"/>
    <n v="4"/>
    <x v="73"/>
    <x v="73"/>
    <s v="Conduct at least 1 health outcomes research"/>
    <s v="Data analysis"/>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1 health outcomes research"/>
    <s v="report writing"/>
    <s v="Conference package high-level"/>
    <n v="35000"/>
    <m/>
    <m/>
    <n v="0"/>
    <n v="0"/>
    <n v="0"/>
    <n v="0"/>
    <n v="25"/>
    <n v="3"/>
    <n v="3428955.1641651685"/>
    <n v="25"/>
    <n v="3"/>
    <n v="3919025.1977914693"/>
    <n v="25"/>
    <n v="3"/>
    <n v="4479136.5782304676"/>
    <n v="25"/>
    <n v="3"/>
    <n v="5119299.6916039912"/>
    <n v="25"/>
    <n v="3"/>
    <n v="5850955.6193997953"/>
    <n v="25"/>
    <n v="3"/>
    <n v="6687180.6150227292"/>
    <n v="29484552.866213623"/>
    <n v="28625.779481760801"/>
  </r>
  <r>
    <s v="4.3.4.2"/>
    <x v="3"/>
    <x v="3"/>
    <x v="1"/>
    <x v="13"/>
    <n v="4"/>
    <x v="73"/>
    <x v="73"/>
    <s v="Conduct at least 1 health outcomes research"/>
    <s v="report writing"/>
    <s v="Local running (diesel, per km)"/>
    <n v="211.42857142857142"/>
    <m/>
    <m/>
    <n v="0"/>
    <n v="0"/>
    <n v="0"/>
    <n v="0"/>
    <n v="450"/>
    <n v="2"/>
    <n v="248564.26006356487"/>
    <n v="450"/>
    <n v="2"/>
    <n v="284089.33678684279"/>
    <n v="450"/>
    <n v="2"/>
    <n v="324691.6964464208"/>
    <n v="450"/>
    <n v="2"/>
    <n v="371096.98988933425"/>
    <n v="450"/>
    <n v="2"/>
    <n v="424134.5787777158"/>
    <n v="450"/>
    <n v="2"/>
    <n v="484752.35805225978"/>
    <n v="2137329.2200161382"/>
    <n v="2075.0769126370274"/>
  </r>
  <r>
    <s v="4.3.4.2"/>
    <x v="3"/>
    <x v="3"/>
    <x v="1"/>
    <x v="13"/>
    <n v="4"/>
    <x v="73"/>
    <x v="73"/>
    <s v="Conduct at least 1 health outcomes research"/>
    <s v="report writing"/>
    <s v="Fuel for Travelling Participants"/>
    <n v="211.42857142857142"/>
    <m/>
    <m/>
    <n v="0"/>
    <m/>
    <m/>
    <n v="0"/>
    <n v="2430"/>
    <n v="1"/>
    <n v="671123.50217162515"/>
    <n v="2430"/>
    <n v="1"/>
    <n v="767041.20932447549"/>
    <n v="2430"/>
    <n v="1"/>
    <n v="876667.58040533611"/>
    <n v="2430"/>
    <n v="1"/>
    <n v="1001961.8727012025"/>
    <n v="2430"/>
    <n v="1"/>
    <n v="1145163.3626998325"/>
    <n v="2430"/>
    <n v="1"/>
    <n v="1308831.3667411015"/>
    <n v="5770788.8940435732"/>
    <n v="5602.7076641199737"/>
  </r>
  <r>
    <s v="4.3.4.2"/>
    <x v="3"/>
    <x v="3"/>
    <x v="1"/>
    <x v="13"/>
    <n v="4"/>
    <x v="73"/>
    <x v="73"/>
    <s v="Conduct at least 1 health outcomes research"/>
    <s v="Validation"/>
    <s v="Conference package high-level"/>
    <n v="35000"/>
    <m/>
    <m/>
    <n v="0"/>
    <n v="0"/>
    <n v="0"/>
    <n v="0"/>
    <n v="100"/>
    <n v="1"/>
    <n v="4571940.2188868914"/>
    <n v="100"/>
    <n v="1"/>
    <n v="5225366.9303886257"/>
    <n v="100"/>
    <n v="1"/>
    <n v="5972182.1043072902"/>
    <n v="100"/>
    <n v="1"/>
    <n v="6825732.9221386546"/>
    <n v="100"/>
    <n v="1"/>
    <n v="7801274.1591997268"/>
    <n v="100"/>
    <n v="1"/>
    <n v="8916240.8200303055"/>
    <n v="39312737.154951498"/>
    <n v="38167.705975681063"/>
  </r>
  <r>
    <s v="4.3.4.2"/>
    <x v="3"/>
    <x v="3"/>
    <x v="1"/>
    <x v="13"/>
    <n v="4"/>
    <x v="73"/>
    <x v="73"/>
    <s v="Conduct at least 1 health outcomes research"/>
    <s v="Present report to HFTWG for endorsement"/>
    <s v="Conference package high-level"/>
    <n v="35000"/>
    <m/>
    <m/>
    <n v="0"/>
    <n v="0"/>
    <n v="0"/>
    <n v="0"/>
    <n v="30"/>
    <n v="1"/>
    <n v="1371582.0656660672"/>
    <n v="30"/>
    <n v="1"/>
    <n v="1567610.0791165878"/>
    <n v="30"/>
    <n v="1"/>
    <n v="1791654.6312921871"/>
    <n v="30"/>
    <n v="1"/>
    <n v="2047719.8766415964"/>
    <n v="30"/>
    <n v="1"/>
    <n v="2340382.2477599182"/>
    <n v="30"/>
    <n v="1"/>
    <n v="2674872.2460090914"/>
    <n v="11793821.146485448"/>
    <n v="11450.311792704319"/>
  </r>
  <r>
    <s v="4.3.4.2"/>
    <x v="3"/>
    <x v="3"/>
    <x v="1"/>
    <x v="13"/>
    <n v="4"/>
    <x v="73"/>
    <x v="73"/>
    <s v="Conduct at least 1 health outcomes research"/>
    <s v="Present to SMT for approval"/>
    <s v="zero cost"/>
    <n v="0"/>
    <m/>
    <m/>
    <n v="0"/>
    <n v="0"/>
    <n v="0"/>
    <n v="0"/>
    <n v="0"/>
    <n v="0"/>
    <n v="0"/>
    <n v="0"/>
    <n v="0"/>
    <n v="0"/>
    <n v="0"/>
    <n v="0"/>
    <n v="0"/>
    <n v="0"/>
    <n v="0"/>
    <n v="0"/>
    <n v="0"/>
    <n v="0"/>
    <n v="0"/>
    <n v="0"/>
    <n v="0"/>
    <n v="0"/>
    <n v="0"/>
    <n v="0"/>
  </r>
  <r>
    <s v="4.3.4.2"/>
    <x v="3"/>
    <x v="3"/>
    <x v="1"/>
    <x v="13"/>
    <n v="4"/>
    <x v="73"/>
    <x v="73"/>
    <s v="Conduct at least 1 health outcomes research"/>
    <s v="Dissemination of results "/>
    <s v="A4, 500 pages, 140 gsm paper"/>
    <n v="8000"/>
    <m/>
    <m/>
    <n v="0"/>
    <n v="0"/>
    <n v="0"/>
    <n v="0"/>
    <n v="5"/>
    <n v="1"/>
    <n v="52250.745358707325"/>
    <n v="5"/>
    <n v="1"/>
    <n v="59718.479204441435"/>
    <n v="5"/>
    <n v="1"/>
    <n v="68253.509763511887"/>
    <n v="5"/>
    <n v="1"/>
    <n v="78008.376253013208"/>
    <n v="5"/>
    <n v="1"/>
    <n v="89157.418962282609"/>
    <n v="5"/>
    <n v="1"/>
    <n v="101899.89508606063"/>
    <n v="449288.42462801706"/>
    <n v="436.20235400778358"/>
  </r>
  <r>
    <s v="4.3.4.2"/>
    <x v="3"/>
    <x v="3"/>
    <x v="1"/>
    <x v="13"/>
    <n v="4"/>
    <x v="73"/>
    <x v="73"/>
    <s v="Conduct at least 1 health outcomes research"/>
    <s v="Dissemination of results "/>
    <s v="toner"/>
    <n v="104850"/>
    <m/>
    <m/>
    <n v="0"/>
    <n v="0"/>
    <n v="0"/>
    <n v="0"/>
    <n v="1"/>
    <n v="1"/>
    <n v="136962.26627151159"/>
    <n v="1"/>
    <n v="1"/>
    <n v="156537.0636146421"/>
    <n v="1"/>
    <n v="1"/>
    <n v="178909.51246760553"/>
    <n v="1"/>
    <n v="1"/>
    <n v="204479.45625321087"/>
    <n v="1"/>
    <n v="1"/>
    <n v="233703.88445488326"/>
    <n v="1"/>
    <n v="1"/>
    <n v="267105.09999433643"/>
    <n v="1177697.2830561898"/>
    <n v="1143.3954204429026"/>
  </r>
  <r>
    <s v="4.3.4.2"/>
    <x v="3"/>
    <x v="3"/>
    <x v="1"/>
    <x v="13"/>
    <n v="4"/>
    <x v="73"/>
    <x v="73"/>
    <s v="Conduct at least 1 health outcomes research"/>
    <s v="Dissemination of results "/>
    <s v="Conference package high-level"/>
    <n v="35000"/>
    <m/>
    <m/>
    <n v="0"/>
    <n v="0"/>
    <n v="0"/>
    <n v="0"/>
    <n v="100"/>
    <n v="1"/>
    <n v="4571940.2188868914"/>
    <n v="100"/>
    <n v="1"/>
    <n v="5225366.9303886257"/>
    <n v="100"/>
    <n v="1"/>
    <n v="5972182.1043072902"/>
    <n v="100"/>
    <n v="1"/>
    <n v="6825732.9221386546"/>
    <n v="100"/>
    <n v="1"/>
    <n v="7801274.1591997268"/>
    <n v="100"/>
    <n v="1"/>
    <n v="8916240.8200303055"/>
    <n v="39312737.154951498"/>
    <n v="38167.705975681063"/>
  </r>
  <r>
    <s v="4.3.4.2"/>
    <x v="3"/>
    <x v="3"/>
    <x v="1"/>
    <x v="13"/>
    <n v="4"/>
    <x v="73"/>
    <x v="73"/>
    <s v="Conduct at least 1 health outcomes research"/>
    <s v="Dissemination of results "/>
    <s v="Local running (diesel, per km)"/>
    <n v="211.42857142857142"/>
    <m/>
    <m/>
    <n v="0"/>
    <m/>
    <m/>
    <n v="0"/>
    <n v="1450"/>
    <n v="1"/>
    <n v="400464.64121352119"/>
    <n v="1450"/>
    <n v="1"/>
    <n v="457699.48704546894"/>
    <n v="1450"/>
    <n v="1"/>
    <n v="523114.3998303446"/>
    <n v="1450"/>
    <n v="1"/>
    <n v="597878.48371059401"/>
    <n v="1450"/>
    <n v="1"/>
    <n v="683327.93247520877"/>
    <n v="1450"/>
    <n v="1"/>
    <n v="780989.91019530746"/>
    <n v="3443474.8544704448"/>
    <n v="3343.1794703596552"/>
  </r>
  <r>
    <s v="4.3.4.2"/>
    <x v="3"/>
    <x v="3"/>
    <x v="1"/>
    <x v="13"/>
    <n v="4"/>
    <x v="73"/>
    <x v="73"/>
    <s v="Conduct at least 1 health outcomes research"/>
    <s v="Dissemination of results "/>
    <s v="DSA (excl. lunch)"/>
    <n v="39000"/>
    <m/>
    <m/>
    <n v="0"/>
    <m/>
    <m/>
    <n v="0"/>
    <n v="58"/>
    <n v="2"/>
    <n v="5909559.3000697987"/>
    <n v="58"/>
    <n v="2"/>
    <n v="6754159.9980223263"/>
    <n v="58"/>
    <n v="2"/>
    <n v="7719471.9542531949"/>
    <n v="58"/>
    <n v="2"/>
    <n v="8822747.3542157933"/>
    <n v="58"/>
    <n v="2"/>
    <n v="10083704.084634162"/>
    <n v="58"/>
    <n v="2"/>
    <n v="11524878.134233456"/>
    <n v="50814520.825428739"/>
    <n v="49334.486238280326"/>
  </r>
  <r>
    <s v="4.3.4.2"/>
    <x v="3"/>
    <x v="3"/>
    <x v="1"/>
    <x v="13"/>
    <n v="4"/>
    <x v="73"/>
    <x v="73"/>
    <s v="Conduct at least 1 health outcomes research"/>
    <s v="Dissemination of results "/>
    <s v="Fuel for Travelling Participants"/>
    <n v="211.42857142857142"/>
    <m/>
    <m/>
    <n v="0"/>
    <m/>
    <m/>
    <n v="0"/>
    <n v="7830"/>
    <n v="1"/>
    <n v="2162509.0625530141"/>
    <n v="7830"/>
    <n v="1"/>
    <n v="2471577.2300455323"/>
    <n v="7830"/>
    <n v="1"/>
    <n v="2824817.759083861"/>
    <n v="7830"/>
    <n v="1"/>
    <n v="3228543.8120372081"/>
    <n v="7830"/>
    <n v="1"/>
    <n v="3689970.8353661271"/>
    <n v="7830"/>
    <n v="1"/>
    <n v="4217345.5150546599"/>
    <n v="18594764.2141404"/>
    <n v="18053.169139942136"/>
  </r>
  <r>
    <s v="4.3.4.2"/>
    <x v="3"/>
    <x v="3"/>
    <x v="1"/>
    <x v="13"/>
    <n v="5"/>
    <x v="74"/>
    <x v="74"/>
    <s v="Undergo trainings of PPPs"/>
    <s v="Develop ToRs to recruit a consultant"/>
    <s v="zero cost"/>
    <n v="0"/>
    <n v="0"/>
    <n v="0"/>
    <n v="0"/>
    <m/>
    <n v="0"/>
    <n v="0"/>
    <n v="0"/>
    <n v="0"/>
    <n v="0"/>
    <n v="0"/>
    <n v="0"/>
    <n v="0"/>
    <n v="0"/>
    <n v="0"/>
    <n v="0"/>
    <n v="0"/>
    <n v="0"/>
    <n v="0"/>
    <n v="0"/>
    <n v="0"/>
    <n v="0"/>
    <n v="0"/>
    <n v="0"/>
    <n v="0"/>
    <n v="0"/>
    <n v="0"/>
  </r>
  <r>
    <s v="4.3.4.2"/>
    <x v="3"/>
    <x v="3"/>
    <x v="1"/>
    <x v="13"/>
    <n v="5"/>
    <x v="74"/>
    <x v="74"/>
    <s v="Undergo trainings of PPPs"/>
    <s v="Recruitment of a consultant"/>
    <s v="Newspaper advert (full)"/>
    <n v="391991.03749999998"/>
    <m/>
    <m/>
    <n v="0"/>
    <n v="2"/>
    <n v="2"/>
    <n v="1792059.3063746723"/>
    <n v="2"/>
    <n v="2"/>
    <n v="2048182.3883307995"/>
    <n v="2"/>
    <n v="2"/>
    <n v="2340910.8621271173"/>
    <n v="2"/>
    <n v="2"/>
    <n v="2675476.4105215403"/>
    <n v="2"/>
    <n v="2"/>
    <n v="3057858.4341109009"/>
    <n v="0"/>
    <n v="0"/>
    <n v="0"/>
    <n v="0"/>
    <n v="0"/>
    <n v="0"/>
    <n v="11914487.40146503"/>
    <n v="11567.463496567991"/>
  </r>
  <r>
    <s v="4.3.4.2"/>
    <x v="3"/>
    <x v="3"/>
    <x v="1"/>
    <x v="13"/>
    <n v="5"/>
    <x v="74"/>
    <x v="74"/>
    <s v="Undergo trainings of PPPs"/>
    <s v="Recruitment of a consultant"/>
    <s v="International consultant fee - High level"/>
    <n v="1001560"/>
    <m/>
    <m/>
    <n v="0"/>
    <n v="1"/>
    <n v="25"/>
    <n v="28617601.347782999"/>
    <n v="1"/>
    <n v="25"/>
    <n v="32707660.325916823"/>
    <n v="1"/>
    <n v="25"/>
    <n v="37382275.020000227"/>
    <n v="1"/>
    <n v="25"/>
    <n v="42724990.774214357"/>
    <n v="1"/>
    <n v="25"/>
    <n v="48831293.324979939"/>
    <n v="0"/>
    <n v="0"/>
    <n v="0"/>
    <n v="0"/>
    <n v="0"/>
    <n v="0"/>
    <n v="190263820.79289433"/>
    <n v="184722.15610960615"/>
  </r>
  <r>
    <s v="4.3.4.2"/>
    <x v="3"/>
    <x v="3"/>
    <x v="1"/>
    <x v="13"/>
    <n v="5"/>
    <x v="74"/>
    <x v="74"/>
    <s v="Undergo trainings of PPPs"/>
    <s v="Conduct training"/>
    <s v="DSA (excl. lunch)"/>
    <n v="39000"/>
    <m/>
    <m/>
    <n v="0"/>
    <n v="50"/>
    <n v="5"/>
    <n v="11143480.695749998"/>
    <n v="50"/>
    <n v="5"/>
    <n v="12736119.18118491"/>
    <n v="50"/>
    <n v="5"/>
    <n v="14556379.306082599"/>
    <n v="50"/>
    <n v="5"/>
    <n v="16636793.004856024"/>
    <n v="50"/>
    <n v="5"/>
    <n v="19014541.711671971"/>
    <n v="0"/>
    <n v="0"/>
    <n v="0"/>
    <n v="0"/>
    <n v="0"/>
    <n v="0"/>
    <n v="74087313.899545491"/>
    <n v="71929.430970432513"/>
  </r>
  <r>
    <s v="4.3.4.2"/>
    <x v="3"/>
    <x v="3"/>
    <x v="1"/>
    <x v="13"/>
    <n v="5"/>
    <x v="74"/>
    <x v="74"/>
    <s v="Undergo trainings of PPPs"/>
    <s v="Conduct training"/>
    <s v="Conference package high-level"/>
    <n v="35000"/>
    <m/>
    <m/>
    <n v="0"/>
    <n v="50"/>
    <n v="5"/>
    <n v="10000559.598749999"/>
    <n v="50"/>
    <n v="5"/>
    <n v="11429850.547217228"/>
    <n v="50"/>
    <n v="5"/>
    <n v="13063417.325971564"/>
    <n v="50"/>
    <n v="5"/>
    <n v="14930455.260768225"/>
    <n v="50"/>
    <n v="5"/>
    <n v="17064332.305346638"/>
    <n v="0"/>
    <n v="0"/>
    <n v="0"/>
    <n v="0"/>
    <n v="0"/>
    <n v="0"/>
    <n v="66488615.038053654"/>
    <n v="64552.053435003545"/>
  </r>
  <r>
    <s v="4.3.4.2"/>
    <x v="3"/>
    <x v="3"/>
    <x v="1"/>
    <x v="13"/>
    <n v="5"/>
    <x v="74"/>
    <x v="74"/>
    <s v="Undergo trainings of PPPs"/>
    <s v="Conduct training"/>
    <s v="Local running (diesel, per km)"/>
    <n v="211.42857142857142"/>
    <m/>
    <m/>
    <n v="0"/>
    <n v="1000"/>
    <n v="1"/>
    <n v="241646.17479428567"/>
    <n v="1000"/>
    <n v="1"/>
    <n v="276182.51118173875"/>
    <n v="1000"/>
    <n v="1"/>
    <n v="315654.81865204754"/>
    <n v="1000"/>
    <n v="1"/>
    <n v="360768.55160713423"/>
    <n v="1000"/>
    <n v="1"/>
    <n v="412329.98876592692"/>
    <n v="0"/>
    <n v="0"/>
    <n v="0"/>
    <n v="0"/>
    <n v="0"/>
    <n v="0"/>
    <n v="1606582.0450011333"/>
    <n v="1559.7883932049838"/>
  </r>
  <r>
    <s v="4.3.4.2"/>
    <x v="3"/>
    <x v="3"/>
    <x v="1"/>
    <x v="13"/>
    <n v="5"/>
    <x v="74"/>
    <x v="74"/>
    <s v="Subscribe to PPP health for All "/>
    <s v="Annual subscription to advanced package PPP health for all"/>
    <s v="Annual subscription to PPP"/>
    <n v="10220000"/>
    <n v="1"/>
    <n v="1"/>
    <n v="10220000"/>
    <n v="1"/>
    <n v="1"/>
    <n v="11680653.611339999"/>
    <n v="1"/>
    <n v="1"/>
    <n v="13350065.439149722"/>
    <n v="1"/>
    <n v="1"/>
    <n v="15258071.436734786"/>
    <n v="1"/>
    <n v="1"/>
    <n v="17438771.744577289"/>
    <n v="1"/>
    <n v="1"/>
    <n v="19931140.132644873"/>
    <n v="1"/>
    <n v="1"/>
    <n v="22779720.544863205"/>
    <n v="1"/>
    <n v="1"/>
    <n v="26035423.194488492"/>
    <n v="136693846.10379839"/>
    <n v="132712.47194543533"/>
  </r>
  <r>
    <s v="4.3.4.3"/>
    <x v="3"/>
    <x v="3"/>
    <x v="2"/>
    <x v="14"/>
    <n v="1"/>
    <x v="75"/>
    <x v="75"/>
    <s v="Develop an advocacy and communication plan for the Health Financing Strategy"/>
    <s v="Develop a concept note for advocacy and communication plan for the Health Financing Strategy"/>
    <s v="zero cost"/>
    <n v="0"/>
    <n v="0"/>
    <n v="0"/>
    <n v="0"/>
    <n v="0"/>
    <n v="0"/>
    <n v="0"/>
    <n v="0"/>
    <n v="0"/>
    <n v="0"/>
    <n v="0"/>
    <n v="0"/>
    <n v="0"/>
    <n v="0"/>
    <n v="0"/>
    <n v="0"/>
    <n v="0"/>
    <n v="0"/>
    <n v="0"/>
    <n v="0"/>
    <n v="0"/>
    <n v="0"/>
    <n v="0"/>
    <n v="0"/>
    <n v="0"/>
    <n v="0"/>
    <n v="0"/>
  </r>
  <r>
    <s v="4.3.4.3"/>
    <x v="3"/>
    <x v="3"/>
    <x v="2"/>
    <x v="14"/>
    <n v="1"/>
    <x v="75"/>
    <x v="75"/>
    <s v="Develop an advocacy and communication plan for the Health Financing Strategy"/>
    <s v="develop TORs for a taskforce"/>
    <s v="zero cost"/>
    <n v="0"/>
    <n v="0"/>
    <n v="0"/>
    <n v="0"/>
    <n v="0"/>
    <n v="0"/>
    <n v="0"/>
    <n v="0"/>
    <n v="0"/>
    <n v="0"/>
    <n v="0"/>
    <n v="0"/>
    <n v="0"/>
    <n v="0"/>
    <n v="0"/>
    <n v="0"/>
    <n v="0"/>
    <n v="0"/>
    <n v="0"/>
    <n v="0"/>
    <n v="0"/>
    <n v="0"/>
    <n v="0"/>
    <n v="0"/>
    <n v="0"/>
    <n v="0"/>
    <n v="0"/>
  </r>
  <r>
    <s v="4.3.4.3"/>
    <x v="3"/>
    <x v="3"/>
    <x v="2"/>
    <x v="14"/>
    <n v="1"/>
    <x v="75"/>
    <x v="75"/>
    <s v="Develop an advocacy and communication plan for the Health Financing Strategy"/>
    <s v="setup a taskforce"/>
    <s v="zero cost"/>
    <n v="0"/>
    <n v="0"/>
    <n v="0"/>
    <n v="0"/>
    <n v="0"/>
    <n v="0"/>
    <n v="0"/>
    <n v="0"/>
    <n v="0"/>
    <n v="0"/>
    <n v="0"/>
    <n v="0"/>
    <n v="0"/>
    <n v="0"/>
    <n v="0"/>
    <n v="0"/>
    <n v="0"/>
    <n v="0"/>
    <n v="0"/>
    <n v="0"/>
    <n v="0"/>
    <n v="0"/>
    <n v="0"/>
    <n v="0"/>
    <n v="0"/>
    <n v="0"/>
    <n v="0"/>
  </r>
  <r>
    <s v="4.3.4.3"/>
    <x v="3"/>
    <x v="3"/>
    <x v="2"/>
    <x v="14"/>
    <n v="1"/>
    <x v="75"/>
    <x v="75"/>
    <s v="Develop an advocacy and communication plan for the Health Financing Strategy"/>
    <s v="conduct taskforce meetings"/>
    <s v="Conference package high-level"/>
    <n v="35000"/>
    <n v="25"/>
    <n v="5"/>
    <n v="4375000"/>
    <n v="25"/>
    <n v="5"/>
    <n v="5000279.7993749995"/>
    <n v="0"/>
    <n v="0"/>
    <n v="0"/>
    <n v="0"/>
    <n v="0"/>
    <n v="0"/>
    <n v="0"/>
    <n v="0"/>
    <n v="0"/>
    <n v="0"/>
    <n v="0"/>
    <n v="0"/>
    <n v="0"/>
    <n v="0"/>
    <n v="0"/>
    <n v="25"/>
    <n v="5"/>
    <n v="11145301.025037881"/>
    <n v="20520580.824412882"/>
    <n v="19922.894004284353"/>
  </r>
  <r>
    <s v="4.3.4.3"/>
    <x v="3"/>
    <x v="3"/>
    <x v="2"/>
    <x v="14"/>
    <n v="1"/>
    <x v="75"/>
    <x v="75"/>
    <s v="Develop an advocacy and communication plan for the Health Financing Strategy"/>
    <s v="conduct taskforce meetings"/>
    <s v="DSA (excl. lunch)"/>
    <n v="39000"/>
    <n v="25"/>
    <n v="6"/>
    <n v="5850000"/>
    <n v="25"/>
    <n v="6"/>
    <n v="6686088.4174499996"/>
    <m/>
    <m/>
    <n v="0"/>
    <m/>
    <m/>
    <n v="0"/>
    <m/>
    <m/>
    <n v="0"/>
    <m/>
    <m/>
    <n v="0"/>
    <m/>
    <m/>
    <n v="0"/>
    <n v="25"/>
    <n v="6"/>
    <n v="14902859.656336365"/>
    <n v="27438948.073786363"/>
    <n v="26639.755411443071"/>
  </r>
  <r>
    <s v="4.3.4.3"/>
    <x v="3"/>
    <x v="3"/>
    <x v="2"/>
    <x v="14"/>
    <n v="1"/>
    <x v="75"/>
    <x v="75"/>
    <s v="Develop an advocacy and communication plan for the Health Financing Strategy"/>
    <s v="conduct taskforce meetings"/>
    <s v="Local running (diesel, per km)"/>
    <n v="211.42857142857142"/>
    <n v="450"/>
    <n v="5"/>
    <n v="475714.28571428568"/>
    <n v="450"/>
    <n v="5"/>
    <n v="543703.89328714274"/>
    <m/>
    <m/>
    <n v="0"/>
    <m/>
    <m/>
    <n v="0"/>
    <m/>
    <m/>
    <n v="0"/>
    <m/>
    <m/>
    <n v="0"/>
    <m/>
    <m/>
    <n v="0"/>
    <n v="450"/>
    <n v="5"/>
    <n v="1211880.8951306494"/>
    <n v="2231299.0741320779"/>
    <n v="2166.3097807107551"/>
  </r>
  <r>
    <s v="4.3.4.3"/>
    <x v="3"/>
    <x v="3"/>
    <x v="2"/>
    <x v="14"/>
    <n v="1"/>
    <x v="75"/>
    <x v="75"/>
    <s v="Develop an advocacy and communication plan for the Health Financing Strategy"/>
    <s v="conduct taskforce meetings"/>
    <s v="Fuel for travelling participants"/>
    <n v="211.42857142857142"/>
    <n v="2430"/>
    <n v="1"/>
    <n v="513771.42857142852"/>
    <n v="2430"/>
    <n v="1"/>
    <n v="587200.20475011424"/>
    <m/>
    <m/>
    <n v="0"/>
    <m/>
    <m/>
    <n v="0"/>
    <m/>
    <m/>
    <n v="0"/>
    <m/>
    <m/>
    <n v="0"/>
    <m/>
    <m/>
    <n v="0"/>
    <n v="2430"/>
    <n v="1"/>
    <n v="1308831.3667411015"/>
    <n v="2409803.0000626445"/>
    <n v="2339.6145631676159"/>
  </r>
  <r>
    <s v="4.3.4.3"/>
    <x v="3"/>
    <x v="3"/>
    <x v="2"/>
    <x v="14"/>
    <n v="1"/>
    <x v="75"/>
    <x v="75"/>
    <s v="conduct HFS communications Stakeholders’ analysis and mapping "/>
    <s v="develop TORs for a consultant"/>
    <s v="zero cost"/>
    <n v="0"/>
    <n v="0"/>
    <n v="0"/>
    <n v="0"/>
    <n v="0"/>
    <n v="0"/>
    <n v="0"/>
    <n v="0"/>
    <n v="0"/>
    <n v="0"/>
    <n v="0"/>
    <n v="0"/>
    <n v="0"/>
    <n v="0"/>
    <n v="0"/>
    <n v="0"/>
    <n v="0"/>
    <n v="0"/>
    <n v="0"/>
    <n v="0"/>
    <n v="0"/>
    <n v="0"/>
    <n v="0"/>
    <n v="0"/>
    <n v="0"/>
    <n v="0"/>
    <n v="0"/>
  </r>
  <r>
    <s v="4.3.4.3"/>
    <x v="3"/>
    <x v="3"/>
    <x v="2"/>
    <x v="14"/>
    <n v="1"/>
    <x v="75"/>
    <x v="75"/>
    <s v="conduct HFS communications Stakeholders’ analysis and mapping "/>
    <s v="recruitment of a consultant"/>
    <s v="Newspaper advert (full)"/>
    <n v="0"/>
    <n v="2"/>
    <n v="2"/>
    <n v="0"/>
    <n v="1"/>
    <n v="4"/>
    <n v="0"/>
    <n v="0"/>
    <n v="0"/>
    <n v="0"/>
    <n v="0"/>
    <n v="0"/>
    <n v="0"/>
    <n v="0"/>
    <n v="0"/>
    <n v="0"/>
    <n v="0"/>
    <n v="0"/>
    <n v="0"/>
    <n v="0"/>
    <n v="0"/>
    <n v="0"/>
    <n v="0"/>
    <n v="0"/>
    <n v="0"/>
    <n v="0"/>
    <n v="0"/>
  </r>
  <r>
    <s v="4.3.4.3"/>
    <x v="3"/>
    <x v="3"/>
    <x v="2"/>
    <x v="14"/>
    <n v="1"/>
    <x v="75"/>
    <x v="75"/>
    <s v="conduct HFS communications Stakeholders’ analysis and mapping "/>
    <s v="recruitment of a consultant"/>
    <s v="Local consultant fee - High level"/>
    <n v="511000"/>
    <n v="0"/>
    <n v="0"/>
    <n v="0"/>
    <n v="1"/>
    <n v="40"/>
    <n v="23361307.222679999"/>
    <n v="0"/>
    <n v="0"/>
    <n v="0"/>
    <n v="0"/>
    <n v="0"/>
    <n v="0"/>
    <n v="0"/>
    <n v="0"/>
    <n v="0"/>
    <n v="0"/>
    <n v="0"/>
    <n v="0"/>
    <n v="0"/>
    <n v="0"/>
    <n v="0"/>
    <n v="0"/>
    <n v="0"/>
    <n v="0"/>
    <n v="23361307.222679999"/>
    <n v="22680.880798718445"/>
  </r>
  <r>
    <s v="4.3.4.3"/>
    <x v="3"/>
    <x v="3"/>
    <x v="2"/>
    <x v="14"/>
    <n v="1"/>
    <x v="75"/>
    <x v="75"/>
    <s v="conduct HFS communications Stakeholders’ analysis and mapping "/>
    <s v="Data collection"/>
    <s v="Full DSA"/>
    <n v="45000"/>
    <n v="25"/>
    <n v="6"/>
    <n v="6750000"/>
    <n v="15"/>
    <n v="10"/>
    <n v="7714717.4047499988"/>
    <n v="0"/>
    <n v="0"/>
    <n v="0"/>
    <n v="0"/>
    <n v="0"/>
    <n v="0"/>
    <n v="0"/>
    <n v="0"/>
    <n v="0"/>
    <n v="0"/>
    <n v="0"/>
    <n v="0"/>
    <n v="0"/>
    <n v="0"/>
    <n v="0"/>
    <n v="0"/>
    <n v="0"/>
    <n v="0"/>
    <n v="14464717.404749999"/>
    <n v="14043.41495606796"/>
  </r>
  <r>
    <s v="4.3.4.3"/>
    <x v="3"/>
    <x v="3"/>
    <x v="2"/>
    <x v="14"/>
    <n v="1"/>
    <x v="75"/>
    <x v="75"/>
    <s v="conduct HFS communications Stakeholders’ analysis and mapping "/>
    <s v="Data collection"/>
    <s v="Local running (diesel, per km)"/>
    <n v="211.42857142857142"/>
    <n v="450"/>
    <n v="5"/>
    <n v="475714.28571428568"/>
    <n v="20000"/>
    <n v="1"/>
    <n v="4832923.495885714"/>
    <n v="0"/>
    <n v="0"/>
    <n v="0"/>
    <n v="0"/>
    <n v="0"/>
    <n v="0"/>
    <n v="0"/>
    <n v="0"/>
    <n v="0"/>
    <n v="0"/>
    <n v="0"/>
    <n v="0"/>
    <n v="0"/>
    <n v="0"/>
    <n v="0"/>
    <n v="0"/>
    <n v="0"/>
    <n v="0"/>
    <n v="5308637.7815999994"/>
    <n v="5154.0172636893194"/>
  </r>
  <r>
    <s v="4.3.4.3"/>
    <x v="3"/>
    <x v="3"/>
    <x v="2"/>
    <x v="14"/>
    <n v="1"/>
    <x v="75"/>
    <x v="75"/>
    <s v="conduct HFS communications Stakeholders’ analysis and mapping "/>
    <s v="Data collection"/>
    <s v="Fuel for travelling participants"/>
    <n v="211.42857142857142"/>
    <n v="2430"/>
    <n v="1"/>
    <n v="513771.42857142852"/>
    <m/>
    <m/>
    <n v="0"/>
    <m/>
    <m/>
    <n v="0"/>
    <m/>
    <m/>
    <n v="0"/>
    <m/>
    <m/>
    <n v="0"/>
    <m/>
    <m/>
    <n v="0"/>
    <m/>
    <m/>
    <n v="0"/>
    <m/>
    <m/>
    <n v="0"/>
    <n v="513771.42857142852"/>
    <n v="498.80721220527039"/>
  </r>
  <r>
    <s v="4.3.4.3"/>
    <x v="3"/>
    <x v="3"/>
    <x v="2"/>
    <x v="14"/>
    <n v="1"/>
    <x v="75"/>
    <x v="75"/>
    <s v="conduct HFS communications Stakeholders’ analysis and mapping "/>
    <s v="Data collection"/>
    <s v="Tablet"/>
    <n v="302000"/>
    <n v="0"/>
    <n v="0"/>
    <n v="0"/>
    <n v="20"/>
    <n v="1"/>
    <n v="6903243.4258799991"/>
    <n v="0"/>
    <n v="0"/>
    <n v="0"/>
    <n v="0"/>
    <n v="0"/>
    <n v="0"/>
    <n v="0"/>
    <n v="0"/>
    <n v="0"/>
    <n v="0"/>
    <n v="0"/>
    <n v="0"/>
    <n v="0"/>
    <n v="0"/>
    <n v="0"/>
    <n v="0"/>
    <n v="0"/>
    <n v="0"/>
    <n v="6903243.4258799991"/>
    <n v="6702.1780833786397"/>
  </r>
  <r>
    <s v="4.3.4.3"/>
    <x v="3"/>
    <x v="3"/>
    <x v="2"/>
    <x v="14"/>
    <n v="1"/>
    <x v="75"/>
    <x v="75"/>
    <s v="conduct HFS communications Stakeholders’ analysis and mapping "/>
    <s v="Data collection"/>
    <s v="Airtime for Research Assistant"/>
    <n v="10000"/>
    <n v="15"/>
    <n v="0"/>
    <n v="0"/>
    <n v="15"/>
    <n v="1"/>
    <n v="171438.16454999999"/>
    <n v="0"/>
    <n v="0"/>
    <n v="0"/>
    <n v="0"/>
    <n v="0"/>
    <n v="0"/>
    <n v="0"/>
    <n v="0"/>
    <n v="0"/>
    <n v="0"/>
    <n v="0"/>
    <n v="0"/>
    <n v="0"/>
    <n v="0"/>
    <n v="0"/>
    <n v="0"/>
    <n v="0"/>
    <n v="0"/>
    <n v="171438.16454999999"/>
    <n v="166.44481995145631"/>
  </r>
  <r>
    <s v="4.3.4.3"/>
    <x v="3"/>
    <x v="3"/>
    <x v="2"/>
    <x v="14"/>
    <n v="1"/>
    <x v="75"/>
    <x v="75"/>
    <s v="conduct HFS communications Stakeholders’ analysis and mapping "/>
    <s v="Data analysis"/>
    <s v="DSA (excl. lunch)"/>
    <n v="39000"/>
    <n v="25"/>
    <n v="6"/>
    <n v="5850000"/>
    <n v="15"/>
    <n v="5"/>
    <n v="3343044.2087249993"/>
    <n v="0"/>
    <n v="0"/>
    <n v="0"/>
    <n v="0"/>
    <n v="0"/>
    <n v="0"/>
    <n v="0"/>
    <n v="0"/>
    <n v="0"/>
    <n v="0"/>
    <n v="0"/>
    <n v="0"/>
    <n v="0"/>
    <n v="0"/>
    <n v="0"/>
    <n v="0"/>
    <n v="0"/>
    <n v="0"/>
    <n v="9193044.2087249998"/>
    <n v="8925.2856395388353"/>
  </r>
  <r>
    <s v="4.3.4.3"/>
    <x v="3"/>
    <x v="3"/>
    <x v="2"/>
    <x v="14"/>
    <n v="1"/>
    <x v="75"/>
    <x v="75"/>
    <s v="conduct HFS communications Stakeholders’ analysis and mapping "/>
    <s v="Data analysis"/>
    <s v="Conference package high-level"/>
    <n v="35000"/>
    <n v="25"/>
    <n v="5"/>
    <n v="4375000"/>
    <n v="15"/>
    <n v="5"/>
    <n v="3000167.8796249996"/>
    <n v="0"/>
    <n v="0"/>
    <n v="0"/>
    <n v="0"/>
    <n v="0"/>
    <n v="0"/>
    <n v="0"/>
    <n v="0"/>
    <n v="0"/>
    <n v="0"/>
    <n v="0"/>
    <n v="0"/>
    <n v="0"/>
    <n v="0"/>
    <n v="0"/>
    <n v="0"/>
    <n v="0"/>
    <n v="0"/>
    <n v="7375167.8796250001"/>
    <n v="7160.3571646844657"/>
  </r>
  <r>
    <s v="4.3.4.3"/>
    <x v="3"/>
    <x v="3"/>
    <x v="2"/>
    <x v="14"/>
    <n v="1"/>
    <x v="75"/>
    <x v="75"/>
    <s v="conduct HFS communications Stakeholders’ analysis and mapping "/>
    <s v="Data analysis"/>
    <s v="Local running (diesel, per km)"/>
    <n v="211.42857142857142"/>
    <n v="450"/>
    <n v="5"/>
    <n v="475714.28571428568"/>
    <n v="4000"/>
    <n v="5"/>
    <n v="4832923.495885713"/>
    <n v="0"/>
    <n v="0"/>
    <n v="0"/>
    <n v="0"/>
    <n v="0"/>
    <n v="0"/>
    <n v="0"/>
    <n v="0"/>
    <n v="0"/>
    <n v="0"/>
    <n v="0"/>
    <n v="0"/>
    <n v="0"/>
    <n v="0"/>
    <n v="0"/>
    <n v="0"/>
    <n v="0"/>
    <n v="0"/>
    <n v="5308637.7815999985"/>
    <n v="5154.0172636893185"/>
  </r>
  <r>
    <s v="4.3.4.3"/>
    <x v="3"/>
    <x v="3"/>
    <x v="2"/>
    <x v="14"/>
    <n v="1"/>
    <x v="75"/>
    <x v="75"/>
    <s v="conduct HFS communications Stakeholders’ analysis and mapping "/>
    <s v="Data analysis"/>
    <s v="Fuel for travelling participants"/>
    <n v="211.42857142857142"/>
    <n v="2430"/>
    <n v="1"/>
    <n v="513771.42857142852"/>
    <m/>
    <m/>
    <n v="0"/>
    <m/>
    <m/>
    <n v="0"/>
    <m/>
    <m/>
    <n v="0"/>
    <m/>
    <m/>
    <n v="0"/>
    <m/>
    <m/>
    <n v="0"/>
    <m/>
    <m/>
    <n v="0"/>
    <m/>
    <m/>
    <n v="0"/>
    <n v="513771.42857142852"/>
    <n v="498.80721220527039"/>
  </r>
  <r>
    <s v="4.3.4.3"/>
    <x v="3"/>
    <x v="3"/>
    <x v="2"/>
    <x v="14"/>
    <n v="1"/>
    <x v="75"/>
    <x v="75"/>
    <s v="conduct HFS communications Stakeholders’ analysis and mapping "/>
    <s v="report writing"/>
    <s v="DSA (excl. lunch)"/>
    <n v="39000"/>
    <n v="25"/>
    <n v="6"/>
    <n v="5850000"/>
    <n v="15"/>
    <n v="5"/>
    <n v="3343044.2087249993"/>
    <n v="0"/>
    <n v="0"/>
    <n v="0"/>
    <n v="0"/>
    <n v="0"/>
    <n v="0"/>
    <n v="0"/>
    <n v="0"/>
    <n v="0"/>
    <n v="0"/>
    <n v="0"/>
    <n v="0"/>
    <n v="0"/>
    <n v="0"/>
    <n v="0"/>
    <n v="0"/>
    <n v="0"/>
    <n v="0"/>
    <n v="9193044.2087249998"/>
    <n v="8925.2856395388353"/>
  </r>
  <r>
    <s v="4.3.4.3"/>
    <x v="3"/>
    <x v="3"/>
    <x v="2"/>
    <x v="14"/>
    <n v="1"/>
    <x v="75"/>
    <x v="75"/>
    <s v="conduct HFS communications Stakeholders’ analysis and mapping "/>
    <s v="report writing"/>
    <s v="Conference package high-level"/>
    <n v="35000"/>
    <n v="25"/>
    <n v="5"/>
    <n v="4375000"/>
    <n v="15"/>
    <n v="5"/>
    <n v="3000167.8796249996"/>
    <n v="0"/>
    <n v="0"/>
    <n v="0"/>
    <n v="0"/>
    <n v="0"/>
    <n v="0"/>
    <n v="0"/>
    <n v="0"/>
    <n v="0"/>
    <n v="0"/>
    <n v="0"/>
    <n v="0"/>
    <n v="0"/>
    <n v="0"/>
    <n v="0"/>
    <n v="0"/>
    <n v="0"/>
    <n v="0"/>
    <n v="7375167.8796250001"/>
    <n v="7160.3571646844657"/>
  </r>
  <r>
    <s v="4.3.4.3"/>
    <x v="3"/>
    <x v="3"/>
    <x v="2"/>
    <x v="14"/>
    <n v="1"/>
    <x v="75"/>
    <x v="75"/>
    <s v="conduct HFS communications Stakeholders’ analysis and mapping "/>
    <s v="report writing"/>
    <s v="Local running (diesel, per km)"/>
    <n v="211.42857142857142"/>
    <n v="450"/>
    <n v="5"/>
    <n v="475714.28571428568"/>
    <n v="4000"/>
    <n v="1"/>
    <n v="966584.6991771427"/>
    <n v="0"/>
    <n v="0"/>
    <n v="0"/>
    <n v="0"/>
    <n v="0"/>
    <n v="0"/>
    <n v="0"/>
    <n v="0"/>
    <n v="0"/>
    <n v="0"/>
    <n v="0"/>
    <n v="0"/>
    <n v="0"/>
    <n v="0"/>
    <n v="0"/>
    <n v="0"/>
    <n v="0"/>
    <n v="0"/>
    <n v="1442298.9848914284"/>
    <n v="1400.2902765936199"/>
  </r>
  <r>
    <s v="4.3.4.3"/>
    <x v="3"/>
    <x v="3"/>
    <x v="2"/>
    <x v="14"/>
    <n v="1"/>
    <x v="75"/>
    <x v="75"/>
    <s v="conduct HFS communications Stakeholders’ analysis and mapping "/>
    <s v="report writing"/>
    <s v="Fuel for travelling participants"/>
    <n v="211.42857142857142"/>
    <n v="2430"/>
    <n v="1"/>
    <n v="513771.42857142852"/>
    <m/>
    <m/>
    <n v="0"/>
    <m/>
    <m/>
    <n v="0"/>
    <m/>
    <m/>
    <n v="0"/>
    <m/>
    <m/>
    <n v="0"/>
    <m/>
    <m/>
    <n v="0"/>
    <m/>
    <m/>
    <n v="0"/>
    <m/>
    <m/>
    <n v="0"/>
    <n v="513771.42857142852"/>
    <n v="498.80721220527039"/>
  </r>
  <r>
    <s v="4.3.4.3"/>
    <x v="3"/>
    <x v="3"/>
    <x v="2"/>
    <x v="14"/>
    <n v="1"/>
    <x v="75"/>
    <x v="75"/>
    <s v="Develop and cost the communication plan for the HFS"/>
    <s v="stakeholders wporkshop"/>
    <s v="DSA (excl. lunch)"/>
    <n v="39000"/>
    <n v="60"/>
    <n v="24"/>
    <n v="56160000"/>
    <n v="20"/>
    <n v="5"/>
    <n v="4457392.2782999994"/>
    <n v="0"/>
    <n v="0"/>
    <n v="0"/>
    <n v="0"/>
    <n v="0"/>
    <n v="0"/>
    <n v="0"/>
    <n v="0"/>
    <n v="0"/>
    <n v="0"/>
    <n v="0"/>
    <n v="0"/>
    <n v="0"/>
    <n v="0"/>
    <n v="0"/>
    <n v="0"/>
    <n v="0"/>
    <n v="0"/>
    <n v="60617392.278300002"/>
    <n v="58851.837163398057"/>
  </r>
  <r>
    <s v="4.3.4.3"/>
    <x v="3"/>
    <x v="3"/>
    <x v="2"/>
    <x v="14"/>
    <n v="1"/>
    <x v="75"/>
    <x v="75"/>
    <s v="Develop and cost the communication plan for the HFS"/>
    <s v="stakeholders wporkshop"/>
    <s v="Local running (diesel, per km)"/>
    <n v="211.42857142857142"/>
    <n v="60"/>
    <n v="20"/>
    <n v="253714.28571428568"/>
    <n v="8000"/>
    <n v="5"/>
    <n v="9665846.9917714261"/>
    <n v="0"/>
    <n v="0"/>
    <n v="0"/>
    <n v="0"/>
    <n v="0"/>
    <n v="0"/>
    <n v="0"/>
    <n v="0"/>
    <n v="0"/>
    <n v="0"/>
    <n v="0"/>
    <n v="0"/>
    <n v="0"/>
    <n v="0"/>
    <n v="0"/>
    <n v="0"/>
    <n v="0"/>
    <n v="0"/>
    <n v="9919561.2774857115"/>
    <n v="9630.6420169764187"/>
  </r>
  <r>
    <s v="4.3.4.3"/>
    <x v="3"/>
    <x v="3"/>
    <x v="2"/>
    <x v="14"/>
    <n v="1"/>
    <x v="75"/>
    <x v="75"/>
    <s v="Develop and cost the communication plan for the HFS"/>
    <s v="stakeholders wporkshop"/>
    <s v="Conference package high-level"/>
    <n v="35000"/>
    <n v="1000"/>
    <n v="20"/>
    <n v="700000000"/>
    <n v="40"/>
    <n v="5"/>
    <n v="8000447.6789999986"/>
    <n v="0"/>
    <n v="0"/>
    <n v="0"/>
    <n v="0"/>
    <n v="0"/>
    <n v="0"/>
    <n v="0"/>
    <n v="0"/>
    <n v="0"/>
    <n v="0"/>
    <n v="0"/>
    <n v="0"/>
    <n v="0"/>
    <n v="0"/>
    <n v="0"/>
    <n v="0"/>
    <n v="0"/>
    <n v="0"/>
    <n v="708000447.67900002"/>
    <n v="687379.07541650487"/>
  </r>
  <r>
    <s v="4.3.4.3"/>
    <x v="3"/>
    <x v="3"/>
    <x v="2"/>
    <x v="14"/>
    <n v="1"/>
    <x v="75"/>
    <x v="75"/>
    <s v="Develop and cost the communication plan for the HFS"/>
    <s v="stakeholders wporkshop"/>
    <s v="Fuel for travelling participants"/>
    <n v="211.42857142857142"/>
    <n v="5400"/>
    <n v="4"/>
    <n v="4566857.1428571427"/>
    <m/>
    <m/>
    <n v="0"/>
    <m/>
    <m/>
    <n v="0"/>
    <m/>
    <m/>
    <n v="0"/>
    <m/>
    <m/>
    <n v="0"/>
    <m/>
    <m/>
    <n v="0"/>
    <m/>
    <m/>
    <n v="0"/>
    <m/>
    <m/>
    <n v="0"/>
    <n v="4566857.1428571427"/>
    <n v="4433.8418862690705"/>
  </r>
  <r>
    <s v="4.3.4.3"/>
    <x v="3"/>
    <x v="3"/>
    <x v="2"/>
    <x v="14"/>
    <n v="1"/>
    <x v="75"/>
    <x v="75"/>
    <s v="Develop and cost the communication plan for the HFS"/>
    <s v="validation workshop"/>
    <s v="DSA (excl. lunch)"/>
    <n v="39000"/>
    <n v="58"/>
    <n v="6"/>
    <n v="13572000"/>
    <n v="10"/>
    <n v="1"/>
    <n v="445739.22782999993"/>
    <n v="0"/>
    <n v="0"/>
    <n v="0"/>
    <n v="0"/>
    <n v="0"/>
    <n v="0"/>
    <n v="0"/>
    <n v="0"/>
    <n v="0"/>
    <n v="0"/>
    <n v="0"/>
    <n v="0"/>
    <n v="0"/>
    <n v="0"/>
    <n v="0"/>
    <n v="0"/>
    <n v="0"/>
    <n v="0"/>
    <n v="14017739.22783"/>
    <n v="13609.455561000001"/>
  </r>
  <r>
    <s v="4.3.4.3"/>
    <x v="3"/>
    <x v="3"/>
    <x v="2"/>
    <x v="14"/>
    <n v="1"/>
    <x v="75"/>
    <x v="75"/>
    <s v="Develop and cost the communication plan for the HFS"/>
    <s v="validation workshop"/>
    <s v="Conference package high-level"/>
    <n v="35000"/>
    <n v="100"/>
    <n v="5"/>
    <n v="17500000"/>
    <n v="40"/>
    <n v="1"/>
    <n v="1600089.5357999997"/>
    <n v="0"/>
    <n v="0"/>
    <n v="0"/>
    <n v="0"/>
    <n v="0"/>
    <n v="0"/>
    <n v="0"/>
    <n v="0"/>
    <n v="0"/>
    <n v="0"/>
    <n v="0"/>
    <n v="0"/>
    <n v="0"/>
    <n v="0"/>
    <n v="0"/>
    <n v="0"/>
    <n v="0"/>
    <n v="0"/>
    <n v="19100089.535799999"/>
    <n v="18543.776248349513"/>
  </r>
  <r>
    <s v="4.3.4.3"/>
    <x v="3"/>
    <x v="3"/>
    <x v="2"/>
    <x v="14"/>
    <n v="1"/>
    <x v="75"/>
    <x v="75"/>
    <s v="Develop and cost the communication plan for the HFS"/>
    <s v="validation workshop"/>
    <s v="Local running (diesel, per km)"/>
    <n v="211.42857142857142"/>
    <n v="1450"/>
    <n v="5"/>
    <n v="1532857.142857143"/>
    <n v="4000"/>
    <n v="1"/>
    <n v="966584.6991771427"/>
    <n v="0"/>
    <n v="0"/>
    <n v="0"/>
    <n v="0"/>
    <n v="0"/>
    <n v="0"/>
    <n v="0"/>
    <n v="0"/>
    <n v="0"/>
    <n v="0"/>
    <n v="0"/>
    <n v="0"/>
    <n v="0"/>
    <n v="0"/>
    <n v="0"/>
    <n v="0"/>
    <n v="0"/>
    <n v="0"/>
    <n v="2499441.8420342859"/>
    <n v="2426.642565081831"/>
  </r>
  <r>
    <s v="4.3.4.3"/>
    <x v="3"/>
    <x v="3"/>
    <x v="2"/>
    <x v="14"/>
    <n v="1"/>
    <x v="75"/>
    <x v="75"/>
    <s v="Develop and cost the communication plan for the HFS"/>
    <s v="validation workshop"/>
    <s v="Fuel for travelling participants"/>
    <n v="211.42857142857142"/>
    <n v="22500"/>
    <n v="1"/>
    <n v="4757142.8571428573"/>
    <m/>
    <m/>
    <n v="0"/>
    <m/>
    <m/>
    <n v="0"/>
    <m/>
    <m/>
    <n v="0"/>
    <m/>
    <m/>
    <n v="0"/>
    <m/>
    <m/>
    <n v="0"/>
    <m/>
    <m/>
    <n v="0"/>
    <m/>
    <m/>
    <n v="0"/>
    <n v="4757142.8571428573"/>
    <n v="4618.5852981969492"/>
  </r>
  <r>
    <s v="4.3.4.3"/>
    <x v="3"/>
    <x v="3"/>
    <x v="2"/>
    <x v="14"/>
    <n v="1"/>
    <x v="75"/>
    <x v="75"/>
    <s v="Develop and cost the communication plan for the HFS"/>
    <s v="present to TWG"/>
    <s v="Conference package high-level"/>
    <n v="35000"/>
    <n v="50"/>
    <n v="1"/>
    <n v="1750000"/>
    <n v="20"/>
    <n v="1"/>
    <n v="800044.76789999986"/>
    <n v="0"/>
    <n v="0"/>
    <n v="0"/>
    <n v="0"/>
    <n v="0"/>
    <n v="0"/>
    <n v="0"/>
    <n v="0"/>
    <n v="0"/>
    <n v="0"/>
    <n v="0"/>
    <n v="0"/>
    <n v="0"/>
    <n v="0"/>
    <n v="0"/>
    <n v="0"/>
    <n v="0"/>
    <n v="0"/>
    <n v="2550044.7678999999"/>
    <n v="2475.7716193203883"/>
  </r>
  <r>
    <s v="4.3.4.3"/>
    <x v="3"/>
    <x v="3"/>
    <x v="2"/>
    <x v="14"/>
    <n v="1"/>
    <x v="75"/>
    <x v="75"/>
    <s v="Develop and cost the communication plan for the HFS"/>
    <s v="present to SMT"/>
    <s v="Conference package high-level"/>
    <n v="0"/>
    <n v="0"/>
    <n v="0"/>
    <n v="0"/>
    <n v="20"/>
    <n v="1"/>
    <n v="0"/>
    <n v="0"/>
    <n v="0"/>
    <n v="0"/>
    <n v="0"/>
    <n v="0"/>
    <n v="0"/>
    <n v="0"/>
    <n v="0"/>
    <n v="0"/>
    <n v="0"/>
    <n v="0"/>
    <n v="0"/>
    <n v="0"/>
    <n v="0"/>
    <n v="0"/>
    <n v="0"/>
    <n v="0"/>
    <n v="0"/>
    <n v="0"/>
    <n v="0"/>
  </r>
  <r>
    <s v="4.3.4.3"/>
    <x v="3"/>
    <x v="3"/>
    <x v="2"/>
    <x v="14"/>
    <n v="1"/>
    <x v="75"/>
    <x v="75"/>
    <s v="Develop and cost the communication plan for the HFS"/>
    <s v="zonal dissemination meetings"/>
    <s v="DSA (excl. lunch)"/>
    <n v="39000"/>
    <n v="58"/>
    <n v="1"/>
    <n v="2262000"/>
    <n v="10"/>
    <n v="5"/>
    <n v="2228696.1391499997"/>
    <n v="0"/>
    <n v="0"/>
    <n v="0"/>
    <n v="0"/>
    <n v="0"/>
    <n v="0"/>
    <n v="0"/>
    <n v="0"/>
    <n v="0"/>
    <n v="0"/>
    <n v="0"/>
    <n v="0"/>
    <n v="0"/>
    <n v="0"/>
    <n v="0"/>
    <n v="0"/>
    <n v="0"/>
    <n v="0"/>
    <n v="4490696.1391499992"/>
    <n v="4359.8991642233004"/>
  </r>
  <r>
    <s v="4.3.4.3"/>
    <x v="3"/>
    <x v="3"/>
    <x v="2"/>
    <x v="14"/>
    <n v="1"/>
    <x v="75"/>
    <x v="75"/>
    <s v="Develop and cost the communication plan for the HFS"/>
    <s v="zonal dissemination meetings"/>
    <s v="Conference package high-level"/>
    <n v="35000"/>
    <n v="100"/>
    <n v="1"/>
    <n v="3500000"/>
    <n v="20"/>
    <n v="1"/>
    <n v="800044.76789999986"/>
    <n v="0"/>
    <n v="0"/>
    <n v="0"/>
    <n v="0"/>
    <n v="0"/>
    <n v="0"/>
    <n v="0"/>
    <n v="0"/>
    <n v="0"/>
    <n v="0"/>
    <n v="0"/>
    <n v="0"/>
    <n v="0"/>
    <n v="0"/>
    <n v="0"/>
    <n v="0"/>
    <n v="0"/>
    <n v="0"/>
    <n v="4300044.7678999994"/>
    <n v="4174.8007455339803"/>
  </r>
  <r>
    <s v="4.3.4.3"/>
    <x v="3"/>
    <x v="3"/>
    <x v="2"/>
    <x v="14"/>
    <n v="1"/>
    <x v="75"/>
    <x v="75"/>
    <s v="Develop and cost the communication plan for the HFS"/>
    <s v="zonal dissemination meetings"/>
    <s v="Local running (diesel, per km)"/>
    <n v="211.42857142857142"/>
    <n v="1450"/>
    <n v="1"/>
    <n v="306571.42857142858"/>
    <n v="20000"/>
    <n v="1"/>
    <n v="4832923.495885714"/>
    <n v="0"/>
    <n v="0"/>
    <n v="0"/>
    <n v="0"/>
    <n v="0"/>
    <n v="0"/>
    <n v="0"/>
    <n v="0"/>
    <n v="0"/>
    <n v="0"/>
    <n v="0"/>
    <n v="0"/>
    <n v="0"/>
    <n v="0"/>
    <n v="0"/>
    <n v="0"/>
    <n v="0"/>
    <n v="0"/>
    <n v="5139494.9244571421"/>
    <n v="4989.8008975312059"/>
  </r>
  <r>
    <s v="4.3.4.3"/>
    <x v="3"/>
    <x v="3"/>
    <x v="2"/>
    <x v="14"/>
    <n v="1"/>
    <x v="75"/>
    <x v="75"/>
    <s v="Develop and cost the communication plan for the HFS"/>
    <s v="zonal dissemination meetings"/>
    <s v="Fuel for travelling participants"/>
    <n v="211.42857142857142"/>
    <n v="22500"/>
    <n v="1"/>
    <n v="4757142.8571428573"/>
    <m/>
    <m/>
    <n v="0"/>
    <m/>
    <m/>
    <n v="0"/>
    <m/>
    <m/>
    <n v="0"/>
    <m/>
    <m/>
    <n v="0"/>
    <m/>
    <m/>
    <n v="0"/>
    <m/>
    <m/>
    <n v="0"/>
    <m/>
    <m/>
    <n v="0"/>
    <n v="4757142.8571428573"/>
    <n v="4618.5852981969492"/>
  </r>
  <r>
    <s v="4.3.4.3"/>
    <x v="3"/>
    <x v="3"/>
    <x v="2"/>
    <x v="14"/>
    <n v="2"/>
    <x v="76"/>
    <x v="76"/>
    <s v="Conduct an advocacy capacity assessment"/>
    <s v="Develop TORs for the consultant/technical assistance to facilitate capacity building."/>
    <s v="zero cost"/>
    <n v="0"/>
    <n v="0"/>
    <n v="0"/>
    <n v="0"/>
    <n v="0"/>
    <n v="0"/>
    <n v="0"/>
    <n v="0"/>
    <n v="0"/>
    <n v="0"/>
    <n v="0"/>
    <n v="0"/>
    <n v="0"/>
    <n v="0"/>
    <n v="0"/>
    <n v="0"/>
    <n v="0"/>
    <n v="0"/>
    <n v="0"/>
    <n v="0"/>
    <n v="0"/>
    <n v="0"/>
    <n v="0"/>
    <n v="0"/>
    <n v="0"/>
    <n v="0"/>
    <n v="0"/>
  </r>
  <r>
    <s v="4.3.4.3"/>
    <x v="3"/>
    <x v="3"/>
    <x v="2"/>
    <x v="14"/>
    <n v="2"/>
    <x v="76"/>
    <x v="76"/>
    <s v="Conduct an advocacy capacity assessment"/>
    <s v="Recruitment of a consultant"/>
    <s v="Newspaper advert (full)"/>
    <n v="391991.03749999998"/>
    <m/>
    <m/>
    <n v="0"/>
    <n v="0"/>
    <n v="0"/>
    <n v="0"/>
    <n v="2"/>
    <n v="2"/>
    <n v="2048182.3883307995"/>
    <n v="0"/>
    <n v="0"/>
    <n v="0"/>
    <n v="0"/>
    <n v="0"/>
    <n v="0"/>
    <n v="0"/>
    <n v="0"/>
    <n v="0"/>
    <n v="0"/>
    <n v="0"/>
    <n v="0"/>
    <n v="2"/>
    <n v="2"/>
    <n v="3994384.5595926056"/>
    <n v="6042566.9479234051"/>
    <n v="5866.5698523528208"/>
  </r>
  <r>
    <s v="4.3.4.3"/>
    <x v="3"/>
    <x v="3"/>
    <x v="2"/>
    <x v="14"/>
    <n v="2"/>
    <x v="76"/>
    <x v="76"/>
    <s v="Conduct an advocacy capacity assessment"/>
    <s v="Recruitment of a consultant"/>
    <s v="Local consultant fee - High level"/>
    <n v="511000"/>
    <m/>
    <m/>
    <n v="0"/>
    <n v="0"/>
    <n v="0"/>
    <n v="0"/>
    <n v="1"/>
    <n v="40"/>
    <n v="26700130.878299445"/>
    <n v="0"/>
    <n v="0"/>
    <n v="0"/>
    <n v="0"/>
    <n v="0"/>
    <n v="0"/>
    <n v="0"/>
    <n v="0"/>
    <n v="0"/>
    <n v="0"/>
    <n v="0"/>
    <n v="0"/>
    <n v="1"/>
    <n v="40"/>
    <n v="52070846.388976984"/>
    <n v="78770977.267276436"/>
    <n v="76476.676958520809"/>
  </r>
  <r>
    <s v="4.3.4.3"/>
    <x v="3"/>
    <x v="3"/>
    <x v="2"/>
    <x v="14"/>
    <n v="2"/>
    <x v="76"/>
    <x v="76"/>
    <s v="Conduct an advocacy capacity assessment"/>
    <s v="Consultant to update stakeholder list"/>
    <s v="zero cost"/>
    <n v="0"/>
    <m/>
    <m/>
    <n v="0"/>
    <n v="0"/>
    <n v="0"/>
    <n v="0"/>
    <m/>
    <m/>
    <n v="0"/>
    <n v="0"/>
    <n v="0"/>
    <n v="0"/>
    <n v="0"/>
    <n v="0"/>
    <n v="0"/>
    <n v="0"/>
    <n v="0"/>
    <n v="0"/>
    <n v="0"/>
    <n v="0"/>
    <n v="0"/>
    <m/>
    <m/>
    <n v="0"/>
    <n v="0"/>
    <n v="0"/>
  </r>
  <r>
    <s v="4.3.4.3"/>
    <x v="3"/>
    <x v="3"/>
    <x v="2"/>
    <x v="14"/>
    <n v="2"/>
    <x v="76"/>
    <x v="76"/>
    <s v="Conduct an advocacy capacity assessment"/>
    <s v="data collection"/>
    <s v="Full DSA"/>
    <n v="45000"/>
    <n v="25"/>
    <n v="6"/>
    <n v="6750000"/>
    <n v="0"/>
    <n v="0"/>
    <n v="0"/>
    <n v="25"/>
    <n v="6"/>
    <n v="8817313.2792818621"/>
    <n v="0"/>
    <n v="0"/>
    <n v="0"/>
    <n v="0"/>
    <n v="0"/>
    <n v="0"/>
    <n v="0"/>
    <n v="0"/>
    <n v="0"/>
    <n v="0"/>
    <n v="0"/>
    <n v="0"/>
    <n v="25"/>
    <n v="6"/>
    <n v="17195607.295772731"/>
    <n v="32762920.575054593"/>
    <n v="31808.660752480188"/>
  </r>
  <r>
    <s v="4.3.4.3"/>
    <x v="3"/>
    <x v="3"/>
    <x v="2"/>
    <x v="14"/>
    <n v="2"/>
    <x v="76"/>
    <x v="76"/>
    <s v="Conduct an advocacy capacity assessment"/>
    <s v="data collection"/>
    <s v="Local running (diesel, per km)"/>
    <n v="211.42857142857142"/>
    <n v="450"/>
    <n v="5"/>
    <n v="475714.28571428568"/>
    <m/>
    <m/>
    <n v="0"/>
    <n v="450"/>
    <n v="5"/>
    <n v="621410.65015891218"/>
    <m/>
    <m/>
    <n v="0"/>
    <m/>
    <m/>
    <n v="0"/>
    <m/>
    <m/>
    <n v="0"/>
    <m/>
    <m/>
    <n v="0"/>
    <n v="450"/>
    <n v="5"/>
    <n v="1211880.8951306494"/>
    <n v="2309005.8310038475"/>
    <n v="2241.7532339843178"/>
  </r>
  <r>
    <s v="4.3.4.3"/>
    <x v="3"/>
    <x v="3"/>
    <x v="2"/>
    <x v="14"/>
    <n v="2"/>
    <x v="76"/>
    <x v="76"/>
    <s v="Conduct an advocacy capacity assessment"/>
    <s v="data collection"/>
    <s v="Fuel for travelling participants"/>
    <n v="211.42857142857142"/>
    <n v="2430"/>
    <n v="1"/>
    <n v="513771.42857142852"/>
    <m/>
    <m/>
    <n v="0"/>
    <n v="2430"/>
    <n v="1"/>
    <n v="671123.50217162515"/>
    <m/>
    <m/>
    <n v="0"/>
    <m/>
    <m/>
    <n v="0"/>
    <m/>
    <m/>
    <n v="0"/>
    <m/>
    <m/>
    <n v="0"/>
    <n v="2430"/>
    <n v="1"/>
    <n v="1308831.3667411015"/>
    <n v="2493726.2974841548"/>
    <n v="2421.093492703063"/>
  </r>
  <r>
    <s v="4.3.4.3"/>
    <x v="3"/>
    <x v="3"/>
    <x v="2"/>
    <x v="14"/>
    <n v="2"/>
    <x v="76"/>
    <x v="76"/>
    <s v="Conduct an advocacy capacity assessment"/>
    <s v="data collection"/>
    <s v="Airtime for Research Assistant"/>
    <n v="10000"/>
    <n v="25"/>
    <n v="5"/>
    <n v="1250000"/>
    <n v="0"/>
    <n v="0"/>
    <n v="0"/>
    <n v="25"/>
    <n v="5"/>
    <n v="1632835.7924596043"/>
    <n v="0"/>
    <n v="0"/>
    <n v="0"/>
    <n v="0"/>
    <n v="0"/>
    <n v="0"/>
    <n v="0"/>
    <n v="0"/>
    <n v="0"/>
    <n v="0"/>
    <n v="0"/>
    <n v="0"/>
    <n v="25"/>
    <n v="5"/>
    <n v="3184371.7214393946"/>
    <n v="6067207.5138989985"/>
    <n v="5890.4927319407752"/>
  </r>
  <r>
    <s v="4.3.4.3"/>
    <x v="3"/>
    <x v="3"/>
    <x v="2"/>
    <x v="14"/>
    <n v="2"/>
    <x v="76"/>
    <x v="76"/>
    <s v="Conduct an advocacy capacity assessment"/>
    <s v="data collection"/>
    <s v="Local running (diesel, per km)"/>
    <n v="214.29"/>
    <n v="20000"/>
    <n v="1"/>
    <n v="4285800"/>
    <n v="0"/>
    <n v="0"/>
    <n v="0"/>
    <n v="20000"/>
    <n v="1"/>
    <n v="5598406.1114586964"/>
    <n v="0"/>
    <n v="0"/>
    <n v="0"/>
    <n v="0"/>
    <n v="0"/>
    <n v="0"/>
    <n v="0"/>
    <n v="0"/>
    <n v="0"/>
    <n v="0"/>
    <n v="0"/>
    <n v="0"/>
    <n v="20000"/>
    <n v="1"/>
    <n v="10918064.258995967"/>
    <n v="20802270.370454662"/>
    <n v="20196.379000441419"/>
  </r>
  <r>
    <s v="4.3.4.3"/>
    <x v="3"/>
    <x v="3"/>
    <x v="2"/>
    <x v="14"/>
    <n v="2"/>
    <x v="76"/>
    <x v="76"/>
    <s v="Conduct an advocacy capacity assessment"/>
    <s v="data collection"/>
    <s v="Tablet"/>
    <n v="302000"/>
    <n v="25"/>
    <n v="1"/>
    <n v="7550000"/>
    <n v="0"/>
    <n v="0"/>
    <n v="0"/>
    <n v="25"/>
    <n v="1"/>
    <n v="9862328.1864560079"/>
    <n v="0"/>
    <n v="0"/>
    <n v="0"/>
    <n v="0"/>
    <n v="0"/>
    <n v="0"/>
    <n v="0"/>
    <n v="0"/>
    <n v="0"/>
    <n v="0"/>
    <n v="0"/>
    <n v="0"/>
    <n v="25"/>
    <n v="1"/>
    <n v="19233605.197493944"/>
    <n v="36645933.38394995"/>
    <n v="35578.576100922284"/>
  </r>
  <r>
    <s v="4.3.4.3"/>
    <x v="3"/>
    <x v="3"/>
    <x v="2"/>
    <x v="14"/>
    <n v="2"/>
    <x v="76"/>
    <x v="76"/>
    <s v="Conduct an advocacy capacity assessment"/>
    <s v="Data analysis"/>
    <s v="DSA (excl. lunch)"/>
    <n v="39000"/>
    <n v="25"/>
    <n v="6"/>
    <n v="5850000"/>
    <n v="0"/>
    <n v="0"/>
    <n v="0"/>
    <n v="25"/>
    <n v="6"/>
    <n v="7641671.5087109469"/>
    <n v="0"/>
    <n v="0"/>
    <n v="0"/>
    <n v="0"/>
    <n v="0"/>
    <n v="0"/>
    <n v="0"/>
    <n v="0"/>
    <n v="0"/>
    <n v="0"/>
    <n v="0"/>
    <n v="0"/>
    <n v="25"/>
    <n v="6"/>
    <n v="14902859.656336365"/>
    <n v="28394531.16504731"/>
    <n v="27567.505985482825"/>
  </r>
  <r>
    <s v="4.3.4.3"/>
    <x v="3"/>
    <x v="3"/>
    <x v="2"/>
    <x v="14"/>
    <n v="2"/>
    <x v="76"/>
    <x v="76"/>
    <s v="Conduct an advocacy capacity assessment"/>
    <s v="Data analysis"/>
    <s v="Conference package high-level"/>
    <n v="35000"/>
    <n v="25"/>
    <n v="5"/>
    <n v="4375000"/>
    <n v="0"/>
    <n v="0"/>
    <n v="0"/>
    <n v="25"/>
    <n v="5"/>
    <n v="5714925.2736086138"/>
    <n v="0"/>
    <n v="0"/>
    <n v="0"/>
    <n v="0"/>
    <n v="0"/>
    <n v="0"/>
    <n v="0"/>
    <n v="0"/>
    <n v="0"/>
    <n v="0"/>
    <n v="0"/>
    <n v="0"/>
    <n v="25"/>
    <n v="5"/>
    <n v="11145301.025037881"/>
    <n v="21235226.298646495"/>
    <n v="20616.724561792715"/>
  </r>
  <r>
    <s v="4.3.4.3"/>
    <x v="3"/>
    <x v="3"/>
    <x v="2"/>
    <x v="14"/>
    <n v="2"/>
    <x v="76"/>
    <x v="76"/>
    <s v="Conduct an advocacy capacity assessment"/>
    <s v="Data analysis"/>
    <s v="Local running (diesel, per km)"/>
    <n v="211.42857142857142"/>
    <n v="450"/>
    <n v="5"/>
    <n v="475714.28571428568"/>
    <n v="0"/>
    <n v="0"/>
    <n v="0"/>
    <n v="450"/>
    <n v="5"/>
    <n v="621410.65015891218"/>
    <n v="0"/>
    <n v="0"/>
    <n v="0"/>
    <n v="0"/>
    <n v="0"/>
    <n v="0"/>
    <n v="0"/>
    <n v="0"/>
    <n v="0"/>
    <n v="0"/>
    <n v="0"/>
    <n v="0"/>
    <n v="450"/>
    <n v="5"/>
    <n v="1211880.8951306494"/>
    <n v="2309005.8310038475"/>
    <n v="2241.7532339843178"/>
  </r>
  <r>
    <s v="4.3.4.3"/>
    <x v="3"/>
    <x v="3"/>
    <x v="2"/>
    <x v="14"/>
    <n v="2"/>
    <x v="76"/>
    <x v="76"/>
    <s v="Conduct an advocacy capacity assessment"/>
    <s v="Data analysis"/>
    <s v="Fuel for travelling participants"/>
    <n v="211.42857142857142"/>
    <n v="2430"/>
    <n v="1"/>
    <n v="513771.42857142852"/>
    <m/>
    <m/>
    <n v="0"/>
    <n v="2430"/>
    <n v="1"/>
    <n v="671123.50217162515"/>
    <m/>
    <m/>
    <n v="0"/>
    <m/>
    <m/>
    <n v="0"/>
    <m/>
    <m/>
    <n v="0"/>
    <m/>
    <m/>
    <n v="0"/>
    <n v="2430"/>
    <n v="1"/>
    <n v="1308831.3667411015"/>
    <n v="2493726.2974841548"/>
    <n v="2421.093492703063"/>
  </r>
  <r>
    <s v="4.3.4.3"/>
    <x v="3"/>
    <x v="3"/>
    <x v="2"/>
    <x v="14"/>
    <n v="2"/>
    <x v="76"/>
    <x v="76"/>
    <s v="Conduct an advocacy capacity assessment"/>
    <s v="report writing"/>
    <s v="DSA (excl. lunch)"/>
    <n v="39000"/>
    <n v="25"/>
    <n v="6"/>
    <n v="5850000"/>
    <n v="0"/>
    <n v="0"/>
    <n v="0"/>
    <n v="25"/>
    <n v="6"/>
    <n v="7641671.5087109469"/>
    <n v="0"/>
    <n v="0"/>
    <n v="0"/>
    <n v="0"/>
    <n v="0"/>
    <n v="0"/>
    <n v="0"/>
    <n v="0"/>
    <n v="0"/>
    <n v="0"/>
    <n v="0"/>
    <n v="0"/>
    <n v="25"/>
    <n v="6"/>
    <n v="14902859.656336365"/>
    <n v="28394531.16504731"/>
    <n v="27567.505985482825"/>
  </r>
  <r>
    <s v="4.3.4.3"/>
    <x v="3"/>
    <x v="3"/>
    <x v="2"/>
    <x v="14"/>
    <n v="2"/>
    <x v="76"/>
    <x v="76"/>
    <s v="Conduct an advocacy capacity assessment"/>
    <s v="report writing"/>
    <s v="Conference package high-level"/>
    <n v="35000"/>
    <n v="25"/>
    <n v="5"/>
    <n v="4375000"/>
    <n v="0"/>
    <n v="0"/>
    <n v="0"/>
    <n v="25"/>
    <n v="5"/>
    <n v="5714925.2736086138"/>
    <n v="0"/>
    <n v="0"/>
    <n v="0"/>
    <n v="0"/>
    <n v="0"/>
    <n v="0"/>
    <n v="0"/>
    <n v="0"/>
    <n v="0"/>
    <n v="0"/>
    <n v="0"/>
    <n v="0"/>
    <n v="25"/>
    <n v="5"/>
    <n v="11145301.025037881"/>
    <n v="21235226.298646495"/>
    <n v="20616.724561792715"/>
  </r>
  <r>
    <s v="4.3.4.3"/>
    <x v="3"/>
    <x v="3"/>
    <x v="2"/>
    <x v="14"/>
    <n v="2"/>
    <x v="76"/>
    <x v="76"/>
    <s v="Conduct an advocacy capacity assessment"/>
    <s v="report writing"/>
    <s v="Local running (diesel, per km)"/>
    <n v="211.42857142857142"/>
    <n v="450"/>
    <n v="5"/>
    <n v="475714.28571428568"/>
    <n v="0"/>
    <n v="0"/>
    <n v="0"/>
    <n v="450"/>
    <n v="5"/>
    <n v="621410.65015891218"/>
    <n v="0"/>
    <n v="0"/>
    <n v="0"/>
    <n v="0"/>
    <n v="0"/>
    <n v="0"/>
    <n v="0"/>
    <n v="0"/>
    <n v="0"/>
    <n v="0"/>
    <n v="0"/>
    <n v="0"/>
    <n v="450"/>
    <n v="5"/>
    <n v="1211880.8951306494"/>
    <n v="2309005.8310038475"/>
    <n v="2241.7532339843178"/>
  </r>
  <r>
    <s v="4.3.4.3"/>
    <x v="3"/>
    <x v="3"/>
    <x v="2"/>
    <x v="14"/>
    <n v="2"/>
    <x v="76"/>
    <x v="76"/>
    <s v="Conduct an advocacy capacity assessment"/>
    <s v="report writing"/>
    <s v="Fuel for travelling participants"/>
    <n v="211.42857142857142"/>
    <n v="2430"/>
    <n v="1"/>
    <n v="513771.42857142852"/>
    <m/>
    <m/>
    <n v="0"/>
    <n v="2430"/>
    <n v="1"/>
    <n v="671123.50217162515"/>
    <m/>
    <m/>
    <n v="0"/>
    <m/>
    <m/>
    <n v="0"/>
    <m/>
    <m/>
    <n v="0"/>
    <m/>
    <m/>
    <n v="0"/>
    <n v="2430"/>
    <n v="1"/>
    <n v="1308831.3667411015"/>
    <n v="2493726.2974841548"/>
    <n v="2421.093492703063"/>
  </r>
  <r>
    <s v="4.3.4.3"/>
    <x v="3"/>
    <x v="3"/>
    <x v="2"/>
    <x v="14"/>
    <n v="2"/>
    <x v="76"/>
    <x v="76"/>
    <s v="Conduct an advocacy capacity assessment"/>
    <s v="validation"/>
    <s v="Conference package high-level"/>
    <n v="35000"/>
    <n v="100"/>
    <n v="5"/>
    <n v="17500000"/>
    <n v="0"/>
    <n v="0"/>
    <n v="0"/>
    <n v="100"/>
    <n v="5"/>
    <n v="22859701.094434455"/>
    <n v="0"/>
    <n v="0"/>
    <n v="0"/>
    <n v="0"/>
    <n v="0"/>
    <n v="0"/>
    <n v="0"/>
    <n v="0"/>
    <n v="0"/>
    <n v="0"/>
    <n v="0"/>
    <n v="0"/>
    <n v="100"/>
    <n v="5"/>
    <n v="44581204.100151524"/>
    <n v="84940905.194585979"/>
    <n v="82466.898247170859"/>
  </r>
  <r>
    <s v="4.3.4.3"/>
    <x v="3"/>
    <x v="3"/>
    <x v="2"/>
    <x v="14"/>
    <n v="2"/>
    <x v="76"/>
    <x v="76"/>
    <s v="Conduct an advocacy capacity assessment"/>
    <s v="validation"/>
    <s v="DSA (excl. lunch)"/>
    <n v="39000"/>
    <n v="58"/>
    <n v="6"/>
    <n v="13572000"/>
    <m/>
    <m/>
    <n v="0"/>
    <n v="58"/>
    <n v="6"/>
    <n v="17728677.900209397"/>
    <m/>
    <m/>
    <n v="0"/>
    <m/>
    <m/>
    <n v="0"/>
    <m/>
    <m/>
    <n v="0"/>
    <m/>
    <m/>
    <n v="0"/>
    <n v="58"/>
    <n v="6"/>
    <n v="34574634.402700365"/>
    <n v="65875312.302909762"/>
    <n v="63956.613886320156"/>
  </r>
  <r>
    <s v="4.3.4.3"/>
    <x v="3"/>
    <x v="3"/>
    <x v="2"/>
    <x v="14"/>
    <n v="2"/>
    <x v="76"/>
    <x v="76"/>
    <s v="Conduct an advocacy capacity assessment"/>
    <s v="validation"/>
    <s v="Local running (diesel, per km)"/>
    <n v="211.42857142857142"/>
    <n v="1450"/>
    <n v="5"/>
    <n v="1532857.142857143"/>
    <m/>
    <m/>
    <n v="0"/>
    <n v="1450"/>
    <n v="5"/>
    <n v="2002323.2060676059"/>
    <m/>
    <m/>
    <n v="0"/>
    <m/>
    <m/>
    <n v="0"/>
    <m/>
    <m/>
    <n v="0"/>
    <m/>
    <m/>
    <n v="0"/>
    <n v="1450"/>
    <n v="5"/>
    <n v="3904949.5509765372"/>
    <n v="7440129.8999012858"/>
    <n v="7223.4270872828019"/>
  </r>
  <r>
    <s v="4.3.4.3"/>
    <x v="3"/>
    <x v="3"/>
    <x v="2"/>
    <x v="14"/>
    <n v="2"/>
    <x v="76"/>
    <x v="76"/>
    <s v="Conduct an advocacy capacity assessment"/>
    <s v="validation"/>
    <s v="Fuel for travelling participants"/>
    <n v="211.42857142857142"/>
    <n v="22500"/>
    <n v="1"/>
    <n v="4757142.8571428573"/>
    <m/>
    <m/>
    <n v="0"/>
    <n v="22500"/>
    <n v="1"/>
    <n v="6214106.5015891213"/>
    <m/>
    <m/>
    <n v="0"/>
    <m/>
    <m/>
    <n v="0"/>
    <m/>
    <m/>
    <n v="0"/>
    <m/>
    <m/>
    <n v="0"/>
    <n v="22500"/>
    <n v="1"/>
    <n v="12118808.951306494"/>
    <n v="23090058.31003847"/>
    <n v="22417.532339843176"/>
  </r>
  <r>
    <s v="4.3.4.3"/>
    <x v="3"/>
    <x v="3"/>
    <x v="2"/>
    <x v="14"/>
    <n v="2"/>
    <x v="76"/>
    <x v="76"/>
    <s v="Conduct an advocacy capacity assessment"/>
    <s v="dissemination of the capacity building plan for all institutions"/>
    <s v="Conference package high-level"/>
    <n v="35000"/>
    <n v="50"/>
    <n v="1"/>
    <n v="1750000"/>
    <n v="0"/>
    <n v="0"/>
    <n v="0"/>
    <n v="50"/>
    <n v="1"/>
    <n v="2285970.1094434457"/>
    <n v="0"/>
    <n v="0"/>
    <n v="0"/>
    <n v="0"/>
    <n v="0"/>
    <n v="0"/>
    <n v="0"/>
    <n v="0"/>
    <n v="0"/>
    <n v="0"/>
    <n v="0"/>
    <n v="0"/>
    <n v="50"/>
    <n v="1"/>
    <n v="4458120.4100151528"/>
    <n v="8494090.5194585994"/>
    <n v="8246.6898247170866"/>
  </r>
  <r>
    <s v="4.3.4.3"/>
    <x v="3"/>
    <x v="3"/>
    <x v="2"/>
    <x v="14"/>
    <n v="2"/>
    <x v="76"/>
    <x v="76"/>
    <s v="Conduct an advocacy capacity assessment"/>
    <s v="dissemination of the capacity building plan for all institutions"/>
    <s v="A4, 500 page, 140 gsm paper"/>
    <n v="8000"/>
    <n v="50000"/>
    <n v="1"/>
    <n v="400000000"/>
    <n v="0"/>
    <n v="0"/>
    <n v="0"/>
    <n v="50000"/>
    <n v="1"/>
    <n v="522507453.58707327"/>
    <n v="0"/>
    <n v="0"/>
    <n v="0"/>
    <n v="0"/>
    <n v="0"/>
    <n v="0"/>
    <n v="0"/>
    <n v="0"/>
    <n v="0"/>
    <n v="0"/>
    <n v="0"/>
    <n v="0"/>
    <n v="50000"/>
    <n v="1"/>
    <n v="1018998950.8606062"/>
    <n v="1941506404.4476795"/>
    <n v="1884957.6742210481"/>
  </r>
  <r>
    <s v="4.3.4.3"/>
    <x v="3"/>
    <x v="3"/>
    <x v="2"/>
    <x v="14"/>
    <n v="2"/>
    <x v="76"/>
    <x v="76"/>
    <s v="Conduct an advocacy capacity assessment"/>
    <s v="dissemination of the capacity building plan for all institutions"/>
    <s v="toner"/>
    <n v="104850"/>
    <n v="1"/>
    <n v="1"/>
    <n v="104850"/>
    <n v="0"/>
    <n v="0"/>
    <n v="0"/>
    <n v="1"/>
    <n v="1"/>
    <n v="136962.26627151159"/>
    <n v="0"/>
    <n v="0"/>
    <n v="0"/>
    <n v="0"/>
    <n v="0"/>
    <n v="0"/>
    <n v="0"/>
    <n v="0"/>
    <n v="0"/>
    <n v="0"/>
    <n v="0"/>
    <n v="0"/>
    <n v="1"/>
    <n v="1"/>
    <n v="267105.09999433643"/>
    <n v="508917.36626584805"/>
    <n v="494.09453035519226"/>
  </r>
  <r>
    <s v="4.3.4.3"/>
    <x v="3"/>
    <x v="3"/>
    <x v="2"/>
    <x v="14"/>
    <n v="2"/>
    <x v="76"/>
    <x v="76"/>
    <s v="Develop a health financing advocacy curriculum"/>
    <s v="Set up a taskforcce"/>
    <s v="zero cost"/>
    <n v="0"/>
    <m/>
    <m/>
    <n v="0"/>
    <n v="0"/>
    <n v="0"/>
    <n v="0"/>
    <n v="0"/>
    <n v="0"/>
    <n v="0"/>
    <n v="0"/>
    <n v="0"/>
    <n v="0"/>
    <n v="0"/>
    <n v="0"/>
    <n v="0"/>
    <n v="0"/>
    <n v="0"/>
    <n v="0"/>
    <n v="0"/>
    <n v="0"/>
    <n v="0"/>
    <n v="0"/>
    <n v="0"/>
    <n v="0"/>
    <n v="0"/>
    <n v="0"/>
  </r>
  <r>
    <s v="4.3.4.3"/>
    <x v="3"/>
    <x v="3"/>
    <x v="2"/>
    <x v="14"/>
    <n v="2"/>
    <x v="76"/>
    <x v="76"/>
    <s v="Develop a health financing advocacy curriculum"/>
    <s v="Develop TORs to recruit a consultant"/>
    <s v="zero cost"/>
    <n v="0"/>
    <m/>
    <m/>
    <n v="0"/>
    <n v="0"/>
    <n v="0"/>
    <n v="0"/>
    <n v="0"/>
    <n v="0"/>
    <n v="0"/>
    <n v="0"/>
    <n v="0"/>
    <n v="0"/>
    <n v="0"/>
    <n v="0"/>
    <n v="0"/>
    <n v="0"/>
    <n v="0"/>
    <n v="0"/>
    <n v="0"/>
    <n v="0"/>
    <n v="0"/>
    <n v="0"/>
    <n v="0"/>
    <n v="0"/>
    <n v="0"/>
    <n v="0"/>
  </r>
  <r>
    <s v="4.3.4.3"/>
    <x v="3"/>
    <x v="3"/>
    <x v="2"/>
    <x v="14"/>
    <n v="2"/>
    <x v="76"/>
    <x v="76"/>
    <s v="Develop a health financing advocacy curriculum"/>
    <s v="Recruitment of a consultant"/>
    <s v="Newspaper advert (full)"/>
    <n v="391991.03749999998"/>
    <m/>
    <m/>
    <n v="0"/>
    <n v="1"/>
    <n v="6"/>
    <n v="2688088.9595620083"/>
    <n v="2"/>
    <n v="2"/>
    <n v="2048182.3883307995"/>
    <n v="0"/>
    <n v="0"/>
    <n v="0"/>
    <n v="2"/>
    <n v="2"/>
    <n v="2675476.4105215403"/>
    <n v="0"/>
    <n v="0"/>
    <n v="0"/>
    <n v="0"/>
    <n v="0"/>
    <n v="0"/>
    <n v="2"/>
    <n v="2"/>
    <n v="3994384.5595926056"/>
    <n v="11406132.318006955"/>
    <n v="11073.914871851413"/>
  </r>
  <r>
    <s v="4.3.4.3"/>
    <x v="3"/>
    <x v="3"/>
    <x v="2"/>
    <x v="14"/>
    <n v="2"/>
    <x v="76"/>
    <x v="76"/>
    <s v="Develop a health financing advocacy curriculum"/>
    <s v="Recruitment of a consultant"/>
    <s v="Local consultant fee - High level"/>
    <n v="511000"/>
    <m/>
    <m/>
    <n v="0"/>
    <n v="1"/>
    <n v="40"/>
    <n v="23361307.222679999"/>
    <n v="0"/>
    <n v="0"/>
    <n v="0"/>
    <n v="0"/>
    <n v="0"/>
    <n v="0"/>
    <n v="0"/>
    <n v="0"/>
    <n v="0"/>
    <n v="0"/>
    <n v="0"/>
    <n v="0"/>
    <n v="0"/>
    <n v="0"/>
    <n v="0"/>
    <n v="0"/>
    <n v="0"/>
    <n v="0"/>
    <n v="23361307.222679999"/>
    <n v="22680.880798718445"/>
  </r>
  <r>
    <s v="4.3.4.3"/>
    <x v="3"/>
    <x v="3"/>
    <x v="2"/>
    <x v="14"/>
    <n v="2"/>
    <x v="76"/>
    <x v="76"/>
    <s v="Develop a health financing advocacy curriculum"/>
    <s v="conduct meetings with relevant stakeholders"/>
    <s v="zero cost"/>
    <n v="0"/>
    <m/>
    <m/>
    <n v="0"/>
    <n v="0"/>
    <n v="0"/>
    <n v="0"/>
    <n v="0"/>
    <n v="0"/>
    <n v="0"/>
    <n v="0"/>
    <n v="0"/>
    <n v="0"/>
    <n v="0"/>
    <n v="0"/>
    <n v="0"/>
    <n v="0"/>
    <n v="0"/>
    <n v="0"/>
    <n v="0"/>
    <n v="0"/>
    <n v="0"/>
    <n v="0"/>
    <n v="0"/>
    <n v="0"/>
    <n v="0"/>
    <n v="0"/>
  </r>
  <r>
    <s v="4.3.4.3"/>
    <x v="3"/>
    <x v="3"/>
    <x v="2"/>
    <x v="14"/>
    <n v="2"/>
    <x v="76"/>
    <x v="76"/>
    <s v="Develop a health financing advocacy curriculum"/>
    <s v="Validation"/>
    <s v="Conference package high-level"/>
    <n v="35000"/>
    <m/>
    <m/>
    <n v="0"/>
    <n v="30"/>
    <n v="1"/>
    <n v="1200067.1518499998"/>
    <n v="100"/>
    <n v="5"/>
    <n v="22859701.094434455"/>
    <n v="0"/>
    <n v="0"/>
    <n v="0"/>
    <n v="100"/>
    <n v="5"/>
    <n v="29860910.521536451"/>
    <n v="0"/>
    <n v="0"/>
    <n v="0"/>
    <n v="0"/>
    <n v="0"/>
    <n v="0"/>
    <n v="100"/>
    <n v="5"/>
    <n v="44581204.100151524"/>
    <n v="98501882.867972434"/>
    <n v="95632.895988322751"/>
  </r>
  <r>
    <s v="4.3.4.3"/>
    <x v="3"/>
    <x v="3"/>
    <x v="2"/>
    <x v="14"/>
    <n v="2"/>
    <x v="76"/>
    <x v="76"/>
    <s v="Develop a health financing advocacy curriculum"/>
    <s v="Validation"/>
    <s v="DSA (excl. lunch)"/>
    <n v="39000"/>
    <m/>
    <m/>
    <n v="0"/>
    <m/>
    <m/>
    <n v="0"/>
    <n v="58"/>
    <n v="6"/>
    <n v="17728677.900209397"/>
    <m/>
    <m/>
    <n v="0"/>
    <n v="58"/>
    <n v="6"/>
    <n v="23158415.862759583"/>
    <m/>
    <m/>
    <n v="0"/>
    <m/>
    <m/>
    <n v="0"/>
    <n v="58"/>
    <n v="6"/>
    <n v="34574634.402700365"/>
    <n v="75461728.165669352"/>
    <n v="73263.813753077047"/>
  </r>
  <r>
    <s v="4.3.4.3"/>
    <x v="3"/>
    <x v="3"/>
    <x v="2"/>
    <x v="14"/>
    <n v="2"/>
    <x v="76"/>
    <x v="76"/>
    <s v="Develop a health financing advocacy curriculum"/>
    <s v="Validation"/>
    <s v="Local running (diesel, per km)"/>
    <n v="211.42857142857142"/>
    <m/>
    <m/>
    <n v="0"/>
    <m/>
    <m/>
    <n v="0"/>
    <n v="1450"/>
    <n v="5"/>
    <n v="2002323.2060676059"/>
    <m/>
    <m/>
    <n v="0"/>
    <n v="1450"/>
    <n v="5"/>
    <n v="2615571.999151723"/>
    <m/>
    <m/>
    <n v="0"/>
    <m/>
    <m/>
    <n v="0"/>
    <n v="1450"/>
    <n v="5"/>
    <n v="3904949.5509765372"/>
    <n v="8522844.7561958656"/>
    <n v="8274.6065594134616"/>
  </r>
  <r>
    <s v="4.3.4.3"/>
    <x v="3"/>
    <x v="3"/>
    <x v="2"/>
    <x v="14"/>
    <n v="2"/>
    <x v="76"/>
    <x v="76"/>
    <s v="Develop a health financing advocacy curriculum"/>
    <s v="Validation"/>
    <s v="Fuel for travelling participants"/>
    <n v="211.42857142857142"/>
    <m/>
    <m/>
    <n v="0"/>
    <m/>
    <m/>
    <n v="0"/>
    <n v="22500"/>
    <n v="1"/>
    <n v="6214106.5015891213"/>
    <m/>
    <m/>
    <n v="0"/>
    <n v="22500"/>
    <n v="1"/>
    <n v="8117292.4111605193"/>
    <m/>
    <m/>
    <n v="0"/>
    <m/>
    <m/>
    <n v="0"/>
    <n v="22500"/>
    <n v="1"/>
    <n v="12118808.951306494"/>
    <n v="26450207.864056133"/>
    <n v="25679.813460248672"/>
  </r>
  <r>
    <s v="4.3.4.3"/>
    <x v="3"/>
    <x v="3"/>
    <x v="2"/>
    <x v="14"/>
    <n v="2"/>
    <x v="76"/>
    <x v="76"/>
    <s v="TOT existing staff (HFD and researchers) based on the HF advocacy curriculum"/>
    <s v="training for 5 days for 15 participants"/>
    <s v="Conference package high-level"/>
    <n v="35000"/>
    <m/>
    <m/>
    <n v="0"/>
    <m/>
    <m/>
    <n v="0"/>
    <n v="15"/>
    <n v="5"/>
    <n v="3428955.1641651681"/>
    <n v="0"/>
    <n v="0"/>
    <n v="0"/>
    <n v="15"/>
    <n v="5"/>
    <n v="4479136.5782304676"/>
    <n v="0"/>
    <n v="0"/>
    <n v="0"/>
    <n v="15"/>
    <n v="5"/>
    <n v="5850955.6193997953"/>
    <n v="0"/>
    <n v="0"/>
    <n v="0"/>
    <n v="13759047.361795431"/>
    <n v="13358.298409510127"/>
  </r>
  <r>
    <s v="4.3.4.3"/>
    <x v="3"/>
    <x v="3"/>
    <x v="2"/>
    <x v="14"/>
    <n v="2"/>
    <x v="76"/>
    <x v="76"/>
    <s v="TOT existing staff (HFD and researchers) based on the HF advocacy curriculum"/>
    <s v=" training for 5 days for 15 participants"/>
    <s v="DSA (excl. lunch)"/>
    <n v="39000"/>
    <m/>
    <m/>
    <n v="0"/>
    <m/>
    <m/>
    <n v="0"/>
    <n v="15"/>
    <n v="5"/>
    <n v="3820835.7543554734"/>
    <n v="0"/>
    <n v="0"/>
    <n v="0"/>
    <n v="15"/>
    <n v="5"/>
    <n v="4991037.9014568068"/>
    <n v="0"/>
    <n v="0"/>
    <n v="0"/>
    <n v="15"/>
    <n v="5"/>
    <n v="6519636.2616169155"/>
    <n v="0"/>
    <n v="0"/>
    <n v="0"/>
    <n v="15331509.917429196"/>
    <n v="14884.961084882714"/>
  </r>
  <r>
    <s v="4.3.4.3"/>
    <x v="3"/>
    <x v="3"/>
    <x v="2"/>
    <x v="14"/>
    <n v="2"/>
    <x v="76"/>
    <x v="76"/>
    <s v="TOT existing staff (HFD and researchers) based on the HF advocacy curriculum"/>
    <s v=" training for 5 days for 15 participants"/>
    <s v="Local running (diesel, per km)"/>
    <n v="211.42857142857142"/>
    <m/>
    <m/>
    <n v="0"/>
    <m/>
    <m/>
    <n v="0"/>
    <n v="300"/>
    <n v="5"/>
    <n v="414273.76677260804"/>
    <n v="0"/>
    <n v="0"/>
    <n v="0"/>
    <n v="300"/>
    <n v="5"/>
    <n v="541152.82741070131"/>
    <n v="0"/>
    <n v="0"/>
    <n v="0"/>
    <n v="300"/>
    <n v="5"/>
    <n v="706890.96462952625"/>
    <n v="0"/>
    <n v="0"/>
    <n v="0"/>
    <n v="1662317.5588128357"/>
    <n v="1613.9005425367336"/>
  </r>
  <r>
    <s v="4.3.4.3"/>
    <x v="3"/>
    <x v="3"/>
    <x v="2"/>
    <x v="14"/>
    <n v="2"/>
    <x v="76"/>
    <x v="76"/>
    <s v="TOT existing staff (HFD and researchers) based on the HF advocacy curriculum"/>
    <s v="training for 5 days for 15 participants"/>
    <s v="Fuel for travelling participants"/>
    <n v="211.42857142857142"/>
    <m/>
    <m/>
    <n v="0"/>
    <m/>
    <m/>
    <n v="0"/>
    <n v="1620"/>
    <n v="1"/>
    <n v="447415.66811441677"/>
    <m/>
    <m/>
    <n v="0"/>
    <n v="1620"/>
    <n v="1"/>
    <n v="584445.0536035574"/>
    <m/>
    <m/>
    <n v="0"/>
    <n v="1620"/>
    <n v="1"/>
    <n v="763442.24179988843"/>
    <m/>
    <m/>
    <n v="0"/>
    <n v="1795302.9635178626"/>
    <n v="1743.0125859396724"/>
  </r>
  <r>
    <s v="4.3.4.3"/>
    <x v="3"/>
    <x v="3"/>
    <x v="2"/>
    <x v="14"/>
    <n v="2"/>
    <x v="76"/>
    <x v="76"/>
    <s v="TOT existing staff (HFD and researchers) based on the HF advocacy curriculum"/>
    <s v="1 training for 5 days for 20 participants from CSOs"/>
    <s v="DSA (excl. lunch)"/>
    <n v="39000"/>
    <n v="20"/>
    <n v="6"/>
    <n v="4680000"/>
    <m/>
    <m/>
    <n v="0"/>
    <n v="20"/>
    <n v="6"/>
    <n v="6113337.2069687573"/>
    <n v="0"/>
    <n v="0"/>
    <n v="0"/>
    <n v="20"/>
    <n v="6"/>
    <n v="7985660.6423308905"/>
    <n v="0"/>
    <n v="0"/>
    <n v="0"/>
    <n v="20"/>
    <n v="6"/>
    <n v="10431418.018587064"/>
    <n v="0"/>
    <n v="0"/>
    <n v="0"/>
    <n v="29210415.867886711"/>
    <n v="28359.62705620069"/>
  </r>
  <r>
    <s v="4.3.4.3"/>
    <x v="3"/>
    <x v="3"/>
    <x v="2"/>
    <x v="14"/>
    <n v="2"/>
    <x v="76"/>
    <x v="76"/>
    <s v="TOT existing staff (HFD and researchers) based on the HF advocacy curriculum"/>
    <s v="2 training for 5 days for 20 participants from CSOs"/>
    <s v="Conference package high-level"/>
    <n v="35000"/>
    <n v="20"/>
    <n v="5"/>
    <n v="3500000"/>
    <m/>
    <m/>
    <n v="0"/>
    <n v="20"/>
    <n v="5"/>
    <n v="4571940.2188868904"/>
    <m/>
    <m/>
    <n v="0"/>
    <n v="20"/>
    <n v="5"/>
    <n v="5972182.1043072902"/>
    <m/>
    <m/>
    <n v="0"/>
    <n v="20"/>
    <n v="5"/>
    <n v="7801274.1591997268"/>
    <m/>
    <m/>
    <n v="0"/>
    <n v="21845396.482393906"/>
    <n v="21209.122798440683"/>
  </r>
  <r>
    <s v="4.3.4.3"/>
    <x v="3"/>
    <x v="3"/>
    <x v="2"/>
    <x v="14"/>
    <n v="2"/>
    <x v="76"/>
    <x v="76"/>
    <s v="TOT existing staff (HFD and researchers) based on the HF advocacy curriculum"/>
    <s v="3 training for 5 days for 20 participants from CSOs"/>
    <s v="Local running (diesel, per km)"/>
    <n v="211.42857142857142"/>
    <n v="350"/>
    <n v="5"/>
    <n v="370000"/>
    <m/>
    <m/>
    <n v="0"/>
    <n v="350"/>
    <n v="5"/>
    <n v="483319.39456804277"/>
    <n v="0"/>
    <n v="0"/>
    <n v="0"/>
    <n v="350"/>
    <n v="5"/>
    <n v="631344.96531248488"/>
    <n v="0"/>
    <n v="0"/>
    <n v="0"/>
    <n v="350"/>
    <n v="5"/>
    <n v="824706.125401114"/>
    <n v="0"/>
    <n v="0"/>
    <n v="0"/>
    <n v="2309370.4852816416"/>
    <n v="2242.1072672637297"/>
  </r>
  <r>
    <s v="4.3.4.3"/>
    <x v="3"/>
    <x v="3"/>
    <x v="2"/>
    <x v="14"/>
    <n v="2"/>
    <x v="76"/>
    <x v="76"/>
    <s v="TOT existing staff (HFD and researchers) based on the HF advocacy curriculum"/>
    <s v="3 training for 5 days for 20 participants from CSOs"/>
    <s v="Fuel for travelling participants"/>
    <n v="211.42857142857142"/>
    <n v="1890"/>
    <n v="1"/>
    <n v="399600"/>
    <m/>
    <m/>
    <n v="0"/>
    <n v="1890"/>
    <n v="1"/>
    <n v="521984.94613348623"/>
    <n v="0"/>
    <n v="0"/>
    <n v="0"/>
    <n v="1890"/>
    <n v="1"/>
    <n v="681852.56253748364"/>
    <n v="0"/>
    <n v="0"/>
    <n v="0"/>
    <n v="1890"/>
    <n v="1"/>
    <n v="890682.61543320306"/>
    <n v="0"/>
    <n v="0"/>
    <n v="0"/>
    <n v="2494120.1241041729"/>
    <n v="2421.4758486448281"/>
  </r>
  <r>
    <s v="4.3.4.3"/>
    <x v="3"/>
    <x v="3"/>
    <x v="2"/>
    <x v="14"/>
    <n v="2"/>
    <x v="76"/>
    <x v="76"/>
    <s v="Train other key health financing constituencies in health financing advocacy (parliamentary committee on health, NGO Board) based on the HF advocacy curriculum"/>
    <s v="Conduct 3 trainings 1 week each"/>
    <s v="Conference package high-level"/>
    <n v="35000"/>
    <m/>
    <m/>
    <n v="0"/>
    <n v="0"/>
    <n v="0"/>
    <n v="0"/>
    <n v="60"/>
    <n v="5"/>
    <n v="13715820.656660672"/>
    <n v="25"/>
    <n v="21"/>
    <n v="27433176.384540286"/>
    <n v="60"/>
    <n v="5"/>
    <n v="17916546.31292187"/>
    <n v="25"/>
    <n v="21"/>
    <n v="35835097.841227934"/>
    <n v="0"/>
    <n v="0"/>
    <n v="0"/>
    <n v="25"/>
    <n v="21"/>
    <n v="46810264.305159107"/>
    <n v="141710905.50050986"/>
    <n v="137583.40339855326"/>
  </r>
  <r>
    <s v="4.3.4.3"/>
    <x v="3"/>
    <x v="3"/>
    <x v="2"/>
    <x v="14"/>
    <n v="2"/>
    <x v="76"/>
    <x v="76"/>
    <s v="Train other key health financing constituencies in health financing advocacy (parliamentary committee on health, NGO Board) based on the HF advocacy curriculum"/>
    <s v="Conduct 3 trainings 1 week each"/>
    <s v="DSA (excl. lunch)"/>
    <n v="39000"/>
    <m/>
    <m/>
    <n v="0"/>
    <m/>
    <m/>
    <n v="0"/>
    <m/>
    <m/>
    <n v="0"/>
    <n v="25"/>
    <n v="21"/>
    <n v="30568396.542773459"/>
    <m/>
    <m/>
    <n v="0"/>
    <n v="25"/>
    <n v="21"/>
    <n v="39930537.594511136"/>
    <m/>
    <m/>
    <n v="0"/>
    <n v="25"/>
    <n v="21"/>
    <n v="52160008.797177278"/>
    <n v="122658942.93446186"/>
    <n v="119086.35236355521"/>
  </r>
  <r>
    <s v="4.3.4.3"/>
    <x v="3"/>
    <x v="3"/>
    <x v="2"/>
    <x v="14"/>
    <n v="2"/>
    <x v="76"/>
    <x v="76"/>
    <s v="Train other key health financing constituencies in health financing advocacy (parliamentary committee on health, NGO Board) based on the HF advocacy curriculum"/>
    <s v="Conduct 3 trainings 1 week each"/>
    <s v="Local running (diesel, per km)"/>
    <n v="211.42857142857142"/>
    <m/>
    <m/>
    <n v="0"/>
    <m/>
    <m/>
    <n v="0"/>
    <m/>
    <m/>
    <n v="0"/>
    <n v="450"/>
    <n v="21"/>
    <n v="2982938.0362618491"/>
    <m/>
    <m/>
    <n v="0"/>
    <n v="450"/>
    <n v="21"/>
    <n v="3896518.3938380098"/>
    <m/>
    <m/>
    <n v="0"/>
    <n v="450"/>
    <n v="21"/>
    <n v="5089899.7595487274"/>
    <n v="11969356.189648587"/>
    <n v="11620.734164707366"/>
  </r>
  <r>
    <s v="4.3.4.3"/>
    <x v="3"/>
    <x v="3"/>
    <x v="2"/>
    <x v="14"/>
    <n v="2"/>
    <x v="76"/>
    <x v="76"/>
    <s v="Train other key health financing constituencies in health financing advocacy (parliamentary committee on health, NGO Board) based on the HF advocacy curriculum"/>
    <s v="Conduct 3 trainings 1 week each"/>
    <s v="Fuel for travelling participants"/>
    <n v="211.42857142857142"/>
    <m/>
    <m/>
    <n v="0"/>
    <m/>
    <m/>
    <n v="0"/>
    <m/>
    <m/>
    <n v="0"/>
    <n v="2430"/>
    <n v="7"/>
    <n v="5369288.4652713286"/>
    <m/>
    <m/>
    <n v="0"/>
    <n v="2430"/>
    <n v="7"/>
    <n v="7013733.1089084176"/>
    <m/>
    <m/>
    <n v="0"/>
    <n v="2430"/>
    <n v="7"/>
    <n v="9161819.5671877097"/>
    <n v="21544841.141367458"/>
    <n v="20917.321496473262"/>
  </r>
  <r>
    <s v="4.3.4.3"/>
    <x v="3"/>
    <x v="3"/>
    <x v="2"/>
    <x v="14"/>
    <n v="2"/>
    <x v="76"/>
    <x v="76"/>
    <s v="Train other key health financing constituencies in health financing advocacy (parliamentary committee on health, NGO Board) based on the HF advocacy curriculum"/>
    <s v="1 curriculum review meeting per year "/>
    <s v="DSA (excl. lunch)"/>
    <n v="39000"/>
    <m/>
    <m/>
    <n v="0"/>
    <n v="0"/>
    <n v="0"/>
    <n v="0"/>
    <m/>
    <m/>
    <n v="0"/>
    <n v="25"/>
    <n v="6"/>
    <n v="8733827.5836495608"/>
    <n v="25"/>
    <n v="6"/>
    <n v="9982075.8029136136"/>
    <n v="25"/>
    <n v="6"/>
    <n v="11408725.027003182"/>
    <n v="25"/>
    <n v="6"/>
    <n v="13039272.523233831"/>
    <n v="25"/>
    <n v="6"/>
    <n v="14902859.656336365"/>
    <n v="58066760.593136556"/>
    <n v="56375.495721491803"/>
  </r>
  <r>
    <s v="4.3.4.3"/>
    <x v="3"/>
    <x v="3"/>
    <x v="2"/>
    <x v="14"/>
    <n v="2"/>
    <x v="76"/>
    <x v="76"/>
    <s v="Train other key health financing constituencies in health financing advocacy (parliamentary committee on health, NGO Board) based on the HF advocacy curriculum"/>
    <s v="2 curriculum review meeting per year "/>
    <s v="Conference package high-level"/>
    <n v="35000"/>
    <m/>
    <m/>
    <n v="0"/>
    <n v="0"/>
    <n v="0"/>
    <n v="0"/>
    <m/>
    <m/>
    <n v="0"/>
    <n v="25"/>
    <n v="5"/>
    <n v="6531708.6629857821"/>
    <n v="25"/>
    <n v="5"/>
    <n v="7465227.6303841127"/>
    <n v="25"/>
    <n v="5"/>
    <n v="8532166.152673319"/>
    <n v="25"/>
    <n v="5"/>
    <n v="9751592.6989996582"/>
    <n v="25"/>
    <n v="5"/>
    <n v="11145301.025037881"/>
    <n v="43425996.170080751"/>
    <n v="42161.161330175484"/>
  </r>
  <r>
    <s v="4.3.4.3"/>
    <x v="3"/>
    <x v="3"/>
    <x v="2"/>
    <x v="14"/>
    <n v="2"/>
    <x v="76"/>
    <x v="76"/>
    <s v="Train other key health financing constituencies in health financing advocacy (parliamentary committee on health, NGO Board) based on the HF advocacy curriculum"/>
    <s v="3 curriculum review meeting per year "/>
    <s v="Local running (diesel, per km)"/>
    <n v="211.42857142857142"/>
    <m/>
    <m/>
    <n v="0"/>
    <n v="0"/>
    <n v="0"/>
    <n v="0"/>
    <m/>
    <m/>
    <n v="0"/>
    <n v="450"/>
    <n v="5"/>
    <n v="710223.34196710703"/>
    <n v="450"/>
    <n v="5"/>
    <n v="811729.24111605203"/>
    <n v="450"/>
    <n v="5"/>
    <n v="927742.47472333559"/>
    <n v="450"/>
    <n v="5"/>
    <n v="1060336.4469442894"/>
    <n v="450"/>
    <n v="5"/>
    <n v="1211880.8951306494"/>
    <n v="4721912.3998814337"/>
    <n v="4584.3809707586734"/>
  </r>
  <r>
    <s v="4.3.4.3"/>
    <x v="3"/>
    <x v="3"/>
    <x v="2"/>
    <x v="14"/>
    <n v="2"/>
    <x v="76"/>
    <x v="76"/>
    <s v="Train other key health financing constituencies in health financing advocacy (parliamentary committee on health, NGO Board) based on the HF advocacy curriculum"/>
    <s v="3 curriculum review meeting per year "/>
    <s v="Fuel for travelling participants"/>
    <n v="211.42857142857142"/>
    <m/>
    <m/>
    <n v="0"/>
    <m/>
    <m/>
    <n v="0"/>
    <m/>
    <m/>
    <n v="0"/>
    <n v="2430"/>
    <n v="1"/>
    <n v="767041.20932447549"/>
    <n v="2430"/>
    <n v="1"/>
    <n v="876667.58040533611"/>
    <n v="2430"/>
    <n v="1"/>
    <n v="1001961.8727012025"/>
    <n v="2430"/>
    <n v="1"/>
    <n v="1145163.3626998325"/>
    <n v="2430"/>
    <n v="1"/>
    <n v="1308831.3667411015"/>
    <n v="5099665.3918719478"/>
    <n v="4951.1314484193672"/>
  </r>
  <r>
    <s v="4.3.4.3"/>
    <x v="3"/>
    <x v="3"/>
    <x v="2"/>
    <x v="14"/>
    <n v="3"/>
    <x v="77"/>
    <x v="77"/>
    <s v="Develop and sustain advocacy platforms at political leadership level "/>
    <s v="The honourable minister meets the health donor group members twice a year to discuss key health financing issues "/>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The honourable minister meets selected individual donors at least on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The honourable minister meets fellow honourable ministers from ministry of finance and ministry of local government and rural development at least twi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The honourable minister meets CSOs at least on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Parliamentary committee on health meets CSOs twi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Parliamentary committee on health meets Minister of health twi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Parliamentary committee on health meets health donor group twice a year to discuss key health financing issues"/>
    <s v="Conference package high-level"/>
    <n v="35000"/>
    <n v="50"/>
    <n v="1"/>
    <n v="1750000"/>
    <n v="0"/>
    <n v="0"/>
    <n v="0"/>
    <n v="0"/>
    <n v="0"/>
    <n v="0"/>
    <n v="0"/>
    <n v="0"/>
    <n v="0"/>
    <n v="0"/>
    <n v="0"/>
    <n v="0"/>
    <n v="0"/>
    <n v="0"/>
    <n v="0"/>
    <n v="0"/>
    <n v="0"/>
    <n v="0"/>
    <n v="0"/>
    <n v="0"/>
    <n v="0"/>
    <n v="1750000"/>
    <n v="1699.0291262135922"/>
  </r>
  <r>
    <s v="4.3.4.3"/>
    <x v="3"/>
    <x v="3"/>
    <x v="2"/>
    <x v="14"/>
    <n v="3"/>
    <x v="77"/>
    <x v="77"/>
    <s v="Develop and sustain advocacy platforms at political leadership level "/>
    <s v="Annual advocacy engagement meetings with treasury on key health financing issues"/>
    <s v="Conference package high-level"/>
    <n v="35000"/>
    <n v="100"/>
    <n v="1"/>
    <n v="3500000"/>
    <n v="100"/>
    <n v="1"/>
    <n v="4000223.8394999993"/>
    <n v="100"/>
    <n v="1"/>
    <n v="4571940.2188868914"/>
    <n v="100"/>
    <n v="1"/>
    <n v="5225366.9303886257"/>
    <n v="100"/>
    <n v="1"/>
    <n v="5972182.1043072902"/>
    <n v="100"/>
    <n v="1"/>
    <n v="6825732.9221386546"/>
    <n v="100"/>
    <n v="1"/>
    <n v="7801274.1591997268"/>
    <n v="100"/>
    <n v="1"/>
    <n v="8916240.8200303055"/>
    <n v="46812960.994451493"/>
    <n v="45449.476693642224"/>
  </r>
  <r>
    <s v="4.3.4.3"/>
    <x v="3"/>
    <x v="3"/>
    <x v="2"/>
    <x v="14"/>
    <n v="3"/>
    <x v="77"/>
    <x v="77"/>
    <s v="Develop and sustain advocacy platforms at technical leadership level "/>
    <s v="Annual advocacy engagement meetings with treasury on key health financing issues"/>
    <s v="Conference package high-level"/>
    <n v="35000"/>
    <n v="100"/>
    <n v="1"/>
    <n v="3500000"/>
    <n v="100"/>
    <n v="1"/>
    <n v="4000223.8394999993"/>
    <n v="100"/>
    <n v="1"/>
    <n v="4571940.2188868914"/>
    <n v="100"/>
    <n v="1"/>
    <n v="5225366.9303886257"/>
    <n v="100"/>
    <n v="1"/>
    <n v="5972182.1043072902"/>
    <n v="100"/>
    <n v="1"/>
    <n v="6825732.9221386546"/>
    <n v="100"/>
    <n v="1"/>
    <n v="7801274.1591997268"/>
    <n v="100"/>
    <n v="1"/>
    <n v="8916240.8200303055"/>
    <n v="46812960.994451493"/>
    <n v="45449.476693642224"/>
  </r>
  <r>
    <s v="4.3.4.3"/>
    <x v="3"/>
    <x v="3"/>
    <x v="2"/>
    <x v="14"/>
    <n v="3"/>
    <x v="77"/>
    <x v="77"/>
    <s v="Develop a health financing advocacy platform"/>
    <s v="MOH meets CSOs on key health financing issues twice a year"/>
    <s v="Conference package high-level"/>
    <n v="35000"/>
    <n v="100"/>
    <n v="2"/>
    <n v="7000000"/>
    <n v="100"/>
    <n v="2"/>
    <n v="8000447.6789999986"/>
    <n v="100"/>
    <n v="2"/>
    <n v="9143880.4377737828"/>
    <n v="100"/>
    <n v="2"/>
    <n v="10450733.860777251"/>
    <n v="100"/>
    <n v="2"/>
    <n v="11944364.20861458"/>
    <n v="100"/>
    <n v="2"/>
    <n v="13651465.844277309"/>
    <n v="100"/>
    <n v="2"/>
    <n v="15602548.318399454"/>
    <n v="100"/>
    <n v="2"/>
    <n v="17832481.640060611"/>
    <n v="93625921.988902986"/>
    <n v="90898.953387284448"/>
  </r>
  <r>
    <s v="4.3.4.3"/>
    <x v="3"/>
    <x v="3"/>
    <x v="2"/>
    <x v="14"/>
    <n v="3"/>
    <x v="77"/>
    <x v="77"/>
    <s v="Develop a health financing knowledge translation platform "/>
    <s v="Link up with research department"/>
    <s v="zero cost"/>
    <n v="0"/>
    <n v="0"/>
    <n v="0"/>
    <n v="0"/>
    <n v="0"/>
    <n v="0"/>
    <n v="0"/>
    <n v="0"/>
    <n v="0"/>
    <n v="0"/>
    <n v="0"/>
    <n v="0"/>
    <n v="0"/>
    <n v="0"/>
    <n v="0"/>
    <n v="0"/>
    <n v="0"/>
    <n v="0"/>
    <n v="0"/>
    <n v="0"/>
    <n v="0"/>
    <n v="0"/>
    <n v="0"/>
    <n v="0"/>
    <n v="0"/>
    <n v="0"/>
    <n v="0"/>
  </r>
  <r>
    <s v="4.3.4.3"/>
    <x v="3"/>
    <x v="3"/>
    <x v="2"/>
    <x v="14"/>
    <n v="3"/>
    <x v="77"/>
    <x v="77"/>
    <s v="Develop a health financing knowledge translation platform "/>
    <s v="HFD and researchers in health financing to undergo knowledge translation training"/>
    <s v="DSA (excl. lunch)"/>
    <n v="39000"/>
    <n v="25"/>
    <n v="6"/>
    <n v="5850000"/>
    <n v="25"/>
    <n v="6"/>
    <n v="6686088.4174499996"/>
    <m/>
    <m/>
    <n v="0"/>
    <n v="25"/>
    <n v="6"/>
    <n v="8733827.5836495608"/>
    <n v="0"/>
    <n v="0"/>
    <n v="0"/>
    <n v="25"/>
    <n v="6"/>
    <n v="11408725.027003182"/>
    <m/>
    <m/>
    <n v="0"/>
    <n v="25"/>
    <n v="6"/>
    <n v="14902859.656336365"/>
    <n v="47581500.684439108"/>
    <n v="46195.631732465154"/>
  </r>
  <r>
    <s v="4.3.4.3"/>
    <x v="3"/>
    <x v="3"/>
    <x v="2"/>
    <x v="14"/>
    <n v="3"/>
    <x v="77"/>
    <x v="77"/>
    <s v="Develop a health financing knowledge translation platform "/>
    <s v="HFD and researchers in health financing to undergo knowledge translation training"/>
    <s v="Conference package high-level"/>
    <n v="35000"/>
    <n v="25"/>
    <n v="5"/>
    <n v="4375000"/>
    <n v="25"/>
    <n v="5"/>
    <n v="5000279.7993749995"/>
    <m/>
    <m/>
    <n v="0"/>
    <n v="25"/>
    <n v="5"/>
    <n v="6531708.6629857821"/>
    <n v="0"/>
    <n v="0"/>
    <n v="0"/>
    <n v="25"/>
    <n v="5"/>
    <n v="8532166.152673319"/>
    <m/>
    <m/>
    <n v="0"/>
    <n v="25"/>
    <n v="5"/>
    <n v="11145301.025037881"/>
    <n v="35584455.640071981"/>
    <n v="34548.015184535907"/>
  </r>
  <r>
    <s v="4.3.4.3"/>
    <x v="3"/>
    <x v="3"/>
    <x v="2"/>
    <x v="14"/>
    <n v="3"/>
    <x v="77"/>
    <x v="77"/>
    <s v="Develop a health financing knowledge translation platform "/>
    <s v="HFD and researchers in health financing to undergo knowledge translation training"/>
    <s v="Local running (diesel, per km)"/>
    <n v="211.42857142857142"/>
    <n v="450"/>
    <n v="5"/>
    <n v="475714.28571428568"/>
    <n v="450"/>
    <n v="5"/>
    <n v="543703.89328714274"/>
    <m/>
    <m/>
    <n v="0"/>
    <n v="450"/>
    <n v="5"/>
    <n v="710223.34196710703"/>
    <n v="0"/>
    <n v="0"/>
    <n v="0"/>
    <n v="450"/>
    <n v="5"/>
    <n v="927742.47472333559"/>
    <m/>
    <m/>
    <n v="0"/>
    <n v="450"/>
    <n v="5"/>
    <n v="1211880.8951306494"/>
    <n v="3869264.8908225205"/>
    <n v="3756.5678551674955"/>
  </r>
  <r>
    <s v="4.3.4.3"/>
    <x v="3"/>
    <x v="3"/>
    <x v="2"/>
    <x v="14"/>
    <n v="3"/>
    <x v="77"/>
    <x v="77"/>
    <s v="Develop a health financing knowledge translation platform "/>
    <s v="HFD and researchers in health financing to undergo knowledge translation training"/>
    <s v="Fuel for travelling participants"/>
    <n v="211.42857142857142"/>
    <n v="2430"/>
    <n v="1"/>
    <n v="513771.42857142852"/>
    <n v="2430"/>
    <n v="1"/>
    <n v="587200.20475011424"/>
    <m/>
    <m/>
    <n v="0"/>
    <n v="2430"/>
    <n v="1"/>
    <n v="767041.20932447549"/>
    <m/>
    <m/>
    <n v="0"/>
    <n v="2430"/>
    <n v="1"/>
    <n v="1001961.8727012025"/>
    <m/>
    <m/>
    <n v="0"/>
    <n v="2430"/>
    <n v="1"/>
    <n v="1308831.3667411015"/>
    <n v="4178806.0820883224"/>
    <n v="4057.0932835808953"/>
  </r>
  <r>
    <s v="4.3.4.3"/>
    <x v="3"/>
    <x v="3"/>
    <x v="2"/>
    <x v="14"/>
    <n v="3"/>
    <x v="77"/>
    <x v="77"/>
    <s v="Develop a health financing knowledge translation platform "/>
    <s v="Create a research database"/>
    <s v="zero cost"/>
    <n v="0"/>
    <n v="0"/>
    <n v="0"/>
    <n v="0"/>
    <n v="0"/>
    <n v="0"/>
    <n v="0"/>
    <n v="0"/>
    <n v="0"/>
    <n v="0"/>
    <n v="0"/>
    <n v="0"/>
    <n v="0"/>
    <n v="0"/>
    <n v="0"/>
    <n v="0"/>
    <n v="0"/>
    <n v="0"/>
    <n v="0"/>
    <n v="0"/>
    <n v="0"/>
    <n v="0"/>
    <n v="0"/>
    <n v="0"/>
    <n v="0"/>
    <n v="0"/>
    <n v="0"/>
  </r>
  <r>
    <s v="4.3.4.3"/>
    <x v="3"/>
    <x v="3"/>
    <x v="2"/>
    <x v="14"/>
    <n v="3"/>
    <x v="77"/>
    <x v="77"/>
    <s v="Develop a health financing knowledge translation platform "/>
    <s v="HFD to meet researchers to discuss key health financing research agenda "/>
    <s v="zero cost"/>
    <n v="0"/>
    <n v="0"/>
    <n v="0"/>
    <n v="0"/>
    <n v="0"/>
    <n v="0"/>
    <n v="0"/>
    <n v="0"/>
    <n v="0"/>
    <n v="0"/>
    <n v="0"/>
    <n v="0"/>
    <n v="0"/>
    <n v="0"/>
    <n v="0"/>
    <n v="0"/>
    <n v="0"/>
    <n v="0"/>
    <n v="0"/>
    <n v="0"/>
    <n v="0"/>
    <n v="0"/>
    <n v="0"/>
    <n v="0"/>
    <n v="0"/>
    <n v="0"/>
    <n v="0"/>
  </r>
  <r>
    <s v="4.3.4.3"/>
    <x v="3"/>
    <x v="3"/>
    <x v="2"/>
    <x v="14"/>
    <n v="3"/>
    <x v="77"/>
    <x v="77"/>
    <s v="Conduct periodic assessment on the effectiveness of advocacy platforms"/>
    <s v="Develop ToRs for the recruitment of a consultant"/>
    <s v="zero cost"/>
    <n v="0"/>
    <n v="0"/>
    <n v="0"/>
    <n v="0"/>
    <n v="0"/>
    <n v="0"/>
    <n v="0"/>
    <n v="0"/>
    <n v="0"/>
    <n v="0"/>
    <n v="0"/>
    <n v="0"/>
    <n v="0"/>
    <n v="0"/>
    <n v="0"/>
    <n v="0"/>
    <n v="0"/>
    <n v="0"/>
    <n v="0"/>
    <n v="0"/>
    <n v="0"/>
    <n v="0"/>
    <n v="0"/>
    <n v="0"/>
    <n v="0"/>
    <n v="0"/>
    <n v="0"/>
  </r>
  <r>
    <s v="4.3.4.3"/>
    <x v="3"/>
    <x v="3"/>
    <x v="2"/>
    <x v="14"/>
    <n v="3"/>
    <x v="77"/>
    <x v="77"/>
    <s v="Conduct periodic assessment on the effectiveness of advocacy platforms"/>
    <s v="Recruitment of a consultant"/>
    <s v="Newspaper advert (full)"/>
    <n v="391991.03749999998"/>
    <n v="2"/>
    <n v="2"/>
    <n v="1567964.15"/>
    <n v="0"/>
    <n v="0"/>
    <n v="0"/>
    <n v="0"/>
    <n v="0"/>
    <n v="0"/>
    <n v="2"/>
    <n v="2"/>
    <n v="2340910.8621271173"/>
    <n v="0"/>
    <n v="0"/>
    <n v="0"/>
    <n v="2"/>
    <n v="2"/>
    <n v="3057858.4341109009"/>
    <n v="0"/>
    <n v="0"/>
    <n v="0"/>
    <n v="2"/>
    <n v="2"/>
    <n v="3994384.5595926056"/>
    <n v="10961118.005830623"/>
    <n v="10641.862141583129"/>
  </r>
  <r>
    <s v="4.3.4.3"/>
    <x v="3"/>
    <x v="3"/>
    <x v="2"/>
    <x v="14"/>
    <n v="3"/>
    <x v="77"/>
    <x v="77"/>
    <s v="Conduct periodic assessment on the effectiveness of advocacy platforms"/>
    <s v="Recruitment of a consultant"/>
    <s v="Local consultant fee - High level"/>
    <n v="511000"/>
    <n v="0"/>
    <n v="0"/>
    <n v="0"/>
    <n v="0"/>
    <n v="0"/>
    <n v="0"/>
    <n v="0"/>
    <n v="0"/>
    <n v="0"/>
    <n v="0"/>
    <n v="0"/>
    <n v="0"/>
    <n v="0"/>
    <n v="0"/>
    <n v="0"/>
    <n v="0"/>
    <n v="0"/>
    <n v="0"/>
    <n v="0"/>
    <n v="0"/>
    <n v="0"/>
    <n v="0"/>
    <n v="0"/>
    <n v="0"/>
    <n v="0"/>
    <n v="0"/>
  </r>
  <r>
    <s v="4.3.4.3"/>
    <x v="3"/>
    <x v="3"/>
    <x v="2"/>
    <x v="14"/>
    <n v="3"/>
    <x v="77"/>
    <x v="77"/>
    <s v="Conduct periodic assessment on the effectiveness of advocacy platforms"/>
    <s v="design data collection tools"/>
    <s v="zero cost"/>
    <n v="0"/>
    <n v="0"/>
    <n v="0"/>
    <n v="0"/>
    <n v="0"/>
    <n v="0"/>
    <n v="0"/>
    <n v="0"/>
    <n v="0"/>
    <n v="0"/>
    <n v="0"/>
    <n v="0"/>
    <n v="0"/>
    <n v="0"/>
    <n v="0"/>
    <n v="0"/>
    <n v="0"/>
    <n v="0"/>
    <n v="0"/>
    <n v="0"/>
    <n v="0"/>
    <n v="0"/>
    <n v="0"/>
    <n v="0"/>
    <n v="0"/>
    <n v="0"/>
    <n v="0"/>
  </r>
  <r>
    <s v="4.3.4.3"/>
    <x v="3"/>
    <x v="3"/>
    <x v="2"/>
    <x v="14"/>
    <n v="3"/>
    <x v="77"/>
    <x v="77"/>
    <s v="Conduct periodic assessment on the effectiveness of advocacy platforms"/>
    <s v="pretesting of the data collection tools "/>
    <s v="Full DSA"/>
    <n v="45000"/>
    <n v="25"/>
    <n v="1"/>
    <n v="1125000"/>
    <n v="0"/>
    <n v="0"/>
    <n v="0"/>
    <n v="0"/>
    <n v="0"/>
    <n v="0"/>
    <n v="25"/>
    <n v="1"/>
    <n v="1679582.2276249153"/>
    <n v="0"/>
    <n v="0"/>
    <n v="0"/>
    <n v="25"/>
    <n v="1"/>
    <n v="2193985.5821159962"/>
    <n v="0"/>
    <n v="0"/>
    <n v="0"/>
    <n v="25"/>
    <n v="1"/>
    <n v="2865934.5492954552"/>
    <n v="7864502.3590363674"/>
    <n v="7635.4391835304541"/>
  </r>
  <r>
    <s v="4.3.4.3"/>
    <x v="3"/>
    <x v="3"/>
    <x v="2"/>
    <x v="14"/>
    <n v="3"/>
    <x v="77"/>
    <x v="77"/>
    <s v="Conduct periodic assessment on the effectiveness of advocacy platforms"/>
    <s v="pretesting of the data collection tools "/>
    <s v="Local running (diesel, per km)"/>
    <n v="211.42857142857142"/>
    <n v="450"/>
    <n v="1"/>
    <n v="95142.85714285713"/>
    <n v="0"/>
    <n v="0"/>
    <n v="0"/>
    <n v="0"/>
    <n v="0"/>
    <n v="0"/>
    <n v="450"/>
    <n v="1"/>
    <n v="142044.66839342139"/>
    <n v="0"/>
    <n v="0"/>
    <n v="0"/>
    <n v="450"/>
    <n v="1"/>
    <n v="185548.49494466712"/>
    <n v="0"/>
    <n v="0"/>
    <n v="0"/>
    <n v="450"/>
    <n v="1"/>
    <n v="242376.17902612989"/>
    <n v="665112.19950707559"/>
    <n v="645.73999952143265"/>
  </r>
  <r>
    <s v="4.3.4.3"/>
    <x v="3"/>
    <x v="3"/>
    <x v="2"/>
    <x v="14"/>
    <n v="3"/>
    <x v="77"/>
    <x v="77"/>
    <s v="Conduct periodic assessment on the effectiveness of advocacy platforms"/>
    <s v="pretesting of the data collection tools "/>
    <s v="Fuel for travelling participants"/>
    <n v="211.42857142857142"/>
    <n v="2430"/>
    <n v="1"/>
    <n v="513771.42857142852"/>
    <m/>
    <m/>
    <n v="0"/>
    <m/>
    <m/>
    <n v="0"/>
    <n v="2430"/>
    <n v="1"/>
    <n v="767041.20932447549"/>
    <m/>
    <m/>
    <n v="0"/>
    <n v="2430"/>
    <n v="1"/>
    <n v="1001961.8727012025"/>
    <m/>
    <m/>
    <n v="0"/>
    <n v="2430"/>
    <n v="1"/>
    <n v="1308831.3667411015"/>
    <n v="3591605.8773382083"/>
    <n v="3486.9959974157364"/>
  </r>
  <r>
    <s v="4.3.4.3"/>
    <x v="3"/>
    <x v="3"/>
    <x v="2"/>
    <x v="14"/>
    <n v="3"/>
    <x v="77"/>
    <x v="77"/>
    <s v="Conduct periodic assessment on the effectiveness of advocacy platforms"/>
    <s v="validation of data collection tools "/>
    <s v="zero cost"/>
    <n v="0"/>
    <n v="0"/>
    <n v="0"/>
    <n v="0"/>
    <n v="0"/>
    <n v="0"/>
    <n v="0"/>
    <n v="0"/>
    <n v="0"/>
    <n v="0"/>
    <n v="0"/>
    <n v="0"/>
    <n v="0"/>
    <n v="0"/>
    <n v="0"/>
    <n v="0"/>
    <n v="0"/>
    <n v="0"/>
    <n v="0"/>
    <n v="0"/>
    <n v="0"/>
    <n v="0"/>
    <n v="0"/>
    <n v="0"/>
    <n v="0"/>
    <n v="0"/>
    <n v="0"/>
  </r>
  <r>
    <s v="4.3.4.3"/>
    <x v="3"/>
    <x v="3"/>
    <x v="2"/>
    <x v="14"/>
    <n v="3"/>
    <x v="77"/>
    <x v="77"/>
    <s v="Conduct periodic assessment on the effectiveness of advocacy platforms"/>
    <s v="Data collection "/>
    <s v="Full DSA"/>
    <n v="45000"/>
    <n v="25"/>
    <n v="5"/>
    <n v="5625000"/>
    <n v="0"/>
    <n v="0"/>
    <n v="0"/>
    <n v="0"/>
    <n v="0"/>
    <n v="0"/>
    <n v="25"/>
    <n v="5"/>
    <n v="8397911.1381245758"/>
    <n v="0"/>
    <n v="0"/>
    <n v="0"/>
    <n v="25"/>
    <n v="5"/>
    <n v="10969927.910579981"/>
    <n v="0"/>
    <n v="0"/>
    <n v="0"/>
    <n v="25"/>
    <n v="5"/>
    <n v="14329672.746477276"/>
    <n v="39322511.795181833"/>
    <n v="38177.195917652265"/>
  </r>
  <r>
    <s v="4.3.4.3"/>
    <x v="3"/>
    <x v="3"/>
    <x v="2"/>
    <x v="14"/>
    <n v="3"/>
    <x v="77"/>
    <x v="77"/>
    <s v="Conduct periodic assessment on the effectiveness of advocacy platforms"/>
    <s v="Data collection "/>
    <s v="Tablet"/>
    <n v="302000"/>
    <n v="25"/>
    <n v="0"/>
    <n v="0"/>
    <n v="0"/>
    <n v="0"/>
    <n v="0"/>
    <n v="0"/>
    <n v="0"/>
    <n v="0"/>
    <n v="25"/>
    <n v="0"/>
    <n v="0"/>
    <n v="0"/>
    <n v="0"/>
    <n v="0"/>
    <n v="25"/>
    <n v="0"/>
    <n v="0"/>
    <n v="0"/>
    <n v="0"/>
    <n v="0"/>
    <n v="25"/>
    <n v="0"/>
    <n v="0"/>
    <n v="0"/>
    <n v="0"/>
  </r>
  <r>
    <s v="4.3.4.3"/>
    <x v="3"/>
    <x v="3"/>
    <x v="2"/>
    <x v="14"/>
    <n v="3"/>
    <x v="77"/>
    <x v="77"/>
    <s v="Conduct periodic assessment on the effectiveness of advocacy platforms"/>
    <s v="Data collection "/>
    <s v="Local running (diesel, per km)"/>
    <n v="211.42857142857142"/>
    <n v="450"/>
    <n v="5"/>
    <n v="475714.28571428568"/>
    <n v="0"/>
    <n v="0"/>
    <n v="0"/>
    <n v="0"/>
    <n v="0"/>
    <n v="0"/>
    <n v="450"/>
    <n v="5"/>
    <n v="710223.34196710703"/>
    <n v="0"/>
    <n v="0"/>
    <n v="0"/>
    <n v="450"/>
    <n v="5"/>
    <n v="927742.47472333559"/>
    <n v="0"/>
    <n v="0"/>
    <n v="0"/>
    <n v="450"/>
    <n v="5"/>
    <n v="1211880.8951306494"/>
    <n v="3325560.9975353777"/>
    <n v="3228.6999976071629"/>
  </r>
  <r>
    <s v="4.3.4.3"/>
    <x v="3"/>
    <x v="3"/>
    <x v="2"/>
    <x v="14"/>
    <n v="3"/>
    <x v="77"/>
    <x v="77"/>
    <s v="Conduct periodic assessment on the effectiveness of advocacy platforms"/>
    <s v="Data collection "/>
    <s v="Fuel for travelling participants"/>
    <n v="211.42857142857142"/>
    <n v="2430"/>
    <n v="5"/>
    <n v="2568857.1428571427"/>
    <m/>
    <m/>
    <n v="0"/>
    <m/>
    <m/>
    <n v="0"/>
    <n v="2430"/>
    <n v="5"/>
    <n v="3835206.0466223774"/>
    <m/>
    <m/>
    <n v="0"/>
    <n v="2430"/>
    <n v="5"/>
    <n v="5009809.3635060126"/>
    <m/>
    <m/>
    <n v="0"/>
    <n v="2430"/>
    <n v="5"/>
    <n v="6544156.8337055072"/>
    <n v="17958029.386691041"/>
    <n v="17434.979987078681"/>
  </r>
  <r>
    <s v="4.3.4.3"/>
    <x v="3"/>
    <x v="3"/>
    <x v="2"/>
    <x v="14"/>
    <n v="3"/>
    <x v="77"/>
    <x v="77"/>
    <s v="Conduct periodic assessment on the effectiveness of advocacy platforms"/>
    <s v="Data collection "/>
    <s v="Airtime for Research Assistant"/>
    <n v="10000"/>
    <n v="25"/>
    <n v="1"/>
    <n v="250000"/>
    <n v="0"/>
    <n v="0"/>
    <n v="0"/>
    <n v="0"/>
    <n v="0"/>
    <n v="0"/>
    <n v="25"/>
    <n v="1"/>
    <n v="373240.495027759"/>
    <n v="0"/>
    <n v="0"/>
    <n v="0"/>
    <n v="25"/>
    <n v="1"/>
    <n v="487552.35158133256"/>
    <n v="0"/>
    <n v="0"/>
    <n v="0"/>
    <n v="25"/>
    <n v="1"/>
    <n v="636874.34428787895"/>
    <n v="1747667.1908969707"/>
    <n v="1696.7642630067676"/>
  </r>
  <r>
    <s v="4.3.4.3"/>
    <x v="3"/>
    <x v="3"/>
    <x v="2"/>
    <x v="14"/>
    <n v="3"/>
    <x v="77"/>
    <x v="77"/>
    <s v="Conduct periodic assessment on the effectiveness of advocacy platforms"/>
    <s v="Data analysis"/>
    <s v="DSA (excl. lunch)"/>
    <n v="39000"/>
    <n v="25"/>
    <n v="6"/>
    <n v="5850000"/>
    <n v="0"/>
    <n v="0"/>
    <n v="0"/>
    <n v="0"/>
    <n v="0"/>
    <n v="0"/>
    <n v="25"/>
    <n v="6"/>
    <n v="8733827.5836495608"/>
    <n v="0"/>
    <n v="0"/>
    <n v="0"/>
    <n v="25"/>
    <n v="6"/>
    <n v="11408725.027003182"/>
    <n v="0"/>
    <n v="0"/>
    <n v="0"/>
    <n v="25"/>
    <n v="6"/>
    <n v="14902859.656336365"/>
    <n v="40895412.266989112"/>
    <n v="39704.283754358359"/>
  </r>
  <r>
    <s v="4.3.4.3"/>
    <x v="3"/>
    <x v="3"/>
    <x v="2"/>
    <x v="14"/>
    <n v="3"/>
    <x v="77"/>
    <x v="77"/>
    <s v="Conduct periodic assessment on the effectiveness of advocacy platforms"/>
    <s v="Data analysis"/>
    <s v="Conference package high-level"/>
    <n v="35000"/>
    <n v="25"/>
    <n v="5"/>
    <n v="4375000"/>
    <n v="0"/>
    <n v="0"/>
    <n v="0"/>
    <n v="0"/>
    <n v="0"/>
    <n v="0"/>
    <n v="25"/>
    <n v="5"/>
    <n v="6531708.6629857821"/>
    <n v="0"/>
    <n v="0"/>
    <n v="0"/>
    <n v="25"/>
    <n v="5"/>
    <n v="8532166.152673319"/>
    <n v="0"/>
    <n v="0"/>
    <n v="0"/>
    <n v="25"/>
    <n v="5"/>
    <n v="11145301.025037881"/>
    <n v="30584175.840696983"/>
    <n v="29693.374602618431"/>
  </r>
  <r>
    <s v="4.3.4.3"/>
    <x v="3"/>
    <x v="3"/>
    <x v="2"/>
    <x v="14"/>
    <n v="3"/>
    <x v="77"/>
    <x v="77"/>
    <s v="Conduct periodic assessment on the effectiveness of advocacy platforms"/>
    <s v="Data analysis"/>
    <s v="Local running (diesel, per km)"/>
    <n v="211.42857142857142"/>
    <n v="450"/>
    <n v="5"/>
    <n v="475714.28571428568"/>
    <n v="0"/>
    <n v="0"/>
    <n v="0"/>
    <n v="0"/>
    <n v="0"/>
    <n v="0"/>
    <n v="450"/>
    <n v="5"/>
    <n v="710223.34196710703"/>
    <n v="0"/>
    <n v="0"/>
    <n v="0"/>
    <n v="450"/>
    <n v="5"/>
    <n v="927742.47472333559"/>
    <n v="0"/>
    <n v="0"/>
    <n v="0"/>
    <n v="450"/>
    <n v="5"/>
    <n v="1211880.8951306494"/>
    <n v="3325560.9975353777"/>
    <n v="3228.6999976071629"/>
  </r>
  <r>
    <s v="4.3.4.3"/>
    <x v="3"/>
    <x v="3"/>
    <x v="2"/>
    <x v="14"/>
    <n v="3"/>
    <x v="77"/>
    <x v="77"/>
    <s v="Conduct periodic assessment on the effectiveness of advocacy platforms"/>
    <s v="Data analysis"/>
    <s v="Fuel for travelling participants"/>
    <n v="211.42857142857142"/>
    <n v="2430"/>
    <n v="1"/>
    <n v="513771.42857142852"/>
    <m/>
    <m/>
    <n v="0"/>
    <m/>
    <m/>
    <n v="0"/>
    <n v="2430"/>
    <n v="1"/>
    <n v="767041.20932447549"/>
    <m/>
    <m/>
    <n v="0"/>
    <n v="2430"/>
    <n v="1"/>
    <n v="1001961.8727012025"/>
    <m/>
    <m/>
    <n v="0"/>
    <n v="2430"/>
    <n v="1"/>
    <n v="1308831.3667411015"/>
    <n v="3591605.8773382083"/>
    <n v="3486.9959974157364"/>
  </r>
  <r>
    <s v="4.3.4.3"/>
    <x v="3"/>
    <x v="3"/>
    <x v="2"/>
    <x v="14"/>
    <n v="3"/>
    <x v="77"/>
    <x v="77"/>
    <s v="Conduct periodic assessment on the effectiveness of advocacy platforms"/>
    <s v="report writing"/>
    <s v="DSA (excl. lunch)"/>
    <n v="39000"/>
    <n v="25"/>
    <n v="6"/>
    <n v="5850000"/>
    <n v="0"/>
    <n v="0"/>
    <n v="0"/>
    <n v="0"/>
    <n v="0"/>
    <n v="0"/>
    <n v="25"/>
    <n v="6"/>
    <n v="8733827.5836495608"/>
    <n v="0"/>
    <n v="0"/>
    <n v="0"/>
    <n v="25"/>
    <n v="6"/>
    <n v="11408725.027003182"/>
    <n v="0"/>
    <n v="0"/>
    <n v="0"/>
    <n v="25"/>
    <n v="6"/>
    <n v="14902859.656336365"/>
    <n v="40895412.266989112"/>
    <n v="39704.283754358359"/>
  </r>
  <r>
    <s v="4.3.4.3"/>
    <x v="3"/>
    <x v="3"/>
    <x v="2"/>
    <x v="14"/>
    <n v="3"/>
    <x v="77"/>
    <x v="77"/>
    <s v="Conduct periodic assessment on the effectiveness of advocacy platforms"/>
    <s v="report writing"/>
    <s v="Conference package high-level"/>
    <n v="35000"/>
    <n v="25"/>
    <n v="5"/>
    <n v="4375000"/>
    <n v="0"/>
    <n v="0"/>
    <n v="0"/>
    <n v="0"/>
    <n v="0"/>
    <n v="0"/>
    <n v="25"/>
    <n v="5"/>
    <n v="6531708.6629857821"/>
    <n v="0"/>
    <n v="0"/>
    <n v="0"/>
    <n v="25"/>
    <n v="5"/>
    <n v="8532166.152673319"/>
    <n v="0"/>
    <n v="0"/>
    <n v="0"/>
    <n v="25"/>
    <n v="5"/>
    <n v="11145301.025037881"/>
    <n v="30584175.840696983"/>
    <n v="29693.374602618431"/>
  </r>
  <r>
    <s v="4.3.4.3"/>
    <x v="3"/>
    <x v="3"/>
    <x v="2"/>
    <x v="14"/>
    <n v="3"/>
    <x v="77"/>
    <x v="77"/>
    <s v="Conduct periodic assessment on the effectiveness of advocacy platforms"/>
    <s v="report writing"/>
    <s v="Local running (diesel, per km)"/>
    <n v="211.42857142857142"/>
    <n v="450"/>
    <n v="5"/>
    <n v="475714.28571428568"/>
    <n v="0"/>
    <n v="0"/>
    <n v="0"/>
    <n v="0"/>
    <n v="0"/>
    <n v="0"/>
    <n v="450"/>
    <n v="5"/>
    <n v="710223.34196710703"/>
    <n v="0"/>
    <n v="0"/>
    <n v="0"/>
    <n v="450"/>
    <n v="5"/>
    <n v="927742.47472333559"/>
    <n v="0"/>
    <n v="0"/>
    <n v="0"/>
    <n v="450"/>
    <n v="5"/>
    <n v="1211880.8951306494"/>
    <n v="3325560.9975353777"/>
    <n v="3228.6999976071629"/>
  </r>
  <r>
    <s v="4.3.4.3"/>
    <x v="3"/>
    <x v="3"/>
    <x v="2"/>
    <x v="14"/>
    <n v="3"/>
    <x v="77"/>
    <x v="77"/>
    <s v="Conduct periodic assessment on the effectiveness of advocacy platforms"/>
    <s v="report writing"/>
    <s v="Fuel for travelling participants"/>
    <n v="211.42857142857142"/>
    <n v="2430"/>
    <n v="1"/>
    <n v="513771.42857142852"/>
    <m/>
    <m/>
    <n v="0"/>
    <m/>
    <m/>
    <n v="0"/>
    <n v="2430"/>
    <n v="1"/>
    <n v="767041.20932447549"/>
    <m/>
    <m/>
    <n v="0"/>
    <n v="2430"/>
    <n v="1"/>
    <n v="1001961.8727012025"/>
    <m/>
    <m/>
    <n v="0"/>
    <n v="2430"/>
    <n v="1"/>
    <n v="1308831.3667411015"/>
    <n v="3591605.8773382083"/>
    <n v="3486.9959974157364"/>
  </r>
  <r>
    <s v="4.3.4.3"/>
    <x v="3"/>
    <x v="3"/>
    <x v="2"/>
    <x v="14"/>
    <n v="3"/>
    <x v="77"/>
    <x v="77"/>
    <s v="Conduct periodic assessment on the effectiveness of advocacy platforms"/>
    <s v="Drafting monitoring tool"/>
    <s v="zero cost"/>
    <n v="0"/>
    <n v="0"/>
    <n v="0"/>
    <n v="0"/>
    <n v="0"/>
    <n v="0"/>
    <n v="0"/>
    <n v="0"/>
    <n v="0"/>
    <n v="0"/>
    <n v="0"/>
    <n v="0"/>
    <n v="0"/>
    <n v="0"/>
    <n v="0"/>
    <n v="0"/>
    <n v="0"/>
    <n v="0"/>
    <n v="0"/>
    <n v="0"/>
    <n v="0"/>
    <n v="0"/>
    <n v="0"/>
    <n v="0"/>
    <n v="0"/>
    <n v="0"/>
    <n v="0"/>
  </r>
  <r>
    <s v="4.3.4.3"/>
    <x v="3"/>
    <x v="3"/>
    <x v="2"/>
    <x v="14"/>
    <n v="3"/>
    <x v="77"/>
    <x v="77"/>
    <s v="Conduct periodic assessment on the effectiveness of advocacy platforms"/>
    <s v="Validation"/>
    <s v="Conference package high-level"/>
    <n v="35000"/>
    <n v="100"/>
    <n v="5"/>
    <n v="17500000"/>
    <n v="0"/>
    <n v="0"/>
    <n v="0"/>
    <n v="0"/>
    <n v="0"/>
    <n v="0"/>
    <n v="100"/>
    <n v="5"/>
    <n v="26126834.651943129"/>
    <n v="0"/>
    <n v="0"/>
    <n v="0"/>
    <n v="100"/>
    <n v="5"/>
    <n v="34128664.610693276"/>
    <n v="0"/>
    <n v="0"/>
    <n v="0"/>
    <n v="100"/>
    <n v="5"/>
    <n v="44581204.100151524"/>
    <n v="122336703.36278793"/>
    <n v="118773.49841047372"/>
  </r>
  <r>
    <s v="4.3.4.3"/>
    <x v="3"/>
    <x v="3"/>
    <x v="2"/>
    <x v="14"/>
    <n v="3"/>
    <x v="77"/>
    <x v="77"/>
    <s v="Conduct periodic assessment on the effectiveness of advocacy platforms"/>
    <s v="Validation"/>
    <s v="DSA (excl. lunch)"/>
    <n v="39000"/>
    <n v="58"/>
    <n v="6"/>
    <n v="13572000"/>
    <m/>
    <m/>
    <n v="0"/>
    <m/>
    <m/>
    <n v="0"/>
    <n v="58"/>
    <n v="6"/>
    <n v="20262479.99406698"/>
    <m/>
    <m/>
    <n v="0"/>
    <n v="58"/>
    <n v="6"/>
    <n v="26468242.06264738"/>
    <m/>
    <m/>
    <n v="0"/>
    <n v="58"/>
    <n v="6"/>
    <n v="34574634.402700365"/>
    <n v="94877356.459414721"/>
    <n v="92113.938310111378"/>
  </r>
  <r>
    <s v="4.3.4.3"/>
    <x v="3"/>
    <x v="3"/>
    <x v="2"/>
    <x v="14"/>
    <n v="3"/>
    <x v="77"/>
    <x v="77"/>
    <s v="Conduct periodic assessment on the effectiveness of advocacy platforms"/>
    <s v="Validation"/>
    <s v="Local running (diesel, per km)"/>
    <n v="211.42857142857142"/>
    <n v="1450"/>
    <n v="5"/>
    <n v="1532857.142857143"/>
    <m/>
    <m/>
    <n v="0"/>
    <m/>
    <m/>
    <n v="0"/>
    <n v="1450"/>
    <n v="5"/>
    <n v="2288497.4352273447"/>
    <m/>
    <m/>
    <n v="0"/>
    <n v="1450"/>
    <n v="5"/>
    <n v="2989392.41855297"/>
    <m/>
    <m/>
    <n v="0"/>
    <n v="1450"/>
    <n v="5"/>
    <n v="3904949.5509765372"/>
    <n v="10715696.547613995"/>
    <n v="10403.588881178635"/>
  </r>
  <r>
    <s v="4.3.4.3"/>
    <x v="3"/>
    <x v="3"/>
    <x v="2"/>
    <x v="14"/>
    <n v="3"/>
    <x v="77"/>
    <x v="77"/>
    <s v="Conduct periodic assessment on the effectiveness of advocacy platforms"/>
    <s v="Validation"/>
    <s v="Fuel for travelling participants"/>
    <n v="211.42857142857142"/>
    <n v="22500"/>
    <n v="1"/>
    <n v="4757142.8571428573"/>
    <m/>
    <m/>
    <n v="0"/>
    <m/>
    <m/>
    <n v="0"/>
    <n v="22500"/>
    <n v="1"/>
    <n v="7102233.4196710698"/>
    <m/>
    <m/>
    <n v="0"/>
    <n v="22500"/>
    <n v="1"/>
    <n v="9277424.7472333554"/>
    <m/>
    <m/>
    <n v="0"/>
    <n v="22500"/>
    <n v="1"/>
    <n v="12118808.951306494"/>
    <n v="33255609.975353777"/>
    <n v="32286.999976071627"/>
  </r>
  <r>
    <s v="4.3.4.3"/>
    <x v="3"/>
    <x v="3"/>
    <x v="2"/>
    <x v="14"/>
    <n v="3"/>
    <x v="77"/>
    <x v="77"/>
    <s v="Conduct periodic assessment on the effectiveness of advocacy platforms"/>
    <s v="Dissemination meeting"/>
    <s v="Conference package high-level"/>
    <n v="35000"/>
    <n v="100"/>
    <n v="1"/>
    <n v="3500000"/>
    <n v="0"/>
    <n v="0"/>
    <n v="0"/>
    <n v="0"/>
    <n v="0"/>
    <n v="0"/>
    <n v="100"/>
    <n v="1"/>
    <n v="5225366.9303886257"/>
    <n v="0"/>
    <n v="0"/>
    <n v="0"/>
    <n v="100"/>
    <n v="1"/>
    <n v="6825732.9221386546"/>
    <n v="0"/>
    <n v="0"/>
    <n v="0"/>
    <n v="100"/>
    <n v="1"/>
    <n v="8916240.8200303055"/>
    <n v="24467340.672557585"/>
    <n v="23754.699682094742"/>
  </r>
  <r>
    <s v="4.3.4.3"/>
    <x v="3"/>
    <x v="3"/>
    <x v="2"/>
    <x v="14"/>
    <n v="3"/>
    <x v="77"/>
    <x v="77"/>
    <s v="Conduct periodic assessment on the effectiveness of advocacy platforms"/>
    <s v="Dissemination meeting"/>
    <s v="DSA (excl. lunch)"/>
    <n v="39000"/>
    <n v="58"/>
    <n v="1"/>
    <n v="2262000"/>
    <m/>
    <m/>
    <n v="0"/>
    <m/>
    <m/>
    <n v="0"/>
    <n v="58"/>
    <n v="1"/>
    <n v="3377079.9990111631"/>
    <m/>
    <m/>
    <n v="0"/>
    <n v="58"/>
    <n v="1"/>
    <n v="4411373.6771078967"/>
    <m/>
    <m/>
    <n v="0"/>
    <n v="58"/>
    <n v="1"/>
    <n v="5762439.0671167281"/>
    <n v="15812892.743235787"/>
    <n v="15352.323051685231"/>
  </r>
  <r>
    <s v="4.3.4.3"/>
    <x v="3"/>
    <x v="3"/>
    <x v="2"/>
    <x v="14"/>
    <n v="3"/>
    <x v="77"/>
    <x v="77"/>
    <s v="Conduct periodic assessment on the effectiveness of advocacy platforms"/>
    <s v="Dissemination meeting"/>
    <s v="Local running (diesel, per km)"/>
    <n v="211.42857142857142"/>
    <n v="1450"/>
    <n v="1"/>
    <n v="306571.42857142858"/>
    <m/>
    <m/>
    <n v="0"/>
    <m/>
    <m/>
    <n v="0"/>
    <n v="1450"/>
    <n v="1"/>
    <n v="457699.48704546894"/>
    <m/>
    <m/>
    <n v="0"/>
    <n v="1450"/>
    <n v="1"/>
    <n v="597878.48371059401"/>
    <m/>
    <m/>
    <n v="0"/>
    <n v="1450"/>
    <n v="1"/>
    <n v="780989.91019530746"/>
    <n v="2143139.3095227988"/>
    <n v="2080.7177762357269"/>
  </r>
  <r>
    <s v="4.3.4.3"/>
    <x v="3"/>
    <x v="3"/>
    <x v="2"/>
    <x v="14"/>
    <n v="3"/>
    <x v="77"/>
    <x v="77"/>
    <s v="Conduct periodic assessment on the effectiveness of advocacy platforms"/>
    <s v="Dissemination meeting"/>
    <s v="Fuel for travelling participants"/>
    <n v="211.42857142857142"/>
    <n v="22500"/>
    <n v="1"/>
    <n v="4757142.8571428573"/>
    <m/>
    <m/>
    <n v="0"/>
    <m/>
    <m/>
    <n v="0"/>
    <n v="22500"/>
    <n v="1"/>
    <n v="7102233.4196710698"/>
    <m/>
    <m/>
    <n v="0"/>
    <n v="22500"/>
    <n v="1"/>
    <n v="9277424.7472333554"/>
    <m/>
    <m/>
    <n v="0"/>
    <n v="22500"/>
    <n v="1"/>
    <n v="12118808.951306494"/>
    <n v="33255609.975353777"/>
    <n v="32286.999976071627"/>
  </r>
  <r>
    <s v="4.3.4.3"/>
    <x v="3"/>
    <x v="3"/>
    <x v="2"/>
    <x v="14"/>
    <n v="3"/>
    <x v="77"/>
    <x v="77"/>
    <s v="Conduct periodic assessment on the effectiveness of advocacy platforms"/>
    <s v="Dissemination meeting"/>
    <s v="A4, 500 page, 140 gsm paper"/>
    <n v="8000"/>
    <n v="0"/>
    <n v="0"/>
    <n v="0"/>
    <n v="0"/>
    <n v="0"/>
    <n v="0"/>
    <n v="0"/>
    <n v="0"/>
    <n v="0"/>
    <n v="0"/>
    <n v="0"/>
    <n v="0"/>
    <n v="0"/>
    <n v="0"/>
    <n v="0"/>
    <n v="0"/>
    <n v="0"/>
    <n v="0"/>
    <n v="0"/>
    <n v="0"/>
    <n v="0"/>
    <n v="0"/>
    <n v="0"/>
    <n v="0"/>
    <n v="0"/>
    <n v="0"/>
  </r>
  <r>
    <s v="4.3.4.3"/>
    <x v="3"/>
    <x v="3"/>
    <x v="2"/>
    <x v="14"/>
    <n v="3"/>
    <x v="77"/>
    <x v="77"/>
    <s v="Conduct periodic assessment on the effectiveness of advocacy platforms"/>
    <s v="Dissemination meeting"/>
    <s v="toner"/>
    <n v="104850"/>
    <n v="0"/>
    <n v="0"/>
    <n v="0"/>
    <n v="0"/>
    <n v="0"/>
    <n v="0"/>
    <n v="0"/>
    <n v="0"/>
    <n v="0"/>
    <n v="0"/>
    <n v="0"/>
    <n v="0"/>
    <n v="0"/>
    <n v="0"/>
    <n v="0"/>
    <n v="0"/>
    <n v="0"/>
    <n v="0"/>
    <n v="0"/>
    <n v="0"/>
    <n v="0"/>
    <n v="0"/>
    <n v="0"/>
    <n v="0"/>
    <n v="0"/>
    <n v="0"/>
  </r>
  <r>
    <s v="4.3.4.3"/>
    <x v="3"/>
    <x v="3"/>
    <x v="2"/>
    <x v="14"/>
    <n v="3"/>
    <x v="77"/>
    <x v="77"/>
    <s v="Conduct annual monitoring assessment of the effectiveness of the advocacy platforms"/>
    <s v="review of the report"/>
    <s v="zero cost"/>
    <n v="0"/>
    <n v="0"/>
    <n v="0"/>
    <n v="0"/>
    <n v="0"/>
    <n v="0"/>
    <n v="0"/>
    <n v="0"/>
    <n v="0"/>
    <n v="0"/>
    <n v="0"/>
    <n v="0"/>
    <n v="0"/>
    <n v="0"/>
    <n v="0"/>
    <n v="0"/>
    <n v="0"/>
    <n v="0"/>
    <n v="0"/>
    <n v="0"/>
    <n v="0"/>
    <n v="0"/>
    <n v="0"/>
    <n v="0"/>
    <n v="0"/>
    <n v="0"/>
    <n v="0"/>
  </r>
  <r>
    <s v="4.3.4.3"/>
    <x v="3"/>
    <x v="3"/>
    <x v="2"/>
    <x v="14"/>
    <n v="4"/>
    <x v="78"/>
    <x v="78"/>
    <s v="train CSOs based on the resource mobilization manual"/>
    <s v="Develop TORs for recruitment of a consultant"/>
    <s v="zero cost"/>
    <n v="0"/>
    <n v="0"/>
    <n v="0"/>
    <n v="0"/>
    <n v="0"/>
    <n v="0"/>
    <n v="0"/>
    <n v="0"/>
    <n v="0"/>
    <n v="0"/>
    <n v="0"/>
    <n v="0"/>
    <n v="0"/>
    <n v="0"/>
    <n v="0"/>
    <n v="0"/>
    <n v="0"/>
    <n v="0"/>
    <n v="0"/>
    <n v="0"/>
    <n v="0"/>
    <n v="0"/>
    <n v="0"/>
    <n v="0"/>
    <n v="0"/>
    <n v="0"/>
    <n v="0"/>
  </r>
  <r>
    <s v="4.3.4.3"/>
    <x v="3"/>
    <x v="3"/>
    <x v="2"/>
    <x v="14"/>
    <n v="4"/>
    <x v="78"/>
    <x v="78"/>
    <s v="train CSOs based on the resource mobilization manual"/>
    <s v="Recruitment of a consultant"/>
    <s v="Newspaper advert (full)"/>
    <n v="391991.03749999998"/>
    <n v="2"/>
    <n v="2"/>
    <n v="1567964.15"/>
    <n v="0"/>
    <n v="0"/>
    <n v="0"/>
    <n v="2"/>
    <n v="2"/>
    <n v="2048182.3883307995"/>
    <n v="0"/>
    <n v="0"/>
    <n v="0"/>
    <n v="0"/>
    <n v="0"/>
    <n v="0"/>
    <n v="2"/>
    <n v="2"/>
    <n v="3057858.4341109009"/>
    <n v="0"/>
    <n v="0"/>
    <n v="0"/>
    <n v="0"/>
    <n v="0"/>
    <n v="0"/>
    <n v="6674004.9724417003"/>
    <n v="6479.6164780987383"/>
  </r>
  <r>
    <s v="4.3.4.3"/>
    <x v="3"/>
    <x v="3"/>
    <x v="2"/>
    <x v="14"/>
    <n v="4"/>
    <x v="78"/>
    <x v="78"/>
    <s v="train CSOs based on the resource mobilization manual"/>
    <s v="Recruitment of a consultant"/>
    <s v="Local consultant fee - High level"/>
    <n v="511000"/>
    <n v="0"/>
    <m/>
    <n v="0"/>
    <n v="0"/>
    <n v="0"/>
    <n v="0"/>
    <n v="0"/>
    <m/>
    <n v="0"/>
    <n v="0"/>
    <n v="0"/>
    <n v="0"/>
    <n v="0"/>
    <n v="0"/>
    <n v="0"/>
    <n v="0"/>
    <m/>
    <n v="0"/>
    <n v="0"/>
    <n v="0"/>
    <n v="0"/>
    <n v="0"/>
    <n v="0"/>
    <n v="0"/>
    <n v="0"/>
    <n v="0"/>
  </r>
  <r>
    <s v="4.3.4.3"/>
    <x v="3"/>
    <x v="3"/>
    <x v="2"/>
    <x v="14"/>
    <n v="4"/>
    <x v="78"/>
    <x v="78"/>
    <s v="train CSOs based on the resource mobilization manual"/>
    <s v="Conduct 2 trainings on resource mobilisation "/>
    <s v="DSA (excl. lunch)"/>
    <n v="39000"/>
    <n v="25"/>
    <n v="12"/>
    <n v="11700000"/>
    <n v="0"/>
    <n v="0"/>
    <n v="0"/>
    <n v="25"/>
    <n v="12"/>
    <n v="15283343.017421894"/>
    <n v="0"/>
    <n v="0"/>
    <n v="0"/>
    <n v="0"/>
    <n v="0"/>
    <n v="0"/>
    <n v="25"/>
    <n v="12"/>
    <n v="22817450.054006364"/>
    <n v="0"/>
    <n v="0"/>
    <n v="0"/>
    <n v="0"/>
    <n v="0"/>
    <n v="0"/>
    <n v="49800793.071428254"/>
    <n v="48350.284535367238"/>
  </r>
  <r>
    <s v="4.3.4.3"/>
    <x v="3"/>
    <x v="3"/>
    <x v="2"/>
    <x v="14"/>
    <n v="4"/>
    <x v="78"/>
    <x v="78"/>
    <s v="train CSOs based on the resource mobilization manual"/>
    <s v="Conduct 2 trainings on resource mobilisation "/>
    <s v="Conference package high-level"/>
    <n v="35000"/>
    <n v="25"/>
    <n v="10"/>
    <n v="8750000"/>
    <n v="0"/>
    <n v="0"/>
    <n v="0"/>
    <n v="25"/>
    <n v="10"/>
    <n v="11429850.547217228"/>
    <n v="0"/>
    <n v="0"/>
    <n v="0"/>
    <n v="0"/>
    <n v="0"/>
    <n v="0"/>
    <n v="25"/>
    <n v="10"/>
    <n v="17064332.305346638"/>
    <n v="0"/>
    <n v="0"/>
    <n v="0"/>
    <n v="0"/>
    <n v="0"/>
    <n v="0"/>
    <n v="37244182.852563865"/>
    <n v="36159.400827731908"/>
  </r>
  <r>
    <s v="4.3.4.3"/>
    <x v="3"/>
    <x v="3"/>
    <x v="2"/>
    <x v="14"/>
    <n v="4"/>
    <x v="78"/>
    <x v="78"/>
    <s v="train CSOs based on the resource mobilization manual"/>
    <s v="Conduct 2 trainings on resource mobilisation "/>
    <s v="Local running (diesel, per km)"/>
    <n v="211.42857142857142"/>
    <n v="450"/>
    <n v="10"/>
    <n v="951428.57142857136"/>
    <n v="0"/>
    <n v="0"/>
    <n v="0"/>
    <n v="450"/>
    <n v="10"/>
    <n v="1242821.3003178244"/>
    <n v="0"/>
    <n v="0"/>
    <n v="0"/>
    <n v="0"/>
    <n v="0"/>
    <n v="0"/>
    <n v="450"/>
    <n v="10"/>
    <n v="1855484.9494466712"/>
    <n v="0"/>
    <n v="0"/>
    <n v="0"/>
    <n v="0"/>
    <n v="0"/>
    <n v="0"/>
    <n v="4049734.8211930669"/>
    <n v="3931.7813797990939"/>
  </r>
  <r>
    <s v="4.3.4.3"/>
    <x v="3"/>
    <x v="3"/>
    <x v="2"/>
    <x v="14"/>
    <n v="4"/>
    <x v="78"/>
    <x v="78"/>
    <s v="train CSOs based on the resource mobilization manual"/>
    <s v="Conduct 2 trainings on resource mobilisation "/>
    <s v="Fuel for travelling participants"/>
    <n v="211.42857142857142"/>
    <n v="2430"/>
    <n v="2"/>
    <n v="1027542.857142857"/>
    <m/>
    <m/>
    <n v="0"/>
    <n v="2430"/>
    <n v="2"/>
    <n v="1342247.0043432503"/>
    <m/>
    <m/>
    <n v="0"/>
    <m/>
    <m/>
    <n v="0"/>
    <n v="2430"/>
    <n v="2"/>
    <n v="2003923.745402405"/>
    <m/>
    <m/>
    <n v="0"/>
    <m/>
    <m/>
    <n v="0"/>
    <n v="4373713.6068885121"/>
    <n v="4246.3238901830218"/>
  </r>
  <r>
    <s v="4.3.4.3"/>
    <x v="3"/>
    <x v="3"/>
    <x v="2"/>
    <x v="14"/>
    <n v="4"/>
    <x v="78"/>
    <x v="78"/>
    <s v="Provide long-term technical assistance to CSOs in drafting resource mobilisation proposals"/>
    <s v="Develop TORs"/>
    <s v="zero cost"/>
    <n v="0"/>
    <n v="0"/>
    <n v="0"/>
    <n v="0"/>
    <n v="0"/>
    <n v="0"/>
    <n v="0"/>
    <n v="0"/>
    <n v="0"/>
    <n v="0"/>
    <n v="0"/>
    <n v="0"/>
    <n v="0"/>
    <n v="0"/>
    <n v="0"/>
    <n v="0"/>
    <n v="0"/>
    <n v="0"/>
    <n v="0"/>
    <n v="0"/>
    <n v="0"/>
    <n v="0"/>
    <n v="0"/>
    <n v="0"/>
    <n v="0"/>
    <n v="0"/>
    <n v="0"/>
  </r>
  <r>
    <s v="4.3.4.3"/>
    <x v="3"/>
    <x v="3"/>
    <x v="2"/>
    <x v="14"/>
    <n v="4"/>
    <x v="78"/>
    <x v="78"/>
    <s v="Provide long-term technical assistance to CSOs in drafting resource mobilisation proposals"/>
    <s v="Recruit resource mobilization specialist"/>
    <s v="Newspaper advert (full)"/>
    <n v="391991.03749999998"/>
    <n v="2"/>
    <n v="2"/>
    <n v="1567964.15"/>
    <n v="0"/>
    <n v="0"/>
    <n v="0"/>
    <n v="1"/>
    <n v="4"/>
    <n v="2048182.3883307995"/>
    <n v="0"/>
    <n v="0"/>
    <n v="0"/>
    <n v="0"/>
    <n v="0"/>
    <n v="0"/>
    <n v="0"/>
    <n v="0"/>
    <n v="0"/>
    <n v="0"/>
    <n v="0"/>
    <n v="0"/>
    <n v="0"/>
    <n v="0"/>
    <n v="0"/>
    <n v="3616146.5383307994"/>
    <n v="3510.8218818745627"/>
  </r>
  <r>
    <s v="4.3.4.3"/>
    <x v="3"/>
    <x v="3"/>
    <x v="2"/>
    <x v="14"/>
    <n v="4"/>
    <x v="78"/>
    <x v="78"/>
    <s v="Provide long-term technical assistance to CSOs in drafting resource mobilisation proposals"/>
    <s v="Recruit resource mobilization specialist"/>
    <s v="Technical Assistant"/>
    <n v="42924000"/>
    <n v="0"/>
    <n v="0"/>
    <n v="0"/>
    <n v="0"/>
    <n v="0"/>
    <n v="0"/>
    <n v="1"/>
    <n v="1"/>
    <n v="56070274.844428837"/>
    <n v="1"/>
    <n v="1"/>
    <n v="64083900.034286104"/>
    <n v="1"/>
    <n v="1"/>
    <n v="73242841.327224612"/>
    <n v="0"/>
    <n v="0"/>
    <n v="0"/>
    <n v="0"/>
    <n v="0"/>
    <n v="0"/>
    <n v="0"/>
    <n v="0"/>
    <n v="0"/>
    <n v="193397016.20593956"/>
    <n v="187764.09340382481"/>
  </r>
  <r>
    <s v="4.3.4.3"/>
    <x v="3"/>
    <x v="3"/>
    <x v="2"/>
    <x v="14"/>
    <n v="5"/>
    <x v="79"/>
    <x v="79"/>
    <s v="Develop a voluntary health insurance policy "/>
    <s v="Develop a concept paper on voluntary health insurance policy"/>
    <s v="Conference package high-level"/>
    <n v="35000"/>
    <n v="25"/>
    <n v="25"/>
    <n v="21875000"/>
    <n v="20"/>
    <n v="10"/>
    <n v="8000447.6789999986"/>
    <n v="0"/>
    <n v="0"/>
    <n v="0"/>
    <n v="0"/>
    <n v="0"/>
    <n v="0"/>
    <n v="0"/>
    <n v="0"/>
    <n v="0"/>
    <n v="0"/>
    <n v="0"/>
    <n v="0"/>
    <n v="0"/>
    <n v="0"/>
    <n v="0"/>
    <n v="0"/>
    <n v="0"/>
    <n v="0"/>
    <n v="29875447.678999998"/>
    <n v="29005.289008737862"/>
  </r>
  <r>
    <s v="4.3.4.3"/>
    <x v="3"/>
    <x v="3"/>
    <x v="2"/>
    <x v="14"/>
    <n v="5"/>
    <x v="79"/>
    <x v="79"/>
    <s v="Develop a voluntary health insurance policy "/>
    <s v="Develop a concept paper on voluntary health insurance policy"/>
    <s v="DSA (excl. lunch)"/>
    <n v="39000"/>
    <n v="25"/>
    <n v="30"/>
    <n v="29250000"/>
    <n v="30"/>
    <n v="10"/>
    <n v="13372176.834899997"/>
    <n v="0"/>
    <n v="0"/>
    <n v="0"/>
    <n v="0"/>
    <n v="0"/>
    <n v="0"/>
    <n v="0"/>
    <n v="0"/>
    <n v="0"/>
    <n v="0"/>
    <n v="0"/>
    <n v="0"/>
    <n v="0"/>
    <n v="0"/>
    <n v="0"/>
    <n v="0"/>
    <n v="0"/>
    <n v="0"/>
    <n v="42622176.834899999"/>
    <n v="41380.754208640778"/>
  </r>
  <r>
    <s v="4.3.4.3"/>
    <x v="3"/>
    <x v="3"/>
    <x v="2"/>
    <x v="14"/>
    <n v="5"/>
    <x v="79"/>
    <x v="79"/>
    <s v="Develop a voluntary health insurance policy "/>
    <s v="Develop a concept paper on voluntary health insurance policy"/>
    <s v="Local running (diesel, per km)"/>
    <n v="211.42857142857142"/>
    <n v="450"/>
    <n v="25"/>
    <n v="2378571.4285714282"/>
    <n v="4000"/>
    <n v="1"/>
    <n v="966584.6991771427"/>
    <n v="0"/>
    <n v="0"/>
    <n v="0"/>
    <n v="0"/>
    <n v="0"/>
    <n v="0"/>
    <n v="0"/>
    <n v="0"/>
    <n v="0"/>
    <n v="0"/>
    <n v="0"/>
    <n v="0"/>
    <n v="0"/>
    <n v="0"/>
    <n v="0"/>
    <n v="0"/>
    <n v="0"/>
    <n v="0"/>
    <n v="3345156.1277485709"/>
    <n v="3247.7243958723989"/>
  </r>
  <r>
    <s v="4.3.4.3"/>
    <x v="3"/>
    <x v="3"/>
    <x v="2"/>
    <x v="14"/>
    <n v="5"/>
    <x v="79"/>
    <x v="79"/>
    <s v="Develop a voluntary health insurance policy "/>
    <s v="Develop a concept paper on voluntary health insurance policy"/>
    <s v="Fuel for travelling participants"/>
    <n v="211.42857142857142"/>
    <n v="2430"/>
    <n v="5"/>
    <n v="2568857.1428571427"/>
    <m/>
    <m/>
    <n v="0"/>
    <m/>
    <m/>
    <n v="0"/>
    <m/>
    <m/>
    <n v="0"/>
    <m/>
    <m/>
    <n v="0"/>
    <m/>
    <m/>
    <n v="0"/>
    <m/>
    <m/>
    <n v="0"/>
    <m/>
    <m/>
    <n v="0"/>
    <n v="2568857.1428571427"/>
    <n v="2494.0360610263519"/>
  </r>
  <r>
    <s v="4.3.4.3"/>
    <x v="3"/>
    <x v="3"/>
    <x v="2"/>
    <x v="14"/>
    <n v="5"/>
    <x v="79"/>
    <x v="79"/>
    <s v="Develop a voluntary health insurance policy "/>
    <s v="Validation of the policy "/>
    <s v="Conference package high-level"/>
    <n v="35000"/>
    <n v="100"/>
    <n v="5"/>
    <n v="17500000"/>
    <n v="30"/>
    <n v="1"/>
    <n v="1200067.1518499998"/>
    <n v="0"/>
    <n v="0"/>
    <n v="0"/>
    <n v="0"/>
    <n v="0"/>
    <n v="0"/>
    <n v="0"/>
    <n v="0"/>
    <n v="0"/>
    <n v="0"/>
    <n v="0"/>
    <n v="0"/>
    <n v="0"/>
    <n v="0"/>
    <n v="0"/>
    <n v="0"/>
    <n v="0"/>
    <n v="0"/>
    <n v="18700067.15185"/>
    <n v="18155.405001796116"/>
  </r>
  <r>
    <s v="4.3.4.3"/>
    <x v="3"/>
    <x v="3"/>
    <x v="2"/>
    <x v="14"/>
    <n v="5"/>
    <x v="79"/>
    <x v="79"/>
    <s v="Develop a voluntary health insurance policy "/>
    <s v="Validation of the policy "/>
    <s v="DSA (excl. lunch)"/>
    <n v="39000"/>
    <n v="58"/>
    <n v="6"/>
    <n v="13572000"/>
    <m/>
    <m/>
    <n v="0"/>
    <m/>
    <m/>
    <n v="0"/>
    <m/>
    <m/>
    <n v="0"/>
    <m/>
    <m/>
    <n v="0"/>
    <m/>
    <m/>
    <n v="0"/>
    <m/>
    <m/>
    <n v="0"/>
    <m/>
    <m/>
    <n v="0"/>
    <n v="13572000"/>
    <n v="13176.699029126214"/>
  </r>
  <r>
    <s v="4.3.4.3"/>
    <x v="3"/>
    <x v="3"/>
    <x v="2"/>
    <x v="14"/>
    <n v="5"/>
    <x v="79"/>
    <x v="79"/>
    <s v="Develop a voluntary health insurance policy "/>
    <s v="Validation of the policy "/>
    <s v="Local running (diesel, per km)"/>
    <n v="211.42857142857142"/>
    <n v="1450"/>
    <n v="5"/>
    <n v="1532857.142857143"/>
    <m/>
    <m/>
    <n v="0"/>
    <m/>
    <m/>
    <n v="0"/>
    <m/>
    <m/>
    <n v="0"/>
    <m/>
    <m/>
    <n v="0"/>
    <m/>
    <m/>
    <n v="0"/>
    <m/>
    <m/>
    <n v="0"/>
    <m/>
    <m/>
    <n v="0"/>
    <n v="1532857.142857143"/>
    <n v="1488.2108183079058"/>
  </r>
  <r>
    <s v="4.3.4.3"/>
    <x v="3"/>
    <x v="3"/>
    <x v="2"/>
    <x v="14"/>
    <n v="5"/>
    <x v="79"/>
    <x v="79"/>
    <s v="Develop a voluntary health insurance policy "/>
    <s v="Validation of the policy "/>
    <s v="Fuel for travelling participants"/>
    <n v="211.42857142857142"/>
    <n v="22500"/>
    <n v="1"/>
    <n v="4757142.8571428573"/>
    <m/>
    <m/>
    <n v="0"/>
    <m/>
    <m/>
    <n v="0"/>
    <m/>
    <m/>
    <n v="0"/>
    <m/>
    <m/>
    <n v="0"/>
    <m/>
    <m/>
    <n v="0"/>
    <m/>
    <m/>
    <n v="0"/>
    <m/>
    <m/>
    <n v="0"/>
    <n v="4757142.8571428573"/>
    <n v="4618.5852981969492"/>
  </r>
  <r>
    <s v="4.3.4.3"/>
    <x v="3"/>
    <x v="3"/>
    <x v="2"/>
    <x v="14"/>
    <n v="5"/>
    <x v="79"/>
    <x v="79"/>
    <s v="Develop a voluntary health insurance policy "/>
    <s v="Present to relevant TWG "/>
    <s v="Conference package high-level"/>
    <n v="35000"/>
    <n v="50"/>
    <n v="1"/>
    <n v="1750000"/>
    <n v="30"/>
    <n v="1"/>
    <n v="1200067.1518499998"/>
    <n v="0"/>
    <n v="0"/>
    <n v="0"/>
    <n v="0"/>
    <n v="0"/>
    <n v="0"/>
    <n v="0"/>
    <n v="0"/>
    <n v="0"/>
    <n v="0"/>
    <n v="0"/>
    <n v="0"/>
    <n v="0"/>
    <n v="0"/>
    <n v="0"/>
    <n v="0"/>
    <n v="0"/>
    <n v="0"/>
    <n v="2950067.15185"/>
    <n v="2864.1428658737864"/>
  </r>
  <r>
    <s v="4.3.4.3"/>
    <x v="3"/>
    <x v="3"/>
    <x v="2"/>
    <x v="14"/>
    <n v="5"/>
    <x v="79"/>
    <x v="79"/>
    <s v="Develop a voluntary health insurance policy "/>
    <s v="Present to SMT "/>
    <s v="zero cost"/>
    <n v="0"/>
    <n v="0"/>
    <n v="0"/>
    <n v="0"/>
    <n v="0"/>
    <n v="0"/>
    <n v="0"/>
    <n v="0"/>
    <n v="0"/>
    <n v="0"/>
    <n v="0"/>
    <n v="0"/>
    <n v="0"/>
    <n v="0"/>
    <n v="0"/>
    <n v="0"/>
    <n v="0"/>
    <n v="0"/>
    <n v="0"/>
    <n v="0"/>
    <n v="0"/>
    <n v="0"/>
    <n v="0"/>
    <n v="0"/>
    <n v="0"/>
    <n v="0"/>
    <n v="0"/>
  </r>
  <r>
    <s v="4.3.4.3"/>
    <x v="3"/>
    <x v="3"/>
    <x v="2"/>
    <x v="14"/>
    <n v="5"/>
    <x v="79"/>
    <x v="79"/>
    <s v="Develop a voluntary health insurance policy "/>
    <s v="Dissemination of the Policy"/>
    <s v="Conference package high-level"/>
    <n v="35000"/>
    <n v="100"/>
    <n v="1"/>
    <n v="3500000"/>
    <n v="100"/>
    <n v="1"/>
    <n v="4000223.8394999993"/>
    <n v="0"/>
    <n v="0"/>
    <n v="0"/>
    <n v="0"/>
    <n v="0"/>
    <n v="0"/>
    <n v="0"/>
    <n v="0"/>
    <n v="0"/>
    <n v="0"/>
    <n v="0"/>
    <n v="0"/>
    <n v="0"/>
    <n v="0"/>
    <n v="0"/>
    <n v="0"/>
    <n v="0"/>
    <n v="0"/>
    <n v="7500223.8394999988"/>
    <n v="7281.7707179611643"/>
  </r>
  <r>
    <s v="4.3.4.3"/>
    <x v="3"/>
    <x v="3"/>
    <x v="2"/>
    <x v="14"/>
    <n v="5"/>
    <x v="79"/>
    <x v="79"/>
    <s v="Develop a voluntary health insurance policy "/>
    <s v="Dissemination of the Policy"/>
    <s v="DSA (excl. lunch)"/>
    <n v="39000"/>
    <n v="58"/>
    <n v="1"/>
    <n v="2262000"/>
    <m/>
    <m/>
    <n v="0"/>
    <m/>
    <m/>
    <n v="0"/>
    <m/>
    <m/>
    <n v="0"/>
    <m/>
    <m/>
    <n v="0"/>
    <m/>
    <m/>
    <n v="0"/>
    <m/>
    <m/>
    <n v="0"/>
    <m/>
    <m/>
    <n v="0"/>
    <n v="2262000"/>
    <n v="2196.1165048543689"/>
  </r>
  <r>
    <s v="4.3.4.3"/>
    <x v="3"/>
    <x v="3"/>
    <x v="2"/>
    <x v="14"/>
    <n v="5"/>
    <x v="79"/>
    <x v="79"/>
    <s v="Develop a voluntary health insurance policy "/>
    <s v="Dissemination of the Policy"/>
    <s v="Local running (diesel, per km)"/>
    <n v="211.42857142857142"/>
    <n v="1450"/>
    <n v="1"/>
    <n v="306571.42857142858"/>
    <m/>
    <m/>
    <n v="0"/>
    <m/>
    <m/>
    <n v="0"/>
    <m/>
    <m/>
    <n v="0"/>
    <m/>
    <m/>
    <n v="0"/>
    <m/>
    <m/>
    <n v="0"/>
    <m/>
    <m/>
    <n v="0"/>
    <m/>
    <m/>
    <n v="0"/>
    <n v="306571.42857142858"/>
    <n v="297.64216366158115"/>
  </r>
  <r>
    <s v="4.3.4.3"/>
    <x v="3"/>
    <x v="3"/>
    <x v="2"/>
    <x v="14"/>
    <n v="5"/>
    <x v="79"/>
    <x v="79"/>
    <s v="Develop a voluntary health insurance policy "/>
    <s v="Dissemination of the Policy"/>
    <s v="Fuel for travelling participants"/>
    <n v="211.42857142857142"/>
    <n v="22500"/>
    <n v="1"/>
    <n v="4757142.8571428573"/>
    <m/>
    <m/>
    <n v="0"/>
    <m/>
    <m/>
    <n v="0"/>
    <m/>
    <m/>
    <n v="0"/>
    <m/>
    <m/>
    <n v="0"/>
    <m/>
    <m/>
    <n v="0"/>
    <m/>
    <m/>
    <n v="0"/>
    <m/>
    <m/>
    <n v="0"/>
    <n v="4757142.8571428573"/>
    <n v="4618.5852981969492"/>
  </r>
  <r>
    <s v="4.3.4.3"/>
    <x v="3"/>
    <x v="3"/>
    <x v="2"/>
    <x v="14"/>
    <n v="5"/>
    <x v="79"/>
    <x v="79"/>
    <s v="Develop a voluntary health insurance policy "/>
    <s v="Dissemination of the Policy"/>
    <s v="A4, 500 page, 140 gsm paper"/>
    <n v="8000"/>
    <n v="0"/>
    <n v="0"/>
    <n v="0"/>
    <n v="50000"/>
    <n v="1"/>
    <n v="457168438.79999995"/>
    <n v="0"/>
    <n v="0"/>
    <n v="0"/>
    <n v="0"/>
    <n v="0"/>
    <n v="0"/>
    <n v="0"/>
    <n v="0"/>
    <n v="0"/>
    <n v="0"/>
    <n v="0"/>
    <n v="0"/>
    <n v="0"/>
    <n v="0"/>
    <n v="0"/>
    <n v="0"/>
    <n v="0"/>
    <n v="0"/>
    <n v="457168438.79999995"/>
    <n v="443852.85320388345"/>
  </r>
  <r>
    <s v="4.3.4.3"/>
    <x v="3"/>
    <x v="3"/>
    <x v="2"/>
    <x v="14"/>
    <n v="5"/>
    <x v="79"/>
    <x v="79"/>
    <s v="Develop a voluntary health insurance policy "/>
    <s v="Dissemination of the Policy"/>
    <s v="toner"/>
    <n v="104850"/>
    <n v="0"/>
    <n v="0"/>
    <n v="0"/>
    <n v="5"/>
    <n v="1"/>
    <n v="599176.38510224991"/>
    <n v="0"/>
    <n v="0"/>
    <n v="0"/>
    <n v="0"/>
    <n v="0"/>
    <n v="0"/>
    <n v="0"/>
    <n v="0"/>
    <n v="0"/>
    <n v="0"/>
    <n v="0"/>
    <n v="0"/>
    <n v="0"/>
    <n v="0"/>
    <n v="0"/>
    <n v="0"/>
    <n v="0"/>
    <n v="0"/>
    <n v="599176.38510224991"/>
    <n v="581.72464573033972"/>
  </r>
  <r>
    <s v="4.3.4.4"/>
    <x v="3"/>
    <x v="3"/>
    <x v="3"/>
    <x v="15"/>
    <n v="1"/>
    <x v="80"/>
    <x v="80"/>
    <s v=" Hold consultations with RBM to provide inputs"/>
    <s v="hold 5 meetings with RBM"/>
    <s v="zero cost"/>
    <n v="0"/>
    <n v="30"/>
    <n v="5"/>
    <n v="0"/>
    <n v="0"/>
    <n v="0"/>
    <n v="0"/>
    <m/>
    <m/>
    <n v="0"/>
    <m/>
    <m/>
    <n v="0"/>
    <m/>
    <m/>
    <n v="0"/>
    <m/>
    <m/>
    <n v="0"/>
    <n v="0"/>
    <n v="0"/>
    <n v="0"/>
    <n v="0"/>
    <n v="0"/>
    <n v="0"/>
    <n v="0"/>
    <n v="0"/>
  </r>
  <r>
    <s v="4.3.4.4"/>
    <x v="3"/>
    <x v="3"/>
    <x v="3"/>
    <x v="15"/>
    <n v="1"/>
    <x v="80"/>
    <x v="80"/>
    <s v="Develop a health specific VHI policy"/>
    <s v="develop a concept note"/>
    <s v="zero cost"/>
    <n v="0"/>
    <n v="0"/>
    <n v="0"/>
    <n v="0"/>
    <n v="0"/>
    <n v="0"/>
    <n v="0"/>
    <n v="0"/>
    <n v="0"/>
    <n v="0"/>
    <n v="0"/>
    <n v="0"/>
    <n v="0"/>
    <n v="0"/>
    <n v="0"/>
    <n v="0"/>
    <n v="0"/>
    <n v="0"/>
    <n v="0"/>
    <n v="0"/>
    <n v="0"/>
    <n v="0"/>
    <n v="0"/>
    <n v="0"/>
    <n v="0"/>
    <n v="0"/>
    <n v="0"/>
  </r>
  <r>
    <s v="4.3.4.4"/>
    <x v="3"/>
    <x v="3"/>
    <x v="3"/>
    <x v="15"/>
    <n v="1"/>
    <x v="80"/>
    <x v="80"/>
    <s v="Develop a health specific VHI policy"/>
    <s v="Set up a taskforce"/>
    <s v="zero cost"/>
    <n v="0"/>
    <n v="0"/>
    <n v="0"/>
    <n v="0"/>
    <n v="0"/>
    <n v="0"/>
    <n v="0"/>
    <n v="0"/>
    <n v="0"/>
    <n v="0"/>
    <n v="0"/>
    <n v="0"/>
    <n v="0"/>
    <n v="0"/>
    <n v="0"/>
    <n v="0"/>
    <n v="0"/>
    <n v="0"/>
    <n v="0"/>
    <n v="0"/>
    <n v="0"/>
    <n v="0"/>
    <n v="0"/>
    <n v="0"/>
    <n v="0"/>
    <n v="0"/>
    <n v="0"/>
  </r>
  <r>
    <s v="4.3.4.4"/>
    <x v="3"/>
    <x v="3"/>
    <x v="3"/>
    <x v="15"/>
    <n v="1"/>
    <x v="80"/>
    <x v="80"/>
    <s v="Develop a health specific VHI policy"/>
    <s v="Hold 5 consultative meetings with stakeholders (5 days for each meeting)"/>
    <s v="Conference package high-level"/>
    <n v="35000"/>
    <n v="30"/>
    <n v="15"/>
    <n v="15750000"/>
    <n v="0"/>
    <n v="0"/>
    <n v="0"/>
    <n v="0"/>
    <n v="0"/>
    <n v="0"/>
    <n v="0"/>
    <n v="0"/>
    <n v="0"/>
    <n v="0"/>
    <n v="0"/>
    <n v="0"/>
    <n v="0"/>
    <n v="0"/>
    <n v="0"/>
    <n v="0"/>
    <n v="0"/>
    <n v="0"/>
    <n v="0"/>
    <n v="0"/>
    <n v="0"/>
    <n v="15750000"/>
    <n v="15291.26213592233"/>
  </r>
  <r>
    <s v="4.3.4.4"/>
    <x v="3"/>
    <x v="3"/>
    <x v="3"/>
    <x v="15"/>
    <n v="1"/>
    <x v="80"/>
    <x v="80"/>
    <s v="Develop a health specific VHI policy"/>
    <s v="Hold 5 consultative meetings with stakeholders (5 days for each meeting)"/>
    <s v="Local running (diesel, per km)"/>
    <n v="211.42857142857142"/>
    <n v="450"/>
    <n v="15"/>
    <n v="1427142.857142857"/>
    <n v="0"/>
    <n v="0"/>
    <n v="0"/>
    <n v="0"/>
    <n v="0"/>
    <n v="0"/>
    <n v="0"/>
    <n v="0"/>
    <n v="0"/>
    <n v="0"/>
    <n v="0"/>
    <n v="0"/>
    <n v="0"/>
    <n v="0"/>
    <n v="0"/>
    <n v="0"/>
    <n v="0"/>
    <n v="0"/>
    <n v="0"/>
    <n v="0"/>
    <n v="0"/>
    <n v="1427142.857142857"/>
    <n v="1385.5755894590845"/>
  </r>
  <r>
    <s v="4.3.4.4"/>
    <x v="3"/>
    <x v="3"/>
    <x v="3"/>
    <x v="15"/>
    <n v="1"/>
    <x v="80"/>
    <x v="80"/>
    <s v="Develop a health specific VHI policy"/>
    <s v="Hold 5 consultative meetings with stakeholders (5 days for each meeting)"/>
    <s v="Fuel for Traveling Participants"/>
    <n v="211.42857142857142"/>
    <n v="2430"/>
    <n v="5"/>
    <n v="2568857.1428571427"/>
    <n v="0"/>
    <n v="0"/>
    <n v="0"/>
    <m/>
    <m/>
    <n v="0"/>
    <m/>
    <m/>
    <n v="0"/>
    <m/>
    <m/>
    <n v="0"/>
    <m/>
    <m/>
    <n v="0"/>
    <m/>
    <m/>
    <n v="0"/>
    <m/>
    <m/>
    <n v="0"/>
    <n v="2568857.1428571427"/>
    <n v="2494.0360610263519"/>
  </r>
  <r>
    <s v="4.3.4.4"/>
    <x v="3"/>
    <x v="3"/>
    <x v="3"/>
    <x v="15"/>
    <n v="1"/>
    <x v="80"/>
    <x v="80"/>
    <s v="Develop a health specific VHI policy"/>
    <s v="Hold 5 consultative meetings with stakeholders (5 days for each meeting)"/>
    <s v="DSA (excl. lunch)"/>
    <n v="39000"/>
    <n v="30"/>
    <n v="15"/>
    <n v="17550000"/>
    <n v="0"/>
    <n v="0"/>
    <n v="0"/>
    <n v="0"/>
    <n v="0"/>
    <n v="0"/>
    <n v="0"/>
    <n v="0"/>
    <n v="0"/>
    <n v="0"/>
    <n v="0"/>
    <n v="0"/>
    <n v="0"/>
    <n v="0"/>
    <n v="0"/>
    <n v="0"/>
    <n v="0"/>
    <n v="0"/>
    <n v="0"/>
    <n v="0"/>
    <n v="0"/>
    <n v="17550000"/>
    <n v="17038.834951456312"/>
  </r>
  <r>
    <s v="4.3.4.4"/>
    <x v="3"/>
    <x v="3"/>
    <x v="3"/>
    <x v="15"/>
    <n v="1"/>
    <x v="80"/>
    <x v="80"/>
    <s v="Develop a health specific VHI policy"/>
    <s v="Present to TWG"/>
    <s v="Conference package high-level"/>
    <n v="35000"/>
    <n v="25"/>
    <n v="1"/>
    <n v="875000"/>
    <n v="0"/>
    <n v="0"/>
    <n v="0"/>
    <n v="0"/>
    <n v="0"/>
    <n v="0"/>
    <n v="0"/>
    <n v="0"/>
    <n v="0"/>
    <n v="0"/>
    <n v="0"/>
    <n v="0"/>
    <n v="0"/>
    <n v="0"/>
    <n v="0"/>
    <n v="0"/>
    <n v="0"/>
    <n v="0"/>
    <n v="0"/>
    <n v="0"/>
    <n v="0"/>
    <n v="875000"/>
    <n v="849.51456310679612"/>
  </r>
  <r>
    <s v="4.3.4.4"/>
    <x v="3"/>
    <x v="3"/>
    <x v="3"/>
    <x v="15"/>
    <n v="1"/>
    <x v="80"/>
    <x v="80"/>
    <s v="Develop a health specific VHI policy"/>
    <s v="Present to SMT"/>
    <s v="zero cost"/>
    <n v="0"/>
    <n v="25"/>
    <n v="1"/>
    <n v="0"/>
    <n v="0"/>
    <n v="0"/>
    <n v="0"/>
    <n v="0"/>
    <n v="0"/>
    <n v="0"/>
    <n v="0"/>
    <n v="0"/>
    <n v="0"/>
    <n v="0"/>
    <n v="0"/>
    <n v="0"/>
    <n v="0"/>
    <n v="0"/>
    <n v="0"/>
    <n v="0"/>
    <n v="0"/>
    <n v="0"/>
    <n v="0"/>
    <n v="0"/>
    <n v="0"/>
    <n v="0"/>
    <n v="0"/>
  </r>
  <r>
    <s v="4.3.4.4"/>
    <x v="3"/>
    <x v="3"/>
    <x v="3"/>
    <x v="15"/>
    <n v="1"/>
    <x v="80"/>
    <x v="80"/>
    <s v="Develop a health specific VHI policy"/>
    <s v="Dissemination "/>
    <s v="Conference package high-level"/>
    <n v="35000"/>
    <n v="100"/>
    <n v="1"/>
    <n v="3500000"/>
    <n v="0"/>
    <n v="0"/>
    <n v="0"/>
    <n v="0"/>
    <n v="0"/>
    <n v="0"/>
    <n v="0"/>
    <n v="0"/>
    <n v="0"/>
    <n v="0"/>
    <n v="0"/>
    <n v="0"/>
    <n v="0"/>
    <n v="0"/>
    <n v="0"/>
    <n v="0"/>
    <n v="0"/>
    <n v="0"/>
    <n v="0"/>
    <n v="0"/>
    <n v="0"/>
    <n v="3500000"/>
    <n v="3398.0582524271845"/>
  </r>
  <r>
    <s v="4.3.4.4"/>
    <x v="3"/>
    <x v="3"/>
    <x v="3"/>
    <x v="15"/>
    <n v="1"/>
    <x v="80"/>
    <x v="80"/>
    <s v="Develop a health specific VHI policy"/>
    <s v="Dissemination "/>
    <s v="A4, 500 pages, 140 gsm paper"/>
    <n v="8000"/>
    <n v="10"/>
    <n v="1"/>
    <n v="80000"/>
    <n v="0"/>
    <n v="0"/>
    <n v="0"/>
    <n v="0"/>
    <n v="0"/>
    <n v="0"/>
    <n v="0"/>
    <n v="0"/>
    <n v="0"/>
    <n v="0"/>
    <n v="0"/>
    <n v="0"/>
    <n v="0"/>
    <n v="0"/>
    <n v="0"/>
    <n v="0"/>
    <n v="0"/>
    <n v="0"/>
    <n v="0"/>
    <n v="0"/>
    <n v="0"/>
    <n v="80000"/>
    <n v="77.669902912621353"/>
  </r>
  <r>
    <s v="4.3.4.4"/>
    <x v="3"/>
    <x v="3"/>
    <x v="3"/>
    <x v="15"/>
    <n v="1"/>
    <x v="80"/>
    <x v="80"/>
    <s v="Develop a health specific VHI policy"/>
    <s v="Dissemination "/>
    <s v="toner"/>
    <n v="104850"/>
    <n v="1"/>
    <n v="1"/>
    <n v="104850"/>
    <n v="0"/>
    <n v="0"/>
    <n v="0"/>
    <n v="0"/>
    <n v="0"/>
    <n v="0"/>
    <n v="0"/>
    <n v="0"/>
    <n v="0"/>
    <n v="0"/>
    <n v="0"/>
    <n v="0"/>
    <n v="0"/>
    <n v="0"/>
    <n v="0"/>
    <n v="0"/>
    <n v="0"/>
    <n v="0"/>
    <n v="0"/>
    <n v="0"/>
    <n v="0"/>
    <n v="104850"/>
    <n v="101.79611650485437"/>
  </r>
  <r>
    <s v="4.3.4.4"/>
    <x v="3"/>
    <x v="3"/>
    <x v="3"/>
    <x v="15"/>
    <n v="2"/>
    <x v="81"/>
    <x v="81"/>
    <s v="Development of regulations on strategic health purchasing"/>
    <s v="Develop a concept note"/>
    <s v="zero cost"/>
    <n v="0"/>
    <m/>
    <m/>
    <n v="0"/>
    <n v="0"/>
    <n v="0"/>
    <n v="0"/>
    <n v="0"/>
    <n v="0"/>
    <n v="0"/>
    <n v="0"/>
    <n v="0"/>
    <n v="0"/>
    <n v="0"/>
    <n v="0"/>
    <n v="0"/>
    <n v="0"/>
    <n v="0"/>
    <n v="0"/>
    <n v="0"/>
    <n v="0"/>
    <n v="0"/>
    <n v="0"/>
    <n v="0"/>
    <n v="0"/>
    <n v="0"/>
    <n v="0"/>
  </r>
  <r>
    <s v="4.3.4.4"/>
    <x v="3"/>
    <x v="3"/>
    <x v="3"/>
    <x v="15"/>
    <n v="2"/>
    <x v="81"/>
    <x v="81"/>
    <s v="Development of regulations on strategic health purchasing"/>
    <s v="Set up a taskforce"/>
    <s v="zero cost"/>
    <n v="0"/>
    <m/>
    <m/>
    <n v="0"/>
    <m/>
    <m/>
    <n v="0"/>
    <n v="0"/>
    <n v="0"/>
    <n v="0"/>
    <n v="0"/>
    <n v="0"/>
    <n v="0"/>
    <n v="0"/>
    <n v="0"/>
    <n v="0"/>
    <n v="0"/>
    <n v="0"/>
    <n v="0"/>
    <n v="0"/>
    <n v="0"/>
    <n v="0"/>
    <n v="0"/>
    <n v="0"/>
    <n v="0"/>
    <n v="0"/>
    <n v="0"/>
  </r>
  <r>
    <s v="4.3.4.4"/>
    <x v="3"/>
    <x v="3"/>
    <x v="3"/>
    <x v="15"/>
    <n v="2"/>
    <x v="81"/>
    <x v="81"/>
    <s v="Development of regulations on strategic health purchasing"/>
    <s v="Recruit a consultant to facilitate the development of regulations on strategic health purchasing"/>
    <s v="Newspaper advert (full)"/>
    <n v="391991.03749999998"/>
    <m/>
    <m/>
    <n v="0"/>
    <m/>
    <m/>
    <n v="0"/>
    <n v="2"/>
    <n v="2"/>
    <n v="2048182.3883307995"/>
    <n v="0"/>
    <n v="0"/>
    <n v="0"/>
    <n v="0"/>
    <n v="0"/>
    <n v="0"/>
    <n v="0"/>
    <n v="0"/>
    <n v="0"/>
    <n v="0"/>
    <n v="0"/>
    <n v="0"/>
    <n v="2"/>
    <n v="2"/>
    <n v="3994384.5595926056"/>
    <n v="6042566.9479234051"/>
    <n v="5866.5698523528208"/>
  </r>
  <r>
    <s v="4.3.4.4"/>
    <x v="3"/>
    <x v="3"/>
    <x v="3"/>
    <x v="15"/>
    <n v="2"/>
    <x v="81"/>
    <x v="81"/>
    <s v="Development of regulations on strategic health purchasing"/>
    <s v="Recruit a consultant to facilitate the development of regulations on strategic health purchasing"/>
    <s v="Local consultant fee - High level"/>
    <n v="1001560"/>
    <m/>
    <m/>
    <n v="0"/>
    <m/>
    <m/>
    <n v="0"/>
    <n v="1"/>
    <n v="25"/>
    <n v="32707660.325916823"/>
    <n v="0"/>
    <n v="0"/>
    <n v="0"/>
    <n v="0"/>
    <n v="0"/>
    <n v="0"/>
    <n v="0"/>
    <n v="0"/>
    <n v="0"/>
    <n v="0"/>
    <n v="0"/>
    <n v="0"/>
    <n v="1"/>
    <n v="25"/>
    <n v="63786786.826496802"/>
    <n v="96494447.152413622"/>
    <n v="93683.929274187976"/>
  </r>
  <r>
    <s v="4.3.4.4"/>
    <x v="3"/>
    <x v="3"/>
    <x v="3"/>
    <x v="15"/>
    <n v="2"/>
    <x v="81"/>
    <x v="81"/>
    <s v="Development of regulations on strategic health purchasing"/>
    <s v="Hold 5 consultative meetings with stakeholders (5 days for each meeting)"/>
    <s v="DSA (excl. lunch)"/>
    <n v="39000"/>
    <m/>
    <m/>
    <n v="0"/>
    <m/>
    <m/>
    <n v="0"/>
    <n v="30"/>
    <n v="6"/>
    <n v="9170005.8104531355"/>
    <n v="0"/>
    <n v="0"/>
    <n v="0"/>
    <n v="0"/>
    <n v="0"/>
    <n v="0"/>
    <n v="0"/>
    <n v="0"/>
    <n v="0"/>
    <n v="0"/>
    <n v="0"/>
    <n v="0"/>
    <n v="30"/>
    <n v="6"/>
    <n v="17883431.58760364"/>
    <n v="27053437.398056775"/>
    <n v="26265.473201996869"/>
  </r>
  <r>
    <s v="4.3.4.4"/>
    <x v="3"/>
    <x v="3"/>
    <x v="3"/>
    <x v="15"/>
    <n v="2"/>
    <x v="81"/>
    <x v="81"/>
    <s v="Development of regulations on strategic health purchasing"/>
    <s v="Hold 5 consultative meetings with stakeholders (5 days for each meeting)"/>
    <s v="Conference package high-level"/>
    <n v="35000"/>
    <m/>
    <m/>
    <n v="0"/>
    <m/>
    <m/>
    <n v="0"/>
    <n v="30"/>
    <n v="5"/>
    <n v="6857910.3283303361"/>
    <n v="0"/>
    <n v="0"/>
    <n v="0"/>
    <n v="0"/>
    <n v="0"/>
    <n v="0"/>
    <n v="0"/>
    <n v="0"/>
    <n v="0"/>
    <n v="0"/>
    <n v="0"/>
    <n v="0"/>
    <n v="30"/>
    <n v="5"/>
    <n v="13374361.230045456"/>
    <n v="20232271.558375791"/>
    <n v="19642.982095510477"/>
  </r>
  <r>
    <s v="4.3.4.4"/>
    <x v="3"/>
    <x v="3"/>
    <x v="3"/>
    <x v="15"/>
    <n v="2"/>
    <x v="81"/>
    <x v="81"/>
    <s v="Development of regulations on strategic health purchasing"/>
    <s v="Hold 5 consultative meetings with stakeholders (5 days for each meeting)"/>
    <s v="Local running (diesel, per km)"/>
    <n v="211.42857142857142"/>
    <m/>
    <m/>
    <n v="0"/>
    <m/>
    <m/>
    <n v="0"/>
    <n v="450"/>
    <n v="5"/>
    <n v="621410.65015891218"/>
    <n v="0"/>
    <n v="0"/>
    <n v="0"/>
    <n v="0"/>
    <n v="0"/>
    <n v="0"/>
    <n v="0"/>
    <n v="0"/>
    <n v="0"/>
    <n v="0"/>
    <n v="0"/>
    <n v="0"/>
    <n v="450"/>
    <n v="5"/>
    <n v="1211880.8951306494"/>
    <n v="1833291.5452895616"/>
    <n v="1779.8947041646229"/>
  </r>
  <r>
    <s v="4.3.4.4"/>
    <x v="3"/>
    <x v="3"/>
    <x v="3"/>
    <x v="15"/>
    <n v="2"/>
    <x v="81"/>
    <x v="81"/>
    <s v="Development of regulations on strategic health purchasing"/>
    <s v="Hold 5 consultative meetings with stakeholders (5 days for each meeting)"/>
    <s v="Fuel for Traveling Participants"/>
    <n v="211.42857142857142"/>
    <m/>
    <m/>
    <n v="0"/>
    <m/>
    <m/>
    <n v="0"/>
    <n v="2430"/>
    <n v="1"/>
    <n v="671123.50217162515"/>
    <m/>
    <m/>
    <n v="0"/>
    <m/>
    <m/>
    <n v="0"/>
    <m/>
    <m/>
    <n v="0"/>
    <m/>
    <m/>
    <n v="0"/>
    <n v="2430"/>
    <n v="1"/>
    <n v="1308831.3667411015"/>
    <n v="1979954.8689127266"/>
    <n v="1922.2862804977929"/>
  </r>
  <r>
    <s v="4.3.4.4"/>
    <x v="3"/>
    <x v="3"/>
    <x v="3"/>
    <x v="15"/>
    <n v="2"/>
    <x v="81"/>
    <x v="81"/>
    <s v="Development of regulations on strategic health purchasing"/>
    <s v="Present to TWG for endorsement"/>
    <s v="Conference package high-level"/>
    <n v="35000"/>
    <m/>
    <m/>
    <n v="0"/>
    <m/>
    <m/>
    <n v="0"/>
    <n v="25"/>
    <n v="1"/>
    <n v="1142985.0547217228"/>
    <n v="0"/>
    <n v="0"/>
    <n v="0"/>
    <n v="0"/>
    <n v="0"/>
    <n v="0"/>
    <n v="0"/>
    <n v="0"/>
    <n v="0"/>
    <n v="0"/>
    <n v="0"/>
    <n v="0"/>
    <n v="25"/>
    <n v="1"/>
    <n v="2229060.2050075764"/>
    <n v="3372045.2597292992"/>
    <n v="3273.8303492517466"/>
  </r>
  <r>
    <s v="4.3.4.4"/>
    <x v="3"/>
    <x v="3"/>
    <x v="3"/>
    <x v="15"/>
    <n v="2"/>
    <x v="81"/>
    <x v="81"/>
    <s v="Development of regulations on strategic health purchasing"/>
    <s v="Present to SMT for approval"/>
    <s v="zero cost"/>
    <n v="0"/>
    <m/>
    <m/>
    <n v="0"/>
    <m/>
    <m/>
    <n v="0"/>
    <n v="25"/>
    <n v="1"/>
    <n v="0"/>
    <n v="0"/>
    <n v="0"/>
    <n v="0"/>
    <n v="0"/>
    <n v="0"/>
    <n v="0"/>
    <n v="0"/>
    <n v="0"/>
    <n v="0"/>
    <n v="0"/>
    <n v="0"/>
    <n v="0"/>
    <n v="25"/>
    <n v="1"/>
    <n v="0"/>
    <n v="0"/>
    <n v="0"/>
  </r>
  <r>
    <s v="4.3.4.4"/>
    <x v="3"/>
    <x v="3"/>
    <x v="3"/>
    <x v="15"/>
    <n v="2"/>
    <x v="81"/>
    <x v="81"/>
    <s v="Development of regulations on strategic health purchasing"/>
    <s v="Dissemination "/>
    <s v="Conference package high-level"/>
    <n v="35000"/>
    <m/>
    <m/>
    <n v="0"/>
    <m/>
    <m/>
    <n v="0"/>
    <n v="100"/>
    <n v="1"/>
    <n v="4571940.2188868914"/>
    <n v="0"/>
    <n v="0"/>
    <n v="0"/>
    <n v="0"/>
    <n v="0"/>
    <n v="0"/>
    <n v="0"/>
    <n v="0"/>
    <n v="0"/>
    <n v="0"/>
    <n v="0"/>
    <n v="0"/>
    <n v="100"/>
    <n v="1"/>
    <n v="8916240.8200303055"/>
    <n v="13488181.038917197"/>
    <n v="13095.321397006986"/>
  </r>
  <r>
    <s v="4.3.4.4"/>
    <x v="3"/>
    <x v="3"/>
    <x v="3"/>
    <x v="15"/>
    <n v="2"/>
    <x v="81"/>
    <x v="81"/>
    <s v="Development of regulations on strategic health purchasing"/>
    <s v="Dissemination "/>
    <s v="A4, 500 pages, 140 gsm paper"/>
    <n v="8000"/>
    <m/>
    <m/>
    <n v="0"/>
    <m/>
    <m/>
    <n v="0"/>
    <n v="10"/>
    <n v="1"/>
    <n v="104501.49071741465"/>
    <n v="0"/>
    <n v="0"/>
    <n v="0"/>
    <n v="0"/>
    <n v="0"/>
    <n v="0"/>
    <n v="0"/>
    <n v="0"/>
    <n v="0"/>
    <n v="0"/>
    <n v="0"/>
    <n v="0"/>
    <n v="10"/>
    <n v="1"/>
    <n v="203799.79017212125"/>
    <n v="308301.2808895359"/>
    <n v="299.32163193158823"/>
  </r>
  <r>
    <s v="4.3.4.4"/>
    <x v="3"/>
    <x v="3"/>
    <x v="3"/>
    <x v="15"/>
    <n v="2"/>
    <x v="81"/>
    <x v="81"/>
    <s v="Development of regulations on strategic health purchasing"/>
    <s v="Dissemination "/>
    <s v="toner"/>
    <n v="104850"/>
    <m/>
    <m/>
    <n v="0"/>
    <m/>
    <m/>
    <n v="0"/>
    <n v="1"/>
    <n v="1"/>
    <n v="136962.26627151159"/>
    <n v="0"/>
    <n v="0"/>
    <n v="0"/>
    <n v="0"/>
    <n v="0"/>
    <n v="0"/>
    <n v="0"/>
    <n v="0"/>
    <n v="0"/>
    <n v="0"/>
    <n v="0"/>
    <n v="0"/>
    <n v="1"/>
    <n v="1"/>
    <n v="267105.09999433643"/>
    <n v="404067.36626584805"/>
    <n v="392.29841385033791"/>
  </r>
  <r>
    <s v="4.3.4.4"/>
    <x v="3"/>
    <x v="3"/>
    <x v="3"/>
    <x v="15"/>
    <n v="3"/>
    <x v="82"/>
    <x v="82"/>
    <s v="Develop guidelines for the public health budget accountability fora"/>
    <s v="Set up a taskforce"/>
    <s v="zero cost"/>
    <n v="0"/>
    <m/>
    <m/>
    <n v="0"/>
    <n v="0"/>
    <n v="0"/>
    <n v="0"/>
    <n v="0"/>
    <n v="0"/>
    <n v="0"/>
    <n v="0"/>
    <n v="0"/>
    <n v="0"/>
    <n v="0"/>
    <n v="0"/>
    <n v="0"/>
    <n v="0"/>
    <n v="0"/>
    <n v="0"/>
    <n v="0"/>
    <n v="0"/>
    <n v="0"/>
    <n v="0"/>
    <n v="0"/>
    <n v="0"/>
    <n v="0"/>
    <n v="0"/>
  </r>
  <r>
    <s v="4.3.4.4"/>
    <x v="3"/>
    <x v="3"/>
    <x v="3"/>
    <x v="15"/>
    <n v="3"/>
    <x v="82"/>
    <x v="82"/>
    <s v="Develop guidelines for the public health budget accountability fora"/>
    <s v="Engage CSOs to develop the guidelines (3 workshops)"/>
    <s v="Conference package high-level"/>
    <n v="35000"/>
    <m/>
    <m/>
    <n v="0"/>
    <n v="50"/>
    <n v="15"/>
    <n v="30001678.796249993"/>
    <n v="0"/>
    <n v="0"/>
    <n v="0"/>
    <n v="0"/>
    <n v="0"/>
    <n v="0"/>
    <n v="0"/>
    <n v="0"/>
    <n v="0"/>
    <n v="0"/>
    <n v="0"/>
    <n v="0"/>
    <n v="50"/>
    <n v="15"/>
    <n v="58509556.193997949"/>
    <n v="0"/>
    <n v="0"/>
    <n v="0"/>
    <n v="88511234.990247935"/>
    <n v="85933.237854609644"/>
  </r>
  <r>
    <s v="4.3.4.4"/>
    <x v="3"/>
    <x v="3"/>
    <x v="3"/>
    <x v="15"/>
    <n v="3"/>
    <x v="82"/>
    <x v="82"/>
    <s v="Develop guidelines for the public health budget accountability fora"/>
    <s v="Engage CSOs to develop the guidelines (3 workshops)"/>
    <s v="DSA (excl. lunch)"/>
    <n v="39000"/>
    <m/>
    <m/>
    <n v="0"/>
    <n v="50"/>
    <n v="15"/>
    <n v="33430442.087249994"/>
    <n v="0"/>
    <n v="0"/>
    <n v="0"/>
    <n v="0"/>
    <n v="0"/>
    <n v="0"/>
    <n v="0"/>
    <n v="0"/>
    <n v="0"/>
    <n v="0"/>
    <n v="0"/>
    <n v="0"/>
    <n v="50"/>
    <n v="15"/>
    <n v="65196362.616169162"/>
    <n v="0"/>
    <n v="0"/>
    <n v="0"/>
    <n v="98626804.703419149"/>
    <n v="95754.179323707911"/>
  </r>
  <r>
    <s v="4.3.4.4"/>
    <x v="3"/>
    <x v="3"/>
    <x v="3"/>
    <x v="15"/>
    <n v="3"/>
    <x v="82"/>
    <x v="82"/>
    <s v="Develop guidelines for the public health budget accountability fora"/>
    <s v="Engage CSOs to develop the guidelines (3 workshops)"/>
    <s v="Local running (diesel, per km)"/>
    <n v="211.42857142857142"/>
    <m/>
    <m/>
    <n v="0"/>
    <n v="450"/>
    <n v="15"/>
    <n v="1631111.6798614284"/>
    <n v="0"/>
    <n v="0"/>
    <n v="0"/>
    <n v="0"/>
    <n v="0"/>
    <n v="0"/>
    <n v="0"/>
    <n v="0"/>
    <n v="0"/>
    <n v="0"/>
    <n v="0"/>
    <n v="0"/>
    <n v="450"/>
    <n v="15"/>
    <n v="3181009.3408328686"/>
    <n v="0"/>
    <n v="0"/>
    <n v="0"/>
    <n v="4812121.0206942968"/>
    <n v="4671.9621560138803"/>
  </r>
  <r>
    <s v="4.3.4.4"/>
    <x v="3"/>
    <x v="3"/>
    <x v="3"/>
    <x v="15"/>
    <n v="3"/>
    <x v="82"/>
    <x v="82"/>
    <s v="Develop guidelines for the public health budget accountability fora"/>
    <s v="Engage CSOs to develop the guidelines (3 workshops)"/>
    <s v="Fuel for Traveling Participants"/>
    <n v="211.42857142857142"/>
    <m/>
    <m/>
    <n v="0"/>
    <n v="3645"/>
    <n v="3"/>
    <n v="2642400.921375514"/>
    <m/>
    <m/>
    <n v="0"/>
    <m/>
    <m/>
    <n v="0"/>
    <m/>
    <m/>
    <n v="0"/>
    <m/>
    <m/>
    <n v="0"/>
    <n v="3645"/>
    <n v="3"/>
    <n v="5153235.1321492465"/>
    <m/>
    <m/>
    <n v="0"/>
    <n v="7795636.0535247605"/>
    <n v="7568.5786927424861"/>
  </r>
  <r>
    <s v="4.3.4.4"/>
    <x v="3"/>
    <x v="3"/>
    <x v="3"/>
    <x v="15"/>
    <n v="3"/>
    <x v="82"/>
    <x v="82"/>
    <s v="Develop guidelines for the public health budget accountability fora"/>
    <s v="Present to TWG"/>
    <s v="Conference package high-level"/>
    <n v="35000"/>
    <m/>
    <m/>
    <n v="0"/>
    <n v="25"/>
    <n v="1"/>
    <n v="1000055.9598749998"/>
    <n v="0"/>
    <n v="0"/>
    <n v="0"/>
    <n v="0"/>
    <n v="0"/>
    <n v="0"/>
    <n v="0"/>
    <n v="0"/>
    <n v="0"/>
    <n v="0"/>
    <n v="0"/>
    <n v="0"/>
    <n v="25"/>
    <n v="1"/>
    <n v="1950318.5397999317"/>
    <n v="0"/>
    <n v="0"/>
    <n v="0"/>
    <n v="2950374.4996749316"/>
    <n v="2864.4412618203219"/>
  </r>
  <r>
    <s v="4.3.4.4"/>
    <x v="3"/>
    <x v="3"/>
    <x v="3"/>
    <x v="15"/>
    <n v="3"/>
    <x v="82"/>
    <x v="82"/>
    <s v="Develop guidelines for the public health budget accountability fora"/>
    <s v="Present to SMT"/>
    <s v="zero cost"/>
    <n v="0"/>
    <m/>
    <m/>
    <n v="0"/>
    <n v="25"/>
    <n v="1"/>
    <n v="0"/>
    <n v="0"/>
    <n v="0"/>
    <n v="0"/>
    <n v="0"/>
    <n v="0"/>
    <n v="0"/>
    <n v="0"/>
    <n v="0"/>
    <n v="0"/>
    <n v="0"/>
    <n v="0"/>
    <n v="0"/>
    <n v="25"/>
    <n v="1"/>
    <n v="0"/>
    <n v="0"/>
    <n v="0"/>
    <n v="0"/>
    <n v="0"/>
    <n v="0"/>
  </r>
  <r>
    <s v="4.3.4.4"/>
    <x v="3"/>
    <x v="3"/>
    <x v="3"/>
    <x v="15"/>
    <n v="3"/>
    <x v="82"/>
    <x v="82"/>
    <s v="Develop guidelines for the public health budget accountability fora"/>
    <s v="Dissemination "/>
    <s v="Conference package high-level"/>
    <n v="35000"/>
    <m/>
    <m/>
    <n v="0"/>
    <n v="100"/>
    <n v="1"/>
    <n v="4000223.8394999993"/>
    <n v="0"/>
    <n v="0"/>
    <n v="0"/>
    <n v="0"/>
    <n v="0"/>
    <n v="0"/>
    <n v="0"/>
    <n v="0"/>
    <n v="0"/>
    <n v="0"/>
    <n v="0"/>
    <n v="0"/>
    <n v="100"/>
    <n v="1"/>
    <n v="7801274.1591997268"/>
    <n v="0"/>
    <n v="0"/>
    <n v="0"/>
    <n v="11801497.998699727"/>
    <n v="11457.765047281287"/>
  </r>
  <r>
    <s v="4.3.4.4"/>
    <x v="3"/>
    <x v="3"/>
    <x v="3"/>
    <x v="15"/>
    <n v="3"/>
    <x v="82"/>
    <x v="82"/>
    <s v="Develop guidelines for the public health budget accountability fora"/>
    <s v="Dissemination "/>
    <s v="A4, 1 page, 140 gsm paper"/>
    <n v="8000"/>
    <m/>
    <m/>
    <n v="0"/>
    <n v="10"/>
    <n v="1"/>
    <n v="91433.687760000001"/>
    <n v="0"/>
    <n v="0"/>
    <n v="0"/>
    <n v="0"/>
    <n v="0"/>
    <n v="0"/>
    <n v="0"/>
    <n v="0"/>
    <n v="0"/>
    <n v="0"/>
    <n v="0"/>
    <n v="0"/>
    <n v="10"/>
    <n v="1"/>
    <n v="178314.83792456522"/>
    <n v="0"/>
    <n v="0"/>
    <n v="0"/>
    <n v="269748.52568456519"/>
    <n v="261.89177250928657"/>
  </r>
  <r>
    <s v="4.3.4.4"/>
    <x v="3"/>
    <x v="3"/>
    <x v="3"/>
    <x v="15"/>
    <n v="3"/>
    <x v="82"/>
    <x v="82"/>
    <s v="Develop guidelines for the public health budget accountability fora"/>
    <s v="Dissemination "/>
    <s v="toner"/>
    <n v="104850"/>
    <m/>
    <m/>
    <n v="0"/>
    <n v="1"/>
    <n v="1"/>
    <n v="119835.27702044998"/>
    <n v="0"/>
    <n v="0"/>
    <n v="0"/>
    <n v="0"/>
    <n v="0"/>
    <n v="0"/>
    <n v="0"/>
    <n v="0"/>
    <n v="0"/>
    <n v="0"/>
    <n v="0"/>
    <n v="0"/>
    <n v="1"/>
    <n v="1"/>
    <n v="233703.88445488326"/>
    <n v="0"/>
    <n v="0"/>
    <n v="0"/>
    <n v="353539.16147533327"/>
    <n v="343.24190434498377"/>
  </r>
  <r>
    <s v="4.3.4.4"/>
    <x v="3"/>
    <x v="3"/>
    <x v="3"/>
    <x v="15"/>
    <n v="3"/>
    <x v="82"/>
    <x v="82"/>
    <s v="Implementation of the budget accountability fora"/>
    <s v="Hold biannual meetings between officers in public health and the citizenry (CSOs)"/>
    <s v="Conference package high-level"/>
    <n v="35000"/>
    <m/>
    <m/>
    <n v="0"/>
    <n v="0"/>
    <n v="0"/>
    <n v="0"/>
    <n v="40"/>
    <n v="2"/>
    <n v="3657552.1751095126"/>
    <n v="0"/>
    <n v="0"/>
    <n v="0"/>
    <n v="0"/>
    <n v="0"/>
    <n v="0"/>
    <n v="0"/>
    <n v="0"/>
    <n v="0"/>
    <n v="0"/>
    <n v="0"/>
    <n v="0"/>
    <n v="0"/>
    <n v="0"/>
    <n v="0"/>
    <n v="3657552.1751095126"/>
    <n v="3551.0215292325365"/>
  </r>
  <r>
    <s v="4.3.4.4"/>
    <x v="3"/>
    <x v="3"/>
    <x v="3"/>
    <x v="15"/>
    <n v="3"/>
    <x v="82"/>
    <x v="82"/>
    <s v="Implementation of the budget accountability fora"/>
    <s v="Hold biannual meetings between officers in public health and the citizenry (CSOs)"/>
    <s v="DSA (excl. lunch)"/>
    <n v="39000"/>
    <m/>
    <m/>
    <n v="0"/>
    <n v="0"/>
    <n v="0"/>
    <n v="0"/>
    <n v="40"/>
    <n v="2"/>
    <n v="4075558.1379791717"/>
    <m/>
    <m/>
    <n v="0"/>
    <m/>
    <m/>
    <n v="0"/>
    <m/>
    <m/>
    <n v="0"/>
    <m/>
    <m/>
    <n v="0"/>
    <m/>
    <m/>
    <n v="0"/>
    <n v="4075558.1379791717"/>
    <n v="3956.8525611448267"/>
  </r>
  <r>
    <s v="4.3.4.4"/>
    <x v="3"/>
    <x v="3"/>
    <x v="3"/>
    <x v="15"/>
    <n v="3"/>
    <x v="82"/>
    <x v="82"/>
    <s v="Implementation of the budget accountability fora"/>
    <s v="Hold biannual meetings between officers in public health and the citizenry (CSOs)"/>
    <s v="Local running (diesel, per km)"/>
    <n v="211.42857142857142"/>
    <m/>
    <m/>
    <n v="0"/>
    <n v="0"/>
    <n v="0"/>
    <n v="0"/>
    <n v="450"/>
    <n v="2"/>
    <n v="248564.26006356487"/>
    <m/>
    <m/>
    <n v="0"/>
    <m/>
    <m/>
    <n v="0"/>
    <m/>
    <m/>
    <n v="0"/>
    <m/>
    <m/>
    <n v="0"/>
    <m/>
    <m/>
    <n v="0"/>
    <n v="248564.26006356487"/>
    <n v="241.32452433355812"/>
  </r>
  <r>
    <s v="4.3.4.4"/>
    <x v="3"/>
    <x v="3"/>
    <x v="3"/>
    <x v="15"/>
    <n v="3"/>
    <x v="82"/>
    <x v="82"/>
    <s v="Implementation of the budget accountability fora"/>
    <s v="Hold biannual meetings between officers in public health and the citizenry (CSOs)"/>
    <s v="Fuel for Traveling Participants"/>
    <n v="211.42857142857142"/>
    <m/>
    <m/>
    <n v="0"/>
    <n v="0"/>
    <n v="0"/>
    <n v="0"/>
    <n v="2430"/>
    <n v="2"/>
    <n v="1342247.0043432503"/>
    <m/>
    <m/>
    <n v="0"/>
    <m/>
    <m/>
    <n v="0"/>
    <m/>
    <m/>
    <n v="0"/>
    <m/>
    <m/>
    <n v="0"/>
    <m/>
    <m/>
    <n v="0"/>
    <n v="1342247.0043432503"/>
    <n v="1303.1524314012138"/>
  </r>
  <r>
    <s v="4.3.4.4"/>
    <x v="3"/>
    <x v="3"/>
    <x v="3"/>
    <x v="15"/>
    <n v="4"/>
    <x v="83"/>
    <x v="83"/>
    <s v="Develop a health trust fund bill"/>
    <s v="Develop a concept note"/>
    <s v="zero cost"/>
    <n v="0"/>
    <m/>
    <m/>
    <n v="0"/>
    <n v="0"/>
    <n v="0"/>
    <n v="0"/>
    <n v="0"/>
    <n v="0"/>
    <n v="0"/>
    <n v="0"/>
    <n v="0"/>
    <n v="0"/>
    <n v="0"/>
    <n v="0"/>
    <n v="0"/>
    <n v="0"/>
    <n v="0"/>
    <n v="0"/>
    <n v="0"/>
    <n v="0"/>
    <n v="0"/>
    <n v="0"/>
    <n v="0"/>
    <n v="0"/>
    <n v="0"/>
    <n v="0"/>
  </r>
  <r>
    <s v="4.3.4.4"/>
    <x v="3"/>
    <x v="3"/>
    <x v="3"/>
    <x v="15"/>
    <n v="4"/>
    <x v="83"/>
    <x v="83"/>
    <s v="Develop a health trust fund bill"/>
    <s v="Engage ministry of justice to draft the health trust fund bill (6 workshops)"/>
    <s v="Conference package high-level"/>
    <n v="35000"/>
    <m/>
    <m/>
    <n v="0"/>
    <n v="0"/>
    <n v="0"/>
    <n v="0"/>
    <n v="0"/>
    <n v="0"/>
    <n v="0"/>
    <n v="30"/>
    <n v="24"/>
    <n v="37622641.898798108"/>
    <n v="0"/>
    <n v="0"/>
    <n v="0"/>
    <n v="0"/>
    <n v="0"/>
    <n v="0"/>
    <n v="0"/>
    <n v="0"/>
    <n v="0"/>
    <n v="0"/>
    <n v="0"/>
    <n v="0"/>
    <n v="37622641.898798108"/>
    <n v="36526.836794949617"/>
  </r>
  <r>
    <s v="4.3.4.4"/>
    <x v="3"/>
    <x v="3"/>
    <x v="3"/>
    <x v="15"/>
    <n v="4"/>
    <x v="83"/>
    <x v="83"/>
    <s v="Develop a health trust fund bill"/>
    <s v="Engage ministry of justice to draft the health trust fund bill (6 workshops)"/>
    <s v="DSA (excl. lunch)"/>
    <n v="39000"/>
    <m/>
    <m/>
    <n v="0"/>
    <n v="0"/>
    <n v="0"/>
    <n v="0"/>
    <n v="0"/>
    <n v="0"/>
    <n v="0"/>
    <n v="30"/>
    <n v="24"/>
    <n v="41922372.401517883"/>
    <n v="0"/>
    <n v="0"/>
    <n v="0"/>
    <n v="0"/>
    <n v="0"/>
    <n v="0"/>
    <n v="0"/>
    <n v="0"/>
    <n v="0"/>
    <n v="0"/>
    <n v="0"/>
    <n v="0"/>
    <n v="41922372.401517883"/>
    <n v="40701.332428658141"/>
  </r>
  <r>
    <s v="4.3.4.4"/>
    <x v="3"/>
    <x v="3"/>
    <x v="3"/>
    <x v="15"/>
    <n v="4"/>
    <x v="83"/>
    <x v="83"/>
    <s v="Develop a health trust fund bill"/>
    <s v="Engage ministry of justice to draft the health trust fund bill (6 workshops)"/>
    <s v="Local running (diesel, per km)"/>
    <n v="211.42857142857142"/>
    <m/>
    <m/>
    <n v="0"/>
    <n v="0"/>
    <n v="0"/>
    <n v="0"/>
    <n v="0"/>
    <n v="0"/>
    <n v="0"/>
    <n v="450"/>
    <n v="24"/>
    <n v="3409072.0414421135"/>
    <n v="0"/>
    <n v="0"/>
    <n v="0"/>
    <n v="0"/>
    <n v="0"/>
    <n v="0"/>
    <n v="0"/>
    <n v="0"/>
    <n v="0"/>
    <n v="0"/>
    <n v="0"/>
    <n v="0"/>
    <n v="3409072.0414421135"/>
    <n v="3309.7786810117605"/>
  </r>
  <r>
    <s v="4.3.4.4"/>
    <x v="3"/>
    <x v="3"/>
    <x v="3"/>
    <x v="15"/>
    <n v="4"/>
    <x v="83"/>
    <x v="83"/>
    <s v="Develop a health trust fund bill"/>
    <s v="Engage ministry of justice to draft the health trust fund bill (6 workshops)"/>
    <s v="Fuel for Traveling Participants"/>
    <n v="211.42857142857142"/>
    <m/>
    <m/>
    <n v="0"/>
    <m/>
    <m/>
    <n v="0"/>
    <m/>
    <m/>
    <n v="0"/>
    <n v="2430"/>
    <n v="24"/>
    <n v="18408989.023787413"/>
    <m/>
    <m/>
    <n v="0"/>
    <m/>
    <m/>
    <n v="0"/>
    <m/>
    <m/>
    <n v="0"/>
    <m/>
    <m/>
    <n v="0"/>
    <n v="18408989.023787413"/>
    <n v="17872.804877463506"/>
  </r>
  <r>
    <s v="4.3.4.4"/>
    <x v="3"/>
    <x v="3"/>
    <x v="3"/>
    <x v="15"/>
    <n v="4"/>
    <x v="83"/>
    <x v="83"/>
    <s v="Develop a health trust fund bill"/>
    <s v="Present to TWG"/>
    <s v="Conference package high-level"/>
    <n v="35000"/>
    <m/>
    <m/>
    <n v="0"/>
    <n v="0"/>
    <n v="0"/>
    <n v="0"/>
    <n v="0"/>
    <n v="0"/>
    <n v="0"/>
    <n v="25"/>
    <n v="1"/>
    <n v="1306341.7325971564"/>
    <n v="0"/>
    <n v="0"/>
    <n v="0"/>
    <n v="0"/>
    <n v="0"/>
    <n v="0"/>
    <n v="0"/>
    <n v="0"/>
    <n v="0"/>
    <n v="0"/>
    <n v="0"/>
    <n v="0"/>
    <n v="1306341.7325971564"/>
    <n v="1268.2929442690838"/>
  </r>
  <r>
    <s v="4.3.4.4"/>
    <x v="3"/>
    <x v="3"/>
    <x v="3"/>
    <x v="15"/>
    <n v="4"/>
    <x v="83"/>
    <x v="83"/>
    <s v="Develop a health trust fund bill"/>
    <s v="Present to SMT for internal approval"/>
    <s v="zero cost"/>
    <n v="0"/>
    <m/>
    <m/>
    <n v="0"/>
    <n v="0"/>
    <n v="0"/>
    <n v="0"/>
    <n v="0"/>
    <n v="0"/>
    <n v="0"/>
    <n v="25"/>
    <n v="1"/>
    <n v="0"/>
    <n v="0"/>
    <n v="0"/>
    <n v="0"/>
    <n v="0"/>
    <n v="0"/>
    <n v="0"/>
    <n v="0"/>
    <n v="0"/>
    <n v="0"/>
    <n v="0"/>
    <n v="0"/>
    <n v="0"/>
    <n v="0"/>
    <n v="0"/>
  </r>
  <r>
    <s v="4.3.4.4"/>
    <x v="3"/>
    <x v="3"/>
    <x v="3"/>
    <x v="15"/>
    <n v="4"/>
    <x v="83"/>
    <x v="83"/>
    <s v="Develop a health trust fund bill"/>
    <s v="Present to relevant PS’s committee"/>
    <s v="Conference package high-level"/>
    <n v="35000"/>
    <m/>
    <m/>
    <n v="0"/>
    <n v="0"/>
    <n v="0"/>
    <n v="0"/>
    <n v="0"/>
    <n v="0"/>
    <n v="0"/>
    <n v="60"/>
    <n v="1"/>
    <n v="3135220.1582331755"/>
    <n v="0"/>
    <n v="0"/>
    <n v="0"/>
    <n v="0"/>
    <n v="0"/>
    <n v="0"/>
    <n v="0"/>
    <n v="0"/>
    <n v="0"/>
    <n v="0"/>
    <n v="0"/>
    <n v="0"/>
    <n v="3135220.1582331755"/>
    <n v="3043.9030662458013"/>
  </r>
  <r>
    <s v="4.3.4.4"/>
    <x v="3"/>
    <x v="3"/>
    <x v="3"/>
    <x v="15"/>
    <n v="4"/>
    <x v="83"/>
    <x v="83"/>
    <s v="Develop a health trust fund bill"/>
    <s v="Present to relevant PS’s committee"/>
    <s v="DSA (excl. lunch)"/>
    <n v="39000"/>
    <m/>
    <m/>
    <n v="0"/>
    <n v="0"/>
    <n v="0"/>
    <n v="0"/>
    <n v="0"/>
    <n v="0"/>
    <n v="0"/>
    <n v="60"/>
    <n v="1"/>
    <n v="3493531.0334598236"/>
    <n v="0"/>
    <n v="0"/>
    <n v="0"/>
    <n v="0"/>
    <n v="0"/>
    <n v="0"/>
    <n v="0"/>
    <n v="0"/>
    <n v="0"/>
    <n v="0"/>
    <n v="0"/>
    <n v="0"/>
    <n v="3493531.0334598236"/>
    <n v="3391.7777023881781"/>
  </r>
  <r>
    <s v="4.3.4.4"/>
    <x v="3"/>
    <x v="3"/>
    <x v="3"/>
    <x v="15"/>
    <n v="4"/>
    <x v="83"/>
    <x v="83"/>
    <s v="Develop a health trust fund bill"/>
    <s v="Present to relevant PS’s committee"/>
    <s v="Local running (diesel, per km)"/>
    <n v="211.42857142857142"/>
    <m/>
    <m/>
    <n v="0"/>
    <n v="0"/>
    <n v="0"/>
    <n v="0"/>
    <n v="0"/>
    <n v="0"/>
    <n v="0"/>
    <n v="450"/>
    <n v="1"/>
    <n v="142044.66839342139"/>
    <n v="0"/>
    <n v="0"/>
    <n v="0"/>
    <n v="0"/>
    <n v="0"/>
    <n v="0"/>
    <n v="0"/>
    <n v="0"/>
    <n v="0"/>
    <n v="0"/>
    <n v="0"/>
    <n v="0"/>
    <n v="142044.66839342139"/>
    <n v="137.9074450421567"/>
  </r>
  <r>
    <s v="4.3.4.4"/>
    <x v="3"/>
    <x v="3"/>
    <x v="3"/>
    <x v="15"/>
    <n v="4"/>
    <x v="83"/>
    <x v="83"/>
    <s v="Develop a health trust fund bill"/>
    <s v="Present to relevant PS’s committee"/>
    <s v="Fuel for Traveling Participants"/>
    <n v="211.42857142857142"/>
    <m/>
    <m/>
    <n v="0"/>
    <m/>
    <m/>
    <n v="0"/>
    <m/>
    <m/>
    <n v="0"/>
    <n v="2430"/>
    <n v="1"/>
    <n v="767041.20932447549"/>
    <m/>
    <m/>
    <n v="0"/>
    <m/>
    <m/>
    <n v="0"/>
    <m/>
    <m/>
    <n v="0"/>
    <m/>
    <m/>
    <n v="0"/>
    <n v="767041.20932447549"/>
    <n v="744.70020322764606"/>
  </r>
  <r>
    <s v="4.3.4.4"/>
    <x v="3"/>
    <x v="3"/>
    <x v="3"/>
    <x v="15"/>
    <n v="4"/>
    <x v="83"/>
    <x v="83"/>
    <s v="Develop a health trust fund bill"/>
    <s v="Present to relevant cabinet committee"/>
    <s v="Conference package high-level"/>
    <n v="35000"/>
    <m/>
    <m/>
    <n v="0"/>
    <n v="0"/>
    <n v="0"/>
    <n v="0"/>
    <n v="0"/>
    <n v="0"/>
    <n v="0"/>
    <n v="62"/>
    <n v="1"/>
    <n v="3239727.4968409478"/>
    <n v="0"/>
    <n v="0"/>
    <n v="0"/>
    <n v="0"/>
    <n v="0"/>
    <n v="0"/>
    <n v="0"/>
    <n v="0"/>
    <n v="0"/>
    <n v="0"/>
    <n v="0"/>
    <n v="0"/>
    <n v="3239727.4968409478"/>
    <n v="3145.3665017873282"/>
  </r>
  <r>
    <s v="4.3.4.4"/>
    <x v="3"/>
    <x v="3"/>
    <x v="3"/>
    <x v="15"/>
    <n v="4"/>
    <x v="83"/>
    <x v="83"/>
    <s v="Develop a health trust fund bill"/>
    <s v="Present to parliamentary committee"/>
    <s v="Full DSA parliamentarian"/>
    <n v="80000"/>
    <m/>
    <m/>
    <n v="0"/>
    <n v="0"/>
    <n v="0"/>
    <n v="0"/>
    <n v="0"/>
    <n v="0"/>
    <n v="0"/>
    <n v="30"/>
    <n v="1"/>
    <n v="3583108.7522664862"/>
    <n v="0"/>
    <n v="0"/>
    <n v="0"/>
    <n v="0"/>
    <n v="0"/>
    <n v="0"/>
    <n v="0"/>
    <n v="0"/>
    <n v="0"/>
    <n v="0"/>
    <n v="0"/>
    <n v="0"/>
    <n v="3583108.7522664862"/>
    <n v="3478.7463614237731"/>
  </r>
  <r>
    <s v="4.3.4.4"/>
    <x v="3"/>
    <x v="3"/>
    <x v="3"/>
    <x v="15"/>
    <n v="4"/>
    <x v="83"/>
    <x v="83"/>
    <s v="Develop a health trust fund bill"/>
    <s v="Present to parliamentary committee"/>
    <s v="DSA (excl. lunch)"/>
    <n v="45000"/>
    <m/>
    <m/>
    <n v="0"/>
    <n v="0"/>
    <n v="0"/>
    <n v="0"/>
    <n v="0"/>
    <n v="0"/>
    <n v="0"/>
    <n v="30"/>
    <n v="1"/>
    <n v="2015498.6731498984"/>
    <n v="0"/>
    <n v="0"/>
    <n v="0"/>
    <n v="0"/>
    <n v="0"/>
    <n v="0"/>
    <n v="0"/>
    <n v="0"/>
    <n v="0"/>
    <n v="0"/>
    <n v="0"/>
    <n v="0"/>
    <n v="2015498.6731498984"/>
    <n v="1956.7948283008723"/>
  </r>
  <r>
    <s v="4.3.4.4"/>
    <x v="3"/>
    <x v="3"/>
    <x v="3"/>
    <x v="15"/>
    <n v="4"/>
    <x v="83"/>
    <x v="83"/>
    <s v="Develop a health trust fund bill"/>
    <s v="Present to parliamentary committee"/>
    <s v="Local running (diesel, per km)"/>
    <n v="211.42857142857142"/>
    <m/>
    <m/>
    <n v="0"/>
    <n v="0"/>
    <n v="0"/>
    <n v="0"/>
    <n v="0"/>
    <n v="0"/>
    <n v="0"/>
    <n v="450"/>
    <n v="1"/>
    <n v="142044.66839342139"/>
    <n v="0"/>
    <n v="0"/>
    <n v="0"/>
    <n v="0"/>
    <n v="0"/>
    <n v="0"/>
    <n v="0"/>
    <n v="0"/>
    <n v="0"/>
    <n v="0"/>
    <n v="0"/>
    <n v="0"/>
    <n v="142044.66839342139"/>
    <n v="137.9074450421567"/>
  </r>
  <r>
    <s v="4.3.4.4"/>
    <x v="3"/>
    <x v="3"/>
    <x v="3"/>
    <x v="15"/>
    <n v="4"/>
    <x v="83"/>
    <x v="83"/>
    <s v="Develop a health trust fund bill"/>
    <s v="Present to parliamentary committee"/>
    <s v="Fuel for Traveling Participants"/>
    <n v="211.42857142857142"/>
    <m/>
    <m/>
    <n v="0"/>
    <m/>
    <m/>
    <n v="0"/>
    <m/>
    <m/>
    <n v="0"/>
    <n v="2430"/>
    <n v="1"/>
    <n v="767041.20932447549"/>
    <m/>
    <m/>
    <n v="0"/>
    <m/>
    <m/>
    <n v="0"/>
    <m/>
    <m/>
    <n v="0"/>
    <m/>
    <m/>
    <n v="0"/>
    <n v="767041.20932447549"/>
    <n v="744.70020322764606"/>
  </r>
  <r>
    <s v="4.3.4.4"/>
    <x v="3"/>
    <x v="3"/>
    <x v="3"/>
    <x v="15"/>
    <n v="4"/>
    <x v="83"/>
    <x v="83"/>
    <s v="Develop a health trust fund bill"/>
    <s v="Present to parliamentary committee"/>
    <s v="Conference package high-level"/>
    <n v="35000"/>
    <m/>
    <m/>
    <n v="0"/>
    <n v="0"/>
    <n v="0"/>
    <n v="0"/>
    <n v="0"/>
    <n v="0"/>
    <n v="0"/>
    <n v="62"/>
    <n v="1"/>
    <n v="3239727.4968409478"/>
    <n v="0"/>
    <n v="0"/>
    <n v="0"/>
    <n v="0"/>
    <n v="0"/>
    <n v="0"/>
    <n v="0"/>
    <n v="0"/>
    <n v="0"/>
    <n v="0"/>
    <n v="0"/>
    <n v="0"/>
    <n v="3239727.4968409478"/>
    <n v="3145.3665017873282"/>
  </r>
  <r>
    <s v="4.3.4.4"/>
    <x v="3"/>
    <x v="3"/>
    <x v="3"/>
    <x v="15"/>
    <n v="4"/>
    <x v="83"/>
    <x v="83"/>
    <s v="Develop a health trust fund bill"/>
    <s v="Present to members of parliament for approval"/>
    <s v="zero cost"/>
    <n v="0"/>
    <m/>
    <m/>
    <n v="0"/>
    <n v="0"/>
    <n v="0"/>
    <n v="0"/>
    <n v="0"/>
    <n v="0"/>
    <n v="0"/>
    <n v="62"/>
    <n v="1"/>
    <n v="0"/>
    <n v="0"/>
    <n v="0"/>
    <n v="0"/>
    <n v="0"/>
    <n v="0"/>
    <n v="0"/>
    <n v="0"/>
    <n v="0"/>
    <n v="0"/>
    <n v="0"/>
    <n v="0"/>
    <n v="0"/>
    <n v="0"/>
    <n v="0"/>
  </r>
  <r>
    <s v="4.3.4.4"/>
    <x v="3"/>
    <x v="3"/>
    <x v="3"/>
    <x v="15"/>
    <n v="4"/>
    <x v="83"/>
    <x v="83"/>
    <s v="Develop a health trust fund bill"/>
    <s v="Send it to the president to ascent"/>
    <s v="zero cost"/>
    <n v="0"/>
    <m/>
    <m/>
    <n v="0"/>
    <n v="0"/>
    <n v="0"/>
    <n v="0"/>
    <n v="0"/>
    <n v="0"/>
    <n v="0"/>
    <n v="0"/>
    <n v="0"/>
    <n v="0"/>
    <n v="0"/>
    <n v="0"/>
    <n v="0"/>
    <n v="0"/>
    <n v="0"/>
    <n v="0"/>
    <n v="0"/>
    <n v="0"/>
    <n v="0"/>
    <n v="0"/>
    <n v="0"/>
    <n v="0"/>
    <n v="0"/>
    <n v="0"/>
  </r>
  <r>
    <s v="4.3.4.4"/>
    <x v="3"/>
    <x v="3"/>
    <x v="3"/>
    <x v="15"/>
    <n v="4"/>
    <x v="83"/>
    <x v="83"/>
    <s v="Develop a health trust fund bill"/>
    <s v="Gazette the health trust fund law"/>
    <s v="zero cost"/>
    <n v="0"/>
    <m/>
    <m/>
    <n v="0"/>
    <n v="0"/>
    <n v="0"/>
    <n v="0"/>
    <n v="0"/>
    <n v="0"/>
    <n v="0"/>
    <n v="0"/>
    <n v="0"/>
    <n v="0"/>
    <n v="0"/>
    <n v="0"/>
    <n v="0"/>
    <n v="0"/>
    <n v="0"/>
    <n v="0"/>
    <n v="0"/>
    <n v="0"/>
    <n v="0"/>
    <n v="0"/>
    <n v="0"/>
    <n v="0"/>
    <n v="0"/>
    <n v="0"/>
  </r>
  <r>
    <s v="4.3.4.4"/>
    <x v="3"/>
    <x v="3"/>
    <x v="3"/>
    <x v="15"/>
    <n v="5"/>
    <x v="84"/>
    <x v="84"/>
    <s v="Development of regulations on the requirement of economic evaluations for all health interventions and programs"/>
    <s v="Develop a concept note"/>
    <s v="zero cost"/>
    <n v="0"/>
    <n v="0"/>
    <n v="0"/>
    <n v="0"/>
    <n v="0"/>
    <n v="0"/>
    <n v="0"/>
    <n v="0"/>
    <n v="0"/>
    <n v="0"/>
    <n v="0"/>
    <n v="0"/>
    <n v="0"/>
    <n v="0"/>
    <n v="0"/>
    <n v="0"/>
    <n v="0"/>
    <n v="0"/>
    <n v="0"/>
    <n v="0"/>
    <n v="0"/>
    <n v="0"/>
    <n v="0"/>
    <n v="0"/>
    <n v="0"/>
    <n v="0"/>
    <n v="0"/>
  </r>
  <r>
    <s v="4.3.4.4"/>
    <x v="3"/>
    <x v="3"/>
    <x v="3"/>
    <x v="15"/>
    <n v="5"/>
    <x v="84"/>
    <x v="84"/>
    <s v="Development of regulations on the requirement of economic evaluations for all health interventions and programs"/>
    <s v="Set up a taskforce"/>
    <s v="zero cost"/>
    <n v="0"/>
    <n v="0"/>
    <n v="0"/>
    <n v="0"/>
    <n v="0"/>
    <n v="0"/>
    <n v="0"/>
    <n v="0"/>
    <n v="0"/>
    <n v="0"/>
    <n v="0"/>
    <n v="0"/>
    <n v="0"/>
    <n v="0"/>
    <n v="0"/>
    <n v="0"/>
    <n v="0"/>
    <n v="0"/>
    <n v="0"/>
    <n v="0"/>
    <n v="0"/>
    <n v="0"/>
    <n v="0"/>
    <n v="0"/>
    <n v="0"/>
    <n v="0"/>
    <n v="0"/>
  </r>
  <r>
    <s v="4.3.4.4"/>
    <x v="3"/>
    <x v="3"/>
    <x v="3"/>
    <x v="15"/>
    <n v="5"/>
    <x v="84"/>
    <x v="84"/>
    <s v="Development of regulations on the requirement of economic evaluations for all health interventions and programs"/>
    <s v="Recruit a consultant to facilitate the development of regulations"/>
    <s v="Newspaper advert (full)"/>
    <n v="391991.03749999998"/>
    <n v="0"/>
    <n v="0"/>
    <n v="0"/>
    <n v="0"/>
    <n v="0"/>
    <n v="0"/>
    <n v="0"/>
    <n v="0"/>
    <n v="0"/>
    <n v="2"/>
    <n v="2"/>
    <n v="2340910.8621271173"/>
    <n v="0"/>
    <n v="0"/>
    <n v="0"/>
    <n v="0"/>
    <n v="0"/>
    <n v="0"/>
    <n v="0"/>
    <n v="0"/>
    <n v="0"/>
    <n v="0"/>
    <n v="0"/>
    <n v="0"/>
    <n v="2340910.8621271173"/>
    <n v="2272.7289923564244"/>
  </r>
  <r>
    <s v="4.3.4.4"/>
    <x v="3"/>
    <x v="3"/>
    <x v="3"/>
    <x v="15"/>
    <n v="5"/>
    <x v="84"/>
    <x v="84"/>
    <s v="Development of regulations on the requirement of economic evaluations for all health interventions and programs"/>
    <s v="Recruit a consultant to facilitate the development of regulations"/>
    <s v="Local consultant fee - High level"/>
    <n v="1001560"/>
    <n v="0"/>
    <n v="0"/>
    <n v="0"/>
    <n v="0"/>
    <n v="0"/>
    <n v="0"/>
    <n v="0"/>
    <n v="0"/>
    <n v="0"/>
    <n v="1"/>
    <n v="25"/>
    <n v="37382275.020000227"/>
    <n v="0"/>
    <n v="0"/>
    <n v="0"/>
    <n v="0"/>
    <n v="0"/>
    <n v="0"/>
    <n v="0"/>
    <n v="0"/>
    <n v="0"/>
    <n v="0"/>
    <n v="0"/>
    <n v="0"/>
    <n v="37382275.020000227"/>
    <n v="36293.470893204103"/>
  </r>
  <r>
    <s v="4.3.4.4"/>
    <x v="3"/>
    <x v="3"/>
    <x v="3"/>
    <x v="15"/>
    <n v="5"/>
    <x v="84"/>
    <x v="84"/>
    <s v="Development of regulations on the requirement of economic evaluations for all health interventions and programs"/>
    <s v="Hold 3 consultative meetings with stakeholders (5 days for each meeting)"/>
    <s v="Conference package high-level"/>
    <n v="35000"/>
    <n v="0"/>
    <n v="0"/>
    <n v="0"/>
    <n v="0"/>
    <n v="0"/>
    <n v="0"/>
    <n v="0"/>
    <n v="0"/>
    <n v="0"/>
    <n v="30"/>
    <n v="15"/>
    <n v="23514151.186748818"/>
    <n v="0"/>
    <n v="0"/>
    <n v="0"/>
    <n v="0"/>
    <n v="0"/>
    <n v="0"/>
    <n v="0"/>
    <n v="0"/>
    <n v="0"/>
    <n v="0"/>
    <n v="0"/>
    <n v="0"/>
    <n v="23514151.186748818"/>
    <n v="22829.272996843512"/>
  </r>
  <r>
    <s v="4.3.4.4"/>
    <x v="3"/>
    <x v="3"/>
    <x v="3"/>
    <x v="15"/>
    <n v="5"/>
    <x v="84"/>
    <x v="84"/>
    <s v="Development of regulations on the requirement of economic evaluations for all health interventions and programs"/>
    <s v="Hold 3 consultative meetings with stakeholders (5 days for each meeting)"/>
    <s v="DSA (excl. lunch)"/>
    <n v="39000"/>
    <n v="0"/>
    <n v="0"/>
    <n v="0"/>
    <n v="0"/>
    <n v="0"/>
    <n v="0"/>
    <n v="0"/>
    <n v="0"/>
    <n v="0"/>
    <n v="30"/>
    <n v="15"/>
    <n v="26201482.750948675"/>
    <n v="0"/>
    <n v="0"/>
    <n v="0"/>
    <n v="0"/>
    <n v="0"/>
    <n v="0"/>
    <n v="0"/>
    <n v="0"/>
    <n v="0"/>
    <n v="0"/>
    <n v="0"/>
    <n v="0"/>
    <n v="26201482.750948675"/>
    <n v="25438.332767911335"/>
  </r>
  <r>
    <s v="4.3.4.4"/>
    <x v="3"/>
    <x v="3"/>
    <x v="3"/>
    <x v="15"/>
    <n v="5"/>
    <x v="84"/>
    <x v="84"/>
    <s v="Development of regulations on the requirement of economic evaluations for all health interventions and programs"/>
    <s v="Hold 3 consultative meetings with stakeholders (5 days for each meeting)"/>
    <s v="Local running (diesel, per km)"/>
    <n v="211.42857142857142"/>
    <n v="0"/>
    <n v="0"/>
    <n v="0"/>
    <n v="0"/>
    <n v="0"/>
    <n v="0"/>
    <n v="0"/>
    <n v="0"/>
    <n v="0"/>
    <n v="450"/>
    <n v="15"/>
    <n v="2130670.0259013209"/>
    <n v="0"/>
    <n v="0"/>
    <n v="0"/>
    <n v="0"/>
    <n v="0"/>
    <n v="0"/>
    <n v="0"/>
    <n v="0"/>
    <n v="0"/>
    <n v="0"/>
    <n v="0"/>
    <n v="0"/>
    <n v="2130670.0259013209"/>
    <n v="2068.6116756323504"/>
  </r>
  <r>
    <s v="4.3.4.4"/>
    <x v="3"/>
    <x v="3"/>
    <x v="3"/>
    <x v="15"/>
    <n v="5"/>
    <x v="84"/>
    <x v="84"/>
    <s v="Development of regulations on the requirement of economic evaluations for all health interventions and programs"/>
    <s v="Hold 3 consultative meetings with stakeholders (5 days for each meeting)"/>
    <s v="Fuel for Traveling Participants"/>
    <n v="211.42857142857142"/>
    <n v="0"/>
    <n v="0"/>
    <n v="0"/>
    <n v="0"/>
    <n v="0"/>
    <n v="0"/>
    <m/>
    <m/>
    <n v="0"/>
    <n v="2430"/>
    <n v="3"/>
    <n v="2301123.6279734266"/>
    <m/>
    <m/>
    <n v="0"/>
    <m/>
    <m/>
    <n v="0"/>
    <m/>
    <m/>
    <n v="0"/>
    <m/>
    <m/>
    <n v="0"/>
    <n v="2301123.6279734266"/>
    <n v="2234.1006096829383"/>
  </r>
  <r>
    <s v="4.3.4.4"/>
    <x v="3"/>
    <x v="3"/>
    <x v="3"/>
    <x v="15"/>
    <n v="5"/>
    <x v="84"/>
    <x v="84"/>
    <s v="Development of regulations on the requirement of economic evaluations for all health interventions and programs"/>
    <s v="Present to TWG for endorsement"/>
    <s v="Conference package high-level"/>
    <n v="35000"/>
    <n v="0"/>
    <n v="0"/>
    <n v="0"/>
    <n v="0"/>
    <n v="0"/>
    <n v="0"/>
    <n v="0"/>
    <n v="0"/>
    <n v="0"/>
    <n v="25"/>
    <n v="1"/>
    <n v="1306341.7325971564"/>
    <n v="0"/>
    <n v="0"/>
    <n v="0"/>
    <n v="0"/>
    <n v="0"/>
    <n v="0"/>
    <n v="0"/>
    <n v="0"/>
    <n v="0"/>
    <n v="0"/>
    <n v="0"/>
    <n v="0"/>
    <n v="1306341.7325971564"/>
    <n v="1268.2929442690838"/>
  </r>
  <r>
    <s v="4.3.4.4"/>
    <x v="3"/>
    <x v="3"/>
    <x v="3"/>
    <x v="15"/>
    <n v="5"/>
    <x v="84"/>
    <x v="84"/>
    <s v="Development of regulations on the requirement of economic evaluations for all health interventions and programs"/>
    <s v="Present to SMT for approval"/>
    <s v="zero cost"/>
    <n v="0"/>
    <n v="0"/>
    <n v="0"/>
    <n v="0"/>
    <n v="0"/>
    <n v="0"/>
    <n v="0"/>
    <n v="0"/>
    <n v="0"/>
    <n v="0"/>
    <n v="25"/>
    <n v="1"/>
    <n v="0"/>
    <n v="0"/>
    <n v="0"/>
    <n v="0"/>
    <n v="0"/>
    <n v="0"/>
    <n v="0"/>
    <n v="0"/>
    <n v="0"/>
    <n v="0"/>
    <n v="0"/>
    <n v="0"/>
    <n v="0"/>
    <n v="0"/>
    <n v="0"/>
  </r>
  <r>
    <s v="4.3.4.4"/>
    <x v="3"/>
    <x v="3"/>
    <x v="3"/>
    <x v="15"/>
    <n v="5"/>
    <x v="84"/>
    <x v="84"/>
    <s v="Development of regulations on the requirement of economic evaluations for all health interventions and programs"/>
    <s v="Dissemination "/>
    <s v="Conference package high-level"/>
    <n v="35000"/>
    <n v="0"/>
    <n v="0"/>
    <n v="0"/>
    <n v="0"/>
    <n v="0"/>
    <n v="0"/>
    <n v="0"/>
    <n v="0"/>
    <n v="0"/>
    <n v="100"/>
    <n v="1"/>
    <n v="5225366.9303886257"/>
    <n v="0"/>
    <n v="0"/>
    <n v="0"/>
    <n v="0"/>
    <n v="0"/>
    <n v="0"/>
    <n v="0"/>
    <n v="0"/>
    <n v="0"/>
    <n v="0"/>
    <n v="0"/>
    <n v="0"/>
    <n v="5225366.9303886257"/>
    <n v="5073.1717770763353"/>
  </r>
  <r>
    <s v="4.3.4.4"/>
    <x v="3"/>
    <x v="3"/>
    <x v="3"/>
    <x v="15"/>
    <n v="5"/>
    <x v="84"/>
    <x v="84"/>
    <s v="Development of regulations on the requirement of economic evaluations for all health interventions and programs"/>
    <s v="Dissemination "/>
    <s v="A4, 500 pages, 140 gsm paper"/>
    <n v="8000"/>
    <n v="0"/>
    <n v="0"/>
    <n v="0"/>
    <n v="0"/>
    <n v="0"/>
    <n v="0"/>
    <n v="0"/>
    <n v="0"/>
    <n v="0"/>
    <n v="10"/>
    <n v="1"/>
    <n v="119436.95840888287"/>
    <n v="0"/>
    <n v="0"/>
    <n v="0"/>
    <n v="0"/>
    <n v="0"/>
    <n v="0"/>
    <n v="0"/>
    <n v="0"/>
    <n v="0"/>
    <n v="0"/>
    <n v="0"/>
    <n v="0"/>
    <n v="119436.95840888287"/>
    <n v="115.9582120474591"/>
  </r>
  <r>
    <s v="4.3.4.4"/>
    <x v="3"/>
    <x v="3"/>
    <x v="3"/>
    <x v="15"/>
    <n v="5"/>
    <x v="84"/>
    <x v="84"/>
    <s v="Development of regulations on the requirement of economic evaluations for all health interventions and programs"/>
    <s v="Dissemination "/>
    <s v="toner"/>
    <n v="104850"/>
    <n v="0"/>
    <n v="0"/>
    <n v="0"/>
    <n v="0"/>
    <n v="0"/>
    <n v="0"/>
    <n v="0"/>
    <n v="0"/>
    <n v="0"/>
    <n v="1"/>
    <n v="1"/>
    <n v="156537.0636146421"/>
    <n v="0"/>
    <n v="0"/>
    <n v="0"/>
    <n v="0"/>
    <n v="0"/>
    <n v="0"/>
    <n v="0"/>
    <n v="0"/>
    <n v="0"/>
    <n v="0"/>
    <n v="0"/>
    <n v="0"/>
    <n v="156537.0636146421"/>
    <n v="151.97773166470108"/>
  </r>
  <r>
    <s v="4.3.4.4"/>
    <x v="3"/>
    <x v="3"/>
    <x v="3"/>
    <x v="15"/>
    <n v="6"/>
    <x v="85"/>
    <x v="85"/>
    <s v="Review and revise TORs for the health financing TWG"/>
    <s v="desk work"/>
    <s v="zero cost"/>
    <n v="0"/>
    <n v="0"/>
    <n v="0"/>
    <n v="0"/>
    <n v="0"/>
    <n v="0"/>
    <n v="0"/>
    <n v="0"/>
    <n v="0"/>
    <n v="0"/>
    <n v="0"/>
    <n v="0"/>
    <n v="0"/>
    <n v="0"/>
    <n v="0"/>
    <n v="0"/>
    <n v="0"/>
    <n v="0"/>
    <n v="0"/>
    <n v="0"/>
    <n v="0"/>
    <n v="0"/>
    <n v="0"/>
    <n v="0"/>
    <n v="0"/>
    <n v="0"/>
    <n v="0"/>
  </r>
  <r>
    <s v="4.3.4.4"/>
    <x v="3"/>
    <x v="3"/>
    <x v="3"/>
    <x v="15"/>
    <n v="7"/>
    <x v="86"/>
    <x v="86"/>
    <s v="Conduct value for money analysis study"/>
    <s v="Develop a concept note"/>
    <s v="zero cost"/>
    <n v="0"/>
    <n v="0"/>
    <n v="0"/>
    <n v="0"/>
    <n v="0"/>
    <n v="0"/>
    <n v="0"/>
    <n v="0"/>
    <n v="0"/>
    <n v="0"/>
    <n v="0"/>
    <n v="0"/>
    <n v="0"/>
    <n v="0"/>
    <n v="0"/>
    <n v="0"/>
    <n v="0"/>
    <n v="0"/>
    <n v="0"/>
    <n v="0"/>
    <n v="0"/>
    <n v="0"/>
    <n v="0"/>
    <n v="0"/>
    <n v="0"/>
    <n v="0"/>
    <n v="0"/>
  </r>
  <r>
    <s v="4.3.4.4"/>
    <x v="3"/>
    <x v="3"/>
    <x v="3"/>
    <x v="15"/>
    <n v="7"/>
    <x v="86"/>
    <x v="86"/>
    <s v="Conduct value for money analysis study"/>
    <s v="Develop data collection tools"/>
    <s v="Conference package high-level"/>
    <n v="35000"/>
    <n v="30"/>
    <n v="5"/>
    <n v="5250000"/>
    <n v="0"/>
    <n v="0"/>
    <n v="0"/>
    <n v="0"/>
    <n v="0"/>
    <n v="0"/>
    <n v="30"/>
    <n v="5"/>
    <n v="7838050.3955829386"/>
    <n v="0"/>
    <n v="0"/>
    <n v="0"/>
    <n v="0"/>
    <n v="0"/>
    <n v="0"/>
    <n v="30"/>
    <n v="5"/>
    <n v="11701911.238799591"/>
    <n v="0"/>
    <n v="0"/>
    <n v="0"/>
    <n v="24789961.634382531"/>
    <n v="24067.923916876243"/>
  </r>
  <r>
    <s v="4.3.4.4"/>
    <x v="3"/>
    <x v="3"/>
    <x v="3"/>
    <x v="15"/>
    <n v="7"/>
    <x v="86"/>
    <x v="86"/>
    <s v="Conduct value for money analysis study"/>
    <s v="Develop data collection tools"/>
    <s v="DSA (excl. lunch)"/>
    <n v="39000"/>
    <n v="30"/>
    <n v="6"/>
    <n v="7020000"/>
    <n v="0"/>
    <n v="0"/>
    <n v="0"/>
    <n v="0"/>
    <n v="0"/>
    <n v="0"/>
    <n v="30"/>
    <n v="6"/>
    <n v="10480593.100379471"/>
    <n v="0"/>
    <n v="0"/>
    <n v="0"/>
    <n v="0"/>
    <n v="0"/>
    <n v="0"/>
    <n v="30"/>
    <n v="6"/>
    <n v="15647127.027880596"/>
    <n v="0"/>
    <n v="0"/>
    <n v="0"/>
    <n v="33147720.128260069"/>
    <n v="32182.252551708803"/>
  </r>
  <r>
    <s v="4.3.4.4"/>
    <x v="3"/>
    <x v="3"/>
    <x v="3"/>
    <x v="15"/>
    <n v="7"/>
    <x v="86"/>
    <x v="86"/>
    <s v="Conduct value for money analysis study"/>
    <s v="Develop data collection tools"/>
    <s v="Local running (diesel, per km)"/>
    <n v="211.42857142857142"/>
    <n v="450"/>
    <n v="5"/>
    <n v="475714.28571428568"/>
    <n v="0"/>
    <n v="0"/>
    <n v="0"/>
    <n v="0"/>
    <n v="0"/>
    <n v="0"/>
    <n v="450"/>
    <n v="5"/>
    <n v="710223.34196710703"/>
    <n v="0"/>
    <n v="0"/>
    <n v="0"/>
    <n v="0"/>
    <n v="0"/>
    <n v="0"/>
    <n v="450"/>
    <n v="5"/>
    <n v="1060336.4469442894"/>
    <n v="0"/>
    <n v="0"/>
    <n v="0"/>
    <n v="2246274.0746256821"/>
    <n v="2180.8486161414389"/>
  </r>
  <r>
    <s v="4.3.4.4"/>
    <x v="3"/>
    <x v="3"/>
    <x v="3"/>
    <x v="15"/>
    <n v="7"/>
    <x v="86"/>
    <x v="86"/>
    <s v="Conduct value for money analysis study"/>
    <s v="Develop data collection tools"/>
    <s v="Fuel for Traveling Participants"/>
    <n v="211.42857142857142"/>
    <n v="2430"/>
    <n v="1"/>
    <n v="513771.42857142852"/>
    <m/>
    <m/>
    <n v="0"/>
    <m/>
    <m/>
    <n v="0"/>
    <n v="2430"/>
    <n v="1"/>
    <n v="767041.20932447549"/>
    <m/>
    <m/>
    <n v="0"/>
    <m/>
    <m/>
    <n v="0"/>
    <n v="2430"/>
    <n v="1"/>
    <n v="1145163.3626998325"/>
    <m/>
    <m/>
    <n v="0"/>
    <n v="2425976.0005957363"/>
    <n v="2355.3165054327537"/>
  </r>
  <r>
    <s v="4.3.4.4"/>
    <x v="3"/>
    <x v="3"/>
    <x v="3"/>
    <x v="15"/>
    <n v="7"/>
    <x v="86"/>
    <x v="86"/>
    <s v="Conduct value for money analysis study"/>
    <s v="Data collection"/>
    <s v="Full DSA"/>
    <n v="45000"/>
    <n v="30"/>
    <n v="5"/>
    <n v="6750000"/>
    <n v="0"/>
    <n v="0"/>
    <n v="0"/>
    <n v="0"/>
    <n v="0"/>
    <n v="0"/>
    <n v="30"/>
    <n v="5"/>
    <n v="10077493.365749491"/>
    <n v="0"/>
    <n v="0"/>
    <n v="0"/>
    <n v="0"/>
    <n v="0"/>
    <n v="0"/>
    <n v="30"/>
    <n v="5"/>
    <n v="15045314.44988519"/>
    <n v="0"/>
    <n v="0"/>
    <n v="0"/>
    <n v="31872807.815634683"/>
    <n v="30944.473607412314"/>
  </r>
  <r>
    <s v="4.3.4.4"/>
    <x v="3"/>
    <x v="3"/>
    <x v="3"/>
    <x v="15"/>
    <n v="7"/>
    <x v="86"/>
    <x v="86"/>
    <s v="Conduct value for money analysis study"/>
    <s v="Data collection"/>
    <s v="Local running (diesel, per km)"/>
    <n v="211.42857142857142"/>
    <n v="450"/>
    <n v="5"/>
    <n v="475714.28571428568"/>
    <n v="0"/>
    <n v="0"/>
    <n v="0"/>
    <n v="0"/>
    <n v="0"/>
    <n v="0"/>
    <n v="450"/>
    <n v="5"/>
    <n v="710223.34196710703"/>
    <n v="0"/>
    <n v="0"/>
    <n v="0"/>
    <n v="0"/>
    <n v="0"/>
    <n v="0"/>
    <n v="450"/>
    <n v="5"/>
    <n v="1060336.4469442894"/>
    <n v="0"/>
    <n v="0"/>
    <n v="0"/>
    <n v="2246274.0746256821"/>
    <n v="2180.8486161414389"/>
  </r>
  <r>
    <s v="4.3.4.4"/>
    <x v="3"/>
    <x v="3"/>
    <x v="3"/>
    <x v="15"/>
    <n v="7"/>
    <x v="86"/>
    <x v="86"/>
    <s v="Conduct value for money analysis study"/>
    <s v="Data collection"/>
    <s v="Fuel for Traveling Participants"/>
    <n v="211.42857142857142"/>
    <n v="2430"/>
    <n v="1"/>
    <n v="513771.42857142852"/>
    <m/>
    <m/>
    <n v="0"/>
    <m/>
    <m/>
    <n v="0"/>
    <n v="2430"/>
    <n v="1"/>
    <n v="767041.20932447549"/>
    <m/>
    <m/>
    <n v="0"/>
    <m/>
    <m/>
    <n v="0"/>
    <n v="2430"/>
    <n v="1"/>
    <n v="1145163.3626998325"/>
    <m/>
    <m/>
    <n v="0"/>
    <n v="2425976.0005957363"/>
    <n v="2355.3165054327537"/>
  </r>
  <r>
    <s v="4.3.4.4"/>
    <x v="3"/>
    <x v="3"/>
    <x v="3"/>
    <x v="15"/>
    <n v="7"/>
    <x v="86"/>
    <x v="86"/>
    <s v="Conduct value for money analysis study"/>
    <s v="Data collection"/>
    <s v="Tablet"/>
    <n v="302000"/>
    <n v="20"/>
    <n v="1"/>
    <n v="6040000"/>
    <n v="0"/>
    <n v="0"/>
    <n v="0"/>
    <n v="0"/>
    <n v="0"/>
    <n v="0"/>
    <n v="20"/>
    <n v="1"/>
    <n v="9017490.3598706573"/>
    <n v="0"/>
    <n v="0"/>
    <n v="0"/>
    <n v="0"/>
    <n v="0"/>
    <n v="0"/>
    <n v="20"/>
    <n v="1"/>
    <n v="13462770.263304673"/>
    <n v="0"/>
    <n v="0"/>
    <n v="0"/>
    <n v="28520260.62317533"/>
    <n v="27689.573420558572"/>
  </r>
  <r>
    <s v="4.3.4.4"/>
    <x v="3"/>
    <x v="3"/>
    <x v="3"/>
    <x v="15"/>
    <n v="7"/>
    <x v="86"/>
    <x v="86"/>
    <s v="Conduct value for money analysis study"/>
    <s v="Data collection"/>
    <s v="Airtime for Research Assistant"/>
    <n v="10000"/>
    <n v="15"/>
    <n v="1"/>
    <n v="150000"/>
    <n v="0"/>
    <n v="0"/>
    <n v="0"/>
    <n v="0"/>
    <n v="0"/>
    <n v="0"/>
    <n v="15"/>
    <n v="1"/>
    <n v="223944.29701665539"/>
    <n v="0"/>
    <n v="0"/>
    <n v="0"/>
    <n v="0"/>
    <n v="0"/>
    <n v="0"/>
    <n v="15"/>
    <n v="1"/>
    <n v="334340.32110855979"/>
    <n v="0"/>
    <n v="0"/>
    <n v="0"/>
    <n v="708284.61812521517"/>
    <n v="687.65496905360692"/>
  </r>
  <r>
    <s v="4.3.4.4"/>
    <x v="3"/>
    <x v="3"/>
    <x v="3"/>
    <x v="15"/>
    <n v="7"/>
    <x v="86"/>
    <x v="86"/>
    <s v="Conduct value for money analysis study"/>
    <s v="Data analysis"/>
    <s v="Conference package high-level"/>
    <n v="35000"/>
    <n v="30"/>
    <n v="5"/>
    <n v="5250000"/>
    <n v="0"/>
    <n v="0"/>
    <n v="0"/>
    <n v="0"/>
    <n v="0"/>
    <n v="0"/>
    <n v="30"/>
    <n v="5"/>
    <n v="7838050.3955829386"/>
    <n v="0"/>
    <n v="0"/>
    <n v="0"/>
    <n v="0"/>
    <n v="0"/>
    <n v="0"/>
    <n v="30"/>
    <n v="5"/>
    <n v="11701911.238799591"/>
    <n v="0"/>
    <n v="0"/>
    <n v="0"/>
    <n v="24789961.634382531"/>
    <n v="24067.923916876243"/>
  </r>
  <r>
    <s v="4.3.4.4"/>
    <x v="3"/>
    <x v="3"/>
    <x v="3"/>
    <x v="15"/>
    <n v="7"/>
    <x v="86"/>
    <x v="86"/>
    <s v="Conduct value for money analysis study"/>
    <s v="Data analysis"/>
    <s v="DSA (excl. lunch)"/>
    <n v="39000"/>
    <n v="30"/>
    <n v="5"/>
    <n v="5850000"/>
    <n v="0"/>
    <n v="0"/>
    <n v="0"/>
    <n v="0"/>
    <n v="0"/>
    <n v="0"/>
    <n v="30"/>
    <n v="5"/>
    <n v="8733827.5836495589"/>
    <n v="0"/>
    <n v="0"/>
    <n v="0"/>
    <n v="0"/>
    <n v="0"/>
    <n v="0"/>
    <n v="30"/>
    <n v="5"/>
    <n v="13039272.523233831"/>
    <n v="0"/>
    <n v="0"/>
    <n v="0"/>
    <n v="27623100.106883392"/>
    <n v="26818.54379309067"/>
  </r>
  <r>
    <s v="4.3.4.4"/>
    <x v="3"/>
    <x v="3"/>
    <x v="3"/>
    <x v="15"/>
    <n v="7"/>
    <x v="86"/>
    <x v="86"/>
    <s v="Conduct value for money analysis study"/>
    <s v="Data analysis"/>
    <s v="Local running (diesel, per km)"/>
    <n v="211.42857142857142"/>
    <n v="450"/>
    <n v="5"/>
    <n v="475714.28571428568"/>
    <n v="0"/>
    <n v="0"/>
    <n v="0"/>
    <n v="0"/>
    <n v="0"/>
    <n v="0"/>
    <n v="450"/>
    <n v="5"/>
    <n v="710223.34196710703"/>
    <n v="0"/>
    <n v="0"/>
    <n v="0"/>
    <n v="0"/>
    <n v="0"/>
    <n v="0"/>
    <n v="450"/>
    <n v="5"/>
    <n v="1060336.4469442894"/>
    <n v="0"/>
    <n v="0"/>
    <n v="0"/>
    <n v="2246274.0746256821"/>
    <n v="2180.8486161414389"/>
  </r>
  <r>
    <s v="4.3.4.4"/>
    <x v="3"/>
    <x v="3"/>
    <x v="3"/>
    <x v="15"/>
    <n v="7"/>
    <x v="86"/>
    <x v="86"/>
    <s v="Conduct value for money analysis study"/>
    <s v="Data analysis"/>
    <s v="Fuel for Traveling Participants"/>
    <n v="211.42857142857142"/>
    <n v="2430"/>
    <n v="1"/>
    <n v="513771.42857142852"/>
    <m/>
    <m/>
    <n v="0"/>
    <m/>
    <m/>
    <n v="0"/>
    <n v="2430"/>
    <n v="1"/>
    <n v="767041.20932447549"/>
    <m/>
    <m/>
    <n v="0"/>
    <m/>
    <m/>
    <n v="0"/>
    <n v="2430"/>
    <n v="1"/>
    <n v="1145163.3626998325"/>
    <m/>
    <m/>
    <n v="0"/>
    <n v="2425976.0005957363"/>
    <n v="2355.3165054327537"/>
  </r>
  <r>
    <s v="4.3.4.4"/>
    <x v="3"/>
    <x v="3"/>
    <x v="3"/>
    <x v="15"/>
    <n v="7"/>
    <x v="86"/>
    <x v="86"/>
    <s v="Conduct value for money analysis study"/>
    <s v="Report writing"/>
    <s v="Conference package high-level"/>
    <n v="35000"/>
    <n v="20"/>
    <n v="5"/>
    <n v="3500000"/>
    <n v="0"/>
    <n v="0"/>
    <n v="0"/>
    <n v="0"/>
    <n v="0"/>
    <n v="0"/>
    <n v="20"/>
    <n v="5"/>
    <n v="5225366.9303886257"/>
    <n v="0"/>
    <n v="0"/>
    <n v="0"/>
    <n v="0"/>
    <n v="0"/>
    <n v="0"/>
    <n v="20"/>
    <n v="5"/>
    <n v="7801274.1591997268"/>
    <n v="0"/>
    <n v="0"/>
    <n v="0"/>
    <n v="16526641.089588352"/>
    <n v="16045.282611250826"/>
  </r>
  <r>
    <s v="4.3.4.4"/>
    <x v="3"/>
    <x v="3"/>
    <x v="3"/>
    <x v="15"/>
    <n v="7"/>
    <x v="86"/>
    <x v="86"/>
    <s v="Conduct value for money analysis study"/>
    <s v="Report writing"/>
    <s v="DSA (excl. lunch)"/>
    <n v="39000"/>
    <n v="20"/>
    <n v="5"/>
    <n v="3900000"/>
    <n v="0"/>
    <n v="0"/>
    <n v="0"/>
    <n v="0"/>
    <n v="0"/>
    <n v="0"/>
    <n v="20"/>
    <n v="5"/>
    <n v="5822551.7224330399"/>
    <n v="0"/>
    <n v="0"/>
    <n v="0"/>
    <n v="0"/>
    <n v="0"/>
    <n v="0"/>
    <n v="20"/>
    <n v="5"/>
    <n v="8692848.3488225546"/>
    <n v="0"/>
    <n v="0"/>
    <n v="0"/>
    <n v="18415400.071255594"/>
    <n v="17879.029195393781"/>
  </r>
  <r>
    <s v="4.3.4.4"/>
    <x v="3"/>
    <x v="3"/>
    <x v="3"/>
    <x v="15"/>
    <n v="7"/>
    <x v="86"/>
    <x v="86"/>
    <s v="Conduct value for money analysis study"/>
    <s v="Report writing"/>
    <s v="Local running (diesel, per km)"/>
    <n v="211.42857142857142"/>
    <n v="450"/>
    <n v="5"/>
    <n v="475714.28571428568"/>
    <n v="0"/>
    <n v="0"/>
    <n v="0"/>
    <n v="0"/>
    <n v="0"/>
    <n v="0"/>
    <n v="450"/>
    <n v="5"/>
    <n v="710223.34196710703"/>
    <n v="0"/>
    <n v="0"/>
    <n v="0"/>
    <n v="0"/>
    <n v="0"/>
    <n v="0"/>
    <n v="450"/>
    <n v="5"/>
    <n v="1060336.4469442894"/>
    <n v="0"/>
    <n v="0"/>
    <n v="0"/>
    <n v="2246274.0746256821"/>
    <n v="2180.8486161414389"/>
  </r>
  <r>
    <s v="4.3.4.4"/>
    <x v="3"/>
    <x v="3"/>
    <x v="3"/>
    <x v="15"/>
    <n v="7"/>
    <x v="86"/>
    <x v="86"/>
    <s v="Conduct value for money analysis study"/>
    <s v="Report writing"/>
    <s v="Fuel for Traveling Participants"/>
    <n v="211.42857142857142"/>
    <n v="2430"/>
    <n v="1"/>
    <n v="513771.42857142852"/>
    <m/>
    <m/>
    <n v="0"/>
    <m/>
    <m/>
    <n v="0"/>
    <n v="2430"/>
    <n v="1"/>
    <n v="767041.20932447549"/>
    <m/>
    <m/>
    <n v="0"/>
    <m/>
    <m/>
    <n v="0"/>
    <n v="2430"/>
    <n v="1"/>
    <n v="1145163.3626998325"/>
    <m/>
    <m/>
    <n v="0"/>
    <n v="2425976.0005957363"/>
    <n v="2355.3165054327537"/>
  </r>
  <r>
    <s v="4.3.4.4"/>
    <x v="3"/>
    <x v="3"/>
    <x v="3"/>
    <x v="15"/>
    <n v="7"/>
    <x v="86"/>
    <x v="86"/>
    <s v="Conduct value for money analysis study"/>
    <s v=" Present to TWG for endorsement"/>
    <s v="Conference package high-level"/>
    <n v="35000"/>
    <n v="25"/>
    <n v="1"/>
    <n v="875000"/>
    <n v="0"/>
    <n v="0"/>
    <n v="0"/>
    <n v="0"/>
    <n v="0"/>
    <n v="0"/>
    <n v="25"/>
    <n v="1"/>
    <n v="1306341.7325971564"/>
    <n v="0"/>
    <n v="0"/>
    <n v="0"/>
    <n v="0"/>
    <n v="0"/>
    <n v="0"/>
    <n v="25"/>
    <n v="1"/>
    <n v="1950318.5397999317"/>
    <n v="0"/>
    <n v="0"/>
    <n v="0"/>
    <n v="4131660.2723970879"/>
    <n v="4011.3206528127066"/>
  </r>
  <r>
    <s v="4.3.4.4"/>
    <x v="3"/>
    <x v="3"/>
    <x v="3"/>
    <x v="15"/>
    <n v="7"/>
    <x v="86"/>
    <x v="86"/>
    <s v="Conduct value for money analysis study"/>
    <s v="Present to SMT for approval"/>
    <s v="zero cost"/>
    <n v="0"/>
    <n v="25"/>
    <n v="1"/>
    <n v="0"/>
    <n v="0"/>
    <n v="0"/>
    <n v="0"/>
    <n v="0"/>
    <n v="0"/>
    <n v="0"/>
    <n v="25"/>
    <n v="1"/>
    <n v="0"/>
    <n v="0"/>
    <n v="0"/>
    <n v="0"/>
    <n v="0"/>
    <n v="0"/>
    <n v="0"/>
    <n v="25"/>
    <n v="1"/>
    <n v="0"/>
    <n v="0"/>
    <n v="0"/>
    <n v="0"/>
    <n v="0"/>
    <n v="0"/>
  </r>
  <r>
    <s v="4.3.4.4"/>
    <x v="3"/>
    <x v="3"/>
    <x v="3"/>
    <x v="15"/>
    <n v="7"/>
    <x v="86"/>
    <x v="86"/>
    <s v="Conduct value for money analysis study"/>
    <s v="Dissemination "/>
    <s v="Conference package high-level"/>
    <n v="28000"/>
    <n v="100"/>
    <n v="1"/>
    <n v="2800000"/>
    <n v="0"/>
    <n v="0"/>
    <n v="0"/>
    <n v="0"/>
    <n v="0"/>
    <n v="0"/>
    <n v="100"/>
    <n v="1"/>
    <n v="4180293.5443109004"/>
    <n v="0"/>
    <n v="0"/>
    <n v="0"/>
    <n v="0"/>
    <n v="0"/>
    <n v="0"/>
    <n v="100"/>
    <n v="1"/>
    <n v="6241019.3273597816"/>
    <n v="0"/>
    <n v="0"/>
    <n v="0"/>
    <n v="13221312.871670682"/>
    <n v="12836.226089000662"/>
  </r>
  <r>
    <s v="4.3.4.4"/>
    <x v="3"/>
    <x v="3"/>
    <x v="3"/>
    <x v="15"/>
    <n v="7"/>
    <x v="86"/>
    <x v="86"/>
    <s v="Conduct value for money analysis study"/>
    <s v="Dissemination "/>
    <s v="A4, 500 page, 140 gsm paper"/>
    <n v="8000"/>
    <n v="10"/>
    <n v="1"/>
    <n v="80000"/>
    <n v="0"/>
    <n v="0"/>
    <n v="0"/>
    <n v="0"/>
    <n v="0"/>
    <n v="0"/>
    <n v="10"/>
    <n v="1"/>
    <n v="119436.95840888287"/>
    <n v="0"/>
    <n v="0"/>
    <n v="0"/>
    <n v="0"/>
    <n v="0"/>
    <n v="0"/>
    <n v="10"/>
    <n v="1"/>
    <n v="178314.83792456522"/>
    <n v="0"/>
    <n v="0"/>
    <n v="0"/>
    <n v="377751.79633344809"/>
    <n v="366.74931682859039"/>
  </r>
  <r>
    <s v="4.3.4.4"/>
    <x v="3"/>
    <x v="3"/>
    <x v="3"/>
    <x v="15"/>
    <n v="7"/>
    <x v="86"/>
    <x v="86"/>
    <s v="Conduct value for money analysis study"/>
    <s v="Dissemination "/>
    <s v="toner"/>
    <n v="104850"/>
    <n v="1"/>
    <n v="1"/>
    <n v="104850"/>
    <n v="0"/>
    <n v="0"/>
    <n v="0"/>
    <n v="0"/>
    <n v="0"/>
    <n v="0"/>
    <n v="1"/>
    <n v="1"/>
    <n v="156537.0636146421"/>
    <n v="0"/>
    <n v="0"/>
    <n v="0"/>
    <n v="0"/>
    <n v="0"/>
    <n v="0"/>
    <n v="1"/>
    <n v="1"/>
    <n v="233703.88445488326"/>
    <n v="0"/>
    <n v="0"/>
    <n v="0"/>
    <n v="495090.94806952536"/>
    <n v="480.67082336847125"/>
  </r>
  <r>
    <s v="4.3.4.4"/>
    <x v="3"/>
    <x v="3"/>
    <x v="3"/>
    <x v="15"/>
    <n v="7"/>
    <x v="86"/>
    <x v="86"/>
    <s v="Conduct value for money analysis study"/>
    <s v="Dissemination "/>
    <s v="DSA (excl. lunch)"/>
    <n v="39000"/>
    <n v="100"/>
    <n v="1"/>
    <n v="3900000"/>
    <n v="0"/>
    <n v="0"/>
    <n v="0"/>
    <n v="0"/>
    <n v="0"/>
    <n v="0"/>
    <n v="100"/>
    <n v="1"/>
    <n v="5822551.7224330399"/>
    <n v="0"/>
    <n v="0"/>
    <n v="0"/>
    <n v="0"/>
    <n v="0"/>
    <n v="0"/>
    <n v="100"/>
    <n v="1"/>
    <n v="8692848.3488225546"/>
    <n v="0"/>
    <n v="0"/>
    <n v="0"/>
    <n v="18415400.071255594"/>
    <n v="17879.029195393781"/>
  </r>
  <r>
    <s v="4.3.4.4"/>
    <x v="3"/>
    <x v="3"/>
    <x v="3"/>
    <x v="15"/>
    <n v="7"/>
    <x v="86"/>
    <x v="86"/>
    <s v="Develop new MOU with faith based organisations "/>
    <s v="Develop a concept note"/>
    <s v="zero cost"/>
    <n v="0"/>
    <m/>
    <m/>
    <n v="0"/>
    <n v="0"/>
    <n v="0"/>
    <n v="0"/>
    <n v="0"/>
    <n v="0"/>
    <n v="0"/>
    <n v="0"/>
    <n v="0"/>
    <n v="0"/>
    <n v="0"/>
    <n v="0"/>
    <n v="0"/>
    <n v="0"/>
    <n v="0"/>
    <n v="0"/>
    <n v="0"/>
    <n v="0"/>
    <n v="0"/>
    <n v="0"/>
    <n v="0"/>
    <n v="0"/>
    <n v="0"/>
    <n v="0"/>
  </r>
  <r>
    <s v="4.3.4.4"/>
    <x v="3"/>
    <x v="3"/>
    <x v="3"/>
    <x v="15"/>
    <n v="7"/>
    <x v="86"/>
    <x v="86"/>
    <s v="Develop new MOU with faith based organisations "/>
    <s v="Engage ministry of justice to draft the health trust fund bill (6 workshops)"/>
    <s v="Conference package high-level"/>
    <n v="35000"/>
    <m/>
    <m/>
    <n v="0"/>
    <n v="20"/>
    <n v="6"/>
    <n v="4800268.6073999992"/>
    <n v="0"/>
    <n v="0"/>
    <n v="0"/>
    <n v="0"/>
    <n v="0"/>
    <n v="0"/>
    <n v="0"/>
    <n v="0"/>
    <n v="0"/>
    <n v="0"/>
    <n v="0"/>
    <n v="0"/>
    <n v="0"/>
    <n v="0"/>
    <n v="0"/>
    <n v="20"/>
    <n v="6"/>
    <n v="10699488.984036366"/>
    <n v="15499757.591436364"/>
    <n v="15048.308341200353"/>
  </r>
  <r>
    <s v="4.3.4.4"/>
    <x v="3"/>
    <x v="3"/>
    <x v="3"/>
    <x v="15"/>
    <n v="7"/>
    <x v="86"/>
    <x v="86"/>
    <s v="Develop new MOU with faith based organisations "/>
    <s v="Engage ministry of justice to draft the health trust fund bill (6 workshops)"/>
    <s v="DSA (excl. lunch)"/>
    <n v="39000"/>
    <m/>
    <m/>
    <n v="0"/>
    <n v="20"/>
    <n v="6"/>
    <n v="5348870.7339599989"/>
    <n v="0"/>
    <n v="0"/>
    <n v="0"/>
    <n v="0"/>
    <n v="0"/>
    <n v="0"/>
    <n v="0"/>
    <n v="0"/>
    <n v="0"/>
    <n v="0"/>
    <n v="0"/>
    <n v="0"/>
    <n v="0"/>
    <n v="0"/>
    <n v="0"/>
    <n v="20"/>
    <n v="6"/>
    <n v="11922287.725069093"/>
    <n v="17271158.459029093"/>
    <n v="16768.115008766112"/>
  </r>
  <r>
    <s v="4.3.4.4"/>
    <x v="3"/>
    <x v="3"/>
    <x v="3"/>
    <x v="15"/>
    <n v="7"/>
    <x v="86"/>
    <x v="86"/>
    <s v="Develop new MOU with faith based organisations "/>
    <s v="Engage ministry of justice to draft the health trust fund bill (6 workshops)"/>
    <s v="Local running (diesel, per km)"/>
    <n v="211.42857142857142"/>
    <m/>
    <m/>
    <n v="0"/>
    <n v="450"/>
    <n v="6"/>
    <n v="652444.67194457131"/>
    <n v="0"/>
    <n v="0"/>
    <n v="0"/>
    <n v="0"/>
    <n v="0"/>
    <n v="0"/>
    <n v="0"/>
    <n v="0"/>
    <n v="0"/>
    <n v="0"/>
    <n v="0"/>
    <n v="0"/>
    <n v="0"/>
    <n v="0"/>
    <n v="0"/>
    <n v="450"/>
    <n v="6"/>
    <n v="1454257.0741567793"/>
    <n v="2106701.7461013505"/>
    <n v="2045.3415010692725"/>
  </r>
  <r>
    <s v="4.3.4.4"/>
    <x v="3"/>
    <x v="3"/>
    <x v="3"/>
    <x v="15"/>
    <n v="7"/>
    <x v="86"/>
    <x v="86"/>
    <s v="Develop new MOU with faith based organisations "/>
    <s v="Engage ministry of justice to draft the health trust fund bill (6 workshops)"/>
    <s v="Fuel for Traveling Participants"/>
    <n v="211.42857142857142"/>
    <m/>
    <m/>
    <n v="0"/>
    <n v="2430"/>
    <n v="6"/>
    <n v="3523201.2285006857"/>
    <m/>
    <m/>
    <n v="0"/>
    <m/>
    <m/>
    <n v="0"/>
    <m/>
    <m/>
    <n v="0"/>
    <m/>
    <m/>
    <n v="0"/>
    <m/>
    <m/>
    <n v="0"/>
    <n v="2430"/>
    <n v="6"/>
    <n v="7852988.2004466094"/>
    <n v="11376189.428947296"/>
    <n v="11044.844105774073"/>
  </r>
  <r>
    <s v="4.3.4.4"/>
    <x v="3"/>
    <x v="3"/>
    <x v="3"/>
    <x v="15"/>
    <n v="7"/>
    <x v="86"/>
    <x v="86"/>
    <s v="Develop new MOU with faith based organisations "/>
    <s v="Present to TWG"/>
    <s v="Conference package high-level"/>
    <n v="35000"/>
    <m/>
    <m/>
    <n v="0"/>
    <n v="25"/>
    <n v="1"/>
    <n v="1000055.9598749998"/>
    <n v="0"/>
    <n v="0"/>
    <n v="0"/>
    <n v="0"/>
    <n v="0"/>
    <n v="0"/>
    <n v="0"/>
    <n v="0"/>
    <n v="0"/>
    <n v="0"/>
    <n v="0"/>
    <n v="0"/>
    <n v="0"/>
    <n v="0"/>
    <n v="0"/>
    <n v="25"/>
    <n v="1"/>
    <n v="2229060.2050075764"/>
    <n v="3229116.1648825761"/>
    <n v="3135.064237750074"/>
  </r>
  <r>
    <s v="4.3.4.4"/>
    <x v="3"/>
    <x v="3"/>
    <x v="3"/>
    <x v="15"/>
    <n v="7"/>
    <x v="86"/>
    <x v="86"/>
    <s v="Develop new MOU with faith based organisations "/>
    <s v="Present to SMT for internal approval"/>
    <s v="zero cost"/>
    <n v="0"/>
    <m/>
    <m/>
    <n v="0"/>
    <n v="25"/>
    <n v="1"/>
    <n v="0"/>
    <n v="0"/>
    <n v="0"/>
    <n v="0"/>
    <n v="0"/>
    <n v="0"/>
    <n v="0"/>
    <n v="0"/>
    <n v="0"/>
    <n v="0"/>
    <n v="0"/>
    <n v="0"/>
    <n v="0"/>
    <n v="0"/>
    <n v="0"/>
    <n v="0"/>
    <n v="25"/>
    <n v="1"/>
    <n v="0"/>
    <n v="0"/>
    <n v="0"/>
  </r>
  <r>
    <s v="4.3.4.4"/>
    <x v="3"/>
    <x v="3"/>
    <x v="3"/>
    <x v="15"/>
    <n v="7"/>
    <x v="86"/>
    <x v="86"/>
    <s v="Develop new MOU with faith based organisations "/>
    <s v="Present to relevant PS’s committee"/>
    <s v="Conference package high-level"/>
    <n v="35000"/>
    <m/>
    <m/>
    <n v="0"/>
    <n v="60"/>
    <n v="1"/>
    <n v="2400134.3036999996"/>
    <n v="0"/>
    <n v="0"/>
    <n v="0"/>
    <n v="0"/>
    <n v="0"/>
    <n v="0"/>
    <n v="0"/>
    <n v="0"/>
    <n v="0"/>
    <n v="0"/>
    <n v="0"/>
    <n v="0"/>
    <n v="0"/>
    <n v="0"/>
    <n v="0"/>
    <n v="60"/>
    <n v="1"/>
    <n v="5349744.4920181828"/>
    <n v="7749878.7957181819"/>
    <n v="7524.1541706001763"/>
  </r>
  <r>
    <s v="4.3.4.4"/>
    <x v="3"/>
    <x v="3"/>
    <x v="3"/>
    <x v="15"/>
    <n v="7"/>
    <x v="86"/>
    <x v="86"/>
    <s v="Develop new MOU with faith based organisations "/>
    <s v="Present to relevant PS’s committee"/>
    <s v="DSA (excl. lunch)"/>
    <n v="39000"/>
    <m/>
    <m/>
    <n v="0"/>
    <n v="30"/>
    <n v="1"/>
    <n v="1337217.6834899997"/>
    <n v="0"/>
    <n v="0"/>
    <n v="0"/>
    <n v="0"/>
    <n v="0"/>
    <n v="0"/>
    <n v="0"/>
    <n v="0"/>
    <n v="0"/>
    <n v="0"/>
    <n v="0"/>
    <n v="0"/>
    <n v="0"/>
    <n v="0"/>
    <n v="0"/>
    <n v="30"/>
    <n v="1"/>
    <n v="2980571.9312672731"/>
    <n v="4317789.6147572733"/>
    <n v="4192.0287521915279"/>
  </r>
  <r>
    <s v="4.3.4.4"/>
    <x v="3"/>
    <x v="3"/>
    <x v="3"/>
    <x v="15"/>
    <n v="7"/>
    <x v="86"/>
    <x v="86"/>
    <s v="Develop new MOU with faith based organisations "/>
    <s v="Present to relevant PS’s committee"/>
    <s v="Local running (diesel, per km)"/>
    <n v="211.42857142857142"/>
    <m/>
    <m/>
    <n v="0"/>
    <n v="450"/>
    <n v="1"/>
    <n v="108740.77865742856"/>
    <n v="0"/>
    <n v="0"/>
    <n v="0"/>
    <n v="0"/>
    <n v="0"/>
    <n v="0"/>
    <n v="0"/>
    <n v="0"/>
    <n v="0"/>
    <n v="0"/>
    <n v="0"/>
    <n v="0"/>
    <n v="0"/>
    <n v="0"/>
    <n v="0"/>
    <n v="450"/>
    <n v="1"/>
    <n v="242376.17902612989"/>
    <n v="351116.95768355846"/>
    <n v="340.89025017821211"/>
  </r>
  <r>
    <s v="4.3.4.4"/>
    <x v="3"/>
    <x v="3"/>
    <x v="3"/>
    <x v="15"/>
    <n v="7"/>
    <x v="86"/>
    <x v="86"/>
    <s v="Develop new MOU with faith based organisations "/>
    <s v="Present to relevant PS’s committee"/>
    <s v="Fuel for Traveling Participants"/>
    <n v="211.42857142857142"/>
    <m/>
    <m/>
    <n v="0"/>
    <n v="2430"/>
    <n v="1"/>
    <n v="587200.20475011424"/>
    <m/>
    <m/>
    <n v="0"/>
    <m/>
    <m/>
    <n v="0"/>
    <m/>
    <m/>
    <n v="0"/>
    <m/>
    <m/>
    <n v="0"/>
    <m/>
    <m/>
    <n v="0"/>
    <n v="2430"/>
    <n v="1"/>
    <n v="1308831.3667411015"/>
    <n v="1896031.5714912158"/>
    <n v="1840.8073509623455"/>
  </r>
  <r>
    <s v="4.3.4.4"/>
    <x v="3"/>
    <x v="3"/>
    <x v="3"/>
    <x v="15"/>
    <n v="7"/>
    <x v="86"/>
    <x v="86"/>
    <s v="Develop new MOU with faith based organisations "/>
    <s v="Present to relevant cabinet committee"/>
    <s v="Conference package high-level"/>
    <n v="35000"/>
    <m/>
    <m/>
    <n v="0"/>
    <n v="62"/>
    <n v="1"/>
    <n v="2480138.7804899998"/>
    <n v="0"/>
    <n v="0"/>
    <n v="0"/>
    <n v="0"/>
    <n v="0"/>
    <n v="0"/>
    <n v="0"/>
    <n v="0"/>
    <n v="0"/>
    <n v="0"/>
    <n v="0"/>
    <n v="0"/>
    <n v="0"/>
    <n v="0"/>
    <n v="0"/>
    <n v="62"/>
    <n v="1"/>
    <n v="5528069.3084187889"/>
    <n v="8008208.0889087887"/>
    <n v="7774.9593096201834"/>
  </r>
  <r>
    <s v="4.3.4.4"/>
    <x v="3"/>
    <x v="3"/>
    <x v="3"/>
    <x v="15"/>
    <n v="7"/>
    <x v="86"/>
    <x v="86"/>
    <s v="Develop new MOU with faith based organisations "/>
    <s v="Present to parliamentary committee"/>
    <s v="Full DSA parliamentarian"/>
    <n v="80000"/>
    <m/>
    <m/>
    <n v="0"/>
    <n v="30"/>
    <n v="1"/>
    <n v="2743010.6327999998"/>
    <n v="0"/>
    <n v="0"/>
    <n v="0"/>
    <n v="0"/>
    <n v="0"/>
    <n v="0"/>
    <n v="0"/>
    <n v="0"/>
    <n v="0"/>
    <n v="0"/>
    <n v="0"/>
    <n v="0"/>
    <n v="0"/>
    <n v="0"/>
    <n v="0"/>
    <n v="30"/>
    <n v="1"/>
    <n v="6113993.7051636372"/>
    <n v="8857004.337963637"/>
    <n v="8599.0333378287742"/>
  </r>
  <r>
    <s v="4.3.4.4"/>
    <x v="3"/>
    <x v="3"/>
    <x v="3"/>
    <x v="15"/>
    <n v="7"/>
    <x v="86"/>
    <x v="86"/>
    <s v="Develop new MOU with faith based organisations "/>
    <s v="Signing of MOU by the ST"/>
    <s v="zero cost"/>
    <n v="0"/>
    <m/>
    <m/>
    <n v="0"/>
    <n v="20"/>
    <n v="1"/>
    <n v="0"/>
    <n v="0"/>
    <n v="0"/>
    <n v="0"/>
    <n v="0"/>
    <n v="0"/>
    <n v="0"/>
    <n v="0"/>
    <n v="0"/>
    <n v="0"/>
    <n v="0"/>
    <n v="0"/>
    <n v="0"/>
    <n v="0"/>
    <n v="0"/>
    <n v="0"/>
    <n v="20"/>
    <n v="1"/>
    <n v="0"/>
    <n v="0"/>
    <n v="0"/>
  </r>
  <r>
    <s v="4.3.4.4"/>
    <x v="3"/>
    <x v="3"/>
    <x v="3"/>
    <x v="15"/>
    <n v="8"/>
    <x v="87"/>
    <x v="87"/>
    <s v="Develop a position paper on purchasing essential medicines from alternative preselected prime vendors"/>
    <s v="Develop a concept note"/>
    <s v="zero cost"/>
    <n v="0"/>
    <n v="0"/>
    <n v="0"/>
    <n v="0"/>
    <n v="0"/>
    <n v="0"/>
    <n v="0"/>
    <n v="0"/>
    <n v="0"/>
    <n v="0"/>
    <n v="0"/>
    <n v="0"/>
    <n v="0"/>
    <n v="0"/>
    <n v="0"/>
    <n v="0"/>
    <n v="0"/>
    <n v="0"/>
    <n v="0"/>
    <n v="0"/>
    <n v="0"/>
    <n v="0"/>
    <n v="0"/>
    <n v="0"/>
    <n v="0"/>
    <n v="0"/>
    <n v="0"/>
  </r>
  <r>
    <s v="4.3.4.4"/>
    <x v="3"/>
    <x v="3"/>
    <x v="3"/>
    <x v="15"/>
    <n v="8"/>
    <x v="87"/>
    <x v="87"/>
    <s v="Develop a position paper on purchasing essential medicines from alternative preselected prime vendors"/>
    <s v="Hold 3 consultations with stakeholders "/>
    <s v="Conference package high-level"/>
    <n v="35000"/>
    <n v="30"/>
    <n v="15"/>
    <n v="15750000"/>
    <n v="0"/>
    <n v="0"/>
    <n v="0"/>
    <n v="0"/>
    <n v="0"/>
    <n v="0"/>
    <n v="30"/>
    <n v="15"/>
    <n v="23514151.186748818"/>
    <n v="0"/>
    <n v="0"/>
    <n v="0"/>
    <n v="0"/>
    <n v="0"/>
    <n v="0"/>
    <n v="30"/>
    <n v="15"/>
    <n v="35105733.716398776"/>
    <n v="0"/>
    <n v="0"/>
    <n v="0"/>
    <n v="74369884.903147593"/>
    <n v="72203.77175062873"/>
  </r>
  <r>
    <s v="4.3.4.4"/>
    <x v="3"/>
    <x v="3"/>
    <x v="3"/>
    <x v="15"/>
    <n v="8"/>
    <x v="87"/>
    <x v="87"/>
    <s v="Develop a position paper on purchasing essential medicines from alternative preselected prime vendors"/>
    <s v="Hold 3 consultations with stakeholders "/>
    <s v="DSA (excl. lunch)"/>
    <n v="39000"/>
    <n v="30"/>
    <n v="15"/>
    <n v="17550000"/>
    <n v="0"/>
    <n v="0"/>
    <n v="0"/>
    <n v="0"/>
    <n v="0"/>
    <n v="0"/>
    <n v="30"/>
    <n v="15"/>
    <n v="26201482.750948675"/>
    <n v="0"/>
    <n v="0"/>
    <n v="0"/>
    <n v="0"/>
    <n v="0"/>
    <n v="0"/>
    <n v="30"/>
    <n v="15"/>
    <n v="39117817.569701493"/>
    <n v="0"/>
    <n v="0"/>
    <n v="0"/>
    <n v="82869300.32065016"/>
    <n v="80455.631379272003"/>
  </r>
  <r>
    <s v="4.3.4.4"/>
    <x v="3"/>
    <x v="3"/>
    <x v="3"/>
    <x v="15"/>
    <n v="8"/>
    <x v="87"/>
    <x v="87"/>
    <s v="Develop a position paper on purchasing essential medicines from alternative preselected prime vendors"/>
    <s v="Hold 3 consultations with stakeholders "/>
    <s v="Local running (diesel, per km)"/>
    <n v="211.42857142857142"/>
    <n v="450"/>
    <n v="15"/>
    <n v="1427142.857142857"/>
    <n v="0"/>
    <n v="0"/>
    <n v="0"/>
    <n v="0"/>
    <n v="0"/>
    <n v="0"/>
    <n v="450"/>
    <n v="15"/>
    <n v="2130670.0259013209"/>
    <n v="0"/>
    <n v="0"/>
    <n v="0"/>
    <n v="0"/>
    <n v="0"/>
    <n v="0"/>
    <n v="450"/>
    <n v="15"/>
    <n v="3181009.3408328686"/>
    <n v="0"/>
    <n v="0"/>
    <n v="0"/>
    <n v="6738822.2238770463"/>
    <n v="6542.5458484243163"/>
  </r>
  <r>
    <s v="4.3.4.4"/>
    <x v="3"/>
    <x v="3"/>
    <x v="3"/>
    <x v="15"/>
    <n v="8"/>
    <x v="87"/>
    <x v="87"/>
    <s v="Develop a position paper on purchasing essential medicines from alternative preselected prime vendors"/>
    <s v="Hold 3 consultations with stakeholders "/>
    <s v="Fuel for Traveling Participants"/>
    <n v="211.42857142857142"/>
    <n v="2430"/>
    <n v="3"/>
    <n v="1541314.2857142854"/>
    <m/>
    <m/>
    <n v="0"/>
    <m/>
    <m/>
    <n v="0"/>
    <n v="2430"/>
    <n v="3"/>
    <n v="2301123.6279734266"/>
    <m/>
    <m/>
    <n v="0"/>
    <m/>
    <m/>
    <n v="0"/>
    <n v="2430"/>
    <n v="3"/>
    <n v="3435490.0880994974"/>
    <m/>
    <m/>
    <n v="0"/>
    <n v="7277928.0017872099"/>
    <n v="7065.9495162982621"/>
  </r>
  <r>
    <s v="4.3.4.4"/>
    <x v="3"/>
    <x v="3"/>
    <x v="3"/>
    <x v="15"/>
    <n v="8"/>
    <x v="87"/>
    <x v="87"/>
    <s v="Develop a position paper on purchasing essential medicines from alternative preselected prime vendors"/>
    <s v="Drafting the position paper"/>
    <s v="zero cost"/>
    <n v="0"/>
    <n v="0"/>
    <n v="0"/>
    <n v="0"/>
    <n v="0"/>
    <n v="0"/>
    <n v="0"/>
    <n v="0"/>
    <n v="0"/>
    <n v="0"/>
    <n v="0"/>
    <n v="0"/>
    <n v="0"/>
    <n v="0"/>
    <n v="0"/>
    <n v="0"/>
    <n v="0"/>
    <n v="0"/>
    <n v="0"/>
    <n v="0"/>
    <n v="0"/>
    <n v="0"/>
    <n v="0"/>
    <n v="0"/>
    <n v="0"/>
    <n v="0"/>
    <n v="0"/>
  </r>
  <r>
    <s v="4.3.4.4"/>
    <x v="3"/>
    <x v="3"/>
    <x v="3"/>
    <x v="15"/>
    <n v="8"/>
    <x v="87"/>
    <x v="87"/>
    <s v="Develop a position paper on purchasing essential medicines from alternative preselected prime vendors"/>
    <s v="Submit the position paper to treasury and MOH"/>
    <s v="zero cost"/>
    <n v="0"/>
    <n v="0"/>
    <n v="0"/>
    <n v="0"/>
    <n v="0"/>
    <n v="0"/>
    <n v="0"/>
    <n v="0"/>
    <n v="0"/>
    <n v="0"/>
    <n v="0"/>
    <n v="0"/>
    <n v="0"/>
    <n v="0"/>
    <n v="0"/>
    <n v="0"/>
    <n v="0"/>
    <n v="0"/>
    <n v="0"/>
    <n v="0"/>
    <n v="0"/>
    <n v="0"/>
    <n v="0"/>
    <n v="0"/>
    <n v="0"/>
    <n v="0"/>
    <n v="0"/>
  </r>
  <r>
    <s v="4.3.4.4"/>
    <x v="3"/>
    <x v="3"/>
    <x v="3"/>
    <x v="15"/>
    <n v="8"/>
    <x v="87"/>
    <x v="87"/>
    <s v="Development of guidelines for purchasing of essential medicines from preselected prime vendors"/>
    <s v="Develop a concept note"/>
    <s v="zero cost"/>
    <n v="0"/>
    <m/>
    <m/>
    <n v="0"/>
    <n v="0"/>
    <n v="0"/>
    <n v="0"/>
    <n v="0"/>
    <n v="0"/>
    <n v="0"/>
    <n v="0"/>
    <n v="0"/>
    <n v="0"/>
    <n v="0"/>
    <n v="0"/>
    <n v="0"/>
    <n v="0"/>
    <n v="0"/>
    <n v="0"/>
    <n v="0"/>
    <n v="0"/>
    <n v="0"/>
    <n v="0"/>
    <n v="0"/>
    <n v="0"/>
    <n v="0"/>
    <n v="0"/>
  </r>
  <r>
    <s v="4.3.4.4"/>
    <x v="3"/>
    <x v="3"/>
    <x v="3"/>
    <x v="15"/>
    <n v="8"/>
    <x v="87"/>
    <x v="87"/>
    <s v="Development of guidelines for purchasing of essential medicines from preselected prime vendors"/>
    <s v="Set up a taskforce"/>
    <s v="zero cost"/>
    <n v="0"/>
    <m/>
    <m/>
    <n v="0"/>
    <n v="0"/>
    <n v="0"/>
    <n v="0"/>
    <n v="0"/>
    <n v="0"/>
    <n v="0"/>
    <n v="0"/>
    <n v="0"/>
    <n v="0"/>
    <n v="0"/>
    <n v="0"/>
    <n v="0"/>
    <n v="0"/>
    <n v="0"/>
    <n v="0"/>
    <n v="0"/>
    <n v="0"/>
    <n v="0"/>
    <n v="0"/>
    <n v="0"/>
    <n v="0"/>
    <n v="0"/>
    <n v="0"/>
  </r>
  <r>
    <s v="4.3.4.4"/>
    <x v="3"/>
    <x v="3"/>
    <x v="3"/>
    <x v="15"/>
    <n v="8"/>
    <x v="87"/>
    <x v="87"/>
    <s v="Development of guidelines for purchasing of essential medicines from preselected prime vendors"/>
    <s v="Hold 3 consultative meetings with stakeholders to develop the guidelines (5 days for each meeting)"/>
    <s v="Conference package high-level"/>
    <n v="35000"/>
    <m/>
    <m/>
    <n v="0"/>
    <n v="30"/>
    <n v="15"/>
    <n v="18001007.277749997"/>
    <n v="0"/>
    <n v="0"/>
    <n v="0"/>
    <n v="0"/>
    <n v="0"/>
    <n v="0"/>
    <n v="0"/>
    <n v="0"/>
    <n v="0"/>
    <n v="0"/>
    <n v="0"/>
    <n v="0"/>
    <n v="0"/>
    <n v="0"/>
    <n v="0"/>
    <n v="30"/>
    <n v="15"/>
    <n v="40123083.690136373"/>
    <n v="58124090.967886373"/>
    <n v="56431.156279501331"/>
  </r>
  <r>
    <s v="4.3.4.4"/>
    <x v="3"/>
    <x v="3"/>
    <x v="3"/>
    <x v="15"/>
    <n v="8"/>
    <x v="87"/>
    <x v="87"/>
    <s v="Development of guidelines for purchasing of essential medicines from preselected prime vendors"/>
    <s v="Hold 3 consultative meetings with stakeholders to develop the guidelines (5 days for each meeting)"/>
    <s v="DSA (excl. lunch)"/>
    <n v="39000"/>
    <m/>
    <m/>
    <n v="0"/>
    <n v="30"/>
    <n v="15"/>
    <n v="20058265.252349995"/>
    <n v="0"/>
    <n v="0"/>
    <n v="0"/>
    <n v="0"/>
    <n v="0"/>
    <n v="0"/>
    <n v="0"/>
    <n v="0"/>
    <n v="0"/>
    <n v="0"/>
    <n v="0"/>
    <n v="0"/>
    <n v="0"/>
    <n v="0"/>
    <n v="0"/>
    <n v="30"/>
    <n v="15"/>
    <n v="44708578.969009094"/>
    <n v="64766844.221359089"/>
    <n v="62880.431282872902"/>
  </r>
  <r>
    <s v="4.3.4.4"/>
    <x v="3"/>
    <x v="3"/>
    <x v="3"/>
    <x v="15"/>
    <n v="8"/>
    <x v="87"/>
    <x v="87"/>
    <s v="Development of guidelines for purchasing of essential medicines from preselected prime vendors"/>
    <s v="Hold 3 consultative meetings with stakeholders to develop the guidelines (5 days for each meeting)"/>
    <s v="Local running (diesel, per km)"/>
    <n v="211.42857142857142"/>
    <m/>
    <m/>
    <n v="0"/>
    <n v="450"/>
    <n v="15"/>
    <n v="1631111.6798614284"/>
    <n v="0"/>
    <n v="0"/>
    <n v="0"/>
    <n v="0"/>
    <n v="0"/>
    <n v="0"/>
    <n v="0"/>
    <n v="0"/>
    <n v="0"/>
    <n v="0"/>
    <n v="0"/>
    <n v="0"/>
    <n v="0"/>
    <n v="0"/>
    <n v="0"/>
    <n v="450"/>
    <n v="15"/>
    <n v="3635642.6853919486"/>
    <n v="5266754.3652533768"/>
    <n v="5113.3537526731816"/>
  </r>
  <r>
    <s v="4.3.4.4"/>
    <x v="3"/>
    <x v="3"/>
    <x v="3"/>
    <x v="15"/>
    <n v="8"/>
    <x v="87"/>
    <x v="87"/>
    <s v="Development of guidelines for purchasing of essential medicines from preselected prime vendors"/>
    <s v="Hold 3 consultative meetings with stakeholders to develop the guidelines (5 days for each meeting)"/>
    <s v="Fuel for Traveling Participants"/>
    <n v="211.42857142857142"/>
    <m/>
    <m/>
    <n v="0"/>
    <n v="2430"/>
    <n v="3"/>
    <n v="1761600.6142503428"/>
    <m/>
    <m/>
    <n v="0"/>
    <m/>
    <m/>
    <n v="0"/>
    <m/>
    <m/>
    <n v="0"/>
    <m/>
    <m/>
    <n v="0"/>
    <m/>
    <m/>
    <n v="0"/>
    <n v="2430"/>
    <n v="3"/>
    <n v="3926494.1002233047"/>
    <n v="5688094.714473648"/>
    <n v="5522.4220528870364"/>
  </r>
  <r>
    <s v="4.3.4.4"/>
    <x v="3"/>
    <x v="3"/>
    <x v="3"/>
    <x v="15"/>
    <n v="8"/>
    <x v="87"/>
    <x v="87"/>
    <s v="Development of guidelines for purchasing of essential medicines from preselected prime vendors"/>
    <s v="Present to TWG for endorsement"/>
    <s v="Conference package high-level"/>
    <n v="35000"/>
    <m/>
    <m/>
    <n v="0"/>
    <n v="25"/>
    <n v="1"/>
    <n v="1000055.9598749998"/>
    <n v="0"/>
    <n v="0"/>
    <n v="0"/>
    <n v="0"/>
    <n v="0"/>
    <n v="0"/>
    <n v="0"/>
    <n v="0"/>
    <n v="0"/>
    <n v="0"/>
    <n v="0"/>
    <n v="0"/>
    <n v="0"/>
    <n v="0"/>
    <n v="0"/>
    <n v="25"/>
    <n v="1"/>
    <n v="2229060.2050075764"/>
    <n v="3229116.1648825761"/>
    <n v="3135.064237750074"/>
  </r>
  <r>
    <s v="4.3.4.4"/>
    <x v="3"/>
    <x v="3"/>
    <x v="3"/>
    <x v="15"/>
    <n v="8"/>
    <x v="87"/>
    <x v="87"/>
    <s v="Development of guidelines for purchasing of essential medicines from preselected prime vendors"/>
    <s v="Present to SMT for approval"/>
    <s v="zero cost"/>
    <n v="0"/>
    <m/>
    <m/>
    <n v="0"/>
    <n v="25"/>
    <n v="1"/>
    <n v="0"/>
    <n v="0"/>
    <n v="0"/>
    <n v="0"/>
    <n v="0"/>
    <n v="0"/>
    <n v="0"/>
    <n v="0"/>
    <n v="0"/>
    <n v="0"/>
    <n v="0"/>
    <n v="0"/>
    <n v="0"/>
    <n v="0"/>
    <n v="0"/>
    <n v="0"/>
    <n v="25"/>
    <n v="1"/>
    <n v="0"/>
    <n v="0"/>
    <n v="0"/>
  </r>
  <r>
    <s v="4.3.4.4"/>
    <x v="3"/>
    <x v="3"/>
    <x v="3"/>
    <x v="15"/>
    <n v="8"/>
    <x v="87"/>
    <x v="87"/>
    <s v="Development of guidelines for purchasing of essential medicines from preselected prime vendors"/>
    <s v="Dissemination "/>
    <s v="Conference package high-level"/>
    <n v="35000"/>
    <m/>
    <m/>
    <n v="0"/>
    <n v="100"/>
    <n v="1"/>
    <n v="4000223.8394999993"/>
    <n v="0"/>
    <n v="0"/>
    <n v="0"/>
    <n v="0"/>
    <n v="0"/>
    <n v="0"/>
    <n v="0"/>
    <n v="0"/>
    <n v="0"/>
    <n v="0"/>
    <n v="0"/>
    <n v="0"/>
    <n v="0"/>
    <n v="0"/>
    <n v="0"/>
    <n v="100"/>
    <n v="1"/>
    <n v="8916240.8200303055"/>
    <n v="12916464.659530304"/>
    <n v="12540.256951000296"/>
  </r>
  <r>
    <s v="4.3.4.4"/>
    <x v="3"/>
    <x v="3"/>
    <x v="3"/>
    <x v="15"/>
    <n v="8"/>
    <x v="87"/>
    <x v="87"/>
    <s v="Development of guidelines for purchasing of essential medicines from preselected prime vendors"/>
    <s v="Dissemination "/>
    <s v="A4, 500 pages, 140 gsm paper"/>
    <n v="8000"/>
    <m/>
    <m/>
    <n v="0"/>
    <n v="10"/>
    <n v="1"/>
    <n v="91433.687760000001"/>
    <n v="0"/>
    <n v="0"/>
    <n v="0"/>
    <n v="0"/>
    <n v="0"/>
    <n v="0"/>
    <n v="0"/>
    <n v="0"/>
    <n v="0"/>
    <n v="0"/>
    <n v="0"/>
    <n v="0"/>
    <n v="0"/>
    <n v="0"/>
    <n v="0"/>
    <n v="10"/>
    <n v="1"/>
    <n v="203799.79017212125"/>
    <n v="295233.47793212126"/>
    <n v="286.63444459429246"/>
  </r>
  <r>
    <s v="4.3.4.4"/>
    <x v="3"/>
    <x v="3"/>
    <x v="3"/>
    <x v="15"/>
    <n v="8"/>
    <x v="87"/>
    <x v="87"/>
    <s v="Development of guidelines for purchasing of essential medicines from preselected prime vendors"/>
    <s v="Dissemination "/>
    <s v="toner"/>
    <n v="104850"/>
    <m/>
    <m/>
    <n v="0"/>
    <n v="1"/>
    <n v="1"/>
    <n v="119835.27702044998"/>
    <n v="0"/>
    <n v="0"/>
    <n v="0"/>
    <n v="0"/>
    <n v="0"/>
    <n v="0"/>
    <n v="0"/>
    <n v="0"/>
    <n v="0"/>
    <n v="0"/>
    <n v="0"/>
    <n v="0"/>
    <n v="0"/>
    <n v="0"/>
    <n v="0"/>
    <n v="1"/>
    <n v="1"/>
    <n v="267105.09999433643"/>
    <n v="386940.37701478641"/>
    <n v="375.67026894639457"/>
  </r>
  <r>
    <s v="4.3.4.4"/>
    <x v="3"/>
    <x v="3"/>
    <x v="3"/>
    <x v="15"/>
    <n v="8"/>
    <x v="87"/>
    <x v="87"/>
    <s v="Development of guidelines for purchasing of essential medicines from preselected prime vendors"/>
    <s v="Dissemination "/>
    <s v="DSA (excl. lunch)"/>
    <n v="39000"/>
    <m/>
    <m/>
    <n v="0"/>
    <n v="58"/>
    <n v="1"/>
    <n v="2585287.5214139996"/>
    <n v="0"/>
    <n v="0"/>
    <n v="0"/>
    <n v="0"/>
    <n v="0"/>
    <n v="0"/>
    <n v="0"/>
    <n v="0"/>
    <n v="0"/>
    <n v="0"/>
    <n v="0"/>
    <n v="0"/>
    <n v="0"/>
    <n v="0"/>
    <n v="0"/>
    <n v="58"/>
    <n v="1"/>
    <n v="5762439.0671167281"/>
    <n v="8347726.5885307277"/>
    <n v="8104.5889209036195"/>
  </r>
  <r>
    <s v="4.3.4.4"/>
    <x v="3"/>
    <x v="3"/>
    <x v="3"/>
    <x v="15"/>
    <n v="9"/>
    <x v="88"/>
    <x v="88"/>
    <s v="Hold annual health financing summit "/>
    <s v="hold summit"/>
    <s v="DSA (excl. lunch)"/>
    <n v="39000"/>
    <n v="100"/>
    <n v="2"/>
    <n v="7800000"/>
    <n v="100"/>
    <n v="2"/>
    <n v="8914784.5565999988"/>
    <n v="100"/>
    <n v="2"/>
    <n v="10188895.344947929"/>
    <n v="100"/>
    <n v="2"/>
    <n v="11645103.44486608"/>
    <n v="100"/>
    <n v="2"/>
    <n v="13309434.403884819"/>
    <n v="100"/>
    <n v="2"/>
    <n v="15211633.369337576"/>
    <n v="100"/>
    <n v="2"/>
    <n v="17385696.697645109"/>
    <n v="100"/>
    <n v="2"/>
    <n v="19870479.54178182"/>
    <n v="104326027.35906333"/>
    <n v="101287.4052029741"/>
  </r>
  <r>
    <s v="4.3.4.4"/>
    <x v="3"/>
    <x v="3"/>
    <x v="3"/>
    <x v="15"/>
    <n v="9"/>
    <x v="88"/>
    <x v="88"/>
    <s v="Hold annual health financing summit "/>
    <s v="hold summit"/>
    <s v="Conference package high-level"/>
    <n v="3500"/>
    <n v="200"/>
    <n v="2"/>
    <n v="1400000"/>
    <n v="200"/>
    <n v="2"/>
    <n v="1600089.5357999997"/>
    <n v="200"/>
    <n v="2"/>
    <n v="1828776.0875547566"/>
    <n v="200"/>
    <n v="2"/>
    <n v="2090146.7721554502"/>
    <n v="200"/>
    <n v="2"/>
    <n v="2388872.8417229159"/>
    <n v="200"/>
    <n v="2"/>
    <n v="2730293.1688554622"/>
    <n v="200"/>
    <n v="2"/>
    <n v="3120509.6636798908"/>
    <n v="200"/>
    <n v="2"/>
    <n v="3566496.3280121223"/>
    <n v="18725184.397780597"/>
    <n v="18179.790677456891"/>
  </r>
  <r>
    <s v="4.3.4.4"/>
    <x v="3"/>
    <x v="3"/>
    <x v="3"/>
    <x v="15"/>
    <n v="9"/>
    <x v="88"/>
    <x v="88"/>
    <s v="Hold annual health financing summit "/>
    <s v="hold summit"/>
    <s v="Local running (diesel, per km)"/>
    <n v="211.42857142857142"/>
    <n v="450"/>
    <n v="2"/>
    <n v="190285.71428571426"/>
    <n v="450"/>
    <n v="2"/>
    <n v="217481.55731485711"/>
    <n v="450"/>
    <n v="2"/>
    <n v="248564.26006356487"/>
    <n v="450"/>
    <n v="2"/>
    <n v="284089.33678684279"/>
    <n v="450"/>
    <n v="2"/>
    <n v="324691.6964464208"/>
    <n v="450"/>
    <n v="2"/>
    <n v="371096.98988933425"/>
    <n v="450"/>
    <n v="2"/>
    <n v="424134.5787777158"/>
    <n v="450"/>
    <n v="2"/>
    <n v="484752.35805225978"/>
    <n v="2545096.4916167096"/>
    <n v="2470.9674675890383"/>
  </r>
  <r>
    <s v="4.3.4.4"/>
    <x v="3"/>
    <x v="3"/>
    <x v="3"/>
    <x v="15"/>
    <n v="9"/>
    <x v="88"/>
    <x v="88"/>
    <s v="Hold annual health financing summit "/>
    <s v="hold summit"/>
    <s v="Fuel for Traveling Participants"/>
    <n v="211.42857142857142"/>
    <n v="22500"/>
    <n v="1"/>
    <n v="4757142.8571428573"/>
    <n v="22500"/>
    <n v="1"/>
    <n v="5437038.9328714283"/>
    <n v="22500"/>
    <n v="1"/>
    <n v="6214106.5015891213"/>
    <n v="22500"/>
    <n v="1"/>
    <n v="7102233.4196710698"/>
    <n v="22500"/>
    <n v="1"/>
    <n v="8117292.4111605193"/>
    <n v="22500"/>
    <n v="1"/>
    <n v="9277424.7472333554"/>
    <n v="22500"/>
    <n v="1"/>
    <n v="10603364.469442895"/>
    <n v="22500"/>
    <n v="1"/>
    <n v="12118808.951306494"/>
    <n v="63627412.290417738"/>
    <n v="61774.186689725961"/>
  </r>
  <r>
    <s v="4.3.4.4"/>
    <x v="3"/>
    <x v="3"/>
    <x v="3"/>
    <x v="15"/>
    <n v="10"/>
    <x v="89"/>
    <x v="89"/>
    <s v="Develop a Health Finance Law"/>
    <s v="Develop a concept note"/>
    <s v="zero cost"/>
    <n v="0"/>
    <n v="0"/>
    <n v="0"/>
    <n v="0"/>
    <n v="0"/>
    <n v="0"/>
    <n v="0"/>
    <n v="0"/>
    <n v="0"/>
    <n v="0"/>
    <m/>
    <m/>
    <n v="0"/>
    <m/>
    <m/>
    <n v="0"/>
    <m/>
    <m/>
    <n v="0"/>
    <m/>
    <m/>
    <n v="0"/>
    <m/>
    <m/>
    <n v="0"/>
    <n v="0"/>
    <n v="0"/>
  </r>
  <r>
    <s v="4.3.4.4"/>
    <x v="3"/>
    <x v="3"/>
    <x v="3"/>
    <x v="15"/>
    <n v="10"/>
    <x v="89"/>
    <x v="89"/>
    <s v="Develop a Health Finance Law"/>
    <s v="Engage the Malawi Law Commission to draft the Health Financing Law (20 workshops)"/>
    <s v="Conference package high-level"/>
    <n v="35000"/>
    <n v="0"/>
    <n v="0"/>
    <n v="0"/>
    <n v="100"/>
    <n v="100"/>
    <n v="400022383.94999993"/>
    <n v="100"/>
    <n v="100"/>
    <n v="457194021.88868916"/>
    <m/>
    <m/>
    <n v="0"/>
    <m/>
    <m/>
    <n v="0"/>
    <m/>
    <m/>
    <n v="0"/>
    <m/>
    <m/>
    <n v="0"/>
    <m/>
    <m/>
    <n v="0"/>
    <n v="857216405.83868909"/>
    <n v="832248.93770746514"/>
  </r>
  <r>
    <s v="4.3.4.4"/>
    <x v="3"/>
    <x v="3"/>
    <x v="3"/>
    <x v="15"/>
    <n v="10"/>
    <x v="89"/>
    <x v="89"/>
    <s v="Develop a Health Finance Law"/>
    <s v="Engage the Malawi Law Commission to draft the Health Financing Law (20 workshops)"/>
    <s v="DSA (excl. lunch)"/>
    <n v="39000"/>
    <n v="0"/>
    <n v="0"/>
    <n v="0"/>
    <n v="58"/>
    <n v="120"/>
    <n v="310234502.56967998"/>
    <n v="58"/>
    <n v="120"/>
    <n v="354573558.00418794"/>
    <m/>
    <m/>
    <n v="0"/>
    <m/>
    <m/>
    <n v="0"/>
    <m/>
    <m/>
    <n v="0"/>
    <m/>
    <m/>
    <n v="0"/>
    <m/>
    <m/>
    <n v="0"/>
    <n v="664808060.57386792"/>
    <n v="645444.71900375525"/>
  </r>
  <r>
    <s v="4.3.4.4"/>
    <x v="3"/>
    <x v="3"/>
    <x v="3"/>
    <x v="15"/>
    <n v="10"/>
    <x v="89"/>
    <x v="89"/>
    <s v="Develop a Health Finance Law"/>
    <s v="Engage the Malawi Law Commission to draft the Health Financing Law (20 workshops)"/>
    <s v="Local running (diesel, per km)"/>
    <n v="211.42857142857142"/>
    <n v="0"/>
    <n v="0"/>
    <n v="0"/>
    <n v="450"/>
    <n v="100"/>
    <n v="10874077.865742855"/>
    <n v="450"/>
    <n v="100"/>
    <n v="12428213.003178243"/>
    <m/>
    <m/>
    <n v="0"/>
    <m/>
    <m/>
    <n v="0"/>
    <m/>
    <m/>
    <n v="0"/>
    <m/>
    <m/>
    <n v="0"/>
    <m/>
    <m/>
    <n v="0"/>
    <n v="23302290.868921097"/>
    <n v="22623.583367884559"/>
  </r>
  <r>
    <s v="4.3.4.4"/>
    <x v="3"/>
    <x v="3"/>
    <x v="3"/>
    <x v="15"/>
    <n v="10"/>
    <x v="89"/>
    <x v="89"/>
    <s v="Develop a Health Finance Law"/>
    <s v="Engage the Malawi Law Commission to draft the Health Financing Law (20 workshops)"/>
    <s v="Fuel for Traveling Participants"/>
    <n v="211.42857142857142"/>
    <n v="0"/>
    <n v="0"/>
    <n v="0"/>
    <n v="2430"/>
    <n v="20"/>
    <n v="11744004.095002284"/>
    <n v="2430"/>
    <n v="20"/>
    <n v="13422470.043432504"/>
    <m/>
    <m/>
    <n v="0"/>
    <m/>
    <m/>
    <n v="0"/>
    <m/>
    <m/>
    <n v="0"/>
    <m/>
    <m/>
    <n v="0"/>
    <m/>
    <m/>
    <n v="0"/>
    <n v="25166474.13843479"/>
    <n v="24433.470037315332"/>
  </r>
  <r>
    <s v="4.3.4.4"/>
    <x v="3"/>
    <x v="3"/>
    <x v="3"/>
    <x v="15"/>
    <n v="10"/>
    <x v="89"/>
    <x v="89"/>
    <s v="Develop a Health Finance Law"/>
    <s v="Present to TWG"/>
    <s v="Conference package high-level"/>
    <n v="35000"/>
    <n v="0"/>
    <n v="0"/>
    <n v="0"/>
    <n v="25"/>
    <n v="1"/>
    <n v="1000055.9598749998"/>
    <n v="25"/>
    <n v="1"/>
    <n v="1142985.0547217228"/>
    <m/>
    <m/>
    <n v="0"/>
    <m/>
    <m/>
    <n v="0"/>
    <m/>
    <m/>
    <n v="0"/>
    <m/>
    <m/>
    <n v="0"/>
    <m/>
    <m/>
    <n v="0"/>
    <n v="2143041.0145967226"/>
    <n v="2080.6223442686628"/>
  </r>
  <r>
    <s v="4.3.4.4"/>
    <x v="3"/>
    <x v="3"/>
    <x v="3"/>
    <x v="15"/>
    <n v="10"/>
    <x v="89"/>
    <x v="89"/>
    <s v="Develop a Health Finance Law"/>
    <s v="Present to SMT for internal approval"/>
    <s v="zero cost"/>
    <n v="0"/>
    <n v="0"/>
    <n v="0"/>
    <n v="0"/>
    <n v="25"/>
    <n v="1"/>
    <n v="0"/>
    <n v="25"/>
    <n v="1"/>
    <n v="0"/>
    <m/>
    <m/>
    <n v="0"/>
    <m/>
    <m/>
    <n v="0"/>
    <m/>
    <m/>
    <n v="0"/>
    <m/>
    <m/>
    <n v="0"/>
    <m/>
    <m/>
    <n v="0"/>
    <n v="0"/>
    <n v="0"/>
  </r>
  <r>
    <s v="4.3.4.4"/>
    <x v="3"/>
    <x v="3"/>
    <x v="3"/>
    <x v="15"/>
    <n v="10"/>
    <x v="89"/>
    <x v="89"/>
    <s v="Develop a Health Finance Law"/>
    <s v="Present to relevant PS’s committee"/>
    <s v="Conference package high-level"/>
    <n v="35000"/>
    <n v="0"/>
    <n v="0"/>
    <n v="0"/>
    <n v="60"/>
    <n v="1"/>
    <n v="2400134.3036999996"/>
    <n v="60"/>
    <n v="1"/>
    <n v="2743164.1313321344"/>
    <m/>
    <m/>
    <n v="0"/>
    <m/>
    <m/>
    <n v="0"/>
    <m/>
    <m/>
    <n v="0"/>
    <m/>
    <m/>
    <n v="0"/>
    <m/>
    <m/>
    <n v="0"/>
    <n v="5143298.4350321339"/>
    <n v="4993.49362624479"/>
  </r>
  <r>
    <s v="4.3.4.4"/>
    <x v="3"/>
    <x v="3"/>
    <x v="3"/>
    <x v="15"/>
    <n v="10"/>
    <x v="89"/>
    <x v="89"/>
    <s v="Develop a Health Finance Law"/>
    <s v="Present to relevant PS’s committee"/>
    <s v="DSA (excl. lunch)"/>
    <n v="39000"/>
    <n v="0"/>
    <n v="0"/>
    <n v="0"/>
    <n v="60"/>
    <n v="1"/>
    <n v="2674435.3669799995"/>
    <n v="60"/>
    <n v="1"/>
    <n v="3056668.6034843787"/>
    <m/>
    <m/>
    <n v="0"/>
    <m/>
    <m/>
    <n v="0"/>
    <m/>
    <m/>
    <n v="0"/>
    <m/>
    <m/>
    <n v="0"/>
    <m/>
    <m/>
    <n v="0"/>
    <n v="5731103.9704643786"/>
    <n v="5564.1786121013383"/>
  </r>
  <r>
    <s v="4.3.4.4"/>
    <x v="3"/>
    <x v="3"/>
    <x v="3"/>
    <x v="15"/>
    <n v="10"/>
    <x v="89"/>
    <x v="89"/>
    <s v="Develop a Health Finance Law"/>
    <s v="Present to relevant PS’s committee"/>
    <s v="Local running (diesel, per km)"/>
    <n v="211.42857142857142"/>
    <n v="0"/>
    <n v="0"/>
    <n v="0"/>
    <n v="450"/>
    <n v="1"/>
    <n v="108740.77865742856"/>
    <n v="450"/>
    <n v="1"/>
    <n v="124282.13003178244"/>
    <m/>
    <m/>
    <n v="0"/>
    <m/>
    <m/>
    <n v="0"/>
    <m/>
    <m/>
    <n v="0"/>
    <m/>
    <m/>
    <n v="0"/>
    <m/>
    <m/>
    <n v="0"/>
    <n v="233022.90868921101"/>
    <n v="226.23583367884564"/>
  </r>
  <r>
    <s v="4.3.4.4"/>
    <x v="3"/>
    <x v="3"/>
    <x v="3"/>
    <x v="15"/>
    <n v="10"/>
    <x v="89"/>
    <x v="89"/>
    <s v="Develop a Health Finance Law"/>
    <s v="Present to relevant PS’s committee"/>
    <s v="Fuel for Traveling Participants"/>
    <n v="211.42857142857142"/>
    <n v="0"/>
    <n v="0"/>
    <n v="0"/>
    <n v="2430"/>
    <n v="1"/>
    <n v="587200.20475011424"/>
    <n v="2430"/>
    <n v="1"/>
    <n v="671123.50217162515"/>
    <m/>
    <m/>
    <n v="0"/>
    <m/>
    <m/>
    <n v="0"/>
    <m/>
    <m/>
    <n v="0"/>
    <m/>
    <m/>
    <n v="0"/>
    <m/>
    <m/>
    <n v="0"/>
    <n v="1258323.7069217395"/>
    <n v="1221.6735018657664"/>
  </r>
  <r>
    <s v="4.3.4.4"/>
    <x v="3"/>
    <x v="3"/>
    <x v="3"/>
    <x v="15"/>
    <n v="10"/>
    <x v="89"/>
    <x v="89"/>
    <s v="Develop a Health Finance Law"/>
    <s v="Present to relevant cabinet committee"/>
    <s v="Conference package high-level"/>
    <n v="35000"/>
    <n v="0"/>
    <n v="0"/>
    <n v="0"/>
    <n v="62"/>
    <n v="1"/>
    <n v="2480138.7804899998"/>
    <n v="62"/>
    <n v="1"/>
    <n v="2834602.9357098723"/>
    <m/>
    <m/>
    <n v="0"/>
    <m/>
    <m/>
    <n v="0"/>
    <m/>
    <m/>
    <n v="0"/>
    <m/>
    <m/>
    <n v="0"/>
    <m/>
    <m/>
    <n v="0"/>
    <n v="5314741.7161998721"/>
    <n v="5159.9434137862836"/>
  </r>
  <r>
    <s v="4.3.4.4"/>
    <x v="3"/>
    <x v="3"/>
    <x v="3"/>
    <x v="15"/>
    <n v="10"/>
    <x v="89"/>
    <x v="89"/>
    <s v="Develop a Health Finance Law"/>
    <s v="Present to parliamentary committee"/>
    <s v="Full DSA parliamentarian"/>
    <n v="80000"/>
    <n v="0"/>
    <n v="0"/>
    <n v="0"/>
    <n v="32"/>
    <n v="1"/>
    <n v="2925878.0083199996"/>
    <n v="32"/>
    <n v="1"/>
    <n v="3344047.7029572693"/>
    <m/>
    <m/>
    <n v="0"/>
    <m/>
    <m/>
    <n v="0"/>
    <m/>
    <m/>
    <n v="0"/>
    <m/>
    <m/>
    <n v="0"/>
    <m/>
    <m/>
    <n v="0"/>
    <n v="6269925.7112772688"/>
    <n v="6087.3065158031732"/>
  </r>
  <r>
    <s v="4.3.4.4"/>
    <x v="3"/>
    <x v="3"/>
    <x v="3"/>
    <x v="15"/>
    <n v="10"/>
    <x v="89"/>
    <x v="89"/>
    <s v="Develop a Health Finance Law"/>
    <s v="Present to parliamentary committee"/>
    <s v="DSA (excl. lunch)"/>
    <n v="45000"/>
    <n v="0"/>
    <n v="0"/>
    <n v="0"/>
    <n v="30"/>
    <n v="1"/>
    <n v="1542943.4809499998"/>
    <n v="30"/>
    <n v="1"/>
    <n v="1763462.6558563723"/>
    <m/>
    <m/>
    <n v="0"/>
    <m/>
    <m/>
    <n v="0"/>
    <m/>
    <m/>
    <n v="0"/>
    <m/>
    <m/>
    <n v="0"/>
    <m/>
    <m/>
    <n v="0"/>
    <n v="3306406.1368063721"/>
    <n v="3210.1030454430797"/>
  </r>
  <r>
    <s v="4.3.4.4"/>
    <x v="3"/>
    <x v="3"/>
    <x v="3"/>
    <x v="15"/>
    <n v="10"/>
    <x v="89"/>
    <x v="89"/>
    <s v="Develop a Health Finance Law"/>
    <s v="Present to parliamentary committee"/>
    <s v="Local running (diesel, per km)"/>
    <n v="211.42857142857142"/>
    <n v="0"/>
    <n v="0"/>
    <n v="0"/>
    <n v="450"/>
    <n v="1"/>
    <n v="108740.77865742856"/>
    <n v="450"/>
    <n v="1"/>
    <n v="124282.13003178244"/>
    <m/>
    <m/>
    <n v="0"/>
    <m/>
    <m/>
    <n v="0"/>
    <m/>
    <m/>
    <n v="0"/>
    <m/>
    <m/>
    <n v="0"/>
    <m/>
    <m/>
    <n v="0"/>
    <n v="233022.90868921101"/>
    <n v="226.23583367884564"/>
  </r>
  <r>
    <s v="4.3.4.4"/>
    <x v="3"/>
    <x v="3"/>
    <x v="3"/>
    <x v="15"/>
    <n v="10"/>
    <x v="89"/>
    <x v="89"/>
    <s v="Develop a Health Finance Law"/>
    <s v="Present to parliamentary committee"/>
    <s v="Fuel for Traveling Participants"/>
    <n v="211.42857142857142"/>
    <n v="0"/>
    <n v="0"/>
    <n v="0"/>
    <n v="2430"/>
    <n v="1"/>
    <n v="587200.20475011424"/>
    <n v="2430"/>
    <n v="1"/>
    <n v="671123.50217162515"/>
    <m/>
    <m/>
    <n v="0"/>
    <m/>
    <m/>
    <n v="0"/>
    <m/>
    <m/>
    <n v="0"/>
    <m/>
    <m/>
    <n v="0"/>
    <m/>
    <m/>
    <n v="0"/>
    <n v="1258323.7069217395"/>
    <n v="1221.6735018657664"/>
  </r>
  <r>
    <s v="4.3.4.4"/>
    <x v="3"/>
    <x v="3"/>
    <x v="3"/>
    <x v="15"/>
    <n v="10"/>
    <x v="89"/>
    <x v="89"/>
    <s v="Develop a Health Finance Law"/>
    <s v="Present to parliamentary committee"/>
    <s v="Conference package high-level"/>
    <n v="35000"/>
    <n v="0"/>
    <n v="0"/>
    <n v="0"/>
    <n v="62"/>
    <n v="1"/>
    <n v="2480138.7804899998"/>
    <n v="62"/>
    <n v="1"/>
    <n v="2834602.9357098723"/>
    <m/>
    <m/>
    <n v="0"/>
    <m/>
    <m/>
    <n v="0"/>
    <m/>
    <m/>
    <n v="0"/>
    <m/>
    <m/>
    <n v="0"/>
    <m/>
    <m/>
    <n v="0"/>
    <n v="5314741.7161998721"/>
    <n v="5159.9434137862836"/>
  </r>
  <r>
    <s v="4.3.4.4"/>
    <x v="3"/>
    <x v="3"/>
    <x v="3"/>
    <x v="15"/>
    <n v="10"/>
    <x v="89"/>
    <x v="89"/>
    <s v="Develop a Health Finance Law"/>
    <s v="Present to members of parliament for approval"/>
    <s v="zero cost"/>
    <n v="0"/>
    <n v="0"/>
    <n v="0"/>
    <n v="0"/>
    <n v="62"/>
    <n v="1"/>
    <n v="0"/>
    <n v="62"/>
    <n v="1"/>
    <n v="0"/>
    <m/>
    <m/>
    <n v="0"/>
    <m/>
    <m/>
    <n v="0"/>
    <m/>
    <m/>
    <n v="0"/>
    <m/>
    <m/>
    <n v="0"/>
    <m/>
    <m/>
    <n v="0"/>
    <n v="0"/>
    <n v="0"/>
  </r>
  <r>
    <s v="4.3.4.4"/>
    <x v="3"/>
    <x v="3"/>
    <x v="3"/>
    <x v="15"/>
    <n v="10"/>
    <x v="89"/>
    <x v="89"/>
    <s v="Develop a Health Finance Law"/>
    <s v="Send it to the president to ascent"/>
    <s v="zero cost"/>
    <n v="0"/>
    <n v="0"/>
    <n v="0"/>
    <n v="0"/>
    <n v="0"/>
    <n v="0"/>
    <n v="0"/>
    <n v="0"/>
    <n v="0"/>
    <n v="0"/>
    <m/>
    <m/>
    <n v="0"/>
    <m/>
    <m/>
    <n v="0"/>
    <m/>
    <m/>
    <n v="0"/>
    <m/>
    <m/>
    <n v="0"/>
    <m/>
    <m/>
    <n v="0"/>
    <n v="0"/>
    <n v="0"/>
  </r>
  <r>
    <s v="4.3.4.4"/>
    <x v="3"/>
    <x v="3"/>
    <x v="3"/>
    <x v="15"/>
    <n v="10"/>
    <x v="89"/>
    <x v="89"/>
    <s v="Develop a Health Finance Law"/>
    <s v="Gazette the Health Financing Law"/>
    <s v="zero cost"/>
    <n v="0"/>
    <n v="0"/>
    <n v="0"/>
    <n v="0"/>
    <n v="0"/>
    <n v="0"/>
    <n v="0"/>
    <n v="0"/>
    <n v="0"/>
    <n v="0"/>
    <m/>
    <m/>
    <n v="0"/>
    <m/>
    <m/>
    <n v="0"/>
    <m/>
    <m/>
    <n v="0"/>
    <m/>
    <m/>
    <n v="0"/>
    <m/>
    <m/>
    <n v="0"/>
    <n v="0"/>
    <n v="0"/>
  </r>
  <r>
    <m/>
    <x v="4"/>
    <x v="4"/>
    <x v="6"/>
    <x v="16"/>
    <m/>
    <x v="90"/>
    <x v="90"/>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7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11:D22" firstHeaderRow="0" firstDataRow="1" firstDataCol="2"/>
  <pivotFields count="38">
    <pivotField compact="0" outline="0" showAll="0"/>
    <pivotField axis="axisRow" compact="0" outline="0" showAll="0">
      <items count="6">
        <item x="0"/>
        <item x="1"/>
        <item x="2"/>
        <item x="3"/>
        <item x="4"/>
        <item t="default"/>
      </items>
    </pivotField>
    <pivotField axis="axisRow" compact="0" outline="0" showAll="0">
      <items count="6">
        <item x="2"/>
        <item x="1"/>
        <item x="3"/>
        <item x="0"/>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dataField="1" compact="0" numFmtId="43" outline="0" showAll="0"/>
    <pivotField dataField="1" compact="0" numFmtId="43" outline="0" showAll="0"/>
  </pivotFields>
  <rowFields count="2">
    <field x="1"/>
    <field x="2"/>
  </rowFields>
  <rowItems count="11">
    <i>
      <x/>
      <x v="3"/>
    </i>
    <i t="default">
      <x/>
    </i>
    <i>
      <x v="1"/>
      <x v="1"/>
    </i>
    <i t="default">
      <x v="1"/>
    </i>
    <i>
      <x v="2"/>
      <x/>
    </i>
    <i t="default">
      <x v="2"/>
    </i>
    <i>
      <x v="3"/>
      <x v="2"/>
    </i>
    <i t="default">
      <x v="3"/>
    </i>
    <i>
      <x v="4"/>
      <x v="4"/>
    </i>
    <i t="default">
      <x v="4"/>
    </i>
    <i t="grand">
      <x/>
    </i>
  </rowItems>
  <colFields count="1">
    <field x="-2"/>
  </colFields>
  <colItems count="2">
    <i>
      <x/>
    </i>
    <i i="1">
      <x v="1"/>
    </i>
  </colItems>
  <dataFields count="2">
    <dataField name="Sum of TOTAL (MWK)" fld="36" baseField="0" baseItem="0"/>
    <dataField name="Sum of TOTAL (US$)" fld="37" baseField="0" baseItem="0" numFmtId="43"/>
  </dataFields>
  <formats count="1">
    <format dxfId="117">
      <pivotArea outline="0" collapsedLevelsAreSubtotals="1" fieldPosition="0"/>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4" cacheId="17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F21" firstHeaderRow="0" firstDataRow="1" firstDataCol="4"/>
  <pivotFields count="38">
    <pivotField compact="0" outline="0" showAll="0"/>
    <pivotField axis="axisRow" compact="0" outline="0" showAll="0" defaultSubtotal="0">
      <items count="5">
        <item x="0"/>
        <item x="1"/>
        <item x="2"/>
        <item x="3"/>
        <item x="4"/>
      </items>
    </pivotField>
    <pivotField axis="axisRow" compact="0" outline="0" showAll="0" defaultSubtotal="0">
      <items count="5">
        <item x="2"/>
        <item x="1"/>
        <item x="3"/>
        <item x="0"/>
        <item x="4"/>
      </items>
    </pivotField>
    <pivotField axis="axisRow" compact="0" outline="0" showAll="0" defaultSubtotal="0">
      <items count="7">
        <item x="0"/>
        <item x="1"/>
        <item x="2"/>
        <item x="3"/>
        <item x="4"/>
        <item x="5"/>
        <item x="6"/>
      </items>
    </pivotField>
    <pivotField axis="axisRow" compact="0" outline="0" showAll="0" defaultSubtotal="0">
      <items count="17">
        <item x="9"/>
        <item x="11"/>
        <item x="10"/>
        <item x="1"/>
        <item x="2"/>
        <item x="0"/>
        <item x="4"/>
        <item x="8"/>
        <item x="5"/>
        <item x="6"/>
        <item x="13"/>
        <item x="12"/>
        <item x="7"/>
        <item x="14"/>
        <item x="15"/>
        <item n="Increase external funding to the health sector2" x="3"/>
        <item x="16"/>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compact="0" outline="0" showAll="0"/>
    <pivotField compact="0" outline="0" showAll="0"/>
    <pivotField compact="0" numFmtId="43" outline="0" showAll="0"/>
    <pivotField dataField="1" compact="0" numFmtId="43" outline="0" showAll="0"/>
    <pivotField dataField="1" compact="0" numFmtId="43" outline="0" showAll="0"/>
  </pivotFields>
  <rowFields count="4">
    <field x="1"/>
    <field x="2"/>
    <field x="3"/>
    <field x="4"/>
  </rowFields>
  <rowItems count="18">
    <i>
      <x/>
      <x v="3"/>
      <x/>
      <x v="5"/>
    </i>
    <i r="2">
      <x v="1"/>
      <x v="3"/>
    </i>
    <i r="2">
      <x v="2"/>
      <x v="4"/>
    </i>
    <i r="2">
      <x v="3"/>
      <x v="15"/>
    </i>
    <i r="2">
      <x v="4"/>
      <x v="6"/>
    </i>
    <i r="2">
      <x v="5"/>
      <x v="8"/>
    </i>
    <i>
      <x v="1"/>
      <x v="1"/>
      <x/>
      <x v="9"/>
    </i>
    <i r="2">
      <x v="1"/>
      <x v="12"/>
    </i>
    <i r="2">
      <x v="2"/>
      <x v="7"/>
    </i>
    <i>
      <x v="2"/>
      <x/>
      <x/>
      <x/>
    </i>
    <i r="2">
      <x v="1"/>
      <x v="2"/>
    </i>
    <i r="2">
      <x v="2"/>
      <x v="1"/>
    </i>
    <i>
      <x v="3"/>
      <x v="2"/>
      <x/>
      <x v="11"/>
    </i>
    <i r="2">
      <x v="1"/>
      <x v="10"/>
    </i>
    <i r="2">
      <x v="2"/>
      <x v="13"/>
    </i>
    <i r="2">
      <x v="3"/>
      <x v="14"/>
    </i>
    <i>
      <x v="4"/>
      <x v="4"/>
      <x v="6"/>
      <x v="16"/>
    </i>
    <i t="grand">
      <x/>
    </i>
  </rowItems>
  <colFields count="1">
    <field x="-2"/>
  </colFields>
  <colItems count="2">
    <i>
      <x/>
    </i>
    <i i="1">
      <x v="1"/>
    </i>
  </colItems>
  <dataFields count="2">
    <dataField name="Sum of TOTAL (MWK)" fld="36" baseField="0" baseItem="0"/>
    <dataField name="Sum of TOTAL (US$)" fld="37" baseField="0" baseItem="0" numFmtId="43"/>
  </dataFields>
  <formats count="1">
    <format dxfId="116">
      <pivotArea outline="0" collapsedLevelsAreSubtotals="1" fieldPosition="0"/>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D813F7-54E3-4703-B96D-1A714D4E40EE}" name="PivotTable11" cacheId="164"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B100:C117" firstHeaderRow="1" firstDataRow="1" firstDataCol="2"/>
  <pivotFields count="5">
    <pivotField compact="0" outline="0" showAll="0"/>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howAll="0"/>
    <pivotField axis="axisRow" compact="0" outline="0" showAll="0">
      <items count="17">
        <item x="0"/>
        <item x="1"/>
        <item x="2"/>
        <item x="3"/>
        <item x="4"/>
        <item x="5"/>
        <item x="6"/>
        <item x="7"/>
        <item x="8"/>
        <item x="9"/>
        <item x="10"/>
        <item x="11"/>
        <item x="12"/>
        <item x="13"/>
        <item x="14"/>
        <item x="15"/>
        <item t="default"/>
      </items>
    </pivotField>
    <pivotField compact="0" outline="0" showAll="0"/>
  </pivotFields>
  <rowFields count="2">
    <field x="1"/>
    <field x="3"/>
  </rowFields>
  <rowItems count="17">
    <i>
      <x/>
      <x/>
    </i>
    <i r="1">
      <x v="1"/>
    </i>
    <i r="1">
      <x v="2"/>
    </i>
    <i r="1">
      <x v="3"/>
    </i>
    <i r="1">
      <x v="4"/>
    </i>
    <i r="1">
      <x v="5"/>
    </i>
    <i>
      <x v="1"/>
      <x v="6"/>
    </i>
    <i r="1">
      <x v="7"/>
    </i>
    <i r="1">
      <x v="8"/>
    </i>
    <i>
      <x v="2"/>
      <x v="9"/>
    </i>
    <i r="1">
      <x v="10"/>
    </i>
    <i r="1">
      <x v="11"/>
    </i>
    <i>
      <x v="3"/>
      <x v="12"/>
    </i>
    <i r="1">
      <x v="13"/>
    </i>
    <i r="1">
      <x v="14"/>
    </i>
    <i r="1">
      <x v="1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4" cacheId="172"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5:N97" firstHeaderRow="0" firstDataRow="1" firstDataCol="6"/>
  <pivotFields count="38">
    <pivotField compact="0" outline="0" showAll="0"/>
    <pivotField name="HSSP 3 Coding" axis="axisRow" compact="0" outline="0" showAll="0" defaultSubtotal="0">
      <items count="5">
        <item x="0"/>
        <item x="1"/>
        <item x="2"/>
        <item x="3"/>
        <item x="4"/>
      </items>
      <extLst>
        <ext xmlns:x14="http://schemas.microsoft.com/office/spreadsheetml/2009/9/main" uri="{2946ED86-A175-432a-8AC1-64E0C546D7DE}">
          <x14:pivotField fillDownLabels="1"/>
        </ext>
      </extLst>
    </pivotField>
    <pivotField axis="axisRow" compact="0" outline="0" showAll="0" defaultSubtotal="0">
      <items count="5">
        <item x="2"/>
        <item x="1"/>
        <item x="3"/>
        <item x="0"/>
        <item x="4"/>
      </items>
      <extLst>
        <ext xmlns:x14="http://schemas.microsoft.com/office/spreadsheetml/2009/9/main" uri="{2946ED86-A175-432a-8AC1-64E0C546D7DE}">
          <x14:pivotField fillDownLabels="1"/>
        </ext>
      </extLst>
    </pivotField>
    <pivotField name="HSSP 3 Coding_" axis="axisRow" compact="0" outline="0" showAll="0" defaultSubtotal="0">
      <items count="7">
        <item x="0"/>
        <item x="1"/>
        <item x="2"/>
        <item x="3"/>
        <item x="4"/>
        <item x="5"/>
        <item x="6"/>
      </items>
      <extLst>
        <ext xmlns:x14="http://schemas.microsoft.com/office/spreadsheetml/2009/9/main" uri="{2946ED86-A175-432a-8AC1-64E0C546D7DE}">
          <x14:pivotField fillDownLabels="1"/>
        </ext>
      </extLst>
    </pivotField>
    <pivotField axis="axisRow" compact="0" outline="0" showAll="0" defaultSubtotal="0">
      <items count="17">
        <item x="9"/>
        <item x="11"/>
        <item x="10"/>
        <item x="1"/>
        <item x="2"/>
        <item x="0"/>
        <item x="4"/>
        <item x="8"/>
        <item x="5"/>
        <item x="6"/>
        <item x="13"/>
        <item x="12"/>
        <item x="7"/>
        <item x="14"/>
        <item x="15"/>
        <item n="Increase external funding to the health sector2" x="3"/>
        <item x="16"/>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91">
        <item x="0"/>
        <item x="1"/>
        <item x="2"/>
        <item x="3"/>
        <item x="4"/>
        <item x="5"/>
        <item x="6"/>
        <item x="7"/>
        <item x="8"/>
        <item x="14"/>
        <item x="15"/>
        <item x="16"/>
        <item x="17"/>
        <item x="18"/>
        <item x="19"/>
        <item x="20"/>
        <item x="21"/>
        <item x="24"/>
        <item x="25"/>
        <item x="26"/>
        <item x="27"/>
        <item x="28"/>
        <item x="29"/>
        <item x="30"/>
        <item x="31"/>
        <item x="35"/>
        <item x="36"/>
        <item x="37"/>
        <item x="38"/>
        <item x="39"/>
        <item x="40"/>
        <item x="41"/>
        <item x="42"/>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
        <item x="10"/>
        <item x="11"/>
        <item x="12"/>
        <item x="89"/>
        <item x="22"/>
        <item x="23"/>
        <item x="32"/>
        <item x="33"/>
        <item x="34"/>
        <item x="43"/>
        <item x="44"/>
        <item x="45"/>
        <item x="13"/>
        <item x="46"/>
        <item x="90"/>
      </items>
    </pivotField>
    <pivotField axis="axisRow" compact="0" outline="0" showAll="0">
      <items count="92">
        <item x="79"/>
        <item x="4"/>
        <item x="65"/>
        <item x="45"/>
        <item x="64"/>
        <item x="0"/>
        <item x="73"/>
        <item x="36"/>
        <item x="75"/>
        <item x="58"/>
        <item x="42"/>
        <item x="63"/>
        <item x="77"/>
        <item x="76"/>
        <item x="66"/>
        <item x="68"/>
        <item x="70"/>
        <item x="71"/>
        <item x="67"/>
        <item x="26"/>
        <item x="74"/>
        <item x="14"/>
        <item x="57"/>
        <item x="17"/>
        <item x="15"/>
        <item x="78"/>
        <item x="53"/>
        <item x="5"/>
        <item x="28"/>
        <item x="30"/>
        <item x="27"/>
        <item x="29"/>
        <item x="72"/>
        <item x="25"/>
        <item x="38"/>
        <item x="16"/>
        <item x="56"/>
        <item x="55"/>
        <item x="41"/>
        <item x="88"/>
        <item n="Revise guidelines for optional paying services in public health facilities" x="21"/>
        <item x="40"/>
        <item x="62"/>
        <item x="8"/>
        <item x="13"/>
        <item x="22"/>
        <item n="conduct economic evaluation of optional paying services" x="23"/>
        <item x="34"/>
        <item x="44"/>
        <item x="46"/>
        <item x="69"/>
        <item x="1"/>
        <item x="2"/>
        <item x="3"/>
        <item x="6"/>
        <item x="7"/>
        <item x="9"/>
        <item x="10"/>
        <item x="11"/>
        <item x="12"/>
        <item x="18"/>
        <item x="19"/>
        <item x="31"/>
        <item x="35"/>
        <item x="37"/>
        <item x="39"/>
        <item x="43"/>
        <item x="47"/>
        <item x="48"/>
        <item x="49"/>
        <item x="51"/>
        <item x="52"/>
        <item x="54"/>
        <item x="59"/>
        <item x="61"/>
        <item x="80"/>
        <item x="81"/>
        <item x="82"/>
        <item x="83"/>
        <item x="84"/>
        <item x="85"/>
        <item x="86"/>
        <item x="87"/>
        <item x="20"/>
        <item n="Devise and implement sustainability mechanisms for donor funded interventions. The emphasis will be on introducing co-financing models between Government and donor2" x="24"/>
        <item n="Engage financiers and the Treasury on the introduction of social bonds for selected health issues2" x="32"/>
        <item n="Explore the possibility of health debt-buy downs2" x="33"/>
        <item n="Disseminate, implement and monitor the implementation of the new tiered BHP2" x="50"/>
        <item n="Establish a regulatory council for medical schemes to regulate tariffs, ethical health care delivery and adjudicate disputes between providers and payers2" x="60"/>
        <item n="Introduce legislation on national health financing to aid the implementation of community and individual contributions towards health financing, enforceability of the essential health package, and improved provider payment mechanisms" x="89"/>
        <item x="90"/>
        <item t="default"/>
      </items>
    </pivotField>
    <pivotField compact="0" outline="0" showAll="0"/>
    <pivotField compact="0" outline="0" showAll="0"/>
    <pivotField compact="0" outline="0" showAll="0"/>
    <pivotField compact="0"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outline="0" showAll="0"/>
    <pivotField compact="0" outline="0" showAll="0"/>
    <pivotField dataField="1" compact="0" numFmtId="43" outline="0" showAll="0"/>
    <pivotField compact="0" numFmtId="43" outline="0" showAll="0"/>
    <pivotField compact="0" numFmtId="43" outline="0" showAll="0"/>
  </pivotFields>
  <rowFields count="6">
    <field x="1"/>
    <field x="2"/>
    <field x="3"/>
    <field x="4"/>
    <field x="6"/>
    <field x="7"/>
  </rowFields>
  <rowItems count="92">
    <i>
      <x/>
      <x v="3"/>
      <x/>
      <x v="5"/>
      <x/>
      <x v="5"/>
    </i>
    <i r="4">
      <x v="1"/>
      <x v="51"/>
    </i>
    <i r="4">
      <x v="2"/>
      <x v="52"/>
    </i>
    <i r="4">
      <x v="3"/>
      <x v="53"/>
    </i>
    <i r="4">
      <x v="4"/>
      <x v="1"/>
    </i>
    <i r="4">
      <x v="5"/>
      <x v="27"/>
    </i>
    <i r="4">
      <x v="6"/>
      <x v="54"/>
    </i>
    <i r="4">
      <x v="7"/>
      <x v="55"/>
    </i>
    <i r="4">
      <x v="8"/>
      <x v="43"/>
    </i>
    <i r="4">
      <x v="75"/>
      <x v="56"/>
    </i>
    <i r="4">
      <x v="76"/>
      <x v="57"/>
    </i>
    <i r="4">
      <x v="77"/>
      <x v="58"/>
    </i>
    <i r="4">
      <x v="78"/>
      <x v="59"/>
    </i>
    <i r="4">
      <x v="88"/>
      <x v="44"/>
    </i>
    <i r="2">
      <x v="1"/>
      <x v="3"/>
      <x v="9"/>
      <x v="21"/>
    </i>
    <i r="4">
      <x v="10"/>
      <x v="24"/>
    </i>
    <i r="4">
      <x v="11"/>
      <x v="35"/>
    </i>
    <i r="4">
      <x v="12"/>
      <x v="23"/>
    </i>
    <i r="2">
      <x v="2"/>
      <x v="4"/>
      <x v="13"/>
      <x v="60"/>
    </i>
    <i r="4">
      <x v="14"/>
      <x v="61"/>
    </i>
    <i r="4">
      <x v="15"/>
      <x v="83"/>
    </i>
    <i r="4">
      <x v="16"/>
      <x v="40"/>
    </i>
    <i r="4">
      <x v="80"/>
      <x v="45"/>
    </i>
    <i r="4">
      <x v="81"/>
      <x v="46"/>
    </i>
    <i r="2">
      <x v="3"/>
      <x v="15"/>
      <x v="17"/>
      <x v="84"/>
    </i>
    <i r="4">
      <x v="18"/>
      <x v="33"/>
    </i>
    <i r="4">
      <x v="19"/>
      <x v="19"/>
    </i>
    <i r="2">
      <x v="4"/>
      <x v="6"/>
      <x v="20"/>
      <x v="30"/>
    </i>
    <i r="4">
      <x v="21"/>
      <x v="28"/>
    </i>
    <i r="4">
      <x v="22"/>
      <x v="31"/>
    </i>
    <i r="4">
      <x v="23"/>
      <x v="29"/>
    </i>
    <i r="2">
      <x v="5"/>
      <x v="8"/>
      <x v="24"/>
      <x v="62"/>
    </i>
    <i r="4">
      <x v="82"/>
      <x v="85"/>
    </i>
    <i r="4">
      <x v="83"/>
      <x v="86"/>
    </i>
    <i r="4">
      <x v="84"/>
      <x v="47"/>
    </i>
    <i>
      <x v="1"/>
      <x v="1"/>
      <x/>
      <x v="9"/>
      <x v="25"/>
      <x v="63"/>
    </i>
    <i r="4">
      <x v="26"/>
      <x v="7"/>
    </i>
    <i r="4">
      <x v="27"/>
      <x v="64"/>
    </i>
    <i r="4">
      <x v="28"/>
      <x v="34"/>
    </i>
    <i r="2">
      <x v="1"/>
      <x v="12"/>
      <x v="29"/>
      <x v="65"/>
    </i>
    <i r="4">
      <x v="30"/>
      <x v="41"/>
    </i>
    <i r="2">
      <x v="2"/>
      <x v="7"/>
      <x v="31"/>
      <x v="38"/>
    </i>
    <i r="4">
      <x v="32"/>
      <x v="10"/>
    </i>
    <i r="4">
      <x v="85"/>
      <x v="66"/>
    </i>
    <i r="4">
      <x v="86"/>
      <x v="48"/>
    </i>
    <i r="4">
      <x v="87"/>
      <x v="3"/>
    </i>
    <i r="4">
      <x v="89"/>
      <x v="49"/>
    </i>
    <i>
      <x v="2"/>
      <x/>
      <x/>
      <x/>
      <x v="33"/>
      <x v="67"/>
    </i>
    <i r="4">
      <x v="34"/>
      <x v="68"/>
    </i>
    <i r="4">
      <x v="35"/>
      <x v="69"/>
    </i>
    <i r="4">
      <x v="36"/>
      <x v="87"/>
    </i>
    <i r="2">
      <x v="1"/>
      <x v="2"/>
      <x v="37"/>
      <x v="70"/>
    </i>
    <i r="4">
      <x v="38"/>
      <x v="71"/>
    </i>
    <i r="4">
      <x v="39"/>
      <x v="26"/>
    </i>
    <i r="4">
      <x v="40"/>
      <x v="72"/>
    </i>
    <i r="4">
      <x v="41"/>
      <x v="37"/>
    </i>
    <i r="4">
      <x v="42"/>
      <x v="36"/>
    </i>
    <i r="4">
      <x v="43"/>
      <x v="22"/>
    </i>
    <i r="2">
      <x v="2"/>
      <x v="1"/>
      <x v="44"/>
      <x v="9"/>
    </i>
    <i r="4">
      <x v="45"/>
      <x v="73"/>
    </i>
    <i r="4">
      <x v="46"/>
      <x v="88"/>
    </i>
    <i r="4">
      <x v="47"/>
      <x v="74"/>
    </i>
    <i r="4">
      <x v="48"/>
      <x v="42"/>
    </i>
    <i>
      <x v="3"/>
      <x v="2"/>
      <x/>
      <x v="11"/>
      <x v="49"/>
      <x v="11"/>
    </i>
    <i r="4">
      <x v="50"/>
      <x v="4"/>
    </i>
    <i r="4">
      <x v="51"/>
      <x v="2"/>
    </i>
    <i r="4">
      <x v="52"/>
      <x v="14"/>
    </i>
    <i r="4">
      <x v="53"/>
      <x v="18"/>
    </i>
    <i r="4">
      <x v="54"/>
      <x v="15"/>
    </i>
    <i r="4">
      <x v="55"/>
      <x v="50"/>
    </i>
    <i r="2">
      <x v="1"/>
      <x v="10"/>
      <x v="56"/>
      <x v="16"/>
    </i>
    <i r="4">
      <x v="57"/>
      <x v="17"/>
    </i>
    <i r="4">
      <x v="58"/>
      <x v="32"/>
    </i>
    <i r="4">
      <x v="59"/>
      <x v="6"/>
    </i>
    <i r="4">
      <x v="60"/>
      <x v="20"/>
    </i>
    <i r="2">
      <x v="2"/>
      <x v="13"/>
      <x v="61"/>
      <x v="8"/>
    </i>
    <i r="4">
      <x v="62"/>
      <x v="13"/>
    </i>
    <i r="4">
      <x v="63"/>
      <x v="12"/>
    </i>
    <i r="4">
      <x v="64"/>
      <x v="25"/>
    </i>
    <i r="4">
      <x v="65"/>
      <x/>
    </i>
    <i r="2">
      <x v="3"/>
      <x v="14"/>
      <x v="66"/>
      <x v="75"/>
    </i>
    <i r="4">
      <x v="67"/>
      <x v="76"/>
    </i>
    <i r="4">
      <x v="68"/>
      <x v="77"/>
    </i>
    <i r="4">
      <x v="69"/>
      <x v="78"/>
    </i>
    <i r="4">
      <x v="70"/>
      <x v="79"/>
    </i>
    <i r="4">
      <x v="71"/>
      <x v="80"/>
    </i>
    <i r="4">
      <x v="72"/>
      <x v="81"/>
    </i>
    <i r="4">
      <x v="73"/>
      <x v="82"/>
    </i>
    <i r="4">
      <x v="74"/>
      <x v="39"/>
    </i>
    <i r="4">
      <x v="79"/>
      <x v="89"/>
    </i>
    <i>
      <x v="4"/>
      <x v="4"/>
      <x v="6"/>
      <x v="16"/>
      <x v="90"/>
      <x v="90"/>
    </i>
    <i t="grand">
      <x/>
    </i>
  </rowItems>
  <colFields count="1">
    <field x="-2"/>
  </colFields>
  <colItems count="8">
    <i>
      <x/>
    </i>
    <i i="1">
      <x v="1"/>
    </i>
    <i i="2">
      <x v="2"/>
    </i>
    <i i="3">
      <x v="3"/>
    </i>
    <i i="4">
      <x v="4"/>
    </i>
    <i i="5">
      <x v="5"/>
    </i>
    <i i="6">
      <x v="6"/>
    </i>
    <i i="7">
      <x v="7"/>
    </i>
  </colItems>
  <dataFields count="8">
    <dataField name="Sum of Year 1 Total Cost" fld="14" baseField="0" baseItem="0"/>
    <dataField name="Sum of Year 2 Total Cost" fld="17" baseField="0" baseItem="0"/>
    <dataField name="Sum of Year 3 Total Cost" fld="20" baseField="0" baseItem="0"/>
    <dataField name="Sum of Year 4 Total Cost" fld="23" baseField="0" baseItem="0"/>
    <dataField name="Sum of Year 5 Total Cost" fld="26" baseField="0" baseItem="0"/>
    <dataField name="Sum of Year 6 Total Cost" fld="29" baseField="0" baseItem="0"/>
    <dataField name="Sum of Year 7 Total Cost" fld="32" baseField="0" baseItem="0"/>
    <dataField name="Sum of Year 8 Total Cost" fld="35" baseField="0" baseItem="0"/>
  </dataFields>
  <formats count="115">
    <format dxfId="92">
      <pivotArea outline="0" collapsedLevelsAreSubtotals="1" fieldPosition="0"/>
    </format>
    <format dxfId="93">
      <pivotArea field="1" type="button" dataOnly="0" labelOnly="1" outline="0" axis="axisRow" fieldPosition="0"/>
    </format>
    <format dxfId="94">
      <pivotArea field="2" type="button" dataOnly="0" labelOnly="1" outline="0" axis="axisRow" fieldPosition="1"/>
    </format>
    <format dxfId="95">
      <pivotArea field="3" type="button" dataOnly="0" labelOnly="1" outline="0" axis="axisRow" fieldPosition="2"/>
    </format>
    <format dxfId="96">
      <pivotArea field="4" type="button" dataOnly="0" labelOnly="1" outline="0" axis="axisRow" fieldPosition="3"/>
    </format>
    <format dxfId="97">
      <pivotArea field="6" type="button" dataOnly="0" labelOnly="1" outline="0" axis="axisRow" fieldPosition="4"/>
    </format>
    <format dxfId="98">
      <pivotArea field="7" type="button" dataOnly="0" labelOnly="1" outline="0" axis="axisRow" fieldPosition="5"/>
    </format>
    <format dxfId="99">
      <pivotArea outline="0" fieldPosition="0">
        <references count="1">
          <reference field="1" count="1" selected="0" defaultSubtotal="1">
            <x v="0"/>
          </reference>
        </references>
      </pivotArea>
    </format>
    <format dxfId="100">
      <pivotArea dataOnly="0" labelOnly="1" outline="0" fieldPosition="0">
        <references count="6">
          <reference field="1" count="1" selected="0">
            <x v="0"/>
          </reference>
          <reference field="2" count="1" selected="0">
            <x v="3"/>
          </reference>
          <reference field="3" count="1" selected="0">
            <x v="1"/>
          </reference>
          <reference field="4" count="1" selected="0">
            <x v="3"/>
          </reference>
          <reference field="6" count="1" selected="0">
            <x v="12"/>
          </reference>
          <reference field="7" count="1">
            <x v="23"/>
          </reference>
        </references>
      </pivotArea>
    </format>
    <format dxfId="101">
      <pivotArea dataOnly="0" labelOnly="1" outline="0" fieldPosition="0">
        <references count="2">
          <reference field="1" count="1" selected="0">
            <x v="0"/>
          </reference>
          <reference field="2" count="1">
            <x v="3"/>
          </reference>
        </references>
      </pivotArea>
    </format>
    <format dxfId="102">
      <pivotArea dataOnly="0" labelOnly="1" outline="0" fieldPosition="0">
        <references count="2">
          <reference field="1" count="1" selected="0">
            <x v="1"/>
          </reference>
          <reference field="2" count="1">
            <x v="1"/>
          </reference>
        </references>
      </pivotArea>
    </format>
    <format dxfId="103">
      <pivotArea dataOnly="0" labelOnly="1" outline="0" fieldPosition="0">
        <references count="2">
          <reference field="1" count="1" selected="0">
            <x v="2"/>
          </reference>
          <reference field="2" count="1">
            <x v="0"/>
          </reference>
        </references>
      </pivotArea>
    </format>
    <format dxfId="104">
      <pivotArea dataOnly="0" labelOnly="1" outline="0" fieldPosition="0">
        <references count="2">
          <reference field="1" count="1" selected="0">
            <x v="3"/>
          </reference>
          <reference field="2" count="1">
            <x v="2"/>
          </reference>
        </references>
      </pivotArea>
    </format>
    <format dxfId="105">
      <pivotArea dataOnly="0" labelOnly="1" outline="0" fieldPosition="0">
        <references count="2">
          <reference field="1" count="1" selected="0">
            <x v="4"/>
          </reference>
          <reference field="2" count="1">
            <x v="4"/>
          </reference>
        </references>
      </pivotArea>
    </format>
    <format dxfId="106">
      <pivotArea dataOnly="0" labelOnly="1" outline="0" fieldPosition="0">
        <references count="2">
          <reference field="1" count="1" selected="0">
            <x v="0"/>
          </reference>
          <reference field="2" count="1">
            <x v="3"/>
          </reference>
        </references>
      </pivotArea>
    </format>
    <format dxfId="107">
      <pivotArea dataOnly="0" labelOnly="1" outline="0" fieldPosition="0">
        <references count="2">
          <reference field="1" count="1" selected="0">
            <x v="1"/>
          </reference>
          <reference field="2" count="1">
            <x v="1"/>
          </reference>
        </references>
      </pivotArea>
    </format>
    <format dxfId="108">
      <pivotArea dataOnly="0" labelOnly="1" outline="0" fieldPosition="0">
        <references count="2">
          <reference field="1" count="1" selected="0">
            <x v="2"/>
          </reference>
          <reference field="2" count="1">
            <x v="0"/>
          </reference>
        </references>
      </pivotArea>
    </format>
    <format dxfId="109">
      <pivotArea dataOnly="0" labelOnly="1" outline="0" fieldPosition="0">
        <references count="2">
          <reference field="1" count="1" selected="0">
            <x v="3"/>
          </reference>
          <reference field="2" count="1">
            <x v="2"/>
          </reference>
        </references>
      </pivotArea>
    </format>
    <format dxfId="110">
      <pivotArea dataOnly="0" labelOnly="1" outline="0" fieldPosition="0">
        <references count="2">
          <reference field="1" count="1" selected="0">
            <x v="4"/>
          </reference>
          <reference field="2" count="1">
            <x v="4"/>
          </reference>
        </references>
      </pivotArea>
    </format>
    <format dxfId="111">
      <pivotArea dataOnly="0" labelOnly="1" outline="0" fieldPosition="0">
        <references count="2">
          <reference field="1" count="1" selected="0">
            <x v="0"/>
          </reference>
          <reference field="2" count="1">
            <x v="3"/>
          </reference>
        </references>
      </pivotArea>
    </format>
    <format dxfId="112">
      <pivotArea dataOnly="0" labelOnly="1" outline="0" fieldPosition="0">
        <references count="2">
          <reference field="1" count="1" selected="0">
            <x v="1"/>
          </reference>
          <reference field="2" count="1">
            <x v="1"/>
          </reference>
        </references>
      </pivotArea>
    </format>
    <format dxfId="113">
      <pivotArea dataOnly="0" labelOnly="1" outline="0" fieldPosition="0">
        <references count="2">
          <reference field="1" count="1" selected="0">
            <x v="2"/>
          </reference>
          <reference field="2" count="1">
            <x v="0"/>
          </reference>
        </references>
      </pivotArea>
    </format>
    <format dxfId="114">
      <pivotArea dataOnly="0" labelOnly="1" outline="0" fieldPosition="0">
        <references count="2">
          <reference field="1" count="1" selected="0">
            <x v="3"/>
          </reference>
          <reference field="2" count="1">
            <x v="2"/>
          </reference>
        </references>
      </pivotArea>
    </format>
    <format dxfId="115">
      <pivotArea dataOnly="0" labelOnly="1" outline="0" fieldPosition="0">
        <references count="2">
          <reference field="1" count="1" selected="0">
            <x v="4"/>
          </reference>
          <reference field="2" count="1">
            <x v="4"/>
          </reference>
        </references>
      </pivotArea>
    </format>
    <format dxfId="91">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0"/>
          </reference>
          <reference field="7" count="1">
            <x v="5"/>
          </reference>
        </references>
      </pivotArea>
    </format>
    <format dxfId="90">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1"/>
          </reference>
          <reference field="7" count="1">
            <x v="51"/>
          </reference>
        </references>
      </pivotArea>
    </format>
    <format dxfId="89">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2"/>
          </reference>
          <reference field="7" count="1">
            <x v="52"/>
          </reference>
        </references>
      </pivotArea>
    </format>
    <format dxfId="88">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3"/>
          </reference>
          <reference field="7" count="1">
            <x v="53"/>
          </reference>
        </references>
      </pivotArea>
    </format>
    <format dxfId="87">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4"/>
          </reference>
          <reference field="7" count="1">
            <x v="1"/>
          </reference>
        </references>
      </pivotArea>
    </format>
    <format dxfId="86">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5"/>
          </reference>
          <reference field="7" count="1">
            <x v="27"/>
          </reference>
        </references>
      </pivotArea>
    </format>
    <format dxfId="85">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6"/>
          </reference>
          <reference field="7" count="1">
            <x v="54"/>
          </reference>
        </references>
      </pivotArea>
    </format>
    <format dxfId="84">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7"/>
          </reference>
          <reference field="7" count="1">
            <x v="55"/>
          </reference>
        </references>
      </pivotArea>
    </format>
    <format dxfId="83">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8"/>
          </reference>
          <reference field="7" count="1">
            <x v="43"/>
          </reference>
        </references>
      </pivotArea>
    </format>
    <format dxfId="82">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75"/>
          </reference>
          <reference field="7" count="1">
            <x v="56"/>
          </reference>
        </references>
      </pivotArea>
    </format>
    <format dxfId="81">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76"/>
          </reference>
          <reference field="7" count="1">
            <x v="57"/>
          </reference>
        </references>
      </pivotArea>
    </format>
    <format dxfId="80">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77"/>
          </reference>
          <reference field="7" count="1">
            <x v="58"/>
          </reference>
        </references>
      </pivotArea>
    </format>
    <format dxfId="79">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78"/>
          </reference>
          <reference field="7" count="1">
            <x v="59"/>
          </reference>
        </references>
      </pivotArea>
    </format>
    <format dxfId="78">
      <pivotArea dataOnly="0" labelOnly="1" outline="0" fieldPosition="0">
        <references count="6">
          <reference field="1" count="1" selected="0">
            <x v="0"/>
          </reference>
          <reference field="2" count="1" selected="0">
            <x v="3"/>
          </reference>
          <reference field="3" count="1" selected="0">
            <x v="0"/>
          </reference>
          <reference field="4" count="1" selected="0">
            <x v="5"/>
          </reference>
          <reference field="6" count="1" selected="0">
            <x v="88"/>
          </reference>
          <reference field="7" count="1">
            <x v="44"/>
          </reference>
        </references>
      </pivotArea>
    </format>
    <format dxfId="77">
      <pivotArea dataOnly="0" labelOnly="1" outline="0" fieldPosition="0">
        <references count="6">
          <reference field="1" count="1" selected="0">
            <x v="0"/>
          </reference>
          <reference field="2" count="1" selected="0">
            <x v="3"/>
          </reference>
          <reference field="3" count="1" selected="0">
            <x v="1"/>
          </reference>
          <reference field="4" count="1" selected="0">
            <x v="3"/>
          </reference>
          <reference field="6" count="1" selected="0">
            <x v="9"/>
          </reference>
          <reference field="7" count="1">
            <x v="21"/>
          </reference>
        </references>
      </pivotArea>
    </format>
    <format dxfId="76">
      <pivotArea dataOnly="0" labelOnly="1" outline="0" fieldPosition="0">
        <references count="6">
          <reference field="1" count="1" selected="0">
            <x v="0"/>
          </reference>
          <reference field="2" count="1" selected="0">
            <x v="3"/>
          </reference>
          <reference field="3" count="1" selected="0">
            <x v="1"/>
          </reference>
          <reference field="4" count="1" selected="0">
            <x v="3"/>
          </reference>
          <reference field="6" count="1" selected="0">
            <x v="10"/>
          </reference>
          <reference field="7" count="1">
            <x v="24"/>
          </reference>
        </references>
      </pivotArea>
    </format>
    <format dxfId="75">
      <pivotArea dataOnly="0" labelOnly="1" outline="0" fieldPosition="0">
        <references count="6">
          <reference field="1" count="1" selected="0">
            <x v="0"/>
          </reference>
          <reference field="2" count="1" selected="0">
            <x v="3"/>
          </reference>
          <reference field="3" count="1" selected="0">
            <x v="1"/>
          </reference>
          <reference field="4" count="1" selected="0">
            <x v="3"/>
          </reference>
          <reference field="6" count="1" selected="0">
            <x v="11"/>
          </reference>
          <reference field="7" count="1">
            <x v="35"/>
          </reference>
        </references>
      </pivotArea>
    </format>
    <format dxfId="74">
      <pivotArea dataOnly="0" labelOnly="1" outline="0" fieldPosition="0">
        <references count="6">
          <reference field="1" count="1" selected="0">
            <x v="0"/>
          </reference>
          <reference field="2" count="1" selected="0">
            <x v="3"/>
          </reference>
          <reference field="3" count="1" selected="0">
            <x v="1"/>
          </reference>
          <reference field="4" count="1" selected="0">
            <x v="3"/>
          </reference>
          <reference field="6" count="1" selected="0">
            <x v="12"/>
          </reference>
          <reference field="7" count="1">
            <x v="23"/>
          </reference>
        </references>
      </pivotArea>
    </format>
    <format dxfId="73">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13"/>
          </reference>
          <reference field="7" count="1">
            <x v="60"/>
          </reference>
        </references>
      </pivotArea>
    </format>
    <format dxfId="72">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14"/>
          </reference>
          <reference field="7" count="1">
            <x v="61"/>
          </reference>
        </references>
      </pivotArea>
    </format>
    <format dxfId="71">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15"/>
          </reference>
          <reference field="7" count="1">
            <x v="83"/>
          </reference>
        </references>
      </pivotArea>
    </format>
    <format dxfId="70">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16"/>
          </reference>
          <reference field="7" count="1">
            <x v="40"/>
          </reference>
        </references>
      </pivotArea>
    </format>
    <format dxfId="69">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80"/>
          </reference>
          <reference field="7" count="1">
            <x v="45"/>
          </reference>
        </references>
      </pivotArea>
    </format>
    <format dxfId="68">
      <pivotArea dataOnly="0" labelOnly="1" outline="0" fieldPosition="0">
        <references count="6">
          <reference field="1" count="1" selected="0">
            <x v="0"/>
          </reference>
          <reference field="2" count="1" selected="0">
            <x v="3"/>
          </reference>
          <reference field="3" count="1" selected="0">
            <x v="2"/>
          </reference>
          <reference field="4" count="1" selected="0">
            <x v="4"/>
          </reference>
          <reference field="6" count="1" selected="0">
            <x v="81"/>
          </reference>
          <reference field="7" count="1">
            <x v="46"/>
          </reference>
        </references>
      </pivotArea>
    </format>
    <format dxfId="67">
      <pivotArea dataOnly="0" labelOnly="1" outline="0" fieldPosition="0">
        <references count="6">
          <reference field="1" count="1" selected="0">
            <x v="0"/>
          </reference>
          <reference field="2" count="1" selected="0">
            <x v="3"/>
          </reference>
          <reference field="3" count="1" selected="0">
            <x v="3"/>
          </reference>
          <reference field="4" count="1" selected="0">
            <x v="15"/>
          </reference>
          <reference field="6" count="1" selected="0">
            <x v="17"/>
          </reference>
          <reference field="7" count="1">
            <x v="84"/>
          </reference>
        </references>
      </pivotArea>
    </format>
    <format dxfId="66">
      <pivotArea dataOnly="0" labelOnly="1" outline="0" fieldPosition="0">
        <references count="6">
          <reference field="1" count="1" selected="0">
            <x v="0"/>
          </reference>
          <reference field="2" count="1" selected="0">
            <x v="3"/>
          </reference>
          <reference field="3" count="1" selected="0">
            <x v="3"/>
          </reference>
          <reference field="4" count="1" selected="0">
            <x v="15"/>
          </reference>
          <reference field="6" count="1" selected="0">
            <x v="18"/>
          </reference>
          <reference field="7" count="1">
            <x v="33"/>
          </reference>
        </references>
      </pivotArea>
    </format>
    <format dxfId="65">
      <pivotArea dataOnly="0" labelOnly="1" outline="0" fieldPosition="0">
        <references count="6">
          <reference field="1" count="1" selected="0">
            <x v="0"/>
          </reference>
          <reference field="2" count="1" selected="0">
            <x v="3"/>
          </reference>
          <reference field="3" count="1" selected="0">
            <x v="3"/>
          </reference>
          <reference field="4" count="1" selected="0">
            <x v="15"/>
          </reference>
          <reference field="6" count="1" selected="0">
            <x v="19"/>
          </reference>
          <reference field="7" count="1">
            <x v="19"/>
          </reference>
        </references>
      </pivotArea>
    </format>
    <format dxfId="64">
      <pivotArea dataOnly="0" labelOnly="1" outline="0" fieldPosition="0">
        <references count="6">
          <reference field="1" count="1" selected="0">
            <x v="0"/>
          </reference>
          <reference field="2" count="1" selected="0">
            <x v="3"/>
          </reference>
          <reference field="3" count="1" selected="0">
            <x v="4"/>
          </reference>
          <reference field="4" count="1" selected="0">
            <x v="6"/>
          </reference>
          <reference field="6" count="1" selected="0">
            <x v="20"/>
          </reference>
          <reference field="7" count="1">
            <x v="30"/>
          </reference>
        </references>
      </pivotArea>
    </format>
    <format dxfId="63">
      <pivotArea dataOnly="0" labelOnly="1" outline="0" fieldPosition="0">
        <references count="6">
          <reference field="1" count="1" selected="0">
            <x v="0"/>
          </reference>
          <reference field="2" count="1" selected="0">
            <x v="3"/>
          </reference>
          <reference field="3" count="1" selected="0">
            <x v="4"/>
          </reference>
          <reference field="4" count="1" selected="0">
            <x v="6"/>
          </reference>
          <reference field="6" count="1" selected="0">
            <x v="21"/>
          </reference>
          <reference field="7" count="1">
            <x v="28"/>
          </reference>
        </references>
      </pivotArea>
    </format>
    <format dxfId="62">
      <pivotArea dataOnly="0" labelOnly="1" outline="0" fieldPosition="0">
        <references count="6">
          <reference field="1" count="1" selected="0">
            <x v="0"/>
          </reference>
          <reference field="2" count="1" selected="0">
            <x v="3"/>
          </reference>
          <reference field="3" count="1" selected="0">
            <x v="4"/>
          </reference>
          <reference field="4" count="1" selected="0">
            <x v="6"/>
          </reference>
          <reference field="6" count="1" selected="0">
            <x v="22"/>
          </reference>
          <reference field="7" count="1">
            <x v="31"/>
          </reference>
        </references>
      </pivotArea>
    </format>
    <format dxfId="61">
      <pivotArea dataOnly="0" labelOnly="1" outline="0" fieldPosition="0">
        <references count="6">
          <reference field="1" count="1" selected="0">
            <x v="0"/>
          </reference>
          <reference field="2" count="1" selected="0">
            <x v="3"/>
          </reference>
          <reference field="3" count="1" selected="0">
            <x v="4"/>
          </reference>
          <reference field="4" count="1" selected="0">
            <x v="6"/>
          </reference>
          <reference field="6" count="1" selected="0">
            <x v="23"/>
          </reference>
          <reference field="7" count="1">
            <x v="29"/>
          </reference>
        </references>
      </pivotArea>
    </format>
    <format dxfId="60">
      <pivotArea dataOnly="0" labelOnly="1" outline="0" fieldPosition="0">
        <references count="6">
          <reference field="1" count="1" selected="0">
            <x v="0"/>
          </reference>
          <reference field="2" count="1" selected="0">
            <x v="3"/>
          </reference>
          <reference field="3" count="1" selected="0">
            <x v="5"/>
          </reference>
          <reference field="4" count="1" selected="0">
            <x v="8"/>
          </reference>
          <reference field="6" count="1" selected="0">
            <x v="24"/>
          </reference>
          <reference field="7" count="1">
            <x v="62"/>
          </reference>
        </references>
      </pivotArea>
    </format>
    <format dxfId="59">
      <pivotArea dataOnly="0" labelOnly="1" outline="0" fieldPosition="0">
        <references count="6">
          <reference field="1" count="1" selected="0">
            <x v="0"/>
          </reference>
          <reference field="2" count="1" selected="0">
            <x v="3"/>
          </reference>
          <reference field="3" count="1" selected="0">
            <x v="5"/>
          </reference>
          <reference field="4" count="1" selected="0">
            <x v="8"/>
          </reference>
          <reference field="6" count="1" selected="0">
            <x v="82"/>
          </reference>
          <reference field="7" count="1">
            <x v="85"/>
          </reference>
        </references>
      </pivotArea>
    </format>
    <format dxfId="58">
      <pivotArea dataOnly="0" labelOnly="1" outline="0" fieldPosition="0">
        <references count="6">
          <reference field="1" count="1" selected="0">
            <x v="0"/>
          </reference>
          <reference field="2" count="1" selected="0">
            <x v="3"/>
          </reference>
          <reference field="3" count="1" selected="0">
            <x v="5"/>
          </reference>
          <reference field="4" count="1" selected="0">
            <x v="8"/>
          </reference>
          <reference field="6" count="1" selected="0">
            <x v="83"/>
          </reference>
          <reference field="7" count="1">
            <x v="86"/>
          </reference>
        </references>
      </pivotArea>
    </format>
    <format dxfId="57">
      <pivotArea dataOnly="0" labelOnly="1" outline="0" fieldPosition="0">
        <references count="6">
          <reference field="1" count="1" selected="0">
            <x v="0"/>
          </reference>
          <reference field="2" count="1" selected="0">
            <x v="3"/>
          </reference>
          <reference field="3" count="1" selected="0">
            <x v="5"/>
          </reference>
          <reference field="4" count="1" selected="0">
            <x v="8"/>
          </reference>
          <reference field="6" count="1" selected="0">
            <x v="84"/>
          </reference>
          <reference field="7" count="1">
            <x v="47"/>
          </reference>
        </references>
      </pivotArea>
    </format>
    <format dxfId="56">
      <pivotArea dataOnly="0" labelOnly="1" outline="0" fieldPosition="0">
        <references count="6">
          <reference field="1" count="1" selected="0">
            <x v="1"/>
          </reference>
          <reference field="2" count="1" selected="0">
            <x v="1"/>
          </reference>
          <reference field="3" count="1" selected="0">
            <x v="0"/>
          </reference>
          <reference field="4" count="1" selected="0">
            <x v="9"/>
          </reference>
          <reference field="6" count="1" selected="0">
            <x v="25"/>
          </reference>
          <reference field="7" count="1">
            <x v="63"/>
          </reference>
        </references>
      </pivotArea>
    </format>
    <format dxfId="55">
      <pivotArea dataOnly="0" labelOnly="1" outline="0" fieldPosition="0">
        <references count="6">
          <reference field="1" count="1" selected="0">
            <x v="1"/>
          </reference>
          <reference field="2" count="1" selected="0">
            <x v="1"/>
          </reference>
          <reference field="3" count="1" selected="0">
            <x v="0"/>
          </reference>
          <reference field="4" count="1" selected="0">
            <x v="9"/>
          </reference>
          <reference field="6" count="1" selected="0">
            <x v="26"/>
          </reference>
          <reference field="7" count="1">
            <x v="7"/>
          </reference>
        </references>
      </pivotArea>
    </format>
    <format dxfId="54">
      <pivotArea dataOnly="0" labelOnly="1" outline="0" fieldPosition="0">
        <references count="6">
          <reference field="1" count="1" selected="0">
            <x v="1"/>
          </reference>
          <reference field="2" count="1" selected="0">
            <x v="1"/>
          </reference>
          <reference field="3" count="1" selected="0">
            <x v="0"/>
          </reference>
          <reference field="4" count="1" selected="0">
            <x v="9"/>
          </reference>
          <reference field="6" count="1" selected="0">
            <x v="27"/>
          </reference>
          <reference field="7" count="1">
            <x v="64"/>
          </reference>
        </references>
      </pivotArea>
    </format>
    <format dxfId="53">
      <pivotArea dataOnly="0" labelOnly="1" outline="0" fieldPosition="0">
        <references count="6">
          <reference field="1" count="1" selected="0">
            <x v="1"/>
          </reference>
          <reference field="2" count="1" selected="0">
            <x v="1"/>
          </reference>
          <reference field="3" count="1" selected="0">
            <x v="0"/>
          </reference>
          <reference field="4" count="1" selected="0">
            <x v="9"/>
          </reference>
          <reference field="6" count="1" selected="0">
            <x v="28"/>
          </reference>
          <reference field="7" count="1">
            <x v="34"/>
          </reference>
        </references>
      </pivotArea>
    </format>
    <format dxfId="52">
      <pivotArea dataOnly="0" labelOnly="1" outline="0" fieldPosition="0">
        <references count="6">
          <reference field="1" count="1" selected="0">
            <x v="1"/>
          </reference>
          <reference field="2" count="1" selected="0">
            <x v="1"/>
          </reference>
          <reference field="3" count="1" selected="0">
            <x v="1"/>
          </reference>
          <reference field="4" count="1" selected="0">
            <x v="12"/>
          </reference>
          <reference field="6" count="1" selected="0">
            <x v="29"/>
          </reference>
          <reference field="7" count="1">
            <x v="65"/>
          </reference>
        </references>
      </pivotArea>
    </format>
    <format dxfId="51">
      <pivotArea dataOnly="0" labelOnly="1" outline="0" fieldPosition="0">
        <references count="6">
          <reference field="1" count="1" selected="0">
            <x v="1"/>
          </reference>
          <reference field="2" count="1" selected="0">
            <x v="1"/>
          </reference>
          <reference field="3" count="1" selected="0">
            <x v="1"/>
          </reference>
          <reference field="4" count="1" selected="0">
            <x v="12"/>
          </reference>
          <reference field="6" count="1" selected="0">
            <x v="30"/>
          </reference>
          <reference field="7" count="1">
            <x v="41"/>
          </reference>
        </references>
      </pivotArea>
    </format>
    <format dxfId="50">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31"/>
          </reference>
          <reference field="7" count="1">
            <x v="38"/>
          </reference>
        </references>
      </pivotArea>
    </format>
    <format dxfId="49">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32"/>
          </reference>
          <reference field="7" count="1">
            <x v="10"/>
          </reference>
        </references>
      </pivotArea>
    </format>
    <format dxfId="48">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85"/>
          </reference>
          <reference field="7" count="1">
            <x v="66"/>
          </reference>
        </references>
      </pivotArea>
    </format>
    <format dxfId="47">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86"/>
          </reference>
          <reference field="7" count="1">
            <x v="48"/>
          </reference>
        </references>
      </pivotArea>
    </format>
    <format dxfId="46">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87"/>
          </reference>
          <reference field="7" count="1">
            <x v="3"/>
          </reference>
        </references>
      </pivotArea>
    </format>
    <format dxfId="45">
      <pivotArea dataOnly="0" labelOnly="1" outline="0" fieldPosition="0">
        <references count="6">
          <reference field="1" count="1" selected="0">
            <x v="1"/>
          </reference>
          <reference field="2" count="1" selected="0">
            <x v="1"/>
          </reference>
          <reference field="3" count="1" selected="0">
            <x v="2"/>
          </reference>
          <reference field="4" count="1" selected="0">
            <x v="7"/>
          </reference>
          <reference field="6" count="1" selected="0">
            <x v="89"/>
          </reference>
          <reference field="7" count="1">
            <x v="49"/>
          </reference>
        </references>
      </pivotArea>
    </format>
    <format dxfId="44">
      <pivotArea dataOnly="0" labelOnly="1" outline="0" fieldPosition="0">
        <references count="6">
          <reference field="1" count="1" selected="0">
            <x v="2"/>
          </reference>
          <reference field="2" count="1" selected="0">
            <x v="0"/>
          </reference>
          <reference field="3" count="1" selected="0">
            <x v="0"/>
          </reference>
          <reference field="4" count="1" selected="0">
            <x v="0"/>
          </reference>
          <reference field="6" count="1" selected="0">
            <x v="33"/>
          </reference>
          <reference field="7" count="1">
            <x v="67"/>
          </reference>
        </references>
      </pivotArea>
    </format>
    <format dxfId="43">
      <pivotArea dataOnly="0" labelOnly="1" outline="0" fieldPosition="0">
        <references count="6">
          <reference field="1" count="1" selected="0">
            <x v="2"/>
          </reference>
          <reference field="2" count="1" selected="0">
            <x v="0"/>
          </reference>
          <reference field="3" count="1" selected="0">
            <x v="0"/>
          </reference>
          <reference field="4" count="1" selected="0">
            <x v="0"/>
          </reference>
          <reference field="6" count="1" selected="0">
            <x v="34"/>
          </reference>
          <reference field="7" count="1">
            <x v="68"/>
          </reference>
        </references>
      </pivotArea>
    </format>
    <format dxfId="42">
      <pivotArea dataOnly="0" labelOnly="1" outline="0" fieldPosition="0">
        <references count="6">
          <reference field="1" count="1" selected="0">
            <x v="2"/>
          </reference>
          <reference field="2" count="1" selected="0">
            <x v="0"/>
          </reference>
          <reference field="3" count="1" selected="0">
            <x v="0"/>
          </reference>
          <reference field="4" count="1" selected="0">
            <x v="0"/>
          </reference>
          <reference field="6" count="1" selected="0">
            <x v="35"/>
          </reference>
          <reference field="7" count="1">
            <x v="69"/>
          </reference>
        </references>
      </pivotArea>
    </format>
    <format dxfId="41">
      <pivotArea dataOnly="0" labelOnly="1" outline="0" fieldPosition="0">
        <references count="6">
          <reference field="1" count="1" selected="0">
            <x v="2"/>
          </reference>
          <reference field="2" count="1" selected="0">
            <x v="0"/>
          </reference>
          <reference field="3" count="1" selected="0">
            <x v="0"/>
          </reference>
          <reference field="4" count="1" selected="0">
            <x v="0"/>
          </reference>
          <reference field="6" count="1" selected="0">
            <x v="36"/>
          </reference>
          <reference field="7" count="1">
            <x v="87"/>
          </reference>
        </references>
      </pivotArea>
    </format>
    <format dxfId="40">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37"/>
          </reference>
          <reference field="7" count="1">
            <x v="70"/>
          </reference>
        </references>
      </pivotArea>
    </format>
    <format dxfId="39">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38"/>
          </reference>
          <reference field="7" count="1">
            <x v="71"/>
          </reference>
        </references>
      </pivotArea>
    </format>
    <format dxfId="38">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39"/>
          </reference>
          <reference field="7" count="1">
            <x v="26"/>
          </reference>
        </references>
      </pivotArea>
    </format>
    <format dxfId="37">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40"/>
          </reference>
          <reference field="7" count="1">
            <x v="72"/>
          </reference>
        </references>
      </pivotArea>
    </format>
    <format dxfId="36">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41"/>
          </reference>
          <reference field="7" count="1">
            <x v="37"/>
          </reference>
        </references>
      </pivotArea>
    </format>
    <format dxfId="35">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42"/>
          </reference>
          <reference field="7" count="1">
            <x v="36"/>
          </reference>
        </references>
      </pivotArea>
    </format>
    <format dxfId="34">
      <pivotArea dataOnly="0" labelOnly="1" outline="0" fieldPosition="0">
        <references count="6">
          <reference field="1" count="1" selected="0">
            <x v="2"/>
          </reference>
          <reference field="2" count="1" selected="0">
            <x v="0"/>
          </reference>
          <reference field="3" count="1" selected="0">
            <x v="1"/>
          </reference>
          <reference field="4" count="1" selected="0">
            <x v="2"/>
          </reference>
          <reference field="6" count="1" selected="0">
            <x v="43"/>
          </reference>
          <reference field="7" count="1">
            <x v="22"/>
          </reference>
        </references>
      </pivotArea>
    </format>
    <format dxfId="33">
      <pivotArea dataOnly="0" labelOnly="1" outline="0" fieldPosition="0">
        <references count="6">
          <reference field="1" count="1" selected="0">
            <x v="2"/>
          </reference>
          <reference field="2" count="1" selected="0">
            <x v="0"/>
          </reference>
          <reference field="3" count="1" selected="0">
            <x v="2"/>
          </reference>
          <reference field="4" count="1" selected="0">
            <x v="1"/>
          </reference>
          <reference field="6" count="1" selected="0">
            <x v="44"/>
          </reference>
          <reference field="7" count="1">
            <x v="9"/>
          </reference>
        </references>
      </pivotArea>
    </format>
    <format dxfId="32">
      <pivotArea dataOnly="0" labelOnly="1" outline="0" fieldPosition="0">
        <references count="6">
          <reference field="1" count="1" selected="0">
            <x v="2"/>
          </reference>
          <reference field="2" count="1" selected="0">
            <x v="0"/>
          </reference>
          <reference field="3" count="1" selected="0">
            <x v="2"/>
          </reference>
          <reference field="4" count="1" selected="0">
            <x v="1"/>
          </reference>
          <reference field="6" count="1" selected="0">
            <x v="45"/>
          </reference>
          <reference field="7" count="1">
            <x v="73"/>
          </reference>
        </references>
      </pivotArea>
    </format>
    <format dxfId="31">
      <pivotArea dataOnly="0" labelOnly="1" outline="0" fieldPosition="0">
        <references count="6">
          <reference field="1" count="1" selected="0">
            <x v="2"/>
          </reference>
          <reference field="2" count="1" selected="0">
            <x v="0"/>
          </reference>
          <reference field="3" count="1" selected="0">
            <x v="2"/>
          </reference>
          <reference field="4" count="1" selected="0">
            <x v="1"/>
          </reference>
          <reference field="6" count="1" selected="0">
            <x v="46"/>
          </reference>
          <reference field="7" count="1">
            <x v="88"/>
          </reference>
        </references>
      </pivotArea>
    </format>
    <format dxfId="30">
      <pivotArea dataOnly="0" labelOnly="1" outline="0" fieldPosition="0">
        <references count="6">
          <reference field="1" count="1" selected="0">
            <x v="2"/>
          </reference>
          <reference field="2" count="1" selected="0">
            <x v="0"/>
          </reference>
          <reference field="3" count="1" selected="0">
            <x v="2"/>
          </reference>
          <reference field="4" count="1" selected="0">
            <x v="1"/>
          </reference>
          <reference field="6" count="1" selected="0">
            <x v="47"/>
          </reference>
          <reference field="7" count="1">
            <x v="74"/>
          </reference>
        </references>
      </pivotArea>
    </format>
    <format dxfId="29">
      <pivotArea dataOnly="0" labelOnly="1" outline="0" fieldPosition="0">
        <references count="6">
          <reference field="1" count="1" selected="0">
            <x v="2"/>
          </reference>
          <reference field="2" count="1" selected="0">
            <x v="0"/>
          </reference>
          <reference field="3" count="1" selected="0">
            <x v="2"/>
          </reference>
          <reference field="4" count="1" selected="0">
            <x v="1"/>
          </reference>
          <reference field="6" count="1" selected="0">
            <x v="48"/>
          </reference>
          <reference field="7" count="1">
            <x v="42"/>
          </reference>
        </references>
      </pivotArea>
    </format>
    <format dxfId="28">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49"/>
          </reference>
          <reference field="7" count="1">
            <x v="11"/>
          </reference>
        </references>
      </pivotArea>
    </format>
    <format dxfId="27">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0"/>
          </reference>
          <reference field="7" count="1">
            <x v="4"/>
          </reference>
        </references>
      </pivotArea>
    </format>
    <format dxfId="26">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1"/>
          </reference>
          <reference field="7" count="1">
            <x v="2"/>
          </reference>
        </references>
      </pivotArea>
    </format>
    <format dxfId="25">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2"/>
          </reference>
          <reference field="7" count="1">
            <x v="14"/>
          </reference>
        </references>
      </pivotArea>
    </format>
    <format dxfId="24">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3"/>
          </reference>
          <reference field="7" count="1">
            <x v="18"/>
          </reference>
        </references>
      </pivotArea>
    </format>
    <format dxfId="23">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4"/>
          </reference>
          <reference field="7" count="1">
            <x v="15"/>
          </reference>
        </references>
      </pivotArea>
    </format>
    <format dxfId="22">
      <pivotArea dataOnly="0" labelOnly="1" outline="0" fieldPosition="0">
        <references count="6">
          <reference field="1" count="1" selected="0">
            <x v="3"/>
          </reference>
          <reference field="2" count="1" selected="0">
            <x v="2"/>
          </reference>
          <reference field="3" count="1" selected="0">
            <x v="0"/>
          </reference>
          <reference field="4" count="1" selected="0">
            <x v="11"/>
          </reference>
          <reference field="6" count="1" selected="0">
            <x v="55"/>
          </reference>
          <reference field="7" count="1">
            <x v="50"/>
          </reference>
        </references>
      </pivotArea>
    </format>
    <format dxfId="21">
      <pivotArea dataOnly="0" labelOnly="1" outline="0" fieldPosition="0">
        <references count="6">
          <reference field="1" count="1" selected="0">
            <x v="3"/>
          </reference>
          <reference field="2" count="1" selected="0">
            <x v="2"/>
          </reference>
          <reference field="3" count="1" selected="0">
            <x v="1"/>
          </reference>
          <reference field="4" count="1" selected="0">
            <x v="10"/>
          </reference>
          <reference field="6" count="1" selected="0">
            <x v="56"/>
          </reference>
          <reference field="7" count="1">
            <x v="16"/>
          </reference>
        </references>
      </pivotArea>
    </format>
    <format dxfId="20">
      <pivotArea dataOnly="0" labelOnly="1" outline="0" fieldPosition="0">
        <references count="6">
          <reference field="1" count="1" selected="0">
            <x v="3"/>
          </reference>
          <reference field="2" count="1" selected="0">
            <x v="2"/>
          </reference>
          <reference field="3" count="1" selected="0">
            <x v="1"/>
          </reference>
          <reference field="4" count="1" selected="0">
            <x v="10"/>
          </reference>
          <reference field="6" count="1" selected="0">
            <x v="57"/>
          </reference>
          <reference field="7" count="1">
            <x v="17"/>
          </reference>
        </references>
      </pivotArea>
    </format>
    <format dxfId="19">
      <pivotArea dataOnly="0" labelOnly="1" outline="0" fieldPosition="0">
        <references count="6">
          <reference field="1" count="1" selected="0">
            <x v="3"/>
          </reference>
          <reference field="2" count="1" selected="0">
            <x v="2"/>
          </reference>
          <reference field="3" count="1" selected="0">
            <x v="1"/>
          </reference>
          <reference field="4" count="1" selected="0">
            <x v="10"/>
          </reference>
          <reference field="6" count="1" selected="0">
            <x v="58"/>
          </reference>
          <reference field="7" count="1">
            <x v="32"/>
          </reference>
        </references>
      </pivotArea>
    </format>
    <format dxfId="18">
      <pivotArea dataOnly="0" labelOnly="1" outline="0" fieldPosition="0">
        <references count="6">
          <reference field="1" count="1" selected="0">
            <x v="3"/>
          </reference>
          <reference field="2" count="1" selected="0">
            <x v="2"/>
          </reference>
          <reference field="3" count="1" selected="0">
            <x v="1"/>
          </reference>
          <reference field="4" count="1" selected="0">
            <x v="10"/>
          </reference>
          <reference field="6" count="1" selected="0">
            <x v="59"/>
          </reference>
          <reference field="7" count="1">
            <x v="6"/>
          </reference>
        </references>
      </pivotArea>
    </format>
    <format dxfId="17">
      <pivotArea dataOnly="0" labelOnly="1" outline="0" fieldPosition="0">
        <references count="6">
          <reference field="1" count="1" selected="0">
            <x v="3"/>
          </reference>
          <reference field="2" count="1" selected="0">
            <x v="2"/>
          </reference>
          <reference field="3" count="1" selected="0">
            <x v="1"/>
          </reference>
          <reference field="4" count="1" selected="0">
            <x v="10"/>
          </reference>
          <reference field="6" count="1" selected="0">
            <x v="60"/>
          </reference>
          <reference field="7" count="1">
            <x v="20"/>
          </reference>
        </references>
      </pivotArea>
    </format>
    <format dxfId="16">
      <pivotArea dataOnly="0" labelOnly="1" outline="0" fieldPosition="0">
        <references count="6">
          <reference field="1" count="1" selected="0">
            <x v="3"/>
          </reference>
          <reference field="2" count="1" selected="0">
            <x v="2"/>
          </reference>
          <reference field="3" count="1" selected="0">
            <x v="2"/>
          </reference>
          <reference field="4" count="1" selected="0">
            <x v="13"/>
          </reference>
          <reference field="6" count="1" selected="0">
            <x v="61"/>
          </reference>
          <reference field="7" count="1">
            <x v="8"/>
          </reference>
        </references>
      </pivotArea>
    </format>
    <format dxfId="15">
      <pivotArea dataOnly="0" labelOnly="1" outline="0" fieldPosition="0">
        <references count="6">
          <reference field="1" count="1" selected="0">
            <x v="3"/>
          </reference>
          <reference field="2" count="1" selected="0">
            <x v="2"/>
          </reference>
          <reference field="3" count="1" selected="0">
            <x v="2"/>
          </reference>
          <reference field="4" count="1" selected="0">
            <x v="13"/>
          </reference>
          <reference field="6" count="1" selected="0">
            <x v="62"/>
          </reference>
          <reference field="7" count="1">
            <x v="13"/>
          </reference>
        </references>
      </pivotArea>
    </format>
    <format dxfId="14">
      <pivotArea dataOnly="0" labelOnly="1" outline="0" fieldPosition="0">
        <references count="6">
          <reference field="1" count="1" selected="0">
            <x v="3"/>
          </reference>
          <reference field="2" count="1" selected="0">
            <x v="2"/>
          </reference>
          <reference field="3" count="1" selected="0">
            <x v="2"/>
          </reference>
          <reference field="4" count="1" selected="0">
            <x v="13"/>
          </reference>
          <reference field="6" count="1" selected="0">
            <x v="63"/>
          </reference>
          <reference field="7" count="1">
            <x v="12"/>
          </reference>
        </references>
      </pivotArea>
    </format>
    <format dxfId="13">
      <pivotArea dataOnly="0" labelOnly="1" outline="0" fieldPosition="0">
        <references count="6">
          <reference field="1" count="1" selected="0">
            <x v="3"/>
          </reference>
          <reference field="2" count="1" selected="0">
            <x v="2"/>
          </reference>
          <reference field="3" count="1" selected="0">
            <x v="2"/>
          </reference>
          <reference field="4" count="1" selected="0">
            <x v="13"/>
          </reference>
          <reference field="6" count="1" selected="0">
            <x v="64"/>
          </reference>
          <reference field="7" count="1">
            <x v="25"/>
          </reference>
        </references>
      </pivotArea>
    </format>
    <format dxfId="12">
      <pivotArea dataOnly="0" labelOnly="1" outline="0" fieldPosition="0">
        <references count="6">
          <reference field="1" count="1" selected="0">
            <x v="3"/>
          </reference>
          <reference field="2" count="1" selected="0">
            <x v="2"/>
          </reference>
          <reference field="3" count="1" selected="0">
            <x v="2"/>
          </reference>
          <reference field="4" count="1" selected="0">
            <x v="13"/>
          </reference>
          <reference field="6" count="1" selected="0">
            <x v="65"/>
          </reference>
          <reference field="7" count="1">
            <x v="0"/>
          </reference>
        </references>
      </pivotArea>
    </format>
    <format dxfId="11">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66"/>
          </reference>
          <reference field="7" count="1">
            <x v="75"/>
          </reference>
        </references>
      </pivotArea>
    </format>
    <format dxfId="10">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67"/>
          </reference>
          <reference field="7" count="1">
            <x v="76"/>
          </reference>
        </references>
      </pivotArea>
    </format>
    <format dxfId="9">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68"/>
          </reference>
          <reference field="7" count="1">
            <x v="77"/>
          </reference>
        </references>
      </pivotArea>
    </format>
    <format dxfId="8">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69"/>
          </reference>
          <reference field="7" count="1">
            <x v="78"/>
          </reference>
        </references>
      </pivotArea>
    </format>
    <format dxfId="7">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0"/>
          </reference>
          <reference field="7" count="1">
            <x v="79"/>
          </reference>
        </references>
      </pivotArea>
    </format>
    <format dxfId="6">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1"/>
          </reference>
          <reference field="7" count="1">
            <x v="80"/>
          </reference>
        </references>
      </pivotArea>
    </format>
    <format dxfId="5">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2"/>
          </reference>
          <reference field="7" count="1">
            <x v="81"/>
          </reference>
        </references>
      </pivotArea>
    </format>
    <format dxfId="4">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3"/>
          </reference>
          <reference field="7" count="1">
            <x v="82"/>
          </reference>
        </references>
      </pivotArea>
    </format>
    <format dxfId="3">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4"/>
          </reference>
          <reference field="7" count="1">
            <x v="39"/>
          </reference>
        </references>
      </pivotArea>
    </format>
    <format dxfId="2">
      <pivotArea dataOnly="0" labelOnly="1" outline="0" fieldPosition="0">
        <references count="6">
          <reference field="1" count="1" selected="0">
            <x v="3"/>
          </reference>
          <reference field="2" count="1" selected="0">
            <x v="2"/>
          </reference>
          <reference field="3" count="1" selected="0">
            <x v="3"/>
          </reference>
          <reference field="4" count="1" selected="0">
            <x v="14"/>
          </reference>
          <reference field="6" count="1" selected="0">
            <x v="79"/>
          </reference>
          <reference field="7" count="1">
            <x v="89"/>
          </reference>
        </references>
      </pivotArea>
    </format>
    <format dxfId="1">
      <pivotArea dataOnly="0" labelOnly="1" outline="0" fieldPosition="0">
        <references count="6">
          <reference field="1" count="1" selected="0">
            <x v="4"/>
          </reference>
          <reference field="2" count="1" selected="0">
            <x v="4"/>
          </reference>
          <reference field="3" count="1" selected="0">
            <x v="6"/>
          </reference>
          <reference field="4" count="1" selected="0">
            <x v="16"/>
          </reference>
          <reference field="6" count="1" selected="0">
            <x v="90"/>
          </reference>
          <reference field="7" count="1">
            <x v="90"/>
          </reference>
        </references>
      </pivotArea>
    </format>
  </formats>
  <pivotTableStyleInfo name="PivotStyleLight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04"/>
  <sheetViews>
    <sheetView zoomScale="103" workbookViewId="0">
      <pane ySplit="1" topLeftCell="A579" activePane="bottomLeft" state="frozen"/>
      <selection activeCell="A2" sqref="A2"/>
      <selection pane="bottomLeft" activeCell="A2" sqref="A2"/>
    </sheetView>
  </sheetViews>
  <sheetFormatPr defaultColWidth="8.88671875" defaultRowHeight="14.4" x14ac:dyDescent="0.3"/>
  <cols>
    <col min="2" max="2" width="33.33203125" customWidth="1"/>
    <col min="3" max="3" width="54.44140625" customWidth="1"/>
    <col min="4" max="4" width="51" customWidth="1"/>
    <col min="5" max="5" width="51.33203125" customWidth="1"/>
    <col min="6" max="6" width="44.88671875" customWidth="1"/>
    <col min="7" max="7" width="34.88671875" customWidth="1"/>
    <col min="8" max="8" width="27.6640625" customWidth="1"/>
    <col min="9" max="9" width="27" customWidth="1"/>
    <col min="10" max="10" width="19.33203125" customWidth="1"/>
    <col min="11" max="11" width="22.44140625" customWidth="1"/>
    <col min="12" max="12" width="19" customWidth="1"/>
    <col min="13" max="13" width="27.109375" customWidth="1"/>
    <col min="14" max="14" width="27.33203125" customWidth="1"/>
    <col min="15" max="15" width="27" customWidth="1"/>
  </cols>
  <sheetData>
    <row r="1" spans="1:15" x14ac:dyDescent="0.3">
      <c r="B1" s="5" t="s">
        <v>643</v>
      </c>
      <c r="C1" s="5" t="s">
        <v>642</v>
      </c>
      <c r="D1" s="5" t="s">
        <v>641</v>
      </c>
      <c r="E1" s="5" t="s">
        <v>639</v>
      </c>
      <c r="F1" s="5" t="s">
        <v>640</v>
      </c>
      <c r="G1" s="5" t="s">
        <v>706</v>
      </c>
      <c r="H1" s="5" t="s">
        <v>698</v>
      </c>
      <c r="I1" s="5" t="s">
        <v>699</v>
      </c>
      <c r="J1" s="5" t="s">
        <v>700</v>
      </c>
      <c r="K1" s="5" t="s">
        <v>701</v>
      </c>
      <c r="L1" s="5" t="s">
        <v>702</v>
      </c>
      <c r="M1" s="5" t="s">
        <v>704</v>
      </c>
      <c r="N1" s="5" t="s">
        <v>703</v>
      </c>
      <c r="O1" s="5" t="s">
        <v>705</v>
      </c>
    </row>
    <row r="2" spans="1:15" ht="57.6" x14ac:dyDescent="0.3">
      <c r="A2">
        <v>3</v>
      </c>
      <c r="B2" s="2" t="s">
        <v>696</v>
      </c>
      <c r="C2" s="4" t="s">
        <v>689</v>
      </c>
      <c r="D2" s="3" t="s">
        <v>644</v>
      </c>
      <c r="E2" s="2" t="s">
        <v>1</v>
      </c>
      <c r="F2" s="1" t="s">
        <v>185</v>
      </c>
    </row>
    <row r="3" spans="1:15" ht="57.6" x14ac:dyDescent="0.3">
      <c r="A3">
        <v>3</v>
      </c>
      <c r="B3" s="2" t="s">
        <v>696</v>
      </c>
      <c r="C3" s="4" t="s">
        <v>689</v>
      </c>
      <c r="D3" s="3" t="s">
        <v>644</v>
      </c>
      <c r="E3" s="2" t="s">
        <v>1</v>
      </c>
      <c r="F3" s="1" t="s">
        <v>186</v>
      </c>
    </row>
    <row r="4" spans="1:15" ht="57.6" x14ac:dyDescent="0.3">
      <c r="A4">
        <v>3</v>
      </c>
      <c r="B4" s="2" t="s">
        <v>696</v>
      </c>
      <c r="C4" s="4" t="s">
        <v>689</v>
      </c>
      <c r="D4" s="3" t="s">
        <v>644</v>
      </c>
      <c r="E4" s="2" t="s">
        <v>2</v>
      </c>
      <c r="F4" s="1" t="s">
        <v>187</v>
      </c>
    </row>
    <row r="5" spans="1:15" ht="57.6" x14ac:dyDescent="0.3">
      <c r="A5">
        <v>3</v>
      </c>
      <c r="B5" s="2" t="s">
        <v>696</v>
      </c>
      <c r="C5" s="4" t="s">
        <v>689</v>
      </c>
      <c r="D5" s="3" t="s">
        <v>644</v>
      </c>
      <c r="E5" s="2" t="s">
        <v>2</v>
      </c>
      <c r="F5" s="1" t="s">
        <v>188</v>
      </c>
    </row>
    <row r="6" spans="1:15" ht="57.6" x14ac:dyDescent="0.3">
      <c r="A6">
        <v>3</v>
      </c>
      <c r="B6" s="2" t="s">
        <v>696</v>
      </c>
      <c r="C6" s="4" t="s">
        <v>689</v>
      </c>
      <c r="D6" s="3" t="s">
        <v>644</v>
      </c>
      <c r="E6" s="2" t="s">
        <v>2</v>
      </c>
      <c r="F6" s="1" t="s">
        <v>189</v>
      </c>
    </row>
    <row r="7" spans="1:15" ht="57.6" x14ac:dyDescent="0.3">
      <c r="A7">
        <v>3</v>
      </c>
      <c r="B7" s="2" t="s">
        <v>696</v>
      </c>
      <c r="C7" s="4" t="s">
        <v>689</v>
      </c>
      <c r="D7" s="3" t="s">
        <v>644</v>
      </c>
      <c r="E7" s="2" t="s">
        <v>3</v>
      </c>
      <c r="F7" s="1" t="s">
        <v>190</v>
      </c>
    </row>
    <row r="8" spans="1:15" ht="57.6" x14ac:dyDescent="0.3">
      <c r="A8">
        <v>3</v>
      </c>
      <c r="B8" s="2" t="s">
        <v>696</v>
      </c>
      <c r="C8" s="4" t="s">
        <v>689</v>
      </c>
      <c r="D8" s="3" t="s">
        <v>644</v>
      </c>
      <c r="E8" s="2" t="s">
        <v>3</v>
      </c>
      <c r="F8" s="1" t="s">
        <v>191</v>
      </c>
    </row>
    <row r="9" spans="1:15" ht="57.6" x14ac:dyDescent="0.3">
      <c r="A9">
        <v>3</v>
      </c>
      <c r="B9" s="2" t="s">
        <v>696</v>
      </c>
      <c r="C9" s="4" t="s">
        <v>689</v>
      </c>
      <c r="D9" s="3" t="s">
        <v>644</v>
      </c>
      <c r="E9" s="2" t="s">
        <v>3</v>
      </c>
      <c r="F9" s="1" t="s">
        <v>192</v>
      </c>
    </row>
    <row r="10" spans="1:15" ht="57.6" x14ac:dyDescent="0.3">
      <c r="A10">
        <v>3</v>
      </c>
      <c r="B10" s="2" t="s">
        <v>696</v>
      </c>
      <c r="C10" s="4" t="s">
        <v>689</v>
      </c>
      <c r="D10" s="3" t="s">
        <v>644</v>
      </c>
      <c r="E10" s="2" t="s">
        <v>4</v>
      </c>
      <c r="F10" s="1" t="s">
        <v>193</v>
      </c>
    </row>
    <row r="11" spans="1:15" ht="57.6" x14ac:dyDescent="0.3">
      <c r="A11">
        <v>3</v>
      </c>
      <c r="B11" s="2" t="s">
        <v>696</v>
      </c>
      <c r="C11" s="4" t="s">
        <v>689</v>
      </c>
      <c r="D11" s="3" t="s">
        <v>644</v>
      </c>
      <c r="E11" s="2" t="s">
        <v>4</v>
      </c>
      <c r="F11" s="1" t="s">
        <v>194</v>
      </c>
    </row>
    <row r="12" spans="1:15" ht="57.6" x14ac:dyDescent="0.3">
      <c r="A12">
        <v>3</v>
      </c>
      <c r="B12" s="2" t="s">
        <v>696</v>
      </c>
      <c r="C12" s="4" t="s">
        <v>689</v>
      </c>
      <c r="D12" s="3" t="s">
        <v>644</v>
      </c>
      <c r="E12" s="2" t="s">
        <v>4</v>
      </c>
      <c r="F12" s="1" t="s">
        <v>195</v>
      </c>
    </row>
    <row r="13" spans="1:15" ht="57.6" x14ac:dyDescent="0.3">
      <c r="A13">
        <v>3</v>
      </c>
      <c r="B13" s="2" t="s">
        <v>696</v>
      </c>
      <c r="C13" s="4" t="s">
        <v>689</v>
      </c>
      <c r="D13" s="3" t="s">
        <v>644</v>
      </c>
      <c r="E13" s="2" t="s">
        <v>5</v>
      </c>
      <c r="F13" s="1" t="s">
        <v>196</v>
      </c>
    </row>
    <row r="14" spans="1:15" ht="57.6" x14ac:dyDescent="0.3">
      <c r="A14">
        <v>3</v>
      </c>
      <c r="B14" s="2" t="s">
        <v>696</v>
      </c>
      <c r="C14" s="4" t="s">
        <v>689</v>
      </c>
      <c r="D14" s="3" t="s">
        <v>644</v>
      </c>
      <c r="E14" s="2" t="s">
        <v>5</v>
      </c>
      <c r="F14" s="1" t="s">
        <v>197</v>
      </c>
    </row>
    <row r="15" spans="1:15" ht="57.6" x14ac:dyDescent="0.3">
      <c r="A15">
        <v>3</v>
      </c>
      <c r="B15" s="2" t="s">
        <v>696</v>
      </c>
      <c r="C15" s="4" t="s">
        <v>689</v>
      </c>
      <c r="D15" s="3" t="s">
        <v>644</v>
      </c>
      <c r="E15" s="2" t="s">
        <v>5</v>
      </c>
      <c r="F15" s="1" t="s">
        <v>198</v>
      </c>
    </row>
    <row r="16" spans="1:15" ht="57.6" x14ac:dyDescent="0.3">
      <c r="A16">
        <v>3</v>
      </c>
      <c r="B16" s="2" t="s">
        <v>696</v>
      </c>
      <c r="C16" s="4" t="s">
        <v>689</v>
      </c>
      <c r="D16" s="3" t="s">
        <v>644</v>
      </c>
      <c r="E16" s="2" t="s">
        <v>5</v>
      </c>
      <c r="F16" s="1" t="s">
        <v>199</v>
      </c>
    </row>
    <row r="17" spans="1:6" ht="57.6" x14ac:dyDescent="0.3">
      <c r="A17">
        <v>3</v>
      </c>
      <c r="B17" s="2" t="s">
        <v>696</v>
      </c>
      <c r="C17" s="4" t="s">
        <v>689</v>
      </c>
      <c r="D17" s="3" t="s">
        <v>644</v>
      </c>
      <c r="E17" s="2" t="s">
        <v>5</v>
      </c>
      <c r="F17" s="1" t="s">
        <v>200</v>
      </c>
    </row>
    <row r="18" spans="1:6" ht="57.6" x14ac:dyDescent="0.3">
      <c r="A18">
        <v>3</v>
      </c>
      <c r="B18" s="2" t="s">
        <v>696</v>
      </c>
      <c r="C18" s="4" t="s">
        <v>689</v>
      </c>
      <c r="D18" s="3" t="s">
        <v>644</v>
      </c>
      <c r="E18" s="2" t="s">
        <v>5</v>
      </c>
      <c r="F18" s="1" t="s">
        <v>152</v>
      </c>
    </row>
    <row r="19" spans="1:6" ht="57.6" x14ac:dyDescent="0.3">
      <c r="A19">
        <v>3</v>
      </c>
      <c r="B19" s="2" t="s">
        <v>696</v>
      </c>
      <c r="C19" s="4" t="s">
        <v>689</v>
      </c>
      <c r="D19" s="3" t="s">
        <v>644</v>
      </c>
      <c r="E19" s="2" t="s">
        <v>5</v>
      </c>
      <c r="F19" s="1" t="s">
        <v>153</v>
      </c>
    </row>
    <row r="20" spans="1:6" ht="57.6" x14ac:dyDescent="0.3">
      <c r="A20">
        <v>3</v>
      </c>
      <c r="B20" s="2" t="s">
        <v>696</v>
      </c>
      <c r="C20" s="4" t="s">
        <v>689</v>
      </c>
      <c r="D20" s="3" t="s">
        <v>644</v>
      </c>
      <c r="E20" s="2" t="s">
        <v>6</v>
      </c>
      <c r="F20" s="1" t="s">
        <v>201</v>
      </c>
    </row>
    <row r="21" spans="1:6" ht="57.6" x14ac:dyDescent="0.3">
      <c r="A21">
        <v>3</v>
      </c>
      <c r="B21" s="2" t="s">
        <v>696</v>
      </c>
      <c r="C21" s="4" t="s">
        <v>689</v>
      </c>
      <c r="D21" s="3" t="s">
        <v>644</v>
      </c>
      <c r="E21" s="2" t="s">
        <v>6</v>
      </c>
      <c r="F21" s="1" t="s">
        <v>202</v>
      </c>
    </row>
    <row r="22" spans="1:6" ht="57.6" x14ac:dyDescent="0.3">
      <c r="A22">
        <v>3</v>
      </c>
      <c r="B22" s="2" t="s">
        <v>696</v>
      </c>
      <c r="C22" s="4" t="s">
        <v>689</v>
      </c>
      <c r="D22" s="3" t="s">
        <v>644</v>
      </c>
      <c r="E22" s="2" t="s">
        <v>6</v>
      </c>
      <c r="F22" s="1" t="s">
        <v>203</v>
      </c>
    </row>
    <row r="23" spans="1:6" ht="57.6" x14ac:dyDescent="0.3">
      <c r="A23">
        <v>3</v>
      </c>
      <c r="B23" s="2" t="s">
        <v>696</v>
      </c>
      <c r="C23" s="4" t="s">
        <v>689</v>
      </c>
      <c r="D23" s="3" t="s">
        <v>644</v>
      </c>
      <c r="E23" s="2" t="s">
        <v>6</v>
      </c>
      <c r="F23" s="1" t="s">
        <v>204</v>
      </c>
    </row>
    <row r="24" spans="1:6" ht="57.6" x14ac:dyDescent="0.3">
      <c r="A24">
        <v>3</v>
      </c>
      <c r="B24" s="2" t="s">
        <v>696</v>
      </c>
      <c r="C24" s="4" t="s">
        <v>689</v>
      </c>
      <c r="D24" s="3" t="s">
        <v>644</v>
      </c>
      <c r="E24" s="2" t="s">
        <v>6</v>
      </c>
      <c r="F24" s="1" t="s">
        <v>205</v>
      </c>
    </row>
    <row r="25" spans="1:6" ht="57.6" x14ac:dyDescent="0.3">
      <c r="A25">
        <v>3</v>
      </c>
      <c r="B25" s="2" t="s">
        <v>696</v>
      </c>
      <c r="C25" s="4" t="s">
        <v>689</v>
      </c>
      <c r="D25" s="3" t="s">
        <v>644</v>
      </c>
      <c r="E25" s="2" t="s">
        <v>6</v>
      </c>
      <c r="F25" s="1" t="s">
        <v>206</v>
      </c>
    </row>
    <row r="26" spans="1:6" ht="57.6" x14ac:dyDescent="0.3">
      <c r="A26">
        <v>3</v>
      </c>
      <c r="B26" s="2" t="s">
        <v>696</v>
      </c>
      <c r="C26" s="4" t="s">
        <v>689</v>
      </c>
      <c r="D26" s="3" t="s">
        <v>644</v>
      </c>
      <c r="E26" s="2" t="s">
        <v>6</v>
      </c>
      <c r="F26" s="1" t="s">
        <v>207</v>
      </c>
    </row>
    <row r="27" spans="1:6" ht="57.6" x14ac:dyDescent="0.3">
      <c r="A27">
        <v>3</v>
      </c>
      <c r="B27" s="2" t="s">
        <v>696</v>
      </c>
      <c r="C27" s="4" t="s">
        <v>689</v>
      </c>
      <c r="D27" s="3" t="s">
        <v>644</v>
      </c>
      <c r="E27" s="2" t="s">
        <v>6</v>
      </c>
      <c r="F27" s="1" t="s">
        <v>208</v>
      </c>
    </row>
    <row r="28" spans="1:6" ht="57.6" x14ac:dyDescent="0.3">
      <c r="A28">
        <v>3</v>
      </c>
      <c r="B28" s="2" t="s">
        <v>696</v>
      </c>
      <c r="C28" s="4" t="s">
        <v>689</v>
      </c>
      <c r="D28" s="3" t="s">
        <v>644</v>
      </c>
      <c r="E28" s="2" t="s">
        <v>6</v>
      </c>
      <c r="F28" s="1" t="s">
        <v>209</v>
      </c>
    </row>
    <row r="29" spans="1:6" ht="57.6" x14ac:dyDescent="0.3">
      <c r="A29">
        <v>3</v>
      </c>
      <c r="B29" s="2" t="s">
        <v>696</v>
      </c>
      <c r="C29" s="4" t="s">
        <v>689</v>
      </c>
      <c r="D29" s="3" t="s">
        <v>644</v>
      </c>
      <c r="E29" s="2" t="s">
        <v>6</v>
      </c>
      <c r="F29" s="1" t="s">
        <v>210</v>
      </c>
    </row>
    <row r="30" spans="1:6" ht="57.6" x14ac:dyDescent="0.3">
      <c r="A30">
        <v>3</v>
      </c>
      <c r="B30" s="2" t="s">
        <v>696</v>
      </c>
      <c r="C30" s="4" t="s">
        <v>689</v>
      </c>
      <c r="D30" s="3" t="s">
        <v>644</v>
      </c>
      <c r="E30" s="2" t="s">
        <v>6</v>
      </c>
      <c r="F30" s="1" t="s">
        <v>211</v>
      </c>
    </row>
    <row r="31" spans="1:6" ht="57.6" x14ac:dyDescent="0.3">
      <c r="A31">
        <v>3</v>
      </c>
      <c r="B31" s="2" t="s">
        <v>696</v>
      </c>
      <c r="C31" s="4" t="s">
        <v>689</v>
      </c>
      <c r="D31" s="3" t="s">
        <v>645</v>
      </c>
      <c r="E31" s="2" t="s">
        <v>7</v>
      </c>
      <c r="F31" s="1" t="s">
        <v>212</v>
      </c>
    </row>
    <row r="32" spans="1:6" ht="57.6" x14ac:dyDescent="0.3">
      <c r="A32">
        <v>3</v>
      </c>
      <c r="B32" s="2" t="s">
        <v>696</v>
      </c>
      <c r="C32" s="4" t="s">
        <v>689</v>
      </c>
      <c r="D32" s="3" t="s">
        <v>645</v>
      </c>
      <c r="E32" s="2" t="s">
        <v>7</v>
      </c>
      <c r="F32" s="1" t="s">
        <v>213</v>
      </c>
    </row>
    <row r="33" spans="1:6" ht="57.6" x14ac:dyDescent="0.3">
      <c r="A33">
        <v>3</v>
      </c>
      <c r="B33" s="2" t="s">
        <v>696</v>
      </c>
      <c r="C33" s="4" t="s">
        <v>689</v>
      </c>
      <c r="D33" s="3" t="s">
        <v>645</v>
      </c>
      <c r="E33" s="2" t="s">
        <v>8</v>
      </c>
      <c r="F33" s="1" t="s">
        <v>214</v>
      </c>
    </row>
    <row r="34" spans="1:6" ht="57.6" x14ac:dyDescent="0.3">
      <c r="A34">
        <v>3</v>
      </c>
      <c r="B34" s="2" t="s">
        <v>696</v>
      </c>
      <c r="C34" s="4" t="s">
        <v>689</v>
      </c>
      <c r="D34" s="3" t="s">
        <v>645</v>
      </c>
      <c r="E34" s="2" t="s">
        <v>8</v>
      </c>
      <c r="F34" s="1" t="s">
        <v>215</v>
      </c>
    </row>
    <row r="35" spans="1:6" ht="57.6" x14ac:dyDescent="0.3">
      <c r="A35">
        <v>3</v>
      </c>
      <c r="B35" s="2" t="s">
        <v>696</v>
      </c>
      <c r="C35" s="4" t="s">
        <v>689</v>
      </c>
      <c r="D35" s="3" t="s">
        <v>645</v>
      </c>
      <c r="E35" s="2" t="s">
        <v>8</v>
      </c>
      <c r="F35" s="1" t="s">
        <v>216</v>
      </c>
    </row>
    <row r="36" spans="1:6" ht="57.6" x14ac:dyDescent="0.3">
      <c r="A36">
        <v>3</v>
      </c>
      <c r="B36" s="2" t="s">
        <v>696</v>
      </c>
      <c r="C36" s="4" t="s">
        <v>689</v>
      </c>
      <c r="D36" s="3" t="s">
        <v>645</v>
      </c>
      <c r="E36" s="2" t="s">
        <v>9</v>
      </c>
      <c r="F36" s="1" t="s">
        <v>217</v>
      </c>
    </row>
    <row r="37" spans="1:6" ht="57.6" x14ac:dyDescent="0.3">
      <c r="A37">
        <v>3</v>
      </c>
      <c r="B37" s="2" t="s">
        <v>696</v>
      </c>
      <c r="C37" s="4" t="s">
        <v>689</v>
      </c>
      <c r="D37" s="3" t="s">
        <v>645</v>
      </c>
      <c r="E37" s="2" t="s">
        <v>9</v>
      </c>
      <c r="F37" s="1" t="s">
        <v>218</v>
      </c>
    </row>
    <row r="38" spans="1:6" ht="57.6" x14ac:dyDescent="0.3">
      <c r="A38">
        <v>3</v>
      </c>
      <c r="B38" s="2" t="s">
        <v>696</v>
      </c>
      <c r="C38" s="4" t="s">
        <v>689</v>
      </c>
      <c r="D38" s="3" t="s">
        <v>645</v>
      </c>
      <c r="E38" s="2" t="s">
        <v>9</v>
      </c>
      <c r="F38" s="1" t="s">
        <v>219</v>
      </c>
    </row>
    <row r="39" spans="1:6" ht="57.6" x14ac:dyDescent="0.3">
      <c r="A39">
        <v>3</v>
      </c>
      <c r="B39" s="2" t="s">
        <v>696</v>
      </c>
      <c r="C39" s="4" t="s">
        <v>689</v>
      </c>
      <c r="D39" s="3" t="s">
        <v>645</v>
      </c>
      <c r="E39" s="2" t="s">
        <v>10</v>
      </c>
      <c r="F39" s="1" t="s">
        <v>196</v>
      </c>
    </row>
    <row r="40" spans="1:6" ht="57.6" x14ac:dyDescent="0.3">
      <c r="A40">
        <v>3</v>
      </c>
      <c r="B40" s="2" t="s">
        <v>696</v>
      </c>
      <c r="C40" s="4" t="s">
        <v>689</v>
      </c>
      <c r="D40" s="3" t="s">
        <v>645</v>
      </c>
      <c r="E40" s="2" t="s">
        <v>10</v>
      </c>
      <c r="F40" s="1" t="s">
        <v>197</v>
      </c>
    </row>
    <row r="41" spans="1:6" ht="57.6" x14ac:dyDescent="0.3">
      <c r="A41">
        <v>3</v>
      </c>
      <c r="B41" s="2" t="s">
        <v>696</v>
      </c>
      <c r="C41" s="4" t="s">
        <v>689</v>
      </c>
      <c r="D41" s="3" t="s">
        <v>645</v>
      </c>
      <c r="E41" s="2" t="s">
        <v>10</v>
      </c>
      <c r="F41" s="1" t="s">
        <v>198</v>
      </c>
    </row>
    <row r="42" spans="1:6" ht="57.6" x14ac:dyDescent="0.3">
      <c r="A42">
        <v>3</v>
      </c>
      <c r="B42" s="2" t="s">
        <v>696</v>
      </c>
      <c r="C42" s="4" t="s">
        <v>689</v>
      </c>
      <c r="D42" s="3" t="s">
        <v>645</v>
      </c>
      <c r="E42" s="2" t="s">
        <v>10</v>
      </c>
      <c r="F42" s="1" t="s">
        <v>199</v>
      </c>
    </row>
    <row r="43" spans="1:6" ht="57.6" x14ac:dyDescent="0.3">
      <c r="A43">
        <v>3</v>
      </c>
      <c r="B43" s="2" t="s">
        <v>696</v>
      </c>
      <c r="C43" s="4" t="s">
        <v>689</v>
      </c>
      <c r="D43" s="3" t="s">
        <v>645</v>
      </c>
      <c r="E43" s="2" t="s">
        <v>10</v>
      </c>
      <c r="F43" s="1" t="s">
        <v>200</v>
      </c>
    </row>
    <row r="44" spans="1:6" ht="57.6" x14ac:dyDescent="0.3">
      <c r="A44">
        <v>3</v>
      </c>
      <c r="B44" s="2" t="s">
        <v>696</v>
      </c>
      <c r="C44" s="4" t="s">
        <v>689</v>
      </c>
      <c r="D44" s="3" t="s">
        <v>645</v>
      </c>
      <c r="E44" s="2" t="s">
        <v>10</v>
      </c>
      <c r="F44" s="1" t="s">
        <v>152</v>
      </c>
    </row>
    <row r="45" spans="1:6" ht="57.6" x14ac:dyDescent="0.3">
      <c r="A45">
        <v>3</v>
      </c>
      <c r="B45" s="2" t="s">
        <v>696</v>
      </c>
      <c r="C45" s="4" t="s">
        <v>689</v>
      </c>
      <c r="D45" s="3" t="s">
        <v>645</v>
      </c>
      <c r="E45" s="2" t="s">
        <v>10</v>
      </c>
      <c r="F45" s="1" t="s">
        <v>153</v>
      </c>
    </row>
    <row r="46" spans="1:6" ht="57.6" x14ac:dyDescent="0.3">
      <c r="A46">
        <v>3</v>
      </c>
      <c r="B46" s="2" t="s">
        <v>696</v>
      </c>
      <c r="C46" s="4" t="s">
        <v>689</v>
      </c>
      <c r="D46" s="3" t="s">
        <v>645</v>
      </c>
      <c r="E46" s="2" t="s">
        <v>10</v>
      </c>
      <c r="F46" s="1" t="s">
        <v>177</v>
      </c>
    </row>
    <row r="47" spans="1:6" ht="57.6" x14ac:dyDescent="0.3">
      <c r="A47">
        <v>3</v>
      </c>
      <c r="B47" s="2" t="s">
        <v>696</v>
      </c>
      <c r="C47" s="4" t="s">
        <v>689</v>
      </c>
      <c r="D47" s="3" t="s">
        <v>645</v>
      </c>
      <c r="E47" s="2" t="s">
        <v>10</v>
      </c>
      <c r="F47" s="1" t="s">
        <v>204</v>
      </c>
    </row>
    <row r="48" spans="1:6" ht="57.6" x14ac:dyDescent="0.3">
      <c r="A48">
        <v>3</v>
      </c>
      <c r="B48" s="2" t="s">
        <v>696</v>
      </c>
      <c r="C48" s="4" t="s">
        <v>689</v>
      </c>
      <c r="D48" s="3" t="s">
        <v>645</v>
      </c>
      <c r="E48" s="2" t="s">
        <v>10</v>
      </c>
      <c r="F48" s="1" t="s">
        <v>205</v>
      </c>
    </row>
    <row r="49" spans="1:6" ht="57.6" x14ac:dyDescent="0.3">
      <c r="A49">
        <v>3</v>
      </c>
      <c r="B49" s="2" t="s">
        <v>696</v>
      </c>
      <c r="C49" s="4" t="s">
        <v>689</v>
      </c>
      <c r="D49" s="3" t="s">
        <v>645</v>
      </c>
      <c r="E49" s="2" t="s">
        <v>10</v>
      </c>
      <c r="F49" s="1" t="s">
        <v>220</v>
      </c>
    </row>
    <row r="50" spans="1:6" ht="57.6" x14ac:dyDescent="0.3">
      <c r="A50">
        <v>3</v>
      </c>
      <c r="B50" s="2" t="s">
        <v>696</v>
      </c>
      <c r="C50" s="4" t="s">
        <v>689</v>
      </c>
      <c r="D50" s="3" t="s">
        <v>645</v>
      </c>
      <c r="E50" s="2" t="s">
        <v>10</v>
      </c>
      <c r="F50" s="1" t="s">
        <v>221</v>
      </c>
    </row>
    <row r="51" spans="1:6" ht="57.6" x14ac:dyDescent="0.3">
      <c r="A51">
        <v>3</v>
      </c>
      <c r="B51" s="2" t="s">
        <v>696</v>
      </c>
      <c r="C51" s="4" t="s">
        <v>689</v>
      </c>
      <c r="D51" s="3" t="s">
        <v>645</v>
      </c>
      <c r="E51" s="2" t="s">
        <v>10</v>
      </c>
      <c r="F51" s="1" t="s">
        <v>210</v>
      </c>
    </row>
    <row r="52" spans="1:6" ht="57.6" x14ac:dyDescent="0.3">
      <c r="A52">
        <v>3</v>
      </c>
      <c r="B52" s="2" t="s">
        <v>696</v>
      </c>
      <c r="C52" s="4" t="s">
        <v>689</v>
      </c>
      <c r="D52" s="3" t="s">
        <v>645</v>
      </c>
      <c r="E52" s="2" t="s">
        <v>10</v>
      </c>
      <c r="F52" s="1" t="s">
        <v>222</v>
      </c>
    </row>
    <row r="53" spans="1:6" ht="57.6" x14ac:dyDescent="0.3">
      <c r="A53">
        <v>3</v>
      </c>
      <c r="B53" s="2" t="s">
        <v>696</v>
      </c>
      <c r="C53" s="4" t="s">
        <v>689</v>
      </c>
      <c r="D53" s="3" t="s">
        <v>645</v>
      </c>
      <c r="E53" s="2" t="s">
        <v>10</v>
      </c>
      <c r="F53" s="1" t="s">
        <v>211</v>
      </c>
    </row>
    <row r="54" spans="1:6" ht="57.6" x14ac:dyDescent="0.3">
      <c r="A54">
        <v>3</v>
      </c>
      <c r="B54" s="2" t="s">
        <v>696</v>
      </c>
      <c r="C54" s="4" t="s">
        <v>689</v>
      </c>
      <c r="D54" s="3" t="s">
        <v>646</v>
      </c>
      <c r="E54" s="2" t="s">
        <v>11</v>
      </c>
      <c r="F54" s="1" t="s">
        <v>223</v>
      </c>
    </row>
    <row r="55" spans="1:6" ht="57.6" x14ac:dyDescent="0.3">
      <c r="A55">
        <v>3</v>
      </c>
      <c r="B55" s="2" t="s">
        <v>696</v>
      </c>
      <c r="C55" s="4" t="s">
        <v>689</v>
      </c>
      <c r="D55" s="3" t="s">
        <v>646</v>
      </c>
      <c r="E55" s="2" t="s">
        <v>11</v>
      </c>
      <c r="F55" s="1" t="s">
        <v>224</v>
      </c>
    </row>
    <row r="56" spans="1:6" ht="57.6" x14ac:dyDescent="0.3">
      <c r="A56">
        <v>3</v>
      </c>
      <c r="B56" s="2" t="s">
        <v>696</v>
      </c>
      <c r="C56" s="4" t="s">
        <v>689</v>
      </c>
      <c r="D56" s="3" t="s">
        <v>646</v>
      </c>
      <c r="E56" s="2" t="s">
        <v>12</v>
      </c>
      <c r="F56" s="1" t="s">
        <v>225</v>
      </c>
    </row>
    <row r="57" spans="1:6" ht="57.6" x14ac:dyDescent="0.3">
      <c r="A57">
        <v>3</v>
      </c>
      <c r="B57" s="2" t="s">
        <v>696</v>
      </c>
      <c r="C57" s="4" t="s">
        <v>689</v>
      </c>
      <c r="D57" s="3" t="s">
        <v>646</v>
      </c>
      <c r="E57" s="2" t="s">
        <v>12</v>
      </c>
      <c r="F57" s="1" t="s">
        <v>226</v>
      </c>
    </row>
    <row r="58" spans="1:6" ht="57.6" x14ac:dyDescent="0.3">
      <c r="A58">
        <v>3</v>
      </c>
      <c r="B58" s="2" t="s">
        <v>696</v>
      </c>
      <c r="C58" s="4" t="s">
        <v>689</v>
      </c>
      <c r="D58" s="3" t="s">
        <v>646</v>
      </c>
      <c r="E58" s="2" t="s">
        <v>12</v>
      </c>
      <c r="F58" s="1" t="s">
        <v>227</v>
      </c>
    </row>
    <row r="59" spans="1:6" ht="57.6" x14ac:dyDescent="0.3">
      <c r="A59">
        <v>3</v>
      </c>
      <c r="B59" s="2" t="s">
        <v>696</v>
      </c>
      <c r="C59" s="4" t="s">
        <v>689</v>
      </c>
      <c r="D59" s="3" t="s">
        <v>646</v>
      </c>
      <c r="E59" s="2" t="s">
        <v>13</v>
      </c>
      <c r="F59" s="1" t="s">
        <v>196</v>
      </c>
    </row>
    <row r="60" spans="1:6" ht="57.6" x14ac:dyDescent="0.3">
      <c r="A60">
        <v>3</v>
      </c>
      <c r="B60" s="2" t="s">
        <v>696</v>
      </c>
      <c r="C60" s="4" t="s">
        <v>689</v>
      </c>
      <c r="D60" s="3" t="s">
        <v>646</v>
      </c>
      <c r="E60" s="2" t="s">
        <v>13</v>
      </c>
      <c r="F60" s="1" t="s">
        <v>197</v>
      </c>
    </row>
    <row r="61" spans="1:6" ht="57.6" x14ac:dyDescent="0.3">
      <c r="A61">
        <v>3</v>
      </c>
      <c r="B61" s="2" t="s">
        <v>696</v>
      </c>
      <c r="C61" s="4" t="s">
        <v>689</v>
      </c>
      <c r="D61" s="3" t="s">
        <v>646</v>
      </c>
      <c r="E61" s="2" t="s">
        <v>13</v>
      </c>
      <c r="F61" s="1" t="s">
        <v>198</v>
      </c>
    </row>
    <row r="62" spans="1:6" ht="57.6" x14ac:dyDescent="0.3">
      <c r="A62">
        <v>3</v>
      </c>
      <c r="B62" s="2" t="s">
        <v>696</v>
      </c>
      <c r="C62" s="4" t="s">
        <v>689</v>
      </c>
      <c r="D62" s="3" t="s">
        <v>646</v>
      </c>
      <c r="E62" s="2" t="s">
        <v>13</v>
      </c>
      <c r="F62" s="1" t="s">
        <v>199</v>
      </c>
    </row>
    <row r="63" spans="1:6" ht="57.6" x14ac:dyDescent="0.3">
      <c r="A63">
        <v>3</v>
      </c>
      <c r="B63" s="2" t="s">
        <v>696</v>
      </c>
      <c r="C63" s="4" t="s">
        <v>689</v>
      </c>
      <c r="D63" s="3" t="s">
        <v>646</v>
      </c>
      <c r="E63" s="2" t="s">
        <v>13</v>
      </c>
      <c r="F63" s="1" t="s">
        <v>200</v>
      </c>
    </row>
    <row r="64" spans="1:6" ht="57.6" x14ac:dyDescent="0.3">
      <c r="A64">
        <v>3</v>
      </c>
      <c r="B64" s="2" t="s">
        <v>696</v>
      </c>
      <c r="C64" s="4" t="s">
        <v>689</v>
      </c>
      <c r="D64" s="3" t="s">
        <v>646</v>
      </c>
      <c r="E64" s="2" t="s">
        <v>13</v>
      </c>
      <c r="F64" s="1" t="s">
        <v>152</v>
      </c>
    </row>
    <row r="65" spans="1:6" ht="57.6" x14ac:dyDescent="0.3">
      <c r="A65">
        <v>3</v>
      </c>
      <c r="B65" s="2" t="s">
        <v>696</v>
      </c>
      <c r="C65" s="4" t="s">
        <v>689</v>
      </c>
      <c r="D65" s="3" t="s">
        <v>646</v>
      </c>
      <c r="E65" s="2" t="s">
        <v>13</v>
      </c>
      <c r="F65" s="1" t="s">
        <v>153</v>
      </c>
    </row>
    <row r="66" spans="1:6" ht="57.6" x14ac:dyDescent="0.3">
      <c r="A66">
        <v>3</v>
      </c>
      <c r="B66" s="2" t="s">
        <v>696</v>
      </c>
      <c r="C66" s="4" t="s">
        <v>689</v>
      </c>
      <c r="D66" s="3" t="s">
        <v>646</v>
      </c>
      <c r="E66" s="2" t="s">
        <v>13</v>
      </c>
      <c r="F66" s="1" t="s">
        <v>177</v>
      </c>
    </row>
    <row r="67" spans="1:6" ht="57.6" x14ac:dyDescent="0.3">
      <c r="A67">
        <v>3</v>
      </c>
      <c r="B67" s="2" t="s">
        <v>696</v>
      </c>
      <c r="C67" s="4" t="s">
        <v>689</v>
      </c>
      <c r="D67" s="3" t="s">
        <v>646</v>
      </c>
      <c r="E67" s="2" t="s">
        <v>13</v>
      </c>
      <c r="F67" s="1" t="s">
        <v>204</v>
      </c>
    </row>
    <row r="68" spans="1:6" ht="57.6" x14ac:dyDescent="0.3">
      <c r="A68">
        <v>3</v>
      </c>
      <c r="B68" s="2" t="s">
        <v>696</v>
      </c>
      <c r="C68" s="4" t="s">
        <v>689</v>
      </c>
      <c r="D68" s="3" t="s">
        <v>646</v>
      </c>
      <c r="E68" s="2" t="s">
        <v>13</v>
      </c>
      <c r="F68" s="1" t="s">
        <v>205</v>
      </c>
    </row>
    <row r="69" spans="1:6" ht="57.6" x14ac:dyDescent="0.3">
      <c r="A69">
        <v>3</v>
      </c>
      <c r="B69" s="2" t="s">
        <v>696</v>
      </c>
      <c r="C69" s="4" t="s">
        <v>689</v>
      </c>
      <c r="D69" s="3" t="s">
        <v>646</v>
      </c>
      <c r="E69" s="2" t="s">
        <v>13</v>
      </c>
      <c r="F69" s="1" t="s">
        <v>228</v>
      </c>
    </row>
    <row r="70" spans="1:6" ht="57.6" x14ac:dyDescent="0.3">
      <c r="A70">
        <v>3</v>
      </c>
      <c r="B70" s="2" t="s">
        <v>696</v>
      </c>
      <c r="C70" s="4" t="s">
        <v>689</v>
      </c>
      <c r="D70" s="3" t="s">
        <v>646</v>
      </c>
      <c r="E70" s="2" t="s">
        <v>13</v>
      </c>
      <c r="F70" s="1" t="s">
        <v>209</v>
      </c>
    </row>
    <row r="71" spans="1:6" ht="57.6" x14ac:dyDescent="0.3">
      <c r="A71">
        <v>3</v>
      </c>
      <c r="B71" s="2" t="s">
        <v>696</v>
      </c>
      <c r="C71" s="4" t="s">
        <v>689</v>
      </c>
      <c r="D71" s="3" t="s">
        <v>646</v>
      </c>
      <c r="E71" s="2" t="s">
        <v>13</v>
      </c>
      <c r="F71" s="1" t="s">
        <v>229</v>
      </c>
    </row>
    <row r="72" spans="1:6" ht="57.6" x14ac:dyDescent="0.3">
      <c r="A72">
        <v>3</v>
      </c>
      <c r="B72" s="2" t="s">
        <v>696</v>
      </c>
      <c r="C72" s="4" t="s">
        <v>689</v>
      </c>
      <c r="D72" s="3" t="s">
        <v>647</v>
      </c>
      <c r="E72" s="2" t="s">
        <v>14</v>
      </c>
      <c r="F72" s="1" t="s">
        <v>214</v>
      </c>
    </row>
    <row r="73" spans="1:6" ht="57.6" x14ac:dyDescent="0.3">
      <c r="A73">
        <v>3</v>
      </c>
      <c r="B73" s="2" t="s">
        <v>696</v>
      </c>
      <c r="C73" s="4" t="s">
        <v>689</v>
      </c>
      <c r="D73" s="3" t="s">
        <v>647</v>
      </c>
      <c r="E73" s="2" t="s">
        <v>14</v>
      </c>
      <c r="F73" s="1" t="s">
        <v>215</v>
      </c>
    </row>
    <row r="74" spans="1:6" ht="57.6" x14ac:dyDescent="0.3">
      <c r="A74">
        <v>3</v>
      </c>
      <c r="B74" s="2" t="s">
        <v>696</v>
      </c>
      <c r="C74" s="4" t="s">
        <v>689</v>
      </c>
      <c r="D74" s="3" t="s">
        <v>647</v>
      </c>
      <c r="E74" s="2" t="s">
        <v>14</v>
      </c>
      <c r="F74" s="1" t="s">
        <v>149</v>
      </c>
    </row>
    <row r="75" spans="1:6" ht="57.6" x14ac:dyDescent="0.3">
      <c r="A75">
        <v>3</v>
      </c>
      <c r="B75" s="2" t="s">
        <v>696</v>
      </c>
      <c r="C75" s="4" t="s">
        <v>689</v>
      </c>
      <c r="D75" s="3" t="s">
        <v>647</v>
      </c>
      <c r="E75" s="2" t="s">
        <v>14</v>
      </c>
      <c r="F75" s="1" t="s">
        <v>174</v>
      </c>
    </row>
    <row r="76" spans="1:6" ht="57.6" x14ac:dyDescent="0.3">
      <c r="A76">
        <v>3</v>
      </c>
      <c r="B76" s="2" t="s">
        <v>696</v>
      </c>
      <c r="C76" s="4" t="s">
        <v>689</v>
      </c>
      <c r="D76" s="3" t="s">
        <v>647</v>
      </c>
      <c r="E76" s="2" t="s">
        <v>14</v>
      </c>
      <c r="F76" s="1" t="s">
        <v>230</v>
      </c>
    </row>
    <row r="77" spans="1:6" ht="57.6" x14ac:dyDescent="0.3">
      <c r="A77">
        <v>3</v>
      </c>
      <c r="B77" s="2" t="s">
        <v>696</v>
      </c>
      <c r="C77" s="4" t="s">
        <v>689</v>
      </c>
      <c r="D77" s="3" t="s">
        <v>647</v>
      </c>
      <c r="E77" s="2" t="s">
        <v>14</v>
      </c>
      <c r="F77" s="1" t="s">
        <v>231</v>
      </c>
    </row>
    <row r="78" spans="1:6" ht="57.6" x14ac:dyDescent="0.3">
      <c r="A78">
        <v>3</v>
      </c>
      <c r="B78" s="2" t="s">
        <v>696</v>
      </c>
      <c r="C78" s="4" t="s">
        <v>689</v>
      </c>
      <c r="D78" s="3" t="s">
        <v>647</v>
      </c>
      <c r="E78" s="2" t="s">
        <v>14</v>
      </c>
      <c r="F78" s="1" t="s">
        <v>163</v>
      </c>
    </row>
    <row r="79" spans="1:6" ht="57.6" x14ac:dyDescent="0.3">
      <c r="A79">
        <v>3</v>
      </c>
      <c r="B79" s="2" t="s">
        <v>696</v>
      </c>
      <c r="C79" s="4" t="s">
        <v>689</v>
      </c>
      <c r="D79" s="3" t="s">
        <v>647</v>
      </c>
      <c r="E79" s="2" t="s">
        <v>14</v>
      </c>
      <c r="F79" s="1" t="s">
        <v>232</v>
      </c>
    </row>
    <row r="80" spans="1:6" ht="57.6" x14ac:dyDescent="0.3">
      <c r="A80">
        <v>3</v>
      </c>
      <c r="B80" s="2" t="s">
        <v>696</v>
      </c>
      <c r="C80" s="4" t="s">
        <v>689</v>
      </c>
      <c r="D80" s="3" t="s">
        <v>647</v>
      </c>
      <c r="E80" s="2" t="s">
        <v>14</v>
      </c>
      <c r="F80" s="1" t="s">
        <v>200</v>
      </c>
    </row>
    <row r="81" spans="1:6" ht="57.6" x14ac:dyDescent="0.3">
      <c r="A81">
        <v>3</v>
      </c>
      <c r="B81" s="2" t="s">
        <v>696</v>
      </c>
      <c r="C81" s="4" t="s">
        <v>689</v>
      </c>
      <c r="D81" s="3" t="s">
        <v>647</v>
      </c>
      <c r="E81" s="2" t="s">
        <v>14</v>
      </c>
      <c r="F81" s="1" t="s">
        <v>152</v>
      </c>
    </row>
    <row r="82" spans="1:6" ht="57.6" x14ac:dyDescent="0.3">
      <c r="A82">
        <v>3</v>
      </c>
      <c r="B82" s="2" t="s">
        <v>696</v>
      </c>
      <c r="C82" s="4" t="s">
        <v>689</v>
      </c>
      <c r="D82" s="3" t="s">
        <v>647</v>
      </c>
      <c r="E82" s="2" t="s">
        <v>14</v>
      </c>
      <c r="F82" s="1" t="s">
        <v>153</v>
      </c>
    </row>
    <row r="83" spans="1:6" ht="57.6" x14ac:dyDescent="0.3">
      <c r="A83">
        <v>3</v>
      </c>
      <c r="B83" s="2" t="s">
        <v>696</v>
      </c>
      <c r="C83" s="4" t="s">
        <v>689</v>
      </c>
      <c r="D83" s="3" t="s">
        <v>647</v>
      </c>
      <c r="E83" s="2" t="s">
        <v>14</v>
      </c>
      <c r="F83" s="1" t="s">
        <v>233</v>
      </c>
    </row>
    <row r="84" spans="1:6" ht="57.6" x14ac:dyDescent="0.3">
      <c r="A84">
        <v>3</v>
      </c>
      <c r="B84" s="2" t="s">
        <v>696</v>
      </c>
      <c r="C84" s="4" t="s">
        <v>689</v>
      </c>
      <c r="D84" s="3" t="s">
        <v>647</v>
      </c>
      <c r="E84" s="2" t="s">
        <v>14</v>
      </c>
      <c r="F84" s="1" t="s">
        <v>171</v>
      </c>
    </row>
    <row r="85" spans="1:6" ht="57.6" x14ac:dyDescent="0.3">
      <c r="A85">
        <v>3</v>
      </c>
      <c r="B85" s="2" t="s">
        <v>696</v>
      </c>
      <c r="C85" s="4" t="s">
        <v>689</v>
      </c>
      <c r="D85" s="3" t="s">
        <v>647</v>
      </c>
      <c r="E85" s="2" t="s">
        <v>15</v>
      </c>
      <c r="F85" s="1" t="s">
        <v>214</v>
      </c>
    </row>
    <row r="86" spans="1:6" ht="57.6" x14ac:dyDescent="0.3">
      <c r="A86">
        <v>3</v>
      </c>
      <c r="B86" s="2" t="s">
        <v>696</v>
      </c>
      <c r="C86" s="4" t="s">
        <v>689</v>
      </c>
      <c r="D86" s="3" t="s">
        <v>647</v>
      </c>
      <c r="E86" s="2" t="s">
        <v>15</v>
      </c>
      <c r="F86" s="1" t="s">
        <v>234</v>
      </c>
    </row>
    <row r="87" spans="1:6" ht="57.6" x14ac:dyDescent="0.3">
      <c r="A87">
        <v>3</v>
      </c>
      <c r="B87" s="2" t="s">
        <v>696</v>
      </c>
      <c r="C87" s="4" t="s">
        <v>689</v>
      </c>
      <c r="D87" s="3" t="s">
        <v>647</v>
      </c>
      <c r="E87" s="2" t="s">
        <v>15</v>
      </c>
      <c r="F87" s="1" t="s">
        <v>149</v>
      </c>
    </row>
    <row r="88" spans="1:6" ht="57.6" x14ac:dyDescent="0.3">
      <c r="A88">
        <v>3</v>
      </c>
      <c r="B88" s="2" t="s">
        <v>696</v>
      </c>
      <c r="C88" s="4" t="s">
        <v>689</v>
      </c>
      <c r="D88" s="3" t="s">
        <v>647</v>
      </c>
      <c r="E88" s="2" t="s">
        <v>15</v>
      </c>
      <c r="F88" s="1" t="s">
        <v>235</v>
      </c>
    </row>
    <row r="89" spans="1:6" ht="57.6" x14ac:dyDescent="0.3">
      <c r="A89">
        <v>3</v>
      </c>
      <c r="B89" s="2" t="s">
        <v>696</v>
      </c>
      <c r="C89" s="4" t="s">
        <v>689</v>
      </c>
      <c r="D89" s="3" t="s">
        <v>647</v>
      </c>
      <c r="E89" s="2" t="s">
        <v>15</v>
      </c>
      <c r="F89" s="1" t="s">
        <v>236</v>
      </c>
    </row>
    <row r="90" spans="1:6" ht="57.6" x14ac:dyDescent="0.3">
      <c r="A90">
        <v>3</v>
      </c>
      <c r="B90" s="2" t="s">
        <v>696</v>
      </c>
      <c r="C90" s="4" t="s">
        <v>689</v>
      </c>
      <c r="D90" s="3" t="s">
        <v>647</v>
      </c>
      <c r="E90" s="2" t="s">
        <v>15</v>
      </c>
      <c r="F90" s="1" t="s">
        <v>237</v>
      </c>
    </row>
    <row r="91" spans="1:6" ht="57.6" x14ac:dyDescent="0.3">
      <c r="A91">
        <v>3</v>
      </c>
      <c r="B91" s="2" t="s">
        <v>696</v>
      </c>
      <c r="C91" s="4" t="s">
        <v>689</v>
      </c>
      <c r="D91" s="3" t="s">
        <v>647</v>
      </c>
      <c r="E91" s="2" t="s">
        <v>15</v>
      </c>
      <c r="F91" s="1" t="s">
        <v>238</v>
      </c>
    </row>
    <row r="92" spans="1:6" ht="57.6" x14ac:dyDescent="0.3">
      <c r="A92">
        <v>3</v>
      </c>
      <c r="B92" s="2" t="s">
        <v>696</v>
      </c>
      <c r="C92" s="4" t="s">
        <v>689</v>
      </c>
      <c r="D92" s="3" t="s">
        <v>647</v>
      </c>
      <c r="E92" s="2" t="s">
        <v>15</v>
      </c>
      <c r="F92" s="1" t="s">
        <v>183</v>
      </c>
    </row>
    <row r="93" spans="1:6" ht="57.6" x14ac:dyDescent="0.3">
      <c r="A93">
        <v>3</v>
      </c>
      <c r="B93" s="2" t="s">
        <v>696</v>
      </c>
      <c r="C93" s="4" t="s">
        <v>689</v>
      </c>
      <c r="D93" s="3" t="s">
        <v>648</v>
      </c>
      <c r="E93" s="2" t="s">
        <v>16</v>
      </c>
      <c r="F93" s="1" t="s">
        <v>239</v>
      </c>
    </row>
    <row r="94" spans="1:6" ht="57.6" x14ac:dyDescent="0.3">
      <c r="A94">
        <v>3</v>
      </c>
      <c r="B94" s="2" t="s">
        <v>696</v>
      </c>
      <c r="C94" s="4" t="s">
        <v>689</v>
      </c>
      <c r="D94" s="3" t="s">
        <v>648</v>
      </c>
      <c r="E94" s="2" t="s">
        <v>16</v>
      </c>
      <c r="F94" s="1" t="s">
        <v>240</v>
      </c>
    </row>
    <row r="95" spans="1:6" ht="57.6" x14ac:dyDescent="0.3">
      <c r="A95">
        <v>3</v>
      </c>
      <c r="B95" s="2" t="s">
        <v>696</v>
      </c>
      <c r="C95" s="4" t="s">
        <v>689</v>
      </c>
      <c r="D95" s="3" t="s">
        <v>648</v>
      </c>
      <c r="E95" s="2" t="s">
        <v>16</v>
      </c>
      <c r="F95" s="1" t="s">
        <v>241</v>
      </c>
    </row>
    <row r="96" spans="1:6" ht="57.6" x14ac:dyDescent="0.3">
      <c r="A96">
        <v>3</v>
      </c>
      <c r="B96" s="2" t="s">
        <v>696</v>
      </c>
      <c r="C96" s="4" t="s">
        <v>689</v>
      </c>
      <c r="D96" s="3" t="s">
        <v>648</v>
      </c>
      <c r="E96" s="2" t="s">
        <v>16</v>
      </c>
      <c r="F96" s="1" t="s">
        <v>166</v>
      </c>
    </row>
    <row r="97" spans="1:6" ht="57.6" x14ac:dyDescent="0.3">
      <c r="A97">
        <v>3</v>
      </c>
      <c r="B97" s="2" t="s">
        <v>696</v>
      </c>
      <c r="C97" s="4" t="s">
        <v>689</v>
      </c>
      <c r="D97" s="3" t="s">
        <v>648</v>
      </c>
      <c r="E97" s="2" t="s">
        <v>16</v>
      </c>
      <c r="F97" s="1" t="s">
        <v>242</v>
      </c>
    </row>
    <row r="98" spans="1:6" ht="57.6" x14ac:dyDescent="0.3">
      <c r="A98">
        <v>3</v>
      </c>
      <c r="B98" s="2" t="s">
        <v>696</v>
      </c>
      <c r="C98" s="4" t="s">
        <v>689</v>
      </c>
      <c r="D98" s="3" t="s">
        <v>648</v>
      </c>
      <c r="E98" s="2" t="s">
        <v>16</v>
      </c>
      <c r="F98" s="1" t="s">
        <v>243</v>
      </c>
    </row>
    <row r="99" spans="1:6" ht="57.6" x14ac:dyDescent="0.3">
      <c r="A99">
        <v>3</v>
      </c>
      <c r="B99" s="2" t="s">
        <v>696</v>
      </c>
      <c r="C99" s="4" t="s">
        <v>689</v>
      </c>
      <c r="D99" s="3" t="s">
        <v>648</v>
      </c>
      <c r="E99" s="2" t="s">
        <v>16</v>
      </c>
      <c r="F99" s="1" t="s">
        <v>244</v>
      </c>
    </row>
    <row r="100" spans="1:6" ht="57.6" x14ac:dyDescent="0.3">
      <c r="A100">
        <v>3</v>
      </c>
      <c r="B100" s="2" t="s">
        <v>696</v>
      </c>
      <c r="C100" s="4" t="s">
        <v>689</v>
      </c>
      <c r="D100" s="3" t="s">
        <v>649</v>
      </c>
      <c r="E100" s="2" t="s">
        <v>17</v>
      </c>
      <c r="F100" s="1" t="s">
        <v>245</v>
      </c>
    </row>
    <row r="101" spans="1:6" ht="57.6" x14ac:dyDescent="0.3">
      <c r="A101">
        <v>3</v>
      </c>
      <c r="B101" s="2" t="s">
        <v>696</v>
      </c>
      <c r="C101" s="4" t="s">
        <v>689</v>
      </c>
      <c r="D101" s="3" t="s">
        <v>649</v>
      </c>
      <c r="E101" s="2" t="s">
        <v>17</v>
      </c>
      <c r="F101" s="1" t="s">
        <v>246</v>
      </c>
    </row>
    <row r="102" spans="1:6" ht="57.6" x14ac:dyDescent="0.3">
      <c r="A102">
        <v>3</v>
      </c>
      <c r="B102" s="2" t="s">
        <v>696</v>
      </c>
      <c r="C102" s="4" t="s">
        <v>690</v>
      </c>
      <c r="D102" s="3" t="s">
        <v>650</v>
      </c>
      <c r="E102" s="2" t="s">
        <v>18</v>
      </c>
      <c r="F102" s="1" t="s">
        <v>247</v>
      </c>
    </row>
    <row r="103" spans="1:6" ht="57.6" x14ac:dyDescent="0.3">
      <c r="A103">
        <v>3</v>
      </c>
      <c r="B103" s="2" t="s">
        <v>696</v>
      </c>
      <c r="C103" s="4" t="s">
        <v>690</v>
      </c>
      <c r="D103" s="3" t="s">
        <v>650</v>
      </c>
      <c r="E103" s="2" t="s">
        <v>19</v>
      </c>
      <c r="F103" s="1" t="s">
        <v>248</v>
      </c>
    </row>
    <row r="104" spans="1:6" ht="57.6" x14ac:dyDescent="0.3">
      <c r="A104">
        <v>3</v>
      </c>
      <c r="B104" s="2" t="s">
        <v>696</v>
      </c>
      <c r="C104" s="4" t="s">
        <v>690</v>
      </c>
      <c r="D104" s="3" t="s">
        <v>650</v>
      </c>
      <c r="E104" s="2" t="s">
        <v>20</v>
      </c>
      <c r="F104" s="1" t="s">
        <v>249</v>
      </c>
    </row>
    <row r="105" spans="1:6" ht="57.6" x14ac:dyDescent="0.3">
      <c r="A105">
        <v>3</v>
      </c>
      <c r="B105" s="2" t="s">
        <v>696</v>
      </c>
      <c r="C105" s="4" t="s">
        <v>690</v>
      </c>
      <c r="D105" s="3" t="s">
        <v>650</v>
      </c>
      <c r="E105" s="2" t="s">
        <v>21</v>
      </c>
      <c r="F105" s="1" t="s">
        <v>250</v>
      </c>
    </row>
    <row r="106" spans="1:6" ht="57.6" x14ac:dyDescent="0.3">
      <c r="A106">
        <v>3</v>
      </c>
      <c r="B106" s="2" t="s">
        <v>696</v>
      </c>
      <c r="C106" s="4" t="s">
        <v>690</v>
      </c>
      <c r="D106" s="3" t="s">
        <v>650</v>
      </c>
      <c r="E106" s="2" t="s">
        <v>22</v>
      </c>
      <c r="F106" s="1" t="s">
        <v>251</v>
      </c>
    </row>
    <row r="107" spans="1:6" ht="57.6" x14ac:dyDescent="0.3">
      <c r="A107">
        <v>3</v>
      </c>
      <c r="B107" s="2" t="s">
        <v>696</v>
      </c>
      <c r="C107" s="4" t="s">
        <v>690</v>
      </c>
      <c r="D107" s="3" t="s">
        <v>650</v>
      </c>
      <c r="E107" s="2" t="s">
        <v>22</v>
      </c>
      <c r="F107" s="1" t="s">
        <v>252</v>
      </c>
    </row>
    <row r="108" spans="1:6" ht="57.6" x14ac:dyDescent="0.3">
      <c r="A108">
        <v>3</v>
      </c>
      <c r="B108" s="2" t="s">
        <v>696</v>
      </c>
      <c r="C108" s="4" t="s">
        <v>690</v>
      </c>
      <c r="D108" s="3" t="s">
        <v>651</v>
      </c>
      <c r="E108" s="2" t="s">
        <v>23</v>
      </c>
      <c r="F108" s="1" t="s">
        <v>253</v>
      </c>
    </row>
    <row r="109" spans="1:6" ht="57.6" x14ac:dyDescent="0.3">
      <c r="A109">
        <v>3</v>
      </c>
      <c r="B109" s="2" t="s">
        <v>696</v>
      </c>
      <c r="C109" s="4" t="s">
        <v>690</v>
      </c>
      <c r="D109" s="3" t="s">
        <v>651</v>
      </c>
      <c r="E109" s="2" t="s">
        <v>23</v>
      </c>
      <c r="F109" s="1" t="s">
        <v>214</v>
      </c>
    </row>
    <row r="110" spans="1:6" ht="57.6" x14ac:dyDescent="0.3">
      <c r="A110">
        <v>3</v>
      </c>
      <c r="B110" s="2" t="s">
        <v>696</v>
      </c>
      <c r="C110" s="4" t="s">
        <v>690</v>
      </c>
      <c r="D110" s="3" t="s">
        <v>651</v>
      </c>
      <c r="E110" s="2" t="s">
        <v>23</v>
      </c>
      <c r="F110" s="1" t="s">
        <v>254</v>
      </c>
    </row>
    <row r="111" spans="1:6" ht="57.6" x14ac:dyDescent="0.3">
      <c r="A111">
        <v>3</v>
      </c>
      <c r="B111" s="2" t="s">
        <v>696</v>
      </c>
      <c r="C111" s="4" t="s">
        <v>690</v>
      </c>
      <c r="D111" s="3" t="s">
        <v>651</v>
      </c>
      <c r="E111" s="2" t="s">
        <v>23</v>
      </c>
      <c r="F111" s="1" t="s">
        <v>255</v>
      </c>
    </row>
    <row r="112" spans="1:6" ht="57.6" x14ac:dyDescent="0.3">
      <c r="A112">
        <v>3</v>
      </c>
      <c r="B112" s="2" t="s">
        <v>696</v>
      </c>
      <c r="C112" s="4" t="s">
        <v>690</v>
      </c>
      <c r="D112" s="3" t="s">
        <v>651</v>
      </c>
      <c r="E112" s="2" t="s">
        <v>23</v>
      </c>
      <c r="F112" s="1" t="s">
        <v>256</v>
      </c>
    </row>
    <row r="113" spans="1:6" ht="57.6" x14ac:dyDescent="0.3">
      <c r="A113">
        <v>3</v>
      </c>
      <c r="B113" s="2" t="s">
        <v>696</v>
      </c>
      <c r="C113" s="4" t="s">
        <v>690</v>
      </c>
      <c r="D113" s="3" t="s">
        <v>651</v>
      </c>
      <c r="E113" s="2" t="s">
        <v>23</v>
      </c>
      <c r="F113" s="1" t="s">
        <v>257</v>
      </c>
    </row>
    <row r="114" spans="1:6" ht="57.6" x14ac:dyDescent="0.3">
      <c r="A114">
        <v>3</v>
      </c>
      <c r="B114" s="2" t="s">
        <v>696</v>
      </c>
      <c r="C114" s="4" t="s">
        <v>690</v>
      </c>
      <c r="D114" s="3" t="s">
        <v>651</v>
      </c>
      <c r="E114" s="2" t="s">
        <v>23</v>
      </c>
      <c r="F114" s="1" t="s">
        <v>258</v>
      </c>
    </row>
    <row r="115" spans="1:6" ht="57.6" x14ac:dyDescent="0.3">
      <c r="A115">
        <v>3</v>
      </c>
      <c r="B115" s="2" t="s">
        <v>696</v>
      </c>
      <c r="C115" s="4" t="s">
        <v>690</v>
      </c>
      <c r="D115" s="3" t="s">
        <v>651</v>
      </c>
      <c r="E115" s="2" t="s">
        <v>23</v>
      </c>
      <c r="F115" s="1" t="s">
        <v>259</v>
      </c>
    </row>
    <row r="116" spans="1:6" ht="57.6" x14ac:dyDescent="0.3">
      <c r="A116">
        <v>3</v>
      </c>
      <c r="B116" s="2" t="s">
        <v>696</v>
      </c>
      <c r="C116" s="4" t="s">
        <v>690</v>
      </c>
      <c r="D116" s="3" t="s">
        <v>651</v>
      </c>
      <c r="E116" s="2" t="s">
        <v>23</v>
      </c>
      <c r="F116" s="1" t="s">
        <v>260</v>
      </c>
    </row>
    <row r="117" spans="1:6" ht="57.6" x14ac:dyDescent="0.3">
      <c r="A117">
        <v>3</v>
      </c>
      <c r="B117" s="2" t="s">
        <v>696</v>
      </c>
      <c r="C117" s="4" t="s">
        <v>690</v>
      </c>
      <c r="D117" s="3" t="s">
        <v>651</v>
      </c>
      <c r="E117" s="2" t="s">
        <v>23</v>
      </c>
      <c r="F117" s="1" t="s">
        <v>261</v>
      </c>
    </row>
    <row r="118" spans="1:6" ht="57.6" x14ac:dyDescent="0.3">
      <c r="A118">
        <v>3</v>
      </c>
      <c r="B118" s="2" t="s">
        <v>696</v>
      </c>
      <c r="C118" s="4" t="s">
        <v>690</v>
      </c>
      <c r="D118" s="3" t="s">
        <v>652</v>
      </c>
      <c r="E118" s="2" t="s">
        <v>24</v>
      </c>
      <c r="F118" s="1" t="s">
        <v>262</v>
      </c>
    </row>
    <row r="119" spans="1:6" ht="57.6" x14ac:dyDescent="0.3">
      <c r="A119">
        <v>3</v>
      </c>
      <c r="B119" s="2" t="s">
        <v>696</v>
      </c>
      <c r="C119" s="4" t="s">
        <v>690</v>
      </c>
      <c r="D119" s="3" t="s">
        <v>652</v>
      </c>
      <c r="E119" s="2" t="s">
        <v>24</v>
      </c>
      <c r="F119" s="1" t="s">
        <v>263</v>
      </c>
    </row>
    <row r="120" spans="1:6" ht="57.6" x14ac:dyDescent="0.3">
      <c r="A120">
        <v>3</v>
      </c>
      <c r="B120" s="2" t="s">
        <v>696</v>
      </c>
      <c r="C120" s="4" t="s">
        <v>690</v>
      </c>
      <c r="D120" s="3" t="s">
        <v>652</v>
      </c>
      <c r="E120" s="2" t="s">
        <v>24</v>
      </c>
      <c r="F120" s="1" t="s">
        <v>264</v>
      </c>
    </row>
    <row r="121" spans="1:6" ht="57.6" x14ac:dyDescent="0.3">
      <c r="A121">
        <v>3</v>
      </c>
      <c r="B121" s="2" t="s">
        <v>696</v>
      </c>
      <c r="C121" s="4" t="s">
        <v>690</v>
      </c>
      <c r="D121" s="3" t="s">
        <v>652</v>
      </c>
      <c r="E121" s="2" t="s">
        <v>24</v>
      </c>
      <c r="F121" s="1" t="s">
        <v>177</v>
      </c>
    </row>
    <row r="122" spans="1:6" ht="57.6" x14ac:dyDescent="0.3">
      <c r="A122">
        <v>3</v>
      </c>
      <c r="B122" s="2" t="s">
        <v>696</v>
      </c>
      <c r="C122" s="4" t="s">
        <v>690</v>
      </c>
      <c r="D122" s="3" t="s">
        <v>652</v>
      </c>
      <c r="E122" s="2" t="s">
        <v>24</v>
      </c>
      <c r="F122" s="1" t="s">
        <v>265</v>
      </c>
    </row>
    <row r="123" spans="1:6" ht="57.6" x14ac:dyDescent="0.3">
      <c r="A123">
        <v>3</v>
      </c>
      <c r="B123" s="2" t="s">
        <v>696</v>
      </c>
      <c r="C123" s="4" t="s">
        <v>690</v>
      </c>
      <c r="D123" s="3" t="s">
        <v>652</v>
      </c>
      <c r="E123" s="2" t="s">
        <v>24</v>
      </c>
      <c r="F123" s="1" t="s">
        <v>266</v>
      </c>
    </row>
    <row r="124" spans="1:6" ht="57.6" x14ac:dyDescent="0.3">
      <c r="A124">
        <v>3</v>
      </c>
      <c r="B124" s="2" t="s">
        <v>696</v>
      </c>
      <c r="C124" s="4" t="s">
        <v>690</v>
      </c>
      <c r="D124" s="3" t="s">
        <v>652</v>
      </c>
      <c r="E124" s="2" t="s">
        <v>25</v>
      </c>
      <c r="F124" s="1" t="s">
        <v>251</v>
      </c>
    </row>
    <row r="125" spans="1:6" ht="57.6" x14ac:dyDescent="0.3">
      <c r="A125">
        <v>3</v>
      </c>
      <c r="B125" s="2" t="s">
        <v>696</v>
      </c>
      <c r="C125" s="4" t="s">
        <v>690</v>
      </c>
      <c r="D125" s="3" t="s">
        <v>652</v>
      </c>
      <c r="E125" s="2" t="s">
        <v>25</v>
      </c>
      <c r="F125" s="1" t="s">
        <v>252</v>
      </c>
    </row>
    <row r="126" spans="1:6" ht="57.6" x14ac:dyDescent="0.3">
      <c r="A126">
        <v>3</v>
      </c>
      <c r="B126" s="2" t="s">
        <v>696</v>
      </c>
      <c r="C126" s="4" t="s">
        <v>690</v>
      </c>
      <c r="D126" s="3" t="s">
        <v>653</v>
      </c>
      <c r="E126" s="2" t="s">
        <v>26</v>
      </c>
      <c r="F126" s="1" t="s">
        <v>267</v>
      </c>
    </row>
    <row r="127" spans="1:6" ht="57.6" x14ac:dyDescent="0.3">
      <c r="A127">
        <v>3</v>
      </c>
      <c r="B127" s="2" t="s">
        <v>696</v>
      </c>
      <c r="C127" s="4" t="s">
        <v>690</v>
      </c>
      <c r="D127" s="3" t="s">
        <v>653</v>
      </c>
      <c r="E127" s="2" t="s">
        <v>26</v>
      </c>
      <c r="F127" s="1" t="s">
        <v>268</v>
      </c>
    </row>
    <row r="128" spans="1:6" ht="57.6" x14ac:dyDescent="0.3">
      <c r="A128">
        <v>3</v>
      </c>
      <c r="B128" s="2" t="s">
        <v>696</v>
      </c>
      <c r="C128" s="4" t="s">
        <v>690</v>
      </c>
      <c r="D128" s="3" t="s">
        <v>653</v>
      </c>
      <c r="E128" s="2" t="s">
        <v>26</v>
      </c>
      <c r="F128" s="1" t="s">
        <v>269</v>
      </c>
    </row>
    <row r="129" spans="1:6" ht="57.6" x14ac:dyDescent="0.3">
      <c r="A129">
        <v>3</v>
      </c>
      <c r="B129" s="2" t="s">
        <v>696</v>
      </c>
      <c r="C129" s="4" t="s">
        <v>690</v>
      </c>
      <c r="D129" s="3" t="s">
        <v>653</v>
      </c>
      <c r="E129" s="2" t="s">
        <v>26</v>
      </c>
      <c r="F129" s="1" t="s">
        <v>270</v>
      </c>
    </row>
    <row r="130" spans="1:6" ht="57.6" x14ac:dyDescent="0.3">
      <c r="A130">
        <v>3</v>
      </c>
      <c r="B130" s="2" t="s">
        <v>696</v>
      </c>
      <c r="C130" s="4" t="s">
        <v>690</v>
      </c>
      <c r="D130" s="3" t="s">
        <v>653</v>
      </c>
      <c r="E130" s="2" t="s">
        <v>26</v>
      </c>
      <c r="F130" s="1" t="s">
        <v>271</v>
      </c>
    </row>
    <row r="131" spans="1:6" ht="57.6" x14ac:dyDescent="0.3">
      <c r="A131">
        <v>3</v>
      </c>
      <c r="B131" s="2" t="s">
        <v>696</v>
      </c>
      <c r="C131" s="4" t="s">
        <v>690</v>
      </c>
      <c r="D131" s="3" t="s">
        <v>653</v>
      </c>
      <c r="E131" s="2" t="s">
        <v>26</v>
      </c>
      <c r="F131" s="1" t="s">
        <v>272</v>
      </c>
    </row>
    <row r="132" spans="1:6" ht="57.6" x14ac:dyDescent="0.3">
      <c r="A132">
        <v>3</v>
      </c>
      <c r="B132" s="2" t="s">
        <v>696</v>
      </c>
      <c r="C132" s="4" t="s">
        <v>690</v>
      </c>
      <c r="D132" s="3" t="s">
        <v>653</v>
      </c>
      <c r="E132" s="2" t="s">
        <v>26</v>
      </c>
      <c r="F132" s="1" t="s">
        <v>273</v>
      </c>
    </row>
    <row r="133" spans="1:6" ht="57.6" x14ac:dyDescent="0.3">
      <c r="A133">
        <v>3</v>
      </c>
      <c r="B133" s="2" t="s">
        <v>696</v>
      </c>
      <c r="C133" s="4" t="s">
        <v>690</v>
      </c>
      <c r="D133" s="3" t="s">
        <v>653</v>
      </c>
      <c r="E133" s="2" t="s">
        <v>26</v>
      </c>
      <c r="F133" s="1" t="s">
        <v>274</v>
      </c>
    </row>
    <row r="134" spans="1:6" ht="57.6" x14ac:dyDescent="0.3">
      <c r="A134">
        <v>3</v>
      </c>
      <c r="B134" s="2" t="s">
        <v>696</v>
      </c>
      <c r="C134" s="4" t="s">
        <v>690</v>
      </c>
      <c r="D134" s="3" t="s">
        <v>653</v>
      </c>
      <c r="E134" s="2" t="s">
        <v>26</v>
      </c>
      <c r="F134" s="1" t="s">
        <v>275</v>
      </c>
    </row>
    <row r="135" spans="1:6" ht="57.6" x14ac:dyDescent="0.3">
      <c r="A135">
        <v>3</v>
      </c>
      <c r="B135" s="2" t="s">
        <v>696</v>
      </c>
      <c r="C135" s="4" t="s">
        <v>690</v>
      </c>
      <c r="D135" s="3" t="s">
        <v>653</v>
      </c>
      <c r="E135" s="2" t="s">
        <v>26</v>
      </c>
      <c r="F135" s="1" t="s">
        <v>276</v>
      </c>
    </row>
    <row r="136" spans="1:6" ht="57.6" x14ac:dyDescent="0.3">
      <c r="A136">
        <v>3</v>
      </c>
      <c r="B136" s="2" t="s">
        <v>696</v>
      </c>
      <c r="C136" s="4" t="s">
        <v>690</v>
      </c>
      <c r="D136" s="3" t="s">
        <v>653</v>
      </c>
      <c r="E136" s="2" t="s">
        <v>26</v>
      </c>
      <c r="F136" s="1" t="s">
        <v>277</v>
      </c>
    </row>
    <row r="137" spans="1:6" ht="57.6" x14ac:dyDescent="0.3">
      <c r="A137">
        <v>3</v>
      </c>
      <c r="B137" s="2" t="s">
        <v>696</v>
      </c>
      <c r="C137" s="4" t="s">
        <v>690</v>
      </c>
      <c r="D137" s="3" t="s">
        <v>654</v>
      </c>
      <c r="E137" s="2" t="s">
        <v>27</v>
      </c>
      <c r="F137" s="1" t="s">
        <v>278</v>
      </c>
    </row>
    <row r="138" spans="1:6" ht="57.6" x14ac:dyDescent="0.3">
      <c r="A138">
        <v>3</v>
      </c>
      <c r="B138" s="2" t="s">
        <v>696</v>
      </c>
      <c r="C138" s="4" t="s">
        <v>690</v>
      </c>
      <c r="D138" s="3" t="s">
        <v>654</v>
      </c>
      <c r="E138" s="2" t="s">
        <v>27</v>
      </c>
      <c r="F138" s="1" t="s">
        <v>279</v>
      </c>
    </row>
    <row r="139" spans="1:6" ht="57.6" x14ac:dyDescent="0.3">
      <c r="A139">
        <v>3</v>
      </c>
      <c r="B139" s="2" t="s">
        <v>696</v>
      </c>
      <c r="C139" s="4" t="s">
        <v>690</v>
      </c>
      <c r="D139" s="3" t="s">
        <v>654</v>
      </c>
      <c r="E139" s="2" t="s">
        <v>27</v>
      </c>
      <c r="F139" s="1" t="s">
        <v>179</v>
      </c>
    </row>
    <row r="140" spans="1:6" ht="57.6" x14ac:dyDescent="0.3">
      <c r="A140">
        <v>3</v>
      </c>
      <c r="B140" s="2" t="s">
        <v>696</v>
      </c>
      <c r="C140" s="4" t="s">
        <v>690</v>
      </c>
      <c r="D140" s="3" t="s">
        <v>654</v>
      </c>
      <c r="E140" s="2" t="s">
        <v>27</v>
      </c>
      <c r="F140" s="1" t="s">
        <v>159</v>
      </c>
    </row>
    <row r="141" spans="1:6" ht="57.6" x14ac:dyDescent="0.3">
      <c r="A141">
        <v>3</v>
      </c>
      <c r="B141" s="2" t="s">
        <v>696</v>
      </c>
      <c r="C141" s="4" t="s">
        <v>690</v>
      </c>
      <c r="D141" s="3" t="s">
        <v>654</v>
      </c>
      <c r="E141" s="2" t="s">
        <v>27</v>
      </c>
      <c r="F141" s="1" t="s">
        <v>153</v>
      </c>
    </row>
    <row r="142" spans="1:6" ht="57.6" x14ac:dyDescent="0.3">
      <c r="A142">
        <v>3</v>
      </c>
      <c r="B142" s="2" t="s">
        <v>696</v>
      </c>
      <c r="C142" s="4" t="s">
        <v>690</v>
      </c>
      <c r="D142" s="3" t="s">
        <v>654</v>
      </c>
      <c r="E142" s="2" t="s">
        <v>27</v>
      </c>
      <c r="F142" s="1" t="s">
        <v>280</v>
      </c>
    </row>
    <row r="143" spans="1:6" ht="57.6" x14ac:dyDescent="0.3">
      <c r="A143">
        <v>3</v>
      </c>
      <c r="B143" s="2" t="s">
        <v>696</v>
      </c>
      <c r="C143" s="4" t="s">
        <v>690</v>
      </c>
      <c r="D143" s="3" t="s">
        <v>654</v>
      </c>
      <c r="E143" s="2" t="s">
        <v>27</v>
      </c>
      <c r="F143" s="1" t="s">
        <v>171</v>
      </c>
    </row>
    <row r="144" spans="1:6" ht="57.6" x14ac:dyDescent="0.3">
      <c r="A144">
        <v>3</v>
      </c>
      <c r="B144" s="2" t="s">
        <v>696</v>
      </c>
      <c r="C144" s="4" t="s">
        <v>690</v>
      </c>
      <c r="D144" s="3" t="s">
        <v>654</v>
      </c>
      <c r="E144" s="2" t="s">
        <v>27</v>
      </c>
      <c r="F144" s="1" t="s">
        <v>281</v>
      </c>
    </row>
    <row r="145" spans="1:6" ht="57.6" x14ac:dyDescent="0.3">
      <c r="A145">
        <v>3</v>
      </c>
      <c r="B145" s="2" t="s">
        <v>696</v>
      </c>
      <c r="C145" s="4" t="s">
        <v>690</v>
      </c>
      <c r="D145" s="3" t="s">
        <v>654</v>
      </c>
      <c r="E145" s="2" t="s">
        <v>27</v>
      </c>
      <c r="F145" s="1" t="s">
        <v>282</v>
      </c>
    </row>
    <row r="146" spans="1:6" ht="57.6" x14ac:dyDescent="0.3">
      <c r="A146">
        <v>3</v>
      </c>
      <c r="B146" s="2" t="s">
        <v>696</v>
      </c>
      <c r="C146" s="4" t="s">
        <v>690</v>
      </c>
      <c r="D146" s="3" t="s">
        <v>655</v>
      </c>
      <c r="E146" s="2" t="s">
        <v>28</v>
      </c>
      <c r="F146" s="1" t="s">
        <v>283</v>
      </c>
    </row>
    <row r="147" spans="1:6" ht="57.6" x14ac:dyDescent="0.3">
      <c r="A147">
        <v>3</v>
      </c>
      <c r="B147" s="2" t="s">
        <v>696</v>
      </c>
      <c r="C147" s="4" t="s">
        <v>690</v>
      </c>
      <c r="D147" s="3" t="s">
        <v>655</v>
      </c>
      <c r="E147" s="2" t="s">
        <v>28</v>
      </c>
      <c r="F147" s="1" t="s">
        <v>284</v>
      </c>
    </row>
    <row r="148" spans="1:6" ht="57.6" x14ac:dyDescent="0.3">
      <c r="A148">
        <v>3</v>
      </c>
      <c r="B148" s="2" t="s">
        <v>696</v>
      </c>
      <c r="C148" s="4" t="s">
        <v>690</v>
      </c>
      <c r="D148" s="3" t="s">
        <v>655</v>
      </c>
      <c r="E148" s="2" t="s">
        <v>28</v>
      </c>
      <c r="F148" s="1" t="s">
        <v>285</v>
      </c>
    </row>
    <row r="149" spans="1:6" ht="57.6" x14ac:dyDescent="0.3">
      <c r="A149">
        <v>3</v>
      </c>
      <c r="B149" s="2" t="s">
        <v>696</v>
      </c>
      <c r="C149" s="4" t="s">
        <v>690</v>
      </c>
      <c r="D149" s="3" t="s">
        <v>655</v>
      </c>
      <c r="E149" s="2" t="s">
        <v>29</v>
      </c>
      <c r="F149" s="1" t="s">
        <v>286</v>
      </c>
    </row>
    <row r="150" spans="1:6" ht="57.6" x14ac:dyDescent="0.3">
      <c r="A150">
        <v>3</v>
      </c>
      <c r="B150" s="2" t="s">
        <v>696</v>
      </c>
      <c r="C150" s="4" t="s">
        <v>690</v>
      </c>
      <c r="D150" s="3" t="s">
        <v>655</v>
      </c>
      <c r="E150" s="2" t="s">
        <v>30</v>
      </c>
      <c r="F150" s="1" t="s">
        <v>287</v>
      </c>
    </row>
    <row r="151" spans="1:6" ht="57.6" x14ac:dyDescent="0.3">
      <c r="A151">
        <v>3</v>
      </c>
      <c r="B151" s="2" t="s">
        <v>696</v>
      </c>
      <c r="C151" s="4" t="s">
        <v>690</v>
      </c>
      <c r="D151" s="3" t="s">
        <v>655</v>
      </c>
      <c r="E151" s="2" t="s">
        <v>30</v>
      </c>
      <c r="F151" s="1" t="s">
        <v>288</v>
      </c>
    </row>
    <row r="152" spans="1:6" ht="57.6" x14ac:dyDescent="0.3">
      <c r="A152">
        <v>3</v>
      </c>
      <c r="B152" s="2" t="s">
        <v>696</v>
      </c>
      <c r="C152" s="4" t="s">
        <v>690</v>
      </c>
      <c r="D152" s="3" t="s">
        <v>655</v>
      </c>
      <c r="E152" s="2" t="s">
        <v>30</v>
      </c>
      <c r="F152" s="1" t="s">
        <v>289</v>
      </c>
    </row>
    <row r="153" spans="1:6" ht="57.6" x14ac:dyDescent="0.3">
      <c r="A153">
        <v>3</v>
      </c>
      <c r="B153" s="2" t="s">
        <v>696</v>
      </c>
      <c r="C153" s="4" t="s">
        <v>690</v>
      </c>
      <c r="D153" s="3" t="s">
        <v>656</v>
      </c>
      <c r="E153" s="2" t="s">
        <v>31</v>
      </c>
      <c r="F153" s="1" t="s">
        <v>290</v>
      </c>
    </row>
    <row r="154" spans="1:6" ht="57.6" x14ac:dyDescent="0.3">
      <c r="A154">
        <v>3</v>
      </c>
      <c r="B154" s="2" t="s">
        <v>696</v>
      </c>
      <c r="C154" s="4" t="s">
        <v>690</v>
      </c>
      <c r="D154" s="3" t="s">
        <v>656</v>
      </c>
      <c r="E154" s="2" t="s">
        <v>31</v>
      </c>
      <c r="F154" s="1" t="s">
        <v>291</v>
      </c>
    </row>
    <row r="155" spans="1:6" ht="57.6" x14ac:dyDescent="0.3">
      <c r="A155">
        <v>3</v>
      </c>
      <c r="B155" s="2" t="s">
        <v>696</v>
      </c>
      <c r="C155" s="4" t="s">
        <v>690</v>
      </c>
      <c r="D155" s="3" t="s">
        <v>656</v>
      </c>
      <c r="E155" s="2" t="s">
        <v>31</v>
      </c>
      <c r="F155" s="1" t="s">
        <v>292</v>
      </c>
    </row>
    <row r="156" spans="1:6" ht="57.6" x14ac:dyDescent="0.3">
      <c r="A156">
        <v>3</v>
      </c>
      <c r="B156" s="2" t="s">
        <v>696</v>
      </c>
      <c r="C156" s="4" t="s">
        <v>690</v>
      </c>
      <c r="D156" s="3" t="s">
        <v>656</v>
      </c>
      <c r="E156" s="2" t="s">
        <v>31</v>
      </c>
      <c r="F156" s="1" t="s">
        <v>293</v>
      </c>
    </row>
    <row r="157" spans="1:6" ht="57.6" x14ac:dyDescent="0.3">
      <c r="A157">
        <v>3</v>
      </c>
      <c r="B157" s="2" t="s">
        <v>696</v>
      </c>
      <c r="C157" s="4" t="s">
        <v>690</v>
      </c>
      <c r="D157" s="3" t="s">
        <v>656</v>
      </c>
      <c r="E157" s="2" t="s">
        <v>32</v>
      </c>
      <c r="F157" s="1" t="s">
        <v>294</v>
      </c>
    </row>
    <row r="158" spans="1:6" ht="57.6" x14ac:dyDescent="0.3">
      <c r="A158">
        <v>3</v>
      </c>
      <c r="B158" s="2" t="s">
        <v>696</v>
      </c>
      <c r="C158" s="4" t="s">
        <v>690</v>
      </c>
      <c r="D158" s="3" t="s">
        <v>656</v>
      </c>
      <c r="E158" s="2" t="s">
        <v>32</v>
      </c>
      <c r="F158" s="1" t="s">
        <v>295</v>
      </c>
    </row>
    <row r="159" spans="1:6" ht="57.6" x14ac:dyDescent="0.3">
      <c r="A159">
        <v>3</v>
      </c>
      <c r="B159" s="2" t="s">
        <v>696</v>
      </c>
      <c r="C159" s="4" t="s">
        <v>690</v>
      </c>
      <c r="D159" s="3" t="s">
        <v>656</v>
      </c>
      <c r="E159" s="2" t="s">
        <v>32</v>
      </c>
      <c r="F159" s="1" t="s">
        <v>166</v>
      </c>
    </row>
    <row r="160" spans="1:6" ht="57.6" x14ac:dyDescent="0.3">
      <c r="A160">
        <v>3</v>
      </c>
      <c r="B160" s="2" t="s">
        <v>696</v>
      </c>
      <c r="C160" s="4" t="s">
        <v>690</v>
      </c>
      <c r="D160" s="3" t="s">
        <v>656</v>
      </c>
      <c r="E160" s="2" t="s">
        <v>32</v>
      </c>
      <c r="F160" s="1" t="s">
        <v>296</v>
      </c>
    </row>
    <row r="161" spans="1:6" ht="57.6" x14ac:dyDescent="0.3">
      <c r="A161">
        <v>3</v>
      </c>
      <c r="B161" s="2" t="s">
        <v>696</v>
      </c>
      <c r="C161" s="4" t="s">
        <v>690</v>
      </c>
      <c r="D161" s="3" t="s">
        <v>656</v>
      </c>
      <c r="E161" s="2" t="s">
        <v>33</v>
      </c>
      <c r="F161" s="1" t="s">
        <v>297</v>
      </c>
    </row>
    <row r="162" spans="1:6" ht="57.6" x14ac:dyDescent="0.3">
      <c r="A162">
        <v>3</v>
      </c>
      <c r="B162" s="2" t="s">
        <v>696</v>
      </c>
      <c r="C162" s="4" t="s">
        <v>690</v>
      </c>
      <c r="D162" s="3" t="s">
        <v>656</v>
      </c>
      <c r="E162" s="2" t="s">
        <v>33</v>
      </c>
      <c r="F162" s="1" t="s">
        <v>298</v>
      </c>
    </row>
    <row r="163" spans="1:6" ht="57.6" x14ac:dyDescent="0.3">
      <c r="A163">
        <v>3</v>
      </c>
      <c r="B163" s="2" t="s">
        <v>696</v>
      </c>
      <c r="C163" s="4" t="s">
        <v>690</v>
      </c>
      <c r="D163" s="3" t="s">
        <v>656</v>
      </c>
      <c r="E163" s="2" t="s">
        <v>33</v>
      </c>
      <c r="F163" s="1" t="s">
        <v>149</v>
      </c>
    </row>
    <row r="164" spans="1:6" ht="57.6" x14ac:dyDescent="0.3">
      <c r="A164">
        <v>3</v>
      </c>
      <c r="B164" s="2" t="s">
        <v>696</v>
      </c>
      <c r="C164" s="4" t="s">
        <v>690</v>
      </c>
      <c r="D164" s="3" t="s">
        <v>656</v>
      </c>
      <c r="E164" s="2" t="s">
        <v>33</v>
      </c>
      <c r="F164" s="1" t="s">
        <v>299</v>
      </c>
    </row>
    <row r="165" spans="1:6" ht="57.6" x14ac:dyDescent="0.3">
      <c r="A165">
        <v>3</v>
      </c>
      <c r="B165" s="2" t="s">
        <v>696</v>
      </c>
      <c r="C165" s="4" t="s">
        <v>690</v>
      </c>
      <c r="D165" s="3" t="s">
        <v>656</v>
      </c>
      <c r="E165" s="2" t="s">
        <v>33</v>
      </c>
      <c r="F165" s="1" t="s">
        <v>300</v>
      </c>
    </row>
    <row r="166" spans="1:6" ht="57.6" x14ac:dyDescent="0.3">
      <c r="A166">
        <v>3</v>
      </c>
      <c r="B166" s="2" t="s">
        <v>696</v>
      </c>
      <c r="C166" s="4" t="s">
        <v>690</v>
      </c>
      <c r="D166" s="3" t="s">
        <v>656</v>
      </c>
      <c r="E166" s="2" t="s">
        <v>33</v>
      </c>
      <c r="F166" s="1" t="s">
        <v>301</v>
      </c>
    </row>
    <row r="167" spans="1:6" ht="57.6" x14ac:dyDescent="0.3">
      <c r="A167">
        <v>3</v>
      </c>
      <c r="B167" s="2" t="s">
        <v>696</v>
      </c>
      <c r="C167" s="4" t="s">
        <v>690</v>
      </c>
      <c r="D167" s="3" t="s">
        <v>656</v>
      </c>
      <c r="E167" s="2" t="s">
        <v>33</v>
      </c>
      <c r="F167" s="1" t="s">
        <v>302</v>
      </c>
    </row>
    <row r="168" spans="1:6" ht="57.6" x14ac:dyDescent="0.3">
      <c r="A168">
        <v>3</v>
      </c>
      <c r="B168" s="2" t="s">
        <v>696</v>
      </c>
      <c r="C168" s="4" t="s">
        <v>690</v>
      </c>
      <c r="D168" s="3" t="s">
        <v>656</v>
      </c>
      <c r="E168" s="2" t="s">
        <v>33</v>
      </c>
      <c r="F168" s="1" t="s">
        <v>303</v>
      </c>
    </row>
    <row r="169" spans="1:6" ht="57.6" x14ac:dyDescent="0.3">
      <c r="A169">
        <v>3</v>
      </c>
      <c r="B169" s="2" t="s">
        <v>696</v>
      </c>
      <c r="C169" s="4" t="s">
        <v>691</v>
      </c>
      <c r="D169" s="3" t="s">
        <v>657</v>
      </c>
      <c r="E169" s="2" t="s">
        <v>34</v>
      </c>
      <c r="F169" s="1" t="s">
        <v>304</v>
      </c>
    </row>
    <row r="170" spans="1:6" ht="57.6" x14ac:dyDescent="0.3">
      <c r="A170">
        <v>3</v>
      </c>
      <c r="B170" s="2" t="s">
        <v>696</v>
      </c>
      <c r="C170" s="4" t="s">
        <v>691</v>
      </c>
      <c r="D170" s="3" t="s">
        <v>657</v>
      </c>
      <c r="E170" s="2" t="s">
        <v>34</v>
      </c>
      <c r="F170" s="1" t="s">
        <v>305</v>
      </c>
    </row>
    <row r="171" spans="1:6" ht="57.6" x14ac:dyDescent="0.3">
      <c r="A171">
        <v>3</v>
      </c>
      <c r="B171" s="2" t="s">
        <v>696</v>
      </c>
      <c r="C171" s="4" t="s">
        <v>691</v>
      </c>
      <c r="D171" s="3" t="s">
        <v>657</v>
      </c>
      <c r="E171" s="2" t="s">
        <v>34</v>
      </c>
      <c r="F171" s="1" t="s">
        <v>150</v>
      </c>
    </row>
    <row r="172" spans="1:6" ht="57.6" x14ac:dyDescent="0.3">
      <c r="A172">
        <v>3</v>
      </c>
      <c r="B172" s="2" t="s">
        <v>696</v>
      </c>
      <c r="C172" s="4" t="s">
        <v>691</v>
      </c>
      <c r="D172" s="3" t="s">
        <v>657</v>
      </c>
      <c r="E172" s="2" t="s">
        <v>34</v>
      </c>
      <c r="F172" s="1" t="s">
        <v>198</v>
      </c>
    </row>
    <row r="173" spans="1:6" ht="57.6" x14ac:dyDescent="0.3">
      <c r="A173">
        <v>3</v>
      </c>
      <c r="B173" s="2" t="s">
        <v>696</v>
      </c>
      <c r="C173" s="4" t="s">
        <v>691</v>
      </c>
      <c r="D173" s="3" t="s">
        <v>657</v>
      </c>
      <c r="E173" s="2" t="s">
        <v>34</v>
      </c>
      <c r="F173" s="1" t="s">
        <v>151</v>
      </c>
    </row>
    <row r="174" spans="1:6" ht="57.6" x14ac:dyDescent="0.3">
      <c r="A174">
        <v>3</v>
      </c>
      <c r="B174" s="2" t="s">
        <v>696</v>
      </c>
      <c r="C174" s="4" t="s">
        <v>691</v>
      </c>
      <c r="D174" s="3" t="s">
        <v>657</v>
      </c>
      <c r="E174" s="2" t="s">
        <v>34</v>
      </c>
      <c r="F174" s="1" t="s">
        <v>159</v>
      </c>
    </row>
    <row r="175" spans="1:6" ht="57.6" x14ac:dyDescent="0.3">
      <c r="A175">
        <v>3</v>
      </c>
      <c r="B175" s="2" t="s">
        <v>696</v>
      </c>
      <c r="C175" s="4" t="s">
        <v>691</v>
      </c>
      <c r="D175" s="3" t="s">
        <v>657</v>
      </c>
      <c r="E175" s="2" t="s">
        <v>34</v>
      </c>
      <c r="F175" s="1" t="s">
        <v>153</v>
      </c>
    </row>
    <row r="176" spans="1:6" ht="57.6" x14ac:dyDescent="0.3">
      <c r="A176">
        <v>3</v>
      </c>
      <c r="B176" s="2" t="s">
        <v>696</v>
      </c>
      <c r="C176" s="4" t="s">
        <v>691</v>
      </c>
      <c r="D176" s="3" t="s">
        <v>657</v>
      </c>
      <c r="E176" s="2" t="s">
        <v>34</v>
      </c>
      <c r="F176" s="1" t="s">
        <v>306</v>
      </c>
    </row>
    <row r="177" spans="1:6" ht="57.6" x14ac:dyDescent="0.3">
      <c r="A177">
        <v>3</v>
      </c>
      <c r="B177" s="2" t="s">
        <v>696</v>
      </c>
      <c r="C177" s="4" t="s">
        <v>691</v>
      </c>
      <c r="D177" s="3" t="s">
        <v>657</v>
      </c>
      <c r="E177" s="2" t="s">
        <v>35</v>
      </c>
      <c r="F177" s="1" t="s">
        <v>307</v>
      </c>
    </row>
    <row r="178" spans="1:6" ht="57.6" x14ac:dyDescent="0.3">
      <c r="A178">
        <v>3</v>
      </c>
      <c r="B178" s="2" t="s">
        <v>696</v>
      </c>
      <c r="C178" s="4" t="s">
        <v>691</v>
      </c>
      <c r="D178" s="3" t="s">
        <v>657</v>
      </c>
      <c r="E178" s="2" t="s">
        <v>35</v>
      </c>
      <c r="F178" s="1" t="s">
        <v>308</v>
      </c>
    </row>
    <row r="179" spans="1:6" ht="57.6" x14ac:dyDescent="0.3">
      <c r="A179">
        <v>3</v>
      </c>
      <c r="B179" s="2" t="s">
        <v>696</v>
      </c>
      <c r="C179" s="4" t="s">
        <v>691</v>
      </c>
      <c r="D179" s="3" t="s">
        <v>657</v>
      </c>
      <c r="E179" s="2" t="s">
        <v>35</v>
      </c>
      <c r="F179" s="1" t="s">
        <v>309</v>
      </c>
    </row>
    <row r="180" spans="1:6" ht="57.6" x14ac:dyDescent="0.3">
      <c r="A180">
        <v>3</v>
      </c>
      <c r="B180" s="2" t="s">
        <v>696</v>
      </c>
      <c r="C180" s="4" t="s">
        <v>691</v>
      </c>
      <c r="D180" s="3" t="s">
        <v>657</v>
      </c>
      <c r="E180" s="2" t="s">
        <v>35</v>
      </c>
      <c r="F180" s="1" t="s">
        <v>310</v>
      </c>
    </row>
    <row r="181" spans="1:6" ht="57.6" x14ac:dyDescent="0.3">
      <c r="A181">
        <v>3</v>
      </c>
      <c r="B181" s="2" t="s">
        <v>696</v>
      </c>
      <c r="C181" s="4" t="s">
        <v>691</v>
      </c>
      <c r="D181" s="3" t="s">
        <v>657</v>
      </c>
      <c r="E181" s="2" t="s">
        <v>36</v>
      </c>
      <c r="F181" s="1" t="s">
        <v>311</v>
      </c>
    </row>
    <row r="182" spans="1:6" ht="57.6" x14ac:dyDescent="0.3">
      <c r="A182">
        <v>3</v>
      </c>
      <c r="B182" s="2" t="s">
        <v>696</v>
      </c>
      <c r="C182" s="4" t="s">
        <v>691</v>
      </c>
      <c r="D182" s="3" t="s">
        <v>657</v>
      </c>
      <c r="E182" s="2" t="s">
        <v>36</v>
      </c>
      <c r="F182" s="1" t="s">
        <v>312</v>
      </c>
    </row>
    <row r="183" spans="1:6" ht="57.6" x14ac:dyDescent="0.3">
      <c r="A183">
        <v>3</v>
      </c>
      <c r="B183" s="2" t="s">
        <v>696</v>
      </c>
      <c r="C183" s="4" t="s">
        <v>691</v>
      </c>
      <c r="D183" s="3" t="s">
        <v>657</v>
      </c>
      <c r="E183" s="2" t="s">
        <v>37</v>
      </c>
      <c r="F183" s="1" t="s">
        <v>313</v>
      </c>
    </row>
    <row r="184" spans="1:6" ht="57.6" x14ac:dyDescent="0.3">
      <c r="A184">
        <v>3</v>
      </c>
      <c r="B184" s="2" t="s">
        <v>696</v>
      </c>
      <c r="C184" s="4" t="s">
        <v>691</v>
      </c>
      <c r="D184" s="3" t="s">
        <v>657</v>
      </c>
      <c r="E184" s="2" t="s">
        <v>37</v>
      </c>
      <c r="F184" s="1" t="s">
        <v>314</v>
      </c>
    </row>
    <row r="185" spans="1:6" ht="57.6" x14ac:dyDescent="0.3">
      <c r="A185">
        <v>3</v>
      </c>
      <c r="B185" s="2" t="s">
        <v>696</v>
      </c>
      <c r="C185" s="4" t="s">
        <v>691</v>
      </c>
      <c r="D185" s="3" t="s">
        <v>657</v>
      </c>
      <c r="E185" s="2" t="s">
        <v>37</v>
      </c>
      <c r="F185" s="1" t="s">
        <v>315</v>
      </c>
    </row>
    <row r="186" spans="1:6" ht="57.6" x14ac:dyDescent="0.3">
      <c r="A186">
        <v>3</v>
      </c>
      <c r="B186" s="2" t="s">
        <v>696</v>
      </c>
      <c r="C186" s="4" t="s">
        <v>691</v>
      </c>
      <c r="D186" s="3" t="s">
        <v>657</v>
      </c>
      <c r="E186" s="2" t="s">
        <v>37</v>
      </c>
      <c r="F186" s="1" t="s">
        <v>316</v>
      </c>
    </row>
    <row r="187" spans="1:6" ht="57.6" x14ac:dyDescent="0.3">
      <c r="A187">
        <v>3</v>
      </c>
      <c r="B187" s="2" t="s">
        <v>696</v>
      </c>
      <c r="C187" s="4" t="s">
        <v>691</v>
      </c>
      <c r="D187" s="3" t="s">
        <v>657</v>
      </c>
      <c r="E187" s="2" t="s">
        <v>37</v>
      </c>
      <c r="F187" s="1" t="s">
        <v>317</v>
      </c>
    </row>
    <row r="188" spans="1:6" ht="57.6" x14ac:dyDescent="0.3">
      <c r="A188">
        <v>3</v>
      </c>
      <c r="B188" s="2" t="s">
        <v>696</v>
      </c>
      <c r="C188" s="4" t="s">
        <v>691</v>
      </c>
      <c r="D188" s="3" t="s">
        <v>657</v>
      </c>
      <c r="E188" s="2" t="s">
        <v>37</v>
      </c>
      <c r="F188" s="1" t="s">
        <v>318</v>
      </c>
    </row>
    <row r="189" spans="1:6" ht="57.6" x14ac:dyDescent="0.3">
      <c r="A189">
        <v>3</v>
      </c>
      <c r="B189" s="2" t="s">
        <v>696</v>
      </c>
      <c r="C189" s="4" t="s">
        <v>691</v>
      </c>
      <c r="D189" s="3" t="s">
        <v>657</v>
      </c>
      <c r="E189" s="2" t="s">
        <v>38</v>
      </c>
      <c r="F189" s="1" t="s">
        <v>319</v>
      </c>
    </row>
    <row r="190" spans="1:6" ht="57.6" x14ac:dyDescent="0.3">
      <c r="A190">
        <v>3</v>
      </c>
      <c r="B190" s="2" t="s">
        <v>696</v>
      </c>
      <c r="C190" s="4" t="s">
        <v>691</v>
      </c>
      <c r="D190" s="3" t="s">
        <v>657</v>
      </c>
      <c r="E190" s="2" t="s">
        <v>38</v>
      </c>
      <c r="F190" s="1" t="s">
        <v>320</v>
      </c>
    </row>
    <row r="191" spans="1:6" ht="57.6" x14ac:dyDescent="0.3">
      <c r="A191">
        <v>3</v>
      </c>
      <c r="B191" s="2" t="s">
        <v>696</v>
      </c>
      <c r="C191" s="4" t="s">
        <v>691</v>
      </c>
      <c r="D191" s="3" t="s">
        <v>657</v>
      </c>
      <c r="E191" s="2" t="s">
        <v>38</v>
      </c>
      <c r="F191" s="1" t="s">
        <v>321</v>
      </c>
    </row>
    <row r="192" spans="1:6" ht="57.6" x14ac:dyDescent="0.3">
      <c r="A192">
        <v>3</v>
      </c>
      <c r="B192" s="2" t="s">
        <v>696</v>
      </c>
      <c r="C192" s="4" t="s">
        <v>691</v>
      </c>
      <c r="D192" s="3" t="s">
        <v>657</v>
      </c>
      <c r="E192" s="2" t="s">
        <v>38</v>
      </c>
      <c r="F192" s="1" t="s">
        <v>322</v>
      </c>
    </row>
    <row r="193" spans="1:6" ht="57.6" x14ac:dyDescent="0.3">
      <c r="A193">
        <v>3</v>
      </c>
      <c r="B193" s="2" t="s">
        <v>696</v>
      </c>
      <c r="C193" s="4" t="s">
        <v>691</v>
      </c>
      <c r="D193" s="3" t="s">
        <v>657</v>
      </c>
      <c r="E193" s="2" t="s">
        <v>39</v>
      </c>
      <c r="F193" s="1" t="s">
        <v>149</v>
      </c>
    </row>
    <row r="194" spans="1:6" ht="57.6" x14ac:dyDescent="0.3">
      <c r="A194">
        <v>3</v>
      </c>
      <c r="B194" s="2" t="s">
        <v>696</v>
      </c>
      <c r="C194" s="4" t="s">
        <v>691</v>
      </c>
      <c r="D194" s="3" t="s">
        <v>657</v>
      </c>
      <c r="E194" s="2" t="s">
        <v>39</v>
      </c>
      <c r="F194" s="1" t="s">
        <v>323</v>
      </c>
    </row>
    <row r="195" spans="1:6" ht="57.6" x14ac:dyDescent="0.3">
      <c r="A195">
        <v>3</v>
      </c>
      <c r="B195" s="2" t="s">
        <v>696</v>
      </c>
      <c r="C195" s="4" t="s">
        <v>691</v>
      </c>
      <c r="D195" s="3" t="s">
        <v>657</v>
      </c>
      <c r="E195" s="2" t="s">
        <v>39</v>
      </c>
      <c r="F195" s="1" t="s">
        <v>324</v>
      </c>
    </row>
    <row r="196" spans="1:6" ht="57.6" x14ac:dyDescent="0.3">
      <c r="A196">
        <v>3</v>
      </c>
      <c r="B196" s="2" t="s">
        <v>696</v>
      </c>
      <c r="C196" s="4" t="s">
        <v>691</v>
      </c>
      <c r="D196" s="3" t="s">
        <v>657</v>
      </c>
      <c r="E196" s="2" t="s">
        <v>39</v>
      </c>
      <c r="F196" s="1" t="s">
        <v>325</v>
      </c>
    </row>
    <row r="197" spans="1:6" ht="57.6" x14ac:dyDescent="0.3">
      <c r="A197">
        <v>3</v>
      </c>
      <c r="B197" s="2" t="s">
        <v>696</v>
      </c>
      <c r="C197" s="4" t="s">
        <v>691</v>
      </c>
      <c r="D197" s="3" t="s">
        <v>657</v>
      </c>
      <c r="E197" s="2" t="s">
        <v>39</v>
      </c>
      <c r="F197" s="1" t="s">
        <v>326</v>
      </c>
    </row>
    <row r="198" spans="1:6" ht="57.6" x14ac:dyDescent="0.3">
      <c r="A198">
        <v>3</v>
      </c>
      <c r="B198" s="2" t="s">
        <v>696</v>
      </c>
      <c r="C198" s="4" t="s">
        <v>691</v>
      </c>
      <c r="D198" s="3" t="s">
        <v>657</v>
      </c>
      <c r="E198" s="2" t="s">
        <v>39</v>
      </c>
      <c r="F198" s="1" t="s">
        <v>327</v>
      </c>
    </row>
    <row r="199" spans="1:6" ht="57.6" x14ac:dyDescent="0.3">
      <c r="A199">
        <v>3</v>
      </c>
      <c r="B199" s="2" t="s">
        <v>696</v>
      </c>
      <c r="C199" s="4" t="s">
        <v>691</v>
      </c>
      <c r="D199" s="3" t="s">
        <v>657</v>
      </c>
      <c r="E199" s="2" t="s">
        <v>40</v>
      </c>
      <c r="F199" s="1" t="s">
        <v>328</v>
      </c>
    </row>
    <row r="200" spans="1:6" ht="57.6" x14ac:dyDescent="0.3">
      <c r="A200">
        <v>3</v>
      </c>
      <c r="B200" s="2" t="s">
        <v>696</v>
      </c>
      <c r="C200" s="4" t="s">
        <v>691</v>
      </c>
      <c r="D200" s="3" t="s">
        <v>657</v>
      </c>
      <c r="E200" s="2" t="s">
        <v>40</v>
      </c>
      <c r="F200" s="1" t="s">
        <v>329</v>
      </c>
    </row>
    <row r="201" spans="1:6" ht="57.6" x14ac:dyDescent="0.3">
      <c r="A201">
        <v>3</v>
      </c>
      <c r="B201" s="2" t="s">
        <v>696</v>
      </c>
      <c r="C201" s="4" t="s">
        <v>691</v>
      </c>
      <c r="D201" s="3" t="s">
        <v>657</v>
      </c>
      <c r="E201" s="2" t="s">
        <v>40</v>
      </c>
      <c r="F201" s="1" t="s">
        <v>330</v>
      </c>
    </row>
    <row r="202" spans="1:6" ht="57.6" x14ac:dyDescent="0.3">
      <c r="A202">
        <v>3</v>
      </c>
      <c r="B202" s="2" t="s">
        <v>696</v>
      </c>
      <c r="C202" s="4" t="s">
        <v>691</v>
      </c>
      <c r="D202" s="3" t="s">
        <v>657</v>
      </c>
      <c r="E202" s="2" t="s">
        <v>40</v>
      </c>
      <c r="F202" s="1" t="s">
        <v>331</v>
      </c>
    </row>
    <row r="203" spans="1:6" ht="57.6" x14ac:dyDescent="0.3">
      <c r="A203">
        <v>3</v>
      </c>
      <c r="B203" s="2" t="s">
        <v>696</v>
      </c>
      <c r="C203" s="4" t="s">
        <v>691</v>
      </c>
      <c r="D203" s="3" t="s">
        <v>657</v>
      </c>
      <c r="E203" s="2" t="s">
        <v>40</v>
      </c>
      <c r="F203" s="1" t="s">
        <v>332</v>
      </c>
    </row>
    <row r="204" spans="1:6" ht="57.6" x14ac:dyDescent="0.3">
      <c r="A204">
        <v>3</v>
      </c>
      <c r="B204" s="2" t="s">
        <v>696</v>
      </c>
      <c r="C204" s="4" t="s">
        <v>691</v>
      </c>
      <c r="D204" s="3" t="s">
        <v>657</v>
      </c>
      <c r="E204" s="2" t="s">
        <v>40</v>
      </c>
      <c r="F204" s="1" t="s">
        <v>333</v>
      </c>
    </row>
    <row r="205" spans="1:6" ht="57.6" x14ac:dyDescent="0.3">
      <c r="A205">
        <v>3</v>
      </c>
      <c r="B205" s="2" t="s">
        <v>696</v>
      </c>
      <c r="C205" s="4" t="s">
        <v>691</v>
      </c>
      <c r="D205" s="3" t="s">
        <v>657</v>
      </c>
      <c r="E205" s="2" t="s">
        <v>40</v>
      </c>
      <c r="F205" s="1" t="s">
        <v>334</v>
      </c>
    </row>
    <row r="206" spans="1:6" ht="57.6" x14ac:dyDescent="0.3">
      <c r="A206">
        <v>3</v>
      </c>
      <c r="B206" s="2" t="s">
        <v>696</v>
      </c>
      <c r="C206" s="4" t="s">
        <v>691</v>
      </c>
      <c r="D206" s="3" t="s">
        <v>657</v>
      </c>
      <c r="E206" s="2" t="s">
        <v>40</v>
      </c>
      <c r="F206" s="1" t="s">
        <v>335</v>
      </c>
    </row>
    <row r="207" spans="1:6" ht="57.6" x14ac:dyDescent="0.3">
      <c r="A207">
        <v>3</v>
      </c>
      <c r="B207" s="2" t="s">
        <v>696</v>
      </c>
      <c r="C207" s="4" t="s">
        <v>691</v>
      </c>
      <c r="D207" s="3" t="s">
        <v>657</v>
      </c>
      <c r="E207" s="2" t="s">
        <v>40</v>
      </c>
      <c r="F207" s="1" t="s">
        <v>336</v>
      </c>
    </row>
    <row r="208" spans="1:6" ht="57.6" x14ac:dyDescent="0.3">
      <c r="A208">
        <v>3</v>
      </c>
      <c r="B208" s="2" t="s">
        <v>696</v>
      </c>
      <c r="C208" s="4" t="s">
        <v>691</v>
      </c>
      <c r="D208" s="3" t="s">
        <v>657</v>
      </c>
      <c r="E208" s="2" t="s">
        <v>40</v>
      </c>
      <c r="F208" s="1" t="s">
        <v>337</v>
      </c>
    </row>
    <row r="209" spans="1:6" ht="57.6" x14ac:dyDescent="0.3">
      <c r="A209">
        <v>3</v>
      </c>
      <c r="B209" s="2" t="s">
        <v>696</v>
      </c>
      <c r="C209" s="4" t="s">
        <v>691</v>
      </c>
      <c r="D209" s="3" t="s">
        <v>657</v>
      </c>
      <c r="E209" s="2" t="s">
        <v>40</v>
      </c>
      <c r="F209" s="1" t="s">
        <v>338</v>
      </c>
    </row>
    <row r="210" spans="1:6" ht="57.6" x14ac:dyDescent="0.3">
      <c r="A210">
        <v>3</v>
      </c>
      <c r="B210" s="2" t="s">
        <v>696</v>
      </c>
      <c r="C210" s="4" t="s">
        <v>691</v>
      </c>
      <c r="D210" s="3" t="s">
        <v>657</v>
      </c>
      <c r="E210" s="2" t="s">
        <v>40</v>
      </c>
      <c r="F210" s="1" t="s">
        <v>339</v>
      </c>
    </row>
    <row r="211" spans="1:6" ht="57.6" x14ac:dyDescent="0.3">
      <c r="A211">
        <v>3</v>
      </c>
      <c r="B211" s="2" t="s">
        <v>696</v>
      </c>
      <c r="C211" s="4" t="s">
        <v>691</v>
      </c>
      <c r="D211" s="3" t="s">
        <v>657</v>
      </c>
      <c r="E211" s="2" t="s">
        <v>40</v>
      </c>
      <c r="F211" s="1" t="s">
        <v>340</v>
      </c>
    </row>
    <row r="212" spans="1:6" ht="57.6" x14ac:dyDescent="0.3">
      <c r="A212">
        <v>3</v>
      </c>
      <c r="B212" s="2" t="s">
        <v>696</v>
      </c>
      <c r="C212" s="4" t="s">
        <v>691</v>
      </c>
      <c r="D212" s="3" t="s">
        <v>658</v>
      </c>
      <c r="E212" s="2" t="s">
        <v>41</v>
      </c>
      <c r="F212" s="1" t="s">
        <v>341</v>
      </c>
    </row>
    <row r="213" spans="1:6" ht="57.6" x14ac:dyDescent="0.3">
      <c r="A213">
        <v>3</v>
      </c>
      <c r="B213" s="2" t="s">
        <v>696</v>
      </c>
      <c r="C213" s="4" t="s">
        <v>691</v>
      </c>
      <c r="D213" s="3" t="s">
        <v>658</v>
      </c>
      <c r="E213" s="2" t="s">
        <v>41</v>
      </c>
      <c r="F213" s="1" t="s">
        <v>342</v>
      </c>
    </row>
    <row r="214" spans="1:6" ht="57.6" x14ac:dyDescent="0.3">
      <c r="A214">
        <v>3</v>
      </c>
      <c r="B214" s="2" t="s">
        <v>696</v>
      </c>
      <c r="C214" s="4" t="s">
        <v>691</v>
      </c>
      <c r="D214" s="3" t="s">
        <v>658</v>
      </c>
      <c r="E214" s="2" t="s">
        <v>41</v>
      </c>
      <c r="F214" s="1" t="s">
        <v>179</v>
      </c>
    </row>
    <row r="215" spans="1:6" ht="57.6" x14ac:dyDescent="0.3">
      <c r="A215">
        <v>3</v>
      </c>
      <c r="B215" s="2" t="s">
        <v>696</v>
      </c>
      <c r="C215" s="4" t="s">
        <v>691</v>
      </c>
      <c r="D215" s="3" t="s">
        <v>658</v>
      </c>
      <c r="E215" s="2" t="s">
        <v>41</v>
      </c>
      <c r="F215" s="1" t="s">
        <v>159</v>
      </c>
    </row>
    <row r="216" spans="1:6" ht="57.6" x14ac:dyDescent="0.3">
      <c r="A216">
        <v>3</v>
      </c>
      <c r="B216" s="2" t="s">
        <v>696</v>
      </c>
      <c r="C216" s="4" t="s">
        <v>691</v>
      </c>
      <c r="D216" s="3" t="s">
        <v>658</v>
      </c>
      <c r="E216" s="2" t="s">
        <v>41</v>
      </c>
      <c r="F216" s="1" t="s">
        <v>153</v>
      </c>
    </row>
    <row r="217" spans="1:6" ht="57.6" x14ac:dyDescent="0.3">
      <c r="A217">
        <v>3</v>
      </c>
      <c r="B217" s="2" t="s">
        <v>696</v>
      </c>
      <c r="C217" s="4" t="s">
        <v>691</v>
      </c>
      <c r="D217" s="3" t="s">
        <v>658</v>
      </c>
      <c r="E217" s="2" t="s">
        <v>41</v>
      </c>
      <c r="F217" s="1" t="s">
        <v>343</v>
      </c>
    </row>
    <row r="218" spans="1:6" ht="57.6" x14ac:dyDescent="0.3">
      <c r="A218">
        <v>3</v>
      </c>
      <c r="B218" s="2" t="s">
        <v>696</v>
      </c>
      <c r="C218" s="4" t="s">
        <v>691</v>
      </c>
      <c r="D218" s="3" t="s">
        <v>658</v>
      </c>
      <c r="E218" s="2" t="s">
        <v>41</v>
      </c>
      <c r="F218" s="1" t="s">
        <v>344</v>
      </c>
    </row>
    <row r="219" spans="1:6" ht="57.6" x14ac:dyDescent="0.3">
      <c r="A219">
        <v>3</v>
      </c>
      <c r="B219" s="2" t="s">
        <v>696</v>
      </c>
      <c r="C219" s="4" t="s">
        <v>691</v>
      </c>
      <c r="D219" s="3" t="s">
        <v>658</v>
      </c>
      <c r="E219" s="2" t="s">
        <v>41</v>
      </c>
      <c r="F219" s="1" t="s">
        <v>266</v>
      </c>
    </row>
    <row r="220" spans="1:6" ht="57.6" x14ac:dyDescent="0.3">
      <c r="A220">
        <v>3</v>
      </c>
      <c r="B220" s="2" t="s">
        <v>696</v>
      </c>
      <c r="C220" s="4" t="s">
        <v>691</v>
      </c>
      <c r="D220" s="3" t="s">
        <v>658</v>
      </c>
      <c r="E220" s="2" t="s">
        <v>42</v>
      </c>
      <c r="F220" s="1" t="s">
        <v>345</v>
      </c>
    </row>
    <row r="221" spans="1:6" ht="57.6" x14ac:dyDescent="0.3">
      <c r="A221">
        <v>3</v>
      </c>
      <c r="B221" s="2" t="s">
        <v>696</v>
      </c>
      <c r="C221" s="4" t="s">
        <v>691</v>
      </c>
      <c r="D221" s="3" t="s">
        <v>658</v>
      </c>
      <c r="E221" s="2" t="s">
        <v>43</v>
      </c>
      <c r="F221" s="1" t="s">
        <v>346</v>
      </c>
    </row>
    <row r="222" spans="1:6" ht="57.6" x14ac:dyDescent="0.3">
      <c r="A222">
        <v>3</v>
      </c>
      <c r="B222" s="2" t="s">
        <v>696</v>
      </c>
      <c r="C222" s="4" t="s">
        <v>691</v>
      </c>
      <c r="D222" s="3" t="s">
        <v>658</v>
      </c>
      <c r="E222" s="2" t="s">
        <v>43</v>
      </c>
      <c r="F222" s="1" t="s">
        <v>347</v>
      </c>
    </row>
    <row r="223" spans="1:6" ht="57.6" x14ac:dyDescent="0.3">
      <c r="A223">
        <v>3</v>
      </c>
      <c r="B223" s="2" t="s">
        <v>696</v>
      </c>
      <c r="C223" s="4" t="s">
        <v>691</v>
      </c>
      <c r="D223" s="3" t="s">
        <v>658</v>
      </c>
      <c r="E223" s="2" t="s">
        <v>43</v>
      </c>
      <c r="F223" s="1" t="s">
        <v>348</v>
      </c>
    </row>
    <row r="224" spans="1:6" ht="57.6" x14ac:dyDescent="0.3">
      <c r="A224">
        <v>3</v>
      </c>
      <c r="B224" s="2" t="s">
        <v>696</v>
      </c>
      <c r="C224" s="4" t="s">
        <v>691</v>
      </c>
      <c r="D224" s="3" t="s">
        <v>658</v>
      </c>
      <c r="E224" s="2" t="s">
        <v>43</v>
      </c>
      <c r="F224" s="1" t="s">
        <v>349</v>
      </c>
    </row>
    <row r="225" spans="1:6" ht="57.6" x14ac:dyDescent="0.3">
      <c r="A225">
        <v>3</v>
      </c>
      <c r="B225" s="2" t="s">
        <v>696</v>
      </c>
      <c r="C225" s="4" t="s">
        <v>691</v>
      </c>
      <c r="D225" s="3" t="s">
        <v>658</v>
      </c>
      <c r="E225" s="2" t="s">
        <v>43</v>
      </c>
      <c r="F225" s="1" t="s">
        <v>350</v>
      </c>
    </row>
    <row r="226" spans="1:6" ht="57.6" x14ac:dyDescent="0.3">
      <c r="A226">
        <v>3</v>
      </c>
      <c r="B226" s="2" t="s">
        <v>696</v>
      </c>
      <c r="C226" s="4" t="s">
        <v>691</v>
      </c>
      <c r="D226" s="3" t="s">
        <v>658</v>
      </c>
      <c r="E226" s="2" t="s">
        <v>43</v>
      </c>
      <c r="F226" s="1" t="s">
        <v>347</v>
      </c>
    </row>
    <row r="227" spans="1:6" ht="57.6" x14ac:dyDescent="0.3">
      <c r="A227">
        <v>3</v>
      </c>
      <c r="B227" s="2" t="s">
        <v>696</v>
      </c>
      <c r="C227" s="4" t="s">
        <v>691</v>
      </c>
      <c r="D227" s="3" t="s">
        <v>658</v>
      </c>
      <c r="E227" s="2" t="s">
        <v>43</v>
      </c>
      <c r="F227" s="1" t="s">
        <v>348</v>
      </c>
    </row>
    <row r="228" spans="1:6" ht="57.6" x14ac:dyDescent="0.3">
      <c r="A228">
        <v>3</v>
      </c>
      <c r="B228" s="2" t="s">
        <v>696</v>
      </c>
      <c r="C228" s="4" t="s">
        <v>691</v>
      </c>
      <c r="D228" s="3" t="s">
        <v>658</v>
      </c>
      <c r="E228" s="2" t="s">
        <v>43</v>
      </c>
      <c r="F228" s="1" t="s">
        <v>351</v>
      </c>
    </row>
    <row r="229" spans="1:6" ht="57.6" x14ac:dyDescent="0.3">
      <c r="A229">
        <v>3</v>
      </c>
      <c r="B229" s="2" t="s">
        <v>696</v>
      </c>
      <c r="C229" s="4" t="s">
        <v>691</v>
      </c>
      <c r="D229" s="3" t="s">
        <v>658</v>
      </c>
      <c r="E229" s="2" t="s">
        <v>43</v>
      </c>
      <c r="F229" s="1" t="s">
        <v>352</v>
      </c>
    </row>
    <row r="230" spans="1:6" ht="57.6" x14ac:dyDescent="0.3">
      <c r="A230">
        <v>3</v>
      </c>
      <c r="B230" s="2" t="s">
        <v>696</v>
      </c>
      <c r="C230" s="4" t="s">
        <v>691</v>
      </c>
      <c r="D230" s="3" t="s">
        <v>658</v>
      </c>
      <c r="E230" s="2" t="s">
        <v>44</v>
      </c>
      <c r="F230" s="1" t="s">
        <v>353</v>
      </c>
    </row>
    <row r="231" spans="1:6" ht="57.6" x14ac:dyDescent="0.3">
      <c r="A231">
        <v>3</v>
      </c>
      <c r="B231" s="2" t="s">
        <v>696</v>
      </c>
      <c r="C231" s="4" t="s">
        <v>691</v>
      </c>
      <c r="D231" s="3" t="s">
        <v>658</v>
      </c>
      <c r="E231" s="2" t="s">
        <v>45</v>
      </c>
      <c r="F231" s="1" t="s">
        <v>354</v>
      </c>
    </row>
    <row r="232" spans="1:6" ht="57.6" x14ac:dyDescent="0.3">
      <c r="A232">
        <v>3</v>
      </c>
      <c r="B232" s="2" t="s">
        <v>696</v>
      </c>
      <c r="C232" s="4" t="s">
        <v>691</v>
      </c>
      <c r="D232" s="3" t="s">
        <v>658</v>
      </c>
      <c r="E232" s="2" t="s">
        <v>45</v>
      </c>
      <c r="F232" s="1" t="s">
        <v>355</v>
      </c>
    </row>
    <row r="233" spans="1:6" ht="57.6" x14ac:dyDescent="0.3">
      <c r="A233">
        <v>3</v>
      </c>
      <c r="B233" s="2" t="s">
        <v>696</v>
      </c>
      <c r="C233" s="4" t="s">
        <v>691</v>
      </c>
      <c r="D233" s="3" t="s">
        <v>658</v>
      </c>
      <c r="E233" s="2" t="s">
        <v>45</v>
      </c>
      <c r="F233" s="1" t="s">
        <v>356</v>
      </c>
    </row>
    <row r="234" spans="1:6" ht="57.6" x14ac:dyDescent="0.3">
      <c r="A234">
        <v>3</v>
      </c>
      <c r="B234" s="2" t="s">
        <v>696</v>
      </c>
      <c r="C234" s="4" t="s">
        <v>691</v>
      </c>
      <c r="D234" s="3" t="s">
        <v>658</v>
      </c>
      <c r="E234" s="2" t="s">
        <v>45</v>
      </c>
      <c r="F234" s="1" t="s">
        <v>357</v>
      </c>
    </row>
    <row r="235" spans="1:6" ht="57.6" x14ac:dyDescent="0.3">
      <c r="A235">
        <v>3</v>
      </c>
      <c r="B235" s="2" t="s">
        <v>696</v>
      </c>
      <c r="C235" s="4" t="s">
        <v>691</v>
      </c>
      <c r="D235" s="3" t="s">
        <v>658</v>
      </c>
      <c r="E235" s="2" t="s">
        <v>45</v>
      </c>
      <c r="F235" s="1" t="s">
        <v>358</v>
      </c>
    </row>
    <row r="236" spans="1:6" ht="57.6" x14ac:dyDescent="0.3">
      <c r="A236">
        <v>3</v>
      </c>
      <c r="B236" s="2" t="s">
        <v>696</v>
      </c>
      <c r="C236" s="4" t="s">
        <v>691</v>
      </c>
      <c r="D236" s="3" t="s">
        <v>658</v>
      </c>
      <c r="E236" s="2" t="s">
        <v>45</v>
      </c>
      <c r="F236" s="1" t="s">
        <v>359</v>
      </c>
    </row>
    <row r="237" spans="1:6" ht="57.6" x14ac:dyDescent="0.3">
      <c r="A237">
        <v>3</v>
      </c>
      <c r="B237" s="2" t="s">
        <v>696</v>
      </c>
      <c r="C237" s="4" t="s">
        <v>691</v>
      </c>
      <c r="D237" s="3" t="s">
        <v>658</v>
      </c>
      <c r="E237" s="2" t="s">
        <v>45</v>
      </c>
      <c r="F237" s="1" t="s">
        <v>360</v>
      </c>
    </row>
    <row r="238" spans="1:6" ht="57.6" x14ac:dyDescent="0.3">
      <c r="A238">
        <v>3</v>
      </c>
      <c r="B238" s="2" t="s">
        <v>696</v>
      </c>
      <c r="C238" s="4" t="s">
        <v>691</v>
      </c>
      <c r="D238" s="3" t="s">
        <v>658</v>
      </c>
      <c r="E238" s="2" t="s">
        <v>45</v>
      </c>
      <c r="F238" s="1" t="s">
        <v>361</v>
      </c>
    </row>
    <row r="239" spans="1:6" ht="57.6" x14ac:dyDescent="0.3">
      <c r="A239">
        <v>3</v>
      </c>
      <c r="B239" s="2" t="s">
        <v>696</v>
      </c>
      <c r="C239" s="4" t="s">
        <v>691</v>
      </c>
      <c r="D239" s="3" t="s">
        <v>658</v>
      </c>
      <c r="E239" s="2" t="s">
        <v>45</v>
      </c>
      <c r="F239" s="1" t="s">
        <v>166</v>
      </c>
    </row>
    <row r="240" spans="1:6" ht="57.6" x14ac:dyDescent="0.3">
      <c r="A240">
        <v>3</v>
      </c>
      <c r="B240" s="2" t="s">
        <v>696</v>
      </c>
      <c r="C240" s="4" t="s">
        <v>691</v>
      </c>
      <c r="D240" s="3" t="s">
        <v>658</v>
      </c>
      <c r="E240" s="2" t="s">
        <v>45</v>
      </c>
      <c r="F240" s="1" t="s">
        <v>296</v>
      </c>
    </row>
    <row r="241" spans="1:6" ht="57.6" x14ac:dyDescent="0.3">
      <c r="A241">
        <v>3</v>
      </c>
      <c r="B241" s="2" t="s">
        <v>696</v>
      </c>
      <c r="C241" s="4" t="s">
        <v>691</v>
      </c>
      <c r="D241" s="3" t="s">
        <v>658</v>
      </c>
      <c r="E241" s="2" t="s">
        <v>45</v>
      </c>
      <c r="F241" s="1" t="s">
        <v>362</v>
      </c>
    </row>
    <row r="242" spans="1:6" ht="57.6" x14ac:dyDescent="0.3">
      <c r="A242">
        <v>3</v>
      </c>
      <c r="B242" s="2" t="s">
        <v>696</v>
      </c>
      <c r="C242" s="4" t="s">
        <v>691</v>
      </c>
      <c r="D242" s="3" t="s">
        <v>658</v>
      </c>
      <c r="E242" s="2" t="s">
        <v>45</v>
      </c>
      <c r="F242" s="1" t="s">
        <v>363</v>
      </c>
    </row>
    <row r="243" spans="1:6" ht="57.6" x14ac:dyDescent="0.3">
      <c r="A243">
        <v>3</v>
      </c>
      <c r="B243" s="2" t="s">
        <v>696</v>
      </c>
      <c r="C243" s="4" t="s">
        <v>691</v>
      </c>
      <c r="D243" s="3" t="s">
        <v>658</v>
      </c>
      <c r="E243" s="2" t="s">
        <v>45</v>
      </c>
      <c r="F243" s="1" t="s">
        <v>364</v>
      </c>
    </row>
    <row r="244" spans="1:6" ht="57.6" x14ac:dyDescent="0.3">
      <c r="A244">
        <v>3</v>
      </c>
      <c r="B244" s="2" t="s">
        <v>696</v>
      </c>
      <c r="C244" s="4" t="s">
        <v>691</v>
      </c>
      <c r="D244" s="3" t="s">
        <v>658</v>
      </c>
      <c r="E244" s="2" t="s">
        <v>45</v>
      </c>
      <c r="F244" s="1" t="s">
        <v>365</v>
      </c>
    </row>
    <row r="245" spans="1:6" ht="57.6" x14ac:dyDescent="0.3">
      <c r="A245">
        <v>3</v>
      </c>
      <c r="B245" s="2" t="s">
        <v>696</v>
      </c>
      <c r="C245" s="4" t="s">
        <v>691</v>
      </c>
      <c r="D245" s="3" t="s">
        <v>658</v>
      </c>
      <c r="E245" s="2" t="s">
        <v>45</v>
      </c>
      <c r="F245" s="1" t="s">
        <v>366</v>
      </c>
    </row>
    <row r="246" spans="1:6" ht="57.6" x14ac:dyDescent="0.3">
      <c r="A246">
        <v>3</v>
      </c>
      <c r="B246" s="2" t="s">
        <v>696</v>
      </c>
      <c r="C246" s="4" t="s">
        <v>691</v>
      </c>
      <c r="D246" s="3" t="s">
        <v>658</v>
      </c>
      <c r="E246" s="2" t="s">
        <v>45</v>
      </c>
      <c r="F246" s="1" t="s">
        <v>367</v>
      </c>
    </row>
    <row r="247" spans="1:6" ht="57.6" x14ac:dyDescent="0.3">
      <c r="A247">
        <v>3</v>
      </c>
      <c r="B247" s="2" t="s">
        <v>696</v>
      </c>
      <c r="C247" s="4" t="s">
        <v>691</v>
      </c>
      <c r="D247" s="3" t="s">
        <v>658</v>
      </c>
      <c r="E247" s="2" t="s">
        <v>46</v>
      </c>
      <c r="F247" s="1" t="s">
        <v>368</v>
      </c>
    </row>
    <row r="248" spans="1:6" ht="57.6" x14ac:dyDescent="0.3">
      <c r="A248">
        <v>3</v>
      </c>
      <c r="B248" s="2" t="s">
        <v>696</v>
      </c>
      <c r="C248" s="4" t="s">
        <v>691</v>
      </c>
      <c r="D248" s="3" t="s">
        <v>658</v>
      </c>
      <c r="E248" s="2" t="s">
        <v>46</v>
      </c>
      <c r="F248" s="1" t="s">
        <v>369</v>
      </c>
    </row>
    <row r="249" spans="1:6" ht="57.6" x14ac:dyDescent="0.3">
      <c r="A249">
        <v>3</v>
      </c>
      <c r="B249" s="2" t="s">
        <v>696</v>
      </c>
      <c r="C249" s="4" t="s">
        <v>691</v>
      </c>
      <c r="D249" s="3" t="s">
        <v>658</v>
      </c>
      <c r="E249" s="2" t="s">
        <v>46</v>
      </c>
      <c r="F249" s="1" t="s">
        <v>370</v>
      </c>
    </row>
    <row r="250" spans="1:6" ht="57.6" x14ac:dyDescent="0.3">
      <c r="A250">
        <v>3</v>
      </c>
      <c r="B250" s="2" t="s">
        <v>696</v>
      </c>
      <c r="C250" s="4" t="s">
        <v>691</v>
      </c>
      <c r="D250" s="3" t="s">
        <v>658</v>
      </c>
      <c r="E250" s="2" t="s">
        <v>46</v>
      </c>
      <c r="F250" s="1" t="s">
        <v>371</v>
      </c>
    </row>
    <row r="251" spans="1:6" ht="57.6" x14ac:dyDescent="0.3">
      <c r="A251">
        <v>3</v>
      </c>
      <c r="B251" s="2" t="s">
        <v>696</v>
      </c>
      <c r="C251" s="4" t="s">
        <v>691</v>
      </c>
      <c r="D251" s="3" t="s">
        <v>658</v>
      </c>
      <c r="E251" s="2" t="s">
        <v>46</v>
      </c>
      <c r="F251" s="1" t="s">
        <v>372</v>
      </c>
    </row>
    <row r="252" spans="1:6" ht="57.6" x14ac:dyDescent="0.3">
      <c r="A252">
        <v>3</v>
      </c>
      <c r="B252" s="2" t="s">
        <v>696</v>
      </c>
      <c r="C252" s="4" t="s">
        <v>691</v>
      </c>
      <c r="D252" s="3" t="s">
        <v>658</v>
      </c>
      <c r="E252" s="2" t="s">
        <v>47</v>
      </c>
      <c r="F252" s="1" t="s">
        <v>373</v>
      </c>
    </row>
    <row r="253" spans="1:6" ht="57.6" x14ac:dyDescent="0.3">
      <c r="A253">
        <v>3</v>
      </c>
      <c r="B253" s="2" t="s">
        <v>696</v>
      </c>
      <c r="C253" s="4" t="s">
        <v>691</v>
      </c>
      <c r="D253" s="3" t="s">
        <v>658</v>
      </c>
      <c r="E253" s="2" t="s">
        <v>47</v>
      </c>
      <c r="F253" s="1" t="s">
        <v>374</v>
      </c>
    </row>
    <row r="254" spans="1:6" ht="57.6" x14ac:dyDescent="0.3">
      <c r="A254">
        <v>3</v>
      </c>
      <c r="B254" s="2" t="s">
        <v>696</v>
      </c>
      <c r="C254" s="4" t="s">
        <v>691</v>
      </c>
      <c r="D254" s="3" t="s">
        <v>658</v>
      </c>
      <c r="E254" s="2" t="s">
        <v>47</v>
      </c>
      <c r="F254" s="1" t="s">
        <v>375</v>
      </c>
    </row>
    <row r="255" spans="1:6" ht="57.6" x14ac:dyDescent="0.3">
      <c r="A255">
        <v>3</v>
      </c>
      <c r="B255" s="2" t="s">
        <v>696</v>
      </c>
      <c r="C255" s="4" t="s">
        <v>691</v>
      </c>
      <c r="D255" s="3" t="s">
        <v>658</v>
      </c>
      <c r="E255" s="2" t="s">
        <v>47</v>
      </c>
      <c r="F255" s="1" t="s">
        <v>376</v>
      </c>
    </row>
    <row r="256" spans="1:6" ht="57.6" x14ac:dyDescent="0.3">
      <c r="A256">
        <v>3</v>
      </c>
      <c r="B256" s="2" t="s">
        <v>696</v>
      </c>
      <c r="C256" s="4" t="s">
        <v>691</v>
      </c>
      <c r="D256" s="3" t="s">
        <v>658</v>
      </c>
      <c r="E256" s="2" t="s">
        <v>47</v>
      </c>
      <c r="F256" s="1" t="s">
        <v>377</v>
      </c>
    </row>
    <row r="257" spans="1:6" ht="57.6" x14ac:dyDescent="0.3">
      <c r="A257">
        <v>3</v>
      </c>
      <c r="B257" s="2" t="s">
        <v>696</v>
      </c>
      <c r="C257" s="4" t="s">
        <v>691</v>
      </c>
      <c r="D257" s="3" t="s">
        <v>658</v>
      </c>
      <c r="E257" s="2" t="s">
        <v>47</v>
      </c>
      <c r="F257" s="1" t="s">
        <v>378</v>
      </c>
    </row>
    <row r="258" spans="1:6" ht="57.6" x14ac:dyDescent="0.3">
      <c r="A258">
        <v>3</v>
      </c>
      <c r="B258" s="2" t="s">
        <v>696</v>
      </c>
      <c r="C258" s="4" t="s">
        <v>691</v>
      </c>
      <c r="D258" s="3" t="s">
        <v>658</v>
      </c>
      <c r="E258" s="2" t="s">
        <v>47</v>
      </c>
      <c r="F258" s="1" t="s">
        <v>338</v>
      </c>
    </row>
    <row r="259" spans="1:6" ht="57.6" x14ac:dyDescent="0.3">
      <c r="A259">
        <v>3</v>
      </c>
      <c r="B259" s="2" t="s">
        <v>696</v>
      </c>
      <c r="C259" s="4" t="s">
        <v>691</v>
      </c>
      <c r="D259" s="3" t="s">
        <v>658</v>
      </c>
      <c r="E259" s="2" t="s">
        <v>47</v>
      </c>
      <c r="F259" s="1" t="s">
        <v>339</v>
      </c>
    </row>
    <row r="260" spans="1:6" ht="57.6" x14ac:dyDescent="0.3">
      <c r="A260">
        <v>3</v>
      </c>
      <c r="B260" s="2" t="s">
        <v>696</v>
      </c>
      <c r="C260" s="4" t="s">
        <v>691</v>
      </c>
      <c r="D260" s="3" t="s">
        <v>658</v>
      </c>
      <c r="E260" s="2" t="s">
        <v>48</v>
      </c>
      <c r="F260" s="1" t="s">
        <v>379</v>
      </c>
    </row>
    <row r="261" spans="1:6" ht="57.6" x14ac:dyDescent="0.3">
      <c r="A261">
        <v>3</v>
      </c>
      <c r="B261" s="2" t="s">
        <v>696</v>
      </c>
      <c r="C261" s="4" t="s">
        <v>691</v>
      </c>
      <c r="D261" s="3" t="s">
        <v>658</v>
      </c>
      <c r="E261" s="2" t="s">
        <v>48</v>
      </c>
      <c r="F261" s="1" t="s">
        <v>380</v>
      </c>
    </row>
    <row r="262" spans="1:6" ht="57.6" x14ac:dyDescent="0.3">
      <c r="A262">
        <v>3</v>
      </c>
      <c r="B262" s="2" t="s">
        <v>696</v>
      </c>
      <c r="C262" s="4" t="s">
        <v>691</v>
      </c>
      <c r="D262" s="3" t="s">
        <v>658</v>
      </c>
      <c r="E262" s="2" t="s">
        <v>49</v>
      </c>
      <c r="F262" s="1" t="s">
        <v>381</v>
      </c>
    </row>
    <row r="263" spans="1:6" ht="57.6" x14ac:dyDescent="0.3">
      <c r="A263">
        <v>3</v>
      </c>
      <c r="B263" s="2" t="s">
        <v>696</v>
      </c>
      <c r="C263" s="4" t="s">
        <v>691</v>
      </c>
      <c r="D263" s="3" t="s">
        <v>658</v>
      </c>
      <c r="E263" s="2" t="s">
        <v>49</v>
      </c>
      <c r="F263" s="1" t="s">
        <v>377</v>
      </c>
    </row>
    <row r="264" spans="1:6" ht="57.6" x14ac:dyDescent="0.3">
      <c r="A264">
        <v>3</v>
      </c>
      <c r="B264" s="2" t="s">
        <v>696</v>
      </c>
      <c r="C264" s="4" t="s">
        <v>691</v>
      </c>
      <c r="D264" s="3" t="s">
        <v>658</v>
      </c>
      <c r="E264" s="2" t="s">
        <v>49</v>
      </c>
      <c r="F264" s="1" t="s">
        <v>338</v>
      </c>
    </row>
    <row r="265" spans="1:6" ht="57.6" x14ac:dyDescent="0.3">
      <c r="A265">
        <v>3</v>
      </c>
      <c r="B265" s="2" t="s">
        <v>696</v>
      </c>
      <c r="C265" s="4" t="s">
        <v>691</v>
      </c>
      <c r="D265" s="3" t="s">
        <v>658</v>
      </c>
      <c r="E265" s="2" t="s">
        <v>49</v>
      </c>
      <c r="F265" s="1" t="s">
        <v>382</v>
      </c>
    </row>
    <row r="266" spans="1:6" ht="57.6" x14ac:dyDescent="0.3">
      <c r="A266">
        <v>3</v>
      </c>
      <c r="B266" s="2" t="s">
        <v>696</v>
      </c>
      <c r="C266" s="4" t="s">
        <v>691</v>
      </c>
      <c r="D266" s="3" t="s">
        <v>659</v>
      </c>
      <c r="E266" s="2" t="s">
        <v>50</v>
      </c>
      <c r="F266" s="1" t="s">
        <v>383</v>
      </c>
    </row>
    <row r="267" spans="1:6" ht="57.6" x14ac:dyDescent="0.3">
      <c r="A267">
        <v>3</v>
      </c>
      <c r="B267" s="2" t="s">
        <v>696</v>
      </c>
      <c r="C267" s="4" t="s">
        <v>691</v>
      </c>
      <c r="D267" s="3" t="s">
        <v>659</v>
      </c>
      <c r="E267" s="2" t="s">
        <v>51</v>
      </c>
      <c r="F267" s="1" t="s">
        <v>155</v>
      </c>
    </row>
    <row r="268" spans="1:6" ht="57.6" x14ac:dyDescent="0.3">
      <c r="A268">
        <v>3</v>
      </c>
      <c r="B268" s="2" t="s">
        <v>696</v>
      </c>
      <c r="C268" s="4" t="s">
        <v>691</v>
      </c>
      <c r="D268" s="3" t="s">
        <v>659</v>
      </c>
      <c r="E268" s="2" t="s">
        <v>51</v>
      </c>
      <c r="F268" s="1" t="s">
        <v>169</v>
      </c>
    </row>
    <row r="269" spans="1:6" ht="57.6" x14ac:dyDescent="0.3">
      <c r="A269">
        <v>3</v>
      </c>
      <c r="B269" s="2" t="s">
        <v>696</v>
      </c>
      <c r="C269" s="4" t="s">
        <v>691</v>
      </c>
      <c r="D269" s="3" t="s">
        <v>659</v>
      </c>
      <c r="E269" s="2" t="s">
        <v>51</v>
      </c>
      <c r="F269" s="1" t="s">
        <v>384</v>
      </c>
    </row>
    <row r="270" spans="1:6" ht="57.6" x14ac:dyDescent="0.3">
      <c r="A270">
        <v>3</v>
      </c>
      <c r="B270" s="2" t="s">
        <v>696</v>
      </c>
      <c r="C270" s="4" t="s">
        <v>691</v>
      </c>
      <c r="D270" s="3" t="s">
        <v>659</v>
      </c>
      <c r="E270" s="2" t="s">
        <v>51</v>
      </c>
      <c r="F270" s="1" t="s">
        <v>151</v>
      </c>
    </row>
    <row r="271" spans="1:6" ht="57.6" x14ac:dyDescent="0.3">
      <c r="A271">
        <v>3</v>
      </c>
      <c r="B271" s="2" t="s">
        <v>696</v>
      </c>
      <c r="C271" s="4" t="s">
        <v>691</v>
      </c>
      <c r="D271" s="3" t="s">
        <v>659</v>
      </c>
      <c r="E271" s="2" t="s">
        <v>51</v>
      </c>
      <c r="F271" s="1" t="s">
        <v>152</v>
      </c>
    </row>
    <row r="272" spans="1:6" ht="57.6" x14ac:dyDescent="0.3">
      <c r="A272">
        <v>3</v>
      </c>
      <c r="B272" s="2" t="s">
        <v>696</v>
      </c>
      <c r="C272" s="4" t="s">
        <v>691</v>
      </c>
      <c r="D272" s="3" t="s">
        <v>659</v>
      </c>
      <c r="E272" s="2" t="s">
        <v>51</v>
      </c>
      <c r="F272" s="1" t="s">
        <v>153</v>
      </c>
    </row>
    <row r="273" spans="1:6" ht="57.6" x14ac:dyDescent="0.3">
      <c r="A273">
        <v>3</v>
      </c>
      <c r="B273" s="2" t="s">
        <v>696</v>
      </c>
      <c r="C273" s="4" t="s">
        <v>691</v>
      </c>
      <c r="D273" s="3" t="s">
        <v>659</v>
      </c>
      <c r="E273" s="2" t="s">
        <v>51</v>
      </c>
      <c r="F273" s="1" t="s">
        <v>156</v>
      </c>
    </row>
    <row r="274" spans="1:6" ht="57.6" x14ac:dyDescent="0.3">
      <c r="A274">
        <v>3</v>
      </c>
      <c r="B274" s="2" t="s">
        <v>696</v>
      </c>
      <c r="C274" s="4" t="s">
        <v>691</v>
      </c>
      <c r="D274" s="3" t="s">
        <v>659</v>
      </c>
      <c r="E274" s="2" t="s">
        <v>52</v>
      </c>
      <c r="F274" s="1" t="s">
        <v>385</v>
      </c>
    </row>
    <row r="275" spans="1:6" ht="57.6" x14ac:dyDescent="0.3">
      <c r="A275">
        <v>3</v>
      </c>
      <c r="B275" s="2" t="s">
        <v>696</v>
      </c>
      <c r="C275" s="4" t="s">
        <v>691</v>
      </c>
      <c r="D275" s="3" t="s">
        <v>659</v>
      </c>
      <c r="E275" s="2" t="s">
        <v>53</v>
      </c>
      <c r="F275" s="1" t="s">
        <v>386</v>
      </c>
    </row>
    <row r="276" spans="1:6" ht="57.6" x14ac:dyDescent="0.3">
      <c r="A276">
        <v>3</v>
      </c>
      <c r="B276" s="2" t="s">
        <v>696</v>
      </c>
      <c r="C276" s="4" t="s">
        <v>691</v>
      </c>
      <c r="D276" s="3" t="s">
        <v>659</v>
      </c>
      <c r="E276" s="2" t="s">
        <v>54</v>
      </c>
      <c r="F276" s="1" t="s">
        <v>386</v>
      </c>
    </row>
    <row r="277" spans="1:6" ht="57.6" x14ac:dyDescent="0.3">
      <c r="A277">
        <v>3</v>
      </c>
      <c r="B277" s="2" t="s">
        <v>696</v>
      </c>
      <c r="C277" s="4" t="s">
        <v>691</v>
      </c>
      <c r="D277" s="3" t="s">
        <v>659</v>
      </c>
      <c r="E277" s="2" t="s">
        <v>55</v>
      </c>
      <c r="F277" s="1" t="s">
        <v>387</v>
      </c>
    </row>
    <row r="278" spans="1:6" ht="57.6" x14ac:dyDescent="0.3">
      <c r="A278">
        <v>3</v>
      </c>
      <c r="B278" s="2" t="s">
        <v>696</v>
      </c>
      <c r="C278" s="4" t="s">
        <v>691</v>
      </c>
      <c r="D278" s="3" t="s">
        <v>659</v>
      </c>
      <c r="E278" s="2" t="s">
        <v>56</v>
      </c>
      <c r="F278" s="1" t="s">
        <v>386</v>
      </c>
    </row>
    <row r="279" spans="1:6" ht="57.6" x14ac:dyDescent="0.3">
      <c r="A279">
        <v>3</v>
      </c>
      <c r="B279" s="2" t="s">
        <v>696</v>
      </c>
      <c r="C279" s="4" t="s">
        <v>691</v>
      </c>
      <c r="D279" s="3" t="s">
        <v>659</v>
      </c>
      <c r="E279" s="2" t="s">
        <v>57</v>
      </c>
      <c r="F279" s="1" t="s">
        <v>388</v>
      </c>
    </row>
    <row r="280" spans="1:6" ht="57.6" x14ac:dyDescent="0.3">
      <c r="A280">
        <v>3</v>
      </c>
      <c r="B280" s="2" t="s">
        <v>696</v>
      </c>
      <c r="C280" s="4" t="s">
        <v>691</v>
      </c>
      <c r="D280" s="3" t="s">
        <v>659</v>
      </c>
      <c r="E280" s="2" t="s">
        <v>58</v>
      </c>
      <c r="F280" s="1" t="s">
        <v>389</v>
      </c>
    </row>
    <row r="281" spans="1:6" ht="57.6" x14ac:dyDescent="0.3">
      <c r="A281">
        <v>3</v>
      </c>
      <c r="B281" s="2" t="s">
        <v>696</v>
      </c>
      <c r="C281" s="4" t="s">
        <v>691</v>
      </c>
      <c r="D281" s="3" t="s">
        <v>659</v>
      </c>
      <c r="E281" s="2" t="s">
        <v>0</v>
      </c>
      <c r="F281" s="1" t="s">
        <v>390</v>
      </c>
    </row>
    <row r="282" spans="1:6" ht="57.6" x14ac:dyDescent="0.3">
      <c r="A282">
        <v>3</v>
      </c>
      <c r="B282" s="2" t="s">
        <v>696</v>
      </c>
      <c r="C282" s="4" t="s">
        <v>691</v>
      </c>
      <c r="D282" s="3" t="s">
        <v>660</v>
      </c>
      <c r="E282" s="2" t="s">
        <v>59</v>
      </c>
      <c r="F282" s="1" t="s">
        <v>391</v>
      </c>
    </row>
    <row r="283" spans="1:6" ht="57.6" x14ac:dyDescent="0.3">
      <c r="A283">
        <v>3</v>
      </c>
      <c r="B283" s="2" t="s">
        <v>696</v>
      </c>
      <c r="C283" s="4" t="s">
        <v>691</v>
      </c>
      <c r="D283" s="3" t="s">
        <v>660</v>
      </c>
      <c r="E283" s="2" t="s">
        <v>59</v>
      </c>
      <c r="F283" s="1" t="s">
        <v>392</v>
      </c>
    </row>
    <row r="284" spans="1:6" ht="57.6" x14ac:dyDescent="0.3">
      <c r="A284">
        <v>3</v>
      </c>
      <c r="B284" s="2" t="s">
        <v>696</v>
      </c>
      <c r="C284" s="4" t="s">
        <v>691</v>
      </c>
      <c r="D284" s="3" t="s">
        <v>660</v>
      </c>
      <c r="E284" s="2" t="s">
        <v>60</v>
      </c>
      <c r="F284" s="1" t="s">
        <v>393</v>
      </c>
    </row>
    <row r="285" spans="1:6" ht="57.6" x14ac:dyDescent="0.3">
      <c r="A285">
        <v>3</v>
      </c>
      <c r="B285" s="2" t="s">
        <v>696</v>
      </c>
      <c r="C285" s="4" t="s">
        <v>691</v>
      </c>
      <c r="D285" s="3" t="s">
        <v>660</v>
      </c>
      <c r="E285" s="2" t="s">
        <v>61</v>
      </c>
      <c r="F285" s="1" t="s">
        <v>394</v>
      </c>
    </row>
    <row r="286" spans="1:6" ht="57.6" x14ac:dyDescent="0.3">
      <c r="A286">
        <v>3</v>
      </c>
      <c r="B286" s="2" t="s">
        <v>696</v>
      </c>
      <c r="C286" s="4" t="s">
        <v>691</v>
      </c>
      <c r="D286" s="3" t="s">
        <v>660</v>
      </c>
      <c r="E286" s="2" t="s">
        <v>61</v>
      </c>
      <c r="F286" s="1" t="s">
        <v>395</v>
      </c>
    </row>
    <row r="287" spans="1:6" ht="57.6" x14ac:dyDescent="0.3">
      <c r="A287">
        <v>3</v>
      </c>
      <c r="B287" s="2" t="s">
        <v>696</v>
      </c>
      <c r="C287" s="4" t="s">
        <v>691</v>
      </c>
      <c r="D287" s="3" t="s">
        <v>660</v>
      </c>
      <c r="E287" s="2" t="s">
        <v>62</v>
      </c>
      <c r="F287" s="1" t="s">
        <v>396</v>
      </c>
    </row>
    <row r="288" spans="1:6" ht="57.6" x14ac:dyDescent="0.3">
      <c r="A288">
        <v>3</v>
      </c>
      <c r="B288" s="2" t="s">
        <v>696</v>
      </c>
      <c r="C288" s="4" t="s">
        <v>691</v>
      </c>
      <c r="D288" s="3" t="s">
        <v>660</v>
      </c>
      <c r="E288" s="2" t="s">
        <v>63</v>
      </c>
      <c r="F288" s="1" t="s">
        <v>397</v>
      </c>
    </row>
    <row r="289" spans="1:6" ht="57.6" x14ac:dyDescent="0.3">
      <c r="A289">
        <v>3</v>
      </c>
      <c r="B289" s="2" t="s">
        <v>696</v>
      </c>
      <c r="C289" s="4" t="s">
        <v>691</v>
      </c>
      <c r="D289" s="3" t="s">
        <v>660</v>
      </c>
      <c r="E289" s="2" t="s">
        <v>63</v>
      </c>
      <c r="F289" s="1" t="s">
        <v>398</v>
      </c>
    </row>
    <row r="290" spans="1:6" ht="57.6" x14ac:dyDescent="0.3">
      <c r="A290">
        <v>3</v>
      </c>
      <c r="B290" s="2" t="s">
        <v>696</v>
      </c>
      <c r="C290" s="4" t="s">
        <v>691</v>
      </c>
      <c r="D290" s="3" t="s">
        <v>660</v>
      </c>
      <c r="E290" s="2" t="s">
        <v>63</v>
      </c>
      <c r="F290" s="1" t="s">
        <v>399</v>
      </c>
    </row>
    <row r="291" spans="1:6" ht="57.6" x14ac:dyDescent="0.3">
      <c r="A291">
        <v>3</v>
      </c>
      <c r="B291" s="2" t="s">
        <v>696</v>
      </c>
      <c r="C291" s="4" t="s">
        <v>691</v>
      </c>
      <c r="D291" s="3" t="s">
        <v>660</v>
      </c>
      <c r="E291" s="2" t="s">
        <v>63</v>
      </c>
      <c r="F291" s="1" t="s">
        <v>400</v>
      </c>
    </row>
    <row r="292" spans="1:6" ht="57.6" x14ac:dyDescent="0.3">
      <c r="A292">
        <v>3</v>
      </c>
      <c r="B292" s="2" t="s">
        <v>696</v>
      </c>
      <c r="C292" s="4" t="s">
        <v>691</v>
      </c>
      <c r="D292" s="3" t="s">
        <v>660</v>
      </c>
      <c r="E292" s="2" t="s">
        <v>64</v>
      </c>
      <c r="F292" s="1" t="s">
        <v>393</v>
      </c>
    </row>
    <row r="293" spans="1:6" ht="57.6" x14ac:dyDescent="0.3">
      <c r="A293">
        <v>3</v>
      </c>
      <c r="B293" s="2" t="s">
        <v>696</v>
      </c>
      <c r="C293" s="4" t="s">
        <v>691</v>
      </c>
      <c r="D293" s="3" t="s">
        <v>660</v>
      </c>
      <c r="E293" s="2" t="s">
        <v>65</v>
      </c>
      <c r="F293" s="1" t="s">
        <v>393</v>
      </c>
    </row>
    <row r="294" spans="1:6" ht="57.6" x14ac:dyDescent="0.3">
      <c r="A294">
        <v>3</v>
      </c>
      <c r="B294" s="2" t="s">
        <v>696</v>
      </c>
      <c r="C294" s="4" t="s">
        <v>691</v>
      </c>
      <c r="D294" s="3" t="s">
        <v>660</v>
      </c>
      <c r="E294" s="2" t="s">
        <v>66</v>
      </c>
      <c r="F294" s="1" t="s">
        <v>393</v>
      </c>
    </row>
    <row r="295" spans="1:6" ht="57.6" x14ac:dyDescent="0.3">
      <c r="A295">
        <v>3</v>
      </c>
      <c r="B295" s="2" t="s">
        <v>696</v>
      </c>
      <c r="C295" s="4" t="s">
        <v>691</v>
      </c>
      <c r="D295" s="3" t="s">
        <v>660</v>
      </c>
      <c r="E295" s="2" t="s">
        <v>66</v>
      </c>
      <c r="F295" s="1" t="s">
        <v>401</v>
      </c>
    </row>
    <row r="296" spans="1:6" ht="57.6" x14ac:dyDescent="0.3">
      <c r="A296">
        <v>3</v>
      </c>
      <c r="B296" s="2" t="s">
        <v>696</v>
      </c>
      <c r="C296" s="4" t="s">
        <v>691</v>
      </c>
      <c r="D296" s="3" t="s">
        <v>660</v>
      </c>
      <c r="E296" s="2" t="s">
        <v>66</v>
      </c>
      <c r="F296" s="1" t="s">
        <v>402</v>
      </c>
    </row>
    <row r="297" spans="1:6" ht="57.6" x14ac:dyDescent="0.3">
      <c r="A297">
        <v>3</v>
      </c>
      <c r="B297" s="2" t="s">
        <v>696</v>
      </c>
      <c r="C297" s="4" t="s">
        <v>691</v>
      </c>
      <c r="D297" s="3" t="s">
        <v>660</v>
      </c>
      <c r="E297" s="2" t="s">
        <v>67</v>
      </c>
      <c r="F297" s="1" t="s">
        <v>403</v>
      </c>
    </row>
    <row r="298" spans="1:6" ht="57.6" x14ac:dyDescent="0.3">
      <c r="A298">
        <v>3</v>
      </c>
      <c r="B298" s="2" t="s">
        <v>696</v>
      </c>
      <c r="C298" s="4" t="s">
        <v>691</v>
      </c>
      <c r="D298" s="3" t="s">
        <v>660</v>
      </c>
      <c r="E298" s="2" t="s">
        <v>67</v>
      </c>
      <c r="F298" s="1" t="s">
        <v>404</v>
      </c>
    </row>
    <row r="299" spans="1:6" ht="57.6" x14ac:dyDescent="0.3">
      <c r="A299">
        <v>3</v>
      </c>
      <c r="B299" s="2" t="s">
        <v>696</v>
      </c>
      <c r="C299" s="4" t="s">
        <v>691</v>
      </c>
      <c r="D299" s="3" t="s">
        <v>660</v>
      </c>
      <c r="E299" s="2" t="s">
        <v>67</v>
      </c>
      <c r="F299" s="1" t="s">
        <v>405</v>
      </c>
    </row>
    <row r="300" spans="1:6" ht="57.6" x14ac:dyDescent="0.3">
      <c r="A300">
        <v>3</v>
      </c>
      <c r="B300" s="2" t="s">
        <v>696</v>
      </c>
      <c r="C300" s="4" t="s">
        <v>691</v>
      </c>
      <c r="D300" s="3" t="s">
        <v>660</v>
      </c>
      <c r="E300" s="2" t="s">
        <v>67</v>
      </c>
      <c r="F300" s="1" t="s">
        <v>406</v>
      </c>
    </row>
    <row r="301" spans="1:6" ht="57.6" x14ac:dyDescent="0.3">
      <c r="A301">
        <v>3</v>
      </c>
      <c r="B301" s="2" t="s">
        <v>696</v>
      </c>
      <c r="C301" s="4" t="s">
        <v>691</v>
      </c>
      <c r="D301" s="3" t="s">
        <v>660</v>
      </c>
      <c r="E301" s="2" t="s">
        <v>67</v>
      </c>
      <c r="F301" s="1" t="s">
        <v>407</v>
      </c>
    </row>
    <row r="302" spans="1:6" ht="57.6" x14ac:dyDescent="0.3">
      <c r="A302">
        <v>3</v>
      </c>
      <c r="B302" s="2" t="s">
        <v>696</v>
      </c>
      <c r="C302" s="4" t="s">
        <v>691</v>
      </c>
      <c r="D302" s="3" t="s">
        <v>661</v>
      </c>
      <c r="E302" s="2" t="s">
        <v>68</v>
      </c>
      <c r="F302" s="1" t="s">
        <v>408</v>
      </c>
    </row>
    <row r="303" spans="1:6" ht="57.6" x14ac:dyDescent="0.3">
      <c r="A303">
        <v>3</v>
      </c>
      <c r="B303" s="2" t="s">
        <v>696</v>
      </c>
      <c r="C303" s="4" t="s">
        <v>691</v>
      </c>
      <c r="D303" s="3" t="s">
        <v>661</v>
      </c>
      <c r="E303" s="2" t="s">
        <v>69</v>
      </c>
      <c r="F303" s="1" t="s">
        <v>409</v>
      </c>
    </row>
    <row r="304" spans="1:6" ht="57.6" x14ac:dyDescent="0.3">
      <c r="A304">
        <v>3</v>
      </c>
      <c r="B304" s="2" t="s">
        <v>696</v>
      </c>
      <c r="C304" s="4" t="s">
        <v>691</v>
      </c>
      <c r="D304" s="3" t="s">
        <v>661</v>
      </c>
      <c r="E304" s="2" t="s">
        <v>70</v>
      </c>
      <c r="F304" s="1" t="s">
        <v>410</v>
      </c>
    </row>
    <row r="305" spans="1:6" ht="57.6" x14ac:dyDescent="0.3">
      <c r="A305">
        <v>4</v>
      </c>
      <c r="B305" s="2" t="s">
        <v>697</v>
      </c>
      <c r="C305" s="4" t="s">
        <v>692</v>
      </c>
      <c r="D305" s="3" t="s">
        <v>662</v>
      </c>
      <c r="E305" s="2" t="s">
        <v>71</v>
      </c>
      <c r="F305" s="1" t="s">
        <v>411</v>
      </c>
    </row>
    <row r="306" spans="1:6" ht="57.6" x14ac:dyDescent="0.3">
      <c r="A306">
        <v>4</v>
      </c>
      <c r="B306" s="2" t="s">
        <v>697</v>
      </c>
      <c r="C306" s="4" t="s">
        <v>692</v>
      </c>
      <c r="D306" s="3" t="s">
        <v>662</v>
      </c>
      <c r="E306" s="2" t="s">
        <v>71</v>
      </c>
      <c r="F306" s="1" t="s">
        <v>160</v>
      </c>
    </row>
    <row r="307" spans="1:6" ht="57.6" x14ac:dyDescent="0.3">
      <c r="A307">
        <v>4</v>
      </c>
      <c r="B307" s="2" t="s">
        <v>697</v>
      </c>
      <c r="C307" s="4" t="s">
        <v>692</v>
      </c>
      <c r="D307" s="3" t="s">
        <v>662</v>
      </c>
      <c r="E307" s="2" t="s">
        <v>71</v>
      </c>
      <c r="F307" s="1" t="s">
        <v>412</v>
      </c>
    </row>
    <row r="308" spans="1:6" ht="57.6" x14ac:dyDescent="0.3">
      <c r="A308">
        <v>4</v>
      </c>
      <c r="B308" s="2" t="s">
        <v>697</v>
      </c>
      <c r="C308" s="4" t="s">
        <v>692</v>
      </c>
      <c r="D308" s="3" t="s">
        <v>662</v>
      </c>
      <c r="E308" s="2" t="s">
        <v>71</v>
      </c>
      <c r="F308" s="1" t="s">
        <v>413</v>
      </c>
    </row>
    <row r="309" spans="1:6" ht="57.6" x14ac:dyDescent="0.3">
      <c r="A309">
        <v>4</v>
      </c>
      <c r="B309" s="2" t="s">
        <v>697</v>
      </c>
      <c r="C309" s="4" t="s">
        <v>692</v>
      </c>
      <c r="D309" s="3" t="s">
        <v>662</v>
      </c>
      <c r="E309" s="2" t="s">
        <v>71</v>
      </c>
      <c r="F309" s="1" t="s">
        <v>414</v>
      </c>
    </row>
    <row r="310" spans="1:6" ht="57.6" x14ac:dyDescent="0.3">
      <c r="A310">
        <v>4</v>
      </c>
      <c r="B310" s="2" t="s">
        <v>697</v>
      </c>
      <c r="C310" s="4" t="s">
        <v>692</v>
      </c>
      <c r="D310" s="3" t="s">
        <v>662</v>
      </c>
      <c r="E310" s="2" t="s">
        <v>71</v>
      </c>
      <c r="F310" s="1" t="s">
        <v>415</v>
      </c>
    </row>
    <row r="311" spans="1:6" ht="57.6" x14ac:dyDescent="0.3">
      <c r="A311">
        <v>4</v>
      </c>
      <c r="B311" s="2" t="s">
        <v>697</v>
      </c>
      <c r="C311" s="4" t="s">
        <v>692</v>
      </c>
      <c r="D311" s="3" t="s">
        <v>662</v>
      </c>
      <c r="E311" s="2" t="s">
        <v>71</v>
      </c>
      <c r="F311" s="1" t="s">
        <v>416</v>
      </c>
    </row>
    <row r="312" spans="1:6" ht="57.6" x14ac:dyDescent="0.3">
      <c r="A312">
        <v>4</v>
      </c>
      <c r="B312" s="2" t="s">
        <v>697</v>
      </c>
      <c r="C312" s="4" t="s">
        <v>692</v>
      </c>
      <c r="D312" s="3" t="s">
        <v>662</v>
      </c>
      <c r="E312" s="2" t="s">
        <v>72</v>
      </c>
      <c r="F312" s="1" t="s">
        <v>417</v>
      </c>
    </row>
    <row r="313" spans="1:6" ht="57.6" x14ac:dyDescent="0.3">
      <c r="A313">
        <v>4</v>
      </c>
      <c r="B313" s="2" t="s">
        <v>697</v>
      </c>
      <c r="C313" s="4" t="s">
        <v>692</v>
      </c>
      <c r="D313" s="3" t="s">
        <v>662</v>
      </c>
      <c r="E313" s="2" t="s">
        <v>72</v>
      </c>
      <c r="F313" s="1" t="s">
        <v>418</v>
      </c>
    </row>
    <row r="314" spans="1:6" ht="57.6" x14ac:dyDescent="0.3">
      <c r="A314">
        <v>4</v>
      </c>
      <c r="B314" s="2" t="s">
        <v>697</v>
      </c>
      <c r="C314" s="4" t="s">
        <v>692</v>
      </c>
      <c r="D314" s="3" t="s">
        <v>662</v>
      </c>
      <c r="E314" s="2" t="s">
        <v>73</v>
      </c>
      <c r="F314" s="1" t="s">
        <v>419</v>
      </c>
    </row>
    <row r="315" spans="1:6" ht="57.6" x14ac:dyDescent="0.3">
      <c r="A315">
        <v>4</v>
      </c>
      <c r="B315" s="2" t="s">
        <v>697</v>
      </c>
      <c r="C315" s="4" t="s">
        <v>692</v>
      </c>
      <c r="D315" s="3" t="s">
        <v>662</v>
      </c>
      <c r="E315" s="2" t="s">
        <v>73</v>
      </c>
      <c r="F315" s="1" t="s">
        <v>420</v>
      </c>
    </row>
    <row r="316" spans="1:6" ht="57.6" x14ac:dyDescent="0.3">
      <c r="A316">
        <v>4</v>
      </c>
      <c r="B316" s="2" t="s">
        <v>697</v>
      </c>
      <c r="C316" s="4" t="s">
        <v>692</v>
      </c>
      <c r="D316" s="3" t="s">
        <v>662</v>
      </c>
      <c r="E316" s="2" t="s">
        <v>74</v>
      </c>
      <c r="F316" s="1" t="s">
        <v>421</v>
      </c>
    </row>
    <row r="317" spans="1:6" ht="57.6" x14ac:dyDescent="0.3">
      <c r="A317">
        <v>4</v>
      </c>
      <c r="B317" s="2" t="s">
        <v>697</v>
      </c>
      <c r="C317" s="4" t="s">
        <v>692</v>
      </c>
      <c r="D317" s="3" t="s">
        <v>662</v>
      </c>
      <c r="E317" s="2" t="s">
        <v>74</v>
      </c>
      <c r="F317" s="1" t="s">
        <v>422</v>
      </c>
    </row>
    <row r="318" spans="1:6" ht="57.6" x14ac:dyDescent="0.3">
      <c r="A318">
        <v>4</v>
      </c>
      <c r="B318" s="2" t="s">
        <v>697</v>
      </c>
      <c r="C318" s="4" t="s">
        <v>692</v>
      </c>
      <c r="D318" s="3" t="s">
        <v>662</v>
      </c>
      <c r="E318" s="2" t="s">
        <v>74</v>
      </c>
      <c r="F318" s="1" t="s">
        <v>423</v>
      </c>
    </row>
    <row r="319" spans="1:6" ht="57.6" x14ac:dyDescent="0.3">
      <c r="A319">
        <v>4</v>
      </c>
      <c r="B319" s="2" t="s">
        <v>697</v>
      </c>
      <c r="C319" s="4" t="s">
        <v>692</v>
      </c>
      <c r="D319" s="3" t="s">
        <v>662</v>
      </c>
      <c r="E319" s="2" t="s">
        <v>74</v>
      </c>
      <c r="F319" s="1" t="s">
        <v>424</v>
      </c>
    </row>
    <row r="320" spans="1:6" ht="57.6" x14ac:dyDescent="0.3">
      <c r="A320">
        <v>4</v>
      </c>
      <c r="B320" s="2" t="s">
        <v>697</v>
      </c>
      <c r="C320" s="4" t="s">
        <v>692</v>
      </c>
      <c r="D320" s="3" t="s">
        <v>662</v>
      </c>
      <c r="E320" s="2" t="s">
        <v>74</v>
      </c>
      <c r="F320" s="1" t="s">
        <v>425</v>
      </c>
    </row>
    <row r="321" spans="1:6" ht="57.6" x14ac:dyDescent="0.3">
      <c r="A321">
        <v>4</v>
      </c>
      <c r="B321" s="2" t="s">
        <v>697</v>
      </c>
      <c r="C321" s="4" t="s">
        <v>692</v>
      </c>
      <c r="D321" s="3" t="s">
        <v>662</v>
      </c>
      <c r="E321" s="2" t="s">
        <v>74</v>
      </c>
      <c r="F321" s="1" t="s">
        <v>159</v>
      </c>
    </row>
    <row r="322" spans="1:6" ht="57.6" x14ac:dyDescent="0.3">
      <c r="A322">
        <v>4</v>
      </c>
      <c r="B322" s="2" t="s">
        <v>697</v>
      </c>
      <c r="C322" s="4" t="s">
        <v>692</v>
      </c>
      <c r="D322" s="3" t="s">
        <v>662</v>
      </c>
      <c r="E322" s="2" t="s">
        <v>74</v>
      </c>
      <c r="F322" s="1" t="s">
        <v>153</v>
      </c>
    </row>
    <row r="323" spans="1:6" ht="57.6" x14ac:dyDescent="0.3">
      <c r="A323">
        <v>4</v>
      </c>
      <c r="B323" s="2" t="s">
        <v>697</v>
      </c>
      <c r="C323" s="4" t="s">
        <v>692</v>
      </c>
      <c r="D323" s="3" t="s">
        <v>662</v>
      </c>
      <c r="E323" s="2" t="s">
        <v>74</v>
      </c>
      <c r="F323" s="1" t="s">
        <v>426</v>
      </c>
    </row>
    <row r="324" spans="1:6" ht="57.6" x14ac:dyDescent="0.3">
      <c r="A324">
        <v>4</v>
      </c>
      <c r="B324" s="2" t="s">
        <v>697</v>
      </c>
      <c r="C324" s="4" t="s">
        <v>692</v>
      </c>
      <c r="D324" s="3" t="s">
        <v>662</v>
      </c>
      <c r="E324" s="2" t="s">
        <v>74</v>
      </c>
      <c r="F324" s="1" t="s">
        <v>427</v>
      </c>
    </row>
    <row r="325" spans="1:6" ht="57.6" x14ac:dyDescent="0.3">
      <c r="A325">
        <v>4</v>
      </c>
      <c r="B325" s="2" t="s">
        <v>697</v>
      </c>
      <c r="C325" s="4" t="s">
        <v>692</v>
      </c>
      <c r="D325" s="3" t="s">
        <v>662</v>
      </c>
      <c r="E325" s="2" t="s">
        <v>74</v>
      </c>
      <c r="F325" s="1" t="s">
        <v>173</v>
      </c>
    </row>
    <row r="326" spans="1:6" ht="57.6" x14ac:dyDescent="0.3">
      <c r="A326">
        <v>4</v>
      </c>
      <c r="B326" s="2" t="s">
        <v>697</v>
      </c>
      <c r="C326" s="4" t="s">
        <v>692</v>
      </c>
      <c r="D326" s="3" t="s">
        <v>662</v>
      </c>
      <c r="E326" s="2" t="s">
        <v>74</v>
      </c>
      <c r="F326" s="1" t="s">
        <v>156</v>
      </c>
    </row>
    <row r="327" spans="1:6" ht="57.6" x14ac:dyDescent="0.3">
      <c r="A327">
        <v>4</v>
      </c>
      <c r="B327" s="2" t="s">
        <v>697</v>
      </c>
      <c r="C327" s="4" t="s">
        <v>692</v>
      </c>
      <c r="D327" s="3" t="s">
        <v>662</v>
      </c>
      <c r="E327" s="2" t="s">
        <v>75</v>
      </c>
      <c r="F327" s="1" t="s">
        <v>428</v>
      </c>
    </row>
    <row r="328" spans="1:6" ht="57.6" x14ac:dyDescent="0.3">
      <c r="A328">
        <v>4</v>
      </c>
      <c r="B328" s="2" t="s">
        <v>697</v>
      </c>
      <c r="C328" s="4" t="s">
        <v>692</v>
      </c>
      <c r="D328" s="3" t="s">
        <v>662</v>
      </c>
      <c r="E328" s="2" t="s">
        <v>75</v>
      </c>
      <c r="F328" s="1" t="s">
        <v>429</v>
      </c>
    </row>
    <row r="329" spans="1:6" ht="57.6" x14ac:dyDescent="0.3">
      <c r="A329">
        <v>4</v>
      </c>
      <c r="B329" s="2" t="s">
        <v>697</v>
      </c>
      <c r="C329" s="4" t="s">
        <v>692</v>
      </c>
      <c r="D329" s="3" t="s">
        <v>662</v>
      </c>
      <c r="E329" s="2" t="s">
        <v>75</v>
      </c>
      <c r="F329" s="1" t="s">
        <v>161</v>
      </c>
    </row>
    <row r="330" spans="1:6" ht="57.6" x14ac:dyDescent="0.3">
      <c r="A330">
        <v>4</v>
      </c>
      <c r="B330" s="2" t="s">
        <v>697</v>
      </c>
      <c r="C330" s="4" t="s">
        <v>692</v>
      </c>
      <c r="D330" s="3" t="s">
        <v>662</v>
      </c>
      <c r="E330" s="2" t="s">
        <v>76</v>
      </c>
      <c r="F330" s="1" t="s">
        <v>430</v>
      </c>
    </row>
    <row r="331" spans="1:6" ht="57.6" x14ac:dyDescent="0.3">
      <c r="A331">
        <v>4</v>
      </c>
      <c r="B331" s="2" t="s">
        <v>697</v>
      </c>
      <c r="C331" s="4" t="s">
        <v>692</v>
      </c>
      <c r="D331" s="3" t="s">
        <v>662</v>
      </c>
      <c r="E331" s="2" t="s">
        <v>77</v>
      </c>
      <c r="F331" s="1" t="s">
        <v>149</v>
      </c>
    </row>
    <row r="332" spans="1:6" ht="57.6" x14ac:dyDescent="0.3">
      <c r="A332">
        <v>4</v>
      </c>
      <c r="B332" s="2" t="s">
        <v>697</v>
      </c>
      <c r="C332" s="4" t="s">
        <v>692</v>
      </c>
      <c r="D332" s="3" t="s">
        <v>662</v>
      </c>
      <c r="E332" s="2" t="s">
        <v>78</v>
      </c>
      <c r="F332" s="1" t="s">
        <v>431</v>
      </c>
    </row>
    <row r="333" spans="1:6" ht="57.6" x14ac:dyDescent="0.3">
      <c r="A333">
        <v>4</v>
      </c>
      <c r="B333" s="2" t="s">
        <v>697</v>
      </c>
      <c r="C333" s="4" t="s">
        <v>692</v>
      </c>
      <c r="D333" s="3" t="s">
        <v>662</v>
      </c>
      <c r="E333" s="2" t="s">
        <v>79</v>
      </c>
      <c r="F333" s="1" t="s">
        <v>154</v>
      </c>
    </row>
    <row r="334" spans="1:6" ht="57.6" x14ac:dyDescent="0.3">
      <c r="A334">
        <v>4</v>
      </c>
      <c r="B334" s="2" t="s">
        <v>697</v>
      </c>
      <c r="C334" s="4" t="s">
        <v>692</v>
      </c>
      <c r="D334" s="3" t="s">
        <v>662</v>
      </c>
      <c r="E334" s="2" t="s">
        <v>80</v>
      </c>
      <c r="F334" s="1" t="s">
        <v>432</v>
      </c>
    </row>
    <row r="335" spans="1:6" ht="57.6" x14ac:dyDescent="0.3">
      <c r="A335">
        <v>4</v>
      </c>
      <c r="B335" s="2" t="s">
        <v>697</v>
      </c>
      <c r="C335" s="4" t="s">
        <v>692</v>
      </c>
      <c r="D335" s="3" t="s">
        <v>662</v>
      </c>
      <c r="E335" s="2" t="s">
        <v>80</v>
      </c>
      <c r="F335" s="1" t="s">
        <v>149</v>
      </c>
    </row>
    <row r="336" spans="1:6" ht="57.6" x14ac:dyDescent="0.3">
      <c r="A336">
        <v>4</v>
      </c>
      <c r="B336" s="2" t="s">
        <v>697</v>
      </c>
      <c r="C336" s="4" t="s">
        <v>692</v>
      </c>
      <c r="D336" s="3" t="s">
        <v>662</v>
      </c>
      <c r="E336" s="2" t="s">
        <v>80</v>
      </c>
      <c r="F336" s="1" t="s">
        <v>150</v>
      </c>
    </row>
    <row r="337" spans="1:6" ht="57.6" x14ac:dyDescent="0.3">
      <c r="A337">
        <v>4</v>
      </c>
      <c r="B337" s="2" t="s">
        <v>697</v>
      </c>
      <c r="C337" s="4" t="s">
        <v>692</v>
      </c>
      <c r="D337" s="3" t="s">
        <v>662</v>
      </c>
      <c r="E337" s="2" t="s">
        <v>80</v>
      </c>
      <c r="F337" s="1" t="s">
        <v>433</v>
      </c>
    </row>
    <row r="338" spans="1:6" ht="57.6" x14ac:dyDescent="0.3">
      <c r="A338">
        <v>4</v>
      </c>
      <c r="B338" s="2" t="s">
        <v>697</v>
      </c>
      <c r="C338" s="4" t="s">
        <v>692</v>
      </c>
      <c r="D338" s="3" t="s">
        <v>662</v>
      </c>
      <c r="E338" s="2" t="s">
        <v>80</v>
      </c>
      <c r="F338" s="1" t="s">
        <v>163</v>
      </c>
    </row>
    <row r="339" spans="1:6" ht="57.6" x14ac:dyDescent="0.3">
      <c r="A339">
        <v>4</v>
      </c>
      <c r="B339" s="2" t="s">
        <v>697</v>
      </c>
      <c r="C339" s="4" t="s">
        <v>692</v>
      </c>
      <c r="D339" s="3" t="s">
        <v>662</v>
      </c>
      <c r="E339" s="2" t="s">
        <v>80</v>
      </c>
      <c r="F339" s="1" t="s">
        <v>232</v>
      </c>
    </row>
    <row r="340" spans="1:6" ht="57.6" x14ac:dyDescent="0.3">
      <c r="A340">
        <v>4</v>
      </c>
      <c r="B340" s="2" t="s">
        <v>697</v>
      </c>
      <c r="C340" s="4" t="s">
        <v>692</v>
      </c>
      <c r="D340" s="3" t="s">
        <v>662</v>
      </c>
      <c r="E340" s="2" t="s">
        <v>80</v>
      </c>
      <c r="F340" s="1" t="s">
        <v>179</v>
      </c>
    </row>
    <row r="341" spans="1:6" ht="57.6" x14ac:dyDescent="0.3">
      <c r="A341">
        <v>4</v>
      </c>
      <c r="B341" s="2" t="s">
        <v>697</v>
      </c>
      <c r="C341" s="4" t="s">
        <v>692</v>
      </c>
      <c r="D341" s="3" t="s">
        <v>662</v>
      </c>
      <c r="E341" s="2" t="s">
        <v>80</v>
      </c>
      <c r="F341" s="1" t="s">
        <v>159</v>
      </c>
    </row>
    <row r="342" spans="1:6" ht="57.6" x14ac:dyDescent="0.3">
      <c r="A342">
        <v>4</v>
      </c>
      <c r="B342" s="2" t="s">
        <v>697</v>
      </c>
      <c r="C342" s="4" t="s">
        <v>692</v>
      </c>
      <c r="D342" s="3" t="s">
        <v>662</v>
      </c>
      <c r="E342" s="2" t="s">
        <v>80</v>
      </c>
      <c r="F342" s="1" t="s">
        <v>153</v>
      </c>
    </row>
    <row r="343" spans="1:6" ht="57.6" x14ac:dyDescent="0.3">
      <c r="A343">
        <v>4</v>
      </c>
      <c r="B343" s="2" t="s">
        <v>697</v>
      </c>
      <c r="C343" s="4" t="s">
        <v>692</v>
      </c>
      <c r="D343" s="3" t="s">
        <v>662</v>
      </c>
      <c r="E343" s="2" t="s">
        <v>80</v>
      </c>
      <c r="F343" s="1" t="s">
        <v>280</v>
      </c>
    </row>
    <row r="344" spans="1:6" ht="57.6" x14ac:dyDescent="0.3">
      <c r="A344">
        <v>4</v>
      </c>
      <c r="B344" s="2" t="s">
        <v>697</v>
      </c>
      <c r="C344" s="4" t="s">
        <v>692</v>
      </c>
      <c r="D344" s="3" t="s">
        <v>662</v>
      </c>
      <c r="E344" s="2" t="s">
        <v>80</v>
      </c>
      <c r="F344" s="1" t="s">
        <v>434</v>
      </c>
    </row>
    <row r="345" spans="1:6" ht="57.6" x14ac:dyDescent="0.3">
      <c r="A345">
        <v>4</v>
      </c>
      <c r="B345" s="2" t="s">
        <v>697</v>
      </c>
      <c r="C345" s="4" t="s">
        <v>692</v>
      </c>
      <c r="D345" s="3" t="s">
        <v>662</v>
      </c>
      <c r="E345" s="2" t="s">
        <v>80</v>
      </c>
      <c r="F345" s="1" t="s">
        <v>435</v>
      </c>
    </row>
    <row r="346" spans="1:6" ht="57.6" x14ac:dyDescent="0.3">
      <c r="A346">
        <v>4</v>
      </c>
      <c r="B346" s="2" t="s">
        <v>697</v>
      </c>
      <c r="C346" s="4" t="s">
        <v>692</v>
      </c>
      <c r="D346" s="3" t="s">
        <v>662</v>
      </c>
      <c r="E346" s="2" t="s">
        <v>80</v>
      </c>
      <c r="F346" s="1" t="s">
        <v>436</v>
      </c>
    </row>
    <row r="347" spans="1:6" ht="57.6" x14ac:dyDescent="0.3">
      <c r="A347">
        <v>4</v>
      </c>
      <c r="B347" s="2" t="s">
        <v>697</v>
      </c>
      <c r="C347" s="4" t="s">
        <v>692</v>
      </c>
      <c r="D347" s="3" t="s">
        <v>662</v>
      </c>
      <c r="E347" s="2" t="s">
        <v>80</v>
      </c>
      <c r="F347" s="1" t="s">
        <v>437</v>
      </c>
    </row>
    <row r="348" spans="1:6" ht="57.6" x14ac:dyDescent="0.3">
      <c r="A348">
        <v>4</v>
      </c>
      <c r="B348" s="2" t="s">
        <v>697</v>
      </c>
      <c r="C348" s="4" t="s">
        <v>692</v>
      </c>
      <c r="D348" s="3" t="s">
        <v>662</v>
      </c>
      <c r="E348" s="2" t="s">
        <v>80</v>
      </c>
      <c r="F348" s="1" t="s">
        <v>438</v>
      </c>
    </row>
    <row r="349" spans="1:6" ht="57.6" x14ac:dyDescent="0.3">
      <c r="A349">
        <v>4</v>
      </c>
      <c r="B349" s="2" t="s">
        <v>697</v>
      </c>
      <c r="C349" s="4" t="s">
        <v>692</v>
      </c>
      <c r="D349" s="3" t="s">
        <v>662</v>
      </c>
      <c r="E349" s="2" t="s">
        <v>80</v>
      </c>
      <c r="F349" s="1" t="s">
        <v>439</v>
      </c>
    </row>
    <row r="350" spans="1:6" ht="57.6" x14ac:dyDescent="0.3">
      <c r="A350">
        <v>4</v>
      </c>
      <c r="B350" s="2" t="s">
        <v>697</v>
      </c>
      <c r="C350" s="4" t="s">
        <v>692</v>
      </c>
      <c r="D350" s="3" t="s">
        <v>663</v>
      </c>
      <c r="E350" s="2" t="s">
        <v>81</v>
      </c>
      <c r="F350" s="1" t="s">
        <v>440</v>
      </c>
    </row>
    <row r="351" spans="1:6" ht="57.6" x14ac:dyDescent="0.3">
      <c r="A351">
        <v>4</v>
      </c>
      <c r="B351" s="2" t="s">
        <v>697</v>
      </c>
      <c r="C351" s="4" t="s">
        <v>692</v>
      </c>
      <c r="D351" s="3" t="s">
        <v>663</v>
      </c>
      <c r="E351" s="2" t="s">
        <v>81</v>
      </c>
      <c r="F351" s="1" t="s">
        <v>441</v>
      </c>
    </row>
    <row r="352" spans="1:6" ht="57.6" x14ac:dyDescent="0.3">
      <c r="A352">
        <v>4</v>
      </c>
      <c r="B352" s="2" t="s">
        <v>697</v>
      </c>
      <c r="C352" s="4" t="s">
        <v>692</v>
      </c>
      <c r="D352" s="3" t="s">
        <v>663</v>
      </c>
      <c r="E352" s="2" t="s">
        <v>81</v>
      </c>
      <c r="F352" s="1" t="s">
        <v>149</v>
      </c>
    </row>
    <row r="353" spans="1:6" ht="57.6" x14ac:dyDescent="0.3">
      <c r="A353">
        <v>4</v>
      </c>
      <c r="B353" s="2" t="s">
        <v>697</v>
      </c>
      <c r="C353" s="4" t="s">
        <v>692</v>
      </c>
      <c r="D353" s="3" t="s">
        <v>663</v>
      </c>
      <c r="E353" s="2" t="s">
        <v>81</v>
      </c>
      <c r="F353" s="1" t="s">
        <v>442</v>
      </c>
    </row>
    <row r="354" spans="1:6" ht="57.6" x14ac:dyDescent="0.3">
      <c r="A354">
        <v>4</v>
      </c>
      <c r="B354" s="2" t="s">
        <v>697</v>
      </c>
      <c r="C354" s="4" t="s">
        <v>692</v>
      </c>
      <c r="D354" s="3" t="s">
        <v>663</v>
      </c>
      <c r="E354" s="2" t="s">
        <v>81</v>
      </c>
      <c r="F354" s="1" t="s">
        <v>443</v>
      </c>
    </row>
    <row r="355" spans="1:6" ht="57.6" x14ac:dyDescent="0.3">
      <c r="A355">
        <v>4</v>
      </c>
      <c r="B355" s="2" t="s">
        <v>697</v>
      </c>
      <c r="C355" s="4" t="s">
        <v>692</v>
      </c>
      <c r="D355" s="3" t="s">
        <v>663</v>
      </c>
      <c r="E355" s="2" t="s">
        <v>81</v>
      </c>
      <c r="F355" s="1" t="s">
        <v>168</v>
      </c>
    </row>
    <row r="356" spans="1:6" ht="57.6" x14ac:dyDescent="0.3">
      <c r="A356">
        <v>4</v>
      </c>
      <c r="B356" s="2" t="s">
        <v>697</v>
      </c>
      <c r="C356" s="4" t="s">
        <v>692</v>
      </c>
      <c r="D356" s="3" t="s">
        <v>663</v>
      </c>
      <c r="E356" s="2" t="s">
        <v>81</v>
      </c>
      <c r="F356" s="1" t="s">
        <v>444</v>
      </c>
    </row>
    <row r="357" spans="1:6" ht="57.6" x14ac:dyDescent="0.3">
      <c r="A357">
        <v>4</v>
      </c>
      <c r="B357" s="2" t="s">
        <v>697</v>
      </c>
      <c r="C357" s="4" t="s">
        <v>692</v>
      </c>
      <c r="D357" s="3" t="s">
        <v>663</v>
      </c>
      <c r="E357" s="2" t="s">
        <v>82</v>
      </c>
      <c r="F357" s="1" t="s">
        <v>445</v>
      </c>
    </row>
    <row r="358" spans="1:6" ht="57.6" x14ac:dyDescent="0.3">
      <c r="A358">
        <v>4</v>
      </c>
      <c r="B358" s="2" t="s">
        <v>697</v>
      </c>
      <c r="C358" s="4" t="s">
        <v>692</v>
      </c>
      <c r="D358" s="3" t="s">
        <v>663</v>
      </c>
      <c r="E358" s="2" t="s">
        <v>82</v>
      </c>
      <c r="F358" s="1" t="s">
        <v>446</v>
      </c>
    </row>
    <row r="359" spans="1:6" ht="57.6" x14ac:dyDescent="0.3">
      <c r="A359">
        <v>4</v>
      </c>
      <c r="B359" s="2" t="s">
        <v>697</v>
      </c>
      <c r="C359" s="4" t="s">
        <v>692</v>
      </c>
      <c r="D359" s="3" t="s">
        <v>663</v>
      </c>
      <c r="E359" s="2" t="s">
        <v>82</v>
      </c>
      <c r="F359" s="1" t="s">
        <v>447</v>
      </c>
    </row>
    <row r="360" spans="1:6" ht="57.6" x14ac:dyDescent="0.3">
      <c r="A360">
        <v>4</v>
      </c>
      <c r="B360" s="2" t="s">
        <v>697</v>
      </c>
      <c r="C360" s="4" t="s">
        <v>692</v>
      </c>
      <c r="D360" s="3" t="s">
        <v>663</v>
      </c>
      <c r="E360" s="2" t="s">
        <v>83</v>
      </c>
      <c r="F360" s="1" t="s">
        <v>448</v>
      </c>
    </row>
    <row r="361" spans="1:6" ht="57.6" x14ac:dyDescent="0.3">
      <c r="A361">
        <v>4</v>
      </c>
      <c r="B361" s="2" t="s">
        <v>697</v>
      </c>
      <c r="C361" s="4" t="s">
        <v>692</v>
      </c>
      <c r="D361" s="3" t="s">
        <v>663</v>
      </c>
      <c r="E361" s="2" t="s">
        <v>83</v>
      </c>
      <c r="F361" s="1" t="s">
        <v>280</v>
      </c>
    </row>
    <row r="362" spans="1:6" ht="57.6" x14ac:dyDescent="0.3">
      <c r="A362">
        <v>4</v>
      </c>
      <c r="B362" s="2" t="s">
        <v>697</v>
      </c>
      <c r="C362" s="4" t="s">
        <v>692</v>
      </c>
      <c r="D362" s="3" t="s">
        <v>663</v>
      </c>
      <c r="E362" s="2" t="s">
        <v>83</v>
      </c>
      <c r="F362" s="1" t="s">
        <v>449</v>
      </c>
    </row>
    <row r="363" spans="1:6" ht="57.6" x14ac:dyDescent="0.3">
      <c r="A363">
        <v>4</v>
      </c>
      <c r="B363" s="2" t="s">
        <v>697</v>
      </c>
      <c r="C363" s="4" t="s">
        <v>692</v>
      </c>
      <c r="D363" s="3" t="s">
        <v>663</v>
      </c>
      <c r="E363" s="2" t="s">
        <v>83</v>
      </c>
      <c r="F363" s="1" t="s">
        <v>450</v>
      </c>
    </row>
    <row r="364" spans="1:6" ht="57.6" x14ac:dyDescent="0.3">
      <c r="A364">
        <v>4</v>
      </c>
      <c r="B364" s="2" t="s">
        <v>697</v>
      </c>
      <c r="C364" s="4" t="s">
        <v>692</v>
      </c>
      <c r="D364" s="3" t="s">
        <v>663</v>
      </c>
      <c r="E364" s="2" t="s">
        <v>84</v>
      </c>
      <c r="F364" s="1" t="s">
        <v>451</v>
      </c>
    </row>
    <row r="365" spans="1:6" ht="57.6" x14ac:dyDescent="0.3">
      <c r="A365">
        <v>4</v>
      </c>
      <c r="B365" s="2" t="s">
        <v>697</v>
      </c>
      <c r="C365" s="4" t="s">
        <v>692</v>
      </c>
      <c r="D365" s="3" t="s">
        <v>663</v>
      </c>
      <c r="E365" s="2" t="s">
        <v>84</v>
      </c>
      <c r="F365" s="1" t="s">
        <v>452</v>
      </c>
    </row>
    <row r="366" spans="1:6" ht="57.6" x14ac:dyDescent="0.3">
      <c r="A366">
        <v>4</v>
      </c>
      <c r="B366" s="2" t="s">
        <v>697</v>
      </c>
      <c r="C366" s="4" t="s">
        <v>692</v>
      </c>
      <c r="D366" s="3" t="s">
        <v>664</v>
      </c>
      <c r="E366" s="2" t="s">
        <v>85</v>
      </c>
      <c r="F366" s="1" t="s">
        <v>453</v>
      </c>
    </row>
    <row r="367" spans="1:6" ht="57.6" x14ac:dyDescent="0.3">
      <c r="A367">
        <v>4</v>
      </c>
      <c r="B367" s="2" t="s">
        <v>697</v>
      </c>
      <c r="C367" s="4" t="s">
        <v>692</v>
      </c>
      <c r="D367" s="3" t="s">
        <v>664</v>
      </c>
      <c r="E367" s="2" t="s">
        <v>85</v>
      </c>
      <c r="F367" s="1" t="s">
        <v>454</v>
      </c>
    </row>
    <row r="368" spans="1:6" ht="57.6" x14ac:dyDescent="0.3">
      <c r="A368">
        <v>4</v>
      </c>
      <c r="B368" s="2" t="s">
        <v>697</v>
      </c>
      <c r="C368" s="4" t="s">
        <v>692</v>
      </c>
      <c r="D368" s="3" t="s">
        <v>664</v>
      </c>
      <c r="E368" s="2" t="s">
        <v>85</v>
      </c>
      <c r="F368" s="1" t="s">
        <v>455</v>
      </c>
    </row>
    <row r="369" spans="1:6" ht="57.6" x14ac:dyDescent="0.3">
      <c r="A369">
        <v>4</v>
      </c>
      <c r="B369" s="2" t="s">
        <v>697</v>
      </c>
      <c r="C369" s="4" t="s">
        <v>692</v>
      </c>
      <c r="D369" s="3" t="s">
        <v>664</v>
      </c>
      <c r="E369" s="2" t="s">
        <v>86</v>
      </c>
      <c r="F369" s="1" t="s">
        <v>456</v>
      </c>
    </row>
    <row r="370" spans="1:6" ht="57.6" x14ac:dyDescent="0.3">
      <c r="A370">
        <v>4</v>
      </c>
      <c r="B370" s="2" t="s">
        <v>697</v>
      </c>
      <c r="C370" s="4" t="s">
        <v>692</v>
      </c>
      <c r="D370" s="3" t="s">
        <v>664</v>
      </c>
      <c r="E370" s="2" t="s">
        <v>86</v>
      </c>
      <c r="F370" s="1" t="s">
        <v>457</v>
      </c>
    </row>
    <row r="371" spans="1:6" ht="57.6" x14ac:dyDescent="0.3">
      <c r="A371">
        <v>4</v>
      </c>
      <c r="B371" s="2" t="s">
        <v>697</v>
      </c>
      <c r="C371" s="4" t="s">
        <v>692</v>
      </c>
      <c r="D371" s="3" t="s">
        <v>664</v>
      </c>
      <c r="E371" s="2" t="s">
        <v>86</v>
      </c>
      <c r="F371" s="1" t="s">
        <v>458</v>
      </c>
    </row>
    <row r="372" spans="1:6" ht="57.6" x14ac:dyDescent="0.3">
      <c r="A372">
        <v>4</v>
      </c>
      <c r="B372" s="2" t="s">
        <v>697</v>
      </c>
      <c r="C372" s="4" t="s">
        <v>692</v>
      </c>
      <c r="D372" s="3" t="s">
        <v>664</v>
      </c>
      <c r="E372" s="2" t="s">
        <v>87</v>
      </c>
      <c r="F372" s="1" t="s">
        <v>459</v>
      </c>
    </row>
    <row r="373" spans="1:6" ht="57.6" x14ac:dyDescent="0.3">
      <c r="A373">
        <v>4</v>
      </c>
      <c r="B373" s="2" t="s">
        <v>697</v>
      </c>
      <c r="C373" s="4" t="s">
        <v>692</v>
      </c>
      <c r="D373" s="3" t="s">
        <v>664</v>
      </c>
      <c r="E373" s="2" t="s">
        <v>87</v>
      </c>
      <c r="F373" s="1" t="s">
        <v>460</v>
      </c>
    </row>
    <row r="374" spans="1:6" ht="57.6" x14ac:dyDescent="0.3">
      <c r="A374">
        <v>4</v>
      </c>
      <c r="B374" s="2" t="s">
        <v>697</v>
      </c>
      <c r="C374" s="4" t="s">
        <v>692</v>
      </c>
      <c r="D374" s="3" t="s">
        <v>664</v>
      </c>
      <c r="E374" s="2" t="s">
        <v>88</v>
      </c>
      <c r="F374" s="1" t="s">
        <v>461</v>
      </c>
    </row>
    <row r="375" spans="1:6" ht="57.6" x14ac:dyDescent="0.3">
      <c r="A375">
        <v>4</v>
      </c>
      <c r="B375" s="2" t="s">
        <v>697</v>
      </c>
      <c r="C375" s="4" t="s">
        <v>692</v>
      </c>
      <c r="D375" s="3" t="s">
        <v>664</v>
      </c>
      <c r="E375" s="2" t="s">
        <v>88</v>
      </c>
      <c r="F375" s="1" t="s">
        <v>462</v>
      </c>
    </row>
    <row r="376" spans="1:6" ht="57.6" x14ac:dyDescent="0.3">
      <c r="A376">
        <v>4</v>
      </c>
      <c r="B376" s="2" t="s">
        <v>697</v>
      </c>
      <c r="C376" s="4" t="s">
        <v>692</v>
      </c>
      <c r="D376" s="3" t="s">
        <v>664</v>
      </c>
      <c r="E376" s="2" t="s">
        <v>88</v>
      </c>
      <c r="F376" s="1" t="s">
        <v>463</v>
      </c>
    </row>
    <row r="377" spans="1:6" ht="57.6" x14ac:dyDescent="0.3">
      <c r="A377">
        <v>4</v>
      </c>
      <c r="B377" s="2" t="s">
        <v>697</v>
      </c>
      <c r="C377" s="4" t="s">
        <v>692</v>
      </c>
      <c r="D377" s="3" t="s">
        <v>665</v>
      </c>
      <c r="E377" s="2" t="s">
        <v>89</v>
      </c>
      <c r="F377" s="1" t="s">
        <v>464</v>
      </c>
    </row>
    <row r="378" spans="1:6" ht="57.6" x14ac:dyDescent="0.3">
      <c r="A378">
        <v>4</v>
      </c>
      <c r="B378" s="2" t="s">
        <v>697</v>
      </c>
      <c r="C378" s="4" t="s">
        <v>692</v>
      </c>
      <c r="D378" s="3" t="s">
        <v>665</v>
      </c>
      <c r="E378" s="2" t="s">
        <v>89</v>
      </c>
      <c r="F378" s="1" t="s">
        <v>465</v>
      </c>
    </row>
    <row r="379" spans="1:6" ht="57.6" x14ac:dyDescent="0.3">
      <c r="A379">
        <v>4</v>
      </c>
      <c r="B379" s="2" t="s">
        <v>697</v>
      </c>
      <c r="C379" s="4" t="s">
        <v>692</v>
      </c>
      <c r="D379" s="3" t="s">
        <v>665</v>
      </c>
      <c r="E379" s="2" t="s">
        <v>89</v>
      </c>
      <c r="F379" s="1" t="s">
        <v>466</v>
      </c>
    </row>
    <row r="380" spans="1:6" ht="57.6" x14ac:dyDescent="0.3">
      <c r="A380">
        <v>4</v>
      </c>
      <c r="B380" s="2" t="s">
        <v>697</v>
      </c>
      <c r="C380" s="4" t="s">
        <v>692</v>
      </c>
      <c r="D380" s="3" t="s">
        <v>665</v>
      </c>
      <c r="E380" s="2" t="s">
        <v>89</v>
      </c>
      <c r="F380" s="1" t="s">
        <v>467</v>
      </c>
    </row>
    <row r="381" spans="1:6" ht="57.6" x14ac:dyDescent="0.3">
      <c r="A381">
        <v>4</v>
      </c>
      <c r="B381" s="2" t="s">
        <v>697</v>
      </c>
      <c r="C381" s="4" t="s">
        <v>692</v>
      </c>
      <c r="D381" s="3" t="s">
        <v>665</v>
      </c>
      <c r="E381" s="2" t="s">
        <v>89</v>
      </c>
      <c r="F381" s="1" t="s">
        <v>468</v>
      </c>
    </row>
    <row r="382" spans="1:6" ht="57.6" x14ac:dyDescent="0.3">
      <c r="A382">
        <v>4</v>
      </c>
      <c r="B382" s="2" t="s">
        <v>697</v>
      </c>
      <c r="C382" s="4" t="s">
        <v>692</v>
      </c>
      <c r="D382" s="3" t="s">
        <v>665</v>
      </c>
      <c r="E382" s="2" t="s">
        <v>89</v>
      </c>
      <c r="F382" s="1" t="s">
        <v>469</v>
      </c>
    </row>
    <row r="383" spans="1:6" ht="57.6" x14ac:dyDescent="0.3">
      <c r="A383">
        <v>4</v>
      </c>
      <c r="B383" s="2" t="s">
        <v>697</v>
      </c>
      <c r="C383" s="4" t="s">
        <v>692</v>
      </c>
      <c r="D383" s="3" t="s">
        <v>665</v>
      </c>
      <c r="E383" s="2" t="s">
        <v>89</v>
      </c>
      <c r="F383" s="1" t="s">
        <v>470</v>
      </c>
    </row>
    <row r="384" spans="1:6" ht="57.6" x14ac:dyDescent="0.3">
      <c r="A384">
        <v>4</v>
      </c>
      <c r="B384" s="2" t="s">
        <v>697</v>
      </c>
      <c r="C384" s="4" t="s">
        <v>692</v>
      </c>
      <c r="D384" s="3" t="s">
        <v>665</v>
      </c>
      <c r="E384" s="2" t="s">
        <v>89</v>
      </c>
      <c r="F384" s="1" t="s">
        <v>471</v>
      </c>
    </row>
    <row r="385" spans="1:6" ht="57.6" x14ac:dyDescent="0.3">
      <c r="A385">
        <v>4</v>
      </c>
      <c r="B385" s="2" t="s">
        <v>697</v>
      </c>
      <c r="C385" s="4" t="s">
        <v>692</v>
      </c>
      <c r="D385" s="3" t="s">
        <v>665</v>
      </c>
      <c r="E385" s="2" t="s">
        <v>89</v>
      </c>
      <c r="F385" s="1" t="s">
        <v>472</v>
      </c>
    </row>
    <row r="386" spans="1:6" ht="57.6" x14ac:dyDescent="0.3">
      <c r="A386">
        <v>4</v>
      </c>
      <c r="B386" s="2" t="s">
        <v>697</v>
      </c>
      <c r="C386" s="4" t="s">
        <v>692</v>
      </c>
      <c r="D386" s="3" t="s">
        <v>665</v>
      </c>
      <c r="E386" s="2" t="s">
        <v>89</v>
      </c>
      <c r="F386" s="1" t="s">
        <v>473</v>
      </c>
    </row>
    <row r="387" spans="1:6" ht="57.6" x14ac:dyDescent="0.3">
      <c r="A387">
        <v>4</v>
      </c>
      <c r="B387" s="2" t="s">
        <v>697</v>
      </c>
      <c r="C387" s="4" t="s">
        <v>692</v>
      </c>
      <c r="D387" s="3" t="s">
        <v>666</v>
      </c>
      <c r="E387" s="2" t="s">
        <v>90</v>
      </c>
      <c r="F387" s="1" t="s">
        <v>474</v>
      </c>
    </row>
    <row r="388" spans="1:6" ht="57.6" x14ac:dyDescent="0.3">
      <c r="A388">
        <v>4</v>
      </c>
      <c r="B388" s="2" t="s">
        <v>697</v>
      </c>
      <c r="C388" s="4" t="s">
        <v>692</v>
      </c>
      <c r="D388" s="3" t="s">
        <v>666</v>
      </c>
      <c r="E388" s="2" t="s">
        <v>90</v>
      </c>
      <c r="F388" s="1" t="s">
        <v>475</v>
      </c>
    </row>
    <row r="389" spans="1:6" ht="57.6" x14ac:dyDescent="0.3">
      <c r="A389">
        <v>4</v>
      </c>
      <c r="B389" s="2" t="s">
        <v>697</v>
      </c>
      <c r="C389" s="4" t="s">
        <v>692</v>
      </c>
      <c r="D389" s="3" t="s">
        <v>666</v>
      </c>
      <c r="E389" s="2" t="s">
        <v>90</v>
      </c>
      <c r="F389" s="1" t="s">
        <v>476</v>
      </c>
    </row>
    <row r="390" spans="1:6" ht="57.6" x14ac:dyDescent="0.3">
      <c r="A390">
        <v>4</v>
      </c>
      <c r="B390" s="2" t="s">
        <v>697</v>
      </c>
      <c r="C390" s="4" t="s">
        <v>692</v>
      </c>
      <c r="D390" s="3" t="s">
        <v>666</v>
      </c>
      <c r="E390" s="2" t="s">
        <v>90</v>
      </c>
      <c r="F390" s="1" t="s">
        <v>477</v>
      </c>
    </row>
    <row r="391" spans="1:6" ht="57.6" x14ac:dyDescent="0.3">
      <c r="A391">
        <v>4</v>
      </c>
      <c r="B391" s="2" t="s">
        <v>697</v>
      </c>
      <c r="C391" s="4" t="s">
        <v>692</v>
      </c>
      <c r="D391" s="3" t="s">
        <v>666</v>
      </c>
      <c r="E391" s="2" t="s">
        <v>90</v>
      </c>
      <c r="F391" s="1" t="s">
        <v>478</v>
      </c>
    </row>
    <row r="392" spans="1:6" ht="57.6" x14ac:dyDescent="0.3">
      <c r="A392">
        <v>4</v>
      </c>
      <c r="B392" s="2" t="s">
        <v>697</v>
      </c>
      <c r="C392" s="4" t="s">
        <v>692</v>
      </c>
      <c r="D392" s="3" t="s">
        <v>666</v>
      </c>
      <c r="E392" s="2" t="s">
        <v>91</v>
      </c>
      <c r="F392" s="1" t="s">
        <v>479</v>
      </c>
    </row>
    <row r="393" spans="1:6" ht="57.6" x14ac:dyDescent="0.3">
      <c r="A393">
        <v>4</v>
      </c>
      <c r="B393" s="2" t="s">
        <v>697</v>
      </c>
      <c r="C393" s="4" t="s">
        <v>692</v>
      </c>
      <c r="D393" s="3" t="s">
        <v>666</v>
      </c>
      <c r="E393" s="2" t="s">
        <v>91</v>
      </c>
      <c r="F393" s="1" t="s">
        <v>480</v>
      </c>
    </row>
    <row r="394" spans="1:6" ht="57.6" x14ac:dyDescent="0.3">
      <c r="A394">
        <v>4</v>
      </c>
      <c r="B394" s="2" t="s">
        <v>697</v>
      </c>
      <c r="C394" s="4" t="s">
        <v>692</v>
      </c>
      <c r="D394" s="3" t="s">
        <v>666</v>
      </c>
      <c r="E394" s="2" t="s">
        <v>91</v>
      </c>
      <c r="F394" s="1" t="s">
        <v>481</v>
      </c>
    </row>
    <row r="395" spans="1:6" ht="57.6" x14ac:dyDescent="0.3">
      <c r="A395">
        <v>4</v>
      </c>
      <c r="B395" s="2" t="s">
        <v>697</v>
      </c>
      <c r="C395" s="4" t="s">
        <v>692</v>
      </c>
      <c r="D395" s="3" t="s">
        <v>667</v>
      </c>
      <c r="E395" s="2" t="s">
        <v>92</v>
      </c>
      <c r="F395" s="1" t="s">
        <v>482</v>
      </c>
    </row>
    <row r="396" spans="1:6" ht="57.6" x14ac:dyDescent="0.3">
      <c r="A396">
        <v>4</v>
      </c>
      <c r="B396" s="2" t="s">
        <v>697</v>
      </c>
      <c r="C396" s="4" t="s">
        <v>692</v>
      </c>
      <c r="D396" s="3" t="s">
        <v>667</v>
      </c>
      <c r="E396" s="2" t="s">
        <v>92</v>
      </c>
      <c r="F396" s="1" t="s">
        <v>149</v>
      </c>
    </row>
    <row r="397" spans="1:6" ht="57.6" x14ac:dyDescent="0.3">
      <c r="A397">
        <v>4</v>
      </c>
      <c r="B397" s="2" t="s">
        <v>697</v>
      </c>
      <c r="C397" s="4" t="s">
        <v>692</v>
      </c>
      <c r="D397" s="3" t="s">
        <v>667</v>
      </c>
      <c r="E397" s="2" t="s">
        <v>92</v>
      </c>
      <c r="F397" s="1" t="s">
        <v>483</v>
      </c>
    </row>
    <row r="398" spans="1:6" ht="57.6" x14ac:dyDescent="0.3">
      <c r="A398">
        <v>4</v>
      </c>
      <c r="B398" s="2" t="s">
        <v>697</v>
      </c>
      <c r="C398" s="4" t="s">
        <v>692</v>
      </c>
      <c r="D398" s="3" t="s">
        <v>667</v>
      </c>
      <c r="E398" s="2" t="s">
        <v>92</v>
      </c>
      <c r="F398" s="1" t="s">
        <v>484</v>
      </c>
    </row>
    <row r="399" spans="1:6" ht="57.6" x14ac:dyDescent="0.3">
      <c r="A399">
        <v>4</v>
      </c>
      <c r="B399" s="2" t="s">
        <v>697</v>
      </c>
      <c r="C399" s="4" t="s">
        <v>692</v>
      </c>
      <c r="D399" s="3" t="s">
        <v>667</v>
      </c>
      <c r="E399" s="2" t="s">
        <v>93</v>
      </c>
      <c r="F399" s="1" t="s">
        <v>485</v>
      </c>
    </row>
    <row r="400" spans="1:6" ht="57.6" x14ac:dyDescent="0.3">
      <c r="A400">
        <v>4</v>
      </c>
      <c r="B400" s="2" t="s">
        <v>697</v>
      </c>
      <c r="C400" s="4" t="s">
        <v>692</v>
      </c>
      <c r="D400" s="3" t="s">
        <v>667</v>
      </c>
      <c r="E400" s="2" t="s">
        <v>93</v>
      </c>
      <c r="F400" s="1" t="s">
        <v>486</v>
      </c>
    </row>
    <row r="401" spans="1:6" ht="57.6" x14ac:dyDescent="0.3">
      <c r="A401">
        <v>4</v>
      </c>
      <c r="B401" s="2" t="s">
        <v>697</v>
      </c>
      <c r="C401" s="4" t="s">
        <v>692</v>
      </c>
      <c r="D401" s="3" t="s">
        <v>667</v>
      </c>
      <c r="E401" s="2" t="s">
        <v>93</v>
      </c>
      <c r="F401" s="1" t="s">
        <v>487</v>
      </c>
    </row>
    <row r="402" spans="1:6" ht="57.6" x14ac:dyDescent="0.3">
      <c r="A402">
        <v>4</v>
      </c>
      <c r="B402" s="2" t="s">
        <v>697</v>
      </c>
      <c r="C402" s="4" t="s">
        <v>692</v>
      </c>
      <c r="D402" s="3" t="s">
        <v>667</v>
      </c>
      <c r="E402" s="2" t="s">
        <v>93</v>
      </c>
      <c r="F402" s="1" t="s">
        <v>488</v>
      </c>
    </row>
    <row r="403" spans="1:6" ht="57.6" x14ac:dyDescent="0.3">
      <c r="A403">
        <v>4</v>
      </c>
      <c r="B403" s="2" t="s">
        <v>697</v>
      </c>
      <c r="C403" s="4" t="s">
        <v>692</v>
      </c>
      <c r="D403" s="3" t="s">
        <v>667</v>
      </c>
      <c r="E403" s="2" t="s">
        <v>94</v>
      </c>
      <c r="F403" s="1" t="s">
        <v>489</v>
      </c>
    </row>
    <row r="404" spans="1:6" ht="57.6" x14ac:dyDescent="0.3">
      <c r="A404">
        <v>4</v>
      </c>
      <c r="B404" s="2" t="s">
        <v>697</v>
      </c>
      <c r="C404" s="4" t="s">
        <v>692</v>
      </c>
      <c r="D404" s="3" t="s">
        <v>667</v>
      </c>
      <c r="E404" s="2" t="s">
        <v>94</v>
      </c>
      <c r="F404" s="1" t="s">
        <v>490</v>
      </c>
    </row>
    <row r="405" spans="1:6" ht="57.6" x14ac:dyDescent="0.3">
      <c r="A405">
        <v>4</v>
      </c>
      <c r="B405" s="2" t="s">
        <v>697</v>
      </c>
      <c r="C405" s="4" t="s">
        <v>692</v>
      </c>
      <c r="D405" s="3" t="s">
        <v>667</v>
      </c>
      <c r="E405" s="2" t="s">
        <v>94</v>
      </c>
      <c r="F405" s="1" t="s">
        <v>487</v>
      </c>
    </row>
    <row r="406" spans="1:6" ht="57.6" x14ac:dyDescent="0.3">
      <c r="A406">
        <v>4</v>
      </c>
      <c r="B406" s="2" t="s">
        <v>697</v>
      </c>
      <c r="C406" s="4" t="s">
        <v>692</v>
      </c>
      <c r="D406" s="3" t="s">
        <v>667</v>
      </c>
      <c r="E406" s="2" t="s">
        <v>94</v>
      </c>
      <c r="F406" s="1" t="s">
        <v>488</v>
      </c>
    </row>
    <row r="407" spans="1:6" ht="57.6" x14ac:dyDescent="0.3">
      <c r="A407">
        <v>4</v>
      </c>
      <c r="B407" s="2" t="s">
        <v>697</v>
      </c>
      <c r="C407" s="4" t="s">
        <v>692</v>
      </c>
      <c r="D407" s="3" t="s">
        <v>668</v>
      </c>
      <c r="E407" s="2" t="s">
        <v>95</v>
      </c>
      <c r="F407" s="1" t="s">
        <v>214</v>
      </c>
    </row>
    <row r="408" spans="1:6" ht="57.6" x14ac:dyDescent="0.3">
      <c r="A408">
        <v>4</v>
      </c>
      <c r="B408" s="2" t="s">
        <v>697</v>
      </c>
      <c r="C408" s="4" t="s">
        <v>692</v>
      </c>
      <c r="D408" s="3" t="s">
        <v>668</v>
      </c>
      <c r="E408" s="2" t="s">
        <v>95</v>
      </c>
      <c r="F408" s="1" t="s">
        <v>234</v>
      </c>
    </row>
    <row r="409" spans="1:6" ht="57.6" x14ac:dyDescent="0.3">
      <c r="A409">
        <v>4</v>
      </c>
      <c r="B409" s="2" t="s">
        <v>697</v>
      </c>
      <c r="C409" s="4" t="s">
        <v>692</v>
      </c>
      <c r="D409" s="3" t="s">
        <v>668</v>
      </c>
      <c r="E409" s="2" t="s">
        <v>95</v>
      </c>
      <c r="F409" s="1" t="s">
        <v>149</v>
      </c>
    </row>
    <row r="410" spans="1:6" ht="57.6" x14ac:dyDescent="0.3">
      <c r="A410">
        <v>4</v>
      </c>
      <c r="B410" s="2" t="s">
        <v>697</v>
      </c>
      <c r="C410" s="4" t="s">
        <v>692</v>
      </c>
      <c r="D410" s="3" t="s">
        <v>668</v>
      </c>
      <c r="E410" s="2" t="s">
        <v>95</v>
      </c>
      <c r="F410" s="1" t="s">
        <v>491</v>
      </c>
    </row>
    <row r="411" spans="1:6" ht="57.6" x14ac:dyDescent="0.3">
      <c r="A411">
        <v>4</v>
      </c>
      <c r="B411" s="2" t="s">
        <v>697</v>
      </c>
      <c r="C411" s="4" t="s">
        <v>692</v>
      </c>
      <c r="D411" s="3" t="s">
        <v>668</v>
      </c>
      <c r="E411" s="2" t="s">
        <v>95</v>
      </c>
      <c r="F411" s="1" t="s">
        <v>492</v>
      </c>
    </row>
    <row r="412" spans="1:6" ht="57.6" x14ac:dyDescent="0.3">
      <c r="A412">
        <v>4</v>
      </c>
      <c r="B412" s="2" t="s">
        <v>697</v>
      </c>
      <c r="C412" s="4" t="s">
        <v>692</v>
      </c>
      <c r="D412" s="3" t="s">
        <v>668</v>
      </c>
      <c r="E412" s="2" t="s">
        <v>95</v>
      </c>
      <c r="F412" s="1" t="s">
        <v>493</v>
      </c>
    </row>
    <row r="413" spans="1:6" ht="57.6" x14ac:dyDescent="0.3">
      <c r="A413">
        <v>4</v>
      </c>
      <c r="B413" s="2" t="s">
        <v>697</v>
      </c>
      <c r="C413" s="4" t="s">
        <v>692</v>
      </c>
      <c r="D413" s="3" t="s">
        <v>668</v>
      </c>
      <c r="E413" s="2" t="s">
        <v>95</v>
      </c>
      <c r="F413" s="1" t="s">
        <v>232</v>
      </c>
    </row>
    <row r="414" spans="1:6" ht="57.6" x14ac:dyDescent="0.3">
      <c r="A414">
        <v>4</v>
      </c>
      <c r="B414" s="2" t="s">
        <v>697</v>
      </c>
      <c r="C414" s="4" t="s">
        <v>692</v>
      </c>
      <c r="D414" s="3" t="s">
        <v>668</v>
      </c>
      <c r="E414" s="2" t="s">
        <v>95</v>
      </c>
      <c r="F414" s="1" t="s">
        <v>179</v>
      </c>
    </row>
    <row r="415" spans="1:6" ht="57.6" x14ac:dyDescent="0.3">
      <c r="A415">
        <v>4</v>
      </c>
      <c r="B415" s="2" t="s">
        <v>697</v>
      </c>
      <c r="C415" s="4" t="s">
        <v>692</v>
      </c>
      <c r="D415" s="3" t="s">
        <v>668</v>
      </c>
      <c r="E415" s="2" t="s">
        <v>95</v>
      </c>
      <c r="F415" s="1" t="s">
        <v>159</v>
      </c>
    </row>
    <row r="416" spans="1:6" ht="57.6" x14ac:dyDescent="0.3">
      <c r="A416">
        <v>4</v>
      </c>
      <c r="B416" s="2" t="s">
        <v>697</v>
      </c>
      <c r="C416" s="4" t="s">
        <v>692</v>
      </c>
      <c r="D416" s="3" t="s">
        <v>668</v>
      </c>
      <c r="E416" s="2" t="s">
        <v>95</v>
      </c>
      <c r="F416" s="1" t="s">
        <v>153</v>
      </c>
    </row>
    <row r="417" spans="1:6" ht="57.6" x14ac:dyDescent="0.3">
      <c r="A417">
        <v>4</v>
      </c>
      <c r="B417" s="2" t="s">
        <v>697</v>
      </c>
      <c r="C417" s="4" t="s">
        <v>692</v>
      </c>
      <c r="D417" s="3" t="s">
        <v>668</v>
      </c>
      <c r="E417" s="2" t="s">
        <v>95</v>
      </c>
      <c r="F417" s="1" t="s">
        <v>494</v>
      </c>
    </row>
    <row r="418" spans="1:6" ht="57.6" x14ac:dyDescent="0.3">
      <c r="A418">
        <v>4</v>
      </c>
      <c r="B418" s="2" t="s">
        <v>697</v>
      </c>
      <c r="C418" s="4" t="s">
        <v>692</v>
      </c>
      <c r="D418" s="3" t="s">
        <v>668</v>
      </c>
      <c r="E418" s="2" t="s">
        <v>95</v>
      </c>
      <c r="F418" s="1" t="s">
        <v>434</v>
      </c>
    </row>
    <row r="419" spans="1:6" ht="57.6" x14ac:dyDescent="0.3">
      <c r="A419">
        <v>4</v>
      </c>
      <c r="B419" s="2" t="s">
        <v>697</v>
      </c>
      <c r="C419" s="4" t="s">
        <v>693</v>
      </c>
      <c r="D419" s="3" t="s">
        <v>669</v>
      </c>
      <c r="E419" s="2" t="s">
        <v>96</v>
      </c>
      <c r="F419" s="1" t="s">
        <v>495</v>
      </c>
    </row>
    <row r="420" spans="1:6" ht="57.6" x14ac:dyDescent="0.3">
      <c r="A420">
        <v>4</v>
      </c>
      <c r="B420" s="2" t="s">
        <v>697</v>
      </c>
      <c r="C420" s="4" t="s">
        <v>693</v>
      </c>
      <c r="D420" s="3" t="s">
        <v>669</v>
      </c>
      <c r="E420" s="2" t="s">
        <v>96</v>
      </c>
      <c r="F420" s="1" t="s">
        <v>149</v>
      </c>
    </row>
    <row r="421" spans="1:6" ht="57.6" x14ac:dyDescent="0.3">
      <c r="A421">
        <v>4</v>
      </c>
      <c r="B421" s="2" t="s">
        <v>697</v>
      </c>
      <c r="C421" s="4" t="s">
        <v>693</v>
      </c>
      <c r="D421" s="3" t="s">
        <v>669</v>
      </c>
      <c r="E421" s="2" t="s">
        <v>96</v>
      </c>
      <c r="F421" s="1" t="s">
        <v>491</v>
      </c>
    </row>
    <row r="422" spans="1:6" ht="57.6" x14ac:dyDescent="0.3">
      <c r="A422">
        <v>4</v>
      </c>
      <c r="B422" s="2" t="s">
        <v>697</v>
      </c>
      <c r="C422" s="4" t="s">
        <v>693</v>
      </c>
      <c r="D422" s="3" t="s">
        <v>669</v>
      </c>
      <c r="E422" s="2" t="s">
        <v>96</v>
      </c>
      <c r="F422" s="1" t="s">
        <v>492</v>
      </c>
    </row>
    <row r="423" spans="1:6" ht="57.6" x14ac:dyDescent="0.3">
      <c r="A423">
        <v>4</v>
      </c>
      <c r="B423" s="2" t="s">
        <v>697</v>
      </c>
      <c r="C423" s="4" t="s">
        <v>693</v>
      </c>
      <c r="D423" s="3" t="s">
        <v>669</v>
      </c>
      <c r="E423" s="2" t="s">
        <v>96</v>
      </c>
      <c r="F423" s="1" t="s">
        <v>493</v>
      </c>
    </row>
    <row r="424" spans="1:6" ht="57.6" x14ac:dyDescent="0.3">
      <c r="A424">
        <v>4</v>
      </c>
      <c r="B424" s="2" t="s">
        <v>697</v>
      </c>
      <c r="C424" s="4" t="s">
        <v>693</v>
      </c>
      <c r="D424" s="3" t="s">
        <v>669</v>
      </c>
      <c r="E424" s="2" t="s">
        <v>96</v>
      </c>
      <c r="F424" s="1" t="s">
        <v>232</v>
      </c>
    </row>
    <row r="425" spans="1:6" ht="57.6" x14ac:dyDescent="0.3">
      <c r="A425">
        <v>4</v>
      </c>
      <c r="B425" s="2" t="s">
        <v>697</v>
      </c>
      <c r="C425" s="4" t="s">
        <v>693</v>
      </c>
      <c r="D425" s="3" t="s">
        <v>669</v>
      </c>
      <c r="E425" s="2" t="s">
        <v>96</v>
      </c>
      <c r="F425" s="1" t="s">
        <v>179</v>
      </c>
    </row>
    <row r="426" spans="1:6" ht="57.6" x14ac:dyDescent="0.3">
      <c r="A426">
        <v>4</v>
      </c>
      <c r="B426" s="2" t="s">
        <v>697</v>
      </c>
      <c r="C426" s="4" t="s">
        <v>693</v>
      </c>
      <c r="D426" s="3" t="s">
        <v>669</v>
      </c>
      <c r="E426" s="2" t="s">
        <v>96</v>
      </c>
      <c r="F426" s="1" t="s">
        <v>159</v>
      </c>
    </row>
    <row r="427" spans="1:6" ht="57.6" x14ac:dyDescent="0.3">
      <c r="A427">
        <v>4</v>
      </c>
      <c r="B427" s="2" t="s">
        <v>697</v>
      </c>
      <c r="C427" s="4" t="s">
        <v>693</v>
      </c>
      <c r="D427" s="3" t="s">
        <v>669</v>
      </c>
      <c r="E427" s="2" t="s">
        <v>96</v>
      </c>
      <c r="F427" s="1" t="s">
        <v>153</v>
      </c>
    </row>
    <row r="428" spans="1:6" ht="57.6" x14ac:dyDescent="0.3">
      <c r="A428">
        <v>4</v>
      </c>
      <c r="B428" s="2" t="s">
        <v>697</v>
      </c>
      <c r="C428" s="4" t="s">
        <v>693</v>
      </c>
      <c r="D428" s="3" t="s">
        <v>669</v>
      </c>
      <c r="E428" s="2" t="s">
        <v>96</v>
      </c>
      <c r="F428" s="1" t="s">
        <v>494</v>
      </c>
    </row>
    <row r="429" spans="1:6" ht="57.6" x14ac:dyDescent="0.3">
      <c r="A429">
        <v>4</v>
      </c>
      <c r="B429" s="2" t="s">
        <v>697</v>
      </c>
      <c r="C429" s="4" t="s">
        <v>693</v>
      </c>
      <c r="D429" s="3" t="s">
        <v>669</v>
      </c>
      <c r="E429" s="2" t="s">
        <v>96</v>
      </c>
      <c r="F429" s="1" t="s">
        <v>434</v>
      </c>
    </row>
    <row r="430" spans="1:6" ht="57.6" x14ac:dyDescent="0.3">
      <c r="A430">
        <v>4</v>
      </c>
      <c r="B430" s="2" t="s">
        <v>697</v>
      </c>
      <c r="C430" s="4" t="s">
        <v>693</v>
      </c>
      <c r="D430" s="3" t="s">
        <v>669</v>
      </c>
      <c r="E430" s="2" t="s">
        <v>97</v>
      </c>
      <c r="F430" s="1" t="s">
        <v>496</v>
      </c>
    </row>
    <row r="431" spans="1:6" ht="57.6" x14ac:dyDescent="0.3">
      <c r="A431">
        <v>4</v>
      </c>
      <c r="B431" s="2" t="s">
        <v>697</v>
      </c>
      <c r="C431" s="4" t="s">
        <v>693</v>
      </c>
      <c r="D431" s="3" t="s">
        <v>669</v>
      </c>
      <c r="E431" s="2" t="s">
        <v>97</v>
      </c>
      <c r="F431" s="1" t="s">
        <v>497</v>
      </c>
    </row>
    <row r="432" spans="1:6" ht="57.6" x14ac:dyDescent="0.3">
      <c r="A432">
        <v>4</v>
      </c>
      <c r="B432" s="2" t="s">
        <v>697</v>
      </c>
      <c r="C432" s="4" t="s">
        <v>693</v>
      </c>
      <c r="D432" s="3" t="s">
        <v>669</v>
      </c>
      <c r="E432" s="2" t="s">
        <v>97</v>
      </c>
      <c r="F432" s="1" t="s">
        <v>498</v>
      </c>
    </row>
    <row r="433" spans="1:6" ht="57.6" x14ac:dyDescent="0.3">
      <c r="A433">
        <v>4</v>
      </c>
      <c r="B433" s="2" t="s">
        <v>697</v>
      </c>
      <c r="C433" s="4" t="s">
        <v>693</v>
      </c>
      <c r="D433" s="3" t="s">
        <v>669</v>
      </c>
      <c r="E433" s="2" t="s">
        <v>97</v>
      </c>
      <c r="F433" s="1" t="s">
        <v>499</v>
      </c>
    </row>
    <row r="434" spans="1:6" ht="57.6" x14ac:dyDescent="0.3">
      <c r="A434">
        <v>4</v>
      </c>
      <c r="B434" s="2" t="s">
        <v>697</v>
      </c>
      <c r="C434" s="4" t="s">
        <v>693</v>
      </c>
      <c r="D434" s="3" t="s">
        <v>669</v>
      </c>
      <c r="E434" s="2" t="s">
        <v>98</v>
      </c>
      <c r="F434" s="1" t="s">
        <v>500</v>
      </c>
    </row>
    <row r="435" spans="1:6" ht="57.6" x14ac:dyDescent="0.3">
      <c r="A435">
        <v>4</v>
      </c>
      <c r="B435" s="2" t="s">
        <v>697</v>
      </c>
      <c r="C435" s="4" t="s">
        <v>693</v>
      </c>
      <c r="D435" s="3" t="s">
        <v>669</v>
      </c>
      <c r="E435" s="2" t="s">
        <v>98</v>
      </c>
      <c r="F435" s="1" t="s">
        <v>501</v>
      </c>
    </row>
    <row r="436" spans="1:6" ht="57.6" x14ac:dyDescent="0.3">
      <c r="A436">
        <v>4</v>
      </c>
      <c r="B436" s="2" t="s">
        <v>697</v>
      </c>
      <c r="C436" s="4" t="s">
        <v>693</v>
      </c>
      <c r="D436" s="3" t="s">
        <v>669</v>
      </c>
      <c r="E436" s="2" t="s">
        <v>98</v>
      </c>
      <c r="F436" s="1" t="s">
        <v>502</v>
      </c>
    </row>
    <row r="437" spans="1:6" ht="57.6" x14ac:dyDescent="0.3">
      <c r="A437">
        <v>4</v>
      </c>
      <c r="B437" s="2" t="s">
        <v>697</v>
      </c>
      <c r="C437" s="4" t="s">
        <v>693</v>
      </c>
      <c r="D437" s="3" t="s">
        <v>669</v>
      </c>
      <c r="E437" s="2" t="s">
        <v>98</v>
      </c>
      <c r="F437" s="1" t="s">
        <v>503</v>
      </c>
    </row>
    <row r="438" spans="1:6" ht="57.6" x14ac:dyDescent="0.3">
      <c r="A438">
        <v>4</v>
      </c>
      <c r="B438" s="2" t="s">
        <v>697</v>
      </c>
      <c r="C438" s="4" t="s">
        <v>693</v>
      </c>
      <c r="D438" s="3" t="s">
        <v>669</v>
      </c>
      <c r="E438" s="2" t="s">
        <v>98</v>
      </c>
      <c r="F438" s="1" t="s">
        <v>504</v>
      </c>
    </row>
    <row r="439" spans="1:6" ht="57.6" x14ac:dyDescent="0.3">
      <c r="A439">
        <v>4</v>
      </c>
      <c r="B439" s="2" t="s">
        <v>697</v>
      </c>
      <c r="C439" s="4" t="s">
        <v>693</v>
      </c>
      <c r="D439" s="3" t="s">
        <v>669</v>
      </c>
      <c r="E439" s="2" t="s">
        <v>98</v>
      </c>
      <c r="F439" s="1" t="s">
        <v>505</v>
      </c>
    </row>
    <row r="440" spans="1:6" ht="57.6" x14ac:dyDescent="0.3">
      <c r="A440">
        <v>4</v>
      </c>
      <c r="B440" s="2" t="s">
        <v>697</v>
      </c>
      <c r="C440" s="4" t="s">
        <v>693</v>
      </c>
      <c r="D440" s="3" t="s">
        <v>669</v>
      </c>
      <c r="E440" s="2" t="s">
        <v>98</v>
      </c>
      <c r="F440" s="1" t="s">
        <v>506</v>
      </c>
    </row>
    <row r="441" spans="1:6" ht="57.6" x14ac:dyDescent="0.3">
      <c r="A441">
        <v>4</v>
      </c>
      <c r="B441" s="2" t="s">
        <v>697</v>
      </c>
      <c r="C441" s="4" t="s">
        <v>693</v>
      </c>
      <c r="D441" s="3" t="s">
        <v>669</v>
      </c>
      <c r="E441" s="2" t="s">
        <v>99</v>
      </c>
      <c r="F441" s="1" t="s">
        <v>158</v>
      </c>
    </row>
    <row r="442" spans="1:6" ht="57.6" x14ac:dyDescent="0.3">
      <c r="A442">
        <v>4</v>
      </c>
      <c r="B442" s="2" t="s">
        <v>697</v>
      </c>
      <c r="C442" s="4" t="s">
        <v>693</v>
      </c>
      <c r="D442" s="3" t="s">
        <v>669</v>
      </c>
      <c r="E442" s="2" t="s">
        <v>99</v>
      </c>
      <c r="F442" s="1" t="s">
        <v>482</v>
      </c>
    </row>
    <row r="443" spans="1:6" ht="57.6" x14ac:dyDescent="0.3">
      <c r="A443">
        <v>4</v>
      </c>
      <c r="B443" s="2" t="s">
        <v>697</v>
      </c>
      <c r="C443" s="4" t="s">
        <v>693</v>
      </c>
      <c r="D443" s="3" t="s">
        <v>669</v>
      </c>
      <c r="E443" s="2" t="s">
        <v>99</v>
      </c>
      <c r="F443" s="1" t="s">
        <v>149</v>
      </c>
    </row>
    <row r="444" spans="1:6" ht="57.6" x14ac:dyDescent="0.3">
      <c r="A444">
        <v>4</v>
      </c>
      <c r="B444" s="2" t="s">
        <v>697</v>
      </c>
      <c r="C444" s="4" t="s">
        <v>693</v>
      </c>
      <c r="D444" s="3" t="s">
        <v>669</v>
      </c>
      <c r="E444" s="2" t="s">
        <v>99</v>
      </c>
      <c r="F444" s="1" t="s">
        <v>507</v>
      </c>
    </row>
    <row r="445" spans="1:6" ht="57.6" x14ac:dyDescent="0.3">
      <c r="A445">
        <v>4</v>
      </c>
      <c r="B445" s="2" t="s">
        <v>697</v>
      </c>
      <c r="C445" s="4" t="s">
        <v>693</v>
      </c>
      <c r="D445" s="3" t="s">
        <v>669</v>
      </c>
      <c r="E445" s="2" t="s">
        <v>99</v>
      </c>
      <c r="F445" s="1" t="s">
        <v>508</v>
      </c>
    </row>
    <row r="446" spans="1:6" ht="57.6" x14ac:dyDescent="0.3">
      <c r="A446">
        <v>4</v>
      </c>
      <c r="B446" s="2" t="s">
        <v>697</v>
      </c>
      <c r="C446" s="4" t="s">
        <v>693</v>
      </c>
      <c r="D446" s="3" t="s">
        <v>669</v>
      </c>
      <c r="E446" s="2" t="s">
        <v>99</v>
      </c>
      <c r="F446" s="1" t="s">
        <v>509</v>
      </c>
    </row>
    <row r="447" spans="1:6" ht="57.6" x14ac:dyDescent="0.3">
      <c r="A447">
        <v>4</v>
      </c>
      <c r="B447" s="2" t="s">
        <v>697</v>
      </c>
      <c r="C447" s="4" t="s">
        <v>693</v>
      </c>
      <c r="D447" s="3" t="s">
        <v>669</v>
      </c>
      <c r="E447" s="2" t="s">
        <v>99</v>
      </c>
      <c r="F447" s="1" t="s">
        <v>510</v>
      </c>
    </row>
    <row r="448" spans="1:6" ht="57.6" x14ac:dyDescent="0.3">
      <c r="A448">
        <v>4</v>
      </c>
      <c r="B448" s="2" t="s">
        <v>697</v>
      </c>
      <c r="C448" s="4" t="s">
        <v>693</v>
      </c>
      <c r="D448" s="3" t="s">
        <v>669</v>
      </c>
      <c r="E448" s="2" t="s">
        <v>99</v>
      </c>
      <c r="F448" s="1" t="s">
        <v>511</v>
      </c>
    </row>
    <row r="449" spans="1:6" ht="57.6" x14ac:dyDescent="0.3">
      <c r="A449">
        <v>4</v>
      </c>
      <c r="B449" s="2" t="s">
        <v>697</v>
      </c>
      <c r="C449" s="4" t="s">
        <v>693</v>
      </c>
      <c r="D449" s="3" t="s">
        <v>669</v>
      </c>
      <c r="E449" s="2" t="s">
        <v>100</v>
      </c>
      <c r="F449" s="1" t="s">
        <v>214</v>
      </c>
    </row>
    <row r="450" spans="1:6" ht="57.6" x14ac:dyDescent="0.3">
      <c r="A450">
        <v>4</v>
      </c>
      <c r="B450" s="2" t="s">
        <v>697</v>
      </c>
      <c r="C450" s="4" t="s">
        <v>693</v>
      </c>
      <c r="D450" s="3" t="s">
        <v>669</v>
      </c>
      <c r="E450" s="2" t="s">
        <v>100</v>
      </c>
      <c r="F450" s="1" t="s">
        <v>149</v>
      </c>
    </row>
    <row r="451" spans="1:6" ht="57.6" x14ac:dyDescent="0.3">
      <c r="A451">
        <v>4</v>
      </c>
      <c r="B451" s="2" t="s">
        <v>697</v>
      </c>
      <c r="C451" s="4" t="s">
        <v>693</v>
      </c>
      <c r="D451" s="3" t="s">
        <v>669</v>
      </c>
      <c r="E451" s="2" t="s">
        <v>100</v>
      </c>
      <c r="F451" s="1" t="s">
        <v>512</v>
      </c>
    </row>
    <row r="452" spans="1:6" ht="57.6" x14ac:dyDescent="0.3">
      <c r="A452">
        <v>4</v>
      </c>
      <c r="B452" s="2" t="s">
        <v>697</v>
      </c>
      <c r="C452" s="4" t="s">
        <v>693</v>
      </c>
      <c r="D452" s="3" t="s">
        <v>669</v>
      </c>
      <c r="E452" s="2" t="s">
        <v>100</v>
      </c>
      <c r="F452" s="1" t="s">
        <v>513</v>
      </c>
    </row>
    <row r="453" spans="1:6" ht="57.6" x14ac:dyDescent="0.3">
      <c r="A453">
        <v>4</v>
      </c>
      <c r="B453" s="2" t="s">
        <v>697</v>
      </c>
      <c r="C453" s="4" t="s">
        <v>693</v>
      </c>
      <c r="D453" s="3" t="s">
        <v>669</v>
      </c>
      <c r="E453" s="2" t="s">
        <v>100</v>
      </c>
      <c r="F453" s="1" t="s">
        <v>514</v>
      </c>
    </row>
    <row r="454" spans="1:6" ht="57.6" x14ac:dyDescent="0.3">
      <c r="A454">
        <v>4</v>
      </c>
      <c r="B454" s="2" t="s">
        <v>697</v>
      </c>
      <c r="C454" s="4" t="s">
        <v>693</v>
      </c>
      <c r="D454" s="3" t="s">
        <v>669</v>
      </c>
      <c r="E454" s="2" t="s">
        <v>100</v>
      </c>
      <c r="F454" s="1" t="s">
        <v>515</v>
      </c>
    </row>
    <row r="455" spans="1:6" ht="57.6" x14ac:dyDescent="0.3">
      <c r="A455">
        <v>4</v>
      </c>
      <c r="B455" s="2" t="s">
        <v>697</v>
      </c>
      <c r="C455" s="4" t="s">
        <v>693</v>
      </c>
      <c r="D455" s="3" t="s">
        <v>669</v>
      </c>
      <c r="E455" s="2" t="s">
        <v>100</v>
      </c>
      <c r="F455" s="1" t="s">
        <v>516</v>
      </c>
    </row>
    <row r="456" spans="1:6" ht="57.6" x14ac:dyDescent="0.3">
      <c r="A456">
        <v>4</v>
      </c>
      <c r="B456" s="2" t="s">
        <v>697</v>
      </c>
      <c r="C456" s="4" t="s">
        <v>693</v>
      </c>
      <c r="D456" s="3" t="s">
        <v>669</v>
      </c>
      <c r="E456" s="2" t="s">
        <v>101</v>
      </c>
      <c r="F456" s="1" t="s">
        <v>517</v>
      </c>
    </row>
    <row r="457" spans="1:6" ht="57.6" x14ac:dyDescent="0.3">
      <c r="A457">
        <v>4</v>
      </c>
      <c r="B457" s="2" t="s">
        <v>697</v>
      </c>
      <c r="C457" s="4" t="s">
        <v>693</v>
      </c>
      <c r="D457" s="3" t="s">
        <v>669</v>
      </c>
      <c r="E457" s="2" t="s">
        <v>101</v>
      </c>
      <c r="F457" s="1" t="s">
        <v>164</v>
      </c>
    </row>
    <row r="458" spans="1:6" ht="57.6" x14ac:dyDescent="0.3">
      <c r="A458">
        <v>4</v>
      </c>
      <c r="B458" s="2" t="s">
        <v>697</v>
      </c>
      <c r="C458" s="4" t="s">
        <v>693</v>
      </c>
      <c r="D458" s="3" t="s">
        <v>669</v>
      </c>
      <c r="E458" s="2" t="s">
        <v>101</v>
      </c>
      <c r="F458" s="1" t="s">
        <v>518</v>
      </c>
    </row>
    <row r="459" spans="1:6" ht="57.6" x14ac:dyDescent="0.3">
      <c r="A459">
        <v>4</v>
      </c>
      <c r="B459" s="2" t="s">
        <v>697</v>
      </c>
      <c r="C459" s="4" t="s">
        <v>693</v>
      </c>
      <c r="D459" s="3" t="s">
        <v>669</v>
      </c>
      <c r="E459" s="2" t="s">
        <v>101</v>
      </c>
      <c r="F459" s="1" t="s">
        <v>519</v>
      </c>
    </row>
    <row r="460" spans="1:6" ht="57.6" x14ac:dyDescent="0.3">
      <c r="A460">
        <v>4</v>
      </c>
      <c r="B460" s="2" t="s">
        <v>697</v>
      </c>
      <c r="C460" s="4" t="s">
        <v>693</v>
      </c>
      <c r="D460" s="3" t="s">
        <v>669</v>
      </c>
      <c r="E460" s="2" t="s">
        <v>101</v>
      </c>
      <c r="F460" s="1" t="s">
        <v>520</v>
      </c>
    </row>
    <row r="461" spans="1:6" ht="57.6" x14ac:dyDescent="0.3">
      <c r="A461">
        <v>4</v>
      </c>
      <c r="B461" s="2" t="s">
        <v>697</v>
      </c>
      <c r="C461" s="4" t="s">
        <v>693</v>
      </c>
      <c r="D461" s="3" t="s">
        <v>670</v>
      </c>
      <c r="E461" s="2" t="s">
        <v>102</v>
      </c>
      <c r="F461" s="1" t="s">
        <v>521</v>
      </c>
    </row>
    <row r="462" spans="1:6" ht="57.6" x14ac:dyDescent="0.3">
      <c r="A462">
        <v>4</v>
      </c>
      <c r="B462" s="2" t="s">
        <v>697</v>
      </c>
      <c r="C462" s="4" t="s">
        <v>693</v>
      </c>
      <c r="D462" s="3" t="s">
        <v>670</v>
      </c>
      <c r="E462" s="2" t="s">
        <v>103</v>
      </c>
      <c r="F462" s="1" t="s">
        <v>522</v>
      </c>
    </row>
    <row r="463" spans="1:6" ht="57.6" x14ac:dyDescent="0.3">
      <c r="A463">
        <v>4</v>
      </c>
      <c r="B463" s="2" t="s">
        <v>697</v>
      </c>
      <c r="C463" s="4" t="s">
        <v>693</v>
      </c>
      <c r="D463" s="3" t="s">
        <v>670</v>
      </c>
      <c r="E463" s="2" t="s">
        <v>103</v>
      </c>
      <c r="F463" s="1" t="s">
        <v>523</v>
      </c>
    </row>
    <row r="464" spans="1:6" ht="57.6" x14ac:dyDescent="0.3">
      <c r="A464">
        <v>4</v>
      </c>
      <c r="B464" s="2" t="s">
        <v>697</v>
      </c>
      <c r="C464" s="4" t="s">
        <v>693</v>
      </c>
      <c r="D464" s="3" t="s">
        <v>670</v>
      </c>
      <c r="E464" s="2" t="s">
        <v>103</v>
      </c>
      <c r="F464" s="1" t="s">
        <v>524</v>
      </c>
    </row>
    <row r="465" spans="1:6" ht="57.6" x14ac:dyDescent="0.3">
      <c r="A465">
        <v>4</v>
      </c>
      <c r="B465" s="2" t="s">
        <v>697</v>
      </c>
      <c r="C465" s="4" t="s">
        <v>693</v>
      </c>
      <c r="D465" s="3" t="s">
        <v>670</v>
      </c>
      <c r="E465" s="2" t="s">
        <v>104</v>
      </c>
      <c r="F465" s="1" t="s">
        <v>525</v>
      </c>
    </row>
    <row r="466" spans="1:6" ht="57.6" x14ac:dyDescent="0.3">
      <c r="A466">
        <v>4</v>
      </c>
      <c r="B466" s="2" t="s">
        <v>697</v>
      </c>
      <c r="C466" s="4" t="s">
        <v>693</v>
      </c>
      <c r="D466" s="3" t="s">
        <v>670</v>
      </c>
      <c r="E466" s="2" t="s">
        <v>104</v>
      </c>
      <c r="F466" s="1" t="s">
        <v>526</v>
      </c>
    </row>
    <row r="467" spans="1:6" ht="57.6" x14ac:dyDescent="0.3">
      <c r="A467">
        <v>4</v>
      </c>
      <c r="B467" s="2" t="s">
        <v>697</v>
      </c>
      <c r="C467" s="4" t="s">
        <v>693</v>
      </c>
      <c r="D467" s="3" t="s">
        <v>670</v>
      </c>
      <c r="E467" s="2" t="s">
        <v>104</v>
      </c>
      <c r="F467" s="1" t="s">
        <v>527</v>
      </c>
    </row>
    <row r="468" spans="1:6" ht="57.6" x14ac:dyDescent="0.3">
      <c r="A468">
        <v>4</v>
      </c>
      <c r="B468" s="2" t="s">
        <v>697</v>
      </c>
      <c r="C468" s="4" t="s">
        <v>693</v>
      </c>
      <c r="D468" s="3" t="s">
        <v>670</v>
      </c>
      <c r="E468" s="2" t="s">
        <v>104</v>
      </c>
      <c r="F468" s="1" t="s">
        <v>528</v>
      </c>
    </row>
    <row r="469" spans="1:6" ht="57.6" x14ac:dyDescent="0.3">
      <c r="A469">
        <v>4</v>
      </c>
      <c r="B469" s="2" t="s">
        <v>697</v>
      </c>
      <c r="C469" s="4" t="s">
        <v>693</v>
      </c>
      <c r="D469" s="3" t="s">
        <v>670</v>
      </c>
      <c r="E469" s="2" t="s">
        <v>104</v>
      </c>
      <c r="F469" s="1" t="s">
        <v>179</v>
      </c>
    </row>
    <row r="470" spans="1:6" ht="57.6" x14ac:dyDescent="0.3">
      <c r="A470">
        <v>4</v>
      </c>
      <c r="B470" s="2" t="s">
        <v>697</v>
      </c>
      <c r="C470" s="4" t="s">
        <v>693</v>
      </c>
      <c r="D470" s="3" t="s">
        <v>670</v>
      </c>
      <c r="E470" s="2" t="s">
        <v>104</v>
      </c>
      <c r="F470" s="1" t="s">
        <v>159</v>
      </c>
    </row>
    <row r="471" spans="1:6" ht="57.6" x14ac:dyDescent="0.3">
      <c r="A471">
        <v>4</v>
      </c>
      <c r="B471" s="2" t="s">
        <v>697</v>
      </c>
      <c r="C471" s="4" t="s">
        <v>693</v>
      </c>
      <c r="D471" s="3" t="s">
        <v>670</v>
      </c>
      <c r="E471" s="2" t="s">
        <v>104</v>
      </c>
      <c r="F471" s="1" t="s">
        <v>153</v>
      </c>
    </row>
    <row r="472" spans="1:6" ht="57.6" x14ac:dyDescent="0.3">
      <c r="A472">
        <v>4</v>
      </c>
      <c r="B472" s="2" t="s">
        <v>697</v>
      </c>
      <c r="C472" s="4" t="s">
        <v>693</v>
      </c>
      <c r="D472" s="3" t="s">
        <v>670</v>
      </c>
      <c r="E472" s="2" t="s">
        <v>104</v>
      </c>
      <c r="F472" s="1" t="s">
        <v>280</v>
      </c>
    </row>
    <row r="473" spans="1:6" ht="57.6" x14ac:dyDescent="0.3">
      <c r="A473">
        <v>4</v>
      </c>
      <c r="B473" s="2" t="s">
        <v>697</v>
      </c>
      <c r="C473" s="4" t="s">
        <v>693</v>
      </c>
      <c r="D473" s="3" t="s">
        <v>670</v>
      </c>
      <c r="E473" s="2" t="s">
        <v>104</v>
      </c>
      <c r="F473" s="1" t="s">
        <v>529</v>
      </c>
    </row>
    <row r="474" spans="1:6" ht="57.6" x14ac:dyDescent="0.3">
      <c r="A474">
        <v>4</v>
      </c>
      <c r="B474" s="2" t="s">
        <v>697</v>
      </c>
      <c r="C474" s="4" t="s">
        <v>693</v>
      </c>
      <c r="D474" s="3" t="s">
        <v>670</v>
      </c>
      <c r="E474" s="2" t="s">
        <v>104</v>
      </c>
      <c r="F474" s="1" t="s">
        <v>530</v>
      </c>
    </row>
    <row r="475" spans="1:6" ht="57.6" x14ac:dyDescent="0.3">
      <c r="A475">
        <v>4</v>
      </c>
      <c r="B475" s="2" t="s">
        <v>697</v>
      </c>
      <c r="C475" s="4" t="s">
        <v>693</v>
      </c>
      <c r="D475" s="3" t="s">
        <v>670</v>
      </c>
      <c r="E475" s="2" t="s">
        <v>104</v>
      </c>
      <c r="F475" s="1" t="s">
        <v>531</v>
      </c>
    </row>
    <row r="476" spans="1:6" ht="57.6" x14ac:dyDescent="0.3">
      <c r="A476">
        <v>4</v>
      </c>
      <c r="B476" s="2" t="s">
        <v>697</v>
      </c>
      <c r="C476" s="4" t="s">
        <v>693</v>
      </c>
      <c r="D476" s="3" t="s">
        <v>670</v>
      </c>
      <c r="E476" s="2" t="s">
        <v>104</v>
      </c>
      <c r="F476" s="1" t="s">
        <v>532</v>
      </c>
    </row>
    <row r="477" spans="1:6" ht="57.6" x14ac:dyDescent="0.3">
      <c r="A477">
        <v>4</v>
      </c>
      <c r="B477" s="2" t="s">
        <v>697</v>
      </c>
      <c r="C477" s="4" t="s">
        <v>693</v>
      </c>
      <c r="D477" s="3" t="s">
        <v>670</v>
      </c>
      <c r="E477" s="2" t="s">
        <v>104</v>
      </c>
      <c r="F477" s="1" t="s">
        <v>533</v>
      </c>
    </row>
    <row r="478" spans="1:6" ht="57.6" x14ac:dyDescent="0.3">
      <c r="A478">
        <v>4</v>
      </c>
      <c r="B478" s="2" t="s">
        <v>697</v>
      </c>
      <c r="C478" s="4" t="s">
        <v>693</v>
      </c>
      <c r="D478" s="3" t="s">
        <v>670</v>
      </c>
      <c r="E478" s="2" t="s">
        <v>105</v>
      </c>
      <c r="F478" s="1" t="s">
        <v>534</v>
      </c>
    </row>
    <row r="479" spans="1:6" ht="57.6" x14ac:dyDescent="0.3">
      <c r="A479">
        <v>4</v>
      </c>
      <c r="B479" s="2" t="s">
        <v>697</v>
      </c>
      <c r="C479" s="4" t="s">
        <v>693</v>
      </c>
      <c r="D479" s="3" t="s">
        <v>670</v>
      </c>
      <c r="E479" s="2" t="s">
        <v>105</v>
      </c>
      <c r="F479" s="1" t="s">
        <v>535</v>
      </c>
    </row>
    <row r="480" spans="1:6" ht="57.6" x14ac:dyDescent="0.3">
      <c r="A480">
        <v>4</v>
      </c>
      <c r="B480" s="2" t="s">
        <v>697</v>
      </c>
      <c r="C480" s="4" t="s">
        <v>693</v>
      </c>
      <c r="D480" s="3" t="s">
        <v>670</v>
      </c>
      <c r="E480" s="2" t="s">
        <v>105</v>
      </c>
      <c r="F480" s="1" t="s">
        <v>536</v>
      </c>
    </row>
    <row r="481" spans="1:6" ht="57.6" x14ac:dyDescent="0.3">
      <c r="A481">
        <v>4</v>
      </c>
      <c r="B481" s="2" t="s">
        <v>697</v>
      </c>
      <c r="C481" s="4" t="s">
        <v>693</v>
      </c>
      <c r="D481" s="3" t="s">
        <v>670</v>
      </c>
      <c r="E481" s="2" t="s">
        <v>106</v>
      </c>
      <c r="F481" s="1" t="s">
        <v>537</v>
      </c>
    </row>
    <row r="482" spans="1:6" ht="57.6" x14ac:dyDescent="0.3">
      <c r="A482">
        <v>4</v>
      </c>
      <c r="B482" s="2" t="s">
        <v>697</v>
      </c>
      <c r="C482" s="4" t="s">
        <v>693</v>
      </c>
      <c r="D482" s="3" t="s">
        <v>670</v>
      </c>
      <c r="E482" s="2" t="s">
        <v>106</v>
      </c>
      <c r="F482" s="1" t="s">
        <v>184</v>
      </c>
    </row>
    <row r="483" spans="1:6" ht="57.6" x14ac:dyDescent="0.3">
      <c r="A483">
        <v>4</v>
      </c>
      <c r="B483" s="2" t="s">
        <v>697</v>
      </c>
      <c r="C483" s="4" t="s">
        <v>693</v>
      </c>
      <c r="D483" s="3" t="s">
        <v>670</v>
      </c>
      <c r="E483" s="2" t="s">
        <v>106</v>
      </c>
      <c r="F483" s="1" t="s">
        <v>538</v>
      </c>
    </row>
    <row r="484" spans="1:6" ht="57.6" x14ac:dyDescent="0.3">
      <c r="A484">
        <v>4</v>
      </c>
      <c r="B484" s="2" t="s">
        <v>697</v>
      </c>
      <c r="C484" s="4" t="s">
        <v>693</v>
      </c>
      <c r="D484" s="3" t="s">
        <v>670</v>
      </c>
      <c r="E484" s="2" t="s">
        <v>106</v>
      </c>
      <c r="F484" s="1" t="s">
        <v>539</v>
      </c>
    </row>
    <row r="485" spans="1:6" ht="57.6" x14ac:dyDescent="0.3">
      <c r="A485">
        <v>4</v>
      </c>
      <c r="B485" s="2" t="s">
        <v>697</v>
      </c>
      <c r="C485" s="4" t="s">
        <v>693</v>
      </c>
      <c r="D485" s="3" t="s">
        <v>670</v>
      </c>
      <c r="E485" s="2" t="s">
        <v>106</v>
      </c>
      <c r="F485" s="1" t="s">
        <v>540</v>
      </c>
    </row>
    <row r="486" spans="1:6" ht="57.6" x14ac:dyDescent="0.3">
      <c r="A486">
        <v>4</v>
      </c>
      <c r="B486" s="2" t="s">
        <v>697</v>
      </c>
      <c r="C486" s="4" t="s">
        <v>693</v>
      </c>
      <c r="D486" s="3" t="s">
        <v>671</v>
      </c>
      <c r="E486" s="2" t="s">
        <v>107</v>
      </c>
      <c r="F486" s="1" t="s">
        <v>541</v>
      </c>
    </row>
    <row r="487" spans="1:6" ht="57.6" x14ac:dyDescent="0.3">
      <c r="A487">
        <v>4</v>
      </c>
      <c r="B487" s="2" t="s">
        <v>697</v>
      </c>
      <c r="C487" s="4" t="s">
        <v>693</v>
      </c>
      <c r="D487" s="3" t="s">
        <v>671</v>
      </c>
      <c r="E487" s="2" t="s">
        <v>107</v>
      </c>
      <c r="F487" s="1" t="s">
        <v>542</v>
      </c>
    </row>
    <row r="488" spans="1:6" ht="57.6" x14ac:dyDescent="0.3">
      <c r="A488">
        <v>4</v>
      </c>
      <c r="B488" s="2" t="s">
        <v>697</v>
      </c>
      <c r="C488" s="4" t="s">
        <v>693</v>
      </c>
      <c r="D488" s="3" t="s">
        <v>671</v>
      </c>
      <c r="E488" s="2" t="s">
        <v>107</v>
      </c>
      <c r="F488" s="1" t="s">
        <v>543</v>
      </c>
    </row>
    <row r="489" spans="1:6" ht="57.6" x14ac:dyDescent="0.3">
      <c r="A489">
        <v>4</v>
      </c>
      <c r="B489" s="2" t="s">
        <v>697</v>
      </c>
      <c r="C489" s="4" t="s">
        <v>693</v>
      </c>
      <c r="D489" s="3" t="s">
        <v>671</v>
      </c>
      <c r="E489" s="2" t="s">
        <v>107</v>
      </c>
      <c r="F489" s="1" t="s">
        <v>544</v>
      </c>
    </row>
    <row r="490" spans="1:6" ht="57.6" x14ac:dyDescent="0.3">
      <c r="A490">
        <v>4</v>
      </c>
      <c r="B490" s="2" t="s">
        <v>697</v>
      </c>
      <c r="C490" s="4" t="s">
        <v>693</v>
      </c>
      <c r="D490" s="3" t="s">
        <v>671</v>
      </c>
      <c r="E490" s="2" t="s">
        <v>107</v>
      </c>
      <c r="F490" s="1" t="s">
        <v>156</v>
      </c>
    </row>
    <row r="491" spans="1:6" ht="57.6" x14ac:dyDescent="0.3">
      <c r="A491">
        <v>4</v>
      </c>
      <c r="B491" s="2" t="s">
        <v>697</v>
      </c>
      <c r="C491" s="4" t="s">
        <v>693</v>
      </c>
      <c r="D491" s="3" t="s">
        <v>671</v>
      </c>
      <c r="E491" s="2" t="s">
        <v>107</v>
      </c>
      <c r="F491" s="1" t="s">
        <v>545</v>
      </c>
    </row>
    <row r="492" spans="1:6" ht="57.6" x14ac:dyDescent="0.3">
      <c r="A492">
        <v>4</v>
      </c>
      <c r="B492" s="2" t="s">
        <v>697</v>
      </c>
      <c r="C492" s="4" t="s">
        <v>693</v>
      </c>
      <c r="D492" s="3" t="s">
        <v>672</v>
      </c>
      <c r="E492" s="2" t="s">
        <v>108</v>
      </c>
      <c r="F492" s="1" t="s">
        <v>546</v>
      </c>
    </row>
    <row r="493" spans="1:6" ht="57.6" x14ac:dyDescent="0.3">
      <c r="A493">
        <v>4</v>
      </c>
      <c r="B493" s="2" t="s">
        <v>697</v>
      </c>
      <c r="C493" s="4" t="s">
        <v>693</v>
      </c>
      <c r="D493" s="3" t="s">
        <v>672</v>
      </c>
      <c r="E493" s="2" t="s">
        <v>108</v>
      </c>
      <c r="F493" s="1" t="s">
        <v>165</v>
      </c>
    </row>
    <row r="494" spans="1:6" ht="57.6" x14ac:dyDescent="0.3">
      <c r="A494">
        <v>4</v>
      </c>
      <c r="B494" s="2" t="s">
        <v>697</v>
      </c>
      <c r="C494" s="4" t="s">
        <v>693</v>
      </c>
      <c r="D494" s="3" t="s">
        <v>672</v>
      </c>
      <c r="E494" s="2" t="s">
        <v>108</v>
      </c>
      <c r="F494" s="1" t="s">
        <v>162</v>
      </c>
    </row>
    <row r="495" spans="1:6" ht="57.6" x14ac:dyDescent="0.3">
      <c r="A495">
        <v>4</v>
      </c>
      <c r="B495" s="2" t="s">
        <v>697</v>
      </c>
      <c r="C495" s="4" t="s">
        <v>693</v>
      </c>
      <c r="D495" s="3" t="s">
        <v>672</v>
      </c>
      <c r="E495" s="2" t="s">
        <v>109</v>
      </c>
      <c r="F495" s="1" t="s">
        <v>547</v>
      </c>
    </row>
    <row r="496" spans="1:6" ht="57.6" x14ac:dyDescent="0.3">
      <c r="A496">
        <v>4</v>
      </c>
      <c r="B496" s="2" t="s">
        <v>697</v>
      </c>
      <c r="C496" s="4" t="s">
        <v>693</v>
      </c>
      <c r="D496" s="3" t="s">
        <v>672</v>
      </c>
      <c r="E496" s="2" t="s">
        <v>109</v>
      </c>
      <c r="F496" s="1" t="s">
        <v>548</v>
      </c>
    </row>
    <row r="497" spans="1:6" ht="57.6" x14ac:dyDescent="0.3">
      <c r="A497">
        <v>4</v>
      </c>
      <c r="B497" s="2" t="s">
        <v>697</v>
      </c>
      <c r="C497" s="4" t="s">
        <v>693</v>
      </c>
      <c r="D497" s="3" t="s">
        <v>672</v>
      </c>
      <c r="E497" s="2" t="s">
        <v>110</v>
      </c>
      <c r="F497" s="1" t="s">
        <v>549</v>
      </c>
    </row>
    <row r="498" spans="1:6" ht="57.6" x14ac:dyDescent="0.3">
      <c r="A498">
        <v>4</v>
      </c>
      <c r="B498" s="2" t="s">
        <v>697</v>
      </c>
      <c r="C498" s="4" t="s">
        <v>693</v>
      </c>
      <c r="D498" s="3" t="s">
        <v>672</v>
      </c>
      <c r="E498" s="2" t="s">
        <v>110</v>
      </c>
      <c r="F498" s="1" t="s">
        <v>550</v>
      </c>
    </row>
    <row r="499" spans="1:6" ht="57.6" x14ac:dyDescent="0.3">
      <c r="A499">
        <v>4</v>
      </c>
      <c r="B499" s="2" t="s">
        <v>697</v>
      </c>
      <c r="C499" s="4" t="s">
        <v>693</v>
      </c>
      <c r="D499" s="3" t="s">
        <v>672</v>
      </c>
      <c r="E499" s="2" t="s">
        <v>110</v>
      </c>
      <c r="F499" s="1" t="s">
        <v>551</v>
      </c>
    </row>
    <row r="500" spans="1:6" ht="57.6" x14ac:dyDescent="0.3">
      <c r="A500">
        <v>4</v>
      </c>
      <c r="B500" s="2" t="s">
        <v>697</v>
      </c>
      <c r="C500" s="4" t="s">
        <v>693</v>
      </c>
      <c r="D500" s="3" t="s">
        <v>672</v>
      </c>
      <c r="E500" s="2" t="s">
        <v>110</v>
      </c>
      <c r="F500" s="1" t="s">
        <v>552</v>
      </c>
    </row>
    <row r="501" spans="1:6" ht="57.6" x14ac:dyDescent="0.3">
      <c r="A501">
        <v>4</v>
      </c>
      <c r="B501" s="2" t="s">
        <v>697</v>
      </c>
      <c r="C501" s="4" t="s">
        <v>693</v>
      </c>
      <c r="D501" s="3" t="s">
        <v>672</v>
      </c>
      <c r="E501" s="2" t="s">
        <v>110</v>
      </c>
      <c r="F501" s="1" t="s">
        <v>151</v>
      </c>
    </row>
    <row r="502" spans="1:6" ht="57.6" x14ac:dyDescent="0.3">
      <c r="A502">
        <v>4</v>
      </c>
      <c r="B502" s="2" t="s">
        <v>697</v>
      </c>
      <c r="C502" s="4" t="s">
        <v>693</v>
      </c>
      <c r="D502" s="3" t="s">
        <v>672</v>
      </c>
      <c r="E502" s="2" t="s">
        <v>110</v>
      </c>
      <c r="F502" s="1" t="s">
        <v>152</v>
      </c>
    </row>
    <row r="503" spans="1:6" ht="57.6" x14ac:dyDescent="0.3">
      <c r="A503">
        <v>4</v>
      </c>
      <c r="B503" s="2" t="s">
        <v>697</v>
      </c>
      <c r="C503" s="4" t="s">
        <v>693</v>
      </c>
      <c r="D503" s="3" t="s">
        <v>672</v>
      </c>
      <c r="E503" s="2" t="s">
        <v>110</v>
      </c>
      <c r="F503" s="1" t="s">
        <v>180</v>
      </c>
    </row>
    <row r="504" spans="1:6" ht="57.6" x14ac:dyDescent="0.3">
      <c r="A504">
        <v>4</v>
      </c>
      <c r="B504" s="2" t="s">
        <v>697</v>
      </c>
      <c r="C504" s="4" t="s">
        <v>693</v>
      </c>
      <c r="D504" s="3" t="s">
        <v>672</v>
      </c>
      <c r="E504" s="2" t="s">
        <v>110</v>
      </c>
      <c r="F504" s="1" t="s">
        <v>553</v>
      </c>
    </row>
    <row r="505" spans="1:6" ht="57.6" x14ac:dyDescent="0.3">
      <c r="A505">
        <v>4</v>
      </c>
      <c r="B505" s="2" t="s">
        <v>697</v>
      </c>
      <c r="C505" s="4" t="s">
        <v>693</v>
      </c>
      <c r="D505" s="3" t="s">
        <v>672</v>
      </c>
      <c r="E505" s="2" t="s">
        <v>110</v>
      </c>
      <c r="F505" s="1" t="s">
        <v>554</v>
      </c>
    </row>
    <row r="506" spans="1:6" ht="57.6" x14ac:dyDescent="0.3">
      <c r="A506">
        <v>4</v>
      </c>
      <c r="B506" s="2" t="s">
        <v>697</v>
      </c>
      <c r="C506" s="4" t="s">
        <v>693</v>
      </c>
      <c r="D506" s="3" t="s">
        <v>672</v>
      </c>
      <c r="E506" s="2" t="s">
        <v>110</v>
      </c>
      <c r="F506" s="1" t="s">
        <v>555</v>
      </c>
    </row>
    <row r="507" spans="1:6" ht="57.6" x14ac:dyDescent="0.3">
      <c r="A507">
        <v>4</v>
      </c>
      <c r="B507" s="2" t="s">
        <v>697</v>
      </c>
      <c r="C507" s="4" t="s">
        <v>693</v>
      </c>
      <c r="D507" s="3" t="s">
        <v>672</v>
      </c>
      <c r="E507" s="2" t="s">
        <v>109</v>
      </c>
      <c r="F507" s="1" t="s">
        <v>549</v>
      </c>
    </row>
    <row r="508" spans="1:6" ht="57.6" x14ac:dyDescent="0.3">
      <c r="A508">
        <v>4</v>
      </c>
      <c r="B508" s="2" t="s">
        <v>697</v>
      </c>
      <c r="C508" s="4" t="s">
        <v>693</v>
      </c>
      <c r="D508" s="3" t="s">
        <v>672</v>
      </c>
      <c r="E508" s="2" t="s">
        <v>109</v>
      </c>
      <c r="F508" s="1" t="s">
        <v>550</v>
      </c>
    </row>
    <row r="509" spans="1:6" ht="57.6" x14ac:dyDescent="0.3">
      <c r="A509">
        <v>4</v>
      </c>
      <c r="B509" s="2" t="s">
        <v>697</v>
      </c>
      <c r="C509" s="4" t="s">
        <v>693</v>
      </c>
      <c r="D509" s="3" t="s">
        <v>672</v>
      </c>
      <c r="E509" s="2" t="s">
        <v>109</v>
      </c>
      <c r="F509" s="1" t="s">
        <v>551</v>
      </c>
    </row>
    <row r="510" spans="1:6" ht="57.6" x14ac:dyDescent="0.3">
      <c r="A510">
        <v>4</v>
      </c>
      <c r="B510" s="2" t="s">
        <v>697</v>
      </c>
      <c r="C510" s="4" t="s">
        <v>693</v>
      </c>
      <c r="D510" s="3" t="s">
        <v>672</v>
      </c>
      <c r="E510" s="2" t="s">
        <v>109</v>
      </c>
      <c r="F510" s="1" t="s">
        <v>552</v>
      </c>
    </row>
    <row r="511" spans="1:6" ht="57.6" x14ac:dyDescent="0.3">
      <c r="A511">
        <v>4</v>
      </c>
      <c r="B511" s="2" t="s">
        <v>697</v>
      </c>
      <c r="C511" s="4" t="s">
        <v>693</v>
      </c>
      <c r="D511" s="3" t="s">
        <v>672</v>
      </c>
      <c r="E511" s="2" t="s">
        <v>109</v>
      </c>
      <c r="F511" s="1" t="s">
        <v>151</v>
      </c>
    </row>
    <row r="512" spans="1:6" ht="57.6" x14ac:dyDescent="0.3">
      <c r="A512">
        <v>4</v>
      </c>
      <c r="B512" s="2" t="s">
        <v>697</v>
      </c>
      <c r="C512" s="4" t="s">
        <v>693</v>
      </c>
      <c r="D512" s="3" t="s">
        <v>672</v>
      </c>
      <c r="E512" s="2" t="s">
        <v>109</v>
      </c>
      <c r="F512" s="1" t="s">
        <v>152</v>
      </c>
    </row>
    <row r="513" spans="1:6" ht="57.6" x14ac:dyDescent="0.3">
      <c r="A513">
        <v>4</v>
      </c>
      <c r="B513" s="2" t="s">
        <v>697</v>
      </c>
      <c r="C513" s="4" t="s">
        <v>693</v>
      </c>
      <c r="D513" s="3" t="s">
        <v>672</v>
      </c>
      <c r="E513" s="2" t="s">
        <v>109</v>
      </c>
      <c r="F513" s="1" t="s">
        <v>180</v>
      </c>
    </row>
    <row r="514" spans="1:6" ht="57.6" x14ac:dyDescent="0.3">
      <c r="A514">
        <v>4</v>
      </c>
      <c r="B514" s="2" t="s">
        <v>697</v>
      </c>
      <c r="C514" s="4" t="s">
        <v>693</v>
      </c>
      <c r="D514" s="3" t="s">
        <v>672</v>
      </c>
      <c r="E514" s="2" t="s">
        <v>109</v>
      </c>
      <c r="F514" s="1" t="s">
        <v>553</v>
      </c>
    </row>
    <row r="515" spans="1:6" ht="57.6" x14ac:dyDescent="0.3">
      <c r="A515">
        <v>4</v>
      </c>
      <c r="B515" s="2" t="s">
        <v>697</v>
      </c>
      <c r="C515" s="4" t="s">
        <v>693</v>
      </c>
      <c r="D515" s="3" t="s">
        <v>672</v>
      </c>
      <c r="E515" s="2" t="s">
        <v>109</v>
      </c>
      <c r="F515" s="1" t="s">
        <v>556</v>
      </c>
    </row>
    <row r="516" spans="1:6" ht="57.6" x14ac:dyDescent="0.3">
      <c r="A516">
        <v>4</v>
      </c>
      <c r="B516" s="2" t="s">
        <v>697</v>
      </c>
      <c r="C516" s="4" t="s">
        <v>693</v>
      </c>
      <c r="D516" s="3" t="s">
        <v>673</v>
      </c>
      <c r="E516" s="2" t="s">
        <v>111</v>
      </c>
      <c r="F516" s="1" t="s">
        <v>557</v>
      </c>
    </row>
    <row r="517" spans="1:6" ht="57.6" x14ac:dyDescent="0.3">
      <c r="A517">
        <v>4</v>
      </c>
      <c r="B517" s="2" t="s">
        <v>697</v>
      </c>
      <c r="C517" s="4" t="s">
        <v>693</v>
      </c>
      <c r="D517" s="3" t="s">
        <v>673</v>
      </c>
      <c r="E517" s="2" t="s">
        <v>111</v>
      </c>
      <c r="F517" s="1" t="s">
        <v>149</v>
      </c>
    </row>
    <row r="518" spans="1:6" ht="57.6" x14ac:dyDescent="0.3">
      <c r="A518">
        <v>4</v>
      </c>
      <c r="B518" s="2" t="s">
        <v>697</v>
      </c>
      <c r="C518" s="4" t="s">
        <v>693</v>
      </c>
      <c r="D518" s="3" t="s">
        <v>673</v>
      </c>
      <c r="E518" s="2" t="s">
        <v>111</v>
      </c>
      <c r="F518" s="1" t="s">
        <v>558</v>
      </c>
    </row>
    <row r="519" spans="1:6" ht="57.6" x14ac:dyDescent="0.3">
      <c r="A519">
        <v>4</v>
      </c>
      <c r="B519" s="2" t="s">
        <v>697</v>
      </c>
      <c r="C519" s="4" t="s">
        <v>693</v>
      </c>
      <c r="D519" s="3" t="s">
        <v>673</v>
      </c>
      <c r="E519" s="2" t="s">
        <v>111</v>
      </c>
      <c r="F519" s="1" t="s">
        <v>559</v>
      </c>
    </row>
    <row r="520" spans="1:6" ht="57.6" x14ac:dyDescent="0.3">
      <c r="A520">
        <v>4</v>
      </c>
      <c r="B520" s="2" t="s">
        <v>697</v>
      </c>
      <c r="C520" s="4" t="s">
        <v>693</v>
      </c>
      <c r="D520" s="3" t="s">
        <v>673</v>
      </c>
      <c r="E520" s="2" t="s">
        <v>112</v>
      </c>
      <c r="F520" s="1" t="s">
        <v>549</v>
      </c>
    </row>
    <row r="521" spans="1:6" ht="57.6" x14ac:dyDescent="0.3">
      <c r="A521">
        <v>4</v>
      </c>
      <c r="B521" s="2" t="s">
        <v>697</v>
      </c>
      <c r="C521" s="4" t="s">
        <v>693</v>
      </c>
      <c r="D521" s="3" t="s">
        <v>673</v>
      </c>
      <c r="E521" s="2" t="s">
        <v>112</v>
      </c>
      <c r="F521" s="1" t="s">
        <v>550</v>
      </c>
    </row>
    <row r="522" spans="1:6" ht="57.6" x14ac:dyDescent="0.3">
      <c r="A522">
        <v>4</v>
      </c>
      <c r="B522" s="2" t="s">
        <v>697</v>
      </c>
      <c r="C522" s="4" t="s">
        <v>693</v>
      </c>
      <c r="D522" s="3" t="s">
        <v>673</v>
      </c>
      <c r="E522" s="2" t="s">
        <v>112</v>
      </c>
      <c r="F522" s="1" t="s">
        <v>560</v>
      </c>
    </row>
    <row r="523" spans="1:6" ht="57.6" x14ac:dyDescent="0.3">
      <c r="A523">
        <v>4</v>
      </c>
      <c r="B523" s="2" t="s">
        <v>697</v>
      </c>
      <c r="C523" s="4" t="s">
        <v>693</v>
      </c>
      <c r="D523" s="3" t="s">
        <v>673</v>
      </c>
      <c r="E523" s="2" t="s">
        <v>112</v>
      </c>
      <c r="F523" s="1" t="s">
        <v>561</v>
      </c>
    </row>
    <row r="524" spans="1:6" ht="57.6" x14ac:dyDescent="0.3">
      <c r="A524">
        <v>4</v>
      </c>
      <c r="B524" s="2" t="s">
        <v>697</v>
      </c>
      <c r="C524" s="4" t="s">
        <v>693</v>
      </c>
      <c r="D524" s="3" t="s">
        <v>673</v>
      </c>
      <c r="E524" s="2" t="s">
        <v>112</v>
      </c>
      <c r="F524" s="1" t="s">
        <v>157</v>
      </c>
    </row>
    <row r="525" spans="1:6" ht="57.6" x14ac:dyDescent="0.3">
      <c r="A525">
        <v>4</v>
      </c>
      <c r="B525" s="2" t="s">
        <v>697</v>
      </c>
      <c r="C525" s="4" t="s">
        <v>693</v>
      </c>
      <c r="D525" s="3" t="s">
        <v>673</v>
      </c>
      <c r="E525" s="2" t="s">
        <v>112</v>
      </c>
      <c r="F525" s="1" t="s">
        <v>152</v>
      </c>
    </row>
    <row r="526" spans="1:6" ht="57.6" x14ac:dyDescent="0.3">
      <c r="A526">
        <v>4</v>
      </c>
      <c r="B526" s="2" t="s">
        <v>697</v>
      </c>
      <c r="C526" s="4" t="s">
        <v>693</v>
      </c>
      <c r="D526" s="3" t="s">
        <v>673</v>
      </c>
      <c r="E526" s="2" t="s">
        <v>112</v>
      </c>
      <c r="F526" s="1" t="s">
        <v>180</v>
      </c>
    </row>
    <row r="527" spans="1:6" ht="57.6" x14ac:dyDescent="0.3">
      <c r="A527">
        <v>4</v>
      </c>
      <c r="B527" s="2" t="s">
        <v>697</v>
      </c>
      <c r="C527" s="4" t="s">
        <v>693</v>
      </c>
      <c r="D527" s="3" t="s">
        <v>673</v>
      </c>
      <c r="E527" s="2" t="s">
        <v>112</v>
      </c>
      <c r="F527" s="1" t="s">
        <v>170</v>
      </c>
    </row>
    <row r="528" spans="1:6" ht="57.6" x14ac:dyDescent="0.3">
      <c r="A528">
        <v>4</v>
      </c>
      <c r="B528" s="2" t="s">
        <v>697</v>
      </c>
      <c r="C528" s="4" t="s">
        <v>693</v>
      </c>
      <c r="D528" s="3" t="s">
        <v>673</v>
      </c>
      <c r="E528" s="2" t="s">
        <v>112</v>
      </c>
      <c r="F528" s="1" t="s">
        <v>554</v>
      </c>
    </row>
    <row r="529" spans="1:6" ht="57.6" x14ac:dyDescent="0.3">
      <c r="A529">
        <v>4</v>
      </c>
      <c r="B529" s="2" t="s">
        <v>697</v>
      </c>
      <c r="C529" s="4" t="s">
        <v>693</v>
      </c>
      <c r="D529" s="3" t="s">
        <v>673</v>
      </c>
      <c r="E529" s="2" t="s">
        <v>112</v>
      </c>
      <c r="F529" s="1" t="s">
        <v>562</v>
      </c>
    </row>
    <row r="530" spans="1:6" ht="57.6" x14ac:dyDescent="0.3">
      <c r="A530">
        <v>4</v>
      </c>
      <c r="B530" s="2" t="s">
        <v>697</v>
      </c>
      <c r="C530" s="4" t="s">
        <v>693</v>
      </c>
      <c r="D530" s="3" t="s">
        <v>673</v>
      </c>
      <c r="E530" s="2" t="s">
        <v>112</v>
      </c>
      <c r="F530" s="1" t="s">
        <v>183</v>
      </c>
    </row>
    <row r="531" spans="1:6" ht="57.6" x14ac:dyDescent="0.3">
      <c r="A531">
        <v>4</v>
      </c>
      <c r="B531" s="2" t="s">
        <v>697</v>
      </c>
      <c r="C531" s="4" t="s">
        <v>693</v>
      </c>
      <c r="D531" s="3" t="s">
        <v>673</v>
      </c>
      <c r="E531" s="2" t="s">
        <v>113</v>
      </c>
      <c r="F531" s="1" t="s">
        <v>563</v>
      </c>
    </row>
    <row r="532" spans="1:6" ht="57.6" x14ac:dyDescent="0.3">
      <c r="A532">
        <v>4</v>
      </c>
      <c r="B532" s="2" t="s">
        <v>697</v>
      </c>
      <c r="C532" s="4" t="s">
        <v>693</v>
      </c>
      <c r="D532" s="3" t="s">
        <v>673</v>
      </c>
      <c r="E532" s="2" t="s">
        <v>113</v>
      </c>
      <c r="F532" s="1" t="s">
        <v>149</v>
      </c>
    </row>
    <row r="533" spans="1:6" ht="57.6" x14ac:dyDescent="0.3">
      <c r="A533">
        <v>4</v>
      </c>
      <c r="B533" s="2" t="s">
        <v>697</v>
      </c>
      <c r="C533" s="4" t="s">
        <v>693</v>
      </c>
      <c r="D533" s="3" t="s">
        <v>673</v>
      </c>
      <c r="E533" s="2" t="s">
        <v>113</v>
      </c>
      <c r="F533" s="1" t="s">
        <v>558</v>
      </c>
    </row>
    <row r="534" spans="1:6" ht="57.6" x14ac:dyDescent="0.3">
      <c r="A534">
        <v>4</v>
      </c>
      <c r="B534" s="2" t="s">
        <v>697</v>
      </c>
      <c r="C534" s="4" t="s">
        <v>693</v>
      </c>
      <c r="D534" s="3" t="s">
        <v>673</v>
      </c>
      <c r="E534" s="2" t="s">
        <v>113</v>
      </c>
      <c r="F534" s="1" t="s">
        <v>559</v>
      </c>
    </row>
    <row r="535" spans="1:6" ht="57.6" x14ac:dyDescent="0.3">
      <c r="A535">
        <v>4</v>
      </c>
      <c r="B535" s="2" t="s">
        <v>697</v>
      </c>
      <c r="C535" s="4" t="s">
        <v>693</v>
      </c>
      <c r="D535" s="3" t="s">
        <v>673</v>
      </c>
      <c r="E535" s="2" t="s">
        <v>114</v>
      </c>
      <c r="F535" s="1" t="s">
        <v>549</v>
      </c>
    </row>
    <row r="536" spans="1:6" ht="57.6" x14ac:dyDescent="0.3">
      <c r="A536">
        <v>4</v>
      </c>
      <c r="B536" s="2" t="s">
        <v>697</v>
      </c>
      <c r="C536" s="4" t="s">
        <v>693</v>
      </c>
      <c r="D536" s="3" t="s">
        <v>673</v>
      </c>
      <c r="E536" s="2" t="s">
        <v>114</v>
      </c>
      <c r="F536" s="1" t="s">
        <v>550</v>
      </c>
    </row>
    <row r="537" spans="1:6" ht="57.6" x14ac:dyDescent="0.3">
      <c r="A537">
        <v>4</v>
      </c>
      <c r="B537" s="2" t="s">
        <v>697</v>
      </c>
      <c r="C537" s="4" t="s">
        <v>693</v>
      </c>
      <c r="D537" s="3" t="s">
        <v>673</v>
      </c>
      <c r="E537" s="2" t="s">
        <v>114</v>
      </c>
      <c r="F537" s="1" t="s">
        <v>560</v>
      </c>
    </row>
    <row r="538" spans="1:6" ht="57.6" x14ac:dyDescent="0.3">
      <c r="A538">
        <v>4</v>
      </c>
      <c r="B538" s="2" t="s">
        <v>697</v>
      </c>
      <c r="C538" s="4" t="s">
        <v>693</v>
      </c>
      <c r="D538" s="3" t="s">
        <v>673</v>
      </c>
      <c r="E538" s="2" t="s">
        <v>114</v>
      </c>
      <c r="F538" s="1" t="s">
        <v>561</v>
      </c>
    </row>
    <row r="539" spans="1:6" ht="57.6" x14ac:dyDescent="0.3">
      <c r="A539">
        <v>4</v>
      </c>
      <c r="B539" s="2" t="s">
        <v>697</v>
      </c>
      <c r="C539" s="4" t="s">
        <v>693</v>
      </c>
      <c r="D539" s="3" t="s">
        <v>673</v>
      </c>
      <c r="E539" s="2" t="s">
        <v>114</v>
      </c>
      <c r="F539" s="1" t="s">
        <v>157</v>
      </c>
    </row>
    <row r="540" spans="1:6" ht="57.6" x14ac:dyDescent="0.3">
      <c r="A540">
        <v>4</v>
      </c>
      <c r="B540" s="2" t="s">
        <v>697</v>
      </c>
      <c r="C540" s="4" t="s">
        <v>693</v>
      </c>
      <c r="D540" s="3" t="s">
        <v>673</v>
      </c>
      <c r="E540" s="2" t="s">
        <v>114</v>
      </c>
      <c r="F540" s="1" t="s">
        <v>152</v>
      </c>
    </row>
    <row r="541" spans="1:6" ht="57.6" x14ac:dyDescent="0.3">
      <c r="A541">
        <v>4</v>
      </c>
      <c r="B541" s="2" t="s">
        <v>697</v>
      </c>
      <c r="C541" s="4" t="s">
        <v>693</v>
      </c>
      <c r="D541" s="3" t="s">
        <v>673</v>
      </c>
      <c r="E541" s="2" t="s">
        <v>114</v>
      </c>
      <c r="F541" s="1" t="s">
        <v>180</v>
      </c>
    </row>
    <row r="542" spans="1:6" ht="57.6" x14ac:dyDescent="0.3">
      <c r="A542">
        <v>4</v>
      </c>
      <c r="B542" s="2" t="s">
        <v>697</v>
      </c>
      <c r="C542" s="4" t="s">
        <v>693</v>
      </c>
      <c r="D542" s="3" t="s">
        <v>673</v>
      </c>
      <c r="E542" s="2" t="s">
        <v>114</v>
      </c>
      <c r="F542" s="1" t="s">
        <v>175</v>
      </c>
    </row>
    <row r="543" spans="1:6" ht="57.6" x14ac:dyDescent="0.3">
      <c r="A543">
        <v>4</v>
      </c>
      <c r="B543" s="2" t="s">
        <v>697</v>
      </c>
      <c r="C543" s="4" t="s">
        <v>693</v>
      </c>
      <c r="D543" s="3" t="s">
        <v>673</v>
      </c>
      <c r="E543" s="2" t="s">
        <v>114</v>
      </c>
      <c r="F543" s="1" t="s">
        <v>554</v>
      </c>
    </row>
    <row r="544" spans="1:6" ht="57.6" x14ac:dyDescent="0.3">
      <c r="A544">
        <v>4</v>
      </c>
      <c r="B544" s="2" t="s">
        <v>697</v>
      </c>
      <c r="C544" s="4" t="s">
        <v>693</v>
      </c>
      <c r="D544" s="3" t="s">
        <v>673</v>
      </c>
      <c r="E544" s="2" t="s">
        <v>114</v>
      </c>
      <c r="F544" s="1" t="s">
        <v>562</v>
      </c>
    </row>
    <row r="545" spans="1:6" ht="57.6" x14ac:dyDescent="0.3">
      <c r="A545">
        <v>4</v>
      </c>
      <c r="B545" s="2" t="s">
        <v>697</v>
      </c>
      <c r="C545" s="4" t="s">
        <v>693</v>
      </c>
      <c r="D545" s="3" t="s">
        <v>673</v>
      </c>
      <c r="E545" s="2" t="s">
        <v>114</v>
      </c>
      <c r="F545" s="1" t="s">
        <v>183</v>
      </c>
    </row>
    <row r="546" spans="1:6" ht="57.6" x14ac:dyDescent="0.3">
      <c r="A546">
        <v>4</v>
      </c>
      <c r="B546" s="2" t="s">
        <v>697</v>
      </c>
      <c r="C546" s="4" t="s">
        <v>693</v>
      </c>
      <c r="D546" s="3" t="s">
        <v>673</v>
      </c>
      <c r="E546" s="2" t="s">
        <v>115</v>
      </c>
      <c r="F546" s="1" t="s">
        <v>564</v>
      </c>
    </row>
    <row r="547" spans="1:6" ht="57.6" x14ac:dyDescent="0.3">
      <c r="A547">
        <v>4</v>
      </c>
      <c r="B547" s="2" t="s">
        <v>697</v>
      </c>
      <c r="C547" s="4" t="s">
        <v>693</v>
      </c>
      <c r="D547" s="3" t="s">
        <v>673</v>
      </c>
      <c r="E547" s="2" t="s">
        <v>115</v>
      </c>
      <c r="F547" s="1" t="s">
        <v>149</v>
      </c>
    </row>
    <row r="548" spans="1:6" ht="57.6" x14ac:dyDescent="0.3">
      <c r="A548">
        <v>4</v>
      </c>
      <c r="B548" s="2" t="s">
        <v>697</v>
      </c>
      <c r="C548" s="4" t="s">
        <v>693</v>
      </c>
      <c r="D548" s="3" t="s">
        <v>673</v>
      </c>
      <c r="E548" s="2" t="s">
        <v>115</v>
      </c>
      <c r="F548" s="1" t="s">
        <v>565</v>
      </c>
    </row>
    <row r="549" spans="1:6" ht="57.6" x14ac:dyDescent="0.3">
      <c r="A549">
        <v>4</v>
      </c>
      <c r="B549" s="2" t="s">
        <v>697</v>
      </c>
      <c r="C549" s="4" t="s">
        <v>693</v>
      </c>
      <c r="D549" s="3" t="s">
        <v>673</v>
      </c>
      <c r="E549" s="2" t="s">
        <v>115</v>
      </c>
      <c r="F549" s="1" t="s">
        <v>559</v>
      </c>
    </row>
    <row r="550" spans="1:6" ht="57.6" x14ac:dyDescent="0.3">
      <c r="A550">
        <v>4</v>
      </c>
      <c r="B550" s="2" t="s">
        <v>697</v>
      </c>
      <c r="C550" s="4" t="s">
        <v>693</v>
      </c>
      <c r="D550" s="3" t="s">
        <v>673</v>
      </c>
      <c r="E550" s="2" t="s">
        <v>116</v>
      </c>
      <c r="F550" s="1" t="s">
        <v>549</v>
      </c>
    </row>
    <row r="551" spans="1:6" ht="57.6" x14ac:dyDescent="0.3">
      <c r="A551">
        <v>4</v>
      </c>
      <c r="B551" s="2" t="s">
        <v>697</v>
      </c>
      <c r="C551" s="4" t="s">
        <v>693</v>
      </c>
      <c r="D551" s="3" t="s">
        <v>673</v>
      </c>
      <c r="E551" s="2" t="s">
        <v>116</v>
      </c>
      <c r="F551" s="1" t="s">
        <v>560</v>
      </c>
    </row>
    <row r="552" spans="1:6" ht="57.6" x14ac:dyDescent="0.3">
      <c r="A552">
        <v>4</v>
      </c>
      <c r="B552" s="2" t="s">
        <v>697</v>
      </c>
      <c r="C552" s="4" t="s">
        <v>693</v>
      </c>
      <c r="D552" s="3" t="s">
        <v>673</v>
      </c>
      <c r="E552" s="2" t="s">
        <v>116</v>
      </c>
      <c r="F552" s="1" t="s">
        <v>151</v>
      </c>
    </row>
    <row r="553" spans="1:6" ht="57.6" x14ac:dyDescent="0.3">
      <c r="A553">
        <v>4</v>
      </c>
      <c r="B553" s="2" t="s">
        <v>697</v>
      </c>
      <c r="C553" s="4" t="s">
        <v>693</v>
      </c>
      <c r="D553" s="3" t="s">
        <v>673</v>
      </c>
      <c r="E553" s="2" t="s">
        <v>116</v>
      </c>
      <c r="F553" s="1" t="s">
        <v>152</v>
      </c>
    </row>
    <row r="554" spans="1:6" ht="57.6" x14ac:dyDescent="0.3">
      <c r="A554">
        <v>4</v>
      </c>
      <c r="B554" s="2" t="s">
        <v>697</v>
      </c>
      <c r="C554" s="4" t="s">
        <v>693</v>
      </c>
      <c r="D554" s="3" t="s">
        <v>673</v>
      </c>
      <c r="E554" s="2" t="s">
        <v>116</v>
      </c>
      <c r="F554" s="1" t="s">
        <v>180</v>
      </c>
    </row>
    <row r="555" spans="1:6" ht="57.6" x14ac:dyDescent="0.3">
      <c r="A555">
        <v>4</v>
      </c>
      <c r="B555" s="2" t="s">
        <v>697</v>
      </c>
      <c r="C555" s="4" t="s">
        <v>693</v>
      </c>
      <c r="D555" s="3" t="s">
        <v>673</v>
      </c>
      <c r="E555" s="2" t="s">
        <v>116</v>
      </c>
      <c r="F555" s="1" t="s">
        <v>175</v>
      </c>
    </row>
    <row r="556" spans="1:6" ht="57.6" x14ac:dyDescent="0.3">
      <c r="A556">
        <v>4</v>
      </c>
      <c r="B556" s="2" t="s">
        <v>697</v>
      </c>
      <c r="C556" s="4" t="s">
        <v>693</v>
      </c>
      <c r="D556" s="3" t="s">
        <v>673</v>
      </c>
      <c r="E556" s="2" t="s">
        <v>116</v>
      </c>
      <c r="F556" s="1" t="s">
        <v>566</v>
      </c>
    </row>
    <row r="557" spans="1:6" ht="57.6" x14ac:dyDescent="0.3">
      <c r="A557">
        <v>4</v>
      </c>
      <c r="B557" s="2" t="s">
        <v>697</v>
      </c>
      <c r="C557" s="4" t="s">
        <v>693</v>
      </c>
      <c r="D557" s="3" t="s">
        <v>673</v>
      </c>
      <c r="E557" s="2" t="s">
        <v>116</v>
      </c>
      <c r="F557" s="1" t="s">
        <v>562</v>
      </c>
    </row>
    <row r="558" spans="1:6" ht="57.6" x14ac:dyDescent="0.3">
      <c r="A558">
        <v>4</v>
      </c>
      <c r="B558" s="2" t="s">
        <v>697</v>
      </c>
      <c r="C558" s="4" t="s">
        <v>693</v>
      </c>
      <c r="D558" s="3" t="s">
        <v>673</v>
      </c>
      <c r="E558" s="2" t="s">
        <v>116</v>
      </c>
      <c r="F558" s="1" t="s">
        <v>178</v>
      </c>
    </row>
    <row r="559" spans="1:6" ht="57.6" x14ac:dyDescent="0.3">
      <c r="A559">
        <v>4</v>
      </c>
      <c r="B559" s="2" t="s">
        <v>697</v>
      </c>
      <c r="C559" s="4" t="s">
        <v>693</v>
      </c>
      <c r="D559" s="3" t="s">
        <v>674</v>
      </c>
      <c r="E559" s="2" t="s">
        <v>117</v>
      </c>
      <c r="F559" s="1" t="s">
        <v>567</v>
      </c>
    </row>
    <row r="560" spans="1:6" ht="57.6" x14ac:dyDescent="0.3">
      <c r="A560">
        <v>4</v>
      </c>
      <c r="B560" s="2" t="s">
        <v>697</v>
      </c>
      <c r="C560" s="4" t="s">
        <v>693</v>
      </c>
      <c r="D560" s="3" t="s">
        <v>674</v>
      </c>
      <c r="E560" s="2" t="s">
        <v>117</v>
      </c>
      <c r="F560" s="1" t="s">
        <v>149</v>
      </c>
    </row>
    <row r="561" spans="1:6" ht="57.6" x14ac:dyDescent="0.3">
      <c r="A561">
        <v>4</v>
      </c>
      <c r="B561" s="2" t="s">
        <v>697</v>
      </c>
      <c r="C561" s="4" t="s">
        <v>693</v>
      </c>
      <c r="D561" s="3" t="s">
        <v>674</v>
      </c>
      <c r="E561" s="2" t="s">
        <v>117</v>
      </c>
      <c r="F561" s="1" t="s">
        <v>565</v>
      </c>
    </row>
    <row r="562" spans="1:6" ht="57.6" x14ac:dyDescent="0.3">
      <c r="A562">
        <v>4</v>
      </c>
      <c r="B562" s="2" t="s">
        <v>697</v>
      </c>
      <c r="C562" s="4" t="s">
        <v>693</v>
      </c>
      <c r="D562" s="3" t="s">
        <v>674</v>
      </c>
      <c r="E562" s="2" t="s">
        <v>118</v>
      </c>
      <c r="F562" s="1" t="s">
        <v>568</v>
      </c>
    </row>
    <row r="563" spans="1:6" ht="57.6" x14ac:dyDescent="0.3">
      <c r="A563">
        <v>4</v>
      </c>
      <c r="B563" s="2" t="s">
        <v>697</v>
      </c>
      <c r="C563" s="4" t="s">
        <v>694</v>
      </c>
      <c r="D563" s="3" t="s">
        <v>675</v>
      </c>
      <c r="E563" s="2" t="s">
        <v>119</v>
      </c>
      <c r="F563" s="1" t="s">
        <v>569</v>
      </c>
    </row>
    <row r="564" spans="1:6" ht="57.6" x14ac:dyDescent="0.3">
      <c r="A564">
        <v>4</v>
      </c>
      <c r="B564" s="2" t="s">
        <v>697</v>
      </c>
      <c r="C564" s="4" t="s">
        <v>694</v>
      </c>
      <c r="D564" s="3" t="s">
        <v>675</v>
      </c>
      <c r="E564" s="2" t="s">
        <v>119</v>
      </c>
      <c r="F564" s="1" t="s">
        <v>570</v>
      </c>
    </row>
    <row r="565" spans="1:6" ht="57.6" x14ac:dyDescent="0.3">
      <c r="A565">
        <v>4</v>
      </c>
      <c r="B565" s="2" t="s">
        <v>697</v>
      </c>
      <c r="C565" s="4" t="s">
        <v>694</v>
      </c>
      <c r="D565" s="3" t="s">
        <v>675</v>
      </c>
      <c r="E565" s="2" t="s">
        <v>119</v>
      </c>
      <c r="F565" s="1" t="s">
        <v>571</v>
      </c>
    </row>
    <row r="566" spans="1:6" ht="57.6" x14ac:dyDescent="0.3">
      <c r="A566">
        <v>4</v>
      </c>
      <c r="B566" s="2" t="s">
        <v>697</v>
      </c>
      <c r="C566" s="4" t="s">
        <v>694</v>
      </c>
      <c r="D566" s="3" t="s">
        <v>675</v>
      </c>
      <c r="E566" s="2" t="s">
        <v>119</v>
      </c>
      <c r="F566" s="1" t="s">
        <v>572</v>
      </c>
    </row>
    <row r="567" spans="1:6" ht="57.6" x14ac:dyDescent="0.3">
      <c r="A567">
        <v>4</v>
      </c>
      <c r="B567" s="2" t="s">
        <v>697</v>
      </c>
      <c r="C567" s="4" t="s">
        <v>694</v>
      </c>
      <c r="D567" s="3" t="s">
        <v>675</v>
      </c>
      <c r="E567" s="2" t="s">
        <v>120</v>
      </c>
      <c r="F567" s="1" t="s">
        <v>482</v>
      </c>
    </row>
    <row r="568" spans="1:6" ht="57.6" x14ac:dyDescent="0.3">
      <c r="A568">
        <v>4</v>
      </c>
      <c r="B568" s="2" t="s">
        <v>697</v>
      </c>
      <c r="C568" s="4" t="s">
        <v>694</v>
      </c>
      <c r="D568" s="3" t="s">
        <v>675</v>
      </c>
      <c r="E568" s="2" t="s">
        <v>120</v>
      </c>
      <c r="F568" s="1" t="s">
        <v>573</v>
      </c>
    </row>
    <row r="569" spans="1:6" ht="57.6" x14ac:dyDescent="0.3">
      <c r="A569">
        <v>4</v>
      </c>
      <c r="B569" s="2" t="s">
        <v>697</v>
      </c>
      <c r="C569" s="4" t="s">
        <v>694</v>
      </c>
      <c r="D569" s="3" t="s">
        <v>675</v>
      </c>
      <c r="E569" s="2" t="s">
        <v>120</v>
      </c>
      <c r="F569" s="1" t="s">
        <v>179</v>
      </c>
    </row>
    <row r="570" spans="1:6" ht="57.6" x14ac:dyDescent="0.3">
      <c r="A570">
        <v>4</v>
      </c>
      <c r="B570" s="2" t="s">
        <v>697</v>
      </c>
      <c r="C570" s="4" t="s">
        <v>694</v>
      </c>
      <c r="D570" s="3" t="s">
        <v>675</v>
      </c>
      <c r="E570" s="2" t="s">
        <v>120</v>
      </c>
      <c r="F570" s="1" t="s">
        <v>152</v>
      </c>
    </row>
    <row r="571" spans="1:6" ht="57.6" x14ac:dyDescent="0.3">
      <c r="A571">
        <v>4</v>
      </c>
      <c r="B571" s="2" t="s">
        <v>697</v>
      </c>
      <c r="C571" s="4" t="s">
        <v>694</v>
      </c>
      <c r="D571" s="3" t="s">
        <v>675</v>
      </c>
      <c r="E571" s="2" t="s">
        <v>120</v>
      </c>
      <c r="F571" s="1" t="s">
        <v>180</v>
      </c>
    </row>
    <row r="572" spans="1:6" ht="57.6" x14ac:dyDescent="0.3">
      <c r="A572">
        <v>4</v>
      </c>
      <c r="B572" s="2" t="s">
        <v>697</v>
      </c>
      <c r="C572" s="4" t="s">
        <v>694</v>
      </c>
      <c r="D572" s="3" t="s">
        <v>675</v>
      </c>
      <c r="E572" s="2" t="s">
        <v>121</v>
      </c>
      <c r="F572" s="1" t="s">
        <v>574</v>
      </c>
    </row>
    <row r="573" spans="1:6" ht="57.6" x14ac:dyDescent="0.3">
      <c r="A573">
        <v>4</v>
      </c>
      <c r="B573" s="2" t="s">
        <v>697</v>
      </c>
      <c r="C573" s="4" t="s">
        <v>694</v>
      </c>
      <c r="D573" s="3" t="s">
        <v>675</v>
      </c>
      <c r="E573" s="2" t="s">
        <v>121</v>
      </c>
      <c r="F573" s="1" t="s">
        <v>280</v>
      </c>
    </row>
    <row r="574" spans="1:6" ht="57.6" x14ac:dyDescent="0.3">
      <c r="A574">
        <v>4</v>
      </c>
      <c r="B574" s="2" t="s">
        <v>697</v>
      </c>
      <c r="C574" s="4" t="s">
        <v>694</v>
      </c>
      <c r="D574" s="3" t="s">
        <v>675</v>
      </c>
      <c r="E574" s="2" t="s">
        <v>121</v>
      </c>
      <c r="F574" s="1" t="s">
        <v>344</v>
      </c>
    </row>
    <row r="575" spans="1:6" ht="57.6" x14ac:dyDescent="0.3">
      <c r="A575">
        <v>4</v>
      </c>
      <c r="B575" s="2" t="s">
        <v>697</v>
      </c>
      <c r="C575" s="4" t="s">
        <v>694</v>
      </c>
      <c r="D575" s="3" t="s">
        <v>675</v>
      </c>
      <c r="E575" s="2" t="s">
        <v>121</v>
      </c>
      <c r="F575" s="1" t="s">
        <v>575</v>
      </c>
    </row>
    <row r="576" spans="1:6" ht="57.6" x14ac:dyDescent="0.3">
      <c r="A576">
        <v>4</v>
      </c>
      <c r="B576" s="2" t="s">
        <v>697</v>
      </c>
      <c r="C576" s="4" t="s">
        <v>694</v>
      </c>
      <c r="D576" s="3" t="s">
        <v>675</v>
      </c>
      <c r="E576" s="2" t="s">
        <v>121</v>
      </c>
      <c r="F576" s="1" t="s">
        <v>576</v>
      </c>
    </row>
    <row r="577" spans="1:6" ht="57.6" x14ac:dyDescent="0.3">
      <c r="A577">
        <v>4</v>
      </c>
      <c r="B577" s="2" t="s">
        <v>697</v>
      </c>
      <c r="C577" s="4" t="s">
        <v>694</v>
      </c>
      <c r="D577" s="3" t="s">
        <v>676</v>
      </c>
      <c r="E577" s="2" t="s">
        <v>122</v>
      </c>
      <c r="F577" s="1" t="s">
        <v>577</v>
      </c>
    </row>
    <row r="578" spans="1:6" ht="57.6" x14ac:dyDescent="0.3">
      <c r="A578">
        <v>4</v>
      </c>
      <c r="B578" s="2" t="s">
        <v>697</v>
      </c>
      <c r="C578" s="4" t="s">
        <v>694</v>
      </c>
      <c r="D578" s="3" t="s">
        <v>676</v>
      </c>
      <c r="E578" s="2" t="s">
        <v>122</v>
      </c>
      <c r="F578" s="1" t="s">
        <v>149</v>
      </c>
    </row>
    <row r="579" spans="1:6" ht="57.6" x14ac:dyDescent="0.3">
      <c r="A579">
        <v>4</v>
      </c>
      <c r="B579" s="2" t="s">
        <v>697</v>
      </c>
      <c r="C579" s="4" t="s">
        <v>694</v>
      </c>
      <c r="D579" s="3" t="s">
        <v>676</v>
      </c>
      <c r="E579" s="2" t="s">
        <v>122</v>
      </c>
      <c r="F579" s="1" t="s">
        <v>578</v>
      </c>
    </row>
    <row r="580" spans="1:6" ht="57.6" x14ac:dyDescent="0.3">
      <c r="A580">
        <v>4</v>
      </c>
      <c r="B580" s="2" t="s">
        <v>697</v>
      </c>
      <c r="C580" s="4" t="s">
        <v>694</v>
      </c>
      <c r="D580" s="3" t="s">
        <v>676</v>
      </c>
      <c r="E580" s="2" t="s">
        <v>122</v>
      </c>
      <c r="F580" s="1" t="s">
        <v>179</v>
      </c>
    </row>
    <row r="581" spans="1:6" ht="57.6" x14ac:dyDescent="0.3">
      <c r="A581">
        <v>4</v>
      </c>
      <c r="B581" s="2" t="s">
        <v>697</v>
      </c>
      <c r="C581" s="4" t="s">
        <v>694</v>
      </c>
      <c r="D581" s="3" t="s">
        <v>676</v>
      </c>
      <c r="E581" s="2" t="s">
        <v>122</v>
      </c>
      <c r="F581" s="1" t="s">
        <v>152</v>
      </c>
    </row>
    <row r="582" spans="1:6" ht="57.6" x14ac:dyDescent="0.3">
      <c r="A582">
        <v>4</v>
      </c>
      <c r="B582" s="2" t="s">
        <v>697</v>
      </c>
      <c r="C582" s="4" t="s">
        <v>694</v>
      </c>
      <c r="D582" s="3" t="s">
        <v>676</v>
      </c>
      <c r="E582" s="2" t="s">
        <v>122</v>
      </c>
      <c r="F582" s="1" t="s">
        <v>180</v>
      </c>
    </row>
    <row r="583" spans="1:6" ht="57.6" x14ac:dyDescent="0.3">
      <c r="A583">
        <v>4</v>
      </c>
      <c r="B583" s="2" t="s">
        <v>697</v>
      </c>
      <c r="C583" s="4" t="s">
        <v>694</v>
      </c>
      <c r="D583" s="3" t="s">
        <v>676</v>
      </c>
      <c r="E583" s="2" t="s">
        <v>122</v>
      </c>
      <c r="F583" s="1" t="s">
        <v>181</v>
      </c>
    </row>
    <row r="584" spans="1:6" ht="57.6" x14ac:dyDescent="0.3">
      <c r="A584">
        <v>4</v>
      </c>
      <c r="B584" s="2" t="s">
        <v>697</v>
      </c>
      <c r="C584" s="4" t="s">
        <v>694</v>
      </c>
      <c r="D584" s="3" t="s">
        <v>676</v>
      </c>
      <c r="E584" s="2" t="s">
        <v>122</v>
      </c>
      <c r="F584" s="1" t="s">
        <v>579</v>
      </c>
    </row>
    <row r="585" spans="1:6" ht="57.6" x14ac:dyDescent="0.3">
      <c r="A585">
        <v>4</v>
      </c>
      <c r="B585" s="2" t="s">
        <v>697</v>
      </c>
      <c r="C585" s="4" t="s">
        <v>694</v>
      </c>
      <c r="D585" s="3" t="s">
        <v>676</v>
      </c>
      <c r="E585" s="2" t="s">
        <v>123</v>
      </c>
      <c r="F585" s="1" t="s">
        <v>580</v>
      </c>
    </row>
    <row r="586" spans="1:6" ht="57.6" x14ac:dyDescent="0.3">
      <c r="A586">
        <v>4</v>
      </c>
      <c r="B586" s="2" t="s">
        <v>697</v>
      </c>
      <c r="C586" s="4" t="s">
        <v>694</v>
      </c>
      <c r="D586" s="3" t="s">
        <v>676</v>
      </c>
      <c r="E586" s="2" t="s">
        <v>123</v>
      </c>
      <c r="F586" s="1" t="s">
        <v>581</v>
      </c>
    </row>
    <row r="587" spans="1:6" ht="57.6" x14ac:dyDescent="0.3">
      <c r="A587">
        <v>4</v>
      </c>
      <c r="B587" s="2" t="s">
        <v>697</v>
      </c>
      <c r="C587" s="4" t="s">
        <v>694</v>
      </c>
      <c r="D587" s="3" t="s">
        <v>676</v>
      </c>
      <c r="E587" s="2" t="s">
        <v>123</v>
      </c>
      <c r="F587" s="1" t="s">
        <v>149</v>
      </c>
    </row>
    <row r="588" spans="1:6" ht="57.6" x14ac:dyDescent="0.3">
      <c r="A588">
        <v>4</v>
      </c>
      <c r="B588" s="2" t="s">
        <v>697</v>
      </c>
      <c r="C588" s="4" t="s">
        <v>694</v>
      </c>
      <c r="D588" s="3" t="s">
        <v>676</v>
      </c>
      <c r="E588" s="2" t="s">
        <v>123</v>
      </c>
      <c r="F588" s="1" t="s">
        <v>582</v>
      </c>
    </row>
    <row r="589" spans="1:6" ht="57.6" x14ac:dyDescent="0.3">
      <c r="A589">
        <v>4</v>
      </c>
      <c r="B589" s="2" t="s">
        <v>697</v>
      </c>
      <c r="C589" s="4" t="s">
        <v>694</v>
      </c>
      <c r="D589" s="3" t="s">
        <v>676</v>
      </c>
      <c r="E589" s="2" t="s">
        <v>123</v>
      </c>
      <c r="F589" s="1" t="s">
        <v>175</v>
      </c>
    </row>
    <row r="590" spans="1:6" ht="57.6" x14ac:dyDescent="0.3">
      <c r="A590">
        <v>4</v>
      </c>
      <c r="B590" s="2" t="s">
        <v>697</v>
      </c>
      <c r="C590" s="4" t="s">
        <v>694</v>
      </c>
      <c r="D590" s="3" t="s">
        <v>676</v>
      </c>
      <c r="E590" s="2" t="s">
        <v>124</v>
      </c>
      <c r="F590" s="1" t="s">
        <v>583</v>
      </c>
    </row>
    <row r="591" spans="1:6" ht="57.6" x14ac:dyDescent="0.3">
      <c r="A591">
        <v>4</v>
      </c>
      <c r="B591" s="2" t="s">
        <v>697</v>
      </c>
      <c r="C591" s="4" t="s">
        <v>694</v>
      </c>
      <c r="D591" s="3" t="s">
        <v>676</v>
      </c>
      <c r="E591" s="2" t="s">
        <v>124</v>
      </c>
      <c r="F591" s="1" t="s">
        <v>584</v>
      </c>
    </row>
    <row r="592" spans="1:6" ht="57.6" x14ac:dyDescent="0.3">
      <c r="A592">
        <v>4</v>
      </c>
      <c r="B592" s="2" t="s">
        <v>697</v>
      </c>
      <c r="C592" s="4" t="s">
        <v>694</v>
      </c>
      <c r="D592" s="3" t="s">
        <v>676</v>
      </c>
      <c r="E592" s="2" t="s">
        <v>125</v>
      </c>
      <c r="F592" s="1" t="s">
        <v>585</v>
      </c>
    </row>
    <row r="593" spans="1:6" ht="57.6" x14ac:dyDescent="0.3">
      <c r="A593">
        <v>4</v>
      </c>
      <c r="B593" s="2" t="s">
        <v>697</v>
      </c>
      <c r="C593" s="4" t="s">
        <v>694</v>
      </c>
      <c r="D593" s="3" t="s">
        <v>676</v>
      </c>
      <c r="E593" s="2" t="s">
        <v>125</v>
      </c>
      <c r="F593" s="1" t="s">
        <v>586</v>
      </c>
    </row>
    <row r="594" spans="1:6" ht="57.6" x14ac:dyDescent="0.3">
      <c r="A594">
        <v>4</v>
      </c>
      <c r="B594" s="2" t="s">
        <v>697</v>
      </c>
      <c r="C594" s="4" t="s">
        <v>694</v>
      </c>
      <c r="D594" s="3" t="s">
        <v>677</v>
      </c>
      <c r="E594" s="2" t="s">
        <v>126</v>
      </c>
      <c r="F594" s="1" t="s">
        <v>466</v>
      </c>
    </row>
    <row r="595" spans="1:6" ht="57.6" x14ac:dyDescent="0.3">
      <c r="A595">
        <v>4</v>
      </c>
      <c r="B595" s="2" t="s">
        <v>697</v>
      </c>
      <c r="C595" s="4" t="s">
        <v>694</v>
      </c>
      <c r="D595" s="3" t="s">
        <v>677</v>
      </c>
      <c r="E595" s="2" t="s">
        <v>126</v>
      </c>
      <c r="F595" s="1" t="s">
        <v>467</v>
      </c>
    </row>
    <row r="596" spans="1:6" ht="57.6" x14ac:dyDescent="0.3">
      <c r="A596">
        <v>4</v>
      </c>
      <c r="B596" s="2" t="s">
        <v>697</v>
      </c>
      <c r="C596" s="4" t="s">
        <v>694</v>
      </c>
      <c r="D596" s="3" t="s">
        <v>677</v>
      </c>
      <c r="E596" s="2" t="s">
        <v>126</v>
      </c>
      <c r="F596" s="1" t="s">
        <v>468</v>
      </c>
    </row>
    <row r="597" spans="1:6" ht="57.6" x14ac:dyDescent="0.3">
      <c r="A597">
        <v>4</v>
      </c>
      <c r="B597" s="2" t="s">
        <v>697</v>
      </c>
      <c r="C597" s="4" t="s">
        <v>694</v>
      </c>
      <c r="D597" s="3" t="s">
        <v>677</v>
      </c>
      <c r="E597" s="2" t="s">
        <v>126</v>
      </c>
      <c r="F597" s="1" t="s">
        <v>469</v>
      </c>
    </row>
    <row r="598" spans="1:6" ht="57.6" x14ac:dyDescent="0.3">
      <c r="A598">
        <v>4</v>
      </c>
      <c r="B598" s="2" t="s">
        <v>697</v>
      </c>
      <c r="C598" s="4" t="s">
        <v>694</v>
      </c>
      <c r="D598" s="3" t="s">
        <v>677</v>
      </c>
      <c r="E598" s="2" t="s">
        <v>126</v>
      </c>
      <c r="F598" s="1" t="s">
        <v>470</v>
      </c>
    </row>
    <row r="599" spans="1:6" ht="57.6" x14ac:dyDescent="0.3">
      <c r="A599">
        <v>4</v>
      </c>
      <c r="B599" s="2" t="s">
        <v>697</v>
      </c>
      <c r="C599" s="4" t="s">
        <v>694</v>
      </c>
      <c r="D599" s="3" t="s">
        <v>677</v>
      </c>
      <c r="E599" s="2" t="s">
        <v>126</v>
      </c>
      <c r="F599" s="1" t="s">
        <v>471</v>
      </c>
    </row>
    <row r="600" spans="1:6" ht="57.6" x14ac:dyDescent="0.3">
      <c r="A600">
        <v>4</v>
      </c>
      <c r="B600" s="2" t="s">
        <v>697</v>
      </c>
      <c r="C600" s="4" t="s">
        <v>694</v>
      </c>
      <c r="D600" s="3" t="s">
        <v>677</v>
      </c>
      <c r="E600" s="2" t="s">
        <v>126</v>
      </c>
      <c r="F600" s="1" t="s">
        <v>472</v>
      </c>
    </row>
    <row r="601" spans="1:6" ht="57.6" x14ac:dyDescent="0.3">
      <c r="A601">
        <v>4</v>
      </c>
      <c r="B601" s="2" t="s">
        <v>697</v>
      </c>
      <c r="C601" s="4" t="s">
        <v>694</v>
      </c>
      <c r="D601" s="3" t="s">
        <v>677</v>
      </c>
      <c r="E601" s="2" t="s">
        <v>126</v>
      </c>
      <c r="F601" s="1" t="s">
        <v>473</v>
      </c>
    </row>
    <row r="602" spans="1:6" ht="57.6" x14ac:dyDescent="0.3">
      <c r="A602">
        <v>4</v>
      </c>
      <c r="B602" s="2" t="s">
        <v>697</v>
      </c>
      <c r="C602" s="4" t="s">
        <v>694</v>
      </c>
      <c r="D602" s="3" t="s">
        <v>677</v>
      </c>
      <c r="E602" s="2" t="s">
        <v>127</v>
      </c>
      <c r="F602" s="1" t="s">
        <v>587</v>
      </c>
    </row>
    <row r="603" spans="1:6" ht="57.6" x14ac:dyDescent="0.3">
      <c r="A603">
        <v>4</v>
      </c>
      <c r="B603" s="2" t="s">
        <v>697</v>
      </c>
      <c r="C603" s="4" t="s">
        <v>694</v>
      </c>
      <c r="D603" s="3" t="s">
        <v>677</v>
      </c>
      <c r="E603" s="2" t="s">
        <v>128</v>
      </c>
      <c r="F603" s="1" t="s">
        <v>588</v>
      </c>
    </row>
    <row r="604" spans="1:6" ht="57.6" x14ac:dyDescent="0.3">
      <c r="A604">
        <v>4</v>
      </c>
      <c r="B604" s="2" t="s">
        <v>697</v>
      </c>
      <c r="C604" s="4" t="s">
        <v>694</v>
      </c>
      <c r="D604" s="3" t="s">
        <v>677</v>
      </c>
      <c r="E604" s="2" t="s">
        <v>129</v>
      </c>
      <c r="F604" s="1" t="s">
        <v>589</v>
      </c>
    </row>
    <row r="605" spans="1:6" ht="57.6" x14ac:dyDescent="0.3">
      <c r="A605">
        <v>4</v>
      </c>
      <c r="B605" s="2" t="s">
        <v>697</v>
      </c>
      <c r="C605" s="4" t="s">
        <v>694</v>
      </c>
      <c r="D605" s="3" t="s">
        <v>677</v>
      </c>
      <c r="E605" s="2" t="s">
        <v>129</v>
      </c>
      <c r="F605" s="1" t="s">
        <v>590</v>
      </c>
    </row>
    <row r="606" spans="1:6" ht="57.6" x14ac:dyDescent="0.3">
      <c r="A606">
        <v>4</v>
      </c>
      <c r="B606" s="2" t="s">
        <v>697</v>
      </c>
      <c r="C606" s="4" t="s">
        <v>694</v>
      </c>
      <c r="D606" s="3" t="s">
        <v>677</v>
      </c>
      <c r="E606" s="2" t="s">
        <v>129</v>
      </c>
      <c r="F606" s="1" t="s">
        <v>591</v>
      </c>
    </row>
    <row r="607" spans="1:6" ht="57.6" x14ac:dyDescent="0.3">
      <c r="A607">
        <v>4</v>
      </c>
      <c r="B607" s="2" t="s">
        <v>697</v>
      </c>
      <c r="C607" s="4" t="s">
        <v>694</v>
      </c>
      <c r="D607" s="3" t="s">
        <v>677</v>
      </c>
      <c r="E607" s="2" t="s">
        <v>129</v>
      </c>
      <c r="F607" s="1" t="s">
        <v>592</v>
      </c>
    </row>
    <row r="608" spans="1:6" ht="57.6" x14ac:dyDescent="0.3">
      <c r="A608">
        <v>4</v>
      </c>
      <c r="B608" s="2" t="s">
        <v>697</v>
      </c>
      <c r="C608" s="4" t="s">
        <v>694</v>
      </c>
      <c r="D608" s="3" t="s">
        <v>677</v>
      </c>
      <c r="E608" s="2" t="s">
        <v>130</v>
      </c>
      <c r="F608" s="1" t="s">
        <v>593</v>
      </c>
    </row>
    <row r="609" spans="1:6" ht="57.6" x14ac:dyDescent="0.3">
      <c r="A609">
        <v>4</v>
      </c>
      <c r="B609" s="2" t="s">
        <v>697</v>
      </c>
      <c r="C609" s="4" t="s">
        <v>694</v>
      </c>
      <c r="D609" s="3" t="s">
        <v>677</v>
      </c>
      <c r="E609" s="2" t="s">
        <v>130</v>
      </c>
      <c r="F609" s="1" t="s">
        <v>149</v>
      </c>
    </row>
    <row r="610" spans="1:6" ht="57.6" x14ac:dyDescent="0.3">
      <c r="A610">
        <v>4</v>
      </c>
      <c r="B610" s="2" t="s">
        <v>697</v>
      </c>
      <c r="C610" s="4" t="s">
        <v>694</v>
      </c>
      <c r="D610" s="3" t="s">
        <v>677</v>
      </c>
      <c r="E610" s="2" t="s">
        <v>130</v>
      </c>
      <c r="F610" s="1" t="s">
        <v>424</v>
      </c>
    </row>
    <row r="611" spans="1:6" ht="57.6" x14ac:dyDescent="0.3">
      <c r="A611">
        <v>4</v>
      </c>
      <c r="B611" s="2" t="s">
        <v>697</v>
      </c>
      <c r="C611" s="4" t="s">
        <v>694</v>
      </c>
      <c r="D611" s="3" t="s">
        <v>677</v>
      </c>
      <c r="E611" s="2" t="s">
        <v>130</v>
      </c>
      <c r="F611" s="1" t="s">
        <v>594</v>
      </c>
    </row>
    <row r="612" spans="1:6" ht="57.6" x14ac:dyDescent="0.3">
      <c r="A612">
        <v>4</v>
      </c>
      <c r="B612" s="2" t="s">
        <v>697</v>
      </c>
      <c r="C612" s="4" t="s">
        <v>694</v>
      </c>
      <c r="D612" s="3" t="s">
        <v>677</v>
      </c>
      <c r="E612" s="2" t="s">
        <v>130</v>
      </c>
      <c r="F612" s="1" t="s">
        <v>167</v>
      </c>
    </row>
    <row r="613" spans="1:6" ht="57.6" x14ac:dyDescent="0.3">
      <c r="A613">
        <v>4</v>
      </c>
      <c r="B613" s="2" t="s">
        <v>697</v>
      </c>
      <c r="C613" s="4" t="s">
        <v>694</v>
      </c>
      <c r="D613" s="3" t="s">
        <v>677</v>
      </c>
      <c r="E613" s="2" t="s">
        <v>130</v>
      </c>
      <c r="F613" s="1" t="s">
        <v>157</v>
      </c>
    </row>
    <row r="614" spans="1:6" ht="57.6" x14ac:dyDescent="0.3">
      <c r="A614">
        <v>4</v>
      </c>
      <c r="B614" s="2" t="s">
        <v>697</v>
      </c>
      <c r="C614" s="4" t="s">
        <v>694</v>
      </c>
      <c r="D614" s="3" t="s">
        <v>677</v>
      </c>
      <c r="E614" s="2" t="s">
        <v>130</v>
      </c>
      <c r="F614" s="1" t="s">
        <v>152</v>
      </c>
    </row>
    <row r="615" spans="1:6" ht="57.6" x14ac:dyDescent="0.3">
      <c r="A615">
        <v>4</v>
      </c>
      <c r="B615" s="2" t="s">
        <v>697</v>
      </c>
      <c r="C615" s="4" t="s">
        <v>694</v>
      </c>
      <c r="D615" s="3" t="s">
        <v>677</v>
      </c>
      <c r="E615" s="2" t="s">
        <v>130</v>
      </c>
      <c r="F615" s="1" t="s">
        <v>180</v>
      </c>
    </row>
    <row r="616" spans="1:6" ht="57.6" x14ac:dyDescent="0.3">
      <c r="A616">
        <v>4</v>
      </c>
      <c r="B616" s="2" t="s">
        <v>697</v>
      </c>
      <c r="C616" s="4" t="s">
        <v>694</v>
      </c>
      <c r="D616" s="3" t="s">
        <v>677</v>
      </c>
      <c r="E616" s="2" t="s">
        <v>130</v>
      </c>
      <c r="F616" s="1" t="s">
        <v>595</v>
      </c>
    </row>
    <row r="617" spans="1:6" ht="57.6" x14ac:dyDescent="0.3">
      <c r="A617">
        <v>4</v>
      </c>
      <c r="B617" s="2" t="s">
        <v>697</v>
      </c>
      <c r="C617" s="4" t="s">
        <v>694</v>
      </c>
      <c r="D617" s="3" t="s">
        <v>677</v>
      </c>
      <c r="E617" s="2" t="s">
        <v>130</v>
      </c>
      <c r="F617" s="1" t="s">
        <v>175</v>
      </c>
    </row>
    <row r="618" spans="1:6" ht="57.6" x14ac:dyDescent="0.3">
      <c r="A618">
        <v>4</v>
      </c>
      <c r="B618" s="2" t="s">
        <v>697</v>
      </c>
      <c r="C618" s="4" t="s">
        <v>694</v>
      </c>
      <c r="D618" s="3" t="s">
        <v>677</v>
      </c>
      <c r="E618" s="2" t="s">
        <v>130</v>
      </c>
      <c r="F618" s="1" t="s">
        <v>596</v>
      </c>
    </row>
    <row r="619" spans="1:6" ht="57.6" x14ac:dyDescent="0.3">
      <c r="A619">
        <v>4</v>
      </c>
      <c r="B619" s="2" t="s">
        <v>697</v>
      </c>
      <c r="C619" s="4" t="s">
        <v>694</v>
      </c>
      <c r="D619" s="3" t="s">
        <v>677</v>
      </c>
      <c r="E619" s="2" t="s">
        <v>131</v>
      </c>
      <c r="F619" s="1" t="s">
        <v>597</v>
      </c>
    </row>
    <row r="620" spans="1:6" ht="57.6" x14ac:dyDescent="0.3">
      <c r="A620">
        <v>4</v>
      </c>
      <c r="B620" s="2" t="s">
        <v>697</v>
      </c>
      <c r="C620" s="4" t="s">
        <v>694</v>
      </c>
      <c r="D620" s="3" t="s">
        <v>678</v>
      </c>
      <c r="E620" s="2" t="s">
        <v>132</v>
      </c>
      <c r="F620" s="1" t="s">
        <v>598</v>
      </c>
    </row>
    <row r="621" spans="1:6" ht="57.6" x14ac:dyDescent="0.3">
      <c r="A621">
        <v>4</v>
      </c>
      <c r="B621" s="2" t="s">
        <v>697</v>
      </c>
      <c r="C621" s="4" t="s">
        <v>694</v>
      </c>
      <c r="D621" s="3" t="s">
        <v>678</v>
      </c>
      <c r="E621" s="2" t="s">
        <v>132</v>
      </c>
      <c r="F621" s="1" t="s">
        <v>149</v>
      </c>
    </row>
    <row r="622" spans="1:6" ht="57.6" x14ac:dyDescent="0.3">
      <c r="A622">
        <v>4</v>
      </c>
      <c r="B622" s="2" t="s">
        <v>697</v>
      </c>
      <c r="C622" s="4" t="s">
        <v>694</v>
      </c>
      <c r="D622" s="3" t="s">
        <v>678</v>
      </c>
      <c r="E622" s="2" t="s">
        <v>132</v>
      </c>
      <c r="F622" s="1" t="s">
        <v>599</v>
      </c>
    </row>
    <row r="623" spans="1:6" ht="57.6" x14ac:dyDescent="0.3">
      <c r="A623">
        <v>4</v>
      </c>
      <c r="B623" s="2" t="s">
        <v>697</v>
      </c>
      <c r="C623" s="4" t="s">
        <v>694</v>
      </c>
      <c r="D623" s="3" t="s">
        <v>678</v>
      </c>
      <c r="E623" s="2" t="s">
        <v>133</v>
      </c>
      <c r="F623" s="1" t="s">
        <v>182</v>
      </c>
    </row>
    <row r="624" spans="1:6" ht="57.6" x14ac:dyDescent="0.3">
      <c r="A624">
        <v>4</v>
      </c>
      <c r="B624" s="2" t="s">
        <v>697</v>
      </c>
      <c r="C624" s="4" t="s">
        <v>694</v>
      </c>
      <c r="D624" s="3" t="s">
        <v>678</v>
      </c>
      <c r="E624" s="2" t="s">
        <v>133</v>
      </c>
      <c r="F624" s="1" t="s">
        <v>600</v>
      </c>
    </row>
    <row r="625" spans="1:6" ht="57.6" x14ac:dyDescent="0.3">
      <c r="A625">
        <v>4</v>
      </c>
      <c r="B625" s="2" t="s">
        <v>697</v>
      </c>
      <c r="C625" s="4" t="s">
        <v>694</v>
      </c>
      <c r="D625" s="3" t="s">
        <v>679</v>
      </c>
      <c r="E625" s="2" t="s">
        <v>134</v>
      </c>
      <c r="F625" s="1" t="s">
        <v>601</v>
      </c>
    </row>
    <row r="626" spans="1:6" ht="57.6" x14ac:dyDescent="0.3">
      <c r="A626">
        <v>4</v>
      </c>
      <c r="B626" s="2" t="s">
        <v>697</v>
      </c>
      <c r="C626" s="4" t="s">
        <v>694</v>
      </c>
      <c r="D626" s="3" t="s">
        <v>679</v>
      </c>
      <c r="E626" s="2" t="s">
        <v>134</v>
      </c>
      <c r="F626" s="1" t="s">
        <v>602</v>
      </c>
    </row>
    <row r="627" spans="1:6" ht="57.6" x14ac:dyDescent="0.3">
      <c r="A627">
        <v>4</v>
      </c>
      <c r="B627" s="2" t="s">
        <v>697</v>
      </c>
      <c r="C627" s="4" t="s">
        <v>694</v>
      </c>
      <c r="D627" s="3" t="s">
        <v>679</v>
      </c>
      <c r="E627" s="2" t="s">
        <v>134</v>
      </c>
      <c r="F627" s="1" t="s">
        <v>603</v>
      </c>
    </row>
    <row r="628" spans="1:6" ht="57.6" x14ac:dyDescent="0.3">
      <c r="A628">
        <v>4</v>
      </c>
      <c r="B628" s="2" t="s">
        <v>697</v>
      </c>
      <c r="C628" s="4" t="s">
        <v>694</v>
      </c>
      <c r="D628" s="3" t="s">
        <v>679</v>
      </c>
      <c r="E628" s="2" t="s">
        <v>134</v>
      </c>
      <c r="F628" s="1" t="s">
        <v>604</v>
      </c>
    </row>
    <row r="629" spans="1:6" ht="57.6" x14ac:dyDescent="0.3">
      <c r="A629">
        <v>4</v>
      </c>
      <c r="B629" s="2" t="s">
        <v>697</v>
      </c>
      <c r="C629" s="4" t="s">
        <v>694</v>
      </c>
      <c r="D629" s="3" t="s">
        <v>679</v>
      </c>
      <c r="E629" s="2" t="s">
        <v>134</v>
      </c>
      <c r="F629" s="1" t="s">
        <v>605</v>
      </c>
    </row>
    <row r="630" spans="1:6" ht="57.6" x14ac:dyDescent="0.3">
      <c r="A630">
        <v>4</v>
      </c>
      <c r="B630" s="2" t="s">
        <v>697</v>
      </c>
      <c r="C630" s="4" t="s">
        <v>694</v>
      </c>
      <c r="D630" s="3" t="s">
        <v>679</v>
      </c>
      <c r="E630" s="2" t="s">
        <v>134</v>
      </c>
      <c r="F630" s="1" t="s">
        <v>606</v>
      </c>
    </row>
    <row r="631" spans="1:6" ht="57.6" x14ac:dyDescent="0.3">
      <c r="A631">
        <v>4</v>
      </c>
      <c r="B631" s="2" t="s">
        <v>697</v>
      </c>
      <c r="C631" s="4" t="s">
        <v>694</v>
      </c>
      <c r="D631" s="3" t="s">
        <v>679</v>
      </c>
      <c r="E631" s="2" t="s">
        <v>134</v>
      </c>
      <c r="F631" s="1" t="s">
        <v>607</v>
      </c>
    </row>
    <row r="632" spans="1:6" ht="57.6" x14ac:dyDescent="0.3">
      <c r="A632">
        <v>4</v>
      </c>
      <c r="B632" s="2" t="s">
        <v>697</v>
      </c>
      <c r="C632" s="4" t="s">
        <v>694</v>
      </c>
      <c r="D632" s="3" t="s">
        <v>679</v>
      </c>
      <c r="E632" s="2" t="s">
        <v>134</v>
      </c>
      <c r="F632" s="1" t="s">
        <v>608</v>
      </c>
    </row>
    <row r="633" spans="1:6" ht="57.6" x14ac:dyDescent="0.3">
      <c r="A633">
        <v>4</v>
      </c>
      <c r="B633" s="2" t="s">
        <v>697</v>
      </c>
      <c r="C633" s="4" t="s">
        <v>694</v>
      </c>
      <c r="D633" s="3" t="s">
        <v>679</v>
      </c>
      <c r="E633" s="2" t="s">
        <v>134</v>
      </c>
      <c r="F633" s="1" t="s">
        <v>609</v>
      </c>
    </row>
    <row r="634" spans="1:6" ht="57.6" x14ac:dyDescent="0.3">
      <c r="A634">
        <v>4</v>
      </c>
      <c r="B634" s="2" t="s">
        <v>697</v>
      </c>
      <c r="C634" s="4" t="s">
        <v>694</v>
      </c>
      <c r="D634" s="3" t="s">
        <v>679</v>
      </c>
      <c r="E634" s="2" t="s">
        <v>134</v>
      </c>
      <c r="F634" s="1" t="s">
        <v>610</v>
      </c>
    </row>
    <row r="635" spans="1:6" ht="57.6" x14ac:dyDescent="0.3">
      <c r="A635">
        <v>4</v>
      </c>
      <c r="B635" s="2" t="s">
        <v>697</v>
      </c>
      <c r="C635" s="4" t="s">
        <v>694</v>
      </c>
      <c r="D635" s="3" t="s">
        <v>679</v>
      </c>
      <c r="E635" s="2" t="s">
        <v>135</v>
      </c>
      <c r="F635" s="1" t="s">
        <v>611</v>
      </c>
    </row>
    <row r="636" spans="1:6" ht="57.6" x14ac:dyDescent="0.3">
      <c r="A636">
        <v>4</v>
      </c>
      <c r="B636" s="2" t="s">
        <v>697</v>
      </c>
      <c r="C636" s="4" t="s">
        <v>694</v>
      </c>
      <c r="D636" s="3" t="s">
        <v>679</v>
      </c>
      <c r="E636" s="2" t="s">
        <v>135</v>
      </c>
      <c r="F636" s="1" t="s">
        <v>612</v>
      </c>
    </row>
    <row r="637" spans="1:6" ht="57.6" x14ac:dyDescent="0.3">
      <c r="A637">
        <v>4</v>
      </c>
      <c r="B637" s="2" t="s">
        <v>697</v>
      </c>
      <c r="C637" s="4" t="s">
        <v>694</v>
      </c>
      <c r="D637" s="3" t="s">
        <v>679</v>
      </c>
      <c r="E637" s="2" t="s">
        <v>135</v>
      </c>
      <c r="F637" s="1" t="s">
        <v>613</v>
      </c>
    </row>
    <row r="638" spans="1:6" ht="57.6" x14ac:dyDescent="0.3">
      <c r="A638">
        <v>4</v>
      </c>
      <c r="B638" s="2" t="s">
        <v>697</v>
      </c>
      <c r="C638" s="4" t="s">
        <v>694</v>
      </c>
      <c r="D638" s="3" t="s">
        <v>679</v>
      </c>
      <c r="E638" s="2" t="s">
        <v>135</v>
      </c>
      <c r="F638" s="1" t="s">
        <v>614</v>
      </c>
    </row>
    <row r="639" spans="1:6" ht="57.6" x14ac:dyDescent="0.3">
      <c r="A639">
        <v>4</v>
      </c>
      <c r="B639" s="2" t="s">
        <v>697</v>
      </c>
      <c r="C639" s="4" t="s">
        <v>694</v>
      </c>
      <c r="D639" s="3" t="s">
        <v>679</v>
      </c>
      <c r="E639" s="2" t="s">
        <v>135</v>
      </c>
      <c r="F639" s="1" t="s">
        <v>615</v>
      </c>
    </row>
    <row r="640" spans="1:6" ht="57.6" x14ac:dyDescent="0.3">
      <c r="A640">
        <v>4</v>
      </c>
      <c r="B640" s="2" t="s">
        <v>697</v>
      </c>
      <c r="C640" s="4" t="s">
        <v>694</v>
      </c>
      <c r="D640" s="3" t="s">
        <v>679</v>
      </c>
      <c r="E640" s="2" t="s">
        <v>135</v>
      </c>
      <c r="F640" s="1" t="s">
        <v>616</v>
      </c>
    </row>
    <row r="641" spans="1:6" ht="57.6" x14ac:dyDescent="0.3">
      <c r="A641">
        <v>4</v>
      </c>
      <c r="B641" s="2" t="s">
        <v>697</v>
      </c>
      <c r="C641" s="4" t="s">
        <v>695</v>
      </c>
      <c r="D641" s="3" t="s">
        <v>680</v>
      </c>
      <c r="E641" s="2" t="s">
        <v>136</v>
      </c>
      <c r="F641" s="1" t="s">
        <v>617</v>
      </c>
    </row>
    <row r="642" spans="1:6" ht="57.6" x14ac:dyDescent="0.3">
      <c r="A642">
        <v>4</v>
      </c>
      <c r="B642" s="2" t="s">
        <v>697</v>
      </c>
      <c r="C642" s="4" t="s">
        <v>695</v>
      </c>
      <c r="D642" s="3" t="s">
        <v>680</v>
      </c>
      <c r="E642" s="2" t="s">
        <v>137</v>
      </c>
      <c r="F642" s="1" t="s">
        <v>155</v>
      </c>
    </row>
    <row r="643" spans="1:6" ht="57.6" x14ac:dyDescent="0.3">
      <c r="A643">
        <v>4</v>
      </c>
      <c r="B643" s="2" t="s">
        <v>697</v>
      </c>
      <c r="C643" s="4" t="s">
        <v>695</v>
      </c>
      <c r="D643" s="3" t="s">
        <v>680</v>
      </c>
      <c r="E643" s="2" t="s">
        <v>137</v>
      </c>
      <c r="F643" s="1" t="s">
        <v>158</v>
      </c>
    </row>
    <row r="644" spans="1:6" ht="57.6" x14ac:dyDescent="0.3">
      <c r="A644">
        <v>4</v>
      </c>
      <c r="B644" s="2" t="s">
        <v>697</v>
      </c>
      <c r="C644" s="4" t="s">
        <v>695</v>
      </c>
      <c r="D644" s="3" t="s">
        <v>680</v>
      </c>
      <c r="E644" s="2" t="s">
        <v>137</v>
      </c>
      <c r="F644" s="1" t="s">
        <v>618</v>
      </c>
    </row>
    <row r="645" spans="1:6" ht="57.6" x14ac:dyDescent="0.3">
      <c r="A645">
        <v>4</v>
      </c>
      <c r="B645" s="2" t="s">
        <v>697</v>
      </c>
      <c r="C645" s="4" t="s">
        <v>695</v>
      </c>
      <c r="D645" s="3" t="s">
        <v>680</v>
      </c>
      <c r="E645" s="2" t="s">
        <v>137</v>
      </c>
      <c r="F645" s="1" t="s">
        <v>166</v>
      </c>
    </row>
    <row r="646" spans="1:6" ht="57.6" x14ac:dyDescent="0.3">
      <c r="A646">
        <v>4</v>
      </c>
      <c r="B646" s="2" t="s">
        <v>697</v>
      </c>
      <c r="C646" s="4" t="s">
        <v>695</v>
      </c>
      <c r="D646" s="3" t="s">
        <v>680</v>
      </c>
      <c r="E646" s="2" t="s">
        <v>137</v>
      </c>
      <c r="F646" s="1" t="s">
        <v>296</v>
      </c>
    </row>
    <row r="647" spans="1:6" ht="57.6" x14ac:dyDescent="0.3">
      <c r="A647">
        <v>4</v>
      </c>
      <c r="B647" s="2" t="s">
        <v>697</v>
      </c>
      <c r="C647" s="4" t="s">
        <v>695</v>
      </c>
      <c r="D647" s="3" t="s">
        <v>680</v>
      </c>
      <c r="E647" s="2" t="s">
        <v>137</v>
      </c>
      <c r="F647" s="1" t="s">
        <v>156</v>
      </c>
    </row>
    <row r="648" spans="1:6" ht="57.6" x14ac:dyDescent="0.3">
      <c r="A648">
        <v>4</v>
      </c>
      <c r="B648" s="2" t="s">
        <v>697</v>
      </c>
      <c r="C648" s="4" t="s">
        <v>695</v>
      </c>
      <c r="D648" s="3" t="s">
        <v>681</v>
      </c>
      <c r="E648" s="2" t="s">
        <v>138</v>
      </c>
      <c r="F648" s="1" t="s">
        <v>155</v>
      </c>
    </row>
    <row r="649" spans="1:6" ht="57.6" x14ac:dyDescent="0.3">
      <c r="A649">
        <v>4</v>
      </c>
      <c r="B649" s="2" t="s">
        <v>697</v>
      </c>
      <c r="C649" s="4" t="s">
        <v>695</v>
      </c>
      <c r="D649" s="3" t="s">
        <v>681</v>
      </c>
      <c r="E649" s="2" t="s">
        <v>138</v>
      </c>
      <c r="F649" s="1" t="s">
        <v>158</v>
      </c>
    </row>
    <row r="650" spans="1:6" ht="57.6" x14ac:dyDescent="0.3">
      <c r="A650">
        <v>4</v>
      </c>
      <c r="B650" s="2" t="s">
        <v>697</v>
      </c>
      <c r="C650" s="4" t="s">
        <v>695</v>
      </c>
      <c r="D650" s="3" t="s">
        <v>681</v>
      </c>
      <c r="E650" s="2" t="s">
        <v>138</v>
      </c>
      <c r="F650" s="1" t="s">
        <v>619</v>
      </c>
    </row>
    <row r="651" spans="1:6" ht="57.6" x14ac:dyDescent="0.3">
      <c r="A651">
        <v>4</v>
      </c>
      <c r="B651" s="2" t="s">
        <v>697</v>
      </c>
      <c r="C651" s="4" t="s">
        <v>695</v>
      </c>
      <c r="D651" s="3" t="s">
        <v>681</v>
      </c>
      <c r="E651" s="2" t="s">
        <v>138</v>
      </c>
      <c r="F651" s="1" t="s">
        <v>618</v>
      </c>
    </row>
    <row r="652" spans="1:6" ht="57.6" x14ac:dyDescent="0.3">
      <c r="A652">
        <v>4</v>
      </c>
      <c r="B652" s="2" t="s">
        <v>697</v>
      </c>
      <c r="C652" s="4" t="s">
        <v>695</v>
      </c>
      <c r="D652" s="3" t="s">
        <v>681</v>
      </c>
      <c r="E652" s="2" t="s">
        <v>138</v>
      </c>
      <c r="F652" s="1" t="s">
        <v>265</v>
      </c>
    </row>
    <row r="653" spans="1:6" ht="57.6" x14ac:dyDescent="0.3">
      <c r="A653">
        <v>4</v>
      </c>
      <c r="B653" s="2" t="s">
        <v>697</v>
      </c>
      <c r="C653" s="4" t="s">
        <v>695</v>
      </c>
      <c r="D653" s="3" t="s">
        <v>681</v>
      </c>
      <c r="E653" s="2" t="s">
        <v>138</v>
      </c>
      <c r="F653" s="1" t="s">
        <v>562</v>
      </c>
    </row>
    <row r="654" spans="1:6" ht="57.6" x14ac:dyDescent="0.3">
      <c r="A654">
        <v>4</v>
      </c>
      <c r="B654" s="2" t="s">
        <v>697</v>
      </c>
      <c r="C654" s="4" t="s">
        <v>695</v>
      </c>
      <c r="D654" s="3" t="s">
        <v>681</v>
      </c>
      <c r="E654" s="2" t="s">
        <v>138</v>
      </c>
      <c r="F654" s="1" t="s">
        <v>156</v>
      </c>
    </row>
    <row r="655" spans="1:6" ht="57.6" x14ac:dyDescent="0.3">
      <c r="A655">
        <v>4</v>
      </c>
      <c r="B655" s="2" t="s">
        <v>697</v>
      </c>
      <c r="C655" s="4" t="s">
        <v>695</v>
      </c>
      <c r="D655" s="3" t="s">
        <v>682</v>
      </c>
      <c r="E655" s="2" t="s">
        <v>139</v>
      </c>
      <c r="F655" s="1" t="s">
        <v>158</v>
      </c>
    </row>
    <row r="656" spans="1:6" ht="57.6" x14ac:dyDescent="0.3">
      <c r="A656">
        <v>4</v>
      </c>
      <c r="B656" s="2" t="s">
        <v>697</v>
      </c>
      <c r="C656" s="4" t="s">
        <v>695</v>
      </c>
      <c r="D656" s="3" t="s">
        <v>682</v>
      </c>
      <c r="E656" s="2" t="s">
        <v>139</v>
      </c>
      <c r="F656" s="1" t="s">
        <v>620</v>
      </c>
    </row>
    <row r="657" spans="1:6" ht="57.6" x14ac:dyDescent="0.3">
      <c r="A657">
        <v>4</v>
      </c>
      <c r="B657" s="2" t="s">
        <v>697</v>
      </c>
      <c r="C657" s="4" t="s">
        <v>695</v>
      </c>
      <c r="D657" s="3" t="s">
        <v>682</v>
      </c>
      <c r="E657" s="2" t="s">
        <v>139</v>
      </c>
      <c r="F657" s="1" t="s">
        <v>166</v>
      </c>
    </row>
    <row r="658" spans="1:6" ht="57.6" x14ac:dyDescent="0.3">
      <c r="A658">
        <v>4</v>
      </c>
      <c r="B658" s="2" t="s">
        <v>697</v>
      </c>
      <c r="C658" s="4" t="s">
        <v>695</v>
      </c>
      <c r="D658" s="3" t="s">
        <v>682</v>
      </c>
      <c r="E658" s="2" t="s">
        <v>139</v>
      </c>
      <c r="F658" s="1" t="s">
        <v>296</v>
      </c>
    </row>
    <row r="659" spans="1:6" ht="57.6" x14ac:dyDescent="0.3">
      <c r="A659">
        <v>4</v>
      </c>
      <c r="B659" s="2" t="s">
        <v>697</v>
      </c>
      <c r="C659" s="4" t="s">
        <v>695</v>
      </c>
      <c r="D659" s="3" t="s">
        <v>682</v>
      </c>
      <c r="E659" s="2" t="s">
        <v>139</v>
      </c>
      <c r="F659" s="1" t="s">
        <v>156</v>
      </c>
    </row>
    <row r="660" spans="1:6" ht="57.6" x14ac:dyDescent="0.3">
      <c r="A660">
        <v>4</v>
      </c>
      <c r="B660" s="2" t="s">
        <v>697</v>
      </c>
      <c r="C660" s="4" t="s">
        <v>695</v>
      </c>
      <c r="D660" s="3" t="s">
        <v>682</v>
      </c>
      <c r="E660" s="2" t="s">
        <v>140</v>
      </c>
      <c r="F660" s="1" t="s">
        <v>621</v>
      </c>
    </row>
    <row r="661" spans="1:6" ht="57.6" x14ac:dyDescent="0.3">
      <c r="A661">
        <v>4</v>
      </c>
      <c r="B661" s="2" t="s">
        <v>697</v>
      </c>
      <c r="C661" s="4" t="s">
        <v>695</v>
      </c>
      <c r="D661" s="3" t="s">
        <v>683</v>
      </c>
      <c r="E661" s="2" t="s">
        <v>141</v>
      </c>
      <c r="F661" s="1" t="s">
        <v>155</v>
      </c>
    </row>
    <row r="662" spans="1:6" ht="57.6" x14ac:dyDescent="0.3">
      <c r="A662">
        <v>4</v>
      </c>
      <c r="B662" s="2" t="s">
        <v>697</v>
      </c>
      <c r="C662" s="4" t="s">
        <v>695</v>
      </c>
      <c r="D662" s="3" t="s">
        <v>683</v>
      </c>
      <c r="E662" s="2" t="s">
        <v>141</v>
      </c>
      <c r="F662" s="1" t="s">
        <v>622</v>
      </c>
    </row>
    <row r="663" spans="1:6" ht="57.6" x14ac:dyDescent="0.3">
      <c r="A663">
        <v>4</v>
      </c>
      <c r="B663" s="2" t="s">
        <v>697</v>
      </c>
      <c r="C663" s="4" t="s">
        <v>695</v>
      </c>
      <c r="D663" s="3" t="s">
        <v>683</v>
      </c>
      <c r="E663" s="2" t="s">
        <v>141</v>
      </c>
      <c r="F663" s="1" t="s">
        <v>166</v>
      </c>
    </row>
    <row r="664" spans="1:6" ht="57.6" x14ac:dyDescent="0.3">
      <c r="A664">
        <v>4</v>
      </c>
      <c r="B664" s="2" t="s">
        <v>697</v>
      </c>
      <c r="C664" s="4" t="s">
        <v>695</v>
      </c>
      <c r="D664" s="3" t="s">
        <v>683</v>
      </c>
      <c r="E664" s="2" t="s">
        <v>141</v>
      </c>
      <c r="F664" s="1" t="s">
        <v>623</v>
      </c>
    </row>
    <row r="665" spans="1:6" ht="57.6" x14ac:dyDescent="0.3">
      <c r="A665">
        <v>4</v>
      </c>
      <c r="B665" s="2" t="s">
        <v>697</v>
      </c>
      <c r="C665" s="4" t="s">
        <v>695</v>
      </c>
      <c r="D665" s="3" t="s">
        <v>683</v>
      </c>
      <c r="E665" s="2" t="s">
        <v>141</v>
      </c>
      <c r="F665" s="1" t="s">
        <v>624</v>
      </c>
    </row>
    <row r="666" spans="1:6" ht="57.6" x14ac:dyDescent="0.3">
      <c r="A666">
        <v>4</v>
      </c>
      <c r="B666" s="2" t="s">
        <v>697</v>
      </c>
      <c r="C666" s="4" t="s">
        <v>695</v>
      </c>
      <c r="D666" s="3" t="s">
        <v>683</v>
      </c>
      <c r="E666" s="2" t="s">
        <v>141</v>
      </c>
      <c r="F666" s="1" t="s">
        <v>625</v>
      </c>
    </row>
    <row r="667" spans="1:6" ht="57.6" x14ac:dyDescent="0.3">
      <c r="A667">
        <v>4</v>
      </c>
      <c r="B667" s="2" t="s">
        <v>697</v>
      </c>
      <c r="C667" s="4" t="s">
        <v>695</v>
      </c>
      <c r="D667" s="3" t="s">
        <v>683</v>
      </c>
      <c r="E667" s="2" t="s">
        <v>141</v>
      </c>
      <c r="F667" s="1" t="s">
        <v>626</v>
      </c>
    </row>
    <row r="668" spans="1:6" ht="57.6" x14ac:dyDescent="0.3">
      <c r="A668">
        <v>4</v>
      </c>
      <c r="B668" s="2" t="s">
        <v>697</v>
      </c>
      <c r="C668" s="4" t="s">
        <v>695</v>
      </c>
      <c r="D668" s="3" t="s">
        <v>683</v>
      </c>
      <c r="E668" s="2" t="s">
        <v>141</v>
      </c>
      <c r="F668" s="1" t="s">
        <v>627</v>
      </c>
    </row>
    <row r="669" spans="1:6" ht="57.6" x14ac:dyDescent="0.3">
      <c r="A669">
        <v>4</v>
      </c>
      <c r="B669" s="2" t="s">
        <v>697</v>
      </c>
      <c r="C669" s="4" t="s">
        <v>695</v>
      </c>
      <c r="D669" s="3" t="s">
        <v>683</v>
      </c>
      <c r="E669" s="2" t="s">
        <v>141</v>
      </c>
      <c r="F669" s="1" t="s">
        <v>628</v>
      </c>
    </row>
    <row r="670" spans="1:6" ht="57.6" x14ac:dyDescent="0.3">
      <c r="A670">
        <v>4</v>
      </c>
      <c r="B670" s="2" t="s">
        <v>697</v>
      </c>
      <c r="C670" s="4" t="s">
        <v>695</v>
      </c>
      <c r="D670" s="3" t="s">
        <v>683</v>
      </c>
      <c r="E670" s="2" t="s">
        <v>141</v>
      </c>
      <c r="F670" s="1" t="s">
        <v>629</v>
      </c>
    </row>
    <row r="671" spans="1:6" ht="57.6" x14ac:dyDescent="0.3">
      <c r="A671">
        <v>4</v>
      </c>
      <c r="B671" s="2" t="s">
        <v>697</v>
      </c>
      <c r="C671" s="4" t="s">
        <v>695</v>
      </c>
      <c r="D671" s="3" t="s">
        <v>684</v>
      </c>
      <c r="E671" s="2" t="s">
        <v>142</v>
      </c>
      <c r="F671" s="1" t="s">
        <v>155</v>
      </c>
    </row>
    <row r="672" spans="1:6" ht="57.6" x14ac:dyDescent="0.3">
      <c r="A672">
        <v>4</v>
      </c>
      <c r="B672" s="2" t="s">
        <v>697</v>
      </c>
      <c r="C672" s="4" t="s">
        <v>695</v>
      </c>
      <c r="D672" s="3" t="s">
        <v>684</v>
      </c>
      <c r="E672" s="2" t="s">
        <v>142</v>
      </c>
      <c r="F672" s="1" t="s">
        <v>158</v>
      </c>
    </row>
    <row r="673" spans="1:6" ht="57.6" x14ac:dyDescent="0.3">
      <c r="A673">
        <v>4</v>
      </c>
      <c r="B673" s="2" t="s">
        <v>697</v>
      </c>
      <c r="C673" s="4" t="s">
        <v>695</v>
      </c>
      <c r="D673" s="3" t="s">
        <v>684</v>
      </c>
      <c r="E673" s="2" t="s">
        <v>142</v>
      </c>
      <c r="F673" s="1" t="s">
        <v>630</v>
      </c>
    </row>
    <row r="674" spans="1:6" ht="57.6" x14ac:dyDescent="0.3">
      <c r="A674">
        <v>4</v>
      </c>
      <c r="B674" s="2" t="s">
        <v>697</v>
      </c>
      <c r="C674" s="4" t="s">
        <v>695</v>
      </c>
      <c r="D674" s="3" t="s">
        <v>684</v>
      </c>
      <c r="E674" s="2" t="s">
        <v>142</v>
      </c>
      <c r="F674" s="1" t="s">
        <v>631</v>
      </c>
    </row>
    <row r="675" spans="1:6" ht="57.6" x14ac:dyDescent="0.3">
      <c r="A675">
        <v>4</v>
      </c>
      <c r="B675" s="2" t="s">
        <v>697</v>
      </c>
      <c r="C675" s="4" t="s">
        <v>695</v>
      </c>
      <c r="D675" s="3" t="s">
        <v>684</v>
      </c>
      <c r="E675" s="2" t="s">
        <v>142</v>
      </c>
      <c r="F675" s="1" t="s">
        <v>265</v>
      </c>
    </row>
    <row r="676" spans="1:6" ht="57.6" x14ac:dyDescent="0.3">
      <c r="A676">
        <v>4</v>
      </c>
      <c r="B676" s="2" t="s">
        <v>697</v>
      </c>
      <c r="C676" s="4" t="s">
        <v>695</v>
      </c>
      <c r="D676" s="3" t="s">
        <v>684</v>
      </c>
      <c r="E676" s="2" t="s">
        <v>142</v>
      </c>
      <c r="F676" s="1" t="s">
        <v>562</v>
      </c>
    </row>
    <row r="677" spans="1:6" ht="57.6" x14ac:dyDescent="0.3">
      <c r="A677">
        <v>4</v>
      </c>
      <c r="B677" s="2" t="s">
        <v>697</v>
      </c>
      <c r="C677" s="4" t="s">
        <v>695</v>
      </c>
      <c r="D677" s="3" t="s">
        <v>684</v>
      </c>
      <c r="E677" s="2" t="s">
        <v>142</v>
      </c>
      <c r="F677" s="1" t="s">
        <v>156</v>
      </c>
    </row>
    <row r="678" spans="1:6" ht="57.6" x14ac:dyDescent="0.3">
      <c r="A678">
        <v>4</v>
      </c>
      <c r="B678" s="2" t="s">
        <v>697</v>
      </c>
      <c r="C678" s="4" t="s">
        <v>695</v>
      </c>
      <c r="D678" s="3" t="s">
        <v>685</v>
      </c>
      <c r="E678" s="2" t="s">
        <v>143</v>
      </c>
      <c r="F678" s="1" t="s">
        <v>143</v>
      </c>
    </row>
    <row r="679" spans="1:6" ht="57.6" x14ac:dyDescent="0.3">
      <c r="A679">
        <v>4</v>
      </c>
      <c r="B679" s="2" t="s">
        <v>697</v>
      </c>
      <c r="C679" s="4" t="s">
        <v>695</v>
      </c>
      <c r="D679" s="3" t="s">
        <v>686</v>
      </c>
      <c r="E679" s="2" t="s">
        <v>144</v>
      </c>
      <c r="F679" s="1" t="s">
        <v>155</v>
      </c>
    </row>
    <row r="680" spans="1:6" ht="57.6" x14ac:dyDescent="0.3">
      <c r="A680">
        <v>4</v>
      </c>
      <c r="B680" s="2" t="s">
        <v>697</v>
      </c>
      <c r="C680" s="4" t="s">
        <v>695</v>
      </c>
      <c r="D680" s="3" t="s">
        <v>686</v>
      </c>
      <c r="E680" s="2" t="s">
        <v>144</v>
      </c>
      <c r="F680" s="1" t="s">
        <v>632</v>
      </c>
    </row>
    <row r="681" spans="1:6" ht="57.6" x14ac:dyDescent="0.3">
      <c r="A681">
        <v>4</v>
      </c>
      <c r="B681" s="2" t="s">
        <v>697</v>
      </c>
      <c r="C681" s="4" t="s">
        <v>695</v>
      </c>
      <c r="D681" s="3" t="s">
        <v>686</v>
      </c>
      <c r="E681" s="2" t="s">
        <v>144</v>
      </c>
      <c r="F681" s="1" t="s">
        <v>151</v>
      </c>
    </row>
    <row r="682" spans="1:6" ht="57.6" x14ac:dyDescent="0.3">
      <c r="A682">
        <v>4</v>
      </c>
      <c r="B682" s="2" t="s">
        <v>697</v>
      </c>
      <c r="C682" s="4" t="s">
        <v>695</v>
      </c>
      <c r="D682" s="3" t="s">
        <v>686</v>
      </c>
      <c r="E682" s="2" t="s">
        <v>144</v>
      </c>
      <c r="F682" s="1" t="s">
        <v>152</v>
      </c>
    </row>
    <row r="683" spans="1:6" ht="57.6" x14ac:dyDescent="0.3">
      <c r="A683">
        <v>4</v>
      </c>
      <c r="B683" s="2" t="s">
        <v>697</v>
      </c>
      <c r="C683" s="4" t="s">
        <v>695</v>
      </c>
      <c r="D683" s="3" t="s">
        <v>686</v>
      </c>
      <c r="E683" s="2" t="s">
        <v>144</v>
      </c>
      <c r="F683" s="1" t="s">
        <v>153</v>
      </c>
    </row>
    <row r="684" spans="1:6" ht="57.6" x14ac:dyDescent="0.3">
      <c r="A684">
        <v>4</v>
      </c>
      <c r="B684" s="2" t="s">
        <v>697</v>
      </c>
      <c r="C684" s="4" t="s">
        <v>695</v>
      </c>
      <c r="D684" s="3" t="s">
        <v>686</v>
      </c>
      <c r="E684" s="2" t="s">
        <v>144</v>
      </c>
      <c r="F684" s="1" t="s">
        <v>172</v>
      </c>
    </row>
    <row r="685" spans="1:6" ht="57.6" x14ac:dyDescent="0.3">
      <c r="A685">
        <v>4</v>
      </c>
      <c r="B685" s="2" t="s">
        <v>697</v>
      </c>
      <c r="C685" s="4" t="s">
        <v>695</v>
      </c>
      <c r="D685" s="3" t="s">
        <v>686</v>
      </c>
      <c r="E685" s="2" t="s">
        <v>144</v>
      </c>
      <c r="F685" s="1" t="s">
        <v>562</v>
      </c>
    </row>
    <row r="686" spans="1:6" ht="57.6" x14ac:dyDescent="0.3">
      <c r="A686">
        <v>4</v>
      </c>
      <c r="B686" s="2" t="s">
        <v>697</v>
      </c>
      <c r="C686" s="4" t="s">
        <v>695</v>
      </c>
      <c r="D686" s="3" t="s">
        <v>686</v>
      </c>
      <c r="E686" s="2" t="s">
        <v>144</v>
      </c>
      <c r="F686" s="1" t="s">
        <v>156</v>
      </c>
    </row>
    <row r="687" spans="1:6" ht="57.6" x14ac:dyDescent="0.3">
      <c r="A687">
        <v>4</v>
      </c>
      <c r="B687" s="2" t="s">
        <v>697</v>
      </c>
      <c r="C687" s="4" t="s">
        <v>695</v>
      </c>
      <c r="D687" s="3" t="s">
        <v>686</v>
      </c>
      <c r="E687" s="2" t="s">
        <v>145</v>
      </c>
      <c r="F687" s="1" t="s">
        <v>155</v>
      </c>
    </row>
    <row r="688" spans="1:6" ht="57.6" x14ac:dyDescent="0.3">
      <c r="A688">
        <v>4</v>
      </c>
      <c r="B688" s="2" t="s">
        <v>697</v>
      </c>
      <c r="C688" s="4" t="s">
        <v>695</v>
      </c>
      <c r="D688" s="3" t="s">
        <v>686</v>
      </c>
      <c r="E688" s="2" t="s">
        <v>145</v>
      </c>
      <c r="F688" s="1" t="s">
        <v>622</v>
      </c>
    </row>
    <row r="689" spans="1:6" ht="57.6" x14ac:dyDescent="0.3">
      <c r="A689">
        <v>4</v>
      </c>
      <c r="B689" s="2" t="s">
        <v>697</v>
      </c>
      <c r="C689" s="4" t="s">
        <v>695</v>
      </c>
      <c r="D689" s="3" t="s">
        <v>686</v>
      </c>
      <c r="E689" s="2" t="s">
        <v>145</v>
      </c>
      <c r="F689" s="1" t="s">
        <v>166</v>
      </c>
    </row>
    <row r="690" spans="1:6" ht="57.6" x14ac:dyDescent="0.3">
      <c r="A690">
        <v>4</v>
      </c>
      <c r="B690" s="2" t="s">
        <v>697</v>
      </c>
      <c r="C690" s="4" t="s">
        <v>695</v>
      </c>
      <c r="D690" s="3" t="s">
        <v>686</v>
      </c>
      <c r="E690" s="2" t="s">
        <v>145</v>
      </c>
      <c r="F690" s="1" t="s">
        <v>623</v>
      </c>
    </row>
    <row r="691" spans="1:6" ht="57.6" x14ac:dyDescent="0.3">
      <c r="A691">
        <v>4</v>
      </c>
      <c r="B691" s="2" t="s">
        <v>697</v>
      </c>
      <c r="C691" s="4" t="s">
        <v>695</v>
      </c>
      <c r="D691" s="3" t="s">
        <v>686</v>
      </c>
      <c r="E691" s="2" t="s">
        <v>145</v>
      </c>
      <c r="F691" s="1" t="s">
        <v>624</v>
      </c>
    </row>
    <row r="692" spans="1:6" ht="57.6" x14ac:dyDescent="0.3">
      <c r="A692">
        <v>4</v>
      </c>
      <c r="B692" s="2" t="s">
        <v>697</v>
      </c>
      <c r="C692" s="4" t="s">
        <v>695</v>
      </c>
      <c r="D692" s="3" t="s">
        <v>686</v>
      </c>
      <c r="E692" s="2" t="s">
        <v>145</v>
      </c>
      <c r="F692" s="1" t="s">
        <v>633</v>
      </c>
    </row>
    <row r="693" spans="1:6" ht="57.6" x14ac:dyDescent="0.3">
      <c r="A693">
        <v>4</v>
      </c>
      <c r="B693" s="2" t="s">
        <v>697</v>
      </c>
      <c r="C693" s="4" t="s">
        <v>695</v>
      </c>
      <c r="D693" s="3" t="s">
        <v>686</v>
      </c>
      <c r="E693" s="2" t="s">
        <v>145</v>
      </c>
      <c r="F693" s="1" t="s">
        <v>634</v>
      </c>
    </row>
    <row r="694" spans="1:6" ht="57.6" x14ac:dyDescent="0.3">
      <c r="A694">
        <v>4</v>
      </c>
      <c r="B694" s="2" t="s">
        <v>697</v>
      </c>
      <c r="C694" s="4" t="s">
        <v>695</v>
      </c>
      <c r="D694" s="3" t="s">
        <v>687</v>
      </c>
      <c r="E694" s="2" t="s">
        <v>146</v>
      </c>
      <c r="F694" s="1" t="s">
        <v>155</v>
      </c>
    </row>
    <row r="695" spans="1:6" ht="57.6" x14ac:dyDescent="0.3">
      <c r="A695">
        <v>4</v>
      </c>
      <c r="B695" s="2" t="s">
        <v>697</v>
      </c>
      <c r="C695" s="4" t="s">
        <v>695</v>
      </c>
      <c r="D695" s="3" t="s">
        <v>687</v>
      </c>
      <c r="E695" s="2" t="s">
        <v>146</v>
      </c>
      <c r="F695" s="1" t="s">
        <v>635</v>
      </c>
    </row>
    <row r="696" spans="1:6" ht="57.6" x14ac:dyDescent="0.3">
      <c r="A696">
        <v>4</v>
      </c>
      <c r="B696" s="2" t="s">
        <v>697</v>
      </c>
      <c r="C696" s="4" t="s">
        <v>695</v>
      </c>
      <c r="D696" s="3" t="s">
        <v>687</v>
      </c>
      <c r="E696" s="2" t="s">
        <v>146</v>
      </c>
      <c r="F696" s="1" t="s">
        <v>636</v>
      </c>
    </row>
    <row r="697" spans="1:6" ht="57.6" x14ac:dyDescent="0.3">
      <c r="A697">
        <v>4</v>
      </c>
      <c r="B697" s="2" t="s">
        <v>697</v>
      </c>
      <c r="C697" s="4" t="s">
        <v>695</v>
      </c>
      <c r="D697" s="3" t="s">
        <v>687</v>
      </c>
      <c r="E697" s="2" t="s">
        <v>146</v>
      </c>
      <c r="F697" s="1" t="s">
        <v>637</v>
      </c>
    </row>
    <row r="698" spans="1:6" ht="57.6" x14ac:dyDescent="0.3">
      <c r="A698">
        <v>4</v>
      </c>
      <c r="B698" s="2" t="s">
        <v>697</v>
      </c>
      <c r="C698" s="4" t="s">
        <v>695</v>
      </c>
      <c r="D698" s="3" t="s">
        <v>687</v>
      </c>
      <c r="E698" s="2" t="s">
        <v>147</v>
      </c>
      <c r="F698" s="1" t="s">
        <v>155</v>
      </c>
    </row>
    <row r="699" spans="1:6" ht="57.6" x14ac:dyDescent="0.3">
      <c r="A699">
        <v>4</v>
      </c>
      <c r="B699" s="2" t="s">
        <v>697</v>
      </c>
      <c r="C699" s="4" t="s">
        <v>695</v>
      </c>
      <c r="D699" s="3" t="s">
        <v>687</v>
      </c>
      <c r="E699" s="2" t="s">
        <v>147</v>
      </c>
      <c r="F699" s="1" t="s">
        <v>158</v>
      </c>
    </row>
    <row r="700" spans="1:6" ht="57.6" x14ac:dyDescent="0.3">
      <c r="A700">
        <v>4</v>
      </c>
      <c r="B700" s="2" t="s">
        <v>697</v>
      </c>
      <c r="C700" s="4" t="s">
        <v>695</v>
      </c>
      <c r="D700" s="3" t="s">
        <v>687</v>
      </c>
      <c r="E700" s="2" t="s">
        <v>147</v>
      </c>
      <c r="F700" s="1" t="s">
        <v>638</v>
      </c>
    </row>
    <row r="701" spans="1:6" ht="57.6" x14ac:dyDescent="0.3">
      <c r="A701">
        <v>4</v>
      </c>
      <c r="B701" s="2" t="s">
        <v>697</v>
      </c>
      <c r="C701" s="4" t="s">
        <v>695</v>
      </c>
      <c r="D701" s="3" t="s">
        <v>687</v>
      </c>
      <c r="E701" s="2" t="s">
        <v>147</v>
      </c>
      <c r="F701" s="1" t="s">
        <v>265</v>
      </c>
    </row>
    <row r="702" spans="1:6" ht="57.6" x14ac:dyDescent="0.3">
      <c r="A702">
        <v>4</v>
      </c>
      <c r="B702" s="2" t="s">
        <v>697</v>
      </c>
      <c r="C702" s="4" t="s">
        <v>695</v>
      </c>
      <c r="D702" s="3" t="s">
        <v>687</v>
      </c>
      <c r="E702" s="2" t="s">
        <v>147</v>
      </c>
      <c r="F702" s="1" t="s">
        <v>562</v>
      </c>
    </row>
    <row r="703" spans="1:6" ht="57.6" x14ac:dyDescent="0.3">
      <c r="A703">
        <v>4</v>
      </c>
      <c r="B703" s="2" t="s">
        <v>697</v>
      </c>
      <c r="C703" s="4" t="s">
        <v>695</v>
      </c>
      <c r="D703" s="3" t="s">
        <v>687</v>
      </c>
      <c r="E703" s="2" t="s">
        <v>147</v>
      </c>
      <c r="F703" s="1" t="s">
        <v>156</v>
      </c>
    </row>
    <row r="704" spans="1:6" ht="57.6" x14ac:dyDescent="0.3">
      <c r="A704">
        <v>4</v>
      </c>
      <c r="B704" s="2" t="s">
        <v>697</v>
      </c>
      <c r="C704" s="4" t="s">
        <v>695</v>
      </c>
      <c r="D704" s="3" t="s">
        <v>688</v>
      </c>
      <c r="E704" s="2" t="s">
        <v>148</v>
      </c>
      <c r="F704" s="1" t="s">
        <v>148</v>
      </c>
    </row>
  </sheetData>
  <dataValidations count="2">
    <dataValidation type="list" allowBlank="1" showInputMessage="1" showErrorMessage="1" sqref="D2:D704" xr:uid="{00000000-0002-0000-0000-000000000000}">
      <formula1>INDIRECT($AI2)</formula1>
    </dataValidation>
    <dataValidation type="list" allowBlank="1" showInputMessage="1" showErrorMessage="1" sqref="B2:B704" xr:uid="{00000000-0002-0000-0000-000001000000}">
      <formula1>OFFSET(structuredd_anchor,1,MATCH(#REF!,structuredd_lookupRow,0)-1,COUNTA(OFFSET(structuredd_anchor,1,MATCH(#REF!,structuredd_lookupRow,0)-1,500,1)),1)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INDIRECT(INDEX('C:\Users\Pius\Library\Containers\com.microsoft.Excel\Data\Documents\C:\Users\USER\Desktop\HEALTH FINANCING STRATEGY DOCUMENTS SALIMA 3RD SEPTEMBER 2021\[LINDE HFS.xlsm]dd_lists'!#REF!,MATCH($C2,'C:\Users\Pius\Library\Containers\com.microsoft.Excel\Data\Documents\C:\Users\USER\Desktop\HEALTH FINANCING STRATEGY DOCUMENTS SALIMA 3RD SEPTEMBER 2021\[LINDE HFS.xlsm]dd_lists'!#REF!,0)))</xm:f>
          </x14:formula1>
          <xm:sqref>C2:C704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L75"/>
  <sheetViews>
    <sheetView zoomScale="60" zoomScaleNormal="60" workbookViewId="0">
      <selection activeCell="E95" sqref="E95"/>
    </sheetView>
  </sheetViews>
  <sheetFormatPr defaultColWidth="8.88671875" defaultRowHeight="14.4" x14ac:dyDescent="0.3"/>
  <cols>
    <col min="1" max="22" width="35.6640625" customWidth="1"/>
    <col min="25" max="25" width="11.6640625" customWidth="1"/>
    <col min="31" max="31" width="13.6640625" customWidth="1"/>
    <col min="32" max="32" width="51.44140625" customWidth="1"/>
    <col min="33" max="33" width="45.5546875" customWidth="1"/>
  </cols>
  <sheetData>
    <row r="1" spans="1:38" ht="43.2"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57.6" x14ac:dyDescent="0.3">
      <c r="A2" s="41" t="s">
        <v>836</v>
      </c>
      <c r="B2" s="41" t="s">
        <v>1721</v>
      </c>
      <c r="C2" s="41" t="s">
        <v>1077</v>
      </c>
      <c r="D2" s="41" t="s">
        <v>1078</v>
      </c>
      <c r="E2" s="41" t="s">
        <v>155</v>
      </c>
      <c r="F2" s="41" t="s">
        <v>841</v>
      </c>
      <c r="G2" s="41">
        <v>0</v>
      </c>
      <c r="H2" s="41"/>
      <c r="I2" s="41"/>
      <c r="J2" s="41">
        <f>$G2*H2*I2</f>
        <v>0</v>
      </c>
      <c r="K2" s="41"/>
      <c r="L2" s="41"/>
      <c r="M2" s="41">
        <f>($G2*1.1^1)*K2*L2</f>
        <v>0</v>
      </c>
      <c r="N2" s="41">
        <v>0</v>
      </c>
      <c r="O2" s="41">
        <v>0</v>
      </c>
      <c r="P2" s="41">
        <f>($G2*1.1^2)*N2*O2</f>
        <v>0</v>
      </c>
      <c r="Q2" s="41"/>
      <c r="R2" s="41"/>
      <c r="S2" s="41">
        <f>($G2*1.1^3)*Q2*R2</f>
        <v>0</v>
      </c>
      <c r="T2" s="41"/>
      <c r="U2" s="41"/>
      <c r="V2" s="41">
        <f>($G2*1.1^4)*T2*U2</f>
        <v>0</v>
      </c>
      <c r="W2" s="41">
        <v>0</v>
      </c>
      <c r="X2" s="41">
        <v>0</v>
      </c>
      <c r="Y2" s="41">
        <f>($G2*1.1^5)*W2*X2</f>
        <v>0</v>
      </c>
      <c r="Z2" s="41"/>
      <c r="AA2" s="41"/>
      <c r="AB2" s="41">
        <f>($G2*1.1^6)*Z2*AA2</f>
        <v>0</v>
      </c>
      <c r="AC2" s="41">
        <v>0</v>
      </c>
      <c r="AD2" s="41">
        <v>0</v>
      </c>
      <c r="AE2" s="41">
        <f>($G2*1.1^7)*AC2*AD2</f>
        <v>0</v>
      </c>
      <c r="AF2" s="28">
        <f>J2+M2+P2+S2+V2+Y2+AB2+AE2</f>
        <v>0</v>
      </c>
      <c r="AG2" s="28">
        <f>AF2/$AL$2</f>
        <v>0</v>
      </c>
      <c r="AL2">
        <v>1030</v>
      </c>
    </row>
    <row r="3" spans="1:38" ht="57.6" x14ac:dyDescent="0.3">
      <c r="A3" s="41" t="s">
        <v>836</v>
      </c>
      <c r="B3" s="41" t="s">
        <v>1721</v>
      </c>
      <c r="C3" s="41" t="s">
        <v>1077</v>
      </c>
      <c r="D3" s="41" t="s">
        <v>1078</v>
      </c>
      <c r="E3" s="41" t="s">
        <v>1079</v>
      </c>
      <c r="F3" s="41" t="s">
        <v>709</v>
      </c>
      <c r="G3" s="41">
        <v>35000</v>
      </c>
      <c r="H3" s="41"/>
      <c r="I3" s="41"/>
      <c r="J3" s="41">
        <f t="shared" ref="J3:J21" si="0">$G3*H3*I3</f>
        <v>0</v>
      </c>
      <c r="K3" s="41"/>
      <c r="L3" s="41"/>
      <c r="M3" s="41">
        <f t="shared" ref="M3:M22" si="1">($G3*1.1^1)*K3*L3</f>
        <v>0</v>
      </c>
      <c r="N3" s="41">
        <v>30</v>
      </c>
      <c r="O3" s="41">
        <v>5</v>
      </c>
      <c r="P3" s="41">
        <f t="shared" ref="P3:P22" si="2">($G3*1.1^2)*N3*O3</f>
        <v>6352500.0000000009</v>
      </c>
      <c r="Q3" s="41"/>
      <c r="R3" s="41"/>
      <c r="S3" s="41">
        <f t="shared" ref="S3:S22" si="3">($G3*1.1^3)*Q3*R3</f>
        <v>0</v>
      </c>
      <c r="T3" s="41"/>
      <c r="U3" s="41"/>
      <c r="V3" s="41">
        <f t="shared" ref="V3:V22" si="4">($G3*1.1^4)*T3*U3</f>
        <v>0</v>
      </c>
      <c r="W3" s="41">
        <v>30</v>
      </c>
      <c r="X3" s="41">
        <v>5</v>
      </c>
      <c r="Y3" s="41">
        <f t="shared" ref="Y3:Y22" si="5">($G3*1.1^5)*W3*X3</f>
        <v>8455177.5000000037</v>
      </c>
      <c r="AB3" s="41">
        <f t="shared" ref="AB3:AB22" si="6">($G3*1.1^6)*Z3*AA3</f>
        <v>0</v>
      </c>
      <c r="AC3" s="41">
        <v>30</v>
      </c>
      <c r="AD3" s="41">
        <v>5</v>
      </c>
      <c r="AE3" s="41">
        <f t="shared" ref="AE3:AE22" si="7">($G3*1.1^7)*AC3*AD3</f>
        <v>10230764.775000006</v>
      </c>
      <c r="AF3" s="28">
        <f t="shared" ref="AF3:AF66" si="8">J3+M3+P3+S3+V3+Y3+AB3+AE3</f>
        <v>25038442.27500001</v>
      </c>
      <c r="AG3" s="28">
        <f t="shared" ref="AG3:AG66" si="9">AF3/$AL$2</f>
        <v>24309.167257281562</v>
      </c>
    </row>
    <row r="4" spans="1:38" ht="57.6" x14ac:dyDescent="0.3">
      <c r="A4" s="41" t="s">
        <v>836</v>
      </c>
      <c r="B4" s="41" t="s">
        <v>1721</v>
      </c>
      <c r="C4" s="41" t="s">
        <v>1077</v>
      </c>
      <c r="D4" s="41" t="s">
        <v>1078</v>
      </c>
      <c r="E4" s="41" t="s">
        <v>1079</v>
      </c>
      <c r="F4" s="41" t="s">
        <v>716</v>
      </c>
      <c r="G4" s="41">
        <v>39000</v>
      </c>
      <c r="H4" s="41"/>
      <c r="I4" s="41"/>
      <c r="J4" s="41">
        <f t="shared" si="0"/>
        <v>0</v>
      </c>
      <c r="K4" s="41"/>
      <c r="L4" s="41"/>
      <c r="M4" s="41">
        <f t="shared" si="1"/>
        <v>0</v>
      </c>
      <c r="N4" s="41">
        <v>30</v>
      </c>
      <c r="O4" s="41">
        <v>6</v>
      </c>
      <c r="P4" s="41">
        <f t="shared" si="2"/>
        <v>8494200.0000000019</v>
      </c>
      <c r="Q4" s="41"/>
      <c r="R4" s="41"/>
      <c r="S4" s="41">
        <f t="shared" si="3"/>
        <v>0</v>
      </c>
      <c r="T4" s="41"/>
      <c r="U4" s="41"/>
      <c r="V4" s="41">
        <f t="shared" si="4"/>
        <v>0</v>
      </c>
      <c r="W4" s="41">
        <v>30</v>
      </c>
      <c r="X4" s="41">
        <v>6</v>
      </c>
      <c r="Y4" s="41">
        <f t="shared" si="5"/>
        <v>11305780.200000003</v>
      </c>
      <c r="AB4" s="41">
        <f t="shared" si="6"/>
        <v>0</v>
      </c>
      <c r="AC4" s="41">
        <v>30</v>
      </c>
      <c r="AD4" s="41">
        <v>6</v>
      </c>
      <c r="AE4" s="41">
        <f t="shared" si="7"/>
        <v>13679994.042000007</v>
      </c>
      <c r="AF4" s="28">
        <f t="shared" si="8"/>
        <v>33479974.24200001</v>
      </c>
      <c r="AG4" s="28">
        <f t="shared" si="9"/>
        <v>32504.829361165059</v>
      </c>
    </row>
    <row r="5" spans="1:38" ht="57.6" x14ac:dyDescent="0.3">
      <c r="A5" s="41" t="s">
        <v>836</v>
      </c>
      <c r="B5" s="41" t="s">
        <v>1721</v>
      </c>
      <c r="C5" s="41" t="s">
        <v>1077</v>
      </c>
      <c r="D5" s="41" t="s">
        <v>1078</v>
      </c>
      <c r="E5" s="41" t="s">
        <v>1079</v>
      </c>
      <c r="F5" s="41" t="s">
        <v>712</v>
      </c>
      <c r="G5" s="41">
        <f>1999.2/7</f>
        <v>285.60000000000002</v>
      </c>
      <c r="H5" s="41"/>
      <c r="I5" s="41"/>
      <c r="J5" s="41">
        <f t="shared" si="0"/>
        <v>0</v>
      </c>
      <c r="K5" s="41"/>
      <c r="L5" s="41"/>
      <c r="M5" s="41">
        <f t="shared" si="1"/>
        <v>0</v>
      </c>
      <c r="N5" s="41">
        <f>2*25*9</f>
        <v>450</v>
      </c>
      <c r="O5" s="41">
        <v>5</v>
      </c>
      <c r="P5" s="41">
        <f t="shared" si="2"/>
        <v>777546.00000000023</v>
      </c>
      <c r="Q5" s="41"/>
      <c r="R5" s="41"/>
      <c r="S5" s="41">
        <f t="shared" si="3"/>
        <v>0</v>
      </c>
      <c r="T5" s="41"/>
      <c r="U5" s="41"/>
      <c r="V5" s="41">
        <f t="shared" si="4"/>
        <v>0</v>
      </c>
      <c r="W5" s="41">
        <f>2*25*9</f>
        <v>450</v>
      </c>
      <c r="X5" s="41">
        <v>5</v>
      </c>
      <c r="Y5" s="41">
        <f t="shared" si="5"/>
        <v>1034913.7260000005</v>
      </c>
      <c r="AB5" s="41">
        <f t="shared" si="6"/>
        <v>0</v>
      </c>
      <c r="AC5" s="41">
        <f>2*25*9</f>
        <v>450</v>
      </c>
      <c r="AD5" s="41">
        <v>5</v>
      </c>
      <c r="AE5" s="41">
        <f t="shared" si="7"/>
        <v>1252245.6084600009</v>
      </c>
      <c r="AF5" s="28">
        <f t="shared" si="8"/>
        <v>3064705.3344600014</v>
      </c>
      <c r="AG5" s="28">
        <f t="shared" si="9"/>
        <v>2975.4420722912637</v>
      </c>
    </row>
    <row r="6" spans="1:38" ht="57.6" x14ac:dyDescent="0.3">
      <c r="A6" s="41" t="s">
        <v>836</v>
      </c>
      <c r="B6" s="41" t="s">
        <v>1721</v>
      </c>
      <c r="C6" s="41" t="s">
        <v>1077</v>
      </c>
      <c r="D6" s="41" t="s">
        <v>1078</v>
      </c>
      <c r="E6" s="41" t="s">
        <v>1079</v>
      </c>
      <c r="F6" s="41" t="s">
        <v>1320</v>
      </c>
      <c r="G6" s="41">
        <f>1999.2/7</f>
        <v>285.60000000000002</v>
      </c>
      <c r="H6" s="41"/>
      <c r="I6" s="41"/>
      <c r="J6" s="41">
        <f t="shared" si="0"/>
        <v>0</v>
      </c>
      <c r="K6" s="41"/>
      <c r="L6" s="41"/>
      <c r="M6" s="41">
        <f t="shared" si="1"/>
        <v>0</v>
      </c>
      <c r="N6" s="41">
        <f>2*135*9</f>
        <v>2430</v>
      </c>
      <c r="O6" s="41">
        <v>1</v>
      </c>
      <c r="P6" s="41">
        <f t="shared" si="2"/>
        <v>839749.68000000017</v>
      </c>
      <c r="Q6" s="41"/>
      <c r="R6" s="41"/>
      <c r="S6" s="41">
        <f t="shared" si="3"/>
        <v>0</v>
      </c>
      <c r="T6" s="41"/>
      <c r="U6" s="41"/>
      <c r="V6" s="41">
        <f t="shared" si="4"/>
        <v>0</v>
      </c>
      <c r="W6" s="41">
        <f>2*135*9</f>
        <v>2430</v>
      </c>
      <c r="X6" s="41">
        <v>1</v>
      </c>
      <c r="Y6" s="41">
        <f t="shared" si="5"/>
        <v>1117706.8240800004</v>
      </c>
      <c r="AB6" s="41">
        <f t="shared" si="6"/>
        <v>0</v>
      </c>
      <c r="AC6" s="41">
        <f>2*135*9</f>
        <v>2430</v>
      </c>
      <c r="AD6" s="41">
        <v>1</v>
      </c>
      <c r="AE6" s="41">
        <f t="shared" si="7"/>
        <v>1352425.257136801</v>
      </c>
      <c r="AF6" s="28">
        <f t="shared" si="8"/>
        <v>3309881.7612168016</v>
      </c>
      <c r="AG6" s="28">
        <f t="shared" si="9"/>
        <v>3213.4774380745648</v>
      </c>
    </row>
    <row r="7" spans="1:38" ht="57.6" x14ac:dyDescent="0.3">
      <c r="A7" s="41" t="s">
        <v>836</v>
      </c>
      <c r="B7" s="41" t="s">
        <v>1721</v>
      </c>
      <c r="C7" s="41" t="s">
        <v>1077</v>
      </c>
      <c r="D7" s="41" t="s">
        <v>1078</v>
      </c>
      <c r="E7" s="41" t="s">
        <v>1080</v>
      </c>
      <c r="F7" s="41" t="s">
        <v>841</v>
      </c>
      <c r="G7" s="41">
        <v>0</v>
      </c>
      <c r="H7" s="41"/>
      <c r="I7" s="41"/>
      <c r="J7" s="41">
        <f t="shared" si="0"/>
        <v>0</v>
      </c>
      <c r="K7" s="41"/>
      <c r="L7" s="41"/>
      <c r="M7" s="41">
        <f t="shared" si="1"/>
        <v>0</v>
      </c>
      <c r="N7" s="41">
        <v>8000</v>
      </c>
      <c r="O7" s="41">
        <v>1</v>
      </c>
      <c r="P7" s="41">
        <f t="shared" si="2"/>
        <v>0</v>
      </c>
      <c r="Q7" s="41"/>
      <c r="R7" s="41"/>
      <c r="S7" s="41">
        <f t="shared" si="3"/>
        <v>0</v>
      </c>
      <c r="T7" s="41"/>
      <c r="U7" s="41"/>
      <c r="V7" s="41">
        <f t="shared" si="4"/>
        <v>0</v>
      </c>
      <c r="W7" s="41">
        <v>8000</v>
      </c>
      <c r="X7" s="41">
        <v>1</v>
      </c>
      <c r="Y7" s="41">
        <f t="shared" si="5"/>
        <v>0</v>
      </c>
      <c r="AB7" s="41">
        <f t="shared" si="6"/>
        <v>0</v>
      </c>
      <c r="AC7" s="41">
        <v>8000</v>
      </c>
      <c r="AD7" s="41">
        <v>1</v>
      </c>
      <c r="AE7" s="41">
        <f t="shared" si="7"/>
        <v>0</v>
      </c>
      <c r="AF7" s="28">
        <f t="shared" si="8"/>
        <v>0</v>
      </c>
      <c r="AG7" s="28">
        <f t="shared" si="9"/>
        <v>0</v>
      </c>
    </row>
    <row r="8" spans="1:38" ht="57.6" x14ac:dyDescent="0.3">
      <c r="A8" s="41" t="s">
        <v>836</v>
      </c>
      <c r="B8" s="41" t="s">
        <v>1721</v>
      </c>
      <c r="C8" s="41" t="s">
        <v>1077</v>
      </c>
      <c r="D8" s="41" t="s">
        <v>1078</v>
      </c>
      <c r="E8" s="41" t="s">
        <v>1081</v>
      </c>
      <c r="F8" s="41" t="s">
        <v>841</v>
      </c>
      <c r="G8" s="41">
        <v>0</v>
      </c>
      <c r="H8" s="41"/>
      <c r="I8" s="41"/>
      <c r="J8" s="41">
        <f t="shared" si="0"/>
        <v>0</v>
      </c>
      <c r="K8" s="41"/>
      <c r="L8" s="41"/>
      <c r="M8" s="41">
        <f t="shared" si="1"/>
        <v>0</v>
      </c>
      <c r="N8" s="41">
        <v>50</v>
      </c>
      <c r="O8" s="41">
        <v>1</v>
      </c>
      <c r="P8" s="41">
        <f t="shared" si="2"/>
        <v>0</v>
      </c>
      <c r="Q8" s="41"/>
      <c r="R8" s="41"/>
      <c r="S8" s="41">
        <f t="shared" si="3"/>
        <v>0</v>
      </c>
      <c r="T8" s="41"/>
      <c r="U8" s="41"/>
      <c r="V8" s="41">
        <f t="shared" si="4"/>
        <v>0</v>
      </c>
      <c r="W8" s="41">
        <v>50</v>
      </c>
      <c r="X8" s="41">
        <v>1</v>
      </c>
      <c r="Y8" s="41">
        <f t="shared" si="5"/>
        <v>0</v>
      </c>
      <c r="AB8" s="41">
        <f t="shared" si="6"/>
        <v>0</v>
      </c>
      <c r="AC8" s="41">
        <v>50</v>
      </c>
      <c r="AD8" s="41">
        <v>1</v>
      </c>
      <c r="AE8" s="41">
        <f t="shared" si="7"/>
        <v>0</v>
      </c>
      <c r="AF8" s="28">
        <f t="shared" si="8"/>
        <v>0</v>
      </c>
      <c r="AG8" s="28">
        <f t="shared" si="9"/>
        <v>0</v>
      </c>
    </row>
    <row r="9" spans="1:38" ht="57.6" x14ac:dyDescent="0.3">
      <c r="A9" s="41" t="s">
        <v>836</v>
      </c>
      <c r="B9" s="41" t="s">
        <v>1721</v>
      </c>
      <c r="C9" s="41" t="s">
        <v>1077</v>
      </c>
      <c r="D9" s="41" t="s">
        <v>1082</v>
      </c>
      <c r="E9" s="41" t="s">
        <v>1083</v>
      </c>
      <c r="F9" s="41" t="s">
        <v>841</v>
      </c>
      <c r="G9" s="41">
        <v>0</v>
      </c>
      <c r="H9" s="41"/>
      <c r="I9" s="41"/>
      <c r="J9" s="41">
        <f t="shared" si="0"/>
        <v>0</v>
      </c>
      <c r="K9" s="41"/>
      <c r="L9" s="41"/>
      <c r="M9" s="41">
        <f t="shared" si="1"/>
        <v>0</v>
      </c>
      <c r="N9" s="41">
        <v>50</v>
      </c>
      <c r="O9" s="41">
        <v>1</v>
      </c>
      <c r="P9" s="41">
        <f t="shared" si="2"/>
        <v>0</v>
      </c>
      <c r="Q9" s="41"/>
      <c r="R9" s="41"/>
      <c r="S9" s="41">
        <f t="shared" si="3"/>
        <v>0</v>
      </c>
      <c r="T9" s="41"/>
      <c r="U9" s="41"/>
      <c r="V9" s="41">
        <f t="shared" si="4"/>
        <v>0</v>
      </c>
      <c r="W9" s="41">
        <v>50</v>
      </c>
      <c r="X9" s="41">
        <v>1</v>
      </c>
      <c r="Y9" s="41">
        <f t="shared" si="5"/>
        <v>0</v>
      </c>
      <c r="AB9" s="41">
        <f t="shared" si="6"/>
        <v>0</v>
      </c>
      <c r="AC9" s="41">
        <v>50</v>
      </c>
      <c r="AD9" s="41">
        <v>1</v>
      </c>
      <c r="AE9" s="41">
        <f t="shared" si="7"/>
        <v>0</v>
      </c>
      <c r="AF9" s="28">
        <f t="shared" si="8"/>
        <v>0</v>
      </c>
      <c r="AG9" s="28">
        <f t="shared" si="9"/>
        <v>0</v>
      </c>
    </row>
    <row r="10" spans="1:38" ht="57.6" x14ac:dyDescent="0.3">
      <c r="A10" s="41" t="s">
        <v>836</v>
      </c>
      <c r="B10" s="41" t="s">
        <v>1721</v>
      </c>
      <c r="C10" s="41" t="s">
        <v>1077</v>
      </c>
      <c r="D10" s="41" t="s">
        <v>1082</v>
      </c>
      <c r="E10" s="41" t="s">
        <v>1084</v>
      </c>
      <c r="F10" s="41" t="s">
        <v>841</v>
      </c>
      <c r="G10" s="41">
        <v>0</v>
      </c>
      <c r="H10" s="41"/>
      <c r="I10" s="41"/>
      <c r="J10" s="41">
        <f t="shared" si="0"/>
        <v>0</v>
      </c>
      <c r="K10" s="41"/>
      <c r="L10" s="41"/>
      <c r="M10" s="41">
        <f t="shared" si="1"/>
        <v>0</v>
      </c>
      <c r="N10" s="41">
        <v>20</v>
      </c>
      <c r="O10" s="41">
        <v>1</v>
      </c>
      <c r="P10" s="41">
        <f t="shared" si="2"/>
        <v>0</v>
      </c>
      <c r="Q10" s="41"/>
      <c r="R10" s="41"/>
      <c r="S10" s="41">
        <f t="shared" si="3"/>
        <v>0</v>
      </c>
      <c r="T10" s="41"/>
      <c r="U10" s="41"/>
      <c r="V10" s="41">
        <f t="shared" si="4"/>
        <v>0</v>
      </c>
      <c r="W10" s="41">
        <v>20</v>
      </c>
      <c r="X10" s="41">
        <v>1</v>
      </c>
      <c r="Y10" s="41">
        <f t="shared" si="5"/>
        <v>0</v>
      </c>
      <c r="AB10" s="41">
        <f t="shared" si="6"/>
        <v>0</v>
      </c>
      <c r="AC10" s="41">
        <v>20</v>
      </c>
      <c r="AD10" s="41">
        <v>1</v>
      </c>
      <c r="AE10" s="41">
        <f t="shared" si="7"/>
        <v>0</v>
      </c>
      <c r="AF10" s="28">
        <f t="shared" si="8"/>
        <v>0</v>
      </c>
      <c r="AG10" s="28">
        <f t="shared" si="9"/>
        <v>0</v>
      </c>
    </row>
    <row r="11" spans="1:38" ht="57.6" x14ac:dyDescent="0.3">
      <c r="A11" s="41" t="s">
        <v>836</v>
      </c>
      <c r="B11" s="41" t="s">
        <v>1721</v>
      </c>
      <c r="C11" s="41" t="s">
        <v>1077</v>
      </c>
      <c r="D11" s="41" t="s">
        <v>1082</v>
      </c>
      <c r="E11" s="41" t="s">
        <v>1085</v>
      </c>
      <c r="F11" s="41" t="s">
        <v>841</v>
      </c>
      <c r="G11" s="41">
        <v>0</v>
      </c>
      <c r="H11" s="41"/>
      <c r="I11" s="41"/>
      <c r="J11" s="41">
        <f t="shared" si="0"/>
        <v>0</v>
      </c>
      <c r="K11" s="41"/>
      <c r="L11" s="41"/>
      <c r="M11" s="41">
        <f t="shared" si="1"/>
        <v>0</v>
      </c>
      <c r="N11" s="41">
        <v>5</v>
      </c>
      <c r="O11" s="41">
        <v>5</v>
      </c>
      <c r="P11" s="41">
        <f t="shared" si="2"/>
        <v>0</v>
      </c>
      <c r="Q11" s="41"/>
      <c r="R11" s="41"/>
      <c r="S11" s="41">
        <f t="shared" si="3"/>
        <v>0</v>
      </c>
      <c r="T11" s="41"/>
      <c r="U11" s="41"/>
      <c r="V11" s="41">
        <f t="shared" si="4"/>
        <v>0</v>
      </c>
      <c r="W11" s="41">
        <v>5</v>
      </c>
      <c r="X11" s="41">
        <v>5</v>
      </c>
      <c r="Y11" s="41">
        <f t="shared" si="5"/>
        <v>0</v>
      </c>
      <c r="AB11" s="41">
        <f t="shared" si="6"/>
        <v>0</v>
      </c>
      <c r="AC11" s="41">
        <v>5</v>
      </c>
      <c r="AD11" s="41">
        <v>5</v>
      </c>
      <c r="AE11" s="41">
        <f t="shared" si="7"/>
        <v>0</v>
      </c>
      <c r="AF11" s="28">
        <f t="shared" si="8"/>
        <v>0</v>
      </c>
      <c r="AG11" s="28">
        <f t="shared" si="9"/>
        <v>0</v>
      </c>
    </row>
    <row r="12" spans="1:38" ht="57.6" x14ac:dyDescent="0.3">
      <c r="A12" s="41" t="s">
        <v>836</v>
      </c>
      <c r="B12" s="41" t="s">
        <v>1721</v>
      </c>
      <c r="C12" s="41" t="s">
        <v>1077</v>
      </c>
      <c r="D12" s="41" t="s">
        <v>1086</v>
      </c>
      <c r="E12" s="41" t="s">
        <v>1087</v>
      </c>
      <c r="F12" s="41" t="s">
        <v>709</v>
      </c>
      <c r="G12" s="41">
        <v>35000</v>
      </c>
      <c r="H12" s="41"/>
      <c r="I12" s="41"/>
      <c r="J12" s="41">
        <f t="shared" si="0"/>
        <v>0</v>
      </c>
      <c r="K12" s="41"/>
      <c r="L12" s="41"/>
      <c r="M12" s="41">
        <f t="shared" si="1"/>
        <v>0</v>
      </c>
      <c r="N12" s="41">
        <v>11</v>
      </c>
      <c r="O12" s="41">
        <v>3</v>
      </c>
      <c r="P12" s="41">
        <f t="shared" si="2"/>
        <v>1397550.0000000002</v>
      </c>
      <c r="Q12" s="41"/>
      <c r="R12" s="41"/>
      <c r="S12" s="41">
        <f t="shared" si="3"/>
        <v>0</v>
      </c>
      <c r="T12" s="41"/>
      <c r="U12" s="41"/>
      <c r="V12" s="41">
        <f t="shared" si="4"/>
        <v>0</v>
      </c>
      <c r="W12" s="41">
        <v>11</v>
      </c>
      <c r="X12" s="41">
        <v>3</v>
      </c>
      <c r="Y12" s="41">
        <f t="shared" si="5"/>
        <v>1860139.0500000007</v>
      </c>
      <c r="AB12" s="41">
        <f t="shared" si="6"/>
        <v>0</v>
      </c>
      <c r="AC12" s="41">
        <v>11</v>
      </c>
      <c r="AD12" s="41">
        <v>3</v>
      </c>
      <c r="AE12" s="41">
        <f t="shared" si="7"/>
        <v>2250768.250500001</v>
      </c>
      <c r="AF12" s="28">
        <f t="shared" si="8"/>
        <v>5508457.3005000018</v>
      </c>
      <c r="AG12" s="28">
        <f t="shared" si="9"/>
        <v>5348.0167966019435</v>
      </c>
    </row>
    <row r="13" spans="1:38" ht="57.6" x14ac:dyDescent="0.3">
      <c r="A13" s="41" t="s">
        <v>836</v>
      </c>
      <c r="B13" s="41" t="s">
        <v>1721</v>
      </c>
      <c r="C13" s="41" t="s">
        <v>1077</v>
      </c>
      <c r="D13" s="41" t="s">
        <v>1086</v>
      </c>
      <c r="E13" s="41" t="s">
        <v>1087</v>
      </c>
      <c r="F13" s="41" t="s">
        <v>716</v>
      </c>
      <c r="G13" s="41">
        <v>39000</v>
      </c>
      <c r="H13" s="41"/>
      <c r="I13" s="41"/>
      <c r="J13" s="41">
        <f t="shared" si="0"/>
        <v>0</v>
      </c>
      <c r="K13" s="41"/>
      <c r="L13" s="41"/>
      <c r="M13" s="41">
        <f t="shared" si="1"/>
        <v>0</v>
      </c>
      <c r="N13" s="41">
        <v>11</v>
      </c>
      <c r="O13" s="41">
        <v>3</v>
      </c>
      <c r="P13" s="41">
        <f t="shared" si="2"/>
        <v>1557270.0000000002</v>
      </c>
      <c r="Q13" s="41"/>
      <c r="R13" s="41"/>
      <c r="S13" s="41">
        <f t="shared" si="3"/>
        <v>0</v>
      </c>
      <c r="T13" s="41"/>
      <c r="U13" s="41"/>
      <c r="V13" s="41">
        <f t="shared" si="4"/>
        <v>0</v>
      </c>
      <c r="W13" s="41">
        <v>11</v>
      </c>
      <c r="X13" s="41">
        <v>3</v>
      </c>
      <c r="Y13" s="41">
        <f t="shared" si="5"/>
        <v>2072726.3700000008</v>
      </c>
      <c r="AB13" s="41">
        <f t="shared" si="6"/>
        <v>0</v>
      </c>
      <c r="AC13" s="41">
        <v>11</v>
      </c>
      <c r="AD13" s="41">
        <v>3</v>
      </c>
      <c r="AE13" s="41">
        <f t="shared" si="7"/>
        <v>2507998.9077000013</v>
      </c>
      <c r="AF13" s="28">
        <f t="shared" si="8"/>
        <v>6137995.2777000023</v>
      </c>
      <c r="AG13" s="28">
        <f t="shared" si="9"/>
        <v>5959.2187162135942</v>
      </c>
    </row>
    <row r="14" spans="1:38" ht="57.6" x14ac:dyDescent="0.3">
      <c r="A14" s="41" t="s">
        <v>836</v>
      </c>
      <c r="B14" s="41" t="s">
        <v>1721</v>
      </c>
      <c r="C14" s="41" t="s">
        <v>1077</v>
      </c>
      <c r="D14" s="41" t="s">
        <v>1086</v>
      </c>
      <c r="E14" s="41" t="s">
        <v>1087</v>
      </c>
      <c r="F14" s="41" t="s">
        <v>712</v>
      </c>
      <c r="G14" s="41">
        <f>1999.2/7</f>
        <v>285.60000000000002</v>
      </c>
      <c r="H14" s="41"/>
      <c r="I14" s="41"/>
      <c r="J14" s="41">
        <f t="shared" si="0"/>
        <v>0</v>
      </c>
      <c r="K14" s="41"/>
      <c r="L14" s="41"/>
      <c r="M14" s="41">
        <f t="shared" si="1"/>
        <v>0</v>
      </c>
      <c r="N14" s="41">
        <f>2*25*9</f>
        <v>450</v>
      </c>
      <c r="O14" s="41">
        <v>3</v>
      </c>
      <c r="P14" s="41">
        <f t="shared" si="2"/>
        <v>466527.60000000009</v>
      </c>
      <c r="Q14" s="41"/>
      <c r="R14" s="41"/>
      <c r="S14" s="41">
        <f t="shared" si="3"/>
        <v>0</v>
      </c>
      <c r="T14" s="41"/>
      <c r="U14" s="41"/>
      <c r="V14" s="41">
        <f t="shared" si="4"/>
        <v>0</v>
      </c>
      <c r="W14" s="41">
        <f>2*25*9</f>
        <v>450</v>
      </c>
      <c r="X14" s="41">
        <v>3</v>
      </c>
      <c r="Y14" s="41">
        <f t="shared" si="5"/>
        <v>620948.23560000025</v>
      </c>
      <c r="AB14" s="41">
        <f t="shared" si="6"/>
        <v>0</v>
      </c>
      <c r="AC14" s="41">
        <f>2*25*9</f>
        <v>450</v>
      </c>
      <c r="AD14" s="41">
        <v>3</v>
      </c>
      <c r="AE14" s="41">
        <f t="shared" si="7"/>
        <v>751347.36507600057</v>
      </c>
      <c r="AF14" s="28">
        <f t="shared" si="8"/>
        <v>1838823.2006760009</v>
      </c>
      <c r="AG14" s="28">
        <f t="shared" si="9"/>
        <v>1785.2652433747583</v>
      </c>
    </row>
    <row r="15" spans="1:38" ht="57.6" x14ac:dyDescent="0.3">
      <c r="A15" s="41" t="s">
        <v>836</v>
      </c>
      <c r="B15" s="41" t="s">
        <v>1721</v>
      </c>
      <c r="C15" s="41" t="s">
        <v>1077</v>
      </c>
      <c r="D15" s="41" t="s">
        <v>1086</v>
      </c>
      <c r="E15" s="41" t="s">
        <v>1087</v>
      </c>
      <c r="F15" s="41" t="s">
        <v>1320</v>
      </c>
      <c r="G15" s="41">
        <f>1999.2/7</f>
        <v>285.60000000000002</v>
      </c>
      <c r="H15" s="41"/>
      <c r="I15" s="41"/>
      <c r="J15" s="41">
        <f t="shared" si="0"/>
        <v>0</v>
      </c>
      <c r="K15" s="41"/>
      <c r="L15" s="41"/>
      <c r="M15" s="41">
        <f t="shared" si="1"/>
        <v>0</v>
      </c>
      <c r="N15" s="41">
        <f>2*135*9</f>
        <v>2430</v>
      </c>
      <c r="O15" s="41">
        <v>1</v>
      </c>
      <c r="P15" s="41">
        <f t="shared" si="2"/>
        <v>839749.68000000017</v>
      </c>
      <c r="Q15" s="41"/>
      <c r="R15" s="41"/>
      <c r="S15" s="41">
        <f t="shared" si="3"/>
        <v>0</v>
      </c>
      <c r="T15" s="41"/>
      <c r="U15" s="41"/>
      <c r="V15" s="41">
        <f t="shared" si="4"/>
        <v>0</v>
      </c>
      <c r="W15" s="41">
        <f>2*135*9</f>
        <v>2430</v>
      </c>
      <c r="X15" s="41">
        <v>1</v>
      </c>
      <c r="Y15" s="41">
        <f t="shared" si="5"/>
        <v>1117706.8240800004</v>
      </c>
      <c r="AB15" s="41">
        <f t="shared" si="6"/>
        <v>0</v>
      </c>
      <c r="AC15" s="41">
        <f>2*135*9</f>
        <v>2430</v>
      </c>
      <c r="AD15" s="41">
        <v>1</v>
      </c>
      <c r="AE15" s="41">
        <f t="shared" si="7"/>
        <v>1352425.257136801</v>
      </c>
      <c r="AF15" s="28">
        <f t="shared" si="8"/>
        <v>3309881.7612168016</v>
      </c>
      <c r="AG15" s="28">
        <f t="shared" si="9"/>
        <v>3213.4774380745648</v>
      </c>
    </row>
    <row r="16" spans="1:38" ht="57.6" x14ac:dyDescent="0.3">
      <c r="A16" s="41" t="s">
        <v>836</v>
      </c>
      <c r="B16" s="41" t="s">
        <v>1721</v>
      </c>
      <c r="C16" s="41" t="s">
        <v>1077</v>
      </c>
      <c r="D16" s="41" t="s">
        <v>1088</v>
      </c>
      <c r="E16" s="41" t="s">
        <v>1089</v>
      </c>
      <c r="F16" s="41" t="s">
        <v>709</v>
      </c>
      <c r="G16" s="41">
        <v>35000</v>
      </c>
      <c r="H16" s="41"/>
      <c r="I16" s="41"/>
      <c r="J16" s="41">
        <f t="shared" si="0"/>
        <v>0</v>
      </c>
      <c r="K16" s="41"/>
      <c r="L16" s="41"/>
      <c r="M16" s="41">
        <f t="shared" si="1"/>
        <v>0</v>
      </c>
      <c r="N16" s="41">
        <v>11</v>
      </c>
      <c r="O16" s="41">
        <v>3</v>
      </c>
      <c r="P16" s="41">
        <f t="shared" si="2"/>
        <v>1397550.0000000002</v>
      </c>
      <c r="Q16" s="41"/>
      <c r="R16" s="41"/>
      <c r="S16" s="41">
        <f t="shared" si="3"/>
        <v>0</v>
      </c>
      <c r="T16" s="41"/>
      <c r="U16" s="41"/>
      <c r="V16" s="41">
        <f t="shared" si="4"/>
        <v>0</v>
      </c>
      <c r="W16" s="41">
        <v>11</v>
      </c>
      <c r="X16" s="41">
        <v>3</v>
      </c>
      <c r="Y16" s="41">
        <f t="shared" si="5"/>
        <v>1860139.0500000007</v>
      </c>
      <c r="AB16" s="41">
        <f t="shared" si="6"/>
        <v>0</v>
      </c>
      <c r="AC16" s="41">
        <v>11</v>
      </c>
      <c r="AD16" s="41">
        <v>3</v>
      </c>
      <c r="AE16" s="41">
        <f t="shared" si="7"/>
        <v>2250768.250500001</v>
      </c>
      <c r="AF16" s="28">
        <f t="shared" si="8"/>
        <v>5508457.3005000018</v>
      </c>
      <c r="AG16" s="28">
        <f t="shared" si="9"/>
        <v>5348.0167966019435</v>
      </c>
    </row>
    <row r="17" spans="1:33" ht="57.6" x14ac:dyDescent="0.3">
      <c r="A17" s="41" t="s">
        <v>836</v>
      </c>
      <c r="B17" s="41" t="s">
        <v>1721</v>
      </c>
      <c r="C17" s="41" t="s">
        <v>1077</v>
      </c>
      <c r="D17" s="41" t="s">
        <v>1088</v>
      </c>
      <c r="E17" s="41" t="s">
        <v>1089</v>
      </c>
      <c r="F17" s="41" t="s">
        <v>716</v>
      </c>
      <c r="G17" s="41">
        <v>39000</v>
      </c>
      <c r="H17" s="41"/>
      <c r="I17" s="41"/>
      <c r="J17" s="41">
        <f t="shared" si="0"/>
        <v>0</v>
      </c>
      <c r="K17" s="41"/>
      <c r="L17" s="41"/>
      <c r="M17" s="41">
        <f t="shared" si="1"/>
        <v>0</v>
      </c>
      <c r="N17" s="41">
        <v>11</v>
      </c>
      <c r="O17" s="41">
        <v>3</v>
      </c>
      <c r="P17" s="41">
        <f t="shared" si="2"/>
        <v>1557270.0000000002</v>
      </c>
      <c r="Q17" s="41"/>
      <c r="R17" s="41"/>
      <c r="S17" s="41">
        <f t="shared" si="3"/>
        <v>0</v>
      </c>
      <c r="T17" s="41"/>
      <c r="U17" s="41"/>
      <c r="V17" s="41">
        <f t="shared" si="4"/>
        <v>0</v>
      </c>
      <c r="W17" s="41">
        <v>11</v>
      </c>
      <c r="X17" s="41">
        <v>3</v>
      </c>
      <c r="Y17" s="41">
        <f t="shared" si="5"/>
        <v>2072726.3700000008</v>
      </c>
      <c r="AB17" s="41">
        <f t="shared" si="6"/>
        <v>0</v>
      </c>
      <c r="AC17" s="41">
        <v>11</v>
      </c>
      <c r="AD17" s="41">
        <v>3</v>
      </c>
      <c r="AE17" s="41">
        <f t="shared" si="7"/>
        <v>2507998.9077000013</v>
      </c>
      <c r="AF17" s="28">
        <f t="shared" si="8"/>
        <v>6137995.2777000023</v>
      </c>
      <c r="AG17" s="28">
        <f t="shared" si="9"/>
        <v>5959.2187162135942</v>
      </c>
    </row>
    <row r="18" spans="1:33" ht="57.6" x14ac:dyDescent="0.3">
      <c r="A18" s="41" t="s">
        <v>836</v>
      </c>
      <c r="B18" s="41" t="s">
        <v>1721</v>
      </c>
      <c r="C18" s="41" t="s">
        <v>1077</v>
      </c>
      <c r="D18" s="41" t="s">
        <v>1088</v>
      </c>
      <c r="E18" s="41" t="s">
        <v>1089</v>
      </c>
      <c r="F18" s="41" t="s">
        <v>712</v>
      </c>
      <c r="G18" s="41">
        <f>1999.2/7</f>
        <v>285.60000000000002</v>
      </c>
      <c r="H18" s="41"/>
      <c r="I18" s="41"/>
      <c r="J18" s="41">
        <f t="shared" si="0"/>
        <v>0</v>
      </c>
      <c r="K18" s="41"/>
      <c r="L18" s="41"/>
      <c r="M18" s="41">
        <f t="shared" si="1"/>
        <v>0</v>
      </c>
      <c r="N18" s="41">
        <f>2*25*9</f>
        <v>450</v>
      </c>
      <c r="O18" s="41">
        <v>3</v>
      </c>
      <c r="P18" s="41">
        <f t="shared" si="2"/>
        <v>466527.60000000009</v>
      </c>
      <c r="Q18" s="41"/>
      <c r="R18" s="41"/>
      <c r="S18" s="41">
        <f t="shared" si="3"/>
        <v>0</v>
      </c>
      <c r="T18" s="41"/>
      <c r="U18" s="41"/>
      <c r="V18" s="41">
        <f t="shared" si="4"/>
        <v>0</v>
      </c>
      <c r="W18" s="41">
        <f>2*25*9</f>
        <v>450</v>
      </c>
      <c r="X18" s="41">
        <v>3</v>
      </c>
      <c r="Y18" s="41">
        <f t="shared" si="5"/>
        <v>620948.23560000025</v>
      </c>
      <c r="AB18" s="41">
        <f t="shared" si="6"/>
        <v>0</v>
      </c>
      <c r="AC18" s="41">
        <f>2*25*9</f>
        <v>450</v>
      </c>
      <c r="AD18" s="41">
        <v>3</v>
      </c>
      <c r="AE18" s="41">
        <f t="shared" si="7"/>
        <v>751347.36507600057</v>
      </c>
      <c r="AF18" s="28">
        <f t="shared" si="8"/>
        <v>1838823.2006760009</v>
      </c>
      <c r="AG18" s="28">
        <f t="shared" si="9"/>
        <v>1785.2652433747583</v>
      </c>
    </row>
    <row r="19" spans="1:33" ht="57.6" x14ac:dyDescent="0.3">
      <c r="A19" s="41" t="s">
        <v>836</v>
      </c>
      <c r="B19" s="41" t="s">
        <v>1721</v>
      </c>
      <c r="C19" s="41" t="s">
        <v>1077</v>
      </c>
      <c r="D19" s="41" t="s">
        <v>1088</v>
      </c>
      <c r="E19" s="41" t="s">
        <v>1089</v>
      </c>
      <c r="F19" s="41" t="s">
        <v>1320</v>
      </c>
      <c r="G19" s="41">
        <f>1999.2/7</f>
        <v>285.60000000000002</v>
      </c>
      <c r="H19" s="41"/>
      <c r="I19" s="41"/>
      <c r="J19" s="41">
        <f t="shared" si="0"/>
        <v>0</v>
      </c>
      <c r="K19" s="41"/>
      <c r="L19" s="41"/>
      <c r="M19" s="41">
        <f t="shared" si="1"/>
        <v>0</v>
      </c>
      <c r="N19" s="41">
        <f>2*135*9</f>
        <v>2430</v>
      </c>
      <c r="O19" s="41">
        <v>1</v>
      </c>
      <c r="P19" s="41">
        <f t="shared" si="2"/>
        <v>839749.68000000017</v>
      </c>
      <c r="Q19" s="41"/>
      <c r="R19" s="41"/>
      <c r="S19" s="41">
        <f t="shared" si="3"/>
        <v>0</v>
      </c>
      <c r="T19" s="41"/>
      <c r="U19" s="41"/>
      <c r="V19" s="41">
        <f t="shared" si="4"/>
        <v>0</v>
      </c>
      <c r="W19" s="41">
        <f>2*135*9</f>
        <v>2430</v>
      </c>
      <c r="X19" s="41">
        <v>1</v>
      </c>
      <c r="Y19" s="41">
        <f t="shared" si="5"/>
        <v>1117706.8240800004</v>
      </c>
      <c r="AB19" s="41">
        <f t="shared" si="6"/>
        <v>0</v>
      </c>
      <c r="AC19" s="41">
        <f>2*135*9</f>
        <v>2430</v>
      </c>
      <c r="AD19" s="41">
        <v>1</v>
      </c>
      <c r="AE19" s="41">
        <f t="shared" si="7"/>
        <v>1352425.257136801</v>
      </c>
      <c r="AF19" s="28">
        <f t="shared" si="8"/>
        <v>3309881.7612168016</v>
      </c>
      <c r="AG19" s="28">
        <f t="shared" si="9"/>
        <v>3213.4774380745648</v>
      </c>
    </row>
    <row r="20" spans="1:33" ht="57.6" x14ac:dyDescent="0.3">
      <c r="A20" s="41" t="s">
        <v>836</v>
      </c>
      <c r="B20" s="41" t="s">
        <v>1721</v>
      </c>
      <c r="C20" s="41" t="s">
        <v>1077</v>
      </c>
      <c r="D20" s="41" t="s">
        <v>1090</v>
      </c>
      <c r="E20" s="41" t="s">
        <v>1091</v>
      </c>
      <c r="F20" s="41" t="s">
        <v>841</v>
      </c>
      <c r="G20" s="41">
        <v>0</v>
      </c>
      <c r="H20" s="41"/>
      <c r="I20" s="41"/>
      <c r="J20" s="41">
        <f t="shared" si="0"/>
        <v>0</v>
      </c>
      <c r="K20" s="41"/>
      <c r="L20" s="41"/>
      <c r="M20" s="41">
        <f t="shared" si="1"/>
        <v>0</v>
      </c>
      <c r="N20" s="41">
        <v>0</v>
      </c>
      <c r="O20" s="41">
        <v>1</v>
      </c>
      <c r="P20" s="41">
        <f t="shared" si="2"/>
        <v>0</v>
      </c>
      <c r="Q20" s="41"/>
      <c r="R20" s="41"/>
      <c r="S20" s="41">
        <f t="shared" si="3"/>
        <v>0</v>
      </c>
      <c r="T20" s="41"/>
      <c r="U20" s="41"/>
      <c r="V20" s="41">
        <f t="shared" si="4"/>
        <v>0</v>
      </c>
      <c r="W20" s="41">
        <v>0</v>
      </c>
      <c r="X20" s="41">
        <v>1</v>
      </c>
      <c r="Y20" s="41">
        <f t="shared" si="5"/>
        <v>0</v>
      </c>
      <c r="AB20" s="41">
        <f t="shared" si="6"/>
        <v>0</v>
      </c>
      <c r="AC20" s="41">
        <v>0</v>
      </c>
      <c r="AD20" s="41">
        <v>1</v>
      </c>
      <c r="AE20" s="41">
        <f t="shared" si="7"/>
        <v>0</v>
      </c>
      <c r="AF20" s="28">
        <f t="shared" si="8"/>
        <v>0</v>
      </c>
      <c r="AG20" s="28">
        <f t="shared" si="9"/>
        <v>0</v>
      </c>
    </row>
    <row r="21" spans="1:33" ht="57.6" x14ac:dyDescent="0.3">
      <c r="A21" s="41" t="s">
        <v>836</v>
      </c>
      <c r="B21" s="41" t="s">
        <v>1721</v>
      </c>
      <c r="C21" s="41" t="s">
        <v>1077</v>
      </c>
      <c r="D21" s="41" t="s">
        <v>1092</v>
      </c>
      <c r="E21" s="41" t="s">
        <v>946</v>
      </c>
      <c r="F21" s="41" t="s">
        <v>841</v>
      </c>
      <c r="G21" s="41">
        <v>0</v>
      </c>
      <c r="H21" s="41"/>
      <c r="I21" s="41"/>
      <c r="J21" s="41">
        <f t="shared" si="0"/>
        <v>0</v>
      </c>
      <c r="K21" s="41"/>
      <c r="L21" s="41"/>
      <c r="M21" s="41">
        <f t="shared" si="1"/>
        <v>0</v>
      </c>
      <c r="N21" s="41">
        <v>0</v>
      </c>
      <c r="O21" s="41">
        <v>0</v>
      </c>
      <c r="P21" s="41">
        <f t="shared" si="2"/>
        <v>0</v>
      </c>
      <c r="Q21" s="41"/>
      <c r="R21" s="41"/>
      <c r="S21" s="41">
        <f t="shared" si="3"/>
        <v>0</v>
      </c>
      <c r="T21" s="41"/>
      <c r="U21" s="41"/>
      <c r="V21" s="41">
        <f t="shared" si="4"/>
        <v>0</v>
      </c>
      <c r="W21" s="41">
        <v>0</v>
      </c>
      <c r="X21" s="41">
        <v>0</v>
      </c>
      <c r="Y21" s="41">
        <f t="shared" si="5"/>
        <v>0</v>
      </c>
      <c r="AB21" s="41">
        <f t="shared" si="6"/>
        <v>0</v>
      </c>
      <c r="AC21" s="41">
        <v>0</v>
      </c>
      <c r="AD21" s="41">
        <v>0</v>
      </c>
      <c r="AE21" s="41">
        <f t="shared" si="7"/>
        <v>0</v>
      </c>
      <c r="AF21" s="28">
        <f t="shared" si="8"/>
        <v>0</v>
      </c>
      <c r="AG21" s="28">
        <f t="shared" si="9"/>
        <v>0</v>
      </c>
    </row>
    <row r="22" spans="1:33" ht="57.6" x14ac:dyDescent="0.3">
      <c r="A22" s="42" t="s">
        <v>836</v>
      </c>
      <c r="B22" s="41" t="s">
        <v>1721</v>
      </c>
      <c r="C22" s="41" t="s">
        <v>1077</v>
      </c>
      <c r="D22" s="41" t="s">
        <v>1093</v>
      </c>
      <c r="E22" s="41" t="s">
        <v>1094</v>
      </c>
      <c r="F22" s="41" t="s">
        <v>709</v>
      </c>
      <c r="G22" s="41">
        <v>35000</v>
      </c>
      <c r="H22" s="41"/>
      <c r="I22" s="41"/>
      <c r="J22" s="41">
        <f>$G22*H22*I22</f>
        <v>0</v>
      </c>
      <c r="K22" s="41"/>
      <c r="L22" s="41"/>
      <c r="M22" s="41">
        <f t="shared" si="1"/>
        <v>0</v>
      </c>
      <c r="N22" s="41"/>
      <c r="O22" s="41"/>
      <c r="P22" s="41">
        <f t="shared" si="2"/>
        <v>0</v>
      </c>
      <c r="Q22" s="41">
        <v>30</v>
      </c>
      <c r="R22" s="41">
        <v>5</v>
      </c>
      <c r="S22" s="41">
        <f t="shared" si="3"/>
        <v>6987750.0000000019</v>
      </c>
      <c r="T22" s="41">
        <v>30</v>
      </c>
      <c r="U22" s="41">
        <v>5</v>
      </c>
      <c r="V22" s="41">
        <f t="shared" si="4"/>
        <v>7686525.0000000019</v>
      </c>
      <c r="W22" s="41">
        <v>30</v>
      </c>
      <c r="X22" s="41">
        <v>5</v>
      </c>
      <c r="Y22" s="41">
        <f t="shared" si="5"/>
        <v>8455177.5000000037</v>
      </c>
      <c r="Z22" s="41">
        <v>30</v>
      </c>
      <c r="AA22" s="41">
        <v>5</v>
      </c>
      <c r="AB22" s="41">
        <f t="shared" si="6"/>
        <v>9300695.2500000056</v>
      </c>
      <c r="AC22" s="41">
        <v>30</v>
      </c>
      <c r="AD22" s="41">
        <v>5</v>
      </c>
      <c r="AE22" s="41">
        <f t="shared" si="7"/>
        <v>10230764.775000006</v>
      </c>
      <c r="AF22" s="28">
        <f t="shared" si="8"/>
        <v>42660912.525000021</v>
      </c>
      <c r="AG22" s="28">
        <f t="shared" si="9"/>
        <v>41418.361674757303</v>
      </c>
    </row>
    <row r="23" spans="1:33" x14ac:dyDescent="0.3">
      <c r="A23" s="63" t="s">
        <v>1302</v>
      </c>
      <c r="B23" s="63"/>
      <c r="C23" s="63"/>
      <c r="D23" s="63"/>
      <c r="E23" s="63"/>
      <c r="F23" s="63"/>
      <c r="G23" s="63"/>
      <c r="H23" s="63"/>
      <c r="I23" s="63"/>
      <c r="J23" s="63">
        <f>SUM(J2:J22)</f>
        <v>0</v>
      </c>
      <c r="K23" s="63"/>
      <c r="L23" s="63"/>
      <c r="M23" s="63">
        <f>SUM(M2:M22)</f>
        <v>0</v>
      </c>
      <c r="N23" s="63"/>
      <c r="O23" s="63"/>
      <c r="P23" s="63">
        <f>SUM(P2:P22)</f>
        <v>24986190.240000006</v>
      </c>
      <c r="Q23" s="63"/>
      <c r="R23" s="63"/>
      <c r="S23" s="63">
        <f>SUM(S2:S22)</f>
        <v>6987750.0000000019</v>
      </c>
      <c r="T23" s="63"/>
      <c r="U23" s="63"/>
      <c r="V23" s="63">
        <f>SUM(V2:V22)</f>
        <v>7686525.0000000019</v>
      </c>
      <c r="W23" s="62"/>
      <c r="X23" s="62"/>
      <c r="Y23" s="63">
        <f>SUM(Y2:Y22)</f>
        <v>41711796.709440015</v>
      </c>
      <c r="Z23" s="62"/>
      <c r="AA23" s="62"/>
      <c r="AB23" s="63">
        <f>SUM(AB2:AB22)</f>
        <v>9300695.2500000056</v>
      </c>
      <c r="AC23" s="62"/>
      <c r="AD23" s="62"/>
      <c r="AE23" s="63">
        <f>SUM(AE2:AE22)</f>
        <v>50471274.018422425</v>
      </c>
      <c r="AF23" s="28">
        <f t="shared" si="8"/>
        <v>141144231.21786246</v>
      </c>
      <c r="AG23" s="28">
        <f t="shared" si="9"/>
        <v>137033.23419209948</v>
      </c>
    </row>
    <row r="24" spans="1:33" s="94" customFormat="1" x14ac:dyDescent="0.3">
      <c r="A24" s="63" t="s">
        <v>1437</v>
      </c>
      <c r="B24" s="91"/>
      <c r="C24" s="91"/>
      <c r="D24" s="91"/>
      <c r="E24" s="91"/>
      <c r="F24" s="91"/>
      <c r="G24" s="91"/>
      <c r="H24" s="91"/>
      <c r="I24" s="91"/>
      <c r="J24" s="91">
        <f>J23/$AL$2</f>
        <v>0</v>
      </c>
      <c r="K24" s="91"/>
      <c r="L24" s="91"/>
      <c r="M24" s="91">
        <f>M23/$AL$2</f>
        <v>0</v>
      </c>
      <c r="N24" s="91"/>
      <c r="O24" s="91"/>
      <c r="P24" s="91">
        <f>P23/$AL$2</f>
        <v>24258.437126213597</v>
      </c>
      <c r="Q24" s="91"/>
      <c r="R24" s="91"/>
      <c r="S24" s="91">
        <f>S23/$AL$2</f>
        <v>6784.2233009708752</v>
      </c>
      <c r="T24" s="91"/>
      <c r="U24" s="91"/>
      <c r="V24" s="91">
        <f>V23/$AL$2</f>
        <v>7462.6456310679632</v>
      </c>
      <c r="AF24" s="95">
        <f t="shared" si="8"/>
        <v>38505.306058252434</v>
      </c>
      <c r="AG24" s="95">
        <f t="shared" si="9"/>
        <v>37.38379228956547</v>
      </c>
    </row>
    <row r="25" spans="1:33" ht="57.6" x14ac:dyDescent="0.3">
      <c r="A25" s="41" t="s">
        <v>836</v>
      </c>
      <c r="B25" s="41" t="s">
        <v>1721</v>
      </c>
      <c r="C25" s="41" t="s">
        <v>1095</v>
      </c>
      <c r="D25" s="41" t="s">
        <v>1096</v>
      </c>
      <c r="E25" s="41" t="s">
        <v>1097</v>
      </c>
      <c r="F25" s="41" t="s">
        <v>709</v>
      </c>
      <c r="G25" s="41">
        <v>35000</v>
      </c>
      <c r="H25" s="41"/>
      <c r="I25" s="41"/>
      <c r="J25" s="41">
        <f>$G25*H25*I25</f>
        <v>0</v>
      </c>
      <c r="K25" s="41"/>
      <c r="L25" s="41"/>
      <c r="M25" s="41">
        <f t="shared" ref="M25:M32" si="10">($G25*1.1^1)*K25*L25</f>
        <v>0</v>
      </c>
      <c r="N25" s="41"/>
      <c r="O25" s="41"/>
      <c r="P25" s="41">
        <f t="shared" ref="P25:P32" si="11">($G25*1.1^2)*N25*O25</f>
        <v>0</v>
      </c>
      <c r="Q25" s="41">
        <v>41</v>
      </c>
      <c r="R25" s="41">
        <v>3</v>
      </c>
      <c r="S25" s="41">
        <f t="shared" ref="S25:S32" si="12">($G25*1.1^3)*Q25*R25</f>
        <v>5729955.0000000019</v>
      </c>
      <c r="T25" s="41"/>
      <c r="U25" s="41"/>
      <c r="V25" s="41">
        <f t="shared" ref="V25:V32" si="13">($G25*1.1^4)*T25*U25</f>
        <v>0</v>
      </c>
      <c r="Y25" s="41">
        <f t="shared" ref="Y25:Y32" si="14">($G25*1.1^5)*W25*X25</f>
        <v>0</v>
      </c>
      <c r="Z25" s="41">
        <v>41</v>
      </c>
      <c r="AA25" s="41">
        <v>3</v>
      </c>
      <c r="AB25" s="41">
        <f t="shared" ref="AB25:AB32" si="15">($G25*1.1^6)*Z25*AA25</f>
        <v>7626570.1050000032</v>
      </c>
      <c r="AE25" s="41">
        <f t="shared" ref="AE25:AE32" si="16">($G25*1.1^7)*AC25*AD25</f>
        <v>0</v>
      </c>
      <c r="AF25" s="28">
        <f t="shared" si="8"/>
        <v>13356525.105000004</v>
      </c>
      <c r="AG25" s="28">
        <f t="shared" si="9"/>
        <v>12967.500101941752</v>
      </c>
    </row>
    <row r="26" spans="1:33" ht="57.6" x14ac:dyDescent="0.3">
      <c r="A26" s="41" t="s">
        <v>836</v>
      </c>
      <c r="B26" s="41" t="s">
        <v>1721</v>
      </c>
      <c r="C26" s="41" t="s">
        <v>1095</v>
      </c>
      <c r="D26" s="41" t="s">
        <v>1096</v>
      </c>
      <c r="E26" s="41" t="s">
        <v>1097</v>
      </c>
      <c r="F26" s="41" t="s">
        <v>716</v>
      </c>
      <c r="G26" s="41">
        <v>39000</v>
      </c>
      <c r="H26" s="41"/>
      <c r="I26" s="41"/>
      <c r="J26" s="41">
        <f t="shared" ref="J26:J32" si="17">$G26*H26*I26</f>
        <v>0</v>
      </c>
      <c r="K26" s="41"/>
      <c r="L26" s="41"/>
      <c r="M26" s="41">
        <f t="shared" si="10"/>
        <v>0</v>
      </c>
      <c r="N26" s="41"/>
      <c r="O26" s="41"/>
      <c r="P26" s="41">
        <f t="shared" si="11"/>
        <v>0</v>
      </c>
      <c r="Q26" s="41">
        <v>41</v>
      </c>
      <c r="R26" s="41">
        <v>4</v>
      </c>
      <c r="S26" s="41">
        <f t="shared" si="12"/>
        <v>8513076.0000000019</v>
      </c>
      <c r="T26" s="41"/>
      <c r="U26" s="41"/>
      <c r="V26" s="41">
        <f t="shared" si="13"/>
        <v>0</v>
      </c>
      <c r="Y26" s="41">
        <f t="shared" si="14"/>
        <v>0</v>
      </c>
      <c r="Z26" s="41">
        <v>41</v>
      </c>
      <c r="AA26" s="41">
        <v>4</v>
      </c>
      <c r="AB26" s="41">
        <f t="shared" si="15"/>
        <v>11330904.156000005</v>
      </c>
      <c r="AE26" s="41">
        <f t="shared" si="16"/>
        <v>0</v>
      </c>
      <c r="AF26" s="28">
        <f t="shared" si="8"/>
        <v>19843980.156000007</v>
      </c>
      <c r="AG26" s="28">
        <f t="shared" si="9"/>
        <v>19266.000151456319</v>
      </c>
    </row>
    <row r="27" spans="1:33" ht="57.6" x14ac:dyDescent="0.3">
      <c r="A27" s="41" t="s">
        <v>836</v>
      </c>
      <c r="B27" s="41" t="s">
        <v>1721</v>
      </c>
      <c r="C27" s="41" t="s">
        <v>1095</v>
      </c>
      <c r="D27" s="41" t="s">
        <v>1096</v>
      </c>
      <c r="E27" s="41" t="s">
        <v>1097</v>
      </c>
      <c r="F27" s="41" t="s">
        <v>712</v>
      </c>
      <c r="G27" s="41">
        <f>1999.2/7</f>
        <v>285.60000000000002</v>
      </c>
      <c r="H27" s="41"/>
      <c r="I27" s="41"/>
      <c r="J27" s="41">
        <f t="shared" si="17"/>
        <v>0</v>
      </c>
      <c r="K27" s="41"/>
      <c r="L27" s="41"/>
      <c r="M27" s="41">
        <f t="shared" si="10"/>
        <v>0</v>
      </c>
      <c r="N27" s="41"/>
      <c r="O27" s="41"/>
      <c r="P27" s="41">
        <f t="shared" si="11"/>
        <v>0</v>
      </c>
      <c r="Q27" s="41">
        <f>2*25*9</f>
        <v>450</v>
      </c>
      <c r="R27" s="41">
        <v>3</v>
      </c>
      <c r="S27" s="41">
        <f t="shared" si="12"/>
        <v>513180.36000000022</v>
      </c>
      <c r="T27" s="41"/>
      <c r="U27" s="41"/>
      <c r="V27" s="41">
        <f t="shared" si="13"/>
        <v>0</v>
      </c>
      <c r="Y27" s="41">
        <f t="shared" si="14"/>
        <v>0</v>
      </c>
      <c r="Z27" s="41">
        <f>2*25*9</f>
        <v>450</v>
      </c>
      <c r="AA27" s="41">
        <v>3</v>
      </c>
      <c r="AB27" s="41">
        <f t="shared" si="15"/>
        <v>683043.05916000041</v>
      </c>
      <c r="AE27" s="41">
        <f t="shared" si="16"/>
        <v>0</v>
      </c>
      <c r="AF27" s="28">
        <f t="shared" si="8"/>
        <v>1196223.4191600005</v>
      </c>
      <c r="AG27" s="28">
        <f t="shared" si="9"/>
        <v>1161.3819603495151</v>
      </c>
    </row>
    <row r="28" spans="1:33" ht="57.6" x14ac:dyDescent="0.3">
      <c r="A28" s="41" t="s">
        <v>836</v>
      </c>
      <c r="B28" s="41" t="s">
        <v>1721</v>
      </c>
      <c r="C28" s="41" t="s">
        <v>1095</v>
      </c>
      <c r="D28" s="41" t="s">
        <v>1096</v>
      </c>
      <c r="E28" s="41" t="s">
        <v>1097</v>
      </c>
      <c r="F28" s="41" t="s">
        <v>1320</v>
      </c>
      <c r="G28" s="41">
        <f>1999.2/7</f>
        <v>285.60000000000002</v>
      </c>
      <c r="H28" s="41"/>
      <c r="I28" s="41"/>
      <c r="J28" s="41">
        <f t="shared" si="17"/>
        <v>0</v>
      </c>
      <c r="K28" s="41"/>
      <c r="L28" s="41"/>
      <c r="M28" s="41">
        <f t="shared" si="10"/>
        <v>0</v>
      </c>
      <c r="N28" s="41"/>
      <c r="O28" s="41"/>
      <c r="P28" s="41">
        <f t="shared" si="11"/>
        <v>0</v>
      </c>
      <c r="Q28" s="41">
        <f>2*135*9</f>
        <v>2430</v>
      </c>
      <c r="R28" s="41">
        <v>1</v>
      </c>
      <c r="S28" s="41">
        <f t="shared" si="12"/>
        <v>923724.64800000039</v>
      </c>
      <c r="T28" s="41"/>
      <c r="U28" s="41"/>
      <c r="V28" s="41">
        <f t="shared" si="13"/>
        <v>0</v>
      </c>
      <c r="Y28" s="41">
        <f t="shared" si="14"/>
        <v>0</v>
      </c>
      <c r="Z28" s="41">
        <f>2*135*9</f>
        <v>2430</v>
      </c>
      <c r="AA28" s="41">
        <v>1</v>
      </c>
      <c r="AB28" s="41">
        <f t="shared" si="15"/>
        <v>1229477.5064880007</v>
      </c>
      <c r="AE28" s="41">
        <f t="shared" si="16"/>
        <v>0</v>
      </c>
      <c r="AF28" s="28">
        <f t="shared" si="8"/>
        <v>2153202.154488001</v>
      </c>
      <c r="AG28" s="28">
        <f t="shared" si="9"/>
        <v>2090.4875286291272</v>
      </c>
    </row>
    <row r="29" spans="1:33" ht="57.6" x14ac:dyDescent="0.3">
      <c r="A29" s="41" t="s">
        <v>836</v>
      </c>
      <c r="B29" s="41" t="s">
        <v>1721</v>
      </c>
      <c r="C29" s="41" t="s">
        <v>1095</v>
      </c>
      <c r="D29" s="41" t="s">
        <v>1098</v>
      </c>
      <c r="E29" s="41" t="s">
        <v>1099</v>
      </c>
      <c r="F29" s="41" t="s">
        <v>709</v>
      </c>
      <c r="G29" s="41">
        <v>35000</v>
      </c>
      <c r="I29" s="41"/>
      <c r="J29" s="41">
        <f t="shared" si="17"/>
        <v>0</v>
      </c>
      <c r="K29" s="41"/>
      <c r="L29" s="41"/>
      <c r="M29" s="41">
        <f t="shared" si="10"/>
        <v>0</v>
      </c>
      <c r="N29" s="41"/>
      <c r="O29" s="41"/>
      <c r="P29" s="41">
        <f t="shared" si="11"/>
        <v>0</v>
      </c>
      <c r="Q29">
        <v>41</v>
      </c>
      <c r="R29" s="41">
        <v>1</v>
      </c>
      <c r="S29" s="41">
        <f t="shared" si="12"/>
        <v>1909985.0000000007</v>
      </c>
      <c r="T29" s="41"/>
      <c r="U29" s="41"/>
      <c r="V29" s="41">
        <f t="shared" si="13"/>
        <v>0</v>
      </c>
      <c r="Y29" s="41">
        <f t="shared" si="14"/>
        <v>0</v>
      </c>
      <c r="Z29">
        <v>41</v>
      </c>
      <c r="AA29" s="41">
        <v>1</v>
      </c>
      <c r="AB29" s="41">
        <f t="shared" si="15"/>
        <v>2542190.0350000011</v>
      </c>
      <c r="AE29" s="41">
        <f t="shared" si="16"/>
        <v>0</v>
      </c>
      <c r="AF29" s="28">
        <f t="shared" si="8"/>
        <v>4452175.035000002</v>
      </c>
      <c r="AG29" s="28">
        <f t="shared" si="9"/>
        <v>4322.5000339805847</v>
      </c>
    </row>
    <row r="30" spans="1:33" ht="57.6" x14ac:dyDescent="0.3">
      <c r="A30" s="41" t="s">
        <v>836</v>
      </c>
      <c r="B30" s="41" t="s">
        <v>1721</v>
      </c>
      <c r="C30" s="41" t="s">
        <v>1095</v>
      </c>
      <c r="D30" s="41" t="s">
        <v>1098</v>
      </c>
      <c r="E30" s="41" t="s">
        <v>1099</v>
      </c>
      <c r="F30" s="41" t="s">
        <v>716</v>
      </c>
      <c r="G30" s="41">
        <v>39000</v>
      </c>
      <c r="H30" s="41"/>
      <c r="I30" s="41"/>
      <c r="J30" s="41">
        <f t="shared" si="17"/>
        <v>0</v>
      </c>
      <c r="K30" s="41"/>
      <c r="L30" s="41"/>
      <c r="M30" s="41">
        <f t="shared" si="10"/>
        <v>0</v>
      </c>
      <c r="N30" s="41"/>
      <c r="O30" s="41"/>
      <c r="P30" s="41">
        <f t="shared" si="11"/>
        <v>0</v>
      </c>
      <c r="Q30" s="41">
        <v>41</v>
      </c>
      <c r="R30" s="41">
        <v>1</v>
      </c>
      <c r="S30" s="41">
        <f t="shared" si="12"/>
        <v>2128269.0000000005</v>
      </c>
      <c r="T30" s="41"/>
      <c r="U30" s="41"/>
      <c r="V30" s="41">
        <f t="shared" si="13"/>
        <v>0</v>
      </c>
      <c r="Y30" s="41">
        <f t="shared" si="14"/>
        <v>0</v>
      </c>
      <c r="Z30" s="41">
        <v>41</v>
      </c>
      <c r="AA30" s="41">
        <v>1</v>
      </c>
      <c r="AB30" s="41">
        <f t="shared" si="15"/>
        <v>2832726.0390000013</v>
      </c>
      <c r="AE30" s="41">
        <f t="shared" si="16"/>
        <v>0</v>
      </c>
      <c r="AF30" s="28">
        <f t="shared" si="8"/>
        <v>4960995.0390000017</v>
      </c>
      <c r="AG30" s="28">
        <f t="shared" si="9"/>
        <v>4816.5000378640798</v>
      </c>
    </row>
    <row r="31" spans="1:33" ht="57.6" x14ac:dyDescent="0.3">
      <c r="A31" s="41" t="s">
        <v>836</v>
      </c>
      <c r="B31" s="41" t="s">
        <v>1721</v>
      </c>
      <c r="C31" s="41" t="s">
        <v>1095</v>
      </c>
      <c r="D31" s="41" t="s">
        <v>1098</v>
      </c>
      <c r="E31" s="41" t="s">
        <v>1099</v>
      </c>
      <c r="F31" s="41" t="s">
        <v>712</v>
      </c>
      <c r="G31" s="41">
        <f>1999.2/7</f>
        <v>285.60000000000002</v>
      </c>
      <c r="H31" s="41"/>
      <c r="I31" s="41"/>
      <c r="J31" s="41">
        <f t="shared" si="17"/>
        <v>0</v>
      </c>
      <c r="K31" s="41"/>
      <c r="L31" s="41"/>
      <c r="M31" s="41">
        <f t="shared" si="10"/>
        <v>0</v>
      </c>
      <c r="N31" s="41"/>
      <c r="O31" s="41"/>
      <c r="P31" s="41">
        <f t="shared" si="11"/>
        <v>0</v>
      </c>
      <c r="Q31" s="41">
        <f>2*25*9</f>
        <v>450</v>
      </c>
      <c r="R31" s="41">
        <v>1</v>
      </c>
      <c r="S31" s="41">
        <f t="shared" si="12"/>
        <v>171060.12000000008</v>
      </c>
      <c r="T31" s="41"/>
      <c r="U31" s="41"/>
      <c r="V31" s="41">
        <f t="shared" si="13"/>
        <v>0</v>
      </c>
      <c r="Y31" s="41">
        <f t="shared" si="14"/>
        <v>0</v>
      </c>
      <c r="Z31" s="41">
        <f>2*25*9</f>
        <v>450</v>
      </c>
      <c r="AA31" s="41">
        <v>1</v>
      </c>
      <c r="AB31" s="41">
        <f t="shared" si="15"/>
        <v>227681.01972000013</v>
      </c>
      <c r="AE31" s="41">
        <f t="shared" si="16"/>
        <v>0</v>
      </c>
      <c r="AF31" s="28">
        <f t="shared" si="8"/>
        <v>398741.13972000021</v>
      </c>
      <c r="AG31" s="28">
        <f t="shared" si="9"/>
        <v>387.12732011650508</v>
      </c>
    </row>
    <row r="32" spans="1:33" ht="57.6" x14ac:dyDescent="0.3">
      <c r="A32" s="41" t="s">
        <v>836</v>
      </c>
      <c r="B32" s="41" t="s">
        <v>1721</v>
      </c>
      <c r="C32" s="41" t="s">
        <v>1095</v>
      </c>
      <c r="D32" s="41" t="s">
        <v>1098</v>
      </c>
      <c r="E32" s="41" t="s">
        <v>1099</v>
      </c>
      <c r="F32" s="41" t="s">
        <v>1320</v>
      </c>
      <c r="G32" s="41">
        <f>1999.2/7</f>
        <v>285.60000000000002</v>
      </c>
      <c r="H32" s="41"/>
      <c r="I32" s="41"/>
      <c r="J32" s="41">
        <f t="shared" si="17"/>
        <v>0</v>
      </c>
      <c r="K32" s="41"/>
      <c r="L32" s="41"/>
      <c r="M32" s="41">
        <f t="shared" si="10"/>
        <v>0</v>
      </c>
      <c r="N32" s="41"/>
      <c r="O32" s="41"/>
      <c r="P32" s="41">
        <f t="shared" si="11"/>
        <v>0</v>
      </c>
      <c r="Q32" s="41">
        <f>2*135*9</f>
        <v>2430</v>
      </c>
      <c r="R32" s="41">
        <v>1</v>
      </c>
      <c r="S32" s="41">
        <f t="shared" si="12"/>
        <v>923724.64800000039</v>
      </c>
      <c r="T32" s="41"/>
      <c r="U32" s="41"/>
      <c r="V32" s="41">
        <f t="shared" si="13"/>
        <v>0</v>
      </c>
      <c r="Y32" s="41">
        <f t="shared" si="14"/>
        <v>0</v>
      </c>
      <c r="Z32" s="41">
        <f>2*135*9</f>
        <v>2430</v>
      </c>
      <c r="AA32" s="41">
        <v>1</v>
      </c>
      <c r="AB32" s="41">
        <f t="shared" si="15"/>
        <v>1229477.5064880007</v>
      </c>
      <c r="AE32" s="41">
        <f t="shared" si="16"/>
        <v>0</v>
      </c>
      <c r="AF32" s="28">
        <f t="shared" si="8"/>
        <v>2153202.154488001</v>
      </c>
      <c r="AG32" s="28">
        <f t="shared" si="9"/>
        <v>2090.4875286291272</v>
      </c>
    </row>
    <row r="33" spans="1:33" x14ac:dyDescent="0.3">
      <c r="A33" s="63" t="s">
        <v>1302</v>
      </c>
      <c r="B33" s="63"/>
      <c r="C33" s="63"/>
      <c r="D33" s="63"/>
      <c r="E33" s="63"/>
      <c r="F33" s="63"/>
      <c r="G33" s="63"/>
      <c r="H33" s="63"/>
      <c r="I33" s="63"/>
      <c r="J33" s="63">
        <f>SUM(J25:J31)</f>
        <v>0</v>
      </c>
      <c r="K33" s="63"/>
      <c r="L33" s="63"/>
      <c r="M33" s="63">
        <f>SUM(M25:M31)</f>
        <v>0</v>
      </c>
      <c r="N33" s="63"/>
      <c r="O33" s="63"/>
      <c r="P33" s="63">
        <f>SUM(P25:P31)</f>
        <v>0</v>
      </c>
      <c r="Q33" s="63"/>
      <c r="R33" s="63"/>
      <c r="S33" s="63">
        <f>SUM(S25:S31)</f>
        <v>19889250.128000006</v>
      </c>
      <c r="T33" s="63"/>
      <c r="U33" s="63"/>
      <c r="V33" s="63">
        <f>SUM(V25:V31)</f>
        <v>0</v>
      </c>
      <c r="W33" s="62"/>
      <c r="X33" s="62"/>
      <c r="Y33" s="63">
        <f>SUM(Y25:Y31)</f>
        <v>0</v>
      </c>
      <c r="Z33" s="62"/>
      <c r="AA33" s="62"/>
      <c r="AB33" s="63">
        <f>SUM(AB25:AB31)</f>
        <v>26472591.920368008</v>
      </c>
      <c r="AC33" s="62"/>
      <c r="AD33" s="62"/>
      <c r="AE33" s="63">
        <f>SUM(AE25:AE31)</f>
        <v>0</v>
      </c>
      <c r="AF33" s="28">
        <f t="shared" si="8"/>
        <v>46361842.048368014</v>
      </c>
      <c r="AG33" s="28">
        <f t="shared" si="9"/>
        <v>45011.497134337878</v>
      </c>
    </row>
    <row r="34" spans="1:33" s="94" customFormat="1" x14ac:dyDescent="0.3">
      <c r="A34" s="63" t="s">
        <v>1437</v>
      </c>
      <c r="B34" s="91"/>
      <c r="C34" s="91"/>
      <c r="D34" s="91"/>
      <c r="E34" s="91"/>
      <c r="F34" s="91"/>
      <c r="G34" s="91"/>
      <c r="H34" s="91"/>
      <c r="I34" s="91"/>
      <c r="J34" s="91">
        <f>J33/$AL$2</f>
        <v>0</v>
      </c>
      <c r="K34" s="91"/>
      <c r="L34" s="91"/>
      <c r="M34" s="91">
        <f>M33/$AL$2</f>
        <v>0</v>
      </c>
      <c r="N34" s="91"/>
      <c r="O34" s="91"/>
      <c r="P34" s="91">
        <f>P33/$AL$2</f>
        <v>0</v>
      </c>
      <c r="Q34" s="91"/>
      <c r="R34" s="91"/>
      <c r="S34" s="91">
        <f>S33/$AL$2</f>
        <v>19309.951580582529</v>
      </c>
      <c r="T34" s="91"/>
      <c r="U34" s="91"/>
      <c r="V34" s="91">
        <f>V33/$AL$2</f>
        <v>0</v>
      </c>
      <c r="Y34" s="91">
        <f>Y33/$AL$2</f>
        <v>0</v>
      </c>
      <c r="AB34" s="91"/>
      <c r="AF34" s="95">
        <f t="shared" si="8"/>
        <v>19309.951580582529</v>
      </c>
      <c r="AG34" s="95">
        <f t="shared" si="9"/>
        <v>18.747525806390804</v>
      </c>
    </row>
    <row r="35" spans="1:33" ht="57.6" x14ac:dyDescent="0.3">
      <c r="A35" s="41" t="s">
        <v>836</v>
      </c>
      <c r="B35" s="41" t="s">
        <v>1721</v>
      </c>
      <c r="C35" s="41" t="s">
        <v>1100</v>
      </c>
      <c r="D35" s="41" t="s">
        <v>1101</v>
      </c>
      <c r="E35" s="41" t="s">
        <v>176</v>
      </c>
      <c r="F35" s="41" t="s">
        <v>841</v>
      </c>
      <c r="G35" s="41">
        <v>0</v>
      </c>
      <c r="H35" s="41"/>
      <c r="I35" s="41"/>
      <c r="J35" s="41">
        <f t="shared" ref="J35:J70" si="18">$G35*H35*I35</f>
        <v>0</v>
      </c>
      <c r="K35" s="41">
        <v>0</v>
      </c>
      <c r="L35" s="41">
        <v>0</v>
      </c>
      <c r="M35" s="41">
        <f t="shared" ref="M35:M67" si="19">($G35*1.1^1)*K35*L35</f>
        <v>0</v>
      </c>
      <c r="N35" s="41"/>
      <c r="O35" s="41"/>
      <c r="P35" s="41">
        <f t="shared" ref="P35:P70" si="20">($G35*1.1^2)*N35*O35</f>
        <v>0</v>
      </c>
      <c r="Q35" s="41"/>
      <c r="R35" s="41"/>
      <c r="S35" s="41">
        <f>($G35*1.1^3)*Q35*R35</f>
        <v>0</v>
      </c>
      <c r="T35" s="41">
        <v>0</v>
      </c>
      <c r="U35" s="41">
        <v>0</v>
      </c>
      <c r="V35" s="41">
        <f t="shared" ref="V35:V67" si="21">($G35*1.1^4)*T35*U35</f>
        <v>0</v>
      </c>
      <c r="Y35" s="41">
        <f t="shared" ref="Y35:Y70" si="22">($G35*1.1^5)*W35*X35</f>
        <v>0</v>
      </c>
      <c r="AB35" s="41">
        <f>($G35*1.1^6)*Z35*AA35</f>
        <v>0</v>
      </c>
      <c r="AC35" s="41">
        <v>0</v>
      </c>
      <c r="AD35" s="41">
        <v>0</v>
      </c>
      <c r="AE35" s="41">
        <f t="shared" ref="AE35:AE67" si="23">($G35*1.1^7)*AC35*AD35</f>
        <v>0</v>
      </c>
      <c r="AF35" s="28">
        <f t="shared" si="8"/>
        <v>0</v>
      </c>
      <c r="AG35" s="28">
        <f t="shared" si="9"/>
        <v>0</v>
      </c>
    </row>
    <row r="36" spans="1:33" ht="57.6" x14ac:dyDescent="0.3">
      <c r="A36" s="41" t="s">
        <v>836</v>
      </c>
      <c r="B36" s="41" t="s">
        <v>1721</v>
      </c>
      <c r="C36" s="41" t="s">
        <v>1100</v>
      </c>
      <c r="D36" s="41" t="s">
        <v>1101</v>
      </c>
      <c r="E36" s="41" t="s">
        <v>1102</v>
      </c>
      <c r="F36" s="41" t="s">
        <v>841</v>
      </c>
      <c r="G36" s="41">
        <v>0</v>
      </c>
      <c r="H36" s="41"/>
      <c r="I36" s="41"/>
      <c r="J36" s="41">
        <f t="shared" si="18"/>
        <v>0</v>
      </c>
      <c r="K36" s="41">
        <v>3</v>
      </c>
      <c r="L36" s="41">
        <v>5</v>
      </c>
      <c r="M36" s="41">
        <f t="shared" si="19"/>
        <v>0</v>
      </c>
      <c r="N36" s="41"/>
      <c r="O36" s="41"/>
      <c r="P36" s="41">
        <f t="shared" si="20"/>
        <v>0</v>
      </c>
      <c r="Q36" s="41"/>
      <c r="R36" s="41"/>
      <c r="S36" s="41">
        <v>0</v>
      </c>
      <c r="T36" s="41">
        <v>3</v>
      </c>
      <c r="U36" s="41">
        <v>5</v>
      </c>
      <c r="V36" s="41">
        <f t="shared" si="21"/>
        <v>0</v>
      </c>
      <c r="Y36" s="41">
        <f t="shared" si="22"/>
        <v>0</v>
      </c>
      <c r="AC36" s="41">
        <v>3</v>
      </c>
      <c r="AD36" s="41">
        <v>5</v>
      </c>
      <c r="AE36" s="41">
        <f t="shared" si="23"/>
        <v>0</v>
      </c>
      <c r="AF36" s="28">
        <f t="shared" si="8"/>
        <v>0</v>
      </c>
      <c r="AG36" s="28">
        <f t="shared" si="9"/>
        <v>0</v>
      </c>
    </row>
    <row r="37" spans="1:33" ht="57.6" x14ac:dyDescent="0.3">
      <c r="A37" s="41" t="s">
        <v>836</v>
      </c>
      <c r="B37" s="41" t="s">
        <v>1721</v>
      </c>
      <c r="C37" s="41" t="s">
        <v>1100</v>
      </c>
      <c r="D37" s="41" t="s">
        <v>1101</v>
      </c>
      <c r="E37" s="41" t="s">
        <v>1103</v>
      </c>
      <c r="F37" s="41" t="s">
        <v>1323</v>
      </c>
      <c r="G37" s="41">
        <v>391991.03749999998</v>
      </c>
      <c r="H37" s="41"/>
      <c r="I37" s="41"/>
      <c r="J37" s="41">
        <f t="shared" si="18"/>
        <v>0</v>
      </c>
      <c r="K37" s="41">
        <v>1</v>
      </c>
      <c r="L37" s="41">
        <v>1</v>
      </c>
      <c r="M37" s="41">
        <f t="shared" si="19"/>
        <v>431190.14124999999</v>
      </c>
      <c r="N37" s="41"/>
      <c r="O37" s="41"/>
      <c r="P37" s="41">
        <f t="shared" si="20"/>
        <v>0</v>
      </c>
      <c r="Q37" s="41"/>
      <c r="R37" s="41"/>
      <c r="S37" s="41">
        <v>5879865.5624999991</v>
      </c>
      <c r="T37" s="41">
        <v>1</v>
      </c>
      <c r="U37" s="41">
        <v>1</v>
      </c>
      <c r="V37" s="41">
        <f t="shared" si="21"/>
        <v>573914.07800375007</v>
      </c>
      <c r="Y37" s="41">
        <f t="shared" si="22"/>
        <v>0</v>
      </c>
      <c r="AC37" s="41">
        <v>1</v>
      </c>
      <c r="AD37" s="41">
        <v>1</v>
      </c>
      <c r="AE37" s="41">
        <f t="shared" si="23"/>
        <v>763879.6378229917</v>
      </c>
      <c r="AF37" s="28">
        <f t="shared" si="8"/>
        <v>7648849.4195767418</v>
      </c>
      <c r="AG37" s="28">
        <f t="shared" si="9"/>
        <v>7426.0673976473217</v>
      </c>
    </row>
    <row r="38" spans="1:33" ht="57.6" x14ac:dyDescent="0.3">
      <c r="A38" s="41" t="s">
        <v>836</v>
      </c>
      <c r="B38" s="41" t="s">
        <v>1721</v>
      </c>
      <c r="C38" s="41" t="s">
        <v>1100</v>
      </c>
      <c r="D38" s="41" t="s">
        <v>1101</v>
      </c>
      <c r="E38" s="41" t="s">
        <v>1103</v>
      </c>
      <c r="F38" s="41" t="s">
        <v>720</v>
      </c>
      <c r="G38" s="41">
        <f>980*1030</f>
        <v>1009400</v>
      </c>
      <c r="H38" s="41"/>
      <c r="I38" s="41"/>
      <c r="J38" s="41">
        <f t="shared" si="18"/>
        <v>0</v>
      </c>
      <c r="K38" s="41">
        <v>1</v>
      </c>
      <c r="L38" s="41">
        <v>25</v>
      </c>
      <c r="M38" s="41">
        <f t="shared" si="19"/>
        <v>27758500</v>
      </c>
      <c r="N38" s="41"/>
      <c r="O38" s="41"/>
      <c r="P38" s="41">
        <f t="shared" si="20"/>
        <v>0</v>
      </c>
      <c r="Q38" s="41"/>
      <c r="R38" s="41"/>
      <c r="S38" s="41">
        <v>3332000</v>
      </c>
      <c r="T38" s="41">
        <v>1</v>
      </c>
      <c r="U38" s="41">
        <v>25</v>
      </c>
      <c r="V38" s="41">
        <f t="shared" si="21"/>
        <v>36946563.500000015</v>
      </c>
      <c r="Y38" s="41">
        <f t="shared" si="22"/>
        <v>0</v>
      </c>
      <c r="AC38" s="41">
        <v>1</v>
      </c>
      <c r="AD38" s="41">
        <v>25</v>
      </c>
      <c r="AE38" s="41">
        <f t="shared" si="23"/>
        <v>49175876.01850003</v>
      </c>
      <c r="AF38" s="28">
        <f t="shared" si="8"/>
        <v>117212939.51850004</v>
      </c>
      <c r="AG38" s="28">
        <f t="shared" si="9"/>
        <v>113798.97040631072</v>
      </c>
    </row>
    <row r="39" spans="1:33" ht="57.6" x14ac:dyDescent="0.3">
      <c r="A39" s="41" t="s">
        <v>836</v>
      </c>
      <c r="B39" s="41" t="s">
        <v>1721</v>
      </c>
      <c r="C39" s="41" t="s">
        <v>1100</v>
      </c>
      <c r="D39" s="41" t="s">
        <v>1101</v>
      </c>
      <c r="E39" s="41" t="s">
        <v>895</v>
      </c>
      <c r="F39" s="41" t="s">
        <v>841</v>
      </c>
      <c r="G39" s="41">
        <v>0</v>
      </c>
      <c r="H39" s="41"/>
      <c r="I39" s="41"/>
      <c r="J39" s="41">
        <f t="shared" si="18"/>
        <v>0</v>
      </c>
      <c r="K39" s="41">
        <v>1</v>
      </c>
      <c r="L39" s="41">
        <v>30</v>
      </c>
      <c r="M39" s="41">
        <f t="shared" si="19"/>
        <v>0</v>
      </c>
      <c r="N39" s="41"/>
      <c r="O39" s="41"/>
      <c r="P39" s="41">
        <f t="shared" si="20"/>
        <v>0</v>
      </c>
      <c r="Q39" s="41"/>
      <c r="R39" s="41"/>
      <c r="S39" s="41">
        <v>0</v>
      </c>
      <c r="T39" s="41">
        <v>1</v>
      </c>
      <c r="U39" s="41">
        <v>30</v>
      </c>
      <c r="V39" s="41">
        <f t="shared" si="21"/>
        <v>0</v>
      </c>
      <c r="Y39" s="41">
        <f t="shared" si="22"/>
        <v>0</v>
      </c>
      <c r="AC39" s="41">
        <v>1</v>
      </c>
      <c r="AD39" s="41">
        <v>30</v>
      </c>
      <c r="AE39" s="41">
        <f t="shared" si="23"/>
        <v>0</v>
      </c>
      <c r="AF39" s="28">
        <f t="shared" si="8"/>
        <v>0</v>
      </c>
      <c r="AG39" s="28">
        <f t="shared" si="9"/>
        <v>0</v>
      </c>
    </row>
    <row r="40" spans="1:33" ht="57.6" x14ac:dyDescent="0.3">
      <c r="A40" s="41" t="s">
        <v>836</v>
      </c>
      <c r="B40" s="41" t="s">
        <v>1721</v>
      </c>
      <c r="C40" s="41" t="s">
        <v>1100</v>
      </c>
      <c r="D40" s="41" t="s">
        <v>1101</v>
      </c>
      <c r="E40" s="41" t="s">
        <v>912</v>
      </c>
      <c r="F40" s="41" t="s">
        <v>841</v>
      </c>
      <c r="G40" s="41">
        <v>0</v>
      </c>
      <c r="H40" s="41"/>
      <c r="I40" s="41"/>
      <c r="J40" s="41">
        <f t="shared" si="18"/>
        <v>0</v>
      </c>
      <c r="K40" s="41">
        <v>5</v>
      </c>
      <c r="L40" s="41">
        <v>5</v>
      </c>
      <c r="M40" s="41">
        <f t="shared" si="19"/>
        <v>0</v>
      </c>
      <c r="N40" s="41"/>
      <c r="O40" s="41"/>
      <c r="P40" s="41">
        <f t="shared" si="20"/>
        <v>0</v>
      </c>
      <c r="Q40" s="41"/>
      <c r="R40" s="41"/>
      <c r="S40" s="41">
        <v>0</v>
      </c>
      <c r="T40" s="41">
        <v>5</v>
      </c>
      <c r="U40" s="41">
        <v>5</v>
      </c>
      <c r="V40" s="41">
        <f t="shared" si="21"/>
        <v>0</v>
      </c>
      <c r="Y40" s="41">
        <f t="shared" si="22"/>
        <v>0</v>
      </c>
      <c r="AC40" s="41">
        <v>5</v>
      </c>
      <c r="AD40" s="41">
        <v>5</v>
      </c>
      <c r="AE40" s="41">
        <f t="shared" si="23"/>
        <v>0</v>
      </c>
      <c r="AF40" s="28">
        <f t="shared" si="8"/>
        <v>0</v>
      </c>
      <c r="AG40" s="28">
        <f t="shared" si="9"/>
        <v>0</v>
      </c>
    </row>
    <row r="41" spans="1:33" ht="57.6" x14ac:dyDescent="0.3">
      <c r="A41" s="41" t="s">
        <v>836</v>
      </c>
      <c r="B41" s="41" t="s">
        <v>1721</v>
      </c>
      <c r="C41" s="41" t="s">
        <v>1100</v>
      </c>
      <c r="D41" s="41" t="s">
        <v>1101</v>
      </c>
      <c r="E41" s="41" t="s">
        <v>1026</v>
      </c>
      <c r="F41" s="41" t="s">
        <v>709</v>
      </c>
      <c r="G41" s="41">
        <v>35000</v>
      </c>
      <c r="H41" s="41"/>
      <c r="I41" s="41"/>
      <c r="J41" s="41">
        <f t="shared" si="18"/>
        <v>0</v>
      </c>
      <c r="K41" s="41">
        <v>30</v>
      </c>
      <c r="L41" s="41">
        <v>1</v>
      </c>
      <c r="M41" s="41">
        <f t="shared" si="19"/>
        <v>1155000</v>
      </c>
      <c r="N41" s="41"/>
      <c r="O41" s="41"/>
      <c r="P41" s="41">
        <f t="shared" si="20"/>
        <v>0</v>
      </c>
      <c r="Q41" s="41"/>
      <c r="R41" s="41"/>
      <c r="S41" s="41">
        <v>280000</v>
      </c>
      <c r="T41" s="41">
        <v>30</v>
      </c>
      <c r="U41" s="41">
        <v>1</v>
      </c>
      <c r="V41" s="41">
        <f t="shared" si="21"/>
        <v>1537305.0000000005</v>
      </c>
      <c r="Y41" s="41">
        <f t="shared" si="22"/>
        <v>0</v>
      </c>
      <c r="AC41" s="41">
        <v>30</v>
      </c>
      <c r="AD41" s="41">
        <v>1</v>
      </c>
      <c r="AE41" s="41">
        <f t="shared" si="23"/>
        <v>2046152.955000001</v>
      </c>
      <c r="AF41" s="28">
        <f t="shared" si="8"/>
        <v>5018457.9550000019</v>
      </c>
      <c r="AG41" s="28">
        <f t="shared" si="9"/>
        <v>4872.2892766990308</v>
      </c>
    </row>
    <row r="42" spans="1:33" ht="57.6" x14ac:dyDescent="0.3">
      <c r="A42" s="41" t="s">
        <v>836</v>
      </c>
      <c r="B42" s="41" t="s">
        <v>1721</v>
      </c>
      <c r="C42" s="41" t="s">
        <v>1100</v>
      </c>
      <c r="D42" s="41" t="s">
        <v>1101</v>
      </c>
      <c r="E42" s="41" t="s">
        <v>1026</v>
      </c>
      <c r="F42" s="41" t="s">
        <v>1297</v>
      </c>
      <c r="G42" s="41">
        <v>8000</v>
      </c>
      <c r="H42" s="41"/>
      <c r="I42" s="41"/>
      <c r="J42" s="41">
        <f t="shared" si="18"/>
        <v>0</v>
      </c>
      <c r="K42" s="41">
        <v>30</v>
      </c>
      <c r="L42" s="41">
        <v>1</v>
      </c>
      <c r="M42" s="41">
        <f t="shared" si="19"/>
        <v>264000</v>
      </c>
      <c r="N42" s="41"/>
      <c r="O42" s="41"/>
      <c r="P42" s="41">
        <f t="shared" si="20"/>
        <v>0</v>
      </c>
      <c r="Q42" s="41"/>
      <c r="R42" s="41"/>
      <c r="S42" s="41">
        <v>5250</v>
      </c>
      <c r="T42" s="41">
        <v>30</v>
      </c>
      <c r="U42" s="41">
        <v>1</v>
      </c>
      <c r="V42" s="41">
        <f t="shared" si="21"/>
        <v>351384.00000000012</v>
      </c>
      <c r="Y42" s="41">
        <f t="shared" si="22"/>
        <v>0</v>
      </c>
      <c r="AC42" s="41">
        <v>30</v>
      </c>
      <c r="AD42" s="41">
        <v>1</v>
      </c>
      <c r="AE42" s="41">
        <f t="shared" si="23"/>
        <v>467692.10400000028</v>
      </c>
      <c r="AF42" s="28">
        <f t="shared" si="8"/>
        <v>1088326.1040000003</v>
      </c>
      <c r="AG42" s="28">
        <f t="shared" si="9"/>
        <v>1056.6272854368935</v>
      </c>
    </row>
    <row r="43" spans="1:33" ht="57.6" x14ac:dyDescent="0.3">
      <c r="A43" s="41" t="s">
        <v>836</v>
      </c>
      <c r="B43" s="41" t="s">
        <v>1721</v>
      </c>
      <c r="C43" s="41" t="s">
        <v>1100</v>
      </c>
      <c r="D43" s="41" t="s">
        <v>1101</v>
      </c>
      <c r="E43" s="41" t="s">
        <v>1026</v>
      </c>
      <c r="F43" s="41" t="s">
        <v>710</v>
      </c>
      <c r="G43" s="41">
        <v>104850</v>
      </c>
      <c r="H43" s="41"/>
      <c r="I43" s="41"/>
      <c r="J43" s="41">
        <f t="shared" si="18"/>
        <v>0</v>
      </c>
      <c r="K43" s="41">
        <v>1</v>
      </c>
      <c r="L43" s="41">
        <v>1</v>
      </c>
      <c r="M43" s="41">
        <f t="shared" si="19"/>
        <v>115335.00000000001</v>
      </c>
      <c r="N43" s="41"/>
      <c r="O43" s="41"/>
      <c r="P43" s="41">
        <f t="shared" si="20"/>
        <v>0</v>
      </c>
      <c r="Q43" s="41"/>
      <c r="R43" s="41"/>
      <c r="S43" s="41">
        <v>524250000</v>
      </c>
      <c r="T43" s="41">
        <v>1</v>
      </c>
      <c r="U43" s="41">
        <v>1</v>
      </c>
      <c r="V43" s="41">
        <f t="shared" si="21"/>
        <v>153510.88500000004</v>
      </c>
      <c r="Y43" s="41">
        <f t="shared" si="22"/>
        <v>0</v>
      </c>
      <c r="AC43" s="41">
        <v>1</v>
      </c>
      <c r="AD43" s="41">
        <v>1</v>
      </c>
      <c r="AE43" s="41">
        <f t="shared" si="23"/>
        <v>204322.98793500013</v>
      </c>
      <c r="AF43" s="28">
        <f t="shared" si="8"/>
        <v>524723168.872935</v>
      </c>
      <c r="AG43" s="28">
        <f t="shared" si="9"/>
        <v>509439.96977954853</v>
      </c>
    </row>
    <row r="44" spans="1:33" ht="57.6" x14ac:dyDescent="0.3">
      <c r="A44" s="41" t="s">
        <v>836</v>
      </c>
      <c r="B44" s="41" t="s">
        <v>1721</v>
      </c>
      <c r="C44" s="41" t="s">
        <v>1100</v>
      </c>
      <c r="D44" s="41" t="s">
        <v>1101</v>
      </c>
      <c r="E44" s="41" t="s">
        <v>163</v>
      </c>
      <c r="F44" s="41" t="s">
        <v>713</v>
      </c>
      <c r="G44" s="41">
        <v>45000</v>
      </c>
      <c r="H44" s="41"/>
      <c r="I44" s="41"/>
      <c r="J44" s="41">
        <f t="shared" si="18"/>
        <v>0</v>
      </c>
      <c r="K44" s="41">
        <v>30</v>
      </c>
      <c r="L44" s="41">
        <v>1</v>
      </c>
      <c r="M44" s="41">
        <f t="shared" si="19"/>
        <v>1485000.0000000002</v>
      </c>
      <c r="N44" s="41"/>
      <c r="O44" s="41"/>
      <c r="P44" s="41">
        <f t="shared" si="20"/>
        <v>0</v>
      </c>
      <c r="Q44" s="41"/>
      <c r="R44" s="41"/>
      <c r="S44" s="41">
        <v>45000</v>
      </c>
      <c r="T44" s="41">
        <v>30</v>
      </c>
      <c r="U44" s="41">
        <v>1</v>
      </c>
      <c r="V44" s="41">
        <f t="shared" si="21"/>
        <v>1976535.0000000005</v>
      </c>
      <c r="Y44" s="41">
        <f t="shared" si="22"/>
        <v>0</v>
      </c>
      <c r="AC44" s="41">
        <v>30</v>
      </c>
      <c r="AD44" s="41">
        <v>1</v>
      </c>
      <c r="AE44" s="41">
        <f t="shared" si="23"/>
        <v>2630768.0850000018</v>
      </c>
      <c r="AF44" s="28">
        <f t="shared" si="8"/>
        <v>6137303.0850000028</v>
      </c>
      <c r="AG44" s="28">
        <f t="shared" si="9"/>
        <v>5958.5466844660223</v>
      </c>
    </row>
    <row r="45" spans="1:33" ht="57.6" x14ac:dyDescent="0.3">
      <c r="A45" s="41" t="s">
        <v>836</v>
      </c>
      <c r="B45" s="41" t="s">
        <v>1721</v>
      </c>
      <c r="C45" s="41" t="s">
        <v>1100</v>
      </c>
      <c r="D45" s="41" t="s">
        <v>1101</v>
      </c>
      <c r="E45" s="41" t="s">
        <v>163</v>
      </c>
      <c r="F45" s="41" t="s">
        <v>712</v>
      </c>
      <c r="G45" s="41">
        <f>1999.2/7</f>
        <v>285.60000000000002</v>
      </c>
      <c r="H45" s="41"/>
      <c r="I45" s="41"/>
      <c r="J45" s="41">
        <f t="shared" si="18"/>
        <v>0</v>
      </c>
      <c r="K45" s="41">
        <f>2*25*9</f>
        <v>450</v>
      </c>
      <c r="L45" s="41">
        <v>1</v>
      </c>
      <c r="M45" s="41">
        <f t="shared" si="19"/>
        <v>141372</v>
      </c>
      <c r="N45" s="41"/>
      <c r="O45" s="41"/>
      <c r="P45" s="41">
        <f t="shared" si="20"/>
        <v>0</v>
      </c>
      <c r="Q45" s="41"/>
      <c r="R45" s="41"/>
      <c r="S45" s="41">
        <v>5357.25</v>
      </c>
      <c r="T45" s="41">
        <f>2*25*9</f>
        <v>450</v>
      </c>
      <c r="U45" s="41">
        <v>1</v>
      </c>
      <c r="V45" s="41">
        <f t="shared" si="21"/>
        <v>188166.13200000007</v>
      </c>
      <c r="Y45" s="41">
        <f t="shared" si="22"/>
        <v>0</v>
      </c>
      <c r="AC45" s="41">
        <f>2*25*9</f>
        <v>450</v>
      </c>
      <c r="AD45" s="41">
        <v>1</v>
      </c>
      <c r="AE45" s="41">
        <f t="shared" si="23"/>
        <v>250449.12169200019</v>
      </c>
      <c r="AF45" s="28">
        <f t="shared" si="8"/>
        <v>585344.50369200029</v>
      </c>
      <c r="AG45" s="28">
        <f t="shared" si="9"/>
        <v>568.29563465242745</v>
      </c>
    </row>
    <row r="46" spans="1:33" ht="57.6" x14ac:dyDescent="0.3">
      <c r="A46" s="41" t="s">
        <v>836</v>
      </c>
      <c r="B46" s="41" t="s">
        <v>1721</v>
      </c>
      <c r="C46" s="41" t="s">
        <v>1100</v>
      </c>
      <c r="D46" s="41" t="s">
        <v>1101</v>
      </c>
      <c r="E46" s="41" t="s">
        <v>163</v>
      </c>
      <c r="F46" s="41" t="s">
        <v>1320</v>
      </c>
      <c r="G46" s="41">
        <f>1999.2/7</f>
        <v>285.60000000000002</v>
      </c>
      <c r="H46" s="41"/>
      <c r="I46" s="41"/>
      <c r="J46" s="41">
        <f t="shared" si="18"/>
        <v>0</v>
      </c>
      <c r="K46" s="41">
        <f>2*135*9</f>
        <v>2430</v>
      </c>
      <c r="L46" s="41">
        <v>1</v>
      </c>
      <c r="M46" s="41">
        <f t="shared" si="19"/>
        <v>763408.8</v>
      </c>
      <c r="N46" s="41"/>
      <c r="O46" s="41"/>
      <c r="P46" s="41">
        <f t="shared" si="20"/>
        <v>0</v>
      </c>
      <c r="Q46" s="41"/>
      <c r="R46" s="41"/>
      <c r="S46" s="41"/>
      <c r="T46" s="41">
        <f>2*135*9</f>
        <v>2430</v>
      </c>
      <c r="U46" s="41">
        <v>1</v>
      </c>
      <c r="V46" s="41">
        <f t="shared" si="21"/>
        <v>1016097.1128000004</v>
      </c>
      <c r="Y46" s="41">
        <f t="shared" si="22"/>
        <v>0</v>
      </c>
      <c r="AC46" s="41">
        <f>2*135*9</f>
        <v>2430</v>
      </c>
      <c r="AD46" s="41">
        <v>1</v>
      </c>
      <c r="AE46" s="41">
        <f t="shared" si="23"/>
        <v>1352425.257136801</v>
      </c>
      <c r="AF46" s="28">
        <f t="shared" si="8"/>
        <v>3131931.1699368013</v>
      </c>
      <c r="AG46" s="28">
        <f t="shared" si="9"/>
        <v>3040.7098737250499</v>
      </c>
    </row>
    <row r="47" spans="1:33" ht="57.6" x14ac:dyDescent="0.3">
      <c r="A47" s="41" t="s">
        <v>836</v>
      </c>
      <c r="B47" s="41" t="s">
        <v>1721</v>
      </c>
      <c r="C47" s="41" t="s">
        <v>1100</v>
      </c>
      <c r="D47" s="41" t="s">
        <v>1101</v>
      </c>
      <c r="E47" s="41" t="s">
        <v>1027</v>
      </c>
      <c r="F47" s="41" t="s">
        <v>709</v>
      </c>
      <c r="G47" s="41">
        <v>35000</v>
      </c>
      <c r="H47" s="41"/>
      <c r="I47" s="41"/>
      <c r="J47" s="41">
        <f t="shared" si="18"/>
        <v>0</v>
      </c>
      <c r="K47" s="41">
        <v>30</v>
      </c>
      <c r="L47" s="41">
        <v>1</v>
      </c>
      <c r="M47" s="41">
        <f t="shared" si="19"/>
        <v>1155000</v>
      </c>
      <c r="N47" s="41"/>
      <c r="O47" s="41"/>
      <c r="P47" s="41">
        <f t="shared" si="20"/>
        <v>0</v>
      </c>
      <c r="Q47" s="41"/>
      <c r="R47" s="41"/>
      <c r="S47" s="41">
        <v>112000000</v>
      </c>
      <c r="T47" s="41">
        <v>30</v>
      </c>
      <c r="U47" s="41">
        <v>1</v>
      </c>
      <c r="V47" s="41">
        <f t="shared" si="21"/>
        <v>1537305.0000000005</v>
      </c>
      <c r="Y47" s="41">
        <f t="shared" si="22"/>
        <v>0</v>
      </c>
      <c r="AC47" s="41">
        <v>30</v>
      </c>
      <c r="AD47" s="41">
        <v>1</v>
      </c>
      <c r="AE47" s="41">
        <f t="shared" si="23"/>
        <v>2046152.955000001</v>
      </c>
      <c r="AF47" s="28">
        <f t="shared" si="8"/>
        <v>116738457.955</v>
      </c>
      <c r="AG47" s="28">
        <f t="shared" si="9"/>
        <v>113338.30869417476</v>
      </c>
    </row>
    <row r="48" spans="1:33" ht="57.6" x14ac:dyDescent="0.3">
      <c r="A48" s="41" t="s">
        <v>836</v>
      </c>
      <c r="B48" s="41" t="s">
        <v>1721</v>
      </c>
      <c r="C48" s="41" t="s">
        <v>1100</v>
      </c>
      <c r="D48" s="41" t="s">
        <v>1101</v>
      </c>
      <c r="E48" s="41" t="s">
        <v>157</v>
      </c>
      <c r="F48" s="41" t="s">
        <v>713</v>
      </c>
      <c r="G48" s="41">
        <v>45000</v>
      </c>
      <c r="H48" s="41"/>
      <c r="I48" s="41"/>
      <c r="J48" s="41">
        <f t="shared" si="18"/>
        <v>0</v>
      </c>
      <c r="K48" s="41">
        <v>30</v>
      </c>
      <c r="L48" s="41">
        <v>5</v>
      </c>
      <c r="M48" s="41">
        <f t="shared" si="19"/>
        <v>7425000.0000000009</v>
      </c>
      <c r="N48" s="41"/>
      <c r="O48" s="41"/>
      <c r="P48" s="41">
        <f t="shared" si="20"/>
        <v>0</v>
      </c>
      <c r="Q48" s="41"/>
      <c r="R48" s="41"/>
      <c r="S48" s="41">
        <v>1350000</v>
      </c>
      <c r="T48" s="41">
        <v>30</v>
      </c>
      <c r="U48" s="41">
        <v>5</v>
      </c>
      <c r="V48" s="41">
        <f t="shared" si="21"/>
        <v>9882675.0000000019</v>
      </c>
      <c r="Y48" s="41">
        <f t="shared" si="22"/>
        <v>0</v>
      </c>
      <c r="AC48" s="41">
        <v>30</v>
      </c>
      <c r="AD48" s="41">
        <v>5</v>
      </c>
      <c r="AE48" s="41">
        <f t="shared" si="23"/>
        <v>13153840.425000008</v>
      </c>
      <c r="AF48" s="28">
        <f t="shared" si="8"/>
        <v>31811515.425000008</v>
      </c>
      <c r="AG48" s="28">
        <f t="shared" si="9"/>
        <v>30884.966432038844</v>
      </c>
    </row>
    <row r="49" spans="1:33" ht="57.6" x14ac:dyDescent="0.3">
      <c r="A49" s="41" t="s">
        <v>836</v>
      </c>
      <c r="B49" s="41" t="s">
        <v>1721</v>
      </c>
      <c r="C49" s="41" t="s">
        <v>1100</v>
      </c>
      <c r="D49" s="41" t="s">
        <v>1101</v>
      </c>
      <c r="E49" s="41" t="s">
        <v>157</v>
      </c>
      <c r="F49" s="41" t="s">
        <v>712</v>
      </c>
      <c r="G49" s="41">
        <f>1999.2/7</f>
        <v>285.60000000000002</v>
      </c>
      <c r="H49" s="41"/>
      <c r="I49" s="41"/>
      <c r="J49" s="41">
        <f t="shared" si="18"/>
        <v>0</v>
      </c>
      <c r="K49" s="41">
        <f>2*25*9</f>
        <v>450</v>
      </c>
      <c r="L49" s="41">
        <v>5</v>
      </c>
      <c r="M49" s="41">
        <f t="shared" si="19"/>
        <v>706860</v>
      </c>
      <c r="N49" s="41"/>
      <c r="O49" s="41"/>
      <c r="P49" s="41">
        <f t="shared" si="20"/>
        <v>0</v>
      </c>
      <c r="Q49" s="41"/>
      <c r="R49" s="41"/>
      <c r="S49" s="41">
        <v>53572.5</v>
      </c>
      <c r="T49" s="41">
        <f>2*25*9</f>
        <v>450</v>
      </c>
      <c r="U49" s="41">
        <v>5</v>
      </c>
      <c r="V49" s="41">
        <f t="shared" si="21"/>
        <v>940830.66000000038</v>
      </c>
      <c r="Y49" s="41">
        <f t="shared" si="22"/>
        <v>0</v>
      </c>
      <c r="AC49" s="41">
        <f>2*25*9</f>
        <v>450</v>
      </c>
      <c r="AD49" s="41">
        <v>5</v>
      </c>
      <c r="AE49" s="41">
        <f t="shared" si="23"/>
        <v>1252245.6084600009</v>
      </c>
      <c r="AF49" s="28">
        <f t="shared" si="8"/>
        <v>2953508.7684600013</v>
      </c>
      <c r="AG49" s="28">
        <f t="shared" si="9"/>
        <v>2867.4842412233024</v>
      </c>
    </row>
    <row r="50" spans="1:33" ht="57.6" x14ac:dyDescent="0.3">
      <c r="A50" s="41" t="s">
        <v>836</v>
      </c>
      <c r="B50" s="41" t="s">
        <v>1721</v>
      </c>
      <c r="C50" s="41" t="s">
        <v>1100</v>
      </c>
      <c r="D50" s="41" t="s">
        <v>1101</v>
      </c>
      <c r="E50" s="41" t="s">
        <v>157</v>
      </c>
      <c r="F50" s="41" t="s">
        <v>1320</v>
      </c>
      <c r="G50" s="41">
        <f>1999.2/7</f>
        <v>285.60000000000002</v>
      </c>
      <c r="H50" s="41"/>
      <c r="I50" s="41"/>
      <c r="J50" s="41">
        <f t="shared" si="18"/>
        <v>0</v>
      </c>
      <c r="K50" s="41">
        <f>2*135*9</f>
        <v>2430</v>
      </c>
      <c r="L50" s="41">
        <v>1</v>
      </c>
      <c r="M50" s="41">
        <f t="shared" si="19"/>
        <v>763408.8</v>
      </c>
      <c r="N50" s="41"/>
      <c r="O50" s="41"/>
      <c r="P50" s="41">
        <f t="shared" si="20"/>
        <v>0</v>
      </c>
      <c r="Q50" s="41"/>
      <c r="R50" s="41"/>
      <c r="S50" s="41"/>
      <c r="T50" s="41">
        <f>2*135*9</f>
        <v>2430</v>
      </c>
      <c r="U50" s="41">
        <v>1</v>
      </c>
      <c r="V50" s="41">
        <f t="shared" si="21"/>
        <v>1016097.1128000004</v>
      </c>
      <c r="Y50" s="41">
        <f t="shared" si="22"/>
        <v>0</v>
      </c>
      <c r="AC50" s="41">
        <f>2*135*9</f>
        <v>2430</v>
      </c>
      <c r="AD50" s="41">
        <v>1</v>
      </c>
      <c r="AE50" s="41">
        <f t="shared" si="23"/>
        <v>1352425.257136801</v>
      </c>
      <c r="AF50" s="28">
        <f t="shared" si="8"/>
        <v>3131931.1699368013</v>
      </c>
      <c r="AG50" s="28">
        <f t="shared" si="9"/>
        <v>3040.7098737250499</v>
      </c>
    </row>
    <row r="51" spans="1:33" ht="57.6" x14ac:dyDescent="0.3">
      <c r="A51" s="41" t="s">
        <v>836</v>
      </c>
      <c r="B51" s="41" t="s">
        <v>1721</v>
      </c>
      <c r="C51" s="41" t="s">
        <v>1100</v>
      </c>
      <c r="D51" s="41" t="s">
        <v>1101</v>
      </c>
      <c r="E51" s="41" t="s">
        <v>157</v>
      </c>
      <c r="F51" s="41" t="s">
        <v>1041</v>
      </c>
      <c r="G51" s="41">
        <v>10000</v>
      </c>
      <c r="H51" s="41"/>
      <c r="I51" s="41"/>
      <c r="J51" s="41">
        <f t="shared" si="18"/>
        <v>0</v>
      </c>
      <c r="K51" s="41">
        <v>15</v>
      </c>
      <c r="L51" s="41">
        <v>1</v>
      </c>
      <c r="M51" s="41">
        <f t="shared" si="19"/>
        <v>165000</v>
      </c>
      <c r="N51" s="41"/>
      <c r="O51" s="41"/>
      <c r="P51" s="41">
        <f t="shared" si="20"/>
        <v>0</v>
      </c>
      <c r="Q51" s="41"/>
      <c r="R51" s="41"/>
      <c r="S51" s="41">
        <v>200000000</v>
      </c>
      <c r="T51" s="41">
        <v>15</v>
      </c>
      <c r="U51" s="41">
        <v>1</v>
      </c>
      <c r="V51" s="41">
        <f t="shared" si="21"/>
        <v>219615.00000000006</v>
      </c>
      <c r="Y51" s="41">
        <f t="shared" si="22"/>
        <v>0</v>
      </c>
      <c r="AC51" s="41">
        <v>15</v>
      </c>
      <c r="AD51" s="41">
        <v>1</v>
      </c>
      <c r="AE51" s="41">
        <f t="shared" si="23"/>
        <v>292307.56500000018</v>
      </c>
      <c r="AF51" s="28">
        <f t="shared" si="8"/>
        <v>200676922.565</v>
      </c>
      <c r="AG51" s="28">
        <f t="shared" si="9"/>
        <v>194831.96365533982</v>
      </c>
    </row>
    <row r="52" spans="1:33" ht="57.6" x14ac:dyDescent="0.3">
      <c r="A52" s="41" t="s">
        <v>836</v>
      </c>
      <c r="B52" s="41" t="s">
        <v>1721</v>
      </c>
      <c r="C52" s="41" t="s">
        <v>1100</v>
      </c>
      <c r="D52" s="41" t="s">
        <v>1101</v>
      </c>
      <c r="E52" s="41" t="s">
        <v>1004</v>
      </c>
      <c r="F52" s="41" t="s">
        <v>709</v>
      </c>
      <c r="G52" s="41">
        <v>35000</v>
      </c>
      <c r="H52" s="41"/>
      <c r="I52" s="41"/>
      <c r="J52" s="41">
        <f t="shared" si="18"/>
        <v>0</v>
      </c>
      <c r="K52" s="41">
        <v>30</v>
      </c>
      <c r="L52" s="41">
        <v>5</v>
      </c>
      <c r="M52" s="41">
        <f t="shared" si="19"/>
        <v>5775000</v>
      </c>
      <c r="N52" s="41"/>
      <c r="O52" s="41"/>
      <c r="P52" s="41">
        <f t="shared" si="20"/>
        <v>0</v>
      </c>
      <c r="Q52" s="41"/>
      <c r="R52" s="41"/>
      <c r="S52" s="41">
        <v>420000</v>
      </c>
      <c r="T52" s="41">
        <v>30</v>
      </c>
      <c r="U52" s="41">
        <v>5</v>
      </c>
      <c r="V52" s="41">
        <f t="shared" si="21"/>
        <v>7686525.0000000019</v>
      </c>
      <c r="Y52" s="41">
        <f t="shared" si="22"/>
        <v>0</v>
      </c>
      <c r="AC52" s="41">
        <v>30</v>
      </c>
      <c r="AD52" s="41">
        <v>5</v>
      </c>
      <c r="AE52" s="41">
        <f t="shared" si="23"/>
        <v>10230764.775000006</v>
      </c>
      <c r="AF52" s="28">
        <f t="shared" si="8"/>
        <v>24112289.775000006</v>
      </c>
      <c r="AG52" s="28">
        <f t="shared" si="9"/>
        <v>23409.990072815541</v>
      </c>
    </row>
    <row r="53" spans="1:33" ht="57.6" x14ac:dyDescent="0.3">
      <c r="A53" s="41" t="s">
        <v>836</v>
      </c>
      <c r="B53" s="41" t="s">
        <v>1721</v>
      </c>
      <c r="C53" s="41" t="s">
        <v>1100</v>
      </c>
      <c r="D53" s="41" t="s">
        <v>1101</v>
      </c>
      <c r="E53" s="41" t="s">
        <v>1004</v>
      </c>
      <c r="F53" s="41" t="s">
        <v>716</v>
      </c>
      <c r="G53" s="41">
        <v>39000</v>
      </c>
      <c r="H53" s="41"/>
      <c r="I53" s="41"/>
      <c r="J53" s="41">
        <f t="shared" si="18"/>
        <v>0</v>
      </c>
      <c r="K53" s="41">
        <v>30</v>
      </c>
      <c r="L53" s="41">
        <v>5</v>
      </c>
      <c r="M53" s="41">
        <f t="shared" si="19"/>
        <v>6435000</v>
      </c>
      <c r="N53" s="41"/>
      <c r="O53" s="41"/>
      <c r="P53" s="41">
        <f t="shared" si="20"/>
        <v>0</v>
      </c>
      <c r="Q53" s="41"/>
      <c r="R53" s="41"/>
      <c r="S53" s="41">
        <v>4875000</v>
      </c>
      <c r="T53" s="41">
        <v>30</v>
      </c>
      <c r="U53" s="41">
        <v>5</v>
      </c>
      <c r="V53" s="41">
        <f t="shared" si="21"/>
        <v>8564985.0000000019</v>
      </c>
      <c r="Y53" s="41">
        <f t="shared" si="22"/>
        <v>0</v>
      </c>
      <c r="AC53" s="41">
        <v>30</v>
      </c>
      <c r="AD53" s="41">
        <v>5</v>
      </c>
      <c r="AE53" s="41">
        <f t="shared" si="23"/>
        <v>11399995.035000006</v>
      </c>
      <c r="AF53" s="28">
        <f t="shared" si="8"/>
        <v>31274980.035000004</v>
      </c>
      <c r="AG53" s="28">
        <f t="shared" si="9"/>
        <v>30364.05828640777</v>
      </c>
    </row>
    <row r="54" spans="1:33" ht="57.6" x14ac:dyDescent="0.3">
      <c r="A54" s="41" t="s">
        <v>836</v>
      </c>
      <c r="B54" s="41" t="s">
        <v>1721</v>
      </c>
      <c r="C54" s="41" t="s">
        <v>1100</v>
      </c>
      <c r="D54" s="41" t="s">
        <v>1101</v>
      </c>
      <c r="E54" s="41" t="s">
        <v>1004</v>
      </c>
      <c r="F54" s="41" t="s">
        <v>712</v>
      </c>
      <c r="G54" s="41">
        <f>1999.2/7</f>
        <v>285.60000000000002</v>
      </c>
      <c r="H54" s="41"/>
      <c r="I54" s="41"/>
      <c r="J54" s="41">
        <f t="shared" si="18"/>
        <v>0</v>
      </c>
      <c r="K54" s="41">
        <f>2*25*9</f>
        <v>450</v>
      </c>
      <c r="L54" s="41">
        <v>5</v>
      </c>
      <c r="M54" s="41">
        <f t="shared" si="19"/>
        <v>706860</v>
      </c>
      <c r="N54" s="41"/>
      <c r="O54" s="41"/>
      <c r="P54" s="41">
        <f t="shared" si="20"/>
        <v>0</v>
      </c>
      <c r="Q54" s="41"/>
      <c r="R54" s="41"/>
      <c r="S54" s="41">
        <v>26786.25</v>
      </c>
      <c r="T54" s="41">
        <f>2*25*9</f>
        <v>450</v>
      </c>
      <c r="U54" s="41">
        <v>5</v>
      </c>
      <c r="V54" s="41">
        <f t="shared" si="21"/>
        <v>940830.66000000038</v>
      </c>
      <c r="Y54" s="41">
        <f t="shared" si="22"/>
        <v>0</v>
      </c>
      <c r="AC54" s="41">
        <f>2*25*9</f>
        <v>450</v>
      </c>
      <c r="AD54" s="41">
        <v>5</v>
      </c>
      <c r="AE54" s="41">
        <f t="shared" si="23"/>
        <v>1252245.6084600009</v>
      </c>
      <c r="AF54" s="28">
        <f t="shared" si="8"/>
        <v>2926722.5184600013</v>
      </c>
      <c r="AG54" s="28">
        <f t="shared" si="9"/>
        <v>2841.4781732621373</v>
      </c>
    </row>
    <row r="55" spans="1:33" ht="57.6" x14ac:dyDescent="0.3">
      <c r="A55" s="41" t="s">
        <v>836</v>
      </c>
      <c r="B55" s="41" t="s">
        <v>1721</v>
      </c>
      <c r="C55" s="41" t="s">
        <v>1100</v>
      </c>
      <c r="D55" s="41" t="s">
        <v>1101</v>
      </c>
      <c r="E55" s="41" t="s">
        <v>1004</v>
      </c>
      <c r="F55" s="41" t="s">
        <v>1320</v>
      </c>
      <c r="G55" s="41">
        <f>1999.2/7</f>
        <v>285.60000000000002</v>
      </c>
      <c r="H55" s="41"/>
      <c r="I55" s="41"/>
      <c r="J55" s="41">
        <f t="shared" si="18"/>
        <v>0</v>
      </c>
      <c r="K55" s="41">
        <f>2*135*9</f>
        <v>2430</v>
      </c>
      <c r="L55" s="41">
        <v>1</v>
      </c>
      <c r="M55" s="41">
        <f t="shared" si="19"/>
        <v>763408.8</v>
      </c>
      <c r="N55" s="41"/>
      <c r="O55" s="41"/>
      <c r="P55" s="41">
        <f t="shared" si="20"/>
        <v>0</v>
      </c>
      <c r="Q55" s="41"/>
      <c r="R55" s="41"/>
      <c r="S55" s="41"/>
      <c r="T55" s="41">
        <f>2*135*9</f>
        <v>2430</v>
      </c>
      <c r="U55" s="41">
        <v>1</v>
      </c>
      <c r="V55" s="41">
        <f t="shared" si="21"/>
        <v>1016097.1128000004</v>
      </c>
      <c r="Y55" s="41">
        <f t="shared" si="22"/>
        <v>0</v>
      </c>
      <c r="AC55" s="41">
        <f>2*135*9</f>
        <v>2430</v>
      </c>
      <c r="AD55" s="41">
        <v>1</v>
      </c>
      <c r="AE55" s="41">
        <f t="shared" si="23"/>
        <v>1352425.257136801</v>
      </c>
      <c r="AF55" s="28">
        <f t="shared" si="8"/>
        <v>3131931.1699368013</v>
      </c>
      <c r="AG55" s="28">
        <f t="shared" si="9"/>
        <v>3040.7098737250499</v>
      </c>
    </row>
    <row r="56" spans="1:33" ht="57.6" x14ac:dyDescent="0.3">
      <c r="A56" s="41" t="s">
        <v>836</v>
      </c>
      <c r="B56" s="41" t="s">
        <v>1721</v>
      </c>
      <c r="C56" s="41" t="s">
        <v>1100</v>
      </c>
      <c r="D56" s="41" t="s">
        <v>1101</v>
      </c>
      <c r="E56" s="41" t="s">
        <v>1104</v>
      </c>
      <c r="F56" s="41" t="s">
        <v>841</v>
      </c>
      <c r="G56" s="41">
        <v>0</v>
      </c>
      <c r="H56" s="41"/>
      <c r="I56" s="41"/>
      <c r="J56" s="41">
        <f t="shared" si="18"/>
        <v>0</v>
      </c>
      <c r="K56" s="41">
        <v>15</v>
      </c>
      <c r="L56" s="41">
        <v>1</v>
      </c>
      <c r="M56" s="41">
        <f t="shared" si="19"/>
        <v>0</v>
      </c>
      <c r="N56" s="41"/>
      <c r="O56" s="41"/>
      <c r="P56" s="41">
        <f t="shared" si="20"/>
        <v>0</v>
      </c>
      <c r="Q56" s="41"/>
      <c r="R56" s="41"/>
      <c r="S56" s="41">
        <v>0</v>
      </c>
      <c r="T56" s="41">
        <v>15</v>
      </c>
      <c r="U56" s="41">
        <v>1</v>
      </c>
      <c r="V56" s="41">
        <f t="shared" si="21"/>
        <v>0</v>
      </c>
      <c r="Y56" s="41">
        <f t="shared" si="22"/>
        <v>0</v>
      </c>
      <c r="AC56" s="41">
        <v>15</v>
      </c>
      <c r="AD56" s="41">
        <v>1</v>
      </c>
      <c r="AE56" s="41">
        <f t="shared" si="23"/>
        <v>0</v>
      </c>
      <c r="AF56" s="28">
        <f t="shared" si="8"/>
        <v>0</v>
      </c>
      <c r="AG56" s="28">
        <f t="shared" si="9"/>
        <v>0</v>
      </c>
    </row>
    <row r="57" spans="1:33" ht="57.6" x14ac:dyDescent="0.3">
      <c r="A57" s="41" t="s">
        <v>836</v>
      </c>
      <c r="B57" s="41" t="s">
        <v>1721</v>
      </c>
      <c r="C57" s="41" t="s">
        <v>1100</v>
      </c>
      <c r="D57" s="41" t="s">
        <v>1101</v>
      </c>
      <c r="E57" s="41" t="s">
        <v>168</v>
      </c>
      <c r="F57" s="41" t="s">
        <v>716</v>
      </c>
      <c r="G57" s="41">
        <v>39000</v>
      </c>
      <c r="H57" s="41"/>
      <c r="I57" s="41"/>
      <c r="J57" s="41">
        <f t="shared" si="18"/>
        <v>0</v>
      </c>
      <c r="K57" s="41">
        <v>58</v>
      </c>
      <c r="L57" s="41">
        <v>5</v>
      </c>
      <c r="M57" s="41">
        <f t="shared" si="19"/>
        <v>12441000</v>
      </c>
      <c r="N57" s="41"/>
      <c r="O57" s="41"/>
      <c r="P57" s="41">
        <f t="shared" si="20"/>
        <v>0</v>
      </c>
      <c r="Q57" s="41"/>
      <c r="R57" s="41"/>
      <c r="S57" s="41">
        <v>0</v>
      </c>
      <c r="T57" s="41">
        <v>58</v>
      </c>
      <c r="U57" s="41">
        <v>5</v>
      </c>
      <c r="V57" s="41">
        <f t="shared" si="21"/>
        <v>16558971.000000006</v>
      </c>
      <c r="Y57" s="41">
        <f t="shared" si="22"/>
        <v>0</v>
      </c>
      <c r="AC57" s="41">
        <v>58</v>
      </c>
      <c r="AD57" s="41">
        <v>5</v>
      </c>
      <c r="AE57" s="41">
        <f t="shared" si="23"/>
        <v>22039990.401000012</v>
      </c>
      <c r="AF57" s="28">
        <f t="shared" si="8"/>
        <v>51039961.401000023</v>
      </c>
      <c r="AG57" s="28">
        <f t="shared" si="9"/>
        <v>49553.360583495167</v>
      </c>
    </row>
    <row r="58" spans="1:33" ht="57.6" x14ac:dyDescent="0.3">
      <c r="A58" s="41" t="s">
        <v>836</v>
      </c>
      <c r="B58" s="41" t="s">
        <v>1721</v>
      </c>
      <c r="C58" s="41" t="s">
        <v>1100</v>
      </c>
      <c r="D58" s="41" t="s">
        <v>1101</v>
      </c>
      <c r="E58" s="41" t="s">
        <v>168</v>
      </c>
      <c r="F58" s="41" t="s">
        <v>709</v>
      </c>
      <c r="G58" s="41">
        <v>35000</v>
      </c>
      <c r="H58" s="41"/>
      <c r="I58" s="41"/>
      <c r="J58" s="41">
        <f t="shared" si="18"/>
        <v>0</v>
      </c>
      <c r="K58" s="41">
        <v>100</v>
      </c>
      <c r="L58" s="41">
        <v>5</v>
      </c>
      <c r="M58" s="41">
        <f t="shared" si="19"/>
        <v>19250000</v>
      </c>
      <c r="N58" s="41"/>
      <c r="O58" s="41"/>
      <c r="P58" s="41">
        <f t="shared" si="20"/>
        <v>0</v>
      </c>
      <c r="Q58" s="41"/>
      <c r="R58" s="41"/>
      <c r="S58" s="41">
        <v>560000</v>
      </c>
      <c r="T58" s="41">
        <v>100</v>
      </c>
      <c r="U58" s="41">
        <v>5</v>
      </c>
      <c r="V58" s="41">
        <f t="shared" si="21"/>
        <v>25621750.000000007</v>
      </c>
      <c r="Y58" s="41">
        <f t="shared" si="22"/>
        <v>0</v>
      </c>
      <c r="AC58" s="41">
        <v>100</v>
      </c>
      <c r="AD58" s="41">
        <v>5</v>
      </c>
      <c r="AE58" s="41">
        <f t="shared" si="23"/>
        <v>34102549.250000015</v>
      </c>
      <c r="AF58" s="28">
        <f t="shared" si="8"/>
        <v>79534299.25000003</v>
      </c>
      <c r="AG58" s="28">
        <f t="shared" si="9"/>
        <v>77217.766262135949</v>
      </c>
    </row>
    <row r="59" spans="1:33" ht="57.6" x14ac:dyDescent="0.3">
      <c r="A59" s="41" t="s">
        <v>836</v>
      </c>
      <c r="B59" s="41" t="s">
        <v>1721</v>
      </c>
      <c r="C59" s="41" t="s">
        <v>1100</v>
      </c>
      <c r="D59" s="41" t="s">
        <v>1101</v>
      </c>
      <c r="E59" s="41" t="s">
        <v>168</v>
      </c>
      <c r="F59" s="41" t="s">
        <v>712</v>
      </c>
      <c r="G59" s="41">
        <f>1999.2/7</f>
        <v>285.60000000000002</v>
      </c>
      <c r="H59" s="41"/>
      <c r="I59" s="41"/>
      <c r="J59" s="41">
        <f t="shared" si="18"/>
        <v>0</v>
      </c>
      <c r="K59" s="41">
        <f>2*25*9</f>
        <v>450</v>
      </c>
      <c r="L59" s="41">
        <v>5</v>
      </c>
      <c r="M59" s="41">
        <f t="shared" si="19"/>
        <v>706860</v>
      </c>
      <c r="N59" s="41"/>
      <c r="O59" s="41"/>
      <c r="P59" s="41">
        <f t="shared" si="20"/>
        <v>0</v>
      </c>
      <c r="Q59" s="41"/>
      <c r="R59" s="41"/>
      <c r="S59" s="41">
        <v>10714.5</v>
      </c>
      <c r="T59" s="41">
        <f>2*25*9</f>
        <v>450</v>
      </c>
      <c r="U59" s="41">
        <v>5</v>
      </c>
      <c r="V59" s="41">
        <f t="shared" si="21"/>
        <v>940830.66000000038</v>
      </c>
      <c r="Y59" s="41">
        <f t="shared" si="22"/>
        <v>0</v>
      </c>
      <c r="AC59" s="41">
        <f>2*25*9</f>
        <v>450</v>
      </c>
      <c r="AD59" s="41">
        <v>5</v>
      </c>
      <c r="AE59" s="41">
        <f t="shared" si="23"/>
        <v>1252245.6084600009</v>
      </c>
      <c r="AF59" s="28">
        <f t="shared" si="8"/>
        <v>2910650.7684600013</v>
      </c>
      <c r="AG59" s="28">
        <f t="shared" si="9"/>
        <v>2825.8745324854381</v>
      </c>
    </row>
    <row r="60" spans="1:33" ht="57.6" x14ac:dyDescent="0.3">
      <c r="A60" s="41" t="s">
        <v>836</v>
      </c>
      <c r="B60" s="41" t="s">
        <v>1721</v>
      </c>
      <c r="C60" s="41" t="s">
        <v>1100</v>
      </c>
      <c r="D60" s="41" t="s">
        <v>1101</v>
      </c>
      <c r="E60" s="41" t="s">
        <v>168</v>
      </c>
      <c r="F60" s="41" t="s">
        <v>1322</v>
      </c>
      <c r="G60" s="41">
        <f>1999.2/7</f>
        <v>285.60000000000002</v>
      </c>
      <c r="H60" s="41"/>
      <c r="I60" s="41"/>
      <c r="J60" s="41">
        <f t="shared" si="18"/>
        <v>0</v>
      </c>
      <c r="K60" s="41">
        <v>22500</v>
      </c>
      <c r="L60" s="41">
        <v>1</v>
      </c>
      <c r="M60" s="41">
        <f t="shared" si="19"/>
        <v>7068600.0000000009</v>
      </c>
      <c r="N60" s="41"/>
      <c r="O60" s="41"/>
      <c r="P60" s="41">
        <f t="shared" si="20"/>
        <v>0</v>
      </c>
      <c r="Q60" s="41"/>
      <c r="R60" s="41"/>
      <c r="S60" s="41"/>
      <c r="T60" s="41">
        <v>22500</v>
      </c>
      <c r="U60" s="41">
        <v>1</v>
      </c>
      <c r="V60" s="41">
        <f t="shared" si="21"/>
        <v>9408306.6000000034</v>
      </c>
      <c r="Y60" s="41">
        <f t="shared" si="22"/>
        <v>0</v>
      </c>
      <c r="AC60" s="41">
        <v>22500</v>
      </c>
      <c r="AD60" s="41">
        <v>1</v>
      </c>
      <c r="AE60" s="41">
        <f t="shared" si="23"/>
        <v>12522456.084600009</v>
      </c>
      <c r="AF60" s="28">
        <f t="shared" si="8"/>
        <v>28999362.684600014</v>
      </c>
      <c r="AG60" s="28">
        <f t="shared" si="9"/>
        <v>28154.721053009722</v>
      </c>
    </row>
    <row r="61" spans="1:33" ht="57.6" x14ac:dyDescent="0.3">
      <c r="A61" s="41" t="s">
        <v>836</v>
      </c>
      <c r="B61" s="41" t="s">
        <v>1721</v>
      </c>
      <c r="C61" s="41" t="s">
        <v>1100</v>
      </c>
      <c r="D61" s="41" t="s">
        <v>1101</v>
      </c>
      <c r="E61" s="41" t="s">
        <v>178</v>
      </c>
      <c r="F61" s="41" t="s">
        <v>1297</v>
      </c>
      <c r="G61" s="41">
        <v>8000</v>
      </c>
      <c r="H61" s="41"/>
      <c r="I61" s="41"/>
      <c r="J61" s="41">
        <f t="shared" si="18"/>
        <v>0</v>
      </c>
      <c r="K61" s="41">
        <v>100</v>
      </c>
      <c r="L61" s="41">
        <v>1</v>
      </c>
      <c r="M61" s="41">
        <f t="shared" si="19"/>
        <v>880000</v>
      </c>
      <c r="N61" s="41"/>
      <c r="O61" s="41"/>
      <c r="P61" s="41">
        <f t="shared" si="20"/>
        <v>0</v>
      </c>
      <c r="Q61" s="41"/>
      <c r="R61" s="41"/>
      <c r="S61" s="41">
        <v>280000</v>
      </c>
      <c r="T61" s="41">
        <v>100</v>
      </c>
      <c r="U61" s="41">
        <v>1</v>
      </c>
      <c r="V61" s="41">
        <f t="shared" si="21"/>
        <v>1171280.0000000002</v>
      </c>
      <c r="Y61" s="41">
        <f t="shared" si="22"/>
        <v>0</v>
      </c>
      <c r="AC61" s="41">
        <v>100</v>
      </c>
      <c r="AD61" s="41">
        <v>1</v>
      </c>
      <c r="AE61" s="41">
        <f t="shared" si="23"/>
        <v>1558973.6800000009</v>
      </c>
      <c r="AF61" s="28">
        <f t="shared" si="8"/>
        <v>3890253.6800000006</v>
      </c>
      <c r="AG61" s="28">
        <f t="shared" si="9"/>
        <v>3776.94532038835</v>
      </c>
    </row>
    <row r="62" spans="1:33" ht="57.6" x14ac:dyDescent="0.3">
      <c r="A62" s="41" t="s">
        <v>836</v>
      </c>
      <c r="B62" s="41" t="s">
        <v>1721</v>
      </c>
      <c r="C62" s="41" t="s">
        <v>1100</v>
      </c>
      <c r="D62" s="41" t="s">
        <v>1101</v>
      </c>
      <c r="E62" s="41" t="s">
        <v>178</v>
      </c>
      <c r="F62" s="41" t="s">
        <v>717</v>
      </c>
      <c r="G62" s="41">
        <v>104850</v>
      </c>
      <c r="H62" s="41"/>
      <c r="I62" s="41"/>
      <c r="J62" s="41">
        <f t="shared" si="18"/>
        <v>0</v>
      </c>
      <c r="K62" s="41">
        <v>1</v>
      </c>
      <c r="L62" s="41">
        <v>1</v>
      </c>
      <c r="M62" s="41">
        <f t="shared" si="19"/>
        <v>115335.00000000001</v>
      </c>
      <c r="N62" s="41"/>
      <c r="O62" s="41"/>
      <c r="P62" s="41">
        <f t="shared" si="20"/>
        <v>0</v>
      </c>
      <c r="Q62" s="41"/>
      <c r="R62" s="41"/>
      <c r="S62" s="41">
        <v>5242500000</v>
      </c>
      <c r="T62" s="41">
        <v>1</v>
      </c>
      <c r="U62" s="41">
        <v>1</v>
      </c>
      <c r="V62" s="41">
        <f t="shared" si="21"/>
        <v>153510.88500000004</v>
      </c>
      <c r="Y62" s="41">
        <f t="shared" si="22"/>
        <v>0</v>
      </c>
      <c r="AC62" s="41">
        <v>1</v>
      </c>
      <c r="AD62" s="41">
        <v>1</v>
      </c>
      <c r="AE62" s="41">
        <f t="shared" si="23"/>
        <v>204322.98793500013</v>
      </c>
      <c r="AF62" s="28">
        <f t="shared" si="8"/>
        <v>5242973168.8729353</v>
      </c>
      <c r="AG62" s="28">
        <f t="shared" si="9"/>
        <v>5090265.2124979952</v>
      </c>
    </row>
    <row r="63" spans="1:33" ht="57.6" x14ac:dyDescent="0.3">
      <c r="A63" s="41" t="s">
        <v>836</v>
      </c>
      <c r="B63" s="41" t="s">
        <v>1721</v>
      </c>
      <c r="C63" s="41" t="s">
        <v>1100</v>
      </c>
      <c r="D63" s="41" t="s">
        <v>1101</v>
      </c>
      <c r="E63" s="41" t="s">
        <v>178</v>
      </c>
      <c r="F63" s="41" t="s">
        <v>709</v>
      </c>
      <c r="G63" s="41">
        <v>28000</v>
      </c>
      <c r="H63" s="41"/>
      <c r="I63" s="41"/>
      <c r="J63" s="41">
        <f t="shared" si="18"/>
        <v>0</v>
      </c>
      <c r="K63" s="41">
        <v>100</v>
      </c>
      <c r="L63" s="41">
        <v>1</v>
      </c>
      <c r="M63" s="41">
        <f t="shared" si="19"/>
        <v>3080000.0000000005</v>
      </c>
      <c r="N63" s="41"/>
      <c r="O63" s="41"/>
      <c r="P63" s="41">
        <f t="shared" si="20"/>
        <v>0</v>
      </c>
      <c r="Q63" s="41"/>
      <c r="R63" s="41"/>
      <c r="S63" s="41">
        <v>140000</v>
      </c>
      <c r="T63" s="41">
        <v>100</v>
      </c>
      <c r="U63" s="41">
        <v>1</v>
      </c>
      <c r="V63" s="41">
        <f t="shared" si="21"/>
        <v>4099480.0000000009</v>
      </c>
      <c r="Y63" s="41">
        <f t="shared" si="22"/>
        <v>0</v>
      </c>
      <c r="AC63" s="41">
        <v>100</v>
      </c>
      <c r="AD63" s="41">
        <v>1</v>
      </c>
      <c r="AE63" s="41">
        <f t="shared" si="23"/>
        <v>5456407.8800000036</v>
      </c>
      <c r="AF63" s="28">
        <f t="shared" si="8"/>
        <v>12775887.880000006</v>
      </c>
      <c r="AG63" s="28">
        <f t="shared" si="9"/>
        <v>12403.774640776704</v>
      </c>
    </row>
    <row r="64" spans="1:33" ht="57.6" x14ac:dyDescent="0.3">
      <c r="A64" s="41" t="s">
        <v>836</v>
      </c>
      <c r="B64" s="41" t="s">
        <v>1721</v>
      </c>
      <c r="C64" s="41" t="s">
        <v>1100</v>
      </c>
      <c r="D64" s="41" t="s">
        <v>1101</v>
      </c>
      <c r="E64" s="41" t="s">
        <v>178</v>
      </c>
      <c r="F64" s="41" t="s">
        <v>716</v>
      </c>
      <c r="G64" s="41">
        <v>39000</v>
      </c>
      <c r="H64" s="41"/>
      <c r="I64" s="41"/>
      <c r="J64" s="41">
        <f t="shared" si="18"/>
        <v>0</v>
      </c>
      <c r="K64" s="41">
        <v>58</v>
      </c>
      <c r="L64" s="41">
        <v>1</v>
      </c>
      <c r="M64" s="41">
        <f t="shared" si="19"/>
        <v>2488200</v>
      </c>
      <c r="N64" s="41"/>
      <c r="O64" s="41"/>
      <c r="P64" s="41">
        <f t="shared" si="20"/>
        <v>0</v>
      </c>
      <c r="Q64" s="41"/>
      <c r="R64" s="41"/>
      <c r="S64" s="41">
        <v>3900000</v>
      </c>
      <c r="T64" s="41">
        <v>58</v>
      </c>
      <c r="U64" s="41">
        <v>1</v>
      </c>
      <c r="V64" s="41">
        <f t="shared" si="21"/>
        <v>3311794.2000000011</v>
      </c>
      <c r="Y64" s="41">
        <f t="shared" si="22"/>
        <v>0</v>
      </c>
      <c r="AC64" s="41">
        <v>58</v>
      </c>
      <c r="AD64" s="41">
        <v>1</v>
      </c>
      <c r="AE64" s="41">
        <f t="shared" si="23"/>
        <v>4407998.0802000025</v>
      </c>
      <c r="AF64" s="28">
        <f t="shared" si="8"/>
        <v>14107992.280200005</v>
      </c>
      <c r="AG64" s="28">
        <f t="shared" si="9"/>
        <v>13697.079883689325</v>
      </c>
    </row>
    <row r="65" spans="1:33" ht="57.6" x14ac:dyDescent="0.3">
      <c r="A65" s="41" t="s">
        <v>836</v>
      </c>
      <c r="B65" s="41" t="s">
        <v>1721</v>
      </c>
      <c r="C65" s="41" t="s">
        <v>1100</v>
      </c>
      <c r="D65" s="41" t="s">
        <v>1101</v>
      </c>
      <c r="E65" s="41" t="s">
        <v>178</v>
      </c>
      <c r="F65" s="41" t="s">
        <v>1029</v>
      </c>
      <c r="G65" s="41">
        <f>1999.2/7</f>
        <v>285.60000000000002</v>
      </c>
      <c r="H65" s="41"/>
      <c r="I65" s="41"/>
      <c r="J65" s="41">
        <f t="shared" si="18"/>
        <v>0</v>
      </c>
      <c r="K65" s="41">
        <f>2*25*9</f>
        <v>450</v>
      </c>
      <c r="L65" s="41">
        <v>1</v>
      </c>
      <c r="M65" s="41">
        <f t="shared" si="19"/>
        <v>141372</v>
      </c>
      <c r="N65" s="41"/>
      <c r="O65" s="41"/>
      <c r="P65" s="41">
        <f t="shared" si="20"/>
        <v>0</v>
      </c>
      <c r="Q65" s="41"/>
      <c r="R65" s="41"/>
      <c r="S65" s="41">
        <v>6428.7</v>
      </c>
      <c r="T65" s="41">
        <f>2*25*9</f>
        <v>450</v>
      </c>
      <c r="U65" s="41">
        <v>1</v>
      </c>
      <c r="V65" s="41">
        <f t="shared" si="21"/>
        <v>188166.13200000007</v>
      </c>
      <c r="Y65" s="41">
        <f t="shared" si="22"/>
        <v>0</v>
      </c>
      <c r="AC65" s="41">
        <f>2*25*9</f>
        <v>450</v>
      </c>
      <c r="AD65" s="41">
        <v>1</v>
      </c>
      <c r="AE65" s="41">
        <f t="shared" si="23"/>
        <v>250449.12169200019</v>
      </c>
      <c r="AF65" s="28">
        <f t="shared" si="8"/>
        <v>586415.95369200024</v>
      </c>
      <c r="AG65" s="28">
        <f t="shared" si="9"/>
        <v>569.33587737087407</v>
      </c>
    </row>
    <row r="66" spans="1:33" ht="57.6" x14ac:dyDescent="0.3">
      <c r="A66" s="41" t="s">
        <v>836</v>
      </c>
      <c r="B66" s="41" t="s">
        <v>1721</v>
      </c>
      <c r="C66" s="41" t="s">
        <v>1100</v>
      </c>
      <c r="D66" s="41" t="s">
        <v>1101</v>
      </c>
      <c r="E66" s="41" t="s">
        <v>1105</v>
      </c>
      <c r="F66" s="41" t="s">
        <v>709</v>
      </c>
      <c r="G66" s="41">
        <v>28000</v>
      </c>
      <c r="H66" s="41"/>
      <c r="I66" s="41"/>
      <c r="J66" s="41">
        <f t="shared" si="18"/>
        <v>0</v>
      </c>
      <c r="K66" s="41">
        <v>15</v>
      </c>
      <c r="L66" s="41">
        <v>5</v>
      </c>
      <c r="M66" s="41">
        <f t="shared" si="19"/>
        <v>2310000.0000000005</v>
      </c>
      <c r="N66" s="41"/>
      <c r="O66" s="41"/>
      <c r="P66" s="41">
        <f t="shared" si="20"/>
        <v>0</v>
      </c>
      <c r="Q66" s="41"/>
      <c r="R66" s="41"/>
      <c r="S66" s="41">
        <v>112000000</v>
      </c>
      <c r="T66" s="41">
        <v>15</v>
      </c>
      <c r="U66" s="41">
        <v>5</v>
      </c>
      <c r="V66" s="41">
        <f t="shared" si="21"/>
        <v>3074610.0000000005</v>
      </c>
      <c r="Y66" s="41">
        <f t="shared" si="22"/>
        <v>0</v>
      </c>
      <c r="AC66" s="41">
        <v>15</v>
      </c>
      <c r="AD66" s="41">
        <v>5</v>
      </c>
      <c r="AE66" s="41">
        <f t="shared" si="23"/>
        <v>4092305.9100000025</v>
      </c>
      <c r="AF66" s="28">
        <f t="shared" si="8"/>
        <v>121476915.91</v>
      </c>
      <c r="AG66" s="28">
        <f t="shared" si="9"/>
        <v>117938.7533106796</v>
      </c>
    </row>
    <row r="67" spans="1:33" ht="57.6" x14ac:dyDescent="0.3">
      <c r="A67" s="41" t="s">
        <v>836</v>
      </c>
      <c r="B67" s="41" t="s">
        <v>1721</v>
      </c>
      <c r="C67" s="41" t="s">
        <v>1100</v>
      </c>
      <c r="D67" s="41" t="s">
        <v>1101</v>
      </c>
      <c r="E67" s="41" t="s">
        <v>1105</v>
      </c>
      <c r="F67" s="41" t="s">
        <v>716</v>
      </c>
      <c r="G67" s="41">
        <v>39000</v>
      </c>
      <c r="H67" s="41"/>
      <c r="I67" s="41"/>
      <c r="J67" s="41">
        <f t="shared" si="18"/>
        <v>0</v>
      </c>
      <c r="K67" s="41">
        <v>15</v>
      </c>
      <c r="L67" s="41">
        <v>6</v>
      </c>
      <c r="M67" s="41">
        <f t="shared" si="19"/>
        <v>3861000</v>
      </c>
      <c r="N67" s="41"/>
      <c r="O67" s="41"/>
      <c r="P67" s="41">
        <f t="shared" si="20"/>
        <v>0</v>
      </c>
      <c r="Q67" s="41"/>
      <c r="R67" s="41"/>
      <c r="S67" s="41">
        <v>1950000</v>
      </c>
      <c r="T67" s="41">
        <v>15</v>
      </c>
      <c r="U67" s="41">
        <v>6</v>
      </c>
      <c r="V67" s="41">
        <f t="shared" si="21"/>
        <v>5138991.0000000019</v>
      </c>
      <c r="Y67" s="41">
        <f t="shared" si="22"/>
        <v>0</v>
      </c>
      <c r="AC67" s="41">
        <v>15</v>
      </c>
      <c r="AD67" s="41">
        <v>6</v>
      </c>
      <c r="AE67" s="41">
        <f t="shared" si="23"/>
        <v>6839997.0210000034</v>
      </c>
      <c r="AF67" s="28">
        <f t="shared" ref="AF67:AF75" si="24">J67+M67+P67+S67+V67+Y67+AB67+AE67</f>
        <v>17789988.021000005</v>
      </c>
      <c r="AG67" s="28">
        <f t="shared" ref="AG67:AG75" si="25">AF67/$AL$2</f>
        <v>17271.833030097092</v>
      </c>
    </row>
    <row r="68" spans="1:33" ht="57.6" x14ac:dyDescent="0.3">
      <c r="A68" s="41" t="s">
        <v>836</v>
      </c>
      <c r="B68" s="41" t="s">
        <v>1721</v>
      </c>
      <c r="C68" s="41" t="s">
        <v>1100</v>
      </c>
      <c r="D68" s="41" t="s">
        <v>1106</v>
      </c>
      <c r="E68" s="41" t="s">
        <v>1107</v>
      </c>
      <c r="F68" s="41" t="s">
        <v>841</v>
      </c>
      <c r="G68" s="41">
        <v>0</v>
      </c>
      <c r="H68" s="41"/>
      <c r="I68" s="41"/>
      <c r="J68" s="41">
        <f t="shared" si="18"/>
        <v>0</v>
      </c>
      <c r="K68" s="41"/>
      <c r="L68" s="41"/>
      <c r="M68" s="41"/>
      <c r="N68" s="41">
        <v>10</v>
      </c>
      <c r="O68" s="41">
        <v>5</v>
      </c>
      <c r="P68" s="41">
        <f t="shared" si="20"/>
        <v>0</v>
      </c>
      <c r="Q68" s="41"/>
      <c r="R68" s="41"/>
      <c r="S68" s="41"/>
      <c r="T68" s="41"/>
      <c r="U68" s="41"/>
      <c r="V68" s="41"/>
      <c r="W68" s="41">
        <v>10</v>
      </c>
      <c r="X68" s="41">
        <v>5</v>
      </c>
      <c r="Y68" s="41">
        <f t="shared" si="22"/>
        <v>0</v>
      </c>
      <c r="AF68" s="28">
        <f t="shared" si="24"/>
        <v>0</v>
      </c>
      <c r="AG68" s="28">
        <f t="shared" si="25"/>
        <v>0</v>
      </c>
    </row>
    <row r="69" spans="1:33" ht="57.6" x14ac:dyDescent="0.3">
      <c r="A69" s="41" t="s">
        <v>836</v>
      </c>
      <c r="B69" s="41" t="s">
        <v>1721</v>
      </c>
      <c r="C69" s="41" t="s">
        <v>1100</v>
      </c>
      <c r="D69" s="41" t="s">
        <v>1106</v>
      </c>
      <c r="E69" s="41" t="s">
        <v>1108</v>
      </c>
      <c r="F69" s="41" t="s">
        <v>707</v>
      </c>
      <c r="G69" s="41">
        <v>391991.03749999998</v>
      </c>
      <c r="H69" s="41"/>
      <c r="I69" s="41"/>
      <c r="J69" s="41">
        <f t="shared" si="18"/>
        <v>0</v>
      </c>
      <c r="K69" s="41"/>
      <c r="L69" s="41"/>
      <c r="M69" s="41"/>
      <c r="N69" s="41">
        <v>2</v>
      </c>
      <c r="O69" s="41">
        <v>2</v>
      </c>
      <c r="P69" s="41">
        <f t="shared" si="20"/>
        <v>1897236.6215000001</v>
      </c>
      <c r="Q69" s="41"/>
      <c r="R69" s="41"/>
      <c r="S69" s="41"/>
      <c r="T69" s="41"/>
      <c r="U69" s="41"/>
      <c r="V69" s="41"/>
      <c r="W69" s="41">
        <v>2</v>
      </c>
      <c r="X69" s="41">
        <v>2</v>
      </c>
      <c r="Y69" s="41">
        <f t="shared" si="22"/>
        <v>2525221.9432165008</v>
      </c>
      <c r="AF69" s="28">
        <f t="shared" si="24"/>
        <v>4422458.5647165012</v>
      </c>
      <c r="AG69" s="28">
        <f t="shared" si="25"/>
        <v>4293.6490919577682</v>
      </c>
    </row>
    <row r="70" spans="1:33" ht="57.6" x14ac:dyDescent="0.3">
      <c r="A70" s="41" t="s">
        <v>836</v>
      </c>
      <c r="B70" s="41" t="s">
        <v>1721</v>
      </c>
      <c r="C70" s="41" t="s">
        <v>1100</v>
      </c>
      <c r="D70" s="41" t="s">
        <v>1106</v>
      </c>
      <c r="E70" s="41" t="s">
        <v>1109</v>
      </c>
      <c r="F70" s="41" t="s">
        <v>1110</v>
      </c>
      <c r="G70" s="41">
        <f>980*1030</f>
        <v>1009400</v>
      </c>
      <c r="H70" s="41"/>
      <c r="I70" s="41"/>
      <c r="J70" s="41">
        <f t="shared" si="18"/>
        <v>0</v>
      </c>
      <c r="K70" s="41"/>
      <c r="L70" s="41"/>
      <c r="M70" s="41"/>
      <c r="N70" s="41">
        <v>1</v>
      </c>
      <c r="O70" s="41">
        <v>1</v>
      </c>
      <c r="P70" s="41">
        <f t="shared" si="20"/>
        <v>1221374.0000000002</v>
      </c>
      <c r="Q70" s="41"/>
      <c r="R70" s="41"/>
      <c r="S70" s="41"/>
      <c r="T70" s="41"/>
      <c r="U70" s="41"/>
      <c r="V70" s="41"/>
      <c r="W70" s="41">
        <v>1</v>
      </c>
      <c r="X70" s="41">
        <v>1</v>
      </c>
      <c r="Y70" s="41">
        <f t="shared" si="22"/>
        <v>1625648.7940000005</v>
      </c>
      <c r="AF70" s="28">
        <f t="shared" si="24"/>
        <v>2847022.7940000007</v>
      </c>
      <c r="AG70" s="28">
        <f t="shared" si="25"/>
        <v>2764.0998000000009</v>
      </c>
    </row>
    <row r="71" spans="1:33" x14ac:dyDescent="0.3">
      <c r="A71" s="63" t="s">
        <v>1302</v>
      </c>
      <c r="B71" s="62"/>
      <c r="C71" s="62"/>
      <c r="D71" s="62"/>
      <c r="E71" s="62"/>
      <c r="F71" s="62"/>
      <c r="G71" s="62"/>
      <c r="H71" s="62"/>
      <c r="I71" s="62"/>
      <c r="J71" s="62">
        <f>SUM(J35:J70)</f>
        <v>0</v>
      </c>
      <c r="K71" s="62"/>
      <c r="L71" s="62"/>
      <c r="M71" s="62">
        <f>SUM(M35:M70)</f>
        <v>108351710.54124999</v>
      </c>
      <c r="N71" s="62"/>
      <c r="O71" s="62"/>
      <c r="P71" s="62">
        <f>SUM(P35:P70)</f>
        <v>3118610.6215000004</v>
      </c>
      <c r="Q71" s="62"/>
      <c r="R71" s="62"/>
      <c r="S71" s="62">
        <f>SUM(S35:S70)</f>
        <v>6213869974.7624998</v>
      </c>
      <c r="T71" s="62"/>
      <c r="U71" s="62"/>
      <c r="V71" s="62">
        <f>SUM(V35:V70)</f>
        <v>144216126.73040378</v>
      </c>
      <c r="W71" s="62"/>
      <c r="X71" s="62"/>
      <c r="Y71" s="62">
        <f>SUM(Y35:Y70)</f>
        <v>4150870.7372165015</v>
      </c>
      <c r="Z71" s="62"/>
      <c r="AA71" s="62"/>
      <c r="AB71" s="62">
        <f>SUM(AB35:AB70)</f>
        <v>0</v>
      </c>
      <c r="AC71" s="62"/>
      <c r="AD71" s="62"/>
      <c r="AE71" s="62">
        <f>SUM(AE35:AE70)</f>
        <v>191951664.67816749</v>
      </c>
      <c r="AF71" s="28">
        <f t="shared" si="24"/>
        <v>6665658958.0710382</v>
      </c>
      <c r="AG71" s="28">
        <f t="shared" si="25"/>
        <v>6471513.5515252799</v>
      </c>
    </row>
    <row r="72" spans="1:33" s="94" customFormat="1" x14ac:dyDescent="0.3">
      <c r="A72" s="63" t="s">
        <v>1437</v>
      </c>
      <c r="M72" s="94">
        <f>M71/$AL$2</f>
        <v>105195.83547694173</v>
      </c>
      <c r="P72" s="94">
        <f>P71/$AL$2</f>
        <v>3027.7773024271846</v>
      </c>
      <c r="S72" s="94">
        <f>S71/$AL$2</f>
        <v>6032883.4706432037</v>
      </c>
      <c r="V72" s="94">
        <f>V71/$AL$2</f>
        <v>140015.6570198095</v>
      </c>
      <c r="Y72" s="94">
        <f>Y71/$AL$2</f>
        <v>4029.971589530584</v>
      </c>
      <c r="AB72" s="94">
        <f>AB71/$AL$2</f>
        <v>0</v>
      </c>
      <c r="AE72" s="94">
        <f>AE71/$AL$2</f>
        <v>186360.83949336651</v>
      </c>
      <c r="AF72" s="95">
        <f t="shared" si="24"/>
        <v>6471513.5515252799</v>
      </c>
      <c r="AG72" s="95">
        <f t="shared" si="25"/>
        <v>6283.0228655585242</v>
      </c>
    </row>
    <row r="73" spans="1:33" x14ac:dyDescent="0.3">
      <c r="AF73" s="28">
        <f t="shared" si="24"/>
        <v>0</v>
      </c>
      <c r="AG73" s="28">
        <f t="shared" si="25"/>
        <v>0</v>
      </c>
    </row>
    <row r="74" spans="1:33" x14ac:dyDescent="0.3">
      <c r="AF74" s="28">
        <f t="shared" si="24"/>
        <v>0</v>
      </c>
      <c r="AG74" s="28">
        <f t="shared" si="25"/>
        <v>0</v>
      </c>
    </row>
    <row r="75" spans="1:33" x14ac:dyDescent="0.3">
      <c r="AF75" s="28">
        <f t="shared" si="24"/>
        <v>0</v>
      </c>
      <c r="AG75" s="28">
        <f t="shared" si="2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70"/>
  <sheetViews>
    <sheetView zoomScale="80" zoomScaleNormal="80" workbookViewId="0">
      <selection activeCell="E95" sqref="E95"/>
    </sheetView>
  </sheetViews>
  <sheetFormatPr defaultColWidth="8.88671875" defaultRowHeight="14.4" x14ac:dyDescent="0.3"/>
  <cols>
    <col min="1" max="22" width="35.6640625" customWidth="1"/>
    <col min="32" max="33" width="35.6640625" customWidth="1"/>
  </cols>
  <sheetData>
    <row r="1" spans="1:38" ht="43.2" x14ac:dyDescent="0.3">
      <c r="A1" s="5" t="s">
        <v>643</v>
      </c>
      <c r="B1" s="5" t="s">
        <v>642</v>
      </c>
      <c r="C1" s="5" t="s">
        <v>641</v>
      </c>
      <c r="D1" s="5" t="s">
        <v>639</v>
      </c>
      <c r="E1" s="5" t="s">
        <v>640</v>
      </c>
      <c r="F1" s="5" t="s">
        <v>706</v>
      </c>
      <c r="G1" s="22" t="s">
        <v>834</v>
      </c>
      <c r="H1" s="13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86.4" x14ac:dyDescent="0.3">
      <c r="A2" s="41" t="s">
        <v>836</v>
      </c>
      <c r="B2" s="41" t="s">
        <v>1446</v>
      </c>
      <c r="C2" s="41" t="s">
        <v>1447</v>
      </c>
      <c r="D2" s="41" t="s">
        <v>1448</v>
      </c>
      <c r="E2" s="41" t="s">
        <v>1449</v>
      </c>
      <c r="F2" s="41" t="s">
        <v>1450</v>
      </c>
      <c r="G2" s="41">
        <v>0</v>
      </c>
      <c r="H2" s="122"/>
      <c r="I2" s="41"/>
      <c r="J2" s="41">
        <f>$G2*H2*I2</f>
        <v>0</v>
      </c>
      <c r="K2" s="122">
        <v>0</v>
      </c>
      <c r="L2" s="41">
        <v>0</v>
      </c>
      <c r="M2" s="41">
        <f>($G2*1.1^1)*K2*L2</f>
        <v>0</v>
      </c>
      <c r="N2" s="41"/>
      <c r="O2" s="41"/>
      <c r="P2" s="41">
        <f>($G2*1.1^2)*N2*O2</f>
        <v>0</v>
      </c>
      <c r="Q2" s="41"/>
      <c r="R2" s="41"/>
      <c r="S2" s="41">
        <f>($G2*1.1^3)*Q2*R2</f>
        <v>0</v>
      </c>
      <c r="T2" s="41"/>
      <c r="U2" s="41"/>
      <c r="V2" s="41">
        <f>($G2*1.1^4)*T2*U2</f>
        <v>0</v>
      </c>
      <c r="W2" s="41"/>
      <c r="X2" s="41"/>
      <c r="Y2" s="41">
        <f>($G2*1.1^5)*W2*X2</f>
        <v>0</v>
      </c>
      <c r="Z2" s="41">
        <v>0</v>
      </c>
      <c r="AA2" s="41">
        <v>0</v>
      </c>
      <c r="AB2" s="41">
        <f>($G2*1.1^6)*Z2*AA2</f>
        <v>0</v>
      </c>
      <c r="AC2" s="41">
        <v>0</v>
      </c>
      <c r="AD2" s="41">
        <v>0</v>
      </c>
      <c r="AE2" s="41">
        <f>($G2*1.1^7)*AC2*AD2</f>
        <v>0</v>
      </c>
      <c r="AF2" s="28">
        <f>J2+M2+P2+S2+V2+Y2+AB2+AE2</f>
        <v>0</v>
      </c>
      <c r="AG2" s="28">
        <f>AF2/$AL$2</f>
        <v>0</v>
      </c>
      <c r="AL2">
        <v>1022</v>
      </c>
    </row>
    <row r="3" spans="1:38" ht="86.4" x14ac:dyDescent="0.3">
      <c r="A3" s="41" t="s">
        <v>836</v>
      </c>
      <c r="B3" s="41" t="s">
        <v>1446</v>
      </c>
      <c r="C3" s="41" t="s">
        <v>1447</v>
      </c>
      <c r="D3" s="41"/>
      <c r="F3" s="41" t="s">
        <v>1451</v>
      </c>
      <c r="G3" s="41">
        <v>0</v>
      </c>
      <c r="H3" s="122"/>
      <c r="I3" s="41"/>
      <c r="J3" s="41">
        <f t="shared" ref="J3:J146" si="0">$G3*H3*I3</f>
        <v>0</v>
      </c>
      <c r="K3" s="122">
        <v>0</v>
      </c>
      <c r="L3" s="41">
        <v>0</v>
      </c>
      <c r="M3" s="41">
        <f t="shared" ref="M3:M66" si="1">($G3*1.1^1)*K3*L3</f>
        <v>0</v>
      </c>
      <c r="N3" s="41"/>
      <c r="O3" s="41"/>
      <c r="P3" s="41">
        <f t="shared" ref="P3:P66" si="2">($G3*1.1^2)*N3*O3</f>
        <v>0</v>
      </c>
      <c r="Q3" s="41"/>
      <c r="R3" s="41"/>
      <c r="S3" s="41">
        <f t="shared" ref="S3:S66" si="3">($G3*1.1^3)*Q3*R3</f>
        <v>0</v>
      </c>
      <c r="T3" s="41"/>
      <c r="U3" s="41"/>
      <c r="V3" s="41">
        <f t="shared" ref="V3:V66" si="4">($G3*1.1^4)*T3*U3</f>
        <v>0</v>
      </c>
      <c r="Y3">
        <f t="shared" ref="Y3:Y146" si="5">($G3*1.1^5)*W3*X3</f>
        <v>0</v>
      </c>
      <c r="AB3" s="41">
        <f t="shared" ref="AB3:AB66" si="6">($G3*1.1^6)*Z3*AA3</f>
        <v>0</v>
      </c>
      <c r="AE3" s="41">
        <f t="shared" ref="AE3:AE66" si="7">($G3*1.1^7)*AC3*AD3</f>
        <v>0</v>
      </c>
      <c r="AF3" s="28">
        <f t="shared" ref="AF3:AF146" si="8">J3+M3+P3+S3+V3+Y3+AB3+AE3</f>
        <v>0</v>
      </c>
      <c r="AG3" s="28">
        <f t="shared" ref="AG3:AG146" si="9">AF3/$AL$2</f>
        <v>0</v>
      </c>
    </row>
    <row r="4" spans="1:38" ht="86.4" x14ac:dyDescent="0.3">
      <c r="A4" s="41"/>
      <c r="B4" s="41"/>
      <c r="C4" s="41" t="s">
        <v>1447</v>
      </c>
      <c r="D4" s="41"/>
      <c r="E4" s="41"/>
      <c r="F4" s="41" t="s">
        <v>1452</v>
      </c>
      <c r="G4" s="41">
        <f>980*1022</f>
        <v>1001560</v>
      </c>
      <c r="H4" s="122"/>
      <c r="I4" s="41"/>
      <c r="J4" s="41"/>
      <c r="K4" s="122">
        <v>1</v>
      </c>
      <c r="L4" s="41">
        <v>30</v>
      </c>
      <c r="M4" s="41">
        <f t="shared" si="1"/>
        <v>33051480</v>
      </c>
      <c r="N4" s="41"/>
      <c r="O4" s="41"/>
      <c r="P4" s="41">
        <f t="shared" si="2"/>
        <v>0</v>
      </c>
      <c r="Q4" s="41"/>
      <c r="R4" s="41"/>
      <c r="S4" s="41">
        <f t="shared" si="3"/>
        <v>0</v>
      </c>
      <c r="T4" s="41"/>
      <c r="U4" s="41"/>
      <c r="V4" s="41">
        <f t="shared" si="4"/>
        <v>0</v>
      </c>
      <c r="AB4" s="41">
        <f t="shared" si="6"/>
        <v>0</v>
      </c>
      <c r="AE4" s="41">
        <f t="shared" si="7"/>
        <v>0</v>
      </c>
      <c r="AF4" s="28">
        <f t="shared" si="8"/>
        <v>33051480</v>
      </c>
      <c r="AG4" s="28">
        <f t="shared" si="9"/>
        <v>32340</v>
      </c>
    </row>
    <row r="5" spans="1:38" ht="86.4" x14ac:dyDescent="0.3">
      <c r="A5" s="41"/>
      <c r="B5" s="41"/>
      <c r="C5" s="41" t="s">
        <v>1447</v>
      </c>
      <c r="D5" s="41"/>
      <c r="E5" s="41"/>
      <c r="F5" s="41"/>
      <c r="G5" s="41"/>
      <c r="H5" s="122"/>
      <c r="I5" s="41"/>
      <c r="J5" s="41"/>
      <c r="K5" s="122"/>
      <c r="L5" s="41"/>
      <c r="M5" s="41">
        <f t="shared" si="1"/>
        <v>0</v>
      </c>
      <c r="N5" s="41"/>
      <c r="O5" s="41"/>
      <c r="P5" s="41">
        <f t="shared" si="2"/>
        <v>0</v>
      </c>
      <c r="Q5" s="41"/>
      <c r="R5" s="41"/>
      <c r="S5" s="41">
        <f t="shared" si="3"/>
        <v>0</v>
      </c>
      <c r="T5" s="41"/>
      <c r="U5" s="41"/>
      <c r="V5" s="41">
        <f t="shared" si="4"/>
        <v>0</v>
      </c>
      <c r="AB5" s="41">
        <f t="shared" si="6"/>
        <v>0</v>
      </c>
      <c r="AE5" s="41">
        <f t="shared" si="7"/>
        <v>0</v>
      </c>
      <c r="AF5" s="28"/>
      <c r="AG5" s="28"/>
    </row>
    <row r="6" spans="1:38" ht="86.4" x14ac:dyDescent="0.3">
      <c r="A6" s="41"/>
      <c r="B6" s="41"/>
      <c r="C6" s="41" t="s">
        <v>1447</v>
      </c>
      <c r="D6" s="41"/>
      <c r="E6" s="41"/>
      <c r="F6" s="41" t="s">
        <v>1453</v>
      </c>
      <c r="G6" s="41">
        <v>35000</v>
      </c>
      <c r="H6" s="122"/>
      <c r="I6" s="41"/>
      <c r="J6" s="41"/>
      <c r="K6" s="122">
        <v>30</v>
      </c>
      <c r="L6" s="41">
        <v>5</v>
      </c>
      <c r="M6" s="41">
        <f t="shared" si="1"/>
        <v>5775000</v>
      </c>
      <c r="N6" s="41"/>
      <c r="O6" s="41"/>
      <c r="P6" s="41">
        <f t="shared" si="2"/>
        <v>0</v>
      </c>
      <c r="Q6" s="41"/>
      <c r="R6" s="41"/>
      <c r="S6" s="41">
        <f t="shared" si="3"/>
        <v>0</v>
      </c>
      <c r="T6" s="41"/>
      <c r="U6" s="41"/>
      <c r="V6" s="41">
        <f t="shared" si="4"/>
        <v>0</v>
      </c>
      <c r="AB6" s="41">
        <f t="shared" si="6"/>
        <v>0</v>
      </c>
      <c r="AE6" s="41">
        <f t="shared" si="7"/>
        <v>0</v>
      </c>
      <c r="AF6" s="28"/>
      <c r="AG6" s="28"/>
    </row>
    <row r="7" spans="1:38" ht="86.4" x14ac:dyDescent="0.3">
      <c r="A7" s="41"/>
      <c r="B7" s="41"/>
      <c r="C7" s="41" t="s">
        <v>1447</v>
      </c>
      <c r="D7" s="41"/>
      <c r="E7" s="41"/>
      <c r="F7" s="41" t="s">
        <v>716</v>
      </c>
      <c r="G7" s="41">
        <v>39000</v>
      </c>
      <c r="H7" s="122"/>
      <c r="I7" s="41"/>
      <c r="J7" s="41"/>
      <c r="K7" s="122">
        <v>30</v>
      </c>
      <c r="L7" s="41">
        <v>6</v>
      </c>
      <c r="M7" s="41">
        <f t="shared" si="1"/>
        <v>7722000</v>
      </c>
      <c r="N7" s="41"/>
      <c r="O7" s="41"/>
      <c r="P7" s="41">
        <f t="shared" si="2"/>
        <v>0</v>
      </c>
      <c r="Q7" s="41"/>
      <c r="R7" s="41"/>
      <c r="S7" s="41">
        <f t="shared" si="3"/>
        <v>0</v>
      </c>
      <c r="T7" s="41"/>
      <c r="U7" s="41"/>
      <c r="V7" s="41">
        <f t="shared" si="4"/>
        <v>0</v>
      </c>
      <c r="AB7" s="41">
        <f t="shared" si="6"/>
        <v>0</v>
      </c>
      <c r="AE7" s="41">
        <f t="shared" si="7"/>
        <v>0</v>
      </c>
      <c r="AF7" s="28"/>
      <c r="AG7" s="28"/>
    </row>
    <row r="8" spans="1:38" ht="86.4" x14ac:dyDescent="0.3">
      <c r="A8" s="41"/>
      <c r="B8" s="41"/>
      <c r="C8" s="41" t="s">
        <v>1447</v>
      </c>
      <c r="D8" s="41"/>
      <c r="E8" s="41"/>
      <c r="F8" s="41" t="s">
        <v>712</v>
      </c>
      <c r="G8" s="41">
        <f>1480/7</f>
        <v>211.42857142857142</v>
      </c>
      <c r="H8" s="122"/>
      <c r="I8" s="41"/>
      <c r="J8" s="41"/>
      <c r="K8" s="122">
        <f>2*25*9</f>
        <v>450</v>
      </c>
      <c r="L8" s="41">
        <v>5</v>
      </c>
      <c r="M8" s="41">
        <f t="shared" si="1"/>
        <v>523285.71428571432</v>
      </c>
      <c r="N8" s="41"/>
      <c r="O8" s="41"/>
      <c r="P8" s="41">
        <f t="shared" si="2"/>
        <v>0</v>
      </c>
      <c r="Q8" s="41"/>
      <c r="R8" s="41"/>
      <c r="S8" s="41">
        <f t="shared" si="3"/>
        <v>0</v>
      </c>
      <c r="T8" s="41"/>
      <c r="U8" s="41"/>
      <c r="V8" s="41">
        <f t="shared" si="4"/>
        <v>0</v>
      </c>
      <c r="AB8" s="41">
        <f t="shared" si="6"/>
        <v>0</v>
      </c>
      <c r="AE8" s="41">
        <f t="shared" si="7"/>
        <v>0</v>
      </c>
      <c r="AF8" s="28"/>
      <c r="AG8" s="28"/>
    </row>
    <row r="9" spans="1:38" ht="86.4" x14ac:dyDescent="0.3">
      <c r="A9" s="41"/>
      <c r="B9" s="41"/>
      <c r="C9" s="41" t="s">
        <v>1447</v>
      </c>
      <c r="D9" s="41"/>
      <c r="E9" s="41"/>
      <c r="F9" s="41" t="s">
        <v>1320</v>
      </c>
      <c r="G9" s="41">
        <f>1480/7</f>
        <v>211.42857142857142</v>
      </c>
      <c r="H9" s="122"/>
      <c r="I9" s="41"/>
      <c r="J9" s="41"/>
      <c r="K9" s="122">
        <f>2*135*9</f>
        <v>2430</v>
      </c>
      <c r="L9" s="41">
        <v>1</v>
      </c>
      <c r="M9" s="41">
        <f t="shared" si="1"/>
        <v>565148.57142857148</v>
      </c>
      <c r="N9" s="41"/>
      <c r="O9" s="41"/>
      <c r="P9" s="41">
        <f t="shared" si="2"/>
        <v>0</v>
      </c>
      <c r="Q9" s="41"/>
      <c r="R9" s="41"/>
      <c r="S9" s="41">
        <f t="shared" si="3"/>
        <v>0</v>
      </c>
      <c r="T9" s="41"/>
      <c r="U9" s="41"/>
      <c r="V9" s="41">
        <f t="shared" si="4"/>
        <v>0</v>
      </c>
      <c r="AB9" s="41">
        <f t="shared" si="6"/>
        <v>0</v>
      </c>
      <c r="AE9" s="41">
        <f t="shared" si="7"/>
        <v>0</v>
      </c>
      <c r="AF9" s="28"/>
      <c r="AG9" s="28"/>
    </row>
    <row r="10" spans="1:38" ht="86.4" x14ac:dyDescent="0.3">
      <c r="A10" s="41"/>
      <c r="B10" s="41"/>
      <c r="C10" s="41" t="s">
        <v>1447</v>
      </c>
      <c r="D10" s="41"/>
      <c r="E10" s="41"/>
      <c r="F10" s="41"/>
      <c r="G10" s="41"/>
      <c r="H10" s="122"/>
      <c r="I10" s="41"/>
      <c r="J10" s="41"/>
      <c r="K10" s="122"/>
      <c r="L10" s="41"/>
      <c r="M10" s="41">
        <f t="shared" si="1"/>
        <v>0</v>
      </c>
      <c r="N10" s="41"/>
      <c r="O10" s="41"/>
      <c r="P10" s="41">
        <f t="shared" si="2"/>
        <v>0</v>
      </c>
      <c r="Q10" s="41"/>
      <c r="R10" s="41"/>
      <c r="S10" s="41">
        <f t="shared" si="3"/>
        <v>0</v>
      </c>
      <c r="T10" s="41"/>
      <c r="U10" s="41"/>
      <c r="V10" s="41">
        <f t="shared" si="4"/>
        <v>0</v>
      </c>
      <c r="AB10" s="41">
        <f t="shared" si="6"/>
        <v>0</v>
      </c>
      <c r="AE10" s="41">
        <f t="shared" si="7"/>
        <v>0</v>
      </c>
      <c r="AF10" s="28"/>
      <c r="AG10" s="28"/>
    </row>
    <row r="11" spans="1:38" ht="86.4" x14ac:dyDescent="0.3">
      <c r="A11" s="41"/>
      <c r="B11" s="41"/>
      <c r="C11" s="41" t="s">
        <v>1447</v>
      </c>
      <c r="D11" s="41"/>
      <c r="E11" s="41" t="s">
        <v>1454</v>
      </c>
      <c r="F11" s="41" t="s">
        <v>1455</v>
      </c>
      <c r="G11" s="41">
        <v>35000</v>
      </c>
      <c r="H11" s="122"/>
      <c r="I11" s="41"/>
      <c r="J11" s="41"/>
      <c r="K11" s="122">
        <v>30</v>
      </c>
      <c r="L11" s="41">
        <v>10</v>
      </c>
      <c r="M11" s="41">
        <f t="shared" si="1"/>
        <v>11550000</v>
      </c>
      <c r="N11" s="41"/>
      <c r="O11" s="41"/>
      <c r="P11" s="41">
        <f t="shared" si="2"/>
        <v>0</v>
      </c>
      <c r="Q11" s="41"/>
      <c r="R11" s="41"/>
      <c r="S11" s="41">
        <f t="shared" si="3"/>
        <v>0</v>
      </c>
      <c r="T11" s="41"/>
      <c r="U11" s="41"/>
      <c r="V11" s="41">
        <f t="shared" si="4"/>
        <v>0</v>
      </c>
      <c r="AB11" s="41">
        <f t="shared" si="6"/>
        <v>0</v>
      </c>
      <c r="AE11" s="41">
        <f t="shared" si="7"/>
        <v>0</v>
      </c>
      <c r="AF11" s="28"/>
      <c r="AG11" s="28"/>
    </row>
    <row r="12" spans="1:38" ht="86.4" x14ac:dyDescent="0.3">
      <c r="A12" s="41"/>
      <c r="B12" s="41"/>
      <c r="C12" s="41" t="s">
        <v>1447</v>
      </c>
      <c r="D12" s="41"/>
      <c r="E12" s="41"/>
      <c r="F12" s="41" t="s">
        <v>716</v>
      </c>
      <c r="G12" s="41">
        <v>39000</v>
      </c>
      <c r="H12" s="122"/>
      <c r="I12" s="41"/>
      <c r="J12" s="41"/>
      <c r="K12" s="122">
        <v>30</v>
      </c>
      <c r="L12" s="41">
        <v>12</v>
      </c>
      <c r="M12" s="41">
        <f t="shared" si="1"/>
        <v>15444000</v>
      </c>
      <c r="N12" s="41"/>
      <c r="O12" s="41"/>
      <c r="P12" s="41">
        <f t="shared" si="2"/>
        <v>0</v>
      </c>
      <c r="Q12" s="41"/>
      <c r="R12" s="41"/>
      <c r="S12" s="41">
        <f t="shared" si="3"/>
        <v>0</v>
      </c>
      <c r="T12" s="41"/>
      <c r="U12" s="41"/>
      <c r="V12" s="41">
        <f t="shared" si="4"/>
        <v>0</v>
      </c>
      <c r="AB12" s="41">
        <f t="shared" si="6"/>
        <v>0</v>
      </c>
      <c r="AE12" s="41">
        <f t="shared" si="7"/>
        <v>0</v>
      </c>
      <c r="AF12" s="28"/>
      <c r="AG12" s="28"/>
    </row>
    <row r="13" spans="1:38" ht="86.4" x14ac:dyDescent="0.3">
      <c r="A13" s="41"/>
      <c r="B13" s="41"/>
      <c r="C13" s="41" t="s">
        <v>1447</v>
      </c>
      <c r="D13" s="41"/>
      <c r="E13" s="41"/>
      <c r="F13" s="41" t="s">
        <v>712</v>
      </c>
      <c r="G13" s="41">
        <f>1480/7</f>
        <v>211.42857142857142</v>
      </c>
      <c r="H13" s="122"/>
      <c r="I13" s="41"/>
      <c r="J13" s="41"/>
      <c r="K13" s="122">
        <f>2*25*9</f>
        <v>450</v>
      </c>
      <c r="L13" s="41">
        <v>10</v>
      </c>
      <c r="M13" s="41">
        <f t="shared" si="1"/>
        <v>1046571.4285714286</v>
      </c>
      <c r="N13" s="41"/>
      <c r="O13" s="41"/>
      <c r="P13" s="41">
        <f t="shared" si="2"/>
        <v>0</v>
      </c>
      <c r="Q13" s="41"/>
      <c r="R13" s="41"/>
      <c r="S13" s="41">
        <f t="shared" si="3"/>
        <v>0</v>
      </c>
      <c r="T13" s="41"/>
      <c r="U13" s="41"/>
      <c r="V13" s="41">
        <f t="shared" si="4"/>
        <v>0</v>
      </c>
      <c r="AB13" s="41">
        <f t="shared" si="6"/>
        <v>0</v>
      </c>
      <c r="AE13" s="41">
        <f t="shared" si="7"/>
        <v>0</v>
      </c>
      <c r="AF13" s="28"/>
      <c r="AG13" s="28"/>
    </row>
    <row r="14" spans="1:38" ht="86.4" x14ac:dyDescent="0.3">
      <c r="A14" s="41"/>
      <c r="B14" s="41"/>
      <c r="C14" s="41" t="s">
        <v>1447</v>
      </c>
      <c r="D14" s="41"/>
      <c r="E14" s="41"/>
      <c r="F14" s="41" t="s">
        <v>1320</v>
      </c>
      <c r="G14" s="41">
        <f>1480/7</f>
        <v>211.42857142857142</v>
      </c>
      <c r="H14" s="122"/>
      <c r="I14" s="41"/>
      <c r="J14" s="41"/>
      <c r="K14" s="122">
        <f>2*135*9</f>
        <v>2430</v>
      </c>
      <c r="L14" s="41">
        <v>2</v>
      </c>
      <c r="M14" s="41">
        <f t="shared" si="1"/>
        <v>1130297.142857143</v>
      </c>
      <c r="N14" s="41"/>
      <c r="O14" s="41"/>
      <c r="P14" s="41">
        <f t="shared" si="2"/>
        <v>0</v>
      </c>
      <c r="Q14" s="41"/>
      <c r="R14" s="41"/>
      <c r="S14" s="41">
        <f t="shared" si="3"/>
        <v>0</v>
      </c>
      <c r="T14" s="41"/>
      <c r="U14" s="41"/>
      <c r="V14" s="41">
        <f t="shared" si="4"/>
        <v>0</v>
      </c>
      <c r="AB14" s="41">
        <f t="shared" si="6"/>
        <v>0</v>
      </c>
      <c r="AE14" s="41">
        <f t="shared" si="7"/>
        <v>0</v>
      </c>
      <c r="AF14" s="28"/>
      <c r="AG14" s="28"/>
    </row>
    <row r="15" spans="1:38" ht="86.4" x14ac:dyDescent="0.3">
      <c r="A15" s="41"/>
      <c r="B15" s="41"/>
      <c r="C15" s="41" t="s">
        <v>1447</v>
      </c>
      <c r="D15" s="41"/>
      <c r="E15" s="41"/>
      <c r="F15" s="41"/>
      <c r="G15" s="41"/>
      <c r="H15" s="122"/>
      <c r="I15" s="41"/>
      <c r="J15" s="41"/>
      <c r="K15" s="122"/>
      <c r="L15" s="41"/>
      <c r="M15" s="41">
        <f t="shared" si="1"/>
        <v>0</v>
      </c>
      <c r="N15" s="41"/>
      <c r="O15" s="41"/>
      <c r="P15" s="41">
        <f t="shared" si="2"/>
        <v>0</v>
      </c>
      <c r="Q15" s="41"/>
      <c r="R15" s="41"/>
      <c r="S15" s="41">
        <f t="shared" si="3"/>
        <v>0</v>
      </c>
      <c r="T15" s="41"/>
      <c r="U15" s="41"/>
      <c r="V15" s="41">
        <f t="shared" si="4"/>
        <v>0</v>
      </c>
      <c r="AB15" s="41">
        <f t="shared" si="6"/>
        <v>0</v>
      </c>
      <c r="AE15" s="41">
        <f t="shared" si="7"/>
        <v>0</v>
      </c>
      <c r="AF15" s="28"/>
      <c r="AG15" s="28"/>
    </row>
    <row r="16" spans="1:38" ht="86.4" x14ac:dyDescent="0.3">
      <c r="A16" s="41" t="s">
        <v>836</v>
      </c>
      <c r="B16" s="41" t="s">
        <v>1446</v>
      </c>
      <c r="C16" s="41" t="s">
        <v>1447</v>
      </c>
      <c r="D16" s="41" t="s">
        <v>1456</v>
      </c>
      <c r="E16" s="41" t="s">
        <v>1457</v>
      </c>
      <c r="F16" s="41" t="s">
        <v>1458</v>
      </c>
      <c r="G16" s="41">
        <v>35000</v>
      </c>
      <c r="H16" s="122"/>
      <c r="I16" s="41"/>
      <c r="J16" s="41">
        <f t="shared" si="0"/>
        <v>0</v>
      </c>
      <c r="K16" s="122">
        <v>30</v>
      </c>
      <c r="L16" s="41">
        <v>2</v>
      </c>
      <c r="M16" s="41">
        <f t="shared" si="1"/>
        <v>2310000</v>
      </c>
      <c r="N16" s="41"/>
      <c r="O16" s="41"/>
      <c r="P16" s="41">
        <f t="shared" si="2"/>
        <v>0</v>
      </c>
      <c r="Q16" s="41"/>
      <c r="R16" s="41"/>
      <c r="S16" s="41">
        <f t="shared" si="3"/>
        <v>0</v>
      </c>
      <c r="T16" s="41"/>
      <c r="U16" s="41"/>
      <c r="V16" s="41">
        <f t="shared" si="4"/>
        <v>0</v>
      </c>
      <c r="Y16">
        <f t="shared" si="5"/>
        <v>0</v>
      </c>
      <c r="AB16" s="41">
        <f t="shared" si="6"/>
        <v>0</v>
      </c>
      <c r="AE16" s="41">
        <f t="shared" si="7"/>
        <v>0</v>
      </c>
      <c r="AF16" s="28">
        <f t="shared" si="8"/>
        <v>2310000</v>
      </c>
      <c r="AG16" s="28">
        <f t="shared" si="9"/>
        <v>2260.2739726027398</v>
      </c>
    </row>
    <row r="17" spans="1:33" ht="86.4" x14ac:dyDescent="0.3">
      <c r="A17" s="41"/>
      <c r="B17" s="41"/>
      <c r="C17" s="41" t="s">
        <v>1447</v>
      </c>
      <c r="D17" s="41"/>
      <c r="E17" s="41"/>
      <c r="F17" s="41" t="s">
        <v>716</v>
      </c>
      <c r="G17" s="41">
        <v>39000</v>
      </c>
      <c r="H17" s="122"/>
      <c r="I17" s="41"/>
      <c r="J17" s="41"/>
      <c r="K17" s="122">
        <v>30</v>
      </c>
      <c r="L17" s="41">
        <v>3</v>
      </c>
      <c r="M17" s="41">
        <f t="shared" si="1"/>
        <v>3861000</v>
      </c>
      <c r="N17" s="41"/>
      <c r="O17" s="41"/>
      <c r="P17" s="41">
        <f t="shared" si="2"/>
        <v>0</v>
      </c>
      <c r="Q17" s="41"/>
      <c r="R17" s="41"/>
      <c r="S17" s="41">
        <f t="shared" si="3"/>
        <v>0</v>
      </c>
      <c r="T17" s="41"/>
      <c r="U17" s="41"/>
      <c r="V17" s="41">
        <f t="shared" si="4"/>
        <v>0</v>
      </c>
      <c r="AB17" s="41">
        <f t="shared" si="6"/>
        <v>0</v>
      </c>
      <c r="AE17" s="41">
        <f t="shared" si="7"/>
        <v>0</v>
      </c>
      <c r="AF17" s="28"/>
      <c r="AG17" s="28"/>
    </row>
    <row r="18" spans="1:33" ht="86.4" x14ac:dyDescent="0.3">
      <c r="A18" s="41"/>
      <c r="B18" s="41"/>
      <c r="C18" s="41" t="s">
        <v>1447</v>
      </c>
      <c r="D18" s="41"/>
      <c r="E18" s="41"/>
      <c r="F18" s="41" t="s">
        <v>712</v>
      </c>
      <c r="G18" s="41">
        <f>1480/7</f>
        <v>211.42857142857142</v>
      </c>
      <c r="H18" s="122"/>
      <c r="I18" s="41"/>
      <c r="J18" s="41"/>
      <c r="K18" s="122">
        <f>2*25*9</f>
        <v>450</v>
      </c>
      <c r="L18" s="41">
        <v>2</v>
      </c>
      <c r="M18" s="41">
        <f t="shared" si="1"/>
        <v>209314.28571428574</v>
      </c>
      <c r="N18" s="41"/>
      <c r="O18" s="41"/>
      <c r="P18" s="41">
        <f t="shared" si="2"/>
        <v>0</v>
      </c>
      <c r="Q18" s="41"/>
      <c r="R18" s="41"/>
      <c r="S18" s="41">
        <f t="shared" si="3"/>
        <v>0</v>
      </c>
      <c r="T18" s="41"/>
      <c r="U18" s="41"/>
      <c r="V18" s="41">
        <f t="shared" si="4"/>
        <v>0</v>
      </c>
      <c r="AB18" s="41">
        <f t="shared" si="6"/>
        <v>0</v>
      </c>
      <c r="AE18" s="41">
        <f t="shared" si="7"/>
        <v>0</v>
      </c>
      <c r="AF18" s="28"/>
      <c r="AG18" s="28"/>
    </row>
    <row r="19" spans="1:33" ht="86.4" x14ac:dyDescent="0.3">
      <c r="A19" s="41"/>
      <c r="B19" s="41"/>
      <c r="C19" s="41" t="s">
        <v>1447</v>
      </c>
      <c r="D19" s="41"/>
      <c r="E19" s="41"/>
      <c r="F19" s="41" t="s">
        <v>1320</v>
      </c>
      <c r="G19" s="41">
        <f>1480/7</f>
        <v>211.42857142857142</v>
      </c>
      <c r="H19" s="122"/>
      <c r="I19" s="41"/>
      <c r="J19" s="41"/>
      <c r="K19" s="122">
        <f>2*135*9</f>
        <v>2430</v>
      </c>
      <c r="L19" s="41">
        <v>1</v>
      </c>
      <c r="M19" s="41">
        <f t="shared" si="1"/>
        <v>565148.57142857148</v>
      </c>
      <c r="N19" s="41"/>
      <c r="O19" s="41"/>
      <c r="P19" s="41">
        <f t="shared" si="2"/>
        <v>0</v>
      </c>
      <c r="Q19" s="41"/>
      <c r="R19" s="41"/>
      <c r="S19" s="41">
        <f t="shared" si="3"/>
        <v>0</v>
      </c>
      <c r="T19" s="41"/>
      <c r="U19" s="41"/>
      <c r="V19" s="41">
        <f t="shared" si="4"/>
        <v>0</v>
      </c>
      <c r="AB19" s="41">
        <f t="shared" si="6"/>
        <v>0</v>
      </c>
      <c r="AE19" s="41">
        <f t="shared" si="7"/>
        <v>0</v>
      </c>
      <c r="AF19" s="28"/>
      <c r="AG19" s="28"/>
    </row>
    <row r="20" spans="1:33" ht="86.4" x14ac:dyDescent="0.3">
      <c r="A20" s="41" t="s">
        <v>836</v>
      </c>
      <c r="B20" s="41" t="s">
        <v>1446</v>
      </c>
      <c r="C20" s="41" t="s">
        <v>1447</v>
      </c>
      <c r="D20" s="41"/>
      <c r="E20" s="41" t="s">
        <v>1459</v>
      </c>
      <c r="F20" s="41" t="s">
        <v>1460</v>
      </c>
      <c r="G20" s="41">
        <v>35000</v>
      </c>
      <c r="H20" s="122"/>
      <c r="I20" s="41"/>
      <c r="J20" s="41">
        <f t="shared" si="0"/>
        <v>0</v>
      </c>
      <c r="K20" s="122">
        <v>30</v>
      </c>
      <c r="L20" s="41">
        <v>8</v>
      </c>
      <c r="M20" s="41">
        <f t="shared" si="1"/>
        <v>9240000</v>
      </c>
      <c r="N20" s="41"/>
      <c r="O20" s="41"/>
      <c r="P20" s="41">
        <f t="shared" si="2"/>
        <v>0</v>
      </c>
      <c r="Q20" s="41"/>
      <c r="R20" s="41"/>
      <c r="S20" s="41">
        <f t="shared" si="3"/>
        <v>0</v>
      </c>
      <c r="T20" s="41"/>
      <c r="U20" s="41"/>
      <c r="V20" s="41">
        <f t="shared" si="4"/>
        <v>0</v>
      </c>
      <c r="Y20">
        <f t="shared" si="5"/>
        <v>0</v>
      </c>
      <c r="AB20" s="41">
        <f t="shared" si="6"/>
        <v>0</v>
      </c>
      <c r="AE20" s="41">
        <f t="shared" si="7"/>
        <v>0</v>
      </c>
      <c r="AF20" s="28">
        <f t="shared" si="8"/>
        <v>9240000</v>
      </c>
      <c r="AG20" s="28">
        <f t="shared" si="9"/>
        <v>9041.0958904109593</v>
      </c>
    </row>
    <row r="21" spans="1:33" ht="86.4" x14ac:dyDescent="0.3">
      <c r="A21" s="41"/>
      <c r="B21" s="41"/>
      <c r="C21" s="41" t="s">
        <v>1447</v>
      </c>
      <c r="D21" s="41"/>
      <c r="E21" s="41"/>
      <c r="F21" s="41" t="s">
        <v>716</v>
      </c>
      <c r="G21" s="41">
        <v>39000</v>
      </c>
      <c r="H21" s="122"/>
      <c r="I21" s="41"/>
      <c r="J21" s="41"/>
      <c r="K21" s="122">
        <v>30</v>
      </c>
      <c r="L21" s="41">
        <v>10</v>
      </c>
      <c r="M21" s="41">
        <f t="shared" si="1"/>
        <v>12870000</v>
      </c>
      <c r="N21" s="41"/>
      <c r="O21" s="41"/>
      <c r="P21" s="41">
        <f t="shared" si="2"/>
        <v>0</v>
      </c>
      <c r="Q21" s="41"/>
      <c r="R21" s="41"/>
      <c r="S21" s="41">
        <f t="shared" si="3"/>
        <v>0</v>
      </c>
      <c r="T21" s="41"/>
      <c r="U21" s="41"/>
      <c r="V21" s="41">
        <f t="shared" si="4"/>
        <v>0</v>
      </c>
      <c r="AB21" s="41">
        <f t="shared" si="6"/>
        <v>0</v>
      </c>
      <c r="AE21" s="41">
        <f t="shared" si="7"/>
        <v>0</v>
      </c>
      <c r="AF21" s="28"/>
      <c r="AG21" s="28"/>
    </row>
    <row r="22" spans="1:33" ht="86.4" x14ac:dyDescent="0.3">
      <c r="A22" s="41"/>
      <c r="B22" s="41"/>
      <c r="C22" s="41" t="s">
        <v>1447</v>
      </c>
      <c r="D22" s="41"/>
      <c r="E22" s="41"/>
      <c r="F22" s="41" t="s">
        <v>712</v>
      </c>
      <c r="G22" s="41">
        <f>1480/7</f>
        <v>211.42857142857142</v>
      </c>
      <c r="H22" s="122"/>
      <c r="I22" s="41"/>
      <c r="J22" s="41"/>
      <c r="K22" s="122">
        <f>2*25*9</f>
        <v>450</v>
      </c>
      <c r="L22" s="41">
        <v>4</v>
      </c>
      <c r="M22" s="41">
        <f t="shared" si="1"/>
        <v>418628.57142857148</v>
      </c>
      <c r="N22" s="41"/>
      <c r="O22" s="41"/>
      <c r="P22" s="41">
        <f t="shared" si="2"/>
        <v>0</v>
      </c>
      <c r="Q22" s="41"/>
      <c r="R22" s="41"/>
      <c r="S22" s="41">
        <f t="shared" si="3"/>
        <v>0</v>
      </c>
      <c r="T22" s="41"/>
      <c r="U22" s="41"/>
      <c r="V22" s="41">
        <f t="shared" si="4"/>
        <v>0</v>
      </c>
      <c r="AB22" s="41">
        <f t="shared" si="6"/>
        <v>0</v>
      </c>
      <c r="AE22" s="41">
        <f t="shared" si="7"/>
        <v>0</v>
      </c>
      <c r="AF22" s="28"/>
      <c r="AG22" s="28"/>
    </row>
    <row r="23" spans="1:33" ht="86.4" x14ac:dyDescent="0.3">
      <c r="A23" s="41"/>
      <c r="B23" s="41"/>
      <c r="C23" s="41" t="s">
        <v>1447</v>
      </c>
      <c r="D23" s="41"/>
      <c r="E23" s="41"/>
      <c r="F23" s="41" t="s">
        <v>1320</v>
      </c>
      <c r="G23" s="41">
        <f>1480/7</f>
        <v>211.42857142857142</v>
      </c>
      <c r="H23" s="122"/>
      <c r="I23" s="41"/>
      <c r="J23" s="41"/>
      <c r="K23" s="122">
        <f>2*135*9</f>
        <v>2430</v>
      </c>
      <c r="L23" s="41">
        <v>2</v>
      </c>
      <c r="M23" s="41">
        <f t="shared" si="1"/>
        <v>1130297.142857143</v>
      </c>
      <c r="N23" s="41"/>
      <c r="O23" s="41"/>
      <c r="P23" s="41">
        <f t="shared" si="2"/>
        <v>0</v>
      </c>
      <c r="Q23" s="41"/>
      <c r="R23" s="41"/>
      <c r="S23" s="41">
        <f t="shared" si="3"/>
        <v>0</v>
      </c>
      <c r="T23" s="41"/>
      <c r="U23" s="41"/>
      <c r="V23" s="41">
        <f t="shared" si="4"/>
        <v>0</v>
      </c>
      <c r="AB23" s="41">
        <f t="shared" si="6"/>
        <v>0</v>
      </c>
      <c r="AE23" s="41">
        <f t="shared" si="7"/>
        <v>0</v>
      </c>
      <c r="AF23" s="28"/>
      <c r="AG23" s="28"/>
    </row>
    <row r="24" spans="1:33" ht="86.4" x14ac:dyDescent="0.3">
      <c r="A24" s="41" t="s">
        <v>836</v>
      </c>
      <c r="B24" s="41" t="s">
        <v>1446</v>
      </c>
      <c r="C24" s="41" t="s">
        <v>1447</v>
      </c>
      <c r="D24" s="41"/>
      <c r="E24" s="41" t="s">
        <v>1461</v>
      </c>
      <c r="F24" s="41" t="s">
        <v>718</v>
      </c>
      <c r="G24" s="41">
        <v>0</v>
      </c>
      <c r="H24" s="122"/>
      <c r="I24" s="41"/>
      <c r="J24" s="41">
        <f t="shared" si="0"/>
        <v>0</v>
      </c>
      <c r="K24" s="122">
        <v>0</v>
      </c>
      <c r="L24" s="41">
        <v>0</v>
      </c>
      <c r="M24" s="41">
        <f t="shared" si="1"/>
        <v>0</v>
      </c>
      <c r="N24" s="41"/>
      <c r="O24" s="41"/>
      <c r="P24" s="41">
        <f t="shared" si="2"/>
        <v>0</v>
      </c>
      <c r="Q24" s="41"/>
      <c r="R24" s="41"/>
      <c r="S24" s="41">
        <f t="shared" si="3"/>
        <v>0</v>
      </c>
      <c r="T24" s="41"/>
      <c r="U24" s="41"/>
      <c r="V24" s="41">
        <f t="shared" si="4"/>
        <v>0</v>
      </c>
      <c r="Y24">
        <f t="shared" si="5"/>
        <v>0</v>
      </c>
      <c r="AB24" s="41">
        <f t="shared" si="6"/>
        <v>0</v>
      </c>
      <c r="AE24" s="41">
        <f t="shared" si="7"/>
        <v>0</v>
      </c>
      <c r="AF24" s="28">
        <f t="shared" si="8"/>
        <v>0</v>
      </c>
      <c r="AG24" s="28">
        <f t="shared" si="9"/>
        <v>0</v>
      </c>
    </row>
    <row r="25" spans="1:33" ht="86.4" x14ac:dyDescent="0.3">
      <c r="A25" s="41" t="s">
        <v>836</v>
      </c>
      <c r="B25" s="41" t="s">
        <v>1446</v>
      </c>
      <c r="C25" s="41" t="s">
        <v>1447</v>
      </c>
      <c r="D25" s="41"/>
      <c r="E25" s="41" t="s">
        <v>1462</v>
      </c>
      <c r="F25" s="41" t="s">
        <v>718</v>
      </c>
      <c r="G25" s="41">
        <v>0</v>
      </c>
      <c r="H25" s="122"/>
      <c r="I25" s="41"/>
      <c r="J25" s="41">
        <f t="shared" si="0"/>
        <v>0</v>
      </c>
      <c r="K25" s="122">
        <v>0</v>
      </c>
      <c r="L25" s="41">
        <v>0</v>
      </c>
      <c r="M25" s="41">
        <f t="shared" si="1"/>
        <v>0</v>
      </c>
      <c r="N25" s="41"/>
      <c r="O25" s="41"/>
      <c r="P25" s="41">
        <f t="shared" si="2"/>
        <v>0</v>
      </c>
      <c r="Q25" s="41"/>
      <c r="R25" s="41"/>
      <c r="S25" s="41">
        <f t="shared" si="3"/>
        <v>0</v>
      </c>
      <c r="T25" s="41"/>
      <c r="U25" s="41"/>
      <c r="V25" s="41">
        <f t="shared" si="4"/>
        <v>0</v>
      </c>
      <c r="Y25">
        <f t="shared" si="5"/>
        <v>0</v>
      </c>
      <c r="AB25" s="41">
        <f t="shared" si="6"/>
        <v>0</v>
      </c>
      <c r="AE25" s="41">
        <f t="shared" si="7"/>
        <v>0</v>
      </c>
      <c r="AF25" s="28">
        <f t="shared" si="8"/>
        <v>0</v>
      </c>
      <c r="AG25" s="28">
        <f t="shared" si="9"/>
        <v>0</v>
      </c>
    </row>
    <row r="26" spans="1:33" ht="86.4" x14ac:dyDescent="0.3">
      <c r="A26" s="41" t="s">
        <v>836</v>
      </c>
      <c r="B26" s="41" t="s">
        <v>1446</v>
      </c>
      <c r="C26" s="41" t="s">
        <v>1447</v>
      </c>
      <c r="D26" s="41"/>
      <c r="E26" s="41" t="s">
        <v>1463</v>
      </c>
      <c r="F26" s="41" t="s">
        <v>1464</v>
      </c>
      <c r="G26" s="41">
        <v>35000</v>
      </c>
      <c r="H26" s="122"/>
      <c r="I26" s="41"/>
      <c r="J26" s="41">
        <f t="shared" si="0"/>
        <v>0</v>
      </c>
      <c r="K26" s="41"/>
      <c r="L26" s="41"/>
      <c r="M26" s="41">
        <f t="shared" si="1"/>
        <v>0</v>
      </c>
      <c r="N26" s="122">
        <v>50</v>
      </c>
      <c r="O26" s="41">
        <v>5</v>
      </c>
      <c r="P26" s="41">
        <f t="shared" si="2"/>
        <v>10587500.000000002</v>
      </c>
      <c r="Q26" s="122">
        <v>50</v>
      </c>
      <c r="R26" s="41">
        <v>5</v>
      </c>
      <c r="S26" s="41">
        <f t="shared" si="3"/>
        <v>11646250.000000004</v>
      </c>
      <c r="T26" s="122">
        <v>50</v>
      </c>
      <c r="U26" s="41">
        <v>5</v>
      </c>
      <c r="V26" s="41">
        <f t="shared" si="4"/>
        <v>12810875.000000004</v>
      </c>
      <c r="W26" s="122">
        <v>50</v>
      </c>
      <c r="X26" s="41">
        <v>5</v>
      </c>
      <c r="Y26">
        <f t="shared" si="5"/>
        <v>14091962.500000004</v>
      </c>
      <c r="Z26" s="122">
        <v>50</v>
      </c>
      <c r="AA26" s="41">
        <v>5</v>
      </c>
      <c r="AB26" s="41">
        <f t="shared" si="6"/>
        <v>15501158.750000007</v>
      </c>
      <c r="AC26" s="122">
        <v>50</v>
      </c>
      <c r="AD26" s="41">
        <v>5</v>
      </c>
      <c r="AE26" s="41">
        <f t="shared" si="7"/>
        <v>17051274.625000007</v>
      </c>
      <c r="AF26" s="28">
        <f t="shared" si="8"/>
        <v>81689020.87500003</v>
      </c>
      <c r="AG26" s="28">
        <f t="shared" si="9"/>
        <v>79930.548801369892</v>
      </c>
    </row>
    <row r="27" spans="1:33" ht="86.4" x14ac:dyDescent="0.3">
      <c r="A27" s="41"/>
      <c r="B27" s="41"/>
      <c r="C27" s="41" t="s">
        <v>1447</v>
      </c>
      <c r="D27" s="41"/>
      <c r="E27" s="41"/>
      <c r="F27" s="41" t="s">
        <v>716</v>
      </c>
      <c r="G27" s="41">
        <v>39000</v>
      </c>
      <c r="H27" s="122"/>
      <c r="I27" s="41"/>
      <c r="J27" s="41">
        <f t="shared" si="0"/>
        <v>0</v>
      </c>
      <c r="K27" s="41"/>
      <c r="L27" s="41"/>
      <c r="M27" s="41">
        <f t="shared" si="1"/>
        <v>0</v>
      </c>
      <c r="N27" s="122">
        <v>10</v>
      </c>
      <c r="O27" s="41">
        <v>6</v>
      </c>
      <c r="P27" s="41">
        <f t="shared" si="2"/>
        <v>2831400.0000000005</v>
      </c>
      <c r="Q27" s="122">
        <v>10</v>
      </c>
      <c r="R27" s="41">
        <v>6</v>
      </c>
      <c r="S27" s="41">
        <f t="shared" si="3"/>
        <v>3114540.0000000009</v>
      </c>
      <c r="T27" s="122">
        <v>10</v>
      </c>
      <c r="U27" s="41">
        <v>6</v>
      </c>
      <c r="V27" s="41">
        <f t="shared" si="4"/>
        <v>3425994.0000000009</v>
      </c>
      <c r="W27" s="122">
        <v>10</v>
      </c>
      <c r="X27" s="41">
        <v>6</v>
      </c>
      <c r="Y27">
        <f t="shared" si="5"/>
        <v>3768593.4000000013</v>
      </c>
      <c r="Z27" s="122">
        <v>10</v>
      </c>
      <c r="AA27" s="41">
        <v>6</v>
      </c>
      <c r="AB27" s="41">
        <f t="shared" si="6"/>
        <v>4145452.7400000016</v>
      </c>
      <c r="AC27" s="122">
        <v>10</v>
      </c>
      <c r="AD27" s="41">
        <v>6</v>
      </c>
      <c r="AE27" s="41">
        <f t="shared" si="7"/>
        <v>4559998.0140000023</v>
      </c>
      <c r="AF27" s="28"/>
      <c r="AG27" s="28"/>
    </row>
    <row r="28" spans="1:33" ht="86.4" x14ac:dyDescent="0.3">
      <c r="A28" s="41"/>
      <c r="B28" s="41"/>
      <c r="C28" s="41" t="s">
        <v>1447</v>
      </c>
      <c r="D28" s="41"/>
      <c r="E28" s="41"/>
      <c r="F28" s="41" t="s">
        <v>712</v>
      </c>
      <c r="G28" s="41">
        <f>1480/7</f>
        <v>211.42857142857142</v>
      </c>
      <c r="H28" s="122"/>
      <c r="I28" s="41"/>
      <c r="J28" s="41">
        <f t="shared" si="0"/>
        <v>0</v>
      </c>
      <c r="K28" s="41"/>
      <c r="L28" s="41"/>
      <c r="M28" s="41">
        <f t="shared" si="1"/>
        <v>0</v>
      </c>
      <c r="N28" s="122">
        <f>2*25*9</f>
        <v>450</v>
      </c>
      <c r="O28" s="41">
        <v>5</v>
      </c>
      <c r="P28" s="41">
        <f t="shared" si="2"/>
        <v>575614.2857142858</v>
      </c>
      <c r="Q28" s="122">
        <f>2*25*9</f>
        <v>450</v>
      </c>
      <c r="R28" s="41">
        <v>5</v>
      </c>
      <c r="S28" s="41">
        <f t="shared" si="3"/>
        <v>633175.71428571444</v>
      </c>
      <c r="T28" s="122">
        <f>2*25*9</f>
        <v>450</v>
      </c>
      <c r="U28" s="41">
        <v>5</v>
      </c>
      <c r="V28" s="41">
        <f t="shared" si="4"/>
        <v>696493.28571428568</v>
      </c>
      <c r="W28" s="122">
        <f>2*25*9</f>
        <v>450</v>
      </c>
      <c r="X28" s="41">
        <v>5</v>
      </c>
      <c r="Y28">
        <f t="shared" si="5"/>
        <v>766142.61428571446</v>
      </c>
      <c r="Z28" s="122">
        <f>2*25*9</f>
        <v>450</v>
      </c>
      <c r="AA28" s="41">
        <v>5</v>
      </c>
      <c r="AB28" s="41">
        <f t="shared" si="6"/>
        <v>842756.875714286</v>
      </c>
      <c r="AC28" s="122">
        <f>2*25*9</f>
        <v>450</v>
      </c>
      <c r="AD28" s="41">
        <v>5</v>
      </c>
      <c r="AE28" s="41">
        <f t="shared" si="7"/>
        <v>927032.56328571483</v>
      </c>
      <c r="AF28" s="28"/>
      <c r="AG28" s="28"/>
    </row>
    <row r="29" spans="1:33" ht="86.4" x14ac:dyDescent="0.3">
      <c r="A29" s="41"/>
      <c r="B29" s="41"/>
      <c r="C29" s="41" t="s">
        <v>1447</v>
      </c>
      <c r="D29" s="41"/>
      <c r="E29" s="41"/>
      <c r="F29" s="41" t="s">
        <v>1320</v>
      </c>
      <c r="G29" s="41">
        <f>1480/7</f>
        <v>211.42857142857142</v>
      </c>
      <c r="H29" s="122"/>
      <c r="I29" s="41"/>
      <c r="J29" s="41">
        <f t="shared" si="0"/>
        <v>0</v>
      </c>
      <c r="K29" s="41"/>
      <c r="L29" s="41"/>
      <c r="M29" s="41">
        <f t="shared" si="1"/>
        <v>0</v>
      </c>
      <c r="N29" s="122">
        <f>2*135*9</f>
        <v>2430</v>
      </c>
      <c r="O29" s="41">
        <v>1</v>
      </c>
      <c r="P29" s="41">
        <f t="shared" si="2"/>
        <v>621663.42857142864</v>
      </c>
      <c r="Q29" s="122">
        <f>2*135*9</f>
        <v>2430</v>
      </c>
      <c r="R29" s="41">
        <v>1</v>
      </c>
      <c r="S29" s="41">
        <f t="shared" si="3"/>
        <v>683829.77142857155</v>
      </c>
      <c r="T29" s="122">
        <f>2*135*9</f>
        <v>2430</v>
      </c>
      <c r="U29" s="41">
        <v>1</v>
      </c>
      <c r="V29" s="41">
        <f t="shared" si="4"/>
        <v>752212.7485714287</v>
      </c>
      <c r="W29" s="122">
        <f>2*135*9</f>
        <v>2430</v>
      </c>
      <c r="X29" s="41">
        <v>1</v>
      </c>
      <c r="Y29">
        <f t="shared" si="5"/>
        <v>827434.02342857164</v>
      </c>
      <c r="Z29" s="122">
        <f>2*135*9</f>
        <v>2430</v>
      </c>
      <c r="AA29" s="41">
        <v>1</v>
      </c>
      <c r="AB29" s="41">
        <f t="shared" si="6"/>
        <v>910177.42577142885</v>
      </c>
      <c r="AC29" s="122">
        <f>2*135*9</f>
        <v>2430</v>
      </c>
      <c r="AD29" s="41">
        <v>1</v>
      </c>
      <c r="AE29" s="41">
        <f t="shared" si="7"/>
        <v>1001195.1683485721</v>
      </c>
      <c r="AF29" s="28"/>
      <c r="AG29" s="28"/>
    </row>
    <row r="30" spans="1:33" ht="86.4" x14ac:dyDescent="0.3">
      <c r="A30" s="41"/>
      <c r="B30" s="41"/>
      <c r="C30" s="41" t="s">
        <v>1447</v>
      </c>
      <c r="D30" s="41" t="s">
        <v>1465</v>
      </c>
      <c r="E30" s="41" t="s">
        <v>1466</v>
      </c>
      <c r="F30" s="41" t="s">
        <v>709</v>
      </c>
      <c r="G30" s="41">
        <v>35000</v>
      </c>
      <c r="H30" s="122"/>
      <c r="I30" s="41"/>
      <c r="J30" s="41">
        <f t="shared" si="0"/>
        <v>0</v>
      </c>
      <c r="K30" s="41"/>
      <c r="L30" s="41"/>
      <c r="M30" s="41">
        <f t="shared" si="1"/>
        <v>0</v>
      </c>
      <c r="N30" s="122">
        <v>30</v>
      </c>
      <c r="O30" s="41">
        <v>10</v>
      </c>
      <c r="P30" s="41">
        <f t="shared" si="2"/>
        <v>12705000.000000002</v>
      </c>
      <c r="Q30" s="122">
        <v>30</v>
      </c>
      <c r="R30" s="41">
        <v>10</v>
      </c>
      <c r="S30" s="41">
        <f t="shared" si="3"/>
        <v>13975500.000000004</v>
      </c>
      <c r="T30" s="122">
        <v>30</v>
      </c>
      <c r="U30" s="41">
        <v>10</v>
      </c>
      <c r="V30" s="41">
        <f t="shared" si="4"/>
        <v>15373050.000000004</v>
      </c>
      <c r="W30" s="122">
        <v>30</v>
      </c>
      <c r="X30" s="41">
        <v>10</v>
      </c>
      <c r="Y30">
        <f t="shared" si="5"/>
        <v>16910355.000000007</v>
      </c>
      <c r="Z30" s="122">
        <v>30</v>
      </c>
      <c r="AA30" s="41">
        <v>10</v>
      </c>
      <c r="AB30" s="41">
        <f t="shared" si="6"/>
        <v>18601390.500000011</v>
      </c>
      <c r="AC30" s="122">
        <v>30</v>
      </c>
      <c r="AD30" s="41">
        <v>10</v>
      </c>
      <c r="AE30" s="41">
        <f t="shared" si="7"/>
        <v>20461529.550000012</v>
      </c>
      <c r="AF30" s="28"/>
      <c r="AG30" s="28"/>
    </row>
    <row r="31" spans="1:33" ht="86.4" x14ac:dyDescent="0.3">
      <c r="A31" s="41"/>
      <c r="B31" s="41"/>
      <c r="C31" s="41" t="s">
        <v>1447</v>
      </c>
      <c r="D31" s="41" t="s">
        <v>1465</v>
      </c>
      <c r="E31" s="41"/>
      <c r="F31" s="41" t="s">
        <v>716</v>
      </c>
      <c r="G31" s="41">
        <v>39000</v>
      </c>
      <c r="H31" s="122"/>
      <c r="I31" s="41"/>
      <c r="J31" s="41">
        <f t="shared" si="0"/>
        <v>0</v>
      </c>
      <c r="K31" s="41"/>
      <c r="L31" s="41"/>
      <c r="M31" s="41">
        <f t="shared" si="1"/>
        <v>0</v>
      </c>
      <c r="N31" s="122">
        <v>30</v>
      </c>
      <c r="O31" s="41">
        <v>12</v>
      </c>
      <c r="P31" s="41">
        <f t="shared" si="2"/>
        <v>16988400.000000004</v>
      </c>
      <c r="Q31" s="122">
        <v>30</v>
      </c>
      <c r="R31" s="41">
        <v>12</v>
      </c>
      <c r="S31" s="41">
        <f t="shared" si="3"/>
        <v>18687240.000000007</v>
      </c>
      <c r="T31" s="122">
        <v>30</v>
      </c>
      <c r="U31" s="41">
        <v>12</v>
      </c>
      <c r="V31" s="41">
        <f t="shared" si="4"/>
        <v>20555964.000000007</v>
      </c>
      <c r="W31" s="122">
        <v>30</v>
      </c>
      <c r="X31" s="41">
        <v>12</v>
      </c>
      <c r="Y31">
        <f t="shared" si="5"/>
        <v>22611560.400000006</v>
      </c>
      <c r="Z31" s="122">
        <v>30</v>
      </c>
      <c r="AA31" s="41">
        <v>12</v>
      </c>
      <c r="AB31" s="41">
        <f t="shared" si="6"/>
        <v>24872716.440000009</v>
      </c>
      <c r="AC31" s="122">
        <v>30</v>
      </c>
      <c r="AD31" s="41">
        <v>12</v>
      </c>
      <c r="AE31" s="41">
        <f t="shared" si="7"/>
        <v>27359988.084000014</v>
      </c>
      <c r="AF31" s="28"/>
      <c r="AG31" s="28"/>
    </row>
    <row r="32" spans="1:33" ht="86.4" x14ac:dyDescent="0.3">
      <c r="A32" s="41"/>
      <c r="B32" s="41"/>
      <c r="C32" s="41" t="s">
        <v>1447</v>
      </c>
      <c r="D32" s="41" t="s">
        <v>1465</v>
      </c>
      <c r="E32" s="41"/>
      <c r="F32" s="41" t="s">
        <v>712</v>
      </c>
      <c r="G32" s="41">
        <f>1480/7</f>
        <v>211.42857142857142</v>
      </c>
      <c r="H32" s="122"/>
      <c r="I32" s="41"/>
      <c r="J32" s="41">
        <f t="shared" si="0"/>
        <v>0</v>
      </c>
      <c r="K32" s="41"/>
      <c r="L32" s="41"/>
      <c r="M32" s="41">
        <f t="shared" si="1"/>
        <v>0</v>
      </c>
      <c r="N32" s="122">
        <f>2*25*9</f>
        <v>450</v>
      </c>
      <c r="O32" s="41">
        <v>10</v>
      </c>
      <c r="P32" s="41">
        <f t="shared" si="2"/>
        <v>1151228.5714285716</v>
      </c>
      <c r="Q32" s="122">
        <f>2*25*9</f>
        <v>450</v>
      </c>
      <c r="R32" s="41">
        <v>10</v>
      </c>
      <c r="S32" s="41">
        <f t="shared" si="3"/>
        <v>1266351.4285714289</v>
      </c>
      <c r="T32" s="122">
        <f>2*25*9</f>
        <v>450</v>
      </c>
      <c r="U32" s="41">
        <v>10</v>
      </c>
      <c r="V32" s="41">
        <f t="shared" si="4"/>
        <v>1392986.5714285714</v>
      </c>
      <c r="W32" s="122">
        <f>2*25*9</f>
        <v>450</v>
      </c>
      <c r="X32" s="41">
        <v>10</v>
      </c>
      <c r="Y32">
        <f t="shared" si="5"/>
        <v>1532285.2285714289</v>
      </c>
      <c r="Z32" s="122">
        <f>2*25*9</f>
        <v>450</v>
      </c>
      <c r="AA32" s="41">
        <v>10</v>
      </c>
      <c r="AB32" s="41">
        <f t="shared" si="6"/>
        <v>1685513.751428572</v>
      </c>
      <c r="AC32" s="122">
        <f>2*25*9</f>
        <v>450</v>
      </c>
      <c r="AD32" s="41">
        <v>10</v>
      </c>
      <c r="AE32" s="41">
        <f t="shared" si="7"/>
        <v>1854065.1265714297</v>
      </c>
      <c r="AF32" s="28"/>
      <c r="AG32" s="28"/>
    </row>
    <row r="33" spans="1:33" ht="86.4" x14ac:dyDescent="0.3">
      <c r="A33" s="41"/>
      <c r="B33" s="41"/>
      <c r="C33" s="41" t="s">
        <v>1447</v>
      </c>
      <c r="D33" s="41" t="s">
        <v>1465</v>
      </c>
      <c r="E33" s="41"/>
      <c r="F33" s="41" t="s">
        <v>1320</v>
      </c>
      <c r="G33" s="41">
        <f>1480/7</f>
        <v>211.42857142857142</v>
      </c>
      <c r="H33" s="122"/>
      <c r="I33" s="41"/>
      <c r="J33" s="41">
        <f t="shared" si="0"/>
        <v>0</v>
      </c>
      <c r="K33" s="41"/>
      <c r="L33" s="41"/>
      <c r="M33" s="41">
        <f t="shared" si="1"/>
        <v>0</v>
      </c>
      <c r="N33" s="122">
        <f>2*135*9</f>
        <v>2430</v>
      </c>
      <c r="O33" s="41">
        <v>2</v>
      </c>
      <c r="P33" s="41">
        <f t="shared" si="2"/>
        <v>1243326.8571428573</v>
      </c>
      <c r="Q33" s="122">
        <f>2*135*9</f>
        <v>2430</v>
      </c>
      <c r="R33" s="41">
        <v>2</v>
      </c>
      <c r="S33" s="41">
        <f t="shared" si="3"/>
        <v>1367659.5428571431</v>
      </c>
      <c r="T33" s="122">
        <f>2*135*9</f>
        <v>2430</v>
      </c>
      <c r="U33" s="41">
        <v>2</v>
      </c>
      <c r="V33" s="41">
        <f t="shared" si="4"/>
        <v>1504425.4971428574</v>
      </c>
      <c r="W33" s="122">
        <f>2*135*9</f>
        <v>2430</v>
      </c>
      <c r="X33" s="41">
        <v>2</v>
      </c>
      <c r="Y33">
        <f t="shared" si="5"/>
        <v>1654868.0468571433</v>
      </c>
      <c r="Z33" s="122">
        <f>2*135*9</f>
        <v>2430</v>
      </c>
      <c r="AA33" s="41">
        <v>2</v>
      </c>
      <c r="AB33" s="41">
        <f t="shared" si="6"/>
        <v>1820354.8515428577</v>
      </c>
      <c r="AC33" s="122">
        <f>2*135*9</f>
        <v>2430</v>
      </c>
      <c r="AD33" s="41">
        <v>2</v>
      </c>
      <c r="AE33" s="41">
        <f t="shared" si="7"/>
        <v>2002390.3366971442</v>
      </c>
      <c r="AF33" s="28"/>
      <c r="AG33" s="28"/>
    </row>
    <row r="34" spans="1:33" ht="86.4" x14ac:dyDescent="0.3">
      <c r="A34" s="41"/>
      <c r="B34" s="41"/>
      <c r="C34" s="41" t="s">
        <v>1447</v>
      </c>
      <c r="D34" s="41" t="s">
        <v>1465</v>
      </c>
      <c r="E34" s="41" t="s">
        <v>1467</v>
      </c>
      <c r="F34" s="41" t="s">
        <v>709</v>
      </c>
      <c r="G34" s="41">
        <v>35000</v>
      </c>
      <c r="H34" s="122"/>
      <c r="I34" s="41"/>
      <c r="J34" s="41">
        <f t="shared" si="0"/>
        <v>0</v>
      </c>
      <c r="K34" s="41"/>
      <c r="L34" s="41"/>
      <c r="M34" s="41">
        <f t="shared" si="1"/>
        <v>0</v>
      </c>
      <c r="N34" s="122">
        <v>50</v>
      </c>
      <c r="O34" s="41">
        <v>1</v>
      </c>
      <c r="P34" s="41">
        <f t="shared" si="2"/>
        <v>2117500.0000000005</v>
      </c>
      <c r="Q34" s="122">
        <v>50</v>
      </c>
      <c r="R34" s="41">
        <v>1</v>
      </c>
      <c r="S34" s="41">
        <f t="shared" si="3"/>
        <v>2329250.0000000009</v>
      </c>
      <c r="T34" s="122">
        <v>50</v>
      </c>
      <c r="U34" s="41">
        <v>1</v>
      </c>
      <c r="V34" s="41">
        <f t="shared" si="4"/>
        <v>2562175.0000000009</v>
      </c>
      <c r="W34" s="122">
        <v>50</v>
      </c>
      <c r="X34" s="41">
        <v>1</v>
      </c>
      <c r="Y34">
        <f t="shared" si="5"/>
        <v>2818392.5000000009</v>
      </c>
      <c r="Z34" s="122">
        <v>50</v>
      </c>
      <c r="AA34" s="41">
        <v>1</v>
      </c>
      <c r="AB34" s="41">
        <f t="shared" si="6"/>
        <v>3100231.7500000014</v>
      </c>
      <c r="AC34" s="122">
        <v>50</v>
      </c>
      <c r="AD34" s="41">
        <v>1</v>
      </c>
      <c r="AE34" s="41">
        <f t="shared" si="7"/>
        <v>3410254.9250000017</v>
      </c>
      <c r="AF34" s="28"/>
      <c r="AG34" s="28"/>
    </row>
    <row r="35" spans="1:33" ht="86.4" x14ac:dyDescent="0.3">
      <c r="A35" s="41"/>
      <c r="B35" s="41"/>
      <c r="C35" s="41" t="s">
        <v>1447</v>
      </c>
      <c r="D35" s="41" t="s">
        <v>1465</v>
      </c>
      <c r="E35" s="41" t="s">
        <v>1074</v>
      </c>
      <c r="F35" s="41" t="s">
        <v>841</v>
      </c>
      <c r="G35" s="41">
        <v>0</v>
      </c>
      <c r="H35" s="122"/>
      <c r="I35" s="41"/>
      <c r="J35" s="41">
        <f t="shared" si="0"/>
        <v>0</v>
      </c>
      <c r="K35" s="41"/>
      <c r="L35" s="41"/>
      <c r="M35" s="41">
        <f t="shared" si="1"/>
        <v>0</v>
      </c>
      <c r="N35" s="122">
        <v>30</v>
      </c>
      <c r="O35" s="41">
        <v>0</v>
      </c>
      <c r="P35" s="41">
        <f t="shared" si="2"/>
        <v>0</v>
      </c>
      <c r="Q35" s="122">
        <v>30</v>
      </c>
      <c r="R35" s="41">
        <v>0</v>
      </c>
      <c r="S35" s="41">
        <f t="shared" si="3"/>
        <v>0</v>
      </c>
      <c r="T35" s="122">
        <v>30</v>
      </c>
      <c r="U35" s="41">
        <v>0</v>
      </c>
      <c r="V35" s="41">
        <f t="shared" si="4"/>
        <v>0</v>
      </c>
      <c r="W35" s="122">
        <v>30</v>
      </c>
      <c r="X35" s="41">
        <v>0</v>
      </c>
      <c r="Y35">
        <f t="shared" si="5"/>
        <v>0</v>
      </c>
      <c r="Z35" s="122">
        <v>30</v>
      </c>
      <c r="AA35" s="41">
        <v>0</v>
      </c>
      <c r="AB35" s="41">
        <f t="shared" si="6"/>
        <v>0</v>
      </c>
      <c r="AC35" s="122">
        <v>30</v>
      </c>
      <c r="AD35" s="41">
        <v>0</v>
      </c>
      <c r="AE35" s="41">
        <f t="shared" si="7"/>
        <v>0</v>
      </c>
      <c r="AF35" s="28"/>
      <c r="AG35" s="28"/>
    </row>
    <row r="36" spans="1:33" ht="86.4" x14ac:dyDescent="0.3">
      <c r="A36" s="41"/>
      <c r="B36" s="41"/>
      <c r="C36" s="41" t="s">
        <v>1447</v>
      </c>
      <c r="D36" s="41" t="s">
        <v>1465</v>
      </c>
      <c r="E36" s="41" t="s">
        <v>1468</v>
      </c>
      <c r="F36" s="41" t="s">
        <v>709</v>
      </c>
      <c r="G36" s="67">
        <v>35000</v>
      </c>
      <c r="H36" s="122"/>
      <c r="I36" s="41"/>
      <c r="J36" s="41">
        <f t="shared" si="0"/>
        <v>0</v>
      </c>
      <c r="K36" s="41"/>
      <c r="L36" s="41"/>
      <c r="M36" s="41">
        <f t="shared" si="1"/>
        <v>0</v>
      </c>
      <c r="N36" s="122">
        <v>100</v>
      </c>
      <c r="O36" s="41">
        <v>1</v>
      </c>
      <c r="P36" s="41">
        <f t="shared" si="2"/>
        <v>4235000.0000000009</v>
      </c>
      <c r="Q36" s="122">
        <v>100</v>
      </c>
      <c r="R36" s="41">
        <v>1</v>
      </c>
      <c r="S36" s="41">
        <f t="shared" si="3"/>
        <v>4658500.0000000019</v>
      </c>
      <c r="T36" s="122">
        <v>100</v>
      </c>
      <c r="U36" s="41">
        <v>1</v>
      </c>
      <c r="V36" s="41">
        <f t="shared" si="4"/>
        <v>5124350.0000000019</v>
      </c>
      <c r="W36" s="122">
        <v>100</v>
      </c>
      <c r="X36" s="41">
        <v>1</v>
      </c>
      <c r="Y36">
        <f t="shared" si="5"/>
        <v>5636785.0000000019</v>
      </c>
      <c r="Z36" s="122">
        <v>100</v>
      </c>
      <c r="AA36" s="41">
        <v>1</v>
      </c>
      <c r="AB36" s="41">
        <f t="shared" si="6"/>
        <v>6200463.5000000028</v>
      </c>
      <c r="AC36" s="122">
        <v>100</v>
      </c>
      <c r="AD36" s="41">
        <v>1</v>
      </c>
      <c r="AE36" s="41">
        <f t="shared" si="7"/>
        <v>6820509.8500000034</v>
      </c>
      <c r="AF36" s="28"/>
      <c r="AG36" s="28"/>
    </row>
    <row r="37" spans="1:33" ht="86.4" x14ac:dyDescent="0.3">
      <c r="A37" s="41"/>
      <c r="B37" s="41"/>
      <c r="C37" s="41" t="s">
        <v>1447</v>
      </c>
      <c r="D37" s="41"/>
      <c r="E37" s="41"/>
      <c r="F37" s="41" t="s">
        <v>1297</v>
      </c>
      <c r="G37" s="67">
        <v>8000</v>
      </c>
      <c r="H37" s="122"/>
      <c r="I37" s="41"/>
      <c r="J37" s="41">
        <f t="shared" si="0"/>
        <v>0</v>
      </c>
      <c r="K37" s="41"/>
      <c r="L37" s="41"/>
      <c r="M37" s="41">
        <f t="shared" si="1"/>
        <v>0</v>
      </c>
      <c r="N37" s="122">
        <v>10</v>
      </c>
      <c r="O37" s="41">
        <v>1</v>
      </c>
      <c r="P37" s="41">
        <f t="shared" si="2"/>
        <v>96800.000000000015</v>
      </c>
      <c r="Q37" s="122">
        <v>10</v>
      </c>
      <c r="R37" s="41">
        <v>1</v>
      </c>
      <c r="S37" s="41">
        <f t="shared" si="3"/>
        <v>106480.00000000003</v>
      </c>
      <c r="T37" s="122">
        <v>10</v>
      </c>
      <c r="U37" s="41">
        <v>1</v>
      </c>
      <c r="V37" s="41">
        <f t="shared" si="4"/>
        <v>117128.00000000003</v>
      </c>
      <c r="W37" s="122">
        <v>10</v>
      </c>
      <c r="X37" s="41">
        <v>1</v>
      </c>
      <c r="Y37">
        <f t="shared" si="5"/>
        <v>128840.80000000003</v>
      </c>
      <c r="Z37" s="122">
        <v>10</v>
      </c>
      <c r="AA37" s="41">
        <v>1</v>
      </c>
      <c r="AB37" s="41">
        <f t="shared" si="6"/>
        <v>141724.88000000006</v>
      </c>
      <c r="AC37" s="122">
        <v>10</v>
      </c>
      <c r="AD37" s="41">
        <v>1</v>
      </c>
      <c r="AE37" s="41">
        <f t="shared" si="7"/>
        <v>155897.3680000001</v>
      </c>
      <c r="AF37" s="28"/>
      <c r="AG37" s="28"/>
    </row>
    <row r="38" spans="1:33" ht="86.4" x14ac:dyDescent="0.3">
      <c r="A38" s="41"/>
      <c r="B38" s="41"/>
      <c r="C38" s="41" t="s">
        <v>1447</v>
      </c>
      <c r="D38" s="41"/>
      <c r="E38" s="41"/>
      <c r="F38" s="41" t="s">
        <v>710</v>
      </c>
      <c r="G38" s="67">
        <v>104850</v>
      </c>
      <c r="H38" s="122"/>
      <c r="I38" s="41"/>
      <c r="J38" s="41">
        <f t="shared" si="0"/>
        <v>0</v>
      </c>
      <c r="K38" s="41"/>
      <c r="L38" s="41"/>
      <c r="M38" s="41">
        <f t="shared" si="1"/>
        <v>0</v>
      </c>
      <c r="N38" s="122">
        <v>1</v>
      </c>
      <c r="O38" s="41">
        <v>1</v>
      </c>
      <c r="P38" s="41">
        <f t="shared" si="2"/>
        <v>126868.50000000001</v>
      </c>
      <c r="Q38" s="122">
        <v>1</v>
      </c>
      <c r="R38" s="41">
        <v>1</v>
      </c>
      <c r="S38" s="41">
        <f t="shared" si="3"/>
        <v>139555.35000000003</v>
      </c>
      <c r="T38" s="122">
        <v>1</v>
      </c>
      <c r="U38" s="41">
        <v>1</v>
      </c>
      <c r="V38" s="41">
        <f t="shared" si="4"/>
        <v>153510.88500000004</v>
      </c>
      <c r="W38" s="122">
        <v>1</v>
      </c>
      <c r="X38" s="41">
        <v>1</v>
      </c>
      <c r="Y38">
        <f t="shared" si="5"/>
        <v>168861.97350000005</v>
      </c>
      <c r="Z38" s="122">
        <v>1</v>
      </c>
      <c r="AA38" s="41">
        <v>1</v>
      </c>
      <c r="AB38" s="41">
        <f t="shared" si="6"/>
        <v>185748.17085000008</v>
      </c>
      <c r="AC38" s="122">
        <v>1</v>
      </c>
      <c r="AD38" s="41">
        <v>1</v>
      </c>
      <c r="AE38" s="41">
        <f t="shared" si="7"/>
        <v>204322.98793500013</v>
      </c>
      <c r="AF38" s="28"/>
      <c r="AG38" s="28"/>
    </row>
    <row r="39" spans="1:33" ht="86.4" x14ac:dyDescent="0.3">
      <c r="A39" s="41"/>
      <c r="B39" s="41"/>
      <c r="C39" s="41" t="s">
        <v>1447</v>
      </c>
      <c r="D39" s="41"/>
      <c r="E39" s="41"/>
      <c r="F39" s="41" t="s">
        <v>712</v>
      </c>
      <c r="G39" s="67">
        <f>1480/7</f>
        <v>211.42857142857142</v>
      </c>
      <c r="H39" s="122"/>
      <c r="I39" s="41"/>
      <c r="J39" s="41">
        <f t="shared" si="0"/>
        <v>0</v>
      </c>
      <c r="K39" s="41"/>
      <c r="L39" s="41"/>
      <c r="M39" s="41">
        <f t="shared" si="1"/>
        <v>0</v>
      </c>
      <c r="N39" s="122">
        <v>58</v>
      </c>
      <c r="O39" s="41">
        <v>10</v>
      </c>
      <c r="P39" s="41">
        <f t="shared" si="2"/>
        <v>148380.57142857145</v>
      </c>
      <c r="Q39" s="122">
        <v>58</v>
      </c>
      <c r="R39" s="41">
        <v>10</v>
      </c>
      <c r="S39" s="41">
        <f t="shared" si="3"/>
        <v>163218.62857142862</v>
      </c>
      <c r="T39" s="122">
        <v>58</v>
      </c>
      <c r="U39" s="41">
        <v>10</v>
      </c>
      <c r="V39" s="41">
        <f t="shared" si="4"/>
        <v>179540.49142857143</v>
      </c>
      <c r="W39" s="122">
        <v>58</v>
      </c>
      <c r="X39" s="41">
        <v>10</v>
      </c>
      <c r="Y39">
        <f t="shared" si="5"/>
        <v>197494.54057142863</v>
      </c>
      <c r="Z39" s="122">
        <v>58</v>
      </c>
      <c r="AA39" s="41">
        <v>10</v>
      </c>
      <c r="AB39" s="41">
        <f t="shared" si="6"/>
        <v>217243.99462857153</v>
      </c>
      <c r="AC39" s="122">
        <v>58</v>
      </c>
      <c r="AD39" s="41">
        <v>10</v>
      </c>
      <c r="AE39" s="41">
        <f t="shared" si="7"/>
        <v>238968.39409142872</v>
      </c>
      <c r="AF39" s="28"/>
      <c r="AG39" s="28"/>
    </row>
    <row r="40" spans="1:33" ht="86.4" x14ac:dyDescent="0.3">
      <c r="A40" s="41"/>
      <c r="B40" s="41"/>
      <c r="C40" s="41" t="s">
        <v>1447</v>
      </c>
      <c r="D40" s="41"/>
      <c r="E40" s="41"/>
      <c r="F40" s="41" t="s">
        <v>1299</v>
      </c>
      <c r="G40" s="67">
        <f>1480/7</f>
        <v>211.42857142857142</v>
      </c>
      <c r="H40" s="122"/>
      <c r="I40" s="41"/>
      <c r="J40" s="41">
        <f t="shared" si="0"/>
        <v>0</v>
      </c>
      <c r="K40" s="41"/>
      <c r="L40" s="41"/>
      <c r="M40" s="41">
        <f t="shared" si="1"/>
        <v>0</v>
      </c>
      <c r="N40" s="122">
        <v>22500</v>
      </c>
      <c r="O40" s="41">
        <v>10</v>
      </c>
      <c r="P40" s="41">
        <f t="shared" si="2"/>
        <v>57561428.571428575</v>
      </c>
      <c r="Q40" s="122">
        <v>22500</v>
      </c>
      <c r="R40" s="41">
        <v>10</v>
      </c>
      <c r="S40" s="41">
        <f t="shared" si="3"/>
        <v>63317571.428571448</v>
      </c>
      <c r="T40" s="122">
        <v>22500</v>
      </c>
      <c r="U40" s="41">
        <v>10</v>
      </c>
      <c r="V40" s="41">
        <f t="shared" si="4"/>
        <v>69649328.571428582</v>
      </c>
      <c r="W40" s="122">
        <v>22500</v>
      </c>
      <c r="X40" s="41">
        <v>10</v>
      </c>
      <c r="Y40">
        <f t="shared" si="5"/>
        <v>76614261.428571448</v>
      </c>
      <c r="Z40" s="122">
        <v>22500</v>
      </c>
      <c r="AA40" s="41">
        <v>10</v>
      </c>
      <c r="AB40" s="41">
        <f t="shared" si="6"/>
        <v>84275687.571428597</v>
      </c>
      <c r="AC40" s="122">
        <v>22500</v>
      </c>
      <c r="AD40" s="41">
        <v>10</v>
      </c>
      <c r="AE40" s="41">
        <f t="shared" si="7"/>
        <v>92703256.328571498</v>
      </c>
      <c r="AF40" s="28"/>
      <c r="AG40" s="28"/>
    </row>
    <row r="41" spans="1:33" ht="86.4" x14ac:dyDescent="0.3">
      <c r="A41" s="41"/>
      <c r="B41" s="41"/>
      <c r="C41" s="41" t="s">
        <v>1447</v>
      </c>
      <c r="D41" s="41"/>
      <c r="E41" s="41"/>
      <c r="F41" s="41"/>
      <c r="G41" s="41"/>
      <c r="H41" s="122"/>
      <c r="I41" s="41"/>
      <c r="J41" s="41">
        <f t="shared" si="0"/>
        <v>0</v>
      </c>
      <c r="K41" s="41"/>
      <c r="L41" s="41"/>
      <c r="M41" s="41"/>
      <c r="N41" s="122"/>
      <c r="O41" s="41"/>
      <c r="P41" s="41">
        <f t="shared" si="2"/>
        <v>0</v>
      </c>
      <c r="Q41" s="122"/>
      <c r="R41" s="41"/>
      <c r="S41" s="41">
        <f t="shared" si="3"/>
        <v>0</v>
      </c>
      <c r="T41" s="122"/>
      <c r="U41" s="41"/>
      <c r="V41" s="41">
        <f t="shared" si="4"/>
        <v>0</v>
      </c>
      <c r="W41" s="122"/>
      <c r="X41" s="41"/>
      <c r="Z41" s="122"/>
      <c r="AA41" s="41"/>
      <c r="AB41" s="41">
        <f t="shared" si="6"/>
        <v>0</v>
      </c>
      <c r="AC41" s="122"/>
      <c r="AD41" s="41"/>
      <c r="AE41" s="41">
        <f t="shared" si="7"/>
        <v>0</v>
      </c>
      <c r="AF41" s="28"/>
      <c r="AG41" s="28"/>
    </row>
    <row r="42" spans="1:33" ht="86.4" x14ac:dyDescent="0.3">
      <c r="A42" s="41" t="s">
        <v>836</v>
      </c>
      <c r="B42" s="41" t="s">
        <v>1446</v>
      </c>
      <c r="C42" s="41" t="s">
        <v>1447</v>
      </c>
      <c r="D42" s="41" t="s">
        <v>1469</v>
      </c>
      <c r="E42" s="6" t="s">
        <v>840</v>
      </c>
      <c r="F42" s="6" t="s">
        <v>841</v>
      </c>
      <c r="G42" s="25">
        <v>0</v>
      </c>
      <c r="H42" s="123"/>
      <c r="I42" s="38"/>
      <c r="J42" s="41">
        <f t="shared" si="0"/>
        <v>0</v>
      </c>
      <c r="K42" s="123">
        <v>0</v>
      </c>
      <c r="L42" s="38">
        <v>0</v>
      </c>
      <c r="M42" s="41">
        <f t="shared" si="1"/>
        <v>0</v>
      </c>
      <c r="N42" s="41"/>
      <c r="O42" s="41"/>
      <c r="P42" s="41">
        <f t="shared" si="2"/>
        <v>0</v>
      </c>
      <c r="Q42" s="41"/>
      <c r="R42" s="41"/>
      <c r="S42" s="41">
        <f t="shared" si="3"/>
        <v>0</v>
      </c>
      <c r="T42" s="41"/>
      <c r="U42" s="41"/>
      <c r="V42" s="41">
        <f t="shared" si="4"/>
        <v>0</v>
      </c>
      <c r="W42" s="123">
        <v>0</v>
      </c>
      <c r="X42" s="38">
        <v>0</v>
      </c>
      <c r="Y42">
        <f t="shared" si="5"/>
        <v>0</v>
      </c>
      <c r="AB42" s="41">
        <f t="shared" si="6"/>
        <v>0</v>
      </c>
      <c r="AE42" s="41">
        <f t="shared" si="7"/>
        <v>0</v>
      </c>
      <c r="AF42" s="28">
        <f t="shared" si="8"/>
        <v>0</v>
      </c>
      <c r="AG42" s="28">
        <f t="shared" si="9"/>
        <v>0</v>
      </c>
    </row>
    <row r="43" spans="1:33" ht="86.4" x14ac:dyDescent="0.3">
      <c r="A43" s="41" t="s">
        <v>836</v>
      </c>
      <c r="B43" s="41" t="s">
        <v>1446</v>
      </c>
      <c r="C43" s="41" t="s">
        <v>1447</v>
      </c>
      <c r="D43" s="41" t="s">
        <v>1469</v>
      </c>
      <c r="E43" s="6" t="s">
        <v>842</v>
      </c>
      <c r="F43" s="6" t="s">
        <v>841</v>
      </c>
      <c r="G43" s="25">
        <v>0</v>
      </c>
      <c r="H43" s="123"/>
      <c r="I43" s="38"/>
      <c r="J43" s="41">
        <f t="shared" si="0"/>
        <v>0</v>
      </c>
      <c r="K43" s="123">
        <v>0</v>
      </c>
      <c r="L43" s="38">
        <v>0</v>
      </c>
      <c r="M43" s="41">
        <f t="shared" si="1"/>
        <v>0</v>
      </c>
      <c r="N43" s="41"/>
      <c r="O43" s="41"/>
      <c r="P43" s="41">
        <f t="shared" si="2"/>
        <v>0</v>
      </c>
      <c r="Q43" s="41"/>
      <c r="R43" s="41"/>
      <c r="S43" s="41">
        <f t="shared" si="3"/>
        <v>0</v>
      </c>
      <c r="T43" s="41"/>
      <c r="U43" s="41"/>
      <c r="V43" s="41">
        <f t="shared" si="4"/>
        <v>0</v>
      </c>
      <c r="W43" s="123">
        <v>0</v>
      </c>
      <c r="X43" s="38">
        <v>0</v>
      </c>
      <c r="Y43">
        <f t="shared" si="5"/>
        <v>0</v>
      </c>
      <c r="AB43" s="41">
        <f t="shared" si="6"/>
        <v>0</v>
      </c>
      <c r="AE43" s="41">
        <f t="shared" si="7"/>
        <v>0</v>
      </c>
      <c r="AF43" s="28">
        <f t="shared" si="8"/>
        <v>0</v>
      </c>
      <c r="AG43" s="28">
        <f t="shared" si="9"/>
        <v>0</v>
      </c>
    </row>
    <row r="44" spans="1:33" ht="86.4" x14ac:dyDescent="0.3">
      <c r="A44" s="41"/>
      <c r="B44" s="41"/>
      <c r="C44" s="41" t="s">
        <v>1447</v>
      </c>
      <c r="D44" s="41" t="s">
        <v>1469</v>
      </c>
      <c r="E44" s="6" t="s">
        <v>843</v>
      </c>
      <c r="F44" s="6" t="s">
        <v>709</v>
      </c>
      <c r="G44" s="25">
        <v>35000</v>
      </c>
      <c r="H44" s="123"/>
      <c r="I44" s="38"/>
      <c r="J44" s="41">
        <f t="shared" si="0"/>
        <v>0</v>
      </c>
      <c r="K44" s="123">
        <v>10</v>
      </c>
      <c r="L44" s="38">
        <v>2</v>
      </c>
      <c r="M44" s="41">
        <f t="shared" si="1"/>
        <v>770000</v>
      </c>
      <c r="N44" s="41"/>
      <c r="O44" s="41"/>
      <c r="P44" s="41">
        <f t="shared" si="2"/>
        <v>0</v>
      </c>
      <c r="Q44" s="41"/>
      <c r="R44" s="41"/>
      <c r="S44" s="41">
        <f t="shared" si="3"/>
        <v>0</v>
      </c>
      <c r="T44" s="41"/>
      <c r="U44" s="41"/>
      <c r="V44" s="41">
        <f t="shared" si="4"/>
        <v>0</v>
      </c>
      <c r="W44" s="123">
        <v>10</v>
      </c>
      <c r="X44" s="38">
        <v>2</v>
      </c>
      <c r="Y44">
        <f t="shared" si="5"/>
        <v>1127357.0000000005</v>
      </c>
      <c r="AB44" s="41">
        <f t="shared" si="6"/>
        <v>0</v>
      </c>
      <c r="AE44" s="41">
        <f t="shared" si="7"/>
        <v>0</v>
      </c>
      <c r="AF44" s="28"/>
      <c r="AG44" s="28"/>
    </row>
    <row r="45" spans="1:33" ht="86.4" x14ac:dyDescent="0.3">
      <c r="A45" s="41"/>
      <c r="B45" s="41"/>
      <c r="C45" s="41" t="s">
        <v>1447</v>
      </c>
      <c r="D45" s="41" t="s">
        <v>1469</v>
      </c>
      <c r="E45" s="6" t="s">
        <v>149</v>
      </c>
      <c r="F45" s="6" t="s">
        <v>707</v>
      </c>
      <c r="G45" s="25">
        <v>391991.03749999998</v>
      </c>
      <c r="H45" s="123"/>
      <c r="I45" s="38"/>
      <c r="J45" s="41">
        <f t="shared" si="0"/>
        <v>0</v>
      </c>
      <c r="K45" s="123">
        <v>2</v>
      </c>
      <c r="L45" s="38">
        <v>2</v>
      </c>
      <c r="M45" s="41">
        <f t="shared" si="1"/>
        <v>1724760.5649999999</v>
      </c>
      <c r="N45" s="41"/>
      <c r="O45" s="41"/>
      <c r="P45" s="41">
        <f t="shared" si="2"/>
        <v>0</v>
      </c>
      <c r="Q45" s="41"/>
      <c r="R45" s="41"/>
      <c r="S45" s="41">
        <f t="shared" si="3"/>
        <v>0</v>
      </c>
      <c r="T45" s="41"/>
      <c r="U45" s="41"/>
      <c r="V45" s="41">
        <f t="shared" si="4"/>
        <v>0</v>
      </c>
      <c r="W45" s="123">
        <v>2</v>
      </c>
      <c r="X45" s="38">
        <v>2</v>
      </c>
      <c r="Y45">
        <f t="shared" si="5"/>
        <v>2525221.9432165008</v>
      </c>
      <c r="AB45" s="41">
        <f t="shared" si="6"/>
        <v>0</v>
      </c>
      <c r="AE45" s="41">
        <f t="shared" si="7"/>
        <v>0</v>
      </c>
      <c r="AF45" s="28"/>
      <c r="AG45" s="28"/>
    </row>
    <row r="46" spans="1:33" ht="86.4" x14ac:dyDescent="0.3">
      <c r="A46" s="41"/>
      <c r="B46" s="41"/>
      <c r="C46" s="41" t="s">
        <v>1447</v>
      </c>
      <c r="D46" s="41" t="s">
        <v>1469</v>
      </c>
      <c r="E46" s="6" t="s">
        <v>149</v>
      </c>
      <c r="F46" s="6" t="s">
        <v>708</v>
      </c>
      <c r="G46" s="25">
        <f>500*1022</f>
        <v>511000</v>
      </c>
      <c r="H46" s="123"/>
      <c r="I46" s="38"/>
      <c r="J46" s="41">
        <f t="shared" si="0"/>
        <v>0</v>
      </c>
      <c r="K46" s="123">
        <v>1</v>
      </c>
      <c r="L46" s="38">
        <v>25</v>
      </c>
      <c r="M46" s="41">
        <f t="shared" si="1"/>
        <v>14052500</v>
      </c>
      <c r="N46" s="41"/>
      <c r="O46" s="41"/>
      <c r="P46" s="41">
        <f t="shared" si="2"/>
        <v>0</v>
      </c>
      <c r="Q46" s="41"/>
      <c r="R46" s="41"/>
      <c r="S46" s="41">
        <f t="shared" si="3"/>
        <v>0</v>
      </c>
      <c r="T46" s="41"/>
      <c r="U46" s="41"/>
      <c r="V46" s="41">
        <f t="shared" si="4"/>
        <v>0</v>
      </c>
      <c r="W46" s="123">
        <v>1</v>
      </c>
      <c r="X46" s="38">
        <v>25</v>
      </c>
      <c r="Y46">
        <f t="shared" si="5"/>
        <v>20574265.250000007</v>
      </c>
      <c r="AB46" s="41">
        <f t="shared" si="6"/>
        <v>0</v>
      </c>
      <c r="AE46" s="41">
        <f t="shared" si="7"/>
        <v>0</v>
      </c>
      <c r="AF46" s="28"/>
      <c r="AG46" s="28"/>
    </row>
    <row r="47" spans="1:33" ht="86.4" x14ac:dyDescent="0.3">
      <c r="A47" s="41"/>
      <c r="B47" s="41"/>
      <c r="C47" s="41" t="s">
        <v>1447</v>
      </c>
      <c r="D47" s="41" t="s">
        <v>1469</v>
      </c>
      <c r="E47" s="6" t="s">
        <v>150</v>
      </c>
      <c r="F47" s="6" t="s">
        <v>841</v>
      </c>
      <c r="G47" s="25">
        <v>0</v>
      </c>
      <c r="H47" s="123"/>
      <c r="I47" s="38"/>
      <c r="J47" s="41">
        <f t="shared" si="0"/>
        <v>0</v>
      </c>
      <c r="K47" s="123">
        <v>0</v>
      </c>
      <c r="L47" s="38">
        <v>0</v>
      </c>
      <c r="M47" s="41">
        <f t="shared" si="1"/>
        <v>0</v>
      </c>
      <c r="N47" s="41"/>
      <c r="O47" s="41"/>
      <c r="P47" s="41">
        <f t="shared" si="2"/>
        <v>0</v>
      </c>
      <c r="Q47" s="41"/>
      <c r="R47" s="41"/>
      <c r="S47" s="41">
        <f t="shared" si="3"/>
        <v>0</v>
      </c>
      <c r="T47" s="41"/>
      <c r="U47" s="41"/>
      <c r="V47" s="41">
        <f t="shared" si="4"/>
        <v>0</v>
      </c>
      <c r="W47" s="123">
        <v>0</v>
      </c>
      <c r="X47" s="38">
        <v>0</v>
      </c>
      <c r="Y47">
        <f t="shared" si="5"/>
        <v>0</v>
      </c>
      <c r="AB47" s="41">
        <f t="shared" si="6"/>
        <v>0</v>
      </c>
      <c r="AE47" s="41">
        <f t="shared" si="7"/>
        <v>0</v>
      </c>
      <c r="AF47" s="28"/>
      <c r="AG47" s="28"/>
    </row>
    <row r="48" spans="1:33" ht="86.4" x14ac:dyDescent="0.3">
      <c r="A48" s="41"/>
      <c r="B48" s="41"/>
      <c r="C48" s="41" t="s">
        <v>1447</v>
      </c>
      <c r="D48" s="41" t="s">
        <v>1469</v>
      </c>
      <c r="E48" s="6" t="s">
        <v>1304</v>
      </c>
      <c r="F48" s="6" t="s">
        <v>709</v>
      </c>
      <c r="G48" s="25">
        <v>35000</v>
      </c>
      <c r="H48" s="123"/>
      <c r="I48" s="38"/>
      <c r="J48" s="41">
        <f t="shared" si="0"/>
        <v>0</v>
      </c>
      <c r="K48" s="123">
        <v>26</v>
      </c>
      <c r="L48" s="38">
        <v>5</v>
      </c>
      <c r="M48" s="41">
        <f t="shared" si="1"/>
        <v>5005000</v>
      </c>
      <c r="N48" s="41"/>
      <c r="O48" s="41"/>
      <c r="P48" s="41">
        <f t="shared" si="2"/>
        <v>0</v>
      </c>
      <c r="Q48" s="41"/>
      <c r="R48" s="41"/>
      <c r="S48" s="41">
        <f t="shared" si="3"/>
        <v>0</v>
      </c>
      <c r="T48" s="41"/>
      <c r="U48" s="41"/>
      <c r="V48" s="41">
        <f t="shared" si="4"/>
        <v>0</v>
      </c>
      <c r="W48" s="123">
        <v>26</v>
      </c>
      <c r="X48" s="38">
        <v>5</v>
      </c>
      <c r="Y48">
        <f t="shared" si="5"/>
        <v>7327820.5000000028</v>
      </c>
      <c r="AB48" s="41">
        <f t="shared" si="6"/>
        <v>0</v>
      </c>
      <c r="AE48" s="41">
        <f t="shared" si="7"/>
        <v>0</v>
      </c>
      <c r="AF48" s="28"/>
      <c r="AG48" s="28"/>
    </row>
    <row r="49" spans="1:33" ht="86.4" x14ac:dyDescent="0.3">
      <c r="A49" s="41"/>
      <c r="B49" s="41"/>
      <c r="C49" s="41" t="s">
        <v>1447</v>
      </c>
      <c r="D49" s="41" t="s">
        <v>1469</v>
      </c>
      <c r="E49" s="6" t="s">
        <v>1304</v>
      </c>
      <c r="F49" s="6" t="s">
        <v>716</v>
      </c>
      <c r="G49" s="25">
        <v>39000</v>
      </c>
      <c r="H49" s="123"/>
      <c r="I49" s="38"/>
      <c r="J49" s="41">
        <f t="shared" si="0"/>
        <v>0</v>
      </c>
      <c r="K49" s="123">
        <v>26</v>
      </c>
      <c r="L49" s="38">
        <v>6</v>
      </c>
      <c r="M49" s="41">
        <f t="shared" si="1"/>
        <v>6692400</v>
      </c>
      <c r="N49" s="41"/>
      <c r="O49" s="41"/>
      <c r="P49" s="41">
        <f t="shared" si="2"/>
        <v>0</v>
      </c>
      <c r="Q49" s="41"/>
      <c r="R49" s="41"/>
      <c r="S49" s="41">
        <f t="shared" si="3"/>
        <v>0</v>
      </c>
      <c r="T49" s="41"/>
      <c r="U49" s="41"/>
      <c r="V49" s="41">
        <f t="shared" si="4"/>
        <v>0</v>
      </c>
      <c r="W49" s="123">
        <v>26</v>
      </c>
      <c r="X49" s="38">
        <v>6</v>
      </c>
      <c r="Y49">
        <f t="shared" si="5"/>
        <v>9798342.8400000036</v>
      </c>
      <c r="AB49" s="41">
        <f t="shared" si="6"/>
        <v>0</v>
      </c>
      <c r="AE49" s="41">
        <f t="shared" si="7"/>
        <v>0</v>
      </c>
      <c r="AF49" s="28"/>
      <c r="AG49" s="28"/>
    </row>
    <row r="50" spans="1:33" ht="86.4" x14ac:dyDescent="0.3">
      <c r="A50" s="41"/>
      <c r="B50" s="41"/>
      <c r="C50" s="41" t="s">
        <v>1447</v>
      </c>
      <c r="D50" s="41" t="s">
        <v>1469</v>
      </c>
      <c r="E50" s="6" t="s">
        <v>1304</v>
      </c>
      <c r="F50" s="6" t="s">
        <v>1306</v>
      </c>
      <c r="G50" s="25">
        <v>211.43</v>
      </c>
      <c r="H50" s="123"/>
      <c r="I50" s="38"/>
      <c r="J50" s="41">
        <f t="shared" si="0"/>
        <v>0</v>
      </c>
      <c r="K50" s="123">
        <f>135*2*9</f>
        <v>2430</v>
      </c>
      <c r="L50" s="38">
        <v>1</v>
      </c>
      <c r="M50" s="41">
        <f t="shared" si="1"/>
        <v>565152.39000000013</v>
      </c>
      <c r="N50" s="41"/>
      <c r="O50" s="41"/>
      <c r="P50" s="41">
        <f t="shared" si="2"/>
        <v>0</v>
      </c>
      <c r="Q50" s="41"/>
      <c r="R50" s="41"/>
      <c r="S50" s="41">
        <f t="shared" si="3"/>
        <v>0</v>
      </c>
      <c r="T50" s="41"/>
      <c r="U50" s="41"/>
      <c r="V50" s="41">
        <f t="shared" si="4"/>
        <v>0</v>
      </c>
      <c r="W50" s="123">
        <f>135*2*9</f>
        <v>2430</v>
      </c>
      <c r="X50" s="38">
        <v>1</v>
      </c>
      <c r="Y50">
        <f t="shared" si="5"/>
        <v>827439.61419900029</v>
      </c>
      <c r="AB50" s="41">
        <f t="shared" si="6"/>
        <v>0</v>
      </c>
      <c r="AE50" s="41">
        <f t="shared" si="7"/>
        <v>0</v>
      </c>
      <c r="AF50" s="28"/>
      <c r="AG50" s="28"/>
    </row>
    <row r="51" spans="1:33" ht="86.4" x14ac:dyDescent="0.3">
      <c r="A51" s="41"/>
      <c r="B51" s="41"/>
      <c r="C51" s="41" t="s">
        <v>1447</v>
      </c>
      <c r="D51" s="41" t="s">
        <v>1469</v>
      </c>
      <c r="E51" s="6" t="s">
        <v>1304</v>
      </c>
      <c r="F51" s="6" t="s">
        <v>1307</v>
      </c>
      <c r="G51" s="25">
        <f>1480/7</f>
        <v>211.42857142857142</v>
      </c>
      <c r="H51" s="123"/>
      <c r="I51" s="38"/>
      <c r="J51" s="41">
        <f t="shared" si="0"/>
        <v>0</v>
      </c>
      <c r="K51" s="123">
        <f>25*9*2</f>
        <v>450</v>
      </c>
      <c r="L51" s="38">
        <v>5</v>
      </c>
      <c r="M51" s="41">
        <f t="shared" si="1"/>
        <v>523285.71428571432</v>
      </c>
      <c r="N51" s="41"/>
      <c r="O51" s="41"/>
      <c r="P51" s="41">
        <f t="shared" si="2"/>
        <v>0</v>
      </c>
      <c r="Q51" s="41"/>
      <c r="R51" s="41"/>
      <c r="S51" s="41">
        <f t="shared" si="3"/>
        <v>0</v>
      </c>
      <c r="T51" s="41"/>
      <c r="U51" s="41"/>
      <c r="V51" s="41">
        <f t="shared" si="4"/>
        <v>0</v>
      </c>
      <c r="W51" s="123">
        <f>25*9*2</f>
        <v>450</v>
      </c>
      <c r="X51" s="38">
        <v>5</v>
      </c>
      <c r="Y51">
        <f t="shared" si="5"/>
        <v>766142.61428571446</v>
      </c>
      <c r="AB51" s="41">
        <f t="shared" si="6"/>
        <v>0</v>
      </c>
      <c r="AE51" s="41">
        <f t="shared" si="7"/>
        <v>0</v>
      </c>
      <c r="AF51" s="28"/>
      <c r="AG51" s="28"/>
    </row>
    <row r="52" spans="1:33" ht="86.4" x14ac:dyDescent="0.3">
      <c r="A52" s="41"/>
      <c r="B52" s="41"/>
      <c r="C52" s="41" t="s">
        <v>1447</v>
      </c>
      <c r="D52" s="41" t="s">
        <v>1469</v>
      </c>
      <c r="E52" s="6" t="s">
        <v>1305</v>
      </c>
      <c r="F52" s="6" t="s">
        <v>710</v>
      </c>
      <c r="G52" s="25">
        <v>104850</v>
      </c>
      <c r="H52" s="123"/>
      <c r="I52" s="38"/>
      <c r="J52" s="41">
        <f t="shared" si="0"/>
        <v>0</v>
      </c>
      <c r="K52" s="123">
        <v>1</v>
      </c>
      <c r="L52" s="38">
        <v>1</v>
      </c>
      <c r="M52" s="41">
        <f t="shared" si="1"/>
        <v>115335.00000000001</v>
      </c>
      <c r="N52" s="41"/>
      <c r="O52" s="41"/>
      <c r="P52" s="41">
        <f t="shared" si="2"/>
        <v>0</v>
      </c>
      <c r="Q52" s="41"/>
      <c r="R52" s="41"/>
      <c r="S52" s="41">
        <f t="shared" si="3"/>
        <v>0</v>
      </c>
      <c r="T52" s="41"/>
      <c r="U52" s="41"/>
      <c r="V52" s="41">
        <f t="shared" si="4"/>
        <v>0</v>
      </c>
      <c r="W52" s="123">
        <v>1</v>
      </c>
      <c r="X52" s="38">
        <v>1</v>
      </c>
      <c r="Y52">
        <f t="shared" si="5"/>
        <v>168861.97350000005</v>
      </c>
      <c r="AB52" s="41">
        <f t="shared" si="6"/>
        <v>0</v>
      </c>
      <c r="AE52" s="41">
        <f t="shared" si="7"/>
        <v>0</v>
      </c>
      <c r="AF52" s="28"/>
      <c r="AG52" s="28"/>
    </row>
    <row r="53" spans="1:33" ht="86.4" x14ac:dyDescent="0.3">
      <c r="A53" s="41"/>
      <c r="B53" s="41"/>
      <c r="C53" s="41" t="s">
        <v>1447</v>
      </c>
      <c r="D53" s="41" t="s">
        <v>1469</v>
      </c>
      <c r="E53" s="6" t="s">
        <v>844</v>
      </c>
      <c r="F53" s="6" t="s">
        <v>1308</v>
      </c>
      <c r="G53" s="25">
        <v>8000</v>
      </c>
      <c r="H53" s="123"/>
      <c r="I53" s="38"/>
      <c r="J53" s="41">
        <f t="shared" si="0"/>
        <v>0</v>
      </c>
      <c r="K53" s="123">
        <v>10</v>
      </c>
      <c r="L53" s="38">
        <v>1</v>
      </c>
      <c r="M53" s="41">
        <f t="shared" si="1"/>
        <v>88000</v>
      </c>
      <c r="N53" s="41"/>
      <c r="O53" s="41"/>
      <c r="P53" s="41">
        <f t="shared" si="2"/>
        <v>0</v>
      </c>
      <c r="Q53" s="41"/>
      <c r="R53" s="41"/>
      <c r="S53" s="41">
        <f t="shared" si="3"/>
        <v>0</v>
      </c>
      <c r="T53" s="41"/>
      <c r="U53" s="41"/>
      <c r="V53" s="41">
        <f t="shared" si="4"/>
        <v>0</v>
      </c>
      <c r="W53" s="123">
        <v>10</v>
      </c>
      <c r="X53" s="38">
        <v>1</v>
      </c>
      <c r="Y53">
        <f t="shared" si="5"/>
        <v>128840.80000000003</v>
      </c>
      <c r="AB53" s="41">
        <f t="shared" si="6"/>
        <v>0</v>
      </c>
      <c r="AE53" s="41">
        <f t="shared" si="7"/>
        <v>0</v>
      </c>
      <c r="AF53" s="28"/>
      <c r="AG53" s="28"/>
    </row>
    <row r="54" spans="1:33" ht="86.4" x14ac:dyDescent="0.3">
      <c r="A54" s="41"/>
      <c r="B54" s="41"/>
      <c r="C54" s="41" t="s">
        <v>1447</v>
      </c>
      <c r="D54" s="41" t="s">
        <v>1469</v>
      </c>
      <c r="E54" s="6" t="s">
        <v>845</v>
      </c>
      <c r="F54" s="6" t="s">
        <v>1310</v>
      </c>
      <c r="G54" s="25">
        <f>1480/7</f>
        <v>211.42857142857142</v>
      </c>
      <c r="H54" s="123"/>
      <c r="I54" s="38"/>
      <c r="J54" s="41">
        <f t="shared" si="0"/>
        <v>0</v>
      </c>
      <c r="K54" s="123">
        <f>9*180*2</f>
        <v>3240</v>
      </c>
      <c r="L54" s="38">
        <v>1</v>
      </c>
      <c r="M54" s="41">
        <f t="shared" si="1"/>
        <v>753531.42857142864</v>
      </c>
      <c r="N54" s="41"/>
      <c r="O54" s="41"/>
      <c r="P54" s="41">
        <f t="shared" si="2"/>
        <v>0</v>
      </c>
      <c r="Q54" s="41"/>
      <c r="R54" s="41"/>
      <c r="S54" s="41">
        <f t="shared" si="3"/>
        <v>0</v>
      </c>
      <c r="T54" s="41"/>
      <c r="U54" s="41"/>
      <c r="V54" s="41">
        <f t="shared" si="4"/>
        <v>0</v>
      </c>
      <c r="W54" s="123">
        <f>9*180*2</f>
        <v>3240</v>
      </c>
      <c r="X54" s="38">
        <v>1</v>
      </c>
      <c r="Y54">
        <f t="shared" si="5"/>
        <v>1103245.3645714289</v>
      </c>
      <c r="AB54" s="41">
        <f t="shared" si="6"/>
        <v>0</v>
      </c>
      <c r="AE54" s="41">
        <f t="shared" si="7"/>
        <v>0</v>
      </c>
      <c r="AF54" s="28"/>
      <c r="AG54" s="28"/>
    </row>
    <row r="55" spans="1:33" ht="86.4" x14ac:dyDescent="0.3">
      <c r="A55" s="41"/>
      <c r="B55" s="41"/>
      <c r="C55" s="41" t="s">
        <v>1447</v>
      </c>
      <c r="D55" s="41" t="s">
        <v>1469</v>
      </c>
      <c r="E55" s="6" t="s">
        <v>845</v>
      </c>
      <c r="F55" s="6" t="s">
        <v>1309</v>
      </c>
      <c r="G55" s="25">
        <f>1480/7</f>
        <v>211.42857142857142</v>
      </c>
      <c r="H55" s="123"/>
      <c r="I55" s="38"/>
      <c r="J55" s="41">
        <f t="shared" si="0"/>
        <v>0</v>
      </c>
      <c r="K55" s="123">
        <f>9*50*2</f>
        <v>900</v>
      </c>
      <c r="L55" s="38">
        <v>2</v>
      </c>
      <c r="M55" s="41">
        <f t="shared" si="1"/>
        <v>418628.57142857148</v>
      </c>
      <c r="N55" s="41"/>
      <c r="O55" s="41"/>
      <c r="P55" s="41">
        <f t="shared" si="2"/>
        <v>0</v>
      </c>
      <c r="Q55" s="41"/>
      <c r="R55" s="41"/>
      <c r="S55" s="41">
        <f t="shared" si="3"/>
        <v>0</v>
      </c>
      <c r="T55" s="41"/>
      <c r="U55" s="41"/>
      <c r="V55" s="41">
        <f t="shared" si="4"/>
        <v>0</v>
      </c>
      <c r="W55" s="123">
        <f>9*50*2</f>
        <v>900</v>
      </c>
      <c r="X55" s="38">
        <v>2</v>
      </c>
      <c r="Y55">
        <f t="shared" si="5"/>
        <v>612914.09142857161</v>
      </c>
      <c r="AB55" s="41">
        <f t="shared" si="6"/>
        <v>0</v>
      </c>
      <c r="AE55" s="41">
        <f t="shared" si="7"/>
        <v>0</v>
      </c>
      <c r="AF55" s="28"/>
      <c r="AG55" s="28"/>
    </row>
    <row r="56" spans="1:33" ht="86.4" x14ac:dyDescent="0.3">
      <c r="A56" s="41"/>
      <c r="B56" s="41"/>
      <c r="C56" s="41" t="s">
        <v>1447</v>
      </c>
      <c r="D56" s="41" t="s">
        <v>1469</v>
      </c>
      <c r="E56" s="6" t="s">
        <v>845</v>
      </c>
      <c r="F56" s="6" t="s">
        <v>713</v>
      </c>
      <c r="G56" s="25">
        <v>45000</v>
      </c>
      <c r="H56" s="123"/>
      <c r="I56" s="38"/>
      <c r="J56" s="41">
        <f t="shared" si="0"/>
        <v>0</v>
      </c>
      <c r="K56" s="123">
        <v>25</v>
      </c>
      <c r="L56" s="38">
        <v>3</v>
      </c>
      <c r="M56" s="41">
        <f t="shared" si="1"/>
        <v>3712500.0000000009</v>
      </c>
      <c r="N56" s="41"/>
      <c r="O56" s="41"/>
      <c r="P56" s="41">
        <f t="shared" si="2"/>
        <v>0</v>
      </c>
      <c r="Q56" s="41"/>
      <c r="R56" s="41"/>
      <c r="S56" s="41">
        <f t="shared" si="3"/>
        <v>0</v>
      </c>
      <c r="T56" s="41"/>
      <c r="U56" s="41"/>
      <c r="V56" s="41">
        <f t="shared" si="4"/>
        <v>0</v>
      </c>
      <c r="W56" s="123">
        <v>25</v>
      </c>
      <c r="X56" s="38">
        <v>3</v>
      </c>
      <c r="Y56">
        <f t="shared" si="5"/>
        <v>5435471.2500000019</v>
      </c>
      <c r="AB56" s="41">
        <f t="shared" si="6"/>
        <v>0</v>
      </c>
      <c r="AE56" s="41">
        <f t="shared" si="7"/>
        <v>0</v>
      </c>
      <c r="AF56" s="28"/>
      <c r="AG56" s="28"/>
    </row>
    <row r="57" spans="1:33" ht="86.4" x14ac:dyDescent="0.3">
      <c r="A57" s="41"/>
      <c r="B57" s="41"/>
      <c r="C57" s="41" t="s">
        <v>1447</v>
      </c>
      <c r="D57" s="41" t="s">
        <v>1469</v>
      </c>
      <c r="E57" s="6" t="s">
        <v>846</v>
      </c>
      <c r="F57" s="6" t="s">
        <v>709</v>
      </c>
      <c r="G57" s="25">
        <v>35000</v>
      </c>
      <c r="H57" s="123"/>
      <c r="I57" s="38"/>
      <c r="J57" s="41">
        <f t="shared" si="0"/>
        <v>0</v>
      </c>
      <c r="K57" s="123">
        <v>26</v>
      </c>
      <c r="L57" s="38">
        <v>1</v>
      </c>
      <c r="M57" s="41">
        <f t="shared" si="1"/>
        <v>1001000</v>
      </c>
      <c r="N57" s="41"/>
      <c r="O57" s="41"/>
      <c r="P57" s="41">
        <f t="shared" si="2"/>
        <v>0</v>
      </c>
      <c r="Q57" s="41"/>
      <c r="R57" s="41"/>
      <c r="S57" s="41">
        <f t="shared" si="3"/>
        <v>0</v>
      </c>
      <c r="T57" s="41"/>
      <c r="U57" s="41"/>
      <c r="V57" s="41">
        <f t="shared" si="4"/>
        <v>0</v>
      </c>
      <c r="W57" s="123">
        <v>26</v>
      </c>
      <c r="X57" s="38">
        <v>1</v>
      </c>
      <c r="Y57">
        <f t="shared" si="5"/>
        <v>1465564.1000000006</v>
      </c>
      <c r="AB57" s="41">
        <f t="shared" si="6"/>
        <v>0</v>
      </c>
      <c r="AE57" s="41">
        <f t="shared" si="7"/>
        <v>0</v>
      </c>
      <c r="AF57" s="28"/>
      <c r="AG57" s="28"/>
    </row>
    <row r="58" spans="1:33" ht="86.4" x14ac:dyDescent="0.3">
      <c r="A58" s="41"/>
      <c r="B58" s="41"/>
      <c r="C58" s="41" t="s">
        <v>1447</v>
      </c>
      <c r="D58" s="41" t="s">
        <v>1469</v>
      </c>
      <c r="E58" s="6" t="s">
        <v>151</v>
      </c>
      <c r="F58" s="6" t="s">
        <v>713</v>
      </c>
      <c r="G58" s="25">
        <v>45000</v>
      </c>
      <c r="H58" s="123"/>
      <c r="I58" s="38"/>
      <c r="J58" s="41">
        <f t="shared" si="0"/>
        <v>0</v>
      </c>
      <c r="K58" s="123">
        <v>26</v>
      </c>
      <c r="L58" s="38">
        <v>6</v>
      </c>
      <c r="M58" s="41">
        <f t="shared" si="1"/>
        <v>7722000.0000000019</v>
      </c>
      <c r="N58" s="41"/>
      <c r="O58" s="41"/>
      <c r="P58" s="41">
        <f t="shared" si="2"/>
        <v>0</v>
      </c>
      <c r="Q58" s="41"/>
      <c r="R58" s="41"/>
      <c r="S58" s="41">
        <f t="shared" si="3"/>
        <v>0</v>
      </c>
      <c r="T58" s="41"/>
      <c r="U58" s="41"/>
      <c r="V58" s="41">
        <f t="shared" si="4"/>
        <v>0</v>
      </c>
      <c r="W58" s="123">
        <v>26</v>
      </c>
      <c r="X58" s="38">
        <v>6</v>
      </c>
      <c r="Y58">
        <f t="shared" si="5"/>
        <v>11305780.200000003</v>
      </c>
      <c r="AB58" s="41">
        <f t="shared" si="6"/>
        <v>0</v>
      </c>
      <c r="AE58" s="41">
        <f t="shared" si="7"/>
        <v>0</v>
      </c>
      <c r="AF58" s="28"/>
      <c r="AG58" s="28"/>
    </row>
    <row r="59" spans="1:33" ht="86.4" x14ac:dyDescent="0.3">
      <c r="A59" s="41"/>
      <c r="B59" s="41"/>
      <c r="C59" s="41" t="s">
        <v>1447</v>
      </c>
      <c r="D59" s="41" t="s">
        <v>1469</v>
      </c>
      <c r="E59" s="6" t="s">
        <v>151</v>
      </c>
      <c r="F59" s="6" t="s">
        <v>1311</v>
      </c>
      <c r="G59" s="25">
        <v>211.43</v>
      </c>
      <c r="H59" s="123"/>
      <c r="I59" s="38"/>
      <c r="J59" s="41">
        <f t="shared" si="0"/>
        <v>0</v>
      </c>
      <c r="K59" s="123">
        <v>22500</v>
      </c>
      <c r="L59" s="38">
        <v>1</v>
      </c>
      <c r="M59" s="41">
        <f t="shared" si="1"/>
        <v>5232892.5000000009</v>
      </c>
      <c r="N59" s="41"/>
      <c r="O59" s="41"/>
      <c r="P59" s="41">
        <f t="shared" si="2"/>
        <v>0</v>
      </c>
      <c r="Q59" s="41"/>
      <c r="R59" s="41"/>
      <c r="S59" s="41">
        <f t="shared" si="3"/>
        <v>0</v>
      </c>
      <c r="T59" s="41"/>
      <c r="U59" s="41"/>
      <c r="V59" s="41">
        <f t="shared" si="4"/>
        <v>0</v>
      </c>
      <c r="W59" s="123">
        <v>22500</v>
      </c>
      <c r="X59" s="38">
        <v>1</v>
      </c>
      <c r="Y59">
        <f t="shared" si="5"/>
        <v>7661477.9092500033</v>
      </c>
      <c r="AB59" s="41">
        <f t="shared" si="6"/>
        <v>0</v>
      </c>
      <c r="AE59" s="41">
        <f t="shared" si="7"/>
        <v>0</v>
      </c>
      <c r="AF59" s="28"/>
      <c r="AG59" s="28"/>
    </row>
    <row r="60" spans="1:33" ht="86.4" x14ac:dyDescent="0.3">
      <c r="A60" s="41"/>
      <c r="B60" s="41"/>
      <c r="C60" s="41" t="s">
        <v>1447</v>
      </c>
      <c r="D60" s="41" t="s">
        <v>1469</v>
      </c>
      <c r="E60" s="6" t="s">
        <v>151</v>
      </c>
      <c r="F60" s="6" t="s">
        <v>712</v>
      </c>
      <c r="G60" s="25">
        <f>1480/7</f>
        <v>211.42857142857142</v>
      </c>
      <c r="H60" s="123"/>
      <c r="I60" s="38"/>
      <c r="J60" s="41">
        <f t="shared" si="0"/>
        <v>0</v>
      </c>
      <c r="K60" s="123">
        <f>9*100</f>
        <v>900</v>
      </c>
      <c r="L60" s="38">
        <v>5</v>
      </c>
      <c r="M60" s="41">
        <f t="shared" si="1"/>
        <v>1046571.4285714286</v>
      </c>
      <c r="N60" s="41"/>
      <c r="O60" s="41"/>
      <c r="P60" s="41">
        <f t="shared" si="2"/>
        <v>0</v>
      </c>
      <c r="Q60" s="41"/>
      <c r="R60" s="41"/>
      <c r="S60" s="41">
        <f t="shared" si="3"/>
        <v>0</v>
      </c>
      <c r="T60" s="41"/>
      <c r="U60" s="41"/>
      <c r="V60" s="41">
        <f t="shared" si="4"/>
        <v>0</v>
      </c>
      <c r="W60" s="123">
        <f>9*100</f>
        <v>900</v>
      </c>
      <c r="X60" s="38">
        <v>5</v>
      </c>
      <c r="Y60">
        <f t="shared" si="5"/>
        <v>1532285.2285714289</v>
      </c>
      <c r="AB60" s="41">
        <f t="shared" si="6"/>
        <v>0</v>
      </c>
      <c r="AE60" s="41">
        <f t="shared" si="7"/>
        <v>0</v>
      </c>
      <c r="AF60" s="28"/>
      <c r="AG60" s="28"/>
    </row>
    <row r="61" spans="1:33" ht="86.4" x14ac:dyDescent="0.3">
      <c r="A61" s="41"/>
      <c r="B61" s="41"/>
      <c r="C61" s="41" t="s">
        <v>1447</v>
      </c>
      <c r="D61" s="41" t="s">
        <v>1469</v>
      </c>
      <c r="E61" s="6" t="s">
        <v>151</v>
      </c>
      <c r="F61" s="6" t="s">
        <v>714</v>
      </c>
      <c r="G61" s="25">
        <v>10000</v>
      </c>
      <c r="H61" s="123"/>
      <c r="I61" s="38"/>
      <c r="J61" s="41">
        <f t="shared" si="0"/>
        <v>0</v>
      </c>
      <c r="K61" s="123">
        <v>20</v>
      </c>
      <c r="L61" s="38">
        <v>1</v>
      </c>
      <c r="M61" s="41">
        <f t="shared" si="1"/>
        <v>220000</v>
      </c>
      <c r="N61" s="41"/>
      <c r="O61" s="41"/>
      <c r="P61" s="41">
        <f t="shared" si="2"/>
        <v>0</v>
      </c>
      <c r="Q61" s="41"/>
      <c r="R61" s="41"/>
      <c r="S61" s="41">
        <f t="shared" si="3"/>
        <v>0</v>
      </c>
      <c r="T61" s="41"/>
      <c r="U61" s="41"/>
      <c r="V61" s="41">
        <f t="shared" si="4"/>
        <v>0</v>
      </c>
      <c r="W61" s="123">
        <v>20</v>
      </c>
      <c r="X61" s="38">
        <v>1</v>
      </c>
      <c r="Y61">
        <f t="shared" si="5"/>
        <v>322102.00000000012</v>
      </c>
      <c r="AB61" s="41">
        <f t="shared" si="6"/>
        <v>0</v>
      </c>
      <c r="AE61" s="41">
        <f t="shared" si="7"/>
        <v>0</v>
      </c>
      <c r="AF61" s="28"/>
      <c r="AG61" s="28"/>
    </row>
    <row r="62" spans="1:33" ht="86.4" x14ac:dyDescent="0.3">
      <c r="A62" s="41"/>
      <c r="B62" s="41"/>
      <c r="C62" s="41" t="s">
        <v>1447</v>
      </c>
      <c r="D62" s="41" t="s">
        <v>1469</v>
      </c>
      <c r="E62" s="6" t="s">
        <v>151</v>
      </c>
      <c r="F62" s="6" t="s">
        <v>715</v>
      </c>
      <c r="G62" s="25">
        <v>302000</v>
      </c>
      <c r="H62" s="123"/>
      <c r="I62" s="38"/>
      <c r="J62" s="41">
        <f t="shared" si="0"/>
        <v>0</v>
      </c>
      <c r="K62" s="123">
        <v>26</v>
      </c>
      <c r="L62" s="38">
        <v>1</v>
      </c>
      <c r="M62" s="41">
        <f t="shared" si="1"/>
        <v>8637200</v>
      </c>
      <c r="N62" s="41"/>
      <c r="O62" s="41"/>
      <c r="P62" s="41">
        <f t="shared" si="2"/>
        <v>0</v>
      </c>
      <c r="Q62" s="41"/>
      <c r="R62" s="41"/>
      <c r="S62" s="41">
        <f t="shared" si="3"/>
        <v>0</v>
      </c>
      <c r="T62" s="41"/>
      <c r="U62" s="41"/>
      <c r="V62" s="41">
        <f t="shared" si="4"/>
        <v>0</v>
      </c>
      <c r="W62" s="123">
        <v>26</v>
      </c>
      <c r="X62" s="38">
        <v>1</v>
      </c>
      <c r="Y62">
        <f t="shared" si="5"/>
        <v>12645724.520000005</v>
      </c>
      <c r="AB62" s="41">
        <f t="shared" si="6"/>
        <v>0</v>
      </c>
      <c r="AE62" s="41">
        <f t="shared" si="7"/>
        <v>0</v>
      </c>
      <c r="AF62" s="28"/>
      <c r="AG62" s="28"/>
    </row>
    <row r="63" spans="1:33" ht="86.4" x14ac:dyDescent="0.3">
      <c r="A63" s="41"/>
      <c r="B63" s="41"/>
      <c r="C63" s="41" t="s">
        <v>1447</v>
      </c>
      <c r="D63" s="41" t="s">
        <v>1469</v>
      </c>
      <c r="E63" s="6" t="s">
        <v>152</v>
      </c>
      <c r="F63" s="6" t="s">
        <v>709</v>
      </c>
      <c r="G63" s="25">
        <v>35000</v>
      </c>
      <c r="H63" s="123"/>
      <c r="I63" s="38"/>
      <c r="J63" s="41">
        <f t="shared" si="0"/>
        <v>0</v>
      </c>
      <c r="K63" s="123">
        <v>26</v>
      </c>
      <c r="L63" s="38">
        <v>5</v>
      </c>
      <c r="M63" s="41">
        <f t="shared" si="1"/>
        <v>5005000</v>
      </c>
      <c r="N63" s="41"/>
      <c r="O63" s="41"/>
      <c r="P63" s="41">
        <f t="shared" si="2"/>
        <v>0</v>
      </c>
      <c r="Q63" s="41"/>
      <c r="R63" s="41"/>
      <c r="S63" s="41">
        <f t="shared" si="3"/>
        <v>0</v>
      </c>
      <c r="T63" s="41"/>
      <c r="U63" s="41"/>
      <c r="V63" s="41">
        <f t="shared" si="4"/>
        <v>0</v>
      </c>
      <c r="W63" s="123">
        <v>26</v>
      </c>
      <c r="X63" s="38">
        <v>5</v>
      </c>
      <c r="Y63">
        <f t="shared" si="5"/>
        <v>7327820.5000000028</v>
      </c>
      <c r="AB63" s="41">
        <f t="shared" si="6"/>
        <v>0</v>
      </c>
      <c r="AE63" s="41">
        <f t="shared" si="7"/>
        <v>0</v>
      </c>
      <c r="AF63" s="28"/>
      <c r="AG63" s="28"/>
    </row>
    <row r="64" spans="1:33" ht="86.4" x14ac:dyDescent="0.3">
      <c r="A64" s="41"/>
      <c r="B64" s="41"/>
      <c r="C64" s="41" t="s">
        <v>1447</v>
      </c>
      <c r="D64" s="41" t="s">
        <v>1469</v>
      </c>
      <c r="E64" s="6" t="s">
        <v>152</v>
      </c>
      <c r="F64" s="6" t="s">
        <v>712</v>
      </c>
      <c r="G64" s="25">
        <f>1480/7</f>
        <v>211.42857142857142</v>
      </c>
      <c r="H64" s="123"/>
      <c r="I64" s="38"/>
      <c r="J64" s="41">
        <f t="shared" si="0"/>
        <v>0</v>
      </c>
      <c r="K64" s="123">
        <f>2*9*25</f>
        <v>450</v>
      </c>
      <c r="L64" s="38">
        <v>5</v>
      </c>
      <c r="M64" s="41">
        <f t="shared" si="1"/>
        <v>523285.71428571432</v>
      </c>
      <c r="N64" s="41"/>
      <c r="O64" s="41"/>
      <c r="P64" s="41">
        <f t="shared" si="2"/>
        <v>0</v>
      </c>
      <c r="Q64" s="41"/>
      <c r="R64" s="41"/>
      <c r="S64" s="41">
        <f t="shared" si="3"/>
        <v>0</v>
      </c>
      <c r="T64" s="41"/>
      <c r="U64" s="41"/>
      <c r="V64" s="41">
        <f t="shared" si="4"/>
        <v>0</v>
      </c>
      <c r="W64" s="123">
        <f>2*9*25</f>
        <v>450</v>
      </c>
      <c r="X64" s="38">
        <v>5</v>
      </c>
      <c r="Y64">
        <f t="shared" si="5"/>
        <v>766142.61428571446</v>
      </c>
      <c r="AB64" s="41">
        <f t="shared" si="6"/>
        <v>0</v>
      </c>
      <c r="AE64" s="41">
        <f t="shared" si="7"/>
        <v>0</v>
      </c>
      <c r="AF64" s="28"/>
      <c r="AG64" s="28"/>
    </row>
    <row r="65" spans="1:33" ht="86.4" x14ac:dyDescent="0.3">
      <c r="A65" s="41"/>
      <c r="B65" s="41"/>
      <c r="C65" s="41" t="s">
        <v>1447</v>
      </c>
      <c r="D65" s="41" t="s">
        <v>1469</v>
      </c>
      <c r="E65" s="6" t="s">
        <v>152</v>
      </c>
      <c r="F65" s="6" t="s">
        <v>1312</v>
      </c>
      <c r="G65" s="25">
        <f>1480/7</f>
        <v>211.42857142857142</v>
      </c>
      <c r="H65" s="123"/>
      <c r="I65" s="38"/>
      <c r="J65" s="41">
        <f t="shared" si="0"/>
        <v>0</v>
      </c>
      <c r="K65" s="123">
        <f>150*2*9</f>
        <v>2700</v>
      </c>
      <c r="L65" s="38">
        <v>1</v>
      </c>
      <c r="M65" s="41">
        <f t="shared" si="1"/>
        <v>627942.85714285716</v>
      </c>
      <c r="N65" s="41"/>
      <c r="O65" s="41"/>
      <c r="P65" s="41">
        <f t="shared" si="2"/>
        <v>0</v>
      </c>
      <c r="Q65" s="41"/>
      <c r="R65" s="41"/>
      <c r="S65" s="41">
        <f t="shared" si="3"/>
        <v>0</v>
      </c>
      <c r="T65" s="41"/>
      <c r="U65" s="41"/>
      <c r="V65" s="41">
        <f t="shared" si="4"/>
        <v>0</v>
      </c>
      <c r="W65" s="123">
        <f>150*2*9</f>
        <v>2700</v>
      </c>
      <c r="X65" s="38">
        <v>1</v>
      </c>
      <c r="Y65">
        <f t="shared" si="5"/>
        <v>919371.13714285742</v>
      </c>
      <c r="AB65" s="41">
        <f t="shared" si="6"/>
        <v>0</v>
      </c>
      <c r="AE65" s="41">
        <f t="shared" si="7"/>
        <v>0</v>
      </c>
      <c r="AF65" s="28"/>
      <c r="AG65" s="28"/>
    </row>
    <row r="66" spans="1:33" ht="86.4" x14ac:dyDescent="0.3">
      <c r="A66" s="41"/>
      <c r="B66" s="41"/>
      <c r="C66" s="41" t="s">
        <v>1447</v>
      </c>
      <c r="D66" s="41" t="s">
        <v>1469</v>
      </c>
      <c r="E66" s="6" t="s">
        <v>152</v>
      </c>
      <c r="F66" s="6" t="s">
        <v>716</v>
      </c>
      <c r="G66" s="25">
        <v>39000</v>
      </c>
      <c r="H66" s="123"/>
      <c r="I66" s="38"/>
      <c r="J66" s="41">
        <f t="shared" si="0"/>
        <v>0</v>
      </c>
      <c r="K66" s="123">
        <v>26</v>
      </c>
      <c r="L66" s="38">
        <v>6</v>
      </c>
      <c r="M66" s="41">
        <f t="shared" si="1"/>
        <v>6692400</v>
      </c>
      <c r="N66" s="41"/>
      <c r="O66" s="41"/>
      <c r="P66" s="41">
        <f t="shared" si="2"/>
        <v>0</v>
      </c>
      <c r="Q66" s="41"/>
      <c r="R66" s="41"/>
      <c r="S66" s="41">
        <f t="shared" si="3"/>
        <v>0</v>
      </c>
      <c r="T66" s="41"/>
      <c r="U66" s="41"/>
      <c r="V66" s="41">
        <f t="shared" si="4"/>
        <v>0</v>
      </c>
      <c r="W66" s="123">
        <v>26</v>
      </c>
      <c r="X66" s="38">
        <v>6</v>
      </c>
      <c r="Y66">
        <f t="shared" si="5"/>
        <v>9798342.8400000036</v>
      </c>
      <c r="AB66" s="41">
        <f t="shared" si="6"/>
        <v>0</v>
      </c>
      <c r="AE66" s="41">
        <f t="shared" si="7"/>
        <v>0</v>
      </c>
      <c r="AF66" s="28"/>
      <c r="AG66" s="28"/>
    </row>
    <row r="67" spans="1:33" ht="86.4" x14ac:dyDescent="0.3">
      <c r="A67" s="41"/>
      <c r="B67" s="41"/>
      <c r="C67" s="41" t="s">
        <v>1447</v>
      </c>
      <c r="D67" s="41" t="s">
        <v>1469</v>
      </c>
      <c r="E67" s="6" t="s">
        <v>847</v>
      </c>
      <c r="F67" s="6" t="s">
        <v>841</v>
      </c>
      <c r="G67" s="25">
        <v>0</v>
      </c>
      <c r="H67" s="123"/>
      <c r="I67" s="38"/>
      <c r="J67" s="41">
        <f t="shared" si="0"/>
        <v>0</v>
      </c>
      <c r="K67" s="123">
        <v>25</v>
      </c>
      <c r="L67" s="38">
        <v>5</v>
      </c>
      <c r="M67" s="41">
        <f t="shared" ref="M67:M146" si="10">($G67*1.1^1)*K67*L67</f>
        <v>0</v>
      </c>
      <c r="N67" s="41"/>
      <c r="O67" s="41"/>
      <c r="P67" s="41">
        <f t="shared" ref="P67:P74" si="11">($G67*1.1^2)*N67*O67</f>
        <v>0</v>
      </c>
      <c r="Q67" s="41"/>
      <c r="R67" s="41"/>
      <c r="S67" s="41">
        <f t="shared" ref="S67:S74" si="12">($G67*1.1^3)*Q67*R67</f>
        <v>0</v>
      </c>
      <c r="T67" s="41"/>
      <c r="U67" s="41"/>
      <c r="V67" s="41">
        <f t="shared" ref="V67:V74" si="13">($G67*1.1^4)*T67*U67</f>
        <v>0</v>
      </c>
      <c r="W67" s="123">
        <v>25</v>
      </c>
      <c r="X67" s="38">
        <v>5</v>
      </c>
      <c r="Y67">
        <f t="shared" si="5"/>
        <v>0</v>
      </c>
      <c r="AB67" s="41">
        <f t="shared" ref="AB67:AB74" si="14">($G67*1.1^6)*Z67*AA67</f>
        <v>0</v>
      </c>
      <c r="AE67" s="41">
        <f t="shared" ref="AE67:AE74" si="15">($G67*1.1^7)*AC67*AD67</f>
        <v>0</v>
      </c>
      <c r="AF67" s="28"/>
      <c r="AG67" s="28"/>
    </row>
    <row r="68" spans="1:33" ht="86.4" x14ac:dyDescent="0.3">
      <c r="A68" s="41"/>
      <c r="B68" s="41"/>
      <c r="C68" s="41" t="s">
        <v>1447</v>
      </c>
      <c r="D68" s="41" t="s">
        <v>1469</v>
      </c>
      <c r="E68" s="6" t="s">
        <v>1298</v>
      </c>
      <c r="F68" s="6" t="s">
        <v>709</v>
      </c>
      <c r="G68" s="25">
        <v>35000</v>
      </c>
      <c r="H68" s="123"/>
      <c r="I68" s="38"/>
      <c r="J68" s="41">
        <f t="shared" si="0"/>
        <v>0</v>
      </c>
      <c r="K68" s="123">
        <v>100</v>
      </c>
      <c r="L68" s="38">
        <v>1</v>
      </c>
      <c r="M68" s="41">
        <f t="shared" si="10"/>
        <v>3850000</v>
      </c>
      <c r="N68" s="41"/>
      <c r="O68" s="41"/>
      <c r="P68" s="41">
        <f t="shared" si="11"/>
        <v>0</v>
      </c>
      <c r="Q68" s="41"/>
      <c r="R68" s="41"/>
      <c r="S68" s="41">
        <f t="shared" si="12"/>
        <v>0</v>
      </c>
      <c r="T68" s="41"/>
      <c r="U68" s="41"/>
      <c r="V68" s="41">
        <f t="shared" si="13"/>
        <v>0</v>
      </c>
      <c r="W68" s="123">
        <v>100</v>
      </c>
      <c r="X68" s="38">
        <v>1</v>
      </c>
      <c r="Y68">
        <f t="shared" si="5"/>
        <v>5636785.0000000019</v>
      </c>
      <c r="AB68" s="41">
        <f t="shared" si="14"/>
        <v>0</v>
      </c>
      <c r="AE68" s="41">
        <f t="shared" si="15"/>
        <v>0</v>
      </c>
      <c r="AF68" s="28"/>
      <c r="AG68" s="28"/>
    </row>
    <row r="69" spans="1:33" ht="86.4" x14ac:dyDescent="0.3">
      <c r="A69" s="41"/>
      <c r="B69" s="41"/>
      <c r="C69" s="41" t="s">
        <v>1447</v>
      </c>
      <c r="D69" s="41" t="s">
        <v>1469</v>
      </c>
      <c r="E69" s="6" t="s">
        <v>1298</v>
      </c>
      <c r="F69" s="6" t="s">
        <v>716</v>
      </c>
      <c r="G69" s="25">
        <v>39000</v>
      </c>
      <c r="H69" s="123"/>
      <c r="I69" s="38"/>
      <c r="J69" s="41">
        <f t="shared" si="0"/>
        <v>0</v>
      </c>
      <c r="K69" s="123">
        <v>58</v>
      </c>
      <c r="L69" s="38">
        <v>2</v>
      </c>
      <c r="M69" s="41">
        <f t="shared" si="10"/>
        <v>4976400</v>
      </c>
      <c r="N69" s="41"/>
      <c r="O69" s="41"/>
      <c r="P69" s="41">
        <f t="shared" si="11"/>
        <v>0</v>
      </c>
      <c r="Q69" s="41"/>
      <c r="R69" s="41"/>
      <c r="S69" s="41">
        <f t="shared" si="12"/>
        <v>0</v>
      </c>
      <c r="T69" s="41"/>
      <c r="U69" s="41"/>
      <c r="V69" s="41">
        <f t="shared" si="13"/>
        <v>0</v>
      </c>
      <c r="W69" s="123">
        <v>58</v>
      </c>
      <c r="X69" s="38">
        <v>2</v>
      </c>
      <c r="Y69">
        <f t="shared" si="5"/>
        <v>7285947.2400000021</v>
      </c>
      <c r="AB69" s="41">
        <f t="shared" si="14"/>
        <v>0</v>
      </c>
      <c r="AE69" s="41">
        <f t="shared" si="15"/>
        <v>0</v>
      </c>
      <c r="AF69" s="28"/>
      <c r="AG69" s="28"/>
    </row>
    <row r="70" spans="1:33" ht="86.4" x14ac:dyDescent="0.3">
      <c r="A70" s="41"/>
      <c r="B70" s="41"/>
      <c r="C70" s="41" t="s">
        <v>1447</v>
      </c>
      <c r="D70" s="41" t="s">
        <v>1469</v>
      </c>
      <c r="E70" s="6" t="s">
        <v>154</v>
      </c>
      <c r="F70" s="6" t="s">
        <v>1297</v>
      </c>
      <c r="G70" s="25">
        <v>8000</v>
      </c>
      <c r="H70" s="123"/>
      <c r="I70" s="38"/>
      <c r="J70" s="41">
        <f t="shared" si="0"/>
        <v>0</v>
      </c>
      <c r="K70" s="123">
        <v>10</v>
      </c>
      <c r="L70" s="38">
        <v>1</v>
      </c>
      <c r="M70" s="41">
        <f t="shared" si="10"/>
        <v>88000</v>
      </c>
      <c r="N70" s="41"/>
      <c r="O70" s="41"/>
      <c r="P70" s="41">
        <f t="shared" si="11"/>
        <v>0</v>
      </c>
      <c r="Q70" s="41"/>
      <c r="R70" s="41"/>
      <c r="S70" s="41">
        <f t="shared" si="12"/>
        <v>0</v>
      </c>
      <c r="T70" s="41"/>
      <c r="U70" s="41"/>
      <c r="V70" s="41">
        <f t="shared" si="13"/>
        <v>0</v>
      </c>
      <c r="W70" s="123">
        <v>10</v>
      </c>
      <c r="X70" s="38">
        <v>1</v>
      </c>
      <c r="Y70">
        <f t="shared" si="5"/>
        <v>128840.80000000003</v>
      </c>
      <c r="AB70" s="41">
        <f t="shared" si="14"/>
        <v>0</v>
      </c>
      <c r="AE70" s="41">
        <f t="shared" si="15"/>
        <v>0</v>
      </c>
      <c r="AF70" s="28"/>
      <c r="AG70" s="28"/>
    </row>
    <row r="71" spans="1:33" ht="86.4" x14ac:dyDescent="0.3">
      <c r="A71" s="41"/>
      <c r="B71" s="41"/>
      <c r="C71" s="41" t="s">
        <v>1447</v>
      </c>
      <c r="D71" s="41" t="s">
        <v>1469</v>
      </c>
      <c r="E71" s="6" t="s">
        <v>154</v>
      </c>
      <c r="F71" s="6" t="s">
        <v>717</v>
      </c>
      <c r="G71" s="25">
        <v>104850</v>
      </c>
      <c r="H71" s="123"/>
      <c r="I71" s="38"/>
      <c r="J71" s="41">
        <f t="shared" si="0"/>
        <v>0</v>
      </c>
      <c r="K71" s="123">
        <v>1</v>
      </c>
      <c r="L71" s="38">
        <v>1</v>
      </c>
      <c r="M71" s="41">
        <f t="shared" si="10"/>
        <v>115335.00000000001</v>
      </c>
      <c r="N71" s="41"/>
      <c r="O71" s="41"/>
      <c r="P71" s="41">
        <f t="shared" si="11"/>
        <v>0</v>
      </c>
      <c r="Q71" s="41"/>
      <c r="R71" s="41"/>
      <c r="S71" s="41">
        <f t="shared" si="12"/>
        <v>0</v>
      </c>
      <c r="T71" s="41"/>
      <c r="U71" s="41"/>
      <c r="V71" s="41">
        <f t="shared" si="13"/>
        <v>0</v>
      </c>
      <c r="W71" s="123">
        <v>1</v>
      </c>
      <c r="X71" s="38">
        <v>1</v>
      </c>
      <c r="Y71">
        <f t="shared" si="5"/>
        <v>168861.97350000005</v>
      </c>
      <c r="AB71" s="41">
        <f t="shared" si="14"/>
        <v>0</v>
      </c>
      <c r="AE71" s="41">
        <f t="shared" si="15"/>
        <v>0</v>
      </c>
      <c r="AF71" s="28"/>
      <c r="AG71" s="28"/>
    </row>
    <row r="72" spans="1:33" ht="86.4" x14ac:dyDescent="0.3">
      <c r="A72" s="41"/>
      <c r="B72" s="41"/>
      <c r="C72" s="41" t="s">
        <v>1447</v>
      </c>
      <c r="D72" s="41" t="s">
        <v>1469</v>
      </c>
      <c r="E72" s="6" t="s">
        <v>154</v>
      </c>
      <c r="F72" s="6" t="s">
        <v>1299</v>
      </c>
      <c r="G72" s="25">
        <f>1480/7</f>
        <v>211.42857142857142</v>
      </c>
      <c r="H72" s="123"/>
      <c r="I72" s="38"/>
      <c r="J72" s="41">
        <f t="shared" si="0"/>
        <v>0</v>
      </c>
      <c r="K72" s="123">
        <v>22500</v>
      </c>
      <c r="L72" s="38">
        <v>1</v>
      </c>
      <c r="M72" s="41">
        <f t="shared" si="10"/>
        <v>5232857.1428571427</v>
      </c>
      <c r="N72" s="41"/>
      <c r="O72" s="41"/>
      <c r="P72" s="41">
        <f t="shared" si="11"/>
        <v>0</v>
      </c>
      <c r="Q72" s="41"/>
      <c r="R72" s="41"/>
      <c r="S72" s="41">
        <f t="shared" si="12"/>
        <v>0</v>
      </c>
      <c r="T72" s="41"/>
      <c r="U72" s="41"/>
      <c r="V72" s="41">
        <f t="shared" si="13"/>
        <v>0</v>
      </c>
      <c r="W72" s="123">
        <v>22500</v>
      </c>
      <c r="X72" s="38">
        <v>1</v>
      </c>
      <c r="Y72">
        <f t="shared" si="5"/>
        <v>7661426.1428571446</v>
      </c>
      <c r="AB72" s="41">
        <f t="shared" si="14"/>
        <v>0</v>
      </c>
      <c r="AE72" s="41">
        <f t="shared" si="15"/>
        <v>0</v>
      </c>
      <c r="AF72" s="28"/>
      <c r="AG72" s="28"/>
    </row>
    <row r="73" spans="1:33" ht="86.4" x14ac:dyDescent="0.3">
      <c r="A73" s="41"/>
      <c r="B73" s="41"/>
      <c r="C73" s="41" t="s">
        <v>1447</v>
      </c>
      <c r="D73" s="41" t="s">
        <v>1469</v>
      </c>
      <c r="E73" s="6" t="s">
        <v>154</v>
      </c>
      <c r="F73" s="6" t="s">
        <v>712</v>
      </c>
      <c r="G73" s="25">
        <f>1480/7</f>
        <v>211.42857142857142</v>
      </c>
      <c r="H73" s="123"/>
      <c r="I73" s="38"/>
      <c r="J73" s="41">
        <f t="shared" si="0"/>
        <v>0</v>
      </c>
      <c r="K73" s="123">
        <v>60</v>
      </c>
      <c r="L73" s="38">
        <v>29</v>
      </c>
      <c r="M73" s="41">
        <f t="shared" si="10"/>
        <v>404674.28571428574</v>
      </c>
      <c r="N73" s="41"/>
      <c r="O73" s="41"/>
      <c r="P73" s="41">
        <f t="shared" si="11"/>
        <v>0</v>
      </c>
      <c r="Q73" s="41"/>
      <c r="R73" s="41"/>
      <c r="S73" s="41">
        <f t="shared" si="12"/>
        <v>0</v>
      </c>
      <c r="T73" s="41"/>
      <c r="U73" s="41"/>
      <c r="V73" s="41">
        <f t="shared" si="13"/>
        <v>0</v>
      </c>
      <c r="W73" s="123">
        <v>60</v>
      </c>
      <c r="X73" s="38">
        <v>29</v>
      </c>
      <c r="Y73">
        <f t="shared" si="5"/>
        <v>592483.62171428581</v>
      </c>
      <c r="AB73" s="41">
        <f t="shared" si="14"/>
        <v>0</v>
      </c>
      <c r="AE73" s="41">
        <f t="shared" si="15"/>
        <v>0</v>
      </c>
      <c r="AF73" s="28"/>
      <c r="AG73" s="28"/>
    </row>
    <row r="74" spans="1:33" ht="86.4" x14ac:dyDescent="0.3">
      <c r="A74" s="41"/>
      <c r="B74" s="41"/>
      <c r="C74" s="41" t="s">
        <v>1447</v>
      </c>
      <c r="D74" s="41" t="s">
        <v>1469</v>
      </c>
      <c r="E74" s="6" t="s">
        <v>848</v>
      </c>
      <c r="F74" s="6" t="s">
        <v>841</v>
      </c>
      <c r="G74" s="25">
        <v>0</v>
      </c>
      <c r="H74" s="123"/>
      <c r="I74" s="38"/>
      <c r="J74" s="41">
        <f t="shared" si="0"/>
        <v>0</v>
      </c>
      <c r="K74" s="123">
        <v>0</v>
      </c>
      <c r="L74" s="38">
        <v>0</v>
      </c>
      <c r="M74" s="41">
        <f t="shared" si="10"/>
        <v>0</v>
      </c>
      <c r="N74" s="41"/>
      <c r="O74" s="41"/>
      <c r="P74" s="41">
        <f t="shared" si="11"/>
        <v>0</v>
      </c>
      <c r="Q74" s="41"/>
      <c r="R74" s="41"/>
      <c r="S74" s="41">
        <f t="shared" si="12"/>
        <v>0</v>
      </c>
      <c r="T74" s="41"/>
      <c r="U74" s="41"/>
      <c r="V74" s="41">
        <f t="shared" si="13"/>
        <v>0</v>
      </c>
      <c r="W74" s="123">
        <v>0</v>
      </c>
      <c r="X74" s="38">
        <v>0</v>
      </c>
      <c r="Y74">
        <f t="shared" si="5"/>
        <v>0</v>
      </c>
      <c r="AB74" s="41">
        <f t="shared" si="14"/>
        <v>0</v>
      </c>
      <c r="AE74" s="41">
        <f t="shared" si="15"/>
        <v>0</v>
      </c>
      <c r="AF74" s="28"/>
      <c r="AG74" s="28"/>
    </row>
    <row r="75" spans="1:33" x14ac:dyDescent="0.3">
      <c r="A75" s="124" t="s">
        <v>1302</v>
      </c>
      <c r="B75" s="124"/>
      <c r="C75" s="124"/>
      <c r="D75" s="124"/>
      <c r="E75" s="111"/>
      <c r="F75" s="111"/>
      <c r="G75" s="111"/>
      <c r="H75" s="125"/>
      <c r="I75" s="126"/>
      <c r="J75" s="124">
        <f>SUM(J2:J74)</f>
        <v>0</v>
      </c>
      <c r="K75" s="125"/>
      <c r="L75" s="126"/>
      <c r="M75" s="124">
        <f>SUM(M2:M74)</f>
        <v>193208824.02642858</v>
      </c>
      <c r="N75" s="124"/>
      <c r="O75" s="124"/>
      <c r="P75" s="124">
        <f>SUM(P2:P74)</f>
        <v>110990110.7857143</v>
      </c>
      <c r="Q75" s="124"/>
      <c r="R75" s="124"/>
      <c r="S75" s="124">
        <f>SUM(S2:S74)</f>
        <v>122089121.86428574</v>
      </c>
      <c r="T75" s="124"/>
      <c r="U75" s="124"/>
      <c r="V75" s="124">
        <f>SUM(V2:V74)</f>
        <v>134298034.05071431</v>
      </c>
      <c r="W75" s="125"/>
      <c r="X75" s="126"/>
      <c r="Y75" s="127">
        <f>SUM(Y42:Y74)</f>
        <v>125614879.06852266</v>
      </c>
      <c r="Z75" s="127"/>
      <c r="AA75" s="127"/>
      <c r="AB75" s="127">
        <f>SUM(AB2:AB74)</f>
        <v>162500621.20136434</v>
      </c>
      <c r="AC75" s="127"/>
      <c r="AD75" s="127"/>
      <c r="AE75" s="127">
        <f>SUM(AE2:AE74)</f>
        <v>178750683.32150084</v>
      </c>
      <c r="AF75" s="127"/>
      <c r="AG75" s="127"/>
    </row>
    <row r="76" spans="1:33" x14ac:dyDescent="0.3">
      <c r="A76" s="41"/>
      <c r="B76" s="41"/>
      <c r="C76" s="41"/>
      <c r="D76" s="41"/>
      <c r="E76" s="41"/>
      <c r="F76" s="41"/>
      <c r="G76" s="41"/>
      <c r="H76" s="122"/>
      <c r="I76" s="41"/>
      <c r="J76" s="41">
        <f t="shared" si="0"/>
        <v>0</v>
      </c>
      <c r="K76" s="41"/>
      <c r="L76" s="41"/>
      <c r="M76" s="41">
        <f t="shared" si="10"/>
        <v>0</v>
      </c>
      <c r="N76" s="41"/>
      <c r="O76" s="41"/>
      <c r="P76" s="41">
        <f t="shared" ref="P76:P146" si="16">($G76*1.1^2)*N76*O76</f>
        <v>0</v>
      </c>
      <c r="Q76" s="41"/>
      <c r="R76" s="41"/>
      <c r="S76" s="41">
        <f t="shared" ref="S76:S146" si="17">($G76*1.1^3)*Q76*R76</f>
        <v>0</v>
      </c>
      <c r="T76" s="41"/>
      <c r="U76" s="41"/>
      <c r="V76" s="41">
        <f t="shared" ref="V76:V146" si="18">($G76*1.1^4)*T76*U76</f>
        <v>0</v>
      </c>
      <c r="Y76">
        <f t="shared" si="5"/>
        <v>0</v>
      </c>
      <c r="AB76">
        <f t="shared" ref="AB76:AB146" si="19">($G76*1.1^6)*Z76*AA76</f>
        <v>0</v>
      </c>
      <c r="AE76">
        <f t="shared" ref="AE76:AE146" si="20">($G76*1.1^7)*AC76*AD76</f>
        <v>0</v>
      </c>
      <c r="AF76" s="28">
        <f t="shared" si="8"/>
        <v>0</v>
      </c>
      <c r="AG76" s="28">
        <f t="shared" si="9"/>
        <v>0</v>
      </c>
    </row>
    <row r="77" spans="1:33" ht="72" x14ac:dyDescent="0.3">
      <c r="A77" s="41" t="s">
        <v>836</v>
      </c>
      <c r="B77" s="41" t="s">
        <v>1446</v>
      </c>
      <c r="C77" s="41" t="s">
        <v>1470</v>
      </c>
      <c r="D77" s="41" t="s">
        <v>1471</v>
      </c>
      <c r="E77" s="41" t="s">
        <v>841</v>
      </c>
      <c r="F77" s="41" t="s">
        <v>841</v>
      </c>
      <c r="G77" s="41">
        <v>0</v>
      </c>
      <c r="H77" s="122"/>
      <c r="I77" s="41"/>
      <c r="J77" s="41">
        <f t="shared" si="0"/>
        <v>0</v>
      </c>
      <c r="K77" s="41"/>
      <c r="L77" s="41"/>
      <c r="M77" s="41">
        <f t="shared" si="10"/>
        <v>0</v>
      </c>
      <c r="N77" s="122">
        <v>0</v>
      </c>
      <c r="O77" s="41">
        <v>0</v>
      </c>
      <c r="P77" s="41">
        <f t="shared" si="16"/>
        <v>0</v>
      </c>
      <c r="Q77" s="122">
        <v>0</v>
      </c>
      <c r="R77" s="41">
        <v>0</v>
      </c>
      <c r="S77" s="41">
        <f t="shared" si="17"/>
        <v>0</v>
      </c>
      <c r="T77" s="122">
        <v>0</v>
      </c>
      <c r="U77" s="41">
        <v>0</v>
      </c>
      <c r="V77" s="41">
        <f t="shared" si="18"/>
        <v>0</v>
      </c>
      <c r="W77" s="122">
        <v>0</v>
      </c>
      <c r="X77" s="41">
        <v>0</v>
      </c>
      <c r="Y77">
        <f t="shared" si="5"/>
        <v>0</v>
      </c>
      <c r="Z77" s="122">
        <v>0</v>
      </c>
      <c r="AA77" s="41">
        <v>0</v>
      </c>
      <c r="AB77">
        <f t="shared" si="19"/>
        <v>0</v>
      </c>
      <c r="AC77" s="122">
        <v>0</v>
      </c>
      <c r="AD77" s="41">
        <v>0</v>
      </c>
      <c r="AE77">
        <f t="shared" si="20"/>
        <v>0</v>
      </c>
      <c r="AF77" s="28">
        <f t="shared" si="8"/>
        <v>0</v>
      </c>
      <c r="AG77" s="28">
        <f t="shared" si="9"/>
        <v>0</v>
      </c>
    </row>
    <row r="78" spans="1:33" ht="72" x14ac:dyDescent="0.3">
      <c r="A78" s="41" t="s">
        <v>836</v>
      </c>
      <c r="B78" s="41" t="s">
        <v>1446</v>
      </c>
      <c r="C78" s="41" t="s">
        <v>1470</v>
      </c>
      <c r="D78" s="41" t="s">
        <v>1472</v>
      </c>
      <c r="E78" s="41" t="s">
        <v>841</v>
      </c>
      <c r="F78" s="41" t="s">
        <v>841</v>
      </c>
      <c r="G78" s="41">
        <v>0</v>
      </c>
      <c r="H78" s="122"/>
      <c r="I78" s="41"/>
      <c r="J78" s="41">
        <f t="shared" si="0"/>
        <v>0</v>
      </c>
      <c r="K78" s="41"/>
      <c r="L78" s="41"/>
      <c r="M78" s="41">
        <f t="shared" si="10"/>
        <v>0</v>
      </c>
      <c r="N78" s="122">
        <v>0</v>
      </c>
      <c r="O78" s="41">
        <v>0</v>
      </c>
      <c r="P78" s="41">
        <f t="shared" si="16"/>
        <v>0</v>
      </c>
      <c r="Q78" s="122">
        <v>0</v>
      </c>
      <c r="R78" s="41">
        <v>0</v>
      </c>
      <c r="S78" s="41">
        <f t="shared" si="17"/>
        <v>0</v>
      </c>
      <c r="T78" s="122">
        <v>0</v>
      </c>
      <c r="U78" s="41">
        <v>0</v>
      </c>
      <c r="V78" s="41">
        <f t="shared" si="18"/>
        <v>0</v>
      </c>
      <c r="W78" s="122">
        <v>0</v>
      </c>
      <c r="X78" s="41">
        <v>0</v>
      </c>
      <c r="Y78">
        <f t="shared" si="5"/>
        <v>0</v>
      </c>
      <c r="Z78" s="122">
        <v>0</v>
      </c>
      <c r="AA78" s="41">
        <v>0</v>
      </c>
      <c r="AB78">
        <f t="shared" si="19"/>
        <v>0</v>
      </c>
      <c r="AC78" s="122">
        <v>0</v>
      </c>
      <c r="AD78" s="41">
        <v>0</v>
      </c>
      <c r="AE78">
        <f t="shared" si="20"/>
        <v>0</v>
      </c>
      <c r="AF78" s="28">
        <f t="shared" si="8"/>
        <v>0</v>
      </c>
      <c r="AG78" s="28">
        <f t="shared" si="9"/>
        <v>0</v>
      </c>
    </row>
    <row r="79" spans="1:33" ht="72" x14ac:dyDescent="0.3">
      <c r="A79" s="41" t="s">
        <v>836</v>
      </c>
      <c r="B79" s="41" t="s">
        <v>1446</v>
      </c>
      <c r="C79" s="41" t="s">
        <v>1470</v>
      </c>
      <c r="D79" s="41" t="s">
        <v>1473</v>
      </c>
      <c r="E79" s="41" t="s">
        <v>718</v>
      </c>
      <c r="F79" s="41" t="s">
        <v>718</v>
      </c>
      <c r="G79" s="41">
        <v>0</v>
      </c>
      <c r="H79" s="122"/>
      <c r="I79" s="41"/>
      <c r="J79" s="41">
        <f t="shared" si="0"/>
        <v>0</v>
      </c>
      <c r="K79" s="41"/>
      <c r="L79" s="41"/>
      <c r="M79" s="41">
        <f t="shared" si="10"/>
        <v>0</v>
      </c>
      <c r="N79" s="122">
        <v>0</v>
      </c>
      <c r="O79" s="41">
        <v>0</v>
      </c>
      <c r="P79" s="41">
        <f t="shared" si="16"/>
        <v>0</v>
      </c>
      <c r="Q79" s="122">
        <v>0</v>
      </c>
      <c r="R79" s="41">
        <v>0</v>
      </c>
      <c r="S79" s="41">
        <f t="shared" si="17"/>
        <v>0</v>
      </c>
      <c r="T79" s="122">
        <v>0</v>
      </c>
      <c r="U79" s="41">
        <v>0</v>
      </c>
      <c r="V79" s="41">
        <f t="shared" si="18"/>
        <v>0</v>
      </c>
      <c r="W79" s="122">
        <v>0</v>
      </c>
      <c r="X79" s="41">
        <v>0</v>
      </c>
      <c r="Y79">
        <f t="shared" si="5"/>
        <v>0</v>
      </c>
      <c r="Z79" s="122">
        <v>0</v>
      </c>
      <c r="AA79" s="41">
        <v>0</v>
      </c>
      <c r="AB79">
        <f t="shared" si="19"/>
        <v>0</v>
      </c>
      <c r="AC79" s="122">
        <v>0</v>
      </c>
      <c r="AD79" s="41">
        <v>0</v>
      </c>
      <c r="AE79">
        <f t="shared" si="20"/>
        <v>0</v>
      </c>
      <c r="AF79" s="28">
        <f t="shared" si="8"/>
        <v>0</v>
      </c>
      <c r="AG79" s="28">
        <f t="shared" si="9"/>
        <v>0</v>
      </c>
    </row>
    <row r="80" spans="1:33" ht="72" x14ac:dyDescent="0.3">
      <c r="A80" s="41" t="s">
        <v>836</v>
      </c>
      <c r="B80" s="41" t="s">
        <v>1446</v>
      </c>
      <c r="C80" s="41" t="s">
        <v>1470</v>
      </c>
      <c r="D80" s="41" t="s">
        <v>1474</v>
      </c>
      <c r="E80" s="41" t="s">
        <v>1475</v>
      </c>
      <c r="F80" s="41" t="s">
        <v>709</v>
      </c>
      <c r="G80" s="41">
        <v>35000</v>
      </c>
      <c r="H80" s="122"/>
      <c r="I80" s="41"/>
      <c r="J80" s="41">
        <f t="shared" si="0"/>
        <v>0</v>
      </c>
      <c r="K80" s="41"/>
      <c r="L80" s="41"/>
      <c r="M80" s="41">
        <f t="shared" si="10"/>
        <v>0</v>
      </c>
      <c r="N80" s="122">
        <v>30</v>
      </c>
      <c r="O80" s="41">
        <v>5</v>
      </c>
      <c r="P80" s="41">
        <f t="shared" si="16"/>
        <v>6352500.0000000009</v>
      </c>
      <c r="Q80" s="122">
        <v>30</v>
      </c>
      <c r="R80" s="41">
        <v>5</v>
      </c>
      <c r="S80" s="41">
        <f t="shared" si="17"/>
        <v>6987750.0000000019</v>
      </c>
      <c r="T80" s="122">
        <v>30</v>
      </c>
      <c r="U80" s="41">
        <v>5</v>
      </c>
      <c r="V80" s="41">
        <f t="shared" si="18"/>
        <v>7686525.0000000019</v>
      </c>
      <c r="W80" s="122">
        <v>30</v>
      </c>
      <c r="X80" s="41">
        <v>5</v>
      </c>
      <c r="Y80">
        <f t="shared" si="5"/>
        <v>8455177.5000000037</v>
      </c>
      <c r="Z80" s="122">
        <v>30</v>
      </c>
      <c r="AA80" s="41">
        <v>5</v>
      </c>
      <c r="AB80">
        <f t="shared" si="19"/>
        <v>9300695.2500000056</v>
      </c>
      <c r="AC80" s="122">
        <v>30</v>
      </c>
      <c r="AD80" s="41">
        <v>5</v>
      </c>
      <c r="AE80">
        <f t="shared" si="20"/>
        <v>10230764.775000006</v>
      </c>
      <c r="AF80" s="28">
        <f t="shared" si="8"/>
        <v>49013412.525000021</v>
      </c>
      <c r="AG80" s="28">
        <f t="shared" si="9"/>
        <v>47958.329280821941</v>
      </c>
    </row>
    <row r="81" spans="1:33" ht="72" x14ac:dyDescent="0.3">
      <c r="A81" s="41"/>
      <c r="B81" s="41"/>
      <c r="C81" s="41" t="s">
        <v>1470</v>
      </c>
      <c r="D81" s="41"/>
      <c r="E81" s="41"/>
      <c r="F81" s="41" t="s">
        <v>716</v>
      </c>
      <c r="G81" s="41">
        <v>39000</v>
      </c>
      <c r="H81" s="122"/>
      <c r="I81" s="41"/>
      <c r="J81" s="41">
        <f t="shared" si="0"/>
        <v>0</v>
      </c>
      <c r="K81" s="41"/>
      <c r="L81" s="41"/>
      <c r="M81" s="41">
        <f t="shared" si="10"/>
        <v>0</v>
      </c>
      <c r="N81" s="122">
        <v>30</v>
      </c>
      <c r="O81" s="41">
        <v>6</v>
      </c>
      <c r="P81" s="41">
        <f t="shared" si="16"/>
        <v>8494200.0000000019</v>
      </c>
      <c r="Q81" s="122">
        <v>30</v>
      </c>
      <c r="R81" s="41">
        <v>6</v>
      </c>
      <c r="S81" s="41">
        <f t="shared" si="17"/>
        <v>9343620.0000000037</v>
      </c>
      <c r="T81" s="122">
        <v>30</v>
      </c>
      <c r="U81" s="41">
        <v>6</v>
      </c>
      <c r="V81" s="41">
        <f t="shared" si="18"/>
        <v>10277982.000000004</v>
      </c>
      <c r="W81" s="122">
        <v>30</v>
      </c>
      <c r="X81" s="41">
        <v>6</v>
      </c>
      <c r="Y81">
        <f t="shared" si="5"/>
        <v>11305780.200000003</v>
      </c>
      <c r="Z81" s="122">
        <v>30</v>
      </c>
      <c r="AA81" s="41">
        <v>6</v>
      </c>
      <c r="AB81">
        <f t="shared" si="19"/>
        <v>12436358.220000004</v>
      </c>
      <c r="AC81" s="122">
        <v>30</v>
      </c>
      <c r="AD81" s="41">
        <v>6</v>
      </c>
      <c r="AE81">
        <f t="shared" si="20"/>
        <v>13679994.042000007</v>
      </c>
      <c r="AF81" s="28"/>
      <c r="AG81" s="28"/>
    </row>
    <row r="82" spans="1:33" ht="72" x14ac:dyDescent="0.3">
      <c r="A82" s="41"/>
      <c r="B82" s="41"/>
      <c r="C82" s="41" t="s">
        <v>1470</v>
      </c>
      <c r="D82" s="41"/>
      <c r="E82" s="41"/>
      <c r="F82" s="41" t="s">
        <v>712</v>
      </c>
      <c r="G82" s="41">
        <f>1480/7</f>
        <v>211.42857142857142</v>
      </c>
      <c r="H82" s="123"/>
      <c r="I82" s="41"/>
      <c r="J82" s="41">
        <f t="shared" si="0"/>
        <v>0</v>
      </c>
      <c r="K82" s="41"/>
      <c r="L82" s="41"/>
      <c r="M82" s="41">
        <f t="shared" si="10"/>
        <v>0</v>
      </c>
      <c r="N82" s="123">
        <f>2*9*25</f>
        <v>450</v>
      </c>
      <c r="O82" s="41">
        <v>5</v>
      </c>
      <c r="P82" s="41">
        <f t="shared" si="16"/>
        <v>575614.2857142858</v>
      </c>
      <c r="Q82" s="123">
        <f>2*9*25</f>
        <v>450</v>
      </c>
      <c r="R82" s="41">
        <v>5</v>
      </c>
      <c r="S82" s="41">
        <f t="shared" si="17"/>
        <v>633175.71428571444</v>
      </c>
      <c r="T82" s="123">
        <f>2*9*25</f>
        <v>450</v>
      </c>
      <c r="U82" s="41">
        <v>5</v>
      </c>
      <c r="V82" s="41">
        <f t="shared" si="18"/>
        <v>696493.28571428568</v>
      </c>
      <c r="W82" s="123">
        <f>2*9*25</f>
        <v>450</v>
      </c>
      <c r="X82" s="41">
        <v>5</v>
      </c>
      <c r="Y82">
        <f t="shared" si="5"/>
        <v>766142.61428571446</v>
      </c>
      <c r="Z82" s="123">
        <f>2*9*25</f>
        <v>450</v>
      </c>
      <c r="AA82" s="41">
        <v>5</v>
      </c>
      <c r="AB82">
        <f t="shared" si="19"/>
        <v>842756.875714286</v>
      </c>
      <c r="AC82" s="123">
        <f>2*9*25</f>
        <v>450</v>
      </c>
      <c r="AD82" s="41">
        <v>5</v>
      </c>
      <c r="AE82">
        <f t="shared" si="20"/>
        <v>927032.56328571483</v>
      </c>
      <c r="AF82" s="28"/>
      <c r="AG82" s="28"/>
    </row>
    <row r="83" spans="1:33" ht="72" x14ac:dyDescent="0.3">
      <c r="A83" s="41"/>
      <c r="B83" s="41"/>
      <c r="C83" s="41" t="s">
        <v>1470</v>
      </c>
      <c r="D83" s="41"/>
      <c r="E83" s="41"/>
      <c r="F83" s="41" t="s">
        <v>1299</v>
      </c>
      <c r="G83" s="41">
        <f>1480/7</f>
        <v>211.42857142857142</v>
      </c>
      <c r="H83" s="123"/>
      <c r="I83" s="41"/>
      <c r="J83" s="41">
        <f t="shared" si="0"/>
        <v>0</v>
      </c>
      <c r="K83" s="41"/>
      <c r="L83" s="41"/>
      <c r="M83" s="41">
        <f t="shared" si="10"/>
        <v>0</v>
      </c>
      <c r="N83" s="123">
        <f>150*2*9</f>
        <v>2700</v>
      </c>
      <c r="O83" s="41">
        <v>1</v>
      </c>
      <c r="P83" s="41">
        <f t="shared" si="16"/>
        <v>690737.14285714296</v>
      </c>
      <c r="Q83" s="123">
        <f>150*2*9</f>
        <v>2700</v>
      </c>
      <c r="R83" s="41">
        <v>1</v>
      </c>
      <c r="S83" s="41">
        <f t="shared" si="17"/>
        <v>759810.85714285739</v>
      </c>
      <c r="T83" s="123">
        <f>150*2*9</f>
        <v>2700</v>
      </c>
      <c r="U83" s="41">
        <v>1</v>
      </c>
      <c r="V83" s="41">
        <f t="shared" si="18"/>
        <v>835791.942857143</v>
      </c>
      <c r="W83" s="123">
        <f>150*2*9</f>
        <v>2700</v>
      </c>
      <c r="X83" s="41">
        <v>1</v>
      </c>
      <c r="Y83">
        <f t="shared" si="5"/>
        <v>919371.13714285742</v>
      </c>
      <c r="Z83" s="123">
        <f>150*2*9</f>
        <v>2700</v>
      </c>
      <c r="AA83" s="41">
        <v>1</v>
      </c>
      <c r="AB83">
        <f t="shared" si="19"/>
        <v>1011308.2508571432</v>
      </c>
      <c r="AC83" s="123">
        <f>150*2*9</f>
        <v>2700</v>
      </c>
      <c r="AD83" s="41">
        <v>1</v>
      </c>
      <c r="AE83">
        <f t="shared" si="20"/>
        <v>1112439.0759428579</v>
      </c>
      <c r="AF83" s="28"/>
      <c r="AG83" s="28"/>
    </row>
    <row r="84" spans="1:33" ht="72" x14ac:dyDescent="0.3">
      <c r="A84" s="41"/>
      <c r="B84" s="41"/>
      <c r="C84" s="41" t="s">
        <v>1470</v>
      </c>
      <c r="D84" s="41"/>
      <c r="E84" s="41"/>
      <c r="F84" s="41"/>
      <c r="G84" s="41"/>
      <c r="H84" s="122"/>
      <c r="I84" s="41"/>
      <c r="J84" s="41">
        <f t="shared" si="0"/>
        <v>0</v>
      </c>
      <c r="K84" s="41"/>
      <c r="L84" s="41"/>
      <c r="M84" s="41">
        <f t="shared" si="10"/>
        <v>0</v>
      </c>
      <c r="N84" s="122"/>
      <c r="O84" s="41"/>
      <c r="P84" s="41">
        <f t="shared" si="16"/>
        <v>0</v>
      </c>
      <c r="Q84" s="122"/>
      <c r="R84" s="41"/>
      <c r="S84" s="41">
        <f t="shared" si="17"/>
        <v>0</v>
      </c>
      <c r="T84" s="122"/>
      <c r="U84" s="41"/>
      <c r="V84" s="41">
        <f t="shared" si="18"/>
        <v>0</v>
      </c>
      <c r="W84" s="122"/>
      <c r="X84" s="41"/>
      <c r="Y84">
        <f t="shared" si="5"/>
        <v>0</v>
      </c>
      <c r="Z84" s="122"/>
      <c r="AA84" s="41"/>
      <c r="AB84">
        <f t="shared" si="19"/>
        <v>0</v>
      </c>
      <c r="AC84" s="122"/>
      <c r="AD84" s="41"/>
      <c r="AE84">
        <f t="shared" si="20"/>
        <v>0</v>
      </c>
      <c r="AF84" s="28"/>
      <c r="AG84" s="28"/>
    </row>
    <row r="85" spans="1:33" ht="72" x14ac:dyDescent="0.3">
      <c r="A85" s="41" t="s">
        <v>836</v>
      </c>
      <c r="B85" s="41" t="s">
        <v>1446</v>
      </c>
      <c r="C85" s="41" t="s">
        <v>1470</v>
      </c>
      <c r="D85" s="41"/>
      <c r="E85" s="41" t="s">
        <v>1476</v>
      </c>
      <c r="F85" s="41" t="s">
        <v>709</v>
      </c>
      <c r="G85" s="41">
        <v>35000</v>
      </c>
      <c r="H85" s="122"/>
      <c r="I85" s="41"/>
      <c r="J85" s="41">
        <f t="shared" si="0"/>
        <v>0</v>
      </c>
      <c r="K85" s="41"/>
      <c r="L85" s="41"/>
      <c r="M85" s="41">
        <f t="shared" si="10"/>
        <v>0</v>
      </c>
      <c r="N85" s="122">
        <v>500</v>
      </c>
      <c r="O85" s="41">
        <v>5</v>
      </c>
      <c r="P85" s="41">
        <f t="shared" si="16"/>
        <v>105875000.00000001</v>
      </c>
      <c r="Q85" s="122">
        <v>500</v>
      </c>
      <c r="R85" s="41">
        <v>5</v>
      </c>
      <c r="S85" s="41">
        <f t="shared" si="17"/>
        <v>116462500.00000003</v>
      </c>
      <c r="T85" s="122">
        <v>500</v>
      </c>
      <c r="U85" s="41">
        <v>5</v>
      </c>
      <c r="V85" s="41">
        <f t="shared" si="18"/>
        <v>128108750.00000003</v>
      </c>
      <c r="W85" s="122">
        <v>500</v>
      </c>
      <c r="X85" s="41">
        <v>5</v>
      </c>
      <c r="Y85">
        <f t="shared" si="5"/>
        <v>140919625.00000006</v>
      </c>
      <c r="Z85" s="122">
        <v>500</v>
      </c>
      <c r="AA85" s="41">
        <v>5</v>
      </c>
      <c r="AB85">
        <f t="shared" si="19"/>
        <v>155011587.50000006</v>
      </c>
      <c r="AC85" s="122">
        <v>500</v>
      </c>
      <c r="AD85" s="41">
        <v>5</v>
      </c>
      <c r="AE85">
        <f t="shared" si="20"/>
        <v>170512746.25000006</v>
      </c>
      <c r="AF85" s="28">
        <f t="shared" si="8"/>
        <v>816890208.75000024</v>
      </c>
      <c r="AG85" s="28">
        <f t="shared" si="9"/>
        <v>799305.48801369884</v>
      </c>
    </row>
    <row r="86" spans="1:33" ht="72" x14ac:dyDescent="0.3">
      <c r="A86" s="41"/>
      <c r="B86" s="41"/>
      <c r="C86" s="41" t="s">
        <v>1470</v>
      </c>
      <c r="D86" s="41"/>
      <c r="E86" s="41"/>
      <c r="F86" s="41" t="s">
        <v>716</v>
      </c>
      <c r="G86" s="41">
        <v>39000</v>
      </c>
      <c r="H86" s="122"/>
      <c r="I86" s="41"/>
      <c r="J86" s="41">
        <f t="shared" si="0"/>
        <v>0</v>
      </c>
      <c r="K86" s="41"/>
      <c r="L86" s="41"/>
      <c r="M86" s="41">
        <f t="shared" si="10"/>
        <v>0</v>
      </c>
      <c r="N86" s="122">
        <v>100</v>
      </c>
      <c r="O86" s="41">
        <v>6</v>
      </c>
      <c r="P86" s="41">
        <f t="shared" si="16"/>
        <v>28314000.000000007</v>
      </c>
      <c r="Q86" s="122">
        <v>100</v>
      </c>
      <c r="R86" s="41">
        <v>6</v>
      </c>
      <c r="S86" s="41">
        <f t="shared" si="17"/>
        <v>31145400.000000011</v>
      </c>
      <c r="T86" s="122">
        <v>100</v>
      </c>
      <c r="U86" s="41">
        <v>6</v>
      </c>
      <c r="V86" s="41">
        <f t="shared" si="18"/>
        <v>34259940.000000015</v>
      </c>
      <c r="W86" s="122">
        <v>100</v>
      </c>
      <c r="X86" s="41">
        <v>6</v>
      </c>
      <c r="Y86">
        <f t="shared" si="5"/>
        <v>37685934.000000015</v>
      </c>
      <c r="Z86" s="122">
        <v>100</v>
      </c>
      <c r="AA86" s="41">
        <v>6</v>
      </c>
      <c r="AB86">
        <f t="shared" si="19"/>
        <v>41454527.400000021</v>
      </c>
      <c r="AC86" s="122">
        <v>100</v>
      </c>
      <c r="AD86" s="41">
        <v>6</v>
      </c>
      <c r="AE86">
        <f t="shared" si="20"/>
        <v>45599980.140000023</v>
      </c>
      <c r="AF86" s="28"/>
      <c r="AG86" s="28"/>
    </row>
    <row r="87" spans="1:33" ht="72" x14ac:dyDescent="0.3">
      <c r="A87" s="41"/>
      <c r="B87" s="41"/>
      <c r="C87" s="41" t="s">
        <v>1470</v>
      </c>
      <c r="D87" s="41"/>
      <c r="E87" s="41"/>
      <c r="F87" s="41" t="s">
        <v>712</v>
      </c>
      <c r="G87" s="41">
        <f>1480/7</f>
        <v>211.42857142857142</v>
      </c>
      <c r="H87" s="122"/>
      <c r="I87" s="41"/>
      <c r="J87" s="41">
        <f t="shared" si="0"/>
        <v>0</v>
      </c>
      <c r="K87" s="41"/>
      <c r="L87" s="41"/>
      <c r="M87" s="41">
        <f t="shared" si="10"/>
        <v>0</v>
      </c>
      <c r="N87" s="122">
        <f>2*55*25</f>
        <v>2750</v>
      </c>
      <c r="O87" s="41">
        <v>5</v>
      </c>
      <c r="P87" s="41">
        <f t="shared" si="16"/>
        <v>3517642.8571428573</v>
      </c>
      <c r="Q87" s="122">
        <f>2*55*25</f>
        <v>2750</v>
      </c>
      <c r="R87" s="41">
        <v>5</v>
      </c>
      <c r="S87" s="41">
        <f t="shared" si="17"/>
        <v>3869407.1428571437</v>
      </c>
      <c r="T87" s="122">
        <f>2*55*25</f>
        <v>2750</v>
      </c>
      <c r="U87" s="41">
        <v>5</v>
      </c>
      <c r="V87" s="41">
        <f t="shared" si="18"/>
        <v>4256347.8571428582</v>
      </c>
      <c r="W87" s="122">
        <f>2*55*25</f>
        <v>2750</v>
      </c>
      <c r="X87" s="41">
        <v>5</v>
      </c>
      <c r="Y87">
        <f t="shared" si="5"/>
        <v>4681982.6428571446</v>
      </c>
      <c r="Z87" s="122">
        <f>2*55*25</f>
        <v>2750</v>
      </c>
      <c r="AA87" s="41">
        <v>5</v>
      </c>
      <c r="AB87">
        <f t="shared" si="19"/>
        <v>5150180.907142859</v>
      </c>
      <c r="AC87" s="122">
        <f>2*55*25</f>
        <v>2750</v>
      </c>
      <c r="AD87" s="41">
        <v>5</v>
      </c>
      <c r="AE87">
        <f t="shared" si="20"/>
        <v>5665198.9978571469</v>
      </c>
      <c r="AF87" s="28"/>
      <c r="AG87" s="28"/>
    </row>
    <row r="88" spans="1:33" ht="72" x14ac:dyDescent="0.3">
      <c r="A88" s="41"/>
      <c r="B88" s="41"/>
      <c r="C88" s="41" t="s">
        <v>1470</v>
      </c>
      <c r="D88" s="41"/>
      <c r="E88" s="41"/>
      <c r="F88" s="41" t="s">
        <v>1299</v>
      </c>
      <c r="G88" s="41">
        <f>1480/7</f>
        <v>211.42857142857142</v>
      </c>
      <c r="H88" s="122"/>
      <c r="I88" s="41"/>
      <c r="J88" s="41">
        <f t="shared" si="0"/>
        <v>0</v>
      </c>
      <c r="K88" s="41"/>
      <c r="L88" s="41"/>
      <c r="M88" s="41">
        <f t="shared" si="10"/>
        <v>0</v>
      </c>
      <c r="N88" s="122">
        <f>150*2*55</f>
        <v>16500</v>
      </c>
      <c r="O88" s="41">
        <v>1</v>
      </c>
      <c r="P88" s="41">
        <f t="shared" si="16"/>
        <v>4221171.4285714291</v>
      </c>
      <c r="Q88" s="122">
        <f>150*2*55</f>
        <v>16500</v>
      </c>
      <c r="R88" s="41">
        <v>1</v>
      </c>
      <c r="S88" s="41">
        <f t="shared" si="17"/>
        <v>4643288.5714285728</v>
      </c>
      <c r="T88" s="122">
        <f>150*2*55</f>
        <v>16500</v>
      </c>
      <c r="U88" s="41">
        <v>1</v>
      </c>
      <c r="V88" s="41">
        <f t="shared" si="18"/>
        <v>5107617.4285714291</v>
      </c>
      <c r="W88" s="122">
        <f>150*2*55</f>
        <v>16500</v>
      </c>
      <c r="X88" s="41">
        <v>1</v>
      </c>
      <c r="Y88">
        <f t="shared" si="5"/>
        <v>5618379.1714285733</v>
      </c>
      <c r="Z88" s="122">
        <f>150*2*55</f>
        <v>16500</v>
      </c>
      <c r="AA88" s="41">
        <v>1</v>
      </c>
      <c r="AB88">
        <f t="shared" si="19"/>
        <v>6180217.0885714311</v>
      </c>
      <c r="AC88" s="122">
        <f>150*2*55</f>
        <v>16500</v>
      </c>
      <c r="AD88" s="41">
        <v>1</v>
      </c>
      <c r="AE88">
        <f t="shared" si="20"/>
        <v>6798238.7974285753</v>
      </c>
      <c r="AF88" s="28"/>
      <c r="AG88" s="28"/>
    </row>
    <row r="89" spans="1:33" x14ac:dyDescent="0.3">
      <c r="A89" s="41"/>
      <c r="B89" s="41"/>
      <c r="C89" s="41"/>
      <c r="D89" s="41"/>
      <c r="E89" s="41"/>
      <c r="F89" s="41"/>
      <c r="G89" s="41"/>
      <c r="H89" s="122"/>
      <c r="I89" s="41"/>
      <c r="J89" s="41">
        <f t="shared" si="0"/>
        <v>0</v>
      </c>
      <c r="K89" s="41"/>
      <c r="L89" s="41"/>
      <c r="M89" s="41">
        <f t="shared" si="10"/>
        <v>0</v>
      </c>
      <c r="N89" s="122"/>
      <c r="O89" s="41"/>
      <c r="P89" s="41">
        <f t="shared" si="16"/>
        <v>0</v>
      </c>
      <c r="Q89" s="122"/>
      <c r="R89" s="41"/>
      <c r="S89" s="41">
        <f t="shared" si="17"/>
        <v>0</v>
      </c>
      <c r="T89" s="122"/>
      <c r="U89" s="41"/>
      <c r="V89" s="41">
        <f t="shared" si="18"/>
        <v>0</v>
      </c>
      <c r="W89" s="122"/>
      <c r="X89" s="41"/>
      <c r="Y89">
        <f t="shared" si="5"/>
        <v>0</v>
      </c>
      <c r="Z89" s="122"/>
      <c r="AA89" s="41"/>
      <c r="AB89">
        <f t="shared" si="19"/>
        <v>0</v>
      </c>
      <c r="AC89" s="122"/>
      <c r="AD89" s="41"/>
      <c r="AE89">
        <f t="shared" si="20"/>
        <v>0</v>
      </c>
      <c r="AF89" s="28"/>
      <c r="AG89" s="28"/>
    </row>
    <row r="90" spans="1:33" ht="57.6" x14ac:dyDescent="0.3">
      <c r="A90" s="41" t="s">
        <v>836</v>
      </c>
      <c r="B90" s="41" t="s">
        <v>1446</v>
      </c>
      <c r="C90" s="41"/>
      <c r="D90" s="41"/>
      <c r="E90" s="41" t="s">
        <v>1477</v>
      </c>
      <c r="F90" s="41">
        <f>10000*1022</f>
        <v>10220000</v>
      </c>
      <c r="G90" s="41">
        <f>10000*1022</f>
        <v>10220000</v>
      </c>
      <c r="H90" s="122"/>
      <c r="I90" s="41"/>
      <c r="J90" s="41">
        <f t="shared" si="0"/>
        <v>0</v>
      </c>
      <c r="K90" s="41"/>
      <c r="L90" s="41"/>
      <c r="M90" s="41">
        <f t="shared" si="10"/>
        <v>0</v>
      </c>
      <c r="N90" s="122">
        <v>1</v>
      </c>
      <c r="O90" s="41">
        <v>1</v>
      </c>
      <c r="P90" s="41">
        <f t="shared" si="16"/>
        <v>12366200.000000002</v>
      </c>
      <c r="Q90" s="122">
        <v>1</v>
      </c>
      <c r="R90" s="41">
        <v>1</v>
      </c>
      <c r="S90" s="41">
        <f t="shared" si="17"/>
        <v>13602820.000000004</v>
      </c>
      <c r="T90" s="122">
        <v>1</v>
      </c>
      <c r="U90" s="41">
        <v>1</v>
      </c>
      <c r="V90" s="41">
        <f t="shared" si="18"/>
        <v>14963102.000000004</v>
      </c>
      <c r="W90" s="122">
        <v>1</v>
      </c>
      <c r="X90" s="41">
        <v>1</v>
      </c>
      <c r="Y90">
        <f t="shared" si="5"/>
        <v>16459412.200000005</v>
      </c>
      <c r="Z90" s="122">
        <v>1</v>
      </c>
      <c r="AA90" s="41">
        <v>1</v>
      </c>
      <c r="AB90">
        <f t="shared" si="19"/>
        <v>18105353.420000009</v>
      </c>
      <c r="AC90" s="122">
        <v>1</v>
      </c>
      <c r="AD90" s="41">
        <v>1</v>
      </c>
      <c r="AE90">
        <f t="shared" si="20"/>
        <v>19915888.762000013</v>
      </c>
      <c r="AF90" s="28">
        <f t="shared" si="8"/>
        <v>95412776.382000044</v>
      </c>
      <c r="AG90" s="28">
        <f t="shared" si="9"/>
        <v>93358.881000000038</v>
      </c>
    </row>
    <row r="91" spans="1:33" x14ac:dyDescent="0.3">
      <c r="A91" s="124" t="s">
        <v>1302</v>
      </c>
      <c r="B91" s="124"/>
      <c r="C91" s="124"/>
      <c r="D91" s="124"/>
      <c r="E91" s="124"/>
      <c r="F91" s="124"/>
      <c r="G91" s="124"/>
      <c r="H91" s="128"/>
      <c r="I91" s="124"/>
      <c r="J91" s="124">
        <f>SUM(J76:J90)</f>
        <v>0</v>
      </c>
      <c r="K91" s="124"/>
      <c r="L91" s="124"/>
      <c r="M91" s="124">
        <f>SUM(M76:M90)</f>
        <v>0</v>
      </c>
      <c r="N91" s="124"/>
      <c r="O91" s="124"/>
      <c r="P91" s="124">
        <f>SUM(P76:P90)</f>
        <v>170407065.71428576</v>
      </c>
      <c r="Q91" s="124"/>
      <c r="R91" s="124"/>
      <c r="S91" s="124">
        <f>SUM(S76:S90)</f>
        <v>187447772.28571433</v>
      </c>
      <c r="T91" s="124"/>
      <c r="U91" s="124"/>
      <c r="V91" s="124">
        <f>SUM(V76:V90)</f>
        <v>206192549.51428577</v>
      </c>
      <c r="W91" s="127"/>
      <c r="X91" s="127"/>
      <c r="Y91" s="127">
        <f>SUM(Y76:Y90)</f>
        <v>226811804.46571437</v>
      </c>
      <c r="Z91" s="127"/>
      <c r="AA91" s="127"/>
      <c r="AB91" s="127">
        <f>SUM(AB76:AB90)</f>
        <v>249492984.91228583</v>
      </c>
      <c r="AC91" s="127"/>
      <c r="AD91" s="127"/>
      <c r="AE91" s="127">
        <f>SUM(AE76:AE90)</f>
        <v>274442283.40351439</v>
      </c>
      <c r="AF91" s="127">
        <f t="shared" si="8"/>
        <v>1314794460.2958004</v>
      </c>
      <c r="AG91" s="127">
        <f t="shared" si="9"/>
        <v>1286491.6441250495</v>
      </c>
    </row>
    <row r="92" spans="1:33" x14ac:dyDescent="0.3">
      <c r="A92" s="41"/>
      <c r="B92" s="41"/>
      <c r="C92" s="41"/>
      <c r="D92" s="41"/>
      <c r="E92" s="41"/>
      <c r="F92" s="41"/>
      <c r="G92" s="41"/>
      <c r="H92" s="122"/>
      <c r="I92" s="41"/>
      <c r="J92" s="41">
        <f t="shared" si="0"/>
        <v>0</v>
      </c>
      <c r="K92" s="41"/>
      <c r="L92" s="41"/>
      <c r="M92" s="41">
        <f t="shared" si="10"/>
        <v>0</v>
      </c>
      <c r="N92" s="41"/>
      <c r="O92" s="41"/>
      <c r="P92" s="41">
        <f t="shared" si="16"/>
        <v>0</v>
      </c>
      <c r="Q92" s="41"/>
      <c r="R92" s="41"/>
      <c r="S92" s="41">
        <f t="shared" si="17"/>
        <v>0</v>
      </c>
      <c r="T92" s="41"/>
      <c r="U92" s="41"/>
      <c r="V92" s="41">
        <f t="shared" si="18"/>
        <v>0</v>
      </c>
      <c r="Y92">
        <f t="shared" si="5"/>
        <v>0</v>
      </c>
      <c r="AB92">
        <f t="shared" si="19"/>
        <v>0</v>
      </c>
      <c r="AE92">
        <f t="shared" si="20"/>
        <v>0</v>
      </c>
      <c r="AF92" s="28">
        <f t="shared" si="8"/>
        <v>0</v>
      </c>
      <c r="AG92" s="28">
        <f t="shared" si="9"/>
        <v>0</v>
      </c>
    </row>
    <row r="93" spans="1:33" ht="57.6" x14ac:dyDescent="0.3">
      <c r="A93" s="41" t="s">
        <v>836</v>
      </c>
      <c r="B93" s="41" t="s">
        <v>1446</v>
      </c>
      <c r="D93" s="41"/>
      <c r="E93" s="41"/>
      <c r="F93" s="41"/>
      <c r="G93" s="41"/>
      <c r="H93" s="122"/>
      <c r="I93" s="41"/>
      <c r="J93" s="41">
        <f t="shared" si="0"/>
        <v>0</v>
      </c>
      <c r="K93" s="41"/>
      <c r="L93" s="41"/>
      <c r="M93" s="41">
        <f t="shared" si="10"/>
        <v>0</v>
      </c>
      <c r="N93" s="41"/>
      <c r="O93" s="41"/>
      <c r="P93" s="41">
        <f t="shared" si="16"/>
        <v>0</v>
      </c>
      <c r="Q93" s="41"/>
      <c r="R93" s="41"/>
      <c r="S93" s="41">
        <f t="shared" si="17"/>
        <v>0</v>
      </c>
      <c r="T93" s="41"/>
      <c r="U93" s="41"/>
      <c r="V93" s="41">
        <f t="shared" si="18"/>
        <v>0</v>
      </c>
      <c r="Y93">
        <f t="shared" si="5"/>
        <v>0</v>
      </c>
      <c r="AB93">
        <f t="shared" si="19"/>
        <v>0</v>
      </c>
      <c r="AE93">
        <f t="shared" si="20"/>
        <v>0</v>
      </c>
      <c r="AF93" s="28">
        <f t="shared" si="8"/>
        <v>0</v>
      </c>
      <c r="AG93" s="28">
        <f t="shared" si="9"/>
        <v>0</v>
      </c>
    </row>
    <row r="94" spans="1:33" ht="72" x14ac:dyDescent="0.3">
      <c r="A94" s="41" t="s">
        <v>836</v>
      </c>
      <c r="B94" s="41"/>
      <c r="C94" s="41" t="s">
        <v>1478</v>
      </c>
      <c r="D94" s="129" t="s">
        <v>1115</v>
      </c>
      <c r="E94" s="129" t="s">
        <v>155</v>
      </c>
      <c r="F94" s="129" t="s">
        <v>841</v>
      </c>
      <c r="G94" s="41">
        <v>0</v>
      </c>
      <c r="H94" s="122"/>
      <c r="I94" s="41"/>
      <c r="J94" s="41">
        <f t="shared" si="0"/>
        <v>0</v>
      </c>
      <c r="K94" s="122">
        <v>0</v>
      </c>
      <c r="L94" s="41">
        <v>0</v>
      </c>
      <c r="M94" s="41">
        <f t="shared" si="10"/>
        <v>0</v>
      </c>
      <c r="N94" s="122">
        <v>0</v>
      </c>
      <c r="O94" s="41">
        <v>0</v>
      </c>
      <c r="P94" s="41">
        <f t="shared" si="16"/>
        <v>0</v>
      </c>
      <c r="Q94" s="122">
        <v>0</v>
      </c>
      <c r="R94" s="41">
        <v>0</v>
      </c>
      <c r="S94" s="41">
        <f t="shared" si="17"/>
        <v>0</v>
      </c>
      <c r="T94" s="122">
        <v>0</v>
      </c>
      <c r="U94" s="41">
        <v>0</v>
      </c>
      <c r="V94" s="41">
        <f t="shared" si="18"/>
        <v>0</v>
      </c>
      <c r="W94" s="122">
        <v>0</v>
      </c>
      <c r="X94" s="41">
        <v>0</v>
      </c>
      <c r="Y94">
        <f t="shared" si="5"/>
        <v>0</v>
      </c>
      <c r="Z94" s="122">
        <v>0</v>
      </c>
      <c r="AA94" s="41">
        <v>0</v>
      </c>
      <c r="AB94">
        <f t="shared" si="19"/>
        <v>0</v>
      </c>
      <c r="AC94" s="122">
        <v>0</v>
      </c>
      <c r="AD94" s="41">
        <v>0</v>
      </c>
      <c r="AE94">
        <f t="shared" si="20"/>
        <v>0</v>
      </c>
      <c r="AF94" s="28">
        <f t="shared" si="8"/>
        <v>0</v>
      </c>
      <c r="AG94" s="28">
        <f t="shared" si="9"/>
        <v>0</v>
      </c>
    </row>
    <row r="95" spans="1:33" ht="72" x14ac:dyDescent="0.3">
      <c r="A95" s="41" t="s">
        <v>836</v>
      </c>
      <c r="B95" s="41"/>
      <c r="C95" s="41" t="s">
        <v>1478</v>
      </c>
      <c r="D95" s="129" t="s">
        <v>1115</v>
      </c>
      <c r="E95" s="129" t="s">
        <v>1116</v>
      </c>
      <c r="F95" s="129" t="s">
        <v>709</v>
      </c>
      <c r="G95" s="41">
        <v>35000</v>
      </c>
      <c r="H95" s="122"/>
      <c r="I95" s="41"/>
      <c r="J95" s="41">
        <f t="shared" si="0"/>
        <v>0</v>
      </c>
      <c r="K95" s="122">
        <v>50</v>
      </c>
      <c r="L95" s="41">
        <v>1</v>
      </c>
      <c r="M95" s="41">
        <f t="shared" si="10"/>
        <v>1925000</v>
      </c>
      <c r="N95" s="122">
        <v>50</v>
      </c>
      <c r="O95" s="41">
        <v>1</v>
      </c>
      <c r="P95" s="41">
        <f t="shared" si="16"/>
        <v>2117500.0000000005</v>
      </c>
      <c r="Q95" s="122">
        <v>50</v>
      </c>
      <c r="R95" s="41">
        <v>1</v>
      </c>
      <c r="S95" s="41">
        <f t="shared" si="17"/>
        <v>2329250.0000000009</v>
      </c>
      <c r="T95" s="122">
        <v>50</v>
      </c>
      <c r="U95" s="41">
        <v>1</v>
      </c>
      <c r="V95" s="41">
        <f t="shared" si="18"/>
        <v>2562175.0000000009</v>
      </c>
      <c r="W95" s="122">
        <v>50</v>
      </c>
      <c r="X95" s="41">
        <v>1</v>
      </c>
      <c r="Y95">
        <f t="shared" si="5"/>
        <v>2818392.5000000009</v>
      </c>
      <c r="Z95" s="122">
        <v>50</v>
      </c>
      <c r="AA95" s="41">
        <v>1</v>
      </c>
      <c r="AB95">
        <f t="shared" si="19"/>
        <v>3100231.7500000014</v>
      </c>
      <c r="AC95" s="122">
        <v>50</v>
      </c>
      <c r="AD95" s="41">
        <v>1</v>
      </c>
      <c r="AE95">
        <f t="shared" si="20"/>
        <v>3410254.9250000017</v>
      </c>
      <c r="AF95" s="28">
        <f t="shared" si="8"/>
        <v>18262804.175000008</v>
      </c>
      <c r="AG95" s="28">
        <f t="shared" si="9"/>
        <v>17869.671404109598</v>
      </c>
    </row>
    <row r="96" spans="1:33" ht="72" x14ac:dyDescent="0.3">
      <c r="A96" s="41" t="s">
        <v>836</v>
      </c>
      <c r="B96" s="41"/>
      <c r="C96" s="41" t="s">
        <v>1478</v>
      </c>
      <c r="D96" s="129" t="s">
        <v>1115</v>
      </c>
      <c r="E96" s="129" t="s">
        <v>1117</v>
      </c>
      <c r="F96" s="129" t="s">
        <v>716</v>
      </c>
      <c r="G96" s="41">
        <v>39000</v>
      </c>
      <c r="H96" s="122"/>
      <c r="I96" s="41"/>
      <c r="J96" s="41">
        <f t="shared" si="0"/>
        <v>0</v>
      </c>
      <c r="K96" s="122">
        <v>20</v>
      </c>
      <c r="L96" s="41">
        <v>9</v>
      </c>
      <c r="M96" s="41">
        <f t="shared" si="10"/>
        <v>7722000</v>
      </c>
      <c r="N96" s="122">
        <v>20</v>
      </c>
      <c r="O96" s="41">
        <v>9</v>
      </c>
      <c r="P96" s="41">
        <f t="shared" si="16"/>
        <v>8494200.0000000019</v>
      </c>
      <c r="Q96" s="122">
        <v>20</v>
      </c>
      <c r="R96" s="41">
        <v>9</v>
      </c>
      <c r="S96" s="41">
        <f t="shared" si="17"/>
        <v>9343620.0000000019</v>
      </c>
      <c r="T96" s="122">
        <v>20</v>
      </c>
      <c r="U96" s="41">
        <v>9</v>
      </c>
      <c r="V96" s="41">
        <f t="shared" si="18"/>
        <v>10277982.000000002</v>
      </c>
      <c r="W96" s="122">
        <v>20</v>
      </c>
      <c r="X96" s="41">
        <v>9</v>
      </c>
      <c r="Y96">
        <f t="shared" si="5"/>
        <v>11305780.200000005</v>
      </c>
      <c r="Z96" s="122">
        <v>20</v>
      </c>
      <c r="AA96" s="41">
        <v>9</v>
      </c>
      <c r="AB96">
        <f t="shared" si="19"/>
        <v>12436358.220000004</v>
      </c>
      <c r="AC96" s="122">
        <v>20</v>
      </c>
      <c r="AD96" s="41">
        <v>9</v>
      </c>
      <c r="AE96">
        <f t="shared" si="20"/>
        <v>13679994.042000009</v>
      </c>
      <c r="AF96" s="28">
        <f t="shared" si="8"/>
        <v>73259934.462000027</v>
      </c>
      <c r="AG96" s="28">
        <f t="shared" si="9"/>
        <v>71682.910432485354</v>
      </c>
    </row>
    <row r="97" spans="1:33" ht="72" x14ac:dyDescent="0.3">
      <c r="A97" s="41" t="s">
        <v>836</v>
      </c>
      <c r="B97" s="41"/>
      <c r="C97" s="41" t="s">
        <v>1478</v>
      </c>
      <c r="D97" s="129" t="s">
        <v>1115</v>
      </c>
      <c r="E97" s="129" t="s">
        <v>1117</v>
      </c>
      <c r="F97" s="129" t="s">
        <v>709</v>
      </c>
      <c r="G97" s="41">
        <v>35000</v>
      </c>
      <c r="H97" s="122"/>
      <c r="I97" s="41"/>
      <c r="J97" s="41">
        <f t="shared" si="0"/>
        <v>0</v>
      </c>
      <c r="K97" s="122">
        <v>20</v>
      </c>
      <c r="L97" s="41">
        <v>6</v>
      </c>
      <c r="M97" s="41">
        <f t="shared" si="10"/>
        <v>4620000</v>
      </c>
      <c r="N97" s="122">
        <v>20</v>
      </c>
      <c r="O97" s="41">
        <v>6</v>
      </c>
      <c r="P97" s="41">
        <f t="shared" si="16"/>
        <v>5082000.0000000009</v>
      </c>
      <c r="Q97" s="122">
        <v>20</v>
      </c>
      <c r="R97" s="41">
        <v>6</v>
      </c>
      <c r="S97" s="41">
        <f t="shared" si="17"/>
        <v>5590200.0000000019</v>
      </c>
      <c r="T97" s="122">
        <v>20</v>
      </c>
      <c r="U97" s="41">
        <v>6</v>
      </c>
      <c r="V97" s="41">
        <f t="shared" si="18"/>
        <v>6149220.0000000019</v>
      </c>
      <c r="W97" s="122">
        <v>20</v>
      </c>
      <c r="X97" s="41">
        <v>6</v>
      </c>
      <c r="Y97">
        <f t="shared" si="5"/>
        <v>6764142.0000000028</v>
      </c>
      <c r="Z97" s="122">
        <v>20</v>
      </c>
      <c r="AA97" s="41">
        <v>6</v>
      </c>
      <c r="AB97">
        <f t="shared" si="19"/>
        <v>7440556.2000000039</v>
      </c>
      <c r="AC97" s="122">
        <v>20</v>
      </c>
      <c r="AD97" s="41">
        <v>6</v>
      </c>
      <c r="AE97">
        <f t="shared" si="20"/>
        <v>8184611.820000004</v>
      </c>
      <c r="AF97" s="28">
        <f t="shared" si="8"/>
        <v>43830730.020000011</v>
      </c>
      <c r="AG97" s="28">
        <f t="shared" si="9"/>
        <v>42887.211369863027</v>
      </c>
    </row>
    <row r="98" spans="1:33" ht="72" x14ac:dyDescent="0.3">
      <c r="A98" s="41" t="s">
        <v>836</v>
      </c>
      <c r="B98" s="41"/>
      <c r="C98" s="41" t="s">
        <v>1478</v>
      </c>
      <c r="D98" s="129" t="s">
        <v>1115</v>
      </c>
      <c r="E98" s="129" t="s">
        <v>1117</v>
      </c>
      <c r="F98" s="129" t="s">
        <v>1029</v>
      </c>
      <c r="G98" s="41">
        <f>1480/7</f>
        <v>211.42857142857142</v>
      </c>
      <c r="H98" s="123"/>
      <c r="I98" s="41"/>
      <c r="J98" s="41">
        <f t="shared" si="0"/>
        <v>0</v>
      </c>
      <c r="K98" s="123">
        <f>2*9*25</f>
        <v>450</v>
      </c>
      <c r="L98" s="41">
        <v>6</v>
      </c>
      <c r="M98" s="41">
        <f t="shared" si="10"/>
        <v>627942.85714285728</v>
      </c>
      <c r="N98" s="123">
        <f>2*9*25</f>
        <v>450</v>
      </c>
      <c r="O98" s="41">
        <v>6</v>
      </c>
      <c r="P98" s="41">
        <f t="shared" si="16"/>
        <v>690737.14285714296</v>
      </c>
      <c r="Q98" s="123">
        <f>2*9*25</f>
        <v>450</v>
      </c>
      <c r="R98" s="41">
        <v>6</v>
      </c>
      <c r="S98" s="41">
        <f t="shared" si="17"/>
        <v>759810.85714285728</v>
      </c>
      <c r="T98" s="123">
        <f>2*9*25</f>
        <v>450</v>
      </c>
      <c r="U98" s="41">
        <v>6</v>
      </c>
      <c r="V98" s="41">
        <f t="shared" si="18"/>
        <v>835791.94285714289</v>
      </c>
      <c r="W98" s="123">
        <f>2*9*25</f>
        <v>450</v>
      </c>
      <c r="X98" s="41">
        <v>6</v>
      </c>
      <c r="Y98">
        <f t="shared" si="5"/>
        <v>919371.13714285742</v>
      </c>
      <c r="Z98" s="123">
        <f>2*9*25</f>
        <v>450</v>
      </c>
      <c r="AA98" s="41">
        <v>6</v>
      </c>
      <c r="AB98">
        <f t="shared" si="19"/>
        <v>1011308.2508571432</v>
      </c>
      <c r="AC98" s="123">
        <f>2*9*25</f>
        <v>450</v>
      </c>
      <c r="AD98" s="41">
        <v>6</v>
      </c>
      <c r="AE98">
        <f t="shared" si="20"/>
        <v>1112439.0759428579</v>
      </c>
      <c r="AF98" s="28">
        <f t="shared" si="8"/>
        <v>5957401.2639428591</v>
      </c>
      <c r="AG98" s="28">
        <f t="shared" si="9"/>
        <v>5829.1597494548523</v>
      </c>
    </row>
    <row r="99" spans="1:33" ht="72" x14ac:dyDescent="0.3">
      <c r="A99" s="41"/>
      <c r="B99" s="41"/>
      <c r="C99" s="41" t="s">
        <v>1478</v>
      </c>
      <c r="D99" s="129" t="s">
        <v>1115</v>
      </c>
      <c r="E99" s="129" t="s">
        <v>1117</v>
      </c>
      <c r="F99" s="129" t="s">
        <v>1336</v>
      </c>
      <c r="G99" s="41">
        <f>1480/7</f>
        <v>211.42857142857142</v>
      </c>
      <c r="H99" s="123"/>
      <c r="I99" s="41"/>
      <c r="J99" s="41">
        <f t="shared" si="0"/>
        <v>0</v>
      </c>
      <c r="K99" s="123">
        <f>150*2*9</f>
        <v>2700</v>
      </c>
      <c r="L99" s="41">
        <v>3</v>
      </c>
      <c r="M99" s="41">
        <f t="shared" si="10"/>
        <v>1883828.5714285714</v>
      </c>
      <c r="N99" s="123">
        <f>150*2*9</f>
        <v>2700</v>
      </c>
      <c r="O99" s="41">
        <v>3</v>
      </c>
      <c r="P99" s="41">
        <f t="shared" si="16"/>
        <v>2072211.4285714289</v>
      </c>
      <c r="Q99" s="123">
        <f>150*2*9</f>
        <v>2700</v>
      </c>
      <c r="R99" s="41">
        <v>3</v>
      </c>
      <c r="S99" s="41">
        <f t="shared" si="17"/>
        <v>2279432.5714285723</v>
      </c>
      <c r="T99" s="123">
        <f>150*2*9</f>
        <v>2700</v>
      </c>
      <c r="U99" s="41">
        <v>3</v>
      </c>
      <c r="V99" s="41">
        <f t="shared" si="18"/>
        <v>2507375.828571429</v>
      </c>
      <c r="W99" s="123">
        <f>150*2*9</f>
        <v>2700</v>
      </c>
      <c r="X99" s="41">
        <v>3</v>
      </c>
      <c r="Y99">
        <f t="shared" si="5"/>
        <v>2758113.4114285721</v>
      </c>
      <c r="Z99" s="123">
        <f>150*2*9</f>
        <v>2700</v>
      </c>
      <c r="AA99" s="41">
        <v>3</v>
      </c>
      <c r="AB99">
        <f t="shared" si="19"/>
        <v>3033924.7525714296</v>
      </c>
      <c r="AC99" s="123">
        <f>150*2*9</f>
        <v>2700</v>
      </c>
      <c r="AD99" s="41">
        <v>3</v>
      </c>
      <c r="AE99">
        <f t="shared" si="20"/>
        <v>3337317.2278285734</v>
      </c>
      <c r="AF99" s="28"/>
      <c r="AG99" s="28"/>
    </row>
    <row r="100" spans="1:33" ht="57.6" x14ac:dyDescent="0.3">
      <c r="A100" s="41" t="s">
        <v>836</v>
      </c>
      <c r="B100" s="41"/>
      <c r="C100" s="41" t="s">
        <v>1478</v>
      </c>
      <c r="D100" s="129" t="s">
        <v>1118</v>
      </c>
      <c r="E100" s="129" t="s">
        <v>1119</v>
      </c>
      <c r="F100" s="129" t="s">
        <v>709</v>
      </c>
      <c r="G100" s="41">
        <v>35000</v>
      </c>
      <c r="H100" s="122"/>
      <c r="I100" s="41"/>
      <c r="J100" s="41">
        <f t="shared" si="0"/>
        <v>0</v>
      </c>
      <c r="K100" s="122">
        <v>30</v>
      </c>
      <c r="L100" s="41">
        <v>5</v>
      </c>
      <c r="M100" s="41">
        <f t="shared" si="10"/>
        <v>5775000</v>
      </c>
      <c r="N100" s="122">
        <v>30</v>
      </c>
      <c r="O100" s="41">
        <v>5</v>
      </c>
      <c r="P100" s="41">
        <f t="shared" si="16"/>
        <v>6352500.0000000009</v>
      </c>
      <c r="Q100" s="122">
        <v>30</v>
      </c>
      <c r="R100" s="41">
        <v>5</v>
      </c>
      <c r="S100" s="41">
        <f t="shared" si="17"/>
        <v>6987750.0000000019</v>
      </c>
      <c r="T100" s="122">
        <v>30</v>
      </c>
      <c r="U100" s="41">
        <v>5</v>
      </c>
      <c r="V100" s="41">
        <f t="shared" si="18"/>
        <v>7686525.0000000019</v>
      </c>
      <c r="W100" s="122">
        <v>30</v>
      </c>
      <c r="X100" s="41">
        <v>5</v>
      </c>
      <c r="Y100">
        <f t="shared" si="5"/>
        <v>8455177.5000000037</v>
      </c>
      <c r="Z100" s="122">
        <v>30</v>
      </c>
      <c r="AA100" s="41">
        <v>5</v>
      </c>
      <c r="AB100">
        <f t="shared" si="19"/>
        <v>9300695.2500000056</v>
      </c>
      <c r="AC100" s="122">
        <v>30</v>
      </c>
      <c r="AD100" s="41">
        <v>5</v>
      </c>
      <c r="AE100">
        <f t="shared" si="20"/>
        <v>10230764.775000006</v>
      </c>
      <c r="AF100" s="28">
        <f t="shared" si="8"/>
        <v>54788412.525000013</v>
      </c>
      <c r="AG100" s="28">
        <f t="shared" si="9"/>
        <v>53609.014212328781</v>
      </c>
    </row>
    <row r="101" spans="1:33" ht="57.6" x14ac:dyDescent="0.3">
      <c r="A101" s="41" t="s">
        <v>836</v>
      </c>
      <c r="B101" s="41"/>
      <c r="C101" s="41" t="s">
        <v>1478</v>
      </c>
      <c r="D101" s="129" t="s">
        <v>1118</v>
      </c>
      <c r="E101" s="129" t="s">
        <v>1119</v>
      </c>
      <c r="F101" s="129" t="s">
        <v>716</v>
      </c>
      <c r="G101" s="41">
        <v>39000</v>
      </c>
      <c r="H101" s="122"/>
      <c r="I101" s="41"/>
      <c r="J101" s="41">
        <f t="shared" si="0"/>
        <v>0</v>
      </c>
      <c r="K101" s="122">
        <v>30</v>
      </c>
      <c r="L101" s="41">
        <v>6</v>
      </c>
      <c r="M101" s="41">
        <f t="shared" si="10"/>
        <v>7722000</v>
      </c>
      <c r="N101" s="122">
        <v>30</v>
      </c>
      <c r="O101" s="41">
        <v>6</v>
      </c>
      <c r="P101" s="41">
        <f t="shared" si="16"/>
        <v>8494200.0000000019</v>
      </c>
      <c r="Q101" s="122">
        <v>30</v>
      </c>
      <c r="R101" s="41">
        <v>6</v>
      </c>
      <c r="S101" s="41">
        <f t="shared" si="17"/>
        <v>9343620.0000000037</v>
      </c>
      <c r="T101" s="122">
        <v>30</v>
      </c>
      <c r="U101" s="41">
        <v>6</v>
      </c>
      <c r="V101" s="41">
        <f t="shared" si="18"/>
        <v>10277982.000000004</v>
      </c>
      <c r="W101" s="122">
        <v>30</v>
      </c>
      <c r="X101" s="41">
        <v>6</v>
      </c>
      <c r="Y101">
        <f t="shared" si="5"/>
        <v>11305780.200000003</v>
      </c>
      <c r="Z101" s="122">
        <v>30</v>
      </c>
      <c r="AA101" s="41">
        <v>6</v>
      </c>
      <c r="AB101">
        <f t="shared" si="19"/>
        <v>12436358.220000004</v>
      </c>
      <c r="AC101" s="122">
        <v>30</v>
      </c>
      <c r="AD101" s="41">
        <v>6</v>
      </c>
      <c r="AE101">
        <f t="shared" si="20"/>
        <v>13679994.042000007</v>
      </c>
      <c r="AF101" s="28">
        <f t="shared" si="8"/>
        <v>73259934.462000027</v>
      </c>
      <c r="AG101" s="28">
        <f t="shared" si="9"/>
        <v>71682.910432485354</v>
      </c>
    </row>
    <row r="102" spans="1:33" ht="57.6" x14ac:dyDescent="0.3">
      <c r="A102" s="41" t="s">
        <v>836</v>
      </c>
      <c r="B102" s="41"/>
      <c r="C102" s="41" t="s">
        <v>1478</v>
      </c>
      <c r="D102" s="129" t="s">
        <v>1118</v>
      </c>
      <c r="E102" s="129" t="s">
        <v>1119</v>
      </c>
      <c r="F102" s="129" t="s">
        <v>712</v>
      </c>
      <c r="G102" s="41">
        <f>1480/7</f>
        <v>211.42857142857142</v>
      </c>
      <c r="H102" s="123"/>
      <c r="I102" s="41"/>
      <c r="J102" s="41">
        <f t="shared" si="0"/>
        <v>0</v>
      </c>
      <c r="K102" s="123">
        <f>2*9*25</f>
        <v>450</v>
      </c>
      <c r="L102" s="41">
        <v>5</v>
      </c>
      <c r="M102" s="41">
        <f t="shared" si="10"/>
        <v>523285.71428571432</v>
      </c>
      <c r="N102" s="123">
        <f>2*9*25</f>
        <v>450</v>
      </c>
      <c r="O102" s="41">
        <v>5</v>
      </c>
      <c r="P102" s="41">
        <f t="shared" si="16"/>
        <v>575614.2857142858</v>
      </c>
      <c r="Q102" s="123">
        <f>2*9*25</f>
        <v>450</v>
      </c>
      <c r="R102" s="41">
        <v>5</v>
      </c>
      <c r="S102" s="41">
        <f t="shared" si="17"/>
        <v>633175.71428571444</v>
      </c>
      <c r="T102" s="123">
        <f>2*9*25</f>
        <v>450</v>
      </c>
      <c r="U102" s="41">
        <v>5</v>
      </c>
      <c r="V102" s="41">
        <f t="shared" si="18"/>
        <v>696493.28571428568</v>
      </c>
      <c r="W102" s="123">
        <f>2*9*25</f>
        <v>450</v>
      </c>
      <c r="X102" s="41">
        <v>5</v>
      </c>
      <c r="Y102">
        <f t="shared" si="5"/>
        <v>766142.61428571446</v>
      </c>
      <c r="Z102" s="123">
        <f>2*9*25</f>
        <v>450</v>
      </c>
      <c r="AA102" s="41">
        <v>5</v>
      </c>
      <c r="AB102">
        <f t="shared" si="19"/>
        <v>842756.875714286</v>
      </c>
      <c r="AC102" s="123">
        <f>2*9*25</f>
        <v>450</v>
      </c>
      <c r="AD102" s="41">
        <v>5</v>
      </c>
      <c r="AE102">
        <f t="shared" si="20"/>
        <v>927032.56328571483</v>
      </c>
      <c r="AF102" s="28">
        <f t="shared" si="8"/>
        <v>4964501.0532857152</v>
      </c>
      <c r="AG102" s="28">
        <f t="shared" si="9"/>
        <v>4857.6331245457095</v>
      </c>
    </row>
    <row r="103" spans="1:33" ht="43.2" x14ac:dyDescent="0.3">
      <c r="A103" s="41"/>
      <c r="B103" s="41"/>
      <c r="C103" s="41" t="s">
        <v>1478</v>
      </c>
      <c r="D103" s="129" t="s">
        <v>1118</v>
      </c>
      <c r="E103" s="129" t="s">
        <v>1119</v>
      </c>
      <c r="F103" s="129" t="s">
        <v>1336</v>
      </c>
      <c r="G103" s="41">
        <f>1480/7</f>
        <v>211.42857142857142</v>
      </c>
      <c r="H103" s="123"/>
      <c r="I103" s="41"/>
      <c r="J103" s="41">
        <f t="shared" si="0"/>
        <v>0</v>
      </c>
      <c r="K103" s="123">
        <f>150*2*9</f>
        <v>2700</v>
      </c>
      <c r="L103" s="41">
        <v>1</v>
      </c>
      <c r="M103" s="41">
        <f t="shared" si="10"/>
        <v>627942.85714285716</v>
      </c>
      <c r="N103" s="123">
        <f>150*2*9</f>
        <v>2700</v>
      </c>
      <c r="O103" s="41">
        <v>1</v>
      </c>
      <c r="P103" s="41">
        <f t="shared" si="16"/>
        <v>690737.14285714296</v>
      </c>
      <c r="Q103" s="123">
        <f>150*2*9</f>
        <v>2700</v>
      </c>
      <c r="R103" s="41">
        <v>1</v>
      </c>
      <c r="S103" s="41">
        <f t="shared" si="17"/>
        <v>759810.85714285739</v>
      </c>
      <c r="T103" s="123">
        <f>150*2*9</f>
        <v>2700</v>
      </c>
      <c r="U103" s="41">
        <v>1</v>
      </c>
      <c r="V103" s="41">
        <f t="shared" si="18"/>
        <v>835791.942857143</v>
      </c>
      <c r="W103" s="123">
        <f>150*2*9</f>
        <v>2700</v>
      </c>
      <c r="X103" s="41">
        <v>1</v>
      </c>
      <c r="Y103">
        <f t="shared" si="5"/>
        <v>919371.13714285742</v>
      </c>
      <c r="Z103" s="123">
        <f>150*2*9</f>
        <v>2700</v>
      </c>
      <c r="AA103" s="41">
        <v>1</v>
      </c>
      <c r="AB103">
        <f t="shared" si="19"/>
        <v>1011308.2508571432</v>
      </c>
      <c r="AC103" s="123">
        <f>150*2*9</f>
        <v>2700</v>
      </c>
      <c r="AD103" s="41">
        <v>1</v>
      </c>
      <c r="AE103">
        <f t="shared" si="20"/>
        <v>1112439.0759428579</v>
      </c>
      <c r="AF103" s="28"/>
      <c r="AG103" s="28"/>
    </row>
    <row r="104" spans="1:33" ht="57.6" x14ac:dyDescent="0.3">
      <c r="A104" s="41" t="s">
        <v>836</v>
      </c>
      <c r="B104" s="41"/>
      <c r="C104" s="41" t="s">
        <v>1478</v>
      </c>
      <c r="D104" s="129" t="s">
        <v>1120</v>
      </c>
      <c r="E104" s="129" t="s">
        <v>1121</v>
      </c>
      <c r="F104" s="129" t="s">
        <v>841</v>
      </c>
      <c r="G104" s="41">
        <v>0</v>
      </c>
      <c r="H104" s="122"/>
      <c r="I104" s="41"/>
      <c r="J104" s="41">
        <f t="shared" si="0"/>
        <v>0</v>
      </c>
      <c r="K104" s="122">
        <v>0</v>
      </c>
      <c r="L104" s="41">
        <v>0</v>
      </c>
      <c r="M104" s="41">
        <f t="shared" si="10"/>
        <v>0</v>
      </c>
      <c r="N104" s="122">
        <v>0</v>
      </c>
      <c r="O104" s="41">
        <v>0</v>
      </c>
      <c r="P104" s="41">
        <f t="shared" si="16"/>
        <v>0</v>
      </c>
      <c r="Q104" s="122">
        <v>0</v>
      </c>
      <c r="R104" s="41">
        <v>0</v>
      </c>
      <c r="S104" s="41">
        <f t="shared" si="17"/>
        <v>0</v>
      </c>
      <c r="T104" s="122">
        <v>0</v>
      </c>
      <c r="U104" s="41">
        <v>0</v>
      </c>
      <c r="V104" s="41">
        <f t="shared" si="18"/>
        <v>0</v>
      </c>
      <c r="W104" s="122">
        <v>0</v>
      </c>
      <c r="X104" s="41">
        <v>0</v>
      </c>
      <c r="Y104">
        <f t="shared" si="5"/>
        <v>0</v>
      </c>
      <c r="Z104" s="122">
        <v>0</v>
      </c>
      <c r="AA104" s="41">
        <v>0</v>
      </c>
      <c r="AB104">
        <f t="shared" si="19"/>
        <v>0</v>
      </c>
      <c r="AC104" s="122">
        <v>0</v>
      </c>
      <c r="AD104" s="41">
        <v>0</v>
      </c>
      <c r="AE104">
        <f t="shared" si="20"/>
        <v>0</v>
      </c>
      <c r="AF104" s="28">
        <f t="shared" si="8"/>
        <v>0</v>
      </c>
      <c r="AG104" s="28">
        <f t="shared" si="9"/>
        <v>0</v>
      </c>
    </row>
    <row r="105" spans="1:33" ht="57.6" x14ac:dyDescent="0.3">
      <c r="A105" s="41" t="s">
        <v>836</v>
      </c>
      <c r="B105" s="41"/>
      <c r="C105" s="41" t="s">
        <v>1478</v>
      </c>
      <c r="D105" s="129" t="s">
        <v>1120</v>
      </c>
      <c r="E105" s="129" t="s">
        <v>179</v>
      </c>
      <c r="F105" s="129" t="s">
        <v>713</v>
      </c>
      <c r="G105" s="41">
        <v>45000</v>
      </c>
      <c r="H105" s="122"/>
      <c r="I105" s="41"/>
      <c r="J105" s="41">
        <f t="shared" si="0"/>
        <v>0</v>
      </c>
      <c r="K105" s="122">
        <v>30</v>
      </c>
      <c r="L105" s="41">
        <v>6</v>
      </c>
      <c r="M105" s="41">
        <f t="shared" si="10"/>
        <v>8910000.0000000019</v>
      </c>
      <c r="N105" s="122">
        <v>30</v>
      </c>
      <c r="O105" s="41">
        <v>6</v>
      </c>
      <c r="P105" s="41">
        <f t="shared" si="16"/>
        <v>9801000.0000000019</v>
      </c>
      <c r="Q105" s="122">
        <v>30</v>
      </c>
      <c r="R105" s="41">
        <v>6</v>
      </c>
      <c r="S105" s="41">
        <f t="shared" si="17"/>
        <v>10781100.000000004</v>
      </c>
      <c r="T105" s="122">
        <v>30</v>
      </c>
      <c r="U105" s="41">
        <v>6</v>
      </c>
      <c r="V105" s="41">
        <f t="shared" si="18"/>
        <v>11859210.000000004</v>
      </c>
      <c r="W105" s="122">
        <v>30</v>
      </c>
      <c r="X105" s="41">
        <v>6</v>
      </c>
      <c r="Y105">
        <f t="shared" si="5"/>
        <v>13045131.000000006</v>
      </c>
      <c r="Z105" s="122">
        <v>30</v>
      </c>
      <c r="AA105" s="41">
        <v>6</v>
      </c>
      <c r="AB105">
        <f t="shared" si="19"/>
        <v>14349644.100000005</v>
      </c>
      <c r="AC105" s="122">
        <v>30</v>
      </c>
      <c r="AD105" s="41">
        <v>6</v>
      </c>
      <c r="AE105">
        <f t="shared" si="20"/>
        <v>15784608.510000011</v>
      </c>
      <c r="AF105" s="28">
        <f t="shared" si="8"/>
        <v>84530693.610000029</v>
      </c>
      <c r="AG105" s="28">
        <f t="shared" si="9"/>
        <v>82711.050499021556</v>
      </c>
    </row>
    <row r="106" spans="1:33" ht="57.6" x14ac:dyDescent="0.3">
      <c r="A106" s="41" t="s">
        <v>836</v>
      </c>
      <c r="B106" s="41"/>
      <c r="C106" s="41" t="s">
        <v>1478</v>
      </c>
      <c r="D106" s="129" t="s">
        <v>1120</v>
      </c>
      <c r="E106" s="129" t="s">
        <v>179</v>
      </c>
      <c r="F106" s="129" t="s">
        <v>712</v>
      </c>
      <c r="G106" s="41">
        <f>1480/7</f>
        <v>211.42857142857142</v>
      </c>
      <c r="H106" s="123"/>
      <c r="I106" s="41"/>
      <c r="J106" s="41">
        <f t="shared" si="0"/>
        <v>0</v>
      </c>
      <c r="K106" s="123">
        <f>2*9*25</f>
        <v>450</v>
      </c>
      <c r="L106" s="41">
        <v>5</v>
      </c>
      <c r="M106" s="41">
        <f t="shared" si="10"/>
        <v>523285.71428571432</v>
      </c>
      <c r="N106" s="123">
        <f>2*9*25</f>
        <v>450</v>
      </c>
      <c r="O106" s="41">
        <v>5</v>
      </c>
      <c r="P106" s="41">
        <f t="shared" si="16"/>
        <v>575614.2857142858</v>
      </c>
      <c r="Q106" s="123">
        <f>2*9*25</f>
        <v>450</v>
      </c>
      <c r="R106" s="41">
        <v>5</v>
      </c>
      <c r="S106" s="41">
        <f t="shared" si="17"/>
        <v>633175.71428571444</v>
      </c>
      <c r="T106" s="123">
        <f>2*9*25</f>
        <v>450</v>
      </c>
      <c r="U106" s="41">
        <v>5</v>
      </c>
      <c r="V106" s="41">
        <f t="shared" si="18"/>
        <v>696493.28571428568</v>
      </c>
      <c r="W106" s="123">
        <f>2*9*25</f>
        <v>450</v>
      </c>
      <c r="X106" s="41">
        <v>5</v>
      </c>
      <c r="Y106">
        <f t="shared" si="5"/>
        <v>766142.61428571446</v>
      </c>
      <c r="Z106" s="123">
        <f>2*9*25</f>
        <v>450</v>
      </c>
      <c r="AA106" s="41">
        <v>5</v>
      </c>
      <c r="AB106">
        <f t="shared" si="19"/>
        <v>842756.875714286</v>
      </c>
      <c r="AC106" s="123">
        <f>2*9*25</f>
        <v>450</v>
      </c>
      <c r="AD106" s="41">
        <v>5</v>
      </c>
      <c r="AE106">
        <f t="shared" si="20"/>
        <v>927032.56328571483</v>
      </c>
      <c r="AF106" s="28">
        <f t="shared" si="8"/>
        <v>4964501.0532857152</v>
      </c>
      <c r="AG106" s="28">
        <f t="shared" si="9"/>
        <v>4857.6331245457095</v>
      </c>
    </row>
    <row r="107" spans="1:33" ht="43.2" x14ac:dyDescent="0.3">
      <c r="A107" s="41"/>
      <c r="B107" s="41"/>
      <c r="C107" s="41" t="s">
        <v>1478</v>
      </c>
      <c r="D107" s="129"/>
      <c r="E107" s="129" t="s">
        <v>179</v>
      </c>
      <c r="F107" s="129" t="s">
        <v>1336</v>
      </c>
      <c r="G107" s="41">
        <f>1480/7</f>
        <v>211.42857142857142</v>
      </c>
      <c r="H107" s="123"/>
      <c r="I107" s="41"/>
      <c r="J107" s="41">
        <f t="shared" si="0"/>
        <v>0</v>
      </c>
      <c r="K107" s="123">
        <f>150*2*9</f>
        <v>2700</v>
      </c>
      <c r="L107" s="41">
        <v>1</v>
      </c>
      <c r="M107" s="41">
        <f t="shared" si="10"/>
        <v>627942.85714285716</v>
      </c>
      <c r="N107" s="123">
        <f>150*2*9</f>
        <v>2700</v>
      </c>
      <c r="O107" s="41">
        <v>1</v>
      </c>
      <c r="P107" s="41">
        <f t="shared" si="16"/>
        <v>690737.14285714296</v>
      </c>
      <c r="Q107" s="123">
        <f>150*2*9</f>
        <v>2700</v>
      </c>
      <c r="R107" s="41">
        <v>1</v>
      </c>
      <c r="S107" s="41">
        <f t="shared" si="17"/>
        <v>759810.85714285739</v>
      </c>
      <c r="T107" s="123">
        <f>150*2*9</f>
        <v>2700</v>
      </c>
      <c r="U107" s="41">
        <v>1</v>
      </c>
      <c r="V107" s="41">
        <f t="shared" si="18"/>
        <v>835791.942857143</v>
      </c>
      <c r="W107" s="123">
        <f>150*2*9</f>
        <v>2700</v>
      </c>
      <c r="X107" s="41">
        <v>1</v>
      </c>
      <c r="Y107">
        <f t="shared" si="5"/>
        <v>919371.13714285742</v>
      </c>
      <c r="Z107" s="123">
        <f>150*2*9</f>
        <v>2700</v>
      </c>
      <c r="AA107" s="41">
        <v>1</v>
      </c>
      <c r="AB107">
        <f t="shared" si="19"/>
        <v>1011308.2508571432</v>
      </c>
      <c r="AC107" s="123">
        <f>150*2*9</f>
        <v>2700</v>
      </c>
      <c r="AD107" s="41">
        <v>1</v>
      </c>
      <c r="AE107">
        <f t="shared" si="20"/>
        <v>1112439.0759428579</v>
      </c>
      <c r="AF107" s="28"/>
      <c r="AG107" s="28"/>
    </row>
    <row r="108" spans="1:33" ht="57.6" x14ac:dyDescent="0.3">
      <c r="A108" s="41" t="s">
        <v>836</v>
      </c>
      <c r="B108" s="41"/>
      <c r="C108" s="41" t="s">
        <v>1478</v>
      </c>
      <c r="D108" s="129" t="s">
        <v>1120</v>
      </c>
      <c r="E108" s="129" t="s">
        <v>179</v>
      </c>
      <c r="F108" s="129" t="s">
        <v>714</v>
      </c>
      <c r="G108" s="41">
        <v>10000</v>
      </c>
      <c r="H108" s="122"/>
      <c r="I108" s="41"/>
      <c r="J108" s="41">
        <f t="shared" si="0"/>
        <v>0</v>
      </c>
      <c r="K108" s="122">
        <v>15</v>
      </c>
      <c r="L108" s="41">
        <v>1</v>
      </c>
      <c r="M108" s="41">
        <f t="shared" si="10"/>
        <v>165000</v>
      </c>
      <c r="N108" s="122">
        <v>15</v>
      </c>
      <c r="O108" s="41">
        <v>1</v>
      </c>
      <c r="P108" s="41">
        <f t="shared" si="16"/>
        <v>181500.00000000003</v>
      </c>
      <c r="Q108" s="122">
        <v>15</v>
      </c>
      <c r="R108" s="41">
        <v>1</v>
      </c>
      <c r="S108" s="41">
        <f t="shared" si="17"/>
        <v>199650.00000000006</v>
      </c>
      <c r="T108" s="122">
        <v>15</v>
      </c>
      <c r="U108" s="41">
        <v>1</v>
      </c>
      <c r="V108" s="41">
        <f t="shared" si="18"/>
        <v>219615.00000000006</v>
      </c>
      <c r="W108" s="122">
        <v>15</v>
      </c>
      <c r="X108" s="41">
        <v>1</v>
      </c>
      <c r="Y108">
        <f t="shared" si="5"/>
        <v>241576.50000000009</v>
      </c>
      <c r="Z108" s="122">
        <v>15</v>
      </c>
      <c r="AA108" s="41">
        <v>1</v>
      </c>
      <c r="AB108">
        <f t="shared" si="19"/>
        <v>265734.15000000014</v>
      </c>
      <c r="AC108" s="122">
        <v>15</v>
      </c>
      <c r="AD108" s="41">
        <v>1</v>
      </c>
      <c r="AE108">
        <f t="shared" si="20"/>
        <v>292307.56500000018</v>
      </c>
      <c r="AF108" s="28">
        <f t="shared" si="8"/>
        <v>1565383.2150000005</v>
      </c>
      <c r="AG108" s="28">
        <f t="shared" si="9"/>
        <v>1531.686120352251</v>
      </c>
    </row>
    <row r="109" spans="1:33" ht="57.6" x14ac:dyDescent="0.3">
      <c r="A109" s="41" t="s">
        <v>836</v>
      </c>
      <c r="B109" s="41"/>
      <c r="C109" s="41" t="s">
        <v>1478</v>
      </c>
      <c r="D109" s="129" t="s">
        <v>1120</v>
      </c>
      <c r="E109" s="129" t="s">
        <v>1004</v>
      </c>
      <c r="F109" s="129" t="s">
        <v>716</v>
      </c>
      <c r="G109" s="63">
        <v>39000</v>
      </c>
      <c r="H109" s="130"/>
      <c r="I109" s="63"/>
      <c r="J109" s="41">
        <f t="shared" si="0"/>
        <v>0</v>
      </c>
      <c r="K109" s="130">
        <v>30</v>
      </c>
      <c r="L109" s="63">
        <v>6</v>
      </c>
      <c r="M109" s="41">
        <f t="shared" si="10"/>
        <v>7722000</v>
      </c>
      <c r="N109" s="130">
        <v>30</v>
      </c>
      <c r="O109" s="63">
        <v>6</v>
      </c>
      <c r="P109" s="41">
        <f t="shared" si="16"/>
        <v>8494200.0000000019</v>
      </c>
      <c r="Q109" s="130">
        <v>30</v>
      </c>
      <c r="R109" s="63">
        <v>6</v>
      </c>
      <c r="S109" s="41">
        <f t="shared" si="17"/>
        <v>9343620.0000000037</v>
      </c>
      <c r="T109" s="130">
        <v>30</v>
      </c>
      <c r="U109" s="63">
        <v>6</v>
      </c>
      <c r="V109" s="41">
        <f t="shared" si="18"/>
        <v>10277982.000000004</v>
      </c>
      <c r="W109" s="130">
        <v>30</v>
      </c>
      <c r="X109" s="63">
        <v>6</v>
      </c>
      <c r="Y109">
        <f t="shared" si="5"/>
        <v>11305780.200000003</v>
      </c>
      <c r="Z109" s="130">
        <v>30</v>
      </c>
      <c r="AA109" s="63">
        <v>6</v>
      </c>
      <c r="AB109">
        <f t="shared" si="19"/>
        <v>12436358.220000004</v>
      </c>
      <c r="AC109" s="130">
        <v>30</v>
      </c>
      <c r="AD109" s="63">
        <v>6</v>
      </c>
      <c r="AE109">
        <f t="shared" si="20"/>
        <v>13679994.042000007</v>
      </c>
      <c r="AF109" s="28">
        <f t="shared" si="8"/>
        <v>73259934.462000027</v>
      </c>
      <c r="AG109" s="28">
        <f t="shared" si="9"/>
        <v>71682.910432485354</v>
      </c>
    </row>
    <row r="110" spans="1:33" ht="57.6" x14ac:dyDescent="0.3">
      <c r="A110" s="41" t="s">
        <v>836</v>
      </c>
      <c r="B110" s="41"/>
      <c r="C110" s="41" t="s">
        <v>1478</v>
      </c>
      <c r="D110" s="129" t="s">
        <v>1120</v>
      </c>
      <c r="E110" s="129" t="s">
        <v>1004</v>
      </c>
      <c r="F110" s="129" t="s">
        <v>709</v>
      </c>
      <c r="G110" s="41">
        <v>35000</v>
      </c>
      <c r="H110" s="122"/>
      <c r="I110" s="41"/>
      <c r="J110" s="41">
        <f t="shared" si="0"/>
        <v>0</v>
      </c>
      <c r="K110" s="122">
        <v>30</v>
      </c>
      <c r="L110" s="41">
        <v>5</v>
      </c>
      <c r="M110" s="41">
        <f t="shared" si="10"/>
        <v>5775000</v>
      </c>
      <c r="N110" s="122">
        <v>30</v>
      </c>
      <c r="O110" s="41">
        <v>5</v>
      </c>
      <c r="P110" s="41">
        <f t="shared" si="16"/>
        <v>6352500.0000000009</v>
      </c>
      <c r="Q110" s="122">
        <v>30</v>
      </c>
      <c r="R110" s="41">
        <v>5</v>
      </c>
      <c r="S110" s="41">
        <f t="shared" si="17"/>
        <v>6987750.0000000019</v>
      </c>
      <c r="T110" s="122">
        <v>30</v>
      </c>
      <c r="U110" s="41">
        <v>5</v>
      </c>
      <c r="V110" s="41">
        <f t="shared" si="18"/>
        <v>7686525.0000000019</v>
      </c>
      <c r="W110" s="122">
        <v>30</v>
      </c>
      <c r="X110" s="41">
        <v>5</v>
      </c>
      <c r="Y110">
        <f t="shared" si="5"/>
        <v>8455177.5000000037</v>
      </c>
      <c r="Z110" s="122">
        <v>30</v>
      </c>
      <c r="AA110" s="41">
        <v>5</v>
      </c>
      <c r="AB110">
        <f t="shared" si="19"/>
        <v>9300695.2500000056</v>
      </c>
      <c r="AC110" s="122">
        <v>30</v>
      </c>
      <c r="AD110" s="41">
        <v>5</v>
      </c>
      <c r="AE110">
        <f t="shared" si="20"/>
        <v>10230764.775000006</v>
      </c>
      <c r="AF110" s="28">
        <f t="shared" si="8"/>
        <v>54788412.525000013</v>
      </c>
      <c r="AG110" s="28">
        <f t="shared" si="9"/>
        <v>53609.014212328781</v>
      </c>
    </row>
    <row r="111" spans="1:33" ht="57.6" x14ac:dyDescent="0.3">
      <c r="A111" s="41" t="s">
        <v>836</v>
      </c>
      <c r="B111" s="41"/>
      <c r="C111" s="41" t="s">
        <v>1478</v>
      </c>
      <c r="D111" s="129" t="s">
        <v>1120</v>
      </c>
      <c r="E111" s="129" t="s">
        <v>1004</v>
      </c>
      <c r="F111" s="129" t="s">
        <v>712</v>
      </c>
      <c r="G111" s="41">
        <f>1480/7</f>
        <v>211.42857142857142</v>
      </c>
      <c r="H111" s="123"/>
      <c r="I111" s="41"/>
      <c r="J111" s="41">
        <f t="shared" si="0"/>
        <v>0</v>
      </c>
      <c r="K111" s="123">
        <f>2*9*25</f>
        <v>450</v>
      </c>
      <c r="L111" s="41">
        <v>5</v>
      </c>
      <c r="M111" s="41">
        <f t="shared" si="10"/>
        <v>523285.71428571432</v>
      </c>
      <c r="N111" s="123">
        <f>2*9*25</f>
        <v>450</v>
      </c>
      <c r="O111" s="41">
        <v>5</v>
      </c>
      <c r="P111" s="41">
        <f t="shared" si="16"/>
        <v>575614.2857142858</v>
      </c>
      <c r="Q111" s="123">
        <f>2*9*25</f>
        <v>450</v>
      </c>
      <c r="R111" s="41">
        <v>5</v>
      </c>
      <c r="S111" s="41">
        <f t="shared" si="17"/>
        <v>633175.71428571444</v>
      </c>
      <c r="T111" s="123">
        <f>2*9*25</f>
        <v>450</v>
      </c>
      <c r="U111" s="41">
        <v>5</v>
      </c>
      <c r="V111" s="41">
        <f t="shared" si="18"/>
        <v>696493.28571428568</v>
      </c>
      <c r="W111" s="123">
        <f>2*9*25</f>
        <v>450</v>
      </c>
      <c r="X111" s="41">
        <v>5</v>
      </c>
      <c r="Y111">
        <f t="shared" si="5"/>
        <v>766142.61428571446</v>
      </c>
      <c r="Z111" s="123">
        <f>2*9*25</f>
        <v>450</v>
      </c>
      <c r="AA111" s="41">
        <v>5</v>
      </c>
      <c r="AB111">
        <f t="shared" si="19"/>
        <v>842756.875714286</v>
      </c>
      <c r="AC111" s="123">
        <f>2*9*25</f>
        <v>450</v>
      </c>
      <c r="AD111" s="41">
        <v>5</v>
      </c>
      <c r="AE111">
        <f t="shared" si="20"/>
        <v>927032.56328571483</v>
      </c>
      <c r="AF111" s="28">
        <f t="shared" si="8"/>
        <v>4964501.0532857152</v>
      </c>
      <c r="AG111" s="28">
        <f t="shared" si="9"/>
        <v>4857.6331245457095</v>
      </c>
    </row>
    <row r="112" spans="1:33" ht="43.2" x14ac:dyDescent="0.3">
      <c r="A112" s="41"/>
      <c r="B112" s="41"/>
      <c r="C112" s="41" t="s">
        <v>1478</v>
      </c>
      <c r="D112" s="129" t="s">
        <v>1120</v>
      </c>
      <c r="E112" s="129" t="s">
        <v>1004</v>
      </c>
      <c r="F112" s="129" t="s">
        <v>1336</v>
      </c>
      <c r="G112" s="41">
        <f>1480/7</f>
        <v>211.42857142857142</v>
      </c>
      <c r="H112" s="123"/>
      <c r="I112" s="41"/>
      <c r="J112" s="41">
        <f t="shared" si="0"/>
        <v>0</v>
      </c>
      <c r="K112" s="123">
        <f>150*2*9</f>
        <v>2700</v>
      </c>
      <c r="L112" s="41">
        <v>1</v>
      </c>
      <c r="M112" s="41">
        <f t="shared" si="10"/>
        <v>627942.85714285716</v>
      </c>
      <c r="N112" s="123">
        <f>150*2*9</f>
        <v>2700</v>
      </c>
      <c r="O112" s="41">
        <v>1</v>
      </c>
      <c r="P112" s="41">
        <f t="shared" si="16"/>
        <v>690737.14285714296</v>
      </c>
      <c r="Q112" s="123">
        <f>150*2*9</f>
        <v>2700</v>
      </c>
      <c r="R112" s="41">
        <v>1</v>
      </c>
      <c r="S112" s="41">
        <f t="shared" si="17"/>
        <v>759810.85714285739</v>
      </c>
      <c r="T112" s="123">
        <f>150*2*9</f>
        <v>2700</v>
      </c>
      <c r="U112" s="41">
        <v>1</v>
      </c>
      <c r="V112" s="41">
        <f t="shared" si="18"/>
        <v>835791.942857143</v>
      </c>
      <c r="W112" s="123">
        <f>150*2*9</f>
        <v>2700</v>
      </c>
      <c r="X112" s="41">
        <v>1</v>
      </c>
      <c r="Y112">
        <f t="shared" si="5"/>
        <v>919371.13714285742</v>
      </c>
      <c r="Z112" s="123">
        <f>150*2*9</f>
        <v>2700</v>
      </c>
      <c r="AA112" s="41">
        <v>1</v>
      </c>
      <c r="AB112">
        <f t="shared" si="19"/>
        <v>1011308.2508571432</v>
      </c>
      <c r="AC112" s="123">
        <f>150*2*9</f>
        <v>2700</v>
      </c>
      <c r="AD112" s="41">
        <v>1</v>
      </c>
      <c r="AE112">
        <f t="shared" si="20"/>
        <v>1112439.0759428579</v>
      </c>
      <c r="AF112" s="28"/>
      <c r="AG112" s="28"/>
    </row>
    <row r="113" spans="1:33" ht="57.6" x14ac:dyDescent="0.3">
      <c r="A113" s="41" t="s">
        <v>836</v>
      </c>
      <c r="B113" s="41"/>
      <c r="C113" s="41" t="s">
        <v>1478</v>
      </c>
      <c r="D113" s="129" t="s">
        <v>1120</v>
      </c>
      <c r="E113" s="129" t="s">
        <v>180</v>
      </c>
      <c r="F113" s="129" t="s">
        <v>716</v>
      </c>
      <c r="G113" s="41">
        <v>39000</v>
      </c>
      <c r="H113" s="122"/>
      <c r="I113" s="41"/>
      <c r="J113" s="41">
        <f t="shared" si="0"/>
        <v>0</v>
      </c>
      <c r="K113" s="122">
        <v>30</v>
      </c>
      <c r="L113" s="41">
        <v>6</v>
      </c>
      <c r="M113" s="41">
        <f t="shared" si="10"/>
        <v>7722000</v>
      </c>
      <c r="N113" s="122">
        <v>30</v>
      </c>
      <c r="O113" s="41">
        <v>6</v>
      </c>
      <c r="P113" s="41">
        <f t="shared" si="16"/>
        <v>8494200.0000000019</v>
      </c>
      <c r="Q113" s="122">
        <v>30</v>
      </c>
      <c r="R113" s="41">
        <v>6</v>
      </c>
      <c r="S113" s="41">
        <f t="shared" si="17"/>
        <v>9343620.0000000037</v>
      </c>
      <c r="T113" s="122">
        <v>30</v>
      </c>
      <c r="U113" s="41">
        <v>6</v>
      </c>
      <c r="V113" s="41">
        <f t="shared" si="18"/>
        <v>10277982.000000004</v>
      </c>
      <c r="W113" s="122">
        <v>30</v>
      </c>
      <c r="X113" s="41">
        <v>6</v>
      </c>
      <c r="Y113">
        <f t="shared" si="5"/>
        <v>11305780.200000003</v>
      </c>
      <c r="Z113" s="122">
        <v>30</v>
      </c>
      <c r="AA113" s="41">
        <v>6</v>
      </c>
      <c r="AB113">
        <f t="shared" si="19"/>
        <v>12436358.220000004</v>
      </c>
      <c r="AC113" s="122">
        <v>30</v>
      </c>
      <c r="AD113" s="41">
        <v>6</v>
      </c>
      <c r="AE113">
        <f t="shared" si="20"/>
        <v>13679994.042000007</v>
      </c>
      <c r="AF113" s="28">
        <f t="shared" si="8"/>
        <v>73259934.462000027</v>
      </c>
      <c r="AG113" s="28">
        <f t="shared" si="9"/>
        <v>71682.910432485354</v>
      </c>
    </row>
    <row r="114" spans="1:33" ht="57.6" x14ac:dyDescent="0.3">
      <c r="A114" s="41" t="s">
        <v>836</v>
      </c>
      <c r="B114" s="41"/>
      <c r="C114" s="41" t="s">
        <v>1478</v>
      </c>
      <c r="D114" s="129" t="s">
        <v>1120</v>
      </c>
      <c r="E114" s="129" t="s">
        <v>180</v>
      </c>
      <c r="F114" s="129" t="s">
        <v>709</v>
      </c>
      <c r="G114" s="41">
        <v>35000</v>
      </c>
      <c r="H114" s="122"/>
      <c r="I114" s="41"/>
      <c r="J114" s="41">
        <f t="shared" si="0"/>
        <v>0</v>
      </c>
      <c r="K114" s="122">
        <v>30</v>
      </c>
      <c r="L114" s="41">
        <v>5</v>
      </c>
      <c r="M114" s="41">
        <f t="shared" si="10"/>
        <v>5775000</v>
      </c>
      <c r="N114" s="122">
        <v>30</v>
      </c>
      <c r="O114" s="41">
        <v>5</v>
      </c>
      <c r="P114" s="41">
        <f t="shared" si="16"/>
        <v>6352500.0000000009</v>
      </c>
      <c r="Q114" s="122">
        <v>30</v>
      </c>
      <c r="R114" s="41">
        <v>5</v>
      </c>
      <c r="S114" s="41">
        <f t="shared" si="17"/>
        <v>6987750.0000000019</v>
      </c>
      <c r="T114" s="122">
        <v>30</v>
      </c>
      <c r="U114" s="41">
        <v>5</v>
      </c>
      <c r="V114" s="41">
        <f t="shared" si="18"/>
        <v>7686525.0000000019</v>
      </c>
      <c r="W114" s="122">
        <v>30</v>
      </c>
      <c r="X114" s="41">
        <v>5</v>
      </c>
      <c r="Y114">
        <f t="shared" si="5"/>
        <v>8455177.5000000037</v>
      </c>
      <c r="Z114" s="122">
        <v>30</v>
      </c>
      <c r="AA114" s="41">
        <v>5</v>
      </c>
      <c r="AB114">
        <f t="shared" si="19"/>
        <v>9300695.2500000056</v>
      </c>
      <c r="AC114" s="122">
        <v>30</v>
      </c>
      <c r="AD114" s="41">
        <v>5</v>
      </c>
      <c r="AE114">
        <f t="shared" si="20"/>
        <v>10230764.775000006</v>
      </c>
      <c r="AF114" s="28">
        <f t="shared" si="8"/>
        <v>54788412.525000013</v>
      </c>
      <c r="AG114" s="28">
        <f t="shared" si="9"/>
        <v>53609.014212328781</v>
      </c>
    </row>
    <row r="115" spans="1:33" ht="57.6" x14ac:dyDescent="0.3">
      <c r="A115" s="41" t="s">
        <v>836</v>
      </c>
      <c r="B115" s="41"/>
      <c r="C115" s="41" t="s">
        <v>1478</v>
      </c>
      <c r="D115" s="129" t="s">
        <v>1120</v>
      </c>
      <c r="E115" s="129" t="s">
        <v>180</v>
      </c>
      <c r="F115" s="129" t="s">
        <v>712</v>
      </c>
      <c r="G115" s="41">
        <f>1480/7</f>
        <v>211.42857142857142</v>
      </c>
      <c r="H115" s="123"/>
      <c r="I115" s="41"/>
      <c r="J115" s="41">
        <f t="shared" si="0"/>
        <v>0</v>
      </c>
      <c r="K115" s="123">
        <f>2*9*25</f>
        <v>450</v>
      </c>
      <c r="L115" s="41">
        <v>5</v>
      </c>
      <c r="M115" s="41">
        <f t="shared" si="10"/>
        <v>523285.71428571432</v>
      </c>
      <c r="N115" s="123">
        <f>2*9*25</f>
        <v>450</v>
      </c>
      <c r="O115" s="41">
        <v>5</v>
      </c>
      <c r="P115" s="41">
        <f t="shared" si="16"/>
        <v>575614.2857142858</v>
      </c>
      <c r="Q115" s="123">
        <f>2*9*25</f>
        <v>450</v>
      </c>
      <c r="R115" s="41">
        <v>5</v>
      </c>
      <c r="S115" s="41">
        <f t="shared" si="17"/>
        <v>633175.71428571444</v>
      </c>
      <c r="T115" s="123">
        <f>2*9*25</f>
        <v>450</v>
      </c>
      <c r="U115" s="41">
        <v>5</v>
      </c>
      <c r="V115" s="41">
        <f t="shared" si="18"/>
        <v>696493.28571428568</v>
      </c>
      <c r="W115" s="123">
        <f>2*9*25</f>
        <v>450</v>
      </c>
      <c r="X115" s="41">
        <v>5</v>
      </c>
      <c r="Y115">
        <f t="shared" si="5"/>
        <v>766142.61428571446</v>
      </c>
      <c r="Z115" s="123">
        <f>2*9*25</f>
        <v>450</v>
      </c>
      <c r="AA115" s="41">
        <v>5</v>
      </c>
      <c r="AB115">
        <f t="shared" si="19"/>
        <v>842756.875714286</v>
      </c>
      <c r="AC115" s="123">
        <f>2*9*25</f>
        <v>450</v>
      </c>
      <c r="AD115" s="41">
        <v>5</v>
      </c>
      <c r="AE115">
        <f t="shared" si="20"/>
        <v>927032.56328571483</v>
      </c>
      <c r="AF115" s="28">
        <f t="shared" si="8"/>
        <v>4964501.0532857152</v>
      </c>
      <c r="AG115" s="28">
        <f t="shared" si="9"/>
        <v>4857.6331245457095</v>
      </c>
    </row>
    <row r="116" spans="1:33" ht="43.2" x14ac:dyDescent="0.3">
      <c r="A116" s="41"/>
      <c r="B116" s="41"/>
      <c r="C116" s="41" t="s">
        <v>1478</v>
      </c>
      <c r="D116" s="129"/>
      <c r="E116" s="129" t="s">
        <v>180</v>
      </c>
      <c r="F116" s="129" t="s">
        <v>1336</v>
      </c>
      <c r="G116" s="41">
        <f>1480/7</f>
        <v>211.42857142857142</v>
      </c>
      <c r="H116" s="123"/>
      <c r="I116" s="41"/>
      <c r="J116" s="41">
        <f t="shared" si="0"/>
        <v>0</v>
      </c>
      <c r="K116" s="123">
        <f>150*2*9</f>
        <v>2700</v>
      </c>
      <c r="L116" s="41">
        <v>1</v>
      </c>
      <c r="M116" s="41">
        <f t="shared" si="10"/>
        <v>627942.85714285716</v>
      </c>
      <c r="N116" s="123">
        <f>150*2*9</f>
        <v>2700</v>
      </c>
      <c r="O116" s="41">
        <v>1</v>
      </c>
      <c r="P116" s="41">
        <f t="shared" si="16"/>
        <v>690737.14285714296</v>
      </c>
      <c r="Q116" s="123">
        <f>150*2*9</f>
        <v>2700</v>
      </c>
      <c r="R116" s="41">
        <v>1</v>
      </c>
      <c r="S116" s="41">
        <f t="shared" si="17"/>
        <v>759810.85714285739</v>
      </c>
      <c r="T116" s="123">
        <f>150*2*9</f>
        <v>2700</v>
      </c>
      <c r="U116" s="41">
        <v>1</v>
      </c>
      <c r="V116" s="41">
        <f t="shared" si="18"/>
        <v>835791.942857143</v>
      </c>
      <c r="W116" s="123">
        <f>150*2*9</f>
        <v>2700</v>
      </c>
      <c r="X116" s="41">
        <v>1</v>
      </c>
      <c r="Y116">
        <f t="shared" si="5"/>
        <v>919371.13714285742</v>
      </c>
      <c r="Z116" s="123">
        <f>150*2*9</f>
        <v>2700</v>
      </c>
      <c r="AA116" s="41">
        <v>1</v>
      </c>
      <c r="AB116">
        <f t="shared" si="19"/>
        <v>1011308.2508571432</v>
      </c>
      <c r="AC116" s="123">
        <f>150*2*9</f>
        <v>2700</v>
      </c>
      <c r="AD116" s="41">
        <v>1</v>
      </c>
      <c r="AE116">
        <f t="shared" si="20"/>
        <v>1112439.0759428579</v>
      </c>
      <c r="AF116" s="28"/>
      <c r="AG116" s="28"/>
    </row>
    <row r="117" spans="1:33" ht="57.6" x14ac:dyDescent="0.3">
      <c r="A117" s="41" t="s">
        <v>836</v>
      </c>
      <c r="B117" s="41"/>
      <c r="C117" s="41" t="s">
        <v>1478</v>
      </c>
      <c r="D117" s="129" t="s">
        <v>1120</v>
      </c>
      <c r="E117" s="129" t="s">
        <v>280</v>
      </c>
      <c r="F117" s="129" t="s">
        <v>709</v>
      </c>
      <c r="G117" s="41">
        <v>35000</v>
      </c>
      <c r="H117" s="122"/>
      <c r="I117" s="41"/>
      <c r="J117" s="41">
        <f t="shared" si="0"/>
        <v>0</v>
      </c>
      <c r="K117" s="122">
        <v>100</v>
      </c>
      <c r="L117" s="41">
        <v>5</v>
      </c>
      <c r="M117" s="41">
        <f t="shared" si="10"/>
        <v>19250000</v>
      </c>
      <c r="N117" s="122">
        <v>100</v>
      </c>
      <c r="O117" s="41">
        <v>5</v>
      </c>
      <c r="P117" s="41">
        <f t="shared" si="16"/>
        <v>21175000.000000004</v>
      </c>
      <c r="Q117" s="122">
        <v>100</v>
      </c>
      <c r="R117" s="41">
        <v>5</v>
      </c>
      <c r="S117" s="41">
        <f t="shared" si="17"/>
        <v>23292500.000000007</v>
      </c>
      <c r="T117" s="122">
        <v>100</v>
      </c>
      <c r="U117" s="41">
        <v>5</v>
      </c>
      <c r="V117" s="41">
        <f t="shared" si="18"/>
        <v>25621750.000000007</v>
      </c>
      <c r="W117" s="122">
        <v>100</v>
      </c>
      <c r="X117" s="41">
        <v>5</v>
      </c>
      <c r="Y117">
        <f t="shared" si="5"/>
        <v>28183925.000000007</v>
      </c>
      <c r="Z117" s="122">
        <v>100</v>
      </c>
      <c r="AA117" s="41">
        <v>5</v>
      </c>
      <c r="AB117">
        <f t="shared" si="19"/>
        <v>31002317.500000015</v>
      </c>
      <c r="AC117" s="122">
        <v>100</v>
      </c>
      <c r="AD117" s="41">
        <v>5</v>
      </c>
      <c r="AE117">
        <f t="shared" si="20"/>
        <v>34102549.250000015</v>
      </c>
      <c r="AF117" s="28">
        <f t="shared" si="8"/>
        <v>182628041.75000006</v>
      </c>
      <c r="AG117" s="28">
        <f t="shared" si="9"/>
        <v>178696.71404109595</v>
      </c>
    </row>
    <row r="118" spans="1:33" ht="57.6" x14ac:dyDescent="0.3">
      <c r="A118" s="41" t="s">
        <v>836</v>
      </c>
      <c r="B118" s="41"/>
      <c r="C118" s="41" t="s">
        <v>1478</v>
      </c>
      <c r="D118" s="129" t="s">
        <v>1120</v>
      </c>
      <c r="E118" s="129" t="s">
        <v>280</v>
      </c>
      <c r="F118" s="129" t="s">
        <v>716</v>
      </c>
      <c r="G118" s="41">
        <v>39000</v>
      </c>
      <c r="H118" s="122"/>
      <c r="I118" s="41"/>
      <c r="J118" s="41">
        <f t="shared" si="0"/>
        <v>0</v>
      </c>
      <c r="K118" s="122">
        <v>58</v>
      </c>
      <c r="L118" s="41">
        <v>5</v>
      </c>
      <c r="M118" s="41">
        <f t="shared" si="10"/>
        <v>12441000</v>
      </c>
      <c r="N118" s="122">
        <v>58</v>
      </c>
      <c r="O118" s="41">
        <v>5</v>
      </c>
      <c r="P118" s="41">
        <f t="shared" si="16"/>
        <v>13685100.000000002</v>
      </c>
      <c r="Q118" s="122">
        <v>58</v>
      </c>
      <c r="R118" s="41">
        <v>5</v>
      </c>
      <c r="S118" s="41">
        <f t="shared" si="17"/>
        <v>15053610.000000004</v>
      </c>
      <c r="T118" s="122">
        <v>58</v>
      </c>
      <c r="U118" s="41">
        <v>5</v>
      </c>
      <c r="V118" s="41">
        <f t="shared" si="18"/>
        <v>16558971.000000006</v>
      </c>
      <c r="W118" s="122">
        <v>58</v>
      </c>
      <c r="X118" s="41">
        <v>5</v>
      </c>
      <c r="Y118">
        <f t="shared" si="5"/>
        <v>18214868.100000005</v>
      </c>
      <c r="Z118" s="122">
        <v>58</v>
      </c>
      <c r="AA118" s="41">
        <v>5</v>
      </c>
      <c r="AB118">
        <f t="shared" si="19"/>
        <v>20036354.910000008</v>
      </c>
      <c r="AC118" s="122">
        <v>58</v>
      </c>
      <c r="AD118" s="41">
        <v>5</v>
      </c>
      <c r="AE118">
        <f t="shared" si="20"/>
        <v>22039990.401000012</v>
      </c>
      <c r="AF118" s="28">
        <f t="shared" si="8"/>
        <v>118029894.41100003</v>
      </c>
      <c r="AG118" s="28">
        <f t="shared" si="9"/>
        <v>115489.13347455971</v>
      </c>
    </row>
    <row r="119" spans="1:33" ht="57.6" x14ac:dyDescent="0.3">
      <c r="A119" s="41" t="s">
        <v>836</v>
      </c>
      <c r="B119" s="41"/>
      <c r="C119" s="41" t="s">
        <v>1478</v>
      </c>
      <c r="D119" s="129" t="s">
        <v>1120</v>
      </c>
      <c r="E119" s="129" t="s">
        <v>280</v>
      </c>
      <c r="F119" s="129" t="s">
        <v>712</v>
      </c>
      <c r="G119" s="41">
        <f>1480/7</f>
        <v>211.42857142857142</v>
      </c>
      <c r="H119" s="122"/>
      <c r="I119" s="41"/>
      <c r="J119" s="41">
        <f t="shared" si="0"/>
        <v>0</v>
      </c>
      <c r="K119" s="122">
        <f>2*25*29</f>
        <v>1450</v>
      </c>
      <c r="L119" s="41">
        <v>5</v>
      </c>
      <c r="M119" s="41">
        <f t="shared" si="10"/>
        <v>1686142.857142857</v>
      </c>
      <c r="N119" s="122">
        <f>2*25*29</f>
        <v>1450</v>
      </c>
      <c r="O119" s="41">
        <v>5</v>
      </c>
      <c r="P119" s="41">
        <f t="shared" si="16"/>
        <v>1854757.142857143</v>
      </c>
      <c r="Q119" s="122">
        <f>2*25*29</f>
        <v>1450</v>
      </c>
      <c r="R119" s="41">
        <v>5</v>
      </c>
      <c r="S119" s="41">
        <f t="shared" si="17"/>
        <v>2040232.8571428577</v>
      </c>
      <c r="T119" s="122">
        <f>2*25*29</f>
        <v>1450</v>
      </c>
      <c r="U119" s="41">
        <v>5</v>
      </c>
      <c r="V119" s="41">
        <f t="shared" si="18"/>
        <v>2244256.1428571432</v>
      </c>
      <c r="W119" s="122">
        <f>2*25*29</f>
        <v>1450</v>
      </c>
      <c r="X119" s="41">
        <v>5</v>
      </c>
      <c r="Y119">
        <f t="shared" si="5"/>
        <v>2468681.7571428576</v>
      </c>
      <c r="Z119" s="122">
        <f>2*25*29</f>
        <v>1450</v>
      </c>
      <c r="AA119" s="41">
        <v>5</v>
      </c>
      <c r="AB119">
        <f t="shared" si="19"/>
        <v>2715549.9328571437</v>
      </c>
      <c r="AC119" s="122">
        <f>2*25*29</f>
        <v>1450</v>
      </c>
      <c r="AD119" s="41">
        <v>5</v>
      </c>
      <c r="AE119">
        <f t="shared" si="20"/>
        <v>2987104.9261428593</v>
      </c>
      <c r="AF119" s="28">
        <f t="shared" si="8"/>
        <v>15996725.616142865</v>
      </c>
      <c r="AG119" s="28">
        <f t="shared" si="9"/>
        <v>15652.373401313958</v>
      </c>
    </row>
    <row r="120" spans="1:33" ht="43.2" x14ac:dyDescent="0.3">
      <c r="A120" s="41"/>
      <c r="B120" s="41"/>
      <c r="C120" s="41" t="s">
        <v>1478</v>
      </c>
      <c r="D120" s="129"/>
      <c r="E120" s="129" t="s">
        <v>280</v>
      </c>
      <c r="F120" s="129" t="s">
        <v>1336</v>
      </c>
      <c r="G120" s="41">
        <f>1480/7</f>
        <v>211.42857142857142</v>
      </c>
      <c r="H120" s="122"/>
      <c r="I120" s="41"/>
      <c r="J120" s="41">
        <f t="shared" si="0"/>
        <v>0</v>
      </c>
      <c r="K120" s="122">
        <v>22500</v>
      </c>
      <c r="L120" s="41">
        <v>1</v>
      </c>
      <c r="M120" s="41">
        <f t="shared" si="10"/>
        <v>5232857.1428571427</v>
      </c>
      <c r="N120" s="122">
        <v>22500</v>
      </c>
      <c r="O120" s="41">
        <v>1</v>
      </c>
      <c r="P120" s="41">
        <f t="shared" si="16"/>
        <v>5756142.8571428573</v>
      </c>
      <c r="Q120" s="122">
        <v>22500</v>
      </c>
      <c r="R120" s="41">
        <v>1</v>
      </c>
      <c r="S120" s="41">
        <f t="shared" si="17"/>
        <v>6331757.1428571446</v>
      </c>
      <c r="T120" s="122">
        <v>22500</v>
      </c>
      <c r="U120" s="41">
        <v>1</v>
      </c>
      <c r="V120" s="41">
        <f t="shared" si="18"/>
        <v>6964932.8571428582</v>
      </c>
      <c r="W120" s="122">
        <v>22500</v>
      </c>
      <c r="X120" s="41">
        <v>1</v>
      </c>
      <c r="Y120">
        <f t="shared" si="5"/>
        <v>7661426.1428571446</v>
      </c>
      <c r="Z120" s="122">
        <v>22500</v>
      </c>
      <c r="AA120" s="41">
        <v>1</v>
      </c>
      <c r="AB120">
        <f t="shared" si="19"/>
        <v>8427568.7571428604</v>
      </c>
      <c r="AC120" s="122">
        <v>22500</v>
      </c>
      <c r="AD120" s="41">
        <v>1</v>
      </c>
      <c r="AE120">
        <f t="shared" si="20"/>
        <v>9270325.6328571495</v>
      </c>
      <c r="AF120" s="28"/>
      <c r="AG120" s="28"/>
    </row>
    <row r="121" spans="1:33" ht="57.6" x14ac:dyDescent="0.3">
      <c r="A121" s="41" t="s">
        <v>836</v>
      </c>
      <c r="B121" s="41"/>
      <c r="C121" s="41" t="s">
        <v>1478</v>
      </c>
      <c r="D121" s="129" t="s">
        <v>1120</v>
      </c>
      <c r="E121" s="129" t="s">
        <v>171</v>
      </c>
      <c r="F121" s="129" t="s">
        <v>709</v>
      </c>
      <c r="G121" s="41">
        <v>35000</v>
      </c>
      <c r="H121" s="122"/>
      <c r="I121" s="41"/>
      <c r="J121" s="41">
        <f t="shared" si="0"/>
        <v>0</v>
      </c>
      <c r="K121" s="122">
        <v>100</v>
      </c>
      <c r="L121" s="41">
        <v>1</v>
      </c>
      <c r="M121" s="41">
        <f t="shared" si="10"/>
        <v>3850000</v>
      </c>
      <c r="N121" s="122">
        <v>100</v>
      </c>
      <c r="O121" s="41">
        <v>1</v>
      </c>
      <c r="P121" s="41">
        <f t="shared" si="16"/>
        <v>4235000.0000000009</v>
      </c>
      <c r="Q121" s="122">
        <v>100</v>
      </c>
      <c r="R121" s="41">
        <v>1</v>
      </c>
      <c r="S121" s="41">
        <f t="shared" si="17"/>
        <v>4658500.0000000019</v>
      </c>
      <c r="T121" s="122">
        <v>100</v>
      </c>
      <c r="U121" s="41">
        <v>1</v>
      </c>
      <c r="V121" s="41">
        <f t="shared" si="18"/>
        <v>5124350.0000000019</v>
      </c>
      <c r="W121" s="122">
        <v>100</v>
      </c>
      <c r="X121" s="41">
        <v>1</v>
      </c>
      <c r="Y121">
        <f t="shared" si="5"/>
        <v>5636785.0000000019</v>
      </c>
      <c r="Z121" s="122">
        <v>100</v>
      </c>
      <c r="AA121" s="41">
        <v>1</v>
      </c>
      <c r="AB121">
        <f t="shared" si="19"/>
        <v>6200463.5000000028</v>
      </c>
      <c r="AC121" s="122">
        <v>100</v>
      </c>
      <c r="AD121" s="41">
        <v>1</v>
      </c>
      <c r="AE121">
        <f t="shared" si="20"/>
        <v>6820509.8500000034</v>
      </c>
      <c r="AF121" s="28">
        <f t="shared" si="8"/>
        <v>36525608.350000016</v>
      </c>
      <c r="AG121" s="28">
        <f t="shared" si="9"/>
        <v>35739.342808219197</v>
      </c>
    </row>
    <row r="122" spans="1:33" ht="57.6" x14ac:dyDescent="0.3">
      <c r="A122" s="41" t="s">
        <v>836</v>
      </c>
      <c r="B122" s="41"/>
      <c r="C122" s="41" t="s">
        <v>1478</v>
      </c>
      <c r="D122" s="129" t="s">
        <v>1120</v>
      </c>
      <c r="E122" s="129" t="s">
        <v>171</v>
      </c>
      <c r="F122" s="129" t="s">
        <v>1297</v>
      </c>
      <c r="G122" s="41">
        <v>8000</v>
      </c>
      <c r="H122" s="122"/>
      <c r="I122" s="41"/>
      <c r="J122" s="41">
        <f t="shared" si="0"/>
        <v>0</v>
      </c>
      <c r="K122" s="122">
        <v>10</v>
      </c>
      <c r="L122" s="41">
        <v>1</v>
      </c>
      <c r="M122" s="41">
        <f t="shared" si="10"/>
        <v>88000</v>
      </c>
      <c r="N122" s="122">
        <v>10</v>
      </c>
      <c r="O122" s="41">
        <v>1</v>
      </c>
      <c r="P122" s="41">
        <f t="shared" si="16"/>
        <v>96800.000000000015</v>
      </c>
      <c r="Q122" s="122">
        <v>10</v>
      </c>
      <c r="R122" s="41">
        <v>1</v>
      </c>
      <c r="S122" s="41">
        <f t="shared" si="17"/>
        <v>106480.00000000003</v>
      </c>
      <c r="T122" s="122">
        <v>10</v>
      </c>
      <c r="U122" s="41">
        <v>1</v>
      </c>
      <c r="V122" s="41">
        <f t="shared" si="18"/>
        <v>117128.00000000003</v>
      </c>
      <c r="W122" s="122">
        <v>10</v>
      </c>
      <c r="X122" s="41">
        <v>1</v>
      </c>
      <c r="Y122">
        <f t="shared" si="5"/>
        <v>128840.80000000003</v>
      </c>
      <c r="Z122" s="122">
        <v>10</v>
      </c>
      <c r="AA122" s="41">
        <v>1</v>
      </c>
      <c r="AB122">
        <f t="shared" si="19"/>
        <v>141724.88000000006</v>
      </c>
      <c r="AC122" s="122">
        <v>10</v>
      </c>
      <c r="AD122" s="41">
        <v>1</v>
      </c>
      <c r="AE122">
        <f t="shared" si="20"/>
        <v>155897.3680000001</v>
      </c>
      <c r="AF122" s="28">
        <f t="shared" si="8"/>
        <v>834871.0480000003</v>
      </c>
      <c r="AG122" s="28">
        <f t="shared" si="9"/>
        <v>816.89926418786717</v>
      </c>
    </row>
    <row r="123" spans="1:33" ht="57.6" x14ac:dyDescent="0.3">
      <c r="A123" s="41" t="s">
        <v>836</v>
      </c>
      <c r="B123" s="41"/>
      <c r="C123" s="41" t="s">
        <v>1478</v>
      </c>
      <c r="D123" s="129" t="s">
        <v>1120</v>
      </c>
      <c r="E123" s="129" t="s">
        <v>171</v>
      </c>
      <c r="F123" s="129" t="s">
        <v>717</v>
      </c>
      <c r="G123" s="67">
        <v>104850</v>
      </c>
      <c r="H123" s="122"/>
      <c r="I123" s="41"/>
      <c r="J123" s="41">
        <f t="shared" si="0"/>
        <v>0</v>
      </c>
      <c r="K123" s="122">
        <v>1</v>
      </c>
      <c r="L123" s="41">
        <v>1</v>
      </c>
      <c r="M123" s="41">
        <f t="shared" si="10"/>
        <v>115335.00000000001</v>
      </c>
      <c r="N123" s="122">
        <v>1</v>
      </c>
      <c r="O123" s="41">
        <v>1</v>
      </c>
      <c r="P123" s="41">
        <f t="shared" si="16"/>
        <v>126868.50000000001</v>
      </c>
      <c r="Q123" s="122">
        <v>1</v>
      </c>
      <c r="R123" s="41">
        <v>1</v>
      </c>
      <c r="S123" s="41">
        <f t="shared" si="17"/>
        <v>139555.35000000003</v>
      </c>
      <c r="T123" s="122">
        <v>1</v>
      </c>
      <c r="U123" s="41">
        <v>1</v>
      </c>
      <c r="V123" s="41">
        <f t="shared" si="18"/>
        <v>153510.88500000004</v>
      </c>
      <c r="W123" s="122">
        <v>1</v>
      </c>
      <c r="X123" s="41">
        <v>1</v>
      </c>
      <c r="Y123">
        <f t="shared" si="5"/>
        <v>168861.97350000005</v>
      </c>
      <c r="Z123" s="122">
        <v>1</v>
      </c>
      <c r="AA123" s="41">
        <v>1</v>
      </c>
      <c r="AB123">
        <f t="shared" si="19"/>
        <v>185748.17085000008</v>
      </c>
      <c r="AC123" s="122">
        <v>1</v>
      </c>
      <c r="AD123" s="41">
        <v>1</v>
      </c>
      <c r="AE123">
        <f t="shared" si="20"/>
        <v>204322.98793500013</v>
      </c>
      <c r="AF123" s="28">
        <f t="shared" si="8"/>
        <v>1094202.8672850004</v>
      </c>
      <c r="AG123" s="28">
        <f t="shared" si="9"/>
        <v>1070.6485981262235</v>
      </c>
    </row>
    <row r="124" spans="1:33" x14ac:dyDescent="0.3">
      <c r="A124" s="41"/>
      <c r="B124" s="41"/>
      <c r="C124" s="41"/>
      <c r="D124" s="129"/>
      <c r="E124" s="129"/>
      <c r="F124" s="129"/>
      <c r="G124" s="67"/>
      <c r="H124" s="122"/>
      <c r="I124" s="41"/>
      <c r="J124" s="41"/>
      <c r="K124" s="122"/>
      <c r="L124" s="41"/>
      <c r="M124" s="41"/>
      <c r="N124" s="122"/>
      <c r="O124" s="41"/>
      <c r="P124" s="41"/>
      <c r="Q124" s="122"/>
      <c r="R124" s="41"/>
      <c r="S124" s="41"/>
      <c r="T124" s="122"/>
      <c r="U124" s="41"/>
      <c r="V124" s="41"/>
      <c r="W124" s="122"/>
      <c r="X124" s="41"/>
      <c r="Z124" s="122"/>
      <c r="AA124" s="41"/>
      <c r="AC124" s="122"/>
      <c r="AD124" s="41"/>
      <c r="AF124" s="28"/>
      <c r="AG124" s="28"/>
    </row>
    <row r="125" spans="1:33" x14ac:dyDescent="0.3">
      <c r="A125" s="124" t="s">
        <v>1302</v>
      </c>
      <c r="B125" s="124"/>
      <c r="C125" s="124"/>
      <c r="D125" s="131"/>
      <c r="E125" s="131"/>
      <c r="F125" s="131"/>
      <c r="G125" s="124"/>
      <c r="H125" s="128"/>
      <c r="I125" s="124"/>
      <c r="J125" s="124">
        <f>SUM(J92:J124)</f>
        <v>0</v>
      </c>
      <c r="K125" s="128"/>
      <c r="L125" s="124"/>
      <c r="M125" s="124">
        <f>SUM(M93:M124)</f>
        <v>113613020.71428572</v>
      </c>
      <c r="N125" s="128"/>
      <c r="O125" s="124"/>
      <c r="P125" s="124">
        <f>SUM(P92:P124)</f>
        <v>124974322.78571428</v>
      </c>
      <c r="Q125" s="128"/>
      <c r="R125" s="124"/>
      <c r="S125" s="124">
        <f>SUM(S92:S124)</f>
        <v>137471755.06428576</v>
      </c>
      <c r="T125" s="128"/>
      <c r="U125" s="124"/>
      <c r="V125" s="124">
        <f>SUM(V92:V124)</f>
        <v>151218930.57071429</v>
      </c>
      <c r="W125" s="128"/>
      <c r="X125" s="124"/>
      <c r="Y125" s="127">
        <f>SUM(Y92:Y124)</f>
        <v>166340823.62778577</v>
      </c>
      <c r="Z125" s="128"/>
      <c r="AA125" s="124"/>
      <c r="AB125" s="127">
        <f>SUM(AB92:AB124)</f>
        <v>182974905.99056438</v>
      </c>
      <c r="AC125" s="128"/>
      <c r="AD125" s="124"/>
      <c r="AE125" s="127">
        <f>SUM(AE94:AE124)</f>
        <v>201272396.58962083</v>
      </c>
      <c r="AF125" s="127"/>
      <c r="AG125" s="127"/>
    </row>
    <row r="126" spans="1:33" x14ac:dyDescent="0.3">
      <c r="A126" s="41"/>
      <c r="B126" s="41"/>
      <c r="C126" s="41"/>
      <c r="D126" s="129"/>
      <c r="E126" s="129"/>
      <c r="F126" s="129"/>
      <c r="G126" s="67"/>
      <c r="H126" s="122"/>
      <c r="I126" s="41"/>
      <c r="J126" s="41"/>
      <c r="K126" s="122"/>
      <c r="L126" s="41"/>
      <c r="M126" s="41"/>
      <c r="N126" s="122"/>
      <c r="O126" s="41"/>
      <c r="P126" s="41"/>
      <c r="Q126" s="122"/>
      <c r="R126" s="41"/>
      <c r="S126" s="41"/>
      <c r="T126" s="122"/>
      <c r="U126" s="41"/>
      <c r="V126" s="41"/>
      <c r="W126" s="122"/>
      <c r="X126" s="41"/>
      <c r="Z126" s="122"/>
      <c r="AA126" s="41"/>
      <c r="AC126" s="122"/>
      <c r="AD126" s="41"/>
      <c r="AF126" s="28"/>
      <c r="AG126" s="28"/>
    </row>
    <row r="127" spans="1:33" ht="57.6" x14ac:dyDescent="0.3">
      <c r="A127" s="41" t="s">
        <v>836</v>
      </c>
      <c r="B127" s="41"/>
      <c r="C127" s="41" t="s">
        <v>1479</v>
      </c>
      <c r="D127" s="129" t="s">
        <v>1122</v>
      </c>
      <c r="E127" s="129" t="s">
        <v>1123</v>
      </c>
      <c r="F127" s="129" t="s">
        <v>709</v>
      </c>
      <c r="G127" s="41">
        <v>35000</v>
      </c>
      <c r="H127" s="122">
        <v>20</v>
      </c>
      <c r="I127" s="41">
        <v>5</v>
      </c>
      <c r="J127" s="41">
        <f t="shared" si="0"/>
        <v>3500000</v>
      </c>
      <c r="K127" s="122">
        <v>20</v>
      </c>
      <c r="L127" s="41">
        <v>5</v>
      </c>
      <c r="M127" s="41">
        <f t="shared" si="10"/>
        <v>3850000</v>
      </c>
      <c r="N127" s="122">
        <v>20</v>
      </c>
      <c r="O127" s="41">
        <v>5</v>
      </c>
      <c r="P127" s="41">
        <f t="shared" si="16"/>
        <v>4235000.0000000009</v>
      </c>
      <c r="Q127" s="122">
        <v>20</v>
      </c>
      <c r="R127" s="41">
        <v>5</v>
      </c>
      <c r="S127" s="41">
        <f t="shared" si="17"/>
        <v>4658500.0000000009</v>
      </c>
      <c r="T127" s="122">
        <v>20</v>
      </c>
      <c r="U127" s="41">
        <v>5</v>
      </c>
      <c r="V127" s="41">
        <f t="shared" si="18"/>
        <v>5124350.0000000009</v>
      </c>
      <c r="W127" s="122">
        <v>20</v>
      </c>
      <c r="X127" s="41">
        <v>5</v>
      </c>
      <c r="Y127">
        <f t="shared" si="5"/>
        <v>5636785.0000000019</v>
      </c>
      <c r="Z127" s="122">
        <v>20</v>
      </c>
      <c r="AA127" s="41">
        <v>5</v>
      </c>
      <c r="AB127">
        <f t="shared" si="19"/>
        <v>6200463.5000000037</v>
      </c>
      <c r="AC127" s="122">
        <v>20</v>
      </c>
      <c r="AD127" s="41">
        <v>5</v>
      </c>
      <c r="AE127">
        <f t="shared" si="20"/>
        <v>6820509.8500000034</v>
      </c>
      <c r="AF127" s="28">
        <f t="shared" si="8"/>
        <v>40025608.350000009</v>
      </c>
      <c r="AG127" s="28">
        <f t="shared" si="9"/>
        <v>39164.000342465763</v>
      </c>
    </row>
    <row r="128" spans="1:33" ht="57.6" x14ac:dyDescent="0.3">
      <c r="A128" s="41" t="s">
        <v>836</v>
      </c>
      <c r="B128" s="41"/>
      <c r="C128" s="41" t="s">
        <v>1479</v>
      </c>
      <c r="D128" s="129" t="s">
        <v>1122</v>
      </c>
      <c r="E128" s="129" t="s">
        <v>1123</v>
      </c>
      <c r="F128" s="129" t="s">
        <v>716</v>
      </c>
      <c r="G128" s="41">
        <v>39000</v>
      </c>
      <c r="H128" s="122">
        <v>20</v>
      </c>
      <c r="I128" s="41">
        <v>6</v>
      </c>
      <c r="J128" s="41">
        <f t="shared" si="0"/>
        <v>4680000</v>
      </c>
      <c r="K128" s="122">
        <v>20</v>
      </c>
      <c r="L128" s="41">
        <v>6</v>
      </c>
      <c r="M128" s="41">
        <f t="shared" si="10"/>
        <v>5148000</v>
      </c>
      <c r="N128" s="122">
        <v>20</v>
      </c>
      <c r="O128" s="41">
        <v>6</v>
      </c>
      <c r="P128" s="41">
        <f t="shared" si="16"/>
        <v>5662800.0000000009</v>
      </c>
      <c r="Q128" s="122">
        <v>20</v>
      </c>
      <c r="R128" s="41">
        <v>6</v>
      </c>
      <c r="S128" s="41">
        <f t="shared" si="17"/>
        <v>6229080.0000000019</v>
      </c>
      <c r="T128" s="122">
        <v>20</v>
      </c>
      <c r="U128" s="41">
        <v>6</v>
      </c>
      <c r="V128" s="41">
        <f t="shared" si="18"/>
        <v>6851988.0000000019</v>
      </c>
      <c r="W128" s="122">
        <v>20</v>
      </c>
      <c r="X128" s="41">
        <v>6</v>
      </c>
      <c r="Y128">
        <f t="shared" si="5"/>
        <v>7537186.8000000026</v>
      </c>
      <c r="Z128" s="122">
        <v>20</v>
      </c>
      <c r="AA128" s="41">
        <v>6</v>
      </c>
      <c r="AB128">
        <f t="shared" si="19"/>
        <v>8290905.4800000032</v>
      </c>
      <c r="AC128" s="122">
        <v>20</v>
      </c>
      <c r="AD128" s="41">
        <v>6</v>
      </c>
      <c r="AE128">
        <f t="shared" si="20"/>
        <v>9119996.0280000046</v>
      </c>
      <c r="AF128" s="28">
        <f t="shared" si="8"/>
        <v>53519956.308000013</v>
      </c>
      <c r="AG128" s="28">
        <f t="shared" si="9"/>
        <v>52367.863315068505</v>
      </c>
    </row>
    <row r="129" spans="1:33" ht="57.6" x14ac:dyDescent="0.3">
      <c r="A129" s="41" t="s">
        <v>836</v>
      </c>
      <c r="B129" s="41"/>
      <c r="C129" s="41" t="s">
        <v>1479</v>
      </c>
      <c r="D129" s="129" t="s">
        <v>1122</v>
      </c>
      <c r="E129" s="129" t="s">
        <v>1123</v>
      </c>
      <c r="F129" s="129" t="s">
        <v>712</v>
      </c>
      <c r="G129" s="41">
        <f>1480/7</f>
        <v>211.42857142857142</v>
      </c>
      <c r="H129" s="122">
        <f>2*25*9</f>
        <v>450</v>
      </c>
      <c r="I129" s="41">
        <v>5</v>
      </c>
      <c r="J129" s="41">
        <f t="shared" si="0"/>
        <v>475714.28571428568</v>
      </c>
      <c r="K129" s="122">
        <f>2*25*9</f>
        <v>450</v>
      </c>
      <c r="L129" s="41">
        <v>5</v>
      </c>
      <c r="M129" s="41">
        <f t="shared" si="10"/>
        <v>523285.71428571432</v>
      </c>
      <c r="N129" s="122">
        <f>2*25*9</f>
        <v>450</v>
      </c>
      <c r="O129" s="41">
        <v>5</v>
      </c>
      <c r="P129" s="41">
        <f t="shared" si="16"/>
        <v>575614.2857142858</v>
      </c>
      <c r="Q129" s="122">
        <f>2*25*9</f>
        <v>450</v>
      </c>
      <c r="R129" s="41">
        <v>5</v>
      </c>
      <c r="S129" s="41">
        <f t="shared" si="17"/>
        <v>633175.71428571444</v>
      </c>
      <c r="T129" s="122">
        <f>2*25*9</f>
        <v>450</v>
      </c>
      <c r="U129" s="41">
        <v>5</v>
      </c>
      <c r="V129" s="41">
        <f t="shared" si="18"/>
        <v>696493.28571428568</v>
      </c>
      <c r="W129" s="122">
        <f>2*25*9</f>
        <v>450</v>
      </c>
      <c r="X129" s="41">
        <v>5</v>
      </c>
      <c r="Y129">
        <f t="shared" si="5"/>
        <v>766142.61428571446</v>
      </c>
      <c r="Z129" s="122">
        <f>2*25*9</f>
        <v>450</v>
      </c>
      <c r="AA129" s="41">
        <v>5</v>
      </c>
      <c r="AB129">
        <f t="shared" si="19"/>
        <v>842756.875714286</v>
      </c>
      <c r="AC129" s="122">
        <f>2*25*9</f>
        <v>450</v>
      </c>
      <c r="AD129" s="41">
        <v>5</v>
      </c>
      <c r="AE129">
        <f t="shared" si="20"/>
        <v>927032.56328571483</v>
      </c>
      <c r="AF129" s="28">
        <f t="shared" si="8"/>
        <v>5440215.3390000015</v>
      </c>
      <c r="AG129" s="28">
        <f t="shared" si="9"/>
        <v>5323.1069853228973</v>
      </c>
    </row>
    <row r="130" spans="1:33" ht="43.2" x14ac:dyDescent="0.3">
      <c r="A130" s="41"/>
      <c r="B130" s="41"/>
      <c r="C130" s="41" t="s">
        <v>1479</v>
      </c>
      <c r="D130" s="129" t="s">
        <v>1122</v>
      </c>
      <c r="E130" s="129" t="s">
        <v>1123</v>
      </c>
      <c r="F130" s="129" t="s">
        <v>1336</v>
      </c>
      <c r="G130" s="41">
        <f>1480/7</f>
        <v>211.42857142857142</v>
      </c>
      <c r="H130" s="122">
        <f>2*135*9</f>
        <v>2430</v>
      </c>
      <c r="I130" s="41">
        <v>1</v>
      </c>
      <c r="J130" s="41">
        <f t="shared" si="0"/>
        <v>513771.42857142852</v>
      </c>
      <c r="K130" s="122">
        <f>2*135*9</f>
        <v>2430</v>
      </c>
      <c r="L130" s="41">
        <v>1</v>
      </c>
      <c r="M130" s="41">
        <f t="shared" si="10"/>
        <v>565148.57142857148</v>
      </c>
      <c r="N130" s="122">
        <f>2*135*9</f>
        <v>2430</v>
      </c>
      <c r="O130" s="41">
        <v>1</v>
      </c>
      <c r="P130" s="41">
        <f t="shared" si="16"/>
        <v>621663.42857142864</v>
      </c>
      <c r="Q130" s="122">
        <f>2*135*9</f>
        <v>2430</v>
      </c>
      <c r="R130" s="41">
        <v>1</v>
      </c>
      <c r="S130" s="41">
        <f t="shared" si="17"/>
        <v>683829.77142857155</v>
      </c>
      <c r="T130" s="122">
        <f>2*135*9</f>
        <v>2430</v>
      </c>
      <c r="U130" s="41">
        <v>1</v>
      </c>
      <c r="V130" s="41">
        <f t="shared" si="18"/>
        <v>752212.7485714287</v>
      </c>
      <c r="W130" s="122">
        <f>2*135*9</f>
        <v>2430</v>
      </c>
      <c r="X130" s="41">
        <v>1</v>
      </c>
      <c r="Y130">
        <f t="shared" si="5"/>
        <v>827434.02342857164</v>
      </c>
      <c r="Z130" s="122">
        <f>2*135*9</f>
        <v>2430</v>
      </c>
      <c r="AA130" s="41">
        <v>1</v>
      </c>
      <c r="AB130">
        <f t="shared" si="19"/>
        <v>910177.42577142885</v>
      </c>
      <c r="AC130" s="122">
        <f>2*135*9</f>
        <v>2430</v>
      </c>
      <c r="AD130" s="41">
        <v>1</v>
      </c>
      <c r="AE130">
        <f t="shared" si="20"/>
        <v>1001195.1683485721</v>
      </c>
      <c r="AF130" s="28"/>
      <c r="AG130" s="28"/>
    </row>
    <row r="131" spans="1:33" ht="57.6" x14ac:dyDescent="0.3">
      <c r="A131" s="41" t="s">
        <v>836</v>
      </c>
      <c r="B131" s="41"/>
      <c r="C131" s="41" t="s">
        <v>1479</v>
      </c>
      <c r="D131" s="129" t="s">
        <v>1124</v>
      </c>
      <c r="E131" s="129" t="s">
        <v>1125</v>
      </c>
      <c r="F131" s="129" t="s">
        <v>841</v>
      </c>
      <c r="G131" s="41">
        <v>0</v>
      </c>
      <c r="H131" s="122">
        <v>0</v>
      </c>
      <c r="I131" s="41">
        <v>0</v>
      </c>
      <c r="J131" s="41">
        <f t="shared" si="0"/>
        <v>0</v>
      </c>
      <c r="K131" s="122">
        <v>0</v>
      </c>
      <c r="L131" s="41">
        <v>0</v>
      </c>
      <c r="M131" s="41">
        <f t="shared" si="10"/>
        <v>0</v>
      </c>
      <c r="N131" s="122">
        <v>0</v>
      </c>
      <c r="O131" s="41">
        <v>0</v>
      </c>
      <c r="P131" s="41">
        <f t="shared" si="16"/>
        <v>0</v>
      </c>
      <c r="Q131" s="122">
        <v>0</v>
      </c>
      <c r="R131" s="41">
        <v>0</v>
      </c>
      <c r="S131" s="41">
        <f t="shared" si="17"/>
        <v>0</v>
      </c>
      <c r="T131" s="122">
        <v>0</v>
      </c>
      <c r="U131" s="41">
        <v>0</v>
      </c>
      <c r="V131" s="41">
        <f t="shared" si="18"/>
        <v>0</v>
      </c>
      <c r="W131" s="122">
        <v>0</v>
      </c>
      <c r="X131" s="41">
        <v>0</v>
      </c>
      <c r="Y131">
        <f t="shared" si="5"/>
        <v>0</v>
      </c>
      <c r="Z131" s="122">
        <v>0</v>
      </c>
      <c r="AA131" s="41">
        <v>0</v>
      </c>
      <c r="AB131">
        <f t="shared" si="19"/>
        <v>0</v>
      </c>
      <c r="AC131" s="122">
        <v>0</v>
      </c>
      <c r="AD131" s="41">
        <v>0</v>
      </c>
      <c r="AE131">
        <f t="shared" si="20"/>
        <v>0</v>
      </c>
      <c r="AF131" s="28">
        <f t="shared" si="8"/>
        <v>0</v>
      </c>
      <c r="AG131" s="28">
        <f t="shared" si="9"/>
        <v>0</v>
      </c>
    </row>
    <row r="132" spans="1:33" ht="57.6" x14ac:dyDescent="0.3">
      <c r="A132" s="41" t="s">
        <v>836</v>
      </c>
      <c r="B132" s="41"/>
      <c r="C132" s="41" t="s">
        <v>1479</v>
      </c>
      <c r="D132" s="129" t="s">
        <v>1124</v>
      </c>
      <c r="E132" s="129" t="s">
        <v>1126</v>
      </c>
      <c r="F132" s="129" t="s">
        <v>709</v>
      </c>
      <c r="G132" s="41">
        <v>35000</v>
      </c>
      <c r="H132" s="122">
        <v>30</v>
      </c>
      <c r="I132" s="41">
        <v>5</v>
      </c>
      <c r="J132" s="41">
        <f t="shared" si="0"/>
        <v>5250000</v>
      </c>
      <c r="K132" s="122">
        <v>30</v>
      </c>
      <c r="L132" s="41">
        <v>5</v>
      </c>
      <c r="M132" s="41">
        <f t="shared" si="10"/>
        <v>5775000</v>
      </c>
      <c r="N132" s="122">
        <v>30</v>
      </c>
      <c r="O132" s="41">
        <v>5</v>
      </c>
      <c r="P132" s="41">
        <f t="shared" si="16"/>
        <v>6352500.0000000009</v>
      </c>
      <c r="Q132" s="122">
        <v>30</v>
      </c>
      <c r="R132" s="41">
        <v>5</v>
      </c>
      <c r="S132" s="41">
        <f t="shared" si="17"/>
        <v>6987750.0000000019</v>
      </c>
      <c r="T132" s="122">
        <v>30</v>
      </c>
      <c r="U132" s="41">
        <v>5</v>
      </c>
      <c r="V132" s="41">
        <f t="shared" si="18"/>
        <v>7686525.0000000019</v>
      </c>
      <c r="W132" s="122">
        <v>30</v>
      </c>
      <c r="X132" s="41">
        <v>5</v>
      </c>
      <c r="Y132">
        <f t="shared" si="5"/>
        <v>8455177.5000000037</v>
      </c>
      <c r="Z132" s="122">
        <v>30</v>
      </c>
      <c r="AA132" s="41">
        <v>5</v>
      </c>
      <c r="AB132">
        <f t="shared" si="19"/>
        <v>9300695.2500000056</v>
      </c>
      <c r="AC132" s="122">
        <v>30</v>
      </c>
      <c r="AD132" s="41">
        <v>5</v>
      </c>
      <c r="AE132">
        <f t="shared" si="20"/>
        <v>10230764.775000006</v>
      </c>
      <c r="AF132" s="28">
        <f t="shared" si="8"/>
        <v>60038412.525000013</v>
      </c>
      <c r="AG132" s="28">
        <f t="shared" si="9"/>
        <v>58746.000513698644</v>
      </c>
    </row>
    <row r="133" spans="1:33" ht="57.6" x14ac:dyDescent="0.3">
      <c r="A133" s="41" t="s">
        <v>836</v>
      </c>
      <c r="B133" s="41"/>
      <c r="C133" s="41" t="s">
        <v>1479</v>
      </c>
      <c r="D133" s="129" t="s">
        <v>1124</v>
      </c>
      <c r="E133" s="129" t="s">
        <v>1126</v>
      </c>
      <c r="F133" s="129" t="s">
        <v>716</v>
      </c>
      <c r="G133" s="41">
        <v>39000</v>
      </c>
      <c r="H133" s="132">
        <v>30</v>
      </c>
      <c r="I133" s="41">
        <v>6</v>
      </c>
      <c r="J133" s="41">
        <f t="shared" si="0"/>
        <v>7020000</v>
      </c>
      <c r="K133" s="132">
        <v>30</v>
      </c>
      <c r="L133" s="41">
        <v>6</v>
      </c>
      <c r="M133" s="41">
        <f t="shared" si="10"/>
        <v>7722000</v>
      </c>
      <c r="N133" s="132">
        <v>30</v>
      </c>
      <c r="O133" s="41">
        <v>6</v>
      </c>
      <c r="P133" s="41">
        <f t="shared" si="16"/>
        <v>8494200.0000000019</v>
      </c>
      <c r="Q133" s="132">
        <v>30</v>
      </c>
      <c r="R133" s="41">
        <v>6</v>
      </c>
      <c r="S133" s="41">
        <f t="shared" si="17"/>
        <v>9343620.0000000037</v>
      </c>
      <c r="T133" s="132">
        <v>30</v>
      </c>
      <c r="U133" s="41">
        <v>6</v>
      </c>
      <c r="V133" s="41">
        <f t="shared" si="18"/>
        <v>10277982.000000004</v>
      </c>
      <c r="W133" s="132">
        <v>30</v>
      </c>
      <c r="X133" s="41">
        <v>6</v>
      </c>
      <c r="Y133">
        <f t="shared" si="5"/>
        <v>11305780.200000003</v>
      </c>
      <c r="Z133" s="132">
        <v>30</v>
      </c>
      <c r="AA133" s="41">
        <v>6</v>
      </c>
      <c r="AB133">
        <f t="shared" si="19"/>
        <v>12436358.220000004</v>
      </c>
      <c r="AC133" s="132">
        <v>30</v>
      </c>
      <c r="AD133" s="41">
        <v>6</v>
      </c>
      <c r="AE133">
        <f t="shared" si="20"/>
        <v>13679994.042000007</v>
      </c>
      <c r="AF133" s="28">
        <f t="shared" si="8"/>
        <v>80279934.462000027</v>
      </c>
      <c r="AG133" s="28">
        <f t="shared" si="9"/>
        <v>78551.794972602773</v>
      </c>
    </row>
    <row r="134" spans="1:33" ht="57.6" x14ac:dyDescent="0.3">
      <c r="A134" s="41" t="s">
        <v>836</v>
      </c>
      <c r="B134" s="41"/>
      <c r="C134" s="41" t="s">
        <v>1479</v>
      </c>
      <c r="D134" s="129" t="s">
        <v>1124</v>
      </c>
      <c r="E134" s="129" t="s">
        <v>1126</v>
      </c>
      <c r="F134" s="129" t="s">
        <v>712</v>
      </c>
      <c r="G134" s="41">
        <f>1480/7</f>
        <v>211.42857142857142</v>
      </c>
      <c r="H134" s="122">
        <f>2*25*9</f>
        <v>450</v>
      </c>
      <c r="I134" s="41">
        <v>5</v>
      </c>
      <c r="J134" s="41">
        <f t="shared" si="0"/>
        <v>475714.28571428568</v>
      </c>
      <c r="K134" s="122">
        <f>2*25*9</f>
        <v>450</v>
      </c>
      <c r="L134" s="41">
        <v>5</v>
      </c>
      <c r="M134" s="41">
        <f t="shared" si="10"/>
        <v>523285.71428571432</v>
      </c>
      <c r="N134" s="122">
        <f>2*25*9</f>
        <v>450</v>
      </c>
      <c r="O134" s="41">
        <v>5</v>
      </c>
      <c r="P134" s="41">
        <f t="shared" si="16"/>
        <v>575614.2857142858</v>
      </c>
      <c r="Q134" s="122">
        <f>2*25*9</f>
        <v>450</v>
      </c>
      <c r="R134" s="41">
        <v>5</v>
      </c>
      <c r="S134" s="41">
        <f t="shared" si="17"/>
        <v>633175.71428571444</v>
      </c>
      <c r="T134" s="122">
        <f>2*25*9</f>
        <v>450</v>
      </c>
      <c r="U134" s="41">
        <v>5</v>
      </c>
      <c r="V134" s="41">
        <f t="shared" si="18"/>
        <v>696493.28571428568</v>
      </c>
      <c r="W134" s="122">
        <f>2*25*9</f>
        <v>450</v>
      </c>
      <c r="X134" s="41">
        <v>5</v>
      </c>
      <c r="Y134">
        <f t="shared" si="5"/>
        <v>766142.61428571446</v>
      </c>
      <c r="Z134" s="122">
        <f>2*25*9</f>
        <v>450</v>
      </c>
      <c r="AA134" s="41">
        <v>5</v>
      </c>
      <c r="AB134">
        <f t="shared" si="19"/>
        <v>842756.875714286</v>
      </c>
      <c r="AC134" s="122">
        <f>2*25*9</f>
        <v>450</v>
      </c>
      <c r="AD134" s="41">
        <v>5</v>
      </c>
      <c r="AE134">
        <f t="shared" si="20"/>
        <v>927032.56328571483</v>
      </c>
      <c r="AF134" s="28">
        <f t="shared" si="8"/>
        <v>5440215.3390000015</v>
      </c>
      <c r="AG134" s="28">
        <f t="shared" si="9"/>
        <v>5323.1069853228973</v>
      </c>
    </row>
    <row r="135" spans="1:33" ht="57.6" x14ac:dyDescent="0.3">
      <c r="A135" s="41"/>
      <c r="B135" s="41"/>
      <c r="C135" s="41" t="s">
        <v>1479</v>
      </c>
      <c r="D135" s="129" t="s">
        <v>1124</v>
      </c>
      <c r="E135" s="129" t="s">
        <v>1126</v>
      </c>
      <c r="F135" s="129" t="s">
        <v>1336</v>
      </c>
      <c r="G135" s="41">
        <f>1480/7</f>
        <v>211.42857142857142</v>
      </c>
      <c r="H135" s="122">
        <f>2*135*9</f>
        <v>2430</v>
      </c>
      <c r="I135" s="41">
        <v>1</v>
      </c>
      <c r="J135" s="41">
        <f t="shared" si="0"/>
        <v>513771.42857142852</v>
      </c>
      <c r="K135" s="122">
        <f>2*135*9</f>
        <v>2430</v>
      </c>
      <c r="L135" s="41">
        <v>1</v>
      </c>
      <c r="M135" s="41">
        <f t="shared" si="10"/>
        <v>565148.57142857148</v>
      </c>
      <c r="N135" s="122">
        <f>2*135*9</f>
        <v>2430</v>
      </c>
      <c r="O135" s="41">
        <v>1</v>
      </c>
      <c r="P135" s="41">
        <f t="shared" si="16"/>
        <v>621663.42857142864</v>
      </c>
      <c r="Q135" s="122">
        <f>2*135*9</f>
        <v>2430</v>
      </c>
      <c r="R135" s="41">
        <v>1</v>
      </c>
      <c r="S135" s="41">
        <f t="shared" si="17"/>
        <v>683829.77142857155</v>
      </c>
      <c r="T135" s="122">
        <f>2*135*9</f>
        <v>2430</v>
      </c>
      <c r="U135" s="41">
        <v>1</v>
      </c>
      <c r="V135" s="41">
        <f t="shared" si="18"/>
        <v>752212.7485714287</v>
      </c>
      <c r="W135" s="122">
        <f>2*135*9</f>
        <v>2430</v>
      </c>
      <c r="X135" s="41">
        <v>1</v>
      </c>
      <c r="Y135">
        <f t="shared" si="5"/>
        <v>827434.02342857164</v>
      </c>
      <c r="Z135" s="122">
        <f>2*135*9</f>
        <v>2430</v>
      </c>
      <c r="AA135" s="41">
        <v>1</v>
      </c>
      <c r="AB135">
        <f t="shared" si="19"/>
        <v>910177.42577142885</v>
      </c>
      <c r="AC135" s="122">
        <f>2*135*9</f>
        <v>2430</v>
      </c>
      <c r="AD135" s="41">
        <v>1</v>
      </c>
      <c r="AE135">
        <f t="shared" si="20"/>
        <v>1001195.1683485721</v>
      </c>
      <c r="AF135" s="28"/>
      <c r="AG135" s="28"/>
    </row>
    <row r="136" spans="1:33" ht="57.6" x14ac:dyDescent="0.3">
      <c r="A136" s="41" t="s">
        <v>836</v>
      </c>
      <c r="B136" s="41"/>
      <c r="C136" s="41" t="s">
        <v>1479</v>
      </c>
      <c r="D136" s="129" t="s">
        <v>1124</v>
      </c>
      <c r="E136" s="129" t="s">
        <v>1127</v>
      </c>
      <c r="F136" s="129" t="s">
        <v>841</v>
      </c>
      <c r="G136" s="41">
        <v>0</v>
      </c>
      <c r="H136" s="122">
        <v>0</v>
      </c>
      <c r="I136" s="41">
        <v>0</v>
      </c>
      <c r="J136" s="41">
        <f t="shared" si="0"/>
        <v>0</v>
      </c>
      <c r="K136" s="122">
        <v>0</v>
      </c>
      <c r="L136" s="41">
        <v>0</v>
      </c>
      <c r="M136" s="41">
        <f t="shared" si="10"/>
        <v>0</v>
      </c>
      <c r="N136" s="122">
        <v>0</v>
      </c>
      <c r="O136" s="41">
        <v>0</v>
      </c>
      <c r="P136" s="41">
        <f t="shared" si="16"/>
        <v>0</v>
      </c>
      <c r="Q136" s="122">
        <v>0</v>
      </c>
      <c r="R136" s="41">
        <v>0</v>
      </c>
      <c r="S136" s="41">
        <f t="shared" si="17"/>
        <v>0</v>
      </c>
      <c r="T136" s="122">
        <v>0</v>
      </c>
      <c r="U136" s="41">
        <v>0</v>
      </c>
      <c r="V136" s="41">
        <f t="shared" si="18"/>
        <v>0</v>
      </c>
      <c r="W136" s="122">
        <v>0</v>
      </c>
      <c r="X136" s="41">
        <v>0</v>
      </c>
      <c r="Y136">
        <f t="shared" si="5"/>
        <v>0</v>
      </c>
      <c r="Z136" s="122">
        <v>0</v>
      </c>
      <c r="AA136" s="41">
        <v>0</v>
      </c>
      <c r="AB136">
        <f t="shared" si="19"/>
        <v>0</v>
      </c>
      <c r="AC136" s="122">
        <v>0</v>
      </c>
      <c r="AD136" s="41">
        <v>0</v>
      </c>
      <c r="AE136">
        <f t="shared" si="20"/>
        <v>0</v>
      </c>
      <c r="AF136" s="28">
        <f t="shared" si="8"/>
        <v>0</v>
      </c>
      <c r="AG136" s="28">
        <f t="shared" si="9"/>
        <v>0</v>
      </c>
    </row>
    <row r="137" spans="1:33" ht="57.6" x14ac:dyDescent="0.3">
      <c r="A137" s="41" t="s">
        <v>836</v>
      </c>
      <c r="B137" s="41"/>
      <c r="C137" s="41" t="s">
        <v>1479</v>
      </c>
      <c r="D137" s="129" t="s">
        <v>1129</v>
      </c>
      <c r="E137" s="129" t="s">
        <v>1130</v>
      </c>
      <c r="F137" s="129" t="s">
        <v>841</v>
      </c>
      <c r="G137" s="41">
        <v>0</v>
      </c>
      <c r="H137" s="122">
        <v>0</v>
      </c>
      <c r="I137" s="41">
        <v>0</v>
      </c>
      <c r="J137" s="41">
        <f t="shared" si="0"/>
        <v>0</v>
      </c>
      <c r="K137" s="122">
        <v>0</v>
      </c>
      <c r="L137" s="41">
        <v>0</v>
      </c>
      <c r="M137" s="41">
        <f t="shared" si="10"/>
        <v>0</v>
      </c>
      <c r="N137" s="122">
        <v>0</v>
      </c>
      <c r="O137" s="41">
        <v>0</v>
      </c>
      <c r="P137" s="41">
        <f t="shared" si="16"/>
        <v>0</v>
      </c>
      <c r="Q137" s="122">
        <v>0</v>
      </c>
      <c r="R137" s="41">
        <v>0</v>
      </c>
      <c r="S137" s="41">
        <f t="shared" si="17"/>
        <v>0</v>
      </c>
      <c r="T137" s="122">
        <v>0</v>
      </c>
      <c r="U137" s="41">
        <v>0</v>
      </c>
      <c r="V137" s="41">
        <f t="shared" si="18"/>
        <v>0</v>
      </c>
      <c r="W137" s="122">
        <v>0</v>
      </c>
      <c r="X137" s="41">
        <v>0</v>
      </c>
      <c r="Y137">
        <f t="shared" si="5"/>
        <v>0</v>
      </c>
      <c r="Z137" s="122">
        <v>0</v>
      </c>
      <c r="AA137" s="41">
        <v>0</v>
      </c>
      <c r="AB137">
        <f t="shared" si="19"/>
        <v>0</v>
      </c>
      <c r="AC137" s="122">
        <v>0</v>
      </c>
      <c r="AD137" s="41">
        <v>0</v>
      </c>
      <c r="AE137">
        <f t="shared" si="20"/>
        <v>0</v>
      </c>
      <c r="AF137" s="28">
        <f t="shared" si="8"/>
        <v>0</v>
      </c>
      <c r="AG137" s="28">
        <f t="shared" si="9"/>
        <v>0</v>
      </c>
    </row>
    <row r="138" spans="1:33" ht="57.6" x14ac:dyDescent="0.3">
      <c r="A138" s="41" t="s">
        <v>836</v>
      </c>
      <c r="B138" s="41"/>
      <c r="C138" s="41" t="s">
        <v>1479</v>
      </c>
      <c r="D138" s="129" t="s">
        <v>1129</v>
      </c>
      <c r="E138" s="129" t="s">
        <v>1131</v>
      </c>
      <c r="F138" s="129" t="s">
        <v>709</v>
      </c>
      <c r="G138" s="41">
        <v>35000</v>
      </c>
      <c r="H138" s="122">
        <v>20</v>
      </c>
      <c r="I138" s="41">
        <v>2</v>
      </c>
      <c r="J138" s="41">
        <f t="shared" si="0"/>
        <v>1400000</v>
      </c>
      <c r="K138" s="122">
        <v>20</v>
      </c>
      <c r="L138" s="41">
        <v>2</v>
      </c>
      <c r="M138" s="41">
        <f t="shared" si="10"/>
        <v>1540000</v>
      </c>
      <c r="N138" s="122">
        <v>20</v>
      </c>
      <c r="O138" s="41">
        <v>2</v>
      </c>
      <c r="P138" s="41">
        <f t="shared" si="16"/>
        <v>1694000.0000000002</v>
      </c>
      <c r="Q138" s="122">
        <v>20</v>
      </c>
      <c r="R138" s="41">
        <v>2</v>
      </c>
      <c r="S138" s="41">
        <f t="shared" si="17"/>
        <v>1863400.0000000005</v>
      </c>
      <c r="T138" s="122">
        <v>20</v>
      </c>
      <c r="U138" s="41">
        <v>2</v>
      </c>
      <c r="V138" s="41">
        <f t="shared" si="18"/>
        <v>2049740.0000000005</v>
      </c>
      <c r="W138" s="122">
        <v>20</v>
      </c>
      <c r="X138" s="41">
        <v>2</v>
      </c>
      <c r="Y138">
        <f t="shared" si="5"/>
        <v>2254714.0000000009</v>
      </c>
      <c r="Z138" s="122">
        <v>20</v>
      </c>
      <c r="AA138" s="41">
        <v>2</v>
      </c>
      <c r="AB138">
        <f t="shared" si="19"/>
        <v>2480185.4000000013</v>
      </c>
      <c r="AC138" s="122">
        <v>20</v>
      </c>
      <c r="AD138" s="41">
        <v>2</v>
      </c>
      <c r="AE138">
        <f t="shared" si="20"/>
        <v>2728203.9400000013</v>
      </c>
      <c r="AF138" s="28">
        <f t="shared" si="8"/>
        <v>16010243.340000004</v>
      </c>
      <c r="AG138" s="28">
        <f t="shared" si="9"/>
        <v>15665.600136986304</v>
      </c>
    </row>
    <row r="139" spans="1:33" ht="57.6" x14ac:dyDescent="0.3">
      <c r="A139" s="41" t="s">
        <v>836</v>
      </c>
      <c r="B139" s="41"/>
      <c r="C139" s="41" t="s">
        <v>1479</v>
      </c>
      <c r="D139" s="129" t="s">
        <v>1129</v>
      </c>
      <c r="E139" s="129" t="s">
        <v>1131</v>
      </c>
      <c r="F139" s="129" t="s">
        <v>716</v>
      </c>
      <c r="G139" s="41">
        <v>39000</v>
      </c>
      <c r="H139" s="122">
        <v>20</v>
      </c>
      <c r="I139" s="41">
        <v>3</v>
      </c>
      <c r="J139" s="41">
        <f t="shared" si="0"/>
        <v>2340000</v>
      </c>
      <c r="K139" s="122">
        <v>20</v>
      </c>
      <c r="L139" s="41">
        <v>3</v>
      </c>
      <c r="M139" s="41">
        <f t="shared" si="10"/>
        <v>2574000</v>
      </c>
      <c r="N139" s="122">
        <v>20</v>
      </c>
      <c r="O139" s="41">
        <v>3</v>
      </c>
      <c r="P139" s="41">
        <f t="shared" si="16"/>
        <v>2831400.0000000005</v>
      </c>
      <c r="Q139" s="122">
        <v>20</v>
      </c>
      <c r="R139" s="41">
        <v>3</v>
      </c>
      <c r="S139" s="41">
        <f t="shared" si="17"/>
        <v>3114540.0000000009</v>
      </c>
      <c r="T139" s="122">
        <v>20</v>
      </c>
      <c r="U139" s="41">
        <v>3</v>
      </c>
      <c r="V139" s="41">
        <f t="shared" si="18"/>
        <v>3425994.0000000009</v>
      </c>
      <c r="W139" s="122">
        <v>20</v>
      </c>
      <c r="X139" s="41">
        <v>3</v>
      </c>
      <c r="Y139">
        <f t="shared" si="5"/>
        <v>3768593.4000000013</v>
      </c>
      <c r="Z139" s="122">
        <v>20</v>
      </c>
      <c r="AA139" s="41">
        <v>3</v>
      </c>
      <c r="AB139">
        <f t="shared" si="19"/>
        <v>4145452.7400000016</v>
      </c>
      <c r="AC139" s="122">
        <v>20</v>
      </c>
      <c r="AD139" s="41">
        <v>3</v>
      </c>
      <c r="AE139">
        <f t="shared" si="20"/>
        <v>4559998.0140000023</v>
      </c>
      <c r="AF139" s="28">
        <f t="shared" si="8"/>
        <v>26759978.154000007</v>
      </c>
      <c r="AG139" s="28">
        <f t="shared" si="9"/>
        <v>26183.931657534253</v>
      </c>
    </row>
    <row r="140" spans="1:33" ht="57.6" x14ac:dyDescent="0.3">
      <c r="A140" s="41" t="s">
        <v>836</v>
      </c>
      <c r="B140" s="41"/>
      <c r="C140" s="41" t="s">
        <v>1479</v>
      </c>
      <c r="D140" s="129" t="s">
        <v>1129</v>
      </c>
      <c r="E140" s="129" t="s">
        <v>1131</v>
      </c>
      <c r="F140" s="129" t="s">
        <v>721</v>
      </c>
      <c r="G140" s="41">
        <v>80000</v>
      </c>
      <c r="H140" s="122">
        <v>30</v>
      </c>
      <c r="I140" s="41">
        <v>3</v>
      </c>
      <c r="J140" s="41">
        <f t="shared" si="0"/>
        <v>7200000</v>
      </c>
      <c r="K140" s="122">
        <v>30</v>
      </c>
      <c r="L140" s="41">
        <v>3</v>
      </c>
      <c r="M140" s="41">
        <f t="shared" si="10"/>
        <v>7920000</v>
      </c>
      <c r="N140" s="122">
        <v>30</v>
      </c>
      <c r="O140" s="41">
        <v>3</v>
      </c>
      <c r="P140" s="41">
        <f t="shared" si="16"/>
        <v>8712000.0000000019</v>
      </c>
      <c r="Q140" s="122">
        <v>30</v>
      </c>
      <c r="R140" s="41">
        <v>3</v>
      </c>
      <c r="S140" s="41">
        <f t="shared" si="17"/>
        <v>9583200.0000000037</v>
      </c>
      <c r="T140" s="122">
        <v>30</v>
      </c>
      <c r="U140" s="41">
        <v>3</v>
      </c>
      <c r="V140" s="41">
        <f t="shared" si="18"/>
        <v>10541520.000000004</v>
      </c>
      <c r="W140" s="122">
        <v>30</v>
      </c>
      <c r="X140" s="41">
        <v>3</v>
      </c>
      <c r="Y140">
        <f t="shared" si="5"/>
        <v>11595672.000000004</v>
      </c>
      <c r="Z140" s="122">
        <v>30</v>
      </c>
      <c r="AA140" s="41">
        <v>3</v>
      </c>
      <c r="AB140">
        <f t="shared" si="19"/>
        <v>12755239.200000007</v>
      </c>
      <c r="AC140" s="122">
        <v>30</v>
      </c>
      <c r="AD140" s="41">
        <v>3</v>
      </c>
      <c r="AE140">
        <f t="shared" si="20"/>
        <v>14030763.120000008</v>
      </c>
      <c r="AF140" s="28">
        <f t="shared" si="8"/>
        <v>82338394.320000023</v>
      </c>
      <c r="AG140" s="28">
        <f t="shared" si="9"/>
        <v>80565.943561643857</v>
      </c>
    </row>
    <row r="141" spans="1:33" ht="57.6" x14ac:dyDescent="0.3">
      <c r="A141" s="41" t="s">
        <v>836</v>
      </c>
      <c r="B141" s="41"/>
      <c r="C141" s="41" t="s">
        <v>1479</v>
      </c>
      <c r="D141" s="129" t="s">
        <v>1129</v>
      </c>
      <c r="E141" s="129" t="s">
        <v>1131</v>
      </c>
      <c r="F141" s="129" t="s">
        <v>712</v>
      </c>
      <c r="G141" s="41">
        <f>1480/7</f>
        <v>211.42857142857142</v>
      </c>
      <c r="H141" s="122">
        <f>2*25*9</f>
        <v>450</v>
      </c>
      <c r="I141" s="41">
        <v>2</v>
      </c>
      <c r="J141" s="41">
        <f t="shared" si="0"/>
        <v>190285.71428571426</v>
      </c>
      <c r="K141" s="122">
        <f>2*25*9</f>
        <v>450</v>
      </c>
      <c r="L141" s="41">
        <v>2</v>
      </c>
      <c r="M141" s="41">
        <f t="shared" si="10"/>
        <v>209314.28571428574</v>
      </c>
      <c r="N141" s="122">
        <f>2*25*9</f>
        <v>450</v>
      </c>
      <c r="O141" s="41">
        <v>2</v>
      </c>
      <c r="P141" s="41">
        <f t="shared" si="16"/>
        <v>230245.71428571432</v>
      </c>
      <c r="Q141" s="122">
        <f>2*25*9</f>
        <v>450</v>
      </c>
      <c r="R141" s="41">
        <v>2</v>
      </c>
      <c r="S141" s="41">
        <f t="shared" si="17"/>
        <v>253270.28571428577</v>
      </c>
      <c r="T141" s="122">
        <f>2*25*9</f>
        <v>450</v>
      </c>
      <c r="U141" s="41">
        <v>2</v>
      </c>
      <c r="V141" s="41">
        <f t="shared" si="18"/>
        <v>278597.3142857143</v>
      </c>
      <c r="W141" s="122">
        <f>2*25*9</f>
        <v>450</v>
      </c>
      <c r="X141" s="41">
        <v>2</v>
      </c>
      <c r="Y141">
        <f t="shared" si="5"/>
        <v>306457.04571428581</v>
      </c>
      <c r="Z141" s="122">
        <f>2*25*9</f>
        <v>450</v>
      </c>
      <c r="AA141" s="41">
        <v>2</v>
      </c>
      <c r="AB141">
        <f t="shared" si="19"/>
        <v>337102.7502857144</v>
      </c>
      <c r="AC141" s="122">
        <f>2*25*9</f>
        <v>450</v>
      </c>
      <c r="AD141" s="41">
        <v>2</v>
      </c>
      <c r="AE141">
        <f t="shared" si="20"/>
        <v>370813.02531428594</v>
      </c>
      <c r="AF141" s="28">
        <f t="shared" si="8"/>
        <v>2176086.1356000006</v>
      </c>
      <c r="AG141" s="28">
        <f t="shared" si="9"/>
        <v>2129.2427941291589</v>
      </c>
    </row>
    <row r="142" spans="1:33" ht="43.2" x14ac:dyDescent="0.3">
      <c r="A142" s="41"/>
      <c r="B142" s="41"/>
      <c r="C142" s="41" t="s">
        <v>1479</v>
      </c>
      <c r="D142" s="129"/>
      <c r="E142" s="129" t="s">
        <v>1131</v>
      </c>
      <c r="F142" s="129" t="s">
        <v>1336</v>
      </c>
      <c r="G142" s="41">
        <f>1480/7</f>
        <v>211.42857142857142</v>
      </c>
      <c r="H142" s="122">
        <f>2*135*9</f>
        <v>2430</v>
      </c>
      <c r="I142" s="41">
        <v>1</v>
      </c>
      <c r="J142" s="41">
        <f t="shared" si="0"/>
        <v>513771.42857142852</v>
      </c>
      <c r="K142" s="122">
        <f>2*135*9</f>
        <v>2430</v>
      </c>
      <c r="L142" s="41">
        <v>1</v>
      </c>
      <c r="M142" s="41">
        <f t="shared" si="10"/>
        <v>565148.57142857148</v>
      </c>
      <c r="N142" s="122">
        <f>2*135*9</f>
        <v>2430</v>
      </c>
      <c r="O142" s="41">
        <v>1</v>
      </c>
      <c r="P142" s="41">
        <f t="shared" si="16"/>
        <v>621663.42857142864</v>
      </c>
      <c r="Q142" s="122">
        <f>2*135*9</f>
        <v>2430</v>
      </c>
      <c r="R142" s="41">
        <v>1</v>
      </c>
      <c r="S142" s="41">
        <f t="shared" si="17"/>
        <v>683829.77142857155</v>
      </c>
      <c r="T142" s="122">
        <f>2*135*9</f>
        <v>2430</v>
      </c>
      <c r="U142" s="41">
        <v>1</v>
      </c>
      <c r="V142" s="41">
        <f t="shared" si="18"/>
        <v>752212.7485714287</v>
      </c>
      <c r="W142" s="122">
        <f>2*135*9</f>
        <v>2430</v>
      </c>
      <c r="X142" s="41">
        <v>1</v>
      </c>
      <c r="Y142">
        <f t="shared" si="5"/>
        <v>827434.02342857164</v>
      </c>
      <c r="Z142" s="122">
        <f>2*135*9</f>
        <v>2430</v>
      </c>
      <c r="AA142" s="41">
        <v>1</v>
      </c>
      <c r="AB142">
        <f t="shared" si="19"/>
        <v>910177.42577142885</v>
      </c>
      <c r="AC142" s="122">
        <f>2*135*9</f>
        <v>2430</v>
      </c>
      <c r="AD142" s="41">
        <v>1</v>
      </c>
      <c r="AE142">
        <f t="shared" si="20"/>
        <v>1001195.1683485721</v>
      </c>
      <c r="AF142" s="28"/>
      <c r="AG142" s="28"/>
    </row>
    <row r="143" spans="1:33" ht="57.6" x14ac:dyDescent="0.3">
      <c r="A143" s="41" t="s">
        <v>836</v>
      </c>
      <c r="B143" s="41"/>
      <c r="C143" s="41" t="s">
        <v>1479</v>
      </c>
      <c r="D143" s="129" t="s">
        <v>1132</v>
      </c>
      <c r="E143" s="129" t="s">
        <v>1133</v>
      </c>
      <c r="F143" s="129" t="s">
        <v>841</v>
      </c>
      <c r="G143" s="41">
        <v>0</v>
      </c>
      <c r="H143" s="122">
        <v>0</v>
      </c>
      <c r="I143" s="41">
        <v>0</v>
      </c>
      <c r="J143" s="41">
        <f t="shared" si="0"/>
        <v>0</v>
      </c>
      <c r="K143" s="122">
        <v>0</v>
      </c>
      <c r="L143" s="41">
        <v>0</v>
      </c>
      <c r="M143" s="41">
        <f t="shared" si="10"/>
        <v>0</v>
      </c>
      <c r="N143" s="122">
        <v>0</v>
      </c>
      <c r="O143" s="41">
        <v>0</v>
      </c>
      <c r="P143" s="41">
        <f t="shared" si="16"/>
        <v>0</v>
      </c>
      <c r="Q143" s="122">
        <v>0</v>
      </c>
      <c r="R143" s="41">
        <v>0</v>
      </c>
      <c r="S143" s="41">
        <f t="shared" si="17"/>
        <v>0</v>
      </c>
      <c r="T143" s="122">
        <v>0</v>
      </c>
      <c r="U143" s="41">
        <v>0</v>
      </c>
      <c r="V143" s="41">
        <f t="shared" si="18"/>
        <v>0</v>
      </c>
      <c r="W143" s="122">
        <v>0</v>
      </c>
      <c r="X143" s="41">
        <v>0</v>
      </c>
      <c r="Y143">
        <f t="shared" si="5"/>
        <v>0</v>
      </c>
      <c r="Z143" s="122">
        <v>0</v>
      </c>
      <c r="AA143" s="41">
        <v>0</v>
      </c>
      <c r="AB143">
        <f t="shared" si="19"/>
        <v>0</v>
      </c>
      <c r="AC143" s="122">
        <v>0</v>
      </c>
      <c r="AD143" s="41">
        <v>0</v>
      </c>
      <c r="AE143">
        <f t="shared" si="20"/>
        <v>0</v>
      </c>
      <c r="AF143" s="28">
        <f t="shared" si="8"/>
        <v>0</v>
      </c>
      <c r="AG143" s="28">
        <f t="shared" si="9"/>
        <v>0</v>
      </c>
    </row>
    <row r="144" spans="1:33" ht="57.6" x14ac:dyDescent="0.3">
      <c r="A144" s="41" t="s">
        <v>836</v>
      </c>
      <c r="B144" s="41"/>
      <c r="C144" s="41" t="s">
        <v>1479</v>
      </c>
      <c r="D144" s="129" t="s">
        <v>1132</v>
      </c>
      <c r="E144" s="129" t="s">
        <v>1134</v>
      </c>
      <c r="F144" s="129" t="s">
        <v>722</v>
      </c>
      <c r="G144" s="41">
        <v>10682.15</v>
      </c>
      <c r="H144" s="122">
        <v>30</v>
      </c>
      <c r="I144" s="41">
        <v>120</v>
      </c>
      <c r="J144" s="41">
        <f t="shared" si="0"/>
        <v>38455740</v>
      </c>
      <c r="K144" s="122">
        <v>30</v>
      </c>
      <c r="L144" s="41">
        <v>120</v>
      </c>
      <c r="M144" s="41">
        <f t="shared" si="10"/>
        <v>42301314</v>
      </c>
      <c r="N144" s="122">
        <v>30</v>
      </c>
      <c r="O144" s="41">
        <v>120</v>
      </c>
      <c r="P144" s="41">
        <f t="shared" si="16"/>
        <v>46531445.400000006</v>
      </c>
      <c r="Q144" s="122">
        <v>30</v>
      </c>
      <c r="R144" s="41">
        <v>120</v>
      </c>
      <c r="S144" s="41">
        <f t="shared" si="17"/>
        <v>51184589.94000002</v>
      </c>
      <c r="T144" s="122">
        <v>30</v>
      </c>
      <c r="U144" s="41">
        <v>120</v>
      </c>
      <c r="V144" s="41">
        <f t="shared" si="18"/>
        <v>56303048.934000015</v>
      </c>
      <c r="W144" s="122">
        <v>30</v>
      </c>
      <c r="X144" s="41">
        <v>120</v>
      </c>
      <c r="Y144">
        <f t="shared" si="5"/>
        <v>61933353.827400021</v>
      </c>
      <c r="Z144" s="122">
        <v>30</v>
      </c>
      <c r="AA144" s="41">
        <v>120</v>
      </c>
      <c r="AB144">
        <f t="shared" si="19"/>
        <v>68126689.21014002</v>
      </c>
      <c r="AC144" s="122">
        <v>30</v>
      </c>
      <c r="AD144" s="41">
        <v>120</v>
      </c>
      <c r="AE144">
        <f t="shared" si="20"/>
        <v>74939358.131154045</v>
      </c>
      <c r="AF144" s="28">
        <f t="shared" si="8"/>
        <v>439775539.44269419</v>
      </c>
      <c r="AG144" s="28">
        <f t="shared" si="9"/>
        <v>430308.74700850702</v>
      </c>
    </row>
    <row r="145" spans="1:33" ht="57.6" x14ac:dyDescent="0.3">
      <c r="A145" s="41" t="s">
        <v>836</v>
      </c>
      <c r="B145" s="41"/>
      <c r="C145" s="41" t="s">
        <v>1479</v>
      </c>
      <c r="D145" s="129" t="s">
        <v>1132</v>
      </c>
      <c r="E145" s="129" t="s">
        <v>1134</v>
      </c>
      <c r="F145" s="129" t="s">
        <v>1135</v>
      </c>
      <c r="G145" s="41">
        <v>11824.04</v>
      </c>
      <c r="H145" s="122">
        <v>4</v>
      </c>
      <c r="I145" s="41">
        <v>120</v>
      </c>
      <c r="J145" s="41">
        <f t="shared" si="0"/>
        <v>5675539.2000000002</v>
      </c>
      <c r="K145" s="122">
        <v>4</v>
      </c>
      <c r="L145" s="41">
        <v>120</v>
      </c>
      <c r="M145" s="41">
        <f t="shared" si="10"/>
        <v>6243093.120000001</v>
      </c>
      <c r="N145" s="122">
        <v>4</v>
      </c>
      <c r="O145" s="41">
        <v>120</v>
      </c>
      <c r="P145" s="41">
        <f t="shared" si="16"/>
        <v>6867402.432000001</v>
      </c>
      <c r="Q145" s="122">
        <v>4</v>
      </c>
      <c r="R145" s="41">
        <v>120</v>
      </c>
      <c r="S145" s="41">
        <f t="shared" si="17"/>
        <v>7554142.6752000023</v>
      </c>
      <c r="T145" s="122">
        <v>4</v>
      </c>
      <c r="U145" s="41">
        <v>120</v>
      </c>
      <c r="V145" s="41">
        <f t="shared" si="18"/>
        <v>8309556.9427200034</v>
      </c>
      <c r="W145" s="122">
        <v>4</v>
      </c>
      <c r="X145" s="41">
        <v>120</v>
      </c>
      <c r="Y145">
        <f t="shared" si="5"/>
        <v>9140512.6369920038</v>
      </c>
      <c r="Z145" s="122">
        <v>4</v>
      </c>
      <c r="AA145" s="41">
        <v>120</v>
      </c>
      <c r="AB145">
        <f t="shared" si="19"/>
        <v>10054563.900691206</v>
      </c>
      <c r="AC145" s="122">
        <v>4</v>
      </c>
      <c r="AD145" s="41">
        <v>120</v>
      </c>
      <c r="AE145">
        <f t="shared" si="20"/>
        <v>11060020.290760327</v>
      </c>
      <c r="AF145" s="28">
        <f t="shared" si="8"/>
        <v>64904831.198363543</v>
      </c>
      <c r="AG145" s="28">
        <f t="shared" si="9"/>
        <v>63507.662620707968</v>
      </c>
    </row>
    <row r="146" spans="1:33" ht="57.6" x14ac:dyDescent="0.3">
      <c r="A146" s="41" t="s">
        <v>836</v>
      </c>
      <c r="B146" s="41"/>
      <c r="C146" s="41" t="s">
        <v>1479</v>
      </c>
      <c r="D146" s="129" t="s">
        <v>1132</v>
      </c>
      <c r="E146" s="129" t="s">
        <v>1134</v>
      </c>
      <c r="F146" s="129" t="s">
        <v>723</v>
      </c>
      <c r="G146" s="41">
        <v>70133.84</v>
      </c>
      <c r="H146" s="122">
        <v>4</v>
      </c>
      <c r="I146" s="41">
        <v>120</v>
      </c>
      <c r="J146" s="41">
        <f t="shared" si="0"/>
        <v>33664243.199999996</v>
      </c>
      <c r="K146" s="122">
        <v>4</v>
      </c>
      <c r="L146" s="41">
        <v>120</v>
      </c>
      <c r="M146" s="41">
        <f t="shared" si="10"/>
        <v>37030667.520000003</v>
      </c>
      <c r="N146" s="122">
        <v>4</v>
      </c>
      <c r="O146" s="41">
        <v>120</v>
      </c>
      <c r="P146" s="41">
        <f t="shared" si="16"/>
        <v>40733734.272000007</v>
      </c>
      <c r="Q146" s="122">
        <v>4</v>
      </c>
      <c r="R146" s="41">
        <v>120</v>
      </c>
      <c r="S146" s="41">
        <f t="shared" si="17"/>
        <v>44807107.699200004</v>
      </c>
      <c r="T146" s="122">
        <v>4</v>
      </c>
      <c r="U146" s="41">
        <v>120</v>
      </c>
      <c r="V146" s="41">
        <f t="shared" si="18"/>
        <v>49287818.469120011</v>
      </c>
      <c r="W146" s="122">
        <v>4</v>
      </c>
      <c r="X146" s="41">
        <v>120</v>
      </c>
      <c r="Y146">
        <f t="shared" si="5"/>
        <v>54216600.316032015</v>
      </c>
      <c r="Z146" s="122">
        <v>4</v>
      </c>
      <c r="AA146" s="41">
        <v>120</v>
      </c>
      <c r="AB146">
        <f t="shared" si="19"/>
        <v>59638260.347635224</v>
      </c>
      <c r="AC146" s="122">
        <v>4</v>
      </c>
      <c r="AD146" s="41">
        <v>120</v>
      </c>
      <c r="AE146">
        <f t="shared" si="20"/>
        <v>65602086.382398762</v>
      </c>
      <c r="AF146" s="28">
        <f t="shared" si="8"/>
        <v>384980518.20638609</v>
      </c>
      <c r="AG146" s="28">
        <f t="shared" si="9"/>
        <v>376693.26634675742</v>
      </c>
    </row>
    <row r="147" spans="1:33" x14ac:dyDescent="0.3">
      <c r="A147" s="41"/>
      <c r="B147" s="41"/>
      <c r="H147" s="132"/>
      <c r="J147" s="41"/>
      <c r="M147" s="41"/>
      <c r="P147" s="41"/>
      <c r="S147" s="41"/>
      <c r="V147" s="41"/>
      <c r="AF147" s="28"/>
      <c r="AG147" s="28"/>
    </row>
    <row r="148" spans="1:33" x14ac:dyDescent="0.3">
      <c r="A148" s="124" t="s">
        <v>1302</v>
      </c>
      <c r="B148" s="124"/>
      <c r="C148" s="127"/>
      <c r="D148" s="127"/>
      <c r="E148" s="127"/>
      <c r="F148" s="127"/>
      <c r="G148" s="127"/>
      <c r="H148" s="133"/>
      <c r="I148" s="127"/>
      <c r="J148" s="124">
        <f>SUM(J127:J147)</f>
        <v>111868550.97142857</v>
      </c>
      <c r="K148" s="127"/>
      <c r="L148" s="127"/>
      <c r="M148" s="124">
        <f>SUM(M127:M147)</f>
        <v>123055406.06857145</v>
      </c>
      <c r="N148" s="127"/>
      <c r="O148" s="127"/>
      <c r="P148" s="124">
        <f>SUM(P127:P147)</f>
        <v>135360946.67542857</v>
      </c>
      <c r="Q148" s="127"/>
      <c r="R148" s="127"/>
      <c r="S148" s="124">
        <f>SUM(S127:S147)</f>
        <v>148897041.34297144</v>
      </c>
      <c r="T148" s="127"/>
      <c r="U148" s="127"/>
      <c r="V148" s="124">
        <f>SUM(V127:V147)</f>
        <v>163786745.47726864</v>
      </c>
      <c r="W148" s="127"/>
      <c r="X148" s="127"/>
      <c r="Y148" s="127">
        <f>SUM(Y127:Y147)</f>
        <v>180165420.02499551</v>
      </c>
      <c r="Z148" s="127"/>
      <c r="AA148" s="127"/>
      <c r="AB148" s="127">
        <f>SUM(AB127:AB147)</f>
        <v>198181962.02749503</v>
      </c>
      <c r="AC148" s="127"/>
      <c r="AD148" s="127"/>
      <c r="AE148" s="127">
        <f>SUM(AE127:AE147)</f>
        <v>218000158.23024461</v>
      </c>
      <c r="AF148" s="127"/>
      <c r="AG148" s="127"/>
    </row>
    <row r="149" spans="1:33" x14ac:dyDescent="0.3">
      <c r="A149" s="134" t="s">
        <v>1294</v>
      </c>
      <c r="B149" s="134"/>
      <c r="C149" s="135"/>
      <c r="D149" s="135"/>
      <c r="E149" s="135"/>
      <c r="F149" s="135"/>
      <c r="G149" s="135"/>
      <c r="H149" s="136"/>
      <c r="I149" s="135"/>
      <c r="J149" s="134">
        <f>J148+J125+J91+J75</f>
        <v>111868550.97142857</v>
      </c>
      <c r="K149" s="135"/>
      <c r="L149" s="135"/>
      <c r="M149" s="134">
        <f>M148+M125+M91+M75</f>
        <v>429877250.80928576</v>
      </c>
      <c r="N149" s="135"/>
      <c r="O149" s="135"/>
      <c r="P149" s="134">
        <f>P148+P125+P91+P75</f>
        <v>541732445.9611429</v>
      </c>
      <c r="Q149" s="135"/>
      <c r="R149" s="135"/>
      <c r="S149" s="134">
        <f>S148+S125+S91+S75</f>
        <v>595905690.55725729</v>
      </c>
      <c r="T149" s="135"/>
      <c r="U149" s="135"/>
      <c r="V149" s="134">
        <f>V148+V125+V91+V75</f>
        <v>655496259.61298299</v>
      </c>
      <c r="W149" s="135"/>
      <c r="X149" s="135"/>
      <c r="Y149" s="135">
        <f>Y148+Y125+Y91+Y75</f>
        <v>698932927.18701828</v>
      </c>
      <c r="Z149" s="135"/>
      <c r="AA149" s="135"/>
      <c r="AB149" s="135">
        <f>AB148+AB125+AB91+AB75</f>
        <v>793150474.13170958</v>
      </c>
      <c r="AC149" s="135"/>
      <c r="AD149" s="135"/>
      <c r="AE149" s="135">
        <f>AE148+AE125+AE91+AE75</f>
        <v>872465521.54488063</v>
      </c>
      <c r="AF149" s="135"/>
      <c r="AG149" s="135"/>
    </row>
    <row r="150" spans="1:33" x14ac:dyDescent="0.3">
      <c r="AF150" s="28"/>
      <c r="AG150" s="28"/>
    </row>
    <row r="151" spans="1:33" x14ac:dyDescent="0.3">
      <c r="AF151" s="28"/>
      <c r="AG151" s="28"/>
    </row>
    <row r="152" spans="1:33" x14ac:dyDescent="0.3">
      <c r="AF152" s="28"/>
      <c r="AG152" s="28"/>
    </row>
    <row r="153" spans="1:33" x14ac:dyDescent="0.3">
      <c r="AF153" s="28"/>
      <c r="AG153" s="28"/>
    </row>
    <row r="154" spans="1:33" x14ac:dyDescent="0.3">
      <c r="AF154" s="28"/>
      <c r="AG154" s="28"/>
    </row>
    <row r="155" spans="1:33" x14ac:dyDescent="0.3">
      <c r="AF155" s="28"/>
      <c r="AG155" s="28"/>
    </row>
    <row r="156" spans="1:33" x14ac:dyDescent="0.3">
      <c r="AF156" s="28"/>
      <c r="AG156" s="28"/>
    </row>
    <row r="157" spans="1:33" x14ac:dyDescent="0.3">
      <c r="AF157" s="28"/>
      <c r="AG157" s="28"/>
    </row>
    <row r="158" spans="1:33" x14ac:dyDescent="0.3">
      <c r="AF158" s="28"/>
      <c r="AG158" s="28"/>
    </row>
    <row r="159" spans="1:33" x14ac:dyDescent="0.3">
      <c r="AF159" s="28"/>
      <c r="AG159" s="28"/>
    </row>
    <row r="160" spans="1:33" x14ac:dyDescent="0.3">
      <c r="AF160" s="28"/>
      <c r="AG160" s="28"/>
    </row>
    <row r="161" spans="32:33" x14ac:dyDescent="0.3">
      <c r="AF161" s="28"/>
      <c r="AG161" s="28"/>
    </row>
    <row r="162" spans="32:33" x14ac:dyDescent="0.3">
      <c r="AF162" s="28"/>
      <c r="AG162" s="28"/>
    </row>
    <row r="163" spans="32:33" x14ac:dyDescent="0.3">
      <c r="AF163" s="28"/>
      <c r="AG163" s="28"/>
    </row>
    <row r="164" spans="32:33" x14ac:dyDescent="0.3">
      <c r="AF164" s="28"/>
      <c r="AG164" s="28"/>
    </row>
    <row r="165" spans="32:33" x14ac:dyDescent="0.3">
      <c r="AF165" s="28"/>
      <c r="AG165" s="28"/>
    </row>
    <row r="166" spans="32:33" x14ac:dyDescent="0.3">
      <c r="AF166" s="28"/>
      <c r="AG166" s="28"/>
    </row>
    <row r="167" spans="32:33" x14ac:dyDescent="0.3">
      <c r="AF167" s="28"/>
      <c r="AG167" s="28"/>
    </row>
    <row r="168" spans="32:33" x14ac:dyDescent="0.3">
      <c r="AF168" s="28"/>
      <c r="AG168" s="28"/>
    </row>
    <row r="169" spans="32:33" x14ac:dyDescent="0.3">
      <c r="AF169" s="28"/>
      <c r="AG169" s="28"/>
    </row>
    <row r="170" spans="32:33" x14ac:dyDescent="0.3">
      <c r="AF170" s="28"/>
      <c r="AG170" s="28"/>
    </row>
    <row r="171" spans="32:33" x14ac:dyDescent="0.3">
      <c r="AF171" s="28"/>
      <c r="AG171" s="28"/>
    </row>
    <row r="172" spans="32:33" x14ac:dyDescent="0.3">
      <c r="AF172" s="28"/>
      <c r="AG172" s="28"/>
    </row>
    <row r="173" spans="32:33" x14ac:dyDescent="0.3">
      <c r="AF173" s="28"/>
      <c r="AG173" s="28"/>
    </row>
    <row r="174" spans="32:33" x14ac:dyDescent="0.3">
      <c r="AF174" s="28"/>
      <c r="AG174" s="28"/>
    </row>
    <row r="175" spans="32:33" x14ac:dyDescent="0.3">
      <c r="AF175" s="28"/>
      <c r="AG175" s="28"/>
    </row>
    <row r="176" spans="32:33" x14ac:dyDescent="0.3">
      <c r="AF176" s="28"/>
      <c r="AG176" s="28"/>
    </row>
    <row r="177" spans="32:33" x14ac:dyDescent="0.3">
      <c r="AF177" s="28"/>
      <c r="AG177" s="28"/>
    </row>
    <row r="178" spans="32:33" x14ac:dyDescent="0.3">
      <c r="AF178" s="28"/>
      <c r="AG178" s="28"/>
    </row>
    <row r="179" spans="32:33" x14ac:dyDescent="0.3">
      <c r="AF179" s="28"/>
      <c r="AG179" s="28"/>
    </row>
    <row r="180" spans="32:33" x14ac:dyDescent="0.3">
      <c r="AF180" s="28"/>
      <c r="AG180" s="28"/>
    </row>
    <row r="181" spans="32:33" x14ac:dyDescent="0.3">
      <c r="AF181" s="28"/>
      <c r="AG181" s="28"/>
    </row>
    <row r="182" spans="32:33" x14ac:dyDescent="0.3">
      <c r="AF182" s="28"/>
      <c r="AG182" s="28"/>
    </row>
    <row r="183" spans="32:33" x14ac:dyDescent="0.3">
      <c r="AF183" s="28"/>
      <c r="AG183" s="28"/>
    </row>
    <row r="184" spans="32:33" x14ac:dyDescent="0.3">
      <c r="AF184" s="28"/>
      <c r="AG184" s="28"/>
    </row>
    <row r="185" spans="32:33" x14ac:dyDescent="0.3">
      <c r="AF185" s="28"/>
      <c r="AG185" s="28"/>
    </row>
    <row r="186" spans="32:33" x14ac:dyDescent="0.3">
      <c r="AF186" s="28"/>
      <c r="AG186" s="28"/>
    </row>
    <row r="187" spans="32:33" x14ac:dyDescent="0.3">
      <c r="AF187" s="28"/>
      <c r="AG187" s="28"/>
    </row>
    <row r="188" spans="32:33" x14ac:dyDescent="0.3">
      <c r="AF188" s="28"/>
      <c r="AG188" s="28"/>
    </row>
    <row r="189" spans="32:33" x14ac:dyDescent="0.3">
      <c r="AF189" s="28"/>
      <c r="AG189" s="28"/>
    </row>
    <row r="190" spans="32:33" x14ac:dyDescent="0.3">
      <c r="AF190" s="28"/>
      <c r="AG190" s="28"/>
    </row>
    <row r="191" spans="32:33" x14ac:dyDescent="0.3">
      <c r="AF191" s="28"/>
      <c r="AG191" s="28"/>
    </row>
    <row r="192" spans="32:33" x14ac:dyDescent="0.3">
      <c r="AF192" s="28"/>
      <c r="AG192" s="28"/>
    </row>
    <row r="193" spans="32:33" x14ac:dyDescent="0.3">
      <c r="AF193" s="28"/>
      <c r="AG193" s="28"/>
    </row>
    <row r="194" spans="32:33" x14ac:dyDescent="0.3">
      <c r="AF194" s="28"/>
      <c r="AG194" s="28"/>
    </row>
    <row r="195" spans="32:33" x14ac:dyDescent="0.3">
      <c r="AF195" s="28"/>
      <c r="AG195" s="28"/>
    </row>
    <row r="196" spans="32:33" x14ac:dyDescent="0.3">
      <c r="AF196" s="28"/>
      <c r="AG196" s="28"/>
    </row>
    <row r="197" spans="32:33" x14ac:dyDescent="0.3">
      <c r="AF197" s="28"/>
      <c r="AG197" s="28"/>
    </row>
    <row r="198" spans="32:33" x14ac:dyDescent="0.3">
      <c r="AF198" s="28"/>
      <c r="AG198" s="28"/>
    </row>
    <row r="199" spans="32:33" x14ac:dyDescent="0.3">
      <c r="AF199" s="28"/>
      <c r="AG199" s="28"/>
    </row>
    <row r="200" spans="32:33" x14ac:dyDescent="0.3">
      <c r="AF200" s="28"/>
      <c r="AG200" s="28"/>
    </row>
    <row r="201" spans="32:33" x14ac:dyDescent="0.3">
      <c r="AF201" s="28"/>
      <c r="AG201" s="28"/>
    </row>
    <row r="202" spans="32:33" x14ac:dyDescent="0.3">
      <c r="AF202" s="28"/>
      <c r="AG202" s="28"/>
    </row>
    <row r="203" spans="32:33" x14ac:dyDescent="0.3">
      <c r="AF203" s="28"/>
      <c r="AG203" s="28"/>
    </row>
    <row r="204" spans="32:33" x14ac:dyDescent="0.3">
      <c r="AF204" s="28"/>
      <c r="AG204" s="28"/>
    </row>
    <row r="205" spans="32:33" x14ac:dyDescent="0.3">
      <c r="AF205" s="28"/>
      <c r="AG205" s="28"/>
    </row>
    <row r="206" spans="32:33" x14ac:dyDescent="0.3">
      <c r="AF206" s="28"/>
      <c r="AG206" s="28"/>
    </row>
    <row r="207" spans="32:33" x14ac:dyDescent="0.3">
      <c r="AF207" s="28"/>
      <c r="AG207" s="28"/>
    </row>
    <row r="208" spans="32:33" x14ac:dyDescent="0.3">
      <c r="AF208" s="28"/>
      <c r="AG208" s="28"/>
    </row>
    <row r="209" spans="32:33" x14ac:dyDescent="0.3">
      <c r="AF209" s="28"/>
      <c r="AG209" s="28"/>
    </row>
    <row r="210" spans="32:33" x14ac:dyDescent="0.3">
      <c r="AF210" s="28"/>
      <c r="AG210" s="28"/>
    </row>
    <row r="211" spans="32:33" x14ac:dyDescent="0.3">
      <c r="AF211" s="28"/>
      <c r="AG211" s="28"/>
    </row>
    <row r="212" spans="32:33" x14ac:dyDescent="0.3">
      <c r="AF212" s="28"/>
      <c r="AG212" s="28"/>
    </row>
    <row r="213" spans="32:33" x14ac:dyDescent="0.3">
      <c r="AF213" s="28"/>
      <c r="AG213" s="28"/>
    </row>
    <row r="214" spans="32:33" x14ac:dyDescent="0.3">
      <c r="AF214" s="28"/>
      <c r="AG214" s="28"/>
    </row>
    <row r="215" spans="32:33" x14ac:dyDescent="0.3">
      <c r="AF215" s="28"/>
      <c r="AG215" s="28"/>
    </row>
    <row r="216" spans="32:33" x14ac:dyDescent="0.3">
      <c r="AF216" s="28"/>
      <c r="AG216" s="28"/>
    </row>
    <row r="217" spans="32:33" x14ac:dyDescent="0.3">
      <c r="AF217" s="28"/>
      <c r="AG217" s="28"/>
    </row>
    <row r="218" spans="32:33" x14ac:dyDescent="0.3">
      <c r="AF218" s="28"/>
      <c r="AG218" s="28"/>
    </row>
    <row r="219" spans="32:33" x14ac:dyDescent="0.3">
      <c r="AF219" s="28"/>
      <c r="AG219" s="28"/>
    </row>
    <row r="220" spans="32:33" x14ac:dyDescent="0.3">
      <c r="AF220" s="28"/>
      <c r="AG220" s="28"/>
    </row>
    <row r="221" spans="32:33" x14ac:dyDescent="0.3">
      <c r="AF221" s="28"/>
      <c r="AG221" s="28"/>
    </row>
    <row r="222" spans="32:33" x14ac:dyDescent="0.3">
      <c r="AF222" s="28"/>
      <c r="AG222" s="28"/>
    </row>
    <row r="223" spans="32:33" x14ac:dyDescent="0.3">
      <c r="AF223" s="28"/>
      <c r="AG223" s="28"/>
    </row>
    <row r="224" spans="32:33" x14ac:dyDescent="0.3">
      <c r="AF224" s="28"/>
      <c r="AG224" s="28"/>
    </row>
    <row r="225" spans="32:33" x14ac:dyDescent="0.3">
      <c r="AF225" s="28"/>
      <c r="AG225" s="28"/>
    </row>
    <row r="226" spans="32:33" x14ac:dyDescent="0.3">
      <c r="AF226" s="28"/>
      <c r="AG226" s="28"/>
    </row>
    <row r="227" spans="32:33" x14ac:dyDescent="0.3">
      <c r="AF227" s="28"/>
      <c r="AG227" s="28"/>
    </row>
    <row r="228" spans="32:33" x14ac:dyDescent="0.3">
      <c r="AF228" s="28"/>
      <c r="AG228" s="28"/>
    </row>
    <row r="229" spans="32:33" x14ac:dyDescent="0.3">
      <c r="AF229" s="28"/>
      <c r="AG229" s="28"/>
    </row>
    <row r="230" spans="32:33" x14ac:dyDescent="0.3">
      <c r="AF230" s="28"/>
      <c r="AG230" s="28"/>
    </row>
    <row r="231" spans="32:33" x14ac:dyDescent="0.3">
      <c r="AF231" s="28"/>
      <c r="AG231" s="28"/>
    </row>
    <row r="232" spans="32:33" x14ac:dyDescent="0.3">
      <c r="AF232" s="28"/>
      <c r="AG232" s="28"/>
    </row>
    <row r="233" spans="32:33" x14ac:dyDescent="0.3">
      <c r="AF233" s="28"/>
      <c r="AG233" s="28"/>
    </row>
    <row r="234" spans="32:33" x14ac:dyDescent="0.3">
      <c r="AF234" s="28"/>
      <c r="AG234" s="28"/>
    </row>
    <row r="235" spans="32:33" x14ac:dyDescent="0.3">
      <c r="AF235" s="28"/>
      <c r="AG235" s="28"/>
    </row>
    <row r="236" spans="32:33" x14ac:dyDescent="0.3">
      <c r="AF236" s="28"/>
      <c r="AG236" s="28"/>
    </row>
    <row r="237" spans="32:33" x14ac:dyDescent="0.3">
      <c r="AF237" s="28"/>
      <c r="AG237" s="28"/>
    </row>
    <row r="238" spans="32:33" x14ac:dyDescent="0.3">
      <c r="AF238" s="28"/>
      <c r="AG238" s="28"/>
    </row>
    <row r="239" spans="32:33" x14ac:dyDescent="0.3">
      <c r="AF239" s="28"/>
      <c r="AG239" s="28"/>
    </row>
    <row r="240" spans="32:33" x14ac:dyDescent="0.3">
      <c r="AF240" s="28"/>
      <c r="AG240" s="28"/>
    </row>
    <row r="241" spans="32:33" x14ac:dyDescent="0.3">
      <c r="AF241" s="28"/>
      <c r="AG241" s="28"/>
    </row>
    <row r="242" spans="32:33" x14ac:dyDescent="0.3">
      <c r="AF242" s="28"/>
      <c r="AG242" s="28"/>
    </row>
    <row r="243" spans="32:33" x14ac:dyDescent="0.3">
      <c r="AF243" s="28"/>
      <c r="AG243" s="28"/>
    </row>
    <row r="244" spans="32:33" x14ac:dyDescent="0.3">
      <c r="AF244" s="28"/>
      <c r="AG244" s="28"/>
    </row>
    <row r="245" spans="32:33" x14ac:dyDescent="0.3">
      <c r="AF245" s="28"/>
      <c r="AG245" s="28"/>
    </row>
    <row r="246" spans="32:33" x14ac:dyDescent="0.3">
      <c r="AF246" s="28"/>
      <c r="AG246" s="28"/>
    </row>
    <row r="247" spans="32:33" x14ac:dyDescent="0.3">
      <c r="AF247" s="28"/>
      <c r="AG247" s="28"/>
    </row>
    <row r="248" spans="32:33" x14ac:dyDescent="0.3">
      <c r="AF248" s="28"/>
      <c r="AG248" s="28"/>
    </row>
    <row r="249" spans="32:33" x14ac:dyDescent="0.3">
      <c r="AF249" s="28"/>
      <c r="AG249" s="28"/>
    </row>
    <row r="250" spans="32:33" x14ac:dyDescent="0.3">
      <c r="AF250" s="28"/>
      <c r="AG250" s="28"/>
    </row>
    <row r="251" spans="32:33" x14ac:dyDescent="0.3">
      <c r="AF251" s="28"/>
      <c r="AG251" s="28"/>
    </row>
    <row r="252" spans="32:33" x14ac:dyDescent="0.3">
      <c r="AF252" s="28"/>
      <c r="AG252" s="28"/>
    </row>
    <row r="253" spans="32:33" x14ac:dyDescent="0.3">
      <c r="AF253" s="28"/>
      <c r="AG253" s="28"/>
    </row>
    <row r="254" spans="32:33" x14ac:dyDescent="0.3">
      <c r="AF254" s="28"/>
      <c r="AG254" s="28"/>
    </row>
    <row r="255" spans="32:33" x14ac:dyDescent="0.3">
      <c r="AF255" s="28"/>
      <c r="AG255" s="28"/>
    </row>
    <row r="256" spans="32:33" x14ac:dyDescent="0.3">
      <c r="AF256" s="28"/>
      <c r="AG256" s="28"/>
    </row>
    <row r="257" spans="32:33" x14ac:dyDescent="0.3">
      <c r="AF257" s="28"/>
      <c r="AG257" s="28"/>
    </row>
    <row r="258" spans="32:33" x14ac:dyDescent="0.3">
      <c r="AF258" s="28"/>
      <c r="AG258" s="28"/>
    </row>
    <row r="259" spans="32:33" x14ac:dyDescent="0.3">
      <c r="AF259" s="28"/>
      <c r="AG259" s="28"/>
    </row>
    <row r="260" spans="32:33" x14ac:dyDescent="0.3">
      <c r="AF260" s="28"/>
      <c r="AG260" s="28"/>
    </row>
    <row r="261" spans="32:33" x14ac:dyDescent="0.3">
      <c r="AF261" s="28"/>
      <c r="AG261" s="28"/>
    </row>
    <row r="262" spans="32:33" x14ac:dyDescent="0.3">
      <c r="AF262" s="28"/>
      <c r="AG262" s="28"/>
    </row>
    <row r="263" spans="32:33" x14ac:dyDescent="0.3">
      <c r="AF263" s="28"/>
      <c r="AG263" s="28"/>
    </row>
    <row r="264" spans="32:33" x14ac:dyDescent="0.3">
      <c r="AF264" s="28"/>
      <c r="AG264" s="28"/>
    </row>
    <row r="265" spans="32:33" x14ac:dyDescent="0.3">
      <c r="AF265" s="28"/>
      <c r="AG265" s="28"/>
    </row>
    <row r="266" spans="32:33" x14ac:dyDescent="0.3">
      <c r="AF266" s="28"/>
      <c r="AG266" s="28"/>
    </row>
    <row r="267" spans="32:33" x14ac:dyDescent="0.3">
      <c r="AF267" s="28"/>
      <c r="AG267" s="28"/>
    </row>
    <row r="268" spans="32:33" x14ac:dyDescent="0.3">
      <c r="AF268" s="28"/>
      <c r="AG268" s="28"/>
    </row>
    <row r="269" spans="32:33" x14ac:dyDescent="0.3">
      <c r="AF269" s="28"/>
      <c r="AG269" s="28"/>
    </row>
    <row r="270" spans="32:33" x14ac:dyDescent="0.3">
      <c r="AF270" s="28"/>
      <c r="AG270" s="2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L143"/>
  <sheetViews>
    <sheetView zoomScale="70" zoomScaleNormal="70" workbookViewId="0">
      <selection activeCell="E95" sqref="E95"/>
    </sheetView>
  </sheetViews>
  <sheetFormatPr defaultColWidth="8.88671875" defaultRowHeight="14.4" x14ac:dyDescent="0.3"/>
  <cols>
    <col min="1" max="6" width="35.6640625" customWidth="1"/>
    <col min="7" max="7" width="24.6640625" customWidth="1"/>
    <col min="8" max="8" width="35.6640625" customWidth="1"/>
    <col min="9" max="9" width="27.109375" customWidth="1"/>
    <col min="10" max="10" width="24.44140625" customWidth="1"/>
    <col min="11" max="11" width="35.6640625" customWidth="1"/>
    <col min="12" max="12" width="27.6640625" customWidth="1"/>
    <col min="13" max="13" width="22.6640625" customWidth="1"/>
    <col min="14" max="14" width="33" customWidth="1"/>
    <col min="15" max="15" width="28.109375" customWidth="1"/>
    <col min="16" max="16" width="24.6640625" customWidth="1"/>
    <col min="17" max="17" width="33.33203125" customWidth="1"/>
    <col min="18" max="18" width="26.6640625" customWidth="1"/>
    <col min="19" max="19" width="23" customWidth="1"/>
    <col min="20" max="20" width="35.6640625" customWidth="1"/>
    <col min="21" max="21" width="27.109375" customWidth="1"/>
    <col min="22" max="22" width="26.33203125" customWidth="1"/>
    <col min="23"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57.6" x14ac:dyDescent="0.3">
      <c r="A2" s="41" t="s">
        <v>836</v>
      </c>
      <c r="B2" s="41" t="s">
        <v>1136</v>
      </c>
      <c r="C2" s="41" t="s">
        <v>1137</v>
      </c>
      <c r="D2" s="41" t="s">
        <v>1138</v>
      </c>
      <c r="E2" s="41" t="s">
        <v>1140</v>
      </c>
      <c r="F2" s="74"/>
      <c r="G2" s="70">
        <f>2000000*1030</f>
        <v>2060000000</v>
      </c>
      <c r="H2" s="41">
        <v>2</v>
      </c>
      <c r="I2" s="41">
        <v>2</v>
      </c>
      <c r="J2" s="67">
        <f>$G2*H2*I2</f>
        <v>8240000000</v>
      </c>
      <c r="K2" s="41"/>
      <c r="L2" s="41"/>
      <c r="M2" s="41">
        <f>($G2*1.1^1)*K2*L2</f>
        <v>0</v>
      </c>
      <c r="N2" s="41"/>
      <c r="O2" s="41"/>
      <c r="P2" s="41">
        <f>($G2*1.1^2)*N2*O2</f>
        <v>0</v>
      </c>
      <c r="Q2" s="41"/>
      <c r="R2" s="41"/>
      <c r="S2" s="41">
        <f>($G2*1.1^3)*Q2*R2</f>
        <v>0</v>
      </c>
      <c r="T2" s="41"/>
      <c r="U2" s="41"/>
      <c r="V2" s="41">
        <f>($G2*1.1^4)*T2*U2</f>
        <v>0</v>
      </c>
      <c r="W2" s="41"/>
      <c r="X2" s="41"/>
      <c r="Y2" s="41">
        <f>($G2*1.1^5)*W2*X2</f>
        <v>0</v>
      </c>
      <c r="Z2" s="41">
        <v>2</v>
      </c>
      <c r="AA2" s="41">
        <v>2</v>
      </c>
      <c r="AB2" s="41">
        <f>($G2*1.1^6)*Z2*AA2</f>
        <v>14597662640.000008</v>
      </c>
      <c r="AC2" s="41"/>
      <c r="AD2" s="41"/>
      <c r="AE2" s="41">
        <f>($G2*1.1^7)*AC2*AD2</f>
        <v>0</v>
      </c>
      <c r="AF2" s="28">
        <f>J2+M2+P2+S2+V2+Y2+AB2+AE2</f>
        <v>22837662640.000008</v>
      </c>
      <c r="AG2" s="28">
        <f>AF2/$AL$2</f>
        <v>22172488.000000007</v>
      </c>
      <c r="AL2">
        <v>1030</v>
      </c>
    </row>
    <row r="3" spans="1:38" ht="57.6" x14ac:dyDescent="0.3">
      <c r="A3" s="41" t="s">
        <v>836</v>
      </c>
      <c r="B3" s="41" t="s">
        <v>1136</v>
      </c>
      <c r="C3" s="41" t="s">
        <v>1137</v>
      </c>
      <c r="D3" s="41" t="s">
        <v>1138</v>
      </c>
      <c r="E3" s="41" t="s">
        <v>1331</v>
      </c>
      <c r="F3" s="70" t="s">
        <v>709</v>
      </c>
      <c r="G3" s="70">
        <v>35000</v>
      </c>
      <c r="H3" s="41">
        <v>30</v>
      </c>
      <c r="I3" s="41">
        <v>10</v>
      </c>
      <c r="J3" s="67">
        <f t="shared" ref="J3:J56" si="0">$G3*H3*I3</f>
        <v>10500000</v>
      </c>
      <c r="K3" s="41"/>
      <c r="L3" s="41"/>
      <c r="M3" s="41">
        <f t="shared" ref="M3:M23" si="1">($G3*1.1^1)*K3*L3</f>
        <v>0</v>
      </c>
      <c r="N3" s="41"/>
      <c r="O3" s="41"/>
      <c r="P3" s="41">
        <f t="shared" ref="P3:P23" si="2">($G3*1.1^2)*N3*O3</f>
        <v>0</v>
      </c>
      <c r="Q3" s="41"/>
      <c r="R3" s="41"/>
      <c r="S3" s="41">
        <f t="shared" ref="S3:S23" si="3">($G3*1.1^3)*Q3*R3</f>
        <v>0</v>
      </c>
      <c r="T3" s="41"/>
      <c r="U3" s="41"/>
      <c r="V3" s="41">
        <f t="shared" ref="V3:V23" si="4">($G3*1.1^4)*T3*U3</f>
        <v>0</v>
      </c>
      <c r="W3" s="41"/>
      <c r="X3" s="41"/>
      <c r="Y3" s="41">
        <f t="shared" ref="Y3:Y23" si="5">($G3*1.1^5)*W3*X3</f>
        <v>0</v>
      </c>
      <c r="Z3" s="41">
        <v>30</v>
      </c>
      <c r="AA3" s="41">
        <v>10</v>
      </c>
      <c r="AB3" s="41">
        <f t="shared" ref="AB3:AB23" si="6">($G3*1.1^6)*Z3*AA3</f>
        <v>18601390.500000011</v>
      </c>
      <c r="AC3" s="41"/>
      <c r="AD3" s="41"/>
      <c r="AE3" s="41">
        <f t="shared" ref="AE3:AE23" si="7">($G3*1.1^7)*AC3*AD3</f>
        <v>0</v>
      </c>
    </row>
    <row r="4" spans="1:38" ht="57.6" x14ac:dyDescent="0.3">
      <c r="A4" s="41" t="s">
        <v>836</v>
      </c>
      <c r="B4" s="41" t="s">
        <v>1136</v>
      </c>
      <c r="C4" s="41" t="s">
        <v>1137</v>
      </c>
      <c r="D4" s="41" t="s">
        <v>1138</v>
      </c>
      <c r="E4" s="41" t="s">
        <v>1328</v>
      </c>
      <c r="F4" s="70" t="s">
        <v>1329</v>
      </c>
      <c r="G4" s="41">
        <v>0</v>
      </c>
      <c r="H4" s="41">
        <v>0</v>
      </c>
      <c r="I4" s="41">
        <v>0</v>
      </c>
      <c r="J4" s="67">
        <f t="shared" si="0"/>
        <v>0</v>
      </c>
      <c r="K4" s="41"/>
      <c r="L4" s="41"/>
      <c r="M4" s="41">
        <f t="shared" si="1"/>
        <v>0</v>
      </c>
      <c r="N4" s="41"/>
      <c r="O4" s="41"/>
      <c r="P4" s="41">
        <f t="shared" si="2"/>
        <v>0</v>
      </c>
      <c r="Q4" s="41"/>
      <c r="R4" s="41"/>
      <c r="S4" s="41">
        <f t="shared" si="3"/>
        <v>0</v>
      </c>
      <c r="T4" s="41"/>
      <c r="U4" s="41"/>
      <c r="V4" s="41">
        <f t="shared" si="4"/>
        <v>0</v>
      </c>
      <c r="W4" s="41"/>
      <c r="X4" s="41"/>
      <c r="Y4" s="41">
        <f t="shared" si="5"/>
        <v>0</v>
      </c>
      <c r="Z4" s="41">
        <v>0</v>
      </c>
      <c r="AA4" s="41">
        <v>0</v>
      </c>
      <c r="AB4" s="41">
        <f t="shared" si="6"/>
        <v>0</v>
      </c>
      <c r="AC4" s="41"/>
      <c r="AD4" s="41"/>
      <c r="AE4" s="41">
        <f t="shared" si="7"/>
        <v>0</v>
      </c>
    </row>
    <row r="5" spans="1:38" ht="57.6" x14ac:dyDescent="0.3">
      <c r="A5" s="41" t="s">
        <v>836</v>
      </c>
      <c r="B5" s="41" t="s">
        <v>1136</v>
      </c>
      <c r="C5" s="41" t="s">
        <v>1137</v>
      </c>
      <c r="D5" s="41" t="s">
        <v>1138</v>
      </c>
      <c r="E5" s="41" t="s">
        <v>1330</v>
      </c>
      <c r="F5" s="70" t="s">
        <v>709</v>
      </c>
      <c r="G5" s="41">
        <v>35000</v>
      </c>
      <c r="H5" s="41">
        <v>60</v>
      </c>
      <c r="I5" s="41">
        <v>2</v>
      </c>
      <c r="J5" s="67">
        <f t="shared" si="0"/>
        <v>4200000</v>
      </c>
      <c r="K5" s="41"/>
      <c r="L5" s="41"/>
      <c r="M5" s="41">
        <f t="shared" si="1"/>
        <v>0</v>
      </c>
      <c r="N5" s="41"/>
      <c r="O5" s="41"/>
      <c r="P5" s="41">
        <f t="shared" si="2"/>
        <v>0</v>
      </c>
      <c r="Q5" s="41"/>
      <c r="R5" s="41"/>
      <c r="S5" s="41">
        <f t="shared" si="3"/>
        <v>0</v>
      </c>
      <c r="T5" s="41"/>
      <c r="U5" s="41"/>
      <c r="V5" s="41">
        <f t="shared" si="4"/>
        <v>0</v>
      </c>
      <c r="W5" s="41"/>
      <c r="X5" s="41"/>
      <c r="Y5" s="41">
        <f t="shared" si="5"/>
        <v>0</v>
      </c>
      <c r="Z5" s="41">
        <v>60</v>
      </c>
      <c r="AA5" s="41">
        <v>2</v>
      </c>
      <c r="AB5" s="41">
        <f t="shared" si="6"/>
        <v>7440556.2000000039</v>
      </c>
      <c r="AC5" s="41"/>
      <c r="AD5" s="41"/>
      <c r="AE5" s="41">
        <f t="shared" si="7"/>
        <v>0</v>
      </c>
    </row>
    <row r="6" spans="1:38" ht="57.6" x14ac:dyDescent="0.3">
      <c r="A6" s="41" t="s">
        <v>836</v>
      </c>
      <c r="B6" s="41" t="s">
        <v>1136</v>
      </c>
      <c r="C6" s="41" t="s">
        <v>1137</v>
      </c>
      <c r="D6" s="41" t="s">
        <v>1138</v>
      </c>
      <c r="E6" s="41" t="s">
        <v>1332</v>
      </c>
      <c r="F6" s="41" t="s">
        <v>709</v>
      </c>
      <c r="G6" s="70">
        <v>35000</v>
      </c>
      <c r="H6" s="41">
        <v>60</v>
      </c>
      <c r="I6" s="41">
        <v>2</v>
      </c>
      <c r="J6" s="67">
        <f t="shared" si="0"/>
        <v>4200000</v>
      </c>
      <c r="K6" s="41"/>
      <c r="L6" s="41"/>
      <c r="M6" s="41">
        <f t="shared" si="1"/>
        <v>0</v>
      </c>
      <c r="N6" s="41"/>
      <c r="O6" s="41"/>
      <c r="P6" s="41">
        <f t="shared" si="2"/>
        <v>0</v>
      </c>
      <c r="Q6" s="41"/>
      <c r="R6" s="41"/>
      <c r="S6" s="41">
        <f t="shared" si="3"/>
        <v>0</v>
      </c>
      <c r="T6" s="41"/>
      <c r="U6" s="41"/>
      <c r="V6" s="41">
        <f t="shared" si="4"/>
        <v>0</v>
      </c>
      <c r="W6" s="41"/>
      <c r="X6" s="41"/>
      <c r="Y6" s="41">
        <f t="shared" si="5"/>
        <v>0</v>
      </c>
      <c r="Z6" s="41">
        <v>60</v>
      </c>
      <c r="AA6" s="41">
        <v>2</v>
      </c>
      <c r="AB6" s="41">
        <f t="shared" si="6"/>
        <v>7440556.2000000039</v>
      </c>
      <c r="AC6" s="41"/>
      <c r="AD6" s="41"/>
      <c r="AE6" s="41">
        <f t="shared" si="7"/>
        <v>0</v>
      </c>
    </row>
    <row r="7" spans="1:38" ht="57.6" x14ac:dyDescent="0.3">
      <c r="A7" s="41" t="s">
        <v>836</v>
      </c>
      <c r="B7" s="41" t="s">
        <v>1136</v>
      </c>
      <c r="C7" s="41" t="s">
        <v>1137</v>
      </c>
      <c r="D7" s="41" t="s">
        <v>1138</v>
      </c>
      <c r="E7" s="41" t="s">
        <v>1333</v>
      </c>
      <c r="F7" s="41" t="s">
        <v>1329</v>
      </c>
      <c r="G7" s="70">
        <v>0</v>
      </c>
      <c r="H7" s="41">
        <v>0</v>
      </c>
      <c r="I7" s="41">
        <v>0</v>
      </c>
      <c r="J7" s="67">
        <f t="shared" si="0"/>
        <v>0</v>
      </c>
      <c r="K7" s="41"/>
      <c r="L7" s="41"/>
      <c r="M7" s="41">
        <f t="shared" si="1"/>
        <v>0</v>
      </c>
      <c r="N7" s="41"/>
      <c r="O7" s="41"/>
      <c r="P7" s="41">
        <f t="shared" si="2"/>
        <v>0</v>
      </c>
      <c r="Q7" s="41"/>
      <c r="R7" s="41"/>
      <c r="S7" s="41">
        <f t="shared" si="3"/>
        <v>0</v>
      </c>
      <c r="T7" s="41"/>
      <c r="U7" s="41"/>
      <c r="V7" s="41">
        <f t="shared" si="4"/>
        <v>0</v>
      </c>
      <c r="W7" s="41"/>
      <c r="X7" s="41"/>
      <c r="Y7" s="41">
        <f t="shared" si="5"/>
        <v>0</v>
      </c>
      <c r="Z7" s="41">
        <v>0</v>
      </c>
      <c r="AA7" s="41">
        <v>0</v>
      </c>
      <c r="AB7" s="41">
        <f t="shared" si="6"/>
        <v>0</v>
      </c>
      <c r="AC7" s="41"/>
      <c r="AD7" s="41"/>
      <c r="AE7" s="41">
        <f t="shared" si="7"/>
        <v>0</v>
      </c>
    </row>
    <row r="8" spans="1:38" ht="57.6" x14ac:dyDescent="0.3">
      <c r="A8" s="41" t="s">
        <v>836</v>
      </c>
      <c r="B8" s="41" t="s">
        <v>1136</v>
      </c>
      <c r="C8" s="41" t="s">
        <v>1137</v>
      </c>
      <c r="D8" s="41" t="s">
        <v>1138</v>
      </c>
      <c r="E8" s="41" t="s">
        <v>1334</v>
      </c>
      <c r="F8" s="41" t="s">
        <v>709</v>
      </c>
      <c r="G8" s="70">
        <v>35000</v>
      </c>
      <c r="H8" s="41">
        <v>15</v>
      </c>
      <c r="I8" s="41">
        <v>6</v>
      </c>
      <c r="J8" s="67">
        <f t="shared" si="0"/>
        <v>3150000</v>
      </c>
      <c r="K8" s="41"/>
      <c r="L8" s="41"/>
      <c r="M8" s="41">
        <f t="shared" si="1"/>
        <v>0</v>
      </c>
      <c r="N8" s="41"/>
      <c r="O8" s="41"/>
      <c r="P8" s="41">
        <f t="shared" si="2"/>
        <v>0</v>
      </c>
      <c r="Q8" s="41"/>
      <c r="R8" s="41"/>
      <c r="S8" s="41">
        <f t="shared" si="3"/>
        <v>0</v>
      </c>
      <c r="T8" s="41"/>
      <c r="U8" s="41"/>
      <c r="V8" s="41">
        <f t="shared" si="4"/>
        <v>0</v>
      </c>
      <c r="W8" s="41"/>
      <c r="X8" s="41"/>
      <c r="Y8" s="41">
        <f t="shared" si="5"/>
        <v>0</v>
      </c>
      <c r="Z8" s="41">
        <v>15</v>
      </c>
      <c r="AA8" s="41">
        <v>6</v>
      </c>
      <c r="AB8" s="41">
        <f t="shared" si="6"/>
        <v>5580417.1500000032</v>
      </c>
      <c r="AC8" s="41"/>
      <c r="AD8" s="41"/>
      <c r="AE8" s="41">
        <f t="shared" si="7"/>
        <v>0</v>
      </c>
    </row>
    <row r="9" spans="1:38" ht="57.6" x14ac:dyDescent="0.3">
      <c r="A9" s="41" t="s">
        <v>836</v>
      </c>
      <c r="B9" s="41" t="s">
        <v>1136</v>
      </c>
      <c r="C9" s="41" t="s">
        <v>1137</v>
      </c>
      <c r="D9" s="41" t="s">
        <v>1138</v>
      </c>
      <c r="E9" s="41" t="s">
        <v>1334</v>
      </c>
      <c r="F9" s="41" t="s">
        <v>716</v>
      </c>
      <c r="G9" s="41">
        <v>39000</v>
      </c>
      <c r="H9" s="41"/>
      <c r="I9" s="41">
        <v>8</v>
      </c>
      <c r="J9" s="67">
        <f t="shared" si="0"/>
        <v>0</v>
      </c>
      <c r="K9" s="41"/>
      <c r="L9" s="41"/>
      <c r="M9" s="41">
        <f t="shared" si="1"/>
        <v>0</v>
      </c>
      <c r="N9" s="41"/>
      <c r="O9" s="41"/>
      <c r="P9" s="41">
        <f t="shared" si="2"/>
        <v>0</v>
      </c>
      <c r="Q9" s="41"/>
      <c r="R9" s="41"/>
      <c r="S9" s="41">
        <f t="shared" si="3"/>
        <v>0</v>
      </c>
      <c r="T9" s="41"/>
      <c r="U9" s="41"/>
      <c r="V9" s="41">
        <f t="shared" si="4"/>
        <v>0</v>
      </c>
      <c r="W9" s="41"/>
      <c r="X9" s="41"/>
      <c r="Y9" s="41">
        <f t="shared" si="5"/>
        <v>0</v>
      </c>
      <c r="Z9" s="41"/>
      <c r="AA9" s="41">
        <v>8</v>
      </c>
      <c r="AB9" s="41">
        <f t="shared" si="6"/>
        <v>0</v>
      </c>
      <c r="AC9" s="41"/>
      <c r="AD9" s="41"/>
      <c r="AE9" s="41">
        <f t="shared" si="7"/>
        <v>0</v>
      </c>
    </row>
    <row r="10" spans="1:38" ht="57.6" x14ac:dyDescent="0.3">
      <c r="A10" s="41" t="s">
        <v>836</v>
      </c>
      <c r="B10" s="41" t="s">
        <v>1136</v>
      </c>
      <c r="C10" s="41" t="s">
        <v>1137</v>
      </c>
      <c r="D10" s="41" t="s">
        <v>1138</v>
      </c>
      <c r="E10" s="41" t="s">
        <v>1334</v>
      </c>
      <c r="F10" s="41" t="s">
        <v>712</v>
      </c>
      <c r="G10" s="41">
        <f>1999.2/7</f>
        <v>285.60000000000002</v>
      </c>
      <c r="H10" s="41">
        <f>2*25*5</f>
        <v>250</v>
      </c>
      <c r="I10" s="41">
        <v>6</v>
      </c>
      <c r="J10" s="67">
        <f t="shared" si="0"/>
        <v>428400</v>
      </c>
      <c r="K10" s="41"/>
      <c r="L10" s="41"/>
      <c r="M10" s="41">
        <f t="shared" si="1"/>
        <v>0</v>
      </c>
      <c r="N10" s="41"/>
      <c r="O10" s="41"/>
      <c r="P10" s="41">
        <f t="shared" si="2"/>
        <v>0</v>
      </c>
      <c r="Q10" s="41"/>
      <c r="R10" s="41"/>
      <c r="S10" s="41">
        <f t="shared" si="3"/>
        <v>0</v>
      </c>
      <c r="T10" s="41"/>
      <c r="U10" s="41"/>
      <c r="V10" s="41">
        <f t="shared" si="4"/>
        <v>0</v>
      </c>
      <c r="W10" s="41"/>
      <c r="X10" s="41"/>
      <c r="Y10" s="41">
        <f t="shared" si="5"/>
        <v>0</v>
      </c>
      <c r="Z10" s="41">
        <f>2*25*5</f>
        <v>250</v>
      </c>
      <c r="AA10" s="41">
        <v>6</v>
      </c>
      <c r="AB10" s="41">
        <f t="shared" si="6"/>
        <v>758936.73240000033</v>
      </c>
      <c r="AC10" s="41"/>
      <c r="AD10" s="41"/>
      <c r="AE10" s="41">
        <f t="shared" si="7"/>
        <v>0</v>
      </c>
    </row>
    <row r="11" spans="1:38" ht="57.6" x14ac:dyDescent="0.3">
      <c r="A11" s="41" t="s">
        <v>836</v>
      </c>
      <c r="B11" s="41" t="s">
        <v>1136</v>
      </c>
      <c r="C11" s="41" t="s">
        <v>1137</v>
      </c>
      <c r="D11" s="41" t="s">
        <v>1138</v>
      </c>
      <c r="E11" s="41" t="s">
        <v>1334</v>
      </c>
      <c r="F11" s="41" t="s">
        <v>1336</v>
      </c>
      <c r="G11" s="41">
        <f>1999.2/7</f>
        <v>285.60000000000002</v>
      </c>
      <c r="H11" s="41">
        <f>2*135*5</f>
        <v>1350</v>
      </c>
      <c r="I11" s="41">
        <v>2</v>
      </c>
      <c r="J11" s="67">
        <f t="shared" si="0"/>
        <v>771120.00000000012</v>
      </c>
      <c r="K11" s="41"/>
      <c r="L11" s="41"/>
      <c r="M11" s="41">
        <f t="shared" si="1"/>
        <v>0</v>
      </c>
      <c r="N11" s="41"/>
      <c r="O11" s="41"/>
      <c r="P11" s="41">
        <f t="shared" si="2"/>
        <v>0</v>
      </c>
      <c r="Q11" s="41"/>
      <c r="R11" s="41"/>
      <c r="S11" s="41">
        <f t="shared" si="3"/>
        <v>0</v>
      </c>
      <c r="T11" s="41"/>
      <c r="U11" s="41"/>
      <c r="V11" s="41">
        <f t="shared" si="4"/>
        <v>0</v>
      </c>
      <c r="W11" s="41"/>
      <c r="X11" s="41"/>
      <c r="Y11" s="41">
        <f t="shared" si="5"/>
        <v>0</v>
      </c>
      <c r="Z11" s="41">
        <f>2*135*5</f>
        <v>1350</v>
      </c>
      <c r="AA11" s="41">
        <v>2</v>
      </c>
      <c r="AB11" s="41">
        <f t="shared" si="6"/>
        <v>1366086.1183200008</v>
      </c>
      <c r="AC11" s="41"/>
      <c r="AD11" s="41"/>
      <c r="AE11" s="41">
        <f t="shared" si="7"/>
        <v>0</v>
      </c>
    </row>
    <row r="12" spans="1:38" ht="57.6" x14ac:dyDescent="0.3">
      <c r="A12" s="41" t="s">
        <v>836</v>
      </c>
      <c r="B12" s="41" t="s">
        <v>1136</v>
      </c>
      <c r="C12" s="41" t="s">
        <v>1137</v>
      </c>
      <c r="D12" s="41" t="s">
        <v>1138</v>
      </c>
      <c r="E12" s="41" t="s">
        <v>1335</v>
      </c>
      <c r="F12" s="41" t="s">
        <v>709</v>
      </c>
      <c r="G12" s="70">
        <v>35000</v>
      </c>
      <c r="H12" s="41">
        <v>15</v>
      </c>
      <c r="I12" s="41">
        <v>2</v>
      </c>
      <c r="J12" s="67">
        <f t="shared" si="0"/>
        <v>1050000</v>
      </c>
      <c r="K12" s="41"/>
      <c r="L12" s="41"/>
      <c r="M12" s="41">
        <f t="shared" si="1"/>
        <v>0</v>
      </c>
      <c r="N12" s="41"/>
      <c r="O12" s="41"/>
      <c r="P12" s="41">
        <f t="shared" si="2"/>
        <v>0</v>
      </c>
      <c r="Q12" s="41"/>
      <c r="R12" s="41"/>
      <c r="S12" s="41">
        <f t="shared" si="3"/>
        <v>0</v>
      </c>
      <c r="T12" s="41"/>
      <c r="U12" s="41"/>
      <c r="V12" s="41">
        <f t="shared" si="4"/>
        <v>0</v>
      </c>
      <c r="W12" s="41"/>
      <c r="X12" s="41"/>
      <c r="Y12" s="41">
        <f t="shared" si="5"/>
        <v>0</v>
      </c>
      <c r="Z12" s="41">
        <v>15</v>
      </c>
      <c r="AA12" s="41">
        <v>2</v>
      </c>
      <c r="AB12" s="41">
        <f t="shared" si="6"/>
        <v>1860139.050000001</v>
      </c>
      <c r="AC12" s="41"/>
      <c r="AD12" s="41"/>
      <c r="AE12" s="41">
        <f t="shared" si="7"/>
        <v>0</v>
      </c>
    </row>
    <row r="13" spans="1:38" ht="57.6" x14ac:dyDescent="0.3">
      <c r="A13" s="41" t="s">
        <v>836</v>
      </c>
      <c r="B13" s="41" t="s">
        <v>1136</v>
      </c>
      <c r="C13" s="41" t="s">
        <v>1137</v>
      </c>
      <c r="D13" s="41" t="s">
        <v>1138</v>
      </c>
      <c r="E13" s="41" t="s">
        <v>1335</v>
      </c>
      <c r="F13" s="41" t="s">
        <v>716</v>
      </c>
      <c r="G13" s="41">
        <v>39000</v>
      </c>
      <c r="H13" s="41">
        <v>15</v>
      </c>
      <c r="I13" s="41">
        <v>3</v>
      </c>
      <c r="J13" s="67">
        <f t="shared" si="0"/>
        <v>1755000</v>
      </c>
      <c r="K13" s="41"/>
      <c r="L13" s="41"/>
      <c r="M13" s="41">
        <f t="shared" si="1"/>
        <v>0</v>
      </c>
      <c r="N13" s="41"/>
      <c r="O13" s="41"/>
      <c r="P13" s="41">
        <f t="shared" si="2"/>
        <v>0</v>
      </c>
      <c r="Q13" s="41"/>
      <c r="R13" s="41"/>
      <c r="S13" s="41">
        <f t="shared" si="3"/>
        <v>0</v>
      </c>
      <c r="T13" s="41"/>
      <c r="U13" s="41"/>
      <c r="V13" s="41">
        <f t="shared" si="4"/>
        <v>0</v>
      </c>
      <c r="W13" s="41"/>
      <c r="X13" s="41"/>
      <c r="Y13" s="41">
        <f t="shared" si="5"/>
        <v>0</v>
      </c>
      <c r="Z13" s="41">
        <v>15</v>
      </c>
      <c r="AA13" s="41">
        <v>3</v>
      </c>
      <c r="AB13" s="41">
        <f t="shared" si="6"/>
        <v>3109089.5550000011</v>
      </c>
      <c r="AC13" s="41"/>
      <c r="AD13" s="41"/>
      <c r="AE13" s="41">
        <f t="shared" si="7"/>
        <v>0</v>
      </c>
    </row>
    <row r="14" spans="1:38" ht="57.6" x14ac:dyDescent="0.3">
      <c r="A14" s="41" t="s">
        <v>836</v>
      </c>
      <c r="B14" s="41" t="s">
        <v>1136</v>
      </c>
      <c r="C14" s="41" t="s">
        <v>1137</v>
      </c>
      <c r="D14" s="41" t="s">
        <v>1138</v>
      </c>
      <c r="E14" s="41" t="s">
        <v>1335</v>
      </c>
      <c r="F14" s="41" t="s">
        <v>712</v>
      </c>
      <c r="G14" s="41">
        <f>1999.2/7</f>
        <v>285.60000000000002</v>
      </c>
      <c r="H14" s="41">
        <f>2*25*5</f>
        <v>250</v>
      </c>
      <c r="I14" s="41">
        <v>2</v>
      </c>
      <c r="J14" s="67">
        <f t="shared" si="0"/>
        <v>142800</v>
      </c>
      <c r="K14" s="41"/>
      <c r="L14" s="41"/>
      <c r="M14" s="41">
        <f t="shared" si="1"/>
        <v>0</v>
      </c>
      <c r="N14" s="41"/>
      <c r="O14" s="41"/>
      <c r="P14" s="41">
        <f t="shared" si="2"/>
        <v>0</v>
      </c>
      <c r="Q14" s="41"/>
      <c r="R14" s="41"/>
      <c r="S14" s="41">
        <f t="shared" si="3"/>
        <v>0</v>
      </c>
      <c r="T14" s="41"/>
      <c r="U14" s="41"/>
      <c r="V14" s="41">
        <f t="shared" si="4"/>
        <v>0</v>
      </c>
      <c r="W14" s="41"/>
      <c r="X14" s="41"/>
      <c r="Y14" s="41">
        <f t="shared" si="5"/>
        <v>0</v>
      </c>
      <c r="Z14" s="41">
        <f>2*25*5</f>
        <v>250</v>
      </c>
      <c r="AA14" s="41">
        <v>2</v>
      </c>
      <c r="AB14" s="41">
        <f t="shared" si="6"/>
        <v>252978.91080000013</v>
      </c>
      <c r="AC14" s="41"/>
      <c r="AD14" s="41"/>
      <c r="AE14" s="41">
        <f t="shared" si="7"/>
        <v>0</v>
      </c>
    </row>
    <row r="15" spans="1:38" ht="57.6" x14ac:dyDescent="0.3">
      <c r="A15" s="41" t="s">
        <v>836</v>
      </c>
      <c r="B15" s="41" t="s">
        <v>1136</v>
      </c>
      <c r="C15" s="41" t="s">
        <v>1137</v>
      </c>
      <c r="D15" s="41" t="s">
        <v>1138</v>
      </c>
      <c r="E15" s="41" t="s">
        <v>1335</v>
      </c>
      <c r="F15" s="41" t="s">
        <v>1336</v>
      </c>
      <c r="G15" s="41">
        <f>1999.2/7</f>
        <v>285.60000000000002</v>
      </c>
      <c r="H15" s="41">
        <f>2*135*5</f>
        <v>1350</v>
      </c>
      <c r="I15" s="41">
        <v>1</v>
      </c>
      <c r="J15" s="67">
        <f t="shared" si="0"/>
        <v>385560.00000000006</v>
      </c>
      <c r="K15" s="41"/>
      <c r="L15" s="41"/>
      <c r="M15" s="41">
        <f t="shared" si="1"/>
        <v>0</v>
      </c>
      <c r="N15" s="41"/>
      <c r="O15" s="41"/>
      <c r="P15" s="41">
        <f t="shared" si="2"/>
        <v>0</v>
      </c>
      <c r="Q15" s="41"/>
      <c r="R15" s="41"/>
      <c r="S15" s="41">
        <f t="shared" si="3"/>
        <v>0</v>
      </c>
      <c r="T15" s="41"/>
      <c r="U15" s="41"/>
      <c r="V15" s="41">
        <f t="shared" si="4"/>
        <v>0</v>
      </c>
      <c r="W15" s="41"/>
      <c r="X15" s="41"/>
      <c r="Y15" s="41">
        <f t="shared" si="5"/>
        <v>0</v>
      </c>
      <c r="Z15" s="41">
        <f>2*135*5</f>
        <v>1350</v>
      </c>
      <c r="AA15" s="41">
        <v>1</v>
      </c>
      <c r="AB15" s="41">
        <f t="shared" si="6"/>
        <v>683043.05916000041</v>
      </c>
      <c r="AC15" s="41"/>
      <c r="AD15" s="41"/>
      <c r="AE15" s="41">
        <f t="shared" si="7"/>
        <v>0</v>
      </c>
    </row>
    <row r="16" spans="1:38" ht="57.6" x14ac:dyDescent="0.3">
      <c r="A16" s="41" t="s">
        <v>836</v>
      </c>
      <c r="B16" s="41" t="s">
        <v>1136</v>
      </c>
      <c r="C16" s="41" t="s">
        <v>1137</v>
      </c>
      <c r="D16" s="41" t="s">
        <v>1138</v>
      </c>
      <c r="E16" s="41" t="s">
        <v>1337</v>
      </c>
      <c r="F16" s="41" t="s">
        <v>1338</v>
      </c>
      <c r="G16" s="70">
        <v>0</v>
      </c>
      <c r="H16" s="41">
        <v>12</v>
      </c>
      <c r="I16" s="41">
        <v>1</v>
      </c>
      <c r="J16" s="67">
        <f t="shared" si="0"/>
        <v>0</v>
      </c>
      <c r="K16" s="41"/>
      <c r="L16" s="41"/>
      <c r="M16" s="41">
        <f t="shared" si="1"/>
        <v>0</v>
      </c>
      <c r="N16" s="41"/>
      <c r="O16" s="41"/>
      <c r="P16" s="41">
        <f t="shared" si="2"/>
        <v>0</v>
      </c>
      <c r="Q16" s="41"/>
      <c r="R16" s="41"/>
      <c r="S16" s="41">
        <f t="shared" si="3"/>
        <v>0</v>
      </c>
      <c r="T16" s="41"/>
      <c r="U16" s="41"/>
      <c r="V16" s="41">
        <f t="shared" si="4"/>
        <v>0</v>
      </c>
      <c r="W16" s="41"/>
      <c r="X16" s="41"/>
      <c r="Y16" s="41">
        <f t="shared" si="5"/>
        <v>0</v>
      </c>
      <c r="Z16" s="41">
        <v>12</v>
      </c>
      <c r="AA16" s="41">
        <v>1</v>
      </c>
      <c r="AB16" s="41">
        <f t="shared" si="6"/>
        <v>0</v>
      </c>
      <c r="AC16" s="41"/>
      <c r="AD16" s="41"/>
      <c r="AE16" s="41">
        <f t="shared" si="7"/>
        <v>0</v>
      </c>
    </row>
    <row r="17" spans="1:31" ht="57.6" x14ac:dyDescent="0.3">
      <c r="A17" s="41" t="s">
        <v>836</v>
      </c>
      <c r="B17" s="41" t="s">
        <v>1136</v>
      </c>
      <c r="C17" s="41" t="s">
        <v>1137</v>
      </c>
      <c r="D17" s="41" t="s">
        <v>1138</v>
      </c>
      <c r="E17" s="41" t="s">
        <v>1337</v>
      </c>
      <c r="F17" s="41" t="s">
        <v>713</v>
      </c>
      <c r="G17" s="41">
        <v>45000</v>
      </c>
      <c r="H17" s="41">
        <v>12</v>
      </c>
      <c r="I17" s="41">
        <v>2</v>
      </c>
      <c r="J17" s="67">
        <f t="shared" si="0"/>
        <v>1080000</v>
      </c>
      <c r="K17" s="41"/>
      <c r="L17" s="41"/>
      <c r="M17" s="41">
        <f t="shared" si="1"/>
        <v>0</v>
      </c>
      <c r="N17" s="41"/>
      <c r="O17" s="41"/>
      <c r="P17" s="41">
        <f t="shared" si="2"/>
        <v>0</v>
      </c>
      <c r="Q17" s="41"/>
      <c r="R17" s="41"/>
      <c r="S17" s="41">
        <f t="shared" si="3"/>
        <v>0</v>
      </c>
      <c r="T17" s="41"/>
      <c r="U17" s="41"/>
      <c r="V17" s="41">
        <f t="shared" si="4"/>
        <v>0</v>
      </c>
      <c r="W17" s="41"/>
      <c r="X17" s="41"/>
      <c r="Y17" s="41">
        <f t="shared" si="5"/>
        <v>0</v>
      </c>
      <c r="Z17" s="41">
        <v>12</v>
      </c>
      <c r="AA17" s="41">
        <v>2</v>
      </c>
      <c r="AB17" s="41">
        <f t="shared" si="6"/>
        <v>1913285.8800000008</v>
      </c>
      <c r="AC17" s="41"/>
      <c r="AD17" s="41"/>
      <c r="AE17" s="41">
        <f t="shared" si="7"/>
        <v>0</v>
      </c>
    </row>
    <row r="18" spans="1:31" ht="57.6" x14ac:dyDescent="0.3">
      <c r="A18" s="41" t="s">
        <v>836</v>
      </c>
      <c r="B18" s="41" t="s">
        <v>1136</v>
      </c>
      <c r="C18" s="41" t="s">
        <v>1137</v>
      </c>
      <c r="D18" s="41" t="s">
        <v>1138</v>
      </c>
      <c r="E18" s="41" t="s">
        <v>1337</v>
      </c>
      <c r="F18" s="41" t="s">
        <v>712</v>
      </c>
      <c r="G18" s="41">
        <f>1999.2/7</f>
        <v>285.60000000000002</v>
      </c>
      <c r="H18" s="41">
        <f>2*25*5</f>
        <v>250</v>
      </c>
      <c r="I18" s="41">
        <v>2</v>
      </c>
      <c r="J18" s="67">
        <f t="shared" si="0"/>
        <v>142800</v>
      </c>
      <c r="K18" s="41"/>
      <c r="L18" s="41"/>
      <c r="M18" s="41">
        <f t="shared" si="1"/>
        <v>0</v>
      </c>
      <c r="N18" s="41"/>
      <c r="O18" s="41"/>
      <c r="P18" s="41">
        <f t="shared" si="2"/>
        <v>0</v>
      </c>
      <c r="Q18" s="41"/>
      <c r="R18" s="41"/>
      <c r="S18" s="41">
        <f t="shared" si="3"/>
        <v>0</v>
      </c>
      <c r="T18" s="41"/>
      <c r="U18" s="41"/>
      <c r="V18" s="41">
        <f t="shared" si="4"/>
        <v>0</v>
      </c>
      <c r="W18" s="41"/>
      <c r="X18" s="41"/>
      <c r="Y18" s="41">
        <f t="shared" si="5"/>
        <v>0</v>
      </c>
      <c r="Z18" s="41">
        <f>2*25*5</f>
        <v>250</v>
      </c>
      <c r="AA18" s="41">
        <v>2</v>
      </c>
      <c r="AB18" s="41">
        <f t="shared" si="6"/>
        <v>252978.91080000013</v>
      </c>
      <c r="AC18" s="41"/>
      <c r="AD18" s="41"/>
      <c r="AE18" s="41">
        <f t="shared" si="7"/>
        <v>0</v>
      </c>
    </row>
    <row r="19" spans="1:31" ht="57.6" x14ac:dyDescent="0.3">
      <c r="A19" s="41" t="s">
        <v>836</v>
      </c>
      <c r="B19" s="41" t="s">
        <v>1136</v>
      </c>
      <c r="C19" s="41" t="s">
        <v>1137</v>
      </c>
      <c r="D19" s="41" t="s">
        <v>1138</v>
      </c>
      <c r="E19" s="41" t="s">
        <v>1337</v>
      </c>
      <c r="F19" s="41" t="s">
        <v>1336</v>
      </c>
      <c r="G19" s="41">
        <f>1999.2/7</f>
        <v>285.60000000000002</v>
      </c>
      <c r="H19" s="41">
        <f>2*135*5</f>
        <v>1350</v>
      </c>
      <c r="I19" s="41">
        <v>1</v>
      </c>
      <c r="J19" s="67">
        <f t="shared" si="0"/>
        <v>385560.00000000006</v>
      </c>
      <c r="K19" s="41"/>
      <c r="L19" s="41"/>
      <c r="M19" s="41">
        <f t="shared" si="1"/>
        <v>0</v>
      </c>
      <c r="N19" s="41"/>
      <c r="O19" s="41"/>
      <c r="P19" s="41">
        <f t="shared" si="2"/>
        <v>0</v>
      </c>
      <c r="Q19" s="41"/>
      <c r="R19" s="41"/>
      <c r="S19" s="41">
        <f t="shared" si="3"/>
        <v>0</v>
      </c>
      <c r="T19" s="41"/>
      <c r="U19" s="41"/>
      <c r="V19" s="41">
        <f t="shared" si="4"/>
        <v>0</v>
      </c>
      <c r="W19" s="41"/>
      <c r="X19" s="41"/>
      <c r="Y19" s="41">
        <f t="shared" si="5"/>
        <v>0</v>
      </c>
      <c r="Z19" s="41">
        <f>2*135*5</f>
        <v>1350</v>
      </c>
      <c r="AA19" s="41">
        <v>1</v>
      </c>
      <c r="AB19" s="41">
        <f t="shared" si="6"/>
        <v>683043.05916000041</v>
      </c>
      <c r="AC19" s="41"/>
      <c r="AD19" s="41"/>
      <c r="AE19" s="41">
        <f t="shared" si="7"/>
        <v>0</v>
      </c>
    </row>
    <row r="20" spans="1:31" ht="57.6" x14ac:dyDescent="0.3">
      <c r="A20" s="41" t="s">
        <v>836</v>
      </c>
      <c r="B20" s="41" t="s">
        <v>1136</v>
      </c>
      <c r="C20" s="41" t="s">
        <v>1137</v>
      </c>
      <c r="D20" s="41" t="s">
        <v>1138</v>
      </c>
      <c r="E20" s="41" t="s">
        <v>1339</v>
      </c>
      <c r="F20" s="41" t="s">
        <v>709</v>
      </c>
      <c r="G20" s="70">
        <v>35000</v>
      </c>
      <c r="H20" s="41">
        <v>20</v>
      </c>
      <c r="I20" s="41">
        <v>2</v>
      </c>
      <c r="J20" s="67">
        <f t="shared" si="0"/>
        <v>1400000</v>
      </c>
      <c r="K20" s="41"/>
      <c r="L20" s="41"/>
      <c r="M20" s="41">
        <f t="shared" si="1"/>
        <v>0</v>
      </c>
      <c r="N20" s="41"/>
      <c r="O20" s="41"/>
      <c r="P20" s="41">
        <f t="shared" si="2"/>
        <v>0</v>
      </c>
      <c r="Q20" s="41"/>
      <c r="R20" s="41"/>
      <c r="S20" s="41">
        <f t="shared" si="3"/>
        <v>0</v>
      </c>
      <c r="T20" s="41"/>
      <c r="U20" s="41"/>
      <c r="V20" s="41">
        <f t="shared" si="4"/>
        <v>0</v>
      </c>
      <c r="W20" s="41"/>
      <c r="X20" s="41"/>
      <c r="Y20" s="41">
        <f t="shared" si="5"/>
        <v>0</v>
      </c>
      <c r="Z20" s="41">
        <v>20</v>
      </c>
      <c r="AA20" s="41">
        <v>2</v>
      </c>
      <c r="AB20" s="41">
        <f t="shared" si="6"/>
        <v>2480185.4000000013</v>
      </c>
      <c r="AC20" s="41"/>
      <c r="AD20" s="41"/>
      <c r="AE20" s="41">
        <f t="shared" si="7"/>
        <v>0</v>
      </c>
    </row>
    <row r="21" spans="1:31" ht="57.6" x14ac:dyDescent="0.3">
      <c r="A21" s="41" t="s">
        <v>836</v>
      </c>
      <c r="B21" s="41" t="s">
        <v>1136</v>
      </c>
      <c r="C21" s="41" t="s">
        <v>1137</v>
      </c>
      <c r="D21" s="41" t="s">
        <v>1138</v>
      </c>
      <c r="E21" s="41" t="s">
        <v>1339</v>
      </c>
      <c r="F21" s="41" t="s">
        <v>716</v>
      </c>
      <c r="G21" s="70">
        <v>39000</v>
      </c>
      <c r="H21" s="41">
        <v>20</v>
      </c>
      <c r="I21" s="41">
        <v>3</v>
      </c>
      <c r="J21" s="67">
        <f t="shared" si="0"/>
        <v>2340000</v>
      </c>
      <c r="K21" s="41"/>
      <c r="L21" s="41"/>
      <c r="M21" s="41">
        <f t="shared" si="1"/>
        <v>0</v>
      </c>
      <c r="N21" s="41"/>
      <c r="O21" s="41"/>
      <c r="P21" s="41">
        <f t="shared" si="2"/>
        <v>0</v>
      </c>
      <c r="Q21" s="41"/>
      <c r="R21" s="41"/>
      <c r="S21" s="41">
        <f t="shared" si="3"/>
        <v>0</v>
      </c>
      <c r="T21" s="41"/>
      <c r="U21" s="41"/>
      <c r="V21" s="41">
        <f t="shared" si="4"/>
        <v>0</v>
      </c>
      <c r="W21" s="41"/>
      <c r="X21" s="41"/>
      <c r="Y21" s="41">
        <f t="shared" si="5"/>
        <v>0</v>
      </c>
      <c r="Z21" s="41">
        <v>20</v>
      </c>
      <c r="AA21" s="41">
        <v>3</v>
      </c>
      <c r="AB21" s="41">
        <f t="shared" si="6"/>
        <v>4145452.7400000016</v>
      </c>
      <c r="AC21" s="41"/>
      <c r="AD21" s="41"/>
      <c r="AE21" s="41">
        <f t="shared" si="7"/>
        <v>0</v>
      </c>
    </row>
    <row r="22" spans="1:31" ht="57.6" x14ac:dyDescent="0.3">
      <c r="A22" s="41" t="s">
        <v>836</v>
      </c>
      <c r="B22" s="41" t="s">
        <v>1136</v>
      </c>
      <c r="C22" s="41" t="s">
        <v>1137</v>
      </c>
      <c r="D22" s="41" t="s">
        <v>1138</v>
      </c>
      <c r="E22" s="41" t="s">
        <v>1339</v>
      </c>
      <c r="F22" s="41" t="s">
        <v>712</v>
      </c>
      <c r="G22" s="41">
        <f>1999.2/7</f>
        <v>285.60000000000002</v>
      </c>
      <c r="H22" s="41">
        <f>2*25*5</f>
        <v>250</v>
      </c>
      <c r="I22" s="41">
        <v>2</v>
      </c>
      <c r="J22" s="67">
        <f t="shared" si="0"/>
        <v>142800</v>
      </c>
      <c r="K22" s="41"/>
      <c r="L22" s="41"/>
      <c r="M22" s="41">
        <f t="shared" si="1"/>
        <v>0</v>
      </c>
      <c r="N22" s="41"/>
      <c r="O22" s="41"/>
      <c r="P22" s="41">
        <f t="shared" si="2"/>
        <v>0</v>
      </c>
      <c r="Q22" s="41"/>
      <c r="R22" s="41"/>
      <c r="S22" s="41">
        <f t="shared" si="3"/>
        <v>0</v>
      </c>
      <c r="T22" s="41"/>
      <c r="U22" s="41"/>
      <c r="V22" s="41">
        <f t="shared" si="4"/>
        <v>0</v>
      </c>
      <c r="W22" s="41"/>
      <c r="X22" s="41"/>
      <c r="Y22" s="41">
        <f t="shared" si="5"/>
        <v>0</v>
      </c>
      <c r="Z22" s="41">
        <f>2*25*5</f>
        <v>250</v>
      </c>
      <c r="AA22" s="41">
        <v>2</v>
      </c>
      <c r="AB22" s="41">
        <f t="shared" si="6"/>
        <v>252978.91080000013</v>
      </c>
      <c r="AC22" s="41"/>
      <c r="AD22" s="41"/>
      <c r="AE22" s="41">
        <f t="shared" si="7"/>
        <v>0</v>
      </c>
    </row>
    <row r="23" spans="1:31" ht="57.6" x14ac:dyDescent="0.3">
      <c r="A23" s="41" t="s">
        <v>836</v>
      </c>
      <c r="B23" s="41" t="s">
        <v>1136</v>
      </c>
      <c r="C23" s="41" t="s">
        <v>1137</v>
      </c>
      <c r="D23" s="41" t="s">
        <v>1138</v>
      </c>
      <c r="E23" s="41" t="s">
        <v>1339</v>
      </c>
      <c r="F23" s="41" t="s">
        <v>1336</v>
      </c>
      <c r="G23" s="41">
        <f>1999.2/7</f>
        <v>285.60000000000002</v>
      </c>
      <c r="H23" s="41">
        <f>2*135*5</f>
        <v>1350</v>
      </c>
      <c r="I23" s="41">
        <v>1</v>
      </c>
      <c r="J23" s="67">
        <f t="shared" si="0"/>
        <v>385560.00000000006</v>
      </c>
      <c r="K23" s="41"/>
      <c r="L23" s="41"/>
      <c r="M23" s="41">
        <f t="shared" si="1"/>
        <v>0</v>
      </c>
      <c r="N23" s="41"/>
      <c r="O23" s="41"/>
      <c r="P23" s="41">
        <f t="shared" si="2"/>
        <v>0</v>
      </c>
      <c r="Q23" s="41"/>
      <c r="R23" s="41"/>
      <c r="S23" s="41">
        <f t="shared" si="3"/>
        <v>0</v>
      </c>
      <c r="T23" s="41"/>
      <c r="U23" s="41"/>
      <c r="V23" s="41">
        <f t="shared" si="4"/>
        <v>0</v>
      </c>
      <c r="W23" s="41"/>
      <c r="X23" s="41"/>
      <c r="Y23" s="41">
        <f t="shared" si="5"/>
        <v>0</v>
      </c>
      <c r="Z23" s="41">
        <f>2*135*5</f>
        <v>1350</v>
      </c>
      <c r="AA23" s="41">
        <v>1</v>
      </c>
      <c r="AB23" s="41">
        <f t="shared" si="6"/>
        <v>683043.05916000041</v>
      </c>
      <c r="AC23" s="41"/>
      <c r="AD23" s="41"/>
      <c r="AE23" s="41">
        <f t="shared" si="7"/>
        <v>0</v>
      </c>
    </row>
    <row r="24" spans="1:31" ht="57.6" x14ac:dyDescent="0.3">
      <c r="A24" s="41" t="s">
        <v>836</v>
      </c>
      <c r="B24" s="41" t="s">
        <v>1136</v>
      </c>
      <c r="C24" s="41" t="s">
        <v>1137</v>
      </c>
      <c r="D24" s="41" t="s">
        <v>1327</v>
      </c>
      <c r="E24" s="6" t="s">
        <v>840</v>
      </c>
      <c r="F24" s="6" t="s">
        <v>841</v>
      </c>
      <c r="G24" s="25">
        <v>0</v>
      </c>
      <c r="H24" s="38">
        <v>0</v>
      </c>
      <c r="I24" s="38">
        <v>0</v>
      </c>
      <c r="J24" s="67">
        <f t="shared" si="0"/>
        <v>0</v>
      </c>
      <c r="K24" s="41"/>
      <c r="L24" s="41"/>
      <c r="M24" s="41"/>
      <c r="N24" s="41"/>
      <c r="O24" s="41"/>
      <c r="P24" s="41"/>
      <c r="Q24" s="41"/>
      <c r="R24" s="41"/>
      <c r="S24" s="41"/>
      <c r="T24" s="41"/>
      <c r="U24" s="41"/>
      <c r="V24" s="41"/>
      <c r="W24" s="41"/>
      <c r="X24" s="41"/>
      <c r="Y24" s="41"/>
      <c r="Z24" s="38">
        <v>0</v>
      </c>
      <c r="AA24" s="38">
        <v>0</v>
      </c>
      <c r="AB24" s="41"/>
      <c r="AC24" s="41"/>
      <c r="AD24" s="41"/>
      <c r="AE24" s="41"/>
    </row>
    <row r="25" spans="1:31" ht="57.6" x14ac:dyDescent="0.3">
      <c r="A25" s="41" t="s">
        <v>836</v>
      </c>
      <c r="B25" s="41" t="s">
        <v>1136</v>
      </c>
      <c r="C25" s="41" t="s">
        <v>1137</v>
      </c>
      <c r="D25" s="41" t="s">
        <v>1343</v>
      </c>
      <c r="E25" s="6" t="s">
        <v>1342</v>
      </c>
      <c r="F25" s="6" t="s">
        <v>841</v>
      </c>
      <c r="G25" s="25">
        <v>0</v>
      </c>
      <c r="H25" s="38">
        <v>0</v>
      </c>
      <c r="I25" s="38">
        <v>0</v>
      </c>
      <c r="J25" s="67">
        <f t="shared" si="0"/>
        <v>0</v>
      </c>
      <c r="K25" s="41"/>
      <c r="L25" s="41"/>
      <c r="M25" s="41"/>
      <c r="N25" s="41"/>
      <c r="O25" s="41"/>
      <c r="P25" s="41"/>
      <c r="Q25" s="41"/>
      <c r="R25" s="41"/>
      <c r="S25" s="41"/>
      <c r="T25" s="41"/>
      <c r="U25" s="41"/>
      <c r="V25" s="41"/>
      <c r="W25" s="41"/>
      <c r="X25" s="41"/>
      <c r="Y25" s="41"/>
      <c r="Z25" s="38">
        <v>0</v>
      </c>
      <c r="AA25" s="38">
        <v>0</v>
      </c>
      <c r="AB25" s="41"/>
      <c r="AC25" s="41"/>
      <c r="AD25" s="41"/>
      <c r="AE25" s="41"/>
    </row>
    <row r="26" spans="1:31" ht="57.6" x14ac:dyDescent="0.3">
      <c r="A26" s="41" t="s">
        <v>836</v>
      </c>
      <c r="B26" s="41" t="s">
        <v>1136</v>
      </c>
      <c r="C26" s="41" t="s">
        <v>1137</v>
      </c>
      <c r="D26" s="41" t="s">
        <v>1327</v>
      </c>
      <c r="E26" s="6" t="s">
        <v>1344</v>
      </c>
      <c r="F26" s="6" t="s">
        <v>709</v>
      </c>
      <c r="G26" s="25">
        <v>35000</v>
      </c>
      <c r="H26" s="38">
        <v>10</v>
      </c>
      <c r="I26" s="38">
        <v>2</v>
      </c>
      <c r="J26" s="67">
        <f t="shared" si="0"/>
        <v>700000</v>
      </c>
      <c r="K26" s="41"/>
      <c r="L26" s="41"/>
      <c r="M26" s="41"/>
      <c r="N26" s="41"/>
      <c r="O26" s="41"/>
      <c r="P26" s="41"/>
      <c r="Q26" s="41"/>
      <c r="R26" s="41"/>
      <c r="S26" s="41"/>
      <c r="T26" s="41"/>
      <c r="U26" s="41"/>
      <c r="V26" s="41"/>
      <c r="W26" s="41"/>
      <c r="X26" s="41"/>
      <c r="Y26" s="41"/>
      <c r="Z26" s="38">
        <v>10</v>
      </c>
      <c r="AA26" s="38">
        <v>2</v>
      </c>
      <c r="AB26" s="41"/>
      <c r="AC26" s="41"/>
      <c r="AD26" s="41"/>
      <c r="AE26" s="41"/>
    </row>
    <row r="27" spans="1:31" ht="57.6" x14ac:dyDescent="0.3">
      <c r="A27" s="41" t="s">
        <v>836</v>
      </c>
      <c r="B27" s="41" t="s">
        <v>1136</v>
      </c>
      <c r="C27" s="41" t="s">
        <v>1137</v>
      </c>
      <c r="D27" s="41" t="s">
        <v>1327</v>
      </c>
      <c r="E27" s="6" t="s">
        <v>149</v>
      </c>
      <c r="F27" s="6" t="s">
        <v>707</v>
      </c>
      <c r="G27" s="25">
        <v>391991.03749999998</v>
      </c>
      <c r="H27" s="38">
        <v>2</v>
      </c>
      <c r="I27" s="38">
        <v>2</v>
      </c>
      <c r="J27" s="67">
        <f t="shared" si="0"/>
        <v>1567964.15</v>
      </c>
      <c r="K27" s="41"/>
      <c r="L27" s="41"/>
      <c r="M27" s="41"/>
      <c r="N27" s="41"/>
      <c r="O27" s="41"/>
      <c r="P27" s="41"/>
      <c r="Q27" s="41"/>
      <c r="R27" s="41"/>
      <c r="S27" s="41"/>
      <c r="T27" s="41"/>
      <c r="U27" s="41"/>
      <c r="V27" s="41"/>
      <c r="W27" s="41"/>
      <c r="X27" s="41"/>
      <c r="Y27" s="41"/>
      <c r="Z27" s="38">
        <v>2</v>
      </c>
      <c r="AA27" s="38">
        <v>2</v>
      </c>
      <c r="AB27" s="41"/>
      <c r="AC27" s="41"/>
      <c r="AD27" s="41"/>
      <c r="AE27" s="41"/>
    </row>
    <row r="28" spans="1:31" ht="57.6" x14ac:dyDescent="0.3">
      <c r="A28" s="41" t="s">
        <v>836</v>
      </c>
      <c r="B28" s="41" t="s">
        <v>1136</v>
      </c>
      <c r="C28" s="41" t="s">
        <v>1137</v>
      </c>
      <c r="D28" s="41" t="s">
        <v>1327</v>
      </c>
      <c r="E28" s="6" t="s">
        <v>149</v>
      </c>
      <c r="F28" s="6" t="s">
        <v>708</v>
      </c>
      <c r="G28" s="25">
        <f>500*1030</f>
        <v>515000</v>
      </c>
      <c r="H28" s="38">
        <v>1</v>
      </c>
      <c r="I28" s="38">
        <v>25</v>
      </c>
      <c r="J28" s="67">
        <f t="shared" si="0"/>
        <v>12875000</v>
      </c>
      <c r="K28" s="41"/>
      <c r="L28" s="41"/>
      <c r="M28" s="41"/>
      <c r="N28" s="41"/>
      <c r="O28" s="41"/>
      <c r="P28" s="41"/>
      <c r="Q28" s="41"/>
      <c r="R28" s="41"/>
      <c r="S28" s="41"/>
      <c r="T28" s="41"/>
      <c r="U28" s="41"/>
      <c r="V28" s="41"/>
      <c r="W28" s="41"/>
      <c r="X28" s="41"/>
      <c r="Y28" s="41"/>
      <c r="Z28" s="38">
        <v>1</v>
      </c>
      <c r="AA28" s="38">
        <v>25</v>
      </c>
      <c r="AB28" s="41"/>
      <c r="AC28" s="41"/>
      <c r="AD28" s="41"/>
      <c r="AE28" s="41"/>
    </row>
    <row r="29" spans="1:31" ht="57.6" x14ac:dyDescent="0.3">
      <c r="A29" s="41" t="s">
        <v>836</v>
      </c>
      <c r="B29" s="41" t="s">
        <v>1136</v>
      </c>
      <c r="C29" s="41" t="s">
        <v>1137</v>
      </c>
      <c r="D29" s="41" t="s">
        <v>1327</v>
      </c>
      <c r="E29" s="6" t="s">
        <v>150</v>
      </c>
      <c r="F29" s="6" t="s">
        <v>841</v>
      </c>
      <c r="G29" s="25">
        <v>0</v>
      </c>
      <c r="H29" s="38"/>
      <c r="I29" s="38"/>
      <c r="J29" s="67">
        <f t="shared" si="0"/>
        <v>0</v>
      </c>
      <c r="K29" s="41"/>
      <c r="L29" s="41"/>
      <c r="M29" s="41"/>
      <c r="N29" s="41"/>
      <c r="O29" s="41"/>
      <c r="P29" s="41"/>
      <c r="Q29" s="41"/>
      <c r="R29" s="41"/>
      <c r="S29" s="41"/>
      <c r="T29" s="41"/>
      <c r="U29" s="41"/>
      <c r="V29" s="41"/>
      <c r="W29" s="41"/>
      <c r="X29" s="41"/>
      <c r="Y29" s="41"/>
      <c r="Z29" s="38"/>
      <c r="AA29" s="38"/>
      <c r="AB29" s="41"/>
      <c r="AC29" s="41"/>
      <c r="AD29" s="41"/>
      <c r="AE29" s="41"/>
    </row>
    <row r="30" spans="1:31" ht="57.6" x14ac:dyDescent="0.3">
      <c r="A30" s="41" t="s">
        <v>836</v>
      </c>
      <c r="B30" s="41" t="s">
        <v>1136</v>
      </c>
      <c r="C30" s="41" t="s">
        <v>1137</v>
      </c>
      <c r="D30" s="41" t="s">
        <v>1327</v>
      </c>
      <c r="E30" s="6" t="s">
        <v>1304</v>
      </c>
      <c r="F30" s="6" t="s">
        <v>709</v>
      </c>
      <c r="G30" s="25">
        <v>35000</v>
      </c>
      <c r="H30" s="38">
        <v>26</v>
      </c>
      <c r="I30" s="38">
        <v>5</v>
      </c>
      <c r="J30" s="67">
        <f t="shared" si="0"/>
        <v>4550000</v>
      </c>
      <c r="K30" s="41"/>
      <c r="L30" s="41"/>
      <c r="M30" s="41"/>
      <c r="N30" s="41"/>
      <c r="O30" s="41"/>
      <c r="P30" s="41"/>
      <c r="Q30" s="41"/>
      <c r="R30" s="41"/>
      <c r="S30" s="41"/>
      <c r="T30" s="41"/>
      <c r="U30" s="41"/>
      <c r="V30" s="41"/>
      <c r="W30" s="41"/>
      <c r="X30" s="41"/>
      <c r="Y30" s="41"/>
      <c r="Z30" s="38">
        <v>26</v>
      </c>
      <c r="AA30" s="38">
        <v>5</v>
      </c>
      <c r="AB30" s="41"/>
      <c r="AC30" s="41"/>
      <c r="AD30" s="41"/>
      <c r="AE30" s="41"/>
    </row>
    <row r="31" spans="1:31" ht="57.6" x14ac:dyDescent="0.3">
      <c r="A31" s="41" t="s">
        <v>836</v>
      </c>
      <c r="B31" s="41" t="s">
        <v>1136</v>
      </c>
      <c r="C31" s="41" t="s">
        <v>1137</v>
      </c>
      <c r="D31" s="41" t="s">
        <v>1327</v>
      </c>
      <c r="E31" s="6" t="s">
        <v>1304</v>
      </c>
      <c r="F31" s="6" t="s">
        <v>716</v>
      </c>
      <c r="G31" s="25">
        <v>39000</v>
      </c>
      <c r="H31" s="38">
        <v>26</v>
      </c>
      <c r="I31" s="38">
        <v>6</v>
      </c>
      <c r="J31" s="67">
        <f t="shared" si="0"/>
        <v>6084000</v>
      </c>
      <c r="K31" s="41"/>
      <c r="L31" s="41"/>
      <c r="M31" s="41"/>
      <c r="N31" s="41"/>
      <c r="O31" s="41"/>
      <c r="P31" s="41"/>
      <c r="Q31" s="41"/>
      <c r="R31" s="41"/>
      <c r="S31" s="41"/>
      <c r="T31" s="41"/>
      <c r="U31" s="41"/>
      <c r="V31" s="41"/>
      <c r="W31" s="41"/>
      <c r="X31" s="41"/>
      <c r="Y31" s="41"/>
      <c r="Z31" s="38">
        <v>26</v>
      </c>
      <c r="AA31" s="38">
        <v>6</v>
      </c>
      <c r="AB31" s="41"/>
      <c r="AC31" s="41"/>
      <c r="AD31" s="41"/>
      <c r="AE31" s="41"/>
    </row>
    <row r="32" spans="1:31" ht="57.6" x14ac:dyDescent="0.3">
      <c r="A32" s="41" t="s">
        <v>836</v>
      </c>
      <c r="B32" s="41" t="s">
        <v>1136</v>
      </c>
      <c r="C32" s="41" t="s">
        <v>1137</v>
      </c>
      <c r="D32" s="41" t="s">
        <v>1327</v>
      </c>
      <c r="E32" s="6" t="s">
        <v>1304</v>
      </c>
      <c r="F32" s="6" t="s">
        <v>1306</v>
      </c>
      <c r="G32" s="25">
        <v>211.43</v>
      </c>
      <c r="H32" s="38">
        <f>135*2*9</f>
        <v>2430</v>
      </c>
      <c r="I32" s="38">
        <v>1</v>
      </c>
      <c r="J32" s="67">
        <f t="shared" si="0"/>
        <v>513774.9</v>
      </c>
      <c r="K32" s="41"/>
      <c r="L32" s="41"/>
      <c r="M32" s="41"/>
      <c r="N32" s="41"/>
      <c r="O32" s="41"/>
      <c r="P32" s="41"/>
      <c r="Q32" s="41"/>
      <c r="R32" s="41"/>
      <c r="S32" s="41"/>
      <c r="T32" s="41"/>
      <c r="U32" s="41"/>
      <c r="V32" s="41"/>
      <c r="W32" s="41"/>
      <c r="X32" s="41"/>
      <c r="Y32" s="41"/>
      <c r="Z32" s="38">
        <f>135*2*9</f>
        <v>2430</v>
      </c>
      <c r="AA32" s="38">
        <v>1</v>
      </c>
      <c r="AB32" s="41"/>
      <c r="AC32" s="41"/>
      <c r="AD32" s="41"/>
      <c r="AE32" s="41"/>
    </row>
    <row r="33" spans="1:31" ht="57.6" x14ac:dyDescent="0.3">
      <c r="A33" s="41" t="s">
        <v>836</v>
      </c>
      <c r="B33" s="41" t="s">
        <v>1136</v>
      </c>
      <c r="C33" s="41" t="s">
        <v>1137</v>
      </c>
      <c r="D33" s="41" t="s">
        <v>1327</v>
      </c>
      <c r="E33" s="6" t="s">
        <v>1304</v>
      </c>
      <c r="F33" s="6" t="s">
        <v>1307</v>
      </c>
      <c r="G33" s="25">
        <f>1999.2/7</f>
        <v>285.60000000000002</v>
      </c>
      <c r="H33" s="38">
        <f>25*9*2</f>
        <v>450</v>
      </c>
      <c r="I33" s="38">
        <v>5</v>
      </c>
      <c r="J33" s="67">
        <f t="shared" si="0"/>
        <v>642600.00000000012</v>
      </c>
      <c r="K33" s="41"/>
      <c r="L33" s="41"/>
      <c r="M33" s="41"/>
      <c r="N33" s="41"/>
      <c r="O33" s="41"/>
      <c r="P33" s="41"/>
      <c r="Q33" s="41"/>
      <c r="R33" s="41"/>
      <c r="S33" s="41"/>
      <c r="T33" s="41"/>
      <c r="U33" s="41"/>
      <c r="V33" s="41"/>
      <c r="W33" s="41"/>
      <c r="X33" s="41"/>
      <c r="Y33" s="41"/>
      <c r="Z33" s="38">
        <f>25*9*2</f>
        <v>450</v>
      </c>
      <c r="AA33" s="38">
        <v>5</v>
      </c>
      <c r="AB33" s="41"/>
      <c r="AC33" s="41"/>
      <c r="AD33" s="41"/>
      <c r="AE33" s="41"/>
    </row>
    <row r="34" spans="1:31" ht="57.6" x14ac:dyDescent="0.3">
      <c r="A34" s="41" t="s">
        <v>836</v>
      </c>
      <c r="B34" s="41" t="s">
        <v>1136</v>
      </c>
      <c r="C34" s="41" t="s">
        <v>1137</v>
      </c>
      <c r="D34" s="41" t="s">
        <v>1327</v>
      </c>
      <c r="E34" s="6" t="s">
        <v>1305</v>
      </c>
      <c r="F34" s="6" t="s">
        <v>710</v>
      </c>
      <c r="G34" s="25">
        <v>104850</v>
      </c>
      <c r="H34" s="38">
        <v>1</v>
      </c>
      <c r="I34" s="38">
        <v>1</v>
      </c>
      <c r="J34" s="67">
        <f t="shared" si="0"/>
        <v>104850</v>
      </c>
      <c r="K34" s="41"/>
      <c r="L34" s="41"/>
      <c r="M34" s="41"/>
      <c r="N34" s="41"/>
      <c r="O34" s="41"/>
      <c r="P34" s="41"/>
      <c r="Q34" s="41"/>
      <c r="R34" s="41"/>
      <c r="S34" s="41"/>
      <c r="T34" s="41"/>
      <c r="U34" s="41"/>
      <c r="V34" s="41"/>
      <c r="W34" s="41"/>
      <c r="X34" s="41"/>
      <c r="Y34" s="41"/>
      <c r="Z34" s="38">
        <v>1</v>
      </c>
      <c r="AA34" s="38">
        <v>1</v>
      </c>
      <c r="AB34" s="41"/>
      <c r="AC34" s="41"/>
      <c r="AD34" s="41"/>
      <c r="AE34" s="41"/>
    </row>
    <row r="35" spans="1:31" ht="57.6" x14ac:dyDescent="0.3">
      <c r="A35" s="41" t="s">
        <v>836</v>
      </c>
      <c r="B35" s="41" t="s">
        <v>1136</v>
      </c>
      <c r="C35" s="41" t="s">
        <v>1137</v>
      </c>
      <c r="D35" s="41" t="s">
        <v>1327</v>
      </c>
      <c r="E35" s="6" t="s">
        <v>844</v>
      </c>
      <c r="F35" s="6" t="s">
        <v>1308</v>
      </c>
      <c r="G35" s="25">
        <v>8000</v>
      </c>
      <c r="H35" s="38">
        <v>10</v>
      </c>
      <c r="I35" s="38">
        <v>1</v>
      </c>
      <c r="J35" s="67">
        <f t="shared" si="0"/>
        <v>80000</v>
      </c>
      <c r="K35" s="41"/>
      <c r="L35" s="41"/>
      <c r="M35" s="41"/>
      <c r="N35" s="41"/>
      <c r="O35" s="41"/>
      <c r="P35" s="41"/>
      <c r="Q35" s="41"/>
      <c r="R35" s="41"/>
      <c r="S35" s="41"/>
      <c r="T35" s="41"/>
      <c r="U35" s="41"/>
      <c r="V35" s="41"/>
      <c r="W35" s="41"/>
      <c r="X35" s="41"/>
      <c r="Y35" s="41"/>
      <c r="Z35" s="38">
        <v>10</v>
      </c>
      <c r="AA35" s="38">
        <v>1</v>
      </c>
      <c r="AB35" s="41"/>
      <c r="AC35" s="41"/>
      <c r="AD35" s="41"/>
      <c r="AE35" s="41"/>
    </row>
    <row r="36" spans="1:31" ht="57.6" x14ac:dyDescent="0.3">
      <c r="A36" s="41" t="s">
        <v>836</v>
      </c>
      <c r="B36" s="41" t="s">
        <v>1136</v>
      </c>
      <c r="C36" s="41" t="s">
        <v>1137</v>
      </c>
      <c r="D36" s="41" t="s">
        <v>1327</v>
      </c>
      <c r="E36" s="6" t="s">
        <v>845</v>
      </c>
      <c r="F36" s="6" t="s">
        <v>1310</v>
      </c>
      <c r="G36" s="25">
        <f>1999.2/7</f>
        <v>285.60000000000002</v>
      </c>
      <c r="H36" s="38">
        <f>9*180*2</f>
        <v>3240</v>
      </c>
      <c r="I36" s="38">
        <v>1</v>
      </c>
      <c r="J36" s="67">
        <f t="shared" si="0"/>
        <v>925344.00000000012</v>
      </c>
      <c r="K36" s="41"/>
      <c r="L36" s="41"/>
      <c r="M36" s="41"/>
      <c r="N36" s="41"/>
      <c r="O36" s="41"/>
      <c r="P36" s="41"/>
      <c r="Q36" s="41"/>
      <c r="R36" s="41"/>
      <c r="S36" s="41"/>
      <c r="T36" s="41"/>
      <c r="U36" s="41"/>
      <c r="V36" s="41"/>
      <c r="W36" s="41"/>
      <c r="X36" s="41"/>
      <c r="Y36" s="41"/>
      <c r="Z36" s="38">
        <f>9*180*2</f>
        <v>3240</v>
      </c>
      <c r="AA36" s="38">
        <v>1</v>
      </c>
      <c r="AB36" s="41"/>
      <c r="AC36" s="41"/>
      <c r="AD36" s="41"/>
      <c r="AE36" s="41"/>
    </row>
    <row r="37" spans="1:31" ht="57.6" x14ac:dyDescent="0.3">
      <c r="A37" s="41" t="s">
        <v>836</v>
      </c>
      <c r="B37" s="41" t="s">
        <v>1136</v>
      </c>
      <c r="C37" s="41" t="s">
        <v>1137</v>
      </c>
      <c r="D37" s="41" t="s">
        <v>1327</v>
      </c>
      <c r="E37" s="6" t="s">
        <v>845</v>
      </c>
      <c r="F37" s="6" t="s">
        <v>1309</v>
      </c>
      <c r="G37" s="25">
        <f>1999.2/7</f>
        <v>285.60000000000002</v>
      </c>
      <c r="H37" s="38">
        <f>9*50*2</f>
        <v>900</v>
      </c>
      <c r="I37" s="38">
        <v>2</v>
      </c>
      <c r="J37" s="67">
        <f t="shared" si="0"/>
        <v>514080.00000000006</v>
      </c>
      <c r="K37" s="41"/>
      <c r="L37" s="41"/>
      <c r="M37" s="41"/>
      <c r="N37" s="41"/>
      <c r="O37" s="41"/>
      <c r="P37" s="41"/>
      <c r="Q37" s="41"/>
      <c r="R37" s="41"/>
      <c r="S37" s="41"/>
      <c r="T37" s="41"/>
      <c r="U37" s="41"/>
      <c r="V37" s="41"/>
      <c r="W37" s="41"/>
      <c r="X37" s="41"/>
      <c r="Y37" s="41"/>
      <c r="Z37" s="38">
        <f>9*50*2</f>
        <v>900</v>
      </c>
      <c r="AA37" s="38">
        <v>2</v>
      </c>
      <c r="AB37" s="41"/>
      <c r="AC37" s="41"/>
      <c r="AD37" s="41"/>
      <c r="AE37" s="41"/>
    </row>
    <row r="38" spans="1:31" ht="57.6" x14ac:dyDescent="0.3">
      <c r="A38" s="41" t="s">
        <v>836</v>
      </c>
      <c r="B38" s="41" t="s">
        <v>1136</v>
      </c>
      <c r="C38" s="41" t="s">
        <v>1137</v>
      </c>
      <c r="D38" s="41" t="s">
        <v>1327</v>
      </c>
      <c r="E38" s="6" t="s">
        <v>845</v>
      </c>
      <c r="F38" s="6" t="s">
        <v>713</v>
      </c>
      <c r="G38" s="25">
        <v>45000</v>
      </c>
      <c r="H38" s="38">
        <v>25</v>
      </c>
      <c r="I38" s="38">
        <v>3</v>
      </c>
      <c r="J38" s="67">
        <f t="shared" si="0"/>
        <v>3375000</v>
      </c>
      <c r="K38" s="41"/>
      <c r="L38" s="41"/>
      <c r="M38" s="41"/>
      <c r="N38" s="41"/>
      <c r="O38" s="41"/>
      <c r="P38" s="41"/>
      <c r="Q38" s="41"/>
      <c r="R38" s="41"/>
      <c r="S38" s="41"/>
      <c r="T38" s="41"/>
      <c r="U38" s="41"/>
      <c r="V38" s="41"/>
      <c r="W38" s="41"/>
      <c r="X38" s="41"/>
      <c r="Y38" s="41"/>
      <c r="Z38" s="38">
        <v>25</v>
      </c>
      <c r="AA38" s="38">
        <v>3</v>
      </c>
      <c r="AB38" s="41"/>
      <c r="AC38" s="41"/>
      <c r="AD38" s="41"/>
      <c r="AE38" s="41"/>
    </row>
    <row r="39" spans="1:31" ht="57.6" x14ac:dyDescent="0.3">
      <c r="A39" s="41" t="s">
        <v>836</v>
      </c>
      <c r="B39" s="41" t="s">
        <v>1136</v>
      </c>
      <c r="C39" s="41" t="s">
        <v>1137</v>
      </c>
      <c r="D39" s="41" t="s">
        <v>1327</v>
      </c>
      <c r="E39" s="6" t="s">
        <v>846</v>
      </c>
      <c r="F39" s="6" t="s">
        <v>709</v>
      </c>
      <c r="G39" s="25">
        <v>35000</v>
      </c>
      <c r="H39" s="38">
        <v>26</v>
      </c>
      <c r="I39" s="38">
        <v>1</v>
      </c>
      <c r="J39" s="67">
        <f t="shared" si="0"/>
        <v>910000</v>
      </c>
      <c r="K39" s="41"/>
      <c r="L39" s="41"/>
      <c r="M39" s="41"/>
      <c r="N39" s="41"/>
      <c r="O39" s="41"/>
      <c r="P39" s="41"/>
      <c r="Q39" s="41"/>
      <c r="R39" s="41"/>
      <c r="S39" s="41"/>
      <c r="T39" s="41"/>
      <c r="U39" s="41"/>
      <c r="V39" s="41"/>
      <c r="W39" s="41"/>
      <c r="X39" s="41"/>
      <c r="Y39" s="41"/>
      <c r="Z39" s="38">
        <v>26</v>
      </c>
      <c r="AA39" s="38">
        <v>1</v>
      </c>
      <c r="AB39" s="41"/>
      <c r="AC39" s="41"/>
      <c r="AD39" s="41"/>
      <c r="AE39" s="41"/>
    </row>
    <row r="40" spans="1:31" ht="57.6" x14ac:dyDescent="0.3">
      <c r="A40" s="41" t="s">
        <v>836</v>
      </c>
      <c r="B40" s="41" t="s">
        <v>1136</v>
      </c>
      <c r="C40" s="41" t="s">
        <v>1137</v>
      </c>
      <c r="D40" s="41" t="s">
        <v>1327</v>
      </c>
      <c r="E40" s="6" t="s">
        <v>151</v>
      </c>
      <c r="F40" s="6" t="s">
        <v>713</v>
      </c>
      <c r="G40" s="25">
        <v>45000</v>
      </c>
      <c r="H40" s="38">
        <v>26</v>
      </c>
      <c r="I40" s="38">
        <v>6</v>
      </c>
      <c r="J40" s="67">
        <f t="shared" si="0"/>
        <v>7020000</v>
      </c>
      <c r="K40" s="41"/>
      <c r="L40" s="41"/>
      <c r="M40" s="41"/>
      <c r="N40" s="41"/>
      <c r="O40" s="41"/>
      <c r="P40" s="41"/>
      <c r="Q40" s="41"/>
      <c r="R40" s="41"/>
      <c r="S40" s="41"/>
      <c r="T40" s="41"/>
      <c r="U40" s="41"/>
      <c r="V40" s="41"/>
      <c r="W40" s="41"/>
      <c r="X40" s="41"/>
      <c r="Y40" s="41"/>
      <c r="Z40" s="38">
        <v>26</v>
      </c>
      <c r="AA40" s="38">
        <v>6</v>
      </c>
      <c r="AB40" s="41"/>
      <c r="AC40" s="41"/>
      <c r="AD40" s="41"/>
      <c r="AE40" s="41"/>
    </row>
    <row r="41" spans="1:31" ht="57.6" x14ac:dyDescent="0.3">
      <c r="A41" s="41" t="s">
        <v>836</v>
      </c>
      <c r="B41" s="41" t="s">
        <v>1136</v>
      </c>
      <c r="C41" s="41" t="s">
        <v>1137</v>
      </c>
      <c r="D41" s="41" t="s">
        <v>1327</v>
      </c>
      <c r="E41" s="6" t="s">
        <v>151</v>
      </c>
      <c r="F41" s="6" t="s">
        <v>1311</v>
      </c>
      <c r="G41" s="25">
        <v>211.43</v>
      </c>
      <c r="H41" s="38">
        <v>22500</v>
      </c>
      <c r="I41" s="38">
        <v>1</v>
      </c>
      <c r="J41" s="67">
        <f t="shared" si="0"/>
        <v>4757175</v>
      </c>
      <c r="K41" s="41"/>
      <c r="L41" s="41"/>
      <c r="M41" s="41"/>
      <c r="N41" s="41"/>
      <c r="O41" s="41"/>
      <c r="P41" s="41"/>
      <c r="Q41" s="41"/>
      <c r="R41" s="41"/>
      <c r="S41" s="41"/>
      <c r="T41" s="41"/>
      <c r="U41" s="41"/>
      <c r="V41" s="41"/>
      <c r="W41" s="41"/>
      <c r="X41" s="41"/>
      <c r="Y41" s="41"/>
      <c r="Z41" s="38">
        <v>22500</v>
      </c>
      <c r="AA41" s="38">
        <v>1</v>
      </c>
      <c r="AB41" s="41"/>
      <c r="AC41" s="41"/>
      <c r="AD41" s="41"/>
      <c r="AE41" s="41"/>
    </row>
    <row r="42" spans="1:31" ht="57.6" x14ac:dyDescent="0.3">
      <c r="A42" s="41" t="s">
        <v>836</v>
      </c>
      <c r="B42" s="41" t="s">
        <v>1136</v>
      </c>
      <c r="C42" s="41" t="s">
        <v>1137</v>
      </c>
      <c r="D42" s="41" t="s">
        <v>1327</v>
      </c>
      <c r="E42" s="6" t="s">
        <v>151</v>
      </c>
      <c r="F42" s="6" t="s">
        <v>712</v>
      </c>
      <c r="G42" s="25">
        <f>1999.2/7</f>
        <v>285.60000000000002</v>
      </c>
      <c r="H42" s="38">
        <f>9*100</f>
        <v>900</v>
      </c>
      <c r="I42" s="38">
        <v>5</v>
      </c>
      <c r="J42" s="67">
        <f t="shared" si="0"/>
        <v>1285200.0000000002</v>
      </c>
      <c r="K42" s="41"/>
      <c r="L42" s="41"/>
      <c r="M42" s="41"/>
      <c r="N42" s="41"/>
      <c r="O42" s="41"/>
      <c r="P42" s="41"/>
      <c r="Q42" s="41"/>
      <c r="R42" s="41"/>
      <c r="S42" s="41"/>
      <c r="T42" s="41"/>
      <c r="U42" s="41"/>
      <c r="V42" s="41"/>
      <c r="W42" s="41"/>
      <c r="X42" s="41"/>
      <c r="Y42" s="41"/>
      <c r="Z42" s="38">
        <f>9*100</f>
        <v>900</v>
      </c>
      <c r="AA42" s="38">
        <v>5</v>
      </c>
      <c r="AB42" s="41"/>
      <c r="AC42" s="41"/>
      <c r="AD42" s="41"/>
      <c r="AE42" s="41"/>
    </row>
    <row r="43" spans="1:31" ht="57.6" x14ac:dyDescent="0.3">
      <c r="A43" s="41" t="s">
        <v>836</v>
      </c>
      <c r="B43" s="41" t="s">
        <v>1136</v>
      </c>
      <c r="C43" s="41" t="s">
        <v>1137</v>
      </c>
      <c r="D43" s="41" t="s">
        <v>1327</v>
      </c>
      <c r="E43" s="6" t="s">
        <v>151</v>
      </c>
      <c r="F43" s="6" t="s">
        <v>714</v>
      </c>
      <c r="G43" s="25">
        <v>10000</v>
      </c>
      <c r="H43" s="38">
        <v>20</v>
      </c>
      <c r="I43" s="38">
        <v>1</v>
      </c>
      <c r="J43" s="67">
        <f t="shared" si="0"/>
        <v>200000</v>
      </c>
      <c r="K43" s="41"/>
      <c r="L43" s="41"/>
      <c r="M43" s="41"/>
      <c r="N43" s="41"/>
      <c r="O43" s="41"/>
      <c r="P43" s="41"/>
      <c r="Q43" s="41"/>
      <c r="R43" s="41"/>
      <c r="S43" s="41"/>
      <c r="T43" s="41"/>
      <c r="U43" s="41"/>
      <c r="V43" s="41"/>
      <c r="W43" s="41"/>
      <c r="X43" s="41"/>
      <c r="Y43" s="41"/>
      <c r="Z43" s="38">
        <v>20</v>
      </c>
      <c r="AA43" s="38">
        <v>1</v>
      </c>
      <c r="AB43" s="41"/>
      <c r="AC43" s="41"/>
      <c r="AD43" s="41"/>
      <c r="AE43" s="41"/>
    </row>
    <row r="44" spans="1:31" ht="57.6" x14ac:dyDescent="0.3">
      <c r="A44" s="41" t="s">
        <v>836</v>
      </c>
      <c r="B44" s="41" t="s">
        <v>1136</v>
      </c>
      <c r="C44" s="41" t="s">
        <v>1137</v>
      </c>
      <c r="D44" s="41" t="s">
        <v>1327</v>
      </c>
      <c r="E44" s="6" t="s">
        <v>151</v>
      </c>
      <c r="F44" s="6" t="s">
        <v>715</v>
      </c>
      <c r="G44" s="25">
        <v>302000</v>
      </c>
      <c r="H44" s="38">
        <v>26</v>
      </c>
      <c r="I44" s="38">
        <v>1</v>
      </c>
      <c r="J44" s="67">
        <f t="shared" si="0"/>
        <v>7852000</v>
      </c>
      <c r="K44" s="41"/>
      <c r="L44" s="41"/>
      <c r="M44" s="41"/>
      <c r="N44" s="41"/>
      <c r="O44" s="41"/>
      <c r="P44" s="41"/>
      <c r="Q44" s="41"/>
      <c r="R44" s="41"/>
      <c r="S44" s="41"/>
      <c r="T44" s="41"/>
      <c r="U44" s="41"/>
      <c r="V44" s="41"/>
      <c r="W44" s="41"/>
      <c r="X44" s="41"/>
      <c r="Y44" s="41"/>
      <c r="Z44" s="38">
        <v>26</v>
      </c>
      <c r="AA44" s="38">
        <v>1</v>
      </c>
      <c r="AB44" s="41"/>
      <c r="AC44" s="41"/>
      <c r="AD44" s="41"/>
      <c r="AE44" s="41"/>
    </row>
    <row r="45" spans="1:31" ht="57.6" x14ac:dyDescent="0.3">
      <c r="A45" s="41" t="s">
        <v>836</v>
      </c>
      <c r="B45" s="41" t="s">
        <v>1136</v>
      </c>
      <c r="C45" s="41" t="s">
        <v>1137</v>
      </c>
      <c r="D45" s="41" t="s">
        <v>1327</v>
      </c>
      <c r="E45" s="6" t="s">
        <v>152</v>
      </c>
      <c r="F45" s="6" t="s">
        <v>709</v>
      </c>
      <c r="G45" s="25">
        <v>35000</v>
      </c>
      <c r="H45" s="38">
        <v>26</v>
      </c>
      <c r="I45" s="38">
        <v>5</v>
      </c>
      <c r="J45" s="67">
        <f t="shared" si="0"/>
        <v>4550000</v>
      </c>
      <c r="K45" s="41"/>
      <c r="L45" s="41"/>
      <c r="M45" s="41"/>
      <c r="N45" s="41"/>
      <c r="O45" s="41"/>
      <c r="P45" s="41"/>
      <c r="Q45" s="41"/>
      <c r="R45" s="41"/>
      <c r="S45" s="41"/>
      <c r="T45" s="41"/>
      <c r="U45" s="41"/>
      <c r="V45" s="41"/>
      <c r="W45" s="41"/>
      <c r="X45" s="41"/>
      <c r="Y45" s="41"/>
      <c r="Z45" s="38">
        <v>26</v>
      </c>
      <c r="AA45" s="38">
        <v>5</v>
      </c>
      <c r="AB45" s="41"/>
      <c r="AC45" s="41"/>
      <c r="AD45" s="41"/>
      <c r="AE45" s="41"/>
    </row>
    <row r="46" spans="1:31" ht="57.6" x14ac:dyDescent="0.3">
      <c r="A46" s="41" t="s">
        <v>836</v>
      </c>
      <c r="B46" s="41" t="s">
        <v>1136</v>
      </c>
      <c r="C46" s="41" t="s">
        <v>1137</v>
      </c>
      <c r="D46" s="41" t="s">
        <v>1327</v>
      </c>
      <c r="E46" s="6" t="s">
        <v>152</v>
      </c>
      <c r="F46" s="6" t="s">
        <v>712</v>
      </c>
      <c r="G46" s="25">
        <f>1999.2/7</f>
        <v>285.60000000000002</v>
      </c>
      <c r="H46" s="38">
        <f>2*9*25</f>
        <v>450</v>
      </c>
      <c r="I46" s="38">
        <v>5</v>
      </c>
      <c r="J46" s="67">
        <f t="shared" si="0"/>
        <v>642600.00000000012</v>
      </c>
      <c r="K46" s="41"/>
      <c r="L46" s="41"/>
      <c r="M46" s="41"/>
      <c r="N46" s="41"/>
      <c r="O46" s="41"/>
      <c r="P46" s="41"/>
      <c r="Q46" s="41"/>
      <c r="R46" s="41"/>
      <c r="S46" s="41"/>
      <c r="T46" s="41"/>
      <c r="U46" s="41"/>
      <c r="V46" s="41"/>
      <c r="W46" s="41"/>
      <c r="X46" s="41"/>
      <c r="Y46" s="41"/>
      <c r="Z46" s="38">
        <f>2*9*25</f>
        <v>450</v>
      </c>
      <c r="AA46" s="38">
        <v>5</v>
      </c>
      <c r="AB46" s="41"/>
      <c r="AC46" s="41"/>
      <c r="AD46" s="41"/>
      <c r="AE46" s="41"/>
    </row>
    <row r="47" spans="1:31" ht="57.6" x14ac:dyDescent="0.3">
      <c r="A47" s="41" t="s">
        <v>836</v>
      </c>
      <c r="B47" s="41" t="s">
        <v>1136</v>
      </c>
      <c r="C47" s="41" t="s">
        <v>1137</v>
      </c>
      <c r="D47" s="41" t="s">
        <v>1327</v>
      </c>
      <c r="E47" s="6" t="s">
        <v>152</v>
      </c>
      <c r="F47" s="6" t="s">
        <v>1312</v>
      </c>
      <c r="G47" s="25">
        <f>1999.2/7</f>
        <v>285.60000000000002</v>
      </c>
      <c r="H47" s="38">
        <f>150*2*9</f>
        <v>2700</v>
      </c>
      <c r="I47" s="38">
        <v>1</v>
      </c>
      <c r="J47" s="67">
        <f t="shared" si="0"/>
        <v>771120.00000000012</v>
      </c>
      <c r="K47" s="41"/>
      <c r="L47" s="41"/>
      <c r="M47" s="41"/>
      <c r="N47" s="41"/>
      <c r="O47" s="41"/>
      <c r="P47" s="41"/>
      <c r="Q47" s="41"/>
      <c r="R47" s="41"/>
      <c r="S47" s="41"/>
      <c r="T47" s="41"/>
      <c r="U47" s="41"/>
      <c r="V47" s="41"/>
      <c r="W47" s="41"/>
      <c r="X47" s="41"/>
      <c r="Y47" s="41"/>
      <c r="Z47" s="38">
        <f>150*2*9</f>
        <v>2700</v>
      </c>
      <c r="AA47" s="38">
        <v>1</v>
      </c>
      <c r="AB47" s="41"/>
      <c r="AC47" s="41"/>
      <c r="AD47" s="41"/>
      <c r="AE47" s="41"/>
    </row>
    <row r="48" spans="1:31" ht="57.6" x14ac:dyDescent="0.3">
      <c r="A48" s="41" t="s">
        <v>836</v>
      </c>
      <c r="B48" s="41" t="s">
        <v>1136</v>
      </c>
      <c r="C48" s="41" t="s">
        <v>1137</v>
      </c>
      <c r="D48" s="41" t="s">
        <v>1327</v>
      </c>
      <c r="E48" s="6" t="s">
        <v>152</v>
      </c>
      <c r="F48" s="6" t="s">
        <v>716</v>
      </c>
      <c r="G48" s="25">
        <v>39000</v>
      </c>
      <c r="H48" s="38">
        <v>26</v>
      </c>
      <c r="I48" s="38">
        <v>6</v>
      </c>
      <c r="J48" s="67">
        <f t="shared" si="0"/>
        <v>6084000</v>
      </c>
      <c r="K48" s="41"/>
      <c r="L48" s="41"/>
      <c r="M48" s="41"/>
      <c r="N48" s="41"/>
      <c r="O48" s="41"/>
      <c r="P48" s="41"/>
      <c r="Q48" s="41"/>
      <c r="R48" s="41"/>
      <c r="S48" s="41"/>
      <c r="T48" s="41"/>
      <c r="U48" s="41"/>
      <c r="V48" s="41"/>
      <c r="W48" s="41"/>
      <c r="X48" s="41"/>
      <c r="Y48" s="41"/>
      <c r="Z48" s="38">
        <v>26</v>
      </c>
      <c r="AA48" s="38">
        <v>6</v>
      </c>
      <c r="AB48" s="41"/>
      <c r="AC48" s="41"/>
      <c r="AD48" s="41"/>
      <c r="AE48" s="41"/>
    </row>
    <row r="49" spans="1:31" ht="57.6" x14ac:dyDescent="0.3">
      <c r="A49" s="41" t="s">
        <v>836</v>
      </c>
      <c r="B49" s="41" t="s">
        <v>1136</v>
      </c>
      <c r="C49" s="41" t="s">
        <v>1137</v>
      </c>
      <c r="D49" s="41" t="s">
        <v>1327</v>
      </c>
      <c r="E49" s="6" t="s">
        <v>847</v>
      </c>
      <c r="F49" s="6" t="s">
        <v>841</v>
      </c>
      <c r="G49" s="25">
        <v>0</v>
      </c>
      <c r="H49" s="38">
        <v>25</v>
      </c>
      <c r="I49" s="38">
        <v>5</v>
      </c>
      <c r="J49" s="67">
        <f t="shared" si="0"/>
        <v>0</v>
      </c>
      <c r="K49" s="41"/>
      <c r="L49" s="41"/>
      <c r="M49" s="41"/>
      <c r="N49" s="41"/>
      <c r="O49" s="41"/>
      <c r="P49" s="41"/>
      <c r="Q49" s="41"/>
      <c r="R49" s="41"/>
      <c r="S49" s="41"/>
      <c r="T49" s="41"/>
      <c r="U49" s="41"/>
      <c r="V49" s="41"/>
      <c r="W49" s="41"/>
      <c r="X49" s="41"/>
      <c r="Y49" s="41"/>
      <c r="Z49" s="38">
        <v>25</v>
      </c>
      <c r="AA49" s="38">
        <v>5</v>
      </c>
      <c r="AB49" s="41"/>
      <c r="AC49" s="41"/>
      <c r="AD49" s="41"/>
      <c r="AE49" s="41"/>
    </row>
    <row r="50" spans="1:31" ht="57.6" x14ac:dyDescent="0.3">
      <c r="A50" s="41" t="s">
        <v>836</v>
      </c>
      <c r="B50" s="41" t="s">
        <v>1136</v>
      </c>
      <c r="C50" s="41" t="s">
        <v>1137</v>
      </c>
      <c r="D50" s="41" t="s">
        <v>1327</v>
      </c>
      <c r="E50" s="6" t="s">
        <v>1298</v>
      </c>
      <c r="F50" s="6" t="s">
        <v>709</v>
      </c>
      <c r="G50" s="25">
        <v>35000</v>
      </c>
      <c r="H50" s="38">
        <v>75</v>
      </c>
      <c r="I50" s="38">
        <v>1</v>
      </c>
      <c r="J50" s="67">
        <f t="shared" si="0"/>
        <v>2625000</v>
      </c>
      <c r="K50" s="41"/>
      <c r="L50" s="41"/>
      <c r="M50" s="41"/>
      <c r="N50" s="41"/>
      <c r="O50" s="41"/>
      <c r="P50" s="41"/>
      <c r="Q50" s="41"/>
      <c r="R50" s="41"/>
      <c r="S50" s="41"/>
      <c r="T50" s="41"/>
      <c r="U50" s="41"/>
      <c r="V50" s="41"/>
      <c r="W50" s="41"/>
      <c r="X50" s="41"/>
      <c r="Y50" s="41"/>
      <c r="Z50" s="38">
        <v>75</v>
      </c>
      <c r="AA50" s="38">
        <v>1</v>
      </c>
      <c r="AB50" s="41"/>
      <c r="AC50" s="41"/>
      <c r="AD50" s="41"/>
      <c r="AE50" s="41"/>
    </row>
    <row r="51" spans="1:31" ht="57.6" x14ac:dyDescent="0.3">
      <c r="A51" s="41" t="s">
        <v>836</v>
      </c>
      <c r="B51" s="41" t="s">
        <v>1136</v>
      </c>
      <c r="C51" s="41" t="s">
        <v>1137</v>
      </c>
      <c r="D51" s="41" t="s">
        <v>1327</v>
      </c>
      <c r="E51" s="6" t="s">
        <v>1298</v>
      </c>
      <c r="F51" s="6" t="s">
        <v>716</v>
      </c>
      <c r="G51" s="25">
        <v>39000</v>
      </c>
      <c r="H51" s="38">
        <v>58</v>
      </c>
      <c r="I51" s="38">
        <v>2</v>
      </c>
      <c r="J51" s="67">
        <f t="shared" si="0"/>
        <v>4524000</v>
      </c>
      <c r="K51" s="41"/>
      <c r="L51" s="41"/>
      <c r="M51" s="41"/>
      <c r="N51" s="41"/>
      <c r="O51" s="41"/>
      <c r="P51" s="41"/>
      <c r="Q51" s="41"/>
      <c r="R51" s="41"/>
      <c r="S51" s="41"/>
      <c r="T51" s="41"/>
      <c r="U51" s="41"/>
      <c r="V51" s="41"/>
      <c r="W51" s="41"/>
      <c r="X51" s="41"/>
      <c r="Y51" s="41"/>
      <c r="Z51" s="38">
        <v>58</v>
      </c>
      <c r="AA51" s="38">
        <v>2</v>
      </c>
      <c r="AB51" s="41"/>
      <c r="AC51" s="41"/>
      <c r="AD51" s="41"/>
      <c r="AE51" s="41"/>
    </row>
    <row r="52" spans="1:31" ht="57.6" x14ac:dyDescent="0.3">
      <c r="A52" s="41" t="s">
        <v>836</v>
      </c>
      <c r="B52" s="41" t="s">
        <v>1136</v>
      </c>
      <c r="C52" s="41" t="s">
        <v>1137</v>
      </c>
      <c r="D52" s="41" t="s">
        <v>1327</v>
      </c>
      <c r="E52" s="6" t="s">
        <v>154</v>
      </c>
      <c r="F52" s="6" t="s">
        <v>1297</v>
      </c>
      <c r="G52" s="25">
        <v>8000</v>
      </c>
      <c r="H52" s="38">
        <v>10</v>
      </c>
      <c r="I52" s="38">
        <v>1</v>
      </c>
      <c r="J52" s="67">
        <f t="shared" si="0"/>
        <v>80000</v>
      </c>
      <c r="K52" s="41"/>
      <c r="L52" s="41"/>
      <c r="M52" s="41"/>
      <c r="N52" s="41"/>
      <c r="O52" s="41"/>
      <c r="P52" s="41"/>
      <c r="Q52" s="41"/>
      <c r="R52" s="41"/>
      <c r="S52" s="41"/>
      <c r="T52" s="41"/>
      <c r="U52" s="41"/>
      <c r="V52" s="41"/>
      <c r="W52" s="41"/>
      <c r="X52" s="41"/>
      <c r="Y52" s="41"/>
      <c r="Z52" s="38">
        <v>10</v>
      </c>
      <c r="AA52" s="38">
        <v>1</v>
      </c>
      <c r="AB52" s="41"/>
      <c r="AC52" s="41"/>
      <c r="AD52" s="41"/>
      <c r="AE52" s="41"/>
    </row>
    <row r="53" spans="1:31" ht="57.6" x14ac:dyDescent="0.3">
      <c r="A53" s="41" t="s">
        <v>836</v>
      </c>
      <c r="B53" s="41" t="s">
        <v>1136</v>
      </c>
      <c r="C53" s="41" t="s">
        <v>1137</v>
      </c>
      <c r="D53" s="41" t="s">
        <v>1327</v>
      </c>
      <c r="E53" s="6" t="s">
        <v>154</v>
      </c>
      <c r="F53" s="6" t="s">
        <v>717</v>
      </c>
      <c r="G53" s="25">
        <v>104850</v>
      </c>
      <c r="H53" s="38">
        <v>1</v>
      </c>
      <c r="I53" s="38">
        <v>1</v>
      </c>
      <c r="J53" s="67">
        <f t="shared" si="0"/>
        <v>104850</v>
      </c>
      <c r="K53" s="41"/>
      <c r="L53" s="41"/>
      <c r="M53" s="41"/>
      <c r="N53" s="41"/>
      <c r="O53" s="41"/>
      <c r="P53" s="41"/>
      <c r="Q53" s="41"/>
      <c r="R53" s="41"/>
      <c r="S53" s="41"/>
      <c r="T53" s="41"/>
      <c r="U53" s="41"/>
      <c r="V53" s="41"/>
      <c r="W53" s="41"/>
      <c r="X53" s="41"/>
      <c r="Y53" s="41"/>
      <c r="Z53" s="38">
        <v>1</v>
      </c>
      <c r="AA53" s="38">
        <v>1</v>
      </c>
      <c r="AB53" s="41"/>
      <c r="AC53" s="41"/>
      <c r="AD53" s="41"/>
      <c r="AE53" s="41"/>
    </row>
    <row r="54" spans="1:31" ht="57.6" x14ac:dyDescent="0.3">
      <c r="A54" s="41" t="s">
        <v>836</v>
      </c>
      <c r="B54" s="41" t="s">
        <v>1136</v>
      </c>
      <c r="C54" s="41" t="s">
        <v>1137</v>
      </c>
      <c r="D54" s="41" t="s">
        <v>1327</v>
      </c>
      <c r="E54" s="6" t="s">
        <v>154</v>
      </c>
      <c r="F54" s="6" t="s">
        <v>1299</v>
      </c>
      <c r="G54" s="25">
        <f>1999.2/7</f>
        <v>285.60000000000002</v>
      </c>
      <c r="H54" s="38">
        <v>22500</v>
      </c>
      <c r="I54" s="38">
        <v>1</v>
      </c>
      <c r="J54" s="67">
        <f t="shared" si="0"/>
        <v>6426000.0000000009</v>
      </c>
      <c r="K54" s="41"/>
      <c r="L54" s="41"/>
      <c r="M54" s="41"/>
      <c r="N54" s="41"/>
      <c r="O54" s="41"/>
      <c r="P54" s="41"/>
      <c r="Q54" s="41"/>
      <c r="R54" s="41"/>
      <c r="S54" s="41"/>
      <c r="T54" s="41"/>
      <c r="U54" s="41"/>
      <c r="V54" s="41"/>
      <c r="W54" s="41"/>
      <c r="X54" s="41"/>
      <c r="Y54" s="41"/>
      <c r="Z54" s="38">
        <v>22500</v>
      </c>
      <c r="AA54" s="38">
        <v>1</v>
      </c>
      <c r="AB54" s="41"/>
      <c r="AC54" s="41"/>
      <c r="AD54" s="41"/>
      <c r="AE54" s="41"/>
    </row>
    <row r="55" spans="1:31" ht="57.6" x14ac:dyDescent="0.3">
      <c r="A55" s="41" t="s">
        <v>836</v>
      </c>
      <c r="B55" s="41" t="s">
        <v>1136</v>
      </c>
      <c r="C55" s="41" t="s">
        <v>1137</v>
      </c>
      <c r="D55" s="41" t="s">
        <v>1327</v>
      </c>
      <c r="E55" s="6" t="s">
        <v>154</v>
      </c>
      <c r="F55" s="6" t="s">
        <v>712</v>
      </c>
      <c r="G55" s="25">
        <f>1999.2/7</f>
        <v>285.60000000000002</v>
      </c>
      <c r="H55" s="38">
        <v>60</v>
      </c>
      <c r="I55" s="38">
        <v>1</v>
      </c>
      <c r="J55" s="67">
        <f t="shared" si="0"/>
        <v>17136</v>
      </c>
      <c r="K55" s="41"/>
      <c r="L55" s="41"/>
      <c r="M55" s="41"/>
      <c r="N55" s="41"/>
      <c r="O55" s="41"/>
      <c r="P55" s="41"/>
      <c r="Q55" s="41"/>
      <c r="R55" s="41"/>
      <c r="S55" s="41"/>
      <c r="T55" s="41"/>
      <c r="U55" s="41"/>
      <c r="V55" s="41"/>
      <c r="W55" s="41"/>
      <c r="X55" s="41"/>
      <c r="Y55" s="41"/>
      <c r="Z55" s="38">
        <v>60</v>
      </c>
      <c r="AA55" s="38">
        <v>1</v>
      </c>
      <c r="AB55" s="41"/>
      <c r="AC55" s="41"/>
      <c r="AD55" s="41"/>
      <c r="AE55" s="41"/>
    </row>
    <row r="56" spans="1:31" ht="57.6" x14ac:dyDescent="0.3">
      <c r="A56" s="41" t="s">
        <v>836</v>
      </c>
      <c r="B56" s="41" t="s">
        <v>1136</v>
      </c>
      <c r="C56" s="41" t="s">
        <v>1137</v>
      </c>
      <c r="D56" s="41" t="s">
        <v>1327</v>
      </c>
      <c r="E56" s="6" t="s">
        <v>1341</v>
      </c>
      <c r="F56" s="6" t="s">
        <v>841</v>
      </c>
      <c r="G56" s="25">
        <v>0</v>
      </c>
      <c r="H56" s="38">
        <v>0</v>
      </c>
      <c r="I56" s="38">
        <v>0</v>
      </c>
      <c r="J56" s="67">
        <f t="shared" si="0"/>
        <v>0</v>
      </c>
      <c r="K56" s="41"/>
      <c r="L56" s="41"/>
      <c r="M56" s="41"/>
      <c r="N56" s="41"/>
      <c r="O56" s="41"/>
      <c r="P56" s="41"/>
      <c r="Q56" s="41"/>
      <c r="R56" s="41"/>
      <c r="S56" s="41"/>
      <c r="T56" s="41"/>
      <c r="U56" s="41"/>
      <c r="V56" s="41"/>
      <c r="W56" s="41"/>
      <c r="X56" s="41"/>
      <c r="Y56" s="41"/>
      <c r="Z56" s="38">
        <v>0</v>
      </c>
      <c r="AA56" s="38">
        <v>0</v>
      </c>
      <c r="AB56" s="41"/>
      <c r="AC56" s="41"/>
      <c r="AD56" s="41"/>
      <c r="AE56" s="41"/>
    </row>
    <row r="57" spans="1:31" ht="57.6" x14ac:dyDescent="0.3">
      <c r="A57" s="41" t="s">
        <v>836</v>
      </c>
      <c r="B57" s="41" t="s">
        <v>1136</v>
      </c>
      <c r="C57" s="41" t="s">
        <v>1137</v>
      </c>
      <c r="D57" s="41" t="s">
        <v>1141</v>
      </c>
      <c r="E57" s="41" t="s">
        <v>1340</v>
      </c>
      <c r="F57" s="41" t="s">
        <v>709</v>
      </c>
      <c r="G57" s="41">
        <v>35000</v>
      </c>
      <c r="H57" s="41">
        <v>30</v>
      </c>
      <c r="I57" s="41">
        <v>15</v>
      </c>
      <c r="J57" s="41">
        <v>0</v>
      </c>
      <c r="K57" s="41"/>
      <c r="L57" s="41"/>
      <c r="M57" s="41">
        <v>0</v>
      </c>
      <c r="N57" s="41"/>
      <c r="O57" s="41"/>
      <c r="P57" s="41">
        <v>0</v>
      </c>
      <c r="Q57" s="41"/>
      <c r="R57" s="41"/>
      <c r="S57" s="41">
        <v>0</v>
      </c>
      <c r="T57" s="41"/>
      <c r="U57" s="41"/>
      <c r="V57" s="41">
        <v>0</v>
      </c>
      <c r="Z57" s="41">
        <v>30</v>
      </c>
      <c r="AA57" s="41">
        <v>15</v>
      </c>
    </row>
    <row r="58" spans="1:31" ht="57.6" x14ac:dyDescent="0.3">
      <c r="A58" s="41" t="s">
        <v>836</v>
      </c>
      <c r="B58" s="41" t="s">
        <v>1136</v>
      </c>
      <c r="C58" s="41" t="s">
        <v>1137</v>
      </c>
      <c r="D58" s="41" t="s">
        <v>1141</v>
      </c>
      <c r="E58" s="41" t="s">
        <v>1143</v>
      </c>
      <c r="F58" s="41" t="s">
        <v>841</v>
      </c>
      <c r="G58" s="41">
        <v>0</v>
      </c>
      <c r="H58" s="41">
        <v>0</v>
      </c>
      <c r="I58" s="41">
        <v>0</v>
      </c>
      <c r="J58" s="41">
        <v>0</v>
      </c>
      <c r="K58" s="41"/>
      <c r="L58" s="41"/>
      <c r="M58" s="41">
        <v>0</v>
      </c>
      <c r="N58" s="41"/>
      <c r="O58" s="41"/>
      <c r="P58" s="41">
        <v>0</v>
      </c>
      <c r="Q58" s="41"/>
      <c r="R58" s="41"/>
      <c r="S58" s="41">
        <v>0</v>
      </c>
      <c r="T58" s="41"/>
      <c r="U58" s="41"/>
      <c r="V58" s="41">
        <v>0</v>
      </c>
      <c r="Z58" s="41">
        <v>0</v>
      </c>
      <c r="AA58" s="41">
        <v>0</v>
      </c>
    </row>
    <row r="59" spans="1:31" ht="57.6" x14ac:dyDescent="0.3">
      <c r="A59" s="41" t="s">
        <v>836</v>
      </c>
      <c r="B59" s="41" t="s">
        <v>1136</v>
      </c>
      <c r="C59" s="41" t="s">
        <v>1137</v>
      </c>
      <c r="D59" s="41" t="s">
        <v>1141</v>
      </c>
      <c r="E59" s="41" t="s">
        <v>1144</v>
      </c>
      <c r="F59" s="41" t="s">
        <v>709</v>
      </c>
      <c r="G59" s="41">
        <v>35000</v>
      </c>
      <c r="H59" s="41">
        <v>20</v>
      </c>
      <c r="I59" s="41">
        <v>1</v>
      </c>
      <c r="J59" s="41">
        <v>0</v>
      </c>
      <c r="K59" s="41"/>
      <c r="L59" s="41"/>
      <c r="M59" s="41">
        <v>0</v>
      </c>
      <c r="N59" s="41"/>
      <c r="O59" s="41"/>
      <c r="P59" s="41">
        <v>0</v>
      </c>
      <c r="Q59" s="41"/>
      <c r="R59" s="41"/>
      <c r="S59" s="41">
        <v>0</v>
      </c>
      <c r="T59" s="41"/>
      <c r="U59" s="41"/>
      <c r="V59" s="41">
        <v>0</v>
      </c>
      <c r="Z59" s="41">
        <v>20</v>
      </c>
      <c r="AA59" s="41">
        <v>1</v>
      </c>
    </row>
    <row r="60" spans="1:31" ht="57.6" x14ac:dyDescent="0.3">
      <c r="A60" s="41" t="s">
        <v>836</v>
      </c>
      <c r="B60" s="41" t="s">
        <v>1136</v>
      </c>
      <c r="C60" s="41" t="s">
        <v>1137</v>
      </c>
      <c r="D60" s="41" t="s">
        <v>1141</v>
      </c>
      <c r="E60" s="41" t="s">
        <v>1145</v>
      </c>
      <c r="F60" s="41" t="s">
        <v>841</v>
      </c>
      <c r="G60" s="41">
        <v>0</v>
      </c>
      <c r="H60" s="41">
        <v>20</v>
      </c>
      <c r="I60" s="41">
        <v>2</v>
      </c>
      <c r="J60" s="41">
        <v>0</v>
      </c>
      <c r="K60" s="41"/>
      <c r="L60" s="41"/>
      <c r="M60" s="41">
        <v>0</v>
      </c>
      <c r="N60" s="41"/>
      <c r="O60" s="41"/>
      <c r="P60" s="41">
        <v>0</v>
      </c>
      <c r="Q60" s="41"/>
      <c r="R60" s="41"/>
      <c r="S60" s="41">
        <v>0</v>
      </c>
      <c r="T60" s="41"/>
      <c r="U60" s="41"/>
      <c r="V60" s="41">
        <v>0</v>
      </c>
      <c r="Z60" s="41">
        <v>20</v>
      </c>
      <c r="AA60" s="41">
        <v>2</v>
      </c>
    </row>
    <row r="61" spans="1:31" ht="57.6" x14ac:dyDescent="0.3">
      <c r="A61" s="41" t="s">
        <v>836</v>
      </c>
      <c r="B61" s="41" t="s">
        <v>1136</v>
      </c>
      <c r="C61" s="41" t="s">
        <v>1137</v>
      </c>
      <c r="D61" s="41" t="s">
        <v>1141</v>
      </c>
      <c r="E61" s="41" t="s">
        <v>1146</v>
      </c>
      <c r="F61" s="41" t="s">
        <v>841</v>
      </c>
      <c r="G61" s="41">
        <v>0</v>
      </c>
      <c r="H61" s="41">
        <v>10</v>
      </c>
      <c r="I61" s="41">
        <v>1</v>
      </c>
      <c r="J61" s="41">
        <v>0</v>
      </c>
      <c r="K61" s="41"/>
      <c r="L61" s="41"/>
      <c r="M61" s="41">
        <v>0</v>
      </c>
      <c r="N61" s="41"/>
      <c r="O61" s="41"/>
      <c r="P61" s="41">
        <v>0</v>
      </c>
      <c r="Q61" s="41"/>
      <c r="R61" s="41"/>
      <c r="S61" s="41">
        <v>0</v>
      </c>
      <c r="T61" s="41"/>
      <c r="U61" s="41"/>
      <c r="V61" s="41">
        <v>0</v>
      </c>
      <c r="Z61" s="41">
        <v>10</v>
      </c>
      <c r="AA61" s="41">
        <v>1</v>
      </c>
    </row>
    <row r="62" spans="1:31" ht="57.6" x14ac:dyDescent="0.3">
      <c r="A62" s="41" t="s">
        <v>836</v>
      </c>
      <c r="B62" s="41" t="s">
        <v>1136</v>
      </c>
      <c r="C62" s="41" t="s">
        <v>1137</v>
      </c>
      <c r="D62" s="41" t="s">
        <v>1141</v>
      </c>
      <c r="E62" s="41" t="s">
        <v>1147</v>
      </c>
      <c r="F62" s="41" t="s">
        <v>841</v>
      </c>
      <c r="G62" s="41">
        <v>0</v>
      </c>
      <c r="H62" s="41">
        <v>2</v>
      </c>
      <c r="I62" s="41">
        <v>1</v>
      </c>
      <c r="J62" s="41">
        <v>0</v>
      </c>
      <c r="K62" s="41"/>
      <c r="L62" s="41"/>
      <c r="M62" s="41">
        <v>0</v>
      </c>
      <c r="N62" s="41"/>
      <c r="O62" s="41"/>
      <c r="P62" s="41">
        <v>0</v>
      </c>
      <c r="Q62" s="41"/>
      <c r="R62" s="41"/>
      <c r="S62" s="41">
        <v>0</v>
      </c>
      <c r="T62" s="41"/>
      <c r="U62" s="41"/>
      <c r="V62" s="41">
        <v>0</v>
      </c>
      <c r="Z62" s="41">
        <v>2</v>
      </c>
      <c r="AA62" s="41">
        <v>1</v>
      </c>
    </row>
    <row r="63" spans="1:31" ht="57.6" x14ac:dyDescent="0.3">
      <c r="A63" s="41" t="s">
        <v>836</v>
      </c>
      <c r="B63" s="41" t="s">
        <v>1136</v>
      </c>
      <c r="C63" s="41" t="s">
        <v>1137</v>
      </c>
      <c r="D63" s="41" t="s">
        <v>1141</v>
      </c>
      <c r="E63" s="41" t="s">
        <v>1148</v>
      </c>
      <c r="F63" s="41" t="s">
        <v>709</v>
      </c>
      <c r="G63" s="41">
        <v>35000</v>
      </c>
      <c r="H63" s="41">
        <v>60</v>
      </c>
      <c r="I63" s="41">
        <v>1</v>
      </c>
      <c r="J63" s="41">
        <v>1176000</v>
      </c>
      <c r="K63" s="41"/>
      <c r="L63" s="41"/>
      <c r="M63" s="41">
        <v>0</v>
      </c>
      <c r="N63" s="41"/>
      <c r="O63" s="41"/>
      <c r="P63" s="41">
        <v>0</v>
      </c>
      <c r="Q63" s="41"/>
      <c r="R63" s="41"/>
      <c r="S63" s="41">
        <v>0</v>
      </c>
      <c r="T63" s="41"/>
      <c r="U63" s="41"/>
      <c r="V63" s="41">
        <v>0</v>
      </c>
      <c r="Z63" s="41">
        <v>60</v>
      </c>
      <c r="AA63" s="41">
        <v>1</v>
      </c>
    </row>
    <row r="64" spans="1:31" ht="57.6" x14ac:dyDescent="0.3">
      <c r="A64" s="41" t="s">
        <v>836</v>
      </c>
      <c r="B64" s="41" t="s">
        <v>1136</v>
      </c>
      <c r="C64" s="41" t="s">
        <v>1137</v>
      </c>
      <c r="D64" s="41" t="s">
        <v>1141</v>
      </c>
      <c r="E64" s="41" t="s">
        <v>1149</v>
      </c>
      <c r="F64" s="41" t="s">
        <v>841</v>
      </c>
      <c r="G64" s="41">
        <v>0</v>
      </c>
      <c r="H64" s="41">
        <v>15</v>
      </c>
      <c r="I64" s="41">
        <v>1</v>
      </c>
      <c r="J64" s="41">
        <v>0</v>
      </c>
      <c r="K64" s="41"/>
      <c r="L64" s="41"/>
      <c r="M64" s="41">
        <v>0</v>
      </c>
      <c r="N64" s="41"/>
      <c r="O64" s="41"/>
      <c r="P64" s="41">
        <v>0</v>
      </c>
      <c r="Q64" s="41"/>
      <c r="R64" s="41"/>
      <c r="S64" s="41">
        <v>0</v>
      </c>
      <c r="T64" s="41"/>
      <c r="U64" s="41"/>
      <c r="V64" s="41">
        <v>0</v>
      </c>
      <c r="Z64" s="41">
        <v>15</v>
      </c>
      <c r="AA64" s="41">
        <v>1</v>
      </c>
    </row>
    <row r="65" spans="1:31" ht="57.6" x14ac:dyDescent="0.3">
      <c r="A65" s="41" t="s">
        <v>836</v>
      </c>
      <c r="B65" s="41" t="s">
        <v>1136</v>
      </c>
      <c r="C65" s="41" t="s">
        <v>1137</v>
      </c>
      <c r="D65" s="41" t="s">
        <v>1141</v>
      </c>
      <c r="E65" s="41" t="s">
        <v>1150</v>
      </c>
      <c r="F65" s="41" t="s">
        <v>841</v>
      </c>
      <c r="G65" s="41">
        <v>0</v>
      </c>
      <c r="H65" s="41">
        <v>10</v>
      </c>
      <c r="I65" s="41">
        <v>1</v>
      </c>
      <c r="J65" s="41">
        <v>0</v>
      </c>
      <c r="K65" s="41"/>
      <c r="L65" s="41"/>
      <c r="M65" s="41">
        <v>0</v>
      </c>
      <c r="N65" s="41"/>
      <c r="O65" s="41"/>
      <c r="P65" s="41">
        <v>0</v>
      </c>
      <c r="Q65" s="41"/>
      <c r="R65" s="41"/>
      <c r="S65" s="41">
        <v>0</v>
      </c>
      <c r="T65" s="41"/>
      <c r="U65" s="41"/>
      <c r="V65" s="41">
        <v>0</v>
      </c>
      <c r="Z65" s="41">
        <v>10</v>
      </c>
      <c r="AA65" s="41">
        <v>1</v>
      </c>
    </row>
    <row r="66" spans="1:31" ht="57.6" x14ac:dyDescent="0.3">
      <c r="A66" s="41" t="s">
        <v>836</v>
      </c>
      <c r="B66" s="41" t="s">
        <v>1136</v>
      </c>
      <c r="C66" s="41" t="s">
        <v>1137</v>
      </c>
      <c r="D66" s="41" t="s">
        <v>1151</v>
      </c>
      <c r="E66" s="41" t="s">
        <v>1054</v>
      </c>
      <c r="F66" s="41" t="s">
        <v>841</v>
      </c>
      <c r="G66" s="41">
        <v>0</v>
      </c>
      <c r="H66" s="41"/>
      <c r="I66" s="41"/>
      <c r="J66" s="41"/>
      <c r="K66" s="41">
        <v>0</v>
      </c>
      <c r="L66" s="41">
        <v>0</v>
      </c>
      <c r="M66" s="41">
        <f>($G66*1.1^1)*K66*L66</f>
        <v>0</v>
      </c>
      <c r="N66" s="41">
        <v>0</v>
      </c>
      <c r="O66" s="41">
        <v>0</v>
      </c>
      <c r="P66" s="41">
        <f>($G66*1.1^2)*N66*O66</f>
        <v>0</v>
      </c>
      <c r="Q66" s="41">
        <v>0</v>
      </c>
      <c r="R66" s="41">
        <v>0</v>
      </c>
      <c r="S66" s="41">
        <f>($G66*1.1^3)*Q66*R66</f>
        <v>0</v>
      </c>
      <c r="T66" s="41">
        <v>5</v>
      </c>
      <c r="U66" s="41">
        <v>1</v>
      </c>
      <c r="V66" s="41">
        <f>($G66*1.1^4)*T66*U66</f>
        <v>0</v>
      </c>
      <c r="Y66" s="41">
        <f>($G66*1.1^5)*W66*X66</f>
        <v>0</v>
      </c>
      <c r="AB66" s="41">
        <f>($G66*1.1^6)*Z66*AA66</f>
        <v>0</v>
      </c>
      <c r="AC66" s="41">
        <v>5</v>
      </c>
      <c r="AD66" s="41">
        <v>1</v>
      </c>
      <c r="AE66" s="41">
        <f>($G66*1.1^7)*AC66*AD66</f>
        <v>0</v>
      </c>
    </row>
    <row r="67" spans="1:31" ht="57.6" x14ac:dyDescent="0.3">
      <c r="A67" s="41" t="s">
        <v>836</v>
      </c>
      <c r="B67" s="41" t="s">
        <v>1136</v>
      </c>
      <c r="C67" s="41" t="s">
        <v>1137</v>
      </c>
      <c r="D67" s="41" t="s">
        <v>1151</v>
      </c>
      <c r="E67" s="41" t="s">
        <v>158</v>
      </c>
      <c r="F67" s="41" t="s">
        <v>709</v>
      </c>
      <c r="G67" s="41">
        <v>35000</v>
      </c>
      <c r="H67" s="41"/>
      <c r="I67" s="41"/>
      <c r="J67" s="41"/>
      <c r="K67" s="41">
        <v>20</v>
      </c>
      <c r="L67" s="41">
        <v>1</v>
      </c>
      <c r="M67" s="41">
        <f t="shared" ref="M67:M81" si="8">($G67*1.1^1)*K67*L67</f>
        <v>770000</v>
      </c>
      <c r="N67" s="41">
        <v>0</v>
      </c>
      <c r="O67" s="41">
        <v>0</v>
      </c>
      <c r="P67" s="41">
        <v>0</v>
      </c>
      <c r="Q67" s="41">
        <v>0</v>
      </c>
      <c r="R67" s="41">
        <v>0</v>
      </c>
      <c r="S67" s="41">
        <v>0</v>
      </c>
      <c r="T67" s="41">
        <v>20</v>
      </c>
      <c r="U67" s="41">
        <v>1</v>
      </c>
      <c r="V67" s="41">
        <f t="shared" ref="V67:V81" si="9">($G67*1.1^4)*T67*U67</f>
        <v>1024870.0000000002</v>
      </c>
      <c r="AC67" s="41">
        <v>20</v>
      </c>
      <c r="AD67" s="41">
        <v>1</v>
      </c>
      <c r="AE67" s="41">
        <f t="shared" ref="AE67:AE81" si="10">($G67*1.1^7)*AC67*AD67</f>
        <v>1364101.9700000007</v>
      </c>
    </row>
    <row r="68" spans="1:31" ht="57.6" x14ac:dyDescent="0.3">
      <c r="A68" s="41" t="s">
        <v>836</v>
      </c>
      <c r="B68" s="41" t="s">
        <v>1136</v>
      </c>
      <c r="C68" s="41" t="s">
        <v>1137</v>
      </c>
      <c r="D68" s="41" t="s">
        <v>1151</v>
      </c>
      <c r="E68" s="41" t="s">
        <v>182</v>
      </c>
      <c r="F68" s="41" t="s">
        <v>841</v>
      </c>
      <c r="G68" s="41">
        <v>0</v>
      </c>
      <c r="H68" s="41"/>
      <c r="I68" s="41"/>
      <c r="J68" s="41"/>
      <c r="K68" s="41">
        <v>15</v>
      </c>
      <c r="L68" s="41">
        <v>1</v>
      </c>
      <c r="M68" s="41">
        <f t="shared" si="8"/>
        <v>0</v>
      </c>
      <c r="N68" s="41">
        <v>0</v>
      </c>
      <c r="O68" s="41">
        <v>0</v>
      </c>
      <c r="P68" s="41">
        <v>0</v>
      </c>
      <c r="Q68" s="41">
        <v>0</v>
      </c>
      <c r="R68" s="41">
        <v>0</v>
      </c>
      <c r="S68" s="41">
        <v>0</v>
      </c>
      <c r="T68" s="41">
        <v>15</v>
      </c>
      <c r="U68" s="41">
        <v>1</v>
      </c>
      <c r="V68" s="41">
        <f t="shared" si="9"/>
        <v>0</v>
      </c>
      <c r="AC68" s="41">
        <v>15</v>
      </c>
      <c r="AD68" s="41">
        <v>1</v>
      </c>
      <c r="AE68" s="41">
        <f t="shared" si="10"/>
        <v>0</v>
      </c>
    </row>
    <row r="69" spans="1:31" ht="57.6" x14ac:dyDescent="0.3">
      <c r="A69" s="41" t="s">
        <v>836</v>
      </c>
      <c r="B69" s="41" t="s">
        <v>1136</v>
      </c>
      <c r="C69" s="41" t="s">
        <v>1137</v>
      </c>
      <c r="D69" s="41" t="s">
        <v>1151</v>
      </c>
      <c r="E69" s="41" t="s">
        <v>1152</v>
      </c>
      <c r="F69" s="41" t="s">
        <v>707</v>
      </c>
      <c r="G69" s="41">
        <v>391991.03749999998</v>
      </c>
      <c r="H69" s="41"/>
      <c r="I69" s="41"/>
      <c r="J69" s="41"/>
      <c r="K69" s="41">
        <v>2</v>
      </c>
      <c r="L69" s="41">
        <v>2</v>
      </c>
      <c r="M69" s="41">
        <f t="shared" si="8"/>
        <v>1724760.5649999999</v>
      </c>
      <c r="N69" s="41">
        <v>0</v>
      </c>
      <c r="O69" s="41">
        <v>0</v>
      </c>
      <c r="P69" s="41">
        <v>0</v>
      </c>
      <c r="Q69" s="41">
        <v>0</v>
      </c>
      <c r="R69" s="41">
        <v>0</v>
      </c>
      <c r="S69" s="41">
        <v>0</v>
      </c>
      <c r="T69" s="41">
        <v>2</v>
      </c>
      <c r="U69" s="41">
        <v>2</v>
      </c>
      <c r="V69" s="41">
        <f t="shared" si="9"/>
        <v>2295656.3120150003</v>
      </c>
      <c r="AC69" s="41">
        <v>2</v>
      </c>
      <c r="AD69" s="41">
        <v>2</v>
      </c>
      <c r="AE69" s="41">
        <f t="shared" si="10"/>
        <v>3055518.5512919668</v>
      </c>
    </row>
    <row r="70" spans="1:31" ht="57.6" x14ac:dyDescent="0.3">
      <c r="A70" s="41" t="s">
        <v>836</v>
      </c>
      <c r="B70" s="41" t="s">
        <v>1136</v>
      </c>
      <c r="C70" s="41" t="s">
        <v>1137</v>
      </c>
      <c r="D70" s="41" t="s">
        <v>1151</v>
      </c>
      <c r="E70" s="41" t="s">
        <v>1152</v>
      </c>
      <c r="F70" s="41" t="s">
        <v>708</v>
      </c>
      <c r="G70" s="41">
        <f>980*1030</f>
        <v>1009400</v>
      </c>
      <c r="H70" s="41"/>
      <c r="I70" s="41"/>
      <c r="J70" s="41"/>
      <c r="K70" s="41">
        <v>1</v>
      </c>
      <c r="L70" s="41">
        <v>25</v>
      </c>
      <c r="M70" s="41">
        <f t="shared" si="8"/>
        <v>27758500</v>
      </c>
      <c r="N70" s="41">
        <v>0</v>
      </c>
      <c r="O70" s="41">
        <v>0</v>
      </c>
      <c r="P70" s="41">
        <v>0</v>
      </c>
      <c r="Q70" s="41">
        <v>0</v>
      </c>
      <c r="R70" s="41">
        <v>0</v>
      </c>
      <c r="S70" s="41">
        <v>0</v>
      </c>
      <c r="T70" s="41">
        <v>1</v>
      </c>
      <c r="U70" s="41">
        <v>25</v>
      </c>
      <c r="V70" s="41">
        <f t="shared" si="9"/>
        <v>36946563.500000015</v>
      </c>
      <c r="AC70" s="41">
        <v>1</v>
      </c>
      <c r="AD70" s="41">
        <v>25</v>
      </c>
      <c r="AE70" s="41">
        <f t="shared" si="10"/>
        <v>49175876.01850003</v>
      </c>
    </row>
    <row r="71" spans="1:31" ht="57.6" x14ac:dyDescent="0.3">
      <c r="A71" s="41" t="s">
        <v>836</v>
      </c>
      <c r="B71" s="41" t="s">
        <v>1136</v>
      </c>
      <c r="C71" s="41" t="s">
        <v>1137</v>
      </c>
      <c r="D71" s="41" t="s">
        <v>1151</v>
      </c>
      <c r="E71" s="41" t="s">
        <v>1153</v>
      </c>
      <c r="F71" s="41" t="s">
        <v>716</v>
      </c>
      <c r="G71" s="41">
        <v>39000</v>
      </c>
      <c r="H71" s="41"/>
      <c r="I71" s="41"/>
      <c r="J71" s="41"/>
      <c r="K71" s="41">
        <v>30</v>
      </c>
      <c r="L71" s="41">
        <v>12</v>
      </c>
      <c r="M71" s="41">
        <f t="shared" si="8"/>
        <v>15444000</v>
      </c>
      <c r="N71" s="41">
        <v>0</v>
      </c>
      <c r="O71" s="41">
        <v>0</v>
      </c>
      <c r="P71" s="41">
        <v>0</v>
      </c>
      <c r="Q71" s="41">
        <v>0</v>
      </c>
      <c r="R71" s="41">
        <v>0</v>
      </c>
      <c r="S71" s="41">
        <v>0</v>
      </c>
      <c r="T71" s="41">
        <v>30</v>
      </c>
      <c r="U71" s="41">
        <v>12</v>
      </c>
      <c r="V71" s="41">
        <f t="shared" si="9"/>
        <v>20555964.000000007</v>
      </c>
      <c r="AC71" s="41">
        <v>30</v>
      </c>
      <c r="AD71" s="41">
        <v>12</v>
      </c>
      <c r="AE71" s="41">
        <f t="shared" si="10"/>
        <v>27359988.084000014</v>
      </c>
    </row>
    <row r="72" spans="1:31" ht="57.6" x14ac:dyDescent="0.3">
      <c r="A72" s="41" t="s">
        <v>836</v>
      </c>
      <c r="B72" s="41" t="s">
        <v>1136</v>
      </c>
      <c r="C72" s="41" t="s">
        <v>1137</v>
      </c>
      <c r="D72" s="41" t="s">
        <v>1151</v>
      </c>
      <c r="E72" s="41" t="s">
        <v>1153</v>
      </c>
      <c r="F72" s="41" t="s">
        <v>709</v>
      </c>
      <c r="G72" s="41">
        <v>35000</v>
      </c>
      <c r="H72" s="41"/>
      <c r="I72" s="41"/>
      <c r="J72" s="41"/>
      <c r="K72" s="41">
        <v>30</v>
      </c>
      <c r="L72" s="41">
        <v>9</v>
      </c>
      <c r="M72" s="41">
        <f t="shared" si="8"/>
        <v>10395000</v>
      </c>
      <c r="N72" s="41">
        <v>0</v>
      </c>
      <c r="O72" s="41">
        <v>0</v>
      </c>
      <c r="P72" s="41">
        <v>0</v>
      </c>
      <c r="Q72" s="41">
        <v>0</v>
      </c>
      <c r="R72" s="41">
        <v>0</v>
      </c>
      <c r="S72" s="41">
        <v>0</v>
      </c>
      <c r="T72" s="41">
        <v>30</v>
      </c>
      <c r="U72" s="41">
        <v>9</v>
      </c>
      <c r="V72" s="41">
        <f t="shared" si="9"/>
        <v>13835745.000000004</v>
      </c>
      <c r="AC72" s="41">
        <v>30</v>
      </c>
      <c r="AD72" s="41">
        <v>9</v>
      </c>
      <c r="AE72" s="41">
        <f t="shared" si="10"/>
        <v>18415376.59500001</v>
      </c>
    </row>
    <row r="73" spans="1:31" ht="57.6" x14ac:dyDescent="0.3">
      <c r="A73" s="41" t="s">
        <v>836</v>
      </c>
      <c r="B73" s="41" t="s">
        <v>1136</v>
      </c>
      <c r="C73" s="41" t="s">
        <v>1137</v>
      </c>
      <c r="D73" s="41" t="s">
        <v>1151</v>
      </c>
      <c r="E73" s="41" t="s">
        <v>1153</v>
      </c>
      <c r="F73" s="41" t="s">
        <v>712</v>
      </c>
      <c r="G73" s="41">
        <f>1999.2/7</f>
        <v>285.60000000000002</v>
      </c>
      <c r="H73" s="41"/>
      <c r="I73" s="41"/>
      <c r="J73" s="41"/>
      <c r="K73" s="41">
        <f>2*25*9</f>
        <v>450</v>
      </c>
      <c r="L73" s="41">
        <v>9</v>
      </c>
      <c r="M73" s="41">
        <f t="shared" si="8"/>
        <v>1272348</v>
      </c>
      <c r="N73" s="41">
        <v>0</v>
      </c>
      <c r="O73" s="41">
        <v>0</v>
      </c>
      <c r="P73" s="41">
        <v>0</v>
      </c>
      <c r="Q73" s="41">
        <v>0</v>
      </c>
      <c r="R73" s="41">
        <v>0</v>
      </c>
      <c r="S73" s="41">
        <v>0</v>
      </c>
      <c r="T73" s="41">
        <f>2*25*9</f>
        <v>450</v>
      </c>
      <c r="U73" s="41">
        <v>9</v>
      </c>
      <c r="V73" s="41">
        <f t="shared" si="9"/>
        <v>1693495.1880000005</v>
      </c>
      <c r="AC73" s="41">
        <f>2*25*9</f>
        <v>450</v>
      </c>
      <c r="AD73" s="41">
        <v>9</v>
      </c>
      <c r="AE73" s="41">
        <f t="shared" si="10"/>
        <v>2254042.0952280015</v>
      </c>
    </row>
    <row r="74" spans="1:31" ht="57.6" x14ac:dyDescent="0.3">
      <c r="A74" s="41" t="s">
        <v>836</v>
      </c>
      <c r="B74" s="41" t="s">
        <v>1136</v>
      </c>
      <c r="C74" s="41" t="s">
        <v>1137</v>
      </c>
      <c r="D74" s="41" t="s">
        <v>1151</v>
      </c>
      <c r="E74" s="41" t="s">
        <v>1154</v>
      </c>
      <c r="F74" s="41" t="s">
        <v>709</v>
      </c>
      <c r="G74" s="41">
        <v>35000</v>
      </c>
      <c r="H74" s="41"/>
      <c r="I74" s="41"/>
      <c r="J74" s="41"/>
      <c r="K74" s="41">
        <v>30</v>
      </c>
      <c r="L74" s="41">
        <v>1</v>
      </c>
      <c r="M74" s="41">
        <f t="shared" si="8"/>
        <v>1155000</v>
      </c>
      <c r="N74" s="41">
        <v>0</v>
      </c>
      <c r="O74" s="41">
        <v>0</v>
      </c>
      <c r="P74" s="41">
        <v>0</v>
      </c>
      <c r="Q74" s="41">
        <v>0</v>
      </c>
      <c r="R74" s="41">
        <v>0</v>
      </c>
      <c r="S74" s="41">
        <v>0</v>
      </c>
      <c r="T74" s="41">
        <v>30</v>
      </c>
      <c r="U74" s="41">
        <v>1</v>
      </c>
      <c r="V74" s="41">
        <f t="shared" si="9"/>
        <v>1537305.0000000005</v>
      </c>
      <c r="AC74" s="41">
        <v>30</v>
      </c>
      <c r="AD74" s="41">
        <v>1</v>
      </c>
      <c r="AE74" s="41">
        <f t="shared" si="10"/>
        <v>2046152.955000001</v>
      </c>
    </row>
    <row r="75" spans="1:31" ht="57.6" x14ac:dyDescent="0.3">
      <c r="A75" s="41" t="s">
        <v>836</v>
      </c>
      <c r="B75" s="41" t="s">
        <v>1136</v>
      </c>
      <c r="C75" s="41" t="s">
        <v>1137</v>
      </c>
      <c r="D75" s="41" t="s">
        <v>1151</v>
      </c>
      <c r="E75" s="41" t="s">
        <v>1155</v>
      </c>
      <c r="F75" s="41" t="s">
        <v>709</v>
      </c>
      <c r="G75" s="41">
        <v>35000</v>
      </c>
      <c r="H75" s="41"/>
      <c r="I75" s="41"/>
      <c r="J75" s="41"/>
      <c r="K75" s="41">
        <v>60</v>
      </c>
      <c r="L75" s="41">
        <v>1</v>
      </c>
      <c r="M75" s="41">
        <f t="shared" si="8"/>
        <v>2310000</v>
      </c>
      <c r="N75" s="41">
        <v>0</v>
      </c>
      <c r="O75" s="41">
        <v>0</v>
      </c>
      <c r="P75" s="41">
        <v>0</v>
      </c>
      <c r="Q75" s="41">
        <v>0</v>
      </c>
      <c r="R75" s="41">
        <v>0</v>
      </c>
      <c r="S75" s="41">
        <v>0</v>
      </c>
      <c r="T75" s="41">
        <v>60</v>
      </c>
      <c r="U75" s="41">
        <v>1</v>
      </c>
      <c r="V75" s="41">
        <f t="shared" si="9"/>
        <v>3074610.0000000009</v>
      </c>
      <c r="AC75" s="41">
        <v>60</v>
      </c>
      <c r="AD75" s="41">
        <v>1</v>
      </c>
      <c r="AE75" s="41">
        <f t="shared" si="10"/>
        <v>4092305.910000002</v>
      </c>
    </row>
    <row r="76" spans="1:31" ht="57.6" x14ac:dyDescent="0.3">
      <c r="A76" s="41" t="s">
        <v>836</v>
      </c>
      <c r="B76" s="41" t="s">
        <v>1136</v>
      </c>
      <c r="C76" s="41" t="s">
        <v>1137</v>
      </c>
      <c r="D76" s="41" t="s">
        <v>1151</v>
      </c>
      <c r="E76" s="41" t="s">
        <v>1156</v>
      </c>
      <c r="F76" s="41" t="s">
        <v>709</v>
      </c>
      <c r="G76" s="41">
        <v>35000</v>
      </c>
      <c r="H76" s="41"/>
      <c r="I76" s="41"/>
      <c r="J76" s="41"/>
      <c r="K76" s="41">
        <v>100</v>
      </c>
      <c r="L76" s="41">
        <v>1</v>
      </c>
      <c r="M76" s="41">
        <f t="shared" si="8"/>
        <v>3850000</v>
      </c>
      <c r="N76" s="41">
        <v>0</v>
      </c>
      <c r="O76" s="41">
        <v>0</v>
      </c>
      <c r="P76" s="41">
        <v>0</v>
      </c>
      <c r="Q76" s="41">
        <v>0</v>
      </c>
      <c r="R76" s="41">
        <v>0</v>
      </c>
      <c r="S76" s="41">
        <v>0</v>
      </c>
      <c r="T76" s="41">
        <v>100</v>
      </c>
      <c r="U76" s="41">
        <v>1</v>
      </c>
      <c r="V76" s="41">
        <f t="shared" si="9"/>
        <v>5124350.0000000019</v>
      </c>
      <c r="AC76" s="41">
        <v>100</v>
      </c>
      <c r="AD76" s="41">
        <v>1</v>
      </c>
      <c r="AE76" s="41">
        <f t="shared" si="10"/>
        <v>6820509.8500000034</v>
      </c>
    </row>
    <row r="77" spans="1:31" ht="57.6" x14ac:dyDescent="0.3">
      <c r="A77" s="41" t="s">
        <v>836</v>
      </c>
      <c r="B77" s="41" t="s">
        <v>1136</v>
      </c>
      <c r="C77" s="41" t="s">
        <v>1137</v>
      </c>
      <c r="D77" s="41" t="s">
        <v>1151</v>
      </c>
      <c r="E77" s="41" t="s">
        <v>1156</v>
      </c>
      <c r="F77" s="41" t="s">
        <v>716</v>
      </c>
      <c r="G77" s="41">
        <v>39000</v>
      </c>
      <c r="H77" s="41"/>
      <c r="I77" s="41"/>
      <c r="J77" s="41"/>
      <c r="K77" s="41">
        <v>58</v>
      </c>
      <c r="L77" s="41">
        <v>1</v>
      </c>
      <c r="M77" s="41">
        <f t="shared" si="8"/>
        <v>2488200</v>
      </c>
      <c r="N77" s="41">
        <v>0</v>
      </c>
      <c r="O77" s="41">
        <v>0</v>
      </c>
      <c r="P77" s="41">
        <v>0</v>
      </c>
      <c r="Q77" s="41">
        <v>0</v>
      </c>
      <c r="R77" s="41">
        <v>0</v>
      </c>
      <c r="S77" s="41">
        <v>0</v>
      </c>
      <c r="T77" s="41">
        <v>58</v>
      </c>
      <c r="U77" s="41">
        <v>1</v>
      </c>
      <c r="V77" s="41">
        <f t="shared" si="9"/>
        <v>3311794.2000000011</v>
      </c>
      <c r="AC77" s="41">
        <v>58</v>
      </c>
      <c r="AD77" s="41">
        <v>1</v>
      </c>
      <c r="AE77" s="41">
        <f t="shared" si="10"/>
        <v>4407998.0802000025</v>
      </c>
    </row>
    <row r="78" spans="1:31" ht="57.6" x14ac:dyDescent="0.3">
      <c r="A78" s="41" t="s">
        <v>836</v>
      </c>
      <c r="B78" s="41" t="s">
        <v>1136</v>
      </c>
      <c r="C78" s="41" t="s">
        <v>1137</v>
      </c>
      <c r="D78" s="41" t="s">
        <v>1151</v>
      </c>
      <c r="E78" s="41" t="s">
        <v>1156</v>
      </c>
      <c r="F78" s="41" t="s">
        <v>1297</v>
      </c>
      <c r="G78" s="41">
        <v>8000</v>
      </c>
      <c r="H78" s="41"/>
      <c r="I78" s="41"/>
      <c r="J78" s="41"/>
      <c r="K78" s="41">
        <v>10</v>
      </c>
      <c r="L78" s="41">
        <v>1</v>
      </c>
      <c r="M78" s="41">
        <f t="shared" si="8"/>
        <v>88000</v>
      </c>
      <c r="N78" s="41">
        <v>0</v>
      </c>
      <c r="O78" s="41">
        <v>0</v>
      </c>
      <c r="P78" s="41">
        <v>0</v>
      </c>
      <c r="Q78" s="41">
        <v>0</v>
      </c>
      <c r="R78" s="41">
        <v>0</v>
      </c>
      <c r="S78" s="41">
        <v>0</v>
      </c>
      <c r="T78" s="41">
        <v>10</v>
      </c>
      <c r="U78" s="41">
        <v>1</v>
      </c>
      <c r="V78" s="41">
        <f t="shared" si="9"/>
        <v>117128.00000000003</v>
      </c>
      <c r="AC78" s="41">
        <v>10</v>
      </c>
      <c r="AD78" s="41">
        <v>1</v>
      </c>
      <c r="AE78" s="41">
        <f t="shared" si="10"/>
        <v>155897.3680000001</v>
      </c>
    </row>
    <row r="79" spans="1:31" ht="57.6" x14ac:dyDescent="0.3">
      <c r="A79" s="41" t="s">
        <v>836</v>
      </c>
      <c r="B79" s="41" t="s">
        <v>1136</v>
      </c>
      <c r="C79" s="41" t="s">
        <v>1137</v>
      </c>
      <c r="D79" s="41" t="s">
        <v>1151</v>
      </c>
      <c r="E79" s="41" t="s">
        <v>1156</v>
      </c>
      <c r="F79" s="41" t="s">
        <v>710</v>
      </c>
      <c r="G79" s="41">
        <v>104850</v>
      </c>
      <c r="H79" s="41"/>
      <c r="I79" s="41"/>
      <c r="J79" s="41"/>
      <c r="K79" s="41">
        <v>1</v>
      </c>
      <c r="L79" s="41">
        <v>1</v>
      </c>
      <c r="M79" s="41">
        <f t="shared" si="8"/>
        <v>115335.00000000001</v>
      </c>
      <c r="N79" s="41">
        <v>0</v>
      </c>
      <c r="O79" s="41">
        <v>0</v>
      </c>
      <c r="P79" s="41">
        <v>0</v>
      </c>
      <c r="Q79" s="41">
        <v>0</v>
      </c>
      <c r="R79" s="41">
        <v>0</v>
      </c>
      <c r="S79" s="41">
        <v>0</v>
      </c>
      <c r="T79" s="41">
        <v>1</v>
      </c>
      <c r="U79" s="41">
        <v>1</v>
      </c>
      <c r="V79" s="41">
        <f t="shared" si="9"/>
        <v>153510.88500000004</v>
      </c>
      <c r="AC79" s="41">
        <v>1</v>
      </c>
      <c r="AD79" s="41">
        <v>1</v>
      </c>
      <c r="AE79" s="41">
        <f t="shared" si="10"/>
        <v>204322.98793500013</v>
      </c>
    </row>
    <row r="80" spans="1:31" ht="57.6" x14ac:dyDescent="0.3">
      <c r="A80" s="41" t="s">
        <v>836</v>
      </c>
      <c r="B80" s="41" t="s">
        <v>1136</v>
      </c>
      <c r="C80" s="41" t="s">
        <v>1137</v>
      </c>
      <c r="D80" s="41" t="s">
        <v>1151</v>
      </c>
      <c r="E80" s="41" t="s">
        <v>1156</v>
      </c>
      <c r="F80" s="41" t="s">
        <v>712</v>
      </c>
      <c r="G80" s="41">
        <f>1999.2/7</f>
        <v>285.60000000000002</v>
      </c>
      <c r="H80" s="41"/>
      <c r="I80" s="41"/>
      <c r="J80" s="41"/>
      <c r="K80" s="41">
        <f>2*25*9</f>
        <v>450</v>
      </c>
      <c r="L80" s="41">
        <v>1</v>
      </c>
      <c r="M80" s="41">
        <f t="shared" si="8"/>
        <v>141372</v>
      </c>
      <c r="N80" s="41">
        <v>0</v>
      </c>
      <c r="O80" s="41">
        <v>0</v>
      </c>
      <c r="P80" s="41">
        <v>0</v>
      </c>
      <c r="Q80" s="41">
        <v>0</v>
      </c>
      <c r="R80" s="41">
        <v>0</v>
      </c>
      <c r="S80" s="41">
        <v>0</v>
      </c>
      <c r="T80" s="41">
        <f>2*25*9</f>
        <v>450</v>
      </c>
      <c r="U80" s="41">
        <v>1</v>
      </c>
      <c r="V80" s="41">
        <f t="shared" si="9"/>
        <v>188166.13200000007</v>
      </c>
      <c r="AC80" s="41">
        <f>2*25*9</f>
        <v>450</v>
      </c>
      <c r="AD80" s="41">
        <v>1</v>
      </c>
      <c r="AE80" s="41">
        <f t="shared" si="10"/>
        <v>250449.12169200019</v>
      </c>
    </row>
    <row r="81" spans="1:31" ht="57.6" x14ac:dyDescent="0.3">
      <c r="A81" s="41" t="s">
        <v>836</v>
      </c>
      <c r="B81" s="41" t="s">
        <v>1136</v>
      </c>
      <c r="C81" s="41" t="s">
        <v>1137</v>
      </c>
      <c r="D81" s="41" t="s">
        <v>1151</v>
      </c>
      <c r="E81" s="41" t="s">
        <v>1156</v>
      </c>
      <c r="F81" s="41" t="s">
        <v>1326</v>
      </c>
      <c r="G81" s="41">
        <f>1999.2/7</f>
        <v>285.60000000000002</v>
      </c>
      <c r="H81" s="41"/>
      <c r="I81" s="41"/>
      <c r="J81" s="41"/>
      <c r="K81" s="41">
        <f>2*135*9</f>
        <v>2430</v>
      </c>
      <c r="L81" s="41">
        <v>1</v>
      </c>
      <c r="M81" s="41">
        <f t="shared" si="8"/>
        <v>763408.8</v>
      </c>
      <c r="N81" s="41"/>
      <c r="O81" s="41"/>
      <c r="P81" s="41"/>
      <c r="Q81" s="41"/>
      <c r="R81" s="41"/>
      <c r="S81" s="41"/>
      <c r="T81" s="41">
        <f>2*135*9</f>
        <v>2430</v>
      </c>
      <c r="U81" s="41">
        <v>1</v>
      </c>
      <c r="V81" s="41">
        <f t="shared" si="9"/>
        <v>1016097.1128000004</v>
      </c>
      <c r="AC81" s="41">
        <f>2*135*9</f>
        <v>2430</v>
      </c>
      <c r="AD81" s="41">
        <v>1</v>
      </c>
      <c r="AE81" s="41">
        <f t="shared" si="10"/>
        <v>1352425.257136801</v>
      </c>
    </row>
    <row r="82" spans="1:31" ht="57.6" x14ac:dyDescent="0.3">
      <c r="A82" s="41" t="s">
        <v>836</v>
      </c>
      <c r="B82" s="41" t="s">
        <v>1136</v>
      </c>
      <c r="C82" s="41" t="s">
        <v>1137</v>
      </c>
      <c r="D82" s="41" t="s">
        <v>1157</v>
      </c>
      <c r="E82" s="41" t="s">
        <v>176</v>
      </c>
      <c r="F82" s="41" t="s">
        <v>841</v>
      </c>
      <c r="G82" s="41">
        <v>0</v>
      </c>
      <c r="H82" s="41">
        <v>6000</v>
      </c>
      <c r="I82" s="41">
        <v>1</v>
      </c>
      <c r="J82" s="41">
        <v>0</v>
      </c>
      <c r="K82" s="41">
        <v>0</v>
      </c>
      <c r="L82" s="41">
        <v>0</v>
      </c>
      <c r="M82" s="41">
        <v>0</v>
      </c>
      <c r="N82" s="41">
        <v>0</v>
      </c>
      <c r="O82" s="41">
        <v>0</v>
      </c>
      <c r="P82" s="41">
        <v>0</v>
      </c>
      <c r="Q82" s="41">
        <v>0</v>
      </c>
      <c r="R82" s="41">
        <v>0</v>
      </c>
      <c r="S82" s="41">
        <v>0</v>
      </c>
      <c r="T82" s="41">
        <v>6000</v>
      </c>
      <c r="U82" s="41">
        <v>1</v>
      </c>
      <c r="V82" s="41">
        <v>0</v>
      </c>
    </row>
    <row r="83" spans="1:31" ht="57.6" x14ac:dyDescent="0.3">
      <c r="A83" s="41" t="s">
        <v>836</v>
      </c>
      <c r="B83" s="41" t="s">
        <v>1136</v>
      </c>
      <c r="C83" s="41" t="s">
        <v>1137</v>
      </c>
      <c r="D83" s="41" t="s">
        <v>1157</v>
      </c>
      <c r="E83" s="41" t="s">
        <v>1158</v>
      </c>
      <c r="F83" s="41" t="s">
        <v>716</v>
      </c>
      <c r="G83" s="41">
        <v>39000</v>
      </c>
      <c r="H83" s="41"/>
      <c r="I83" s="41"/>
      <c r="J83" s="41">
        <f>$G83*H83*I83</f>
        <v>0</v>
      </c>
      <c r="K83" s="41">
        <v>30</v>
      </c>
      <c r="L83" s="41">
        <v>0</v>
      </c>
      <c r="M83" s="41">
        <f>($G83*1.1^1)*K83*L83</f>
        <v>0</v>
      </c>
      <c r="N83" s="41">
        <v>0</v>
      </c>
      <c r="O83" s="41">
        <v>0</v>
      </c>
      <c r="P83" s="41">
        <f>($G83*1.1^2)*N83*O83</f>
        <v>0</v>
      </c>
      <c r="Q83" s="41">
        <v>0</v>
      </c>
      <c r="R83" s="41">
        <v>0</v>
      </c>
      <c r="S83" s="41">
        <f>($G83*1.1^3)*Q83*R83</f>
        <v>0</v>
      </c>
      <c r="T83" s="41">
        <v>0</v>
      </c>
      <c r="U83" s="41">
        <v>0</v>
      </c>
      <c r="V83" s="41">
        <f>($G83*1.1^4)*T83*U83</f>
        <v>0</v>
      </c>
      <c r="Y83" s="41">
        <f>($G83*1.1^5)*W83*X83</f>
        <v>0</v>
      </c>
      <c r="AB83" s="41">
        <f>($G83*1.1^6)*Z83*AA83</f>
        <v>0</v>
      </c>
      <c r="AE83" s="41">
        <f>($G83*1.1^7)*AC83*AD83</f>
        <v>0</v>
      </c>
    </row>
    <row r="84" spans="1:31" ht="57.6" x14ac:dyDescent="0.3">
      <c r="A84" s="41" t="s">
        <v>836</v>
      </c>
      <c r="B84" s="41" t="s">
        <v>1136</v>
      </c>
      <c r="C84" s="41" t="s">
        <v>1137</v>
      </c>
      <c r="D84" s="41" t="s">
        <v>1157</v>
      </c>
      <c r="E84" s="41" t="s">
        <v>1345</v>
      </c>
      <c r="F84" s="41" t="s">
        <v>709</v>
      </c>
      <c r="G84" s="41">
        <v>35000</v>
      </c>
      <c r="H84" s="41"/>
      <c r="I84" s="41"/>
      <c r="J84" s="41">
        <f t="shared" ref="J84:J109" si="11">$G84*H84*I84</f>
        <v>0</v>
      </c>
      <c r="K84" s="41">
        <v>30</v>
      </c>
      <c r="L84" s="41">
        <v>15</v>
      </c>
      <c r="M84" s="41">
        <f t="shared" ref="M84:M109" si="12">($G84*1.1^1)*K84*L84</f>
        <v>17325000</v>
      </c>
      <c r="N84" s="41">
        <v>0</v>
      </c>
      <c r="O84" s="41">
        <v>0</v>
      </c>
      <c r="P84" s="41">
        <v>0</v>
      </c>
      <c r="Q84" s="41">
        <v>0</v>
      </c>
      <c r="R84" s="41">
        <v>0</v>
      </c>
      <c r="S84" s="41">
        <v>0</v>
      </c>
      <c r="T84" s="41">
        <v>0</v>
      </c>
      <c r="U84" s="41">
        <v>0</v>
      </c>
      <c r="V84" s="41">
        <v>0</v>
      </c>
    </row>
    <row r="85" spans="1:31" ht="57.6" x14ac:dyDescent="0.3">
      <c r="A85" s="41" t="s">
        <v>836</v>
      </c>
      <c r="B85" s="41" t="s">
        <v>1136</v>
      </c>
      <c r="C85" s="41" t="s">
        <v>1137</v>
      </c>
      <c r="D85" s="41" t="s">
        <v>1157</v>
      </c>
      <c r="E85" s="41" t="s">
        <v>1158</v>
      </c>
      <c r="F85" s="41" t="s">
        <v>712</v>
      </c>
      <c r="G85" s="41">
        <f>1999.2/7</f>
        <v>285.60000000000002</v>
      </c>
      <c r="H85" s="41"/>
      <c r="I85" s="41"/>
      <c r="J85" s="41">
        <f t="shared" si="11"/>
        <v>0</v>
      </c>
      <c r="K85" s="41">
        <f>2*25*9</f>
        <v>450</v>
      </c>
      <c r="L85" s="41">
        <v>15</v>
      </c>
      <c r="M85" s="41">
        <f t="shared" si="12"/>
        <v>2120580</v>
      </c>
      <c r="N85" s="41">
        <v>0</v>
      </c>
      <c r="O85" s="41">
        <v>0</v>
      </c>
      <c r="P85" s="41">
        <v>0</v>
      </c>
      <c r="Q85" s="41">
        <v>0</v>
      </c>
      <c r="R85" s="41">
        <v>0</v>
      </c>
      <c r="S85" s="41">
        <v>0</v>
      </c>
      <c r="T85" s="41">
        <v>0</v>
      </c>
      <c r="U85" s="41">
        <v>0</v>
      </c>
      <c r="V85" s="41">
        <v>0</v>
      </c>
    </row>
    <row r="86" spans="1:31" ht="57.6" x14ac:dyDescent="0.3">
      <c r="A86" s="41" t="s">
        <v>836</v>
      </c>
      <c r="B86" s="41" t="s">
        <v>1136</v>
      </c>
      <c r="C86" s="41" t="s">
        <v>1137</v>
      </c>
      <c r="D86" s="41" t="s">
        <v>1157</v>
      </c>
      <c r="E86" s="41" t="s">
        <v>1158</v>
      </c>
      <c r="F86" s="41" t="s">
        <v>1326</v>
      </c>
      <c r="G86" s="41">
        <f>1999.2/7</f>
        <v>285.60000000000002</v>
      </c>
      <c r="H86" s="41"/>
      <c r="I86" s="41"/>
      <c r="J86" s="41">
        <f t="shared" si="11"/>
        <v>0</v>
      </c>
      <c r="K86" s="41">
        <f>2*135*9</f>
        <v>2430</v>
      </c>
      <c r="L86" s="41">
        <v>3</v>
      </c>
      <c r="M86" s="41">
        <f t="shared" si="12"/>
        <v>2290226.4000000004</v>
      </c>
      <c r="N86" s="41"/>
      <c r="O86" s="41"/>
      <c r="P86" s="41"/>
      <c r="Q86" s="41"/>
      <c r="R86" s="41"/>
      <c r="S86" s="41"/>
      <c r="T86" s="41"/>
      <c r="U86" s="41"/>
      <c r="V86" s="41"/>
    </row>
    <row r="87" spans="1:31" ht="57.6" x14ac:dyDescent="0.3">
      <c r="A87" s="41" t="s">
        <v>836</v>
      </c>
      <c r="B87" s="41" t="s">
        <v>1136</v>
      </c>
      <c r="C87" s="41" t="s">
        <v>1137</v>
      </c>
      <c r="D87" s="41" t="s">
        <v>1157</v>
      </c>
      <c r="E87" s="41" t="s">
        <v>1102</v>
      </c>
      <c r="F87" s="41" t="s">
        <v>841</v>
      </c>
      <c r="G87" s="41">
        <v>0</v>
      </c>
      <c r="H87" s="41"/>
      <c r="I87" s="41"/>
      <c r="J87" s="41">
        <f t="shared" si="11"/>
        <v>0</v>
      </c>
      <c r="K87" s="41">
        <v>20000</v>
      </c>
      <c r="L87" s="41">
        <v>1</v>
      </c>
      <c r="M87" s="41">
        <f t="shared" si="12"/>
        <v>0</v>
      </c>
      <c r="N87" s="41">
        <v>0</v>
      </c>
      <c r="O87" s="41">
        <v>0</v>
      </c>
      <c r="P87" s="41">
        <v>0</v>
      </c>
      <c r="Q87" s="41">
        <v>0</v>
      </c>
      <c r="R87" s="41">
        <v>0</v>
      </c>
      <c r="S87" s="41">
        <v>0</v>
      </c>
      <c r="T87" s="41">
        <v>0</v>
      </c>
      <c r="U87" s="41">
        <v>0</v>
      </c>
      <c r="V87" s="41">
        <v>0</v>
      </c>
    </row>
    <row r="88" spans="1:31" ht="57.6" x14ac:dyDescent="0.3">
      <c r="A88" s="41" t="s">
        <v>836</v>
      </c>
      <c r="B88" s="41" t="s">
        <v>1136</v>
      </c>
      <c r="C88" s="41" t="s">
        <v>1137</v>
      </c>
      <c r="D88" s="41" t="s">
        <v>1157</v>
      </c>
      <c r="E88" s="41" t="s">
        <v>149</v>
      </c>
      <c r="F88" s="41" t="s">
        <v>707</v>
      </c>
      <c r="G88" s="41">
        <v>391991.03749999998</v>
      </c>
      <c r="H88" s="41"/>
      <c r="I88" s="41"/>
      <c r="J88" s="41">
        <f t="shared" si="11"/>
        <v>0</v>
      </c>
      <c r="K88" s="41">
        <v>2</v>
      </c>
      <c r="L88" s="41">
        <v>2</v>
      </c>
      <c r="M88" s="41">
        <f t="shared" si="12"/>
        <v>1724760.5649999999</v>
      </c>
      <c r="N88" s="41">
        <v>0</v>
      </c>
      <c r="O88" s="41">
        <v>0</v>
      </c>
      <c r="P88" s="41">
        <v>0</v>
      </c>
      <c r="Q88" s="41">
        <v>0</v>
      </c>
      <c r="R88" s="41">
        <v>0</v>
      </c>
      <c r="S88" s="41">
        <v>0</v>
      </c>
      <c r="T88" s="41">
        <v>0</v>
      </c>
      <c r="U88" s="41">
        <v>0</v>
      </c>
      <c r="V88" s="41">
        <v>0</v>
      </c>
    </row>
    <row r="89" spans="1:31" ht="57.6" x14ac:dyDescent="0.3">
      <c r="A89" s="41" t="s">
        <v>836</v>
      </c>
      <c r="B89" s="41" t="s">
        <v>1136</v>
      </c>
      <c r="C89" s="41" t="s">
        <v>1137</v>
      </c>
      <c r="D89" s="41" t="s">
        <v>1157</v>
      </c>
      <c r="E89" s="41" t="s">
        <v>149</v>
      </c>
      <c r="F89" s="41" t="s">
        <v>708</v>
      </c>
      <c r="G89" s="41">
        <f>980*1030</f>
        <v>1009400</v>
      </c>
      <c r="H89" s="41"/>
      <c r="I89" s="41"/>
      <c r="J89" s="41">
        <f t="shared" si="11"/>
        <v>0</v>
      </c>
      <c r="K89" s="41">
        <v>1</v>
      </c>
      <c r="L89" s="41">
        <v>25</v>
      </c>
      <c r="M89" s="41">
        <f t="shared" si="12"/>
        <v>27758500</v>
      </c>
      <c r="N89" s="41">
        <v>0</v>
      </c>
      <c r="O89" s="41">
        <v>0</v>
      </c>
      <c r="P89" s="41">
        <v>0</v>
      </c>
      <c r="Q89" s="41">
        <v>0</v>
      </c>
      <c r="R89" s="41">
        <v>0</v>
      </c>
      <c r="S89" s="41">
        <v>0</v>
      </c>
      <c r="T89" s="41">
        <v>0</v>
      </c>
      <c r="U89" s="41">
        <v>0</v>
      </c>
      <c r="V89" s="41">
        <v>0</v>
      </c>
    </row>
    <row r="90" spans="1:31" ht="57.6" x14ac:dyDescent="0.3">
      <c r="A90" s="41" t="s">
        <v>836</v>
      </c>
      <c r="B90" s="41" t="s">
        <v>1136</v>
      </c>
      <c r="C90" s="41" t="s">
        <v>1137</v>
      </c>
      <c r="D90" s="41" t="s">
        <v>1157</v>
      </c>
      <c r="E90" s="41" t="s">
        <v>174</v>
      </c>
      <c r="F90" s="41" t="s">
        <v>841</v>
      </c>
      <c r="G90" s="41">
        <v>0</v>
      </c>
      <c r="H90" s="41"/>
      <c r="I90" s="41"/>
      <c r="J90" s="41">
        <f t="shared" si="11"/>
        <v>0</v>
      </c>
      <c r="K90" s="41">
        <v>1</v>
      </c>
      <c r="L90" s="41">
        <v>40</v>
      </c>
      <c r="M90" s="41">
        <f t="shared" si="12"/>
        <v>0</v>
      </c>
      <c r="N90" s="41">
        <v>0</v>
      </c>
      <c r="O90" s="41">
        <v>0</v>
      </c>
      <c r="P90" s="41">
        <v>0</v>
      </c>
      <c r="Q90" s="41">
        <v>0</v>
      </c>
      <c r="R90" s="41">
        <v>0</v>
      </c>
      <c r="S90" s="41">
        <v>0</v>
      </c>
      <c r="T90" s="41">
        <v>0</v>
      </c>
      <c r="U90" s="41">
        <v>0</v>
      </c>
      <c r="V90" s="41">
        <v>0</v>
      </c>
    </row>
    <row r="91" spans="1:31" ht="57.6" x14ac:dyDescent="0.3">
      <c r="A91" s="41" t="s">
        <v>836</v>
      </c>
      <c r="B91" s="41" t="s">
        <v>1136</v>
      </c>
      <c r="C91" s="41" t="s">
        <v>1137</v>
      </c>
      <c r="D91" s="41" t="s">
        <v>1157</v>
      </c>
      <c r="E91" s="41" t="s">
        <v>1015</v>
      </c>
      <c r="F91" s="41" t="s">
        <v>709</v>
      </c>
      <c r="G91" s="41">
        <v>35000</v>
      </c>
      <c r="H91" s="41"/>
      <c r="I91" s="41"/>
      <c r="J91" s="41">
        <f t="shared" si="11"/>
        <v>0</v>
      </c>
      <c r="K91" s="41">
        <v>25</v>
      </c>
      <c r="L91" s="41">
        <v>5</v>
      </c>
      <c r="M91" s="41">
        <f t="shared" si="12"/>
        <v>4812500</v>
      </c>
      <c r="N91" s="41">
        <v>0</v>
      </c>
      <c r="O91" s="41">
        <v>0</v>
      </c>
      <c r="P91" s="41">
        <v>0</v>
      </c>
      <c r="Q91" s="41">
        <v>0</v>
      </c>
      <c r="R91" s="41">
        <v>0</v>
      </c>
      <c r="S91" s="41">
        <v>0</v>
      </c>
      <c r="T91" s="41">
        <v>0</v>
      </c>
      <c r="U91" s="41">
        <v>0</v>
      </c>
      <c r="V91" s="41">
        <v>0</v>
      </c>
    </row>
    <row r="92" spans="1:31" ht="57.6" x14ac:dyDescent="0.3">
      <c r="A92" s="41" t="s">
        <v>836</v>
      </c>
      <c r="B92" s="41" t="s">
        <v>1136</v>
      </c>
      <c r="C92" s="41" t="s">
        <v>1137</v>
      </c>
      <c r="D92" s="41" t="s">
        <v>1157</v>
      </c>
      <c r="E92" s="41" t="s">
        <v>1015</v>
      </c>
      <c r="F92" s="41" t="s">
        <v>1297</v>
      </c>
      <c r="G92" s="41">
        <v>8000</v>
      </c>
      <c r="H92" s="41"/>
      <c r="I92" s="41"/>
      <c r="J92" s="41">
        <f t="shared" si="11"/>
        <v>0</v>
      </c>
      <c r="K92" s="41">
        <v>25</v>
      </c>
      <c r="L92" s="41">
        <v>5</v>
      </c>
      <c r="M92" s="41">
        <f t="shared" si="12"/>
        <v>1100000</v>
      </c>
      <c r="N92" s="41">
        <v>0</v>
      </c>
      <c r="O92" s="41">
        <v>0</v>
      </c>
      <c r="P92" s="41">
        <v>0</v>
      </c>
      <c r="Q92" s="41">
        <v>0</v>
      </c>
      <c r="R92" s="41">
        <v>0</v>
      </c>
      <c r="S92" s="41">
        <v>0</v>
      </c>
      <c r="T92" s="41">
        <v>0</v>
      </c>
      <c r="U92" s="41">
        <v>0</v>
      </c>
      <c r="V92" s="41">
        <v>0</v>
      </c>
    </row>
    <row r="93" spans="1:31" ht="57.6" x14ac:dyDescent="0.3">
      <c r="A93" s="41" t="s">
        <v>836</v>
      </c>
      <c r="B93" s="41" t="s">
        <v>1136</v>
      </c>
      <c r="C93" s="41" t="s">
        <v>1137</v>
      </c>
      <c r="D93" s="41" t="s">
        <v>1157</v>
      </c>
      <c r="E93" s="41" t="s">
        <v>1015</v>
      </c>
      <c r="F93" s="41" t="s">
        <v>710</v>
      </c>
      <c r="G93" s="41">
        <v>104850</v>
      </c>
      <c r="H93" s="41"/>
      <c r="I93" s="41"/>
      <c r="J93" s="41">
        <f t="shared" si="11"/>
        <v>0</v>
      </c>
      <c r="K93" s="41">
        <v>1</v>
      </c>
      <c r="L93" s="41">
        <v>1</v>
      </c>
      <c r="M93" s="41">
        <f t="shared" si="12"/>
        <v>115335.00000000001</v>
      </c>
      <c r="N93" s="41">
        <v>0</v>
      </c>
      <c r="O93" s="41">
        <v>0</v>
      </c>
      <c r="P93" s="41">
        <v>0</v>
      </c>
      <c r="Q93" s="41">
        <v>0</v>
      </c>
      <c r="R93" s="41">
        <v>0</v>
      </c>
      <c r="S93" s="41">
        <v>0</v>
      </c>
      <c r="T93" s="41">
        <v>0</v>
      </c>
      <c r="U93" s="41">
        <v>0</v>
      </c>
      <c r="V93" s="41">
        <v>0</v>
      </c>
    </row>
    <row r="94" spans="1:31" ht="57.6" x14ac:dyDescent="0.3">
      <c r="A94" s="41" t="s">
        <v>836</v>
      </c>
      <c r="B94" s="41" t="s">
        <v>1136</v>
      </c>
      <c r="C94" s="41" t="s">
        <v>1137</v>
      </c>
      <c r="D94" s="41" t="s">
        <v>1157</v>
      </c>
      <c r="E94" s="41" t="s">
        <v>1159</v>
      </c>
      <c r="F94" s="41" t="s">
        <v>713</v>
      </c>
      <c r="G94" s="41">
        <v>45000</v>
      </c>
      <c r="H94" s="41"/>
      <c r="I94" s="41"/>
      <c r="J94" s="41">
        <f t="shared" si="11"/>
        <v>0</v>
      </c>
      <c r="K94" s="41">
        <v>25</v>
      </c>
      <c r="L94" s="41">
        <v>3</v>
      </c>
      <c r="M94" s="41">
        <f t="shared" si="12"/>
        <v>3712500.0000000009</v>
      </c>
      <c r="N94" s="41">
        <v>0</v>
      </c>
      <c r="O94" s="41">
        <v>0</v>
      </c>
      <c r="P94" s="41">
        <v>0</v>
      </c>
      <c r="Q94" s="41">
        <v>0</v>
      </c>
      <c r="R94" s="41">
        <v>0</v>
      </c>
      <c r="S94" s="41">
        <v>0</v>
      </c>
      <c r="T94" s="41">
        <v>0</v>
      </c>
      <c r="U94" s="41">
        <v>0</v>
      </c>
      <c r="V94" s="41">
        <v>0</v>
      </c>
    </row>
    <row r="95" spans="1:31" ht="57.6" x14ac:dyDescent="0.3">
      <c r="A95" s="41" t="s">
        <v>836</v>
      </c>
      <c r="B95" s="41" t="s">
        <v>1136</v>
      </c>
      <c r="C95" s="41" t="s">
        <v>1137</v>
      </c>
      <c r="D95" s="41" t="s">
        <v>1157</v>
      </c>
      <c r="E95" s="41" t="s">
        <v>1159</v>
      </c>
      <c r="F95" s="41" t="s">
        <v>712</v>
      </c>
      <c r="G95" s="41">
        <f>1999.2/7</f>
        <v>285.60000000000002</v>
      </c>
      <c r="H95" s="41"/>
      <c r="I95" s="41"/>
      <c r="J95" s="41">
        <f t="shared" si="11"/>
        <v>0</v>
      </c>
      <c r="K95" s="41">
        <v>25</v>
      </c>
      <c r="L95" s="41">
        <v>3</v>
      </c>
      <c r="M95" s="41">
        <f t="shared" si="12"/>
        <v>23562.000000000004</v>
      </c>
      <c r="N95" s="41">
        <v>0</v>
      </c>
      <c r="O95" s="41">
        <v>0</v>
      </c>
      <c r="P95" s="41">
        <v>0</v>
      </c>
      <c r="Q95" s="41">
        <v>0</v>
      </c>
      <c r="R95" s="41">
        <v>0</v>
      </c>
      <c r="S95" s="41">
        <v>0</v>
      </c>
      <c r="T95" s="41">
        <v>0</v>
      </c>
      <c r="U95" s="41">
        <v>0</v>
      </c>
      <c r="V95" s="41">
        <v>0</v>
      </c>
    </row>
    <row r="96" spans="1:31" x14ac:dyDescent="0.3">
      <c r="A96" s="41"/>
      <c r="B96" s="41"/>
      <c r="C96" s="41"/>
      <c r="D96" s="41"/>
      <c r="E96" s="41"/>
      <c r="F96" s="41" t="s">
        <v>1326</v>
      </c>
      <c r="G96" s="41">
        <f>1999.2/7</f>
        <v>285.60000000000002</v>
      </c>
      <c r="H96" s="41"/>
      <c r="I96" s="41"/>
      <c r="J96" s="41">
        <f t="shared" si="11"/>
        <v>0</v>
      </c>
      <c r="K96" s="41">
        <v>25</v>
      </c>
      <c r="L96" s="41">
        <v>1</v>
      </c>
      <c r="M96" s="41">
        <f t="shared" si="12"/>
        <v>7854.0000000000009</v>
      </c>
      <c r="N96" s="41"/>
      <c r="O96" s="41"/>
      <c r="P96" s="41"/>
      <c r="Q96" s="41"/>
      <c r="R96" s="41"/>
      <c r="S96" s="41"/>
      <c r="T96" s="41"/>
      <c r="U96" s="41"/>
      <c r="V96" s="41"/>
    </row>
    <row r="97" spans="1:31" ht="57.6" x14ac:dyDescent="0.3">
      <c r="A97" s="41" t="s">
        <v>836</v>
      </c>
      <c r="B97" s="41" t="s">
        <v>1136</v>
      </c>
      <c r="C97" s="41" t="s">
        <v>1137</v>
      </c>
      <c r="D97" s="41" t="s">
        <v>1157</v>
      </c>
      <c r="E97" s="41" t="s">
        <v>1160</v>
      </c>
      <c r="F97" s="41" t="s">
        <v>713</v>
      </c>
      <c r="G97" s="41">
        <v>45000</v>
      </c>
      <c r="H97" s="41"/>
      <c r="I97" s="41"/>
      <c r="J97" s="41">
        <f t="shared" si="11"/>
        <v>0</v>
      </c>
      <c r="K97" s="41">
        <v>25</v>
      </c>
      <c r="L97" s="41">
        <v>6</v>
      </c>
      <c r="M97" s="41">
        <f t="shared" si="12"/>
        <v>7425000.0000000019</v>
      </c>
      <c r="N97" s="41">
        <v>0</v>
      </c>
      <c r="O97" s="41">
        <v>0</v>
      </c>
      <c r="P97" s="41">
        <v>0</v>
      </c>
      <c r="Q97" s="41">
        <v>0</v>
      </c>
      <c r="R97" s="41">
        <v>0</v>
      </c>
      <c r="S97" s="41">
        <v>0</v>
      </c>
      <c r="T97" s="41">
        <v>0</v>
      </c>
      <c r="U97" s="41">
        <v>0</v>
      </c>
      <c r="V97" s="41">
        <v>0</v>
      </c>
    </row>
    <row r="98" spans="1:31" ht="57.6" x14ac:dyDescent="0.3">
      <c r="A98" s="41" t="s">
        <v>836</v>
      </c>
      <c r="B98" s="41" t="s">
        <v>1136</v>
      </c>
      <c r="C98" s="41" t="s">
        <v>1137</v>
      </c>
      <c r="D98" s="41" t="s">
        <v>1157</v>
      </c>
      <c r="E98" s="41" t="s">
        <v>1160</v>
      </c>
      <c r="F98" s="41" t="s">
        <v>712</v>
      </c>
      <c r="G98" s="41">
        <f>1999.2/7</f>
        <v>285.60000000000002</v>
      </c>
      <c r="H98" s="41"/>
      <c r="I98" s="41"/>
      <c r="J98" s="41">
        <f t="shared" si="11"/>
        <v>0</v>
      </c>
      <c r="K98" s="41">
        <v>25</v>
      </c>
      <c r="L98" s="41">
        <v>5</v>
      </c>
      <c r="M98" s="41">
        <f t="shared" si="12"/>
        <v>39270.000000000007</v>
      </c>
      <c r="N98" s="41">
        <v>0</v>
      </c>
      <c r="O98" s="41">
        <v>0</v>
      </c>
      <c r="P98" s="41">
        <v>0</v>
      </c>
      <c r="Q98" s="41">
        <v>0</v>
      </c>
      <c r="R98" s="41">
        <v>0</v>
      </c>
      <c r="S98" s="41">
        <v>0</v>
      </c>
      <c r="T98" s="41">
        <v>0</v>
      </c>
      <c r="U98" s="41">
        <v>0</v>
      </c>
      <c r="V98" s="41">
        <v>0</v>
      </c>
    </row>
    <row r="99" spans="1:31" ht="57.6" x14ac:dyDescent="0.3">
      <c r="A99" s="41" t="s">
        <v>836</v>
      </c>
      <c r="B99" s="41" t="s">
        <v>1136</v>
      </c>
      <c r="C99" s="41" t="s">
        <v>1137</v>
      </c>
      <c r="D99" s="41" t="s">
        <v>1157</v>
      </c>
      <c r="E99" s="41" t="s">
        <v>1160</v>
      </c>
      <c r="F99" s="41" t="s">
        <v>714</v>
      </c>
      <c r="G99" s="41">
        <v>10000</v>
      </c>
      <c r="H99" s="41"/>
      <c r="I99" s="41"/>
      <c r="J99" s="41">
        <f t="shared" si="11"/>
        <v>0</v>
      </c>
      <c r="K99" s="41">
        <v>15</v>
      </c>
      <c r="L99" s="41">
        <v>1</v>
      </c>
      <c r="M99" s="41">
        <f t="shared" si="12"/>
        <v>165000</v>
      </c>
      <c r="N99" s="41">
        <v>0</v>
      </c>
      <c r="O99" s="41">
        <v>0</v>
      </c>
      <c r="P99" s="41">
        <v>0</v>
      </c>
      <c r="Q99" s="41">
        <v>0</v>
      </c>
      <c r="R99" s="41">
        <v>0</v>
      </c>
      <c r="S99" s="41">
        <v>0</v>
      </c>
      <c r="T99" s="41">
        <v>0</v>
      </c>
      <c r="U99" s="41">
        <v>0</v>
      </c>
      <c r="V99" s="41">
        <v>0</v>
      </c>
    </row>
    <row r="100" spans="1:31" ht="57.6" x14ac:dyDescent="0.3">
      <c r="A100" s="41" t="s">
        <v>836</v>
      </c>
      <c r="B100" s="41" t="s">
        <v>1136</v>
      </c>
      <c r="C100" s="41" t="s">
        <v>1137</v>
      </c>
      <c r="D100" s="41" t="s">
        <v>1157</v>
      </c>
      <c r="E100" s="41" t="s">
        <v>1004</v>
      </c>
      <c r="F100" s="41" t="s">
        <v>709</v>
      </c>
      <c r="G100" s="41">
        <v>35000</v>
      </c>
      <c r="H100" s="41"/>
      <c r="I100" s="41"/>
      <c r="J100" s="41">
        <f t="shared" si="11"/>
        <v>0</v>
      </c>
      <c r="K100" s="41">
        <v>25</v>
      </c>
      <c r="L100" s="41">
        <v>5</v>
      </c>
      <c r="M100" s="41">
        <f t="shared" si="12"/>
        <v>4812500</v>
      </c>
      <c r="N100" s="41">
        <v>0</v>
      </c>
      <c r="O100" s="41">
        <v>0</v>
      </c>
      <c r="P100" s="41">
        <v>0</v>
      </c>
      <c r="Q100" s="41">
        <v>0</v>
      </c>
      <c r="R100" s="41">
        <v>0</v>
      </c>
      <c r="S100" s="41">
        <v>0</v>
      </c>
      <c r="T100" s="41">
        <v>0</v>
      </c>
      <c r="U100" s="41">
        <v>0</v>
      </c>
      <c r="V100" s="41">
        <v>0</v>
      </c>
    </row>
    <row r="101" spans="1:31" ht="57.6" x14ac:dyDescent="0.3">
      <c r="A101" s="41" t="s">
        <v>836</v>
      </c>
      <c r="B101" s="41" t="s">
        <v>1136</v>
      </c>
      <c r="C101" s="41" t="s">
        <v>1137</v>
      </c>
      <c r="D101" s="41" t="s">
        <v>1157</v>
      </c>
      <c r="E101" s="41" t="s">
        <v>1004</v>
      </c>
      <c r="F101" s="41" t="s">
        <v>716</v>
      </c>
      <c r="G101" s="41">
        <v>39000</v>
      </c>
      <c r="H101" s="41"/>
      <c r="I101" s="41"/>
      <c r="J101" s="41">
        <f t="shared" si="11"/>
        <v>0</v>
      </c>
      <c r="K101" s="41">
        <v>25</v>
      </c>
      <c r="L101" s="41">
        <v>5</v>
      </c>
      <c r="M101" s="41">
        <f t="shared" si="12"/>
        <v>5362500</v>
      </c>
      <c r="N101" s="41">
        <v>0</v>
      </c>
      <c r="O101" s="41">
        <v>0</v>
      </c>
      <c r="P101" s="41">
        <v>0</v>
      </c>
      <c r="Q101" s="41">
        <v>0</v>
      </c>
      <c r="R101" s="41">
        <v>0</v>
      </c>
      <c r="S101" s="41">
        <v>0</v>
      </c>
      <c r="T101" s="41">
        <v>0</v>
      </c>
      <c r="U101" s="41">
        <v>0</v>
      </c>
      <c r="V101" s="41">
        <v>0</v>
      </c>
    </row>
    <row r="102" spans="1:31" ht="57.6" x14ac:dyDescent="0.3">
      <c r="A102" s="41" t="s">
        <v>836</v>
      </c>
      <c r="B102" s="41" t="s">
        <v>1136</v>
      </c>
      <c r="C102" s="41" t="s">
        <v>1137</v>
      </c>
      <c r="D102" s="41" t="s">
        <v>1157</v>
      </c>
      <c r="E102" s="41" t="s">
        <v>1004</v>
      </c>
      <c r="F102" s="41" t="s">
        <v>712</v>
      </c>
      <c r="G102" s="41">
        <f>1999.2/7</f>
        <v>285.60000000000002</v>
      </c>
      <c r="H102" s="41"/>
      <c r="I102" s="41"/>
      <c r="J102" s="41">
        <f t="shared" si="11"/>
        <v>0</v>
      </c>
      <c r="K102" s="41">
        <v>25</v>
      </c>
      <c r="L102" s="41">
        <v>5</v>
      </c>
      <c r="M102" s="41">
        <f t="shared" si="12"/>
        <v>39270.000000000007</v>
      </c>
      <c r="N102" s="41">
        <v>0</v>
      </c>
      <c r="O102" s="41">
        <v>0</v>
      </c>
      <c r="P102" s="41">
        <v>0</v>
      </c>
      <c r="Q102" s="41">
        <v>0</v>
      </c>
      <c r="R102" s="41">
        <v>0</v>
      </c>
      <c r="S102" s="41">
        <v>0</v>
      </c>
      <c r="T102" s="41">
        <v>0</v>
      </c>
      <c r="U102" s="41">
        <v>0</v>
      </c>
      <c r="V102" s="41">
        <v>0</v>
      </c>
    </row>
    <row r="103" spans="1:31" ht="57.6" x14ac:dyDescent="0.3">
      <c r="A103" s="41" t="s">
        <v>836</v>
      </c>
      <c r="B103" s="41" t="s">
        <v>1136</v>
      </c>
      <c r="C103" s="41" t="s">
        <v>1137</v>
      </c>
      <c r="D103" s="41" t="s">
        <v>1157</v>
      </c>
      <c r="E103" s="41" t="s">
        <v>1004</v>
      </c>
      <c r="F103" s="41" t="s">
        <v>1326</v>
      </c>
      <c r="G103" s="41">
        <f>1999.2/7</f>
        <v>285.60000000000002</v>
      </c>
      <c r="H103" s="41"/>
      <c r="I103" s="41"/>
      <c r="J103" s="41">
        <f t="shared" si="11"/>
        <v>0</v>
      </c>
      <c r="K103" s="41">
        <f>2*135*9</f>
        <v>2430</v>
      </c>
      <c r="L103" s="41">
        <v>1</v>
      </c>
      <c r="M103" s="41">
        <f t="shared" si="12"/>
        <v>763408.8</v>
      </c>
      <c r="N103" s="41"/>
      <c r="O103" s="41"/>
      <c r="P103" s="41"/>
      <c r="Q103" s="41"/>
      <c r="R103" s="41"/>
      <c r="S103" s="41"/>
      <c r="T103" s="41"/>
      <c r="U103" s="41"/>
      <c r="V103" s="41"/>
    </row>
    <row r="104" spans="1:31" ht="57.6" x14ac:dyDescent="0.3">
      <c r="A104" s="41" t="s">
        <v>836</v>
      </c>
      <c r="B104" s="41" t="s">
        <v>1136</v>
      </c>
      <c r="C104" s="41" t="s">
        <v>1137</v>
      </c>
      <c r="D104" s="41" t="s">
        <v>1157</v>
      </c>
      <c r="E104" s="41" t="s">
        <v>1161</v>
      </c>
      <c r="F104" s="41" t="s">
        <v>841</v>
      </c>
      <c r="G104" s="41">
        <v>0</v>
      </c>
      <c r="H104" s="41"/>
      <c r="I104" s="41"/>
      <c r="J104" s="41">
        <f t="shared" si="11"/>
        <v>0</v>
      </c>
      <c r="K104" s="41">
        <v>4000</v>
      </c>
      <c r="L104" s="41">
        <v>1</v>
      </c>
      <c r="M104" s="41">
        <f t="shared" si="12"/>
        <v>0</v>
      </c>
      <c r="N104" s="41">
        <v>0</v>
      </c>
      <c r="O104" s="41">
        <v>0</v>
      </c>
      <c r="P104" s="41">
        <v>0</v>
      </c>
      <c r="Q104" s="41">
        <v>0</v>
      </c>
      <c r="R104" s="41">
        <v>0</v>
      </c>
      <c r="S104" s="41">
        <v>0</v>
      </c>
      <c r="T104" s="41">
        <v>0</v>
      </c>
      <c r="U104" s="41">
        <v>0</v>
      </c>
      <c r="V104" s="41">
        <v>0</v>
      </c>
    </row>
    <row r="105" spans="1:31" ht="57.6" x14ac:dyDescent="0.3">
      <c r="A105" s="41" t="s">
        <v>836</v>
      </c>
      <c r="B105" s="41" t="s">
        <v>1136</v>
      </c>
      <c r="C105" s="41" t="s">
        <v>1137</v>
      </c>
      <c r="D105" s="41" t="s">
        <v>1157</v>
      </c>
      <c r="E105" s="41" t="s">
        <v>177</v>
      </c>
      <c r="F105" s="41" t="s">
        <v>709</v>
      </c>
      <c r="G105" s="41">
        <v>35000</v>
      </c>
      <c r="H105" s="41"/>
      <c r="I105" s="41"/>
      <c r="J105" s="41">
        <f t="shared" si="11"/>
        <v>0</v>
      </c>
      <c r="K105" s="41">
        <v>100</v>
      </c>
      <c r="L105" s="41">
        <v>5</v>
      </c>
      <c r="M105" s="41">
        <f t="shared" si="12"/>
        <v>19250000</v>
      </c>
      <c r="N105" s="41">
        <v>0</v>
      </c>
      <c r="O105" s="41">
        <v>0</v>
      </c>
      <c r="P105" s="41">
        <v>0</v>
      </c>
      <c r="Q105" s="41">
        <v>0</v>
      </c>
      <c r="R105" s="41">
        <v>0</v>
      </c>
      <c r="S105" s="41">
        <v>0</v>
      </c>
      <c r="T105" s="41">
        <v>0</v>
      </c>
      <c r="U105" s="41">
        <v>0</v>
      </c>
      <c r="V105" s="41">
        <v>0</v>
      </c>
    </row>
    <row r="106" spans="1:31" ht="57.6" x14ac:dyDescent="0.3">
      <c r="A106" s="41" t="s">
        <v>836</v>
      </c>
      <c r="B106" s="41" t="s">
        <v>1136</v>
      </c>
      <c r="C106" s="41" t="s">
        <v>1137</v>
      </c>
      <c r="D106" s="41" t="s">
        <v>1157</v>
      </c>
      <c r="E106" s="41" t="s">
        <v>177</v>
      </c>
      <c r="F106" s="41" t="s">
        <v>716</v>
      </c>
      <c r="G106" s="41">
        <v>39000</v>
      </c>
      <c r="H106" s="41"/>
      <c r="I106" s="41"/>
      <c r="J106" s="41">
        <f t="shared" si="11"/>
        <v>0</v>
      </c>
      <c r="K106" s="41">
        <v>58</v>
      </c>
      <c r="L106" s="41">
        <v>6</v>
      </c>
      <c r="M106" s="41">
        <f t="shared" si="12"/>
        <v>14929200</v>
      </c>
      <c r="N106" s="41">
        <v>0</v>
      </c>
      <c r="O106" s="41">
        <v>0</v>
      </c>
      <c r="P106" s="41">
        <v>0</v>
      </c>
      <c r="Q106" s="41">
        <v>0</v>
      </c>
      <c r="R106" s="41">
        <v>0</v>
      </c>
      <c r="S106" s="41">
        <v>0</v>
      </c>
      <c r="T106" s="41">
        <v>0</v>
      </c>
      <c r="U106" s="41">
        <v>0</v>
      </c>
      <c r="V106" s="41">
        <v>0</v>
      </c>
    </row>
    <row r="107" spans="1:31" ht="57.6" x14ac:dyDescent="0.3">
      <c r="A107" s="41" t="s">
        <v>836</v>
      </c>
      <c r="B107" s="41" t="s">
        <v>1136</v>
      </c>
      <c r="C107" s="41" t="s">
        <v>1137</v>
      </c>
      <c r="D107" s="41" t="s">
        <v>1157</v>
      </c>
      <c r="E107" s="41" t="s">
        <v>177</v>
      </c>
      <c r="F107" s="41" t="s">
        <v>712</v>
      </c>
      <c r="G107" s="41">
        <f>1999.2/7</f>
        <v>285.60000000000002</v>
      </c>
      <c r="H107" s="41"/>
      <c r="I107" s="41"/>
      <c r="J107" s="41">
        <f t="shared" si="11"/>
        <v>0</v>
      </c>
      <c r="K107" s="41">
        <f>2*25*9</f>
        <v>450</v>
      </c>
      <c r="L107" s="41">
        <v>5</v>
      </c>
      <c r="M107" s="41">
        <f t="shared" si="12"/>
        <v>706860</v>
      </c>
      <c r="N107" s="41">
        <v>0</v>
      </c>
      <c r="O107" s="41">
        <v>0</v>
      </c>
      <c r="P107" s="41">
        <v>0</v>
      </c>
      <c r="Q107" s="41">
        <v>0</v>
      </c>
      <c r="R107" s="41">
        <v>0</v>
      </c>
      <c r="S107" s="41">
        <v>0</v>
      </c>
      <c r="T107" s="41">
        <v>0</v>
      </c>
      <c r="U107" s="41">
        <v>0</v>
      </c>
      <c r="V107" s="41">
        <v>0</v>
      </c>
    </row>
    <row r="108" spans="1:31" ht="57.6" x14ac:dyDescent="0.3">
      <c r="A108" s="41" t="s">
        <v>836</v>
      </c>
      <c r="B108" s="41" t="s">
        <v>1136</v>
      </c>
      <c r="C108" s="41" t="s">
        <v>1137</v>
      </c>
      <c r="D108" s="41" t="s">
        <v>1157</v>
      </c>
      <c r="E108" s="41" t="s">
        <v>177</v>
      </c>
      <c r="F108" s="41" t="s">
        <v>1326</v>
      </c>
      <c r="G108" s="41">
        <f>1999.2/7</f>
        <v>285.60000000000002</v>
      </c>
      <c r="H108" s="41"/>
      <c r="I108" s="41"/>
      <c r="J108" s="41">
        <f t="shared" si="11"/>
        <v>0</v>
      </c>
      <c r="K108" s="41">
        <f>2*135*9</f>
        <v>2430</v>
      </c>
      <c r="L108" s="41">
        <v>1</v>
      </c>
      <c r="M108" s="41">
        <f t="shared" si="12"/>
        <v>763408.8</v>
      </c>
      <c r="N108" s="41"/>
      <c r="O108" s="41"/>
      <c r="P108" s="41"/>
      <c r="Q108" s="41"/>
      <c r="R108" s="41"/>
      <c r="S108" s="41"/>
      <c r="T108" s="41"/>
      <c r="U108" s="41"/>
      <c r="V108" s="41"/>
    </row>
    <row r="109" spans="1:31" ht="57.6" x14ac:dyDescent="0.3">
      <c r="A109" s="41" t="s">
        <v>836</v>
      </c>
      <c r="B109" s="41" t="s">
        <v>1136</v>
      </c>
      <c r="C109" s="41" t="s">
        <v>1137</v>
      </c>
      <c r="D109" s="41" t="s">
        <v>1157</v>
      </c>
      <c r="E109" s="41" t="s">
        <v>1162</v>
      </c>
      <c r="F109" s="41" t="s">
        <v>709</v>
      </c>
      <c r="G109" s="41">
        <v>35000</v>
      </c>
      <c r="H109" s="41"/>
      <c r="I109" s="41"/>
      <c r="J109" s="41">
        <f t="shared" si="11"/>
        <v>0</v>
      </c>
      <c r="K109" s="41">
        <v>30</v>
      </c>
      <c r="L109" s="41">
        <v>1</v>
      </c>
      <c r="M109" s="41">
        <f t="shared" si="12"/>
        <v>1155000</v>
      </c>
      <c r="N109" s="41">
        <v>0</v>
      </c>
      <c r="O109" s="41">
        <v>0</v>
      </c>
      <c r="P109" s="41">
        <v>0</v>
      </c>
      <c r="Q109" s="41">
        <v>0</v>
      </c>
      <c r="R109" s="41">
        <v>0</v>
      </c>
      <c r="S109" s="41">
        <v>0</v>
      </c>
      <c r="T109" s="41">
        <v>0</v>
      </c>
      <c r="U109" s="41">
        <v>0</v>
      </c>
      <c r="V109" s="41">
        <v>0</v>
      </c>
    </row>
    <row r="110" spans="1:31" ht="57.6" x14ac:dyDescent="0.3">
      <c r="A110" s="41" t="s">
        <v>836</v>
      </c>
      <c r="B110" s="41" t="s">
        <v>1136</v>
      </c>
      <c r="C110" s="41" t="s">
        <v>1137</v>
      </c>
      <c r="D110" s="41" t="s">
        <v>1163</v>
      </c>
      <c r="E110" s="41" t="s">
        <v>1062</v>
      </c>
      <c r="F110" s="41" t="s">
        <v>841</v>
      </c>
      <c r="G110" s="41">
        <v>0</v>
      </c>
      <c r="H110" s="41"/>
      <c r="I110" s="41"/>
      <c r="J110" s="41">
        <f>$G110*H110*I110</f>
        <v>0</v>
      </c>
      <c r="K110" s="41">
        <v>20</v>
      </c>
      <c r="L110" s="41">
        <v>0.5</v>
      </c>
      <c r="M110" s="41">
        <v>0</v>
      </c>
      <c r="N110" s="41">
        <v>0</v>
      </c>
      <c r="O110" s="41">
        <v>0</v>
      </c>
      <c r="P110" s="41">
        <v>0</v>
      </c>
      <c r="Q110" s="41">
        <v>0</v>
      </c>
      <c r="R110" s="41">
        <v>0</v>
      </c>
      <c r="S110" s="41">
        <v>0</v>
      </c>
      <c r="T110" s="41">
        <v>0</v>
      </c>
      <c r="U110" s="41">
        <v>0</v>
      </c>
      <c r="V110" s="41">
        <v>0</v>
      </c>
    </row>
    <row r="111" spans="1:31" ht="57.6" x14ac:dyDescent="0.3">
      <c r="A111" s="41" t="s">
        <v>836</v>
      </c>
      <c r="B111" s="41" t="s">
        <v>1136</v>
      </c>
      <c r="C111" s="41" t="s">
        <v>1137</v>
      </c>
      <c r="D111" s="41" t="s">
        <v>1164</v>
      </c>
      <c r="E111" s="41" t="s">
        <v>155</v>
      </c>
      <c r="F111" s="41" t="s">
        <v>841</v>
      </c>
      <c r="G111" s="41">
        <v>0</v>
      </c>
      <c r="H111" s="41"/>
      <c r="I111" s="41"/>
      <c r="J111" s="41">
        <f>$G111*H111*I111</f>
        <v>0</v>
      </c>
      <c r="K111" s="41"/>
      <c r="L111" s="41"/>
      <c r="M111" s="41">
        <f>($G111*1.1^1)*K111*L111</f>
        <v>0</v>
      </c>
      <c r="N111" s="41">
        <v>0</v>
      </c>
      <c r="O111" s="41">
        <v>0</v>
      </c>
      <c r="P111" s="41">
        <f>($G111*1.1^2)*N111*O111</f>
        <v>0</v>
      </c>
      <c r="Q111" s="41"/>
      <c r="R111" s="41"/>
      <c r="S111" s="41">
        <f>($G111*1.1^3)*Q111*R111</f>
        <v>0</v>
      </c>
      <c r="T111" s="41"/>
      <c r="U111" s="41"/>
      <c r="V111" s="41">
        <f>($G111*1.1^4)*T111*U111</f>
        <v>0</v>
      </c>
      <c r="W111" s="41">
        <v>0</v>
      </c>
      <c r="X111" s="41">
        <v>0</v>
      </c>
      <c r="Y111" s="41">
        <f>($G111*1.1^5)*W111*X111</f>
        <v>0</v>
      </c>
      <c r="AB111" s="41">
        <f>($G111*1.1^7)*Z111*AA111</f>
        <v>0</v>
      </c>
      <c r="AE111" s="41">
        <f>($G111*1.1^8)*AC111*AD111</f>
        <v>0</v>
      </c>
    </row>
    <row r="112" spans="1:31" ht="57.6" x14ac:dyDescent="0.3">
      <c r="A112" s="41" t="s">
        <v>836</v>
      </c>
      <c r="B112" s="41" t="s">
        <v>1136</v>
      </c>
      <c r="C112" s="41" t="s">
        <v>1137</v>
      </c>
      <c r="D112" s="41" t="s">
        <v>1164</v>
      </c>
      <c r="E112" s="41" t="s">
        <v>169</v>
      </c>
      <c r="F112" s="41" t="s">
        <v>841</v>
      </c>
      <c r="G112" s="41">
        <v>0</v>
      </c>
      <c r="H112" s="41"/>
      <c r="I112" s="41"/>
      <c r="J112" s="41">
        <v>0</v>
      </c>
      <c r="K112" s="41"/>
      <c r="L112" s="41"/>
      <c r="M112" s="41">
        <v>0</v>
      </c>
      <c r="N112" s="41">
        <v>0</v>
      </c>
      <c r="O112" s="41">
        <v>0</v>
      </c>
      <c r="P112" s="41">
        <f t="shared" ref="P112:P121" si="13">($G112*1.1^2)*N112*O112</f>
        <v>0</v>
      </c>
      <c r="Q112" s="41"/>
      <c r="R112" s="41"/>
      <c r="S112" s="41">
        <v>0</v>
      </c>
      <c r="T112" s="41"/>
      <c r="U112" s="41"/>
      <c r="V112" s="41">
        <v>0</v>
      </c>
      <c r="W112" s="41">
        <v>0</v>
      </c>
      <c r="X112" s="41">
        <v>0</v>
      </c>
      <c r="Y112" s="41">
        <f t="shared" ref="Y112:Y121" si="14">($G112*1.1^5)*W112*X112</f>
        <v>0</v>
      </c>
    </row>
    <row r="113" spans="1:31" ht="57.6" x14ac:dyDescent="0.3">
      <c r="A113" s="41" t="s">
        <v>836</v>
      </c>
      <c r="B113" s="41" t="s">
        <v>1136</v>
      </c>
      <c r="C113" s="41" t="s">
        <v>1137</v>
      </c>
      <c r="D113" s="41" t="s">
        <v>1164</v>
      </c>
      <c r="E113" s="41" t="s">
        <v>1165</v>
      </c>
      <c r="F113" s="41" t="s">
        <v>707</v>
      </c>
      <c r="G113" s="41">
        <v>391991.03749999998</v>
      </c>
      <c r="H113" s="41"/>
      <c r="I113" s="41"/>
      <c r="J113" s="41">
        <v>0</v>
      </c>
      <c r="K113" s="41"/>
      <c r="L113" s="41"/>
      <c r="M113" s="41">
        <v>0</v>
      </c>
      <c r="N113" s="41">
        <v>2</v>
      </c>
      <c r="O113" s="41">
        <v>2</v>
      </c>
      <c r="P113" s="41">
        <f t="shared" si="13"/>
        <v>1897236.6215000001</v>
      </c>
      <c r="Q113" s="41"/>
      <c r="R113" s="41"/>
      <c r="S113" s="41">
        <v>0</v>
      </c>
      <c r="T113" s="41"/>
      <c r="U113" s="41"/>
      <c r="V113" s="41">
        <v>0</v>
      </c>
      <c r="W113" s="41">
        <v>2</v>
      </c>
      <c r="X113" s="41">
        <v>2</v>
      </c>
      <c r="Y113" s="41">
        <f t="shared" si="14"/>
        <v>2525221.9432165008</v>
      </c>
    </row>
    <row r="114" spans="1:31" ht="57.6" x14ac:dyDescent="0.3">
      <c r="A114" s="41" t="s">
        <v>836</v>
      </c>
      <c r="B114" s="41" t="s">
        <v>1136</v>
      </c>
      <c r="C114" s="41" t="s">
        <v>1137</v>
      </c>
      <c r="D114" s="41" t="s">
        <v>1164</v>
      </c>
      <c r="E114" s="41" t="s">
        <v>1165</v>
      </c>
      <c r="F114" s="41" t="s">
        <v>708</v>
      </c>
      <c r="G114" s="41">
        <f>980*1030</f>
        <v>1009400</v>
      </c>
      <c r="H114" s="41"/>
      <c r="I114" s="41"/>
      <c r="J114" s="41">
        <v>0</v>
      </c>
      <c r="K114" s="41"/>
      <c r="L114" s="41"/>
      <c r="M114" s="41">
        <v>0</v>
      </c>
      <c r="N114" s="41">
        <v>1</v>
      </c>
      <c r="O114" s="41">
        <v>25</v>
      </c>
      <c r="P114" s="41">
        <f t="shared" si="13"/>
        <v>30534350.000000007</v>
      </c>
      <c r="Q114" s="41"/>
      <c r="R114" s="41"/>
      <c r="S114" s="41">
        <v>0</v>
      </c>
      <c r="T114" s="41"/>
      <c r="U114" s="41"/>
      <c r="V114" s="41">
        <v>0</v>
      </c>
      <c r="W114" s="41">
        <v>1</v>
      </c>
      <c r="X114" s="41">
        <v>25</v>
      </c>
      <c r="Y114" s="41">
        <f t="shared" si="14"/>
        <v>40641219.850000009</v>
      </c>
    </row>
    <row r="115" spans="1:31" ht="57.6" x14ac:dyDescent="0.3">
      <c r="A115" s="41" t="s">
        <v>836</v>
      </c>
      <c r="B115" s="41" t="s">
        <v>1136</v>
      </c>
      <c r="C115" s="41" t="s">
        <v>1137</v>
      </c>
      <c r="D115" s="41" t="s">
        <v>1164</v>
      </c>
      <c r="E115" s="41" t="s">
        <v>1166</v>
      </c>
      <c r="F115" s="41" t="s">
        <v>724</v>
      </c>
      <c r="G115" s="41">
        <v>425000</v>
      </c>
      <c r="H115" s="41"/>
      <c r="I115" s="41"/>
      <c r="J115" s="41">
        <v>0</v>
      </c>
      <c r="K115" s="41"/>
      <c r="L115" s="41"/>
      <c r="M115" s="41">
        <v>0</v>
      </c>
      <c r="N115" s="41">
        <v>200</v>
      </c>
      <c r="O115" s="41">
        <v>1</v>
      </c>
      <c r="P115" s="41">
        <f t="shared" si="13"/>
        <v>102850000.00000001</v>
      </c>
      <c r="Q115" s="41"/>
      <c r="R115" s="41"/>
      <c r="S115" s="41">
        <v>0</v>
      </c>
      <c r="T115" s="41"/>
      <c r="U115" s="41"/>
      <c r="V115" s="41">
        <v>0</v>
      </c>
      <c r="W115" s="41">
        <v>200</v>
      </c>
      <c r="X115" s="41">
        <v>1</v>
      </c>
      <c r="Y115" s="41">
        <f t="shared" si="14"/>
        <v>136893350.00000006</v>
      </c>
    </row>
    <row r="116" spans="1:31" ht="57.6" x14ac:dyDescent="0.3">
      <c r="A116" s="41" t="s">
        <v>836</v>
      </c>
      <c r="B116" s="41" t="s">
        <v>1136</v>
      </c>
      <c r="C116" s="41" t="s">
        <v>1137</v>
      </c>
      <c r="D116" s="41" t="s">
        <v>1164</v>
      </c>
      <c r="E116" s="41" t="s">
        <v>1166</v>
      </c>
      <c r="F116" s="41" t="s">
        <v>1167</v>
      </c>
      <c r="G116" s="41">
        <v>400000</v>
      </c>
      <c r="H116" s="41"/>
      <c r="I116" s="41"/>
      <c r="J116" s="41">
        <v>0</v>
      </c>
      <c r="K116" s="41"/>
      <c r="L116" s="41"/>
      <c r="M116" s="41">
        <v>0</v>
      </c>
      <c r="N116" s="41">
        <v>200</v>
      </c>
      <c r="O116" s="41">
        <v>1</v>
      </c>
      <c r="P116" s="41">
        <f t="shared" si="13"/>
        <v>96800000.000000015</v>
      </c>
      <c r="Q116" s="41"/>
      <c r="R116" s="41"/>
      <c r="S116" s="41">
        <v>0</v>
      </c>
      <c r="T116" s="41"/>
      <c r="U116" s="41"/>
      <c r="V116" s="41">
        <v>0</v>
      </c>
      <c r="W116" s="41">
        <v>200</v>
      </c>
      <c r="X116" s="41">
        <v>1</v>
      </c>
      <c r="Y116" s="41">
        <f t="shared" si="14"/>
        <v>128840800.00000004</v>
      </c>
    </row>
    <row r="117" spans="1:31" ht="57.6" x14ac:dyDescent="0.3">
      <c r="A117" s="41" t="s">
        <v>836</v>
      </c>
      <c r="B117" s="41" t="s">
        <v>1136</v>
      </c>
      <c r="C117" s="41" t="s">
        <v>1137</v>
      </c>
      <c r="D117" s="41" t="s">
        <v>1164</v>
      </c>
      <c r="E117" s="41" t="s">
        <v>1166</v>
      </c>
      <c r="F117" s="41" t="s">
        <v>1168</v>
      </c>
      <c r="G117" s="41">
        <v>35000</v>
      </c>
      <c r="H117" s="41"/>
      <c r="I117" s="41"/>
      <c r="J117" s="41">
        <v>0</v>
      </c>
      <c r="K117" s="41"/>
      <c r="L117" s="41"/>
      <c r="M117" s="41">
        <v>0</v>
      </c>
      <c r="N117" s="41">
        <v>200</v>
      </c>
      <c r="O117" s="41">
        <v>1</v>
      </c>
      <c r="P117" s="41">
        <f t="shared" si="13"/>
        <v>8470000.0000000019</v>
      </c>
      <c r="Q117" s="41"/>
      <c r="R117" s="41"/>
      <c r="S117" s="41">
        <v>0</v>
      </c>
      <c r="T117" s="41"/>
      <c r="U117" s="41"/>
      <c r="V117" s="41">
        <v>0</v>
      </c>
      <c r="W117" s="41">
        <v>200</v>
      </c>
      <c r="X117" s="41">
        <v>1</v>
      </c>
      <c r="Y117" s="41">
        <f t="shared" si="14"/>
        <v>11273570.000000004</v>
      </c>
    </row>
    <row r="118" spans="1:31" ht="57.6" x14ac:dyDescent="0.3">
      <c r="A118" s="41" t="s">
        <v>836</v>
      </c>
      <c r="B118" s="41" t="s">
        <v>1136</v>
      </c>
      <c r="C118" s="41" t="s">
        <v>1137</v>
      </c>
      <c r="D118" s="41" t="s">
        <v>1169</v>
      </c>
      <c r="E118" s="41" t="s">
        <v>1170</v>
      </c>
      <c r="F118" s="41" t="s">
        <v>713</v>
      </c>
      <c r="G118" s="41">
        <v>45000</v>
      </c>
      <c r="H118" s="41"/>
      <c r="I118" s="41"/>
      <c r="J118" s="41">
        <v>0</v>
      </c>
      <c r="K118" s="41"/>
      <c r="L118" s="41"/>
      <c r="M118" s="41">
        <v>0</v>
      </c>
      <c r="N118" s="41">
        <v>25</v>
      </c>
      <c r="O118" s="41">
        <v>20</v>
      </c>
      <c r="P118" s="41">
        <f t="shared" si="13"/>
        <v>27225000.000000004</v>
      </c>
      <c r="Q118" s="41"/>
      <c r="R118" s="41"/>
      <c r="S118" s="41">
        <v>0</v>
      </c>
      <c r="T118" s="41"/>
      <c r="U118" s="41"/>
      <c r="V118" s="41">
        <v>0</v>
      </c>
      <c r="W118" s="41">
        <v>25</v>
      </c>
      <c r="X118" s="41">
        <v>20</v>
      </c>
      <c r="Y118" s="41">
        <f t="shared" si="14"/>
        <v>36236475.000000015</v>
      </c>
    </row>
    <row r="119" spans="1:31" ht="57.6" x14ac:dyDescent="0.3">
      <c r="A119" s="41" t="s">
        <v>836</v>
      </c>
      <c r="B119" s="41" t="s">
        <v>1136</v>
      </c>
      <c r="C119" s="41" t="s">
        <v>1137</v>
      </c>
      <c r="D119" s="41" t="s">
        <v>1169</v>
      </c>
      <c r="E119" s="41" t="s">
        <v>1170</v>
      </c>
      <c r="F119" s="41" t="s">
        <v>712</v>
      </c>
      <c r="G119" s="41">
        <f>1999.2/7</f>
        <v>285.60000000000002</v>
      </c>
      <c r="H119" s="41"/>
      <c r="I119" s="41"/>
      <c r="J119" s="41">
        <v>0</v>
      </c>
      <c r="K119" s="41"/>
      <c r="L119" s="41"/>
      <c r="M119" s="41">
        <v>0</v>
      </c>
      <c r="N119" s="41">
        <f>2*25*9</f>
        <v>450</v>
      </c>
      <c r="O119" s="41">
        <v>20</v>
      </c>
      <c r="P119" s="41">
        <f t="shared" si="13"/>
        <v>3110184.0000000009</v>
      </c>
      <c r="Q119" s="41"/>
      <c r="R119" s="41"/>
      <c r="S119" s="41">
        <v>0</v>
      </c>
      <c r="T119" s="41"/>
      <c r="U119" s="41"/>
      <c r="V119" s="41">
        <v>0</v>
      </c>
      <c r="W119" s="41">
        <f>2*25*9</f>
        <v>450</v>
      </c>
      <c r="X119" s="41">
        <v>20</v>
      </c>
      <c r="Y119" s="41">
        <f t="shared" si="14"/>
        <v>4139654.904000002</v>
      </c>
    </row>
    <row r="120" spans="1:31" ht="57.6" x14ac:dyDescent="0.3">
      <c r="A120" s="41" t="s">
        <v>836</v>
      </c>
      <c r="B120" s="41" t="s">
        <v>1136</v>
      </c>
      <c r="C120" s="41" t="s">
        <v>1137</v>
      </c>
      <c r="D120" s="41" t="s">
        <v>1169</v>
      </c>
      <c r="E120" s="41" t="s">
        <v>1170</v>
      </c>
      <c r="F120" s="41" t="s">
        <v>725</v>
      </c>
      <c r="G120" s="41">
        <f>50000*1030</f>
        <v>51500000</v>
      </c>
      <c r="H120" s="41"/>
      <c r="I120" s="41"/>
      <c r="J120" s="41">
        <v>0</v>
      </c>
      <c r="K120" s="41"/>
      <c r="L120" s="41"/>
      <c r="M120" s="41">
        <v>0</v>
      </c>
      <c r="N120" s="41">
        <v>5</v>
      </c>
      <c r="O120" s="41">
        <v>1</v>
      </c>
      <c r="P120" s="41">
        <f t="shared" si="13"/>
        <v>311575000.00000006</v>
      </c>
      <c r="Q120" s="41"/>
      <c r="R120" s="41"/>
      <c r="S120" s="41">
        <v>0</v>
      </c>
      <c r="T120" s="41"/>
      <c r="U120" s="41"/>
      <c r="V120" s="41">
        <v>0</v>
      </c>
      <c r="W120" s="41">
        <v>5</v>
      </c>
      <c r="X120" s="41">
        <v>1</v>
      </c>
      <c r="Y120" s="41">
        <f t="shared" si="14"/>
        <v>414706325.00000012</v>
      </c>
    </row>
    <row r="121" spans="1:31" ht="57.6" x14ac:dyDescent="0.3">
      <c r="A121" s="41" t="s">
        <v>836</v>
      </c>
      <c r="B121" s="41" t="s">
        <v>1136</v>
      </c>
      <c r="C121" s="41" t="s">
        <v>1137</v>
      </c>
      <c r="D121" s="41" t="s">
        <v>1169</v>
      </c>
      <c r="E121" s="41" t="s">
        <v>1171</v>
      </c>
      <c r="F121" s="41" t="s">
        <v>841</v>
      </c>
      <c r="G121" s="41">
        <v>0</v>
      </c>
      <c r="H121" s="41"/>
      <c r="I121" s="41"/>
      <c r="J121" s="41">
        <v>0</v>
      </c>
      <c r="K121" s="41"/>
      <c r="L121" s="41"/>
      <c r="M121" s="41">
        <v>0</v>
      </c>
      <c r="N121" s="41">
        <v>0</v>
      </c>
      <c r="O121" s="41">
        <v>0</v>
      </c>
      <c r="P121" s="41">
        <f t="shared" si="13"/>
        <v>0</v>
      </c>
      <c r="Q121" s="41"/>
      <c r="R121" s="41"/>
      <c r="S121" s="41">
        <v>0</v>
      </c>
      <c r="T121" s="41"/>
      <c r="U121" s="41"/>
      <c r="V121" s="41">
        <v>0</v>
      </c>
      <c r="W121" s="41">
        <v>0</v>
      </c>
      <c r="X121" s="41">
        <v>0</v>
      </c>
      <c r="Y121" s="41">
        <f t="shared" si="14"/>
        <v>0</v>
      </c>
    </row>
    <row r="122" spans="1:31" ht="57.6" x14ac:dyDescent="0.3">
      <c r="A122" s="41" t="s">
        <v>836</v>
      </c>
      <c r="B122" s="41" t="s">
        <v>1136</v>
      </c>
      <c r="C122" s="41" t="s">
        <v>1137</v>
      </c>
      <c r="D122" s="41" t="s">
        <v>1172</v>
      </c>
      <c r="E122" s="41" t="s">
        <v>1173</v>
      </c>
      <c r="F122" s="41" t="s">
        <v>709</v>
      </c>
      <c r="G122" s="41">
        <v>35000</v>
      </c>
      <c r="H122" s="41">
        <v>40</v>
      </c>
      <c r="I122" s="41">
        <v>5</v>
      </c>
      <c r="J122" s="41">
        <f t="shared" ref="J122:J128" si="15">$G122*H122*I122</f>
        <v>7000000</v>
      </c>
      <c r="K122" s="41">
        <v>40</v>
      </c>
      <c r="L122" s="41">
        <v>5</v>
      </c>
      <c r="M122" s="41">
        <f>($G122*1.1^1)*K122*L122</f>
        <v>7700000</v>
      </c>
      <c r="N122" s="41">
        <v>40</v>
      </c>
      <c r="O122" s="41">
        <v>5</v>
      </c>
      <c r="P122" s="41">
        <f>($G122*1.1^2)*N122*O122</f>
        <v>8470000.0000000019</v>
      </c>
      <c r="Q122" s="41">
        <v>40</v>
      </c>
      <c r="R122" s="41">
        <v>5</v>
      </c>
      <c r="S122" s="41">
        <f>($G122*1.1^3)*Q122*R122</f>
        <v>9317000.0000000019</v>
      </c>
      <c r="T122" s="41">
        <v>40</v>
      </c>
      <c r="U122" s="41">
        <v>5</v>
      </c>
      <c r="V122" s="41">
        <f>($G122*1.1^4)*T122*U122</f>
        <v>10248700.000000002</v>
      </c>
      <c r="W122" s="41">
        <v>40</v>
      </c>
      <c r="X122" s="41">
        <v>5</v>
      </c>
      <c r="Y122" s="41">
        <f>($G122*1.1^5)*W122*X122</f>
        <v>11273570.000000004</v>
      </c>
      <c r="Z122" s="41">
        <v>40</v>
      </c>
      <c r="AA122" s="41">
        <v>5</v>
      </c>
      <c r="AB122" s="41">
        <f>($G122*1.1^6)*Z122*AA122</f>
        <v>12400927.000000007</v>
      </c>
      <c r="AC122" s="41">
        <v>40</v>
      </c>
      <c r="AD122" s="41">
        <v>5</v>
      </c>
      <c r="AE122" s="41">
        <f>($G122*1.1^7)*AC122*AD122</f>
        <v>13641019.700000007</v>
      </c>
    </row>
    <row r="123" spans="1:31" ht="57.6" x14ac:dyDescent="0.3">
      <c r="A123" s="41" t="s">
        <v>836</v>
      </c>
      <c r="B123" s="41" t="s">
        <v>1136</v>
      </c>
      <c r="C123" s="41" t="s">
        <v>1137</v>
      </c>
      <c r="D123" s="41" t="s">
        <v>1172</v>
      </c>
      <c r="E123" s="41" t="s">
        <v>1173</v>
      </c>
      <c r="F123" s="41" t="s">
        <v>716</v>
      </c>
      <c r="G123" s="41">
        <v>39000</v>
      </c>
      <c r="H123" s="41">
        <v>40</v>
      </c>
      <c r="I123" s="41">
        <v>5</v>
      </c>
      <c r="J123" s="41">
        <f t="shared" si="15"/>
        <v>7800000</v>
      </c>
      <c r="K123" s="41">
        <v>40</v>
      </c>
      <c r="L123" s="41">
        <v>5</v>
      </c>
      <c r="M123" s="41">
        <f>($G123*1.1^1)*K123*L123</f>
        <v>8580000</v>
      </c>
      <c r="N123" s="41">
        <v>40</v>
      </c>
      <c r="O123" s="41">
        <v>5</v>
      </c>
      <c r="P123" s="41">
        <f>($G123*1.1^2)*N123*O123</f>
        <v>9438000.0000000019</v>
      </c>
      <c r="Q123" s="41">
        <v>40</v>
      </c>
      <c r="R123" s="41">
        <v>5</v>
      </c>
      <c r="S123" s="41">
        <f>($G123*1.1^3)*Q123*R123</f>
        <v>10381800.000000002</v>
      </c>
      <c r="T123" s="41">
        <v>40</v>
      </c>
      <c r="U123" s="41">
        <v>5</v>
      </c>
      <c r="V123" s="41">
        <f>($G123*1.1^4)*T123*U123</f>
        <v>11419980.000000002</v>
      </c>
      <c r="W123" s="41">
        <v>40</v>
      </c>
      <c r="X123" s="41">
        <v>5</v>
      </c>
      <c r="Y123" s="41">
        <f>($G123*1.1^5)*W123*X123</f>
        <v>12561978.000000006</v>
      </c>
      <c r="Z123" s="41">
        <v>40</v>
      </c>
      <c r="AA123" s="41">
        <v>5</v>
      </c>
      <c r="AB123" s="41">
        <f>($G123*1.1^6)*Z123*AA123</f>
        <v>13818175.800000004</v>
      </c>
      <c r="AC123" s="41">
        <v>40</v>
      </c>
      <c r="AD123" s="41">
        <v>5</v>
      </c>
      <c r="AE123" s="41">
        <f>($G123*1.1^7)*AC123*AD123</f>
        <v>15199993.38000001</v>
      </c>
    </row>
    <row r="124" spans="1:31" ht="57.6" x14ac:dyDescent="0.3">
      <c r="A124" s="41" t="s">
        <v>836</v>
      </c>
      <c r="B124" s="41" t="s">
        <v>1136</v>
      </c>
      <c r="C124" s="41" t="s">
        <v>1137</v>
      </c>
      <c r="D124" s="41" t="s">
        <v>1172</v>
      </c>
      <c r="E124" s="41" t="s">
        <v>1173</v>
      </c>
      <c r="F124" s="41" t="s">
        <v>712</v>
      </c>
      <c r="G124" s="41">
        <f>1999.2/7</f>
        <v>285.60000000000002</v>
      </c>
      <c r="H124" s="41">
        <f>2*25*10</f>
        <v>500</v>
      </c>
      <c r="I124" s="41">
        <v>5</v>
      </c>
      <c r="J124" s="41">
        <f t="shared" si="15"/>
        <v>714000</v>
      </c>
      <c r="K124" s="41">
        <f>2*25*10</f>
        <v>500</v>
      </c>
      <c r="L124" s="41">
        <v>5</v>
      </c>
      <c r="M124" s="41">
        <f>($G124*1.1^1)*K124*L124</f>
        <v>785400</v>
      </c>
      <c r="N124" s="41">
        <f>2*25*10</f>
        <v>500</v>
      </c>
      <c r="O124" s="41">
        <v>5</v>
      </c>
      <c r="P124" s="41">
        <f>($G124*1.1^2)*N124*O124</f>
        <v>863940.00000000012</v>
      </c>
      <c r="Q124" s="41">
        <f>2*25*10</f>
        <v>500</v>
      </c>
      <c r="R124" s="41">
        <v>5</v>
      </c>
      <c r="S124" s="41">
        <f>($G124*1.1^3)*Q124*R124</f>
        <v>950334.00000000035</v>
      </c>
      <c r="T124" s="41">
        <f>2*25*10</f>
        <v>500</v>
      </c>
      <c r="U124" s="41">
        <v>5</v>
      </c>
      <c r="V124" s="41">
        <f>($G124*1.1^4)*T124*U124</f>
        <v>1045367.4000000004</v>
      </c>
      <c r="W124" s="41">
        <f>2*25*10</f>
        <v>500</v>
      </c>
      <c r="X124" s="41">
        <v>5</v>
      </c>
      <c r="Y124" s="41">
        <f>($G124*1.1^5)*W124*X124</f>
        <v>1149904.1400000006</v>
      </c>
      <c r="Z124" s="41">
        <f>2*25*10</f>
        <v>500</v>
      </c>
      <c r="AA124" s="41">
        <v>5</v>
      </c>
      <c r="AB124" s="41">
        <f>($G124*1.1^6)*Z124*AA124</f>
        <v>1264894.5540000007</v>
      </c>
      <c r="AC124" s="41">
        <f>2*25*10</f>
        <v>500</v>
      </c>
      <c r="AD124" s="41">
        <v>5</v>
      </c>
      <c r="AE124" s="41">
        <f>($G124*1.1^7)*AC124*AD124</f>
        <v>1391384.009400001</v>
      </c>
    </row>
    <row r="125" spans="1:31" ht="57.6" x14ac:dyDescent="0.3">
      <c r="A125" s="41" t="s">
        <v>836</v>
      </c>
      <c r="B125" s="41" t="s">
        <v>1136</v>
      </c>
      <c r="C125" s="41" t="s">
        <v>1137</v>
      </c>
      <c r="D125" s="41" t="s">
        <v>1172</v>
      </c>
      <c r="E125" s="41" t="s">
        <v>1173</v>
      </c>
      <c r="F125" s="41" t="s">
        <v>1326</v>
      </c>
      <c r="G125" s="41">
        <f>1999.2/7</f>
        <v>285.60000000000002</v>
      </c>
      <c r="H125" s="41">
        <f>2*135*10</f>
        <v>2700</v>
      </c>
      <c r="I125" s="41">
        <v>1</v>
      </c>
      <c r="J125" s="41">
        <f t="shared" si="15"/>
        <v>771120.00000000012</v>
      </c>
      <c r="K125" s="41">
        <f>2*135*10</f>
        <v>2700</v>
      </c>
      <c r="L125" s="41">
        <v>1</v>
      </c>
      <c r="M125" s="41">
        <f>($G125*1.1^1)*K125*L125</f>
        <v>848232.00000000012</v>
      </c>
      <c r="N125" s="41">
        <f>2*135*10</f>
        <v>2700</v>
      </c>
      <c r="O125" s="41">
        <v>1</v>
      </c>
      <c r="P125" s="41">
        <f>($G125*1.1^2)*N125*O125</f>
        <v>933055.20000000019</v>
      </c>
      <c r="Q125" s="41">
        <f>2*135*10</f>
        <v>2700</v>
      </c>
      <c r="R125" s="41">
        <v>1</v>
      </c>
      <c r="S125" s="41">
        <f>($G125*1.1^3)*Q125*R125</f>
        <v>1026360.7200000004</v>
      </c>
      <c r="T125" s="41">
        <f>2*135*10</f>
        <v>2700</v>
      </c>
      <c r="U125" s="41">
        <v>1</v>
      </c>
      <c r="V125" s="41">
        <f>($G125*1.1^4)*T125*U125</f>
        <v>1128996.7920000004</v>
      </c>
      <c r="W125" s="41">
        <f>2*135*10</f>
        <v>2700</v>
      </c>
      <c r="X125" s="41">
        <v>1</v>
      </c>
      <c r="Y125" s="41">
        <f>($G125*1.1^5)*W125*X125</f>
        <v>1241896.4712000005</v>
      </c>
      <c r="Z125" s="41">
        <f>2*135*10</f>
        <v>2700</v>
      </c>
      <c r="AA125" s="41">
        <v>1</v>
      </c>
      <c r="AB125" s="41">
        <f>($G125*1.1^6)*Z125*AA125</f>
        <v>1366086.1183200008</v>
      </c>
      <c r="AC125" s="41">
        <f>2*135*10</f>
        <v>2700</v>
      </c>
      <c r="AD125" s="41">
        <v>1</v>
      </c>
      <c r="AE125" s="41">
        <f>($G125*1.1^7)*AC125*AD125</f>
        <v>1502694.7301520011</v>
      </c>
    </row>
    <row r="126" spans="1:31" ht="57.6" x14ac:dyDescent="0.3">
      <c r="A126" s="41" t="s">
        <v>836</v>
      </c>
      <c r="B126" s="41" t="s">
        <v>1136</v>
      </c>
      <c r="C126" s="41" t="s">
        <v>1137</v>
      </c>
      <c r="D126" s="41" t="s">
        <v>1174</v>
      </c>
      <c r="E126" s="41" t="s">
        <v>1175</v>
      </c>
      <c r="F126" s="41" t="s">
        <v>841</v>
      </c>
      <c r="G126" s="41">
        <v>0</v>
      </c>
      <c r="H126" s="41">
        <v>8000</v>
      </c>
      <c r="I126" s="41">
        <v>1</v>
      </c>
      <c r="J126" s="41">
        <f t="shared" si="15"/>
        <v>0</v>
      </c>
      <c r="K126" s="41">
        <v>8000</v>
      </c>
      <c r="L126" s="41">
        <v>1</v>
      </c>
      <c r="M126" s="41">
        <f>($G126*1.1^1)*K126*L126</f>
        <v>0</v>
      </c>
      <c r="N126" s="41">
        <v>8000</v>
      </c>
      <c r="O126" s="41">
        <v>1</v>
      </c>
      <c r="P126" s="41">
        <f>($G126*1.1^2)*N126*O126</f>
        <v>0</v>
      </c>
      <c r="Q126" s="41">
        <v>8000</v>
      </c>
      <c r="R126" s="41">
        <v>1</v>
      </c>
      <c r="S126" s="41">
        <f>($G126*1.1^3)*Q126*R126</f>
        <v>0</v>
      </c>
      <c r="T126" s="41">
        <v>8000</v>
      </c>
      <c r="U126" s="41">
        <v>1</v>
      </c>
      <c r="V126" s="41">
        <f>($G126*1.1^4)*T126*U126</f>
        <v>0</v>
      </c>
      <c r="W126" s="41">
        <v>8000</v>
      </c>
      <c r="X126" s="41">
        <v>1</v>
      </c>
      <c r="Y126" s="41">
        <f>($G126*1.1^5)*W126*X126</f>
        <v>0</v>
      </c>
      <c r="Z126" s="41">
        <v>8000</v>
      </c>
      <c r="AA126" s="41">
        <v>1</v>
      </c>
      <c r="AB126" s="41">
        <f>($G126*1.1^6)*Z126*AA126</f>
        <v>0</v>
      </c>
      <c r="AC126" s="41">
        <v>8000</v>
      </c>
      <c r="AD126" s="41">
        <v>1</v>
      </c>
      <c r="AE126" s="41">
        <f>($G126*1.1^7)*AC126*AD126</f>
        <v>0</v>
      </c>
    </row>
    <row r="127" spans="1:31" ht="57.6" x14ac:dyDescent="0.3">
      <c r="A127" s="41" t="s">
        <v>836</v>
      </c>
      <c r="B127" s="41" t="s">
        <v>1136</v>
      </c>
      <c r="C127" s="41" t="s">
        <v>1631</v>
      </c>
      <c r="D127" s="41" t="s">
        <v>1631</v>
      </c>
      <c r="E127" s="41" t="s">
        <v>1632</v>
      </c>
      <c r="F127" s="41" t="s">
        <v>709</v>
      </c>
      <c r="G127" s="41">
        <v>35000</v>
      </c>
      <c r="H127" s="41">
        <v>30</v>
      </c>
      <c r="I127" s="41">
        <v>10</v>
      </c>
      <c r="J127" s="41">
        <f t="shared" si="15"/>
        <v>10500000</v>
      </c>
      <c r="K127" s="41">
        <v>30</v>
      </c>
      <c r="L127" s="41">
        <v>10</v>
      </c>
      <c r="M127" s="41">
        <f t="shared" ref="M127:M135" si="16">($G127*1.1^1)*K127*L127</f>
        <v>11550000</v>
      </c>
      <c r="N127" s="41">
        <v>30</v>
      </c>
      <c r="O127" s="41">
        <v>10</v>
      </c>
      <c r="P127" s="41">
        <f t="shared" ref="P127:P141" si="17">($G127*1.1^2)*N127*O127</f>
        <v>12705000.000000002</v>
      </c>
      <c r="Q127" s="41">
        <v>30</v>
      </c>
      <c r="R127" s="41">
        <v>10</v>
      </c>
      <c r="S127" s="70">
        <f t="shared" ref="S127:S130" si="18">($G127*1.1^3)*Q127*R127</f>
        <v>13975500.000000004</v>
      </c>
      <c r="T127" s="41">
        <v>30</v>
      </c>
      <c r="U127" s="41">
        <v>10</v>
      </c>
      <c r="V127" s="70">
        <f t="shared" ref="V127:V130" si="19">($G127*1.1^4)*T127*U127</f>
        <v>15373050.000000004</v>
      </c>
      <c r="W127" s="41">
        <v>30</v>
      </c>
      <c r="X127" s="41">
        <v>10</v>
      </c>
      <c r="Y127" s="70">
        <f t="shared" ref="Y127:Y130" si="20">($G127*1.1^5)*W127*X127</f>
        <v>16910355.000000007</v>
      </c>
      <c r="Z127" s="41">
        <v>30</v>
      </c>
      <c r="AA127" s="41">
        <v>10</v>
      </c>
      <c r="AB127" s="70">
        <f t="shared" ref="AB127:AB130" si="21">($G127*1.1^6)*Z127*AA127</f>
        <v>18601390.500000011</v>
      </c>
      <c r="AC127" s="41">
        <v>30</v>
      </c>
      <c r="AD127" s="41">
        <v>10</v>
      </c>
      <c r="AE127" s="70">
        <f t="shared" ref="AE127:AE130" si="22">($G127*1.1^7)*AC127*AD127</f>
        <v>20461529.550000012</v>
      </c>
    </row>
    <row r="128" spans="1:31" ht="57.6" x14ac:dyDescent="0.3">
      <c r="A128" s="41" t="s">
        <v>836</v>
      </c>
      <c r="B128" s="41" t="s">
        <v>1136</v>
      </c>
      <c r="C128" s="41" t="s">
        <v>1631</v>
      </c>
      <c r="D128" s="41" t="s">
        <v>1631</v>
      </c>
      <c r="E128" s="41" t="s">
        <v>1632</v>
      </c>
      <c r="F128" s="41" t="s">
        <v>716</v>
      </c>
      <c r="G128" s="41">
        <v>39000</v>
      </c>
      <c r="H128" s="41">
        <v>30</v>
      </c>
      <c r="I128" s="41">
        <v>12</v>
      </c>
      <c r="J128" s="41">
        <f t="shared" si="15"/>
        <v>14040000</v>
      </c>
      <c r="K128" s="41">
        <v>30</v>
      </c>
      <c r="L128" s="41">
        <v>12</v>
      </c>
      <c r="M128" s="41">
        <f t="shared" si="16"/>
        <v>15444000</v>
      </c>
      <c r="N128" s="41">
        <v>30</v>
      </c>
      <c r="O128" s="41">
        <v>12</v>
      </c>
      <c r="P128" s="41">
        <f t="shared" si="17"/>
        <v>16988400.000000004</v>
      </c>
      <c r="Q128" s="41">
        <v>30</v>
      </c>
      <c r="R128" s="41">
        <v>12</v>
      </c>
      <c r="S128" s="41">
        <f t="shared" si="18"/>
        <v>18687240.000000007</v>
      </c>
      <c r="T128" s="41">
        <v>30</v>
      </c>
      <c r="U128" s="41">
        <v>12</v>
      </c>
      <c r="V128" s="70">
        <f t="shared" si="19"/>
        <v>20555964.000000007</v>
      </c>
      <c r="W128" s="41">
        <v>30</v>
      </c>
      <c r="X128" s="41">
        <v>12</v>
      </c>
      <c r="Y128" s="70">
        <f t="shared" si="20"/>
        <v>22611560.400000006</v>
      </c>
      <c r="Z128" s="41">
        <v>30</v>
      </c>
      <c r="AA128" s="41">
        <v>12</v>
      </c>
      <c r="AB128" s="70">
        <f t="shared" si="21"/>
        <v>24872716.440000009</v>
      </c>
      <c r="AC128" s="41">
        <v>30</v>
      </c>
      <c r="AD128" s="41">
        <v>12</v>
      </c>
      <c r="AE128" s="70">
        <f t="shared" si="22"/>
        <v>27359988.084000014</v>
      </c>
    </row>
    <row r="129" spans="1:31" ht="57.6" x14ac:dyDescent="0.3">
      <c r="A129" s="41" t="s">
        <v>836</v>
      </c>
      <c r="B129" s="41" t="s">
        <v>1136</v>
      </c>
      <c r="C129" s="41" t="s">
        <v>1631</v>
      </c>
      <c r="D129" s="41" t="s">
        <v>1631</v>
      </c>
      <c r="E129" s="41" t="s">
        <v>1632</v>
      </c>
      <c r="F129" s="41" t="s">
        <v>712</v>
      </c>
      <c r="G129" s="41">
        <f>1999.2/7</f>
        <v>285.60000000000002</v>
      </c>
      <c r="H129" s="41">
        <f>2*135*10</f>
        <v>2700</v>
      </c>
      <c r="I129" s="41">
        <v>2</v>
      </c>
      <c r="J129" s="41"/>
      <c r="K129" s="41">
        <f>2*135*10</f>
        <v>2700</v>
      </c>
      <c r="L129" s="41">
        <v>2</v>
      </c>
      <c r="M129" s="41">
        <f t="shared" si="16"/>
        <v>1696464.0000000002</v>
      </c>
      <c r="N129" s="41">
        <f>2*135*10</f>
        <v>2700</v>
      </c>
      <c r="O129" s="41">
        <v>2</v>
      </c>
      <c r="P129" s="41">
        <f t="shared" si="17"/>
        <v>1866110.4000000004</v>
      </c>
      <c r="Q129" s="41">
        <f>2*135*10</f>
        <v>2700</v>
      </c>
      <c r="R129" s="41">
        <v>2</v>
      </c>
      <c r="S129" s="41">
        <f t="shared" si="18"/>
        <v>2052721.4400000009</v>
      </c>
      <c r="T129" s="41">
        <f>2*135*10</f>
        <v>2700</v>
      </c>
      <c r="U129" s="41">
        <v>2</v>
      </c>
      <c r="V129" s="70">
        <f t="shared" si="19"/>
        <v>2257993.5840000007</v>
      </c>
      <c r="W129" s="41">
        <f>2*135*10</f>
        <v>2700</v>
      </c>
      <c r="X129" s="41">
        <v>2</v>
      </c>
      <c r="Y129" s="70">
        <f t="shared" si="20"/>
        <v>2483792.942400001</v>
      </c>
      <c r="Z129" s="41">
        <f>2*135*10</f>
        <v>2700</v>
      </c>
      <c r="AA129" s="41">
        <v>2</v>
      </c>
      <c r="AB129" s="70">
        <f t="shared" si="21"/>
        <v>2732172.2366400016</v>
      </c>
      <c r="AC129" s="41">
        <f>2*135*10</f>
        <v>2700</v>
      </c>
      <c r="AD129" s="41">
        <v>2</v>
      </c>
      <c r="AE129" s="70">
        <f t="shared" si="22"/>
        <v>3005389.4603040023</v>
      </c>
    </row>
    <row r="130" spans="1:31" ht="57.6" x14ac:dyDescent="0.3">
      <c r="A130" s="41" t="s">
        <v>836</v>
      </c>
      <c r="B130" s="41" t="s">
        <v>1136</v>
      </c>
      <c r="C130" s="41" t="s">
        <v>1631</v>
      </c>
      <c r="D130" s="41" t="s">
        <v>1631</v>
      </c>
      <c r="E130" s="41" t="s">
        <v>1632</v>
      </c>
      <c r="F130" s="41" t="s">
        <v>1326</v>
      </c>
      <c r="G130" s="41">
        <f>1999.2/7</f>
        <v>285.60000000000002</v>
      </c>
      <c r="H130" s="41">
        <f>2*50*10</f>
        <v>1000</v>
      </c>
      <c r="I130" s="41">
        <v>10</v>
      </c>
      <c r="J130" s="41"/>
      <c r="K130" s="41">
        <f>2*50*10</f>
        <v>1000</v>
      </c>
      <c r="L130" s="41">
        <v>10</v>
      </c>
      <c r="M130" s="41">
        <f t="shared" si="16"/>
        <v>3141600</v>
      </c>
      <c r="N130" s="41">
        <f>2*50*10</f>
        <v>1000</v>
      </c>
      <c r="O130" s="41">
        <v>10</v>
      </c>
      <c r="P130" s="41">
        <f t="shared" si="17"/>
        <v>3455760.0000000005</v>
      </c>
      <c r="Q130" s="41">
        <f>2*50*10</f>
        <v>1000</v>
      </c>
      <c r="R130" s="41">
        <v>10</v>
      </c>
      <c r="S130" s="41">
        <f t="shared" si="18"/>
        <v>3801336.0000000014</v>
      </c>
      <c r="T130" s="41">
        <f>2*50*10</f>
        <v>1000</v>
      </c>
      <c r="U130" s="41">
        <v>10</v>
      </c>
      <c r="V130" s="70">
        <f t="shared" si="19"/>
        <v>4181469.6000000015</v>
      </c>
      <c r="W130" s="41">
        <f>2*50*10</f>
        <v>1000</v>
      </c>
      <c r="X130" s="41">
        <v>10</v>
      </c>
      <c r="Y130" s="70">
        <f t="shared" si="20"/>
        <v>4599616.5600000024</v>
      </c>
      <c r="Z130" s="41">
        <f>2*50*10</f>
        <v>1000</v>
      </c>
      <c r="AA130" s="41">
        <v>10</v>
      </c>
      <c r="AB130" s="70">
        <f t="shared" si="21"/>
        <v>5059578.2160000028</v>
      </c>
      <c r="AC130" s="41">
        <f>2*50*10</f>
        <v>1000</v>
      </c>
      <c r="AD130" s="41">
        <v>10</v>
      </c>
      <c r="AE130" s="70">
        <f t="shared" si="22"/>
        <v>5565536.0376000041</v>
      </c>
    </row>
    <row r="131" spans="1:31" ht="57.6" x14ac:dyDescent="0.3">
      <c r="A131" s="41" t="s">
        <v>836</v>
      </c>
      <c r="B131" s="41" t="s">
        <v>1136</v>
      </c>
      <c r="C131" s="41" t="s">
        <v>1693</v>
      </c>
      <c r="D131" s="41" t="s">
        <v>1633</v>
      </c>
      <c r="E131" s="41" t="s">
        <v>1634</v>
      </c>
      <c r="F131" s="41" t="s">
        <v>709</v>
      </c>
      <c r="G131" s="41">
        <v>35000</v>
      </c>
      <c r="H131" s="41">
        <v>30</v>
      </c>
      <c r="I131" s="41">
        <v>10</v>
      </c>
      <c r="J131" s="41">
        <f>$G131*H131*I131</f>
        <v>10500000</v>
      </c>
      <c r="K131" s="41">
        <v>30</v>
      </c>
      <c r="L131" s="41">
        <v>10</v>
      </c>
      <c r="M131" s="41">
        <f t="shared" ref="M131:M141" si="23">($G131*1.1^1)*K131*L131</f>
        <v>11550000</v>
      </c>
      <c r="N131" s="41">
        <v>30</v>
      </c>
      <c r="O131" s="41">
        <v>10</v>
      </c>
      <c r="P131" s="41">
        <f t="shared" ref="P131:P134" si="24">($G131*1.1^2)*N131*O131</f>
        <v>12705000.000000002</v>
      </c>
      <c r="Q131" s="41">
        <v>30</v>
      </c>
      <c r="R131" s="41">
        <v>10</v>
      </c>
      <c r="S131" s="70">
        <f t="shared" ref="S131:S134" si="25">($G131*1.1^3)*Q131*R131</f>
        <v>13975500.000000004</v>
      </c>
      <c r="T131" s="41">
        <v>30</v>
      </c>
      <c r="U131" s="41">
        <v>10</v>
      </c>
      <c r="V131" s="70">
        <f t="shared" ref="V131:V134" si="26">($G131*1.1^4)*T131*U131</f>
        <v>15373050.000000004</v>
      </c>
      <c r="W131" s="41">
        <v>30</v>
      </c>
      <c r="X131" s="41">
        <v>10</v>
      </c>
      <c r="Y131" s="70">
        <f t="shared" ref="Y131:Y134" si="27">($G131*1.1^5)*W131*X131</f>
        <v>16910355.000000007</v>
      </c>
      <c r="Z131" s="41">
        <v>30</v>
      </c>
      <c r="AA131" s="41">
        <v>10</v>
      </c>
      <c r="AB131" s="70">
        <f t="shared" ref="AB131:AB141" si="28">($G131*1.1^6)*Z131*AA131</f>
        <v>18601390.500000011</v>
      </c>
      <c r="AC131" s="41">
        <v>30</v>
      </c>
      <c r="AD131" s="41">
        <v>10</v>
      </c>
      <c r="AE131" s="70">
        <f t="shared" ref="AE131:AE141" si="29">($G131*1.1^7)*AC131*AD131</f>
        <v>20461529.550000012</v>
      </c>
    </row>
    <row r="132" spans="1:31" ht="57.6" x14ac:dyDescent="0.3">
      <c r="A132" s="41" t="s">
        <v>836</v>
      </c>
      <c r="B132" s="41" t="s">
        <v>1136</v>
      </c>
      <c r="C132" s="41" t="s">
        <v>1693</v>
      </c>
      <c r="D132" s="41" t="s">
        <v>1633</v>
      </c>
      <c r="E132" s="41" t="s">
        <v>1634</v>
      </c>
      <c r="F132" s="41" t="s">
        <v>716</v>
      </c>
      <c r="G132" s="41">
        <v>39000</v>
      </c>
      <c r="H132" s="41">
        <v>30</v>
      </c>
      <c r="I132" s="41">
        <v>12</v>
      </c>
      <c r="J132" s="41">
        <f>$G132*H132*I132</f>
        <v>14040000</v>
      </c>
      <c r="K132" s="41">
        <v>30</v>
      </c>
      <c r="L132" s="41">
        <v>12</v>
      </c>
      <c r="M132" s="41">
        <f t="shared" si="23"/>
        <v>15444000</v>
      </c>
      <c r="N132" s="41">
        <v>30</v>
      </c>
      <c r="O132" s="41">
        <v>12</v>
      </c>
      <c r="P132" s="41">
        <f t="shared" si="24"/>
        <v>16988400.000000004</v>
      </c>
      <c r="Q132" s="41">
        <v>30</v>
      </c>
      <c r="R132" s="41">
        <v>12</v>
      </c>
      <c r="S132" s="41">
        <f t="shared" si="25"/>
        <v>18687240.000000007</v>
      </c>
      <c r="T132" s="41">
        <v>30</v>
      </c>
      <c r="U132" s="41">
        <v>12</v>
      </c>
      <c r="V132" s="70">
        <f t="shared" si="26"/>
        <v>20555964.000000007</v>
      </c>
      <c r="W132" s="41">
        <v>30</v>
      </c>
      <c r="X132" s="41">
        <v>12</v>
      </c>
      <c r="Y132" s="70">
        <f t="shared" si="27"/>
        <v>22611560.400000006</v>
      </c>
      <c r="Z132" s="41">
        <v>30</v>
      </c>
      <c r="AA132" s="41">
        <v>12</v>
      </c>
      <c r="AB132" s="70">
        <f t="shared" si="28"/>
        <v>24872716.440000009</v>
      </c>
      <c r="AC132" s="41">
        <v>30</v>
      </c>
      <c r="AD132" s="41">
        <v>12</v>
      </c>
      <c r="AE132" s="70">
        <f t="shared" si="29"/>
        <v>27359988.084000014</v>
      </c>
    </row>
    <row r="133" spans="1:31" ht="57.6" x14ac:dyDescent="0.3">
      <c r="A133" s="41" t="s">
        <v>836</v>
      </c>
      <c r="B133" s="41" t="s">
        <v>1136</v>
      </c>
      <c r="C133" s="41" t="s">
        <v>1693</v>
      </c>
      <c r="D133" s="41" t="s">
        <v>1633</v>
      </c>
      <c r="E133" s="41" t="s">
        <v>1634</v>
      </c>
      <c r="F133" s="41" t="s">
        <v>712</v>
      </c>
      <c r="G133" s="41">
        <f>1999.2/7</f>
        <v>285.60000000000002</v>
      </c>
      <c r="H133" s="41">
        <f>2*135*10</f>
        <v>2700</v>
      </c>
      <c r="I133" s="41">
        <v>2</v>
      </c>
      <c r="J133" s="41"/>
      <c r="K133" s="41">
        <f>2*135*10</f>
        <v>2700</v>
      </c>
      <c r="L133" s="41">
        <v>2</v>
      </c>
      <c r="M133" s="41">
        <f t="shared" si="23"/>
        <v>1696464.0000000002</v>
      </c>
      <c r="N133" s="41">
        <f>2*135*10</f>
        <v>2700</v>
      </c>
      <c r="O133" s="41">
        <v>2</v>
      </c>
      <c r="P133" s="41">
        <f t="shared" si="24"/>
        <v>1866110.4000000004</v>
      </c>
      <c r="Q133" s="41">
        <f>2*135*10</f>
        <v>2700</v>
      </c>
      <c r="R133" s="41">
        <v>2</v>
      </c>
      <c r="S133" s="41">
        <f t="shared" si="25"/>
        <v>2052721.4400000009</v>
      </c>
      <c r="T133" s="41">
        <f>2*135*10</f>
        <v>2700</v>
      </c>
      <c r="U133" s="41">
        <v>2</v>
      </c>
      <c r="V133" s="70">
        <f t="shared" si="26"/>
        <v>2257993.5840000007</v>
      </c>
      <c r="W133" s="41">
        <f>2*135*10</f>
        <v>2700</v>
      </c>
      <c r="X133" s="41">
        <v>2</v>
      </c>
      <c r="Y133" s="70">
        <f t="shared" si="27"/>
        <v>2483792.942400001</v>
      </c>
      <c r="Z133" s="41">
        <f>2*135*10</f>
        <v>2700</v>
      </c>
      <c r="AA133" s="41">
        <v>2</v>
      </c>
      <c r="AB133" s="70">
        <f t="shared" si="28"/>
        <v>2732172.2366400016</v>
      </c>
      <c r="AC133" s="41">
        <f>2*135*10</f>
        <v>2700</v>
      </c>
      <c r="AD133" s="41">
        <v>2</v>
      </c>
      <c r="AE133" s="70">
        <f t="shared" si="29"/>
        <v>3005389.4603040023</v>
      </c>
    </row>
    <row r="134" spans="1:31" ht="57.6" x14ac:dyDescent="0.3">
      <c r="A134" s="41" t="s">
        <v>836</v>
      </c>
      <c r="B134" s="41" t="s">
        <v>1136</v>
      </c>
      <c r="C134" s="41" t="s">
        <v>1693</v>
      </c>
      <c r="D134" s="41" t="s">
        <v>1633</v>
      </c>
      <c r="E134" s="41" t="s">
        <v>1634</v>
      </c>
      <c r="F134" s="41" t="s">
        <v>1326</v>
      </c>
      <c r="G134" s="41">
        <f>1999.2/7</f>
        <v>285.60000000000002</v>
      </c>
      <c r="H134" s="41">
        <f>2*50*10</f>
        <v>1000</v>
      </c>
      <c r="I134" s="41">
        <v>10</v>
      </c>
      <c r="J134" s="41"/>
      <c r="K134" s="41">
        <f>2*50*10</f>
        <v>1000</v>
      </c>
      <c r="L134" s="41">
        <v>10</v>
      </c>
      <c r="M134" s="41">
        <f t="shared" si="23"/>
        <v>3141600</v>
      </c>
      <c r="N134" s="41">
        <f>2*50*10</f>
        <v>1000</v>
      </c>
      <c r="O134" s="41">
        <v>10</v>
      </c>
      <c r="P134" s="41">
        <f t="shared" si="24"/>
        <v>3455760.0000000005</v>
      </c>
      <c r="Q134" s="41">
        <f>2*50*10</f>
        <v>1000</v>
      </c>
      <c r="R134" s="41">
        <v>10</v>
      </c>
      <c r="S134" s="41">
        <f t="shared" si="25"/>
        <v>3801336.0000000014</v>
      </c>
      <c r="T134" s="41">
        <f>2*50*10</f>
        <v>1000</v>
      </c>
      <c r="U134" s="41">
        <v>10</v>
      </c>
      <c r="V134" s="70">
        <f t="shared" si="26"/>
        <v>4181469.6000000015</v>
      </c>
      <c r="W134" s="41">
        <f>2*50*10</f>
        <v>1000</v>
      </c>
      <c r="X134" s="41">
        <v>10</v>
      </c>
      <c r="Y134" s="70">
        <f t="shared" si="27"/>
        <v>4599616.5600000024</v>
      </c>
      <c r="Z134" s="41">
        <f>2*50*10</f>
        <v>1000</v>
      </c>
      <c r="AA134" s="41">
        <v>10</v>
      </c>
      <c r="AB134" s="70">
        <f t="shared" si="28"/>
        <v>5059578.2160000028</v>
      </c>
      <c r="AC134" s="41">
        <f>2*50*10</f>
        <v>1000</v>
      </c>
      <c r="AD134" s="41">
        <v>10</v>
      </c>
      <c r="AE134" s="70">
        <f t="shared" si="29"/>
        <v>5565536.0376000041</v>
      </c>
    </row>
    <row r="135" spans="1:31" ht="57.6" x14ac:dyDescent="0.3">
      <c r="A135" s="41" t="s">
        <v>836</v>
      </c>
      <c r="B135" s="41" t="s">
        <v>1136</v>
      </c>
      <c r="C135" s="41" t="s">
        <v>1635</v>
      </c>
      <c r="D135" s="41" t="s">
        <v>1640</v>
      </c>
      <c r="E135" s="41" t="s">
        <v>1636</v>
      </c>
      <c r="F135" s="41" t="s">
        <v>841</v>
      </c>
      <c r="G135" s="41">
        <v>0</v>
      </c>
      <c r="H135" s="41"/>
      <c r="I135" s="41"/>
      <c r="J135" s="41"/>
      <c r="K135" s="41"/>
      <c r="L135" s="41"/>
      <c r="M135" s="41">
        <f t="shared" si="16"/>
        <v>0</v>
      </c>
      <c r="N135" s="41"/>
      <c r="O135" s="41"/>
      <c r="P135" s="41">
        <f t="shared" si="17"/>
        <v>0</v>
      </c>
      <c r="Q135" s="41"/>
      <c r="R135" s="41"/>
      <c r="S135" s="41"/>
      <c r="T135" s="41"/>
      <c r="U135" s="41"/>
      <c r="V135" s="41"/>
      <c r="W135" s="41"/>
      <c r="X135" s="41"/>
      <c r="Y135" s="41"/>
      <c r="Z135" s="41"/>
      <c r="AA135" s="41"/>
      <c r="AB135" s="41"/>
      <c r="AC135" s="41"/>
      <c r="AD135" s="41"/>
      <c r="AE135" s="70">
        <f t="shared" si="29"/>
        <v>0</v>
      </c>
    </row>
    <row r="136" spans="1:31" ht="57.6" x14ac:dyDescent="0.3">
      <c r="A136" s="41" t="s">
        <v>836</v>
      </c>
      <c r="B136" s="41" t="s">
        <v>1136</v>
      </c>
      <c r="C136" s="41" t="s">
        <v>1635</v>
      </c>
      <c r="D136" s="41" t="s">
        <v>1640</v>
      </c>
      <c r="E136" s="41" t="s">
        <v>1637</v>
      </c>
      <c r="F136" s="6" t="s">
        <v>707</v>
      </c>
      <c r="G136" s="25">
        <v>391991.03749999998</v>
      </c>
      <c r="H136" s="38">
        <v>2</v>
      </c>
      <c r="I136" s="38">
        <v>2</v>
      </c>
      <c r="J136" s="41"/>
      <c r="K136" s="38">
        <v>2</v>
      </c>
      <c r="L136" s="38">
        <v>2</v>
      </c>
      <c r="M136" s="41">
        <f t="shared" si="23"/>
        <v>1724760.5649999999</v>
      </c>
      <c r="N136" s="41"/>
      <c r="O136" s="41"/>
      <c r="P136" s="41">
        <f t="shared" si="17"/>
        <v>0</v>
      </c>
      <c r="Q136" s="41"/>
      <c r="R136" s="41"/>
      <c r="S136" s="41"/>
      <c r="T136" s="41"/>
      <c r="U136" s="41"/>
      <c r="V136" s="41"/>
      <c r="W136" s="41"/>
      <c r="X136" s="41"/>
      <c r="Y136" s="41"/>
      <c r="Z136" s="38">
        <v>2</v>
      </c>
      <c r="AA136" s="38">
        <v>2</v>
      </c>
      <c r="AB136" s="70">
        <f t="shared" si="28"/>
        <v>2777744.1375381513</v>
      </c>
      <c r="AC136" s="41"/>
      <c r="AD136" s="41"/>
      <c r="AE136" s="70">
        <f t="shared" si="29"/>
        <v>0</v>
      </c>
    </row>
    <row r="137" spans="1:31" ht="57.6" x14ac:dyDescent="0.3">
      <c r="A137" s="41" t="s">
        <v>836</v>
      </c>
      <c r="B137" s="41" t="s">
        <v>1136</v>
      </c>
      <c r="C137" s="41" t="s">
        <v>1635</v>
      </c>
      <c r="D137" s="41" t="s">
        <v>1640</v>
      </c>
      <c r="E137" s="41" t="s">
        <v>1637</v>
      </c>
      <c r="F137" s="6" t="s">
        <v>708</v>
      </c>
      <c r="G137" s="25">
        <f>500*1030</f>
        <v>515000</v>
      </c>
      <c r="H137" s="38">
        <v>1</v>
      </c>
      <c r="I137" s="38">
        <v>25</v>
      </c>
      <c r="J137" s="41"/>
      <c r="K137" s="38">
        <v>1</v>
      </c>
      <c r="L137" s="38">
        <v>25</v>
      </c>
      <c r="M137" s="41">
        <f t="shared" si="23"/>
        <v>14162500</v>
      </c>
      <c r="N137" s="41"/>
      <c r="O137" s="41"/>
      <c r="P137" s="41">
        <f t="shared" si="17"/>
        <v>0</v>
      </c>
      <c r="Q137" s="41"/>
      <c r="R137" s="41"/>
      <c r="S137" s="41"/>
      <c r="T137" s="41"/>
      <c r="U137" s="41"/>
      <c r="V137" s="41"/>
      <c r="W137" s="41"/>
      <c r="X137" s="41"/>
      <c r="Y137" s="41"/>
      <c r="Z137" s="38">
        <v>1</v>
      </c>
      <c r="AA137" s="38">
        <v>25</v>
      </c>
      <c r="AB137" s="70">
        <f t="shared" si="28"/>
        <v>22808847.875000011</v>
      </c>
      <c r="AC137" s="41"/>
      <c r="AD137" s="41"/>
      <c r="AE137" s="70">
        <f t="shared" si="29"/>
        <v>0</v>
      </c>
    </row>
    <row r="138" spans="1:31" ht="57.6" x14ac:dyDescent="0.3">
      <c r="A138" s="41" t="s">
        <v>836</v>
      </c>
      <c r="B138" s="41" t="s">
        <v>1136</v>
      </c>
      <c r="C138" s="41" t="s">
        <v>1635</v>
      </c>
      <c r="D138" s="41" t="s">
        <v>1640</v>
      </c>
      <c r="E138" s="41" t="s">
        <v>177</v>
      </c>
      <c r="F138" s="33" t="s">
        <v>709</v>
      </c>
      <c r="G138" s="25">
        <v>35000</v>
      </c>
      <c r="H138" s="38">
        <v>100</v>
      </c>
      <c r="I138" s="38">
        <v>3</v>
      </c>
      <c r="J138" s="41"/>
      <c r="K138" s="38">
        <v>100</v>
      </c>
      <c r="L138" s="38">
        <v>3</v>
      </c>
      <c r="M138" s="41">
        <f t="shared" si="23"/>
        <v>11550000</v>
      </c>
      <c r="N138" s="41"/>
      <c r="O138" s="41"/>
      <c r="P138" s="41">
        <f t="shared" si="17"/>
        <v>0</v>
      </c>
      <c r="Q138" s="41"/>
      <c r="R138" s="41"/>
      <c r="S138" s="41"/>
      <c r="T138" s="41"/>
      <c r="U138" s="41"/>
      <c r="V138" s="41"/>
      <c r="W138" s="41"/>
      <c r="X138" s="41"/>
      <c r="Y138" s="41"/>
      <c r="Z138" s="38">
        <v>100</v>
      </c>
      <c r="AA138" s="38">
        <v>3</v>
      </c>
      <c r="AB138" s="70">
        <f t="shared" si="28"/>
        <v>18601390.500000007</v>
      </c>
      <c r="AC138" s="41"/>
      <c r="AD138" s="41"/>
      <c r="AE138" s="70">
        <f t="shared" si="29"/>
        <v>0</v>
      </c>
    </row>
    <row r="139" spans="1:31" ht="57.6" x14ac:dyDescent="0.3">
      <c r="A139" s="41" t="s">
        <v>836</v>
      </c>
      <c r="B139" s="41" t="s">
        <v>1136</v>
      </c>
      <c r="C139" s="41" t="s">
        <v>1635</v>
      </c>
      <c r="D139" s="41" t="s">
        <v>1640</v>
      </c>
      <c r="E139" s="41" t="s">
        <v>177</v>
      </c>
      <c r="F139" s="33" t="s">
        <v>716</v>
      </c>
      <c r="G139" s="25">
        <v>39000</v>
      </c>
      <c r="H139" s="38">
        <v>58</v>
      </c>
      <c r="I139" s="188">
        <v>4</v>
      </c>
      <c r="J139" s="41"/>
      <c r="K139" s="38">
        <v>58</v>
      </c>
      <c r="L139" s="188">
        <v>4</v>
      </c>
      <c r="M139" s="41">
        <f t="shared" si="23"/>
        <v>9952800</v>
      </c>
      <c r="N139" s="41"/>
      <c r="O139" s="41"/>
      <c r="P139" s="41">
        <f t="shared" si="17"/>
        <v>0</v>
      </c>
      <c r="Q139" s="41"/>
      <c r="R139" s="41"/>
      <c r="S139" s="41"/>
      <c r="T139" s="41"/>
      <c r="U139" s="41"/>
      <c r="V139" s="41"/>
      <c r="W139" s="41"/>
      <c r="X139" s="41"/>
      <c r="Y139" s="41"/>
      <c r="Z139" s="38">
        <v>58</v>
      </c>
      <c r="AA139" s="188">
        <v>4</v>
      </c>
      <c r="AB139" s="70">
        <f t="shared" si="28"/>
        <v>16029083.928000007</v>
      </c>
      <c r="AC139" s="41"/>
      <c r="AD139" s="41"/>
      <c r="AE139" s="70">
        <f t="shared" si="29"/>
        <v>0</v>
      </c>
    </row>
    <row r="140" spans="1:31" ht="57.6" x14ac:dyDescent="0.3">
      <c r="A140" s="41" t="s">
        <v>836</v>
      </c>
      <c r="B140" s="41" t="s">
        <v>1136</v>
      </c>
      <c r="C140" s="41" t="s">
        <v>1635</v>
      </c>
      <c r="D140" s="41" t="s">
        <v>1640</v>
      </c>
      <c r="E140" s="41" t="s">
        <v>177</v>
      </c>
      <c r="F140" s="33" t="s">
        <v>1638</v>
      </c>
      <c r="G140" s="25">
        <f>1999.2/7</f>
        <v>285.60000000000002</v>
      </c>
      <c r="H140" s="38">
        <v>17376</v>
      </c>
      <c r="I140" s="188">
        <v>1</v>
      </c>
      <c r="J140" s="41"/>
      <c r="K140" s="38">
        <v>17376</v>
      </c>
      <c r="L140" s="188">
        <v>1</v>
      </c>
      <c r="M140" s="41">
        <f t="shared" si="23"/>
        <v>5458844.1600000001</v>
      </c>
      <c r="N140" s="41"/>
      <c r="O140" s="41"/>
      <c r="P140" s="41">
        <f t="shared" si="17"/>
        <v>0</v>
      </c>
      <c r="Q140" s="41"/>
      <c r="R140" s="41"/>
      <c r="S140" s="41"/>
      <c r="T140" s="41"/>
      <c r="U140" s="41"/>
      <c r="V140" s="41"/>
      <c r="W140" s="41"/>
      <c r="X140" s="41"/>
      <c r="Y140" s="41"/>
      <c r="Z140" s="38">
        <v>17376</v>
      </c>
      <c r="AA140" s="188">
        <v>1</v>
      </c>
      <c r="AB140" s="70">
        <f t="shared" si="28"/>
        <v>8791523.1081216056</v>
      </c>
      <c r="AC140" s="41"/>
      <c r="AD140" s="41"/>
      <c r="AE140" s="70">
        <f t="shared" si="29"/>
        <v>0</v>
      </c>
    </row>
    <row r="141" spans="1:31" ht="57.6" x14ac:dyDescent="0.3">
      <c r="A141" s="41" t="s">
        <v>836</v>
      </c>
      <c r="B141" s="41" t="s">
        <v>1136</v>
      </c>
      <c r="C141" s="41" t="s">
        <v>1635</v>
      </c>
      <c r="D141" s="41" t="s">
        <v>1640</v>
      </c>
      <c r="E141" s="41" t="s">
        <v>177</v>
      </c>
      <c r="F141" s="33" t="s">
        <v>1639</v>
      </c>
      <c r="G141" s="25">
        <f>1999.2/7</f>
        <v>285.60000000000002</v>
      </c>
      <c r="H141" s="38">
        <f>29*50*3</f>
        <v>4350</v>
      </c>
      <c r="I141" s="188">
        <v>1</v>
      </c>
      <c r="J141" s="41"/>
      <c r="K141" s="38">
        <f>29*50*3</f>
        <v>4350</v>
      </c>
      <c r="L141" s="188">
        <v>1</v>
      </c>
      <c r="M141" s="41">
        <f t="shared" si="23"/>
        <v>1366596</v>
      </c>
      <c r="N141" s="41"/>
      <c r="O141" s="41"/>
      <c r="P141" s="41">
        <f t="shared" si="17"/>
        <v>0</v>
      </c>
      <c r="Q141" s="41"/>
      <c r="R141" s="41"/>
      <c r="S141" s="41"/>
      <c r="T141" s="41"/>
      <c r="U141" s="41"/>
      <c r="V141" s="41"/>
      <c r="W141" s="41"/>
      <c r="X141" s="41"/>
      <c r="Y141" s="41"/>
      <c r="Z141" s="38">
        <f>29*50*3</f>
        <v>4350</v>
      </c>
      <c r="AA141" s="188">
        <v>1</v>
      </c>
      <c r="AB141" s="70">
        <f t="shared" si="28"/>
        <v>2200916.5239600013</v>
      </c>
      <c r="AC141" s="41"/>
      <c r="AD141" s="41"/>
      <c r="AE141" s="70">
        <f t="shared" si="29"/>
        <v>0</v>
      </c>
    </row>
    <row r="142" spans="1:31" x14ac:dyDescent="0.3">
      <c r="A142" s="63" t="s">
        <v>1302</v>
      </c>
      <c r="B142" s="62"/>
      <c r="C142" s="62"/>
      <c r="D142" s="62"/>
      <c r="E142" s="62"/>
      <c r="F142" s="62"/>
      <c r="G142" s="62"/>
      <c r="H142" s="62"/>
      <c r="I142" s="62"/>
      <c r="J142" s="62">
        <f>SUM(J2:J126)</f>
        <v>8369702414.0499992</v>
      </c>
      <c r="K142" s="62"/>
      <c r="L142" s="62"/>
      <c r="M142" s="62">
        <f>SUM(M2:M126)</f>
        <v>202591791.93000004</v>
      </c>
      <c r="N142" s="62"/>
      <c r="O142" s="62"/>
      <c r="P142" s="62">
        <f>SUM(P2:P126)</f>
        <v>602166765.82150006</v>
      </c>
      <c r="Q142" s="62"/>
      <c r="R142" s="62"/>
      <c r="S142" s="62">
        <f>SUM(S2:S126)</f>
        <v>21675494.720000003</v>
      </c>
      <c r="T142" s="62"/>
      <c r="U142" s="62"/>
      <c r="V142" s="62">
        <f>SUM(V2:V126)</f>
        <v>114718299.52181503</v>
      </c>
      <c r="W142" s="62"/>
      <c r="X142" s="62"/>
      <c r="Y142" s="62">
        <f>SUM(Y2:Y126)</f>
        <v>801483965.30841672</v>
      </c>
      <c r="Z142" s="62"/>
      <c r="AA142" s="62"/>
      <c r="AB142" s="62">
        <f>SUM(AB2:AB126)</f>
        <v>14684016884.907932</v>
      </c>
      <c r="AC142" s="62"/>
      <c r="AD142" s="62"/>
      <c r="AE142" s="62">
        <f>SUM(AE2:AE126)</f>
        <v>152690056.66353589</v>
      </c>
    </row>
    <row r="143" spans="1:31" s="94" customFormat="1" x14ac:dyDescent="0.3">
      <c r="A143" s="91" t="s">
        <v>1427</v>
      </c>
      <c r="J143" s="91">
        <f>J142/$AL$2</f>
        <v>8125924.6738349507</v>
      </c>
      <c r="M143" s="91">
        <f>M142/$AL$2</f>
        <v>196691.06012621362</v>
      </c>
      <c r="P143" s="91">
        <f>P142/$AL$2</f>
        <v>584627.92798203893</v>
      </c>
      <c r="S143" s="91">
        <f>S142/$AL$2</f>
        <v>21044.169631067965</v>
      </c>
      <c r="V143" s="91">
        <f>V142/$AL$2</f>
        <v>111376.98982700489</v>
      </c>
      <c r="Y143" s="91">
        <f>Y142/$AL$2</f>
        <v>778139.77214409388</v>
      </c>
      <c r="AB143" s="91">
        <f>AB142/$AL$2</f>
        <v>14256327.072726147</v>
      </c>
      <c r="AE143" s="91">
        <f>AE142/$AL$2</f>
        <v>148242.77345974359</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310"/>
  <sheetViews>
    <sheetView topLeftCell="D4" workbookViewId="0">
      <selection activeCell="E95" sqref="E95"/>
    </sheetView>
  </sheetViews>
  <sheetFormatPr defaultColWidth="8.88671875" defaultRowHeight="14.4" x14ac:dyDescent="0.3"/>
  <cols>
    <col min="1" max="22" width="35.6640625" customWidth="1"/>
    <col min="23" max="31" width="25.6640625" customWidth="1"/>
    <col min="32"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86.4" x14ac:dyDescent="0.3">
      <c r="A2" s="41" t="s">
        <v>983</v>
      </c>
      <c r="B2" s="41" t="s">
        <v>1176</v>
      </c>
      <c r="C2" s="41" t="s">
        <v>1177</v>
      </c>
      <c r="D2" s="41" t="s">
        <v>1178</v>
      </c>
      <c r="E2" s="41" t="s">
        <v>1179</v>
      </c>
      <c r="F2" s="41" t="s">
        <v>709</v>
      </c>
      <c r="G2" s="83">
        <v>35000</v>
      </c>
      <c r="H2" s="41">
        <v>40</v>
      </c>
      <c r="I2" s="41">
        <v>5</v>
      </c>
      <c r="J2" s="67">
        <f>G2*H2*I2</f>
        <v>7000000</v>
      </c>
      <c r="K2" s="41">
        <v>40</v>
      </c>
      <c r="L2" s="41">
        <v>5</v>
      </c>
      <c r="M2" s="83">
        <f>(G2*1.1)*K2*L2</f>
        <v>7700000</v>
      </c>
      <c r="N2" s="41">
        <v>40</v>
      </c>
      <c r="O2" s="41">
        <v>5</v>
      </c>
      <c r="P2" s="70">
        <f>($G2*1.1^2)*N2*O2</f>
        <v>8470000.0000000019</v>
      </c>
      <c r="Q2" s="41">
        <v>40</v>
      </c>
      <c r="R2" s="41">
        <v>5</v>
      </c>
      <c r="S2" s="70">
        <f>($G2*1.1^3)*Q2*R2</f>
        <v>9317000.0000000019</v>
      </c>
      <c r="T2" s="41">
        <v>40</v>
      </c>
      <c r="U2" s="41">
        <v>5</v>
      </c>
      <c r="V2" s="70">
        <f>($G2*1.1^4)*T2*U2</f>
        <v>10248700.000000002</v>
      </c>
      <c r="W2" s="41">
        <v>40</v>
      </c>
      <c r="X2" s="41">
        <v>5</v>
      </c>
      <c r="Y2" s="70">
        <f>($G2*1.1^5)*W2*X2</f>
        <v>11273570.000000004</v>
      </c>
      <c r="Z2" s="41">
        <v>40</v>
      </c>
      <c r="AA2" s="41">
        <v>5</v>
      </c>
      <c r="AB2" s="70">
        <f>($G2*1.1^6)*Z2*AA2</f>
        <v>12400927.000000007</v>
      </c>
      <c r="AC2" s="41">
        <v>40</v>
      </c>
      <c r="AD2" s="41">
        <v>5</v>
      </c>
      <c r="AE2" s="70">
        <f>($G2*1.1^7)*AC2*AD2</f>
        <v>13641019.700000007</v>
      </c>
      <c r="AF2" s="28">
        <f>J2+M2+P2+S2+V2+Y2+AB2+AE2</f>
        <v>80051216.700000018</v>
      </c>
      <c r="AG2" s="28">
        <f>AF2/$AL$2</f>
        <v>77719.627864077687</v>
      </c>
      <c r="AL2">
        <v>1030</v>
      </c>
    </row>
    <row r="3" spans="1:38" ht="86.4" x14ac:dyDescent="0.3">
      <c r="A3" s="41" t="s">
        <v>983</v>
      </c>
      <c r="B3" s="41" t="s">
        <v>1176</v>
      </c>
      <c r="C3" s="41" t="s">
        <v>1177</v>
      </c>
      <c r="D3" s="41" t="s">
        <v>1180</v>
      </c>
      <c r="E3" s="41" t="s">
        <v>158</v>
      </c>
      <c r="F3" s="41" t="s">
        <v>841</v>
      </c>
      <c r="G3" s="83">
        <v>0</v>
      </c>
      <c r="H3" s="41">
        <v>0</v>
      </c>
      <c r="I3" s="41">
        <v>0</v>
      </c>
      <c r="J3" s="67">
        <f t="shared" ref="J3:J66" si="0">G3*H3*I3</f>
        <v>0</v>
      </c>
      <c r="K3" s="41">
        <v>0</v>
      </c>
      <c r="L3" s="41">
        <v>0</v>
      </c>
      <c r="M3" s="83">
        <f t="shared" ref="M3:M66" si="1">(G3*1.1)*K3*L3</f>
        <v>0</v>
      </c>
      <c r="N3" s="41">
        <v>0</v>
      </c>
      <c r="O3" s="41">
        <v>0</v>
      </c>
      <c r="P3" s="70">
        <f t="shared" ref="P3:P66" si="2">($G3*1.1^2)*N3*O3</f>
        <v>0</v>
      </c>
      <c r="Q3" s="41">
        <v>0</v>
      </c>
      <c r="R3" s="41">
        <v>0</v>
      </c>
      <c r="S3" s="70">
        <f t="shared" ref="S3:S66" si="3">($G3*1.1^3)*Q3*R3</f>
        <v>0</v>
      </c>
      <c r="T3" s="41">
        <v>0</v>
      </c>
      <c r="U3" s="41">
        <v>0</v>
      </c>
      <c r="V3" s="70">
        <f>($G3*1.1^4)*T3*U3</f>
        <v>0</v>
      </c>
      <c r="Y3" s="70">
        <f t="shared" ref="Y3:Y66" si="4">($G3*1.1^5)*W3*X3</f>
        <v>0</v>
      </c>
      <c r="AB3" s="70">
        <f t="shared" ref="AB3:AB66" si="5">($G3*1.1^6)*Z3*AA3</f>
        <v>0</v>
      </c>
      <c r="AE3" s="70">
        <f t="shared" ref="AE3:AE66" si="6">($G3*1.1^7)*AC3*AD3</f>
        <v>0</v>
      </c>
      <c r="AF3" s="28">
        <f>J3+M3+P3+S3+V3+Y3+AB3+AE3</f>
        <v>0</v>
      </c>
      <c r="AG3" s="28">
        <f t="shared" ref="AG3:AG66" si="7">AF3/$AL$2</f>
        <v>0</v>
      </c>
    </row>
    <row r="4" spans="1:38" ht="86.4" x14ac:dyDescent="0.3">
      <c r="A4" s="41" t="s">
        <v>983</v>
      </c>
      <c r="B4" s="41" t="s">
        <v>1176</v>
      </c>
      <c r="C4" s="41" t="s">
        <v>1177</v>
      </c>
      <c r="D4" s="41" t="s">
        <v>1180</v>
      </c>
      <c r="E4" s="41" t="s">
        <v>1025</v>
      </c>
      <c r="F4" s="41" t="s">
        <v>841</v>
      </c>
      <c r="G4" s="83">
        <v>0</v>
      </c>
      <c r="H4" s="41">
        <v>0</v>
      </c>
      <c r="I4" s="41">
        <v>0</v>
      </c>
      <c r="J4" s="67">
        <f t="shared" si="0"/>
        <v>0</v>
      </c>
      <c r="K4" s="41">
        <v>0</v>
      </c>
      <c r="L4" s="41">
        <v>0</v>
      </c>
      <c r="M4" s="83">
        <f t="shared" si="1"/>
        <v>0</v>
      </c>
      <c r="N4" s="41">
        <v>0</v>
      </c>
      <c r="O4" s="41">
        <v>0</v>
      </c>
      <c r="P4" s="70">
        <f t="shared" si="2"/>
        <v>0</v>
      </c>
      <c r="Q4" s="41">
        <v>0</v>
      </c>
      <c r="R4" s="41">
        <v>0</v>
      </c>
      <c r="S4" s="70">
        <f t="shared" si="3"/>
        <v>0</v>
      </c>
      <c r="T4" s="41">
        <v>0</v>
      </c>
      <c r="U4" s="41">
        <v>0</v>
      </c>
      <c r="V4" s="70">
        <f t="shared" ref="V4:V66" si="8">($G4*1.1^4)*T4*U4</f>
        <v>0</v>
      </c>
      <c r="Y4" s="70">
        <f t="shared" si="4"/>
        <v>0</v>
      </c>
      <c r="AB4" s="70">
        <f t="shared" si="5"/>
        <v>0</v>
      </c>
      <c r="AE4" s="70">
        <f t="shared" si="6"/>
        <v>0</v>
      </c>
      <c r="AF4" s="28">
        <f t="shared" ref="AF4:AF66" si="9">J4+M4+P4+S4+V4+Y4+AB4+AE4</f>
        <v>0</v>
      </c>
      <c r="AG4" s="28">
        <f t="shared" si="7"/>
        <v>0</v>
      </c>
    </row>
    <row r="5" spans="1:38" ht="86.4" x14ac:dyDescent="0.3">
      <c r="A5" s="41" t="s">
        <v>983</v>
      </c>
      <c r="B5" s="41" t="s">
        <v>1176</v>
      </c>
      <c r="C5" s="41" t="s">
        <v>1177</v>
      </c>
      <c r="D5" s="41" t="s">
        <v>1180</v>
      </c>
      <c r="E5" s="41" t="s">
        <v>149</v>
      </c>
      <c r="F5" s="41" t="s">
        <v>707</v>
      </c>
      <c r="G5" s="83">
        <v>391991.03749999998</v>
      </c>
      <c r="H5" s="41">
        <v>2</v>
      </c>
      <c r="I5" s="41">
        <v>2</v>
      </c>
      <c r="J5" s="67">
        <f t="shared" si="0"/>
        <v>1567964.15</v>
      </c>
      <c r="K5" s="41">
        <v>2</v>
      </c>
      <c r="L5" s="41">
        <v>2</v>
      </c>
      <c r="M5" s="83">
        <f t="shared" si="1"/>
        <v>1724760.5649999999</v>
      </c>
      <c r="N5" s="41">
        <v>2</v>
      </c>
      <c r="O5" s="41">
        <v>2</v>
      </c>
      <c r="P5" s="70">
        <f t="shared" si="2"/>
        <v>1897236.6215000001</v>
      </c>
      <c r="Q5" s="41">
        <v>2</v>
      </c>
      <c r="R5" s="41">
        <v>2</v>
      </c>
      <c r="S5" s="70">
        <f t="shared" si="3"/>
        <v>2086960.2836500006</v>
      </c>
      <c r="T5" s="41">
        <v>2</v>
      </c>
      <c r="U5" s="41">
        <v>2</v>
      </c>
      <c r="V5" s="70">
        <f t="shared" si="8"/>
        <v>2295656.3120150003</v>
      </c>
      <c r="W5" s="41">
        <v>2</v>
      </c>
      <c r="X5" s="41">
        <v>2</v>
      </c>
      <c r="Y5" s="70">
        <f t="shared" si="4"/>
        <v>2525221.9432165008</v>
      </c>
      <c r="Z5" s="41">
        <v>2</v>
      </c>
      <c r="AA5" s="41">
        <v>2</v>
      </c>
      <c r="AB5" s="70">
        <f t="shared" si="5"/>
        <v>2777744.1375381513</v>
      </c>
      <c r="AC5" s="41">
        <v>2</v>
      </c>
      <c r="AD5" s="41">
        <v>2</v>
      </c>
      <c r="AE5" s="70">
        <f t="shared" si="6"/>
        <v>3055518.5512919668</v>
      </c>
      <c r="AF5" s="28">
        <f t="shared" si="9"/>
        <v>17931062.564211622</v>
      </c>
      <c r="AG5" s="28">
        <f t="shared" si="7"/>
        <v>17408.798606030701</v>
      </c>
    </row>
    <row r="6" spans="1:38" ht="86.4" x14ac:dyDescent="0.3">
      <c r="A6" s="41" t="s">
        <v>983</v>
      </c>
      <c r="B6" s="41" t="s">
        <v>1176</v>
      </c>
      <c r="C6" s="41" t="s">
        <v>1177</v>
      </c>
      <c r="D6" s="41" t="s">
        <v>1180</v>
      </c>
      <c r="E6" s="41" t="s">
        <v>149</v>
      </c>
      <c r="F6" s="41" t="s">
        <v>708</v>
      </c>
      <c r="G6" s="83">
        <f>500*1030</f>
        <v>515000</v>
      </c>
      <c r="H6" s="41">
        <v>1</v>
      </c>
      <c r="I6" s="41">
        <v>25</v>
      </c>
      <c r="J6" s="67">
        <f t="shared" si="0"/>
        <v>12875000</v>
      </c>
      <c r="K6" s="41">
        <v>0</v>
      </c>
      <c r="L6" s="41">
        <v>0</v>
      </c>
      <c r="M6" s="83">
        <f t="shared" si="1"/>
        <v>0</v>
      </c>
      <c r="N6" s="41">
        <v>0</v>
      </c>
      <c r="O6" s="41">
        <v>0</v>
      </c>
      <c r="P6" s="70">
        <f t="shared" si="2"/>
        <v>0</v>
      </c>
      <c r="Q6" s="41">
        <v>0</v>
      </c>
      <c r="R6" s="41">
        <v>0</v>
      </c>
      <c r="S6" s="70">
        <f t="shared" si="3"/>
        <v>0</v>
      </c>
      <c r="T6" s="41">
        <v>0</v>
      </c>
      <c r="U6" s="41">
        <v>0</v>
      </c>
      <c r="V6" s="70">
        <f t="shared" si="8"/>
        <v>0</v>
      </c>
      <c r="W6" s="41">
        <v>0</v>
      </c>
      <c r="X6" s="41">
        <v>0</v>
      </c>
      <c r="Y6" s="70">
        <f t="shared" si="4"/>
        <v>0</v>
      </c>
      <c r="AB6" s="70">
        <f t="shared" si="5"/>
        <v>0</v>
      </c>
      <c r="AE6" s="70">
        <f t="shared" si="6"/>
        <v>0</v>
      </c>
      <c r="AF6" s="28">
        <f t="shared" si="9"/>
        <v>12875000</v>
      </c>
      <c r="AG6" s="28">
        <f t="shared" si="7"/>
        <v>12500</v>
      </c>
    </row>
    <row r="7" spans="1:38" ht="86.4" x14ac:dyDescent="0.3">
      <c r="A7" s="41" t="s">
        <v>983</v>
      </c>
      <c r="B7" s="41" t="s">
        <v>1176</v>
      </c>
      <c r="C7" s="41" t="s">
        <v>1177</v>
      </c>
      <c r="D7" s="41" t="s">
        <v>1180</v>
      </c>
      <c r="E7" s="41" t="s">
        <v>1181</v>
      </c>
      <c r="F7" s="41" t="s">
        <v>841</v>
      </c>
      <c r="G7" s="83">
        <v>0</v>
      </c>
      <c r="H7" s="41">
        <v>1</v>
      </c>
      <c r="I7" s="41">
        <v>40</v>
      </c>
      <c r="J7" s="67">
        <f t="shared" si="0"/>
        <v>0</v>
      </c>
      <c r="K7" s="41">
        <v>0</v>
      </c>
      <c r="L7" s="41">
        <v>0</v>
      </c>
      <c r="M7" s="83">
        <f t="shared" si="1"/>
        <v>0</v>
      </c>
      <c r="N7" s="41">
        <v>0</v>
      </c>
      <c r="O7" s="41">
        <v>0</v>
      </c>
      <c r="P7" s="70">
        <f t="shared" si="2"/>
        <v>0</v>
      </c>
      <c r="Q7" s="41">
        <v>0</v>
      </c>
      <c r="R7" s="41">
        <v>0</v>
      </c>
      <c r="S7" s="70">
        <f t="shared" si="3"/>
        <v>0</v>
      </c>
      <c r="T7" s="41">
        <v>0</v>
      </c>
      <c r="U7" s="41">
        <v>0</v>
      </c>
      <c r="V7" s="70">
        <f t="shared" si="8"/>
        <v>0</v>
      </c>
      <c r="Y7" s="70">
        <f t="shared" si="4"/>
        <v>0</v>
      </c>
      <c r="AB7" s="70">
        <f t="shared" si="5"/>
        <v>0</v>
      </c>
      <c r="AE7" s="70">
        <f t="shared" si="6"/>
        <v>0</v>
      </c>
      <c r="AF7" s="28">
        <f t="shared" si="9"/>
        <v>0</v>
      </c>
      <c r="AG7" s="28">
        <f t="shared" si="7"/>
        <v>0</v>
      </c>
    </row>
    <row r="8" spans="1:38" ht="86.4" x14ac:dyDescent="0.3">
      <c r="A8" s="41" t="s">
        <v>983</v>
      </c>
      <c r="B8" s="41" t="s">
        <v>1176</v>
      </c>
      <c r="C8" s="41" t="s">
        <v>1177</v>
      </c>
      <c r="D8" s="41" t="s">
        <v>1180</v>
      </c>
      <c r="E8" s="41" t="s">
        <v>1015</v>
      </c>
      <c r="F8" s="41" t="s">
        <v>709</v>
      </c>
      <c r="G8" s="83">
        <v>35000</v>
      </c>
      <c r="H8" s="41">
        <v>25</v>
      </c>
      <c r="I8" s="41">
        <v>5</v>
      </c>
      <c r="J8" s="67">
        <f t="shared" si="0"/>
        <v>4375000</v>
      </c>
      <c r="K8" s="41">
        <v>0</v>
      </c>
      <c r="L8" s="41">
        <v>0</v>
      </c>
      <c r="M8" s="83">
        <f t="shared" si="1"/>
        <v>0</v>
      </c>
      <c r="N8" s="41">
        <v>0</v>
      </c>
      <c r="O8" s="41">
        <v>0</v>
      </c>
      <c r="P8" s="70">
        <f t="shared" si="2"/>
        <v>0</v>
      </c>
      <c r="Q8" s="41">
        <v>0</v>
      </c>
      <c r="R8" s="41">
        <v>0</v>
      </c>
      <c r="S8" s="70">
        <f t="shared" si="3"/>
        <v>0</v>
      </c>
      <c r="T8" s="41">
        <v>0</v>
      </c>
      <c r="U8" s="41">
        <v>0</v>
      </c>
      <c r="V8" s="70">
        <f t="shared" si="8"/>
        <v>0</v>
      </c>
      <c r="Y8" s="70">
        <f t="shared" si="4"/>
        <v>0</v>
      </c>
      <c r="AB8" s="70">
        <f t="shared" si="5"/>
        <v>0</v>
      </c>
      <c r="AE8" s="70">
        <f t="shared" si="6"/>
        <v>0</v>
      </c>
      <c r="AF8" s="28">
        <f t="shared" si="9"/>
        <v>4375000</v>
      </c>
      <c r="AG8" s="28">
        <f t="shared" si="7"/>
        <v>4247.5728155339802</v>
      </c>
    </row>
    <row r="9" spans="1:38" ht="86.4" x14ac:dyDescent="0.3">
      <c r="A9" s="41" t="s">
        <v>983</v>
      </c>
      <c r="B9" s="41" t="s">
        <v>1176</v>
      </c>
      <c r="C9" s="41" t="s">
        <v>1177</v>
      </c>
      <c r="D9" s="41" t="s">
        <v>1180</v>
      </c>
      <c r="E9" s="41" t="s">
        <v>1159</v>
      </c>
      <c r="F9" s="41" t="s">
        <v>713</v>
      </c>
      <c r="G9" s="83">
        <v>45000</v>
      </c>
      <c r="H9" s="41">
        <v>25</v>
      </c>
      <c r="I9" s="41">
        <v>2</v>
      </c>
      <c r="J9" s="67">
        <f t="shared" si="0"/>
        <v>2250000</v>
      </c>
      <c r="K9" s="41">
        <v>0</v>
      </c>
      <c r="L9" s="41">
        <v>0</v>
      </c>
      <c r="M9" s="83">
        <f t="shared" si="1"/>
        <v>0</v>
      </c>
      <c r="N9" s="41">
        <v>0</v>
      </c>
      <c r="O9" s="41">
        <v>0</v>
      </c>
      <c r="P9" s="70">
        <f t="shared" si="2"/>
        <v>0</v>
      </c>
      <c r="Q9" s="41">
        <v>0</v>
      </c>
      <c r="R9" s="41">
        <v>0</v>
      </c>
      <c r="S9" s="70">
        <f t="shared" si="3"/>
        <v>0</v>
      </c>
      <c r="T9" s="41">
        <v>0</v>
      </c>
      <c r="U9" s="41">
        <v>0</v>
      </c>
      <c r="V9" s="70">
        <f t="shared" si="8"/>
        <v>0</v>
      </c>
      <c r="Y9" s="70">
        <f t="shared" si="4"/>
        <v>0</v>
      </c>
      <c r="AB9" s="70">
        <f t="shared" si="5"/>
        <v>0</v>
      </c>
      <c r="AE9" s="70">
        <f t="shared" si="6"/>
        <v>0</v>
      </c>
      <c r="AF9" s="28">
        <f t="shared" si="9"/>
        <v>2250000</v>
      </c>
      <c r="AG9" s="28">
        <f t="shared" si="7"/>
        <v>2184.4660194174758</v>
      </c>
    </row>
    <row r="10" spans="1:38" ht="86.4" x14ac:dyDescent="0.3">
      <c r="A10" s="41" t="s">
        <v>983</v>
      </c>
      <c r="B10" s="41" t="s">
        <v>1176</v>
      </c>
      <c r="C10" s="41" t="s">
        <v>1177</v>
      </c>
      <c r="D10" s="41" t="s">
        <v>1180</v>
      </c>
      <c r="E10" s="41" t="s">
        <v>1159</v>
      </c>
      <c r="F10" s="41" t="s">
        <v>1350</v>
      </c>
      <c r="G10" s="83">
        <f>1999.2/7</f>
        <v>285.60000000000002</v>
      </c>
      <c r="H10" s="41">
        <f>2*135*9</f>
        <v>2430</v>
      </c>
      <c r="I10" s="41">
        <v>1</v>
      </c>
      <c r="J10" s="67">
        <f t="shared" si="0"/>
        <v>694008</v>
      </c>
      <c r="K10" s="41"/>
      <c r="L10" s="41"/>
      <c r="M10" s="83">
        <f t="shared" si="1"/>
        <v>0</v>
      </c>
      <c r="N10" s="41"/>
      <c r="O10" s="41"/>
      <c r="P10" s="70">
        <f t="shared" si="2"/>
        <v>0</v>
      </c>
      <c r="Q10" s="41"/>
      <c r="R10" s="41"/>
      <c r="S10" s="70">
        <f t="shared" si="3"/>
        <v>0</v>
      </c>
      <c r="T10" s="41"/>
      <c r="U10" s="41"/>
      <c r="V10" s="70">
        <f t="shared" si="8"/>
        <v>0</v>
      </c>
      <c r="Y10" s="70">
        <f t="shared" si="4"/>
        <v>0</v>
      </c>
      <c r="AB10" s="70">
        <f t="shared" si="5"/>
        <v>0</v>
      </c>
      <c r="AE10" s="70">
        <f t="shared" si="6"/>
        <v>0</v>
      </c>
      <c r="AF10" s="28">
        <f t="shared" si="9"/>
        <v>694008</v>
      </c>
      <c r="AG10" s="28">
        <f t="shared" si="7"/>
        <v>673.79417475728155</v>
      </c>
    </row>
    <row r="11" spans="1:38" ht="86.4" x14ac:dyDescent="0.3">
      <c r="A11" s="41" t="s">
        <v>983</v>
      </c>
      <c r="B11" s="41" t="s">
        <v>1176</v>
      </c>
      <c r="C11" s="41" t="s">
        <v>1177</v>
      </c>
      <c r="D11" s="41" t="s">
        <v>1180</v>
      </c>
      <c r="E11" s="41" t="s">
        <v>1159</v>
      </c>
      <c r="F11" s="41" t="s">
        <v>712</v>
      </c>
      <c r="G11" s="83">
        <f>1999.2/7</f>
        <v>285.60000000000002</v>
      </c>
      <c r="H11" s="41">
        <f>25*2*9</f>
        <v>450</v>
      </c>
      <c r="I11" s="41">
        <v>1</v>
      </c>
      <c r="J11" s="67">
        <f t="shared" si="0"/>
        <v>128520.00000000001</v>
      </c>
      <c r="K11" s="41">
        <v>0</v>
      </c>
      <c r="L11" s="41">
        <v>0</v>
      </c>
      <c r="M11" s="83">
        <f t="shared" si="1"/>
        <v>0</v>
      </c>
      <c r="N11" s="41">
        <v>0</v>
      </c>
      <c r="O11" s="41">
        <v>0</v>
      </c>
      <c r="P11" s="70">
        <f t="shared" si="2"/>
        <v>0</v>
      </c>
      <c r="Q11" s="41">
        <v>0</v>
      </c>
      <c r="R11" s="41">
        <v>0</v>
      </c>
      <c r="S11" s="70">
        <f t="shared" si="3"/>
        <v>0</v>
      </c>
      <c r="T11" s="41">
        <v>0</v>
      </c>
      <c r="U11" s="41">
        <v>0</v>
      </c>
      <c r="V11" s="70">
        <f t="shared" si="8"/>
        <v>0</v>
      </c>
      <c r="Y11" s="70">
        <f t="shared" si="4"/>
        <v>0</v>
      </c>
      <c r="AB11" s="70">
        <f t="shared" si="5"/>
        <v>0</v>
      </c>
      <c r="AE11" s="70">
        <f t="shared" si="6"/>
        <v>0</v>
      </c>
      <c r="AF11" s="28">
        <f t="shared" si="9"/>
        <v>128520.00000000001</v>
      </c>
      <c r="AG11" s="28">
        <f t="shared" si="7"/>
        <v>124.77669902912623</v>
      </c>
    </row>
    <row r="12" spans="1:38" ht="86.4" x14ac:dyDescent="0.3">
      <c r="A12" s="41" t="s">
        <v>983</v>
      </c>
      <c r="B12" s="41" t="s">
        <v>1176</v>
      </c>
      <c r="C12" s="41" t="s">
        <v>1177</v>
      </c>
      <c r="D12" s="41" t="s">
        <v>1180</v>
      </c>
      <c r="E12" s="41" t="s">
        <v>1017</v>
      </c>
      <c r="F12" s="41" t="s">
        <v>709</v>
      </c>
      <c r="G12" s="83">
        <v>35000</v>
      </c>
      <c r="H12" s="41">
        <v>25</v>
      </c>
      <c r="I12" s="41">
        <v>1</v>
      </c>
      <c r="J12" s="67">
        <f t="shared" si="0"/>
        <v>875000</v>
      </c>
      <c r="K12" s="41">
        <v>0</v>
      </c>
      <c r="L12" s="41">
        <v>0</v>
      </c>
      <c r="M12" s="83">
        <f t="shared" si="1"/>
        <v>0</v>
      </c>
      <c r="N12" s="41">
        <v>0</v>
      </c>
      <c r="O12" s="41">
        <v>0</v>
      </c>
      <c r="P12" s="70">
        <f t="shared" si="2"/>
        <v>0</v>
      </c>
      <c r="Q12" s="41">
        <v>0</v>
      </c>
      <c r="R12" s="41">
        <v>0</v>
      </c>
      <c r="S12" s="70">
        <f t="shared" si="3"/>
        <v>0</v>
      </c>
      <c r="T12" s="41">
        <v>0</v>
      </c>
      <c r="U12" s="41">
        <v>0</v>
      </c>
      <c r="V12" s="70">
        <f t="shared" si="8"/>
        <v>0</v>
      </c>
      <c r="Y12" s="70">
        <f t="shared" si="4"/>
        <v>0</v>
      </c>
      <c r="AB12" s="70">
        <f t="shared" si="5"/>
        <v>0</v>
      </c>
      <c r="AE12" s="70">
        <f t="shared" si="6"/>
        <v>0</v>
      </c>
      <c r="AF12" s="28">
        <f t="shared" si="9"/>
        <v>875000</v>
      </c>
      <c r="AG12" s="28">
        <f t="shared" si="7"/>
        <v>849.51456310679612</v>
      </c>
    </row>
    <row r="13" spans="1:38" ht="86.4" x14ac:dyDescent="0.3">
      <c r="A13" s="41" t="s">
        <v>983</v>
      </c>
      <c r="B13" s="41" t="s">
        <v>1176</v>
      </c>
      <c r="C13" s="41" t="s">
        <v>1177</v>
      </c>
      <c r="D13" s="41" t="s">
        <v>1180</v>
      </c>
      <c r="E13" s="41" t="s">
        <v>1182</v>
      </c>
      <c r="F13" s="41" t="s">
        <v>713</v>
      </c>
      <c r="G13" s="83">
        <v>45000</v>
      </c>
      <c r="H13" s="41">
        <v>25</v>
      </c>
      <c r="I13" s="41">
        <v>6</v>
      </c>
      <c r="J13" s="67">
        <f t="shared" si="0"/>
        <v>6750000</v>
      </c>
      <c r="K13" s="41">
        <v>0</v>
      </c>
      <c r="L13" s="41">
        <v>0</v>
      </c>
      <c r="M13" s="83">
        <f t="shared" si="1"/>
        <v>0</v>
      </c>
      <c r="N13" s="41">
        <v>0</v>
      </c>
      <c r="O13" s="41">
        <v>0</v>
      </c>
      <c r="P13" s="70">
        <f t="shared" si="2"/>
        <v>0</v>
      </c>
      <c r="Q13" s="41">
        <v>0</v>
      </c>
      <c r="R13" s="41">
        <v>0</v>
      </c>
      <c r="S13" s="70">
        <f t="shared" si="3"/>
        <v>0</v>
      </c>
      <c r="T13" s="41">
        <v>0</v>
      </c>
      <c r="U13" s="41">
        <v>0</v>
      </c>
      <c r="V13" s="70">
        <f t="shared" si="8"/>
        <v>0</v>
      </c>
      <c r="Y13" s="70">
        <f t="shared" si="4"/>
        <v>0</v>
      </c>
      <c r="AB13" s="70">
        <f t="shared" si="5"/>
        <v>0</v>
      </c>
      <c r="AE13" s="70">
        <f t="shared" si="6"/>
        <v>0</v>
      </c>
      <c r="AF13" s="28">
        <f t="shared" si="9"/>
        <v>6750000</v>
      </c>
      <c r="AG13" s="28">
        <f t="shared" si="7"/>
        <v>6553.3980582524273</v>
      </c>
    </row>
    <row r="14" spans="1:38" ht="86.4" x14ac:dyDescent="0.3">
      <c r="A14" s="41" t="s">
        <v>983</v>
      </c>
      <c r="B14" s="41" t="s">
        <v>1176</v>
      </c>
      <c r="C14" s="41" t="s">
        <v>1177</v>
      </c>
      <c r="D14" s="41" t="s">
        <v>1180</v>
      </c>
      <c r="E14" s="41" t="s">
        <v>1182</v>
      </c>
      <c r="F14" s="41" t="s">
        <v>712</v>
      </c>
      <c r="G14" s="83">
        <f>1999.2/7</f>
        <v>285.60000000000002</v>
      </c>
      <c r="H14" s="41">
        <f>25*2*9</f>
        <v>450</v>
      </c>
      <c r="I14" s="41">
        <v>5</v>
      </c>
      <c r="J14" s="67">
        <f t="shared" si="0"/>
        <v>642600.00000000012</v>
      </c>
      <c r="K14" s="41">
        <v>0</v>
      </c>
      <c r="L14" s="41">
        <v>0</v>
      </c>
      <c r="M14" s="83">
        <f t="shared" si="1"/>
        <v>0</v>
      </c>
      <c r="N14" s="41">
        <v>0</v>
      </c>
      <c r="O14" s="41">
        <v>0</v>
      </c>
      <c r="P14" s="70">
        <f t="shared" si="2"/>
        <v>0</v>
      </c>
      <c r="Q14" s="41">
        <v>0</v>
      </c>
      <c r="R14" s="41">
        <v>0</v>
      </c>
      <c r="S14" s="70">
        <f t="shared" si="3"/>
        <v>0</v>
      </c>
      <c r="T14" s="41">
        <v>0</v>
      </c>
      <c r="U14" s="41">
        <v>0</v>
      </c>
      <c r="V14" s="70">
        <f t="shared" si="8"/>
        <v>0</v>
      </c>
      <c r="Y14" s="70">
        <f t="shared" si="4"/>
        <v>0</v>
      </c>
      <c r="AB14" s="70">
        <f t="shared" si="5"/>
        <v>0</v>
      </c>
      <c r="AE14" s="70">
        <f t="shared" si="6"/>
        <v>0</v>
      </c>
      <c r="AF14" s="28">
        <f t="shared" si="9"/>
        <v>642600.00000000012</v>
      </c>
      <c r="AG14" s="28">
        <f t="shared" si="7"/>
        <v>623.88349514563117</v>
      </c>
    </row>
    <row r="15" spans="1:38" ht="86.4" x14ac:dyDescent="0.3">
      <c r="A15" s="41" t="s">
        <v>983</v>
      </c>
      <c r="B15" s="41" t="s">
        <v>1176</v>
      </c>
      <c r="C15" s="41" t="s">
        <v>1177</v>
      </c>
      <c r="D15" s="41" t="s">
        <v>1180</v>
      </c>
      <c r="E15" s="41" t="s">
        <v>1182</v>
      </c>
      <c r="F15" s="41" t="s">
        <v>714</v>
      </c>
      <c r="G15" s="83">
        <v>10000</v>
      </c>
      <c r="H15" s="41">
        <v>15</v>
      </c>
      <c r="I15" s="41">
        <v>1</v>
      </c>
      <c r="J15" s="67">
        <f t="shared" si="0"/>
        <v>150000</v>
      </c>
      <c r="K15" s="41">
        <v>0</v>
      </c>
      <c r="L15" s="41">
        <v>0</v>
      </c>
      <c r="M15" s="83">
        <f t="shared" si="1"/>
        <v>0</v>
      </c>
      <c r="N15" s="41">
        <v>0</v>
      </c>
      <c r="O15" s="41">
        <v>0</v>
      </c>
      <c r="P15" s="70">
        <f t="shared" si="2"/>
        <v>0</v>
      </c>
      <c r="Q15" s="41">
        <v>0</v>
      </c>
      <c r="R15" s="41">
        <v>0</v>
      </c>
      <c r="S15" s="70">
        <f t="shared" si="3"/>
        <v>0</v>
      </c>
      <c r="T15" s="41">
        <v>0</v>
      </c>
      <c r="U15" s="41">
        <v>0</v>
      </c>
      <c r="V15" s="70">
        <f t="shared" si="8"/>
        <v>0</v>
      </c>
      <c r="Y15" s="70">
        <f t="shared" si="4"/>
        <v>0</v>
      </c>
      <c r="AB15" s="70">
        <f t="shared" si="5"/>
        <v>0</v>
      </c>
      <c r="AE15" s="70">
        <f t="shared" si="6"/>
        <v>0</v>
      </c>
      <c r="AF15" s="28">
        <f t="shared" si="9"/>
        <v>150000</v>
      </c>
      <c r="AG15" s="28">
        <f t="shared" si="7"/>
        <v>145.63106796116506</v>
      </c>
    </row>
    <row r="16" spans="1:38" ht="86.4" x14ac:dyDescent="0.3">
      <c r="A16" s="41" t="s">
        <v>983</v>
      </c>
      <c r="B16" s="41" t="s">
        <v>1176</v>
      </c>
      <c r="C16" s="41" t="s">
        <v>1177</v>
      </c>
      <c r="D16" s="41" t="s">
        <v>1180</v>
      </c>
      <c r="E16" s="41" t="s">
        <v>1182</v>
      </c>
      <c r="F16" s="41" t="s">
        <v>1350</v>
      </c>
      <c r="G16" s="83">
        <f>1999.2/7</f>
        <v>285.60000000000002</v>
      </c>
      <c r="H16" s="41">
        <f>2*135*9</f>
        <v>2430</v>
      </c>
      <c r="I16" s="41">
        <v>1</v>
      </c>
      <c r="J16" s="67">
        <f t="shared" si="0"/>
        <v>694008</v>
      </c>
      <c r="K16" s="41"/>
      <c r="L16" s="41"/>
      <c r="M16" s="83">
        <f t="shared" si="1"/>
        <v>0</v>
      </c>
      <c r="N16" s="41"/>
      <c r="O16" s="41"/>
      <c r="P16" s="70">
        <f t="shared" si="2"/>
        <v>0</v>
      </c>
      <c r="Q16" s="41"/>
      <c r="R16" s="41"/>
      <c r="S16" s="70">
        <f t="shared" si="3"/>
        <v>0</v>
      </c>
      <c r="T16" s="41"/>
      <c r="U16" s="41"/>
      <c r="V16" s="70">
        <f t="shared" si="8"/>
        <v>0</v>
      </c>
      <c r="Y16" s="70">
        <f t="shared" si="4"/>
        <v>0</v>
      </c>
      <c r="AB16" s="70">
        <f t="shared" si="5"/>
        <v>0</v>
      </c>
      <c r="AE16" s="70">
        <f t="shared" si="6"/>
        <v>0</v>
      </c>
      <c r="AF16" s="28">
        <f t="shared" si="9"/>
        <v>694008</v>
      </c>
      <c r="AG16" s="28">
        <f t="shared" si="7"/>
        <v>673.79417475728155</v>
      </c>
    </row>
    <row r="17" spans="1:33" ht="86.4" x14ac:dyDescent="0.3">
      <c r="A17" s="41" t="s">
        <v>983</v>
      </c>
      <c r="B17" s="41" t="s">
        <v>1176</v>
      </c>
      <c r="C17" s="41" t="s">
        <v>1177</v>
      </c>
      <c r="D17" s="41" t="s">
        <v>1180</v>
      </c>
      <c r="E17" s="41" t="s">
        <v>1004</v>
      </c>
      <c r="F17" s="41" t="s">
        <v>709</v>
      </c>
      <c r="G17" s="83">
        <v>35000</v>
      </c>
      <c r="H17" s="41">
        <v>25</v>
      </c>
      <c r="I17" s="41">
        <v>5</v>
      </c>
      <c r="J17" s="67">
        <f t="shared" si="0"/>
        <v>4375000</v>
      </c>
      <c r="K17" s="41">
        <v>0</v>
      </c>
      <c r="L17" s="41">
        <v>0</v>
      </c>
      <c r="M17" s="83">
        <f t="shared" si="1"/>
        <v>0</v>
      </c>
      <c r="N17" s="41">
        <v>0</v>
      </c>
      <c r="O17" s="41">
        <v>0</v>
      </c>
      <c r="P17" s="70">
        <f t="shared" si="2"/>
        <v>0</v>
      </c>
      <c r="Q17" s="41">
        <v>0</v>
      </c>
      <c r="R17" s="41">
        <v>0</v>
      </c>
      <c r="S17" s="70">
        <f t="shared" si="3"/>
        <v>0</v>
      </c>
      <c r="T17" s="41">
        <v>0</v>
      </c>
      <c r="U17" s="41">
        <v>0</v>
      </c>
      <c r="V17" s="70">
        <f t="shared" si="8"/>
        <v>0</v>
      </c>
      <c r="Y17" s="70">
        <f t="shared" si="4"/>
        <v>0</v>
      </c>
      <c r="AB17" s="70">
        <f t="shared" si="5"/>
        <v>0</v>
      </c>
      <c r="AE17" s="70">
        <f t="shared" si="6"/>
        <v>0</v>
      </c>
      <c r="AF17" s="28">
        <f t="shared" si="9"/>
        <v>4375000</v>
      </c>
      <c r="AG17" s="28">
        <f t="shared" si="7"/>
        <v>4247.5728155339802</v>
      </c>
    </row>
    <row r="18" spans="1:33" ht="86.4" x14ac:dyDescent="0.3">
      <c r="A18" s="41" t="s">
        <v>983</v>
      </c>
      <c r="B18" s="41" t="s">
        <v>1176</v>
      </c>
      <c r="C18" s="41" t="s">
        <v>1177</v>
      </c>
      <c r="D18" s="41" t="s">
        <v>1180</v>
      </c>
      <c r="E18" s="41" t="s">
        <v>1004</v>
      </c>
      <c r="F18" s="41" t="s">
        <v>716</v>
      </c>
      <c r="G18" s="83">
        <v>39000</v>
      </c>
      <c r="H18" s="41">
        <v>25</v>
      </c>
      <c r="I18" s="41">
        <v>6</v>
      </c>
      <c r="J18" s="67">
        <f t="shared" si="0"/>
        <v>5850000</v>
      </c>
      <c r="K18" s="41">
        <v>0</v>
      </c>
      <c r="L18" s="41">
        <v>0</v>
      </c>
      <c r="M18" s="83">
        <f t="shared" si="1"/>
        <v>0</v>
      </c>
      <c r="N18" s="41">
        <v>0</v>
      </c>
      <c r="O18" s="41">
        <v>0</v>
      </c>
      <c r="P18" s="70">
        <f t="shared" si="2"/>
        <v>0</v>
      </c>
      <c r="Q18" s="41">
        <v>0</v>
      </c>
      <c r="R18" s="41">
        <v>0</v>
      </c>
      <c r="S18" s="70">
        <f t="shared" si="3"/>
        <v>0</v>
      </c>
      <c r="T18" s="41">
        <v>0</v>
      </c>
      <c r="U18" s="41">
        <v>0</v>
      </c>
      <c r="V18" s="70">
        <f t="shared" si="8"/>
        <v>0</v>
      </c>
      <c r="Y18" s="70">
        <f t="shared" si="4"/>
        <v>0</v>
      </c>
      <c r="AB18" s="70">
        <f t="shared" si="5"/>
        <v>0</v>
      </c>
      <c r="AE18" s="70">
        <f t="shared" si="6"/>
        <v>0</v>
      </c>
      <c r="AF18" s="28">
        <f t="shared" si="9"/>
        <v>5850000</v>
      </c>
      <c r="AG18" s="28">
        <f t="shared" si="7"/>
        <v>5679.6116504854372</v>
      </c>
    </row>
    <row r="19" spans="1:33" ht="86.4" x14ac:dyDescent="0.3">
      <c r="A19" s="41" t="s">
        <v>983</v>
      </c>
      <c r="B19" s="41" t="s">
        <v>1176</v>
      </c>
      <c r="C19" s="41" t="s">
        <v>1177</v>
      </c>
      <c r="D19" s="41" t="s">
        <v>1180</v>
      </c>
      <c r="E19" s="41" t="s">
        <v>1004</v>
      </c>
      <c r="F19" s="41" t="s">
        <v>712</v>
      </c>
      <c r="G19" s="83">
        <f>1999.2/7</f>
        <v>285.60000000000002</v>
      </c>
      <c r="H19" s="41">
        <f>25*2*9</f>
        <v>450</v>
      </c>
      <c r="I19" s="41">
        <v>5</v>
      </c>
      <c r="J19" s="67">
        <f t="shared" si="0"/>
        <v>642600.00000000012</v>
      </c>
      <c r="K19" s="41">
        <v>0</v>
      </c>
      <c r="L19" s="41">
        <v>0</v>
      </c>
      <c r="M19" s="83">
        <f t="shared" si="1"/>
        <v>0</v>
      </c>
      <c r="N19" s="41">
        <v>0</v>
      </c>
      <c r="O19" s="41">
        <v>0</v>
      </c>
      <c r="P19" s="70">
        <f t="shared" si="2"/>
        <v>0</v>
      </c>
      <c r="Q19" s="41">
        <v>0</v>
      </c>
      <c r="R19" s="41">
        <v>0</v>
      </c>
      <c r="S19" s="70">
        <f t="shared" si="3"/>
        <v>0</v>
      </c>
      <c r="T19" s="41">
        <v>0</v>
      </c>
      <c r="U19" s="41">
        <v>0</v>
      </c>
      <c r="V19" s="70">
        <f t="shared" si="8"/>
        <v>0</v>
      </c>
      <c r="Y19" s="70">
        <f t="shared" si="4"/>
        <v>0</v>
      </c>
      <c r="AB19" s="70">
        <f t="shared" si="5"/>
        <v>0</v>
      </c>
      <c r="AE19" s="70">
        <f t="shared" si="6"/>
        <v>0</v>
      </c>
      <c r="AF19" s="28">
        <f t="shared" si="9"/>
        <v>642600.00000000012</v>
      </c>
      <c r="AG19" s="28">
        <f t="shared" si="7"/>
        <v>623.88349514563117</v>
      </c>
    </row>
    <row r="20" spans="1:33" ht="86.4" x14ac:dyDescent="0.3">
      <c r="A20" s="41" t="s">
        <v>983</v>
      </c>
      <c r="B20" s="41" t="s">
        <v>1176</v>
      </c>
      <c r="C20" s="41" t="s">
        <v>1177</v>
      </c>
      <c r="D20" s="41" t="s">
        <v>1180</v>
      </c>
      <c r="E20" s="41" t="s">
        <v>1183</v>
      </c>
      <c r="F20" s="41" t="s">
        <v>841</v>
      </c>
      <c r="G20" s="83">
        <v>0</v>
      </c>
      <c r="H20" s="41">
        <v>4000</v>
      </c>
      <c r="I20" s="41">
        <v>1</v>
      </c>
      <c r="J20" s="67">
        <f t="shared" si="0"/>
        <v>0</v>
      </c>
      <c r="K20" s="41">
        <v>0</v>
      </c>
      <c r="L20" s="41">
        <v>0</v>
      </c>
      <c r="M20" s="83">
        <f t="shared" si="1"/>
        <v>0</v>
      </c>
      <c r="N20" s="41">
        <v>0</v>
      </c>
      <c r="O20" s="41">
        <v>0</v>
      </c>
      <c r="P20" s="70">
        <f t="shared" si="2"/>
        <v>0</v>
      </c>
      <c r="Q20" s="41">
        <v>0</v>
      </c>
      <c r="R20" s="41">
        <v>0</v>
      </c>
      <c r="S20" s="70">
        <f t="shared" si="3"/>
        <v>0</v>
      </c>
      <c r="T20" s="41">
        <v>0</v>
      </c>
      <c r="U20" s="41">
        <v>0</v>
      </c>
      <c r="V20" s="70">
        <f t="shared" si="8"/>
        <v>0</v>
      </c>
      <c r="Y20" s="70">
        <f t="shared" si="4"/>
        <v>0</v>
      </c>
      <c r="AB20" s="70">
        <f t="shared" si="5"/>
        <v>0</v>
      </c>
      <c r="AE20" s="70">
        <f t="shared" si="6"/>
        <v>0</v>
      </c>
      <c r="AF20" s="28">
        <f t="shared" si="9"/>
        <v>0</v>
      </c>
      <c r="AG20" s="28">
        <f t="shared" si="7"/>
        <v>0</v>
      </c>
    </row>
    <row r="21" spans="1:33" ht="86.4" x14ac:dyDescent="0.3">
      <c r="A21" s="41" t="s">
        <v>983</v>
      </c>
      <c r="B21" s="41" t="s">
        <v>1176</v>
      </c>
      <c r="C21" s="41" t="s">
        <v>1177</v>
      </c>
      <c r="D21" s="41" t="s">
        <v>1180</v>
      </c>
      <c r="E21" s="41" t="s">
        <v>168</v>
      </c>
      <c r="F21" s="41" t="s">
        <v>709</v>
      </c>
      <c r="G21" s="83">
        <v>35000</v>
      </c>
      <c r="H21" s="41">
        <v>100</v>
      </c>
      <c r="I21" s="41">
        <v>1</v>
      </c>
      <c r="J21" s="67">
        <f t="shared" si="0"/>
        <v>3500000</v>
      </c>
      <c r="K21" s="41">
        <v>0</v>
      </c>
      <c r="L21" s="41">
        <v>0</v>
      </c>
      <c r="M21" s="83">
        <f t="shared" si="1"/>
        <v>0</v>
      </c>
      <c r="N21" s="41">
        <v>0</v>
      </c>
      <c r="O21" s="41">
        <v>0</v>
      </c>
      <c r="P21" s="70">
        <f t="shared" si="2"/>
        <v>0</v>
      </c>
      <c r="Q21" s="41">
        <v>0</v>
      </c>
      <c r="R21" s="41">
        <v>0</v>
      </c>
      <c r="S21" s="70">
        <f t="shared" si="3"/>
        <v>0</v>
      </c>
      <c r="T21" s="41">
        <v>0</v>
      </c>
      <c r="U21" s="41">
        <v>0</v>
      </c>
      <c r="V21" s="70">
        <f t="shared" si="8"/>
        <v>0</v>
      </c>
      <c r="Y21" s="70">
        <f t="shared" si="4"/>
        <v>0</v>
      </c>
      <c r="AB21" s="70">
        <f t="shared" si="5"/>
        <v>0</v>
      </c>
      <c r="AE21" s="70">
        <f t="shared" si="6"/>
        <v>0</v>
      </c>
      <c r="AF21" s="28">
        <f t="shared" si="9"/>
        <v>3500000</v>
      </c>
      <c r="AG21" s="28">
        <f t="shared" si="7"/>
        <v>3398.0582524271845</v>
      </c>
    </row>
    <row r="22" spans="1:33" ht="86.4" x14ac:dyDescent="0.3">
      <c r="A22" s="41" t="s">
        <v>983</v>
      </c>
      <c r="B22" s="41" t="s">
        <v>1176</v>
      </c>
      <c r="C22" s="41" t="s">
        <v>1177</v>
      </c>
      <c r="D22" s="41" t="s">
        <v>1180</v>
      </c>
      <c r="E22" s="41" t="s">
        <v>168</v>
      </c>
      <c r="F22" s="41" t="s">
        <v>716</v>
      </c>
      <c r="G22" s="83">
        <v>39000</v>
      </c>
      <c r="H22" s="41">
        <v>58</v>
      </c>
      <c r="I22" s="41">
        <v>2</v>
      </c>
      <c r="J22" s="67">
        <f t="shared" si="0"/>
        <v>4524000</v>
      </c>
      <c r="K22" s="41">
        <v>0</v>
      </c>
      <c r="L22" s="41">
        <v>0</v>
      </c>
      <c r="M22" s="83">
        <f t="shared" si="1"/>
        <v>0</v>
      </c>
      <c r="N22" s="41">
        <v>0</v>
      </c>
      <c r="O22" s="41">
        <v>0</v>
      </c>
      <c r="P22" s="70">
        <f t="shared" si="2"/>
        <v>0</v>
      </c>
      <c r="Q22" s="41">
        <v>0</v>
      </c>
      <c r="R22" s="41">
        <v>0</v>
      </c>
      <c r="S22" s="70">
        <f t="shared" si="3"/>
        <v>0</v>
      </c>
      <c r="T22" s="41">
        <v>0</v>
      </c>
      <c r="U22" s="41">
        <v>0</v>
      </c>
      <c r="V22" s="70">
        <f t="shared" si="8"/>
        <v>0</v>
      </c>
      <c r="Y22" s="70">
        <f t="shared" si="4"/>
        <v>0</v>
      </c>
      <c r="AB22" s="70">
        <f t="shared" si="5"/>
        <v>0</v>
      </c>
      <c r="AE22" s="70">
        <f t="shared" si="6"/>
        <v>0</v>
      </c>
      <c r="AF22" s="28">
        <f t="shared" si="9"/>
        <v>4524000</v>
      </c>
      <c r="AG22" s="28">
        <f t="shared" si="7"/>
        <v>4392.2330097087379</v>
      </c>
    </row>
    <row r="23" spans="1:33" ht="86.4" x14ac:dyDescent="0.3">
      <c r="A23" s="41" t="s">
        <v>983</v>
      </c>
      <c r="B23" s="41" t="s">
        <v>1176</v>
      </c>
      <c r="C23" s="41" t="s">
        <v>1177</v>
      </c>
      <c r="D23" s="41" t="s">
        <v>1180</v>
      </c>
      <c r="E23" s="41" t="s">
        <v>168</v>
      </c>
      <c r="F23" s="41" t="s">
        <v>1350</v>
      </c>
      <c r="G23" s="83">
        <f>1999.2/7</f>
        <v>285.60000000000002</v>
      </c>
      <c r="H23" s="41">
        <f>2*135*9</f>
        <v>2430</v>
      </c>
      <c r="I23" s="41">
        <v>1</v>
      </c>
      <c r="J23" s="67">
        <f t="shared" si="0"/>
        <v>694008</v>
      </c>
      <c r="K23" s="41"/>
      <c r="L23" s="41"/>
      <c r="M23" s="83">
        <f t="shared" si="1"/>
        <v>0</v>
      </c>
      <c r="N23" s="41"/>
      <c r="O23" s="41"/>
      <c r="P23" s="70">
        <f t="shared" si="2"/>
        <v>0</v>
      </c>
      <c r="Q23" s="41"/>
      <c r="R23" s="41"/>
      <c r="S23" s="70">
        <f t="shared" si="3"/>
        <v>0</v>
      </c>
      <c r="T23" s="41"/>
      <c r="U23" s="41"/>
      <c r="V23" s="70">
        <f t="shared" si="8"/>
        <v>0</v>
      </c>
      <c r="Y23" s="70">
        <f t="shared" si="4"/>
        <v>0</v>
      </c>
      <c r="AB23" s="70">
        <f t="shared" si="5"/>
        <v>0</v>
      </c>
      <c r="AE23" s="70">
        <f t="shared" si="6"/>
        <v>0</v>
      </c>
      <c r="AF23" s="28">
        <f t="shared" si="9"/>
        <v>694008</v>
      </c>
      <c r="AG23" s="28">
        <f t="shared" si="7"/>
        <v>673.79417475728155</v>
      </c>
    </row>
    <row r="24" spans="1:33" ht="86.4" x14ac:dyDescent="0.3">
      <c r="A24" s="41" t="s">
        <v>983</v>
      </c>
      <c r="B24" s="41" t="s">
        <v>1176</v>
      </c>
      <c r="C24" s="41" t="s">
        <v>1177</v>
      </c>
      <c r="D24" s="41" t="s">
        <v>1180</v>
      </c>
      <c r="E24" s="41" t="s">
        <v>168</v>
      </c>
      <c r="F24" s="41" t="s">
        <v>712</v>
      </c>
      <c r="G24" s="83">
        <f>1999.2/7</f>
        <v>285.60000000000002</v>
      </c>
      <c r="H24" s="41">
        <f>25*2*9</f>
        <v>450</v>
      </c>
      <c r="I24" s="41">
        <v>1</v>
      </c>
      <c r="J24" s="67">
        <f t="shared" si="0"/>
        <v>128520.00000000001</v>
      </c>
      <c r="K24" s="41">
        <v>0</v>
      </c>
      <c r="L24" s="41">
        <v>0</v>
      </c>
      <c r="M24" s="83">
        <f t="shared" si="1"/>
        <v>0</v>
      </c>
      <c r="N24" s="41">
        <v>0</v>
      </c>
      <c r="O24" s="41">
        <v>0</v>
      </c>
      <c r="P24" s="70">
        <f t="shared" si="2"/>
        <v>0</v>
      </c>
      <c r="Q24" s="41">
        <v>0</v>
      </c>
      <c r="R24" s="41">
        <v>0</v>
      </c>
      <c r="S24" s="70">
        <f t="shared" si="3"/>
        <v>0</v>
      </c>
      <c r="T24" s="41">
        <v>0</v>
      </c>
      <c r="U24" s="41">
        <v>0</v>
      </c>
      <c r="V24" s="70">
        <f t="shared" si="8"/>
        <v>0</v>
      </c>
      <c r="Y24" s="70">
        <f t="shared" si="4"/>
        <v>0</v>
      </c>
      <c r="AB24" s="70">
        <f t="shared" si="5"/>
        <v>0</v>
      </c>
      <c r="AE24" s="70">
        <f t="shared" si="6"/>
        <v>0</v>
      </c>
      <c r="AF24" s="28">
        <f t="shared" si="9"/>
        <v>128520.00000000001</v>
      </c>
      <c r="AG24" s="28">
        <f t="shared" si="7"/>
        <v>124.77669902912623</v>
      </c>
    </row>
    <row r="25" spans="1:33" ht="86.4" x14ac:dyDescent="0.3">
      <c r="A25" s="41" t="s">
        <v>983</v>
      </c>
      <c r="B25" s="41" t="s">
        <v>1176</v>
      </c>
      <c r="C25" s="41" t="s">
        <v>1177</v>
      </c>
      <c r="D25" s="41" t="s">
        <v>1180</v>
      </c>
      <c r="E25" s="41" t="s">
        <v>154</v>
      </c>
      <c r="F25" s="41" t="s">
        <v>709</v>
      </c>
      <c r="G25" s="83">
        <v>35000</v>
      </c>
      <c r="H25" s="41">
        <v>100</v>
      </c>
      <c r="I25" s="41">
        <v>1</v>
      </c>
      <c r="J25" s="67">
        <f t="shared" si="0"/>
        <v>3500000</v>
      </c>
      <c r="K25" s="41">
        <v>0</v>
      </c>
      <c r="L25" s="41">
        <v>0</v>
      </c>
      <c r="M25" s="83">
        <f t="shared" si="1"/>
        <v>0</v>
      </c>
      <c r="N25" s="41">
        <v>0</v>
      </c>
      <c r="O25" s="41">
        <v>0</v>
      </c>
      <c r="P25" s="70">
        <f t="shared" si="2"/>
        <v>0</v>
      </c>
      <c r="Q25" s="41">
        <v>0</v>
      </c>
      <c r="R25" s="41">
        <v>0</v>
      </c>
      <c r="S25" s="70">
        <f t="shared" si="3"/>
        <v>0</v>
      </c>
      <c r="T25" s="41">
        <v>0</v>
      </c>
      <c r="U25" s="41">
        <v>0</v>
      </c>
      <c r="V25" s="70">
        <f t="shared" si="8"/>
        <v>0</v>
      </c>
      <c r="Y25" s="70">
        <f t="shared" si="4"/>
        <v>0</v>
      </c>
      <c r="AB25" s="70">
        <f t="shared" si="5"/>
        <v>0</v>
      </c>
      <c r="AE25" s="70">
        <f t="shared" si="6"/>
        <v>0</v>
      </c>
      <c r="AF25" s="28">
        <f t="shared" si="9"/>
        <v>3500000</v>
      </c>
      <c r="AG25" s="28">
        <f t="shared" si="7"/>
        <v>3398.0582524271845</v>
      </c>
    </row>
    <row r="26" spans="1:33" ht="86.4" x14ac:dyDescent="0.3">
      <c r="A26" s="41" t="s">
        <v>983</v>
      </c>
      <c r="B26" s="41" t="s">
        <v>1176</v>
      </c>
      <c r="C26" s="41" t="s">
        <v>1177</v>
      </c>
      <c r="D26" s="41" t="s">
        <v>1180</v>
      </c>
      <c r="E26" s="41" t="s">
        <v>154</v>
      </c>
      <c r="F26" s="41" t="s">
        <v>716</v>
      </c>
      <c r="G26" s="83">
        <v>39000</v>
      </c>
      <c r="H26" s="41">
        <v>100</v>
      </c>
      <c r="I26" s="41">
        <v>2</v>
      </c>
      <c r="J26" s="67">
        <f t="shared" si="0"/>
        <v>7800000</v>
      </c>
      <c r="K26" s="41">
        <v>0</v>
      </c>
      <c r="L26" s="41">
        <v>0</v>
      </c>
      <c r="M26" s="83">
        <f t="shared" si="1"/>
        <v>0</v>
      </c>
      <c r="N26" s="41">
        <v>0</v>
      </c>
      <c r="O26" s="41">
        <v>0</v>
      </c>
      <c r="P26" s="70">
        <f t="shared" si="2"/>
        <v>0</v>
      </c>
      <c r="Q26" s="41">
        <v>0</v>
      </c>
      <c r="R26" s="41">
        <v>0</v>
      </c>
      <c r="S26" s="70">
        <f t="shared" si="3"/>
        <v>0</v>
      </c>
      <c r="T26" s="41">
        <v>0</v>
      </c>
      <c r="U26" s="41">
        <v>0</v>
      </c>
      <c r="V26" s="70">
        <f t="shared" si="8"/>
        <v>0</v>
      </c>
      <c r="Y26" s="70">
        <f t="shared" si="4"/>
        <v>0</v>
      </c>
      <c r="AB26" s="70">
        <f t="shared" si="5"/>
        <v>0</v>
      </c>
      <c r="AE26" s="70">
        <f t="shared" si="6"/>
        <v>0</v>
      </c>
      <c r="AF26" s="28">
        <f t="shared" si="9"/>
        <v>7800000</v>
      </c>
      <c r="AG26" s="28">
        <f t="shared" si="7"/>
        <v>7572.8155339805826</v>
      </c>
    </row>
    <row r="27" spans="1:33" ht="86.4" x14ac:dyDescent="0.3">
      <c r="A27" s="41" t="s">
        <v>983</v>
      </c>
      <c r="B27" s="41" t="s">
        <v>1176</v>
      </c>
      <c r="C27" s="41" t="s">
        <v>1177</v>
      </c>
      <c r="D27" s="41" t="s">
        <v>1180</v>
      </c>
      <c r="E27" s="41" t="s">
        <v>154</v>
      </c>
      <c r="F27" s="41" t="s">
        <v>1297</v>
      </c>
      <c r="G27" s="83">
        <v>8000</v>
      </c>
      <c r="H27" s="41">
        <v>10</v>
      </c>
      <c r="I27" s="41">
        <v>1</v>
      </c>
      <c r="J27" s="67">
        <f t="shared" si="0"/>
        <v>80000</v>
      </c>
      <c r="K27" s="41">
        <v>0</v>
      </c>
      <c r="L27" s="41">
        <v>0</v>
      </c>
      <c r="M27" s="83">
        <f t="shared" si="1"/>
        <v>0</v>
      </c>
      <c r="N27" s="41">
        <v>0</v>
      </c>
      <c r="O27" s="41">
        <v>0</v>
      </c>
      <c r="P27" s="70">
        <f t="shared" si="2"/>
        <v>0</v>
      </c>
      <c r="Q27" s="41">
        <v>0</v>
      </c>
      <c r="R27" s="41">
        <v>0</v>
      </c>
      <c r="S27" s="70">
        <f t="shared" si="3"/>
        <v>0</v>
      </c>
      <c r="T27" s="41">
        <v>0</v>
      </c>
      <c r="U27" s="41">
        <v>0</v>
      </c>
      <c r="V27" s="70">
        <f t="shared" si="8"/>
        <v>0</v>
      </c>
      <c r="Y27" s="70">
        <f t="shared" si="4"/>
        <v>0</v>
      </c>
      <c r="AB27" s="70">
        <f t="shared" si="5"/>
        <v>0</v>
      </c>
      <c r="AE27" s="70">
        <f t="shared" si="6"/>
        <v>0</v>
      </c>
      <c r="AF27" s="28">
        <f t="shared" si="9"/>
        <v>80000</v>
      </c>
      <c r="AG27" s="28">
        <f t="shared" si="7"/>
        <v>77.669902912621353</v>
      </c>
    </row>
    <row r="28" spans="1:33" ht="86.4" x14ac:dyDescent="0.3">
      <c r="A28" s="41" t="s">
        <v>983</v>
      </c>
      <c r="B28" s="41" t="s">
        <v>1176</v>
      </c>
      <c r="C28" s="41" t="s">
        <v>1177</v>
      </c>
      <c r="D28" s="41" t="s">
        <v>1180</v>
      </c>
      <c r="E28" s="41" t="s">
        <v>154</v>
      </c>
      <c r="F28" s="41" t="s">
        <v>710</v>
      </c>
      <c r="G28" s="83">
        <v>104850</v>
      </c>
      <c r="H28" s="41">
        <v>1</v>
      </c>
      <c r="I28" s="41">
        <v>1</v>
      </c>
      <c r="J28" s="67">
        <f t="shared" si="0"/>
        <v>104850</v>
      </c>
      <c r="K28" s="41">
        <v>0</v>
      </c>
      <c r="L28" s="41">
        <v>0</v>
      </c>
      <c r="M28" s="83">
        <f t="shared" si="1"/>
        <v>0</v>
      </c>
      <c r="N28" s="41">
        <v>0</v>
      </c>
      <c r="O28" s="41">
        <v>0</v>
      </c>
      <c r="P28" s="70">
        <f t="shared" si="2"/>
        <v>0</v>
      </c>
      <c r="Q28" s="41">
        <v>0</v>
      </c>
      <c r="R28" s="41">
        <v>0</v>
      </c>
      <c r="S28" s="70">
        <f t="shared" si="3"/>
        <v>0</v>
      </c>
      <c r="T28" s="41">
        <v>0</v>
      </c>
      <c r="U28" s="41">
        <v>0</v>
      </c>
      <c r="V28" s="70">
        <f t="shared" si="8"/>
        <v>0</v>
      </c>
      <c r="Y28" s="70">
        <f t="shared" si="4"/>
        <v>0</v>
      </c>
      <c r="AB28" s="70">
        <f t="shared" si="5"/>
        <v>0</v>
      </c>
      <c r="AE28" s="70">
        <f t="shared" si="6"/>
        <v>0</v>
      </c>
      <c r="AF28" s="28">
        <f t="shared" si="9"/>
        <v>104850</v>
      </c>
      <c r="AG28" s="28">
        <f t="shared" si="7"/>
        <v>101.79611650485437</v>
      </c>
    </row>
    <row r="29" spans="1:33" ht="86.4" x14ac:dyDescent="0.3">
      <c r="A29" s="41" t="s">
        <v>983</v>
      </c>
      <c r="B29" s="41" t="s">
        <v>1176</v>
      </c>
      <c r="C29" s="41" t="s">
        <v>1177</v>
      </c>
      <c r="D29" s="41" t="s">
        <v>1180</v>
      </c>
      <c r="E29" s="41" t="s">
        <v>154</v>
      </c>
      <c r="F29" s="41" t="s">
        <v>1350</v>
      </c>
      <c r="G29" s="83">
        <f>1999.2/7</f>
        <v>285.60000000000002</v>
      </c>
      <c r="H29" s="41">
        <f>2*135*29</f>
        <v>7830</v>
      </c>
      <c r="I29" s="41">
        <v>1</v>
      </c>
      <c r="J29" s="67">
        <f t="shared" si="0"/>
        <v>2236248</v>
      </c>
      <c r="K29" s="41"/>
      <c r="L29" s="41"/>
      <c r="M29" s="83">
        <f t="shared" si="1"/>
        <v>0</v>
      </c>
      <c r="N29" s="41"/>
      <c r="O29" s="41"/>
      <c r="P29" s="70">
        <f t="shared" si="2"/>
        <v>0</v>
      </c>
      <c r="Q29" s="41"/>
      <c r="R29" s="41"/>
      <c r="S29" s="70">
        <f t="shared" si="3"/>
        <v>0</v>
      </c>
      <c r="T29" s="41"/>
      <c r="U29" s="41"/>
      <c r="V29" s="70">
        <f t="shared" si="8"/>
        <v>0</v>
      </c>
      <c r="Y29" s="70">
        <f t="shared" si="4"/>
        <v>0</v>
      </c>
      <c r="AB29" s="70">
        <f t="shared" si="5"/>
        <v>0</v>
      </c>
      <c r="AE29" s="70">
        <f t="shared" si="6"/>
        <v>0</v>
      </c>
      <c r="AF29" s="28">
        <f t="shared" si="9"/>
        <v>2236248</v>
      </c>
      <c r="AG29" s="28">
        <f t="shared" si="7"/>
        <v>2171.1145631067961</v>
      </c>
    </row>
    <row r="30" spans="1:33" ht="86.4" x14ac:dyDescent="0.3">
      <c r="A30" s="41" t="s">
        <v>983</v>
      </c>
      <c r="B30" s="41" t="s">
        <v>1176</v>
      </c>
      <c r="C30" s="41" t="s">
        <v>1177</v>
      </c>
      <c r="D30" s="41" t="s">
        <v>1180</v>
      </c>
      <c r="E30" s="41" t="s">
        <v>154</v>
      </c>
      <c r="F30" s="41" t="s">
        <v>712</v>
      </c>
      <c r="G30" s="83">
        <f>1999.2/7</f>
        <v>285.60000000000002</v>
      </c>
      <c r="H30" s="41">
        <f>25*2*29</f>
        <v>1450</v>
      </c>
      <c r="I30" s="41">
        <v>1</v>
      </c>
      <c r="J30" s="67">
        <f t="shared" si="0"/>
        <v>414120.00000000006</v>
      </c>
      <c r="K30" s="41">
        <v>0</v>
      </c>
      <c r="L30" s="41">
        <v>0</v>
      </c>
      <c r="M30" s="83">
        <f t="shared" si="1"/>
        <v>0</v>
      </c>
      <c r="N30" s="41">
        <v>0</v>
      </c>
      <c r="O30" s="41">
        <v>0</v>
      </c>
      <c r="P30" s="70">
        <f t="shared" si="2"/>
        <v>0</v>
      </c>
      <c r="Q30" s="41">
        <v>0</v>
      </c>
      <c r="R30" s="41">
        <v>0</v>
      </c>
      <c r="S30" s="70">
        <f t="shared" si="3"/>
        <v>0</v>
      </c>
      <c r="T30" s="41">
        <v>0</v>
      </c>
      <c r="U30" s="41">
        <v>0</v>
      </c>
      <c r="V30" s="70">
        <f t="shared" si="8"/>
        <v>0</v>
      </c>
      <c r="Y30" s="70">
        <f t="shared" si="4"/>
        <v>0</v>
      </c>
      <c r="AB30" s="70">
        <f t="shared" si="5"/>
        <v>0</v>
      </c>
      <c r="AE30" s="70">
        <f t="shared" si="6"/>
        <v>0</v>
      </c>
      <c r="AF30" s="28">
        <f t="shared" si="9"/>
        <v>414120.00000000006</v>
      </c>
      <c r="AG30" s="28">
        <f t="shared" si="7"/>
        <v>402.05825242718453</v>
      </c>
    </row>
    <row r="31" spans="1:33" ht="86.4" x14ac:dyDescent="0.3">
      <c r="A31" s="41" t="s">
        <v>983</v>
      </c>
      <c r="B31" s="41" t="s">
        <v>1176</v>
      </c>
      <c r="C31" s="41" t="s">
        <v>1177</v>
      </c>
      <c r="D31" s="41" t="s">
        <v>1180</v>
      </c>
      <c r="E31" s="41" t="s">
        <v>1184</v>
      </c>
      <c r="F31" s="41" t="s">
        <v>841</v>
      </c>
      <c r="G31" s="83">
        <v>0</v>
      </c>
      <c r="H31" s="41">
        <v>8000</v>
      </c>
      <c r="I31" s="41">
        <v>1</v>
      </c>
      <c r="J31" s="67">
        <f t="shared" si="0"/>
        <v>0</v>
      </c>
      <c r="K31" s="41">
        <v>0</v>
      </c>
      <c r="L31" s="41">
        <v>0</v>
      </c>
      <c r="M31" s="83">
        <f t="shared" si="1"/>
        <v>0</v>
      </c>
      <c r="N31" s="41">
        <v>0</v>
      </c>
      <c r="O31" s="41">
        <v>0</v>
      </c>
      <c r="P31" s="70">
        <f t="shared" si="2"/>
        <v>0</v>
      </c>
      <c r="Q31" s="41">
        <v>0</v>
      </c>
      <c r="R31" s="41">
        <v>0</v>
      </c>
      <c r="S31" s="70">
        <f t="shared" si="3"/>
        <v>0</v>
      </c>
      <c r="T31" s="41">
        <v>0</v>
      </c>
      <c r="U31" s="41">
        <v>0</v>
      </c>
      <c r="V31" s="70">
        <f t="shared" si="8"/>
        <v>0</v>
      </c>
      <c r="Y31" s="70">
        <f t="shared" si="4"/>
        <v>0</v>
      </c>
      <c r="AB31" s="70">
        <f t="shared" si="5"/>
        <v>0</v>
      </c>
      <c r="AE31" s="70">
        <f t="shared" si="6"/>
        <v>0</v>
      </c>
      <c r="AF31" s="28">
        <f t="shared" si="9"/>
        <v>0</v>
      </c>
      <c r="AG31" s="28">
        <f t="shared" si="7"/>
        <v>0</v>
      </c>
    </row>
    <row r="32" spans="1:33" ht="86.4" x14ac:dyDescent="0.3">
      <c r="A32" s="41" t="s">
        <v>983</v>
      </c>
      <c r="B32" s="41" t="s">
        <v>1176</v>
      </c>
      <c r="C32" s="41" t="s">
        <v>1177</v>
      </c>
      <c r="D32" s="41" t="s">
        <v>1185</v>
      </c>
      <c r="E32" s="41" t="s">
        <v>1186</v>
      </c>
      <c r="F32" s="41" t="s">
        <v>841</v>
      </c>
      <c r="G32" s="83">
        <v>0</v>
      </c>
      <c r="H32" s="41">
        <v>0</v>
      </c>
      <c r="I32" s="41">
        <v>0</v>
      </c>
      <c r="J32" s="67">
        <f t="shared" si="0"/>
        <v>0</v>
      </c>
      <c r="K32" s="41">
        <v>0</v>
      </c>
      <c r="L32" s="41">
        <v>0</v>
      </c>
      <c r="M32" s="83">
        <f t="shared" si="1"/>
        <v>0</v>
      </c>
      <c r="N32" s="41">
        <v>0</v>
      </c>
      <c r="O32" s="41">
        <v>0</v>
      </c>
      <c r="P32" s="70">
        <f t="shared" si="2"/>
        <v>0</v>
      </c>
      <c r="Q32" s="41">
        <v>0</v>
      </c>
      <c r="R32" s="41">
        <v>0</v>
      </c>
      <c r="S32" s="70">
        <f t="shared" si="3"/>
        <v>0</v>
      </c>
      <c r="T32" s="41">
        <v>0</v>
      </c>
      <c r="U32" s="41">
        <v>0</v>
      </c>
      <c r="V32" s="70">
        <f t="shared" si="8"/>
        <v>0</v>
      </c>
      <c r="Y32" s="70">
        <f t="shared" si="4"/>
        <v>0</v>
      </c>
      <c r="AB32" s="70">
        <f t="shared" si="5"/>
        <v>0</v>
      </c>
      <c r="AE32" s="70">
        <f t="shared" si="6"/>
        <v>0</v>
      </c>
      <c r="AF32" s="28">
        <f t="shared" si="9"/>
        <v>0</v>
      </c>
      <c r="AG32" s="28">
        <f t="shared" si="7"/>
        <v>0</v>
      </c>
    </row>
    <row r="33" spans="1:33" ht="86.4" x14ac:dyDescent="0.3">
      <c r="A33" s="41" t="s">
        <v>983</v>
      </c>
      <c r="B33" s="41" t="s">
        <v>1176</v>
      </c>
      <c r="C33" s="41" t="s">
        <v>1177</v>
      </c>
      <c r="D33" s="41" t="s">
        <v>1185</v>
      </c>
      <c r="E33" s="41" t="s">
        <v>1187</v>
      </c>
      <c r="F33" s="41" t="s">
        <v>841</v>
      </c>
      <c r="G33" s="83">
        <v>0</v>
      </c>
      <c r="H33" s="41">
        <v>0</v>
      </c>
      <c r="I33" s="41">
        <v>0</v>
      </c>
      <c r="J33" s="67">
        <f t="shared" si="0"/>
        <v>0</v>
      </c>
      <c r="K33" s="41">
        <v>0</v>
      </c>
      <c r="L33" s="41">
        <v>0</v>
      </c>
      <c r="M33" s="83">
        <f t="shared" si="1"/>
        <v>0</v>
      </c>
      <c r="N33" s="41">
        <v>0</v>
      </c>
      <c r="O33" s="41">
        <v>0</v>
      </c>
      <c r="P33" s="70">
        <f t="shared" si="2"/>
        <v>0</v>
      </c>
      <c r="Q33" s="41">
        <v>0</v>
      </c>
      <c r="R33" s="41">
        <v>0</v>
      </c>
      <c r="S33" s="70">
        <f t="shared" si="3"/>
        <v>0</v>
      </c>
      <c r="T33" s="41">
        <v>0</v>
      </c>
      <c r="U33" s="41">
        <v>0</v>
      </c>
      <c r="V33" s="70">
        <f t="shared" si="8"/>
        <v>0</v>
      </c>
      <c r="Y33" s="70">
        <f t="shared" si="4"/>
        <v>0</v>
      </c>
      <c r="AB33" s="70">
        <f t="shared" si="5"/>
        <v>0</v>
      </c>
      <c r="AE33" s="70">
        <f t="shared" si="6"/>
        <v>0</v>
      </c>
      <c r="AF33" s="28">
        <f t="shared" si="9"/>
        <v>0</v>
      </c>
      <c r="AG33" s="28">
        <f t="shared" si="7"/>
        <v>0</v>
      </c>
    </row>
    <row r="34" spans="1:33" ht="86.4" x14ac:dyDescent="0.3">
      <c r="A34" s="41" t="s">
        <v>983</v>
      </c>
      <c r="B34" s="41" t="s">
        <v>1176</v>
      </c>
      <c r="C34" s="41" t="s">
        <v>1177</v>
      </c>
      <c r="D34" s="41" t="s">
        <v>1185</v>
      </c>
      <c r="E34" s="41" t="s">
        <v>1188</v>
      </c>
      <c r="F34" s="41" t="s">
        <v>841</v>
      </c>
      <c r="G34" s="83">
        <v>0</v>
      </c>
      <c r="H34" s="41">
        <v>0</v>
      </c>
      <c r="I34" s="41">
        <v>0</v>
      </c>
      <c r="J34" s="67">
        <f t="shared" si="0"/>
        <v>0</v>
      </c>
      <c r="K34" s="41">
        <v>0</v>
      </c>
      <c r="L34" s="41">
        <v>0</v>
      </c>
      <c r="M34" s="83">
        <f t="shared" si="1"/>
        <v>0</v>
      </c>
      <c r="N34" s="41">
        <v>0</v>
      </c>
      <c r="O34" s="41">
        <v>0</v>
      </c>
      <c r="P34" s="70">
        <f t="shared" si="2"/>
        <v>0</v>
      </c>
      <c r="Q34" s="41">
        <v>0</v>
      </c>
      <c r="R34" s="41">
        <v>0</v>
      </c>
      <c r="S34" s="70">
        <f t="shared" si="3"/>
        <v>0</v>
      </c>
      <c r="T34" s="41">
        <v>0</v>
      </c>
      <c r="U34" s="41">
        <v>0</v>
      </c>
      <c r="V34" s="70">
        <f t="shared" si="8"/>
        <v>0</v>
      </c>
      <c r="Y34" s="70">
        <f t="shared" si="4"/>
        <v>0</v>
      </c>
      <c r="AB34" s="70">
        <f t="shared" si="5"/>
        <v>0</v>
      </c>
      <c r="AE34" s="70">
        <f t="shared" si="6"/>
        <v>0</v>
      </c>
      <c r="AF34" s="28">
        <f t="shared" si="9"/>
        <v>0</v>
      </c>
      <c r="AG34" s="28">
        <f t="shared" si="7"/>
        <v>0</v>
      </c>
    </row>
    <row r="35" spans="1:33" ht="86.4" x14ac:dyDescent="0.3">
      <c r="A35" s="41" t="s">
        <v>983</v>
      </c>
      <c r="B35" s="41" t="s">
        <v>1176</v>
      </c>
      <c r="C35" s="41" t="s">
        <v>1177</v>
      </c>
      <c r="D35" s="41" t="s">
        <v>1185</v>
      </c>
      <c r="E35" s="41" t="s">
        <v>1189</v>
      </c>
      <c r="F35" s="41" t="s">
        <v>709</v>
      </c>
      <c r="G35" s="83">
        <v>35000</v>
      </c>
      <c r="H35" s="41">
        <v>40</v>
      </c>
      <c r="I35" s="41">
        <v>1</v>
      </c>
      <c r="J35" s="67">
        <f t="shared" si="0"/>
        <v>1400000</v>
      </c>
      <c r="K35" s="41">
        <v>40</v>
      </c>
      <c r="L35" s="41">
        <v>1</v>
      </c>
      <c r="M35" s="83">
        <f t="shared" si="1"/>
        <v>1540000</v>
      </c>
      <c r="N35" s="41">
        <v>40</v>
      </c>
      <c r="O35" s="41">
        <v>1</v>
      </c>
      <c r="P35" s="70">
        <f t="shared" si="2"/>
        <v>1694000.0000000002</v>
      </c>
      <c r="Q35" s="41">
        <v>40</v>
      </c>
      <c r="R35" s="41">
        <v>1</v>
      </c>
      <c r="S35" s="70">
        <f t="shared" si="3"/>
        <v>1863400.0000000005</v>
      </c>
      <c r="T35" s="41">
        <v>40</v>
      </c>
      <c r="U35" s="41">
        <v>1</v>
      </c>
      <c r="V35" s="70">
        <f t="shared" si="8"/>
        <v>2049740.0000000005</v>
      </c>
      <c r="W35">
        <v>40</v>
      </c>
      <c r="X35">
        <v>1</v>
      </c>
      <c r="Y35" s="70">
        <f t="shared" si="4"/>
        <v>2254714.0000000009</v>
      </c>
      <c r="Z35">
        <v>40</v>
      </c>
      <c r="AA35">
        <v>1</v>
      </c>
      <c r="AB35" s="70">
        <f t="shared" si="5"/>
        <v>2480185.4000000013</v>
      </c>
      <c r="AC35">
        <v>40</v>
      </c>
      <c r="AD35">
        <v>1</v>
      </c>
      <c r="AE35" s="70">
        <f t="shared" si="6"/>
        <v>2728203.9400000013</v>
      </c>
      <c r="AF35" s="28">
        <f t="shared" si="9"/>
        <v>16010243.340000004</v>
      </c>
      <c r="AG35" s="28">
        <f t="shared" si="7"/>
        <v>15543.925572815537</v>
      </c>
    </row>
    <row r="36" spans="1:33" ht="86.4" x14ac:dyDescent="0.3">
      <c r="A36" s="41" t="s">
        <v>983</v>
      </c>
      <c r="B36" s="41" t="s">
        <v>1176</v>
      </c>
      <c r="C36" s="41" t="s">
        <v>1177</v>
      </c>
      <c r="D36" s="41" t="s">
        <v>1185</v>
      </c>
      <c r="E36" s="41" t="s">
        <v>1190</v>
      </c>
      <c r="F36" s="41" t="s">
        <v>709</v>
      </c>
      <c r="G36" s="83">
        <v>35000</v>
      </c>
      <c r="H36" s="41">
        <v>40</v>
      </c>
      <c r="I36" s="41">
        <v>1</v>
      </c>
      <c r="J36" s="67">
        <f>G36*H36*I36</f>
        <v>1400000</v>
      </c>
      <c r="K36" s="41">
        <v>40</v>
      </c>
      <c r="L36" s="41">
        <v>1</v>
      </c>
      <c r="M36" s="83">
        <f t="shared" si="1"/>
        <v>1540000</v>
      </c>
      <c r="N36" s="41">
        <v>40</v>
      </c>
      <c r="O36" s="41">
        <v>1</v>
      </c>
      <c r="P36" s="70">
        <f t="shared" si="2"/>
        <v>1694000.0000000002</v>
      </c>
      <c r="Q36" s="41">
        <v>40</v>
      </c>
      <c r="R36" s="41">
        <v>1</v>
      </c>
      <c r="S36" s="70">
        <f t="shared" si="3"/>
        <v>1863400.0000000005</v>
      </c>
      <c r="T36" s="41">
        <v>40</v>
      </c>
      <c r="U36" s="41">
        <v>1</v>
      </c>
      <c r="V36" s="70">
        <f t="shared" si="8"/>
        <v>2049740.0000000005</v>
      </c>
      <c r="W36">
        <v>40</v>
      </c>
      <c r="X36">
        <v>1</v>
      </c>
      <c r="Y36" s="70">
        <f t="shared" si="4"/>
        <v>2254714.0000000009</v>
      </c>
      <c r="Z36">
        <v>40</v>
      </c>
      <c r="AA36">
        <v>1</v>
      </c>
      <c r="AB36" s="70">
        <f t="shared" si="5"/>
        <v>2480185.4000000013</v>
      </c>
      <c r="AC36">
        <v>40</v>
      </c>
      <c r="AD36">
        <v>1</v>
      </c>
      <c r="AE36" s="70">
        <f t="shared" si="6"/>
        <v>2728203.9400000013</v>
      </c>
      <c r="AF36" s="28">
        <f t="shared" si="9"/>
        <v>16010243.340000004</v>
      </c>
      <c r="AG36" s="28">
        <f t="shared" si="7"/>
        <v>15543.925572815537</v>
      </c>
    </row>
    <row r="37" spans="1:33" ht="86.4" x14ac:dyDescent="0.3">
      <c r="A37" s="41" t="s">
        <v>983</v>
      </c>
      <c r="B37" s="41" t="s">
        <v>1176</v>
      </c>
      <c r="C37" s="41" t="s">
        <v>1177</v>
      </c>
      <c r="D37" s="41" t="s">
        <v>1191</v>
      </c>
      <c r="E37" s="41" t="s">
        <v>1192</v>
      </c>
      <c r="F37" s="41" t="s">
        <v>841</v>
      </c>
      <c r="G37" s="83">
        <v>0</v>
      </c>
      <c r="H37" s="41">
        <v>0</v>
      </c>
      <c r="I37" s="41">
        <v>0</v>
      </c>
      <c r="J37" s="67">
        <f t="shared" si="0"/>
        <v>0</v>
      </c>
      <c r="K37" s="41">
        <v>0</v>
      </c>
      <c r="L37" s="41">
        <v>0</v>
      </c>
      <c r="M37" s="83">
        <f t="shared" si="1"/>
        <v>0</v>
      </c>
      <c r="N37" s="41">
        <v>0</v>
      </c>
      <c r="O37" s="41">
        <v>0</v>
      </c>
      <c r="P37" s="70">
        <f t="shared" si="2"/>
        <v>0</v>
      </c>
      <c r="Q37" s="41">
        <v>0</v>
      </c>
      <c r="R37" s="41">
        <v>0</v>
      </c>
      <c r="S37" s="70">
        <f t="shared" si="3"/>
        <v>0</v>
      </c>
      <c r="T37" s="41">
        <v>0</v>
      </c>
      <c r="U37" s="41">
        <v>0</v>
      </c>
      <c r="V37" s="70">
        <f t="shared" si="8"/>
        <v>0</v>
      </c>
      <c r="Y37" s="70">
        <f t="shared" si="4"/>
        <v>0</v>
      </c>
      <c r="AB37" s="70">
        <f t="shared" si="5"/>
        <v>0</v>
      </c>
      <c r="AE37" s="70">
        <f t="shared" si="6"/>
        <v>0</v>
      </c>
      <c r="AF37" s="28">
        <f t="shared" si="9"/>
        <v>0</v>
      </c>
      <c r="AG37" s="28">
        <f t="shared" si="7"/>
        <v>0</v>
      </c>
    </row>
    <row r="38" spans="1:33" ht="86.4" x14ac:dyDescent="0.3">
      <c r="A38" s="41" t="s">
        <v>983</v>
      </c>
      <c r="B38" s="41" t="s">
        <v>1176</v>
      </c>
      <c r="C38" s="41" t="s">
        <v>1177</v>
      </c>
      <c r="D38" s="41" t="s">
        <v>1191</v>
      </c>
      <c r="E38" s="41" t="s">
        <v>1193</v>
      </c>
      <c r="F38" s="41" t="s">
        <v>709</v>
      </c>
      <c r="G38" s="83">
        <v>35000</v>
      </c>
      <c r="H38" s="41">
        <v>40</v>
      </c>
      <c r="I38" s="41">
        <v>2</v>
      </c>
      <c r="J38" s="67">
        <f t="shared" si="0"/>
        <v>2800000</v>
      </c>
      <c r="K38" s="41">
        <v>40</v>
      </c>
      <c r="L38" s="41">
        <v>2</v>
      </c>
      <c r="M38" s="83">
        <f t="shared" si="1"/>
        <v>3080000</v>
      </c>
      <c r="N38" s="41">
        <v>40</v>
      </c>
      <c r="O38" s="41">
        <v>2</v>
      </c>
      <c r="P38" s="70">
        <f t="shared" si="2"/>
        <v>3388000.0000000005</v>
      </c>
      <c r="Q38" s="41">
        <v>40</v>
      </c>
      <c r="R38" s="41">
        <v>2</v>
      </c>
      <c r="S38" s="70">
        <f t="shared" si="3"/>
        <v>3726800.0000000009</v>
      </c>
      <c r="T38" s="41">
        <v>40</v>
      </c>
      <c r="U38" s="41">
        <v>5</v>
      </c>
      <c r="V38" s="70">
        <f t="shared" si="8"/>
        <v>10248700.000000002</v>
      </c>
      <c r="W38" s="41">
        <v>40</v>
      </c>
      <c r="X38" s="41">
        <v>5</v>
      </c>
      <c r="Y38" s="70">
        <f t="shared" si="4"/>
        <v>11273570.000000004</v>
      </c>
      <c r="Z38" s="41">
        <v>40</v>
      </c>
      <c r="AA38" s="41">
        <v>5</v>
      </c>
      <c r="AB38" s="70">
        <f t="shared" si="5"/>
        <v>12400927.000000007</v>
      </c>
      <c r="AC38" s="41">
        <v>40</v>
      </c>
      <c r="AD38" s="41">
        <v>5</v>
      </c>
      <c r="AE38" s="70">
        <f t="shared" si="6"/>
        <v>13641019.700000007</v>
      </c>
      <c r="AF38" s="28">
        <f t="shared" si="9"/>
        <v>60559016.700000018</v>
      </c>
      <c r="AG38" s="28">
        <f t="shared" si="7"/>
        <v>58795.161844660215</v>
      </c>
    </row>
    <row r="39" spans="1:33" ht="86.4" x14ac:dyDescent="0.3">
      <c r="A39" s="41" t="s">
        <v>983</v>
      </c>
      <c r="B39" s="41" t="s">
        <v>1176</v>
      </c>
      <c r="C39" s="41" t="s">
        <v>1177</v>
      </c>
      <c r="D39" s="41" t="s">
        <v>1191</v>
      </c>
      <c r="E39" s="41" t="s">
        <v>1193</v>
      </c>
      <c r="F39" s="41" t="s">
        <v>712</v>
      </c>
      <c r="G39" s="83">
        <f>1999.2/7</f>
        <v>285.60000000000002</v>
      </c>
      <c r="H39" s="41">
        <f>25*2*15</f>
        <v>750</v>
      </c>
      <c r="I39" s="41">
        <v>2</v>
      </c>
      <c r="J39" s="67">
        <f t="shared" si="0"/>
        <v>428400.00000000006</v>
      </c>
      <c r="K39" s="41">
        <f>25*2*15</f>
        <v>750</v>
      </c>
      <c r="L39" s="41">
        <v>2</v>
      </c>
      <c r="M39" s="83">
        <f t="shared" si="1"/>
        <v>471240.00000000006</v>
      </c>
      <c r="N39" s="41">
        <f>25*15*2</f>
        <v>750</v>
      </c>
      <c r="O39" s="41">
        <v>2</v>
      </c>
      <c r="P39" s="70">
        <f t="shared" si="2"/>
        <v>518364.00000000012</v>
      </c>
      <c r="Q39" s="41">
        <f>25*15*2</f>
        <v>750</v>
      </c>
      <c r="R39" s="41">
        <v>2</v>
      </c>
      <c r="S39" s="70">
        <f t="shared" si="3"/>
        <v>570200.40000000026</v>
      </c>
      <c r="T39" s="41">
        <f>25*15*2</f>
        <v>750</v>
      </c>
      <c r="U39" s="41">
        <v>2</v>
      </c>
      <c r="V39" s="70">
        <f t="shared" si="8"/>
        <v>627220.44000000018</v>
      </c>
      <c r="W39" s="41">
        <f>25*2*15</f>
        <v>750</v>
      </c>
      <c r="X39">
        <v>2</v>
      </c>
      <c r="Y39" s="70">
        <f t="shared" si="4"/>
        <v>689942.48400000029</v>
      </c>
      <c r="Z39">
        <f>25*2*15</f>
        <v>750</v>
      </c>
      <c r="AA39">
        <v>2</v>
      </c>
      <c r="AB39" s="70">
        <f t="shared" si="5"/>
        <v>758936.73240000044</v>
      </c>
      <c r="AC39">
        <f>25*15*2</f>
        <v>750</v>
      </c>
      <c r="AD39">
        <v>2</v>
      </c>
      <c r="AE39" s="70">
        <f t="shared" si="6"/>
        <v>834830.40564000071</v>
      </c>
      <c r="AF39" s="28">
        <f t="shared" si="9"/>
        <v>4899134.4620400025</v>
      </c>
      <c r="AG39" s="28">
        <f t="shared" si="7"/>
        <v>4756.4412252815555</v>
      </c>
    </row>
    <row r="40" spans="1:33" ht="86.4" x14ac:dyDescent="0.3">
      <c r="A40" s="41" t="s">
        <v>983</v>
      </c>
      <c r="B40" s="41" t="s">
        <v>1176</v>
      </c>
      <c r="C40" s="41" t="s">
        <v>1177</v>
      </c>
      <c r="D40" s="41" t="s">
        <v>1191</v>
      </c>
      <c r="E40" s="41" t="s">
        <v>1194</v>
      </c>
      <c r="F40" s="41" t="s">
        <v>709</v>
      </c>
      <c r="G40" s="83">
        <v>35000</v>
      </c>
      <c r="H40" s="41">
        <v>40</v>
      </c>
      <c r="I40" s="41">
        <v>5</v>
      </c>
      <c r="J40" s="67">
        <f>G40*H40*I40</f>
        <v>7000000</v>
      </c>
      <c r="K40" s="41">
        <v>40</v>
      </c>
      <c r="L40" s="41">
        <v>2</v>
      </c>
      <c r="M40" s="83">
        <f t="shared" si="1"/>
        <v>3080000</v>
      </c>
      <c r="N40" s="41">
        <v>40</v>
      </c>
      <c r="O40" s="41">
        <v>2</v>
      </c>
      <c r="P40" s="70">
        <f t="shared" si="2"/>
        <v>3388000.0000000005</v>
      </c>
      <c r="Q40" s="41">
        <v>40</v>
      </c>
      <c r="R40" s="41">
        <v>2</v>
      </c>
      <c r="S40" s="70">
        <f t="shared" si="3"/>
        <v>3726800.0000000009</v>
      </c>
      <c r="T40" s="41">
        <v>40</v>
      </c>
      <c r="U40" s="41">
        <v>2</v>
      </c>
      <c r="V40" s="70">
        <f t="shared" si="8"/>
        <v>4099480.0000000009</v>
      </c>
      <c r="Y40" s="70">
        <f t="shared" si="4"/>
        <v>0</v>
      </c>
      <c r="AB40" s="70">
        <f t="shared" si="5"/>
        <v>0</v>
      </c>
      <c r="AE40" s="70">
        <f t="shared" si="6"/>
        <v>0</v>
      </c>
      <c r="AF40" s="28">
        <f t="shared" si="9"/>
        <v>21294280</v>
      </c>
      <c r="AG40" s="28">
        <f t="shared" si="7"/>
        <v>20674.058252427185</v>
      </c>
    </row>
    <row r="41" spans="1:33" ht="86.4" x14ac:dyDescent="0.3">
      <c r="A41" s="41" t="s">
        <v>983</v>
      </c>
      <c r="B41" s="41" t="s">
        <v>1176</v>
      </c>
      <c r="C41" s="41" t="s">
        <v>1177</v>
      </c>
      <c r="D41" s="41" t="s">
        <v>1191</v>
      </c>
      <c r="E41" s="41" t="s">
        <v>1194</v>
      </c>
      <c r="F41" s="41" t="s">
        <v>716</v>
      </c>
      <c r="G41" s="83">
        <v>39000</v>
      </c>
      <c r="H41" s="41">
        <v>30</v>
      </c>
      <c r="I41" s="41">
        <v>6</v>
      </c>
      <c r="J41" s="67">
        <f t="shared" si="0"/>
        <v>7020000</v>
      </c>
      <c r="K41" s="41">
        <v>30</v>
      </c>
      <c r="L41" s="41">
        <v>6</v>
      </c>
      <c r="M41" s="83">
        <f t="shared" si="1"/>
        <v>7722000</v>
      </c>
      <c r="N41" s="41">
        <v>30</v>
      </c>
      <c r="O41" s="41">
        <v>6</v>
      </c>
      <c r="P41" s="70">
        <f t="shared" si="2"/>
        <v>8494200.0000000019</v>
      </c>
      <c r="Q41" s="41">
        <v>30</v>
      </c>
      <c r="R41" s="41">
        <v>6</v>
      </c>
      <c r="S41" s="70">
        <f t="shared" si="3"/>
        <v>9343620.0000000037</v>
      </c>
      <c r="T41" s="41">
        <v>30</v>
      </c>
      <c r="U41" s="41">
        <v>6</v>
      </c>
      <c r="V41" s="70">
        <f t="shared" si="8"/>
        <v>10277982.000000004</v>
      </c>
      <c r="W41" s="41">
        <v>30</v>
      </c>
      <c r="X41" s="41">
        <v>6</v>
      </c>
      <c r="Y41" s="70">
        <f t="shared" si="4"/>
        <v>11305780.200000003</v>
      </c>
      <c r="Z41" s="41">
        <v>30</v>
      </c>
      <c r="AA41" s="41">
        <v>6</v>
      </c>
      <c r="AB41" s="70">
        <f t="shared" si="5"/>
        <v>12436358.220000004</v>
      </c>
      <c r="AC41" s="41">
        <v>30</v>
      </c>
      <c r="AD41" s="41">
        <v>6</v>
      </c>
      <c r="AE41" s="70">
        <f t="shared" si="6"/>
        <v>13679994.042000007</v>
      </c>
      <c r="AF41" s="28">
        <f t="shared" si="9"/>
        <v>80279934.462000027</v>
      </c>
      <c r="AG41" s="28">
        <f t="shared" si="7"/>
        <v>77941.68394368935</v>
      </c>
    </row>
    <row r="42" spans="1:33" ht="86.4" x14ac:dyDescent="0.3">
      <c r="A42" s="41" t="s">
        <v>983</v>
      </c>
      <c r="B42" s="41" t="s">
        <v>1176</v>
      </c>
      <c r="C42" s="41" t="s">
        <v>1177</v>
      </c>
      <c r="D42" s="41" t="s">
        <v>1191</v>
      </c>
      <c r="E42" s="41" t="s">
        <v>1194</v>
      </c>
      <c r="F42" s="41" t="s">
        <v>712</v>
      </c>
      <c r="G42" s="83">
        <f>1999.2/7</f>
        <v>285.60000000000002</v>
      </c>
      <c r="H42" s="41">
        <f>25*2*10</f>
        <v>500</v>
      </c>
      <c r="I42" s="41">
        <v>5</v>
      </c>
      <c r="J42" s="67">
        <f t="shared" si="0"/>
        <v>714000</v>
      </c>
      <c r="K42" s="41">
        <v>500</v>
      </c>
      <c r="L42" s="41">
        <v>5</v>
      </c>
      <c r="M42" s="83">
        <f t="shared" si="1"/>
        <v>785400</v>
      </c>
      <c r="N42" s="41">
        <v>500</v>
      </c>
      <c r="O42" s="41">
        <v>5</v>
      </c>
      <c r="P42" s="70">
        <f t="shared" si="2"/>
        <v>863940.00000000012</v>
      </c>
      <c r="Q42" s="41">
        <v>500</v>
      </c>
      <c r="R42" s="41">
        <v>5</v>
      </c>
      <c r="S42" s="70">
        <f t="shared" si="3"/>
        <v>950334.00000000035</v>
      </c>
      <c r="T42" s="41">
        <v>500</v>
      </c>
      <c r="U42" s="41">
        <v>5</v>
      </c>
      <c r="V42" s="70">
        <f t="shared" si="8"/>
        <v>1045367.4000000004</v>
      </c>
      <c r="W42" s="41">
        <v>500</v>
      </c>
      <c r="X42" s="41">
        <v>5</v>
      </c>
      <c r="Y42" s="70">
        <f t="shared" si="4"/>
        <v>1149904.1400000006</v>
      </c>
      <c r="Z42" s="41">
        <v>500</v>
      </c>
      <c r="AA42" s="41">
        <v>5</v>
      </c>
      <c r="AB42" s="70">
        <f t="shared" si="5"/>
        <v>1264894.5540000007</v>
      </c>
      <c r="AC42" s="41">
        <v>500</v>
      </c>
      <c r="AD42" s="41">
        <v>5</v>
      </c>
      <c r="AE42" s="70">
        <f t="shared" si="6"/>
        <v>1391384.009400001</v>
      </c>
      <c r="AF42" s="28">
        <f t="shared" si="9"/>
        <v>8165224.1034000022</v>
      </c>
      <c r="AG42" s="28">
        <f t="shared" si="7"/>
        <v>7927.4020421359246</v>
      </c>
    </row>
    <row r="43" spans="1:33" ht="86.4" x14ac:dyDescent="0.3">
      <c r="A43" s="41" t="s">
        <v>983</v>
      </c>
      <c r="B43" s="41" t="s">
        <v>1176</v>
      </c>
      <c r="C43" s="41" t="s">
        <v>1177</v>
      </c>
      <c r="D43" s="41" t="s">
        <v>1191</v>
      </c>
      <c r="E43" s="41" t="s">
        <v>1194</v>
      </c>
      <c r="F43" s="41" t="s">
        <v>1350</v>
      </c>
      <c r="G43" s="83">
        <f>1999.2/7</f>
        <v>285.60000000000002</v>
      </c>
      <c r="H43" s="41">
        <f>2*135*500</f>
        <v>135000</v>
      </c>
      <c r="I43" s="41">
        <v>1</v>
      </c>
      <c r="J43" s="67">
        <f t="shared" si="0"/>
        <v>38556000</v>
      </c>
      <c r="K43" s="41">
        <f>2*135*500</f>
        <v>135000</v>
      </c>
      <c r="L43" s="41">
        <v>1</v>
      </c>
      <c r="M43" s="83">
        <f t="shared" si="1"/>
        <v>42411600</v>
      </c>
      <c r="N43" s="41">
        <f>2*135*500</f>
        <v>135000</v>
      </c>
      <c r="O43" s="41">
        <v>1</v>
      </c>
      <c r="P43" s="70">
        <f t="shared" si="2"/>
        <v>46652760.000000007</v>
      </c>
      <c r="Q43" s="41">
        <f>2*135*500</f>
        <v>135000</v>
      </c>
      <c r="R43" s="41">
        <v>1</v>
      </c>
      <c r="S43" s="70">
        <f t="shared" si="3"/>
        <v>51318036.000000022</v>
      </c>
      <c r="T43" s="41">
        <f>2*135*500</f>
        <v>135000</v>
      </c>
      <c r="U43" s="41">
        <v>1</v>
      </c>
      <c r="V43" s="70">
        <f t="shared" si="8"/>
        <v>56449839.600000024</v>
      </c>
      <c r="W43">
        <f>2*135*500</f>
        <v>135000</v>
      </c>
      <c r="X43" s="41">
        <v>1</v>
      </c>
      <c r="Y43" s="70">
        <f t="shared" si="4"/>
        <v>62094823.560000025</v>
      </c>
      <c r="Z43">
        <f>2*135*500</f>
        <v>135000</v>
      </c>
      <c r="AA43" s="41">
        <v>1</v>
      </c>
      <c r="AB43" s="70">
        <f t="shared" si="5"/>
        <v>68304305.916000038</v>
      </c>
      <c r="AC43">
        <f>2*135*500</f>
        <v>135000</v>
      </c>
      <c r="AD43" s="41">
        <v>1</v>
      </c>
      <c r="AE43" s="70">
        <f t="shared" si="6"/>
        <v>75134736.507600054</v>
      </c>
      <c r="AF43" s="28">
        <f t="shared" si="9"/>
        <v>440922101.58360016</v>
      </c>
      <c r="AG43" s="28">
        <f t="shared" si="7"/>
        <v>428079.71027533995</v>
      </c>
    </row>
    <row r="44" spans="1:33" ht="86.4" x14ac:dyDescent="0.3">
      <c r="A44" s="41" t="s">
        <v>983</v>
      </c>
      <c r="B44" s="41" t="s">
        <v>1176</v>
      </c>
      <c r="C44" s="41" t="s">
        <v>1177</v>
      </c>
      <c r="D44" s="41" t="s">
        <v>1195</v>
      </c>
      <c r="E44" s="41" t="s">
        <v>1196</v>
      </c>
      <c r="F44" s="41" t="s">
        <v>841</v>
      </c>
      <c r="G44" s="83">
        <v>0</v>
      </c>
      <c r="H44" s="41">
        <v>0</v>
      </c>
      <c r="I44" s="41">
        <v>0</v>
      </c>
      <c r="J44" s="67">
        <f t="shared" si="0"/>
        <v>0</v>
      </c>
      <c r="K44" s="41">
        <v>0</v>
      </c>
      <c r="L44" s="41">
        <v>0</v>
      </c>
      <c r="M44" s="83">
        <f t="shared" si="1"/>
        <v>0</v>
      </c>
      <c r="N44" s="41">
        <v>0</v>
      </c>
      <c r="O44" s="41">
        <v>0</v>
      </c>
      <c r="P44" s="70">
        <f t="shared" si="2"/>
        <v>0</v>
      </c>
      <c r="Q44" s="41">
        <v>0</v>
      </c>
      <c r="R44" s="41">
        <v>0</v>
      </c>
      <c r="S44" s="70">
        <f t="shared" si="3"/>
        <v>0</v>
      </c>
      <c r="T44" s="41">
        <v>8000</v>
      </c>
      <c r="U44" s="41">
        <v>1</v>
      </c>
      <c r="V44" s="70">
        <f t="shared" si="8"/>
        <v>0</v>
      </c>
      <c r="Y44" s="70">
        <f t="shared" si="4"/>
        <v>0</v>
      </c>
      <c r="AB44" s="70">
        <f t="shared" si="5"/>
        <v>0</v>
      </c>
      <c r="AE44" s="70">
        <f t="shared" si="6"/>
        <v>0</v>
      </c>
      <c r="AF44" s="28">
        <f t="shared" si="9"/>
        <v>0</v>
      </c>
      <c r="AG44" s="28">
        <f t="shared" si="7"/>
        <v>0</v>
      </c>
    </row>
    <row r="45" spans="1:33" ht="86.4" x14ac:dyDescent="0.3">
      <c r="A45" s="41" t="s">
        <v>983</v>
      </c>
      <c r="B45" s="41" t="s">
        <v>1176</v>
      </c>
      <c r="C45" s="41" t="s">
        <v>1177</v>
      </c>
      <c r="D45" s="41" t="s">
        <v>1195</v>
      </c>
      <c r="E45" s="41" t="s">
        <v>1197</v>
      </c>
      <c r="F45" s="41" t="s">
        <v>841</v>
      </c>
      <c r="G45" s="83">
        <v>0</v>
      </c>
      <c r="H45" s="41">
        <v>0</v>
      </c>
      <c r="I45" s="41">
        <v>0</v>
      </c>
      <c r="J45" s="67">
        <f t="shared" si="0"/>
        <v>0</v>
      </c>
      <c r="K45" s="41">
        <v>0</v>
      </c>
      <c r="L45" s="41">
        <v>0</v>
      </c>
      <c r="M45" s="83">
        <f t="shared" si="1"/>
        <v>0</v>
      </c>
      <c r="N45" s="41">
        <v>0</v>
      </c>
      <c r="O45" s="41">
        <v>0</v>
      </c>
      <c r="P45" s="70">
        <f t="shared" si="2"/>
        <v>0</v>
      </c>
      <c r="Q45" s="41">
        <v>0</v>
      </c>
      <c r="R45" s="41">
        <v>0</v>
      </c>
      <c r="S45" s="70">
        <f t="shared" si="3"/>
        <v>0</v>
      </c>
      <c r="T45" s="41">
        <v>0</v>
      </c>
      <c r="U45" s="41">
        <v>0</v>
      </c>
      <c r="V45" s="70">
        <f t="shared" si="8"/>
        <v>0</v>
      </c>
      <c r="Y45" s="70">
        <f t="shared" si="4"/>
        <v>0</v>
      </c>
      <c r="AB45" s="70">
        <f t="shared" si="5"/>
        <v>0</v>
      </c>
      <c r="AE45" s="70">
        <f t="shared" si="6"/>
        <v>0</v>
      </c>
      <c r="AF45" s="28">
        <f t="shared" si="9"/>
        <v>0</v>
      </c>
      <c r="AG45" s="28">
        <f t="shared" si="7"/>
        <v>0</v>
      </c>
    </row>
    <row r="46" spans="1:33" ht="86.4" x14ac:dyDescent="0.3">
      <c r="A46" s="41" t="s">
        <v>983</v>
      </c>
      <c r="B46" s="41" t="s">
        <v>1176</v>
      </c>
      <c r="C46" s="41" t="s">
        <v>1177</v>
      </c>
      <c r="D46" s="41" t="s">
        <v>1195</v>
      </c>
      <c r="E46" s="41" t="s">
        <v>1198</v>
      </c>
      <c r="F46" s="41" t="s">
        <v>709</v>
      </c>
      <c r="G46" s="83">
        <v>35000</v>
      </c>
      <c r="H46" s="41"/>
      <c r="I46" s="41"/>
      <c r="J46" s="67">
        <f t="shared" si="0"/>
        <v>0</v>
      </c>
      <c r="K46" s="41">
        <v>100</v>
      </c>
      <c r="L46" s="41">
        <v>5</v>
      </c>
      <c r="M46" s="83">
        <f t="shared" si="1"/>
        <v>19250000</v>
      </c>
      <c r="N46" s="41">
        <v>0</v>
      </c>
      <c r="O46" s="41">
        <v>0</v>
      </c>
      <c r="P46" s="70">
        <f t="shared" si="2"/>
        <v>0</v>
      </c>
      <c r="Q46" s="41">
        <v>100</v>
      </c>
      <c r="R46" s="41">
        <v>5</v>
      </c>
      <c r="S46" s="70">
        <f t="shared" si="3"/>
        <v>23292500.000000007</v>
      </c>
      <c r="T46" s="41">
        <v>0</v>
      </c>
      <c r="U46" s="41">
        <v>0</v>
      </c>
      <c r="V46" s="70">
        <f t="shared" si="8"/>
        <v>0</v>
      </c>
      <c r="W46" s="41">
        <v>100</v>
      </c>
      <c r="X46" s="41">
        <v>5</v>
      </c>
      <c r="Y46" s="70">
        <f t="shared" si="4"/>
        <v>28183925.000000007</v>
      </c>
      <c r="AA46" s="41"/>
      <c r="AB46" s="70">
        <f t="shared" si="5"/>
        <v>0</v>
      </c>
      <c r="AC46">
        <v>100</v>
      </c>
      <c r="AD46" s="41">
        <v>5</v>
      </c>
      <c r="AE46" s="70">
        <f t="shared" si="6"/>
        <v>34102549.250000015</v>
      </c>
      <c r="AF46" s="28">
        <f t="shared" si="9"/>
        <v>104828974.25000003</v>
      </c>
      <c r="AG46" s="28">
        <f t="shared" si="7"/>
        <v>101775.70315533984</v>
      </c>
    </row>
    <row r="47" spans="1:33" ht="86.4" x14ac:dyDescent="0.3">
      <c r="A47" s="41" t="s">
        <v>983</v>
      </c>
      <c r="B47" s="41" t="s">
        <v>1176</v>
      </c>
      <c r="C47" s="41" t="s">
        <v>1177</v>
      </c>
      <c r="D47" s="41" t="s">
        <v>1195</v>
      </c>
      <c r="E47" s="41" t="s">
        <v>1198</v>
      </c>
      <c r="F47" s="41" t="s">
        <v>716</v>
      </c>
      <c r="G47" s="83">
        <v>39000</v>
      </c>
      <c r="H47" s="41"/>
      <c r="I47" s="41"/>
      <c r="J47" s="67"/>
      <c r="K47" s="41">
        <v>58</v>
      </c>
      <c r="L47" s="41">
        <v>6</v>
      </c>
      <c r="M47" s="83">
        <f t="shared" si="1"/>
        <v>14929200</v>
      </c>
      <c r="N47" s="41">
        <v>0</v>
      </c>
      <c r="O47" s="41">
        <v>0</v>
      </c>
      <c r="P47" s="70">
        <f t="shared" si="2"/>
        <v>0</v>
      </c>
      <c r="Q47" s="41">
        <v>58</v>
      </c>
      <c r="R47" s="41">
        <v>6</v>
      </c>
      <c r="S47" s="70">
        <f t="shared" si="3"/>
        <v>18064332.000000007</v>
      </c>
      <c r="T47" s="41">
        <v>0</v>
      </c>
      <c r="U47" s="41">
        <v>0</v>
      </c>
      <c r="V47" s="70">
        <f t="shared" si="8"/>
        <v>0</v>
      </c>
      <c r="W47" s="41">
        <v>58</v>
      </c>
      <c r="X47" s="41">
        <v>6</v>
      </c>
      <c r="Y47" s="70">
        <f t="shared" si="4"/>
        <v>21857841.720000006</v>
      </c>
      <c r="AB47" s="70">
        <f t="shared" si="5"/>
        <v>0</v>
      </c>
      <c r="AC47">
        <v>58</v>
      </c>
      <c r="AD47" s="41">
        <v>6</v>
      </c>
      <c r="AE47" s="70">
        <f t="shared" si="6"/>
        <v>26447988.481200017</v>
      </c>
      <c r="AF47" s="28">
        <f t="shared" si="9"/>
        <v>81299362.201200038</v>
      </c>
      <c r="AG47" s="28">
        <f t="shared" si="7"/>
        <v>78931.419612815575</v>
      </c>
    </row>
    <row r="48" spans="1:33" ht="86.4" x14ac:dyDescent="0.3">
      <c r="A48" s="41" t="s">
        <v>983</v>
      </c>
      <c r="B48" s="41" t="s">
        <v>1176</v>
      </c>
      <c r="C48" s="41" t="s">
        <v>1177</v>
      </c>
      <c r="D48" s="41" t="s">
        <v>1195</v>
      </c>
      <c r="E48" s="41" t="s">
        <v>1198</v>
      </c>
      <c r="F48" s="41" t="s">
        <v>1350</v>
      </c>
      <c r="G48" s="83">
        <f>1999.2/7</f>
        <v>285.60000000000002</v>
      </c>
      <c r="J48" s="28"/>
      <c r="K48" s="41">
        <f>2*135*29</f>
        <v>7830</v>
      </c>
      <c r="L48" s="41">
        <v>1</v>
      </c>
      <c r="M48" s="83">
        <f t="shared" si="1"/>
        <v>2459872.8000000003</v>
      </c>
      <c r="N48" s="41"/>
      <c r="O48" s="41"/>
      <c r="P48" s="70">
        <f t="shared" si="2"/>
        <v>0</v>
      </c>
      <c r="Q48" s="41">
        <f>2*135*29</f>
        <v>7830</v>
      </c>
      <c r="R48" s="41">
        <v>1</v>
      </c>
      <c r="S48" s="70">
        <f t="shared" si="3"/>
        <v>2976446.0880000014</v>
      </c>
      <c r="T48" s="41"/>
      <c r="U48" s="41"/>
      <c r="V48" s="70">
        <f t="shared" si="8"/>
        <v>0</v>
      </c>
      <c r="W48">
        <f>2*135*29</f>
        <v>7830</v>
      </c>
      <c r="X48">
        <v>1</v>
      </c>
      <c r="Y48" s="70">
        <f t="shared" si="4"/>
        <v>3601499.7664800012</v>
      </c>
      <c r="AB48" s="70">
        <f t="shared" si="5"/>
        <v>0</v>
      </c>
      <c r="AC48">
        <f>2*135*29</f>
        <v>7830</v>
      </c>
      <c r="AD48">
        <v>1</v>
      </c>
      <c r="AE48" s="70">
        <f t="shared" si="6"/>
        <v>4357814.7174408035</v>
      </c>
      <c r="AF48" s="28">
        <f t="shared" si="9"/>
        <v>13395633.371920805</v>
      </c>
      <c r="AG48" s="28">
        <f t="shared" si="7"/>
        <v>13005.469293126995</v>
      </c>
    </row>
    <row r="49" spans="1:38" ht="86.4" x14ac:dyDescent="0.3">
      <c r="A49" s="41" t="s">
        <v>983</v>
      </c>
      <c r="B49" s="41" t="s">
        <v>1176</v>
      </c>
      <c r="C49" s="41" t="s">
        <v>1177</v>
      </c>
      <c r="D49" s="41" t="s">
        <v>1195</v>
      </c>
      <c r="E49" s="41" t="s">
        <v>1198</v>
      </c>
      <c r="F49" s="41" t="s">
        <v>712</v>
      </c>
      <c r="G49" s="83">
        <f>1999.2/7</f>
        <v>285.60000000000002</v>
      </c>
      <c r="H49" s="41"/>
      <c r="I49" s="41"/>
      <c r="J49" s="67">
        <f t="shared" si="0"/>
        <v>0</v>
      </c>
      <c r="K49" s="41">
        <f>2*25*29</f>
        <v>1450</v>
      </c>
      <c r="L49" s="41">
        <v>5</v>
      </c>
      <c r="M49" s="83">
        <f t="shared" si="1"/>
        <v>2277660.0000000005</v>
      </c>
      <c r="N49" s="41">
        <v>0</v>
      </c>
      <c r="O49" s="41">
        <v>0</v>
      </c>
      <c r="P49" s="70">
        <f t="shared" si="2"/>
        <v>0</v>
      </c>
      <c r="Q49" s="41">
        <f>25*2*29</f>
        <v>1450</v>
      </c>
      <c r="R49" s="41">
        <v>5</v>
      </c>
      <c r="S49" s="70">
        <f t="shared" si="3"/>
        <v>2755968.600000001</v>
      </c>
      <c r="T49" s="41">
        <v>0</v>
      </c>
      <c r="U49" s="41">
        <v>0</v>
      </c>
      <c r="V49" s="70">
        <f t="shared" si="8"/>
        <v>0</v>
      </c>
      <c r="W49">
        <f>25*2*29</f>
        <v>1450</v>
      </c>
      <c r="X49">
        <v>5</v>
      </c>
      <c r="Y49" s="70">
        <f t="shared" si="4"/>
        <v>3334722.006000001</v>
      </c>
      <c r="AB49" s="70">
        <f t="shared" si="5"/>
        <v>0</v>
      </c>
      <c r="AC49">
        <f>2*25*29</f>
        <v>1450</v>
      </c>
      <c r="AD49">
        <v>5</v>
      </c>
      <c r="AE49" s="70">
        <f t="shared" si="6"/>
        <v>4035013.6272600032</v>
      </c>
      <c r="AF49" s="28">
        <f t="shared" si="9"/>
        <v>12403364.233260006</v>
      </c>
      <c r="AG49" s="28">
        <f t="shared" si="7"/>
        <v>12042.101197339811</v>
      </c>
    </row>
    <row r="50" spans="1:38" ht="86.4" x14ac:dyDescent="0.3">
      <c r="A50" s="41" t="s">
        <v>983</v>
      </c>
      <c r="B50" s="41" t="s">
        <v>1176</v>
      </c>
      <c r="C50" s="41" t="s">
        <v>1177</v>
      </c>
      <c r="D50" s="41" t="s">
        <v>1195</v>
      </c>
      <c r="E50" s="41" t="s">
        <v>1199</v>
      </c>
      <c r="F50" s="41" t="s">
        <v>841</v>
      </c>
      <c r="G50" s="83">
        <v>0</v>
      </c>
      <c r="H50" s="41">
        <v>0</v>
      </c>
      <c r="I50" s="41">
        <v>0</v>
      </c>
      <c r="J50" s="67">
        <f t="shared" si="0"/>
        <v>0</v>
      </c>
      <c r="K50" s="41">
        <v>0</v>
      </c>
      <c r="L50" s="41">
        <v>0</v>
      </c>
      <c r="M50" s="83">
        <f t="shared" si="1"/>
        <v>0</v>
      </c>
      <c r="N50" s="41">
        <v>0</v>
      </c>
      <c r="O50" s="41">
        <v>0</v>
      </c>
      <c r="P50" s="70">
        <f t="shared" si="2"/>
        <v>0</v>
      </c>
      <c r="Q50" s="41">
        <v>0</v>
      </c>
      <c r="R50" s="41">
        <v>0</v>
      </c>
      <c r="S50" s="70">
        <f t="shared" si="3"/>
        <v>0</v>
      </c>
      <c r="T50" s="41">
        <v>0</v>
      </c>
      <c r="U50" s="41">
        <v>0</v>
      </c>
      <c r="V50" s="70">
        <f t="shared" si="8"/>
        <v>0</v>
      </c>
      <c r="Y50" s="70">
        <f t="shared" si="4"/>
        <v>0</v>
      </c>
      <c r="AB50" s="70">
        <f t="shared" si="5"/>
        <v>0</v>
      </c>
      <c r="AE50" s="70">
        <f t="shared" si="6"/>
        <v>0</v>
      </c>
      <c r="AF50" s="28">
        <f t="shared" si="9"/>
        <v>0</v>
      </c>
      <c r="AG50" s="28">
        <f t="shared" si="7"/>
        <v>0</v>
      </c>
    </row>
    <row r="51" spans="1:38" ht="86.4" x14ac:dyDescent="0.3">
      <c r="A51" s="41" t="s">
        <v>983</v>
      </c>
      <c r="B51" s="41" t="s">
        <v>1176</v>
      </c>
      <c r="C51" s="41" t="s">
        <v>1177</v>
      </c>
      <c r="D51" s="41" t="s">
        <v>1200</v>
      </c>
      <c r="E51" s="41" t="s">
        <v>1201</v>
      </c>
      <c r="F51" s="41" t="s">
        <v>709</v>
      </c>
      <c r="G51" s="83">
        <v>35000</v>
      </c>
      <c r="H51" s="41">
        <v>50</v>
      </c>
      <c r="I51" s="41">
        <v>1</v>
      </c>
      <c r="J51" s="67">
        <f t="shared" si="0"/>
        <v>1750000</v>
      </c>
      <c r="K51" s="41">
        <v>50</v>
      </c>
      <c r="L51" s="41">
        <v>1</v>
      </c>
      <c r="M51" s="83">
        <f t="shared" si="1"/>
        <v>1925000</v>
      </c>
      <c r="N51" s="41">
        <v>50</v>
      </c>
      <c r="O51" s="41">
        <v>1</v>
      </c>
      <c r="P51" s="70">
        <f t="shared" si="2"/>
        <v>2117500.0000000005</v>
      </c>
      <c r="Q51" s="41">
        <v>50</v>
      </c>
      <c r="R51" s="41">
        <v>1</v>
      </c>
      <c r="S51" s="70">
        <f t="shared" si="3"/>
        <v>2329250.0000000009</v>
      </c>
      <c r="T51" s="41">
        <v>50</v>
      </c>
      <c r="U51" s="41">
        <v>1</v>
      </c>
      <c r="V51" s="70">
        <f t="shared" si="8"/>
        <v>2562175.0000000009</v>
      </c>
      <c r="W51" s="41">
        <v>50</v>
      </c>
      <c r="X51" s="41">
        <v>1</v>
      </c>
      <c r="Y51" s="70">
        <f t="shared" si="4"/>
        <v>2818392.5000000009</v>
      </c>
      <c r="Z51" s="41">
        <v>50</v>
      </c>
      <c r="AA51" s="41">
        <v>1</v>
      </c>
      <c r="AB51" s="70">
        <f t="shared" si="5"/>
        <v>3100231.7500000014</v>
      </c>
      <c r="AC51">
        <v>50</v>
      </c>
      <c r="AD51">
        <v>1</v>
      </c>
      <c r="AE51" s="70">
        <f t="shared" si="6"/>
        <v>3410254.9250000017</v>
      </c>
      <c r="AF51" s="28">
        <f t="shared" si="9"/>
        <v>20012804.175000008</v>
      </c>
      <c r="AG51" s="28">
        <f t="shared" si="7"/>
        <v>19429.906966019425</v>
      </c>
    </row>
    <row r="52" spans="1:38" ht="86.4" x14ac:dyDescent="0.3">
      <c r="A52" s="41" t="s">
        <v>983</v>
      </c>
      <c r="B52" s="41" t="s">
        <v>1176</v>
      </c>
      <c r="C52" s="41" t="s">
        <v>1177</v>
      </c>
      <c r="D52" s="41" t="s">
        <v>1202</v>
      </c>
      <c r="E52" s="41" t="s">
        <v>1203</v>
      </c>
      <c r="F52" s="41" t="s">
        <v>841</v>
      </c>
      <c r="G52" s="83">
        <v>0</v>
      </c>
      <c r="H52" s="41">
        <v>40</v>
      </c>
      <c r="I52" s="41">
        <v>1</v>
      </c>
      <c r="J52" s="67">
        <f t="shared" si="0"/>
        <v>0</v>
      </c>
      <c r="K52" s="41">
        <v>40</v>
      </c>
      <c r="L52" s="41">
        <v>1</v>
      </c>
      <c r="M52" s="83">
        <f t="shared" si="1"/>
        <v>0</v>
      </c>
      <c r="N52" s="41">
        <v>40</v>
      </c>
      <c r="O52" s="41">
        <v>1</v>
      </c>
      <c r="P52" s="70">
        <f t="shared" si="2"/>
        <v>0</v>
      </c>
      <c r="Q52" s="41">
        <v>40</v>
      </c>
      <c r="R52" s="41">
        <v>1</v>
      </c>
      <c r="S52" s="70">
        <f t="shared" si="3"/>
        <v>0</v>
      </c>
      <c r="T52" s="41">
        <v>40</v>
      </c>
      <c r="U52" s="41">
        <v>1</v>
      </c>
      <c r="V52" s="70">
        <f t="shared" si="8"/>
        <v>0</v>
      </c>
      <c r="Y52" s="70">
        <f t="shared" si="4"/>
        <v>0</v>
      </c>
      <c r="AB52" s="70">
        <f t="shared" si="5"/>
        <v>0</v>
      </c>
      <c r="AE52" s="70">
        <f t="shared" si="6"/>
        <v>0</v>
      </c>
      <c r="AF52" s="28">
        <f t="shared" si="9"/>
        <v>0</v>
      </c>
      <c r="AG52" s="28">
        <f t="shared" si="7"/>
        <v>0</v>
      </c>
    </row>
    <row r="53" spans="1:38" ht="86.4" x14ac:dyDescent="0.3">
      <c r="A53" s="41" t="s">
        <v>983</v>
      </c>
      <c r="B53" s="41" t="s">
        <v>1176</v>
      </c>
      <c r="C53" s="41" t="s">
        <v>1177</v>
      </c>
      <c r="D53" s="41" t="s">
        <v>1202</v>
      </c>
      <c r="E53" s="41" t="s">
        <v>1204</v>
      </c>
      <c r="F53" s="41" t="s">
        <v>841</v>
      </c>
      <c r="G53" s="83">
        <v>0</v>
      </c>
      <c r="H53" s="41">
        <v>0</v>
      </c>
      <c r="I53" s="41">
        <v>0</v>
      </c>
      <c r="J53" s="67">
        <f t="shared" si="0"/>
        <v>0</v>
      </c>
      <c r="K53" s="41">
        <v>0</v>
      </c>
      <c r="L53" s="41">
        <v>0</v>
      </c>
      <c r="M53" s="83">
        <f t="shared" si="1"/>
        <v>0</v>
      </c>
      <c r="N53" s="41">
        <v>0</v>
      </c>
      <c r="O53" s="41">
        <v>0</v>
      </c>
      <c r="P53" s="70">
        <f t="shared" si="2"/>
        <v>0</v>
      </c>
      <c r="Q53" s="41">
        <v>0</v>
      </c>
      <c r="R53" s="41">
        <v>0</v>
      </c>
      <c r="S53" s="70">
        <f t="shared" si="3"/>
        <v>0</v>
      </c>
      <c r="T53" s="41">
        <v>0</v>
      </c>
      <c r="U53" s="41">
        <v>0</v>
      </c>
      <c r="V53" s="70">
        <f t="shared" si="8"/>
        <v>0</v>
      </c>
      <c r="Y53" s="70">
        <f t="shared" si="4"/>
        <v>0</v>
      </c>
      <c r="AB53" s="70">
        <f t="shared" si="5"/>
        <v>0</v>
      </c>
      <c r="AE53" s="70">
        <f t="shared" si="6"/>
        <v>0</v>
      </c>
      <c r="AF53" s="28">
        <f t="shared" si="9"/>
        <v>0</v>
      </c>
      <c r="AG53" s="28">
        <f t="shared" si="7"/>
        <v>0</v>
      </c>
    </row>
    <row r="54" spans="1:38" x14ac:dyDescent="0.3">
      <c r="A54" s="91" t="s">
        <v>1409</v>
      </c>
      <c r="B54" s="91"/>
      <c r="C54" s="91"/>
      <c r="D54" s="91"/>
      <c r="E54" s="91"/>
      <c r="F54" s="91"/>
      <c r="G54" s="92"/>
      <c r="H54" s="91"/>
      <c r="I54" s="91"/>
      <c r="J54" s="93">
        <f>SUM(J2:J53)</f>
        <v>132919846.15000001</v>
      </c>
      <c r="K54" s="91"/>
      <c r="L54" s="91"/>
      <c r="M54" s="93">
        <f>SUM(M2:M53)</f>
        <v>110896733.36499999</v>
      </c>
      <c r="N54" s="91"/>
      <c r="O54" s="91"/>
      <c r="P54" s="93">
        <f>SUM(P2:P53)</f>
        <v>79178000.621500015</v>
      </c>
      <c r="Q54" s="91"/>
      <c r="R54" s="91"/>
      <c r="S54" s="93">
        <f>SUM(S2:S53)</f>
        <v>134185047.37165004</v>
      </c>
      <c r="T54" s="91"/>
      <c r="U54" s="91"/>
      <c r="V54" s="93">
        <f>SUM(V2:V53)</f>
        <v>101954600.75201502</v>
      </c>
      <c r="W54" s="94"/>
      <c r="X54" s="94"/>
      <c r="Y54" s="93">
        <f>SUM(Y2:Y53)</f>
        <v>164618621.31969655</v>
      </c>
      <c r="Z54" s="94"/>
      <c r="AA54" s="94"/>
      <c r="AB54" s="93">
        <f>SUM(AB2:AB53)</f>
        <v>118404696.1099382</v>
      </c>
      <c r="AC54" s="94"/>
      <c r="AD54" s="94"/>
      <c r="AE54" s="93">
        <f>SUM(AE2:AE53)</f>
        <v>199188531.79683289</v>
      </c>
      <c r="AF54" s="95">
        <f t="shared" si="9"/>
        <v>1041346077.4866327</v>
      </c>
      <c r="AG54" s="95">
        <f t="shared" si="7"/>
        <v>1011015.609210323</v>
      </c>
      <c r="AH54" s="94"/>
      <c r="AI54" s="94"/>
      <c r="AJ54" s="94"/>
      <c r="AK54" s="94"/>
      <c r="AL54" s="94"/>
    </row>
    <row r="55" spans="1:38" s="62" customFormat="1" x14ac:dyDescent="0.3">
      <c r="A55" s="63" t="s">
        <v>1438</v>
      </c>
      <c r="B55" s="63"/>
      <c r="C55" s="63"/>
      <c r="D55" s="63"/>
      <c r="E55" s="63"/>
      <c r="F55" s="63"/>
      <c r="G55" s="90"/>
      <c r="H55" s="63"/>
      <c r="I55" s="63"/>
      <c r="J55" s="68">
        <f>J54/$AL$2</f>
        <v>129048.39432038835</v>
      </c>
      <c r="K55" s="63"/>
      <c r="L55" s="63"/>
      <c r="M55" s="68">
        <f>M54/$AL$2</f>
        <v>107666.73142233009</v>
      </c>
      <c r="N55" s="63"/>
      <c r="O55" s="63"/>
      <c r="P55" s="68">
        <f>P54/$AL$2</f>
        <v>76871.845263592244</v>
      </c>
      <c r="Q55" s="63"/>
      <c r="R55" s="63"/>
      <c r="S55" s="68">
        <f>S54/$AL$2</f>
        <v>130276.74502101945</v>
      </c>
      <c r="T55" s="63"/>
      <c r="U55" s="63"/>
      <c r="V55" s="68">
        <f>V54/$AL$2</f>
        <v>98985.049273800993</v>
      </c>
      <c r="Y55" s="68">
        <f>Y54/$AL$2</f>
        <v>159823.90419388015</v>
      </c>
      <c r="AB55" s="68">
        <f>AB54/$AL$2</f>
        <v>114956.01564071671</v>
      </c>
      <c r="AE55" s="68">
        <f>AE54/$AL$2</f>
        <v>193386.92407459504</v>
      </c>
      <c r="AF55" s="20">
        <f t="shared" si="9"/>
        <v>1011015.6092103231</v>
      </c>
      <c r="AG55" s="20">
        <f t="shared" si="7"/>
        <v>981.56855263138164</v>
      </c>
    </row>
    <row r="56" spans="1:38" ht="57.6" x14ac:dyDescent="0.3">
      <c r="A56" s="41" t="s">
        <v>983</v>
      </c>
      <c r="B56" s="41" t="s">
        <v>1176</v>
      </c>
      <c r="C56" s="41" t="s">
        <v>1205</v>
      </c>
      <c r="D56" s="41" t="s">
        <v>1206</v>
      </c>
      <c r="E56" s="41" t="s">
        <v>1207</v>
      </c>
      <c r="F56" s="41" t="s">
        <v>709</v>
      </c>
      <c r="G56" s="83">
        <v>35000</v>
      </c>
      <c r="H56" s="41">
        <v>60</v>
      </c>
      <c r="I56" s="41">
        <v>5</v>
      </c>
      <c r="J56" s="67">
        <f t="shared" si="0"/>
        <v>10500000</v>
      </c>
      <c r="K56" s="41">
        <v>60</v>
      </c>
      <c r="L56" s="41">
        <v>5</v>
      </c>
      <c r="M56" s="83">
        <f t="shared" si="1"/>
        <v>11550000</v>
      </c>
      <c r="N56" s="41">
        <v>60</v>
      </c>
      <c r="O56" s="41">
        <v>5</v>
      </c>
      <c r="P56" s="70">
        <f t="shared" si="2"/>
        <v>12705000.000000002</v>
      </c>
      <c r="Q56" s="41">
        <v>60</v>
      </c>
      <c r="R56" s="41">
        <v>5</v>
      </c>
      <c r="S56" s="70">
        <f t="shared" si="3"/>
        <v>13975500.000000004</v>
      </c>
      <c r="T56" s="41">
        <v>60</v>
      </c>
      <c r="U56" s="41">
        <v>5</v>
      </c>
      <c r="V56" s="70">
        <f t="shared" si="8"/>
        <v>15373050.000000004</v>
      </c>
      <c r="W56" s="41">
        <v>60</v>
      </c>
      <c r="X56" s="41">
        <v>5</v>
      </c>
      <c r="Y56" s="70">
        <f t="shared" si="4"/>
        <v>16910355.000000007</v>
      </c>
      <c r="Z56" s="41">
        <v>60</v>
      </c>
      <c r="AA56" s="41">
        <v>5</v>
      </c>
      <c r="AB56" s="70">
        <f t="shared" si="5"/>
        <v>18601390.500000011</v>
      </c>
      <c r="AC56" s="41">
        <v>60</v>
      </c>
      <c r="AD56" s="41">
        <v>5</v>
      </c>
      <c r="AE56" s="70">
        <f t="shared" si="6"/>
        <v>20461529.550000012</v>
      </c>
      <c r="AF56" s="28">
        <f t="shared" si="9"/>
        <v>120076825.05000003</v>
      </c>
      <c r="AG56" s="28">
        <f t="shared" si="7"/>
        <v>116579.44179611653</v>
      </c>
    </row>
    <row r="57" spans="1:38" ht="57.6" x14ac:dyDescent="0.3">
      <c r="A57" s="41" t="s">
        <v>983</v>
      </c>
      <c r="B57" s="41" t="s">
        <v>1176</v>
      </c>
      <c r="C57" s="41" t="s">
        <v>1205</v>
      </c>
      <c r="D57" s="41" t="s">
        <v>1206</v>
      </c>
      <c r="E57" s="41" t="s">
        <v>1207</v>
      </c>
      <c r="F57" s="41" t="s">
        <v>716</v>
      </c>
      <c r="G57" s="83">
        <v>39000</v>
      </c>
      <c r="H57" s="41">
        <v>60</v>
      </c>
      <c r="I57" s="41">
        <v>5</v>
      </c>
      <c r="J57" s="67">
        <f t="shared" si="0"/>
        <v>11700000</v>
      </c>
      <c r="K57" s="41">
        <v>60</v>
      </c>
      <c r="L57" s="41">
        <v>5</v>
      </c>
      <c r="M57" s="83">
        <f t="shared" si="1"/>
        <v>12870000</v>
      </c>
      <c r="N57" s="41">
        <v>60</v>
      </c>
      <c r="O57" s="41">
        <v>5</v>
      </c>
      <c r="P57" s="70">
        <f t="shared" si="2"/>
        <v>14157000.000000002</v>
      </c>
      <c r="Q57" s="41">
        <v>60</v>
      </c>
      <c r="R57" s="41">
        <v>5</v>
      </c>
      <c r="S57" s="70">
        <f t="shared" si="3"/>
        <v>15572700.000000004</v>
      </c>
      <c r="T57" s="41">
        <v>60</v>
      </c>
      <c r="U57" s="41">
        <v>5</v>
      </c>
      <c r="V57" s="70">
        <f t="shared" si="8"/>
        <v>17129970.000000004</v>
      </c>
      <c r="W57" s="41">
        <v>60</v>
      </c>
      <c r="X57" s="41">
        <v>5</v>
      </c>
      <c r="Y57" s="70">
        <f t="shared" si="4"/>
        <v>18842967.000000007</v>
      </c>
      <c r="Z57" s="41">
        <v>60</v>
      </c>
      <c r="AA57" s="41">
        <v>5</v>
      </c>
      <c r="AB57" s="70">
        <f t="shared" si="5"/>
        <v>20727263.700000007</v>
      </c>
      <c r="AC57" s="41">
        <v>60</v>
      </c>
      <c r="AD57" s="41">
        <v>5</v>
      </c>
      <c r="AE57" s="70">
        <f t="shared" si="6"/>
        <v>22799990.070000011</v>
      </c>
      <c r="AF57" s="28">
        <f t="shared" si="9"/>
        <v>133799890.77000001</v>
      </c>
      <c r="AG57" s="28">
        <f t="shared" si="7"/>
        <v>129902.80657281555</v>
      </c>
    </row>
    <row r="58" spans="1:38" ht="57.6" x14ac:dyDescent="0.3">
      <c r="A58" s="41" t="s">
        <v>983</v>
      </c>
      <c r="B58" s="41" t="s">
        <v>1176</v>
      </c>
      <c r="C58" s="41" t="s">
        <v>1205</v>
      </c>
      <c r="D58" s="41" t="s">
        <v>1206</v>
      </c>
      <c r="E58" s="41" t="s">
        <v>1207</v>
      </c>
      <c r="F58" s="41" t="s">
        <v>712</v>
      </c>
      <c r="G58" s="83">
        <f>1999.2/7</f>
        <v>285.60000000000002</v>
      </c>
      <c r="H58" s="41">
        <f>25*2*30</f>
        <v>1500</v>
      </c>
      <c r="I58" s="41">
        <v>5</v>
      </c>
      <c r="J58" s="67">
        <f t="shared" si="0"/>
        <v>2142000.0000000005</v>
      </c>
      <c r="K58" s="41">
        <f>25*2*30</f>
        <v>1500</v>
      </c>
      <c r="L58" s="41">
        <v>5</v>
      </c>
      <c r="M58" s="83">
        <f t="shared" si="1"/>
        <v>2356200.0000000005</v>
      </c>
      <c r="N58" s="41">
        <f>25*2*30</f>
        <v>1500</v>
      </c>
      <c r="O58" s="41">
        <v>5</v>
      </c>
      <c r="P58" s="70">
        <f t="shared" si="2"/>
        <v>2591820.0000000005</v>
      </c>
      <c r="Q58" s="41">
        <f>25*2*30</f>
        <v>1500</v>
      </c>
      <c r="R58" s="41">
        <v>5</v>
      </c>
      <c r="S58" s="70">
        <f t="shared" si="3"/>
        <v>2851002.0000000014</v>
      </c>
      <c r="T58" s="41">
        <f>25*2*30</f>
        <v>1500</v>
      </c>
      <c r="U58" s="41">
        <v>5</v>
      </c>
      <c r="V58" s="70">
        <f t="shared" si="8"/>
        <v>3136102.2000000011</v>
      </c>
      <c r="W58">
        <f>25*2*30</f>
        <v>1500</v>
      </c>
      <c r="X58">
        <v>5</v>
      </c>
      <c r="Y58" s="70">
        <f t="shared" si="4"/>
        <v>3449712.4200000013</v>
      </c>
      <c r="Z58">
        <f>25*2*30</f>
        <v>1500</v>
      </c>
      <c r="AA58">
        <v>5</v>
      </c>
      <c r="AB58" s="70">
        <f t="shared" si="5"/>
        <v>3794683.6620000023</v>
      </c>
      <c r="AC58">
        <f>25*2*30</f>
        <v>1500</v>
      </c>
      <c r="AD58">
        <v>5</v>
      </c>
      <c r="AE58" s="70">
        <f t="shared" si="6"/>
        <v>4174152.0282000033</v>
      </c>
      <c r="AF58" s="28">
        <f t="shared" si="9"/>
        <v>24495672.310200013</v>
      </c>
      <c r="AG58" s="28">
        <f t="shared" si="7"/>
        <v>23782.206126407778</v>
      </c>
    </row>
    <row r="59" spans="1:38" ht="57.6" x14ac:dyDescent="0.3">
      <c r="A59" s="41" t="s">
        <v>983</v>
      </c>
      <c r="B59" s="41" t="s">
        <v>1176</v>
      </c>
      <c r="C59" s="41" t="s">
        <v>1205</v>
      </c>
      <c r="D59" s="41" t="s">
        <v>1206</v>
      </c>
      <c r="E59" s="41" t="s">
        <v>1207</v>
      </c>
      <c r="F59" s="41" t="s">
        <v>1350</v>
      </c>
      <c r="G59" s="83">
        <f>1999.2/7</f>
        <v>285.60000000000002</v>
      </c>
      <c r="H59" s="41">
        <f>2*135*30</f>
        <v>8100</v>
      </c>
      <c r="I59" s="41">
        <v>1</v>
      </c>
      <c r="J59" s="67">
        <f t="shared" si="0"/>
        <v>2313360</v>
      </c>
      <c r="K59" s="41">
        <f>2*135*30</f>
        <v>8100</v>
      </c>
      <c r="L59" s="41">
        <v>1</v>
      </c>
      <c r="M59" s="83">
        <f t="shared" si="1"/>
        <v>2544696</v>
      </c>
      <c r="N59" s="41">
        <f>2*135*30</f>
        <v>8100</v>
      </c>
      <c r="O59" s="41">
        <v>1</v>
      </c>
      <c r="P59" s="70">
        <f t="shared" si="2"/>
        <v>2799165.6000000006</v>
      </c>
      <c r="Q59" s="41">
        <f>2*135*30</f>
        <v>8100</v>
      </c>
      <c r="R59" s="41">
        <v>1</v>
      </c>
      <c r="S59" s="70">
        <f t="shared" si="3"/>
        <v>3079082.1600000015</v>
      </c>
      <c r="T59" s="41">
        <f>2*135*30</f>
        <v>8100</v>
      </c>
      <c r="U59" s="41">
        <v>1</v>
      </c>
      <c r="V59" s="70">
        <f t="shared" si="8"/>
        <v>3386990.3760000011</v>
      </c>
      <c r="W59">
        <f>2*135*30</f>
        <v>8100</v>
      </c>
      <c r="X59">
        <v>1</v>
      </c>
      <c r="Y59" s="70">
        <f t="shared" si="4"/>
        <v>3725689.4136000015</v>
      </c>
      <c r="Z59">
        <f>2*135*30</f>
        <v>8100</v>
      </c>
      <c r="AA59">
        <v>1</v>
      </c>
      <c r="AB59" s="70">
        <f t="shared" si="5"/>
        <v>4098258.354960002</v>
      </c>
      <c r="AC59">
        <f>2*135*30</f>
        <v>8100</v>
      </c>
      <c r="AD59">
        <v>1</v>
      </c>
      <c r="AE59" s="70">
        <f t="shared" si="6"/>
        <v>4508084.1904560039</v>
      </c>
      <c r="AF59" s="28">
        <f t="shared" si="9"/>
        <v>26455326.09501601</v>
      </c>
      <c r="AG59" s="28">
        <f t="shared" si="7"/>
        <v>25684.782616520399</v>
      </c>
    </row>
    <row r="60" spans="1:38" ht="57.6" x14ac:dyDescent="0.3">
      <c r="A60" s="41" t="s">
        <v>983</v>
      </c>
      <c r="B60" s="41" t="s">
        <v>1176</v>
      </c>
      <c r="C60" s="41" t="s">
        <v>1205</v>
      </c>
      <c r="D60" s="41" t="s">
        <v>1206</v>
      </c>
      <c r="E60" s="41" t="s">
        <v>1208</v>
      </c>
      <c r="F60" s="41" t="s">
        <v>841</v>
      </c>
      <c r="G60" s="83">
        <v>0</v>
      </c>
      <c r="H60" s="41">
        <v>0</v>
      </c>
      <c r="I60" s="41">
        <v>0</v>
      </c>
      <c r="J60" s="67">
        <f t="shared" si="0"/>
        <v>0</v>
      </c>
      <c r="K60" s="41">
        <v>0</v>
      </c>
      <c r="L60" s="41">
        <v>0</v>
      </c>
      <c r="M60" s="83">
        <f t="shared" si="1"/>
        <v>0</v>
      </c>
      <c r="N60" s="41">
        <v>4000</v>
      </c>
      <c r="O60" s="41">
        <v>12</v>
      </c>
      <c r="P60" s="70">
        <f t="shared" si="2"/>
        <v>0</v>
      </c>
      <c r="Q60" s="41">
        <v>4000</v>
      </c>
      <c r="R60" s="41">
        <v>12</v>
      </c>
      <c r="S60" s="70">
        <f t="shared" si="3"/>
        <v>0</v>
      </c>
      <c r="T60" s="41">
        <v>4000</v>
      </c>
      <c r="U60" s="41">
        <v>12</v>
      </c>
      <c r="V60" s="70">
        <f t="shared" si="8"/>
        <v>0</v>
      </c>
      <c r="Y60" s="70">
        <f t="shared" si="4"/>
        <v>0</v>
      </c>
      <c r="AB60" s="70">
        <f t="shared" si="5"/>
        <v>0</v>
      </c>
      <c r="AE60" s="70">
        <f t="shared" si="6"/>
        <v>0</v>
      </c>
      <c r="AF60" s="28">
        <f t="shared" si="9"/>
        <v>0</v>
      </c>
      <c r="AG60" s="28">
        <f t="shared" si="7"/>
        <v>0</v>
      </c>
    </row>
    <row r="61" spans="1:38" ht="57.6" x14ac:dyDescent="0.3">
      <c r="A61" s="41" t="s">
        <v>983</v>
      </c>
      <c r="B61" s="41" t="s">
        <v>1176</v>
      </c>
      <c r="C61" s="41" t="s">
        <v>1205</v>
      </c>
      <c r="D61" s="41" t="s">
        <v>1209</v>
      </c>
      <c r="E61" s="41" t="s">
        <v>1210</v>
      </c>
      <c r="F61" s="41" t="s">
        <v>841</v>
      </c>
      <c r="G61" s="83">
        <v>0</v>
      </c>
      <c r="H61" s="41">
        <v>0</v>
      </c>
      <c r="I61" s="41">
        <v>0</v>
      </c>
      <c r="J61" s="67">
        <f t="shared" si="0"/>
        <v>0</v>
      </c>
      <c r="K61" s="41">
        <v>0</v>
      </c>
      <c r="L61" s="41">
        <v>0</v>
      </c>
      <c r="M61" s="83">
        <f t="shared" si="1"/>
        <v>0</v>
      </c>
      <c r="N61" s="41">
        <v>0</v>
      </c>
      <c r="O61" s="41">
        <v>0</v>
      </c>
      <c r="P61" s="70">
        <f t="shared" si="2"/>
        <v>0</v>
      </c>
      <c r="Q61" s="41">
        <v>0</v>
      </c>
      <c r="R61" s="41">
        <v>0</v>
      </c>
      <c r="S61" s="70">
        <f t="shared" si="3"/>
        <v>0</v>
      </c>
      <c r="T61" s="41">
        <v>0</v>
      </c>
      <c r="U61" s="41">
        <v>0</v>
      </c>
      <c r="V61" s="70">
        <f t="shared" si="8"/>
        <v>0</v>
      </c>
      <c r="Y61" s="70">
        <f t="shared" si="4"/>
        <v>0</v>
      </c>
      <c r="AB61" s="70">
        <f t="shared" si="5"/>
        <v>0</v>
      </c>
      <c r="AE61" s="70">
        <f t="shared" si="6"/>
        <v>0</v>
      </c>
      <c r="AF61" s="28">
        <f t="shared" si="9"/>
        <v>0</v>
      </c>
      <c r="AG61" s="28">
        <f t="shared" si="7"/>
        <v>0</v>
      </c>
    </row>
    <row r="62" spans="1:38" ht="57.6" x14ac:dyDescent="0.3">
      <c r="A62" s="41" t="s">
        <v>983</v>
      </c>
      <c r="B62" s="41" t="s">
        <v>1176</v>
      </c>
      <c r="C62" s="41" t="s">
        <v>1205</v>
      </c>
      <c r="D62" s="41" t="s">
        <v>1209</v>
      </c>
      <c r="E62" s="41" t="s">
        <v>1211</v>
      </c>
      <c r="F62" s="41" t="s">
        <v>841</v>
      </c>
      <c r="G62" s="83">
        <v>0</v>
      </c>
      <c r="H62" s="41">
        <v>20</v>
      </c>
      <c r="I62" s="41">
        <v>4</v>
      </c>
      <c r="J62" s="67">
        <f t="shared" si="0"/>
        <v>0</v>
      </c>
      <c r="K62" s="41">
        <v>20</v>
      </c>
      <c r="L62" s="41">
        <v>4</v>
      </c>
      <c r="M62" s="83">
        <f t="shared" si="1"/>
        <v>0</v>
      </c>
      <c r="N62" s="41">
        <v>20</v>
      </c>
      <c r="O62" s="41">
        <v>4</v>
      </c>
      <c r="P62" s="70">
        <f t="shared" si="2"/>
        <v>0</v>
      </c>
      <c r="Q62" s="41">
        <v>20</v>
      </c>
      <c r="R62" s="41">
        <v>4</v>
      </c>
      <c r="S62" s="70">
        <f t="shared" si="3"/>
        <v>0</v>
      </c>
      <c r="T62" s="41">
        <v>20</v>
      </c>
      <c r="U62" s="41">
        <v>4</v>
      </c>
      <c r="V62" s="70">
        <f t="shared" si="8"/>
        <v>0</v>
      </c>
      <c r="Y62" s="70">
        <f t="shared" si="4"/>
        <v>0</v>
      </c>
      <c r="AB62" s="70">
        <f t="shared" si="5"/>
        <v>0</v>
      </c>
      <c r="AE62" s="70">
        <f t="shared" si="6"/>
        <v>0</v>
      </c>
      <c r="AF62" s="28">
        <f t="shared" si="9"/>
        <v>0</v>
      </c>
      <c r="AG62" s="28">
        <f t="shared" si="7"/>
        <v>0</v>
      </c>
    </row>
    <row r="63" spans="1:38" ht="57.6" x14ac:dyDescent="0.3">
      <c r="A63" s="41" t="s">
        <v>983</v>
      </c>
      <c r="B63" s="41" t="s">
        <v>1176</v>
      </c>
      <c r="C63" s="41" t="s">
        <v>1205</v>
      </c>
      <c r="D63" s="41" t="s">
        <v>1212</v>
      </c>
      <c r="E63" s="41" t="s">
        <v>1213</v>
      </c>
      <c r="F63" s="41" t="s">
        <v>841</v>
      </c>
      <c r="G63" s="83">
        <v>0</v>
      </c>
      <c r="H63" s="41">
        <v>0</v>
      </c>
      <c r="I63" s="41">
        <v>0</v>
      </c>
      <c r="J63" s="67">
        <f t="shared" si="0"/>
        <v>0</v>
      </c>
      <c r="K63" s="41">
        <v>0</v>
      </c>
      <c r="L63" s="41">
        <v>0</v>
      </c>
      <c r="M63" s="83">
        <f t="shared" si="1"/>
        <v>0</v>
      </c>
      <c r="N63" s="41">
        <v>0</v>
      </c>
      <c r="O63" s="41">
        <v>0</v>
      </c>
      <c r="P63" s="70">
        <f t="shared" si="2"/>
        <v>0</v>
      </c>
      <c r="Q63" s="41">
        <v>0</v>
      </c>
      <c r="R63" s="41">
        <v>0</v>
      </c>
      <c r="S63" s="70">
        <f t="shared" si="3"/>
        <v>0</v>
      </c>
      <c r="T63" s="41">
        <v>0</v>
      </c>
      <c r="U63" s="41">
        <v>0</v>
      </c>
      <c r="V63" s="70">
        <f t="shared" si="8"/>
        <v>0</v>
      </c>
      <c r="Y63" s="70">
        <f t="shared" si="4"/>
        <v>0</v>
      </c>
      <c r="AB63" s="70">
        <f t="shared" si="5"/>
        <v>0</v>
      </c>
      <c r="AE63" s="70">
        <f t="shared" si="6"/>
        <v>0</v>
      </c>
      <c r="AF63" s="28">
        <f t="shared" si="9"/>
        <v>0</v>
      </c>
      <c r="AG63" s="28">
        <f t="shared" si="7"/>
        <v>0</v>
      </c>
    </row>
    <row r="64" spans="1:38" ht="57.6" x14ac:dyDescent="0.3">
      <c r="A64" s="41" t="s">
        <v>983</v>
      </c>
      <c r="B64" s="41" t="s">
        <v>1176</v>
      </c>
      <c r="C64" s="41" t="s">
        <v>1205</v>
      </c>
      <c r="D64" s="41" t="s">
        <v>1212</v>
      </c>
      <c r="E64" s="41" t="s">
        <v>1214</v>
      </c>
      <c r="F64" s="41" t="s">
        <v>841</v>
      </c>
      <c r="G64" s="83">
        <v>0</v>
      </c>
      <c r="H64" s="41">
        <v>0</v>
      </c>
      <c r="I64" s="41">
        <v>0</v>
      </c>
      <c r="J64" s="67">
        <f t="shared" si="0"/>
        <v>0</v>
      </c>
      <c r="K64" s="41">
        <v>0</v>
      </c>
      <c r="L64" s="41">
        <v>0</v>
      </c>
      <c r="M64" s="83">
        <f t="shared" si="1"/>
        <v>0</v>
      </c>
      <c r="N64" s="41">
        <v>0</v>
      </c>
      <c r="O64" s="41">
        <v>0</v>
      </c>
      <c r="P64" s="70">
        <f t="shared" si="2"/>
        <v>0</v>
      </c>
      <c r="Q64" s="41">
        <v>0</v>
      </c>
      <c r="R64" s="41">
        <v>0</v>
      </c>
      <c r="S64" s="70">
        <f t="shared" si="3"/>
        <v>0</v>
      </c>
      <c r="T64" s="41">
        <v>0</v>
      </c>
      <c r="U64" s="41">
        <v>0</v>
      </c>
      <c r="V64" s="70">
        <f t="shared" si="8"/>
        <v>0</v>
      </c>
      <c r="Y64" s="70">
        <f t="shared" si="4"/>
        <v>0</v>
      </c>
      <c r="AB64" s="70">
        <f t="shared" si="5"/>
        <v>0</v>
      </c>
      <c r="AE64" s="70">
        <f t="shared" si="6"/>
        <v>0</v>
      </c>
      <c r="AF64" s="28">
        <f t="shared" si="9"/>
        <v>0</v>
      </c>
      <c r="AG64" s="28">
        <f t="shared" si="7"/>
        <v>0</v>
      </c>
    </row>
    <row r="65" spans="1:48" ht="57.6" x14ac:dyDescent="0.3">
      <c r="A65" s="41" t="s">
        <v>983</v>
      </c>
      <c r="B65" s="41" t="s">
        <v>1176</v>
      </c>
      <c r="C65" s="41" t="s">
        <v>1205</v>
      </c>
      <c r="D65" s="41" t="s">
        <v>1212</v>
      </c>
      <c r="E65" s="41" t="s">
        <v>1215</v>
      </c>
      <c r="F65" s="41" t="s">
        <v>841</v>
      </c>
      <c r="G65" s="83">
        <v>0</v>
      </c>
      <c r="H65" s="41">
        <v>0</v>
      </c>
      <c r="I65" s="41">
        <v>0</v>
      </c>
      <c r="J65" s="67">
        <f t="shared" si="0"/>
        <v>0</v>
      </c>
      <c r="K65" s="41">
        <v>0</v>
      </c>
      <c r="L65" s="41">
        <v>0</v>
      </c>
      <c r="M65" s="83">
        <f t="shared" si="1"/>
        <v>0</v>
      </c>
      <c r="N65" s="41">
        <v>0</v>
      </c>
      <c r="O65" s="41">
        <v>0</v>
      </c>
      <c r="P65" s="70">
        <f t="shared" si="2"/>
        <v>0</v>
      </c>
      <c r="Q65" s="41">
        <v>0</v>
      </c>
      <c r="R65" s="41">
        <v>0</v>
      </c>
      <c r="S65" s="70">
        <f t="shared" si="3"/>
        <v>0</v>
      </c>
      <c r="T65" s="41">
        <v>0</v>
      </c>
      <c r="U65" s="41">
        <v>0</v>
      </c>
      <c r="V65" s="70">
        <f t="shared" si="8"/>
        <v>0</v>
      </c>
      <c r="Y65" s="70">
        <f t="shared" si="4"/>
        <v>0</v>
      </c>
      <c r="AB65" s="70">
        <f t="shared" si="5"/>
        <v>0</v>
      </c>
      <c r="AE65" s="70">
        <f t="shared" si="6"/>
        <v>0</v>
      </c>
      <c r="AF65" s="28">
        <f t="shared" si="9"/>
        <v>0</v>
      </c>
      <c r="AG65" s="28">
        <f t="shared" si="7"/>
        <v>0</v>
      </c>
    </row>
    <row r="66" spans="1:48" ht="57.6" x14ac:dyDescent="0.3">
      <c r="A66" s="41" t="s">
        <v>983</v>
      </c>
      <c r="B66" s="41" t="s">
        <v>1176</v>
      </c>
      <c r="C66" s="41" t="s">
        <v>1205</v>
      </c>
      <c r="D66" s="41" t="s">
        <v>1212</v>
      </c>
      <c r="E66" s="41" t="s">
        <v>1216</v>
      </c>
      <c r="F66" s="41" t="s">
        <v>709</v>
      </c>
      <c r="G66" s="83">
        <v>35000</v>
      </c>
      <c r="H66" s="41">
        <v>25</v>
      </c>
      <c r="I66" s="41">
        <v>5</v>
      </c>
      <c r="J66" s="67">
        <f t="shared" si="0"/>
        <v>4375000</v>
      </c>
      <c r="K66" s="41">
        <v>0</v>
      </c>
      <c r="L66" s="41">
        <v>0</v>
      </c>
      <c r="M66" s="83">
        <f t="shared" si="1"/>
        <v>0</v>
      </c>
      <c r="N66" s="41">
        <v>0</v>
      </c>
      <c r="O66" s="41">
        <v>0</v>
      </c>
      <c r="P66" s="70">
        <f t="shared" si="2"/>
        <v>0</v>
      </c>
      <c r="Q66" s="41">
        <v>0</v>
      </c>
      <c r="R66" s="41">
        <v>0</v>
      </c>
      <c r="S66" s="70">
        <f t="shared" si="3"/>
        <v>0</v>
      </c>
      <c r="T66" s="41">
        <v>0</v>
      </c>
      <c r="U66" s="41">
        <v>0</v>
      </c>
      <c r="V66" s="70">
        <f t="shared" si="8"/>
        <v>0</v>
      </c>
      <c r="Y66" s="70">
        <f t="shared" si="4"/>
        <v>0</v>
      </c>
      <c r="AB66" s="70">
        <f t="shared" si="5"/>
        <v>0</v>
      </c>
      <c r="AE66" s="70">
        <f t="shared" si="6"/>
        <v>0</v>
      </c>
      <c r="AF66" s="28">
        <f t="shared" si="9"/>
        <v>4375000</v>
      </c>
      <c r="AG66" s="28">
        <f t="shared" si="7"/>
        <v>4247.5728155339802</v>
      </c>
    </row>
    <row r="67" spans="1:48" ht="57.6" x14ac:dyDescent="0.3">
      <c r="A67" s="41" t="s">
        <v>983</v>
      </c>
      <c r="B67" s="41" t="s">
        <v>1176</v>
      </c>
      <c r="C67" s="41" t="s">
        <v>1205</v>
      </c>
      <c r="D67" s="41" t="s">
        <v>1212</v>
      </c>
      <c r="E67" s="41" t="s">
        <v>1216</v>
      </c>
      <c r="F67" s="41" t="s">
        <v>716</v>
      </c>
      <c r="G67" s="83">
        <v>39000</v>
      </c>
      <c r="H67" s="41">
        <v>25</v>
      </c>
      <c r="I67" s="41">
        <v>10</v>
      </c>
      <c r="J67" s="67">
        <f t="shared" ref="J67:J133" si="10">G67*H67*I67</f>
        <v>9750000</v>
      </c>
      <c r="K67" s="41">
        <v>25</v>
      </c>
      <c r="L67" s="41">
        <v>10</v>
      </c>
      <c r="M67" s="83">
        <f t="shared" ref="M67:M130" si="11">(G67*1.1)*K67*L67</f>
        <v>10725000</v>
      </c>
      <c r="N67" s="41">
        <v>25</v>
      </c>
      <c r="O67" s="41">
        <v>10</v>
      </c>
      <c r="P67" s="70">
        <f t="shared" ref="P67:P130" si="12">($G67*1.1^2)*N67*O67</f>
        <v>11797500.000000002</v>
      </c>
      <c r="Q67" s="41">
        <v>25</v>
      </c>
      <c r="R67" s="41">
        <v>10</v>
      </c>
      <c r="S67" s="70">
        <f t="shared" ref="S67:S130" si="13">($G67*1.1^3)*Q67*R67</f>
        <v>12977250.000000004</v>
      </c>
      <c r="T67" s="41">
        <v>25</v>
      </c>
      <c r="U67" s="41">
        <v>10</v>
      </c>
      <c r="V67" s="70">
        <f t="shared" ref="V67:V130" si="14">($G67*1.1^4)*T67*U67</f>
        <v>14274975.000000004</v>
      </c>
      <c r="W67" s="41">
        <v>25</v>
      </c>
      <c r="X67" s="41">
        <v>10</v>
      </c>
      <c r="Y67" s="70">
        <f t="shared" ref="Y67:Y130" si="15">($G67*1.1^5)*W67*X67</f>
        <v>15702472.500000004</v>
      </c>
      <c r="Z67" s="41">
        <v>25</v>
      </c>
      <c r="AA67" s="41">
        <v>10</v>
      </c>
      <c r="AB67" s="70">
        <f t="shared" ref="AB67:AB130" si="16">($G67*1.1^6)*Z67*AA67</f>
        <v>17272719.750000007</v>
      </c>
      <c r="AC67" s="41">
        <v>25</v>
      </c>
      <c r="AD67" s="41">
        <v>10</v>
      </c>
      <c r="AE67" s="70">
        <f t="shared" ref="AE67:AE130" si="17">($G67*1.1^7)*AC67*AD67</f>
        <v>18999991.725000009</v>
      </c>
      <c r="AF67" s="28">
        <f t="shared" ref="AF67:AF130" si="18">J67+M67+P67+S67+V67+Y67+AB67+AE67</f>
        <v>111499908.97500001</v>
      </c>
      <c r="AG67" s="28">
        <f t="shared" ref="AG67:AG130" si="19">AF67/$AL$2</f>
        <v>108252.33881067962</v>
      </c>
    </row>
    <row r="68" spans="1:48" ht="57.6" x14ac:dyDescent="0.3">
      <c r="A68" s="41" t="s">
        <v>983</v>
      </c>
      <c r="B68" s="41" t="s">
        <v>1176</v>
      </c>
      <c r="C68" s="41" t="s">
        <v>1205</v>
      </c>
      <c r="D68" s="41" t="s">
        <v>1212</v>
      </c>
      <c r="E68" s="41" t="s">
        <v>1216</v>
      </c>
      <c r="F68" s="41" t="s">
        <v>712</v>
      </c>
      <c r="G68" s="83">
        <f>1999.2/7</f>
        <v>285.60000000000002</v>
      </c>
      <c r="H68" s="41">
        <f>25*2*9</f>
        <v>450</v>
      </c>
      <c r="I68" s="41">
        <v>10</v>
      </c>
      <c r="J68" s="67">
        <f t="shared" si="10"/>
        <v>1285200.0000000002</v>
      </c>
      <c r="K68" s="41">
        <f>25*2*9</f>
        <v>450</v>
      </c>
      <c r="L68" s="41">
        <v>10</v>
      </c>
      <c r="M68" s="83">
        <f t="shared" si="11"/>
        <v>1413720</v>
      </c>
      <c r="N68" s="41">
        <f>25*2*9</f>
        <v>450</v>
      </c>
      <c r="O68" s="41">
        <v>10</v>
      </c>
      <c r="P68" s="70">
        <f t="shared" si="12"/>
        <v>1555092.0000000005</v>
      </c>
      <c r="Q68" s="41">
        <f>25*2*9</f>
        <v>450</v>
      </c>
      <c r="R68" s="41">
        <v>10</v>
      </c>
      <c r="S68" s="70">
        <f t="shared" si="13"/>
        <v>1710601.2000000009</v>
      </c>
      <c r="T68" s="41">
        <f>25*2*9</f>
        <v>450</v>
      </c>
      <c r="U68" s="41">
        <v>10</v>
      </c>
      <c r="V68" s="70">
        <f t="shared" si="14"/>
        <v>1881661.3200000008</v>
      </c>
      <c r="W68">
        <f>25*2*9</f>
        <v>450</v>
      </c>
      <c r="X68">
        <v>10</v>
      </c>
      <c r="Y68" s="70">
        <f t="shared" si="15"/>
        <v>2069827.452000001</v>
      </c>
      <c r="Z68">
        <f>25*2*9</f>
        <v>450</v>
      </c>
      <c r="AA68">
        <v>10</v>
      </c>
      <c r="AB68" s="70">
        <f t="shared" si="16"/>
        <v>2276810.1972000012</v>
      </c>
      <c r="AC68">
        <f>25*2*9</f>
        <v>450</v>
      </c>
      <c r="AD68">
        <v>10</v>
      </c>
      <c r="AE68" s="70">
        <f t="shared" si="17"/>
        <v>2504491.2169200019</v>
      </c>
      <c r="AF68" s="28">
        <f t="shared" si="18"/>
        <v>14697403.386120005</v>
      </c>
      <c r="AG68" s="28">
        <f t="shared" si="19"/>
        <v>14269.323675844664</v>
      </c>
    </row>
    <row r="69" spans="1:48" ht="57.6" x14ac:dyDescent="0.3">
      <c r="A69" s="41" t="s">
        <v>983</v>
      </c>
      <c r="B69" s="41" t="s">
        <v>1176</v>
      </c>
      <c r="C69" s="41" t="s">
        <v>1205</v>
      </c>
      <c r="D69" s="41" t="s">
        <v>1212</v>
      </c>
      <c r="E69" s="41" t="s">
        <v>1368</v>
      </c>
      <c r="F69" s="41" t="s">
        <v>1350</v>
      </c>
      <c r="G69" s="83">
        <f>1999.2/7</f>
        <v>285.60000000000002</v>
      </c>
      <c r="H69" s="41">
        <f>2*135*9</f>
        <v>2430</v>
      </c>
      <c r="I69" s="41">
        <v>1</v>
      </c>
      <c r="J69" s="67">
        <f t="shared" si="10"/>
        <v>694008</v>
      </c>
      <c r="K69" s="41">
        <f>2*135*9</f>
        <v>2430</v>
      </c>
      <c r="L69" s="41">
        <v>1</v>
      </c>
      <c r="M69" s="83">
        <f t="shared" si="11"/>
        <v>763408.8</v>
      </c>
      <c r="N69" s="41">
        <f>2*135*9</f>
        <v>2430</v>
      </c>
      <c r="O69" s="41">
        <v>1</v>
      </c>
      <c r="P69" s="70">
        <f t="shared" si="12"/>
        <v>839749.68000000017</v>
      </c>
      <c r="Q69" s="41">
        <f>2*135*9</f>
        <v>2430</v>
      </c>
      <c r="R69" s="41">
        <v>1</v>
      </c>
      <c r="S69" s="70">
        <f t="shared" si="13"/>
        <v>923724.64800000039</v>
      </c>
      <c r="T69" s="41">
        <f>2*135*9</f>
        <v>2430</v>
      </c>
      <c r="U69" s="41">
        <v>1</v>
      </c>
      <c r="V69" s="70">
        <f t="shared" si="14"/>
        <v>1016097.1128000004</v>
      </c>
      <c r="W69">
        <f>2*135*9</f>
        <v>2430</v>
      </c>
      <c r="X69">
        <v>1</v>
      </c>
      <c r="Y69" s="70">
        <f t="shared" si="15"/>
        <v>1117706.8240800004</v>
      </c>
      <c r="Z69">
        <f>2*135*9</f>
        <v>2430</v>
      </c>
      <c r="AA69">
        <v>1</v>
      </c>
      <c r="AB69" s="70">
        <f t="shared" si="16"/>
        <v>1229477.5064880007</v>
      </c>
      <c r="AC69">
        <f>2*135*9</f>
        <v>2430</v>
      </c>
      <c r="AD69">
        <v>1</v>
      </c>
      <c r="AE69" s="70">
        <f t="shared" si="17"/>
        <v>1352425.257136801</v>
      </c>
      <c r="AF69" s="28">
        <f t="shared" si="18"/>
        <v>7936597.8285048045</v>
      </c>
      <c r="AG69" s="28">
        <f t="shared" si="19"/>
        <v>7705.4347849561209</v>
      </c>
    </row>
    <row r="70" spans="1:48" ht="57.6" x14ac:dyDescent="0.3">
      <c r="A70" s="41" t="s">
        <v>983</v>
      </c>
      <c r="B70" s="41" t="s">
        <v>1176</v>
      </c>
      <c r="C70" s="41" t="s">
        <v>1205</v>
      </c>
      <c r="D70" s="41" t="s">
        <v>1212</v>
      </c>
      <c r="E70" s="41" t="s">
        <v>1217</v>
      </c>
      <c r="F70" s="41" t="s">
        <v>841</v>
      </c>
      <c r="G70" s="83">
        <v>0</v>
      </c>
      <c r="H70" s="41">
        <v>4000</v>
      </c>
      <c r="I70" s="41">
        <v>2</v>
      </c>
      <c r="J70" s="67">
        <f t="shared" si="10"/>
        <v>0</v>
      </c>
      <c r="K70" s="41">
        <v>4000</v>
      </c>
      <c r="L70" s="41">
        <v>2</v>
      </c>
      <c r="M70" s="83">
        <f t="shared" si="11"/>
        <v>0</v>
      </c>
      <c r="N70" s="41">
        <v>4000</v>
      </c>
      <c r="O70" s="41">
        <v>2</v>
      </c>
      <c r="P70" s="70">
        <f t="shared" si="12"/>
        <v>0</v>
      </c>
      <c r="Q70" s="41">
        <v>4000</v>
      </c>
      <c r="R70" s="41">
        <v>2</v>
      </c>
      <c r="S70" s="70">
        <f t="shared" si="13"/>
        <v>0</v>
      </c>
      <c r="T70" s="41">
        <v>4000</v>
      </c>
      <c r="U70" s="41">
        <v>2</v>
      </c>
      <c r="V70" s="70">
        <f t="shared" si="14"/>
        <v>0</v>
      </c>
      <c r="Y70" s="70">
        <f t="shared" si="15"/>
        <v>0</v>
      </c>
      <c r="AB70" s="70">
        <f t="shared" si="16"/>
        <v>0</v>
      </c>
      <c r="AE70" s="70">
        <f t="shared" si="17"/>
        <v>0</v>
      </c>
      <c r="AF70" s="28">
        <f t="shared" si="18"/>
        <v>0</v>
      </c>
      <c r="AG70" s="28">
        <f t="shared" si="19"/>
        <v>0</v>
      </c>
    </row>
    <row r="71" spans="1:48" ht="57.6" x14ac:dyDescent="0.3">
      <c r="A71" s="41" t="s">
        <v>983</v>
      </c>
      <c r="B71" s="41" t="s">
        <v>1176</v>
      </c>
      <c r="C71" s="41" t="s">
        <v>1205</v>
      </c>
      <c r="D71" s="41" t="s">
        <v>1218</v>
      </c>
      <c r="E71" s="41" t="s">
        <v>1219</v>
      </c>
      <c r="F71" s="41" t="s">
        <v>709</v>
      </c>
      <c r="G71" s="83">
        <v>35000</v>
      </c>
      <c r="H71" s="41">
        <v>25</v>
      </c>
      <c r="I71" s="41">
        <v>3</v>
      </c>
      <c r="J71" s="67">
        <f t="shared" si="10"/>
        <v>2625000</v>
      </c>
      <c r="K71" s="41">
        <v>0</v>
      </c>
      <c r="L71" s="41">
        <v>0</v>
      </c>
      <c r="M71" s="83">
        <f t="shared" si="11"/>
        <v>0</v>
      </c>
      <c r="N71" s="41">
        <v>0</v>
      </c>
      <c r="O71" s="41">
        <v>0</v>
      </c>
      <c r="P71" s="70">
        <f t="shared" si="12"/>
        <v>0</v>
      </c>
      <c r="Q71" s="41">
        <v>0</v>
      </c>
      <c r="R71" s="41">
        <v>0</v>
      </c>
      <c r="S71" s="70">
        <f t="shared" si="13"/>
        <v>0</v>
      </c>
      <c r="T71" s="41">
        <v>0</v>
      </c>
      <c r="U71" s="41">
        <v>0</v>
      </c>
      <c r="V71" s="70">
        <f t="shared" si="14"/>
        <v>0</v>
      </c>
      <c r="Y71" s="70">
        <f t="shared" si="15"/>
        <v>0</v>
      </c>
      <c r="AB71" s="70">
        <f t="shared" si="16"/>
        <v>0</v>
      </c>
      <c r="AE71" s="70">
        <f t="shared" si="17"/>
        <v>0</v>
      </c>
      <c r="AF71" s="28">
        <f t="shared" si="18"/>
        <v>2625000</v>
      </c>
      <c r="AG71" s="28">
        <f t="shared" si="19"/>
        <v>2548.5436893203882</v>
      </c>
    </row>
    <row r="72" spans="1:48" ht="57.6" x14ac:dyDescent="0.3">
      <c r="A72" s="41" t="s">
        <v>983</v>
      </c>
      <c r="B72" s="41" t="s">
        <v>1176</v>
      </c>
      <c r="C72" s="41" t="s">
        <v>1205</v>
      </c>
      <c r="D72" s="41" t="s">
        <v>1218</v>
      </c>
      <c r="E72" s="41" t="s">
        <v>1219</v>
      </c>
      <c r="F72" s="41" t="s">
        <v>716</v>
      </c>
      <c r="G72" s="83">
        <v>39000</v>
      </c>
      <c r="J72" s="28"/>
      <c r="K72" s="41"/>
      <c r="L72" s="41"/>
      <c r="M72" s="83">
        <f t="shared" si="11"/>
        <v>0</v>
      </c>
      <c r="N72" s="41">
        <v>25</v>
      </c>
      <c r="O72" s="41">
        <v>4</v>
      </c>
      <c r="P72" s="70">
        <f t="shared" si="12"/>
        <v>4719000.0000000009</v>
      </c>
      <c r="Q72" s="41"/>
      <c r="R72" s="41"/>
      <c r="S72" s="70">
        <f t="shared" si="13"/>
        <v>0</v>
      </c>
      <c r="T72" s="41">
        <v>25</v>
      </c>
      <c r="U72" s="41">
        <v>4</v>
      </c>
      <c r="V72" s="70">
        <f t="shared" si="14"/>
        <v>5709990.0000000019</v>
      </c>
      <c r="Y72" s="70">
        <f t="shared" si="15"/>
        <v>0</v>
      </c>
      <c r="AB72" s="70">
        <f t="shared" si="16"/>
        <v>0</v>
      </c>
      <c r="AE72" s="70">
        <f t="shared" si="17"/>
        <v>0</v>
      </c>
      <c r="AF72" s="28">
        <f t="shared" si="18"/>
        <v>10428990.000000004</v>
      </c>
      <c r="AG72" s="28">
        <f t="shared" si="19"/>
        <v>10125.233009708742</v>
      </c>
    </row>
    <row r="73" spans="1:48" ht="57.6" x14ac:dyDescent="0.3">
      <c r="A73" s="41" t="s">
        <v>983</v>
      </c>
      <c r="B73" s="41" t="s">
        <v>1176</v>
      </c>
      <c r="C73" s="41" t="s">
        <v>1205</v>
      </c>
      <c r="D73" s="41" t="s">
        <v>1218</v>
      </c>
      <c r="E73" s="41" t="s">
        <v>1219</v>
      </c>
      <c r="F73" s="41" t="s">
        <v>712</v>
      </c>
      <c r="G73" s="83">
        <f>1999.2/7</f>
        <v>285.60000000000002</v>
      </c>
      <c r="J73" s="28"/>
      <c r="K73" s="41"/>
      <c r="L73" s="41"/>
      <c r="M73" s="83">
        <f t="shared" si="11"/>
        <v>0</v>
      </c>
      <c r="N73" s="41">
        <f>25*2*9</f>
        <v>450</v>
      </c>
      <c r="O73" s="41">
        <v>3</v>
      </c>
      <c r="P73" s="70">
        <f t="shared" si="12"/>
        <v>466527.60000000009</v>
      </c>
      <c r="Q73" s="41"/>
      <c r="R73" s="41"/>
      <c r="S73" s="70">
        <f t="shared" si="13"/>
        <v>0</v>
      </c>
      <c r="T73" s="41">
        <f>25*2*9</f>
        <v>450</v>
      </c>
      <c r="U73" s="41">
        <v>3</v>
      </c>
      <c r="V73" s="70">
        <f t="shared" si="14"/>
        <v>564498.39600000018</v>
      </c>
      <c r="Y73" s="70">
        <f t="shared" si="15"/>
        <v>0</v>
      </c>
      <c r="AB73" s="70">
        <f t="shared" si="16"/>
        <v>0</v>
      </c>
      <c r="AE73" s="70">
        <f t="shared" si="17"/>
        <v>0</v>
      </c>
      <c r="AF73" s="28">
        <f t="shared" si="18"/>
        <v>1031025.9960000003</v>
      </c>
      <c r="AG73" s="28">
        <f t="shared" si="19"/>
        <v>1000.9961126213595</v>
      </c>
    </row>
    <row r="74" spans="1:48" ht="57.6" x14ac:dyDescent="0.3">
      <c r="A74" s="41" t="s">
        <v>983</v>
      </c>
      <c r="B74" s="41" t="s">
        <v>1176</v>
      </c>
      <c r="C74" s="41" t="s">
        <v>1205</v>
      </c>
      <c r="D74" s="41" t="s">
        <v>1218</v>
      </c>
      <c r="E74" s="41" t="s">
        <v>1219</v>
      </c>
      <c r="F74" s="41" t="s">
        <v>1350</v>
      </c>
      <c r="G74" s="83">
        <f>1999.2/7</f>
        <v>285.60000000000002</v>
      </c>
      <c r="J74" s="28"/>
      <c r="K74" s="41">
        <v>0</v>
      </c>
      <c r="L74" s="41">
        <v>0</v>
      </c>
      <c r="M74" s="83">
        <f t="shared" si="11"/>
        <v>0</v>
      </c>
      <c r="N74" s="41">
        <f>2*135*9</f>
        <v>2430</v>
      </c>
      <c r="O74" s="41">
        <v>1</v>
      </c>
      <c r="P74" s="70">
        <f t="shared" si="12"/>
        <v>839749.68000000017</v>
      </c>
      <c r="Q74" s="41">
        <v>0</v>
      </c>
      <c r="R74" s="41">
        <v>0</v>
      </c>
      <c r="S74" s="70">
        <f t="shared" si="13"/>
        <v>0</v>
      </c>
      <c r="T74" s="41">
        <f>2*135*9</f>
        <v>2430</v>
      </c>
      <c r="U74" s="41">
        <v>1</v>
      </c>
      <c r="V74" s="70">
        <f t="shared" si="14"/>
        <v>1016097.1128000004</v>
      </c>
      <c r="Y74" s="70">
        <f t="shared" si="15"/>
        <v>0</v>
      </c>
      <c r="AB74" s="70">
        <f t="shared" si="16"/>
        <v>0</v>
      </c>
      <c r="AE74" s="70">
        <f t="shared" si="17"/>
        <v>0</v>
      </c>
      <c r="AF74" s="28">
        <f t="shared" si="18"/>
        <v>1855846.7928000004</v>
      </c>
      <c r="AG74" s="28">
        <f t="shared" si="19"/>
        <v>1801.793002718447</v>
      </c>
    </row>
    <row r="75" spans="1:48" ht="57.6" x14ac:dyDescent="0.3">
      <c r="A75" s="41" t="s">
        <v>983</v>
      </c>
      <c r="B75" s="41" t="s">
        <v>1176</v>
      </c>
      <c r="C75" s="41" t="s">
        <v>1205</v>
      </c>
      <c r="D75" s="41" t="s">
        <v>1218</v>
      </c>
      <c r="E75" s="41" t="s">
        <v>1220</v>
      </c>
      <c r="F75" s="41" t="s">
        <v>841</v>
      </c>
      <c r="G75" s="83">
        <v>0</v>
      </c>
      <c r="H75" s="41">
        <v>0</v>
      </c>
      <c r="I75" s="41">
        <v>0</v>
      </c>
      <c r="J75" s="67">
        <f t="shared" si="10"/>
        <v>0</v>
      </c>
      <c r="K75" s="41">
        <v>25</v>
      </c>
      <c r="L75" s="41">
        <v>2</v>
      </c>
      <c r="M75" s="83">
        <f t="shared" si="11"/>
        <v>0</v>
      </c>
      <c r="N75" s="41">
        <v>0</v>
      </c>
      <c r="O75" s="41">
        <v>0</v>
      </c>
      <c r="P75" s="70">
        <f t="shared" si="12"/>
        <v>0</v>
      </c>
      <c r="Q75" s="41">
        <v>0</v>
      </c>
      <c r="R75" s="41">
        <v>0</v>
      </c>
      <c r="S75" s="70">
        <f t="shared" si="13"/>
        <v>0</v>
      </c>
      <c r="T75" s="41">
        <v>0</v>
      </c>
      <c r="U75" s="41">
        <v>0</v>
      </c>
      <c r="V75" s="70">
        <f t="shared" si="14"/>
        <v>0</v>
      </c>
      <c r="Y75" s="70">
        <f t="shared" si="15"/>
        <v>0</v>
      </c>
      <c r="AB75" s="70">
        <f t="shared" si="16"/>
        <v>0</v>
      </c>
      <c r="AE75" s="70">
        <f t="shared" si="17"/>
        <v>0</v>
      </c>
      <c r="AF75" s="28">
        <f t="shared" si="18"/>
        <v>0</v>
      </c>
      <c r="AG75" s="28">
        <f t="shared" si="19"/>
        <v>0</v>
      </c>
    </row>
    <row r="76" spans="1:48" x14ac:dyDescent="0.3">
      <c r="A76" s="91" t="s">
        <v>1409</v>
      </c>
      <c r="B76" s="91"/>
      <c r="C76" s="91"/>
      <c r="D76" s="91"/>
      <c r="E76" s="91"/>
      <c r="F76" s="91"/>
      <c r="G76" s="92"/>
      <c r="H76" s="91"/>
      <c r="I76" s="91"/>
      <c r="J76" s="93">
        <f>SUM(J56:J75)</f>
        <v>45384568</v>
      </c>
      <c r="K76" s="91"/>
      <c r="L76" s="91"/>
      <c r="M76" s="93">
        <f>SUM(M56:M75)</f>
        <v>42223024.799999997</v>
      </c>
      <c r="N76" s="91"/>
      <c r="O76" s="91"/>
      <c r="P76" s="93">
        <f>SUM(P56:P75)</f>
        <v>52470604.56000001</v>
      </c>
      <c r="Q76" s="91"/>
      <c r="R76" s="91"/>
      <c r="S76" s="93">
        <f>SUM(S56:S75)</f>
        <v>51089860.008000016</v>
      </c>
      <c r="T76" s="91"/>
      <c r="U76" s="91"/>
      <c r="V76" s="93">
        <f>SUM(V56:V75)</f>
        <v>63489431.517600022</v>
      </c>
      <c r="W76" s="94"/>
      <c r="X76" s="94"/>
      <c r="Y76" s="93">
        <f>SUM(Y56:Y75)</f>
        <v>61818730.609680012</v>
      </c>
      <c r="Z76" s="94"/>
      <c r="AA76" s="94"/>
      <c r="AB76" s="93">
        <f>SUM(AB56:AB75)</f>
        <v>68000603.670648023</v>
      </c>
      <c r="AC76" s="94"/>
      <c r="AD76" s="94"/>
      <c r="AE76" s="93">
        <f>SUM(AE56:AE75)</f>
        <v>74800664.037712842</v>
      </c>
      <c r="AF76" s="95">
        <f t="shared" si="18"/>
        <v>459277487.20364094</v>
      </c>
      <c r="AG76" s="95">
        <f t="shared" si="19"/>
        <v>445900.47301324364</v>
      </c>
      <c r="AH76" s="94"/>
      <c r="AI76" s="94"/>
      <c r="AJ76" s="94"/>
      <c r="AK76" s="94"/>
      <c r="AL76" s="94"/>
      <c r="AM76" s="94"/>
      <c r="AN76" s="94"/>
      <c r="AO76" s="94"/>
      <c r="AP76" s="94"/>
      <c r="AQ76" s="94"/>
      <c r="AR76" s="94"/>
      <c r="AS76" s="94"/>
      <c r="AT76" s="94"/>
      <c r="AU76" s="94"/>
      <c r="AV76" s="94"/>
    </row>
    <row r="77" spans="1:48" x14ac:dyDescent="0.3">
      <c r="A77" s="63" t="s">
        <v>1438</v>
      </c>
      <c r="B77" s="41"/>
      <c r="C77" s="41"/>
      <c r="D77" s="41"/>
      <c r="E77" s="41"/>
      <c r="F77" s="41"/>
      <c r="G77" s="83"/>
      <c r="H77" s="41"/>
      <c r="I77" s="41"/>
      <c r="J77" s="67">
        <f>J76/$AL$2</f>
        <v>44062.687378640774</v>
      </c>
      <c r="K77" s="41"/>
      <c r="L77" s="41"/>
      <c r="M77" s="67">
        <f>M76/$AL$2</f>
        <v>40993.227961165045</v>
      </c>
      <c r="N77" s="41"/>
      <c r="O77" s="41"/>
      <c r="P77" s="67">
        <f>P76/$AL$2</f>
        <v>50942.334524271857</v>
      </c>
      <c r="Q77" s="41"/>
      <c r="R77" s="41"/>
      <c r="S77" s="67">
        <f>S76/$AL$2</f>
        <v>49601.805833009726</v>
      </c>
      <c r="T77" s="41"/>
      <c r="U77" s="41"/>
      <c r="V77" s="67">
        <f>V76/$AL$2</f>
        <v>61640.224774368951</v>
      </c>
      <c r="Y77" s="67">
        <f>Y76/$AL$2</f>
        <v>60018.185057941759</v>
      </c>
      <c r="AB77" s="67">
        <f>AB76/$AL$2</f>
        <v>66020.00356373594</v>
      </c>
      <c r="AE77" s="67">
        <f>AE76/$AL$2</f>
        <v>72622.00392010955</v>
      </c>
      <c r="AF77" s="28">
        <f t="shared" si="18"/>
        <v>445900.47301324358</v>
      </c>
      <c r="AG77" s="28">
        <f t="shared" si="19"/>
        <v>432.9130805953821</v>
      </c>
    </row>
    <row r="78" spans="1:48" ht="100.8" x14ac:dyDescent="0.3">
      <c r="A78" s="41" t="s">
        <v>983</v>
      </c>
      <c r="B78" s="41" t="s">
        <v>1176</v>
      </c>
      <c r="C78" s="41" t="s">
        <v>1221</v>
      </c>
      <c r="D78" s="41" t="s">
        <v>1222</v>
      </c>
      <c r="E78" s="41" t="s">
        <v>1223</v>
      </c>
      <c r="F78" s="41" t="s">
        <v>841</v>
      </c>
      <c r="G78" s="83">
        <v>0</v>
      </c>
      <c r="H78" s="41">
        <v>0</v>
      </c>
      <c r="I78" s="41">
        <v>0</v>
      </c>
      <c r="J78" s="67">
        <f t="shared" si="10"/>
        <v>0</v>
      </c>
      <c r="K78" s="41">
        <v>15</v>
      </c>
      <c r="L78" s="41">
        <v>1</v>
      </c>
      <c r="M78" s="83">
        <f t="shared" si="11"/>
        <v>0</v>
      </c>
      <c r="N78" s="41">
        <v>0</v>
      </c>
      <c r="O78" s="41">
        <v>0</v>
      </c>
      <c r="P78" s="70">
        <f t="shared" si="12"/>
        <v>0</v>
      </c>
      <c r="Q78" s="41">
        <v>0</v>
      </c>
      <c r="R78" s="41">
        <v>0</v>
      </c>
      <c r="S78" s="70">
        <f t="shared" si="13"/>
        <v>0</v>
      </c>
      <c r="T78" s="41">
        <v>0</v>
      </c>
      <c r="U78" s="41">
        <v>0</v>
      </c>
      <c r="V78" s="70">
        <f t="shared" si="14"/>
        <v>0</v>
      </c>
      <c r="Y78" s="70">
        <f t="shared" si="15"/>
        <v>0</v>
      </c>
      <c r="AB78" s="70">
        <f t="shared" si="16"/>
        <v>0</v>
      </c>
      <c r="AE78" s="70">
        <f t="shared" si="17"/>
        <v>0</v>
      </c>
      <c r="AF78" s="28">
        <f t="shared" si="18"/>
        <v>0</v>
      </c>
      <c r="AG78" s="28">
        <f t="shared" si="19"/>
        <v>0</v>
      </c>
    </row>
    <row r="79" spans="1:48" ht="100.8" x14ac:dyDescent="0.3">
      <c r="A79" s="41" t="s">
        <v>983</v>
      </c>
      <c r="B79" s="41" t="s">
        <v>1176</v>
      </c>
      <c r="C79" s="41" t="s">
        <v>1221</v>
      </c>
      <c r="D79" s="41" t="s">
        <v>1224</v>
      </c>
      <c r="E79" s="41" t="s">
        <v>1225</v>
      </c>
      <c r="F79" s="41" t="s">
        <v>709</v>
      </c>
      <c r="G79" s="83">
        <v>35000</v>
      </c>
      <c r="H79" s="41">
        <v>200</v>
      </c>
      <c r="I79" s="41">
        <f>3*5</f>
        <v>15</v>
      </c>
      <c r="J79" s="67">
        <f t="shared" si="10"/>
        <v>105000000</v>
      </c>
      <c r="K79" s="41">
        <v>0</v>
      </c>
      <c r="L79" s="41">
        <v>0</v>
      </c>
      <c r="M79" s="83">
        <f t="shared" si="11"/>
        <v>0</v>
      </c>
      <c r="N79" s="41">
        <v>0</v>
      </c>
      <c r="O79" s="41">
        <v>0</v>
      </c>
      <c r="P79" s="70">
        <f t="shared" si="12"/>
        <v>0</v>
      </c>
      <c r="Q79" s="41">
        <v>5</v>
      </c>
      <c r="R79" s="41">
        <v>5</v>
      </c>
      <c r="S79" s="70">
        <f t="shared" si="13"/>
        <v>1164625.0000000002</v>
      </c>
      <c r="T79" s="41">
        <v>0</v>
      </c>
      <c r="U79" s="41">
        <v>0</v>
      </c>
      <c r="V79" s="70">
        <f t="shared" si="14"/>
        <v>0</v>
      </c>
      <c r="Y79" s="70">
        <f t="shared" si="15"/>
        <v>0</v>
      </c>
      <c r="AB79" s="70">
        <f t="shared" si="16"/>
        <v>0</v>
      </c>
      <c r="AE79" s="70">
        <f t="shared" si="17"/>
        <v>0</v>
      </c>
      <c r="AF79" s="28">
        <f t="shared" si="18"/>
        <v>106164625</v>
      </c>
      <c r="AG79" s="28">
        <f t="shared" si="19"/>
        <v>103072.45145631068</v>
      </c>
    </row>
    <row r="80" spans="1:48" ht="100.8" x14ac:dyDescent="0.3">
      <c r="A80" s="41" t="s">
        <v>983</v>
      </c>
      <c r="B80" s="41" t="s">
        <v>1176</v>
      </c>
      <c r="C80" s="41" t="s">
        <v>1221</v>
      </c>
      <c r="D80" s="41" t="s">
        <v>1224</v>
      </c>
      <c r="E80" s="41" t="s">
        <v>1226</v>
      </c>
      <c r="F80" s="41" t="s">
        <v>841</v>
      </c>
      <c r="G80" s="83">
        <v>0</v>
      </c>
      <c r="H80" s="41">
        <v>0</v>
      </c>
      <c r="I80" s="41">
        <v>0</v>
      </c>
      <c r="J80" s="67">
        <f t="shared" si="10"/>
        <v>0</v>
      </c>
      <c r="K80" s="41">
        <v>0</v>
      </c>
      <c r="L80" s="41">
        <v>0</v>
      </c>
      <c r="M80" s="83">
        <f t="shared" si="11"/>
        <v>0</v>
      </c>
      <c r="N80" s="41">
        <v>0</v>
      </c>
      <c r="O80" s="41">
        <v>0</v>
      </c>
      <c r="P80" s="70">
        <f t="shared" si="12"/>
        <v>0</v>
      </c>
      <c r="Q80" s="41">
        <v>15</v>
      </c>
      <c r="R80" s="41">
        <v>3</v>
      </c>
      <c r="S80" s="70">
        <f t="shared" si="13"/>
        <v>0</v>
      </c>
      <c r="T80" s="41">
        <v>0</v>
      </c>
      <c r="U80" s="41">
        <v>0</v>
      </c>
      <c r="V80" s="70">
        <f t="shared" si="14"/>
        <v>0</v>
      </c>
      <c r="Y80" s="70">
        <f t="shared" si="15"/>
        <v>0</v>
      </c>
      <c r="AB80" s="70">
        <f t="shared" si="16"/>
        <v>0</v>
      </c>
      <c r="AE80" s="70">
        <f t="shared" si="17"/>
        <v>0</v>
      </c>
      <c r="AF80" s="28">
        <f t="shared" si="18"/>
        <v>0</v>
      </c>
      <c r="AG80" s="28">
        <f t="shared" si="19"/>
        <v>0</v>
      </c>
    </row>
    <row r="81" spans="1:33" ht="100.8" x14ac:dyDescent="0.3">
      <c r="A81" s="41" t="s">
        <v>983</v>
      </c>
      <c r="B81" s="41" t="s">
        <v>1176</v>
      </c>
      <c r="C81" s="41" t="s">
        <v>1221</v>
      </c>
      <c r="D81" s="41" t="s">
        <v>1224</v>
      </c>
      <c r="E81" s="41" t="s">
        <v>1227</v>
      </c>
      <c r="F81" s="41" t="s">
        <v>709</v>
      </c>
      <c r="G81" s="83">
        <v>35000</v>
      </c>
      <c r="J81" s="28"/>
      <c r="K81" s="41">
        <v>0</v>
      </c>
      <c r="L81" s="41">
        <v>0</v>
      </c>
      <c r="M81" s="83">
        <f t="shared" si="11"/>
        <v>0</v>
      </c>
      <c r="N81" s="41">
        <v>1000</v>
      </c>
      <c r="O81" s="41">
        <v>3</v>
      </c>
      <c r="P81" s="70">
        <f t="shared" si="12"/>
        <v>127050000.00000003</v>
      </c>
      <c r="Q81" s="41">
        <v>0</v>
      </c>
      <c r="R81" s="41">
        <v>0</v>
      </c>
      <c r="S81" s="70">
        <f t="shared" si="13"/>
        <v>0</v>
      </c>
      <c r="T81" s="41">
        <v>0</v>
      </c>
      <c r="U81" s="41">
        <v>0</v>
      </c>
      <c r="V81" s="70">
        <f t="shared" si="14"/>
        <v>0</v>
      </c>
      <c r="Y81" s="70">
        <f t="shared" si="15"/>
        <v>0</v>
      </c>
      <c r="Z81" s="41">
        <v>1000</v>
      </c>
      <c r="AA81" s="41">
        <v>3</v>
      </c>
      <c r="AB81" s="70">
        <f t="shared" si="16"/>
        <v>186013905.00000009</v>
      </c>
      <c r="AE81" s="70">
        <f t="shared" si="17"/>
        <v>0</v>
      </c>
      <c r="AF81" s="28">
        <f t="shared" si="18"/>
        <v>313063905.00000012</v>
      </c>
      <c r="AG81" s="28">
        <f t="shared" si="19"/>
        <v>303945.53883495159</v>
      </c>
    </row>
    <row r="82" spans="1:33" ht="100.8" x14ac:dyDescent="0.3">
      <c r="A82" s="41" t="s">
        <v>983</v>
      </c>
      <c r="B82" s="41" t="s">
        <v>1176</v>
      </c>
      <c r="C82" s="41" t="s">
        <v>1221</v>
      </c>
      <c r="D82" s="41" t="s">
        <v>1224</v>
      </c>
      <c r="E82" s="41" t="s">
        <v>1227</v>
      </c>
      <c r="F82" s="41" t="s">
        <v>716</v>
      </c>
      <c r="G82" s="83">
        <v>39000</v>
      </c>
      <c r="J82" s="28"/>
      <c r="K82" s="41">
        <v>0</v>
      </c>
      <c r="L82" s="41">
        <v>0</v>
      </c>
      <c r="M82" s="83">
        <f t="shared" si="11"/>
        <v>0</v>
      </c>
      <c r="N82" s="41">
        <v>1000</v>
      </c>
      <c r="O82" s="41">
        <v>4</v>
      </c>
      <c r="P82" s="70">
        <f t="shared" si="12"/>
        <v>188760000.00000003</v>
      </c>
      <c r="Q82" s="41">
        <v>150</v>
      </c>
      <c r="R82" s="41">
        <v>2</v>
      </c>
      <c r="S82" s="70">
        <f t="shared" si="13"/>
        <v>15572700.000000004</v>
      </c>
      <c r="T82" s="41">
        <v>0</v>
      </c>
      <c r="U82" s="41">
        <v>0</v>
      </c>
      <c r="V82" s="70">
        <f t="shared" si="14"/>
        <v>0</v>
      </c>
      <c r="Y82" s="70">
        <f t="shared" si="15"/>
        <v>0</v>
      </c>
      <c r="Z82" s="41">
        <v>1000</v>
      </c>
      <c r="AA82" s="41">
        <v>4</v>
      </c>
      <c r="AB82" s="70">
        <f t="shared" si="16"/>
        <v>276363516.00000012</v>
      </c>
      <c r="AE82" s="70">
        <f t="shared" si="17"/>
        <v>0</v>
      </c>
      <c r="AF82" s="28">
        <f t="shared" si="18"/>
        <v>480696216.00000012</v>
      </c>
      <c r="AG82" s="28">
        <f t="shared" si="19"/>
        <v>466695.35533980594</v>
      </c>
    </row>
    <row r="83" spans="1:33" ht="100.8" x14ac:dyDescent="0.3">
      <c r="A83" s="41" t="s">
        <v>983</v>
      </c>
      <c r="B83" s="41" t="s">
        <v>1176</v>
      </c>
      <c r="C83" s="41" t="s">
        <v>1221</v>
      </c>
      <c r="D83" s="41" t="s">
        <v>1224</v>
      </c>
      <c r="E83" s="41" t="s">
        <v>1227</v>
      </c>
      <c r="F83" s="41" t="s">
        <v>1350</v>
      </c>
      <c r="G83" s="83">
        <f>1999.2/7</f>
        <v>285.60000000000002</v>
      </c>
      <c r="J83" s="28"/>
      <c r="K83" s="41"/>
      <c r="L83" s="41"/>
      <c r="M83" s="83">
        <f t="shared" si="11"/>
        <v>0</v>
      </c>
      <c r="N83" s="41">
        <f>22500*3</f>
        <v>67500</v>
      </c>
      <c r="O83" s="41">
        <v>1</v>
      </c>
      <c r="P83" s="70">
        <f t="shared" si="12"/>
        <v>23326380.000000004</v>
      </c>
      <c r="Q83" s="41"/>
      <c r="R83" s="41"/>
      <c r="S83" s="70">
        <f t="shared" si="13"/>
        <v>0</v>
      </c>
      <c r="T83" s="41"/>
      <c r="U83" s="41"/>
      <c r="V83" s="70">
        <f t="shared" si="14"/>
        <v>0</v>
      </c>
      <c r="Y83" s="70">
        <f t="shared" si="15"/>
        <v>0</v>
      </c>
      <c r="Z83" s="41">
        <f>22500*3</f>
        <v>67500</v>
      </c>
      <c r="AA83" s="41">
        <v>1</v>
      </c>
      <c r="AB83" s="70">
        <f t="shared" si="16"/>
        <v>34152152.958000019</v>
      </c>
      <c r="AE83" s="70">
        <f t="shared" si="17"/>
        <v>0</v>
      </c>
      <c r="AF83" s="28">
        <f t="shared" si="18"/>
        <v>57478532.958000019</v>
      </c>
      <c r="AG83" s="28">
        <f t="shared" si="19"/>
        <v>55804.400930097108</v>
      </c>
    </row>
    <row r="84" spans="1:33" ht="100.8" x14ac:dyDescent="0.3">
      <c r="A84" s="41" t="s">
        <v>983</v>
      </c>
      <c r="B84" s="41" t="s">
        <v>1176</v>
      </c>
      <c r="C84" s="41" t="s">
        <v>1221</v>
      </c>
      <c r="D84" s="41" t="s">
        <v>1224</v>
      </c>
      <c r="E84" s="41" t="s">
        <v>1227</v>
      </c>
      <c r="F84" s="41" t="s">
        <v>712</v>
      </c>
      <c r="G84" s="83">
        <f>1999.2/7</f>
        <v>285.60000000000002</v>
      </c>
      <c r="J84" s="28"/>
      <c r="K84" s="41">
        <v>0</v>
      </c>
      <c r="L84" s="41">
        <v>0</v>
      </c>
      <c r="M84" s="83">
        <f t="shared" si="11"/>
        <v>0</v>
      </c>
      <c r="N84" s="41">
        <v>45000</v>
      </c>
      <c r="O84" s="41">
        <v>3</v>
      </c>
      <c r="P84" s="70">
        <f t="shared" si="12"/>
        <v>46652760.000000015</v>
      </c>
      <c r="Q84" s="41">
        <v>140</v>
      </c>
      <c r="R84" s="41">
        <v>3</v>
      </c>
      <c r="S84" s="70">
        <f t="shared" si="13"/>
        <v>159656.11200000008</v>
      </c>
      <c r="T84" s="41">
        <v>0</v>
      </c>
      <c r="U84" s="41">
        <v>0</v>
      </c>
      <c r="V84" s="70">
        <f t="shared" si="14"/>
        <v>0</v>
      </c>
      <c r="Y84" s="70">
        <f t="shared" si="15"/>
        <v>0</v>
      </c>
      <c r="Z84" s="41">
        <v>45000</v>
      </c>
      <c r="AA84" s="41">
        <v>3</v>
      </c>
      <c r="AB84" s="70">
        <f t="shared" si="16"/>
        <v>68304305.916000038</v>
      </c>
      <c r="AE84" s="70">
        <f t="shared" si="17"/>
        <v>0</v>
      </c>
      <c r="AF84" s="28">
        <f t="shared" si="18"/>
        <v>115116722.02800006</v>
      </c>
      <c r="AG84" s="28">
        <f t="shared" si="19"/>
        <v>111763.80779417481</v>
      </c>
    </row>
    <row r="85" spans="1:33" ht="100.8" x14ac:dyDescent="0.3">
      <c r="A85" s="41" t="s">
        <v>983</v>
      </c>
      <c r="B85" s="41" t="s">
        <v>1176</v>
      </c>
      <c r="C85" s="41" t="s">
        <v>1221</v>
      </c>
      <c r="D85" s="41" t="s">
        <v>1228</v>
      </c>
      <c r="E85" s="41" t="s">
        <v>1229</v>
      </c>
      <c r="F85" s="41" t="s">
        <v>709</v>
      </c>
      <c r="G85" s="83">
        <v>35000</v>
      </c>
      <c r="J85" s="28"/>
      <c r="K85" s="41">
        <v>0</v>
      </c>
      <c r="L85" s="41">
        <v>0</v>
      </c>
      <c r="M85" s="83">
        <f t="shared" si="11"/>
        <v>0</v>
      </c>
      <c r="N85" s="41">
        <v>0</v>
      </c>
      <c r="O85" s="41">
        <v>0</v>
      </c>
      <c r="P85" s="70">
        <f t="shared" si="12"/>
        <v>0</v>
      </c>
      <c r="Q85" s="41">
        <v>25</v>
      </c>
      <c r="R85" s="41">
        <v>15</v>
      </c>
      <c r="S85" s="70">
        <f t="shared" si="13"/>
        <v>17469375.000000007</v>
      </c>
      <c r="T85" s="41">
        <v>0</v>
      </c>
      <c r="U85" s="41">
        <v>0</v>
      </c>
      <c r="V85" s="70">
        <f t="shared" si="14"/>
        <v>0</v>
      </c>
      <c r="Y85" s="70">
        <f t="shared" si="15"/>
        <v>0</v>
      </c>
      <c r="AB85" s="70">
        <f t="shared" si="16"/>
        <v>0</v>
      </c>
      <c r="AE85" s="70">
        <f t="shared" si="17"/>
        <v>0</v>
      </c>
      <c r="AF85" s="28">
        <f t="shared" si="18"/>
        <v>17469375.000000007</v>
      </c>
      <c r="AG85" s="28">
        <f t="shared" si="19"/>
        <v>16960.558252427192</v>
      </c>
    </row>
    <row r="86" spans="1:33" ht="100.8" x14ac:dyDescent="0.3">
      <c r="A86" s="41" t="s">
        <v>983</v>
      </c>
      <c r="B86" s="41" t="s">
        <v>1176</v>
      </c>
      <c r="C86" s="41" t="s">
        <v>1221</v>
      </c>
      <c r="D86" s="41" t="s">
        <v>1228</v>
      </c>
      <c r="E86" s="41" t="s">
        <v>1229</v>
      </c>
      <c r="F86" s="41" t="s">
        <v>716</v>
      </c>
      <c r="G86" s="83">
        <v>39000</v>
      </c>
      <c r="J86" s="28"/>
      <c r="K86" s="41">
        <v>0</v>
      </c>
      <c r="L86" s="41">
        <v>0</v>
      </c>
      <c r="M86" s="83">
        <f t="shared" si="11"/>
        <v>0</v>
      </c>
      <c r="N86" s="41">
        <v>0</v>
      </c>
      <c r="O86" s="41">
        <v>0</v>
      </c>
      <c r="P86" s="70">
        <f t="shared" si="12"/>
        <v>0</v>
      </c>
      <c r="Q86" s="41">
        <v>25</v>
      </c>
      <c r="R86" s="41">
        <v>6</v>
      </c>
      <c r="S86" s="70">
        <f t="shared" si="13"/>
        <v>7786350.0000000028</v>
      </c>
      <c r="T86" s="41">
        <v>0</v>
      </c>
      <c r="U86" s="41">
        <v>0</v>
      </c>
      <c r="V86" s="70">
        <f t="shared" si="14"/>
        <v>0</v>
      </c>
      <c r="Y86" s="70">
        <f t="shared" si="15"/>
        <v>0</v>
      </c>
      <c r="AB86" s="70">
        <f t="shared" si="16"/>
        <v>0</v>
      </c>
      <c r="AE86" s="70">
        <f t="shared" si="17"/>
        <v>0</v>
      </c>
      <c r="AF86" s="28">
        <f t="shared" si="18"/>
        <v>7786350.0000000028</v>
      </c>
      <c r="AG86" s="28">
        <f t="shared" si="19"/>
        <v>7559.5631067961194</v>
      </c>
    </row>
    <row r="87" spans="1:33" ht="100.8" x14ac:dyDescent="0.3">
      <c r="A87" s="41" t="s">
        <v>983</v>
      </c>
      <c r="B87" s="41" t="s">
        <v>1176</v>
      </c>
      <c r="C87" s="41" t="s">
        <v>1221</v>
      </c>
      <c r="D87" s="41" t="s">
        <v>1228</v>
      </c>
      <c r="E87" s="41" t="s">
        <v>1229</v>
      </c>
      <c r="F87" s="41" t="s">
        <v>1350</v>
      </c>
      <c r="G87" s="83">
        <f>1999.2/7</f>
        <v>285.60000000000002</v>
      </c>
      <c r="J87" s="28"/>
      <c r="K87" s="41"/>
      <c r="L87" s="41"/>
      <c r="M87" s="83">
        <f t="shared" si="11"/>
        <v>0</v>
      </c>
      <c r="N87" s="41"/>
      <c r="O87" s="41"/>
      <c r="P87" s="70">
        <f t="shared" si="12"/>
        <v>0</v>
      </c>
      <c r="Q87" s="41">
        <f>2*135*9</f>
        <v>2430</v>
      </c>
      <c r="R87" s="41">
        <v>3</v>
      </c>
      <c r="S87" s="70">
        <f t="shared" si="13"/>
        <v>2771173.9440000011</v>
      </c>
      <c r="T87" s="41"/>
      <c r="U87" s="41"/>
      <c r="V87" s="70">
        <f t="shared" si="14"/>
        <v>0</v>
      </c>
      <c r="Y87" s="70">
        <f t="shared" si="15"/>
        <v>0</v>
      </c>
      <c r="AB87" s="70">
        <f t="shared" si="16"/>
        <v>0</v>
      </c>
      <c r="AE87" s="70">
        <f t="shared" si="17"/>
        <v>0</v>
      </c>
      <c r="AF87" s="28">
        <f t="shared" si="18"/>
        <v>2771173.9440000011</v>
      </c>
      <c r="AG87" s="28">
        <f t="shared" si="19"/>
        <v>2690.4601398058262</v>
      </c>
    </row>
    <row r="88" spans="1:33" ht="100.8" x14ac:dyDescent="0.3">
      <c r="A88" s="41" t="s">
        <v>983</v>
      </c>
      <c r="B88" s="41" t="s">
        <v>1176</v>
      </c>
      <c r="C88" s="41" t="s">
        <v>1221</v>
      </c>
      <c r="D88" s="41" t="s">
        <v>1228</v>
      </c>
      <c r="E88" s="41" t="s">
        <v>1229</v>
      </c>
      <c r="F88" s="41" t="s">
        <v>712</v>
      </c>
      <c r="G88" s="84">
        <f>1999.2/7</f>
        <v>285.60000000000002</v>
      </c>
      <c r="J88" s="28"/>
      <c r="K88" s="41">
        <v>0</v>
      </c>
      <c r="L88" s="41">
        <v>0</v>
      </c>
      <c r="M88" s="83">
        <f t="shared" si="11"/>
        <v>0</v>
      </c>
      <c r="N88" s="41">
        <v>0</v>
      </c>
      <c r="O88" s="41">
        <v>0</v>
      </c>
      <c r="P88" s="70">
        <f t="shared" si="12"/>
        <v>0</v>
      </c>
      <c r="Q88" s="85">
        <f>25*2*9</f>
        <v>450</v>
      </c>
      <c r="R88" s="41">
        <v>15</v>
      </c>
      <c r="S88" s="70">
        <f t="shared" si="13"/>
        <v>2565901.8000000012</v>
      </c>
      <c r="T88" s="41">
        <v>0</v>
      </c>
      <c r="U88" s="41">
        <v>0</v>
      </c>
      <c r="V88" s="70">
        <f t="shared" si="14"/>
        <v>0</v>
      </c>
      <c r="Y88" s="70">
        <f t="shared" si="15"/>
        <v>0</v>
      </c>
      <c r="AB88" s="70">
        <f t="shared" si="16"/>
        <v>0</v>
      </c>
      <c r="AE88" s="70">
        <f t="shared" si="17"/>
        <v>0</v>
      </c>
      <c r="AF88" s="28">
        <f t="shared" si="18"/>
        <v>2565901.8000000012</v>
      </c>
      <c r="AG88" s="28">
        <f t="shared" si="19"/>
        <v>2491.1667961165062</v>
      </c>
    </row>
    <row r="89" spans="1:33" ht="100.8" x14ac:dyDescent="0.3">
      <c r="A89" s="41" t="s">
        <v>983</v>
      </c>
      <c r="B89" s="41" t="s">
        <v>1176</v>
      </c>
      <c r="C89" s="41" t="s">
        <v>1221</v>
      </c>
      <c r="D89" s="41" t="s">
        <v>1228</v>
      </c>
      <c r="E89" s="41" t="s">
        <v>1230</v>
      </c>
      <c r="F89" s="41" t="s">
        <v>841</v>
      </c>
      <c r="G89" s="83">
        <v>0</v>
      </c>
      <c r="H89" s="41">
        <v>0</v>
      </c>
      <c r="I89" s="41">
        <v>0</v>
      </c>
      <c r="J89" s="67">
        <f t="shared" si="10"/>
        <v>0</v>
      </c>
      <c r="K89" s="41">
        <v>0</v>
      </c>
      <c r="L89" s="41">
        <v>0</v>
      </c>
      <c r="M89" s="83">
        <f t="shared" si="11"/>
        <v>0</v>
      </c>
      <c r="N89" s="41">
        <v>0</v>
      </c>
      <c r="O89" s="41">
        <v>0</v>
      </c>
      <c r="P89" s="70">
        <f t="shared" si="12"/>
        <v>0</v>
      </c>
      <c r="Q89" s="41">
        <v>8000</v>
      </c>
      <c r="R89" s="41">
        <v>1</v>
      </c>
      <c r="S89" s="70">
        <f t="shared" si="13"/>
        <v>0</v>
      </c>
      <c r="T89" s="41">
        <v>0</v>
      </c>
      <c r="U89" s="41">
        <v>0</v>
      </c>
      <c r="V89" s="70">
        <f t="shared" si="14"/>
        <v>0</v>
      </c>
      <c r="Y89" s="70">
        <f t="shared" si="15"/>
        <v>0</v>
      </c>
      <c r="AB89" s="70">
        <f t="shared" si="16"/>
        <v>0</v>
      </c>
      <c r="AE89" s="70">
        <f t="shared" si="17"/>
        <v>0</v>
      </c>
      <c r="AF89" s="28">
        <f t="shared" si="18"/>
        <v>0</v>
      </c>
      <c r="AG89" s="28">
        <f t="shared" si="19"/>
        <v>0</v>
      </c>
    </row>
    <row r="90" spans="1:33" ht="100.8" x14ac:dyDescent="0.3">
      <c r="A90" s="41" t="s">
        <v>983</v>
      </c>
      <c r="B90" s="41" t="s">
        <v>1176</v>
      </c>
      <c r="C90" s="41" t="s">
        <v>1221</v>
      </c>
      <c r="D90" s="41" t="s">
        <v>1228</v>
      </c>
      <c r="E90" s="41" t="s">
        <v>1231</v>
      </c>
      <c r="F90" s="41" t="s">
        <v>841</v>
      </c>
      <c r="G90" s="83">
        <v>0</v>
      </c>
      <c r="H90" s="41">
        <v>0</v>
      </c>
      <c r="I90" s="41">
        <v>0</v>
      </c>
      <c r="J90" s="67">
        <f t="shared" si="10"/>
        <v>0</v>
      </c>
      <c r="K90" s="41">
        <v>0</v>
      </c>
      <c r="L90" s="41">
        <v>0</v>
      </c>
      <c r="M90" s="83">
        <f t="shared" si="11"/>
        <v>0</v>
      </c>
      <c r="N90" s="41">
        <v>0</v>
      </c>
      <c r="O90" s="41">
        <v>0</v>
      </c>
      <c r="P90" s="70">
        <f t="shared" si="12"/>
        <v>0</v>
      </c>
      <c r="Q90" s="41">
        <v>5</v>
      </c>
      <c r="R90" s="41">
        <v>1</v>
      </c>
      <c r="S90" s="70">
        <f t="shared" si="13"/>
        <v>0</v>
      </c>
      <c r="T90" s="41">
        <v>0</v>
      </c>
      <c r="U90" s="41">
        <v>0</v>
      </c>
      <c r="V90" s="70">
        <f t="shared" si="14"/>
        <v>0</v>
      </c>
      <c r="Y90" s="70">
        <f t="shared" si="15"/>
        <v>0</v>
      </c>
      <c r="AB90" s="70">
        <f t="shared" si="16"/>
        <v>0</v>
      </c>
      <c r="AE90" s="70">
        <f t="shared" si="17"/>
        <v>0</v>
      </c>
      <c r="AF90" s="28">
        <f t="shared" si="18"/>
        <v>0</v>
      </c>
      <c r="AG90" s="28">
        <f t="shared" si="19"/>
        <v>0</v>
      </c>
    </row>
    <row r="91" spans="1:33" ht="100.8" x14ac:dyDescent="0.3">
      <c r="A91" s="41" t="s">
        <v>983</v>
      </c>
      <c r="B91" s="41" t="s">
        <v>1176</v>
      </c>
      <c r="C91" s="41" t="s">
        <v>1221</v>
      </c>
      <c r="D91" s="41" t="s">
        <v>1228</v>
      </c>
      <c r="E91" s="41" t="s">
        <v>1232</v>
      </c>
      <c r="F91" s="41" t="s">
        <v>709</v>
      </c>
      <c r="G91" s="83">
        <v>35000</v>
      </c>
      <c r="J91" s="28"/>
      <c r="K91" s="41">
        <v>0</v>
      </c>
      <c r="L91" s="41">
        <v>0</v>
      </c>
      <c r="M91" s="83">
        <f t="shared" si="11"/>
        <v>0</v>
      </c>
      <c r="N91" s="41">
        <v>0</v>
      </c>
      <c r="O91" s="41">
        <v>0</v>
      </c>
      <c r="P91" s="70">
        <f t="shared" si="12"/>
        <v>0</v>
      </c>
      <c r="Q91" s="41">
        <v>0</v>
      </c>
      <c r="R91" s="41">
        <v>0</v>
      </c>
      <c r="S91" s="70">
        <f t="shared" si="13"/>
        <v>0</v>
      </c>
      <c r="T91" s="41">
        <f>100*5</f>
        <v>500</v>
      </c>
      <c r="U91" s="41">
        <v>5</v>
      </c>
      <c r="V91" s="70">
        <f t="shared" si="14"/>
        <v>128108750.00000003</v>
      </c>
      <c r="Y91" s="70">
        <f t="shared" si="15"/>
        <v>0</v>
      </c>
      <c r="AB91" s="70">
        <f t="shared" si="16"/>
        <v>0</v>
      </c>
      <c r="AE91" s="70">
        <f t="shared" si="17"/>
        <v>0</v>
      </c>
      <c r="AF91" s="28">
        <f t="shared" si="18"/>
        <v>128108750.00000003</v>
      </c>
      <c r="AG91" s="28">
        <f t="shared" si="19"/>
        <v>124377.42718446605</v>
      </c>
    </row>
    <row r="92" spans="1:33" ht="100.8" x14ac:dyDescent="0.3">
      <c r="A92" s="41" t="s">
        <v>983</v>
      </c>
      <c r="B92" s="41" t="s">
        <v>1176</v>
      </c>
      <c r="C92" s="41" t="s">
        <v>1221</v>
      </c>
      <c r="D92" s="41" t="s">
        <v>1228</v>
      </c>
      <c r="E92" s="41" t="s">
        <v>1232</v>
      </c>
      <c r="F92" s="41" t="s">
        <v>716</v>
      </c>
      <c r="G92" s="83">
        <v>39000</v>
      </c>
      <c r="J92" s="28"/>
      <c r="K92" s="41">
        <v>0</v>
      </c>
      <c r="L92" s="41">
        <v>0</v>
      </c>
      <c r="M92" s="83">
        <f t="shared" si="11"/>
        <v>0</v>
      </c>
      <c r="N92" s="41">
        <v>0</v>
      </c>
      <c r="O92" s="41">
        <v>0</v>
      </c>
      <c r="P92" s="70">
        <f t="shared" si="12"/>
        <v>0</v>
      </c>
      <c r="Q92" s="41">
        <v>30</v>
      </c>
      <c r="R92" s="41">
        <v>5</v>
      </c>
      <c r="S92" s="70">
        <f t="shared" si="13"/>
        <v>7786350.0000000019</v>
      </c>
      <c r="T92" s="41">
        <v>500</v>
      </c>
      <c r="U92" s="41">
        <v>10</v>
      </c>
      <c r="V92" s="70">
        <f t="shared" si="14"/>
        <v>285499500.00000006</v>
      </c>
      <c r="Y92" s="70">
        <f t="shared" si="15"/>
        <v>0</v>
      </c>
      <c r="AB92" s="70">
        <f t="shared" si="16"/>
        <v>0</v>
      </c>
      <c r="AE92" s="70">
        <f t="shared" si="17"/>
        <v>0</v>
      </c>
      <c r="AF92" s="28">
        <f t="shared" si="18"/>
        <v>293285850.00000006</v>
      </c>
      <c r="AG92" s="28">
        <f t="shared" si="19"/>
        <v>284743.54368932045</v>
      </c>
    </row>
    <row r="93" spans="1:33" ht="100.8" x14ac:dyDescent="0.3">
      <c r="A93" s="41" t="s">
        <v>983</v>
      </c>
      <c r="B93" s="41" t="s">
        <v>1176</v>
      </c>
      <c r="C93" s="41" t="s">
        <v>1221</v>
      </c>
      <c r="D93" s="41" t="s">
        <v>1228</v>
      </c>
      <c r="E93" s="41" t="s">
        <v>1232</v>
      </c>
      <c r="F93" s="41" t="s">
        <v>1350</v>
      </c>
      <c r="G93" s="83">
        <f>1999.2/7</f>
        <v>285.60000000000002</v>
      </c>
      <c r="J93" s="28"/>
      <c r="K93" s="41"/>
      <c r="L93" s="41"/>
      <c r="M93" s="83">
        <f t="shared" si="11"/>
        <v>0</v>
      </c>
      <c r="N93" s="41"/>
      <c r="O93" s="41"/>
      <c r="P93" s="70">
        <f t="shared" si="12"/>
        <v>0</v>
      </c>
      <c r="Q93" s="41"/>
      <c r="R93" s="41"/>
      <c r="S93" s="70">
        <f t="shared" si="13"/>
        <v>0</v>
      </c>
      <c r="T93" s="41">
        <f>22500*2</f>
        <v>45000</v>
      </c>
      <c r="U93" s="41">
        <v>5</v>
      </c>
      <c r="V93" s="70">
        <f t="shared" si="14"/>
        <v>94083066.00000003</v>
      </c>
      <c r="Y93" s="70">
        <f t="shared" si="15"/>
        <v>0</v>
      </c>
      <c r="AB93" s="70">
        <f t="shared" si="16"/>
        <v>0</v>
      </c>
      <c r="AE93" s="70">
        <f t="shared" si="17"/>
        <v>0</v>
      </c>
      <c r="AF93" s="28">
        <f t="shared" si="18"/>
        <v>94083066.00000003</v>
      </c>
      <c r="AG93" s="28">
        <f t="shared" si="19"/>
        <v>91342.782524271868</v>
      </c>
    </row>
    <row r="94" spans="1:33" ht="100.8" x14ac:dyDescent="0.3">
      <c r="A94" s="41" t="s">
        <v>983</v>
      </c>
      <c r="B94" s="41" t="s">
        <v>1176</v>
      </c>
      <c r="C94" s="41" t="s">
        <v>1221</v>
      </c>
      <c r="D94" s="41" t="s">
        <v>1228</v>
      </c>
      <c r="E94" s="41" t="s">
        <v>1232</v>
      </c>
      <c r="F94" s="41" t="s">
        <v>712</v>
      </c>
      <c r="G94" s="83">
        <f>1999.2/7</f>
        <v>285.60000000000002</v>
      </c>
      <c r="J94" s="28"/>
      <c r="K94" s="41">
        <v>0</v>
      </c>
      <c r="L94" s="41">
        <v>0</v>
      </c>
      <c r="M94" s="83">
        <f t="shared" si="11"/>
        <v>0</v>
      </c>
      <c r="N94" s="41">
        <v>0</v>
      </c>
      <c r="O94" s="41">
        <v>0</v>
      </c>
      <c r="P94" s="70">
        <f t="shared" si="12"/>
        <v>0</v>
      </c>
      <c r="Q94" s="41">
        <v>30</v>
      </c>
      <c r="R94" s="41">
        <v>5</v>
      </c>
      <c r="S94" s="70">
        <f t="shared" si="13"/>
        <v>57020.040000000023</v>
      </c>
      <c r="T94" s="41">
        <v>22500</v>
      </c>
      <c r="U94" s="41">
        <v>5</v>
      </c>
      <c r="V94" s="70">
        <f t="shared" si="14"/>
        <v>47041533.000000015</v>
      </c>
      <c r="Y94" s="70">
        <f t="shared" si="15"/>
        <v>0</v>
      </c>
      <c r="AB94" s="70">
        <f t="shared" si="16"/>
        <v>0</v>
      </c>
      <c r="AE94" s="70">
        <f t="shared" si="17"/>
        <v>0</v>
      </c>
      <c r="AF94" s="28">
        <f t="shared" si="18"/>
        <v>47098553.040000014</v>
      </c>
      <c r="AG94" s="28">
        <f t="shared" si="19"/>
        <v>45726.750524271862</v>
      </c>
    </row>
    <row r="95" spans="1:33" ht="100.8" x14ac:dyDescent="0.3">
      <c r="A95" s="41" t="s">
        <v>983</v>
      </c>
      <c r="B95" s="41" t="s">
        <v>1176</v>
      </c>
      <c r="C95" s="41" t="s">
        <v>1221</v>
      </c>
      <c r="D95" s="41" t="s">
        <v>1228</v>
      </c>
      <c r="E95" s="41" t="s">
        <v>1233</v>
      </c>
      <c r="F95" s="41" t="s">
        <v>841</v>
      </c>
      <c r="G95" s="83">
        <v>0</v>
      </c>
      <c r="H95" s="41">
        <v>0</v>
      </c>
      <c r="I95" s="41">
        <v>0</v>
      </c>
      <c r="J95" s="67">
        <f t="shared" si="10"/>
        <v>0</v>
      </c>
      <c r="K95" s="41">
        <v>0</v>
      </c>
      <c r="L95" s="41">
        <v>0</v>
      </c>
      <c r="M95" s="83">
        <f t="shared" si="11"/>
        <v>0</v>
      </c>
      <c r="N95" s="41">
        <v>0</v>
      </c>
      <c r="O95" s="41">
        <v>0</v>
      </c>
      <c r="P95" s="70">
        <f t="shared" si="12"/>
        <v>0</v>
      </c>
      <c r="Q95" s="41">
        <v>20000</v>
      </c>
      <c r="R95" s="41">
        <v>1</v>
      </c>
      <c r="S95" s="70">
        <f t="shared" si="13"/>
        <v>0</v>
      </c>
      <c r="T95" s="41">
        <v>0</v>
      </c>
      <c r="U95" s="41">
        <v>0</v>
      </c>
      <c r="V95" s="70">
        <f t="shared" si="14"/>
        <v>0</v>
      </c>
      <c r="Y95" s="70">
        <f t="shared" si="15"/>
        <v>0</v>
      </c>
      <c r="AB95" s="70">
        <f t="shared" si="16"/>
        <v>0</v>
      </c>
      <c r="AE95" s="70">
        <f t="shared" si="17"/>
        <v>0</v>
      </c>
      <c r="AF95" s="28">
        <f t="shared" si="18"/>
        <v>0</v>
      </c>
      <c r="AG95" s="28">
        <f t="shared" si="19"/>
        <v>0</v>
      </c>
    </row>
    <row r="96" spans="1:33" ht="100.8" x14ac:dyDescent="0.3">
      <c r="A96" s="41" t="s">
        <v>983</v>
      </c>
      <c r="B96" s="41" t="s">
        <v>1176</v>
      </c>
      <c r="C96" s="41" t="s">
        <v>1221</v>
      </c>
      <c r="D96" s="41" t="s">
        <v>1228</v>
      </c>
      <c r="E96" s="41" t="s">
        <v>1234</v>
      </c>
      <c r="F96" s="41" t="s">
        <v>841</v>
      </c>
      <c r="G96" s="83">
        <v>0</v>
      </c>
      <c r="H96" s="41">
        <v>0</v>
      </c>
      <c r="I96" s="41">
        <v>0</v>
      </c>
      <c r="J96" s="67">
        <f t="shared" si="10"/>
        <v>0</v>
      </c>
      <c r="K96" s="41">
        <v>0</v>
      </c>
      <c r="L96" s="41">
        <v>0</v>
      </c>
      <c r="M96" s="83">
        <f t="shared" si="11"/>
        <v>0</v>
      </c>
      <c r="N96" s="41">
        <v>0</v>
      </c>
      <c r="O96" s="41">
        <v>0</v>
      </c>
      <c r="P96" s="70">
        <f t="shared" si="12"/>
        <v>0</v>
      </c>
      <c r="Q96" s="41">
        <v>15</v>
      </c>
      <c r="R96" s="41">
        <v>2</v>
      </c>
      <c r="S96" s="70">
        <f t="shared" si="13"/>
        <v>0</v>
      </c>
      <c r="T96" s="41">
        <v>0</v>
      </c>
      <c r="U96" s="41">
        <v>0</v>
      </c>
      <c r="V96" s="70">
        <f t="shared" si="14"/>
        <v>0</v>
      </c>
      <c r="Y96" s="70">
        <f t="shared" si="15"/>
        <v>0</v>
      </c>
      <c r="AB96" s="70">
        <f t="shared" si="16"/>
        <v>0</v>
      </c>
      <c r="AE96" s="70">
        <f t="shared" si="17"/>
        <v>0</v>
      </c>
      <c r="AF96" s="28">
        <f t="shared" si="18"/>
        <v>0</v>
      </c>
      <c r="AG96" s="28">
        <f t="shared" si="19"/>
        <v>0</v>
      </c>
    </row>
    <row r="97" spans="1:46" ht="100.8" x14ac:dyDescent="0.3">
      <c r="A97" s="41" t="s">
        <v>983</v>
      </c>
      <c r="B97" s="41" t="s">
        <v>1176</v>
      </c>
      <c r="C97" s="41" t="s">
        <v>1221</v>
      </c>
      <c r="D97" s="41" t="s">
        <v>1228</v>
      </c>
      <c r="E97" s="41" t="s">
        <v>1235</v>
      </c>
      <c r="F97" s="41" t="s">
        <v>841</v>
      </c>
      <c r="G97" s="83">
        <v>0</v>
      </c>
      <c r="H97" s="41">
        <v>0</v>
      </c>
      <c r="I97" s="41">
        <v>0</v>
      </c>
      <c r="J97" s="67">
        <f t="shared" si="10"/>
        <v>0</v>
      </c>
      <c r="K97" s="41">
        <v>0</v>
      </c>
      <c r="L97" s="41">
        <v>0</v>
      </c>
      <c r="M97" s="83">
        <f t="shared" si="11"/>
        <v>0</v>
      </c>
      <c r="N97" s="41">
        <v>0</v>
      </c>
      <c r="O97" s="41">
        <v>0</v>
      </c>
      <c r="P97" s="70">
        <f t="shared" si="12"/>
        <v>0</v>
      </c>
      <c r="Q97" s="41">
        <v>3</v>
      </c>
      <c r="R97" s="41">
        <v>5</v>
      </c>
      <c r="S97" s="70">
        <f t="shared" si="13"/>
        <v>0</v>
      </c>
      <c r="T97" s="41">
        <v>0</v>
      </c>
      <c r="U97" s="41">
        <v>0</v>
      </c>
      <c r="V97" s="70">
        <f t="shared" si="14"/>
        <v>0</v>
      </c>
      <c r="Y97" s="70">
        <f t="shared" si="15"/>
        <v>0</v>
      </c>
      <c r="AB97" s="70">
        <f t="shared" si="16"/>
        <v>0</v>
      </c>
      <c r="AE97" s="70">
        <f t="shared" si="17"/>
        <v>0</v>
      </c>
      <c r="AF97" s="28">
        <f t="shared" si="18"/>
        <v>0</v>
      </c>
      <c r="AG97" s="28">
        <f t="shared" si="19"/>
        <v>0</v>
      </c>
    </row>
    <row r="98" spans="1:46" ht="100.8" x14ac:dyDescent="0.3">
      <c r="A98" s="41" t="s">
        <v>983</v>
      </c>
      <c r="B98" s="41" t="s">
        <v>1176</v>
      </c>
      <c r="C98" s="41" t="s">
        <v>1221</v>
      </c>
      <c r="D98" s="41" t="s">
        <v>1228</v>
      </c>
      <c r="E98" s="41" t="s">
        <v>1236</v>
      </c>
      <c r="F98" s="41" t="s">
        <v>709</v>
      </c>
      <c r="G98" s="83">
        <v>35000</v>
      </c>
      <c r="H98" s="41">
        <v>100</v>
      </c>
      <c r="I98" s="41">
        <v>15</v>
      </c>
      <c r="J98" s="67">
        <f t="shared" si="10"/>
        <v>52500000</v>
      </c>
      <c r="K98" s="41">
        <v>0</v>
      </c>
      <c r="L98" s="41">
        <v>0</v>
      </c>
      <c r="M98" s="83">
        <f t="shared" si="11"/>
        <v>0</v>
      </c>
      <c r="N98" s="41">
        <v>0</v>
      </c>
      <c r="O98" s="41">
        <v>0</v>
      </c>
      <c r="P98" s="70">
        <f t="shared" si="12"/>
        <v>0</v>
      </c>
      <c r="Q98" s="41"/>
      <c r="R98" s="41"/>
      <c r="S98" s="70">
        <f t="shared" si="13"/>
        <v>0</v>
      </c>
      <c r="T98" s="41">
        <v>100</v>
      </c>
      <c r="U98" s="41">
        <v>15</v>
      </c>
      <c r="V98" s="70">
        <f t="shared" si="14"/>
        <v>76865250.00000003</v>
      </c>
      <c r="Y98" s="70">
        <f t="shared" si="15"/>
        <v>0</v>
      </c>
      <c r="AB98" s="70">
        <f t="shared" si="16"/>
        <v>0</v>
      </c>
      <c r="AE98" s="70">
        <f t="shared" si="17"/>
        <v>0</v>
      </c>
      <c r="AF98" s="28">
        <f t="shared" si="18"/>
        <v>129365250.00000003</v>
      </c>
      <c r="AG98" s="28">
        <f t="shared" si="19"/>
        <v>125597.33009708741</v>
      </c>
    </row>
    <row r="99" spans="1:46" ht="100.8" x14ac:dyDescent="0.3">
      <c r="A99" s="41" t="s">
        <v>983</v>
      </c>
      <c r="B99" s="41" t="s">
        <v>1176</v>
      </c>
      <c r="C99" s="41" t="s">
        <v>1221</v>
      </c>
      <c r="D99" s="41" t="s">
        <v>1228</v>
      </c>
      <c r="E99" s="41" t="s">
        <v>1236</v>
      </c>
      <c r="F99" s="41" t="s">
        <v>716</v>
      </c>
      <c r="G99" s="83">
        <v>39000</v>
      </c>
      <c r="H99" s="41">
        <v>100</v>
      </c>
      <c r="I99" s="41">
        <v>15</v>
      </c>
      <c r="J99" s="67">
        <f t="shared" si="10"/>
        <v>58500000</v>
      </c>
      <c r="K99" s="41">
        <v>0</v>
      </c>
      <c r="L99" s="41">
        <v>0</v>
      </c>
      <c r="M99" s="83">
        <f t="shared" si="11"/>
        <v>0</v>
      </c>
      <c r="N99" s="41">
        <v>0</v>
      </c>
      <c r="O99" s="41">
        <v>0</v>
      </c>
      <c r="P99" s="70">
        <f t="shared" si="12"/>
        <v>0</v>
      </c>
      <c r="Q99" s="41"/>
      <c r="R99" s="41"/>
      <c r="S99" s="70">
        <f t="shared" si="13"/>
        <v>0</v>
      </c>
      <c r="T99" s="41">
        <v>100</v>
      </c>
      <c r="U99" s="41">
        <v>15</v>
      </c>
      <c r="V99" s="70">
        <f t="shared" si="14"/>
        <v>85649850.00000003</v>
      </c>
      <c r="Y99" s="70">
        <f t="shared" si="15"/>
        <v>0</v>
      </c>
      <c r="AB99" s="70">
        <f t="shared" si="16"/>
        <v>0</v>
      </c>
      <c r="AE99" s="70">
        <f t="shared" si="17"/>
        <v>0</v>
      </c>
      <c r="AF99" s="28">
        <f t="shared" si="18"/>
        <v>144149850.00000003</v>
      </c>
      <c r="AG99" s="28">
        <f t="shared" si="19"/>
        <v>139951.31067961169</v>
      </c>
    </row>
    <row r="100" spans="1:46" ht="100.8" x14ac:dyDescent="0.3">
      <c r="A100" s="41" t="s">
        <v>983</v>
      </c>
      <c r="B100" s="41" t="s">
        <v>1176</v>
      </c>
      <c r="C100" s="41" t="s">
        <v>1221</v>
      </c>
      <c r="D100" s="41" t="s">
        <v>1228</v>
      </c>
      <c r="E100" s="41" t="s">
        <v>1236</v>
      </c>
      <c r="F100" s="41" t="s">
        <v>712</v>
      </c>
      <c r="G100" s="83">
        <f>1999.2/7</f>
        <v>285.60000000000002</v>
      </c>
      <c r="H100" s="41">
        <f>25*2*29</f>
        <v>1450</v>
      </c>
      <c r="I100" s="41">
        <v>15</v>
      </c>
      <c r="J100" s="67">
        <f t="shared" si="10"/>
        <v>6211800.0000000009</v>
      </c>
      <c r="K100" s="41">
        <v>0</v>
      </c>
      <c r="L100" s="41">
        <v>0</v>
      </c>
      <c r="M100" s="83">
        <f t="shared" si="11"/>
        <v>0</v>
      </c>
      <c r="N100" s="41">
        <v>0</v>
      </c>
      <c r="O100" s="41">
        <v>0</v>
      </c>
      <c r="P100" s="70">
        <f t="shared" si="12"/>
        <v>0</v>
      </c>
      <c r="Q100" s="41"/>
      <c r="R100" s="41"/>
      <c r="S100" s="70">
        <f t="shared" si="13"/>
        <v>0</v>
      </c>
      <c r="T100" s="41">
        <f>25*2*29</f>
        <v>1450</v>
      </c>
      <c r="U100" s="41">
        <v>15</v>
      </c>
      <c r="V100" s="70">
        <f t="shared" si="14"/>
        <v>9094696.3800000027</v>
      </c>
      <c r="Y100" s="70">
        <f t="shared" si="15"/>
        <v>0</v>
      </c>
      <c r="AB100" s="70">
        <f t="shared" si="16"/>
        <v>0</v>
      </c>
      <c r="AE100" s="70">
        <f t="shared" si="17"/>
        <v>0</v>
      </c>
      <c r="AF100" s="28">
        <f t="shared" si="18"/>
        <v>15306496.380000003</v>
      </c>
      <c r="AG100" s="28">
        <f t="shared" si="19"/>
        <v>14860.676097087382</v>
      </c>
    </row>
    <row r="101" spans="1:46" ht="100.8" x14ac:dyDescent="0.3">
      <c r="A101" s="41" t="s">
        <v>983</v>
      </c>
      <c r="B101" s="41" t="s">
        <v>1176</v>
      </c>
      <c r="C101" s="41" t="s">
        <v>1221</v>
      </c>
      <c r="D101" s="41" t="s">
        <v>1228</v>
      </c>
      <c r="E101" s="41" t="s">
        <v>1236</v>
      </c>
      <c r="F101" s="41" t="s">
        <v>1350</v>
      </c>
      <c r="G101" s="83">
        <f>1999.2/7</f>
        <v>285.60000000000002</v>
      </c>
      <c r="H101" s="41">
        <f>2*135*29</f>
        <v>7830</v>
      </c>
      <c r="I101" s="41">
        <v>15</v>
      </c>
      <c r="J101" s="67">
        <f t="shared" si="10"/>
        <v>33543720</v>
      </c>
      <c r="K101" s="41"/>
      <c r="L101" s="41"/>
      <c r="M101" s="83">
        <f t="shared" si="11"/>
        <v>0</v>
      </c>
      <c r="N101" s="41"/>
      <c r="O101" s="41"/>
      <c r="P101" s="70">
        <f t="shared" si="12"/>
        <v>0</v>
      </c>
      <c r="Q101" s="41"/>
      <c r="R101" s="41"/>
      <c r="S101" s="70">
        <f t="shared" si="13"/>
        <v>0</v>
      </c>
      <c r="T101" s="41">
        <f>2*135*29</f>
        <v>7830</v>
      </c>
      <c r="U101" s="41">
        <v>15</v>
      </c>
      <c r="V101" s="70">
        <f t="shared" si="14"/>
        <v>49111360.452000014</v>
      </c>
      <c r="Y101" s="70">
        <f t="shared" si="15"/>
        <v>0</v>
      </c>
      <c r="AB101" s="70">
        <f t="shared" si="16"/>
        <v>0</v>
      </c>
      <c r="AE101" s="70">
        <f t="shared" si="17"/>
        <v>0</v>
      </c>
      <c r="AF101" s="28">
        <f t="shared" si="18"/>
        <v>82655080.452000022</v>
      </c>
      <c r="AG101" s="28">
        <f t="shared" si="19"/>
        <v>80247.65092427186</v>
      </c>
    </row>
    <row r="102" spans="1:46" ht="100.8" x14ac:dyDescent="0.3">
      <c r="A102" s="41" t="s">
        <v>983</v>
      </c>
      <c r="B102" s="41" t="s">
        <v>1176</v>
      </c>
      <c r="C102" s="41" t="s">
        <v>1221</v>
      </c>
      <c r="D102" s="41" t="s">
        <v>1228</v>
      </c>
      <c r="E102" s="41" t="s">
        <v>1237</v>
      </c>
      <c r="F102" s="41" t="s">
        <v>841</v>
      </c>
      <c r="G102" s="83">
        <v>0</v>
      </c>
      <c r="H102" s="41">
        <v>0</v>
      </c>
      <c r="I102" s="41">
        <v>0</v>
      </c>
      <c r="J102" s="67">
        <f t="shared" si="10"/>
        <v>0</v>
      </c>
      <c r="K102" s="41">
        <v>0</v>
      </c>
      <c r="L102" s="41">
        <v>0</v>
      </c>
      <c r="M102" s="83">
        <f t="shared" si="11"/>
        <v>0</v>
      </c>
      <c r="N102" s="41">
        <v>0</v>
      </c>
      <c r="O102" s="41">
        <v>0</v>
      </c>
      <c r="P102" s="70">
        <f t="shared" si="12"/>
        <v>0</v>
      </c>
      <c r="Q102" s="41">
        <v>4000</v>
      </c>
      <c r="R102" s="41">
        <v>1</v>
      </c>
      <c r="S102" s="70">
        <f t="shared" si="13"/>
        <v>0</v>
      </c>
      <c r="T102" s="41">
        <v>0</v>
      </c>
      <c r="U102" s="41">
        <v>0</v>
      </c>
      <c r="V102" s="70">
        <f t="shared" si="14"/>
        <v>0</v>
      </c>
      <c r="Y102" s="70">
        <f t="shared" si="15"/>
        <v>0</v>
      </c>
      <c r="AB102" s="70">
        <f t="shared" si="16"/>
        <v>0</v>
      </c>
      <c r="AE102" s="70">
        <f t="shared" si="17"/>
        <v>0</v>
      </c>
      <c r="AF102" s="28">
        <f t="shared" si="18"/>
        <v>0</v>
      </c>
      <c r="AG102" s="28">
        <f t="shared" si="19"/>
        <v>0</v>
      </c>
    </row>
    <row r="103" spans="1:46" x14ac:dyDescent="0.3">
      <c r="A103" s="91" t="s">
        <v>1409</v>
      </c>
      <c r="B103" s="91"/>
      <c r="C103" s="91"/>
      <c r="D103" s="91"/>
      <c r="E103" s="91"/>
      <c r="F103" s="91"/>
      <c r="G103" s="92"/>
      <c r="H103" s="91"/>
      <c r="I103" s="91"/>
      <c r="J103" s="93">
        <f>SUM(J78:J102)</f>
        <v>255755520</v>
      </c>
      <c r="K103" s="91"/>
      <c r="L103" s="91"/>
      <c r="M103" s="93">
        <f>SUM(M78:M102)</f>
        <v>0</v>
      </c>
      <c r="N103" s="91"/>
      <c r="O103" s="91"/>
      <c r="P103" s="93">
        <f>SUM(P78:P102)</f>
        <v>385789140.00000006</v>
      </c>
      <c r="Q103" s="91"/>
      <c r="R103" s="91"/>
      <c r="S103" s="93">
        <f>SUM(S78:S102)</f>
        <v>55333151.896000013</v>
      </c>
      <c r="T103" s="91"/>
      <c r="U103" s="91"/>
      <c r="V103" s="93">
        <f>SUM(V78:V102)</f>
        <v>775454005.83200014</v>
      </c>
      <c r="W103" s="94"/>
      <c r="X103" s="94"/>
      <c r="Y103" s="93">
        <f>SUM(Y78:Y102)</f>
        <v>0</v>
      </c>
      <c r="Z103" s="94"/>
      <c r="AA103" s="94"/>
      <c r="AB103" s="93">
        <f>SUM(AB78:AB102)</f>
        <v>564833879.87400031</v>
      </c>
      <c r="AC103" s="94"/>
      <c r="AD103" s="94"/>
      <c r="AE103" s="93">
        <f>SUM(AE78:AE102)</f>
        <v>0</v>
      </c>
      <c r="AF103" s="95">
        <f t="shared" si="18"/>
        <v>2037165697.6020005</v>
      </c>
      <c r="AG103" s="95">
        <f t="shared" si="19"/>
        <v>1977830.7743708743</v>
      </c>
      <c r="AH103" s="94"/>
      <c r="AI103" s="94"/>
      <c r="AJ103" s="94"/>
      <c r="AK103" s="94"/>
      <c r="AL103" s="94"/>
      <c r="AM103" s="94"/>
      <c r="AN103" s="94"/>
      <c r="AO103" s="94"/>
      <c r="AP103" s="94"/>
      <c r="AQ103" s="94"/>
      <c r="AR103" s="94"/>
      <c r="AS103" s="94"/>
      <c r="AT103" s="94"/>
    </row>
    <row r="104" spans="1:46" s="62" customFormat="1" x14ac:dyDescent="0.3">
      <c r="A104" s="63" t="s">
        <v>1438</v>
      </c>
      <c r="B104" s="63"/>
      <c r="C104" s="63"/>
      <c r="D104" s="63"/>
      <c r="E104" s="63"/>
      <c r="F104" s="63"/>
      <c r="G104" s="90"/>
      <c r="H104" s="63"/>
      <c r="I104" s="63"/>
      <c r="J104" s="68">
        <f>J103/$AL$2</f>
        <v>248306.33009708737</v>
      </c>
      <c r="K104" s="63"/>
      <c r="L104" s="63"/>
      <c r="M104" s="68">
        <f>M103/$AL$2</f>
        <v>0</v>
      </c>
      <c r="N104" s="63"/>
      <c r="O104" s="63"/>
      <c r="P104" s="68">
        <f>P103/$AL$2</f>
        <v>374552.56310679618</v>
      </c>
      <c r="Q104" s="63"/>
      <c r="R104" s="63"/>
      <c r="S104" s="68">
        <f>S103/$AL$2</f>
        <v>53721.506695145647</v>
      </c>
      <c r="T104" s="63"/>
      <c r="U104" s="63"/>
      <c r="V104" s="68">
        <f>V103/$AL$2</f>
        <v>752867.96682718454</v>
      </c>
      <c r="Y104" s="68">
        <f>Y103/$AL$2</f>
        <v>0</v>
      </c>
      <c r="AB104" s="68">
        <f>AB103/$AL$2</f>
        <v>548382.40764466044</v>
      </c>
      <c r="AE104" s="68">
        <f>AE103/$AL$2</f>
        <v>0</v>
      </c>
      <c r="AF104" s="20">
        <f t="shared" si="18"/>
        <v>1977830.774370874</v>
      </c>
      <c r="AG104" s="20">
        <f t="shared" si="19"/>
        <v>1920.2240527872564</v>
      </c>
    </row>
    <row r="105" spans="1:46" ht="43.2" x14ac:dyDescent="0.3">
      <c r="A105" s="41" t="s">
        <v>983</v>
      </c>
      <c r="B105" s="41" t="s">
        <v>1176</v>
      </c>
      <c r="C105" s="41" t="s">
        <v>1238</v>
      </c>
      <c r="D105" s="41" t="s">
        <v>0</v>
      </c>
      <c r="E105" s="41" t="s">
        <v>1239</v>
      </c>
      <c r="F105" s="41" t="s">
        <v>841</v>
      </c>
      <c r="G105" s="83">
        <v>0</v>
      </c>
      <c r="H105" s="41">
        <v>0</v>
      </c>
      <c r="I105" s="41">
        <v>0</v>
      </c>
      <c r="J105" s="67">
        <f t="shared" si="10"/>
        <v>0</v>
      </c>
      <c r="K105" s="41">
        <v>0</v>
      </c>
      <c r="L105" s="41">
        <v>0</v>
      </c>
      <c r="M105" s="83">
        <f t="shared" si="11"/>
        <v>0</v>
      </c>
      <c r="N105" s="41">
        <v>0</v>
      </c>
      <c r="O105" s="41">
        <v>0</v>
      </c>
      <c r="P105" s="70">
        <f t="shared" si="12"/>
        <v>0</v>
      </c>
      <c r="Q105" s="41">
        <v>100</v>
      </c>
      <c r="R105" s="41">
        <v>1</v>
      </c>
      <c r="S105" s="70">
        <f t="shared" si="13"/>
        <v>0</v>
      </c>
      <c r="T105" s="41">
        <v>0</v>
      </c>
      <c r="U105" s="41">
        <v>0</v>
      </c>
      <c r="V105" s="70">
        <f t="shared" si="14"/>
        <v>0</v>
      </c>
      <c r="Y105" s="70">
        <f t="shared" si="15"/>
        <v>0</v>
      </c>
      <c r="AB105" s="70">
        <f t="shared" si="16"/>
        <v>0</v>
      </c>
      <c r="AE105" s="70">
        <f t="shared" si="17"/>
        <v>0</v>
      </c>
      <c r="AF105" s="28">
        <f t="shared" si="18"/>
        <v>0</v>
      </c>
      <c r="AG105" s="28">
        <f t="shared" si="19"/>
        <v>0</v>
      </c>
    </row>
    <row r="106" spans="1:46" ht="43.2" x14ac:dyDescent="0.3">
      <c r="A106" s="41" t="s">
        <v>983</v>
      </c>
      <c r="B106" s="41" t="s">
        <v>1176</v>
      </c>
      <c r="C106" s="41" t="s">
        <v>1238</v>
      </c>
      <c r="D106" s="41" t="s">
        <v>1240</v>
      </c>
      <c r="E106" s="41" t="s">
        <v>169</v>
      </c>
      <c r="F106" s="41" t="s">
        <v>841</v>
      </c>
      <c r="G106" s="83">
        <v>0</v>
      </c>
      <c r="H106" s="41">
        <v>0</v>
      </c>
      <c r="I106" s="41">
        <v>0</v>
      </c>
      <c r="J106" s="67">
        <f t="shared" si="10"/>
        <v>0</v>
      </c>
      <c r="K106" s="41">
        <v>0</v>
      </c>
      <c r="L106" s="41">
        <v>0</v>
      </c>
      <c r="M106" s="83">
        <f t="shared" si="11"/>
        <v>0</v>
      </c>
      <c r="N106" s="41">
        <v>0</v>
      </c>
      <c r="O106" s="41">
        <v>0</v>
      </c>
      <c r="P106" s="70">
        <f t="shared" si="12"/>
        <v>0</v>
      </c>
      <c r="Q106" s="41">
        <v>0</v>
      </c>
      <c r="R106" s="41">
        <v>0</v>
      </c>
      <c r="S106" s="70">
        <f t="shared" si="13"/>
        <v>0</v>
      </c>
      <c r="T106" s="41">
        <v>0</v>
      </c>
      <c r="U106" s="41">
        <v>0</v>
      </c>
      <c r="V106" s="70">
        <f t="shared" si="14"/>
        <v>0</v>
      </c>
      <c r="Y106" s="70">
        <f t="shared" si="15"/>
        <v>0</v>
      </c>
      <c r="AB106" s="70">
        <f t="shared" si="16"/>
        <v>0</v>
      </c>
      <c r="AE106" s="70">
        <f t="shared" si="17"/>
        <v>0</v>
      </c>
      <c r="AF106" s="28">
        <f t="shared" si="18"/>
        <v>0</v>
      </c>
      <c r="AG106" s="28">
        <f t="shared" si="19"/>
        <v>0</v>
      </c>
    </row>
    <row r="107" spans="1:46" ht="43.2" x14ac:dyDescent="0.3">
      <c r="A107" s="41" t="s">
        <v>983</v>
      </c>
      <c r="B107" s="41" t="s">
        <v>1176</v>
      </c>
      <c r="C107" s="41" t="s">
        <v>1238</v>
      </c>
      <c r="D107" s="41" t="s">
        <v>1240</v>
      </c>
      <c r="E107" s="41" t="s">
        <v>1025</v>
      </c>
      <c r="F107" s="41" t="s">
        <v>841</v>
      </c>
      <c r="G107" s="83">
        <v>0</v>
      </c>
      <c r="H107" s="41">
        <v>0</v>
      </c>
      <c r="I107" s="41">
        <v>0</v>
      </c>
      <c r="J107" s="67">
        <f t="shared" si="10"/>
        <v>0</v>
      </c>
      <c r="K107" s="41">
        <v>20</v>
      </c>
      <c r="L107" s="41">
        <v>1</v>
      </c>
      <c r="M107" s="83">
        <f t="shared" si="11"/>
        <v>0</v>
      </c>
      <c r="N107" s="41">
        <v>0</v>
      </c>
      <c r="O107" s="41">
        <v>0</v>
      </c>
      <c r="P107" s="70">
        <f t="shared" si="12"/>
        <v>0</v>
      </c>
      <c r="Q107" s="41">
        <v>0</v>
      </c>
      <c r="R107" s="41">
        <v>0</v>
      </c>
      <c r="S107" s="70">
        <f t="shared" si="13"/>
        <v>0</v>
      </c>
      <c r="T107" s="41">
        <v>0</v>
      </c>
      <c r="U107" s="41">
        <v>0</v>
      </c>
      <c r="V107" s="70">
        <f t="shared" si="14"/>
        <v>0</v>
      </c>
      <c r="Y107" s="70">
        <f t="shared" si="15"/>
        <v>0</v>
      </c>
      <c r="AB107" s="70">
        <f t="shared" si="16"/>
        <v>0</v>
      </c>
      <c r="AE107" s="70">
        <f t="shared" si="17"/>
        <v>0</v>
      </c>
      <c r="AF107" s="28">
        <f t="shared" si="18"/>
        <v>0</v>
      </c>
      <c r="AG107" s="28">
        <f t="shared" si="19"/>
        <v>0</v>
      </c>
    </row>
    <row r="108" spans="1:46" ht="43.2" x14ac:dyDescent="0.3">
      <c r="A108" s="41" t="s">
        <v>983</v>
      </c>
      <c r="B108" s="41" t="s">
        <v>1176</v>
      </c>
      <c r="C108" s="41" t="s">
        <v>1238</v>
      </c>
      <c r="D108" s="41" t="s">
        <v>1240</v>
      </c>
      <c r="E108" s="41" t="s">
        <v>149</v>
      </c>
      <c r="F108" s="41" t="s">
        <v>707</v>
      </c>
      <c r="G108" s="83">
        <v>391991.03749999998</v>
      </c>
      <c r="H108" s="41">
        <v>1</v>
      </c>
      <c r="I108" s="41">
        <v>1</v>
      </c>
      <c r="J108" s="67">
        <f t="shared" si="10"/>
        <v>391991.03749999998</v>
      </c>
      <c r="K108" s="41">
        <v>5</v>
      </c>
      <c r="L108" s="41">
        <v>5</v>
      </c>
      <c r="M108" s="83">
        <f t="shared" si="11"/>
        <v>10779753.53125</v>
      </c>
      <c r="N108" s="41">
        <v>0</v>
      </c>
      <c r="O108" s="41">
        <v>0</v>
      </c>
      <c r="P108" s="70">
        <f t="shared" si="12"/>
        <v>0</v>
      </c>
      <c r="Q108" s="41">
        <v>0</v>
      </c>
      <c r="R108" s="41">
        <v>0</v>
      </c>
      <c r="S108" s="70">
        <f t="shared" si="13"/>
        <v>0</v>
      </c>
      <c r="T108" s="41">
        <v>0</v>
      </c>
      <c r="U108" s="41">
        <v>0</v>
      </c>
      <c r="V108" s="70">
        <f t="shared" si="14"/>
        <v>0</v>
      </c>
      <c r="Y108" s="70">
        <f t="shared" si="15"/>
        <v>0</v>
      </c>
      <c r="AB108" s="70">
        <f t="shared" si="16"/>
        <v>0</v>
      </c>
      <c r="AE108" s="70">
        <f t="shared" si="17"/>
        <v>0</v>
      </c>
      <c r="AF108" s="28">
        <f t="shared" si="18"/>
        <v>11171744.56875</v>
      </c>
      <c r="AG108" s="28">
        <f t="shared" si="19"/>
        <v>10846.353950242717</v>
      </c>
    </row>
    <row r="109" spans="1:46" ht="43.2" x14ac:dyDescent="0.3">
      <c r="A109" s="41" t="s">
        <v>983</v>
      </c>
      <c r="B109" s="41" t="s">
        <v>1176</v>
      </c>
      <c r="C109" s="41" t="s">
        <v>1238</v>
      </c>
      <c r="D109" s="41" t="s">
        <v>1240</v>
      </c>
      <c r="E109" s="41" t="s">
        <v>149</v>
      </c>
      <c r="F109" s="41" t="s">
        <v>708</v>
      </c>
      <c r="G109" s="83">
        <f>500*1030</f>
        <v>515000</v>
      </c>
      <c r="H109" s="41">
        <v>1</v>
      </c>
      <c r="I109" s="41">
        <v>10</v>
      </c>
      <c r="J109" s="67">
        <f t="shared" si="10"/>
        <v>5150000</v>
      </c>
      <c r="K109" s="41">
        <v>1</v>
      </c>
      <c r="L109" s="41">
        <v>4</v>
      </c>
      <c r="M109" s="83">
        <f t="shared" si="11"/>
        <v>2266000</v>
      </c>
      <c r="N109" s="41">
        <v>0</v>
      </c>
      <c r="O109" s="41">
        <v>0</v>
      </c>
      <c r="P109" s="70">
        <f t="shared" si="12"/>
        <v>0</v>
      </c>
      <c r="Q109" s="41">
        <v>0</v>
      </c>
      <c r="R109" s="41">
        <v>0</v>
      </c>
      <c r="S109" s="70">
        <f t="shared" si="13"/>
        <v>0</v>
      </c>
      <c r="T109" s="41">
        <v>0</v>
      </c>
      <c r="U109" s="41">
        <v>0</v>
      </c>
      <c r="V109" s="70">
        <f t="shared" si="14"/>
        <v>0</v>
      </c>
      <c r="Y109" s="70">
        <f t="shared" si="15"/>
        <v>0</v>
      </c>
      <c r="AB109" s="70">
        <f t="shared" si="16"/>
        <v>0</v>
      </c>
      <c r="AE109" s="70">
        <f t="shared" si="17"/>
        <v>0</v>
      </c>
      <c r="AF109" s="28">
        <f t="shared" si="18"/>
        <v>7416000</v>
      </c>
      <c r="AG109" s="28">
        <f t="shared" si="19"/>
        <v>7200</v>
      </c>
    </row>
    <row r="110" spans="1:46" ht="43.2" x14ac:dyDescent="0.3">
      <c r="A110" s="41" t="s">
        <v>983</v>
      </c>
      <c r="B110" s="41" t="s">
        <v>1176</v>
      </c>
      <c r="C110" s="41" t="s">
        <v>1238</v>
      </c>
      <c r="D110" s="41" t="s">
        <v>1240</v>
      </c>
      <c r="E110" s="41" t="s">
        <v>168</v>
      </c>
      <c r="F110" s="41" t="s">
        <v>709</v>
      </c>
      <c r="G110" s="83">
        <v>35000</v>
      </c>
      <c r="H110" s="41">
        <v>100</v>
      </c>
      <c r="I110" s="41">
        <v>1</v>
      </c>
      <c r="J110" s="67">
        <f t="shared" si="10"/>
        <v>3500000</v>
      </c>
      <c r="K110" s="41"/>
      <c r="L110" s="41"/>
      <c r="M110" s="83">
        <f t="shared" si="11"/>
        <v>0</v>
      </c>
      <c r="N110" s="41"/>
      <c r="O110" s="41"/>
      <c r="P110" s="70">
        <f t="shared" si="12"/>
        <v>0</v>
      </c>
      <c r="Q110" s="41"/>
      <c r="R110" s="41"/>
      <c r="S110" s="70">
        <f t="shared" si="13"/>
        <v>0</v>
      </c>
      <c r="T110" s="41"/>
      <c r="U110" s="41"/>
      <c r="V110" s="70">
        <f t="shared" si="14"/>
        <v>0</v>
      </c>
      <c r="Y110" s="70">
        <f t="shared" si="15"/>
        <v>0</v>
      </c>
      <c r="AB110" s="70">
        <f t="shared" si="16"/>
        <v>0</v>
      </c>
      <c r="AE110" s="70">
        <f t="shared" si="17"/>
        <v>0</v>
      </c>
      <c r="AF110" s="28">
        <f t="shared" si="18"/>
        <v>3500000</v>
      </c>
      <c r="AG110" s="28">
        <f t="shared" si="19"/>
        <v>3398.0582524271845</v>
      </c>
    </row>
    <row r="111" spans="1:46" ht="43.2" x14ac:dyDescent="0.3">
      <c r="A111" s="41" t="s">
        <v>983</v>
      </c>
      <c r="B111" s="41" t="s">
        <v>1176</v>
      </c>
      <c r="C111" s="41" t="s">
        <v>1238</v>
      </c>
      <c r="D111" s="41" t="s">
        <v>1240</v>
      </c>
      <c r="E111" s="41" t="s">
        <v>168</v>
      </c>
      <c r="F111" s="41" t="s">
        <v>716</v>
      </c>
      <c r="G111" s="83">
        <v>39000</v>
      </c>
      <c r="H111" s="41">
        <v>58</v>
      </c>
      <c r="I111" s="41">
        <v>2</v>
      </c>
      <c r="J111" s="67">
        <f t="shared" si="10"/>
        <v>4524000</v>
      </c>
      <c r="K111" s="41"/>
      <c r="L111" s="41"/>
      <c r="M111" s="83">
        <f t="shared" si="11"/>
        <v>0</v>
      </c>
      <c r="N111" s="41"/>
      <c r="O111" s="41"/>
      <c r="P111" s="70">
        <f t="shared" si="12"/>
        <v>0</v>
      </c>
      <c r="Q111" s="41"/>
      <c r="R111" s="41"/>
      <c r="S111" s="70">
        <f t="shared" si="13"/>
        <v>0</v>
      </c>
      <c r="T111" s="41"/>
      <c r="U111" s="41"/>
      <c r="V111" s="70">
        <f t="shared" si="14"/>
        <v>0</v>
      </c>
      <c r="Y111" s="70">
        <f t="shared" si="15"/>
        <v>0</v>
      </c>
      <c r="AB111" s="70">
        <f t="shared" si="16"/>
        <v>0</v>
      </c>
      <c r="AE111" s="70">
        <f t="shared" si="17"/>
        <v>0</v>
      </c>
      <c r="AF111" s="28">
        <f t="shared" si="18"/>
        <v>4524000</v>
      </c>
      <c r="AG111" s="28">
        <f t="shared" si="19"/>
        <v>4392.2330097087379</v>
      </c>
    </row>
    <row r="112" spans="1:46" ht="43.2" x14ac:dyDescent="0.3">
      <c r="A112" s="41" t="s">
        <v>983</v>
      </c>
      <c r="B112" s="41" t="s">
        <v>1176</v>
      </c>
      <c r="C112" s="41" t="s">
        <v>1238</v>
      </c>
      <c r="D112" s="41" t="s">
        <v>1240</v>
      </c>
      <c r="E112" s="41" t="s">
        <v>168</v>
      </c>
      <c r="F112" s="41" t="s">
        <v>1350</v>
      </c>
      <c r="G112" s="83">
        <f>1999.2/7</f>
        <v>285.60000000000002</v>
      </c>
      <c r="H112" s="41">
        <f>2*135*29</f>
        <v>7830</v>
      </c>
      <c r="I112" s="41">
        <v>1</v>
      </c>
      <c r="J112" s="67">
        <f t="shared" si="10"/>
        <v>2236248</v>
      </c>
      <c r="K112" s="41"/>
      <c r="L112" s="41"/>
      <c r="M112" s="83">
        <f t="shared" si="11"/>
        <v>0</v>
      </c>
      <c r="N112" s="41"/>
      <c r="O112" s="41"/>
      <c r="P112" s="70">
        <f t="shared" si="12"/>
        <v>0</v>
      </c>
      <c r="Q112" s="41"/>
      <c r="R112" s="41"/>
      <c r="S112" s="70">
        <f t="shared" si="13"/>
        <v>0</v>
      </c>
      <c r="T112" s="41"/>
      <c r="U112" s="41"/>
      <c r="V112" s="70">
        <f t="shared" si="14"/>
        <v>0</v>
      </c>
      <c r="Y112" s="70">
        <f t="shared" si="15"/>
        <v>0</v>
      </c>
      <c r="AB112" s="70">
        <f t="shared" si="16"/>
        <v>0</v>
      </c>
      <c r="AE112" s="70">
        <f t="shared" si="17"/>
        <v>0</v>
      </c>
      <c r="AF112" s="28">
        <f t="shared" si="18"/>
        <v>2236248</v>
      </c>
      <c r="AG112" s="28">
        <f t="shared" si="19"/>
        <v>2171.1145631067961</v>
      </c>
    </row>
    <row r="113" spans="1:33" ht="43.2" x14ac:dyDescent="0.3">
      <c r="A113" s="41" t="s">
        <v>983</v>
      </c>
      <c r="B113" s="41" t="s">
        <v>1176</v>
      </c>
      <c r="C113" s="41" t="s">
        <v>1238</v>
      </c>
      <c r="D113" s="41" t="s">
        <v>1240</v>
      </c>
      <c r="E113" s="41" t="s">
        <v>168</v>
      </c>
      <c r="F113" s="41" t="s">
        <v>712</v>
      </c>
      <c r="G113" s="83">
        <f>1999.2/7</f>
        <v>285.60000000000002</v>
      </c>
      <c r="H113" s="41">
        <f>2*25*10</f>
        <v>500</v>
      </c>
      <c r="I113" s="41">
        <v>1</v>
      </c>
      <c r="J113" s="67">
        <f t="shared" si="10"/>
        <v>142800</v>
      </c>
      <c r="K113" s="41">
        <v>4000</v>
      </c>
      <c r="L113" s="41">
        <v>1</v>
      </c>
      <c r="M113" s="83">
        <f t="shared" si="11"/>
        <v>1256640</v>
      </c>
      <c r="N113" s="41">
        <v>0</v>
      </c>
      <c r="O113" s="41">
        <v>0</v>
      </c>
      <c r="P113" s="70">
        <f t="shared" si="12"/>
        <v>0</v>
      </c>
      <c r="Q113" s="41">
        <v>0</v>
      </c>
      <c r="R113" s="41">
        <v>0</v>
      </c>
      <c r="S113" s="70">
        <f t="shared" si="13"/>
        <v>0</v>
      </c>
      <c r="T113" s="41">
        <v>0</v>
      </c>
      <c r="U113" s="41">
        <v>0</v>
      </c>
      <c r="V113" s="70">
        <f t="shared" si="14"/>
        <v>0</v>
      </c>
      <c r="Y113" s="70">
        <f t="shared" si="15"/>
        <v>0</v>
      </c>
      <c r="AB113" s="70">
        <f t="shared" si="16"/>
        <v>0</v>
      </c>
      <c r="AE113" s="70">
        <f t="shared" si="17"/>
        <v>0</v>
      </c>
      <c r="AF113" s="28">
        <f t="shared" si="18"/>
        <v>1399440</v>
      </c>
      <c r="AG113" s="28">
        <f t="shared" si="19"/>
        <v>1358.6796116504854</v>
      </c>
    </row>
    <row r="114" spans="1:33" ht="43.2" x14ac:dyDescent="0.3">
      <c r="A114" s="41" t="s">
        <v>983</v>
      </c>
      <c r="B114" s="41" t="s">
        <v>1176</v>
      </c>
      <c r="C114" s="41" t="s">
        <v>1238</v>
      </c>
      <c r="D114" s="41" t="s">
        <v>1240</v>
      </c>
      <c r="E114" s="41" t="s">
        <v>1242</v>
      </c>
      <c r="F114" s="41" t="s">
        <v>841</v>
      </c>
      <c r="G114" s="83">
        <v>0</v>
      </c>
      <c r="H114" s="41">
        <v>0</v>
      </c>
      <c r="I114" s="41">
        <v>0</v>
      </c>
      <c r="J114" s="67">
        <f t="shared" si="10"/>
        <v>0</v>
      </c>
      <c r="K114" s="41">
        <v>35</v>
      </c>
      <c r="L114" s="41">
        <v>0.5</v>
      </c>
      <c r="M114" s="83">
        <f t="shared" si="11"/>
        <v>0</v>
      </c>
      <c r="N114" s="41">
        <v>0</v>
      </c>
      <c r="O114" s="41">
        <v>0</v>
      </c>
      <c r="P114" s="70">
        <f t="shared" si="12"/>
        <v>0</v>
      </c>
      <c r="Q114" s="41">
        <v>0</v>
      </c>
      <c r="R114" s="41">
        <v>0</v>
      </c>
      <c r="S114" s="70">
        <f t="shared" si="13"/>
        <v>0</v>
      </c>
      <c r="T114" s="41">
        <v>0</v>
      </c>
      <c r="U114" s="41">
        <v>0</v>
      </c>
      <c r="V114" s="70">
        <f t="shared" si="14"/>
        <v>0</v>
      </c>
      <c r="Y114" s="70">
        <f t="shared" si="15"/>
        <v>0</v>
      </c>
      <c r="AB114" s="70">
        <f t="shared" si="16"/>
        <v>0</v>
      </c>
      <c r="AE114" s="70">
        <f t="shared" si="17"/>
        <v>0</v>
      </c>
      <c r="AF114" s="28">
        <f t="shared" si="18"/>
        <v>0</v>
      </c>
      <c r="AG114" s="28">
        <f t="shared" si="19"/>
        <v>0</v>
      </c>
    </row>
    <row r="115" spans="1:33" ht="43.2" x14ac:dyDescent="0.3">
      <c r="A115" s="41" t="s">
        <v>983</v>
      </c>
      <c r="B115" s="41" t="s">
        <v>1176</v>
      </c>
      <c r="C115" s="41" t="s">
        <v>1238</v>
      </c>
      <c r="D115" s="41" t="s">
        <v>1243</v>
      </c>
      <c r="E115" s="41" t="s">
        <v>1025</v>
      </c>
      <c r="F115" s="41" t="s">
        <v>841</v>
      </c>
      <c r="G115" s="83">
        <v>0</v>
      </c>
      <c r="H115" s="41">
        <v>0</v>
      </c>
      <c r="I115" s="41">
        <v>0</v>
      </c>
      <c r="J115" s="67">
        <f t="shared" si="10"/>
        <v>0</v>
      </c>
      <c r="K115" s="41">
        <v>0</v>
      </c>
      <c r="L115" s="41">
        <v>0</v>
      </c>
      <c r="M115" s="83">
        <f t="shared" si="11"/>
        <v>0</v>
      </c>
      <c r="N115" s="41">
        <v>0</v>
      </c>
      <c r="O115" s="41">
        <v>0</v>
      </c>
      <c r="P115" s="70">
        <f t="shared" si="12"/>
        <v>0</v>
      </c>
      <c r="Q115" s="41">
        <v>0</v>
      </c>
      <c r="R115" s="41">
        <v>0</v>
      </c>
      <c r="S115" s="70">
        <f t="shared" si="13"/>
        <v>0</v>
      </c>
      <c r="T115" s="41">
        <v>0</v>
      </c>
      <c r="U115" s="41">
        <v>0</v>
      </c>
      <c r="V115" s="70">
        <f t="shared" si="14"/>
        <v>0</v>
      </c>
      <c r="Y115" s="70">
        <f t="shared" si="15"/>
        <v>0</v>
      </c>
      <c r="AB115" s="70">
        <f t="shared" si="16"/>
        <v>0</v>
      </c>
      <c r="AE115" s="70">
        <f t="shared" si="17"/>
        <v>0</v>
      </c>
      <c r="AF115" s="28">
        <f t="shared" si="18"/>
        <v>0</v>
      </c>
      <c r="AG115" s="28">
        <f t="shared" si="19"/>
        <v>0</v>
      </c>
    </row>
    <row r="116" spans="1:33" ht="43.2" x14ac:dyDescent="0.3">
      <c r="A116" s="41" t="s">
        <v>983</v>
      </c>
      <c r="B116" s="41" t="s">
        <v>1176</v>
      </c>
      <c r="C116" s="41" t="s">
        <v>1238</v>
      </c>
      <c r="D116" s="41" t="s">
        <v>1243</v>
      </c>
      <c r="E116" s="41" t="s">
        <v>149</v>
      </c>
      <c r="F116" s="41" t="s">
        <v>707</v>
      </c>
      <c r="G116" s="83">
        <v>391991.03749999998</v>
      </c>
      <c r="H116" s="41">
        <v>2</v>
      </c>
      <c r="I116" s="41">
        <v>2</v>
      </c>
      <c r="J116" s="67">
        <f t="shared" si="10"/>
        <v>1567964.15</v>
      </c>
      <c r="K116" s="41">
        <v>0</v>
      </c>
      <c r="L116" s="41">
        <v>0</v>
      </c>
      <c r="M116" s="83">
        <f t="shared" si="11"/>
        <v>0</v>
      </c>
      <c r="N116" s="41">
        <v>0</v>
      </c>
      <c r="O116" s="41">
        <v>0</v>
      </c>
      <c r="P116" s="70">
        <f t="shared" si="12"/>
        <v>0</v>
      </c>
      <c r="Q116" s="41">
        <v>0</v>
      </c>
      <c r="R116" s="41">
        <v>0</v>
      </c>
      <c r="S116" s="70">
        <f t="shared" si="13"/>
        <v>0</v>
      </c>
      <c r="T116" s="41">
        <v>0</v>
      </c>
      <c r="U116" s="41">
        <v>0</v>
      </c>
      <c r="V116" s="70">
        <f t="shared" si="14"/>
        <v>0</v>
      </c>
      <c r="Y116" s="70">
        <f t="shared" si="15"/>
        <v>0</v>
      </c>
      <c r="AB116" s="70">
        <f t="shared" si="16"/>
        <v>0</v>
      </c>
      <c r="AE116" s="70">
        <f t="shared" si="17"/>
        <v>0</v>
      </c>
      <c r="AF116" s="28">
        <f t="shared" si="18"/>
        <v>1567964.15</v>
      </c>
      <c r="AG116" s="28">
        <f t="shared" si="19"/>
        <v>1522.2952912621358</v>
      </c>
    </row>
    <row r="117" spans="1:33" ht="43.2" x14ac:dyDescent="0.3">
      <c r="A117" s="41" t="s">
        <v>983</v>
      </c>
      <c r="B117" s="41" t="s">
        <v>1176</v>
      </c>
      <c r="C117" s="41" t="s">
        <v>1238</v>
      </c>
      <c r="D117" s="41" t="s">
        <v>1243</v>
      </c>
      <c r="E117" s="41" t="s">
        <v>149</v>
      </c>
      <c r="F117" s="41" t="s">
        <v>708</v>
      </c>
      <c r="G117" s="83">
        <f>500*1030</f>
        <v>515000</v>
      </c>
      <c r="H117" s="41">
        <v>1</v>
      </c>
      <c r="I117" s="41">
        <v>25</v>
      </c>
      <c r="J117" s="67">
        <f t="shared" si="10"/>
        <v>12875000</v>
      </c>
      <c r="K117" s="41">
        <v>0</v>
      </c>
      <c r="L117" s="41">
        <v>0</v>
      </c>
      <c r="M117" s="83">
        <f t="shared" si="11"/>
        <v>0</v>
      </c>
      <c r="N117" s="41">
        <v>0</v>
      </c>
      <c r="O117" s="41">
        <v>0</v>
      </c>
      <c r="P117" s="70">
        <f t="shared" si="12"/>
        <v>0</v>
      </c>
      <c r="Q117" s="41">
        <v>0</v>
      </c>
      <c r="R117" s="41">
        <v>0</v>
      </c>
      <c r="S117" s="70">
        <f t="shared" si="13"/>
        <v>0</v>
      </c>
      <c r="T117" s="41">
        <v>1</v>
      </c>
      <c r="U117" s="41">
        <v>4</v>
      </c>
      <c r="V117" s="70">
        <f t="shared" si="14"/>
        <v>3016046.0000000009</v>
      </c>
      <c r="Y117" s="70">
        <f t="shared" si="15"/>
        <v>0</v>
      </c>
      <c r="AB117" s="70">
        <f t="shared" si="16"/>
        <v>0</v>
      </c>
      <c r="AE117" s="70">
        <f t="shared" si="17"/>
        <v>0</v>
      </c>
      <c r="AF117" s="28">
        <f t="shared" si="18"/>
        <v>15891046</v>
      </c>
      <c r="AG117" s="28">
        <f t="shared" si="19"/>
        <v>15428.2</v>
      </c>
    </row>
    <row r="118" spans="1:33" ht="43.2" x14ac:dyDescent="0.3">
      <c r="A118" s="41" t="s">
        <v>983</v>
      </c>
      <c r="B118" s="41" t="s">
        <v>1176</v>
      </c>
      <c r="C118" s="41" t="s">
        <v>1238</v>
      </c>
      <c r="D118" s="41" t="s">
        <v>1243</v>
      </c>
      <c r="E118" s="41" t="s">
        <v>1181</v>
      </c>
      <c r="F118" s="41" t="s">
        <v>841</v>
      </c>
      <c r="G118" s="83">
        <v>0</v>
      </c>
      <c r="H118" s="41">
        <v>0</v>
      </c>
      <c r="I118" s="41">
        <v>0</v>
      </c>
      <c r="J118" s="67">
        <f t="shared" si="10"/>
        <v>0</v>
      </c>
      <c r="K118" s="41">
        <v>0</v>
      </c>
      <c r="L118" s="41">
        <v>0</v>
      </c>
      <c r="M118" s="83">
        <f t="shared" si="11"/>
        <v>0</v>
      </c>
      <c r="N118" s="41">
        <v>0</v>
      </c>
      <c r="O118" s="41">
        <v>0</v>
      </c>
      <c r="P118" s="70">
        <f t="shared" si="12"/>
        <v>0</v>
      </c>
      <c r="Q118" s="41">
        <v>0</v>
      </c>
      <c r="R118" s="41">
        <v>0</v>
      </c>
      <c r="S118" s="70">
        <f t="shared" si="13"/>
        <v>0</v>
      </c>
      <c r="T118" s="41">
        <v>1</v>
      </c>
      <c r="U118" s="41">
        <v>40</v>
      </c>
      <c r="V118" s="70">
        <f t="shared" si="14"/>
        <v>0</v>
      </c>
      <c r="Y118" s="70">
        <f t="shared" si="15"/>
        <v>0</v>
      </c>
      <c r="AB118" s="70">
        <f t="shared" si="16"/>
        <v>0</v>
      </c>
      <c r="AE118" s="70">
        <f t="shared" si="17"/>
        <v>0</v>
      </c>
      <c r="AF118" s="28">
        <f t="shared" si="18"/>
        <v>0</v>
      </c>
      <c r="AG118" s="28">
        <f t="shared" si="19"/>
        <v>0</v>
      </c>
    </row>
    <row r="119" spans="1:33" ht="43.2" x14ac:dyDescent="0.3">
      <c r="A119" s="41" t="s">
        <v>983</v>
      </c>
      <c r="B119" s="41" t="s">
        <v>1176</v>
      </c>
      <c r="C119" s="41" t="s">
        <v>1238</v>
      </c>
      <c r="D119" s="41" t="s">
        <v>1243</v>
      </c>
      <c r="E119" s="41" t="s">
        <v>1015</v>
      </c>
      <c r="F119" s="41" t="s">
        <v>709</v>
      </c>
      <c r="G119" s="83">
        <v>35000</v>
      </c>
      <c r="H119" s="41">
        <v>30</v>
      </c>
      <c r="I119" s="41">
        <v>2</v>
      </c>
      <c r="J119" s="67">
        <f t="shared" si="10"/>
        <v>2100000</v>
      </c>
      <c r="K119" s="41">
        <v>0</v>
      </c>
      <c r="L119" s="41">
        <v>0</v>
      </c>
      <c r="M119" s="83">
        <f t="shared" si="11"/>
        <v>0</v>
      </c>
      <c r="N119" s="41">
        <v>0</v>
      </c>
      <c r="O119" s="41">
        <v>0</v>
      </c>
      <c r="P119" s="70">
        <f t="shared" si="12"/>
        <v>0</v>
      </c>
      <c r="Q119" s="41">
        <v>0</v>
      </c>
      <c r="R119" s="41">
        <v>0</v>
      </c>
      <c r="S119" s="70">
        <f t="shared" si="13"/>
        <v>0</v>
      </c>
      <c r="T119" s="41">
        <v>5</v>
      </c>
      <c r="U119" s="41">
        <v>5</v>
      </c>
      <c r="V119" s="70">
        <f t="shared" si="14"/>
        <v>1281087.5000000002</v>
      </c>
      <c r="Y119" s="70">
        <f t="shared" si="15"/>
        <v>0</v>
      </c>
      <c r="AB119" s="70">
        <f t="shared" si="16"/>
        <v>0</v>
      </c>
      <c r="AE119" s="70">
        <f t="shared" si="17"/>
        <v>0</v>
      </c>
      <c r="AF119" s="28">
        <f t="shared" si="18"/>
        <v>3381087.5</v>
      </c>
      <c r="AG119" s="28">
        <f t="shared" si="19"/>
        <v>3282.6092233009708</v>
      </c>
    </row>
    <row r="120" spans="1:33" ht="43.2" x14ac:dyDescent="0.3">
      <c r="A120" s="41" t="s">
        <v>983</v>
      </c>
      <c r="B120" s="41" t="s">
        <v>1176</v>
      </c>
      <c r="C120" s="41" t="s">
        <v>1238</v>
      </c>
      <c r="D120" s="41" t="s">
        <v>1243</v>
      </c>
      <c r="E120" s="41" t="s">
        <v>1015</v>
      </c>
      <c r="F120" s="41" t="s">
        <v>716</v>
      </c>
      <c r="G120" s="83">
        <v>39000</v>
      </c>
      <c r="H120" s="41">
        <v>30</v>
      </c>
      <c r="I120" s="41">
        <v>3</v>
      </c>
      <c r="J120" s="67">
        <f t="shared" si="10"/>
        <v>3510000</v>
      </c>
      <c r="K120" s="41"/>
      <c r="L120" s="41"/>
      <c r="M120" s="83">
        <f t="shared" si="11"/>
        <v>0</v>
      </c>
      <c r="N120" s="41"/>
      <c r="O120" s="41"/>
      <c r="P120" s="70">
        <f t="shared" si="12"/>
        <v>0</v>
      </c>
      <c r="Q120" s="41"/>
      <c r="R120" s="41"/>
      <c r="S120" s="70">
        <f t="shared" si="13"/>
        <v>0</v>
      </c>
      <c r="T120" s="41"/>
      <c r="U120" s="41"/>
      <c r="V120" s="70">
        <f t="shared" si="14"/>
        <v>0</v>
      </c>
      <c r="Y120" s="70">
        <f t="shared" si="15"/>
        <v>0</v>
      </c>
      <c r="AB120" s="70">
        <f t="shared" si="16"/>
        <v>0</v>
      </c>
      <c r="AE120" s="70">
        <f t="shared" si="17"/>
        <v>0</v>
      </c>
      <c r="AF120" s="28">
        <f t="shared" si="18"/>
        <v>3510000</v>
      </c>
      <c r="AG120" s="28">
        <f t="shared" si="19"/>
        <v>3407.7669902912621</v>
      </c>
    </row>
    <row r="121" spans="1:33" ht="43.2" x14ac:dyDescent="0.3">
      <c r="A121" s="41" t="s">
        <v>983</v>
      </c>
      <c r="B121" s="41" t="s">
        <v>1176</v>
      </c>
      <c r="C121" s="41" t="s">
        <v>1238</v>
      </c>
      <c r="D121" s="41" t="s">
        <v>1243</v>
      </c>
      <c r="E121" s="41" t="s">
        <v>1015</v>
      </c>
      <c r="F121" s="41" t="s">
        <v>712</v>
      </c>
      <c r="G121" s="83">
        <f>1999.2/7</f>
        <v>285.60000000000002</v>
      </c>
      <c r="H121" s="41">
        <f>25*2*10</f>
        <v>500</v>
      </c>
      <c r="I121" s="41">
        <v>3</v>
      </c>
      <c r="J121" s="67">
        <f t="shared" si="10"/>
        <v>428400</v>
      </c>
      <c r="K121" s="41"/>
      <c r="L121" s="41"/>
      <c r="M121" s="83">
        <f t="shared" si="11"/>
        <v>0</v>
      </c>
      <c r="N121" s="41"/>
      <c r="O121" s="41"/>
      <c r="P121" s="70">
        <f t="shared" si="12"/>
        <v>0</v>
      </c>
      <c r="Q121" s="41"/>
      <c r="R121" s="41"/>
      <c r="S121" s="70">
        <f t="shared" si="13"/>
        <v>0</v>
      </c>
      <c r="T121" s="41"/>
      <c r="U121" s="41"/>
      <c r="V121" s="70">
        <f t="shared" si="14"/>
        <v>0</v>
      </c>
      <c r="Y121" s="70">
        <f t="shared" si="15"/>
        <v>0</v>
      </c>
      <c r="AB121" s="70">
        <f t="shared" si="16"/>
        <v>0</v>
      </c>
      <c r="AE121" s="70">
        <f t="shared" si="17"/>
        <v>0</v>
      </c>
      <c r="AF121" s="28">
        <f t="shared" si="18"/>
        <v>428400</v>
      </c>
      <c r="AG121" s="28">
        <f t="shared" si="19"/>
        <v>415.92233009708735</v>
      </c>
    </row>
    <row r="122" spans="1:33" ht="43.2" x14ac:dyDescent="0.3">
      <c r="A122" s="41" t="s">
        <v>983</v>
      </c>
      <c r="B122" s="41" t="s">
        <v>1176</v>
      </c>
      <c r="C122" s="41" t="s">
        <v>1238</v>
      </c>
      <c r="D122" s="41" t="s">
        <v>1243</v>
      </c>
      <c r="E122" s="41" t="s">
        <v>1015</v>
      </c>
      <c r="F122" s="41" t="s">
        <v>1350</v>
      </c>
      <c r="G122" s="83">
        <f>1999.2/7</f>
        <v>285.60000000000002</v>
      </c>
      <c r="H122" s="41">
        <f>2*135*10</f>
        <v>2700</v>
      </c>
      <c r="I122" s="41"/>
      <c r="J122" s="67">
        <f t="shared" si="10"/>
        <v>0</v>
      </c>
      <c r="K122" s="41"/>
      <c r="L122" s="41"/>
      <c r="M122" s="83">
        <f t="shared" si="11"/>
        <v>0</v>
      </c>
      <c r="N122" s="41"/>
      <c r="O122" s="41"/>
      <c r="P122" s="70">
        <f t="shared" si="12"/>
        <v>0</v>
      </c>
      <c r="Q122" s="41"/>
      <c r="R122" s="41"/>
      <c r="S122" s="70">
        <f t="shared" si="13"/>
        <v>0</v>
      </c>
      <c r="T122" s="41"/>
      <c r="U122" s="41"/>
      <c r="V122" s="70">
        <f t="shared" si="14"/>
        <v>0</v>
      </c>
      <c r="Y122" s="70">
        <f t="shared" si="15"/>
        <v>0</v>
      </c>
      <c r="AB122" s="70">
        <f t="shared" si="16"/>
        <v>0</v>
      </c>
      <c r="AE122" s="70">
        <f t="shared" si="17"/>
        <v>0</v>
      </c>
      <c r="AF122" s="28">
        <f t="shared" si="18"/>
        <v>0</v>
      </c>
      <c r="AG122" s="28">
        <f t="shared" si="19"/>
        <v>0</v>
      </c>
    </row>
    <row r="123" spans="1:33" ht="43.2" x14ac:dyDescent="0.3">
      <c r="A123" s="41" t="s">
        <v>983</v>
      </c>
      <c r="B123" s="41" t="s">
        <v>1176</v>
      </c>
      <c r="C123" s="41" t="s">
        <v>1238</v>
      </c>
      <c r="D123" s="41" t="s">
        <v>1243</v>
      </c>
      <c r="E123" s="41" t="s">
        <v>1159</v>
      </c>
      <c r="F123" s="41" t="s">
        <v>713</v>
      </c>
      <c r="G123" s="83">
        <v>45000</v>
      </c>
      <c r="H123" s="41">
        <v>25</v>
      </c>
      <c r="I123" s="41">
        <v>2</v>
      </c>
      <c r="J123" s="67">
        <f t="shared" si="10"/>
        <v>2250000</v>
      </c>
      <c r="K123" s="41">
        <v>0</v>
      </c>
      <c r="L123" s="41">
        <v>0</v>
      </c>
      <c r="M123" s="83">
        <f t="shared" si="11"/>
        <v>0</v>
      </c>
      <c r="N123" s="41">
        <v>0</v>
      </c>
      <c r="O123" s="41">
        <v>0</v>
      </c>
      <c r="P123" s="70">
        <f t="shared" si="12"/>
        <v>0</v>
      </c>
      <c r="Q123" s="41">
        <v>0</v>
      </c>
      <c r="R123" s="41">
        <v>0</v>
      </c>
      <c r="S123" s="70">
        <f t="shared" si="13"/>
        <v>0</v>
      </c>
      <c r="T123" s="41">
        <v>25</v>
      </c>
      <c r="U123" s="41">
        <v>3</v>
      </c>
      <c r="V123" s="70">
        <f t="shared" si="14"/>
        <v>4941337.5000000019</v>
      </c>
      <c r="Y123" s="70">
        <f t="shared" si="15"/>
        <v>0</v>
      </c>
      <c r="AB123" s="70">
        <f t="shared" si="16"/>
        <v>0</v>
      </c>
      <c r="AE123" s="70">
        <f t="shared" si="17"/>
        <v>0</v>
      </c>
      <c r="AF123" s="28">
        <f t="shared" si="18"/>
        <v>7191337.5000000019</v>
      </c>
      <c r="AG123" s="28">
        <f t="shared" si="19"/>
        <v>6981.881067961167</v>
      </c>
    </row>
    <row r="124" spans="1:33" ht="43.2" x14ac:dyDescent="0.3">
      <c r="A124" s="41" t="s">
        <v>983</v>
      </c>
      <c r="B124" s="41" t="s">
        <v>1176</v>
      </c>
      <c r="C124" s="41" t="s">
        <v>1238</v>
      </c>
      <c r="D124" s="41" t="s">
        <v>1243</v>
      </c>
      <c r="E124" s="41" t="s">
        <v>1159</v>
      </c>
      <c r="F124" s="41" t="s">
        <v>1350</v>
      </c>
      <c r="G124" s="83">
        <f>1999.2/7</f>
        <v>285.60000000000002</v>
      </c>
      <c r="H124" s="41">
        <f>2*135*9</f>
        <v>2430</v>
      </c>
      <c r="I124" s="41">
        <v>1</v>
      </c>
      <c r="J124" s="67">
        <f t="shared" si="10"/>
        <v>694008</v>
      </c>
      <c r="K124" s="41"/>
      <c r="L124" s="41"/>
      <c r="M124" s="83">
        <f t="shared" si="11"/>
        <v>0</v>
      </c>
      <c r="N124" s="41"/>
      <c r="O124" s="41"/>
      <c r="P124" s="70">
        <f t="shared" si="12"/>
        <v>0</v>
      </c>
      <c r="Q124" s="41"/>
      <c r="R124" s="41"/>
      <c r="S124" s="70">
        <f t="shared" si="13"/>
        <v>0</v>
      </c>
      <c r="T124" s="41"/>
      <c r="U124" s="41"/>
      <c r="V124" s="70">
        <f t="shared" si="14"/>
        <v>0</v>
      </c>
      <c r="Y124" s="70">
        <f t="shared" si="15"/>
        <v>0</v>
      </c>
      <c r="AB124" s="70">
        <f t="shared" si="16"/>
        <v>0</v>
      </c>
      <c r="AE124" s="70">
        <f t="shared" si="17"/>
        <v>0</v>
      </c>
      <c r="AF124" s="28">
        <f t="shared" si="18"/>
        <v>694008</v>
      </c>
      <c r="AG124" s="28">
        <f t="shared" si="19"/>
        <v>673.79417475728155</v>
      </c>
    </row>
    <row r="125" spans="1:33" ht="43.2" x14ac:dyDescent="0.3">
      <c r="A125" s="41" t="s">
        <v>983</v>
      </c>
      <c r="B125" s="41" t="s">
        <v>1176</v>
      </c>
      <c r="C125" s="41" t="s">
        <v>1238</v>
      </c>
      <c r="D125" s="41" t="s">
        <v>1243</v>
      </c>
      <c r="E125" s="41" t="s">
        <v>1159</v>
      </c>
      <c r="F125" s="41" t="s">
        <v>712</v>
      </c>
      <c r="G125" s="83">
        <f>1999.2/7</f>
        <v>285.60000000000002</v>
      </c>
      <c r="H125" s="41">
        <f>25*2*9</f>
        <v>450</v>
      </c>
      <c r="I125" s="41">
        <v>1</v>
      </c>
      <c r="J125" s="67">
        <f t="shared" si="10"/>
        <v>128520.00000000001</v>
      </c>
      <c r="K125" s="41">
        <v>0</v>
      </c>
      <c r="L125" s="41">
        <v>0</v>
      </c>
      <c r="M125" s="83">
        <f t="shared" si="11"/>
        <v>0</v>
      </c>
      <c r="N125" s="41">
        <v>0</v>
      </c>
      <c r="O125" s="41">
        <v>0</v>
      </c>
      <c r="P125" s="70">
        <f t="shared" si="12"/>
        <v>0</v>
      </c>
      <c r="Q125" s="41">
        <v>0</v>
      </c>
      <c r="R125" s="41">
        <v>0</v>
      </c>
      <c r="S125" s="70">
        <f t="shared" si="13"/>
        <v>0</v>
      </c>
      <c r="T125" s="41">
        <v>25</v>
      </c>
      <c r="U125" s="41">
        <v>1</v>
      </c>
      <c r="V125" s="70">
        <f t="shared" si="14"/>
        <v>10453.674000000005</v>
      </c>
      <c r="Y125" s="70">
        <f t="shared" si="15"/>
        <v>0</v>
      </c>
      <c r="AB125" s="70">
        <f t="shared" si="16"/>
        <v>0</v>
      </c>
      <c r="AE125" s="70">
        <f t="shared" si="17"/>
        <v>0</v>
      </c>
      <c r="AF125" s="28">
        <f t="shared" si="18"/>
        <v>138973.67400000003</v>
      </c>
      <c r="AG125" s="28">
        <f t="shared" si="19"/>
        <v>134.92589708737867</v>
      </c>
    </row>
    <row r="126" spans="1:33" ht="43.2" x14ac:dyDescent="0.3">
      <c r="A126" s="41" t="s">
        <v>983</v>
      </c>
      <c r="B126" s="41" t="s">
        <v>1176</v>
      </c>
      <c r="C126" s="41" t="s">
        <v>1238</v>
      </c>
      <c r="D126" s="41" t="s">
        <v>1243</v>
      </c>
      <c r="E126" s="41" t="s">
        <v>1017</v>
      </c>
      <c r="F126" s="41" t="s">
        <v>709</v>
      </c>
      <c r="G126" s="83">
        <v>35000</v>
      </c>
      <c r="H126" s="41">
        <v>25</v>
      </c>
      <c r="I126" s="41">
        <v>1</v>
      </c>
      <c r="J126" s="67">
        <f t="shared" si="10"/>
        <v>875000</v>
      </c>
      <c r="K126" s="41">
        <v>0</v>
      </c>
      <c r="L126" s="41">
        <v>0</v>
      </c>
      <c r="M126" s="83">
        <f t="shared" si="11"/>
        <v>0</v>
      </c>
      <c r="N126" s="41">
        <v>0</v>
      </c>
      <c r="O126" s="41">
        <v>0</v>
      </c>
      <c r="P126" s="70">
        <f t="shared" si="12"/>
        <v>0</v>
      </c>
      <c r="Q126" s="41">
        <v>0</v>
      </c>
      <c r="R126" s="41">
        <v>0</v>
      </c>
      <c r="S126" s="70">
        <f t="shared" si="13"/>
        <v>0</v>
      </c>
      <c r="T126" s="41">
        <v>4000</v>
      </c>
      <c r="U126" s="41">
        <v>1</v>
      </c>
      <c r="V126" s="70">
        <f t="shared" si="14"/>
        <v>204974000.00000006</v>
      </c>
      <c r="Y126" s="70">
        <f t="shared" si="15"/>
        <v>0</v>
      </c>
      <c r="AB126" s="70">
        <f t="shared" si="16"/>
        <v>0</v>
      </c>
      <c r="AE126" s="70">
        <f t="shared" si="17"/>
        <v>0</v>
      </c>
      <c r="AF126" s="28">
        <f t="shared" si="18"/>
        <v>205849000.00000006</v>
      </c>
      <c r="AG126" s="28">
        <f t="shared" si="19"/>
        <v>199853.3980582525</v>
      </c>
    </row>
    <row r="127" spans="1:33" ht="43.2" x14ac:dyDescent="0.3">
      <c r="A127" s="41" t="s">
        <v>983</v>
      </c>
      <c r="B127" s="41" t="s">
        <v>1176</v>
      </c>
      <c r="C127" s="41" t="s">
        <v>1238</v>
      </c>
      <c r="D127" s="41" t="s">
        <v>1243</v>
      </c>
      <c r="E127" s="41" t="s">
        <v>1182</v>
      </c>
      <c r="F127" s="41" t="s">
        <v>713</v>
      </c>
      <c r="G127" s="83">
        <v>45000</v>
      </c>
      <c r="H127" s="41">
        <v>25</v>
      </c>
      <c r="I127" s="41">
        <v>6</v>
      </c>
      <c r="J127" s="67">
        <f t="shared" si="10"/>
        <v>6750000</v>
      </c>
      <c r="K127" s="41">
        <v>0</v>
      </c>
      <c r="L127" s="41">
        <v>0</v>
      </c>
      <c r="M127" s="83">
        <f t="shared" si="11"/>
        <v>0</v>
      </c>
      <c r="N127" s="41">
        <v>0</v>
      </c>
      <c r="O127" s="41">
        <v>0</v>
      </c>
      <c r="P127" s="70">
        <f t="shared" si="12"/>
        <v>0</v>
      </c>
      <c r="Q127" s="41">
        <v>0</v>
      </c>
      <c r="R127" s="41">
        <v>0</v>
      </c>
      <c r="S127" s="70">
        <f t="shared" si="13"/>
        <v>0</v>
      </c>
      <c r="T127" s="41">
        <v>30</v>
      </c>
      <c r="U127" s="41">
        <v>1</v>
      </c>
      <c r="V127" s="70">
        <f t="shared" si="14"/>
        <v>1976535.0000000005</v>
      </c>
      <c r="Y127" s="70">
        <f t="shared" si="15"/>
        <v>0</v>
      </c>
      <c r="AB127" s="70">
        <f t="shared" si="16"/>
        <v>0</v>
      </c>
      <c r="AE127" s="70">
        <f t="shared" si="17"/>
        <v>0</v>
      </c>
      <c r="AF127" s="28">
        <f t="shared" si="18"/>
        <v>8726535</v>
      </c>
      <c r="AG127" s="28">
        <f t="shared" si="19"/>
        <v>8472.3640776699031</v>
      </c>
    </row>
    <row r="128" spans="1:33" ht="43.2" x14ac:dyDescent="0.3">
      <c r="A128" s="41" t="s">
        <v>983</v>
      </c>
      <c r="B128" s="41" t="s">
        <v>1176</v>
      </c>
      <c r="C128" s="41" t="s">
        <v>1238</v>
      </c>
      <c r="D128" s="41" t="s">
        <v>1243</v>
      </c>
      <c r="E128" s="41" t="s">
        <v>1182</v>
      </c>
      <c r="F128" s="41" t="s">
        <v>712</v>
      </c>
      <c r="G128" s="83">
        <f>1999.2/7</f>
        <v>285.60000000000002</v>
      </c>
      <c r="H128" s="41">
        <f>25*2*9</f>
        <v>450</v>
      </c>
      <c r="I128" s="41">
        <v>5</v>
      </c>
      <c r="J128" s="67">
        <f t="shared" si="10"/>
        <v>642600.00000000012</v>
      </c>
      <c r="K128" s="41">
        <v>0</v>
      </c>
      <c r="L128" s="41">
        <v>0</v>
      </c>
      <c r="M128" s="83">
        <f t="shared" si="11"/>
        <v>0</v>
      </c>
      <c r="N128" s="41">
        <v>0</v>
      </c>
      <c r="O128" s="41">
        <v>0</v>
      </c>
      <c r="P128" s="70">
        <f t="shared" si="12"/>
        <v>0</v>
      </c>
      <c r="Q128" s="41">
        <v>0</v>
      </c>
      <c r="R128" s="41">
        <v>0</v>
      </c>
      <c r="S128" s="70">
        <f t="shared" si="13"/>
        <v>0</v>
      </c>
      <c r="T128" s="41">
        <v>25</v>
      </c>
      <c r="U128" s="41">
        <v>10</v>
      </c>
      <c r="V128" s="70">
        <f t="shared" si="14"/>
        <v>104536.74000000005</v>
      </c>
      <c r="Y128" s="70">
        <f t="shared" si="15"/>
        <v>0</v>
      </c>
      <c r="AB128" s="70">
        <f t="shared" si="16"/>
        <v>0</v>
      </c>
      <c r="AE128" s="70">
        <f t="shared" si="17"/>
        <v>0</v>
      </c>
      <c r="AF128" s="28">
        <f t="shared" si="18"/>
        <v>747136.74000000022</v>
      </c>
      <c r="AG128" s="28">
        <f t="shared" si="19"/>
        <v>725.37547572815561</v>
      </c>
    </row>
    <row r="129" spans="1:33" ht="43.2" x14ac:dyDescent="0.3">
      <c r="A129" s="41" t="s">
        <v>983</v>
      </c>
      <c r="B129" s="41" t="s">
        <v>1176</v>
      </c>
      <c r="C129" s="41" t="s">
        <v>1238</v>
      </c>
      <c r="D129" s="41" t="s">
        <v>1243</v>
      </c>
      <c r="E129" s="41" t="s">
        <v>1182</v>
      </c>
      <c r="F129" s="41" t="s">
        <v>1350</v>
      </c>
      <c r="G129" s="83">
        <f>1999.2/7</f>
        <v>285.60000000000002</v>
      </c>
      <c r="H129" s="41">
        <f>2*135*9</f>
        <v>2430</v>
      </c>
      <c r="I129" s="41">
        <v>1</v>
      </c>
      <c r="J129" s="67">
        <f t="shared" si="10"/>
        <v>694008</v>
      </c>
      <c r="K129" s="41"/>
      <c r="L129" s="41"/>
      <c r="M129" s="83">
        <f t="shared" si="11"/>
        <v>0</v>
      </c>
      <c r="N129" s="41"/>
      <c r="O129" s="41"/>
      <c r="P129" s="70">
        <f t="shared" si="12"/>
        <v>0</v>
      </c>
      <c r="Q129" s="41"/>
      <c r="R129" s="41"/>
      <c r="S129" s="70">
        <f t="shared" si="13"/>
        <v>0</v>
      </c>
      <c r="T129" s="41"/>
      <c r="U129" s="41"/>
      <c r="V129" s="70">
        <f t="shared" si="14"/>
        <v>0</v>
      </c>
      <c r="Y129" s="70">
        <f t="shared" si="15"/>
        <v>0</v>
      </c>
      <c r="AB129" s="70">
        <f t="shared" si="16"/>
        <v>0</v>
      </c>
      <c r="AE129" s="70">
        <f t="shared" si="17"/>
        <v>0</v>
      </c>
      <c r="AF129" s="28">
        <f t="shared" si="18"/>
        <v>694008</v>
      </c>
      <c r="AG129" s="28">
        <f t="shared" si="19"/>
        <v>673.79417475728155</v>
      </c>
    </row>
    <row r="130" spans="1:33" ht="43.2" x14ac:dyDescent="0.3">
      <c r="A130" s="41" t="s">
        <v>983</v>
      </c>
      <c r="B130" s="41" t="s">
        <v>1176</v>
      </c>
      <c r="C130" s="41" t="s">
        <v>1238</v>
      </c>
      <c r="D130" s="41" t="s">
        <v>1243</v>
      </c>
      <c r="E130" s="41" t="s">
        <v>1182</v>
      </c>
      <c r="F130" s="41" t="s">
        <v>714</v>
      </c>
      <c r="G130" s="83">
        <v>10000</v>
      </c>
      <c r="H130" s="41">
        <v>15</v>
      </c>
      <c r="I130" s="41">
        <v>1</v>
      </c>
      <c r="J130" s="67">
        <f t="shared" si="10"/>
        <v>150000</v>
      </c>
      <c r="K130" s="41">
        <v>0</v>
      </c>
      <c r="L130" s="41">
        <v>0</v>
      </c>
      <c r="M130" s="83">
        <f t="shared" si="11"/>
        <v>0</v>
      </c>
      <c r="N130" s="41">
        <v>0</v>
      </c>
      <c r="O130" s="41">
        <v>0</v>
      </c>
      <c r="P130" s="70">
        <f t="shared" si="12"/>
        <v>0</v>
      </c>
      <c r="Q130" s="41">
        <v>0</v>
      </c>
      <c r="R130" s="41">
        <v>0</v>
      </c>
      <c r="S130" s="70">
        <f t="shared" si="13"/>
        <v>0</v>
      </c>
      <c r="T130" s="41">
        <v>20000</v>
      </c>
      <c r="U130" s="41">
        <v>1</v>
      </c>
      <c r="V130" s="70">
        <f t="shared" si="14"/>
        <v>292820000.00000006</v>
      </c>
      <c r="Y130" s="70">
        <f t="shared" si="15"/>
        <v>0</v>
      </c>
      <c r="AB130" s="70">
        <f t="shared" si="16"/>
        <v>0</v>
      </c>
      <c r="AE130" s="70">
        <f t="shared" si="17"/>
        <v>0</v>
      </c>
      <c r="AF130" s="28">
        <f t="shared" si="18"/>
        <v>292970000.00000006</v>
      </c>
      <c r="AG130" s="28">
        <f t="shared" si="19"/>
        <v>284436.89320388355</v>
      </c>
    </row>
    <row r="131" spans="1:33" ht="43.2" x14ac:dyDescent="0.3">
      <c r="A131" s="41" t="s">
        <v>983</v>
      </c>
      <c r="B131" s="41" t="s">
        <v>1176</v>
      </c>
      <c r="C131" s="41" t="s">
        <v>1238</v>
      </c>
      <c r="D131" s="41" t="s">
        <v>1243</v>
      </c>
      <c r="E131" s="41" t="s">
        <v>1004</v>
      </c>
      <c r="F131" s="41" t="s">
        <v>709</v>
      </c>
      <c r="G131" s="83">
        <v>35000</v>
      </c>
      <c r="H131" s="41">
        <v>25</v>
      </c>
      <c r="I131" s="41">
        <v>5</v>
      </c>
      <c r="J131" s="67">
        <f t="shared" si="10"/>
        <v>4375000</v>
      </c>
      <c r="K131" s="41">
        <v>0</v>
      </c>
      <c r="L131" s="41">
        <v>0</v>
      </c>
      <c r="M131" s="83">
        <f t="shared" ref="M131:M194" si="20">(G131*1.1)*K131*L131</f>
        <v>0</v>
      </c>
      <c r="N131" s="41">
        <v>0</v>
      </c>
      <c r="O131" s="41">
        <v>0</v>
      </c>
      <c r="P131" s="70">
        <f t="shared" ref="P131:P194" si="21">($G131*1.1^2)*N131*O131</f>
        <v>0</v>
      </c>
      <c r="Q131" s="41">
        <v>0</v>
      </c>
      <c r="R131" s="41">
        <v>0</v>
      </c>
      <c r="S131" s="70">
        <f t="shared" ref="S131:S194" si="22">($G131*1.1^3)*Q131*R131</f>
        <v>0</v>
      </c>
      <c r="T131" s="41">
        <v>15</v>
      </c>
      <c r="U131" s="41">
        <v>1</v>
      </c>
      <c r="V131" s="70">
        <f t="shared" ref="V131:V194" si="23">($G131*1.1^4)*T131*U131</f>
        <v>768652.50000000023</v>
      </c>
      <c r="Y131" s="70">
        <f t="shared" ref="Y131:Y194" si="24">($G131*1.1^5)*W131*X131</f>
        <v>0</v>
      </c>
      <c r="AB131" s="70">
        <f t="shared" ref="AB131:AB194" si="25">($G131*1.1^6)*Z131*AA131</f>
        <v>0</v>
      </c>
      <c r="AE131" s="70">
        <f t="shared" ref="AE131:AE194" si="26">($G131*1.1^7)*AC131*AD131</f>
        <v>0</v>
      </c>
      <c r="AF131" s="28">
        <f t="shared" ref="AF131:AF194" si="27">J131+M131+P131+S131+V131+Y131+AB131+AE131</f>
        <v>5143652.5</v>
      </c>
      <c r="AG131" s="28">
        <f t="shared" ref="AG131:AG194" si="28">AF131/$AL$2</f>
        <v>4993.8373786407765</v>
      </c>
    </row>
    <row r="132" spans="1:33" ht="43.2" x14ac:dyDescent="0.3">
      <c r="A132" s="41" t="s">
        <v>983</v>
      </c>
      <c r="B132" s="41" t="s">
        <v>1176</v>
      </c>
      <c r="C132" s="41" t="s">
        <v>1238</v>
      </c>
      <c r="D132" s="41" t="s">
        <v>1243</v>
      </c>
      <c r="E132" s="41" t="s">
        <v>1004</v>
      </c>
      <c r="F132" s="41" t="s">
        <v>716</v>
      </c>
      <c r="G132" s="83">
        <v>39000</v>
      </c>
      <c r="H132" s="41">
        <v>25</v>
      </c>
      <c r="I132" s="41">
        <v>6</v>
      </c>
      <c r="J132" s="67">
        <f t="shared" si="10"/>
        <v>5850000</v>
      </c>
      <c r="K132" s="41">
        <v>0</v>
      </c>
      <c r="L132" s="41">
        <v>0</v>
      </c>
      <c r="M132" s="83">
        <f t="shared" si="20"/>
        <v>0</v>
      </c>
      <c r="N132" s="41">
        <v>0</v>
      </c>
      <c r="O132" s="41">
        <v>0</v>
      </c>
      <c r="P132" s="70">
        <f t="shared" si="21"/>
        <v>0</v>
      </c>
      <c r="Q132" s="41">
        <v>0</v>
      </c>
      <c r="R132" s="41">
        <v>0</v>
      </c>
      <c r="S132" s="70">
        <f t="shared" si="22"/>
        <v>0</v>
      </c>
      <c r="T132" s="41">
        <v>25</v>
      </c>
      <c r="U132" s="41">
        <v>5</v>
      </c>
      <c r="V132" s="70">
        <f t="shared" si="23"/>
        <v>7137487.5000000019</v>
      </c>
      <c r="Y132" s="70">
        <f t="shared" si="24"/>
        <v>0</v>
      </c>
      <c r="AB132" s="70">
        <f t="shared" si="25"/>
        <v>0</v>
      </c>
      <c r="AE132" s="70">
        <f t="shared" si="26"/>
        <v>0</v>
      </c>
      <c r="AF132" s="28">
        <f t="shared" si="27"/>
        <v>12987487.500000002</v>
      </c>
      <c r="AG132" s="28">
        <f t="shared" si="28"/>
        <v>12609.211165048546</v>
      </c>
    </row>
    <row r="133" spans="1:33" ht="43.2" x14ac:dyDescent="0.3">
      <c r="A133" s="41" t="s">
        <v>983</v>
      </c>
      <c r="B133" s="41" t="s">
        <v>1176</v>
      </c>
      <c r="C133" s="41" t="s">
        <v>1238</v>
      </c>
      <c r="D133" s="41" t="s">
        <v>1243</v>
      </c>
      <c r="E133" s="41" t="s">
        <v>1004</v>
      </c>
      <c r="F133" s="41" t="s">
        <v>1350</v>
      </c>
      <c r="G133" s="83">
        <f>1999.2/7</f>
        <v>285.60000000000002</v>
      </c>
      <c r="H133" s="41">
        <f>2*135*9</f>
        <v>2430</v>
      </c>
      <c r="I133" s="41">
        <v>1</v>
      </c>
      <c r="J133" s="67">
        <f t="shared" si="10"/>
        <v>694008</v>
      </c>
      <c r="K133" s="41"/>
      <c r="L133" s="41"/>
      <c r="M133" s="83">
        <f t="shared" si="20"/>
        <v>0</v>
      </c>
      <c r="N133" s="41"/>
      <c r="O133" s="41"/>
      <c r="P133" s="70">
        <f t="shared" si="21"/>
        <v>0</v>
      </c>
      <c r="Q133" s="41"/>
      <c r="R133" s="41"/>
      <c r="S133" s="70">
        <f t="shared" si="22"/>
        <v>0</v>
      </c>
      <c r="T133" s="41"/>
      <c r="U133" s="41"/>
      <c r="V133" s="70">
        <f t="shared" si="23"/>
        <v>0</v>
      </c>
      <c r="Y133" s="70">
        <f t="shared" si="24"/>
        <v>0</v>
      </c>
      <c r="AB133" s="70">
        <f t="shared" si="25"/>
        <v>0</v>
      </c>
      <c r="AE133" s="70">
        <f t="shared" si="26"/>
        <v>0</v>
      </c>
      <c r="AF133" s="28">
        <f t="shared" si="27"/>
        <v>694008</v>
      </c>
      <c r="AG133" s="28">
        <f t="shared" si="28"/>
        <v>673.79417475728155</v>
      </c>
    </row>
    <row r="134" spans="1:33" ht="43.2" x14ac:dyDescent="0.3">
      <c r="A134" s="41" t="s">
        <v>983</v>
      </c>
      <c r="B134" s="41" t="s">
        <v>1176</v>
      </c>
      <c r="C134" s="41" t="s">
        <v>1238</v>
      </c>
      <c r="D134" s="41" t="s">
        <v>1243</v>
      </c>
      <c r="E134" s="41" t="s">
        <v>1004</v>
      </c>
      <c r="F134" s="41" t="s">
        <v>712</v>
      </c>
      <c r="G134" s="83">
        <f>1999.2/7</f>
        <v>285.60000000000002</v>
      </c>
      <c r="H134" s="41">
        <f>25*2*9</f>
        <v>450</v>
      </c>
      <c r="I134" s="41">
        <v>5</v>
      </c>
      <c r="J134" s="67">
        <f t="shared" ref="J134:J155" si="29">G134*H134*I134</f>
        <v>642600.00000000012</v>
      </c>
      <c r="K134" s="41">
        <v>0</v>
      </c>
      <c r="L134" s="41">
        <v>0</v>
      </c>
      <c r="M134" s="83">
        <f t="shared" si="20"/>
        <v>0</v>
      </c>
      <c r="N134" s="41">
        <v>0</v>
      </c>
      <c r="O134" s="41">
        <v>0</v>
      </c>
      <c r="P134" s="70">
        <f t="shared" si="21"/>
        <v>0</v>
      </c>
      <c r="Q134" s="41">
        <v>0</v>
      </c>
      <c r="R134" s="41">
        <v>0</v>
      </c>
      <c r="S134" s="70">
        <f t="shared" si="22"/>
        <v>0</v>
      </c>
      <c r="T134" s="41">
        <v>25</v>
      </c>
      <c r="U134" s="41">
        <v>5</v>
      </c>
      <c r="V134" s="70">
        <f t="shared" si="23"/>
        <v>52268.370000000024</v>
      </c>
      <c r="Y134" s="70">
        <f t="shared" si="24"/>
        <v>0</v>
      </c>
      <c r="AB134" s="70">
        <f t="shared" si="25"/>
        <v>0</v>
      </c>
      <c r="AE134" s="70">
        <f t="shared" si="26"/>
        <v>0</v>
      </c>
      <c r="AF134" s="28">
        <f t="shared" si="27"/>
        <v>694868.37000000011</v>
      </c>
      <c r="AG134" s="28">
        <f t="shared" si="28"/>
        <v>674.62948543689333</v>
      </c>
    </row>
    <row r="135" spans="1:33" ht="43.2" x14ac:dyDescent="0.3">
      <c r="A135" s="41" t="s">
        <v>983</v>
      </c>
      <c r="B135" s="41" t="s">
        <v>1176</v>
      </c>
      <c r="C135" s="41" t="s">
        <v>1238</v>
      </c>
      <c r="D135" s="41" t="s">
        <v>1243</v>
      </c>
      <c r="E135" s="41" t="s">
        <v>1042</v>
      </c>
      <c r="F135" s="41" t="s">
        <v>841</v>
      </c>
      <c r="G135" s="83">
        <v>0</v>
      </c>
      <c r="H135" s="41">
        <v>0</v>
      </c>
      <c r="I135" s="41">
        <v>0</v>
      </c>
      <c r="J135" s="67">
        <f t="shared" si="29"/>
        <v>0</v>
      </c>
      <c r="K135" s="41">
        <v>0</v>
      </c>
      <c r="L135" s="41">
        <v>0</v>
      </c>
      <c r="M135" s="83">
        <f t="shared" si="20"/>
        <v>0</v>
      </c>
      <c r="N135" s="41">
        <v>0</v>
      </c>
      <c r="O135" s="41">
        <v>0</v>
      </c>
      <c r="P135" s="70">
        <f t="shared" si="21"/>
        <v>0</v>
      </c>
      <c r="Q135" s="41">
        <v>0</v>
      </c>
      <c r="R135" s="41">
        <v>0</v>
      </c>
      <c r="S135" s="70">
        <f t="shared" si="22"/>
        <v>0</v>
      </c>
      <c r="T135" s="41">
        <v>4000</v>
      </c>
      <c r="U135" s="41">
        <v>1</v>
      </c>
      <c r="V135" s="70">
        <f t="shared" si="23"/>
        <v>0</v>
      </c>
      <c r="Y135" s="70">
        <f t="shared" si="24"/>
        <v>0</v>
      </c>
      <c r="AB135" s="70">
        <f t="shared" si="25"/>
        <v>0</v>
      </c>
      <c r="AE135" s="70">
        <f t="shared" si="26"/>
        <v>0</v>
      </c>
      <c r="AF135" s="28">
        <f t="shared" si="27"/>
        <v>0</v>
      </c>
      <c r="AG135" s="28">
        <f t="shared" si="28"/>
        <v>0</v>
      </c>
    </row>
    <row r="136" spans="1:33" ht="43.2" x14ac:dyDescent="0.3">
      <c r="A136" s="41" t="s">
        <v>983</v>
      </c>
      <c r="B136" s="41" t="s">
        <v>1176</v>
      </c>
      <c r="C136" s="41" t="s">
        <v>1238</v>
      </c>
      <c r="D136" s="41" t="s">
        <v>1243</v>
      </c>
      <c r="E136" s="41" t="s">
        <v>1369</v>
      </c>
      <c r="F136" s="41" t="s">
        <v>709</v>
      </c>
      <c r="G136" s="83">
        <v>35000</v>
      </c>
      <c r="H136" s="41">
        <v>100</v>
      </c>
      <c r="I136" s="41">
        <v>1</v>
      </c>
      <c r="J136" s="67">
        <f t="shared" si="29"/>
        <v>3500000</v>
      </c>
      <c r="K136" s="41"/>
      <c r="L136" s="41"/>
      <c r="M136" s="83">
        <f t="shared" si="20"/>
        <v>0</v>
      </c>
      <c r="N136" s="41"/>
      <c r="O136" s="41"/>
      <c r="P136" s="70">
        <f t="shared" si="21"/>
        <v>0</v>
      </c>
      <c r="Q136" s="41"/>
      <c r="R136" s="41"/>
      <c r="S136" s="70">
        <f t="shared" si="22"/>
        <v>0</v>
      </c>
      <c r="T136" s="41"/>
      <c r="U136" s="41"/>
      <c r="V136" s="70">
        <f t="shared" si="23"/>
        <v>0</v>
      </c>
      <c r="Y136" s="70">
        <f t="shared" si="24"/>
        <v>0</v>
      </c>
      <c r="AB136" s="70">
        <f t="shared" si="25"/>
        <v>0</v>
      </c>
      <c r="AE136" s="70">
        <f t="shared" si="26"/>
        <v>0</v>
      </c>
      <c r="AF136" s="28">
        <f t="shared" si="27"/>
        <v>3500000</v>
      </c>
      <c r="AG136" s="28">
        <f t="shared" si="28"/>
        <v>3398.0582524271845</v>
      </c>
    </row>
    <row r="137" spans="1:33" ht="43.2" x14ac:dyDescent="0.3">
      <c r="A137" s="41" t="s">
        <v>983</v>
      </c>
      <c r="B137" s="41" t="s">
        <v>1176</v>
      </c>
      <c r="C137" s="41" t="s">
        <v>1238</v>
      </c>
      <c r="D137" s="41" t="s">
        <v>1243</v>
      </c>
      <c r="E137" s="41" t="s">
        <v>1369</v>
      </c>
      <c r="F137" s="41" t="s">
        <v>716</v>
      </c>
      <c r="G137" s="83">
        <v>39000</v>
      </c>
      <c r="H137" s="41">
        <v>58</v>
      </c>
      <c r="I137" s="41">
        <v>2</v>
      </c>
      <c r="J137" s="67">
        <f t="shared" si="29"/>
        <v>4524000</v>
      </c>
      <c r="K137" s="41"/>
      <c r="L137" s="41"/>
      <c r="M137" s="83">
        <f t="shared" si="20"/>
        <v>0</v>
      </c>
      <c r="N137" s="41"/>
      <c r="O137" s="41"/>
      <c r="P137" s="70">
        <f t="shared" si="21"/>
        <v>0</v>
      </c>
      <c r="Q137" s="41"/>
      <c r="R137" s="41"/>
      <c r="S137" s="70">
        <f t="shared" si="22"/>
        <v>0</v>
      </c>
      <c r="T137" s="41"/>
      <c r="U137" s="41"/>
      <c r="V137" s="70">
        <f t="shared" si="23"/>
        <v>0</v>
      </c>
      <c r="Y137" s="70">
        <f t="shared" si="24"/>
        <v>0</v>
      </c>
      <c r="AB137" s="70">
        <f t="shared" si="25"/>
        <v>0</v>
      </c>
      <c r="AE137" s="70">
        <f t="shared" si="26"/>
        <v>0</v>
      </c>
      <c r="AF137" s="28">
        <f t="shared" si="27"/>
        <v>4524000</v>
      </c>
      <c r="AG137" s="28">
        <f t="shared" si="28"/>
        <v>4392.2330097087379</v>
      </c>
    </row>
    <row r="138" spans="1:33" ht="43.2" x14ac:dyDescent="0.3">
      <c r="A138" s="41" t="s">
        <v>983</v>
      </c>
      <c r="B138" s="41" t="s">
        <v>1176</v>
      </c>
      <c r="C138" s="41" t="s">
        <v>1238</v>
      </c>
      <c r="D138" s="41" t="s">
        <v>1243</v>
      </c>
      <c r="E138" s="41" t="s">
        <v>1369</v>
      </c>
      <c r="F138" s="41" t="s">
        <v>712</v>
      </c>
      <c r="G138" s="83">
        <f>1999.2/7</f>
        <v>285.60000000000002</v>
      </c>
      <c r="H138" s="41">
        <f>2*25*29</f>
        <v>1450</v>
      </c>
      <c r="I138" s="41">
        <v>1</v>
      </c>
      <c r="J138" s="67">
        <f t="shared" si="29"/>
        <v>414120.00000000006</v>
      </c>
      <c r="K138" s="41"/>
      <c r="L138" s="41"/>
      <c r="M138" s="83">
        <f t="shared" si="20"/>
        <v>0</v>
      </c>
      <c r="N138" s="41"/>
      <c r="O138" s="41"/>
      <c r="P138" s="70">
        <f t="shared" si="21"/>
        <v>0</v>
      </c>
      <c r="Q138" s="41"/>
      <c r="R138" s="41"/>
      <c r="S138" s="70">
        <f t="shared" si="22"/>
        <v>0</v>
      </c>
      <c r="T138" s="41"/>
      <c r="U138" s="41"/>
      <c r="V138" s="70">
        <f t="shared" si="23"/>
        <v>0</v>
      </c>
      <c r="Y138" s="70">
        <f t="shared" si="24"/>
        <v>0</v>
      </c>
      <c r="AB138" s="70">
        <f t="shared" si="25"/>
        <v>0</v>
      </c>
      <c r="AE138" s="70">
        <f t="shared" si="26"/>
        <v>0</v>
      </c>
      <c r="AF138" s="28">
        <f t="shared" si="27"/>
        <v>414120.00000000006</v>
      </c>
      <c r="AG138" s="28">
        <f t="shared" si="28"/>
        <v>402.05825242718453</v>
      </c>
    </row>
    <row r="139" spans="1:33" ht="43.2" x14ac:dyDescent="0.3">
      <c r="A139" s="41" t="s">
        <v>983</v>
      </c>
      <c r="B139" s="41" t="s">
        <v>1176</v>
      </c>
      <c r="C139" s="41" t="s">
        <v>1238</v>
      </c>
      <c r="D139" s="41" t="s">
        <v>1243</v>
      </c>
      <c r="E139" s="41" t="s">
        <v>1369</v>
      </c>
      <c r="F139" s="41" t="s">
        <v>1350</v>
      </c>
      <c r="G139" s="83">
        <f>1999.2/7</f>
        <v>285.60000000000002</v>
      </c>
      <c r="H139" s="41">
        <f>2*135*29</f>
        <v>7830</v>
      </c>
      <c r="I139" s="41">
        <v>1</v>
      </c>
      <c r="J139" s="67">
        <f t="shared" si="29"/>
        <v>2236248</v>
      </c>
      <c r="K139" s="41"/>
      <c r="L139" s="41"/>
      <c r="M139" s="83">
        <f t="shared" si="20"/>
        <v>0</v>
      </c>
      <c r="N139" s="41"/>
      <c r="O139" s="41"/>
      <c r="P139" s="70">
        <f t="shared" si="21"/>
        <v>0</v>
      </c>
      <c r="Q139" s="41"/>
      <c r="R139" s="41"/>
      <c r="S139" s="70">
        <f t="shared" si="22"/>
        <v>0</v>
      </c>
      <c r="T139" s="41"/>
      <c r="U139" s="41"/>
      <c r="V139" s="70">
        <f t="shared" si="23"/>
        <v>0</v>
      </c>
      <c r="Y139" s="70">
        <f t="shared" si="24"/>
        <v>0</v>
      </c>
      <c r="AB139" s="70">
        <f t="shared" si="25"/>
        <v>0</v>
      </c>
      <c r="AE139" s="70">
        <f t="shared" si="26"/>
        <v>0</v>
      </c>
      <c r="AF139" s="28">
        <f t="shared" si="27"/>
        <v>2236248</v>
      </c>
      <c r="AG139" s="28">
        <f t="shared" si="28"/>
        <v>2171.1145631067961</v>
      </c>
    </row>
    <row r="140" spans="1:33" ht="43.2" x14ac:dyDescent="0.3">
      <c r="A140" s="41" t="s">
        <v>983</v>
      </c>
      <c r="B140" s="41" t="s">
        <v>1176</v>
      </c>
      <c r="C140" s="41" t="s">
        <v>1238</v>
      </c>
      <c r="D140" s="41" t="s">
        <v>1243</v>
      </c>
      <c r="E140" s="41" t="s">
        <v>154</v>
      </c>
      <c r="F140" s="41" t="s">
        <v>841</v>
      </c>
      <c r="G140" s="83">
        <v>0</v>
      </c>
      <c r="H140" s="41">
        <v>0</v>
      </c>
      <c r="I140" s="41">
        <v>0</v>
      </c>
      <c r="J140" s="67">
        <f t="shared" si="29"/>
        <v>0</v>
      </c>
      <c r="K140" s="41">
        <v>0</v>
      </c>
      <c r="L140" s="41">
        <v>0</v>
      </c>
      <c r="M140" s="83">
        <f t="shared" si="20"/>
        <v>0</v>
      </c>
      <c r="N140" s="41">
        <v>0</v>
      </c>
      <c r="O140" s="41">
        <v>0</v>
      </c>
      <c r="P140" s="70">
        <f t="shared" si="21"/>
        <v>0</v>
      </c>
      <c r="Q140" s="41">
        <v>0</v>
      </c>
      <c r="R140" s="41">
        <v>0</v>
      </c>
      <c r="S140" s="70">
        <f t="shared" si="22"/>
        <v>0</v>
      </c>
      <c r="T140" s="41">
        <v>0</v>
      </c>
      <c r="U140" s="41">
        <v>0</v>
      </c>
      <c r="V140" s="70">
        <f t="shared" si="23"/>
        <v>0</v>
      </c>
      <c r="Y140" s="70">
        <f t="shared" si="24"/>
        <v>0</v>
      </c>
      <c r="AB140" s="70">
        <f t="shared" si="25"/>
        <v>0</v>
      </c>
      <c r="AE140" s="70">
        <f t="shared" si="26"/>
        <v>0</v>
      </c>
      <c r="AF140" s="28">
        <f t="shared" si="27"/>
        <v>0</v>
      </c>
      <c r="AG140" s="28">
        <f t="shared" si="28"/>
        <v>0</v>
      </c>
    </row>
    <row r="141" spans="1:33" ht="43.2" x14ac:dyDescent="0.3">
      <c r="A141" s="41" t="s">
        <v>983</v>
      </c>
      <c r="B141" s="41" t="s">
        <v>1176</v>
      </c>
      <c r="C141" s="41" t="s">
        <v>1238</v>
      </c>
      <c r="D141" s="41" t="s">
        <v>1191</v>
      </c>
      <c r="E141" s="41" t="s">
        <v>1244</v>
      </c>
      <c r="F141" s="41" t="s">
        <v>709</v>
      </c>
      <c r="G141" s="83">
        <v>35000</v>
      </c>
      <c r="H141" s="41">
        <v>25</v>
      </c>
      <c r="I141" s="41">
        <v>1</v>
      </c>
      <c r="J141" s="67">
        <f t="shared" si="29"/>
        <v>875000</v>
      </c>
      <c r="K141" s="41">
        <v>0</v>
      </c>
      <c r="L141" s="41">
        <v>0</v>
      </c>
      <c r="M141" s="83">
        <f t="shared" si="20"/>
        <v>0</v>
      </c>
      <c r="N141" s="41">
        <v>0</v>
      </c>
      <c r="O141" s="41">
        <v>0</v>
      </c>
      <c r="P141" s="70">
        <f t="shared" si="21"/>
        <v>0</v>
      </c>
      <c r="Q141" s="41">
        <v>0</v>
      </c>
      <c r="R141" s="41">
        <v>0</v>
      </c>
      <c r="S141" s="70">
        <f t="shared" si="22"/>
        <v>0</v>
      </c>
      <c r="T141" s="41">
        <v>0</v>
      </c>
      <c r="U141" s="41">
        <v>0</v>
      </c>
      <c r="V141" s="70">
        <f t="shared" si="23"/>
        <v>0</v>
      </c>
      <c r="Y141" s="70">
        <f t="shared" si="24"/>
        <v>0</v>
      </c>
      <c r="AB141" s="70">
        <f t="shared" si="25"/>
        <v>0</v>
      </c>
      <c r="AE141" s="70">
        <f t="shared" si="26"/>
        <v>0</v>
      </c>
      <c r="AF141" s="28">
        <f t="shared" si="27"/>
        <v>875000</v>
      </c>
      <c r="AG141" s="28">
        <f t="shared" si="28"/>
        <v>849.51456310679612</v>
      </c>
    </row>
    <row r="142" spans="1:33" ht="43.2" x14ac:dyDescent="0.3">
      <c r="A142" s="41" t="s">
        <v>983</v>
      </c>
      <c r="B142" s="41" t="s">
        <v>1176</v>
      </c>
      <c r="C142" s="41" t="s">
        <v>1238</v>
      </c>
      <c r="D142" s="41" t="s">
        <v>1191</v>
      </c>
      <c r="E142" s="41" t="s">
        <v>1192</v>
      </c>
      <c r="F142" s="41" t="s">
        <v>841</v>
      </c>
      <c r="G142" s="83">
        <v>0</v>
      </c>
      <c r="H142" s="41">
        <v>0</v>
      </c>
      <c r="I142" s="41">
        <v>0</v>
      </c>
      <c r="J142" s="67">
        <f t="shared" si="29"/>
        <v>0</v>
      </c>
      <c r="K142" s="41">
        <v>0</v>
      </c>
      <c r="L142" s="41">
        <v>0</v>
      </c>
      <c r="M142" s="83">
        <f t="shared" si="20"/>
        <v>0</v>
      </c>
      <c r="N142" s="41">
        <v>20</v>
      </c>
      <c r="O142" s="41">
        <v>1</v>
      </c>
      <c r="P142" s="70">
        <f t="shared" si="21"/>
        <v>0</v>
      </c>
      <c r="Q142" s="41">
        <v>0</v>
      </c>
      <c r="R142" s="41">
        <v>0</v>
      </c>
      <c r="S142" s="70">
        <f t="shared" si="22"/>
        <v>0</v>
      </c>
      <c r="T142" s="41">
        <v>0</v>
      </c>
      <c r="U142" s="41">
        <v>0</v>
      </c>
      <c r="V142" s="70">
        <f t="shared" si="23"/>
        <v>0</v>
      </c>
      <c r="Y142" s="70">
        <f t="shared" si="24"/>
        <v>0</v>
      </c>
      <c r="AB142" s="70">
        <f t="shared" si="25"/>
        <v>0</v>
      </c>
      <c r="AE142" s="70">
        <f t="shared" si="26"/>
        <v>0</v>
      </c>
      <c r="AF142" s="28">
        <f t="shared" si="27"/>
        <v>0</v>
      </c>
      <c r="AG142" s="28">
        <f t="shared" si="28"/>
        <v>0</v>
      </c>
    </row>
    <row r="143" spans="1:33" ht="43.2" x14ac:dyDescent="0.3">
      <c r="A143" s="41" t="s">
        <v>983</v>
      </c>
      <c r="B143" s="41" t="s">
        <v>1176</v>
      </c>
      <c r="C143" s="41" t="s">
        <v>1238</v>
      </c>
      <c r="D143" s="41" t="s">
        <v>1191</v>
      </c>
      <c r="E143" s="41" t="s">
        <v>1245</v>
      </c>
      <c r="F143" s="41" t="s">
        <v>709</v>
      </c>
      <c r="G143" s="83">
        <v>0</v>
      </c>
      <c r="H143" s="41">
        <v>0</v>
      </c>
      <c r="I143" s="41">
        <v>0</v>
      </c>
      <c r="J143" s="67">
        <f t="shared" si="29"/>
        <v>0</v>
      </c>
      <c r="K143" s="41">
        <v>0</v>
      </c>
      <c r="L143" s="41">
        <v>0</v>
      </c>
      <c r="M143" s="83">
        <f t="shared" si="20"/>
        <v>0</v>
      </c>
      <c r="N143" s="41">
        <v>0</v>
      </c>
      <c r="O143" s="41">
        <v>0</v>
      </c>
      <c r="P143" s="70">
        <f t="shared" si="21"/>
        <v>0</v>
      </c>
      <c r="Q143" s="41">
        <v>0</v>
      </c>
      <c r="R143" s="41">
        <v>0</v>
      </c>
      <c r="S143" s="70">
        <f t="shared" si="22"/>
        <v>0</v>
      </c>
      <c r="T143" s="41">
        <v>0</v>
      </c>
      <c r="U143" s="41">
        <v>0</v>
      </c>
      <c r="V143" s="70">
        <f t="shared" si="23"/>
        <v>0</v>
      </c>
      <c r="Y143" s="70">
        <f t="shared" si="24"/>
        <v>0</v>
      </c>
      <c r="AB143" s="70">
        <f t="shared" si="25"/>
        <v>0</v>
      </c>
      <c r="AE143" s="70">
        <f t="shared" si="26"/>
        <v>0</v>
      </c>
      <c r="AF143" s="28">
        <f t="shared" si="27"/>
        <v>0</v>
      </c>
      <c r="AG143" s="28">
        <f t="shared" si="28"/>
        <v>0</v>
      </c>
    </row>
    <row r="144" spans="1:33" ht="43.2" x14ac:dyDescent="0.3">
      <c r="A144" s="41" t="s">
        <v>983</v>
      </c>
      <c r="B144" s="41" t="s">
        <v>1176</v>
      </c>
      <c r="C144" s="41" t="s">
        <v>1238</v>
      </c>
      <c r="D144" s="41" t="s">
        <v>1191</v>
      </c>
      <c r="E144" s="41" t="s">
        <v>1246</v>
      </c>
      <c r="F144" s="41" t="s">
        <v>718</v>
      </c>
      <c r="G144" s="83">
        <v>0</v>
      </c>
      <c r="H144" s="41">
        <v>0</v>
      </c>
      <c r="I144" s="41">
        <v>0</v>
      </c>
      <c r="J144" s="67">
        <f t="shared" si="29"/>
        <v>0</v>
      </c>
      <c r="K144" s="41">
        <v>0</v>
      </c>
      <c r="L144" s="41">
        <v>0</v>
      </c>
      <c r="M144" s="83">
        <f t="shared" si="20"/>
        <v>0</v>
      </c>
      <c r="N144" s="41">
        <v>0</v>
      </c>
      <c r="O144" s="41">
        <v>0</v>
      </c>
      <c r="P144" s="70">
        <f t="shared" si="21"/>
        <v>0</v>
      </c>
      <c r="Q144" s="41">
        <v>0</v>
      </c>
      <c r="R144" s="41">
        <v>0</v>
      </c>
      <c r="S144" s="70">
        <f t="shared" si="22"/>
        <v>0</v>
      </c>
      <c r="T144" s="41">
        <v>0</v>
      </c>
      <c r="U144" s="41">
        <v>0</v>
      </c>
      <c r="V144" s="70">
        <f t="shared" si="23"/>
        <v>0</v>
      </c>
      <c r="Y144" s="70">
        <f t="shared" si="24"/>
        <v>0</v>
      </c>
      <c r="AB144" s="70">
        <f t="shared" si="25"/>
        <v>0</v>
      </c>
      <c r="AE144" s="70">
        <f t="shared" si="26"/>
        <v>0</v>
      </c>
      <c r="AF144" s="28">
        <f t="shared" si="27"/>
        <v>0</v>
      </c>
      <c r="AG144" s="28">
        <f t="shared" si="28"/>
        <v>0</v>
      </c>
    </row>
    <row r="145" spans="1:47" ht="43.2" x14ac:dyDescent="0.3">
      <c r="A145" s="41" t="s">
        <v>983</v>
      </c>
      <c r="B145" s="41" t="s">
        <v>1176</v>
      </c>
      <c r="C145" s="41" t="s">
        <v>1238</v>
      </c>
      <c r="D145" s="41" t="s">
        <v>1195</v>
      </c>
      <c r="E145" s="41" t="s">
        <v>1247</v>
      </c>
      <c r="F145" s="41" t="s">
        <v>709</v>
      </c>
      <c r="G145" s="83">
        <v>0</v>
      </c>
      <c r="H145" s="41">
        <v>0</v>
      </c>
      <c r="I145" s="41">
        <v>0</v>
      </c>
      <c r="J145" s="67">
        <f t="shared" si="29"/>
        <v>0</v>
      </c>
      <c r="K145" s="41">
        <v>0</v>
      </c>
      <c r="L145" s="41">
        <v>0</v>
      </c>
      <c r="M145" s="83">
        <f t="shared" si="20"/>
        <v>0</v>
      </c>
      <c r="N145" s="41">
        <v>0</v>
      </c>
      <c r="O145" s="41">
        <v>0</v>
      </c>
      <c r="P145" s="70">
        <f t="shared" si="21"/>
        <v>0</v>
      </c>
      <c r="Q145" s="41">
        <v>0</v>
      </c>
      <c r="R145" s="41">
        <v>0</v>
      </c>
      <c r="S145" s="70">
        <f t="shared" si="22"/>
        <v>0</v>
      </c>
      <c r="T145" s="41">
        <v>0</v>
      </c>
      <c r="U145" s="41">
        <v>0</v>
      </c>
      <c r="V145" s="70">
        <f t="shared" si="23"/>
        <v>0</v>
      </c>
      <c r="Y145" s="70">
        <f t="shared" si="24"/>
        <v>0</v>
      </c>
      <c r="AB145" s="70">
        <f t="shared" si="25"/>
        <v>0</v>
      </c>
      <c r="AE145" s="70">
        <f t="shared" si="26"/>
        <v>0</v>
      </c>
      <c r="AF145" s="28">
        <f t="shared" si="27"/>
        <v>0</v>
      </c>
      <c r="AG145" s="28">
        <f t="shared" si="28"/>
        <v>0</v>
      </c>
    </row>
    <row r="146" spans="1:47" ht="43.2" x14ac:dyDescent="0.3">
      <c r="A146" s="41" t="s">
        <v>983</v>
      </c>
      <c r="B146" s="41" t="s">
        <v>1176</v>
      </c>
      <c r="C146" s="41" t="s">
        <v>1238</v>
      </c>
      <c r="D146" s="41" t="s">
        <v>1195</v>
      </c>
      <c r="E146" s="41" t="s">
        <v>1248</v>
      </c>
      <c r="F146" s="41" t="s">
        <v>707</v>
      </c>
      <c r="G146" s="83">
        <v>391991.03749999998</v>
      </c>
      <c r="H146" s="41">
        <v>2</v>
      </c>
      <c r="I146" s="41">
        <v>2</v>
      </c>
      <c r="J146" s="67">
        <f t="shared" si="29"/>
        <v>1567964.15</v>
      </c>
      <c r="K146" s="41">
        <v>0</v>
      </c>
      <c r="L146" s="41">
        <v>0</v>
      </c>
      <c r="M146" s="83">
        <f t="shared" si="20"/>
        <v>0</v>
      </c>
      <c r="N146" s="41">
        <v>0</v>
      </c>
      <c r="O146" s="41">
        <v>0</v>
      </c>
      <c r="P146" s="70">
        <f t="shared" si="21"/>
        <v>0</v>
      </c>
      <c r="Q146" s="41">
        <v>0</v>
      </c>
      <c r="R146" s="41">
        <v>0</v>
      </c>
      <c r="S146" s="70">
        <f t="shared" si="22"/>
        <v>0</v>
      </c>
      <c r="T146" s="41">
        <v>0</v>
      </c>
      <c r="U146" s="41">
        <v>0</v>
      </c>
      <c r="V146" s="70">
        <f t="shared" si="23"/>
        <v>0</v>
      </c>
      <c r="Y146" s="70">
        <f t="shared" si="24"/>
        <v>0</v>
      </c>
      <c r="AB146" s="70">
        <f t="shared" si="25"/>
        <v>0</v>
      </c>
      <c r="AE146" s="70">
        <f t="shared" si="26"/>
        <v>0</v>
      </c>
      <c r="AF146" s="28">
        <f t="shared" si="27"/>
        <v>1567964.15</v>
      </c>
      <c r="AG146" s="28">
        <f t="shared" si="28"/>
        <v>1522.2952912621358</v>
      </c>
    </row>
    <row r="147" spans="1:47" ht="43.2" x14ac:dyDescent="0.3">
      <c r="A147" s="41" t="s">
        <v>983</v>
      </c>
      <c r="B147" s="41" t="s">
        <v>1176</v>
      </c>
      <c r="C147" s="41" t="s">
        <v>1238</v>
      </c>
      <c r="D147" s="41" t="s">
        <v>1195</v>
      </c>
      <c r="E147" s="41" t="s">
        <v>1196</v>
      </c>
      <c r="F147" s="41" t="s">
        <v>841</v>
      </c>
      <c r="G147" s="83">
        <v>0</v>
      </c>
      <c r="H147" s="41">
        <v>0</v>
      </c>
      <c r="I147" s="41">
        <v>0</v>
      </c>
      <c r="J147" s="67">
        <f t="shared" si="29"/>
        <v>0</v>
      </c>
      <c r="K147" s="41">
        <v>0</v>
      </c>
      <c r="L147" s="41">
        <v>0</v>
      </c>
      <c r="M147" s="83">
        <f t="shared" si="20"/>
        <v>0</v>
      </c>
      <c r="N147" s="41">
        <v>1</v>
      </c>
      <c r="O147" s="41">
        <v>4</v>
      </c>
      <c r="P147" s="70">
        <f t="shared" si="21"/>
        <v>0</v>
      </c>
      <c r="Q147" s="41">
        <v>0</v>
      </c>
      <c r="R147" s="41">
        <v>0</v>
      </c>
      <c r="S147" s="70">
        <f t="shared" si="22"/>
        <v>0</v>
      </c>
      <c r="T147" s="41">
        <v>0</v>
      </c>
      <c r="U147" s="41">
        <v>0</v>
      </c>
      <c r="V147" s="70">
        <f t="shared" si="23"/>
        <v>0</v>
      </c>
      <c r="Y147" s="70">
        <f t="shared" si="24"/>
        <v>0</v>
      </c>
      <c r="AB147" s="70">
        <f t="shared" si="25"/>
        <v>0</v>
      </c>
      <c r="AE147" s="70">
        <f t="shared" si="26"/>
        <v>0</v>
      </c>
      <c r="AF147" s="28">
        <f t="shared" si="27"/>
        <v>0</v>
      </c>
      <c r="AG147" s="28">
        <f t="shared" si="28"/>
        <v>0</v>
      </c>
    </row>
    <row r="148" spans="1:47" ht="43.2" x14ac:dyDescent="0.3">
      <c r="A148" s="41" t="s">
        <v>983</v>
      </c>
      <c r="B148" s="41" t="s">
        <v>1176</v>
      </c>
      <c r="C148" s="41" t="s">
        <v>1238</v>
      </c>
      <c r="D148" s="41" t="s">
        <v>1195</v>
      </c>
      <c r="E148" s="41" t="s">
        <v>1197</v>
      </c>
      <c r="F148" s="41" t="s">
        <v>841</v>
      </c>
      <c r="G148" s="83">
        <v>0</v>
      </c>
      <c r="H148" s="41">
        <v>0</v>
      </c>
      <c r="I148" s="41">
        <v>0</v>
      </c>
      <c r="J148" s="67">
        <f t="shared" si="29"/>
        <v>0</v>
      </c>
      <c r="K148" s="41">
        <v>0</v>
      </c>
      <c r="L148" s="41">
        <v>0</v>
      </c>
      <c r="M148" s="83">
        <f t="shared" si="20"/>
        <v>0</v>
      </c>
      <c r="N148" s="41">
        <v>0</v>
      </c>
      <c r="O148" s="41">
        <v>0</v>
      </c>
      <c r="P148" s="70">
        <f t="shared" si="21"/>
        <v>0</v>
      </c>
      <c r="Q148" s="41">
        <v>0</v>
      </c>
      <c r="R148" s="41">
        <v>0</v>
      </c>
      <c r="S148" s="70">
        <f t="shared" si="22"/>
        <v>0</v>
      </c>
      <c r="T148" s="41">
        <v>0</v>
      </c>
      <c r="U148" s="41">
        <v>0</v>
      </c>
      <c r="V148" s="70">
        <f t="shared" si="23"/>
        <v>0</v>
      </c>
      <c r="Y148" s="70">
        <f t="shared" si="24"/>
        <v>0</v>
      </c>
      <c r="AB148" s="70">
        <f t="shared" si="25"/>
        <v>0</v>
      </c>
      <c r="AE148" s="70">
        <f t="shared" si="26"/>
        <v>0</v>
      </c>
      <c r="AF148" s="28">
        <f t="shared" si="27"/>
        <v>0</v>
      </c>
      <c r="AG148" s="28">
        <f t="shared" si="28"/>
        <v>0</v>
      </c>
    </row>
    <row r="149" spans="1:47" ht="43.2" x14ac:dyDescent="0.3">
      <c r="A149" s="41" t="s">
        <v>983</v>
      </c>
      <c r="B149" s="41" t="s">
        <v>1176</v>
      </c>
      <c r="C149" s="41" t="s">
        <v>1238</v>
      </c>
      <c r="D149" s="41" t="s">
        <v>1249</v>
      </c>
      <c r="E149" s="41" t="s">
        <v>1250</v>
      </c>
      <c r="F149" s="41" t="s">
        <v>709</v>
      </c>
      <c r="G149" s="83">
        <v>35000</v>
      </c>
      <c r="H149" s="41">
        <v>25</v>
      </c>
      <c r="I149" s="41">
        <v>2</v>
      </c>
      <c r="J149" s="67">
        <f t="shared" si="29"/>
        <v>1750000</v>
      </c>
      <c r="K149" s="41">
        <v>0</v>
      </c>
      <c r="L149" s="41">
        <v>0</v>
      </c>
      <c r="M149" s="83">
        <f t="shared" si="20"/>
        <v>0</v>
      </c>
      <c r="N149" s="41">
        <v>0</v>
      </c>
      <c r="O149" s="41">
        <v>0</v>
      </c>
      <c r="P149" s="70">
        <f t="shared" si="21"/>
        <v>0</v>
      </c>
      <c r="Q149" s="41">
        <v>0</v>
      </c>
      <c r="R149" s="41">
        <v>0</v>
      </c>
      <c r="S149" s="70">
        <f t="shared" si="22"/>
        <v>0</v>
      </c>
      <c r="T149" s="41">
        <v>0</v>
      </c>
      <c r="U149" s="41">
        <v>0</v>
      </c>
      <c r="V149" s="70">
        <f t="shared" si="23"/>
        <v>0</v>
      </c>
      <c r="Y149" s="70">
        <f t="shared" si="24"/>
        <v>0</v>
      </c>
      <c r="AB149" s="70">
        <f t="shared" si="25"/>
        <v>0</v>
      </c>
      <c r="AE149" s="70">
        <f t="shared" si="26"/>
        <v>0</v>
      </c>
      <c r="AF149" s="28">
        <f t="shared" si="27"/>
        <v>1750000</v>
      </c>
      <c r="AG149" s="28">
        <f t="shared" si="28"/>
        <v>1699.0291262135922</v>
      </c>
    </row>
    <row r="150" spans="1:47" ht="43.2" x14ac:dyDescent="0.3">
      <c r="A150" s="41" t="s">
        <v>983</v>
      </c>
      <c r="B150" s="41" t="s">
        <v>1176</v>
      </c>
      <c r="C150" s="41" t="s">
        <v>1238</v>
      </c>
      <c r="D150" s="41" t="s">
        <v>1251</v>
      </c>
      <c r="E150" s="41" t="s">
        <v>1203</v>
      </c>
      <c r="F150" s="41" t="s">
        <v>841</v>
      </c>
      <c r="G150" s="83">
        <v>0</v>
      </c>
      <c r="H150" s="41">
        <v>20</v>
      </c>
      <c r="I150" s="41">
        <v>4</v>
      </c>
      <c r="J150" s="67">
        <f t="shared" si="29"/>
        <v>0</v>
      </c>
      <c r="K150" s="41">
        <v>20</v>
      </c>
      <c r="L150" s="41">
        <v>4</v>
      </c>
      <c r="M150" s="83">
        <f t="shared" si="20"/>
        <v>0</v>
      </c>
      <c r="N150" s="41">
        <v>20</v>
      </c>
      <c r="O150" s="41">
        <v>4</v>
      </c>
      <c r="P150" s="70">
        <f t="shared" si="21"/>
        <v>0</v>
      </c>
      <c r="Q150" s="41">
        <v>20</v>
      </c>
      <c r="R150" s="41">
        <v>4</v>
      </c>
      <c r="S150" s="70">
        <f t="shared" si="22"/>
        <v>0</v>
      </c>
      <c r="T150" s="41">
        <v>20</v>
      </c>
      <c r="U150" s="41">
        <v>4</v>
      </c>
      <c r="V150" s="70">
        <f t="shared" si="23"/>
        <v>0</v>
      </c>
      <c r="Y150" s="70">
        <f t="shared" si="24"/>
        <v>0</v>
      </c>
      <c r="AB150" s="70">
        <f t="shared" si="25"/>
        <v>0</v>
      </c>
      <c r="AE150" s="70">
        <f t="shared" si="26"/>
        <v>0</v>
      </c>
      <c r="AF150" s="28">
        <f t="shared" si="27"/>
        <v>0</v>
      </c>
      <c r="AG150" s="28">
        <f t="shared" si="28"/>
        <v>0</v>
      </c>
    </row>
    <row r="151" spans="1:47" ht="43.2" x14ac:dyDescent="0.3">
      <c r="A151" s="41" t="s">
        <v>983</v>
      </c>
      <c r="B151" s="41" t="s">
        <v>1176</v>
      </c>
      <c r="C151" s="41" t="s">
        <v>1238</v>
      </c>
      <c r="D151" s="41" t="s">
        <v>1251</v>
      </c>
      <c r="E151" s="41" t="s">
        <v>1204</v>
      </c>
      <c r="F151" s="41" t="s">
        <v>841</v>
      </c>
      <c r="G151" s="83">
        <v>0</v>
      </c>
      <c r="H151" s="41">
        <v>0</v>
      </c>
      <c r="I151" s="41">
        <v>0</v>
      </c>
      <c r="J151" s="67">
        <f t="shared" si="29"/>
        <v>0</v>
      </c>
      <c r="K151" s="41">
        <v>0</v>
      </c>
      <c r="L151" s="41">
        <v>0</v>
      </c>
      <c r="M151" s="83">
        <f t="shared" si="20"/>
        <v>0</v>
      </c>
      <c r="N151" s="41">
        <v>0</v>
      </c>
      <c r="O151" s="41">
        <v>0</v>
      </c>
      <c r="P151" s="70">
        <f t="shared" si="21"/>
        <v>0</v>
      </c>
      <c r="Q151" s="41">
        <v>0</v>
      </c>
      <c r="R151" s="41">
        <v>0</v>
      </c>
      <c r="S151" s="70">
        <f t="shared" si="22"/>
        <v>0</v>
      </c>
      <c r="T151" s="41">
        <v>0</v>
      </c>
      <c r="U151" s="41">
        <v>0</v>
      </c>
      <c r="V151" s="70">
        <f t="shared" si="23"/>
        <v>0</v>
      </c>
      <c r="Y151" s="70">
        <f t="shared" si="24"/>
        <v>0</v>
      </c>
      <c r="AB151" s="70">
        <f t="shared" si="25"/>
        <v>0</v>
      </c>
      <c r="AE151" s="70">
        <f t="shared" si="26"/>
        <v>0</v>
      </c>
      <c r="AF151" s="28">
        <f t="shared" si="27"/>
        <v>0</v>
      </c>
      <c r="AG151" s="28">
        <f t="shared" si="28"/>
        <v>0</v>
      </c>
    </row>
    <row r="152" spans="1:47" ht="43.2" x14ac:dyDescent="0.3">
      <c r="A152" s="41" t="s">
        <v>983</v>
      </c>
      <c r="B152" s="41" t="s">
        <v>1176</v>
      </c>
      <c r="C152" s="41" t="s">
        <v>1238</v>
      </c>
      <c r="D152" s="41" t="s">
        <v>1252</v>
      </c>
      <c r="E152" s="41" t="s">
        <v>169</v>
      </c>
      <c r="F152" s="41" t="s">
        <v>841</v>
      </c>
      <c r="G152" s="83">
        <v>0</v>
      </c>
      <c r="H152" s="41">
        <v>0</v>
      </c>
      <c r="I152" s="41">
        <v>0</v>
      </c>
      <c r="J152" s="67">
        <f t="shared" si="29"/>
        <v>0</v>
      </c>
      <c r="K152" s="41">
        <v>0</v>
      </c>
      <c r="L152" s="41">
        <v>0</v>
      </c>
      <c r="M152" s="83">
        <f t="shared" si="20"/>
        <v>0</v>
      </c>
      <c r="N152" s="41">
        <v>0</v>
      </c>
      <c r="O152" s="41">
        <v>0</v>
      </c>
      <c r="P152" s="70">
        <f t="shared" si="21"/>
        <v>0</v>
      </c>
      <c r="Q152" s="41">
        <v>0</v>
      </c>
      <c r="R152" s="41">
        <v>0</v>
      </c>
      <c r="S152" s="70">
        <f t="shared" si="22"/>
        <v>0</v>
      </c>
      <c r="T152" s="41">
        <v>0</v>
      </c>
      <c r="U152" s="41">
        <v>0</v>
      </c>
      <c r="V152" s="70">
        <f t="shared" si="23"/>
        <v>0</v>
      </c>
      <c r="Y152" s="70">
        <f t="shared" si="24"/>
        <v>0</v>
      </c>
      <c r="AB152" s="70">
        <f t="shared" si="25"/>
        <v>0</v>
      </c>
      <c r="AE152" s="70">
        <f t="shared" si="26"/>
        <v>0</v>
      </c>
      <c r="AF152" s="28">
        <f t="shared" si="27"/>
        <v>0</v>
      </c>
      <c r="AG152" s="28">
        <f t="shared" si="28"/>
        <v>0</v>
      </c>
    </row>
    <row r="153" spans="1:47" ht="43.2" x14ac:dyDescent="0.3">
      <c r="A153" s="41" t="s">
        <v>983</v>
      </c>
      <c r="B153" s="41" t="s">
        <v>1176</v>
      </c>
      <c r="C153" s="41" t="s">
        <v>1238</v>
      </c>
      <c r="D153" s="41" t="s">
        <v>1252</v>
      </c>
      <c r="E153" s="41" t="s">
        <v>1025</v>
      </c>
      <c r="F153" s="41" t="s">
        <v>841</v>
      </c>
      <c r="G153" s="83">
        <v>0</v>
      </c>
      <c r="H153" s="41">
        <v>0</v>
      </c>
      <c r="I153" s="41">
        <v>0</v>
      </c>
      <c r="J153" s="67">
        <f t="shared" si="29"/>
        <v>0</v>
      </c>
      <c r="K153" s="41">
        <v>0</v>
      </c>
      <c r="L153" s="41">
        <v>0</v>
      </c>
      <c r="M153" s="83">
        <f t="shared" si="20"/>
        <v>0</v>
      </c>
      <c r="N153" s="41">
        <v>0</v>
      </c>
      <c r="O153" s="41">
        <v>0</v>
      </c>
      <c r="P153" s="70">
        <f t="shared" si="21"/>
        <v>0</v>
      </c>
      <c r="Q153" s="41">
        <v>0</v>
      </c>
      <c r="R153" s="41">
        <v>0</v>
      </c>
      <c r="S153" s="70">
        <f t="shared" si="22"/>
        <v>0</v>
      </c>
      <c r="T153" s="41">
        <v>0</v>
      </c>
      <c r="U153" s="41">
        <v>0</v>
      </c>
      <c r="V153" s="70">
        <f t="shared" si="23"/>
        <v>0</v>
      </c>
      <c r="Y153" s="70">
        <f t="shared" si="24"/>
        <v>0</v>
      </c>
      <c r="AB153" s="70">
        <f t="shared" si="25"/>
        <v>0</v>
      </c>
      <c r="AE153" s="70">
        <f t="shared" si="26"/>
        <v>0</v>
      </c>
      <c r="AF153" s="28">
        <f t="shared" si="27"/>
        <v>0</v>
      </c>
      <c r="AG153" s="28">
        <f t="shared" si="28"/>
        <v>0</v>
      </c>
    </row>
    <row r="154" spans="1:47" ht="43.2" x14ac:dyDescent="0.3">
      <c r="A154" s="41" t="s">
        <v>983</v>
      </c>
      <c r="B154" s="41" t="s">
        <v>1176</v>
      </c>
      <c r="C154" s="41" t="s">
        <v>1238</v>
      </c>
      <c r="D154" s="41" t="s">
        <v>1252</v>
      </c>
      <c r="E154" s="41" t="s">
        <v>149</v>
      </c>
      <c r="F154" s="41" t="s">
        <v>707</v>
      </c>
      <c r="G154" s="83">
        <v>391991.03749999998</v>
      </c>
      <c r="J154" s="67">
        <f t="shared" si="29"/>
        <v>0</v>
      </c>
      <c r="K154" s="41">
        <v>2</v>
      </c>
      <c r="L154" s="41">
        <v>2</v>
      </c>
      <c r="M154" s="83">
        <f t="shared" si="20"/>
        <v>1724760.5649999999</v>
      </c>
      <c r="N154" s="41">
        <v>0</v>
      </c>
      <c r="O154" s="41">
        <v>0</v>
      </c>
      <c r="P154" s="70">
        <f t="shared" si="21"/>
        <v>0</v>
      </c>
      <c r="Q154" s="41">
        <v>0</v>
      </c>
      <c r="R154" s="41">
        <v>0</v>
      </c>
      <c r="S154" s="70">
        <f t="shared" si="22"/>
        <v>0</v>
      </c>
      <c r="T154" s="41">
        <v>0</v>
      </c>
      <c r="U154" s="41">
        <v>0</v>
      </c>
      <c r="V154" s="70">
        <f t="shared" si="23"/>
        <v>0</v>
      </c>
      <c r="Y154" s="70">
        <f t="shared" si="24"/>
        <v>0</v>
      </c>
      <c r="AB154" s="70">
        <f t="shared" si="25"/>
        <v>0</v>
      </c>
      <c r="AE154" s="70">
        <f t="shared" si="26"/>
        <v>0</v>
      </c>
      <c r="AF154" s="28">
        <f t="shared" si="27"/>
        <v>1724760.5649999999</v>
      </c>
      <c r="AG154" s="28">
        <f t="shared" si="28"/>
        <v>1674.5248203883496</v>
      </c>
    </row>
    <row r="155" spans="1:47" ht="43.2" x14ac:dyDescent="0.3">
      <c r="A155" s="41" t="s">
        <v>983</v>
      </c>
      <c r="B155" s="41" t="s">
        <v>1176</v>
      </c>
      <c r="C155" s="41" t="s">
        <v>1238</v>
      </c>
      <c r="D155" s="41" t="s">
        <v>1252</v>
      </c>
      <c r="E155" s="41" t="s">
        <v>149</v>
      </c>
      <c r="F155" s="41" t="s">
        <v>708</v>
      </c>
      <c r="G155" s="83">
        <f>42000*1030</f>
        <v>43260000</v>
      </c>
      <c r="J155" s="67">
        <f t="shared" si="29"/>
        <v>0</v>
      </c>
      <c r="K155" s="41"/>
      <c r="L155" s="41"/>
      <c r="M155" s="83">
        <f t="shared" si="20"/>
        <v>0</v>
      </c>
      <c r="N155" s="41">
        <v>1</v>
      </c>
      <c r="O155" s="41">
        <v>25</v>
      </c>
      <c r="P155" s="70">
        <f t="shared" si="21"/>
        <v>1308615000.0000002</v>
      </c>
      <c r="Q155" s="41">
        <v>1</v>
      </c>
      <c r="R155" s="41">
        <v>25</v>
      </c>
      <c r="S155" s="70">
        <f t="shared" si="22"/>
        <v>1439476500.0000005</v>
      </c>
      <c r="T155" s="41">
        <v>1</v>
      </c>
      <c r="U155" s="41">
        <v>25</v>
      </c>
      <c r="V155" s="70">
        <f t="shared" si="23"/>
        <v>1583424150.0000005</v>
      </c>
      <c r="W155" s="41">
        <v>1</v>
      </c>
      <c r="X155" s="41">
        <v>25</v>
      </c>
      <c r="Y155" s="70">
        <f t="shared" si="24"/>
        <v>1741766565.0000005</v>
      </c>
      <c r="Z155" s="41">
        <v>1</v>
      </c>
      <c r="AA155" s="41">
        <v>25</v>
      </c>
      <c r="AB155" s="70">
        <f t="shared" si="25"/>
        <v>1915943221.5000007</v>
      </c>
      <c r="AC155" s="41">
        <v>1</v>
      </c>
      <c r="AD155" s="41">
        <v>25</v>
      </c>
      <c r="AE155" s="70">
        <f t="shared" si="26"/>
        <v>2107537543.6500013</v>
      </c>
      <c r="AF155" s="28">
        <f t="shared" si="27"/>
        <v>10096762980.150003</v>
      </c>
      <c r="AG155" s="28">
        <f t="shared" si="28"/>
        <v>9802682.5050000027</v>
      </c>
    </row>
    <row r="156" spans="1:47" x14ac:dyDescent="0.3">
      <c r="A156" s="91" t="s">
        <v>1409</v>
      </c>
      <c r="B156" s="91"/>
      <c r="C156" s="91"/>
      <c r="D156" s="91"/>
      <c r="E156" s="91"/>
      <c r="F156" s="91"/>
      <c r="G156" s="92"/>
      <c r="H156" s="91"/>
      <c r="I156" s="91"/>
      <c r="J156" s="93">
        <f>SUM(J104:J155)</f>
        <v>75287785.667597085</v>
      </c>
      <c r="K156" s="91"/>
      <c r="L156" s="91"/>
      <c r="M156" s="93">
        <f>SUM(M104:M155)</f>
        <v>16027154.096249999</v>
      </c>
      <c r="N156" s="91"/>
      <c r="O156" s="91"/>
      <c r="P156" s="93">
        <f>SUM(P104:P155)</f>
        <v>1308989552.563107</v>
      </c>
      <c r="Q156" s="91"/>
      <c r="R156" s="91"/>
      <c r="S156" s="93">
        <f>SUM(S104:S155)</f>
        <v>1439530221.5066955</v>
      </c>
      <c r="T156" s="91"/>
      <c r="U156" s="91"/>
      <c r="V156" s="93">
        <f>SUM(V104:V155)</f>
        <v>2101259422.7508278</v>
      </c>
      <c r="W156" s="94"/>
      <c r="X156" s="94"/>
      <c r="Y156" s="93">
        <f>SUM(Y104:Y155)</f>
        <v>1741766565.0000005</v>
      </c>
      <c r="Z156" s="94"/>
      <c r="AA156" s="94"/>
      <c r="AB156" s="93">
        <f>SUM(AB104:AB155)</f>
        <v>1916491603.9076455</v>
      </c>
      <c r="AC156" s="94"/>
      <c r="AD156" s="94"/>
      <c r="AE156" s="93">
        <f>SUM(AE104:AE155)</f>
        <v>2107537543.6500013</v>
      </c>
      <c r="AF156" s="95">
        <f t="shared" si="27"/>
        <v>10706889849.142126</v>
      </c>
      <c r="AG156" s="95">
        <f t="shared" si="28"/>
        <v>10395038.688487502</v>
      </c>
      <c r="AH156" s="94"/>
      <c r="AI156" s="94"/>
      <c r="AJ156" s="94"/>
      <c r="AK156" s="94"/>
      <c r="AL156" s="94"/>
      <c r="AM156" s="94"/>
      <c r="AN156" s="94"/>
      <c r="AO156" s="94"/>
      <c r="AP156" s="94"/>
      <c r="AQ156" s="94"/>
      <c r="AR156" s="94"/>
      <c r="AS156" s="94"/>
      <c r="AT156" s="94"/>
      <c r="AU156" s="94"/>
    </row>
    <row r="157" spans="1:47" x14ac:dyDescent="0.3">
      <c r="A157" s="97" t="s">
        <v>1411</v>
      </c>
      <c r="B157" s="97"/>
      <c r="C157" s="97"/>
      <c r="D157" s="97"/>
      <c r="E157" s="97"/>
      <c r="F157" s="97"/>
      <c r="G157" s="101"/>
      <c r="H157" s="97"/>
      <c r="I157" s="97"/>
      <c r="J157" s="100">
        <f>SUM(J2:J155)</f>
        <v>943580765.04929614</v>
      </c>
      <c r="K157" s="97"/>
      <c r="L157" s="97"/>
      <c r="M157" s="100">
        <f>SUM(M2:M155)</f>
        <v>322415330.38563353</v>
      </c>
      <c r="N157" s="97"/>
      <c r="O157" s="97"/>
      <c r="P157" s="100">
        <f>SUM(P2:P155)</f>
        <v>2343992857.105895</v>
      </c>
      <c r="Q157" s="97"/>
      <c r="R157" s="97"/>
      <c r="S157" s="100">
        <f>SUM(S2:S155)</f>
        <v>1920926218.6088498</v>
      </c>
      <c r="T157" s="97"/>
      <c r="U157" s="97"/>
      <c r="V157" s="100">
        <f>SUM(V2:V155)</f>
        <v>3983216124.228106</v>
      </c>
      <c r="W157" s="98"/>
      <c r="X157" s="98"/>
      <c r="Y157" s="100">
        <f>SUM(Y2:Y155)</f>
        <v>2194861110.9480057</v>
      </c>
      <c r="Z157" s="98"/>
      <c r="AA157" s="98"/>
      <c r="AB157" s="100">
        <f>SUM(AB2:AB155)</f>
        <v>3419150939.2360229</v>
      </c>
      <c r="AC157" s="98"/>
      <c r="AD157" s="98"/>
      <c r="AE157" s="100">
        <f>SUM(AE2:AE155)</f>
        <v>2655781944.2470875</v>
      </c>
      <c r="AF157" s="99">
        <f t="shared" si="27"/>
        <v>17783925289.808899</v>
      </c>
      <c r="AG157" s="99">
        <f t="shared" si="28"/>
        <v>17265946.88330961</v>
      </c>
      <c r="AH157" s="98"/>
      <c r="AI157" s="98"/>
      <c r="AJ157" s="98"/>
      <c r="AK157" s="98"/>
      <c r="AL157" s="98"/>
      <c r="AM157" s="98"/>
      <c r="AN157" s="98"/>
    </row>
    <row r="158" spans="1:47" s="62" customFormat="1" x14ac:dyDescent="0.3">
      <c r="A158" s="63" t="s">
        <v>1439</v>
      </c>
      <c r="B158" s="63"/>
      <c r="C158" s="63"/>
      <c r="D158" s="63"/>
      <c r="E158" s="63"/>
      <c r="F158" s="63"/>
      <c r="G158" s="90"/>
      <c r="H158" s="63"/>
      <c r="I158" s="63"/>
      <c r="J158" s="68">
        <f>J157/$AL$2</f>
        <v>916097.83014494774</v>
      </c>
      <c r="K158" s="63"/>
      <c r="L158" s="63"/>
      <c r="M158" s="68">
        <f>M157/$AL$2</f>
        <v>313024.59260741121</v>
      </c>
      <c r="N158" s="63"/>
      <c r="O158" s="63"/>
      <c r="P158" s="68">
        <f>P157/$AL$2</f>
        <v>2275721.2204911602</v>
      </c>
      <c r="Q158" s="63"/>
      <c r="R158" s="63"/>
      <c r="S158" s="68">
        <f>S157/$AL$2</f>
        <v>1864976.9112707279</v>
      </c>
      <c r="T158" s="63"/>
      <c r="U158" s="63"/>
      <c r="V158" s="68">
        <f>V157/$AL$2</f>
        <v>3867200.1206098115</v>
      </c>
      <c r="Y158" s="68">
        <f>Y157/$AL$2</f>
        <v>2130933.117425248</v>
      </c>
      <c r="AB158" s="68">
        <f>AB157/$AL$2</f>
        <v>3319564.0186757506</v>
      </c>
      <c r="AE158" s="68">
        <f>AE157/$AL$2</f>
        <v>2578429.0720845507</v>
      </c>
      <c r="AF158" s="20">
        <f t="shared" si="27"/>
        <v>17265946.883309606</v>
      </c>
      <c r="AG158" s="20">
        <f t="shared" si="28"/>
        <v>16763.055226514181</v>
      </c>
    </row>
    <row r="159" spans="1:47" x14ac:dyDescent="0.3">
      <c r="A159" s="41"/>
      <c r="B159" s="41"/>
      <c r="C159" s="41"/>
      <c r="D159" s="41"/>
      <c r="E159" s="41"/>
      <c r="F159" s="41"/>
      <c r="G159" s="83"/>
      <c r="H159" s="41"/>
      <c r="I159" s="41"/>
      <c r="J159" s="67"/>
      <c r="K159" s="41"/>
      <c r="L159" s="41"/>
      <c r="M159" s="83">
        <f t="shared" si="20"/>
        <v>0</v>
      </c>
      <c r="N159" s="41"/>
      <c r="O159" s="41"/>
      <c r="P159" s="70">
        <f t="shared" si="21"/>
        <v>0</v>
      </c>
      <c r="Q159" s="41"/>
      <c r="R159" s="41"/>
      <c r="S159" s="70">
        <f t="shared" si="22"/>
        <v>0</v>
      </c>
      <c r="T159" s="41"/>
      <c r="U159" s="41"/>
      <c r="V159" s="70">
        <f t="shared" si="23"/>
        <v>0</v>
      </c>
      <c r="Y159" s="70">
        <f t="shared" si="24"/>
        <v>0</v>
      </c>
      <c r="AB159" s="70">
        <f t="shared" si="25"/>
        <v>0</v>
      </c>
      <c r="AE159" s="70"/>
      <c r="AF159" s="28">
        <f t="shared" si="27"/>
        <v>0</v>
      </c>
      <c r="AG159" s="28">
        <f t="shared" si="28"/>
        <v>0</v>
      </c>
    </row>
    <row r="160" spans="1:47" x14ac:dyDescent="0.3">
      <c r="A160" s="41"/>
      <c r="B160" s="41"/>
      <c r="C160" s="41"/>
      <c r="D160" s="41"/>
      <c r="E160" s="41"/>
      <c r="F160" s="41"/>
      <c r="G160" s="83"/>
      <c r="H160" s="41"/>
      <c r="I160" s="41"/>
      <c r="J160" s="67"/>
      <c r="K160" s="41"/>
      <c r="L160" s="41"/>
      <c r="M160" s="83">
        <f t="shared" si="20"/>
        <v>0</v>
      </c>
      <c r="N160" s="41"/>
      <c r="O160" s="41"/>
      <c r="P160" s="70">
        <f t="shared" si="21"/>
        <v>0</v>
      </c>
      <c r="Q160" s="41"/>
      <c r="R160" s="41"/>
      <c r="S160" s="70">
        <f t="shared" si="22"/>
        <v>0</v>
      </c>
      <c r="T160" s="41"/>
      <c r="U160" s="41"/>
      <c r="V160" s="70">
        <f t="shared" si="23"/>
        <v>0</v>
      </c>
      <c r="Y160" s="70">
        <f t="shared" si="24"/>
        <v>0</v>
      </c>
      <c r="AB160" s="70">
        <f t="shared" si="25"/>
        <v>0</v>
      </c>
      <c r="AE160" s="70">
        <f t="shared" si="26"/>
        <v>0</v>
      </c>
      <c r="AF160" s="28">
        <f t="shared" si="27"/>
        <v>0</v>
      </c>
      <c r="AG160" s="28">
        <f t="shared" si="28"/>
        <v>0</v>
      </c>
    </row>
    <row r="161" spans="1:33" x14ac:dyDescent="0.3">
      <c r="A161" s="41"/>
      <c r="B161" s="41"/>
      <c r="C161" s="41"/>
      <c r="D161" s="41"/>
      <c r="E161" s="41"/>
      <c r="F161" s="41"/>
      <c r="G161" s="83"/>
      <c r="H161" s="41"/>
      <c r="I161" s="41"/>
      <c r="J161" s="67"/>
      <c r="K161" s="41"/>
      <c r="L161" s="41"/>
      <c r="M161" s="83">
        <f t="shared" si="20"/>
        <v>0</v>
      </c>
      <c r="N161" s="41"/>
      <c r="O161" s="41"/>
      <c r="P161" s="70">
        <f t="shared" si="21"/>
        <v>0</v>
      </c>
      <c r="Q161" s="41"/>
      <c r="R161" s="41"/>
      <c r="S161" s="70">
        <f t="shared" si="22"/>
        <v>0</v>
      </c>
      <c r="T161" s="41"/>
      <c r="U161" s="41"/>
      <c r="V161" s="70">
        <f t="shared" si="23"/>
        <v>0</v>
      </c>
      <c r="Y161" s="70">
        <f t="shared" si="24"/>
        <v>0</v>
      </c>
      <c r="AB161" s="70">
        <f t="shared" si="25"/>
        <v>0</v>
      </c>
      <c r="AE161" s="70">
        <f t="shared" si="26"/>
        <v>0</v>
      </c>
      <c r="AF161" s="28">
        <f t="shared" si="27"/>
        <v>0</v>
      </c>
      <c r="AG161" s="28">
        <f t="shared" si="28"/>
        <v>0</v>
      </c>
    </row>
    <row r="162" spans="1:33" x14ac:dyDescent="0.3">
      <c r="A162" s="41"/>
      <c r="B162" s="41"/>
      <c r="C162" s="41"/>
      <c r="D162" s="41"/>
      <c r="E162" s="41"/>
      <c r="F162" s="41"/>
      <c r="G162" s="83"/>
      <c r="H162" s="41"/>
      <c r="I162" s="41"/>
      <c r="J162" s="67"/>
      <c r="K162" s="41"/>
      <c r="L162" s="41"/>
      <c r="M162" s="83">
        <f t="shared" si="20"/>
        <v>0</v>
      </c>
      <c r="N162" s="41"/>
      <c r="O162" s="41"/>
      <c r="P162" s="70">
        <f t="shared" si="21"/>
        <v>0</v>
      </c>
      <c r="Q162" s="41"/>
      <c r="R162" s="41"/>
      <c r="S162" s="70">
        <f t="shared" si="22"/>
        <v>0</v>
      </c>
      <c r="T162" s="41"/>
      <c r="U162" s="41"/>
      <c r="V162" s="70">
        <f t="shared" si="23"/>
        <v>0</v>
      </c>
      <c r="Y162" s="70">
        <f t="shared" si="24"/>
        <v>0</v>
      </c>
      <c r="AB162" s="70">
        <f t="shared" si="25"/>
        <v>0</v>
      </c>
      <c r="AE162" s="70">
        <f t="shared" si="26"/>
        <v>0</v>
      </c>
      <c r="AF162" s="28">
        <f t="shared" si="27"/>
        <v>0</v>
      </c>
      <c r="AG162" s="28">
        <f t="shared" si="28"/>
        <v>0</v>
      </c>
    </row>
    <row r="163" spans="1:33" x14ac:dyDescent="0.3">
      <c r="A163" s="41"/>
      <c r="B163" s="41"/>
      <c r="C163" s="41"/>
      <c r="D163" s="41"/>
      <c r="E163" s="41"/>
      <c r="F163" s="41"/>
      <c r="G163" s="83"/>
      <c r="H163" s="41"/>
      <c r="I163" s="41"/>
      <c r="J163" s="67"/>
      <c r="K163" s="41"/>
      <c r="L163" s="41"/>
      <c r="M163" s="83">
        <f t="shared" si="20"/>
        <v>0</v>
      </c>
      <c r="N163" s="41"/>
      <c r="O163" s="41"/>
      <c r="P163" s="70">
        <f t="shared" si="21"/>
        <v>0</v>
      </c>
      <c r="Q163" s="41"/>
      <c r="R163" s="41"/>
      <c r="S163" s="70">
        <f t="shared" si="22"/>
        <v>0</v>
      </c>
      <c r="T163" s="41"/>
      <c r="U163" s="41"/>
      <c r="V163" s="70">
        <f t="shared" si="23"/>
        <v>0</v>
      </c>
      <c r="Y163" s="70">
        <f t="shared" si="24"/>
        <v>0</v>
      </c>
      <c r="AB163" s="70">
        <f t="shared" si="25"/>
        <v>0</v>
      </c>
      <c r="AE163" s="70">
        <f t="shared" si="26"/>
        <v>0</v>
      </c>
      <c r="AF163" s="28">
        <f t="shared" si="27"/>
        <v>0</v>
      </c>
      <c r="AG163" s="28">
        <f t="shared" si="28"/>
        <v>0</v>
      </c>
    </row>
    <row r="164" spans="1:33" x14ac:dyDescent="0.3">
      <c r="A164" s="41"/>
      <c r="B164" s="41"/>
      <c r="C164" s="41"/>
      <c r="D164" s="41"/>
      <c r="E164" s="41"/>
      <c r="F164" s="41"/>
      <c r="G164" s="83"/>
      <c r="H164" s="41"/>
      <c r="I164" s="41"/>
      <c r="J164" s="67"/>
      <c r="K164" s="41"/>
      <c r="L164" s="41"/>
      <c r="M164" s="83">
        <f t="shared" si="20"/>
        <v>0</v>
      </c>
      <c r="N164" s="41"/>
      <c r="O164" s="41"/>
      <c r="P164" s="70">
        <f t="shared" si="21"/>
        <v>0</v>
      </c>
      <c r="Q164" s="41"/>
      <c r="R164" s="41"/>
      <c r="S164" s="70">
        <f t="shared" si="22"/>
        <v>0</v>
      </c>
      <c r="T164" s="41"/>
      <c r="U164" s="41"/>
      <c r="V164" s="70">
        <f t="shared" si="23"/>
        <v>0</v>
      </c>
      <c r="Y164" s="70">
        <f t="shared" si="24"/>
        <v>0</v>
      </c>
      <c r="AB164" s="70">
        <f t="shared" si="25"/>
        <v>0</v>
      </c>
      <c r="AE164" s="70">
        <f t="shared" si="26"/>
        <v>0</v>
      </c>
      <c r="AF164" s="28">
        <f t="shared" si="27"/>
        <v>0</v>
      </c>
      <c r="AG164" s="28">
        <f t="shared" si="28"/>
        <v>0</v>
      </c>
    </row>
    <row r="165" spans="1:33" x14ac:dyDescent="0.3">
      <c r="A165" s="41"/>
      <c r="B165" s="41"/>
      <c r="C165" s="41"/>
      <c r="D165" s="41"/>
      <c r="E165" s="41"/>
      <c r="F165" s="41"/>
      <c r="G165" s="83"/>
      <c r="H165" s="41"/>
      <c r="I165" s="41"/>
      <c r="J165" s="67"/>
      <c r="K165" s="41"/>
      <c r="L165" s="41"/>
      <c r="M165" s="83">
        <f t="shared" si="20"/>
        <v>0</v>
      </c>
      <c r="N165" s="41"/>
      <c r="O165" s="41"/>
      <c r="P165" s="70">
        <f t="shared" si="21"/>
        <v>0</v>
      </c>
      <c r="Q165" s="41"/>
      <c r="R165" s="41"/>
      <c r="S165" s="70">
        <f t="shared" si="22"/>
        <v>0</v>
      </c>
      <c r="T165" s="41"/>
      <c r="U165" s="41"/>
      <c r="V165" s="70">
        <f t="shared" si="23"/>
        <v>0</v>
      </c>
      <c r="Y165" s="70">
        <f t="shared" si="24"/>
        <v>0</v>
      </c>
      <c r="AB165" s="70">
        <f t="shared" si="25"/>
        <v>0</v>
      </c>
      <c r="AE165" s="70">
        <f t="shared" si="26"/>
        <v>0</v>
      </c>
      <c r="AF165" s="28">
        <f t="shared" si="27"/>
        <v>0</v>
      </c>
      <c r="AG165" s="28">
        <f t="shared" si="28"/>
        <v>0</v>
      </c>
    </row>
    <row r="166" spans="1:33" x14ac:dyDescent="0.3">
      <c r="A166" s="41"/>
      <c r="B166" s="41"/>
      <c r="C166" s="41"/>
      <c r="D166" s="41"/>
      <c r="E166" s="41"/>
      <c r="F166" s="41"/>
      <c r="G166" s="83"/>
      <c r="H166" s="41"/>
      <c r="I166" s="41"/>
      <c r="J166" s="67"/>
      <c r="K166" s="41"/>
      <c r="L166" s="41"/>
      <c r="M166" s="83">
        <f t="shared" si="20"/>
        <v>0</v>
      </c>
      <c r="N166" s="41"/>
      <c r="O166" s="41"/>
      <c r="P166" s="70">
        <f t="shared" si="21"/>
        <v>0</v>
      </c>
      <c r="Q166" s="41"/>
      <c r="R166" s="41"/>
      <c r="S166" s="70">
        <f t="shared" si="22"/>
        <v>0</v>
      </c>
      <c r="T166" s="41"/>
      <c r="U166" s="41"/>
      <c r="V166" s="70">
        <f t="shared" si="23"/>
        <v>0</v>
      </c>
      <c r="Y166" s="70">
        <f t="shared" si="24"/>
        <v>0</v>
      </c>
      <c r="AB166" s="70">
        <f t="shared" si="25"/>
        <v>0</v>
      </c>
      <c r="AE166" s="70">
        <f t="shared" si="26"/>
        <v>0</v>
      </c>
      <c r="AF166" s="28">
        <f t="shared" si="27"/>
        <v>0</v>
      </c>
      <c r="AG166" s="28">
        <f t="shared" si="28"/>
        <v>0</v>
      </c>
    </row>
    <row r="167" spans="1:33" x14ac:dyDescent="0.3">
      <c r="A167" s="41"/>
      <c r="B167" s="41"/>
      <c r="C167" s="41"/>
      <c r="D167" s="41"/>
      <c r="E167" s="41"/>
      <c r="F167" s="41"/>
      <c r="G167" s="83"/>
      <c r="H167" s="41"/>
      <c r="I167" s="41"/>
      <c r="J167" s="67"/>
      <c r="K167" s="41"/>
      <c r="L167" s="41"/>
      <c r="M167" s="83">
        <f t="shared" si="20"/>
        <v>0</v>
      </c>
      <c r="N167" s="41"/>
      <c r="O167" s="41"/>
      <c r="P167" s="70">
        <f t="shared" si="21"/>
        <v>0</v>
      </c>
      <c r="Q167" s="41"/>
      <c r="R167" s="41"/>
      <c r="S167" s="70">
        <f t="shared" si="22"/>
        <v>0</v>
      </c>
      <c r="T167" s="41"/>
      <c r="U167" s="41"/>
      <c r="V167" s="70">
        <f t="shared" si="23"/>
        <v>0</v>
      </c>
      <c r="Y167" s="70">
        <f t="shared" si="24"/>
        <v>0</v>
      </c>
      <c r="AB167" s="70">
        <f t="shared" si="25"/>
        <v>0</v>
      </c>
      <c r="AE167" s="70">
        <f t="shared" si="26"/>
        <v>0</v>
      </c>
      <c r="AF167" s="28">
        <f t="shared" si="27"/>
        <v>0</v>
      </c>
      <c r="AG167" s="28">
        <f t="shared" si="28"/>
        <v>0</v>
      </c>
    </row>
    <row r="168" spans="1:33" x14ac:dyDescent="0.3">
      <c r="A168" s="41"/>
      <c r="B168" s="41"/>
      <c r="C168" s="41"/>
      <c r="D168" s="41"/>
      <c r="E168" s="41"/>
      <c r="F168" s="41"/>
      <c r="G168" s="83"/>
      <c r="H168" s="41"/>
      <c r="I168" s="41"/>
      <c r="J168" s="67"/>
      <c r="K168" s="41"/>
      <c r="L168" s="41"/>
      <c r="M168" s="83">
        <f t="shared" si="20"/>
        <v>0</v>
      </c>
      <c r="N168" s="41"/>
      <c r="O168" s="41"/>
      <c r="P168" s="70">
        <f t="shared" si="21"/>
        <v>0</v>
      </c>
      <c r="Q168" s="41"/>
      <c r="R168" s="41"/>
      <c r="S168" s="70">
        <f t="shared" si="22"/>
        <v>0</v>
      </c>
      <c r="T168" s="41"/>
      <c r="U168" s="41"/>
      <c r="V168" s="70">
        <f t="shared" si="23"/>
        <v>0</v>
      </c>
      <c r="Y168" s="70">
        <f t="shared" si="24"/>
        <v>0</v>
      </c>
      <c r="AB168" s="70">
        <f t="shared" si="25"/>
        <v>0</v>
      </c>
      <c r="AE168" s="70">
        <f t="shared" si="26"/>
        <v>0</v>
      </c>
      <c r="AF168" s="28">
        <f t="shared" si="27"/>
        <v>0</v>
      </c>
      <c r="AG168" s="28">
        <f t="shared" si="28"/>
        <v>0</v>
      </c>
    </row>
    <row r="169" spans="1:33" x14ac:dyDescent="0.3">
      <c r="A169" s="41"/>
      <c r="B169" s="41"/>
      <c r="C169" s="41"/>
      <c r="D169" s="41"/>
      <c r="E169" s="41"/>
      <c r="F169" s="41"/>
      <c r="G169" s="83"/>
      <c r="H169" s="41"/>
      <c r="I169" s="41"/>
      <c r="J169" s="67"/>
      <c r="K169" s="41"/>
      <c r="L169" s="41"/>
      <c r="M169" s="83">
        <f t="shared" si="20"/>
        <v>0</v>
      </c>
      <c r="N169" s="41"/>
      <c r="O169" s="41"/>
      <c r="P169" s="70">
        <f t="shared" si="21"/>
        <v>0</v>
      </c>
      <c r="Q169" s="41"/>
      <c r="R169" s="41"/>
      <c r="S169" s="70">
        <f t="shared" si="22"/>
        <v>0</v>
      </c>
      <c r="T169" s="41"/>
      <c r="U169" s="41"/>
      <c r="V169" s="70">
        <f t="shared" si="23"/>
        <v>0</v>
      </c>
      <c r="Y169" s="70">
        <f t="shared" si="24"/>
        <v>0</v>
      </c>
      <c r="AB169" s="70">
        <f t="shared" si="25"/>
        <v>0</v>
      </c>
      <c r="AE169" s="70">
        <f t="shared" si="26"/>
        <v>0</v>
      </c>
      <c r="AF169" s="28">
        <f t="shared" si="27"/>
        <v>0</v>
      </c>
      <c r="AG169" s="28">
        <f t="shared" si="28"/>
        <v>0</v>
      </c>
    </row>
    <row r="170" spans="1:33" x14ac:dyDescent="0.3">
      <c r="A170" s="41"/>
      <c r="B170" s="41"/>
      <c r="C170" s="41"/>
      <c r="D170" s="41"/>
      <c r="E170" s="41"/>
      <c r="F170" s="41"/>
      <c r="G170" s="83"/>
      <c r="H170" s="41"/>
      <c r="I170" s="41"/>
      <c r="J170" s="67"/>
      <c r="K170" s="41"/>
      <c r="L170" s="41"/>
      <c r="M170" s="83">
        <f t="shared" si="20"/>
        <v>0</v>
      </c>
      <c r="N170" s="41"/>
      <c r="O170" s="41"/>
      <c r="P170" s="70">
        <f t="shared" si="21"/>
        <v>0</v>
      </c>
      <c r="Q170" s="41"/>
      <c r="R170" s="41"/>
      <c r="S170" s="70">
        <f t="shared" si="22"/>
        <v>0</v>
      </c>
      <c r="T170" s="41"/>
      <c r="U170" s="41"/>
      <c r="V170" s="70">
        <f t="shared" si="23"/>
        <v>0</v>
      </c>
      <c r="Y170" s="70">
        <f t="shared" si="24"/>
        <v>0</v>
      </c>
      <c r="AB170" s="70">
        <f t="shared" si="25"/>
        <v>0</v>
      </c>
      <c r="AE170" s="70">
        <f t="shared" si="26"/>
        <v>0</v>
      </c>
      <c r="AF170" s="28">
        <f t="shared" si="27"/>
        <v>0</v>
      </c>
      <c r="AG170" s="28">
        <f t="shared" si="28"/>
        <v>0</v>
      </c>
    </row>
    <row r="171" spans="1:33" x14ac:dyDescent="0.3">
      <c r="A171" s="41"/>
      <c r="B171" s="41"/>
      <c r="C171" s="41"/>
      <c r="D171" s="41"/>
      <c r="E171" s="41"/>
      <c r="F171" s="41"/>
      <c r="G171" s="83"/>
      <c r="H171" s="41"/>
      <c r="I171" s="41"/>
      <c r="J171" s="67"/>
      <c r="K171" s="41"/>
      <c r="L171" s="41"/>
      <c r="M171" s="83">
        <f t="shared" si="20"/>
        <v>0</v>
      </c>
      <c r="N171" s="41"/>
      <c r="O171" s="41"/>
      <c r="P171" s="70">
        <f t="shared" si="21"/>
        <v>0</v>
      </c>
      <c r="Q171" s="41"/>
      <c r="R171" s="41"/>
      <c r="S171" s="70">
        <f t="shared" si="22"/>
        <v>0</v>
      </c>
      <c r="T171" s="41"/>
      <c r="U171" s="41"/>
      <c r="V171" s="70">
        <f t="shared" si="23"/>
        <v>0</v>
      </c>
      <c r="Y171" s="70">
        <f t="shared" si="24"/>
        <v>0</v>
      </c>
      <c r="AB171" s="70">
        <f t="shared" si="25"/>
        <v>0</v>
      </c>
      <c r="AE171" s="70">
        <f t="shared" si="26"/>
        <v>0</v>
      </c>
      <c r="AF171" s="28">
        <f t="shared" si="27"/>
        <v>0</v>
      </c>
      <c r="AG171" s="28">
        <f t="shared" si="28"/>
        <v>0</v>
      </c>
    </row>
    <row r="172" spans="1:33" x14ac:dyDescent="0.3">
      <c r="A172" s="41"/>
      <c r="B172" s="41"/>
      <c r="C172" s="41"/>
      <c r="D172" s="41"/>
      <c r="E172" s="41"/>
      <c r="F172" s="41"/>
      <c r="G172" s="83"/>
      <c r="H172" s="41"/>
      <c r="I172" s="41"/>
      <c r="J172" s="67"/>
      <c r="K172" s="41"/>
      <c r="L172" s="41"/>
      <c r="M172" s="83">
        <f t="shared" si="20"/>
        <v>0</v>
      </c>
      <c r="N172" s="41"/>
      <c r="O172" s="41"/>
      <c r="P172" s="70">
        <f t="shared" si="21"/>
        <v>0</v>
      </c>
      <c r="Q172" s="41"/>
      <c r="R172" s="41"/>
      <c r="S172" s="70">
        <f t="shared" si="22"/>
        <v>0</v>
      </c>
      <c r="T172" s="41"/>
      <c r="U172" s="41"/>
      <c r="V172" s="70">
        <f t="shared" si="23"/>
        <v>0</v>
      </c>
      <c r="Y172" s="70">
        <f t="shared" si="24"/>
        <v>0</v>
      </c>
      <c r="AB172" s="70">
        <f t="shared" si="25"/>
        <v>0</v>
      </c>
      <c r="AE172" s="70">
        <f t="shared" si="26"/>
        <v>0</v>
      </c>
      <c r="AF172" s="28">
        <f t="shared" si="27"/>
        <v>0</v>
      </c>
      <c r="AG172" s="28">
        <f t="shared" si="28"/>
        <v>0</v>
      </c>
    </row>
    <row r="173" spans="1:33" x14ac:dyDescent="0.3">
      <c r="A173" s="41"/>
      <c r="B173" s="41"/>
      <c r="C173" s="41"/>
      <c r="D173" s="41"/>
      <c r="E173" s="41"/>
      <c r="F173" s="41"/>
      <c r="G173" s="83"/>
      <c r="H173" s="41"/>
      <c r="I173" s="41"/>
      <c r="J173" s="67"/>
      <c r="K173" s="41"/>
      <c r="L173" s="41"/>
      <c r="M173" s="83">
        <f t="shared" si="20"/>
        <v>0</v>
      </c>
      <c r="N173" s="41"/>
      <c r="O173" s="41"/>
      <c r="P173" s="70">
        <f t="shared" si="21"/>
        <v>0</v>
      </c>
      <c r="Q173" s="41"/>
      <c r="R173" s="41"/>
      <c r="S173" s="70">
        <f t="shared" si="22"/>
        <v>0</v>
      </c>
      <c r="T173" s="41"/>
      <c r="U173" s="41"/>
      <c r="V173" s="70">
        <f t="shared" si="23"/>
        <v>0</v>
      </c>
      <c r="Y173" s="70">
        <f t="shared" si="24"/>
        <v>0</v>
      </c>
      <c r="AB173" s="70">
        <f t="shared" si="25"/>
        <v>0</v>
      </c>
      <c r="AE173" s="70">
        <f t="shared" si="26"/>
        <v>0</v>
      </c>
      <c r="AF173" s="28">
        <f t="shared" si="27"/>
        <v>0</v>
      </c>
      <c r="AG173" s="28">
        <f t="shared" si="28"/>
        <v>0</v>
      </c>
    </row>
    <row r="174" spans="1:33" x14ac:dyDescent="0.3">
      <c r="A174" s="41"/>
      <c r="B174" s="41"/>
      <c r="C174" s="41"/>
      <c r="D174" s="41"/>
      <c r="E174" s="41"/>
      <c r="F174" s="41"/>
      <c r="G174" s="83"/>
      <c r="H174" s="41"/>
      <c r="I174" s="41"/>
      <c r="J174" s="67"/>
      <c r="K174" s="41"/>
      <c r="L174" s="41"/>
      <c r="M174" s="83">
        <f t="shared" si="20"/>
        <v>0</v>
      </c>
      <c r="N174" s="41"/>
      <c r="O174" s="41"/>
      <c r="P174" s="70">
        <f t="shared" si="21"/>
        <v>0</v>
      </c>
      <c r="Q174" s="41"/>
      <c r="R174" s="41"/>
      <c r="S174" s="70">
        <f t="shared" si="22"/>
        <v>0</v>
      </c>
      <c r="T174" s="41"/>
      <c r="U174" s="41"/>
      <c r="V174" s="70">
        <f t="shared" si="23"/>
        <v>0</v>
      </c>
      <c r="Y174" s="70">
        <f t="shared" si="24"/>
        <v>0</v>
      </c>
      <c r="AB174" s="70">
        <f t="shared" si="25"/>
        <v>0</v>
      </c>
      <c r="AE174" s="70">
        <f t="shared" si="26"/>
        <v>0</v>
      </c>
      <c r="AF174" s="28">
        <f t="shared" si="27"/>
        <v>0</v>
      </c>
      <c r="AG174" s="28">
        <f t="shared" si="28"/>
        <v>0</v>
      </c>
    </row>
    <row r="175" spans="1:33" x14ac:dyDescent="0.3">
      <c r="A175" s="41"/>
      <c r="B175" s="41"/>
      <c r="C175" s="41"/>
      <c r="D175" s="41"/>
      <c r="E175" s="41"/>
      <c r="F175" s="41"/>
      <c r="G175" s="83"/>
      <c r="H175" s="41"/>
      <c r="I175" s="41"/>
      <c r="J175" s="67"/>
      <c r="K175" s="41"/>
      <c r="L175" s="41"/>
      <c r="M175" s="83">
        <f t="shared" si="20"/>
        <v>0</v>
      </c>
      <c r="N175" s="41"/>
      <c r="O175" s="41"/>
      <c r="P175" s="70">
        <f t="shared" si="21"/>
        <v>0</v>
      </c>
      <c r="Q175" s="41"/>
      <c r="R175" s="41"/>
      <c r="S175" s="70">
        <f t="shared" si="22"/>
        <v>0</v>
      </c>
      <c r="T175" s="41"/>
      <c r="U175" s="41"/>
      <c r="V175" s="70">
        <f t="shared" si="23"/>
        <v>0</v>
      </c>
      <c r="Y175" s="70">
        <f t="shared" si="24"/>
        <v>0</v>
      </c>
      <c r="AB175" s="70">
        <f t="shared" si="25"/>
        <v>0</v>
      </c>
      <c r="AE175" s="70">
        <f t="shared" si="26"/>
        <v>0</v>
      </c>
      <c r="AF175" s="28">
        <f t="shared" si="27"/>
        <v>0</v>
      </c>
      <c r="AG175" s="28">
        <f t="shared" si="28"/>
        <v>0</v>
      </c>
    </row>
    <row r="176" spans="1:33" x14ac:dyDescent="0.3">
      <c r="A176" s="41"/>
      <c r="B176" s="41"/>
      <c r="C176" s="41"/>
      <c r="D176" s="41"/>
      <c r="E176" s="41"/>
      <c r="F176" s="41"/>
      <c r="G176" s="83"/>
      <c r="H176" s="41"/>
      <c r="I176" s="41"/>
      <c r="J176" s="67"/>
      <c r="K176" s="41"/>
      <c r="L176" s="41"/>
      <c r="M176" s="83">
        <f t="shared" si="20"/>
        <v>0</v>
      </c>
      <c r="N176" s="41"/>
      <c r="O176" s="41"/>
      <c r="P176" s="70">
        <f t="shared" si="21"/>
        <v>0</v>
      </c>
      <c r="Q176" s="41"/>
      <c r="R176" s="41"/>
      <c r="S176" s="70">
        <f t="shared" si="22"/>
        <v>0</v>
      </c>
      <c r="T176" s="41"/>
      <c r="U176" s="41"/>
      <c r="V176" s="70">
        <f t="shared" si="23"/>
        <v>0</v>
      </c>
      <c r="Y176" s="70">
        <f t="shared" si="24"/>
        <v>0</v>
      </c>
      <c r="AB176" s="70">
        <f t="shared" si="25"/>
        <v>0</v>
      </c>
      <c r="AE176" s="70">
        <f t="shared" si="26"/>
        <v>0</v>
      </c>
      <c r="AF176" s="28">
        <f t="shared" si="27"/>
        <v>0</v>
      </c>
      <c r="AG176" s="28">
        <f t="shared" si="28"/>
        <v>0</v>
      </c>
    </row>
    <row r="177" spans="1:33" x14ac:dyDescent="0.3">
      <c r="A177" s="41"/>
      <c r="B177" s="41"/>
      <c r="C177" s="41"/>
      <c r="D177" s="41"/>
      <c r="E177" s="41"/>
      <c r="F177" s="41"/>
      <c r="G177" s="83"/>
      <c r="H177" s="41"/>
      <c r="I177" s="41"/>
      <c r="J177" s="67"/>
      <c r="K177" s="41"/>
      <c r="L177" s="41"/>
      <c r="M177" s="83">
        <f t="shared" si="20"/>
        <v>0</v>
      </c>
      <c r="N177" s="41"/>
      <c r="O177" s="41"/>
      <c r="P177" s="70">
        <f t="shared" si="21"/>
        <v>0</v>
      </c>
      <c r="Q177" s="41"/>
      <c r="R177" s="41"/>
      <c r="S177" s="70">
        <f t="shared" si="22"/>
        <v>0</v>
      </c>
      <c r="T177" s="41"/>
      <c r="U177" s="41"/>
      <c r="V177" s="70">
        <f t="shared" si="23"/>
        <v>0</v>
      </c>
      <c r="Y177" s="70">
        <f t="shared" si="24"/>
        <v>0</v>
      </c>
      <c r="AB177" s="70">
        <f t="shared" si="25"/>
        <v>0</v>
      </c>
      <c r="AE177" s="70">
        <f t="shared" si="26"/>
        <v>0</v>
      </c>
      <c r="AF177" s="28">
        <f t="shared" si="27"/>
        <v>0</v>
      </c>
      <c r="AG177" s="28">
        <f t="shared" si="28"/>
        <v>0</v>
      </c>
    </row>
    <row r="178" spans="1:33" x14ac:dyDescent="0.3">
      <c r="M178" s="83">
        <f t="shared" si="20"/>
        <v>0</v>
      </c>
      <c r="P178" s="70">
        <f t="shared" si="21"/>
        <v>0</v>
      </c>
      <c r="S178" s="70">
        <f t="shared" si="22"/>
        <v>0</v>
      </c>
      <c r="V178" s="70">
        <f t="shared" si="23"/>
        <v>0</v>
      </c>
      <c r="Y178" s="70">
        <f t="shared" si="24"/>
        <v>0</v>
      </c>
      <c r="AB178" s="70">
        <f t="shared" si="25"/>
        <v>0</v>
      </c>
      <c r="AE178" s="70">
        <f t="shared" si="26"/>
        <v>0</v>
      </c>
      <c r="AF178" s="28">
        <f t="shared" si="27"/>
        <v>0</v>
      </c>
      <c r="AG178" s="28">
        <f t="shared" si="28"/>
        <v>0</v>
      </c>
    </row>
    <row r="179" spans="1:33" x14ac:dyDescent="0.3">
      <c r="M179" s="83">
        <f t="shared" si="20"/>
        <v>0</v>
      </c>
      <c r="P179" s="70">
        <f t="shared" si="21"/>
        <v>0</v>
      </c>
      <c r="S179" s="70">
        <f t="shared" si="22"/>
        <v>0</v>
      </c>
      <c r="V179" s="70">
        <f t="shared" si="23"/>
        <v>0</v>
      </c>
      <c r="Y179" s="70">
        <f t="shared" si="24"/>
        <v>0</v>
      </c>
      <c r="AB179" s="70">
        <f t="shared" si="25"/>
        <v>0</v>
      </c>
      <c r="AE179" s="70">
        <f t="shared" si="26"/>
        <v>0</v>
      </c>
      <c r="AF179" s="28">
        <f t="shared" si="27"/>
        <v>0</v>
      </c>
      <c r="AG179" s="28">
        <f t="shared" si="28"/>
        <v>0</v>
      </c>
    </row>
    <row r="180" spans="1:33" x14ac:dyDescent="0.3">
      <c r="M180" s="83">
        <f t="shared" si="20"/>
        <v>0</v>
      </c>
      <c r="P180" s="70">
        <f t="shared" si="21"/>
        <v>0</v>
      </c>
      <c r="S180" s="70">
        <f t="shared" si="22"/>
        <v>0</v>
      </c>
      <c r="V180" s="70">
        <f t="shared" si="23"/>
        <v>0</v>
      </c>
      <c r="Y180" s="70">
        <f t="shared" si="24"/>
        <v>0</v>
      </c>
      <c r="AB180" s="70">
        <f t="shared" si="25"/>
        <v>0</v>
      </c>
      <c r="AE180" s="70">
        <f t="shared" si="26"/>
        <v>0</v>
      </c>
      <c r="AF180" s="28">
        <f t="shared" si="27"/>
        <v>0</v>
      </c>
      <c r="AG180" s="28">
        <f t="shared" si="28"/>
        <v>0</v>
      </c>
    </row>
    <row r="181" spans="1:33" x14ac:dyDescent="0.3">
      <c r="M181" s="83">
        <f t="shared" si="20"/>
        <v>0</v>
      </c>
      <c r="P181" s="70">
        <f t="shared" si="21"/>
        <v>0</v>
      </c>
      <c r="S181" s="70">
        <f t="shared" si="22"/>
        <v>0</v>
      </c>
      <c r="V181" s="70">
        <f t="shared" si="23"/>
        <v>0</v>
      </c>
      <c r="Y181" s="70">
        <f t="shared" si="24"/>
        <v>0</v>
      </c>
      <c r="AB181" s="70">
        <f t="shared" si="25"/>
        <v>0</v>
      </c>
      <c r="AE181" s="70">
        <f t="shared" si="26"/>
        <v>0</v>
      </c>
      <c r="AF181" s="28">
        <f t="shared" si="27"/>
        <v>0</v>
      </c>
      <c r="AG181" s="28">
        <f t="shared" si="28"/>
        <v>0</v>
      </c>
    </row>
    <row r="182" spans="1:33" x14ac:dyDescent="0.3">
      <c r="M182" s="83">
        <f t="shared" si="20"/>
        <v>0</v>
      </c>
      <c r="P182" s="70">
        <f t="shared" si="21"/>
        <v>0</v>
      </c>
      <c r="S182" s="70">
        <f t="shared" si="22"/>
        <v>0</v>
      </c>
      <c r="V182" s="70">
        <f t="shared" si="23"/>
        <v>0</v>
      </c>
      <c r="Y182" s="70">
        <f t="shared" si="24"/>
        <v>0</v>
      </c>
      <c r="AB182" s="70">
        <f t="shared" si="25"/>
        <v>0</v>
      </c>
      <c r="AE182" s="70">
        <f t="shared" si="26"/>
        <v>0</v>
      </c>
      <c r="AF182" s="28">
        <f t="shared" si="27"/>
        <v>0</v>
      </c>
      <c r="AG182" s="28">
        <f t="shared" si="28"/>
        <v>0</v>
      </c>
    </row>
    <row r="183" spans="1:33" x14ac:dyDescent="0.3">
      <c r="M183" s="83">
        <f t="shared" si="20"/>
        <v>0</v>
      </c>
      <c r="P183" s="70">
        <f t="shared" si="21"/>
        <v>0</v>
      </c>
      <c r="S183" s="70">
        <f t="shared" si="22"/>
        <v>0</v>
      </c>
      <c r="V183" s="70">
        <f t="shared" si="23"/>
        <v>0</v>
      </c>
      <c r="Y183" s="70">
        <f t="shared" si="24"/>
        <v>0</v>
      </c>
      <c r="AB183" s="70">
        <f t="shared" si="25"/>
        <v>0</v>
      </c>
      <c r="AE183" s="70">
        <f t="shared" si="26"/>
        <v>0</v>
      </c>
      <c r="AF183" s="28">
        <f t="shared" si="27"/>
        <v>0</v>
      </c>
      <c r="AG183" s="28">
        <f t="shared" si="28"/>
        <v>0</v>
      </c>
    </row>
    <row r="184" spans="1:33" x14ac:dyDescent="0.3">
      <c r="M184" s="83">
        <f t="shared" si="20"/>
        <v>0</v>
      </c>
      <c r="P184" s="70">
        <f t="shared" si="21"/>
        <v>0</v>
      </c>
      <c r="S184" s="70">
        <f t="shared" si="22"/>
        <v>0</v>
      </c>
      <c r="V184" s="70">
        <f t="shared" si="23"/>
        <v>0</v>
      </c>
      <c r="Y184" s="70">
        <f t="shared" si="24"/>
        <v>0</v>
      </c>
      <c r="AB184" s="70">
        <f t="shared" si="25"/>
        <v>0</v>
      </c>
      <c r="AE184" s="70">
        <f t="shared" si="26"/>
        <v>0</v>
      </c>
      <c r="AF184" s="28">
        <f t="shared" si="27"/>
        <v>0</v>
      </c>
      <c r="AG184" s="28">
        <f t="shared" si="28"/>
        <v>0</v>
      </c>
    </row>
    <row r="185" spans="1:33" x14ac:dyDescent="0.3">
      <c r="M185" s="83">
        <f t="shared" si="20"/>
        <v>0</v>
      </c>
      <c r="P185" s="70">
        <f t="shared" si="21"/>
        <v>0</v>
      </c>
      <c r="S185" s="70">
        <f t="shared" si="22"/>
        <v>0</v>
      </c>
      <c r="V185" s="70">
        <f t="shared" si="23"/>
        <v>0</v>
      </c>
      <c r="Y185" s="70">
        <f t="shared" si="24"/>
        <v>0</v>
      </c>
      <c r="AB185" s="70">
        <f t="shared" si="25"/>
        <v>0</v>
      </c>
      <c r="AE185" s="70">
        <f t="shared" si="26"/>
        <v>0</v>
      </c>
      <c r="AF185" s="28">
        <f t="shared" si="27"/>
        <v>0</v>
      </c>
      <c r="AG185" s="28">
        <f t="shared" si="28"/>
        <v>0</v>
      </c>
    </row>
    <row r="186" spans="1:33" x14ac:dyDescent="0.3">
      <c r="M186" s="83">
        <f t="shared" si="20"/>
        <v>0</v>
      </c>
      <c r="P186" s="70">
        <f t="shared" si="21"/>
        <v>0</v>
      </c>
      <c r="S186" s="70">
        <f t="shared" si="22"/>
        <v>0</v>
      </c>
      <c r="V186" s="70">
        <f t="shared" si="23"/>
        <v>0</v>
      </c>
      <c r="Y186" s="70">
        <f t="shared" si="24"/>
        <v>0</v>
      </c>
      <c r="AB186" s="70">
        <f t="shared" si="25"/>
        <v>0</v>
      </c>
      <c r="AE186" s="70">
        <f t="shared" si="26"/>
        <v>0</v>
      </c>
      <c r="AF186" s="28">
        <f t="shared" si="27"/>
        <v>0</v>
      </c>
      <c r="AG186" s="28">
        <f t="shared" si="28"/>
        <v>0</v>
      </c>
    </row>
    <row r="187" spans="1:33" x14ac:dyDescent="0.3">
      <c r="M187" s="83">
        <f t="shared" si="20"/>
        <v>0</v>
      </c>
      <c r="P187" s="70">
        <f t="shared" si="21"/>
        <v>0</v>
      </c>
      <c r="S187" s="70">
        <f t="shared" si="22"/>
        <v>0</v>
      </c>
      <c r="V187" s="70">
        <f t="shared" si="23"/>
        <v>0</v>
      </c>
      <c r="Y187" s="70">
        <f t="shared" si="24"/>
        <v>0</v>
      </c>
      <c r="AB187" s="70">
        <f t="shared" si="25"/>
        <v>0</v>
      </c>
      <c r="AE187" s="70">
        <f t="shared" si="26"/>
        <v>0</v>
      </c>
      <c r="AF187" s="28">
        <f t="shared" si="27"/>
        <v>0</v>
      </c>
      <c r="AG187" s="28">
        <f t="shared" si="28"/>
        <v>0</v>
      </c>
    </row>
    <row r="188" spans="1:33" x14ac:dyDescent="0.3">
      <c r="M188" s="83">
        <f t="shared" si="20"/>
        <v>0</v>
      </c>
      <c r="P188" s="70">
        <f t="shared" si="21"/>
        <v>0</v>
      </c>
      <c r="S188" s="70">
        <f t="shared" si="22"/>
        <v>0</v>
      </c>
      <c r="V188" s="70">
        <f t="shared" si="23"/>
        <v>0</v>
      </c>
      <c r="Y188" s="70">
        <f t="shared" si="24"/>
        <v>0</v>
      </c>
      <c r="AB188" s="70">
        <f t="shared" si="25"/>
        <v>0</v>
      </c>
      <c r="AE188" s="70">
        <f t="shared" si="26"/>
        <v>0</v>
      </c>
      <c r="AF188" s="28">
        <f t="shared" si="27"/>
        <v>0</v>
      </c>
      <c r="AG188" s="28">
        <f t="shared" si="28"/>
        <v>0</v>
      </c>
    </row>
    <row r="189" spans="1:33" x14ac:dyDescent="0.3">
      <c r="M189" s="83">
        <f t="shared" si="20"/>
        <v>0</v>
      </c>
      <c r="P189" s="70">
        <f t="shared" si="21"/>
        <v>0</v>
      </c>
      <c r="S189" s="70">
        <f t="shared" si="22"/>
        <v>0</v>
      </c>
      <c r="V189" s="70">
        <f t="shared" si="23"/>
        <v>0</v>
      </c>
      <c r="Y189" s="70">
        <f t="shared" si="24"/>
        <v>0</v>
      </c>
      <c r="AB189" s="70">
        <f t="shared" si="25"/>
        <v>0</v>
      </c>
      <c r="AE189" s="70">
        <f t="shared" si="26"/>
        <v>0</v>
      </c>
      <c r="AF189" s="28">
        <f t="shared" si="27"/>
        <v>0</v>
      </c>
      <c r="AG189" s="28">
        <f t="shared" si="28"/>
        <v>0</v>
      </c>
    </row>
    <row r="190" spans="1:33" x14ac:dyDescent="0.3">
      <c r="M190" s="83">
        <f t="shared" si="20"/>
        <v>0</v>
      </c>
      <c r="P190" s="70">
        <f t="shared" si="21"/>
        <v>0</v>
      </c>
      <c r="S190" s="70">
        <f t="shared" si="22"/>
        <v>0</v>
      </c>
      <c r="V190" s="70">
        <f t="shared" si="23"/>
        <v>0</v>
      </c>
      <c r="Y190" s="70">
        <f t="shared" si="24"/>
        <v>0</v>
      </c>
      <c r="AB190" s="70">
        <f t="shared" si="25"/>
        <v>0</v>
      </c>
      <c r="AE190" s="70">
        <f t="shared" si="26"/>
        <v>0</v>
      </c>
      <c r="AF190" s="28">
        <f t="shared" si="27"/>
        <v>0</v>
      </c>
      <c r="AG190" s="28">
        <f t="shared" si="28"/>
        <v>0</v>
      </c>
    </row>
    <row r="191" spans="1:33" x14ac:dyDescent="0.3">
      <c r="M191" s="83">
        <f t="shared" si="20"/>
        <v>0</v>
      </c>
      <c r="P191" s="70">
        <f t="shared" si="21"/>
        <v>0</v>
      </c>
      <c r="S191" s="70">
        <f t="shared" si="22"/>
        <v>0</v>
      </c>
      <c r="V191" s="70">
        <f t="shared" si="23"/>
        <v>0</v>
      </c>
      <c r="Y191" s="70">
        <f t="shared" si="24"/>
        <v>0</v>
      </c>
      <c r="AB191" s="70">
        <f t="shared" si="25"/>
        <v>0</v>
      </c>
      <c r="AE191" s="70">
        <f t="shared" si="26"/>
        <v>0</v>
      </c>
      <c r="AF191" s="28">
        <f t="shared" si="27"/>
        <v>0</v>
      </c>
      <c r="AG191" s="28">
        <f t="shared" si="28"/>
        <v>0</v>
      </c>
    </row>
    <row r="192" spans="1:33" x14ac:dyDescent="0.3">
      <c r="M192" s="83">
        <f t="shared" si="20"/>
        <v>0</v>
      </c>
      <c r="P192" s="70">
        <f t="shared" si="21"/>
        <v>0</v>
      </c>
      <c r="S192" s="70">
        <f t="shared" si="22"/>
        <v>0</v>
      </c>
      <c r="V192" s="70">
        <f t="shared" si="23"/>
        <v>0</v>
      </c>
      <c r="Y192" s="70">
        <f t="shared" si="24"/>
        <v>0</v>
      </c>
      <c r="AB192" s="70">
        <f t="shared" si="25"/>
        <v>0</v>
      </c>
      <c r="AE192" s="70">
        <f t="shared" si="26"/>
        <v>0</v>
      </c>
      <c r="AF192" s="28">
        <f t="shared" si="27"/>
        <v>0</v>
      </c>
      <c r="AG192" s="28">
        <f t="shared" si="28"/>
        <v>0</v>
      </c>
    </row>
    <row r="193" spans="13:33" x14ac:dyDescent="0.3">
      <c r="M193" s="83">
        <f t="shared" si="20"/>
        <v>0</v>
      </c>
      <c r="P193" s="70">
        <f t="shared" si="21"/>
        <v>0</v>
      </c>
      <c r="S193" s="70">
        <f t="shared" si="22"/>
        <v>0</v>
      </c>
      <c r="V193" s="70">
        <f t="shared" si="23"/>
        <v>0</v>
      </c>
      <c r="Y193" s="70">
        <f t="shared" si="24"/>
        <v>0</v>
      </c>
      <c r="AB193" s="70">
        <f t="shared" si="25"/>
        <v>0</v>
      </c>
      <c r="AE193" s="70">
        <f t="shared" si="26"/>
        <v>0</v>
      </c>
      <c r="AF193" s="28">
        <f t="shared" si="27"/>
        <v>0</v>
      </c>
      <c r="AG193" s="28">
        <f t="shared" si="28"/>
        <v>0</v>
      </c>
    </row>
    <row r="194" spans="13:33" x14ac:dyDescent="0.3">
      <c r="M194" s="83">
        <f t="shared" si="20"/>
        <v>0</v>
      </c>
      <c r="P194" s="70">
        <f t="shared" si="21"/>
        <v>0</v>
      </c>
      <c r="S194" s="70">
        <f t="shared" si="22"/>
        <v>0</v>
      </c>
      <c r="V194" s="70">
        <f t="shared" si="23"/>
        <v>0</v>
      </c>
      <c r="Y194" s="70">
        <f t="shared" si="24"/>
        <v>0</v>
      </c>
      <c r="AB194" s="70">
        <f t="shared" si="25"/>
        <v>0</v>
      </c>
      <c r="AE194" s="70">
        <f t="shared" si="26"/>
        <v>0</v>
      </c>
      <c r="AF194" s="28">
        <f t="shared" si="27"/>
        <v>0</v>
      </c>
      <c r="AG194" s="28">
        <f t="shared" si="28"/>
        <v>0</v>
      </c>
    </row>
    <row r="195" spans="13:33" x14ac:dyDescent="0.3">
      <c r="M195" s="83">
        <f t="shared" ref="M195:M229" si="30">(G195*1.1)*K195*L195</f>
        <v>0</v>
      </c>
      <c r="P195" s="70">
        <f t="shared" ref="P195:P224" si="31">($G195*1.1^2)*N195*O195</f>
        <v>0</v>
      </c>
      <c r="V195" s="70">
        <f t="shared" ref="V195:V225" si="32">($G195*1.1^4)*T195*U195</f>
        <v>0</v>
      </c>
      <c r="Y195" s="70">
        <f t="shared" ref="Y195:Y258" si="33">($G195*1.1^5)*W195*X195</f>
        <v>0</v>
      </c>
      <c r="AB195" s="70">
        <f t="shared" ref="AB195:AB218" si="34">($G195*1.1^6)*Z195*AA195</f>
        <v>0</v>
      </c>
      <c r="AE195" s="70">
        <f t="shared" ref="AE195:AE206" si="35">($G195*1.1^7)*AC195*AD195</f>
        <v>0</v>
      </c>
      <c r="AF195" s="28">
        <f t="shared" ref="AF195:AF258" si="36">J195+M195+P195+S195+V195+Y195+AB195+AE195</f>
        <v>0</v>
      </c>
      <c r="AG195" s="28">
        <f t="shared" ref="AG195:AG258" si="37">AF195/$AL$2</f>
        <v>0</v>
      </c>
    </row>
    <row r="196" spans="13:33" x14ac:dyDescent="0.3">
      <c r="M196" s="83">
        <f t="shared" si="30"/>
        <v>0</v>
      </c>
      <c r="P196" s="70">
        <f t="shared" si="31"/>
        <v>0</v>
      </c>
      <c r="V196" s="70">
        <f t="shared" si="32"/>
        <v>0</v>
      </c>
      <c r="Y196" s="70">
        <f t="shared" si="33"/>
        <v>0</v>
      </c>
      <c r="AB196" s="70">
        <f t="shared" si="34"/>
        <v>0</v>
      </c>
      <c r="AE196" s="70">
        <f t="shared" si="35"/>
        <v>0</v>
      </c>
      <c r="AF196" s="28">
        <f t="shared" si="36"/>
        <v>0</v>
      </c>
      <c r="AG196" s="28">
        <f t="shared" si="37"/>
        <v>0</v>
      </c>
    </row>
    <row r="197" spans="13:33" x14ac:dyDescent="0.3">
      <c r="M197" s="83">
        <f t="shared" si="30"/>
        <v>0</v>
      </c>
      <c r="P197" s="70">
        <f t="shared" si="31"/>
        <v>0</v>
      </c>
      <c r="V197" s="70">
        <f t="shared" si="32"/>
        <v>0</v>
      </c>
      <c r="Y197" s="70">
        <f t="shared" si="33"/>
        <v>0</v>
      </c>
      <c r="AB197" s="70">
        <f t="shared" si="34"/>
        <v>0</v>
      </c>
      <c r="AE197" s="70">
        <f t="shared" si="35"/>
        <v>0</v>
      </c>
      <c r="AF197" s="28">
        <f t="shared" si="36"/>
        <v>0</v>
      </c>
      <c r="AG197" s="28">
        <f t="shared" si="37"/>
        <v>0</v>
      </c>
    </row>
    <row r="198" spans="13:33" x14ac:dyDescent="0.3">
      <c r="M198" s="83">
        <f t="shared" si="30"/>
        <v>0</v>
      </c>
      <c r="P198" s="70">
        <f t="shared" si="31"/>
        <v>0</v>
      </c>
      <c r="V198" s="70">
        <f t="shared" si="32"/>
        <v>0</v>
      </c>
      <c r="Y198" s="70">
        <f t="shared" si="33"/>
        <v>0</v>
      </c>
      <c r="AB198" s="70">
        <f t="shared" si="34"/>
        <v>0</v>
      </c>
      <c r="AE198" s="70">
        <f t="shared" si="35"/>
        <v>0</v>
      </c>
      <c r="AF198" s="28">
        <f t="shared" si="36"/>
        <v>0</v>
      </c>
      <c r="AG198" s="28">
        <f t="shared" si="37"/>
        <v>0</v>
      </c>
    </row>
    <row r="199" spans="13:33" x14ac:dyDescent="0.3">
      <c r="M199" s="83">
        <f t="shared" si="30"/>
        <v>0</v>
      </c>
      <c r="P199" s="70">
        <f t="shared" si="31"/>
        <v>0</v>
      </c>
      <c r="V199" s="70">
        <f t="shared" si="32"/>
        <v>0</v>
      </c>
      <c r="Y199" s="70">
        <f t="shared" si="33"/>
        <v>0</v>
      </c>
      <c r="AB199" s="70">
        <f t="shared" si="34"/>
        <v>0</v>
      </c>
      <c r="AE199" s="70">
        <f t="shared" si="35"/>
        <v>0</v>
      </c>
      <c r="AF199" s="28">
        <f t="shared" si="36"/>
        <v>0</v>
      </c>
      <c r="AG199" s="28">
        <f t="shared" si="37"/>
        <v>0</v>
      </c>
    </row>
    <row r="200" spans="13:33" x14ac:dyDescent="0.3">
      <c r="M200" s="83">
        <f t="shared" si="30"/>
        <v>0</v>
      </c>
      <c r="P200" s="70">
        <f t="shared" si="31"/>
        <v>0</v>
      </c>
      <c r="V200" s="70">
        <f t="shared" si="32"/>
        <v>0</v>
      </c>
      <c r="Y200" s="70">
        <f t="shared" si="33"/>
        <v>0</v>
      </c>
      <c r="AB200" s="70">
        <f t="shared" si="34"/>
        <v>0</v>
      </c>
      <c r="AE200" s="70">
        <f t="shared" si="35"/>
        <v>0</v>
      </c>
      <c r="AF200" s="28">
        <f t="shared" si="36"/>
        <v>0</v>
      </c>
      <c r="AG200" s="28">
        <f t="shared" si="37"/>
        <v>0</v>
      </c>
    </row>
    <row r="201" spans="13:33" x14ac:dyDescent="0.3">
      <c r="M201" s="83">
        <f t="shared" si="30"/>
        <v>0</v>
      </c>
      <c r="P201" s="70">
        <f t="shared" si="31"/>
        <v>0</v>
      </c>
      <c r="V201" s="70">
        <f t="shared" si="32"/>
        <v>0</v>
      </c>
      <c r="Y201" s="70">
        <f t="shared" si="33"/>
        <v>0</v>
      </c>
      <c r="AB201" s="70">
        <f t="shared" si="34"/>
        <v>0</v>
      </c>
      <c r="AE201" s="70">
        <f t="shared" si="35"/>
        <v>0</v>
      </c>
      <c r="AF201" s="28">
        <f t="shared" si="36"/>
        <v>0</v>
      </c>
      <c r="AG201" s="28">
        <f t="shared" si="37"/>
        <v>0</v>
      </c>
    </row>
    <row r="202" spans="13:33" x14ac:dyDescent="0.3">
      <c r="M202" s="83">
        <f t="shared" si="30"/>
        <v>0</v>
      </c>
      <c r="P202" s="70">
        <f t="shared" si="31"/>
        <v>0</v>
      </c>
      <c r="V202" s="70">
        <f t="shared" si="32"/>
        <v>0</v>
      </c>
      <c r="Y202" s="70">
        <f t="shared" si="33"/>
        <v>0</v>
      </c>
      <c r="AB202" s="70">
        <f t="shared" si="34"/>
        <v>0</v>
      </c>
      <c r="AE202" s="70">
        <f t="shared" si="35"/>
        <v>0</v>
      </c>
      <c r="AF202" s="28">
        <f t="shared" si="36"/>
        <v>0</v>
      </c>
      <c r="AG202" s="28">
        <f t="shared" si="37"/>
        <v>0</v>
      </c>
    </row>
    <row r="203" spans="13:33" x14ac:dyDescent="0.3">
      <c r="M203" s="83">
        <f t="shared" si="30"/>
        <v>0</v>
      </c>
      <c r="P203" s="70">
        <f t="shared" si="31"/>
        <v>0</v>
      </c>
      <c r="V203" s="70">
        <f t="shared" si="32"/>
        <v>0</v>
      </c>
      <c r="Y203" s="70">
        <f t="shared" si="33"/>
        <v>0</v>
      </c>
      <c r="AB203" s="70">
        <f t="shared" si="34"/>
        <v>0</v>
      </c>
      <c r="AE203" s="70">
        <f t="shared" si="35"/>
        <v>0</v>
      </c>
      <c r="AF203" s="28">
        <f t="shared" si="36"/>
        <v>0</v>
      </c>
      <c r="AG203" s="28">
        <f t="shared" si="37"/>
        <v>0</v>
      </c>
    </row>
    <row r="204" spans="13:33" x14ac:dyDescent="0.3">
      <c r="M204" s="83">
        <f t="shared" si="30"/>
        <v>0</v>
      </c>
      <c r="P204" s="70">
        <f t="shared" si="31"/>
        <v>0</v>
      </c>
      <c r="V204" s="70">
        <f t="shared" si="32"/>
        <v>0</v>
      </c>
      <c r="Y204" s="70">
        <f t="shared" si="33"/>
        <v>0</v>
      </c>
      <c r="AB204" s="70">
        <f t="shared" si="34"/>
        <v>0</v>
      </c>
      <c r="AE204" s="70">
        <f t="shared" si="35"/>
        <v>0</v>
      </c>
      <c r="AF204" s="28">
        <f t="shared" si="36"/>
        <v>0</v>
      </c>
      <c r="AG204" s="28">
        <f t="shared" si="37"/>
        <v>0</v>
      </c>
    </row>
    <row r="205" spans="13:33" x14ac:dyDescent="0.3">
      <c r="M205" s="83">
        <f t="shared" si="30"/>
        <v>0</v>
      </c>
      <c r="P205" s="70">
        <f t="shared" si="31"/>
        <v>0</v>
      </c>
      <c r="V205" s="70">
        <f t="shared" si="32"/>
        <v>0</v>
      </c>
      <c r="Y205" s="70">
        <f t="shared" si="33"/>
        <v>0</v>
      </c>
      <c r="AB205" s="70">
        <f t="shared" si="34"/>
        <v>0</v>
      </c>
      <c r="AE205" s="70">
        <f t="shared" si="35"/>
        <v>0</v>
      </c>
      <c r="AF205" s="28">
        <f t="shared" si="36"/>
        <v>0</v>
      </c>
      <c r="AG205" s="28">
        <f t="shared" si="37"/>
        <v>0</v>
      </c>
    </row>
    <row r="206" spans="13:33" x14ac:dyDescent="0.3">
      <c r="M206" s="83">
        <f t="shared" si="30"/>
        <v>0</v>
      </c>
      <c r="P206" s="70">
        <f t="shared" si="31"/>
        <v>0</v>
      </c>
      <c r="V206" s="70">
        <f t="shared" si="32"/>
        <v>0</v>
      </c>
      <c r="Y206" s="70">
        <f t="shared" si="33"/>
        <v>0</v>
      </c>
      <c r="AB206" s="70">
        <f t="shared" si="34"/>
        <v>0</v>
      </c>
      <c r="AE206" s="70">
        <f t="shared" si="35"/>
        <v>0</v>
      </c>
      <c r="AF206" s="28">
        <f t="shared" si="36"/>
        <v>0</v>
      </c>
      <c r="AG206" s="28">
        <f t="shared" si="37"/>
        <v>0</v>
      </c>
    </row>
    <row r="207" spans="13:33" x14ac:dyDescent="0.3">
      <c r="M207" s="83">
        <f t="shared" si="30"/>
        <v>0</v>
      </c>
      <c r="P207" s="70">
        <f t="shared" si="31"/>
        <v>0</v>
      </c>
      <c r="V207" s="70">
        <f t="shared" si="32"/>
        <v>0</v>
      </c>
      <c r="Y207" s="70">
        <f t="shared" si="33"/>
        <v>0</v>
      </c>
      <c r="AB207" s="70">
        <f t="shared" si="34"/>
        <v>0</v>
      </c>
      <c r="AF207" s="28">
        <f t="shared" si="36"/>
        <v>0</v>
      </c>
      <c r="AG207" s="28">
        <f t="shared" si="37"/>
        <v>0</v>
      </c>
    </row>
    <row r="208" spans="13:33" x14ac:dyDescent="0.3">
      <c r="M208" s="83">
        <f t="shared" si="30"/>
        <v>0</v>
      </c>
      <c r="P208" s="70">
        <f t="shared" si="31"/>
        <v>0</v>
      </c>
      <c r="V208" s="70">
        <f t="shared" si="32"/>
        <v>0</v>
      </c>
      <c r="Y208" s="70">
        <f t="shared" si="33"/>
        <v>0</v>
      </c>
      <c r="AB208" s="70">
        <f t="shared" si="34"/>
        <v>0</v>
      </c>
      <c r="AF208" s="28">
        <f t="shared" si="36"/>
        <v>0</v>
      </c>
      <c r="AG208" s="28">
        <f t="shared" si="37"/>
        <v>0</v>
      </c>
    </row>
    <row r="209" spans="13:33" x14ac:dyDescent="0.3">
      <c r="M209" s="83">
        <f t="shared" si="30"/>
        <v>0</v>
      </c>
      <c r="P209" s="70">
        <f t="shared" si="31"/>
        <v>0</v>
      </c>
      <c r="V209" s="70">
        <f t="shared" si="32"/>
        <v>0</v>
      </c>
      <c r="Y209" s="70">
        <f t="shared" si="33"/>
        <v>0</v>
      </c>
      <c r="AB209" s="70">
        <f t="shared" si="34"/>
        <v>0</v>
      </c>
      <c r="AF209" s="28">
        <f t="shared" si="36"/>
        <v>0</v>
      </c>
      <c r="AG209" s="28">
        <f t="shared" si="37"/>
        <v>0</v>
      </c>
    </row>
    <row r="210" spans="13:33" x14ac:dyDescent="0.3">
      <c r="M210" s="83">
        <f t="shared" si="30"/>
        <v>0</v>
      </c>
      <c r="P210" s="70">
        <f t="shared" si="31"/>
        <v>0</v>
      </c>
      <c r="V210" s="70">
        <f t="shared" si="32"/>
        <v>0</v>
      </c>
      <c r="Y210" s="70">
        <f t="shared" si="33"/>
        <v>0</v>
      </c>
      <c r="AB210" s="70">
        <f t="shared" si="34"/>
        <v>0</v>
      </c>
      <c r="AF210" s="28">
        <f t="shared" si="36"/>
        <v>0</v>
      </c>
      <c r="AG210" s="28">
        <f t="shared" si="37"/>
        <v>0</v>
      </c>
    </row>
    <row r="211" spans="13:33" x14ac:dyDescent="0.3">
      <c r="M211" s="83">
        <f t="shared" si="30"/>
        <v>0</v>
      </c>
      <c r="P211" s="70">
        <f t="shared" si="31"/>
        <v>0</v>
      </c>
      <c r="V211" s="70">
        <f t="shared" si="32"/>
        <v>0</v>
      </c>
      <c r="Y211" s="70">
        <f t="shared" si="33"/>
        <v>0</v>
      </c>
      <c r="AB211" s="70">
        <f t="shared" si="34"/>
        <v>0</v>
      </c>
      <c r="AF211" s="28">
        <f t="shared" si="36"/>
        <v>0</v>
      </c>
      <c r="AG211" s="28">
        <f t="shared" si="37"/>
        <v>0</v>
      </c>
    </row>
    <row r="212" spans="13:33" x14ac:dyDescent="0.3">
      <c r="M212" s="83">
        <f t="shared" si="30"/>
        <v>0</v>
      </c>
      <c r="P212" s="70">
        <f t="shared" si="31"/>
        <v>0</v>
      </c>
      <c r="V212" s="70">
        <f t="shared" si="32"/>
        <v>0</v>
      </c>
      <c r="Y212" s="70">
        <f t="shared" si="33"/>
        <v>0</v>
      </c>
      <c r="AB212" s="70">
        <f t="shared" si="34"/>
        <v>0</v>
      </c>
      <c r="AF212" s="28">
        <f t="shared" si="36"/>
        <v>0</v>
      </c>
      <c r="AG212" s="28">
        <f t="shared" si="37"/>
        <v>0</v>
      </c>
    </row>
    <row r="213" spans="13:33" x14ac:dyDescent="0.3">
      <c r="M213" s="83">
        <f t="shared" si="30"/>
        <v>0</v>
      </c>
      <c r="P213" s="70">
        <f t="shared" si="31"/>
        <v>0</v>
      </c>
      <c r="V213" s="70">
        <f t="shared" si="32"/>
        <v>0</v>
      </c>
      <c r="Y213" s="70">
        <f t="shared" si="33"/>
        <v>0</v>
      </c>
      <c r="AB213" s="70">
        <f t="shared" si="34"/>
        <v>0</v>
      </c>
      <c r="AF213" s="28">
        <f t="shared" si="36"/>
        <v>0</v>
      </c>
      <c r="AG213" s="28">
        <f t="shared" si="37"/>
        <v>0</v>
      </c>
    </row>
    <row r="214" spans="13:33" x14ac:dyDescent="0.3">
      <c r="M214" s="83">
        <f t="shared" si="30"/>
        <v>0</v>
      </c>
      <c r="P214" s="70">
        <f t="shared" si="31"/>
        <v>0</v>
      </c>
      <c r="V214" s="70">
        <f t="shared" si="32"/>
        <v>0</v>
      </c>
      <c r="Y214" s="70">
        <f t="shared" si="33"/>
        <v>0</v>
      </c>
      <c r="AB214" s="70">
        <f t="shared" si="34"/>
        <v>0</v>
      </c>
      <c r="AF214" s="28">
        <f t="shared" si="36"/>
        <v>0</v>
      </c>
      <c r="AG214" s="28">
        <f t="shared" si="37"/>
        <v>0</v>
      </c>
    </row>
    <row r="215" spans="13:33" x14ac:dyDescent="0.3">
      <c r="M215" s="83">
        <f t="shared" si="30"/>
        <v>0</v>
      </c>
      <c r="P215" s="70">
        <f t="shared" si="31"/>
        <v>0</v>
      </c>
      <c r="V215" s="70">
        <f t="shared" si="32"/>
        <v>0</v>
      </c>
      <c r="Y215" s="70">
        <f t="shared" si="33"/>
        <v>0</v>
      </c>
      <c r="AB215" s="70">
        <f t="shared" si="34"/>
        <v>0</v>
      </c>
      <c r="AF215" s="28">
        <f t="shared" si="36"/>
        <v>0</v>
      </c>
      <c r="AG215" s="28">
        <f t="shared" si="37"/>
        <v>0</v>
      </c>
    </row>
    <row r="216" spans="13:33" x14ac:dyDescent="0.3">
      <c r="M216" s="83">
        <f t="shared" si="30"/>
        <v>0</v>
      </c>
      <c r="P216" s="70">
        <f t="shared" si="31"/>
        <v>0</v>
      </c>
      <c r="V216" s="70">
        <f t="shared" si="32"/>
        <v>0</v>
      </c>
      <c r="Y216" s="70">
        <f t="shared" si="33"/>
        <v>0</v>
      </c>
      <c r="AB216" s="70">
        <f t="shared" si="34"/>
        <v>0</v>
      </c>
      <c r="AF216" s="28">
        <f t="shared" si="36"/>
        <v>0</v>
      </c>
      <c r="AG216" s="28">
        <f t="shared" si="37"/>
        <v>0</v>
      </c>
    </row>
    <row r="217" spans="13:33" x14ac:dyDescent="0.3">
      <c r="M217" s="83">
        <f t="shared" si="30"/>
        <v>0</v>
      </c>
      <c r="P217" s="70">
        <f t="shared" si="31"/>
        <v>0</v>
      </c>
      <c r="V217" s="70">
        <f t="shared" si="32"/>
        <v>0</v>
      </c>
      <c r="Y217" s="70">
        <f t="shared" si="33"/>
        <v>0</v>
      </c>
      <c r="AB217" s="70">
        <f t="shared" si="34"/>
        <v>0</v>
      </c>
      <c r="AF217" s="28">
        <f t="shared" si="36"/>
        <v>0</v>
      </c>
      <c r="AG217" s="28">
        <f t="shared" si="37"/>
        <v>0</v>
      </c>
    </row>
    <row r="218" spans="13:33" x14ac:dyDescent="0.3">
      <c r="M218" s="83">
        <f t="shared" si="30"/>
        <v>0</v>
      </c>
      <c r="P218" s="70">
        <f t="shared" si="31"/>
        <v>0</v>
      </c>
      <c r="V218" s="70">
        <f t="shared" si="32"/>
        <v>0</v>
      </c>
      <c r="Y218" s="70">
        <f t="shared" si="33"/>
        <v>0</v>
      </c>
      <c r="AB218" s="70">
        <f t="shared" si="34"/>
        <v>0</v>
      </c>
      <c r="AF218" s="28">
        <f t="shared" si="36"/>
        <v>0</v>
      </c>
      <c r="AG218" s="28">
        <f t="shared" si="37"/>
        <v>0</v>
      </c>
    </row>
    <row r="219" spans="13:33" x14ac:dyDescent="0.3">
      <c r="M219" s="83">
        <f t="shared" si="30"/>
        <v>0</v>
      </c>
      <c r="P219" s="70">
        <f t="shared" si="31"/>
        <v>0</v>
      </c>
      <c r="V219" s="70">
        <f t="shared" si="32"/>
        <v>0</v>
      </c>
      <c r="Y219" s="70">
        <f t="shared" si="33"/>
        <v>0</v>
      </c>
      <c r="AF219" s="28">
        <f t="shared" si="36"/>
        <v>0</v>
      </c>
      <c r="AG219" s="28">
        <f t="shared" si="37"/>
        <v>0</v>
      </c>
    </row>
    <row r="220" spans="13:33" x14ac:dyDescent="0.3">
      <c r="M220" s="83">
        <f t="shared" si="30"/>
        <v>0</v>
      </c>
      <c r="P220" s="70">
        <f t="shared" si="31"/>
        <v>0</v>
      </c>
      <c r="V220" s="70">
        <f t="shared" si="32"/>
        <v>0</v>
      </c>
      <c r="Y220" s="70">
        <f t="shared" si="33"/>
        <v>0</v>
      </c>
      <c r="AF220" s="28">
        <f t="shared" si="36"/>
        <v>0</v>
      </c>
      <c r="AG220" s="28">
        <f t="shared" si="37"/>
        <v>0</v>
      </c>
    </row>
    <row r="221" spans="13:33" x14ac:dyDescent="0.3">
      <c r="M221" s="83">
        <f t="shared" si="30"/>
        <v>0</v>
      </c>
      <c r="P221" s="70">
        <f t="shared" si="31"/>
        <v>0</v>
      </c>
      <c r="V221" s="70">
        <f t="shared" si="32"/>
        <v>0</v>
      </c>
      <c r="Y221" s="70">
        <f t="shared" si="33"/>
        <v>0</v>
      </c>
      <c r="AF221" s="28">
        <f t="shared" si="36"/>
        <v>0</v>
      </c>
      <c r="AG221" s="28">
        <f t="shared" si="37"/>
        <v>0</v>
      </c>
    </row>
    <row r="222" spans="13:33" x14ac:dyDescent="0.3">
      <c r="M222" s="83">
        <f t="shared" si="30"/>
        <v>0</v>
      </c>
      <c r="P222" s="70">
        <f t="shared" si="31"/>
        <v>0</v>
      </c>
      <c r="V222" s="70">
        <f t="shared" si="32"/>
        <v>0</v>
      </c>
      <c r="Y222" s="70">
        <f t="shared" si="33"/>
        <v>0</v>
      </c>
      <c r="AF222" s="28">
        <f t="shared" si="36"/>
        <v>0</v>
      </c>
      <c r="AG222" s="28">
        <f t="shared" si="37"/>
        <v>0</v>
      </c>
    </row>
    <row r="223" spans="13:33" x14ac:dyDescent="0.3">
      <c r="M223" s="83">
        <f t="shared" si="30"/>
        <v>0</v>
      </c>
      <c r="P223" s="70">
        <f t="shared" si="31"/>
        <v>0</v>
      </c>
      <c r="V223" s="70">
        <f t="shared" si="32"/>
        <v>0</v>
      </c>
      <c r="Y223" s="70">
        <f t="shared" si="33"/>
        <v>0</v>
      </c>
      <c r="AF223" s="28">
        <f t="shared" si="36"/>
        <v>0</v>
      </c>
      <c r="AG223" s="28">
        <f t="shared" si="37"/>
        <v>0</v>
      </c>
    </row>
    <row r="224" spans="13:33" x14ac:dyDescent="0.3">
      <c r="M224" s="83">
        <f t="shared" si="30"/>
        <v>0</v>
      </c>
      <c r="P224" s="70">
        <f t="shared" si="31"/>
        <v>0</v>
      </c>
      <c r="V224" s="70">
        <f t="shared" si="32"/>
        <v>0</v>
      </c>
      <c r="Y224" s="70">
        <f t="shared" si="33"/>
        <v>0</v>
      </c>
      <c r="AF224" s="28">
        <f t="shared" si="36"/>
        <v>0</v>
      </c>
      <c r="AG224" s="28">
        <f t="shared" si="37"/>
        <v>0</v>
      </c>
    </row>
    <row r="225" spans="13:33" x14ac:dyDescent="0.3">
      <c r="M225" s="83">
        <f t="shared" si="30"/>
        <v>0</v>
      </c>
      <c r="V225" s="70">
        <f t="shared" si="32"/>
        <v>0</v>
      </c>
      <c r="Y225" s="70">
        <f t="shared" si="33"/>
        <v>0</v>
      </c>
      <c r="AF225" s="28">
        <f t="shared" si="36"/>
        <v>0</v>
      </c>
      <c r="AG225" s="28">
        <f t="shared" si="37"/>
        <v>0</v>
      </c>
    </row>
    <row r="226" spans="13:33" x14ac:dyDescent="0.3">
      <c r="M226" s="83">
        <f t="shared" si="30"/>
        <v>0</v>
      </c>
      <c r="Y226" s="70">
        <f t="shared" si="33"/>
        <v>0</v>
      </c>
      <c r="AF226" s="28">
        <f t="shared" si="36"/>
        <v>0</v>
      </c>
      <c r="AG226" s="28">
        <f t="shared" si="37"/>
        <v>0</v>
      </c>
    </row>
    <row r="227" spans="13:33" x14ac:dyDescent="0.3">
      <c r="M227" s="83">
        <f t="shared" si="30"/>
        <v>0</v>
      </c>
      <c r="Y227" s="70">
        <f t="shared" si="33"/>
        <v>0</v>
      </c>
      <c r="AF227" s="28">
        <f t="shared" si="36"/>
        <v>0</v>
      </c>
      <c r="AG227" s="28">
        <f t="shared" si="37"/>
        <v>0</v>
      </c>
    </row>
    <row r="228" spans="13:33" x14ac:dyDescent="0.3">
      <c r="M228" s="83">
        <f t="shared" si="30"/>
        <v>0</v>
      </c>
      <c r="Y228" s="70">
        <f t="shared" si="33"/>
        <v>0</v>
      </c>
      <c r="AF228" s="28">
        <f t="shared" si="36"/>
        <v>0</v>
      </c>
      <c r="AG228" s="28">
        <f t="shared" si="37"/>
        <v>0</v>
      </c>
    </row>
    <row r="229" spans="13:33" x14ac:dyDescent="0.3">
      <c r="M229" s="83">
        <f t="shared" si="30"/>
        <v>0</v>
      </c>
      <c r="Y229" s="70">
        <f t="shared" si="33"/>
        <v>0</v>
      </c>
      <c r="AF229" s="28">
        <f t="shared" si="36"/>
        <v>0</v>
      </c>
      <c r="AG229" s="28">
        <f t="shared" si="37"/>
        <v>0</v>
      </c>
    </row>
    <row r="230" spans="13:33" x14ac:dyDescent="0.3">
      <c r="Y230" s="70">
        <f t="shared" si="33"/>
        <v>0</v>
      </c>
      <c r="AF230" s="28">
        <f t="shared" si="36"/>
        <v>0</v>
      </c>
      <c r="AG230" s="28">
        <f t="shared" si="37"/>
        <v>0</v>
      </c>
    </row>
    <row r="231" spans="13:33" x14ac:dyDescent="0.3">
      <c r="Y231" s="70">
        <f t="shared" si="33"/>
        <v>0</v>
      </c>
      <c r="AF231" s="28">
        <f t="shared" si="36"/>
        <v>0</v>
      </c>
      <c r="AG231" s="28">
        <f t="shared" si="37"/>
        <v>0</v>
      </c>
    </row>
    <row r="232" spans="13:33" x14ac:dyDescent="0.3">
      <c r="Y232" s="70">
        <f t="shared" si="33"/>
        <v>0</v>
      </c>
      <c r="AF232" s="28">
        <f t="shared" si="36"/>
        <v>0</v>
      </c>
      <c r="AG232" s="28">
        <f t="shared" si="37"/>
        <v>0</v>
      </c>
    </row>
    <row r="233" spans="13:33" x14ac:dyDescent="0.3">
      <c r="Y233" s="70">
        <f t="shared" si="33"/>
        <v>0</v>
      </c>
      <c r="AF233" s="28">
        <f t="shared" si="36"/>
        <v>0</v>
      </c>
      <c r="AG233" s="28">
        <f t="shared" si="37"/>
        <v>0</v>
      </c>
    </row>
    <row r="234" spans="13:33" x14ac:dyDescent="0.3">
      <c r="Y234" s="70">
        <f t="shared" si="33"/>
        <v>0</v>
      </c>
      <c r="AF234" s="28">
        <f t="shared" si="36"/>
        <v>0</v>
      </c>
      <c r="AG234" s="28">
        <f t="shared" si="37"/>
        <v>0</v>
      </c>
    </row>
    <row r="235" spans="13:33" x14ac:dyDescent="0.3">
      <c r="Y235" s="70">
        <f t="shared" si="33"/>
        <v>0</v>
      </c>
      <c r="AF235" s="28">
        <f t="shared" si="36"/>
        <v>0</v>
      </c>
      <c r="AG235" s="28">
        <f t="shared" si="37"/>
        <v>0</v>
      </c>
    </row>
    <row r="236" spans="13:33" x14ac:dyDescent="0.3">
      <c r="Y236" s="70">
        <f t="shared" si="33"/>
        <v>0</v>
      </c>
      <c r="AF236" s="28">
        <f t="shared" si="36"/>
        <v>0</v>
      </c>
      <c r="AG236" s="28">
        <f t="shared" si="37"/>
        <v>0</v>
      </c>
    </row>
    <row r="237" spans="13:33" x14ac:dyDescent="0.3">
      <c r="Y237" s="70">
        <f t="shared" si="33"/>
        <v>0</v>
      </c>
      <c r="AF237" s="28">
        <f t="shared" si="36"/>
        <v>0</v>
      </c>
      <c r="AG237" s="28">
        <f t="shared" si="37"/>
        <v>0</v>
      </c>
    </row>
    <row r="238" spans="13:33" x14ac:dyDescent="0.3">
      <c r="Y238" s="70">
        <f t="shared" si="33"/>
        <v>0</v>
      </c>
      <c r="AF238" s="28">
        <f t="shared" si="36"/>
        <v>0</v>
      </c>
      <c r="AG238" s="28">
        <f t="shared" si="37"/>
        <v>0</v>
      </c>
    </row>
    <row r="239" spans="13:33" x14ac:dyDescent="0.3">
      <c r="Y239" s="70">
        <f t="shared" si="33"/>
        <v>0</v>
      </c>
      <c r="AF239" s="28">
        <f t="shared" si="36"/>
        <v>0</v>
      </c>
      <c r="AG239" s="28">
        <f t="shared" si="37"/>
        <v>0</v>
      </c>
    </row>
    <row r="240" spans="13:33" x14ac:dyDescent="0.3">
      <c r="Y240" s="70">
        <f t="shared" si="33"/>
        <v>0</v>
      </c>
      <c r="AF240" s="28">
        <f t="shared" si="36"/>
        <v>0</v>
      </c>
      <c r="AG240" s="28">
        <f t="shared" si="37"/>
        <v>0</v>
      </c>
    </row>
    <row r="241" spans="25:33" x14ac:dyDescent="0.3">
      <c r="Y241" s="70">
        <f t="shared" si="33"/>
        <v>0</v>
      </c>
      <c r="AF241" s="28">
        <f t="shared" si="36"/>
        <v>0</v>
      </c>
      <c r="AG241" s="28">
        <f t="shared" si="37"/>
        <v>0</v>
      </c>
    </row>
    <row r="242" spans="25:33" x14ac:dyDescent="0.3">
      <c r="Y242" s="70">
        <f t="shared" si="33"/>
        <v>0</v>
      </c>
      <c r="AF242" s="28">
        <f t="shared" si="36"/>
        <v>0</v>
      </c>
      <c r="AG242" s="28">
        <f t="shared" si="37"/>
        <v>0</v>
      </c>
    </row>
    <row r="243" spans="25:33" x14ac:dyDescent="0.3">
      <c r="Y243" s="70">
        <f t="shared" si="33"/>
        <v>0</v>
      </c>
      <c r="AF243" s="28">
        <f t="shared" si="36"/>
        <v>0</v>
      </c>
      <c r="AG243" s="28">
        <f t="shared" si="37"/>
        <v>0</v>
      </c>
    </row>
    <row r="244" spans="25:33" x14ac:dyDescent="0.3">
      <c r="Y244" s="70">
        <f t="shared" si="33"/>
        <v>0</v>
      </c>
      <c r="AF244" s="28">
        <f t="shared" si="36"/>
        <v>0</v>
      </c>
      <c r="AG244" s="28">
        <f t="shared" si="37"/>
        <v>0</v>
      </c>
    </row>
    <row r="245" spans="25:33" x14ac:dyDescent="0.3">
      <c r="Y245" s="70">
        <f t="shared" si="33"/>
        <v>0</v>
      </c>
      <c r="AF245" s="28">
        <f t="shared" si="36"/>
        <v>0</v>
      </c>
      <c r="AG245" s="28">
        <f t="shared" si="37"/>
        <v>0</v>
      </c>
    </row>
    <row r="246" spans="25:33" x14ac:dyDescent="0.3">
      <c r="Y246" s="70">
        <f t="shared" si="33"/>
        <v>0</v>
      </c>
      <c r="AF246" s="28">
        <f t="shared" si="36"/>
        <v>0</v>
      </c>
      <c r="AG246" s="28">
        <f t="shared" si="37"/>
        <v>0</v>
      </c>
    </row>
    <row r="247" spans="25:33" x14ac:dyDescent="0.3">
      <c r="Y247" s="70">
        <f t="shared" si="33"/>
        <v>0</v>
      </c>
      <c r="AF247" s="28">
        <f t="shared" si="36"/>
        <v>0</v>
      </c>
      <c r="AG247" s="28">
        <f t="shared" si="37"/>
        <v>0</v>
      </c>
    </row>
    <row r="248" spans="25:33" x14ac:dyDescent="0.3">
      <c r="Y248" s="70">
        <f t="shared" si="33"/>
        <v>0</v>
      </c>
      <c r="AF248" s="28">
        <f t="shared" si="36"/>
        <v>0</v>
      </c>
      <c r="AG248" s="28">
        <f t="shared" si="37"/>
        <v>0</v>
      </c>
    </row>
    <row r="249" spans="25:33" x14ac:dyDescent="0.3">
      <c r="Y249" s="70">
        <f t="shared" si="33"/>
        <v>0</v>
      </c>
      <c r="AF249" s="28">
        <f t="shared" si="36"/>
        <v>0</v>
      </c>
      <c r="AG249" s="28">
        <f t="shared" si="37"/>
        <v>0</v>
      </c>
    </row>
    <row r="250" spans="25:33" x14ac:dyDescent="0.3">
      <c r="Y250" s="70">
        <f t="shared" si="33"/>
        <v>0</v>
      </c>
      <c r="AF250" s="28">
        <f t="shared" si="36"/>
        <v>0</v>
      </c>
      <c r="AG250" s="28">
        <f t="shared" si="37"/>
        <v>0</v>
      </c>
    </row>
    <row r="251" spans="25:33" x14ac:dyDescent="0.3">
      <c r="Y251" s="70">
        <f t="shared" si="33"/>
        <v>0</v>
      </c>
      <c r="AF251" s="28">
        <f t="shared" si="36"/>
        <v>0</v>
      </c>
      <c r="AG251" s="28">
        <f t="shared" si="37"/>
        <v>0</v>
      </c>
    </row>
    <row r="252" spans="25:33" x14ac:dyDescent="0.3">
      <c r="Y252" s="70">
        <f t="shared" si="33"/>
        <v>0</v>
      </c>
      <c r="AF252" s="28">
        <f t="shared" si="36"/>
        <v>0</v>
      </c>
      <c r="AG252" s="28">
        <f t="shared" si="37"/>
        <v>0</v>
      </c>
    </row>
    <row r="253" spans="25:33" x14ac:dyDescent="0.3">
      <c r="Y253" s="70">
        <f t="shared" si="33"/>
        <v>0</v>
      </c>
      <c r="AF253" s="28">
        <f t="shared" si="36"/>
        <v>0</v>
      </c>
      <c r="AG253" s="28">
        <f t="shared" si="37"/>
        <v>0</v>
      </c>
    </row>
    <row r="254" spans="25:33" x14ac:dyDescent="0.3">
      <c r="Y254" s="70">
        <f t="shared" si="33"/>
        <v>0</v>
      </c>
      <c r="AF254" s="28">
        <f t="shared" si="36"/>
        <v>0</v>
      </c>
      <c r="AG254" s="28">
        <f t="shared" si="37"/>
        <v>0</v>
      </c>
    </row>
    <row r="255" spans="25:33" x14ac:dyDescent="0.3">
      <c r="Y255" s="70">
        <f t="shared" si="33"/>
        <v>0</v>
      </c>
      <c r="AF255" s="28">
        <f t="shared" si="36"/>
        <v>0</v>
      </c>
      <c r="AG255" s="28">
        <f t="shared" si="37"/>
        <v>0</v>
      </c>
    </row>
    <row r="256" spans="25:33" x14ac:dyDescent="0.3">
      <c r="Y256" s="70">
        <f t="shared" si="33"/>
        <v>0</v>
      </c>
      <c r="AF256" s="28">
        <f t="shared" si="36"/>
        <v>0</v>
      </c>
      <c r="AG256" s="28">
        <f t="shared" si="37"/>
        <v>0</v>
      </c>
    </row>
    <row r="257" spans="25:33" x14ac:dyDescent="0.3">
      <c r="Y257" s="70">
        <f t="shared" si="33"/>
        <v>0</v>
      </c>
      <c r="AF257" s="28">
        <f t="shared" si="36"/>
        <v>0</v>
      </c>
      <c r="AG257" s="28">
        <f t="shared" si="37"/>
        <v>0</v>
      </c>
    </row>
    <row r="258" spans="25:33" x14ac:dyDescent="0.3">
      <c r="Y258" s="70">
        <f t="shared" si="33"/>
        <v>0</v>
      </c>
      <c r="AF258" s="28">
        <f t="shared" si="36"/>
        <v>0</v>
      </c>
      <c r="AG258" s="28">
        <f t="shared" si="37"/>
        <v>0</v>
      </c>
    </row>
    <row r="259" spans="25:33" x14ac:dyDescent="0.3">
      <c r="Y259" s="70">
        <f t="shared" ref="Y259:Y280" si="38">($G259*1.1^5)*W259*X259</f>
        <v>0</v>
      </c>
      <c r="AF259" s="28">
        <f t="shared" ref="AF259:AF310" si="39">J259+M259+P259+S259+V259+Y259+AB259+AE259</f>
        <v>0</v>
      </c>
      <c r="AG259" s="28">
        <f t="shared" ref="AG259:AG310" si="40">AF259/$AL$2</f>
        <v>0</v>
      </c>
    </row>
    <row r="260" spans="25:33" x14ac:dyDescent="0.3">
      <c r="Y260" s="70">
        <f t="shared" si="38"/>
        <v>0</v>
      </c>
      <c r="AF260" s="28">
        <f t="shared" si="39"/>
        <v>0</v>
      </c>
      <c r="AG260" s="28">
        <f t="shared" si="40"/>
        <v>0</v>
      </c>
    </row>
    <row r="261" spans="25:33" x14ac:dyDescent="0.3">
      <c r="Y261" s="70">
        <f t="shared" si="38"/>
        <v>0</v>
      </c>
      <c r="AF261" s="28">
        <f t="shared" si="39"/>
        <v>0</v>
      </c>
      <c r="AG261" s="28">
        <f t="shared" si="40"/>
        <v>0</v>
      </c>
    </row>
    <row r="262" spans="25:33" x14ac:dyDescent="0.3">
      <c r="Y262" s="70">
        <f t="shared" si="38"/>
        <v>0</v>
      </c>
      <c r="AF262" s="28">
        <f t="shared" si="39"/>
        <v>0</v>
      </c>
      <c r="AG262" s="28">
        <f t="shared" si="40"/>
        <v>0</v>
      </c>
    </row>
    <row r="263" spans="25:33" x14ac:dyDescent="0.3">
      <c r="Y263" s="70">
        <f t="shared" si="38"/>
        <v>0</v>
      </c>
      <c r="AF263" s="28">
        <f t="shared" si="39"/>
        <v>0</v>
      </c>
      <c r="AG263" s="28">
        <f t="shared" si="40"/>
        <v>0</v>
      </c>
    </row>
    <row r="264" spans="25:33" x14ac:dyDescent="0.3">
      <c r="Y264" s="70">
        <f t="shared" si="38"/>
        <v>0</v>
      </c>
      <c r="AF264" s="28">
        <f t="shared" si="39"/>
        <v>0</v>
      </c>
      <c r="AG264" s="28">
        <f t="shared" si="40"/>
        <v>0</v>
      </c>
    </row>
    <row r="265" spans="25:33" x14ac:dyDescent="0.3">
      <c r="Y265" s="70">
        <f t="shared" si="38"/>
        <v>0</v>
      </c>
      <c r="AF265" s="28">
        <f t="shared" si="39"/>
        <v>0</v>
      </c>
      <c r="AG265" s="28">
        <f t="shared" si="40"/>
        <v>0</v>
      </c>
    </row>
    <row r="266" spans="25:33" x14ac:dyDescent="0.3">
      <c r="Y266" s="70">
        <f t="shared" si="38"/>
        <v>0</v>
      </c>
      <c r="AF266" s="28">
        <f t="shared" si="39"/>
        <v>0</v>
      </c>
      <c r="AG266" s="28">
        <f t="shared" si="40"/>
        <v>0</v>
      </c>
    </row>
    <row r="267" spans="25:33" x14ac:dyDescent="0.3">
      <c r="Y267" s="70">
        <f t="shared" si="38"/>
        <v>0</v>
      </c>
      <c r="AF267" s="28">
        <f t="shared" si="39"/>
        <v>0</v>
      </c>
      <c r="AG267" s="28">
        <f t="shared" si="40"/>
        <v>0</v>
      </c>
    </row>
    <row r="268" spans="25:33" x14ac:dyDescent="0.3">
      <c r="Y268" s="70">
        <f t="shared" si="38"/>
        <v>0</v>
      </c>
      <c r="AF268" s="28">
        <f t="shared" si="39"/>
        <v>0</v>
      </c>
      <c r="AG268" s="28">
        <f t="shared" si="40"/>
        <v>0</v>
      </c>
    </row>
    <row r="269" spans="25:33" x14ac:dyDescent="0.3">
      <c r="Y269" s="70">
        <f t="shared" si="38"/>
        <v>0</v>
      </c>
      <c r="AF269" s="28">
        <f t="shared" si="39"/>
        <v>0</v>
      </c>
      <c r="AG269" s="28">
        <f t="shared" si="40"/>
        <v>0</v>
      </c>
    </row>
    <row r="270" spans="25:33" x14ac:dyDescent="0.3">
      <c r="Y270" s="70">
        <f t="shared" si="38"/>
        <v>0</v>
      </c>
      <c r="AF270" s="28">
        <f t="shared" si="39"/>
        <v>0</v>
      </c>
      <c r="AG270" s="28">
        <f t="shared" si="40"/>
        <v>0</v>
      </c>
    </row>
    <row r="271" spans="25:33" x14ac:dyDescent="0.3">
      <c r="Y271" s="70">
        <f t="shared" si="38"/>
        <v>0</v>
      </c>
      <c r="AF271" s="28">
        <f t="shared" si="39"/>
        <v>0</v>
      </c>
      <c r="AG271" s="28">
        <f t="shared" si="40"/>
        <v>0</v>
      </c>
    </row>
    <row r="272" spans="25:33" x14ac:dyDescent="0.3">
      <c r="Y272" s="70">
        <f t="shared" si="38"/>
        <v>0</v>
      </c>
      <c r="AF272" s="28">
        <f t="shared" si="39"/>
        <v>0</v>
      </c>
      <c r="AG272" s="28">
        <f t="shared" si="40"/>
        <v>0</v>
      </c>
    </row>
    <row r="273" spans="25:33" x14ac:dyDescent="0.3">
      <c r="Y273" s="70">
        <f t="shared" si="38"/>
        <v>0</v>
      </c>
      <c r="AF273" s="28">
        <f t="shared" si="39"/>
        <v>0</v>
      </c>
      <c r="AG273" s="28">
        <f t="shared" si="40"/>
        <v>0</v>
      </c>
    </row>
    <row r="274" spans="25:33" x14ac:dyDescent="0.3">
      <c r="Y274" s="70">
        <f t="shared" si="38"/>
        <v>0</v>
      </c>
      <c r="AF274" s="28">
        <f t="shared" si="39"/>
        <v>0</v>
      </c>
      <c r="AG274" s="28">
        <f t="shared" si="40"/>
        <v>0</v>
      </c>
    </row>
    <row r="275" spans="25:33" x14ac:dyDescent="0.3">
      <c r="Y275" s="70">
        <f t="shared" si="38"/>
        <v>0</v>
      </c>
      <c r="AF275" s="28">
        <f t="shared" si="39"/>
        <v>0</v>
      </c>
      <c r="AG275" s="28">
        <f t="shared" si="40"/>
        <v>0</v>
      </c>
    </row>
    <row r="276" spans="25:33" x14ac:dyDescent="0.3">
      <c r="Y276" s="70">
        <f t="shared" si="38"/>
        <v>0</v>
      </c>
      <c r="AF276" s="28">
        <f t="shared" si="39"/>
        <v>0</v>
      </c>
      <c r="AG276" s="28">
        <f t="shared" si="40"/>
        <v>0</v>
      </c>
    </row>
    <row r="277" spans="25:33" x14ac:dyDescent="0.3">
      <c r="Y277" s="70">
        <f t="shared" si="38"/>
        <v>0</v>
      </c>
      <c r="AF277" s="28">
        <f t="shared" si="39"/>
        <v>0</v>
      </c>
      <c r="AG277" s="28">
        <f t="shared" si="40"/>
        <v>0</v>
      </c>
    </row>
    <row r="278" spans="25:33" x14ac:dyDescent="0.3">
      <c r="Y278" s="70">
        <f t="shared" si="38"/>
        <v>0</v>
      </c>
      <c r="AF278" s="28">
        <f t="shared" si="39"/>
        <v>0</v>
      </c>
      <c r="AG278" s="28">
        <f t="shared" si="40"/>
        <v>0</v>
      </c>
    </row>
    <row r="279" spans="25:33" x14ac:dyDescent="0.3">
      <c r="Y279" s="70">
        <f t="shared" si="38"/>
        <v>0</v>
      </c>
      <c r="AF279" s="28">
        <f t="shared" si="39"/>
        <v>0</v>
      </c>
      <c r="AG279" s="28">
        <f t="shared" si="40"/>
        <v>0</v>
      </c>
    </row>
    <row r="280" spans="25:33" x14ac:dyDescent="0.3">
      <c r="Y280" s="70">
        <f t="shared" si="38"/>
        <v>0</v>
      </c>
      <c r="AF280" s="28">
        <f t="shared" si="39"/>
        <v>0</v>
      </c>
      <c r="AG280" s="28">
        <f t="shared" si="40"/>
        <v>0</v>
      </c>
    </row>
    <row r="281" spans="25:33" x14ac:dyDescent="0.3">
      <c r="AF281" s="28">
        <f t="shared" si="39"/>
        <v>0</v>
      </c>
      <c r="AG281" s="28">
        <f t="shared" si="40"/>
        <v>0</v>
      </c>
    </row>
    <row r="282" spans="25:33" x14ac:dyDescent="0.3">
      <c r="AF282" s="28">
        <f t="shared" si="39"/>
        <v>0</v>
      </c>
      <c r="AG282" s="28">
        <f t="shared" si="40"/>
        <v>0</v>
      </c>
    </row>
    <row r="283" spans="25:33" x14ac:dyDescent="0.3">
      <c r="AF283" s="28">
        <f t="shared" si="39"/>
        <v>0</v>
      </c>
      <c r="AG283" s="28">
        <f t="shared" si="40"/>
        <v>0</v>
      </c>
    </row>
    <row r="284" spans="25:33" x14ac:dyDescent="0.3">
      <c r="AF284" s="28">
        <f t="shared" si="39"/>
        <v>0</v>
      </c>
      <c r="AG284" s="28">
        <f t="shared" si="40"/>
        <v>0</v>
      </c>
    </row>
    <row r="285" spans="25:33" x14ac:dyDescent="0.3">
      <c r="AF285" s="28">
        <f t="shared" si="39"/>
        <v>0</v>
      </c>
      <c r="AG285" s="28">
        <f t="shared" si="40"/>
        <v>0</v>
      </c>
    </row>
    <row r="286" spans="25:33" x14ac:dyDescent="0.3">
      <c r="AF286" s="28">
        <f t="shared" si="39"/>
        <v>0</v>
      </c>
      <c r="AG286" s="28">
        <f t="shared" si="40"/>
        <v>0</v>
      </c>
    </row>
    <row r="287" spans="25:33" x14ac:dyDescent="0.3">
      <c r="AF287" s="28">
        <f t="shared" si="39"/>
        <v>0</v>
      </c>
      <c r="AG287" s="28">
        <f t="shared" si="40"/>
        <v>0</v>
      </c>
    </row>
    <row r="288" spans="25:33" x14ac:dyDescent="0.3">
      <c r="AF288" s="28">
        <f t="shared" si="39"/>
        <v>0</v>
      </c>
      <c r="AG288" s="28">
        <f t="shared" si="40"/>
        <v>0</v>
      </c>
    </row>
    <row r="289" spans="32:33" x14ac:dyDescent="0.3">
      <c r="AF289" s="28">
        <f t="shared" si="39"/>
        <v>0</v>
      </c>
      <c r="AG289" s="28">
        <f t="shared" si="40"/>
        <v>0</v>
      </c>
    </row>
    <row r="290" spans="32:33" x14ac:dyDescent="0.3">
      <c r="AF290" s="28">
        <f t="shared" si="39"/>
        <v>0</v>
      </c>
      <c r="AG290" s="28">
        <f t="shared" si="40"/>
        <v>0</v>
      </c>
    </row>
    <row r="291" spans="32:33" x14ac:dyDescent="0.3">
      <c r="AF291" s="28">
        <f t="shared" si="39"/>
        <v>0</v>
      </c>
      <c r="AG291" s="28">
        <f t="shared" si="40"/>
        <v>0</v>
      </c>
    </row>
    <row r="292" spans="32:33" x14ac:dyDescent="0.3">
      <c r="AF292" s="28">
        <f t="shared" si="39"/>
        <v>0</v>
      </c>
      <c r="AG292" s="28">
        <f t="shared" si="40"/>
        <v>0</v>
      </c>
    </row>
    <row r="293" spans="32:33" x14ac:dyDescent="0.3">
      <c r="AF293" s="28">
        <f t="shared" si="39"/>
        <v>0</v>
      </c>
      <c r="AG293" s="28">
        <f t="shared" si="40"/>
        <v>0</v>
      </c>
    </row>
    <row r="294" spans="32:33" x14ac:dyDescent="0.3">
      <c r="AF294" s="28">
        <f t="shared" si="39"/>
        <v>0</v>
      </c>
      <c r="AG294" s="28">
        <f t="shared" si="40"/>
        <v>0</v>
      </c>
    </row>
    <row r="295" spans="32:33" x14ac:dyDescent="0.3">
      <c r="AF295" s="28">
        <f t="shared" si="39"/>
        <v>0</v>
      </c>
      <c r="AG295" s="28">
        <f t="shared" si="40"/>
        <v>0</v>
      </c>
    </row>
    <row r="296" spans="32:33" x14ac:dyDescent="0.3">
      <c r="AF296" s="28">
        <f t="shared" si="39"/>
        <v>0</v>
      </c>
      <c r="AG296" s="28">
        <f t="shared" si="40"/>
        <v>0</v>
      </c>
    </row>
    <row r="297" spans="32:33" x14ac:dyDescent="0.3">
      <c r="AF297" s="28">
        <f t="shared" si="39"/>
        <v>0</v>
      </c>
      <c r="AG297" s="28">
        <f t="shared" si="40"/>
        <v>0</v>
      </c>
    </row>
    <row r="298" spans="32:33" x14ac:dyDescent="0.3">
      <c r="AF298" s="28">
        <f t="shared" si="39"/>
        <v>0</v>
      </c>
      <c r="AG298" s="28">
        <f t="shared" si="40"/>
        <v>0</v>
      </c>
    </row>
    <row r="299" spans="32:33" x14ac:dyDescent="0.3">
      <c r="AF299" s="28">
        <f t="shared" si="39"/>
        <v>0</v>
      </c>
      <c r="AG299" s="28">
        <f t="shared" si="40"/>
        <v>0</v>
      </c>
    </row>
    <row r="300" spans="32:33" x14ac:dyDescent="0.3">
      <c r="AF300" s="28">
        <f t="shared" si="39"/>
        <v>0</v>
      </c>
      <c r="AG300" s="28">
        <f t="shared" si="40"/>
        <v>0</v>
      </c>
    </row>
    <row r="301" spans="32:33" x14ac:dyDescent="0.3">
      <c r="AF301" s="28">
        <f t="shared" si="39"/>
        <v>0</v>
      </c>
      <c r="AG301" s="28">
        <f t="shared" si="40"/>
        <v>0</v>
      </c>
    </row>
    <row r="302" spans="32:33" x14ac:dyDescent="0.3">
      <c r="AF302" s="28">
        <f t="shared" si="39"/>
        <v>0</v>
      </c>
      <c r="AG302" s="28">
        <f t="shared" si="40"/>
        <v>0</v>
      </c>
    </row>
    <row r="303" spans="32:33" x14ac:dyDescent="0.3">
      <c r="AF303" s="28">
        <f t="shared" si="39"/>
        <v>0</v>
      </c>
      <c r="AG303" s="28">
        <f t="shared" si="40"/>
        <v>0</v>
      </c>
    </row>
    <row r="304" spans="32:33" x14ac:dyDescent="0.3">
      <c r="AF304" s="28">
        <f t="shared" si="39"/>
        <v>0</v>
      </c>
      <c r="AG304" s="28">
        <f t="shared" si="40"/>
        <v>0</v>
      </c>
    </row>
    <row r="305" spans="32:33" x14ac:dyDescent="0.3">
      <c r="AF305" s="28">
        <f t="shared" si="39"/>
        <v>0</v>
      </c>
      <c r="AG305" s="28">
        <f t="shared" si="40"/>
        <v>0</v>
      </c>
    </row>
    <row r="306" spans="32:33" x14ac:dyDescent="0.3">
      <c r="AF306" s="28">
        <f t="shared" si="39"/>
        <v>0</v>
      </c>
      <c r="AG306" s="28">
        <f t="shared" si="40"/>
        <v>0</v>
      </c>
    </row>
    <row r="307" spans="32:33" x14ac:dyDescent="0.3">
      <c r="AF307" s="28">
        <f t="shared" si="39"/>
        <v>0</v>
      </c>
      <c r="AG307" s="28">
        <f t="shared" si="40"/>
        <v>0</v>
      </c>
    </row>
    <row r="308" spans="32:33" x14ac:dyDescent="0.3">
      <c r="AF308" s="28">
        <f t="shared" si="39"/>
        <v>0</v>
      </c>
      <c r="AG308" s="28">
        <f t="shared" si="40"/>
        <v>0</v>
      </c>
    </row>
    <row r="309" spans="32:33" x14ac:dyDescent="0.3">
      <c r="AF309" s="28">
        <f t="shared" si="39"/>
        <v>0</v>
      </c>
      <c r="AG309" s="28">
        <f t="shared" si="40"/>
        <v>0</v>
      </c>
    </row>
    <row r="310" spans="32:33" x14ac:dyDescent="0.3">
      <c r="AF310" s="28">
        <f t="shared" si="39"/>
        <v>0</v>
      </c>
      <c r="AG310" s="28">
        <f t="shared" si="40"/>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Y51"/>
  <sheetViews>
    <sheetView topLeftCell="A34" zoomScale="55" zoomScaleNormal="55" workbookViewId="0">
      <selection activeCell="E95" sqref="E95"/>
    </sheetView>
  </sheetViews>
  <sheetFormatPr defaultColWidth="8.88671875" defaultRowHeight="14.4" x14ac:dyDescent="0.3"/>
  <cols>
    <col min="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86.4" x14ac:dyDescent="0.3">
      <c r="A2" s="41" t="s">
        <v>983</v>
      </c>
      <c r="B2" s="41" t="s">
        <v>1255</v>
      </c>
      <c r="C2" s="41" t="s">
        <v>1256</v>
      </c>
      <c r="D2" s="41" t="s">
        <v>1257</v>
      </c>
      <c r="E2" s="41" t="s">
        <v>1258</v>
      </c>
      <c r="F2" s="41" t="s">
        <v>709</v>
      </c>
      <c r="G2" s="41">
        <v>35000</v>
      </c>
      <c r="H2" s="41">
        <v>25</v>
      </c>
      <c r="I2" s="41">
        <v>1</v>
      </c>
      <c r="J2" s="41">
        <f>$G2*H2*I2</f>
        <v>875000</v>
      </c>
      <c r="K2" s="41">
        <v>25</v>
      </c>
      <c r="L2" s="41">
        <v>1</v>
      </c>
      <c r="M2" s="41">
        <f>($G2*1.1^1)*K2*L2</f>
        <v>962500</v>
      </c>
      <c r="N2" s="41">
        <v>0</v>
      </c>
      <c r="O2" s="41">
        <v>0</v>
      </c>
      <c r="P2" s="41">
        <f>($G2*1.1^2)*N2*O2</f>
        <v>0</v>
      </c>
      <c r="Q2" s="41">
        <v>0</v>
      </c>
      <c r="R2" s="41">
        <v>0</v>
      </c>
      <c r="S2" s="41">
        <f>($G2*1.1^3)*Q2*R2</f>
        <v>0</v>
      </c>
      <c r="T2" s="41">
        <v>0</v>
      </c>
      <c r="U2" s="41">
        <v>0</v>
      </c>
      <c r="V2" s="41">
        <f>($G2*1.1^4)*T2*U2</f>
        <v>0</v>
      </c>
      <c r="Y2" s="41">
        <f>($G2*1.1^5)*W2*X2</f>
        <v>0</v>
      </c>
      <c r="AB2" s="41">
        <f>($G2*1.1^6)*Z2*AA2</f>
        <v>0</v>
      </c>
      <c r="AE2" s="41">
        <f>($G2*1.1^7)*AC2*AD2</f>
        <v>0</v>
      </c>
      <c r="AF2" s="28">
        <f>J2+M2+P2+S2+V2+Y2+AB2+AE2</f>
        <v>1837500</v>
      </c>
      <c r="AG2" s="28">
        <f>AF2/$AL$2</f>
        <v>1783.9805825242718</v>
      </c>
      <c r="AL2">
        <v>1030</v>
      </c>
    </row>
    <row r="3" spans="1:38" ht="86.4" x14ac:dyDescent="0.3">
      <c r="A3" s="41" t="s">
        <v>983</v>
      </c>
      <c r="B3" s="41" t="s">
        <v>1255</v>
      </c>
      <c r="C3" s="41" t="s">
        <v>1256</v>
      </c>
      <c r="D3" s="41" t="s">
        <v>1259</v>
      </c>
      <c r="E3" s="41" t="s">
        <v>1260</v>
      </c>
      <c r="F3" s="41" t="s">
        <v>709</v>
      </c>
      <c r="G3" s="41">
        <v>35000</v>
      </c>
      <c r="H3" s="41">
        <v>25</v>
      </c>
      <c r="I3" s="41">
        <v>5</v>
      </c>
      <c r="J3" s="41">
        <f t="shared" ref="J3:J39" si="0">$G3*H3*I3</f>
        <v>4375000</v>
      </c>
      <c r="K3" s="41">
        <v>25</v>
      </c>
      <c r="L3" s="41">
        <v>5</v>
      </c>
      <c r="M3" s="41">
        <f t="shared" ref="M3:M39" si="1">($G3*1.1^1)*K3*L3</f>
        <v>4812500</v>
      </c>
      <c r="N3" s="41">
        <v>0</v>
      </c>
      <c r="O3" s="41">
        <v>0</v>
      </c>
      <c r="P3" s="41">
        <f t="shared" ref="P3:P39" si="2">($G3*1.1^2)*N3*O3</f>
        <v>0</v>
      </c>
      <c r="Q3" s="41">
        <v>0</v>
      </c>
      <c r="R3" s="41">
        <v>0</v>
      </c>
      <c r="S3" s="41">
        <f t="shared" ref="S3:S39" si="3">($G3*1.1^3)*Q3*R3</f>
        <v>0</v>
      </c>
      <c r="T3" s="41">
        <v>0</v>
      </c>
      <c r="U3" s="41">
        <v>0</v>
      </c>
      <c r="V3" s="41">
        <f t="shared" ref="V3:V39" si="4">($G3*1.1^4)*T3*U3</f>
        <v>0</v>
      </c>
      <c r="Y3" s="41">
        <f t="shared" ref="Y3:Y39" si="5">($G3*1.1^5)*W3*X3</f>
        <v>0</v>
      </c>
      <c r="AB3" s="41">
        <f t="shared" ref="AB3:AB39" si="6">($G3*1.1^6)*Z3*AA3</f>
        <v>0</v>
      </c>
      <c r="AE3" s="41">
        <f t="shared" ref="AE3:AE39" si="7">($G3*1.1^7)*AC3*AD3</f>
        <v>0</v>
      </c>
      <c r="AF3" s="28">
        <f t="shared" ref="AF3:AF42" si="8">J3+M3+P3+S3+V3+Y3+AB3+AE3</f>
        <v>9187500</v>
      </c>
      <c r="AG3" s="28">
        <f t="shared" ref="AG3:AG42" si="9">AF3/$AL$2</f>
        <v>8919.9029126213591</v>
      </c>
    </row>
    <row r="4" spans="1:38" ht="86.4" x14ac:dyDescent="0.3">
      <c r="A4" s="41" t="s">
        <v>983</v>
      </c>
      <c r="B4" s="41" t="s">
        <v>1255</v>
      </c>
      <c r="C4" s="41" t="s">
        <v>1256</v>
      </c>
      <c r="D4" s="41" t="s">
        <v>1261</v>
      </c>
      <c r="E4" s="41" t="s">
        <v>1262</v>
      </c>
      <c r="F4" s="41" t="s">
        <v>709</v>
      </c>
      <c r="G4" s="41">
        <v>35000</v>
      </c>
      <c r="H4" s="41">
        <v>40</v>
      </c>
      <c r="I4" s="41">
        <v>5</v>
      </c>
      <c r="J4" s="41">
        <f t="shared" si="0"/>
        <v>7000000</v>
      </c>
      <c r="K4" s="41">
        <v>10</v>
      </c>
      <c r="L4" s="41">
        <v>1</v>
      </c>
      <c r="M4" s="41">
        <f t="shared" si="1"/>
        <v>385000</v>
      </c>
      <c r="N4" s="41">
        <v>0</v>
      </c>
      <c r="O4" s="41">
        <v>0</v>
      </c>
      <c r="P4" s="41">
        <f t="shared" si="2"/>
        <v>0</v>
      </c>
      <c r="Q4" s="41">
        <v>0</v>
      </c>
      <c r="R4" s="41">
        <v>0</v>
      </c>
      <c r="S4" s="41">
        <f t="shared" si="3"/>
        <v>0</v>
      </c>
      <c r="T4" s="41">
        <v>40</v>
      </c>
      <c r="U4" s="41">
        <v>5</v>
      </c>
      <c r="V4" s="41">
        <f t="shared" si="4"/>
        <v>10248700.000000002</v>
      </c>
      <c r="Y4" s="41">
        <f t="shared" si="5"/>
        <v>0</v>
      </c>
      <c r="AB4" s="41">
        <f t="shared" si="6"/>
        <v>0</v>
      </c>
      <c r="AE4" s="41">
        <f t="shared" si="7"/>
        <v>0</v>
      </c>
      <c r="AF4" s="28">
        <f t="shared" si="8"/>
        <v>17633700</v>
      </c>
      <c r="AG4" s="28">
        <f t="shared" si="9"/>
        <v>17120.097087378639</v>
      </c>
    </row>
    <row r="5" spans="1:38" ht="86.4" x14ac:dyDescent="0.3">
      <c r="A5" s="41" t="s">
        <v>983</v>
      </c>
      <c r="B5" s="41" t="s">
        <v>1255</v>
      </c>
      <c r="C5" s="41" t="s">
        <v>1256</v>
      </c>
      <c r="D5" s="41" t="s">
        <v>1261</v>
      </c>
      <c r="E5" s="41" t="s">
        <v>1262</v>
      </c>
      <c r="F5" s="41" t="s">
        <v>716</v>
      </c>
      <c r="G5" s="41">
        <v>39000</v>
      </c>
      <c r="H5" s="41">
        <v>40</v>
      </c>
      <c r="I5" s="41">
        <v>6</v>
      </c>
      <c r="J5" s="41">
        <f t="shared" si="0"/>
        <v>9360000</v>
      </c>
      <c r="K5" s="41">
        <v>0</v>
      </c>
      <c r="L5" s="41">
        <v>0</v>
      </c>
      <c r="M5" s="41">
        <f t="shared" si="1"/>
        <v>0</v>
      </c>
      <c r="N5" s="41">
        <v>0</v>
      </c>
      <c r="O5" s="41">
        <v>0</v>
      </c>
      <c r="P5" s="41">
        <f t="shared" si="2"/>
        <v>0</v>
      </c>
      <c r="Q5" s="41">
        <v>0</v>
      </c>
      <c r="R5" s="41">
        <v>0</v>
      </c>
      <c r="S5" s="41">
        <f t="shared" si="3"/>
        <v>0</v>
      </c>
      <c r="T5" s="41">
        <v>40</v>
      </c>
      <c r="U5" s="41">
        <v>6</v>
      </c>
      <c r="V5" s="41">
        <f t="shared" si="4"/>
        <v>13703976.000000004</v>
      </c>
      <c r="Y5" s="41">
        <f t="shared" si="5"/>
        <v>0</v>
      </c>
      <c r="AB5" s="41">
        <f t="shared" si="6"/>
        <v>0</v>
      </c>
      <c r="AE5" s="41">
        <f t="shared" si="7"/>
        <v>0</v>
      </c>
      <c r="AF5" s="28">
        <f t="shared" si="8"/>
        <v>23063976.000000004</v>
      </c>
      <c r="AG5" s="28">
        <f t="shared" si="9"/>
        <v>22392.209708737868</v>
      </c>
    </row>
    <row r="6" spans="1:38" ht="86.4" x14ac:dyDescent="0.3">
      <c r="A6" s="41" t="s">
        <v>983</v>
      </c>
      <c r="B6" s="41" t="s">
        <v>1255</v>
      </c>
      <c r="C6" s="41" t="s">
        <v>1256</v>
      </c>
      <c r="D6" s="41" t="s">
        <v>1261</v>
      </c>
      <c r="E6" s="41" t="s">
        <v>1262</v>
      </c>
      <c r="F6" s="41" t="s">
        <v>712</v>
      </c>
      <c r="G6" s="85">
        <f>1999.2/7</f>
        <v>285.60000000000002</v>
      </c>
      <c r="H6" s="41">
        <f>2*25*15</f>
        <v>750</v>
      </c>
      <c r="I6" s="41">
        <v>5</v>
      </c>
      <c r="J6" s="41">
        <f t="shared" si="0"/>
        <v>1071000.0000000002</v>
      </c>
      <c r="K6" s="41">
        <v>0</v>
      </c>
      <c r="L6" s="41">
        <v>0</v>
      </c>
      <c r="M6" s="41">
        <f t="shared" si="1"/>
        <v>0</v>
      </c>
      <c r="N6" s="41">
        <v>0</v>
      </c>
      <c r="O6" s="41">
        <v>0</v>
      </c>
      <c r="P6" s="41">
        <f t="shared" si="2"/>
        <v>0</v>
      </c>
      <c r="Q6" s="41">
        <v>0</v>
      </c>
      <c r="R6" s="41">
        <v>0</v>
      </c>
      <c r="S6" s="41">
        <f t="shared" si="3"/>
        <v>0</v>
      </c>
      <c r="T6" s="41">
        <f>2*25*9</f>
        <v>450</v>
      </c>
      <c r="U6" s="41">
        <v>5</v>
      </c>
      <c r="V6" s="41">
        <f t="shared" si="4"/>
        <v>940830.66000000038</v>
      </c>
      <c r="Y6" s="41">
        <f t="shared" si="5"/>
        <v>0</v>
      </c>
      <c r="AB6" s="41">
        <f t="shared" si="6"/>
        <v>0</v>
      </c>
      <c r="AE6" s="41">
        <f t="shared" si="7"/>
        <v>0</v>
      </c>
      <c r="AF6" s="28">
        <f t="shared" si="8"/>
        <v>2011830.6600000006</v>
      </c>
      <c r="AG6" s="28">
        <f t="shared" si="9"/>
        <v>1953.2336504854375</v>
      </c>
    </row>
    <row r="7" spans="1:38" ht="86.4" x14ac:dyDescent="0.3">
      <c r="A7" s="41" t="s">
        <v>983</v>
      </c>
      <c r="B7" s="41" t="s">
        <v>1255</v>
      </c>
      <c r="C7" s="41" t="s">
        <v>1256</v>
      </c>
      <c r="D7" s="41" t="s">
        <v>1261</v>
      </c>
      <c r="E7" s="41" t="s">
        <v>1262</v>
      </c>
      <c r="F7" s="41" t="s">
        <v>1299</v>
      </c>
      <c r="G7" s="85">
        <f>1999.2/7</f>
        <v>285.60000000000002</v>
      </c>
      <c r="H7" s="41">
        <f>2*135*15</f>
        <v>4050</v>
      </c>
      <c r="I7" s="41">
        <v>1</v>
      </c>
      <c r="J7" s="41">
        <f t="shared" si="0"/>
        <v>1156680</v>
      </c>
      <c r="K7" s="41"/>
      <c r="L7" s="41"/>
      <c r="M7" s="41">
        <f t="shared" si="1"/>
        <v>0</v>
      </c>
      <c r="N7" s="41"/>
      <c r="O7" s="41"/>
      <c r="P7" s="41">
        <f t="shared" si="2"/>
        <v>0</v>
      </c>
      <c r="Q7" s="41"/>
      <c r="R7" s="41"/>
      <c r="S7" s="41">
        <f t="shared" si="3"/>
        <v>0</v>
      </c>
      <c r="T7" s="41">
        <f>2*135*9</f>
        <v>2430</v>
      </c>
      <c r="U7" s="41">
        <v>1</v>
      </c>
      <c r="V7" s="41">
        <f t="shared" si="4"/>
        <v>1016097.1128000004</v>
      </c>
      <c r="Y7" s="41">
        <f t="shared" si="5"/>
        <v>0</v>
      </c>
      <c r="AB7" s="41">
        <f t="shared" si="6"/>
        <v>0</v>
      </c>
      <c r="AE7" s="41">
        <f t="shared" si="7"/>
        <v>0</v>
      </c>
      <c r="AF7" s="28">
        <f t="shared" si="8"/>
        <v>2172777.1128000002</v>
      </c>
      <c r="AG7" s="28">
        <f t="shared" si="9"/>
        <v>2109.4923425242719</v>
      </c>
    </row>
    <row r="8" spans="1:38" ht="86.4" x14ac:dyDescent="0.3">
      <c r="A8" s="41" t="s">
        <v>983</v>
      </c>
      <c r="B8" s="41" t="s">
        <v>1255</v>
      </c>
      <c r="C8" s="41" t="s">
        <v>1256</v>
      </c>
      <c r="D8" s="41" t="s">
        <v>1263</v>
      </c>
      <c r="E8" s="41" t="s">
        <v>1264</v>
      </c>
      <c r="F8" s="41" t="s">
        <v>709</v>
      </c>
      <c r="G8" s="41">
        <v>35000</v>
      </c>
      <c r="H8" s="41">
        <v>1000</v>
      </c>
      <c r="I8" s="41">
        <v>1</v>
      </c>
      <c r="J8" s="41">
        <f t="shared" si="0"/>
        <v>35000000</v>
      </c>
      <c r="K8" s="41">
        <v>1000</v>
      </c>
      <c r="L8" s="41">
        <v>1</v>
      </c>
      <c r="M8" s="41">
        <f t="shared" si="1"/>
        <v>38500000</v>
      </c>
      <c r="N8" s="41">
        <v>0</v>
      </c>
      <c r="O8" s="41">
        <v>0</v>
      </c>
      <c r="P8" s="41">
        <f t="shared" si="2"/>
        <v>0</v>
      </c>
      <c r="Q8" s="41">
        <v>0</v>
      </c>
      <c r="R8" s="41">
        <v>0</v>
      </c>
      <c r="S8" s="41">
        <f t="shared" si="3"/>
        <v>0</v>
      </c>
      <c r="T8" s="41">
        <v>1000</v>
      </c>
      <c r="U8" s="41">
        <v>1</v>
      </c>
      <c r="V8" s="41">
        <f t="shared" si="4"/>
        <v>51243500.000000015</v>
      </c>
      <c r="Y8" s="41">
        <f t="shared" si="5"/>
        <v>0</v>
      </c>
      <c r="Z8" s="41">
        <v>1000</v>
      </c>
      <c r="AA8" s="41">
        <v>1</v>
      </c>
      <c r="AB8" s="41">
        <f t="shared" si="6"/>
        <v>62004635.00000003</v>
      </c>
      <c r="AE8" s="41">
        <f t="shared" si="7"/>
        <v>0</v>
      </c>
      <c r="AF8" s="28">
        <f t="shared" si="8"/>
        <v>186748135.00000006</v>
      </c>
      <c r="AG8" s="28">
        <f t="shared" si="9"/>
        <v>181308.86893203889</v>
      </c>
    </row>
    <row r="9" spans="1:38" ht="86.4" x14ac:dyDescent="0.3">
      <c r="A9" s="41" t="s">
        <v>983</v>
      </c>
      <c r="B9" s="41" t="s">
        <v>1255</v>
      </c>
      <c r="C9" s="41" t="s">
        <v>1256</v>
      </c>
      <c r="D9" s="41" t="s">
        <v>1263</v>
      </c>
      <c r="E9" s="41" t="s">
        <v>1264</v>
      </c>
      <c r="F9" s="41" t="s">
        <v>716</v>
      </c>
      <c r="G9" s="41">
        <v>39000</v>
      </c>
      <c r="H9" s="41">
        <v>1000</v>
      </c>
      <c r="I9" s="41">
        <v>1</v>
      </c>
      <c r="J9" s="41">
        <f t="shared" si="0"/>
        <v>39000000</v>
      </c>
      <c r="K9" s="41">
        <v>1000</v>
      </c>
      <c r="L9" s="41">
        <v>1</v>
      </c>
      <c r="M9" s="41">
        <f t="shared" si="1"/>
        <v>42900000</v>
      </c>
      <c r="N9" s="41">
        <v>0</v>
      </c>
      <c r="O9" s="41">
        <v>0</v>
      </c>
      <c r="P9" s="41">
        <f t="shared" si="2"/>
        <v>0</v>
      </c>
      <c r="Q9" s="41">
        <v>0</v>
      </c>
      <c r="R9" s="41">
        <v>0</v>
      </c>
      <c r="S9" s="41">
        <f t="shared" si="3"/>
        <v>0</v>
      </c>
      <c r="T9" s="41">
        <v>1000</v>
      </c>
      <c r="U9" s="41">
        <v>1</v>
      </c>
      <c r="V9" s="41">
        <f t="shared" si="4"/>
        <v>57099900.000000015</v>
      </c>
      <c r="Y9" s="41">
        <f t="shared" si="5"/>
        <v>0</v>
      </c>
      <c r="Z9" s="41">
        <v>1000</v>
      </c>
      <c r="AA9" s="41">
        <v>1</v>
      </c>
      <c r="AB9" s="41">
        <f t="shared" si="6"/>
        <v>69090879.00000003</v>
      </c>
      <c r="AE9" s="41">
        <f t="shared" si="7"/>
        <v>0</v>
      </c>
      <c r="AF9" s="28">
        <f t="shared" si="8"/>
        <v>208090779.00000003</v>
      </c>
      <c r="AG9" s="28">
        <f t="shared" si="9"/>
        <v>202029.88252427187</v>
      </c>
    </row>
    <row r="10" spans="1:38" ht="86.4" x14ac:dyDescent="0.3">
      <c r="A10" s="41" t="s">
        <v>983</v>
      </c>
      <c r="B10" s="41" t="s">
        <v>1255</v>
      </c>
      <c r="C10" s="41" t="s">
        <v>1256</v>
      </c>
      <c r="D10" s="41" t="s">
        <v>1263</v>
      </c>
      <c r="E10" s="41" t="s">
        <v>1264</v>
      </c>
      <c r="F10" s="41" t="s">
        <v>712</v>
      </c>
      <c r="G10" s="85">
        <f>1999.2/7</f>
        <v>285.60000000000002</v>
      </c>
      <c r="H10" s="41">
        <v>14500</v>
      </c>
      <c r="I10" s="41">
        <v>1</v>
      </c>
      <c r="J10" s="41">
        <f t="shared" si="0"/>
        <v>4141200.0000000005</v>
      </c>
      <c r="K10" s="41">
        <v>14500</v>
      </c>
      <c r="L10" s="41">
        <v>1</v>
      </c>
      <c r="M10" s="41">
        <f t="shared" si="1"/>
        <v>4555320</v>
      </c>
      <c r="N10" s="41">
        <v>0</v>
      </c>
      <c r="O10" s="41">
        <v>0</v>
      </c>
      <c r="P10" s="41">
        <f t="shared" si="2"/>
        <v>0</v>
      </c>
      <c r="Q10" s="41">
        <v>0</v>
      </c>
      <c r="R10" s="41">
        <v>0</v>
      </c>
      <c r="S10" s="41">
        <f t="shared" si="3"/>
        <v>0</v>
      </c>
      <c r="T10" s="41">
        <v>14500</v>
      </c>
      <c r="U10" s="41">
        <v>1</v>
      </c>
      <c r="V10" s="41">
        <f t="shared" si="4"/>
        <v>6063130.9200000018</v>
      </c>
      <c r="Y10" s="41">
        <f t="shared" si="5"/>
        <v>0</v>
      </c>
      <c r="Z10" s="41">
        <v>14500</v>
      </c>
      <c r="AA10" s="41">
        <v>1</v>
      </c>
      <c r="AB10" s="41">
        <f t="shared" si="6"/>
        <v>7336388.413200004</v>
      </c>
      <c r="AE10" s="41">
        <f t="shared" si="7"/>
        <v>0</v>
      </c>
      <c r="AF10" s="28">
        <f t="shared" si="8"/>
        <v>22096039.333200008</v>
      </c>
      <c r="AG10" s="28">
        <f t="shared" si="9"/>
        <v>21452.465372038841</v>
      </c>
    </row>
    <row r="11" spans="1:38" ht="86.4" x14ac:dyDescent="0.3">
      <c r="A11" s="41" t="s">
        <v>983</v>
      </c>
      <c r="B11" s="41" t="s">
        <v>1255</v>
      </c>
      <c r="C11" s="41" t="s">
        <v>1256</v>
      </c>
      <c r="D11" s="41" t="s">
        <v>1263</v>
      </c>
      <c r="E11" s="41" t="s">
        <v>1264</v>
      </c>
      <c r="F11" s="41" t="s">
        <v>1299</v>
      </c>
      <c r="G11" s="85">
        <f>1999.2/7</f>
        <v>285.60000000000002</v>
      </c>
      <c r="H11" s="41">
        <f>22500*2</f>
        <v>45000</v>
      </c>
      <c r="I11" s="41">
        <v>1</v>
      </c>
      <c r="J11" s="41">
        <f t="shared" si="0"/>
        <v>12852000.000000002</v>
      </c>
      <c r="K11" s="41">
        <f>22500*2</f>
        <v>45000</v>
      </c>
      <c r="L11" s="41">
        <v>1</v>
      </c>
      <c r="M11" s="41">
        <f t="shared" si="1"/>
        <v>14137200.000000002</v>
      </c>
      <c r="N11" s="41"/>
      <c r="O11" s="41"/>
      <c r="P11" s="41">
        <f t="shared" si="2"/>
        <v>0</v>
      </c>
      <c r="Q11" s="41"/>
      <c r="R11" s="41"/>
      <c r="S11" s="41">
        <f t="shared" si="3"/>
        <v>0</v>
      </c>
      <c r="T11" s="41">
        <f>22500*2</f>
        <v>45000</v>
      </c>
      <c r="U11" s="41">
        <v>1</v>
      </c>
      <c r="V11" s="41">
        <f t="shared" si="4"/>
        <v>18816613.200000007</v>
      </c>
      <c r="Y11" s="41">
        <f t="shared" si="5"/>
        <v>0</v>
      </c>
      <c r="Z11" s="41">
        <f>22500*2</f>
        <v>45000</v>
      </c>
      <c r="AA11" s="41">
        <v>1</v>
      </c>
      <c r="AB11" s="41">
        <f t="shared" si="6"/>
        <v>22768101.972000014</v>
      </c>
      <c r="AE11" s="41">
        <f t="shared" si="7"/>
        <v>0</v>
      </c>
      <c r="AF11" s="28">
        <f t="shared" si="8"/>
        <v>68573915.172000021</v>
      </c>
      <c r="AG11" s="28">
        <f t="shared" si="9"/>
        <v>66576.616671844677</v>
      </c>
    </row>
    <row r="12" spans="1:38" ht="86.4" x14ac:dyDescent="0.3">
      <c r="A12" s="41" t="s">
        <v>983</v>
      </c>
      <c r="B12" s="41" t="s">
        <v>1255</v>
      </c>
      <c r="C12" s="41" t="s">
        <v>1256</v>
      </c>
      <c r="D12" s="41" t="s">
        <v>1265</v>
      </c>
      <c r="E12" s="41" t="s">
        <v>1266</v>
      </c>
      <c r="F12" s="41" t="s">
        <v>709</v>
      </c>
      <c r="G12" s="41">
        <v>35000</v>
      </c>
      <c r="H12" s="41">
        <v>100</v>
      </c>
      <c r="I12" s="41">
        <v>2</v>
      </c>
      <c r="J12" s="41">
        <f t="shared" si="0"/>
        <v>7000000</v>
      </c>
      <c r="K12" s="41">
        <v>20000</v>
      </c>
      <c r="L12" s="41">
        <v>5</v>
      </c>
      <c r="M12" s="41">
        <f t="shared" si="1"/>
        <v>3850000000</v>
      </c>
      <c r="N12" s="41">
        <v>0</v>
      </c>
      <c r="O12" s="41">
        <v>0</v>
      </c>
      <c r="P12" s="41">
        <f t="shared" si="2"/>
        <v>0</v>
      </c>
      <c r="Q12" s="41">
        <v>0</v>
      </c>
      <c r="R12" s="41">
        <v>0</v>
      </c>
      <c r="S12" s="41">
        <f t="shared" si="3"/>
        <v>0</v>
      </c>
      <c r="T12" s="41">
        <v>0</v>
      </c>
      <c r="U12" s="41">
        <v>0</v>
      </c>
      <c r="V12" s="41">
        <f t="shared" si="4"/>
        <v>0</v>
      </c>
      <c r="Y12" s="41">
        <f t="shared" si="5"/>
        <v>0</v>
      </c>
      <c r="AB12" s="41">
        <f t="shared" si="6"/>
        <v>0</v>
      </c>
      <c r="AE12" s="41">
        <f t="shared" si="7"/>
        <v>0</v>
      </c>
      <c r="AF12" s="28">
        <f t="shared" si="8"/>
        <v>3857000000</v>
      </c>
      <c r="AG12" s="28">
        <f t="shared" si="9"/>
        <v>3744660.1941747572</v>
      </c>
    </row>
    <row r="13" spans="1:38" ht="86.4" x14ac:dyDescent="0.3">
      <c r="A13" s="41" t="s">
        <v>983</v>
      </c>
      <c r="B13" s="41" t="s">
        <v>1255</v>
      </c>
      <c r="C13" s="41" t="s">
        <v>1256</v>
      </c>
      <c r="D13" s="41" t="s">
        <v>1265</v>
      </c>
      <c r="E13" s="41" t="s">
        <v>1266</v>
      </c>
      <c r="F13" s="41" t="s">
        <v>716</v>
      </c>
      <c r="G13" s="41">
        <v>39000</v>
      </c>
      <c r="H13" s="41">
        <v>58</v>
      </c>
      <c r="I13" s="41">
        <v>2</v>
      </c>
      <c r="J13" s="41"/>
      <c r="K13" s="41"/>
      <c r="L13" s="41"/>
      <c r="M13" s="41"/>
      <c r="N13" s="41"/>
      <c r="O13" s="41"/>
      <c r="P13" s="41"/>
      <c r="Q13" s="41"/>
      <c r="R13" s="41"/>
      <c r="S13" s="41"/>
      <c r="T13" s="41"/>
      <c r="U13" s="41"/>
      <c r="V13" s="41"/>
      <c r="Y13" s="41"/>
      <c r="AB13" s="41"/>
      <c r="AE13" s="41"/>
      <c r="AF13" s="28">
        <f t="shared" si="8"/>
        <v>0</v>
      </c>
      <c r="AG13" s="28">
        <f t="shared" si="9"/>
        <v>0</v>
      </c>
    </row>
    <row r="14" spans="1:38" ht="86.4" x14ac:dyDescent="0.3">
      <c r="A14" s="41" t="s">
        <v>983</v>
      </c>
      <c r="B14" s="41" t="s">
        <v>1255</v>
      </c>
      <c r="C14" s="41" t="s">
        <v>1256</v>
      </c>
      <c r="D14" s="41" t="s">
        <v>1265</v>
      </c>
      <c r="E14" s="41" t="s">
        <v>1266</v>
      </c>
      <c r="F14" s="41" t="s">
        <v>712</v>
      </c>
      <c r="G14" s="85">
        <f>1999.2/7</f>
        <v>285.60000000000002</v>
      </c>
      <c r="H14" s="41">
        <f>2*25*29</f>
        <v>1450</v>
      </c>
      <c r="I14" s="41">
        <v>2</v>
      </c>
      <c r="J14" s="41"/>
      <c r="K14" s="41"/>
      <c r="L14" s="41"/>
      <c r="M14" s="41"/>
      <c r="N14" s="41"/>
      <c r="O14" s="41"/>
      <c r="P14" s="41"/>
      <c r="Q14" s="41"/>
      <c r="R14" s="41"/>
      <c r="S14" s="41"/>
      <c r="T14" s="41"/>
      <c r="U14" s="41"/>
      <c r="V14" s="41"/>
      <c r="Y14" s="41"/>
      <c r="AB14" s="41"/>
      <c r="AE14" s="41"/>
      <c r="AF14" s="28">
        <f t="shared" si="8"/>
        <v>0</v>
      </c>
      <c r="AG14" s="28">
        <f t="shared" si="9"/>
        <v>0</v>
      </c>
    </row>
    <row r="15" spans="1:38" ht="86.4" x14ac:dyDescent="0.3">
      <c r="A15" s="41" t="s">
        <v>983</v>
      </c>
      <c r="B15" s="41" t="s">
        <v>1255</v>
      </c>
      <c r="C15" s="41" t="s">
        <v>1256</v>
      </c>
      <c r="D15" s="41" t="s">
        <v>1265</v>
      </c>
      <c r="E15" s="41" t="s">
        <v>1266</v>
      </c>
      <c r="F15" s="41" t="s">
        <v>1299</v>
      </c>
      <c r="G15" s="85">
        <f>1999.2/7</f>
        <v>285.60000000000002</v>
      </c>
      <c r="H15" s="41">
        <v>22500</v>
      </c>
      <c r="I15" s="41">
        <v>1</v>
      </c>
      <c r="J15" s="41"/>
      <c r="K15" s="41"/>
      <c r="L15" s="41"/>
      <c r="M15" s="41"/>
      <c r="N15" s="41"/>
      <c r="O15" s="41"/>
      <c r="P15" s="41"/>
      <c r="Q15" s="41"/>
      <c r="R15" s="41"/>
      <c r="S15" s="41"/>
      <c r="T15" s="41"/>
      <c r="U15" s="41"/>
      <c r="V15" s="41"/>
      <c r="Y15" s="41"/>
      <c r="AB15" s="41"/>
      <c r="AE15" s="41"/>
      <c r="AF15" s="28">
        <f t="shared" si="8"/>
        <v>0</v>
      </c>
      <c r="AG15" s="28">
        <f t="shared" si="9"/>
        <v>0</v>
      </c>
    </row>
    <row r="16" spans="1:38" ht="86.4" x14ac:dyDescent="0.3">
      <c r="A16" s="41" t="s">
        <v>983</v>
      </c>
      <c r="B16" s="41" t="s">
        <v>1255</v>
      </c>
      <c r="C16" s="41" t="s">
        <v>1256</v>
      </c>
      <c r="D16" s="41" t="s">
        <v>1267</v>
      </c>
      <c r="E16" s="41" t="s">
        <v>1179</v>
      </c>
      <c r="F16" s="41" t="s">
        <v>841</v>
      </c>
      <c r="G16" s="41">
        <v>0</v>
      </c>
      <c r="H16" s="41">
        <v>0</v>
      </c>
      <c r="I16" s="41">
        <v>0</v>
      </c>
      <c r="J16" s="41">
        <f t="shared" si="0"/>
        <v>0</v>
      </c>
      <c r="K16" s="41">
        <v>0</v>
      </c>
      <c r="L16" s="41">
        <v>0</v>
      </c>
      <c r="M16" s="41">
        <f t="shared" si="1"/>
        <v>0</v>
      </c>
      <c r="N16" s="41">
        <v>0</v>
      </c>
      <c r="O16" s="41">
        <v>0</v>
      </c>
      <c r="P16" s="41">
        <f t="shared" si="2"/>
        <v>0</v>
      </c>
      <c r="Q16" s="41">
        <v>0</v>
      </c>
      <c r="R16" s="41">
        <v>0</v>
      </c>
      <c r="S16" s="41">
        <f t="shared" si="3"/>
        <v>0</v>
      </c>
      <c r="T16" s="41">
        <v>0</v>
      </c>
      <c r="U16" s="41">
        <v>0</v>
      </c>
      <c r="V16" s="41">
        <f t="shared" si="4"/>
        <v>0</v>
      </c>
      <c r="Y16" s="41">
        <f t="shared" si="5"/>
        <v>0</v>
      </c>
      <c r="AB16" s="41">
        <f t="shared" si="6"/>
        <v>0</v>
      </c>
      <c r="AE16" s="41">
        <f t="shared" si="7"/>
        <v>0</v>
      </c>
      <c r="AF16" s="28">
        <f t="shared" si="8"/>
        <v>0</v>
      </c>
      <c r="AG16" s="28">
        <f t="shared" si="9"/>
        <v>0</v>
      </c>
    </row>
    <row r="17" spans="1:33" ht="86.4" x14ac:dyDescent="0.3">
      <c r="A17" s="41" t="s">
        <v>983</v>
      </c>
      <c r="B17" s="41" t="s">
        <v>1255</v>
      </c>
      <c r="C17" s="41" t="s">
        <v>1256</v>
      </c>
      <c r="D17" s="41" t="s">
        <v>1268</v>
      </c>
      <c r="E17" s="41" t="s">
        <v>1269</v>
      </c>
      <c r="F17" s="41" t="s">
        <v>709</v>
      </c>
      <c r="G17" s="41">
        <v>35000</v>
      </c>
      <c r="H17" s="41">
        <v>25</v>
      </c>
      <c r="I17" s="41">
        <f>5*3</f>
        <v>15</v>
      </c>
      <c r="J17" s="41">
        <f t="shared" si="0"/>
        <v>13125000</v>
      </c>
      <c r="K17" s="41">
        <v>25</v>
      </c>
      <c r="L17" s="41">
        <f>5*3</f>
        <v>15</v>
      </c>
      <c r="M17" s="41">
        <f t="shared" si="1"/>
        <v>14437500</v>
      </c>
      <c r="N17" s="41">
        <v>0</v>
      </c>
      <c r="O17" s="41">
        <v>0</v>
      </c>
      <c r="P17" s="41">
        <f t="shared" si="2"/>
        <v>0</v>
      </c>
      <c r="Q17" s="41">
        <v>0</v>
      </c>
      <c r="R17" s="41">
        <v>0</v>
      </c>
      <c r="S17" s="41">
        <f t="shared" si="3"/>
        <v>0</v>
      </c>
      <c r="T17" s="41">
        <v>0</v>
      </c>
      <c r="U17" s="41">
        <v>0</v>
      </c>
      <c r="V17" s="41">
        <f t="shared" si="4"/>
        <v>0</v>
      </c>
      <c r="W17" s="41">
        <v>25</v>
      </c>
      <c r="X17" s="41">
        <f>5*3</f>
        <v>15</v>
      </c>
      <c r="Y17" s="41">
        <f t="shared" si="5"/>
        <v>21137943.750000007</v>
      </c>
      <c r="AB17" s="41">
        <f t="shared" si="6"/>
        <v>0</v>
      </c>
      <c r="AE17" s="41">
        <f t="shared" si="7"/>
        <v>0</v>
      </c>
      <c r="AF17" s="28">
        <f t="shared" si="8"/>
        <v>48700443.750000007</v>
      </c>
      <c r="AG17" s="28">
        <f t="shared" si="9"/>
        <v>47281.984223300977</v>
      </c>
    </row>
    <row r="18" spans="1:33" ht="86.4" x14ac:dyDescent="0.3">
      <c r="A18" s="41" t="s">
        <v>983</v>
      </c>
      <c r="B18" s="41" t="s">
        <v>1255</v>
      </c>
      <c r="C18" s="41" t="s">
        <v>1256</v>
      </c>
      <c r="D18" s="41" t="s">
        <v>1268</v>
      </c>
      <c r="E18" s="41" t="s">
        <v>1269</v>
      </c>
      <c r="F18" s="41" t="s">
        <v>716</v>
      </c>
      <c r="G18" s="41">
        <v>39000</v>
      </c>
      <c r="H18" s="41">
        <v>25</v>
      </c>
      <c r="I18" s="41">
        <f>6*3</f>
        <v>18</v>
      </c>
      <c r="J18" s="41">
        <f t="shared" si="0"/>
        <v>17550000</v>
      </c>
      <c r="K18" s="41">
        <v>25</v>
      </c>
      <c r="L18" s="41">
        <f>6*3</f>
        <v>18</v>
      </c>
      <c r="M18" s="41">
        <f t="shared" si="1"/>
        <v>19305000</v>
      </c>
      <c r="N18" s="41">
        <v>0</v>
      </c>
      <c r="O18" s="41">
        <v>0</v>
      </c>
      <c r="P18" s="41">
        <f t="shared" si="2"/>
        <v>0</v>
      </c>
      <c r="Q18" s="41">
        <v>0</v>
      </c>
      <c r="R18" s="41">
        <v>0</v>
      </c>
      <c r="S18" s="41">
        <f t="shared" si="3"/>
        <v>0</v>
      </c>
      <c r="T18" s="41">
        <v>0</v>
      </c>
      <c r="U18" s="41">
        <v>0</v>
      </c>
      <c r="V18" s="41">
        <f t="shared" si="4"/>
        <v>0</v>
      </c>
      <c r="W18" s="41">
        <v>25</v>
      </c>
      <c r="X18" s="41">
        <f>6*3</f>
        <v>18</v>
      </c>
      <c r="Y18" s="41">
        <f t="shared" si="5"/>
        <v>28264450.500000007</v>
      </c>
      <c r="AB18" s="41">
        <f t="shared" si="6"/>
        <v>0</v>
      </c>
      <c r="AE18" s="41">
        <f t="shared" si="7"/>
        <v>0</v>
      </c>
      <c r="AF18" s="28">
        <f t="shared" si="8"/>
        <v>65119450.500000007</v>
      </c>
      <c r="AG18" s="28">
        <f t="shared" si="9"/>
        <v>63222.767475728164</v>
      </c>
    </row>
    <row r="19" spans="1:33" ht="86.4" x14ac:dyDescent="0.3">
      <c r="A19" s="41" t="s">
        <v>983</v>
      </c>
      <c r="B19" s="41" t="s">
        <v>1255</v>
      </c>
      <c r="C19" s="41" t="s">
        <v>1256</v>
      </c>
      <c r="D19" s="41" t="s">
        <v>1268</v>
      </c>
      <c r="E19" s="41" t="s">
        <v>1269</v>
      </c>
      <c r="F19" s="41" t="s">
        <v>712</v>
      </c>
      <c r="G19" s="85">
        <f>1999.2/7</f>
        <v>285.60000000000002</v>
      </c>
      <c r="H19" s="85">
        <f>2*25*9</f>
        <v>450</v>
      </c>
      <c r="I19" s="41">
        <f>5*3</f>
        <v>15</v>
      </c>
      <c r="J19" s="41">
        <f t="shared" si="0"/>
        <v>1927800.0000000002</v>
      </c>
      <c r="K19" s="85">
        <f>2*25*9</f>
        <v>450</v>
      </c>
      <c r="L19" s="41">
        <f>5*3</f>
        <v>15</v>
      </c>
      <c r="M19" s="41">
        <f t="shared" si="1"/>
        <v>2120580</v>
      </c>
      <c r="N19" s="41">
        <v>0</v>
      </c>
      <c r="O19" s="41">
        <v>0</v>
      </c>
      <c r="P19" s="41">
        <f t="shared" si="2"/>
        <v>0</v>
      </c>
      <c r="Q19" s="41">
        <v>0</v>
      </c>
      <c r="R19" s="41">
        <v>0</v>
      </c>
      <c r="S19" s="41">
        <f t="shared" si="3"/>
        <v>0</v>
      </c>
      <c r="T19" s="41">
        <v>0</v>
      </c>
      <c r="U19" s="41">
        <v>0</v>
      </c>
      <c r="V19" s="41">
        <f t="shared" si="4"/>
        <v>0</v>
      </c>
      <c r="W19" s="85">
        <f>2*25*9</f>
        <v>450</v>
      </c>
      <c r="X19" s="41">
        <f>5*3</f>
        <v>15</v>
      </c>
      <c r="Y19" s="41">
        <f t="shared" si="5"/>
        <v>3104741.1780000012</v>
      </c>
      <c r="AB19" s="41">
        <f t="shared" si="6"/>
        <v>0</v>
      </c>
      <c r="AE19" s="41">
        <f t="shared" si="7"/>
        <v>0</v>
      </c>
      <c r="AF19" s="28">
        <f t="shared" si="8"/>
        <v>7153121.1780000012</v>
      </c>
      <c r="AG19" s="28">
        <f t="shared" si="9"/>
        <v>6944.7778427184476</v>
      </c>
    </row>
    <row r="20" spans="1:33" ht="86.4" x14ac:dyDescent="0.3">
      <c r="A20" s="41" t="s">
        <v>983</v>
      </c>
      <c r="B20" s="41" t="s">
        <v>1255</v>
      </c>
      <c r="C20" s="41" t="s">
        <v>1256</v>
      </c>
      <c r="D20" s="41" t="s">
        <v>1268</v>
      </c>
      <c r="E20" s="41" t="s">
        <v>1269</v>
      </c>
      <c r="F20" s="41" t="s">
        <v>1299</v>
      </c>
      <c r="G20" s="85">
        <f>1999.2/7</f>
        <v>285.60000000000002</v>
      </c>
      <c r="H20" s="85">
        <f>2*135*9</f>
        <v>2430</v>
      </c>
      <c r="I20" s="41">
        <v>3</v>
      </c>
      <c r="J20" s="41">
        <f t="shared" si="0"/>
        <v>2082024</v>
      </c>
      <c r="K20" s="85">
        <f>2*135*9</f>
        <v>2430</v>
      </c>
      <c r="L20" s="41">
        <v>3</v>
      </c>
      <c r="M20" s="41">
        <f t="shared" si="1"/>
        <v>2290226.4000000004</v>
      </c>
      <c r="N20" s="41"/>
      <c r="O20" s="41"/>
      <c r="P20" s="41">
        <f t="shared" si="2"/>
        <v>0</v>
      </c>
      <c r="Q20" s="41"/>
      <c r="R20" s="41"/>
      <c r="S20" s="41">
        <f t="shared" si="3"/>
        <v>0</v>
      </c>
      <c r="T20" s="41"/>
      <c r="U20" s="41"/>
      <c r="V20" s="41">
        <f t="shared" si="4"/>
        <v>0</v>
      </c>
      <c r="W20" s="85">
        <f>2*135*9</f>
        <v>2430</v>
      </c>
      <c r="X20" s="41">
        <v>3</v>
      </c>
      <c r="Y20" s="41">
        <f t="shared" si="5"/>
        <v>3353120.472240001</v>
      </c>
      <c r="AB20" s="41">
        <f t="shared" si="6"/>
        <v>0</v>
      </c>
      <c r="AE20" s="41">
        <f t="shared" si="7"/>
        <v>0</v>
      </c>
      <c r="AF20" s="28">
        <f t="shared" si="8"/>
        <v>7725370.8722400013</v>
      </c>
      <c r="AG20" s="28">
        <f t="shared" si="9"/>
        <v>7500.3600701359237</v>
      </c>
    </row>
    <row r="21" spans="1:33" ht="86.4" x14ac:dyDescent="0.3">
      <c r="A21" s="41" t="s">
        <v>983</v>
      </c>
      <c r="B21" s="41" t="s">
        <v>1255</v>
      </c>
      <c r="C21" s="41" t="s">
        <v>1256</v>
      </c>
      <c r="D21" s="41" t="s">
        <v>1268</v>
      </c>
      <c r="E21" s="41" t="s">
        <v>1270</v>
      </c>
      <c r="F21" s="41" t="s">
        <v>709</v>
      </c>
      <c r="G21" s="41">
        <v>35000</v>
      </c>
      <c r="H21" s="41">
        <v>50</v>
      </c>
      <c r="I21" s="41">
        <v>1</v>
      </c>
      <c r="J21" s="41">
        <f t="shared" si="0"/>
        <v>1750000</v>
      </c>
      <c r="K21" s="41">
        <v>50</v>
      </c>
      <c r="L21" s="41">
        <v>1</v>
      </c>
      <c r="M21" s="41">
        <f t="shared" si="1"/>
        <v>1925000</v>
      </c>
      <c r="N21" s="41">
        <v>0</v>
      </c>
      <c r="O21" s="41">
        <v>0</v>
      </c>
      <c r="P21" s="41">
        <f t="shared" si="2"/>
        <v>0</v>
      </c>
      <c r="Q21" s="41">
        <v>0</v>
      </c>
      <c r="R21" s="41">
        <v>0</v>
      </c>
      <c r="S21" s="41">
        <f t="shared" si="3"/>
        <v>0</v>
      </c>
      <c r="T21" s="41">
        <v>0</v>
      </c>
      <c r="U21" s="41">
        <v>0</v>
      </c>
      <c r="V21" s="41">
        <f t="shared" si="4"/>
        <v>0</v>
      </c>
      <c r="W21" s="41">
        <v>50</v>
      </c>
      <c r="X21" s="41">
        <v>1</v>
      </c>
      <c r="Y21" s="41">
        <f t="shared" si="5"/>
        <v>2818392.5000000009</v>
      </c>
      <c r="AB21" s="41">
        <f t="shared" si="6"/>
        <v>0</v>
      </c>
      <c r="AE21" s="41">
        <f t="shared" si="7"/>
        <v>0</v>
      </c>
      <c r="AF21" s="28">
        <f t="shared" si="8"/>
        <v>6493392.5000000009</v>
      </c>
      <c r="AG21" s="28">
        <f t="shared" si="9"/>
        <v>6304.2645631067971</v>
      </c>
    </row>
    <row r="22" spans="1:33" ht="86.4" x14ac:dyDescent="0.3">
      <c r="A22" s="41" t="s">
        <v>983</v>
      </c>
      <c r="B22" s="41" t="s">
        <v>1255</v>
      </c>
      <c r="C22" s="41" t="s">
        <v>1256</v>
      </c>
      <c r="D22" s="41" t="s">
        <v>1268</v>
      </c>
      <c r="E22" s="41" t="s">
        <v>1271</v>
      </c>
      <c r="F22" s="41" t="s">
        <v>841</v>
      </c>
      <c r="G22" s="41">
        <v>0</v>
      </c>
      <c r="H22" s="41">
        <v>0</v>
      </c>
      <c r="I22" s="41">
        <v>0</v>
      </c>
      <c r="J22" s="41">
        <f t="shared" si="0"/>
        <v>0</v>
      </c>
      <c r="K22" s="41">
        <v>0</v>
      </c>
      <c r="L22" s="41">
        <v>0</v>
      </c>
      <c r="M22" s="41">
        <f t="shared" si="1"/>
        <v>0</v>
      </c>
      <c r="N22" s="41">
        <v>0</v>
      </c>
      <c r="O22" s="41">
        <v>0</v>
      </c>
      <c r="P22" s="41">
        <f t="shared" si="2"/>
        <v>0</v>
      </c>
      <c r="Q22" s="41">
        <v>0</v>
      </c>
      <c r="R22" s="41">
        <v>0</v>
      </c>
      <c r="S22" s="41">
        <f t="shared" si="3"/>
        <v>0</v>
      </c>
      <c r="T22" s="41">
        <v>0</v>
      </c>
      <c r="U22" s="41">
        <v>0</v>
      </c>
      <c r="V22" s="41">
        <f t="shared" si="4"/>
        <v>0</v>
      </c>
      <c r="W22" s="41">
        <v>0</v>
      </c>
      <c r="X22" s="41">
        <v>0</v>
      </c>
      <c r="Y22" s="41">
        <f t="shared" si="5"/>
        <v>0</v>
      </c>
      <c r="AB22" s="41">
        <f t="shared" si="6"/>
        <v>0</v>
      </c>
      <c r="AE22" s="41">
        <f t="shared" si="7"/>
        <v>0</v>
      </c>
      <c r="AF22" s="28">
        <f t="shared" si="8"/>
        <v>0</v>
      </c>
      <c r="AG22" s="28">
        <f t="shared" si="9"/>
        <v>0</v>
      </c>
    </row>
    <row r="23" spans="1:33" ht="86.4" x14ac:dyDescent="0.3">
      <c r="A23" s="41" t="s">
        <v>983</v>
      </c>
      <c r="B23" s="41" t="s">
        <v>1255</v>
      </c>
      <c r="C23" s="41" t="s">
        <v>1256</v>
      </c>
      <c r="D23" s="41" t="s">
        <v>1268</v>
      </c>
      <c r="E23" s="41" t="s">
        <v>1272</v>
      </c>
      <c r="F23" s="41" t="s">
        <v>709</v>
      </c>
      <c r="G23" s="41">
        <v>35000</v>
      </c>
      <c r="H23" s="41">
        <v>25</v>
      </c>
      <c r="I23" s="41">
        <f>5*3</f>
        <v>15</v>
      </c>
      <c r="J23" s="41">
        <f t="shared" si="0"/>
        <v>13125000</v>
      </c>
      <c r="K23" s="41">
        <v>25</v>
      </c>
      <c r="L23" s="41">
        <f>5*3</f>
        <v>15</v>
      </c>
      <c r="M23" s="41">
        <f t="shared" si="1"/>
        <v>14437500</v>
      </c>
      <c r="N23" s="41">
        <v>0</v>
      </c>
      <c r="O23" s="41">
        <v>0</v>
      </c>
      <c r="P23" s="41">
        <f t="shared" si="2"/>
        <v>0</v>
      </c>
      <c r="Q23" s="41">
        <v>0</v>
      </c>
      <c r="R23" s="41">
        <v>0</v>
      </c>
      <c r="S23" s="41">
        <f t="shared" si="3"/>
        <v>0</v>
      </c>
      <c r="T23" s="41">
        <v>0</v>
      </c>
      <c r="U23" s="41">
        <v>0</v>
      </c>
      <c r="V23" s="41">
        <f t="shared" si="4"/>
        <v>0</v>
      </c>
      <c r="W23" s="41">
        <v>25</v>
      </c>
      <c r="X23" s="41">
        <f>5*3</f>
        <v>15</v>
      </c>
      <c r="Y23" s="41">
        <f t="shared" si="5"/>
        <v>21137943.750000007</v>
      </c>
      <c r="AB23" s="41">
        <f t="shared" si="6"/>
        <v>0</v>
      </c>
      <c r="AE23" s="41">
        <f t="shared" si="7"/>
        <v>0</v>
      </c>
      <c r="AF23" s="28">
        <f t="shared" si="8"/>
        <v>48700443.750000007</v>
      </c>
      <c r="AG23" s="28">
        <f t="shared" si="9"/>
        <v>47281.984223300977</v>
      </c>
    </row>
    <row r="24" spans="1:33" ht="86.4" x14ac:dyDescent="0.3">
      <c r="A24" s="41" t="s">
        <v>983</v>
      </c>
      <c r="B24" s="41" t="s">
        <v>1255</v>
      </c>
      <c r="C24" s="41" t="s">
        <v>1256</v>
      </c>
      <c r="D24" s="41" t="s">
        <v>1268</v>
      </c>
      <c r="E24" s="41" t="s">
        <v>1272</v>
      </c>
      <c r="F24" s="41" t="s">
        <v>716</v>
      </c>
      <c r="G24" s="41">
        <v>39000</v>
      </c>
      <c r="H24" s="41">
        <v>25</v>
      </c>
      <c r="I24" s="41">
        <f>5*3</f>
        <v>15</v>
      </c>
      <c r="J24" s="41">
        <f t="shared" si="0"/>
        <v>14625000</v>
      </c>
      <c r="K24" s="41">
        <v>25</v>
      </c>
      <c r="L24" s="41">
        <f>5*3</f>
        <v>15</v>
      </c>
      <c r="M24" s="41">
        <f t="shared" si="1"/>
        <v>16087500</v>
      </c>
      <c r="N24" s="41">
        <v>0</v>
      </c>
      <c r="O24" s="41">
        <v>0</v>
      </c>
      <c r="P24" s="41">
        <f t="shared" si="2"/>
        <v>0</v>
      </c>
      <c r="Q24" s="41">
        <v>0</v>
      </c>
      <c r="R24" s="41">
        <v>0</v>
      </c>
      <c r="S24" s="41">
        <f t="shared" si="3"/>
        <v>0</v>
      </c>
      <c r="T24" s="41">
        <v>0</v>
      </c>
      <c r="U24" s="41">
        <v>0</v>
      </c>
      <c r="V24" s="41">
        <f t="shared" si="4"/>
        <v>0</v>
      </c>
      <c r="W24" s="41">
        <v>25</v>
      </c>
      <c r="X24" s="41">
        <f>5*3</f>
        <v>15</v>
      </c>
      <c r="Y24" s="41">
        <f t="shared" si="5"/>
        <v>23553708.750000007</v>
      </c>
      <c r="AB24" s="41">
        <f t="shared" si="6"/>
        <v>0</v>
      </c>
      <c r="AE24" s="41">
        <f t="shared" si="7"/>
        <v>0</v>
      </c>
      <c r="AF24" s="28">
        <f t="shared" si="8"/>
        <v>54266208.750000007</v>
      </c>
      <c r="AG24" s="28">
        <f t="shared" si="9"/>
        <v>52685.639563106801</v>
      </c>
    </row>
    <row r="25" spans="1:33" ht="86.4" x14ac:dyDescent="0.3">
      <c r="A25" s="41" t="s">
        <v>983</v>
      </c>
      <c r="B25" s="41" t="s">
        <v>1255</v>
      </c>
      <c r="C25" s="41" t="s">
        <v>1256</v>
      </c>
      <c r="D25" s="41" t="s">
        <v>1268</v>
      </c>
      <c r="E25" s="41" t="s">
        <v>1272</v>
      </c>
      <c r="F25" s="41" t="s">
        <v>712</v>
      </c>
      <c r="G25" s="85">
        <f>1999.2/7</f>
        <v>285.60000000000002</v>
      </c>
      <c r="H25" s="41">
        <f>2*25*9</f>
        <v>450</v>
      </c>
      <c r="I25" s="41">
        <f>5*3</f>
        <v>15</v>
      </c>
      <c r="J25" s="41">
        <f t="shared" si="0"/>
        <v>1927800.0000000002</v>
      </c>
      <c r="K25" s="41">
        <f>2*25*9</f>
        <v>450</v>
      </c>
      <c r="L25" s="41">
        <f>5*3</f>
        <v>15</v>
      </c>
      <c r="M25" s="41">
        <f t="shared" si="1"/>
        <v>2120580</v>
      </c>
      <c r="N25" s="41">
        <v>0</v>
      </c>
      <c r="O25" s="41">
        <v>0</v>
      </c>
      <c r="P25" s="41">
        <f t="shared" si="2"/>
        <v>0</v>
      </c>
      <c r="Q25" s="41">
        <v>0</v>
      </c>
      <c r="R25" s="41">
        <v>0</v>
      </c>
      <c r="S25" s="41">
        <f t="shared" si="3"/>
        <v>0</v>
      </c>
      <c r="T25" s="41">
        <v>0</v>
      </c>
      <c r="U25" s="41">
        <v>0</v>
      </c>
      <c r="V25" s="41">
        <f t="shared" si="4"/>
        <v>0</v>
      </c>
      <c r="W25" s="41">
        <f>2*25*9</f>
        <v>450</v>
      </c>
      <c r="X25" s="41">
        <f>5*3</f>
        <v>15</v>
      </c>
      <c r="Y25" s="41">
        <f t="shared" si="5"/>
        <v>3104741.1780000012</v>
      </c>
      <c r="AB25" s="41">
        <f t="shared" si="6"/>
        <v>0</v>
      </c>
      <c r="AE25" s="41">
        <f t="shared" si="7"/>
        <v>0</v>
      </c>
      <c r="AF25" s="28">
        <f t="shared" si="8"/>
        <v>7153121.1780000012</v>
      </c>
      <c r="AG25" s="28">
        <f t="shared" si="9"/>
        <v>6944.7778427184476</v>
      </c>
    </row>
    <row r="26" spans="1:33" ht="86.4" x14ac:dyDescent="0.3">
      <c r="A26" s="41" t="s">
        <v>983</v>
      </c>
      <c r="B26" s="41" t="s">
        <v>1255</v>
      </c>
      <c r="C26" s="41" t="s">
        <v>1256</v>
      </c>
      <c r="D26" s="41" t="s">
        <v>1268</v>
      </c>
      <c r="E26" s="41" t="s">
        <v>1272</v>
      </c>
      <c r="F26" s="41" t="s">
        <v>1299</v>
      </c>
      <c r="G26" s="85">
        <f>1999.2/7</f>
        <v>285.60000000000002</v>
      </c>
      <c r="H26" s="41">
        <f>2*135*9</f>
        <v>2430</v>
      </c>
      <c r="I26" s="41">
        <v>1</v>
      </c>
      <c r="J26" s="41">
        <f t="shared" si="0"/>
        <v>694008</v>
      </c>
      <c r="K26" s="41">
        <f>2*135*9</f>
        <v>2430</v>
      </c>
      <c r="L26" s="41">
        <v>1</v>
      </c>
      <c r="M26" s="41">
        <f t="shared" si="1"/>
        <v>763408.8</v>
      </c>
      <c r="N26" s="41"/>
      <c r="O26" s="41"/>
      <c r="P26" s="41">
        <f t="shared" si="2"/>
        <v>0</v>
      </c>
      <c r="Q26" s="41"/>
      <c r="R26" s="41"/>
      <c r="S26" s="41">
        <f t="shared" si="3"/>
        <v>0</v>
      </c>
      <c r="T26" s="41"/>
      <c r="U26" s="41"/>
      <c r="V26" s="41">
        <f t="shared" si="4"/>
        <v>0</v>
      </c>
      <c r="W26" s="41">
        <f>2*135*9</f>
        <v>2430</v>
      </c>
      <c r="X26" s="41">
        <v>1</v>
      </c>
      <c r="Y26" s="41">
        <f t="shared" si="5"/>
        <v>1117706.8240800004</v>
      </c>
      <c r="AB26" s="41">
        <f t="shared" si="6"/>
        <v>0</v>
      </c>
      <c r="AE26" s="41">
        <f t="shared" si="7"/>
        <v>0</v>
      </c>
      <c r="AF26" s="28">
        <f t="shared" si="8"/>
        <v>2575123.6240800004</v>
      </c>
      <c r="AG26" s="28">
        <f t="shared" si="9"/>
        <v>2500.1200233786412</v>
      </c>
    </row>
    <row r="27" spans="1:33" ht="86.4" x14ac:dyDescent="0.3">
      <c r="A27" s="41" t="s">
        <v>983</v>
      </c>
      <c r="B27" s="41" t="s">
        <v>1255</v>
      </c>
      <c r="C27" s="41" t="s">
        <v>1256</v>
      </c>
      <c r="D27" s="41" t="s">
        <v>1268</v>
      </c>
      <c r="E27" s="41" t="s">
        <v>1156</v>
      </c>
      <c r="F27" s="41" t="s">
        <v>709</v>
      </c>
      <c r="G27" s="41">
        <v>35000</v>
      </c>
      <c r="H27" s="41">
        <v>100</v>
      </c>
      <c r="I27" s="41">
        <v>5</v>
      </c>
      <c r="J27" s="41">
        <f t="shared" si="0"/>
        <v>17500000</v>
      </c>
      <c r="K27" s="41">
        <v>100</v>
      </c>
      <c r="L27" s="41">
        <v>5</v>
      </c>
      <c r="M27" s="41">
        <f t="shared" si="1"/>
        <v>19250000</v>
      </c>
      <c r="N27" s="41">
        <v>0</v>
      </c>
      <c r="O27" s="41">
        <v>0</v>
      </c>
      <c r="P27" s="41">
        <f t="shared" si="2"/>
        <v>0</v>
      </c>
      <c r="Q27" s="41">
        <v>0</v>
      </c>
      <c r="R27" s="41">
        <v>0</v>
      </c>
      <c r="S27" s="41">
        <f t="shared" si="3"/>
        <v>0</v>
      </c>
      <c r="T27" s="41">
        <v>0</v>
      </c>
      <c r="U27" s="41">
        <v>0</v>
      </c>
      <c r="V27" s="41">
        <f t="shared" si="4"/>
        <v>0</v>
      </c>
      <c r="W27" s="41">
        <v>100</v>
      </c>
      <c r="X27" s="41">
        <v>5</v>
      </c>
      <c r="Y27" s="41">
        <f t="shared" si="5"/>
        <v>28183925.000000007</v>
      </c>
      <c r="AB27" s="41">
        <f t="shared" si="6"/>
        <v>0</v>
      </c>
      <c r="AE27" s="41">
        <f t="shared" si="7"/>
        <v>0</v>
      </c>
      <c r="AF27" s="28">
        <f t="shared" si="8"/>
        <v>64933925.000000007</v>
      </c>
      <c r="AG27" s="28">
        <f t="shared" si="9"/>
        <v>63042.645631067971</v>
      </c>
    </row>
    <row r="28" spans="1:33" ht="86.4" x14ac:dyDescent="0.3">
      <c r="A28" s="41" t="s">
        <v>983</v>
      </c>
      <c r="B28" s="41" t="s">
        <v>1255</v>
      </c>
      <c r="C28" s="41" t="s">
        <v>1256</v>
      </c>
      <c r="D28" s="41" t="s">
        <v>1268</v>
      </c>
      <c r="E28" s="41" t="s">
        <v>1156</v>
      </c>
      <c r="F28" s="41" t="s">
        <v>716</v>
      </c>
      <c r="G28" s="41">
        <v>39000</v>
      </c>
      <c r="H28" s="41">
        <v>58</v>
      </c>
      <c r="I28" s="41">
        <v>5</v>
      </c>
      <c r="J28" s="41">
        <f t="shared" si="0"/>
        <v>11310000</v>
      </c>
      <c r="K28" s="41">
        <v>58</v>
      </c>
      <c r="L28" s="41">
        <v>5</v>
      </c>
      <c r="M28" s="41">
        <f t="shared" si="1"/>
        <v>12441000</v>
      </c>
      <c r="N28" s="41">
        <v>0</v>
      </c>
      <c r="O28" s="41">
        <v>0</v>
      </c>
      <c r="P28" s="41">
        <f t="shared" si="2"/>
        <v>0</v>
      </c>
      <c r="Q28" s="41">
        <v>0</v>
      </c>
      <c r="R28" s="41">
        <v>0</v>
      </c>
      <c r="S28" s="41">
        <f t="shared" si="3"/>
        <v>0</v>
      </c>
      <c r="T28" s="41">
        <v>0</v>
      </c>
      <c r="U28" s="41">
        <v>0</v>
      </c>
      <c r="V28" s="41">
        <f t="shared" si="4"/>
        <v>0</v>
      </c>
      <c r="W28" s="41">
        <v>58</v>
      </c>
      <c r="X28" s="41">
        <v>5</v>
      </c>
      <c r="Y28" s="41">
        <f t="shared" si="5"/>
        <v>18214868.100000005</v>
      </c>
      <c r="AB28" s="41">
        <f t="shared" si="6"/>
        <v>0</v>
      </c>
      <c r="AE28" s="41">
        <f t="shared" si="7"/>
        <v>0</v>
      </c>
      <c r="AF28" s="28">
        <f t="shared" si="8"/>
        <v>41965868.100000009</v>
      </c>
      <c r="AG28" s="28">
        <f t="shared" si="9"/>
        <v>40743.561262135932</v>
      </c>
    </row>
    <row r="29" spans="1:33" ht="86.4" x14ac:dyDescent="0.3">
      <c r="A29" s="41" t="s">
        <v>983</v>
      </c>
      <c r="B29" s="41" t="s">
        <v>1255</v>
      </c>
      <c r="C29" s="41" t="s">
        <v>1256</v>
      </c>
      <c r="D29" s="41" t="s">
        <v>1268</v>
      </c>
      <c r="E29" s="41" t="s">
        <v>1156</v>
      </c>
      <c r="F29" s="41" t="s">
        <v>712</v>
      </c>
      <c r="G29" s="85">
        <f>1999.2/7</f>
        <v>285.60000000000002</v>
      </c>
      <c r="H29" s="41">
        <f>2*25*29</f>
        <v>1450</v>
      </c>
      <c r="I29" s="41">
        <v>5</v>
      </c>
      <c r="J29" s="41">
        <f t="shared" si="0"/>
        <v>2070600.0000000002</v>
      </c>
      <c r="K29" s="41">
        <f>2*25*29</f>
        <v>1450</v>
      </c>
      <c r="L29" s="41">
        <v>5</v>
      </c>
      <c r="M29" s="41">
        <f t="shared" si="1"/>
        <v>2277660.0000000005</v>
      </c>
      <c r="N29" s="41"/>
      <c r="O29" s="41"/>
      <c r="P29" s="41">
        <f t="shared" si="2"/>
        <v>0</v>
      </c>
      <c r="Q29" s="41"/>
      <c r="R29" s="41"/>
      <c r="S29" s="41">
        <f t="shared" si="3"/>
        <v>0</v>
      </c>
      <c r="T29" s="41"/>
      <c r="U29" s="41"/>
      <c r="V29" s="41">
        <f t="shared" si="4"/>
        <v>0</v>
      </c>
      <c r="W29" s="41">
        <f>2*25*29</f>
        <v>1450</v>
      </c>
      <c r="X29" s="41">
        <v>5</v>
      </c>
      <c r="Y29" s="41">
        <f t="shared" si="5"/>
        <v>3334722.006000001</v>
      </c>
      <c r="AB29" s="41">
        <f t="shared" si="6"/>
        <v>0</v>
      </c>
      <c r="AE29" s="41">
        <f t="shared" si="7"/>
        <v>0</v>
      </c>
      <c r="AF29" s="28">
        <f t="shared" si="8"/>
        <v>7682982.0060000019</v>
      </c>
      <c r="AG29" s="28">
        <f t="shared" si="9"/>
        <v>7459.2058310679631</v>
      </c>
    </row>
    <row r="30" spans="1:33" ht="86.4" x14ac:dyDescent="0.3">
      <c r="A30" s="41" t="s">
        <v>983</v>
      </c>
      <c r="B30" s="41" t="s">
        <v>1255</v>
      </c>
      <c r="C30" s="41" t="s">
        <v>1256</v>
      </c>
      <c r="D30" s="41" t="s">
        <v>1268</v>
      </c>
      <c r="E30" s="41" t="s">
        <v>1156</v>
      </c>
      <c r="F30" s="41" t="s">
        <v>1299</v>
      </c>
      <c r="G30" s="85">
        <f>1999.2/7</f>
        <v>285.60000000000002</v>
      </c>
      <c r="H30" s="41">
        <v>22500</v>
      </c>
      <c r="I30" s="41">
        <v>1</v>
      </c>
      <c r="J30" s="41">
        <f t="shared" si="0"/>
        <v>6426000.0000000009</v>
      </c>
      <c r="K30" s="41">
        <v>22500</v>
      </c>
      <c r="L30" s="41">
        <v>1</v>
      </c>
      <c r="M30" s="41">
        <f t="shared" si="1"/>
        <v>7068600.0000000009</v>
      </c>
      <c r="N30" s="41"/>
      <c r="O30" s="41"/>
      <c r="P30" s="41">
        <f t="shared" si="2"/>
        <v>0</v>
      </c>
      <c r="Q30" s="41"/>
      <c r="R30" s="41"/>
      <c r="S30" s="41">
        <f t="shared" si="3"/>
        <v>0</v>
      </c>
      <c r="T30" s="41"/>
      <c r="U30" s="41"/>
      <c r="V30" s="41">
        <f t="shared" si="4"/>
        <v>0</v>
      </c>
      <c r="W30" s="41">
        <v>22500</v>
      </c>
      <c r="X30" s="41">
        <v>1</v>
      </c>
      <c r="Y30" s="41">
        <f t="shared" si="5"/>
        <v>10349137.260000004</v>
      </c>
      <c r="AB30" s="41">
        <f t="shared" si="6"/>
        <v>0</v>
      </c>
      <c r="AE30" s="41">
        <f t="shared" si="7"/>
        <v>0</v>
      </c>
      <c r="AF30" s="28">
        <f t="shared" si="8"/>
        <v>23843737.260000005</v>
      </c>
      <c r="AG30" s="28">
        <f t="shared" si="9"/>
        <v>23149.259475728162</v>
      </c>
    </row>
    <row r="31" spans="1:33" ht="86.4" x14ac:dyDescent="0.3">
      <c r="A31" s="41" t="s">
        <v>983</v>
      </c>
      <c r="B31" s="41" t="s">
        <v>1255</v>
      </c>
      <c r="C31" s="41" t="s">
        <v>1256</v>
      </c>
      <c r="D31" s="41" t="s">
        <v>1268</v>
      </c>
      <c r="E31" s="41" t="s">
        <v>1156</v>
      </c>
      <c r="F31" s="41" t="s">
        <v>711</v>
      </c>
      <c r="G31" s="41">
        <v>70</v>
      </c>
      <c r="H31" s="41">
        <v>0</v>
      </c>
      <c r="I31" s="41">
        <v>0</v>
      </c>
      <c r="J31" s="41">
        <f t="shared" si="0"/>
        <v>0</v>
      </c>
      <c r="K31" s="41">
        <v>0</v>
      </c>
      <c r="L31" s="41">
        <v>0</v>
      </c>
      <c r="M31" s="41">
        <f t="shared" si="1"/>
        <v>0</v>
      </c>
      <c r="N31" s="41">
        <v>0</v>
      </c>
      <c r="O31" s="41">
        <v>0</v>
      </c>
      <c r="P31" s="41">
        <f t="shared" si="2"/>
        <v>0</v>
      </c>
      <c r="Q31" s="41">
        <v>0</v>
      </c>
      <c r="R31" s="41">
        <v>0</v>
      </c>
      <c r="S31" s="41">
        <f t="shared" si="3"/>
        <v>0</v>
      </c>
      <c r="T31" s="41">
        <v>0</v>
      </c>
      <c r="U31" s="41">
        <v>0</v>
      </c>
      <c r="V31" s="41">
        <f t="shared" si="4"/>
        <v>0</v>
      </c>
      <c r="W31" s="41">
        <v>0</v>
      </c>
      <c r="X31" s="41">
        <v>0</v>
      </c>
      <c r="Y31" s="41">
        <f t="shared" si="5"/>
        <v>0</v>
      </c>
      <c r="AB31" s="41">
        <f t="shared" si="6"/>
        <v>0</v>
      </c>
      <c r="AE31" s="41">
        <f t="shared" si="7"/>
        <v>0</v>
      </c>
      <c r="AF31" s="28">
        <f t="shared" si="8"/>
        <v>0</v>
      </c>
      <c r="AG31" s="28">
        <f t="shared" si="9"/>
        <v>0</v>
      </c>
    </row>
    <row r="32" spans="1:33" ht="86.4" x14ac:dyDescent="0.3">
      <c r="A32" s="41" t="s">
        <v>983</v>
      </c>
      <c r="B32" s="41" t="s">
        <v>1255</v>
      </c>
      <c r="C32" s="41" t="s">
        <v>1256</v>
      </c>
      <c r="D32" s="41" t="s">
        <v>1268</v>
      </c>
      <c r="E32" s="41" t="s">
        <v>1156</v>
      </c>
      <c r="F32" s="41" t="s">
        <v>710</v>
      </c>
      <c r="G32" s="41">
        <v>104850</v>
      </c>
      <c r="H32" s="41">
        <v>1</v>
      </c>
      <c r="I32" s="41">
        <v>1</v>
      </c>
      <c r="J32" s="41">
        <f t="shared" si="0"/>
        <v>104850</v>
      </c>
      <c r="K32" s="41">
        <v>1</v>
      </c>
      <c r="L32" s="41">
        <v>1</v>
      </c>
      <c r="M32" s="41">
        <f t="shared" si="1"/>
        <v>115335.00000000001</v>
      </c>
      <c r="N32" s="41">
        <v>0</v>
      </c>
      <c r="O32" s="41">
        <v>0</v>
      </c>
      <c r="P32" s="41">
        <f t="shared" si="2"/>
        <v>0</v>
      </c>
      <c r="Q32" s="41">
        <v>0</v>
      </c>
      <c r="R32" s="41">
        <v>0</v>
      </c>
      <c r="S32" s="41">
        <f t="shared" si="3"/>
        <v>0</v>
      </c>
      <c r="T32" s="41">
        <v>0</v>
      </c>
      <c r="U32" s="41">
        <v>0</v>
      </c>
      <c r="V32" s="41">
        <f t="shared" si="4"/>
        <v>0</v>
      </c>
      <c r="W32" s="41">
        <v>1</v>
      </c>
      <c r="X32" s="41">
        <v>1</v>
      </c>
      <c r="Y32" s="41">
        <f t="shared" si="5"/>
        <v>168861.97350000005</v>
      </c>
      <c r="AB32" s="41">
        <f t="shared" si="6"/>
        <v>0</v>
      </c>
      <c r="AE32" s="41">
        <f t="shared" si="7"/>
        <v>0</v>
      </c>
      <c r="AF32" s="28">
        <f t="shared" si="8"/>
        <v>389046.97350000008</v>
      </c>
      <c r="AG32" s="28">
        <f t="shared" si="9"/>
        <v>377.71550825242724</v>
      </c>
    </row>
    <row r="33" spans="1:51" ht="86.4" x14ac:dyDescent="0.3">
      <c r="A33" s="41" t="s">
        <v>983</v>
      </c>
      <c r="B33" s="41" t="s">
        <v>1255</v>
      </c>
      <c r="C33" s="41" t="s">
        <v>1256</v>
      </c>
      <c r="D33" s="41" t="s">
        <v>1268</v>
      </c>
      <c r="E33" s="41" t="s">
        <v>1156</v>
      </c>
      <c r="F33" s="41" t="s">
        <v>712</v>
      </c>
      <c r="G33" s="85">
        <f>1999.2/7</f>
        <v>285.60000000000002</v>
      </c>
      <c r="H33" s="41">
        <v>0</v>
      </c>
      <c r="I33" s="41">
        <v>0</v>
      </c>
      <c r="J33" s="41">
        <f t="shared" si="0"/>
        <v>0</v>
      </c>
      <c r="K33" s="41">
        <v>0</v>
      </c>
      <c r="L33" s="41">
        <v>0</v>
      </c>
      <c r="M33" s="41">
        <f t="shared" si="1"/>
        <v>0</v>
      </c>
      <c r="N33" s="41">
        <v>0</v>
      </c>
      <c r="O33" s="41">
        <v>0</v>
      </c>
      <c r="P33" s="41">
        <f t="shared" si="2"/>
        <v>0</v>
      </c>
      <c r="Q33" s="41">
        <v>0</v>
      </c>
      <c r="R33" s="41">
        <v>0</v>
      </c>
      <c r="S33" s="41">
        <f t="shared" si="3"/>
        <v>0</v>
      </c>
      <c r="T33" s="41">
        <v>0</v>
      </c>
      <c r="U33" s="41">
        <v>0</v>
      </c>
      <c r="V33" s="41">
        <f t="shared" si="4"/>
        <v>0</v>
      </c>
      <c r="W33" s="41">
        <v>0</v>
      </c>
      <c r="X33" s="41">
        <v>0</v>
      </c>
      <c r="Y33" s="41">
        <f t="shared" si="5"/>
        <v>0</v>
      </c>
      <c r="AB33" s="41">
        <f t="shared" si="6"/>
        <v>0</v>
      </c>
      <c r="AE33" s="41">
        <f t="shared" si="7"/>
        <v>0</v>
      </c>
      <c r="AF33" s="28">
        <f t="shared" si="8"/>
        <v>0</v>
      </c>
      <c r="AG33" s="28">
        <f t="shared" si="9"/>
        <v>0</v>
      </c>
    </row>
    <row r="34" spans="1:51" x14ac:dyDescent="0.3">
      <c r="A34" s="53" t="s">
        <v>1296</v>
      </c>
      <c r="B34" s="63"/>
      <c r="C34" s="63"/>
      <c r="D34" s="63"/>
      <c r="E34" s="63"/>
      <c r="F34" s="63"/>
      <c r="G34" s="63"/>
      <c r="H34" s="63"/>
      <c r="I34" s="63"/>
      <c r="J34" s="63">
        <f>SUM(J2:J33)</f>
        <v>226048962</v>
      </c>
      <c r="K34" s="63"/>
      <c r="L34" s="63"/>
      <c r="M34" s="63">
        <f>SUM(M2:M33)</f>
        <v>4070892410.2000003</v>
      </c>
      <c r="N34" s="63"/>
      <c r="O34" s="63"/>
      <c r="P34" s="63">
        <f>SUM(P2:P33)</f>
        <v>0</v>
      </c>
      <c r="Q34" s="63"/>
      <c r="R34" s="63"/>
      <c r="S34" s="63">
        <f>SUM(S2:S33)</f>
        <v>0</v>
      </c>
      <c r="T34" s="63"/>
      <c r="U34" s="63"/>
      <c r="V34" s="63">
        <f>SUM(V2:V33)</f>
        <v>159132747.89280006</v>
      </c>
      <c r="W34" s="62"/>
      <c r="X34" s="62"/>
      <c r="Y34" s="63">
        <f>SUM(Y2:Y33)</f>
        <v>167844263.24182007</v>
      </c>
      <c r="Z34" s="62"/>
      <c r="AA34" s="62"/>
      <c r="AB34" s="63">
        <f>SUM(AB2:AB33)</f>
        <v>161200004.38520005</v>
      </c>
      <c r="AC34" s="62"/>
      <c r="AD34" s="62"/>
      <c r="AE34" s="63">
        <f>SUM(AE2:AE33)</f>
        <v>0</v>
      </c>
      <c r="AF34" s="20">
        <f t="shared" si="8"/>
        <v>4785118387.7198219</v>
      </c>
      <c r="AG34" s="20">
        <f t="shared" si="9"/>
        <v>4645746.007494973</v>
      </c>
      <c r="AH34" s="62"/>
      <c r="AI34" s="62"/>
    </row>
    <row r="35" spans="1:51" s="94" customFormat="1" x14ac:dyDescent="0.3">
      <c r="A35" s="118" t="s">
        <v>1296</v>
      </c>
      <c r="B35" s="91"/>
      <c r="C35" s="91"/>
      <c r="D35" s="91"/>
      <c r="E35" s="91"/>
      <c r="F35" s="91"/>
      <c r="G35" s="91"/>
      <c r="H35" s="91"/>
      <c r="I35" s="91"/>
      <c r="J35" s="91">
        <f>J34/$AL$2</f>
        <v>219465.01165048542</v>
      </c>
      <c r="K35" s="91"/>
      <c r="L35" s="91"/>
      <c r="M35" s="91">
        <f>M34/$AL$2</f>
        <v>3952322.7283495148</v>
      </c>
      <c r="N35" s="91"/>
      <c r="O35" s="91"/>
      <c r="P35" s="91">
        <f>P34/$AL$2</f>
        <v>0</v>
      </c>
      <c r="Q35" s="91"/>
      <c r="R35" s="91"/>
      <c r="S35" s="91">
        <f>S34/$AL$2</f>
        <v>0</v>
      </c>
      <c r="T35" s="91"/>
      <c r="U35" s="91"/>
      <c r="V35" s="91">
        <f>V34/$AL$2</f>
        <v>154497.8134881554</v>
      </c>
      <c r="Y35" s="91">
        <f>Y34/$AL$2</f>
        <v>162955.59538040785</v>
      </c>
      <c r="AB35" s="91">
        <f>AB34/$AL$2</f>
        <v>156504.85862640783</v>
      </c>
      <c r="AE35" s="91">
        <f>AE34/$AL$2</f>
        <v>0</v>
      </c>
      <c r="AF35" s="95">
        <f t="shared" si="8"/>
        <v>4645746.0074949712</v>
      </c>
      <c r="AG35" s="95">
        <f t="shared" si="9"/>
        <v>4510.4330169854093</v>
      </c>
    </row>
    <row r="36" spans="1:51" ht="72" x14ac:dyDescent="0.3">
      <c r="A36" s="41" t="s">
        <v>983</v>
      </c>
      <c r="B36" s="41" t="s">
        <v>1255</v>
      </c>
      <c r="C36" s="41" t="s">
        <v>1273</v>
      </c>
      <c r="D36" s="41" t="s">
        <v>1370</v>
      </c>
      <c r="E36" s="41" t="s">
        <v>1275</v>
      </c>
      <c r="F36" s="41" t="s">
        <v>709</v>
      </c>
      <c r="G36" s="41">
        <v>35000</v>
      </c>
      <c r="H36" s="41">
        <v>25</v>
      </c>
      <c r="I36" s="41">
        <v>5</v>
      </c>
      <c r="J36" s="41">
        <f t="shared" si="0"/>
        <v>4375000</v>
      </c>
      <c r="K36" s="41">
        <v>20000</v>
      </c>
      <c r="L36" s="41">
        <v>1</v>
      </c>
      <c r="M36" s="41">
        <f t="shared" si="1"/>
        <v>770000000</v>
      </c>
      <c r="N36" s="41">
        <v>25</v>
      </c>
      <c r="O36" s="41">
        <v>5</v>
      </c>
      <c r="P36" s="41">
        <f t="shared" si="2"/>
        <v>5293750.0000000009</v>
      </c>
      <c r="Q36" s="41">
        <v>0</v>
      </c>
      <c r="R36" s="41">
        <v>0</v>
      </c>
      <c r="S36" s="41">
        <f t="shared" si="3"/>
        <v>0</v>
      </c>
      <c r="T36" s="41">
        <v>0</v>
      </c>
      <c r="U36" s="41">
        <v>0</v>
      </c>
      <c r="V36" s="41">
        <f t="shared" si="4"/>
        <v>0</v>
      </c>
      <c r="Y36" s="41">
        <f t="shared" si="5"/>
        <v>0</v>
      </c>
      <c r="AB36" s="41">
        <f t="shared" si="6"/>
        <v>0</v>
      </c>
      <c r="AC36" s="41">
        <v>25</v>
      </c>
      <c r="AD36" s="41">
        <v>5</v>
      </c>
      <c r="AE36" s="41">
        <f t="shared" si="7"/>
        <v>8525637.3125000037</v>
      </c>
      <c r="AF36" s="28">
        <f t="shared" si="8"/>
        <v>788194387.3125</v>
      </c>
      <c r="AG36" s="28">
        <f t="shared" si="9"/>
        <v>765237.26923543692</v>
      </c>
    </row>
    <row r="37" spans="1:51" ht="72" x14ac:dyDescent="0.3">
      <c r="A37" s="41" t="s">
        <v>983</v>
      </c>
      <c r="B37" s="41" t="s">
        <v>1255</v>
      </c>
      <c r="C37" s="41" t="s">
        <v>1273</v>
      </c>
      <c r="D37" s="41" t="s">
        <v>1370</v>
      </c>
      <c r="E37" s="41" t="s">
        <v>1275</v>
      </c>
      <c r="F37" s="41" t="s">
        <v>716</v>
      </c>
      <c r="G37" s="41">
        <v>39000</v>
      </c>
      <c r="H37" s="41">
        <v>25</v>
      </c>
      <c r="I37" s="41">
        <v>6</v>
      </c>
      <c r="J37" s="41">
        <f t="shared" si="0"/>
        <v>5850000</v>
      </c>
      <c r="K37" s="41">
        <v>0</v>
      </c>
      <c r="L37" s="41">
        <v>0</v>
      </c>
      <c r="M37" s="41">
        <f t="shared" si="1"/>
        <v>0</v>
      </c>
      <c r="N37" s="41">
        <v>25</v>
      </c>
      <c r="O37" s="41">
        <v>6</v>
      </c>
      <c r="P37" s="41">
        <f t="shared" si="2"/>
        <v>7078500.0000000019</v>
      </c>
      <c r="Q37" s="41">
        <v>0</v>
      </c>
      <c r="R37" s="41">
        <v>0</v>
      </c>
      <c r="S37" s="41">
        <f t="shared" si="3"/>
        <v>0</v>
      </c>
      <c r="T37" s="41">
        <v>15</v>
      </c>
      <c r="U37" s="41">
        <v>5</v>
      </c>
      <c r="V37" s="41">
        <f t="shared" si="4"/>
        <v>4282492.5000000009</v>
      </c>
      <c r="Y37" s="41">
        <f t="shared" si="5"/>
        <v>0</v>
      </c>
      <c r="AB37" s="41">
        <f t="shared" si="6"/>
        <v>0</v>
      </c>
      <c r="AC37" s="41">
        <v>25</v>
      </c>
      <c r="AD37" s="41">
        <v>6</v>
      </c>
      <c r="AE37" s="41">
        <f t="shared" si="7"/>
        <v>11399995.035000006</v>
      </c>
      <c r="AF37" s="28">
        <f t="shared" si="8"/>
        <v>28610987.535000011</v>
      </c>
      <c r="AG37" s="28">
        <f t="shared" si="9"/>
        <v>27777.657800970886</v>
      </c>
    </row>
    <row r="38" spans="1:51" ht="72" x14ac:dyDescent="0.3">
      <c r="A38" s="41" t="s">
        <v>983</v>
      </c>
      <c r="B38" s="41" t="s">
        <v>1255</v>
      </c>
      <c r="C38" s="41" t="s">
        <v>1273</v>
      </c>
      <c r="D38" s="41" t="s">
        <v>1370</v>
      </c>
      <c r="E38" s="41" t="s">
        <v>1275</v>
      </c>
      <c r="F38" s="41" t="s">
        <v>712</v>
      </c>
      <c r="G38" s="85">
        <f>1999.2/7</f>
        <v>285.60000000000002</v>
      </c>
      <c r="H38" s="41">
        <f>2*25*9</f>
        <v>450</v>
      </c>
      <c r="I38" s="41">
        <v>5</v>
      </c>
      <c r="J38" s="41">
        <f t="shared" si="0"/>
        <v>642600.00000000012</v>
      </c>
      <c r="K38" s="41">
        <v>0</v>
      </c>
      <c r="L38" s="41">
        <v>0</v>
      </c>
      <c r="M38" s="41">
        <f t="shared" si="1"/>
        <v>0</v>
      </c>
      <c r="N38" s="41">
        <f>2*25*9</f>
        <v>450</v>
      </c>
      <c r="O38" s="41">
        <v>5</v>
      </c>
      <c r="P38" s="41">
        <f t="shared" si="2"/>
        <v>777546.00000000023</v>
      </c>
      <c r="Q38" s="41">
        <v>0</v>
      </c>
      <c r="R38" s="41">
        <v>0</v>
      </c>
      <c r="S38" s="41">
        <f t="shared" si="3"/>
        <v>0</v>
      </c>
      <c r="T38" s="41">
        <v>15</v>
      </c>
      <c r="U38" s="41">
        <v>5</v>
      </c>
      <c r="V38" s="41">
        <f t="shared" si="4"/>
        <v>31361.022000000012</v>
      </c>
      <c r="Y38" s="41">
        <f t="shared" si="5"/>
        <v>0</v>
      </c>
      <c r="AB38" s="41">
        <f t="shared" si="6"/>
        <v>0</v>
      </c>
      <c r="AC38" s="41">
        <f>2*25*9</f>
        <v>450</v>
      </c>
      <c r="AD38" s="41">
        <v>5</v>
      </c>
      <c r="AE38" s="41">
        <f t="shared" si="7"/>
        <v>1252245.6084600009</v>
      </c>
      <c r="AF38" s="28">
        <f t="shared" si="8"/>
        <v>2703752.6304600015</v>
      </c>
      <c r="AG38" s="28">
        <f t="shared" si="9"/>
        <v>2625.0025538446616</v>
      </c>
    </row>
    <row r="39" spans="1:51" ht="72" x14ac:dyDescent="0.3">
      <c r="A39" s="41" t="s">
        <v>983</v>
      </c>
      <c r="B39" s="41" t="s">
        <v>1255</v>
      </c>
      <c r="C39" s="41" t="s">
        <v>1273</v>
      </c>
      <c r="D39" s="41" t="s">
        <v>1370</v>
      </c>
      <c r="E39" s="41" t="s">
        <v>1275</v>
      </c>
      <c r="F39" s="41" t="s">
        <v>1299</v>
      </c>
      <c r="G39" s="85">
        <f>1999.2/7</f>
        <v>285.60000000000002</v>
      </c>
      <c r="H39" s="41">
        <f>2*135*9</f>
        <v>2430</v>
      </c>
      <c r="I39" s="41">
        <v>1</v>
      </c>
      <c r="J39" s="41">
        <f t="shared" si="0"/>
        <v>694008</v>
      </c>
      <c r="K39" s="41"/>
      <c r="L39" s="41"/>
      <c r="M39" s="41">
        <f t="shared" si="1"/>
        <v>0</v>
      </c>
      <c r="N39" s="41">
        <f>2*135*9</f>
        <v>2430</v>
      </c>
      <c r="O39" s="41">
        <v>1</v>
      </c>
      <c r="P39" s="41">
        <f t="shared" si="2"/>
        <v>839749.68000000017</v>
      </c>
      <c r="Q39" s="41"/>
      <c r="R39" s="41"/>
      <c r="S39" s="41">
        <f t="shared" si="3"/>
        <v>0</v>
      </c>
      <c r="T39" s="41"/>
      <c r="U39" s="41"/>
      <c r="V39" s="41">
        <f t="shared" si="4"/>
        <v>0</v>
      </c>
      <c r="Y39" s="41">
        <f t="shared" si="5"/>
        <v>0</v>
      </c>
      <c r="AB39" s="41">
        <f t="shared" si="6"/>
        <v>0</v>
      </c>
      <c r="AC39" s="41">
        <f>2*135*9</f>
        <v>2430</v>
      </c>
      <c r="AD39" s="41">
        <v>1</v>
      </c>
      <c r="AE39" s="41">
        <f t="shared" si="7"/>
        <v>1352425.257136801</v>
      </c>
      <c r="AF39" s="28">
        <f t="shared" si="8"/>
        <v>2886182.937136801</v>
      </c>
      <c r="AG39" s="28">
        <f t="shared" si="9"/>
        <v>2802.1193564434961</v>
      </c>
    </row>
    <row r="40" spans="1:51" x14ac:dyDescent="0.3">
      <c r="A40" s="53" t="s">
        <v>1296</v>
      </c>
      <c r="B40" s="63"/>
      <c r="C40" s="63"/>
      <c r="D40" s="63"/>
      <c r="E40" s="63"/>
      <c r="F40" s="63"/>
      <c r="G40" s="63"/>
      <c r="H40" s="63"/>
      <c r="I40" s="63"/>
      <c r="J40" s="63">
        <f>SUM(J36:J39)</f>
        <v>11561608</v>
      </c>
      <c r="K40" s="63"/>
      <c r="L40" s="63"/>
      <c r="M40" s="63">
        <f>SUM(M36:M39)</f>
        <v>770000000</v>
      </c>
      <c r="N40" s="63"/>
      <c r="O40" s="63"/>
      <c r="P40" s="63">
        <f>SUM(P36:P39)</f>
        <v>13989545.680000003</v>
      </c>
      <c r="Q40" s="63"/>
      <c r="R40" s="63"/>
      <c r="S40" s="63">
        <f>SUM(S36:S39)</f>
        <v>0</v>
      </c>
      <c r="T40" s="63"/>
      <c r="U40" s="63"/>
      <c r="V40" s="63">
        <f>SUM(V36:V39)</f>
        <v>4313853.5220000008</v>
      </c>
      <c r="W40" s="62"/>
      <c r="X40" s="62"/>
      <c r="Y40" s="63">
        <f>SUM(Y36:Y39)</f>
        <v>0</v>
      </c>
      <c r="Z40" s="62"/>
      <c r="AA40" s="62"/>
      <c r="AB40" s="63">
        <f>SUM(AB36:AB39)</f>
        <v>0</v>
      </c>
      <c r="AC40" s="62"/>
      <c r="AD40" s="62"/>
      <c r="AE40" s="63">
        <f>SUM(AE36:AE39)</f>
        <v>22530303.213096812</v>
      </c>
      <c r="AF40" s="20">
        <f t="shared" si="8"/>
        <v>822395310.41509676</v>
      </c>
      <c r="AG40" s="20">
        <f t="shared" si="9"/>
        <v>798442.04894669587</v>
      </c>
      <c r="AH40" s="62"/>
      <c r="AI40" s="62"/>
      <c r="AJ40" s="62"/>
      <c r="AK40" s="62"/>
      <c r="AL40" s="62"/>
      <c r="AM40" s="62"/>
      <c r="AN40" s="62"/>
      <c r="AO40" s="62"/>
      <c r="AP40" s="62"/>
      <c r="AQ40" s="62"/>
      <c r="AR40" s="62"/>
      <c r="AS40" s="62"/>
      <c r="AT40" s="62"/>
      <c r="AU40" s="62"/>
      <c r="AV40" s="62"/>
      <c r="AW40" s="62"/>
      <c r="AX40" s="62"/>
      <c r="AY40" s="62"/>
    </row>
    <row r="41" spans="1:51" x14ac:dyDescent="0.3">
      <c r="A41" s="97" t="s">
        <v>1411</v>
      </c>
      <c r="B41" s="97"/>
      <c r="C41" s="97"/>
      <c r="D41" s="97"/>
      <c r="E41" s="97"/>
      <c r="F41" s="97"/>
      <c r="G41" s="97"/>
      <c r="H41" s="97"/>
      <c r="I41" s="97"/>
      <c r="J41" s="97">
        <f>SUM(J2:J39)</f>
        <v>463878997.0116505</v>
      </c>
      <c r="K41" s="97"/>
      <c r="L41" s="97"/>
      <c r="M41" s="97">
        <f>SUM(M2:M39)</f>
        <v>8915737143.1283493</v>
      </c>
      <c r="N41" s="97"/>
      <c r="O41" s="97"/>
      <c r="P41" s="97">
        <f>SUM(P2:P39)</f>
        <v>13989545.680000003</v>
      </c>
      <c r="Q41" s="97"/>
      <c r="R41" s="97"/>
      <c r="S41" s="97">
        <f>SUM(S2:S39)</f>
        <v>0</v>
      </c>
      <c r="T41" s="97"/>
      <c r="U41" s="97"/>
      <c r="V41" s="97">
        <f>SUM(V2:V39)</f>
        <v>322733847.12108827</v>
      </c>
      <c r="W41" s="98"/>
      <c r="X41" s="98"/>
      <c r="Y41" s="97">
        <f>SUM(Y2:Y39)</f>
        <v>335851482.07902056</v>
      </c>
      <c r="Z41" s="98"/>
      <c r="AA41" s="98"/>
      <c r="AB41" s="97">
        <f>SUM(AB2:AB39)</f>
        <v>322556513.62902653</v>
      </c>
      <c r="AC41" s="98"/>
      <c r="AD41" s="98"/>
      <c r="AE41" s="97">
        <f>SUM(AE2:AE39)</f>
        <v>22530303.213096812</v>
      </c>
      <c r="AF41" s="99">
        <f t="shared" si="8"/>
        <v>10397277831.862232</v>
      </c>
      <c r="AG41" s="99">
        <f t="shared" si="9"/>
        <v>10094444.496953623</v>
      </c>
      <c r="AH41" s="98"/>
      <c r="AI41" s="98"/>
      <c r="AJ41" s="98"/>
      <c r="AK41" s="98"/>
      <c r="AL41" s="98"/>
      <c r="AM41" s="98"/>
      <c r="AN41" s="98"/>
      <c r="AO41" s="98"/>
      <c r="AP41" s="98"/>
      <c r="AQ41" s="98"/>
      <c r="AR41" s="98"/>
      <c r="AS41" s="98"/>
      <c r="AT41" s="98"/>
      <c r="AU41" s="98"/>
      <c r="AV41" s="98"/>
      <c r="AW41" s="98"/>
      <c r="AX41" s="98"/>
      <c r="AY41" s="98"/>
    </row>
    <row r="42" spans="1:51" s="94" customFormat="1" x14ac:dyDescent="0.3">
      <c r="A42" s="91" t="s">
        <v>1436</v>
      </c>
      <c r="B42" s="91"/>
      <c r="C42" s="91"/>
      <c r="D42" s="91"/>
      <c r="E42" s="91"/>
      <c r="F42" s="91"/>
      <c r="G42" s="91"/>
      <c r="H42" s="91"/>
      <c r="I42" s="91"/>
      <c r="J42" s="91">
        <f>J41/$AL$2</f>
        <v>450367.95826373837</v>
      </c>
      <c r="K42" s="91"/>
      <c r="L42" s="91"/>
      <c r="M42" s="91">
        <f>M41/$AL$2</f>
        <v>8656055.4787653871</v>
      </c>
      <c r="N42" s="91"/>
      <c r="O42" s="91"/>
      <c r="P42" s="91">
        <f>P41/$AL$2</f>
        <v>13582.083184466022</v>
      </c>
      <c r="Q42" s="91"/>
      <c r="R42" s="91"/>
      <c r="S42" s="91">
        <f>S41/$AL$2</f>
        <v>0</v>
      </c>
      <c r="T42" s="91"/>
      <c r="U42" s="91"/>
      <c r="V42" s="91">
        <f>V41/$AL$2</f>
        <v>313333.83215639635</v>
      </c>
      <c r="Y42" s="91">
        <f>Y41/$AL$2</f>
        <v>326069.400076719</v>
      </c>
      <c r="AB42" s="91">
        <f>AB41/$AL$2</f>
        <v>313161.66371750151</v>
      </c>
      <c r="AE42" s="91">
        <f>AE41/$AL$2</f>
        <v>21874.08078941438</v>
      </c>
      <c r="AF42" s="95">
        <f t="shared" si="8"/>
        <v>10094444.496953622</v>
      </c>
      <c r="AG42" s="95">
        <f t="shared" si="9"/>
        <v>9800.4315504404094</v>
      </c>
    </row>
    <row r="43" spans="1:51" x14ac:dyDescent="0.3">
      <c r="A43" s="41"/>
      <c r="B43" s="41"/>
      <c r="C43" s="41"/>
      <c r="D43" s="41"/>
      <c r="E43" s="41"/>
      <c r="F43" s="41"/>
      <c r="G43" s="41"/>
      <c r="H43" s="41"/>
      <c r="I43" s="41"/>
      <c r="J43" s="41"/>
      <c r="K43" s="41"/>
      <c r="L43" s="41"/>
      <c r="M43" s="41"/>
      <c r="N43" s="41"/>
      <c r="O43" s="41"/>
      <c r="P43" s="41"/>
      <c r="Q43" s="41"/>
      <c r="R43" s="41"/>
      <c r="S43" s="41"/>
      <c r="T43" s="41"/>
      <c r="U43" s="41"/>
      <c r="V43" s="41"/>
    </row>
    <row r="44" spans="1:51" x14ac:dyDescent="0.3">
      <c r="A44" s="41"/>
      <c r="B44" s="41"/>
      <c r="C44" s="41"/>
      <c r="D44" s="41"/>
      <c r="E44" s="41"/>
      <c r="F44" s="41"/>
      <c r="G44" s="41"/>
      <c r="H44" s="41"/>
      <c r="I44" s="41"/>
      <c r="J44" s="41"/>
      <c r="K44" s="41"/>
      <c r="L44" s="41"/>
      <c r="M44" s="41"/>
      <c r="N44" s="41"/>
      <c r="O44" s="41"/>
      <c r="P44" s="41"/>
      <c r="Q44" s="41"/>
      <c r="R44" s="41"/>
      <c r="S44" s="41"/>
      <c r="T44" s="41"/>
      <c r="U44" s="41"/>
      <c r="V44" s="41"/>
    </row>
    <row r="45" spans="1:51" x14ac:dyDescent="0.3">
      <c r="A45" s="41"/>
      <c r="B45" s="41"/>
      <c r="C45" s="41"/>
      <c r="D45" s="41"/>
      <c r="E45" s="41"/>
      <c r="F45" s="41"/>
      <c r="G45" s="41"/>
      <c r="H45" s="41"/>
      <c r="I45" s="41"/>
      <c r="J45" s="41"/>
      <c r="K45" s="41"/>
      <c r="L45" s="41"/>
      <c r="M45" s="41"/>
      <c r="N45" s="41"/>
      <c r="O45" s="41"/>
      <c r="P45" s="41"/>
      <c r="Q45" s="41"/>
      <c r="R45" s="41"/>
      <c r="S45" s="41"/>
      <c r="T45" s="41"/>
      <c r="U45" s="41"/>
      <c r="V45" s="41"/>
    </row>
    <row r="46" spans="1:51" x14ac:dyDescent="0.3">
      <c r="A46" s="41"/>
      <c r="B46" s="41"/>
      <c r="C46" s="41"/>
      <c r="D46" s="41"/>
      <c r="E46" s="41"/>
      <c r="F46" s="41"/>
      <c r="G46" s="41"/>
      <c r="H46" s="41"/>
      <c r="I46" s="41"/>
      <c r="J46" s="41"/>
      <c r="K46" s="41"/>
      <c r="L46" s="41"/>
      <c r="M46" s="41"/>
      <c r="N46" s="41"/>
      <c r="O46" s="41"/>
      <c r="P46" s="41"/>
      <c r="Q46" s="41"/>
      <c r="R46" s="41"/>
      <c r="S46" s="41"/>
      <c r="T46" s="41"/>
      <c r="U46" s="41"/>
      <c r="V46" s="41"/>
    </row>
    <row r="47" spans="1:51" x14ac:dyDescent="0.3">
      <c r="A47" s="41"/>
      <c r="B47" s="41"/>
      <c r="C47" s="41"/>
      <c r="D47" s="41"/>
      <c r="E47" s="41"/>
      <c r="F47" s="41"/>
      <c r="G47" s="41"/>
      <c r="H47" s="41"/>
      <c r="I47" s="41"/>
      <c r="J47" s="41"/>
      <c r="K47" s="41"/>
      <c r="L47" s="41"/>
      <c r="M47" s="41"/>
      <c r="N47" s="41"/>
      <c r="O47" s="41"/>
      <c r="P47" s="41"/>
      <c r="Q47" s="41"/>
      <c r="R47" s="41"/>
      <c r="S47" s="41"/>
      <c r="T47" s="41"/>
      <c r="U47" s="41"/>
      <c r="V47" s="41"/>
    </row>
    <row r="48" spans="1:51" x14ac:dyDescent="0.3">
      <c r="A48" s="41"/>
      <c r="B48" s="41"/>
      <c r="C48" s="41"/>
      <c r="D48" s="41"/>
      <c r="E48" s="41"/>
      <c r="F48" s="41"/>
      <c r="G48" s="41"/>
      <c r="H48" s="41"/>
      <c r="I48" s="41"/>
      <c r="J48" s="41"/>
      <c r="K48" s="41"/>
      <c r="L48" s="41"/>
      <c r="M48" s="41"/>
      <c r="N48" s="41"/>
      <c r="O48" s="41"/>
      <c r="P48" s="41"/>
      <c r="Q48" s="41"/>
      <c r="R48" s="41"/>
      <c r="S48" s="41"/>
      <c r="T48" s="41"/>
      <c r="U48" s="41"/>
      <c r="V48" s="41"/>
    </row>
    <row r="49" spans="1:22" x14ac:dyDescent="0.3">
      <c r="A49" s="41"/>
      <c r="B49" s="41"/>
      <c r="C49" s="41"/>
      <c r="D49" s="41"/>
      <c r="E49" s="41"/>
      <c r="F49" s="41"/>
      <c r="G49" s="41"/>
      <c r="H49" s="41"/>
      <c r="I49" s="41"/>
      <c r="J49" s="41"/>
      <c r="K49" s="41"/>
      <c r="L49" s="41"/>
      <c r="M49" s="41"/>
      <c r="N49" s="41"/>
      <c r="O49" s="41"/>
      <c r="P49" s="41"/>
      <c r="Q49" s="41"/>
      <c r="R49" s="41"/>
      <c r="S49" s="41"/>
      <c r="T49" s="41"/>
      <c r="U49" s="41"/>
      <c r="V49" s="41"/>
    </row>
    <row r="50" spans="1:22" x14ac:dyDescent="0.3">
      <c r="A50" s="41"/>
      <c r="B50" s="41"/>
      <c r="C50" s="41"/>
      <c r="D50" s="41"/>
      <c r="E50" s="41"/>
      <c r="F50" s="41"/>
      <c r="G50" s="41"/>
      <c r="H50" s="41"/>
      <c r="I50" s="41"/>
      <c r="J50" s="41"/>
      <c r="K50" s="41"/>
      <c r="L50" s="41"/>
      <c r="M50" s="41"/>
      <c r="N50" s="41"/>
      <c r="O50" s="41"/>
      <c r="P50" s="41"/>
      <c r="Q50" s="41"/>
      <c r="R50" s="41"/>
      <c r="S50" s="41"/>
      <c r="T50" s="41"/>
      <c r="U50" s="41"/>
      <c r="V50" s="41"/>
    </row>
    <row r="51" spans="1:22" x14ac:dyDescent="0.3">
      <c r="A51" s="41"/>
      <c r="B51" s="41"/>
      <c r="C51" s="41"/>
      <c r="D51" s="41"/>
      <c r="E51" s="41"/>
      <c r="F51" s="41"/>
      <c r="G51" s="41"/>
      <c r="H51" s="41"/>
      <c r="I51" s="41"/>
      <c r="J51" s="41"/>
      <c r="K51" s="41"/>
      <c r="L51" s="41"/>
      <c r="M51" s="41"/>
      <c r="N51" s="41"/>
      <c r="O51" s="41"/>
      <c r="P51" s="41"/>
      <c r="Q51" s="41"/>
      <c r="R51" s="41"/>
      <c r="S51" s="41"/>
      <c r="T51" s="41"/>
      <c r="U51" s="41"/>
      <c r="V51" s="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50"/>
  <sheetViews>
    <sheetView workbookViewId="0">
      <selection activeCell="E95" sqref="E95"/>
    </sheetView>
  </sheetViews>
  <sheetFormatPr defaultColWidth="8.88671875" defaultRowHeight="14.4" x14ac:dyDescent="0.3"/>
  <cols>
    <col min="1" max="33" width="35.6640625" customWidth="1"/>
  </cols>
  <sheetData>
    <row r="1" spans="1:40"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40" ht="43.2" x14ac:dyDescent="0.3">
      <c r="A2" s="41" t="s">
        <v>983</v>
      </c>
      <c r="B2" s="41" t="s">
        <v>1280</v>
      </c>
      <c r="C2" s="41" t="s">
        <v>1281</v>
      </c>
      <c r="D2" s="41" t="s">
        <v>1282</v>
      </c>
      <c r="E2" s="41" t="s">
        <v>1283</v>
      </c>
      <c r="F2" s="41" t="s">
        <v>841</v>
      </c>
      <c r="G2" s="83">
        <v>0</v>
      </c>
      <c r="H2" s="41">
        <v>0</v>
      </c>
      <c r="I2" s="41">
        <v>0</v>
      </c>
      <c r="J2" s="83">
        <f>G2*H2*I2</f>
        <v>0</v>
      </c>
      <c r="K2" s="41">
        <v>0</v>
      </c>
      <c r="L2" s="41">
        <v>0</v>
      </c>
      <c r="M2" s="41">
        <f>($G2*1.1^1)*K2*L2</f>
        <v>0</v>
      </c>
      <c r="N2" s="41">
        <v>0</v>
      </c>
      <c r="O2" s="41">
        <v>0</v>
      </c>
      <c r="P2" s="41">
        <f>($G2*1.1^2)*N2*O2</f>
        <v>0</v>
      </c>
      <c r="Q2" s="41">
        <v>0</v>
      </c>
      <c r="R2" s="41">
        <v>0</v>
      </c>
      <c r="S2" s="41">
        <f>($G2*1.1^3)*Q2*R2</f>
        <v>0</v>
      </c>
      <c r="T2" s="41">
        <v>50000</v>
      </c>
      <c r="U2" s="41">
        <v>1</v>
      </c>
      <c r="V2" s="41">
        <f>($G2*1.1^4)*T2*U2</f>
        <v>0</v>
      </c>
      <c r="Y2" s="41">
        <f>($G2*1.1^5)*W2*X2</f>
        <v>0</v>
      </c>
      <c r="AB2" s="41">
        <f>($G2*1.1^6)*Z2*AA2</f>
        <v>0</v>
      </c>
      <c r="AE2" s="41">
        <f>($G2*1.1^7)*AC2*AD2</f>
        <v>0</v>
      </c>
      <c r="AF2" s="28">
        <f>J2+M2+P2+S2+V2+Y2+AB2+AE2</f>
        <v>0</v>
      </c>
      <c r="AG2" s="28">
        <f t="shared" ref="AG2:AG46" si="0">AF2/$AL$2</f>
        <v>0</v>
      </c>
      <c r="AL2">
        <v>1030</v>
      </c>
    </row>
    <row r="3" spans="1:40" ht="43.2" x14ac:dyDescent="0.3">
      <c r="A3" s="41" t="s">
        <v>983</v>
      </c>
      <c r="B3" s="41" t="s">
        <v>1280</v>
      </c>
      <c r="C3" s="41" t="s">
        <v>1281</v>
      </c>
      <c r="D3" s="41" t="s">
        <v>1282</v>
      </c>
      <c r="E3" s="41" t="s">
        <v>1284</v>
      </c>
      <c r="F3" s="41" t="s">
        <v>709</v>
      </c>
      <c r="G3" s="83">
        <v>35000</v>
      </c>
      <c r="J3" s="83">
        <f>G3*H3*I3</f>
        <v>0</v>
      </c>
      <c r="K3" s="41">
        <v>25</v>
      </c>
      <c r="L3" s="41">
        <v>1</v>
      </c>
      <c r="M3" s="41">
        <f>($G3*1.1^1)*K3*L3</f>
        <v>962500</v>
      </c>
      <c r="N3" s="41">
        <v>0</v>
      </c>
      <c r="O3" s="41">
        <v>0</v>
      </c>
      <c r="P3" s="41">
        <f>($G3*1.1^2)*N3*O3</f>
        <v>0</v>
      </c>
      <c r="Q3" s="41">
        <v>0</v>
      </c>
      <c r="R3" s="41">
        <v>0</v>
      </c>
      <c r="S3" s="41">
        <f>($G3*1.1^3)*Q3*R3</f>
        <v>0</v>
      </c>
      <c r="T3" s="41">
        <v>0</v>
      </c>
      <c r="U3" s="41">
        <v>0</v>
      </c>
      <c r="V3" s="41">
        <f>($G3*1.1^4)*T3*U3</f>
        <v>0</v>
      </c>
      <c r="Y3" s="41">
        <f>($G3*1.1^5)*W3*X3</f>
        <v>0</v>
      </c>
      <c r="AB3" s="41">
        <f>($G3*1.1^6)*Z3*AA3</f>
        <v>0</v>
      </c>
      <c r="AE3" s="41">
        <f>($G3*1.1^7)*AC3*AD3</f>
        <v>0</v>
      </c>
      <c r="AF3" s="28">
        <f>J3+M3+P3+S3+V3+Y3+AB3+AE3</f>
        <v>962500</v>
      </c>
      <c r="AG3" s="28">
        <f t="shared" si="0"/>
        <v>934.46601941747576</v>
      </c>
    </row>
    <row r="4" spans="1:40" ht="43.2" x14ac:dyDescent="0.3">
      <c r="A4" s="41" t="s">
        <v>983</v>
      </c>
      <c r="B4" s="41" t="s">
        <v>1280</v>
      </c>
      <c r="C4" s="41" t="s">
        <v>1281</v>
      </c>
      <c r="D4" s="41" t="s">
        <v>1285</v>
      </c>
      <c r="E4" s="41" t="s">
        <v>1286</v>
      </c>
      <c r="F4" s="41" t="s">
        <v>709</v>
      </c>
      <c r="G4" s="83">
        <v>35000</v>
      </c>
      <c r="J4" s="83">
        <f>G4*H4*I4</f>
        <v>0</v>
      </c>
      <c r="K4" s="41">
        <v>25</v>
      </c>
      <c r="L4" s="41">
        <v>1</v>
      </c>
      <c r="M4" s="41">
        <f>($G4*1.1^1)*K4*L4</f>
        <v>962500</v>
      </c>
      <c r="N4" s="41">
        <v>0</v>
      </c>
      <c r="O4" s="41">
        <v>0</v>
      </c>
      <c r="P4" s="41">
        <f>($G4*1.1^2)*N4*O4</f>
        <v>0</v>
      </c>
      <c r="Q4" s="41">
        <v>0</v>
      </c>
      <c r="R4" s="41">
        <v>0</v>
      </c>
      <c r="S4" s="41">
        <f>($G4*1.1^3)*Q4*R4</f>
        <v>0</v>
      </c>
      <c r="T4" s="41">
        <v>0</v>
      </c>
      <c r="U4" s="41">
        <v>0</v>
      </c>
      <c r="V4" s="41">
        <f>($G4*1.1^4)*T4*U4</f>
        <v>0</v>
      </c>
      <c r="Y4" s="41">
        <f>($G4*1.1^5)*W4*X4</f>
        <v>0</v>
      </c>
      <c r="AB4" s="41">
        <f>($G4*1.1^6)*Z4*AA4</f>
        <v>0</v>
      </c>
      <c r="AE4" s="41">
        <f>($G4*1.1^7)*AC4*AD4</f>
        <v>0</v>
      </c>
      <c r="AF4" s="28">
        <f t="shared" ref="AF4:AF50" si="1">J4+M4+P4+S4+V4+Y4+AB4+AE4</f>
        <v>962500</v>
      </c>
      <c r="AG4" s="28">
        <f t="shared" si="0"/>
        <v>934.46601941747576</v>
      </c>
    </row>
    <row r="5" spans="1:40" x14ac:dyDescent="0.3">
      <c r="A5" s="91" t="s">
        <v>1302</v>
      </c>
      <c r="B5" s="91"/>
      <c r="C5" s="91"/>
      <c r="D5" s="91"/>
      <c r="E5" s="91"/>
      <c r="F5" s="91"/>
      <c r="G5" s="92"/>
      <c r="H5" s="91"/>
      <c r="I5" s="91"/>
      <c r="J5" s="92">
        <f>SUM(J2:J4)</f>
        <v>0</v>
      </c>
      <c r="K5" s="91"/>
      <c r="L5" s="91"/>
      <c r="M5" s="92">
        <f>SUM(M2:M4)</f>
        <v>1925000</v>
      </c>
      <c r="N5" s="91"/>
      <c r="O5" s="91"/>
      <c r="P5" s="92">
        <f>SUM(P2:P4)</f>
        <v>0</v>
      </c>
      <c r="Q5" s="91"/>
      <c r="R5" s="91"/>
      <c r="S5" s="92">
        <f>SUM(S2:S4)</f>
        <v>0</v>
      </c>
      <c r="T5" s="91"/>
      <c r="U5" s="91"/>
      <c r="V5" s="92">
        <f>SUM(V2:V4)</f>
        <v>0</v>
      </c>
      <c r="W5" s="94"/>
      <c r="X5" s="94"/>
      <c r="Y5" s="92">
        <f>SUM(Y2:Y4)</f>
        <v>0</v>
      </c>
      <c r="Z5" s="94"/>
      <c r="AA5" s="94"/>
      <c r="AB5" s="92">
        <f>SUM(AB2:AB4)</f>
        <v>0</v>
      </c>
      <c r="AC5" s="94"/>
      <c r="AD5" s="94"/>
      <c r="AE5" s="92">
        <f>SUM(AE2:AE4)</f>
        <v>0</v>
      </c>
      <c r="AF5" s="95">
        <f t="shared" si="1"/>
        <v>1925000</v>
      </c>
      <c r="AG5" s="95">
        <f t="shared" si="0"/>
        <v>1868.9320388349515</v>
      </c>
      <c r="AH5" s="94"/>
      <c r="AI5" s="94"/>
      <c r="AJ5" s="94"/>
      <c r="AK5" s="94"/>
      <c r="AL5" s="94"/>
      <c r="AM5" s="94"/>
      <c r="AN5" s="94"/>
    </row>
    <row r="6" spans="1:40" s="62" customFormat="1" x14ac:dyDescent="0.3">
      <c r="A6" s="63" t="s">
        <v>1427</v>
      </c>
      <c r="B6" s="63"/>
      <c r="C6" s="63"/>
      <c r="D6" s="63"/>
      <c r="E6" s="63"/>
      <c r="F6" s="63"/>
      <c r="G6" s="90"/>
      <c r="H6" s="63"/>
      <c r="I6" s="63"/>
      <c r="J6" s="90">
        <f>J5/$AL$2</f>
        <v>0</v>
      </c>
      <c r="K6" s="63"/>
      <c r="L6" s="63"/>
      <c r="M6" s="90">
        <f>M5/$AL$2</f>
        <v>1868.9320388349515</v>
      </c>
      <c r="N6" s="63"/>
      <c r="O6" s="63"/>
      <c r="P6" s="90">
        <f>P5/$AL$2</f>
        <v>0</v>
      </c>
      <c r="Q6" s="63"/>
      <c r="R6" s="63"/>
      <c r="S6" s="90">
        <f>S5/$AL$2</f>
        <v>0</v>
      </c>
      <c r="T6" s="63"/>
      <c r="U6" s="63"/>
      <c r="V6" s="90">
        <f>V5/$AL$2</f>
        <v>0</v>
      </c>
      <c r="Y6" s="90">
        <f>Y5/$AL$2</f>
        <v>0</v>
      </c>
      <c r="AB6" s="90">
        <f>AB5/$AL$2</f>
        <v>0</v>
      </c>
      <c r="AE6" s="90">
        <f>AE5/$AL$2</f>
        <v>0</v>
      </c>
      <c r="AF6" s="20">
        <f t="shared" si="1"/>
        <v>1868.9320388349515</v>
      </c>
      <c r="AG6" s="20">
        <f t="shared" si="0"/>
        <v>1.8144971250824773</v>
      </c>
    </row>
    <row r="7" spans="1:40" ht="57.6" x14ac:dyDescent="0.3">
      <c r="A7" s="41" t="s">
        <v>983</v>
      </c>
      <c r="B7" s="41" t="s">
        <v>1280</v>
      </c>
      <c r="C7" s="41" t="s">
        <v>1287</v>
      </c>
      <c r="D7" s="41" t="s">
        <v>1288</v>
      </c>
      <c r="E7" s="41" t="s">
        <v>1289</v>
      </c>
      <c r="F7" s="41" t="s">
        <v>709</v>
      </c>
      <c r="G7" s="83">
        <v>35000</v>
      </c>
      <c r="H7" s="41">
        <v>25</v>
      </c>
      <c r="I7" s="41">
        <v>1</v>
      </c>
      <c r="J7" s="83">
        <f t="shared" ref="J7:J46" si="2">G7*H7*I7</f>
        <v>875000</v>
      </c>
      <c r="K7" s="41">
        <v>25</v>
      </c>
      <c r="L7" s="41">
        <v>1</v>
      </c>
      <c r="M7" s="41">
        <f t="shared" ref="M7:M46" si="3">($G7*1.1^1)*K7*L7</f>
        <v>962500</v>
      </c>
      <c r="N7" s="41">
        <v>25</v>
      </c>
      <c r="O7" s="41">
        <v>1</v>
      </c>
      <c r="P7" s="41">
        <f t="shared" ref="P7:P46" si="4">($G7*1.1^2)*N7*O7</f>
        <v>1058750.0000000002</v>
      </c>
      <c r="Q7" s="41">
        <v>25</v>
      </c>
      <c r="R7" s="41">
        <v>1</v>
      </c>
      <c r="S7" s="41">
        <f t="shared" ref="S7:S41" si="5">($G7*1.1^3)*Q7*R7</f>
        <v>1164625.0000000005</v>
      </c>
      <c r="T7" s="41">
        <v>25</v>
      </c>
      <c r="U7" s="41">
        <v>1</v>
      </c>
      <c r="V7" s="41">
        <f t="shared" ref="V7:V41" si="6">($G7*1.1^4)*T7*U7</f>
        <v>1281087.5000000005</v>
      </c>
      <c r="W7">
        <v>25</v>
      </c>
      <c r="X7">
        <v>1</v>
      </c>
      <c r="Y7" s="41">
        <f t="shared" ref="Y7:Y46" si="7">($G7*1.1^5)*W7*X7</f>
        <v>1409196.2500000005</v>
      </c>
      <c r="Z7">
        <v>25</v>
      </c>
      <c r="AA7">
        <v>1</v>
      </c>
      <c r="AB7" s="41">
        <f t="shared" ref="AB7:AB41" si="8">($G7*1.1^6)*Z7*AA7</f>
        <v>1550115.8750000007</v>
      </c>
      <c r="AC7">
        <v>25</v>
      </c>
      <c r="AD7">
        <v>1</v>
      </c>
      <c r="AE7" s="41">
        <f t="shared" ref="AE7:AE41" si="9">($G7*1.1^7)*AC7*AD7</f>
        <v>1705127.4625000008</v>
      </c>
      <c r="AF7" s="28">
        <f t="shared" si="1"/>
        <v>10006402.087500004</v>
      </c>
      <c r="AG7" s="28">
        <f t="shared" si="0"/>
        <v>9714.9534830097127</v>
      </c>
    </row>
    <row r="8" spans="1:40" ht="57.6" x14ac:dyDescent="0.3">
      <c r="A8" s="41" t="s">
        <v>983</v>
      </c>
      <c r="B8" s="41" t="s">
        <v>1280</v>
      </c>
      <c r="C8" s="41" t="s">
        <v>1287</v>
      </c>
      <c r="D8" s="41" t="s">
        <v>1290</v>
      </c>
      <c r="E8" s="41" t="s">
        <v>169</v>
      </c>
      <c r="F8" s="41" t="s">
        <v>709</v>
      </c>
      <c r="G8" s="83">
        <v>35000</v>
      </c>
      <c r="H8" s="41">
        <v>25</v>
      </c>
      <c r="I8" s="41">
        <v>1</v>
      </c>
      <c r="J8" s="83">
        <f t="shared" si="2"/>
        <v>875000</v>
      </c>
      <c r="K8" s="41">
        <v>25</v>
      </c>
      <c r="L8" s="41">
        <v>1</v>
      </c>
      <c r="M8" s="41">
        <f t="shared" si="3"/>
        <v>962500</v>
      </c>
      <c r="N8" s="41">
        <v>25</v>
      </c>
      <c r="O8" s="41">
        <v>1</v>
      </c>
      <c r="P8" s="41">
        <f t="shared" si="4"/>
        <v>1058750.0000000002</v>
      </c>
      <c r="Q8" s="41">
        <v>25</v>
      </c>
      <c r="R8" s="41">
        <v>1</v>
      </c>
      <c r="S8" s="41">
        <f t="shared" si="5"/>
        <v>1164625.0000000005</v>
      </c>
      <c r="T8" s="41">
        <v>25</v>
      </c>
      <c r="U8" s="41">
        <v>1</v>
      </c>
      <c r="V8" s="41">
        <f t="shared" si="6"/>
        <v>1281087.5000000005</v>
      </c>
      <c r="W8">
        <v>25</v>
      </c>
      <c r="X8">
        <v>1</v>
      </c>
      <c r="Y8" s="41">
        <f t="shared" si="7"/>
        <v>1409196.2500000005</v>
      </c>
      <c r="Z8">
        <v>25</v>
      </c>
      <c r="AA8">
        <v>1</v>
      </c>
      <c r="AB8" s="41">
        <f t="shared" si="8"/>
        <v>1550115.8750000007</v>
      </c>
      <c r="AC8">
        <v>25</v>
      </c>
      <c r="AD8">
        <v>1</v>
      </c>
      <c r="AE8" s="41">
        <f t="shared" si="9"/>
        <v>1705127.4625000008</v>
      </c>
      <c r="AF8" s="28">
        <f t="shared" si="1"/>
        <v>10006402.087500004</v>
      </c>
      <c r="AG8" s="28">
        <f t="shared" si="0"/>
        <v>9714.9534830097127</v>
      </c>
    </row>
    <row r="9" spans="1:40" ht="57.6" x14ac:dyDescent="0.3">
      <c r="A9" s="41" t="s">
        <v>983</v>
      </c>
      <c r="B9" s="41" t="s">
        <v>1280</v>
      </c>
      <c r="C9" s="41" t="s">
        <v>1287</v>
      </c>
      <c r="D9" s="41" t="s">
        <v>1290</v>
      </c>
      <c r="E9" s="41" t="s">
        <v>1025</v>
      </c>
      <c r="F9" s="41" t="s">
        <v>841</v>
      </c>
      <c r="G9" s="83">
        <v>0</v>
      </c>
      <c r="H9" s="41">
        <v>0</v>
      </c>
      <c r="I9" s="41">
        <v>0</v>
      </c>
      <c r="J9" s="83">
        <f t="shared" si="2"/>
        <v>0</v>
      </c>
      <c r="K9" s="41">
        <v>0</v>
      </c>
      <c r="L9" s="41">
        <v>0</v>
      </c>
      <c r="M9" s="41">
        <f t="shared" si="3"/>
        <v>0</v>
      </c>
      <c r="N9" s="41">
        <v>0</v>
      </c>
      <c r="O9" s="41">
        <v>0</v>
      </c>
      <c r="P9" s="41">
        <f t="shared" si="4"/>
        <v>0</v>
      </c>
      <c r="Q9" s="41">
        <v>0</v>
      </c>
      <c r="R9" s="41">
        <v>0</v>
      </c>
      <c r="S9" s="41">
        <f t="shared" si="5"/>
        <v>0</v>
      </c>
      <c r="T9" s="41">
        <v>0</v>
      </c>
      <c r="U9" s="41">
        <v>0</v>
      </c>
      <c r="V9" s="41">
        <f t="shared" si="6"/>
        <v>0</v>
      </c>
      <c r="W9">
        <v>0</v>
      </c>
      <c r="X9">
        <v>0</v>
      </c>
      <c r="Y9" s="41">
        <f t="shared" si="7"/>
        <v>0</v>
      </c>
      <c r="Z9">
        <v>0</v>
      </c>
      <c r="AA9">
        <v>0</v>
      </c>
      <c r="AB9" s="41">
        <f t="shared" si="8"/>
        <v>0</v>
      </c>
      <c r="AC9">
        <v>0</v>
      </c>
      <c r="AD9">
        <v>0</v>
      </c>
      <c r="AE9" s="41">
        <f t="shared" si="9"/>
        <v>0</v>
      </c>
      <c r="AF9" s="28">
        <f t="shared" si="1"/>
        <v>0</v>
      </c>
      <c r="AG9" s="28">
        <f t="shared" si="0"/>
        <v>0</v>
      </c>
    </row>
    <row r="10" spans="1:40" ht="57.6" x14ac:dyDescent="0.3">
      <c r="A10" s="41" t="s">
        <v>983</v>
      </c>
      <c r="B10" s="41" t="s">
        <v>1280</v>
      </c>
      <c r="C10" s="41" t="s">
        <v>1287</v>
      </c>
      <c r="D10" s="41" t="s">
        <v>1290</v>
      </c>
      <c r="E10" s="41" t="s">
        <v>149</v>
      </c>
      <c r="F10" s="41" t="s">
        <v>707</v>
      </c>
      <c r="G10" s="83">
        <v>391991.03749999998</v>
      </c>
      <c r="H10" s="41">
        <v>2</v>
      </c>
      <c r="I10" s="41">
        <v>2</v>
      </c>
      <c r="J10" s="83">
        <f t="shared" si="2"/>
        <v>1567964.15</v>
      </c>
      <c r="K10" s="41">
        <v>2</v>
      </c>
      <c r="L10" s="41">
        <v>2</v>
      </c>
      <c r="M10" s="41">
        <f t="shared" si="3"/>
        <v>1724760.5649999999</v>
      </c>
      <c r="N10" s="41">
        <v>2</v>
      </c>
      <c r="O10" s="41">
        <v>2</v>
      </c>
      <c r="P10" s="41">
        <f t="shared" si="4"/>
        <v>1897236.6215000001</v>
      </c>
      <c r="Q10" s="41">
        <v>2</v>
      </c>
      <c r="R10" s="41">
        <v>2</v>
      </c>
      <c r="S10" s="41">
        <f t="shared" si="5"/>
        <v>2086960.2836500006</v>
      </c>
      <c r="T10" s="41">
        <v>2</v>
      </c>
      <c r="U10" s="41">
        <v>2</v>
      </c>
      <c r="V10" s="41">
        <f t="shared" si="6"/>
        <v>2295656.3120150003</v>
      </c>
      <c r="W10">
        <v>2</v>
      </c>
      <c r="X10">
        <v>2</v>
      </c>
      <c r="Y10" s="41">
        <f t="shared" si="7"/>
        <v>2525221.9432165008</v>
      </c>
      <c r="Z10">
        <v>2</v>
      </c>
      <c r="AA10">
        <v>2</v>
      </c>
      <c r="AB10" s="41">
        <f t="shared" si="8"/>
        <v>2777744.1375381513</v>
      </c>
      <c r="AC10">
        <v>2</v>
      </c>
      <c r="AD10">
        <v>2</v>
      </c>
      <c r="AE10" s="41">
        <f t="shared" si="9"/>
        <v>3055518.5512919668</v>
      </c>
      <c r="AF10" s="28">
        <f t="shared" si="1"/>
        <v>17931062.564211622</v>
      </c>
      <c r="AG10" s="28">
        <f t="shared" si="0"/>
        <v>17408.798606030701</v>
      </c>
    </row>
    <row r="11" spans="1:40" ht="57.6" x14ac:dyDescent="0.3">
      <c r="A11" s="41" t="s">
        <v>983</v>
      </c>
      <c r="B11" s="41" t="s">
        <v>1280</v>
      </c>
      <c r="C11" s="41" t="s">
        <v>1287</v>
      </c>
      <c r="D11" s="41" t="s">
        <v>1290</v>
      </c>
      <c r="E11" s="41" t="s">
        <v>149</v>
      </c>
      <c r="F11" s="41" t="s">
        <v>708</v>
      </c>
      <c r="G11" s="83">
        <f>500*1030</f>
        <v>515000</v>
      </c>
      <c r="H11" s="41">
        <v>1</v>
      </c>
      <c r="I11" s="41">
        <v>25</v>
      </c>
      <c r="J11" s="83">
        <f t="shared" si="2"/>
        <v>12875000</v>
      </c>
      <c r="K11" s="41">
        <v>1</v>
      </c>
      <c r="L11" s="41">
        <v>25</v>
      </c>
      <c r="M11" s="41">
        <f t="shared" si="3"/>
        <v>14162500</v>
      </c>
      <c r="N11" s="41">
        <v>1</v>
      </c>
      <c r="O11" s="41">
        <v>25</v>
      </c>
      <c r="P11" s="41">
        <f t="shared" si="4"/>
        <v>15578750.000000004</v>
      </c>
      <c r="Q11" s="41">
        <v>1</v>
      </c>
      <c r="R11" s="41">
        <v>25</v>
      </c>
      <c r="S11" s="41">
        <f t="shared" si="5"/>
        <v>17136625.000000007</v>
      </c>
      <c r="T11" s="41">
        <v>1</v>
      </c>
      <c r="U11" s="41">
        <v>25</v>
      </c>
      <c r="V11" s="41">
        <f t="shared" si="6"/>
        <v>18850287.500000007</v>
      </c>
      <c r="W11">
        <v>1</v>
      </c>
      <c r="X11">
        <v>25</v>
      </c>
      <c r="Y11" s="41">
        <f t="shared" si="7"/>
        <v>20735316.250000007</v>
      </c>
      <c r="Z11">
        <v>1</v>
      </c>
      <c r="AA11">
        <v>25</v>
      </c>
      <c r="AB11" s="41">
        <f t="shared" si="8"/>
        <v>22808847.875000011</v>
      </c>
      <c r="AC11">
        <v>1</v>
      </c>
      <c r="AD11">
        <v>25</v>
      </c>
      <c r="AE11" s="41">
        <f t="shared" si="9"/>
        <v>25089732.662500016</v>
      </c>
      <c r="AF11" s="28">
        <f t="shared" si="1"/>
        <v>147237059.28750005</v>
      </c>
      <c r="AG11" s="28">
        <f t="shared" si="0"/>
        <v>142948.60125000007</v>
      </c>
    </row>
    <row r="12" spans="1:40" ht="57.6" x14ac:dyDescent="0.3">
      <c r="A12" s="41" t="s">
        <v>983</v>
      </c>
      <c r="B12" s="41" t="s">
        <v>1280</v>
      </c>
      <c r="C12" s="41" t="s">
        <v>1287</v>
      </c>
      <c r="D12" s="41" t="s">
        <v>1290</v>
      </c>
      <c r="E12" s="41" t="s">
        <v>1181</v>
      </c>
      <c r="F12" s="41" t="s">
        <v>841</v>
      </c>
      <c r="G12" s="83">
        <v>0</v>
      </c>
      <c r="H12" s="41">
        <v>0</v>
      </c>
      <c r="I12" s="41">
        <v>0</v>
      </c>
      <c r="J12" s="83">
        <f t="shared" si="2"/>
        <v>0</v>
      </c>
      <c r="K12" s="41">
        <v>0</v>
      </c>
      <c r="L12" s="41">
        <v>0</v>
      </c>
      <c r="M12" s="41">
        <f t="shared" si="3"/>
        <v>0</v>
      </c>
      <c r="N12" s="41">
        <v>0</v>
      </c>
      <c r="O12" s="41">
        <v>0</v>
      </c>
      <c r="P12" s="41">
        <f t="shared" si="4"/>
        <v>0</v>
      </c>
      <c r="Q12" s="41">
        <v>0</v>
      </c>
      <c r="R12" s="41">
        <v>0</v>
      </c>
      <c r="S12" s="41">
        <f t="shared" si="5"/>
        <v>0</v>
      </c>
      <c r="T12" s="41">
        <v>0</v>
      </c>
      <c r="U12" s="41">
        <v>0</v>
      </c>
      <c r="V12" s="41">
        <f t="shared" si="6"/>
        <v>0</v>
      </c>
      <c r="W12">
        <v>0</v>
      </c>
      <c r="X12">
        <v>0</v>
      </c>
      <c r="Y12" s="41">
        <f t="shared" si="7"/>
        <v>0</v>
      </c>
      <c r="Z12">
        <v>0</v>
      </c>
      <c r="AA12">
        <v>0</v>
      </c>
      <c r="AB12" s="41">
        <f t="shared" si="8"/>
        <v>0</v>
      </c>
      <c r="AC12">
        <v>0</v>
      </c>
      <c r="AD12">
        <v>0</v>
      </c>
      <c r="AE12" s="41">
        <f t="shared" si="9"/>
        <v>0</v>
      </c>
      <c r="AF12" s="28">
        <f t="shared" si="1"/>
        <v>0</v>
      </c>
      <c r="AG12" s="28">
        <f t="shared" si="0"/>
        <v>0</v>
      </c>
    </row>
    <row r="13" spans="1:40" ht="57.6" x14ac:dyDescent="0.3">
      <c r="A13" s="41" t="s">
        <v>983</v>
      </c>
      <c r="B13" s="41" t="s">
        <v>1280</v>
      </c>
      <c r="C13" s="41" t="s">
        <v>1287</v>
      </c>
      <c r="D13" s="41" t="s">
        <v>1290</v>
      </c>
      <c r="E13" s="41" t="s">
        <v>1015</v>
      </c>
      <c r="F13" s="41" t="s">
        <v>709</v>
      </c>
      <c r="G13" s="83">
        <v>35000</v>
      </c>
      <c r="H13" s="41">
        <v>25</v>
      </c>
      <c r="I13" s="41">
        <v>5</v>
      </c>
      <c r="J13" s="83">
        <f t="shared" si="2"/>
        <v>4375000</v>
      </c>
      <c r="K13" s="41">
        <v>25</v>
      </c>
      <c r="L13" s="41">
        <v>5</v>
      </c>
      <c r="M13" s="41">
        <f t="shared" si="3"/>
        <v>4812500</v>
      </c>
      <c r="N13" s="41">
        <v>25</v>
      </c>
      <c r="O13" s="41">
        <v>5</v>
      </c>
      <c r="P13" s="41">
        <f t="shared" si="4"/>
        <v>5293750.0000000009</v>
      </c>
      <c r="Q13" s="41">
        <v>25</v>
      </c>
      <c r="R13" s="41">
        <v>5</v>
      </c>
      <c r="S13" s="41">
        <f t="shared" si="5"/>
        <v>5823125.0000000019</v>
      </c>
      <c r="T13" s="41">
        <v>25</v>
      </c>
      <c r="U13" s="41">
        <v>5</v>
      </c>
      <c r="V13" s="41">
        <f t="shared" si="6"/>
        <v>6405437.5000000019</v>
      </c>
      <c r="W13">
        <v>25</v>
      </c>
      <c r="X13">
        <v>5</v>
      </c>
      <c r="Y13" s="41">
        <f t="shared" si="7"/>
        <v>7045981.2500000019</v>
      </c>
      <c r="Z13">
        <v>25</v>
      </c>
      <c r="AA13">
        <v>5</v>
      </c>
      <c r="AB13" s="41">
        <f t="shared" si="8"/>
        <v>7750579.3750000037</v>
      </c>
      <c r="AC13">
        <v>25</v>
      </c>
      <c r="AD13">
        <v>5</v>
      </c>
      <c r="AE13" s="41">
        <f t="shared" si="9"/>
        <v>8525637.3125000037</v>
      </c>
      <c r="AF13" s="28">
        <f t="shared" si="1"/>
        <v>50032010.4375</v>
      </c>
      <c r="AG13" s="28">
        <f t="shared" si="0"/>
        <v>48574.767415048547</v>
      </c>
    </row>
    <row r="14" spans="1:40" ht="57.6" x14ac:dyDescent="0.3">
      <c r="A14" s="41" t="s">
        <v>983</v>
      </c>
      <c r="B14" s="41" t="s">
        <v>1280</v>
      </c>
      <c r="C14" s="41" t="s">
        <v>1287</v>
      </c>
      <c r="D14" s="41" t="s">
        <v>1290</v>
      </c>
      <c r="E14" s="41" t="s">
        <v>1015</v>
      </c>
      <c r="F14" s="41" t="s">
        <v>716</v>
      </c>
      <c r="G14" s="83">
        <v>39000</v>
      </c>
      <c r="H14" s="41">
        <v>25</v>
      </c>
      <c r="I14" s="41">
        <v>6</v>
      </c>
      <c r="J14" s="83">
        <f t="shared" si="2"/>
        <v>5850000</v>
      </c>
      <c r="K14" s="41">
        <v>25</v>
      </c>
      <c r="L14" s="41">
        <v>6</v>
      </c>
      <c r="M14" s="41">
        <f t="shared" si="3"/>
        <v>6435000</v>
      </c>
      <c r="N14" s="41">
        <v>25</v>
      </c>
      <c r="O14" s="41">
        <v>6</v>
      </c>
      <c r="P14" s="41">
        <f t="shared" si="4"/>
        <v>7078500.0000000019</v>
      </c>
      <c r="Q14" s="41">
        <v>25</v>
      </c>
      <c r="R14" s="41">
        <v>6</v>
      </c>
      <c r="S14" s="41">
        <f t="shared" si="5"/>
        <v>7786350.0000000028</v>
      </c>
      <c r="T14" s="41">
        <v>25</v>
      </c>
      <c r="U14" s="41">
        <v>6</v>
      </c>
      <c r="V14" s="41">
        <f t="shared" si="6"/>
        <v>8564985.0000000037</v>
      </c>
      <c r="W14">
        <v>25</v>
      </c>
      <c r="X14">
        <v>6</v>
      </c>
      <c r="Y14" s="41">
        <f t="shared" si="7"/>
        <v>9421483.5000000037</v>
      </c>
      <c r="Z14">
        <v>25</v>
      </c>
      <c r="AA14">
        <v>6</v>
      </c>
      <c r="AB14" s="41">
        <f t="shared" si="8"/>
        <v>10363631.850000005</v>
      </c>
      <c r="AC14">
        <v>25</v>
      </c>
      <c r="AD14">
        <v>6</v>
      </c>
      <c r="AE14" s="41">
        <f t="shared" si="9"/>
        <v>11399995.035000006</v>
      </c>
      <c r="AF14" s="28">
        <f t="shared" si="1"/>
        <v>66899945.385000028</v>
      </c>
      <c r="AG14" s="28">
        <f t="shared" si="0"/>
        <v>64951.403286407796</v>
      </c>
    </row>
    <row r="15" spans="1:40" ht="57.6" x14ac:dyDescent="0.3">
      <c r="A15" s="41" t="s">
        <v>983</v>
      </c>
      <c r="B15" s="41" t="s">
        <v>1280</v>
      </c>
      <c r="C15" s="41" t="s">
        <v>1287</v>
      </c>
      <c r="D15" s="41" t="s">
        <v>1290</v>
      </c>
      <c r="E15" s="41" t="s">
        <v>1015</v>
      </c>
      <c r="F15" s="41" t="s">
        <v>1371</v>
      </c>
      <c r="G15" s="83">
        <f>1999.2/7</f>
        <v>285.60000000000002</v>
      </c>
      <c r="H15" s="41">
        <f>2*135*9</f>
        <v>2430</v>
      </c>
      <c r="I15" s="41">
        <v>1</v>
      </c>
      <c r="J15" s="83">
        <f t="shared" si="2"/>
        <v>694008</v>
      </c>
      <c r="K15" s="41">
        <f>2*135*9</f>
        <v>2430</v>
      </c>
      <c r="L15" s="41">
        <v>1</v>
      </c>
      <c r="M15" s="41">
        <f t="shared" si="3"/>
        <v>763408.8</v>
      </c>
      <c r="N15" s="41">
        <f>2*135*9</f>
        <v>2430</v>
      </c>
      <c r="O15" s="41">
        <v>1</v>
      </c>
      <c r="P15" s="41">
        <f t="shared" si="4"/>
        <v>839749.68000000017</v>
      </c>
      <c r="Q15" s="41">
        <f>2*135*9</f>
        <v>2430</v>
      </c>
      <c r="R15" s="41">
        <v>1</v>
      </c>
      <c r="S15" s="41">
        <f t="shared" si="5"/>
        <v>923724.64800000039</v>
      </c>
      <c r="T15" s="41">
        <f>2*135*9</f>
        <v>2430</v>
      </c>
      <c r="U15" s="41">
        <v>1</v>
      </c>
      <c r="V15" s="41">
        <f t="shared" si="6"/>
        <v>1016097.1128000004</v>
      </c>
      <c r="W15">
        <f>2*135*9</f>
        <v>2430</v>
      </c>
      <c r="X15">
        <v>1</v>
      </c>
      <c r="Y15" s="41">
        <f t="shared" si="7"/>
        <v>1117706.8240800004</v>
      </c>
      <c r="Z15">
        <f>2*135*9</f>
        <v>2430</v>
      </c>
      <c r="AA15">
        <v>1</v>
      </c>
      <c r="AB15" s="41">
        <f t="shared" si="8"/>
        <v>1229477.5064880007</v>
      </c>
      <c r="AC15">
        <f>2*135*9</f>
        <v>2430</v>
      </c>
      <c r="AD15">
        <v>1</v>
      </c>
      <c r="AE15" s="41">
        <f t="shared" si="9"/>
        <v>1352425.257136801</v>
      </c>
      <c r="AF15" s="28">
        <f t="shared" si="1"/>
        <v>7936597.8285048045</v>
      </c>
      <c r="AG15" s="28">
        <f t="shared" si="0"/>
        <v>7705.4347849561209</v>
      </c>
    </row>
    <row r="16" spans="1:40" ht="57.6" x14ac:dyDescent="0.3">
      <c r="A16" s="41" t="s">
        <v>983</v>
      </c>
      <c r="B16" s="41" t="s">
        <v>1280</v>
      </c>
      <c r="C16" s="41" t="s">
        <v>1287</v>
      </c>
      <c r="D16" s="41" t="s">
        <v>1290</v>
      </c>
      <c r="E16" s="41" t="s">
        <v>1015</v>
      </c>
      <c r="F16" s="41" t="s">
        <v>712</v>
      </c>
      <c r="G16" s="83">
        <f>1999.2/7</f>
        <v>285.60000000000002</v>
      </c>
      <c r="H16" s="41">
        <f>25*2*9</f>
        <v>450</v>
      </c>
      <c r="I16" s="41">
        <v>5</v>
      </c>
      <c r="J16" s="83">
        <f t="shared" si="2"/>
        <v>642600.00000000012</v>
      </c>
      <c r="K16" s="41">
        <f>25*2*9</f>
        <v>450</v>
      </c>
      <c r="L16" s="41">
        <v>5</v>
      </c>
      <c r="M16" s="41">
        <f t="shared" si="3"/>
        <v>706860</v>
      </c>
      <c r="N16" s="41">
        <f>25*2*9</f>
        <v>450</v>
      </c>
      <c r="O16" s="41">
        <v>5</v>
      </c>
      <c r="P16" s="41">
        <f t="shared" si="4"/>
        <v>777546.00000000023</v>
      </c>
      <c r="Q16" s="41">
        <f>25*2*9</f>
        <v>450</v>
      </c>
      <c r="R16" s="41">
        <v>5</v>
      </c>
      <c r="S16" s="41">
        <f t="shared" si="5"/>
        <v>855300.60000000044</v>
      </c>
      <c r="T16" s="41">
        <f>25*2*9</f>
        <v>450</v>
      </c>
      <c r="U16" s="41">
        <v>5</v>
      </c>
      <c r="V16" s="41">
        <f t="shared" si="6"/>
        <v>940830.66000000038</v>
      </c>
      <c r="W16">
        <f>25*2*9</f>
        <v>450</v>
      </c>
      <c r="X16">
        <v>5</v>
      </c>
      <c r="Y16" s="41">
        <f t="shared" si="7"/>
        <v>1034913.7260000005</v>
      </c>
      <c r="Z16">
        <f>25*2*9</f>
        <v>450</v>
      </c>
      <c r="AA16">
        <v>5</v>
      </c>
      <c r="AB16" s="41">
        <f t="shared" si="8"/>
        <v>1138405.0986000006</v>
      </c>
      <c r="AC16">
        <f>25*2*9</f>
        <v>450</v>
      </c>
      <c r="AD16">
        <v>5</v>
      </c>
      <c r="AE16" s="41">
        <f t="shared" si="9"/>
        <v>1252245.6084600009</v>
      </c>
      <c r="AF16" s="28">
        <f t="shared" si="1"/>
        <v>7348701.6930600023</v>
      </c>
      <c r="AG16" s="28">
        <f t="shared" si="0"/>
        <v>7134.6618379223319</v>
      </c>
    </row>
    <row r="17" spans="1:33" ht="57.6" x14ac:dyDescent="0.3">
      <c r="A17" s="41" t="s">
        <v>983</v>
      </c>
      <c r="B17" s="41" t="s">
        <v>1280</v>
      </c>
      <c r="C17" s="41" t="s">
        <v>1287</v>
      </c>
      <c r="D17" s="41" t="s">
        <v>1290</v>
      </c>
      <c r="E17" s="41" t="s">
        <v>1015</v>
      </c>
      <c r="F17" s="41" t="s">
        <v>1297</v>
      </c>
      <c r="G17" s="83">
        <v>8000</v>
      </c>
      <c r="H17" s="41">
        <v>10</v>
      </c>
      <c r="I17" s="41">
        <v>1</v>
      </c>
      <c r="J17" s="83">
        <f t="shared" si="2"/>
        <v>80000</v>
      </c>
      <c r="K17" s="41">
        <v>10</v>
      </c>
      <c r="L17" s="41">
        <v>1</v>
      </c>
      <c r="M17" s="41">
        <f t="shared" si="3"/>
        <v>88000</v>
      </c>
      <c r="N17" s="41">
        <v>10</v>
      </c>
      <c r="O17" s="41">
        <v>1</v>
      </c>
      <c r="P17" s="41">
        <f t="shared" si="4"/>
        <v>96800.000000000015</v>
      </c>
      <c r="Q17" s="41">
        <v>10</v>
      </c>
      <c r="R17" s="41">
        <v>1</v>
      </c>
      <c r="S17" s="41">
        <f t="shared" si="5"/>
        <v>106480.00000000003</v>
      </c>
      <c r="T17" s="41">
        <v>10</v>
      </c>
      <c r="U17" s="41">
        <v>1</v>
      </c>
      <c r="V17" s="41">
        <f t="shared" si="6"/>
        <v>117128.00000000003</v>
      </c>
      <c r="W17">
        <v>10</v>
      </c>
      <c r="X17">
        <v>1</v>
      </c>
      <c r="Y17" s="41">
        <f t="shared" si="7"/>
        <v>128840.80000000003</v>
      </c>
      <c r="Z17">
        <v>10</v>
      </c>
      <c r="AA17">
        <v>1</v>
      </c>
      <c r="AB17" s="41">
        <f t="shared" si="8"/>
        <v>141724.88000000006</v>
      </c>
      <c r="AC17">
        <v>10</v>
      </c>
      <c r="AD17">
        <v>1</v>
      </c>
      <c r="AE17" s="41">
        <f t="shared" si="9"/>
        <v>155897.3680000001</v>
      </c>
      <c r="AF17" s="28">
        <f t="shared" si="1"/>
        <v>914871.0480000003</v>
      </c>
      <c r="AG17" s="28">
        <f t="shared" si="0"/>
        <v>888.22431844660218</v>
      </c>
    </row>
    <row r="18" spans="1:33" ht="57.6" x14ac:dyDescent="0.3">
      <c r="A18" s="41" t="s">
        <v>983</v>
      </c>
      <c r="B18" s="41" t="s">
        <v>1280</v>
      </c>
      <c r="C18" s="41" t="s">
        <v>1287</v>
      </c>
      <c r="D18" s="41" t="s">
        <v>1290</v>
      </c>
      <c r="E18" s="41" t="s">
        <v>1015</v>
      </c>
      <c r="F18" s="41" t="s">
        <v>710</v>
      </c>
      <c r="G18" s="83">
        <v>104850</v>
      </c>
      <c r="H18" s="41">
        <v>1</v>
      </c>
      <c r="I18" s="41">
        <v>1</v>
      </c>
      <c r="J18" s="83">
        <f t="shared" si="2"/>
        <v>104850</v>
      </c>
      <c r="K18" s="41">
        <v>1</v>
      </c>
      <c r="L18" s="41">
        <v>1</v>
      </c>
      <c r="M18" s="41">
        <f t="shared" si="3"/>
        <v>115335.00000000001</v>
      </c>
      <c r="N18" s="41">
        <v>1</v>
      </c>
      <c r="O18" s="41">
        <v>1</v>
      </c>
      <c r="P18" s="41">
        <f t="shared" si="4"/>
        <v>126868.50000000001</v>
      </c>
      <c r="Q18" s="41">
        <v>1</v>
      </c>
      <c r="R18" s="41">
        <v>1</v>
      </c>
      <c r="S18" s="41">
        <f t="shared" si="5"/>
        <v>139555.35000000003</v>
      </c>
      <c r="T18" s="41">
        <v>1</v>
      </c>
      <c r="U18" s="41">
        <v>1</v>
      </c>
      <c r="V18" s="41">
        <f t="shared" si="6"/>
        <v>153510.88500000004</v>
      </c>
      <c r="W18">
        <v>1</v>
      </c>
      <c r="X18">
        <v>1</v>
      </c>
      <c r="Y18" s="41">
        <f t="shared" si="7"/>
        <v>168861.97350000005</v>
      </c>
      <c r="Z18">
        <v>1</v>
      </c>
      <c r="AA18">
        <v>1</v>
      </c>
      <c r="AB18" s="41">
        <f t="shared" si="8"/>
        <v>185748.17085000008</v>
      </c>
      <c r="AC18">
        <v>1</v>
      </c>
      <c r="AD18">
        <v>1</v>
      </c>
      <c r="AE18" s="41">
        <f t="shared" si="9"/>
        <v>204322.98793500013</v>
      </c>
      <c r="AF18" s="28">
        <f t="shared" si="1"/>
        <v>1199052.8672850004</v>
      </c>
      <c r="AG18" s="28">
        <f t="shared" si="0"/>
        <v>1164.128997364078</v>
      </c>
    </row>
    <row r="19" spans="1:33" ht="57.6" x14ac:dyDescent="0.3">
      <c r="A19" s="41" t="s">
        <v>983</v>
      </c>
      <c r="B19" s="41" t="s">
        <v>1280</v>
      </c>
      <c r="C19" s="41" t="s">
        <v>1287</v>
      </c>
      <c r="D19" s="41" t="s">
        <v>1290</v>
      </c>
      <c r="E19" s="41" t="s">
        <v>1015</v>
      </c>
      <c r="F19" s="41" t="s">
        <v>835</v>
      </c>
      <c r="G19" s="83">
        <v>8000</v>
      </c>
      <c r="H19" s="41">
        <v>10</v>
      </c>
      <c r="I19" s="41">
        <v>1</v>
      </c>
      <c r="J19" s="83">
        <f t="shared" si="2"/>
        <v>80000</v>
      </c>
      <c r="K19" s="41">
        <v>10</v>
      </c>
      <c r="L19" s="41">
        <v>1</v>
      </c>
      <c r="M19" s="41">
        <f t="shared" si="3"/>
        <v>88000</v>
      </c>
      <c r="N19" s="41">
        <v>10</v>
      </c>
      <c r="O19" s="41">
        <v>1</v>
      </c>
      <c r="P19" s="41">
        <f t="shared" si="4"/>
        <v>96800.000000000015</v>
      </c>
      <c r="Q19" s="41">
        <v>10</v>
      </c>
      <c r="R19" s="41">
        <v>1</v>
      </c>
      <c r="S19" s="41">
        <f t="shared" si="5"/>
        <v>106480.00000000003</v>
      </c>
      <c r="T19" s="41">
        <v>10</v>
      </c>
      <c r="U19" s="41">
        <v>1</v>
      </c>
      <c r="V19" s="41">
        <f t="shared" si="6"/>
        <v>117128.00000000003</v>
      </c>
      <c r="W19">
        <v>10</v>
      </c>
      <c r="X19">
        <v>1</v>
      </c>
      <c r="Y19" s="41">
        <f t="shared" si="7"/>
        <v>128840.80000000003</v>
      </c>
      <c r="Z19">
        <v>10</v>
      </c>
      <c r="AA19">
        <v>1</v>
      </c>
      <c r="AB19" s="41">
        <f t="shared" si="8"/>
        <v>141724.88000000006</v>
      </c>
      <c r="AC19">
        <v>10</v>
      </c>
      <c r="AD19">
        <v>1</v>
      </c>
      <c r="AE19" s="41">
        <f t="shared" si="9"/>
        <v>155897.3680000001</v>
      </c>
      <c r="AF19" s="28">
        <f t="shared" si="1"/>
        <v>914871.0480000003</v>
      </c>
      <c r="AG19" s="28">
        <f t="shared" si="0"/>
        <v>888.22431844660218</v>
      </c>
    </row>
    <row r="20" spans="1:33" ht="57.6" x14ac:dyDescent="0.3">
      <c r="A20" s="41" t="s">
        <v>983</v>
      </c>
      <c r="B20" s="41" t="s">
        <v>1280</v>
      </c>
      <c r="C20" s="41" t="s">
        <v>1287</v>
      </c>
      <c r="D20" s="41" t="s">
        <v>1290</v>
      </c>
      <c r="E20" s="41" t="s">
        <v>1159</v>
      </c>
      <c r="F20" s="41" t="s">
        <v>713</v>
      </c>
      <c r="G20" s="83">
        <v>45000</v>
      </c>
      <c r="H20" s="41">
        <v>25</v>
      </c>
      <c r="I20" s="41">
        <v>2</v>
      </c>
      <c r="J20" s="83">
        <f t="shared" si="2"/>
        <v>2250000</v>
      </c>
      <c r="K20" s="41">
        <v>25</v>
      </c>
      <c r="L20" s="41">
        <v>2</v>
      </c>
      <c r="M20" s="41">
        <f t="shared" si="3"/>
        <v>2475000.0000000005</v>
      </c>
      <c r="N20" s="41">
        <v>25</v>
      </c>
      <c r="O20" s="41">
        <v>2</v>
      </c>
      <c r="P20" s="41">
        <f t="shared" si="4"/>
        <v>2722500.0000000005</v>
      </c>
      <c r="Q20" s="41">
        <v>25</v>
      </c>
      <c r="R20" s="41">
        <v>2</v>
      </c>
      <c r="S20" s="41">
        <f t="shared" si="5"/>
        <v>2994750.0000000009</v>
      </c>
      <c r="T20" s="41">
        <v>25</v>
      </c>
      <c r="U20" s="41">
        <v>2</v>
      </c>
      <c r="V20" s="41">
        <f t="shared" si="6"/>
        <v>3294225.0000000009</v>
      </c>
      <c r="W20">
        <v>25</v>
      </c>
      <c r="X20">
        <v>2</v>
      </c>
      <c r="Y20" s="41">
        <f t="shared" si="7"/>
        <v>3623647.5000000014</v>
      </c>
      <c r="Z20">
        <v>25</v>
      </c>
      <c r="AA20">
        <v>2</v>
      </c>
      <c r="AB20" s="41">
        <f t="shared" si="8"/>
        <v>3986012.2500000019</v>
      </c>
      <c r="AC20">
        <v>25</v>
      </c>
      <c r="AD20">
        <v>2</v>
      </c>
      <c r="AE20" s="41">
        <f t="shared" si="9"/>
        <v>4384613.4750000024</v>
      </c>
      <c r="AF20" s="28">
        <f t="shared" si="1"/>
        <v>25730748.225000001</v>
      </c>
      <c r="AG20" s="28">
        <f t="shared" si="0"/>
        <v>24981.308956310681</v>
      </c>
    </row>
    <row r="21" spans="1:33" ht="57.6" x14ac:dyDescent="0.3">
      <c r="A21" s="41" t="s">
        <v>983</v>
      </c>
      <c r="B21" s="41" t="s">
        <v>1280</v>
      </c>
      <c r="C21" s="41" t="s">
        <v>1287</v>
      </c>
      <c r="D21" s="41" t="s">
        <v>1290</v>
      </c>
      <c r="E21" s="41" t="s">
        <v>1159</v>
      </c>
      <c r="F21" s="41" t="s">
        <v>1371</v>
      </c>
      <c r="G21" s="83">
        <f>1999.2/7</f>
        <v>285.60000000000002</v>
      </c>
      <c r="H21" s="41">
        <f>2*135*9</f>
        <v>2430</v>
      </c>
      <c r="I21" s="41">
        <v>1</v>
      </c>
      <c r="J21" s="83">
        <f t="shared" si="2"/>
        <v>694008</v>
      </c>
      <c r="K21" s="41">
        <f>2*135*9</f>
        <v>2430</v>
      </c>
      <c r="L21" s="41">
        <v>1</v>
      </c>
      <c r="M21" s="41">
        <f t="shared" si="3"/>
        <v>763408.8</v>
      </c>
      <c r="N21" s="41">
        <f>2*135*9</f>
        <v>2430</v>
      </c>
      <c r="O21" s="41">
        <v>1</v>
      </c>
      <c r="P21" s="41">
        <f t="shared" si="4"/>
        <v>839749.68000000017</v>
      </c>
      <c r="Q21" s="41">
        <f>2*135*9</f>
        <v>2430</v>
      </c>
      <c r="R21" s="41">
        <v>1</v>
      </c>
      <c r="S21" s="41">
        <f t="shared" si="5"/>
        <v>923724.64800000039</v>
      </c>
      <c r="T21" s="41">
        <f>2*135*9</f>
        <v>2430</v>
      </c>
      <c r="U21" s="41">
        <v>1</v>
      </c>
      <c r="V21" s="41">
        <f t="shared" si="6"/>
        <v>1016097.1128000004</v>
      </c>
      <c r="W21">
        <f>2*135*9</f>
        <v>2430</v>
      </c>
      <c r="X21">
        <v>1</v>
      </c>
      <c r="Y21" s="41">
        <f t="shared" si="7"/>
        <v>1117706.8240800004</v>
      </c>
      <c r="Z21">
        <f>2*135*9</f>
        <v>2430</v>
      </c>
      <c r="AA21">
        <v>1</v>
      </c>
      <c r="AB21" s="41">
        <f t="shared" si="8"/>
        <v>1229477.5064880007</v>
      </c>
      <c r="AC21">
        <f>2*135*9</f>
        <v>2430</v>
      </c>
      <c r="AD21">
        <v>1</v>
      </c>
      <c r="AE21" s="41">
        <f t="shared" si="9"/>
        <v>1352425.257136801</v>
      </c>
      <c r="AF21" s="28">
        <f t="shared" si="1"/>
        <v>7936597.8285048045</v>
      </c>
      <c r="AG21" s="28">
        <f t="shared" si="0"/>
        <v>7705.4347849561209</v>
      </c>
    </row>
    <row r="22" spans="1:33" ht="57.6" x14ac:dyDescent="0.3">
      <c r="A22" s="41" t="s">
        <v>983</v>
      </c>
      <c r="B22" s="41" t="s">
        <v>1280</v>
      </c>
      <c r="C22" s="41" t="s">
        <v>1287</v>
      </c>
      <c r="D22" s="41" t="s">
        <v>1290</v>
      </c>
      <c r="E22" s="41" t="s">
        <v>1159</v>
      </c>
      <c r="F22" s="41" t="s">
        <v>712</v>
      </c>
      <c r="G22" s="83">
        <f>1999.2/7</f>
        <v>285.60000000000002</v>
      </c>
      <c r="H22" s="41">
        <f>25*2*9</f>
        <v>450</v>
      </c>
      <c r="I22" s="41">
        <v>1</v>
      </c>
      <c r="J22" s="83">
        <f t="shared" si="2"/>
        <v>128520.00000000001</v>
      </c>
      <c r="K22" s="41">
        <f>25*2*9</f>
        <v>450</v>
      </c>
      <c r="L22" s="41">
        <v>1</v>
      </c>
      <c r="M22" s="41">
        <f t="shared" si="3"/>
        <v>141372</v>
      </c>
      <c r="N22" s="41">
        <f>25*2*9</f>
        <v>450</v>
      </c>
      <c r="O22" s="41">
        <v>1</v>
      </c>
      <c r="P22" s="41">
        <f t="shared" si="4"/>
        <v>155509.20000000004</v>
      </c>
      <c r="Q22" s="41">
        <f>25*2*9</f>
        <v>450</v>
      </c>
      <c r="R22" s="41">
        <v>1</v>
      </c>
      <c r="S22" s="41">
        <f t="shared" si="5"/>
        <v>171060.12000000008</v>
      </c>
      <c r="T22" s="41">
        <f>25*2*9</f>
        <v>450</v>
      </c>
      <c r="U22" s="41">
        <v>1</v>
      </c>
      <c r="V22" s="41">
        <f t="shared" si="6"/>
        <v>188166.13200000007</v>
      </c>
      <c r="W22">
        <f>25*2*9</f>
        <v>450</v>
      </c>
      <c r="X22">
        <v>1</v>
      </c>
      <c r="Y22" s="41">
        <f t="shared" si="7"/>
        <v>206982.74520000009</v>
      </c>
      <c r="Z22">
        <f>25*2*9</f>
        <v>450</v>
      </c>
      <c r="AA22">
        <v>1</v>
      </c>
      <c r="AB22" s="41">
        <f t="shared" si="8"/>
        <v>227681.01972000013</v>
      </c>
      <c r="AC22">
        <f>25*2*9</f>
        <v>450</v>
      </c>
      <c r="AD22">
        <v>1</v>
      </c>
      <c r="AE22" s="41">
        <f t="shared" si="9"/>
        <v>250449.12169200019</v>
      </c>
      <c r="AF22" s="28">
        <f t="shared" si="1"/>
        <v>1469740.3386120007</v>
      </c>
      <c r="AG22" s="28">
        <f t="shared" si="0"/>
        <v>1426.9323675844666</v>
      </c>
    </row>
    <row r="23" spans="1:33" ht="57.6" x14ac:dyDescent="0.3">
      <c r="A23" s="41" t="s">
        <v>983</v>
      </c>
      <c r="B23" s="41" t="s">
        <v>1280</v>
      </c>
      <c r="C23" s="41" t="s">
        <v>1287</v>
      </c>
      <c r="D23" s="41" t="s">
        <v>1290</v>
      </c>
      <c r="E23" s="41" t="s">
        <v>1017</v>
      </c>
      <c r="F23" s="41" t="s">
        <v>709</v>
      </c>
      <c r="G23" s="83">
        <v>35000</v>
      </c>
      <c r="H23" s="41">
        <v>25</v>
      </c>
      <c r="I23" s="41">
        <v>1</v>
      </c>
      <c r="J23" s="83">
        <f t="shared" si="2"/>
        <v>875000</v>
      </c>
      <c r="K23" s="41">
        <v>25</v>
      </c>
      <c r="L23" s="41">
        <v>1</v>
      </c>
      <c r="M23" s="41">
        <f t="shared" si="3"/>
        <v>962500</v>
      </c>
      <c r="N23" s="41">
        <v>25</v>
      </c>
      <c r="O23" s="41">
        <v>1</v>
      </c>
      <c r="P23" s="41">
        <f t="shared" si="4"/>
        <v>1058750.0000000002</v>
      </c>
      <c r="Q23" s="41">
        <v>25</v>
      </c>
      <c r="R23" s="41">
        <v>1</v>
      </c>
      <c r="S23" s="41">
        <f t="shared" si="5"/>
        <v>1164625.0000000005</v>
      </c>
      <c r="T23" s="41">
        <v>25</v>
      </c>
      <c r="U23" s="41">
        <v>1</v>
      </c>
      <c r="V23" s="41">
        <f t="shared" si="6"/>
        <v>1281087.5000000005</v>
      </c>
      <c r="W23">
        <v>25</v>
      </c>
      <c r="X23">
        <v>1</v>
      </c>
      <c r="Y23" s="41">
        <f t="shared" si="7"/>
        <v>1409196.2500000005</v>
      </c>
      <c r="Z23">
        <v>25</v>
      </c>
      <c r="AA23">
        <v>1</v>
      </c>
      <c r="AB23" s="41">
        <f t="shared" si="8"/>
        <v>1550115.8750000007</v>
      </c>
      <c r="AC23">
        <v>25</v>
      </c>
      <c r="AD23">
        <v>1</v>
      </c>
      <c r="AE23" s="41">
        <f t="shared" si="9"/>
        <v>1705127.4625000008</v>
      </c>
      <c r="AF23" s="28">
        <f t="shared" si="1"/>
        <v>10006402.087500004</v>
      </c>
      <c r="AG23" s="28">
        <f t="shared" si="0"/>
        <v>9714.9534830097127</v>
      </c>
    </row>
    <row r="24" spans="1:33" ht="57.6" x14ac:dyDescent="0.3">
      <c r="A24" s="41" t="s">
        <v>983</v>
      </c>
      <c r="B24" s="41" t="s">
        <v>1280</v>
      </c>
      <c r="C24" s="41" t="s">
        <v>1287</v>
      </c>
      <c r="D24" s="41" t="s">
        <v>1290</v>
      </c>
      <c r="E24" s="41" t="s">
        <v>168</v>
      </c>
      <c r="F24" s="41" t="s">
        <v>709</v>
      </c>
      <c r="G24" s="83">
        <v>35000</v>
      </c>
      <c r="H24" s="41">
        <v>100</v>
      </c>
      <c r="I24" s="41">
        <v>1</v>
      </c>
      <c r="J24" s="83">
        <f t="shared" si="2"/>
        <v>3500000</v>
      </c>
      <c r="K24" s="41">
        <v>100</v>
      </c>
      <c r="L24" s="41">
        <v>1</v>
      </c>
      <c r="M24" s="41">
        <f t="shared" si="3"/>
        <v>3850000</v>
      </c>
      <c r="N24" s="41">
        <v>100</v>
      </c>
      <c r="O24" s="41">
        <v>1</v>
      </c>
      <c r="P24" s="41">
        <f t="shared" si="4"/>
        <v>4235000.0000000009</v>
      </c>
      <c r="Q24" s="41">
        <v>100</v>
      </c>
      <c r="R24" s="41">
        <v>1</v>
      </c>
      <c r="S24" s="41">
        <f t="shared" si="5"/>
        <v>4658500.0000000019</v>
      </c>
      <c r="T24" s="41">
        <v>100</v>
      </c>
      <c r="U24" s="41">
        <v>1</v>
      </c>
      <c r="V24" s="41">
        <f t="shared" si="6"/>
        <v>5124350.0000000019</v>
      </c>
      <c r="W24">
        <v>100</v>
      </c>
      <c r="X24">
        <v>1</v>
      </c>
      <c r="Y24" s="41">
        <f t="shared" si="7"/>
        <v>5636785.0000000019</v>
      </c>
      <c r="Z24">
        <v>100</v>
      </c>
      <c r="AA24">
        <v>1</v>
      </c>
      <c r="AB24" s="41">
        <f t="shared" si="8"/>
        <v>6200463.5000000028</v>
      </c>
      <c r="AC24">
        <v>100</v>
      </c>
      <c r="AD24">
        <v>1</v>
      </c>
      <c r="AE24" s="41">
        <f t="shared" si="9"/>
        <v>6820509.8500000034</v>
      </c>
      <c r="AF24" s="28">
        <f t="shared" si="1"/>
        <v>40025608.350000016</v>
      </c>
      <c r="AG24" s="28">
        <f t="shared" si="0"/>
        <v>38859.813932038851</v>
      </c>
    </row>
    <row r="25" spans="1:33" ht="57.6" x14ac:dyDescent="0.3">
      <c r="A25" s="41" t="s">
        <v>983</v>
      </c>
      <c r="B25" s="41" t="s">
        <v>1280</v>
      </c>
      <c r="C25" s="41" t="s">
        <v>1287</v>
      </c>
      <c r="D25" s="41" t="s">
        <v>1290</v>
      </c>
      <c r="E25" s="41" t="s">
        <v>168</v>
      </c>
      <c r="F25" s="41" t="s">
        <v>716</v>
      </c>
      <c r="G25" s="83">
        <v>39000</v>
      </c>
      <c r="H25" s="41">
        <v>58</v>
      </c>
      <c r="I25" s="41">
        <v>2</v>
      </c>
      <c r="J25" s="83">
        <f t="shared" si="2"/>
        <v>4524000</v>
      </c>
      <c r="K25" s="41">
        <v>58</v>
      </c>
      <c r="L25" s="41">
        <v>2</v>
      </c>
      <c r="M25" s="41">
        <f t="shared" si="3"/>
        <v>4976400</v>
      </c>
      <c r="N25" s="41">
        <v>58</v>
      </c>
      <c r="O25" s="41">
        <v>2</v>
      </c>
      <c r="P25" s="41">
        <f t="shared" si="4"/>
        <v>5474040.0000000009</v>
      </c>
      <c r="Q25" s="41">
        <v>58</v>
      </c>
      <c r="R25" s="41">
        <v>2</v>
      </c>
      <c r="S25" s="41">
        <f t="shared" si="5"/>
        <v>6021444.0000000019</v>
      </c>
      <c r="T25" s="41">
        <v>58</v>
      </c>
      <c r="U25" s="41">
        <v>2</v>
      </c>
      <c r="V25" s="41">
        <f t="shared" si="6"/>
        <v>6623588.4000000022</v>
      </c>
      <c r="W25">
        <v>58</v>
      </c>
      <c r="X25">
        <v>2</v>
      </c>
      <c r="Y25" s="41">
        <f t="shared" si="7"/>
        <v>7285947.2400000021</v>
      </c>
      <c r="Z25">
        <v>58</v>
      </c>
      <c r="AA25">
        <v>2</v>
      </c>
      <c r="AB25" s="41">
        <f t="shared" si="8"/>
        <v>8014541.9640000034</v>
      </c>
      <c r="AC25">
        <v>58</v>
      </c>
      <c r="AD25">
        <v>2</v>
      </c>
      <c r="AE25" s="41">
        <f t="shared" si="9"/>
        <v>8815996.1604000051</v>
      </c>
      <c r="AF25" s="28">
        <f t="shared" si="1"/>
        <v>51735957.764400005</v>
      </c>
      <c r="AG25" s="28">
        <f t="shared" si="0"/>
        <v>50229.085208155346</v>
      </c>
    </row>
    <row r="26" spans="1:33" ht="57.6" x14ac:dyDescent="0.3">
      <c r="A26" s="41" t="s">
        <v>983</v>
      </c>
      <c r="B26" s="41" t="s">
        <v>1280</v>
      </c>
      <c r="C26" s="41" t="s">
        <v>1287</v>
      </c>
      <c r="D26" s="41" t="s">
        <v>1290</v>
      </c>
      <c r="E26" s="41" t="s">
        <v>168</v>
      </c>
      <c r="F26" s="41" t="s">
        <v>1371</v>
      </c>
      <c r="G26" s="83">
        <f>1999.2/7</f>
        <v>285.60000000000002</v>
      </c>
      <c r="H26" s="41">
        <v>17376</v>
      </c>
      <c r="I26" s="41">
        <v>1</v>
      </c>
      <c r="J26" s="83">
        <f t="shared" si="2"/>
        <v>4962585.6000000006</v>
      </c>
      <c r="K26" s="41">
        <f>2*135*29</f>
        <v>7830</v>
      </c>
      <c r="L26" s="41">
        <v>1</v>
      </c>
      <c r="M26" s="41">
        <f t="shared" si="3"/>
        <v>2459872.8000000003</v>
      </c>
      <c r="N26" s="41">
        <f>2*135*29</f>
        <v>7830</v>
      </c>
      <c r="O26" s="41">
        <v>1</v>
      </c>
      <c r="P26" s="41">
        <f t="shared" si="4"/>
        <v>2705860.0800000005</v>
      </c>
      <c r="Q26" s="41">
        <f>2*135*29</f>
        <v>7830</v>
      </c>
      <c r="R26" s="41">
        <v>1</v>
      </c>
      <c r="S26" s="41">
        <f t="shared" si="5"/>
        <v>2976446.0880000014</v>
      </c>
      <c r="T26" s="41">
        <f>2*135*29</f>
        <v>7830</v>
      </c>
      <c r="U26" s="41">
        <v>1</v>
      </c>
      <c r="V26" s="41">
        <f t="shared" si="6"/>
        <v>3274090.696800001</v>
      </c>
      <c r="W26">
        <f>2*135*29</f>
        <v>7830</v>
      </c>
      <c r="X26">
        <v>1</v>
      </c>
      <c r="Y26" s="41">
        <f t="shared" si="7"/>
        <v>3601499.7664800012</v>
      </c>
      <c r="Z26">
        <f>2*135*29</f>
        <v>7830</v>
      </c>
      <c r="AA26">
        <v>1</v>
      </c>
      <c r="AB26" s="41">
        <f t="shared" si="8"/>
        <v>3961649.7431280022</v>
      </c>
      <c r="AC26">
        <f>2*135*29</f>
        <v>7830</v>
      </c>
      <c r="AD26">
        <v>1</v>
      </c>
      <c r="AE26" s="41">
        <f t="shared" si="9"/>
        <v>4357814.7174408035</v>
      </c>
      <c r="AF26" s="28">
        <f t="shared" si="1"/>
        <v>28299819.491848808</v>
      </c>
      <c r="AG26" s="28">
        <f t="shared" si="0"/>
        <v>27475.55290470758</v>
      </c>
    </row>
    <row r="27" spans="1:33" ht="57.6" x14ac:dyDescent="0.3">
      <c r="A27" s="41" t="s">
        <v>983</v>
      </c>
      <c r="B27" s="41" t="s">
        <v>1280</v>
      </c>
      <c r="C27" s="41" t="s">
        <v>1287</v>
      </c>
      <c r="D27" s="41" t="s">
        <v>1290</v>
      </c>
      <c r="E27" s="41" t="s">
        <v>168</v>
      </c>
      <c r="F27" s="41" t="s">
        <v>712</v>
      </c>
      <c r="G27" s="83">
        <f>1999.2/7</f>
        <v>285.60000000000002</v>
      </c>
      <c r="H27" s="41">
        <f>25*2*29</f>
        <v>1450</v>
      </c>
      <c r="I27" s="41">
        <v>1</v>
      </c>
      <c r="J27" s="83">
        <f t="shared" si="2"/>
        <v>414120.00000000006</v>
      </c>
      <c r="K27" s="41">
        <f>25*2*29</f>
        <v>1450</v>
      </c>
      <c r="L27" s="41">
        <v>1</v>
      </c>
      <c r="M27" s="41">
        <f t="shared" si="3"/>
        <v>455532.00000000006</v>
      </c>
      <c r="N27" s="41">
        <f>25*2*29</f>
        <v>1450</v>
      </c>
      <c r="O27" s="41">
        <v>1</v>
      </c>
      <c r="P27" s="41">
        <f t="shared" si="4"/>
        <v>501085.20000000013</v>
      </c>
      <c r="Q27" s="41">
        <f>25*2*29</f>
        <v>1450</v>
      </c>
      <c r="R27" s="41">
        <v>1</v>
      </c>
      <c r="S27" s="41">
        <f t="shared" si="5"/>
        <v>551193.7200000002</v>
      </c>
      <c r="T27" s="41">
        <f>25*2*29</f>
        <v>1450</v>
      </c>
      <c r="U27" s="41">
        <v>1</v>
      </c>
      <c r="V27" s="41">
        <f t="shared" si="6"/>
        <v>606313.09200000018</v>
      </c>
      <c r="W27">
        <f>25*2*29</f>
        <v>1450</v>
      </c>
      <c r="X27">
        <v>1</v>
      </c>
      <c r="Y27" s="41">
        <f t="shared" si="7"/>
        <v>666944.4012000002</v>
      </c>
      <c r="Z27">
        <f>25*2*29</f>
        <v>1450</v>
      </c>
      <c r="AA27">
        <v>1</v>
      </c>
      <c r="AB27" s="41">
        <f t="shared" si="8"/>
        <v>733638.84132000036</v>
      </c>
      <c r="AC27">
        <f>25*2*29</f>
        <v>1450</v>
      </c>
      <c r="AD27">
        <v>1</v>
      </c>
      <c r="AE27" s="41">
        <f t="shared" si="9"/>
        <v>807002.72545200062</v>
      </c>
      <c r="AF27" s="28">
        <f t="shared" si="1"/>
        <v>4735829.9799720012</v>
      </c>
      <c r="AG27" s="28">
        <f t="shared" si="0"/>
        <v>4597.8931844388362</v>
      </c>
    </row>
    <row r="28" spans="1:33" ht="57.6" x14ac:dyDescent="0.3">
      <c r="A28" s="41" t="s">
        <v>983</v>
      </c>
      <c r="B28" s="41" t="s">
        <v>1280</v>
      </c>
      <c r="C28" s="41" t="s">
        <v>1287</v>
      </c>
      <c r="D28" s="41" t="s">
        <v>1290</v>
      </c>
      <c r="E28" s="41" t="s">
        <v>1156</v>
      </c>
      <c r="F28" s="41" t="s">
        <v>709</v>
      </c>
      <c r="G28" s="83">
        <v>35000</v>
      </c>
      <c r="H28" s="41">
        <v>100</v>
      </c>
      <c r="I28" s="41">
        <v>1</v>
      </c>
      <c r="J28" s="83">
        <f t="shared" si="2"/>
        <v>3500000</v>
      </c>
      <c r="K28" s="41">
        <v>100</v>
      </c>
      <c r="L28" s="41">
        <v>1</v>
      </c>
      <c r="M28" s="41">
        <f t="shared" si="3"/>
        <v>3850000</v>
      </c>
      <c r="N28" s="41">
        <v>100</v>
      </c>
      <c r="O28" s="41">
        <v>1</v>
      </c>
      <c r="P28" s="41">
        <f t="shared" si="4"/>
        <v>4235000.0000000009</v>
      </c>
      <c r="Q28" s="41">
        <v>100</v>
      </c>
      <c r="R28" s="41">
        <v>1</v>
      </c>
      <c r="S28" s="41">
        <f t="shared" si="5"/>
        <v>4658500.0000000019</v>
      </c>
      <c r="T28" s="41">
        <v>100</v>
      </c>
      <c r="U28" s="41">
        <v>1</v>
      </c>
      <c r="V28" s="41">
        <f t="shared" si="6"/>
        <v>5124350.0000000019</v>
      </c>
      <c r="W28">
        <v>100</v>
      </c>
      <c r="X28">
        <v>1</v>
      </c>
      <c r="Y28" s="41">
        <f t="shared" si="7"/>
        <v>5636785.0000000019</v>
      </c>
      <c r="Z28">
        <v>100</v>
      </c>
      <c r="AA28">
        <v>1</v>
      </c>
      <c r="AB28" s="41">
        <f t="shared" si="8"/>
        <v>6200463.5000000028</v>
      </c>
      <c r="AC28">
        <v>100</v>
      </c>
      <c r="AD28">
        <v>1</v>
      </c>
      <c r="AE28" s="41">
        <f t="shared" si="9"/>
        <v>6820509.8500000034</v>
      </c>
      <c r="AF28" s="28">
        <f t="shared" si="1"/>
        <v>40025608.350000016</v>
      </c>
      <c r="AG28" s="28">
        <f t="shared" si="0"/>
        <v>38859.813932038851</v>
      </c>
    </row>
    <row r="29" spans="1:33" ht="57.6" x14ac:dyDescent="0.3">
      <c r="A29" s="41" t="s">
        <v>983</v>
      </c>
      <c r="B29" s="41" t="s">
        <v>1280</v>
      </c>
      <c r="C29" s="41" t="s">
        <v>1287</v>
      </c>
      <c r="D29" s="41" t="s">
        <v>1290</v>
      </c>
      <c r="E29" s="41" t="s">
        <v>1156</v>
      </c>
      <c r="F29" s="41" t="s">
        <v>716</v>
      </c>
      <c r="G29" s="83">
        <v>39000</v>
      </c>
      <c r="H29" s="41">
        <v>58</v>
      </c>
      <c r="I29" s="41">
        <v>2</v>
      </c>
      <c r="J29" s="83">
        <f t="shared" si="2"/>
        <v>4524000</v>
      </c>
      <c r="K29" s="41">
        <v>58</v>
      </c>
      <c r="L29" s="41">
        <v>2</v>
      </c>
      <c r="M29" s="41">
        <f t="shared" si="3"/>
        <v>4976400</v>
      </c>
      <c r="N29" s="41">
        <v>58</v>
      </c>
      <c r="O29" s="41">
        <v>2</v>
      </c>
      <c r="P29" s="41">
        <f t="shared" si="4"/>
        <v>5474040.0000000009</v>
      </c>
      <c r="Q29" s="41">
        <v>58</v>
      </c>
      <c r="R29" s="41">
        <v>2</v>
      </c>
      <c r="S29" s="41">
        <f t="shared" si="5"/>
        <v>6021444.0000000019</v>
      </c>
      <c r="T29" s="41">
        <v>58</v>
      </c>
      <c r="U29" s="41">
        <v>2</v>
      </c>
      <c r="V29" s="41">
        <f t="shared" si="6"/>
        <v>6623588.4000000022</v>
      </c>
      <c r="W29">
        <v>58</v>
      </c>
      <c r="X29">
        <v>2</v>
      </c>
      <c r="Y29" s="41">
        <f t="shared" si="7"/>
        <v>7285947.2400000021</v>
      </c>
      <c r="Z29">
        <v>58</v>
      </c>
      <c r="AA29">
        <v>2</v>
      </c>
      <c r="AB29" s="41">
        <f t="shared" si="8"/>
        <v>8014541.9640000034</v>
      </c>
      <c r="AC29">
        <v>58</v>
      </c>
      <c r="AD29">
        <v>2</v>
      </c>
      <c r="AE29" s="41">
        <f t="shared" si="9"/>
        <v>8815996.1604000051</v>
      </c>
      <c r="AF29" s="28">
        <f t="shared" si="1"/>
        <v>51735957.764400005</v>
      </c>
      <c r="AG29" s="28">
        <f t="shared" si="0"/>
        <v>50229.085208155346</v>
      </c>
    </row>
    <row r="30" spans="1:33" ht="57.6" x14ac:dyDescent="0.3">
      <c r="A30" s="41" t="s">
        <v>983</v>
      </c>
      <c r="B30" s="41" t="s">
        <v>1280</v>
      </c>
      <c r="C30" s="41" t="s">
        <v>1287</v>
      </c>
      <c r="D30" s="41" t="s">
        <v>1290</v>
      </c>
      <c r="E30" s="41" t="s">
        <v>1156</v>
      </c>
      <c r="F30" s="41" t="s">
        <v>1297</v>
      </c>
      <c r="G30" s="83">
        <v>8000</v>
      </c>
      <c r="H30" s="41">
        <v>10</v>
      </c>
      <c r="I30" s="41">
        <v>1</v>
      </c>
      <c r="J30" s="83">
        <f t="shared" si="2"/>
        <v>80000</v>
      </c>
      <c r="K30" s="41">
        <v>10</v>
      </c>
      <c r="L30" s="41">
        <v>1</v>
      </c>
      <c r="M30" s="41">
        <f t="shared" si="3"/>
        <v>88000</v>
      </c>
      <c r="N30" s="41">
        <v>10</v>
      </c>
      <c r="O30" s="41">
        <v>1</v>
      </c>
      <c r="P30" s="41">
        <f t="shared" si="4"/>
        <v>96800.000000000015</v>
      </c>
      <c r="Q30" s="41">
        <v>10</v>
      </c>
      <c r="R30" s="41">
        <v>1</v>
      </c>
      <c r="S30" s="41">
        <f t="shared" si="5"/>
        <v>106480.00000000003</v>
      </c>
      <c r="T30" s="41">
        <v>10</v>
      </c>
      <c r="U30" s="41">
        <v>1</v>
      </c>
      <c r="V30" s="41">
        <f t="shared" si="6"/>
        <v>117128.00000000003</v>
      </c>
      <c r="W30">
        <v>10</v>
      </c>
      <c r="X30">
        <v>1</v>
      </c>
      <c r="Y30" s="41">
        <f t="shared" si="7"/>
        <v>128840.80000000003</v>
      </c>
      <c r="Z30">
        <v>10</v>
      </c>
      <c r="AA30">
        <v>1</v>
      </c>
      <c r="AB30" s="41">
        <f t="shared" si="8"/>
        <v>141724.88000000006</v>
      </c>
      <c r="AC30">
        <v>10</v>
      </c>
      <c r="AD30">
        <v>1</v>
      </c>
      <c r="AE30" s="41">
        <f t="shared" si="9"/>
        <v>155897.3680000001</v>
      </c>
      <c r="AF30" s="28">
        <f t="shared" si="1"/>
        <v>914871.0480000003</v>
      </c>
      <c r="AG30" s="28">
        <f t="shared" si="0"/>
        <v>888.22431844660218</v>
      </c>
    </row>
    <row r="31" spans="1:33" ht="57.6" x14ac:dyDescent="0.3">
      <c r="A31" s="41" t="s">
        <v>983</v>
      </c>
      <c r="B31" s="41" t="s">
        <v>1280</v>
      </c>
      <c r="C31" s="41" t="s">
        <v>1287</v>
      </c>
      <c r="D31" s="41" t="s">
        <v>1290</v>
      </c>
      <c r="E31" s="41" t="s">
        <v>1156</v>
      </c>
      <c r="F31" s="41" t="s">
        <v>710</v>
      </c>
      <c r="G31" s="83">
        <v>104850</v>
      </c>
      <c r="H31" s="41">
        <v>1</v>
      </c>
      <c r="I31" s="41">
        <v>1</v>
      </c>
      <c r="J31" s="83">
        <f t="shared" si="2"/>
        <v>104850</v>
      </c>
      <c r="K31" s="41">
        <v>1</v>
      </c>
      <c r="L31" s="41">
        <v>1</v>
      </c>
      <c r="M31" s="41">
        <f t="shared" si="3"/>
        <v>115335.00000000001</v>
      </c>
      <c r="N31" s="41">
        <v>1</v>
      </c>
      <c r="O31" s="41">
        <v>1</v>
      </c>
      <c r="P31" s="41">
        <f t="shared" si="4"/>
        <v>126868.50000000001</v>
      </c>
      <c r="Q31" s="41">
        <v>1</v>
      </c>
      <c r="R31" s="41">
        <v>1</v>
      </c>
      <c r="S31" s="41">
        <f t="shared" si="5"/>
        <v>139555.35000000003</v>
      </c>
      <c r="T31" s="41">
        <v>1</v>
      </c>
      <c r="U31" s="41">
        <v>1</v>
      </c>
      <c r="V31" s="41">
        <f t="shared" si="6"/>
        <v>153510.88500000004</v>
      </c>
      <c r="W31">
        <v>1</v>
      </c>
      <c r="X31">
        <v>1</v>
      </c>
      <c r="Y31" s="41">
        <f t="shared" si="7"/>
        <v>168861.97350000005</v>
      </c>
      <c r="Z31">
        <v>1</v>
      </c>
      <c r="AA31">
        <v>1</v>
      </c>
      <c r="AB31" s="41">
        <f t="shared" si="8"/>
        <v>185748.17085000008</v>
      </c>
      <c r="AC31">
        <v>1</v>
      </c>
      <c r="AD31">
        <v>1</v>
      </c>
      <c r="AE31" s="41">
        <f t="shared" si="9"/>
        <v>204322.98793500013</v>
      </c>
      <c r="AF31" s="28">
        <f t="shared" si="1"/>
        <v>1199052.8672850004</v>
      </c>
      <c r="AG31" s="28">
        <f t="shared" si="0"/>
        <v>1164.128997364078</v>
      </c>
    </row>
    <row r="32" spans="1:33" ht="57.6" x14ac:dyDescent="0.3">
      <c r="A32" s="41" t="s">
        <v>983</v>
      </c>
      <c r="B32" s="41" t="s">
        <v>1280</v>
      </c>
      <c r="C32" s="41" t="s">
        <v>1287</v>
      </c>
      <c r="D32" s="41" t="s">
        <v>1290</v>
      </c>
      <c r="E32" s="41" t="s">
        <v>1156</v>
      </c>
      <c r="F32" s="41" t="s">
        <v>1371</v>
      </c>
      <c r="G32" s="83">
        <f>1999.2/7</f>
        <v>285.60000000000002</v>
      </c>
      <c r="H32" s="41">
        <v>17376</v>
      </c>
      <c r="I32" s="41">
        <v>1</v>
      </c>
      <c r="J32" s="83">
        <f t="shared" si="2"/>
        <v>4962585.6000000006</v>
      </c>
      <c r="K32" s="41">
        <f>2*135*29</f>
        <v>7830</v>
      </c>
      <c r="L32" s="41">
        <v>1</v>
      </c>
      <c r="M32" s="41">
        <f t="shared" si="3"/>
        <v>2459872.8000000003</v>
      </c>
      <c r="N32" s="41">
        <f>2*135*29</f>
        <v>7830</v>
      </c>
      <c r="O32" s="41">
        <v>1</v>
      </c>
      <c r="P32" s="41">
        <f t="shared" si="4"/>
        <v>2705860.0800000005</v>
      </c>
      <c r="Q32" s="41">
        <f>2*135*29</f>
        <v>7830</v>
      </c>
      <c r="R32" s="41">
        <v>1</v>
      </c>
      <c r="S32" s="41">
        <f t="shared" si="5"/>
        <v>2976446.0880000014</v>
      </c>
      <c r="T32" s="41">
        <f>2*135*29</f>
        <v>7830</v>
      </c>
      <c r="U32" s="41">
        <v>1</v>
      </c>
      <c r="V32" s="41">
        <f t="shared" si="6"/>
        <v>3274090.696800001</v>
      </c>
      <c r="W32">
        <f>2*135*29</f>
        <v>7830</v>
      </c>
      <c r="X32">
        <v>1</v>
      </c>
      <c r="Y32" s="41">
        <f t="shared" si="7"/>
        <v>3601499.7664800012</v>
      </c>
      <c r="Z32">
        <f>2*135*29</f>
        <v>7830</v>
      </c>
      <c r="AA32">
        <v>1</v>
      </c>
      <c r="AB32" s="41">
        <f t="shared" si="8"/>
        <v>3961649.7431280022</v>
      </c>
      <c r="AC32">
        <f>2*135*29</f>
        <v>7830</v>
      </c>
      <c r="AD32">
        <v>1</v>
      </c>
      <c r="AE32" s="41">
        <f t="shared" si="9"/>
        <v>4357814.7174408035</v>
      </c>
      <c r="AF32" s="28">
        <f t="shared" si="1"/>
        <v>28299819.491848808</v>
      </c>
      <c r="AG32" s="28">
        <f t="shared" si="0"/>
        <v>27475.55290470758</v>
      </c>
    </row>
    <row r="33" spans="1:42" ht="57.6" x14ac:dyDescent="0.3">
      <c r="A33" s="41" t="s">
        <v>983</v>
      </c>
      <c r="B33" s="41" t="s">
        <v>1280</v>
      </c>
      <c r="C33" s="41" t="s">
        <v>1287</v>
      </c>
      <c r="D33" s="41" t="s">
        <v>1290</v>
      </c>
      <c r="E33" s="41" t="s">
        <v>1156</v>
      </c>
      <c r="F33" s="41" t="s">
        <v>712</v>
      </c>
      <c r="G33" s="83">
        <f>1999.2/7</f>
        <v>285.60000000000002</v>
      </c>
      <c r="H33" s="41">
        <f>25*2*29</f>
        <v>1450</v>
      </c>
      <c r="I33" s="41">
        <v>1</v>
      </c>
      <c r="J33" s="83">
        <f t="shared" si="2"/>
        <v>414120.00000000006</v>
      </c>
      <c r="K33" s="41">
        <f>25*2*29</f>
        <v>1450</v>
      </c>
      <c r="L33" s="41">
        <v>1</v>
      </c>
      <c r="M33" s="41">
        <f t="shared" si="3"/>
        <v>455532.00000000006</v>
      </c>
      <c r="N33" s="41">
        <f>25*2*29</f>
        <v>1450</v>
      </c>
      <c r="O33" s="41">
        <v>1</v>
      </c>
      <c r="P33" s="41">
        <f t="shared" si="4"/>
        <v>501085.20000000013</v>
      </c>
      <c r="Q33" s="41">
        <f>25*2*29</f>
        <v>1450</v>
      </c>
      <c r="R33" s="41">
        <v>1</v>
      </c>
      <c r="S33" s="41">
        <f t="shared" si="5"/>
        <v>551193.7200000002</v>
      </c>
      <c r="T33" s="41">
        <f>25*2*29</f>
        <v>1450</v>
      </c>
      <c r="U33" s="41">
        <v>1</v>
      </c>
      <c r="V33" s="41">
        <f t="shared" si="6"/>
        <v>606313.09200000018</v>
      </c>
      <c r="W33">
        <f>25*2*29</f>
        <v>1450</v>
      </c>
      <c r="X33">
        <v>1</v>
      </c>
      <c r="Y33" s="41">
        <f t="shared" si="7"/>
        <v>666944.4012000002</v>
      </c>
      <c r="Z33">
        <v>0</v>
      </c>
      <c r="AA33">
        <v>0</v>
      </c>
      <c r="AB33" s="41">
        <f t="shared" si="8"/>
        <v>0</v>
      </c>
      <c r="AC33">
        <v>0</v>
      </c>
      <c r="AD33">
        <v>0</v>
      </c>
      <c r="AE33" s="41">
        <f t="shared" si="9"/>
        <v>0</v>
      </c>
      <c r="AF33" s="28">
        <f t="shared" si="1"/>
        <v>3195188.4132000008</v>
      </c>
      <c r="AG33" s="28">
        <f t="shared" si="0"/>
        <v>3102.1246730097096</v>
      </c>
    </row>
    <row r="34" spans="1:42" ht="57.6" x14ac:dyDescent="0.3">
      <c r="A34" s="41" t="s">
        <v>983</v>
      </c>
      <c r="B34" s="41" t="s">
        <v>1280</v>
      </c>
      <c r="C34" s="41" t="s">
        <v>1287</v>
      </c>
      <c r="D34" s="41" t="s">
        <v>1291</v>
      </c>
      <c r="E34" s="41" t="s">
        <v>1292</v>
      </c>
      <c r="F34" s="41" t="s">
        <v>841</v>
      </c>
      <c r="G34" s="83">
        <v>0</v>
      </c>
      <c r="H34" s="41">
        <v>0</v>
      </c>
      <c r="I34" s="41">
        <v>0</v>
      </c>
      <c r="J34" s="83">
        <f t="shared" si="2"/>
        <v>0</v>
      </c>
      <c r="K34" s="41">
        <v>0</v>
      </c>
      <c r="L34" s="41">
        <v>0</v>
      </c>
      <c r="M34" s="41">
        <f t="shared" si="3"/>
        <v>0</v>
      </c>
      <c r="N34" s="41">
        <v>0</v>
      </c>
      <c r="O34" s="41">
        <v>0</v>
      </c>
      <c r="P34" s="41">
        <f t="shared" si="4"/>
        <v>0</v>
      </c>
      <c r="Q34" s="41">
        <v>0</v>
      </c>
      <c r="R34" s="41">
        <v>0</v>
      </c>
      <c r="S34" s="41">
        <f t="shared" si="5"/>
        <v>0</v>
      </c>
      <c r="T34" s="41">
        <v>0</v>
      </c>
      <c r="U34" s="41">
        <v>0</v>
      </c>
      <c r="V34" s="41">
        <f t="shared" si="6"/>
        <v>0</v>
      </c>
      <c r="W34">
        <v>0</v>
      </c>
      <c r="X34">
        <v>0</v>
      </c>
      <c r="Y34" s="41">
        <f t="shared" si="7"/>
        <v>0</v>
      </c>
      <c r="Z34">
        <v>0</v>
      </c>
      <c r="AA34">
        <v>0</v>
      </c>
      <c r="AB34" s="41">
        <f t="shared" si="8"/>
        <v>0</v>
      </c>
      <c r="AC34">
        <v>0</v>
      </c>
      <c r="AD34">
        <v>0</v>
      </c>
      <c r="AE34" s="41">
        <f t="shared" si="9"/>
        <v>0</v>
      </c>
      <c r="AF34" s="28">
        <f t="shared" ref="AF34:AF46" si="10">J34+M34+P34+S34+V34+Y34+AB34+AE34</f>
        <v>0</v>
      </c>
      <c r="AG34" s="28">
        <f t="shared" si="0"/>
        <v>0</v>
      </c>
    </row>
    <row r="35" spans="1:42" ht="57.6" x14ac:dyDescent="0.3">
      <c r="A35" s="41" t="s">
        <v>983</v>
      </c>
      <c r="B35" s="41" t="s">
        <v>1280</v>
      </c>
      <c r="C35" s="41" t="s">
        <v>1287</v>
      </c>
      <c r="D35" s="41" t="s">
        <v>1291</v>
      </c>
      <c r="E35" s="41" t="s">
        <v>1293</v>
      </c>
      <c r="F35" s="41" t="s">
        <v>841</v>
      </c>
      <c r="G35" s="83">
        <v>0</v>
      </c>
      <c r="H35" s="41">
        <v>0</v>
      </c>
      <c r="I35" s="41">
        <v>0</v>
      </c>
      <c r="J35" s="83">
        <f t="shared" si="2"/>
        <v>0</v>
      </c>
      <c r="K35" s="41">
        <v>0</v>
      </c>
      <c r="L35" s="41">
        <v>0</v>
      </c>
      <c r="M35" s="41">
        <f t="shared" si="3"/>
        <v>0</v>
      </c>
      <c r="N35" s="41">
        <v>0</v>
      </c>
      <c r="O35" s="41">
        <v>0</v>
      </c>
      <c r="P35" s="41">
        <f t="shared" si="4"/>
        <v>0</v>
      </c>
      <c r="Q35" s="41">
        <v>0</v>
      </c>
      <c r="R35" s="41">
        <v>0</v>
      </c>
      <c r="S35" s="41">
        <f t="shared" si="5"/>
        <v>0</v>
      </c>
      <c r="T35" s="41">
        <v>0</v>
      </c>
      <c r="U35" s="41">
        <v>0</v>
      </c>
      <c r="V35" s="41">
        <f t="shared" si="6"/>
        <v>0</v>
      </c>
      <c r="W35">
        <v>0</v>
      </c>
      <c r="X35">
        <v>0</v>
      </c>
      <c r="Y35" s="41">
        <f t="shared" si="7"/>
        <v>0</v>
      </c>
      <c r="Z35">
        <v>0</v>
      </c>
      <c r="AA35">
        <v>0</v>
      </c>
      <c r="AB35" s="41">
        <f t="shared" si="8"/>
        <v>0</v>
      </c>
      <c r="AC35">
        <v>0</v>
      </c>
      <c r="AD35">
        <v>0</v>
      </c>
      <c r="AE35" s="41">
        <f t="shared" si="9"/>
        <v>0</v>
      </c>
      <c r="AF35" s="28">
        <f t="shared" si="10"/>
        <v>0</v>
      </c>
      <c r="AG35" s="28">
        <f t="shared" si="0"/>
        <v>0</v>
      </c>
    </row>
    <row r="36" spans="1:42" ht="43.2" x14ac:dyDescent="0.3">
      <c r="A36" s="41" t="s">
        <v>983</v>
      </c>
      <c r="B36" s="41" t="s">
        <v>1280</v>
      </c>
      <c r="C36" s="41" t="s">
        <v>1613</v>
      </c>
      <c r="E36" s="41" t="s">
        <v>1628</v>
      </c>
      <c r="F36" s="41" t="s">
        <v>1614</v>
      </c>
      <c r="G36" s="83">
        <v>35000</v>
      </c>
      <c r="H36" s="41">
        <v>25</v>
      </c>
      <c r="I36" s="41">
        <f>2*4</f>
        <v>8</v>
      </c>
      <c r="J36" s="83">
        <f t="shared" si="2"/>
        <v>7000000</v>
      </c>
      <c r="K36" s="41">
        <v>25</v>
      </c>
      <c r="L36" s="41">
        <f>2*4</f>
        <v>8</v>
      </c>
      <c r="M36" s="41">
        <f t="shared" si="3"/>
        <v>7700000</v>
      </c>
      <c r="N36" s="41">
        <v>25</v>
      </c>
      <c r="O36" s="41">
        <f>2*4</f>
        <v>8</v>
      </c>
      <c r="P36" s="41">
        <f t="shared" si="4"/>
        <v>8470000.0000000019</v>
      </c>
      <c r="Q36" s="41">
        <v>0</v>
      </c>
      <c r="R36" s="41">
        <v>0</v>
      </c>
      <c r="S36" s="41">
        <f t="shared" si="5"/>
        <v>0</v>
      </c>
      <c r="T36" s="41">
        <v>0</v>
      </c>
      <c r="U36" s="41">
        <v>0</v>
      </c>
      <c r="V36" s="41">
        <f t="shared" si="6"/>
        <v>0</v>
      </c>
      <c r="W36" s="41">
        <v>25</v>
      </c>
      <c r="X36" s="41">
        <f>2*4</f>
        <v>8</v>
      </c>
      <c r="Y36" s="41">
        <f t="shared" si="7"/>
        <v>11273570.000000004</v>
      </c>
      <c r="Z36">
        <v>0</v>
      </c>
      <c r="AA36">
        <v>0</v>
      </c>
      <c r="AB36" s="41">
        <f t="shared" si="8"/>
        <v>0</v>
      </c>
      <c r="AC36">
        <v>0</v>
      </c>
      <c r="AD36">
        <v>0</v>
      </c>
      <c r="AE36" s="41">
        <f t="shared" si="9"/>
        <v>0</v>
      </c>
      <c r="AF36" s="28">
        <f t="shared" si="10"/>
        <v>34443570</v>
      </c>
      <c r="AG36" s="28">
        <f t="shared" si="0"/>
        <v>33440.359223300969</v>
      </c>
    </row>
    <row r="37" spans="1:42" ht="43.2" x14ac:dyDescent="0.3">
      <c r="A37" s="41" t="s">
        <v>983</v>
      </c>
      <c r="B37" s="41" t="s">
        <v>1280</v>
      </c>
      <c r="C37" s="41" t="s">
        <v>1629</v>
      </c>
      <c r="D37" s="41" t="s">
        <v>1610</v>
      </c>
      <c r="E37" s="41" t="s">
        <v>1611</v>
      </c>
      <c r="F37" s="41" t="s">
        <v>841</v>
      </c>
      <c r="G37" s="83">
        <v>0</v>
      </c>
      <c r="J37" s="83">
        <f t="shared" si="2"/>
        <v>0</v>
      </c>
      <c r="K37" s="41">
        <v>0</v>
      </c>
      <c r="L37" s="41">
        <v>0</v>
      </c>
      <c r="M37" s="41">
        <f t="shared" si="3"/>
        <v>0</v>
      </c>
      <c r="N37" s="41">
        <v>0</v>
      </c>
      <c r="O37" s="41">
        <v>0</v>
      </c>
      <c r="P37" s="41">
        <f t="shared" si="4"/>
        <v>0</v>
      </c>
      <c r="Q37" s="41">
        <v>0</v>
      </c>
      <c r="R37" s="41">
        <v>0</v>
      </c>
      <c r="S37" s="41">
        <f t="shared" si="5"/>
        <v>0</v>
      </c>
      <c r="T37" s="41">
        <v>0</v>
      </c>
      <c r="U37" s="41">
        <v>0</v>
      </c>
      <c r="V37" s="41">
        <f t="shared" si="6"/>
        <v>0</v>
      </c>
      <c r="W37" s="41">
        <v>0</v>
      </c>
      <c r="X37" s="41">
        <v>0</v>
      </c>
      <c r="Y37" s="41">
        <f t="shared" si="7"/>
        <v>0</v>
      </c>
      <c r="Z37">
        <v>0</v>
      </c>
      <c r="AA37">
        <v>0</v>
      </c>
      <c r="AB37" s="41">
        <f t="shared" si="8"/>
        <v>0</v>
      </c>
      <c r="AC37">
        <v>0</v>
      </c>
      <c r="AD37">
        <v>0</v>
      </c>
      <c r="AE37" s="41">
        <f t="shared" si="9"/>
        <v>0</v>
      </c>
      <c r="AF37" s="28">
        <f t="shared" si="10"/>
        <v>0</v>
      </c>
      <c r="AG37" s="28">
        <f t="shared" si="0"/>
        <v>0</v>
      </c>
    </row>
    <row r="38" spans="1:42" ht="43.2" x14ac:dyDescent="0.3">
      <c r="A38" s="41" t="s">
        <v>983</v>
      </c>
      <c r="B38" s="41" t="s">
        <v>1280</v>
      </c>
      <c r="C38" s="41" t="s">
        <v>1629</v>
      </c>
      <c r="D38" s="41" t="s">
        <v>1610</v>
      </c>
      <c r="E38" s="41" t="s">
        <v>1612</v>
      </c>
      <c r="F38" s="41" t="s">
        <v>841</v>
      </c>
      <c r="G38" s="83">
        <v>0</v>
      </c>
      <c r="J38" s="83">
        <f t="shared" si="2"/>
        <v>0</v>
      </c>
      <c r="K38" s="41">
        <v>0</v>
      </c>
      <c r="L38" s="41">
        <v>0</v>
      </c>
      <c r="M38" s="41">
        <f t="shared" si="3"/>
        <v>0</v>
      </c>
      <c r="N38" s="41">
        <v>0</v>
      </c>
      <c r="O38" s="41">
        <v>0</v>
      </c>
      <c r="P38" s="41">
        <f t="shared" si="4"/>
        <v>0</v>
      </c>
      <c r="Q38" s="41">
        <v>0</v>
      </c>
      <c r="R38" s="41">
        <v>0</v>
      </c>
      <c r="S38" s="41">
        <f t="shared" si="5"/>
        <v>0</v>
      </c>
      <c r="T38" s="41">
        <v>0</v>
      </c>
      <c r="U38" s="41">
        <v>0</v>
      </c>
      <c r="V38" s="41">
        <f t="shared" si="6"/>
        <v>0</v>
      </c>
      <c r="W38" s="41">
        <v>0</v>
      </c>
      <c r="X38" s="41">
        <v>0</v>
      </c>
      <c r="Y38" s="41">
        <f t="shared" si="7"/>
        <v>0</v>
      </c>
      <c r="Z38">
        <v>0</v>
      </c>
      <c r="AA38">
        <v>0</v>
      </c>
      <c r="AB38" s="41">
        <f t="shared" si="8"/>
        <v>0</v>
      </c>
      <c r="AC38">
        <v>0</v>
      </c>
      <c r="AD38">
        <v>0</v>
      </c>
      <c r="AE38" s="41">
        <f t="shared" si="9"/>
        <v>0</v>
      </c>
      <c r="AF38" s="28">
        <f t="shared" si="10"/>
        <v>0</v>
      </c>
      <c r="AG38" s="28">
        <f t="shared" si="0"/>
        <v>0</v>
      </c>
    </row>
    <row r="39" spans="1:42" ht="43.2" x14ac:dyDescent="0.3">
      <c r="A39" s="41" t="s">
        <v>983</v>
      </c>
      <c r="B39" s="41" t="s">
        <v>1280</v>
      </c>
      <c r="C39" s="41" t="s">
        <v>1629</v>
      </c>
      <c r="D39" s="41" t="s">
        <v>1610</v>
      </c>
      <c r="E39" s="41" t="s">
        <v>1630</v>
      </c>
      <c r="F39" s="41" t="s">
        <v>1619</v>
      </c>
      <c r="G39" s="83">
        <v>0</v>
      </c>
      <c r="J39" s="83">
        <f t="shared" si="2"/>
        <v>0</v>
      </c>
      <c r="K39" s="41">
        <v>0</v>
      </c>
      <c r="L39" s="41">
        <v>0</v>
      </c>
      <c r="M39" s="41">
        <f t="shared" si="3"/>
        <v>0</v>
      </c>
      <c r="N39" s="41">
        <v>15</v>
      </c>
      <c r="O39" s="41">
        <v>4</v>
      </c>
      <c r="P39" s="41">
        <f t="shared" si="4"/>
        <v>0</v>
      </c>
      <c r="Q39" s="41">
        <v>0</v>
      </c>
      <c r="R39" s="41">
        <v>0</v>
      </c>
      <c r="S39" s="41">
        <f t="shared" si="5"/>
        <v>0</v>
      </c>
      <c r="T39" s="41">
        <v>0</v>
      </c>
      <c r="U39" s="41">
        <v>0</v>
      </c>
      <c r="V39" s="41">
        <f t="shared" si="6"/>
        <v>0</v>
      </c>
      <c r="W39" s="41">
        <v>15</v>
      </c>
      <c r="X39" s="41">
        <v>4</v>
      </c>
      <c r="Y39" s="41">
        <f t="shared" si="7"/>
        <v>0</v>
      </c>
      <c r="Z39">
        <v>0</v>
      </c>
      <c r="AA39">
        <v>0</v>
      </c>
      <c r="AB39" s="41">
        <f t="shared" si="8"/>
        <v>0</v>
      </c>
      <c r="AC39">
        <v>0</v>
      </c>
      <c r="AD39">
        <v>0</v>
      </c>
      <c r="AE39" s="41">
        <f t="shared" si="9"/>
        <v>0</v>
      </c>
      <c r="AF39" s="28">
        <f t="shared" si="10"/>
        <v>0</v>
      </c>
      <c r="AG39" s="28">
        <f t="shared" si="0"/>
        <v>0</v>
      </c>
    </row>
    <row r="40" spans="1:42" ht="43.2" x14ac:dyDescent="0.3">
      <c r="A40" s="41" t="s">
        <v>983</v>
      </c>
      <c r="B40" s="41" t="s">
        <v>1280</v>
      </c>
      <c r="C40" s="41" t="s">
        <v>1629</v>
      </c>
      <c r="D40" s="41" t="s">
        <v>1610</v>
      </c>
      <c r="E40" s="41" t="s">
        <v>1630</v>
      </c>
      <c r="F40" s="41" t="s">
        <v>1620</v>
      </c>
      <c r="G40" s="83">
        <v>391991.03749999998</v>
      </c>
      <c r="J40" s="83">
        <f t="shared" si="2"/>
        <v>0</v>
      </c>
      <c r="K40" s="41">
        <v>0</v>
      </c>
      <c r="L40" s="41">
        <v>0</v>
      </c>
      <c r="M40" s="41">
        <f t="shared" si="3"/>
        <v>0</v>
      </c>
      <c r="N40" s="41">
        <v>2</v>
      </c>
      <c r="O40" s="41">
        <v>2</v>
      </c>
      <c r="P40" s="70">
        <f t="shared" si="4"/>
        <v>1897236.6215000001</v>
      </c>
      <c r="Q40" s="41">
        <v>0</v>
      </c>
      <c r="R40" s="41">
        <v>0</v>
      </c>
      <c r="S40" s="41">
        <f t="shared" si="5"/>
        <v>0</v>
      </c>
      <c r="T40" s="41">
        <v>0</v>
      </c>
      <c r="U40" s="41">
        <v>0</v>
      </c>
      <c r="V40" s="41">
        <f t="shared" si="6"/>
        <v>0</v>
      </c>
      <c r="W40" s="41">
        <v>2</v>
      </c>
      <c r="X40" s="41">
        <v>2</v>
      </c>
      <c r="Y40" s="41">
        <f t="shared" si="7"/>
        <v>2525221.9432165008</v>
      </c>
      <c r="Z40">
        <v>0</v>
      </c>
      <c r="AA40">
        <v>0</v>
      </c>
      <c r="AB40" s="41">
        <f t="shared" si="8"/>
        <v>0</v>
      </c>
      <c r="AC40">
        <v>0</v>
      </c>
      <c r="AD40">
        <v>0</v>
      </c>
      <c r="AE40" s="41">
        <f t="shared" si="9"/>
        <v>0</v>
      </c>
      <c r="AF40" s="28">
        <f t="shared" si="10"/>
        <v>4422458.5647165012</v>
      </c>
      <c r="AG40" s="28">
        <f t="shared" si="0"/>
        <v>4293.6490919577682</v>
      </c>
    </row>
    <row r="41" spans="1:42" ht="43.2" x14ac:dyDescent="0.3">
      <c r="A41" s="41" t="s">
        <v>983</v>
      </c>
      <c r="B41" s="41" t="s">
        <v>1280</v>
      </c>
      <c r="C41" s="41" t="s">
        <v>1629</v>
      </c>
      <c r="D41" s="41" t="s">
        <v>1610</v>
      </c>
      <c r="E41" s="41" t="s">
        <v>1630</v>
      </c>
      <c r="F41" s="41" t="s">
        <v>1622</v>
      </c>
      <c r="G41" s="83">
        <f>500*1030</f>
        <v>515000</v>
      </c>
      <c r="J41" s="83">
        <f t="shared" si="2"/>
        <v>0</v>
      </c>
      <c r="K41" s="41">
        <v>0</v>
      </c>
      <c r="L41" s="41">
        <v>0</v>
      </c>
      <c r="M41" s="41">
        <f t="shared" si="3"/>
        <v>0</v>
      </c>
      <c r="N41" s="41">
        <v>1</v>
      </c>
      <c r="O41" s="41">
        <v>25</v>
      </c>
      <c r="P41" s="41">
        <f t="shared" si="4"/>
        <v>15578750.000000004</v>
      </c>
      <c r="Q41" s="41">
        <v>0</v>
      </c>
      <c r="R41" s="41">
        <v>0</v>
      </c>
      <c r="S41" s="41">
        <f t="shared" si="5"/>
        <v>0</v>
      </c>
      <c r="T41" s="41">
        <v>0</v>
      </c>
      <c r="U41" s="41">
        <v>0</v>
      </c>
      <c r="V41" s="41">
        <f t="shared" si="6"/>
        <v>0</v>
      </c>
      <c r="W41" s="41">
        <v>1</v>
      </c>
      <c r="X41" s="41">
        <v>25</v>
      </c>
      <c r="Y41" s="41">
        <f t="shared" si="7"/>
        <v>20735316.250000007</v>
      </c>
      <c r="Z41">
        <v>0</v>
      </c>
      <c r="AA41">
        <v>0</v>
      </c>
      <c r="AB41" s="41">
        <f t="shared" si="8"/>
        <v>0</v>
      </c>
      <c r="AC41">
        <v>0</v>
      </c>
      <c r="AD41">
        <v>0</v>
      </c>
      <c r="AE41" s="41">
        <f t="shared" si="9"/>
        <v>0</v>
      </c>
      <c r="AF41" s="28">
        <f t="shared" si="10"/>
        <v>36314066.250000015</v>
      </c>
      <c r="AG41" s="28">
        <f t="shared" si="0"/>
        <v>35256.375000000015</v>
      </c>
    </row>
    <row r="42" spans="1:42" ht="43.2" x14ac:dyDescent="0.3">
      <c r="A42" s="41" t="s">
        <v>983</v>
      </c>
      <c r="B42" s="41" t="s">
        <v>1280</v>
      </c>
      <c r="C42" s="41" t="s">
        <v>1629</v>
      </c>
      <c r="D42" s="41" t="s">
        <v>1610</v>
      </c>
      <c r="E42" s="41" t="s">
        <v>168</v>
      </c>
      <c r="F42" s="41" t="s">
        <v>709</v>
      </c>
      <c r="G42" s="83">
        <v>35000</v>
      </c>
      <c r="J42" s="83">
        <f t="shared" si="2"/>
        <v>0</v>
      </c>
      <c r="K42" s="41">
        <v>0</v>
      </c>
      <c r="L42" s="41">
        <v>0</v>
      </c>
      <c r="M42" s="41">
        <f t="shared" si="3"/>
        <v>0</v>
      </c>
      <c r="N42" s="41">
        <v>100</v>
      </c>
      <c r="O42" s="41">
        <v>2</v>
      </c>
      <c r="P42" s="41">
        <f t="shared" si="4"/>
        <v>8470000.0000000019</v>
      </c>
      <c r="Q42" s="41">
        <v>0</v>
      </c>
      <c r="R42" s="41">
        <v>0</v>
      </c>
      <c r="S42" s="41"/>
      <c r="T42" s="41">
        <v>0</v>
      </c>
      <c r="U42" s="41">
        <v>0</v>
      </c>
      <c r="V42" s="41"/>
      <c r="W42" s="41">
        <v>100</v>
      </c>
      <c r="X42" s="41">
        <v>2</v>
      </c>
      <c r="Y42" s="41">
        <f t="shared" si="7"/>
        <v>11273570.000000004</v>
      </c>
      <c r="Z42">
        <v>0</v>
      </c>
      <c r="AA42">
        <v>0</v>
      </c>
      <c r="AB42" s="41"/>
      <c r="AC42">
        <v>0</v>
      </c>
      <c r="AD42">
        <v>0</v>
      </c>
      <c r="AE42" s="41"/>
      <c r="AF42" s="28">
        <f t="shared" si="10"/>
        <v>19743570.000000007</v>
      </c>
      <c r="AG42" s="28">
        <f t="shared" si="0"/>
        <v>19168.514563106804</v>
      </c>
    </row>
    <row r="43" spans="1:42" ht="43.2" x14ac:dyDescent="0.3">
      <c r="A43" s="41" t="s">
        <v>983</v>
      </c>
      <c r="B43" s="41" t="s">
        <v>1280</v>
      </c>
      <c r="C43" s="41" t="s">
        <v>1629</v>
      </c>
      <c r="D43" s="41" t="s">
        <v>1610</v>
      </c>
      <c r="E43" s="41" t="s">
        <v>168</v>
      </c>
      <c r="F43" s="41" t="s">
        <v>716</v>
      </c>
      <c r="G43" s="83">
        <v>39000</v>
      </c>
      <c r="J43" s="83">
        <f t="shared" si="2"/>
        <v>0</v>
      </c>
      <c r="K43" s="41">
        <v>0</v>
      </c>
      <c r="L43" s="41">
        <v>0</v>
      </c>
      <c r="M43" s="41">
        <f t="shared" si="3"/>
        <v>0</v>
      </c>
      <c r="N43" s="41">
        <v>58</v>
      </c>
      <c r="O43" s="41">
        <v>3</v>
      </c>
      <c r="P43" s="41">
        <f t="shared" si="4"/>
        <v>8211060.0000000019</v>
      </c>
      <c r="Q43" s="41">
        <v>0</v>
      </c>
      <c r="R43" s="41">
        <v>0</v>
      </c>
      <c r="S43" s="41"/>
      <c r="T43" s="41">
        <v>0</v>
      </c>
      <c r="U43" s="41">
        <v>0</v>
      </c>
      <c r="V43" s="41"/>
      <c r="W43" s="41">
        <v>58</v>
      </c>
      <c r="X43" s="41">
        <v>3</v>
      </c>
      <c r="Y43" s="41">
        <f t="shared" si="7"/>
        <v>10928920.860000003</v>
      </c>
      <c r="Z43">
        <v>0</v>
      </c>
      <c r="AA43">
        <v>0</v>
      </c>
      <c r="AB43" s="41"/>
      <c r="AC43">
        <v>0</v>
      </c>
      <c r="AD43">
        <v>0</v>
      </c>
      <c r="AE43" s="41"/>
      <c r="AF43" s="28">
        <f t="shared" si="10"/>
        <v>19139980.860000007</v>
      </c>
      <c r="AG43" s="28">
        <f t="shared" si="0"/>
        <v>18582.505689320395</v>
      </c>
    </row>
    <row r="44" spans="1:42" ht="43.2" x14ac:dyDescent="0.3">
      <c r="A44" s="41" t="s">
        <v>983</v>
      </c>
      <c r="B44" s="41" t="s">
        <v>1280</v>
      </c>
      <c r="C44" s="41" t="s">
        <v>1629</v>
      </c>
      <c r="D44" s="41" t="s">
        <v>1610</v>
      </c>
      <c r="E44" s="41" t="s">
        <v>168</v>
      </c>
      <c r="F44" s="41" t="s">
        <v>712</v>
      </c>
      <c r="G44" s="83">
        <f>1999.2/7</f>
        <v>285.60000000000002</v>
      </c>
      <c r="J44" s="83">
        <f t="shared" si="2"/>
        <v>0</v>
      </c>
      <c r="K44" s="41">
        <v>0</v>
      </c>
      <c r="L44" s="41">
        <v>0</v>
      </c>
      <c r="M44" s="41">
        <f t="shared" si="3"/>
        <v>0</v>
      </c>
      <c r="N44" s="41">
        <f>2*25*29</f>
        <v>1450</v>
      </c>
      <c r="O44" s="41">
        <v>1</v>
      </c>
      <c r="P44" s="41">
        <f t="shared" si="4"/>
        <v>501085.20000000013</v>
      </c>
      <c r="Q44" s="41">
        <v>0</v>
      </c>
      <c r="R44" s="41">
        <v>0</v>
      </c>
      <c r="S44" s="41"/>
      <c r="T44" s="41">
        <v>0</v>
      </c>
      <c r="U44" s="41">
        <v>0</v>
      </c>
      <c r="V44" s="41"/>
      <c r="W44" s="41">
        <f>2*25*29</f>
        <v>1450</v>
      </c>
      <c r="X44" s="41">
        <v>1</v>
      </c>
      <c r="Y44" s="41">
        <f t="shared" si="7"/>
        <v>666944.4012000002</v>
      </c>
      <c r="Z44">
        <v>0</v>
      </c>
      <c r="AA44">
        <v>0</v>
      </c>
      <c r="AB44" s="41"/>
      <c r="AC44">
        <v>0</v>
      </c>
      <c r="AD44">
        <v>0</v>
      </c>
      <c r="AE44" s="41"/>
      <c r="AF44" s="28">
        <f t="shared" si="10"/>
        <v>1168029.6012000004</v>
      </c>
      <c r="AG44" s="28">
        <f t="shared" si="0"/>
        <v>1134.0093215533984</v>
      </c>
    </row>
    <row r="45" spans="1:42" ht="43.2" x14ac:dyDescent="0.3">
      <c r="A45" s="41" t="s">
        <v>983</v>
      </c>
      <c r="B45" s="41" t="s">
        <v>1280</v>
      </c>
      <c r="C45" s="41" t="s">
        <v>1629</v>
      </c>
      <c r="D45" s="41" t="s">
        <v>1610</v>
      </c>
      <c r="E45" s="41" t="s">
        <v>168</v>
      </c>
      <c r="F45" s="41" t="s">
        <v>1350</v>
      </c>
      <c r="G45" s="83">
        <f>1999.2/7</f>
        <v>285.60000000000002</v>
      </c>
      <c r="J45" s="83">
        <f t="shared" si="2"/>
        <v>0</v>
      </c>
      <c r="K45" s="41">
        <v>0</v>
      </c>
      <c r="L45" s="41">
        <v>0</v>
      </c>
      <c r="M45" s="41">
        <f t="shared" si="3"/>
        <v>0</v>
      </c>
      <c r="N45" s="41">
        <v>17376</v>
      </c>
      <c r="O45" s="41">
        <v>1</v>
      </c>
      <c r="P45" s="41">
        <f t="shared" si="4"/>
        <v>6004728.5760000013</v>
      </c>
      <c r="Q45" s="41">
        <v>0</v>
      </c>
      <c r="R45" s="41">
        <v>0</v>
      </c>
      <c r="S45" s="41"/>
      <c r="T45" s="41">
        <v>0</v>
      </c>
      <c r="U45" s="41">
        <v>0</v>
      </c>
      <c r="V45" s="41"/>
      <c r="W45" s="41">
        <v>17376</v>
      </c>
      <c r="X45" s="41">
        <v>1</v>
      </c>
      <c r="Y45" s="41">
        <f t="shared" si="7"/>
        <v>7992293.7346560033</v>
      </c>
      <c r="Z45">
        <v>0</v>
      </c>
      <c r="AA45">
        <v>0</v>
      </c>
      <c r="AB45" s="41"/>
      <c r="AC45">
        <v>0</v>
      </c>
      <c r="AD45">
        <v>0</v>
      </c>
      <c r="AE45" s="41"/>
      <c r="AF45" s="28">
        <f t="shared" si="10"/>
        <v>13997022.310656004</v>
      </c>
      <c r="AG45" s="28">
        <f t="shared" si="0"/>
        <v>13589.342049180586</v>
      </c>
    </row>
    <row r="46" spans="1:42" ht="43.2" x14ac:dyDescent="0.3">
      <c r="A46" s="41" t="s">
        <v>983</v>
      </c>
      <c r="B46" s="41" t="s">
        <v>1280</v>
      </c>
      <c r="C46" s="41" t="s">
        <v>1629</v>
      </c>
      <c r="D46" s="41" t="s">
        <v>1610</v>
      </c>
      <c r="E46" s="41" t="s">
        <v>156</v>
      </c>
      <c r="F46" s="41" t="s">
        <v>841</v>
      </c>
      <c r="G46" s="83">
        <v>0</v>
      </c>
      <c r="J46" s="83">
        <f t="shared" si="2"/>
        <v>0</v>
      </c>
      <c r="K46" s="41">
        <v>0</v>
      </c>
      <c r="L46" s="41">
        <v>0</v>
      </c>
      <c r="M46" s="41">
        <f t="shared" si="3"/>
        <v>0</v>
      </c>
      <c r="N46" s="41">
        <v>0</v>
      </c>
      <c r="O46" s="41">
        <v>0</v>
      </c>
      <c r="P46" s="41">
        <f t="shared" si="4"/>
        <v>0</v>
      </c>
      <c r="Q46" s="41">
        <v>0</v>
      </c>
      <c r="R46" s="41">
        <v>0</v>
      </c>
      <c r="S46" s="41"/>
      <c r="T46" s="41">
        <v>0</v>
      </c>
      <c r="U46" s="41">
        <v>0</v>
      </c>
      <c r="V46" s="41"/>
      <c r="W46" s="41">
        <v>0</v>
      </c>
      <c r="X46" s="41">
        <v>0</v>
      </c>
      <c r="Y46" s="41">
        <f t="shared" si="7"/>
        <v>0</v>
      </c>
      <c r="Z46">
        <v>0</v>
      </c>
      <c r="AA46">
        <v>0</v>
      </c>
      <c r="AB46" s="41"/>
      <c r="AC46">
        <v>0</v>
      </c>
      <c r="AD46">
        <v>0</v>
      </c>
      <c r="AE46" s="41"/>
      <c r="AF46" s="28">
        <f t="shared" si="10"/>
        <v>0</v>
      </c>
      <c r="AG46" s="28">
        <f t="shared" si="0"/>
        <v>0</v>
      </c>
    </row>
    <row r="47" spans="1:42" x14ac:dyDescent="0.3">
      <c r="A47" s="94" t="s">
        <v>1302</v>
      </c>
      <c r="B47" s="94"/>
      <c r="C47" s="94"/>
      <c r="D47" s="94"/>
      <c r="E47" s="94"/>
      <c r="F47" s="94"/>
      <c r="G47" s="96"/>
      <c r="H47" s="94"/>
      <c r="I47" s="94"/>
      <c r="J47" s="92">
        <f>SUM(J7:J35)</f>
        <v>58953211.350000001</v>
      </c>
      <c r="K47" s="94"/>
      <c r="L47" s="94"/>
      <c r="M47" s="92">
        <f>SUM(M7:M35)</f>
        <v>58850589.764999993</v>
      </c>
      <c r="N47" s="94"/>
      <c r="O47" s="94"/>
      <c r="P47" s="92">
        <f>SUM(P7:P35)</f>
        <v>64735648.741500013</v>
      </c>
      <c r="Q47" s="94"/>
      <c r="R47" s="94"/>
      <c r="S47" s="92">
        <f>SUM(S7:S35)</f>
        <v>71209213.615650013</v>
      </c>
      <c r="T47" s="94"/>
      <c r="U47" s="94"/>
      <c r="V47" s="92">
        <f>SUM(V7:V35)</f>
        <v>78330134.977215052</v>
      </c>
      <c r="W47" s="94"/>
      <c r="X47" s="94"/>
      <c r="Y47" s="92">
        <f>SUM(Y7:Y35)</f>
        <v>86163148.474936515</v>
      </c>
      <c r="Z47" s="94"/>
      <c r="AA47" s="94"/>
      <c r="AB47" s="92">
        <f>SUM(AB7:AB35)</f>
        <v>94045824.481110185</v>
      </c>
      <c r="AC47" s="94"/>
      <c r="AD47" s="94"/>
      <c r="AE47" s="92">
        <f>SUM(AE7:AE35)</f>
        <v>103450406.92922123</v>
      </c>
      <c r="AF47" s="95">
        <f t="shared" si="1"/>
        <v>615738178.33463311</v>
      </c>
      <c r="AG47" s="95">
        <f>AF47/$AL$2</f>
        <v>597804.05663556617</v>
      </c>
      <c r="AH47" s="94"/>
      <c r="AI47" s="94"/>
      <c r="AJ47" s="94"/>
      <c r="AK47" s="94"/>
      <c r="AL47" s="94"/>
      <c r="AM47" s="94"/>
      <c r="AN47" s="94"/>
      <c r="AO47" s="94"/>
      <c r="AP47" s="94"/>
    </row>
    <row r="48" spans="1:42" x14ac:dyDescent="0.3">
      <c r="A48" s="98" t="s">
        <v>1411</v>
      </c>
      <c r="B48" s="98"/>
      <c r="C48" s="98"/>
      <c r="D48" s="98"/>
      <c r="E48" s="98"/>
      <c r="F48" s="98"/>
      <c r="G48" s="104"/>
      <c r="H48" s="98"/>
      <c r="I48" s="98"/>
      <c r="J48" s="101">
        <f>SUM(J2:J47)</f>
        <v>124906422.7</v>
      </c>
      <c r="K48" s="98"/>
      <c r="L48" s="98"/>
      <c r="M48" s="101">
        <f>SUM(M2:M47)</f>
        <v>129253048.46203882</v>
      </c>
      <c r="N48" s="98"/>
      <c r="O48" s="98"/>
      <c r="P48" s="101">
        <f>SUM(P2:P47)</f>
        <v>178604157.88050005</v>
      </c>
      <c r="Q48" s="98"/>
      <c r="R48" s="98"/>
      <c r="S48" s="101">
        <f>SUM(S2:S47)</f>
        <v>142418427.23130003</v>
      </c>
      <c r="T48" s="98"/>
      <c r="U48" s="98"/>
      <c r="V48" s="101">
        <f>SUM(V2:V47)</f>
        <v>156660269.9544301</v>
      </c>
      <c r="W48" s="98"/>
      <c r="X48" s="98"/>
      <c r="Y48" s="101">
        <f>SUM(Y2:Y47)</f>
        <v>237722134.13894555</v>
      </c>
      <c r="Z48" s="98"/>
      <c r="AA48" s="98"/>
      <c r="AB48" s="101">
        <f>SUM(AB2:AB47)</f>
        <v>188091648.96222037</v>
      </c>
      <c r="AC48" s="98"/>
      <c r="AD48" s="98"/>
      <c r="AE48" s="101">
        <f>SUM(AE2:AE47)</f>
        <v>206900813.85844246</v>
      </c>
      <c r="AF48" s="99">
        <f t="shared" si="1"/>
        <v>1364556923.1878774</v>
      </c>
      <c r="AG48" s="99">
        <f>AF48/$AL$2</f>
        <v>1324812.5467843469</v>
      </c>
      <c r="AH48" s="98"/>
      <c r="AI48" s="98"/>
    </row>
    <row r="49" spans="1:33" s="62" customFormat="1" x14ac:dyDescent="0.3">
      <c r="A49" s="63" t="s">
        <v>1428</v>
      </c>
      <c r="G49" s="117"/>
      <c r="J49" s="90">
        <f>J48/$AL$2</f>
        <v>121268.37155339806</v>
      </c>
      <c r="M49" s="90">
        <f>M48/$AL$2</f>
        <v>125488.39656508622</v>
      </c>
      <c r="P49" s="90">
        <f>P48/$AL$2</f>
        <v>173402.09502961169</v>
      </c>
      <c r="S49" s="90">
        <f>S48/$AL$2</f>
        <v>138270.31770029129</v>
      </c>
      <c r="V49" s="90">
        <f>V48/$AL$2</f>
        <v>152097.34947032048</v>
      </c>
      <c r="Y49" s="90">
        <f>Y48/$AL$2</f>
        <v>230798.18848441314</v>
      </c>
      <c r="AB49" s="90">
        <f>AB48/$AL$2</f>
        <v>182613.25141963142</v>
      </c>
      <c r="AE49" s="90">
        <f>AE48/$AL$2</f>
        <v>200874.57656159461</v>
      </c>
      <c r="AF49" s="20">
        <f t="shared" si="1"/>
        <v>1324812.5467843472</v>
      </c>
      <c r="AG49" s="20">
        <f>AF49/$AL$2</f>
        <v>1286.2257735770361</v>
      </c>
    </row>
    <row r="50" spans="1:33" x14ac:dyDescent="0.3">
      <c r="G50" s="84"/>
      <c r="J50" s="84"/>
      <c r="M50" s="84"/>
      <c r="P50" s="84"/>
      <c r="S50" s="84"/>
      <c r="V50" s="84"/>
      <c r="Y50" s="41">
        <f>($G50*1.1^5)*W50*X50</f>
        <v>0</v>
      </c>
      <c r="AB50" s="84"/>
      <c r="AE50" s="84"/>
      <c r="AF50" s="28">
        <f t="shared" si="1"/>
        <v>0</v>
      </c>
      <c r="AG50" s="28">
        <f>AF50/$AL$2</f>
        <v>0</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P240"/>
  <sheetViews>
    <sheetView topLeftCell="S85" zoomScale="80" zoomScaleNormal="80" workbookViewId="0">
      <selection activeCell="E95" sqref="E95"/>
    </sheetView>
  </sheetViews>
  <sheetFormatPr defaultColWidth="8.88671875" defaultRowHeight="14.4" x14ac:dyDescent="0.3"/>
  <cols>
    <col min="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72" x14ac:dyDescent="0.3">
      <c r="A2" s="41" t="s">
        <v>696</v>
      </c>
      <c r="B2" s="41" t="s">
        <v>689</v>
      </c>
      <c r="C2" s="41" t="s">
        <v>644</v>
      </c>
      <c r="D2" s="41" t="s">
        <v>1</v>
      </c>
      <c r="E2" s="41" t="s">
        <v>185</v>
      </c>
      <c r="F2" s="41" t="s">
        <v>718</v>
      </c>
      <c r="G2" s="83">
        <v>0</v>
      </c>
      <c r="H2" s="41">
        <v>0</v>
      </c>
      <c r="I2" s="41">
        <v>0</v>
      </c>
      <c r="J2" s="83">
        <f>G2*H2*I2</f>
        <v>0</v>
      </c>
      <c r="K2" s="41">
        <v>0</v>
      </c>
      <c r="L2" s="41">
        <v>0</v>
      </c>
      <c r="M2" s="41">
        <f>($G2*1.1^1)*K2*L2</f>
        <v>0</v>
      </c>
      <c r="N2" s="41">
        <v>0</v>
      </c>
      <c r="O2" s="41">
        <v>0</v>
      </c>
      <c r="P2" s="41">
        <f>($G2*1.1^2)*N2*O2</f>
        <v>0</v>
      </c>
      <c r="Q2" s="41">
        <v>0</v>
      </c>
      <c r="R2" s="41">
        <v>0</v>
      </c>
      <c r="S2" s="41">
        <f>($G2*1.1^3)*Q2*R2</f>
        <v>0</v>
      </c>
      <c r="T2" s="41">
        <v>0</v>
      </c>
      <c r="U2" s="41">
        <v>0</v>
      </c>
      <c r="V2" s="41">
        <f>($G2*1.1^4)*T2*U2</f>
        <v>0</v>
      </c>
      <c r="W2" s="41">
        <v>0</v>
      </c>
      <c r="X2" s="41">
        <v>0</v>
      </c>
      <c r="Y2" s="41">
        <f>($G2*1.1^5)*W2*X2</f>
        <v>0</v>
      </c>
      <c r="Z2" s="41">
        <v>0</v>
      </c>
      <c r="AA2" s="41">
        <v>0</v>
      </c>
      <c r="AB2" s="41">
        <f>($G2*1.1^6)*Z2*AA2</f>
        <v>0</v>
      </c>
      <c r="AC2" s="41">
        <v>0</v>
      </c>
      <c r="AD2" s="41">
        <v>0</v>
      </c>
      <c r="AE2" s="41">
        <f>($G2*1.1^7)*AC2*AD2</f>
        <v>0</v>
      </c>
      <c r="AF2" s="28">
        <f>J2+M2+P2+S2+V2+Y2+AB2+AE2</f>
        <v>0</v>
      </c>
      <c r="AG2" s="28">
        <f>AF2/$AL$2</f>
        <v>0</v>
      </c>
      <c r="AL2">
        <v>1022</v>
      </c>
    </row>
    <row r="3" spans="1:38" ht="72" x14ac:dyDescent="0.3">
      <c r="A3" s="41" t="s">
        <v>696</v>
      </c>
      <c r="B3" s="41" t="s">
        <v>689</v>
      </c>
      <c r="C3" s="41" t="s">
        <v>644</v>
      </c>
      <c r="D3" s="41" t="s">
        <v>1</v>
      </c>
      <c r="E3" s="41" t="s">
        <v>186</v>
      </c>
      <c r="F3" s="41" t="s">
        <v>718</v>
      </c>
      <c r="G3" s="83">
        <v>0</v>
      </c>
      <c r="H3" s="41">
        <v>0</v>
      </c>
      <c r="I3" s="41">
        <v>0</v>
      </c>
      <c r="J3" s="83">
        <f t="shared" ref="J3:J84" si="0">G3*H3*I3</f>
        <v>0</v>
      </c>
      <c r="K3" s="41">
        <v>0</v>
      </c>
      <c r="L3" s="41">
        <v>0</v>
      </c>
      <c r="M3" s="41">
        <f t="shared" ref="M3:M66" si="1">($G3*1.1^1)*K3*L3</f>
        <v>0</v>
      </c>
      <c r="N3" s="41">
        <v>0</v>
      </c>
      <c r="O3" s="41">
        <v>0</v>
      </c>
      <c r="P3" s="41">
        <f t="shared" ref="P3:P66" si="2">($G3*1.1^2)*N3*O3</f>
        <v>0</v>
      </c>
      <c r="Q3" s="41">
        <v>0</v>
      </c>
      <c r="R3" s="41">
        <v>0</v>
      </c>
      <c r="S3" s="41">
        <f t="shared" ref="S3:S66" si="3">($G3*1.1^3)*Q3*R3</f>
        <v>0</v>
      </c>
      <c r="T3" s="41">
        <v>0</v>
      </c>
      <c r="U3" s="41">
        <v>0</v>
      </c>
      <c r="V3" s="41">
        <f t="shared" ref="V3:V66" si="4">($G3*1.1^4)*T3*U3</f>
        <v>0</v>
      </c>
      <c r="W3" s="41">
        <v>0</v>
      </c>
      <c r="X3" s="41">
        <v>0</v>
      </c>
      <c r="Y3" s="41">
        <f t="shared" ref="Y3:Y66" si="5">($G3*1.1^5)*W3*X3</f>
        <v>0</v>
      </c>
      <c r="Z3" s="41">
        <v>0</v>
      </c>
      <c r="AA3" s="41">
        <v>0</v>
      </c>
      <c r="AB3" s="41">
        <f t="shared" ref="AB3:AB66" si="6">($G3*1.1^6)*Z3*AA3</f>
        <v>0</v>
      </c>
      <c r="AC3" s="41">
        <v>0</v>
      </c>
      <c r="AD3" s="41">
        <v>0</v>
      </c>
      <c r="AE3" s="41">
        <f t="shared" ref="AE3:AE66" si="7">($G3*1.1^7)*AC3*AD3</f>
        <v>0</v>
      </c>
      <c r="AF3" s="28">
        <f t="shared" ref="AF3:AF66" si="8">J3+M3+P3+S3+V3+Y3+AB3+AE3</f>
        <v>0</v>
      </c>
      <c r="AG3" s="28">
        <f t="shared" ref="AG3:AG66" si="9">AF3/$AL$2</f>
        <v>0</v>
      </c>
    </row>
    <row r="4" spans="1:38" ht="72" x14ac:dyDescent="0.3">
      <c r="A4" s="41" t="s">
        <v>696</v>
      </c>
      <c r="B4" s="41" t="s">
        <v>689</v>
      </c>
      <c r="C4" s="41" t="s">
        <v>644</v>
      </c>
      <c r="D4" s="41" t="s">
        <v>2</v>
      </c>
      <c r="E4" s="41" t="s">
        <v>187</v>
      </c>
      <c r="F4" s="41" t="s">
        <v>716</v>
      </c>
      <c r="G4" s="83">
        <v>39000</v>
      </c>
      <c r="H4" s="41">
        <v>25</v>
      </c>
      <c r="I4" s="41">
        <v>5</v>
      </c>
      <c r="J4" s="83">
        <f t="shared" si="0"/>
        <v>4875000</v>
      </c>
      <c r="K4" s="41">
        <v>0</v>
      </c>
      <c r="L4" s="41">
        <v>0</v>
      </c>
      <c r="M4" s="41">
        <f t="shared" si="1"/>
        <v>0</v>
      </c>
      <c r="N4" s="41">
        <v>0</v>
      </c>
      <c r="O4" s="41">
        <v>0</v>
      </c>
      <c r="P4" s="41">
        <f t="shared" si="2"/>
        <v>0</v>
      </c>
      <c r="Q4" s="41">
        <v>0</v>
      </c>
      <c r="R4" s="41">
        <v>0</v>
      </c>
      <c r="S4" s="41">
        <f t="shared" si="3"/>
        <v>0</v>
      </c>
      <c r="T4" s="41"/>
      <c r="U4" s="41"/>
      <c r="V4" s="41">
        <f t="shared" si="4"/>
        <v>0</v>
      </c>
      <c r="W4" s="41">
        <v>0</v>
      </c>
      <c r="X4" s="41">
        <v>0</v>
      </c>
      <c r="Y4" s="41">
        <f t="shared" si="5"/>
        <v>0</v>
      </c>
      <c r="Z4" s="41">
        <v>0</v>
      </c>
      <c r="AA4" s="41">
        <v>0</v>
      </c>
      <c r="AB4" s="41">
        <f t="shared" si="6"/>
        <v>0</v>
      </c>
      <c r="AC4" s="41">
        <v>25</v>
      </c>
      <c r="AD4" s="41">
        <v>5</v>
      </c>
      <c r="AE4" s="41">
        <f t="shared" si="7"/>
        <v>9499995.8625000045</v>
      </c>
      <c r="AF4" s="28">
        <f t="shared" si="8"/>
        <v>14374995.862500004</v>
      </c>
      <c r="AG4" s="28">
        <f t="shared" si="9"/>
        <v>14065.553681506854</v>
      </c>
    </row>
    <row r="5" spans="1:38" ht="72" x14ac:dyDescent="0.3">
      <c r="A5" s="41" t="s">
        <v>696</v>
      </c>
      <c r="B5" s="41" t="s">
        <v>689</v>
      </c>
      <c r="C5" s="41" t="s">
        <v>644</v>
      </c>
      <c r="D5" s="41" t="s">
        <v>2</v>
      </c>
      <c r="E5" s="41" t="s">
        <v>187</v>
      </c>
      <c r="F5" s="41" t="s">
        <v>1350</v>
      </c>
      <c r="G5" s="83">
        <f>1999.2/7</f>
        <v>285.60000000000002</v>
      </c>
      <c r="H5" s="41">
        <f>2*135*9</f>
        <v>2430</v>
      </c>
      <c r="I5" s="41">
        <v>1</v>
      </c>
      <c r="J5" s="83">
        <f t="shared" si="0"/>
        <v>694008</v>
      </c>
      <c r="K5" s="41"/>
      <c r="L5" s="41"/>
      <c r="M5" s="41">
        <f t="shared" si="1"/>
        <v>0</v>
      </c>
      <c r="N5" s="41"/>
      <c r="O5" s="41"/>
      <c r="P5" s="41">
        <f t="shared" si="2"/>
        <v>0</v>
      </c>
      <c r="Q5" s="41"/>
      <c r="R5" s="41"/>
      <c r="S5" s="41">
        <f t="shared" si="3"/>
        <v>0</v>
      </c>
      <c r="T5" s="41"/>
      <c r="U5" s="41"/>
      <c r="V5" s="41">
        <f t="shared" si="4"/>
        <v>0</v>
      </c>
      <c r="W5" s="41"/>
      <c r="X5" s="41"/>
      <c r="Y5" s="41">
        <f t="shared" si="5"/>
        <v>0</v>
      </c>
      <c r="Z5" s="41"/>
      <c r="AA5" s="41"/>
      <c r="AB5" s="41">
        <f t="shared" si="6"/>
        <v>0</v>
      </c>
      <c r="AC5" s="41">
        <f>2*135*9</f>
        <v>2430</v>
      </c>
      <c r="AD5" s="41">
        <v>1</v>
      </c>
      <c r="AE5" s="41">
        <f t="shared" si="7"/>
        <v>1352425.257136801</v>
      </c>
      <c r="AF5" s="28">
        <f t="shared" si="8"/>
        <v>2046433.257136801</v>
      </c>
      <c r="AG5" s="28">
        <f t="shared" si="9"/>
        <v>2002.3808778246585</v>
      </c>
    </row>
    <row r="6" spans="1:38" ht="72" x14ac:dyDescent="0.3">
      <c r="A6" s="41" t="s">
        <v>696</v>
      </c>
      <c r="B6" s="41" t="s">
        <v>689</v>
      </c>
      <c r="C6" s="41" t="s">
        <v>644</v>
      </c>
      <c r="D6" s="41" t="s">
        <v>2</v>
      </c>
      <c r="E6" s="41" t="s">
        <v>187</v>
      </c>
      <c r="F6" s="41" t="s">
        <v>712</v>
      </c>
      <c r="G6" s="83">
        <f>1999.2/7</f>
        <v>285.60000000000002</v>
      </c>
      <c r="H6" s="41">
        <f>25*2*9</f>
        <v>450</v>
      </c>
      <c r="I6" s="41">
        <v>5</v>
      </c>
      <c r="J6" s="83">
        <f t="shared" si="0"/>
        <v>642600.00000000012</v>
      </c>
      <c r="K6" s="41">
        <v>0</v>
      </c>
      <c r="L6" s="41">
        <v>0</v>
      </c>
      <c r="M6" s="41">
        <f t="shared" si="1"/>
        <v>0</v>
      </c>
      <c r="N6" s="41">
        <v>0</v>
      </c>
      <c r="O6" s="41">
        <v>0</v>
      </c>
      <c r="P6" s="41">
        <f t="shared" si="2"/>
        <v>0</v>
      </c>
      <c r="Q6" s="41">
        <v>0</v>
      </c>
      <c r="R6" s="41">
        <v>0</v>
      </c>
      <c r="S6" s="41">
        <f t="shared" si="3"/>
        <v>0</v>
      </c>
      <c r="T6" s="41">
        <v>20000</v>
      </c>
      <c r="U6" s="41">
        <v>1</v>
      </c>
      <c r="V6" s="41">
        <f t="shared" si="4"/>
        <v>8362939.200000003</v>
      </c>
      <c r="W6" s="41">
        <v>0</v>
      </c>
      <c r="X6" s="41">
        <v>0</v>
      </c>
      <c r="Y6" s="41">
        <f t="shared" si="5"/>
        <v>0</v>
      </c>
      <c r="Z6" s="41">
        <v>0</v>
      </c>
      <c r="AA6" s="41">
        <v>0</v>
      </c>
      <c r="AB6" s="41">
        <f t="shared" si="6"/>
        <v>0</v>
      </c>
      <c r="AC6" s="41">
        <f>25*2*9</f>
        <v>450</v>
      </c>
      <c r="AD6" s="41">
        <v>5</v>
      </c>
      <c r="AE6" s="41">
        <f t="shared" si="7"/>
        <v>1252245.6084600009</v>
      </c>
      <c r="AF6" s="28">
        <f t="shared" si="8"/>
        <v>10257784.808460005</v>
      </c>
      <c r="AG6" s="28">
        <f t="shared" si="9"/>
        <v>10036.971436849319</v>
      </c>
    </row>
    <row r="7" spans="1:38" ht="72" x14ac:dyDescent="0.3">
      <c r="A7" s="41" t="s">
        <v>696</v>
      </c>
      <c r="B7" s="41" t="s">
        <v>689</v>
      </c>
      <c r="C7" s="41" t="s">
        <v>644</v>
      </c>
      <c r="D7" s="41" t="s">
        <v>2</v>
      </c>
      <c r="E7" s="41" t="s">
        <v>187</v>
      </c>
      <c r="F7" s="41" t="s">
        <v>709</v>
      </c>
      <c r="G7" s="83">
        <v>35000</v>
      </c>
      <c r="H7" s="41">
        <v>25</v>
      </c>
      <c r="I7" s="41">
        <v>5</v>
      </c>
      <c r="J7" s="83">
        <f t="shared" si="0"/>
        <v>4375000</v>
      </c>
      <c r="K7" s="41">
        <v>0</v>
      </c>
      <c r="L7" s="41">
        <v>0</v>
      </c>
      <c r="M7" s="41">
        <f t="shared" si="1"/>
        <v>0</v>
      </c>
      <c r="N7" s="41">
        <v>0</v>
      </c>
      <c r="O7" s="41">
        <v>0</v>
      </c>
      <c r="P7" s="41">
        <f t="shared" si="2"/>
        <v>0</v>
      </c>
      <c r="Q7" s="41">
        <v>0</v>
      </c>
      <c r="R7" s="41">
        <v>0</v>
      </c>
      <c r="S7" s="41">
        <f t="shared" si="3"/>
        <v>0</v>
      </c>
      <c r="T7" s="41">
        <v>40</v>
      </c>
      <c r="U7" s="41">
        <v>10</v>
      </c>
      <c r="V7" s="41">
        <f t="shared" si="4"/>
        <v>20497400.000000004</v>
      </c>
      <c r="W7" s="41">
        <v>0</v>
      </c>
      <c r="X7" s="41">
        <v>0</v>
      </c>
      <c r="Y7" s="41">
        <f t="shared" si="5"/>
        <v>0</v>
      </c>
      <c r="Z7" s="41">
        <v>0</v>
      </c>
      <c r="AA7" s="41">
        <v>0</v>
      </c>
      <c r="AB7" s="41">
        <f t="shared" si="6"/>
        <v>0</v>
      </c>
      <c r="AC7" s="41">
        <v>25</v>
      </c>
      <c r="AD7" s="41">
        <v>5</v>
      </c>
      <c r="AE7" s="41">
        <f t="shared" si="7"/>
        <v>8525637.3125000037</v>
      </c>
      <c r="AF7" s="28">
        <f t="shared" si="8"/>
        <v>33398037.312500007</v>
      </c>
      <c r="AG7" s="28">
        <f t="shared" si="9"/>
        <v>32679.097174657541</v>
      </c>
    </row>
    <row r="8" spans="1:38" ht="72" x14ac:dyDescent="0.3">
      <c r="A8" s="41" t="s">
        <v>696</v>
      </c>
      <c r="B8" s="41" t="s">
        <v>689</v>
      </c>
      <c r="C8" s="41" t="s">
        <v>644</v>
      </c>
      <c r="D8" s="41" t="s">
        <v>2</v>
      </c>
      <c r="E8" s="41" t="s">
        <v>188</v>
      </c>
      <c r="F8" s="41" t="s">
        <v>716</v>
      </c>
      <c r="G8" s="83">
        <v>39000</v>
      </c>
      <c r="H8" s="41">
        <v>58</v>
      </c>
      <c r="I8" s="41">
        <v>5</v>
      </c>
      <c r="J8" s="83">
        <f t="shared" si="0"/>
        <v>11310000</v>
      </c>
      <c r="K8" s="41">
        <v>0</v>
      </c>
      <c r="L8" s="41">
        <v>0</v>
      </c>
      <c r="M8" s="41">
        <f t="shared" si="1"/>
        <v>0</v>
      </c>
      <c r="N8" s="41">
        <v>0</v>
      </c>
      <c r="O8" s="41">
        <v>0</v>
      </c>
      <c r="P8" s="41">
        <f t="shared" si="2"/>
        <v>0</v>
      </c>
      <c r="Q8" s="41">
        <v>0</v>
      </c>
      <c r="R8" s="41">
        <v>0</v>
      </c>
      <c r="S8" s="41">
        <f t="shared" si="3"/>
        <v>0</v>
      </c>
      <c r="T8" s="41">
        <v>40</v>
      </c>
      <c r="U8" s="41">
        <v>3</v>
      </c>
      <c r="V8" s="41">
        <f t="shared" si="4"/>
        <v>6851988.0000000019</v>
      </c>
      <c r="W8" s="41">
        <v>0</v>
      </c>
      <c r="X8" s="41">
        <v>0</v>
      </c>
      <c r="Y8" s="41">
        <f t="shared" si="5"/>
        <v>0</v>
      </c>
      <c r="Z8" s="41">
        <v>0</v>
      </c>
      <c r="AA8" s="41">
        <v>0</v>
      </c>
      <c r="AB8" s="41">
        <f t="shared" si="6"/>
        <v>0</v>
      </c>
      <c r="AC8" s="41">
        <v>58</v>
      </c>
      <c r="AD8" s="41">
        <v>5</v>
      </c>
      <c r="AE8" s="41">
        <f t="shared" si="7"/>
        <v>22039990.401000012</v>
      </c>
      <c r="AF8" s="28">
        <f t="shared" si="8"/>
        <v>40201978.401000008</v>
      </c>
      <c r="AG8" s="28">
        <f t="shared" si="9"/>
        <v>39336.573777886508</v>
      </c>
    </row>
    <row r="9" spans="1:38" ht="72" x14ac:dyDescent="0.3">
      <c r="A9" s="41" t="s">
        <v>696</v>
      </c>
      <c r="B9" s="41" t="s">
        <v>689</v>
      </c>
      <c r="C9" s="41" t="s">
        <v>644</v>
      </c>
      <c r="D9" s="41" t="s">
        <v>2</v>
      </c>
      <c r="E9" s="41" t="s">
        <v>188</v>
      </c>
      <c r="F9" s="41" t="s">
        <v>709</v>
      </c>
      <c r="G9" s="83">
        <v>35000</v>
      </c>
      <c r="H9" s="41">
        <v>100</v>
      </c>
      <c r="I9" s="41">
        <v>5</v>
      </c>
      <c r="J9" s="83">
        <f t="shared" si="0"/>
        <v>17500000</v>
      </c>
      <c r="K9" s="41">
        <v>0</v>
      </c>
      <c r="L9" s="41">
        <v>0</v>
      </c>
      <c r="M9" s="41">
        <f t="shared" si="1"/>
        <v>0</v>
      </c>
      <c r="N9" s="41">
        <v>0</v>
      </c>
      <c r="O9" s="41">
        <v>0</v>
      </c>
      <c r="P9" s="41">
        <f t="shared" si="2"/>
        <v>0</v>
      </c>
      <c r="Q9" s="41">
        <v>0</v>
      </c>
      <c r="R9" s="41">
        <v>0</v>
      </c>
      <c r="S9" s="41">
        <f t="shared" si="3"/>
        <v>0</v>
      </c>
      <c r="T9" s="41">
        <v>40</v>
      </c>
      <c r="U9" s="41">
        <v>3</v>
      </c>
      <c r="V9" s="41">
        <f t="shared" si="4"/>
        <v>6149220.0000000019</v>
      </c>
      <c r="W9" s="41">
        <v>0</v>
      </c>
      <c r="X9" s="41">
        <v>0</v>
      </c>
      <c r="Y9" s="41">
        <f t="shared" si="5"/>
        <v>0</v>
      </c>
      <c r="Z9" s="41">
        <v>0</v>
      </c>
      <c r="AA9" s="41">
        <v>0</v>
      </c>
      <c r="AB9" s="41">
        <f t="shared" si="6"/>
        <v>0</v>
      </c>
      <c r="AC9" s="41">
        <v>100</v>
      </c>
      <c r="AD9" s="41">
        <v>5</v>
      </c>
      <c r="AE9" s="41">
        <f t="shared" si="7"/>
        <v>34102549.250000015</v>
      </c>
      <c r="AF9" s="28">
        <f t="shared" si="8"/>
        <v>57751769.250000015</v>
      </c>
      <c r="AG9" s="28">
        <f t="shared" si="9"/>
        <v>56508.580479452066</v>
      </c>
    </row>
    <row r="10" spans="1:38" ht="72" x14ac:dyDescent="0.3">
      <c r="A10" s="41" t="s">
        <v>696</v>
      </c>
      <c r="B10" s="41" t="s">
        <v>689</v>
      </c>
      <c r="C10" s="41" t="s">
        <v>644</v>
      </c>
      <c r="D10" s="41" t="s">
        <v>2</v>
      </c>
      <c r="E10" s="41" t="s">
        <v>188</v>
      </c>
      <c r="F10" s="41" t="s">
        <v>1350</v>
      </c>
      <c r="G10" s="83">
        <f>1999.2/7</f>
        <v>285.60000000000002</v>
      </c>
      <c r="H10" s="41">
        <f>2*135*29</f>
        <v>7830</v>
      </c>
      <c r="I10" s="41">
        <v>1</v>
      </c>
      <c r="J10" s="83">
        <f t="shared" si="0"/>
        <v>2236248</v>
      </c>
      <c r="K10" s="41"/>
      <c r="L10" s="41"/>
      <c r="M10" s="41">
        <f t="shared" si="1"/>
        <v>0</v>
      </c>
      <c r="N10" s="41"/>
      <c r="O10" s="41"/>
      <c r="P10" s="41">
        <f t="shared" si="2"/>
        <v>0</v>
      </c>
      <c r="Q10" s="41"/>
      <c r="R10" s="41"/>
      <c r="S10" s="41">
        <f t="shared" si="3"/>
        <v>0</v>
      </c>
      <c r="T10" s="41"/>
      <c r="U10" s="41"/>
      <c r="V10" s="41">
        <f t="shared" si="4"/>
        <v>0</v>
      </c>
      <c r="W10" s="41"/>
      <c r="X10" s="41"/>
      <c r="Y10" s="41">
        <f t="shared" si="5"/>
        <v>0</v>
      </c>
      <c r="Z10" s="41"/>
      <c r="AA10" s="41"/>
      <c r="AB10" s="41">
        <f t="shared" si="6"/>
        <v>0</v>
      </c>
      <c r="AC10" s="41">
        <f>2*135*29</f>
        <v>7830</v>
      </c>
      <c r="AD10" s="41">
        <v>1</v>
      </c>
      <c r="AE10" s="41">
        <f t="shared" si="7"/>
        <v>4357814.7174408035</v>
      </c>
      <c r="AF10" s="28">
        <f t="shared" si="8"/>
        <v>6594062.7174408035</v>
      </c>
      <c r="AG10" s="28">
        <f t="shared" si="9"/>
        <v>6452.1161618794558</v>
      </c>
    </row>
    <row r="11" spans="1:38" ht="72" x14ac:dyDescent="0.3">
      <c r="A11" s="41" t="s">
        <v>696</v>
      </c>
      <c r="B11" s="41" t="s">
        <v>689</v>
      </c>
      <c r="C11" s="41" t="s">
        <v>644</v>
      </c>
      <c r="D11" s="41" t="s">
        <v>2</v>
      </c>
      <c r="E11" s="41" t="s">
        <v>188</v>
      </c>
      <c r="F11" s="41" t="s">
        <v>712</v>
      </c>
      <c r="G11" s="83">
        <f>1999.2/7</f>
        <v>285.60000000000002</v>
      </c>
      <c r="H11" s="41">
        <f>25*2*29</f>
        <v>1450</v>
      </c>
      <c r="I11" s="41">
        <v>5</v>
      </c>
      <c r="J11" s="83">
        <f t="shared" si="0"/>
        <v>2070600.0000000002</v>
      </c>
      <c r="K11" s="41">
        <v>0</v>
      </c>
      <c r="L11" s="41">
        <v>0</v>
      </c>
      <c r="M11" s="41">
        <f t="shared" si="1"/>
        <v>0</v>
      </c>
      <c r="N11" s="41">
        <v>0</v>
      </c>
      <c r="O11" s="41">
        <v>0</v>
      </c>
      <c r="P11" s="41">
        <f t="shared" si="2"/>
        <v>0</v>
      </c>
      <c r="Q11" s="41">
        <v>0</v>
      </c>
      <c r="R11" s="41">
        <v>0</v>
      </c>
      <c r="S11" s="41">
        <f t="shared" si="3"/>
        <v>0</v>
      </c>
      <c r="T11" s="41">
        <v>8000</v>
      </c>
      <c r="U11" s="41">
        <v>1</v>
      </c>
      <c r="V11" s="41">
        <f t="shared" si="4"/>
        <v>3345175.6800000011</v>
      </c>
      <c r="W11" s="41">
        <v>0</v>
      </c>
      <c r="X11" s="41">
        <v>0</v>
      </c>
      <c r="Y11" s="41">
        <f t="shared" si="5"/>
        <v>0</v>
      </c>
      <c r="Z11" s="41">
        <v>0</v>
      </c>
      <c r="AA11" s="41">
        <v>0</v>
      </c>
      <c r="AB11" s="41">
        <f t="shared" si="6"/>
        <v>0</v>
      </c>
      <c r="AC11" s="41">
        <f>25*2*29</f>
        <v>1450</v>
      </c>
      <c r="AD11" s="41">
        <v>5</v>
      </c>
      <c r="AE11" s="41">
        <f t="shared" si="7"/>
        <v>4035013.6272600032</v>
      </c>
      <c r="AF11" s="28">
        <f t="shared" si="8"/>
        <v>9450789.3072600048</v>
      </c>
      <c r="AG11" s="28">
        <f t="shared" si="9"/>
        <v>9247.3476587671285</v>
      </c>
    </row>
    <row r="12" spans="1:38" ht="72" x14ac:dyDescent="0.3">
      <c r="A12" s="41" t="s">
        <v>696</v>
      </c>
      <c r="B12" s="41" t="s">
        <v>689</v>
      </c>
      <c r="C12" s="41" t="s">
        <v>644</v>
      </c>
      <c r="D12" s="41" t="s">
        <v>2</v>
      </c>
      <c r="E12" s="41" t="s">
        <v>1372</v>
      </c>
      <c r="F12" s="41" t="s">
        <v>716</v>
      </c>
      <c r="G12" s="83">
        <v>39000</v>
      </c>
      <c r="H12" s="41">
        <v>25</v>
      </c>
      <c r="I12" s="41">
        <v>5</v>
      </c>
      <c r="J12" s="83">
        <f t="shared" si="0"/>
        <v>4875000</v>
      </c>
      <c r="K12" s="41">
        <v>0</v>
      </c>
      <c r="L12" s="41">
        <v>0</v>
      </c>
      <c r="M12" s="41">
        <f t="shared" si="1"/>
        <v>0</v>
      </c>
      <c r="N12" s="41">
        <v>0</v>
      </c>
      <c r="O12" s="41">
        <v>0</v>
      </c>
      <c r="P12" s="41">
        <f t="shared" si="2"/>
        <v>0</v>
      </c>
      <c r="Q12" s="41">
        <v>0</v>
      </c>
      <c r="R12" s="41">
        <v>0</v>
      </c>
      <c r="S12" s="41">
        <f t="shared" si="3"/>
        <v>0</v>
      </c>
      <c r="T12" s="41">
        <v>40</v>
      </c>
      <c r="U12" s="41">
        <v>2</v>
      </c>
      <c r="V12" s="41">
        <f t="shared" si="4"/>
        <v>4567992.0000000009</v>
      </c>
      <c r="W12" s="41">
        <v>0</v>
      </c>
      <c r="X12" s="41">
        <v>0</v>
      </c>
      <c r="Y12" s="41">
        <f t="shared" si="5"/>
        <v>0</v>
      </c>
      <c r="Z12" s="41">
        <v>0</v>
      </c>
      <c r="AA12" s="41">
        <v>0</v>
      </c>
      <c r="AB12" s="41">
        <f t="shared" si="6"/>
        <v>0</v>
      </c>
      <c r="AC12" s="41">
        <v>25</v>
      </c>
      <c r="AD12" s="41">
        <v>5</v>
      </c>
      <c r="AE12" s="41">
        <f t="shared" si="7"/>
        <v>9499995.8625000045</v>
      </c>
      <c r="AF12" s="28">
        <f t="shared" si="8"/>
        <v>18942987.862500004</v>
      </c>
      <c r="AG12" s="28">
        <f t="shared" si="9"/>
        <v>18535.213172700591</v>
      </c>
    </row>
    <row r="13" spans="1:38" ht="72" x14ac:dyDescent="0.3">
      <c r="A13" s="41" t="s">
        <v>696</v>
      </c>
      <c r="B13" s="41" t="s">
        <v>689</v>
      </c>
      <c r="C13" s="41" t="s">
        <v>644</v>
      </c>
      <c r="D13" s="41" t="s">
        <v>2</v>
      </c>
      <c r="E13" s="41" t="s">
        <v>1372</v>
      </c>
      <c r="F13" s="41" t="s">
        <v>709</v>
      </c>
      <c r="G13" s="83">
        <v>35000</v>
      </c>
      <c r="H13" s="41">
        <v>25</v>
      </c>
      <c r="I13" s="41">
        <v>5</v>
      </c>
      <c r="J13" s="83">
        <f t="shared" si="0"/>
        <v>4375000</v>
      </c>
      <c r="K13" s="41">
        <v>0</v>
      </c>
      <c r="L13" s="41">
        <v>0</v>
      </c>
      <c r="M13" s="41">
        <f t="shared" si="1"/>
        <v>0</v>
      </c>
      <c r="N13" s="41">
        <v>0</v>
      </c>
      <c r="O13" s="41">
        <v>0</v>
      </c>
      <c r="P13" s="41">
        <f t="shared" si="2"/>
        <v>0</v>
      </c>
      <c r="Q13" s="41">
        <v>0</v>
      </c>
      <c r="R13" s="41">
        <v>0</v>
      </c>
      <c r="S13" s="41">
        <f t="shared" si="3"/>
        <v>0</v>
      </c>
      <c r="T13" s="41">
        <v>40</v>
      </c>
      <c r="U13" s="41">
        <v>2</v>
      </c>
      <c r="V13" s="41">
        <f t="shared" si="4"/>
        <v>4099480.0000000009</v>
      </c>
      <c r="W13" s="41">
        <v>0</v>
      </c>
      <c r="X13" s="41">
        <v>0</v>
      </c>
      <c r="Y13" s="41">
        <f t="shared" si="5"/>
        <v>0</v>
      </c>
      <c r="Z13" s="41">
        <v>0</v>
      </c>
      <c r="AA13" s="41">
        <v>0</v>
      </c>
      <c r="AB13" s="41">
        <f t="shared" si="6"/>
        <v>0</v>
      </c>
      <c r="AC13" s="41">
        <v>25</v>
      </c>
      <c r="AD13" s="41">
        <v>5</v>
      </c>
      <c r="AE13" s="41">
        <f t="shared" si="7"/>
        <v>8525637.3125000037</v>
      </c>
      <c r="AF13" s="28">
        <f t="shared" si="8"/>
        <v>17000117.312500004</v>
      </c>
      <c r="AG13" s="28">
        <f t="shared" si="9"/>
        <v>16634.165667808222</v>
      </c>
    </row>
    <row r="14" spans="1:38" ht="72" x14ac:dyDescent="0.3">
      <c r="A14" s="41" t="s">
        <v>696</v>
      </c>
      <c r="B14" s="41" t="s">
        <v>689</v>
      </c>
      <c r="C14" s="41" t="s">
        <v>644</v>
      </c>
      <c r="D14" s="41" t="s">
        <v>2</v>
      </c>
      <c r="E14" s="41" t="s">
        <v>1372</v>
      </c>
      <c r="F14" s="41" t="s">
        <v>1350</v>
      </c>
      <c r="G14" s="83">
        <f>1999.2/7</f>
        <v>285.60000000000002</v>
      </c>
      <c r="H14" s="41">
        <f>2*135*9</f>
        <v>2430</v>
      </c>
      <c r="I14" s="41">
        <v>1</v>
      </c>
      <c r="J14" s="83">
        <f t="shared" si="0"/>
        <v>694008</v>
      </c>
      <c r="K14" s="41"/>
      <c r="L14" s="41"/>
      <c r="M14" s="41">
        <f t="shared" si="1"/>
        <v>0</v>
      </c>
      <c r="N14" s="41"/>
      <c r="O14" s="41"/>
      <c r="P14" s="41">
        <f t="shared" si="2"/>
        <v>0</v>
      </c>
      <c r="Q14" s="41"/>
      <c r="R14" s="41"/>
      <c r="S14" s="41">
        <f t="shared" si="3"/>
        <v>0</v>
      </c>
      <c r="T14" s="41"/>
      <c r="U14" s="41"/>
      <c r="V14" s="41">
        <f t="shared" si="4"/>
        <v>0</v>
      </c>
      <c r="W14" s="41"/>
      <c r="X14" s="41"/>
      <c r="Y14" s="41">
        <f t="shared" si="5"/>
        <v>0</v>
      </c>
      <c r="Z14" s="41"/>
      <c r="AA14" s="41"/>
      <c r="AB14" s="41">
        <f t="shared" si="6"/>
        <v>0</v>
      </c>
      <c r="AC14" s="41">
        <f>2*135*9</f>
        <v>2430</v>
      </c>
      <c r="AD14" s="41">
        <v>1</v>
      </c>
      <c r="AE14" s="41">
        <f t="shared" si="7"/>
        <v>1352425.257136801</v>
      </c>
      <c r="AF14" s="28">
        <f t="shared" si="8"/>
        <v>2046433.257136801</v>
      </c>
      <c r="AG14" s="28">
        <f t="shared" si="9"/>
        <v>2002.3808778246585</v>
      </c>
    </row>
    <row r="15" spans="1:38" ht="72" x14ac:dyDescent="0.3">
      <c r="A15" s="41" t="s">
        <v>696</v>
      </c>
      <c r="B15" s="41" t="s">
        <v>689</v>
      </c>
      <c r="C15" s="41" t="s">
        <v>644</v>
      </c>
      <c r="D15" s="41" t="s">
        <v>2</v>
      </c>
      <c r="E15" s="41" t="s">
        <v>1372</v>
      </c>
      <c r="F15" s="41" t="s">
        <v>712</v>
      </c>
      <c r="G15" s="83">
        <f>1999.2/7</f>
        <v>285.60000000000002</v>
      </c>
      <c r="H15" s="41">
        <f>25*2*9</f>
        <v>450</v>
      </c>
      <c r="I15" s="41">
        <v>5</v>
      </c>
      <c r="J15" s="83">
        <f t="shared" si="0"/>
        <v>642600.00000000012</v>
      </c>
      <c r="K15" s="41">
        <v>0</v>
      </c>
      <c r="L15" s="41">
        <v>0</v>
      </c>
      <c r="M15" s="41">
        <f t="shared" si="1"/>
        <v>0</v>
      </c>
      <c r="N15" s="41">
        <v>0</v>
      </c>
      <c r="O15" s="41">
        <v>0</v>
      </c>
      <c r="P15" s="41">
        <f t="shared" si="2"/>
        <v>0</v>
      </c>
      <c r="Q15" s="41">
        <v>0</v>
      </c>
      <c r="R15" s="41">
        <v>0</v>
      </c>
      <c r="S15" s="41">
        <f t="shared" si="3"/>
        <v>0</v>
      </c>
      <c r="T15" s="41">
        <v>15000</v>
      </c>
      <c r="U15" s="41">
        <v>1</v>
      </c>
      <c r="V15" s="41">
        <f t="shared" si="4"/>
        <v>6272204.4000000022</v>
      </c>
      <c r="W15" s="41">
        <v>0</v>
      </c>
      <c r="X15" s="41">
        <v>0</v>
      </c>
      <c r="Y15" s="41">
        <f t="shared" si="5"/>
        <v>0</v>
      </c>
      <c r="Z15" s="41">
        <v>0</v>
      </c>
      <c r="AA15" s="41">
        <v>0</v>
      </c>
      <c r="AB15" s="41">
        <f t="shared" si="6"/>
        <v>0</v>
      </c>
      <c r="AC15" s="41">
        <f>25*2*9</f>
        <v>450</v>
      </c>
      <c r="AD15" s="41">
        <v>5</v>
      </c>
      <c r="AE15" s="41">
        <f t="shared" si="7"/>
        <v>1252245.6084600009</v>
      </c>
      <c r="AF15" s="28">
        <f t="shared" si="8"/>
        <v>8167050.008460003</v>
      </c>
      <c r="AG15" s="28">
        <f t="shared" si="9"/>
        <v>7991.2426697260307</v>
      </c>
    </row>
    <row r="16" spans="1:38" ht="72" x14ac:dyDescent="0.3">
      <c r="A16" s="41" t="s">
        <v>696</v>
      </c>
      <c r="B16" s="41" t="s">
        <v>689</v>
      </c>
      <c r="C16" s="41" t="s">
        <v>644</v>
      </c>
      <c r="D16" s="41" t="s">
        <v>3</v>
      </c>
      <c r="E16" s="41" t="s">
        <v>190</v>
      </c>
      <c r="F16" s="41" t="s">
        <v>716</v>
      </c>
      <c r="G16" s="83">
        <v>39000</v>
      </c>
      <c r="H16" s="41">
        <v>25</v>
      </c>
      <c r="I16" s="41">
        <v>5</v>
      </c>
      <c r="J16" s="83">
        <f t="shared" si="0"/>
        <v>4875000</v>
      </c>
      <c r="K16" s="41">
        <v>0</v>
      </c>
      <c r="L16" s="41">
        <v>0</v>
      </c>
      <c r="M16" s="41">
        <f t="shared" si="1"/>
        <v>0</v>
      </c>
      <c r="N16" s="41">
        <v>0</v>
      </c>
      <c r="O16" s="41">
        <v>0</v>
      </c>
      <c r="P16" s="41">
        <f t="shared" si="2"/>
        <v>0</v>
      </c>
      <c r="Q16" s="41">
        <v>0</v>
      </c>
      <c r="R16" s="41">
        <v>0</v>
      </c>
      <c r="S16" s="41">
        <f t="shared" si="3"/>
        <v>0</v>
      </c>
      <c r="T16" s="41">
        <v>20</v>
      </c>
      <c r="U16" s="41">
        <v>10</v>
      </c>
      <c r="V16" s="41">
        <f t="shared" si="4"/>
        <v>11419980.000000002</v>
      </c>
      <c r="W16" s="41">
        <v>0</v>
      </c>
      <c r="X16" s="41">
        <v>0</v>
      </c>
      <c r="Y16" s="41">
        <f t="shared" si="5"/>
        <v>0</v>
      </c>
      <c r="Z16" s="41">
        <v>0</v>
      </c>
      <c r="AA16" s="41">
        <v>0</v>
      </c>
      <c r="AB16" s="41">
        <f t="shared" si="6"/>
        <v>0</v>
      </c>
      <c r="AC16" s="41">
        <v>25</v>
      </c>
      <c r="AD16" s="41">
        <v>5</v>
      </c>
      <c r="AE16" s="41">
        <f t="shared" si="7"/>
        <v>9499995.8625000045</v>
      </c>
      <c r="AF16" s="28">
        <f t="shared" si="8"/>
        <v>25794975.862500004</v>
      </c>
      <c r="AG16" s="28">
        <f t="shared" si="9"/>
        <v>25239.702409491198</v>
      </c>
    </row>
    <row r="17" spans="1:33" ht="72" x14ac:dyDescent="0.3">
      <c r="A17" s="41" t="s">
        <v>696</v>
      </c>
      <c r="B17" s="41" t="s">
        <v>689</v>
      </c>
      <c r="C17" s="41" t="s">
        <v>644</v>
      </c>
      <c r="D17" s="41" t="s">
        <v>3</v>
      </c>
      <c r="E17" s="41" t="s">
        <v>190</v>
      </c>
      <c r="F17" s="41" t="s">
        <v>709</v>
      </c>
      <c r="G17" s="83">
        <v>35000</v>
      </c>
      <c r="H17" s="41">
        <v>25</v>
      </c>
      <c r="I17" s="41">
        <v>5</v>
      </c>
      <c r="J17" s="83">
        <f t="shared" si="0"/>
        <v>4375000</v>
      </c>
      <c r="K17" s="41">
        <v>0</v>
      </c>
      <c r="L17" s="41">
        <v>0</v>
      </c>
      <c r="M17" s="41">
        <f t="shared" si="1"/>
        <v>0</v>
      </c>
      <c r="N17" s="41">
        <v>0</v>
      </c>
      <c r="O17" s="41">
        <v>0</v>
      </c>
      <c r="P17" s="41">
        <f t="shared" si="2"/>
        <v>0</v>
      </c>
      <c r="Q17" s="41">
        <v>0</v>
      </c>
      <c r="R17" s="41">
        <v>0</v>
      </c>
      <c r="S17" s="41">
        <f t="shared" si="3"/>
        <v>0</v>
      </c>
      <c r="T17" s="41">
        <v>20</v>
      </c>
      <c r="U17" s="41">
        <v>10</v>
      </c>
      <c r="V17" s="41">
        <f t="shared" si="4"/>
        <v>10248700.000000002</v>
      </c>
      <c r="W17" s="41">
        <v>0</v>
      </c>
      <c r="X17" s="41">
        <v>0</v>
      </c>
      <c r="Y17" s="41">
        <f t="shared" si="5"/>
        <v>0</v>
      </c>
      <c r="Z17" s="41">
        <v>0</v>
      </c>
      <c r="AA17" s="41">
        <v>0</v>
      </c>
      <c r="AB17" s="41">
        <f t="shared" si="6"/>
        <v>0</v>
      </c>
      <c r="AC17" s="41">
        <v>25</v>
      </c>
      <c r="AD17" s="41">
        <v>5</v>
      </c>
      <c r="AE17" s="41">
        <f t="shared" si="7"/>
        <v>8525637.3125000037</v>
      </c>
      <c r="AF17" s="28">
        <f t="shared" si="8"/>
        <v>23149337.312500007</v>
      </c>
      <c r="AG17" s="28">
        <f t="shared" si="9"/>
        <v>22651.014982876721</v>
      </c>
    </row>
    <row r="18" spans="1:33" ht="72" x14ac:dyDescent="0.3">
      <c r="A18" s="41" t="s">
        <v>696</v>
      </c>
      <c r="B18" s="41" t="s">
        <v>689</v>
      </c>
      <c r="C18" s="41" t="s">
        <v>644</v>
      </c>
      <c r="D18" s="41" t="s">
        <v>3</v>
      </c>
      <c r="E18" s="41" t="s">
        <v>190</v>
      </c>
      <c r="F18" s="41" t="s">
        <v>712</v>
      </c>
      <c r="G18" s="83">
        <f>1999.2/7</f>
        <v>285.60000000000002</v>
      </c>
      <c r="H18" s="41">
        <f>25*2*9</f>
        <v>450</v>
      </c>
      <c r="I18" s="41">
        <v>5</v>
      </c>
      <c r="J18" s="83">
        <f t="shared" si="0"/>
        <v>642600.00000000012</v>
      </c>
      <c r="K18" s="41">
        <v>0</v>
      </c>
      <c r="L18" s="41">
        <v>0</v>
      </c>
      <c r="M18" s="41">
        <f t="shared" si="1"/>
        <v>0</v>
      </c>
      <c r="N18" s="41">
        <v>0</v>
      </c>
      <c r="O18" s="41">
        <v>0</v>
      </c>
      <c r="P18" s="41">
        <f t="shared" si="2"/>
        <v>0</v>
      </c>
      <c r="Q18" s="41">
        <v>0</v>
      </c>
      <c r="R18" s="41">
        <v>0</v>
      </c>
      <c r="S18" s="41">
        <f t="shared" si="3"/>
        <v>0</v>
      </c>
      <c r="T18" s="41">
        <v>20000</v>
      </c>
      <c r="U18" s="41">
        <v>1</v>
      </c>
      <c r="V18" s="41">
        <f t="shared" si="4"/>
        <v>8362939.200000003</v>
      </c>
      <c r="W18" s="41">
        <v>0</v>
      </c>
      <c r="X18" s="41">
        <v>0</v>
      </c>
      <c r="Y18" s="41">
        <f t="shared" si="5"/>
        <v>0</v>
      </c>
      <c r="Z18" s="41">
        <v>0</v>
      </c>
      <c r="AA18" s="41">
        <v>0</v>
      </c>
      <c r="AB18" s="41">
        <f t="shared" si="6"/>
        <v>0</v>
      </c>
      <c r="AC18" s="41">
        <f>25*2*9</f>
        <v>450</v>
      </c>
      <c r="AD18" s="41">
        <v>5</v>
      </c>
      <c r="AE18" s="41">
        <f t="shared" si="7"/>
        <v>1252245.6084600009</v>
      </c>
      <c r="AF18" s="28">
        <f t="shared" si="8"/>
        <v>10257784.808460005</v>
      </c>
      <c r="AG18" s="28">
        <f t="shared" si="9"/>
        <v>10036.971436849319</v>
      </c>
    </row>
    <row r="19" spans="1:33" ht="72" x14ac:dyDescent="0.3">
      <c r="A19" s="41" t="s">
        <v>696</v>
      </c>
      <c r="B19" s="41" t="s">
        <v>689</v>
      </c>
      <c r="C19" s="41" t="s">
        <v>644</v>
      </c>
      <c r="D19" s="41" t="s">
        <v>3</v>
      </c>
      <c r="E19" s="41" t="s">
        <v>190</v>
      </c>
      <c r="F19" s="41" t="s">
        <v>1350</v>
      </c>
      <c r="G19" s="83">
        <f>1999.2/7</f>
        <v>285.60000000000002</v>
      </c>
      <c r="H19" s="41">
        <f>2*135*9</f>
        <v>2430</v>
      </c>
      <c r="I19" s="41">
        <v>1</v>
      </c>
      <c r="J19" s="83">
        <f t="shared" si="0"/>
        <v>694008</v>
      </c>
      <c r="K19" s="41"/>
      <c r="L19" s="41"/>
      <c r="M19" s="41">
        <f t="shared" si="1"/>
        <v>0</v>
      </c>
      <c r="N19" s="41"/>
      <c r="O19" s="41"/>
      <c r="P19" s="41">
        <f t="shared" si="2"/>
        <v>0</v>
      </c>
      <c r="Q19" s="41"/>
      <c r="R19" s="41"/>
      <c r="S19" s="41">
        <f t="shared" si="3"/>
        <v>0</v>
      </c>
      <c r="T19" s="41"/>
      <c r="U19" s="41"/>
      <c r="V19" s="41">
        <f t="shared" si="4"/>
        <v>0</v>
      </c>
      <c r="W19" s="41"/>
      <c r="X19" s="41"/>
      <c r="Y19" s="41">
        <f t="shared" si="5"/>
        <v>0</v>
      </c>
      <c r="Z19" s="41"/>
      <c r="AA19" s="41"/>
      <c r="AB19" s="41">
        <f t="shared" si="6"/>
        <v>0</v>
      </c>
      <c r="AC19" s="41">
        <f>2*135*9</f>
        <v>2430</v>
      </c>
      <c r="AD19" s="41">
        <v>1</v>
      </c>
      <c r="AE19" s="41">
        <f t="shared" si="7"/>
        <v>1352425.257136801</v>
      </c>
      <c r="AF19" s="28">
        <f t="shared" si="8"/>
        <v>2046433.257136801</v>
      </c>
      <c r="AG19" s="28">
        <f t="shared" si="9"/>
        <v>2002.3808778246585</v>
      </c>
    </row>
    <row r="20" spans="1:33" ht="72" x14ac:dyDescent="0.3">
      <c r="A20" s="41" t="s">
        <v>696</v>
      </c>
      <c r="B20" s="41" t="s">
        <v>689</v>
      </c>
      <c r="C20" s="41" t="s">
        <v>644</v>
      </c>
      <c r="D20" s="41" t="s">
        <v>3</v>
      </c>
      <c r="E20" s="41" t="s">
        <v>191</v>
      </c>
      <c r="F20" s="41" t="s">
        <v>716</v>
      </c>
      <c r="G20" s="83">
        <v>39000</v>
      </c>
      <c r="H20" s="41">
        <v>58</v>
      </c>
      <c r="I20" s="41">
        <v>3</v>
      </c>
      <c r="J20" s="83">
        <f t="shared" si="0"/>
        <v>6786000</v>
      </c>
      <c r="K20" s="41">
        <v>0</v>
      </c>
      <c r="L20" s="41">
        <v>0</v>
      </c>
      <c r="M20" s="41">
        <f t="shared" si="1"/>
        <v>0</v>
      </c>
      <c r="N20" s="41">
        <v>0</v>
      </c>
      <c r="O20" s="41">
        <v>0</v>
      </c>
      <c r="P20" s="41">
        <f t="shared" si="2"/>
        <v>0</v>
      </c>
      <c r="Q20" s="41">
        <v>0</v>
      </c>
      <c r="R20" s="41">
        <v>0</v>
      </c>
      <c r="S20" s="41">
        <f t="shared" si="3"/>
        <v>0</v>
      </c>
      <c r="T20" s="41">
        <v>20</v>
      </c>
      <c r="U20" s="41">
        <v>10</v>
      </c>
      <c r="V20" s="41">
        <f t="shared" si="4"/>
        <v>11419980.000000002</v>
      </c>
      <c r="W20" s="41">
        <v>0</v>
      </c>
      <c r="X20" s="41">
        <v>0</v>
      </c>
      <c r="Y20" s="41">
        <f t="shared" si="5"/>
        <v>0</v>
      </c>
      <c r="Z20" s="41">
        <v>0</v>
      </c>
      <c r="AA20" s="41">
        <v>0</v>
      </c>
      <c r="AB20" s="41">
        <f t="shared" si="6"/>
        <v>0</v>
      </c>
      <c r="AC20" s="41">
        <v>58</v>
      </c>
      <c r="AD20" s="41">
        <v>3</v>
      </c>
      <c r="AE20" s="41">
        <f t="shared" si="7"/>
        <v>13223994.240600009</v>
      </c>
      <c r="AF20" s="28">
        <f t="shared" si="8"/>
        <v>31429974.240600009</v>
      </c>
      <c r="AG20" s="28">
        <f t="shared" si="9"/>
        <v>30753.399452641886</v>
      </c>
    </row>
    <row r="21" spans="1:33" ht="72" x14ac:dyDescent="0.3">
      <c r="A21" s="41" t="s">
        <v>696</v>
      </c>
      <c r="B21" s="41" t="s">
        <v>689</v>
      </c>
      <c r="C21" s="41" t="s">
        <v>644</v>
      </c>
      <c r="D21" s="41" t="s">
        <v>3</v>
      </c>
      <c r="E21" s="41" t="s">
        <v>191</v>
      </c>
      <c r="F21" s="41" t="s">
        <v>709</v>
      </c>
      <c r="G21" s="83">
        <v>35000</v>
      </c>
      <c r="H21" s="41">
        <v>100</v>
      </c>
      <c r="I21" s="41">
        <v>2</v>
      </c>
      <c r="J21" s="83">
        <f t="shared" si="0"/>
        <v>7000000</v>
      </c>
      <c r="K21" s="41">
        <v>0</v>
      </c>
      <c r="L21" s="41">
        <v>0</v>
      </c>
      <c r="M21" s="41">
        <f t="shared" si="1"/>
        <v>0</v>
      </c>
      <c r="N21" s="41">
        <v>0</v>
      </c>
      <c r="O21" s="41">
        <v>0</v>
      </c>
      <c r="P21" s="41">
        <f t="shared" si="2"/>
        <v>0</v>
      </c>
      <c r="Q21" s="41">
        <v>0</v>
      </c>
      <c r="R21" s="41">
        <v>0</v>
      </c>
      <c r="S21" s="41">
        <f t="shared" si="3"/>
        <v>0</v>
      </c>
      <c r="T21" s="41">
        <v>20</v>
      </c>
      <c r="U21" s="41">
        <v>10</v>
      </c>
      <c r="V21" s="41">
        <f t="shared" si="4"/>
        <v>10248700.000000002</v>
      </c>
      <c r="W21" s="41">
        <v>0</v>
      </c>
      <c r="X21" s="41">
        <v>0</v>
      </c>
      <c r="Y21" s="41">
        <f t="shared" si="5"/>
        <v>0</v>
      </c>
      <c r="Z21" s="41">
        <v>0</v>
      </c>
      <c r="AA21" s="41">
        <v>0</v>
      </c>
      <c r="AB21" s="41">
        <f t="shared" si="6"/>
        <v>0</v>
      </c>
      <c r="AC21" s="41">
        <v>100</v>
      </c>
      <c r="AD21" s="41">
        <v>2</v>
      </c>
      <c r="AE21" s="41">
        <f t="shared" si="7"/>
        <v>13641019.700000007</v>
      </c>
      <c r="AF21" s="28">
        <f t="shared" si="8"/>
        <v>30889719.700000007</v>
      </c>
      <c r="AG21" s="28">
        <f t="shared" si="9"/>
        <v>30224.774657534253</v>
      </c>
    </row>
    <row r="22" spans="1:33" ht="72" x14ac:dyDescent="0.3">
      <c r="A22" s="41" t="s">
        <v>696</v>
      </c>
      <c r="B22" s="41" t="s">
        <v>689</v>
      </c>
      <c r="C22" s="41" t="s">
        <v>644</v>
      </c>
      <c r="D22" s="41" t="s">
        <v>3</v>
      </c>
      <c r="E22" s="41" t="s">
        <v>191</v>
      </c>
      <c r="F22" s="41" t="s">
        <v>712</v>
      </c>
      <c r="G22" s="83">
        <f>1999.2/7</f>
        <v>285.60000000000002</v>
      </c>
      <c r="H22" s="41">
        <f>25*2*29</f>
        <v>1450</v>
      </c>
      <c r="I22" s="41">
        <v>2</v>
      </c>
      <c r="J22" s="83">
        <f t="shared" si="0"/>
        <v>828240.00000000012</v>
      </c>
      <c r="K22" s="41">
        <v>0</v>
      </c>
      <c r="L22" s="41">
        <v>0</v>
      </c>
      <c r="M22" s="41">
        <f t="shared" si="1"/>
        <v>0</v>
      </c>
      <c r="N22" s="41">
        <v>0</v>
      </c>
      <c r="O22" s="41">
        <v>0</v>
      </c>
      <c r="P22" s="41">
        <f t="shared" si="2"/>
        <v>0</v>
      </c>
      <c r="Q22" s="41">
        <v>0</v>
      </c>
      <c r="R22" s="41">
        <v>0</v>
      </c>
      <c r="S22" s="41">
        <f t="shared" si="3"/>
        <v>0</v>
      </c>
      <c r="T22" s="41">
        <v>20000</v>
      </c>
      <c r="U22" s="41">
        <v>1</v>
      </c>
      <c r="V22" s="41">
        <f t="shared" si="4"/>
        <v>8362939.200000003</v>
      </c>
      <c r="W22" s="41">
        <v>0</v>
      </c>
      <c r="X22" s="41">
        <v>0</v>
      </c>
      <c r="Y22" s="41">
        <f t="shared" si="5"/>
        <v>0</v>
      </c>
      <c r="Z22" s="41">
        <v>0</v>
      </c>
      <c r="AA22" s="41">
        <v>0</v>
      </c>
      <c r="AB22" s="41">
        <f t="shared" si="6"/>
        <v>0</v>
      </c>
      <c r="AC22" s="41">
        <f>25*2*29</f>
        <v>1450</v>
      </c>
      <c r="AD22" s="41">
        <v>2</v>
      </c>
      <c r="AE22" s="41">
        <f t="shared" si="7"/>
        <v>1614005.4509040012</v>
      </c>
      <c r="AF22" s="28">
        <f t="shared" si="8"/>
        <v>10805184.650904004</v>
      </c>
      <c r="AG22" s="28">
        <f t="shared" si="9"/>
        <v>10572.5877210411</v>
      </c>
    </row>
    <row r="23" spans="1:33" ht="72" x14ac:dyDescent="0.3">
      <c r="A23" s="41" t="s">
        <v>696</v>
      </c>
      <c r="B23" s="41" t="s">
        <v>689</v>
      </c>
      <c r="C23" s="41" t="s">
        <v>644</v>
      </c>
      <c r="D23" s="41" t="s">
        <v>3</v>
      </c>
      <c r="E23" s="41" t="s">
        <v>191</v>
      </c>
      <c r="F23" s="41" t="s">
        <v>1350</v>
      </c>
      <c r="G23" s="83">
        <f>1999.2/7</f>
        <v>285.60000000000002</v>
      </c>
      <c r="H23" s="41">
        <f>2*135*29</f>
        <v>7830</v>
      </c>
      <c r="I23" s="41">
        <v>1</v>
      </c>
      <c r="J23" s="83">
        <f t="shared" si="0"/>
        <v>2236248</v>
      </c>
      <c r="K23" s="41"/>
      <c r="L23" s="41"/>
      <c r="M23" s="41">
        <f t="shared" si="1"/>
        <v>0</v>
      </c>
      <c r="N23" s="41"/>
      <c r="O23" s="41"/>
      <c r="P23" s="41">
        <f t="shared" si="2"/>
        <v>0</v>
      </c>
      <c r="Q23" s="41"/>
      <c r="R23" s="41"/>
      <c r="S23" s="41">
        <f t="shared" si="3"/>
        <v>0</v>
      </c>
      <c r="T23" s="41"/>
      <c r="U23" s="41"/>
      <c r="V23" s="41">
        <f t="shared" si="4"/>
        <v>0</v>
      </c>
      <c r="W23" s="41"/>
      <c r="X23" s="41"/>
      <c r="Y23" s="41">
        <f t="shared" si="5"/>
        <v>0</v>
      </c>
      <c r="Z23" s="41"/>
      <c r="AA23" s="41"/>
      <c r="AB23" s="41">
        <f t="shared" si="6"/>
        <v>0</v>
      </c>
      <c r="AC23" s="41">
        <f>2*135*29</f>
        <v>7830</v>
      </c>
      <c r="AD23" s="41">
        <v>1</v>
      </c>
      <c r="AE23" s="41">
        <f t="shared" si="7"/>
        <v>4357814.7174408035</v>
      </c>
      <c r="AF23" s="28">
        <f t="shared" si="8"/>
        <v>6594062.7174408035</v>
      </c>
      <c r="AG23" s="28">
        <f t="shared" si="9"/>
        <v>6452.1161618794558</v>
      </c>
    </row>
    <row r="24" spans="1:33" ht="72" x14ac:dyDescent="0.3">
      <c r="A24" s="41" t="s">
        <v>696</v>
      </c>
      <c r="B24" s="41" t="s">
        <v>689</v>
      </c>
      <c r="C24" s="41" t="s">
        <v>644</v>
      </c>
      <c r="D24" s="41" t="s">
        <v>3</v>
      </c>
      <c r="E24" s="41" t="s">
        <v>1373</v>
      </c>
      <c r="F24" s="41" t="s">
        <v>716</v>
      </c>
      <c r="G24" s="83">
        <v>39000</v>
      </c>
      <c r="H24" s="41">
        <v>25</v>
      </c>
      <c r="I24" s="41">
        <v>5</v>
      </c>
      <c r="J24" s="83">
        <f t="shared" si="0"/>
        <v>4875000</v>
      </c>
      <c r="K24" s="41">
        <v>0</v>
      </c>
      <c r="L24" s="41">
        <v>0</v>
      </c>
      <c r="M24" s="41">
        <f t="shared" si="1"/>
        <v>0</v>
      </c>
      <c r="N24" s="41">
        <v>0</v>
      </c>
      <c r="O24" s="41">
        <v>0</v>
      </c>
      <c r="P24" s="41">
        <f t="shared" si="2"/>
        <v>0</v>
      </c>
      <c r="Q24" s="41">
        <v>0</v>
      </c>
      <c r="R24" s="41">
        <v>0</v>
      </c>
      <c r="S24" s="41">
        <f t="shared" si="3"/>
        <v>0</v>
      </c>
      <c r="T24" s="41">
        <v>20</v>
      </c>
      <c r="U24" s="41">
        <v>2</v>
      </c>
      <c r="V24" s="41">
        <f t="shared" si="4"/>
        <v>2283996.0000000005</v>
      </c>
      <c r="W24" s="41">
        <v>0</v>
      </c>
      <c r="X24" s="41">
        <v>0</v>
      </c>
      <c r="Y24" s="41">
        <f t="shared" si="5"/>
        <v>0</v>
      </c>
      <c r="Z24" s="41">
        <v>0</v>
      </c>
      <c r="AA24" s="41">
        <v>0</v>
      </c>
      <c r="AB24" s="41">
        <f t="shared" si="6"/>
        <v>0</v>
      </c>
      <c r="AC24" s="41">
        <v>25</v>
      </c>
      <c r="AD24" s="41">
        <v>5</v>
      </c>
      <c r="AE24" s="41">
        <f t="shared" si="7"/>
        <v>9499995.8625000045</v>
      </c>
      <c r="AF24" s="28">
        <f t="shared" si="8"/>
        <v>16658991.862500004</v>
      </c>
      <c r="AG24" s="28">
        <f t="shared" si="9"/>
        <v>16300.383427103723</v>
      </c>
    </row>
    <row r="25" spans="1:33" ht="72" x14ac:dyDescent="0.3">
      <c r="A25" s="41" t="s">
        <v>696</v>
      </c>
      <c r="B25" s="41" t="s">
        <v>689</v>
      </c>
      <c r="C25" s="41" t="s">
        <v>644</v>
      </c>
      <c r="D25" s="41" t="s">
        <v>3</v>
      </c>
      <c r="E25" s="41" t="s">
        <v>1373</v>
      </c>
      <c r="F25" s="41" t="s">
        <v>709</v>
      </c>
      <c r="G25" s="83">
        <v>35000</v>
      </c>
      <c r="H25" s="41">
        <v>25</v>
      </c>
      <c r="I25" s="41">
        <v>5</v>
      </c>
      <c r="J25" s="83">
        <f t="shared" si="0"/>
        <v>4375000</v>
      </c>
      <c r="K25" s="41">
        <v>0</v>
      </c>
      <c r="L25" s="41">
        <v>0</v>
      </c>
      <c r="M25" s="41">
        <f t="shared" si="1"/>
        <v>0</v>
      </c>
      <c r="N25" s="41">
        <v>0</v>
      </c>
      <c r="O25" s="41">
        <v>0</v>
      </c>
      <c r="P25" s="41">
        <f t="shared" si="2"/>
        <v>0</v>
      </c>
      <c r="Q25" s="41">
        <v>0</v>
      </c>
      <c r="R25" s="41">
        <v>0</v>
      </c>
      <c r="S25" s="41">
        <f t="shared" si="3"/>
        <v>0</v>
      </c>
      <c r="T25" s="41">
        <v>20</v>
      </c>
      <c r="U25" s="41">
        <v>2</v>
      </c>
      <c r="V25" s="41">
        <f t="shared" si="4"/>
        <v>2049740.0000000005</v>
      </c>
      <c r="W25" s="41">
        <v>0</v>
      </c>
      <c r="X25" s="41">
        <v>0</v>
      </c>
      <c r="Y25" s="41">
        <f t="shared" si="5"/>
        <v>0</v>
      </c>
      <c r="Z25" s="41">
        <v>0</v>
      </c>
      <c r="AA25" s="41">
        <v>0</v>
      </c>
      <c r="AB25" s="41">
        <f t="shared" si="6"/>
        <v>0</v>
      </c>
      <c r="AC25" s="41">
        <v>25</v>
      </c>
      <c r="AD25" s="41">
        <v>5</v>
      </c>
      <c r="AE25" s="41">
        <f t="shared" si="7"/>
        <v>8525637.3125000037</v>
      </c>
      <c r="AF25" s="28">
        <f t="shared" si="8"/>
        <v>14950377.312500004</v>
      </c>
      <c r="AG25" s="28">
        <f t="shared" si="9"/>
        <v>14628.549229452059</v>
      </c>
    </row>
    <row r="26" spans="1:33" ht="72" x14ac:dyDescent="0.3">
      <c r="A26" s="41" t="s">
        <v>696</v>
      </c>
      <c r="B26" s="41" t="s">
        <v>689</v>
      </c>
      <c r="C26" s="41" t="s">
        <v>644</v>
      </c>
      <c r="D26" s="41" t="s">
        <v>3</v>
      </c>
      <c r="E26" s="41" t="s">
        <v>1373</v>
      </c>
      <c r="F26" s="41" t="s">
        <v>712</v>
      </c>
      <c r="G26" s="83">
        <f>1999.2/7</f>
        <v>285.60000000000002</v>
      </c>
      <c r="H26" s="41">
        <f>25*2*9</f>
        <v>450</v>
      </c>
      <c r="I26" s="41">
        <v>5</v>
      </c>
      <c r="J26" s="83">
        <f t="shared" si="0"/>
        <v>642600.00000000012</v>
      </c>
      <c r="K26" s="41">
        <v>0</v>
      </c>
      <c r="L26" s="41">
        <v>0</v>
      </c>
      <c r="M26" s="41">
        <f t="shared" si="1"/>
        <v>0</v>
      </c>
      <c r="N26" s="41">
        <v>0</v>
      </c>
      <c r="O26" s="41">
        <v>0</v>
      </c>
      <c r="P26" s="41">
        <f t="shared" si="2"/>
        <v>0</v>
      </c>
      <c r="Q26" s="41">
        <v>0</v>
      </c>
      <c r="R26" s="41">
        <v>0</v>
      </c>
      <c r="S26" s="41">
        <f t="shared" si="3"/>
        <v>0</v>
      </c>
      <c r="T26" s="41">
        <v>8000</v>
      </c>
      <c r="U26" s="41">
        <v>1</v>
      </c>
      <c r="V26" s="41">
        <f t="shared" si="4"/>
        <v>3345175.6800000011</v>
      </c>
      <c r="W26" s="41">
        <v>0</v>
      </c>
      <c r="X26" s="41">
        <v>0</v>
      </c>
      <c r="Y26" s="41">
        <f t="shared" si="5"/>
        <v>0</v>
      </c>
      <c r="Z26" s="41">
        <v>0</v>
      </c>
      <c r="AA26" s="41">
        <v>0</v>
      </c>
      <c r="AB26" s="41">
        <f t="shared" si="6"/>
        <v>0</v>
      </c>
      <c r="AC26" s="41">
        <f>25*2*9</f>
        <v>450</v>
      </c>
      <c r="AD26" s="41">
        <v>5</v>
      </c>
      <c r="AE26" s="41">
        <f t="shared" si="7"/>
        <v>1252245.6084600009</v>
      </c>
      <c r="AF26" s="28">
        <f t="shared" si="8"/>
        <v>5240021.2884600023</v>
      </c>
      <c r="AG26" s="28">
        <f t="shared" si="9"/>
        <v>5127.222395753427</v>
      </c>
    </row>
    <row r="27" spans="1:33" ht="72" x14ac:dyDescent="0.3">
      <c r="A27" s="41" t="s">
        <v>696</v>
      </c>
      <c r="B27" s="41" t="s">
        <v>689</v>
      </c>
      <c r="C27" s="41" t="s">
        <v>644</v>
      </c>
      <c r="D27" s="41" t="s">
        <v>3</v>
      </c>
      <c r="E27" s="41" t="s">
        <v>1373</v>
      </c>
      <c r="F27" s="41" t="s">
        <v>1350</v>
      </c>
      <c r="G27" s="83">
        <f>1999.2/7</f>
        <v>285.60000000000002</v>
      </c>
      <c r="H27" s="41">
        <f>2*135*9</f>
        <v>2430</v>
      </c>
      <c r="I27" s="41">
        <v>1</v>
      </c>
      <c r="J27" s="83">
        <f t="shared" si="0"/>
        <v>694008</v>
      </c>
      <c r="K27" s="41"/>
      <c r="L27" s="41"/>
      <c r="M27" s="41">
        <f t="shared" si="1"/>
        <v>0</v>
      </c>
      <c r="N27" s="41"/>
      <c r="O27" s="41"/>
      <c r="P27" s="41">
        <f t="shared" si="2"/>
        <v>0</v>
      </c>
      <c r="Q27" s="41"/>
      <c r="R27" s="41"/>
      <c r="S27" s="41">
        <f t="shared" si="3"/>
        <v>0</v>
      </c>
      <c r="T27" s="41"/>
      <c r="U27" s="41"/>
      <c r="V27" s="41">
        <f t="shared" si="4"/>
        <v>0</v>
      </c>
      <c r="W27" s="41"/>
      <c r="X27" s="41"/>
      <c r="Y27" s="41">
        <f t="shared" si="5"/>
        <v>0</v>
      </c>
      <c r="Z27" s="41"/>
      <c r="AA27" s="41"/>
      <c r="AB27" s="41">
        <f t="shared" si="6"/>
        <v>0</v>
      </c>
      <c r="AC27" s="41">
        <f>2*135*9</f>
        <v>2430</v>
      </c>
      <c r="AD27" s="41">
        <v>1</v>
      </c>
      <c r="AE27" s="41">
        <f t="shared" si="7"/>
        <v>1352425.257136801</v>
      </c>
      <c r="AF27" s="28">
        <f t="shared" si="8"/>
        <v>2046433.257136801</v>
      </c>
      <c r="AG27" s="28">
        <f t="shared" si="9"/>
        <v>2002.3808778246585</v>
      </c>
    </row>
    <row r="28" spans="1:33" ht="72" x14ac:dyDescent="0.3">
      <c r="A28" s="41" t="s">
        <v>696</v>
      </c>
      <c r="B28" s="41" t="s">
        <v>689</v>
      </c>
      <c r="C28" s="41" t="s">
        <v>644</v>
      </c>
      <c r="D28" s="41" t="s">
        <v>4</v>
      </c>
      <c r="E28" s="41" t="s">
        <v>193</v>
      </c>
      <c r="F28" s="41" t="s">
        <v>716</v>
      </c>
      <c r="G28" s="83">
        <v>39000</v>
      </c>
      <c r="H28" s="41">
        <v>25</v>
      </c>
      <c r="I28" s="41">
        <v>6</v>
      </c>
      <c r="J28" s="83">
        <f t="shared" si="0"/>
        <v>5850000</v>
      </c>
      <c r="K28" s="41">
        <v>0</v>
      </c>
      <c r="L28" s="41">
        <v>0</v>
      </c>
      <c r="M28" s="41">
        <f t="shared" si="1"/>
        <v>0</v>
      </c>
      <c r="N28" s="41">
        <v>0</v>
      </c>
      <c r="O28" s="41">
        <v>0</v>
      </c>
      <c r="P28" s="41">
        <f t="shared" si="2"/>
        <v>0</v>
      </c>
      <c r="Q28" s="41">
        <v>0</v>
      </c>
      <c r="R28" s="41">
        <v>0</v>
      </c>
      <c r="S28" s="41">
        <f t="shared" si="3"/>
        <v>0</v>
      </c>
      <c r="T28" s="41">
        <v>30</v>
      </c>
      <c r="U28" s="41">
        <v>10</v>
      </c>
      <c r="V28" s="41">
        <f t="shared" si="4"/>
        <v>17129970.000000004</v>
      </c>
      <c r="W28" s="41">
        <v>0</v>
      </c>
      <c r="X28" s="41">
        <v>0</v>
      </c>
      <c r="Y28" s="41">
        <f t="shared" si="5"/>
        <v>0</v>
      </c>
      <c r="Z28" s="41">
        <v>0</v>
      </c>
      <c r="AA28" s="41">
        <v>0</v>
      </c>
      <c r="AB28" s="41">
        <f t="shared" si="6"/>
        <v>0</v>
      </c>
      <c r="AC28" s="41">
        <v>25</v>
      </c>
      <c r="AD28" s="41">
        <v>6</v>
      </c>
      <c r="AE28" s="41">
        <f t="shared" si="7"/>
        <v>11399995.035000006</v>
      </c>
      <c r="AF28" s="28">
        <f t="shared" si="8"/>
        <v>34379965.035000011</v>
      </c>
      <c r="AG28" s="28">
        <f t="shared" si="9"/>
        <v>33639.887509784749</v>
      </c>
    </row>
    <row r="29" spans="1:33" ht="72" x14ac:dyDescent="0.3">
      <c r="A29" s="41" t="s">
        <v>696</v>
      </c>
      <c r="B29" s="41" t="s">
        <v>689</v>
      </c>
      <c r="C29" s="41" t="s">
        <v>644</v>
      </c>
      <c r="D29" s="41" t="s">
        <v>4</v>
      </c>
      <c r="E29" s="41" t="s">
        <v>193</v>
      </c>
      <c r="F29" s="41" t="s">
        <v>709</v>
      </c>
      <c r="G29" s="83">
        <v>35000</v>
      </c>
      <c r="H29" s="41">
        <v>25</v>
      </c>
      <c r="I29" s="41">
        <v>5</v>
      </c>
      <c r="J29" s="83">
        <f t="shared" si="0"/>
        <v>4375000</v>
      </c>
      <c r="K29" s="41">
        <v>0</v>
      </c>
      <c r="L29" s="41">
        <v>0</v>
      </c>
      <c r="M29" s="41">
        <f t="shared" si="1"/>
        <v>0</v>
      </c>
      <c r="N29" s="41">
        <v>0</v>
      </c>
      <c r="O29" s="41">
        <v>0</v>
      </c>
      <c r="P29" s="41">
        <f t="shared" si="2"/>
        <v>0</v>
      </c>
      <c r="Q29" s="41">
        <v>0</v>
      </c>
      <c r="R29" s="41">
        <v>0</v>
      </c>
      <c r="S29" s="41">
        <f t="shared" si="3"/>
        <v>0</v>
      </c>
      <c r="T29" s="41">
        <v>30</v>
      </c>
      <c r="U29" s="41">
        <v>10</v>
      </c>
      <c r="V29" s="41">
        <f t="shared" si="4"/>
        <v>15373050.000000004</v>
      </c>
      <c r="W29" s="41">
        <v>0</v>
      </c>
      <c r="X29" s="41">
        <v>0</v>
      </c>
      <c r="Y29" s="41">
        <f t="shared" si="5"/>
        <v>0</v>
      </c>
      <c r="Z29" s="41">
        <v>0</v>
      </c>
      <c r="AA29" s="41">
        <v>0</v>
      </c>
      <c r="AB29" s="41">
        <f t="shared" si="6"/>
        <v>0</v>
      </c>
      <c r="AC29" s="41">
        <v>25</v>
      </c>
      <c r="AD29" s="41">
        <v>5</v>
      </c>
      <c r="AE29" s="41">
        <f t="shared" si="7"/>
        <v>8525637.3125000037</v>
      </c>
      <c r="AF29" s="28">
        <f t="shared" si="8"/>
        <v>28273687.312500007</v>
      </c>
      <c r="AG29" s="28">
        <f t="shared" si="9"/>
        <v>27665.056078767131</v>
      </c>
    </row>
    <row r="30" spans="1:33" ht="72" x14ac:dyDescent="0.3">
      <c r="A30" s="41" t="s">
        <v>696</v>
      </c>
      <c r="B30" s="41" t="s">
        <v>689</v>
      </c>
      <c r="C30" s="41" t="s">
        <v>644</v>
      </c>
      <c r="D30" s="41" t="s">
        <v>4</v>
      </c>
      <c r="E30" s="41" t="s">
        <v>193</v>
      </c>
      <c r="F30" s="41" t="s">
        <v>712</v>
      </c>
      <c r="G30" s="83">
        <f>1999.2/7</f>
        <v>285.60000000000002</v>
      </c>
      <c r="H30" s="41">
        <f>25*2*9</f>
        <v>450</v>
      </c>
      <c r="I30" s="41">
        <v>5</v>
      </c>
      <c r="J30" s="83">
        <f t="shared" si="0"/>
        <v>642600.00000000012</v>
      </c>
      <c r="K30" s="41">
        <v>0</v>
      </c>
      <c r="L30" s="41">
        <v>0</v>
      </c>
      <c r="M30" s="41">
        <f t="shared" si="1"/>
        <v>0</v>
      </c>
      <c r="N30" s="41">
        <v>0</v>
      </c>
      <c r="O30" s="41">
        <v>0</v>
      </c>
      <c r="P30" s="41">
        <f t="shared" si="2"/>
        <v>0</v>
      </c>
      <c r="Q30" s="41">
        <v>0</v>
      </c>
      <c r="R30" s="41">
        <v>0</v>
      </c>
      <c r="S30" s="41">
        <f t="shared" si="3"/>
        <v>0</v>
      </c>
      <c r="T30" s="41">
        <v>8000</v>
      </c>
      <c r="U30" s="41">
        <v>1</v>
      </c>
      <c r="V30" s="41">
        <f t="shared" si="4"/>
        <v>3345175.6800000011</v>
      </c>
      <c r="W30" s="41">
        <v>0</v>
      </c>
      <c r="X30" s="41">
        <v>0</v>
      </c>
      <c r="Y30" s="41">
        <f t="shared" si="5"/>
        <v>0</v>
      </c>
      <c r="Z30" s="41">
        <v>0</v>
      </c>
      <c r="AA30" s="41">
        <v>0</v>
      </c>
      <c r="AB30" s="41">
        <f t="shared" si="6"/>
        <v>0</v>
      </c>
      <c r="AC30" s="41">
        <f>25*2*9</f>
        <v>450</v>
      </c>
      <c r="AD30" s="41">
        <v>5</v>
      </c>
      <c r="AE30" s="41">
        <f t="shared" si="7"/>
        <v>1252245.6084600009</v>
      </c>
      <c r="AF30" s="28">
        <f t="shared" si="8"/>
        <v>5240021.2884600023</v>
      </c>
      <c r="AG30" s="28">
        <f t="shared" si="9"/>
        <v>5127.222395753427</v>
      </c>
    </row>
    <row r="31" spans="1:33" ht="72" x14ac:dyDescent="0.3">
      <c r="A31" s="41" t="s">
        <v>696</v>
      </c>
      <c r="B31" s="41" t="s">
        <v>689</v>
      </c>
      <c r="C31" s="41" t="s">
        <v>644</v>
      </c>
      <c r="D31" s="41" t="s">
        <v>4</v>
      </c>
      <c r="E31" s="41" t="s">
        <v>194</v>
      </c>
      <c r="F31" s="41" t="s">
        <v>716</v>
      </c>
      <c r="G31" s="83">
        <v>39000</v>
      </c>
      <c r="H31" s="41">
        <v>58</v>
      </c>
      <c r="I31" s="41">
        <v>5</v>
      </c>
      <c r="J31" s="83">
        <f t="shared" si="0"/>
        <v>11310000</v>
      </c>
      <c r="K31" s="41">
        <v>0</v>
      </c>
      <c r="L31" s="41">
        <v>0</v>
      </c>
      <c r="M31" s="41">
        <f t="shared" si="1"/>
        <v>0</v>
      </c>
      <c r="N31" s="41">
        <v>0</v>
      </c>
      <c r="O31" s="41">
        <v>0</v>
      </c>
      <c r="P31" s="41">
        <f t="shared" si="2"/>
        <v>0</v>
      </c>
      <c r="Q31" s="41">
        <v>0</v>
      </c>
      <c r="R31" s="41">
        <v>0</v>
      </c>
      <c r="S31" s="41">
        <f t="shared" si="3"/>
        <v>0</v>
      </c>
      <c r="T31" s="41">
        <v>20</v>
      </c>
      <c r="U31" s="41">
        <v>10</v>
      </c>
      <c r="V31" s="41">
        <f t="shared" si="4"/>
        <v>11419980.000000002</v>
      </c>
      <c r="W31" s="41">
        <v>0</v>
      </c>
      <c r="X31" s="41">
        <v>0</v>
      </c>
      <c r="Y31" s="41">
        <f t="shared" si="5"/>
        <v>0</v>
      </c>
      <c r="Z31" s="41">
        <v>0</v>
      </c>
      <c r="AA31" s="41">
        <v>0</v>
      </c>
      <c r="AB31" s="41">
        <f t="shared" si="6"/>
        <v>0</v>
      </c>
      <c r="AC31" s="41">
        <v>58</v>
      </c>
      <c r="AD31" s="41">
        <v>5</v>
      </c>
      <c r="AE31" s="41">
        <f t="shared" si="7"/>
        <v>22039990.401000012</v>
      </c>
      <c r="AF31" s="28">
        <f t="shared" si="8"/>
        <v>44769970.401000008</v>
      </c>
      <c r="AG31" s="28">
        <f t="shared" si="9"/>
        <v>43806.233269080243</v>
      </c>
    </row>
    <row r="32" spans="1:33" ht="72" x14ac:dyDescent="0.3">
      <c r="A32" s="41" t="s">
        <v>696</v>
      </c>
      <c r="B32" s="41" t="s">
        <v>689</v>
      </c>
      <c r="C32" s="41" t="s">
        <v>644</v>
      </c>
      <c r="D32" s="41" t="s">
        <v>4</v>
      </c>
      <c r="E32" s="41" t="s">
        <v>194</v>
      </c>
      <c r="F32" s="41" t="s">
        <v>709</v>
      </c>
      <c r="G32" s="83">
        <v>35000</v>
      </c>
      <c r="H32" s="41">
        <v>100</v>
      </c>
      <c r="I32" s="41">
        <v>5</v>
      </c>
      <c r="J32" s="83">
        <f t="shared" si="0"/>
        <v>17500000</v>
      </c>
      <c r="K32" s="41">
        <v>0</v>
      </c>
      <c r="L32" s="41">
        <v>0</v>
      </c>
      <c r="M32" s="41">
        <f t="shared" si="1"/>
        <v>0</v>
      </c>
      <c r="N32" s="41">
        <v>0</v>
      </c>
      <c r="O32" s="41">
        <v>0</v>
      </c>
      <c r="P32" s="41">
        <f t="shared" si="2"/>
        <v>0</v>
      </c>
      <c r="Q32" s="41">
        <v>0</v>
      </c>
      <c r="R32" s="41">
        <v>0</v>
      </c>
      <c r="S32" s="41">
        <f t="shared" si="3"/>
        <v>0</v>
      </c>
      <c r="T32" s="41">
        <v>20</v>
      </c>
      <c r="U32" s="41">
        <v>10</v>
      </c>
      <c r="V32" s="41">
        <f t="shared" si="4"/>
        <v>10248700.000000002</v>
      </c>
      <c r="W32" s="41">
        <v>0</v>
      </c>
      <c r="X32" s="41">
        <v>0</v>
      </c>
      <c r="Y32" s="41">
        <f t="shared" si="5"/>
        <v>0</v>
      </c>
      <c r="Z32" s="41">
        <v>0</v>
      </c>
      <c r="AA32" s="41">
        <v>0</v>
      </c>
      <c r="AB32" s="41">
        <f t="shared" si="6"/>
        <v>0</v>
      </c>
      <c r="AC32" s="41">
        <v>100</v>
      </c>
      <c r="AD32" s="41">
        <v>5</v>
      </c>
      <c r="AE32" s="41">
        <f t="shared" si="7"/>
        <v>34102549.250000015</v>
      </c>
      <c r="AF32" s="28">
        <f t="shared" si="8"/>
        <v>61851249.250000015</v>
      </c>
      <c r="AG32" s="28">
        <f t="shared" si="9"/>
        <v>60519.813356164399</v>
      </c>
    </row>
    <row r="33" spans="1:33" ht="72" x14ac:dyDescent="0.3">
      <c r="A33" s="41" t="s">
        <v>696</v>
      </c>
      <c r="B33" s="41" t="s">
        <v>689</v>
      </c>
      <c r="C33" s="41" t="s">
        <v>644</v>
      </c>
      <c r="D33" s="41" t="s">
        <v>4</v>
      </c>
      <c r="E33" s="41" t="s">
        <v>194</v>
      </c>
      <c r="F33" s="41" t="s">
        <v>712</v>
      </c>
      <c r="G33" s="83">
        <f>1999.2/7</f>
        <v>285.60000000000002</v>
      </c>
      <c r="H33" s="41">
        <f>25*2*29</f>
        <v>1450</v>
      </c>
      <c r="I33" s="41">
        <v>5</v>
      </c>
      <c r="J33" s="83">
        <f t="shared" si="0"/>
        <v>2070600.0000000002</v>
      </c>
      <c r="K33" s="41">
        <v>0</v>
      </c>
      <c r="L33" s="41">
        <v>0</v>
      </c>
      <c r="M33" s="41">
        <f t="shared" si="1"/>
        <v>0</v>
      </c>
      <c r="N33" s="41">
        <v>0</v>
      </c>
      <c r="O33" s="41">
        <v>0</v>
      </c>
      <c r="P33" s="41">
        <f t="shared" si="2"/>
        <v>0</v>
      </c>
      <c r="Q33" s="41">
        <v>0</v>
      </c>
      <c r="R33" s="41">
        <v>0</v>
      </c>
      <c r="S33" s="41">
        <f t="shared" si="3"/>
        <v>0</v>
      </c>
      <c r="T33" s="41">
        <v>8000</v>
      </c>
      <c r="U33" s="41">
        <v>1</v>
      </c>
      <c r="V33" s="41">
        <f t="shared" si="4"/>
        <v>3345175.6800000011</v>
      </c>
      <c r="W33" s="41">
        <v>0</v>
      </c>
      <c r="X33" s="41">
        <v>0</v>
      </c>
      <c r="Y33" s="41">
        <f t="shared" si="5"/>
        <v>0</v>
      </c>
      <c r="Z33" s="41">
        <v>0</v>
      </c>
      <c r="AA33" s="41">
        <v>0</v>
      </c>
      <c r="AB33" s="41">
        <f t="shared" si="6"/>
        <v>0</v>
      </c>
      <c r="AC33" s="41">
        <f>25*2*29</f>
        <v>1450</v>
      </c>
      <c r="AD33" s="41">
        <v>5</v>
      </c>
      <c r="AE33" s="41">
        <f t="shared" si="7"/>
        <v>4035013.6272600032</v>
      </c>
      <c r="AF33" s="28">
        <f t="shared" si="8"/>
        <v>9450789.3072600048</v>
      </c>
      <c r="AG33" s="28">
        <f t="shared" si="9"/>
        <v>9247.3476587671285</v>
      </c>
    </row>
    <row r="34" spans="1:33" ht="72" x14ac:dyDescent="0.3">
      <c r="A34" s="41" t="s">
        <v>696</v>
      </c>
      <c r="B34" s="41" t="s">
        <v>689</v>
      </c>
      <c r="C34" s="41" t="s">
        <v>644</v>
      </c>
      <c r="D34" s="41" t="s">
        <v>4</v>
      </c>
      <c r="E34" s="41" t="s">
        <v>194</v>
      </c>
      <c r="F34" s="41" t="s">
        <v>1350</v>
      </c>
      <c r="G34" s="83">
        <f>1999.2/7</f>
        <v>285.60000000000002</v>
      </c>
      <c r="H34" s="41">
        <f>2*135*29</f>
        <v>7830</v>
      </c>
      <c r="I34" s="41">
        <v>1</v>
      </c>
      <c r="J34" s="83">
        <f t="shared" si="0"/>
        <v>2236248</v>
      </c>
      <c r="K34" s="41"/>
      <c r="L34" s="41"/>
      <c r="M34" s="41">
        <f t="shared" si="1"/>
        <v>0</v>
      </c>
      <c r="N34" s="41"/>
      <c r="O34" s="41"/>
      <c r="P34" s="41">
        <f t="shared" si="2"/>
        <v>0</v>
      </c>
      <c r="Q34" s="41"/>
      <c r="R34" s="41"/>
      <c r="S34" s="41">
        <f t="shared" si="3"/>
        <v>0</v>
      </c>
      <c r="T34" s="41"/>
      <c r="U34" s="41"/>
      <c r="V34" s="41">
        <f t="shared" si="4"/>
        <v>0</v>
      </c>
      <c r="W34" s="41"/>
      <c r="X34" s="41"/>
      <c r="Y34" s="41">
        <f t="shared" si="5"/>
        <v>0</v>
      </c>
      <c r="Z34" s="41"/>
      <c r="AA34" s="41"/>
      <c r="AB34" s="41">
        <f t="shared" si="6"/>
        <v>0</v>
      </c>
      <c r="AC34" s="41">
        <f>2*135*29</f>
        <v>7830</v>
      </c>
      <c r="AD34" s="41">
        <v>1</v>
      </c>
      <c r="AE34" s="41">
        <f t="shared" si="7"/>
        <v>4357814.7174408035</v>
      </c>
      <c r="AF34" s="28">
        <f t="shared" si="8"/>
        <v>6594062.7174408035</v>
      </c>
      <c r="AG34" s="28">
        <f t="shared" si="9"/>
        <v>6452.1161618794558</v>
      </c>
    </row>
    <row r="35" spans="1:33" ht="72" x14ac:dyDescent="0.3">
      <c r="A35" s="41" t="s">
        <v>696</v>
      </c>
      <c r="B35" s="41" t="s">
        <v>689</v>
      </c>
      <c r="C35" s="41" t="s">
        <v>644</v>
      </c>
      <c r="D35" s="41" t="s">
        <v>4</v>
      </c>
      <c r="E35" s="41" t="s">
        <v>195</v>
      </c>
      <c r="F35" s="41" t="s">
        <v>716</v>
      </c>
      <c r="G35" s="83">
        <v>39000</v>
      </c>
      <c r="H35" s="41">
        <v>25</v>
      </c>
      <c r="I35" s="41">
        <v>3</v>
      </c>
      <c r="J35" s="83">
        <f t="shared" si="0"/>
        <v>2925000</v>
      </c>
      <c r="K35" s="41">
        <v>0</v>
      </c>
      <c r="L35" s="41">
        <v>0</v>
      </c>
      <c r="M35" s="41">
        <f t="shared" si="1"/>
        <v>0</v>
      </c>
      <c r="N35" s="41">
        <v>0</v>
      </c>
      <c r="O35" s="41">
        <v>0</v>
      </c>
      <c r="P35" s="41">
        <f t="shared" si="2"/>
        <v>0</v>
      </c>
      <c r="Q35" s="41">
        <v>0</v>
      </c>
      <c r="R35" s="41">
        <v>0</v>
      </c>
      <c r="S35" s="41">
        <f t="shared" si="3"/>
        <v>0</v>
      </c>
      <c r="T35" s="41">
        <v>30</v>
      </c>
      <c r="U35" s="41">
        <v>2</v>
      </c>
      <c r="V35" s="41">
        <f t="shared" si="4"/>
        <v>3425994.0000000009</v>
      </c>
      <c r="W35" s="41">
        <v>0</v>
      </c>
      <c r="X35" s="41">
        <v>0</v>
      </c>
      <c r="Y35" s="41">
        <f t="shared" si="5"/>
        <v>0</v>
      </c>
      <c r="Z35" s="41">
        <v>0</v>
      </c>
      <c r="AA35" s="41">
        <v>0</v>
      </c>
      <c r="AB35" s="41">
        <f t="shared" si="6"/>
        <v>0</v>
      </c>
      <c r="AC35" s="41">
        <v>25</v>
      </c>
      <c r="AD35" s="41">
        <v>3</v>
      </c>
      <c r="AE35" s="41">
        <f t="shared" si="7"/>
        <v>5699997.5175000029</v>
      </c>
      <c r="AF35" s="28">
        <f t="shared" si="8"/>
        <v>12050991.517500004</v>
      </c>
      <c r="AG35" s="28">
        <f t="shared" si="9"/>
        <v>11791.576827299417</v>
      </c>
    </row>
    <row r="36" spans="1:33" ht="72" x14ac:dyDescent="0.3">
      <c r="A36" s="41" t="s">
        <v>696</v>
      </c>
      <c r="B36" s="41" t="s">
        <v>689</v>
      </c>
      <c r="C36" s="41" t="s">
        <v>644</v>
      </c>
      <c r="D36" s="41" t="s">
        <v>4</v>
      </c>
      <c r="E36" s="41" t="s">
        <v>1374</v>
      </c>
      <c r="F36" s="41" t="s">
        <v>709</v>
      </c>
      <c r="G36" s="83">
        <v>35000</v>
      </c>
      <c r="H36" s="41">
        <v>25</v>
      </c>
      <c r="I36" s="41">
        <v>5</v>
      </c>
      <c r="J36" s="83">
        <f t="shared" si="0"/>
        <v>4375000</v>
      </c>
      <c r="K36" s="41">
        <v>0</v>
      </c>
      <c r="L36" s="41">
        <v>0</v>
      </c>
      <c r="M36" s="41">
        <f t="shared" si="1"/>
        <v>0</v>
      </c>
      <c r="N36" s="41">
        <v>0</v>
      </c>
      <c r="O36" s="41">
        <v>0</v>
      </c>
      <c r="P36" s="41">
        <f t="shared" si="2"/>
        <v>0</v>
      </c>
      <c r="Q36" s="41">
        <v>0</v>
      </c>
      <c r="R36" s="41">
        <v>0</v>
      </c>
      <c r="S36" s="41">
        <f t="shared" si="3"/>
        <v>0</v>
      </c>
      <c r="T36" s="41">
        <v>30</v>
      </c>
      <c r="U36" s="41">
        <v>2</v>
      </c>
      <c r="V36" s="41">
        <f t="shared" si="4"/>
        <v>3074610.0000000009</v>
      </c>
      <c r="W36" s="41">
        <v>0</v>
      </c>
      <c r="X36" s="41">
        <v>0</v>
      </c>
      <c r="Y36" s="41">
        <f t="shared" si="5"/>
        <v>0</v>
      </c>
      <c r="Z36" s="41">
        <v>0</v>
      </c>
      <c r="AA36" s="41">
        <v>0</v>
      </c>
      <c r="AB36" s="41">
        <f t="shared" si="6"/>
        <v>0</v>
      </c>
      <c r="AC36" s="41">
        <v>25</v>
      </c>
      <c r="AD36" s="41">
        <v>5</v>
      </c>
      <c r="AE36" s="41">
        <f t="shared" si="7"/>
        <v>8525637.3125000037</v>
      </c>
      <c r="AF36" s="28">
        <f t="shared" si="8"/>
        <v>15975247.312500004</v>
      </c>
      <c r="AG36" s="28">
        <f t="shared" si="9"/>
        <v>15631.35744863014</v>
      </c>
    </row>
    <row r="37" spans="1:33" ht="72" x14ac:dyDescent="0.3">
      <c r="A37" s="41" t="s">
        <v>696</v>
      </c>
      <c r="B37" s="41" t="s">
        <v>689</v>
      </c>
      <c r="C37" s="41" t="s">
        <v>644</v>
      </c>
      <c r="D37" s="41" t="s">
        <v>4</v>
      </c>
      <c r="E37" s="41" t="s">
        <v>195</v>
      </c>
      <c r="F37" s="41" t="s">
        <v>712</v>
      </c>
      <c r="G37" s="83">
        <f>1999.2/7</f>
        <v>285.60000000000002</v>
      </c>
      <c r="H37" s="41">
        <f>25*2*9</f>
        <v>450</v>
      </c>
      <c r="I37" s="41">
        <v>5</v>
      </c>
      <c r="J37" s="83">
        <f t="shared" si="0"/>
        <v>642600.00000000012</v>
      </c>
      <c r="K37" s="41">
        <v>0</v>
      </c>
      <c r="L37" s="41">
        <v>0</v>
      </c>
      <c r="M37" s="41">
        <f t="shared" si="1"/>
        <v>0</v>
      </c>
      <c r="N37" s="41">
        <v>0</v>
      </c>
      <c r="O37" s="41">
        <v>0</v>
      </c>
      <c r="P37" s="41">
        <f t="shared" si="2"/>
        <v>0</v>
      </c>
      <c r="Q37" s="41">
        <v>0</v>
      </c>
      <c r="R37" s="41">
        <v>0</v>
      </c>
      <c r="S37" s="41">
        <f t="shared" si="3"/>
        <v>0</v>
      </c>
      <c r="T37" s="41">
        <v>8000</v>
      </c>
      <c r="U37" s="41">
        <v>1</v>
      </c>
      <c r="V37" s="41">
        <f t="shared" si="4"/>
        <v>3345175.6800000011</v>
      </c>
      <c r="W37" s="41">
        <v>0</v>
      </c>
      <c r="X37" s="41">
        <v>0</v>
      </c>
      <c r="Y37" s="41">
        <f t="shared" si="5"/>
        <v>0</v>
      </c>
      <c r="Z37" s="41">
        <v>0</v>
      </c>
      <c r="AA37" s="41">
        <v>0</v>
      </c>
      <c r="AB37" s="41">
        <f t="shared" si="6"/>
        <v>0</v>
      </c>
      <c r="AC37" s="41">
        <f>25*2*9</f>
        <v>450</v>
      </c>
      <c r="AD37" s="41">
        <v>5</v>
      </c>
      <c r="AE37" s="41">
        <f t="shared" si="7"/>
        <v>1252245.6084600009</v>
      </c>
      <c r="AF37" s="28">
        <f t="shared" si="8"/>
        <v>5240021.2884600023</v>
      </c>
      <c r="AG37" s="28">
        <f t="shared" si="9"/>
        <v>5127.222395753427</v>
      </c>
    </row>
    <row r="38" spans="1:33" ht="72" x14ac:dyDescent="0.3">
      <c r="A38" s="41" t="s">
        <v>696</v>
      </c>
      <c r="B38" s="41" t="s">
        <v>689</v>
      </c>
      <c r="C38" s="41" t="s">
        <v>644</v>
      </c>
      <c r="D38" s="41" t="s">
        <v>4</v>
      </c>
      <c r="E38" s="41" t="s">
        <v>195</v>
      </c>
      <c r="F38" s="41" t="s">
        <v>1350</v>
      </c>
      <c r="G38" s="83">
        <f>1999.2/7</f>
        <v>285.60000000000002</v>
      </c>
      <c r="H38" s="41">
        <f>2*135*9</f>
        <v>2430</v>
      </c>
      <c r="I38" s="41">
        <v>1</v>
      </c>
      <c r="J38" s="83">
        <f t="shared" si="0"/>
        <v>694008</v>
      </c>
      <c r="K38" s="41"/>
      <c r="L38" s="41"/>
      <c r="M38" s="41">
        <f t="shared" si="1"/>
        <v>0</v>
      </c>
      <c r="N38" s="41"/>
      <c r="O38" s="41"/>
      <c r="P38" s="41">
        <f t="shared" si="2"/>
        <v>0</v>
      </c>
      <c r="Q38" s="41"/>
      <c r="R38" s="41"/>
      <c r="S38" s="41">
        <f t="shared" si="3"/>
        <v>0</v>
      </c>
      <c r="T38" s="41"/>
      <c r="U38" s="41"/>
      <c r="V38" s="41">
        <f t="shared" si="4"/>
        <v>0</v>
      </c>
      <c r="W38" s="41"/>
      <c r="X38" s="41"/>
      <c r="Y38" s="41">
        <f t="shared" si="5"/>
        <v>0</v>
      </c>
      <c r="Z38" s="41"/>
      <c r="AA38" s="41"/>
      <c r="AB38" s="41">
        <f t="shared" si="6"/>
        <v>0</v>
      </c>
      <c r="AC38" s="41">
        <f>2*135*9</f>
        <v>2430</v>
      </c>
      <c r="AD38" s="41">
        <v>1</v>
      </c>
      <c r="AE38" s="41">
        <f t="shared" si="7"/>
        <v>1352425.257136801</v>
      </c>
      <c r="AF38" s="28">
        <f t="shared" si="8"/>
        <v>2046433.257136801</v>
      </c>
      <c r="AG38" s="28">
        <f t="shared" si="9"/>
        <v>2002.3808778246585</v>
      </c>
    </row>
    <row r="39" spans="1:33" ht="72" x14ac:dyDescent="0.3">
      <c r="A39" s="41" t="s">
        <v>696</v>
      </c>
      <c r="B39" s="41" t="s">
        <v>689</v>
      </c>
      <c r="C39" s="41" t="s">
        <v>644</v>
      </c>
      <c r="D39" s="41" t="s">
        <v>5</v>
      </c>
      <c r="E39" s="41" t="s">
        <v>196</v>
      </c>
      <c r="F39" s="41" t="s">
        <v>718</v>
      </c>
      <c r="G39" s="83">
        <v>0</v>
      </c>
      <c r="H39" s="41">
        <v>0</v>
      </c>
      <c r="I39" s="41">
        <v>0</v>
      </c>
      <c r="J39" s="83">
        <f t="shared" si="0"/>
        <v>0</v>
      </c>
      <c r="K39" s="41">
        <v>0</v>
      </c>
      <c r="L39" s="41">
        <v>0</v>
      </c>
      <c r="M39" s="41">
        <f t="shared" si="1"/>
        <v>0</v>
      </c>
      <c r="N39" s="41">
        <v>0</v>
      </c>
      <c r="O39" s="41">
        <v>0</v>
      </c>
      <c r="P39" s="41">
        <f t="shared" si="2"/>
        <v>0</v>
      </c>
      <c r="Q39" s="41">
        <v>0</v>
      </c>
      <c r="R39" s="41">
        <v>0</v>
      </c>
      <c r="S39" s="41">
        <f t="shared" si="3"/>
        <v>0</v>
      </c>
      <c r="T39" s="41">
        <v>0</v>
      </c>
      <c r="U39" s="41">
        <v>0</v>
      </c>
      <c r="V39" s="41">
        <f t="shared" si="4"/>
        <v>0</v>
      </c>
      <c r="W39" s="41">
        <v>0</v>
      </c>
      <c r="X39" s="41">
        <v>0</v>
      </c>
      <c r="Y39" s="41">
        <f t="shared" si="5"/>
        <v>0</v>
      </c>
      <c r="Z39" s="41">
        <v>0</v>
      </c>
      <c r="AA39" s="41">
        <v>0</v>
      </c>
      <c r="AB39" s="41">
        <f t="shared" si="6"/>
        <v>0</v>
      </c>
      <c r="AC39" s="41">
        <v>0</v>
      </c>
      <c r="AD39" s="41">
        <v>0</v>
      </c>
      <c r="AE39" s="41">
        <f t="shared" si="7"/>
        <v>0</v>
      </c>
      <c r="AF39" s="28">
        <f t="shared" si="8"/>
        <v>0</v>
      </c>
      <c r="AG39" s="28">
        <f t="shared" si="9"/>
        <v>0</v>
      </c>
    </row>
    <row r="40" spans="1:33" ht="72" x14ac:dyDescent="0.3">
      <c r="A40" s="41" t="s">
        <v>696</v>
      </c>
      <c r="B40" s="41" t="s">
        <v>689</v>
      </c>
      <c r="C40" s="41" t="s">
        <v>644</v>
      </c>
      <c r="D40" s="41" t="s">
        <v>5</v>
      </c>
      <c r="E40" s="41" t="s">
        <v>197</v>
      </c>
      <c r="F40" s="41" t="s">
        <v>718</v>
      </c>
      <c r="G40" s="83">
        <v>0</v>
      </c>
      <c r="H40" s="41">
        <v>0</v>
      </c>
      <c r="I40" s="41">
        <v>0</v>
      </c>
      <c r="J40" s="83">
        <f t="shared" si="0"/>
        <v>0</v>
      </c>
      <c r="K40" s="41">
        <v>0</v>
      </c>
      <c r="L40" s="41">
        <v>0</v>
      </c>
      <c r="M40" s="41">
        <f t="shared" si="1"/>
        <v>0</v>
      </c>
      <c r="N40" s="41">
        <v>0</v>
      </c>
      <c r="O40" s="41">
        <v>0</v>
      </c>
      <c r="P40" s="41">
        <f t="shared" si="2"/>
        <v>0</v>
      </c>
      <c r="Q40" s="41">
        <v>0</v>
      </c>
      <c r="R40" s="41">
        <v>0</v>
      </c>
      <c r="S40" s="41">
        <f t="shared" si="3"/>
        <v>0</v>
      </c>
      <c r="T40" s="41">
        <v>0</v>
      </c>
      <c r="U40" s="41">
        <v>0</v>
      </c>
      <c r="V40" s="41">
        <f t="shared" si="4"/>
        <v>0</v>
      </c>
      <c r="W40" s="41">
        <v>0</v>
      </c>
      <c r="X40" s="41">
        <v>0</v>
      </c>
      <c r="Y40" s="41">
        <f t="shared" si="5"/>
        <v>0</v>
      </c>
      <c r="Z40" s="41">
        <v>0</v>
      </c>
      <c r="AA40" s="41">
        <v>0</v>
      </c>
      <c r="AB40" s="41">
        <f t="shared" si="6"/>
        <v>0</v>
      </c>
      <c r="AC40" s="41">
        <v>0</v>
      </c>
      <c r="AD40" s="41">
        <v>0</v>
      </c>
      <c r="AE40" s="41">
        <f t="shared" si="7"/>
        <v>0</v>
      </c>
      <c r="AF40" s="28">
        <f t="shared" si="8"/>
        <v>0</v>
      </c>
      <c r="AG40" s="28">
        <f t="shared" si="9"/>
        <v>0</v>
      </c>
    </row>
    <row r="41" spans="1:33" ht="72" x14ac:dyDescent="0.3">
      <c r="A41" s="41" t="s">
        <v>696</v>
      </c>
      <c r="B41" s="41" t="s">
        <v>689</v>
      </c>
      <c r="C41" s="41" t="s">
        <v>644</v>
      </c>
      <c r="D41" s="41" t="s">
        <v>5</v>
      </c>
      <c r="E41" s="41" t="s">
        <v>198</v>
      </c>
      <c r="F41" s="41" t="s">
        <v>718</v>
      </c>
      <c r="G41" s="83">
        <v>0</v>
      </c>
      <c r="H41" s="41">
        <v>0</v>
      </c>
      <c r="I41" s="41">
        <v>0</v>
      </c>
      <c r="J41" s="83">
        <f t="shared" si="0"/>
        <v>0</v>
      </c>
      <c r="K41" s="41">
        <v>0</v>
      </c>
      <c r="L41" s="41">
        <v>0</v>
      </c>
      <c r="M41" s="41">
        <f t="shared" si="1"/>
        <v>0</v>
      </c>
      <c r="N41" s="41">
        <v>0</v>
      </c>
      <c r="O41" s="41">
        <v>0</v>
      </c>
      <c r="P41" s="41">
        <f t="shared" si="2"/>
        <v>0</v>
      </c>
      <c r="Q41" s="41">
        <v>0</v>
      </c>
      <c r="R41" s="41">
        <v>0</v>
      </c>
      <c r="S41" s="41">
        <f t="shared" si="3"/>
        <v>0</v>
      </c>
      <c r="T41" s="41">
        <v>0</v>
      </c>
      <c r="U41" s="41">
        <v>0</v>
      </c>
      <c r="V41" s="41">
        <f t="shared" si="4"/>
        <v>0</v>
      </c>
      <c r="W41" s="41">
        <v>0</v>
      </c>
      <c r="X41" s="41">
        <v>0</v>
      </c>
      <c r="Y41" s="41">
        <f t="shared" si="5"/>
        <v>0</v>
      </c>
      <c r="Z41" s="41">
        <v>0</v>
      </c>
      <c r="AA41" s="41">
        <v>0</v>
      </c>
      <c r="AB41" s="41">
        <f t="shared" si="6"/>
        <v>0</v>
      </c>
      <c r="AC41" s="41">
        <v>0</v>
      </c>
      <c r="AD41" s="41">
        <v>0</v>
      </c>
      <c r="AE41" s="41">
        <f t="shared" si="7"/>
        <v>0</v>
      </c>
      <c r="AF41" s="28">
        <f t="shared" si="8"/>
        <v>0</v>
      </c>
      <c r="AG41" s="28">
        <f t="shared" si="9"/>
        <v>0</v>
      </c>
    </row>
    <row r="42" spans="1:33" ht="72" x14ac:dyDescent="0.3">
      <c r="A42" s="41" t="s">
        <v>696</v>
      </c>
      <c r="B42" s="41" t="s">
        <v>689</v>
      </c>
      <c r="C42" s="41" t="s">
        <v>644</v>
      </c>
      <c r="D42" s="41" t="s">
        <v>5</v>
      </c>
      <c r="E42" s="41" t="s">
        <v>199</v>
      </c>
      <c r="F42" s="41" t="s">
        <v>718</v>
      </c>
      <c r="G42" s="83">
        <v>0</v>
      </c>
      <c r="H42" s="41">
        <v>0</v>
      </c>
      <c r="I42" s="41">
        <v>0</v>
      </c>
      <c r="J42" s="83">
        <f t="shared" si="0"/>
        <v>0</v>
      </c>
      <c r="K42" s="41">
        <v>0</v>
      </c>
      <c r="L42" s="41">
        <v>0</v>
      </c>
      <c r="M42" s="41">
        <f t="shared" si="1"/>
        <v>0</v>
      </c>
      <c r="N42" s="41">
        <v>0</v>
      </c>
      <c r="O42" s="41">
        <v>0</v>
      </c>
      <c r="P42" s="41">
        <f t="shared" si="2"/>
        <v>0</v>
      </c>
      <c r="Q42" s="41">
        <v>0</v>
      </c>
      <c r="R42" s="41">
        <v>0</v>
      </c>
      <c r="S42" s="41">
        <f t="shared" si="3"/>
        <v>0</v>
      </c>
      <c r="T42" s="41">
        <v>0</v>
      </c>
      <c r="U42" s="41">
        <v>0</v>
      </c>
      <c r="V42" s="41">
        <f t="shared" si="4"/>
        <v>0</v>
      </c>
      <c r="W42" s="41">
        <v>0</v>
      </c>
      <c r="X42" s="41">
        <v>0</v>
      </c>
      <c r="Y42" s="41">
        <f t="shared" si="5"/>
        <v>0</v>
      </c>
      <c r="Z42" s="41">
        <v>0</v>
      </c>
      <c r="AA42" s="41">
        <v>0</v>
      </c>
      <c r="AB42" s="41">
        <f t="shared" si="6"/>
        <v>0</v>
      </c>
      <c r="AC42" s="41">
        <v>0</v>
      </c>
      <c r="AD42" s="41">
        <v>0</v>
      </c>
      <c r="AE42" s="41">
        <f t="shared" si="7"/>
        <v>0</v>
      </c>
      <c r="AF42" s="28">
        <f t="shared" si="8"/>
        <v>0</v>
      </c>
      <c r="AG42" s="28">
        <f t="shared" si="9"/>
        <v>0</v>
      </c>
    </row>
    <row r="43" spans="1:33" ht="72" x14ac:dyDescent="0.3">
      <c r="A43" s="41" t="s">
        <v>696</v>
      </c>
      <c r="B43" s="41" t="s">
        <v>689</v>
      </c>
      <c r="C43" s="41" t="s">
        <v>644</v>
      </c>
      <c r="D43" s="41" t="s">
        <v>5</v>
      </c>
      <c r="E43" s="41" t="s">
        <v>200</v>
      </c>
      <c r="F43" s="41" t="s">
        <v>713</v>
      </c>
      <c r="G43" s="83">
        <v>45000</v>
      </c>
      <c r="H43" s="41">
        <v>30</v>
      </c>
      <c r="I43" s="41">
        <v>11</v>
      </c>
      <c r="J43" s="83">
        <f t="shared" si="0"/>
        <v>14850000</v>
      </c>
      <c r="K43" s="41">
        <v>0</v>
      </c>
      <c r="L43" s="41">
        <v>0</v>
      </c>
      <c r="M43" s="41">
        <f t="shared" si="1"/>
        <v>0</v>
      </c>
      <c r="N43" s="41">
        <v>0</v>
      </c>
      <c r="O43" s="41">
        <v>0</v>
      </c>
      <c r="P43" s="41">
        <f t="shared" si="2"/>
        <v>0</v>
      </c>
      <c r="Q43" s="41">
        <v>0</v>
      </c>
      <c r="R43" s="41">
        <v>0</v>
      </c>
      <c r="S43" s="41">
        <f t="shared" si="3"/>
        <v>0</v>
      </c>
      <c r="T43" s="41">
        <v>15</v>
      </c>
      <c r="U43" s="41">
        <v>10</v>
      </c>
      <c r="V43" s="41">
        <f t="shared" si="4"/>
        <v>9882675.0000000019</v>
      </c>
      <c r="W43" s="41">
        <v>0</v>
      </c>
      <c r="X43" s="41">
        <v>0</v>
      </c>
      <c r="Y43" s="41">
        <f t="shared" si="5"/>
        <v>0</v>
      </c>
      <c r="Z43" s="41">
        <v>0</v>
      </c>
      <c r="AA43" s="41">
        <v>0</v>
      </c>
      <c r="AB43" s="41">
        <f t="shared" si="6"/>
        <v>0</v>
      </c>
      <c r="AC43" s="41">
        <v>30</v>
      </c>
      <c r="AD43" s="41">
        <v>11</v>
      </c>
      <c r="AE43" s="41">
        <f t="shared" si="7"/>
        <v>28938448.935000021</v>
      </c>
      <c r="AF43" s="28">
        <f t="shared" si="8"/>
        <v>53671123.935000017</v>
      </c>
      <c r="AG43" s="28">
        <f t="shared" si="9"/>
        <v>52515.776844422719</v>
      </c>
    </row>
    <row r="44" spans="1:33" ht="72" x14ac:dyDescent="0.3">
      <c r="A44" s="41" t="s">
        <v>696</v>
      </c>
      <c r="B44" s="41" t="s">
        <v>689</v>
      </c>
      <c r="C44" s="41" t="s">
        <v>644</v>
      </c>
      <c r="D44" s="41" t="s">
        <v>5</v>
      </c>
      <c r="E44" s="41" t="s">
        <v>200</v>
      </c>
      <c r="F44" s="41" t="s">
        <v>1350</v>
      </c>
      <c r="G44" s="83">
        <f>1999.2/7</f>
        <v>285.60000000000002</v>
      </c>
      <c r="H44" s="41">
        <f>2*135*10</f>
        <v>2700</v>
      </c>
      <c r="I44" s="41">
        <v>1</v>
      </c>
      <c r="J44" s="83">
        <f t="shared" si="0"/>
        <v>771120.00000000012</v>
      </c>
      <c r="K44" s="41"/>
      <c r="L44" s="41"/>
      <c r="M44" s="41">
        <f t="shared" si="1"/>
        <v>0</v>
      </c>
      <c r="N44" s="41"/>
      <c r="O44" s="41"/>
      <c r="P44" s="41">
        <f t="shared" si="2"/>
        <v>0</v>
      </c>
      <c r="Q44" s="41"/>
      <c r="R44" s="41"/>
      <c r="S44" s="41">
        <f t="shared" si="3"/>
        <v>0</v>
      </c>
      <c r="T44" s="41"/>
      <c r="U44" s="41"/>
      <c r="V44" s="41">
        <f t="shared" si="4"/>
        <v>0</v>
      </c>
      <c r="W44" s="41"/>
      <c r="X44" s="41"/>
      <c r="Y44" s="41">
        <f t="shared" si="5"/>
        <v>0</v>
      </c>
      <c r="Z44" s="41"/>
      <c r="AA44" s="41"/>
      <c r="AB44" s="41">
        <f t="shared" si="6"/>
        <v>0</v>
      </c>
      <c r="AC44" s="41">
        <v>2700</v>
      </c>
      <c r="AD44" s="41">
        <v>1</v>
      </c>
      <c r="AE44" s="41">
        <f t="shared" si="7"/>
        <v>1502694.7301520011</v>
      </c>
      <c r="AF44" s="28">
        <f t="shared" si="8"/>
        <v>2273814.7301520011</v>
      </c>
      <c r="AG44" s="28">
        <f t="shared" si="9"/>
        <v>2224.8676420273982</v>
      </c>
    </row>
    <row r="45" spans="1:33" ht="72" x14ac:dyDescent="0.3">
      <c r="A45" s="41" t="s">
        <v>696</v>
      </c>
      <c r="B45" s="41" t="s">
        <v>689</v>
      </c>
      <c r="C45" s="41" t="s">
        <v>644</v>
      </c>
      <c r="D45" s="41" t="s">
        <v>5</v>
      </c>
      <c r="E45" s="41" t="s">
        <v>200</v>
      </c>
      <c r="F45" s="41" t="s">
        <v>712</v>
      </c>
      <c r="G45" s="83">
        <f>1999.2/7</f>
        <v>285.60000000000002</v>
      </c>
      <c r="H45" s="41">
        <f>25*2*10</f>
        <v>500</v>
      </c>
      <c r="I45" s="41">
        <v>10</v>
      </c>
      <c r="J45" s="83">
        <f t="shared" si="0"/>
        <v>1428000</v>
      </c>
      <c r="K45" s="41">
        <v>0</v>
      </c>
      <c r="L45" s="41">
        <v>0</v>
      </c>
      <c r="M45" s="41">
        <f t="shared" si="1"/>
        <v>0</v>
      </c>
      <c r="N45" s="41">
        <v>0</v>
      </c>
      <c r="O45" s="41">
        <v>0</v>
      </c>
      <c r="P45" s="41">
        <f t="shared" si="2"/>
        <v>0</v>
      </c>
      <c r="Q45" s="41">
        <v>0</v>
      </c>
      <c r="R45" s="41">
        <v>0</v>
      </c>
      <c r="S45" s="41">
        <f t="shared" si="3"/>
        <v>0</v>
      </c>
      <c r="T45" s="41">
        <v>20000</v>
      </c>
      <c r="U45" s="41">
        <v>1</v>
      </c>
      <c r="V45" s="41">
        <f t="shared" si="4"/>
        <v>8362939.200000003</v>
      </c>
      <c r="W45" s="41">
        <v>0</v>
      </c>
      <c r="X45" s="41">
        <v>0</v>
      </c>
      <c r="Y45" s="41">
        <f t="shared" si="5"/>
        <v>0</v>
      </c>
      <c r="Z45" s="41">
        <v>0</v>
      </c>
      <c r="AA45" s="41">
        <v>0</v>
      </c>
      <c r="AB45" s="41">
        <f t="shared" si="6"/>
        <v>0</v>
      </c>
      <c r="AC45" s="41">
        <v>500</v>
      </c>
      <c r="AD45" s="41">
        <v>10</v>
      </c>
      <c r="AE45" s="41">
        <f t="shared" si="7"/>
        <v>2782768.0188000021</v>
      </c>
      <c r="AF45" s="28">
        <f t="shared" si="8"/>
        <v>12573707.218800005</v>
      </c>
      <c r="AG45" s="28">
        <f t="shared" si="9"/>
        <v>12303.040331506854</v>
      </c>
    </row>
    <row r="46" spans="1:33" ht="72" x14ac:dyDescent="0.3">
      <c r="A46" s="41" t="s">
        <v>696</v>
      </c>
      <c r="B46" s="41" t="s">
        <v>689</v>
      </c>
      <c r="C46" s="41" t="s">
        <v>644</v>
      </c>
      <c r="D46" s="41" t="s">
        <v>5</v>
      </c>
      <c r="E46" s="41" t="s">
        <v>200</v>
      </c>
      <c r="F46" s="41" t="s">
        <v>715</v>
      </c>
      <c r="G46" s="83">
        <v>302000</v>
      </c>
      <c r="H46" s="41">
        <v>15</v>
      </c>
      <c r="I46" s="41">
        <v>1</v>
      </c>
      <c r="J46" s="83">
        <f t="shared" si="0"/>
        <v>4530000</v>
      </c>
      <c r="K46" s="41">
        <v>0</v>
      </c>
      <c r="L46" s="41">
        <v>0</v>
      </c>
      <c r="M46" s="41">
        <f t="shared" si="1"/>
        <v>0</v>
      </c>
      <c r="N46" s="41">
        <v>0</v>
      </c>
      <c r="O46" s="41">
        <v>0</v>
      </c>
      <c r="P46" s="41">
        <f t="shared" si="2"/>
        <v>0</v>
      </c>
      <c r="Q46" s="41">
        <v>0</v>
      </c>
      <c r="R46" s="41">
        <v>0</v>
      </c>
      <c r="S46" s="41">
        <f t="shared" si="3"/>
        <v>0</v>
      </c>
      <c r="T46" s="41">
        <v>20</v>
      </c>
      <c r="U46" s="41">
        <v>1</v>
      </c>
      <c r="V46" s="41">
        <f t="shared" si="4"/>
        <v>8843164.0000000019</v>
      </c>
      <c r="W46" s="41">
        <v>0</v>
      </c>
      <c r="X46" s="41">
        <v>0</v>
      </c>
      <c r="Y46" s="41">
        <f t="shared" si="5"/>
        <v>0</v>
      </c>
      <c r="Z46" s="41">
        <v>0</v>
      </c>
      <c r="AA46" s="41">
        <v>0</v>
      </c>
      <c r="AB46" s="41">
        <f t="shared" si="6"/>
        <v>0</v>
      </c>
      <c r="AC46" s="41">
        <v>15</v>
      </c>
      <c r="AD46" s="41">
        <v>1</v>
      </c>
      <c r="AE46" s="41">
        <f t="shared" si="7"/>
        <v>8827688.4630000051</v>
      </c>
      <c r="AF46" s="28">
        <f t="shared" si="8"/>
        <v>22200852.463000007</v>
      </c>
      <c r="AG46" s="28">
        <f t="shared" si="9"/>
        <v>21722.947615459889</v>
      </c>
    </row>
    <row r="47" spans="1:33" ht="72" x14ac:dyDescent="0.3">
      <c r="A47" s="41" t="s">
        <v>696</v>
      </c>
      <c r="B47" s="41" t="s">
        <v>689</v>
      </c>
      <c r="C47" s="41" t="s">
        <v>644</v>
      </c>
      <c r="D47" s="41" t="s">
        <v>5</v>
      </c>
      <c r="E47" s="41" t="s">
        <v>200</v>
      </c>
      <c r="F47" s="41" t="s">
        <v>714</v>
      </c>
      <c r="G47" s="83">
        <v>10000</v>
      </c>
      <c r="H47" s="41">
        <v>15</v>
      </c>
      <c r="I47" s="41">
        <v>1</v>
      </c>
      <c r="J47" s="83">
        <f t="shared" si="0"/>
        <v>150000</v>
      </c>
      <c r="K47" s="41">
        <v>0</v>
      </c>
      <c r="L47" s="41">
        <v>0</v>
      </c>
      <c r="M47" s="41">
        <f t="shared" si="1"/>
        <v>0</v>
      </c>
      <c r="N47" s="41">
        <v>0</v>
      </c>
      <c r="O47" s="41">
        <v>0</v>
      </c>
      <c r="P47" s="41">
        <f t="shared" si="2"/>
        <v>0</v>
      </c>
      <c r="Q47" s="41">
        <v>0</v>
      </c>
      <c r="R47" s="41">
        <v>0</v>
      </c>
      <c r="S47" s="41">
        <f t="shared" si="3"/>
        <v>0</v>
      </c>
      <c r="T47" s="41">
        <v>15</v>
      </c>
      <c r="U47" s="41">
        <v>1</v>
      </c>
      <c r="V47" s="41">
        <f t="shared" si="4"/>
        <v>219615.00000000006</v>
      </c>
      <c r="W47" s="41">
        <v>0</v>
      </c>
      <c r="X47" s="41">
        <v>0</v>
      </c>
      <c r="Y47" s="41">
        <f t="shared" si="5"/>
        <v>0</v>
      </c>
      <c r="Z47" s="41">
        <v>0</v>
      </c>
      <c r="AA47" s="41">
        <v>0</v>
      </c>
      <c r="AB47" s="41">
        <f t="shared" si="6"/>
        <v>0</v>
      </c>
      <c r="AC47" s="41">
        <v>15</v>
      </c>
      <c r="AD47" s="41">
        <v>1</v>
      </c>
      <c r="AE47" s="41">
        <f t="shared" si="7"/>
        <v>292307.56500000018</v>
      </c>
      <c r="AF47" s="28">
        <f t="shared" si="8"/>
        <v>661922.56500000018</v>
      </c>
      <c r="AG47" s="28">
        <f t="shared" si="9"/>
        <v>647.67374266144827</v>
      </c>
    </row>
    <row r="48" spans="1:33" ht="72" x14ac:dyDescent="0.3">
      <c r="A48" s="41" t="s">
        <v>696</v>
      </c>
      <c r="B48" s="41" t="s">
        <v>689</v>
      </c>
      <c r="C48" s="41" t="s">
        <v>644</v>
      </c>
      <c r="D48" s="41" t="s">
        <v>5</v>
      </c>
      <c r="E48" s="41" t="s">
        <v>200</v>
      </c>
      <c r="F48" s="41" t="s">
        <v>1350</v>
      </c>
      <c r="G48" s="83">
        <f>1999.2/7</f>
        <v>285.60000000000002</v>
      </c>
      <c r="H48" s="41">
        <f>2*135*9</f>
        <v>2430</v>
      </c>
      <c r="I48" s="41">
        <v>1</v>
      </c>
      <c r="J48" s="83"/>
      <c r="K48" s="41"/>
      <c r="L48" s="41"/>
      <c r="M48" s="41">
        <f t="shared" si="1"/>
        <v>0</v>
      </c>
      <c r="N48" s="41"/>
      <c r="O48" s="41"/>
      <c r="P48" s="41">
        <f t="shared" si="2"/>
        <v>0</v>
      </c>
      <c r="Q48" s="41"/>
      <c r="R48" s="41"/>
      <c r="S48" s="41">
        <f t="shared" si="3"/>
        <v>0</v>
      </c>
      <c r="T48" s="41"/>
      <c r="U48" s="41"/>
      <c r="V48" s="41">
        <f t="shared" si="4"/>
        <v>0</v>
      </c>
      <c r="W48" s="41"/>
      <c r="X48" s="41"/>
      <c r="Y48" s="41">
        <f t="shared" si="5"/>
        <v>0</v>
      </c>
      <c r="Z48" s="41"/>
      <c r="AA48" s="41"/>
      <c r="AB48" s="41">
        <f t="shared" si="6"/>
        <v>0</v>
      </c>
      <c r="AC48" s="41">
        <v>2430</v>
      </c>
      <c r="AD48" s="41">
        <v>1</v>
      </c>
      <c r="AE48" s="41">
        <f t="shared" si="7"/>
        <v>1352425.257136801</v>
      </c>
      <c r="AF48" s="28">
        <f t="shared" si="8"/>
        <v>1352425.257136801</v>
      </c>
      <c r="AG48" s="28">
        <f t="shared" si="9"/>
        <v>1323.3123846739736</v>
      </c>
    </row>
    <row r="49" spans="1:33" ht="72" x14ac:dyDescent="0.3">
      <c r="A49" s="41" t="s">
        <v>696</v>
      </c>
      <c r="B49" s="41" t="s">
        <v>689</v>
      </c>
      <c r="C49" s="41" t="s">
        <v>644</v>
      </c>
      <c r="D49" s="41" t="s">
        <v>5</v>
      </c>
      <c r="E49" s="41" t="s">
        <v>152</v>
      </c>
      <c r="F49" s="41" t="s">
        <v>712</v>
      </c>
      <c r="G49" s="83">
        <f>1999.2/7</f>
        <v>285.60000000000002</v>
      </c>
      <c r="H49" s="41">
        <f>25*2*9</f>
        <v>450</v>
      </c>
      <c r="I49" s="41">
        <v>5</v>
      </c>
      <c r="J49" s="83">
        <f t="shared" si="0"/>
        <v>642600.00000000012</v>
      </c>
      <c r="K49" s="41">
        <v>0</v>
      </c>
      <c r="L49" s="41">
        <v>0</v>
      </c>
      <c r="M49" s="41">
        <f t="shared" si="1"/>
        <v>0</v>
      </c>
      <c r="N49" s="41">
        <v>0</v>
      </c>
      <c r="O49" s="41">
        <v>0</v>
      </c>
      <c r="P49" s="41">
        <f t="shared" si="2"/>
        <v>0</v>
      </c>
      <c r="Q49" s="41">
        <v>0</v>
      </c>
      <c r="R49" s="41">
        <v>0</v>
      </c>
      <c r="S49" s="41">
        <f t="shared" si="3"/>
        <v>0</v>
      </c>
      <c r="T49" s="41">
        <v>4000</v>
      </c>
      <c r="U49" s="41">
        <v>1</v>
      </c>
      <c r="V49" s="41">
        <f t="shared" si="4"/>
        <v>1672587.8400000005</v>
      </c>
      <c r="W49" s="41">
        <v>0</v>
      </c>
      <c r="X49" s="41">
        <v>0</v>
      </c>
      <c r="Y49" s="41">
        <f t="shared" si="5"/>
        <v>0</v>
      </c>
      <c r="Z49" s="41">
        <v>0</v>
      </c>
      <c r="AA49" s="41">
        <v>0</v>
      </c>
      <c r="AB49" s="41">
        <f t="shared" si="6"/>
        <v>0</v>
      </c>
      <c r="AC49" s="41">
        <v>450</v>
      </c>
      <c r="AD49" s="41">
        <v>5</v>
      </c>
      <c r="AE49" s="41">
        <f t="shared" si="7"/>
        <v>1252245.6084600009</v>
      </c>
      <c r="AF49" s="28">
        <f t="shared" si="8"/>
        <v>3567433.4484600015</v>
      </c>
      <c r="AG49" s="28">
        <f t="shared" si="9"/>
        <v>3490.639382054796</v>
      </c>
    </row>
    <row r="50" spans="1:33" ht="72" x14ac:dyDescent="0.3">
      <c r="A50" s="41" t="s">
        <v>696</v>
      </c>
      <c r="B50" s="41" t="s">
        <v>689</v>
      </c>
      <c r="C50" s="41" t="s">
        <v>644</v>
      </c>
      <c r="D50" s="41" t="s">
        <v>5</v>
      </c>
      <c r="E50" s="41" t="s">
        <v>152</v>
      </c>
      <c r="F50" s="41" t="s">
        <v>716</v>
      </c>
      <c r="G50" s="83">
        <v>39000</v>
      </c>
      <c r="H50" s="41">
        <v>25</v>
      </c>
      <c r="I50" s="41">
        <v>6</v>
      </c>
      <c r="J50" s="83">
        <f t="shared" si="0"/>
        <v>5850000</v>
      </c>
      <c r="K50" s="41">
        <v>0</v>
      </c>
      <c r="L50" s="41">
        <v>0</v>
      </c>
      <c r="M50" s="41">
        <f t="shared" si="1"/>
        <v>0</v>
      </c>
      <c r="N50" s="41">
        <v>0</v>
      </c>
      <c r="O50" s="41">
        <v>0</v>
      </c>
      <c r="P50" s="41">
        <f t="shared" si="2"/>
        <v>0</v>
      </c>
      <c r="Q50" s="41">
        <v>0</v>
      </c>
      <c r="R50" s="41">
        <v>0</v>
      </c>
      <c r="S50" s="41">
        <f t="shared" si="3"/>
        <v>0</v>
      </c>
      <c r="T50" s="41">
        <v>15</v>
      </c>
      <c r="U50" s="41">
        <v>5</v>
      </c>
      <c r="V50" s="41">
        <f t="shared" si="4"/>
        <v>4282492.5000000009</v>
      </c>
      <c r="W50" s="41">
        <v>0</v>
      </c>
      <c r="X50" s="41">
        <v>0</v>
      </c>
      <c r="Y50" s="41">
        <f t="shared" si="5"/>
        <v>0</v>
      </c>
      <c r="Z50" s="41">
        <v>0</v>
      </c>
      <c r="AA50" s="41">
        <v>0</v>
      </c>
      <c r="AB50" s="41">
        <f t="shared" si="6"/>
        <v>0</v>
      </c>
      <c r="AC50" s="41">
        <v>25</v>
      </c>
      <c r="AD50" s="41">
        <v>6</v>
      </c>
      <c r="AE50" s="41">
        <f t="shared" si="7"/>
        <v>11399995.035000006</v>
      </c>
      <c r="AF50" s="28">
        <f t="shared" si="8"/>
        <v>21532487.535000004</v>
      </c>
      <c r="AG50" s="28">
        <f t="shared" si="9"/>
        <v>21068.970190802353</v>
      </c>
    </row>
    <row r="51" spans="1:33" ht="72" x14ac:dyDescent="0.3">
      <c r="A51" s="41" t="s">
        <v>696</v>
      </c>
      <c r="B51" s="41" t="s">
        <v>689</v>
      </c>
      <c r="C51" s="41" t="s">
        <v>644</v>
      </c>
      <c r="D51" s="41" t="s">
        <v>5</v>
      </c>
      <c r="E51" s="41" t="s">
        <v>152</v>
      </c>
      <c r="F51" s="41" t="s">
        <v>1350</v>
      </c>
      <c r="G51" s="83">
        <f>1999.2/7</f>
        <v>285.60000000000002</v>
      </c>
      <c r="H51" s="41">
        <f>2*135*9</f>
        <v>2430</v>
      </c>
      <c r="I51" s="41">
        <v>1</v>
      </c>
      <c r="J51" s="83">
        <f t="shared" si="0"/>
        <v>694008</v>
      </c>
      <c r="K51" s="41"/>
      <c r="L51" s="41"/>
      <c r="M51" s="41">
        <f t="shared" si="1"/>
        <v>0</v>
      </c>
      <c r="N51" s="41"/>
      <c r="O51" s="41"/>
      <c r="P51" s="41">
        <f t="shared" si="2"/>
        <v>0</v>
      </c>
      <c r="Q51" s="41"/>
      <c r="R51" s="41"/>
      <c r="S51" s="41">
        <f t="shared" si="3"/>
        <v>0</v>
      </c>
      <c r="T51" s="41"/>
      <c r="U51" s="41"/>
      <c r="V51" s="41">
        <f t="shared" si="4"/>
        <v>0</v>
      </c>
      <c r="W51" s="41"/>
      <c r="X51" s="41"/>
      <c r="Y51" s="41">
        <f t="shared" si="5"/>
        <v>0</v>
      </c>
      <c r="Z51" s="41"/>
      <c r="AA51" s="41"/>
      <c r="AB51" s="41">
        <f t="shared" si="6"/>
        <v>0</v>
      </c>
      <c r="AC51" s="41">
        <v>2430</v>
      </c>
      <c r="AD51" s="41">
        <v>1</v>
      </c>
      <c r="AE51" s="41">
        <f t="shared" si="7"/>
        <v>1352425.257136801</v>
      </c>
      <c r="AF51" s="28">
        <f t="shared" si="8"/>
        <v>2046433.257136801</v>
      </c>
      <c r="AG51" s="28">
        <f t="shared" si="9"/>
        <v>2002.3808778246585</v>
      </c>
    </row>
    <row r="52" spans="1:33" ht="72" x14ac:dyDescent="0.3">
      <c r="A52" s="41" t="s">
        <v>696</v>
      </c>
      <c r="B52" s="41" t="s">
        <v>689</v>
      </c>
      <c r="C52" s="41" t="s">
        <v>644</v>
      </c>
      <c r="D52" s="41" t="s">
        <v>5</v>
      </c>
      <c r="E52" s="41" t="s">
        <v>152</v>
      </c>
      <c r="F52" s="41" t="s">
        <v>709</v>
      </c>
      <c r="G52" s="83">
        <v>35000</v>
      </c>
      <c r="H52" s="41">
        <v>25</v>
      </c>
      <c r="I52" s="41">
        <v>5</v>
      </c>
      <c r="J52" s="83">
        <f t="shared" si="0"/>
        <v>4375000</v>
      </c>
      <c r="K52" s="41">
        <v>0</v>
      </c>
      <c r="L52" s="41">
        <v>0</v>
      </c>
      <c r="M52" s="41">
        <f t="shared" si="1"/>
        <v>0</v>
      </c>
      <c r="N52" s="41">
        <v>0</v>
      </c>
      <c r="O52" s="41">
        <v>0</v>
      </c>
      <c r="P52" s="41">
        <f t="shared" si="2"/>
        <v>0</v>
      </c>
      <c r="Q52" s="41">
        <v>0</v>
      </c>
      <c r="R52" s="41">
        <v>0</v>
      </c>
      <c r="S52" s="41">
        <f t="shared" si="3"/>
        <v>0</v>
      </c>
      <c r="T52" s="41">
        <v>15</v>
      </c>
      <c r="U52" s="41">
        <v>5</v>
      </c>
      <c r="V52" s="41">
        <f t="shared" si="4"/>
        <v>3843262.5000000009</v>
      </c>
      <c r="W52" s="41">
        <v>0</v>
      </c>
      <c r="X52" s="41">
        <v>0</v>
      </c>
      <c r="Y52" s="41">
        <f t="shared" si="5"/>
        <v>0</v>
      </c>
      <c r="Z52" s="41">
        <v>0</v>
      </c>
      <c r="AA52" s="41">
        <v>0</v>
      </c>
      <c r="AB52" s="41">
        <f t="shared" si="6"/>
        <v>0</v>
      </c>
      <c r="AC52" s="41">
        <v>25</v>
      </c>
      <c r="AD52" s="41">
        <v>5</v>
      </c>
      <c r="AE52" s="41">
        <f t="shared" si="7"/>
        <v>8525637.3125000037</v>
      </c>
      <c r="AF52" s="28">
        <f t="shared" si="8"/>
        <v>16743899.812500004</v>
      </c>
      <c r="AG52" s="28">
        <f t="shared" si="9"/>
        <v>16383.463613013702</v>
      </c>
    </row>
    <row r="53" spans="1:33" ht="72" x14ac:dyDescent="0.3">
      <c r="A53" s="41" t="s">
        <v>696</v>
      </c>
      <c r="B53" s="41" t="s">
        <v>689</v>
      </c>
      <c r="C53" s="41" t="s">
        <v>644</v>
      </c>
      <c r="D53" s="41" t="s">
        <v>5</v>
      </c>
      <c r="E53" s="41" t="s">
        <v>153</v>
      </c>
      <c r="F53" s="41" t="s">
        <v>709</v>
      </c>
      <c r="G53" s="83">
        <v>35000</v>
      </c>
      <c r="H53" s="41">
        <v>25</v>
      </c>
      <c r="I53" s="41">
        <v>3</v>
      </c>
      <c r="J53" s="83">
        <f t="shared" si="0"/>
        <v>2625000</v>
      </c>
      <c r="K53" s="41">
        <v>0</v>
      </c>
      <c r="L53" s="41">
        <v>0</v>
      </c>
      <c r="M53" s="41">
        <f t="shared" si="1"/>
        <v>0</v>
      </c>
      <c r="N53" s="41">
        <v>0</v>
      </c>
      <c r="O53" s="41">
        <v>0</v>
      </c>
      <c r="P53" s="41">
        <f t="shared" si="2"/>
        <v>0</v>
      </c>
      <c r="Q53" s="41">
        <v>0</v>
      </c>
      <c r="R53" s="41">
        <v>0</v>
      </c>
      <c r="S53" s="41">
        <f t="shared" si="3"/>
        <v>0</v>
      </c>
      <c r="T53" s="41">
        <v>15</v>
      </c>
      <c r="U53" s="41">
        <v>5</v>
      </c>
      <c r="V53" s="41">
        <f t="shared" si="4"/>
        <v>3843262.5000000009</v>
      </c>
      <c r="W53" s="41">
        <v>0</v>
      </c>
      <c r="X53" s="41">
        <v>0</v>
      </c>
      <c r="Y53" s="41">
        <f t="shared" si="5"/>
        <v>0</v>
      </c>
      <c r="Z53" s="41">
        <v>0</v>
      </c>
      <c r="AA53" s="41">
        <v>0</v>
      </c>
      <c r="AB53" s="41">
        <f t="shared" si="6"/>
        <v>0</v>
      </c>
      <c r="AC53" s="41">
        <v>25</v>
      </c>
      <c r="AD53" s="41">
        <v>3</v>
      </c>
      <c r="AE53" s="41">
        <f t="shared" si="7"/>
        <v>5115382.387500003</v>
      </c>
      <c r="AF53" s="28">
        <f t="shared" si="8"/>
        <v>11583644.887500003</v>
      </c>
      <c r="AG53" s="28">
        <f t="shared" si="9"/>
        <v>11334.290496575346</v>
      </c>
    </row>
    <row r="54" spans="1:33" ht="72" x14ac:dyDescent="0.3">
      <c r="A54" s="41" t="s">
        <v>696</v>
      </c>
      <c r="B54" s="41" t="s">
        <v>689</v>
      </c>
      <c r="C54" s="41" t="s">
        <v>644</v>
      </c>
      <c r="D54" s="41" t="s">
        <v>5</v>
      </c>
      <c r="E54" s="41" t="s">
        <v>153</v>
      </c>
      <c r="F54" s="41" t="s">
        <v>716</v>
      </c>
      <c r="G54" s="83">
        <v>39000</v>
      </c>
      <c r="H54" s="41">
        <v>25</v>
      </c>
      <c r="I54" s="41">
        <v>4</v>
      </c>
      <c r="J54" s="83">
        <f t="shared" si="0"/>
        <v>3900000</v>
      </c>
      <c r="K54" s="41">
        <v>0</v>
      </c>
      <c r="L54" s="41">
        <v>0</v>
      </c>
      <c r="M54" s="41">
        <f t="shared" si="1"/>
        <v>0</v>
      </c>
      <c r="N54" s="41">
        <v>0</v>
      </c>
      <c r="O54" s="41">
        <v>0</v>
      </c>
      <c r="P54" s="41">
        <f t="shared" si="2"/>
        <v>0</v>
      </c>
      <c r="Q54" s="41">
        <v>0</v>
      </c>
      <c r="R54" s="41">
        <v>0</v>
      </c>
      <c r="S54" s="41">
        <f t="shared" si="3"/>
        <v>0</v>
      </c>
      <c r="T54" s="41">
        <v>15</v>
      </c>
      <c r="U54" s="41">
        <v>5</v>
      </c>
      <c r="V54" s="41">
        <f t="shared" si="4"/>
        <v>4282492.5000000009</v>
      </c>
      <c r="W54" s="41">
        <v>0</v>
      </c>
      <c r="X54" s="41">
        <v>0</v>
      </c>
      <c r="Y54" s="41">
        <f t="shared" si="5"/>
        <v>0</v>
      </c>
      <c r="Z54" s="41">
        <v>0</v>
      </c>
      <c r="AA54" s="41">
        <v>0</v>
      </c>
      <c r="AB54" s="41">
        <f t="shared" si="6"/>
        <v>0</v>
      </c>
      <c r="AC54" s="41">
        <v>25</v>
      </c>
      <c r="AD54" s="41">
        <v>4</v>
      </c>
      <c r="AE54" s="41">
        <f t="shared" si="7"/>
        <v>7599996.6900000041</v>
      </c>
      <c r="AF54" s="28">
        <f t="shared" si="8"/>
        <v>15782489.190000005</v>
      </c>
      <c r="AG54" s="28">
        <f t="shared" si="9"/>
        <v>15442.748718199613</v>
      </c>
    </row>
    <row r="55" spans="1:33" ht="72" x14ac:dyDescent="0.3">
      <c r="A55" s="41" t="s">
        <v>696</v>
      </c>
      <c r="B55" s="41" t="s">
        <v>689</v>
      </c>
      <c r="C55" s="41" t="s">
        <v>644</v>
      </c>
      <c r="D55" s="41" t="s">
        <v>5</v>
      </c>
      <c r="E55" s="41" t="s">
        <v>153</v>
      </c>
      <c r="F55" s="41" t="s">
        <v>1350</v>
      </c>
      <c r="G55" s="83">
        <f>1999.2/7</f>
        <v>285.60000000000002</v>
      </c>
      <c r="H55" s="41">
        <f>2*135*9</f>
        <v>2430</v>
      </c>
      <c r="I55" s="41">
        <v>1</v>
      </c>
      <c r="J55" s="83">
        <f t="shared" si="0"/>
        <v>694008</v>
      </c>
      <c r="K55" s="41"/>
      <c r="L55" s="41"/>
      <c r="M55" s="41">
        <f t="shared" si="1"/>
        <v>0</v>
      </c>
      <c r="N55" s="41"/>
      <c r="O55" s="41"/>
      <c r="P55" s="41">
        <f t="shared" si="2"/>
        <v>0</v>
      </c>
      <c r="Q55" s="41"/>
      <c r="R55" s="41"/>
      <c r="S55" s="41">
        <f t="shared" si="3"/>
        <v>0</v>
      </c>
      <c r="T55" s="41"/>
      <c r="U55" s="41"/>
      <c r="V55" s="41">
        <f t="shared" si="4"/>
        <v>0</v>
      </c>
      <c r="W55" s="41"/>
      <c r="X55" s="41"/>
      <c r="Y55" s="41">
        <f t="shared" si="5"/>
        <v>0</v>
      </c>
      <c r="Z55" s="41"/>
      <c r="AA55" s="41"/>
      <c r="AB55" s="41">
        <f t="shared" si="6"/>
        <v>0</v>
      </c>
      <c r="AC55" s="41">
        <v>2430</v>
      </c>
      <c r="AD55" s="41">
        <v>1</v>
      </c>
      <c r="AE55" s="41">
        <f t="shared" si="7"/>
        <v>1352425.257136801</v>
      </c>
      <c r="AF55" s="28">
        <f t="shared" si="8"/>
        <v>2046433.257136801</v>
      </c>
      <c r="AG55" s="28">
        <f t="shared" si="9"/>
        <v>2002.3808778246585</v>
      </c>
    </row>
    <row r="56" spans="1:33" ht="72" x14ac:dyDescent="0.3">
      <c r="A56" s="41" t="s">
        <v>696</v>
      </c>
      <c r="B56" s="41" t="s">
        <v>689</v>
      </c>
      <c r="C56" s="41" t="s">
        <v>644</v>
      </c>
      <c r="D56" s="41" t="s">
        <v>5</v>
      </c>
      <c r="E56" s="41" t="s">
        <v>153</v>
      </c>
      <c r="F56" s="41" t="s">
        <v>712</v>
      </c>
      <c r="G56" s="83">
        <f>1999.2/7</f>
        <v>285.60000000000002</v>
      </c>
      <c r="H56" s="41">
        <f>25*2*9</f>
        <v>450</v>
      </c>
      <c r="I56" s="41">
        <v>1</v>
      </c>
      <c r="J56" s="83">
        <f t="shared" si="0"/>
        <v>128520.00000000001</v>
      </c>
      <c r="K56" s="41">
        <v>0</v>
      </c>
      <c r="L56" s="41">
        <v>0</v>
      </c>
      <c r="M56" s="41">
        <f t="shared" si="1"/>
        <v>0</v>
      </c>
      <c r="N56" s="41">
        <v>0</v>
      </c>
      <c r="O56" s="41">
        <v>0</v>
      </c>
      <c r="P56" s="41">
        <f t="shared" si="2"/>
        <v>0</v>
      </c>
      <c r="Q56" s="41">
        <v>0</v>
      </c>
      <c r="R56" s="41">
        <v>0</v>
      </c>
      <c r="S56" s="41">
        <f t="shared" si="3"/>
        <v>0</v>
      </c>
      <c r="T56" s="41">
        <v>4000</v>
      </c>
      <c r="U56" s="41">
        <v>1</v>
      </c>
      <c r="V56" s="41">
        <f t="shared" si="4"/>
        <v>1672587.8400000005</v>
      </c>
      <c r="W56" s="41">
        <v>0</v>
      </c>
      <c r="X56" s="41">
        <v>0</v>
      </c>
      <c r="Y56" s="41">
        <f t="shared" si="5"/>
        <v>0</v>
      </c>
      <c r="Z56" s="41">
        <v>0</v>
      </c>
      <c r="AA56" s="41">
        <v>0</v>
      </c>
      <c r="AB56" s="41">
        <f t="shared" si="6"/>
        <v>0</v>
      </c>
      <c r="AC56" s="41">
        <v>450</v>
      </c>
      <c r="AD56" s="41">
        <v>1</v>
      </c>
      <c r="AE56" s="41">
        <f t="shared" si="7"/>
        <v>250449.12169200019</v>
      </c>
      <c r="AF56" s="28">
        <f t="shared" si="8"/>
        <v>2051556.9616920007</v>
      </c>
      <c r="AG56" s="28">
        <f t="shared" si="9"/>
        <v>2007.3942873698638</v>
      </c>
    </row>
    <row r="57" spans="1:33" ht="72" x14ac:dyDescent="0.3">
      <c r="A57" s="41" t="s">
        <v>696</v>
      </c>
      <c r="B57" s="41" t="s">
        <v>689</v>
      </c>
      <c r="C57" s="41" t="s">
        <v>644</v>
      </c>
      <c r="D57" s="41" t="s">
        <v>5</v>
      </c>
      <c r="E57" s="41" t="s">
        <v>1319</v>
      </c>
      <c r="F57" s="41" t="s">
        <v>709</v>
      </c>
      <c r="G57" s="83">
        <v>35000</v>
      </c>
      <c r="H57" s="41">
        <v>25</v>
      </c>
      <c r="I57" s="41">
        <v>3</v>
      </c>
      <c r="J57" s="83">
        <f>G57*H57*I57</f>
        <v>2625000</v>
      </c>
      <c r="K57" s="41"/>
      <c r="L57" s="41"/>
      <c r="M57" s="41">
        <f t="shared" si="1"/>
        <v>0</v>
      </c>
      <c r="N57" s="41"/>
      <c r="O57" s="41"/>
      <c r="P57" s="41">
        <f t="shared" si="2"/>
        <v>0</v>
      </c>
      <c r="Q57" s="41"/>
      <c r="R57" s="41"/>
      <c r="S57" s="41">
        <f t="shared" si="3"/>
        <v>0</v>
      </c>
      <c r="T57" s="41"/>
      <c r="U57" s="41"/>
      <c r="V57" s="41">
        <f t="shared" si="4"/>
        <v>0</v>
      </c>
      <c r="W57" s="41"/>
      <c r="X57" s="41"/>
      <c r="Y57" s="41">
        <f t="shared" si="5"/>
        <v>0</v>
      </c>
      <c r="Z57" s="41"/>
      <c r="AA57" s="41"/>
      <c r="AB57" s="41">
        <f t="shared" si="6"/>
        <v>0</v>
      </c>
      <c r="AC57" s="41">
        <v>25</v>
      </c>
      <c r="AD57" s="41">
        <v>3</v>
      </c>
      <c r="AE57" s="41">
        <f t="shared" si="7"/>
        <v>5115382.387500003</v>
      </c>
      <c r="AF57" s="28">
        <f t="shared" si="8"/>
        <v>7740382.387500003</v>
      </c>
      <c r="AG57" s="28">
        <f t="shared" si="9"/>
        <v>7573.7596746575373</v>
      </c>
    </row>
    <row r="58" spans="1:33" ht="72" x14ac:dyDescent="0.3">
      <c r="A58" s="41" t="s">
        <v>696</v>
      </c>
      <c r="B58" s="41" t="s">
        <v>689</v>
      </c>
      <c r="C58" s="41" t="s">
        <v>644</v>
      </c>
      <c r="D58" s="41" t="s">
        <v>5</v>
      </c>
      <c r="E58" s="41" t="s">
        <v>1319</v>
      </c>
      <c r="F58" s="41" t="s">
        <v>716</v>
      </c>
      <c r="G58" s="83">
        <v>39000</v>
      </c>
      <c r="H58" s="41">
        <v>25</v>
      </c>
      <c r="I58" s="41">
        <v>4</v>
      </c>
      <c r="J58" s="83">
        <f>G58*H58*I58</f>
        <v>3900000</v>
      </c>
      <c r="K58" s="41"/>
      <c r="L58" s="41"/>
      <c r="M58" s="41">
        <f t="shared" si="1"/>
        <v>0</v>
      </c>
      <c r="N58" s="41"/>
      <c r="O58" s="41"/>
      <c r="P58" s="41">
        <f t="shared" si="2"/>
        <v>0</v>
      </c>
      <c r="Q58" s="41"/>
      <c r="R58" s="41"/>
      <c r="S58" s="41">
        <f t="shared" si="3"/>
        <v>0</v>
      </c>
      <c r="T58" s="41"/>
      <c r="U58" s="41"/>
      <c r="V58" s="41">
        <f t="shared" si="4"/>
        <v>0</v>
      </c>
      <c r="W58" s="41"/>
      <c r="X58" s="41"/>
      <c r="Y58" s="41">
        <f t="shared" si="5"/>
        <v>0</v>
      </c>
      <c r="Z58" s="41"/>
      <c r="AA58" s="41"/>
      <c r="AB58" s="41">
        <f t="shared" si="6"/>
        <v>0</v>
      </c>
      <c r="AC58" s="41">
        <v>25</v>
      </c>
      <c r="AD58" s="41">
        <v>4</v>
      </c>
      <c r="AE58" s="41">
        <f t="shared" si="7"/>
        <v>7599996.6900000041</v>
      </c>
      <c r="AF58" s="28">
        <f t="shared" si="8"/>
        <v>11499996.690000005</v>
      </c>
      <c r="AG58" s="28">
        <f t="shared" si="9"/>
        <v>11252.442945205485</v>
      </c>
    </row>
    <row r="59" spans="1:33" ht="72" x14ac:dyDescent="0.3">
      <c r="A59" s="41" t="s">
        <v>696</v>
      </c>
      <c r="B59" s="41" t="s">
        <v>689</v>
      </c>
      <c r="C59" s="41" t="s">
        <v>644</v>
      </c>
      <c r="D59" s="41" t="s">
        <v>5</v>
      </c>
      <c r="E59" s="41" t="s">
        <v>1319</v>
      </c>
      <c r="F59" s="41" t="s">
        <v>1350</v>
      </c>
      <c r="G59" s="83">
        <f>1999.2/7</f>
        <v>285.60000000000002</v>
      </c>
      <c r="H59" s="41">
        <f>2*135*9</f>
        <v>2430</v>
      </c>
      <c r="I59" s="41">
        <v>1</v>
      </c>
      <c r="J59" s="83">
        <f>G59*H59*I59</f>
        <v>694008</v>
      </c>
      <c r="K59" s="41"/>
      <c r="L59" s="41"/>
      <c r="M59" s="41">
        <f t="shared" si="1"/>
        <v>0</v>
      </c>
      <c r="N59" s="41"/>
      <c r="O59" s="41"/>
      <c r="P59" s="41">
        <f t="shared" si="2"/>
        <v>0</v>
      </c>
      <c r="Q59" s="41"/>
      <c r="R59" s="41"/>
      <c r="S59" s="41">
        <f t="shared" si="3"/>
        <v>0</v>
      </c>
      <c r="T59" s="41"/>
      <c r="U59" s="41"/>
      <c r="V59" s="41">
        <f t="shared" si="4"/>
        <v>0</v>
      </c>
      <c r="W59" s="41"/>
      <c r="X59" s="41"/>
      <c r="Y59" s="41">
        <f t="shared" si="5"/>
        <v>0</v>
      </c>
      <c r="Z59" s="41"/>
      <c r="AA59" s="41"/>
      <c r="AB59" s="41">
        <f t="shared" si="6"/>
        <v>0</v>
      </c>
      <c r="AC59" s="41">
        <v>2430</v>
      </c>
      <c r="AD59" s="41">
        <v>1</v>
      </c>
      <c r="AE59" s="41">
        <f t="shared" si="7"/>
        <v>1352425.257136801</v>
      </c>
      <c r="AF59" s="28">
        <f t="shared" si="8"/>
        <v>2046433.257136801</v>
      </c>
      <c r="AG59" s="28">
        <f t="shared" si="9"/>
        <v>2002.3808778246585</v>
      </c>
    </row>
    <row r="60" spans="1:33" ht="72" x14ac:dyDescent="0.3">
      <c r="A60" s="41" t="s">
        <v>696</v>
      </c>
      <c r="B60" s="41" t="s">
        <v>689</v>
      </c>
      <c r="C60" s="41" t="s">
        <v>644</v>
      </c>
      <c r="D60" s="41" t="s">
        <v>5</v>
      </c>
      <c r="E60" s="41" t="s">
        <v>1319</v>
      </c>
      <c r="F60" s="41" t="s">
        <v>712</v>
      </c>
      <c r="G60" s="83">
        <f>1999.2/7</f>
        <v>285.60000000000002</v>
      </c>
      <c r="H60" s="41">
        <f>25*2*9</f>
        <v>450</v>
      </c>
      <c r="I60" s="41">
        <v>1</v>
      </c>
      <c r="J60" s="83">
        <f>G60*H60*I60</f>
        <v>128520.00000000001</v>
      </c>
      <c r="K60" s="41"/>
      <c r="L60" s="41"/>
      <c r="M60" s="41">
        <f t="shared" si="1"/>
        <v>0</v>
      </c>
      <c r="N60" s="41"/>
      <c r="O60" s="41"/>
      <c r="P60" s="41">
        <f t="shared" si="2"/>
        <v>0</v>
      </c>
      <c r="Q60" s="41"/>
      <c r="R60" s="41"/>
      <c r="S60" s="41">
        <f t="shared" si="3"/>
        <v>0</v>
      </c>
      <c r="T60" s="41"/>
      <c r="U60" s="41"/>
      <c r="V60" s="41">
        <f t="shared" si="4"/>
        <v>0</v>
      </c>
      <c r="W60" s="41"/>
      <c r="X60" s="41"/>
      <c r="Y60" s="41">
        <f t="shared" si="5"/>
        <v>0</v>
      </c>
      <c r="Z60" s="41"/>
      <c r="AA60" s="41"/>
      <c r="AB60" s="41">
        <f t="shared" si="6"/>
        <v>0</v>
      </c>
      <c r="AC60" s="41">
        <v>450</v>
      </c>
      <c r="AD60" s="41">
        <v>1</v>
      </c>
      <c r="AE60" s="41">
        <f t="shared" si="7"/>
        <v>250449.12169200019</v>
      </c>
      <c r="AF60" s="28">
        <f t="shared" si="8"/>
        <v>378969.12169200019</v>
      </c>
      <c r="AG60" s="28">
        <f t="shared" si="9"/>
        <v>370.81127367123304</v>
      </c>
    </row>
    <row r="61" spans="1:33" ht="72" x14ac:dyDescent="0.3">
      <c r="A61" s="41" t="s">
        <v>696</v>
      </c>
      <c r="B61" s="41" t="s">
        <v>689</v>
      </c>
      <c r="C61" s="41" t="s">
        <v>644</v>
      </c>
      <c r="D61" s="41" t="s">
        <v>6</v>
      </c>
      <c r="E61" s="41" t="s">
        <v>201</v>
      </c>
      <c r="F61" s="41" t="s">
        <v>716</v>
      </c>
      <c r="G61" s="83">
        <v>39000</v>
      </c>
      <c r="H61" s="41">
        <v>25</v>
      </c>
      <c r="I61" s="41">
        <v>6</v>
      </c>
      <c r="J61" s="83">
        <f t="shared" si="0"/>
        <v>5850000</v>
      </c>
      <c r="K61" s="41">
        <v>0</v>
      </c>
      <c r="L61" s="41">
        <v>0</v>
      </c>
      <c r="M61" s="41">
        <f t="shared" si="1"/>
        <v>0</v>
      </c>
      <c r="N61" s="41">
        <v>0</v>
      </c>
      <c r="O61" s="41">
        <v>0</v>
      </c>
      <c r="P61" s="41">
        <f t="shared" si="2"/>
        <v>0</v>
      </c>
      <c r="Q61" s="41">
        <v>0</v>
      </c>
      <c r="R61" s="41">
        <v>0</v>
      </c>
      <c r="S61" s="41">
        <f t="shared" si="3"/>
        <v>0</v>
      </c>
      <c r="T61" s="41">
        <v>30</v>
      </c>
      <c r="U61" s="41">
        <v>5</v>
      </c>
      <c r="V61" s="41">
        <f t="shared" si="4"/>
        <v>8564985.0000000019</v>
      </c>
      <c r="W61" s="41">
        <v>0</v>
      </c>
      <c r="X61" s="41">
        <v>0</v>
      </c>
      <c r="Y61" s="41">
        <f t="shared" si="5"/>
        <v>0</v>
      </c>
      <c r="Z61" s="41">
        <v>0</v>
      </c>
      <c r="AA61" s="41">
        <v>0</v>
      </c>
      <c r="AB61" s="41">
        <f t="shared" si="6"/>
        <v>0</v>
      </c>
      <c r="AC61" s="41">
        <v>25</v>
      </c>
      <c r="AD61" s="41">
        <v>6</v>
      </c>
      <c r="AE61" s="41">
        <f t="shared" si="7"/>
        <v>11399995.035000006</v>
      </c>
      <c r="AF61" s="28">
        <f t="shared" si="8"/>
        <v>25814980.035000008</v>
      </c>
      <c r="AG61" s="28">
        <f t="shared" si="9"/>
        <v>25259.275963796485</v>
      </c>
    </row>
    <row r="62" spans="1:33" ht="72" x14ac:dyDescent="0.3">
      <c r="A62" s="41" t="s">
        <v>696</v>
      </c>
      <c r="B62" s="41" t="s">
        <v>689</v>
      </c>
      <c r="C62" s="41" t="s">
        <v>644</v>
      </c>
      <c r="D62" s="41" t="s">
        <v>6</v>
      </c>
      <c r="E62" s="41" t="s">
        <v>201</v>
      </c>
      <c r="F62" s="41" t="s">
        <v>1350</v>
      </c>
      <c r="G62" s="83">
        <f>1999.2/7</f>
        <v>285.60000000000002</v>
      </c>
      <c r="H62" s="41">
        <f>2*135*9</f>
        <v>2430</v>
      </c>
      <c r="I62" s="41">
        <v>1</v>
      </c>
      <c r="J62" s="83">
        <f t="shared" si="0"/>
        <v>694008</v>
      </c>
      <c r="K62" s="41"/>
      <c r="L62" s="41"/>
      <c r="M62" s="41">
        <f t="shared" si="1"/>
        <v>0</v>
      </c>
      <c r="N62" s="41"/>
      <c r="O62" s="41"/>
      <c r="P62" s="41">
        <f t="shared" si="2"/>
        <v>0</v>
      </c>
      <c r="Q62" s="41"/>
      <c r="R62" s="41"/>
      <c r="S62" s="41">
        <f t="shared" si="3"/>
        <v>0</v>
      </c>
      <c r="T62" s="41"/>
      <c r="U62" s="41"/>
      <c r="V62" s="41">
        <f t="shared" si="4"/>
        <v>0</v>
      </c>
      <c r="W62" s="41"/>
      <c r="X62" s="41"/>
      <c r="Y62" s="41">
        <f t="shared" si="5"/>
        <v>0</v>
      </c>
      <c r="Z62" s="41"/>
      <c r="AA62" s="41"/>
      <c r="AB62" s="41">
        <f t="shared" si="6"/>
        <v>0</v>
      </c>
      <c r="AC62" s="41">
        <v>2430</v>
      </c>
      <c r="AD62" s="41">
        <v>1</v>
      </c>
      <c r="AE62" s="41">
        <f t="shared" si="7"/>
        <v>1352425.257136801</v>
      </c>
      <c r="AF62" s="28">
        <f t="shared" si="8"/>
        <v>2046433.257136801</v>
      </c>
      <c r="AG62" s="28">
        <f t="shared" si="9"/>
        <v>2002.3808778246585</v>
      </c>
    </row>
    <row r="63" spans="1:33" ht="72" x14ac:dyDescent="0.3">
      <c r="A63" s="41" t="s">
        <v>696</v>
      </c>
      <c r="B63" s="41" t="s">
        <v>689</v>
      </c>
      <c r="C63" s="41" t="s">
        <v>644</v>
      </c>
      <c r="D63" s="41" t="s">
        <v>6</v>
      </c>
      <c r="E63" s="41" t="s">
        <v>201</v>
      </c>
      <c r="F63" s="41" t="s">
        <v>712</v>
      </c>
      <c r="G63" s="83">
        <f>1999.2/7</f>
        <v>285.60000000000002</v>
      </c>
      <c r="H63" s="41">
        <f>25*2*9</f>
        <v>450</v>
      </c>
      <c r="I63" s="41">
        <v>5</v>
      </c>
      <c r="J63" s="83">
        <f t="shared" si="0"/>
        <v>642600.00000000012</v>
      </c>
      <c r="K63" s="41">
        <v>0</v>
      </c>
      <c r="L63" s="41">
        <v>0</v>
      </c>
      <c r="M63" s="41">
        <f t="shared" si="1"/>
        <v>0</v>
      </c>
      <c r="N63" s="41">
        <v>0</v>
      </c>
      <c r="O63" s="41">
        <v>0</v>
      </c>
      <c r="P63" s="41">
        <f t="shared" si="2"/>
        <v>0</v>
      </c>
      <c r="Q63" s="41">
        <v>0</v>
      </c>
      <c r="R63" s="41">
        <v>0</v>
      </c>
      <c r="S63" s="41">
        <f t="shared" si="3"/>
        <v>0</v>
      </c>
      <c r="T63" s="41">
        <v>8000</v>
      </c>
      <c r="U63" s="41">
        <v>1</v>
      </c>
      <c r="V63" s="41">
        <f t="shared" si="4"/>
        <v>3345175.6800000011</v>
      </c>
      <c r="W63" s="41">
        <v>0</v>
      </c>
      <c r="X63" s="41">
        <v>0</v>
      </c>
      <c r="Y63" s="41">
        <f t="shared" si="5"/>
        <v>0</v>
      </c>
      <c r="Z63" s="41">
        <v>0</v>
      </c>
      <c r="AA63" s="41">
        <v>0</v>
      </c>
      <c r="AB63" s="41">
        <f t="shared" si="6"/>
        <v>0</v>
      </c>
      <c r="AC63" s="41">
        <v>450</v>
      </c>
      <c r="AD63" s="41">
        <v>5</v>
      </c>
      <c r="AE63" s="41">
        <f t="shared" si="7"/>
        <v>1252245.6084600009</v>
      </c>
      <c r="AF63" s="28">
        <f t="shared" si="8"/>
        <v>5240021.2884600023</v>
      </c>
      <c r="AG63" s="28">
        <f t="shared" si="9"/>
        <v>5127.222395753427</v>
      </c>
    </row>
    <row r="64" spans="1:33" ht="72" x14ac:dyDescent="0.3">
      <c r="A64" s="41" t="s">
        <v>696</v>
      </c>
      <c r="B64" s="41" t="s">
        <v>689</v>
      </c>
      <c r="C64" s="41" t="s">
        <v>644</v>
      </c>
      <c r="D64" s="41" t="s">
        <v>6</v>
      </c>
      <c r="E64" s="41" t="s">
        <v>201</v>
      </c>
      <c r="F64" s="41" t="s">
        <v>709</v>
      </c>
      <c r="G64" s="83">
        <v>35000</v>
      </c>
      <c r="H64" s="41">
        <v>25</v>
      </c>
      <c r="I64" s="41">
        <v>5</v>
      </c>
      <c r="J64" s="83">
        <f t="shared" si="0"/>
        <v>4375000</v>
      </c>
      <c r="K64" s="41">
        <v>0</v>
      </c>
      <c r="L64" s="41">
        <v>0</v>
      </c>
      <c r="M64" s="41">
        <f t="shared" si="1"/>
        <v>0</v>
      </c>
      <c r="N64" s="41">
        <v>0</v>
      </c>
      <c r="O64" s="41">
        <v>0</v>
      </c>
      <c r="P64" s="41">
        <f t="shared" si="2"/>
        <v>0</v>
      </c>
      <c r="Q64" s="41">
        <v>0</v>
      </c>
      <c r="R64" s="41">
        <v>0</v>
      </c>
      <c r="S64" s="41">
        <f t="shared" si="3"/>
        <v>0</v>
      </c>
      <c r="T64" s="41">
        <v>30</v>
      </c>
      <c r="U64" s="41">
        <v>5</v>
      </c>
      <c r="V64" s="41">
        <f t="shared" si="4"/>
        <v>7686525.0000000019</v>
      </c>
      <c r="W64" s="41">
        <v>0</v>
      </c>
      <c r="X64" s="41">
        <v>0</v>
      </c>
      <c r="Y64" s="41">
        <f t="shared" si="5"/>
        <v>0</v>
      </c>
      <c r="Z64" s="41">
        <v>0</v>
      </c>
      <c r="AA64" s="41">
        <v>0</v>
      </c>
      <c r="AB64" s="41">
        <f t="shared" si="6"/>
        <v>0</v>
      </c>
      <c r="AC64" s="41">
        <v>25</v>
      </c>
      <c r="AD64" s="41">
        <v>5</v>
      </c>
      <c r="AE64" s="41">
        <f t="shared" si="7"/>
        <v>8525637.3125000037</v>
      </c>
      <c r="AF64" s="28">
        <f t="shared" si="8"/>
        <v>20587162.312500007</v>
      </c>
      <c r="AG64" s="28">
        <f t="shared" si="9"/>
        <v>20143.994434931516</v>
      </c>
    </row>
    <row r="65" spans="1:33" ht="72" x14ac:dyDescent="0.3">
      <c r="A65" s="41" t="s">
        <v>696</v>
      </c>
      <c r="B65" s="41" t="s">
        <v>689</v>
      </c>
      <c r="C65" s="41" t="s">
        <v>644</v>
      </c>
      <c r="D65" s="41" t="s">
        <v>6</v>
      </c>
      <c r="E65" s="41" t="s">
        <v>202</v>
      </c>
      <c r="F65" s="41" t="s">
        <v>716</v>
      </c>
      <c r="G65" s="83">
        <v>39000</v>
      </c>
      <c r="H65" s="41">
        <v>25</v>
      </c>
      <c r="I65" s="41">
        <v>6</v>
      </c>
      <c r="J65" s="83">
        <f t="shared" si="0"/>
        <v>5850000</v>
      </c>
      <c r="K65" s="41">
        <v>0</v>
      </c>
      <c r="L65" s="41">
        <v>0</v>
      </c>
      <c r="M65" s="41">
        <f t="shared" si="1"/>
        <v>0</v>
      </c>
      <c r="N65" s="41">
        <v>0</v>
      </c>
      <c r="O65" s="41">
        <v>0</v>
      </c>
      <c r="P65" s="41">
        <f t="shared" si="2"/>
        <v>0</v>
      </c>
      <c r="Q65" s="41">
        <v>0</v>
      </c>
      <c r="R65" s="41">
        <v>0</v>
      </c>
      <c r="S65" s="41">
        <f t="shared" si="3"/>
        <v>0</v>
      </c>
      <c r="T65" s="41">
        <v>30</v>
      </c>
      <c r="U65" s="41">
        <v>5</v>
      </c>
      <c r="V65" s="41">
        <f t="shared" si="4"/>
        <v>8564985.0000000019</v>
      </c>
      <c r="W65" s="41">
        <v>0</v>
      </c>
      <c r="X65" s="41">
        <v>0</v>
      </c>
      <c r="Y65" s="41">
        <f t="shared" si="5"/>
        <v>0</v>
      </c>
      <c r="Z65" s="41">
        <v>0</v>
      </c>
      <c r="AA65" s="41">
        <v>0</v>
      </c>
      <c r="AB65" s="41">
        <f t="shared" si="6"/>
        <v>0</v>
      </c>
      <c r="AC65" s="41">
        <v>25</v>
      </c>
      <c r="AD65" s="41">
        <v>6</v>
      </c>
      <c r="AE65" s="41">
        <f t="shared" si="7"/>
        <v>11399995.035000006</v>
      </c>
      <c r="AF65" s="28">
        <f t="shared" si="8"/>
        <v>25814980.035000008</v>
      </c>
      <c r="AG65" s="28">
        <f t="shared" si="9"/>
        <v>25259.275963796485</v>
      </c>
    </row>
    <row r="66" spans="1:33" ht="72" x14ac:dyDescent="0.3">
      <c r="A66" s="41" t="s">
        <v>696</v>
      </c>
      <c r="B66" s="41" t="s">
        <v>689</v>
      </c>
      <c r="C66" s="41" t="s">
        <v>644</v>
      </c>
      <c r="D66" s="41" t="s">
        <v>6</v>
      </c>
      <c r="E66" s="41" t="s">
        <v>202</v>
      </c>
      <c r="F66" s="41" t="s">
        <v>712</v>
      </c>
      <c r="G66" s="83">
        <f>1999.2/7</f>
        <v>285.60000000000002</v>
      </c>
      <c r="H66" s="41">
        <f>25*2*9</f>
        <v>450</v>
      </c>
      <c r="I66" s="41">
        <v>1</v>
      </c>
      <c r="J66" s="83">
        <f t="shared" si="0"/>
        <v>128520.00000000001</v>
      </c>
      <c r="K66" s="41">
        <v>0</v>
      </c>
      <c r="L66" s="41">
        <v>0</v>
      </c>
      <c r="M66" s="41">
        <f t="shared" si="1"/>
        <v>0</v>
      </c>
      <c r="N66" s="41">
        <v>0</v>
      </c>
      <c r="O66" s="41">
        <v>0</v>
      </c>
      <c r="P66" s="41">
        <f t="shared" si="2"/>
        <v>0</v>
      </c>
      <c r="Q66" s="41">
        <v>0</v>
      </c>
      <c r="R66" s="41">
        <v>0</v>
      </c>
      <c r="S66" s="41">
        <f t="shared" si="3"/>
        <v>0</v>
      </c>
      <c r="T66" s="41">
        <v>8000</v>
      </c>
      <c r="U66" s="41">
        <v>1</v>
      </c>
      <c r="V66" s="41">
        <f t="shared" si="4"/>
        <v>3345175.6800000011</v>
      </c>
      <c r="W66" s="41">
        <v>0</v>
      </c>
      <c r="X66" s="41">
        <v>0</v>
      </c>
      <c r="Y66" s="41">
        <f t="shared" si="5"/>
        <v>0</v>
      </c>
      <c r="Z66" s="41">
        <v>0</v>
      </c>
      <c r="AA66" s="41">
        <v>0</v>
      </c>
      <c r="AB66" s="41">
        <f t="shared" si="6"/>
        <v>0</v>
      </c>
      <c r="AC66" s="41">
        <v>450</v>
      </c>
      <c r="AD66" s="41">
        <v>1</v>
      </c>
      <c r="AE66" s="41">
        <f t="shared" si="7"/>
        <v>250449.12169200019</v>
      </c>
      <c r="AF66" s="28">
        <f t="shared" si="8"/>
        <v>3724144.8016920015</v>
      </c>
      <c r="AG66" s="28">
        <f t="shared" si="9"/>
        <v>3643.9773010684949</v>
      </c>
    </row>
    <row r="67" spans="1:33" ht="72" x14ac:dyDescent="0.3">
      <c r="A67" s="41" t="s">
        <v>696</v>
      </c>
      <c r="B67" s="41" t="s">
        <v>689</v>
      </c>
      <c r="C67" s="41" t="s">
        <v>644</v>
      </c>
      <c r="D67" s="41" t="s">
        <v>6</v>
      </c>
      <c r="E67" s="41" t="s">
        <v>202</v>
      </c>
      <c r="F67" s="41" t="s">
        <v>709</v>
      </c>
      <c r="G67" s="83">
        <v>35000</v>
      </c>
      <c r="H67" s="41">
        <v>25</v>
      </c>
      <c r="I67" s="41">
        <v>5</v>
      </c>
      <c r="J67" s="83">
        <f t="shared" si="0"/>
        <v>4375000</v>
      </c>
      <c r="K67" s="41">
        <v>0</v>
      </c>
      <c r="L67" s="41">
        <v>0</v>
      </c>
      <c r="M67" s="41">
        <f t="shared" ref="M67:M130" si="10">($G67*1.1^1)*K67*L67</f>
        <v>0</v>
      </c>
      <c r="N67" s="41">
        <v>0</v>
      </c>
      <c r="O67" s="41">
        <v>0</v>
      </c>
      <c r="P67" s="41">
        <f t="shared" ref="P67:P130" si="11">($G67*1.1^2)*N67*O67</f>
        <v>0</v>
      </c>
      <c r="Q67" s="41">
        <v>0</v>
      </c>
      <c r="R67" s="41">
        <v>0</v>
      </c>
      <c r="S67" s="41">
        <f t="shared" ref="S67:S130" si="12">($G67*1.1^3)*Q67*R67</f>
        <v>0</v>
      </c>
      <c r="T67" s="41">
        <v>30</v>
      </c>
      <c r="U67" s="41">
        <v>5</v>
      </c>
      <c r="V67" s="41">
        <f t="shared" ref="V67:V130" si="13">($G67*1.1^4)*T67*U67</f>
        <v>7686525.0000000019</v>
      </c>
      <c r="W67" s="41">
        <v>0</v>
      </c>
      <c r="X67" s="41">
        <v>0</v>
      </c>
      <c r="Y67" s="41">
        <f t="shared" ref="Y67:Y130" si="14">($G67*1.1^5)*W67*X67</f>
        <v>0</v>
      </c>
      <c r="Z67" s="41">
        <v>0</v>
      </c>
      <c r="AA67" s="41">
        <v>0</v>
      </c>
      <c r="AB67" s="41">
        <f t="shared" ref="AB67:AB130" si="15">($G67*1.1^6)*Z67*AA67</f>
        <v>0</v>
      </c>
      <c r="AC67" s="41">
        <v>25</v>
      </c>
      <c r="AD67" s="41">
        <v>5</v>
      </c>
      <c r="AE67" s="41">
        <f t="shared" ref="AE67:AE130" si="16">($G67*1.1^7)*AC67*AD67</f>
        <v>8525637.3125000037</v>
      </c>
      <c r="AF67" s="28">
        <f t="shared" ref="AF67:AF130" si="17">J67+M67+P67+S67+V67+Y67+AB67+AE67</f>
        <v>20587162.312500007</v>
      </c>
      <c r="AG67" s="28">
        <f t="shared" ref="AG67:AG130" si="18">AF67/$AL$2</f>
        <v>20143.994434931516</v>
      </c>
    </row>
    <row r="68" spans="1:33" ht="72" x14ac:dyDescent="0.3">
      <c r="A68" s="41" t="s">
        <v>696</v>
      </c>
      <c r="B68" s="41" t="s">
        <v>689</v>
      </c>
      <c r="C68" s="41" t="s">
        <v>644</v>
      </c>
      <c r="D68" s="41" t="s">
        <v>6</v>
      </c>
      <c r="E68" s="41" t="s">
        <v>203</v>
      </c>
      <c r="F68" s="41" t="s">
        <v>716</v>
      </c>
      <c r="G68" s="83">
        <v>39000</v>
      </c>
      <c r="H68" s="41">
        <v>25</v>
      </c>
      <c r="I68" s="41">
        <v>6</v>
      </c>
      <c r="J68" s="83">
        <f t="shared" si="0"/>
        <v>5850000</v>
      </c>
      <c r="K68" s="41">
        <v>0</v>
      </c>
      <c r="L68" s="41">
        <v>0</v>
      </c>
      <c r="M68" s="41">
        <f t="shared" si="10"/>
        <v>0</v>
      </c>
      <c r="N68" s="41">
        <v>0</v>
      </c>
      <c r="O68" s="41">
        <v>0</v>
      </c>
      <c r="P68" s="41">
        <f t="shared" si="11"/>
        <v>0</v>
      </c>
      <c r="Q68" s="41">
        <v>0</v>
      </c>
      <c r="R68" s="41">
        <v>0</v>
      </c>
      <c r="S68" s="41">
        <f t="shared" si="12"/>
        <v>0</v>
      </c>
      <c r="T68" s="41">
        <v>20</v>
      </c>
      <c r="U68" s="41">
        <v>5</v>
      </c>
      <c r="V68" s="41">
        <f t="shared" si="13"/>
        <v>5709990.0000000009</v>
      </c>
      <c r="W68" s="41">
        <v>0</v>
      </c>
      <c r="X68" s="41">
        <v>0</v>
      </c>
      <c r="Y68" s="41">
        <f t="shared" si="14"/>
        <v>0</v>
      </c>
      <c r="Z68" s="41">
        <v>0</v>
      </c>
      <c r="AA68" s="41">
        <v>0</v>
      </c>
      <c r="AB68" s="41">
        <f t="shared" si="15"/>
        <v>0</v>
      </c>
      <c r="AC68" s="41">
        <v>25</v>
      </c>
      <c r="AD68" s="41">
        <v>6</v>
      </c>
      <c r="AE68" s="41">
        <f t="shared" si="16"/>
        <v>11399995.035000006</v>
      </c>
      <c r="AF68" s="28">
        <f t="shared" si="17"/>
        <v>22959985.035000004</v>
      </c>
      <c r="AG68" s="28">
        <f t="shared" si="18"/>
        <v>22465.738781800395</v>
      </c>
    </row>
    <row r="69" spans="1:33" ht="72" x14ac:dyDescent="0.3">
      <c r="A69" s="41" t="s">
        <v>696</v>
      </c>
      <c r="B69" s="41" t="s">
        <v>689</v>
      </c>
      <c r="C69" s="41" t="s">
        <v>644</v>
      </c>
      <c r="D69" s="41" t="s">
        <v>6</v>
      </c>
      <c r="E69" s="41" t="s">
        <v>203</v>
      </c>
      <c r="F69" s="41" t="s">
        <v>712</v>
      </c>
      <c r="G69" s="83">
        <f>1999.2/7</f>
        <v>285.60000000000002</v>
      </c>
      <c r="H69" s="41">
        <f>25*2*9</f>
        <v>450</v>
      </c>
      <c r="I69" s="41">
        <v>5</v>
      </c>
      <c r="J69" s="83">
        <f t="shared" si="0"/>
        <v>642600.00000000012</v>
      </c>
      <c r="K69" s="41">
        <v>0</v>
      </c>
      <c r="L69" s="41">
        <v>0</v>
      </c>
      <c r="M69" s="41">
        <f t="shared" si="10"/>
        <v>0</v>
      </c>
      <c r="N69" s="41">
        <v>0</v>
      </c>
      <c r="O69" s="41">
        <v>0</v>
      </c>
      <c r="P69" s="41">
        <f t="shared" si="11"/>
        <v>0</v>
      </c>
      <c r="Q69" s="41">
        <v>0</v>
      </c>
      <c r="R69" s="41">
        <v>0</v>
      </c>
      <c r="S69" s="41">
        <f t="shared" si="12"/>
        <v>0</v>
      </c>
      <c r="T69" s="41">
        <v>8000</v>
      </c>
      <c r="U69" s="41">
        <v>1</v>
      </c>
      <c r="V69" s="41">
        <f t="shared" si="13"/>
        <v>3345175.6800000011</v>
      </c>
      <c r="W69" s="41">
        <v>0</v>
      </c>
      <c r="X69" s="41">
        <v>0</v>
      </c>
      <c r="Y69" s="41">
        <f t="shared" si="14"/>
        <v>0</v>
      </c>
      <c r="Z69" s="41">
        <v>0</v>
      </c>
      <c r="AA69" s="41">
        <v>0</v>
      </c>
      <c r="AB69" s="41">
        <f t="shared" si="15"/>
        <v>0</v>
      </c>
      <c r="AC69" s="41">
        <v>450</v>
      </c>
      <c r="AD69" s="41">
        <v>5</v>
      </c>
      <c r="AE69" s="41">
        <f t="shared" si="16"/>
        <v>1252245.6084600009</v>
      </c>
      <c r="AF69" s="28">
        <f t="shared" si="17"/>
        <v>5240021.2884600023</v>
      </c>
      <c r="AG69" s="28">
        <f t="shared" si="18"/>
        <v>5127.222395753427</v>
      </c>
    </row>
    <row r="70" spans="1:33" ht="72" x14ac:dyDescent="0.3">
      <c r="A70" s="41" t="s">
        <v>696</v>
      </c>
      <c r="B70" s="41" t="s">
        <v>689</v>
      </c>
      <c r="C70" s="41" t="s">
        <v>644</v>
      </c>
      <c r="D70" s="41" t="s">
        <v>6</v>
      </c>
      <c r="E70" s="41" t="s">
        <v>203</v>
      </c>
      <c r="F70" s="41" t="s">
        <v>1350</v>
      </c>
      <c r="G70" s="83">
        <f>1999.2/7</f>
        <v>285.60000000000002</v>
      </c>
      <c r="H70" s="41">
        <f>2*135*9</f>
        <v>2430</v>
      </c>
      <c r="I70" s="41">
        <v>1</v>
      </c>
      <c r="J70" s="83">
        <f t="shared" si="0"/>
        <v>694008</v>
      </c>
      <c r="K70" s="41"/>
      <c r="L70" s="41"/>
      <c r="M70" s="41">
        <f t="shared" si="10"/>
        <v>0</v>
      </c>
      <c r="N70" s="41"/>
      <c r="O70" s="41"/>
      <c r="P70" s="41">
        <f t="shared" si="11"/>
        <v>0</v>
      </c>
      <c r="Q70" s="41"/>
      <c r="R70" s="41"/>
      <c r="S70" s="41">
        <f t="shared" si="12"/>
        <v>0</v>
      </c>
      <c r="T70" s="41"/>
      <c r="U70" s="41"/>
      <c r="V70" s="41">
        <f t="shared" si="13"/>
        <v>0</v>
      </c>
      <c r="W70" s="41"/>
      <c r="X70" s="41"/>
      <c r="Y70" s="41">
        <f t="shared" si="14"/>
        <v>0</v>
      </c>
      <c r="Z70" s="41"/>
      <c r="AA70" s="41"/>
      <c r="AB70" s="41">
        <f t="shared" si="15"/>
        <v>0</v>
      </c>
      <c r="AC70" s="41">
        <v>2430</v>
      </c>
      <c r="AD70" s="41">
        <v>1</v>
      </c>
      <c r="AE70" s="41">
        <f t="shared" si="16"/>
        <v>1352425.257136801</v>
      </c>
      <c r="AF70" s="28">
        <f t="shared" si="17"/>
        <v>2046433.257136801</v>
      </c>
      <c r="AG70" s="28">
        <f t="shared" si="18"/>
        <v>2002.3808778246585</v>
      </c>
    </row>
    <row r="71" spans="1:33" ht="72" x14ac:dyDescent="0.3">
      <c r="A71" s="41" t="s">
        <v>696</v>
      </c>
      <c r="B71" s="41" t="s">
        <v>689</v>
      </c>
      <c r="C71" s="41" t="s">
        <v>644</v>
      </c>
      <c r="D71" s="41" t="s">
        <v>6</v>
      </c>
      <c r="E71" s="41" t="s">
        <v>203</v>
      </c>
      <c r="F71" s="41" t="s">
        <v>709</v>
      </c>
      <c r="G71" s="83">
        <v>35000</v>
      </c>
      <c r="H71" s="41">
        <v>25</v>
      </c>
      <c r="I71" s="41">
        <v>5</v>
      </c>
      <c r="J71" s="83">
        <f t="shared" si="0"/>
        <v>4375000</v>
      </c>
      <c r="K71" s="41">
        <v>0</v>
      </c>
      <c r="L71" s="41">
        <v>0</v>
      </c>
      <c r="M71" s="41">
        <f t="shared" si="10"/>
        <v>0</v>
      </c>
      <c r="N71" s="41">
        <v>0</v>
      </c>
      <c r="O71" s="41">
        <v>0</v>
      </c>
      <c r="P71" s="41">
        <f t="shared" si="11"/>
        <v>0</v>
      </c>
      <c r="Q71" s="41">
        <v>0</v>
      </c>
      <c r="R71" s="41">
        <v>0</v>
      </c>
      <c r="S71" s="41">
        <f t="shared" si="12"/>
        <v>0</v>
      </c>
      <c r="T71" s="41">
        <v>40</v>
      </c>
      <c r="U71" s="41">
        <v>1</v>
      </c>
      <c r="V71" s="41">
        <f t="shared" si="13"/>
        <v>2049740.0000000005</v>
      </c>
      <c r="W71" s="41">
        <v>0</v>
      </c>
      <c r="X71" s="41">
        <v>0</v>
      </c>
      <c r="Y71" s="41">
        <f t="shared" si="14"/>
        <v>0</v>
      </c>
      <c r="Z71" s="41">
        <v>0</v>
      </c>
      <c r="AA71" s="41">
        <v>0</v>
      </c>
      <c r="AB71" s="41">
        <f t="shared" si="15"/>
        <v>0</v>
      </c>
      <c r="AC71" s="41">
        <v>25</v>
      </c>
      <c r="AD71" s="41">
        <v>5</v>
      </c>
      <c r="AE71" s="41">
        <f t="shared" si="16"/>
        <v>8525637.3125000037</v>
      </c>
      <c r="AF71" s="28">
        <f t="shared" si="17"/>
        <v>14950377.312500004</v>
      </c>
      <c r="AG71" s="28">
        <f t="shared" si="18"/>
        <v>14628.549229452059</v>
      </c>
    </row>
    <row r="72" spans="1:33" ht="72" x14ac:dyDescent="0.3">
      <c r="A72" s="41" t="s">
        <v>696</v>
      </c>
      <c r="B72" s="41" t="s">
        <v>689</v>
      </c>
      <c r="C72" s="41" t="s">
        <v>644</v>
      </c>
      <c r="D72" s="41" t="s">
        <v>6</v>
      </c>
      <c r="E72" s="41" t="s">
        <v>204</v>
      </c>
      <c r="F72" s="41" t="s">
        <v>709</v>
      </c>
      <c r="G72" s="83">
        <v>35000</v>
      </c>
      <c r="H72" s="41">
        <v>30</v>
      </c>
      <c r="I72" s="41">
        <v>1</v>
      </c>
      <c r="J72" s="83">
        <f t="shared" si="0"/>
        <v>1050000</v>
      </c>
      <c r="K72" s="41">
        <v>0</v>
      </c>
      <c r="L72" s="41">
        <v>0</v>
      </c>
      <c r="M72" s="41">
        <f t="shared" si="10"/>
        <v>0</v>
      </c>
      <c r="N72" s="41">
        <v>0</v>
      </c>
      <c r="O72" s="41">
        <v>0</v>
      </c>
      <c r="P72" s="41">
        <f t="shared" si="11"/>
        <v>0</v>
      </c>
      <c r="Q72" s="41">
        <v>0</v>
      </c>
      <c r="R72" s="41">
        <v>0</v>
      </c>
      <c r="S72" s="41">
        <f t="shared" si="12"/>
        <v>0</v>
      </c>
      <c r="T72" s="41">
        <v>30</v>
      </c>
      <c r="U72" s="41">
        <v>1</v>
      </c>
      <c r="V72" s="41">
        <f t="shared" si="13"/>
        <v>1537305.0000000005</v>
      </c>
      <c r="W72" s="41">
        <v>0</v>
      </c>
      <c r="X72" s="41">
        <v>0</v>
      </c>
      <c r="Y72" s="41">
        <f t="shared" si="14"/>
        <v>0</v>
      </c>
      <c r="Z72" s="41">
        <v>0</v>
      </c>
      <c r="AA72" s="41">
        <v>0</v>
      </c>
      <c r="AB72" s="41">
        <f t="shared" si="15"/>
        <v>0</v>
      </c>
      <c r="AC72" s="41">
        <v>30</v>
      </c>
      <c r="AD72" s="41">
        <v>1</v>
      </c>
      <c r="AE72" s="41">
        <f t="shared" si="16"/>
        <v>2046152.955000001</v>
      </c>
      <c r="AF72" s="28">
        <f t="shared" si="17"/>
        <v>4633457.9550000019</v>
      </c>
      <c r="AG72" s="28">
        <f t="shared" si="18"/>
        <v>4533.7161986301389</v>
      </c>
    </row>
    <row r="73" spans="1:33" ht="72" x14ac:dyDescent="0.3">
      <c r="A73" s="41" t="s">
        <v>696</v>
      </c>
      <c r="B73" s="41" t="s">
        <v>689</v>
      </c>
      <c r="C73" s="41" t="s">
        <v>644</v>
      </c>
      <c r="D73" s="41" t="s">
        <v>6</v>
      </c>
      <c r="E73" s="41" t="s">
        <v>205</v>
      </c>
      <c r="F73" s="41" t="s">
        <v>709</v>
      </c>
      <c r="G73" s="83">
        <v>35000</v>
      </c>
      <c r="H73" s="41">
        <v>30</v>
      </c>
      <c r="I73" s="41">
        <v>1</v>
      </c>
      <c r="J73" s="83">
        <f t="shared" si="0"/>
        <v>1050000</v>
      </c>
      <c r="K73" s="41">
        <v>0</v>
      </c>
      <c r="L73" s="41">
        <v>0</v>
      </c>
      <c r="M73" s="41">
        <f t="shared" si="10"/>
        <v>0</v>
      </c>
      <c r="N73" s="41">
        <v>0</v>
      </c>
      <c r="O73" s="41">
        <v>0</v>
      </c>
      <c r="P73" s="41">
        <f t="shared" si="11"/>
        <v>0</v>
      </c>
      <c r="Q73" s="41">
        <v>0</v>
      </c>
      <c r="R73" s="41">
        <v>0</v>
      </c>
      <c r="S73" s="41">
        <f t="shared" si="12"/>
        <v>0</v>
      </c>
      <c r="T73" s="41">
        <v>15</v>
      </c>
      <c r="U73" s="41">
        <v>1</v>
      </c>
      <c r="V73" s="41">
        <f t="shared" si="13"/>
        <v>768652.50000000023</v>
      </c>
      <c r="W73" s="41">
        <v>0</v>
      </c>
      <c r="X73" s="41">
        <v>0</v>
      </c>
      <c r="Y73" s="41">
        <f t="shared" si="14"/>
        <v>0</v>
      </c>
      <c r="Z73" s="41">
        <v>0</v>
      </c>
      <c r="AA73" s="41">
        <v>0</v>
      </c>
      <c r="AB73" s="41">
        <f t="shared" si="15"/>
        <v>0</v>
      </c>
      <c r="AC73" s="41">
        <v>30</v>
      </c>
      <c r="AD73" s="41">
        <v>1</v>
      </c>
      <c r="AE73" s="41">
        <f t="shared" si="16"/>
        <v>2046152.955000001</v>
      </c>
      <c r="AF73" s="28">
        <f t="shared" si="17"/>
        <v>3864805.455000001</v>
      </c>
      <c r="AG73" s="28">
        <f t="shared" si="18"/>
        <v>3781.6100342465761</v>
      </c>
    </row>
    <row r="74" spans="1:33" ht="72" x14ac:dyDescent="0.3">
      <c r="A74" s="41" t="s">
        <v>696</v>
      </c>
      <c r="B74" s="41" t="s">
        <v>689</v>
      </c>
      <c r="C74" s="41" t="s">
        <v>644</v>
      </c>
      <c r="D74" s="41" t="s">
        <v>6</v>
      </c>
      <c r="E74" s="41" t="s">
        <v>206</v>
      </c>
      <c r="F74" s="41" t="s">
        <v>1297</v>
      </c>
      <c r="G74" s="83">
        <v>8000</v>
      </c>
      <c r="H74" s="41">
        <v>2</v>
      </c>
      <c r="I74" s="41">
        <v>1</v>
      </c>
      <c r="J74" s="83">
        <f t="shared" si="0"/>
        <v>16000</v>
      </c>
      <c r="K74" s="41">
        <v>0</v>
      </c>
      <c r="L74" s="41">
        <v>0</v>
      </c>
      <c r="M74" s="41">
        <f t="shared" si="10"/>
        <v>0</v>
      </c>
      <c r="N74" s="41">
        <v>0</v>
      </c>
      <c r="O74" s="41">
        <v>0</v>
      </c>
      <c r="P74" s="41">
        <f t="shared" si="11"/>
        <v>0</v>
      </c>
      <c r="Q74" s="41">
        <v>0</v>
      </c>
      <c r="R74" s="41">
        <v>0</v>
      </c>
      <c r="S74" s="41">
        <f t="shared" si="12"/>
        <v>0</v>
      </c>
      <c r="T74" s="41">
        <v>50000</v>
      </c>
      <c r="U74" s="41">
        <v>1</v>
      </c>
      <c r="V74" s="41">
        <f t="shared" si="13"/>
        <v>585640000.00000012</v>
      </c>
      <c r="W74" s="41">
        <v>0</v>
      </c>
      <c r="X74" s="41">
        <v>0</v>
      </c>
      <c r="Y74" s="41">
        <f t="shared" si="14"/>
        <v>0</v>
      </c>
      <c r="Z74" s="41">
        <v>0</v>
      </c>
      <c r="AA74" s="41">
        <v>0</v>
      </c>
      <c r="AB74" s="41">
        <f t="shared" si="15"/>
        <v>0</v>
      </c>
      <c r="AC74" s="41">
        <v>2</v>
      </c>
      <c r="AD74" s="41">
        <v>1</v>
      </c>
      <c r="AE74" s="41">
        <f t="shared" si="16"/>
        <v>31179.473600000019</v>
      </c>
      <c r="AF74" s="28">
        <f t="shared" si="17"/>
        <v>585687179.47360015</v>
      </c>
      <c r="AG74" s="28">
        <f t="shared" si="18"/>
        <v>573079.43197025452</v>
      </c>
    </row>
    <row r="75" spans="1:33" ht="72" x14ac:dyDescent="0.3">
      <c r="A75" s="41" t="s">
        <v>696</v>
      </c>
      <c r="B75" s="41" t="s">
        <v>689</v>
      </c>
      <c r="C75" s="41" t="s">
        <v>644</v>
      </c>
      <c r="D75" s="41" t="s">
        <v>6</v>
      </c>
      <c r="E75" s="41" t="s">
        <v>206</v>
      </c>
      <c r="F75" s="41" t="s">
        <v>710</v>
      </c>
      <c r="G75" s="83">
        <v>104850</v>
      </c>
      <c r="H75" s="41">
        <v>1</v>
      </c>
      <c r="I75" s="41">
        <v>1</v>
      </c>
      <c r="J75" s="83">
        <f t="shared" si="0"/>
        <v>104850</v>
      </c>
      <c r="K75" s="41">
        <v>0</v>
      </c>
      <c r="L75" s="41">
        <v>0</v>
      </c>
      <c r="M75" s="41">
        <f t="shared" si="10"/>
        <v>0</v>
      </c>
      <c r="N75" s="41">
        <v>0</v>
      </c>
      <c r="O75" s="41">
        <v>0</v>
      </c>
      <c r="P75" s="41">
        <f t="shared" si="11"/>
        <v>0</v>
      </c>
      <c r="Q75" s="41">
        <v>0</v>
      </c>
      <c r="R75" s="41">
        <v>0</v>
      </c>
      <c r="S75" s="41">
        <f t="shared" si="12"/>
        <v>0</v>
      </c>
      <c r="T75" s="41">
        <v>5</v>
      </c>
      <c r="U75" s="41">
        <v>1</v>
      </c>
      <c r="V75" s="41">
        <f t="shared" si="13"/>
        <v>767554.42500000016</v>
      </c>
      <c r="W75" s="41">
        <v>0</v>
      </c>
      <c r="X75" s="41">
        <v>0</v>
      </c>
      <c r="Y75" s="41">
        <f t="shared" si="14"/>
        <v>0</v>
      </c>
      <c r="Z75" s="41">
        <v>0</v>
      </c>
      <c r="AA75" s="41">
        <v>0</v>
      </c>
      <c r="AB75" s="41">
        <f t="shared" si="15"/>
        <v>0</v>
      </c>
      <c r="AC75" s="41">
        <v>1</v>
      </c>
      <c r="AD75" s="41">
        <v>1</v>
      </c>
      <c r="AE75" s="41">
        <f t="shared" si="16"/>
        <v>204322.98793500013</v>
      </c>
      <c r="AF75" s="28">
        <f t="shared" si="17"/>
        <v>1076727.4129350004</v>
      </c>
      <c r="AG75" s="28">
        <f t="shared" si="18"/>
        <v>1053.5493277250494</v>
      </c>
    </row>
    <row r="76" spans="1:33" ht="72" x14ac:dyDescent="0.3">
      <c r="A76" s="41" t="s">
        <v>696</v>
      </c>
      <c r="B76" s="41" t="s">
        <v>689</v>
      </c>
      <c r="C76" s="41" t="s">
        <v>644</v>
      </c>
      <c r="D76" s="41" t="s">
        <v>6</v>
      </c>
      <c r="E76" s="41" t="s">
        <v>207</v>
      </c>
      <c r="F76" s="41" t="s">
        <v>1297</v>
      </c>
      <c r="G76" s="83">
        <v>8000</v>
      </c>
      <c r="H76" s="41">
        <v>10</v>
      </c>
      <c r="I76" s="41">
        <v>1</v>
      </c>
      <c r="J76" s="83">
        <f t="shared" si="0"/>
        <v>80000</v>
      </c>
      <c r="K76" s="41">
        <v>0</v>
      </c>
      <c r="L76" s="41">
        <v>0</v>
      </c>
      <c r="M76" s="41">
        <f t="shared" si="10"/>
        <v>0</v>
      </c>
      <c r="N76" s="41">
        <v>0</v>
      </c>
      <c r="O76" s="41">
        <v>0</v>
      </c>
      <c r="P76" s="41">
        <f t="shared" si="11"/>
        <v>0</v>
      </c>
      <c r="Q76" s="41">
        <v>0</v>
      </c>
      <c r="R76" s="41">
        <v>0</v>
      </c>
      <c r="S76" s="41">
        <f t="shared" si="12"/>
        <v>0</v>
      </c>
      <c r="T76" s="41">
        <v>20000</v>
      </c>
      <c r="U76" s="41">
        <v>1</v>
      </c>
      <c r="V76" s="41">
        <f t="shared" si="13"/>
        <v>234256000.00000006</v>
      </c>
      <c r="W76" s="41">
        <v>0</v>
      </c>
      <c r="X76" s="41">
        <v>0</v>
      </c>
      <c r="Y76" s="41">
        <f t="shared" si="14"/>
        <v>0</v>
      </c>
      <c r="Z76" s="41">
        <v>0</v>
      </c>
      <c r="AA76" s="41">
        <v>0</v>
      </c>
      <c r="AB76" s="41">
        <f t="shared" si="15"/>
        <v>0</v>
      </c>
      <c r="AC76" s="41">
        <v>10</v>
      </c>
      <c r="AD76" s="41">
        <v>1</v>
      </c>
      <c r="AE76" s="41">
        <f t="shared" si="16"/>
        <v>155897.3680000001</v>
      </c>
      <c r="AF76" s="28">
        <f t="shared" si="17"/>
        <v>234491897.36800006</v>
      </c>
      <c r="AG76" s="28">
        <f t="shared" si="18"/>
        <v>229444.12658317032</v>
      </c>
    </row>
    <row r="77" spans="1:33" ht="72" x14ac:dyDescent="0.3">
      <c r="A77" s="41" t="s">
        <v>696</v>
      </c>
      <c r="B77" s="41" t="s">
        <v>689</v>
      </c>
      <c r="C77" s="41" t="s">
        <v>644</v>
      </c>
      <c r="D77" s="41" t="s">
        <v>6</v>
      </c>
      <c r="E77" s="41" t="s">
        <v>207</v>
      </c>
      <c r="F77" s="41" t="s">
        <v>710</v>
      </c>
      <c r="G77" s="83">
        <v>104850</v>
      </c>
      <c r="H77" s="41">
        <v>1</v>
      </c>
      <c r="I77" s="41">
        <v>1</v>
      </c>
      <c r="J77" s="83">
        <f t="shared" si="0"/>
        <v>104850</v>
      </c>
      <c r="K77" s="41">
        <v>0</v>
      </c>
      <c r="L77" s="41">
        <v>0</v>
      </c>
      <c r="M77" s="41">
        <f t="shared" si="10"/>
        <v>0</v>
      </c>
      <c r="N77" s="41">
        <v>0</v>
      </c>
      <c r="O77" s="41">
        <v>0</v>
      </c>
      <c r="P77" s="41">
        <f t="shared" si="11"/>
        <v>0</v>
      </c>
      <c r="Q77" s="41">
        <v>0</v>
      </c>
      <c r="R77" s="41">
        <v>0</v>
      </c>
      <c r="S77" s="41">
        <f t="shared" si="12"/>
        <v>0</v>
      </c>
      <c r="T77" s="41">
        <v>2</v>
      </c>
      <c r="U77" s="41">
        <v>1</v>
      </c>
      <c r="V77" s="41">
        <f t="shared" si="13"/>
        <v>307021.77000000008</v>
      </c>
      <c r="W77" s="41">
        <v>0</v>
      </c>
      <c r="X77" s="41">
        <v>0</v>
      </c>
      <c r="Y77" s="41">
        <f t="shared" si="14"/>
        <v>0</v>
      </c>
      <c r="Z77" s="41">
        <v>0</v>
      </c>
      <c r="AA77" s="41">
        <v>0</v>
      </c>
      <c r="AB77" s="41">
        <f t="shared" si="15"/>
        <v>0</v>
      </c>
      <c r="AC77" s="41">
        <v>1</v>
      </c>
      <c r="AD77" s="41">
        <v>1</v>
      </c>
      <c r="AE77" s="41">
        <f t="shared" si="16"/>
        <v>204322.98793500013</v>
      </c>
      <c r="AF77" s="28">
        <f t="shared" si="17"/>
        <v>616194.75793500023</v>
      </c>
      <c r="AG77" s="28">
        <f t="shared" si="18"/>
        <v>602.93029152152667</v>
      </c>
    </row>
    <row r="78" spans="1:33" ht="72" x14ac:dyDescent="0.3">
      <c r="A78" s="41" t="s">
        <v>696</v>
      </c>
      <c r="B78" s="41" t="s">
        <v>689</v>
      </c>
      <c r="C78" s="41" t="s">
        <v>644</v>
      </c>
      <c r="D78" s="41" t="s">
        <v>6</v>
      </c>
      <c r="E78" s="41" t="s">
        <v>208</v>
      </c>
      <c r="F78" s="41" t="s">
        <v>722</v>
      </c>
      <c r="G78" s="83">
        <v>10682.15</v>
      </c>
      <c r="H78" s="41">
        <v>1</v>
      </c>
      <c r="I78" s="41">
        <v>30</v>
      </c>
      <c r="J78" s="83">
        <f t="shared" si="0"/>
        <v>320464.5</v>
      </c>
      <c r="K78" s="41">
        <v>0</v>
      </c>
      <c r="L78" s="41">
        <v>0</v>
      </c>
      <c r="M78" s="41">
        <f t="shared" si="10"/>
        <v>0</v>
      </c>
      <c r="N78" s="41">
        <v>0</v>
      </c>
      <c r="O78" s="41">
        <v>0</v>
      </c>
      <c r="P78" s="41">
        <f t="shared" si="11"/>
        <v>0</v>
      </c>
      <c r="Q78" s="41">
        <v>0</v>
      </c>
      <c r="R78" s="41">
        <v>0</v>
      </c>
      <c r="S78" s="41">
        <f t="shared" si="12"/>
        <v>0</v>
      </c>
      <c r="T78" s="41">
        <v>1</v>
      </c>
      <c r="U78" s="41">
        <v>90</v>
      </c>
      <c r="V78" s="41">
        <f t="shared" si="13"/>
        <v>1407576.2233500003</v>
      </c>
      <c r="W78" s="41">
        <v>0</v>
      </c>
      <c r="X78" s="41">
        <v>0</v>
      </c>
      <c r="Y78" s="41">
        <f t="shared" si="14"/>
        <v>0</v>
      </c>
      <c r="Z78" s="41">
        <v>0</v>
      </c>
      <c r="AA78" s="41">
        <v>0</v>
      </c>
      <c r="AB78" s="41">
        <f t="shared" si="15"/>
        <v>0</v>
      </c>
      <c r="AC78" s="41">
        <v>1</v>
      </c>
      <c r="AD78" s="41">
        <v>30</v>
      </c>
      <c r="AE78" s="41">
        <f t="shared" si="16"/>
        <v>624494.65109295037</v>
      </c>
      <c r="AF78" s="28">
        <f t="shared" si="17"/>
        <v>2352535.3744429508</v>
      </c>
      <c r="AG78" s="28">
        <f t="shared" si="18"/>
        <v>2301.893712762183</v>
      </c>
    </row>
    <row r="79" spans="1:33" ht="72" x14ac:dyDescent="0.3">
      <c r="A79" s="41" t="s">
        <v>696</v>
      </c>
      <c r="B79" s="41" t="s">
        <v>689</v>
      </c>
      <c r="C79" s="41" t="s">
        <v>644</v>
      </c>
      <c r="D79" s="41" t="s">
        <v>6</v>
      </c>
      <c r="E79" s="41" t="s">
        <v>208</v>
      </c>
      <c r="F79" s="41" t="s">
        <v>726</v>
      </c>
      <c r="G79" s="83">
        <v>15765.38</v>
      </c>
      <c r="H79" s="41">
        <v>1</v>
      </c>
      <c r="I79" s="41">
        <v>30</v>
      </c>
      <c r="J79" s="83">
        <f t="shared" si="0"/>
        <v>472961.39999999997</v>
      </c>
      <c r="K79" s="41">
        <v>0</v>
      </c>
      <c r="L79" s="41">
        <v>0</v>
      </c>
      <c r="M79" s="41">
        <f t="shared" si="10"/>
        <v>0</v>
      </c>
      <c r="N79" s="41">
        <v>0</v>
      </c>
      <c r="O79" s="41">
        <v>0</v>
      </c>
      <c r="P79" s="41">
        <f t="shared" si="11"/>
        <v>0</v>
      </c>
      <c r="Q79" s="41">
        <v>0</v>
      </c>
      <c r="R79" s="41">
        <v>0</v>
      </c>
      <c r="S79" s="41">
        <f t="shared" si="12"/>
        <v>0</v>
      </c>
      <c r="T79" s="41">
        <v>1</v>
      </c>
      <c r="U79" s="41">
        <v>90</v>
      </c>
      <c r="V79" s="41">
        <f t="shared" si="13"/>
        <v>2077388.3572200004</v>
      </c>
      <c r="W79" s="41">
        <v>0</v>
      </c>
      <c r="X79" s="41">
        <v>0</v>
      </c>
      <c r="Y79" s="41">
        <f t="shared" si="14"/>
        <v>0</v>
      </c>
      <c r="Z79" s="41">
        <v>0</v>
      </c>
      <c r="AA79" s="41">
        <v>0</v>
      </c>
      <c r="AB79" s="41">
        <f t="shared" si="15"/>
        <v>0</v>
      </c>
      <c r="AC79" s="41">
        <v>1</v>
      </c>
      <c r="AD79" s="41">
        <v>30</v>
      </c>
      <c r="AE79" s="41">
        <f t="shared" si="16"/>
        <v>921667.96781994053</v>
      </c>
      <c r="AF79" s="28">
        <f t="shared" si="17"/>
        <v>3472017.7250399413</v>
      </c>
      <c r="AG79" s="28">
        <f t="shared" si="18"/>
        <v>3397.2776174559112</v>
      </c>
    </row>
    <row r="80" spans="1:33" ht="72" x14ac:dyDescent="0.3">
      <c r="A80" s="41" t="s">
        <v>696</v>
      </c>
      <c r="B80" s="41" t="s">
        <v>689</v>
      </c>
      <c r="C80" s="41" t="s">
        <v>644</v>
      </c>
      <c r="D80" s="41" t="s">
        <v>6</v>
      </c>
      <c r="E80" s="41" t="s">
        <v>208</v>
      </c>
      <c r="F80" s="41" t="s">
        <v>723</v>
      </c>
      <c r="G80" s="83">
        <v>70133.84</v>
      </c>
      <c r="H80" s="41">
        <v>1</v>
      </c>
      <c r="I80" s="41">
        <v>30</v>
      </c>
      <c r="J80" s="83">
        <f t="shared" si="0"/>
        <v>2104015.1999999997</v>
      </c>
      <c r="K80" s="41">
        <v>0</v>
      </c>
      <c r="L80" s="41">
        <v>0</v>
      </c>
      <c r="M80" s="41">
        <f t="shared" si="10"/>
        <v>0</v>
      </c>
      <c r="N80" s="41">
        <v>0</v>
      </c>
      <c r="O80" s="41">
        <v>0</v>
      </c>
      <c r="P80" s="41">
        <f t="shared" si="11"/>
        <v>0</v>
      </c>
      <c r="Q80" s="41">
        <v>0</v>
      </c>
      <c r="R80" s="41">
        <v>0</v>
      </c>
      <c r="S80" s="41">
        <f t="shared" si="12"/>
        <v>0</v>
      </c>
      <c r="T80" s="41">
        <v>1</v>
      </c>
      <c r="U80" s="41">
        <v>90</v>
      </c>
      <c r="V80" s="41">
        <f t="shared" si="13"/>
        <v>9241465.9629600011</v>
      </c>
      <c r="W80" s="41">
        <v>0</v>
      </c>
      <c r="X80" s="41">
        <v>0</v>
      </c>
      <c r="Y80" s="41">
        <f t="shared" si="14"/>
        <v>0</v>
      </c>
      <c r="Z80" s="41">
        <v>0</v>
      </c>
      <c r="AA80" s="41">
        <v>0</v>
      </c>
      <c r="AB80" s="41">
        <f t="shared" si="15"/>
        <v>0</v>
      </c>
      <c r="AC80" s="41">
        <v>1</v>
      </c>
      <c r="AD80" s="41">
        <v>30</v>
      </c>
      <c r="AE80" s="41">
        <f t="shared" si="16"/>
        <v>4100130.3988999226</v>
      </c>
      <c r="AF80" s="28">
        <f t="shared" si="17"/>
        <v>15445611.561859922</v>
      </c>
      <c r="AG80" s="28">
        <f t="shared" si="18"/>
        <v>15113.122858962743</v>
      </c>
    </row>
    <row r="81" spans="1:36" ht="72" x14ac:dyDescent="0.3">
      <c r="A81" s="41" t="s">
        <v>696</v>
      </c>
      <c r="B81" s="41" t="s">
        <v>689</v>
      </c>
      <c r="C81" s="41" t="s">
        <v>644</v>
      </c>
      <c r="D81" s="41" t="s">
        <v>6</v>
      </c>
      <c r="E81" s="41" t="s">
        <v>209</v>
      </c>
      <c r="F81" s="41" t="s">
        <v>716</v>
      </c>
      <c r="G81" s="83">
        <v>39000</v>
      </c>
      <c r="H81" s="41">
        <v>58</v>
      </c>
      <c r="I81" s="41">
        <v>2</v>
      </c>
      <c r="J81" s="83">
        <f t="shared" si="0"/>
        <v>4524000</v>
      </c>
      <c r="K81" s="41">
        <v>0</v>
      </c>
      <c r="L81" s="41">
        <v>0</v>
      </c>
      <c r="M81" s="41">
        <f t="shared" si="10"/>
        <v>0</v>
      </c>
      <c r="N81" s="41">
        <v>0</v>
      </c>
      <c r="O81" s="41">
        <v>0</v>
      </c>
      <c r="P81" s="41">
        <f t="shared" si="11"/>
        <v>0</v>
      </c>
      <c r="Q81" s="41">
        <v>0</v>
      </c>
      <c r="R81" s="41">
        <v>0</v>
      </c>
      <c r="S81" s="41">
        <f t="shared" si="12"/>
        <v>0</v>
      </c>
      <c r="T81" s="41">
        <v>40</v>
      </c>
      <c r="U81" s="41">
        <v>10</v>
      </c>
      <c r="V81" s="41">
        <f t="shared" si="13"/>
        <v>22839960.000000004</v>
      </c>
      <c r="W81" s="41">
        <v>0</v>
      </c>
      <c r="X81" s="41">
        <v>0</v>
      </c>
      <c r="Y81" s="41">
        <f t="shared" si="14"/>
        <v>0</v>
      </c>
      <c r="Z81" s="41">
        <v>0</v>
      </c>
      <c r="AA81" s="41">
        <v>0</v>
      </c>
      <c r="AB81" s="41">
        <f t="shared" si="15"/>
        <v>0</v>
      </c>
      <c r="AC81" s="41">
        <v>58</v>
      </c>
      <c r="AD81" s="41">
        <v>2</v>
      </c>
      <c r="AE81" s="41">
        <f t="shared" si="16"/>
        <v>8815996.1604000051</v>
      </c>
      <c r="AF81" s="28">
        <f t="shared" si="17"/>
        <v>36179956.160400011</v>
      </c>
      <c r="AG81" s="28">
        <f t="shared" si="18"/>
        <v>35401.131272407052</v>
      </c>
    </row>
    <row r="82" spans="1:36" ht="72" x14ac:dyDescent="0.3">
      <c r="A82" s="41" t="s">
        <v>696</v>
      </c>
      <c r="B82" s="41" t="s">
        <v>689</v>
      </c>
      <c r="C82" s="41" t="s">
        <v>644</v>
      </c>
      <c r="D82" s="41" t="s">
        <v>6</v>
      </c>
      <c r="E82" s="41" t="s">
        <v>209</v>
      </c>
      <c r="F82" s="41" t="s">
        <v>1350</v>
      </c>
      <c r="G82" s="83">
        <f>1999.2/7</f>
        <v>285.60000000000002</v>
      </c>
      <c r="H82" s="41">
        <f>2*135*29</f>
        <v>7830</v>
      </c>
      <c r="I82" s="41">
        <v>1</v>
      </c>
      <c r="J82" s="83">
        <f t="shared" si="0"/>
        <v>2236248</v>
      </c>
      <c r="K82" s="41"/>
      <c r="L82" s="41"/>
      <c r="M82" s="41">
        <f t="shared" si="10"/>
        <v>0</v>
      </c>
      <c r="N82" s="41"/>
      <c r="O82" s="41"/>
      <c r="P82" s="41">
        <f t="shared" si="11"/>
        <v>0</v>
      </c>
      <c r="Q82" s="41"/>
      <c r="R82" s="41"/>
      <c r="S82" s="41">
        <f t="shared" si="12"/>
        <v>0</v>
      </c>
      <c r="T82" s="41"/>
      <c r="U82" s="41"/>
      <c r="V82" s="41">
        <f t="shared" si="13"/>
        <v>0</v>
      </c>
      <c r="W82" s="41"/>
      <c r="X82" s="41"/>
      <c r="Y82" s="41">
        <f t="shared" si="14"/>
        <v>0</v>
      </c>
      <c r="Z82" s="41"/>
      <c r="AA82" s="41"/>
      <c r="AB82" s="41">
        <f t="shared" si="15"/>
        <v>0</v>
      </c>
      <c r="AC82" s="41">
        <v>7830</v>
      </c>
      <c r="AD82" s="41">
        <v>1</v>
      </c>
      <c r="AE82" s="41">
        <f t="shared" si="16"/>
        <v>4357814.7174408035</v>
      </c>
      <c r="AF82" s="28">
        <f t="shared" si="17"/>
        <v>6594062.7174408035</v>
      </c>
      <c r="AG82" s="28">
        <f t="shared" si="18"/>
        <v>6452.1161618794558</v>
      </c>
    </row>
    <row r="83" spans="1:36" ht="72" x14ac:dyDescent="0.3">
      <c r="A83" s="41" t="s">
        <v>696</v>
      </c>
      <c r="B83" s="41" t="s">
        <v>689</v>
      </c>
      <c r="C83" s="41" t="s">
        <v>644</v>
      </c>
      <c r="D83" s="41" t="s">
        <v>6</v>
      </c>
      <c r="E83" s="41" t="s">
        <v>209</v>
      </c>
      <c r="F83" s="41" t="s">
        <v>712</v>
      </c>
      <c r="G83" s="83">
        <f>1999.2/7</f>
        <v>285.60000000000002</v>
      </c>
      <c r="H83" s="41">
        <f>25*2*29</f>
        <v>1450</v>
      </c>
      <c r="I83" s="41">
        <v>1</v>
      </c>
      <c r="J83" s="83">
        <f t="shared" si="0"/>
        <v>414120.00000000006</v>
      </c>
      <c r="K83" s="41">
        <v>0</v>
      </c>
      <c r="L83" s="41">
        <v>0</v>
      </c>
      <c r="M83" s="41">
        <f t="shared" si="10"/>
        <v>0</v>
      </c>
      <c r="N83" s="41">
        <v>0</v>
      </c>
      <c r="O83" s="41">
        <v>0</v>
      </c>
      <c r="P83" s="41">
        <f t="shared" si="11"/>
        <v>0</v>
      </c>
      <c r="Q83" s="41">
        <v>0</v>
      </c>
      <c r="R83" s="41">
        <v>0</v>
      </c>
      <c r="S83" s="41">
        <f t="shared" si="12"/>
        <v>0</v>
      </c>
      <c r="T83" s="41">
        <v>20000</v>
      </c>
      <c r="U83" s="41">
        <v>1</v>
      </c>
      <c r="V83" s="41">
        <f t="shared" si="13"/>
        <v>8362939.200000003</v>
      </c>
      <c r="W83" s="41">
        <v>0</v>
      </c>
      <c r="X83" s="41">
        <v>0</v>
      </c>
      <c r="Y83" s="41">
        <f t="shared" si="14"/>
        <v>0</v>
      </c>
      <c r="Z83" s="41">
        <v>0</v>
      </c>
      <c r="AA83" s="41">
        <v>0</v>
      </c>
      <c r="AB83" s="41">
        <f t="shared" si="15"/>
        <v>0</v>
      </c>
      <c r="AC83" s="41">
        <v>1450</v>
      </c>
      <c r="AD83" s="41">
        <v>1</v>
      </c>
      <c r="AE83" s="41">
        <f t="shared" si="16"/>
        <v>807002.72545200062</v>
      </c>
      <c r="AF83" s="28">
        <f t="shared" si="17"/>
        <v>9584061.9254520033</v>
      </c>
      <c r="AG83" s="28">
        <f t="shared" si="18"/>
        <v>9377.7513947671268</v>
      </c>
    </row>
    <row r="84" spans="1:36" ht="72" x14ac:dyDescent="0.3">
      <c r="A84" s="41" t="s">
        <v>696</v>
      </c>
      <c r="B84" s="41" t="s">
        <v>689</v>
      </c>
      <c r="C84" s="41" t="s">
        <v>644</v>
      </c>
      <c r="D84" s="41" t="s">
        <v>6</v>
      </c>
      <c r="E84" s="41" t="s">
        <v>209</v>
      </c>
      <c r="F84" s="41" t="s">
        <v>709</v>
      </c>
      <c r="G84" s="83">
        <v>35000</v>
      </c>
      <c r="H84" s="41">
        <v>100</v>
      </c>
      <c r="I84" s="41">
        <v>1</v>
      </c>
      <c r="J84" s="83">
        <f t="shared" si="0"/>
        <v>3500000</v>
      </c>
      <c r="K84" s="41">
        <v>0</v>
      </c>
      <c r="L84" s="41">
        <v>0</v>
      </c>
      <c r="M84" s="41">
        <f t="shared" si="10"/>
        <v>0</v>
      </c>
      <c r="N84" s="41">
        <v>0</v>
      </c>
      <c r="O84" s="41">
        <v>0</v>
      </c>
      <c r="P84" s="41">
        <f t="shared" si="11"/>
        <v>0</v>
      </c>
      <c r="Q84" s="41">
        <v>0</v>
      </c>
      <c r="R84" s="41">
        <v>0</v>
      </c>
      <c r="S84" s="41">
        <f t="shared" si="12"/>
        <v>0</v>
      </c>
      <c r="T84" s="41">
        <v>40</v>
      </c>
      <c r="U84" s="41">
        <v>10</v>
      </c>
      <c r="V84" s="41">
        <f t="shared" si="13"/>
        <v>20497400.000000004</v>
      </c>
      <c r="W84" s="41">
        <v>0</v>
      </c>
      <c r="X84" s="41">
        <v>0</v>
      </c>
      <c r="Y84" s="41">
        <f t="shared" si="14"/>
        <v>0</v>
      </c>
      <c r="Z84" s="41">
        <v>0</v>
      </c>
      <c r="AA84" s="41">
        <v>0</v>
      </c>
      <c r="AB84" s="41">
        <f t="shared" si="15"/>
        <v>0</v>
      </c>
      <c r="AC84" s="41">
        <v>100</v>
      </c>
      <c r="AD84" s="41">
        <v>1</v>
      </c>
      <c r="AE84" s="41">
        <f t="shared" si="16"/>
        <v>6820509.8500000034</v>
      </c>
      <c r="AF84" s="28">
        <f t="shared" si="17"/>
        <v>30817909.850000009</v>
      </c>
      <c r="AG84" s="28">
        <f t="shared" si="18"/>
        <v>30154.510616438365</v>
      </c>
    </row>
    <row r="85" spans="1:36" ht="72" x14ac:dyDescent="0.3">
      <c r="A85" s="41" t="s">
        <v>696</v>
      </c>
      <c r="B85" s="41" t="s">
        <v>689</v>
      </c>
      <c r="C85" s="41" t="s">
        <v>644</v>
      </c>
      <c r="D85" s="41" t="s">
        <v>6</v>
      </c>
      <c r="E85" s="41" t="s">
        <v>210</v>
      </c>
      <c r="F85" s="41" t="s">
        <v>709</v>
      </c>
      <c r="G85" s="83">
        <v>35000</v>
      </c>
      <c r="J85" s="84"/>
      <c r="K85" s="41">
        <v>25</v>
      </c>
      <c r="L85" s="41">
        <v>5</v>
      </c>
      <c r="M85" s="41">
        <f t="shared" si="10"/>
        <v>4812500</v>
      </c>
      <c r="N85" s="41">
        <v>0</v>
      </c>
      <c r="O85" s="41">
        <v>0</v>
      </c>
      <c r="P85" s="41">
        <f t="shared" si="11"/>
        <v>0</v>
      </c>
      <c r="Q85" s="41">
        <v>25</v>
      </c>
      <c r="R85" s="41">
        <v>5</v>
      </c>
      <c r="S85" s="41">
        <f t="shared" si="12"/>
        <v>5823125.0000000019</v>
      </c>
      <c r="T85" s="41"/>
      <c r="U85" s="41"/>
      <c r="V85" s="41">
        <f t="shared" si="13"/>
        <v>0</v>
      </c>
      <c r="W85" s="41">
        <v>25</v>
      </c>
      <c r="X85" s="41">
        <v>5</v>
      </c>
      <c r="Y85" s="41">
        <f t="shared" si="14"/>
        <v>7045981.2500000019</v>
      </c>
      <c r="Z85" s="41">
        <v>0</v>
      </c>
      <c r="AA85" s="41">
        <v>0</v>
      </c>
      <c r="AB85" s="41">
        <f t="shared" si="15"/>
        <v>0</v>
      </c>
      <c r="AC85" s="41">
        <v>25</v>
      </c>
      <c r="AD85" s="41">
        <v>5</v>
      </c>
      <c r="AE85" s="41">
        <f t="shared" si="16"/>
        <v>8525637.3125000037</v>
      </c>
      <c r="AF85" s="28">
        <f t="shared" si="17"/>
        <v>26207243.562500007</v>
      </c>
      <c r="AG85" s="28">
        <f t="shared" si="18"/>
        <v>25643.095462328776</v>
      </c>
    </row>
    <row r="86" spans="1:36" ht="72" x14ac:dyDescent="0.3">
      <c r="A86" s="42" t="s">
        <v>696</v>
      </c>
      <c r="B86" s="42" t="s">
        <v>689</v>
      </c>
      <c r="C86" s="42" t="s">
        <v>644</v>
      </c>
      <c r="D86" s="42" t="s">
        <v>206</v>
      </c>
      <c r="E86" s="42" t="s">
        <v>1375</v>
      </c>
      <c r="F86" s="69" t="s">
        <v>1376</v>
      </c>
      <c r="G86" s="202">
        <v>100000000</v>
      </c>
      <c r="H86" s="42">
        <v>1</v>
      </c>
      <c r="I86" s="42">
        <v>1</v>
      </c>
      <c r="J86" s="212">
        <f>G86*H86*I86</f>
        <v>100000000</v>
      </c>
      <c r="K86" s="42">
        <v>0</v>
      </c>
      <c r="L86" s="42">
        <v>0</v>
      </c>
      <c r="M86" s="42">
        <f t="shared" si="10"/>
        <v>0</v>
      </c>
      <c r="N86" s="42">
        <v>0</v>
      </c>
      <c r="O86" s="42">
        <v>0</v>
      </c>
      <c r="P86" s="42">
        <f t="shared" si="11"/>
        <v>0</v>
      </c>
      <c r="Q86" s="42">
        <v>0</v>
      </c>
      <c r="R86" s="42">
        <v>0</v>
      </c>
      <c r="S86" s="42">
        <f t="shared" si="12"/>
        <v>0</v>
      </c>
      <c r="T86" s="42">
        <v>1</v>
      </c>
      <c r="U86" s="42">
        <v>1</v>
      </c>
      <c r="V86" s="42">
        <f t="shared" si="13"/>
        <v>146410000.00000003</v>
      </c>
      <c r="W86" s="42">
        <v>0</v>
      </c>
      <c r="X86" s="42">
        <v>0</v>
      </c>
      <c r="Y86" s="42">
        <f t="shared" si="14"/>
        <v>0</v>
      </c>
      <c r="Z86" s="42">
        <v>0</v>
      </c>
      <c r="AA86" s="42">
        <v>0</v>
      </c>
      <c r="AB86" s="42">
        <f t="shared" si="15"/>
        <v>0</v>
      </c>
      <c r="AC86" s="42">
        <v>0</v>
      </c>
      <c r="AD86" s="42">
        <v>0</v>
      </c>
      <c r="AE86" s="42">
        <f t="shared" si="16"/>
        <v>0</v>
      </c>
      <c r="AF86" s="82">
        <f t="shared" si="17"/>
        <v>246410000.00000003</v>
      </c>
      <c r="AG86" s="82">
        <f t="shared" si="18"/>
        <v>241105.67514677107</v>
      </c>
    </row>
    <row r="87" spans="1:36" ht="72" x14ac:dyDescent="0.3">
      <c r="A87" s="41" t="s">
        <v>696</v>
      </c>
      <c r="B87" s="41" t="s">
        <v>689</v>
      </c>
      <c r="C87" s="41" t="s">
        <v>644</v>
      </c>
      <c r="D87" s="41" t="s">
        <v>206</v>
      </c>
      <c r="E87" s="41" t="s">
        <v>1375</v>
      </c>
      <c r="F87" t="s">
        <v>709</v>
      </c>
      <c r="G87" s="84">
        <v>35000</v>
      </c>
      <c r="H87" s="41">
        <f>10*900</f>
        <v>9000</v>
      </c>
      <c r="I87" s="41">
        <v>1</v>
      </c>
      <c r="J87" s="83">
        <f>G87*H87*I87</f>
        <v>315000000</v>
      </c>
      <c r="K87" s="41"/>
      <c r="L87" s="41"/>
      <c r="M87" s="41">
        <f t="shared" si="10"/>
        <v>0</v>
      </c>
      <c r="N87" s="41"/>
      <c r="O87" s="41"/>
      <c r="P87" s="41">
        <f t="shared" si="11"/>
        <v>0</v>
      </c>
      <c r="Q87" s="41"/>
      <c r="R87" s="41"/>
      <c r="S87" s="41">
        <f t="shared" si="12"/>
        <v>0</v>
      </c>
      <c r="T87" s="41"/>
      <c r="U87" s="41"/>
      <c r="V87" s="41">
        <f t="shared" si="13"/>
        <v>0</v>
      </c>
      <c r="W87" s="41"/>
      <c r="X87" s="41"/>
      <c r="Y87" s="41">
        <f t="shared" si="14"/>
        <v>0</v>
      </c>
      <c r="Z87" s="41"/>
      <c r="AA87" s="41"/>
      <c r="AB87" s="41">
        <f t="shared" si="15"/>
        <v>0</v>
      </c>
      <c r="AC87" s="41"/>
      <c r="AD87" s="41"/>
      <c r="AE87" s="41">
        <f t="shared" si="16"/>
        <v>0</v>
      </c>
      <c r="AF87" s="28">
        <f t="shared" si="17"/>
        <v>315000000</v>
      </c>
      <c r="AG87" s="28">
        <f t="shared" si="18"/>
        <v>308219.17808219179</v>
      </c>
    </row>
    <row r="88" spans="1:36" ht="72" x14ac:dyDescent="0.3">
      <c r="A88" s="42" t="s">
        <v>696</v>
      </c>
      <c r="B88" s="42" t="s">
        <v>689</v>
      </c>
      <c r="C88" s="42" t="s">
        <v>644</v>
      </c>
      <c r="D88" s="42" t="s">
        <v>206</v>
      </c>
      <c r="E88" s="42" t="s">
        <v>1377</v>
      </c>
      <c r="F88" s="42" t="s">
        <v>713</v>
      </c>
      <c r="G88" s="212">
        <v>45000</v>
      </c>
      <c r="H88" s="42">
        <f>10*900</f>
        <v>9000</v>
      </c>
      <c r="I88" s="42">
        <v>2</v>
      </c>
      <c r="J88" s="212">
        <f>G88*H88*I88</f>
        <v>810000000</v>
      </c>
      <c r="K88" s="42"/>
      <c r="L88" s="42"/>
      <c r="M88" s="42">
        <f t="shared" si="10"/>
        <v>0</v>
      </c>
      <c r="N88" s="42"/>
      <c r="O88" s="42"/>
      <c r="P88" s="42">
        <f t="shared" si="11"/>
        <v>0</v>
      </c>
      <c r="Q88" s="42"/>
      <c r="R88" s="42"/>
      <c r="S88" s="42">
        <f t="shared" si="12"/>
        <v>0</v>
      </c>
      <c r="T88" s="42"/>
      <c r="U88" s="42"/>
      <c r="V88" s="42">
        <f t="shared" si="13"/>
        <v>0</v>
      </c>
      <c r="W88" s="42"/>
      <c r="X88" s="42"/>
      <c r="Y88" s="42">
        <f t="shared" si="14"/>
        <v>0</v>
      </c>
      <c r="Z88" s="42"/>
      <c r="AA88" s="42"/>
      <c r="AB88" s="42">
        <f t="shared" si="15"/>
        <v>0</v>
      </c>
      <c r="AC88" s="42"/>
      <c r="AD88" s="42"/>
      <c r="AE88" s="42">
        <f t="shared" si="16"/>
        <v>0</v>
      </c>
      <c r="AF88" s="82">
        <f t="shared" si="17"/>
        <v>810000000</v>
      </c>
      <c r="AG88" s="82">
        <f t="shared" si="18"/>
        <v>792563.60078277881</v>
      </c>
    </row>
    <row r="89" spans="1:36" ht="72" x14ac:dyDescent="0.3">
      <c r="A89" s="41" t="s">
        <v>696</v>
      </c>
      <c r="B89" s="41" t="s">
        <v>689</v>
      </c>
      <c r="C89" s="41" t="s">
        <v>644</v>
      </c>
      <c r="D89" s="41" t="s">
        <v>206</v>
      </c>
      <c r="E89" s="41" t="s">
        <v>211</v>
      </c>
      <c r="F89" s="41" t="s">
        <v>1350</v>
      </c>
      <c r="G89" s="83">
        <f>1999.2/7</f>
        <v>285.60000000000002</v>
      </c>
      <c r="H89" s="41">
        <f>22500*4</f>
        <v>90000</v>
      </c>
      <c r="I89" s="41">
        <v>1</v>
      </c>
      <c r="J89" s="83">
        <f>G89*H89*I89</f>
        <v>25704000.000000004</v>
      </c>
      <c r="K89" s="41"/>
      <c r="L89" s="41"/>
      <c r="M89" s="41">
        <f t="shared" si="10"/>
        <v>0</v>
      </c>
      <c r="N89" s="41"/>
      <c r="O89" s="41"/>
      <c r="P89" s="41">
        <f t="shared" si="11"/>
        <v>0</v>
      </c>
      <c r="Q89" s="41"/>
      <c r="R89" s="41"/>
      <c r="S89" s="41">
        <f t="shared" si="12"/>
        <v>0</v>
      </c>
      <c r="T89" s="41"/>
      <c r="U89" s="41"/>
      <c r="V89" s="41">
        <f t="shared" si="13"/>
        <v>0</v>
      </c>
      <c r="W89" s="41"/>
      <c r="X89" s="41"/>
      <c r="Y89" s="41">
        <f t="shared" si="14"/>
        <v>0</v>
      </c>
      <c r="Z89" s="41"/>
      <c r="AA89" s="41"/>
      <c r="AB89" s="41">
        <f t="shared" si="15"/>
        <v>0</v>
      </c>
      <c r="AC89" s="41"/>
      <c r="AD89" s="41"/>
      <c r="AE89" s="41">
        <f t="shared" si="16"/>
        <v>0</v>
      </c>
      <c r="AF89" s="28">
        <f t="shared" si="17"/>
        <v>25704000.000000004</v>
      </c>
      <c r="AG89" s="28">
        <f t="shared" si="18"/>
        <v>25150.684931506854</v>
      </c>
    </row>
    <row r="90" spans="1:36" ht="72" x14ac:dyDescent="0.3">
      <c r="A90" s="41" t="s">
        <v>696</v>
      </c>
      <c r="B90" s="41" t="s">
        <v>689</v>
      </c>
      <c r="C90" s="41" t="s">
        <v>644</v>
      </c>
      <c r="D90" s="41" t="s">
        <v>6</v>
      </c>
      <c r="E90" s="41" t="s">
        <v>211</v>
      </c>
      <c r="F90" s="41" t="s">
        <v>712</v>
      </c>
      <c r="G90" s="83">
        <f>1999.2/7</f>
        <v>285.60000000000002</v>
      </c>
      <c r="H90" s="41">
        <v>22500</v>
      </c>
      <c r="I90" s="86">
        <v>1</v>
      </c>
      <c r="J90" s="83">
        <f>G90*H90*I90</f>
        <v>6426000.0000000009</v>
      </c>
      <c r="K90" s="41">
        <v>0</v>
      </c>
      <c r="L90" s="41">
        <v>0</v>
      </c>
      <c r="M90" s="41">
        <f t="shared" si="10"/>
        <v>0</v>
      </c>
      <c r="N90" s="41">
        <v>0</v>
      </c>
      <c r="O90" s="41">
        <v>0</v>
      </c>
      <c r="P90" s="41">
        <f t="shared" si="11"/>
        <v>0</v>
      </c>
      <c r="Q90" s="41">
        <v>0</v>
      </c>
      <c r="R90" s="41">
        <v>0</v>
      </c>
      <c r="S90" s="41">
        <f t="shared" si="12"/>
        <v>0</v>
      </c>
      <c r="T90" s="41">
        <v>20000</v>
      </c>
      <c r="U90" s="41">
        <v>1</v>
      </c>
      <c r="V90" s="41">
        <f t="shared" si="13"/>
        <v>8362939.200000003</v>
      </c>
      <c r="W90" s="41">
        <v>0</v>
      </c>
      <c r="X90" s="41">
        <v>0</v>
      </c>
      <c r="Y90" s="41">
        <f t="shared" si="14"/>
        <v>0</v>
      </c>
      <c r="Z90" s="41">
        <v>0</v>
      </c>
      <c r="AA90" s="41">
        <v>0</v>
      </c>
      <c r="AB90" s="41">
        <f t="shared" si="15"/>
        <v>0</v>
      </c>
      <c r="AC90" s="41">
        <v>0</v>
      </c>
      <c r="AD90" s="41">
        <v>0</v>
      </c>
      <c r="AE90" s="41">
        <f t="shared" si="16"/>
        <v>0</v>
      </c>
      <c r="AF90" s="28">
        <f t="shared" si="17"/>
        <v>14788939.200000003</v>
      </c>
      <c r="AG90" s="28">
        <f t="shared" si="18"/>
        <v>14470.586301369865</v>
      </c>
    </row>
    <row r="91" spans="1:36" x14ac:dyDescent="0.3">
      <c r="A91" s="91" t="s">
        <v>1302</v>
      </c>
      <c r="B91" s="91"/>
      <c r="C91" s="91"/>
      <c r="D91" s="91"/>
      <c r="E91" s="91"/>
      <c r="F91" s="91"/>
      <c r="G91" s="92"/>
      <c r="H91" s="91"/>
      <c r="I91" s="91"/>
      <c r="J91" s="92">
        <f>SUM(J2:J90)</f>
        <v>1499504853.0999999</v>
      </c>
      <c r="K91" s="91"/>
      <c r="L91" s="91"/>
      <c r="M91" s="92">
        <f>SUM(M2:M90)</f>
        <v>4812500</v>
      </c>
      <c r="N91" s="91"/>
      <c r="O91" s="91"/>
      <c r="P91" s="92">
        <f>SUM(P2:P90)</f>
        <v>0</v>
      </c>
      <c r="Q91" s="91"/>
      <c r="R91" s="91"/>
      <c r="S91" s="92">
        <f>SUM(S2:S90)</f>
        <v>5823125.0000000019</v>
      </c>
      <c r="T91" s="91"/>
      <c r="U91" s="91"/>
      <c r="V91" s="92">
        <f>SUM(V2:V90)</f>
        <v>1338275938.9585302</v>
      </c>
      <c r="W91" s="91"/>
      <c r="X91" s="91"/>
      <c r="Y91" s="92">
        <f>SUM(Y2:Y90)</f>
        <v>7045981.2500000019</v>
      </c>
      <c r="Z91" s="91"/>
      <c r="AA91" s="91"/>
      <c r="AB91" s="92">
        <f>SUM(AB2:AB90)</f>
        <v>0</v>
      </c>
      <c r="AC91" s="91"/>
      <c r="AD91" s="91"/>
      <c r="AE91" s="92">
        <f>SUM(AE2:AE90)</f>
        <v>482198083.41559523</v>
      </c>
      <c r="AF91" s="95">
        <f t="shared" si="17"/>
        <v>3337660481.7241249</v>
      </c>
      <c r="AG91" s="95">
        <f t="shared" si="18"/>
        <v>3265812.6044267365</v>
      </c>
      <c r="AH91" s="94"/>
      <c r="AI91" s="94"/>
      <c r="AJ91" s="94"/>
    </row>
    <row r="92" spans="1:36" x14ac:dyDescent="0.3">
      <c r="A92" s="63" t="s">
        <v>1427</v>
      </c>
      <c r="B92" s="63"/>
      <c r="C92" s="63"/>
      <c r="D92" s="63"/>
      <c r="E92" s="63"/>
      <c r="F92" s="63"/>
      <c r="G92" s="90"/>
      <c r="H92" s="63"/>
      <c r="I92" s="63"/>
      <c r="J92" s="90">
        <f>J91/$AL$2</f>
        <v>1467225.8836594911</v>
      </c>
      <c r="K92" s="63"/>
      <c r="L92" s="63"/>
      <c r="M92" s="90">
        <f>M91/$AL$2</f>
        <v>4708.9041095890407</v>
      </c>
      <c r="N92" s="63"/>
      <c r="O92" s="63"/>
      <c r="P92" s="90">
        <f>P91/$AL$2</f>
        <v>0</v>
      </c>
      <c r="Q92" s="63"/>
      <c r="R92" s="63"/>
      <c r="S92" s="90">
        <f>S91/$AL$2</f>
        <v>5697.7739726027412</v>
      </c>
      <c r="T92" s="63"/>
      <c r="U92" s="63"/>
      <c r="V92" s="90">
        <f>V91/$AL$2</f>
        <v>1309467.6506443543</v>
      </c>
      <c r="W92" s="63"/>
      <c r="X92" s="63"/>
      <c r="Y92" s="90">
        <f>Y91/$AL$2</f>
        <v>6894.306506849317</v>
      </c>
      <c r="Z92" s="63"/>
      <c r="AA92" s="63"/>
      <c r="AB92" s="90">
        <f>AB91/$AL$2</f>
        <v>0</v>
      </c>
      <c r="AC92" s="63"/>
      <c r="AD92" s="63"/>
      <c r="AE92" s="90">
        <f>AE91/$AL$2</f>
        <v>471818.08553385054</v>
      </c>
      <c r="AF92" s="20">
        <f t="shared" si="17"/>
        <v>3265812.6044267369</v>
      </c>
      <c r="AG92" s="20">
        <f t="shared" si="18"/>
        <v>3195.5113546249872</v>
      </c>
      <c r="AH92" s="62"/>
      <c r="AI92" s="62"/>
    </row>
    <row r="93" spans="1:36" ht="57.6" x14ac:dyDescent="0.3">
      <c r="A93" s="41" t="s">
        <v>696</v>
      </c>
      <c r="B93" s="41" t="s">
        <v>689</v>
      </c>
      <c r="C93" s="41" t="s">
        <v>645</v>
      </c>
      <c r="D93" s="41" t="s">
        <v>7</v>
      </c>
      <c r="E93" s="41" t="s">
        <v>212</v>
      </c>
      <c r="F93" s="41" t="s">
        <v>718</v>
      </c>
      <c r="G93" s="83">
        <v>0</v>
      </c>
      <c r="H93" s="41">
        <v>0</v>
      </c>
      <c r="I93" s="41">
        <v>0</v>
      </c>
      <c r="J93" s="83">
        <f>G93*H93*I93</f>
        <v>0</v>
      </c>
      <c r="K93" s="41">
        <v>0</v>
      </c>
      <c r="L93" s="41">
        <v>0</v>
      </c>
      <c r="M93" s="41">
        <f t="shared" si="10"/>
        <v>0</v>
      </c>
      <c r="N93" s="41">
        <v>0</v>
      </c>
      <c r="O93" s="41">
        <v>0</v>
      </c>
      <c r="P93" s="41">
        <f t="shared" si="11"/>
        <v>0</v>
      </c>
      <c r="Q93" s="41">
        <v>0</v>
      </c>
      <c r="R93" s="41">
        <v>0</v>
      </c>
      <c r="S93" s="41">
        <f t="shared" si="12"/>
        <v>0</v>
      </c>
      <c r="T93" s="41">
        <v>0</v>
      </c>
      <c r="U93" s="41">
        <v>0</v>
      </c>
      <c r="V93" s="41">
        <f t="shared" si="13"/>
        <v>0</v>
      </c>
      <c r="W93" s="41">
        <v>0</v>
      </c>
      <c r="X93" s="41">
        <v>0</v>
      </c>
      <c r="Y93" s="41">
        <f t="shared" si="14"/>
        <v>0</v>
      </c>
      <c r="Z93" s="41">
        <v>0</v>
      </c>
      <c r="AA93" s="41">
        <v>0</v>
      </c>
      <c r="AB93" s="41">
        <f t="shared" si="15"/>
        <v>0</v>
      </c>
      <c r="AC93" s="41">
        <v>0</v>
      </c>
      <c r="AD93" s="41">
        <v>0</v>
      </c>
      <c r="AE93" s="41">
        <f t="shared" si="16"/>
        <v>0</v>
      </c>
      <c r="AF93" s="28">
        <f t="shared" si="17"/>
        <v>0</v>
      </c>
      <c r="AG93" s="28">
        <f t="shared" si="18"/>
        <v>0</v>
      </c>
    </row>
    <row r="94" spans="1:36" ht="57.6" x14ac:dyDescent="0.3">
      <c r="A94" s="41" t="s">
        <v>696</v>
      </c>
      <c r="B94" s="41" t="s">
        <v>689</v>
      </c>
      <c r="C94" s="41" t="s">
        <v>645</v>
      </c>
      <c r="D94" s="41" t="s">
        <v>7</v>
      </c>
      <c r="E94" s="41" t="s">
        <v>213</v>
      </c>
      <c r="F94" s="41" t="s">
        <v>718</v>
      </c>
      <c r="G94" s="83">
        <v>0</v>
      </c>
      <c r="H94" s="41">
        <v>0</v>
      </c>
      <c r="I94" s="41">
        <v>0</v>
      </c>
      <c r="J94" s="83">
        <f>G94*H94*I94</f>
        <v>0</v>
      </c>
      <c r="K94" s="41">
        <v>0</v>
      </c>
      <c r="L94" s="41">
        <v>0</v>
      </c>
      <c r="M94" s="41">
        <f t="shared" si="10"/>
        <v>0</v>
      </c>
      <c r="N94" s="41">
        <v>0</v>
      </c>
      <c r="O94" s="41">
        <v>0</v>
      </c>
      <c r="P94" s="41">
        <f t="shared" si="11"/>
        <v>0</v>
      </c>
      <c r="Q94" s="41">
        <v>0</v>
      </c>
      <c r="R94" s="41">
        <v>0</v>
      </c>
      <c r="S94" s="41">
        <f t="shared" si="12"/>
        <v>0</v>
      </c>
      <c r="T94" s="41">
        <v>0</v>
      </c>
      <c r="U94" s="41">
        <v>0</v>
      </c>
      <c r="V94" s="41">
        <f t="shared" si="13"/>
        <v>0</v>
      </c>
      <c r="W94" s="41">
        <v>0</v>
      </c>
      <c r="X94" s="41">
        <v>0</v>
      </c>
      <c r="Y94" s="41">
        <f t="shared" si="14"/>
        <v>0</v>
      </c>
      <c r="Z94" s="41">
        <v>0</v>
      </c>
      <c r="AA94" s="41">
        <v>0</v>
      </c>
      <c r="AB94" s="41">
        <f t="shared" si="15"/>
        <v>0</v>
      </c>
      <c r="AC94" s="41">
        <v>0</v>
      </c>
      <c r="AD94" s="41">
        <v>0</v>
      </c>
      <c r="AE94" s="41">
        <f t="shared" si="16"/>
        <v>0</v>
      </c>
      <c r="AF94" s="28">
        <f t="shared" si="17"/>
        <v>0</v>
      </c>
      <c r="AG94" s="28">
        <f t="shared" si="18"/>
        <v>0</v>
      </c>
    </row>
    <row r="95" spans="1:36" ht="57.6" x14ac:dyDescent="0.3">
      <c r="A95" s="41" t="s">
        <v>696</v>
      </c>
      <c r="B95" s="41" t="s">
        <v>689</v>
      </c>
      <c r="C95" s="41" t="s">
        <v>645</v>
      </c>
      <c r="D95" s="41" t="s">
        <v>8</v>
      </c>
      <c r="E95" s="41" t="s">
        <v>214</v>
      </c>
      <c r="F95" s="41" t="s">
        <v>709</v>
      </c>
      <c r="G95" s="83">
        <v>35000</v>
      </c>
      <c r="J95" s="84"/>
      <c r="K95" s="41">
        <v>25</v>
      </c>
      <c r="L95" s="41">
        <v>5</v>
      </c>
      <c r="M95" s="41">
        <f t="shared" si="10"/>
        <v>4812500</v>
      </c>
      <c r="N95" s="41">
        <v>0</v>
      </c>
      <c r="O95" s="41">
        <v>0</v>
      </c>
      <c r="P95" s="41">
        <f t="shared" si="11"/>
        <v>0</v>
      </c>
      <c r="Q95" s="41">
        <v>0</v>
      </c>
      <c r="R95" s="41">
        <v>0</v>
      </c>
      <c r="S95" s="41">
        <f t="shared" si="12"/>
        <v>0</v>
      </c>
      <c r="T95" s="41"/>
      <c r="U95" s="41"/>
      <c r="V95" s="41">
        <f t="shared" si="13"/>
        <v>0</v>
      </c>
      <c r="W95" s="41">
        <v>0</v>
      </c>
      <c r="X95" s="41">
        <v>0</v>
      </c>
      <c r="Y95" s="41">
        <f t="shared" si="14"/>
        <v>0</v>
      </c>
      <c r="Z95" s="41">
        <v>0</v>
      </c>
      <c r="AA95" s="41">
        <v>0</v>
      </c>
      <c r="AB95" s="41">
        <f t="shared" si="15"/>
        <v>0</v>
      </c>
      <c r="AC95" s="41">
        <v>25</v>
      </c>
      <c r="AD95" s="41">
        <v>5</v>
      </c>
      <c r="AE95" s="41">
        <f t="shared" si="16"/>
        <v>8525637.3125000037</v>
      </c>
      <c r="AF95" s="28">
        <f t="shared" si="17"/>
        <v>13338137.312500004</v>
      </c>
      <c r="AG95" s="28">
        <f t="shared" si="18"/>
        <v>13051.014982876715</v>
      </c>
    </row>
    <row r="96" spans="1:36" ht="57.6" x14ac:dyDescent="0.3">
      <c r="A96" s="41" t="s">
        <v>696</v>
      </c>
      <c r="B96" s="41" t="s">
        <v>689</v>
      </c>
      <c r="C96" s="41" t="s">
        <v>645</v>
      </c>
      <c r="D96" s="41" t="s">
        <v>8</v>
      </c>
      <c r="E96" s="41" t="s">
        <v>215</v>
      </c>
      <c r="F96" s="41" t="s">
        <v>718</v>
      </c>
      <c r="G96" s="83">
        <v>0</v>
      </c>
      <c r="H96" s="41">
        <v>0</v>
      </c>
      <c r="I96" s="41">
        <v>0</v>
      </c>
      <c r="J96" s="83">
        <f>G96*H96*I96</f>
        <v>0</v>
      </c>
      <c r="K96" s="41">
        <v>0</v>
      </c>
      <c r="L96" s="41">
        <v>0</v>
      </c>
      <c r="M96" s="41">
        <f t="shared" si="10"/>
        <v>0</v>
      </c>
      <c r="N96" s="41">
        <v>0</v>
      </c>
      <c r="O96" s="41">
        <v>0</v>
      </c>
      <c r="P96" s="41">
        <f t="shared" si="11"/>
        <v>0</v>
      </c>
      <c r="Q96" s="41">
        <v>0</v>
      </c>
      <c r="R96" s="41">
        <v>0</v>
      </c>
      <c r="S96" s="41">
        <f t="shared" si="12"/>
        <v>0</v>
      </c>
      <c r="T96" s="41">
        <v>0</v>
      </c>
      <c r="U96" s="41">
        <v>0</v>
      </c>
      <c r="V96" s="41">
        <f t="shared" si="13"/>
        <v>0</v>
      </c>
      <c r="W96" s="41">
        <v>0</v>
      </c>
      <c r="X96" s="41">
        <v>0</v>
      </c>
      <c r="Y96" s="41">
        <f t="shared" si="14"/>
        <v>0</v>
      </c>
      <c r="Z96" s="41">
        <v>0</v>
      </c>
      <c r="AA96" s="41">
        <v>0</v>
      </c>
      <c r="AB96" s="41">
        <f t="shared" si="15"/>
        <v>0</v>
      </c>
      <c r="AC96" s="41">
        <v>0</v>
      </c>
      <c r="AD96" s="41">
        <v>0</v>
      </c>
      <c r="AE96" s="41">
        <f t="shared" si="16"/>
        <v>0</v>
      </c>
      <c r="AF96" s="28">
        <f t="shared" si="17"/>
        <v>0</v>
      </c>
      <c r="AG96" s="28">
        <f t="shared" si="18"/>
        <v>0</v>
      </c>
    </row>
    <row r="97" spans="1:33" ht="57.6" x14ac:dyDescent="0.3">
      <c r="A97" s="41" t="s">
        <v>696</v>
      </c>
      <c r="B97" s="41" t="s">
        <v>689</v>
      </c>
      <c r="C97" s="41" t="s">
        <v>645</v>
      </c>
      <c r="D97" s="41" t="s">
        <v>8</v>
      </c>
      <c r="E97" s="41" t="s">
        <v>216</v>
      </c>
      <c r="F97" s="41" t="s">
        <v>708</v>
      </c>
      <c r="G97" s="83">
        <f>500*1030</f>
        <v>515000</v>
      </c>
      <c r="J97" s="84"/>
      <c r="K97" s="41">
        <v>1</v>
      </c>
      <c r="L97" s="41">
        <v>25</v>
      </c>
      <c r="M97" s="41">
        <f t="shared" si="10"/>
        <v>14162500</v>
      </c>
      <c r="N97" s="41">
        <v>0</v>
      </c>
      <c r="O97" s="41">
        <v>0</v>
      </c>
      <c r="P97" s="41">
        <f t="shared" si="11"/>
        <v>0</v>
      </c>
      <c r="Q97" s="41">
        <v>0</v>
      </c>
      <c r="R97" s="41">
        <v>0</v>
      </c>
      <c r="S97" s="41">
        <f t="shared" si="12"/>
        <v>0</v>
      </c>
      <c r="T97" s="41">
        <v>3</v>
      </c>
      <c r="U97" s="41">
        <v>40</v>
      </c>
      <c r="V97" s="41">
        <f t="shared" si="13"/>
        <v>90481380.00000003</v>
      </c>
      <c r="W97" s="41">
        <v>0</v>
      </c>
      <c r="X97" s="41">
        <v>0</v>
      </c>
      <c r="Y97" s="41">
        <f t="shared" si="14"/>
        <v>0</v>
      </c>
      <c r="Z97" s="41">
        <v>0</v>
      </c>
      <c r="AA97" s="41">
        <v>0</v>
      </c>
      <c r="AB97" s="41">
        <f t="shared" si="15"/>
        <v>0</v>
      </c>
      <c r="AC97" s="41">
        <v>1</v>
      </c>
      <c r="AD97" s="41">
        <v>25</v>
      </c>
      <c r="AE97" s="41">
        <f t="shared" si="16"/>
        <v>25089732.662500016</v>
      </c>
      <c r="AF97" s="28">
        <f t="shared" si="17"/>
        <v>129733612.66250005</v>
      </c>
      <c r="AG97" s="28">
        <f t="shared" si="18"/>
        <v>126940.91258561649</v>
      </c>
    </row>
    <row r="98" spans="1:33" ht="57.6" x14ac:dyDescent="0.3">
      <c r="A98" s="41" t="s">
        <v>696</v>
      </c>
      <c r="B98" s="41" t="s">
        <v>689</v>
      </c>
      <c r="C98" s="41" t="s">
        <v>645</v>
      </c>
      <c r="D98" s="41" t="s">
        <v>8</v>
      </c>
      <c r="E98" s="41" t="s">
        <v>216</v>
      </c>
      <c r="F98" s="41" t="s">
        <v>707</v>
      </c>
      <c r="G98" s="83">
        <v>391991.03749999998</v>
      </c>
      <c r="J98" s="84"/>
      <c r="K98" s="41">
        <v>2</v>
      </c>
      <c r="L98" s="41">
        <v>2</v>
      </c>
      <c r="M98" s="41">
        <f t="shared" si="10"/>
        <v>1724760.5649999999</v>
      </c>
      <c r="N98" s="41">
        <v>0</v>
      </c>
      <c r="O98" s="41">
        <v>0</v>
      </c>
      <c r="P98" s="41">
        <f t="shared" si="11"/>
        <v>0</v>
      </c>
      <c r="Q98" s="41">
        <v>0</v>
      </c>
      <c r="R98" s="41">
        <v>0</v>
      </c>
      <c r="S98" s="41">
        <f t="shared" si="12"/>
        <v>0</v>
      </c>
      <c r="T98" s="41">
        <v>1</v>
      </c>
      <c r="U98" s="41">
        <v>4</v>
      </c>
      <c r="V98" s="41">
        <f t="shared" si="13"/>
        <v>2295656.3120150003</v>
      </c>
      <c r="W98" s="41">
        <v>0</v>
      </c>
      <c r="X98" s="41">
        <v>0</v>
      </c>
      <c r="Y98" s="41">
        <f t="shared" si="14"/>
        <v>0</v>
      </c>
      <c r="Z98" s="41">
        <v>0</v>
      </c>
      <c r="AA98" s="41">
        <v>0</v>
      </c>
      <c r="AB98" s="41">
        <f t="shared" si="15"/>
        <v>0</v>
      </c>
      <c r="AC98" s="41">
        <v>2</v>
      </c>
      <c r="AD98" s="41">
        <v>2</v>
      </c>
      <c r="AE98" s="41">
        <f t="shared" si="16"/>
        <v>3055518.5512919668</v>
      </c>
      <c r="AF98" s="28">
        <f t="shared" si="17"/>
        <v>7075935.428306967</v>
      </c>
      <c r="AG98" s="28">
        <f t="shared" si="18"/>
        <v>6923.6158789696347</v>
      </c>
    </row>
    <row r="99" spans="1:33" ht="57.6" x14ac:dyDescent="0.3">
      <c r="A99" s="41" t="s">
        <v>696</v>
      </c>
      <c r="B99" s="41" t="s">
        <v>689</v>
      </c>
      <c r="C99" s="41" t="s">
        <v>645</v>
      </c>
      <c r="D99" s="41" t="s">
        <v>9</v>
      </c>
      <c r="E99" s="41" t="s">
        <v>217</v>
      </c>
      <c r="F99" s="41" t="s">
        <v>716</v>
      </c>
      <c r="G99" s="83">
        <v>39000</v>
      </c>
      <c r="J99" s="84"/>
      <c r="K99" s="41">
        <v>25</v>
      </c>
      <c r="L99" s="41">
        <v>6</v>
      </c>
      <c r="M99" s="41">
        <f t="shared" si="10"/>
        <v>6435000</v>
      </c>
      <c r="N99" s="41">
        <v>0</v>
      </c>
      <c r="O99" s="41">
        <v>0</v>
      </c>
      <c r="P99" s="41">
        <f t="shared" si="11"/>
        <v>0</v>
      </c>
      <c r="Q99" s="41">
        <v>0</v>
      </c>
      <c r="R99" s="41">
        <v>0</v>
      </c>
      <c r="S99" s="41">
        <f t="shared" si="12"/>
        <v>0</v>
      </c>
      <c r="T99" s="41">
        <v>40</v>
      </c>
      <c r="U99" s="41">
        <v>5</v>
      </c>
      <c r="V99" s="41">
        <f t="shared" si="13"/>
        <v>11419980.000000002</v>
      </c>
      <c r="W99" s="41">
        <v>0</v>
      </c>
      <c r="X99" s="41">
        <v>0</v>
      </c>
      <c r="Y99" s="41">
        <f t="shared" si="14"/>
        <v>0</v>
      </c>
      <c r="Z99" s="41">
        <v>0</v>
      </c>
      <c r="AA99" s="41">
        <v>0</v>
      </c>
      <c r="AB99" s="41">
        <f t="shared" si="15"/>
        <v>0</v>
      </c>
      <c r="AC99" s="41">
        <v>25</v>
      </c>
      <c r="AD99" s="41">
        <v>6</v>
      </c>
      <c r="AE99" s="41">
        <f t="shared" si="16"/>
        <v>11399995.035000006</v>
      </c>
      <c r="AF99" s="28">
        <f t="shared" si="17"/>
        <v>29254975.035000004</v>
      </c>
      <c r="AG99" s="28">
        <f t="shared" si="18"/>
        <v>28625.220190802353</v>
      </c>
    </row>
    <row r="100" spans="1:33" ht="57.6" x14ac:dyDescent="0.3">
      <c r="A100" s="41" t="s">
        <v>696</v>
      </c>
      <c r="B100" s="41" t="s">
        <v>689</v>
      </c>
      <c r="C100" s="41" t="s">
        <v>645</v>
      </c>
      <c r="D100" s="41" t="s">
        <v>9</v>
      </c>
      <c r="E100" s="41" t="s">
        <v>217</v>
      </c>
      <c r="F100" s="41" t="s">
        <v>709</v>
      </c>
      <c r="G100" s="83">
        <v>35000</v>
      </c>
      <c r="J100" s="84"/>
      <c r="K100" s="41">
        <v>25</v>
      </c>
      <c r="L100" s="41">
        <v>5</v>
      </c>
      <c r="M100" s="41">
        <f t="shared" si="10"/>
        <v>4812500</v>
      </c>
      <c r="N100" s="41">
        <v>0</v>
      </c>
      <c r="O100" s="41">
        <v>0</v>
      </c>
      <c r="P100" s="41">
        <f t="shared" si="11"/>
        <v>0</v>
      </c>
      <c r="Q100" s="41">
        <v>0</v>
      </c>
      <c r="R100" s="41">
        <v>0</v>
      </c>
      <c r="S100" s="41">
        <f t="shared" si="12"/>
        <v>0</v>
      </c>
      <c r="T100" s="41">
        <v>40</v>
      </c>
      <c r="U100" s="41">
        <v>5</v>
      </c>
      <c r="V100" s="41">
        <f t="shared" si="13"/>
        <v>10248700.000000002</v>
      </c>
      <c r="W100" s="41">
        <v>0</v>
      </c>
      <c r="X100" s="41">
        <v>0</v>
      </c>
      <c r="Y100" s="41">
        <f t="shared" si="14"/>
        <v>0</v>
      </c>
      <c r="Z100" s="41">
        <v>0</v>
      </c>
      <c r="AA100" s="41">
        <v>0</v>
      </c>
      <c r="AB100" s="41">
        <f t="shared" si="15"/>
        <v>0</v>
      </c>
      <c r="AC100" s="41">
        <v>25</v>
      </c>
      <c r="AD100" s="41">
        <v>5</v>
      </c>
      <c r="AE100" s="41">
        <f t="shared" si="16"/>
        <v>8525637.3125000037</v>
      </c>
      <c r="AF100" s="28">
        <f t="shared" si="17"/>
        <v>23586837.312500007</v>
      </c>
      <c r="AG100" s="28">
        <f t="shared" si="18"/>
        <v>23079.097174657541</v>
      </c>
    </row>
    <row r="101" spans="1:33" ht="57.6" x14ac:dyDescent="0.3">
      <c r="A101" s="41" t="s">
        <v>696</v>
      </c>
      <c r="B101" s="41" t="s">
        <v>689</v>
      </c>
      <c r="C101" s="41" t="s">
        <v>645</v>
      </c>
      <c r="D101" s="41" t="s">
        <v>9</v>
      </c>
      <c r="E101" s="41" t="s">
        <v>217</v>
      </c>
      <c r="F101" s="41" t="s">
        <v>1350</v>
      </c>
      <c r="G101" s="83">
        <f>1999.2/7</f>
        <v>285.60000000000002</v>
      </c>
      <c r="J101" s="84"/>
      <c r="K101" s="41">
        <f>2*135*9</f>
        <v>2430</v>
      </c>
      <c r="L101" s="41">
        <v>1</v>
      </c>
      <c r="M101" s="41">
        <f t="shared" si="10"/>
        <v>763408.8</v>
      </c>
      <c r="N101" s="41"/>
      <c r="O101" s="41"/>
      <c r="P101" s="41">
        <f t="shared" si="11"/>
        <v>0</v>
      </c>
      <c r="Q101" s="41"/>
      <c r="R101" s="41"/>
      <c r="S101" s="41">
        <f t="shared" si="12"/>
        <v>0</v>
      </c>
      <c r="T101" s="41"/>
      <c r="U101" s="41"/>
      <c r="V101" s="41">
        <f t="shared" si="13"/>
        <v>0</v>
      </c>
      <c r="W101" s="41"/>
      <c r="X101" s="41"/>
      <c r="Y101" s="41">
        <f t="shared" si="14"/>
        <v>0</v>
      </c>
      <c r="Z101" s="41"/>
      <c r="AA101" s="41"/>
      <c r="AB101" s="41">
        <f t="shared" si="15"/>
        <v>0</v>
      </c>
      <c r="AC101" s="41">
        <f>2*135*9</f>
        <v>2430</v>
      </c>
      <c r="AD101" s="41">
        <v>1</v>
      </c>
      <c r="AE101" s="41">
        <f t="shared" si="16"/>
        <v>1352425.257136801</v>
      </c>
      <c r="AF101" s="28">
        <f t="shared" si="17"/>
        <v>2115834.0571368011</v>
      </c>
      <c r="AG101" s="28">
        <f t="shared" si="18"/>
        <v>2070.2877271397269</v>
      </c>
    </row>
    <row r="102" spans="1:33" ht="57.6" x14ac:dyDescent="0.3">
      <c r="A102" s="41" t="s">
        <v>696</v>
      </c>
      <c r="B102" s="41" t="s">
        <v>689</v>
      </c>
      <c r="C102" s="41" t="s">
        <v>645</v>
      </c>
      <c r="D102" s="41" t="s">
        <v>9</v>
      </c>
      <c r="E102" s="41" t="s">
        <v>217</v>
      </c>
      <c r="F102" s="41" t="s">
        <v>712</v>
      </c>
      <c r="G102" s="83">
        <f>1999.2/7</f>
        <v>285.60000000000002</v>
      </c>
      <c r="J102" s="84"/>
      <c r="K102" s="41">
        <f>25*2*9</f>
        <v>450</v>
      </c>
      <c r="L102" s="41">
        <v>5</v>
      </c>
      <c r="M102" s="41">
        <f t="shared" si="10"/>
        <v>706860</v>
      </c>
      <c r="N102" s="41">
        <v>0</v>
      </c>
      <c r="O102" s="41">
        <v>0</v>
      </c>
      <c r="P102" s="41">
        <f t="shared" si="11"/>
        <v>0</v>
      </c>
      <c r="Q102" s="41">
        <v>0</v>
      </c>
      <c r="R102" s="41">
        <v>0</v>
      </c>
      <c r="S102" s="41">
        <f t="shared" si="12"/>
        <v>0</v>
      </c>
      <c r="T102" s="41">
        <v>20000</v>
      </c>
      <c r="U102" s="41">
        <v>1</v>
      </c>
      <c r="V102" s="41">
        <f t="shared" si="13"/>
        <v>8362939.200000003</v>
      </c>
      <c r="W102" s="41">
        <v>0</v>
      </c>
      <c r="X102" s="41">
        <v>0</v>
      </c>
      <c r="Y102" s="41">
        <f t="shared" si="14"/>
        <v>0</v>
      </c>
      <c r="Z102" s="41">
        <v>0</v>
      </c>
      <c r="AA102" s="41">
        <v>0</v>
      </c>
      <c r="AB102" s="41">
        <f t="shared" si="15"/>
        <v>0</v>
      </c>
      <c r="AC102" s="41">
        <f>25*2*9</f>
        <v>450</v>
      </c>
      <c r="AD102" s="41">
        <v>5</v>
      </c>
      <c r="AE102" s="41">
        <f t="shared" si="16"/>
        <v>1252245.6084600009</v>
      </c>
      <c r="AF102" s="28">
        <f t="shared" si="17"/>
        <v>10322044.808460005</v>
      </c>
      <c r="AG102" s="28">
        <f t="shared" si="18"/>
        <v>10099.848149178088</v>
      </c>
    </row>
    <row r="103" spans="1:33" ht="57.6" x14ac:dyDescent="0.3">
      <c r="A103" s="41" t="s">
        <v>696</v>
      </c>
      <c r="B103" s="41" t="s">
        <v>689</v>
      </c>
      <c r="C103" s="41" t="s">
        <v>645</v>
      </c>
      <c r="D103" s="41" t="s">
        <v>9</v>
      </c>
      <c r="E103" s="41" t="s">
        <v>218</v>
      </c>
      <c r="F103" s="41" t="s">
        <v>716</v>
      </c>
      <c r="G103" s="83">
        <v>39000</v>
      </c>
      <c r="J103" s="84"/>
      <c r="K103" s="41">
        <v>30</v>
      </c>
      <c r="L103" s="41">
        <v>6</v>
      </c>
      <c r="M103" s="41">
        <f t="shared" si="10"/>
        <v>7722000</v>
      </c>
      <c r="N103" s="41">
        <v>0</v>
      </c>
      <c r="O103" s="41">
        <v>0</v>
      </c>
      <c r="P103" s="41">
        <f t="shared" si="11"/>
        <v>0</v>
      </c>
      <c r="Q103" s="41">
        <v>0</v>
      </c>
      <c r="R103" s="41">
        <v>0</v>
      </c>
      <c r="S103" s="41">
        <f t="shared" si="12"/>
        <v>0</v>
      </c>
      <c r="T103" s="41">
        <v>40</v>
      </c>
      <c r="U103" s="41">
        <v>3</v>
      </c>
      <c r="V103" s="41">
        <f t="shared" si="13"/>
        <v>6851988.0000000019</v>
      </c>
      <c r="W103" s="41">
        <v>0</v>
      </c>
      <c r="X103" s="41">
        <v>0</v>
      </c>
      <c r="Y103" s="41">
        <f t="shared" si="14"/>
        <v>0</v>
      </c>
      <c r="Z103" s="41">
        <v>0</v>
      </c>
      <c r="AA103" s="41">
        <v>0</v>
      </c>
      <c r="AB103" s="41">
        <f t="shared" si="15"/>
        <v>0</v>
      </c>
      <c r="AC103" s="41">
        <v>30</v>
      </c>
      <c r="AD103" s="41">
        <v>6</v>
      </c>
      <c r="AE103" s="41">
        <f t="shared" si="16"/>
        <v>13679994.042000007</v>
      </c>
      <c r="AF103" s="28">
        <f t="shared" si="17"/>
        <v>28253982.042000011</v>
      </c>
      <c r="AG103" s="28">
        <f t="shared" si="18"/>
        <v>27645.774992172221</v>
      </c>
    </row>
    <row r="104" spans="1:33" ht="57.6" x14ac:dyDescent="0.3">
      <c r="A104" s="41" t="s">
        <v>696</v>
      </c>
      <c r="B104" s="41" t="s">
        <v>689</v>
      </c>
      <c r="C104" s="41" t="s">
        <v>645</v>
      </c>
      <c r="D104" s="41" t="s">
        <v>9</v>
      </c>
      <c r="E104" s="41" t="s">
        <v>218</v>
      </c>
      <c r="F104" s="41" t="s">
        <v>709</v>
      </c>
      <c r="G104" s="83">
        <v>35000</v>
      </c>
      <c r="J104" s="84"/>
      <c r="K104" s="41">
        <v>30</v>
      </c>
      <c r="L104" s="41">
        <v>5</v>
      </c>
      <c r="M104" s="41">
        <f t="shared" si="10"/>
        <v>5775000</v>
      </c>
      <c r="N104" s="41">
        <v>0</v>
      </c>
      <c r="O104" s="41">
        <v>0</v>
      </c>
      <c r="P104" s="41">
        <f t="shared" si="11"/>
        <v>0</v>
      </c>
      <c r="Q104" s="41">
        <v>0</v>
      </c>
      <c r="R104" s="41">
        <v>0</v>
      </c>
      <c r="S104" s="41">
        <f t="shared" si="12"/>
        <v>0</v>
      </c>
      <c r="T104" s="41">
        <v>40</v>
      </c>
      <c r="U104" s="41">
        <v>3</v>
      </c>
      <c r="V104" s="41">
        <f t="shared" si="13"/>
        <v>6149220.0000000019</v>
      </c>
      <c r="W104" s="41">
        <v>0</v>
      </c>
      <c r="X104" s="41">
        <v>0</v>
      </c>
      <c r="Y104" s="41">
        <f t="shared" si="14"/>
        <v>0</v>
      </c>
      <c r="Z104" s="41">
        <v>0</v>
      </c>
      <c r="AA104" s="41">
        <v>0</v>
      </c>
      <c r="AB104" s="41">
        <f t="shared" si="15"/>
        <v>0</v>
      </c>
      <c r="AC104" s="41">
        <v>30</v>
      </c>
      <c r="AD104" s="41">
        <v>5</v>
      </c>
      <c r="AE104" s="41">
        <f t="shared" si="16"/>
        <v>10230764.775000006</v>
      </c>
      <c r="AF104" s="28">
        <f t="shared" si="17"/>
        <v>22154984.775000006</v>
      </c>
      <c r="AG104" s="28">
        <f t="shared" si="18"/>
        <v>21678.067294520555</v>
      </c>
    </row>
    <row r="105" spans="1:33" ht="57.6" x14ac:dyDescent="0.3">
      <c r="A105" s="41" t="s">
        <v>696</v>
      </c>
      <c r="B105" s="41" t="s">
        <v>689</v>
      </c>
      <c r="C105" s="41" t="s">
        <v>645</v>
      </c>
      <c r="D105" s="41" t="s">
        <v>9</v>
      </c>
      <c r="E105" s="41" t="s">
        <v>218</v>
      </c>
      <c r="F105" s="41" t="s">
        <v>1350</v>
      </c>
      <c r="G105" s="83">
        <f>1999.2/7</f>
        <v>285.60000000000002</v>
      </c>
      <c r="J105" s="84"/>
      <c r="K105" s="41">
        <f>2*135*10</f>
        <v>2700</v>
      </c>
      <c r="L105" s="41">
        <v>1</v>
      </c>
      <c r="M105" s="41">
        <f t="shared" si="10"/>
        <v>848232.00000000012</v>
      </c>
      <c r="N105" s="41"/>
      <c r="O105" s="41"/>
      <c r="P105" s="41">
        <f t="shared" si="11"/>
        <v>0</v>
      </c>
      <c r="Q105" s="41"/>
      <c r="R105" s="41"/>
      <c r="S105" s="41">
        <f t="shared" si="12"/>
        <v>0</v>
      </c>
      <c r="T105" s="41"/>
      <c r="U105" s="41"/>
      <c r="V105" s="41">
        <f t="shared" si="13"/>
        <v>0</v>
      </c>
      <c r="W105" s="41"/>
      <c r="X105" s="41"/>
      <c r="Y105" s="41">
        <f t="shared" si="14"/>
        <v>0</v>
      </c>
      <c r="Z105" s="41"/>
      <c r="AA105" s="41"/>
      <c r="AB105" s="41">
        <f t="shared" si="15"/>
        <v>0</v>
      </c>
      <c r="AC105" s="41">
        <f>2*135*10</f>
        <v>2700</v>
      </c>
      <c r="AD105" s="41">
        <v>1</v>
      </c>
      <c r="AE105" s="41">
        <f t="shared" si="16"/>
        <v>1502694.7301520011</v>
      </c>
      <c r="AF105" s="28">
        <f t="shared" si="17"/>
        <v>2350926.7301520011</v>
      </c>
      <c r="AG105" s="28">
        <f t="shared" si="18"/>
        <v>2300.319696821919</v>
      </c>
    </row>
    <row r="106" spans="1:33" ht="57.6" x14ac:dyDescent="0.3">
      <c r="A106" s="41" t="s">
        <v>696</v>
      </c>
      <c r="B106" s="41" t="s">
        <v>689</v>
      </c>
      <c r="C106" s="41" t="s">
        <v>645</v>
      </c>
      <c r="D106" s="41" t="s">
        <v>9</v>
      </c>
      <c r="E106" s="41" t="s">
        <v>218</v>
      </c>
      <c r="F106" s="41" t="s">
        <v>712</v>
      </c>
      <c r="G106" s="83">
        <f>1999.2/7</f>
        <v>285.60000000000002</v>
      </c>
      <c r="J106" s="84"/>
      <c r="K106" s="41">
        <f>25*2*10</f>
        <v>500</v>
      </c>
      <c r="L106" s="41">
        <v>5</v>
      </c>
      <c r="M106" s="41">
        <f t="shared" si="10"/>
        <v>785400</v>
      </c>
      <c r="N106" s="41">
        <v>0</v>
      </c>
      <c r="O106" s="41">
        <v>0</v>
      </c>
      <c r="P106" s="41">
        <f t="shared" si="11"/>
        <v>0</v>
      </c>
      <c r="Q106" s="41">
        <v>0</v>
      </c>
      <c r="R106" s="41">
        <v>0</v>
      </c>
      <c r="S106" s="41">
        <f t="shared" si="12"/>
        <v>0</v>
      </c>
      <c r="T106" s="41">
        <v>20000</v>
      </c>
      <c r="U106" s="41">
        <v>1</v>
      </c>
      <c r="V106" s="41">
        <f t="shared" si="13"/>
        <v>8362939.200000003</v>
      </c>
      <c r="W106" s="41">
        <v>0</v>
      </c>
      <c r="X106" s="41">
        <v>0</v>
      </c>
      <c r="Y106" s="41">
        <f t="shared" si="14"/>
        <v>0</v>
      </c>
      <c r="Z106" s="41">
        <v>0</v>
      </c>
      <c r="AA106" s="41">
        <v>0</v>
      </c>
      <c r="AB106" s="41">
        <f t="shared" si="15"/>
        <v>0</v>
      </c>
      <c r="AC106" s="41">
        <f>25*2*10</f>
        <v>500</v>
      </c>
      <c r="AD106" s="41">
        <v>5</v>
      </c>
      <c r="AE106" s="41">
        <f t="shared" si="16"/>
        <v>1391384.009400001</v>
      </c>
      <c r="AF106" s="28">
        <f t="shared" si="17"/>
        <v>10539723.209400004</v>
      </c>
      <c r="AG106" s="28">
        <f t="shared" si="18"/>
        <v>10312.840713698633</v>
      </c>
    </row>
    <row r="107" spans="1:33" ht="57.6" x14ac:dyDescent="0.3">
      <c r="A107" s="41" t="s">
        <v>696</v>
      </c>
      <c r="B107" s="41" t="s">
        <v>689</v>
      </c>
      <c r="C107" s="41" t="s">
        <v>645</v>
      </c>
      <c r="D107" s="41" t="s">
        <v>9</v>
      </c>
      <c r="E107" s="41" t="s">
        <v>219</v>
      </c>
      <c r="F107" s="41" t="s">
        <v>716</v>
      </c>
      <c r="G107" s="83">
        <v>39000</v>
      </c>
      <c r="J107" s="84"/>
      <c r="K107" s="41">
        <v>25</v>
      </c>
      <c r="L107" s="41">
        <v>3</v>
      </c>
      <c r="M107" s="41">
        <f t="shared" si="10"/>
        <v>3217500</v>
      </c>
      <c r="N107" s="41">
        <v>0</v>
      </c>
      <c r="O107" s="41">
        <v>0</v>
      </c>
      <c r="P107" s="41">
        <f t="shared" si="11"/>
        <v>0</v>
      </c>
      <c r="Q107" s="41">
        <v>0</v>
      </c>
      <c r="R107" s="41">
        <v>0</v>
      </c>
      <c r="S107" s="41">
        <f t="shared" si="12"/>
        <v>0</v>
      </c>
      <c r="T107" s="41">
        <v>40</v>
      </c>
      <c r="U107" s="41">
        <v>2</v>
      </c>
      <c r="V107" s="41">
        <f t="shared" si="13"/>
        <v>4567992.0000000009</v>
      </c>
      <c r="W107" s="41">
        <v>0</v>
      </c>
      <c r="X107" s="41">
        <v>0</v>
      </c>
      <c r="Y107" s="41">
        <f t="shared" si="14"/>
        <v>0</v>
      </c>
      <c r="Z107" s="41">
        <v>0</v>
      </c>
      <c r="AA107" s="41">
        <v>0</v>
      </c>
      <c r="AB107" s="41">
        <f t="shared" si="15"/>
        <v>0</v>
      </c>
      <c r="AC107" s="41">
        <v>25</v>
      </c>
      <c r="AD107" s="41">
        <v>3</v>
      </c>
      <c r="AE107" s="41">
        <f t="shared" si="16"/>
        <v>5699997.5175000029</v>
      </c>
      <c r="AF107" s="28">
        <f t="shared" si="17"/>
        <v>13485489.517500004</v>
      </c>
      <c r="AG107" s="28">
        <f t="shared" si="18"/>
        <v>13195.195222602744</v>
      </c>
    </row>
    <row r="108" spans="1:33" ht="57.6" x14ac:dyDescent="0.3">
      <c r="A108" s="41" t="s">
        <v>696</v>
      </c>
      <c r="B108" s="41" t="s">
        <v>689</v>
      </c>
      <c r="C108" s="41" t="s">
        <v>645</v>
      </c>
      <c r="D108" s="41" t="s">
        <v>9</v>
      </c>
      <c r="E108" s="41" t="s">
        <v>1378</v>
      </c>
      <c r="F108" s="41" t="s">
        <v>709</v>
      </c>
      <c r="G108" s="83">
        <v>35000</v>
      </c>
      <c r="J108" s="84"/>
      <c r="K108" s="41">
        <v>25</v>
      </c>
      <c r="L108" s="41">
        <v>2</v>
      </c>
      <c r="M108" s="41">
        <f t="shared" si="10"/>
        <v>1925000</v>
      </c>
      <c r="N108" s="41">
        <v>0</v>
      </c>
      <c r="O108" s="41">
        <v>0</v>
      </c>
      <c r="P108" s="41">
        <f t="shared" si="11"/>
        <v>0</v>
      </c>
      <c r="Q108" s="41">
        <v>0</v>
      </c>
      <c r="R108" s="41">
        <v>0</v>
      </c>
      <c r="S108" s="41">
        <f t="shared" si="12"/>
        <v>0</v>
      </c>
      <c r="T108" s="41">
        <v>40</v>
      </c>
      <c r="U108" s="41">
        <v>2</v>
      </c>
      <c r="V108" s="41">
        <f t="shared" si="13"/>
        <v>4099480.0000000009</v>
      </c>
      <c r="W108" s="41">
        <v>0</v>
      </c>
      <c r="X108" s="41">
        <v>0</v>
      </c>
      <c r="Y108" s="41">
        <f t="shared" si="14"/>
        <v>0</v>
      </c>
      <c r="Z108" s="41">
        <v>0</v>
      </c>
      <c r="AA108" s="41">
        <v>0</v>
      </c>
      <c r="AB108" s="41">
        <f t="shared" si="15"/>
        <v>0</v>
      </c>
      <c r="AC108" s="41">
        <v>25</v>
      </c>
      <c r="AD108" s="41">
        <v>2</v>
      </c>
      <c r="AE108" s="41">
        <f t="shared" si="16"/>
        <v>3410254.9250000017</v>
      </c>
      <c r="AF108" s="28">
        <f t="shared" si="17"/>
        <v>9434734.9250000026</v>
      </c>
      <c r="AG108" s="28">
        <f t="shared" si="18"/>
        <v>9231.6388698630162</v>
      </c>
    </row>
    <row r="109" spans="1:33" ht="57.6" x14ac:dyDescent="0.3">
      <c r="A109" s="41" t="s">
        <v>696</v>
      </c>
      <c r="B109" s="41" t="s">
        <v>689</v>
      </c>
      <c r="C109" s="41" t="s">
        <v>645</v>
      </c>
      <c r="D109" s="41" t="s">
        <v>9</v>
      </c>
      <c r="E109" s="41" t="s">
        <v>1378</v>
      </c>
      <c r="F109" s="41" t="s">
        <v>712</v>
      </c>
      <c r="G109" s="83">
        <f>1999.2/7</f>
        <v>285.60000000000002</v>
      </c>
      <c r="J109" s="84"/>
      <c r="K109" s="41">
        <f>25*2*9</f>
        <v>450</v>
      </c>
      <c r="L109" s="41">
        <v>1</v>
      </c>
      <c r="M109" s="41">
        <f t="shared" si="10"/>
        <v>141372</v>
      </c>
      <c r="N109" s="41">
        <v>0</v>
      </c>
      <c r="O109" s="41">
        <v>0</v>
      </c>
      <c r="P109" s="41">
        <f t="shared" si="11"/>
        <v>0</v>
      </c>
      <c r="Q109" s="41">
        <v>0</v>
      </c>
      <c r="R109" s="41">
        <v>0</v>
      </c>
      <c r="S109" s="41">
        <f t="shared" si="12"/>
        <v>0</v>
      </c>
      <c r="T109" s="41">
        <v>20000</v>
      </c>
      <c r="U109" s="41">
        <v>1</v>
      </c>
      <c r="V109" s="41">
        <f t="shared" si="13"/>
        <v>8362939.200000003</v>
      </c>
      <c r="W109" s="41">
        <v>0</v>
      </c>
      <c r="X109" s="41">
        <v>0</v>
      </c>
      <c r="Y109" s="41">
        <f t="shared" si="14"/>
        <v>0</v>
      </c>
      <c r="Z109" s="41">
        <v>0</v>
      </c>
      <c r="AA109" s="41">
        <v>0</v>
      </c>
      <c r="AB109" s="41">
        <f t="shared" si="15"/>
        <v>0</v>
      </c>
      <c r="AC109" s="41">
        <f>25*2*9</f>
        <v>450</v>
      </c>
      <c r="AD109" s="41">
        <v>1</v>
      </c>
      <c r="AE109" s="41">
        <f t="shared" si="16"/>
        <v>250449.12169200019</v>
      </c>
      <c r="AF109" s="28">
        <f t="shared" si="17"/>
        <v>8754760.3216920029</v>
      </c>
      <c r="AG109" s="28">
        <f t="shared" si="18"/>
        <v>8566.3016846301398</v>
      </c>
    </row>
    <row r="110" spans="1:33" ht="57.6" x14ac:dyDescent="0.3">
      <c r="A110" s="41" t="s">
        <v>696</v>
      </c>
      <c r="B110" s="41" t="s">
        <v>689</v>
      </c>
      <c r="C110" s="41" t="s">
        <v>645</v>
      </c>
      <c r="D110" s="41" t="s">
        <v>9</v>
      </c>
      <c r="E110" s="41" t="s">
        <v>1378</v>
      </c>
      <c r="F110" s="41" t="s">
        <v>1350</v>
      </c>
      <c r="G110" s="83">
        <f>1999.2/7</f>
        <v>285.60000000000002</v>
      </c>
      <c r="J110" s="84"/>
      <c r="K110" s="41">
        <f>2*135*9</f>
        <v>2430</v>
      </c>
      <c r="L110" s="41">
        <v>1</v>
      </c>
      <c r="M110" s="41">
        <f t="shared" si="10"/>
        <v>763408.8</v>
      </c>
      <c r="N110" s="41"/>
      <c r="O110" s="41"/>
      <c r="P110" s="41">
        <f t="shared" si="11"/>
        <v>0</v>
      </c>
      <c r="Q110" s="41"/>
      <c r="R110" s="41"/>
      <c r="S110" s="41">
        <f t="shared" si="12"/>
        <v>0</v>
      </c>
      <c r="T110" s="41"/>
      <c r="U110" s="41"/>
      <c r="V110" s="41">
        <f t="shared" si="13"/>
        <v>0</v>
      </c>
      <c r="W110" s="41"/>
      <c r="X110" s="41"/>
      <c r="Y110" s="41">
        <f t="shared" si="14"/>
        <v>0</v>
      </c>
      <c r="Z110" s="41"/>
      <c r="AA110" s="41"/>
      <c r="AB110" s="41">
        <f t="shared" si="15"/>
        <v>0</v>
      </c>
      <c r="AC110" s="41">
        <f>2*135*9</f>
        <v>2430</v>
      </c>
      <c r="AD110" s="41">
        <v>1</v>
      </c>
      <c r="AE110" s="41">
        <f t="shared" si="16"/>
        <v>1352425.257136801</v>
      </c>
      <c r="AF110" s="28">
        <f t="shared" si="17"/>
        <v>2115834.0571368011</v>
      </c>
      <c r="AG110" s="28">
        <f t="shared" si="18"/>
        <v>2070.2877271397269</v>
      </c>
    </row>
    <row r="111" spans="1:33" ht="57.6" x14ac:dyDescent="0.3">
      <c r="A111" s="41" t="s">
        <v>696</v>
      </c>
      <c r="B111" s="41" t="s">
        <v>689</v>
      </c>
      <c r="C111" s="41" t="s">
        <v>645</v>
      </c>
      <c r="D111" s="41" t="s">
        <v>5</v>
      </c>
      <c r="E111" s="41" t="s">
        <v>196</v>
      </c>
      <c r="F111" s="41" t="s">
        <v>718</v>
      </c>
      <c r="G111" s="83">
        <v>0</v>
      </c>
      <c r="J111" s="84"/>
      <c r="K111" s="41">
        <v>0</v>
      </c>
      <c r="L111" s="41">
        <v>0</v>
      </c>
      <c r="M111" s="41">
        <f t="shared" si="10"/>
        <v>0</v>
      </c>
      <c r="N111" s="41">
        <v>0</v>
      </c>
      <c r="O111" s="41">
        <v>0</v>
      </c>
      <c r="P111" s="41">
        <f t="shared" si="11"/>
        <v>0</v>
      </c>
      <c r="Q111" s="41">
        <v>0</v>
      </c>
      <c r="R111" s="41">
        <v>0</v>
      </c>
      <c r="S111" s="41">
        <f t="shared" si="12"/>
        <v>0</v>
      </c>
      <c r="T111" s="41">
        <v>0</v>
      </c>
      <c r="U111" s="41">
        <v>0</v>
      </c>
      <c r="V111" s="41">
        <f t="shared" si="13"/>
        <v>0</v>
      </c>
      <c r="W111" s="41">
        <v>0</v>
      </c>
      <c r="X111" s="41">
        <v>0</v>
      </c>
      <c r="Y111" s="41">
        <f t="shared" si="14"/>
        <v>0</v>
      </c>
      <c r="Z111" s="41">
        <v>0</v>
      </c>
      <c r="AA111" s="41">
        <v>0</v>
      </c>
      <c r="AB111" s="41">
        <f t="shared" si="15"/>
        <v>0</v>
      </c>
      <c r="AC111" s="41">
        <v>0</v>
      </c>
      <c r="AD111" s="41">
        <v>0</v>
      </c>
      <c r="AE111" s="41">
        <f t="shared" si="16"/>
        <v>0</v>
      </c>
      <c r="AF111" s="28">
        <f t="shared" si="17"/>
        <v>0</v>
      </c>
      <c r="AG111" s="28">
        <f t="shared" si="18"/>
        <v>0</v>
      </c>
    </row>
    <row r="112" spans="1:33" ht="57.6" x14ac:dyDescent="0.3">
      <c r="A112" s="41" t="s">
        <v>696</v>
      </c>
      <c r="B112" s="41" t="s">
        <v>689</v>
      </c>
      <c r="C112" s="41" t="s">
        <v>645</v>
      </c>
      <c r="D112" s="41" t="s">
        <v>5</v>
      </c>
      <c r="E112" s="41" t="s">
        <v>197</v>
      </c>
      <c r="F112" s="41" t="s">
        <v>718</v>
      </c>
      <c r="G112" s="83">
        <v>0</v>
      </c>
      <c r="J112" s="84"/>
      <c r="K112" s="41">
        <v>0</v>
      </c>
      <c r="L112" s="41">
        <v>0</v>
      </c>
      <c r="M112" s="41">
        <f t="shared" si="10"/>
        <v>0</v>
      </c>
      <c r="N112" s="41">
        <v>0</v>
      </c>
      <c r="O112" s="41">
        <v>0</v>
      </c>
      <c r="P112" s="41">
        <f t="shared" si="11"/>
        <v>0</v>
      </c>
      <c r="Q112" s="41">
        <v>0</v>
      </c>
      <c r="R112" s="41">
        <v>0</v>
      </c>
      <c r="S112" s="41">
        <f t="shared" si="12"/>
        <v>0</v>
      </c>
      <c r="T112" s="41">
        <v>0</v>
      </c>
      <c r="U112" s="41">
        <v>0</v>
      </c>
      <c r="V112" s="41">
        <f t="shared" si="13"/>
        <v>0</v>
      </c>
      <c r="W112" s="41">
        <v>0</v>
      </c>
      <c r="X112" s="41">
        <v>0</v>
      </c>
      <c r="Y112" s="41">
        <f t="shared" si="14"/>
        <v>0</v>
      </c>
      <c r="Z112" s="41">
        <v>0</v>
      </c>
      <c r="AA112" s="41">
        <v>0</v>
      </c>
      <c r="AB112" s="41">
        <f t="shared" si="15"/>
        <v>0</v>
      </c>
      <c r="AC112" s="41">
        <v>0</v>
      </c>
      <c r="AD112" s="41">
        <v>0</v>
      </c>
      <c r="AE112" s="41">
        <f t="shared" si="16"/>
        <v>0</v>
      </c>
      <c r="AF112" s="28">
        <f t="shared" si="17"/>
        <v>0</v>
      </c>
      <c r="AG112" s="28">
        <f t="shared" si="18"/>
        <v>0</v>
      </c>
    </row>
    <row r="113" spans="1:33" ht="57.6" x14ac:dyDescent="0.3">
      <c r="A113" s="41" t="s">
        <v>696</v>
      </c>
      <c r="B113" s="41" t="s">
        <v>689</v>
      </c>
      <c r="C113" s="41" t="s">
        <v>645</v>
      </c>
      <c r="D113" s="41" t="s">
        <v>5</v>
      </c>
      <c r="E113" s="41" t="s">
        <v>198</v>
      </c>
      <c r="F113" s="41" t="s">
        <v>718</v>
      </c>
      <c r="G113" s="83">
        <v>0</v>
      </c>
      <c r="J113" s="84"/>
      <c r="K113" s="41">
        <v>0</v>
      </c>
      <c r="L113" s="41">
        <v>0</v>
      </c>
      <c r="M113" s="41">
        <f t="shared" si="10"/>
        <v>0</v>
      </c>
      <c r="N113" s="41">
        <v>0</v>
      </c>
      <c r="O113" s="41">
        <v>0</v>
      </c>
      <c r="P113" s="41">
        <f t="shared" si="11"/>
        <v>0</v>
      </c>
      <c r="Q113" s="41">
        <v>0</v>
      </c>
      <c r="R113" s="41">
        <v>0</v>
      </c>
      <c r="S113" s="41">
        <f t="shared" si="12"/>
        <v>0</v>
      </c>
      <c r="T113" s="41">
        <v>0</v>
      </c>
      <c r="U113" s="41">
        <v>0</v>
      </c>
      <c r="V113" s="41">
        <f t="shared" si="13"/>
        <v>0</v>
      </c>
      <c r="W113" s="41">
        <v>0</v>
      </c>
      <c r="X113" s="41">
        <v>0</v>
      </c>
      <c r="Y113" s="41">
        <f t="shared" si="14"/>
        <v>0</v>
      </c>
      <c r="Z113" s="41">
        <v>0</v>
      </c>
      <c r="AA113" s="41">
        <v>0</v>
      </c>
      <c r="AB113" s="41">
        <f t="shared" si="15"/>
        <v>0</v>
      </c>
      <c r="AC113" s="41">
        <v>0</v>
      </c>
      <c r="AD113" s="41">
        <v>0</v>
      </c>
      <c r="AE113" s="41">
        <f t="shared" si="16"/>
        <v>0</v>
      </c>
      <c r="AF113" s="28">
        <f t="shared" si="17"/>
        <v>0</v>
      </c>
      <c r="AG113" s="28">
        <f t="shared" si="18"/>
        <v>0</v>
      </c>
    </row>
    <row r="114" spans="1:33" ht="57.6" x14ac:dyDescent="0.3">
      <c r="A114" s="41" t="s">
        <v>696</v>
      </c>
      <c r="B114" s="41" t="s">
        <v>689</v>
      </c>
      <c r="C114" s="41" t="s">
        <v>645</v>
      </c>
      <c r="D114" s="41" t="s">
        <v>5</v>
      </c>
      <c r="E114" s="41" t="s">
        <v>199</v>
      </c>
      <c r="F114" s="41" t="s">
        <v>718</v>
      </c>
      <c r="G114" s="83">
        <v>0</v>
      </c>
      <c r="J114" s="84"/>
      <c r="K114" s="41">
        <v>0</v>
      </c>
      <c r="L114" s="41">
        <v>0</v>
      </c>
      <c r="M114" s="41">
        <f t="shared" si="10"/>
        <v>0</v>
      </c>
      <c r="N114" s="41">
        <v>0</v>
      </c>
      <c r="O114" s="41">
        <v>0</v>
      </c>
      <c r="P114" s="41">
        <f t="shared" si="11"/>
        <v>0</v>
      </c>
      <c r="Q114" s="41">
        <v>0</v>
      </c>
      <c r="R114" s="41">
        <v>0</v>
      </c>
      <c r="S114" s="41">
        <f t="shared" si="12"/>
        <v>0</v>
      </c>
      <c r="T114" s="41">
        <v>0</v>
      </c>
      <c r="U114" s="41">
        <v>0</v>
      </c>
      <c r="V114" s="41">
        <f t="shared" si="13"/>
        <v>0</v>
      </c>
      <c r="W114" s="41">
        <v>0</v>
      </c>
      <c r="X114" s="41">
        <v>0</v>
      </c>
      <c r="Y114" s="41">
        <f t="shared" si="14"/>
        <v>0</v>
      </c>
      <c r="Z114" s="41">
        <v>0</v>
      </c>
      <c r="AA114" s="41">
        <v>0</v>
      </c>
      <c r="AB114" s="41">
        <f t="shared" si="15"/>
        <v>0</v>
      </c>
      <c r="AC114" s="41">
        <v>0</v>
      </c>
      <c r="AD114" s="41">
        <v>0</v>
      </c>
      <c r="AE114" s="41">
        <f t="shared" si="16"/>
        <v>0</v>
      </c>
      <c r="AF114" s="28">
        <f t="shared" si="17"/>
        <v>0</v>
      </c>
      <c r="AG114" s="28">
        <f t="shared" si="18"/>
        <v>0</v>
      </c>
    </row>
    <row r="115" spans="1:33" ht="57.6" x14ac:dyDescent="0.3">
      <c r="A115" s="41" t="s">
        <v>696</v>
      </c>
      <c r="B115" s="41" t="s">
        <v>689</v>
      </c>
      <c r="C115" s="41" t="s">
        <v>645</v>
      </c>
      <c r="D115" s="41" t="s">
        <v>5</v>
      </c>
      <c r="E115" s="41" t="s">
        <v>200</v>
      </c>
      <c r="F115" s="41" t="s">
        <v>713</v>
      </c>
      <c r="G115" s="83">
        <v>45000</v>
      </c>
      <c r="J115" s="84"/>
      <c r="K115" s="41">
        <v>25</v>
      </c>
      <c r="L115" s="41">
        <v>11</v>
      </c>
      <c r="M115" s="41">
        <f t="shared" si="10"/>
        <v>13612500.000000002</v>
      </c>
      <c r="N115" s="41">
        <v>0</v>
      </c>
      <c r="O115" s="41">
        <v>0</v>
      </c>
      <c r="P115" s="41">
        <f t="shared" si="11"/>
        <v>0</v>
      </c>
      <c r="Q115" s="41">
        <v>0</v>
      </c>
      <c r="R115" s="41">
        <v>0</v>
      </c>
      <c r="S115" s="41">
        <f t="shared" si="12"/>
        <v>0</v>
      </c>
      <c r="T115" s="41">
        <v>15</v>
      </c>
      <c r="U115" s="41">
        <v>10</v>
      </c>
      <c r="V115" s="41">
        <f t="shared" si="13"/>
        <v>9882675.0000000019</v>
      </c>
      <c r="W115" s="41">
        <v>0</v>
      </c>
      <c r="X115" s="41">
        <v>0</v>
      </c>
      <c r="Y115" s="41">
        <f t="shared" si="14"/>
        <v>0</v>
      </c>
      <c r="Z115" s="41">
        <v>0</v>
      </c>
      <c r="AA115" s="41">
        <v>0</v>
      </c>
      <c r="AB115" s="41">
        <f t="shared" si="15"/>
        <v>0</v>
      </c>
      <c r="AC115" s="41">
        <v>25</v>
      </c>
      <c r="AD115" s="41">
        <v>11</v>
      </c>
      <c r="AE115" s="41">
        <f t="shared" si="16"/>
        <v>24115374.112500012</v>
      </c>
      <c r="AF115" s="28">
        <f t="shared" si="17"/>
        <v>47610549.112500012</v>
      </c>
      <c r="AG115" s="28">
        <f t="shared" si="18"/>
        <v>46585.664493639932</v>
      </c>
    </row>
    <row r="116" spans="1:33" ht="57.6" x14ac:dyDescent="0.3">
      <c r="A116" s="41" t="s">
        <v>696</v>
      </c>
      <c r="B116" s="41" t="s">
        <v>689</v>
      </c>
      <c r="C116" s="41" t="s">
        <v>645</v>
      </c>
      <c r="D116" s="41" t="s">
        <v>5</v>
      </c>
      <c r="E116" s="41" t="s">
        <v>200</v>
      </c>
      <c r="F116" s="41" t="s">
        <v>712</v>
      </c>
      <c r="G116" s="83">
        <f>1999.2/7</f>
        <v>285.60000000000002</v>
      </c>
      <c r="J116" s="84"/>
      <c r="K116" s="41">
        <f>2*25*9</f>
        <v>450</v>
      </c>
      <c r="L116" s="41">
        <v>10</v>
      </c>
      <c r="M116" s="41">
        <f t="shared" si="10"/>
        <v>1413720</v>
      </c>
      <c r="N116" s="41">
        <v>0</v>
      </c>
      <c r="O116" s="41">
        <v>0</v>
      </c>
      <c r="P116" s="41">
        <f t="shared" si="11"/>
        <v>0</v>
      </c>
      <c r="Q116" s="41">
        <v>0</v>
      </c>
      <c r="R116" s="41">
        <v>0</v>
      </c>
      <c r="S116" s="41">
        <f t="shared" si="12"/>
        <v>0</v>
      </c>
      <c r="T116" s="41">
        <v>20000</v>
      </c>
      <c r="U116" s="41">
        <v>1</v>
      </c>
      <c r="V116" s="41">
        <f t="shared" si="13"/>
        <v>8362939.200000003</v>
      </c>
      <c r="W116" s="41">
        <v>0</v>
      </c>
      <c r="X116" s="41">
        <v>0</v>
      </c>
      <c r="Y116" s="41">
        <f t="shared" si="14"/>
        <v>0</v>
      </c>
      <c r="Z116" s="41">
        <v>0</v>
      </c>
      <c r="AA116" s="41">
        <v>0</v>
      </c>
      <c r="AB116" s="41">
        <f t="shared" si="15"/>
        <v>0</v>
      </c>
      <c r="AC116" s="41">
        <f>2*25*9</f>
        <v>450</v>
      </c>
      <c r="AD116" s="41">
        <v>10</v>
      </c>
      <c r="AE116" s="41">
        <f t="shared" si="16"/>
        <v>2504491.2169200019</v>
      </c>
      <c r="AF116" s="28">
        <f t="shared" si="17"/>
        <v>12281150.416920004</v>
      </c>
      <c r="AG116" s="28">
        <f t="shared" si="18"/>
        <v>12016.781229863018</v>
      </c>
    </row>
    <row r="117" spans="1:33" ht="57.6" x14ac:dyDescent="0.3">
      <c r="A117" s="41" t="s">
        <v>696</v>
      </c>
      <c r="B117" s="41" t="s">
        <v>689</v>
      </c>
      <c r="C117" s="41" t="s">
        <v>645</v>
      </c>
      <c r="D117" s="41" t="s">
        <v>5</v>
      </c>
      <c r="E117" s="41" t="s">
        <v>200</v>
      </c>
      <c r="F117" s="41" t="s">
        <v>1350</v>
      </c>
      <c r="G117" s="83">
        <f>1999.2/7</f>
        <v>285.60000000000002</v>
      </c>
      <c r="J117" s="84"/>
      <c r="K117" s="41">
        <f>2*135*9</f>
        <v>2430</v>
      </c>
      <c r="L117" s="41">
        <v>1</v>
      </c>
      <c r="M117" s="41">
        <f t="shared" si="10"/>
        <v>763408.8</v>
      </c>
      <c r="N117" s="41"/>
      <c r="O117" s="41"/>
      <c r="P117" s="41">
        <f t="shared" si="11"/>
        <v>0</v>
      </c>
      <c r="Q117" s="41"/>
      <c r="R117" s="41"/>
      <c r="S117" s="41">
        <f t="shared" si="12"/>
        <v>0</v>
      </c>
      <c r="T117" s="41"/>
      <c r="U117" s="41"/>
      <c r="V117" s="41">
        <f t="shared" si="13"/>
        <v>0</v>
      </c>
      <c r="W117" s="41"/>
      <c r="X117" s="41"/>
      <c r="Y117" s="41">
        <f t="shared" si="14"/>
        <v>0</v>
      </c>
      <c r="Z117" s="41"/>
      <c r="AA117" s="41"/>
      <c r="AB117" s="41">
        <f t="shared" si="15"/>
        <v>0</v>
      </c>
      <c r="AC117" s="41">
        <f>2*135*9</f>
        <v>2430</v>
      </c>
      <c r="AD117" s="41">
        <v>1</v>
      </c>
      <c r="AE117" s="41">
        <f t="shared" si="16"/>
        <v>1352425.257136801</v>
      </c>
      <c r="AF117" s="28">
        <f t="shared" si="17"/>
        <v>2115834.0571368011</v>
      </c>
      <c r="AG117" s="28">
        <f t="shared" si="18"/>
        <v>2070.2877271397269</v>
      </c>
    </row>
    <row r="118" spans="1:33" ht="57.6" x14ac:dyDescent="0.3">
      <c r="A118" s="41" t="s">
        <v>696</v>
      </c>
      <c r="B118" s="41" t="s">
        <v>689</v>
      </c>
      <c r="C118" s="41" t="s">
        <v>645</v>
      </c>
      <c r="D118" s="41" t="s">
        <v>5</v>
      </c>
      <c r="E118" s="41" t="s">
        <v>200</v>
      </c>
      <c r="F118" s="41" t="s">
        <v>714</v>
      </c>
      <c r="G118" s="83">
        <v>10000</v>
      </c>
      <c r="J118" s="84"/>
      <c r="K118" s="41">
        <v>15</v>
      </c>
      <c r="L118" s="41">
        <v>1</v>
      </c>
      <c r="M118" s="41">
        <f t="shared" si="10"/>
        <v>165000</v>
      </c>
      <c r="N118" s="41">
        <v>0</v>
      </c>
      <c r="O118" s="41">
        <v>0</v>
      </c>
      <c r="P118" s="41">
        <f t="shared" si="11"/>
        <v>0</v>
      </c>
      <c r="Q118" s="41">
        <v>0</v>
      </c>
      <c r="R118" s="41">
        <v>0</v>
      </c>
      <c r="S118" s="41">
        <f t="shared" si="12"/>
        <v>0</v>
      </c>
      <c r="T118" s="41">
        <v>15</v>
      </c>
      <c r="U118" s="41">
        <v>1</v>
      </c>
      <c r="V118" s="41">
        <f t="shared" si="13"/>
        <v>219615.00000000006</v>
      </c>
      <c r="W118" s="41">
        <v>0</v>
      </c>
      <c r="X118" s="41">
        <v>0</v>
      </c>
      <c r="Y118" s="41">
        <f t="shared" si="14"/>
        <v>0</v>
      </c>
      <c r="Z118" s="41">
        <v>0</v>
      </c>
      <c r="AA118" s="41">
        <v>0</v>
      </c>
      <c r="AB118" s="41">
        <f t="shared" si="15"/>
        <v>0</v>
      </c>
      <c r="AC118" s="41">
        <v>15</v>
      </c>
      <c r="AD118" s="41">
        <v>1</v>
      </c>
      <c r="AE118" s="41">
        <f t="shared" si="16"/>
        <v>292307.56500000018</v>
      </c>
      <c r="AF118" s="28">
        <f t="shared" si="17"/>
        <v>676922.56500000018</v>
      </c>
      <c r="AG118" s="28">
        <f t="shared" si="18"/>
        <v>662.35084637964792</v>
      </c>
    </row>
    <row r="119" spans="1:33" ht="57.6" x14ac:dyDescent="0.3">
      <c r="A119" s="41" t="s">
        <v>696</v>
      </c>
      <c r="B119" s="41" t="s">
        <v>689</v>
      </c>
      <c r="C119" s="41" t="s">
        <v>645</v>
      </c>
      <c r="D119" s="41" t="s">
        <v>5</v>
      </c>
      <c r="E119" s="41" t="s">
        <v>200</v>
      </c>
      <c r="F119" s="41" t="s">
        <v>715</v>
      </c>
      <c r="G119" s="83">
        <v>302000</v>
      </c>
      <c r="J119" s="84"/>
      <c r="K119" s="41">
        <v>15</v>
      </c>
      <c r="L119" s="41">
        <v>1</v>
      </c>
      <c r="M119" s="41">
        <f t="shared" si="10"/>
        <v>4983000</v>
      </c>
      <c r="N119" s="41">
        <v>0</v>
      </c>
      <c r="O119" s="41">
        <v>0</v>
      </c>
      <c r="P119" s="41">
        <f t="shared" si="11"/>
        <v>0</v>
      </c>
      <c r="Q119" s="41">
        <v>0</v>
      </c>
      <c r="R119" s="41">
        <v>0</v>
      </c>
      <c r="S119" s="41">
        <f t="shared" si="12"/>
        <v>0</v>
      </c>
      <c r="T119" s="41">
        <v>20</v>
      </c>
      <c r="U119" s="41">
        <v>1</v>
      </c>
      <c r="V119" s="41">
        <f t="shared" si="13"/>
        <v>8843164.0000000019</v>
      </c>
      <c r="W119" s="41">
        <v>0</v>
      </c>
      <c r="X119" s="41">
        <v>0</v>
      </c>
      <c r="Y119" s="41">
        <f t="shared" si="14"/>
        <v>0</v>
      </c>
      <c r="Z119" s="41">
        <v>0</v>
      </c>
      <c r="AA119" s="41">
        <v>0</v>
      </c>
      <c r="AB119" s="41">
        <f t="shared" si="15"/>
        <v>0</v>
      </c>
      <c r="AC119" s="41">
        <v>15</v>
      </c>
      <c r="AD119" s="41">
        <v>1</v>
      </c>
      <c r="AE119" s="41">
        <f t="shared" si="16"/>
        <v>8827688.4630000051</v>
      </c>
      <c r="AF119" s="28">
        <f t="shared" si="17"/>
        <v>22653852.463000007</v>
      </c>
      <c r="AG119" s="28">
        <f t="shared" si="18"/>
        <v>22166.196147749517</v>
      </c>
    </row>
    <row r="120" spans="1:33" ht="57.6" x14ac:dyDescent="0.3">
      <c r="A120" s="41" t="s">
        <v>696</v>
      </c>
      <c r="B120" s="41" t="s">
        <v>689</v>
      </c>
      <c r="C120" s="41" t="s">
        <v>645</v>
      </c>
      <c r="D120" s="41" t="s">
        <v>5</v>
      </c>
      <c r="E120" s="41" t="s">
        <v>152</v>
      </c>
      <c r="F120" s="41" t="s">
        <v>716</v>
      </c>
      <c r="G120" s="83">
        <v>39000</v>
      </c>
      <c r="J120" s="84"/>
      <c r="K120" s="41">
        <v>25</v>
      </c>
      <c r="L120" s="41">
        <v>6</v>
      </c>
      <c r="M120" s="41">
        <f t="shared" si="10"/>
        <v>6435000</v>
      </c>
      <c r="N120" s="41">
        <v>0</v>
      </c>
      <c r="O120" s="41">
        <v>0</v>
      </c>
      <c r="P120" s="41">
        <f t="shared" si="11"/>
        <v>0</v>
      </c>
      <c r="Q120" s="41">
        <v>0</v>
      </c>
      <c r="R120" s="41">
        <v>0</v>
      </c>
      <c r="S120" s="41">
        <f t="shared" si="12"/>
        <v>0</v>
      </c>
      <c r="T120" s="41">
        <v>15</v>
      </c>
      <c r="U120" s="41">
        <v>5</v>
      </c>
      <c r="V120" s="41">
        <f t="shared" si="13"/>
        <v>4282492.5000000009</v>
      </c>
      <c r="W120" s="41">
        <v>0</v>
      </c>
      <c r="X120" s="41">
        <v>0</v>
      </c>
      <c r="Y120" s="41">
        <f t="shared" si="14"/>
        <v>0</v>
      </c>
      <c r="Z120" s="41">
        <v>0</v>
      </c>
      <c r="AA120" s="41">
        <v>0</v>
      </c>
      <c r="AB120" s="41">
        <f t="shared" si="15"/>
        <v>0</v>
      </c>
      <c r="AC120" s="41">
        <v>25</v>
      </c>
      <c r="AD120" s="41">
        <v>6</v>
      </c>
      <c r="AE120" s="41">
        <f t="shared" si="16"/>
        <v>11399995.035000006</v>
      </c>
      <c r="AF120" s="28">
        <f t="shared" si="17"/>
        <v>22117487.535000004</v>
      </c>
      <c r="AG120" s="28">
        <f t="shared" si="18"/>
        <v>21641.377235812139</v>
      </c>
    </row>
    <row r="121" spans="1:33" ht="57.6" x14ac:dyDescent="0.3">
      <c r="A121" s="41" t="s">
        <v>696</v>
      </c>
      <c r="B121" s="41" t="s">
        <v>689</v>
      </c>
      <c r="C121" s="41" t="s">
        <v>645</v>
      </c>
      <c r="D121" s="41" t="s">
        <v>5</v>
      </c>
      <c r="E121" s="41" t="s">
        <v>152</v>
      </c>
      <c r="F121" s="41" t="s">
        <v>709</v>
      </c>
      <c r="G121" s="83">
        <v>35000</v>
      </c>
      <c r="J121" s="84"/>
      <c r="K121" s="41">
        <v>25</v>
      </c>
      <c r="L121" s="41">
        <v>5</v>
      </c>
      <c r="M121" s="41">
        <f t="shared" si="10"/>
        <v>4812500</v>
      </c>
      <c r="N121" s="41">
        <v>0</v>
      </c>
      <c r="O121" s="41">
        <v>0</v>
      </c>
      <c r="P121" s="41">
        <f t="shared" si="11"/>
        <v>0</v>
      </c>
      <c r="Q121" s="41">
        <v>0</v>
      </c>
      <c r="R121" s="41">
        <v>0</v>
      </c>
      <c r="S121" s="41">
        <f t="shared" si="12"/>
        <v>0</v>
      </c>
      <c r="T121" s="41">
        <v>15</v>
      </c>
      <c r="U121" s="41">
        <v>5</v>
      </c>
      <c r="V121" s="41">
        <f t="shared" si="13"/>
        <v>3843262.5000000009</v>
      </c>
      <c r="W121" s="41">
        <v>0</v>
      </c>
      <c r="X121" s="41">
        <v>0</v>
      </c>
      <c r="Y121" s="41">
        <f t="shared" si="14"/>
        <v>0</v>
      </c>
      <c r="Z121" s="41">
        <v>0</v>
      </c>
      <c r="AA121" s="41">
        <v>0</v>
      </c>
      <c r="AB121" s="41">
        <f t="shared" si="15"/>
        <v>0</v>
      </c>
      <c r="AC121" s="41">
        <v>25</v>
      </c>
      <c r="AD121" s="41">
        <v>5</v>
      </c>
      <c r="AE121" s="41">
        <f t="shared" si="16"/>
        <v>8525637.3125000037</v>
      </c>
      <c r="AF121" s="28">
        <f t="shared" si="17"/>
        <v>17181399.812500004</v>
      </c>
      <c r="AG121" s="28">
        <f t="shared" si="18"/>
        <v>16811.545804794525</v>
      </c>
    </row>
    <row r="122" spans="1:33" ht="57.6" x14ac:dyDescent="0.3">
      <c r="A122" s="41" t="s">
        <v>696</v>
      </c>
      <c r="B122" s="41" t="s">
        <v>689</v>
      </c>
      <c r="C122" s="41" t="s">
        <v>645</v>
      </c>
      <c r="D122" s="41" t="s">
        <v>5</v>
      </c>
      <c r="E122" s="41" t="s">
        <v>152</v>
      </c>
      <c r="F122" s="41" t="s">
        <v>712</v>
      </c>
      <c r="G122" s="83">
        <f>1999.2/7</f>
        <v>285.60000000000002</v>
      </c>
      <c r="J122" s="84"/>
      <c r="K122" s="41">
        <f>25*2*9</f>
        <v>450</v>
      </c>
      <c r="L122" s="41">
        <v>5</v>
      </c>
      <c r="M122" s="41">
        <f t="shared" si="10"/>
        <v>706860</v>
      </c>
      <c r="N122" s="41">
        <v>0</v>
      </c>
      <c r="O122" s="41">
        <v>0</v>
      </c>
      <c r="P122" s="41">
        <f t="shared" si="11"/>
        <v>0</v>
      </c>
      <c r="Q122" s="41">
        <v>0</v>
      </c>
      <c r="R122" s="41">
        <v>0</v>
      </c>
      <c r="S122" s="41">
        <f t="shared" si="12"/>
        <v>0</v>
      </c>
      <c r="T122" s="41">
        <v>4000</v>
      </c>
      <c r="U122" s="41">
        <v>1</v>
      </c>
      <c r="V122" s="41">
        <f t="shared" si="13"/>
        <v>1672587.8400000005</v>
      </c>
      <c r="W122" s="41">
        <v>0</v>
      </c>
      <c r="X122" s="41">
        <v>0</v>
      </c>
      <c r="Y122" s="41">
        <f t="shared" si="14"/>
        <v>0</v>
      </c>
      <c r="Z122" s="41">
        <v>0</v>
      </c>
      <c r="AA122" s="41">
        <v>0</v>
      </c>
      <c r="AB122" s="41">
        <f t="shared" si="15"/>
        <v>0</v>
      </c>
      <c r="AC122" s="41">
        <f>25*2*9</f>
        <v>450</v>
      </c>
      <c r="AD122" s="41">
        <v>5</v>
      </c>
      <c r="AE122" s="41">
        <f t="shared" si="16"/>
        <v>1252245.6084600009</v>
      </c>
      <c r="AF122" s="28">
        <f t="shared" si="17"/>
        <v>3631693.4484600015</v>
      </c>
      <c r="AG122" s="28">
        <f t="shared" si="18"/>
        <v>3553.5160943835631</v>
      </c>
    </row>
    <row r="123" spans="1:33" ht="57.6" x14ac:dyDescent="0.3">
      <c r="A123" s="41" t="s">
        <v>696</v>
      </c>
      <c r="B123" s="41" t="s">
        <v>689</v>
      </c>
      <c r="C123" s="41" t="s">
        <v>645</v>
      </c>
      <c r="D123" s="41" t="s">
        <v>5</v>
      </c>
      <c r="E123" s="41" t="s">
        <v>152</v>
      </c>
      <c r="F123" s="41" t="s">
        <v>1350</v>
      </c>
      <c r="G123" s="83">
        <f>1999.2/7</f>
        <v>285.60000000000002</v>
      </c>
      <c r="J123" s="84"/>
      <c r="K123" s="41">
        <f>2*135*9</f>
        <v>2430</v>
      </c>
      <c r="L123" s="41">
        <v>1</v>
      </c>
      <c r="M123" s="41">
        <f t="shared" si="10"/>
        <v>763408.8</v>
      </c>
      <c r="N123" s="41"/>
      <c r="O123" s="41"/>
      <c r="P123" s="41">
        <f t="shared" si="11"/>
        <v>0</v>
      </c>
      <c r="Q123" s="41"/>
      <c r="R123" s="41"/>
      <c r="S123" s="41">
        <f t="shared" si="12"/>
        <v>0</v>
      </c>
      <c r="T123" s="41"/>
      <c r="U123" s="41"/>
      <c r="V123" s="41">
        <f t="shared" si="13"/>
        <v>0</v>
      </c>
      <c r="W123" s="41"/>
      <c r="X123" s="41"/>
      <c r="Y123" s="41">
        <f t="shared" si="14"/>
        <v>0</v>
      </c>
      <c r="Z123" s="41"/>
      <c r="AA123" s="41"/>
      <c r="AB123" s="41">
        <f t="shared" si="15"/>
        <v>0</v>
      </c>
      <c r="AC123" s="41">
        <f>2*135*9</f>
        <v>2430</v>
      </c>
      <c r="AD123" s="41">
        <v>1</v>
      </c>
      <c r="AE123" s="41">
        <f t="shared" si="16"/>
        <v>1352425.257136801</v>
      </c>
      <c r="AF123" s="28">
        <f t="shared" si="17"/>
        <v>2115834.0571368011</v>
      </c>
      <c r="AG123" s="28">
        <f t="shared" si="18"/>
        <v>2070.2877271397269</v>
      </c>
    </row>
    <row r="124" spans="1:33" ht="57.6" x14ac:dyDescent="0.3">
      <c r="A124" s="41" t="s">
        <v>696</v>
      </c>
      <c r="B124" s="41" t="s">
        <v>689</v>
      </c>
      <c r="C124" s="41" t="s">
        <v>645</v>
      </c>
      <c r="D124" s="41" t="s">
        <v>5</v>
      </c>
      <c r="E124" s="41" t="s">
        <v>153</v>
      </c>
      <c r="F124" s="41" t="s">
        <v>709</v>
      </c>
      <c r="G124" s="83">
        <v>35000</v>
      </c>
      <c r="J124" s="84"/>
      <c r="K124" s="41">
        <v>25</v>
      </c>
      <c r="L124" s="41">
        <v>3</v>
      </c>
      <c r="M124" s="41">
        <f t="shared" si="10"/>
        <v>2887500</v>
      </c>
      <c r="N124" s="41">
        <v>0</v>
      </c>
      <c r="O124" s="41">
        <v>0</v>
      </c>
      <c r="P124" s="41">
        <f t="shared" si="11"/>
        <v>0</v>
      </c>
      <c r="Q124" s="41">
        <v>0</v>
      </c>
      <c r="R124" s="41">
        <v>0</v>
      </c>
      <c r="S124" s="41">
        <f t="shared" si="12"/>
        <v>0</v>
      </c>
      <c r="T124" s="41">
        <v>15</v>
      </c>
      <c r="U124" s="41">
        <v>5</v>
      </c>
      <c r="V124" s="41">
        <f t="shared" si="13"/>
        <v>3843262.5000000009</v>
      </c>
      <c r="W124" s="41">
        <v>0</v>
      </c>
      <c r="X124" s="41">
        <v>0</v>
      </c>
      <c r="Y124" s="41">
        <f t="shared" si="14"/>
        <v>0</v>
      </c>
      <c r="Z124" s="41">
        <v>0</v>
      </c>
      <c r="AA124" s="41">
        <v>0</v>
      </c>
      <c r="AB124" s="41">
        <f t="shared" si="15"/>
        <v>0</v>
      </c>
      <c r="AC124" s="41">
        <v>25</v>
      </c>
      <c r="AD124" s="41">
        <v>3</v>
      </c>
      <c r="AE124" s="41">
        <f t="shared" si="16"/>
        <v>5115382.387500003</v>
      </c>
      <c r="AF124" s="28">
        <f t="shared" si="17"/>
        <v>11846144.887500003</v>
      </c>
      <c r="AG124" s="28">
        <f t="shared" si="18"/>
        <v>11591.139811643838</v>
      </c>
    </row>
    <row r="125" spans="1:33" ht="57.6" x14ac:dyDescent="0.3">
      <c r="A125" s="41" t="s">
        <v>696</v>
      </c>
      <c r="B125" s="41" t="s">
        <v>689</v>
      </c>
      <c r="C125" s="41" t="s">
        <v>645</v>
      </c>
      <c r="D125" s="41" t="s">
        <v>5</v>
      </c>
      <c r="E125" s="41" t="s">
        <v>153</v>
      </c>
      <c r="F125" s="41" t="s">
        <v>716</v>
      </c>
      <c r="G125" s="83">
        <v>39000</v>
      </c>
      <c r="J125" s="84"/>
      <c r="K125" s="41">
        <v>25</v>
      </c>
      <c r="L125" s="41">
        <v>4</v>
      </c>
      <c r="M125" s="41">
        <f t="shared" si="10"/>
        <v>4290000</v>
      </c>
      <c r="N125" s="41">
        <v>0</v>
      </c>
      <c r="O125" s="41">
        <v>0</v>
      </c>
      <c r="P125" s="41">
        <f t="shared" si="11"/>
        <v>0</v>
      </c>
      <c r="Q125" s="41">
        <v>0</v>
      </c>
      <c r="R125" s="41">
        <v>0</v>
      </c>
      <c r="S125" s="41">
        <f t="shared" si="12"/>
        <v>0</v>
      </c>
      <c r="T125" s="41">
        <v>15</v>
      </c>
      <c r="U125" s="41">
        <v>5</v>
      </c>
      <c r="V125" s="41">
        <f t="shared" si="13"/>
        <v>4282492.5000000009</v>
      </c>
      <c r="W125" s="41">
        <v>0</v>
      </c>
      <c r="X125" s="41">
        <v>0</v>
      </c>
      <c r="Y125" s="41">
        <f t="shared" si="14"/>
        <v>0</v>
      </c>
      <c r="Z125" s="41">
        <v>0</v>
      </c>
      <c r="AA125" s="41">
        <v>0</v>
      </c>
      <c r="AB125" s="41">
        <f t="shared" si="15"/>
        <v>0</v>
      </c>
      <c r="AC125" s="41">
        <v>25</v>
      </c>
      <c r="AD125" s="41">
        <v>4</v>
      </c>
      <c r="AE125" s="41">
        <f t="shared" si="16"/>
        <v>7599996.6900000041</v>
      </c>
      <c r="AF125" s="28">
        <f t="shared" si="17"/>
        <v>16172489.190000005</v>
      </c>
      <c r="AG125" s="28">
        <f t="shared" si="18"/>
        <v>15824.353414872803</v>
      </c>
    </row>
    <row r="126" spans="1:33" ht="57.6" x14ac:dyDescent="0.3">
      <c r="A126" s="41" t="s">
        <v>696</v>
      </c>
      <c r="B126" s="41" t="s">
        <v>689</v>
      </c>
      <c r="C126" s="41" t="s">
        <v>645</v>
      </c>
      <c r="D126" s="41" t="s">
        <v>5</v>
      </c>
      <c r="E126" s="41" t="s">
        <v>152</v>
      </c>
      <c r="F126" s="41" t="s">
        <v>1350</v>
      </c>
      <c r="G126" s="83">
        <f>1999.2/7</f>
        <v>285.60000000000002</v>
      </c>
      <c r="J126" s="84"/>
      <c r="K126" s="41">
        <f>2*135*9</f>
        <v>2430</v>
      </c>
      <c r="L126" s="41">
        <v>1</v>
      </c>
      <c r="M126" s="41">
        <f t="shared" si="10"/>
        <v>763408.8</v>
      </c>
      <c r="N126" s="41"/>
      <c r="O126" s="41"/>
      <c r="P126" s="41">
        <f t="shared" si="11"/>
        <v>0</v>
      </c>
      <c r="Q126" s="41"/>
      <c r="R126" s="41"/>
      <c r="S126" s="41">
        <f t="shared" si="12"/>
        <v>0</v>
      </c>
      <c r="T126" s="41"/>
      <c r="U126" s="41"/>
      <c r="V126" s="41">
        <f t="shared" si="13"/>
        <v>0</v>
      </c>
      <c r="W126" s="41"/>
      <c r="X126" s="41"/>
      <c r="Y126" s="41">
        <f t="shared" si="14"/>
        <v>0</v>
      </c>
      <c r="Z126" s="41"/>
      <c r="AA126" s="41"/>
      <c r="AB126" s="41">
        <f t="shared" si="15"/>
        <v>0</v>
      </c>
      <c r="AC126" s="41">
        <f>2*135*9</f>
        <v>2430</v>
      </c>
      <c r="AD126" s="41">
        <v>1</v>
      </c>
      <c r="AE126" s="41">
        <f t="shared" si="16"/>
        <v>1352425.257136801</v>
      </c>
      <c r="AF126" s="28">
        <f t="shared" si="17"/>
        <v>2115834.0571368011</v>
      </c>
      <c r="AG126" s="28">
        <f t="shared" si="18"/>
        <v>2070.2877271397269</v>
      </c>
    </row>
    <row r="127" spans="1:33" ht="57.6" x14ac:dyDescent="0.3">
      <c r="A127" s="41" t="s">
        <v>696</v>
      </c>
      <c r="B127" s="41" t="s">
        <v>689</v>
      </c>
      <c r="C127" s="41" t="s">
        <v>645</v>
      </c>
      <c r="D127" s="41" t="s">
        <v>5</v>
      </c>
      <c r="E127" s="41" t="s">
        <v>153</v>
      </c>
      <c r="F127" s="41" t="s">
        <v>712</v>
      </c>
      <c r="G127" s="83">
        <f>1999.2/7</f>
        <v>285.60000000000002</v>
      </c>
      <c r="J127" s="84"/>
      <c r="K127" s="41">
        <f>25*2*9</f>
        <v>450</v>
      </c>
      <c r="L127" s="41">
        <v>3</v>
      </c>
      <c r="M127" s="41">
        <f t="shared" si="10"/>
        <v>424116</v>
      </c>
      <c r="N127" s="41">
        <v>0</v>
      </c>
      <c r="O127" s="41">
        <v>0</v>
      </c>
      <c r="P127" s="41">
        <f t="shared" si="11"/>
        <v>0</v>
      </c>
      <c r="Q127" s="41">
        <v>0</v>
      </c>
      <c r="R127" s="41">
        <v>0</v>
      </c>
      <c r="S127" s="41">
        <f t="shared" si="12"/>
        <v>0</v>
      </c>
      <c r="T127" s="41">
        <v>4000</v>
      </c>
      <c r="U127" s="41">
        <v>1</v>
      </c>
      <c r="V127" s="41">
        <f t="shared" si="13"/>
        <v>1672587.8400000005</v>
      </c>
      <c r="W127" s="41">
        <v>0</v>
      </c>
      <c r="X127" s="41">
        <v>0</v>
      </c>
      <c r="Y127" s="41">
        <f t="shared" si="14"/>
        <v>0</v>
      </c>
      <c r="Z127" s="41">
        <v>0</v>
      </c>
      <c r="AA127" s="41">
        <v>0</v>
      </c>
      <c r="AB127" s="41">
        <f t="shared" si="15"/>
        <v>0</v>
      </c>
      <c r="AC127" s="41">
        <f>25*2*9</f>
        <v>450</v>
      </c>
      <c r="AD127" s="41">
        <v>3</v>
      </c>
      <c r="AE127" s="41">
        <f t="shared" si="16"/>
        <v>751347.36507600057</v>
      </c>
      <c r="AF127" s="28">
        <f t="shared" si="17"/>
        <v>2848051.2050760011</v>
      </c>
      <c r="AG127" s="28">
        <f t="shared" si="18"/>
        <v>2786.7428621095901</v>
      </c>
    </row>
    <row r="128" spans="1:33" ht="57.6" x14ac:dyDescent="0.3">
      <c r="A128" s="41" t="s">
        <v>696</v>
      </c>
      <c r="B128" s="41" t="s">
        <v>689</v>
      </c>
      <c r="C128" s="41" t="s">
        <v>645</v>
      </c>
      <c r="D128" s="41" t="s">
        <v>5</v>
      </c>
      <c r="E128" s="41" t="s">
        <v>177</v>
      </c>
      <c r="F128" s="41" t="s">
        <v>716</v>
      </c>
      <c r="G128" s="83">
        <v>39000</v>
      </c>
      <c r="J128" s="84"/>
      <c r="K128" s="41">
        <v>58</v>
      </c>
      <c r="L128" s="41">
        <v>2</v>
      </c>
      <c r="M128" s="41">
        <f t="shared" si="10"/>
        <v>4976400</v>
      </c>
      <c r="N128" s="41">
        <v>0</v>
      </c>
      <c r="O128" s="41">
        <v>0</v>
      </c>
      <c r="P128" s="41">
        <f t="shared" si="11"/>
        <v>0</v>
      </c>
      <c r="Q128" s="41">
        <v>0</v>
      </c>
      <c r="R128" s="41">
        <v>0</v>
      </c>
      <c r="S128" s="41">
        <f t="shared" si="12"/>
        <v>0</v>
      </c>
      <c r="T128" s="41">
        <v>10</v>
      </c>
      <c r="U128" s="41">
        <v>1</v>
      </c>
      <c r="V128" s="41">
        <f t="shared" si="13"/>
        <v>570999.00000000012</v>
      </c>
      <c r="W128" s="41">
        <v>0</v>
      </c>
      <c r="X128" s="41">
        <v>0</v>
      </c>
      <c r="Y128" s="41">
        <f t="shared" si="14"/>
        <v>0</v>
      </c>
      <c r="Z128" s="41">
        <v>0</v>
      </c>
      <c r="AA128" s="41">
        <v>0</v>
      </c>
      <c r="AB128" s="41">
        <f t="shared" si="15"/>
        <v>0</v>
      </c>
      <c r="AC128" s="41">
        <v>58</v>
      </c>
      <c r="AD128" s="41">
        <v>2</v>
      </c>
      <c r="AE128" s="41">
        <f t="shared" si="16"/>
        <v>8815996.1604000051</v>
      </c>
      <c r="AF128" s="28">
        <f t="shared" si="17"/>
        <v>14363395.160400005</v>
      </c>
      <c r="AG128" s="28">
        <f t="shared" si="18"/>
        <v>14054.202700978478</v>
      </c>
    </row>
    <row r="129" spans="1:34" ht="57.6" x14ac:dyDescent="0.3">
      <c r="A129" s="41" t="s">
        <v>696</v>
      </c>
      <c r="B129" s="41" t="s">
        <v>689</v>
      </c>
      <c r="C129" s="41" t="s">
        <v>645</v>
      </c>
      <c r="D129" s="41" t="s">
        <v>5</v>
      </c>
      <c r="E129" s="41" t="s">
        <v>177</v>
      </c>
      <c r="F129" s="41" t="s">
        <v>709</v>
      </c>
      <c r="G129" s="83">
        <v>35000</v>
      </c>
      <c r="J129" s="84"/>
      <c r="K129" s="41">
        <v>100</v>
      </c>
      <c r="L129" s="41">
        <v>1</v>
      </c>
      <c r="M129" s="41">
        <f t="shared" si="10"/>
        <v>3850000</v>
      </c>
      <c r="N129" s="41">
        <v>0</v>
      </c>
      <c r="O129" s="41">
        <v>0</v>
      </c>
      <c r="P129" s="41">
        <f t="shared" si="11"/>
        <v>0</v>
      </c>
      <c r="Q129" s="41">
        <v>0</v>
      </c>
      <c r="R129" s="41">
        <v>0</v>
      </c>
      <c r="S129" s="41">
        <f t="shared" si="12"/>
        <v>0</v>
      </c>
      <c r="T129" s="41">
        <v>30</v>
      </c>
      <c r="U129" s="41">
        <v>1</v>
      </c>
      <c r="V129" s="41">
        <f t="shared" si="13"/>
        <v>1537305.0000000005</v>
      </c>
      <c r="W129" s="41">
        <v>0</v>
      </c>
      <c r="X129" s="41">
        <v>0</v>
      </c>
      <c r="Y129" s="41">
        <f t="shared" si="14"/>
        <v>0</v>
      </c>
      <c r="Z129" s="41">
        <v>0</v>
      </c>
      <c r="AA129" s="41">
        <v>0</v>
      </c>
      <c r="AB129" s="41">
        <f t="shared" si="15"/>
        <v>0</v>
      </c>
      <c r="AC129" s="41">
        <v>100</v>
      </c>
      <c r="AD129" s="41">
        <v>1</v>
      </c>
      <c r="AE129" s="41">
        <f t="shared" si="16"/>
        <v>6820509.8500000034</v>
      </c>
      <c r="AF129" s="28">
        <f t="shared" si="17"/>
        <v>12207814.850000003</v>
      </c>
      <c r="AG129" s="28">
        <f t="shared" si="18"/>
        <v>11945.024315068496</v>
      </c>
    </row>
    <row r="130" spans="1:34" ht="57.6" x14ac:dyDescent="0.3">
      <c r="A130" s="41" t="s">
        <v>696</v>
      </c>
      <c r="B130" s="41" t="s">
        <v>689</v>
      </c>
      <c r="C130" s="41" t="s">
        <v>645</v>
      </c>
      <c r="D130" s="41" t="s">
        <v>5</v>
      </c>
      <c r="E130" s="41" t="s">
        <v>177</v>
      </c>
      <c r="F130" s="41" t="s">
        <v>1350</v>
      </c>
      <c r="G130" s="83">
        <f>1999.2/7</f>
        <v>285.60000000000002</v>
      </c>
      <c r="J130" s="84"/>
      <c r="K130" s="41">
        <f>2*135*29</f>
        <v>7830</v>
      </c>
      <c r="L130" s="41">
        <v>1</v>
      </c>
      <c r="M130" s="41">
        <f t="shared" si="10"/>
        <v>2459872.8000000003</v>
      </c>
      <c r="N130" s="41"/>
      <c r="O130" s="41"/>
      <c r="P130" s="41">
        <f t="shared" si="11"/>
        <v>0</v>
      </c>
      <c r="Q130" s="41"/>
      <c r="R130" s="41"/>
      <c r="S130" s="41">
        <f t="shared" si="12"/>
        <v>0</v>
      </c>
      <c r="T130" s="41"/>
      <c r="U130" s="41"/>
      <c r="V130" s="41">
        <f t="shared" si="13"/>
        <v>0</v>
      </c>
      <c r="W130" s="41"/>
      <c r="X130" s="41"/>
      <c r="Y130" s="41">
        <f t="shared" si="14"/>
        <v>0</v>
      </c>
      <c r="Z130" s="41"/>
      <c r="AA130" s="41"/>
      <c r="AB130" s="41">
        <f t="shared" si="15"/>
        <v>0</v>
      </c>
      <c r="AC130" s="41">
        <f>2*135*29</f>
        <v>7830</v>
      </c>
      <c r="AD130" s="41">
        <v>1</v>
      </c>
      <c r="AE130" s="41">
        <f t="shared" si="16"/>
        <v>4357814.7174408035</v>
      </c>
      <c r="AF130" s="28">
        <f t="shared" si="17"/>
        <v>6817687.5174408033</v>
      </c>
      <c r="AG130" s="28">
        <f t="shared" si="18"/>
        <v>6670.9271207835645</v>
      </c>
    </row>
    <row r="131" spans="1:34" ht="57.6" x14ac:dyDescent="0.3">
      <c r="A131" s="41" t="s">
        <v>696</v>
      </c>
      <c r="B131" s="41" t="s">
        <v>689</v>
      </c>
      <c r="C131" s="41" t="s">
        <v>645</v>
      </c>
      <c r="D131" s="41" t="s">
        <v>5</v>
      </c>
      <c r="E131" s="41" t="s">
        <v>177</v>
      </c>
      <c r="F131" s="41" t="s">
        <v>712</v>
      </c>
      <c r="G131" s="83">
        <f>1999.2/7</f>
        <v>285.60000000000002</v>
      </c>
      <c r="J131" s="84"/>
      <c r="K131" s="41">
        <f>25*2*29</f>
        <v>1450</v>
      </c>
      <c r="L131" s="41">
        <v>1</v>
      </c>
      <c r="M131" s="41">
        <f t="shared" ref="M131:M196" si="19">($G131*1.1^1)*K131*L131</f>
        <v>455532.00000000006</v>
      </c>
      <c r="N131" s="41">
        <v>0</v>
      </c>
      <c r="O131" s="41">
        <v>0</v>
      </c>
      <c r="P131" s="41">
        <f t="shared" ref="P131:P196" si="20">($G131*1.1^2)*N131*O131</f>
        <v>0</v>
      </c>
      <c r="Q131" s="41">
        <v>0</v>
      </c>
      <c r="R131" s="41">
        <v>0</v>
      </c>
      <c r="S131" s="41">
        <f t="shared" ref="S131:S196" si="21">($G131*1.1^3)*Q131*R131</f>
        <v>0</v>
      </c>
      <c r="T131" s="41">
        <v>8000</v>
      </c>
      <c r="U131" s="41">
        <v>1</v>
      </c>
      <c r="V131" s="41">
        <f t="shared" ref="V131:V196" si="22">($G131*1.1^4)*T131*U131</f>
        <v>3345175.6800000011</v>
      </c>
      <c r="W131" s="41">
        <v>0</v>
      </c>
      <c r="X131" s="41">
        <v>0</v>
      </c>
      <c r="Y131" s="41">
        <f t="shared" ref="Y131:Y196" si="23">($G131*1.1^5)*W131*X131</f>
        <v>0</v>
      </c>
      <c r="Z131" s="41">
        <v>0</v>
      </c>
      <c r="AA131" s="41">
        <v>0</v>
      </c>
      <c r="AB131" s="41">
        <f t="shared" ref="AB131:AB196" si="24">($G131*1.1^6)*Z131*AA131</f>
        <v>0</v>
      </c>
      <c r="AC131" s="41">
        <f>25*2*29</f>
        <v>1450</v>
      </c>
      <c r="AD131" s="41">
        <v>1</v>
      </c>
      <c r="AE131" s="41">
        <f t="shared" ref="AE131:AE196" si="25">($G131*1.1^7)*AC131*AD131</f>
        <v>807002.72545200062</v>
      </c>
      <c r="AF131" s="28">
        <f t="shared" ref="AF131:AF196" si="26">J131+M131+P131+S131+V131+Y131+AB131+AE131</f>
        <v>4607710.4054520018</v>
      </c>
      <c r="AG131" s="28">
        <f t="shared" ref="AG131:AG196" si="27">AF131/$AL$2</f>
        <v>4508.5229016164403</v>
      </c>
    </row>
    <row r="132" spans="1:34" ht="57.6" x14ac:dyDescent="0.3">
      <c r="A132" s="41" t="s">
        <v>696</v>
      </c>
      <c r="B132" s="41" t="s">
        <v>689</v>
      </c>
      <c r="C132" s="41" t="s">
        <v>645</v>
      </c>
      <c r="D132" s="41" t="s">
        <v>5</v>
      </c>
      <c r="E132" s="41" t="s">
        <v>204</v>
      </c>
      <c r="F132" s="41" t="s">
        <v>709</v>
      </c>
      <c r="G132" s="83">
        <v>35000</v>
      </c>
      <c r="J132" s="84"/>
      <c r="K132" s="41">
        <v>25</v>
      </c>
      <c r="L132" s="41">
        <v>1</v>
      </c>
      <c r="M132" s="41">
        <f t="shared" si="19"/>
        <v>962500</v>
      </c>
      <c r="N132" s="41">
        <v>0</v>
      </c>
      <c r="O132" s="41">
        <v>0</v>
      </c>
      <c r="P132" s="41">
        <f t="shared" si="20"/>
        <v>0</v>
      </c>
      <c r="Q132" s="41">
        <v>0</v>
      </c>
      <c r="R132" s="41">
        <v>0</v>
      </c>
      <c r="S132" s="41">
        <f t="shared" si="21"/>
        <v>0</v>
      </c>
      <c r="T132" s="41">
        <v>30</v>
      </c>
      <c r="U132" s="41">
        <v>1</v>
      </c>
      <c r="V132" s="41">
        <f t="shared" si="22"/>
        <v>1537305.0000000005</v>
      </c>
      <c r="W132" s="41">
        <v>0</v>
      </c>
      <c r="X132" s="41">
        <v>0</v>
      </c>
      <c r="Y132" s="41">
        <f t="shared" si="23"/>
        <v>0</v>
      </c>
      <c r="Z132" s="41">
        <v>0</v>
      </c>
      <c r="AA132" s="41">
        <v>0</v>
      </c>
      <c r="AB132" s="41">
        <f t="shared" si="24"/>
        <v>0</v>
      </c>
      <c r="AC132" s="41">
        <v>25</v>
      </c>
      <c r="AD132" s="41">
        <v>1</v>
      </c>
      <c r="AE132" s="41">
        <f t="shared" si="25"/>
        <v>1705127.4625000008</v>
      </c>
      <c r="AF132" s="28">
        <f t="shared" si="26"/>
        <v>4204932.4625000013</v>
      </c>
      <c r="AG132" s="28">
        <f t="shared" si="27"/>
        <v>4114.4153253424674</v>
      </c>
    </row>
    <row r="133" spans="1:34" ht="57.6" x14ac:dyDescent="0.3">
      <c r="A133" s="41" t="s">
        <v>696</v>
      </c>
      <c r="B133" s="41" t="s">
        <v>689</v>
      </c>
      <c r="C133" s="41" t="s">
        <v>645</v>
      </c>
      <c r="D133" s="41" t="s">
        <v>5</v>
      </c>
      <c r="E133" s="41" t="s">
        <v>205</v>
      </c>
      <c r="F133" s="41" t="s">
        <v>718</v>
      </c>
      <c r="G133" s="83">
        <v>0</v>
      </c>
      <c r="J133" s="84"/>
      <c r="K133" s="41">
        <v>0</v>
      </c>
      <c r="L133" s="41">
        <v>0</v>
      </c>
      <c r="M133" s="41">
        <f t="shared" si="19"/>
        <v>0</v>
      </c>
      <c r="N133" s="41">
        <v>0</v>
      </c>
      <c r="O133" s="41">
        <v>0</v>
      </c>
      <c r="P133" s="41">
        <f t="shared" si="20"/>
        <v>0</v>
      </c>
      <c r="Q133" s="41">
        <v>0</v>
      </c>
      <c r="R133" s="41">
        <v>0</v>
      </c>
      <c r="S133" s="41">
        <f t="shared" si="21"/>
        <v>0</v>
      </c>
      <c r="T133" s="41">
        <v>20</v>
      </c>
      <c r="U133" s="41">
        <v>1</v>
      </c>
      <c r="V133" s="41">
        <f t="shared" si="22"/>
        <v>0</v>
      </c>
      <c r="W133" s="41">
        <v>0</v>
      </c>
      <c r="X133" s="41">
        <v>0</v>
      </c>
      <c r="Y133" s="41">
        <f t="shared" si="23"/>
        <v>0</v>
      </c>
      <c r="Z133" s="41">
        <v>0</v>
      </c>
      <c r="AA133" s="41">
        <v>0</v>
      </c>
      <c r="AB133" s="41">
        <f t="shared" si="24"/>
        <v>0</v>
      </c>
      <c r="AC133" s="41">
        <v>0</v>
      </c>
      <c r="AD133" s="41">
        <v>0</v>
      </c>
      <c r="AE133" s="41">
        <f t="shared" si="25"/>
        <v>0</v>
      </c>
      <c r="AF133" s="28">
        <f t="shared" si="26"/>
        <v>0</v>
      </c>
      <c r="AG133" s="28">
        <f t="shared" si="27"/>
        <v>0</v>
      </c>
    </row>
    <row r="134" spans="1:34" ht="57.6" x14ac:dyDescent="0.3">
      <c r="A134" s="41" t="s">
        <v>696</v>
      </c>
      <c r="B134" s="41" t="s">
        <v>689</v>
      </c>
      <c r="C134" s="41" t="s">
        <v>645</v>
      </c>
      <c r="D134" s="41" t="s">
        <v>5</v>
      </c>
      <c r="E134" s="41" t="s">
        <v>220</v>
      </c>
      <c r="F134" s="41" t="s">
        <v>1297</v>
      </c>
      <c r="G134" s="83">
        <v>8000</v>
      </c>
      <c r="J134" s="84"/>
      <c r="K134" s="41">
        <v>10</v>
      </c>
      <c r="L134" s="41">
        <v>1</v>
      </c>
      <c r="M134" s="41">
        <f t="shared" si="19"/>
        <v>88000</v>
      </c>
      <c r="N134" s="41">
        <v>0</v>
      </c>
      <c r="O134" s="41">
        <v>0</v>
      </c>
      <c r="P134" s="41">
        <f t="shared" si="20"/>
        <v>0</v>
      </c>
      <c r="Q134" s="41">
        <v>0</v>
      </c>
      <c r="R134" s="41">
        <v>0</v>
      </c>
      <c r="S134" s="41">
        <f t="shared" si="21"/>
        <v>0</v>
      </c>
      <c r="T134" s="41">
        <v>50000</v>
      </c>
      <c r="U134" s="41">
        <v>1</v>
      </c>
      <c r="V134" s="41">
        <f t="shared" si="22"/>
        <v>585640000.00000012</v>
      </c>
      <c r="W134" s="41">
        <v>0</v>
      </c>
      <c r="X134" s="41">
        <v>0</v>
      </c>
      <c r="Y134" s="41">
        <f t="shared" si="23"/>
        <v>0</v>
      </c>
      <c r="Z134" s="41">
        <v>0</v>
      </c>
      <c r="AA134" s="41">
        <v>0</v>
      </c>
      <c r="AB134" s="41">
        <f t="shared" si="24"/>
        <v>0</v>
      </c>
      <c r="AC134" s="41">
        <v>10</v>
      </c>
      <c r="AD134" s="41">
        <v>1</v>
      </c>
      <c r="AE134" s="41">
        <f t="shared" si="25"/>
        <v>155897.3680000001</v>
      </c>
      <c r="AF134" s="28">
        <f t="shared" si="26"/>
        <v>585883897.36800015</v>
      </c>
      <c r="AG134" s="28">
        <f t="shared" si="27"/>
        <v>573271.9152328769</v>
      </c>
    </row>
    <row r="135" spans="1:34" ht="57.6" x14ac:dyDescent="0.3">
      <c r="A135" s="41" t="s">
        <v>696</v>
      </c>
      <c r="B135" s="41" t="s">
        <v>689</v>
      </c>
      <c r="C135" s="41" t="s">
        <v>645</v>
      </c>
      <c r="D135" s="41" t="s">
        <v>5</v>
      </c>
      <c r="E135" s="41" t="s">
        <v>220</v>
      </c>
      <c r="F135" s="41" t="s">
        <v>710</v>
      </c>
      <c r="G135" s="83">
        <v>104850</v>
      </c>
      <c r="J135" s="84"/>
      <c r="K135" s="41">
        <v>1</v>
      </c>
      <c r="L135" s="41">
        <v>1</v>
      </c>
      <c r="M135" s="41">
        <f t="shared" si="19"/>
        <v>115335.00000000001</v>
      </c>
      <c r="N135" s="41">
        <v>0</v>
      </c>
      <c r="O135" s="41">
        <v>0</v>
      </c>
      <c r="P135" s="41">
        <f t="shared" si="20"/>
        <v>0</v>
      </c>
      <c r="Q135" s="41">
        <v>0</v>
      </c>
      <c r="R135" s="41">
        <v>0</v>
      </c>
      <c r="S135" s="41">
        <f t="shared" si="21"/>
        <v>0</v>
      </c>
      <c r="T135" s="41">
        <v>5</v>
      </c>
      <c r="U135" s="41">
        <v>1</v>
      </c>
      <c r="V135" s="41">
        <f t="shared" si="22"/>
        <v>767554.42500000016</v>
      </c>
      <c r="W135" s="41">
        <v>0</v>
      </c>
      <c r="X135" s="41">
        <v>0</v>
      </c>
      <c r="Y135" s="41">
        <f t="shared" si="23"/>
        <v>0</v>
      </c>
      <c r="Z135" s="41">
        <v>0</v>
      </c>
      <c r="AA135" s="41">
        <v>0</v>
      </c>
      <c r="AB135" s="41">
        <f t="shared" si="24"/>
        <v>0</v>
      </c>
      <c r="AC135" s="41">
        <v>1</v>
      </c>
      <c r="AD135" s="41">
        <v>1</v>
      </c>
      <c r="AE135" s="41">
        <f t="shared" si="25"/>
        <v>204322.98793500013</v>
      </c>
      <c r="AF135" s="28">
        <f t="shared" si="26"/>
        <v>1087212.4129350004</v>
      </c>
      <c r="AG135" s="28">
        <f t="shared" si="27"/>
        <v>1063.8086232240707</v>
      </c>
    </row>
    <row r="136" spans="1:34" ht="57.6" x14ac:dyDescent="0.3">
      <c r="A136" s="41" t="s">
        <v>696</v>
      </c>
      <c r="B136" s="41" t="s">
        <v>689</v>
      </c>
      <c r="C136" s="41" t="s">
        <v>645</v>
      </c>
      <c r="D136" s="41" t="s">
        <v>5</v>
      </c>
      <c r="E136" s="41" t="s">
        <v>221</v>
      </c>
      <c r="F136" s="41" t="s">
        <v>716</v>
      </c>
      <c r="G136" s="83">
        <v>39000</v>
      </c>
      <c r="J136" s="84"/>
      <c r="K136" s="41">
        <v>58</v>
      </c>
      <c r="L136" s="41">
        <v>2</v>
      </c>
      <c r="M136" s="41">
        <f t="shared" si="19"/>
        <v>4976400</v>
      </c>
      <c r="N136" s="41">
        <v>0</v>
      </c>
      <c r="O136" s="41">
        <v>0</v>
      </c>
      <c r="P136" s="41">
        <f t="shared" si="20"/>
        <v>0</v>
      </c>
      <c r="Q136" s="41">
        <v>0</v>
      </c>
      <c r="R136" s="41">
        <v>0</v>
      </c>
      <c r="S136" s="41">
        <f t="shared" si="21"/>
        <v>0</v>
      </c>
      <c r="T136" s="41">
        <v>300</v>
      </c>
      <c r="U136" s="41">
        <v>10</v>
      </c>
      <c r="V136" s="41">
        <f t="shared" si="22"/>
        <v>171299700.00000003</v>
      </c>
      <c r="W136" s="41">
        <v>0</v>
      </c>
      <c r="X136" s="41">
        <v>0</v>
      </c>
      <c r="Y136" s="41">
        <f t="shared" si="23"/>
        <v>0</v>
      </c>
      <c r="Z136" s="41">
        <v>0</v>
      </c>
      <c r="AA136" s="41">
        <v>0</v>
      </c>
      <c r="AB136" s="41">
        <f t="shared" si="24"/>
        <v>0</v>
      </c>
      <c r="AC136" s="41">
        <v>58</v>
      </c>
      <c r="AD136" s="41">
        <v>2</v>
      </c>
      <c r="AE136" s="41">
        <f t="shared" si="25"/>
        <v>8815996.1604000051</v>
      </c>
      <c r="AF136" s="28">
        <f t="shared" si="26"/>
        <v>185092096.16040003</v>
      </c>
      <c r="AG136" s="28">
        <f t="shared" si="27"/>
        <v>181107.72618434444</v>
      </c>
    </row>
    <row r="137" spans="1:34" ht="57.6" x14ac:dyDescent="0.3">
      <c r="A137" s="41" t="s">
        <v>696</v>
      </c>
      <c r="B137" s="41" t="s">
        <v>689</v>
      </c>
      <c r="C137" s="41" t="s">
        <v>645</v>
      </c>
      <c r="D137" s="41" t="s">
        <v>5</v>
      </c>
      <c r="E137" s="41" t="s">
        <v>221</v>
      </c>
      <c r="F137" s="41" t="s">
        <v>709</v>
      </c>
      <c r="G137" s="83">
        <v>35000</v>
      </c>
      <c r="J137" s="84"/>
      <c r="K137" s="41">
        <v>100</v>
      </c>
      <c r="L137" s="41">
        <v>1</v>
      </c>
      <c r="M137" s="41">
        <f t="shared" si="19"/>
        <v>3850000</v>
      </c>
      <c r="N137" s="41">
        <v>0</v>
      </c>
      <c r="O137" s="41">
        <v>0</v>
      </c>
      <c r="P137" s="41">
        <f t="shared" si="20"/>
        <v>0</v>
      </c>
      <c r="Q137" s="41">
        <v>0</v>
      </c>
      <c r="R137" s="41">
        <v>0</v>
      </c>
      <c r="S137" s="41">
        <f t="shared" si="21"/>
        <v>0</v>
      </c>
      <c r="T137" s="41">
        <v>300</v>
      </c>
      <c r="U137" s="41">
        <v>10</v>
      </c>
      <c r="V137" s="41">
        <f t="shared" si="22"/>
        <v>153730500.00000003</v>
      </c>
      <c r="W137" s="41">
        <v>0</v>
      </c>
      <c r="X137" s="41">
        <v>0</v>
      </c>
      <c r="Y137" s="41">
        <f t="shared" si="23"/>
        <v>0</v>
      </c>
      <c r="Z137" s="41">
        <v>0</v>
      </c>
      <c r="AA137" s="41">
        <v>0</v>
      </c>
      <c r="AB137" s="41">
        <f t="shared" si="24"/>
        <v>0</v>
      </c>
      <c r="AC137" s="41">
        <v>100</v>
      </c>
      <c r="AD137" s="41">
        <v>1</v>
      </c>
      <c r="AE137" s="41">
        <f t="shared" si="25"/>
        <v>6820509.8500000034</v>
      </c>
      <c r="AF137" s="28">
        <f t="shared" si="26"/>
        <v>164401009.85000002</v>
      </c>
      <c r="AG137" s="28">
        <f t="shared" si="27"/>
        <v>160862.04486301373</v>
      </c>
    </row>
    <row r="138" spans="1:34" ht="57.6" x14ac:dyDescent="0.3">
      <c r="A138" s="41" t="s">
        <v>696</v>
      </c>
      <c r="B138" s="41" t="s">
        <v>689</v>
      </c>
      <c r="C138" s="41" t="s">
        <v>645</v>
      </c>
      <c r="D138" s="41" t="s">
        <v>5</v>
      </c>
      <c r="E138" s="41" t="s">
        <v>221</v>
      </c>
      <c r="F138" s="41" t="s">
        <v>1350</v>
      </c>
      <c r="G138" s="83">
        <f>1999.2/7</f>
        <v>285.60000000000002</v>
      </c>
      <c r="J138" s="84"/>
      <c r="K138" s="41">
        <f>2*135*29</f>
        <v>7830</v>
      </c>
      <c r="L138" s="41">
        <v>1</v>
      </c>
      <c r="M138" s="41">
        <f t="shared" si="19"/>
        <v>2459872.8000000003</v>
      </c>
      <c r="N138" s="41"/>
      <c r="O138" s="41"/>
      <c r="P138" s="41">
        <f t="shared" si="20"/>
        <v>0</v>
      </c>
      <c r="Q138" s="41"/>
      <c r="R138" s="41"/>
      <c r="S138" s="41">
        <f t="shared" si="21"/>
        <v>0</v>
      </c>
      <c r="T138" s="41"/>
      <c r="U138" s="41"/>
      <c r="V138" s="41">
        <f t="shared" si="22"/>
        <v>0</v>
      </c>
      <c r="W138" s="41"/>
      <c r="X138" s="41"/>
      <c r="Y138" s="41">
        <f t="shared" si="23"/>
        <v>0</v>
      </c>
      <c r="Z138" s="41"/>
      <c r="AA138" s="41"/>
      <c r="AB138" s="41">
        <f t="shared" si="24"/>
        <v>0</v>
      </c>
      <c r="AC138" s="41">
        <f>2*135*29</f>
        <v>7830</v>
      </c>
      <c r="AD138" s="41">
        <v>1</v>
      </c>
      <c r="AE138" s="41">
        <f t="shared" si="25"/>
        <v>4357814.7174408035</v>
      </c>
      <c r="AF138" s="28">
        <f t="shared" si="26"/>
        <v>6817687.5174408033</v>
      </c>
      <c r="AG138" s="28">
        <f t="shared" si="27"/>
        <v>6670.9271207835645</v>
      </c>
    </row>
    <row r="139" spans="1:34" ht="57.6" x14ac:dyDescent="0.3">
      <c r="A139" s="41" t="s">
        <v>696</v>
      </c>
      <c r="B139" s="41" t="s">
        <v>689</v>
      </c>
      <c r="C139" s="41" t="s">
        <v>645</v>
      </c>
      <c r="D139" s="41" t="s">
        <v>5</v>
      </c>
      <c r="E139" s="41" t="s">
        <v>221</v>
      </c>
      <c r="F139" s="41" t="s">
        <v>712</v>
      </c>
      <c r="G139" s="83">
        <f>1999.2/7</f>
        <v>285.60000000000002</v>
      </c>
      <c r="J139" s="84"/>
      <c r="K139" s="41">
        <f>25*2*29</f>
        <v>1450</v>
      </c>
      <c r="L139" s="41">
        <v>1</v>
      </c>
      <c r="M139" s="41">
        <f t="shared" si="19"/>
        <v>455532.00000000006</v>
      </c>
      <c r="N139" s="41">
        <v>0</v>
      </c>
      <c r="O139" s="41">
        <v>0</v>
      </c>
      <c r="P139" s="41">
        <f t="shared" si="20"/>
        <v>0</v>
      </c>
      <c r="Q139" s="41">
        <v>0</v>
      </c>
      <c r="R139" s="41">
        <v>0</v>
      </c>
      <c r="S139" s="41">
        <f t="shared" si="21"/>
        <v>0</v>
      </c>
      <c r="T139" s="41">
        <v>60000</v>
      </c>
      <c r="U139" s="41">
        <v>1</v>
      </c>
      <c r="V139" s="41">
        <f t="shared" si="22"/>
        <v>25088817.600000009</v>
      </c>
      <c r="W139" s="41">
        <v>0</v>
      </c>
      <c r="X139" s="41">
        <v>0</v>
      </c>
      <c r="Y139" s="41">
        <f t="shared" si="23"/>
        <v>0</v>
      </c>
      <c r="Z139" s="41">
        <v>0</v>
      </c>
      <c r="AA139" s="41">
        <v>0</v>
      </c>
      <c r="AB139" s="41">
        <f t="shared" si="24"/>
        <v>0</v>
      </c>
      <c r="AC139" s="41">
        <f>25*2*29</f>
        <v>1450</v>
      </c>
      <c r="AD139" s="41">
        <v>1</v>
      </c>
      <c r="AE139" s="41">
        <f t="shared" si="25"/>
        <v>807002.72545200062</v>
      </c>
      <c r="AF139" s="28">
        <f t="shared" si="26"/>
        <v>26351352.325452011</v>
      </c>
      <c r="AG139" s="28">
        <f t="shared" si="27"/>
        <v>25784.102079698641</v>
      </c>
    </row>
    <row r="140" spans="1:34" ht="57.6" x14ac:dyDescent="0.3">
      <c r="A140" s="41" t="s">
        <v>696</v>
      </c>
      <c r="B140" s="41" t="s">
        <v>689</v>
      </c>
      <c r="C140" s="41" t="s">
        <v>645</v>
      </c>
      <c r="D140" s="41" t="s">
        <v>5</v>
      </c>
      <c r="E140" s="41" t="s">
        <v>210</v>
      </c>
      <c r="F140" s="41" t="s">
        <v>709</v>
      </c>
      <c r="G140" s="83">
        <v>35000</v>
      </c>
      <c r="J140" s="84"/>
      <c r="K140" s="41">
        <v>100</v>
      </c>
      <c r="L140" s="41">
        <v>5</v>
      </c>
      <c r="M140" s="41">
        <f t="shared" si="19"/>
        <v>19250000</v>
      </c>
      <c r="N140" s="41">
        <v>0</v>
      </c>
      <c r="O140" s="41">
        <v>0</v>
      </c>
      <c r="P140" s="41">
        <f t="shared" si="20"/>
        <v>0</v>
      </c>
      <c r="Q140" s="41">
        <v>0</v>
      </c>
      <c r="R140" s="41">
        <v>0</v>
      </c>
      <c r="S140" s="41">
        <f t="shared" si="21"/>
        <v>0</v>
      </c>
      <c r="T140" s="41">
        <v>40</v>
      </c>
      <c r="U140" s="41">
        <v>5</v>
      </c>
      <c r="V140" s="41">
        <f t="shared" si="22"/>
        <v>10248700.000000002</v>
      </c>
      <c r="W140" s="41">
        <v>0</v>
      </c>
      <c r="X140" s="41">
        <v>0</v>
      </c>
      <c r="Y140" s="41">
        <f t="shared" si="23"/>
        <v>0</v>
      </c>
      <c r="Z140" s="41">
        <v>0</v>
      </c>
      <c r="AA140" s="41">
        <v>0</v>
      </c>
      <c r="AB140" s="41">
        <f t="shared" si="24"/>
        <v>0</v>
      </c>
      <c r="AC140" s="41">
        <v>100</v>
      </c>
      <c r="AD140" s="41">
        <v>5</v>
      </c>
      <c r="AE140" s="41">
        <f t="shared" si="25"/>
        <v>34102549.250000015</v>
      </c>
      <c r="AF140" s="28">
        <f t="shared" si="26"/>
        <v>63601249.250000015</v>
      </c>
      <c r="AG140" s="28">
        <f t="shared" si="27"/>
        <v>62232.142123287689</v>
      </c>
    </row>
    <row r="141" spans="1:34" ht="57.6" x14ac:dyDescent="0.3">
      <c r="A141" s="41" t="s">
        <v>696</v>
      </c>
      <c r="B141" s="41" t="s">
        <v>689</v>
      </c>
      <c r="C141" s="41" t="s">
        <v>645</v>
      </c>
      <c r="D141" s="41" t="s">
        <v>5</v>
      </c>
      <c r="E141" s="41" t="s">
        <v>210</v>
      </c>
      <c r="F141" s="41" t="s">
        <v>716</v>
      </c>
      <c r="G141" s="83">
        <v>39000</v>
      </c>
      <c r="J141" s="84"/>
      <c r="K141" s="41">
        <v>58</v>
      </c>
      <c r="L141" s="41">
        <v>6</v>
      </c>
      <c r="M141" s="41">
        <f t="shared" si="19"/>
        <v>14929200</v>
      </c>
      <c r="N141" s="41">
        <v>0</v>
      </c>
      <c r="O141" s="41">
        <v>0</v>
      </c>
      <c r="P141" s="41">
        <f t="shared" si="20"/>
        <v>0</v>
      </c>
      <c r="Q141" s="41">
        <v>0</v>
      </c>
      <c r="R141" s="41">
        <v>0</v>
      </c>
      <c r="S141" s="41">
        <f t="shared" si="21"/>
        <v>0</v>
      </c>
      <c r="T141" s="41">
        <v>40</v>
      </c>
      <c r="U141" s="41">
        <v>5</v>
      </c>
      <c r="V141" s="41">
        <f t="shared" si="22"/>
        <v>11419980.000000002</v>
      </c>
      <c r="W141" s="41">
        <v>0</v>
      </c>
      <c r="X141" s="41">
        <v>0</v>
      </c>
      <c r="Y141" s="41">
        <f t="shared" si="23"/>
        <v>0</v>
      </c>
      <c r="Z141" s="41">
        <v>0</v>
      </c>
      <c r="AA141" s="41">
        <v>0</v>
      </c>
      <c r="AB141" s="41">
        <f t="shared" si="24"/>
        <v>0</v>
      </c>
      <c r="AC141" s="41">
        <v>58</v>
      </c>
      <c r="AD141" s="41">
        <v>6</v>
      </c>
      <c r="AE141" s="41">
        <f t="shared" si="25"/>
        <v>26447988.481200017</v>
      </c>
      <c r="AF141" s="28">
        <f t="shared" si="26"/>
        <v>52797168.481200017</v>
      </c>
      <c r="AG141" s="28">
        <f t="shared" si="27"/>
        <v>51660.634521722131</v>
      </c>
    </row>
    <row r="142" spans="1:34" ht="57.6" x14ac:dyDescent="0.3">
      <c r="A142" s="41" t="s">
        <v>696</v>
      </c>
      <c r="B142" s="41" t="s">
        <v>689</v>
      </c>
      <c r="C142" s="41" t="s">
        <v>645</v>
      </c>
      <c r="D142" s="41" t="s">
        <v>5</v>
      </c>
      <c r="E142" s="41" t="s">
        <v>210</v>
      </c>
      <c r="F142" s="41" t="s">
        <v>1350</v>
      </c>
      <c r="G142" s="83">
        <f>1999.2/7</f>
        <v>285.60000000000002</v>
      </c>
      <c r="J142" s="84"/>
      <c r="K142" s="41">
        <f>2*135*29</f>
        <v>7830</v>
      </c>
      <c r="L142" s="41">
        <v>1</v>
      </c>
      <c r="M142" s="41">
        <f t="shared" si="19"/>
        <v>2459872.8000000003</v>
      </c>
      <c r="N142" s="41"/>
      <c r="O142" s="41"/>
      <c r="P142" s="41">
        <f t="shared" si="20"/>
        <v>0</v>
      </c>
      <c r="Q142" s="41"/>
      <c r="R142" s="41"/>
      <c r="S142" s="41">
        <f t="shared" si="21"/>
        <v>0</v>
      </c>
      <c r="T142" s="41"/>
      <c r="U142" s="41"/>
      <c r="V142" s="41">
        <f t="shared" si="22"/>
        <v>0</v>
      </c>
      <c r="W142" s="41"/>
      <c r="X142" s="41"/>
      <c r="Y142" s="41">
        <f t="shared" si="23"/>
        <v>0</v>
      </c>
      <c r="Z142" s="41"/>
      <c r="AA142" s="41"/>
      <c r="AB142" s="41">
        <f t="shared" si="24"/>
        <v>0</v>
      </c>
      <c r="AC142" s="41">
        <f>2*135*29</f>
        <v>7830</v>
      </c>
      <c r="AD142" s="41">
        <v>1</v>
      </c>
      <c r="AE142" s="41">
        <f t="shared" si="25"/>
        <v>4357814.7174408035</v>
      </c>
      <c r="AF142" s="28">
        <f t="shared" si="26"/>
        <v>6817687.5174408033</v>
      </c>
      <c r="AG142" s="28">
        <f t="shared" si="27"/>
        <v>6670.9271207835645</v>
      </c>
    </row>
    <row r="143" spans="1:34" ht="57.6" x14ac:dyDescent="0.3">
      <c r="A143" s="41" t="s">
        <v>696</v>
      </c>
      <c r="B143" s="41" t="s">
        <v>689</v>
      </c>
      <c r="C143" s="41" t="s">
        <v>645</v>
      </c>
      <c r="D143" s="41" t="s">
        <v>5</v>
      </c>
      <c r="E143" s="41" t="s">
        <v>210</v>
      </c>
      <c r="F143" s="41" t="s">
        <v>712</v>
      </c>
      <c r="G143" s="83">
        <f>1999.2/7</f>
        <v>285.60000000000002</v>
      </c>
      <c r="J143" s="84"/>
      <c r="K143" s="41">
        <f>25*2*29</f>
        <v>1450</v>
      </c>
      <c r="L143" s="41">
        <v>5</v>
      </c>
      <c r="M143" s="41">
        <f t="shared" si="19"/>
        <v>2277660.0000000005</v>
      </c>
      <c r="N143" s="41"/>
      <c r="O143" s="41"/>
      <c r="P143" s="41">
        <f t="shared" si="20"/>
        <v>0</v>
      </c>
      <c r="Q143" s="41"/>
      <c r="R143" s="41"/>
      <c r="S143" s="41">
        <f t="shared" si="21"/>
        <v>0</v>
      </c>
      <c r="T143" s="41"/>
      <c r="U143" s="41"/>
      <c r="V143" s="41">
        <f t="shared" si="22"/>
        <v>0</v>
      </c>
      <c r="W143" s="41"/>
      <c r="X143" s="41"/>
      <c r="Y143" s="41">
        <f t="shared" si="23"/>
        <v>0</v>
      </c>
      <c r="Z143" s="41"/>
      <c r="AA143" s="41"/>
      <c r="AB143" s="41">
        <f t="shared" si="24"/>
        <v>0</v>
      </c>
      <c r="AC143" s="41">
        <f>25*2*29</f>
        <v>1450</v>
      </c>
      <c r="AD143" s="41">
        <v>5</v>
      </c>
      <c r="AE143" s="41">
        <f t="shared" si="25"/>
        <v>4035013.6272600032</v>
      </c>
      <c r="AF143" s="28">
        <f t="shared" si="26"/>
        <v>6312673.6272600032</v>
      </c>
      <c r="AG143" s="28">
        <f t="shared" si="27"/>
        <v>6176.7843710958932</v>
      </c>
    </row>
    <row r="144" spans="1:34" x14ac:dyDescent="0.3">
      <c r="A144" s="91" t="s">
        <v>1302</v>
      </c>
      <c r="B144" s="91"/>
      <c r="C144" s="91"/>
      <c r="D144" s="91"/>
      <c r="E144" s="91"/>
      <c r="F144" s="91"/>
      <c r="G144" s="92"/>
      <c r="H144" s="94"/>
      <c r="I144" s="94"/>
      <c r="J144" s="96">
        <f>SUM(J93:J143)</f>
        <v>0</v>
      </c>
      <c r="K144" s="91"/>
      <c r="L144" s="91"/>
      <c r="M144" s="96">
        <f>SUM(M93:M143)</f>
        <v>160182041.965</v>
      </c>
      <c r="N144" s="91"/>
      <c r="O144" s="91"/>
      <c r="P144" s="96">
        <f>SUM(P93:P143)</f>
        <v>0</v>
      </c>
      <c r="Q144" s="91"/>
      <c r="R144" s="91"/>
      <c r="S144" s="96">
        <f>SUM(S93:S143)</f>
        <v>0</v>
      </c>
      <c r="T144" s="91"/>
      <c r="U144" s="91"/>
      <c r="V144" s="96">
        <f>SUM(V93:V143)</f>
        <v>1173294329.497015</v>
      </c>
      <c r="W144" s="91"/>
      <c r="X144" s="91"/>
      <c r="Y144" s="96">
        <f>SUM(Y93:Y143)</f>
        <v>0</v>
      </c>
      <c r="Z144" s="91"/>
      <c r="AA144" s="91"/>
      <c r="AB144" s="96">
        <f>SUM(AB93:AB143)</f>
        <v>0</v>
      </c>
      <c r="AC144" s="91"/>
      <c r="AD144" s="91"/>
      <c r="AE144" s="96">
        <f>SUM(AE93:AE143)</f>
        <v>283772258.44555753</v>
      </c>
      <c r="AF144" s="95"/>
      <c r="AG144" s="95"/>
      <c r="AH144" s="96"/>
    </row>
    <row r="145" spans="1:34" s="62" customFormat="1" x14ac:dyDescent="0.3">
      <c r="A145" s="63"/>
      <c r="B145" s="63"/>
      <c r="C145" s="63"/>
      <c r="D145" s="63"/>
      <c r="E145" s="63"/>
      <c r="F145" s="63"/>
      <c r="G145" s="90"/>
      <c r="J145" s="117">
        <f>J144/$AL$2</f>
        <v>0</v>
      </c>
      <c r="K145" s="63"/>
      <c r="L145" s="63"/>
      <c r="M145" s="117">
        <f>M144/$AL$2</f>
        <v>156733.89624755381</v>
      </c>
      <c r="N145" s="63"/>
      <c r="O145" s="63"/>
      <c r="P145" s="117">
        <f>P144/$AL$2</f>
        <v>0</v>
      </c>
      <c r="Q145" s="63"/>
      <c r="R145" s="63"/>
      <c r="S145" s="117">
        <f>S144/$AL$2</f>
        <v>0</v>
      </c>
      <c r="T145" s="63"/>
      <c r="U145" s="63"/>
      <c r="V145" s="117">
        <f>V144/$AL$2</f>
        <v>1148037.5044002105</v>
      </c>
      <c r="W145" s="63"/>
      <c r="X145" s="63"/>
      <c r="Y145" s="117">
        <f>Y144/$AL$2</f>
        <v>0</v>
      </c>
      <c r="Z145" s="63"/>
      <c r="AA145" s="63"/>
      <c r="AB145" s="117">
        <f>AB144/$AL$2</f>
        <v>0</v>
      </c>
      <c r="AC145" s="63"/>
      <c r="AD145" s="63"/>
      <c r="AE145" s="117">
        <f>AE144/$AL$2</f>
        <v>277663.65797021287</v>
      </c>
      <c r="AF145" s="20"/>
      <c r="AG145" s="20"/>
      <c r="AH145" s="117">
        <f>AH144/$AL$2</f>
        <v>0</v>
      </c>
    </row>
    <row r="146" spans="1:34" ht="43.2" x14ac:dyDescent="0.3">
      <c r="A146" s="41" t="s">
        <v>696</v>
      </c>
      <c r="B146" s="41" t="s">
        <v>689</v>
      </c>
      <c r="C146" s="41" t="s">
        <v>1379</v>
      </c>
      <c r="D146" s="41" t="s">
        <v>7</v>
      </c>
      <c r="E146" s="41" t="s">
        <v>212</v>
      </c>
      <c r="F146" s="41" t="s">
        <v>718</v>
      </c>
      <c r="G146" s="83">
        <v>0</v>
      </c>
      <c r="J146" s="84"/>
      <c r="K146" s="41">
        <v>0</v>
      </c>
      <c r="L146" s="41">
        <v>0</v>
      </c>
      <c r="M146" s="41">
        <f t="shared" si="19"/>
        <v>0</v>
      </c>
      <c r="N146" s="41">
        <v>0</v>
      </c>
      <c r="O146" s="41">
        <v>0</v>
      </c>
      <c r="P146" s="41">
        <f t="shared" si="20"/>
        <v>0</v>
      </c>
      <c r="Q146" s="41">
        <v>0</v>
      </c>
      <c r="R146" s="41">
        <v>0</v>
      </c>
      <c r="S146" s="41">
        <f t="shared" si="21"/>
        <v>0</v>
      </c>
      <c r="T146" s="41">
        <v>0</v>
      </c>
      <c r="U146" s="41">
        <v>0</v>
      </c>
      <c r="V146" s="41">
        <f t="shared" si="22"/>
        <v>0</v>
      </c>
      <c r="W146" s="41">
        <v>0</v>
      </c>
      <c r="X146" s="41">
        <v>0</v>
      </c>
      <c r="Y146" s="41">
        <f t="shared" si="23"/>
        <v>0</v>
      </c>
      <c r="Z146" s="41">
        <v>0</v>
      </c>
      <c r="AA146" s="41">
        <v>0</v>
      </c>
      <c r="AB146" s="41">
        <f t="shared" si="24"/>
        <v>0</v>
      </c>
      <c r="AC146" s="41">
        <v>0</v>
      </c>
      <c r="AD146" s="41">
        <v>0</v>
      </c>
      <c r="AE146" s="41">
        <f t="shared" si="25"/>
        <v>0</v>
      </c>
      <c r="AF146" s="28">
        <f t="shared" si="26"/>
        <v>0</v>
      </c>
      <c r="AG146" s="28">
        <f t="shared" si="27"/>
        <v>0</v>
      </c>
    </row>
    <row r="147" spans="1:34" ht="43.2" x14ac:dyDescent="0.3">
      <c r="A147" s="41" t="s">
        <v>696</v>
      </c>
      <c r="B147" s="41" t="s">
        <v>689</v>
      </c>
      <c r="C147" s="41" t="s">
        <v>1379</v>
      </c>
      <c r="D147" s="41" t="s">
        <v>7</v>
      </c>
      <c r="E147" s="41" t="s">
        <v>213</v>
      </c>
      <c r="F147" s="41" t="s">
        <v>718</v>
      </c>
      <c r="G147" s="83">
        <v>0</v>
      </c>
      <c r="J147" s="84"/>
      <c r="K147" s="41">
        <v>0</v>
      </c>
      <c r="L147" s="41">
        <v>0</v>
      </c>
      <c r="M147" s="41">
        <f t="shared" si="19"/>
        <v>0</v>
      </c>
      <c r="N147" s="41">
        <v>0</v>
      </c>
      <c r="O147" s="41">
        <v>0</v>
      </c>
      <c r="P147" s="41">
        <f t="shared" si="20"/>
        <v>0</v>
      </c>
      <c r="Q147" s="41">
        <v>0</v>
      </c>
      <c r="R147" s="41">
        <v>0</v>
      </c>
      <c r="S147" s="41">
        <f t="shared" si="21"/>
        <v>0</v>
      </c>
      <c r="T147" s="41">
        <v>0</v>
      </c>
      <c r="U147" s="41">
        <v>0</v>
      </c>
      <c r="V147" s="41">
        <f t="shared" si="22"/>
        <v>0</v>
      </c>
      <c r="W147" s="41">
        <v>0</v>
      </c>
      <c r="X147" s="41">
        <v>0</v>
      </c>
      <c r="Y147" s="41">
        <f t="shared" si="23"/>
        <v>0</v>
      </c>
      <c r="Z147" s="41">
        <v>0</v>
      </c>
      <c r="AA147" s="41">
        <v>0</v>
      </c>
      <c r="AB147" s="41">
        <f t="shared" si="24"/>
        <v>0</v>
      </c>
      <c r="AC147" s="41">
        <v>0</v>
      </c>
      <c r="AD147" s="41">
        <v>0</v>
      </c>
      <c r="AE147" s="41">
        <f t="shared" si="25"/>
        <v>0</v>
      </c>
      <c r="AF147" s="28">
        <f t="shared" si="26"/>
        <v>0</v>
      </c>
      <c r="AG147" s="28">
        <f t="shared" si="27"/>
        <v>0</v>
      </c>
    </row>
    <row r="148" spans="1:34" ht="57.6" x14ac:dyDescent="0.3">
      <c r="A148" s="41" t="s">
        <v>696</v>
      </c>
      <c r="B148" s="41" t="s">
        <v>689</v>
      </c>
      <c r="C148" s="41" t="s">
        <v>1379</v>
      </c>
      <c r="D148" s="41" t="s">
        <v>8</v>
      </c>
      <c r="E148" s="41" t="s">
        <v>214</v>
      </c>
      <c r="F148" s="41" t="s">
        <v>709</v>
      </c>
      <c r="G148" s="83">
        <v>35000</v>
      </c>
      <c r="J148" s="84"/>
      <c r="M148" s="41">
        <f t="shared" si="19"/>
        <v>0</v>
      </c>
      <c r="N148" s="41">
        <v>0</v>
      </c>
      <c r="O148" s="41">
        <v>0</v>
      </c>
      <c r="P148" s="41">
        <f t="shared" si="20"/>
        <v>0</v>
      </c>
      <c r="Q148" s="41">
        <v>0</v>
      </c>
      <c r="R148" s="41">
        <v>0</v>
      </c>
      <c r="S148" s="41">
        <f t="shared" si="21"/>
        <v>0</v>
      </c>
      <c r="T148" s="41"/>
      <c r="U148" s="41"/>
      <c r="V148" s="41">
        <f t="shared" si="22"/>
        <v>0</v>
      </c>
      <c r="W148" s="41">
        <v>0</v>
      </c>
      <c r="X148" s="41">
        <v>0</v>
      </c>
      <c r="Y148" s="41">
        <f t="shared" si="23"/>
        <v>0</v>
      </c>
      <c r="Z148" s="41">
        <v>0</v>
      </c>
      <c r="AA148" s="41">
        <v>0</v>
      </c>
      <c r="AB148" s="41">
        <f t="shared" si="24"/>
        <v>0</v>
      </c>
      <c r="AE148" s="41">
        <f t="shared" si="25"/>
        <v>0</v>
      </c>
      <c r="AF148" s="28">
        <f t="shared" si="26"/>
        <v>0</v>
      </c>
      <c r="AG148" s="28">
        <f t="shared" si="27"/>
        <v>0</v>
      </c>
    </row>
    <row r="149" spans="1:34" ht="57.6" x14ac:dyDescent="0.3">
      <c r="A149" s="41" t="s">
        <v>696</v>
      </c>
      <c r="B149" s="41" t="s">
        <v>689</v>
      </c>
      <c r="C149" s="41" t="s">
        <v>1379</v>
      </c>
      <c r="D149" s="41" t="s">
        <v>8</v>
      </c>
      <c r="E149" s="41" t="s">
        <v>215</v>
      </c>
      <c r="F149" s="41" t="s">
        <v>718</v>
      </c>
      <c r="G149" s="83">
        <v>0</v>
      </c>
      <c r="J149" s="84"/>
      <c r="K149" s="41">
        <v>0</v>
      </c>
      <c r="L149" s="41">
        <v>0</v>
      </c>
      <c r="M149" s="41">
        <f t="shared" si="19"/>
        <v>0</v>
      </c>
      <c r="N149" s="41">
        <v>0</v>
      </c>
      <c r="O149" s="41">
        <v>0</v>
      </c>
      <c r="P149" s="41">
        <f t="shared" si="20"/>
        <v>0</v>
      </c>
      <c r="Q149" s="41">
        <v>0</v>
      </c>
      <c r="R149" s="41">
        <v>0</v>
      </c>
      <c r="S149" s="41">
        <f t="shared" si="21"/>
        <v>0</v>
      </c>
      <c r="T149" s="41">
        <v>0</v>
      </c>
      <c r="U149" s="41">
        <v>0</v>
      </c>
      <c r="V149" s="41">
        <f t="shared" si="22"/>
        <v>0</v>
      </c>
      <c r="W149" s="41">
        <v>0</v>
      </c>
      <c r="X149" s="41">
        <v>0</v>
      </c>
      <c r="Y149" s="41">
        <f t="shared" si="23"/>
        <v>0</v>
      </c>
      <c r="Z149" s="41">
        <v>0</v>
      </c>
      <c r="AA149" s="41">
        <v>0</v>
      </c>
      <c r="AB149" s="41">
        <f t="shared" si="24"/>
        <v>0</v>
      </c>
      <c r="AC149" s="41">
        <v>0</v>
      </c>
      <c r="AD149" s="41">
        <v>0</v>
      </c>
      <c r="AE149" s="41">
        <f t="shared" si="25"/>
        <v>0</v>
      </c>
      <c r="AF149" s="28">
        <f t="shared" si="26"/>
        <v>0</v>
      </c>
      <c r="AG149" s="28">
        <f t="shared" si="27"/>
        <v>0</v>
      </c>
    </row>
    <row r="150" spans="1:34" ht="57.6" x14ac:dyDescent="0.3">
      <c r="A150" s="41" t="s">
        <v>696</v>
      </c>
      <c r="B150" s="41" t="s">
        <v>689</v>
      </c>
      <c r="C150" s="41" t="s">
        <v>1379</v>
      </c>
      <c r="D150" s="41" t="s">
        <v>8</v>
      </c>
      <c r="E150" s="41" t="s">
        <v>216</v>
      </c>
      <c r="F150" s="41" t="s">
        <v>708</v>
      </c>
      <c r="G150" s="83">
        <f>500*1030</f>
        <v>515000</v>
      </c>
      <c r="J150" s="84"/>
      <c r="K150" s="41">
        <v>1</v>
      </c>
      <c r="L150" s="41">
        <v>25</v>
      </c>
      <c r="M150" s="41">
        <f t="shared" si="19"/>
        <v>14162500</v>
      </c>
      <c r="N150" s="41">
        <v>0</v>
      </c>
      <c r="O150" s="41">
        <v>0</v>
      </c>
      <c r="P150" s="41">
        <f t="shared" si="20"/>
        <v>0</v>
      </c>
      <c r="Q150" s="41">
        <v>0</v>
      </c>
      <c r="R150" s="41">
        <v>0</v>
      </c>
      <c r="S150" s="41">
        <f t="shared" si="21"/>
        <v>0</v>
      </c>
      <c r="T150" s="41">
        <v>3</v>
      </c>
      <c r="U150" s="41">
        <v>40</v>
      </c>
      <c r="V150" s="41">
        <f t="shared" si="22"/>
        <v>90481380.00000003</v>
      </c>
      <c r="W150" s="41">
        <v>0</v>
      </c>
      <c r="X150" s="41">
        <v>0</v>
      </c>
      <c r="Y150" s="41">
        <f t="shared" si="23"/>
        <v>0</v>
      </c>
      <c r="Z150" s="41">
        <v>0</v>
      </c>
      <c r="AA150" s="41">
        <v>0</v>
      </c>
      <c r="AB150" s="41">
        <f t="shared" si="24"/>
        <v>0</v>
      </c>
      <c r="AC150" s="41">
        <v>1</v>
      </c>
      <c r="AD150" s="41">
        <v>25</v>
      </c>
      <c r="AE150" s="41">
        <f t="shared" si="25"/>
        <v>25089732.662500016</v>
      </c>
      <c r="AF150" s="28">
        <f t="shared" si="26"/>
        <v>129733612.66250005</v>
      </c>
      <c r="AG150" s="28">
        <f t="shared" si="27"/>
        <v>126940.91258561649</v>
      </c>
    </row>
    <row r="151" spans="1:34" ht="57.6" x14ac:dyDescent="0.3">
      <c r="A151" s="41" t="s">
        <v>696</v>
      </c>
      <c r="B151" s="41" t="s">
        <v>689</v>
      </c>
      <c r="C151" s="41" t="s">
        <v>1379</v>
      </c>
      <c r="D151" s="41" t="s">
        <v>8</v>
      </c>
      <c r="E151" s="41" t="s">
        <v>216</v>
      </c>
      <c r="F151" s="41" t="s">
        <v>707</v>
      </c>
      <c r="G151" s="83">
        <v>391991.03749999998</v>
      </c>
      <c r="J151" s="84"/>
      <c r="K151" s="41">
        <v>2</v>
      </c>
      <c r="L151" s="41">
        <v>2</v>
      </c>
      <c r="M151" s="41">
        <f t="shared" si="19"/>
        <v>1724760.5649999999</v>
      </c>
      <c r="N151" s="41">
        <v>0</v>
      </c>
      <c r="O151" s="41">
        <v>0</v>
      </c>
      <c r="P151" s="41">
        <f t="shared" si="20"/>
        <v>0</v>
      </c>
      <c r="Q151" s="41">
        <v>0</v>
      </c>
      <c r="R151" s="41">
        <v>0</v>
      </c>
      <c r="S151" s="41">
        <f t="shared" si="21"/>
        <v>0</v>
      </c>
      <c r="T151" s="41">
        <v>1</v>
      </c>
      <c r="U151" s="41">
        <v>4</v>
      </c>
      <c r="V151" s="41">
        <f t="shared" si="22"/>
        <v>2295656.3120150003</v>
      </c>
      <c r="W151" s="41">
        <v>0</v>
      </c>
      <c r="X151" s="41">
        <v>0</v>
      </c>
      <c r="Y151" s="41">
        <f t="shared" si="23"/>
        <v>0</v>
      </c>
      <c r="Z151" s="41">
        <v>0</v>
      </c>
      <c r="AA151" s="41">
        <v>0</v>
      </c>
      <c r="AB151" s="41">
        <f t="shared" si="24"/>
        <v>0</v>
      </c>
      <c r="AC151" s="41">
        <v>2</v>
      </c>
      <c r="AD151" s="41">
        <v>2</v>
      </c>
      <c r="AE151" s="41">
        <f t="shared" si="25"/>
        <v>3055518.5512919668</v>
      </c>
      <c r="AF151" s="28">
        <f t="shared" si="26"/>
        <v>7075935.428306967</v>
      </c>
      <c r="AG151" s="28">
        <f t="shared" si="27"/>
        <v>6923.6158789696347</v>
      </c>
    </row>
    <row r="152" spans="1:34" ht="43.2" x14ac:dyDescent="0.3">
      <c r="A152" s="41" t="s">
        <v>696</v>
      </c>
      <c r="B152" s="41" t="s">
        <v>689</v>
      </c>
      <c r="C152" s="41" t="s">
        <v>1379</v>
      </c>
      <c r="D152" s="41" t="s">
        <v>9</v>
      </c>
      <c r="E152" s="41" t="s">
        <v>217</v>
      </c>
      <c r="F152" s="41" t="s">
        <v>716</v>
      </c>
      <c r="G152" s="83">
        <v>39000</v>
      </c>
      <c r="J152" s="84"/>
      <c r="K152" s="41">
        <v>25</v>
      </c>
      <c r="L152" s="41">
        <v>6</v>
      </c>
      <c r="M152" s="41">
        <f t="shared" si="19"/>
        <v>6435000</v>
      </c>
      <c r="N152" s="41">
        <v>0</v>
      </c>
      <c r="O152" s="41">
        <v>0</v>
      </c>
      <c r="P152" s="41">
        <f t="shared" si="20"/>
        <v>0</v>
      </c>
      <c r="Q152" s="41">
        <v>0</v>
      </c>
      <c r="R152" s="41">
        <v>0</v>
      </c>
      <c r="S152" s="41">
        <f t="shared" si="21"/>
        <v>0</v>
      </c>
      <c r="T152" s="41">
        <v>40</v>
      </c>
      <c r="U152" s="41">
        <v>5</v>
      </c>
      <c r="V152" s="41">
        <f t="shared" si="22"/>
        <v>11419980.000000002</v>
      </c>
      <c r="W152" s="41">
        <v>0</v>
      </c>
      <c r="X152" s="41">
        <v>0</v>
      </c>
      <c r="Y152" s="41">
        <f t="shared" si="23"/>
        <v>0</v>
      </c>
      <c r="Z152" s="41">
        <v>0</v>
      </c>
      <c r="AA152" s="41">
        <v>0</v>
      </c>
      <c r="AB152" s="41">
        <f t="shared" si="24"/>
        <v>0</v>
      </c>
      <c r="AC152" s="41">
        <v>25</v>
      </c>
      <c r="AD152" s="41">
        <v>6</v>
      </c>
      <c r="AE152" s="41">
        <f t="shared" si="25"/>
        <v>11399995.035000006</v>
      </c>
      <c r="AF152" s="28">
        <f t="shared" si="26"/>
        <v>29254975.035000004</v>
      </c>
      <c r="AG152" s="28">
        <f t="shared" si="27"/>
        <v>28625.220190802353</v>
      </c>
    </row>
    <row r="153" spans="1:34" ht="43.2" x14ac:dyDescent="0.3">
      <c r="A153" s="41" t="s">
        <v>696</v>
      </c>
      <c r="B153" s="41" t="s">
        <v>689</v>
      </c>
      <c r="C153" s="41" t="s">
        <v>1379</v>
      </c>
      <c r="D153" s="41" t="s">
        <v>9</v>
      </c>
      <c r="E153" s="41" t="s">
        <v>217</v>
      </c>
      <c r="F153" s="41" t="s">
        <v>709</v>
      </c>
      <c r="G153" s="83">
        <v>35000</v>
      </c>
      <c r="J153" s="84"/>
      <c r="K153" s="41">
        <v>25</v>
      </c>
      <c r="L153" s="41">
        <v>5</v>
      </c>
      <c r="M153" s="41">
        <f t="shared" si="19"/>
        <v>4812500</v>
      </c>
      <c r="N153" s="41">
        <v>0</v>
      </c>
      <c r="O153" s="41">
        <v>0</v>
      </c>
      <c r="P153" s="41">
        <f t="shared" si="20"/>
        <v>0</v>
      </c>
      <c r="Q153" s="41">
        <v>0</v>
      </c>
      <c r="R153" s="41">
        <v>0</v>
      </c>
      <c r="S153" s="41">
        <f t="shared" si="21"/>
        <v>0</v>
      </c>
      <c r="T153" s="41">
        <v>40</v>
      </c>
      <c r="U153" s="41">
        <v>5</v>
      </c>
      <c r="V153" s="41">
        <f t="shared" si="22"/>
        <v>10248700.000000002</v>
      </c>
      <c r="W153" s="41">
        <v>0</v>
      </c>
      <c r="X153" s="41">
        <v>0</v>
      </c>
      <c r="Y153" s="41">
        <f t="shared" si="23"/>
        <v>0</v>
      </c>
      <c r="Z153" s="41">
        <v>0</v>
      </c>
      <c r="AA153" s="41">
        <v>0</v>
      </c>
      <c r="AB153" s="41">
        <f t="shared" si="24"/>
        <v>0</v>
      </c>
      <c r="AC153" s="41">
        <v>25</v>
      </c>
      <c r="AD153" s="41">
        <v>5</v>
      </c>
      <c r="AE153" s="41">
        <f t="shared" si="25"/>
        <v>8525637.3125000037</v>
      </c>
      <c r="AF153" s="28">
        <f t="shared" si="26"/>
        <v>23586837.312500007</v>
      </c>
      <c r="AG153" s="28">
        <f t="shared" si="27"/>
        <v>23079.097174657541</v>
      </c>
    </row>
    <row r="154" spans="1:34" ht="43.2" x14ac:dyDescent="0.3">
      <c r="A154" s="41" t="s">
        <v>696</v>
      </c>
      <c r="B154" s="41" t="s">
        <v>689</v>
      </c>
      <c r="C154" s="41" t="s">
        <v>1379</v>
      </c>
      <c r="D154" s="41" t="s">
        <v>9</v>
      </c>
      <c r="E154" s="41" t="s">
        <v>217</v>
      </c>
      <c r="F154" s="41" t="s">
        <v>1350</v>
      </c>
      <c r="G154" s="83">
        <f>1999.2/7</f>
        <v>285.60000000000002</v>
      </c>
      <c r="J154" s="84"/>
      <c r="K154" s="41">
        <f>2*135*9</f>
        <v>2430</v>
      </c>
      <c r="L154" s="41">
        <v>1</v>
      </c>
      <c r="M154" s="41">
        <f t="shared" si="19"/>
        <v>763408.8</v>
      </c>
      <c r="N154" s="41"/>
      <c r="O154" s="41"/>
      <c r="P154" s="41">
        <f t="shared" si="20"/>
        <v>0</v>
      </c>
      <c r="Q154" s="41"/>
      <c r="R154" s="41"/>
      <c r="S154" s="41">
        <f t="shared" si="21"/>
        <v>0</v>
      </c>
      <c r="T154" s="41"/>
      <c r="U154" s="41"/>
      <c r="V154" s="41">
        <f t="shared" si="22"/>
        <v>0</v>
      </c>
      <c r="W154" s="41"/>
      <c r="X154" s="41"/>
      <c r="Y154" s="41">
        <f t="shared" si="23"/>
        <v>0</v>
      </c>
      <c r="Z154" s="41"/>
      <c r="AA154" s="41"/>
      <c r="AB154" s="41">
        <f t="shared" si="24"/>
        <v>0</v>
      </c>
      <c r="AC154" s="41">
        <f>2*135*9</f>
        <v>2430</v>
      </c>
      <c r="AD154" s="41">
        <v>1</v>
      </c>
      <c r="AE154" s="41">
        <f t="shared" si="25"/>
        <v>1352425.257136801</v>
      </c>
      <c r="AF154" s="28">
        <f t="shared" si="26"/>
        <v>2115834.0571368011</v>
      </c>
      <c r="AG154" s="28">
        <f t="shared" si="27"/>
        <v>2070.2877271397269</v>
      </c>
    </row>
    <row r="155" spans="1:34" ht="43.2" x14ac:dyDescent="0.3">
      <c r="A155" s="41" t="s">
        <v>696</v>
      </c>
      <c r="B155" s="41" t="s">
        <v>689</v>
      </c>
      <c r="C155" s="41" t="s">
        <v>1379</v>
      </c>
      <c r="D155" s="41" t="s">
        <v>9</v>
      </c>
      <c r="E155" s="41" t="s">
        <v>217</v>
      </c>
      <c r="F155" s="41" t="s">
        <v>712</v>
      </c>
      <c r="G155" s="83">
        <f>1999.2/7</f>
        <v>285.60000000000002</v>
      </c>
      <c r="J155" s="84"/>
      <c r="K155" s="41">
        <f>25*2*9</f>
        <v>450</v>
      </c>
      <c r="L155" s="41">
        <v>5</v>
      </c>
      <c r="M155" s="41">
        <f t="shared" si="19"/>
        <v>706860</v>
      </c>
      <c r="N155" s="41">
        <v>0</v>
      </c>
      <c r="O155" s="41">
        <v>0</v>
      </c>
      <c r="P155" s="41">
        <f t="shared" si="20"/>
        <v>0</v>
      </c>
      <c r="Q155" s="41">
        <v>0</v>
      </c>
      <c r="R155" s="41">
        <v>0</v>
      </c>
      <c r="S155" s="41">
        <f t="shared" si="21"/>
        <v>0</v>
      </c>
      <c r="T155" s="41">
        <v>20000</v>
      </c>
      <c r="U155" s="41">
        <v>1</v>
      </c>
      <c r="V155" s="41">
        <f t="shared" si="22"/>
        <v>8362939.200000003</v>
      </c>
      <c r="W155" s="41">
        <v>0</v>
      </c>
      <c r="X155" s="41">
        <v>0</v>
      </c>
      <c r="Y155" s="41">
        <f t="shared" si="23"/>
        <v>0</v>
      </c>
      <c r="Z155" s="41">
        <v>0</v>
      </c>
      <c r="AA155" s="41">
        <v>0</v>
      </c>
      <c r="AB155" s="41">
        <f t="shared" si="24"/>
        <v>0</v>
      </c>
      <c r="AC155" s="41">
        <f>25*2*9</f>
        <v>450</v>
      </c>
      <c r="AD155" s="41">
        <v>5</v>
      </c>
      <c r="AE155" s="41">
        <f t="shared" si="25"/>
        <v>1252245.6084600009</v>
      </c>
      <c r="AF155" s="28">
        <f t="shared" si="26"/>
        <v>10322044.808460005</v>
      </c>
      <c r="AG155" s="28">
        <f t="shared" si="27"/>
        <v>10099.848149178088</v>
      </c>
    </row>
    <row r="156" spans="1:34" ht="43.2" x14ac:dyDescent="0.3">
      <c r="A156" s="41" t="s">
        <v>696</v>
      </c>
      <c r="B156" s="41" t="s">
        <v>689</v>
      </c>
      <c r="C156" s="41" t="s">
        <v>1379</v>
      </c>
      <c r="D156" s="41" t="s">
        <v>9</v>
      </c>
      <c r="E156" s="41" t="s">
        <v>218</v>
      </c>
      <c r="F156" s="41" t="s">
        <v>716</v>
      </c>
      <c r="G156" s="83">
        <v>39000</v>
      </c>
      <c r="J156" s="84"/>
      <c r="K156" s="41">
        <v>30</v>
      </c>
      <c r="L156" s="41">
        <v>6</v>
      </c>
      <c r="M156" s="41">
        <f t="shared" si="19"/>
        <v>7722000</v>
      </c>
      <c r="N156" s="41">
        <v>0</v>
      </c>
      <c r="O156" s="41">
        <v>0</v>
      </c>
      <c r="P156" s="41">
        <f t="shared" si="20"/>
        <v>0</v>
      </c>
      <c r="Q156" s="41">
        <v>0</v>
      </c>
      <c r="R156" s="41">
        <v>0</v>
      </c>
      <c r="S156" s="41">
        <f t="shared" si="21"/>
        <v>0</v>
      </c>
      <c r="T156" s="41">
        <v>40</v>
      </c>
      <c r="U156" s="41">
        <v>3</v>
      </c>
      <c r="V156" s="41">
        <f t="shared" si="22"/>
        <v>6851988.0000000019</v>
      </c>
      <c r="W156" s="41">
        <v>0</v>
      </c>
      <c r="X156" s="41">
        <v>0</v>
      </c>
      <c r="Y156" s="41">
        <f t="shared" si="23"/>
        <v>0</v>
      </c>
      <c r="Z156" s="41">
        <v>0</v>
      </c>
      <c r="AA156" s="41">
        <v>0</v>
      </c>
      <c r="AB156" s="41">
        <f t="shared" si="24"/>
        <v>0</v>
      </c>
      <c r="AC156" s="41">
        <v>30</v>
      </c>
      <c r="AD156" s="41">
        <v>6</v>
      </c>
      <c r="AE156" s="41">
        <f t="shared" si="25"/>
        <v>13679994.042000007</v>
      </c>
      <c r="AF156" s="28">
        <f t="shared" si="26"/>
        <v>28253982.042000011</v>
      </c>
      <c r="AG156" s="28">
        <f t="shared" si="27"/>
        <v>27645.774992172221</v>
      </c>
    </row>
    <row r="157" spans="1:34" ht="43.2" x14ac:dyDescent="0.3">
      <c r="A157" s="41" t="s">
        <v>696</v>
      </c>
      <c r="B157" s="41" t="s">
        <v>689</v>
      </c>
      <c r="C157" s="41" t="s">
        <v>1379</v>
      </c>
      <c r="D157" s="41" t="s">
        <v>9</v>
      </c>
      <c r="E157" s="41" t="s">
        <v>218</v>
      </c>
      <c r="F157" s="41" t="s">
        <v>709</v>
      </c>
      <c r="G157" s="83">
        <v>35000</v>
      </c>
      <c r="J157" s="84"/>
      <c r="K157" s="41">
        <v>30</v>
      </c>
      <c r="L157" s="41">
        <v>5</v>
      </c>
      <c r="M157" s="41">
        <f t="shared" si="19"/>
        <v>5775000</v>
      </c>
      <c r="N157" s="41">
        <v>0</v>
      </c>
      <c r="O157" s="41">
        <v>0</v>
      </c>
      <c r="P157" s="41">
        <f t="shared" si="20"/>
        <v>0</v>
      </c>
      <c r="Q157" s="41">
        <v>0</v>
      </c>
      <c r="R157" s="41">
        <v>0</v>
      </c>
      <c r="S157" s="41">
        <f t="shared" si="21"/>
        <v>0</v>
      </c>
      <c r="T157" s="41">
        <v>40</v>
      </c>
      <c r="U157" s="41">
        <v>3</v>
      </c>
      <c r="V157" s="41">
        <f t="shared" si="22"/>
        <v>6149220.0000000019</v>
      </c>
      <c r="W157" s="41">
        <v>0</v>
      </c>
      <c r="X157" s="41">
        <v>0</v>
      </c>
      <c r="Y157" s="41">
        <f t="shared" si="23"/>
        <v>0</v>
      </c>
      <c r="Z157" s="41">
        <v>0</v>
      </c>
      <c r="AA157" s="41">
        <v>0</v>
      </c>
      <c r="AB157" s="41">
        <f t="shared" si="24"/>
        <v>0</v>
      </c>
      <c r="AC157" s="41">
        <v>30</v>
      </c>
      <c r="AD157" s="41">
        <v>5</v>
      </c>
      <c r="AE157" s="41">
        <f t="shared" si="25"/>
        <v>10230764.775000006</v>
      </c>
      <c r="AF157" s="28">
        <f t="shared" si="26"/>
        <v>22154984.775000006</v>
      </c>
      <c r="AG157" s="28">
        <f t="shared" si="27"/>
        <v>21678.067294520555</v>
      </c>
    </row>
    <row r="158" spans="1:34" ht="43.2" x14ac:dyDescent="0.3">
      <c r="A158" s="41" t="s">
        <v>696</v>
      </c>
      <c r="B158" s="41" t="s">
        <v>689</v>
      </c>
      <c r="C158" s="41" t="s">
        <v>1379</v>
      </c>
      <c r="D158" s="41" t="s">
        <v>9</v>
      </c>
      <c r="E158" s="41" t="s">
        <v>218</v>
      </c>
      <c r="F158" s="41" t="s">
        <v>1350</v>
      </c>
      <c r="G158" s="83">
        <f>1999.2/7</f>
        <v>285.60000000000002</v>
      </c>
      <c r="J158" s="84"/>
      <c r="K158" s="41">
        <f>2*135*10</f>
        <v>2700</v>
      </c>
      <c r="L158" s="41">
        <v>1</v>
      </c>
      <c r="M158" s="41">
        <f t="shared" si="19"/>
        <v>848232.00000000012</v>
      </c>
      <c r="N158" s="41"/>
      <c r="O158" s="41"/>
      <c r="P158" s="41">
        <f t="shared" si="20"/>
        <v>0</v>
      </c>
      <c r="Q158" s="41"/>
      <c r="R158" s="41"/>
      <c r="S158" s="41">
        <f t="shared" si="21"/>
        <v>0</v>
      </c>
      <c r="T158" s="41"/>
      <c r="U158" s="41"/>
      <c r="V158" s="41">
        <f t="shared" si="22"/>
        <v>0</v>
      </c>
      <c r="W158" s="41"/>
      <c r="X158" s="41"/>
      <c r="Y158" s="41">
        <f t="shared" si="23"/>
        <v>0</v>
      </c>
      <c r="Z158" s="41"/>
      <c r="AA158" s="41"/>
      <c r="AB158" s="41">
        <f t="shared" si="24"/>
        <v>0</v>
      </c>
      <c r="AC158" s="41">
        <f>2*135*10</f>
        <v>2700</v>
      </c>
      <c r="AD158" s="41">
        <v>1</v>
      </c>
      <c r="AE158" s="41">
        <f t="shared" si="25"/>
        <v>1502694.7301520011</v>
      </c>
      <c r="AF158" s="28">
        <f t="shared" si="26"/>
        <v>2350926.7301520011</v>
      </c>
      <c r="AG158" s="28">
        <f t="shared" si="27"/>
        <v>2300.319696821919</v>
      </c>
    </row>
    <row r="159" spans="1:34" ht="43.2" x14ac:dyDescent="0.3">
      <c r="A159" s="41" t="s">
        <v>696</v>
      </c>
      <c r="B159" s="41" t="s">
        <v>689</v>
      </c>
      <c r="C159" s="41" t="s">
        <v>1379</v>
      </c>
      <c r="D159" s="41" t="s">
        <v>9</v>
      </c>
      <c r="E159" s="41" t="s">
        <v>218</v>
      </c>
      <c r="F159" s="41" t="s">
        <v>712</v>
      </c>
      <c r="G159" s="83">
        <f>1999.2/7</f>
        <v>285.60000000000002</v>
      </c>
      <c r="J159" s="84"/>
      <c r="K159" s="41">
        <f>25*2*10</f>
        <v>500</v>
      </c>
      <c r="L159" s="41">
        <v>5</v>
      </c>
      <c r="M159" s="41">
        <f t="shared" si="19"/>
        <v>785400</v>
      </c>
      <c r="N159" s="41">
        <v>0</v>
      </c>
      <c r="O159" s="41">
        <v>0</v>
      </c>
      <c r="P159" s="41">
        <f t="shared" si="20"/>
        <v>0</v>
      </c>
      <c r="Q159" s="41">
        <v>0</v>
      </c>
      <c r="R159" s="41">
        <v>0</v>
      </c>
      <c r="S159" s="41">
        <f t="shared" si="21"/>
        <v>0</v>
      </c>
      <c r="T159" s="41">
        <v>20000</v>
      </c>
      <c r="U159" s="41">
        <v>1</v>
      </c>
      <c r="V159" s="41">
        <f t="shared" si="22"/>
        <v>8362939.200000003</v>
      </c>
      <c r="W159" s="41">
        <v>0</v>
      </c>
      <c r="X159" s="41">
        <v>0</v>
      </c>
      <c r="Y159" s="41">
        <f t="shared" si="23"/>
        <v>0</v>
      </c>
      <c r="Z159" s="41">
        <v>0</v>
      </c>
      <c r="AA159" s="41">
        <v>0</v>
      </c>
      <c r="AB159" s="41">
        <f t="shared" si="24"/>
        <v>0</v>
      </c>
      <c r="AC159" s="41">
        <f>25*2*10</f>
        <v>500</v>
      </c>
      <c r="AD159" s="41">
        <v>5</v>
      </c>
      <c r="AE159" s="41">
        <f t="shared" si="25"/>
        <v>1391384.009400001</v>
      </c>
      <c r="AF159" s="28">
        <f t="shared" si="26"/>
        <v>10539723.209400004</v>
      </c>
      <c r="AG159" s="28">
        <f t="shared" si="27"/>
        <v>10312.840713698633</v>
      </c>
    </row>
    <row r="160" spans="1:34" ht="43.2" x14ac:dyDescent="0.3">
      <c r="A160" s="41" t="s">
        <v>696</v>
      </c>
      <c r="B160" s="41" t="s">
        <v>689</v>
      </c>
      <c r="C160" s="41" t="s">
        <v>1379</v>
      </c>
      <c r="D160" s="41" t="s">
        <v>9</v>
      </c>
      <c r="E160" s="41" t="s">
        <v>219</v>
      </c>
      <c r="F160" s="41" t="s">
        <v>716</v>
      </c>
      <c r="G160" s="83">
        <v>39000</v>
      </c>
      <c r="J160" s="84"/>
      <c r="K160" s="41">
        <v>25</v>
      </c>
      <c r="L160" s="41">
        <v>3</v>
      </c>
      <c r="M160" s="41">
        <f t="shared" si="19"/>
        <v>3217500</v>
      </c>
      <c r="N160" s="41">
        <v>0</v>
      </c>
      <c r="O160" s="41">
        <v>0</v>
      </c>
      <c r="P160" s="41">
        <f t="shared" si="20"/>
        <v>0</v>
      </c>
      <c r="Q160" s="41">
        <v>0</v>
      </c>
      <c r="R160" s="41">
        <v>0</v>
      </c>
      <c r="S160" s="41">
        <f t="shared" si="21"/>
        <v>0</v>
      </c>
      <c r="T160" s="41">
        <v>40</v>
      </c>
      <c r="U160" s="41">
        <v>2</v>
      </c>
      <c r="V160" s="41">
        <f t="shared" si="22"/>
        <v>4567992.0000000009</v>
      </c>
      <c r="W160" s="41">
        <v>0</v>
      </c>
      <c r="X160" s="41">
        <v>0</v>
      </c>
      <c r="Y160" s="41">
        <f t="shared" si="23"/>
        <v>0</v>
      </c>
      <c r="Z160" s="41">
        <v>0</v>
      </c>
      <c r="AA160" s="41">
        <v>0</v>
      </c>
      <c r="AB160" s="41">
        <f t="shared" si="24"/>
        <v>0</v>
      </c>
      <c r="AC160" s="41">
        <v>25</v>
      </c>
      <c r="AD160" s="41">
        <v>3</v>
      </c>
      <c r="AE160" s="41">
        <f t="shared" si="25"/>
        <v>5699997.5175000029</v>
      </c>
      <c r="AF160" s="28">
        <f t="shared" si="26"/>
        <v>13485489.517500004</v>
      </c>
      <c r="AG160" s="28">
        <f t="shared" si="27"/>
        <v>13195.195222602744</v>
      </c>
    </row>
    <row r="161" spans="1:33" ht="43.2" x14ac:dyDescent="0.3">
      <c r="A161" s="41" t="s">
        <v>696</v>
      </c>
      <c r="B161" s="41" t="s">
        <v>689</v>
      </c>
      <c r="C161" s="41" t="s">
        <v>1379</v>
      </c>
      <c r="D161" s="41" t="s">
        <v>9</v>
      </c>
      <c r="E161" s="41" t="s">
        <v>1378</v>
      </c>
      <c r="F161" s="41" t="s">
        <v>709</v>
      </c>
      <c r="G161" s="83">
        <v>35000</v>
      </c>
      <c r="J161" s="84"/>
      <c r="K161" s="41">
        <v>25</v>
      </c>
      <c r="L161" s="41">
        <v>2</v>
      </c>
      <c r="M161" s="41">
        <f t="shared" si="19"/>
        <v>1925000</v>
      </c>
      <c r="N161" s="41">
        <v>0</v>
      </c>
      <c r="O161" s="41">
        <v>0</v>
      </c>
      <c r="P161" s="41">
        <f t="shared" si="20"/>
        <v>0</v>
      </c>
      <c r="Q161" s="41">
        <v>0</v>
      </c>
      <c r="R161" s="41">
        <v>0</v>
      </c>
      <c r="S161" s="41">
        <f t="shared" si="21"/>
        <v>0</v>
      </c>
      <c r="T161" s="41">
        <v>40</v>
      </c>
      <c r="U161" s="41">
        <v>2</v>
      </c>
      <c r="V161" s="41">
        <f t="shared" si="22"/>
        <v>4099480.0000000009</v>
      </c>
      <c r="W161" s="41">
        <v>0</v>
      </c>
      <c r="X161" s="41">
        <v>0</v>
      </c>
      <c r="Y161" s="41">
        <f t="shared" si="23"/>
        <v>0</v>
      </c>
      <c r="Z161" s="41">
        <v>0</v>
      </c>
      <c r="AA161" s="41">
        <v>0</v>
      </c>
      <c r="AB161" s="41">
        <f t="shared" si="24"/>
        <v>0</v>
      </c>
      <c r="AC161" s="41">
        <v>25</v>
      </c>
      <c r="AD161" s="41">
        <v>2</v>
      </c>
      <c r="AE161" s="41">
        <f t="shared" si="25"/>
        <v>3410254.9250000017</v>
      </c>
      <c r="AF161" s="28">
        <f t="shared" si="26"/>
        <v>9434734.9250000026</v>
      </c>
      <c r="AG161" s="28">
        <f t="shared" si="27"/>
        <v>9231.6388698630162</v>
      </c>
    </row>
    <row r="162" spans="1:33" ht="43.2" x14ac:dyDescent="0.3">
      <c r="A162" s="41" t="s">
        <v>696</v>
      </c>
      <c r="B162" s="41" t="s">
        <v>689</v>
      </c>
      <c r="C162" s="41" t="s">
        <v>1379</v>
      </c>
      <c r="D162" s="41" t="s">
        <v>9</v>
      </c>
      <c r="E162" s="41" t="s">
        <v>1378</v>
      </c>
      <c r="F162" s="41" t="s">
        <v>712</v>
      </c>
      <c r="G162" s="83">
        <f>1999.2/7</f>
        <v>285.60000000000002</v>
      </c>
      <c r="J162" s="84"/>
      <c r="K162" s="41">
        <f>25*2*9</f>
        <v>450</v>
      </c>
      <c r="L162" s="41">
        <v>1</v>
      </c>
      <c r="M162" s="41">
        <f t="shared" si="19"/>
        <v>141372</v>
      </c>
      <c r="N162" s="41">
        <v>0</v>
      </c>
      <c r="O162" s="41">
        <v>0</v>
      </c>
      <c r="P162" s="41">
        <f t="shared" si="20"/>
        <v>0</v>
      </c>
      <c r="Q162" s="41">
        <v>0</v>
      </c>
      <c r="R162" s="41">
        <v>0</v>
      </c>
      <c r="S162" s="41">
        <f t="shared" si="21"/>
        <v>0</v>
      </c>
      <c r="T162" s="41">
        <v>20000</v>
      </c>
      <c r="U162" s="41">
        <v>1</v>
      </c>
      <c r="V162" s="41">
        <f t="shared" si="22"/>
        <v>8362939.200000003</v>
      </c>
      <c r="W162" s="41">
        <v>0</v>
      </c>
      <c r="X162" s="41">
        <v>0</v>
      </c>
      <c r="Y162" s="41">
        <f t="shared" si="23"/>
        <v>0</v>
      </c>
      <c r="Z162" s="41">
        <v>0</v>
      </c>
      <c r="AA162" s="41">
        <v>0</v>
      </c>
      <c r="AB162" s="41">
        <f t="shared" si="24"/>
        <v>0</v>
      </c>
      <c r="AC162" s="41">
        <f>25*2*9</f>
        <v>450</v>
      </c>
      <c r="AD162" s="41">
        <v>1</v>
      </c>
      <c r="AE162" s="41">
        <f t="shared" si="25"/>
        <v>250449.12169200019</v>
      </c>
      <c r="AF162" s="28">
        <f t="shared" si="26"/>
        <v>8754760.3216920029</v>
      </c>
      <c r="AG162" s="28">
        <f t="shared" si="27"/>
        <v>8566.3016846301398</v>
      </c>
    </row>
    <row r="163" spans="1:33" ht="43.2" x14ac:dyDescent="0.3">
      <c r="A163" s="41" t="s">
        <v>696</v>
      </c>
      <c r="B163" s="41" t="s">
        <v>689</v>
      </c>
      <c r="C163" s="41" t="s">
        <v>1379</v>
      </c>
      <c r="D163" s="41" t="s">
        <v>9</v>
      </c>
      <c r="E163" s="41" t="s">
        <v>1378</v>
      </c>
      <c r="F163" s="41" t="s">
        <v>1350</v>
      </c>
      <c r="G163" s="83">
        <f>1999.2/7</f>
        <v>285.60000000000002</v>
      </c>
      <c r="J163" s="84"/>
      <c r="K163" s="41">
        <f>2*135*9</f>
        <v>2430</v>
      </c>
      <c r="L163" s="41">
        <v>1</v>
      </c>
      <c r="M163" s="41">
        <f t="shared" si="19"/>
        <v>763408.8</v>
      </c>
      <c r="N163" s="41"/>
      <c r="O163" s="41"/>
      <c r="P163" s="41">
        <f t="shared" si="20"/>
        <v>0</v>
      </c>
      <c r="Q163" s="41"/>
      <c r="R163" s="41"/>
      <c r="S163" s="41">
        <f t="shared" si="21"/>
        <v>0</v>
      </c>
      <c r="T163" s="41"/>
      <c r="U163" s="41"/>
      <c r="V163" s="41">
        <f t="shared" si="22"/>
        <v>0</v>
      </c>
      <c r="W163" s="41"/>
      <c r="X163" s="41"/>
      <c r="Y163" s="41">
        <f t="shared" si="23"/>
        <v>0</v>
      </c>
      <c r="Z163" s="41"/>
      <c r="AA163" s="41"/>
      <c r="AB163" s="41">
        <f t="shared" si="24"/>
        <v>0</v>
      </c>
      <c r="AC163" s="41">
        <f>2*135*9</f>
        <v>2430</v>
      </c>
      <c r="AD163" s="41">
        <v>1</v>
      </c>
      <c r="AE163" s="41">
        <f t="shared" si="25"/>
        <v>1352425.257136801</v>
      </c>
      <c r="AF163" s="28">
        <f t="shared" si="26"/>
        <v>2115834.0571368011</v>
      </c>
      <c r="AG163" s="28">
        <f t="shared" si="27"/>
        <v>2070.2877271397269</v>
      </c>
    </row>
    <row r="164" spans="1:33" ht="43.2" x14ac:dyDescent="0.3">
      <c r="A164" s="41" t="s">
        <v>696</v>
      </c>
      <c r="B164" s="41" t="s">
        <v>689</v>
      </c>
      <c r="C164" s="41" t="s">
        <v>1379</v>
      </c>
      <c r="D164" s="41" t="s">
        <v>5</v>
      </c>
      <c r="E164" s="41" t="s">
        <v>196</v>
      </c>
      <c r="F164" s="41" t="s">
        <v>718</v>
      </c>
      <c r="G164" s="83">
        <v>0</v>
      </c>
      <c r="J164" s="84"/>
      <c r="K164" s="41">
        <v>0</v>
      </c>
      <c r="L164" s="41">
        <v>0</v>
      </c>
      <c r="M164" s="41">
        <f t="shared" si="19"/>
        <v>0</v>
      </c>
      <c r="N164" s="41">
        <v>0</v>
      </c>
      <c r="O164" s="41">
        <v>0</v>
      </c>
      <c r="P164" s="41">
        <f t="shared" si="20"/>
        <v>0</v>
      </c>
      <c r="Q164" s="41">
        <v>0</v>
      </c>
      <c r="R164" s="41">
        <v>0</v>
      </c>
      <c r="S164" s="41">
        <f t="shared" si="21"/>
        <v>0</v>
      </c>
      <c r="T164" s="41">
        <v>0</v>
      </c>
      <c r="U164" s="41">
        <v>0</v>
      </c>
      <c r="V164" s="41">
        <f t="shared" si="22"/>
        <v>0</v>
      </c>
      <c r="W164" s="41">
        <v>0</v>
      </c>
      <c r="X164" s="41">
        <v>0</v>
      </c>
      <c r="Y164" s="41">
        <f t="shared" si="23"/>
        <v>0</v>
      </c>
      <c r="Z164" s="41">
        <v>0</v>
      </c>
      <c r="AA164" s="41">
        <v>0</v>
      </c>
      <c r="AB164" s="41">
        <f t="shared" si="24"/>
        <v>0</v>
      </c>
      <c r="AC164" s="41">
        <v>0</v>
      </c>
      <c r="AD164" s="41">
        <v>0</v>
      </c>
      <c r="AE164" s="41">
        <f t="shared" si="25"/>
        <v>0</v>
      </c>
      <c r="AF164" s="28">
        <f t="shared" si="26"/>
        <v>0</v>
      </c>
      <c r="AG164" s="28">
        <f t="shared" si="27"/>
        <v>0</v>
      </c>
    </row>
    <row r="165" spans="1:33" ht="43.2" x14ac:dyDescent="0.3">
      <c r="A165" s="41" t="s">
        <v>696</v>
      </c>
      <c r="B165" s="41" t="s">
        <v>689</v>
      </c>
      <c r="C165" s="41" t="s">
        <v>1379</v>
      </c>
      <c r="D165" s="41" t="s">
        <v>5</v>
      </c>
      <c r="E165" s="41" t="s">
        <v>197</v>
      </c>
      <c r="F165" s="41" t="s">
        <v>718</v>
      </c>
      <c r="G165" s="83">
        <v>0</v>
      </c>
      <c r="J165" s="84"/>
      <c r="K165" s="41">
        <v>0</v>
      </c>
      <c r="L165" s="41">
        <v>0</v>
      </c>
      <c r="M165" s="41">
        <f t="shared" si="19"/>
        <v>0</v>
      </c>
      <c r="N165" s="41">
        <v>0</v>
      </c>
      <c r="O165" s="41">
        <v>0</v>
      </c>
      <c r="P165" s="41">
        <f t="shared" si="20"/>
        <v>0</v>
      </c>
      <c r="Q165" s="41">
        <v>0</v>
      </c>
      <c r="R165" s="41">
        <v>0</v>
      </c>
      <c r="S165" s="41">
        <f t="shared" si="21"/>
        <v>0</v>
      </c>
      <c r="T165" s="41">
        <v>0</v>
      </c>
      <c r="U165" s="41">
        <v>0</v>
      </c>
      <c r="V165" s="41">
        <f t="shared" si="22"/>
        <v>0</v>
      </c>
      <c r="W165" s="41">
        <v>0</v>
      </c>
      <c r="X165" s="41">
        <v>0</v>
      </c>
      <c r="Y165" s="41">
        <f t="shared" si="23"/>
        <v>0</v>
      </c>
      <c r="Z165" s="41">
        <v>0</v>
      </c>
      <c r="AA165" s="41">
        <v>0</v>
      </c>
      <c r="AB165" s="41">
        <f t="shared" si="24"/>
        <v>0</v>
      </c>
      <c r="AC165" s="41">
        <v>0</v>
      </c>
      <c r="AD165" s="41">
        <v>0</v>
      </c>
      <c r="AE165" s="41">
        <f t="shared" si="25"/>
        <v>0</v>
      </c>
      <c r="AF165" s="28">
        <f t="shared" si="26"/>
        <v>0</v>
      </c>
      <c r="AG165" s="28">
        <f t="shared" si="27"/>
        <v>0</v>
      </c>
    </row>
    <row r="166" spans="1:33" ht="43.2" x14ac:dyDescent="0.3">
      <c r="A166" s="41" t="s">
        <v>696</v>
      </c>
      <c r="B166" s="41" t="s">
        <v>689</v>
      </c>
      <c r="C166" s="41" t="s">
        <v>1379</v>
      </c>
      <c r="D166" s="41" t="s">
        <v>5</v>
      </c>
      <c r="E166" s="41" t="s">
        <v>198</v>
      </c>
      <c r="F166" s="41" t="s">
        <v>718</v>
      </c>
      <c r="G166" s="83">
        <v>0</v>
      </c>
      <c r="J166" s="84"/>
      <c r="K166" s="41">
        <v>0</v>
      </c>
      <c r="L166" s="41">
        <v>0</v>
      </c>
      <c r="M166" s="41">
        <f t="shared" si="19"/>
        <v>0</v>
      </c>
      <c r="N166" s="41">
        <v>0</v>
      </c>
      <c r="O166" s="41">
        <v>0</v>
      </c>
      <c r="P166" s="41">
        <f t="shared" si="20"/>
        <v>0</v>
      </c>
      <c r="Q166" s="41">
        <v>0</v>
      </c>
      <c r="R166" s="41">
        <v>0</v>
      </c>
      <c r="S166" s="41">
        <f t="shared" si="21"/>
        <v>0</v>
      </c>
      <c r="T166" s="41">
        <v>0</v>
      </c>
      <c r="U166" s="41">
        <v>0</v>
      </c>
      <c r="V166" s="41">
        <f t="shared" si="22"/>
        <v>0</v>
      </c>
      <c r="W166" s="41">
        <v>0</v>
      </c>
      <c r="X166" s="41">
        <v>0</v>
      </c>
      <c r="Y166" s="41">
        <f t="shared" si="23"/>
        <v>0</v>
      </c>
      <c r="Z166" s="41">
        <v>0</v>
      </c>
      <c r="AA166" s="41">
        <v>0</v>
      </c>
      <c r="AB166" s="41">
        <f t="shared" si="24"/>
        <v>0</v>
      </c>
      <c r="AC166" s="41">
        <v>0</v>
      </c>
      <c r="AD166" s="41">
        <v>0</v>
      </c>
      <c r="AE166" s="41">
        <f t="shared" si="25"/>
        <v>0</v>
      </c>
      <c r="AF166" s="28">
        <f t="shared" si="26"/>
        <v>0</v>
      </c>
      <c r="AG166" s="28">
        <f t="shared" si="27"/>
        <v>0</v>
      </c>
    </row>
    <row r="167" spans="1:33" ht="43.2" x14ac:dyDescent="0.3">
      <c r="A167" s="41" t="s">
        <v>696</v>
      </c>
      <c r="B167" s="41" t="s">
        <v>689</v>
      </c>
      <c r="C167" s="41" t="s">
        <v>1379</v>
      </c>
      <c r="D167" s="41" t="s">
        <v>5</v>
      </c>
      <c r="E167" s="41" t="s">
        <v>199</v>
      </c>
      <c r="F167" s="41" t="s">
        <v>718</v>
      </c>
      <c r="G167" s="83">
        <v>0</v>
      </c>
      <c r="J167" s="84"/>
      <c r="K167" s="41">
        <v>0</v>
      </c>
      <c r="L167" s="41">
        <v>0</v>
      </c>
      <c r="M167" s="41">
        <f t="shared" si="19"/>
        <v>0</v>
      </c>
      <c r="N167" s="41">
        <v>0</v>
      </c>
      <c r="O167" s="41">
        <v>0</v>
      </c>
      <c r="P167" s="41">
        <f t="shared" si="20"/>
        <v>0</v>
      </c>
      <c r="Q167" s="41">
        <v>0</v>
      </c>
      <c r="R167" s="41">
        <v>0</v>
      </c>
      <c r="S167" s="41">
        <f t="shared" si="21"/>
        <v>0</v>
      </c>
      <c r="T167" s="41">
        <v>0</v>
      </c>
      <c r="U167" s="41">
        <v>0</v>
      </c>
      <c r="V167" s="41">
        <f t="shared" si="22"/>
        <v>0</v>
      </c>
      <c r="W167" s="41">
        <v>0</v>
      </c>
      <c r="X167" s="41">
        <v>0</v>
      </c>
      <c r="Y167" s="41">
        <f t="shared" si="23"/>
        <v>0</v>
      </c>
      <c r="Z167" s="41">
        <v>0</v>
      </c>
      <c r="AA167" s="41">
        <v>0</v>
      </c>
      <c r="AB167" s="41">
        <f t="shared" si="24"/>
        <v>0</v>
      </c>
      <c r="AC167" s="41">
        <v>0</v>
      </c>
      <c r="AD167" s="41">
        <v>0</v>
      </c>
      <c r="AE167" s="41">
        <f t="shared" si="25"/>
        <v>0</v>
      </c>
      <c r="AF167" s="28">
        <f t="shared" si="26"/>
        <v>0</v>
      </c>
      <c r="AG167" s="28">
        <f t="shared" si="27"/>
        <v>0</v>
      </c>
    </row>
    <row r="168" spans="1:33" ht="43.2" x14ac:dyDescent="0.3">
      <c r="A168" s="41" t="s">
        <v>696</v>
      </c>
      <c r="B168" s="41" t="s">
        <v>689</v>
      </c>
      <c r="C168" s="41" t="s">
        <v>1379</v>
      </c>
      <c r="D168" s="41" t="s">
        <v>5</v>
      </c>
      <c r="E168" s="41" t="s">
        <v>200</v>
      </c>
      <c r="F168" s="41" t="s">
        <v>713</v>
      </c>
      <c r="G168" s="83">
        <v>45000</v>
      </c>
      <c r="J168" s="84"/>
      <c r="K168" s="41">
        <v>25</v>
      </c>
      <c r="L168" s="41">
        <v>11</v>
      </c>
      <c r="M168" s="41">
        <f t="shared" si="19"/>
        <v>13612500.000000002</v>
      </c>
      <c r="N168" s="41">
        <v>0</v>
      </c>
      <c r="O168" s="41">
        <v>0</v>
      </c>
      <c r="P168" s="41">
        <f t="shared" si="20"/>
        <v>0</v>
      </c>
      <c r="Q168" s="41">
        <v>0</v>
      </c>
      <c r="R168" s="41">
        <v>0</v>
      </c>
      <c r="S168" s="41">
        <f t="shared" si="21"/>
        <v>0</v>
      </c>
      <c r="T168" s="41">
        <v>15</v>
      </c>
      <c r="U168" s="41">
        <v>10</v>
      </c>
      <c r="V168" s="41">
        <f t="shared" si="22"/>
        <v>9882675.0000000019</v>
      </c>
      <c r="W168" s="41">
        <v>0</v>
      </c>
      <c r="X168" s="41">
        <v>0</v>
      </c>
      <c r="Y168" s="41">
        <f t="shared" si="23"/>
        <v>0</v>
      </c>
      <c r="Z168" s="41">
        <v>0</v>
      </c>
      <c r="AA168" s="41">
        <v>0</v>
      </c>
      <c r="AB168" s="41">
        <f t="shared" si="24"/>
        <v>0</v>
      </c>
      <c r="AC168" s="41">
        <v>25</v>
      </c>
      <c r="AD168" s="41">
        <v>11</v>
      </c>
      <c r="AE168" s="41">
        <f t="shared" si="25"/>
        <v>24115374.112500012</v>
      </c>
      <c r="AF168" s="28">
        <f t="shared" si="26"/>
        <v>47610549.112500012</v>
      </c>
      <c r="AG168" s="28">
        <f t="shared" si="27"/>
        <v>46585.664493639932</v>
      </c>
    </row>
    <row r="169" spans="1:33" ht="43.2" x14ac:dyDescent="0.3">
      <c r="A169" s="41" t="s">
        <v>696</v>
      </c>
      <c r="B169" s="41" t="s">
        <v>689</v>
      </c>
      <c r="C169" s="41" t="s">
        <v>1379</v>
      </c>
      <c r="D169" s="41" t="s">
        <v>5</v>
      </c>
      <c r="E169" s="41" t="s">
        <v>200</v>
      </c>
      <c r="F169" s="41" t="s">
        <v>712</v>
      </c>
      <c r="G169" s="83">
        <f>1999.2/7</f>
        <v>285.60000000000002</v>
      </c>
      <c r="J169" s="84"/>
      <c r="K169" s="41">
        <f>2*25*9</f>
        <v>450</v>
      </c>
      <c r="L169" s="41">
        <v>10</v>
      </c>
      <c r="M169" s="41">
        <f t="shared" si="19"/>
        <v>1413720</v>
      </c>
      <c r="N169" s="41">
        <v>0</v>
      </c>
      <c r="O169" s="41">
        <v>0</v>
      </c>
      <c r="P169" s="41">
        <f t="shared" si="20"/>
        <v>0</v>
      </c>
      <c r="Q169" s="41">
        <v>0</v>
      </c>
      <c r="R169" s="41">
        <v>0</v>
      </c>
      <c r="S169" s="41">
        <f t="shared" si="21"/>
        <v>0</v>
      </c>
      <c r="T169" s="41">
        <v>20000</v>
      </c>
      <c r="U169" s="41">
        <v>1</v>
      </c>
      <c r="V169" s="41">
        <f t="shared" si="22"/>
        <v>8362939.200000003</v>
      </c>
      <c r="W169" s="41">
        <v>0</v>
      </c>
      <c r="X169" s="41">
        <v>0</v>
      </c>
      <c r="Y169" s="41">
        <f t="shared" si="23"/>
        <v>0</v>
      </c>
      <c r="Z169" s="41">
        <v>0</v>
      </c>
      <c r="AA169" s="41">
        <v>0</v>
      </c>
      <c r="AB169" s="41">
        <f t="shared" si="24"/>
        <v>0</v>
      </c>
      <c r="AC169" s="41">
        <f>2*25*9</f>
        <v>450</v>
      </c>
      <c r="AD169" s="41">
        <v>10</v>
      </c>
      <c r="AE169" s="41">
        <f t="shared" si="25"/>
        <v>2504491.2169200019</v>
      </c>
      <c r="AF169" s="28">
        <f t="shared" si="26"/>
        <v>12281150.416920004</v>
      </c>
      <c r="AG169" s="28">
        <f t="shared" si="27"/>
        <v>12016.781229863018</v>
      </c>
    </row>
    <row r="170" spans="1:33" ht="43.2" x14ac:dyDescent="0.3">
      <c r="A170" s="41" t="s">
        <v>696</v>
      </c>
      <c r="B170" s="41" t="s">
        <v>689</v>
      </c>
      <c r="C170" s="41" t="s">
        <v>1379</v>
      </c>
      <c r="D170" s="41" t="s">
        <v>5</v>
      </c>
      <c r="E170" s="41" t="s">
        <v>200</v>
      </c>
      <c r="F170" s="41" t="s">
        <v>1350</v>
      </c>
      <c r="G170" s="83">
        <f>1999.2/7</f>
        <v>285.60000000000002</v>
      </c>
      <c r="J170" s="84"/>
      <c r="K170" s="41">
        <f>2*135*9</f>
        <v>2430</v>
      </c>
      <c r="L170" s="41">
        <v>1</v>
      </c>
      <c r="M170" s="41">
        <f t="shared" si="19"/>
        <v>763408.8</v>
      </c>
      <c r="N170" s="41"/>
      <c r="O170" s="41"/>
      <c r="P170" s="41">
        <f t="shared" si="20"/>
        <v>0</v>
      </c>
      <c r="Q170" s="41"/>
      <c r="R170" s="41"/>
      <c r="S170" s="41">
        <f t="shared" si="21"/>
        <v>0</v>
      </c>
      <c r="T170" s="41"/>
      <c r="U170" s="41"/>
      <c r="V170" s="41">
        <f t="shared" si="22"/>
        <v>0</v>
      </c>
      <c r="W170" s="41"/>
      <c r="X170" s="41"/>
      <c r="Y170" s="41">
        <f t="shared" si="23"/>
        <v>0</v>
      </c>
      <c r="Z170" s="41"/>
      <c r="AA170" s="41"/>
      <c r="AB170" s="41">
        <f t="shared" si="24"/>
        <v>0</v>
      </c>
      <c r="AC170" s="41">
        <f>2*135*9</f>
        <v>2430</v>
      </c>
      <c r="AD170" s="41">
        <v>1</v>
      </c>
      <c r="AE170" s="41">
        <f t="shared" si="25"/>
        <v>1352425.257136801</v>
      </c>
      <c r="AF170" s="28">
        <f t="shared" si="26"/>
        <v>2115834.0571368011</v>
      </c>
      <c r="AG170" s="28">
        <f t="shared" si="27"/>
        <v>2070.2877271397269</v>
      </c>
    </row>
    <row r="171" spans="1:33" ht="43.2" x14ac:dyDescent="0.3">
      <c r="A171" s="41" t="s">
        <v>696</v>
      </c>
      <c r="B171" s="41" t="s">
        <v>689</v>
      </c>
      <c r="C171" s="41" t="s">
        <v>1379</v>
      </c>
      <c r="D171" s="41" t="s">
        <v>5</v>
      </c>
      <c r="E171" s="41" t="s">
        <v>200</v>
      </c>
      <c r="F171" s="41" t="s">
        <v>714</v>
      </c>
      <c r="G171" s="83">
        <v>10000</v>
      </c>
      <c r="J171" s="84"/>
      <c r="K171" s="41">
        <v>15</v>
      </c>
      <c r="L171" s="41">
        <v>1</v>
      </c>
      <c r="M171" s="41">
        <f t="shared" si="19"/>
        <v>165000</v>
      </c>
      <c r="N171" s="41">
        <v>0</v>
      </c>
      <c r="O171" s="41">
        <v>0</v>
      </c>
      <c r="P171" s="41">
        <f t="shared" si="20"/>
        <v>0</v>
      </c>
      <c r="Q171" s="41">
        <v>0</v>
      </c>
      <c r="R171" s="41">
        <v>0</v>
      </c>
      <c r="S171" s="41">
        <f t="shared" si="21"/>
        <v>0</v>
      </c>
      <c r="T171" s="41">
        <v>15</v>
      </c>
      <c r="U171" s="41">
        <v>1</v>
      </c>
      <c r="V171" s="41">
        <f t="shared" si="22"/>
        <v>219615.00000000006</v>
      </c>
      <c r="W171" s="41">
        <v>0</v>
      </c>
      <c r="X171" s="41">
        <v>0</v>
      </c>
      <c r="Y171" s="41">
        <f t="shared" si="23"/>
        <v>0</v>
      </c>
      <c r="Z171" s="41">
        <v>0</v>
      </c>
      <c r="AA171" s="41">
        <v>0</v>
      </c>
      <c r="AB171" s="41">
        <f t="shared" si="24"/>
        <v>0</v>
      </c>
      <c r="AC171" s="41">
        <v>15</v>
      </c>
      <c r="AD171" s="41">
        <v>1</v>
      </c>
      <c r="AE171" s="41">
        <f t="shared" si="25"/>
        <v>292307.56500000018</v>
      </c>
      <c r="AF171" s="28">
        <f t="shared" si="26"/>
        <v>676922.56500000018</v>
      </c>
      <c r="AG171" s="28">
        <f t="shared" si="27"/>
        <v>662.35084637964792</v>
      </c>
    </row>
    <row r="172" spans="1:33" ht="43.2" x14ac:dyDescent="0.3">
      <c r="A172" s="41" t="s">
        <v>696</v>
      </c>
      <c r="B172" s="41" t="s">
        <v>689</v>
      </c>
      <c r="C172" s="41" t="s">
        <v>1379</v>
      </c>
      <c r="D172" s="41" t="s">
        <v>5</v>
      </c>
      <c r="E172" s="41" t="s">
        <v>200</v>
      </c>
      <c r="F172" s="41" t="s">
        <v>715</v>
      </c>
      <c r="G172" s="83">
        <v>302000</v>
      </c>
      <c r="J172" s="84"/>
      <c r="K172" s="41">
        <v>15</v>
      </c>
      <c r="L172" s="41">
        <v>1</v>
      </c>
      <c r="M172" s="41">
        <f t="shared" si="19"/>
        <v>4983000</v>
      </c>
      <c r="N172" s="41">
        <v>0</v>
      </c>
      <c r="O172" s="41">
        <v>0</v>
      </c>
      <c r="P172" s="41">
        <f t="shared" si="20"/>
        <v>0</v>
      </c>
      <c r="Q172" s="41">
        <v>0</v>
      </c>
      <c r="R172" s="41">
        <v>0</v>
      </c>
      <c r="S172" s="41">
        <f t="shared" si="21"/>
        <v>0</v>
      </c>
      <c r="T172" s="41">
        <v>20</v>
      </c>
      <c r="U172" s="41">
        <v>1</v>
      </c>
      <c r="V172" s="41">
        <f t="shared" si="22"/>
        <v>8843164.0000000019</v>
      </c>
      <c r="W172" s="41">
        <v>0</v>
      </c>
      <c r="X172" s="41">
        <v>0</v>
      </c>
      <c r="Y172" s="41">
        <f t="shared" si="23"/>
        <v>0</v>
      </c>
      <c r="Z172" s="41">
        <v>0</v>
      </c>
      <c r="AA172" s="41">
        <v>0</v>
      </c>
      <c r="AB172" s="41">
        <f t="shared" si="24"/>
        <v>0</v>
      </c>
      <c r="AC172" s="41">
        <v>15</v>
      </c>
      <c r="AD172" s="41">
        <v>1</v>
      </c>
      <c r="AE172" s="41">
        <f t="shared" si="25"/>
        <v>8827688.4630000051</v>
      </c>
      <c r="AF172" s="28">
        <f t="shared" si="26"/>
        <v>22653852.463000007</v>
      </c>
      <c r="AG172" s="28">
        <f t="shared" si="27"/>
        <v>22166.196147749517</v>
      </c>
    </row>
    <row r="173" spans="1:33" ht="43.2" x14ac:dyDescent="0.3">
      <c r="A173" s="41" t="s">
        <v>696</v>
      </c>
      <c r="B173" s="41" t="s">
        <v>689</v>
      </c>
      <c r="C173" s="41" t="s">
        <v>1379</v>
      </c>
      <c r="D173" s="41" t="s">
        <v>5</v>
      </c>
      <c r="E173" s="41" t="s">
        <v>152</v>
      </c>
      <c r="F173" s="41" t="s">
        <v>716</v>
      </c>
      <c r="G173" s="83">
        <v>39000</v>
      </c>
      <c r="J173" s="84"/>
      <c r="K173" s="41">
        <v>25</v>
      </c>
      <c r="L173" s="41">
        <v>6</v>
      </c>
      <c r="M173" s="41">
        <f t="shared" si="19"/>
        <v>6435000</v>
      </c>
      <c r="N173" s="41">
        <v>0</v>
      </c>
      <c r="O173" s="41">
        <v>0</v>
      </c>
      <c r="P173" s="41">
        <f t="shared" si="20"/>
        <v>0</v>
      </c>
      <c r="Q173" s="41">
        <v>0</v>
      </c>
      <c r="R173" s="41">
        <v>0</v>
      </c>
      <c r="S173" s="41">
        <f t="shared" si="21"/>
        <v>0</v>
      </c>
      <c r="T173" s="41">
        <v>15</v>
      </c>
      <c r="U173" s="41">
        <v>5</v>
      </c>
      <c r="V173" s="41">
        <f t="shared" si="22"/>
        <v>4282492.5000000009</v>
      </c>
      <c r="W173" s="41">
        <v>0</v>
      </c>
      <c r="X173" s="41">
        <v>0</v>
      </c>
      <c r="Y173" s="41">
        <f t="shared" si="23"/>
        <v>0</v>
      </c>
      <c r="Z173" s="41">
        <v>0</v>
      </c>
      <c r="AA173" s="41">
        <v>0</v>
      </c>
      <c r="AB173" s="41">
        <f t="shared" si="24"/>
        <v>0</v>
      </c>
      <c r="AC173" s="41">
        <v>25</v>
      </c>
      <c r="AD173" s="41">
        <v>6</v>
      </c>
      <c r="AE173" s="41">
        <f t="shared" si="25"/>
        <v>11399995.035000006</v>
      </c>
      <c r="AF173" s="28">
        <f t="shared" si="26"/>
        <v>22117487.535000004</v>
      </c>
      <c r="AG173" s="28">
        <f t="shared" si="27"/>
        <v>21641.377235812139</v>
      </c>
    </row>
    <row r="174" spans="1:33" ht="43.2" x14ac:dyDescent="0.3">
      <c r="A174" s="41" t="s">
        <v>696</v>
      </c>
      <c r="B174" s="41" t="s">
        <v>689</v>
      </c>
      <c r="C174" s="41" t="s">
        <v>1379</v>
      </c>
      <c r="D174" s="41" t="s">
        <v>5</v>
      </c>
      <c r="E174" s="41" t="s">
        <v>152</v>
      </c>
      <c r="F174" s="41" t="s">
        <v>709</v>
      </c>
      <c r="G174" s="83">
        <v>35000</v>
      </c>
      <c r="J174" s="84"/>
      <c r="K174" s="41">
        <v>25</v>
      </c>
      <c r="L174" s="41">
        <v>5</v>
      </c>
      <c r="M174" s="41">
        <f t="shared" si="19"/>
        <v>4812500</v>
      </c>
      <c r="N174" s="41">
        <v>0</v>
      </c>
      <c r="O174" s="41">
        <v>0</v>
      </c>
      <c r="P174" s="41">
        <f t="shared" si="20"/>
        <v>0</v>
      </c>
      <c r="Q174" s="41">
        <v>0</v>
      </c>
      <c r="R174" s="41">
        <v>0</v>
      </c>
      <c r="S174" s="41">
        <f t="shared" si="21"/>
        <v>0</v>
      </c>
      <c r="T174" s="41">
        <v>15</v>
      </c>
      <c r="U174" s="41">
        <v>5</v>
      </c>
      <c r="V174" s="41">
        <f t="shared" si="22"/>
        <v>3843262.5000000009</v>
      </c>
      <c r="W174" s="41">
        <v>0</v>
      </c>
      <c r="X174" s="41">
        <v>0</v>
      </c>
      <c r="Y174" s="41">
        <f t="shared" si="23"/>
        <v>0</v>
      </c>
      <c r="Z174" s="41">
        <v>0</v>
      </c>
      <c r="AA174" s="41">
        <v>0</v>
      </c>
      <c r="AB174" s="41">
        <f t="shared" si="24"/>
        <v>0</v>
      </c>
      <c r="AC174" s="41">
        <v>25</v>
      </c>
      <c r="AD174" s="41">
        <v>5</v>
      </c>
      <c r="AE174" s="41">
        <f t="shared" si="25"/>
        <v>8525637.3125000037</v>
      </c>
      <c r="AF174" s="28">
        <f t="shared" si="26"/>
        <v>17181399.812500004</v>
      </c>
      <c r="AG174" s="28">
        <f t="shared" si="27"/>
        <v>16811.545804794525</v>
      </c>
    </row>
    <row r="175" spans="1:33" ht="43.2" x14ac:dyDescent="0.3">
      <c r="A175" s="41" t="s">
        <v>696</v>
      </c>
      <c r="B175" s="41" t="s">
        <v>689</v>
      </c>
      <c r="C175" s="41" t="s">
        <v>1379</v>
      </c>
      <c r="D175" s="41" t="s">
        <v>5</v>
      </c>
      <c r="E175" s="41" t="s">
        <v>152</v>
      </c>
      <c r="F175" s="41" t="s">
        <v>712</v>
      </c>
      <c r="G175" s="83">
        <f>1999.2/7</f>
        <v>285.60000000000002</v>
      </c>
      <c r="J175" s="84"/>
      <c r="K175" s="41">
        <f>25*2*9</f>
        <v>450</v>
      </c>
      <c r="L175" s="41">
        <v>5</v>
      </c>
      <c r="M175" s="41">
        <f t="shared" si="19"/>
        <v>706860</v>
      </c>
      <c r="N175" s="41">
        <v>0</v>
      </c>
      <c r="O175" s="41">
        <v>0</v>
      </c>
      <c r="P175" s="41">
        <f t="shared" si="20"/>
        <v>0</v>
      </c>
      <c r="Q175" s="41">
        <v>0</v>
      </c>
      <c r="R175" s="41">
        <v>0</v>
      </c>
      <c r="S175" s="41">
        <f t="shared" si="21"/>
        <v>0</v>
      </c>
      <c r="T175" s="41">
        <v>4000</v>
      </c>
      <c r="U175" s="41">
        <v>1</v>
      </c>
      <c r="V175" s="41">
        <f t="shared" si="22"/>
        <v>1672587.8400000005</v>
      </c>
      <c r="W175" s="41">
        <v>0</v>
      </c>
      <c r="X175" s="41">
        <v>0</v>
      </c>
      <c r="Y175" s="41">
        <f t="shared" si="23"/>
        <v>0</v>
      </c>
      <c r="Z175" s="41">
        <v>0</v>
      </c>
      <c r="AA175" s="41">
        <v>0</v>
      </c>
      <c r="AB175" s="41">
        <f t="shared" si="24"/>
        <v>0</v>
      </c>
      <c r="AC175" s="41">
        <f>25*2*9</f>
        <v>450</v>
      </c>
      <c r="AD175" s="41">
        <v>5</v>
      </c>
      <c r="AE175" s="41">
        <f t="shared" si="25"/>
        <v>1252245.6084600009</v>
      </c>
      <c r="AF175" s="28">
        <f t="shared" si="26"/>
        <v>3631693.4484600015</v>
      </c>
      <c r="AG175" s="28">
        <f t="shared" si="27"/>
        <v>3553.5160943835631</v>
      </c>
    </row>
    <row r="176" spans="1:33" ht="43.2" x14ac:dyDescent="0.3">
      <c r="A176" s="41" t="s">
        <v>696</v>
      </c>
      <c r="B176" s="41" t="s">
        <v>689</v>
      </c>
      <c r="C176" s="41" t="s">
        <v>1379</v>
      </c>
      <c r="D176" s="41" t="s">
        <v>5</v>
      </c>
      <c r="E176" s="41" t="s">
        <v>152</v>
      </c>
      <c r="F176" s="41" t="s">
        <v>1350</v>
      </c>
      <c r="G176" s="83">
        <f>1999.2/7</f>
        <v>285.60000000000002</v>
      </c>
      <c r="J176" s="84"/>
      <c r="K176" s="41">
        <f>2*135*9</f>
        <v>2430</v>
      </c>
      <c r="L176" s="41">
        <v>1</v>
      </c>
      <c r="M176" s="41">
        <f t="shared" si="19"/>
        <v>763408.8</v>
      </c>
      <c r="N176" s="41"/>
      <c r="O176" s="41"/>
      <c r="P176" s="41">
        <f t="shared" si="20"/>
        <v>0</v>
      </c>
      <c r="Q176" s="41"/>
      <c r="R176" s="41"/>
      <c r="S176" s="41">
        <f t="shared" si="21"/>
        <v>0</v>
      </c>
      <c r="T176" s="41"/>
      <c r="U176" s="41"/>
      <c r="V176" s="41">
        <f t="shared" si="22"/>
        <v>0</v>
      </c>
      <c r="W176" s="41"/>
      <c r="X176" s="41"/>
      <c r="Y176" s="41">
        <f t="shared" si="23"/>
        <v>0</v>
      </c>
      <c r="Z176" s="41"/>
      <c r="AA176" s="41"/>
      <c r="AB176" s="41">
        <f t="shared" si="24"/>
        <v>0</v>
      </c>
      <c r="AC176" s="41">
        <f>2*135*9</f>
        <v>2430</v>
      </c>
      <c r="AD176" s="41">
        <v>1</v>
      </c>
      <c r="AE176" s="41">
        <f t="shared" si="25"/>
        <v>1352425.257136801</v>
      </c>
      <c r="AF176" s="28">
        <f t="shared" si="26"/>
        <v>2115834.0571368011</v>
      </c>
      <c r="AG176" s="28">
        <f t="shared" si="27"/>
        <v>2070.2877271397269</v>
      </c>
    </row>
    <row r="177" spans="1:33" ht="43.2" x14ac:dyDescent="0.3">
      <c r="A177" s="41" t="s">
        <v>696</v>
      </c>
      <c r="B177" s="41" t="s">
        <v>689</v>
      </c>
      <c r="C177" s="41" t="s">
        <v>1379</v>
      </c>
      <c r="D177" s="41" t="s">
        <v>5</v>
      </c>
      <c r="E177" s="41" t="s">
        <v>153</v>
      </c>
      <c r="F177" s="41" t="s">
        <v>709</v>
      </c>
      <c r="G177" s="83">
        <v>35000</v>
      </c>
      <c r="J177" s="84"/>
      <c r="K177" s="41">
        <v>25</v>
      </c>
      <c r="L177" s="41">
        <v>3</v>
      </c>
      <c r="M177" s="41">
        <f t="shared" si="19"/>
        <v>2887500</v>
      </c>
      <c r="N177" s="41">
        <v>0</v>
      </c>
      <c r="O177" s="41">
        <v>0</v>
      </c>
      <c r="P177" s="41">
        <f t="shared" si="20"/>
        <v>0</v>
      </c>
      <c r="Q177" s="41">
        <v>0</v>
      </c>
      <c r="R177" s="41">
        <v>0</v>
      </c>
      <c r="S177" s="41">
        <f t="shared" si="21"/>
        <v>0</v>
      </c>
      <c r="T177" s="41">
        <v>15</v>
      </c>
      <c r="U177" s="41">
        <v>5</v>
      </c>
      <c r="V177" s="41">
        <f t="shared" si="22"/>
        <v>3843262.5000000009</v>
      </c>
      <c r="W177" s="41">
        <v>0</v>
      </c>
      <c r="X177" s="41">
        <v>0</v>
      </c>
      <c r="Y177" s="41">
        <f t="shared" si="23"/>
        <v>0</v>
      </c>
      <c r="Z177" s="41">
        <v>0</v>
      </c>
      <c r="AA177" s="41">
        <v>0</v>
      </c>
      <c r="AB177" s="41">
        <f t="shared" si="24"/>
        <v>0</v>
      </c>
      <c r="AC177" s="41">
        <v>25</v>
      </c>
      <c r="AD177" s="41">
        <v>3</v>
      </c>
      <c r="AE177" s="41">
        <f t="shared" si="25"/>
        <v>5115382.387500003</v>
      </c>
      <c r="AF177" s="28">
        <f t="shared" si="26"/>
        <v>11846144.887500003</v>
      </c>
      <c r="AG177" s="28">
        <f t="shared" si="27"/>
        <v>11591.139811643838</v>
      </c>
    </row>
    <row r="178" spans="1:33" ht="43.2" x14ac:dyDescent="0.3">
      <c r="A178" s="41" t="s">
        <v>696</v>
      </c>
      <c r="B178" s="41" t="s">
        <v>689</v>
      </c>
      <c r="C178" s="41" t="s">
        <v>1379</v>
      </c>
      <c r="D178" s="41" t="s">
        <v>5</v>
      </c>
      <c r="E178" s="41" t="s">
        <v>153</v>
      </c>
      <c r="F178" s="41" t="s">
        <v>716</v>
      </c>
      <c r="G178" s="83">
        <v>39000</v>
      </c>
      <c r="J178" s="84"/>
      <c r="K178" s="41">
        <v>25</v>
      </c>
      <c r="L178" s="41">
        <v>4</v>
      </c>
      <c r="M178" s="41">
        <f t="shared" si="19"/>
        <v>4290000</v>
      </c>
      <c r="N178" s="41">
        <v>0</v>
      </c>
      <c r="O178" s="41">
        <v>0</v>
      </c>
      <c r="P178" s="41">
        <f t="shared" si="20"/>
        <v>0</v>
      </c>
      <c r="Q178" s="41">
        <v>0</v>
      </c>
      <c r="R178" s="41">
        <v>0</v>
      </c>
      <c r="S178" s="41">
        <f t="shared" si="21"/>
        <v>0</v>
      </c>
      <c r="T178" s="41">
        <v>15</v>
      </c>
      <c r="U178" s="41">
        <v>5</v>
      </c>
      <c r="V178" s="41">
        <f t="shared" si="22"/>
        <v>4282492.5000000009</v>
      </c>
      <c r="W178" s="41">
        <v>0</v>
      </c>
      <c r="X178" s="41">
        <v>0</v>
      </c>
      <c r="Y178" s="41">
        <f t="shared" si="23"/>
        <v>0</v>
      </c>
      <c r="Z178" s="41">
        <v>0</v>
      </c>
      <c r="AA178" s="41">
        <v>0</v>
      </c>
      <c r="AB178" s="41">
        <f t="shared" si="24"/>
        <v>0</v>
      </c>
      <c r="AC178" s="41">
        <v>25</v>
      </c>
      <c r="AD178" s="41">
        <v>4</v>
      </c>
      <c r="AE178" s="41">
        <f t="shared" si="25"/>
        <v>7599996.6900000041</v>
      </c>
      <c r="AF178" s="28">
        <f t="shared" si="26"/>
        <v>16172489.190000005</v>
      </c>
      <c r="AG178" s="28">
        <f t="shared" si="27"/>
        <v>15824.353414872803</v>
      </c>
    </row>
    <row r="179" spans="1:33" ht="43.2" x14ac:dyDescent="0.3">
      <c r="A179" s="41" t="s">
        <v>696</v>
      </c>
      <c r="B179" s="41" t="s">
        <v>689</v>
      </c>
      <c r="C179" s="41" t="s">
        <v>1379</v>
      </c>
      <c r="D179" s="41" t="s">
        <v>5</v>
      </c>
      <c r="E179" s="41" t="s">
        <v>152</v>
      </c>
      <c r="F179" s="41" t="s">
        <v>1350</v>
      </c>
      <c r="G179" s="83">
        <f>1999.2/7</f>
        <v>285.60000000000002</v>
      </c>
      <c r="J179" s="84"/>
      <c r="K179" s="41">
        <f>2*135*9</f>
        <v>2430</v>
      </c>
      <c r="L179" s="41">
        <v>1</v>
      </c>
      <c r="M179" s="41">
        <f t="shared" si="19"/>
        <v>763408.8</v>
      </c>
      <c r="N179" s="41"/>
      <c r="O179" s="41"/>
      <c r="P179" s="41">
        <f t="shared" si="20"/>
        <v>0</v>
      </c>
      <c r="Q179" s="41"/>
      <c r="R179" s="41"/>
      <c r="S179" s="41">
        <f t="shared" si="21"/>
        <v>0</v>
      </c>
      <c r="T179" s="41"/>
      <c r="U179" s="41"/>
      <c r="V179" s="41">
        <f t="shared" si="22"/>
        <v>0</v>
      </c>
      <c r="W179" s="41"/>
      <c r="X179" s="41"/>
      <c r="Y179" s="41">
        <f t="shared" si="23"/>
        <v>0</v>
      </c>
      <c r="Z179" s="41"/>
      <c r="AA179" s="41"/>
      <c r="AB179" s="41">
        <f t="shared" si="24"/>
        <v>0</v>
      </c>
      <c r="AC179" s="41">
        <f>2*135*9</f>
        <v>2430</v>
      </c>
      <c r="AD179" s="41">
        <v>1</v>
      </c>
      <c r="AE179" s="41">
        <f t="shared" si="25"/>
        <v>1352425.257136801</v>
      </c>
      <c r="AF179" s="28">
        <f t="shared" si="26"/>
        <v>2115834.0571368011</v>
      </c>
      <c r="AG179" s="28">
        <f t="shared" si="27"/>
        <v>2070.2877271397269</v>
      </c>
    </row>
    <row r="180" spans="1:33" ht="43.2" x14ac:dyDescent="0.3">
      <c r="A180" s="41" t="s">
        <v>696</v>
      </c>
      <c r="B180" s="41" t="s">
        <v>689</v>
      </c>
      <c r="C180" s="41" t="s">
        <v>1379</v>
      </c>
      <c r="D180" s="41" t="s">
        <v>5</v>
      </c>
      <c r="E180" s="41" t="s">
        <v>153</v>
      </c>
      <c r="F180" s="41" t="s">
        <v>712</v>
      </c>
      <c r="G180" s="83">
        <f>1999.2/7</f>
        <v>285.60000000000002</v>
      </c>
      <c r="J180" s="84"/>
      <c r="K180" s="41">
        <f>25*2*9</f>
        <v>450</v>
      </c>
      <c r="L180" s="41">
        <v>3</v>
      </c>
      <c r="M180" s="41">
        <f t="shared" si="19"/>
        <v>424116</v>
      </c>
      <c r="N180" s="41">
        <v>0</v>
      </c>
      <c r="O180" s="41">
        <v>0</v>
      </c>
      <c r="P180" s="41">
        <f t="shared" si="20"/>
        <v>0</v>
      </c>
      <c r="Q180" s="41">
        <v>0</v>
      </c>
      <c r="R180" s="41">
        <v>0</v>
      </c>
      <c r="S180" s="41">
        <f t="shared" si="21"/>
        <v>0</v>
      </c>
      <c r="T180" s="41">
        <v>4000</v>
      </c>
      <c r="U180" s="41">
        <v>1</v>
      </c>
      <c r="V180" s="41">
        <f t="shared" si="22"/>
        <v>1672587.8400000005</v>
      </c>
      <c r="W180" s="41">
        <v>0</v>
      </c>
      <c r="X180" s="41">
        <v>0</v>
      </c>
      <c r="Y180" s="41">
        <f t="shared" si="23"/>
        <v>0</v>
      </c>
      <c r="Z180" s="41">
        <v>0</v>
      </c>
      <c r="AA180" s="41">
        <v>0</v>
      </c>
      <c r="AB180" s="41">
        <f t="shared" si="24"/>
        <v>0</v>
      </c>
      <c r="AC180" s="41">
        <f>25*2*9</f>
        <v>450</v>
      </c>
      <c r="AD180" s="41">
        <v>3</v>
      </c>
      <c r="AE180" s="41">
        <f t="shared" si="25"/>
        <v>751347.36507600057</v>
      </c>
      <c r="AF180" s="28">
        <f t="shared" si="26"/>
        <v>2848051.2050760011</v>
      </c>
      <c r="AG180" s="28">
        <f t="shared" si="27"/>
        <v>2786.7428621095901</v>
      </c>
    </row>
    <row r="181" spans="1:33" ht="43.2" x14ac:dyDescent="0.3">
      <c r="A181" s="41" t="s">
        <v>696</v>
      </c>
      <c r="B181" s="41" t="s">
        <v>689</v>
      </c>
      <c r="C181" s="41" t="s">
        <v>1379</v>
      </c>
      <c r="D181" s="41" t="s">
        <v>5</v>
      </c>
      <c r="E181" s="41" t="s">
        <v>177</v>
      </c>
      <c r="F181" s="41" t="s">
        <v>716</v>
      </c>
      <c r="G181" s="83">
        <v>39000</v>
      </c>
      <c r="J181" s="84"/>
      <c r="K181" s="41">
        <v>58</v>
      </c>
      <c r="L181" s="41">
        <v>2</v>
      </c>
      <c r="M181" s="41">
        <f t="shared" si="19"/>
        <v>4976400</v>
      </c>
      <c r="N181" s="41">
        <v>0</v>
      </c>
      <c r="O181" s="41">
        <v>0</v>
      </c>
      <c r="P181" s="41">
        <f t="shared" si="20"/>
        <v>0</v>
      </c>
      <c r="Q181" s="41">
        <v>0</v>
      </c>
      <c r="R181" s="41">
        <v>0</v>
      </c>
      <c r="S181" s="41">
        <f t="shared" si="21"/>
        <v>0</v>
      </c>
      <c r="T181" s="41">
        <v>10</v>
      </c>
      <c r="U181" s="41">
        <v>1</v>
      </c>
      <c r="V181" s="41">
        <f t="shared" si="22"/>
        <v>570999.00000000012</v>
      </c>
      <c r="W181" s="41">
        <v>0</v>
      </c>
      <c r="X181" s="41">
        <v>0</v>
      </c>
      <c r="Y181" s="41">
        <f t="shared" si="23"/>
        <v>0</v>
      </c>
      <c r="Z181" s="41">
        <v>0</v>
      </c>
      <c r="AA181" s="41">
        <v>0</v>
      </c>
      <c r="AB181" s="41">
        <f t="shared" si="24"/>
        <v>0</v>
      </c>
      <c r="AC181" s="41">
        <v>58</v>
      </c>
      <c r="AD181" s="41">
        <v>2</v>
      </c>
      <c r="AE181" s="41">
        <f t="shared" si="25"/>
        <v>8815996.1604000051</v>
      </c>
      <c r="AF181" s="28">
        <f t="shared" si="26"/>
        <v>14363395.160400005</v>
      </c>
      <c r="AG181" s="28">
        <f t="shared" si="27"/>
        <v>14054.202700978478</v>
      </c>
    </row>
    <row r="182" spans="1:33" ht="43.2" x14ac:dyDescent="0.3">
      <c r="A182" s="41" t="s">
        <v>696</v>
      </c>
      <c r="B182" s="41" t="s">
        <v>689</v>
      </c>
      <c r="C182" s="41" t="s">
        <v>1379</v>
      </c>
      <c r="D182" s="41" t="s">
        <v>5</v>
      </c>
      <c r="E182" s="41" t="s">
        <v>177</v>
      </c>
      <c r="F182" s="41" t="s">
        <v>709</v>
      </c>
      <c r="G182" s="83">
        <v>35000</v>
      </c>
      <c r="J182" s="84"/>
      <c r="K182" s="41">
        <v>100</v>
      </c>
      <c r="L182" s="41">
        <v>1</v>
      </c>
      <c r="M182" s="41">
        <f t="shared" si="19"/>
        <v>3850000</v>
      </c>
      <c r="N182" s="41">
        <v>0</v>
      </c>
      <c r="O182" s="41">
        <v>0</v>
      </c>
      <c r="P182" s="41">
        <f t="shared" si="20"/>
        <v>0</v>
      </c>
      <c r="Q182" s="41">
        <v>0</v>
      </c>
      <c r="R182" s="41">
        <v>0</v>
      </c>
      <c r="S182" s="41">
        <f t="shared" si="21"/>
        <v>0</v>
      </c>
      <c r="T182" s="41">
        <v>30</v>
      </c>
      <c r="U182" s="41">
        <v>1</v>
      </c>
      <c r="V182" s="41">
        <f t="shared" si="22"/>
        <v>1537305.0000000005</v>
      </c>
      <c r="W182" s="41">
        <v>0</v>
      </c>
      <c r="X182" s="41">
        <v>0</v>
      </c>
      <c r="Y182" s="41">
        <f t="shared" si="23"/>
        <v>0</v>
      </c>
      <c r="Z182" s="41">
        <v>0</v>
      </c>
      <c r="AA182" s="41">
        <v>0</v>
      </c>
      <c r="AB182" s="41">
        <f t="shared" si="24"/>
        <v>0</v>
      </c>
      <c r="AC182" s="41">
        <v>100</v>
      </c>
      <c r="AD182" s="41">
        <v>1</v>
      </c>
      <c r="AE182" s="41">
        <f t="shared" si="25"/>
        <v>6820509.8500000034</v>
      </c>
      <c r="AF182" s="28">
        <f t="shared" si="26"/>
        <v>12207814.850000003</v>
      </c>
      <c r="AG182" s="28">
        <f t="shared" si="27"/>
        <v>11945.024315068496</v>
      </c>
    </row>
    <row r="183" spans="1:33" ht="43.2" x14ac:dyDescent="0.3">
      <c r="A183" s="41" t="s">
        <v>696</v>
      </c>
      <c r="B183" s="41" t="s">
        <v>689</v>
      </c>
      <c r="C183" s="41" t="s">
        <v>1379</v>
      </c>
      <c r="D183" s="41" t="s">
        <v>5</v>
      </c>
      <c r="E183" s="41" t="s">
        <v>177</v>
      </c>
      <c r="F183" s="41" t="s">
        <v>1350</v>
      </c>
      <c r="G183" s="83">
        <f>1999.2/7</f>
        <v>285.60000000000002</v>
      </c>
      <c r="J183" s="84"/>
      <c r="K183" s="41">
        <f>2*135*29</f>
        <v>7830</v>
      </c>
      <c r="L183" s="41">
        <v>1</v>
      </c>
      <c r="M183" s="41">
        <f t="shared" si="19"/>
        <v>2459872.8000000003</v>
      </c>
      <c r="N183" s="41"/>
      <c r="O183" s="41"/>
      <c r="P183" s="41">
        <f t="shared" si="20"/>
        <v>0</v>
      </c>
      <c r="Q183" s="41"/>
      <c r="R183" s="41"/>
      <c r="S183" s="41">
        <f t="shared" si="21"/>
        <v>0</v>
      </c>
      <c r="T183" s="41"/>
      <c r="U183" s="41"/>
      <c r="V183" s="41">
        <f t="shared" si="22"/>
        <v>0</v>
      </c>
      <c r="W183" s="41"/>
      <c r="X183" s="41"/>
      <c r="Y183" s="41">
        <f t="shared" si="23"/>
        <v>0</v>
      </c>
      <c r="Z183" s="41"/>
      <c r="AA183" s="41"/>
      <c r="AB183" s="41">
        <f t="shared" si="24"/>
        <v>0</v>
      </c>
      <c r="AC183" s="41">
        <f>2*135*29</f>
        <v>7830</v>
      </c>
      <c r="AD183" s="41">
        <v>1</v>
      </c>
      <c r="AE183" s="41">
        <f t="shared" si="25"/>
        <v>4357814.7174408035</v>
      </c>
      <c r="AF183" s="28">
        <f t="shared" si="26"/>
        <v>6817687.5174408033</v>
      </c>
      <c r="AG183" s="28">
        <f t="shared" si="27"/>
        <v>6670.9271207835645</v>
      </c>
    </row>
    <row r="184" spans="1:33" ht="43.2" x14ac:dyDescent="0.3">
      <c r="A184" s="41" t="s">
        <v>696</v>
      </c>
      <c r="B184" s="41" t="s">
        <v>689</v>
      </c>
      <c r="C184" s="41" t="s">
        <v>1379</v>
      </c>
      <c r="D184" s="41" t="s">
        <v>5</v>
      </c>
      <c r="E184" s="41" t="s">
        <v>177</v>
      </c>
      <c r="F184" s="41" t="s">
        <v>712</v>
      </c>
      <c r="G184" s="83">
        <f>1999.2/7</f>
        <v>285.60000000000002</v>
      </c>
      <c r="J184" s="84"/>
      <c r="K184" s="41">
        <f>25*2*29</f>
        <v>1450</v>
      </c>
      <c r="L184" s="41">
        <v>1</v>
      </c>
      <c r="M184" s="41">
        <f t="shared" si="19"/>
        <v>455532.00000000006</v>
      </c>
      <c r="N184" s="41"/>
      <c r="O184" s="41"/>
      <c r="P184" s="41">
        <f t="shared" si="20"/>
        <v>0</v>
      </c>
      <c r="Q184" s="41">
        <v>0</v>
      </c>
      <c r="R184" s="41">
        <v>0</v>
      </c>
      <c r="S184" s="41">
        <f t="shared" si="21"/>
        <v>0</v>
      </c>
      <c r="T184" s="41">
        <v>8000</v>
      </c>
      <c r="U184" s="41">
        <v>1</v>
      </c>
      <c r="V184" s="41">
        <f t="shared" si="22"/>
        <v>3345175.6800000011</v>
      </c>
      <c r="W184" s="41">
        <v>0</v>
      </c>
      <c r="X184" s="41">
        <v>0</v>
      </c>
      <c r="Y184" s="41">
        <f t="shared" si="23"/>
        <v>0</v>
      </c>
      <c r="Z184" s="41">
        <v>0</v>
      </c>
      <c r="AA184" s="41">
        <v>0</v>
      </c>
      <c r="AB184" s="41">
        <f t="shared" si="24"/>
        <v>0</v>
      </c>
      <c r="AC184" s="41">
        <f>25*2*29</f>
        <v>1450</v>
      </c>
      <c r="AD184" s="41">
        <v>1</v>
      </c>
      <c r="AE184" s="41">
        <f t="shared" si="25"/>
        <v>807002.72545200062</v>
      </c>
      <c r="AF184" s="28">
        <f t="shared" si="26"/>
        <v>4607710.4054520018</v>
      </c>
      <c r="AG184" s="28">
        <f t="shared" si="27"/>
        <v>4508.5229016164403</v>
      </c>
    </row>
    <row r="185" spans="1:33" ht="43.2" x14ac:dyDescent="0.3">
      <c r="A185" s="41" t="s">
        <v>696</v>
      </c>
      <c r="B185" s="41" t="s">
        <v>689</v>
      </c>
      <c r="C185" s="41" t="s">
        <v>1379</v>
      </c>
      <c r="D185" s="41" t="s">
        <v>5</v>
      </c>
      <c r="E185" s="41" t="s">
        <v>204</v>
      </c>
      <c r="F185" s="41" t="s">
        <v>709</v>
      </c>
      <c r="G185" s="83">
        <v>35000</v>
      </c>
      <c r="J185" s="84"/>
      <c r="K185" s="41">
        <v>25</v>
      </c>
      <c r="L185" s="41">
        <v>1</v>
      </c>
      <c r="M185" s="41">
        <f t="shared" si="19"/>
        <v>962500</v>
      </c>
      <c r="N185" s="41"/>
      <c r="O185" s="41"/>
      <c r="P185" s="41">
        <f t="shared" si="20"/>
        <v>0</v>
      </c>
      <c r="Q185" s="41">
        <v>0</v>
      </c>
      <c r="R185" s="41">
        <v>0</v>
      </c>
      <c r="S185" s="41">
        <f t="shared" si="21"/>
        <v>0</v>
      </c>
      <c r="T185" s="41">
        <v>30</v>
      </c>
      <c r="U185" s="41">
        <v>1</v>
      </c>
      <c r="V185" s="41">
        <f t="shared" si="22"/>
        <v>1537305.0000000005</v>
      </c>
      <c r="W185" s="41">
        <v>0</v>
      </c>
      <c r="X185" s="41">
        <v>0</v>
      </c>
      <c r="Y185" s="41">
        <f t="shared" si="23"/>
        <v>0</v>
      </c>
      <c r="Z185" s="41">
        <v>0</v>
      </c>
      <c r="AA185" s="41">
        <v>0</v>
      </c>
      <c r="AB185" s="41">
        <f t="shared" si="24"/>
        <v>0</v>
      </c>
      <c r="AC185" s="41">
        <v>25</v>
      </c>
      <c r="AD185" s="41">
        <v>1</v>
      </c>
      <c r="AE185" s="41">
        <f t="shared" si="25"/>
        <v>1705127.4625000008</v>
      </c>
      <c r="AF185" s="28">
        <f t="shared" si="26"/>
        <v>4204932.4625000013</v>
      </c>
      <c r="AG185" s="28">
        <f t="shared" si="27"/>
        <v>4114.4153253424674</v>
      </c>
    </row>
    <row r="186" spans="1:33" ht="43.2" x14ac:dyDescent="0.3">
      <c r="A186" s="41" t="s">
        <v>696</v>
      </c>
      <c r="B186" s="41" t="s">
        <v>689</v>
      </c>
      <c r="C186" s="41" t="s">
        <v>1379</v>
      </c>
      <c r="D186" s="41" t="s">
        <v>5</v>
      </c>
      <c r="E186" s="41" t="s">
        <v>205</v>
      </c>
      <c r="F186" s="41" t="s">
        <v>718</v>
      </c>
      <c r="G186" s="83">
        <v>0</v>
      </c>
      <c r="J186" s="84"/>
      <c r="K186" s="41">
        <v>0</v>
      </c>
      <c r="L186" s="41">
        <v>0</v>
      </c>
      <c r="M186" s="41">
        <f t="shared" si="19"/>
        <v>0</v>
      </c>
      <c r="N186" s="41"/>
      <c r="O186" s="41"/>
      <c r="P186" s="41">
        <f t="shared" si="20"/>
        <v>0</v>
      </c>
      <c r="Q186" s="41">
        <v>0</v>
      </c>
      <c r="R186" s="41">
        <v>0</v>
      </c>
      <c r="S186" s="41">
        <f t="shared" si="21"/>
        <v>0</v>
      </c>
      <c r="T186" s="41">
        <v>20</v>
      </c>
      <c r="U186" s="41">
        <v>1</v>
      </c>
      <c r="V186" s="41">
        <f t="shared" si="22"/>
        <v>0</v>
      </c>
      <c r="W186" s="41">
        <v>0</v>
      </c>
      <c r="X186" s="41">
        <v>0</v>
      </c>
      <c r="Y186" s="41">
        <f t="shared" si="23"/>
        <v>0</v>
      </c>
      <c r="Z186" s="41">
        <v>0</v>
      </c>
      <c r="AA186" s="41">
        <v>0</v>
      </c>
      <c r="AB186" s="41">
        <f t="shared" si="24"/>
        <v>0</v>
      </c>
      <c r="AC186" s="41">
        <v>0</v>
      </c>
      <c r="AD186" s="41">
        <v>0</v>
      </c>
      <c r="AE186" s="41">
        <f t="shared" si="25"/>
        <v>0</v>
      </c>
      <c r="AF186" s="28">
        <f t="shared" si="26"/>
        <v>0</v>
      </c>
      <c r="AG186" s="28">
        <f t="shared" si="27"/>
        <v>0</v>
      </c>
    </row>
    <row r="187" spans="1:33" ht="43.2" x14ac:dyDescent="0.3">
      <c r="A187" s="41" t="s">
        <v>696</v>
      </c>
      <c r="B187" s="41" t="s">
        <v>689</v>
      </c>
      <c r="C187" s="41" t="s">
        <v>1379</v>
      </c>
      <c r="D187" s="41" t="s">
        <v>5</v>
      </c>
      <c r="E187" s="41" t="s">
        <v>220</v>
      </c>
      <c r="F187" s="41" t="s">
        <v>1297</v>
      </c>
      <c r="G187" s="83">
        <v>8000</v>
      </c>
      <c r="J187" s="84"/>
      <c r="K187" s="41">
        <v>10</v>
      </c>
      <c r="L187" s="41">
        <v>1</v>
      </c>
      <c r="M187" s="41">
        <f t="shared" si="19"/>
        <v>88000</v>
      </c>
      <c r="N187" s="41"/>
      <c r="O187" s="41"/>
      <c r="P187" s="41">
        <f t="shared" si="20"/>
        <v>0</v>
      </c>
      <c r="Q187" s="41">
        <v>0</v>
      </c>
      <c r="R187" s="41">
        <v>0</v>
      </c>
      <c r="S187" s="41">
        <f t="shared" si="21"/>
        <v>0</v>
      </c>
      <c r="T187" s="41">
        <v>50000</v>
      </c>
      <c r="U187" s="41">
        <v>1</v>
      </c>
      <c r="V187" s="41">
        <f t="shared" si="22"/>
        <v>585640000.00000012</v>
      </c>
      <c r="W187" s="41">
        <v>0</v>
      </c>
      <c r="X187" s="41">
        <v>0</v>
      </c>
      <c r="Y187" s="41">
        <f t="shared" si="23"/>
        <v>0</v>
      </c>
      <c r="Z187" s="41">
        <v>0</v>
      </c>
      <c r="AA187" s="41">
        <v>0</v>
      </c>
      <c r="AB187" s="41">
        <f t="shared" si="24"/>
        <v>0</v>
      </c>
      <c r="AC187" s="41">
        <v>10</v>
      </c>
      <c r="AD187" s="41">
        <v>1</v>
      </c>
      <c r="AE187" s="41">
        <f t="shared" si="25"/>
        <v>155897.3680000001</v>
      </c>
      <c r="AF187" s="28">
        <f t="shared" si="26"/>
        <v>585883897.36800015</v>
      </c>
      <c r="AG187" s="28">
        <f t="shared" si="27"/>
        <v>573271.9152328769</v>
      </c>
    </row>
    <row r="188" spans="1:33" ht="43.2" x14ac:dyDescent="0.3">
      <c r="A188" s="41" t="s">
        <v>696</v>
      </c>
      <c r="B188" s="41" t="s">
        <v>689</v>
      </c>
      <c r="C188" s="41" t="s">
        <v>1379</v>
      </c>
      <c r="D188" s="41" t="s">
        <v>5</v>
      </c>
      <c r="E188" s="41" t="s">
        <v>220</v>
      </c>
      <c r="F188" s="41" t="s">
        <v>710</v>
      </c>
      <c r="G188" s="83">
        <v>104850</v>
      </c>
      <c r="J188" s="84"/>
      <c r="K188" s="41">
        <v>1</v>
      </c>
      <c r="L188" s="41">
        <v>1</v>
      </c>
      <c r="M188" s="41">
        <f t="shared" si="19"/>
        <v>115335.00000000001</v>
      </c>
      <c r="N188" s="41"/>
      <c r="O188" s="41"/>
      <c r="P188" s="41">
        <f t="shared" si="20"/>
        <v>0</v>
      </c>
      <c r="Q188" s="41">
        <v>0</v>
      </c>
      <c r="R188" s="41">
        <v>0</v>
      </c>
      <c r="S188" s="41">
        <f t="shared" si="21"/>
        <v>0</v>
      </c>
      <c r="T188" s="41">
        <v>5</v>
      </c>
      <c r="U188" s="41">
        <v>1</v>
      </c>
      <c r="V188" s="41">
        <f t="shared" si="22"/>
        <v>767554.42500000016</v>
      </c>
      <c r="W188" s="41">
        <v>0</v>
      </c>
      <c r="X188" s="41">
        <v>0</v>
      </c>
      <c r="Y188" s="41">
        <f t="shared" si="23"/>
        <v>0</v>
      </c>
      <c r="Z188" s="41">
        <v>0</v>
      </c>
      <c r="AA188" s="41">
        <v>0</v>
      </c>
      <c r="AB188" s="41">
        <f t="shared" si="24"/>
        <v>0</v>
      </c>
      <c r="AC188" s="41">
        <v>1</v>
      </c>
      <c r="AD188" s="41">
        <v>1</v>
      </c>
      <c r="AE188" s="41">
        <f t="shared" si="25"/>
        <v>204322.98793500013</v>
      </c>
      <c r="AF188" s="28">
        <f t="shared" si="26"/>
        <v>1087212.4129350004</v>
      </c>
      <c r="AG188" s="28">
        <f t="shared" si="27"/>
        <v>1063.8086232240707</v>
      </c>
    </row>
    <row r="189" spans="1:33" ht="43.2" x14ac:dyDescent="0.3">
      <c r="A189" s="41" t="s">
        <v>696</v>
      </c>
      <c r="B189" s="41" t="s">
        <v>689</v>
      </c>
      <c r="C189" s="41" t="s">
        <v>1379</v>
      </c>
      <c r="D189" s="41" t="s">
        <v>5</v>
      </c>
      <c r="E189" s="41" t="s">
        <v>221</v>
      </c>
      <c r="F189" s="41" t="s">
        <v>716</v>
      </c>
      <c r="G189" s="83">
        <v>39000</v>
      </c>
      <c r="J189" s="84"/>
      <c r="K189" s="41">
        <v>58</v>
      </c>
      <c r="L189" s="41">
        <v>2</v>
      </c>
      <c r="M189" s="41">
        <f t="shared" si="19"/>
        <v>4976400</v>
      </c>
      <c r="N189" s="41"/>
      <c r="O189" s="41"/>
      <c r="P189" s="41">
        <f t="shared" si="20"/>
        <v>0</v>
      </c>
      <c r="Q189" s="41">
        <v>0</v>
      </c>
      <c r="R189" s="41">
        <v>0</v>
      </c>
      <c r="S189" s="41">
        <f t="shared" si="21"/>
        <v>0</v>
      </c>
      <c r="T189" s="41">
        <v>300</v>
      </c>
      <c r="U189" s="41">
        <v>10</v>
      </c>
      <c r="V189" s="41">
        <f t="shared" si="22"/>
        <v>171299700.00000003</v>
      </c>
      <c r="W189" s="41">
        <v>0</v>
      </c>
      <c r="X189" s="41">
        <v>0</v>
      </c>
      <c r="Y189" s="41">
        <f t="shared" si="23"/>
        <v>0</v>
      </c>
      <c r="Z189" s="41">
        <v>0</v>
      </c>
      <c r="AA189" s="41">
        <v>0</v>
      </c>
      <c r="AB189" s="41">
        <f t="shared" si="24"/>
        <v>0</v>
      </c>
      <c r="AC189" s="41">
        <v>58</v>
      </c>
      <c r="AD189" s="41">
        <v>2</v>
      </c>
      <c r="AE189" s="41">
        <f t="shared" si="25"/>
        <v>8815996.1604000051</v>
      </c>
      <c r="AF189" s="28">
        <f t="shared" si="26"/>
        <v>185092096.16040003</v>
      </c>
      <c r="AG189" s="28">
        <f t="shared" si="27"/>
        <v>181107.72618434444</v>
      </c>
    </row>
    <row r="190" spans="1:33" ht="43.2" x14ac:dyDescent="0.3">
      <c r="A190" s="41" t="s">
        <v>696</v>
      </c>
      <c r="B190" s="41" t="s">
        <v>689</v>
      </c>
      <c r="C190" s="41" t="s">
        <v>1379</v>
      </c>
      <c r="D190" s="41" t="s">
        <v>5</v>
      </c>
      <c r="E190" s="41" t="s">
        <v>221</v>
      </c>
      <c r="F190" s="41" t="s">
        <v>709</v>
      </c>
      <c r="G190" s="83">
        <v>35000</v>
      </c>
      <c r="J190" s="84"/>
      <c r="K190" s="41">
        <v>100</v>
      </c>
      <c r="L190" s="41">
        <v>1</v>
      </c>
      <c r="M190" s="41">
        <f t="shared" si="19"/>
        <v>3850000</v>
      </c>
      <c r="N190" s="41"/>
      <c r="O190" s="41"/>
      <c r="P190" s="41">
        <f t="shared" si="20"/>
        <v>0</v>
      </c>
      <c r="Q190" s="41">
        <v>0</v>
      </c>
      <c r="R190" s="41">
        <v>0</v>
      </c>
      <c r="S190" s="41">
        <f t="shared" si="21"/>
        <v>0</v>
      </c>
      <c r="T190" s="41">
        <v>300</v>
      </c>
      <c r="U190" s="41">
        <v>10</v>
      </c>
      <c r="V190" s="41">
        <f t="shared" si="22"/>
        <v>153730500.00000003</v>
      </c>
      <c r="W190" s="41">
        <v>0</v>
      </c>
      <c r="X190" s="41">
        <v>0</v>
      </c>
      <c r="Y190" s="41">
        <f t="shared" si="23"/>
        <v>0</v>
      </c>
      <c r="Z190" s="41">
        <v>0</v>
      </c>
      <c r="AA190" s="41">
        <v>0</v>
      </c>
      <c r="AB190" s="41">
        <f t="shared" si="24"/>
        <v>0</v>
      </c>
      <c r="AC190" s="41">
        <v>100</v>
      </c>
      <c r="AD190" s="41">
        <v>1</v>
      </c>
      <c r="AE190" s="41">
        <f t="shared" si="25"/>
        <v>6820509.8500000034</v>
      </c>
      <c r="AF190" s="28">
        <f t="shared" si="26"/>
        <v>164401009.85000002</v>
      </c>
      <c r="AG190" s="28">
        <f t="shared" si="27"/>
        <v>160862.04486301373</v>
      </c>
    </row>
    <row r="191" spans="1:33" ht="43.2" x14ac:dyDescent="0.3">
      <c r="A191" s="41" t="s">
        <v>696</v>
      </c>
      <c r="B191" s="41" t="s">
        <v>689</v>
      </c>
      <c r="C191" s="41" t="s">
        <v>1379</v>
      </c>
      <c r="D191" s="41" t="s">
        <v>5</v>
      </c>
      <c r="E191" s="41" t="s">
        <v>221</v>
      </c>
      <c r="F191" s="41" t="s">
        <v>1350</v>
      </c>
      <c r="G191" s="83">
        <f>1999.2/7</f>
        <v>285.60000000000002</v>
      </c>
      <c r="J191" s="84"/>
      <c r="K191" s="41">
        <f>2*135*29</f>
        <v>7830</v>
      </c>
      <c r="L191" s="41">
        <v>1</v>
      </c>
      <c r="M191" s="41">
        <f t="shared" si="19"/>
        <v>2459872.8000000003</v>
      </c>
      <c r="N191" s="41"/>
      <c r="O191" s="41"/>
      <c r="P191" s="41">
        <f t="shared" si="20"/>
        <v>0</v>
      </c>
      <c r="Q191" s="41"/>
      <c r="R191" s="41"/>
      <c r="S191" s="41">
        <f t="shared" si="21"/>
        <v>0</v>
      </c>
      <c r="T191" s="41"/>
      <c r="U191" s="41"/>
      <c r="V191" s="41">
        <f t="shared" si="22"/>
        <v>0</v>
      </c>
      <c r="W191" s="41"/>
      <c r="X191" s="41"/>
      <c r="Y191" s="41">
        <f t="shared" si="23"/>
        <v>0</v>
      </c>
      <c r="Z191" s="41"/>
      <c r="AA191" s="41"/>
      <c r="AB191" s="41">
        <f t="shared" si="24"/>
        <v>0</v>
      </c>
      <c r="AC191" s="41">
        <f>2*135*29</f>
        <v>7830</v>
      </c>
      <c r="AD191" s="41">
        <v>1</v>
      </c>
      <c r="AE191" s="41">
        <f t="shared" si="25"/>
        <v>4357814.7174408035</v>
      </c>
      <c r="AF191" s="28">
        <f t="shared" si="26"/>
        <v>6817687.5174408033</v>
      </c>
      <c r="AG191" s="28">
        <f t="shared" si="27"/>
        <v>6670.9271207835645</v>
      </c>
    </row>
    <row r="192" spans="1:33" ht="43.2" x14ac:dyDescent="0.3">
      <c r="A192" s="41" t="s">
        <v>696</v>
      </c>
      <c r="B192" s="41" t="s">
        <v>689</v>
      </c>
      <c r="C192" s="41" t="s">
        <v>1379</v>
      </c>
      <c r="D192" s="41" t="s">
        <v>5</v>
      </c>
      <c r="E192" s="41" t="s">
        <v>221</v>
      </c>
      <c r="F192" s="41" t="s">
        <v>712</v>
      </c>
      <c r="G192" s="83">
        <f>1999.2/7</f>
        <v>285.60000000000002</v>
      </c>
      <c r="J192" s="84"/>
      <c r="K192" s="41">
        <f>25*2*29</f>
        <v>1450</v>
      </c>
      <c r="L192" s="41">
        <v>1</v>
      </c>
      <c r="M192" s="41">
        <f t="shared" si="19"/>
        <v>455532.00000000006</v>
      </c>
      <c r="N192" s="41"/>
      <c r="O192" s="41"/>
      <c r="P192" s="41">
        <f t="shared" si="20"/>
        <v>0</v>
      </c>
      <c r="Q192" s="41">
        <v>0</v>
      </c>
      <c r="R192" s="41">
        <v>0</v>
      </c>
      <c r="S192" s="41">
        <f t="shared" si="21"/>
        <v>0</v>
      </c>
      <c r="T192" s="41">
        <v>60000</v>
      </c>
      <c r="U192" s="41">
        <v>1</v>
      </c>
      <c r="V192" s="41">
        <f t="shared" si="22"/>
        <v>25088817.600000009</v>
      </c>
      <c r="W192" s="41">
        <v>0</v>
      </c>
      <c r="X192" s="41">
        <v>0</v>
      </c>
      <c r="Y192" s="41">
        <f t="shared" si="23"/>
        <v>0</v>
      </c>
      <c r="Z192" s="41">
        <v>0</v>
      </c>
      <c r="AA192" s="41">
        <v>0</v>
      </c>
      <c r="AB192" s="41">
        <f t="shared" si="24"/>
        <v>0</v>
      </c>
      <c r="AC192" s="41">
        <f>25*2*29</f>
        <v>1450</v>
      </c>
      <c r="AD192" s="41">
        <v>1</v>
      </c>
      <c r="AE192" s="41">
        <f t="shared" si="25"/>
        <v>807002.72545200062</v>
      </c>
      <c r="AF192" s="28">
        <f t="shared" si="26"/>
        <v>26351352.325452011</v>
      </c>
      <c r="AG192" s="28">
        <f t="shared" si="27"/>
        <v>25784.102079698641</v>
      </c>
    </row>
    <row r="193" spans="1:36" ht="43.2" x14ac:dyDescent="0.3">
      <c r="A193" s="41" t="s">
        <v>696</v>
      </c>
      <c r="B193" s="41" t="s">
        <v>689</v>
      </c>
      <c r="C193" s="41" t="s">
        <v>1379</v>
      </c>
      <c r="D193" s="41" t="s">
        <v>5</v>
      </c>
      <c r="E193" s="41" t="s">
        <v>210</v>
      </c>
      <c r="F193" s="41" t="s">
        <v>709</v>
      </c>
      <c r="G193" s="83">
        <v>35000</v>
      </c>
      <c r="J193" s="84"/>
      <c r="K193" s="41">
        <v>100</v>
      </c>
      <c r="L193" s="41">
        <v>5</v>
      </c>
      <c r="M193" s="41">
        <f t="shared" si="19"/>
        <v>19250000</v>
      </c>
      <c r="N193" s="41"/>
      <c r="O193" s="41"/>
      <c r="P193" s="41">
        <f t="shared" si="20"/>
        <v>0</v>
      </c>
      <c r="Q193" s="41">
        <v>0</v>
      </c>
      <c r="R193" s="41">
        <v>0</v>
      </c>
      <c r="S193" s="41">
        <f t="shared" si="21"/>
        <v>0</v>
      </c>
      <c r="T193" s="41">
        <v>40</v>
      </c>
      <c r="U193" s="41">
        <v>5</v>
      </c>
      <c r="V193" s="41">
        <f t="shared" si="22"/>
        <v>10248700.000000002</v>
      </c>
      <c r="W193" s="41">
        <v>0</v>
      </c>
      <c r="X193" s="41">
        <v>0</v>
      </c>
      <c r="Y193" s="41">
        <f t="shared" si="23"/>
        <v>0</v>
      </c>
      <c r="Z193" s="41">
        <v>0</v>
      </c>
      <c r="AA193" s="41">
        <v>0</v>
      </c>
      <c r="AB193" s="41">
        <f t="shared" si="24"/>
        <v>0</v>
      </c>
      <c r="AC193" s="41">
        <v>100</v>
      </c>
      <c r="AD193" s="41">
        <v>5</v>
      </c>
      <c r="AE193" s="41">
        <f t="shared" si="25"/>
        <v>34102549.250000015</v>
      </c>
      <c r="AF193" s="28">
        <f t="shared" si="26"/>
        <v>63601249.250000015</v>
      </c>
      <c r="AG193" s="28">
        <f t="shared" si="27"/>
        <v>62232.142123287689</v>
      </c>
    </row>
    <row r="194" spans="1:36" ht="43.2" x14ac:dyDescent="0.3">
      <c r="A194" s="41" t="s">
        <v>696</v>
      </c>
      <c r="B194" s="41" t="s">
        <v>689</v>
      </c>
      <c r="C194" s="41" t="s">
        <v>1379</v>
      </c>
      <c r="D194" s="41" t="s">
        <v>5</v>
      </c>
      <c r="E194" s="41" t="s">
        <v>210</v>
      </c>
      <c r="F194" s="41" t="s">
        <v>716</v>
      </c>
      <c r="G194" s="83">
        <v>39000</v>
      </c>
      <c r="J194" s="84"/>
      <c r="K194" s="41">
        <v>58</v>
      </c>
      <c r="L194" s="41">
        <v>6</v>
      </c>
      <c r="M194" s="41">
        <f t="shared" si="19"/>
        <v>14929200</v>
      </c>
      <c r="N194" s="41"/>
      <c r="O194" s="41"/>
      <c r="P194" s="41">
        <f t="shared" si="20"/>
        <v>0</v>
      </c>
      <c r="Q194" s="41">
        <v>0</v>
      </c>
      <c r="R194" s="41">
        <v>0</v>
      </c>
      <c r="S194" s="41">
        <f t="shared" si="21"/>
        <v>0</v>
      </c>
      <c r="T194" s="41">
        <v>40</v>
      </c>
      <c r="U194" s="41">
        <v>5</v>
      </c>
      <c r="V194" s="41">
        <f t="shared" si="22"/>
        <v>11419980.000000002</v>
      </c>
      <c r="W194" s="41">
        <v>0</v>
      </c>
      <c r="X194" s="41">
        <v>0</v>
      </c>
      <c r="Y194" s="41">
        <f t="shared" si="23"/>
        <v>0</v>
      </c>
      <c r="Z194" s="41">
        <v>0</v>
      </c>
      <c r="AA194" s="41">
        <v>0</v>
      </c>
      <c r="AB194" s="41">
        <f t="shared" si="24"/>
        <v>0</v>
      </c>
      <c r="AC194" s="41">
        <v>58</v>
      </c>
      <c r="AD194" s="41">
        <v>6</v>
      </c>
      <c r="AE194" s="41">
        <f t="shared" si="25"/>
        <v>26447988.481200017</v>
      </c>
      <c r="AF194" s="28">
        <f t="shared" si="26"/>
        <v>52797168.481200017</v>
      </c>
      <c r="AG194" s="28">
        <f t="shared" si="27"/>
        <v>51660.634521722131</v>
      </c>
    </row>
    <row r="195" spans="1:36" ht="43.2" x14ac:dyDescent="0.3">
      <c r="A195" s="41" t="s">
        <v>696</v>
      </c>
      <c r="B195" s="41" t="s">
        <v>689</v>
      </c>
      <c r="C195" s="41" t="s">
        <v>1379</v>
      </c>
      <c r="D195" s="41" t="s">
        <v>5</v>
      </c>
      <c r="E195" s="41" t="s">
        <v>210</v>
      </c>
      <c r="F195" s="41" t="s">
        <v>1350</v>
      </c>
      <c r="G195" s="83">
        <f>1999.2/7</f>
        <v>285.60000000000002</v>
      </c>
      <c r="J195" s="84"/>
      <c r="K195" s="41">
        <f>2*135*29</f>
        <v>7830</v>
      </c>
      <c r="L195" s="41">
        <v>1</v>
      </c>
      <c r="M195" s="41">
        <f t="shared" si="19"/>
        <v>2459872.8000000003</v>
      </c>
      <c r="N195" s="41"/>
      <c r="O195" s="41"/>
      <c r="P195" s="41">
        <f t="shared" si="20"/>
        <v>0</v>
      </c>
      <c r="Q195" s="41"/>
      <c r="R195" s="41"/>
      <c r="S195" s="41">
        <f t="shared" si="21"/>
        <v>0</v>
      </c>
      <c r="T195" s="41"/>
      <c r="U195" s="41"/>
      <c r="V195" s="41">
        <f t="shared" si="22"/>
        <v>0</v>
      </c>
      <c r="W195" s="41"/>
      <c r="X195" s="41"/>
      <c r="Y195" s="41">
        <f t="shared" si="23"/>
        <v>0</v>
      </c>
      <c r="Z195" s="41"/>
      <c r="AA195" s="41"/>
      <c r="AB195" s="41">
        <f t="shared" si="24"/>
        <v>0</v>
      </c>
      <c r="AC195" s="41">
        <f>2*135*29</f>
        <v>7830</v>
      </c>
      <c r="AD195" s="41">
        <v>1</v>
      </c>
      <c r="AE195" s="41">
        <f t="shared" si="25"/>
        <v>4357814.7174408035</v>
      </c>
      <c r="AF195" s="28">
        <f t="shared" si="26"/>
        <v>6817687.5174408033</v>
      </c>
      <c r="AG195" s="28">
        <f t="shared" si="27"/>
        <v>6670.9271207835645</v>
      </c>
    </row>
    <row r="196" spans="1:36" ht="43.2" x14ac:dyDescent="0.3">
      <c r="A196" s="41" t="s">
        <v>696</v>
      </c>
      <c r="B196" s="41" t="s">
        <v>689</v>
      </c>
      <c r="C196" s="41" t="s">
        <v>1379</v>
      </c>
      <c r="D196" s="41" t="s">
        <v>5</v>
      </c>
      <c r="E196" s="41" t="s">
        <v>210</v>
      </c>
      <c r="F196" s="41" t="s">
        <v>712</v>
      </c>
      <c r="G196" s="83">
        <f>1999.2/7</f>
        <v>285.60000000000002</v>
      </c>
      <c r="J196" s="84"/>
      <c r="K196" s="41">
        <f>25*2*29</f>
        <v>1450</v>
      </c>
      <c r="L196" s="41">
        <v>5</v>
      </c>
      <c r="M196" s="41">
        <f t="shared" si="19"/>
        <v>2277660.0000000005</v>
      </c>
      <c r="N196" s="41"/>
      <c r="O196" s="41"/>
      <c r="P196" s="41">
        <f t="shared" si="20"/>
        <v>0</v>
      </c>
      <c r="Q196" s="41"/>
      <c r="R196" s="41"/>
      <c r="S196" s="41">
        <f t="shared" si="21"/>
        <v>0</v>
      </c>
      <c r="T196" s="41"/>
      <c r="U196" s="41"/>
      <c r="V196" s="41">
        <f t="shared" si="22"/>
        <v>0</v>
      </c>
      <c r="W196" s="41"/>
      <c r="X196" s="41"/>
      <c r="Y196" s="41">
        <f t="shared" si="23"/>
        <v>0</v>
      </c>
      <c r="Z196" s="41"/>
      <c r="AA196" s="41"/>
      <c r="AB196" s="41">
        <f t="shared" si="24"/>
        <v>0</v>
      </c>
      <c r="AC196" s="41">
        <f>25*2*29</f>
        <v>1450</v>
      </c>
      <c r="AD196" s="41">
        <v>5</v>
      </c>
      <c r="AE196" s="41">
        <f t="shared" si="25"/>
        <v>4035013.6272600032</v>
      </c>
      <c r="AF196" s="28">
        <f t="shared" si="26"/>
        <v>6312673.6272600032</v>
      </c>
      <c r="AG196" s="28">
        <f t="shared" si="27"/>
        <v>6176.7843710958932</v>
      </c>
    </row>
    <row r="197" spans="1:36" x14ac:dyDescent="0.3">
      <c r="A197" s="91" t="s">
        <v>1302</v>
      </c>
      <c r="B197" s="91"/>
      <c r="C197" s="91"/>
      <c r="D197" s="91"/>
      <c r="E197" s="91"/>
      <c r="F197" s="91"/>
      <c r="G197" s="92"/>
      <c r="H197" s="94"/>
      <c r="I197" s="94"/>
      <c r="J197" s="96">
        <f>SUM(J146:J196)</f>
        <v>0</v>
      </c>
      <c r="K197" s="91"/>
      <c r="L197" s="91"/>
      <c r="M197" s="96">
        <f>SUM(M146:M196)</f>
        <v>155369541.96499997</v>
      </c>
      <c r="N197" s="91"/>
      <c r="O197" s="91"/>
      <c r="P197" s="96">
        <f>SUM(P146:P196)</f>
        <v>0</v>
      </c>
      <c r="Q197" s="91"/>
      <c r="R197" s="91"/>
      <c r="S197" s="96">
        <f>SUM(S146:S196)</f>
        <v>0</v>
      </c>
      <c r="T197" s="91"/>
      <c r="U197" s="91"/>
      <c r="V197" s="96">
        <f>SUM(V146:V196)</f>
        <v>1173294329.497015</v>
      </c>
      <c r="W197" s="91"/>
      <c r="X197" s="91"/>
      <c r="Y197" s="96">
        <f>SUM(Y146:Y196)</f>
        <v>0</v>
      </c>
      <c r="Z197" s="91"/>
      <c r="AA197" s="91"/>
      <c r="AB197" s="96">
        <f>SUM(AB146:AB196)</f>
        <v>0</v>
      </c>
      <c r="AC197" s="91"/>
      <c r="AD197" s="91"/>
      <c r="AE197" s="96">
        <f>SUM(AE146:AE196)</f>
        <v>275246621.13305753</v>
      </c>
      <c r="AF197" s="95">
        <f t="shared" ref="AF197:AF238" si="28">J197+M197+P197+S197+V197+Y197+AB197+AE197</f>
        <v>1603910492.5950725</v>
      </c>
      <c r="AG197" s="95">
        <f t="shared" ref="AG197:AG238" si="29">AF197/$AL$2</f>
        <v>1569384.0436351004</v>
      </c>
      <c r="AH197" s="94"/>
      <c r="AI197" s="94"/>
    </row>
    <row r="198" spans="1:36" x14ac:dyDescent="0.3">
      <c r="A198" s="63" t="s">
        <v>1427</v>
      </c>
      <c r="B198" s="63"/>
      <c r="C198" s="63"/>
      <c r="D198" s="63"/>
      <c r="E198" s="63"/>
      <c r="F198" s="63"/>
      <c r="G198" s="90"/>
      <c r="H198" s="62"/>
      <c r="I198" s="62"/>
      <c r="J198" s="117">
        <f>J197/$AL$2</f>
        <v>0</v>
      </c>
      <c r="K198" s="63"/>
      <c r="L198" s="63"/>
      <c r="M198" s="117">
        <f>M197/$AL$2</f>
        <v>152024.99213796476</v>
      </c>
      <c r="N198" s="63"/>
      <c r="O198" s="63"/>
      <c r="P198" s="117">
        <f>P197/$AL$2</f>
        <v>0</v>
      </c>
      <c r="Q198" s="63"/>
      <c r="R198" s="63"/>
      <c r="S198" s="117">
        <f>S197/$AL$2</f>
        <v>0</v>
      </c>
      <c r="T198" s="63"/>
      <c r="U198" s="63"/>
      <c r="V198" s="117">
        <f>V197/$AL$2</f>
        <v>1148037.5044002105</v>
      </c>
      <c r="W198" s="63"/>
      <c r="X198" s="63"/>
      <c r="Y198" s="117">
        <f>Y197/$AL$2</f>
        <v>0</v>
      </c>
      <c r="Z198" s="63"/>
      <c r="AA198" s="63"/>
      <c r="AB198" s="117">
        <f>AB197/$AL$2</f>
        <v>0</v>
      </c>
      <c r="AC198" s="63"/>
      <c r="AD198" s="63"/>
      <c r="AE198" s="117">
        <f>AE197/$AL$2</f>
        <v>269321.54709692521</v>
      </c>
      <c r="AF198" s="117"/>
      <c r="AG198" s="20"/>
      <c r="AH198" s="62"/>
      <c r="AI198" s="62"/>
      <c r="AJ198" s="62"/>
    </row>
    <row r="199" spans="1:36" ht="43.2" x14ac:dyDescent="0.3">
      <c r="A199" s="41" t="s">
        <v>696</v>
      </c>
      <c r="B199" s="41" t="s">
        <v>689</v>
      </c>
      <c r="C199" s="42" t="s">
        <v>1695</v>
      </c>
      <c r="D199" s="41" t="s">
        <v>15</v>
      </c>
      <c r="E199" s="41" t="s">
        <v>235</v>
      </c>
      <c r="F199" s="41" t="s">
        <v>712</v>
      </c>
      <c r="G199" s="83">
        <f>1999.2/7</f>
        <v>285.60000000000002</v>
      </c>
      <c r="J199" s="84"/>
      <c r="K199" s="41">
        <f>25*2*18</f>
        <v>900</v>
      </c>
      <c r="L199" s="41">
        <v>15</v>
      </c>
      <c r="M199" s="41">
        <f t="shared" ref="M199:M236" si="30">($G199*1.1^1)*K199*L199</f>
        <v>4241160</v>
      </c>
      <c r="N199" s="41"/>
      <c r="O199" s="41"/>
      <c r="P199" s="41">
        <f t="shared" ref="P199:P240" si="31">($G199*1.1^2)*N199*O199</f>
        <v>0</v>
      </c>
      <c r="Q199" s="41">
        <v>0</v>
      </c>
      <c r="R199" s="41">
        <v>0</v>
      </c>
      <c r="S199" s="41">
        <f t="shared" ref="S199:S240" si="32">($G199*1.1^3)*Q199*R199</f>
        <v>0</v>
      </c>
      <c r="T199" s="41">
        <v>0</v>
      </c>
      <c r="U199" s="41">
        <v>0</v>
      </c>
      <c r="V199" s="41">
        <f t="shared" ref="V199:V240" si="33">($G199*1.1^4)*T199*U199</f>
        <v>0</v>
      </c>
      <c r="W199" s="41">
        <v>0</v>
      </c>
      <c r="X199" s="41">
        <v>0</v>
      </c>
      <c r="Y199" s="41">
        <f t="shared" ref="Y199:Y240" si="34">($G199*1.1^5)*W199*X199</f>
        <v>0</v>
      </c>
      <c r="Z199" s="41">
        <v>0</v>
      </c>
      <c r="AA199" s="41">
        <v>0</v>
      </c>
      <c r="AB199" s="41">
        <f t="shared" ref="AB199:AB240" si="35">($G199*1.1^6)*Z199*AA199</f>
        <v>0</v>
      </c>
      <c r="AC199" s="41">
        <f>25*2*18</f>
        <v>900</v>
      </c>
      <c r="AD199" s="41">
        <v>15</v>
      </c>
      <c r="AE199" s="41">
        <f t="shared" ref="AE199:AE236" si="36">($G199*1.1^7)*AC199*AD199</f>
        <v>7513473.6507600062</v>
      </c>
      <c r="AF199" s="28">
        <f t="shared" si="28"/>
        <v>11754633.650760006</v>
      </c>
      <c r="AG199" s="28">
        <f t="shared" si="29"/>
        <v>11501.598484109594</v>
      </c>
    </row>
    <row r="200" spans="1:36" ht="43.2" x14ac:dyDescent="0.3">
      <c r="A200" s="41" t="s">
        <v>696</v>
      </c>
      <c r="B200" s="41" t="s">
        <v>689</v>
      </c>
      <c r="C200" s="42" t="s">
        <v>1695</v>
      </c>
      <c r="D200" s="41" t="s">
        <v>15</v>
      </c>
      <c r="E200" s="41" t="s">
        <v>236</v>
      </c>
      <c r="F200" s="41" t="s">
        <v>716</v>
      </c>
      <c r="G200" s="83">
        <v>39000</v>
      </c>
      <c r="J200" s="84"/>
      <c r="K200" s="41">
        <v>25</v>
      </c>
      <c r="L200" s="41">
        <v>6</v>
      </c>
      <c r="M200" s="41">
        <f t="shared" si="30"/>
        <v>6435000</v>
      </c>
      <c r="N200" s="41"/>
      <c r="O200" s="41"/>
      <c r="P200" s="41">
        <f t="shared" si="31"/>
        <v>0</v>
      </c>
      <c r="Q200" s="41">
        <v>0</v>
      </c>
      <c r="R200" s="41">
        <v>0</v>
      </c>
      <c r="S200" s="41">
        <f t="shared" si="32"/>
        <v>0</v>
      </c>
      <c r="T200" s="41">
        <v>0</v>
      </c>
      <c r="U200" s="41">
        <v>0</v>
      </c>
      <c r="V200" s="41">
        <f t="shared" si="33"/>
        <v>0</v>
      </c>
      <c r="W200" s="41">
        <v>0</v>
      </c>
      <c r="X200" s="41">
        <v>0</v>
      </c>
      <c r="Y200" s="41">
        <f t="shared" si="34"/>
        <v>0</v>
      </c>
      <c r="Z200" s="41">
        <v>0</v>
      </c>
      <c r="AA200" s="41">
        <v>0</v>
      </c>
      <c r="AB200" s="41">
        <f t="shared" si="35"/>
        <v>0</v>
      </c>
      <c r="AC200" s="41">
        <v>25</v>
      </c>
      <c r="AD200" s="41">
        <v>6</v>
      </c>
      <c r="AE200" s="41">
        <f t="shared" si="36"/>
        <v>11399995.035000006</v>
      </c>
      <c r="AF200" s="28">
        <f t="shared" si="28"/>
        <v>17834995.035000004</v>
      </c>
      <c r="AG200" s="28">
        <f t="shared" si="29"/>
        <v>17451.071462818007</v>
      </c>
    </row>
    <row r="201" spans="1:36" ht="43.2" x14ac:dyDescent="0.3">
      <c r="A201" s="41" t="s">
        <v>696</v>
      </c>
      <c r="B201" s="41" t="s">
        <v>689</v>
      </c>
      <c r="C201" s="42" t="s">
        <v>1695</v>
      </c>
      <c r="D201" s="41" t="s">
        <v>15</v>
      </c>
      <c r="E201" s="41" t="s">
        <v>236</v>
      </c>
      <c r="F201" s="41" t="s">
        <v>709</v>
      </c>
      <c r="G201" s="83">
        <v>35000</v>
      </c>
      <c r="J201" s="84"/>
      <c r="K201" s="41">
        <v>25</v>
      </c>
      <c r="L201" s="41">
        <v>5</v>
      </c>
      <c r="M201" s="41">
        <f t="shared" si="30"/>
        <v>4812500</v>
      </c>
      <c r="N201" s="41"/>
      <c r="O201" s="41"/>
      <c r="P201" s="41">
        <f t="shared" si="31"/>
        <v>0</v>
      </c>
      <c r="Q201" s="41">
        <v>0</v>
      </c>
      <c r="R201" s="41">
        <v>0</v>
      </c>
      <c r="S201" s="41">
        <f t="shared" si="32"/>
        <v>0</v>
      </c>
      <c r="T201" s="41">
        <v>0</v>
      </c>
      <c r="U201" s="41">
        <v>0</v>
      </c>
      <c r="V201" s="41">
        <f t="shared" si="33"/>
        <v>0</v>
      </c>
      <c r="W201" s="41">
        <v>0</v>
      </c>
      <c r="X201" s="41">
        <v>0</v>
      </c>
      <c r="Y201" s="41">
        <f t="shared" si="34"/>
        <v>0</v>
      </c>
      <c r="Z201" s="41">
        <v>0</v>
      </c>
      <c r="AA201" s="41">
        <v>0</v>
      </c>
      <c r="AB201" s="41">
        <f t="shared" si="35"/>
        <v>0</v>
      </c>
      <c r="AC201" s="41">
        <v>25</v>
      </c>
      <c r="AD201" s="41">
        <v>5</v>
      </c>
      <c r="AE201" s="41">
        <f t="shared" si="36"/>
        <v>8525637.3125000037</v>
      </c>
      <c r="AF201" s="28">
        <f t="shared" si="28"/>
        <v>13338137.312500004</v>
      </c>
      <c r="AG201" s="28">
        <f t="shared" si="29"/>
        <v>13051.014982876715</v>
      </c>
    </row>
    <row r="202" spans="1:36" ht="43.2" x14ac:dyDescent="0.3">
      <c r="A202" s="41" t="s">
        <v>696</v>
      </c>
      <c r="B202" s="41" t="s">
        <v>689</v>
      </c>
      <c r="C202" s="42" t="s">
        <v>1695</v>
      </c>
      <c r="D202" s="41" t="s">
        <v>15</v>
      </c>
      <c r="E202" s="41" t="s">
        <v>236</v>
      </c>
      <c r="F202" s="41" t="s">
        <v>712</v>
      </c>
      <c r="G202" s="83">
        <f>1999.2/7</f>
        <v>285.60000000000002</v>
      </c>
      <c r="J202" s="84"/>
      <c r="K202" s="41">
        <f>25*2*9</f>
        <v>450</v>
      </c>
      <c r="L202" s="41">
        <v>5</v>
      </c>
      <c r="M202" s="41">
        <f t="shared" si="30"/>
        <v>706860</v>
      </c>
      <c r="N202" s="41"/>
      <c r="O202" s="41"/>
      <c r="P202" s="41">
        <f t="shared" si="31"/>
        <v>0</v>
      </c>
      <c r="Q202" s="41">
        <v>0</v>
      </c>
      <c r="R202" s="41">
        <v>0</v>
      </c>
      <c r="S202" s="41">
        <f t="shared" si="32"/>
        <v>0</v>
      </c>
      <c r="T202" s="41">
        <v>0</v>
      </c>
      <c r="U202" s="41">
        <v>0</v>
      </c>
      <c r="V202" s="41">
        <f t="shared" si="33"/>
        <v>0</v>
      </c>
      <c r="W202" s="41">
        <v>0</v>
      </c>
      <c r="X202" s="41">
        <v>0</v>
      </c>
      <c r="Y202" s="41">
        <f t="shared" si="34"/>
        <v>0</v>
      </c>
      <c r="Z202" s="41">
        <v>0</v>
      </c>
      <c r="AA202" s="41">
        <v>0</v>
      </c>
      <c r="AB202" s="41">
        <f t="shared" si="35"/>
        <v>0</v>
      </c>
      <c r="AC202" s="41">
        <f>25*2*9</f>
        <v>450</v>
      </c>
      <c r="AD202" s="41">
        <v>5</v>
      </c>
      <c r="AE202" s="41">
        <f t="shared" si="36"/>
        <v>1252245.6084600009</v>
      </c>
      <c r="AF202" s="28">
        <f t="shared" si="28"/>
        <v>1959105.6084600009</v>
      </c>
      <c r="AG202" s="28">
        <f t="shared" si="29"/>
        <v>1916.9330806849325</v>
      </c>
    </row>
    <row r="203" spans="1:36" ht="43.2" x14ac:dyDescent="0.3">
      <c r="A203" s="41" t="s">
        <v>696</v>
      </c>
      <c r="B203" s="41" t="s">
        <v>689</v>
      </c>
      <c r="C203" s="42" t="s">
        <v>1695</v>
      </c>
      <c r="D203" s="41" t="s">
        <v>15</v>
      </c>
      <c r="E203" s="41" t="s">
        <v>237</v>
      </c>
      <c r="F203" s="41" t="s">
        <v>709</v>
      </c>
      <c r="G203" s="83">
        <v>35000</v>
      </c>
      <c r="J203" s="84"/>
      <c r="K203" s="41">
        <v>30</v>
      </c>
      <c r="L203" s="41">
        <v>1</v>
      </c>
      <c r="M203" s="41">
        <f t="shared" si="30"/>
        <v>1155000</v>
      </c>
      <c r="N203" s="41"/>
      <c r="O203" s="41"/>
      <c r="P203" s="41">
        <f t="shared" si="31"/>
        <v>0</v>
      </c>
      <c r="Q203" s="41">
        <v>0</v>
      </c>
      <c r="R203" s="41">
        <v>0</v>
      </c>
      <c r="S203" s="41">
        <f t="shared" si="32"/>
        <v>0</v>
      </c>
      <c r="T203" s="41">
        <v>0</v>
      </c>
      <c r="U203" s="41">
        <v>0</v>
      </c>
      <c r="V203" s="41">
        <f t="shared" si="33"/>
        <v>0</v>
      </c>
      <c r="W203" s="41">
        <v>0</v>
      </c>
      <c r="X203" s="41">
        <v>0</v>
      </c>
      <c r="Y203" s="41">
        <f t="shared" si="34"/>
        <v>0</v>
      </c>
      <c r="Z203" s="41">
        <v>0</v>
      </c>
      <c r="AA203" s="41">
        <v>0</v>
      </c>
      <c r="AB203" s="41">
        <f t="shared" si="35"/>
        <v>0</v>
      </c>
      <c r="AC203" s="41">
        <v>30</v>
      </c>
      <c r="AD203" s="41">
        <v>1</v>
      </c>
      <c r="AE203" s="41">
        <f t="shared" si="36"/>
        <v>2046152.955000001</v>
      </c>
      <c r="AF203" s="28">
        <f t="shared" si="28"/>
        <v>3201152.955000001</v>
      </c>
      <c r="AG203" s="28">
        <f t="shared" si="29"/>
        <v>3132.2435958904121</v>
      </c>
    </row>
    <row r="204" spans="1:36" ht="43.2" x14ac:dyDescent="0.3">
      <c r="A204" s="41" t="s">
        <v>696</v>
      </c>
      <c r="B204" s="41" t="s">
        <v>689</v>
      </c>
      <c r="C204" s="42" t="s">
        <v>1695</v>
      </c>
      <c r="D204" s="41" t="s">
        <v>15</v>
      </c>
      <c r="E204" s="41" t="s">
        <v>238</v>
      </c>
      <c r="F204" s="41" t="s">
        <v>718</v>
      </c>
      <c r="G204" s="83">
        <v>0</v>
      </c>
      <c r="J204" s="84"/>
      <c r="K204" s="41"/>
      <c r="L204" s="41"/>
      <c r="M204" s="41">
        <f t="shared" si="30"/>
        <v>0</v>
      </c>
      <c r="N204" s="41"/>
      <c r="O204" s="41"/>
      <c r="P204" s="41">
        <f t="shared" si="31"/>
        <v>0</v>
      </c>
      <c r="Q204" s="41">
        <v>0</v>
      </c>
      <c r="R204" s="41">
        <v>0</v>
      </c>
      <c r="S204" s="41">
        <f t="shared" si="32"/>
        <v>0</v>
      </c>
      <c r="T204" s="41">
        <v>0</v>
      </c>
      <c r="U204" s="41">
        <v>0</v>
      </c>
      <c r="V204" s="41">
        <f t="shared" si="33"/>
        <v>0</v>
      </c>
      <c r="W204" s="41">
        <v>0</v>
      </c>
      <c r="X204" s="41">
        <v>0</v>
      </c>
      <c r="Y204" s="41">
        <f t="shared" si="34"/>
        <v>0</v>
      </c>
      <c r="Z204" s="41">
        <v>0</v>
      </c>
      <c r="AA204" s="41">
        <v>0</v>
      </c>
      <c r="AB204" s="41">
        <f t="shared" si="35"/>
        <v>0</v>
      </c>
      <c r="AC204" s="41"/>
      <c r="AD204" s="41"/>
      <c r="AE204" s="41">
        <f t="shared" si="36"/>
        <v>0</v>
      </c>
      <c r="AF204" s="28">
        <f t="shared" si="28"/>
        <v>0</v>
      </c>
      <c r="AG204" s="28">
        <f t="shared" si="29"/>
        <v>0</v>
      </c>
    </row>
    <row r="205" spans="1:36" ht="43.2" x14ac:dyDescent="0.3">
      <c r="A205" s="41" t="s">
        <v>696</v>
      </c>
      <c r="B205" s="41" t="s">
        <v>689</v>
      </c>
      <c r="C205" s="42" t="s">
        <v>1695</v>
      </c>
      <c r="D205" s="41" t="s">
        <v>15</v>
      </c>
      <c r="E205" s="41" t="s">
        <v>183</v>
      </c>
      <c r="F205" s="41" t="s">
        <v>716</v>
      </c>
      <c r="G205" s="83">
        <v>39000</v>
      </c>
      <c r="J205" s="84"/>
      <c r="K205" s="41">
        <v>300</v>
      </c>
      <c r="L205" s="41">
        <v>10</v>
      </c>
      <c r="M205" s="41">
        <f t="shared" si="30"/>
        <v>128700000</v>
      </c>
      <c r="N205" s="41"/>
      <c r="O205" s="41"/>
      <c r="P205" s="41">
        <f t="shared" si="31"/>
        <v>0</v>
      </c>
      <c r="Q205" s="41">
        <v>0</v>
      </c>
      <c r="R205" s="41">
        <v>0</v>
      </c>
      <c r="S205" s="41">
        <f t="shared" si="32"/>
        <v>0</v>
      </c>
      <c r="T205" s="41">
        <v>0</v>
      </c>
      <c r="U205" s="41">
        <v>0</v>
      </c>
      <c r="V205" s="41">
        <f t="shared" si="33"/>
        <v>0</v>
      </c>
      <c r="W205" s="41">
        <v>0</v>
      </c>
      <c r="X205" s="41">
        <v>0</v>
      </c>
      <c r="Y205" s="41">
        <f t="shared" si="34"/>
        <v>0</v>
      </c>
      <c r="Z205" s="41">
        <v>0</v>
      </c>
      <c r="AA205" s="41">
        <v>0</v>
      </c>
      <c r="AB205" s="41">
        <f t="shared" si="35"/>
        <v>0</v>
      </c>
      <c r="AC205" s="41">
        <v>300</v>
      </c>
      <c r="AD205" s="41">
        <v>10</v>
      </c>
      <c r="AE205" s="41">
        <f t="shared" si="36"/>
        <v>227999900.70000011</v>
      </c>
      <c r="AF205" s="28">
        <f t="shared" si="28"/>
        <v>356699900.70000011</v>
      </c>
      <c r="AG205" s="28">
        <f t="shared" si="29"/>
        <v>349021.42925636016</v>
      </c>
    </row>
    <row r="206" spans="1:36" ht="43.2" x14ac:dyDescent="0.3">
      <c r="A206" s="41" t="s">
        <v>696</v>
      </c>
      <c r="B206" s="41" t="s">
        <v>689</v>
      </c>
      <c r="C206" s="42" t="s">
        <v>1695</v>
      </c>
      <c r="D206" s="41" t="s">
        <v>15</v>
      </c>
      <c r="E206" s="41" t="s">
        <v>183</v>
      </c>
      <c r="F206" s="41" t="s">
        <v>709</v>
      </c>
      <c r="G206" s="83">
        <v>35000</v>
      </c>
      <c r="J206" s="84"/>
      <c r="K206" s="41">
        <v>300</v>
      </c>
      <c r="L206" s="41">
        <v>10</v>
      </c>
      <c r="M206" s="41">
        <f t="shared" si="30"/>
        <v>115500000</v>
      </c>
      <c r="N206" s="41"/>
      <c r="O206" s="41"/>
      <c r="P206" s="41">
        <f t="shared" si="31"/>
        <v>0</v>
      </c>
      <c r="Q206" s="41">
        <v>0</v>
      </c>
      <c r="R206" s="41">
        <v>0</v>
      </c>
      <c r="S206" s="41">
        <f t="shared" si="32"/>
        <v>0</v>
      </c>
      <c r="T206" s="41">
        <v>0</v>
      </c>
      <c r="U206" s="41">
        <v>0</v>
      </c>
      <c r="V206" s="41">
        <f t="shared" si="33"/>
        <v>0</v>
      </c>
      <c r="W206" s="41">
        <v>0</v>
      </c>
      <c r="X206" s="41">
        <v>0</v>
      </c>
      <c r="Y206" s="41">
        <f t="shared" si="34"/>
        <v>0</v>
      </c>
      <c r="Z206" s="41">
        <v>0</v>
      </c>
      <c r="AA206" s="41">
        <v>0</v>
      </c>
      <c r="AB206" s="41">
        <f t="shared" si="35"/>
        <v>0</v>
      </c>
      <c r="AC206" s="41">
        <v>300</v>
      </c>
      <c r="AD206" s="41">
        <v>10</v>
      </c>
      <c r="AE206" s="41">
        <f t="shared" si="36"/>
        <v>204615295.50000012</v>
      </c>
      <c r="AF206" s="28">
        <f t="shared" si="28"/>
        <v>320115295.50000012</v>
      </c>
      <c r="AG206" s="28">
        <f t="shared" si="29"/>
        <v>313224.35958904121</v>
      </c>
    </row>
    <row r="207" spans="1:36" ht="43.2" x14ac:dyDescent="0.3">
      <c r="A207" s="41" t="s">
        <v>696</v>
      </c>
      <c r="B207" s="41" t="s">
        <v>689</v>
      </c>
      <c r="C207" s="42" t="s">
        <v>1695</v>
      </c>
      <c r="D207" s="41" t="s">
        <v>15</v>
      </c>
      <c r="E207" s="41" t="s">
        <v>183</v>
      </c>
      <c r="F207" s="41" t="s">
        <v>1299</v>
      </c>
      <c r="G207" s="83">
        <f>1999.2/7</f>
        <v>285.60000000000002</v>
      </c>
      <c r="J207" s="84"/>
      <c r="K207" s="41">
        <f>2*135*50</f>
        <v>13500</v>
      </c>
      <c r="L207" s="41">
        <v>1</v>
      </c>
      <c r="M207" s="41">
        <f t="shared" si="30"/>
        <v>4241160</v>
      </c>
      <c r="N207" s="41"/>
      <c r="O207" s="41"/>
      <c r="P207" s="41">
        <f t="shared" si="31"/>
        <v>0</v>
      </c>
      <c r="Q207" s="41"/>
      <c r="R207" s="41"/>
      <c r="S207" s="41">
        <f t="shared" si="32"/>
        <v>0</v>
      </c>
      <c r="T207" s="41"/>
      <c r="U207" s="41"/>
      <c r="V207" s="41">
        <f t="shared" si="33"/>
        <v>0</v>
      </c>
      <c r="W207" s="41"/>
      <c r="X207" s="41"/>
      <c r="Y207" s="41">
        <f t="shared" si="34"/>
        <v>0</v>
      </c>
      <c r="Z207" s="41"/>
      <c r="AA207" s="41"/>
      <c r="AB207" s="41">
        <f t="shared" si="35"/>
        <v>0</v>
      </c>
      <c r="AC207" s="41">
        <f>2*135*50</f>
        <v>13500</v>
      </c>
      <c r="AD207" s="41">
        <v>1</v>
      </c>
      <c r="AE207" s="41">
        <f t="shared" si="36"/>
        <v>7513473.6507600062</v>
      </c>
      <c r="AF207" s="28">
        <f t="shared" si="28"/>
        <v>11754633.650760006</v>
      </c>
      <c r="AG207" s="28">
        <f t="shared" si="29"/>
        <v>11501.598484109594</v>
      </c>
    </row>
    <row r="208" spans="1:36" ht="43.2" x14ac:dyDescent="0.3">
      <c r="A208" s="41" t="s">
        <v>696</v>
      </c>
      <c r="B208" s="41" t="s">
        <v>689</v>
      </c>
      <c r="C208" s="42" t="s">
        <v>1695</v>
      </c>
      <c r="D208" s="41" t="s">
        <v>15</v>
      </c>
      <c r="E208" s="41" t="s">
        <v>183</v>
      </c>
      <c r="F208" s="41" t="s">
        <v>712</v>
      </c>
      <c r="G208" s="83">
        <f>1999.2/7</f>
        <v>285.60000000000002</v>
      </c>
      <c r="J208" s="84"/>
      <c r="K208" s="41">
        <f>25*2*50</f>
        <v>2500</v>
      </c>
      <c r="L208" s="41">
        <v>10</v>
      </c>
      <c r="M208" s="41">
        <f t="shared" si="30"/>
        <v>7854000.0000000009</v>
      </c>
      <c r="N208" s="41"/>
      <c r="O208" s="41"/>
      <c r="P208" s="41">
        <f t="shared" si="31"/>
        <v>0</v>
      </c>
      <c r="Q208" s="41">
        <v>0</v>
      </c>
      <c r="R208" s="41">
        <v>0</v>
      </c>
      <c r="S208" s="41">
        <f t="shared" si="32"/>
        <v>0</v>
      </c>
      <c r="T208" s="41">
        <v>0</v>
      </c>
      <c r="U208" s="41">
        <v>0</v>
      </c>
      <c r="V208" s="41">
        <f t="shared" si="33"/>
        <v>0</v>
      </c>
      <c r="W208" s="41">
        <v>0</v>
      </c>
      <c r="X208" s="41">
        <v>0</v>
      </c>
      <c r="Y208" s="41">
        <f t="shared" si="34"/>
        <v>0</v>
      </c>
      <c r="Z208" s="41">
        <v>0</v>
      </c>
      <c r="AA208" s="41">
        <v>0</v>
      </c>
      <c r="AB208" s="41">
        <f t="shared" si="35"/>
        <v>0</v>
      </c>
      <c r="AC208" s="41">
        <f>25*2*50</f>
        <v>2500</v>
      </c>
      <c r="AD208" s="41">
        <v>10</v>
      </c>
      <c r="AE208" s="41">
        <f t="shared" si="36"/>
        <v>13913840.09400001</v>
      </c>
      <c r="AF208" s="28">
        <f t="shared" si="28"/>
        <v>21767840.094000012</v>
      </c>
      <c r="AG208" s="28">
        <f t="shared" si="29"/>
        <v>21299.256452054808</v>
      </c>
    </row>
    <row r="209" spans="1:33" ht="57.6" x14ac:dyDescent="0.3">
      <c r="A209" s="41" t="s">
        <v>696</v>
      </c>
      <c r="B209" s="41" t="s">
        <v>689</v>
      </c>
      <c r="C209" s="42" t="s">
        <v>1695</v>
      </c>
      <c r="D209" s="41" t="s">
        <v>16</v>
      </c>
      <c r="E209" s="41" t="s">
        <v>239</v>
      </c>
      <c r="F209" s="41" t="s">
        <v>716</v>
      </c>
      <c r="G209" s="83">
        <v>39000</v>
      </c>
      <c r="J209" s="84"/>
      <c r="K209" s="41">
        <v>16</v>
      </c>
      <c r="L209" s="41">
        <v>4</v>
      </c>
      <c r="M209" s="41">
        <f t="shared" si="30"/>
        <v>2745600</v>
      </c>
      <c r="N209" s="41"/>
      <c r="O209" s="41"/>
      <c r="P209" s="41">
        <f t="shared" si="31"/>
        <v>0</v>
      </c>
      <c r="Q209" s="41">
        <v>0</v>
      </c>
      <c r="R209" s="41">
        <v>0</v>
      </c>
      <c r="S209" s="41">
        <f t="shared" si="32"/>
        <v>0</v>
      </c>
      <c r="T209" s="41">
        <v>0</v>
      </c>
      <c r="U209" s="41">
        <v>0</v>
      </c>
      <c r="V209" s="41">
        <f t="shared" si="33"/>
        <v>0</v>
      </c>
      <c r="W209" s="41">
        <v>0</v>
      </c>
      <c r="X209" s="41">
        <v>0</v>
      </c>
      <c r="Y209" s="41">
        <f t="shared" si="34"/>
        <v>0</v>
      </c>
      <c r="Z209" s="41">
        <v>0</v>
      </c>
      <c r="AA209" s="41">
        <v>0</v>
      </c>
      <c r="AB209" s="41">
        <f t="shared" si="35"/>
        <v>0</v>
      </c>
      <c r="AC209" s="41">
        <v>16</v>
      </c>
      <c r="AD209" s="41">
        <v>4</v>
      </c>
      <c r="AE209" s="41">
        <f t="shared" si="36"/>
        <v>4863997.8816000028</v>
      </c>
      <c r="AF209" s="28">
        <f t="shared" si="28"/>
        <v>7609597.8816000028</v>
      </c>
      <c r="AG209" s="28">
        <f t="shared" si="29"/>
        <v>7445.7904908023511</v>
      </c>
    </row>
    <row r="210" spans="1:33" ht="57.6" x14ac:dyDescent="0.3">
      <c r="A210" s="41" t="s">
        <v>696</v>
      </c>
      <c r="B210" s="41" t="s">
        <v>689</v>
      </c>
      <c r="C210" s="42" t="s">
        <v>1695</v>
      </c>
      <c r="D210" s="41" t="s">
        <v>16</v>
      </c>
      <c r="E210" s="41" t="s">
        <v>239</v>
      </c>
      <c r="F210" s="41" t="s">
        <v>709</v>
      </c>
      <c r="G210" s="83">
        <v>35000</v>
      </c>
      <c r="J210" s="84"/>
      <c r="K210" s="41">
        <v>16</v>
      </c>
      <c r="L210" s="41">
        <v>3</v>
      </c>
      <c r="M210" s="41">
        <f t="shared" si="30"/>
        <v>1848000</v>
      </c>
      <c r="N210" s="41"/>
      <c r="O210" s="41"/>
      <c r="P210" s="41">
        <f t="shared" si="31"/>
        <v>0</v>
      </c>
      <c r="Q210" s="41">
        <v>0</v>
      </c>
      <c r="R210" s="41">
        <v>0</v>
      </c>
      <c r="S210" s="41">
        <f t="shared" si="32"/>
        <v>0</v>
      </c>
      <c r="T210" s="41">
        <v>0</v>
      </c>
      <c r="U210" s="41">
        <v>0</v>
      </c>
      <c r="V210" s="41">
        <f t="shared" si="33"/>
        <v>0</v>
      </c>
      <c r="W210" s="41">
        <v>0</v>
      </c>
      <c r="X210" s="41">
        <v>0</v>
      </c>
      <c r="Y210" s="41">
        <f t="shared" si="34"/>
        <v>0</v>
      </c>
      <c r="Z210" s="41">
        <v>0</v>
      </c>
      <c r="AA210" s="41">
        <v>0</v>
      </c>
      <c r="AB210" s="41">
        <f t="shared" si="35"/>
        <v>0</v>
      </c>
      <c r="AC210" s="41">
        <v>16</v>
      </c>
      <c r="AD210" s="41">
        <v>3</v>
      </c>
      <c r="AE210" s="41">
        <f t="shared" si="36"/>
        <v>3273844.728000002</v>
      </c>
      <c r="AF210" s="28">
        <f t="shared" si="28"/>
        <v>5121844.728000002</v>
      </c>
      <c r="AG210" s="28">
        <f t="shared" si="29"/>
        <v>5011.5897534246596</v>
      </c>
    </row>
    <row r="211" spans="1:33" ht="57.6" x14ac:dyDescent="0.3">
      <c r="A211" s="41" t="s">
        <v>696</v>
      </c>
      <c r="B211" s="41" t="s">
        <v>689</v>
      </c>
      <c r="C211" s="42" t="s">
        <v>1695</v>
      </c>
      <c r="D211" s="41" t="s">
        <v>16</v>
      </c>
      <c r="E211" s="41" t="s">
        <v>239</v>
      </c>
      <c r="F211" s="41" t="s">
        <v>712</v>
      </c>
      <c r="G211" s="83">
        <f>1999.2/7</f>
        <v>285.60000000000002</v>
      </c>
      <c r="J211" s="84"/>
      <c r="K211" s="41">
        <f>25*2*5</f>
        <v>250</v>
      </c>
      <c r="L211" s="41">
        <v>3</v>
      </c>
      <c r="M211" s="41">
        <f t="shared" si="30"/>
        <v>235620</v>
      </c>
      <c r="N211" s="41"/>
      <c r="O211" s="41"/>
      <c r="P211" s="41">
        <f t="shared" si="31"/>
        <v>0</v>
      </c>
      <c r="Q211" s="41">
        <v>0</v>
      </c>
      <c r="R211" s="41">
        <v>0</v>
      </c>
      <c r="S211" s="41">
        <f t="shared" si="32"/>
        <v>0</v>
      </c>
      <c r="T211" s="41">
        <v>0</v>
      </c>
      <c r="U211" s="41">
        <v>0</v>
      </c>
      <c r="V211" s="41">
        <f t="shared" si="33"/>
        <v>0</v>
      </c>
      <c r="W211" s="41">
        <v>0</v>
      </c>
      <c r="X211" s="41">
        <v>0</v>
      </c>
      <c r="Y211" s="41">
        <f t="shared" si="34"/>
        <v>0</v>
      </c>
      <c r="Z211" s="41">
        <v>0</v>
      </c>
      <c r="AA211" s="41">
        <v>0</v>
      </c>
      <c r="AB211" s="41">
        <f t="shared" si="35"/>
        <v>0</v>
      </c>
      <c r="AC211" s="41">
        <f>25*2*5</f>
        <v>250</v>
      </c>
      <c r="AD211" s="41">
        <v>3</v>
      </c>
      <c r="AE211" s="41">
        <f t="shared" si="36"/>
        <v>417415.20282000036</v>
      </c>
      <c r="AF211" s="28">
        <f t="shared" si="28"/>
        <v>653035.20282000036</v>
      </c>
      <c r="AG211" s="28">
        <f t="shared" si="29"/>
        <v>638.97769356164417</v>
      </c>
    </row>
    <row r="212" spans="1:33" ht="57.6" x14ac:dyDescent="0.3">
      <c r="A212" s="41" t="s">
        <v>696</v>
      </c>
      <c r="B212" s="41" t="s">
        <v>689</v>
      </c>
      <c r="C212" s="42" t="s">
        <v>1695</v>
      </c>
      <c r="D212" s="41" t="s">
        <v>16</v>
      </c>
      <c r="E212" s="41" t="s">
        <v>240</v>
      </c>
      <c r="F212" s="41" t="s">
        <v>716</v>
      </c>
      <c r="G212" s="83">
        <v>39000</v>
      </c>
      <c r="J212" s="84"/>
      <c r="K212" s="41">
        <v>30</v>
      </c>
      <c r="L212" s="41">
        <v>10</v>
      </c>
      <c r="M212" s="41">
        <f t="shared" si="30"/>
        <v>12870000</v>
      </c>
      <c r="N212" s="41"/>
      <c r="O212" s="41"/>
      <c r="P212" s="41">
        <f t="shared" si="31"/>
        <v>0</v>
      </c>
      <c r="Q212" s="41">
        <v>0</v>
      </c>
      <c r="R212" s="41">
        <v>0</v>
      </c>
      <c r="S212" s="41">
        <f t="shared" si="32"/>
        <v>0</v>
      </c>
      <c r="T212" s="41">
        <v>0</v>
      </c>
      <c r="U212" s="41">
        <v>0</v>
      </c>
      <c r="V212" s="41">
        <f t="shared" si="33"/>
        <v>0</v>
      </c>
      <c r="W212" s="41">
        <v>0</v>
      </c>
      <c r="X212" s="41">
        <v>0</v>
      </c>
      <c r="Y212" s="41">
        <f t="shared" si="34"/>
        <v>0</v>
      </c>
      <c r="Z212" s="41">
        <v>0</v>
      </c>
      <c r="AA212" s="41">
        <v>0</v>
      </c>
      <c r="AB212" s="41">
        <f t="shared" si="35"/>
        <v>0</v>
      </c>
      <c r="AC212" s="41">
        <v>30</v>
      </c>
      <c r="AD212" s="41">
        <v>10</v>
      </c>
      <c r="AE212" s="41">
        <f t="shared" si="36"/>
        <v>22799990.070000011</v>
      </c>
      <c r="AF212" s="28">
        <f t="shared" si="28"/>
        <v>35669990.070000008</v>
      </c>
      <c r="AG212" s="28">
        <f t="shared" si="29"/>
        <v>34902.142925636013</v>
      </c>
    </row>
    <row r="213" spans="1:33" ht="57.6" x14ac:dyDescent="0.3">
      <c r="A213" s="41" t="s">
        <v>696</v>
      </c>
      <c r="B213" s="41" t="s">
        <v>689</v>
      </c>
      <c r="C213" s="42" t="s">
        <v>1695</v>
      </c>
      <c r="D213" s="41" t="s">
        <v>16</v>
      </c>
      <c r="E213" s="41" t="s">
        <v>240</v>
      </c>
      <c r="F213" s="41" t="s">
        <v>709</v>
      </c>
      <c r="G213" s="83">
        <v>35000</v>
      </c>
      <c r="J213" s="84"/>
      <c r="K213" s="41">
        <v>30</v>
      </c>
      <c r="L213" s="41">
        <v>10</v>
      </c>
      <c r="M213" s="41">
        <f t="shared" si="30"/>
        <v>11550000</v>
      </c>
      <c r="N213" s="41"/>
      <c r="O213" s="41"/>
      <c r="P213" s="41">
        <f t="shared" si="31"/>
        <v>0</v>
      </c>
      <c r="Q213" s="41">
        <v>0</v>
      </c>
      <c r="R213" s="41">
        <v>0</v>
      </c>
      <c r="S213" s="41">
        <f t="shared" si="32"/>
        <v>0</v>
      </c>
      <c r="T213" s="41">
        <v>0</v>
      </c>
      <c r="U213" s="41">
        <v>0</v>
      </c>
      <c r="V213" s="41">
        <f t="shared" si="33"/>
        <v>0</v>
      </c>
      <c r="W213" s="41">
        <v>0</v>
      </c>
      <c r="X213" s="41">
        <v>0</v>
      </c>
      <c r="Y213" s="41">
        <f t="shared" si="34"/>
        <v>0</v>
      </c>
      <c r="Z213" s="41">
        <v>0</v>
      </c>
      <c r="AA213" s="41">
        <v>0</v>
      </c>
      <c r="AB213" s="41">
        <f t="shared" si="35"/>
        <v>0</v>
      </c>
      <c r="AC213" s="41">
        <v>30</v>
      </c>
      <c r="AD213" s="41">
        <v>10</v>
      </c>
      <c r="AE213" s="41">
        <f t="shared" si="36"/>
        <v>20461529.550000012</v>
      </c>
      <c r="AF213" s="28">
        <f t="shared" si="28"/>
        <v>32011529.550000012</v>
      </c>
      <c r="AG213" s="28">
        <f t="shared" si="29"/>
        <v>31322.43595890412</v>
      </c>
    </row>
    <row r="214" spans="1:33" ht="57.6" x14ac:dyDescent="0.3">
      <c r="A214" s="41" t="s">
        <v>696</v>
      </c>
      <c r="B214" s="41" t="s">
        <v>689</v>
      </c>
      <c r="C214" s="42" t="s">
        <v>1695</v>
      </c>
      <c r="D214" s="41" t="s">
        <v>16</v>
      </c>
      <c r="E214" s="41" t="s">
        <v>240</v>
      </c>
      <c r="F214" s="41" t="s">
        <v>712</v>
      </c>
      <c r="G214" s="83">
        <f>1999.2/7</f>
        <v>285.60000000000002</v>
      </c>
      <c r="J214" s="84"/>
      <c r="K214" s="41">
        <f>2*135*10</f>
        <v>2700</v>
      </c>
      <c r="L214" s="41">
        <v>10</v>
      </c>
      <c r="M214" s="41">
        <f t="shared" si="30"/>
        <v>8482320.0000000019</v>
      </c>
      <c r="N214" s="41"/>
      <c r="O214" s="41"/>
      <c r="P214" s="41">
        <f t="shared" si="31"/>
        <v>0</v>
      </c>
      <c r="Q214" s="41">
        <v>0</v>
      </c>
      <c r="R214" s="41">
        <v>0</v>
      </c>
      <c r="S214" s="41">
        <f t="shared" si="32"/>
        <v>0</v>
      </c>
      <c r="T214" s="41">
        <v>0</v>
      </c>
      <c r="U214" s="41">
        <v>0</v>
      </c>
      <c r="V214" s="41">
        <f t="shared" si="33"/>
        <v>0</v>
      </c>
      <c r="W214" s="41">
        <v>0</v>
      </c>
      <c r="X214" s="41">
        <v>0</v>
      </c>
      <c r="Y214" s="41">
        <f t="shared" si="34"/>
        <v>0</v>
      </c>
      <c r="Z214" s="41">
        <v>0</v>
      </c>
      <c r="AA214" s="41">
        <v>0</v>
      </c>
      <c r="AB214" s="41">
        <f t="shared" si="35"/>
        <v>0</v>
      </c>
      <c r="AC214" s="41">
        <f>2*135*10</f>
        <v>2700</v>
      </c>
      <c r="AD214" s="41">
        <v>10</v>
      </c>
      <c r="AE214" s="41">
        <f t="shared" si="36"/>
        <v>15026947.301520012</v>
      </c>
      <c r="AF214" s="28">
        <f t="shared" si="28"/>
        <v>23509267.301520012</v>
      </c>
      <c r="AG214" s="28">
        <f t="shared" si="29"/>
        <v>23003.196968219188</v>
      </c>
    </row>
    <row r="215" spans="1:33" ht="57.6" x14ac:dyDescent="0.3">
      <c r="A215" s="41" t="s">
        <v>696</v>
      </c>
      <c r="B215" s="41" t="s">
        <v>689</v>
      </c>
      <c r="C215" s="42" t="s">
        <v>1695</v>
      </c>
      <c r="D215" s="41" t="s">
        <v>16</v>
      </c>
      <c r="E215" s="41" t="s">
        <v>241</v>
      </c>
      <c r="F215" s="41" t="s">
        <v>716</v>
      </c>
      <c r="G215" s="83">
        <v>39000</v>
      </c>
      <c r="J215" s="84"/>
      <c r="K215" s="41">
        <v>58</v>
      </c>
      <c r="L215" s="41">
        <v>6</v>
      </c>
      <c r="M215" s="41">
        <f t="shared" si="30"/>
        <v>14929200</v>
      </c>
      <c r="N215" s="41"/>
      <c r="O215" s="41"/>
      <c r="P215" s="41">
        <f t="shared" si="31"/>
        <v>0</v>
      </c>
      <c r="Q215" s="41">
        <v>0</v>
      </c>
      <c r="R215" s="41">
        <v>0</v>
      </c>
      <c r="S215" s="41">
        <f t="shared" si="32"/>
        <v>0</v>
      </c>
      <c r="T215" s="41">
        <v>0</v>
      </c>
      <c r="U215" s="41">
        <v>0</v>
      </c>
      <c r="V215" s="41">
        <f t="shared" si="33"/>
        <v>0</v>
      </c>
      <c r="W215" s="41">
        <v>0</v>
      </c>
      <c r="X215" s="41">
        <v>0</v>
      </c>
      <c r="Y215" s="41">
        <f t="shared" si="34"/>
        <v>0</v>
      </c>
      <c r="Z215" s="41">
        <v>0</v>
      </c>
      <c r="AA215" s="41">
        <v>0</v>
      </c>
      <c r="AB215" s="41">
        <f t="shared" si="35"/>
        <v>0</v>
      </c>
      <c r="AC215" s="41">
        <v>58</v>
      </c>
      <c r="AD215" s="41">
        <v>6</v>
      </c>
      <c r="AE215" s="41">
        <f t="shared" si="36"/>
        <v>26447988.481200017</v>
      </c>
      <c r="AF215" s="28">
        <f t="shared" si="28"/>
        <v>41377188.481200017</v>
      </c>
      <c r="AG215" s="28">
        <f t="shared" si="29"/>
        <v>40486.485793737789</v>
      </c>
    </row>
    <row r="216" spans="1:33" ht="57.6" x14ac:dyDescent="0.3">
      <c r="A216" s="41" t="s">
        <v>696</v>
      </c>
      <c r="B216" s="41" t="s">
        <v>689</v>
      </c>
      <c r="C216" s="42" t="s">
        <v>1695</v>
      </c>
      <c r="D216" s="41" t="s">
        <v>16</v>
      </c>
      <c r="E216" s="41" t="s">
        <v>241</v>
      </c>
      <c r="F216" s="41" t="s">
        <v>709</v>
      </c>
      <c r="G216" s="83">
        <v>35000</v>
      </c>
      <c r="J216" s="84"/>
      <c r="K216" s="41">
        <v>100</v>
      </c>
      <c r="L216" s="41">
        <v>6</v>
      </c>
      <c r="M216" s="41">
        <f t="shared" si="30"/>
        <v>23100000</v>
      </c>
      <c r="N216" s="41"/>
      <c r="O216" s="41"/>
      <c r="P216" s="41">
        <f t="shared" si="31"/>
        <v>0</v>
      </c>
      <c r="Q216" s="41">
        <v>0</v>
      </c>
      <c r="R216" s="41">
        <v>0</v>
      </c>
      <c r="S216" s="41">
        <f t="shared" si="32"/>
        <v>0</v>
      </c>
      <c r="T216" s="41">
        <v>0</v>
      </c>
      <c r="U216" s="41">
        <v>0</v>
      </c>
      <c r="V216" s="41">
        <f t="shared" si="33"/>
        <v>0</v>
      </c>
      <c r="W216" s="41">
        <v>0</v>
      </c>
      <c r="X216" s="41">
        <v>0</v>
      </c>
      <c r="Y216" s="41">
        <f t="shared" si="34"/>
        <v>0</v>
      </c>
      <c r="Z216" s="41">
        <v>0</v>
      </c>
      <c r="AA216" s="41">
        <v>0</v>
      </c>
      <c r="AB216" s="41">
        <f t="shared" si="35"/>
        <v>0</v>
      </c>
      <c r="AC216" s="41">
        <v>100</v>
      </c>
      <c r="AD216" s="41">
        <v>6</v>
      </c>
      <c r="AE216" s="41">
        <f t="shared" si="36"/>
        <v>40923059.100000024</v>
      </c>
      <c r="AF216" s="28">
        <f t="shared" si="28"/>
        <v>64023059.100000024</v>
      </c>
      <c r="AG216" s="28">
        <f t="shared" si="29"/>
        <v>62644.871917808239</v>
      </c>
    </row>
    <row r="217" spans="1:33" ht="57.6" x14ac:dyDescent="0.3">
      <c r="A217" s="41" t="s">
        <v>696</v>
      </c>
      <c r="B217" s="41" t="s">
        <v>689</v>
      </c>
      <c r="C217" s="42" t="s">
        <v>1695</v>
      </c>
      <c r="D217" s="41" t="s">
        <v>16</v>
      </c>
      <c r="E217" s="41" t="s">
        <v>241</v>
      </c>
      <c r="F217" s="41" t="s">
        <v>1299</v>
      </c>
      <c r="G217" s="83">
        <f>1999.2/7</f>
        <v>285.60000000000002</v>
      </c>
      <c r="J217" s="84"/>
      <c r="K217" s="41">
        <f>2*135*29</f>
        <v>7830</v>
      </c>
      <c r="L217" s="41">
        <v>1</v>
      </c>
      <c r="M217" s="41">
        <f t="shared" si="30"/>
        <v>2459872.8000000003</v>
      </c>
      <c r="N217" s="41"/>
      <c r="O217" s="41"/>
      <c r="P217" s="41">
        <f t="shared" si="31"/>
        <v>0</v>
      </c>
      <c r="Q217" s="41"/>
      <c r="R217" s="41"/>
      <c r="S217" s="41">
        <f t="shared" si="32"/>
        <v>0</v>
      </c>
      <c r="T217" s="41"/>
      <c r="U217" s="41"/>
      <c r="V217" s="41">
        <f t="shared" si="33"/>
        <v>0</v>
      </c>
      <c r="W217" s="41"/>
      <c r="X217" s="41"/>
      <c r="Y217" s="41">
        <f t="shared" si="34"/>
        <v>0</v>
      </c>
      <c r="Z217" s="41"/>
      <c r="AA217" s="41"/>
      <c r="AB217" s="41">
        <f t="shared" si="35"/>
        <v>0</v>
      </c>
      <c r="AC217" s="41">
        <f>2*135*29</f>
        <v>7830</v>
      </c>
      <c r="AD217" s="41">
        <v>1</v>
      </c>
      <c r="AE217" s="41">
        <f t="shared" si="36"/>
        <v>4357814.7174408035</v>
      </c>
      <c r="AF217" s="28">
        <f t="shared" si="28"/>
        <v>6817687.5174408033</v>
      </c>
      <c r="AG217" s="28">
        <f t="shared" si="29"/>
        <v>6670.9271207835645</v>
      </c>
    </row>
    <row r="218" spans="1:33" ht="57.6" x14ac:dyDescent="0.3">
      <c r="A218" s="41" t="s">
        <v>696</v>
      </c>
      <c r="B218" s="41" t="s">
        <v>689</v>
      </c>
      <c r="C218" s="42" t="s">
        <v>1695</v>
      </c>
      <c r="D218" s="41" t="s">
        <v>16</v>
      </c>
      <c r="E218" s="41" t="s">
        <v>241</v>
      </c>
      <c r="F218" s="41" t="s">
        <v>712</v>
      </c>
      <c r="G218" s="83">
        <f>1999.2/7</f>
        <v>285.60000000000002</v>
      </c>
      <c r="J218" s="84"/>
      <c r="K218" s="41">
        <f>25*2*29</f>
        <v>1450</v>
      </c>
      <c r="L218" s="41">
        <v>6</v>
      </c>
      <c r="M218" s="41">
        <f t="shared" si="30"/>
        <v>2733192.0000000005</v>
      </c>
      <c r="N218" s="41"/>
      <c r="O218" s="41"/>
      <c r="P218" s="41">
        <f t="shared" si="31"/>
        <v>0</v>
      </c>
      <c r="Q218" s="41">
        <v>0</v>
      </c>
      <c r="R218" s="41">
        <v>0</v>
      </c>
      <c r="S218" s="41">
        <f t="shared" si="32"/>
        <v>0</v>
      </c>
      <c r="T218" s="41">
        <v>0</v>
      </c>
      <c r="U218" s="41">
        <v>0</v>
      </c>
      <c r="V218" s="41">
        <f t="shared" si="33"/>
        <v>0</v>
      </c>
      <c r="W218" s="41">
        <v>0</v>
      </c>
      <c r="X218" s="41">
        <v>0</v>
      </c>
      <c r="Y218" s="41">
        <f t="shared" si="34"/>
        <v>0</v>
      </c>
      <c r="Z218" s="41">
        <v>0</v>
      </c>
      <c r="AA218" s="41">
        <v>0</v>
      </c>
      <c r="AB218" s="41">
        <f t="shared" si="35"/>
        <v>0</v>
      </c>
      <c r="AC218" s="41">
        <f>25*2*29</f>
        <v>1450</v>
      </c>
      <c r="AD218" s="41">
        <v>6</v>
      </c>
      <c r="AE218" s="41">
        <f t="shared" si="36"/>
        <v>4842016.3527120035</v>
      </c>
      <c r="AF218" s="28">
        <f t="shared" si="28"/>
        <v>7575208.3527120035</v>
      </c>
      <c r="AG218" s="28">
        <f t="shared" si="29"/>
        <v>7412.1412453150715</v>
      </c>
    </row>
    <row r="219" spans="1:33" ht="57.6" x14ac:dyDescent="0.3">
      <c r="A219" s="41" t="s">
        <v>696</v>
      </c>
      <c r="B219" s="41" t="s">
        <v>689</v>
      </c>
      <c r="C219" s="42" t="s">
        <v>1695</v>
      </c>
      <c r="D219" s="41" t="s">
        <v>16</v>
      </c>
      <c r="E219" s="41" t="s">
        <v>166</v>
      </c>
      <c r="F219" s="41" t="s">
        <v>709</v>
      </c>
      <c r="G219" s="83">
        <v>35000</v>
      </c>
      <c r="J219" s="84"/>
      <c r="K219" s="41">
        <v>30</v>
      </c>
      <c r="L219" s="41">
        <v>1</v>
      </c>
      <c r="M219" s="41">
        <f t="shared" si="30"/>
        <v>1155000</v>
      </c>
      <c r="N219" s="41"/>
      <c r="O219" s="41"/>
      <c r="P219" s="41">
        <f t="shared" si="31"/>
        <v>0</v>
      </c>
      <c r="Q219" s="41">
        <v>0</v>
      </c>
      <c r="R219" s="41">
        <v>0</v>
      </c>
      <c r="S219" s="41">
        <f t="shared" si="32"/>
        <v>0</v>
      </c>
      <c r="T219" s="41">
        <v>0</v>
      </c>
      <c r="U219" s="41">
        <v>0</v>
      </c>
      <c r="V219" s="41">
        <f t="shared" si="33"/>
        <v>0</v>
      </c>
      <c r="W219" s="41">
        <v>0</v>
      </c>
      <c r="X219" s="41">
        <v>0</v>
      </c>
      <c r="Y219" s="41">
        <f t="shared" si="34"/>
        <v>0</v>
      </c>
      <c r="Z219" s="41">
        <v>0</v>
      </c>
      <c r="AA219" s="41">
        <v>0</v>
      </c>
      <c r="AB219" s="41">
        <f t="shared" si="35"/>
        <v>0</v>
      </c>
      <c r="AC219" s="41">
        <v>30</v>
      </c>
      <c r="AD219" s="41">
        <v>1</v>
      </c>
      <c r="AE219" s="41">
        <f t="shared" si="36"/>
        <v>2046152.955000001</v>
      </c>
      <c r="AF219" s="28">
        <f t="shared" si="28"/>
        <v>3201152.955000001</v>
      </c>
      <c r="AG219" s="28">
        <f t="shared" si="29"/>
        <v>3132.2435958904121</v>
      </c>
    </row>
    <row r="220" spans="1:33" ht="57.6" x14ac:dyDescent="0.3">
      <c r="A220" s="41" t="s">
        <v>696</v>
      </c>
      <c r="B220" s="41" t="s">
        <v>689</v>
      </c>
      <c r="C220" s="42" t="s">
        <v>1695</v>
      </c>
      <c r="D220" s="41" t="s">
        <v>16</v>
      </c>
      <c r="E220" s="41" t="s">
        <v>242</v>
      </c>
      <c r="F220" s="41" t="s">
        <v>718</v>
      </c>
      <c r="G220" s="83">
        <v>0</v>
      </c>
      <c r="J220" s="84"/>
      <c r="K220" s="41">
        <v>0</v>
      </c>
      <c r="L220" s="41">
        <v>0</v>
      </c>
      <c r="M220" s="41">
        <f t="shared" si="30"/>
        <v>0</v>
      </c>
      <c r="N220" s="41"/>
      <c r="O220" s="41"/>
      <c r="P220" s="41">
        <f t="shared" si="31"/>
        <v>0</v>
      </c>
      <c r="Q220" s="41">
        <v>0</v>
      </c>
      <c r="R220" s="41">
        <v>0</v>
      </c>
      <c r="S220" s="41">
        <f t="shared" si="32"/>
        <v>0</v>
      </c>
      <c r="T220" s="41">
        <v>0</v>
      </c>
      <c r="U220" s="41">
        <v>0</v>
      </c>
      <c r="V220" s="41">
        <f t="shared" si="33"/>
        <v>0</v>
      </c>
      <c r="W220" s="41">
        <v>0</v>
      </c>
      <c r="X220" s="41">
        <v>0</v>
      </c>
      <c r="Y220" s="41">
        <f t="shared" si="34"/>
        <v>0</v>
      </c>
      <c r="Z220" s="41">
        <v>0</v>
      </c>
      <c r="AA220" s="41">
        <v>0</v>
      </c>
      <c r="AB220" s="41">
        <f t="shared" si="35"/>
        <v>0</v>
      </c>
      <c r="AC220" s="41">
        <v>0</v>
      </c>
      <c r="AD220" s="41">
        <v>0</v>
      </c>
      <c r="AE220" s="41">
        <f t="shared" si="36"/>
        <v>0</v>
      </c>
      <c r="AF220" s="28">
        <f t="shared" si="28"/>
        <v>0</v>
      </c>
      <c r="AG220" s="28">
        <f t="shared" si="29"/>
        <v>0</v>
      </c>
    </row>
    <row r="221" spans="1:33" ht="57.6" x14ac:dyDescent="0.3">
      <c r="A221" s="41" t="s">
        <v>696</v>
      </c>
      <c r="B221" s="41" t="s">
        <v>689</v>
      </c>
      <c r="C221" s="42" t="s">
        <v>1695</v>
      </c>
      <c r="D221" s="41" t="s">
        <v>16</v>
      </c>
      <c r="E221" s="41" t="s">
        <v>243</v>
      </c>
      <c r="F221" s="41" t="s">
        <v>716</v>
      </c>
      <c r="G221" s="83">
        <v>39000</v>
      </c>
      <c r="J221" s="84"/>
      <c r="K221" s="41">
        <v>25</v>
      </c>
      <c r="L221" s="41">
        <v>10</v>
      </c>
      <c r="M221" s="41">
        <f t="shared" si="30"/>
        <v>10725000</v>
      </c>
      <c r="N221" s="41"/>
      <c r="O221" s="41"/>
      <c r="P221" s="41">
        <f t="shared" si="31"/>
        <v>0</v>
      </c>
      <c r="Q221" s="41">
        <v>0</v>
      </c>
      <c r="R221" s="41">
        <v>0</v>
      </c>
      <c r="S221" s="41">
        <f t="shared" si="32"/>
        <v>0</v>
      </c>
      <c r="T221" s="41">
        <v>0</v>
      </c>
      <c r="U221" s="41">
        <v>0</v>
      </c>
      <c r="V221" s="41">
        <f t="shared" si="33"/>
        <v>0</v>
      </c>
      <c r="W221" s="41">
        <v>0</v>
      </c>
      <c r="X221" s="41">
        <v>0</v>
      </c>
      <c r="Y221" s="41">
        <f t="shared" si="34"/>
        <v>0</v>
      </c>
      <c r="Z221" s="41">
        <v>0</v>
      </c>
      <c r="AA221" s="41">
        <v>0</v>
      </c>
      <c r="AB221" s="41">
        <f t="shared" si="35"/>
        <v>0</v>
      </c>
      <c r="AC221" s="41">
        <v>25</v>
      </c>
      <c r="AD221" s="41">
        <v>10</v>
      </c>
      <c r="AE221" s="41">
        <f t="shared" si="36"/>
        <v>18999991.725000009</v>
      </c>
      <c r="AF221" s="28">
        <f t="shared" si="28"/>
        <v>29724991.725000009</v>
      </c>
      <c r="AG221" s="28">
        <f t="shared" si="29"/>
        <v>29085.119104696681</v>
      </c>
    </row>
    <row r="222" spans="1:33" ht="57.6" x14ac:dyDescent="0.3">
      <c r="A222" s="41" t="s">
        <v>696</v>
      </c>
      <c r="B222" s="41" t="s">
        <v>689</v>
      </c>
      <c r="C222" s="42" t="s">
        <v>1695</v>
      </c>
      <c r="D222" s="41" t="s">
        <v>16</v>
      </c>
      <c r="E222" s="41" t="s">
        <v>243</v>
      </c>
      <c r="F222" s="41" t="s">
        <v>709</v>
      </c>
      <c r="G222" s="83">
        <v>35000</v>
      </c>
      <c r="J222" s="84"/>
      <c r="K222" s="41">
        <v>60</v>
      </c>
      <c r="L222" s="41">
        <v>10</v>
      </c>
      <c r="M222" s="41">
        <f t="shared" si="30"/>
        <v>23100000</v>
      </c>
      <c r="N222" s="41"/>
      <c r="O222" s="41"/>
      <c r="P222" s="41">
        <f t="shared" si="31"/>
        <v>0</v>
      </c>
      <c r="Q222" s="41">
        <v>0</v>
      </c>
      <c r="R222" s="41">
        <v>0</v>
      </c>
      <c r="S222" s="41">
        <f t="shared" si="32"/>
        <v>0</v>
      </c>
      <c r="T222" s="41">
        <v>0</v>
      </c>
      <c r="U222" s="41">
        <v>0</v>
      </c>
      <c r="V222" s="41">
        <f t="shared" si="33"/>
        <v>0</v>
      </c>
      <c r="W222" s="41">
        <v>0</v>
      </c>
      <c r="X222" s="41">
        <v>0</v>
      </c>
      <c r="Y222" s="41">
        <f t="shared" si="34"/>
        <v>0</v>
      </c>
      <c r="Z222" s="41">
        <v>0</v>
      </c>
      <c r="AA222" s="41">
        <v>0</v>
      </c>
      <c r="AB222" s="41">
        <f t="shared" si="35"/>
        <v>0</v>
      </c>
      <c r="AC222" s="41">
        <v>60</v>
      </c>
      <c r="AD222" s="41">
        <v>10</v>
      </c>
      <c r="AE222" s="41">
        <f t="shared" si="36"/>
        <v>40923059.100000024</v>
      </c>
      <c r="AF222" s="28">
        <f t="shared" si="28"/>
        <v>64023059.100000024</v>
      </c>
      <c r="AG222" s="28">
        <f t="shared" si="29"/>
        <v>62644.871917808239</v>
      </c>
    </row>
    <row r="223" spans="1:33" ht="57.6" x14ac:dyDescent="0.3">
      <c r="A223" s="41" t="s">
        <v>696</v>
      </c>
      <c r="B223" s="41" t="s">
        <v>689</v>
      </c>
      <c r="C223" s="42" t="s">
        <v>1695</v>
      </c>
      <c r="D223" s="41" t="s">
        <v>16</v>
      </c>
      <c r="E223" s="41" t="s">
        <v>243</v>
      </c>
      <c r="F223" s="41" t="s">
        <v>712</v>
      </c>
      <c r="G223" s="83">
        <f>1999.2/7</f>
        <v>285.60000000000002</v>
      </c>
      <c r="J223" s="84"/>
      <c r="K223" s="41">
        <f>25*2*15</f>
        <v>750</v>
      </c>
      <c r="L223" s="41">
        <v>9</v>
      </c>
      <c r="M223" s="41">
        <f t="shared" si="30"/>
        <v>2120580.0000000005</v>
      </c>
      <c r="N223" s="41"/>
      <c r="O223" s="41"/>
      <c r="P223" s="41">
        <f t="shared" si="31"/>
        <v>0</v>
      </c>
      <c r="Q223" s="41">
        <v>0</v>
      </c>
      <c r="R223" s="41">
        <v>0</v>
      </c>
      <c r="S223" s="41">
        <f t="shared" si="32"/>
        <v>0</v>
      </c>
      <c r="T223" s="41">
        <v>0</v>
      </c>
      <c r="U223" s="41">
        <v>0</v>
      </c>
      <c r="V223" s="41">
        <f t="shared" si="33"/>
        <v>0</v>
      </c>
      <c r="W223" s="41">
        <v>0</v>
      </c>
      <c r="X223" s="41">
        <v>0</v>
      </c>
      <c r="Y223" s="41">
        <f t="shared" si="34"/>
        <v>0</v>
      </c>
      <c r="Z223" s="41">
        <v>0</v>
      </c>
      <c r="AA223" s="41">
        <v>0</v>
      </c>
      <c r="AB223" s="41">
        <f t="shared" si="35"/>
        <v>0</v>
      </c>
      <c r="AC223" s="41">
        <f>25*2*15</f>
        <v>750</v>
      </c>
      <c r="AD223" s="41">
        <v>9</v>
      </c>
      <c r="AE223" s="41">
        <f t="shared" si="36"/>
        <v>3756736.8253800031</v>
      </c>
      <c r="AF223" s="28">
        <f t="shared" si="28"/>
        <v>5877316.8253800031</v>
      </c>
      <c r="AG223" s="28">
        <f t="shared" si="29"/>
        <v>5750.7992420547971</v>
      </c>
    </row>
    <row r="224" spans="1:33" ht="57.6" x14ac:dyDescent="0.3">
      <c r="A224" s="41" t="s">
        <v>696</v>
      </c>
      <c r="B224" s="41" t="s">
        <v>689</v>
      </c>
      <c r="C224" s="42" t="s">
        <v>1695</v>
      </c>
      <c r="D224" s="41" t="s">
        <v>16</v>
      </c>
      <c r="E224" s="41" t="s">
        <v>243</v>
      </c>
      <c r="F224" s="41" t="s">
        <v>1299</v>
      </c>
      <c r="G224" s="83">
        <f>1999.2/7</f>
        <v>285.60000000000002</v>
      </c>
      <c r="J224" s="84"/>
      <c r="K224" s="41">
        <f>2*135*15</f>
        <v>4050</v>
      </c>
      <c r="L224" s="41">
        <v>1</v>
      </c>
      <c r="M224" s="41">
        <f t="shared" si="30"/>
        <v>1272348</v>
      </c>
      <c r="N224" s="41"/>
      <c r="O224" s="41"/>
      <c r="P224" s="41">
        <f t="shared" si="31"/>
        <v>0</v>
      </c>
      <c r="Q224" s="41"/>
      <c r="R224" s="41"/>
      <c r="S224" s="41">
        <f t="shared" si="32"/>
        <v>0</v>
      </c>
      <c r="T224" s="41"/>
      <c r="U224" s="41"/>
      <c r="V224" s="41">
        <f t="shared" si="33"/>
        <v>0</v>
      </c>
      <c r="W224" s="41"/>
      <c r="X224" s="41"/>
      <c r="Y224" s="41">
        <f t="shared" si="34"/>
        <v>0</v>
      </c>
      <c r="Z224" s="41"/>
      <c r="AA224" s="41"/>
      <c r="AB224" s="41">
        <f t="shared" si="35"/>
        <v>0</v>
      </c>
      <c r="AC224" s="41">
        <f>2*135*15</f>
        <v>4050</v>
      </c>
      <c r="AD224" s="41">
        <v>1</v>
      </c>
      <c r="AE224" s="41">
        <f t="shared" si="36"/>
        <v>2254042.0952280019</v>
      </c>
      <c r="AF224" s="28">
        <f t="shared" si="28"/>
        <v>3526390.0952280019</v>
      </c>
      <c r="AG224" s="28">
        <f t="shared" si="29"/>
        <v>3450.4795452328785</v>
      </c>
    </row>
    <row r="225" spans="1:42" ht="57.6" x14ac:dyDescent="0.3">
      <c r="A225" s="41" t="s">
        <v>696</v>
      </c>
      <c r="B225" s="41" t="s">
        <v>689</v>
      </c>
      <c r="C225" s="42" t="s">
        <v>1695</v>
      </c>
      <c r="D225" s="41" t="s">
        <v>16</v>
      </c>
      <c r="E225" s="41" t="s">
        <v>244</v>
      </c>
      <c r="F225" s="41" t="s">
        <v>716</v>
      </c>
      <c r="G225" s="83">
        <v>39000</v>
      </c>
      <c r="J225" s="84"/>
      <c r="K225" s="41">
        <v>25</v>
      </c>
      <c r="L225" s="41">
        <v>4</v>
      </c>
      <c r="M225" s="41">
        <f t="shared" si="30"/>
        <v>4290000</v>
      </c>
      <c r="N225" s="41"/>
      <c r="O225" s="41"/>
      <c r="P225" s="41">
        <f t="shared" si="31"/>
        <v>0</v>
      </c>
      <c r="Q225" s="41">
        <v>0</v>
      </c>
      <c r="R225" s="41">
        <v>0</v>
      </c>
      <c r="S225" s="41">
        <f t="shared" si="32"/>
        <v>0</v>
      </c>
      <c r="T225" s="41">
        <v>0</v>
      </c>
      <c r="U225" s="41">
        <v>0</v>
      </c>
      <c r="V225" s="41">
        <f t="shared" si="33"/>
        <v>0</v>
      </c>
      <c r="W225" s="41">
        <v>0</v>
      </c>
      <c r="X225" s="41">
        <v>0</v>
      </c>
      <c r="Y225" s="41">
        <f t="shared" si="34"/>
        <v>0</v>
      </c>
      <c r="Z225" s="41">
        <v>0</v>
      </c>
      <c r="AA225" s="41">
        <v>0</v>
      </c>
      <c r="AB225" s="41">
        <f t="shared" si="35"/>
        <v>0</v>
      </c>
      <c r="AC225" s="41">
        <v>25</v>
      </c>
      <c r="AD225" s="41">
        <v>4</v>
      </c>
      <c r="AE225" s="41">
        <f t="shared" si="36"/>
        <v>7599996.6900000041</v>
      </c>
      <c r="AF225" s="28">
        <f t="shared" si="28"/>
        <v>11889996.690000005</v>
      </c>
      <c r="AG225" s="28">
        <f t="shared" si="29"/>
        <v>11634.047641878675</v>
      </c>
    </row>
    <row r="226" spans="1:42" ht="57.6" x14ac:dyDescent="0.3">
      <c r="A226" s="41" t="s">
        <v>696</v>
      </c>
      <c r="B226" s="41" t="s">
        <v>689</v>
      </c>
      <c r="C226" s="42" t="s">
        <v>1695</v>
      </c>
      <c r="D226" s="41" t="s">
        <v>16</v>
      </c>
      <c r="E226" s="41" t="s">
        <v>244</v>
      </c>
      <c r="F226" s="41" t="s">
        <v>709</v>
      </c>
      <c r="G226" s="83">
        <v>35000</v>
      </c>
      <c r="J226" s="84"/>
      <c r="K226" s="41">
        <v>30</v>
      </c>
      <c r="L226" s="41">
        <v>3</v>
      </c>
      <c r="M226" s="41">
        <f t="shared" si="30"/>
        <v>3465000</v>
      </c>
      <c r="N226" s="41"/>
      <c r="O226" s="41"/>
      <c r="P226" s="41">
        <f t="shared" si="31"/>
        <v>0</v>
      </c>
      <c r="Q226" s="41">
        <v>0</v>
      </c>
      <c r="R226" s="41">
        <v>0</v>
      </c>
      <c r="S226" s="41">
        <f t="shared" si="32"/>
        <v>0</v>
      </c>
      <c r="T226" s="41">
        <v>0</v>
      </c>
      <c r="U226" s="41">
        <v>0</v>
      </c>
      <c r="V226" s="41">
        <f t="shared" si="33"/>
        <v>0</v>
      </c>
      <c r="W226" s="41">
        <v>0</v>
      </c>
      <c r="X226" s="41">
        <v>0</v>
      </c>
      <c r="Y226" s="41">
        <f t="shared" si="34"/>
        <v>0</v>
      </c>
      <c r="Z226" s="41">
        <v>0</v>
      </c>
      <c r="AA226" s="41">
        <v>0</v>
      </c>
      <c r="AB226" s="41">
        <f t="shared" si="35"/>
        <v>0</v>
      </c>
      <c r="AC226" s="41">
        <v>30</v>
      </c>
      <c r="AD226" s="41">
        <v>3</v>
      </c>
      <c r="AE226" s="41">
        <f t="shared" si="36"/>
        <v>6138458.865000003</v>
      </c>
      <c r="AF226" s="28">
        <f t="shared" si="28"/>
        <v>9603458.8650000021</v>
      </c>
      <c r="AG226" s="28">
        <f t="shared" si="29"/>
        <v>9396.7307876712348</v>
      </c>
    </row>
    <row r="227" spans="1:42" ht="57.6" x14ac:dyDescent="0.3">
      <c r="A227" s="41" t="s">
        <v>696</v>
      </c>
      <c r="B227" s="41" t="s">
        <v>689</v>
      </c>
      <c r="C227" s="42" t="s">
        <v>1695</v>
      </c>
      <c r="D227" s="41" t="s">
        <v>16</v>
      </c>
      <c r="E227" s="41" t="s">
        <v>244</v>
      </c>
      <c r="F227" s="41" t="s">
        <v>1299</v>
      </c>
      <c r="G227" s="83">
        <f>1999.2/7</f>
        <v>285.60000000000002</v>
      </c>
      <c r="J227" s="84"/>
      <c r="K227" s="41">
        <f>2*135*10</f>
        <v>2700</v>
      </c>
      <c r="L227" s="41">
        <v>1</v>
      </c>
      <c r="M227" s="41">
        <f t="shared" si="30"/>
        <v>848232.00000000012</v>
      </c>
      <c r="N227" s="41"/>
      <c r="O227" s="41"/>
      <c r="P227" s="41">
        <f t="shared" si="31"/>
        <v>0</v>
      </c>
      <c r="Q227" s="41"/>
      <c r="R227" s="41"/>
      <c r="S227" s="41">
        <f t="shared" si="32"/>
        <v>0</v>
      </c>
      <c r="T227" s="41"/>
      <c r="U227" s="41"/>
      <c r="V227" s="41">
        <f t="shared" si="33"/>
        <v>0</v>
      </c>
      <c r="W227" s="41"/>
      <c r="X227" s="41"/>
      <c r="Y227" s="41">
        <f t="shared" si="34"/>
        <v>0</v>
      </c>
      <c r="Z227" s="41"/>
      <c r="AA227" s="41"/>
      <c r="AB227" s="41">
        <f t="shared" si="35"/>
        <v>0</v>
      </c>
      <c r="AC227" s="41">
        <f>2*135*10</f>
        <v>2700</v>
      </c>
      <c r="AD227" s="41">
        <v>1</v>
      </c>
      <c r="AE227" s="41">
        <f t="shared" si="36"/>
        <v>1502694.7301520011</v>
      </c>
      <c r="AF227" s="28">
        <f t="shared" si="28"/>
        <v>2350926.7301520011</v>
      </c>
      <c r="AG227" s="28">
        <f t="shared" si="29"/>
        <v>2300.319696821919</v>
      </c>
    </row>
    <row r="228" spans="1:42" ht="57.6" x14ac:dyDescent="0.3">
      <c r="A228" s="41" t="s">
        <v>696</v>
      </c>
      <c r="B228" s="41" t="s">
        <v>689</v>
      </c>
      <c r="C228" s="42" t="s">
        <v>1695</v>
      </c>
      <c r="D228" s="41" t="s">
        <v>16</v>
      </c>
      <c r="E228" s="41" t="s">
        <v>244</v>
      </c>
      <c r="F228" s="41" t="s">
        <v>712</v>
      </c>
      <c r="G228" s="83">
        <f>1999.2/7</f>
        <v>285.60000000000002</v>
      </c>
      <c r="J228" s="84"/>
      <c r="K228" s="41">
        <f>25*2*10</f>
        <v>500</v>
      </c>
      <c r="L228" s="41">
        <v>3</v>
      </c>
      <c r="M228" s="41">
        <f t="shared" si="30"/>
        <v>471240</v>
      </c>
      <c r="N228" s="41"/>
      <c r="O228" s="41"/>
      <c r="P228" s="41">
        <f t="shared" si="31"/>
        <v>0</v>
      </c>
      <c r="Q228" s="41">
        <v>0</v>
      </c>
      <c r="R228" s="41">
        <v>0</v>
      </c>
      <c r="S228" s="41">
        <f t="shared" si="32"/>
        <v>0</v>
      </c>
      <c r="T228" s="41">
        <v>0</v>
      </c>
      <c r="U228" s="41">
        <v>0</v>
      </c>
      <c r="V228" s="41">
        <f t="shared" si="33"/>
        <v>0</v>
      </c>
      <c r="W228" s="41">
        <v>0</v>
      </c>
      <c r="X228" s="41">
        <v>0</v>
      </c>
      <c r="Y228" s="41">
        <f t="shared" si="34"/>
        <v>0</v>
      </c>
      <c r="Z228" s="41">
        <v>0</v>
      </c>
      <c r="AA228" s="41">
        <v>0</v>
      </c>
      <c r="AB228" s="41">
        <f t="shared" si="35"/>
        <v>0</v>
      </c>
      <c r="AC228" s="41">
        <f>25*2*10</f>
        <v>500</v>
      </c>
      <c r="AD228" s="41">
        <v>3</v>
      </c>
      <c r="AE228" s="41">
        <f t="shared" si="36"/>
        <v>834830.40564000071</v>
      </c>
      <c r="AF228" s="28">
        <f t="shared" si="28"/>
        <v>1306070.4056400007</v>
      </c>
      <c r="AG228" s="28">
        <f t="shared" si="29"/>
        <v>1277.9553871232883</v>
      </c>
    </row>
    <row r="229" spans="1:42" ht="43.2" x14ac:dyDescent="0.3">
      <c r="A229" s="41" t="s">
        <v>696</v>
      </c>
      <c r="B229" s="41" t="s">
        <v>689</v>
      </c>
      <c r="C229" s="42" t="s">
        <v>1695</v>
      </c>
      <c r="D229" s="41" t="s">
        <v>17</v>
      </c>
      <c r="E229" s="41" t="s">
        <v>245</v>
      </c>
      <c r="F229" s="41" t="s">
        <v>716</v>
      </c>
      <c r="G229" s="83">
        <v>39000</v>
      </c>
      <c r="J229" s="84"/>
      <c r="K229" s="41">
        <v>58</v>
      </c>
      <c r="L229" s="41">
        <v>12</v>
      </c>
      <c r="M229" s="41">
        <f t="shared" si="30"/>
        <v>29858400</v>
      </c>
      <c r="N229" s="41"/>
      <c r="O229" s="41"/>
      <c r="P229" s="41">
        <f t="shared" si="31"/>
        <v>0</v>
      </c>
      <c r="Q229" s="41"/>
      <c r="R229" s="41"/>
      <c r="S229" s="41">
        <f t="shared" si="32"/>
        <v>0</v>
      </c>
      <c r="T229" s="41"/>
      <c r="U229" s="41"/>
      <c r="V229" s="41">
        <f t="shared" si="33"/>
        <v>0</v>
      </c>
      <c r="W229" s="41">
        <v>0</v>
      </c>
      <c r="X229" s="41">
        <v>0</v>
      </c>
      <c r="Y229" s="41">
        <f t="shared" si="34"/>
        <v>0</v>
      </c>
      <c r="Z229" s="41">
        <v>0</v>
      </c>
      <c r="AA229" s="41">
        <v>0</v>
      </c>
      <c r="AB229" s="41">
        <f t="shared" si="35"/>
        <v>0</v>
      </c>
      <c r="AC229" s="41">
        <v>58</v>
      </c>
      <c r="AD229" s="41">
        <v>12</v>
      </c>
      <c r="AE229" s="41">
        <f t="shared" si="36"/>
        <v>52895976.962400034</v>
      </c>
      <c r="AF229" s="28">
        <f t="shared" si="28"/>
        <v>82754376.962400034</v>
      </c>
      <c r="AG229" s="28">
        <f t="shared" si="29"/>
        <v>80972.971587475578</v>
      </c>
    </row>
    <row r="230" spans="1:42" ht="43.2" x14ac:dyDescent="0.3">
      <c r="A230" s="41" t="s">
        <v>696</v>
      </c>
      <c r="B230" s="41" t="s">
        <v>689</v>
      </c>
      <c r="C230" s="42" t="s">
        <v>1695</v>
      </c>
      <c r="D230" s="41" t="s">
        <v>17</v>
      </c>
      <c r="E230" s="41" t="s">
        <v>245</v>
      </c>
      <c r="F230" s="41" t="s">
        <v>709</v>
      </c>
      <c r="G230" s="83">
        <v>35000</v>
      </c>
      <c r="J230" s="84"/>
      <c r="K230" s="41">
        <v>100</v>
      </c>
      <c r="L230" s="41">
        <v>12</v>
      </c>
      <c r="M230" s="41">
        <f t="shared" si="30"/>
        <v>46200000</v>
      </c>
      <c r="N230" s="41"/>
      <c r="O230" s="41"/>
      <c r="P230" s="41">
        <f t="shared" si="31"/>
        <v>0</v>
      </c>
      <c r="Q230" s="41"/>
      <c r="R230" s="41"/>
      <c r="S230" s="41">
        <f t="shared" si="32"/>
        <v>0</v>
      </c>
      <c r="T230" s="41"/>
      <c r="U230" s="41"/>
      <c r="V230" s="41">
        <f t="shared" si="33"/>
        <v>0</v>
      </c>
      <c r="W230" s="41">
        <v>0</v>
      </c>
      <c r="X230" s="41">
        <v>0</v>
      </c>
      <c r="Y230" s="41">
        <f t="shared" si="34"/>
        <v>0</v>
      </c>
      <c r="Z230" s="41">
        <v>0</v>
      </c>
      <c r="AA230" s="41">
        <v>0</v>
      </c>
      <c r="AB230" s="41">
        <f t="shared" si="35"/>
        <v>0</v>
      </c>
      <c r="AC230" s="41">
        <v>100</v>
      </c>
      <c r="AD230" s="41">
        <v>12</v>
      </c>
      <c r="AE230" s="41">
        <f t="shared" si="36"/>
        <v>81846118.200000048</v>
      </c>
      <c r="AF230" s="28">
        <f t="shared" si="28"/>
        <v>128046118.20000005</v>
      </c>
      <c r="AG230" s="28">
        <f t="shared" si="29"/>
        <v>125289.74383561648</v>
      </c>
    </row>
    <row r="231" spans="1:42" ht="43.2" x14ac:dyDescent="0.3">
      <c r="A231" s="41" t="s">
        <v>696</v>
      </c>
      <c r="B231" s="41" t="s">
        <v>689</v>
      </c>
      <c r="C231" s="42" t="s">
        <v>1695</v>
      </c>
      <c r="D231" s="41" t="s">
        <v>17</v>
      </c>
      <c r="E231" s="41" t="s">
        <v>245</v>
      </c>
      <c r="F231" s="41" t="s">
        <v>1299</v>
      </c>
      <c r="G231" s="83">
        <f>1999.2/7</f>
        <v>285.60000000000002</v>
      </c>
      <c r="J231" s="84"/>
      <c r="K231" s="41">
        <f>2*135*29</f>
        <v>7830</v>
      </c>
      <c r="L231" s="41">
        <v>1</v>
      </c>
      <c r="M231" s="41">
        <f t="shared" si="30"/>
        <v>2459872.8000000003</v>
      </c>
      <c r="N231" s="41"/>
      <c r="O231" s="41"/>
      <c r="P231" s="41">
        <f t="shared" si="31"/>
        <v>0</v>
      </c>
      <c r="Q231" s="41"/>
      <c r="R231" s="41"/>
      <c r="S231" s="41">
        <f t="shared" si="32"/>
        <v>0</v>
      </c>
      <c r="T231" s="41"/>
      <c r="U231" s="41"/>
      <c r="V231" s="41">
        <f t="shared" si="33"/>
        <v>0</v>
      </c>
      <c r="W231" s="41"/>
      <c r="X231" s="41"/>
      <c r="Y231" s="41">
        <f t="shared" si="34"/>
        <v>0</v>
      </c>
      <c r="Z231" s="41"/>
      <c r="AA231" s="41"/>
      <c r="AB231" s="41">
        <f t="shared" si="35"/>
        <v>0</v>
      </c>
      <c r="AC231" s="41">
        <f>2*135*29</f>
        <v>7830</v>
      </c>
      <c r="AD231" s="41">
        <v>1</v>
      </c>
      <c r="AE231" s="41">
        <f t="shared" si="36"/>
        <v>4357814.7174408035</v>
      </c>
      <c r="AF231" s="28">
        <f t="shared" si="28"/>
        <v>6817687.5174408033</v>
      </c>
      <c r="AG231" s="28">
        <f t="shared" si="29"/>
        <v>6670.9271207835645</v>
      </c>
    </row>
    <row r="232" spans="1:42" ht="43.2" x14ac:dyDescent="0.3">
      <c r="A232" s="41" t="s">
        <v>696</v>
      </c>
      <c r="B232" s="41" t="s">
        <v>689</v>
      </c>
      <c r="C232" s="42" t="s">
        <v>1695</v>
      </c>
      <c r="D232" s="41" t="s">
        <v>17</v>
      </c>
      <c r="E232" s="41" t="s">
        <v>245</v>
      </c>
      <c r="F232" s="41" t="s">
        <v>712</v>
      </c>
      <c r="G232" s="83">
        <f>1999.2/7</f>
        <v>285.60000000000002</v>
      </c>
      <c r="J232" s="84"/>
      <c r="K232" s="41">
        <f>25*2*29</f>
        <v>1450</v>
      </c>
      <c r="L232" s="41">
        <v>12</v>
      </c>
      <c r="M232" s="41">
        <f t="shared" si="30"/>
        <v>5466384.0000000009</v>
      </c>
      <c r="N232" s="41"/>
      <c r="O232" s="41"/>
      <c r="P232" s="41">
        <f t="shared" si="31"/>
        <v>0</v>
      </c>
      <c r="Q232" s="41"/>
      <c r="R232" s="41"/>
      <c r="S232" s="41">
        <f t="shared" si="32"/>
        <v>0</v>
      </c>
      <c r="T232" s="41"/>
      <c r="U232" s="41"/>
      <c r="V232" s="41">
        <f t="shared" si="33"/>
        <v>0</v>
      </c>
      <c r="W232" s="41">
        <v>0</v>
      </c>
      <c r="X232" s="41">
        <v>0</v>
      </c>
      <c r="Y232" s="41">
        <f t="shared" si="34"/>
        <v>0</v>
      </c>
      <c r="Z232" s="41">
        <v>0</v>
      </c>
      <c r="AA232" s="41">
        <v>0</v>
      </c>
      <c r="AB232" s="41">
        <f t="shared" si="35"/>
        <v>0</v>
      </c>
      <c r="AC232" s="41">
        <f>25*2*29</f>
        <v>1450</v>
      </c>
      <c r="AD232" s="41">
        <v>12</v>
      </c>
      <c r="AE232" s="41">
        <f t="shared" si="36"/>
        <v>9684032.705424007</v>
      </c>
      <c r="AF232" s="28">
        <f t="shared" si="28"/>
        <v>15150416.705424007</v>
      </c>
      <c r="AG232" s="28">
        <f t="shared" si="29"/>
        <v>14824.282490630143</v>
      </c>
    </row>
    <row r="233" spans="1:42" ht="43.2" x14ac:dyDescent="0.3">
      <c r="A233" s="41" t="s">
        <v>696</v>
      </c>
      <c r="B233" s="41" t="s">
        <v>689</v>
      </c>
      <c r="C233" s="42" t="s">
        <v>1695</v>
      </c>
      <c r="D233" s="41" t="s">
        <v>17</v>
      </c>
      <c r="E233" s="41" t="s">
        <v>246</v>
      </c>
      <c r="F233" s="41" t="s">
        <v>716</v>
      </c>
      <c r="G233" s="83">
        <v>39000</v>
      </c>
      <c r="J233" s="84"/>
      <c r="K233" s="41">
        <v>300</v>
      </c>
      <c r="L233" s="41">
        <v>2</v>
      </c>
      <c r="M233" s="41">
        <f t="shared" si="30"/>
        <v>25740000</v>
      </c>
      <c r="N233" s="41"/>
      <c r="O233" s="41"/>
      <c r="P233" s="41">
        <f t="shared" si="31"/>
        <v>0</v>
      </c>
      <c r="Q233" s="41"/>
      <c r="R233" s="41"/>
      <c r="S233" s="41">
        <f t="shared" si="32"/>
        <v>0</v>
      </c>
      <c r="T233" s="41"/>
      <c r="U233" s="41"/>
      <c r="V233" s="41">
        <f t="shared" si="33"/>
        <v>0</v>
      </c>
      <c r="W233" s="41">
        <v>0</v>
      </c>
      <c r="X233" s="41">
        <v>0</v>
      </c>
      <c r="Y233" s="41">
        <f t="shared" si="34"/>
        <v>0</v>
      </c>
      <c r="Z233" s="41">
        <v>0</v>
      </c>
      <c r="AA233" s="41">
        <v>0</v>
      </c>
      <c r="AB233" s="41">
        <f t="shared" si="35"/>
        <v>0</v>
      </c>
      <c r="AC233" s="41">
        <v>300</v>
      </c>
      <c r="AD233" s="41">
        <v>2</v>
      </c>
      <c r="AE233" s="41">
        <f t="shared" si="36"/>
        <v>45599980.140000023</v>
      </c>
      <c r="AF233" s="28">
        <f t="shared" si="28"/>
        <v>71339980.140000015</v>
      </c>
      <c r="AG233" s="28">
        <f t="shared" si="29"/>
        <v>69804.285851272027</v>
      </c>
    </row>
    <row r="234" spans="1:42" ht="43.2" x14ac:dyDescent="0.3">
      <c r="A234" s="41" t="s">
        <v>696</v>
      </c>
      <c r="B234" s="41" t="s">
        <v>689</v>
      </c>
      <c r="C234" s="42" t="s">
        <v>1695</v>
      </c>
      <c r="D234" s="41" t="s">
        <v>17</v>
      </c>
      <c r="E234" s="41" t="s">
        <v>246</v>
      </c>
      <c r="F234" s="41" t="s">
        <v>709</v>
      </c>
      <c r="G234" s="83">
        <v>35000</v>
      </c>
      <c r="J234" s="84"/>
      <c r="K234" s="41">
        <v>300</v>
      </c>
      <c r="L234" s="41">
        <v>2</v>
      </c>
      <c r="M234" s="41">
        <f t="shared" si="30"/>
        <v>23100000</v>
      </c>
      <c r="N234" s="41"/>
      <c r="O234" s="41"/>
      <c r="P234" s="41">
        <f t="shared" si="31"/>
        <v>0</v>
      </c>
      <c r="Q234" s="41"/>
      <c r="R234" s="41"/>
      <c r="S234" s="41">
        <f t="shared" si="32"/>
        <v>0</v>
      </c>
      <c r="T234" s="41"/>
      <c r="U234" s="41"/>
      <c r="V234" s="41">
        <f t="shared" si="33"/>
        <v>0</v>
      </c>
      <c r="W234" s="41">
        <v>0</v>
      </c>
      <c r="X234" s="41">
        <v>0</v>
      </c>
      <c r="Y234" s="41">
        <f t="shared" si="34"/>
        <v>0</v>
      </c>
      <c r="Z234" s="41">
        <v>0</v>
      </c>
      <c r="AA234" s="41">
        <v>0</v>
      </c>
      <c r="AB234" s="41">
        <f t="shared" si="35"/>
        <v>0</v>
      </c>
      <c r="AC234" s="41">
        <v>300</v>
      </c>
      <c r="AD234" s="41">
        <v>2</v>
      </c>
      <c r="AE234" s="41">
        <f t="shared" si="36"/>
        <v>40923059.100000024</v>
      </c>
      <c r="AF234" s="28">
        <f t="shared" si="28"/>
        <v>64023059.100000024</v>
      </c>
      <c r="AG234" s="28">
        <f t="shared" si="29"/>
        <v>62644.871917808239</v>
      </c>
    </row>
    <row r="235" spans="1:42" ht="43.2" x14ac:dyDescent="0.3">
      <c r="A235" s="41" t="s">
        <v>696</v>
      </c>
      <c r="B235" s="41" t="s">
        <v>689</v>
      </c>
      <c r="C235" s="42" t="s">
        <v>1695</v>
      </c>
      <c r="D235" s="41" t="s">
        <v>17</v>
      </c>
      <c r="E235" s="41" t="s">
        <v>246</v>
      </c>
      <c r="F235" s="41" t="s">
        <v>712</v>
      </c>
      <c r="G235" s="83">
        <f>1999.2/7</f>
        <v>285.60000000000002</v>
      </c>
      <c r="J235" s="84"/>
      <c r="K235" s="41">
        <f>25*2*75</f>
        <v>3750</v>
      </c>
      <c r="L235" s="41">
        <v>2</v>
      </c>
      <c r="M235" s="41">
        <f t="shared" si="30"/>
        <v>2356200</v>
      </c>
      <c r="N235" s="41"/>
      <c r="O235" s="41"/>
      <c r="P235" s="41">
        <f t="shared" si="31"/>
        <v>0</v>
      </c>
      <c r="Q235" s="41"/>
      <c r="R235" s="41"/>
      <c r="S235" s="41">
        <f t="shared" si="32"/>
        <v>0</v>
      </c>
      <c r="T235" s="41"/>
      <c r="U235" s="41"/>
      <c r="V235" s="41">
        <f t="shared" si="33"/>
        <v>0</v>
      </c>
      <c r="W235" s="41">
        <v>0</v>
      </c>
      <c r="X235" s="41">
        <v>0</v>
      </c>
      <c r="Y235" s="41">
        <f t="shared" si="34"/>
        <v>0</v>
      </c>
      <c r="Z235" s="41">
        <v>0</v>
      </c>
      <c r="AA235" s="41">
        <v>0</v>
      </c>
      <c r="AB235" s="41">
        <f t="shared" si="35"/>
        <v>0</v>
      </c>
      <c r="AC235" s="41">
        <f>25*2*75</f>
        <v>3750</v>
      </c>
      <c r="AD235" s="41">
        <v>2</v>
      </c>
      <c r="AE235" s="41">
        <f t="shared" si="36"/>
        <v>4174152.0282000033</v>
      </c>
      <c r="AF235" s="28">
        <f t="shared" si="28"/>
        <v>6530352.0282000033</v>
      </c>
      <c r="AG235" s="28">
        <f t="shared" si="29"/>
        <v>6389.7769356164417</v>
      </c>
    </row>
    <row r="236" spans="1:42" ht="43.2" x14ac:dyDescent="0.3">
      <c r="A236" s="41" t="s">
        <v>696</v>
      </c>
      <c r="B236" s="41" t="s">
        <v>689</v>
      </c>
      <c r="C236" s="42" t="s">
        <v>1695</v>
      </c>
      <c r="D236" s="41" t="s">
        <v>17</v>
      </c>
      <c r="E236" s="41" t="s">
        <v>245</v>
      </c>
      <c r="F236" s="41" t="s">
        <v>1299</v>
      </c>
      <c r="G236" s="83">
        <f>1999.2/7</f>
        <v>285.60000000000002</v>
      </c>
      <c r="J236" s="84"/>
      <c r="K236" s="41">
        <f>2*135*75</f>
        <v>20250</v>
      </c>
      <c r="L236" s="41">
        <v>1</v>
      </c>
      <c r="M236" s="41">
        <f t="shared" si="30"/>
        <v>6361740.0000000009</v>
      </c>
      <c r="N236" s="41"/>
      <c r="O236" s="41"/>
      <c r="P236" s="41">
        <f t="shared" si="31"/>
        <v>0</v>
      </c>
      <c r="Q236" s="41"/>
      <c r="R236" s="41"/>
      <c r="S236" s="41">
        <f t="shared" si="32"/>
        <v>0</v>
      </c>
      <c r="T236" s="41"/>
      <c r="U236" s="41"/>
      <c r="V236" s="41">
        <f t="shared" si="33"/>
        <v>0</v>
      </c>
      <c r="W236" s="41"/>
      <c r="X236" s="41"/>
      <c r="Y236" s="41">
        <f t="shared" si="34"/>
        <v>0</v>
      </c>
      <c r="Z236" s="41"/>
      <c r="AA236" s="41"/>
      <c r="AB236" s="41">
        <f t="shared" si="35"/>
        <v>0</v>
      </c>
      <c r="AC236" s="41">
        <f>2*135*75</f>
        <v>20250</v>
      </c>
      <c r="AD236" s="41">
        <v>1</v>
      </c>
      <c r="AE236" s="41">
        <f t="shared" si="36"/>
        <v>11270210.476140009</v>
      </c>
      <c r="AF236" s="28">
        <f t="shared" si="28"/>
        <v>17631950.476140011</v>
      </c>
      <c r="AG236" s="28">
        <f t="shared" si="29"/>
        <v>17252.397726164396</v>
      </c>
    </row>
    <row r="237" spans="1:42" x14ac:dyDescent="0.3">
      <c r="A237" s="91" t="s">
        <v>1302</v>
      </c>
      <c r="B237" s="94"/>
      <c r="C237" s="94"/>
      <c r="D237" s="94"/>
      <c r="E237" s="94"/>
      <c r="F237" s="94"/>
      <c r="G237" s="96"/>
      <c r="H237" s="94"/>
      <c r="I237" s="96"/>
      <c r="J237" s="96">
        <f>SUM(J199:J236)</f>
        <v>0</v>
      </c>
      <c r="K237" s="94"/>
      <c r="L237" s="94"/>
      <c r="M237" s="96">
        <f>SUM(M199:M236)</f>
        <v>543589481.60000002</v>
      </c>
      <c r="N237" s="94"/>
      <c r="O237" s="94"/>
      <c r="P237" s="96">
        <f>SUM(P199:P236)</f>
        <v>0</v>
      </c>
      <c r="Q237" s="94"/>
      <c r="R237" s="94"/>
      <c r="S237" s="96">
        <f>SUM(S199:S236)</f>
        <v>0</v>
      </c>
      <c r="T237" s="94"/>
      <c r="U237" s="94"/>
      <c r="V237" s="96">
        <f>SUM(V199:V236)</f>
        <v>0</v>
      </c>
      <c r="W237" s="94"/>
      <c r="X237" s="94"/>
      <c r="Y237" s="96">
        <f>SUM(Y199:Y236)</f>
        <v>0</v>
      </c>
      <c r="Z237" s="94"/>
      <c r="AA237" s="94"/>
      <c r="AB237" s="96">
        <f>SUM(AB199:AB236)</f>
        <v>0</v>
      </c>
      <c r="AC237" s="94"/>
      <c r="AD237" s="94"/>
      <c r="AE237" s="96">
        <f>SUM(AE199:AE236)</f>
        <v>963001925.61277819</v>
      </c>
      <c r="AF237" s="95">
        <f t="shared" si="28"/>
        <v>1506591407.2127781</v>
      </c>
      <c r="AG237" s="95">
        <f t="shared" si="29"/>
        <v>1474159.8896406831</v>
      </c>
      <c r="AH237" s="94"/>
      <c r="AI237" s="94"/>
      <c r="AJ237" s="94"/>
      <c r="AK237" s="94"/>
      <c r="AL237" s="94"/>
      <c r="AM237" s="94"/>
      <c r="AN237" s="94"/>
      <c r="AO237" s="94"/>
    </row>
    <row r="238" spans="1:42" x14ac:dyDescent="0.3">
      <c r="A238" s="98" t="s">
        <v>1411</v>
      </c>
      <c r="B238" s="98"/>
      <c r="C238" s="98"/>
      <c r="D238" s="98"/>
      <c r="E238" s="98"/>
      <c r="F238" s="98"/>
      <c r="G238" s="104"/>
      <c r="H238" s="98"/>
      <c r="I238" s="98"/>
      <c r="J238" s="104">
        <f>SUM(J2:J236)</f>
        <v>3000476932.0836592</v>
      </c>
      <c r="K238" s="98"/>
      <c r="L238" s="98"/>
      <c r="M238" s="104">
        <f>SUM(M2:M236)</f>
        <v>1184631117.2524951</v>
      </c>
      <c r="N238" s="98"/>
      <c r="O238" s="98"/>
      <c r="P238" s="104">
        <f>SUM(P2:P236)</f>
        <v>0</v>
      </c>
      <c r="Q238" s="98"/>
      <c r="R238" s="98"/>
      <c r="S238" s="104">
        <f>SUM(S2:S236)</f>
        <v>11651947.773972606</v>
      </c>
      <c r="T238" s="98"/>
      <c r="U238" s="98"/>
      <c r="V238" s="104">
        <f>SUM(V2:V236)</f>
        <v>7373334738.5645647</v>
      </c>
      <c r="W238" s="98"/>
      <c r="X238" s="98"/>
      <c r="Y238" s="104">
        <f>SUM(Y2:Y236)</f>
        <v>14098856.806506854</v>
      </c>
      <c r="Z238" s="98"/>
      <c r="AA238" s="98"/>
      <c r="AB238" s="104">
        <f>SUM(AB2:AB236)</f>
        <v>0</v>
      </c>
      <c r="AC238" s="98"/>
      <c r="AD238" s="98"/>
      <c r="AE238" s="104">
        <f>SUM(AE2:AE236)</f>
        <v>3046454654.8917985</v>
      </c>
      <c r="AF238" s="99">
        <f t="shared" si="28"/>
        <v>14630648247.372995</v>
      </c>
      <c r="AG238" s="99">
        <f t="shared" si="29"/>
        <v>14315702.786079252</v>
      </c>
      <c r="AH238" s="98"/>
      <c r="AI238" s="98"/>
      <c r="AJ238" s="98"/>
      <c r="AK238" s="98"/>
      <c r="AL238" s="98"/>
      <c r="AM238" s="98"/>
      <c r="AN238" s="98"/>
      <c r="AO238" s="98"/>
      <c r="AP238" s="98"/>
    </row>
    <row r="239" spans="1:42" x14ac:dyDescent="0.3">
      <c r="A239" s="63" t="s">
        <v>1428</v>
      </c>
      <c r="B239" s="62"/>
      <c r="C239" s="62"/>
      <c r="D239" s="62"/>
      <c r="E239" s="62"/>
      <c r="F239" s="62"/>
      <c r="G239" s="117"/>
      <c r="H239" s="62"/>
      <c r="I239" s="62"/>
      <c r="J239" s="117">
        <f>J238/$AL$2</f>
        <v>2935887.4090838153</v>
      </c>
      <c r="K239" s="62"/>
      <c r="L239" s="62"/>
      <c r="M239" s="117">
        <f>M238/$AL$2</f>
        <v>1159130.2517147702</v>
      </c>
      <c r="N239" s="62"/>
      <c r="O239" s="62"/>
      <c r="P239" s="117">
        <f>P238/$AL$2</f>
        <v>0</v>
      </c>
      <c r="Q239" s="62"/>
      <c r="R239" s="62"/>
      <c r="S239" s="117">
        <f>S238/$AL$2</f>
        <v>11401.123066509399</v>
      </c>
      <c r="T239" s="62"/>
      <c r="U239" s="62"/>
      <c r="V239" s="117">
        <f>V238/$AL$2</f>
        <v>7214613.2471277537</v>
      </c>
      <c r="W239" s="62"/>
      <c r="X239" s="62"/>
      <c r="Y239" s="117">
        <f>Y238/$AL$2</f>
        <v>13795.358910476374</v>
      </c>
      <c r="Z239" s="62"/>
      <c r="AA239" s="62"/>
      <c r="AB239" s="117">
        <f>AB238/$AL$2</f>
        <v>0</v>
      </c>
      <c r="AC239" s="62"/>
      <c r="AD239" s="62"/>
      <c r="AE239" s="117">
        <f>AE238/$AL$2</f>
        <v>2980875.3961759279</v>
      </c>
      <c r="AF239" s="62"/>
      <c r="AG239" s="62"/>
      <c r="AH239" s="117">
        <f>AH238/$AL$2</f>
        <v>0</v>
      </c>
      <c r="AI239" s="62"/>
      <c r="AJ239" s="62"/>
      <c r="AK239" s="62"/>
      <c r="AL239" s="62"/>
      <c r="AM239" s="62"/>
    </row>
    <row r="240" spans="1:42" x14ac:dyDescent="0.3">
      <c r="G240" s="84"/>
      <c r="J240" s="84"/>
      <c r="M240" s="84"/>
      <c r="P240" s="41">
        <f t="shared" si="31"/>
        <v>0</v>
      </c>
      <c r="S240" s="41">
        <f t="shared" si="32"/>
        <v>0</v>
      </c>
      <c r="V240" s="41">
        <f t="shared" si="33"/>
        <v>0</v>
      </c>
      <c r="Y240" s="41">
        <f t="shared" si="34"/>
        <v>0</v>
      </c>
      <c r="AB240" s="41">
        <f t="shared" si="35"/>
        <v>0</v>
      </c>
      <c r="AE240" s="8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sheetPr>
  <dimension ref="A1:AL169"/>
  <sheetViews>
    <sheetView topLeftCell="A167" zoomScale="70" zoomScaleNormal="70" workbookViewId="0">
      <selection activeCell="E95" sqref="E95"/>
    </sheetView>
  </sheetViews>
  <sheetFormatPr defaultColWidth="8.88671875" defaultRowHeight="14.4" x14ac:dyDescent="0.3"/>
  <cols>
    <col min="1" max="6" width="35.6640625" customWidth="1"/>
    <col min="7" max="7" width="21.33203125" customWidth="1"/>
    <col min="8" max="8" width="30.33203125" customWidth="1"/>
    <col min="9" max="9" width="27.6640625" customWidth="1"/>
    <col min="10" max="10" width="24.44140625" customWidth="1"/>
    <col min="1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43.2" x14ac:dyDescent="0.3">
      <c r="A2" s="41" t="s">
        <v>696</v>
      </c>
      <c r="B2" s="41" t="s">
        <v>690</v>
      </c>
      <c r="C2" s="41" t="s">
        <v>650</v>
      </c>
      <c r="D2" s="41" t="s">
        <v>18</v>
      </c>
      <c r="E2" s="41" t="s">
        <v>247</v>
      </c>
      <c r="F2" s="41" t="s">
        <v>709</v>
      </c>
      <c r="G2" s="41">
        <v>35000</v>
      </c>
      <c r="H2" s="41">
        <v>30</v>
      </c>
      <c r="I2" s="41">
        <v>2</v>
      </c>
      <c r="J2" s="67">
        <f>$G2*H2*I2</f>
        <v>2100000</v>
      </c>
      <c r="K2" s="41">
        <v>0</v>
      </c>
      <c r="L2" s="41">
        <v>0</v>
      </c>
      <c r="M2" s="41">
        <f>($G2*1.1^1)*K2*L2</f>
        <v>0</v>
      </c>
      <c r="N2" s="41">
        <v>0</v>
      </c>
      <c r="O2" s="41">
        <v>0</v>
      </c>
      <c r="P2" s="41">
        <f>($G2*1.1^2)*N2*O2</f>
        <v>0</v>
      </c>
      <c r="Q2" s="41">
        <v>0</v>
      </c>
      <c r="R2" s="41">
        <v>0</v>
      </c>
      <c r="S2" s="41">
        <f>($G2*1.1^3)*Q2*R2</f>
        <v>0</v>
      </c>
      <c r="T2" s="41"/>
      <c r="U2" s="41"/>
      <c r="V2" s="41">
        <f>($G2*1.1^4)*T2*U2</f>
        <v>0</v>
      </c>
      <c r="W2" s="41">
        <v>30</v>
      </c>
      <c r="X2" s="41">
        <v>2</v>
      </c>
      <c r="Y2" s="41">
        <f>($G2*1.1^5)*W2*X2</f>
        <v>3382071.0000000014</v>
      </c>
      <c r="Z2" s="41">
        <v>0</v>
      </c>
      <c r="AA2" s="41">
        <v>0</v>
      </c>
      <c r="AB2" s="41">
        <f>($G2*1.1^6)*Z2*AA2</f>
        <v>0</v>
      </c>
      <c r="AC2" s="41">
        <v>0</v>
      </c>
      <c r="AD2" s="41">
        <v>0</v>
      </c>
      <c r="AE2" s="41">
        <f>($G2*1.1^7)*AC2*AD2</f>
        <v>0</v>
      </c>
      <c r="AF2" s="28">
        <f>J2+M2+P2+S2+V2+Y2+AB2+AE2</f>
        <v>5482071.0000000019</v>
      </c>
      <c r="AG2" s="28">
        <f>AF2/$AL$2</f>
        <v>5322.3990291262153</v>
      </c>
      <c r="AL2">
        <v>1030</v>
      </c>
    </row>
    <row r="3" spans="1:38" ht="57.6" x14ac:dyDescent="0.3">
      <c r="A3" s="41" t="s">
        <v>696</v>
      </c>
      <c r="B3" s="41" t="s">
        <v>690</v>
      </c>
      <c r="C3" s="41" t="s">
        <v>650</v>
      </c>
      <c r="D3" s="41" t="s">
        <v>19</v>
      </c>
      <c r="E3" s="41" t="s">
        <v>248</v>
      </c>
      <c r="F3" s="41" t="s">
        <v>709</v>
      </c>
      <c r="G3" s="41">
        <v>35000</v>
      </c>
      <c r="H3" s="41">
        <v>30</v>
      </c>
      <c r="I3" s="41">
        <v>2</v>
      </c>
      <c r="J3" s="67">
        <f t="shared" ref="J3:J16" si="0">$G3*H3*I3</f>
        <v>2100000</v>
      </c>
      <c r="K3" s="41">
        <v>0</v>
      </c>
      <c r="L3" s="41">
        <v>0</v>
      </c>
      <c r="M3" s="41">
        <f t="shared" ref="M3:M16" si="1">($G3*1.1^1)*K3*L3</f>
        <v>0</v>
      </c>
      <c r="N3" s="41">
        <v>0</v>
      </c>
      <c r="O3" s="41">
        <v>0</v>
      </c>
      <c r="P3" s="41">
        <f t="shared" ref="P3:P16" si="2">($G3*1.1^2)*N3*O3</f>
        <v>0</v>
      </c>
      <c r="Q3" s="41">
        <v>0</v>
      </c>
      <c r="R3" s="41">
        <v>0</v>
      </c>
      <c r="S3" s="41">
        <f t="shared" ref="S3:S16" si="3">($G3*1.1^3)*Q3*R3</f>
        <v>0</v>
      </c>
      <c r="T3" s="41"/>
      <c r="U3" s="41"/>
      <c r="V3" s="41">
        <f t="shared" ref="V3:V16" si="4">($G3*1.1^4)*T3*U3</f>
        <v>0</v>
      </c>
      <c r="W3" s="41">
        <v>30</v>
      </c>
      <c r="X3" s="41">
        <v>2</v>
      </c>
      <c r="Y3" s="41">
        <f t="shared" ref="Y3:Y16" si="5">($G3*1.1^5)*W3*X3</f>
        <v>3382071.0000000014</v>
      </c>
      <c r="Z3" s="41">
        <v>0</v>
      </c>
      <c r="AA3" s="41">
        <v>0</v>
      </c>
      <c r="AB3" s="41">
        <f t="shared" ref="AB3:AB16" si="6">($G3*1.1^6)*Z3*AA3</f>
        <v>0</v>
      </c>
      <c r="AC3" s="41">
        <v>0</v>
      </c>
      <c r="AD3" s="41">
        <v>0</v>
      </c>
      <c r="AE3" s="41">
        <f t="shared" ref="AE3:AE16" si="7">($G3*1.1^7)*AC3*AD3</f>
        <v>0</v>
      </c>
      <c r="AF3" s="28">
        <f t="shared" ref="AF3:AF66" si="8">J3+M3+P3+S3+V3+Y3+AB3+AE3</f>
        <v>5482071.0000000019</v>
      </c>
      <c r="AG3" s="28">
        <f t="shared" ref="AG3:AG66" si="9">AF3/$AL$2</f>
        <v>5322.3990291262153</v>
      </c>
    </row>
    <row r="4" spans="1:38" ht="43.2" x14ac:dyDescent="0.3">
      <c r="A4" s="41" t="s">
        <v>696</v>
      </c>
      <c r="B4" s="41" t="s">
        <v>690</v>
      </c>
      <c r="C4" s="41" t="s">
        <v>650</v>
      </c>
      <c r="D4" s="41" t="s">
        <v>20</v>
      </c>
      <c r="E4" s="41" t="s">
        <v>727</v>
      </c>
      <c r="F4" s="41" t="s">
        <v>709</v>
      </c>
      <c r="G4" s="41">
        <v>35000</v>
      </c>
      <c r="H4" s="41">
        <v>100</v>
      </c>
      <c r="I4" s="41">
        <v>1</v>
      </c>
      <c r="J4" s="67">
        <f t="shared" si="0"/>
        <v>3500000</v>
      </c>
      <c r="K4" s="41">
        <v>0</v>
      </c>
      <c r="L4" s="41">
        <v>0</v>
      </c>
      <c r="M4" s="41">
        <f t="shared" si="1"/>
        <v>0</v>
      </c>
      <c r="N4" s="41">
        <v>0</v>
      </c>
      <c r="O4" s="41">
        <v>0</v>
      </c>
      <c r="P4" s="41">
        <f t="shared" si="2"/>
        <v>0</v>
      </c>
      <c r="Q4" s="41">
        <v>0</v>
      </c>
      <c r="R4" s="41">
        <v>0</v>
      </c>
      <c r="S4" s="41">
        <f t="shared" si="3"/>
        <v>0</v>
      </c>
      <c r="T4" s="41"/>
      <c r="U4" s="41"/>
      <c r="V4" s="41">
        <f t="shared" si="4"/>
        <v>0</v>
      </c>
      <c r="W4" s="41">
        <v>100</v>
      </c>
      <c r="X4" s="41">
        <v>1</v>
      </c>
      <c r="Y4" s="41">
        <f t="shared" si="5"/>
        <v>5636785.0000000019</v>
      </c>
      <c r="Z4" s="41">
        <v>0</v>
      </c>
      <c r="AA4" s="41">
        <v>0</v>
      </c>
      <c r="AB4" s="41">
        <f t="shared" si="6"/>
        <v>0</v>
      </c>
      <c r="AC4" s="41">
        <v>0</v>
      </c>
      <c r="AD4" s="41">
        <v>0</v>
      </c>
      <c r="AE4" s="41">
        <f t="shared" si="7"/>
        <v>0</v>
      </c>
      <c r="AF4" s="28">
        <f t="shared" si="8"/>
        <v>9136785.0000000019</v>
      </c>
      <c r="AG4" s="28">
        <f t="shared" si="9"/>
        <v>8870.6650485436912</v>
      </c>
    </row>
    <row r="5" spans="1:38" ht="43.2" x14ac:dyDescent="0.3">
      <c r="A5" s="41" t="s">
        <v>696</v>
      </c>
      <c r="B5" s="41" t="s">
        <v>690</v>
      </c>
      <c r="C5" s="41" t="s">
        <v>650</v>
      </c>
      <c r="D5" s="41" t="s">
        <v>20</v>
      </c>
      <c r="E5" s="41" t="s">
        <v>727</v>
      </c>
      <c r="F5" s="41" t="s">
        <v>712</v>
      </c>
      <c r="G5" s="41">
        <f>1999.2/7</f>
        <v>285.60000000000002</v>
      </c>
      <c r="H5" s="41">
        <f>25*2*9</f>
        <v>450</v>
      </c>
      <c r="I5" s="41">
        <v>1</v>
      </c>
      <c r="J5" s="67">
        <f t="shared" si="0"/>
        <v>128520.00000000001</v>
      </c>
      <c r="K5" s="41">
        <v>0</v>
      </c>
      <c r="L5" s="41">
        <v>0</v>
      </c>
      <c r="M5" s="41">
        <f t="shared" si="1"/>
        <v>0</v>
      </c>
      <c r="N5" s="41">
        <v>0</v>
      </c>
      <c r="O5" s="41">
        <v>0</v>
      </c>
      <c r="P5" s="41">
        <f t="shared" si="2"/>
        <v>0</v>
      </c>
      <c r="Q5" s="41">
        <v>0</v>
      </c>
      <c r="R5" s="41">
        <v>0</v>
      </c>
      <c r="S5" s="41">
        <f t="shared" si="3"/>
        <v>0</v>
      </c>
      <c r="T5" s="41"/>
      <c r="U5" s="41"/>
      <c r="V5" s="41">
        <f t="shared" si="4"/>
        <v>0</v>
      </c>
      <c r="W5" s="41">
        <f>25*2*9</f>
        <v>450</v>
      </c>
      <c r="X5" s="41">
        <v>1</v>
      </c>
      <c r="Y5" s="41">
        <f t="shared" si="5"/>
        <v>206982.74520000009</v>
      </c>
      <c r="Z5" s="41">
        <v>0</v>
      </c>
      <c r="AA5" s="41">
        <v>0</v>
      </c>
      <c r="AB5" s="41">
        <f t="shared" si="6"/>
        <v>0</v>
      </c>
      <c r="AC5" s="41">
        <v>0</v>
      </c>
      <c r="AD5" s="41">
        <v>0</v>
      </c>
      <c r="AE5" s="41">
        <f t="shared" si="7"/>
        <v>0</v>
      </c>
      <c r="AF5" s="28">
        <f t="shared" si="8"/>
        <v>335502.74520000012</v>
      </c>
      <c r="AG5" s="28">
        <f t="shared" si="9"/>
        <v>325.73082058252442</v>
      </c>
    </row>
    <row r="6" spans="1:38" x14ac:dyDescent="0.3">
      <c r="A6" s="41"/>
      <c r="B6" s="41"/>
      <c r="C6" s="41"/>
      <c r="D6" s="41"/>
      <c r="E6" s="41"/>
      <c r="F6" s="41" t="s">
        <v>1336</v>
      </c>
      <c r="G6" s="41">
        <f>1999.2/7</f>
        <v>285.60000000000002</v>
      </c>
      <c r="H6" s="41">
        <f>2*135*9</f>
        <v>2430</v>
      </c>
      <c r="I6" s="41">
        <v>1</v>
      </c>
      <c r="J6" s="67">
        <f t="shared" si="0"/>
        <v>694008</v>
      </c>
      <c r="K6" s="41"/>
      <c r="L6" s="41"/>
      <c r="M6" s="41">
        <f t="shared" si="1"/>
        <v>0</v>
      </c>
      <c r="N6" s="41"/>
      <c r="O6" s="41"/>
      <c r="P6" s="41">
        <f t="shared" si="2"/>
        <v>0</v>
      </c>
      <c r="Q6" s="41"/>
      <c r="R6" s="41"/>
      <c r="S6" s="41">
        <f t="shared" si="3"/>
        <v>0</v>
      </c>
      <c r="T6" s="41"/>
      <c r="U6" s="41"/>
      <c r="V6" s="41">
        <f t="shared" si="4"/>
        <v>0</v>
      </c>
      <c r="W6" s="41">
        <f>2*135*9</f>
        <v>2430</v>
      </c>
      <c r="X6" s="41">
        <v>1</v>
      </c>
      <c r="Y6" s="41">
        <f t="shared" si="5"/>
        <v>1117706.8240800004</v>
      </c>
      <c r="Z6" s="41"/>
      <c r="AA6" s="41"/>
      <c r="AB6" s="41">
        <f t="shared" si="6"/>
        <v>0</v>
      </c>
      <c r="AC6" s="41"/>
      <c r="AD6" s="41"/>
      <c r="AE6" s="41">
        <f t="shared" si="7"/>
        <v>0</v>
      </c>
      <c r="AF6" s="28">
        <f t="shared" si="8"/>
        <v>1811714.8240800004</v>
      </c>
      <c r="AG6" s="28">
        <f t="shared" si="9"/>
        <v>1758.9464311456315</v>
      </c>
    </row>
    <row r="7" spans="1:38" ht="43.2" x14ac:dyDescent="0.3">
      <c r="A7" s="41" t="s">
        <v>696</v>
      </c>
      <c r="B7" s="41" t="s">
        <v>690</v>
      </c>
      <c r="C7" s="41" t="s">
        <v>650</v>
      </c>
      <c r="D7" s="41" t="s">
        <v>20</v>
      </c>
      <c r="E7" s="41" t="s">
        <v>727</v>
      </c>
      <c r="F7" s="41" t="s">
        <v>716</v>
      </c>
      <c r="G7" s="41">
        <v>39000</v>
      </c>
      <c r="H7" s="41">
        <v>58</v>
      </c>
      <c r="I7" s="41">
        <v>1</v>
      </c>
      <c r="J7" s="67">
        <f t="shared" si="0"/>
        <v>2262000</v>
      </c>
      <c r="K7" s="41">
        <v>0</v>
      </c>
      <c r="L7" s="41">
        <v>0</v>
      </c>
      <c r="M7" s="41">
        <f t="shared" si="1"/>
        <v>0</v>
      </c>
      <c r="N7" s="41">
        <v>0</v>
      </c>
      <c r="O7" s="41">
        <v>0</v>
      </c>
      <c r="P7" s="41">
        <f t="shared" si="2"/>
        <v>0</v>
      </c>
      <c r="Q7" s="41">
        <v>0</v>
      </c>
      <c r="R7" s="41">
        <v>0</v>
      </c>
      <c r="S7" s="41">
        <f t="shared" si="3"/>
        <v>0</v>
      </c>
      <c r="T7" s="41"/>
      <c r="U7" s="41"/>
      <c r="V7" s="41">
        <f t="shared" si="4"/>
        <v>0</v>
      </c>
      <c r="W7" s="41">
        <v>58</v>
      </c>
      <c r="X7" s="41">
        <v>1</v>
      </c>
      <c r="Y7" s="41">
        <f t="shared" si="5"/>
        <v>3642973.620000001</v>
      </c>
      <c r="Z7" s="41">
        <v>0</v>
      </c>
      <c r="AA7" s="41">
        <v>0</v>
      </c>
      <c r="AB7" s="41">
        <f t="shared" si="6"/>
        <v>0</v>
      </c>
      <c r="AC7" s="41">
        <v>0</v>
      </c>
      <c r="AD7" s="41">
        <v>0</v>
      </c>
      <c r="AE7" s="41">
        <f t="shared" si="7"/>
        <v>0</v>
      </c>
      <c r="AF7" s="28">
        <f t="shared" si="8"/>
        <v>5904973.620000001</v>
      </c>
      <c r="AG7" s="28">
        <f t="shared" si="9"/>
        <v>5732.9840970873793</v>
      </c>
    </row>
    <row r="8" spans="1:38" ht="43.2" x14ac:dyDescent="0.3">
      <c r="A8" s="41" t="s">
        <v>696</v>
      </c>
      <c r="B8" s="41" t="s">
        <v>690</v>
      </c>
      <c r="C8" s="41" t="s">
        <v>650</v>
      </c>
      <c r="D8" s="41" t="s">
        <v>21</v>
      </c>
      <c r="E8" s="41" t="s">
        <v>728</v>
      </c>
      <c r="F8" s="41" t="s">
        <v>709</v>
      </c>
      <c r="G8" s="41">
        <v>35000</v>
      </c>
      <c r="H8" s="41">
        <v>30</v>
      </c>
      <c r="I8" s="42">
        <v>1</v>
      </c>
      <c r="J8" s="67">
        <f>$G8*H8*I8</f>
        <v>1050000</v>
      </c>
      <c r="K8" s="41">
        <v>0</v>
      </c>
      <c r="L8" s="41">
        <v>0</v>
      </c>
      <c r="M8" s="41">
        <f t="shared" si="1"/>
        <v>0</v>
      </c>
      <c r="N8" s="41">
        <v>0</v>
      </c>
      <c r="O8" s="41">
        <v>0</v>
      </c>
      <c r="P8" s="41">
        <f t="shared" si="2"/>
        <v>0</v>
      </c>
      <c r="Q8" s="41">
        <v>0</v>
      </c>
      <c r="R8" s="41">
        <v>0</v>
      </c>
      <c r="S8" s="41">
        <f t="shared" si="3"/>
        <v>0</v>
      </c>
      <c r="T8" s="41"/>
      <c r="U8" s="41"/>
      <c r="V8" s="41">
        <f t="shared" si="4"/>
        <v>0</v>
      </c>
      <c r="W8" s="41">
        <v>30</v>
      </c>
      <c r="X8" s="42">
        <v>1</v>
      </c>
      <c r="Y8" s="41">
        <f t="shared" si="5"/>
        <v>1691035.5000000007</v>
      </c>
      <c r="Z8" s="41">
        <v>0</v>
      </c>
      <c r="AA8" s="41">
        <v>0</v>
      </c>
      <c r="AB8" s="41">
        <f t="shared" si="6"/>
        <v>0</v>
      </c>
      <c r="AC8" s="41">
        <v>0</v>
      </c>
      <c r="AD8" s="41">
        <v>0</v>
      </c>
      <c r="AE8" s="41">
        <f t="shared" si="7"/>
        <v>0</v>
      </c>
      <c r="AF8" s="28">
        <f t="shared" si="8"/>
        <v>2741035.5000000009</v>
      </c>
      <c r="AG8" s="28">
        <f t="shared" si="9"/>
        <v>2661.1995145631076</v>
      </c>
    </row>
    <row r="9" spans="1:38" ht="43.2" x14ac:dyDescent="0.3">
      <c r="A9" s="41" t="s">
        <v>696</v>
      </c>
      <c r="B9" s="41" t="s">
        <v>690</v>
      </c>
      <c r="C9" s="41" t="s">
        <v>650</v>
      </c>
      <c r="D9" s="41" t="s">
        <v>22</v>
      </c>
      <c r="E9" s="41" t="s">
        <v>251</v>
      </c>
      <c r="F9" s="41" t="s">
        <v>709</v>
      </c>
      <c r="G9" s="41">
        <v>35000</v>
      </c>
      <c r="H9" s="41">
        <v>15</v>
      </c>
      <c r="I9" s="41">
        <v>4</v>
      </c>
      <c r="J9" s="67">
        <f t="shared" si="0"/>
        <v>2100000</v>
      </c>
      <c r="K9" s="41">
        <v>15</v>
      </c>
      <c r="L9" s="41">
        <v>4</v>
      </c>
      <c r="M9" s="41">
        <f t="shared" si="1"/>
        <v>2310000</v>
      </c>
      <c r="N9" s="41">
        <v>15</v>
      </c>
      <c r="O9" s="41">
        <v>4</v>
      </c>
      <c r="P9" s="41">
        <f t="shared" si="2"/>
        <v>2541000.0000000005</v>
      </c>
      <c r="Q9" s="41">
        <v>15</v>
      </c>
      <c r="R9" s="41">
        <v>4</v>
      </c>
      <c r="S9" s="41">
        <f t="shared" si="3"/>
        <v>2795100.0000000009</v>
      </c>
      <c r="T9" s="41">
        <v>15</v>
      </c>
      <c r="U9" s="41">
        <v>4</v>
      </c>
      <c r="V9" s="41">
        <f t="shared" si="4"/>
        <v>3074610.0000000009</v>
      </c>
      <c r="W9" s="41">
        <v>15</v>
      </c>
      <c r="X9" s="41">
        <v>4</v>
      </c>
      <c r="Y9" s="41">
        <f t="shared" si="5"/>
        <v>3382071.0000000014</v>
      </c>
      <c r="Z9" s="41">
        <v>15</v>
      </c>
      <c r="AA9" s="41">
        <v>4</v>
      </c>
      <c r="AB9" s="41">
        <f t="shared" si="6"/>
        <v>3720278.100000002</v>
      </c>
      <c r="AC9" s="41">
        <v>15</v>
      </c>
      <c r="AD9" s="41">
        <v>4</v>
      </c>
      <c r="AE9" s="41">
        <f t="shared" si="7"/>
        <v>4092305.910000002</v>
      </c>
      <c r="AF9" s="28">
        <f t="shared" si="8"/>
        <v>24015365.010000005</v>
      </c>
      <c r="AG9" s="28">
        <f t="shared" si="9"/>
        <v>23315.888359223307</v>
      </c>
    </row>
    <row r="10" spans="1:38" ht="43.2" x14ac:dyDescent="0.3">
      <c r="A10" s="41" t="s">
        <v>696</v>
      </c>
      <c r="B10" s="41" t="s">
        <v>690</v>
      </c>
      <c r="C10" s="41" t="s">
        <v>650</v>
      </c>
      <c r="D10" s="41" t="s">
        <v>22</v>
      </c>
      <c r="E10" s="41" t="s">
        <v>251</v>
      </c>
      <c r="F10" s="41" t="s">
        <v>716</v>
      </c>
      <c r="G10" s="41">
        <v>39000</v>
      </c>
      <c r="H10" s="41">
        <v>15</v>
      </c>
      <c r="I10" s="41">
        <v>12</v>
      </c>
      <c r="J10" s="67">
        <f t="shared" si="0"/>
        <v>7020000</v>
      </c>
      <c r="K10" s="41">
        <v>15</v>
      </c>
      <c r="L10" s="41">
        <v>12</v>
      </c>
      <c r="M10" s="41">
        <f t="shared" si="1"/>
        <v>7722000</v>
      </c>
      <c r="N10" s="41">
        <v>15</v>
      </c>
      <c r="O10" s="41">
        <v>12</v>
      </c>
      <c r="P10" s="41">
        <f t="shared" si="2"/>
        <v>8494200.0000000019</v>
      </c>
      <c r="Q10" s="41">
        <v>15</v>
      </c>
      <c r="R10" s="41">
        <v>12</v>
      </c>
      <c r="S10" s="41">
        <f t="shared" si="3"/>
        <v>9343620.0000000037</v>
      </c>
      <c r="T10" s="41">
        <v>15</v>
      </c>
      <c r="U10" s="41">
        <v>12</v>
      </c>
      <c r="V10" s="41">
        <f t="shared" si="4"/>
        <v>10277982.000000004</v>
      </c>
      <c r="W10" s="41">
        <v>15</v>
      </c>
      <c r="X10" s="41">
        <v>12</v>
      </c>
      <c r="Y10" s="41">
        <f t="shared" si="5"/>
        <v>11305780.200000003</v>
      </c>
      <c r="Z10" s="41">
        <v>15</v>
      </c>
      <c r="AA10" s="41">
        <v>12</v>
      </c>
      <c r="AB10" s="41">
        <f t="shared" si="6"/>
        <v>12436358.220000004</v>
      </c>
      <c r="AC10" s="41">
        <v>15</v>
      </c>
      <c r="AD10" s="41">
        <v>12</v>
      </c>
      <c r="AE10" s="41">
        <f t="shared" si="7"/>
        <v>13679994.042000007</v>
      </c>
      <c r="AF10" s="28">
        <f t="shared" si="8"/>
        <v>80279934.462000027</v>
      </c>
      <c r="AG10" s="28">
        <f t="shared" si="9"/>
        <v>77941.68394368935</v>
      </c>
    </row>
    <row r="11" spans="1:38" ht="43.2" x14ac:dyDescent="0.3">
      <c r="A11" s="41" t="s">
        <v>696</v>
      </c>
      <c r="B11" s="41" t="s">
        <v>690</v>
      </c>
      <c r="C11" s="41" t="s">
        <v>650</v>
      </c>
      <c r="D11" s="41" t="s">
        <v>22</v>
      </c>
      <c r="E11" s="41" t="s">
        <v>251</v>
      </c>
      <c r="F11" s="41" t="s">
        <v>712</v>
      </c>
      <c r="G11" s="41">
        <f>1999.2/7</f>
        <v>285.60000000000002</v>
      </c>
      <c r="H11" s="41">
        <v>4000</v>
      </c>
      <c r="I11" s="41">
        <v>4</v>
      </c>
      <c r="J11" s="67">
        <f t="shared" si="0"/>
        <v>4569600</v>
      </c>
      <c r="K11" s="41">
        <v>4000</v>
      </c>
      <c r="L11" s="41">
        <v>4</v>
      </c>
      <c r="M11" s="41">
        <f t="shared" si="1"/>
        <v>5026560</v>
      </c>
      <c r="N11" s="41">
        <v>4000</v>
      </c>
      <c r="O11" s="41">
        <v>4</v>
      </c>
      <c r="P11" s="41">
        <f t="shared" si="2"/>
        <v>5529216.0000000009</v>
      </c>
      <c r="Q11" s="41">
        <v>4000</v>
      </c>
      <c r="R11" s="41">
        <v>4</v>
      </c>
      <c r="S11" s="41">
        <f t="shared" si="3"/>
        <v>6082137.6000000024</v>
      </c>
      <c r="T11" s="41">
        <v>4000</v>
      </c>
      <c r="U11" s="41">
        <v>4</v>
      </c>
      <c r="V11" s="41">
        <f t="shared" si="4"/>
        <v>6690351.3600000022</v>
      </c>
      <c r="W11" s="41">
        <v>4000</v>
      </c>
      <c r="X11" s="41">
        <v>4</v>
      </c>
      <c r="Y11" s="41">
        <f t="shared" si="5"/>
        <v>7359386.4960000031</v>
      </c>
      <c r="Z11" s="41">
        <v>4000</v>
      </c>
      <c r="AA11" s="41">
        <v>4</v>
      </c>
      <c r="AB11" s="41">
        <f t="shared" si="6"/>
        <v>8095325.1456000041</v>
      </c>
      <c r="AC11" s="41">
        <v>4000</v>
      </c>
      <c r="AD11" s="41">
        <v>4</v>
      </c>
      <c r="AE11" s="41">
        <f t="shared" si="7"/>
        <v>8904857.660160007</v>
      </c>
      <c r="AF11" s="28">
        <f t="shared" si="8"/>
        <v>52257434.261760019</v>
      </c>
      <c r="AG11" s="28">
        <f t="shared" si="9"/>
        <v>50735.37306966992</v>
      </c>
    </row>
    <row r="12" spans="1:38" x14ac:dyDescent="0.3">
      <c r="A12" s="41"/>
      <c r="B12" s="41"/>
      <c r="C12" s="41"/>
      <c r="D12" s="41"/>
      <c r="E12" s="41"/>
      <c r="F12" s="41" t="s">
        <v>1336</v>
      </c>
      <c r="G12" s="41">
        <f>1999.2/7</f>
        <v>285.60000000000002</v>
      </c>
      <c r="H12" s="41">
        <f>2*135*9</f>
        <v>2430</v>
      </c>
      <c r="I12" s="41">
        <v>4</v>
      </c>
      <c r="J12" s="67">
        <f t="shared" si="0"/>
        <v>2776032</v>
      </c>
      <c r="K12" s="41">
        <f>2*135*9</f>
        <v>2430</v>
      </c>
      <c r="L12" s="41">
        <v>4</v>
      </c>
      <c r="M12" s="41">
        <f t="shared" si="1"/>
        <v>3053635.2</v>
      </c>
      <c r="N12" s="41">
        <f>2*135*9</f>
        <v>2430</v>
      </c>
      <c r="O12" s="41">
        <v>4</v>
      </c>
      <c r="P12" s="41">
        <f t="shared" si="2"/>
        <v>3358998.7200000007</v>
      </c>
      <c r="Q12" s="41">
        <f>2*135*9</f>
        <v>2430</v>
      </c>
      <c r="R12" s="41">
        <v>4</v>
      </c>
      <c r="S12" s="41">
        <f t="shared" si="3"/>
        <v>3694898.5920000016</v>
      </c>
      <c r="T12" s="41">
        <f>2*135*9</f>
        <v>2430</v>
      </c>
      <c r="U12" s="41">
        <v>4</v>
      </c>
      <c r="V12" s="41">
        <f t="shared" si="4"/>
        <v>4064388.4512000014</v>
      </c>
      <c r="W12" s="41">
        <f>2*135*9</f>
        <v>2430</v>
      </c>
      <c r="X12" s="41">
        <v>4</v>
      </c>
      <c r="Y12" s="41">
        <f t="shared" si="5"/>
        <v>4470827.2963200016</v>
      </c>
      <c r="Z12" s="41">
        <f>2*135*9</f>
        <v>2430</v>
      </c>
      <c r="AA12" s="41">
        <v>4</v>
      </c>
      <c r="AB12" s="41">
        <f t="shared" si="6"/>
        <v>4917910.025952003</v>
      </c>
      <c r="AC12" s="41">
        <f>2*135*9</f>
        <v>2430</v>
      </c>
      <c r="AD12" s="41">
        <v>4</v>
      </c>
      <c r="AE12" s="41">
        <f t="shared" si="7"/>
        <v>5409701.0285472041</v>
      </c>
      <c r="AF12" s="28">
        <f t="shared" si="8"/>
        <v>31746391.314019218</v>
      </c>
      <c r="AG12" s="28">
        <f t="shared" si="9"/>
        <v>30821.739139824484</v>
      </c>
    </row>
    <row r="13" spans="1:38" ht="43.2" x14ac:dyDescent="0.3">
      <c r="A13" s="41" t="s">
        <v>696</v>
      </c>
      <c r="B13" s="41" t="s">
        <v>690</v>
      </c>
      <c r="C13" s="41" t="s">
        <v>650</v>
      </c>
      <c r="D13" s="41" t="s">
        <v>22</v>
      </c>
      <c r="E13" s="41" t="s">
        <v>252</v>
      </c>
      <c r="F13" s="41" t="s">
        <v>716</v>
      </c>
      <c r="G13" s="41">
        <v>39000</v>
      </c>
      <c r="H13" s="41">
        <v>50</v>
      </c>
      <c r="I13" s="41">
        <v>3</v>
      </c>
      <c r="J13" s="67">
        <f t="shared" si="0"/>
        <v>5850000</v>
      </c>
      <c r="K13" s="41">
        <v>50</v>
      </c>
      <c r="L13" s="41">
        <v>3</v>
      </c>
      <c r="M13" s="41">
        <f t="shared" si="1"/>
        <v>6435000</v>
      </c>
      <c r="N13" s="41">
        <v>50</v>
      </c>
      <c r="O13" s="41">
        <v>3</v>
      </c>
      <c r="P13" s="41">
        <f t="shared" si="2"/>
        <v>7078500.0000000019</v>
      </c>
      <c r="Q13" s="41">
        <v>50</v>
      </c>
      <c r="R13" s="41">
        <v>3</v>
      </c>
      <c r="S13" s="41">
        <f t="shared" si="3"/>
        <v>7786350.0000000028</v>
      </c>
      <c r="T13" s="41">
        <v>50</v>
      </c>
      <c r="U13" s="41">
        <v>3</v>
      </c>
      <c r="V13" s="41">
        <f t="shared" si="4"/>
        <v>8564985.0000000037</v>
      </c>
      <c r="W13" s="41">
        <v>50</v>
      </c>
      <c r="X13" s="41">
        <v>3</v>
      </c>
      <c r="Y13" s="41">
        <f t="shared" si="5"/>
        <v>9421483.5000000037</v>
      </c>
      <c r="Z13" s="41">
        <v>50</v>
      </c>
      <c r="AA13" s="41">
        <v>3</v>
      </c>
      <c r="AB13" s="41">
        <f t="shared" si="6"/>
        <v>10363631.850000005</v>
      </c>
      <c r="AC13" s="41">
        <v>50</v>
      </c>
      <c r="AD13" s="41">
        <v>3</v>
      </c>
      <c r="AE13" s="41">
        <f t="shared" si="7"/>
        <v>11399995.035000006</v>
      </c>
      <c r="AF13" s="28">
        <f t="shared" si="8"/>
        <v>66899945.385000028</v>
      </c>
      <c r="AG13" s="28">
        <f t="shared" si="9"/>
        <v>64951.403286407796</v>
      </c>
    </row>
    <row r="14" spans="1:38" ht="43.2" x14ac:dyDescent="0.3">
      <c r="A14" s="41" t="s">
        <v>696</v>
      </c>
      <c r="B14" s="41" t="s">
        <v>690</v>
      </c>
      <c r="C14" s="41" t="s">
        <v>650</v>
      </c>
      <c r="D14" s="41" t="s">
        <v>22</v>
      </c>
      <c r="E14" s="41" t="s">
        <v>252</v>
      </c>
      <c r="F14" s="41" t="s">
        <v>712</v>
      </c>
      <c r="G14" s="41">
        <f>1999.2/7</f>
        <v>285.60000000000002</v>
      </c>
      <c r="H14" s="41">
        <f>2*25*10</f>
        <v>500</v>
      </c>
      <c r="I14" s="41">
        <v>1</v>
      </c>
      <c r="J14" s="67">
        <f t="shared" si="0"/>
        <v>142800</v>
      </c>
      <c r="K14" s="41">
        <f>2*25*10</f>
        <v>500</v>
      </c>
      <c r="L14" s="41">
        <v>1</v>
      </c>
      <c r="M14" s="41">
        <f t="shared" si="1"/>
        <v>157080</v>
      </c>
      <c r="N14" s="41">
        <f>2*25*10</f>
        <v>500</v>
      </c>
      <c r="O14" s="41">
        <v>1</v>
      </c>
      <c r="P14" s="41">
        <f t="shared" si="2"/>
        <v>172788.00000000003</v>
      </c>
      <c r="Q14" s="41">
        <f>2*25*10</f>
        <v>500</v>
      </c>
      <c r="R14" s="41">
        <v>1</v>
      </c>
      <c r="S14" s="41">
        <f t="shared" si="3"/>
        <v>190066.80000000008</v>
      </c>
      <c r="T14" s="41">
        <f>2*25*10</f>
        <v>500</v>
      </c>
      <c r="U14" s="41">
        <v>1</v>
      </c>
      <c r="V14" s="41">
        <f t="shared" si="4"/>
        <v>209073.48000000007</v>
      </c>
      <c r="W14" s="41">
        <f>2*25*10</f>
        <v>500</v>
      </c>
      <c r="X14" s="41">
        <v>1</v>
      </c>
      <c r="Y14" s="41">
        <f t="shared" si="5"/>
        <v>229980.8280000001</v>
      </c>
      <c r="Z14" s="41">
        <f>2*25*10</f>
        <v>500</v>
      </c>
      <c r="AA14" s="41">
        <v>1</v>
      </c>
      <c r="AB14" s="41">
        <f t="shared" si="6"/>
        <v>252978.91080000013</v>
      </c>
      <c r="AC14" s="41">
        <f>2*25*10</f>
        <v>500</v>
      </c>
      <c r="AD14" s="41">
        <v>1</v>
      </c>
      <c r="AE14" s="41">
        <f t="shared" si="7"/>
        <v>278276.80188000022</v>
      </c>
      <c r="AF14" s="28">
        <f t="shared" si="8"/>
        <v>1633044.8206800006</v>
      </c>
      <c r="AG14" s="28">
        <f t="shared" si="9"/>
        <v>1585.480408427185</v>
      </c>
    </row>
    <row r="15" spans="1:38" x14ac:dyDescent="0.3">
      <c r="A15" s="41"/>
      <c r="B15" s="41"/>
      <c r="C15" s="41"/>
      <c r="D15" s="41"/>
      <c r="E15" s="41"/>
      <c r="F15" s="41" t="s">
        <v>1336</v>
      </c>
      <c r="G15" s="41">
        <f>1999.2/7</f>
        <v>285.60000000000002</v>
      </c>
      <c r="H15" s="41">
        <f>2*135*10</f>
        <v>2700</v>
      </c>
      <c r="I15" s="41">
        <v>1</v>
      </c>
      <c r="J15" s="67">
        <f t="shared" si="0"/>
        <v>771120.00000000012</v>
      </c>
      <c r="K15" s="41">
        <f>2*135*10</f>
        <v>2700</v>
      </c>
      <c r="L15" s="41">
        <v>1</v>
      </c>
      <c r="M15" s="41">
        <f t="shared" si="1"/>
        <v>848232.00000000012</v>
      </c>
      <c r="N15" s="41">
        <f>2*135*10</f>
        <v>2700</v>
      </c>
      <c r="O15" s="41">
        <v>1</v>
      </c>
      <c r="P15" s="41">
        <f t="shared" si="2"/>
        <v>933055.20000000019</v>
      </c>
      <c r="Q15" s="41">
        <f>2*135*10</f>
        <v>2700</v>
      </c>
      <c r="R15" s="41">
        <v>1</v>
      </c>
      <c r="S15" s="41">
        <f t="shared" si="3"/>
        <v>1026360.7200000004</v>
      </c>
      <c r="T15" s="41">
        <f>2*135*10</f>
        <v>2700</v>
      </c>
      <c r="U15" s="41">
        <v>1</v>
      </c>
      <c r="V15" s="41">
        <f t="shared" si="4"/>
        <v>1128996.7920000004</v>
      </c>
      <c r="W15" s="41">
        <f>2*135*10</f>
        <v>2700</v>
      </c>
      <c r="X15" s="41">
        <v>1</v>
      </c>
      <c r="Y15" s="41">
        <f t="shared" si="5"/>
        <v>1241896.4712000005</v>
      </c>
      <c r="Z15" s="41">
        <f>2*135*10</f>
        <v>2700</v>
      </c>
      <c r="AA15" s="41">
        <v>1</v>
      </c>
      <c r="AB15" s="41">
        <f t="shared" si="6"/>
        <v>1366086.1183200008</v>
      </c>
      <c r="AC15" s="41">
        <f>2*135*10</f>
        <v>2700</v>
      </c>
      <c r="AD15" s="41">
        <v>1</v>
      </c>
      <c r="AE15" s="41">
        <f t="shared" si="7"/>
        <v>1502694.7301520011</v>
      </c>
      <c r="AF15" s="28">
        <f t="shared" si="8"/>
        <v>8818442.0316720046</v>
      </c>
      <c r="AG15" s="28">
        <f t="shared" si="9"/>
        <v>8561.5942055068008</v>
      </c>
    </row>
    <row r="16" spans="1:38" ht="43.2" x14ac:dyDescent="0.3">
      <c r="A16" s="41" t="s">
        <v>696</v>
      </c>
      <c r="B16" s="41" t="s">
        <v>690</v>
      </c>
      <c r="C16" s="41" t="s">
        <v>650</v>
      </c>
      <c r="D16" s="41" t="s">
        <v>22</v>
      </c>
      <c r="E16" s="41" t="s">
        <v>252</v>
      </c>
      <c r="F16" s="41" t="s">
        <v>709</v>
      </c>
      <c r="G16" s="41">
        <v>35000</v>
      </c>
      <c r="H16" s="41">
        <v>50</v>
      </c>
      <c r="I16" s="41">
        <v>3</v>
      </c>
      <c r="J16" s="67">
        <f t="shared" si="0"/>
        <v>5250000</v>
      </c>
      <c r="K16" s="41">
        <v>50</v>
      </c>
      <c r="L16" s="41">
        <v>3</v>
      </c>
      <c r="M16" s="41">
        <f t="shared" si="1"/>
        <v>5775000</v>
      </c>
      <c r="N16" s="41">
        <v>50</v>
      </c>
      <c r="O16" s="41">
        <v>3</v>
      </c>
      <c r="P16" s="41">
        <f t="shared" si="2"/>
        <v>6352500.0000000019</v>
      </c>
      <c r="Q16" s="41">
        <v>50</v>
      </c>
      <c r="R16" s="41">
        <v>3</v>
      </c>
      <c r="S16" s="41">
        <f t="shared" si="3"/>
        <v>6987750.0000000028</v>
      </c>
      <c r="T16" s="41">
        <v>50</v>
      </c>
      <c r="U16" s="41">
        <v>3</v>
      </c>
      <c r="V16" s="41">
        <f t="shared" si="4"/>
        <v>7686525.0000000028</v>
      </c>
      <c r="W16" s="41">
        <v>50</v>
      </c>
      <c r="X16" s="41">
        <v>3</v>
      </c>
      <c r="Y16" s="41">
        <f t="shared" si="5"/>
        <v>8455177.5000000037</v>
      </c>
      <c r="Z16" s="41">
        <v>50</v>
      </c>
      <c r="AA16" s="41">
        <v>3</v>
      </c>
      <c r="AB16" s="41">
        <f t="shared" si="6"/>
        <v>9300695.2500000037</v>
      </c>
      <c r="AC16" s="41">
        <v>50</v>
      </c>
      <c r="AD16" s="41">
        <v>3</v>
      </c>
      <c r="AE16" s="41">
        <f t="shared" si="7"/>
        <v>10230764.775000006</v>
      </c>
      <c r="AF16" s="28">
        <f t="shared" si="8"/>
        <v>60038412.525000021</v>
      </c>
      <c r="AG16" s="28">
        <f t="shared" si="9"/>
        <v>58289.720898058273</v>
      </c>
    </row>
    <row r="17" spans="1:33" x14ac:dyDescent="0.3">
      <c r="A17" s="41"/>
      <c r="B17" s="41"/>
      <c r="C17" s="41"/>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28">
        <f t="shared" si="8"/>
        <v>0</v>
      </c>
      <c r="AG17" s="28">
        <f t="shared" si="9"/>
        <v>0</v>
      </c>
    </row>
    <row r="18" spans="1:33" x14ac:dyDescent="0.3">
      <c r="A18" s="41"/>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28">
        <f t="shared" si="8"/>
        <v>0</v>
      </c>
      <c r="AG18" s="28">
        <f t="shared" si="9"/>
        <v>0</v>
      </c>
    </row>
    <row r="19" spans="1:33" ht="43.2" x14ac:dyDescent="0.3">
      <c r="A19" s="41" t="s">
        <v>696</v>
      </c>
      <c r="B19" s="41" t="s">
        <v>690</v>
      </c>
      <c r="C19" s="41" t="s">
        <v>651</v>
      </c>
      <c r="D19" s="41" t="s">
        <v>23</v>
      </c>
      <c r="E19" s="41" t="s">
        <v>253</v>
      </c>
      <c r="F19" s="41" t="s">
        <v>718</v>
      </c>
      <c r="G19" s="41">
        <v>0</v>
      </c>
      <c r="J19" s="67">
        <f>$G19*K19*L19</f>
        <v>0</v>
      </c>
      <c r="K19" s="41">
        <v>0</v>
      </c>
      <c r="L19" s="41">
        <v>0</v>
      </c>
      <c r="M19" s="41">
        <f>($G19*1.1^1)*K19*L19</f>
        <v>0</v>
      </c>
      <c r="N19" s="41">
        <v>0</v>
      </c>
      <c r="O19" s="41">
        <v>0</v>
      </c>
      <c r="P19" s="41">
        <f>($G19*1.1^2)*N19*O19</f>
        <v>0</v>
      </c>
      <c r="Q19" s="41">
        <v>0</v>
      </c>
      <c r="R19" s="41">
        <v>0</v>
      </c>
      <c r="S19" s="41">
        <f>($G19*1.1^3)*Q19*R19</f>
        <v>0</v>
      </c>
      <c r="T19" s="41">
        <v>0</v>
      </c>
      <c r="U19" s="41">
        <v>0</v>
      </c>
      <c r="V19" s="41">
        <f>($G19*1.1^4)*T19*U19</f>
        <v>0</v>
      </c>
      <c r="W19" s="41">
        <v>0</v>
      </c>
      <c r="X19" s="41">
        <v>0</v>
      </c>
      <c r="Y19" s="41">
        <f>($G19*1.1^5)*W19*X19</f>
        <v>0</v>
      </c>
      <c r="Z19" s="41">
        <v>0</v>
      </c>
      <c r="AA19" s="41">
        <v>0</v>
      </c>
      <c r="AB19" s="41">
        <f>($G19*1.1^6)*Z19*AA19</f>
        <v>0</v>
      </c>
      <c r="AC19" s="41">
        <v>0</v>
      </c>
      <c r="AD19" s="41">
        <v>0</v>
      </c>
      <c r="AE19" s="41">
        <f>($G19*1.1^7)*AC19*AD19</f>
        <v>0</v>
      </c>
      <c r="AF19" s="28">
        <f t="shared" si="8"/>
        <v>0</v>
      </c>
      <c r="AG19" s="28">
        <f t="shared" si="9"/>
        <v>0</v>
      </c>
    </row>
    <row r="20" spans="1:33" ht="43.2" x14ac:dyDescent="0.3">
      <c r="A20" s="41" t="s">
        <v>696</v>
      </c>
      <c r="B20" s="41" t="s">
        <v>690</v>
      </c>
      <c r="C20" s="41" t="s">
        <v>651</v>
      </c>
      <c r="D20" s="41" t="s">
        <v>23</v>
      </c>
      <c r="E20" s="41" t="s">
        <v>214</v>
      </c>
      <c r="F20" s="41" t="s">
        <v>718</v>
      </c>
      <c r="G20" s="41">
        <v>0</v>
      </c>
      <c r="J20" s="41">
        <v>0</v>
      </c>
      <c r="K20" s="41">
        <v>0</v>
      </c>
      <c r="L20" s="41">
        <v>0</v>
      </c>
      <c r="M20" s="41">
        <f t="shared" ref="M20:M43" si="10">($G20*1.1^1)*K20*L20</f>
        <v>0</v>
      </c>
      <c r="N20" s="41">
        <v>0</v>
      </c>
      <c r="O20" s="41">
        <v>0</v>
      </c>
      <c r="P20" s="41">
        <v>0</v>
      </c>
      <c r="Q20" s="41">
        <v>0</v>
      </c>
      <c r="R20" s="41">
        <v>0</v>
      </c>
      <c r="S20" s="41">
        <v>0</v>
      </c>
      <c r="T20" s="41">
        <v>0</v>
      </c>
      <c r="U20" s="41">
        <v>0</v>
      </c>
      <c r="V20" s="41">
        <v>0</v>
      </c>
      <c r="W20" s="41">
        <v>0</v>
      </c>
      <c r="X20" s="41">
        <v>0</v>
      </c>
      <c r="Y20" s="41">
        <v>0</v>
      </c>
      <c r="Z20" s="41">
        <v>0</v>
      </c>
      <c r="AA20" s="41">
        <v>0</v>
      </c>
      <c r="AB20" s="41">
        <f t="shared" ref="AB20:AB43" si="11">($G20*1.1^6)*Z20*AA20</f>
        <v>0</v>
      </c>
      <c r="AC20" s="41">
        <v>0</v>
      </c>
      <c r="AD20" s="41">
        <v>0</v>
      </c>
      <c r="AE20" s="41">
        <v>0</v>
      </c>
      <c r="AF20" s="28">
        <f t="shared" si="8"/>
        <v>0</v>
      </c>
      <c r="AG20" s="28">
        <f t="shared" si="9"/>
        <v>0</v>
      </c>
    </row>
    <row r="21" spans="1:33" ht="43.2" x14ac:dyDescent="0.3">
      <c r="A21" s="41" t="s">
        <v>696</v>
      </c>
      <c r="B21" s="41" t="s">
        <v>690</v>
      </c>
      <c r="C21" s="41" t="s">
        <v>651</v>
      </c>
      <c r="D21" s="41" t="s">
        <v>23</v>
      </c>
      <c r="E21" s="41" t="s">
        <v>254</v>
      </c>
      <c r="F21" s="41" t="s">
        <v>716</v>
      </c>
      <c r="G21" s="41">
        <v>39000</v>
      </c>
      <c r="J21" s="41">
        <v>2340000</v>
      </c>
      <c r="K21" s="41">
        <v>20</v>
      </c>
      <c r="L21" s="41">
        <v>3</v>
      </c>
      <c r="M21" s="41">
        <f t="shared" si="10"/>
        <v>2574000</v>
      </c>
      <c r="N21" s="41">
        <v>0</v>
      </c>
      <c r="O21" s="41">
        <v>0</v>
      </c>
      <c r="P21" s="41">
        <v>0</v>
      </c>
      <c r="Q21" s="41">
        <v>0</v>
      </c>
      <c r="R21" s="41">
        <v>0</v>
      </c>
      <c r="S21" s="41">
        <v>0</v>
      </c>
      <c r="T21" s="41">
        <v>0</v>
      </c>
      <c r="U21" s="41">
        <v>0</v>
      </c>
      <c r="V21" s="41">
        <v>0</v>
      </c>
      <c r="W21" s="41">
        <v>0</v>
      </c>
      <c r="X21" s="41">
        <v>0</v>
      </c>
      <c r="Y21" s="41">
        <v>0</v>
      </c>
      <c r="Z21" s="41">
        <v>20</v>
      </c>
      <c r="AA21" s="41">
        <v>3</v>
      </c>
      <c r="AB21" s="41">
        <f>($G21*1.1^6)*Z21*AA21</f>
        <v>4145452.7400000016</v>
      </c>
      <c r="AC21" s="41">
        <v>0</v>
      </c>
      <c r="AD21" s="41">
        <v>0</v>
      </c>
      <c r="AE21" s="41">
        <v>0</v>
      </c>
      <c r="AF21" s="28">
        <f t="shared" si="8"/>
        <v>9059452.7400000021</v>
      </c>
      <c r="AG21" s="28">
        <f t="shared" si="9"/>
        <v>8795.585184466021</v>
      </c>
    </row>
    <row r="22" spans="1:33" ht="43.2" x14ac:dyDescent="0.3">
      <c r="A22" s="41" t="s">
        <v>696</v>
      </c>
      <c r="B22" s="41" t="s">
        <v>690</v>
      </c>
      <c r="C22" s="41" t="s">
        <v>651</v>
      </c>
      <c r="D22" s="41" t="s">
        <v>23</v>
      </c>
      <c r="E22" s="41" t="s">
        <v>254</v>
      </c>
      <c r="F22" s="41" t="s">
        <v>709</v>
      </c>
      <c r="G22" s="41">
        <v>35000</v>
      </c>
      <c r="J22" s="41">
        <v>1680000</v>
      </c>
      <c r="K22" s="41">
        <v>20</v>
      </c>
      <c r="L22" s="41">
        <v>3</v>
      </c>
      <c r="M22" s="41">
        <f t="shared" si="10"/>
        <v>2310000</v>
      </c>
      <c r="N22" s="41">
        <v>0</v>
      </c>
      <c r="O22" s="41">
        <v>0</v>
      </c>
      <c r="P22" s="41">
        <v>0</v>
      </c>
      <c r="Q22" s="41">
        <v>0</v>
      </c>
      <c r="R22" s="41">
        <v>0</v>
      </c>
      <c r="S22" s="41">
        <v>0</v>
      </c>
      <c r="T22" s="41">
        <v>0</v>
      </c>
      <c r="U22" s="41">
        <v>0</v>
      </c>
      <c r="V22" s="41">
        <v>0</v>
      </c>
      <c r="W22" s="41">
        <v>0</v>
      </c>
      <c r="X22" s="41">
        <v>0</v>
      </c>
      <c r="Y22" s="41">
        <v>0</v>
      </c>
      <c r="Z22" s="41">
        <v>20</v>
      </c>
      <c r="AA22" s="41">
        <v>3</v>
      </c>
      <c r="AB22" s="41">
        <f t="shared" si="11"/>
        <v>3720278.100000002</v>
      </c>
      <c r="AC22" s="41">
        <v>0</v>
      </c>
      <c r="AD22" s="41">
        <v>0</v>
      </c>
      <c r="AE22" s="41">
        <v>0</v>
      </c>
      <c r="AF22" s="28">
        <f t="shared" si="8"/>
        <v>7710278.1000000015</v>
      </c>
      <c r="AG22" s="28">
        <f t="shared" si="9"/>
        <v>7485.7068932038846</v>
      </c>
    </row>
    <row r="23" spans="1:33" ht="43.2" x14ac:dyDescent="0.3">
      <c r="A23" s="41" t="s">
        <v>696</v>
      </c>
      <c r="B23" s="41" t="s">
        <v>690</v>
      </c>
      <c r="C23" s="41" t="s">
        <v>651</v>
      </c>
      <c r="D23" s="41" t="s">
        <v>23</v>
      </c>
      <c r="E23" s="41" t="s">
        <v>254</v>
      </c>
      <c r="F23" s="41" t="s">
        <v>712</v>
      </c>
      <c r="G23" s="41">
        <f>1999.2/7</f>
        <v>285.60000000000002</v>
      </c>
      <c r="J23" s="41">
        <v>857160</v>
      </c>
      <c r="K23" s="41">
        <f>2*25*9</f>
        <v>450</v>
      </c>
      <c r="L23" s="41">
        <v>3</v>
      </c>
      <c r="M23" s="41">
        <f t="shared" si="10"/>
        <v>424116</v>
      </c>
      <c r="N23" s="41">
        <v>0</v>
      </c>
      <c r="O23" s="41">
        <v>0</v>
      </c>
      <c r="P23" s="41">
        <v>0</v>
      </c>
      <c r="Q23" s="41">
        <v>0</v>
      </c>
      <c r="R23" s="41">
        <v>0</v>
      </c>
      <c r="S23" s="41">
        <v>0</v>
      </c>
      <c r="T23" s="41">
        <v>0</v>
      </c>
      <c r="U23" s="41">
        <v>0</v>
      </c>
      <c r="V23" s="41">
        <v>0</v>
      </c>
      <c r="W23" s="41">
        <v>0</v>
      </c>
      <c r="X23" s="41">
        <v>0</v>
      </c>
      <c r="Y23" s="41">
        <v>0</v>
      </c>
      <c r="Z23" s="41">
        <f>2*25*9</f>
        <v>450</v>
      </c>
      <c r="AA23" s="41">
        <v>3</v>
      </c>
      <c r="AB23" s="41">
        <f t="shared" si="11"/>
        <v>683043.05916000041</v>
      </c>
      <c r="AC23" s="41">
        <v>0</v>
      </c>
      <c r="AD23" s="41">
        <v>0</v>
      </c>
      <c r="AE23" s="41">
        <v>0</v>
      </c>
      <c r="AF23" s="28">
        <f t="shared" si="8"/>
        <v>1964319.0591600004</v>
      </c>
      <c r="AG23" s="28">
        <f t="shared" si="9"/>
        <v>1907.105882679612</v>
      </c>
    </row>
    <row r="24" spans="1:33" x14ac:dyDescent="0.3">
      <c r="A24" s="41"/>
      <c r="B24" s="41"/>
      <c r="C24" s="41"/>
      <c r="D24" s="41"/>
      <c r="E24" s="41"/>
      <c r="F24" s="41" t="s">
        <v>1336</v>
      </c>
      <c r="G24" s="41">
        <f>1999.2/7</f>
        <v>285.60000000000002</v>
      </c>
      <c r="J24" s="41"/>
      <c r="K24" s="41">
        <f>2*135*9</f>
        <v>2430</v>
      </c>
      <c r="L24" s="41">
        <v>1</v>
      </c>
      <c r="M24" s="41">
        <f t="shared" si="10"/>
        <v>763408.8</v>
      </c>
      <c r="N24" s="41"/>
      <c r="O24" s="41"/>
      <c r="P24" s="41"/>
      <c r="Q24" s="41"/>
      <c r="R24" s="41"/>
      <c r="S24" s="41"/>
      <c r="T24" s="41"/>
      <c r="U24" s="41"/>
      <c r="V24" s="41"/>
      <c r="W24" s="41"/>
      <c r="X24" s="41"/>
      <c r="Y24" s="41"/>
      <c r="Z24" s="41">
        <f>2*135*9</f>
        <v>2430</v>
      </c>
      <c r="AA24" s="41">
        <v>1</v>
      </c>
      <c r="AB24" s="41">
        <f t="shared" si="11"/>
        <v>1229477.5064880007</v>
      </c>
      <c r="AC24" s="41"/>
      <c r="AD24" s="41"/>
      <c r="AE24" s="41"/>
      <c r="AF24" s="28">
        <f t="shared" si="8"/>
        <v>1992886.3064880008</v>
      </c>
      <c r="AG24" s="28">
        <f t="shared" si="9"/>
        <v>1934.841074260195</v>
      </c>
    </row>
    <row r="25" spans="1:33" ht="43.2" x14ac:dyDescent="0.3">
      <c r="A25" s="41" t="s">
        <v>696</v>
      </c>
      <c r="B25" s="41" t="s">
        <v>690</v>
      </c>
      <c r="C25" s="41" t="s">
        <v>651</v>
      </c>
      <c r="D25" s="41" t="s">
        <v>23</v>
      </c>
      <c r="E25" s="41" t="s">
        <v>255</v>
      </c>
      <c r="F25" s="41" t="s">
        <v>716</v>
      </c>
      <c r="G25" s="41">
        <v>39000</v>
      </c>
      <c r="J25" s="41">
        <v>2340000</v>
      </c>
      <c r="K25" s="41">
        <v>20</v>
      </c>
      <c r="L25" s="41">
        <v>4</v>
      </c>
      <c r="M25" s="41">
        <f t="shared" si="10"/>
        <v>3432000</v>
      </c>
      <c r="N25" s="41">
        <v>0</v>
      </c>
      <c r="O25" s="41">
        <v>0</v>
      </c>
      <c r="P25" s="41">
        <v>0</v>
      </c>
      <c r="Q25" s="41">
        <v>0</v>
      </c>
      <c r="R25" s="41">
        <v>0</v>
      </c>
      <c r="S25" s="41">
        <v>0</v>
      </c>
      <c r="T25" s="41">
        <v>0</v>
      </c>
      <c r="U25" s="41">
        <v>0</v>
      </c>
      <c r="V25" s="41">
        <v>0</v>
      </c>
      <c r="W25" s="41">
        <v>0</v>
      </c>
      <c r="X25" s="41">
        <v>0</v>
      </c>
      <c r="Y25" s="41">
        <v>0</v>
      </c>
      <c r="Z25" s="41">
        <v>20</v>
      </c>
      <c r="AA25" s="41">
        <v>4</v>
      </c>
      <c r="AB25" s="41">
        <f t="shared" si="11"/>
        <v>5527270.3200000022</v>
      </c>
      <c r="AC25" s="41">
        <v>0</v>
      </c>
      <c r="AD25" s="41">
        <v>0</v>
      </c>
      <c r="AE25" s="41">
        <v>0</v>
      </c>
      <c r="AF25" s="28">
        <f t="shared" si="8"/>
        <v>11299270.320000002</v>
      </c>
      <c r="AG25" s="28">
        <f t="shared" si="9"/>
        <v>10970.165359223303</v>
      </c>
    </row>
    <row r="26" spans="1:33" ht="43.2" x14ac:dyDescent="0.3">
      <c r="A26" s="41" t="s">
        <v>696</v>
      </c>
      <c r="B26" s="41" t="s">
        <v>690</v>
      </c>
      <c r="C26" s="41" t="s">
        <v>651</v>
      </c>
      <c r="D26" s="41" t="s">
        <v>23</v>
      </c>
      <c r="E26" s="41" t="s">
        <v>255</v>
      </c>
      <c r="F26" s="41" t="s">
        <v>709</v>
      </c>
      <c r="G26" s="41">
        <v>35000</v>
      </c>
      <c r="J26" s="41">
        <v>1680000</v>
      </c>
      <c r="K26" s="41">
        <v>20</v>
      </c>
      <c r="L26" s="41">
        <v>3</v>
      </c>
      <c r="M26" s="41">
        <f t="shared" si="10"/>
        <v>2310000</v>
      </c>
      <c r="N26" s="41">
        <v>0</v>
      </c>
      <c r="O26" s="41">
        <v>0</v>
      </c>
      <c r="P26" s="41">
        <v>0</v>
      </c>
      <c r="Q26" s="41">
        <v>0</v>
      </c>
      <c r="R26" s="41">
        <v>0</v>
      </c>
      <c r="S26" s="41">
        <v>0</v>
      </c>
      <c r="T26" s="41">
        <v>0</v>
      </c>
      <c r="U26" s="41">
        <v>0</v>
      </c>
      <c r="V26" s="41">
        <v>0</v>
      </c>
      <c r="W26" s="41">
        <v>0</v>
      </c>
      <c r="X26" s="41">
        <v>0</v>
      </c>
      <c r="Y26" s="41">
        <v>0</v>
      </c>
      <c r="Z26" s="41">
        <v>20</v>
      </c>
      <c r="AA26" s="41">
        <v>3</v>
      </c>
      <c r="AB26" s="41">
        <f t="shared" si="11"/>
        <v>3720278.100000002</v>
      </c>
      <c r="AC26" s="41">
        <v>0</v>
      </c>
      <c r="AD26" s="41">
        <v>0</v>
      </c>
      <c r="AE26" s="41">
        <v>0</v>
      </c>
      <c r="AF26" s="28">
        <f t="shared" si="8"/>
        <v>7710278.1000000015</v>
      </c>
      <c r="AG26" s="28">
        <f t="shared" si="9"/>
        <v>7485.7068932038846</v>
      </c>
    </row>
    <row r="27" spans="1:33" ht="43.2" x14ac:dyDescent="0.3">
      <c r="A27" s="41" t="s">
        <v>696</v>
      </c>
      <c r="B27" s="41" t="s">
        <v>690</v>
      </c>
      <c r="C27" s="41" t="s">
        <v>651</v>
      </c>
      <c r="D27" s="41" t="s">
        <v>23</v>
      </c>
      <c r="E27" s="41" t="s">
        <v>255</v>
      </c>
      <c r="F27" s="41" t="s">
        <v>712</v>
      </c>
      <c r="G27" s="41">
        <f>1999.2/7</f>
        <v>285.60000000000002</v>
      </c>
      <c r="J27" s="41">
        <v>857160</v>
      </c>
      <c r="K27" s="41">
        <f>25*2*9</f>
        <v>450</v>
      </c>
      <c r="L27" s="41">
        <v>3</v>
      </c>
      <c r="M27" s="41">
        <f t="shared" si="10"/>
        <v>424116</v>
      </c>
      <c r="N27" s="41">
        <v>0</v>
      </c>
      <c r="O27" s="41">
        <v>0</v>
      </c>
      <c r="P27" s="41">
        <v>0</v>
      </c>
      <c r="Q27" s="41">
        <v>0</v>
      </c>
      <c r="R27" s="41">
        <v>0</v>
      </c>
      <c r="S27" s="41">
        <v>0</v>
      </c>
      <c r="T27" s="41">
        <v>0</v>
      </c>
      <c r="U27" s="41">
        <v>0</v>
      </c>
      <c r="V27" s="41">
        <v>0</v>
      </c>
      <c r="W27" s="41">
        <v>0</v>
      </c>
      <c r="X27" s="41">
        <v>0</v>
      </c>
      <c r="Y27" s="41">
        <v>0</v>
      </c>
      <c r="Z27" s="41">
        <f>25*2*9</f>
        <v>450</v>
      </c>
      <c r="AA27" s="41">
        <v>3</v>
      </c>
      <c r="AB27" s="41">
        <f t="shared" si="11"/>
        <v>683043.05916000041</v>
      </c>
      <c r="AC27" s="41">
        <v>0</v>
      </c>
      <c r="AD27" s="41">
        <v>0</v>
      </c>
      <c r="AE27" s="41">
        <v>0</v>
      </c>
      <c r="AF27" s="28">
        <f t="shared" si="8"/>
        <v>1964319.0591600004</v>
      </c>
      <c r="AG27" s="28">
        <f t="shared" si="9"/>
        <v>1907.105882679612</v>
      </c>
    </row>
    <row r="28" spans="1:33" x14ac:dyDescent="0.3">
      <c r="A28" s="41"/>
      <c r="B28" s="41"/>
      <c r="C28" s="41"/>
      <c r="D28" s="41"/>
      <c r="E28" s="41"/>
      <c r="F28" s="41" t="s">
        <v>1336</v>
      </c>
      <c r="G28" s="41">
        <f>1999.2/7</f>
        <v>285.60000000000002</v>
      </c>
      <c r="J28" s="41"/>
      <c r="K28" s="41">
        <f>2*135*9</f>
        <v>2430</v>
      </c>
      <c r="L28" s="41">
        <v>1</v>
      </c>
      <c r="M28" s="41">
        <f t="shared" si="10"/>
        <v>763408.8</v>
      </c>
      <c r="N28" s="41"/>
      <c r="O28" s="41"/>
      <c r="P28" s="41"/>
      <c r="Q28" s="41"/>
      <c r="R28" s="41"/>
      <c r="S28" s="41"/>
      <c r="T28" s="41"/>
      <c r="U28" s="41"/>
      <c r="V28" s="41"/>
      <c r="W28" s="41"/>
      <c r="X28" s="41"/>
      <c r="Y28" s="41"/>
      <c r="Z28" s="41">
        <f>2*135*9</f>
        <v>2430</v>
      </c>
      <c r="AA28" s="41">
        <v>1</v>
      </c>
      <c r="AB28" s="41">
        <f t="shared" si="11"/>
        <v>1229477.5064880007</v>
      </c>
      <c r="AC28" s="41"/>
      <c r="AD28" s="41"/>
      <c r="AE28" s="41"/>
      <c r="AF28" s="28">
        <f t="shared" si="8"/>
        <v>1992886.3064880008</v>
      </c>
      <c r="AG28" s="28">
        <f t="shared" si="9"/>
        <v>1934.841074260195</v>
      </c>
    </row>
    <row r="29" spans="1:33" ht="43.2" x14ac:dyDescent="0.3">
      <c r="A29" s="41" t="s">
        <v>696</v>
      </c>
      <c r="B29" s="41" t="s">
        <v>690</v>
      </c>
      <c r="C29" s="41" t="s">
        <v>651</v>
      </c>
      <c r="D29" s="41" t="s">
        <v>23</v>
      </c>
      <c r="E29" s="41" t="s">
        <v>256</v>
      </c>
      <c r="F29" s="41" t="s">
        <v>716</v>
      </c>
      <c r="G29" s="41">
        <v>39000</v>
      </c>
      <c r="J29" s="41">
        <v>5265000</v>
      </c>
      <c r="K29" s="41">
        <v>45</v>
      </c>
      <c r="L29" s="41">
        <v>3</v>
      </c>
      <c r="M29" s="41">
        <f t="shared" si="10"/>
        <v>5791500</v>
      </c>
      <c r="N29" s="41">
        <v>0</v>
      </c>
      <c r="O29" s="41">
        <v>0</v>
      </c>
      <c r="P29" s="41">
        <v>0</v>
      </c>
      <c r="Q29" s="41">
        <v>0</v>
      </c>
      <c r="R29" s="41">
        <v>0</v>
      </c>
      <c r="S29" s="41">
        <v>0</v>
      </c>
      <c r="T29" s="41">
        <v>0</v>
      </c>
      <c r="U29" s="41">
        <v>0</v>
      </c>
      <c r="V29" s="41">
        <v>0</v>
      </c>
      <c r="W29" s="41">
        <v>0</v>
      </c>
      <c r="X29" s="41">
        <v>0</v>
      </c>
      <c r="Y29" s="41">
        <v>0</v>
      </c>
      <c r="Z29" s="41">
        <v>45</v>
      </c>
      <c r="AA29" s="41">
        <v>3</v>
      </c>
      <c r="AB29" s="41">
        <f t="shared" si="11"/>
        <v>9327268.6650000047</v>
      </c>
      <c r="AC29" s="41">
        <v>0</v>
      </c>
      <c r="AD29" s="41">
        <v>0</v>
      </c>
      <c r="AE29" s="41">
        <v>0</v>
      </c>
      <c r="AF29" s="28">
        <f t="shared" si="8"/>
        <v>20383768.665000007</v>
      </c>
      <c r="AG29" s="28">
        <f t="shared" si="9"/>
        <v>19790.066665048551</v>
      </c>
    </row>
    <row r="30" spans="1:33" ht="43.2" x14ac:dyDescent="0.3">
      <c r="A30" s="41" t="s">
        <v>696</v>
      </c>
      <c r="B30" s="41" t="s">
        <v>690</v>
      </c>
      <c r="C30" s="41" t="s">
        <v>651</v>
      </c>
      <c r="D30" s="41" t="s">
        <v>23</v>
      </c>
      <c r="E30" s="41" t="s">
        <v>256</v>
      </c>
      <c r="F30" s="41" t="s">
        <v>709</v>
      </c>
      <c r="G30" s="41">
        <v>35000</v>
      </c>
      <c r="J30" s="41">
        <v>3780000</v>
      </c>
      <c r="K30" s="41">
        <v>45</v>
      </c>
      <c r="L30" s="41">
        <v>3</v>
      </c>
      <c r="M30" s="41">
        <f t="shared" si="10"/>
        <v>5197500</v>
      </c>
      <c r="N30" s="41">
        <v>0</v>
      </c>
      <c r="O30" s="41">
        <v>0</v>
      </c>
      <c r="P30" s="41">
        <v>0</v>
      </c>
      <c r="Q30" s="41">
        <v>0</v>
      </c>
      <c r="R30" s="41">
        <v>0</v>
      </c>
      <c r="S30" s="41">
        <v>0</v>
      </c>
      <c r="T30" s="41">
        <v>0</v>
      </c>
      <c r="U30" s="41">
        <v>0</v>
      </c>
      <c r="V30" s="41">
        <v>0</v>
      </c>
      <c r="W30" s="41">
        <v>0</v>
      </c>
      <c r="X30" s="41">
        <v>0</v>
      </c>
      <c r="Y30" s="41">
        <v>0</v>
      </c>
      <c r="Z30" s="41">
        <v>45</v>
      </c>
      <c r="AA30" s="41">
        <v>3</v>
      </c>
      <c r="AB30" s="41">
        <f t="shared" si="11"/>
        <v>8370625.7250000052</v>
      </c>
      <c r="AC30" s="41">
        <v>0</v>
      </c>
      <c r="AD30" s="41">
        <v>0</v>
      </c>
      <c r="AE30" s="41">
        <v>0</v>
      </c>
      <c r="AF30" s="28">
        <f t="shared" si="8"/>
        <v>17348125.725000005</v>
      </c>
      <c r="AG30" s="28">
        <f t="shared" si="9"/>
        <v>16842.840509708742</v>
      </c>
    </row>
    <row r="31" spans="1:33" ht="43.2" x14ac:dyDescent="0.3">
      <c r="A31" s="41" t="s">
        <v>696</v>
      </c>
      <c r="B31" s="41" t="s">
        <v>690</v>
      </c>
      <c r="C31" s="41" t="s">
        <v>651</v>
      </c>
      <c r="D31" s="41" t="s">
        <v>23</v>
      </c>
      <c r="E31" s="41" t="s">
        <v>256</v>
      </c>
      <c r="F31" s="41" t="s">
        <v>712</v>
      </c>
      <c r="G31" s="41">
        <f>1999.2/7</f>
        <v>285.60000000000002</v>
      </c>
      <c r="J31" s="41">
        <v>1714320</v>
      </c>
      <c r="K31" s="41">
        <f>2*25*9</f>
        <v>450</v>
      </c>
      <c r="L31" s="41">
        <v>3</v>
      </c>
      <c r="M31" s="41">
        <f t="shared" si="10"/>
        <v>424116</v>
      </c>
      <c r="N31" s="41">
        <v>0</v>
      </c>
      <c r="O31" s="41">
        <v>0</v>
      </c>
      <c r="P31" s="41">
        <v>0</v>
      </c>
      <c r="Q31" s="41">
        <v>0</v>
      </c>
      <c r="R31" s="41">
        <v>0</v>
      </c>
      <c r="S31" s="41">
        <v>0</v>
      </c>
      <c r="T31" s="41">
        <v>0</v>
      </c>
      <c r="U31" s="41">
        <v>0</v>
      </c>
      <c r="V31" s="41">
        <v>0</v>
      </c>
      <c r="W31" s="41">
        <v>0</v>
      </c>
      <c r="X31" s="41">
        <v>0</v>
      </c>
      <c r="Y31" s="41">
        <v>0</v>
      </c>
      <c r="Z31" s="41">
        <f>2*25*9</f>
        <v>450</v>
      </c>
      <c r="AA31" s="41">
        <v>3</v>
      </c>
      <c r="AB31" s="41">
        <f t="shared" si="11"/>
        <v>683043.05916000041</v>
      </c>
      <c r="AC31" s="41">
        <v>0</v>
      </c>
      <c r="AD31" s="41">
        <v>0</v>
      </c>
      <c r="AE31" s="41">
        <v>0</v>
      </c>
      <c r="AF31" s="28">
        <f t="shared" si="8"/>
        <v>2821479.0591600006</v>
      </c>
      <c r="AG31" s="28">
        <f t="shared" si="9"/>
        <v>2739.3000574368939</v>
      </c>
    </row>
    <row r="32" spans="1:33" x14ac:dyDescent="0.3">
      <c r="A32" s="41"/>
      <c r="B32" s="41"/>
      <c r="C32" s="41"/>
      <c r="D32" s="41"/>
      <c r="E32" s="41"/>
      <c r="F32" s="41" t="s">
        <v>1336</v>
      </c>
      <c r="G32" s="41">
        <f>1999.2/7</f>
        <v>285.60000000000002</v>
      </c>
      <c r="J32" s="41"/>
      <c r="K32" s="41">
        <f>2*135*9</f>
        <v>2430</v>
      </c>
      <c r="L32" s="41">
        <v>1</v>
      </c>
      <c r="M32" s="41">
        <f t="shared" si="10"/>
        <v>763408.8</v>
      </c>
      <c r="N32" s="41"/>
      <c r="O32" s="41"/>
      <c r="P32" s="41"/>
      <c r="Q32" s="41"/>
      <c r="R32" s="41"/>
      <c r="S32" s="41"/>
      <c r="T32" s="41"/>
      <c r="U32" s="41"/>
      <c r="V32" s="41"/>
      <c r="W32" s="41"/>
      <c r="X32" s="41"/>
      <c r="Y32" s="41"/>
      <c r="Z32" s="41">
        <f>2*135*9</f>
        <v>2430</v>
      </c>
      <c r="AA32" s="41">
        <v>1</v>
      </c>
      <c r="AB32" s="41">
        <f t="shared" si="11"/>
        <v>1229477.5064880007</v>
      </c>
      <c r="AC32" s="41"/>
      <c r="AD32" s="41"/>
      <c r="AE32" s="41"/>
      <c r="AF32" s="28">
        <f t="shared" si="8"/>
        <v>1992886.3064880008</v>
      </c>
      <c r="AG32" s="28">
        <f t="shared" si="9"/>
        <v>1934.841074260195</v>
      </c>
    </row>
    <row r="33" spans="1:33" ht="43.2" x14ac:dyDescent="0.3">
      <c r="A33" s="41" t="s">
        <v>696</v>
      </c>
      <c r="B33" s="41" t="s">
        <v>690</v>
      </c>
      <c r="C33" s="41" t="s">
        <v>651</v>
      </c>
      <c r="D33" s="41" t="s">
        <v>23</v>
      </c>
      <c r="E33" s="41" t="s">
        <v>257</v>
      </c>
      <c r="F33" s="41" t="s">
        <v>716</v>
      </c>
      <c r="G33" s="41">
        <v>39000</v>
      </c>
      <c r="J33" s="41">
        <v>2925000</v>
      </c>
      <c r="K33" s="41">
        <v>25</v>
      </c>
      <c r="L33" s="41">
        <v>3</v>
      </c>
      <c r="M33" s="41">
        <f t="shared" si="10"/>
        <v>3217500</v>
      </c>
      <c r="N33" s="41">
        <v>0</v>
      </c>
      <c r="O33" s="41">
        <v>0</v>
      </c>
      <c r="P33" s="41">
        <v>0</v>
      </c>
      <c r="Q33" s="41">
        <v>0</v>
      </c>
      <c r="R33" s="41">
        <v>0</v>
      </c>
      <c r="S33" s="41">
        <v>0</v>
      </c>
      <c r="T33" s="41">
        <v>0</v>
      </c>
      <c r="U33" s="41">
        <v>0</v>
      </c>
      <c r="V33" s="41">
        <v>0</v>
      </c>
      <c r="W33" s="41">
        <v>0</v>
      </c>
      <c r="X33" s="41">
        <v>0</v>
      </c>
      <c r="Y33" s="41">
        <v>0</v>
      </c>
      <c r="Z33" s="41">
        <v>25</v>
      </c>
      <c r="AA33" s="41">
        <v>3</v>
      </c>
      <c r="AB33" s="41">
        <f t="shared" si="11"/>
        <v>5181815.9250000026</v>
      </c>
      <c r="AC33" s="41">
        <v>0</v>
      </c>
      <c r="AD33" s="41">
        <v>0</v>
      </c>
      <c r="AE33" s="41">
        <v>0</v>
      </c>
      <c r="AF33" s="28">
        <f t="shared" si="8"/>
        <v>11324315.925000003</v>
      </c>
      <c r="AG33" s="28">
        <f t="shared" si="9"/>
        <v>10994.481480582526</v>
      </c>
    </row>
    <row r="34" spans="1:33" ht="43.2" x14ac:dyDescent="0.3">
      <c r="A34" s="41" t="s">
        <v>696</v>
      </c>
      <c r="B34" s="41" t="s">
        <v>690</v>
      </c>
      <c r="C34" s="41" t="s">
        <v>651</v>
      </c>
      <c r="D34" s="41" t="s">
        <v>23</v>
      </c>
      <c r="E34" s="41" t="s">
        <v>257</v>
      </c>
      <c r="F34" s="41" t="s">
        <v>709</v>
      </c>
      <c r="G34" s="41">
        <v>35000</v>
      </c>
      <c r="J34" s="41">
        <v>2100000</v>
      </c>
      <c r="K34" s="41">
        <v>25</v>
      </c>
      <c r="L34" s="41">
        <v>3</v>
      </c>
      <c r="M34" s="41">
        <f t="shared" si="10"/>
        <v>2887500</v>
      </c>
      <c r="N34" s="41">
        <v>0</v>
      </c>
      <c r="O34" s="41">
        <v>0</v>
      </c>
      <c r="P34" s="41">
        <v>0</v>
      </c>
      <c r="Q34" s="41">
        <v>0</v>
      </c>
      <c r="R34" s="41">
        <v>0</v>
      </c>
      <c r="S34" s="41">
        <v>0</v>
      </c>
      <c r="T34" s="41">
        <v>0</v>
      </c>
      <c r="U34" s="41">
        <v>0</v>
      </c>
      <c r="V34" s="41">
        <v>0</v>
      </c>
      <c r="W34" s="41">
        <v>0</v>
      </c>
      <c r="X34" s="41">
        <v>0</v>
      </c>
      <c r="Y34" s="41">
        <v>0</v>
      </c>
      <c r="Z34" s="41">
        <v>25</v>
      </c>
      <c r="AA34" s="41">
        <v>3</v>
      </c>
      <c r="AB34" s="41">
        <f t="shared" si="11"/>
        <v>4650347.6250000019</v>
      </c>
      <c r="AC34" s="41">
        <v>0</v>
      </c>
      <c r="AD34" s="41">
        <v>0</v>
      </c>
      <c r="AE34" s="41">
        <v>0</v>
      </c>
      <c r="AF34" s="28">
        <f t="shared" si="8"/>
        <v>9637847.6250000019</v>
      </c>
      <c r="AG34" s="28">
        <f t="shared" si="9"/>
        <v>9357.133616504856</v>
      </c>
    </row>
    <row r="35" spans="1:33" ht="43.2" x14ac:dyDescent="0.3">
      <c r="A35" s="41" t="s">
        <v>696</v>
      </c>
      <c r="B35" s="41" t="s">
        <v>690</v>
      </c>
      <c r="C35" s="41" t="s">
        <v>651</v>
      </c>
      <c r="D35" s="41" t="s">
        <v>23</v>
      </c>
      <c r="E35" s="41" t="s">
        <v>257</v>
      </c>
      <c r="F35" s="41" t="s">
        <v>712</v>
      </c>
      <c r="G35" s="41">
        <f>1999.2/7</f>
        <v>285.60000000000002</v>
      </c>
      <c r="J35" s="41">
        <v>857160</v>
      </c>
      <c r="K35" s="41">
        <f>25*2*9</f>
        <v>450</v>
      </c>
      <c r="L35" s="41">
        <v>3</v>
      </c>
      <c r="M35" s="41">
        <f t="shared" si="10"/>
        <v>424116</v>
      </c>
      <c r="N35" s="41">
        <v>0</v>
      </c>
      <c r="O35" s="41">
        <v>0</v>
      </c>
      <c r="P35" s="41">
        <v>0</v>
      </c>
      <c r="Q35" s="41">
        <v>0</v>
      </c>
      <c r="R35" s="41">
        <v>0</v>
      </c>
      <c r="S35" s="41">
        <v>0</v>
      </c>
      <c r="T35" s="41">
        <v>0</v>
      </c>
      <c r="U35" s="41">
        <v>0</v>
      </c>
      <c r="V35" s="41">
        <v>0</v>
      </c>
      <c r="W35" s="41">
        <v>0</v>
      </c>
      <c r="X35" s="41">
        <v>0</v>
      </c>
      <c r="Y35" s="41">
        <v>0</v>
      </c>
      <c r="Z35" s="41">
        <f>25*2*9</f>
        <v>450</v>
      </c>
      <c r="AA35" s="41">
        <v>3</v>
      </c>
      <c r="AB35" s="41">
        <f t="shared" si="11"/>
        <v>683043.05916000041</v>
      </c>
      <c r="AC35" s="41">
        <v>0</v>
      </c>
      <c r="AD35" s="41">
        <v>0</v>
      </c>
      <c r="AE35" s="41">
        <v>0</v>
      </c>
      <c r="AF35" s="28">
        <f t="shared" si="8"/>
        <v>1964319.0591600004</v>
      </c>
      <c r="AG35" s="28">
        <f t="shared" si="9"/>
        <v>1907.105882679612</v>
      </c>
    </row>
    <row r="36" spans="1:33" x14ac:dyDescent="0.3">
      <c r="A36" s="41"/>
      <c r="B36" s="41"/>
      <c r="C36" s="41"/>
      <c r="D36" s="41"/>
      <c r="E36" s="41"/>
      <c r="F36" s="41" t="s">
        <v>1336</v>
      </c>
      <c r="G36" s="41">
        <f>1999.2/7</f>
        <v>285.60000000000002</v>
      </c>
      <c r="J36" s="41"/>
      <c r="K36" s="41">
        <f>2*135*9</f>
        <v>2430</v>
      </c>
      <c r="L36" s="41">
        <v>1</v>
      </c>
      <c r="M36" s="41">
        <f t="shared" si="10"/>
        <v>763408.8</v>
      </c>
      <c r="N36" s="41"/>
      <c r="O36" s="41"/>
      <c r="P36" s="41"/>
      <c r="Q36" s="41"/>
      <c r="R36" s="41"/>
      <c r="S36" s="41"/>
      <c r="T36" s="41"/>
      <c r="U36" s="41"/>
      <c r="V36" s="41"/>
      <c r="W36" s="41"/>
      <c r="X36" s="41"/>
      <c r="Y36" s="41"/>
      <c r="Z36" s="41">
        <f>2*135*9</f>
        <v>2430</v>
      </c>
      <c r="AA36" s="41">
        <v>1</v>
      </c>
      <c r="AB36" s="41">
        <f t="shared" si="11"/>
        <v>1229477.5064880007</v>
      </c>
      <c r="AC36" s="41"/>
      <c r="AD36" s="41"/>
      <c r="AE36" s="41"/>
      <c r="AF36" s="28">
        <f t="shared" si="8"/>
        <v>1992886.3064880008</v>
      </c>
      <c r="AG36" s="28">
        <f t="shared" si="9"/>
        <v>1934.841074260195</v>
      </c>
    </row>
    <row r="37" spans="1:33" ht="43.2" x14ac:dyDescent="0.3">
      <c r="A37" s="41" t="s">
        <v>696</v>
      </c>
      <c r="B37" s="41" t="s">
        <v>690</v>
      </c>
      <c r="C37" s="41" t="s">
        <v>651</v>
      </c>
      <c r="D37" s="41" t="s">
        <v>23</v>
      </c>
      <c r="E37" s="41" t="s">
        <v>258</v>
      </c>
      <c r="F37" s="41" t="s">
        <v>709</v>
      </c>
      <c r="G37" s="41">
        <v>35000</v>
      </c>
      <c r="J37" s="41">
        <v>560000</v>
      </c>
      <c r="K37" s="41">
        <v>20</v>
      </c>
      <c r="L37" s="41">
        <v>1</v>
      </c>
      <c r="M37" s="41">
        <f t="shared" si="10"/>
        <v>770000</v>
      </c>
      <c r="N37" s="41">
        <v>0</v>
      </c>
      <c r="O37" s="41">
        <v>0</v>
      </c>
      <c r="P37" s="41">
        <v>0</v>
      </c>
      <c r="Q37" s="41">
        <v>0</v>
      </c>
      <c r="R37" s="41">
        <v>0</v>
      </c>
      <c r="S37" s="41">
        <v>0</v>
      </c>
      <c r="T37" s="41">
        <v>0</v>
      </c>
      <c r="U37" s="41">
        <v>0</v>
      </c>
      <c r="V37" s="41">
        <v>0</v>
      </c>
      <c r="W37" s="41">
        <v>0</v>
      </c>
      <c r="X37" s="41">
        <v>0</v>
      </c>
      <c r="Y37" s="41">
        <v>0</v>
      </c>
      <c r="Z37" s="41">
        <v>20</v>
      </c>
      <c r="AA37" s="41">
        <v>1</v>
      </c>
      <c r="AB37" s="41">
        <f t="shared" si="11"/>
        <v>1240092.7000000007</v>
      </c>
      <c r="AC37" s="41">
        <v>0</v>
      </c>
      <c r="AD37" s="41">
        <v>0</v>
      </c>
      <c r="AE37" s="41">
        <v>0</v>
      </c>
      <c r="AF37" s="28">
        <f t="shared" si="8"/>
        <v>2570092.7000000007</v>
      </c>
      <c r="AG37" s="28">
        <f t="shared" si="9"/>
        <v>2495.235631067962</v>
      </c>
    </row>
    <row r="38" spans="1:33" ht="43.2" x14ac:dyDescent="0.3">
      <c r="A38" s="41" t="s">
        <v>696</v>
      </c>
      <c r="B38" s="41" t="s">
        <v>690</v>
      </c>
      <c r="C38" s="41" t="s">
        <v>651</v>
      </c>
      <c r="D38" s="41" t="s">
        <v>23</v>
      </c>
      <c r="E38" s="41" t="s">
        <v>259</v>
      </c>
      <c r="F38" s="41" t="s">
        <v>718</v>
      </c>
      <c r="G38" s="41">
        <v>0</v>
      </c>
      <c r="J38" s="41">
        <v>0</v>
      </c>
      <c r="K38" s="41">
        <v>0</v>
      </c>
      <c r="L38" s="41">
        <v>0</v>
      </c>
      <c r="M38" s="41">
        <f t="shared" si="10"/>
        <v>0</v>
      </c>
      <c r="N38" s="41">
        <v>0</v>
      </c>
      <c r="O38" s="41">
        <v>0</v>
      </c>
      <c r="P38" s="41">
        <v>0</v>
      </c>
      <c r="Q38" s="41">
        <v>0</v>
      </c>
      <c r="R38" s="41">
        <v>0</v>
      </c>
      <c r="S38" s="41">
        <v>0</v>
      </c>
      <c r="T38" s="41">
        <v>0</v>
      </c>
      <c r="U38" s="41">
        <v>0</v>
      </c>
      <c r="V38" s="41">
        <v>0</v>
      </c>
      <c r="W38" s="41">
        <v>0</v>
      </c>
      <c r="X38" s="41">
        <v>0</v>
      </c>
      <c r="Y38" s="41">
        <v>0</v>
      </c>
      <c r="Z38" s="41">
        <v>0</v>
      </c>
      <c r="AA38" s="41">
        <v>0</v>
      </c>
      <c r="AB38" s="41">
        <f t="shared" si="11"/>
        <v>0</v>
      </c>
      <c r="AC38" s="41">
        <v>0</v>
      </c>
      <c r="AD38" s="41">
        <v>0</v>
      </c>
      <c r="AE38" s="41">
        <v>0</v>
      </c>
      <c r="AF38" s="28">
        <f t="shared" si="8"/>
        <v>0</v>
      </c>
      <c r="AG38" s="28">
        <f t="shared" si="9"/>
        <v>0</v>
      </c>
    </row>
    <row r="39" spans="1:33" ht="43.2" x14ac:dyDescent="0.3">
      <c r="A39" s="41" t="s">
        <v>696</v>
      </c>
      <c r="B39" s="41" t="s">
        <v>690</v>
      </c>
      <c r="C39" s="41" t="s">
        <v>651</v>
      </c>
      <c r="D39" s="41" t="s">
        <v>23</v>
      </c>
      <c r="E39" s="41" t="s">
        <v>260</v>
      </c>
      <c r="F39" s="41" t="s">
        <v>718</v>
      </c>
      <c r="G39" s="41">
        <v>0</v>
      </c>
      <c r="J39" s="41">
        <v>0</v>
      </c>
      <c r="K39" s="41">
        <v>0</v>
      </c>
      <c r="L39" s="41">
        <v>0</v>
      </c>
      <c r="M39" s="41">
        <f t="shared" si="10"/>
        <v>0</v>
      </c>
      <c r="N39" s="41">
        <v>0</v>
      </c>
      <c r="O39" s="41">
        <v>0</v>
      </c>
      <c r="P39" s="41">
        <v>0</v>
      </c>
      <c r="Q39" s="41">
        <v>0</v>
      </c>
      <c r="R39" s="41">
        <v>0</v>
      </c>
      <c r="S39" s="41">
        <v>0</v>
      </c>
      <c r="T39" s="41">
        <v>0</v>
      </c>
      <c r="U39" s="41">
        <v>0</v>
      </c>
      <c r="V39" s="41">
        <v>0</v>
      </c>
      <c r="W39" s="41">
        <v>0</v>
      </c>
      <c r="X39" s="41">
        <v>0</v>
      </c>
      <c r="Y39" s="41">
        <v>0</v>
      </c>
      <c r="Z39" s="41">
        <v>0</v>
      </c>
      <c r="AA39" s="41">
        <v>0</v>
      </c>
      <c r="AB39" s="41">
        <f t="shared" si="11"/>
        <v>0</v>
      </c>
      <c r="AC39" s="41">
        <v>0</v>
      </c>
      <c r="AD39" s="41">
        <v>0</v>
      </c>
      <c r="AE39" s="41">
        <v>0</v>
      </c>
      <c r="AF39" s="28">
        <f t="shared" si="8"/>
        <v>0</v>
      </c>
      <c r="AG39" s="28">
        <f t="shared" si="9"/>
        <v>0</v>
      </c>
    </row>
    <row r="40" spans="1:33" ht="43.2" x14ac:dyDescent="0.3">
      <c r="A40" s="41" t="s">
        <v>696</v>
      </c>
      <c r="B40" s="41" t="s">
        <v>690</v>
      </c>
      <c r="C40" s="41" t="s">
        <v>651</v>
      </c>
      <c r="D40" s="41" t="s">
        <v>23</v>
      </c>
      <c r="E40" s="41" t="s">
        <v>261</v>
      </c>
      <c r="F40" s="41" t="s">
        <v>716</v>
      </c>
      <c r="G40" s="41">
        <v>39000</v>
      </c>
      <c r="J40" s="41">
        <v>5265000</v>
      </c>
      <c r="K40" s="41">
        <v>45</v>
      </c>
      <c r="L40" s="41">
        <v>3</v>
      </c>
      <c r="M40" s="41">
        <f t="shared" si="10"/>
        <v>5791500</v>
      </c>
      <c r="N40" s="41">
        <v>0</v>
      </c>
      <c r="O40" s="41">
        <v>0</v>
      </c>
      <c r="P40" s="41">
        <v>0</v>
      </c>
      <c r="Q40" s="41">
        <v>0</v>
      </c>
      <c r="R40" s="41">
        <v>0</v>
      </c>
      <c r="S40" s="41">
        <v>0</v>
      </c>
      <c r="T40" s="41">
        <v>0</v>
      </c>
      <c r="U40" s="41">
        <v>0</v>
      </c>
      <c r="V40" s="41">
        <v>0</v>
      </c>
      <c r="W40" s="41">
        <v>0</v>
      </c>
      <c r="X40" s="41">
        <v>0</v>
      </c>
      <c r="Y40" s="41">
        <v>0</v>
      </c>
      <c r="Z40" s="41">
        <v>45</v>
      </c>
      <c r="AA40" s="41">
        <v>3</v>
      </c>
      <c r="AB40" s="41">
        <f t="shared" si="11"/>
        <v>9327268.6650000047</v>
      </c>
      <c r="AC40" s="41">
        <v>0</v>
      </c>
      <c r="AD40" s="41">
        <v>0</v>
      </c>
      <c r="AE40" s="41">
        <v>0</v>
      </c>
      <c r="AF40" s="28">
        <f t="shared" si="8"/>
        <v>20383768.665000007</v>
      </c>
      <c r="AG40" s="28">
        <f t="shared" si="9"/>
        <v>19790.066665048551</v>
      </c>
    </row>
    <row r="41" spans="1:33" ht="43.2" x14ac:dyDescent="0.3">
      <c r="A41" s="41" t="s">
        <v>696</v>
      </c>
      <c r="B41" s="41" t="s">
        <v>690</v>
      </c>
      <c r="C41" s="41" t="s">
        <v>651</v>
      </c>
      <c r="D41" s="41" t="s">
        <v>23</v>
      </c>
      <c r="E41" s="41" t="s">
        <v>261</v>
      </c>
      <c r="F41" s="41" t="s">
        <v>709</v>
      </c>
      <c r="G41" s="41">
        <v>35000</v>
      </c>
      <c r="J41" s="41">
        <v>3780000</v>
      </c>
      <c r="K41" s="41">
        <v>45</v>
      </c>
      <c r="L41" s="41">
        <v>3</v>
      </c>
      <c r="M41" s="41">
        <f t="shared" si="10"/>
        <v>5197500</v>
      </c>
      <c r="N41" s="41">
        <v>0</v>
      </c>
      <c r="O41" s="41">
        <v>0</v>
      </c>
      <c r="P41" s="41">
        <v>0</v>
      </c>
      <c r="Q41" s="41">
        <v>0</v>
      </c>
      <c r="R41" s="41">
        <v>0</v>
      </c>
      <c r="S41" s="41">
        <v>0</v>
      </c>
      <c r="T41" s="41">
        <v>0</v>
      </c>
      <c r="U41" s="41">
        <v>0</v>
      </c>
      <c r="V41" s="41">
        <v>0</v>
      </c>
      <c r="W41" s="41">
        <v>0</v>
      </c>
      <c r="X41" s="41">
        <v>0</v>
      </c>
      <c r="Y41" s="41">
        <v>0</v>
      </c>
      <c r="Z41" s="41">
        <v>45</v>
      </c>
      <c r="AA41" s="41">
        <v>3</v>
      </c>
      <c r="AB41" s="41">
        <f t="shared" si="11"/>
        <v>8370625.7250000052</v>
      </c>
      <c r="AC41" s="41">
        <v>0</v>
      </c>
      <c r="AD41" s="41">
        <v>0</v>
      </c>
      <c r="AE41" s="41">
        <v>0</v>
      </c>
      <c r="AF41" s="28">
        <f t="shared" si="8"/>
        <v>17348125.725000005</v>
      </c>
      <c r="AG41" s="28">
        <f t="shared" si="9"/>
        <v>16842.840509708742</v>
      </c>
    </row>
    <row r="42" spans="1:33" ht="43.2" x14ac:dyDescent="0.3">
      <c r="A42" s="41" t="s">
        <v>696</v>
      </c>
      <c r="B42" s="41" t="s">
        <v>690</v>
      </c>
      <c r="C42" s="41" t="s">
        <v>651</v>
      </c>
      <c r="D42" s="41" t="s">
        <v>23</v>
      </c>
      <c r="E42" s="41" t="s">
        <v>261</v>
      </c>
      <c r="F42" s="41" t="s">
        <v>712</v>
      </c>
      <c r="G42" s="41">
        <f>1999.2/7</f>
        <v>285.60000000000002</v>
      </c>
      <c r="J42" s="41">
        <v>1714320</v>
      </c>
      <c r="K42" s="41">
        <f>2*25*9</f>
        <v>450</v>
      </c>
      <c r="L42" s="41">
        <v>3</v>
      </c>
      <c r="M42" s="41">
        <f t="shared" si="10"/>
        <v>424116</v>
      </c>
      <c r="N42" s="41">
        <v>0</v>
      </c>
      <c r="O42" s="41">
        <v>0</v>
      </c>
      <c r="P42" s="41">
        <v>0</v>
      </c>
      <c r="Q42" s="41">
        <v>0</v>
      </c>
      <c r="R42" s="41">
        <v>0</v>
      </c>
      <c r="S42" s="41">
        <v>0</v>
      </c>
      <c r="T42" s="41">
        <v>0</v>
      </c>
      <c r="U42" s="41">
        <v>0</v>
      </c>
      <c r="V42" s="41">
        <v>0</v>
      </c>
      <c r="W42" s="41">
        <v>0</v>
      </c>
      <c r="X42" s="41">
        <v>0</v>
      </c>
      <c r="Y42" s="41">
        <v>0</v>
      </c>
      <c r="Z42" s="41">
        <f>2*25*9</f>
        <v>450</v>
      </c>
      <c r="AA42" s="41">
        <v>3</v>
      </c>
      <c r="AB42" s="41">
        <f t="shared" si="11"/>
        <v>683043.05916000041</v>
      </c>
      <c r="AC42" s="41">
        <v>0</v>
      </c>
      <c r="AD42" s="41">
        <v>0</v>
      </c>
      <c r="AE42" s="41">
        <v>0</v>
      </c>
      <c r="AF42" s="28">
        <f t="shared" si="8"/>
        <v>2821479.0591600006</v>
      </c>
      <c r="AG42" s="28">
        <f t="shared" si="9"/>
        <v>2739.3000574368939</v>
      </c>
    </row>
    <row r="43" spans="1:33" x14ac:dyDescent="0.3">
      <c r="A43" s="41"/>
      <c r="B43" s="41"/>
      <c r="C43" s="41"/>
      <c r="D43" s="41"/>
      <c r="E43" s="41"/>
      <c r="F43" s="41" t="s">
        <v>1336</v>
      </c>
      <c r="G43" s="41">
        <f>1999.2/7</f>
        <v>285.60000000000002</v>
      </c>
      <c r="J43" s="41"/>
      <c r="K43" s="41">
        <f>2*135*9</f>
        <v>2430</v>
      </c>
      <c r="L43" s="41">
        <v>1</v>
      </c>
      <c r="M43" s="41">
        <f t="shared" si="10"/>
        <v>763408.8</v>
      </c>
      <c r="N43" s="41"/>
      <c r="O43" s="41"/>
      <c r="P43" s="41"/>
      <c r="Q43" s="41"/>
      <c r="R43" s="41"/>
      <c r="S43" s="41"/>
      <c r="T43" s="41"/>
      <c r="U43" s="41"/>
      <c r="V43" s="41"/>
      <c r="W43" s="41"/>
      <c r="X43" s="41"/>
      <c r="Y43" s="41"/>
      <c r="Z43" s="41">
        <f>2*135*9</f>
        <v>2430</v>
      </c>
      <c r="AA43" s="41">
        <v>1</v>
      </c>
      <c r="AB43" s="41">
        <f t="shared" si="11"/>
        <v>1229477.5064880007</v>
      </c>
      <c r="AC43" s="41"/>
      <c r="AD43" s="41"/>
      <c r="AE43" s="41"/>
      <c r="AF43" s="28">
        <f t="shared" si="8"/>
        <v>1992886.3064880008</v>
      </c>
      <c r="AG43" s="28">
        <f t="shared" si="9"/>
        <v>1934.841074260195</v>
      </c>
    </row>
    <row r="44" spans="1:33" x14ac:dyDescent="0.3">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28">
        <f t="shared" si="8"/>
        <v>0</v>
      </c>
      <c r="AG44" s="28">
        <f t="shared" si="9"/>
        <v>0</v>
      </c>
    </row>
    <row r="45" spans="1:33" ht="43.2" x14ac:dyDescent="0.3">
      <c r="A45" s="41" t="s">
        <v>696</v>
      </c>
      <c r="B45" s="41" t="s">
        <v>690</v>
      </c>
      <c r="C45" s="42" t="s">
        <v>652</v>
      </c>
      <c r="D45" s="41" t="s">
        <v>24</v>
      </c>
      <c r="E45" s="41" t="s">
        <v>262</v>
      </c>
      <c r="F45" s="41" t="s">
        <v>718</v>
      </c>
      <c r="G45" s="41">
        <v>0</v>
      </c>
      <c r="H45" s="41"/>
      <c r="I45" s="41"/>
      <c r="J45" s="41">
        <v>0</v>
      </c>
      <c r="K45" s="41"/>
      <c r="L45" s="41"/>
      <c r="M45" s="41">
        <f>($G45*1.1^1)*K45*L45</f>
        <v>0</v>
      </c>
      <c r="N45" s="41">
        <v>0</v>
      </c>
      <c r="O45" s="41">
        <v>0</v>
      </c>
      <c r="P45" s="41">
        <f>($G45*1.1^2)*N45*O45</f>
        <v>0</v>
      </c>
      <c r="Q45" s="41">
        <v>0</v>
      </c>
      <c r="R45" s="41">
        <v>0</v>
      </c>
      <c r="S45" s="41">
        <f>($G45*1.1^3)*Q45*R45</f>
        <v>0</v>
      </c>
      <c r="T45" s="41">
        <v>0</v>
      </c>
      <c r="U45" s="41">
        <v>0</v>
      </c>
      <c r="V45" s="41">
        <f>($G45*1.1^4)*T45*U45</f>
        <v>0</v>
      </c>
      <c r="W45" s="41">
        <v>0</v>
      </c>
      <c r="X45" s="41">
        <v>0</v>
      </c>
      <c r="Y45" s="41">
        <f>($G45*1.1^5)*W45*X45</f>
        <v>0</v>
      </c>
      <c r="Z45" s="41">
        <v>0</v>
      </c>
      <c r="AA45" s="41">
        <v>0</v>
      </c>
      <c r="AB45" s="41">
        <f>($G45*1.1^6)*Z45*AA45</f>
        <v>0</v>
      </c>
      <c r="AC45" s="41">
        <v>0</v>
      </c>
      <c r="AD45" s="41">
        <v>0</v>
      </c>
      <c r="AE45" s="41">
        <f>($G45*1.1^7)*AC45*AD45</f>
        <v>0</v>
      </c>
      <c r="AF45" s="28">
        <f t="shared" si="8"/>
        <v>0</v>
      </c>
      <c r="AG45" s="28">
        <f t="shared" si="9"/>
        <v>0</v>
      </c>
    </row>
    <row r="46" spans="1:33" ht="43.2" x14ac:dyDescent="0.3">
      <c r="A46" s="41" t="s">
        <v>696</v>
      </c>
      <c r="B46" s="41" t="s">
        <v>690</v>
      </c>
      <c r="C46" s="42" t="s">
        <v>652</v>
      </c>
      <c r="D46" s="41" t="s">
        <v>24</v>
      </c>
      <c r="E46" s="41" t="s">
        <v>263</v>
      </c>
      <c r="F46" s="41" t="s">
        <v>718</v>
      </c>
      <c r="G46" s="41">
        <v>0</v>
      </c>
      <c r="H46" s="41"/>
      <c r="I46" s="41"/>
      <c r="J46" s="41">
        <v>0</v>
      </c>
      <c r="K46" s="41"/>
      <c r="L46" s="41"/>
      <c r="M46" s="41">
        <f t="shared" ref="M46:M59" si="12">($G46*1.1^1)*K46*L46</f>
        <v>0</v>
      </c>
      <c r="N46" s="41">
        <v>0</v>
      </c>
      <c r="O46" s="41">
        <v>0</v>
      </c>
      <c r="P46" s="41">
        <f t="shared" ref="P46:P56" si="13">($G46*1.1^2)*N46*O46</f>
        <v>0</v>
      </c>
      <c r="Q46" s="41">
        <v>0</v>
      </c>
      <c r="R46" s="41">
        <v>0</v>
      </c>
      <c r="S46" s="41">
        <v>0</v>
      </c>
      <c r="T46" s="41">
        <v>0</v>
      </c>
      <c r="U46" s="41">
        <v>0</v>
      </c>
      <c r="V46" s="41">
        <v>0</v>
      </c>
      <c r="W46" s="41">
        <v>0</v>
      </c>
      <c r="X46" s="41">
        <v>0</v>
      </c>
      <c r="Y46" s="41">
        <v>0</v>
      </c>
      <c r="Z46" s="41">
        <v>0</v>
      </c>
      <c r="AA46" s="41">
        <v>0</v>
      </c>
      <c r="AB46" s="41">
        <v>0</v>
      </c>
      <c r="AC46" s="41">
        <v>0</v>
      </c>
      <c r="AD46" s="41">
        <v>0</v>
      </c>
      <c r="AE46" s="41">
        <f t="shared" ref="AE46:AE56" si="14">($G46*1.1^7)*AC46*AD46</f>
        <v>0</v>
      </c>
      <c r="AF46" s="28">
        <f t="shared" si="8"/>
        <v>0</v>
      </c>
      <c r="AG46" s="28">
        <f t="shared" si="9"/>
        <v>0</v>
      </c>
    </row>
    <row r="47" spans="1:33" ht="43.2" x14ac:dyDescent="0.3">
      <c r="A47" s="41" t="s">
        <v>696</v>
      </c>
      <c r="B47" s="41" t="s">
        <v>690</v>
      </c>
      <c r="C47" s="42" t="s">
        <v>652</v>
      </c>
      <c r="D47" s="41" t="s">
        <v>24</v>
      </c>
      <c r="E47" s="41" t="s">
        <v>264</v>
      </c>
      <c r="F47" s="41" t="s">
        <v>716</v>
      </c>
      <c r="G47" s="41">
        <v>39000</v>
      </c>
      <c r="H47" s="41"/>
      <c r="I47" s="41"/>
      <c r="J47" s="41">
        <v>0</v>
      </c>
      <c r="K47" s="41"/>
      <c r="L47" s="41"/>
      <c r="M47" s="41">
        <f t="shared" si="12"/>
        <v>0</v>
      </c>
      <c r="N47" s="41">
        <v>30</v>
      </c>
      <c r="O47" s="41">
        <v>4</v>
      </c>
      <c r="P47" s="41">
        <f t="shared" si="13"/>
        <v>5662800.0000000009</v>
      </c>
      <c r="Q47" s="41">
        <v>0</v>
      </c>
      <c r="R47" s="41">
        <v>0</v>
      </c>
      <c r="S47" s="41">
        <v>0</v>
      </c>
      <c r="T47" s="41">
        <v>0</v>
      </c>
      <c r="U47" s="41">
        <v>0</v>
      </c>
      <c r="V47" s="41">
        <v>0</v>
      </c>
      <c r="W47" s="41">
        <v>0</v>
      </c>
      <c r="X47" s="41">
        <v>0</v>
      </c>
      <c r="Y47" s="41">
        <v>0</v>
      </c>
      <c r="Z47" s="41">
        <v>0</v>
      </c>
      <c r="AA47" s="41">
        <v>0</v>
      </c>
      <c r="AB47" s="41">
        <v>0</v>
      </c>
      <c r="AC47" s="41">
        <v>30</v>
      </c>
      <c r="AD47" s="41">
        <v>4</v>
      </c>
      <c r="AE47" s="41">
        <f t="shared" si="14"/>
        <v>9119996.0280000046</v>
      </c>
      <c r="AF47" s="28">
        <f t="shared" si="8"/>
        <v>14782796.028000005</v>
      </c>
      <c r="AG47" s="28">
        <f t="shared" si="9"/>
        <v>14352.229153398062</v>
      </c>
    </row>
    <row r="48" spans="1:33" ht="43.2" x14ac:dyDescent="0.3">
      <c r="A48" s="41" t="s">
        <v>696</v>
      </c>
      <c r="B48" s="41" t="s">
        <v>690</v>
      </c>
      <c r="C48" s="42" t="s">
        <v>652</v>
      </c>
      <c r="D48" s="41" t="s">
        <v>24</v>
      </c>
      <c r="E48" s="41" t="s">
        <v>264</v>
      </c>
      <c r="F48" s="41" t="s">
        <v>709</v>
      </c>
      <c r="G48" s="41">
        <v>35000</v>
      </c>
      <c r="H48" s="41"/>
      <c r="I48" s="41"/>
      <c r="J48" s="41">
        <v>0</v>
      </c>
      <c r="K48" s="41"/>
      <c r="L48" s="41"/>
      <c r="M48" s="41">
        <f t="shared" si="12"/>
        <v>0</v>
      </c>
      <c r="N48" s="41">
        <v>30</v>
      </c>
      <c r="O48" s="41">
        <v>3</v>
      </c>
      <c r="P48" s="41">
        <f t="shared" si="13"/>
        <v>3811500.0000000009</v>
      </c>
      <c r="Q48" s="41">
        <v>0</v>
      </c>
      <c r="R48" s="41">
        <v>0</v>
      </c>
      <c r="S48" s="41">
        <v>0</v>
      </c>
      <c r="T48" s="41">
        <v>0</v>
      </c>
      <c r="U48" s="41">
        <v>0</v>
      </c>
      <c r="V48" s="41">
        <v>0</v>
      </c>
      <c r="W48" s="41">
        <v>0</v>
      </c>
      <c r="X48" s="41">
        <v>0</v>
      </c>
      <c r="Y48" s="41">
        <v>0</v>
      </c>
      <c r="Z48" s="41">
        <v>0</v>
      </c>
      <c r="AA48" s="41">
        <v>0</v>
      </c>
      <c r="AB48" s="41">
        <v>0</v>
      </c>
      <c r="AC48" s="41">
        <v>30</v>
      </c>
      <c r="AD48" s="41">
        <v>3</v>
      </c>
      <c r="AE48" s="41">
        <f t="shared" si="14"/>
        <v>6138458.865000003</v>
      </c>
      <c r="AF48" s="28">
        <f t="shared" si="8"/>
        <v>9949958.8650000039</v>
      </c>
      <c r="AG48" s="28">
        <f t="shared" si="9"/>
        <v>9660.1542378640806</v>
      </c>
    </row>
    <row r="49" spans="1:33" ht="43.2" x14ac:dyDescent="0.3">
      <c r="A49" s="41" t="s">
        <v>696</v>
      </c>
      <c r="B49" s="41" t="s">
        <v>690</v>
      </c>
      <c r="C49" s="42" t="s">
        <v>652</v>
      </c>
      <c r="D49" s="41" t="s">
        <v>24</v>
      </c>
      <c r="E49" s="41" t="s">
        <v>264</v>
      </c>
      <c r="F49" s="41" t="s">
        <v>712</v>
      </c>
      <c r="G49" s="41">
        <f>1999.2/7</f>
        <v>285.60000000000002</v>
      </c>
      <c r="H49" s="41"/>
      <c r="I49" s="41"/>
      <c r="J49" s="41">
        <v>0</v>
      </c>
      <c r="K49" s="41"/>
      <c r="L49" s="41"/>
      <c r="M49" s="41">
        <f t="shared" si="12"/>
        <v>0</v>
      </c>
      <c r="N49" s="41">
        <f>2*25*9</f>
        <v>450</v>
      </c>
      <c r="O49" s="41">
        <v>3</v>
      </c>
      <c r="P49" s="41">
        <f t="shared" si="13"/>
        <v>466527.60000000009</v>
      </c>
      <c r="Q49" s="41">
        <v>0</v>
      </c>
      <c r="R49" s="41">
        <v>0</v>
      </c>
      <c r="S49" s="41">
        <v>0</v>
      </c>
      <c r="T49" s="41">
        <v>0</v>
      </c>
      <c r="U49" s="41">
        <v>0</v>
      </c>
      <c r="V49" s="41">
        <v>0</v>
      </c>
      <c r="W49" s="41">
        <v>0</v>
      </c>
      <c r="X49" s="41">
        <v>0</v>
      </c>
      <c r="Y49" s="41">
        <v>0</v>
      </c>
      <c r="Z49" s="41">
        <v>0</v>
      </c>
      <c r="AA49" s="41">
        <v>0</v>
      </c>
      <c r="AB49" s="41">
        <v>0</v>
      </c>
      <c r="AC49" s="41">
        <f>2*25*9</f>
        <v>450</v>
      </c>
      <c r="AD49" s="41">
        <v>3</v>
      </c>
      <c r="AE49" s="41">
        <f t="shared" si="14"/>
        <v>751347.36507600057</v>
      </c>
      <c r="AF49" s="28">
        <f t="shared" si="8"/>
        <v>1217874.9650760007</v>
      </c>
      <c r="AG49" s="28">
        <f t="shared" si="9"/>
        <v>1182.4028787145637</v>
      </c>
    </row>
    <row r="50" spans="1:33" x14ac:dyDescent="0.3">
      <c r="A50" s="41"/>
      <c r="B50" s="41"/>
      <c r="C50" s="42"/>
      <c r="D50" s="41"/>
      <c r="E50" s="41"/>
      <c r="F50" s="41" t="s">
        <v>1336</v>
      </c>
      <c r="G50" s="41">
        <f>1999.2/7</f>
        <v>285.60000000000002</v>
      </c>
      <c r="H50" s="41"/>
      <c r="I50" s="41"/>
      <c r="J50" s="41"/>
      <c r="K50" s="41"/>
      <c r="L50" s="41"/>
      <c r="M50" s="41">
        <f t="shared" si="12"/>
        <v>0</v>
      </c>
      <c r="N50" s="41">
        <f>2*135*9</f>
        <v>2430</v>
      </c>
      <c r="O50" s="41">
        <v>1</v>
      </c>
      <c r="P50" s="41">
        <f t="shared" si="13"/>
        <v>839749.68000000017</v>
      </c>
      <c r="Q50" s="41"/>
      <c r="R50" s="41"/>
      <c r="S50" s="41"/>
      <c r="T50" s="41"/>
      <c r="U50" s="41"/>
      <c r="V50" s="41"/>
      <c r="W50" s="41"/>
      <c r="X50" s="41"/>
      <c r="Y50" s="41"/>
      <c r="Z50" s="41"/>
      <c r="AA50" s="41"/>
      <c r="AB50" s="41"/>
      <c r="AC50" s="41">
        <f>2*135*9</f>
        <v>2430</v>
      </c>
      <c r="AD50" s="41">
        <v>1</v>
      </c>
      <c r="AE50" s="41">
        <f t="shared" si="14"/>
        <v>1352425.257136801</v>
      </c>
      <c r="AF50" s="28">
        <f t="shared" si="8"/>
        <v>2192174.937136801</v>
      </c>
      <c r="AG50" s="28">
        <f t="shared" si="9"/>
        <v>2128.3251816862144</v>
      </c>
    </row>
    <row r="51" spans="1:33" ht="43.2" x14ac:dyDescent="0.3">
      <c r="A51" s="41" t="s">
        <v>696</v>
      </c>
      <c r="B51" s="41" t="s">
        <v>690</v>
      </c>
      <c r="C51" s="42" t="s">
        <v>652</v>
      </c>
      <c r="D51" s="41" t="s">
        <v>24</v>
      </c>
      <c r="E51" s="41" t="s">
        <v>177</v>
      </c>
      <c r="F51" s="41" t="s">
        <v>716</v>
      </c>
      <c r="G51" s="41">
        <v>39000</v>
      </c>
      <c r="H51" s="41"/>
      <c r="I51" s="41"/>
      <c r="J51" s="41">
        <v>0</v>
      </c>
      <c r="K51" s="41"/>
      <c r="L51" s="41"/>
      <c r="M51" s="41">
        <f t="shared" si="12"/>
        <v>0</v>
      </c>
      <c r="N51" s="41">
        <v>58</v>
      </c>
      <c r="O51" s="41">
        <v>5</v>
      </c>
      <c r="P51" s="41">
        <f t="shared" si="13"/>
        <v>13685100.000000002</v>
      </c>
      <c r="Q51" s="41">
        <v>0</v>
      </c>
      <c r="R51" s="41">
        <v>0</v>
      </c>
      <c r="S51" s="41">
        <v>0</v>
      </c>
      <c r="T51" s="41">
        <v>0</v>
      </c>
      <c r="U51" s="41">
        <v>0</v>
      </c>
      <c r="V51" s="41">
        <v>0</v>
      </c>
      <c r="W51" s="41">
        <v>0</v>
      </c>
      <c r="X51" s="41">
        <v>0</v>
      </c>
      <c r="Y51" s="41">
        <v>0</v>
      </c>
      <c r="Z51" s="41">
        <v>0</v>
      </c>
      <c r="AA51" s="41">
        <v>0</v>
      </c>
      <c r="AB51" s="41">
        <v>0</v>
      </c>
      <c r="AC51" s="41">
        <v>58</v>
      </c>
      <c r="AD51" s="41">
        <v>5</v>
      </c>
      <c r="AE51" s="41">
        <f t="shared" si="14"/>
        <v>22039990.401000012</v>
      </c>
      <c r="AF51" s="28">
        <f t="shared" si="8"/>
        <v>35725090.401000015</v>
      </c>
      <c r="AG51" s="28">
        <f t="shared" si="9"/>
        <v>34684.553787378652</v>
      </c>
    </row>
    <row r="52" spans="1:33" ht="43.2" x14ac:dyDescent="0.3">
      <c r="A52" s="41" t="s">
        <v>696</v>
      </c>
      <c r="B52" s="41" t="s">
        <v>690</v>
      </c>
      <c r="C52" s="42" t="s">
        <v>652</v>
      </c>
      <c r="D52" s="41" t="s">
        <v>24</v>
      </c>
      <c r="E52" s="41" t="s">
        <v>177</v>
      </c>
      <c r="F52" s="41" t="s">
        <v>709</v>
      </c>
      <c r="G52" s="41">
        <v>35000</v>
      </c>
      <c r="H52" s="41"/>
      <c r="I52" s="41"/>
      <c r="J52" s="41">
        <v>0</v>
      </c>
      <c r="K52" s="41"/>
      <c r="L52" s="41"/>
      <c r="M52" s="41">
        <f t="shared" si="12"/>
        <v>0</v>
      </c>
      <c r="N52" s="41">
        <v>100</v>
      </c>
      <c r="O52" s="41">
        <v>5</v>
      </c>
      <c r="P52" s="41">
        <f t="shared" si="13"/>
        <v>21175000.000000004</v>
      </c>
      <c r="Q52" s="41">
        <v>0</v>
      </c>
      <c r="R52" s="41">
        <v>0</v>
      </c>
      <c r="S52" s="41">
        <v>0</v>
      </c>
      <c r="T52" s="41">
        <v>0</v>
      </c>
      <c r="U52" s="41">
        <v>0</v>
      </c>
      <c r="V52" s="41">
        <v>0</v>
      </c>
      <c r="W52" s="41">
        <v>0</v>
      </c>
      <c r="X52" s="41">
        <v>0</v>
      </c>
      <c r="Y52" s="41">
        <v>0</v>
      </c>
      <c r="Z52" s="41">
        <v>0</v>
      </c>
      <c r="AA52" s="41">
        <v>0</v>
      </c>
      <c r="AB52" s="41">
        <v>0</v>
      </c>
      <c r="AC52" s="41">
        <v>100</v>
      </c>
      <c r="AD52" s="41">
        <v>5</v>
      </c>
      <c r="AE52" s="41">
        <f t="shared" si="14"/>
        <v>34102549.250000015</v>
      </c>
      <c r="AF52" s="28">
        <f t="shared" si="8"/>
        <v>55277549.250000015</v>
      </c>
      <c r="AG52" s="28">
        <f t="shared" si="9"/>
        <v>53667.523543689334</v>
      </c>
    </row>
    <row r="53" spans="1:33" ht="43.2" x14ac:dyDescent="0.3">
      <c r="A53" s="41" t="s">
        <v>696</v>
      </c>
      <c r="B53" s="41" t="s">
        <v>690</v>
      </c>
      <c r="C53" s="42" t="s">
        <v>652</v>
      </c>
      <c r="D53" s="41" t="s">
        <v>24</v>
      </c>
      <c r="E53" s="41" t="s">
        <v>177</v>
      </c>
      <c r="F53" s="41" t="s">
        <v>712</v>
      </c>
      <c r="G53" s="41">
        <f>1999.2/7</f>
        <v>285.60000000000002</v>
      </c>
      <c r="H53" s="41"/>
      <c r="I53" s="41"/>
      <c r="J53" s="41">
        <v>0</v>
      </c>
      <c r="K53" s="41"/>
      <c r="L53" s="41"/>
      <c r="M53" s="41">
        <f t="shared" si="12"/>
        <v>0</v>
      </c>
      <c r="N53" s="41">
        <f>2*25*9</f>
        <v>450</v>
      </c>
      <c r="O53" s="41">
        <v>5</v>
      </c>
      <c r="P53" s="41">
        <f t="shared" si="13"/>
        <v>777546.00000000023</v>
      </c>
      <c r="Q53" s="41">
        <v>0</v>
      </c>
      <c r="R53" s="41">
        <v>0</v>
      </c>
      <c r="S53" s="41">
        <v>0</v>
      </c>
      <c r="T53" s="41">
        <v>0</v>
      </c>
      <c r="U53" s="41">
        <v>0</v>
      </c>
      <c r="V53" s="41">
        <v>0</v>
      </c>
      <c r="W53" s="41">
        <v>0</v>
      </c>
      <c r="X53" s="41">
        <v>0</v>
      </c>
      <c r="Y53" s="41">
        <v>0</v>
      </c>
      <c r="Z53" s="41">
        <v>0</v>
      </c>
      <c r="AA53" s="41">
        <v>0</v>
      </c>
      <c r="AB53" s="41">
        <v>0</v>
      </c>
      <c r="AC53" s="41">
        <f>2*25*9</f>
        <v>450</v>
      </c>
      <c r="AD53" s="41">
        <v>5</v>
      </c>
      <c r="AE53" s="41">
        <f t="shared" si="14"/>
        <v>1252245.6084600009</v>
      </c>
      <c r="AF53" s="28">
        <f t="shared" si="8"/>
        <v>2029791.6084600012</v>
      </c>
      <c r="AG53" s="28">
        <f t="shared" si="9"/>
        <v>1970.671464524273</v>
      </c>
    </row>
    <row r="54" spans="1:33" x14ac:dyDescent="0.3">
      <c r="A54" s="41"/>
      <c r="B54" s="41"/>
      <c r="C54" s="42"/>
      <c r="D54" s="41"/>
      <c r="E54" s="41"/>
      <c r="F54" s="41" t="s">
        <v>1336</v>
      </c>
      <c r="G54" s="41">
        <f>1999.2/7</f>
        <v>285.60000000000002</v>
      </c>
      <c r="H54" s="41"/>
      <c r="I54" s="41"/>
      <c r="J54" s="41"/>
      <c r="K54" s="41"/>
      <c r="L54" s="41"/>
      <c r="M54" s="41">
        <f t="shared" si="12"/>
        <v>0</v>
      </c>
      <c r="N54" s="41">
        <v>22500</v>
      </c>
      <c r="O54" s="41">
        <v>1</v>
      </c>
      <c r="P54" s="41">
        <f t="shared" si="13"/>
        <v>7775460.0000000019</v>
      </c>
      <c r="Q54" s="41"/>
      <c r="R54" s="41"/>
      <c r="S54" s="41"/>
      <c r="T54" s="41"/>
      <c r="U54" s="41"/>
      <c r="V54" s="41"/>
      <c r="W54" s="41"/>
      <c r="X54" s="41"/>
      <c r="Y54" s="41"/>
      <c r="Z54" s="41"/>
      <c r="AA54" s="41"/>
      <c r="AB54" s="41"/>
      <c r="AC54" s="41">
        <v>22500</v>
      </c>
      <c r="AD54" s="41">
        <v>1</v>
      </c>
      <c r="AE54" s="41">
        <f t="shared" si="14"/>
        <v>12522456.084600009</v>
      </c>
      <c r="AF54" s="28">
        <f t="shared" si="8"/>
        <v>20297916.084600009</v>
      </c>
      <c r="AG54" s="28">
        <f t="shared" si="9"/>
        <v>19706.714645242726</v>
      </c>
    </row>
    <row r="55" spans="1:33" ht="43.2" x14ac:dyDescent="0.3">
      <c r="A55" s="41" t="s">
        <v>696</v>
      </c>
      <c r="B55" s="41" t="s">
        <v>690</v>
      </c>
      <c r="C55" s="42" t="s">
        <v>652</v>
      </c>
      <c r="D55" s="41" t="s">
        <v>24</v>
      </c>
      <c r="E55" s="41" t="s">
        <v>265</v>
      </c>
      <c r="F55" s="41" t="s">
        <v>709</v>
      </c>
      <c r="G55" s="41">
        <v>35000</v>
      </c>
      <c r="H55" s="41"/>
      <c r="I55" s="41"/>
      <c r="J55" s="41">
        <v>0</v>
      </c>
      <c r="K55" s="41"/>
      <c r="L55" s="41"/>
      <c r="M55" s="41">
        <f t="shared" si="12"/>
        <v>0</v>
      </c>
      <c r="N55" s="41">
        <v>30</v>
      </c>
      <c r="O55" s="41">
        <v>1</v>
      </c>
      <c r="P55" s="41">
        <f t="shared" si="13"/>
        <v>1270500.0000000002</v>
      </c>
      <c r="Q55" s="41">
        <v>0</v>
      </c>
      <c r="R55" s="41">
        <v>0</v>
      </c>
      <c r="S55" s="41">
        <v>0</v>
      </c>
      <c r="T55" s="41">
        <v>0</v>
      </c>
      <c r="U55" s="41">
        <v>0</v>
      </c>
      <c r="V55" s="41">
        <v>0</v>
      </c>
      <c r="W55" s="41">
        <v>0</v>
      </c>
      <c r="X55" s="41">
        <v>0</v>
      </c>
      <c r="Y55" s="41">
        <v>0</v>
      </c>
      <c r="Z55" s="41">
        <v>0</v>
      </c>
      <c r="AA55" s="41">
        <v>0</v>
      </c>
      <c r="AB55" s="41">
        <v>0</v>
      </c>
      <c r="AC55" s="41">
        <v>30</v>
      </c>
      <c r="AD55" s="41">
        <v>1</v>
      </c>
      <c r="AE55" s="41">
        <f t="shared" si="14"/>
        <v>2046152.955000001</v>
      </c>
      <c r="AF55" s="28">
        <f t="shared" si="8"/>
        <v>3316652.955000001</v>
      </c>
      <c r="AG55" s="28">
        <f t="shared" si="9"/>
        <v>3220.0514126213602</v>
      </c>
    </row>
    <row r="56" spans="1:33" ht="43.2" x14ac:dyDescent="0.3">
      <c r="A56" s="41" t="s">
        <v>696</v>
      </c>
      <c r="B56" s="41" t="s">
        <v>690</v>
      </c>
      <c r="C56" s="42" t="s">
        <v>652</v>
      </c>
      <c r="D56" s="41" t="s">
        <v>24</v>
      </c>
      <c r="E56" s="41" t="s">
        <v>266</v>
      </c>
      <c r="F56" s="41" t="s">
        <v>718</v>
      </c>
      <c r="G56" s="41">
        <v>0</v>
      </c>
      <c r="H56" s="41"/>
      <c r="I56" s="41"/>
      <c r="J56" s="41">
        <v>0</v>
      </c>
      <c r="K56" s="41"/>
      <c r="L56" s="41"/>
      <c r="M56" s="41">
        <f t="shared" si="12"/>
        <v>0</v>
      </c>
      <c r="N56" s="41">
        <v>0</v>
      </c>
      <c r="O56" s="41">
        <v>0</v>
      </c>
      <c r="P56" s="41">
        <f t="shared" si="13"/>
        <v>0</v>
      </c>
      <c r="Q56" s="41">
        <v>0</v>
      </c>
      <c r="R56" s="41">
        <v>0</v>
      </c>
      <c r="S56" s="41">
        <v>0</v>
      </c>
      <c r="T56" s="41">
        <v>0</v>
      </c>
      <c r="U56" s="41">
        <v>0</v>
      </c>
      <c r="V56" s="41">
        <v>0</v>
      </c>
      <c r="W56" s="41">
        <v>0</v>
      </c>
      <c r="X56" s="41">
        <v>0</v>
      </c>
      <c r="Y56" s="41">
        <v>0</v>
      </c>
      <c r="Z56" s="41">
        <v>0</v>
      </c>
      <c r="AA56" s="41">
        <v>0</v>
      </c>
      <c r="AB56" s="41">
        <v>0</v>
      </c>
      <c r="AC56" s="41">
        <v>0</v>
      </c>
      <c r="AD56" s="41">
        <v>0</v>
      </c>
      <c r="AE56" s="41">
        <f t="shared" si="14"/>
        <v>0</v>
      </c>
      <c r="AF56" s="28">
        <f t="shared" si="8"/>
        <v>0</v>
      </c>
      <c r="AG56" s="28">
        <f t="shared" si="9"/>
        <v>0</v>
      </c>
    </row>
    <row r="57" spans="1:33" ht="43.2" x14ac:dyDescent="0.3">
      <c r="A57" s="41" t="s">
        <v>696</v>
      </c>
      <c r="B57" s="41" t="s">
        <v>690</v>
      </c>
      <c r="C57" s="42" t="s">
        <v>652</v>
      </c>
      <c r="D57" s="41" t="s">
        <v>22</v>
      </c>
      <c r="E57" s="41" t="s">
        <v>251</v>
      </c>
      <c r="F57" s="41" t="s">
        <v>709</v>
      </c>
      <c r="G57" s="41">
        <v>35000</v>
      </c>
      <c r="H57" s="41"/>
      <c r="I57" s="41"/>
      <c r="J57" s="41">
        <v>0</v>
      </c>
      <c r="K57" s="41"/>
      <c r="L57" s="41"/>
      <c r="M57" s="41">
        <f t="shared" si="12"/>
        <v>0</v>
      </c>
      <c r="N57" s="41">
        <v>30</v>
      </c>
      <c r="O57" s="41">
        <v>4</v>
      </c>
      <c r="P57" s="41">
        <v>2800000</v>
      </c>
      <c r="Q57" s="41">
        <v>30</v>
      </c>
      <c r="R57" s="41">
        <v>4</v>
      </c>
      <c r="S57" s="41">
        <v>2800000</v>
      </c>
      <c r="T57" s="41">
        <v>30</v>
      </c>
      <c r="U57" s="41">
        <v>4</v>
      </c>
      <c r="V57" s="41">
        <v>2800000</v>
      </c>
      <c r="W57" s="41">
        <v>30</v>
      </c>
      <c r="X57" s="41">
        <v>4</v>
      </c>
      <c r="Y57" s="41">
        <v>0</v>
      </c>
      <c r="Z57" s="41">
        <v>30</v>
      </c>
      <c r="AA57" s="41">
        <v>4</v>
      </c>
      <c r="AB57" s="41">
        <v>0</v>
      </c>
      <c r="AC57" s="41">
        <v>30</v>
      </c>
      <c r="AD57" s="41">
        <v>4</v>
      </c>
      <c r="AE57" s="41">
        <v>0</v>
      </c>
      <c r="AF57" s="28">
        <f t="shared" si="8"/>
        <v>8400000</v>
      </c>
      <c r="AG57" s="28">
        <f t="shared" si="9"/>
        <v>8155.3398058252424</v>
      </c>
    </row>
    <row r="58" spans="1:33" ht="43.2" x14ac:dyDescent="0.3">
      <c r="A58" s="41" t="s">
        <v>696</v>
      </c>
      <c r="B58" s="41" t="s">
        <v>690</v>
      </c>
      <c r="C58" s="42" t="s">
        <v>652</v>
      </c>
      <c r="D58" s="41" t="s">
        <v>22</v>
      </c>
      <c r="E58" s="41" t="s">
        <v>252</v>
      </c>
      <c r="F58" s="41" t="s">
        <v>709</v>
      </c>
      <c r="G58" s="41">
        <v>35000</v>
      </c>
      <c r="H58" s="41"/>
      <c r="I58" s="41"/>
      <c r="J58" s="41">
        <v>0</v>
      </c>
      <c r="K58" s="41"/>
      <c r="L58" s="41"/>
      <c r="M58" s="41">
        <f t="shared" si="12"/>
        <v>0</v>
      </c>
      <c r="N58" s="41">
        <v>30</v>
      </c>
      <c r="O58" s="41">
        <v>1</v>
      </c>
      <c r="P58" s="41">
        <v>1120000</v>
      </c>
      <c r="Q58" s="41">
        <v>30</v>
      </c>
      <c r="R58" s="41">
        <v>1</v>
      </c>
      <c r="S58" s="41">
        <v>1120000</v>
      </c>
      <c r="T58" s="41">
        <v>30</v>
      </c>
      <c r="U58" s="41">
        <v>1</v>
      </c>
      <c r="V58" s="41">
        <v>1120000</v>
      </c>
      <c r="W58" s="41">
        <v>30</v>
      </c>
      <c r="X58" s="41">
        <v>1</v>
      </c>
      <c r="Y58" s="41">
        <v>0</v>
      </c>
      <c r="Z58" s="41">
        <v>30</v>
      </c>
      <c r="AA58" s="41">
        <v>1</v>
      </c>
      <c r="AB58" s="41">
        <v>0</v>
      </c>
      <c r="AC58" s="41">
        <v>30</v>
      </c>
      <c r="AD58" s="41">
        <v>1</v>
      </c>
      <c r="AE58" s="41">
        <v>0</v>
      </c>
      <c r="AF58" s="28">
        <f t="shared" si="8"/>
        <v>3360000</v>
      </c>
      <c r="AG58" s="28">
        <f t="shared" si="9"/>
        <v>3262.1359223300969</v>
      </c>
    </row>
    <row r="59" spans="1:33" ht="43.2" x14ac:dyDescent="0.3">
      <c r="A59" s="41" t="s">
        <v>696</v>
      </c>
      <c r="B59" s="41" t="s">
        <v>690</v>
      </c>
      <c r="C59" s="42" t="s">
        <v>652</v>
      </c>
      <c r="D59" s="41" t="s">
        <v>22</v>
      </c>
      <c r="E59" s="41" t="s">
        <v>252</v>
      </c>
      <c r="F59" s="41" t="s">
        <v>716</v>
      </c>
      <c r="G59" s="41">
        <v>39000</v>
      </c>
      <c r="H59" s="41"/>
      <c r="I59" s="41"/>
      <c r="J59" s="41">
        <v>0</v>
      </c>
      <c r="K59" s="41"/>
      <c r="L59" s="41"/>
      <c r="M59" s="41">
        <f t="shared" si="12"/>
        <v>0</v>
      </c>
      <c r="N59" s="41">
        <v>30</v>
      </c>
      <c r="O59" s="41">
        <v>2</v>
      </c>
      <c r="P59" s="41">
        <v>780000</v>
      </c>
      <c r="Q59" s="41">
        <v>30</v>
      </c>
      <c r="R59" s="41">
        <v>2</v>
      </c>
      <c r="S59" s="41">
        <v>780000</v>
      </c>
      <c r="T59" s="41">
        <v>30</v>
      </c>
      <c r="U59" s="41">
        <v>2</v>
      </c>
      <c r="V59" s="41">
        <v>780000</v>
      </c>
      <c r="W59" s="41">
        <v>30</v>
      </c>
      <c r="X59" s="41">
        <v>2</v>
      </c>
      <c r="Y59" s="41">
        <v>0</v>
      </c>
      <c r="Z59" s="41">
        <v>30</v>
      </c>
      <c r="AA59" s="41">
        <v>2</v>
      </c>
      <c r="AB59" s="41">
        <v>0</v>
      </c>
      <c r="AC59" s="41">
        <v>30</v>
      </c>
      <c r="AD59" s="41">
        <v>2</v>
      </c>
      <c r="AE59" s="41">
        <v>0</v>
      </c>
      <c r="AF59" s="28">
        <f t="shared" si="8"/>
        <v>2340000</v>
      </c>
      <c r="AG59" s="28">
        <f t="shared" si="9"/>
        <v>2271.8446601941746</v>
      </c>
    </row>
    <row r="60" spans="1:33"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28">
        <f t="shared" si="8"/>
        <v>0</v>
      </c>
      <c r="AG60" s="28">
        <f t="shared" si="9"/>
        <v>0</v>
      </c>
    </row>
    <row r="61" spans="1:33"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28">
        <f t="shared" si="8"/>
        <v>0</v>
      </c>
      <c r="AG61" s="28">
        <f t="shared" si="9"/>
        <v>0</v>
      </c>
    </row>
    <row r="62" spans="1:33" ht="43.2" x14ac:dyDescent="0.3">
      <c r="A62" s="41" t="s">
        <v>696</v>
      </c>
      <c r="B62" s="41" t="s">
        <v>690</v>
      </c>
      <c r="C62" s="41" t="s">
        <v>653</v>
      </c>
      <c r="D62" s="41" t="s">
        <v>26</v>
      </c>
      <c r="E62" s="41" t="s">
        <v>729</v>
      </c>
      <c r="F62" s="41" t="s">
        <v>718</v>
      </c>
      <c r="G62" s="41">
        <v>0</v>
      </c>
      <c r="H62" s="41"/>
      <c r="I62" s="41"/>
      <c r="J62" s="67">
        <f>$G62*H62*I62</f>
        <v>0</v>
      </c>
      <c r="K62" s="41"/>
      <c r="L62" s="41"/>
      <c r="M62" s="41">
        <f>($G62*1.1^1)*K62*L62</f>
        <v>0</v>
      </c>
      <c r="N62" s="41">
        <v>0</v>
      </c>
      <c r="O62" s="41">
        <v>0</v>
      </c>
      <c r="P62" s="41">
        <f>($G62*1.1^2)*N62*O62</f>
        <v>0</v>
      </c>
      <c r="Q62" s="41">
        <v>0</v>
      </c>
      <c r="R62" s="41">
        <v>0</v>
      </c>
      <c r="S62" s="41">
        <f>($G62*1.1^3)*Q62*R62</f>
        <v>0</v>
      </c>
      <c r="T62" s="41">
        <v>0</v>
      </c>
      <c r="U62" s="41">
        <v>0</v>
      </c>
      <c r="V62" s="41">
        <f>($G62*1.1^4)*T62*U62</f>
        <v>0</v>
      </c>
      <c r="W62" s="41">
        <v>0</v>
      </c>
      <c r="X62" s="41">
        <v>0</v>
      </c>
      <c r="Y62" s="41">
        <f>($G62*1.1^5)*W62*X62</f>
        <v>0</v>
      </c>
      <c r="Z62" s="41">
        <v>0</v>
      </c>
      <c r="AA62" s="41">
        <v>0</v>
      </c>
      <c r="AB62" s="41">
        <f>($G62*1.1^6)*Z62*AA62</f>
        <v>0</v>
      </c>
      <c r="AC62" s="41">
        <v>0</v>
      </c>
      <c r="AD62" s="41">
        <v>0</v>
      </c>
      <c r="AE62" s="41">
        <f>($G62*1.1^7)*AC62*AD62</f>
        <v>0</v>
      </c>
      <c r="AF62" s="28">
        <f t="shared" si="8"/>
        <v>0</v>
      </c>
      <c r="AG62" s="28">
        <f t="shared" si="9"/>
        <v>0</v>
      </c>
    </row>
    <row r="63" spans="1:33" ht="43.2" x14ac:dyDescent="0.3">
      <c r="A63" s="41" t="s">
        <v>696</v>
      </c>
      <c r="B63" s="41" t="s">
        <v>690</v>
      </c>
      <c r="C63" s="41" t="s">
        <v>653</v>
      </c>
      <c r="D63" s="41" t="s">
        <v>26</v>
      </c>
      <c r="E63" s="41" t="s">
        <v>730</v>
      </c>
      <c r="F63" s="41" t="s">
        <v>718</v>
      </c>
      <c r="G63" s="41">
        <v>0</v>
      </c>
      <c r="H63" s="41"/>
      <c r="I63" s="41"/>
      <c r="J63" s="41">
        <v>0</v>
      </c>
      <c r="K63" s="41"/>
      <c r="L63" s="41"/>
      <c r="M63" s="41">
        <f t="shared" ref="M63:M87" si="15">($G63*1.1^1)*K63*L63</f>
        <v>0</v>
      </c>
      <c r="N63" s="41">
        <v>0</v>
      </c>
      <c r="O63" s="41">
        <v>0</v>
      </c>
      <c r="P63" s="41">
        <f t="shared" ref="P63:P87" si="16">($G63*1.1^2)*N63*O63</f>
        <v>0</v>
      </c>
      <c r="Q63" s="41">
        <v>0</v>
      </c>
      <c r="R63" s="41">
        <v>0</v>
      </c>
      <c r="S63" s="41">
        <v>0</v>
      </c>
      <c r="T63" s="41">
        <v>0</v>
      </c>
      <c r="U63" s="41">
        <v>0</v>
      </c>
      <c r="V63" s="41">
        <v>0</v>
      </c>
      <c r="W63" s="41">
        <v>0</v>
      </c>
      <c r="X63" s="41">
        <v>0</v>
      </c>
      <c r="Y63" s="41">
        <v>0</v>
      </c>
      <c r="Z63" s="41">
        <v>0</v>
      </c>
      <c r="AA63" s="41">
        <v>0</v>
      </c>
      <c r="AB63" s="41">
        <v>0</v>
      </c>
      <c r="AC63" s="41">
        <v>0</v>
      </c>
      <c r="AD63" s="41">
        <v>0</v>
      </c>
      <c r="AE63" s="41">
        <v>0</v>
      </c>
      <c r="AF63" s="28">
        <f t="shared" si="8"/>
        <v>0</v>
      </c>
      <c r="AG63" s="28">
        <f t="shared" si="9"/>
        <v>0</v>
      </c>
    </row>
    <row r="64" spans="1:33" ht="43.2" x14ac:dyDescent="0.3">
      <c r="A64" s="41" t="s">
        <v>696</v>
      </c>
      <c r="B64" s="41" t="s">
        <v>690</v>
      </c>
      <c r="C64" s="41" t="s">
        <v>653</v>
      </c>
      <c r="D64" s="41" t="s">
        <v>26</v>
      </c>
      <c r="E64" s="41" t="s">
        <v>731</v>
      </c>
      <c r="F64" s="41" t="s">
        <v>709</v>
      </c>
      <c r="G64" s="41">
        <v>35000</v>
      </c>
      <c r="H64" s="41"/>
      <c r="I64" s="41"/>
      <c r="J64" s="41">
        <v>0</v>
      </c>
      <c r="K64" s="41"/>
      <c r="L64" s="41"/>
      <c r="M64" s="41">
        <f t="shared" si="15"/>
        <v>0</v>
      </c>
      <c r="N64" s="41">
        <v>50</v>
      </c>
      <c r="O64" s="41">
        <v>1</v>
      </c>
      <c r="P64" s="41">
        <f t="shared" si="16"/>
        <v>2117500.0000000005</v>
      </c>
      <c r="Q64" s="41">
        <v>0</v>
      </c>
      <c r="R64" s="41">
        <v>0</v>
      </c>
      <c r="S64" s="41">
        <v>0</v>
      </c>
      <c r="T64" s="41">
        <v>0</v>
      </c>
      <c r="U64" s="41">
        <v>0</v>
      </c>
      <c r="V64" s="41">
        <v>0</v>
      </c>
      <c r="W64" s="41">
        <v>0</v>
      </c>
      <c r="X64" s="41">
        <v>0</v>
      </c>
      <c r="Y64" s="41">
        <v>0</v>
      </c>
      <c r="Z64" s="41">
        <v>0</v>
      </c>
      <c r="AA64" s="41">
        <v>0</v>
      </c>
      <c r="AB64" s="41">
        <v>0</v>
      </c>
      <c r="AC64" s="41">
        <v>0</v>
      </c>
      <c r="AD64" s="41">
        <v>0</v>
      </c>
      <c r="AE64" s="41">
        <v>0</v>
      </c>
      <c r="AF64" s="28">
        <f t="shared" si="8"/>
        <v>2117500.0000000005</v>
      </c>
      <c r="AG64" s="28">
        <f t="shared" si="9"/>
        <v>2055.825242718447</v>
      </c>
    </row>
    <row r="65" spans="1:33" ht="43.2" x14ac:dyDescent="0.3">
      <c r="A65" s="41" t="s">
        <v>696</v>
      </c>
      <c r="B65" s="41" t="s">
        <v>690</v>
      </c>
      <c r="C65" s="41" t="s">
        <v>653</v>
      </c>
      <c r="D65" s="41" t="s">
        <v>26</v>
      </c>
      <c r="E65" s="41" t="s">
        <v>732</v>
      </c>
      <c r="F65" s="41" t="s">
        <v>709</v>
      </c>
      <c r="G65" s="41">
        <v>35000</v>
      </c>
      <c r="H65" s="41"/>
      <c r="I65" s="41"/>
      <c r="J65" s="41">
        <v>0</v>
      </c>
      <c r="K65" s="41"/>
      <c r="L65" s="41"/>
      <c r="M65" s="41">
        <f t="shared" si="15"/>
        <v>0</v>
      </c>
      <c r="N65" s="41">
        <v>40</v>
      </c>
      <c r="O65" s="41">
        <v>5</v>
      </c>
      <c r="P65" s="41">
        <f t="shared" si="16"/>
        <v>8470000.0000000019</v>
      </c>
      <c r="Q65" s="41">
        <v>0</v>
      </c>
      <c r="R65" s="41">
        <v>0</v>
      </c>
      <c r="S65" s="41">
        <v>0</v>
      </c>
      <c r="T65" s="41">
        <v>0</v>
      </c>
      <c r="U65" s="41">
        <v>0</v>
      </c>
      <c r="V65" s="41">
        <v>0</v>
      </c>
      <c r="W65" s="41">
        <v>0</v>
      </c>
      <c r="X65" s="41">
        <v>0</v>
      </c>
      <c r="Y65" s="41">
        <v>0</v>
      </c>
      <c r="Z65" s="41">
        <v>0</v>
      </c>
      <c r="AA65" s="41">
        <v>0</v>
      </c>
      <c r="AB65" s="41">
        <v>0</v>
      </c>
      <c r="AC65" s="41">
        <v>0</v>
      </c>
      <c r="AD65" s="41">
        <v>0</v>
      </c>
      <c r="AE65" s="41">
        <v>0</v>
      </c>
      <c r="AF65" s="28">
        <f t="shared" si="8"/>
        <v>8470000.0000000019</v>
      </c>
      <c r="AG65" s="28">
        <f t="shared" si="9"/>
        <v>8223.3009708737882</v>
      </c>
    </row>
    <row r="66" spans="1:33" ht="43.2" x14ac:dyDescent="0.3">
      <c r="A66" s="41" t="s">
        <v>696</v>
      </c>
      <c r="B66" s="41" t="s">
        <v>690</v>
      </c>
      <c r="C66" s="41" t="s">
        <v>653</v>
      </c>
      <c r="D66" s="41" t="s">
        <v>26</v>
      </c>
      <c r="E66" s="41" t="s">
        <v>732</v>
      </c>
      <c r="F66" s="41" t="s">
        <v>716</v>
      </c>
      <c r="G66" s="41">
        <v>39000</v>
      </c>
      <c r="H66" s="41"/>
      <c r="I66" s="41"/>
      <c r="J66" s="41">
        <v>0</v>
      </c>
      <c r="K66" s="41"/>
      <c r="L66" s="41"/>
      <c r="M66" s="41">
        <f t="shared" si="15"/>
        <v>0</v>
      </c>
      <c r="N66" s="41">
        <v>40</v>
      </c>
      <c r="O66" s="41">
        <v>6</v>
      </c>
      <c r="P66" s="41">
        <f t="shared" si="16"/>
        <v>11325600.000000002</v>
      </c>
      <c r="Q66" s="41">
        <v>0</v>
      </c>
      <c r="R66" s="41">
        <v>0</v>
      </c>
      <c r="S66" s="41">
        <v>0</v>
      </c>
      <c r="T66" s="41">
        <v>0</v>
      </c>
      <c r="U66" s="41">
        <v>0</v>
      </c>
      <c r="V66" s="41">
        <v>0</v>
      </c>
      <c r="W66" s="41">
        <v>0</v>
      </c>
      <c r="X66" s="41">
        <v>0</v>
      </c>
      <c r="Y66" s="41">
        <v>0</v>
      </c>
      <c r="Z66" s="41">
        <v>0</v>
      </c>
      <c r="AA66" s="41">
        <v>0</v>
      </c>
      <c r="AB66" s="41">
        <v>0</v>
      </c>
      <c r="AC66" s="41">
        <v>0</v>
      </c>
      <c r="AD66" s="41">
        <v>0</v>
      </c>
      <c r="AE66" s="41">
        <v>0</v>
      </c>
      <c r="AF66" s="28">
        <f t="shared" si="8"/>
        <v>11325600.000000002</v>
      </c>
      <c r="AG66" s="28">
        <f t="shared" si="9"/>
        <v>10995.728155339808</v>
      </c>
    </row>
    <row r="67" spans="1:33" ht="43.2" x14ac:dyDescent="0.3">
      <c r="A67" s="41" t="s">
        <v>696</v>
      </c>
      <c r="B67" s="41" t="s">
        <v>690</v>
      </c>
      <c r="C67" s="41" t="s">
        <v>653</v>
      </c>
      <c r="D67" s="41" t="s">
        <v>26</v>
      </c>
      <c r="E67" s="41" t="s">
        <v>732</v>
      </c>
      <c r="F67" s="41" t="s">
        <v>712</v>
      </c>
      <c r="G67" s="41">
        <f>1999.2/7</f>
        <v>285.60000000000002</v>
      </c>
      <c r="H67" s="41"/>
      <c r="I67" s="41"/>
      <c r="J67" s="41">
        <v>0</v>
      </c>
      <c r="K67" s="41"/>
      <c r="L67" s="41"/>
      <c r="M67" s="41">
        <f t="shared" si="15"/>
        <v>0</v>
      </c>
      <c r="N67" s="41">
        <f>2*25*9</f>
        <v>450</v>
      </c>
      <c r="O67" s="41">
        <v>5</v>
      </c>
      <c r="P67" s="41">
        <f t="shared" si="16"/>
        <v>777546.00000000023</v>
      </c>
      <c r="Q67" s="41">
        <v>0</v>
      </c>
      <c r="R67" s="41">
        <v>0</v>
      </c>
      <c r="S67" s="41">
        <v>0</v>
      </c>
      <c r="T67" s="41">
        <v>0</v>
      </c>
      <c r="U67" s="41">
        <v>0</v>
      </c>
      <c r="V67" s="41">
        <v>0</v>
      </c>
      <c r="W67" s="41">
        <v>0</v>
      </c>
      <c r="X67" s="41">
        <v>0</v>
      </c>
      <c r="Y67" s="41">
        <v>0</v>
      </c>
      <c r="Z67" s="41">
        <v>0</v>
      </c>
      <c r="AA67" s="41">
        <v>0</v>
      </c>
      <c r="AB67" s="41">
        <v>0</v>
      </c>
      <c r="AC67" s="41">
        <v>0</v>
      </c>
      <c r="AD67" s="41">
        <v>0</v>
      </c>
      <c r="AE67" s="41">
        <v>0</v>
      </c>
      <c r="AF67" s="28">
        <f t="shared" ref="AF67:AF130" si="17">J67+M67+P67+S67+V67+Y67+AB67+AE67</f>
        <v>777546.00000000023</v>
      </c>
      <c r="AG67" s="28">
        <f t="shared" ref="AG67:AG130" si="18">AF67/$AL$2</f>
        <v>754.8990291262138</v>
      </c>
    </row>
    <row r="68" spans="1:33" x14ac:dyDescent="0.3">
      <c r="A68" s="41"/>
      <c r="B68" s="41"/>
      <c r="C68" s="41"/>
      <c r="D68" s="41"/>
      <c r="E68" s="41"/>
      <c r="F68" s="41" t="s">
        <v>1336</v>
      </c>
      <c r="G68" s="41">
        <f>1999.2/7</f>
        <v>285.60000000000002</v>
      </c>
      <c r="H68" s="41"/>
      <c r="I68" s="41"/>
      <c r="J68" s="41"/>
      <c r="K68" s="41"/>
      <c r="L68" s="41"/>
      <c r="M68" s="41">
        <f t="shared" si="15"/>
        <v>0</v>
      </c>
      <c r="N68" s="41">
        <f>2*135*9</f>
        <v>2430</v>
      </c>
      <c r="O68" s="41">
        <v>1</v>
      </c>
      <c r="P68" s="41">
        <f t="shared" si="16"/>
        <v>839749.68000000017</v>
      </c>
      <c r="Q68" s="41"/>
      <c r="R68" s="41"/>
      <c r="S68" s="41"/>
      <c r="T68" s="41"/>
      <c r="U68" s="41"/>
      <c r="V68" s="41"/>
      <c r="W68" s="41"/>
      <c r="X68" s="41"/>
      <c r="Y68" s="41"/>
      <c r="Z68" s="41"/>
      <c r="AA68" s="41"/>
      <c r="AB68" s="41"/>
      <c r="AC68" s="41"/>
      <c r="AD68" s="41"/>
      <c r="AE68" s="41"/>
      <c r="AF68" s="28">
        <f t="shared" si="17"/>
        <v>839749.68000000017</v>
      </c>
      <c r="AG68" s="28">
        <f t="shared" si="18"/>
        <v>815.29095145631084</v>
      </c>
    </row>
    <row r="69" spans="1:33" ht="43.2" x14ac:dyDescent="0.3">
      <c r="A69" s="41" t="s">
        <v>696</v>
      </c>
      <c r="B69" s="41" t="s">
        <v>690</v>
      </c>
      <c r="C69" s="41" t="s">
        <v>653</v>
      </c>
      <c r="D69" s="41" t="s">
        <v>26</v>
      </c>
      <c r="E69" s="41" t="s">
        <v>733</v>
      </c>
      <c r="F69" s="41" t="s">
        <v>709</v>
      </c>
      <c r="G69" s="41">
        <v>35000</v>
      </c>
      <c r="H69" s="41"/>
      <c r="I69" s="41"/>
      <c r="J69" s="41">
        <v>0</v>
      </c>
      <c r="K69" s="41"/>
      <c r="L69" s="41"/>
      <c r="M69" s="41">
        <f t="shared" si="15"/>
        <v>0</v>
      </c>
      <c r="N69" s="41">
        <v>40</v>
      </c>
      <c r="O69" s="41">
        <v>5</v>
      </c>
      <c r="P69" s="41">
        <f t="shared" si="16"/>
        <v>8470000.0000000019</v>
      </c>
      <c r="Q69" s="41">
        <v>0</v>
      </c>
      <c r="R69" s="41">
        <v>0</v>
      </c>
      <c r="S69" s="41">
        <v>0</v>
      </c>
      <c r="T69" s="41">
        <v>0</v>
      </c>
      <c r="U69" s="41">
        <v>0</v>
      </c>
      <c r="V69" s="41">
        <v>0</v>
      </c>
      <c r="W69" s="41">
        <v>0</v>
      </c>
      <c r="X69" s="41">
        <v>0</v>
      </c>
      <c r="Y69" s="41">
        <v>0</v>
      </c>
      <c r="Z69" s="41">
        <v>0</v>
      </c>
      <c r="AA69" s="41">
        <v>0</v>
      </c>
      <c r="AB69" s="41">
        <v>0</v>
      </c>
      <c r="AC69" s="41">
        <v>0</v>
      </c>
      <c r="AD69" s="41">
        <v>0</v>
      </c>
      <c r="AE69" s="41">
        <v>0</v>
      </c>
      <c r="AF69" s="28">
        <f t="shared" si="17"/>
        <v>8470000.0000000019</v>
      </c>
      <c r="AG69" s="28">
        <f t="shared" si="18"/>
        <v>8223.3009708737882</v>
      </c>
    </row>
    <row r="70" spans="1:33" ht="43.2" x14ac:dyDescent="0.3">
      <c r="A70" s="41" t="s">
        <v>696</v>
      </c>
      <c r="B70" s="41" t="s">
        <v>690</v>
      </c>
      <c r="C70" s="41" t="s">
        <v>653</v>
      </c>
      <c r="D70" s="41" t="s">
        <v>26</v>
      </c>
      <c r="E70" s="41" t="s">
        <v>733</v>
      </c>
      <c r="F70" s="41" t="s">
        <v>716</v>
      </c>
      <c r="G70" s="41">
        <v>39000</v>
      </c>
      <c r="H70" s="41"/>
      <c r="I70" s="41"/>
      <c r="J70" s="41">
        <v>0</v>
      </c>
      <c r="K70" s="41"/>
      <c r="L70" s="41"/>
      <c r="M70" s="41">
        <f t="shared" si="15"/>
        <v>0</v>
      </c>
      <c r="N70" s="41">
        <v>40</v>
      </c>
      <c r="O70" s="41">
        <v>6</v>
      </c>
      <c r="P70" s="41">
        <f t="shared" si="16"/>
        <v>11325600.000000002</v>
      </c>
      <c r="Q70" s="41">
        <v>0</v>
      </c>
      <c r="R70" s="41">
        <v>0</v>
      </c>
      <c r="S70" s="41">
        <v>0</v>
      </c>
      <c r="T70" s="41">
        <v>0</v>
      </c>
      <c r="U70" s="41">
        <v>0</v>
      </c>
      <c r="V70" s="41">
        <v>0</v>
      </c>
      <c r="W70" s="41">
        <v>0</v>
      </c>
      <c r="X70" s="41">
        <v>0</v>
      </c>
      <c r="Y70" s="41">
        <v>0</v>
      </c>
      <c r="Z70" s="41">
        <v>0</v>
      </c>
      <c r="AA70" s="41">
        <v>0</v>
      </c>
      <c r="AB70" s="41">
        <v>0</v>
      </c>
      <c r="AC70" s="41">
        <v>0</v>
      </c>
      <c r="AD70" s="41">
        <v>0</v>
      </c>
      <c r="AE70" s="41">
        <v>0</v>
      </c>
      <c r="AF70" s="28">
        <f t="shared" si="17"/>
        <v>11325600.000000002</v>
      </c>
      <c r="AG70" s="28">
        <f t="shared" si="18"/>
        <v>10995.728155339808</v>
      </c>
    </row>
    <row r="71" spans="1:33" ht="43.2" x14ac:dyDescent="0.3">
      <c r="A71" s="41" t="s">
        <v>696</v>
      </c>
      <c r="B71" s="41" t="s">
        <v>690</v>
      </c>
      <c r="C71" s="41" t="s">
        <v>653</v>
      </c>
      <c r="D71" s="41" t="s">
        <v>26</v>
      </c>
      <c r="E71" s="41" t="s">
        <v>733</v>
      </c>
      <c r="F71" s="41" t="s">
        <v>712</v>
      </c>
      <c r="G71" s="41">
        <f>1999.2/7</f>
        <v>285.60000000000002</v>
      </c>
      <c r="H71" s="41"/>
      <c r="I71" s="41"/>
      <c r="J71" s="41">
        <v>0</v>
      </c>
      <c r="K71" s="41"/>
      <c r="L71" s="41"/>
      <c r="M71" s="41">
        <f t="shared" si="15"/>
        <v>0</v>
      </c>
      <c r="N71" s="41">
        <f>25*2*9</f>
        <v>450</v>
      </c>
      <c r="O71" s="41">
        <v>5</v>
      </c>
      <c r="P71" s="41">
        <f t="shared" si="16"/>
        <v>777546.00000000023</v>
      </c>
      <c r="Q71" s="41">
        <v>0</v>
      </c>
      <c r="R71" s="41">
        <v>0</v>
      </c>
      <c r="S71" s="41">
        <v>0</v>
      </c>
      <c r="T71" s="41">
        <v>0</v>
      </c>
      <c r="U71" s="41">
        <v>0</v>
      </c>
      <c r="V71" s="41">
        <v>0</v>
      </c>
      <c r="W71" s="41">
        <v>0</v>
      </c>
      <c r="X71" s="41">
        <v>0</v>
      </c>
      <c r="Y71" s="41">
        <v>0</v>
      </c>
      <c r="Z71" s="41">
        <v>0</v>
      </c>
      <c r="AA71" s="41">
        <v>0</v>
      </c>
      <c r="AB71" s="41">
        <v>0</v>
      </c>
      <c r="AC71" s="41">
        <v>0</v>
      </c>
      <c r="AD71" s="41">
        <v>0</v>
      </c>
      <c r="AE71" s="41">
        <v>0</v>
      </c>
      <c r="AF71" s="28">
        <f t="shared" si="17"/>
        <v>777546.00000000023</v>
      </c>
      <c r="AG71" s="28">
        <f t="shared" si="18"/>
        <v>754.8990291262138</v>
      </c>
    </row>
    <row r="72" spans="1:33" x14ac:dyDescent="0.3">
      <c r="A72" s="41"/>
      <c r="B72" s="41"/>
      <c r="C72" s="41"/>
      <c r="D72" s="41"/>
      <c r="E72" s="41"/>
      <c r="F72" s="41" t="s">
        <v>1336</v>
      </c>
      <c r="G72" s="41">
        <f>1999.2/7</f>
        <v>285.60000000000002</v>
      </c>
      <c r="H72" s="41"/>
      <c r="I72" s="41"/>
      <c r="J72" s="41"/>
      <c r="K72" s="41"/>
      <c r="L72" s="41"/>
      <c r="M72" s="41">
        <f t="shared" si="15"/>
        <v>0</v>
      </c>
      <c r="N72" s="41">
        <f>2*135*9</f>
        <v>2430</v>
      </c>
      <c r="O72" s="41">
        <v>1</v>
      </c>
      <c r="P72" s="41">
        <f t="shared" si="16"/>
        <v>839749.68000000017</v>
      </c>
      <c r="Q72" s="41"/>
      <c r="R72" s="41"/>
      <c r="S72" s="41"/>
      <c r="T72" s="41"/>
      <c r="U72" s="41"/>
      <c r="V72" s="41"/>
      <c r="W72" s="41"/>
      <c r="X72" s="41"/>
      <c r="Y72" s="41"/>
      <c r="Z72" s="41"/>
      <c r="AA72" s="41"/>
      <c r="AB72" s="41"/>
      <c r="AC72" s="41"/>
      <c r="AD72" s="41"/>
      <c r="AE72" s="41"/>
      <c r="AF72" s="28">
        <f t="shared" si="17"/>
        <v>839749.68000000017</v>
      </c>
      <c r="AG72" s="28">
        <f t="shared" si="18"/>
        <v>815.29095145631084</v>
      </c>
    </row>
    <row r="73" spans="1:33" ht="43.2" x14ac:dyDescent="0.3">
      <c r="A73" s="41" t="s">
        <v>696</v>
      </c>
      <c r="B73" s="41" t="s">
        <v>690</v>
      </c>
      <c r="C73" s="41" t="s">
        <v>653</v>
      </c>
      <c r="D73" s="41" t="s">
        <v>26</v>
      </c>
      <c r="E73" s="41" t="s">
        <v>272</v>
      </c>
      <c r="F73" s="41" t="s">
        <v>709</v>
      </c>
      <c r="G73" s="41">
        <v>35000</v>
      </c>
      <c r="H73" s="41"/>
      <c r="I73" s="41"/>
      <c r="J73" s="41">
        <v>0</v>
      </c>
      <c r="K73" s="41"/>
      <c r="L73" s="41"/>
      <c r="M73" s="41">
        <f t="shared" si="15"/>
        <v>0</v>
      </c>
      <c r="N73" s="41">
        <v>50</v>
      </c>
      <c r="O73" s="41">
        <v>5</v>
      </c>
      <c r="P73" s="41">
        <f t="shared" si="16"/>
        <v>10587500.000000002</v>
      </c>
      <c r="Q73" s="41">
        <v>0</v>
      </c>
      <c r="R73" s="41">
        <v>0</v>
      </c>
      <c r="S73" s="41">
        <v>0</v>
      </c>
      <c r="T73" s="41">
        <v>0</v>
      </c>
      <c r="U73" s="41">
        <v>0</v>
      </c>
      <c r="V73" s="41">
        <v>0</v>
      </c>
      <c r="W73" s="41">
        <v>0</v>
      </c>
      <c r="X73" s="41">
        <v>0</v>
      </c>
      <c r="Y73" s="41">
        <v>0</v>
      </c>
      <c r="Z73" s="41">
        <v>0</v>
      </c>
      <c r="AA73" s="41">
        <v>0</v>
      </c>
      <c r="AB73" s="41">
        <v>0</v>
      </c>
      <c r="AC73" s="41">
        <v>0</v>
      </c>
      <c r="AD73" s="41">
        <v>0</v>
      </c>
      <c r="AE73" s="41">
        <v>0</v>
      </c>
      <c r="AF73" s="28">
        <f t="shared" si="17"/>
        <v>10587500.000000002</v>
      </c>
      <c r="AG73" s="28">
        <f t="shared" si="18"/>
        <v>10279.126213592235</v>
      </c>
    </row>
    <row r="74" spans="1:33" ht="43.2" x14ac:dyDescent="0.3">
      <c r="A74" s="41" t="s">
        <v>696</v>
      </c>
      <c r="B74" s="41" t="s">
        <v>690</v>
      </c>
      <c r="C74" s="41" t="s">
        <v>653</v>
      </c>
      <c r="D74" s="41" t="s">
        <v>26</v>
      </c>
      <c r="E74" s="41" t="s">
        <v>272</v>
      </c>
      <c r="F74" s="41" t="s">
        <v>716</v>
      </c>
      <c r="G74" s="41">
        <v>39000</v>
      </c>
      <c r="H74" s="41"/>
      <c r="I74" s="41"/>
      <c r="J74" s="41">
        <v>0</v>
      </c>
      <c r="K74" s="41"/>
      <c r="L74" s="41"/>
      <c r="M74" s="41">
        <f t="shared" si="15"/>
        <v>0</v>
      </c>
      <c r="N74" s="41">
        <v>50</v>
      </c>
      <c r="O74" s="41">
        <v>6</v>
      </c>
      <c r="P74" s="41">
        <f t="shared" si="16"/>
        <v>14157000.000000004</v>
      </c>
      <c r="Q74" s="41">
        <v>0</v>
      </c>
      <c r="R74" s="41">
        <v>0</v>
      </c>
      <c r="S74" s="41">
        <v>0</v>
      </c>
      <c r="T74" s="41">
        <v>0</v>
      </c>
      <c r="U74" s="41">
        <v>0</v>
      </c>
      <c r="V74" s="41">
        <v>0</v>
      </c>
      <c r="W74" s="41">
        <v>0</v>
      </c>
      <c r="X74" s="41">
        <v>0</v>
      </c>
      <c r="Y74" s="41">
        <v>0</v>
      </c>
      <c r="Z74" s="41">
        <v>0</v>
      </c>
      <c r="AA74" s="41">
        <v>0</v>
      </c>
      <c r="AB74" s="41">
        <v>0</v>
      </c>
      <c r="AC74" s="41">
        <v>0</v>
      </c>
      <c r="AD74" s="41">
        <v>0</v>
      </c>
      <c r="AE74" s="41">
        <v>0</v>
      </c>
      <c r="AF74" s="28">
        <f t="shared" si="17"/>
        <v>14157000.000000004</v>
      </c>
      <c r="AG74" s="28">
        <f t="shared" si="18"/>
        <v>13744.660194174761</v>
      </c>
    </row>
    <row r="75" spans="1:33" ht="43.2" x14ac:dyDescent="0.3">
      <c r="A75" s="41" t="s">
        <v>696</v>
      </c>
      <c r="B75" s="41" t="s">
        <v>690</v>
      </c>
      <c r="C75" s="41" t="s">
        <v>653</v>
      </c>
      <c r="D75" s="41" t="s">
        <v>26</v>
      </c>
      <c r="E75" s="41" t="s">
        <v>272</v>
      </c>
      <c r="F75" s="41" t="s">
        <v>712</v>
      </c>
      <c r="G75" s="41">
        <f>1999.2/7</f>
        <v>285.60000000000002</v>
      </c>
      <c r="H75" s="41"/>
      <c r="I75" s="41"/>
      <c r="J75" s="41">
        <v>0</v>
      </c>
      <c r="K75" s="41"/>
      <c r="L75" s="41"/>
      <c r="M75" s="41">
        <f t="shared" si="15"/>
        <v>0</v>
      </c>
      <c r="N75" s="41">
        <f>2*25*9</f>
        <v>450</v>
      </c>
      <c r="O75" s="41">
        <v>5</v>
      </c>
      <c r="P75" s="41">
        <f t="shared" si="16"/>
        <v>777546.00000000023</v>
      </c>
      <c r="Q75" s="41">
        <v>0</v>
      </c>
      <c r="R75" s="41">
        <v>0</v>
      </c>
      <c r="S75" s="41">
        <v>0</v>
      </c>
      <c r="T75" s="41">
        <v>0</v>
      </c>
      <c r="U75" s="41">
        <v>0</v>
      </c>
      <c r="V75" s="41">
        <v>0</v>
      </c>
      <c r="W75" s="41">
        <v>0</v>
      </c>
      <c r="X75" s="41">
        <v>0</v>
      </c>
      <c r="Y75" s="41">
        <v>0</v>
      </c>
      <c r="Z75" s="41">
        <v>0</v>
      </c>
      <c r="AA75" s="41">
        <v>0</v>
      </c>
      <c r="AB75" s="41">
        <v>0</v>
      </c>
      <c r="AC75" s="41">
        <v>0</v>
      </c>
      <c r="AD75" s="41">
        <v>0</v>
      </c>
      <c r="AE75" s="41">
        <v>0</v>
      </c>
      <c r="AF75" s="28">
        <f t="shared" si="17"/>
        <v>777546.00000000023</v>
      </c>
      <c r="AG75" s="28">
        <f t="shared" si="18"/>
        <v>754.8990291262138</v>
      </c>
    </row>
    <row r="76" spans="1:33" x14ac:dyDescent="0.3">
      <c r="A76" s="41"/>
      <c r="B76" s="41"/>
      <c r="C76" s="41"/>
      <c r="D76" s="41"/>
      <c r="E76" s="41"/>
      <c r="F76" s="41" t="s">
        <v>1336</v>
      </c>
      <c r="G76" s="41">
        <f>1999.2/7</f>
        <v>285.60000000000002</v>
      </c>
      <c r="H76" s="41"/>
      <c r="I76" s="41"/>
      <c r="J76" s="41"/>
      <c r="K76" s="41"/>
      <c r="L76" s="41"/>
      <c r="M76" s="41">
        <f t="shared" si="15"/>
        <v>0</v>
      </c>
      <c r="N76" s="41">
        <f>2*135*11</f>
        <v>2970</v>
      </c>
      <c r="O76" s="41">
        <v>1</v>
      </c>
      <c r="P76" s="41">
        <f t="shared" si="16"/>
        <v>1026360.7200000002</v>
      </c>
      <c r="Q76" s="41"/>
      <c r="R76" s="41"/>
      <c r="S76" s="41"/>
      <c r="T76" s="41"/>
      <c r="U76" s="41"/>
      <c r="V76" s="41"/>
      <c r="W76" s="41"/>
      <c r="X76" s="41"/>
      <c r="Y76" s="41"/>
      <c r="Z76" s="41"/>
      <c r="AA76" s="41"/>
      <c r="AB76" s="41"/>
      <c r="AC76" s="41"/>
      <c r="AD76" s="41"/>
      <c r="AE76" s="41"/>
      <c r="AF76" s="28">
        <f t="shared" si="17"/>
        <v>1026360.7200000002</v>
      </c>
      <c r="AG76" s="28">
        <f t="shared" si="18"/>
        <v>996.46671844660216</v>
      </c>
    </row>
    <row r="77" spans="1:33" ht="43.2" x14ac:dyDescent="0.3">
      <c r="A77" s="41" t="s">
        <v>696</v>
      </c>
      <c r="B77" s="41" t="s">
        <v>690</v>
      </c>
      <c r="C77" s="41" t="s">
        <v>653</v>
      </c>
      <c r="D77" s="41" t="s">
        <v>26</v>
      </c>
      <c r="E77" s="41" t="s">
        <v>734</v>
      </c>
      <c r="F77" s="41" t="s">
        <v>709</v>
      </c>
      <c r="G77" s="41">
        <v>35000</v>
      </c>
      <c r="H77" s="41"/>
      <c r="I77" s="41"/>
      <c r="J77" s="41">
        <v>0</v>
      </c>
      <c r="K77" s="41"/>
      <c r="L77" s="41"/>
      <c r="M77" s="41">
        <f t="shared" si="15"/>
        <v>0</v>
      </c>
      <c r="N77" s="41">
        <v>30</v>
      </c>
      <c r="O77" s="41">
        <v>5</v>
      </c>
      <c r="P77" s="41">
        <f t="shared" si="16"/>
        <v>6352500.0000000009</v>
      </c>
      <c r="Q77" s="41">
        <v>0</v>
      </c>
      <c r="R77" s="41">
        <v>0</v>
      </c>
      <c r="S77" s="41">
        <v>0</v>
      </c>
      <c r="T77" s="41">
        <v>0</v>
      </c>
      <c r="U77" s="41">
        <v>0</v>
      </c>
      <c r="V77" s="41">
        <v>0</v>
      </c>
      <c r="W77" s="41">
        <v>0</v>
      </c>
      <c r="X77" s="41">
        <v>0</v>
      </c>
      <c r="Y77" s="41">
        <v>0</v>
      </c>
      <c r="Z77" s="41">
        <v>0</v>
      </c>
      <c r="AA77" s="41">
        <v>0</v>
      </c>
      <c r="AB77" s="41">
        <v>0</v>
      </c>
      <c r="AC77" s="41">
        <v>0</v>
      </c>
      <c r="AD77" s="41">
        <v>0</v>
      </c>
      <c r="AE77" s="41">
        <v>0</v>
      </c>
      <c r="AF77" s="28">
        <f t="shared" si="17"/>
        <v>6352500.0000000009</v>
      </c>
      <c r="AG77" s="28">
        <f t="shared" si="18"/>
        <v>6167.4757281553411</v>
      </c>
    </row>
    <row r="78" spans="1:33" ht="43.2" x14ac:dyDescent="0.3">
      <c r="A78" s="41" t="s">
        <v>696</v>
      </c>
      <c r="B78" s="41" t="s">
        <v>690</v>
      </c>
      <c r="C78" s="41" t="s">
        <v>653</v>
      </c>
      <c r="D78" s="41" t="s">
        <v>26</v>
      </c>
      <c r="E78" s="41" t="s">
        <v>734</v>
      </c>
      <c r="F78" s="41" t="s">
        <v>716</v>
      </c>
      <c r="G78" s="41">
        <v>39000</v>
      </c>
      <c r="H78" s="41"/>
      <c r="I78" s="41"/>
      <c r="J78" s="41">
        <v>0</v>
      </c>
      <c r="K78" s="41"/>
      <c r="L78" s="41"/>
      <c r="M78" s="41">
        <f t="shared" si="15"/>
        <v>0</v>
      </c>
      <c r="N78" s="41">
        <v>30</v>
      </c>
      <c r="O78" s="41">
        <v>5</v>
      </c>
      <c r="P78" s="41">
        <f t="shared" si="16"/>
        <v>7078500.0000000009</v>
      </c>
      <c r="Q78" s="41">
        <v>0</v>
      </c>
      <c r="R78" s="41">
        <v>0</v>
      </c>
      <c r="S78" s="41">
        <v>0</v>
      </c>
      <c r="T78" s="41">
        <v>0</v>
      </c>
      <c r="U78" s="41">
        <v>0</v>
      </c>
      <c r="V78" s="41">
        <v>0</v>
      </c>
      <c r="W78" s="41">
        <v>0</v>
      </c>
      <c r="X78" s="41">
        <v>0</v>
      </c>
      <c r="Y78" s="41">
        <v>0</v>
      </c>
      <c r="Z78" s="41">
        <v>0</v>
      </c>
      <c r="AA78" s="41">
        <v>0</v>
      </c>
      <c r="AB78" s="41">
        <v>0</v>
      </c>
      <c r="AC78" s="41">
        <v>0</v>
      </c>
      <c r="AD78" s="41">
        <v>0</v>
      </c>
      <c r="AE78" s="41">
        <v>0</v>
      </c>
      <c r="AF78" s="28">
        <f t="shared" si="17"/>
        <v>7078500.0000000009</v>
      </c>
      <c r="AG78" s="28">
        <f t="shared" si="18"/>
        <v>6872.3300970873797</v>
      </c>
    </row>
    <row r="79" spans="1:33" ht="43.2" x14ac:dyDescent="0.3">
      <c r="A79" s="41" t="s">
        <v>696</v>
      </c>
      <c r="B79" s="41" t="s">
        <v>690</v>
      </c>
      <c r="C79" s="41" t="s">
        <v>653</v>
      </c>
      <c r="D79" s="41" t="s">
        <v>26</v>
      </c>
      <c r="E79" s="41" t="s">
        <v>734</v>
      </c>
      <c r="F79" s="41" t="s">
        <v>712</v>
      </c>
      <c r="G79" s="41">
        <f>1999.2/7</f>
        <v>285.60000000000002</v>
      </c>
      <c r="H79" s="41"/>
      <c r="I79" s="41"/>
      <c r="J79" s="41">
        <v>0</v>
      </c>
      <c r="K79" s="41"/>
      <c r="L79" s="41"/>
      <c r="M79" s="41">
        <f t="shared" si="15"/>
        <v>0</v>
      </c>
      <c r="N79" s="41">
        <f>2*9*25</f>
        <v>450</v>
      </c>
      <c r="O79" s="41">
        <v>5</v>
      </c>
      <c r="P79" s="41">
        <f t="shared" si="16"/>
        <v>777546.00000000023</v>
      </c>
      <c r="Q79" s="41">
        <v>0</v>
      </c>
      <c r="R79" s="41">
        <v>0</v>
      </c>
      <c r="S79" s="41">
        <v>0</v>
      </c>
      <c r="T79" s="41">
        <v>0</v>
      </c>
      <c r="U79" s="41">
        <v>0</v>
      </c>
      <c r="V79" s="41">
        <v>0</v>
      </c>
      <c r="W79" s="41">
        <v>0</v>
      </c>
      <c r="X79" s="41">
        <v>0</v>
      </c>
      <c r="Y79" s="41">
        <v>0</v>
      </c>
      <c r="Z79" s="41">
        <v>0</v>
      </c>
      <c r="AA79" s="41">
        <v>0</v>
      </c>
      <c r="AB79" s="41">
        <v>0</v>
      </c>
      <c r="AC79" s="41">
        <v>0</v>
      </c>
      <c r="AD79" s="41">
        <v>0</v>
      </c>
      <c r="AE79" s="41">
        <v>0</v>
      </c>
      <c r="AF79" s="28">
        <f t="shared" si="17"/>
        <v>777546.00000000023</v>
      </c>
      <c r="AG79" s="28">
        <f t="shared" si="18"/>
        <v>754.8990291262138</v>
      </c>
    </row>
    <row r="80" spans="1:33" x14ac:dyDescent="0.3">
      <c r="A80" s="41"/>
      <c r="B80" s="41"/>
      <c r="C80" s="41"/>
      <c r="D80" s="41"/>
      <c r="E80" s="41"/>
      <c r="F80" s="41" t="s">
        <v>1336</v>
      </c>
      <c r="G80" s="41">
        <f>1999.2/7</f>
        <v>285.60000000000002</v>
      </c>
      <c r="H80" s="41"/>
      <c r="I80" s="41"/>
      <c r="J80" s="41"/>
      <c r="K80" s="41"/>
      <c r="L80" s="41"/>
      <c r="M80" s="41">
        <f t="shared" si="15"/>
        <v>0</v>
      </c>
      <c r="N80" s="41">
        <f>2*135*9</f>
        <v>2430</v>
      </c>
      <c r="O80" s="41">
        <v>1</v>
      </c>
      <c r="P80" s="41">
        <f t="shared" si="16"/>
        <v>839749.68000000017</v>
      </c>
      <c r="Q80" s="41"/>
      <c r="R80" s="41"/>
      <c r="S80" s="41"/>
      <c r="T80" s="41"/>
      <c r="U80" s="41"/>
      <c r="V80" s="41"/>
      <c r="W80" s="41"/>
      <c r="X80" s="41"/>
      <c r="Y80" s="41"/>
      <c r="Z80" s="41"/>
      <c r="AA80" s="41"/>
      <c r="AB80" s="41"/>
      <c r="AC80" s="41"/>
      <c r="AD80" s="41"/>
      <c r="AE80" s="41"/>
      <c r="AF80" s="28">
        <f t="shared" si="17"/>
        <v>839749.68000000017</v>
      </c>
      <c r="AG80" s="28">
        <f t="shared" si="18"/>
        <v>815.29095145631084</v>
      </c>
    </row>
    <row r="81" spans="1:33" ht="43.2" x14ac:dyDescent="0.3">
      <c r="A81" s="41" t="s">
        <v>696</v>
      </c>
      <c r="B81" s="41" t="s">
        <v>690</v>
      </c>
      <c r="C81" s="41" t="s">
        <v>653</v>
      </c>
      <c r="D81" s="41" t="s">
        <v>26</v>
      </c>
      <c r="E81" s="41" t="s">
        <v>274</v>
      </c>
      <c r="F81" s="41" t="s">
        <v>709</v>
      </c>
      <c r="G81" s="41">
        <v>35000</v>
      </c>
      <c r="H81" s="41"/>
      <c r="I81" s="41"/>
      <c r="J81" s="41">
        <v>0</v>
      </c>
      <c r="K81" s="41"/>
      <c r="L81" s="41"/>
      <c r="M81" s="41">
        <f t="shared" si="15"/>
        <v>0</v>
      </c>
      <c r="N81" s="41">
        <v>50</v>
      </c>
      <c r="O81" s="41">
        <v>1</v>
      </c>
      <c r="P81" s="41">
        <f t="shared" si="16"/>
        <v>2117500.0000000005</v>
      </c>
      <c r="Q81" s="41">
        <v>0</v>
      </c>
      <c r="R81" s="41">
        <v>0</v>
      </c>
      <c r="S81" s="41">
        <v>0</v>
      </c>
      <c r="T81" s="41">
        <v>0</v>
      </c>
      <c r="U81" s="41">
        <v>0</v>
      </c>
      <c r="V81" s="41">
        <v>0</v>
      </c>
      <c r="W81" s="41">
        <v>0</v>
      </c>
      <c r="X81" s="41">
        <v>0</v>
      </c>
      <c r="Y81" s="41">
        <v>0</v>
      </c>
      <c r="Z81" s="41">
        <v>0</v>
      </c>
      <c r="AA81" s="41">
        <v>0</v>
      </c>
      <c r="AB81" s="41">
        <v>0</v>
      </c>
      <c r="AC81" s="41">
        <v>0</v>
      </c>
      <c r="AD81" s="41">
        <v>0</v>
      </c>
      <c r="AE81" s="41">
        <v>0</v>
      </c>
      <c r="AF81" s="28">
        <f t="shared" si="17"/>
        <v>2117500.0000000005</v>
      </c>
      <c r="AG81" s="28">
        <f t="shared" si="18"/>
        <v>2055.825242718447</v>
      </c>
    </row>
    <row r="82" spans="1:33" ht="43.2" x14ac:dyDescent="0.3">
      <c r="A82" s="41" t="s">
        <v>696</v>
      </c>
      <c r="B82" s="41" t="s">
        <v>690</v>
      </c>
      <c r="C82" s="41" t="s">
        <v>653</v>
      </c>
      <c r="D82" s="41" t="s">
        <v>26</v>
      </c>
      <c r="E82" s="41" t="s">
        <v>275</v>
      </c>
      <c r="F82" s="41" t="s">
        <v>709</v>
      </c>
      <c r="G82" s="41">
        <v>35000</v>
      </c>
      <c r="H82" s="41"/>
      <c r="I82" s="41"/>
      <c r="J82" s="41">
        <v>0</v>
      </c>
      <c r="K82" s="41"/>
      <c r="L82" s="41"/>
      <c r="M82" s="41">
        <f t="shared" si="15"/>
        <v>0</v>
      </c>
      <c r="N82" s="41">
        <v>50</v>
      </c>
      <c r="O82" s="41">
        <v>1</v>
      </c>
      <c r="P82" s="41">
        <f t="shared" si="16"/>
        <v>2117500.0000000005</v>
      </c>
      <c r="Q82" s="41">
        <v>0</v>
      </c>
      <c r="R82" s="41">
        <v>0</v>
      </c>
      <c r="S82" s="41">
        <v>0</v>
      </c>
      <c r="T82" s="41">
        <v>0</v>
      </c>
      <c r="U82" s="41">
        <v>0</v>
      </c>
      <c r="V82" s="41">
        <v>0</v>
      </c>
      <c r="W82" s="41">
        <v>0</v>
      </c>
      <c r="X82" s="41">
        <v>0</v>
      </c>
      <c r="Y82" s="41">
        <v>0</v>
      </c>
      <c r="Z82" s="41">
        <v>0</v>
      </c>
      <c r="AA82" s="41">
        <v>0</v>
      </c>
      <c r="AB82" s="41">
        <v>0</v>
      </c>
      <c r="AC82" s="41">
        <v>0</v>
      </c>
      <c r="AD82" s="41">
        <v>0</v>
      </c>
      <c r="AE82" s="41">
        <v>0</v>
      </c>
      <c r="AF82" s="28">
        <f t="shared" si="17"/>
        <v>2117500.0000000005</v>
      </c>
      <c r="AG82" s="28">
        <f t="shared" si="18"/>
        <v>2055.825242718447</v>
      </c>
    </row>
    <row r="83" spans="1:33" ht="43.2" x14ac:dyDescent="0.3">
      <c r="A83" s="41" t="s">
        <v>696</v>
      </c>
      <c r="B83" s="41" t="s">
        <v>690</v>
      </c>
      <c r="C83" s="41" t="s">
        <v>653</v>
      </c>
      <c r="D83" s="41" t="s">
        <v>26</v>
      </c>
      <c r="E83" s="41" t="s">
        <v>276</v>
      </c>
      <c r="F83" s="41" t="s">
        <v>709</v>
      </c>
      <c r="G83" s="41">
        <v>35000</v>
      </c>
      <c r="H83" s="41"/>
      <c r="I83" s="41"/>
      <c r="J83" s="41">
        <v>0</v>
      </c>
      <c r="K83" s="41"/>
      <c r="L83" s="41"/>
      <c r="M83" s="41">
        <f t="shared" si="15"/>
        <v>0</v>
      </c>
      <c r="N83" s="41">
        <v>50</v>
      </c>
      <c r="O83" s="41">
        <v>1</v>
      </c>
      <c r="P83" s="41">
        <f t="shared" si="16"/>
        <v>2117500.0000000005</v>
      </c>
      <c r="Q83" s="41">
        <v>0</v>
      </c>
      <c r="R83" s="41">
        <v>0</v>
      </c>
      <c r="S83" s="41">
        <v>0</v>
      </c>
      <c r="T83" s="41">
        <v>0</v>
      </c>
      <c r="U83" s="41">
        <v>0</v>
      </c>
      <c r="V83" s="41">
        <v>0</v>
      </c>
      <c r="W83" s="41">
        <v>0</v>
      </c>
      <c r="X83" s="41">
        <v>0</v>
      </c>
      <c r="Y83" s="41">
        <v>0</v>
      </c>
      <c r="Z83" s="41">
        <v>0</v>
      </c>
      <c r="AA83" s="41">
        <v>0</v>
      </c>
      <c r="AB83" s="41">
        <v>0</v>
      </c>
      <c r="AC83" s="41">
        <v>0</v>
      </c>
      <c r="AD83" s="41">
        <v>0</v>
      </c>
      <c r="AE83" s="41">
        <v>0</v>
      </c>
      <c r="AF83" s="28">
        <f t="shared" si="17"/>
        <v>2117500.0000000005</v>
      </c>
      <c r="AG83" s="28">
        <f t="shared" si="18"/>
        <v>2055.825242718447</v>
      </c>
    </row>
    <row r="84" spans="1:33" ht="43.2" x14ac:dyDescent="0.3">
      <c r="A84" s="41" t="s">
        <v>696</v>
      </c>
      <c r="B84" s="41" t="s">
        <v>690</v>
      </c>
      <c r="C84" s="41" t="s">
        <v>653</v>
      </c>
      <c r="D84" s="41" t="s">
        <v>26</v>
      </c>
      <c r="E84" s="41" t="s">
        <v>735</v>
      </c>
      <c r="F84" s="41" t="s">
        <v>716</v>
      </c>
      <c r="G84" s="41">
        <v>39000</v>
      </c>
      <c r="H84" s="41"/>
      <c r="I84" s="41"/>
      <c r="J84" s="41">
        <v>0</v>
      </c>
      <c r="K84" s="41"/>
      <c r="L84" s="41"/>
      <c r="M84" s="41">
        <f t="shared" si="15"/>
        <v>0</v>
      </c>
      <c r="N84" s="41">
        <v>50</v>
      </c>
      <c r="O84" s="41">
        <v>1</v>
      </c>
      <c r="P84" s="41">
        <f t="shared" si="16"/>
        <v>2359500.0000000005</v>
      </c>
      <c r="Q84" s="41">
        <v>0</v>
      </c>
      <c r="R84" s="41">
        <v>0</v>
      </c>
      <c r="S84" s="41">
        <v>0</v>
      </c>
      <c r="T84" s="41">
        <v>0</v>
      </c>
      <c r="U84" s="41">
        <v>0</v>
      </c>
      <c r="V84" s="41">
        <v>0</v>
      </c>
      <c r="W84" s="41">
        <v>0</v>
      </c>
      <c r="X84" s="41">
        <v>0</v>
      </c>
      <c r="Y84" s="41">
        <v>0</v>
      </c>
      <c r="Z84" s="41">
        <v>0</v>
      </c>
      <c r="AA84" s="41">
        <v>0</v>
      </c>
      <c r="AB84" s="41">
        <v>0</v>
      </c>
      <c r="AC84" s="41">
        <v>0</v>
      </c>
      <c r="AD84" s="41">
        <v>0</v>
      </c>
      <c r="AE84" s="41">
        <v>0</v>
      </c>
      <c r="AF84" s="28">
        <f t="shared" si="17"/>
        <v>2359500.0000000005</v>
      </c>
      <c r="AG84" s="28">
        <f t="shared" si="18"/>
        <v>2290.7766990291266</v>
      </c>
    </row>
    <row r="85" spans="1:33" ht="43.2" x14ac:dyDescent="0.3">
      <c r="A85" s="41" t="s">
        <v>696</v>
      </c>
      <c r="B85" s="41" t="s">
        <v>690</v>
      </c>
      <c r="C85" s="41" t="s">
        <v>653</v>
      </c>
      <c r="D85" s="41" t="s">
        <v>26</v>
      </c>
      <c r="E85" s="41" t="s">
        <v>735</v>
      </c>
      <c r="F85" s="41" t="s">
        <v>709</v>
      </c>
      <c r="G85" s="41">
        <v>35000</v>
      </c>
      <c r="H85" s="41"/>
      <c r="I85" s="41"/>
      <c r="J85" s="41">
        <v>0</v>
      </c>
      <c r="K85" s="41"/>
      <c r="L85" s="41"/>
      <c r="M85" s="41">
        <f t="shared" si="15"/>
        <v>0</v>
      </c>
      <c r="N85" s="41">
        <v>100</v>
      </c>
      <c r="O85" s="41">
        <v>1</v>
      </c>
      <c r="P85" s="41">
        <f t="shared" si="16"/>
        <v>4235000.0000000009</v>
      </c>
      <c r="Q85" s="41">
        <v>0</v>
      </c>
      <c r="R85" s="41">
        <v>0</v>
      </c>
      <c r="S85" s="41">
        <v>0</v>
      </c>
      <c r="T85" s="41">
        <v>0</v>
      </c>
      <c r="U85" s="41">
        <v>0</v>
      </c>
      <c r="V85" s="41">
        <v>0</v>
      </c>
      <c r="W85" s="41">
        <v>0</v>
      </c>
      <c r="X85" s="41">
        <v>0</v>
      </c>
      <c r="Y85" s="41">
        <v>0</v>
      </c>
      <c r="Z85" s="41">
        <v>0</v>
      </c>
      <c r="AA85" s="41">
        <v>0</v>
      </c>
      <c r="AB85" s="41">
        <v>0</v>
      </c>
      <c r="AC85" s="41">
        <v>0</v>
      </c>
      <c r="AD85" s="41">
        <v>0</v>
      </c>
      <c r="AE85" s="41">
        <v>0</v>
      </c>
      <c r="AF85" s="28">
        <f t="shared" si="17"/>
        <v>4235000.0000000009</v>
      </c>
      <c r="AG85" s="28">
        <f t="shared" si="18"/>
        <v>4111.6504854368941</v>
      </c>
    </row>
    <row r="86" spans="1:33" ht="43.2" x14ac:dyDescent="0.3">
      <c r="A86" s="41" t="s">
        <v>696</v>
      </c>
      <c r="B86" s="41" t="s">
        <v>690</v>
      </c>
      <c r="C86" s="41" t="s">
        <v>653</v>
      </c>
      <c r="D86" s="41" t="s">
        <v>26</v>
      </c>
      <c r="E86" s="41" t="s">
        <v>735</v>
      </c>
      <c r="F86" s="41" t="s">
        <v>712</v>
      </c>
      <c r="G86" s="41">
        <f>1999.2/7</f>
        <v>285.60000000000002</v>
      </c>
      <c r="H86" s="41"/>
      <c r="I86" s="41"/>
      <c r="J86" s="41">
        <v>0</v>
      </c>
      <c r="K86" s="41"/>
      <c r="L86" s="41"/>
      <c r="M86" s="41">
        <f t="shared" si="15"/>
        <v>0</v>
      </c>
      <c r="N86" s="41">
        <f>2*135*9</f>
        <v>2430</v>
      </c>
      <c r="O86" s="41">
        <v>1</v>
      </c>
      <c r="P86" s="41">
        <f t="shared" si="16"/>
        <v>839749.68000000017</v>
      </c>
      <c r="Q86" s="41">
        <v>0</v>
      </c>
      <c r="R86" s="41">
        <v>0</v>
      </c>
      <c r="S86" s="41">
        <v>0</v>
      </c>
      <c r="T86" s="41">
        <v>0</v>
      </c>
      <c r="U86" s="41">
        <v>0</v>
      </c>
      <c r="V86" s="41">
        <v>0</v>
      </c>
      <c r="W86" s="41">
        <v>0</v>
      </c>
      <c r="X86" s="41">
        <v>0</v>
      </c>
      <c r="Y86" s="41">
        <v>0</v>
      </c>
      <c r="Z86" s="41">
        <v>0</v>
      </c>
      <c r="AA86" s="41">
        <v>0</v>
      </c>
      <c r="AB86" s="41">
        <v>0</v>
      </c>
      <c r="AC86" s="41">
        <v>0</v>
      </c>
      <c r="AD86" s="41">
        <v>0</v>
      </c>
      <c r="AE86" s="41">
        <v>0</v>
      </c>
      <c r="AF86" s="28">
        <f t="shared" si="17"/>
        <v>839749.68000000017</v>
      </c>
      <c r="AG86" s="28">
        <f t="shared" si="18"/>
        <v>815.29095145631084</v>
      </c>
    </row>
    <row r="87" spans="1:33" x14ac:dyDescent="0.3">
      <c r="A87" s="41"/>
      <c r="B87" s="41"/>
      <c r="C87" s="41"/>
      <c r="D87" s="41"/>
      <c r="E87" s="41"/>
      <c r="F87" s="41" t="s">
        <v>1336</v>
      </c>
      <c r="G87" s="41">
        <f>1999.2/7</f>
        <v>285.60000000000002</v>
      </c>
      <c r="H87" s="41"/>
      <c r="I87" s="41"/>
      <c r="J87" s="41"/>
      <c r="K87" s="41"/>
      <c r="L87" s="41"/>
      <c r="M87" s="41">
        <f t="shared" si="15"/>
        <v>0</v>
      </c>
      <c r="N87" s="41">
        <f>2*135*9</f>
        <v>2430</v>
      </c>
      <c r="O87" s="41">
        <v>1</v>
      </c>
      <c r="P87" s="41">
        <f t="shared" si="16"/>
        <v>839749.68000000017</v>
      </c>
      <c r="Q87" s="41"/>
      <c r="R87" s="41"/>
      <c r="S87" s="41"/>
      <c r="T87" s="41"/>
      <c r="U87" s="41"/>
      <c r="V87" s="41"/>
      <c r="W87" s="41"/>
      <c r="X87" s="41"/>
      <c r="Y87" s="41"/>
      <c r="Z87" s="41"/>
      <c r="AA87" s="41"/>
      <c r="AB87" s="41"/>
      <c r="AC87" s="41"/>
      <c r="AD87" s="41"/>
      <c r="AE87" s="41"/>
      <c r="AF87" s="28">
        <f t="shared" si="17"/>
        <v>839749.68000000017</v>
      </c>
      <c r="AG87" s="28">
        <f t="shared" si="18"/>
        <v>815.29095145631084</v>
      </c>
    </row>
    <row r="88" spans="1:33"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28">
        <f t="shared" si="17"/>
        <v>0</v>
      </c>
      <c r="AG88" s="28">
        <f t="shared" si="18"/>
        <v>0</v>
      </c>
    </row>
    <row r="89" spans="1:33" ht="43.2" x14ac:dyDescent="0.3">
      <c r="A89" s="41" t="s">
        <v>696</v>
      </c>
      <c r="B89" s="41" t="s">
        <v>690</v>
      </c>
      <c r="C89" s="43" t="s">
        <v>654</v>
      </c>
      <c r="D89" s="41" t="s">
        <v>27</v>
      </c>
      <c r="E89" s="41" t="s">
        <v>482</v>
      </c>
      <c r="F89" s="41" t="s">
        <v>718</v>
      </c>
      <c r="G89" s="41">
        <v>0</v>
      </c>
      <c r="H89" s="41"/>
      <c r="I89" s="41"/>
      <c r="J89" s="41">
        <v>0</v>
      </c>
      <c r="K89" s="41">
        <v>0</v>
      </c>
      <c r="L89" s="41">
        <v>0</v>
      </c>
      <c r="M89" s="41">
        <f>($G89*1.1^1)*K89*L89</f>
        <v>0</v>
      </c>
      <c r="N89" s="41"/>
      <c r="O89" s="41"/>
      <c r="P89" s="41"/>
      <c r="Q89" s="41">
        <v>0</v>
      </c>
      <c r="R89" s="41">
        <v>0</v>
      </c>
      <c r="S89" s="41">
        <v>0</v>
      </c>
      <c r="T89" s="41">
        <v>0</v>
      </c>
      <c r="U89" s="41">
        <v>0</v>
      </c>
      <c r="V89" s="41">
        <f>($G89*1.1^4)*T89*U89</f>
        <v>0</v>
      </c>
      <c r="W89" s="41">
        <v>0</v>
      </c>
      <c r="X89" s="41">
        <v>0</v>
      </c>
      <c r="Y89" s="41">
        <v>0</v>
      </c>
      <c r="Z89" s="41">
        <v>0</v>
      </c>
      <c r="AA89" s="41">
        <v>0</v>
      </c>
      <c r="AB89" s="41">
        <v>0</v>
      </c>
      <c r="AC89" s="41">
        <v>0</v>
      </c>
      <c r="AD89" s="41">
        <v>0</v>
      </c>
      <c r="AE89" s="41">
        <f>($G89*1.1^7)*AC89*AD89</f>
        <v>0</v>
      </c>
      <c r="AF89" s="28">
        <f t="shared" si="17"/>
        <v>0</v>
      </c>
      <c r="AG89" s="28">
        <f t="shared" si="18"/>
        <v>0</v>
      </c>
    </row>
    <row r="90" spans="1:33" ht="43.2" x14ac:dyDescent="0.3">
      <c r="A90" s="41" t="s">
        <v>696</v>
      </c>
      <c r="B90" s="41" t="s">
        <v>690</v>
      </c>
      <c r="C90" s="43" t="s">
        <v>654</v>
      </c>
      <c r="D90" s="41" t="s">
        <v>27</v>
      </c>
      <c r="E90" s="41" t="s">
        <v>573</v>
      </c>
      <c r="F90" s="41" t="s">
        <v>707</v>
      </c>
      <c r="G90" s="41">
        <v>391991.03749999998</v>
      </c>
      <c r="H90" s="41"/>
      <c r="I90" s="41"/>
      <c r="J90" s="41">
        <v>0</v>
      </c>
      <c r="K90" s="41">
        <v>2</v>
      </c>
      <c r="L90" s="41">
        <v>2</v>
      </c>
      <c r="M90" s="41">
        <f t="shared" ref="M90:M119" si="19">($G90*1.1^1)*K90*L90</f>
        <v>1724760.5649999999</v>
      </c>
      <c r="N90" s="41"/>
      <c r="O90" s="41"/>
      <c r="P90" s="41"/>
      <c r="Q90" s="41">
        <v>0</v>
      </c>
      <c r="R90" s="41">
        <v>0</v>
      </c>
      <c r="S90" s="41">
        <v>0</v>
      </c>
      <c r="T90" s="41">
        <v>2</v>
      </c>
      <c r="U90" s="41">
        <v>2</v>
      </c>
      <c r="V90" s="41">
        <f t="shared" ref="V90:V119" si="20">($G90*1.1^4)*T90*U90</f>
        <v>2295656.3120150003</v>
      </c>
      <c r="W90" s="41">
        <v>0</v>
      </c>
      <c r="X90" s="41">
        <v>0</v>
      </c>
      <c r="Y90" s="41">
        <v>0</v>
      </c>
      <c r="Z90" s="41">
        <v>0</v>
      </c>
      <c r="AA90" s="41">
        <v>0</v>
      </c>
      <c r="AB90" s="41">
        <v>0</v>
      </c>
      <c r="AC90" s="41">
        <v>2</v>
      </c>
      <c r="AD90" s="41">
        <v>2</v>
      </c>
      <c r="AE90" s="41">
        <f t="shared" ref="AE90:AE119" si="21">($G90*1.1^7)*AC90*AD90</f>
        <v>3055518.5512919668</v>
      </c>
      <c r="AF90" s="28">
        <f t="shared" si="17"/>
        <v>7075935.428306967</v>
      </c>
      <c r="AG90" s="28">
        <f t="shared" si="18"/>
        <v>6869.8402216572495</v>
      </c>
    </row>
    <row r="91" spans="1:33" ht="43.2" x14ac:dyDescent="0.3">
      <c r="A91" s="41" t="s">
        <v>696</v>
      </c>
      <c r="B91" s="41" t="s">
        <v>690</v>
      </c>
      <c r="C91" s="43" t="s">
        <v>654</v>
      </c>
      <c r="D91" s="41" t="s">
        <v>27</v>
      </c>
      <c r="E91" s="41" t="s">
        <v>573</v>
      </c>
      <c r="F91" s="41" t="s">
        <v>708</v>
      </c>
      <c r="G91" s="41">
        <f>1030*980</f>
        <v>1009400</v>
      </c>
      <c r="H91" s="41"/>
      <c r="I91" s="41"/>
      <c r="J91" s="41">
        <v>0</v>
      </c>
      <c r="K91" s="41">
        <v>1</v>
      </c>
      <c r="L91" s="41">
        <v>25</v>
      </c>
      <c r="M91" s="41">
        <f t="shared" si="19"/>
        <v>27758500</v>
      </c>
      <c r="N91" s="41"/>
      <c r="O91" s="41"/>
      <c r="P91" s="41"/>
      <c r="Q91" s="41">
        <v>0</v>
      </c>
      <c r="R91" s="41">
        <v>0</v>
      </c>
      <c r="S91" s="41">
        <v>0</v>
      </c>
      <c r="T91" s="41">
        <v>1</v>
      </c>
      <c r="U91" s="41">
        <v>25</v>
      </c>
      <c r="V91" s="41">
        <f t="shared" si="20"/>
        <v>36946563.500000015</v>
      </c>
      <c r="W91" s="41">
        <v>0</v>
      </c>
      <c r="X91" s="41">
        <v>0</v>
      </c>
      <c r="Y91" s="41">
        <v>0</v>
      </c>
      <c r="Z91" s="41">
        <v>0</v>
      </c>
      <c r="AA91" s="41">
        <v>0</v>
      </c>
      <c r="AB91" s="41">
        <v>0</v>
      </c>
      <c r="AC91" s="41">
        <v>1</v>
      </c>
      <c r="AD91" s="41">
        <v>25</v>
      </c>
      <c r="AE91" s="41">
        <f t="shared" si="21"/>
        <v>49175876.01850003</v>
      </c>
      <c r="AF91" s="28">
        <f t="shared" si="17"/>
        <v>113880939.51850004</v>
      </c>
      <c r="AG91" s="28">
        <f t="shared" si="18"/>
        <v>110564.01895000004</v>
      </c>
    </row>
    <row r="92" spans="1:33" ht="43.2" x14ac:dyDescent="0.3">
      <c r="A92" s="41" t="s">
        <v>696</v>
      </c>
      <c r="B92" s="41" t="s">
        <v>690</v>
      </c>
      <c r="C92" s="43" t="s">
        <v>654</v>
      </c>
      <c r="D92" s="41" t="s">
        <v>27</v>
      </c>
      <c r="E92" s="41" t="s">
        <v>179</v>
      </c>
      <c r="F92" s="41" t="s">
        <v>713</v>
      </c>
      <c r="G92" s="41">
        <v>45000</v>
      </c>
      <c r="H92" s="41"/>
      <c r="I92" s="41"/>
      <c r="J92" s="41">
        <v>0</v>
      </c>
      <c r="K92" s="41">
        <v>30</v>
      </c>
      <c r="L92" s="41">
        <v>5</v>
      </c>
      <c r="M92" s="41">
        <f t="shared" si="19"/>
        <v>7425000.0000000009</v>
      </c>
      <c r="N92" s="41"/>
      <c r="O92" s="41"/>
      <c r="P92" s="41"/>
      <c r="Q92" s="41">
        <v>0</v>
      </c>
      <c r="R92" s="41">
        <v>0</v>
      </c>
      <c r="S92" s="41">
        <v>0</v>
      </c>
      <c r="T92" s="41">
        <v>30</v>
      </c>
      <c r="U92" s="41">
        <v>5</v>
      </c>
      <c r="V92" s="41">
        <f t="shared" si="20"/>
        <v>9882675.0000000019</v>
      </c>
      <c r="W92" s="41">
        <v>0</v>
      </c>
      <c r="X92" s="41">
        <v>0</v>
      </c>
      <c r="Y92" s="41">
        <v>0</v>
      </c>
      <c r="Z92" s="41">
        <v>0</v>
      </c>
      <c r="AA92" s="41">
        <v>0</v>
      </c>
      <c r="AB92" s="41">
        <v>0</v>
      </c>
      <c r="AC92" s="41">
        <v>30</v>
      </c>
      <c r="AD92" s="41">
        <v>5</v>
      </c>
      <c r="AE92" s="41">
        <f t="shared" si="21"/>
        <v>13153840.425000008</v>
      </c>
      <c r="AF92" s="28">
        <f t="shared" si="17"/>
        <v>30461515.425000012</v>
      </c>
      <c r="AG92" s="28">
        <f t="shared" si="18"/>
        <v>29574.286820388363</v>
      </c>
    </row>
    <row r="93" spans="1:33" ht="43.2" x14ac:dyDescent="0.3">
      <c r="A93" s="41" t="s">
        <v>696</v>
      </c>
      <c r="B93" s="41" t="s">
        <v>690</v>
      </c>
      <c r="C93" s="43" t="s">
        <v>654</v>
      </c>
      <c r="D93" s="41" t="s">
        <v>27</v>
      </c>
      <c r="E93" s="41" t="s">
        <v>179</v>
      </c>
      <c r="F93" s="41" t="s">
        <v>1297</v>
      </c>
      <c r="G93" s="41">
        <v>8000</v>
      </c>
      <c r="H93" s="41"/>
      <c r="I93" s="41"/>
      <c r="J93" s="41">
        <v>0</v>
      </c>
      <c r="K93" s="41">
        <v>10</v>
      </c>
      <c r="L93" s="41">
        <v>1</v>
      </c>
      <c r="M93" s="41">
        <f t="shared" si="19"/>
        <v>88000</v>
      </c>
      <c r="N93" s="41"/>
      <c r="O93" s="41"/>
      <c r="P93" s="41"/>
      <c r="Q93" s="41">
        <v>0</v>
      </c>
      <c r="R93" s="41">
        <v>0</v>
      </c>
      <c r="S93" s="41">
        <v>0</v>
      </c>
      <c r="T93" s="41">
        <v>10</v>
      </c>
      <c r="U93" s="41">
        <v>1</v>
      </c>
      <c r="V93" s="41">
        <f t="shared" si="20"/>
        <v>117128.00000000003</v>
      </c>
      <c r="W93" s="41">
        <v>0</v>
      </c>
      <c r="X93" s="41">
        <v>0</v>
      </c>
      <c r="Y93" s="41">
        <v>0</v>
      </c>
      <c r="Z93" s="41">
        <v>0</v>
      </c>
      <c r="AA93" s="41">
        <v>0</v>
      </c>
      <c r="AB93" s="41">
        <v>0</v>
      </c>
      <c r="AC93" s="41">
        <v>10</v>
      </c>
      <c r="AD93" s="41">
        <v>1</v>
      </c>
      <c r="AE93" s="41">
        <f t="shared" si="21"/>
        <v>155897.3680000001</v>
      </c>
      <c r="AF93" s="28">
        <f t="shared" si="17"/>
        <v>361025.36800000013</v>
      </c>
      <c r="AG93" s="28">
        <f t="shared" si="18"/>
        <v>350.51006601941759</v>
      </c>
    </row>
    <row r="94" spans="1:33" ht="43.2" x14ac:dyDescent="0.3">
      <c r="A94" s="41" t="s">
        <v>696</v>
      </c>
      <c r="B94" s="41" t="s">
        <v>690</v>
      </c>
      <c r="C94" s="43" t="s">
        <v>654</v>
      </c>
      <c r="D94" s="41" t="s">
        <v>27</v>
      </c>
      <c r="E94" s="41" t="s">
        <v>179</v>
      </c>
      <c r="F94" s="41" t="s">
        <v>710</v>
      </c>
      <c r="G94" s="41">
        <v>104850</v>
      </c>
      <c r="H94" s="41"/>
      <c r="I94" s="41"/>
      <c r="J94" s="41">
        <v>0</v>
      </c>
      <c r="K94" s="41">
        <v>1</v>
      </c>
      <c r="L94" s="41">
        <v>1</v>
      </c>
      <c r="M94" s="41">
        <f t="shared" si="19"/>
        <v>115335.00000000001</v>
      </c>
      <c r="N94" s="41"/>
      <c r="O94" s="41"/>
      <c r="P94" s="41"/>
      <c r="Q94" s="41">
        <v>0</v>
      </c>
      <c r="R94" s="41">
        <v>0</v>
      </c>
      <c r="S94" s="41">
        <v>0</v>
      </c>
      <c r="T94" s="41">
        <v>1</v>
      </c>
      <c r="U94" s="41">
        <v>1</v>
      </c>
      <c r="V94" s="41">
        <f t="shared" si="20"/>
        <v>153510.88500000004</v>
      </c>
      <c r="W94" s="41">
        <v>0</v>
      </c>
      <c r="X94" s="41">
        <v>0</v>
      </c>
      <c r="Y94" s="41">
        <v>0</v>
      </c>
      <c r="Z94" s="41">
        <v>0</v>
      </c>
      <c r="AA94" s="41">
        <v>0</v>
      </c>
      <c r="AB94" s="41">
        <v>0</v>
      </c>
      <c r="AC94" s="41">
        <v>1</v>
      </c>
      <c r="AD94" s="41">
        <v>1</v>
      </c>
      <c r="AE94" s="41">
        <f t="shared" si="21"/>
        <v>204322.98793500013</v>
      </c>
      <c r="AF94" s="28">
        <f t="shared" si="17"/>
        <v>473168.87293500022</v>
      </c>
      <c r="AG94" s="28">
        <f t="shared" si="18"/>
        <v>459.38725527669925</v>
      </c>
    </row>
    <row r="95" spans="1:33" ht="43.2" x14ac:dyDescent="0.3">
      <c r="A95" s="41" t="s">
        <v>696</v>
      </c>
      <c r="B95" s="41" t="s">
        <v>690</v>
      </c>
      <c r="C95" s="43" t="s">
        <v>654</v>
      </c>
      <c r="D95" s="41" t="s">
        <v>27</v>
      </c>
      <c r="E95" s="41" t="s">
        <v>179</v>
      </c>
      <c r="F95" s="41" t="s">
        <v>736</v>
      </c>
      <c r="G95" s="41">
        <v>11067.5</v>
      </c>
      <c r="H95" s="41"/>
      <c r="I95" s="41"/>
      <c r="J95" s="41">
        <v>0</v>
      </c>
      <c r="K95" s="41">
        <v>2</v>
      </c>
      <c r="L95" s="41">
        <v>1</v>
      </c>
      <c r="M95" s="41">
        <f t="shared" si="19"/>
        <v>24348.500000000004</v>
      </c>
      <c r="N95" s="41"/>
      <c r="O95" s="41"/>
      <c r="P95" s="41"/>
      <c r="Q95" s="41">
        <v>0</v>
      </c>
      <c r="R95" s="41">
        <v>0</v>
      </c>
      <c r="S95" s="41">
        <v>0</v>
      </c>
      <c r="T95" s="41">
        <v>2</v>
      </c>
      <c r="U95" s="41">
        <v>1</v>
      </c>
      <c r="V95" s="41">
        <f t="shared" si="20"/>
        <v>32407.853500000008</v>
      </c>
      <c r="W95" s="41">
        <v>0</v>
      </c>
      <c r="X95" s="41">
        <v>0</v>
      </c>
      <c r="Y95" s="41">
        <v>0</v>
      </c>
      <c r="Z95" s="41">
        <v>0</v>
      </c>
      <c r="AA95" s="41">
        <v>0</v>
      </c>
      <c r="AB95" s="41">
        <v>0</v>
      </c>
      <c r="AC95" s="41">
        <v>2</v>
      </c>
      <c r="AD95" s="41">
        <v>1</v>
      </c>
      <c r="AE95" s="41">
        <f t="shared" si="21"/>
        <v>43134.853008500024</v>
      </c>
      <c r="AF95" s="28">
        <f t="shared" si="17"/>
        <v>99891.206508500036</v>
      </c>
      <c r="AG95" s="28">
        <f t="shared" si="18"/>
        <v>96.981753891747601</v>
      </c>
    </row>
    <row r="96" spans="1:33" ht="43.2" x14ac:dyDescent="0.3">
      <c r="A96" s="41" t="s">
        <v>696</v>
      </c>
      <c r="B96" s="41" t="s">
        <v>690</v>
      </c>
      <c r="C96" s="43" t="s">
        <v>654</v>
      </c>
      <c r="D96" s="41" t="s">
        <v>27</v>
      </c>
      <c r="E96" s="41" t="s">
        <v>179</v>
      </c>
      <c r="F96" s="41" t="s">
        <v>712</v>
      </c>
      <c r="G96" s="41">
        <f>1999.2/7</f>
        <v>285.60000000000002</v>
      </c>
      <c r="H96" s="41"/>
      <c r="I96" s="41"/>
      <c r="J96" s="41">
        <v>0</v>
      </c>
      <c r="K96" s="41">
        <f>2*25*9</f>
        <v>450</v>
      </c>
      <c r="L96" s="41">
        <v>5</v>
      </c>
      <c r="M96" s="41">
        <f t="shared" si="19"/>
        <v>706860</v>
      </c>
      <c r="N96" s="41"/>
      <c r="O96" s="41"/>
      <c r="P96" s="41"/>
      <c r="Q96" s="41">
        <v>0</v>
      </c>
      <c r="R96" s="41">
        <v>0</v>
      </c>
      <c r="S96" s="41">
        <v>0</v>
      </c>
      <c r="T96" s="41">
        <f>2*25*9</f>
        <v>450</v>
      </c>
      <c r="U96" s="41">
        <v>5</v>
      </c>
      <c r="V96" s="41">
        <f t="shared" si="20"/>
        <v>940830.66000000038</v>
      </c>
      <c r="W96" s="41">
        <v>0</v>
      </c>
      <c r="X96" s="41">
        <v>0</v>
      </c>
      <c r="Y96" s="41">
        <v>0</v>
      </c>
      <c r="Z96" s="41">
        <v>0</v>
      </c>
      <c r="AA96" s="41">
        <v>0</v>
      </c>
      <c r="AB96" s="41">
        <v>0</v>
      </c>
      <c r="AC96" s="41">
        <f>2*25*9</f>
        <v>450</v>
      </c>
      <c r="AD96" s="41">
        <v>5</v>
      </c>
      <c r="AE96" s="41">
        <f t="shared" si="21"/>
        <v>1252245.6084600009</v>
      </c>
      <c r="AF96" s="28">
        <f t="shared" si="17"/>
        <v>2899936.2684600013</v>
      </c>
      <c r="AG96" s="28">
        <f t="shared" si="18"/>
        <v>2815.4721053009721</v>
      </c>
    </row>
    <row r="97" spans="1:33" x14ac:dyDescent="0.3">
      <c r="A97" s="41"/>
      <c r="B97" s="41"/>
      <c r="C97" s="43"/>
      <c r="D97" s="41"/>
      <c r="E97" s="41"/>
      <c r="F97" s="41" t="s">
        <v>1336</v>
      </c>
      <c r="G97" s="41">
        <f>1999.2/7</f>
        <v>285.60000000000002</v>
      </c>
      <c r="H97" s="41"/>
      <c r="I97" s="41"/>
      <c r="J97" s="41"/>
      <c r="K97" s="41">
        <f>2*135*9</f>
        <v>2430</v>
      </c>
      <c r="L97" s="41">
        <v>1</v>
      </c>
      <c r="M97" s="41">
        <f t="shared" si="19"/>
        <v>763408.8</v>
      </c>
      <c r="N97" s="41"/>
      <c r="O97" s="41"/>
      <c r="P97" s="41"/>
      <c r="Q97" s="41"/>
      <c r="R97" s="41"/>
      <c r="S97" s="41"/>
      <c r="T97" s="41">
        <f>2*135*9</f>
        <v>2430</v>
      </c>
      <c r="U97" s="41">
        <v>1</v>
      </c>
      <c r="V97" s="41">
        <f t="shared" si="20"/>
        <v>1016097.1128000004</v>
      </c>
      <c r="W97" s="41"/>
      <c r="X97" s="41"/>
      <c r="Y97" s="41"/>
      <c r="Z97" s="41"/>
      <c r="AA97" s="41"/>
      <c r="AB97" s="41"/>
      <c r="AC97" s="41">
        <f>2*135*9</f>
        <v>2430</v>
      </c>
      <c r="AD97" s="41">
        <v>1</v>
      </c>
      <c r="AE97" s="41">
        <f t="shared" si="21"/>
        <v>1352425.257136801</v>
      </c>
      <c r="AF97" s="28">
        <f t="shared" si="17"/>
        <v>3131931.1699368013</v>
      </c>
      <c r="AG97" s="28">
        <f t="shared" si="18"/>
        <v>3040.7098737250499</v>
      </c>
    </row>
    <row r="98" spans="1:33" ht="43.2" x14ac:dyDescent="0.3">
      <c r="A98" s="41" t="s">
        <v>696</v>
      </c>
      <c r="B98" s="41" t="s">
        <v>690</v>
      </c>
      <c r="C98" s="43" t="s">
        <v>654</v>
      </c>
      <c r="D98" s="41" t="s">
        <v>27</v>
      </c>
      <c r="E98" s="41" t="s">
        <v>179</v>
      </c>
      <c r="F98" s="41" t="s">
        <v>714</v>
      </c>
      <c r="G98" s="41">
        <v>10000</v>
      </c>
      <c r="H98" s="41"/>
      <c r="I98" s="41"/>
      <c r="J98" s="41">
        <v>0</v>
      </c>
      <c r="K98" s="41">
        <v>15</v>
      </c>
      <c r="L98" s="41">
        <v>1</v>
      </c>
      <c r="M98" s="41">
        <f t="shared" si="19"/>
        <v>165000</v>
      </c>
      <c r="N98" s="41"/>
      <c r="O98" s="41"/>
      <c r="P98" s="41"/>
      <c r="Q98" s="41">
        <v>0</v>
      </c>
      <c r="R98" s="41">
        <v>0</v>
      </c>
      <c r="S98" s="41">
        <v>0</v>
      </c>
      <c r="T98" s="41">
        <v>15</v>
      </c>
      <c r="U98" s="41">
        <v>1</v>
      </c>
      <c r="V98" s="41">
        <f t="shared" si="20"/>
        <v>219615.00000000006</v>
      </c>
      <c r="W98" s="41">
        <v>0</v>
      </c>
      <c r="X98" s="41">
        <v>0</v>
      </c>
      <c r="Y98" s="41">
        <v>0</v>
      </c>
      <c r="Z98" s="41">
        <v>0</v>
      </c>
      <c r="AA98" s="41">
        <v>0</v>
      </c>
      <c r="AB98" s="41">
        <v>0</v>
      </c>
      <c r="AC98" s="41">
        <v>15</v>
      </c>
      <c r="AD98" s="41">
        <v>1</v>
      </c>
      <c r="AE98" s="41">
        <f t="shared" si="21"/>
        <v>292307.56500000018</v>
      </c>
      <c r="AF98" s="28">
        <f t="shared" si="17"/>
        <v>676922.56500000018</v>
      </c>
      <c r="AG98" s="28">
        <f t="shared" si="18"/>
        <v>657.20637378640799</v>
      </c>
    </row>
    <row r="99" spans="1:33" ht="43.2" x14ac:dyDescent="0.3">
      <c r="A99" s="41" t="s">
        <v>696</v>
      </c>
      <c r="B99" s="41" t="s">
        <v>690</v>
      </c>
      <c r="C99" s="43" t="s">
        <v>654</v>
      </c>
      <c r="D99" s="41" t="s">
        <v>27</v>
      </c>
      <c r="E99" s="41" t="s">
        <v>179</v>
      </c>
      <c r="F99" s="41" t="s">
        <v>715</v>
      </c>
      <c r="G99" s="41">
        <v>302000</v>
      </c>
      <c r="H99" s="41"/>
      <c r="I99" s="41"/>
      <c r="J99" s="41">
        <v>0</v>
      </c>
      <c r="K99" s="41">
        <v>30</v>
      </c>
      <c r="L99" s="41">
        <v>1</v>
      </c>
      <c r="M99" s="41">
        <f t="shared" si="19"/>
        <v>9966000</v>
      </c>
      <c r="N99" s="41"/>
      <c r="O99" s="41"/>
      <c r="P99" s="41"/>
      <c r="Q99" s="41">
        <v>0</v>
      </c>
      <c r="R99" s="41">
        <v>0</v>
      </c>
      <c r="S99" s="41">
        <v>0</v>
      </c>
      <c r="T99" s="41">
        <v>30</v>
      </c>
      <c r="U99" s="41">
        <v>1</v>
      </c>
      <c r="V99" s="41">
        <f t="shared" si="20"/>
        <v>13264746.000000004</v>
      </c>
      <c r="W99" s="41">
        <v>0</v>
      </c>
      <c r="X99" s="41">
        <v>0</v>
      </c>
      <c r="Y99" s="41">
        <v>0</v>
      </c>
      <c r="Z99" s="41">
        <v>0</v>
      </c>
      <c r="AA99" s="41">
        <v>0</v>
      </c>
      <c r="AB99" s="41">
        <v>0</v>
      </c>
      <c r="AC99" s="41">
        <v>30</v>
      </c>
      <c r="AD99" s="41">
        <v>1</v>
      </c>
      <c r="AE99" s="41">
        <f t="shared" si="21"/>
        <v>17655376.92600001</v>
      </c>
      <c r="AF99" s="28">
        <f t="shared" si="17"/>
        <v>40886122.926000014</v>
      </c>
      <c r="AG99" s="28">
        <f t="shared" si="18"/>
        <v>39695.264976699043</v>
      </c>
    </row>
    <row r="100" spans="1:33" ht="43.2" x14ac:dyDescent="0.3">
      <c r="A100" s="41" t="s">
        <v>696</v>
      </c>
      <c r="B100" s="41" t="s">
        <v>690</v>
      </c>
      <c r="C100" s="43" t="s">
        <v>654</v>
      </c>
      <c r="D100" s="41" t="s">
        <v>27</v>
      </c>
      <c r="E100" s="41" t="s">
        <v>159</v>
      </c>
      <c r="F100" s="41" t="s">
        <v>716</v>
      </c>
      <c r="G100" s="41">
        <v>39000</v>
      </c>
      <c r="H100" s="41"/>
      <c r="I100" s="41"/>
      <c r="J100" s="41">
        <v>0</v>
      </c>
      <c r="K100" s="41">
        <v>30</v>
      </c>
      <c r="L100" s="41">
        <v>5</v>
      </c>
      <c r="M100" s="41">
        <f t="shared" si="19"/>
        <v>6435000</v>
      </c>
      <c r="N100" s="41"/>
      <c r="O100" s="41"/>
      <c r="P100" s="41"/>
      <c r="Q100" s="41">
        <v>0</v>
      </c>
      <c r="R100" s="41">
        <v>0</v>
      </c>
      <c r="S100" s="41">
        <v>0</v>
      </c>
      <c r="T100" s="41">
        <v>30</v>
      </c>
      <c r="U100" s="41">
        <v>5</v>
      </c>
      <c r="V100" s="41">
        <f t="shared" si="20"/>
        <v>8564985.0000000019</v>
      </c>
      <c r="W100" s="41">
        <v>0</v>
      </c>
      <c r="X100" s="41">
        <v>0</v>
      </c>
      <c r="Y100" s="41">
        <v>0</v>
      </c>
      <c r="Z100" s="41">
        <v>0</v>
      </c>
      <c r="AA100" s="41">
        <v>0</v>
      </c>
      <c r="AB100" s="41">
        <v>0</v>
      </c>
      <c r="AC100" s="41">
        <v>30</v>
      </c>
      <c r="AD100" s="41">
        <v>5</v>
      </c>
      <c r="AE100" s="41">
        <f t="shared" si="21"/>
        <v>11399995.035000006</v>
      </c>
      <c r="AF100" s="28">
        <f t="shared" si="17"/>
        <v>26399980.035000008</v>
      </c>
      <c r="AG100" s="28">
        <f t="shared" si="18"/>
        <v>25631.04857766991</v>
      </c>
    </row>
    <row r="101" spans="1:33" ht="43.2" x14ac:dyDescent="0.3">
      <c r="A101" s="41" t="s">
        <v>696</v>
      </c>
      <c r="B101" s="41" t="s">
        <v>690</v>
      </c>
      <c r="C101" s="43" t="s">
        <v>654</v>
      </c>
      <c r="D101" s="41" t="s">
        <v>27</v>
      </c>
      <c r="E101" s="41" t="s">
        <v>159</v>
      </c>
      <c r="F101" s="41" t="s">
        <v>709</v>
      </c>
      <c r="G101" s="41">
        <v>35000</v>
      </c>
      <c r="H101" s="41"/>
      <c r="I101" s="41"/>
      <c r="J101" s="41">
        <v>0</v>
      </c>
      <c r="K101" s="41">
        <v>30</v>
      </c>
      <c r="L101" s="41">
        <v>5</v>
      </c>
      <c r="M101" s="41">
        <f t="shared" si="19"/>
        <v>5775000</v>
      </c>
      <c r="N101" s="41"/>
      <c r="O101" s="41"/>
      <c r="P101" s="41"/>
      <c r="Q101" s="41">
        <v>0</v>
      </c>
      <c r="R101" s="41">
        <v>0</v>
      </c>
      <c r="S101" s="41">
        <v>0</v>
      </c>
      <c r="T101" s="41">
        <v>30</v>
      </c>
      <c r="U101" s="41">
        <v>5</v>
      </c>
      <c r="V101" s="41">
        <f t="shared" si="20"/>
        <v>7686525.0000000019</v>
      </c>
      <c r="W101" s="41">
        <v>0</v>
      </c>
      <c r="X101" s="41">
        <v>0</v>
      </c>
      <c r="Y101" s="41">
        <v>0</v>
      </c>
      <c r="Z101" s="41">
        <v>0</v>
      </c>
      <c r="AA101" s="41">
        <v>0</v>
      </c>
      <c r="AB101" s="41">
        <v>0</v>
      </c>
      <c r="AC101" s="41">
        <v>30</v>
      </c>
      <c r="AD101" s="41">
        <v>5</v>
      </c>
      <c r="AE101" s="41">
        <f t="shared" si="21"/>
        <v>10230764.775000006</v>
      </c>
      <c r="AF101" s="28">
        <f t="shared" si="17"/>
        <v>23692289.775000006</v>
      </c>
      <c r="AG101" s="28">
        <f t="shared" si="18"/>
        <v>23002.223082524277</v>
      </c>
    </row>
    <row r="102" spans="1:33" ht="43.2" x14ac:dyDescent="0.3">
      <c r="A102" s="41" t="s">
        <v>696</v>
      </c>
      <c r="B102" s="41" t="s">
        <v>690</v>
      </c>
      <c r="C102" s="43" t="s">
        <v>654</v>
      </c>
      <c r="D102" s="41" t="s">
        <v>27</v>
      </c>
      <c r="E102" s="41" t="s">
        <v>159</v>
      </c>
      <c r="F102" s="41" t="s">
        <v>712</v>
      </c>
      <c r="G102" s="41">
        <f>1999.2/7</f>
        <v>285.60000000000002</v>
      </c>
      <c r="H102" s="41"/>
      <c r="I102" s="41"/>
      <c r="J102" s="41">
        <v>0</v>
      </c>
      <c r="K102" s="41">
        <f>2*25*9</f>
        <v>450</v>
      </c>
      <c r="L102" s="41">
        <v>5</v>
      </c>
      <c r="M102" s="41">
        <f t="shared" si="19"/>
        <v>706860</v>
      </c>
      <c r="N102" s="41"/>
      <c r="O102" s="41"/>
      <c r="P102" s="41"/>
      <c r="Q102" s="41">
        <v>0</v>
      </c>
      <c r="R102" s="41">
        <v>0</v>
      </c>
      <c r="S102" s="41">
        <v>0</v>
      </c>
      <c r="T102" s="41">
        <f>2*25*9</f>
        <v>450</v>
      </c>
      <c r="U102" s="41">
        <v>5</v>
      </c>
      <c r="V102" s="41">
        <f t="shared" si="20"/>
        <v>940830.66000000038</v>
      </c>
      <c r="W102" s="41">
        <v>0</v>
      </c>
      <c r="X102" s="41">
        <v>0</v>
      </c>
      <c r="Y102" s="41">
        <v>0</v>
      </c>
      <c r="Z102" s="41">
        <v>0</v>
      </c>
      <c r="AA102" s="41">
        <v>0</v>
      </c>
      <c r="AB102" s="41">
        <v>0</v>
      </c>
      <c r="AC102" s="41">
        <f>2*25*9</f>
        <v>450</v>
      </c>
      <c r="AD102" s="41">
        <v>5</v>
      </c>
      <c r="AE102" s="41">
        <f t="shared" si="21"/>
        <v>1252245.6084600009</v>
      </c>
      <c r="AF102" s="28">
        <f t="shared" si="17"/>
        <v>2899936.2684600013</v>
      </c>
      <c r="AG102" s="28">
        <f t="shared" si="18"/>
        <v>2815.4721053009721</v>
      </c>
    </row>
    <row r="103" spans="1:33" x14ac:dyDescent="0.3">
      <c r="A103" s="41"/>
      <c r="B103" s="41"/>
      <c r="C103" s="43"/>
      <c r="D103" s="41"/>
      <c r="E103" s="41"/>
      <c r="F103" s="41" t="s">
        <v>1336</v>
      </c>
      <c r="G103" s="41">
        <f>1999.2/7</f>
        <v>285.60000000000002</v>
      </c>
      <c r="H103" s="41"/>
      <c r="I103" s="41"/>
      <c r="J103" s="41"/>
      <c r="K103" s="41">
        <f>2*9*135</f>
        <v>2430</v>
      </c>
      <c r="L103" s="41">
        <v>1</v>
      </c>
      <c r="M103" s="41">
        <f t="shared" si="19"/>
        <v>763408.8</v>
      </c>
      <c r="N103" s="41"/>
      <c r="O103" s="41"/>
      <c r="P103" s="41"/>
      <c r="Q103" s="41"/>
      <c r="R103" s="41"/>
      <c r="S103" s="41"/>
      <c r="T103" s="41">
        <f>2*9*135</f>
        <v>2430</v>
      </c>
      <c r="U103" s="41">
        <v>1</v>
      </c>
      <c r="V103" s="41">
        <f t="shared" si="20"/>
        <v>1016097.1128000004</v>
      </c>
      <c r="W103" s="41"/>
      <c r="X103" s="41"/>
      <c r="Y103" s="41"/>
      <c r="Z103" s="41"/>
      <c r="AA103" s="41"/>
      <c r="AB103" s="41"/>
      <c r="AC103" s="41">
        <f>2*9*135</f>
        <v>2430</v>
      </c>
      <c r="AD103" s="41">
        <v>1</v>
      </c>
      <c r="AE103" s="41">
        <f t="shared" si="21"/>
        <v>1352425.257136801</v>
      </c>
      <c r="AF103" s="28">
        <f t="shared" si="17"/>
        <v>3131931.1699368013</v>
      </c>
      <c r="AG103" s="28">
        <f t="shared" si="18"/>
        <v>3040.7098737250499</v>
      </c>
    </row>
    <row r="104" spans="1:33" ht="43.2" x14ac:dyDescent="0.3">
      <c r="A104" s="41" t="s">
        <v>696</v>
      </c>
      <c r="B104" s="41" t="s">
        <v>690</v>
      </c>
      <c r="C104" s="43" t="s">
        <v>654</v>
      </c>
      <c r="D104" s="41" t="s">
        <v>27</v>
      </c>
      <c r="E104" s="41" t="s">
        <v>180</v>
      </c>
      <c r="F104" s="41" t="s">
        <v>716</v>
      </c>
      <c r="G104" s="41">
        <v>39000</v>
      </c>
      <c r="H104" s="41"/>
      <c r="I104" s="41"/>
      <c r="J104" s="41">
        <v>0</v>
      </c>
      <c r="K104" s="41">
        <v>15</v>
      </c>
      <c r="L104" s="41">
        <v>6</v>
      </c>
      <c r="M104" s="41">
        <f t="shared" si="19"/>
        <v>3861000</v>
      </c>
      <c r="N104" s="41"/>
      <c r="O104" s="41"/>
      <c r="P104" s="41"/>
      <c r="Q104" s="41">
        <v>0</v>
      </c>
      <c r="R104" s="41">
        <v>0</v>
      </c>
      <c r="S104" s="41">
        <v>0</v>
      </c>
      <c r="T104" s="41">
        <v>15</v>
      </c>
      <c r="U104" s="41">
        <v>6</v>
      </c>
      <c r="V104" s="41">
        <f t="shared" si="20"/>
        <v>5138991.0000000019</v>
      </c>
      <c r="W104" s="41">
        <v>0</v>
      </c>
      <c r="X104" s="41">
        <v>0</v>
      </c>
      <c r="Y104" s="41">
        <v>0</v>
      </c>
      <c r="Z104" s="41">
        <v>0</v>
      </c>
      <c r="AA104" s="41">
        <v>0</v>
      </c>
      <c r="AB104" s="41">
        <v>0</v>
      </c>
      <c r="AC104" s="41">
        <v>15</v>
      </c>
      <c r="AD104" s="41">
        <v>6</v>
      </c>
      <c r="AE104" s="41">
        <f t="shared" si="21"/>
        <v>6839997.0210000034</v>
      </c>
      <c r="AF104" s="28">
        <f t="shared" si="17"/>
        <v>15839988.021000005</v>
      </c>
      <c r="AG104" s="28">
        <f t="shared" si="18"/>
        <v>15378.629146601947</v>
      </c>
    </row>
    <row r="105" spans="1:33" ht="43.2" x14ac:dyDescent="0.3">
      <c r="A105" s="41" t="s">
        <v>696</v>
      </c>
      <c r="B105" s="41" t="s">
        <v>690</v>
      </c>
      <c r="C105" s="43" t="s">
        <v>654</v>
      </c>
      <c r="D105" s="41" t="s">
        <v>27</v>
      </c>
      <c r="E105" s="41" t="s">
        <v>180</v>
      </c>
      <c r="F105" s="41" t="s">
        <v>709</v>
      </c>
      <c r="G105" s="41">
        <v>35000</v>
      </c>
      <c r="H105" s="41"/>
      <c r="I105" s="41"/>
      <c r="J105" s="41">
        <v>0</v>
      </c>
      <c r="K105" s="41">
        <v>15</v>
      </c>
      <c r="L105" s="41">
        <v>5</v>
      </c>
      <c r="M105" s="41">
        <f t="shared" si="19"/>
        <v>2887500</v>
      </c>
      <c r="N105" s="41"/>
      <c r="O105" s="41"/>
      <c r="P105" s="41"/>
      <c r="Q105" s="41">
        <v>0</v>
      </c>
      <c r="R105" s="41">
        <v>0</v>
      </c>
      <c r="S105" s="41">
        <v>0</v>
      </c>
      <c r="T105" s="41">
        <v>15</v>
      </c>
      <c r="U105" s="41">
        <v>5</v>
      </c>
      <c r="V105" s="41">
        <f t="shared" si="20"/>
        <v>3843262.5000000009</v>
      </c>
      <c r="W105" s="41">
        <v>0</v>
      </c>
      <c r="X105" s="41">
        <v>0</v>
      </c>
      <c r="Y105" s="41">
        <v>0</v>
      </c>
      <c r="Z105" s="41">
        <v>0</v>
      </c>
      <c r="AA105" s="41">
        <v>0</v>
      </c>
      <c r="AB105" s="41">
        <v>0</v>
      </c>
      <c r="AC105" s="41">
        <v>15</v>
      </c>
      <c r="AD105" s="41">
        <v>5</v>
      </c>
      <c r="AE105" s="41">
        <f t="shared" si="21"/>
        <v>5115382.387500003</v>
      </c>
      <c r="AF105" s="28">
        <f t="shared" si="17"/>
        <v>11846144.887500003</v>
      </c>
      <c r="AG105" s="28">
        <f t="shared" si="18"/>
        <v>11501.111541262138</v>
      </c>
    </row>
    <row r="106" spans="1:33" ht="43.2" x14ac:dyDescent="0.3">
      <c r="A106" s="41" t="s">
        <v>696</v>
      </c>
      <c r="B106" s="41" t="s">
        <v>690</v>
      </c>
      <c r="C106" s="43" t="s">
        <v>654</v>
      </c>
      <c r="D106" s="41" t="s">
        <v>27</v>
      </c>
      <c r="E106" s="41" t="s">
        <v>180</v>
      </c>
      <c r="F106" s="41" t="s">
        <v>712</v>
      </c>
      <c r="G106" s="41">
        <f>1999.2/7</f>
        <v>285.60000000000002</v>
      </c>
      <c r="H106" s="41"/>
      <c r="I106" s="41"/>
      <c r="J106" s="41">
        <v>0</v>
      </c>
      <c r="K106" s="41">
        <f>2*25*9</f>
        <v>450</v>
      </c>
      <c r="L106" s="41">
        <v>5</v>
      </c>
      <c r="M106" s="41">
        <f t="shared" si="19"/>
        <v>706860</v>
      </c>
      <c r="N106" s="41"/>
      <c r="O106" s="41"/>
      <c r="P106" s="41"/>
      <c r="Q106" s="41">
        <v>0</v>
      </c>
      <c r="R106" s="41">
        <v>0</v>
      </c>
      <c r="S106" s="41">
        <v>0</v>
      </c>
      <c r="T106" s="41">
        <f>2*25*9</f>
        <v>450</v>
      </c>
      <c r="U106" s="41">
        <v>5</v>
      </c>
      <c r="V106" s="41">
        <f t="shared" si="20"/>
        <v>940830.66000000038</v>
      </c>
      <c r="W106" s="41">
        <v>0</v>
      </c>
      <c r="X106" s="41">
        <v>0</v>
      </c>
      <c r="Y106" s="41">
        <v>0</v>
      </c>
      <c r="Z106" s="41">
        <v>0</v>
      </c>
      <c r="AA106" s="41">
        <v>0</v>
      </c>
      <c r="AB106" s="41">
        <v>0</v>
      </c>
      <c r="AC106" s="41">
        <f>2*25*9</f>
        <v>450</v>
      </c>
      <c r="AD106" s="41">
        <v>5</v>
      </c>
      <c r="AE106" s="41">
        <f t="shared" si="21"/>
        <v>1252245.6084600009</v>
      </c>
      <c r="AF106" s="28">
        <f t="shared" si="17"/>
        <v>2899936.2684600013</v>
      </c>
      <c r="AG106" s="28">
        <f t="shared" si="18"/>
        <v>2815.4721053009721</v>
      </c>
    </row>
    <row r="107" spans="1:33" ht="43.2" x14ac:dyDescent="0.3">
      <c r="A107" s="41" t="s">
        <v>696</v>
      </c>
      <c r="B107" s="41" t="s">
        <v>690</v>
      </c>
      <c r="C107" s="43" t="s">
        <v>654</v>
      </c>
      <c r="D107" s="41" t="s">
        <v>27</v>
      </c>
      <c r="E107" s="41" t="s">
        <v>180</v>
      </c>
      <c r="F107" s="41" t="s">
        <v>1297</v>
      </c>
      <c r="G107" s="41">
        <v>8000</v>
      </c>
      <c r="H107" s="41"/>
      <c r="I107" s="41"/>
      <c r="J107" s="41">
        <v>0</v>
      </c>
      <c r="K107" s="41">
        <v>10</v>
      </c>
      <c r="L107" s="41">
        <v>1</v>
      </c>
      <c r="M107" s="41">
        <f t="shared" si="19"/>
        <v>88000</v>
      </c>
      <c r="N107" s="41"/>
      <c r="O107" s="41"/>
      <c r="P107" s="41"/>
      <c r="Q107" s="41">
        <v>0</v>
      </c>
      <c r="R107" s="41">
        <v>0</v>
      </c>
      <c r="S107" s="41">
        <v>0</v>
      </c>
      <c r="T107" s="41">
        <v>10</v>
      </c>
      <c r="U107" s="41">
        <v>1</v>
      </c>
      <c r="V107" s="41">
        <f t="shared" si="20"/>
        <v>117128.00000000003</v>
      </c>
      <c r="W107" s="41">
        <v>0</v>
      </c>
      <c r="X107" s="41">
        <v>0</v>
      </c>
      <c r="Y107" s="41">
        <v>0</v>
      </c>
      <c r="Z107" s="41">
        <v>0</v>
      </c>
      <c r="AA107" s="41">
        <v>0</v>
      </c>
      <c r="AB107" s="41">
        <v>0</v>
      </c>
      <c r="AC107" s="41">
        <v>10</v>
      </c>
      <c r="AD107" s="41">
        <v>1</v>
      </c>
      <c r="AE107" s="41">
        <f t="shared" si="21"/>
        <v>155897.3680000001</v>
      </c>
      <c r="AF107" s="28">
        <f t="shared" si="17"/>
        <v>361025.36800000013</v>
      </c>
      <c r="AG107" s="28">
        <f t="shared" si="18"/>
        <v>350.51006601941759</v>
      </c>
    </row>
    <row r="108" spans="1:33" ht="43.2" x14ac:dyDescent="0.3">
      <c r="A108" s="41" t="s">
        <v>696</v>
      </c>
      <c r="B108" s="41" t="s">
        <v>690</v>
      </c>
      <c r="C108" s="43" t="s">
        <v>654</v>
      </c>
      <c r="D108" s="41" t="s">
        <v>27</v>
      </c>
      <c r="E108" s="41" t="s">
        <v>180</v>
      </c>
      <c r="F108" s="41" t="s">
        <v>717</v>
      </c>
      <c r="G108" s="41">
        <v>104850</v>
      </c>
      <c r="H108" s="41"/>
      <c r="I108" s="41"/>
      <c r="J108" s="41">
        <v>0</v>
      </c>
      <c r="K108" s="41">
        <v>1</v>
      </c>
      <c r="L108" s="41">
        <v>1</v>
      </c>
      <c r="M108" s="41">
        <f t="shared" si="19"/>
        <v>115335.00000000001</v>
      </c>
      <c r="N108" s="41"/>
      <c r="O108" s="41"/>
      <c r="P108" s="41"/>
      <c r="Q108" s="41">
        <v>0</v>
      </c>
      <c r="R108" s="41">
        <v>0</v>
      </c>
      <c r="S108" s="41">
        <v>0</v>
      </c>
      <c r="T108" s="41">
        <v>1</v>
      </c>
      <c r="U108" s="41">
        <v>1</v>
      </c>
      <c r="V108" s="41">
        <f t="shared" si="20"/>
        <v>153510.88500000004</v>
      </c>
      <c r="W108" s="41">
        <v>0</v>
      </c>
      <c r="X108" s="41">
        <v>0</v>
      </c>
      <c r="Y108" s="41">
        <v>0</v>
      </c>
      <c r="Z108" s="41">
        <v>0</v>
      </c>
      <c r="AA108" s="41">
        <v>0</v>
      </c>
      <c r="AB108" s="41">
        <v>0</v>
      </c>
      <c r="AC108" s="41">
        <v>1</v>
      </c>
      <c r="AD108" s="41">
        <v>1</v>
      </c>
      <c r="AE108" s="41">
        <f t="shared" si="21"/>
        <v>204322.98793500013</v>
      </c>
      <c r="AF108" s="28">
        <f t="shared" si="17"/>
        <v>473168.87293500022</v>
      </c>
      <c r="AG108" s="28">
        <f t="shared" si="18"/>
        <v>459.38725527669925</v>
      </c>
    </row>
    <row r="109" spans="1:33" ht="43.2" x14ac:dyDescent="0.3">
      <c r="A109" s="41" t="s">
        <v>696</v>
      </c>
      <c r="B109" s="41" t="s">
        <v>690</v>
      </c>
      <c r="C109" s="43" t="s">
        <v>654</v>
      </c>
      <c r="D109" s="41" t="s">
        <v>27</v>
      </c>
      <c r="E109" s="41" t="s">
        <v>280</v>
      </c>
      <c r="F109" s="41" t="s">
        <v>709</v>
      </c>
      <c r="G109" s="41">
        <v>35000</v>
      </c>
      <c r="H109" s="41"/>
      <c r="I109" s="41"/>
      <c r="J109" s="41">
        <v>0</v>
      </c>
      <c r="K109" s="41">
        <v>100</v>
      </c>
      <c r="L109" s="41">
        <v>5</v>
      </c>
      <c r="M109" s="41">
        <f t="shared" si="19"/>
        <v>19250000</v>
      </c>
      <c r="N109" s="41"/>
      <c r="O109" s="41"/>
      <c r="P109" s="41"/>
      <c r="Q109" s="41">
        <v>0</v>
      </c>
      <c r="R109" s="41">
        <v>0</v>
      </c>
      <c r="S109" s="41">
        <v>0</v>
      </c>
      <c r="T109" s="41">
        <v>100</v>
      </c>
      <c r="U109" s="41">
        <v>5</v>
      </c>
      <c r="V109" s="41">
        <f t="shared" si="20"/>
        <v>25621750.000000007</v>
      </c>
      <c r="W109" s="41">
        <v>0</v>
      </c>
      <c r="X109" s="41">
        <v>0</v>
      </c>
      <c r="Y109" s="41">
        <v>0</v>
      </c>
      <c r="Z109" s="41">
        <v>0</v>
      </c>
      <c r="AA109" s="41">
        <v>0</v>
      </c>
      <c r="AB109" s="41">
        <v>0</v>
      </c>
      <c r="AC109" s="41">
        <v>100</v>
      </c>
      <c r="AD109" s="41">
        <v>5</v>
      </c>
      <c r="AE109" s="41">
        <f t="shared" si="21"/>
        <v>34102549.250000015</v>
      </c>
      <c r="AF109" s="28">
        <f t="shared" si="17"/>
        <v>78974299.25000003</v>
      </c>
      <c r="AG109" s="28">
        <f t="shared" si="18"/>
        <v>76674.076941747597</v>
      </c>
    </row>
    <row r="110" spans="1:33" ht="43.2" x14ac:dyDescent="0.3">
      <c r="A110" s="41" t="s">
        <v>696</v>
      </c>
      <c r="B110" s="41" t="s">
        <v>690</v>
      </c>
      <c r="C110" s="43" t="s">
        <v>654</v>
      </c>
      <c r="D110" s="41" t="s">
        <v>27</v>
      </c>
      <c r="E110" s="41" t="s">
        <v>280</v>
      </c>
      <c r="F110" s="41" t="s">
        <v>716</v>
      </c>
      <c r="G110" s="41">
        <v>39000</v>
      </c>
      <c r="H110" s="41"/>
      <c r="I110" s="41"/>
      <c r="J110" s="41">
        <v>0</v>
      </c>
      <c r="K110" s="41">
        <v>58</v>
      </c>
      <c r="L110" s="41">
        <v>6</v>
      </c>
      <c r="M110" s="41">
        <f t="shared" si="19"/>
        <v>14929200</v>
      </c>
      <c r="N110" s="41"/>
      <c r="O110" s="41"/>
      <c r="P110" s="41"/>
      <c r="Q110" s="41">
        <v>0</v>
      </c>
      <c r="R110" s="41">
        <v>0</v>
      </c>
      <c r="S110" s="41">
        <v>0</v>
      </c>
      <c r="T110" s="41">
        <v>58</v>
      </c>
      <c r="U110" s="41">
        <v>6</v>
      </c>
      <c r="V110" s="41">
        <f t="shared" si="20"/>
        <v>19870765.200000007</v>
      </c>
      <c r="W110" s="41">
        <v>0</v>
      </c>
      <c r="X110" s="41">
        <v>0</v>
      </c>
      <c r="Y110" s="41">
        <v>0</v>
      </c>
      <c r="Z110" s="41">
        <v>0</v>
      </c>
      <c r="AA110" s="41">
        <v>0</v>
      </c>
      <c r="AB110" s="41">
        <v>0</v>
      </c>
      <c r="AC110" s="41">
        <v>58</v>
      </c>
      <c r="AD110" s="41">
        <v>6</v>
      </c>
      <c r="AE110" s="41">
        <f t="shared" si="21"/>
        <v>26447988.481200017</v>
      </c>
      <c r="AF110" s="28">
        <f t="shared" si="17"/>
        <v>61247953.68120002</v>
      </c>
      <c r="AG110" s="28">
        <f t="shared" si="18"/>
        <v>59464.032700194191</v>
      </c>
    </row>
    <row r="111" spans="1:33" ht="43.2" x14ac:dyDescent="0.3">
      <c r="A111" s="41" t="s">
        <v>696</v>
      </c>
      <c r="B111" s="41" t="s">
        <v>690</v>
      </c>
      <c r="C111" s="43" t="s">
        <v>654</v>
      </c>
      <c r="D111" s="41" t="s">
        <v>27</v>
      </c>
      <c r="E111" s="41" t="s">
        <v>280</v>
      </c>
      <c r="F111" s="41" t="s">
        <v>712</v>
      </c>
      <c r="G111" s="41">
        <f>1999.2/7</f>
        <v>285.60000000000002</v>
      </c>
      <c r="H111" s="41"/>
      <c r="I111" s="41"/>
      <c r="J111" s="41">
        <v>0</v>
      </c>
      <c r="K111" s="41">
        <f>2*25*9</f>
        <v>450</v>
      </c>
      <c r="L111" s="41">
        <v>5</v>
      </c>
      <c r="M111" s="41">
        <f t="shared" si="19"/>
        <v>706860</v>
      </c>
      <c r="N111" s="41"/>
      <c r="O111" s="41"/>
      <c r="P111" s="41"/>
      <c r="Q111" s="41">
        <v>0</v>
      </c>
      <c r="R111" s="41">
        <v>0</v>
      </c>
      <c r="S111" s="41">
        <v>0</v>
      </c>
      <c r="T111" s="41">
        <f>2*25*9</f>
        <v>450</v>
      </c>
      <c r="U111" s="41">
        <v>5</v>
      </c>
      <c r="V111" s="41">
        <f t="shared" si="20"/>
        <v>940830.66000000038</v>
      </c>
      <c r="W111" s="41">
        <v>0</v>
      </c>
      <c r="X111" s="41">
        <v>0</v>
      </c>
      <c r="Y111" s="41">
        <v>0</v>
      </c>
      <c r="Z111" s="41">
        <v>0</v>
      </c>
      <c r="AA111" s="41">
        <v>0</v>
      </c>
      <c r="AB111" s="41">
        <v>0</v>
      </c>
      <c r="AC111" s="41">
        <f>2*25*9</f>
        <v>450</v>
      </c>
      <c r="AD111" s="41">
        <v>5</v>
      </c>
      <c r="AE111" s="41">
        <f t="shared" si="21"/>
        <v>1252245.6084600009</v>
      </c>
      <c r="AF111" s="28">
        <f t="shared" si="17"/>
        <v>2899936.2684600013</v>
      </c>
      <c r="AG111" s="28">
        <f t="shared" si="18"/>
        <v>2815.4721053009721</v>
      </c>
    </row>
    <row r="112" spans="1:33" x14ac:dyDescent="0.3">
      <c r="A112" s="41"/>
      <c r="B112" s="41"/>
      <c r="C112" s="43"/>
      <c r="D112" s="41"/>
      <c r="E112" s="41"/>
      <c r="F112" s="41" t="s">
        <v>1336</v>
      </c>
      <c r="G112" s="41">
        <f>1999.2/7</f>
        <v>285.60000000000002</v>
      </c>
      <c r="H112" s="41"/>
      <c r="I112" s="41"/>
      <c r="J112" s="41"/>
      <c r="K112" s="41">
        <f>2*135*9</f>
        <v>2430</v>
      </c>
      <c r="L112" s="41">
        <v>1</v>
      </c>
      <c r="M112" s="41">
        <f t="shared" si="19"/>
        <v>763408.8</v>
      </c>
      <c r="N112" s="41"/>
      <c r="O112" s="41"/>
      <c r="P112" s="41"/>
      <c r="Q112" s="41"/>
      <c r="R112" s="41"/>
      <c r="S112" s="41"/>
      <c r="T112" s="41">
        <f>2*135*9</f>
        <v>2430</v>
      </c>
      <c r="U112" s="41">
        <v>1</v>
      </c>
      <c r="V112" s="41">
        <f t="shared" si="20"/>
        <v>1016097.1128000004</v>
      </c>
      <c r="W112" s="41"/>
      <c r="X112" s="41"/>
      <c r="Y112" s="41"/>
      <c r="Z112" s="41"/>
      <c r="AA112" s="41"/>
      <c r="AB112" s="41"/>
      <c r="AC112" s="41">
        <f>2*135*9</f>
        <v>2430</v>
      </c>
      <c r="AD112" s="41">
        <v>1</v>
      </c>
      <c r="AE112" s="41">
        <f t="shared" si="21"/>
        <v>1352425.257136801</v>
      </c>
      <c r="AF112" s="28">
        <f t="shared" si="17"/>
        <v>3131931.1699368013</v>
      </c>
      <c r="AG112" s="28">
        <f t="shared" si="18"/>
        <v>3040.7098737250499</v>
      </c>
    </row>
    <row r="113" spans="1:33" ht="43.2" x14ac:dyDescent="0.3">
      <c r="A113" s="41" t="s">
        <v>696</v>
      </c>
      <c r="B113" s="41" t="s">
        <v>690</v>
      </c>
      <c r="C113" s="43" t="s">
        <v>654</v>
      </c>
      <c r="D113" s="41" t="s">
        <v>27</v>
      </c>
      <c r="E113" s="41" t="s">
        <v>171</v>
      </c>
      <c r="F113" s="41" t="s">
        <v>718</v>
      </c>
      <c r="G113" s="41">
        <v>0</v>
      </c>
      <c r="H113" s="41"/>
      <c r="I113" s="41"/>
      <c r="J113" s="41">
        <v>0</v>
      </c>
      <c r="K113" s="41">
        <v>0</v>
      </c>
      <c r="L113" s="41">
        <v>0</v>
      </c>
      <c r="M113" s="41">
        <f t="shared" si="19"/>
        <v>0</v>
      </c>
      <c r="N113" s="41"/>
      <c r="O113" s="41"/>
      <c r="P113" s="41"/>
      <c r="Q113" s="41">
        <v>0</v>
      </c>
      <c r="R113" s="41">
        <v>0</v>
      </c>
      <c r="S113" s="41">
        <v>0</v>
      </c>
      <c r="T113" s="41">
        <v>0</v>
      </c>
      <c r="U113" s="41">
        <v>0</v>
      </c>
      <c r="V113" s="41">
        <f t="shared" si="20"/>
        <v>0</v>
      </c>
      <c r="W113" s="41">
        <v>0</v>
      </c>
      <c r="X113" s="41">
        <v>0</v>
      </c>
      <c r="Y113" s="41">
        <v>0</v>
      </c>
      <c r="Z113" s="41">
        <v>0</v>
      </c>
      <c r="AA113" s="41">
        <v>0</v>
      </c>
      <c r="AB113" s="41">
        <v>0</v>
      </c>
      <c r="AC113" s="41">
        <v>0</v>
      </c>
      <c r="AD113" s="41">
        <v>0</v>
      </c>
      <c r="AE113" s="41">
        <f t="shared" si="21"/>
        <v>0</v>
      </c>
      <c r="AF113" s="28">
        <f t="shared" si="17"/>
        <v>0</v>
      </c>
      <c r="AG113" s="28">
        <f t="shared" si="18"/>
        <v>0</v>
      </c>
    </row>
    <row r="114" spans="1:33" ht="43.2" x14ac:dyDescent="0.3">
      <c r="A114" s="41" t="s">
        <v>696</v>
      </c>
      <c r="B114" s="41" t="s">
        <v>690</v>
      </c>
      <c r="C114" s="43" t="s">
        <v>654</v>
      </c>
      <c r="D114" s="41" t="s">
        <v>27</v>
      </c>
      <c r="E114" s="41" t="s">
        <v>281</v>
      </c>
      <c r="F114" s="41" t="s">
        <v>1297</v>
      </c>
      <c r="G114" s="41">
        <v>8000</v>
      </c>
      <c r="H114" s="41"/>
      <c r="I114" s="41"/>
      <c r="J114" s="41">
        <v>0</v>
      </c>
      <c r="K114" s="41">
        <v>10</v>
      </c>
      <c r="L114" s="41">
        <v>1</v>
      </c>
      <c r="M114" s="41">
        <f t="shared" si="19"/>
        <v>88000</v>
      </c>
      <c r="N114" s="41"/>
      <c r="O114" s="41"/>
      <c r="P114" s="41"/>
      <c r="Q114" s="41">
        <v>0</v>
      </c>
      <c r="R114" s="41">
        <v>0</v>
      </c>
      <c r="S114" s="41">
        <v>0</v>
      </c>
      <c r="T114" s="41">
        <v>10</v>
      </c>
      <c r="U114" s="41">
        <v>1</v>
      </c>
      <c r="V114" s="41">
        <f t="shared" si="20"/>
        <v>117128.00000000003</v>
      </c>
      <c r="W114" s="41">
        <v>0</v>
      </c>
      <c r="X114" s="41">
        <v>0</v>
      </c>
      <c r="Y114" s="41">
        <v>0</v>
      </c>
      <c r="Z114" s="41">
        <v>0</v>
      </c>
      <c r="AA114" s="41">
        <v>0</v>
      </c>
      <c r="AB114" s="41">
        <v>0</v>
      </c>
      <c r="AC114" s="41">
        <v>10</v>
      </c>
      <c r="AD114" s="41">
        <v>1</v>
      </c>
      <c r="AE114" s="41">
        <f t="shared" si="21"/>
        <v>155897.3680000001</v>
      </c>
      <c r="AF114" s="28">
        <f t="shared" si="17"/>
        <v>361025.36800000013</v>
      </c>
      <c r="AG114" s="28">
        <f t="shared" si="18"/>
        <v>350.51006601941759</v>
      </c>
    </row>
    <row r="115" spans="1:33" ht="43.2" x14ac:dyDescent="0.3">
      <c r="A115" s="41" t="s">
        <v>696</v>
      </c>
      <c r="B115" s="41" t="s">
        <v>690</v>
      </c>
      <c r="C115" s="43" t="s">
        <v>654</v>
      </c>
      <c r="D115" s="41" t="s">
        <v>27</v>
      </c>
      <c r="E115" s="41" t="s">
        <v>281</v>
      </c>
      <c r="F115" s="41" t="s">
        <v>710</v>
      </c>
      <c r="G115" s="41">
        <v>104850</v>
      </c>
      <c r="H115" s="41"/>
      <c r="I115" s="41"/>
      <c r="J115" s="41">
        <v>0</v>
      </c>
      <c r="K115" s="41">
        <v>1</v>
      </c>
      <c r="L115" s="41">
        <v>1</v>
      </c>
      <c r="M115" s="41">
        <f t="shared" si="19"/>
        <v>115335.00000000001</v>
      </c>
      <c r="N115" s="41"/>
      <c r="O115" s="41"/>
      <c r="P115" s="41"/>
      <c r="Q115" s="41">
        <v>0</v>
      </c>
      <c r="R115" s="41">
        <v>0</v>
      </c>
      <c r="S115" s="41">
        <v>0</v>
      </c>
      <c r="T115" s="41">
        <v>1</v>
      </c>
      <c r="U115" s="41">
        <v>1</v>
      </c>
      <c r="V115" s="41">
        <f t="shared" si="20"/>
        <v>153510.88500000004</v>
      </c>
      <c r="W115" s="41">
        <v>0</v>
      </c>
      <c r="X115" s="41">
        <v>0</v>
      </c>
      <c r="Y115" s="41">
        <v>0</v>
      </c>
      <c r="Z115" s="41">
        <v>0</v>
      </c>
      <c r="AA115" s="41">
        <v>0</v>
      </c>
      <c r="AB115" s="41">
        <v>0</v>
      </c>
      <c r="AC115" s="41">
        <v>1</v>
      </c>
      <c r="AD115" s="41">
        <v>1</v>
      </c>
      <c r="AE115" s="41">
        <f t="shared" si="21"/>
        <v>204322.98793500013</v>
      </c>
      <c r="AF115" s="28">
        <f t="shared" si="17"/>
        <v>473168.87293500022</v>
      </c>
      <c r="AG115" s="28">
        <f t="shared" si="18"/>
        <v>459.38725527669925</v>
      </c>
    </row>
    <row r="116" spans="1:33" ht="43.2" x14ac:dyDescent="0.3">
      <c r="A116" s="41" t="s">
        <v>696</v>
      </c>
      <c r="B116" s="41" t="s">
        <v>690</v>
      </c>
      <c r="C116" s="43" t="s">
        <v>654</v>
      </c>
      <c r="D116" s="41" t="s">
        <v>27</v>
      </c>
      <c r="E116" s="41" t="s">
        <v>162</v>
      </c>
      <c r="F116" s="41" t="s">
        <v>716</v>
      </c>
      <c r="G116" s="41">
        <v>39000</v>
      </c>
      <c r="H116" s="41"/>
      <c r="I116" s="41"/>
      <c r="J116" s="41">
        <v>0</v>
      </c>
      <c r="K116" s="41">
        <v>30</v>
      </c>
      <c r="L116" s="41">
        <v>5</v>
      </c>
      <c r="M116" s="41">
        <f t="shared" si="19"/>
        <v>6435000</v>
      </c>
      <c r="N116" s="41"/>
      <c r="O116" s="41"/>
      <c r="P116" s="41"/>
      <c r="Q116" s="41">
        <v>0</v>
      </c>
      <c r="R116" s="41">
        <v>0</v>
      </c>
      <c r="S116" s="41">
        <v>0</v>
      </c>
      <c r="T116" s="41">
        <v>30</v>
      </c>
      <c r="U116" s="41">
        <v>5</v>
      </c>
      <c r="V116" s="41">
        <f t="shared" si="20"/>
        <v>8564985.0000000019</v>
      </c>
      <c r="W116" s="41">
        <v>0</v>
      </c>
      <c r="X116" s="41">
        <v>0</v>
      </c>
      <c r="Y116" s="41">
        <v>0</v>
      </c>
      <c r="Z116" s="41">
        <v>0</v>
      </c>
      <c r="AA116" s="41">
        <v>0</v>
      </c>
      <c r="AB116" s="41">
        <v>0</v>
      </c>
      <c r="AC116" s="41">
        <v>30</v>
      </c>
      <c r="AD116" s="41">
        <v>5</v>
      </c>
      <c r="AE116" s="41">
        <f t="shared" si="21"/>
        <v>11399995.035000006</v>
      </c>
      <c r="AF116" s="28">
        <f t="shared" si="17"/>
        <v>26399980.035000008</v>
      </c>
      <c r="AG116" s="28">
        <f t="shared" si="18"/>
        <v>25631.04857766991</v>
      </c>
    </row>
    <row r="117" spans="1:33" ht="43.2" x14ac:dyDescent="0.3">
      <c r="A117" s="41" t="s">
        <v>696</v>
      </c>
      <c r="B117" s="41" t="s">
        <v>690</v>
      </c>
      <c r="C117" s="43" t="s">
        <v>654</v>
      </c>
      <c r="D117" s="41" t="s">
        <v>27</v>
      </c>
      <c r="E117" s="41" t="s">
        <v>162</v>
      </c>
      <c r="F117" s="41" t="s">
        <v>709</v>
      </c>
      <c r="G117" s="41">
        <v>35000</v>
      </c>
      <c r="H117" s="41"/>
      <c r="I117" s="41"/>
      <c r="J117" s="41">
        <v>0</v>
      </c>
      <c r="K117" s="41">
        <v>30</v>
      </c>
      <c r="L117" s="41">
        <v>5</v>
      </c>
      <c r="M117" s="41">
        <f t="shared" si="19"/>
        <v>5775000</v>
      </c>
      <c r="N117" s="41"/>
      <c r="O117" s="41"/>
      <c r="P117" s="41"/>
      <c r="Q117" s="41">
        <v>0</v>
      </c>
      <c r="R117" s="41">
        <v>0</v>
      </c>
      <c r="S117" s="41">
        <v>0</v>
      </c>
      <c r="T117" s="41">
        <v>30</v>
      </c>
      <c r="U117" s="41">
        <v>5</v>
      </c>
      <c r="V117" s="41">
        <f t="shared" si="20"/>
        <v>7686525.0000000019</v>
      </c>
      <c r="W117" s="41">
        <v>0</v>
      </c>
      <c r="X117" s="41">
        <v>0</v>
      </c>
      <c r="Y117" s="41">
        <v>0</v>
      </c>
      <c r="Z117" s="41">
        <v>0</v>
      </c>
      <c r="AA117" s="41">
        <v>0</v>
      </c>
      <c r="AB117" s="41">
        <v>0</v>
      </c>
      <c r="AC117" s="41">
        <v>30</v>
      </c>
      <c r="AD117" s="41">
        <v>5</v>
      </c>
      <c r="AE117" s="41">
        <f t="shared" si="21"/>
        <v>10230764.775000006</v>
      </c>
      <c r="AF117" s="28">
        <f t="shared" si="17"/>
        <v>23692289.775000006</v>
      </c>
      <c r="AG117" s="28">
        <f t="shared" si="18"/>
        <v>23002.223082524277</v>
      </c>
    </row>
    <row r="118" spans="1:33" ht="43.2" x14ac:dyDescent="0.3">
      <c r="A118" s="41" t="s">
        <v>696</v>
      </c>
      <c r="B118" s="41" t="s">
        <v>690</v>
      </c>
      <c r="C118" s="43" t="s">
        <v>654</v>
      </c>
      <c r="D118" s="41" t="s">
        <v>27</v>
      </c>
      <c r="E118" s="41" t="s">
        <v>162</v>
      </c>
      <c r="F118" s="41" t="s">
        <v>712</v>
      </c>
      <c r="G118" s="41">
        <f>1999.2/7</f>
        <v>285.60000000000002</v>
      </c>
      <c r="H118" s="41"/>
      <c r="I118" s="41"/>
      <c r="J118" s="41">
        <v>0</v>
      </c>
      <c r="K118" s="41">
        <f>2*25*9</f>
        <v>450</v>
      </c>
      <c r="L118" s="41">
        <v>5</v>
      </c>
      <c r="M118" s="41">
        <f t="shared" si="19"/>
        <v>706860</v>
      </c>
      <c r="N118" s="41"/>
      <c r="O118" s="41"/>
      <c r="P118" s="41"/>
      <c r="Q118" s="41">
        <v>0</v>
      </c>
      <c r="R118" s="41">
        <v>0</v>
      </c>
      <c r="S118" s="41">
        <v>0</v>
      </c>
      <c r="T118" s="41">
        <f>2*25*9</f>
        <v>450</v>
      </c>
      <c r="U118" s="41">
        <v>5</v>
      </c>
      <c r="V118" s="41">
        <f t="shared" si="20"/>
        <v>940830.66000000038</v>
      </c>
      <c r="W118" s="41">
        <v>0</v>
      </c>
      <c r="X118" s="41">
        <v>0</v>
      </c>
      <c r="Y118" s="41">
        <v>0</v>
      </c>
      <c r="Z118" s="41">
        <v>0</v>
      </c>
      <c r="AA118" s="41">
        <v>0</v>
      </c>
      <c r="AB118" s="41">
        <v>0</v>
      </c>
      <c r="AC118" s="41">
        <f>2*25*9</f>
        <v>450</v>
      </c>
      <c r="AD118" s="41">
        <v>5</v>
      </c>
      <c r="AE118" s="41">
        <f t="shared" si="21"/>
        <v>1252245.6084600009</v>
      </c>
      <c r="AF118" s="28">
        <f t="shared" si="17"/>
        <v>2899936.2684600013</v>
      </c>
      <c r="AG118" s="28">
        <f t="shared" si="18"/>
        <v>2815.4721053009721</v>
      </c>
    </row>
    <row r="119" spans="1:33" x14ac:dyDescent="0.3">
      <c r="A119" s="41"/>
      <c r="B119" s="41"/>
      <c r="C119" s="41"/>
      <c r="D119" s="41"/>
      <c r="E119" s="41"/>
      <c r="F119" s="41" t="s">
        <v>1336</v>
      </c>
      <c r="G119" s="41">
        <f>1999.2/7</f>
        <v>285.60000000000002</v>
      </c>
      <c r="H119" s="41"/>
      <c r="I119" s="41"/>
      <c r="J119" s="41"/>
      <c r="K119" s="41">
        <f>2*135*9</f>
        <v>2430</v>
      </c>
      <c r="L119" s="41">
        <v>1</v>
      </c>
      <c r="M119" s="41">
        <f t="shared" si="19"/>
        <v>763408.8</v>
      </c>
      <c r="N119" s="41"/>
      <c r="O119" s="41"/>
      <c r="P119" s="41"/>
      <c r="Q119" s="41"/>
      <c r="R119" s="41"/>
      <c r="S119" s="41"/>
      <c r="T119" s="41">
        <f>2*135*9</f>
        <v>2430</v>
      </c>
      <c r="U119" s="41">
        <v>1</v>
      </c>
      <c r="V119" s="41">
        <f t="shared" si="20"/>
        <v>1016097.1128000004</v>
      </c>
      <c r="W119" s="41"/>
      <c r="X119" s="41"/>
      <c r="Y119" s="41"/>
      <c r="Z119" s="41"/>
      <c r="AA119" s="41"/>
      <c r="AB119" s="41"/>
      <c r="AC119" s="41">
        <f>2*135*9</f>
        <v>2430</v>
      </c>
      <c r="AD119" s="41">
        <v>1</v>
      </c>
      <c r="AE119" s="41">
        <f t="shared" si="21"/>
        <v>1352425.257136801</v>
      </c>
      <c r="AF119" s="28">
        <f t="shared" si="17"/>
        <v>3131931.1699368013</v>
      </c>
      <c r="AG119" s="28">
        <f t="shared" si="18"/>
        <v>3040.7098737250499</v>
      </c>
    </row>
    <row r="120" spans="1:33"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28">
        <f t="shared" si="17"/>
        <v>0</v>
      </c>
      <c r="AG120" s="28">
        <f t="shared" si="18"/>
        <v>0</v>
      </c>
    </row>
    <row r="121" spans="1:33" ht="43.2" x14ac:dyDescent="0.3">
      <c r="A121" s="41" t="s">
        <v>696</v>
      </c>
      <c r="B121" s="41" t="s">
        <v>690</v>
      </c>
      <c r="C121" s="42" t="s">
        <v>655</v>
      </c>
      <c r="D121" s="41" t="s">
        <v>28</v>
      </c>
      <c r="E121" s="41" t="s">
        <v>283</v>
      </c>
      <c r="F121" s="41" t="s">
        <v>718</v>
      </c>
      <c r="G121" s="41">
        <v>0</v>
      </c>
      <c r="H121" s="41">
        <v>0</v>
      </c>
      <c r="I121" s="41">
        <v>0</v>
      </c>
      <c r="J121" s="41">
        <v>0</v>
      </c>
      <c r="K121" s="41">
        <v>0</v>
      </c>
      <c r="L121" s="41">
        <v>0</v>
      </c>
      <c r="M121" s="41">
        <v>0</v>
      </c>
      <c r="N121" s="41">
        <v>0</v>
      </c>
      <c r="O121" s="41">
        <v>0</v>
      </c>
      <c r="P121" s="41">
        <f>($G121*1.1^2)*N121*O121</f>
        <v>0</v>
      </c>
      <c r="Q121" s="41">
        <v>0</v>
      </c>
      <c r="R121" s="41">
        <v>0</v>
      </c>
      <c r="S121" s="41">
        <v>0</v>
      </c>
      <c r="T121" s="41">
        <v>0</v>
      </c>
      <c r="U121" s="41">
        <v>0</v>
      </c>
      <c r="V121" s="41">
        <v>0</v>
      </c>
      <c r="W121" s="41">
        <v>0</v>
      </c>
      <c r="X121" s="41">
        <v>0</v>
      </c>
      <c r="Y121" s="41">
        <f>($G121*1.1^5)*W121*X121</f>
        <v>0</v>
      </c>
      <c r="Z121" s="41">
        <v>0</v>
      </c>
      <c r="AA121" s="41">
        <v>0</v>
      </c>
      <c r="AB121" s="41">
        <v>0</v>
      </c>
      <c r="AC121" s="41">
        <v>0</v>
      </c>
      <c r="AD121" s="41">
        <v>0</v>
      </c>
      <c r="AE121" s="41">
        <v>0</v>
      </c>
      <c r="AF121" s="28">
        <f t="shared" si="17"/>
        <v>0</v>
      </c>
      <c r="AG121" s="28">
        <f t="shared" si="18"/>
        <v>0</v>
      </c>
    </row>
    <row r="122" spans="1:33" ht="43.2" x14ac:dyDescent="0.3">
      <c r="A122" s="41" t="s">
        <v>696</v>
      </c>
      <c r="B122" s="41" t="s">
        <v>690</v>
      </c>
      <c r="C122" s="42" t="s">
        <v>655</v>
      </c>
      <c r="D122" s="41" t="s">
        <v>28</v>
      </c>
      <c r="E122" s="41" t="s">
        <v>284</v>
      </c>
      <c r="F122" s="41" t="s">
        <v>708</v>
      </c>
      <c r="G122" s="41">
        <f>980*1030</f>
        <v>1009400</v>
      </c>
      <c r="H122" s="41">
        <v>0</v>
      </c>
      <c r="I122" s="41">
        <v>0</v>
      </c>
      <c r="J122" s="41">
        <v>0</v>
      </c>
      <c r="K122" s="41">
        <v>0</v>
      </c>
      <c r="L122" s="41">
        <v>0</v>
      </c>
      <c r="M122" s="41">
        <v>0</v>
      </c>
      <c r="N122" s="41">
        <v>1</v>
      </c>
      <c r="O122" s="41">
        <v>25</v>
      </c>
      <c r="P122" s="41">
        <f t="shared" ref="P122:P132" si="22">($G122*1.1^2)*N122*O122</f>
        <v>30534350.000000007</v>
      </c>
      <c r="Q122" s="41">
        <v>0</v>
      </c>
      <c r="R122" s="41">
        <v>0</v>
      </c>
      <c r="S122" s="41">
        <v>0</v>
      </c>
      <c r="T122" s="41">
        <v>0</v>
      </c>
      <c r="U122" s="41">
        <v>0</v>
      </c>
      <c r="V122" s="41">
        <v>0</v>
      </c>
      <c r="W122" s="41">
        <v>1</v>
      </c>
      <c r="X122" s="41">
        <v>25</v>
      </c>
      <c r="Y122" s="41">
        <f t="shared" ref="Y122:Y132" si="23">($G122*1.1^5)*W122*X122</f>
        <v>40641219.850000009</v>
      </c>
      <c r="Z122" s="41">
        <v>0</v>
      </c>
      <c r="AA122" s="41">
        <v>0</v>
      </c>
      <c r="AB122" s="41">
        <v>0</v>
      </c>
      <c r="AC122" s="41">
        <v>0</v>
      </c>
      <c r="AD122" s="41">
        <v>0</v>
      </c>
      <c r="AE122" s="41">
        <v>0</v>
      </c>
      <c r="AF122" s="28">
        <f t="shared" si="17"/>
        <v>71175569.850000024</v>
      </c>
      <c r="AG122" s="28">
        <f t="shared" si="18"/>
        <v>69102.495000000024</v>
      </c>
    </row>
    <row r="123" spans="1:33" ht="43.2" x14ac:dyDescent="0.3">
      <c r="A123" s="41" t="s">
        <v>696</v>
      </c>
      <c r="B123" s="41" t="s">
        <v>690</v>
      </c>
      <c r="C123" s="42" t="s">
        <v>655</v>
      </c>
      <c r="D123" s="41" t="s">
        <v>28</v>
      </c>
      <c r="E123" s="41" t="s">
        <v>284</v>
      </c>
      <c r="F123" s="41" t="s">
        <v>707</v>
      </c>
      <c r="G123" s="41">
        <v>391991.03749999998</v>
      </c>
      <c r="H123" s="41">
        <v>0</v>
      </c>
      <c r="I123" s="41">
        <v>0</v>
      </c>
      <c r="J123" s="41">
        <v>0</v>
      </c>
      <c r="K123" s="41">
        <v>0</v>
      </c>
      <c r="L123" s="41">
        <v>0</v>
      </c>
      <c r="M123" s="41">
        <v>0</v>
      </c>
      <c r="N123" s="41">
        <v>2</v>
      </c>
      <c r="O123" s="41">
        <v>2</v>
      </c>
      <c r="P123" s="41">
        <f t="shared" si="22"/>
        <v>1897236.6215000001</v>
      </c>
      <c r="Q123" s="41">
        <v>0</v>
      </c>
      <c r="R123" s="41">
        <v>0</v>
      </c>
      <c r="S123" s="41">
        <v>0</v>
      </c>
      <c r="T123" s="41">
        <v>0</v>
      </c>
      <c r="U123" s="41">
        <v>0</v>
      </c>
      <c r="V123" s="41">
        <v>0</v>
      </c>
      <c r="W123" s="41">
        <v>2</v>
      </c>
      <c r="X123" s="41">
        <v>2</v>
      </c>
      <c r="Y123" s="41">
        <f t="shared" si="23"/>
        <v>2525221.9432165008</v>
      </c>
      <c r="Z123" s="41">
        <v>0</v>
      </c>
      <c r="AA123" s="41">
        <v>0</v>
      </c>
      <c r="AB123" s="41">
        <v>0</v>
      </c>
      <c r="AC123" s="41">
        <v>0</v>
      </c>
      <c r="AD123" s="41">
        <v>0</v>
      </c>
      <c r="AE123" s="41">
        <v>0</v>
      </c>
      <c r="AF123" s="28">
        <f t="shared" si="17"/>
        <v>4422458.5647165012</v>
      </c>
      <c r="AG123" s="28">
        <f t="shared" si="18"/>
        <v>4293.6490919577682</v>
      </c>
    </row>
    <row r="124" spans="1:33" ht="43.2" x14ac:dyDescent="0.3">
      <c r="A124" s="41" t="s">
        <v>696</v>
      </c>
      <c r="B124" s="41" t="s">
        <v>690</v>
      </c>
      <c r="C124" s="42" t="s">
        <v>655</v>
      </c>
      <c r="D124" s="41" t="s">
        <v>28</v>
      </c>
      <c r="E124" s="41" t="s">
        <v>285</v>
      </c>
      <c r="F124" s="41" t="s">
        <v>716</v>
      </c>
      <c r="G124" s="41">
        <v>39000</v>
      </c>
      <c r="H124" s="41">
        <v>0</v>
      </c>
      <c r="I124" s="41">
        <v>0</v>
      </c>
      <c r="J124" s="41">
        <v>0</v>
      </c>
      <c r="K124" s="41">
        <v>0</v>
      </c>
      <c r="L124" s="41">
        <v>0</v>
      </c>
      <c r="M124" s="41">
        <v>0</v>
      </c>
      <c r="N124" s="41">
        <v>30</v>
      </c>
      <c r="O124" s="41">
        <v>4</v>
      </c>
      <c r="P124" s="41">
        <f t="shared" si="22"/>
        <v>5662800.0000000009</v>
      </c>
      <c r="Q124" s="41">
        <v>0</v>
      </c>
      <c r="R124" s="41">
        <v>0</v>
      </c>
      <c r="S124" s="41">
        <v>0</v>
      </c>
      <c r="T124" s="41">
        <v>0</v>
      </c>
      <c r="U124" s="41">
        <v>0</v>
      </c>
      <c r="V124" s="41">
        <v>0</v>
      </c>
      <c r="W124" s="41">
        <v>30</v>
      </c>
      <c r="X124" s="41">
        <v>4</v>
      </c>
      <c r="Y124" s="41">
        <f t="shared" si="23"/>
        <v>7537186.8000000026</v>
      </c>
      <c r="Z124" s="41">
        <v>0</v>
      </c>
      <c r="AA124" s="41">
        <v>0</v>
      </c>
      <c r="AB124" s="41">
        <v>0</v>
      </c>
      <c r="AC124" s="41">
        <v>0</v>
      </c>
      <c r="AD124" s="41">
        <v>0</v>
      </c>
      <c r="AE124" s="41">
        <v>0</v>
      </c>
      <c r="AF124" s="28">
        <f t="shared" si="17"/>
        <v>13199986.800000004</v>
      </c>
      <c r="AG124" s="28">
        <f t="shared" si="18"/>
        <v>12815.521165048549</v>
      </c>
    </row>
    <row r="125" spans="1:33" ht="43.2" x14ac:dyDescent="0.3">
      <c r="A125" s="41" t="s">
        <v>696</v>
      </c>
      <c r="B125" s="41" t="s">
        <v>690</v>
      </c>
      <c r="C125" s="42" t="s">
        <v>655</v>
      </c>
      <c r="D125" s="41" t="s">
        <v>28</v>
      </c>
      <c r="E125" s="41" t="s">
        <v>285</v>
      </c>
      <c r="F125" s="41" t="s">
        <v>712</v>
      </c>
      <c r="G125" s="41">
        <f>1999.2/7</f>
        <v>285.60000000000002</v>
      </c>
      <c r="H125" s="41">
        <v>0</v>
      </c>
      <c r="I125" s="41">
        <v>0</v>
      </c>
      <c r="J125" s="41">
        <v>0</v>
      </c>
      <c r="K125" s="41">
        <v>0</v>
      </c>
      <c r="L125" s="41">
        <v>0</v>
      </c>
      <c r="M125" s="41">
        <v>0</v>
      </c>
      <c r="N125" s="41">
        <f>2*25*9</f>
        <v>450</v>
      </c>
      <c r="O125" s="41">
        <v>3</v>
      </c>
      <c r="P125" s="41">
        <f t="shared" si="22"/>
        <v>466527.60000000009</v>
      </c>
      <c r="Q125" s="41">
        <v>0</v>
      </c>
      <c r="R125" s="41">
        <v>0</v>
      </c>
      <c r="S125" s="41">
        <v>0</v>
      </c>
      <c r="T125" s="41">
        <v>0</v>
      </c>
      <c r="U125" s="41">
        <v>0</v>
      </c>
      <c r="V125" s="41">
        <v>0</v>
      </c>
      <c r="W125" s="41">
        <f>2*25*9</f>
        <v>450</v>
      </c>
      <c r="X125" s="41">
        <v>3</v>
      </c>
      <c r="Y125" s="41">
        <f t="shared" si="23"/>
        <v>620948.23560000025</v>
      </c>
      <c r="Z125" s="41">
        <v>0</v>
      </c>
      <c r="AA125" s="41">
        <v>0</v>
      </c>
      <c r="AB125" s="41">
        <v>0</v>
      </c>
      <c r="AC125" s="41">
        <v>0</v>
      </c>
      <c r="AD125" s="41">
        <v>0</v>
      </c>
      <c r="AE125" s="41">
        <v>0</v>
      </c>
      <c r="AF125" s="28">
        <f t="shared" si="17"/>
        <v>1087475.8356000003</v>
      </c>
      <c r="AG125" s="28">
        <f t="shared" si="18"/>
        <v>1055.8017821359226</v>
      </c>
    </row>
    <row r="126" spans="1:33" x14ac:dyDescent="0.3">
      <c r="A126" s="41"/>
      <c r="B126" s="41"/>
      <c r="C126" s="42"/>
      <c r="D126" s="41"/>
      <c r="E126" s="41"/>
      <c r="F126" s="41" t="s">
        <v>1336</v>
      </c>
      <c r="G126" s="41">
        <f>1999.2/7</f>
        <v>285.60000000000002</v>
      </c>
      <c r="H126" s="41">
        <v>0</v>
      </c>
      <c r="I126" s="41">
        <v>0</v>
      </c>
      <c r="J126" s="41">
        <v>0</v>
      </c>
      <c r="K126" s="41">
        <v>0</v>
      </c>
      <c r="L126" s="41">
        <v>0</v>
      </c>
      <c r="M126" s="41">
        <v>0</v>
      </c>
      <c r="N126" s="41">
        <f>2*135*9</f>
        <v>2430</v>
      </c>
      <c r="O126" s="41">
        <v>1</v>
      </c>
      <c r="P126" s="41">
        <f t="shared" si="22"/>
        <v>839749.68000000017</v>
      </c>
      <c r="Q126" s="41"/>
      <c r="R126" s="41"/>
      <c r="S126" s="41"/>
      <c r="T126" s="41"/>
      <c r="U126" s="41"/>
      <c r="V126" s="41"/>
      <c r="W126" s="41">
        <f>2*135*9</f>
        <v>2430</v>
      </c>
      <c r="X126" s="41">
        <v>1</v>
      </c>
      <c r="Y126" s="41">
        <f t="shared" si="23"/>
        <v>1117706.8240800004</v>
      </c>
      <c r="Z126" s="41"/>
      <c r="AA126" s="41"/>
      <c r="AB126" s="41"/>
      <c r="AC126" s="41"/>
      <c r="AD126" s="41"/>
      <c r="AE126" s="41"/>
      <c r="AF126" s="28">
        <f t="shared" si="17"/>
        <v>1957456.5040800006</v>
      </c>
      <c r="AG126" s="28">
        <f t="shared" si="18"/>
        <v>1900.4432078446607</v>
      </c>
    </row>
    <row r="127" spans="1:33" ht="43.2" x14ac:dyDescent="0.3">
      <c r="A127" s="41" t="s">
        <v>696</v>
      </c>
      <c r="B127" s="41" t="s">
        <v>690</v>
      </c>
      <c r="C127" s="42" t="s">
        <v>655</v>
      </c>
      <c r="D127" s="41" t="s">
        <v>28</v>
      </c>
      <c r="E127" s="41" t="s">
        <v>285</v>
      </c>
      <c r="F127" s="41" t="s">
        <v>709</v>
      </c>
      <c r="G127" s="41">
        <v>35000</v>
      </c>
      <c r="H127" s="41">
        <v>0</v>
      </c>
      <c r="I127" s="41">
        <v>0</v>
      </c>
      <c r="J127" s="41">
        <v>0</v>
      </c>
      <c r="K127" s="41">
        <v>0</v>
      </c>
      <c r="L127" s="41">
        <v>0</v>
      </c>
      <c r="M127" s="41">
        <v>0</v>
      </c>
      <c r="N127" s="41">
        <v>30</v>
      </c>
      <c r="O127" s="41">
        <v>3</v>
      </c>
      <c r="P127" s="41">
        <f t="shared" si="22"/>
        <v>3811500.0000000009</v>
      </c>
      <c r="Q127" s="41">
        <v>0</v>
      </c>
      <c r="R127" s="41">
        <v>0</v>
      </c>
      <c r="S127" s="41">
        <v>0</v>
      </c>
      <c r="T127" s="41">
        <v>0</v>
      </c>
      <c r="U127" s="41">
        <v>0</v>
      </c>
      <c r="V127" s="41">
        <v>0</v>
      </c>
      <c r="W127" s="41">
        <v>30</v>
      </c>
      <c r="X127" s="41">
        <v>3</v>
      </c>
      <c r="Y127" s="41">
        <f t="shared" si="23"/>
        <v>5073106.5000000019</v>
      </c>
      <c r="Z127" s="41">
        <v>0</v>
      </c>
      <c r="AA127" s="41">
        <v>0</v>
      </c>
      <c r="AB127" s="41">
        <v>0</v>
      </c>
      <c r="AC127" s="41">
        <v>0</v>
      </c>
      <c r="AD127" s="41">
        <v>0</v>
      </c>
      <c r="AE127" s="41">
        <v>0</v>
      </c>
      <c r="AF127" s="28">
        <f t="shared" si="17"/>
        <v>8884606.5000000037</v>
      </c>
      <c r="AG127" s="28">
        <f t="shared" si="18"/>
        <v>8625.8315533980622</v>
      </c>
    </row>
    <row r="128" spans="1:33" ht="43.2" x14ac:dyDescent="0.3">
      <c r="A128" s="41" t="s">
        <v>696</v>
      </c>
      <c r="B128" s="41" t="s">
        <v>690</v>
      </c>
      <c r="C128" s="42" t="s">
        <v>655</v>
      </c>
      <c r="D128" s="41" t="s">
        <v>28</v>
      </c>
      <c r="E128" s="41" t="s">
        <v>286</v>
      </c>
      <c r="F128" s="41" t="s">
        <v>709</v>
      </c>
      <c r="G128" s="41">
        <v>35000</v>
      </c>
      <c r="H128" s="41">
        <v>0</v>
      </c>
      <c r="I128" s="41">
        <v>0</v>
      </c>
      <c r="J128" s="41">
        <v>0</v>
      </c>
      <c r="K128" s="41">
        <v>0</v>
      </c>
      <c r="L128" s="41">
        <v>0</v>
      </c>
      <c r="M128" s="41">
        <v>0</v>
      </c>
      <c r="N128" s="41">
        <v>40</v>
      </c>
      <c r="O128" s="41">
        <v>3</v>
      </c>
      <c r="P128" s="41">
        <f t="shared" si="22"/>
        <v>5082000.0000000009</v>
      </c>
      <c r="Q128" s="41">
        <v>0</v>
      </c>
      <c r="R128" s="41">
        <v>0</v>
      </c>
      <c r="S128" s="41">
        <v>0</v>
      </c>
      <c r="T128" s="41">
        <v>0</v>
      </c>
      <c r="U128" s="41">
        <v>0</v>
      </c>
      <c r="V128" s="41">
        <v>0</v>
      </c>
      <c r="W128" s="41">
        <v>40</v>
      </c>
      <c r="X128" s="41">
        <v>3</v>
      </c>
      <c r="Y128" s="41">
        <f t="shared" si="23"/>
        <v>6764142.0000000028</v>
      </c>
      <c r="Z128" s="41">
        <v>0</v>
      </c>
      <c r="AA128" s="41">
        <v>0</v>
      </c>
      <c r="AB128" s="41">
        <v>0</v>
      </c>
      <c r="AC128" s="41">
        <v>0</v>
      </c>
      <c r="AD128" s="41">
        <v>0</v>
      </c>
      <c r="AE128" s="41">
        <v>0</v>
      </c>
      <c r="AF128" s="28">
        <f t="shared" si="17"/>
        <v>11846142.000000004</v>
      </c>
      <c r="AG128" s="28">
        <f t="shared" si="18"/>
        <v>11501.10873786408</v>
      </c>
    </row>
    <row r="129" spans="1:33" ht="43.2" x14ac:dyDescent="0.3">
      <c r="A129" s="41" t="s">
        <v>696</v>
      </c>
      <c r="B129" s="41" t="s">
        <v>690</v>
      </c>
      <c r="C129" s="42" t="s">
        <v>655</v>
      </c>
      <c r="D129" s="41" t="s">
        <v>28</v>
      </c>
      <c r="E129" s="41" t="s">
        <v>286</v>
      </c>
      <c r="F129" s="41" t="s">
        <v>716</v>
      </c>
      <c r="G129" s="41">
        <v>26000</v>
      </c>
      <c r="H129" s="41">
        <v>0</v>
      </c>
      <c r="I129" s="41">
        <v>0</v>
      </c>
      <c r="J129" s="41">
        <v>0</v>
      </c>
      <c r="K129" s="41">
        <v>0</v>
      </c>
      <c r="L129" s="41">
        <v>0</v>
      </c>
      <c r="M129" s="41">
        <v>0</v>
      </c>
      <c r="N129" s="41">
        <v>0</v>
      </c>
      <c r="O129" s="41">
        <v>4</v>
      </c>
      <c r="P129" s="41">
        <f t="shared" si="22"/>
        <v>0</v>
      </c>
      <c r="Q129" s="41">
        <v>0</v>
      </c>
      <c r="R129" s="41">
        <v>0</v>
      </c>
      <c r="S129" s="41">
        <v>0</v>
      </c>
      <c r="T129" s="41">
        <v>0</v>
      </c>
      <c r="U129" s="41">
        <v>0</v>
      </c>
      <c r="V129" s="41">
        <v>0</v>
      </c>
      <c r="W129" s="41">
        <v>0</v>
      </c>
      <c r="X129" s="41">
        <v>4</v>
      </c>
      <c r="Y129" s="41">
        <f t="shared" si="23"/>
        <v>0</v>
      </c>
      <c r="Z129" s="41">
        <v>0</v>
      </c>
      <c r="AA129" s="41">
        <v>0</v>
      </c>
      <c r="AB129" s="41">
        <v>0</v>
      </c>
      <c r="AC129" s="41">
        <v>0</v>
      </c>
      <c r="AD129" s="41">
        <v>0</v>
      </c>
      <c r="AE129" s="41">
        <v>0</v>
      </c>
      <c r="AF129" s="28">
        <f t="shared" si="17"/>
        <v>0</v>
      </c>
      <c r="AG129" s="28">
        <f t="shared" si="18"/>
        <v>0</v>
      </c>
    </row>
    <row r="130" spans="1:33" ht="43.2" x14ac:dyDescent="0.3">
      <c r="A130" s="41" t="s">
        <v>696</v>
      </c>
      <c r="B130" s="41" t="s">
        <v>690</v>
      </c>
      <c r="C130" s="42" t="s">
        <v>655</v>
      </c>
      <c r="D130" s="41" t="s">
        <v>28</v>
      </c>
      <c r="E130" s="41" t="s">
        <v>286</v>
      </c>
      <c r="F130" s="41" t="s">
        <v>712</v>
      </c>
      <c r="G130" s="41">
        <f>1999.2/7</f>
        <v>285.60000000000002</v>
      </c>
      <c r="H130" s="41">
        <v>0</v>
      </c>
      <c r="I130" s="41">
        <v>0</v>
      </c>
      <c r="J130" s="41">
        <v>0</v>
      </c>
      <c r="K130" s="41">
        <v>0</v>
      </c>
      <c r="L130" s="41">
        <v>0</v>
      </c>
      <c r="M130" s="41">
        <v>0</v>
      </c>
      <c r="N130" s="41">
        <v>0</v>
      </c>
      <c r="O130" s="41">
        <v>3</v>
      </c>
      <c r="P130" s="41">
        <f t="shared" si="22"/>
        <v>0</v>
      </c>
      <c r="Q130" s="41">
        <v>0</v>
      </c>
      <c r="R130" s="41">
        <v>0</v>
      </c>
      <c r="S130" s="41">
        <v>0</v>
      </c>
      <c r="T130" s="41">
        <v>0</v>
      </c>
      <c r="U130" s="41">
        <v>0</v>
      </c>
      <c r="V130" s="41">
        <v>0</v>
      </c>
      <c r="W130" s="41">
        <v>0</v>
      </c>
      <c r="X130" s="41">
        <v>3</v>
      </c>
      <c r="Y130" s="41">
        <f t="shared" si="23"/>
        <v>0</v>
      </c>
      <c r="Z130" s="41">
        <v>0</v>
      </c>
      <c r="AA130" s="41">
        <v>0</v>
      </c>
      <c r="AB130" s="41">
        <v>0</v>
      </c>
      <c r="AC130" s="41">
        <v>0</v>
      </c>
      <c r="AD130" s="41">
        <v>0</v>
      </c>
      <c r="AE130" s="41">
        <v>0</v>
      </c>
      <c r="AF130" s="28">
        <f t="shared" si="17"/>
        <v>0</v>
      </c>
      <c r="AG130" s="28">
        <f t="shared" si="18"/>
        <v>0</v>
      </c>
    </row>
    <row r="131" spans="1:33" ht="43.2" x14ac:dyDescent="0.3">
      <c r="A131" s="41" t="s">
        <v>696</v>
      </c>
      <c r="B131" s="41" t="s">
        <v>690</v>
      </c>
      <c r="C131" s="42" t="s">
        <v>655</v>
      </c>
      <c r="D131" s="41" t="s">
        <v>30</v>
      </c>
      <c r="E131" s="41" t="s">
        <v>287</v>
      </c>
      <c r="F131" s="41" t="s">
        <v>718</v>
      </c>
      <c r="G131" s="41">
        <v>0</v>
      </c>
      <c r="H131" s="41">
        <v>0</v>
      </c>
      <c r="I131" s="41">
        <v>0</v>
      </c>
      <c r="J131" s="41">
        <v>0</v>
      </c>
      <c r="K131" s="41">
        <v>0</v>
      </c>
      <c r="L131" s="41">
        <v>0</v>
      </c>
      <c r="M131" s="41">
        <v>0</v>
      </c>
      <c r="N131" s="41">
        <v>0</v>
      </c>
      <c r="O131" s="41">
        <v>0</v>
      </c>
      <c r="P131" s="41">
        <f t="shared" si="22"/>
        <v>0</v>
      </c>
      <c r="Q131" s="41">
        <v>0</v>
      </c>
      <c r="R131" s="41">
        <v>0</v>
      </c>
      <c r="S131" s="41">
        <v>0</v>
      </c>
      <c r="T131" s="41">
        <v>0</v>
      </c>
      <c r="U131" s="41">
        <v>0</v>
      </c>
      <c r="V131" s="41">
        <v>0</v>
      </c>
      <c r="W131" s="41">
        <v>0</v>
      </c>
      <c r="X131" s="41">
        <v>0</v>
      </c>
      <c r="Y131" s="41">
        <f t="shared" si="23"/>
        <v>0</v>
      </c>
      <c r="Z131" s="41">
        <v>0</v>
      </c>
      <c r="AA131" s="41">
        <v>0</v>
      </c>
      <c r="AB131" s="41">
        <v>0</v>
      </c>
      <c r="AC131" s="41">
        <v>0</v>
      </c>
      <c r="AD131" s="41">
        <v>0</v>
      </c>
      <c r="AE131" s="41">
        <v>0</v>
      </c>
      <c r="AF131" s="28">
        <f t="shared" ref="AF131:AF169" si="24">J131+M131+P131+S131+V131+Y131+AB131+AE131</f>
        <v>0</v>
      </c>
      <c r="AG131" s="28">
        <f t="shared" ref="AG131:AG169" si="25">AF131/$AL$2</f>
        <v>0</v>
      </c>
    </row>
    <row r="132" spans="1:33" ht="43.2" x14ac:dyDescent="0.3">
      <c r="A132" s="41" t="s">
        <v>696</v>
      </c>
      <c r="B132" s="41" t="s">
        <v>690</v>
      </c>
      <c r="C132" s="42" t="s">
        <v>655</v>
      </c>
      <c r="D132" s="41" t="s">
        <v>30</v>
      </c>
      <c r="E132" s="41" t="s">
        <v>288</v>
      </c>
      <c r="F132" s="41" t="s">
        <v>718</v>
      </c>
      <c r="G132" s="41">
        <v>0</v>
      </c>
      <c r="H132" s="41">
        <v>0</v>
      </c>
      <c r="I132" s="41">
        <v>0</v>
      </c>
      <c r="J132" s="41">
        <v>0</v>
      </c>
      <c r="K132" s="41">
        <v>0</v>
      </c>
      <c r="L132" s="41">
        <v>0</v>
      </c>
      <c r="M132" s="41">
        <v>0</v>
      </c>
      <c r="N132" s="41">
        <v>0</v>
      </c>
      <c r="O132" s="41">
        <v>0</v>
      </c>
      <c r="P132" s="41">
        <f t="shared" si="22"/>
        <v>0</v>
      </c>
      <c r="Q132" s="41">
        <v>0</v>
      </c>
      <c r="R132" s="41">
        <v>0</v>
      </c>
      <c r="S132" s="41">
        <v>0</v>
      </c>
      <c r="T132" s="41">
        <v>0</v>
      </c>
      <c r="U132" s="41">
        <v>0</v>
      </c>
      <c r="V132" s="41">
        <v>0</v>
      </c>
      <c r="W132" s="41">
        <v>0</v>
      </c>
      <c r="X132" s="41">
        <v>0</v>
      </c>
      <c r="Y132" s="41">
        <f t="shared" si="23"/>
        <v>0</v>
      </c>
      <c r="Z132" s="41">
        <v>0</v>
      </c>
      <c r="AA132" s="41">
        <v>0</v>
      </c>
      <c r="AB132" s="41">
        <v>0</v>
      </c>
      <c r="AC132" s="41">
        <v>0</v>
      </c>
      <c r="AD132" s="41">
        <v>0</v>
      </c>
      <c r="AE132" s="41">
        <v>0</v>
      </c>
      <c r="AF132" s="28">
        <f t="shared" si="24"/>
        <v>0</v>
      </c>
      <c r="AG132" s="28">
        <f t="shared" si="25"/>
        <v>0</v>
      </c>
    </row>
    <row r="133" spans="1:33" ht="57.6" x14ac:dyDescent="0.3">
      <c r="A133" s="41" t="s">
        <v>696</v>
      </c>
      <c r="B133" s="41" t="s">
        <v>690</v>
      </c>
      <c r="C133" s="42" t="s">
        <v>655</v>
      </c>
      <c r="D133" s="41" t="s">
        <v>30</v>
      </c>
      <c r="E133" s="41" t="s">
        <v>289</v>
      </c>
      <c r="F133" s="41" t="s">
        <v>709</v>
      </c>
      <c r="G133" s="41">
        <v>35000</v>
      </c>
      <c r="H133" s="41"/>
      <c r="I133" s="41"/>
      <c r="J133" s="41">
        <v>0</v>
      </c>
      <c r="K133" s="41">
        <v>0</v>
      </c>
      <c r="L133" s="41">
        <v>0</v>
      </c>
      <c r="M133" s="41">
        <v>0</v>
      </c>
      <c r="N133" s="41">
        <f>1000*5</f>
        <v>5000</v>
      </c>
      <c r="O133" s="41">
        <v>2</v>
      </c>
      <c r="P133" s="41">
        <f>($G133*1.1^2)*N133*O133</f>
        <v>423500000.00000006</v>
      </c>
      <c r="Q133" s="41">
        <v>0</v>
      </c>
      <c r="R133" s="41">
        <v>0</v>
      </c>
      <c r="S133" s="41">
        <v>0</v>
      </c>
      <c r="T133" s="41">
        <v>0</v>
      </c>
      <c r="U133" s="41">
        <v>0</v>
      </c>
      <c r="V133" s="41">
        <v>0</v>
      </c>
      <c r="W133" s="41">
        <v>0</v>
      </c>
      <c r="X133" s="41">
        <v>0</v>
      </c>
      <c r="Y133" s="41">
        <v>0</v>
      </c>
      <c r="Z133" s="41">
        <v>0</v>
      </c>
      <c r="AA133" s="41">
        <v>0</v>
      </c>
      <c r="AB133" s="41">
        <v>0</v>
      </c>
      <c r="AC133" s="41">
        <f>1000*5</f>
        <v>5000</v>
      </c>
      <c r="AD133" s="41">
        <v>2</v>
      </c>
      <c r="AE133" s="41">
        <f>($G133*1.1^7)*AC133*AD133</f>
        <v>682050985.00000036</v>
      </c>
      <c r="AF133" s="28">
        <f t="shared" si="24"/>
        <v>1105550985.0000005</v>
      </c>
      <c r="AG133" s="28">
        <f t="shared" si="25"/>
        <v>1073350.4708737868</v>
      </c>
    </row>
    <row r="134" spans="1:33" ht="57.6" x14ac:dyDescent="0.3">
      <c r="A134" s="41" t="s">
        <v>696</v>
      </c>
      <c r="B134" s="41" t="s">
        <v>690</v>
      </c>
      <c r="C134" s="42" t="s">
        <v>655</v>
      </c>
      <c r="D134" s="41" t="s">
        <v>30</v>
      </c>
      <c r="E134" s="41" t="s">
        <v>289</v>
      </c>
      <c r="F134" s="41" t="s">
        <v>716</v>
      </c>
      <c r="G134" s="41">
        <v>39000</v>
      </c>
      <c r="H134" s="41"/>
      <c r="I134" s="41"/>
      <c r="J134" s="41">
        <v>0</v>
      </c>
      <c r="K134" s="41">
        <v>0</v>
      </c>
      <c r="L134" s="41">
        <v>0</v>
      </c>
      <c r="M134" s="41">
        <v>0</v>
      </c>
      <c r="N134" s="41">
        <v>58</v>
      </c>
      <c r="O134" s="41">
        <v>3</v>
      </c>
      <c r="P134" s="41">
        <f>($G134*1.1^2)*N134*O134</f>
        <v>8211060.0000000019</v>
      </c>
      <c r="Q134" s="41">
        <v>0</v>
      </c>
      <c r="R134" s="41">
        <v>0</v>
      </c>
      <c r="S134" s="41">
        <v>0</v>
      </c>
      <c r="T134" s="41">
        <v>0</v>
      </c>
      <c r="U134" s="41">
        <v>0</v>
      </c>
      <c r="V134" s="41">
        <v>0</v>
      </c>
      <c r="W134" s="41">
        <v>0</v>
      </c>
      <c r="X134" s="41">
        <v>0</v>
      </c>
      <c r="Y134" s="41">
        <v>0</v>
      </c>
      <c r="Z134" s="41">
        <v>0</v>
      </c>
      <c r="AA134" s="41">
        <v>0</v>
      </c>
      <c r="AB134" s="41">
        <v>0</v>
      </c>
      <c r="AC134" s="41">
        <v>58</v>
      </c>
      <c r="AD134" s="41">
        <v>3</v>
      </c>
      <c r="AE134" s="41">
        <f>($G134*1.1^7)*AC134*AD134</f>
        <v>13223994.240600009</v>
      </c>
      <c r="AF134" s="28">
        <f t="shared" si="24"/>
        <v>21435054.240600012</v>
      </c>
      <c r="AG134" s="28">
        <f t="shared" si="25"/>
        <v>20810.732272427198</v>
      </c>
    </row>
    <row r="135" spans="1:33" ht="57.6" x14ac:dyDescent="0.3">
      <c r="A135" s="41" t="s">
        <v>696</v>
      </c>
      <c r="B135" s="41" t="s">
        <v>690</v>
      </c>
      <c r="C135" s="42" t="s">
        <v>655</v>
      </c>
      <c r="D135" s="41" t="s">
        <v>30</v>
      </c>
      <c r="E135" s="41" t="s">
        <v>289</v>
      </c>
      <c r="F135" s="41" t="s">
        <v>712</v>
      </c>
      <c r="G135" s="41">
        <f>1999.2/7</f>
        <v>285.60000000000002</v>
      </c>
      <c r="H135" s="41"/>
      <c r="I135" s="41"/>
      <c r="J135" s="41">
        <v>0</v>
      </c>
      <c r="K135" s="41">
        <v>0</v>
      </c>
      <c r="L135" s="41">
        <v>0</v>
      </c>
      <c r="M135" s="41">
        <v>0</v>
      </c>
      <c r="N135" s="41">
        <f>2*25*9</f>
        <v>450</v>
      </c>
      <c r="O135" s="41">
        <v>5</v>
      </c>
      <c r="P135" s="41">
        <f>($G135*1.1^2)*N135*O135</f>
        <v>777546.00000000023</v>
      </c>
      <c r="Q135" s="41">
        <v>0</v>
      </c>
      <c r="R135" s="41">
        <v>0</v>
      </c>
      <c r="S135" s="41">
        <v>0</v>
      </c>
      <c r="T135" s="41">
        <v>0</v>
      </c>
      <c r="U135" s="41">
        <v>0</v>
      </c>
      <c r="V135" s="41">
        <v>0</v>
      </c>
      <c r="W135" s="41">
        <v>0</v>
      </c>
      <c r="X135" s="41">
        <v>0</v>
      </c>
      <c r="Y135" s="41">
        <v>0</v>
      </c>
      <c r="Z135" s="41">
        <v>0</v>
      </c>
      <c r="AA135" s="41">
        <v>0</v>
      </c>
      <c r="AB135" s="41">
        <v>0</v>
      </c>
      <c r="AC135" s="41">
        <f>2*25*9</f>
        <v>450</v>
      </c>
      <c r="AD135" s="41">
        <v>5</v>
      </c>
      <c r="AE135" s="41">
        <f>($G135*1.1^7)*AC135*AD135</f>
        <v>1252245.6084600009</v>
      </c>
      <c r="AF135" s="28">
        <f t="shared" si="24"/>
        <v>2029791.6084600012</v>
      </c>
      <c r="AG135" s="28">
        <f t="shared" si="25"/>
        <v>1970.671464524273</v>
      </c>
    </row>
    <row r="136" spans="1:33" x14ac:dyDescent="0.3">
      <c r="A136" s="41"/>
      <c r="B136" s="41"/>
      <c r="C136" s="41"/>
      <c r="D136" s="41"/>
      <c r="E136" s="41"/>
      <c r="F136" s="41" t="s">
        <v>1336</v>
      </c>
      <c r="G136" s="41">
        <f>1999.2/7</f>
        <v>285.60000000000002</v>
      </c>
      <c r="H136" s="41"/>
      <c r="I136" s="41"/>
      <c r="J136" s="41">
        <v>0</v>
      </c>
      <c r="K136" s="41"/>
      <c r="L136" s="41"/>
      <c r="M136" s="41"/>
      <c r="N136" s="41">
        <v>22500</v>
      </c>
      <c r="O136" s="41">
        <v>1</v>
      </c>
      <c r="P136" s="41">
        <f>($G136*1.1^2)*N136*O136</f>
        <v>7775460.0000000019</v>
      </c>
      <c r="Q136" s="41"/>
      <c r="R136" s="41"/>
      <c r="S136" s="41"/>
      <c r="T136" s="41"/>
      <c r="U136" s="41"/>
      <c r="V136" s="41"/>
      <c r="W136" s="41"/>
      <c r="X136" s="41"/>
      <c r="Y136" s="41"/>
      <c r="Z136" s="41"/>
      <c r="AA136" s="41"/>
      <c r="AB136" s="41"/>
      <c r="AC136" s="41">
        <v>22500</v>
      </c>
      <c r="AD136" s="41">
        <v>1</v>
      </c>
      <c r="AE136" s="41">
        <f>($G136*1.1^7)*AC136*AD136</f>
        <v>12522456.084600009</v>
      </c>
      <c r="AF136" s="28">
        <f t="shared" si="24"/>
        <v>20297916.084600009</v>
      </c>
      <c r="AG136" s="28">
        <f t="shared" si="25"/>
        <v>19706.714645242726</v>
      </c>
    </row>
    <row r="137" spans="1:33"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28">
        <f t="shared" si="24"/>
        <v>0</v>
      </c>
      <c r="AG137" s="28">
        <f t="shared" si="25"/>
        <v>0</v>
      </c>
    </row>
    <row r="138" spans="1:33" ht="86.4" x14ac:dyDescent="0.3">
      <c r="A138" s="41" t="s">
        <v>696</v>
      </c>
      <c r="B138" s="41" t="s">
        <v>690</v>
      </c>
      <c r="C138" s="41" t="s">
        <v>656</v>
      </c>
      <c r="D138" s="41" t="s">
        <v>31</v>
      </c>
      <c r="E138" s="41" t="s">
        <v>290</v>
      </c>
      <c r="F138" s="41" t="s">
        <v>718</v>
      </c>
      <c r="G138" s="41">
        <v>0</v>
      </c>
      <c r="H138" s="41">
        <v>0</v>
      </c>
      <c r="I138" s="41">
        <v>0</v>
      </c>
      <c r="J138" s="41">
        <v>0</v>
      </c>
      <c r="K138" s="41">
        <v>0</v>
      </c>
      <c r="L138" s="41">
        <v>0</v>
      </c>
      <c r="M138" s="41">
        <f>($G138*1.1^1)*K138*L138</f>
        <v>0</v>
      </c>
      <c r="N138" s="41">
        <v>0</v>
      </c>
      <c r="O138" s="41">
        <v>0</v>
      </c>
      <c r="P138" s="41">
        <v>0</v>
      </c>
      <c r="Q138" s="41">
        <v>0</v>
      </c>
      <c r="R138" s="41">
        <v>0</v>
      </c>
      <c r="S138" s="41">
        <v>0</v>
      </c>
      <c r="T138" s="41">
        <v>0</v>
      </c>
      <c r="U138" s="41">
        <v>0</v>
      </c>
      <c r="V138" s="41">
        <f>($G138*1.1^4)*T138*U138</f>
        <v>0</v>
      </c>
      <c r="W138" s="41">
        <v>0</v>
      </c>
      <c r="X138" s="41">
        <v>0</v>
      </c>
      <c r="Y138" s="41">
        <v>0</v>
      </c>
      <c r="Z138" s="41">
        <v>0</v>
      </c>
      <c r="AA138" s="41">
        <v>0</v>
      </c>
      <c r="AB138" s="41">
        <v>0</v>
      </c>
      <c r="AC138" s="41">
        <v>0</v>
      </c>
      <c r="AD138" s="41">
        <v>0</v>
      </c>
      <c r="AE138" s="41">
        <f>($G138*1.1^7)*AC138*AD138</f>
        <v>0</v>
      </c>
      <c r="AF138" s="28">
        <f t="shared" si="24"/>
        <v>0</v>
      </c>
      <c r="AG138" s="28">
        <f t="shared" si="25"/>
        <v>0</v>
      </c>
    </row>
    <row r="139" spans="1:33" ht="57.6" x14ac:dyDescent="0.3">
      <c r="A139" s="41" t="s">
        <v>696</v>
      </c>
      <c r="B139" s="41" t="s">
        <v>690</v>
      </c>
      <c r="C139" s="41" t="s">
        <v>656</v>
      </c>
      <c r="D139" s="41" t="s">
        <v>31</v>
      </c>
      <c r="E139" s="41" t="s">
        <v>291</v>
      </c>
      <c r="F139" s="41" t="s">
        <v>718</v>
      </c>
      <c r="G139" s="41">
        <v>0</v>
      </c>
      <c r="H139" s="41">
        <v>0</v>
      </c>
      <c r="I139" s="41">
        <v>0</v>
      </c>
      <c r="J139" s="41">
        <v>0</v>
      </c>
      <c r="K139" s="41">
        <v>0</v>
      </c>
      <c r="L139" s="41">
        <v>0</v>
      </c>
      <c r="M139" s="41">
        <f t="shared" ref="M139:M168" si="26">($G139*1.1^1)*K139*L139</f>
        <v>0</v>
      </c>
      <c r="N139" s="41">
        <v>0</v>
      </c>
      <c r="O139" s="41">
        <v>0</v>
      </c>
      <c r="P139" s="41">
        <v>0</v>
      </c>
      <c r="Q139" s="41">
        <v>0</v>
      </c>
      <c r="R139" s="41">
        <v>0</v>
      </c>
      <c r="S139" s="41">
        <v>0</v>
      </c>
      <c r="T139" s="41">
        <v>0</v>
      </c>
      <c r="U139" s="41">
        <v>0</v>
      </c>
      <c r="V139" s="41">
        <f t="shared" ref="V139:V166" si="27">($G139*1.1^4)*T139*U139</f>
        <v>0</v>
      </c>
      <c r="W139" s="41">
        <v>0</v>
      </c>
      <c r="X139" s="41">
        <v>0</v>
      </c>
      <c r="Y139" s="41">
        <v>0</v>
      </c>
      <c r="Z139" s="41">
        <v>0</v>
      </c>
      <c r="AA139" s="41">
        <v>0</v>
      </c>
      <c r="AB139" s="41">
        <v>0</v>
      </c>
      <c r="AC139" s="41">
        <v>0</v>
      </c>
      <c r="AD139" s="41">
        <v>0</v>
      </c>
      <c r="AE139" s="41">
        <f t="shared" ref="AE139:AE168" si="28">($G139*1.1^7)*AC139*AD139</f>
        <v>0</v>
      </c>
      <c r="AF139" s="28">
        <f t="shared" si="24"/>
        <v>0</v>
      </c>
      <c r="AG139" s="28">
        <f t="shared" si="25"/>
        <v>0</v>
      </c>
    </row>
    <row r="140" spans="1:33" ht="57.6" x14ac:dyDescent="0.3">
      <c r="A140" s="41" t="s">
        <v>696</v>
      </c>
      <c r="B140" s="41" t="s">
        <v>690</v>
      </c>
      <c r="C140" s="41" t="s">
        <v>656</v>
      </c>
      <c r="D140" s="41" t="s">
        <v>31</v>
      </c>
      <c r="E140" s="41" t="s">
        <v>292</v>
      </c>
      <c r="F140" s="41" t="s">
        <v>709</v>
      </c>
      <c r="G140" s="41">
        <v>35000</v>
      </c>
      <c r="H140" s="41">
        <v>0</v>
      </c>
      <c r="I140" s="41">
        <v>0</v>
      </c>
      <c r="J140" s="41">
        <v>0</v>
      </c>
      <c r="K140" s="41">
        <v>30</v>
      </c>
      <c r="L140" s="41">
        <v>1</v>
      </c>
      <c r="M140" s="41">
        <f t="shared" si="26"/>
        <v>1155000</v>
      </c>
      <c r="N140" s="41">
        <v>0</v>
      </c>
      <c r="O140" s="41">
        <v>0</v>
      </c>
      <c r="P140" s="41">
        <v>0</v>
      </c>
      <c r="Q140" s="41">
        <v>0</v>
      </c>
      <c r="R140" s="41">
        <v>0</v>
      </c>
      <c r="S140" s="41">
        <v>0</v>
      </c>
      <c r="T140" s="41">
        <v>30</v>
      </c>
      <c r="U140" s="41">
        <v>1</v>
      </c>
      <c r="V140" s="41">
        <f t="shared" si="27"/>
        <v>1537305.0000000005</v>
      </c>
      <c r="W140" s="41">
        <v>0</v>
      </c>
      <c r="X140" s="41">
        <v>0</v>
      </c>
      <c r="Y140" s="41">
        <v>0</v>
      </c>
      <c r="Z140" s="41">
        <v>0</v>
      </c>
      <c r="AA140" s="41">
        <v>0</v>
      </c>
      <c r="AB140" s="41">
        <v>0</v>
      </c>
      <c r="AC140" s="41">
        <v>30</v>
      </c>
      <c r="AD140" s="41">
        <v>1</v>
      </c>
      <c r="AE140" s="41">
        <f t="shared" si="28"/>
        <v>2046152.955000001</v>
      </c>
      <c r="AF140" s="28">
        <f t="shared" si="24"/>
        <v>4738457.9550000019</v>
      </c>
      <c r="AG140" s="28">
        <f t="shared" si="25"/>
        <v>4600.4446165048566</v>
      </c>
    </row>
    <row r="141" spans="1:33" ht="57.6" x14ac:dyDescent="0.3">
      <c r="A141" s="41" t="s">
        <v>696</v>
      </c>
      <c r="B141" s="41" t="s">
        <v>690</v>
      </c>
      <c r="C141" s="41" t="s">
        <v>656</v>
      </c>
      <c r="D141" s="41" t="s">
        <v>31</v>
      </c>
      <c r="E141" s="41" t="s">
        <v>293</v>
      </c>
      <c r="F141" s="41" t="s">
        <v>709</v>
      </c>
      <c r="G141" s="41">
        <v>35000</v>
      </c>
      <c r="H141" s="41">
        <v>0</v>
      </c>
      <c r="I141" s="41">
        <v>0</v>
      </c>
      <c r="J141" s="41">
        <v>0</v>
      </c>
      <c r="K141" s="41">
        <v>30</v>
      </c>
      <c r="L141" s="41">
        <v>5</v>
      </c>
      <c r="M141" s="41">
        <f t="shared" si="26"/>
        <v>5775000</v>
      </c>
      <c r="N141" s="41">
        <v>0</v>
      </c>
      <c r="O141" s="41">
        <v>0</v>
      </c>
      <c r="P141" s="41">
        <v>0</v>
      </c>
      <c r="Q141" s="41">
        <v>0</v>
      </c>
      <c r="R141" s="41">
        <v>0</v>
      </c>
      <c r="S141" s="41">
        <v>0</v>
      </c>
      <c r="T141" s="41">
        <v>30</v>
      </c>
      <c r="U141" s="41">
        <v>5</v>
      </c>
      <c r="V141" s="41">
        <f t="shared" si="27"/>
        <v>7686525.0000000019</v>
      </c>
      <c r="W141" s="41">
        <v>0</v>
      </c>
      <c r="X141" s="41">
        <v>0</v>
      </c>
      <c r="Y141" s="41">
        <v>0</v>
      </c>
      <c r="Z141" s="41">
        <v>0</v>
      </c>
      <c r="AA141" s="41">
        <v>0</v>
      </c>
      <c r="AB141" s="41">
        <v>0</v>
      </c>
      <c r="AC141" s="41">
        <v>30</v>
      </c>
      <c r="AD141" s="41">
        <v>5</v>
      </c>
      <c r="AE141" s="41">
        <f t="shared" si="28"/>
        <v>10230764.775000006</v>
      </c>
      <c r="AF141" s="28">
        <f t="shared" si="24"/>
        <v>23692289.775000006</v>
      </c>
      <c r="AG141" s="28">
        <f t="shared" si="25"/>
        <v>23002.223082524277</v>
      </c>
    </row>
    <row r="142" spans="1:33" ht="57.6" x14ac:dyDescent="0.3">
      <c r="A142" s="41" t="s">
        <v>696</v>
      </c>
      <c r="B142" s="41" t="s">
        <v>690</v>
      </c>
      <c r="C142" s="41" t="s">
        <v>656</v>
      </c>
      <c r="D142" s="41" t="s">
        <v>31</v>
      </c>
      <c r="E142" s="41" t="s">
        <v>293</v>
      </c>
      <c r="F142" s="41" t="s">
        <v>716</v>
      </c>
      <c r="G142" s="41">
        <v>39000</v>
      </c>
      <c r="H142" s="41">
        <v>0</v>
      </c>
      <c r="I142" s="41">
        <v>0</v>
      </c>
      <c r="J142" s="41">
        <v>0</v>
      </c>
      <c r="K142" s="41">
        <v>0</v>
      </c>
      <c r="L142" s="41">
        <v>6</v>
      </c>
      <c r="M142" s="41">
        <f t="shared" si="26"/>
        <v>0</v>
      </c>
      <c r="N142" s="41">
        <v>0</v>
      </c>
      <c r="O142" s="41">
        <v>0</v>
      </c>
      <c r="P142" s="41">
        <v>0</v>
      </c>
      <c r="Q142" s="41">
        <v>0</v>
      </c>
      <c r="R142" s="41">
        <v>0</v>
      </c>
      <c r="S142" s="41">
        <v>0</v>
      </c>
      <c r="T142" s="41">
        <v>0</v>
      </c>
      <c r="U142" s="41">
        <v>6</v>
      </c>
      <c r="V142" s="41">
        <f t="shared" si="27"/>
        <v>0</v>
      </c>
      <c r="W142" s="41">
        <v>0</v>
      </c>
      <c r="X142" s="41">
        <v>0</v>
      </c>
      <c r="Y142" s="41">
        <v>0</v>
      </c>
      <c r="Z142" s="41">
        <v>0</v>
      </c>
      <c r="AA142" s="41">
        <v>0</v>
      </c>
      <c r="AB142" s="41">
        <v>0</v>
      </c>
      <c r="AC142" s="41">
        <v>0</v>
      </c>
      <c r="AD142" s="41">
        <v>6</v>
      </c>
      <c r="AE142" s="41">
        <f t="shared" si="28"/>
        <v>0</v>
      </c>
      <c r="AF142" s="28">
        <f t="shared" si="24"/>
        <v>0</v>
      </c>
      <c r="AG142" s="28">
        <f t="shared" si="25"/>
        <v>0</v>
      </c>
    </row>
    <row r="143" spans="1:33" ht="57.6" x14ac:dyDescent="0.3">
      <c r="A143" s="41" t="s">
        <v>696</v>
      </c>
      <c r="B143" s="41" t="s">
        <v>690</v>
      </c>
      <c r="C143" s="41" t="s">
        <v>656</v>
      </c>
      <c r="D143" s="41" t="s">
        <v>31</v>
      </c>
      <c r="E143" s="41" t="s">
        <v>293</v>
      </c>
      <c r="F143" s="41" t="s">
        <v>712</v>
      </c>
      <c r="G143" s="41">
        <f>1999.2/7</f>
        <v>285.60000000000002</v>
      </c>
      <c r="H143" s="41">
        <v>0</v>
      </c>
      <c r="I143" s="41">
        <v>0</v>
      </c>
      <c r="J143" s="41">
        <v>0</v>
      </c>
      <c r="K143" s="41">
        <f>2*25*9</f>
        <v>450</v>
      </c>
      <c r="L143" s="41">
        <v>5</v>
      </c>
      <c r="M143" s="41">
        <f t="shared" si="26"/>
        <v>706860</v>
      </c>
      <c r="N143" s="41">
        <v>0</v>
      </c>
      <c r="O143" s="41">
        <v>0</v>
      </c>
      <c r="P143" s="41">
        <v>0</v>
      </c>
      <c r="Q143" s="41">
        <v>0</v>
      </c>
      <c r="R143" s="41">
        <v>0</v>
      </c>
      <c r="S143" s="41">
        <v>0</v>
      </c>
      <c r="T143" s="41">
        <f>2*25*9</f>
        <v>450</v>
      </c>
      <c r="U143" s="41">
        <v>5</v>
      </c>
      <c r="V143" s="41">
        <f t="shared" si="27"/>
        <v>940830.66000000038</v>
      </c>
      <c r="W143" s="41">
        <v>0</v>
      </c>
      <c r="X143" s="41">
        <v>0</v>
      </c>
      <c r="Y143" s="41">
        <v>0</v>
      </c>
      <c r="Z143" s="41">
        <v>0</v>
      </c>
      <c r="AA143" s="41">
        <v>0</v>
      </c>
      <c r="AB143" s="41">
        <v>0</v>
      </c>
      <c r="AC143" s="41">
        <f>2*25*9</f>
        <v>450</v>
      </c>
      <c r="AD143" s="41">
        <v>5</v>
      </c>
      <c r="AE143" s="41">
        <f t="shared" si="28"/>
        <v>1252245.6084600009</v>
      </c>
      <c r="AF143" s="28">
        <f t="shared" si="24"/>
        <v>2899936.2684600013</v>
      </c>
      <c r="AG143" s="28">
        <f t="shared" si="25"/>
        <v>2815.4721053009721</v>
      </c>
    </row>
    <row r="144" spans="1:33" x14ac:dyDescent="0.3">
      <c r="A144" s="41"/>
      <c r="B144" s="41"/>
      <c r="C144" s="41"/>
      <c r="D144" s="41"/>
      <c r="E144" s="41"/>
      <c r="F144" s="41" t="s">
        <v>1336</v>
      </c>
      <c r="G144" s="41">
        <f>1999.2/7</f>
        <v>285.60000000000002</v>
      </c>
      <c r="H144" s="41">
        <v>0</v>
      </c>
      <c r="I144" s="41">
        <v>0</v>
      </c>
      <c r="J144" s="41"/>
      <c r="K144" s="41">
        <f>2*135*9</f>
        <v>2430</v>
      </c>
      <c r="L144" s="41">
        <v>1</v>
      </c>
      <c r="M144" s="41">
        <f t="shared" si="26"/>
        <v>763408.8</v>
      </c>
      <c r="N144" s="41">
        <v>0</v>
      </c>
      <c r="O144" s="41">
        <v>0</v>
      </c>
      <c r="P144" s="41">
        <v>0</v>
      </c>
      <c r="Q144" s="41"/>
      <c r="R144" s="41"/>
      <c r="S144" s="41"/>
      <c r="T144" s="41">
        <f>2*135*9</f>
        <v>2430</v>
      </c>
      <c r="U144" s="41">
        <v>1</v>
      </c>
      <c r="V144" s="41">
        <f t="shared" si="27"/>
        <v>1016097.1128000004</v>
      </c>
      <c r="W144" s="41"/>
      <c r="X144" s="41"/>
      <c r="Y144" s="41"/>
      <c r="Z144" s="41"/>
      <c r="AA144" s="41"/>
      <c r="AB144" s="41"/>
      <c r="AC144" s="41">
        <f>2*135*9</f>
        <v>2430</v>
      </c>
      <c r="AD144" s="41">
        <v>1</v>
      </c>
      <c r="AE144" s="41">
        <f t="shared" si="28"/>
        <v>1352425.257136801</v>
      </c>
      <c r="AF144" s="28">
        <f t="shared" si="24"/>
        <v>3131931.1699368013</v>
      </c>
      <c r="AG144" s="28">
        <f t="shared" si="25"/>
        <v>3040.7098737250499</v>
      </c>
    </row>
    <row r="145" spans="1:33" ht="57.6" x14ac:dyDescent="0.3">
      <c r="A145" s="41" t="s">
        <v>696</v>
      </c>
      <c r="B145" s="41" t="s">
        <v>690</v>
      </c>
      <c r="C145" s="41" t="s">
        <v>656</v>
      </c>
      <c r="D145" s="41" t="s">
        <v>32</v>
      </c>
      <c r="E145" s="41" t="s">
        <v>294</v>
      </c>
      <c r="F145" s="41" t="s">
        <v>709</v>
      </c>
      <c r="G145" s="41">
        <v>35000</v>
      </c>
      <c r="H145" s="41">
        <v>0</v>
      </c>
      <c r="I145" s="41">
        <v>0</v>
      </c>
      <c r="J145" s="41">
        <v>0</v>
      </c>
      <c r="K145" s="41">
        <v>30</v>
      </c>
      <c r="L145" s="41">
        <v>25</v>
      </c>
      <c r="M145" s="41">
        <f t="shared" si="26"/>
        <v>28875000</v>
      </c>
      <c r="N145" s="41">
        <v>0</v>
      </c>
      <c r="O145" s="41">
        <v>0</v>
      </c>
      <c r="P145" s="41">
        <v>0</v>
      </c>
      <c r="Q145" s="41">
        <v>0</v>
      </c>
      <c r="R145" s="41">
        <v>0</v>
      </c>
      <c r="S145" s="41">
        <v>0</v>
      </c>
      <c r="T145" s="41">
        <v>30</v>
      </c>
      <c r="U145" s="41">
        <v>25</v>
      </c>
      <c r="V145" s="41">
        <f t="shared" si="27"/>
        <v>38432625.000000015</v>
      </c>
      <c r="W145" s="41">
        <v>0</v>
      </c>
      <c r="X145" s="41">
        <v>0</v>
      </c>
      <c r="Y145" s="41">
        <v>0</v>
      </c>
      <c r="Z145" s="41">
        <v>0</v>
      </c>
      <c r="AA145" s="41">
        <v>0</v>
      </c>
      <c r="AB145" s="41">
        <v>0</v>
      </c>
      <c r="AC145" s="41">
        <v>30</v>
      </c>
      <c r="AD145" s="41">
        <v>25</v>
      </c>
      <c r="AE145" s="41">
        <f t="shared" si="28"/>
        <v>51153823.875000022</v>
      </c>
      <c r="AF145" s="28">
        <f t="shared" si="24"/>
        <v>118461448.87500003</v>
      </c>
      <c r="AG145" s="28">
        <f t="shared" si="25"/>
        <v>115011.1154126214</v>
      </c>
    </row>
    <row r="146" spans="1:33" ht="57.6" x14ac:dyDescent="0.3">
      <c r="A146" s="41" t="s">
        <v>696</v>
      </c>
      <c r="B146" s="41" t="s">
        <v>690</v>
      </c>
      <c r="C146" s="41" t="s">
        <v>656</v>
      </c>
      <c r="D146" s="41" t="s">
        <v>32</v>
      </c>
      <c r="E146" s="41" t="s">
        <v>294</v>
      </c>
      <c r="F146" s="41" t="s">
        <v>716</v>
      </c>
      <c r="G146" s="41">
        <v>39000</v>
      </c>
      <c r="H146" s="41">
        <v>0</v>
      </c>
      <c r="I146" s="41">
        <v>0</v>
      </c>
      <c r="J146" s="41">
        <v>0</v>
      </c>
      <c r="K146" s="41">
        <v>0</v>
      </c>
      <c r="L146" s="41">
        <v>30</v>
      </c>
      <c r="M146" s="41">
        <f t="shared" si="26"/>
        <v>0</v>
      </c>
      <c r="N146" s="41">
        <v>0</v>
      </c>
      <c r="O146" s="41">
        <v>0</v>
      </c>
      <c r="P146" s="41">
        <v>0</v>
      </c>
      <c r="Q146" s="41">
        <v>0</v>
      </c>
      <c r="R146" s="41">
        <v>0</v>
      </c>
      <c r="S146" s="41">
        <v>0</v>
      </c>
      <c r="T146" s="41">
        <v>0</v>
      </c>
      <c r="U146" s="41">
        <v>30</v>
      </c>
      <c r="V146" s="41">
        <f t="shared" si="27"/>
        <v>0</v>
      </c>
      <c r="W146" s="41">
        <v>0</v>
      </c>
      <c r="X146" s="41">
        <v>0</v>
      </c>
      <c r="Y146" s="41">
        <v>0</v>
      </c>
      <c r="Z146" s="41">
        <v>0</v>
      </c>
      <c r="AA146" s="41">
        <v>0</v>
      </c>
      <c r="AB146" s="41">
        <v>0</v>
      </c>
      <c r="AC146" s="41">
        <v>0</v>
      </c>
      <c r="AD146" s="41">
        <v>30</v>
      </c>
      <c r="AE146" s="41">
        <f t="shared" si="28"/>
        <v>0</v>
      </c>
      <c r="AF146" s="28">
        <f t="shared" si="24"/>
        <v>0</v>
      </c>
      <c r="AG146" s="28">
        <f t="shared" si="25"/>
        <v>0</v>
      </c>
    </row>
    <row r="147" spans="1:33" ht="57.6" x14ac:dyDescent="0.3">
      <c r="A147" s="41" t="s">
        <v>696</v>
      </c>
      <c r="B147" s="41" t="s">
        <v>690</v>
      </c>
      <c r="C147" s="41" t="s">
        <v>656</v>
      </c>
      <c r="D147" s="41" t="s">
        <v>32</v>
      </c>
      <c r="E147" s="41" t="s">
        <v>294</v>
      </c>
      <c r="F147" s="41" t="s">
        <v>712</v>
      </c>
      <c r="G147" s="41">
        <f>1999.2/7</f>
        <v>285.60000000000002</v>
      </c>
      <c r="H147" s="41">
        <v>0</v>
      </c>
      <c r="I147" s="41">
        <v>0</v>
      </c>
      <c r="J147" s="41">
        <v>0</v>
      </c>
      <c r="K147" s="41">
        <f>2*25*9</f>
        <v>450</v>
      </c>
      <c r="L147" s="41">
        <v>30</v>
      </c>
      <c r="M147" s="41">
        <f t="shared" si="26"/>
        <v>4241160</v>
      </c>
      <c r="N147" s="41">
        <v>0</v>
      </c>
      <c r="O147" s="41">
        <v>0</v>
      </c>
      <c r="P147" s="41">
        <v>0</v>
      </c>
      <c r="Q147" s="41">
        <v>0</v>
      </c>
      <c r="R147" s="41">
        <v>0</v>
      </c>
      <c r="S147" s="41">
        <v>0</v>
      </c>
      <c r="T147" s="41">
        <f>2*25*9</f>
        <v>450</v>
      </c>
      <c r="U147" s="41">
        <v>30</v>
      </c>
      <c r="V147" s="41">
        <f t="shared" si="27"/>
        <v>5644983.9600000018</v>
      </c>
      <c r="W147" s="41">
        <v>0</v>
      </c>
      <c r="X147" s="41">
        <v>0</v>
      </c>
      <c r="Y147" s="41">
        <v>0</v>
      </c>
      <c r="Z147" s="41">
        <v>0</v>
      </c>
      <c r="AA147" s="41">
        <v>0</v>
      </c>
      <c r="AB147" s="41">
        <v>0</v>
      </c>
      <c r="AC147" s="41">
        <f>2*25*9</f>
        <v>450</v>
      </c>
      <c r="AD147" s="41">
        <v>30</v>
      </c>
      <c r="AE147" s="41">
        <f t="shared" si="28"/>
        <v>7513473.6507600062</v>
      </c>
      <c r="AF147" s="28">
        <f t="shared" si="24"/>
        <v>17399617.610760007</v>
      </c>
      <c r="AG147" s="28">
        <f t="shared" si="25"/>
        <v>16892.832631805832</v>
      </c>
    </row>
    <row r="148" spans="1:33" x14ac:dyDescent="0.3">
      <c r="A148" s="41"/>
      <c r="B148" s="41"/>
      <c r="C148" s="41"/>
      <c r="D148" s="41"/>
      <c r="E148" s="41"/>
      <c r="F148" s="41" t="s">
        <v>1336</v>
      </c>
      <c r="G148" s="41">
        <f>1999.2/7</f>
        <v>285.60000000000002</v>
      </c>
      <c r="H148" s="41">
        <v>0</v>
      </c>
      <c r="I148" s="41">
        <v>0</v>
      </c>
      <c r="J148" s="41">
        <v>0</v>
      </c>
      <c r="K148" s="41">
        <f>2*135*9</f>
        <v>2430</v>
      </c>
      <c r="L148" s="41">
        <v>1</v>
      </c>
      <c r="M148" s="41">
        <f t="shared" si="26"/>
        <v>763408.8</v>
      </c>
      <c r="N148" s="41">
        <v>0</v>
      </c>
      <c r="O148" s="41">
        <v>0</v>
      </c>
      <c r="P148" s="41">
        <v>0</v>
      </c>
      <c r="Q148" s="41"/>
      <c r="R148" s="41"/>
      <c r="S148" s="41"/>
      <c r="T148" s="41">
        <f>2*135*9</f>
        <v>2430</v>
      </c>
      <c r="U148" s="41">
        <v>1</v>
      </c>
      <c r="V148" s="41">
        <f t="shared" si="27"/>
        <v>1016097.1128000004</v>
      </c>
      <c r="W148" s="41"/>
      <c r="X148" s="41"/>
      <c r="Y148" s="41"/>
      <c r="Z148" s="41"/>
      <c r="AA148" s="41"/>
      <c r="AB148" s="41"/>
      <c r="AC148" s="41">
        <f>2*135*9</f>
        <v>2430</v>
      </c>
      <c r="AD148" s="41">
        <v>1</v>
      </c>
      <c r="AE148" s="41">
        <f t="shared" si="28"/>
        <v>1352425.257136801</v>
      </c>
      <c r="AF148" s="28">
        <f t="shared" si="24"/>
        <v>3131931.1699368013</v>
      </c>
      <c r="AG148" s="28">
        <f t="shared" si="25"/>
        <v>3040.7098737250499</v>
      </c>
    </row>
    <row r="149" spans="1:33" ht="57.6" x14ac:dyDescent="0.3">
      <c r="A149" s="41" t="s">
        <v>696</v>
      </c>
      <c r="B149" s="41" t="s">
        <v>690</v>
      </c>
      <c r="C149" s="41" t="s">
        <v>656</v>
      </c>
      <c r="D149" s="41" t="s">
        <v>32</v>
      </c>
      <c r="E149" s="41" t="s">
        <v>295</v>
      </c>
      <c r="F149" s="41" t="s">
        <v>709</v>
      </c>
      <c r="G149" s="41">
        <v>35000</v>
      </c>
      <c r="H149" s="41">
        <v>0</v>
      </c>
      <c r="I149" s="41">
        <v>0</v>
      </c>
      <c r="J149" s="41">
        <v>0</v>
      </c>
      <c r="K149" s="41">
        <v>100</v>
      </c>
      <c r="L149" s="41">
        <v>5</v>
      </c>
      <c r="M149" s="41">
        <f t="shared" si="26"/>
        <v>19250000</v>
      </c>
      <c r="N149" s="41">
        <v>0</v>
      </c>
      <c r="O149" s="41">
        <v>0</v>
      </c>
      <c r="P149" s="41">
        <v>0</v>
      </c>
      <c r="Q149" s="41">
        <v>0</v>
      </c>
      <c r="R149" s="41">
        <v>0</v>
      </c>
      <c r="S149" s="41">
        <v>0</v>
      </c>
      <c r="T149" s="41">
        <v>100</v>
      </c>
      <c r="U149" s="41">
        <v>5</v>
      </c>
      <c r="V149" s="41">
        <f t="shared" si="27"/>
        <v>25621750.000000007</v>
      </c>
      <c r="W149" s="41">
        <v>0</v>
      </c>
      <c r="X149" s="41">
        <v>0</v>
      </c>
      <c r="Y149" s="41">
        <v>0</v>
      </c>
      <c r="Z149" s="41">
        <v>0</v>
      </c>
      <c r="AA149" s="41">
        <v>0</v>
      </c>
      <c r="AB149" s="41">
        <v>0</v>
      </c>
      <c r="AC149" s="41">
        <v>100</v>
      </c>
      <c r="AD149" s="41">
        <v>5</v>
      </c>
      <c r="AE149" s="41">
        <f t="shared" si="28"/>
        <v>34102549.250000015</v>
      </c>
      <c r="AF149" s="28">
        <f t="shared" si="24"/>
        <v>78974299.25000003</v>
      </c>
      <c r="AG149" s="28">
        <f t="shared" si="25"/>
        <v>76674.076941747597</v>
      </c>
    </row>
    <row r="150" spans="1:33" ht="57.6" x14ac:dyDescent="0.3">
      <c r="A150" s="41" t="s">
        <v>696</v>
      </c>
      <c r="B150" s="41" t="s">
        <v>690</v>
      </c>
      <c r="C150" s="41" t="s">
        <v>656</v>
      </c>
      <c r="D150" s="41" t="s">
        <v>32</v>
      </c>
      <c r="E150" s="41" t="s">
        <v>295</v>
      </c>
      <c r="F150" s="41" t="s">
        <v>716</v>
      </c>
      <c r="G150" s="41">
        <v>39000</v>
      </c>
      <c r="H150" s="41">
        <v>0</v>
      </c>
      <c r="I150" s="41">
        <v>0</v>
      </c>
      <c r="J150" s="41">
        <v>0</v>
      </c>
      <c r="K150" s="41">
        <v>58</v>
      </c>
      <c r="L150" s="41">
        <v>6</v>
      </c>
      <c r="M150" s="41">
        <f t="shared" si="26"/>
        <v>14929200</v>
      </c>
      <c r="N150" s="41">
        <v>0</v>
      </c>
      <c r="O150" s="41">
        <v>0</v>
      </c>
      <c r="P150" s="41">
        <v>0</v>
      </c>
      <c r="Q150" s="41">
        <v>0</v>
      </c>
      <c r="R150" s="41">
        <v>0</v>
      </c>
      <c r="S150" s="41">
        <v>0</v>
      </c>
      <c r="T150" s="41">
        <v>58</v>
      </c>
      <c r="U150" s="41">
        <v>6</v>
      </c>
      <c r="V150" s="41">
        <f t="shared" si="27"/>
        <v>19870765.200000007</v>
      </c>
      <c r="W150" s="41">
        <v>0</v>
      </c>
      <c r="X150" s="41">
        <v>0</v>
      </c>
      <c r="Y150" s="41">
        <v>0</v>
      </c>
      <c r="Z150" s="41">
        <v>0</v>
      </c>
      <c r="AA150" s="41">
        <v>0</v>
      </c>
      <c r="AB150" s="41">
        <v>0</v>
      </c>
      <c r="AC150" s="41">
        <v>58</v>
      </c>
      <c r="AD150" s="41">
        <v>6</v>
      </c>
      <c r="AE150" s="41">
        <f t="shared" si="28"/>
        <v>26447988.481200017</v>
      </c>
      <c r="AF150" s="28">
        <f t="shared" si="24"/>
        <v>61247953.68120002</v>
      </c>
      <c r="AG150" s="28">
        <f t="shared" si="25"/>
        <v>59464.032700194191</v>
      </c>
    </row>
    <row r="151" spans="1:33" ht="57.6" x14ac:dyDescent="0.3">
      <c r="A151" s="41" t="s">
        <v>696</v>
      </c>
      <c r="B151" s="41" t="s">
        <v>690</v>
      </c>
      <c r="C151" s="41" t="s">
        <v>656</v>
      </c>
      <c r="D151" s="41" t="s">
        <v>32</v>
      </c>
      <c r="E151" s="41" t="s">
        <v>295</v>
      </c>
      <c r="F151" s="41" t="s">
        <v>712</v>
      </c>
      <c r="G151" s="41">
        <f>1999.2/7</f>
        <v>285.60000000000002</v>
      </c>
      <c r="H151" s="41">
        <v>0</v>
      </c>
      <c r="I151" s="41">
        <v>0</v>
      </c>
      <c r="J151" s="41">
        <v>0</v>
      </c>
      <c r="K151" s="41">
        <f>2*25*9</f>
        <v>450</v>
      </c>
      <c r="L151" s="41">
        <v>5</v>
      </c>
      <c r="M151" s="41">
        <f t="shared" si="26"/>
        <v>706860</v>
      </c>
      <c r="N151" s="41">
        <v>0</v>
      </c>
      <c r="O151" s="41">
        <v>0</v>
      </c>
      <c r="P151" s="41">
        <v>0</v>
      </c>
      <c r="Q151" s="41">
        <v>0</v>
      </c>
      <c r="R151" s="41">
        <v>0</v>
      </c>
      <c r="S151" s="41">
        <v>0</v>
      </c>
      <c r="T151" s="41">
        <f>2*25*9</f>
        <v>450</v>
      </c>
      <c r="U151" s="41">
        <v>5</v>
      </c>
      <c r="V151" s="41">
        <f t="shared" si="27"/>
        <v>940830.66000000038</v>
      </c>
      <c r="W151" s="41">
        <v>0</v>
      </c>
      <c r="X151" s="41">
        <v>0</v>
      </c>
      <c r="Y151" s="41">
        <v>0</v>
      </c>
      <c r="Z151" s="41">
        <v>0</v>
      </c>
      <c r="AA151" s="41">
        <v>0</v>
      </c>
      <c r="AB151" s="41">
        <v>0</v>
      </c>
      <c r="AC151" s="41">
        <f>2*25*9</f>
        <v>450</v>
      </c>
      <c r="AD151" s="41">
        <v>5</v>
      </c>
      <c r="AE151" s="41">
        <f t="shared" si="28"/>
        <v>1252245.6084600009</v>
      </c>
      <c r="AF151" s="28">
        <f t="shared" si="24"/>
        <v>2899936.2684600013</v>
      </c>
      <c r="AG151" s="28">
        <f t="shared" si="25"/>
        <v>2815.4721053009721</v>
      </c>
    </row>
    <row r="152" spans="1:33" x14ac:dyDescent="0.3">
      <c r="A152" s="41"/>
      <c r="B152" s="41"/>
      <c r="C152" s="41"/>
      <c r="D152" s="41"/>
      <c r="E152" s="41"/>
      <c r="F152" s="41" t="s">
        <v>1336</v>
      </c>
      <c r="G152" s="41">
        <f>1999.2/7</f>
        <v>285.60000000000002</v>
      </c>
      <c r="H152" s="41">
        <v>0</v>
      </c>
      <c r="I152" s="41">
        <v>0</v>
      </c>
      <c r="J152" s="41">
        <v>0</v>
      </c>
      <c r="K152" s="41">
        <v>22500</v>
      </c>
      <c r="L152" s="41">
        <v>1</v>
      </c>
      <c r="M152" s="41">
        <f t="shared" si="26"/>
        <v>7068600.0000000009</v>
      </c>
      <c r="N152" s="41">
        <v>0</v>
      </c>
      <c r="O152" s="41">
        <v>0</v>
      </c>
      <c r="P152" s="41">
        <v>0</v>
      </c>
      <c r="Q152" s="41"/>
      <c r="R152" s="41"/>
      <c r="S152" s="41"/>
      <c r="T152" s="41">
        <v>22500</v>
      </c>
      <c r="U152" s="41">
        <v>1</v>
      </c>
      <c r="V152" s="41">
        <f t="shared" si="27"/>
        <v>9408306.6000000034</v>
      </c>
      <c r="W152" s="41"/>
      <c r="X152" s="41"/>
      <c r="Y152" s="41"/>
      <c r="Z152" s="41"/>
      <c r="AA152" s="41"/>
      <c r="AB152" s="41"/>
      <c r="AC152" s="41">
        <v>22500</v>
      </c>
      <c r="AD152" s="41">
        <v>1</v>
      </c>
      <c r="AE152" s="41">
        <f t="shared" si="28"/>
        <v>12522456.084600009</v>
      </c>
      <c r="AF152" s="28">
        <f t="shared" si="24"/>
        <v>28999362.684600014</v>
      </c>
      <c r="AG152" s="28">
        <f t="shared" si="25"/>
        <v>28154.721053009722</v>
      </c>
    </row>
    <row r="153" spans="1:33" ht="57.6" x14ac:dyDescent="0.3">
      <c r="A153" s="41" t="s">
        <v>696</v>
      </c>
      <c r="B153" s="41" t="s">
        <v>690</v>
      </c>
      <c r="C153" s="41" t="s">
        <v>656</v>
      </c>
      <c r="D153" s="41" t="s">
        <v>32</v>
      </c>
      <c r="E153" s="41" t="s">
        <v>166</v>
      </c>
      <c r="F153" s="41" t="s">
        <v>709</v>
      </c>
      <c r="G153" s="41">
        <v>35000</v>
      </c>
      <c r="H153" s="41">
        <v>0</v>
      </c>
      <c r="I153" s="41">
        <v>0</v>
      </c>
      <c r="J153" s="41">
        <v>0</v>
      </c>
      <c r="K153" s="41">
        <v>30</v>
      </c>
      <c r="L153" s="41">
        <v>1</v>
      </c>
      <c r="M153" s="41">
        <f t="shared" si="26"/>
        <v>1155000</v>
      </c>
      <c r="N153" s="41">
        <v>0</v>
      </c>
      <c r="O153" s="41">
        <v>0</v>
      </c>
      <c r="P153" s="41">
        <v>0</v>
      </c>
      <c r="Q153" s="41">
        <v>0</v>
      </c>
      <c r="R153" s="41">
        <v>0</v>
      </c>
      <c r="S153" s="41">
        <v>0</v>
      </c>
      <c r="T153" s="41">
        <v>30</v>
      </c>
      <c r="U153" s="41">
        <v>1</v>
      </c>
      <c r="V153" s="41">
        <f t="shared" si="27"/>
        <v>1537305.0000000005</v>
      </c>
      <c r="W153" s="41">
        <v>0</v>
      </c>
      <c r="X153" s="41">
        <v>0</v>
      </c>
      <c r="Y153" s="41">
        <v>0</v>
      </c>
      <c r="Z153" s="41">
        <v>0</v>
      </c>
      <c r="AA153" s="41">
        <v>0</v>
      </c>
      <c r="AB153" s="41">
        <v>0</v>
      </c>
      <c r="AC153" s="41">
        <v>30</v>
      </c>
      <c r="AD153" s="41">
        <v>1</v>
      </c>
      <c r="AE153" s="41">
        <f t="shared" si="28"/>
        <v>2046152.955000001</v>
      </c>
      <c r="AF153" s="28">
        <f t="shared" si="24"/>
        <v>4738457.9550000019</v>
      </c>
      <c r="AG153" s="28">
        <f t="shared" si="25"/>
        <v>4600.4446165048566</v>
      </c>
    </row>
    <row r="154" spans="1:33" ht="57.6" x14ac:dyDescent="0.3">
      <c r="A154" s="41" t="s">
        <v>696</v>
      </c>
      <c r="B154" s="41" t="s">
        <v>690</v>
      </c>
      <c r="C154" s="41" t="s">
        <v>656</v>
      </c>
      <c r="D154" s="41" t="s">
        <v>32</v>
      </c>
      <c r="E154" s="41" t="s">
        <v>296</v>
      </c>
      <c r="F154" s="41" t="s">
        <v>709</v>
      </c>
      <c r="G154" s="41">
        <v>35000</v>
      </c>
      <c r="H154" s="41">
        <v>0</v>
      </c>
      <c r="I154" s="41">
        <v>0</v>
      </c>
      <c r="J154" s="41">
        <v>0</v>
      </c>
      <c r="K154" s="41">
        <v>25</v>
      </c>
      <c r="L154" s="41">
        <v>1</v>
      </c>
      <c r="M154" s="41">
        <f t="shared" si="26"/>
        <v>962500</v>
      </c>
      <c r="N154" s="41">
        <v>0</v>
      </c>
      <c r="O154" s="41">
        <v>0</v>
      </c>
      <c r="P154" s="41">
        <v>0</v>
      </c>
      <c r="Q154" s="41">
        <v>0</v>
      </c>
      <c r="R154" s="41">
        <v>0</v>
      </c>
      <c r="S154" s="41">
        <v>0</v>
      </c>
      <c r="T154" s="41">
        <v>25</v>
      </c>
      <c r="U154" s="41">
        <v>1</v>
      </c>
      <c r="V154" s="41">
        <f t="shared" si="27"/>
        <v>1281087.5000000005</v>
      </c>
      <c r="W154" s="41">
        <v>0</v>
      </c>
      <c r="X154" s="41">
        <v>0</v>
      </c>
      <c r="Y154" s="41">
        <v>0</v>
      </c>
      <c r="Z154" s="41">
        <v>0</v>
      </c>
      <c r="AA154" s="41">
        <v>0</v>
      </c>
      <c r="AB154" s="41">
        <v>0</v>
      </c>
      <c r="AC154" s="41">
        <v>25</v>
      </c>
      <c r="AD154" s="41">
        <v>1</v>
      </c>
      <c r="AE154" s="41">
        <f t="shared" si="28"/>
        <v>1705127.4625000008</v>
      </c>
      <c r="AF154" s="28">
        <f t="shared" si="24"/>
        <v>3948714.9625000013</v>
      </c>
      <c r="AG154" s="28">
        <f t="shared" si="25"/>
        <v>3833.7038470873799</v>
      </c>
    </row>
    <row r="155" spans="1:33" ht="57.6" x14ac:dyDescent="0.3">
      <c r="A155" s="41" t="s">
        <v>696</v>
      </c>
      <c r="B155" s="41" t="s">
        <v>690</v>
      </c>
      <c r="C155" s="41" t="s">
        <v>656</v>
      </c>
      <c r="D155" s="41" t="s">
        <v>33</v>
      </c>
      <c r="E155" s="41" t="s">
        <v>297</v>
      </c>
      <c r="F155" s="41" t="s">
        <v>718</v>
      </c>
      <c r="G155" s="41">
        <v>0</v>
      </c>
      <c r="H155" s="41">
        <v>0</v>
      </c>
      <c r="I155" s="41">
        <v>0</v>
      </c>
      <c r="J155" s="41">
        <v>0</v>
      </c>
      <c r="K155" s="41">
        <v>0</v>
      </c>
      <c r="L155" s="41">
        <v>0</v>
      </c>
      <c r="M155" s="41">
        <f t="shared" si="26"/>
        <v>0</v>
      </c>
      <c r="N155" s="41">
        <v>0</v>
      </c>
      <c r="O155" s="41">
        <v>0</v>
      </c>
      <c r="P155" s="41">
        <v>0</v>
      </c>
      <c r="Q155" s="41">
        <v>0</v>
      </c>
      <c r="R155" s="41">
        <v>0</v>
      </c>
      <c r="S155" s="41">
        <v>0</v>
      </c>
      <c r="T155" s="41">
        <v>0</v>
      </c>
      <c r="U155" s="41">
        <v>0</v>
      </c>
      <c r="V155" s="41">
        <f t="shared" si="27"/>
        <v>0</v>
      </c>
      <c r="W155" s="41">
        <v>0</v>
      </c>
      <c r="X155" s="41">
        <v>0</v>
      </c>
      <c r="Y155" s="41">
        <v>0</v>
      </c>
      <c r="Z155" s="41">
        <v>0</v>
      </c>
      <c r="AA155" s="41">
        <v>0</v>
      </c>
      <c r="AB155" s="41">
        <v>0</v>
      </c>
      <c r="AC155" s="41">
        <v>0</v>
      </c>
      <c r="AD155" s="41">
        <v>0</v>
      </c>
      <c r="AE155" s="41">
        <f t="shared" si="28"/>
        <v>0</v>
      </c>
      <c r="AF155" s="28">
        <f t="shared" si="24"/>
        <v>0</v>
      </c>
      <c r="AG155" s="28">
        <f t="shared" si="25"/>
        <v>0</v>
      </c>
    </row>
    <row r="156" spans="1:33" ht="57.6" x14ac:dyDescent="0.3">
      <c r="A156" s="41" t="s">
        <v>696</v>
      </c>
      <c r="B156" s="41" t="s">
        <v>690</v>
      </c>
      <c r="C156" s="41" t="s">
        <v>656</v>
      </c>
      <c r="D156" s="41" t="s">
        <v>33</v>
      </c>
      <c r="E156" s="41" t="s">
        <v>298</v>
      </c>
      <c r="F156" s="41" t="s">
        <v>718</v>
      </c>
      <c r="G156" s="41">
        <v>0</v>
      </c>
      <c r="H156" s="41">
        <v>0</v>
      </c>
      <c r="I156" s="41">
        <v>0</v>
      </c>
      <c r="J156" s="41">
        <v>0</v>
      </c>
      <c r="K156" s="41">
        <v>0</v>
      </c>
      <c r="L156" s="41">
        <v>0</v>
      </c>
      <c r="M156" s="41">
        <f t="shared" si="26"/>
        <v>0</v>
      </c>
      <c r="N156" s="41">
        <v>0</v>
      </c>
      <c r="O156" s="41">
        <v>0</v>
      </c>
      <c r="P156" s="41">
        <v>0</v>
      </c>
      <c r="Q156" s="41">
        <v>0</v>
      </c>
      <c r="R156" s="41">
        <v>0</v>
      </c>
      <c r="S156" s="41">
        <v>0</v>
      </c>
      <c r="T156" s="41">
        <v>0</v>
      </c>
      <c r="U156" s="41">
        <v>0</v>
      </c>
      <c r="V156" s="41">
        <f t="shared" si="27"/>
        <v>0</v>
      </c>
      <c r="W156" s="41">
        <v>0</v>
      </c>
      <c r="X156" s="41">
        <v>0</v>
      </c>
      <c r="Y156" s="41">
        <v>0</v>
      </c>
      <c r="Z156" s="41">
        <v>0</v>
      </c>
      <c r="AA156" s="41">
        <v>0</v>
      </c>
      <c r="AB156" s="41">
        <v>0</v>
      </c>
      <c r="AC156" s="41">
        <v>0</v>
      </c>
      <c r="AD156" s="41">
        <v>0</v>
      </c>
      <c r="AE156" s="41">
        <f t="shared" si="28"/>
        <v>0</v>
      </c>
      <c r="AF156" s="28">
        <f t="shared" si="24"/>
        <v>0</v>
      </c>
      <c r="AG156" s="28">
        <f t="shared" si="25"/>
        <v>0</v>
      </c>
    </row>
    <row r="157" spans="1:33" ht="57.6" x14ac:dyDescent="0.3">
      <c r="A157" s="41" t="s">
        <v>696</v>
      </c>
      <c r="B157" s="41" t="s">
        <v>690</v>
      </c>
      <c r="C157" s="41" t="s">
        <v>656</v>
      </c>
      <c r="D157" s="41" t="s">
        <v>33</v>
      </c>
      <c r="E157" s="41" t="s">
        <v>149</v>
      </c>
      <c r="F157" s="41" t="s">
        <v>707</v>
      </c>
      <c r="G157" s="41">
        <v>391991.03749999998</v>
      </c>
      <c r="H157" s="41">
        <v>0</v>
      </c>
      <c r="I157" s="41">
        <v>0</v>
      </c>
      <c r="J157" s="41">
        <v>0</v>
      </c>
      <c r="K157" s="41">
        <v>2</v>
      </c>
      <c r="L157" s="41">
        <v>2</v>
      </c>
      <c r="M157" s="41">
        <f t="shared" si="26"/>
        <v>1724760.5649999999</v>
      </c>
      <c r="N157" s="41">
        <v>0</v>
      </c>
      <c r="O157" s="41">
        <v>0</v>
      </c>
      <c r="P157" s="41">
        <v>0</v>
      </c>
      <c r="Q157" s="41">
        <v>1</v>
      </c>
      <c r="R157" s="41">
        <v>4</v>
      </c>
      <c r="S157" s="41">
        <v>1567964.15</v>
      </c>
      <c r="T157" s="41">
        <v>2</v>
      </c>
      <c r="U157" s="41">
        <v>2</v>
      </c>
      <c r="V157" s="41">
        <f t="shared" si="27"/>
        <v>2295656.3120150003</v>
      </c>
      <c r="W157" s="41">
        <v>0</v>
      </c>
      <c r="X157" s="41">
        <v>0</v>
      </c>
      <c r="Y157" s="41">
        <v>0</v>
      </c>
      <c r="Z157" s="41">
        <v>0</v>
      </c>
      <c r="AA157" s="41">
        <v>0</v>
      </c>
      <c r="AB157" s="41">
        <v>0</v>
      </c>
      <c r="AC157" s="41">
        <v>2</v>
      </c>
      <c r="AD157" s="41">
        <v>2</v>
      </c>
      <c r="AE157" s="41">
        <f t="shared" si="28"/>
        <v>3055518.5512919668</v>
      </c>
      <c r="AF157" s="28">
        <f t="shared" si="24"/>
        <v>8643899.5783069674</v>
      </c>
      <c r="AG157" s="28">
        <f t="shared" si="25"/>
        <v>8392.1355129193853</v>
      </c>
    </row>
    <row r="158" spans="1:33" ht="57.6" x14ac:dyDescent="0.3">
      <c r="A158" s="41" t="s">
        <v>696</v>
      </c>
      <c r="B158" s="41" t="s">
        <v>690</v>
      </c>
      <c r="C158" s="41" t="s">
        <v>656</v>
      </c>
      <c r="D158" s="41" t="s">
        <v>33</v>
      </c>
      <c r="E158" s="41" t="s">
        <v>149</v>
      </c>
      <c r="F158" s="41" t="s">
        <v>708</v>
      </c>
      <c r="G158" s="41">
        <f>980*1030</f>
        <v>1009400</v>
      </c>
      <c r="H158" s="41">
        <v>0</v>
      </c>
      <c r="I158" s="41">
        <v>0</v>
      </c>
      <c r="J158" s="41">
        <v>0</v>
      </c>
      <c r="K158" s="41">
        <v>1</v>
      </c>
      <c r="L158" s="41">
        <v>25</v>
      </c>
      <c r="M158" s="41">
        <f t="shared" si="26"/>
        <v>27758500</v>
      </c>
      <c r="N158" s="41">
        <v>0</v>
      </c>
      <c r="O158" s="41">
        <v>0</v>
      </c>
      <c r="P158" s="41">
        <v>0</v>
      </c>
      <c r="Q158" s="41">
        <v>1</v>
      </c>
      <c r="R158" s="41">
        <v>40</v>
      </c>
      <c r="S158" s="41">
        <v>18720000</v>
      </c>
      <c r="T158" s="41">
        <v>1</v>
      </c>
      <c r="U158" s="41">
        <v>25</v>
      </c>
      <c r="V158" s="41">
        <f t="shared" si="27"/>
        <v>36946563.500000015</v>
      </c>
      <c r="W158" s="41">
        <v>0</v>
      </c>
      <c r="X158" s="41">
        <v>0</v>
      </c>
      <c r="Y158" s="41">
        <v>0</v>
      </c>
      <c r="Z158" s="41">
        <v>0</v>
      </c>
      <c r="AA158" s="41">
        <v>0</v>
      </c>
      <c r="AB158" s="41">
        <v>0</v>
      </c>
      <c r="AC158" s="41">
        <v>1</v>
      </c>
      <c r="AD158" s="41">
        <v>25</v>
      </c>
      <c r="AE158" s="41">
        <f t="shared" si="28"/>
        <v>49175876.01850003</v>
      </c>
      <c r="AF158" s="28">
        <f t="shared" si="24"/>
        <v>132600939.51850004</v>
      </c>
      <c r="AG158" s="28">
        <f t="shared" si="25"/>
        <v>128738.77623155343</v>
      </c>
    </row>
    <row r="159" spans="1:33" ht="57.6" x14ac:dyDescent="0.3">
      <c r="A159" s="41" t="s">
        <v>696</v>
      </c>
      <c r="B159" s="41" t="s">
        <v>690</v>
      </c>
      <c r="C159" s="41" t="s">
        <v>656</v>
      </c>
      <c r="D159" s="41" t="s">
        <v>33</v>
      </c>
      <c r="E159" s="41" t="s">
        <v>299</v>
      </c>
      <c r="F159" s="41" t="s">
        <v>718</v>
      </c>
      <c r="G159" s="41">
        <v>0</v>
      </c>
      <c r="H159" s="41">
        <v>0</v>
      </c>
      <c r="I159" s="41">
        <v>0</v>
      </c>
      <c r="J159" s="41">
        <v>0</v>
      </c>
      <c r="K159" s="41">
        <v>0</v>
      </c>
      <c r="L159" s="41">
        <v>0</v>
      </c>
      <c r="M159" s="41">
        <f t="shared" si="26"/>
        <v>0</v>
      </c>
      <c r="N159" s="41">
        <v>0</v>
      </c>
      <c r="O159" s="41">
        <v>0</v>
      </c>
      <c r="P159" s="41">
        <v>0</v>
      </c>
      <c r="Q159" s="41">
        <v>0</v>
      </c>
      <c r="R159" s="41">
        <v>0</v>
      </c>
      <c r="S159" s="41">
        <v>0</v>
      </c>
      <c r="T159" s="41">
        <v>0</v>
      </c>
      <c r="U159" s="41">
        <v>0</v>
      </c>
      <c r="V159" s="41">
        <f t="shared" si="27"/>
        <v>0</v>
      </c>
      <c r="W159" s="41">
        <v>0</v>
      </c>
      <c r="X159" s="41">
        <v>0</v>
      </c>
      <c r="Y159" s="41">
        <v>0</v>
      </c>
      <c r="Z159" s="41">
        <v>0</v>
      </c>
      <c r="AA159" s="41">
        <v>0</v>
      </c>
      <c r="AB159" s="41">
        <v>0</v>
      </c>
      <c r="AC159" s="41">
        <v>0</v>
      </c>
      <c r="AD159" s="41">
        <v>0</v>
      </c>
      <c r="AE159" s="41">
        <f t="shared" si="28"/>
        <v>0</v>
      </c>
      <c r="AF159" s="28">
        <f t="shared" si="24"/>
        <v>0</v>
      </c>
      <c r="AG159" s="28">
        <f t="shared" si="25"/>
        <v>0</v>
      </c>
    </row>
    <row r="160" spans="1:33" ht="57.6" x14ac:dyDescent="0.3">
      <c r="A160" s="41" t="s">
        <v>696</v>
      </c>
      <c r="B160" s="41" t="s">
        <v>690</v>
      </c>
      <c r="C160" s="41" t="s">
        <v>656</v>
      </c>
      <c r="D160" s="41" t="s">
        <v>33</v>
      </c>
      <c r="E160" s="41" t="s">
        <v>300</v>
      </c>
      <c r="F160" s="41" t="s">
        <v>709</v>
      </c>
      <c r="G160" s="41">
        <v>35000</v>
      </c>
      <c r="H160" s="41">
        <v>0</v>
      </c>
      <c r="I160" s="41">
        <v>0</v>
      </c>
      <c r="J160" s="41">
        <v>0</v>
      </c>
      <c r="K160" s="41">
        <v>50</v>
      </c>
      <c r="L160" s="41">
        <v>5</v>
      </c>
      <c r="M160" s="41">
        <f t="shared" si="26"/>
        <v>9625000</v>
      </c>
      <c r="N160" s="41">
        <v>0</v>
      </c>
      <c r="O160" s="41">
        <v>0</v>
      </c>
      <c r="P160" s="41">
        <v>0</v>
      </c>
      <c r="Q160" s="41">
        <v>30</v>
      </c>
      <c r="R160" s="41">
        <v>1</v>
      </c>
      <c r="S160" s="41">
        <v>840000</v>
      </c>
      <c r="T160" s="41">
        <v>50</v>
      </c>
      <c r="U160" s="41">
        <v>5</v>
      </c>
      <c r="V160" s="41">
        <f t="shared" si="27"/>
        <v>12810875.000000004</v>
      </c>
      <c r="W160" s="41">
        <v>0</v>
      </c>
      <c r="X160" s="41">
        <v>0</v>
      </c>
      <c r="Y160" s="41">
        <v>0</v>
      </c>
      <c r="Z160" s="41">
        <v>0</v>
      </c>
      <c r="AA160" s="41">
        <v>0</v>
      </c>
      <c r="AB160" s="41">
        <v>0</v>
      </c>
      <c r="AC160" s="41">
        <v>50</v>
      </c>
      <c r="AD160" s="41">
        <v>5</v>
      </c>
      <c r="AE160" s="41">
        <f t="shared" si="28"/>
        <v>17051274.625000007</v>
      </c>
      <c r="AF160" s="28">
        <f t="shared" si="24"/>
        <v>40327149.625000015</v>
      </c>
      <c r="AG160" s="28">
        <f t="shared" si="25"/>
        <v>39152.572451456326</v>
      </c>
    </row>
    <row r="161" spans="1:33" ht="57.6" x14ac:dyDescent="0.3">
      <c r="A161" s="41" t="s">
        <v>696</v>
      </c>
      <c r="B161" s="41" t="s">
        <v>690</v>
      </c>
      <c r="C161" s="41" t="s">
        <v>656</v>
      </c>
      <c r="D161" s="41" t="s">
        <v>33</v>
      </c>
      <c r="E161" s="41" t="s">
        <v>300</v>
      </c>
      <c r="F161" s="41" t="s">
        <v>716</v>
      </c>
      <c r="G161" s="41">
        <v>39000</v>
      </c>
      <c r="H161" s="41">
        <v>0</v>
      </c>
      <c r="I161" s="41">
        <v>0</v>
      </c>
      <c r="J161" s="41">
        <v>0</v>
      </c>
      <c r="K161" s="41">
        <v>25</v>
      </c>
      <c r="L161" s="41">
        <v>6</v>
      </c>
      <c r="M161" s="41">
        <f t="shared" si="26"/>
        <v>6435000</v>
      </c>
      <c r="N161" s="41">
        <v>0</v>
      </c>
      <c r="O161" s="41">
        <v>0</v>
      </c>
      <c r="P161" s="41">
        <v>0</v>
      </c>
      <c r="Q161" s="41">
        <v>10</v>
      </c>
      <c r="R161" s="41">
        <v>1</v>
      </c>
      <c r="S161" s="41">
        <v>390000</v>
      </c>
      <c r="T161" s="41">
        <v>25</v>
      </c>
      <c r="U161" s="41">
        <v>6</v>
      </c>
      <c r="V161" s="41">
        <f t="shared" si="27"/>
        <v>8564985.0000000037</v>
      </c>
      <c r="W161" s="41">
        <v>0</v>
      </c>
      <c r="X161" s="41">
        <v>0</v>
      </c>
      <c r="Y161" s="41">
        <v>0</v>
      </c>
      <c r="Z161" s="41">
        <v>0</v>
      </c>
      <c r="AA161" s="41">
        <v>0</v>
      </c>
      <c r="AB161" s="41">
        <v>0</v>
      </c>
      <c r="AC161" s="41">
        <v>25</v>
      </c>
      <c r="AD161" s="41">
        <v>6</v>
      </c>
      <c r="AE161" s="41">
        <f t="shared" si="28"/>
        <v>11399995.035000006</v>
      </c>
      <c r="AF161" s="28">
        <f t="shared" si="24"/>
        <v>26789980.035000011</v>
      </c>
      <c r="AG161" s="28">
        <f t="shared" si="25"/>
        <v>26009.689354368944</v>
      </c>
    </row>
    <row r="162" spans="1:33" ht="57.6" x14ac:dyDescent="0.3">
      <c r="A162" s="41" t="s">
        <v>696</v>
      </c>
      <c r="B162" s="41" t="s">
        <v>690</v>
      </c>
      <c r="C162" s="41" t="s">
        <v>656</v>
      </c>
      <c r="D162" s="41" t="s">
        <v>33</v>
      </c>
      <c r="E162" s="41" t="s">
        <v>300</v>
      </c>
      <c r="F162" s="41" t="s">
        <v>712</v>
      </c>
      <c r="G162" s="41">
        <f>1999.2/7</f>
        <v>285.60000000000002</v>
      </c>
      <c r="H162" s="41">
        <v>0</v>
      </c>
      <c r="I162" s="41">
        <v>0</v>
      </c>
      <c r="J162" s="41">
        <v>0</v>
      </c>
      <c r="K162" s="41">
        <v>0</v>
      </c>
      <c r="L162" s="41">
        <v>5</v>
      </c>
      <c r="M162" s="41">
        <f t="shared" si="26"/>
        <v>0</v>
      </c>
      <c r="N162" s="41">
        <v>0</v>
      </c>
      <c r="O162" s="41">
        <v>0</v>
      </c>
      <c r="P162" s="41">
        <v>0</v>
      </c>
      <c r="Q162" s="41">
        <v>4000</v>
      </c>
      <c r="R162" s="41">
        <v>1</v>
      </c>
      <c r="S162" s="41">
        <v>857160</v>
      </c>
      <c r="T162" s="41">
        <v>0</v>
      </c>
      <c r="U162" s="41">
        <v>5</v>
      </c>
      <c r="V162" s="41">
        <f t="shared" si="27"/>
        <v>0</v>
      </c>
      <c r="W162" s="41">
        <v>0</v>
      </c>
      <c r="X162" s="41">
        <v>0</v>
      </c>
      <c r="Y162" s="41">
        <v>0</v>
      </c>
      <c r="Z162" s="41">
        <v>0</v>
      </c>
      <c r="AA162" s="41">
        <v>0</v>
      </c>
      <c r="AB162" s="41">
        <v>0</v>
      </c>
      <c r="AC162" s="41">
        <v>0</v>
      </c>
      <c r="AD162" s="41">
        <v>5</v>
      </c>
      <c r="AE162" s="41">
        <f t="shared" si="28"/>
        <v>0</v>
      </c>
      <c r="AF162" s="28">
        <f t="shared" si="24"/>
        <v>857160</v>
      </c>
      <c r="AG162" s="28">
        <f t="shared" si="25"/>
        <v>832.19417475728153</v>
      </c>
    </row>
    <row r="163" spans="1:33" ht="57.6" x14ac:dyDescent="0.3">
      <c r="A163" s="41" t="s">
        <v>696</v>
      </c>
      <c r="B163" s="41" t="s">
        <v>690</v>
      </c>
      <c r="C163" s="41" t="s">
        <v>656</v>
      </c>
      <c r="D163" s="41" t="s">
        <v>33</v>
      </c>
      <c r="E163" s="41" t="s">
        <v>301</v>
      </c>
      <c r="F163" s="41" t="s">
        <v>709</v>
      </c>
      <c r="G163" s="41">
        <v>35000</v>
      </c>
      <c r="H163" s="41">
        <v>0</v>
      </c>
      <c r="I163" s="41">
        <v>0</v>
      </c>
      <c r="J163" s="41">
        <v>0</v>
      </c>
      <c r="K163" s="41">
        <v>50</v>
      </c>
      <c r="L163" s="41">
        <v>5</v>
      </c>
      <c r="M163" s="41">
        <f t="shared" si="26"/>
        <v>9625000</v>
      </c>
      <c r="N163" s="41">
        <v>0</v>
      </c>
      <c r="O163" s="41">
        <v>0</v>
      </c>
      <c r="P163" s="41">
        <v>0</v>
      </c>
      <c r="Q163" s="41">
        <v>40</v>
      </c>
      <c r="R163" s="41">
        <v>5</v>
      </c>
      <c r="S163" s="41">
        <v>5600000</v>
      </c>
      <c r="T163" s="41">
        <v>50</v>
      </c>
      <c r="U163" s="41">
        <v>5</v>
      </c>
      <c r="V163" s="41">
        <f t="shared" si="27"/>
        <v>12810875.000000004</v>
      </c>
      <c r="W163" s="41">
        <v>0</v>
      </c>
      <c r="X163" s="41">
        <v>0</v>
      </c>
      <c r="Y163" s="41">
        <v>0</v>
      </c>
      <c r="Z163" s="41">
        <v>0</v>
      </c>
      <c r="AA163" s="41">
        <v>0</v>
      </c>
      <c r="AB163" s="41">
        <v>0</v>
      </c>
      <c r="AC163" s="41">
        <v>50</v>
      </c>
      <c r="AD163" s="41">
        <v>5</v>
      </c>
      <c r="AE163" s="41">
        <f t="shared" si="28"/>
        <v>17051274.625000007</v>
      </c>
      <c r="AF163" s="28">
        <f t="shared" si="24"/>
        <v>45087149.625000015</v>
      </c>
      <c r="AG163" s="28">
        <f t="shared" si="25"/>
        <v>43773.931674757296</v>
      </c>
    </row>
    <row r="164" spans="1:33" ht="57.6" x14ac:dyDescent="0.3">
      <c r="A164" s="41" t="s">
        <v>696</v>
      </c>
      <c r="B164" s="41" t="s">
        <v>690</v>
      </c>
      <c r="C164" s="41" t="s">
        <v>656</v>
      </c>
      <c r="D164" s="41" t="s">
        <v>33</v>
      </c>
      <c r="E164" s="41" t="s">
        <v>301</v>
      </c>
      <c r="F164" s="41" t="s">
        <v>716</v>
      </c>
      <c r="G164" s="41">
        <v>39000</v>
      </c>
      <c r="H164" s="41">
        <v>0</v>
      </c>
      <c r="I164" s="41">
        <v>0</v>
      </c>
      <c r="J164" s="41">
        <v>0</v>
      </c>
      <c r="K164" s="41">
        <v>50</v>
      </c>
      <c r="L164" s="41">
        <v>6</v>
      </c>
      <c r="M164" s="41">
        <f t="shared" si="26"/>
        <v>12870000</v>
      </c>
      <c r="N164" s="41">
        <v>0</v>
      </c>
      <c r="O164" s="41">
        <v>0</v>
      </c>
      <c r="P164" s="41">
        <v>0</v>
      </c>
      <c r="Q164" s="41">
        <v>40</v>
      </c>
      <c r="R164" s="41">
        <v>5</v>
      </c>
      <c r="S164" s="41">
        <v>7800000</v>
      </c>
      <c r="T164" s="41">
        <v>50</v>
      </c>
      <c r="U164" s="41">
        <v>6</v>
      </c>
      <c r="V164" s="41">
        <f t="shared" si="27"/>
        <v>17129970.000000007</v>
      </c>
      <c r="W164" s="41">
        <v>0</v>
      </c>
      <c r="X164" s="41">
        <v>0</v>
      </c>
      <c r="Y164" s="41">
        <v>0</v>
      </c>
      <c r="Z164" s="41">
        <v>0</v>
      </c>
      <c r="AA164" s="41">
        <v>0</v>
      </c>
      <c r="AB164" s="41">
        <v>0</v>
      </c>
      <c r="AC164" s="41">
        <v>50</v>
      </c>
      <c r="AD164" s="41">
        <v>6</v>
      </c>
      <c r="AE164" s="41">
        <f t="shared" si="28"/>
        <v>22799990.070000011</v>
      </c>
      <c r="AF164" s="28">
        <f t="shared" si="24"/>
        <v>60599960.070000023</v>
      </c>
      <c r="AG164" s="28">
        <f t="shared" si="25"/>
        <v>58834.912689320408</v>
      </c>
    </row>
    <row r="165" spans="1:33" ht="57.6" x14ac:dyDescent="0.3">
      <c r="A165" s="41" t="s">
        <v>696</v>
      </c>
      <c r="B165" s="41" t="s">
        <v>690</v>
      </c>
      <c r="C165" s="41" t="s">
        <v>656</v>
      </c>
      <c r="D165" s="41" t="s">
        <v>33</v>
      </c>
      <c r="E165" s="41" t="s">
        <v>301</v>
      </c>
      <c r="F165" s="41" t="s">
        <v>712</v>
      </c>
      <c r="G165" s="41">
        <f>1999.2/7</f>
        <v>285.60000000000002</v>
      </c>
      <c r="H165" s="41">
        <v>0</v>
      </c>
      <c r="I165" s="41">
        <v>0</v>
      </c>
      <c r="J165" s="41">
        <v>0</v>
      </c>
      <c r="K165" s="41">
        <f>2*25*9</f>
        <v>450</v>
      </c>
      <c r="L165" s="41">
        <v>5</v>
      </c>
      <c r="M165" s="41">
        <f t="shared" si="26"/>
        <v>706860</v>
      </c>
      <c r="N165" s="41">
        <v>0</v>
      </c>
      <c r="O165" s="41">
        <v>0</v>
      </c>
      <c r="P165" s="41">
        <v>0</v>
      </c>
      <c r="Q165" s="41">
        <v>8000</v>
      </c>
      <c r="R165" s="41">
        <v>1</v>
      </c>
      <c r="S165" s="41">
        <v>1714320</v>
      </c>
      <c r="T165" s="41">
        <f>2*25*9</f>
        <v>450</v>
      </c>
      <c r="U165" s="41">
        <v>5</v>
      </c>
      <c r="V165" s="41">
        <f t="shared" si="27"/>
        <v>940830.66000000038</v>
      </c>
      <c r="W165" s="41">
        <v>0</v>
      </c>
      <c r="X165" s="41">
        <v>0</v>
      </c>
      <c r="Y165" s="41">
        <v>0</v>
      </c>
      <c r="Z165" s="41">
        <v>0</v>
      </c>
      <c r="AA165" s="41">
        <v>0</v>
      </c>
      <c r="AB165" s="41">
        <v>0</v>
      </c>
      <c r="AC165" s="41">
        <f>2*25*9</f>
        <v>450</v>
      </c>
      <c r="AD165" s="41">
        <v>5</v>
      </c>
      <c r="AE165" s="41">
        <f t="shared" si="28"/>
        <v>1252245.6084600009</v>
      </c>
      <c r="AF165" s="28">
        <f t="shared" si="24"/>
        <v>4614256.2684600009</v>
      </c>
      <c r="AG165" s="28">
        <f t="shared" si="25"/>
        <v>4479.8604548155345</v>
      </c>
    </row>
    <row r="166" spans="1:33" x14ac:dyDescent="0.3">
      <c r="A166" s="41"/>
      <c r="B166" s="41"/>
      <c r="C166" s="41"/>
      <c r="D166" s="41"/>
      <c r="E166" s="41"/>
      <c r="F166" s="41" t="s">
        <v>1336</v>
      </c>
      <c r="G166" s="41">
        <f>1999.2/7</f>
        <v>285.60000000000002</v>
      </c>
      <c r="H166" s="41">
        <v>0</v>
      </c>
      <c r="I166" s="41">
        <v>0</v>
      </c>
      <c r="J166" s="41"/>
      <c r="K166" s="41">
        <f>2*135*9</f>
        <v>2430</v>
      </c>
      <c r="L166" s="41">
        <v>1</v>
      </c>
      <c r="M166" s="41">
        <f t="shared" si="26"/>
        <v>763408.8</v>
      </c>
      <c r="N166" s="41">
        <v>0</v>
      </c>
      <c r="O166" s="41">
        <v>0</v>
      </c>
      <c r="P166" s="41">
        <v>0</v>
      </c>
      <c r="Q166" s="41"/>
      <c r="R166" s="41"/>
      <c r="S166" s="41"/>
      <c r="T166" s="41">
        <f>2*135*9</f>
        <v>2430</v>
      </c>
      <c r="U166" s="41">
        <v>1</v>
      </c>
      <c r="V166" s="41">
        <f t="shared" si="27"/>
        <v>1016097.1128000004</v>
      </c>
      <c r="W166" s="41"/>
      <c r="X166" s="41"/>
      <c r="Y166" s="41"/>
      <c r="Z166" s="41"/>
      <c r="AA166" s="41"/>
      <c r="AB166" s="41"/>
      <c r="AC166" s="41">
        <f>2*135*9</f>
        <v>2430</v>
      </c>
      <c r="AD166" s="41">
        <v>1</v>
      </c>
      <c r="AE166" s="41">
        <f t="shared" si="28"/>
        <v>1352425.257136801</v>
      </c>
      <c r="AF166" s="28">
        <f t="shared" si="24"/>
        <v>3131931.1699368013</v>
      </c>
      <c r="AG166" s="28">
        <f t="shared" si="25"/>
        <v>3040.7098737250499</v>
      </c>
    </row>
    <row r="167" spans="1:33" ht="57.6" x14ac:dyDescent="0.3">
      <c r="A167" s="41" t="s">
        <v>696</v>
      </c>
      <c r="B167" s="41" t="s">
        <v>690</v>
      </c>
      <c r="C167" s="41" t="s">
        <v>656</v>
      </c>
      <c r="D167" s="41" t="s">
        <v>33</v>
      </c>
      <c r="E167" s="41" t="s">
        <v>302</v>
      </c>
      <c r="F167" s="41" t="s">
        <v>718</v>
      </c>
      <c r="G167" s="41">
        <v>0</v>
      </c>
      <c r="H167" s="41">
        <v>0</v>
      </c>
      <c r="I167" s="41">
        <v>0</v>
      </c>
      <c r="J167" s="41">
        <v>0</v>
      </c>
      <c r="K167" s="41">
        <v>0</v>
      </c>
      <c r="L167" s="41">
        <v>0</v>
      </c>
      <c r="M167" s="41">
        <f t="shared" si="26"/>
        <v>0</v>
      </c>
      <c r="N167" s="41">
        <v>0</v>
      </c>
      <c r="O167" s="41">
        <v>0</v>
      </c>
      <c r="P167" s="41">
        <v>0</v>
      </c>
      <c r="Q167" s="41">
        <v>0</v>
      </c>
      <c r="R167" s="41">
        <v>0</v>
      </c>
      <c r="S167" s="41">
        <v>0</v>
      </c>
      <c r="T167" s="41">
        <v>0</v>
      </c>
      <c r="U167" s="41">
        <v>0</v>
      </c>
      <c r="V167" s="41">
        <v>0</v>
      </c>
      <c r="W167" s="41">
        <v>0</v>
      </c>
      <c r="X167" s="41">
        <v>0</v>
      </c>
      <c r="Y167" s="41">
        <v>0</v>
      </c>
      <c r="Z167" s="41">
        <v>0</v>
      </c>
      <c r="AA167" s="41">
        <v>0</v>
      </c>
      <c r="AB167" s="41">
        <v>0</v>
      </c>
      <c r="AC167" s="41">
        <v>0</v>
      </c>
      <c r="AD167" s="41">
        <v>0</v>
      </c>
      <c r="AE167" s="41">
        <f t="shared" si="28"/>
        <v>0</v>
      </c>
      <c r="AF167" s="28">
        <f t="shared" si="24"/>
        <v>0</v>
      </c>
      <c r="AG167" s="28">
        <f t="shared" si="25"/>
        <v>0</v>
      </c>
    </row>
    <row r="168" spans="1:33" ht="57.6" x14ac:dyDescent="0.3">
      <c r="A168" s="41" t="s">
        <v>696</v>
      </c>
      <c r="B168" s="41" t="s">
        <v>690</v>
      </c>
      <c r="C168" s="41" t="s">
        <v>656</v>
      </c>
      <c r="D168" s="41" t="s">
        <v>33</v>
      </c>
      <c r="E168" s="41" t="s">
        <v>303</v>
      </c>
      <c r="F168" s="41" t="s">
        <v>718</v>
      </c>
      <c r="G168" s="41">
        <v>0</v>
      </c>
      <c r="H168" s="41">
        <v>0</v>
      </c>
      <c r="I168" s="41">
        <v>0</v>
      </c>
      <c r="J168" s="41">
        <v>0</v>
      </c>
      <c r="K168" s="41">
        <v>0</v>
      </c>
      <c r="L168" s="41">
        <v>0</v>
      </c>
      <c r="M168" s="41">
        <f t="shared" si="26"/>
        <v>0</v>
      </c>
      <c r="N168" s="41">
        <v>0</v>
      </c>
      <c r="O168" s="41">
        <v>0</v>
      </c>
      <c r="P168" s="41">
        <v>0</v>
      </c>
      <c r="Q168" s="41">
        <v>0</v>
      </c>
      <c r="R168" s="41">
        <v>0</v>
      </c>
      <c r="S168" s="41">
        <v>0</v>
      </c>
      <c r="T168" s="41">
        <v>0</v>
      </c>
      <c r="U168" s="41">
        <v>0</v>
      </c>
      <c r="V168" s="41">
        <v>0</v>
      </c>
      <c r="W168" s="41">
        <v>0</v>
      </c>
      <c r="X168" s="41">
        <v>0</v>
      </c>
      <c r="Y168" s="41">
        <v>0</v>
      </c>
      <c r="Z168" s="41">
        <v>0</v>
      </c>
      <c r="AA168" s="41">
        <v>0</v>
      </c>
      <c r="AB168" s="41">
        <v>0</v>
      </c>
      <c r="AC168" s="41">
        <v>0</v>
      </c>
      <c r="AD168" s="41">
        <v>0</v>
      </c>
      <c r="AE168" s="41">
        <f t="shared" si="28"/>
        <v>0</v>
      </c>
      <c r="AF168" s="28">
        <f t="shared" si="24"/>
        <v>0</v>
      </c>
      <c r="AG168" s="28">
        <f t="shared" si="25"/>
        <v>0</v>
      </c>
    </row>
    <row r="169" spans="1:33" x14ac:dyDescent="0.3">
      <c r="AF169" s="28">
        <f t="shared" si="24"/>
        <v>0</v>
      </c>
      <c r="AG169" s="28">
        <f t="shared" si="25"/>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366"/>
  <sheetViews>
    <sheetView topLeftCell="A350" zoomScale="50" zoomScaleNormal="50" workbookViewId="0">
      <selection activeCell="E95" sqref="E95"/>
    </sheetView>
  </sheetViews>
  <sheetFormatPr defaultColWidth="8.88671875" defaultRowHeight="14.4" x14ac:dyDescent="0.3"/>
  <cols>
    <col min="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57.6" x14ac:dyDescent="0.3">
      <c r="A2" s="41" t="s">
        <v>696</v>
      </c>
      <c r="B2" s="41" t="s">
        <v>691</v>
      </c>
      <c r="C2" s="43" t="s">
        <v>657</v>
      </c>
      <c r="D2" s="41" t="s">
        <v>34</v>
      </c>
      <c r="E2" s="41" t="s">
        <v>304</v>
      </c>
      <c r="F2" s="41" t="s">
        <v>707</v>
      </c>
      <c r="G2" s="67">
        <v>391991.03749999998</v>
      </c>
      <c r="H2" s="41"/>
      <c r="I2" s="41"/>
      <c r="J2" s="67"/>
      <c r="K2" s="41">
        <v>2</v>
      </c>
      <c r="L2" s="41">
        <v>2</v>
      </c>
      <c r="M2" s="70">
        <f>($G2*1.1^1)*K2*L2</f>
        <v>1724760.5649999999</v>
      </c>
      <c r="N2" s="41">
        <v>0</v>
      </c>
      <c r="O2" s="41">
        <v>0</v>
      </c>
      <c r="P2" s="70">
        <f>($G2*1.1^2)*N2*O2</f>
        <v>0</v>
      </c>
      <c r="Q2" s="41">
        <v>0</v>
      </c>
      <c r="R2" s="41">
        <v>0</v>
      </c>
      <c r="S2" s="70">
        <f>($G2*1.1^3)*Q2*R2</f>
        <v>0</v>
      </c>
      <c r="T2" s="41">
        <v>0</v>
      </c>
      <c r="U2" s="41">
        <v>0</v>
      </c>
      <c r="V2" s="70">
        <f>($G2*1.1^4)*T2*U2</f>
        <v>0</v>
      </c>
      <c r="W2" s="41">
        <v>2</v>
      </c>
      <c r="X2" s="41">
        <v>2</v>
      </c>
      <c r="Y2" s="70">
        <f>($G2*1.1^5)*W2*X2</f>
        <v>2525221.9432165008</v>
      </c>
      <c r="Z2" s="41">
        <v>0</v>
      </c>
      <c r="AA2" s="41">
        <v>0</v>
      </c>
      <c r="AB2" s="70">
        <f>($G2*1.1^6)*Z2*AA2</f>
        <v>0</v>
      </c>
      <c r="AC2" s="41">
        <v>0</v>
      </c>
      <c r="AD2" s="41">
        <v>0</v>
      </c>
      <c r="AE2" s="70">
        <f>($G2*1.1^7)*AC2*AD2</f>
        <v>0</v>
      </c>
      <c r="AF2" s="28">
        <f>J2+M2+P2+S2+V2+Y2+AB2+AE2</f>
        <v>4249982.5082165003</v>
      </c>
      <c r="AG2" s="28">
        <f>AF2/$AL$2</f>
        <v>4126.1966099189322</v>
      </c>
      <c r="AL2">
        <v>1030</v>
      </c>
    </row>
    <row r="3" spans="1:38" ht="57.6" x14ac:dyDescent="0.3">
      <c r="A3" s="41" t="s">
        <v>696</v>
      </c>
      <c r="B3" s="41" t="s">
        <v>691</v>
      </c>
      <c r="C3" s="43" t="s">
        <v>657</v>
      </c>
      <c r="D3" s="41" t="s">
        <v>34</v>
      </c>
      <c r="E3" s="41" t="s">
        <v>304</v>
      </c>
      <c r="F3" s="41" t="s">
        <v>708</v>
      </c>
      <c r="G3" s="67">
        <f>500*1030</f>
        <v>515000</v>
      </c>
      <c r="H3" s="41"/>
      <c r="I3" s="41"/>
      <c r="J3" s="67"/>
      <c r="K3" s="41">
        <v>0</v>
      </c>
      <c r="L3" s="41">
        <v>0</v>
      </c>
      <c r="M3" s="70">
        <f t="shared" ref="M3:M66" si="0">($G3*1.1^1)*K3*L3</f>
        <v>0</v>
      </c>
      <c r="N3" s="41">
        <v>0</v>
      </c>
      <c r="O3" s="41">
        <v>0</v>
      </c>
      <c r="P3" s="70">
        <f t="shared" ref="P3:P66" si="1">($G3*1.1^2)*N3*O3</f>
        <v>0</v>
      </c>
      <c r="Q3" s="41">
        <v>0</v>
      </c>
      <c r="R3" s="41">
        <v>0</v>
      </c>
      <c r="S3" s="70">
        <f t="shared" ref="S3:S66" si="2">($G3*1.1^3)*Q3*R3</f>
        <v>0</v>
      </c>
      <c r="T3" s="41">
        <v>0</v>
      </c>
      <c r="U3" s="41">
        <v>0</v>
      </c>
      <c r="V3" s="70">
        <f t="shared" ref="V3:V66" si="3">($G3*1.1^4)*T3*U3</f>
        <v>0</v>
      </c>
      <c r="W3" s="41">
        <v>0</v>
      </c>
      <c r="X3" s="41">
        <v>0</v>
      </c>
      <c r="Y3" s="70">
        <f>($G3*1.1^5)*W3*X3</f>
        <v>0</v>
      </c>
      <c r="Z3" s="41">
        <v>0</v>
      </c>
      <c r="AA3" s="41">
        <v>0</v>
      </c>
      <c r="AB3" s="70">
        <f t="shared" ref="AB3:AB66" si="4">($G3*1.1^6)*Z3*AA3</f>
        <v>0</v>
      </c>
      <c r="AC3" s="41">
        <v>0</v>
      </c>
      <c r="AD3" s="41">
        <v>0</v>
      </c>
      <c r="AE3" s="70">
        <f t="shared" ref="AE3:AE66" si="5">($G3*1.1^7)*AC3*AD3</f>
        <v>0</v>
      </c>
      <c r="AF3" s="28">
        <f t="shared" ref="AF3:AF66" si="6">J3+M3+P3+S3+V3+Y3+AB3+AE3</f>
        <v>0</v>
      </c>
      <c r="AG3" s="28">
        <f>AF3/$AL$2</f>
        <v>0</v>
      </c>
    </row>
    <row r="4" spans="1:38" ht="57.6" x14ac:dyDescent="0.3">
      <c r="A4" s="41" t="s">
        <v>696</v>
      </c>
      <c r="B4" s="41" t="s">
        <v>691</v>
      </c>
      <c r="C4" s="43" t="s">
        <v>657</v>
      </c>
      <c r="D4" s="41" t="s">
        <v>34</v>
      </c>
      <c r="E4" s="41" t="s">
        <v>305</v>
      </c>
      <c r="F4" s="41" t="s">
        <v>716</v>
      </c>
      <c r="G4" s="67">
        <v>39000</v>
      </c>
      <c r="H4" s="41"/>
      <c r="I4" s="41"/>
      <c r="J4" s="67"/>
      <c r="K4" s="41">
        <v>25</v>
      </c>
      <c r="L4" s="41">
        <f>6*3</f>
        <v>18</v>
      </c>
      <c r="M4" s="70">
        <f t="shared" si="0"/>
        <v>19305000</v>
      </c>
      <c r="N4" s="41">
        <v>15</v>
      </c>
      <c r="O4" s="41">
        <v>15</v>
      </c>
      <c r="P4" s="70">
        <f t="shared" si="1"/>
        <v>10617750.000000002</v>
      </c>
      <c r="Q4" s="41">
        <v>15</v>
      </c>
      <c r="R4" s="41">
        <v>15</v>
      </c>
      <c r="S4" s="70">
        <f t="shared" si="2"/>
        <v>11679525.000000004</v>
      </c>
      <c r="T4" s="41">
        <v>15</v>
      </c>
      <c r="U4" s="41">
        <v>15</v>
      </c>
      <c r="V4" s="70">
        <f t="shared" si="3"/>
        <v>12847477.500000004</v>
      </c>
      <c r="W4" s="41">
        <v>25</v>
      </c>
      <c r="X4" s="41">
        <f>6*3</f>
        <v>18</v>
      </c>
      <c r="Y4" s="70">
        <f>($G4*1.1^5)*W4*X4</f>
        <v>28264450.500000007</v>
      </c>
      <c r="Z4" s="41">
        <v>0</v>
      </c>
      <c r="AA4" s="41">
        <v>0</v>
      </c>
      <c r="AB4" s="70">
        <f t="shared" si="4"/>
        <v>0</v>
      </c>
      <c r="AC4" s="41">
        <v>0</v>
      </c>
      <c r="AD4" s="41">
        <v>0</v>
      </c>
      <c r="AE4" s="70">
        <f t="shared" si="5"/>
        <v>0</v>
      </c>
      <c r="AF4" s="28">
        <f t="shared" si="6"/>
        <v>82714203</v>
      </c>
      <c r="AG4" s="28">
        <f t="shared" ref="AG4:AG66" si="7">AF4/$AL$2</f>
        <v>80305.051456310684</v>
      </c>
    </row>
    <row r="5" spans="1:38" ht="57.6" x14ac:dyDescent="0.3">
      <c r="A5" s="41" t="s">
        <v>696</v>
      </c>
      <c r="B5" s="41" t="s">
        <v>691</v>
      </c>
      <c r="C5" s="43" t="s">
        <v>657</v>
      </c>
      <c r="D5" s="41" t="s">
        <v>34</v>
      </c>
      <c r="E5" s="41" t="s">
        <v>305</v>
      </c>
      <c r="F5" s="41" t="s">
        <v>709</v>
      </c>
      <c r="G5" s="67">
        <v>35000</v>
      </c>
      <c r="H5" s="41"/>
      <c r="I5" s="41"/>
      <c r="J5" s="67"/>
      <c r="K5" s="41">
        <v>25</v>
      </c>
      <c r="L5" s="41">
        <f>5*3</f>
        <v>15</v>
      </c>
      <c r="M5" s="70">
        <f t="shared" si="0"/>
        <v>14437500</v>
      </c>
      <c r="N5" s="41">
        <v>20</v>
      </c>
      <c r="O5" s="41">
        <v>15</v>
      </c>
      <c r="P5" s="70">
        <f t="shared" si="1"/>
        <v>12705000.000000002</v>
      </c>
      <c r="Q5" s="41">
        <v>20</v>
      </c>
      <c r="R5" s="41">
        <v>15</v>
      </c>
      <c r="S5" s="70">
        <f t="shared" si="2"/>
        <v>13975500.000000004</v>
      </c>
      <c r="T5" s="41">
        <v>20</v>
      </c>
      <c r="U5" s="41">
        <v>15</v>
      </c>
      <c r="V5" s="70">
        <f t="shared" si="3"/>
        <v>15373050.000000004</v>
      </c>
      <c r="W5" s="41">
        <v>25</v>
      </c>
      <c r="X5" s="41">
        <f>5*3</f>
        <v>15</v>
      </c>
      <c r="Y5" s="70">
        <f t="shared" ref="Y5:Y68" si="8">($G5*1.1^5)*W5*X5</f>
        <v>21137943.750000007</v>
      </c>
      <c r="Z5" s="41">
        <v>0</v>
      </c>
      <c r="AA5" s="41">
        <v>0</v>
      </c>
      <c r="AB5" s="70">
        <f t="shared" si="4"/>
        <v>0</v>
      </c>
      <c r="AC5" s="41">
        <v>0</v>
      </c>
      <c r="AD5" s="41">
        <v>0</v>
      </c>
      <c r="AE5" s="70">
        <f t="shared" si="5"/>
        <v>0</v>
      </c>
      <c r="AF5" s="28">
        <f t="shared" si="6"/>
        <v>77628993.75</v>
      </c>
      <c r="AG5" s="28">
        <f t="shared" si="7"/>
        <v>75367.955097087382</v>
      </c>
    </row>
    <row r="6" spans="1:38" ht="57.6" x14ac:dyDescent="0.3">
      <c r="A6" s="41" t="s">
        <v>696</v>
      </c>
      <c r="B6" s="41" t="s">
        <v>691</v>
      </c>
      <c r="C6" s="43" t="s">
        <v>657</v>
      </c>
      <c r="D6" s="41" t="s">
        <v>34</v>
      </c>
      <c r="E6" s="41" t="s">
        <v>305</v>
      </c>
      <c r="F6" s="41" t="s">
        <v>712</v>
      </c>
      <c r="G6" s="67">
        <f>1999.2/7</f>
        <v>285.60000000000002</v>
      </c>
      <c r="H6" s="41"/>
      <c r="I6" s="41"/>
      <c r="J6" s="67"/>
      <c r="K6" s="41">
        <f>2*25*9</f>
        <v>450</v>
      </c>
      <c r="L6" s="41">
        <f>5*3</f>
        <v>15</v>
      </c>
      <c r="M6" s="70">
        <f t="shared" si="0"/>
        <v>2120580</v>
      </c>
      <c r="N6" s="41">
        <v>4000</v>
      </c>
      <c r="O6" s="41">
        <v>1</v>
      </c>
      <c r="P6" s="70">
        <f t="shared" si="1"/>
        <v>1382304.0000000002</v>
      </c>
      <c r="Q6" s="41">
        <v>4000</v>
      </c>
      <c r="R6" s="41">
        <v>1</v>
      </c>
      <c r="S6" s="70">
        <f t="shared" si="2"/>
        <v>1520534.4000000006</v>
      </c>
      <c r="T6" s="41">
        <v>4000</v>
      </c>
      <c r="U6" s="41">
        <v>1</v>
      </c>
      <c r="V6" s="70">
        <f t="shared" si="3"/>
        <v>1672587.8400000005</v>
      </c>
      <c r="W6" s="41">
        <f>2*25*9</f>
        <v>450</v>
      </c>
      <c r="X6" s="41">
        <f>5*3</f>
        <v>15</v>
      </c>
      <c r="Y6" s="70">
        <f t="shared" si="8"/>
        <v>3104741.1780000012</v>
      </c>
      <c r="Z6" s="41">
        <v>0</v>
      </c>
      <c r="AA6" s="41">
        <v>0</v>
      </c>
      <c r="AB6" s="70">
        <f t="shared" si="4"/>
        <v>0</v>
      </c>
      <c r="AC6" s="41">
        <v>0</v>
      </c>
      <c r="AD6" s="41">
        <v>0</v>
      </c>
      <c r="AE6" s="70">
        <f t="shared" si="5"/>
        <v>0</v>
      </c>
      <c r="AF6" s="28">
        <f t="shared" si="6"/>
        <v>9800747.4180000015</v>
      </c>
      <c r="AG6" s="28">
        <f t="shared" si="7"/>
        <v>9515.2887553398068</v>
      </c>
    </row>
    <row r="7" spans="1:38" ht="57.6" x14ac:dyDescent="0.3">
      <c r="A7" s="41" t="s">
        <v>696</v>
      </c>
      <c r="B7" s="41" t="s">
        <v>691</v>
      </c>
      <c r="C7" s="43" t="s">
        <v>657</v>
      </c>
      <c r="D7" s="41" t="s">
        <v>34</v>
      </c>
      <c r="E7" s="41" t="s">
        <v>305</v>
      </c>
      <c r="F7" s="41" t="s">
        <v>1299</v>
      </c>
      <c r="G7" s="67">
        <f>1999.2/7</f>
        <v>285.60000000000002</v>
      </c>
      <c r="H7" s="41"/>
      <c r="I7" s="41"/>
      <c r="J7" s="67"/>
      <c r="K7" s="41">
        <f>2*135*9</f>
        <v>2430</v>
      </c>
      <c r="L7" s="41">
        <v>3</v>
      </c>
      <c r="M7" s="70">
        <f t="shared" si="0"/>
        <v>2290226.4000000004</v>
      </c>
      <c r="N7" s="41"/>
      <c r="O7" s="41"/>
      <c r="P7" s="70">
        <f t="shared" si="1"/>
        <v>0</v>
      </c>
      <c r="Q7" s="41"/>
      <c r="R7" s="41"/>
      <c r="S7" s="70">
        <f t="shared" si="2"/>
        <v>0</v>
      </c>
      <c r="T7" s="41"/>
      <c r="U7" s="41"/>
      <c r="V7" s="70">
        <f t="shared" si="3"/>
        <v>0</v>
      </c>
      <c r="W7" s="41">
        <f>2*135*9</f>
        <v>2430</v>
      </c>
      <c r="X7" s="41">
        <v>3</v>
      </c>
      <c r="Y7" s="70">
        <f t="shared" si="8"/>
        <v>3353120.472240001</v>
      </c>
      <c r="Z7" s="41"/>
      <c r="AA7" s="41"/>
      <c r="AB7" s="70">
        <f t="shared" si="4"/>
        <v>0</v>
      </c>
      <c r="AC7" s="41"/>
      <c r="AD7" s="41"/>
      <c r="AE7" s="70">
        <f t="shared" si="5"/>
        <v>0</v>
      </c>
      <c r="AF7" s="28">
        <f t="shared" si="6"/>
        <v>5643346.8722400013</v>
      </c>
      <c r="AG7" s="28">
        <f t="shared" si="7"/>
        <v>5478.9775458640788</v>
      </c>
    </row>
    <row r="8" spans="1:38" ht="57.6" x14ac:dyDescent="0.3">
      <c r="A8" s="41" t="s">
        <v>696</v>
      </c>
      <c r="B8" s="41" t="s">
        <v>691</v>
      </c>
      <c r="C8" s="43" t="s">
        <v>657</v>
      </c>
      <c r="D8" s="41" t="s">
        <v>34</v>
      </c>
      <c r="E8" s="41" t="s">
        <v>150</v>
      </c>
      <c r="F8" s="41" t="s">
        <v>718</v>
      </c>
      <c r="G8" s="67">
        <v>0</v>
      </c>
      <c r="H8" s="41"/>
      <c r="I8" s="41"/>
      <c r="J8" s="67"/>
      <c r="K8" s="41">
        <v>0</v>
      </c>
      <c r="L8" s="41">
        <v>0</v>
      </c>
      <c r="M8" s="70">
        <f t="shared" si="0"/>
        <v>0</v>
      </c>
      <c r="N8" s="41">
        <v>0</v>
      </c>
      <c r="O8" s="41">
        <v>0</v>
      </c>
      <c r="P8" s="70">
        <f t="shared" si="1"/>
        <v>0</v>
      </c>
      <c r="Q8" s="41">
        <v>0</v>
      </c>
      <c r="R8" s="41">
        <v>0</v>
      </c>
      <c r="S8" s="70">
        <f t="shared" si="2"/>
        <v>0</v>
      </c>
      <c r="T8" s="41">
        <v>0</v>
      </c>
      <c r="U8" s="41">
        <v>0</v>
      </c>
      <c r="V8" s="70">
        <f t="shared" si="3"/>
        <v>0</v>
      </c>
      <c r="W8" s="41">
        <v>0</v>
      </c>
      <c r="X8" s="41">
        <v>0</v>
      </c>
      <c r="Y8" s="70">
        <f t="shared" si="8"/>
        <v>0</v>
      </c>
      <c r="Z8" s="41">
        <v>0</v>
      </c>
      <c r="AA8" s="41">
        <v>0</v>
      </c>
      <c r="AB8" s="70">
        <f t="shared" si="4"/>
        <v>0</v>
      </c>
      <c r="AC8" s="41">
        <v>0</v>
      </c>
      <c r="AD8" s="41">
        <v>0</v>
      </c>
      <c r="AE8" s="70">
        <f t="shared" si="5"/>
        <v>0</v>
      </c>
      <c r="AF8" s="28">
        <f t="shared" si="6"/>
        <v>0</v>
      </c>
      <c r="AG8" s="28">
        <f t="shared" si="7"/>
        <v>0</v>
      </c>
    </row>
    <row r="9" spans="1:38" ht="57.6" x14ac:dyDescent="0.3">
      <c r="A9" s="41" t="s">
        <v>696</v>
      </c>
      <c r="B9" s="41" t="s">
        <v>691</v>
      </c>
      <c r="C9" s="43" t="s">
        <v>657</v>
      </c>
      <c r="D9" s="41" t="s">
        <v>34</v>
      </c>
      <c r="E9" s="41" t="s">
        <v>198</v>
      </c>
      <c r="F9" s="41" t="s">
        <v>709</v>
      </c>
      <c r="G9" s="67">
        <v>35000</v>
      </c>
      <c r="H9" s="41"/>
      <c r="I9" s="41"/>
      <c r="J9" s="67"/>
      <c r="K9" s="41">
        <v>25</v>
      </c>
      <c r="L9" s="41">
        <v>5</v>
      </c>
      <c r="M9" s="70">
        <f t="shared" si="0"/>
        <v>4812500</v>
      </c>
      <c r="N9" s="41">
        <v>0</v>
      </c>
      <c r="O9" s="41">
        <v>0</v>
      </c>
      <c r="P9" s="70">
        <f t="shared" si="1"/>
        <v>0</v>
      </c>
      <c r="Q9" s="41">
        <v>0</v>
      </c>
      <c r="R9" s="41">
        <v>0</v>
      </c>
      <c r="S9" s="70">
        <f t="shared" si="2"/>
        <v>0</v>
      </c>
      <c r="T9" s="41">
        <v>0</v>
      </c>
      <c r="U9" s="41">
        <v>0</v>
      </c>
      <c r="V9" s="70">
        <f t="shared" si="3"/>
        <v>0</v>
      </c>
      <c r="W9" s="41">
        <v>25</v>
      </c>
      <c r="X9" s="41">
        <v>5</v>
      </c>
      <c r="Y9" s="70">
        <f t="shared" si="8"/>
        <v>7045981.2500000019</v>
      </c>
      <c r="Z9" s="41">
        <v>0</v>
      </c>
      <c r="AA9" s="41">
        <v>0</v>
      </c>
      <c r="AB9" s="70">
        <f t="shared" si="4"/>
        <v>0</v>
      </c>
      <c r="AC9" s="41">
        <v>0</v>
      </c>
      <c r="AD9" s="41">
        <v>0</v>
      </c>
      <c r="AE9" s="70">
        <f t="shared" si="5"/>
        <v>0</v>
      </c>
      <c r="AF9" s="28">
        <f t="shared" si="6"/>
        <v>11858481.250000002</v>
      </c>
      <c r="AG9" s="28">
        <f t="shared" si="7"/>
        <v>11513.088592233011</v>
      </c>
    </row>
    <row r="10" spans="1:38" ht="57.6" x14ac:dyDescent="0.3">
      <c r="A10" s="41" t="s">
        <v>696</v>
      </c>
      <c r="B10" s="41" t="s">
        <v>691</v>
      </c>
      <c r="C10" s="43" t="s">
        <v>657</v>
      </c>
      <c r="D10" s="41" t="s">
        <v>34</v>
      </c>
      <c r="E10" s="41" t="s">
        <v>198</v>
      </c>
      <c r="F10" s="41" t="s">
        <v>716</v>
      </c>
      <c r="G10" s="67">
        <v>39000</v>
      </c>
      <c r="H10" s="41"/>
      <c r="I10" s="41"/>
      <c r="J10" s="67"/>
      <c r="K10" s="41">
        <v>25</v>
      </c>
      <c r="L10" s="41">
        <v>6</v>
      </c>
      <c r="M10" s="70">
        <f t="shared" si="0"/>
        <v>6435000</v>
      </c>
      <c r="N10" s="41"/>
      <c r="O10" s="41"/>
      <c r="P10" s="70">
        <f t="shared" si="1"/>
        <v>0</v>
      </c>
      <c r="Q10" s="41"/>
      <c r="R10" s="41"/>
      <c r="S10" s="70">
        <f t="shared" si="2"/>
        <v>0</v>
      </c>
      <c r="T10" s="41"/>
      <c r="U10" s="41"/>
      <c r="V10" s="70">
        <f t="shared" si="3"/>
        <v>0</v>
      </c>
      <c r="W10" s="41">
        <v>25</v>
      </c>
      <c r="X10" s="41">
        <v>6</v>
      </c>
      <c r="Y10" s="70">
        <f t="shared" si="8"/>
        <v>9421483.5000000037</v>
      </c>
      <c r="Z10" s="41"/>
      <c r="AA10" s="41"/>
      <c r="AB10" s="70">
        <f t="shared" si="4"/>
        <v>0</v>
      </c>
      <c r="AC10" s="41"/>
      <c r="AD10" s="41"/>
      <c r="AE10" s="70">
        <f t="shared" si="5"/>
        <v>0</v>
      </c>
      <c r="AF10" s="28">
        <f t="shared" si="6"/>
        <v>15856483.500000004</v>
      </c>
      <c r="AG10" s="28">
        <f t="shared" si="7"/>
        <v>15394.644174757284</v>
      </c>
    </row>
    <row r="11" spans="1:38" ht="57.6" x14ac:dyDescent="0.3">
      <c r="A11" s="41" t="s">
        <v>696</v>
      </c>
      <c r="B11" s="41" t="s">
        <v>691</v>
      </c>
      <c r="C11" s="43" t="s">
        <v>657</v>
      </c>
      <c r="D11" s="41" t="s">
        <v>34</v>
      </c>
      <c r="E11" s="41" t="s">
        <v>198</v>
      </c>
      <c r="F11" s="41" t="s">
        <v>712</v>
      </c>
      <c r="G11" s="67">
        <f>1999.2/7</f>
        <v>285.60000000000002</v>
      </c>
      <c r="H11" s="41"/>
      <c r="I11" s="41"/>
      <c r="J11" s="67"/>
      <c r="K11" s="41">
        <f>2*25*9</f>
        <v>450</v>
      </c>
      <c r="L11" s="41">
        <v>5</v>
      </c>
      <c r="M11" s="70">
        <f t="shared" si="0"/>
        <v>706860</v>
      </c>
      <c r="N11" s="41"/>
      <c r="O11" s="41"/>
      <c r="P11" s="70">
        <f t="shared" si="1"/>
        <v>0</v>
      </c>
      <c r="Q11" s="41"/>
      <c r="R11" s="41"/>
      <c r="S11" s="70">
        <f t="shared" si="2"/>
        <v>0</v>
      </c>
      <c r="T11" s="41"/>
      <c r="U11" s="41"/>
      <c r="V11" s="70">
        <f t="shared" si="3"/>
        <v>0</v>
      </c>
      <c r="W11" s="41">
        <f>2*25*9</f>
        <v>450</v>
      </c>
      <c r="X11" s="41">
        <v>5</v>
      </c>
      <c r="Y11" s="70">
        <f t="shared" si="8"/>
        <v>1034913.7260000005</v>
      </c>
      <c r="Z11" s="41"/>
      <c r="AA11" s="41"/>
      <c r="AB11" s="70">
        <f t="shared" si="4"/>
        <v>0</v>
      </c>
      <c r="AC11" s="41"/>
      <c r="AD11" s="41"/>
      <c r="AE11" s="70">
        <f t="shared" si="5"/>
        <v>0</v>
      </c>
      <c r="AF11" s="28">
        <f t="shared" si="6"/>
        <v>1741773.7260000005</v>
      </c>
      <c r="AG11" s="28">
        <f t="shared" si="7"/>
        <v>1691.042452427185</v>
      </c>
    </row>
    <row r="12" spans="1:38" ht="57.6" x14ac:dyDescent="0.3">
      <c r="A12" s="41" t="s">
        <v>696</v>
      </c>
      <c r="B12" s="41" t="s">
        <v>691</v>
      </c>
      <c r="C12" s="43" t="s">
        <v>657</v>
      </c>
      <c r="D12" s="41" t="s">
        <v>34</v>
      </c>
      <c r="E12" s="41" t="s">
        <v>198</v>
      </c>
      <c r="F12" s="41" t="s">
        <v>1299</v>
      </c>
      <c r="G12" s="67">
        <f>1999.2/7</f>
        <v>285.60000000000002</v>
      </c>
      <c r="H12" s="41"/>
      <c r="I12" s="41"/>
      <c r="J12" s="67"/>
      <c r="K12" s="41">
        <f>2*135*9</f>
        <v>2430</v>
      </c>
      <c r="L12" s="41">
        <v>1</v>
      </c>
      <c r="M12" s="70">
        <f t="shared" si="0"/>
        <v>763408.8</v>
      </c>
      <c r="N12" s="41"/>
      <c r="O12" s="41"/>
      <c r="P12" s="70">
        <f t="shared" si="1"/>
        <v>0</v>
      </c>
      <c r="Q12" s="41"/>
      <c r="R12" s="41"/>
      <c r="S12" s="70">
        <f t="shared" si="2"/>
        <v>0</v>
      </c>
      <c r="T12" s="41"/>
      <c r="U12" s="41"/>
      <c r="V12" s="70">
        <f t="shared" si="3"/>
        <v>0</v>
      </c>
      <c r="W12" s="41">
        <f>2*135*9</f>
        <v>2430</v>
      </c>
      <c r="X12" s="41">
        <v>1</v>
      </c>
      <c r="Y12" s="70">
        <f t="shared" si="8"/>
        <v>1117706.8240800004</v>
      </c>
      <c r="Z12" s="41"/>
      <c r="AA12" s="41"/>
      <c r="AB12" s="70">
        <f t="shared" si="4"/>
        <v>0</v>
      </c>
      <c r="AC12" s="41"/>
      <c r="AD12" s="41"/>
      <c r="AE12" s="70">
        <f t="shared" si="5"/>
        <v>0</v>
      </c>
      <c r="AF12" s="28">
        <f t="shared" si="6"/>
        <v>1881115.6240800004</v>
      </c>
      <c r="AG12" s="28">
        <f t="shared" si="7"/>
        <v>1826.3258486213597</v>
      </c>
    </row>
    <row r="13" spans="1:38" ht="57.6" x14ac:dyDescent="0.3">
      <c r="A13" s="41" t="s">
        <v>696</v>
      </c>
      <c r="B13" s="41" t="s">
        <v>691</v>
      </c>
      <c r="C13" s="43" t="s">
        <v>657</v>
      </c>
      <c r="D13" s="41" t="s">
        <v>34</v>
      </c>
      <c r="E13" s="41" t="s">
        <v>151</v>
      </c>
      <c r="F13" s="41" t="s">
        <v>713</v>
      </c>
      <c r="G13" s="67">
        <v>45000</v>
      </c>
      <c r="H13" s="41"/>
      <c r="I13" s="41"/>
      <c r="J13" s="67"/>
      <c r="K13" s="41">
        <v>25</v>
      </c>
      <c r="L13" s="41">
        <v>6</v>
      </c>
      <c r="M13" s="70">
        <f t="shared" si="0"/>
        <v>7425000.0000000019</v>
      </c>
      <c r="N13" s="41">
        <v>15</v>
      </c>
      <c r="O13" s="41">
        <v>10</v>
      </c>
      <c r="P13" s="70">
        <f t="shared" si="1"/>
        <v>8167500.0000000009</v>
      </c>
      <c r="Q13" s="41">
        <v>15</v>
      </c>
      <c r="R13" s="41">
        <v>10</v>
      </c>
      <c r="S13" s="70">
        <f t="shared" si="2"/>
        <v>8984250.0000000037</v>
      </c>
      <c r="T13" s="41">
        <v>15</v>
      </c>
      <c r="U13" s="41">
        <v>10</v>
      </c>
      <c r="V13" s="70">
        <f t="shared" si="3"/>
        <v>9882675.0000000019</v>
      </c>
      <c r="W13" s="41">
        <v>25</v>
      </c>
      <c r="X13" s="41">
        <v>6</v>
      </c>
      <c r="Y13" s="70">
        <f t="shared" si="8"/>
        <v>10870942.500000004</v>
      </c>
      <c r="Z13" s="41">
        <v>0</v>
      </c>
      <c r="AA13" s="41">
        <v>0</v>
      </c>
      <c r="AB13" s="70">
        <f t="shared" si="4"/>
        <v>0</v>
      </c>
      <c r="AC13" s="41">
        <v>0</v>
      </c>
      <c r="AD13" s="41">
        <v>0</v>
      </c>
      <c r="AE13" s="70">
        <f t="shared" si="5"/>
        <v>0</v>
      </c>
      <c r="AF13" s="28">
        <f t="shared" si="6"/>
        <v>45330367.500000015</v>
      </c>
      <c r="AG13" s="28">
        <f t="shared" si="7"/>
        <v>44010.065533980596</v>
      </c>
    </row>
    <row r="14" spans="1:38" ht="57.6" x14ac:dyDescent="0.3">
      <c r="A14" s="41" t="s">
        <v>696</v>
      </c>
      <c r="B14" s="41" t="s">
        <v>691</v>
      </c>
      <c r="C14" s="43" t="s">
        <v>657</v>
      </c>
      <c r="D14" s="41" t="s">
        <v>34</v>
      </c>
      <c r="E14" s="41" t="s">
        <v>151</v>
      </c>
      <c r="F14" s="41" t="s">
        <v>712</v>
      </c>
      <c r="G14" s="67">
        <f>1999.2/7</f>
        <v>285.60000000000002</v>
      </c>
      <c r="H14" s="41"/>
      <c r="I14" s="41"/>
      <c r="J14" s="67"/>
      <c r="K14" s="41">
        <f>2*25*9</f>
        <v>450</v>
      </c>
      <c r="L14" s="41">
        <v>5</v>
      </c>
      <c r="M14" s="70">
        <f t="shared" si="0"/>
        <v>706860</v>
      </c>
      <c r="N14" s="41">
        <v>8000</v>
      </c>
      <c r="O14" s="41">
        <v>1</v>
      </c>
      <c r="P14" s="70">
        <f t="shared" si="1"/>
        <v>2764608.0000000005</v>
      </c>
      <c r="Q14" s="41">
        <v>8000</v>
      </c>
      <c r="R14" s="41">
        <v>1</v>
      </c>
      <c r="S14" s="70">
        <f t="shared" si="2"/>
        <v>3041068.8000000012</v>
      </c>
      <c r="T14" s="41">
        <v>8000</v>
      </c>
      <c r="U14" s="41">
        <v>1</v>
      </c>
      <c r="V14" s="70">
        <f t="shared" si="3"/>
        <v>3345175.6800000011</v>
      </c>
      <c r="W14" s="41">
        <f>2*25*9</f>
        <v>450</v>
      </c>
      <c r="X14" s="41">
        <v>5</v>
      </c>
      <c r="Y14" s="70">
        <f t="shared" si="8"/>
        <v>1034913.7260000005</v>
      </c>
      <c r="Z14" s="41">
        <v>0</v>
      </c>
      <c r="AA14" s="41">
        <v>0</v>
      </c>
      <c r="AB14" s="70">
        <f t="shared" si="4"/>
        <v>0</v>
      </c>
      <c r="AC14" s="41">
        <v>0</v>
      </c>
      <c r="AD14" s="41">
        <v>0</v>
      </c>
      <c r="AE14" s="70">
        <f t="shared" si="5"/>
        <v>0</v>
      </c>
      <c r="AF14" s="28">
        <f t="shared" si="6"/>
        <v>10892626.206000002</v>
      </c>
      <c r="AG14" s="28">
        <f t="shared" si="7"/>
        <v>10575.365248543691</v>
      </c>
    </row>
    <row r="15" spans="1:38" ht="57.6" x14ac:dyDescent="0.3">
      <c r="A15" s="41" t="s">
        <v>696</v>
      </c>
      <c r="B15" s="41" t="s">
        <v>691</v>
      </c>
      <c r="C15" s="43" t="s">
        <v>657</v>
      </c>
      <c r="D15" s="41" t="s">
        <v>34</v>
      </c>
      <c r="E15" s="41" t="s">
        <v>151</v>
      </c>
      <c r="F15" s="41" t="s">
        <v>1299</v>
      </c>
      <c r="G15" s="67">
        <f>1999.2/7</f>
        <v>285.60000000000002</v>
      </c>
      <c r="H15" s="41"/>
      <c r="I15" s="41"/>
      <c r="J15" s="67"/>
      <c r="K15" s="41">
        <f>2*135*9</f>
        <v>2430</v>
      </c>
      <c r="L15" s="41">
        <v>1</v>
      </c>
      <c r="M15" s="70">
        <f t="shared" si="0"/>
        <v>763408.8</v>
      </c>
      <c r="N15" s="41"/>
      <c r="O15" s="41"/>
      <c r="P15" s="70">
        <f t="shared" si="1"/>
        <v>0</v>
      </c>
      <c r="Q15" s="41"/>
      <c r="R15" s="41"/>
      <c r="S15" s="70">
        <f t="shared" si="2"/>
        <v>0</v>
      </c>
      <c r="T15" s="41"/>
      <c r="U15" s="41"/>
      <c r="V15" s="70">
        <f t="shared" si="3"/>
        <v>0</v>
      </c>
      <c r="W15" s="41">
        <f>2*135*9</f>
        <v>2430</v>
      </c>
      <c r="X15" s="41">
        <v>1</v>
      </c>
      <c r="Y15" s="70">
        <f t="shared" si="8"/>
        <v>1117706.8240800004</v>
      </c>
      <c r="Z15" s="41"/>
      <c r="AA15" s="41"/>
      <c r="AB15" s="70">
        <f t="shared" si="4"/>
        <v>0</v>
      </c>
      <c r="AC15" s="41"/>
      <c r="AD15" s="41"/>
      <c r="AE15" s="70">
        <f t="shared" si="5"/>
        <v>0</v>
      </c>
      <c r="AF15" s="28">
        <f t="shared" si="6"/>
        <v>1881115.6240800004</v>
      </c>
      <c r="AG15" s="28">
        <f t="shared" si="7"/>
        <v>1826.3258486213597</v>
      </c>
    </row>
    <row r="16" spans="1:38" ht="57.6" x14ac:dyDescent="0.3">
      <c r="A16" s="41" t="s">
        <v>696</v>
      </c>
      <c r="B16" s="41" t="s">
        <v>691</v>
      </c>
      <c r="C16" s="43" t="s">
        <v>657</v>
      </c>
      <c r="D16" s="41" t="s">
        <v>34</v>
      </c>
      <c r="E16" s="41" t="s">
        <v>151</v>
      </c>
      <c r="F16" s="41" t="s">
        <v>714</v>
      </c>
      <c r="G16" s="67">
        <v>10000</v>
      </c>
      <c r="H16" s="41"/>
      <c r="I16" s="41"/>
      <c r="J16" s="67"/>
      <c r="K16" s="41">
        <v>25</v>
      </c>
      <c r="L16" s="41">
        <v>0</v>
      </c>
      <c r="M16" s="70">
        <f t="shared" si="0"/>
        <v>0</v>
      </c>
      <c r="N16" s="41">
        <v>15</v>
      </c>
      <c r="O16" s="41">
        <v>1</v>
      </c>
      <c r="P16" s="70">
        <f t="shared" si="1"/>
        <v>181500.00000000003</v>
      </c>
      <c r="Q16" s="41">
        <v>15</v>
      </c>
      <c r="R16" s="41">
        <v>1</v>
      </c>
      <c r="S16" s="70">
        <f t="shared" si="2"/>
        <v>199650.00000000006</v>
      </c>
      <c r="T16" s="41">
        <v>15</v>
      </c>
      <c r="U16" s="41">
        <v>1</v>
      </c>
      <c r="V16" s="70">
        <f t="shared" si="3"/>
        <v>219615.00000000006</v>
      </c>
      <c r="W16" s="41">
        <v>25</v>
      </c>
      <c r="X16" s="41">
        <v>0</v>
      </c>
      <c r="Y16" s="70">
        <f t="shared" si="8"/>
        <v>0</v>
      </c>
      <c r="Z16" s="41">
        <v>0</v>
      </c>
      <c r="AA16" s="41">
        <v>0</v>
      </c>
      <c r="AB16" s="70">
        <f t="shared" si="4"/>
        <v>0</v>
      </c>
      <c r="AC16" s="41">
        <v>0</v>
      </c>
      <c r="AD16" s="41">
        <v>0</v>
      </c>
      <c r="AE16" s="70">
        <f t="shared" si="5"/>
        <v>0</v>
      </c>
      <c r="AF16" s="28">
        <f t="shared" si="6"/>
        <v>600765.00000000023</v>
      </c>
      <c r="AG16" s="28">
        <f t="shared" si="7"/>
        <v>583.26699029126235</v>
      </c>
    </row>
    <row r="17" spans="1:33" ht="57.6" x14ac:dyDescent="0.3">
      <c r="A17" s="41" t="s">
        <v>696</v>
      </c>
      <c r="B17" s="41" t="s">
        <v>691</v>
      </c>
      <c r="C17" s="43" t="s">
        <v>657</v>
      </c>
      <c r="D17" s="41" t="s">
        <v>34</v>
      </c>
      <c r="E17" s="41" t="s">
        <v>151</v>
      </c>
      <c r="F17" s="41" t="s">
        <v>715</v>
      </c>
      <c r="G17" s="67">
        <v>302000</v>
      </c>
      <c r="H17" s="41"/>
      <c r="I17" s="41"/>
      <c r="J17" s="67"/>
      <c r="K17" s="41">
        <v>25</v>
      </c>
      <c r="L17" s="41">
        <v>0</v>
      </c>
      <c r="M17" s="70">
        <f t="shared" si="0"/>
        <v>0</v>
      </c>
      <c r="N17" s="41">
        <v>20</v>
      </c>
      <c r="O17" s="41">
        <v>1</v>
      </c>
      <c r="P17" s="70">
        <f t="shared" si="1"/>
        <v>7308400.0000000009</v>
      </c>
      <c r="Q17" s="41">
        <v>20</v>
      </c>
      <c r="R17" s="41">
        <v>1</v>
      </c>
      <c r="S17" s="70">
        <f t="shared" si="2"/>
        <v>8039240.0000000019</v>
      </c>
      <c r="T17" s="41">
        <v>20</v>
      </c>
      <c r="U17" s="41">
        <v>1</v>
      </c>
      <c r="V17" s="70">
        <f t="shared" si="3"/>
        <v>8843164.0000000019</v>
      </c>
      <c r="W17" s="41">
        <v>25</v>
      </c>
      <c r="X17" s="41">
        <v>0</v>
      </c>
      <c r="Y17" s="70">
        <f t="shared" si="8"/>
        <v>0</v>
      </c>
      <c r="Z17" s="41">
        <v>0</v>
      </c>
      <c r="AA17" s="41">
        <v>0</v>
      </c>
      <c r="AB17" s="70">
        <f t="shared" si="4"/>
        <v>0</v>
      </c>
      <c r="AC17" s="41">
        <v>0</v>
      </c>
      <c r="AD17" s="41">
        <v>0</v>
      </c>
      <c r="AE17" s="70">
        <f t="shared" si="5"/>
        <v>0</v>
      </c>
      <c r="AF17" s="28">
        <f t="shared" si="6"/>
        <v>24190804.000000007</v>
      </c>
      <c r="AG17" s="28">
        <f t="shared" si="7"/>
        <v>23486.217475728161</v>
      </c>
    </row>
    <row r="18" spans="1:33" ht="57.6" x14ac:dyDescent="0.3">
      <c r="A18" s="41" t="s">
        <v>696</v>
      </c>
      <c r="B18" s="41" t="s">
        <v>691</v>
      </c>
      <c r="C18" s="43" t="s">
        <v>657</v>
      </c>
      <c r="D18" s="41" t="s">
        <v>34</v>
      </c>
      <c r="E18" s="41" t="s">
        <v>159</v>
      </c>
      <c r="F18" s="41" t="s">
        <v>716</v>
      </c>
      <c r="G18" s="67">
        <v>39000</v>
      </c>
      <c r="H18" s="41"/>
      <c r="I18" s="41"/>
      <c r="J18" s="67"/>
      <c r="K18" s="41">
        <v>25</v>
      </c>
      <c r="L18" s="41">
        <v>6</v>
      </c>
      <c r="M18" s="70">
        <f t="shared" si="0"/>
        <v>6435000</v>
      </c>
      <c r="N18" s="41">
        <v>15</v>
      </c>
      <c r="O18" s="41">
        <v>5</v>
      </c>
      <c r="P18" s="70">
        <f t="shared" si="1"/>
        <v>3539250.0000000005</v>
      </c>
      <c r="Q18" s="41">
        <v>15</v>
      </c>
      <c r="R18" s="41">
        <v>5</v>
      </c>
      <c r="S18" s="70">
        <f t="shared" si="2"/>
        <v>3893175.0000000009</v>
      </c>
      <c r="T18" s="41">
        <v>15</v>
      </c>
      <c r="U18" s="41">
        <v>5</v>
      </c>
      <c r="V18" s="70">
        <f t="shared" si="3"/>
        <v>4282492.5000000009</v>
      </c>
      <c r="W18" s="41">
        <v>25</v>
      </c>
      <c r="X18" s="41">
        <v>6</v>
      </c>
      <c r="Y18" s="70">
        <f t="shared" si="8"/>
        <v>9421483.5000000037</v>
      </c>
      <c r="Z18" s="41">
        <v>0</v>
      </c>
      <c r="AA18" s="41">
        <v>0</v>
      </c>
      <c r="AB18" s="70">
        <f t="shared" si="4"/>
        <v>0</v>
      </c>
      <c r="AC18" s="41">
        <v>0</v>
      </c>
      <c r="AD18" s="41">
        <v>0</v>
      </c>
      <c r="AE18" s="70">
        <f t="shared" si="5"/>
        <v>0</v>
      </c>
      <c r="AF18" s="28">
        <f t="shared" si="6"/>
        <v>27571401.000000004</v>
      </c>
      <c r="AG18" s="28">
        <f t="shared" si="7"/>
        <v>26768.350485436898</v>
      </c>
    </row>
    <row r="19" spans="1:33" ht="57.6" x14ac:dyDescent="0.3">
      <c r="A19" s="41" t="s">
        <v>696</v>
      </c>
      <c r="B19" s="41" t="s">
        <v>691</v>
      </c>
      <c r="C19" s="43" t="s">
        <v>657</v>
      </c>
      <c r="D19" s="41" t="s">
        <v>34</v>
      </c>
      <c r="E19" s="41" t="s">
        <v>159</v>
      </c>
      <c r="F19" s="41" t="s">
        <v>709</v>
      </c>
      <c r="G19" s="67">
        <v>35000</v>
      </c>
      <c r="H19" s="41"/>
      <c r="I19" s="41"/>
      <c r="J19" s="67"/>
      <c r="K19" s="41">
        <v>25</v>
      </c>
      <c r="L19" s="41">
        <v>5</v>
      </c>
      <c r="M19" s="70">
        <f t="shared" si="0"/>
        <v>4812500</v>
      </c>
      <c r="N19" s="41">
        <v>15</v>
      </c>
      <c r="O19" s="41">
        <v>5</v>
      </c>
      <c r="P19" s="70">
        <f t="shared" si="1"/>
        <v>3176250.0000000005</v>
      </c>
      <c r="Q19" s="41">
        <v>15</v>
      </c>
      <c r="R19" s="41">
        <v>5</v>
      </c>
      <c r="S19" s="70">
        <f t="shared" si="2"/>
        <v>3493875.0000000009</v>
      </c>
      <c r="T19" s="41">
        <v>15</v>
      </c>
      <c r="U19" s="41">
        <v>5</v>
      </c>
      <c r="V19" s="70">
        <f t="shared" si="3"/>
        <v>3843262.5000000009</v>
      </c>
      <c r="W19" s="41">
        <v>25</v>
      </c>
      <c r="X19" s="41">
        <v>5</v>
      </c>
      <c r="Y19" s="70">
        <f t="shared" si="8"/>
        <v>7045981.2500000019</v>
      </c>
      <c r="Z19" s="41">
        <v>0</v>
      </c>
      <c r="AA19" s="41">
        <v>0</v>
      </c>
      <c r="AB19" s="70">
        <f t="shared" si="4"/>
        <v>0</v>
      </c>
      <c r="AC19" s="41">
        <v>0</v>
      </c>
      <c r="AD19" s="41">
        <v>0</v>
      </c>
      <c r="AE19" s="70">
        <f t="shared" si="5"/>
        <v>0</v>
      </c>
      <c r="AF19" s="28">
        <f t="shared" si="6"/>
        <v>22371868.75</v>
      </c>
      <c r="AG19" s="28">
        <f t="shared" si="7"/>
        <v>21720.260922330097</v>
      </c>
    </row>
    <row r="20" spans="1:33" ht="57.6" x14ac:dyDescent="0.3">
      <c r="A20" s="41" t="s">
        <v>696</v>
      </c>
      <c r="B20" s="41" t="s">
        <v>691</v>
      </c>
      <c r="C20" s="43" t="s">
        <v>657</v>
      </c>
      <c r="D20" s="41" t="s">
        <v>34</v>
      </c>
      <c r="E20" s="41" t="s">
        <v>159</v>
      </c>
      <c r="F20" s="41" t="s">
        <v>712</v>
      </c>
      <c r="G20" s="67">
        <f>1999.2/7</f>
        <v>285.60000000000002</v>
      </c>
      <c r="H20" s="41"/>
      <c r="I20" s="41"/>
      <c r="J20" s="67"/>
      <c r="K20" s="41">
        <f>2*25*9</f>
        <v>450</v>
      </c>
      <c r="L20" s="41">
        <v>5</v>
      </c>
      <c r="M20" s="70">
        <f t="shared" si="0"/>
        <v>706860</v>
      </c>
      <c r="N20" s="41">
        <v>4000</v>
      </c>
      <c r="O20" s="41">
        <v>1</v>
      </c>
      <c r="P20" s="70">
        <f t="shared" si="1"/>
        <v>1382304.0000000002</v>
      </c>
      <c r="Q20" s="41">
        <v>4000</v>
      </c>
      <c r="R20" s="41">
        <v>1</v>
      </c>
      <c r="S20" s="70">
        <f t="shared" si="2"/>
        <v>1520534.4000000006</v>
      </c>
      <c r="T20" s="41">
        <v>4000</v>
      </c>
      <c r="U20" s="41">
        <v>1</v>
      </c>
      <c r="V20" s="70">
        <f t="shared" si="3"/>
        <v>1672587.8400000005</v>
      </c>
      <c r="W20" s="41">
        <f>2*25*9</f>
        <v>450</v>
      </c>
      <c r="X20" s="41">
        <v>5</v>
      </c>
      <c r="Y20" s="70">
        <f t="shared" si="8"/>
        <v>1034913.7260000005</v>
      </c>
      <c r="Z20" s="41">
        <v>0</v>
      </c>
      <c r="AA20" s="41">
        <v>0</v>
      </c>
      <c r="AB20" s="70">
        <f t="shared" si="4"/>
        <v>0</v>
      </c>
      <c r="AC20" s="41">
        <v>0</v>
      </c>
      <c r="AD20" s="41">
        <v>0</v>
      </c>
      <c r="AE20" s="70">
        <f t="shared" si="5"/>
        <v>0</v>
      </c>
      <c r="AF20" s="28">
        <f t="shared" si="6"/>
        <v>6317199.9660000019</v>
      </c>
      <c r="AG20" s="28">
        <f t="shared" si="7"/>
        <v>6133.203850485439</v>
      </c>
    </row>
    <row r="21" spans="1:33" ht="57.6" x14ac:dyDescent="0.3">
      <c r="A21" s="41" t="s">
        <v>696</v>
      </c>
      <c r="B21" s="41" t="s">
        <v>691</v>
      </c>
      <c r="C21" s="43" t="s">
        <v>657</v>
      </c>
      <c r="D21" s="41" t="s">
        <v>34</v>
      </c>
      <c r="E21" s="41" t="s">
        <v>159</v>
      </c>
      <c r="F21" s="41" t="s">
        <v>1299</v>
      </c>
      <c r="G21" s="67">
        <f>1999.2/7</f>
        <v>285.60000000000002</v>
      </c>
      <c r="H21" s="41"/>
      <c r="I21" s="41"/>
      <c r="J21" s="67"/>
      <c r="K21" s="41">
        <f>2*135*9</f>
        <v>2430</v>
      </c>
      <c r="L21" s="41">
        <v>1</v>
      </c>
      <c r="M21" s="70">
        <f t="shared" si="0"/>
        <v>763408.8</v>
      </c>
      <c r="N21" s="41"/>
      <c r="O21" s="41"/>
      <c r="P21" s="70">
        <f t="shared" si="1"/>
        <v>0</v>
      </c>
      <c r="Q21" s="41"/>
      <c r="R21" s="41"/>
      <c r="S21" s="70">
        <f t="shared" si="2"/>
        <v>0</v>
      </c>
      <c r="T21" s="41"/>
      <c r="U21" s="41"/>
      <c r="V21" s="70">
        <f t="shared" si="3"/>
        <v>0</v>
      </c>
      <c r="W21" s="41">
        <f>2*135*9</f>
        <v>2430</v>
      </c>
      <c r="X21" s="41">
        <v>1</v>
      </c>
      <c r="Y21" s="70">
        <f t="shared" si="8"/>
        <v>1117706.8240800004</v>
      </c>
      <c r="Z21" s="41"/>
      <c r="AA21" s="41"/>
      <c r="AB21" s="70">
        <f t="shared" si="4"/>
        <v>0</v>
      </c>
      <c r="AC21" s="41"/>
      <c r="AD21" s="41"/>
      <c r="AE21" s="70">
        <f t="shared" si="5"/>
        <v>0</v>
      </c>
      <c r="AF21" s="28">
        <f t="shared" si="6"/>
        <v>1881115.6240800004</v>
      </c>
      <c r="AG21" s="28">
        <f t="shared" si="7"/>
        <v>1826.3258486213597</v>
      </c>
    </row>
    <row r="22" spans="1:33" ht="57.6" x14ac:dyDescent="0.3">
      <c r="A22" s="41" t="s">
        <v>696</v>
      </c>
      <c r="B22" s="41" t="s">
        <v>691</v>
      </c>
      <c r="C22" s="43" t="s">
        <v>657</v>
      </c>
      <c r="D22" s="41" t="s">
        <v>34</v>
      </c>
      <c r="E22" s="41" t="s">
        <v>153</v>
      </c>
      <c r="F22" s="41" t="s">
        <v>716</v>
      </c>
      <c r="G22" s="67">
        <v>39000</v>
      </c>
      <c r="H22" s="41"/>
      <c r="I22" s="41"/>
      <c r="J22" s="67"/>
      <c r="K22" s="41">
        <v>25</v>
      </c>
      <c r="L22" s="41">
        <v>6</v>
      </c>
      <c r="M22" s="70">
        <f t="shared" si="0"/>
        <v>6435000</v>
      </c>
      <c r="N22" s="41">
        <v>15</v>
      </c>
      <c r="O22" s="41">
        <v>5</v>
      </c>
      <c r="P22" s="70">
        <f t="shared" si="1"/>
        <v>3539250.0000000005</v>
      </c>
      <c r="Q22" s="41">
        <v>15</v>
      </c>
      <c r="R22" s="41">
        <v>5</v>
      </c>
      <c r="S22" s="70">
        <f t="shared" si="2"/>
        <v>3893175.0000000009</v>
      </c>
      <c r="T22" s="41">
        <v>15</v>
      </c>
      <c r="U22" s="41">
        <v>5</v>
      </c>
      <c r="V22" s="70">
        <f t="shared" si="3"/>
        <v>4282492.5000000009</v>
      </c>
      <c r="W22" s="41">
        <v>25</v>
      </c>
      <c r="X22" s="41">
        <v>6</v>
      </c>
      <c r="Y22" s="70">
        <f t="shared" si="8"/>
        <v>9421483.5000000037</v>
      </c>
      <c r="Z22" s="41">
        <v>0</v>
      </c>
      <c r="AA22" s="41">
        <v>0</v>
      </c>
      <c r="AB22" s="70">
        <f t="shared" si="4"/>
        <v>0</v>
      </c>
      <c r="AC22" s="41">
        <v>0</v>
      </c>
      <c r="AD22" s="41">
        <v>0</v>
      </c>
      <c r="AE22" s="70">
        <f t="shared" si="5"/>
        <v>0</v>
      </c>
      <c r="AF22" s="28">
        <f t="shared" si="6"/>
        <v>27571401.000000004</v>
      </c>
      <c r="AG22" s="28">
        <f t="shared" si="7"/>
        <v>26768.350485436898</v>
      </c>
    </row>
    <row r="23" spans="1:33" ht="57.6" x14ac:dyDescent="0.3">
      <c r="A23" s="41" t="s">
        <v>696</v>
      </c>
      <c r="B23" s="41" t="s">
        <v>691</v>
      </c>
      <c r="C23" s="43" t="s">
        <v>657</v>
      </c>
      <c r="D23" s="41" t="s">
        <v>34</v>
      </c>
      <c r="E23" s="41" t="s">
        <v>153</v>
      </c>
      <c r="F23" s="41" t="s">
        <v>709</v>
      </c>
      <c r="G23" s="67">
        <v>35000</v>
      </c>
      <c r="H23" s="41"/>
      <c r="I23" s="41"/>
      <c r="J23" s="67"/>
      <c r="K23" s="41">
        <v>25</v>
      </c>
      <c r="L23" s="41">
        <v>5</v>
      </c>
      <c r="M23" s="70">
        <f t="shared" si="0"/>
        <v>4812500</v>
      </c>
      <c r="N23" s="41">
        <v>15</v>
      </c>
      <c r="O23" s="41">
        <v>5</v>
      </c>
      <c r="P23" s="70">
        <f t="shared" si="1"/>
        <v>3176250.0000000005</v>
      </c>
      <c r="Q23" s="41">
        <v>15</v>
      </c>
      <c r="R23" s="41">
        <v>5</v>
      </c>
      <c r="S23" s="70">
        <f t="shared" si="2"/>
        <v>3493875.0000000009</v>
      </c>
      <c r="T23" s="41">
        <v>15</v>
      </c>
      <c r="U23" s="41">
        <v>5</v>
      </c>
      <c r="V23" s="70">
        <f t="shared" si="3"/>
        <v>3843262.5000000009</v>
      </c>
      <c r="W23" s="41">
        <v>25</v>
      </c>
      <c r="X23" s="41">
        <v>5</v>
      </c>
      <c r="Y23" s="70">
        <f t="shared" si="8"/>
        <v>7045981.2500000019</v>
      </c>
      <c r="Z23" s="41">
        <v>0</v>
      </c>
      <c r="AA23" s="41">
        <v>0</v>
      </c>
      <c r="AB23" s="70">
        <f t="shared" si="4"/>
        <v>0</v>
      </c>
      <c r="AC23" s="41">
        <v>0</v>
      </c>
      <c r="AD23" s="41">
        <v>0</v>
      </c>
      <c r="AE23" s="70">
        <f t="shared" si="5"/>
        <v>0</v>
      </c>
      <c r="AF23" s="28">
        <f t="shared" si="6"/>
        <v>22371868.75</v>
      </c>
      <c r="AG23" s="28">
        <f t="shared" si="7"/>
        <v>21720.260922330097</v>
      </c>
    </row>
    <row r="24" spans="1:33" ht="57.6" x14ac:dyDescent="0.3">
      <c r="A24" s="41" t="s">
        <v>696</v>
      </c>
      <c r="B24" s="41" t="s">
        <v>691</v>
      </c>
      <c r="C24" s="43" t="s">
        <v>657</v>
      </c>
      <c r="D24" s="41" t="s">
        <v>34</v>
      </c>
      <c r="E24" s="41" t="s">
        <v>153</v>
      </c>
      <c r="F24" s="41" t="s">
        <v>712</v>
      </c>
      <c r="G24" s="67">
        <f>1999.2/7</f>
        <v>285.60000000000002</v>
      </c>
      <c r="H24" s="41"/>
      <c r="I24" s="41"/>
      <c r="J24" s="67"/>
      <c r="K24" s="41">
        <f>2*25*9</f>
        <v>450</v>
      </c>
      <c r="L24" s="41">
        <v>5</v>
      </c>
      <c r="M24" s="70">
        <f t="shared" si="0"/>
        <v>706860</v>
      </c>
      <c r="N24" s="41">
        <v>4000</v>
      </c>
      <c r="O24" s="41">
        <v>1</v>
      </c>
      <c r="P24" s="70">
        <f t="shared" si="1"/>
        <v>1382304.0000000002</v>
      </c>
      <c r="Q24" s="41">
        <v>4000</v>
      </c>
      <c r="R24" s="41">
        <v>1</v>
      </c>
      <c r="S24" s="70">
        <f t="shared" si="2"/>
        <v>1520534.4000000006</v>
      </c>
      <c r="T24" s="41">
        <v>4000</v>
      </c>
      <c r="U24" s="41">
        <v>1</v>
      </c>
      <c r="V24" s="70">
        <f t="shared" si="3"/>
        <v>1672587.8400000005</v>
      </c>
      <c r="W24" s="41">
        <f>2*25*9</f>
        <v>450</v>
      </c>
      <c r="X24" s="41">
        <v>5</v>
      </c>
      <c r="Y24" s="70">
        <f t="shared" si="8"/>
        <v>1034913.7260000005</v>
      </c>
      <c r="Z24" s="41">
        <v>0</v>
      </c>
      <c r="AA24" s="41">
        <v>0</v>
      </c>
      <c r="AB24" s="70">
        <f t="shared" si="4"/>
        <v>0</v>
      </c>
      <c r="AC24" s="41">
        <v>0</v>
      </c>
      <c r="AD24" s="41">
        <v>0</v>
      </c>
      <c r="AE24" s="70">
        <f t="shared" si="5"/>
        <v>0</v>
      </c>
      <c r="AF24" s="28">
        <f t="shared" si="6"/>
        <v>6317199.9660000019</v>
      </c>
      <c r="AG24" s="28">
        <f t="shared" si="7"/>
        <v>6133.203850485439</v>
      </c>
    </row>
    <row r="25" spans="1:33" ht="57.6" x14ac:dyDescent="0.3">
      <c r="A25" s="41" t="s">
        <v>696</v>
      </c>
      <c r="B25" s="41" t="s">
        <v>691</v>
      </c>
      <c r="C25" s="43" t="s">
        <v>657</v>
      </c>
      <c r="D25" s="41" t="s">
        <v>34</v>
      </c>
      <c r="E25" s="41" t="s">
        <v>153</v>
      </c>
      <c r="F25" s="41" t="s">
        <v>1299</v>
      </c>
      <c r="G25" s="67">
        <f>1999.2/7</f>
        <v>285.60000000000002</v>
      </c>
      <c r="H25" s="41"/>
      <c r="I25" s="41"/>
      <c r="J25" s="67"/>
      <c r="K25" s="41">
        <f>2*135*9</f>
        <v>2430</v>
      </c>
      <c r="L25" s="41">
        <v>1</v>
      </c>
      <c r="M25" s="70">
        <f t="shared" si="0"/>
        <v>763408.8</v>
      </c>
      <c r="N25" s="41"/>
      <c r="O25" s="41"/>
      <c r="P25" s="70">
        <f t="shared" si="1"/>
        <v>0</v>
      </c>
      <c r="Q25" s="41"/>
      <c r="R25" s="41"/>
      <c r="S25" s="70">
        <f t="shared" si="2"/>
        <v>0</v>
      </c>
      <c r="T25" s="41"/>
      <c r="U25" s="41"/>
      <c r="V25" s="70">
        <f t="shared" si="3"/>
        <v>0</v>
      </c>
      <c r="W25" s="41">
        <f>2*135*9</f>
        <v>2430</v>
      </c>
      <c r="X25" s="41">
        <v>1</v>
      </c>
      <c r="Y25" s="70">
        <f t="shared" si="8"/>
        <v>1117706.8240800004</v>
      </c>
      <c r="Z25" s="41"/>
      <c r="AA25" s="41"/>
      <c r="AB25" s="70">
        <f t="shared" si="4"/>
        <v>0</v>
      </c>
      <c r="AC25" s="41"/>
      <c r="AD25" s="41"/>
      <c r="AE25" s="70">
        <f t="shared" si="5"/>
        <v>0</v>
      </c>
      <c r="AF25" s="28">
        <f t="shared" si="6"/>
        <v>1881115.6240800004</v>
      </c>
      <c r="AG25" s="28">
        <f t="shared" si="7"/>
        <v>1826.3258486213597</v>
      </c>
    </row>
    <row r="26" spans="1:33" ht="57.6" x14ac:dyDescent="0.3">
      <c r="A26" s="41" t="s">
        <v>696</v>
      </c>
      <c r="B26" s="41" t="s">
        <v>691</v>
      </c>
      <c r="C26" s="43" t="s">
        <v>657</v>
      </c>
      <c r="D26" s="41" t="s">
        <v>34</v>
      </c>
      <c r="E26" s="41" t="s">
        <v>306</v>
      </c>
      <c r="F26" s="41" t="s">
        <v>716</v>
      </c>
      <c r="G26" s="67">
        <v>39000</v>
      </c>
      <c r="H26" s="41"/>
      <c r="I26" s="41"/>
      <c r="J26" s="67"/>
      <c r="K26" s="41">
        <v>58</v>
      </c>
      <c r="L26" s="41">
        <v>6</v>
      </c>
      <c r="M26" s="70">
        <f t="shared" si="0"/>
        <v>14929200</v>
      </c>
      <c r="N26" s="41">
        <v>15</v>
      </c>
      <c r="O26" s="41">
        <v>1</v>
      </c>
      <c r="P26" s="70">
        <f t="shared" si="1"/>
        <v>707850.00000000012</v>
      </c>
      <c r="Q26" s="41">
        <v>15</v>
      </c>
      <c r="R26" s="41">
        <v>1</v>
      </c>
      <c r="S26" s="70">
        <f t="shared" si="2"/>
        <v>778635.00000000023</v>
      </c>
      <c r="T26" s="41">
        <v>15</v>
      </c>
      <c r="U26" s="41">
        <v>1</v>
      </c>
      <c r="V26" s="70">
        <f t="shared" si="3"/>
        <v>856498.50000000023</v>
      </c>
      <c r="W26" s="41">
        <v>58</v>
      </c>
      <c r="X26" s="41">
        <v>6</v>
      </c>
      <c r="Y26" s="70">
        <f t="shared" si="8"/>
        <v>21857841.720000006</v>
      </c>
      <c r="Z26" s="41">
        <v>0</v>
      </c>
      <c r="AA26" s="41">
        <v>0</v>
      </c>
      <c r="AB26" s="70">
        <f t="shared" si="4"/>
        <v>0</v>
      </c>
      <c r="AC26" s="41">
        <v>0</v>
      </c>
      <c r="AD26" s="41">
        <v>0</v>
      </c>
      <c r="AE26" s="70">
        <f t="shared" si="5"/>
        <v>0</v>
      </c>
      <c r="AF26" s="28">
        <f t="shared" si="6"/>
        <v>39130025.220000006</v>
      </c>
      <c r="AG26" s="28">
        <f t="shared" si="7"/>
        <v>37990.315747572822</v>
      </c>
    </row>
    <row r="27" spans="1:33" ht="57.6" x14ac:dyDescent="0.3">
      <c r="A27" s="41" t="s">
        <v>696</v>
      </c>
      <c r="B27" s="41" t="s">
        <v>691</v>
      </c>
      <c r="C27" s="43" t="s">
        <v>657</v>
      </c>
      <c r="D27" s="41" t="s">
        <v>34</v>
      </c>
      <c r="E27" s="41" t="s">
        <v>306</v>
      </c>
      <c r="F27" s="41" t="s">
        <v>709</v>
      </c>
      <c r="G27" s="67">
        <v>35000</v>
      </c>
      <c r="H27" s="41">
        <v>100</v>
      </c>
      <c r="I27" s="41">
        <v>5</v>
      </c>
      <c r="J27" s="67">
        <f>G27*H27*I27</f>
        <v>17500000</v>
      </c>
      <c r="K27" s="41">
        <v>100</v>
      </c>
      <c r="L27" s="41">
        <v>5</v>
      </c>
      <c r="M27" s="70">
        <f t="shared" si="0"/>
        <v>19250000</v>
      </c>
      <c r="N27" s="41">
        <v>30</v>
      </c>
      <c r="O27" s="41">
        <v>1</v>
      </c>
      <c r="P27" s="70">
        <f t="shared" si="1"/>
        <v>1270500.0000000002</v>
      </c>
      <c r="Q27" s="41">
        <v>30</v>
      </c>
      <c r="R27" s="41">
        <v>1</v>
      </c>
      <c r="S27" s="70">
        <f t="shared" si="2"/>
        <v>1397550.0000000005</v>
      </c>
      <c r="T27" s="41">
        <v>30</v>
      </c>
      <c r="U27" s="41">
        <v>1</v>
      </c>
      <c r="V27" s="70">
        <f t="shared" si="3"/>
        <v>1537305.0000000005</v>
      </c>
      <c r="W27" s="41">
        <v>100</v>
      </c>
      <c r="X27" s="41">
        <v>5</v>
      </c>
      <c r="Y27" s="70">
        <f t="shared" si="8"/>
        <v>28183925.000000007</v>
      </c>
      <c r="Z27" s="41">
        <v>0</v>
      </c>
      <c r="AA27" s="41">
        <v>0</v>
      </c>
      <c r="AB27" s="70">
        <f t="shared" si="4"/>
        <v>0</v>
      </c>
      <c r="AC27" s="41">
        <v>0</v>
      </c>
      <c r="AD27" s="41">
        <v>0</v>
      </c>
      <c r="AE27" s="70">
        <f t="shared" si="5"/>
        <v>0</v>
      </c>
      <c r="AF27" s="28">
        <f t="shared" si="6"/>
        <v>69139280</v>
      </c>
      <c r="AG27" s="28">
        <f t="shared" si="7"/>
        <v>67125.514563106801</v>
      </c>
    </row>
    <row r="28" spans="1:33" ht="57.6" x14ac:dyDescent="0.3">
      <c r="A28" s="41" t="s">
        <v>696</v>
      </c>
      <c r="B28" s="41" t="s">
        <v>691</v>
      </c>
      <c r="C28" s="43" t="s">
        <v>657</v>
      </c>
      <c r="D28" s="41" t="s">
        <v>34</v>
      </c>
      <c r="E28" s="41" t="s">
        <v>306</v>
      </c>
      <c r="F28" s="41" t="s">
        <v>712</v>
      </c>
      <c r="G28" s="67">
        <f>1999.2/7</f>
        <v>285.60000000000002</v>
      </c>
      <c r="H28" s="41">
        <f>2*25*29</f>
        <v>1450</v>
      </c>
      <c r="I28" s="41">
        <v>5</v>
      </c>
      <c r="J28" s="67">
        <f>G28*H28*I28</f>
        <v>2070600.0000000002</v>
      </c>
      <c r="K28" s="41">
        <f>2*25*29</f>
        <v>1450</v>
      </c>
      <c r="L28" s="41">
        <v>5</v>
      </c>
      <c r="M28" s="70">
        <f t="shared" si="0"/>
        <v>2277660.0000000005</v>
      </c>
      <c r="N28" s="41">
        <v>4000</v>
      </c>
      <c r="O28" s="41">
        <v>1</v>
      </c>
      <c r="P28" s="70">
        <f t="shared" si="1"/>
        <v>1382304.0000000002</v>
      </c>
      <c r="Q28" s="41">
        <v>4000</v>
      </c>
      <c r="R28" s="41">
        <v>1</v>
      </c>
      <c r="S28" s="70">
        <f t="shared" si="2"/>
        <v>1520534.4000000006</v>
      </c>
      <c r="T28" s="41">
        <v>4000</v>
      </c>
      <c r="U28" s="41">
        <v>1</v>
      </c>
      <c r="V28" s="70">
        <f t="shared" si="3"/>
        <v>1672587.8400000005</v>
      </c>
      <c r="W28" s="41">
        <f>2*25*29</f>
        <v>1450</v>
      </c>
      <c r="X28" s="41">
        <v>5</v>
      </c>
      <c r="Y28" s="70">
        <f t="shared" si="8"/>
        <v>3334722.006000001</v>
      </c>
      <c r="Z28" s="41">
        <v>0</v>
      </c>
      <c r="AA28" s="41">
        <v>0</v>
      </c>
      <c r="AB28" s="70">
        <f t="shared" si="4"/>
        <v>0</v>
      </c>
      <c r="AC28" s="41">
        <v>0</v>
      </c>
      <c r="AD28" s="41">
        <v>0</v>
      </c>
      <c r="AE28" s="70">
        <f t="shared" si="5"/>
        <v>0</v>
      </c>
      <c r="AF28" s="28">
        <f t="shared" si="6"/>
        <v>12258408.246000003</v>
      </c>
      <c r="AG28" s="28">
        <f t="shared" si="7"/>
        <v>11901.367229126217</v>
      </c>
    </row>
    <row r="29" spans="1:33" ht="57.6" x14ac:dyDescent="0.3">
      <c r="A29" s="41" t="s">
        <v>696</v>
      </c>
      <c r="B29" s="41" t="s">
        <v>691</v>
      </c>
      <c r="C29" s="43" t="s">
        <v>657</v>
      </c>
      <c r="D29" s="41" t="s">
        <v>34</v>
      </c>
      <c r="E29" s="41" t="s">
        <v>306</v>
      </c>
      <c r="F29" s="41" t="s">
        <v>1299</v>
      </c>
      <c r="G29" s="67">
        <f>1999.2/7</f>
        <v>285.60000000000002</v>
      </c>
      <c r="H29" s="41">
        <v>22500</v>
      </c>
      <c r="I29" s="41">
        <v>1</v>
      </c>
      <c r="J29" s="67">
        <f>G29*H29*I29</f>
        <v>6426000.0000000009</v>
      </c>
      <c r="K29" s="41">
        <v>22500</v>
      </c>
      <c r="L29" s="41">
        <v>1</v>
      </c>
      <c r="M29" s="70">
        <f t="shared" si="0"/>
        <v>7068600.0000000009</v>
      </c>
      <c r="N29" s="41"/>
      <c r="O29" s="41"/>
      <c r="P29" s="70">
        <f t="shared" si="1"/>
        <v>0</v>
      </c>
      <c r="Q29" s="41"/>
      <c r="R29" s="41"/>
      <c r="S29" s="70">
        <f t="shared" si="2"/>
        <v>0</v>
      </c>
      <c r="T29" s="41"/>
      <c r="U29" s="41"/>
      <c r="V29" s="70">
        <f t="shared" si="3"/>
        <v>0</v>
      </c>
      <c r="W29" s="41">
        <v>22500</v>
      </c>
      <c r="X29" s="41">
        <v>1</v>
      </c>
      <c r="Y29" s="70">
        <f t="shared" si="8"/>
        <v>10349137.260000004</v>
      </c>
      <c r="Z29" s="41"/>
      <c r="AA29" s="41"/>
      <c r="AB29" s="70">
        <f t="shared" si="4"/>
        <v>0</v>
      </c>
      <c r="AC29" s="41"/>
      <c r="AD29" s="41"/>
      <c r="AE29" s="70">
        <f t="shared" si="5"/>
        <v>0</v>
      </c>
      <c r="AF29" s="28">
        <f t="shared" si="6"/>
        <v>23843737.260000005</v>
      </c>
      <c r="AG29" s="28">
        <f t="shared" si="7"/>
        <v>23149.259475728162</v>
      </c>
    </row>
    <row r="30" spans="1:33" ht="43.2" x14ac:dyDescent="0.3">
      <c r="A30" s="41" t="s">
        <v>696</v>
      </c>
      <c r="B30" s="41" t="s">
        <v>691</v>
      </c>
      <c r="C30" s="43" t="s">
        <v>657</v>
      </c>
      <c r="D30" s="41" t="s">
        <v>35</v>
      </c>
      <c r="E30" s="41" t="s">
        <v>307</v>
      </c>
      <c r="F30" s="41" t="s">
        <v>716</v>
      </c>
      <c r="G30" s="67">
        <v>39000</v>
      </c>
      <c r="H30" s="41"/>
      <c r="I30" s="41"/>
      <c r="J30" s="67"/>
      <c r="K30" s="41">
        <v>30</v>
      </c>
      <c r="L30" s="41">
        <f>6*5</f>
        <v>30</v>
      </c>
      <c r="M30" s="70">
        <f t="shared" si="0"/>
        <v>38610000</v>
      </c>
      <c r="N30" s="41">
        <v>0</v>
      </c>
      <c r="O30" s="41">
        <v>0</v>
      </c>
      <c r="P30" s="70">
        <f t="shared" si="1"/>
        <v>0</v>
      </c>
      <c r="Q30" s="41">
        <v>0</v>
      </c>
      <c r="R30" s="41">
        <v>0</v>
      </c>
      <c r="S30" s="70">
        <f t="shared" si="2"/>
        <v>0</v>
      </c>
      <c r="T30" s="41">
        <v>0</v>
      </c>
      <c r="U30" s="41">
        <v>0</v>
      </c>
      <c r="V30" s="70">
        <f t="shared" si="3"/>
        <v>0</v>
      </c>
      <c r="W30" s="41">
        <v>0</v>
      </c>
      <c r="X30" s="41">
        <v>0</v>
      </c>
      <c r="Y30" s="70">
        <f t="shared" si="8"/>
        <v>0</v>
      </c>
      <c r="Z30" s="41">
        <v>30</v>
      </c>
      <c r="AA30" s="41">
        <f>6*5</f>
        <v>30</v>
      </c>
      <c r="AB30" s="70">
        <f t="shared" si="4"/>
        <v>62181791.100000024</v>
      </c>
      <c r="AC30" s="41">
        <v>0</v>
      </c>
      <c r="AD30" s="41">
        <v>0</v>
      </c>
      <c r="AE30" s="70">
        <f t="shared" si="5"/>
        <v>0</v>
      </c>
      <c r="AF30" s="28">
        <f t="shared" si="6"/>
        <v>100791791.10000002</v>
      </c>
      <c r="AG30" s="28">
        <f t="shared" si="7"/>
        <v>97856.107864077698</v>
      </c>
    </row>
    <row r="31" spans="1:33" ht="43.2" x14ac:dyDescent="0.3">
      <c r="A31" s="41" t="s">
        <v>696</v>
      </c>
      <c r="B31" s="41" t="s">
        <v>691</v>
      </c>
      <c r="C31" s="43" t="s">
        <v>657</v>
      </c>
      <c r="D31" s="41" t="s">
        <v>35</v>
      </c>
      <c r="E31" s="41" t="s">
        <v>307</v>
      </c>
      <c r="F31" s="41" t="s">
        <v>709</v>
      </c>
      <c r="G31" s="67">
        <v>35000</v>
      </c>
      <c r="H31" s="41"/>
      <c r="I31" s="41"/>
      <c r="J31" s="67"/>
      <c r="K31" s="41">
        <v>30</v>
      </c>
      <c r="L31" s="41">
        <f>5*6</f>
        <v>30</v>
      </c>
      <c r="M31" s="70">
        <f t="shared" si="0"/>
        <v>34650000</v>
      </c>
      <c r="N31" s="41">
        <v>0</v>
      </c>
      <c r="O31" s="41">
        <v>0</v>
      </c>
      <c r="P31" s="70">
        <f t="shared" si="1"/>
        <v>0</v>
      </c>
      <c r="Q31" s="41">
        <v>0</v>
      </c>
      <c r="R31" s="41">
        <v>0</v>
      </c>
      <c r="S31" s="70">
        <f t="shared" si="2"/>
        <v>0</v>
      </c>
      <c r="T31" s="41">
        <v>0</v>
      </c>
      <c r="U31" s="41">
        <v>0</v>
      </c>
      <c r="V31" s="70">
        <f t="shared" si="3"/>
        <v>0</v>
      </c>
      <c r="W31" s="41">
        <v>0</v>
      </c>
      <c r="X31" s="41">
        <v>0</v>
      </c>
      <c r="Y31" s="70">
        <f t="shared" si="8"/>
        <v>0</v>
      </c>
      <c r="Z31" s="41">
        <v>30</v>
      </c>
      <c r="AA31" s="41">
        <f>5*6</f>
        <v>30</v>
      </c>
      <c r="AB31" s="70">
        <f t="shared" si="4"/>
        <v>55804171.50000003</v>
      </c>
      <c r="AC31" s="41">
        <v>0</v>
      </c>
      <c r="AD31" s="41">
        <v>0</v>
      </c>
      <c r="AE31" s="70">
        <f t="shared" si="5"/>
        <v>0</v>
      </c>
      <c r="AF31" s="28">
        <f t="shared" si="6"/>
        <v>90454171.50000003</v>
      </c>
      <c r="AG31" s="28">
        <f t="shared" si="7"/>
        <v>87819.583980582553</v>
      </c>
    </row>
    <row r="32" spans="1:33" ht="43.2" x14ac:dyDescent="0.3">
      <c r="A32" s="41" t="s">
        <v>696</v>
      </c>
      <c r="B32" s="41" t="s">
        <v>691</v>
      </c>
      <c r="C32" s="43" t="s">
        <v>657</v>
      </c>
      <c r="D32" s="41" t="s">
        <v>35</v>
      </c>
      <c r="E32" s="41" t="s">
        <v>1380</v>
      </c>
      <c r="F32" s="41" t="s">
        <v>712</v>
      </c>
      <c r="G32" s="67">
        <f>1999.2/7</f>
        <v>285.60000000000002</v>
      </c>
      <c r="H32" s="41"/>
      <c r="I32" s="41"/>
      <c r="J32" s="67"/>
      <c r="K32" s="41">
        <f>2*25*9</f>
        <v>450</v>
      </c>
      <c r="L32" s="41">
        <f>5*6</f>
        <v>30</v>
      </c>
      <c r="M32" s="70">
        <f t="shared" si="0"/>
        <v>4241160</v>
      </c>
      <c r="N32" s="41">
        <v>0</v>
      </c>
      <c r="O32" s="41">
        <v>0</v>
      </c>
      <c r="P32" s="70">
        <f t="shared" si="1"/>
        <v>0</v>
      </c>
      <c r="Q32" s="41">
        <v>0</v>
      </c>
      <c r="R32" s="41">
        <v>0</v>
      </c>
      <c r="S32" s="70">
        <f t="shared" si="2"/>
        <v>0</v>
      </c>
      <c r="T32" s="41">
        <v>0</v>
      </c>
      <c r="U32" s="41">
        <v>0</v>
      </c>
      <c r="V32" s="70">
        <f t="shared" si="3"/>
        <v>0</v>
      </c>
      <c r="W32" s="41">
        <v>0</v>
      </c>
      <c r="X32" s="41">
        <v>0</v>
      </c>
      <c r="Y32" s="70">
        <f t="shared" si="8"/>
        <v>0</v>
      </c>
      <c r="Z32" s="41">
        <f>2*25*9</f>
        <v>450</v>
      </c>
      <c r="AA32" s="41">
        <f>5*6</f>
        <v>30</v>
      </c>
      <c r="AB32" s="70">
        <f t="shared" si="4"/>
        <v>6830430.5916000037</v>
      </c>
      <c r="AC32" s="41">
        <v>0</v>
      </c>
      <c r="AD32" s="41">
        <v>0</v>
      </c>
      <c r="AE32" s="70">
        <f t="shared" si="5"/>
        <v>0</v>
      </c>
      <c r="AF32" s="28">
        <f t="shared" si="6"/>
        <v>11071590.591600005</v>
      </c>
      <c r="AG32" s="28">
        <f t="shared" si="7"/>
        <v>10749.117079223306</v>
      </c>
    </row>
    <row r="33" spans="1:33" ht="43.2" x14ac:dyDescent="0.3">
      <c r="A33" s="41" t="s">
        <v>696</v>
      </c>
      <c r="B33" s="41" t="s">
        <v>691</v>
      </c>
      <c r="C33" s="43" t="s">
        <v>657</v>
      </c>
      <c r="D33" s="41" t="s">
        <v>35</v>
      </c>
      <c r="E33" s="41" t="s">
        <v>307</v>
      </c>
      <c r="F33" s="41" t="s">
        <v>1299</v>
      </c>
      <c r="G33" s="67">
        <f>1999.2/7</f>
        <v>285.60000000000002</v>
      </c>
      <c r="H33" s="41"/>
      <c r="I33" s="41"/>
      <c r="J33" s="67"/>
      <c r="K33" s="41">
        <f>2*135*9</f>
        <v>2430</v>
      </c>
      <c r="L33" s="41">
        <v>5</v>
      </c>
      <c r="M33" s="70">
        <f t="shared" si="0"/>
        <v>3817044</v>
      </c>
      <c r="N33" s="41"/>
      <c r="O33" s="41"/>
      <c r="P33" s="70">
        <f t="shared" si="1"/>
        <v>0</v>
      </c>
      <c r="Q33" s="41"/>
      <c r="R33" s="41"/>
      <c r="S33" s="70">
        <f t="shared" si="2"/>
        <v>0</v>
      </c>
      <c r="T33" s="41"/>
      <c r="U33" s="41"/>
      <c r="V33" s="70">
        <f t="shared" si="3"/>
        <v>0</v>
      </c>
      <c r="W33" s="41"/>
      <c r="X33" s="41"/>
      <c r="Y33" s="70">
        <f t="shared" si="8"/>
        <v>0</v>
      </c>
      <c r="Z33" s="41">
        <f>2*135*9</f>
        <v>2430</v>
      </c>
      <c r="AA33" s="41">
        <v>5</v>
      </c>
      <c r="AB33" s="70">
        <f t="shared" si="4"/>
        <v>6147387.5324400039</v>
      </c>
      <c r="AC33" s="41"/>
      <c r="AD33" s="41"/>
      <c r="AE33" s="70">
        <f t="shared" si="5"/>
        <v>0</v>
      </c>
      <c r="AF33" s="28">
        <f t="shared" si="6"/>
        <v>9964431.532440003</v>
      </c>
      <c r="AG33" s="28">
        <f t="shared" si="7"/>
        <v>9674.2053713009736</v>
      </c>
    </row>
    <row r="34" spans="1:33" ht="43.2" x14ac:dyDescent="0.3">
      <c r="A34" s="41" t="s">
        <v>696</v>
      </c>
      <c r="B34" s="41" t="s">
        <v>691</v>
      </c>
      <c r="C34" s="43" t="s">
        <v>657</v>
      </c>
      <c r="D34" s="41" t="s">
        <v>35</v>
      </c>
      <c r="E34" s="41" t="s">
        <v>1381</v>
      </c>
      <c r="F34" s="41" t="s">
        <v>716</v>
      </c>
      <c r="G34" s="67">
        <v>39000</v>
      </c>
      <c r="H34" s="41"/>
      <c r="I34" s="41"/>
      <c r="J34" s="67"/>
      <c r="K34" s="41">
        <v>58</v>
      </c>
      <c r="L34" s="41">
        <v>6</v>
      </c>
      <c r="M34" s="70">
        <f t="shared" si="0"/>
        <v>14929200</v>
      </c>
      <c r="N34" s="41">
        <v>0</v>
      </c>
      <c r="O34" s="41">
        <v>0</v>
      </c>
      <c r="P34" s="70">
        <f t="shared" si="1"/>
        <v>0</v>
      </c>
      <c r="Q34" s="41">
        <v>0</v>
      </c>
      <c r="R34" s="41">
        <v>0</v>
      </c>
      <c r="S34" s="70">
        <f t="shared" si="2"/>
        <v>0</v>
      </c>
      <c r="T34" s="41">
        <v>0</v>
      </c>
      <c r="U34" s="41">
        <v>0</v>
      </c>
      <c r="V34" s="70">
        <f t="shared" si="3"/>
        <v>0</v>
      </c>
      <c r="W34" s="41">
        <v>0</v>
      </c>
      <c r="X34" s="41">
        <v>0</v>
      </c>
      <c r="Y34" s="70">
        <f t="shared" si="8"/>
        <v>0</v>
      </c>
      <c r="Z34" s="41">
        <v>58</v>
      </c>
      <c r="AA34" s="41">
        <v>6</v>
      </c>
      <c r="AB34" s="70">
        <f t="shared" si="4"/>
        <v>24043625.892000012</v>
      </c>
      <c r="AC34" s="41">
        <v>0</v>
      </c>
      <c r="AD34" s="41">
        <v>0</v>
      </c>
      <c r="AE34" s="70">
        <f t="shared" si="5"/>
        <v>0</v>
      </c>
      <c r="AF34" s="28">
        <f t="shared" si="6"/>
        <v>38972825.892000012</v>
      </c>
      <c r="AG34" s="28">
        <f t="shared" si="7"/>
        <v>37837.695040776707</v>
      </c>
    </row>
    <row r="35" spans="1:33" ht="43.2" x14ac:dyDescent="0.3">
      <c r="A35" s="41" t="s">
        <v>696</v>
      </c>
      <c r="B35" s="41" t="s">
        <v>691</v>
      </c>
      <c r="C35" s="43" t="s">
        <v>657</v>
      </c>
      <c r="D35" s="41" t="s">
        <v>35</v>
      </c>
      <c r="E35" s="41" t="s">
        <v>1381</v>
      </c>
      <c r="F35" s="41" t="s">
        <v>709</v>
      </c>
      <c r="G35" s="67">
        <v>35000</v>
      </c>
      <c r="H35" s="41"/>
      <c r="I35" s="41"/>
      <c r="J35" s="67"/>
      <c r="K35" s="41">
        <v>100</v>
      </c>
      <c r="L35" s="41">
        <v>5</v>
      </c>
      <c r="M35" s="70">
        <f t="shared" si="0"/>
        <v>19250000</v>
      </c>
      <c r="N35" s="41">
        <v>0</v>
      </c>
      <c r="O35" s="41">
        <v>0</v>
      </c>
      <c r="P35" s="70">
        <f t="shared" si="1"/>
        <v>0</v>
      </c>
      <c r="Q35" s="41">
        <v>0</v>
      </c>
      <c r="R35" s="41">
        <v>0</v>
      </c>
      <c r="S35" s="70">
        <f t="shared" si="2"/>
        <v>0</v>
      </c>
      <c r="T35" s="41">
        <v>0</v>
      </c>
      <c r="U35" s="41">
        <v>0</v>
      </c>
      <c r="V35" s="70">
        <f t="shared" si="3"/>
        <v>0</v>
      </c>
      <c r="W35" s="41">
        <v>0</v>
      </c>
      <c r="X35" s="41">
        <v>0</v>
      </c>
      <c r="Y35" s="70">
        <f t="shared" si="8"/>
        <v>0</v>
      </c>
      <c r="Z35" s="41">
        <v>100</v>
      </c>
      <c r="AA35" s="41">
        <v>5</v>
      </c>
      <c r="AB35" s="70">
        <f t="shared" si="4"/>
        <v>31002317.500000015</v>
      </c>
      <c r="AC35" s="41">
        <v>0</v>
      </c>
      <c r="AD35" s="41">
        <v>0</v>
      </c>
      <c r="AE35" s="70">
        <f t="shared" si="5"/>
        <v>0</v>
      </c>
      <c r="AF35" s="28">
        <f t="shared" si="6"/>
        <v>50252317.500000015</v>
      </c>
      <c r="AG35" s="28">
        <f t="shared" si="7"/>
        <v>48788.657766990305</v>
      </c>
    </row>
    <row r="36" spans="1:33" ht="43.2" x14ac:dyDescent="0.3">
      <c r="A36" s="41" t="s">
        <v>696</v>
      </c>
      <c r="B36" s="41" t="s">
        <v>691</v>
      </c>
      <c r="C36" s="43" t="s">
        <v>657</v>
      </c>
      <c r="D36" s="41" t="s">
        <v>35</v>
      </c>
      <c r="E36" s="41" t="s">
        <v>1381</v>
      </c>
      <c r="F36" s="41" t="s">
        <v>712</v>
      </c>
      <c r="G36" s="67">
        <f>1999.2/7</f>
        <v>285.60000000000002</v>
      </c>
      <c r="H36" s="41"/>
      <c r="I36" s="41"/>
      <c r="J36" s="67"/>
      <c r="K36" s="41">
        <f>2*25*9</f>
        <v>450</v>
      </c>
      <c r="L36" s="41">
        <v>5</v>
      </c>
      <c r="M36" s="70">
        <f t="shared" si="0"/>
        <v>706860</v>
      </c>
      <c r="N36" s="41">
        <v>0</v>
      </c>
      <c r="O36" s="41">
        <v>0</v>
      </c>
      <c r="P36" s="70">
        <f t="shared" si="1"/>
        <v>0</v>
      </c>
      <c r="Q36" s="41">
        <v>0</v>
      </c>
      <c r="R36" s="41">
        <v>0</v>
      </c>
      <c r="S36" s="70">
        <f t="shared" si="2"/>
        <v>0</v>
      </c>
      <c r="T36" s="41">
        <v>0</v>
      </c>
      <c r="U36" s="41">
        <v>0</v>
      </c>
      <c r="V36" s="70">
        <f t="shared" si="3"/>
        <v>0</v>
      </c>
      <c r="W36" s="41">
        <v>0</v>
      </c>
      <c r="X36" s="41">
        <v>0</v>
      </c>
      <c r="Y36" s="70">
        <f t="shared" si="8"/>
        <v>0</v>
      </c>
      <c r="Z36" s="41">
        <f>2*25*9</f>
        <v>450</v>
      </c>
      <c r="AA36" s="41">
        <v>5</v>
      </c>
      <c r="AB36" s="70">
        <f t="shared" si="4"/>
        <v>1138405.0986000006</v>
      </c>
      <c r="AC36" s="41">
        <v>0</v>
      </c>
      <c r="AD36" s="41">
        <v>0</v>
      </c>
      <c r="AE36" s="70">
        <f t="shared" si="5"/>
        <v>0</v>
      </c>
      <c r="AF36" s="28">
        <f t="shared" si="6"/>
        <v>1845265.0986000006</v>
      </c>
      <c r="AG36" s="28">
        <f t="shared" si="7"/>
        <v>1791.5195132038841</v>
      </c>
    </row>
    <row r="37" spans="1:33" ht="43.2" x14ac:dyDescent="0.3">
      <c r="A37" s="41" t="s">
        <v>696</v>
      </c>
      <c r="B37" s="41" t="s">
        <v>691</v>
      </c>
      <c r="C37" s="43" t="s">
        <v>657</v>
      </c>
      <c r="D37" s="41" t="s">
        <v>35</v>
      </c>
      <c r="E37" s="41" t="s">
        <v>1381</v>
      </c>
      <c r="F37" s="41" t="s">
        <v>1299</v>
      </c>
      <c r="G37" s="67">
        <f>1999.2/7</f>
        <v>285.60000000000002</v>
      </c>
      <c r="H37" s="41"/>
      <c r="I37" s="41"/>
      <c r="J37" s="67"/>
      <c r="K37" s="41">
        <f>2*135*9</f>
        <v>2430</v>
      </c>
      <c r="L37" s="41">
        <v>1</v>
      </c>
      <c r="M37" s="70">
        <f t="shared" si="0"/>
        <v>763408.8</v>
      </c>
      <c r="N37" s="41"/>
      <c r="O37" s="41"/>
      <c r="P37" s="70">
        <f t="shared" si="1"/>
        <v>0</v>
      </c>
      <c r="Q37" s="41"/>
      <c r="R37" s="41"/>
      <c r="S37" s="70">
        <f t="shared" si="2"/>
        <v>0</v>
      </c>
      <c r="T37" s="41"/>
      <c r="U37" s="41"/>
      <c r="V37" s="70">
        <f t="shared" si="3"/>
        <v>0</v>
      </c>
      <c r="W37" s="41"/>
      <c r="X37" s="41"/>
      <c r="Y37" s="70">
        <f t="shared" si="8"/>
        <v>0</v>
      </c>
      <c r="Z37" s="41">
        <f>2*135*9</f>
        <v>2430</v>
      </c>
      <c r="AA37" s="41">
        <v>1</v>
      </c>
      <c r="AB37" s="70">
        <f t="shared" si="4"/>
        <v>1229477.5064880007</v>
      </c>
      <c r="AC37" s="41"/>
      <c r="AD37" s="41"/>
      <c r="AE37" s="70">
        <f t="shared" si="5"/>
        <v>0</v>
      </c>
      <c r="AF37" s="28">
        <f t="shared" si="6"/>
        <v>1992886.3064880008</v>
      </c>
      <c r="AG37" s="28">
        <f t="shared" si="7"/>
        <v>1934.841074260195</v>
      </c>
    </row>
    <row r="38" spans="1:33" ht="43.2" x14ac:dyDescent="0.3">
      <c r="A38" s="41" t="s">
        <v>696</v>
      </c>
      <c r="B38" s="41" t="s">
        <v>691</v>
      </c>
      <c r="C38" s="43" t="s">
        <v>657</v>
      </c>
      <c r="D38" s="41" t="s">
        <v>35</v>
      </c>
      <c r="E38" s="41" t="s">
        <v>1382</v>
      </c>
      <c r="F38" s="41" t="s">
        <v>716</v>
      </c>
      <c r="G38" s="67">
        <v>39000</v>
      </c>
      <c r="H38" s="41"/>
      <c r="I38" s="41"/>
      <c r="J38" s="67"/>
      <c r="K38" s="41">
        <v>58</v>
      </c>
      <c r="L38" s="41">
        <v>6</v>
      </c>
      <c r="M38" s="70">
        <f t="shared" si="0"/>
        <v>14929200</v>
      </c>
      <c r="N38" s="41">
        <v>0</v>
      </c>
      <c r="O38" s="41">
        <v>0</v>
      </c>
      <c r="P38" s="70">
        <f t="shared" si="1"/>
        <v>0</v>
      </c>
      <c r="Q38" s="41">
        <v>0</v>
      </c>
      <c r="R38" s="41">
        <v>0</v>
      </c>
      <c r="S38" s="70">
        <f t="shared" si="2"/>
        <v>0</v>
      </c>
      <c r="T38" s="41">
        <v>0</v>
      </c>
      <c r="U38" s="41">
        <v>0</v>
      </c>
      <c r="V38" s="70">
        <f t="shared" si="3"/>
        <v>0</v>
      </c>
      <c r="W38" s="41">
        <v>0</v>
      </c>
      <c r="X38" s="41">
        <v>0</v>
      </c>
      <c r="Y38" s="70">
        <f t="shared" si="8"/>
        <v>0</v>
      </c>
      <c r="Z38" s="41">
        <v>58</v>
      </c>
      <c r="AA38" s="41">
        <v>6</v>
      </c>
      <c r="AB38" s="70">
        <f t="shared" si="4"/>
        <v>24043625.892000012</v>
      </c>
      <c r="AC38" s="41">
        <v>0</v>
      </c>
      <c r="AD38" s="41">
        <v>0</v>
      </c>
      <c r="AE38" s="70">
        <f t="shared" si="5"/>
        <v>0</v>
      </c>
      <c r="AF38" s="28">
        <f t="shared" si="6"/>
        <v>38972825.892000012</v>
      </c>
      <c r="AG38" s="28">
        <f t="shared" si="7"/>
        <v>37837.695040776707</v>
      </c>
    </row>
    <row r="39" spans="1:33" ht="43.2" x14ac:dyDescent="0.3">
      <c r="A39" s="41" t="s">
        <v>696</v>
      </c>
      <c r="B39" s="41" t="s">
        <v>691</v>
      </c>
      <c r="C39" s="43" t="s">
        <v>657</v>
      </c>
      <c r="D39" s="41" t="s">
        <v>35</v>
      </c>
      <c r="E39" s="41" t="s">
        <v>1382</v>
      </c>
      <c r="F39" s="41" t="s">
        <v>709</v>
      </c>
      <c r="G39" s="67">
        <v>35000</v>
      </c>
      <c r="H39" s="41"/>
      <c r="I39" s="41"/>
      <c r="J39" s="67"/>
      <c r="K39" s="41">
        <v>100</v>
      </c>
      <c r="L39" s="41">
        <v>5</v>
      </c>
      <c r="M39" s="70">
        <f t="shared" si="0"/>
        <v>19250000</v>
      </c>
      <c r="N39" s="41">
        <v>0</v>
      </c>
      <c r="O39" s="41">
        <v>0</v>
      </c>
      <c r="P39" s="70">
        <f t="shared" si="1"/>
        <v>0</v>
      </c>
      <c r="Q39" s="41">
        <v>0</v>
      </c>
      <c r="R39" s="41">
        <v>0</v>
      </c>
      <c r="S39" s="70">
        <f t="shared" si="2"/>
        <v>0</v>
      </c>
      <c r="T39" s="41">
        <v>0</v>
      </c>
      <c r="U39" s="41">
        <v>0</v>
      </c>
      <c r="V39" s="70">
        <f t="shared" si="3"/>
        <v>0</v>
      </c>
      <c r="W39" s="41">
        <v>0</v>
      </c>
      <c r="X39" s="41">
        <v>0</v>
      </c>
      <c r="Y39" s="70">
        <f t="shared" si="8"/>
        <v>0</v>
      </c>
      <c r="Z39" s="41">
        <v>100</v>
      </c>
      <c r="AA39" s="41">
        <v>5</v>
      </c>
      <c r="AB39" s="70">
        <f t="shared" si="4"/>
        <v>31002317.500000015</v>
      </c>
      <c r="AC39" s="41">
        <v>0</v>
      </c>
      <c r="AD39" s="41">
        <v>0</v>
      </c>
      <c r="AE39" s="70">
        <f t="shared" si="5"/>
        <v>0</v>
      </c>
      <c r="AF39" s="28">
        <f t="shared" si="6"/>
        <v>50252317.500000015</v>
      </c>
      <c r="AG39" s="28">
        <f t="shared" si="7"/>
        <v>48788.657766990305</v>
      </c>
    </row>
    <row r="40" spans="1:33" ht="43.2" x14ac:dyDescent="0.3">
      <c r="A40" s="41" t="s">
        <v>696</v>
      </c>
      <c r="B40" s="41" t="s">
        <v>691</v>
      </c>
      <c r="C40" s="43" t="s">
        <v>657</v>
      </c>
      <c r="D40" s="41" t="s">
        <v>35</v>
      </c>
      <c r="E40" s="41" t="s">
        <v>1383</v>
      </c>
      <c r="F40" s="41" t="s">
        <v>712</v>
      </c>
      <c r="G40" s="67">
        <f>1999.2/7</f>
        <v>285.60000000000002</v>
      </c>
      <c r="H40" s="41"/>
      <c r="I40" s="41"/>
      <c r="J40" s="67"/>
      <c r="K40" s="41">
        <f>2*25*29</f>
        <v>1450</v>
      </c>
      <c r="L40" s="41">
        <v>5</v>
      </c>
      <c r="M40" s="70">
        <f t="shared" si="0"/>
        <v>2277660.0000000005</v>
      </c>
      <c r="N40" s="41">
        <v>0</v>
      </c>
      <c r="O40" s="41">
        <v>0</v>
      </c>
      <c r="P40" s="70">
        <f t="shared" si="1"/>
        <v>0</v>
      </c>
      <c r="Q40" s="41">
        <v>0</v>
      </c>
      <c r="R40" s="41">
        <v>0</v>
      </c>
      <c r="S40" s="70">
        <f t="shared" si="2"/>
        <v>0</v>
      </c>
      <c r="T40" s="41">
        <v>0</v>
      </c>
      <c r="U40" s="41">
        <v>0</v>
      </c>
      <c r="V40" s="70">
        <f t="shared" si="3"/>
        <v>0</v>
      </c>
      <c r="W40" s="41">
        <v>0</v>
      </c>
      <c r="X40" s="41">
        <v>0</v>
      </c>
      <c r="Y40" s="70">
        <f t="shared" si="8"/>
        <v>0</v>
      </c>
      <c r="Z40" s="41">
        <f>2*25*29</f>
        <v>1450</v>
      </c>
      <c r="AA40" s="41">
        <v>5</v>
      </c>
      <c r="AB40" s="70">
        <f t="shared" si="4"/>
        <v>3668194.206600002</v>
      </c>
      <c r="AC40" s="41">
        <v>0</v>
      </c>
      <c r="AD40" s="41">
        <v>0</v>
      </c>
      <c r="AE40" s="70">
        <f t="shared" si="5"/>
        <v>0</v>
      </c>
      <c r="AF40" s="28">
        <f t="shared" si="6"/>
        <v>5945854.2066000029</v>
      </c>
      <c r="AG40" s="28">
        <f t="shared" si="7"/>
        <v>5772.673986990294</v>
      </c>
    </row>
    <row r="41" spans="1:33" ht="43.2" x14ac:dyDescent="0.3">
      <c r="A41" s="41" t="s">
        <v>696</v>
      </c>
      <c r="B41" s="41" t="s">
        <v>691</v>
      </c>
      <c r="C41" s="43" t="s">
        <v>657</v>
      </c>
      <c r="D41" s="41" t="s">
        <v>35</v>
      </c>
      <c r="E41" s="41" t="s">
        <v>1382</v>
      </c>
      <c r="F41" s="41" t="s">
        <v>1299</v>
      </c>
      <c r="G41" s="67">
        <f>1999.2/7</f>
        <v>285.60000000000002</v>
      </c>
      <c r="H41" s="41"/>
      <c r="I41" s="41"/>
      <c r="J41" s="67"/>
      <c r="K41" s="41">
        <v>22500</v>
      </c>
      <c r="L41" s="41">
        <v>1</v>
      </c>
      <c r="M41" s="70">
        <f t="shared" si="0"/>
        <v>7068600.0000000009</v>
      </c>
      <c r="N41" s="41"/>
      <c r="O41" s="41"/>
      <c r="P41" s="70">
        <f t="shared" si="1"/>
        <v>0</v>
      </c>
      <c r="Q41" s="41"/>
      <c r="R41" s="41"/>
      <c r="S41" s="70">
        <f t="shared" si="2"/>
        <v>0</v>
      </c>
      <c r="T41" s="41"/>
      <c r="U41" s="41"/>
      <c r="V41" s="70">
        <f t="shared" si="3"/>
        <v>0</v>
      </c>
      <c r="W41" s="41"/>
      <c r="X41" s="41"/>
      <c r="Y41" s="70">
        <f t="shared" si="8"/>
        <v>0</v>
      </c>
      <c r="Z41" s="41">
        <v>22500</v>
      </c>
      <c r="AA41" s="41">
        <v>1</v>
      </c>
      <c r="AB41" s="70">
        <f t="shared" si="4"/>
        <v>11384050.986000007</v>
      </c>
      <c r="AC41" s="41"/>
      <c r="AD41" s="41"/>
      <c r="AE41" s="70">
        <f t="shared" si="5"/>
        <v>0</v>
      </c>
      <c r="AF41" s="28">
        <f t="shared" si="6"/>
        <v>18452650.986000009</v>
      </c>
      <c r="AG41" s="28">
        <f t="shared" si="7"/>
        <v>17915.195132038843</v>
      </c>
    </row>
    <row r="42" spans="1:33" ht="43.2" x14ac:dyDescent="0.3">
      <c r="A42" s="41" t="s">
        <v>696</v>
      </c>
      <c r="B42" s="41" t="s">
        <v>691</v>
      </c>
      <c r="C42" s="43" t="s">
        <v>657</v>
      </c>
      <c r="D42" s="41" t="s">
        <v>35</v>
      </c>
      <c r="E42" s="41" t="s">
        <v>310</v>
      </c>
      <c r="F42" s="41" t="s">
        <v>709</v>
      </c>
      <c r="G42" s="67">
        <v>35000</v>
      </c>
      <c r="H42" s="41"/>
      <c r="I42" s="41"/>
      <c r="J42" s="67"/>
      <c r="K42" s="41">
        <v>25</v>
      </c>
      <c r="L42" s="41">
        <v>5</v>
      </c>
      <c r="M42" s="70">
        <f t="shared" si="0"/>
        <v>4812500</v>
      </c>
      <c r="N42" s="41">
        <v>0</v>
      </c>
      <c r="O42" s="41">
        <v>0</v>
      </c>
      <c r="P42" s="70">
        <f t="shared" si="1"/>
        <v>0</v>
      </c>
      <c r="Q42" s="41">
        <v>0</v>
      </c>
      <c r="R42" s="41">
        <v>0</v>
      </c>
      <c r="S42" s="70">
        <f t="shared" si="2"/>
        <v>0</v>
      </c>
      <c r="T42" s="41">
        <v>0</v>
      </c>
      <c r="U42" s="41">
        <v>0</v>
      </c>
      <c r="V42" s="70">
        <f t="shared" si="3"/>
        <v>0</v>
      </c>
      <c r="W42" s="41">
        <v>0</v>
      </c>
      <c r="X42" s="41">
        <v>0</v>
      </c>
      <c r="Y42" s="70">
        <f t="shared" si="8"/>
        <v>0</v>
      </c>
      <c r="Z42" s="41">
        <v>25</v>
      </c>
      <c r="AA42" s="41">
        <v>5</v>
      </c>
      <c r="AB42" s="70">
        <f t="shared" si="4"/>
        <v>7750579.3750000037</v>
      </c>
      <c r="AC42" s="41">
        <v>0</v>
      </c>
      <c r="AD42" s="41">
        <v>0</v>
      </c>
      <c r="AE42" s="70">
        <f t="shared" si="5"/>
        <v>0</v>
      </c>
      <c r="AF42" s="28">
        <f t="shared" si="6"/>
        <v>12563079.375000004</v>
      </c>
      <c r="AG42" s="28">
        <f t="shared" si="7"/>
        <v>12197.164441747576</v>
      </c>
    </row>
    <row r="43" spans="1:33" ht="43.2" x14ac:dyDescent="0.3">
      <c r="A43" s="41" t="s">
        <v>696</v>
      </c>
      <c r="B43" s="41" t="s">
        <v>691</v>
      </c>
      <c r="C43" s="43" t="s">
        <v>657</v>
      </c>
      <c r="D43" s="41" t="s">
        <v>35</v>
      </c>
      <c r="E43" s="41" t="s">
        <v>310</v>
      </c>
      <c r="F43" s="41" t="s">
        <v>716</v>
      </c>
      <c r="G43" s="67">
        <v>39000</v>
      </c>
      <c r="H43" s="41"/>
      <c r="I43" s="41"/>
      <c r="J43" s="67"/>
      <c r="K43" s="41">
        <v>25</v>
      </c>
      <c r="L43" s="41">
        <v>6</v>
      </c>
      <c r="M43" s="70">
        <f t="shared" si="0"/>
        <v>6435000</v>
      </c>
      <c r="N43" s="41">
        <v>0</v>
      </c>
      <c r="O43" s="41">
        <v>0</v>
      </c>
      <c r="P43" s="70">
        <f t="shared" si="1"/>
        <v>0</v>
      </c>
      <c r="Q43" s="41">
        <v>0</v>
      </c>
      <c r="R43" s="41">
        <v>0</v>
      </c>
      <c r="S43" s="70">
        <f t="shared" si="2"/>
        <v>0</v>
      </c>
      <c r="T43" s="41">
        <v>0</v>
      </c>
      <c r="U43" s="41">
        <v>0</v>
      </c>
      <c r="V43" s="70">
        <f t="shared" si="3"/>
        <v>0</v>
      </c>
      <c r="W43" s="41">
        <v>0</v>
      </c>
      <c r="X43" s="41">
        <v>0</v>
      </c>
      <c r="Y43" s="70">
        <f t="shared" si="8"/>
        <v>0</v>
      </c>
      <c r="Z43" s="41">
        <v>25</v>
      </c>
      <c r="AA43" s="41">
        <v>6</v>
      </c>
      <c r="AB43" s="70">
        <f t="shared" si="4"/>
        <v>10363631.850000005</v>
      </c>
      <c r="AC43" s="41">
        <v>0</v>
      </c>
      <c r="AD43" s="41">
        <v>0</v>
      </c>
      <c r="AE43" s="70">
        <f t="shared" si="5"/>
        <v>0</v>
      </c>
      <c r="AF43" s="28">
        <f t="shared" si="6"/>
        <v>16798631.850000005</v>
      </c>
      <c r="AG43" s="28">
        <f t="shared" si="7"/>
        <v>16309.351310679616</v>
      </c>
    </row>
    <row r="44" spans="1:33" ht="43.2" x14ac:dyDescent="0.3">
      <c r="A44" s="41" t="s">
        <v>696</v>
      </c>
      <c r="B44" s="41" t="s">
        <v>691</v>
      </c>
      <c r="C44" s="43" t="s">
        <v>657</v>
      </c>
      <c r="D44" s="41" t="s">
        <v>35</v>
      </c>
      <c r="E44" s="41" t="s">
        <v>310</v>
      </c>
      <c r="F44" s="41" t="s">
        <v>712</v>
      </c>
      <c r="G44" s="67">
        <f>1999.2/7</f>
        <v>285.60000000000002</v>
      </c>
      <c r="H44" s="85"/>
      <c r="I44" s="41"/>
      <c r="J44" s="67"/>
      <c r="K44" s="85">
        <f>2*25*9</f>
        <v>450</v>
      </c>
      <c r="L44" s="41">
        <v>0</v>
      </c>
      <c r="M44" s="70">
        <f t="shared" si="0"/>
        <v>0</v>
      </c>
      <c r="N44" s="41">
        <v>0</v>
      </c>
      <c r="O44" s="41">
        <v>0</v>
      </c>
      <c r="P44" s="70">
        <f t="shared" si="1"/>
        <v>0</v>
      </c>
      <c r="Q44" s="41">
        <v>0</v>
      </c>
      <c r="R44" s="41">
        <v>0</v>
      </c>
      <c r="S44" s="70">
        <f t="shared" si="2"/>
        <v>0</v>
      </c>
      <c r="T44" s="41">
        <v>0</v>
      </c>
      <c r="U44" s="41">
        <v>0</v>
      </c>
      <c r="V44" s="70">
        <f t="shared" si="3"/>
        <v>0</v>
      </c>
      <c r="W44" s="41">
        <v>0</v>
      </c>
      <c r="X44" s="41">
        <v>0</v>
      </c>
      <c r="Y44" s="70">
        <f t="shared" si="8"/>
        <v>0</v>
      </c>
      <c r="Z44" s="85">
        <f>2*25*9</f>
        <v>450</v>
      </c>
      <c r="AA44" s="41">
        <v>0</v>
      </c>
      <c r="AB44" s="70">
        <f t="shared" si="4"/>
        <v>0</v>
      </c>
      <c r="AC44" s="41">
        <v>0</v>
      </c>
      <c r="AD44" s="41">
        <v>0</v>
      </c>
      <c r="AE44" s="70">
        <f t="shared" si="5"/>
        <v>0</v>
      </c>
      <c r="AF44" s="28">
        <f t="shared" si="6"/>
        <v>0</v>
      </c>
      <c r="AG44" s="28">
        <f t="shared" si="7"/>
        <v>0</v>
      </c>
    </row>
    <row r="45" spans="1:33" ht="43.2" x14ac:dyDescent="0.3">
      <c r="A45" s="41" t="s">
        <v>696</v>
      </c>
      <c r="B45" s="41" t="s">
        <v>691</v>
      </c>
      <c r="C45" s="43" t="s">
        <v>657</v>
      </c>
      <c r="D45" s="41" t="s">
        <v>35</v>
      </c>
      <c r="E45" s="41" t="s">
        <v>310</v>
      </c>
      <c r="F45" s="41" t="s">
        <v>1299</v>
      </c>
      <c r="G45" s="67">
        <f>1999.2/7</f>
        <v>285.60000000000002</v>
      </c>
      <c r="H45" s="85"/>
      <c r="I45" s="41"/>
      <c r="J45" s="67"/>
      <c r="K45" s="85">
        <f>2*135*9</f>
        <v>2430</v>
      </c>
      <c r="L45" s="41"/>
      <c r="M45" s="70">
        <f t="shared" si="0"/>
        <v>0</v>
      </c>
      <c r="N45" s="41"/>
      <c r="O45" s="41"/>
      <c r="P45" s="70">
        <f t="shared" si="1"/>
        <v>0</v>
      </c>
      <c r="Q45" s="41"/>
      <c r="R45" s="41"/>
      <c r="S45" s="70">
        <f t="shared" si="2"/>
        <v>0</v>
      </c>
      <c r="T45" s="41"/>
      <c r="U45" s="41"/>
      <c r="V45" s="70">
        <f t="shared" si="3"/>
        <v>0</v>
      </c>
      <c r="W45" s="41"/>
      <c r="X45" s="41"/>
      <c r="Y45" s="70">
        <f t="shared" si="8"/>
        <v>0</v>
      </c>
      <c r="Z45" s="85">
        <f>2*135*9</f>
        <v>2430</v>
      </c>
      <c r="AA45" s="41"/>
      <c r="AB45" s="70">
        <f t="shared" si="4"/>
        <v>0</v>
      </c>
      <c r="AC45" s="41"/>
      <c r="AD45" s="41"/>
      <c r="AE45" s="70">
        <f t="shared" si="5"/>
        <v>0</v>
      </c>
      <c r="AF45" s="28">
        <f t="shared" si="6"/>
        <v>0</v>
      </c>
      <c r="AG45" s="28">
        <f t="shared" si="7"/>
        <v>0</v>
      </c>
    </row>
    <row r="46" spans="1:33" ht="43.2" x14ac:dyDescent="0.3">
      <c r="A46" s="41" t="s">
        <v>696</v>
      </c>
      <c r="B46" s="41" t="s">
        <v>691</v>
      </c>
      <c r="C46" s="43" t="s">
        <v>657</v>
      </c>
      <c r="D46" s="41" t="s">
        <v>36</v>
      </c>
      <c r="E46" s="41" t="s">
        <v>311</v>
      </c>
      <c r="F46" s="41" t="s">
        <v>741</v>
      </c>
      <c r="G46" s="67">
        <f>42000*1030</f>
        <v>43260000</v>
      </c>
      <c r="H46" s="41"/>
      <c r="I46" s="41"/>
      <c r="J46" s="67"/>
      <c r="K46" s="41">
        <v>0</v>
      </c>
      <c r="L46" s="41">
        <v>0</v>
      </c>
      <c r="M46" s="70">
        <f t="shared" si="0"/>
        <v>0</v>
      </c>
      <c r="N46" s="41">
        <v>11</v>
      </c>
      <c r="O46" s="41">
        <v>1</v>
      </c>
      <c r="P46" s="70">
        <f t="shared" si="1"/>
        <v>575790600.00000012</v>
      </c>
      <c r="Q46" s="41">
        <v>11</v>
      </c>
      <c r="R46" s="41">
        <v>1</v>
      </c>
      <c r="S46" s="70">
        <f t="shared" si="2"/>
        <v>633369660.00000012</v>
      </c>
      <c r="T46" s="41">
        <v>11</v>
      </c>
      <c r="U46" s="41">
        <v>1</v>
      </c>
      <c r="V46" s="70">
        <f t="shared" si="3"/>
        <v>696706626.00000012</v>
      </c>
      <c r="W46" s="41">
        <v>0</v>
      </c>
      <c r="X46" s="41">
        <v>0</v>
      </c>
      <c r="Y46" s="70">
        <f t="shared" si="8"/>
        <v>0</v>
      </c>
      <c r="Z46" s="41">
        <v>0</v>
      </c>
      <c r="AA46" s="41">
        <v>0</v>
      </c>
      <c r="AB46" s="70">
        <f t="shared" si="4"/>
        <v>0</v>
      </c>
      <c r="AC46" s="41">
        <v>0</v>
      </c>
      <c r="AD46" s="41">
        <v>0</v>
      </c>
      <c r="AE46" s="70">
        <f t="shared" si="5"/>
        <v>0</v>
      </c>
      <c r="AF46" s="28">
        <f t="shared" si="6"/>
        <v>1905866886.0000005</v>
      </c>
      <c r="AG46" s="28">
        <f t="shared" si="7"/>
        <v>1850356.2000000004</v>
      </c>
    </row>
    <row r="47" spans="1:33" ht="57.6" x14ac:dyDescent="0.3">
      <c r="A47" s="41" t="s">
        <v>696</v>
      </c>
      <c r="B47" s="41" t="s">
        <v>691</v>
      </c>
      <c r="C47" s="43" t="s">
        <v>657</v>
      </c>
      <c r="D47" s="41" t="s">
        <v>36</v>
      </c>
      <c r="E47" s="41" t="s">
        <v>312</v>
      </c>
      <c r="F47" s="41" t="s">
        <v>718</v>
      </c>
      <c r="G47" s="67">
        <v>0</v>
      </c>
      <c r="H47" s="41">
        <v>0</v>
      </c>
      <c r="I47" s="41">
        <v>0</v>
      </c>
      <c r="J47" s="67"/>
      <c r="K47" s="41">
        <v>0</v>
      </c>
      <c r="L47" s="41">
        <v>0</v>
      </c>
      <c r="M47" s="70">
        <f t="shared" si="0"/>
        <v>0</v>
      </c>
      <c r="N47" s="41">
        <v>0</v>
      </c>
      <c r="O47" s="41">
        <v>0</v>
      </c>
      <c r="P47" s="70">
        <f t="shared" si="1"/>
        <v>0</v>
      </c>
      <c r="Q47" s="41">
        <v>0</v>
      </c>
      <c r="R47" s="41">
        <v>0</v>
      </c>
      <c r="S47" s="70">
        <f t="shared" si="2"/>
        <v>0</v>
      </c>
      <c r="T47" s="41">
        <v>0</v>
      </c>
      <c r="U47" s="41">
        <v>0</v>
      </c>
      <c r="V47" s="70">
        <f t="shared" si="3"/>
        <v>0</v>
      </c>
      <c r="W47" s="41">
        <v>0</v>
      </c>
      <c r="X47" s="41">
        <v>0</v>
      </c>
      <c r="Y47" s="70">
        <f t="shared" si="8"/>
        <v>0</v>
      </c>
      <c r="Z47" s="41">
        <v>0</v>
      </c>
      <c r="AA47" s="41">
        <v>0</v>
      </c>
      <c r="AB47" s="70">
        <f t="shared" si="4"/>
        <v>0</v>
      </c>
      <c r="AC47" s="41">
        <v>0</v>
      </c>
      <c r="AD47" s="41">
        <v>0</v>
      </c>
      <c r="AE47" s="70">
        <f t="shared" si="5"/>
        <v>0</v>
      </c>
      <c r="AF47" s="28">
        <f t="shared" si="6"/>
        <v>0</v>
      </c>
      <c r="AG47" s="28">
        <f t="shared" si="7"/>
        <v>0</v>
      </c>
    </row>
    <row r="48" spans="1:33" ht="57.6" x14ac:dyDescent="0.3">
      <c r="A48" s="41" t="s">
        <v>696</v>
      </c>
      <c r="B48" s="41" t="s">
        <v>691</v>
      </c>
      <c r="C48" s="43" t="s">
        <v>657</v>
      </c>
      <c r="D48" s="41" t="s">
        <v>36</v>
      </c>
      <c r="E48" s="41" t="s">
        <v>312</v>
      </c>
      <c r="F48" s="41" t="s">
        <v>718</v>
      </c>
      <c r="G48" s="67">
        <v>0</v>
      </c>
      <c r="H48" s="41">
        <v>0</v>
      </c>
      <c r="I48" s="41">
        <v>0</v>
      </c>
      <c r="J48" s="67"/>
      <c r="K48" s="41">
        <v>0</v>
      </c>
      <c r="L48" s="41">
        <v>0</v>
      </c>
      <c r="M48" s="70">
        <f t="shared" si="0"/>
        <v>0</v>
      </c>
      <c r="N48" s="41">
        <v>0</v>
      </c>
      <c r="O48" s="41">
        <v>0</v>
      </c>
      <c r="P48" s="70">
        <f t="shared" si="1"/>
        <v>0</v>
      </c>
      <c r="Q48" s="41">
        <v>0</v>
      </c>
      <c r="R48" s="41">
        <v>0</v>
      </c>
      <c r="S48" s="70">
        <f t="shared" si="2"/>
        <v>0</v>
      </c>
      <c r="T48" s="41">
        <v>0</v>
      </c>
      <c r="U48" s="41">
        <v>0</v>
      </c>
      <c r="V48" s="70">
        <f t="shared" si="3"/>
        <v>0</v>
      </c>
      <c r="W48" s="41">
        <v>0</v>
      </c>
      <c r="X48" s="41">
        <v>0</v>
      </c>
      <c r="Y48" s="70">
        <f t="shared" si="8"/>
        <v>0</v>
      </c>
      <c r="Z48" s="41">
        <v>0</v>
      </c>
      <c r="AA48" s="41">
        <v>0</v>
      </c>
      <c r="AB48" s="70">
        <f t="shared" si="4"/>
        <v>0</v>
      </c>
      <c r="AC48" s="41">
        <v>0</v>
      </c>
      <c r="AD48" s="41">
        <v>0</v>
      </c>
      <c r="AE48" s="70">
        <f t="shared" si="5"/>
        <v>0</v>
      </c>
      <c r="AF48" s="28">
        <f t="shared" si="6"/>
        <v>0</v>
      </c>
      <c r="AG48" s="28">
        <f t="shared" si="7"/>
        <v>0</v>
      </c>
    </row>
    <row r="49" spans="1:33" ht="57.6" x14ac:dyDescent="0.3">
      <c r="A49" s="41" t="s">
        <v>696</v>
      </c>
      <c r="B49" s="41" t="s">
        <v>691</v>
      </c>
      <c r="C49" s="43" t="s">
        <v>657</v>
      </c>
      <c r="D49" s="41" t="s">
        <v>36</v>
      </c>
      <c r="E49" s="41" t="s">
        <v>312</v>
      </c>
      <c r="F49" s="41" t="s">
        <v>718</v>
      </c>
      <c r="G49" s="67">
        <v>0</v>
      </c>
      <c r="H49" s="41">
        <v>0</v>
      </c>
      <c r="I49" s="41">
        <v>0</v>
      </c>
      <c r="J49" s="67"/>
      <c r="K49" s="41">
        <v>0</v>
      </c>
      <c r="L49" s="41">
        <v>0</v>
      </c>
      <c r="M49" s="70">
        <f t="shared" si="0"/>
        <v>0</v>
      </c>
      <c r="N49" s="41">
        <v>0</v>
      </c>
      <c r="O49" s="41">
        <v>0</v>
      </c>
      <c r="P49" s="70">
        <f t="shared" si="1"/>
        <v>0</v>
      </c>
      <c r="Q49" s="41">
        <v>0</v>
      </c>
      <c r="R49" s="41">
        <v>0</v>
      </c>
      <c r="S49" s="70">
        <f t="shared" si="2"/>
        <v>0</v>
      </c>
      <c r="T49" s="41">
        <v>0</v>
      </c>
      <c r="U49" s="41">
        <v>0</v>
      </c>
      <c r="V49" s="70">
        <f t="shared" si="3"/>
        <v>0</v>
      </c>
      <c r="W49" s="41">
        <v>0</v>
      </c>
      <c r="X49" s="41">
        <v>0</v>
      </c>
      <c r="Y49" s="70">
        <f t="shared" si="8"/>
        <v>0</v>
      </c>
      <c r="Z49" s="41">
        <v>0</v>
      </c>
      <c r="AA49" s="41">
        <v>0</v>
      </c>
      <c r="AB49" s="70">
        <f t="shared" si="4"/>
        <v>0</v>
      </c>
      <c r="AC49" s="41">
        <v>0</v>
      </c>
      <c r="AD49" s="41">
        <v>0</v>
      </c>
      <c r="AE49" s="70">
        <f t="shared" si="5"/>
        <v>0</v>
      </c>
      <c r="AF49" s="28">
        <f t="shared" si="6"/>
        <v>0</v>
      </c>
      <c r="AG49" s="28">
        <f t="shared" si="7"/>
        <v>0</v>
      </c>
    </row>
    <row r="50" spans="1:33" ht="72" x14ac:dyDescent="0.3">
      <c r="A50" s="41" t="s">
        <v>696</v>
      </c>
      <c r="B50" s="41" t="s">
        <v>691</v>
      </c>
      <c r="C50" s="43" t="s">
        <v>657</v>
      </c>
      <c r="D50" s="41" t="s">
        <v>37</v>
      </c>
      <c r="E50" s="41" t="s">
        <v>313</v>
      </c>
      <c r="F50" s="41" t="s">
        <v>707</v>
      </c>
      <c r="G50" s="67">
        <v>391991.03749999998</v>
      </c>
      <c r="H50" s="41">
        <v>2</v>
      </c>
      <c r="I50" s="41">
        <v>2</v>
      </c>
      <c r="J50" s="67">
        <f>G50*H50*I50</f>
        <v>1567964.15</v>
      </c>
      <c r="K50" s="41">
        <v>2</v>
      </c>
      <c r="L50" s="41">
        <v>2</v>
      </c>
      <c r="M50" s="70">
        <f t="shared" si="0"/>
        <v>1724760.5649999999</v>
      </c>
      <c r="N50" s="41">
        <v>0</v>
      </c>
      <c r="O50" s="41">
        <v>0</v>
      </c>
      <c r="P50" s="70">
        <f t="shared" si="1"/>
        <v>0</v>
      </c>
      <c r="Q50" s="41">
        <v>0</v>
      </c>
      <c r="R50" s="41">
        <v>0</v>
      </c>
      <c r="S50" s="70">
        <f t="shared" si="2"/>
        <v>0</v>
      </c>
      <c r="T50" s="41">
        <v>0</v>
      </c>
      <c r="U50" s="41">
        <v>0</v>
      </c>
      <c r="V50" s="70">
        <f t="shared" si="3"/>
        <v>0</v>
      </c>
      <c r="W50" s="41">
        <v>0</v>
      </c>
      <c r="X50" s="41">
        <v>0</v>
      </c>
      <c r="Y50" s="70">
        <f t="shared" si="8"/>
        <v>0</v>
      </c>
      <c r="Z50" s="41">
        <v>2</v>
      </c>
      <c r="AA50" s="41">
        <v>2</v>
      </c>
      <c r="AB50" s="70">
        <f t="shared" si="4"/>
        <v>2777744.1375381513</v>
      </c>
      <c r="AC50" s="41">
        <v>0</v>
      </c>
      <c r="AD50" s="41">
        <v>0</v>
      </c>
      <c r="AE50" s="70">
        <f t="shared" si="5"/>
        <v>0</v>
      </c>
      <c r="AF50" s="28">
        <f t="shared" si="6"/>
        <v>6070468.8525381517</v>
      </c>
      <c r="AG50" s="28">
        <f t="shared" si="7"/>
        <v>5893.6590801341281</v>
      </c>
    </row>
    <row r="51" spans="1:33" ht="72" x14ac:dyDescent="0.3">
      <c r="A51" s="41" t="s">
        <v>696</v>
      </c>
      <c r="B51" s="41" t="s">
        <v>691</v>
      </c>
      <c r="C51" s="43" t="s">
        <v>657</v>
      </c>
      <c r="D51" s="41" t="s">
        <v>37</v>
      </c>
      <c r="E51" s="41" t="s">
        <v>313</v>
      </c>
      <c r="F51" s="41" t="s">
        <v>708</v>
      </c>
      <c r="G51" s="67">
        <f>500*1030</f>
        <v>515000</v>
      </c>
      <c r="H51" s="41">
        <v>0</v>
      </c>
      <c r="I51" s="41">
        <v>0</v>
      </c>
      <c r="J51" s="67"/>
      <c r="K51" s="41">
        <v>0</v>
      </c>
      <c r="L51" s="41">
        <v>0</v>
      </c>
      <c r="M51" s="70">
        <f t="shared" si="0"/>
        <v>0</v>
      </c>
      <c r="N51" s="41">
        <v>0</v>
      </c>
      <c r="O51" s="41">
        <v>0</v>
      </c>
      <c r="P51" s="70">
        <f t="shared" si="1"/>
        <v>0</v>
      </c>
      <c r="Q51" s="41">
        <v>0</v>
      </c>
      <c r="R51" s="41">
        <v>0</v>
      </c>
      <c r="S51" s="70">
        <f t="shared" si="2"/>
        <v>0</v>
      </c>
      <c r="T51" s="41">
        <v>0</v>
      </c>
      <c r="U51" s="41">
        <v>0</v>
      </c>
      <c r="V51" s="70">
        <f t="shared" si="3"/>
        <v>0</v>
      </c>
      <c r="W51" s="41">
        <v>0</v>
      </c>
      <c r="X51" s="41">
        <v>0</v>
      </c>
      <c r="Y51" s="70">
        <f t="shared" si="8"/>
        <v>0</v>
      </c>
      <c r="Z51" s="41">
        <v>0</v>
      </c>
      <c r="AA51" s="41">
        <v>0</v>
      </c>
      <c r="AB51" s="70">
        <f t="shared" si="4"/>
        <v>0</v>
      </c>
      <c r="AC51" s="41">
        <v>0</v>
      </c>
      <c r="AD51" s="41">
        <v>0</v>
      </c>
      <c r="AE51" s="70">
        <f t="shared" si="5"/>
        <v>0</v>
      </c>
      <c r="AF51" s="28">
        <f t="shared" si="6"/>
        <v>0</v>
      </c>
      <c r="AG51" s="28">
        <f t="shared" si="7"/>
        <v>0</v>
      </c>
    </row>
    <row r="52" spans="1:33" ht="72" x14ac:dyDescent="0.3">
      <c r="A52" s="41" t="s">
        <v>696</v>
      </c>
      <c r="B52" s="41" t="s">
        <v>691</v>
      </c>
      <c r="C52" s="43" t="s">
        <v>657</v>
      </c>
      <c r="D52" s="41" t="s">
        <v>37</v>
      </c>
      <c r="E52" s="41" t="s">
        <v>314</v>
      </c>
      <c r="F52" s="41" t="s">
        <v>716</v>
      </c>
      <c r="G52" s="67">
        <v>39000</v>
      </c>
      <c r="H52" s="41">
        <v>25</v>
      </c>
      <c r="I52" s="41">
        <f>6*4</f>
        <v>24</v>
      </c>
      <c r="J52" s="67">
        <f t="shared" ref="J52:J57" si="9">G52*H52*I52</f>
        <v>23400000</v>
      </c>
      <c r="K52" s="41">
        <v>25</v>
      </c>
      <c r="L52" s="41">
        <f>6*4</f>
        <v>24</v>
      </c>
      <c r="M52" s="70">
        <f t="shared" si="0"/>
        <v>25740000</v>
      </c>
      <c r="N52" s="41">
        <v>0</v>
      </c>
      <c r="O52" s="41">
        <v>0</v>
      </c>
      <c r="P52" s="70">
        <f t="shared" si="1"/>
        <v>0</v>
      </c>
      <c r="Q52" s="41">
        <v>0</v>
      </c>
      <c r="R52" s="41">
        <v>0</v>
      </c>
      <c r="S52" s="70">
        <f t="shared" si="2"/>
        <v>0</v>
      </c>
      <c r="T52" s="41">
        <v>0</v>
      </c>
      <c r="U52" s="41">
        <v>0</v>
      </c>
      <c r="V52" s="70">
        <f t="shared" si="3"/>
        <v>0</v>
      </c>
      <c r="W52" s="41">
        <v>0</v>
      </c>
      <c r="X52" s="41">
        <v>0</v>
      </c>
      <c r="Y52" s="70">
        <f t="shared" si="8"/>
        <v>0</v>
      </c>
      <c r="Z52" s="41">
        <v>25</v>
      </c>
      <c r="AA52" s="41">
        <f>6*4</f>
        <v>24</v>
      </c>
      <c r="AB52" s="70">
        <f t="shared" si="4"/>
        <v>41454527.400000021</v>
      </c>
      <c r="AC52" s="41">
        <v>0</v>
      </c>
      <c r="AD52" s="41">
        <v>0</v>
      </c>
      <c r="AE52" s="70">
        <f t="shared" si="5"/>
        <v>0</v>
      </c>
      <c r="AF52" s="28">
        <f t="shared" si="6"/>
        <v>90594527.400000021</v>
      </c>
      <c r="AG52" s="28">
        <f t="shared" si="7"/>
        <v>87955.85184466021</v>
      </c>
    </row>
    <row r="53" spans="1:33" ht="72" x14ac:dyDescent="0.3">
      <c r="A53" s="41" t="s">
        <v>696</v>
      </c>
      <c r="B53" s="41" t="s">
        <v>691</v>
      </c>
      <c r="C53" s="43" t="s">
        <v>657</v>
      </c>
      <c r="D53" s="41" t="s">
        <v>37</v>
      </c>
      <c r="E53" s="41" t="s">
        <v>314</v>
      </c>
      <c r="F53" s="41" t="s">
        <v>709</v>
      </c>
      <c r="G53" s="67">
        <v>35000</v>
      </c>
      <c r="H53" s="41">
        <v>25</v>
      </c>
      <c r="I53" s="41">
        <f>5*4</f>
        <v>20</v>
      </c>
      <c r="J53" s="67">
        <f t="shared" si="9"/>
        <v>17500000</v>
      </c>
      <c r="K53" s="41">
        <v>25</v>
      </c>
      <c r="L53" s="41">
        <f>5*4</f>
        <v>20</v>
      </c>
      <c r="M53" s="70">
        <f t="shared" si="0"/>
        <v>19250000</v>
      </c>
      <c r="N53" s="41">
        <v>0</v>
      </c>
      <c r="O53" s="41">
        <v>0</v>
      </c>
      <c r="P53" s="70">
        <f t="shared" si="1"/>
        <v>0</v>
      </c>
      <c r="Q53" s="41">
        <v>0</v>
      </c>
      <c r="R53" s="41">
        <v>0</v>
      </c>
      <c r="S53" s="70">
        <f t="shared" si="2"/>
        <v>0</v>
      </c>
      <c r="T53" s="41">
        <v>0</v>
      </c>
      <c r="U53" s="41">
        <v>0</v>
      </c>
      <c r="V53" s="70">
        <f t="shared" si="3"/>
        <v>0</v>
      </c>
      <c r="W53" s="41">
        <v>0</v>
      </c>
      <c r="X53" s="41">
        <v>0</v>
      </c>
      <c r="Y53" s="70">
        <f t="shared" si="8"/>
        <v>0</v>
      </c>
      <c r="Z53" s="41">
        <v>25</v>
      </c>
      <c r="AA53" s="41">
        <f>5*4</f>
        <v>20</v>
      </c>
      <c r="AB53" s="70">
        <f t="shared" si="4"/>
        <v>31002317.500000015</v>
      </c>
      <c r="AC53" s="41">
        <v>0</v>
      </c>
      <c r="AD53" s="41">
        <v>0</v>
      </c>
      <c r="AE53" s="70">
        <f t="shared" si="5"/>
        <v>0</v>
      </c>
      <c r="AF53" s="28">
        <f t="shared" si="6"/>
        <v>67752317.500000015</v>
      </c>
      <c r="AG53" s="28">
        <f t="shared" si="7"/>
        <v>65778.949029126234</v>
      </c>
    </row>
    <row r="54" spans="1:33" ht="72" x14ac:dyDescent="0.3">
      <c r="A54" s="41" t="s">
        <v>696</v>
      </c>
      <c r="B54" s="41" t="s">
        <v>691</v>
      </c>
      <c r="C54" s="43" t="s">
        <v>657</v>
      </c>
      <c r="D54" s="41" t="s">
        <v>37</v>
      </c>
      <c r="E54" s="41" t="s">
        <v>314</v>
      </c>
      <c r="F54" s="41" t="s">
        <v>712</v>
      </c>
      <c r="G54" s="67">
        <f>1999.2/7</f>
        <v>285.60000000000002</v>
      </c>
      <c r="H54" s="41">
        <f>2*25*9</f>
        <v>450</v>
      </c>
      <c r="I54" s="41">
        <f>5*4</f>
        <v>20</v>
      </c>
      <c r="J54" s="67">
        <f t="shared" si="9"/>
        <v>2570400.0000000005</v>
      </c>
      <c r="K54" s="41">
        <f>2*25*9</f>
        <v>450</v>
      </c>
      <c r="L54" s="41">
        <f>5*4</f>
        <v>20</v>
      </c>
      <c r="M54" s="70">
        <f t="shared" si="0"/>
        <v>2827440</v>
      </c>
      <c r="N54" s="41">
        <v>0</v>
      </c>
      <c r="O54" s="41">
        <v>0</v>
      </c>
      <c r="P54" s="70">
        <f t="shared" si="1"/>
        <v>0</v>
      </c>
      <c r="Q54" s="41">
        <v>0</v>
      </c>
      <c r="R54" s="41">
        <v>0</v>
      </c>
      <c r="S54" s="70">
        <f t="shared" si="2"/>
        <v>0</v>
      </c>
      <c r="T54" s="41">
        <v>0</v>
      </c>
      <c r="U54" s="41">
        <v>0</v>
      </c>
      <c r="V54" s="70">
        <f t="shared" si="3"/>
        <v>0</v>
      </c>
      <c r="W54" s="41">
        <v>0</v>
      </c>
      <c r="X54" s="41">
        <v>0</v>
      </c>
      <c r="Y54" s="70">
        <f t="shared" si="8"/>
        <v>0</v>
      </c>
      <c r="Z54" s="41">
        <f>2*25*9</f>
        <v>450</v>
      </c>
      <c r="AA54" s="41">
        <f>5*4</f>
        <v>20</v>
      </c>
      <c r="AB54" s="70">
        <f t="shared" si="4"/>
        <v>4553620.3944000024</v>
      </c>
      <c r="AC54" s="41">
        <v>0</v>
      </c>
      <c r="AD54" s="41">
        <v>0</v>
      </c>
      <c r="AE54" s="70">
        <f t="shared" si="5"/>
        <v>0</v>
      </c>
      <c r="AF54" s="28">
        <f t="shared" si="6"/>
        <v>9951460.3944000024</v>
      </c>
      <c r="AG54" s="28">
        <f t="shared" si="7"/>
        <v>9661.6120333980598</v>
      </c>
    </row>
    <row r="55" spans="1:33" ht="72" x14ac:dyDescent="0.3">
      <c r="A55" s="41" t="s">
        <v>696</v>
      </c>
      <c r="B55" s="41" t="s">
        <v>691</v>
      </c>
      <c r="C55" s="43" t="s">
        <v>657</v>
      </c>
      <c r="D55" s="41" t="s">
        <v>37</v>
      </c>
      <c r="E55" s="41" t="s">
        <v>314</v>
      </c>
      <c r="F55" s="41" t="s">
        <v>1299</v>
      </c>
      <c r="G55" s="67">
        <f>1999.2/7</f>
        <v>285.60000000000002</v>
      </c>
      <c r="H55" s="41">
        <f>2*135*9</f>
        <v>2430</v>
      </c>
      <c r="I55" s="41">
        <v>4</v>
      </c>
      <c r="J55" s="67">
        <f t="shared" si="9"/>
        <v>2776032</v>
      </c>
      <c r="K55" s="41">
        <f>2*135*9</f>
        <v>2430</v>
      </c>
      <c r="L55" s="41">
        <v>4</v>
      </c>
      <c r="M55" s="70">
        <f t="shared" si="0"/>
        <v>3053635.2</v>
      </c>
      <c r="N55" s="41"/>
      <c r="O55" s="41"/>
      <c r="P55" s="70">
        <f t="shared" si="1"/>
        <v>0</v>
      </c>
      <c r="Q55" s="41"/>
      <c r="R55" s="41"/>
      <c r="S55" s="70">
        <f t="shared" si="2"/>
        <v>0</v>
      </c>
      <c r="T55" s="41"/>
      <c r="U55" s="41"/>
      <c r="V55" s="70">
        <f t="shared" si="3"/>
        <v>0</v>
      </c>
      <c r="W55" s="41"/>
      <c r="X55" s="41"/>
      <c r="Y55" s="70">
        <f t="shared" si="8"/>
        <v>0</v>
      </c>
      <c r="Z55" s="41">
        <f>2*135*9</f>
        <v>2430</v>
      </c>
      <c r="AA55" s="41">
        <v>4</v>
      </c>
      <c r="AB55" s="70">
        <f t="shared" si="4"/>
        <v>4917910.025952003</v>
      </c>
      <c r="AC55" s="41"/>
      <c r="AD55" s="41"/>
      <c r="AE55" s="70">
        <f t="shared" si="5"/>
        <v>0</v>
      </c>
      <c r="AF55" s="28">
        <f t="shared" si="6"/>
        <v>10747577.225952003</v>
      </c>
      <c r="AG55" s="28">
        <f t="shared" si="7"/>
        <v>10434.540996069905</v>
      </c>
    </row>
    <row r="56" spans="1:33" ht="72" x14ac:dyDescent="0.3">
      <c r="A56" s="41" t="s">
        <v>696</v>
      </c>
      <c r="B56" s="41" t="s">
        <v>691</v>
      </c>
      <c r="C56" s="43" t="s">
        <v>657</v>
      </c>
      <c r="D56" s="41" t="s">
        <v>37</v>
      </c>
      <c r="E56" s="41" t="s">
        <v>315</v>
      </c>
      <c r="F56" s="41" t="s">
        <v>709</v>
      </c>
      <c r="G56" s="67">
        <v>35000</v>
      </c>
      <c r="H56" s="41">
        <v>50</v>
      </c>
      <c r="I56" s="41">
        <v>1</v>
      </c>
      <c r="J56" s="67">
        <f t="shared" si="9"/>
        <v>1750000</v>
      </c>
      <c r="K56" s="41">
        <v>50</v>
      </c>
      <c r="L56" s="41">
        <v>1</v>
      </c>
      <c r="M56" s="70">
        <f t="shared" si="0"/>
        <v>1925000</v>
      </c>
      <c r="N56" s="41">
        <v>0</v>
      </c>
      <c r="O56" s="41">
        <v>0</v>
      </c>
      <c r="P56" s="70">
        <f t="shared" si="1"/>
        <v>0</v>
      </c>
      <c r="Q56" s="41">
        <v>0</v>
      </c>
      <c r="R56" s="41">
        <v>0</v>
      </c>
      <c r="S56" s="70">
        <f t="shared" si="2"/>
        <v>0</v>
      </c>
      <c r="T56" s="41">
        <v>0</v>
      </c>
      <c r="U56" s="41">
        <v>0</v>
      </c>
      <c r="V56" s="70">
        <f t="shared" si="3"/>
        <v>0</v>
      </c>
      <c r="W56" s="41">
        <v>0</v>
      </c>
      <c r="X56" s="41">
        <v>0</v>
      </c>
      <c r="Y56" s="70">
        <f t="shared" si="8"/>
        <v>0</v>
      </c>
      <c r="Z56" s="41">
        <v>50</v>
      </c>
      <c r="AA56" s="41">
        <v>1</v>
      </c>
      <c r="AB56" s="70">
        <f t="shared" si="4"/>
        <v>3100231.7500000014</v>
      </c>
      <c r="AC56" s="41">
        <v>0</v>
      </c>
      <c r="AD56" s="41">
        <v>0</v>
      </c>
      <c r="AE56" s="70">
        <f t="shared" si="5"/>
        <v>0</v>
      </c>
      <c r="AF56" s="28">
        <f t="shared" si="6"/>
        <v>6775231.7500000019</v>
      </c>
      <c r="AG56" s="28">
        <f t="shared" si="7"/>
        <v>6577.8949029126234</v>
      </c>
    </row>
    <row r="57" spans="1:33" ht="72" x14ac:dyDescent="0.3">
      <c r="A57" s="41" t="s">
        <v>696</v>
      </c>
      <c r="B57" s="41" t="s">
        <v>691</v>
      </c>
      <c r="C57" s="43" t="s">
        <v>657</v>
      </c>
      <c r="D57" s="41" t="s">
        <v>37</v>
      </c>
      <c r="E57" s="41" t="s">
        <v>1384</v>
      </c>
      <c r="F57" s="41" t="s">
        <v>709</v>
      </c>
      <c r="G57" s="67">
        <v>35000</v>
      </c>
      <c r="H57" s="41">
        <v>58</v>
      </c>
      <c r="I57" s="41">
        <v>5</v>
      </c>
      <c r="J57" s="67">
        <f t="shared" si="9"/>
        <v>10150000</v>
      </c>
      <c r="K57" s="41">
        <v>58</v>
      </c>
      <c r="L57" s="41">
        <v>5</v>
      </c>
      <c r="M57" s="70">
        <f t="shared" si="0"/>
        <v>11165000</v>
      </c>
      <c r="N57" s="41">
        <v>0</v>
      </c>
      <c r="O57" s="41">
        <v>0</v>
      </c>
      <c r="P57" s="70">
        <f t="shared" si="1"/>
        <v>0</v>
      </c>
      <c r="Q57" s="41">
        <v>0</v>
      </c>
      <c r="R57" s="41">
        <v>0</v>
      </c>
      <c r="S57" s="70">
        <f t="shared" si="2"/>
        <v>0</v>
      </c>
      <c r="T57" s="41">
        <v>0</v>
      </c>
      <c r="U57" s="41">
        <v>0</v>
      </c>
      <c r="V57" s="70">
        <f t="shared" si="3"/>
        <v>0</v>
      </c>
      <c r="W57" s="41">
        <v>0</v>
      </c>
      <c r="X57" s="41">
        <v>0</v>
      </c>
      <c r="Y57" s="70">
        <f t="shared" si="8"/>
        <v>0</v>
      </c>
      <c r="Z57" s="41">
        <v>58</v>
      </c>
      <c r="AA57" s="41">
        <v>5</v>
      </c>
      <c r="AB57" s="70">
        <f t="shared" si="4"/>
        <v>17981344.15000001</v>
      </c>
      <c r="AC57" s="41">
        <v>0</v>
      </c>
      <c r="AD57" s="41">
        <v>0</v>
      </c>
      <c r="AE57" s="70">
        <f t="shared" si="5"/>
        <v>0</v>
      </c>
      <c r="AF57" s="28">
        <f t="shared" si="6"/>
        <v>39296344.150000006</v>
      </c>
      <c r="AG57" s="28">
        <f t="shared" si="7"/>
        <v>38151.790436893207</v>
      </c>
    </row>
    <row r="58" spans="1:33" ht="72" x14ac:dyDescent="0.3">
      <c r="A58" s="41" t="s">
        <v>696</v>
      </c>
      <c r="B58" s="41" t="s">
        <v>691</v>
      </c>
      <c r="C58" s="43" t="s">
        <v>657</v>
      </c>
      <c r="D58" s="41" t="s">
        <v>37</v>
      </c>
      <c r="E58" s="41" t="s">
        <v>317</v>
      </c>
      <c r="F58" s="41" t="s">
        <v>718</v>
      </c>
      <c r="G58" s="67">
        <v>0</v>
      </c>
      <c r="H58" s="41">
        <v>0</v>
      </c>
      <c r="I58" s="41">
        <v>0</v>
      </c>
      <c r="J58" s="67"/>
      <c r="K58" s="41">
        <v>0</v>
      </c>
      <c r="L58" s="41">
        <v>0</v>
      </c>
      <c r="M58" s="70">
        <f t="shared" si="0"/>
        <v>0</v>
      </c>
      <c r="N58" s="41">
        <v>0</v>
      </c>
      <c r="O58" s="41">
        <v>0</v>
      </c>
      <c r="P58" s="70">
        <f t="shared" si="1"/>
        <v>0</v>
      </c>
      <c r="Q58" s="41">
        <v>0</v>
      </c>
      <c r="R58" s="41">
        <v>0</v>
      </c>
      <c r="S58" s="70">
        <f t="shared" si="2"/>
        <v>0</v>
      </c>
      <c r="T58" s="41">
        <v>0</v>
      </c>
      <c r="U58" s="41">
        <v>0</v>
      </c>
      <c r="V58" s="70">
        <f t="shared" si="3"/>
        <v>0</v>
      </c>
      <c r="W58" s="41">
        <v>0</v>
      </c>
      <c r="X58" s="41">
        <v>0</v>
      </c>
      <c r="Y58" s="70">
        <f t="shared" si="8"/>
        <v>0</v>
      </c>
      <c r="Z58" s="41">
        <v>0</v>
      </c>
      <c r="AA58" s="41">
        <v>0</v>
      </c>
      <c r="AB58" s="70">
        <f t="shared" si="4"/>
        <v>0</v>
      </c>
      <c r="AC58" s="41">
        <v>0</v>
      </c>
      <c r="AD58" s="41">
        <v>0</v>
      </c>
      <c r="AE58" s="70">
        <f t="shared" si="5"/>
        <v>0</v>
      </c>
      <c r="AF58" s="28">
        <f t="shared" si="6"/>
        <v>0</v>
      </c>
      <c r="AG58" s="28">
        <f t="shared" si="7"/>
        <v>0</v>
      </c>
    </row>
    <row r="59" spans="1:33" ht="72" x14ac:dyDescent="0.3">
      <c r="A59" s="41" t="s">
        <v>696</v>
      </c>
      <c r="B59" s="41" t="s">
        <v>691</v>
      </c>
      <c r="C59" s="43" t="s">
        <v>657</v>
      </c>
      <c r="D59" s="41" t="s">
        <v>37</v>
      </c>
      <c r="E59" s="41" t="s">
        <v>318</v>
      </c>
      <c r="F59" s="41" t="s">
        <v>716</v>
      </c>
      <c r="G59" s="67">
        <v>39000</v>
      </c>
      <c r="H59" s="41">
        <v>100</v>
      </c>
      <c r="I59" s="41">
        <v>1</v>
      </c>
      <c r="J59" s="67">
        <f>G59*H59*I59</f>
        <v>3900000</v>
      </c>
      <c r="K59" s="41">
        <v>100</v>
      </c>
      <c r="L59" s="41">
        <v>1</v>
      </c>
      <c r="M59" s="70">
        <f t="shared" si="0"/>
        <v>4290000</v>
      </c>
      <c r="N59" s="41">
        <v>0</v>
      </c>
      <c r="O59" s="41">
        <v>0</v>
      </c>
      <c r="P59" s="70">
        <f t="shared" si="1"/>
        <v>0</v>
      </c>
      <c r="Q59" s="41">
        <v>0</v>
      </c>
      <c r="R59" s="41">
        <v>0</v>
      </c>
      <c r="S59" s="70">
        <f t="shared" si="2"/>
        <v>0</v>
      </c>
      <c r="T59" s="41">
        <v>0</v>
      </c>
      <c r="U59" s="41">
        <v>0</v>
      </c>
      <c r="V59" s="70">
        <f t="shared" si="3"/>
        <v>0</v>
      </c>
      <c r="W59" s="41">
        <v>0</v>
      </c>
      <c r="X59" s="41">
        <v>0</v>
      </c>
      <c r="Y59" s="70">
        <f t="shared" si="8"/>
        <v>0</v>
      </c>
      <c r="Z59" s="41">
        <v>100</v>
      </c>
      <c r="AA59" s="41">
        <v>1</v>
      </c>
      <c r="AB59" s="70">
        <f t="shared" si="4"/>
        <v>6909087.9000000032</v>
      </c>
      <c r="AC59" s="41">
        <v>0</v>
      </c>
      <c r="AD59" s="41">
        <v>0</v>
      </c>
      <c r="AE59" s="70">
        <f t="shared" si="5"/>
        <v>0</v>
      </c>
      <c r="AF59" s="28">
        <f t="shared" si="6"/>
        <v>15099087.900000002</v>
      </c>
      <c r="AG59" s="28">
        <f t="shared" si="7"/>
        <v>14659.3086407767</v>
      </c>
    </row>
    <row r="60" spans="1:33" ht="72" x14ac:dyDescent="0.3">
      <c r="A60" s="41" t="s">
        <v>696</v>
      </c>
      <c r="B60" s="41" t="s">
        <v>691</v>
      </c>
      <c r="C60" s="43" t="s">
        <v>657</v>
      </c>
      <c r="D60" s="41" t="s">
        <v>37</v>
      </c>
      <c r="E60" s="41" t="s">
        <v>318</v>
      </c>
      <c r="F60" s="41" t="s">
        <v>709</v>
      </c>
      <c r="G60" s="67">
        <v>35000</v>
      </c>
      <c r="H60" s="41">
        <v>58</v>
      </c>
      <c r="I60" s="41">
        <v>1</v>
      </c>
      <c r="J60" s="67">
        <f>G60*H60*I60</f>
        <v>2030000</v>
      </c>
      <c r="K60" s="41">
        <v>58</v>
      </c>
      <c r="L60" s="41">
        <v>1</v>
      </c>
      <c r="M60" s="70">
        <f t="shared" si="0"/>
        <v>2233000</v>
      </c>
      <c r="N60" s="41">
        <v>0</v>
      </c>
      <c r="O60" s="41">
        <v>0</v>
      </c>
      <c r="P60" s="70">
        <f t="shared" si="1"/>
        <v>0</v>
      </c>
      <c r="Q60" s="41">
        <v>0</v>
      </c>
      <c r="R60" s="41">
        <v>0</v>
      </c>
      <c r="S60" s="70">
        <f t="shared" si="2"/>
        <v>0</v>
      </c>
      <c r="T60" s="41">
        <v>0</v>
      </c>
      <c r="U60" s="41">
        <v>0</v>
      </c>
      <c r="V60" s="70">
        <f t="shared" si="3"/>
        <v>0</v>
      </c>
      <c r="W60" s="41">
        <v>0</v>
      </c>
      <c r="X60" s="41">
        <v>0</v>
      </c>
      <c r="Y60" s="70">
        <f t="shared" si="8"/>
        <v>0</v>
      </c>
      <c r="Z60" s="41">
        <v>58</v>
      </c>
      <c r="AA60" s="41">
        <v>1</v>
      </c>
      <c r="AB60" s="70">
        <f t="shared" si="4"/>
        <v>3596268.8300000019</v>
      </c>
      <c r="AC60" s="41">
        <v>0</v>
      </c>
      <c r="AD60" s="41">
        <v>0</v>
      </c>
      <c r="AE60" s="70">
        <f t="shared" si="5"/>
        <v>0</v>
      </c>
      <c r="AF60" s="28">
        <f t="shared" si="6"/>
        <v>7859268.8300000019</v>
      </c>
      <c r="AG60" s="28">
        <f t="shared" si="7"/>
        <v>7630.3580873786423</v>
      </c>
    </row>
    <row r="61" spans="1:33" ht="72" x14ac:dyDescent="0.3">
      <c r="A61" s="41" t="s">
        <v>696</v>
      </c>
      <c r="B61" s="41" t="s">
        <v>691</v>
      </c>
      <c r="C61" s="43" t="s">
        <v>657</v>
      </c>
      <c r="D61" s="41" t="s">
        <v>37</v>
      </c>
      <c r="E61" s="41" t="s">
        <v>318</v>
      </c>
      <c r="F61" s="41" t="s">
        <v>712</v>
      </c>
      <c r="G61" s="67">
        <f>1999.2/7</f>
        <v>285.60000000000002</v>
      </c>
      <c r="H61" s="41">
        <f>2*25*29</f>
        <v>1450</v>
      </c>
      <c r="I61" s="41">
        <v>1</v>
      </c>
      <c r="J61" s="67">
        <f>G61*H61*I61</f>
        <v>414120.00000000006</v>
      </c>
      <c r="K61" s="41">
        <f>2*25*29</f>
        <v>1450</v>
      </c>
      <c r="L61" s="41">
        <v>1</v>
      </c>
      <c r="M61" s="70">
        <f t="shared" si="0"/>
        <v>455532.00000000006</v>
      </c>
      <c r="N61" s="41">
        <v>0</v>
      </c>
      <c r="O61" s="41">
        <v>0</v>
      </c>
      <c r="P61" s="70">
        <f t="shared" si="1"/>
        <v>0</v>
      </c>
      <c r="Q61" s="41">
        <v>0</v>
      </c>
      <c r="R61" s="41">
        <v>0</v>
      </c>
      <c r="S61" s="70">
        <f t="shared" si="2"/>
        <v>0</v>
      </c>
      <c r="T61" s="41">
        <v>0</v>
      </c>
      <c r="U61" s="41">
        <v>0</v>
      </c>
      <c r="V61" s="70">
        <f t="shared" si="3"/>
        <v>0</v>
      </c>
      <c r="W61" s="41">
        <v>0</v>
      </c>
      <c r="X61" s="41">
        <v>0</v>
      </c>
      <c r="Y61" s="70">
        <f t="shared" si="8"/>
        <v>0</v>
      </c>
      <c r="Z61" s="41">
        <f>2*25*29</f>
        <v>1450</v>
      </c>
      <c r="AA61" s="41">
        <v>1</v>
      </c>
      <c r="AB61" s="70">
        <f t="shared" si="4"/>
        <v>733638.84132000036</v>
      </c>
      <c r="AC61" s="41">
        <v>0</v>
      </c>
      <c r="AD61" s="41">
        <v>0</v>
      </c>
      <c r="AE61" s="70">
        <f t="shared" si="5"/>
        <v>0</v>
      </c>
      <c r="AF61" s="28">
        <f t="shared" si="6"/>
        <v>1603290.8413200006</v>
      </c>
      <c r="AG61" s="28">
        <f t="shared" si="7"/>
        <v>1556.5930498252433</v>
      </c>
    </row>
    <row r="62" spans="1:33" ht="72" x14ac:dyDescent="0.3">
      <c r="A62" s="41" t="s">
        <v>696</v>
      </c>
      <c r="B62" s="41" t="s">
        <v>691</v>
      </c>
      <c r="C62" s="43" t="s">
        <v>657</v>
      </c>
      <c r="D62" s="41" t="s">
        <v>37</v>
      </c>
      <c r="E62" s="41" t="s">
        <v>318</v>
      </c>
      <c r="F62" s="41" t="s">
        <v>1299</v>
      </c>
      <c r="G62" s="67">
        <f>1999.2/7</f>
        <v>285.60000000000002</v>
      </c>
      <c r="H62" s="41">
        <v>22500</v>
      </c>
      <c r="I62" s="41">
        <v>1</v>
      </c>
      <c r="J62" s="67">
        <f>G62*H62*I62</f>
        <v>6426000.0000000009</v>
      </c>
      <c r="K62" s="41">
        <v>22500</v>
      </c>
      <c r="L62" s="41">
        <v>1</v>
      </c>
      <c r="M62" s="70">
        <f t="shared" si="0"/>
        <v>7068600.0000000009</v>
      </c>
      <c r="N62" s="41"/>
      <c r="O62" s="41"/>
      <c r="P62" s="70">
        <f t="shared" si="1"/>
        <v>0</v>
      </c>
      <c r="Q62" s="41"/>
      <c r="R62" s="41"/>
      <c r="S62" s="70">
        <f t="shared" si="2"/>
        <v>0</v>
      </c>
      <c r="T62" s="41"/>
      <c r="U62" s="41"/>
      <c r="V62" s="70">
        <f t="shared" si="3"/>
        <v>0</v>
      </c>
      <c r="W62" s="41"/>
      <c r="X62" s="41"/>
      <c r="Y62" s="70">
        <f t="shared" si="8"/>
        <v>0</v>
      </c>
      <c r="Z62" s="41">
        <v>22500</v>
      </c>
      <c r="AA62" s="41">
        <v>1</v>
      </c>
      <c r="AB62" s="70">
        <f t="shared" si="4"/>
        <v>11384050.986000007</v>
      </c>
      <c r="AC62" s="41"/>
      <c r="AD62" s="41"/>
      <c r="AE62" s="70">
        <f t="shared" si="5"/>
        <v>0</v>
      </c>
      <c r="AF62" s="28">
        <f t="shared" si="6"/>
        <v>24878650.986000009</v>
      </c>
      <c r="AG62" s="28">
        <f t="shared" si="7"/>
        <v>24154.030083495156</v>
      </c>
    </row>
    <row r="63" spans="1:33" ht="72" x14ac:dyDescent="0.3">
      <c r="A63" s="41" t="s">
        <v>696</v>
      </c>
      <c r="B63" s="41" t="s">
        <v>691</v>
      </c>
      <c r="C63" s="43" t="s">
        <v>657</v>
      </c>
      <c r="D63" s="41" t="s">
        <v>37</v>
      </c>
      <c r="E63" s="41" t="s">
        <v>318</v>
      </c>
      <c r="F63" s="41" t="s">
        <v>1318</v>
      </c>
      <c r="G63" s="67">
        <v>8000</v>
      </c>
      <c r="H63" s="41"/>
      <c r="I63" s="41"/>
      <c r="J63" s="67"/>
      <c r="K63" s="41"/>
      <c r="L63" s="41"/>
      <c r="M63" s="70">
        <f t="shared" si="0"/>
        <v>0</v>
      </c>
      <c r="N63" s="41"/>
      <c r="O63" s="41"/>
      <c r="P63" s="70">
        <f t="shared" si="1"/>
        <v>0</v>
      </c>
      <c r="Q63" s="41"/>
      <c r="R63" s="41"/>
      <c r="S63" s="70">
        <f t="shared" si="2"/>
        <v>0</v>
      </c>
      <c r="T63" s="41"/>
      <c r="U63" s="41"/>
      <c r="V63" s="70">
        <f t="shared" si="3"/>
        <v>0</v>
      </c>
      <c r="W63" s="41"/>
      <c r="X63" s="41"/>
      <c r="Y63" s="70">
        <f t="shared" si="8"/>
        <v>0</v>
      </c>
      <c r="Z63" s="41"/>
      <c r="AA63" s="41"/>
      <c r="AB63" s="70">
        <f t="shared" si="4"/>
        <v>0</v>
      </c>
      <c r="AC63" s="41"/>
      <c r="AD63" s="41"/>
      <c r="AE63" s="70">
        <f t="shared" si="5"/>
        <v>0</v>
      </c>
      <c r="AF63" s="28">
        <f t="shared" si="6"/>
        <v>0</v>
      </c>
      <c r="AG63" s="28">
        <f t="shared" si="7"/>
        <v>0</v>
      </c>
    </row>
    <row r="64" spans="1:33" ht="72" x14ac:dyDescent="0.3">
      <c r="A64" s="41" t="s">
        <v>696</v>
      </c>
      <c r="B64" s="41" t="s">
        <v>691</v>
      </c>
      <c r="C64" s="43" t="s">
        <v>657</v>
      </c>
      <c r="D64" s="41" t="s">
        <v>37</v>
      </c>
      <c r="E64" s="41" t="s">
        <v>318</v>
      </c>
      <c r="F64" s="41" t="s">
        <v>717</v>
      </c>
      <c r="G64" s="87">
        <v>104850</v>
      </c>
      <c r="H64" s="87">
        <v>1</v>
      </c>
      <c r="I64" s="41">
        <v>1</v>
      </c>
      <c r="J64" s="67"/>
      <c r="K64" s="87"/>
      <c r="L64" s="41"/>
      <c r="M64" s="70">
        <f t="shared" si="0"/>
        <v>0</v>
      </c>
      <c r="N64" s="41"/>
      <c r="O64" s="41"/>
      <c r="P64" s="70">
        <f t="shared" si="1"/>
        <v>0</v>
      </c>
      <c r="Q64" s="41"/>
      <c r="R64" s="41"/>
      <c r="S64" s="70">
        <f t="shared" si="2"/>
        <v>0</v>
      </c>
      <c r="T64" s="41"/>
      <c r="U64" s="41"/>
      <c r="V64" s="70">
        <f t="shared" si="3"/>
        <v>0</v>
      </c>
      <c r="W64" s="41"/>
      <c r="X64" s="41"/>
      <c r="Y64" s="70">
        <f t="shared" si="8"/>
        <v>0</v>
      </c>
      <c r="Z64" s="87"/>
      <c r="AA64" s="41"/>
      <c r="AB64" s="70">
        <f t="shared" si="4"/>
        <v>0</v>
      </c>
      <c r="AC64" s="41"/>
      <c r="AD64" s="41"/>
      <c r="AE64" s="70">
        <f t="shared" si="5"/>
        <v>0</v>
      </c>
      <c r="AF64" s="28">
        <f t="shared" si="6"/>
        <v>0</v>
      </c>
      <c r="AG64" s="28">
        <f t="shared" si="7"/>
        <v>0</v>
      </c>
    </row>
    <row r="65" spans="1:33" ht="57.6" x14ac:dyDescent="0.3">
      <c r="A65" s="41" t="s">
        <v>696</v>
      </c>
      <c r="B65" s="41" t="s">
        <v>691</v>
      </c>
      <c r="C65" s="43" t="s">
        <v>657</v>
      </c>
      <c r="D65" s="41" t="s">
        <v>38</v>
      </c>
      <c r="E65" s="41" t="s">
        <v>319</v>
      </c>
      <c r="F65" s="41" t="s">
        <v>725</v>
      </c>
      <c r="G65" s="67">
        <f>50000*1030</f>
        <v>51500000</v>
      </c>
      <c r="H65" s="41">
        <v>0</v>
      </c>
      <c r="I65" s="41">
        <v>0</v>
      </c>
      <c r="J65" s="67"/>
      <c r="K65" s="41">
        <v>0</v>
      </c>
      <c r="L65" s="41">
        <v>0</v>
      </c>
      <c r="M65" s="70">
        <f t="shared" si="0"/>
        <v>0</v>
      </c>
      <c r="N65" s="41">
        <v>5</v>
      </c>
      <c r="O65" s="41">
        <v>1</v>
      </c>
      <c r="P65" s="70">
        <f t="shared" si="1"/>
        <v>311575000.00000006</v>
      </c>
      <c r="Q65" s="41">
        <v>5</v>
      </c>
      <c r="R65" s="41">
        <v>1</v>
      </c>
      <c r="S65" s="70">
        <f t="shared" si="2"/>
        <v>342732500.00000006</v>
      </c>
      <c r="T65" s="41">
        <v>5</v>
      </c>
      <c r="U65" s="41">
        <v>1</v>
      </c>
      <c r="V65" s="70">
        <f t="shared" si="3"/>
        <v>377005750.00000006</v>
      </c>
      <c r="W65" s="41">
        <v>0</v>
      </c>
      <c r="X65" s="41">
        <v>0</v>
      </c>
      <c r="Y65" s="70">
        <f t="shared" si="8"/>
        <v>0</v>
      </c>
      <c r="Z65" s="41">
        <v>0</v>
      </c>
      <c r="AA65" s="41">
        <v>0</v>
      </c>
      <c r="AB65" s="70">
        <f t="shared" si="4"/>
        <v>0</v>
      </c>
      <c r="AC65" s="41">
        <v>0</v>
      </c>
      <c r="AD65" s="41">
        <v>0</v>
      </c>
      <c r="AE65" s="70">
        <f t="shared" si="5"/>
        <v>0</v>
      </c>
      <c r="AF65" s="28">
        <f t="shared" si="6"/>
        <v>1031313250.0000002</v>
      </c>
      <c r="AG65" s="28">
        <f t="shared" si="7"/>
        <v>1001275.0000000002</v>
      </c>
    </row>
    <row r="66" spans="1:33" ht="57.6" x14ac:dyDescent="0.3">
      <c r="A66" s="41" t="s">
        <v>696</v>
      </c>
      <c r="B66" s="41" t="s">
        <v>691</v>
      </c>
      <c r="C66" s="43" t="s">
        <v>657</v>
      </c>
      <c r="D66" s="41" t="s">
        <v>38</v>
      </c>
      <c r="E66" s="41" t="s">
        <v>320</v>
      </c>
      <c r="F66" s="41" t="s">
        <v>725</v>
      </c>
      <c r="G66" s="67">
        <f>50000*1030</f>
        <v>51500000</v>
      </c>
      <c r="H66" s="41">
        <v>0</v>
      </c>
      <c r="I66" s="41">
        <v>0</v>
      </c>
      <c r="J66" s="67"/>
      <c r="K66" s="41">
        <v>0</v>
      </c>
      <c r="L66" s="41">
        <v>0</v>
      </c>
      <c r="M66" s="70">
        <f t="shared" si="0"/>
        <v>0</v>
      </c>
      <c r="N66" s="41">
        <v>10</v>
      </c>
      <c r="O66" s="41">
        <v>1</v>
      </c>
      <c r="P66" s="70">
        <f t="shared" si="1"/>
        <v>623150000.00000012</v>
      </c>
      <c r="Q66" s="41">
        <v>10</v>
      </c>
      <c r="R66" s="41">
        <v>1</v>
      </c>
      <c r="S66" s="70">
        <f t="shared" si="2"/>
        <v>685465000.00000012</v>
      </c>
      <c r="T66" s="41">
        <v>9</v>
      </c>
      <c r="U66" s="41">
        <v>1</v>
      </c>
      <c r="V66" s="70">
        <f t="shared" si="3"/>
        <v>678610350.00000012</v>
      </c>
      <c r="W66" s="41">
        <v>0</v>
      </c>
      <c r="X66" s="41">
        <v>0</v>
      </c>
      <c r="Y66" s="70">
        <f t="shared" si="8"/>
        <v>0</v>
      </c>
      <c r="Z66" s="41">
        <v>0</v>
      </c>
      <c r="AA66" s="41">
        <v>0</v>
      </c>
      <c r="AB66" s="70">
        <f t="shared" si="4"/>
        <v>0</v>
      </c>
      <c r="AC66" s="41">
        <v>0</v>
      </c>
      <c r="AD66" s="41">
        <v>0</v>
      </c>
      <c r="AE66" s="70">
        <f t="shared" si="5"/>
        <v>0</v>
      </c>
      <c r="AF66" s="28">
        <f t="shared" si="6"/>
        <v>1987225350.0000005</v>
      </c>
      <c r="AG66" s="28">
        <f t="shared" si="7"/>
        <v>1929345.0000000005</v>
      </c>
    </row>
    <row r="67" spans="1:33" ht="57.6" x14ac:dyDescent="0.3">
      <c r="A67" s="41" t="s">
        <v>696</v>
      </c>
      <c r="B67" s="41" t="s">
        <v>691</v>
      </c>
      <c r="C67" s="43" t="s">
        <v>657</v>
      </c>
      <c r="D67" s="41" t="s">
        <v>38</v>
      </c>
      <c r="E67" s="41" t="s">
        <v>1385</v>
      </c>
      <c r="F67" s="41" t="s">
        <v>746</v>
      </c>
      <c r="G67" s="88">
        <v>2000</v>
      </c>
      <c r="H67" s="41">
        <v>0</v>
      </c>
      <c r="I67" s="41">
        <v>0</v>
      </c>
      <c r="J67" s="67"/>
      <c r="K67" s="41"/>
      <c r="L67" s="41">
        <v>0</v>
      </c>
      <c r="M67" s="70">
        <f t="shared" ref="M67:M130" si="10">($G67*1.1^1)*K67*L67</f>
        <v>0</v>
      </c>
      <c r="N67" s="41">
        <v>300</v>
      </c>
      <c r="O67" s="41">
        <v>1</v>
      </c>
      <c r="P67" s="70">
        <f t="shared" ref="P67:P130" si="11">($G67*1.1^2)*N67*O67</f>
        <v>726000.00000000012</v>
      </c>
      <c r="Q67" s="41">
        <v>300</v>
      </c>
      <c r="R67" s="41">
        <v>1</v>
      </c>
      <c r="S67" s="70">
        <f t="shared" ref="S67:S130" si="12">($G67*1.1^3)*Q67*R67</f>
        <v>798600.00000000023</v>
      </c>
      <c r="T67" s="41">
        <v>300</v>
      </c>
      <c r="U67" s="41">
        <v>1</v>
      </c>
      <c r="V67" s="70">
        <f t="shared" ref="V67:V130" si="13">($G67*1.1^4)*T67*U67</f>
        <v>878460.00000000023</v>
      </c>
      <c r="W67" s="41">
        <v>0</v>
      </c>
      <c r="X67" s="41">
        <v>0</v>
      </c>
      <c r="Y67" s="70">
        <f t="shared" si="8"/>
        <v>0</v>
      </c>
      <c r="Z67" s="41">
        <v>0</v>
      </c>
      <c r="AA67" s="41">
        <v>0</v>
      </c>
      <c r="AB67" s="70">
        <f t="shared" ref="AB67:AB130" si="14">($G67*1.1^6)*Z67*AA67</f>
        <v>0</v>
      </c>
      <c r="AC67" s="41">
        <v>0</v>
      </c>
      <c r="AD67" s="41">
        <v>0</v>
      </c>
      <c r="AE67" s="70">
        <f t="shared" ref="AE67:AE130" si="15">($G67*1.1^7)*AC67*AD67</f>
        <v>0</v>
      </c>
      <c r="AF67" s="28">
        <f t="shared" ref="AF67:AF130" si="16">J67+M67+P67+S67+V67+Y67+AB67+AE67</f>
        <v>2403060.0000000009</v>
      </c>
      <c r="AG67" s="28">
        <f t="shared" ref="AG67:AG130" si="17">AF67/$AL$2</f>
        <v>2333.0679611650494</v>
      </c>
    </row>
    <row r="68" spans="1:33" ht="57.6" x14ac:dyDescent="0.3">
      <c r="A68" s="41" t="s">
        <v>696</v>
      </c>
      <c r="B68" s="41" t="s">
        <v>691</v>
      </c>
      <c r="C68" s="43" t="s">
        <v>657</v>
      </c>
      <c r="D68" s="41" t="s">
        <v>38</v>
      </c>
      <c r="E68" s="41" t="s">
        <v>322</v>
      </c>
      <c r="F68" s="41" t="s">
        <v>718</v>
      </c>
      <c r="G68" s="67">
        <v>0</v>
      </c>
      <c r="H68" s="41">
        <v>0</v>
      </c>
      <c r="I68" s="41">
        <v>0</v>
      </c>
      <c r="J68" s="67"/>
      <c r="K68" s="41">
        <v>0</v>
      </c>
      <c r="L68" s="41">
        <v>0</v>
      </c>
      <c r="M68" s="70">
        <f t="shared" si="10"/>
        <v>0</v>
      </c>
      <c r="N68" s="41">
        <v>0</v>
      </c>
      <c r="O68" s="41">
        <v>0</v>
      </c>
      <c r="P68" s="70">
        <f t="shared" si="11"/>
        <v>0</v>
      </c>
      <c r="Q68" s="41"/>
      <c r="R68" s="41">
        <v>0</v>
      </c>
      <c r="S68" s="70">
        <f t="shared" si="12"/>
        <v>0</v>
      </c>
      <c r="T68" s="41">
        <v>0</v>
      </c>
      <c r="U68" s="41">
        <v>0</v>
      </c>
      <c r="V68" s="70">
        <f t="shared" si="13"/>
        <v>0</v>
      </c>
      <c r="W68" s="41">
        <v>0</v>
      </c>
      <c r="X68" s="41">
        <v>0</v>
      </c>
      <c r="Y68" s="70">
        <f t="shared" si="8"/>
        <v>0</v>
      </c>
      <c r="Z68" s="41">
        <v>0</v>
      </c>
      <c r="AA68" s="41">
        <v>0</v>
      </c>
      <c r="AB68" s="70">
        <f t="shared" si="14"/>
        <v>0</v>
      </c>
      <c r="AC68" s="41">
        <v>0</v>
      </c>
      <c r="AD68" s="41">
        <v>0</v>
      </c>
      <c r="AE68" s="70">
        <f t="shared" si="15"/>
        <v>0</v>
      </c>
      <c r="AF68" s="28">
        <f t="shared" si="16"/>
        <v>0</v>
      </c>
      <c r="AG68" s="28">
        <f t="shared" si="17"/>
        <v>0</v>
      </c>
    </row>
    <row r="69" spans="1:33" ht="43.2" x14ac:dyDescent="0.3">
      <c r="A69" s="41" t="s">
        <v>696</v>
      </c>
      <c r="B69" s="41" t="s">
        <v>691</v>
      </c>
      <c r="C69" s="43" t="s">
        <v>657</v>
      </c>
      <c r="D69" s="41" t="s">
        <v>39</v>
      </c>
      <c r="E69" s="41" t="s">
        <v>149</v>
      </c>
      <c r="F69" s="41" t="s">
        <v>707</v>
      </c>
      <c r="G69" s="67">
        <v>391991.03749999998</v>
      </c>
      <c r="H69" s="41">
        <v>2</v>
      </c>
      <c r="I69" s="41">
        <v>2</v>
      </c>
      <c r="J69" s="67">
        <f t="shared" ref="J69:J132" si="18">G69*H69*I69</f>
        <v>1567964.15</v>
      </c>
      <c r="K69" s="41">
        <v>1</v>
      </c>
      <c r="L69" s="41">
        <v>4</v>
      </c>
      <c r="M69" s="70">
        <f t="shared" si="10"/>
        <v>1724760.5649999999</v>
      </c>
      <c r="N69" s="41">
        <v>0</v>
      </c>
      <c r="O69" s="41">
        <v>0</v>
      </c>
      <c r="P69" s="70">
        <f t="shared" si="11"/>
        <v>0</v>
      </c>
      <c r="Q69" s="41">
        <v>0</v>
      </c>
      <c r="R69" s="41">
        <v>0</v>
      </c>
      <c r="S69" s="70">
        <f t="shared" si="12"/>
        <v>0</v>
      </c>
      <c r="T69" s="41">
        <v>2</v>
      </c>
      <c r="U69" s="41">
        <v>2</v>
      </c>
      <c r="V69" s="70">
        <f t="shared" si="13"/>
        <v>2295656.3120150003</v>
      </c>
      <c r="W69" s="41">
        <v>0</v>
      </c>
      <c r="X69" s="41">
        <v>0</v>
      </c>
      <c r="Y69" s="70">
        <f t="shared" ref="Y69:Y132" si="19">($G69*1.1^5)*W69*X69</f>
        <v>0</v>
      </c>
      <c r="Z69" s="41">
        <v>0</v>
      </c>
      <c r="AA69" s="41">
        <v>0</v>
      </c>
      <c r="AB69" s="70">
        <f t="shared" si="14"/>
        <v>0</v>
      </c>
      <c r="AC69" s="41">
        <v>0</v>
      </c>
      <c r="AD69" s="41">
        <v>0</v>
      </c>
      <c r="AE69" s="70">
        <f t="shared" si="15"/>
        <v>0</v>
      </c>
      <c r="AF69" s="28">
        <f t="shared" si="16"/>
        <v>5588381.0270150006</v>
      </c>
      <c r="AG69" s="28">
        <f t="shared" si="17"/>
        <v>5425.6126475873789</v>
      </c>
    </row>
    <row r="70" spans="1:33" ht="43.2" x14ac:dyDescent="0.3">
      <c r="A70" s="41" t="s">
        <v>696</v>
      </c>
      <c r="B70" s="41" t="s">
        <v>691</v>
      </c>
      <c r="C70" s="43" t="s">
        <v>657</v>
      </c>
      <c r="D70" s="41" t="s">
        <v>39</v>
      </c>
      <c r="E70" s="41" t="s">
        <v>149</v>
      </c>
      <c r="F70" s="41" t="s">
        <v>708</v>
      </c>
      <c r="G70" s="67">
        <f>500*1030</f>
        <v>515000</v>
      </c>
      <c r="H70" s="41">
        <v>1</v>
      </c>
      <c r="I70" s="41">
        <v>25</v>
      </c>
      <c r="J70" s="67">
        <f t="shared" si="18"/>
        <v>12875000</v>
      </c>
      <c r="K70" s="41">
        <v>1</v>
      </c>
      <c r="L70" s="41">
        <v>40</v>
      </c>
      <c r="M70" s="70">
        <f t="shared" si="10"/>
        <v>22660000</v>
      </c>
      <c r="N70" s="41">
        <v>0</v>
      </c>
      <c r="O70" s="41">
        <v>0</v>
      </c>
      <c r="P70" s="70">
        <f t="shared" si="11"/>
        <v>0</v>
      </c>
      <c r="Q70" s="41">
        <v>0</v>
      </c>
      <c r="R70" s="41">
        <v>0</v>
      </c>
      <c r="S70" s="70">
        <f t="shared" si="12"/>
        <v>0</v>
      </c>
      <c r="T70" s="41">
        <v>1</v>
      </c>
      <c r="U70" s="41">
        <v>25</v>
      </c>
      <c r="V70" s="70">
        <f t="shared" si="13"/>
        <v>18850287.500000007</v>
      </c>
      <c r="W70" s="41">
        <v>0</v>
      </c>
      <c r="X70" s="41">
        <v>0</v>
      </c>
      <c r="Y70" s="70">
        <f t="shared" si="19"/>
        <v>0</v>
      </c>
      <c r="Z70" s="41">
        <v>0</v>
      </c>
      <c r="AA70" s="41">
        <v>0</v>
      </c>
      <c r="AB70" s="70">
        <f t="shared" si="14"/>
        <v>0</v>
      </c>
      <c r="AC70" s="41">
        <v>0</v>
      </c>
      <c r="AD70" s="41">
        <v>0</v>
      </c>
      <c r="AE70" s="70">
        <f t="shared" si="15"/>
        <v>0</v>
      </c>
      <c r="AF70" s="28">
        <f t="shared" si="16"/>
        <v>54385287.500000007</v>
      </c>
      <c r="AG70" s="28">
        <f t="shared" si="17"/>
        <v>52801.250000000007</v>
      </c>
    </row>
    <row r="71" spans="1:33" ht="43.2" x14ac:dyDescent="0.3">
      <c r="A71" s="41" t="s">
        <v>696</v>
      </c>
      <c r="B71" s="41" t="s">
        <v>691</v>
      </c>
      <c r="C71" s="43" t="s">
        <v>657</v>
      </c>
      <c r="D71" s="41" t="s">
        <v>39</v>
      </c>
      <c r="E71" s="41" t="s">
        <v>323</v>
      </c>
      <c r="F71" s="41" t="s">
        <v>709</v>
      </c>
      <c r="G71" s="67">
        <v>35000</v>
      </c>
      <c r="H71" s="41">
        <v>25</v>
      </c>
      <c r="I71" s="41">
        <f>5*2</f>
        <v>10</v>
      </c>
      <c r="J71" s="67">
        <f t="shared" si="18"/>
        <v>8750000</v>
      </c>
      <c r="K71" s="41">
        <v>0</v>
      </c>
      <c r="L71" s="41">
        <v>0</v>
      </c>
      <c r="M71" s="70">
        <f t="shared" si="10"/>
        <v>0</v>
      </c>
      <c r="N71" s="41">
        <v>25</v>
      </c>
      <c r="O71" s="41">
        <f>5*2</f>
        <v>10</v>
      </c>
      <c r="P71" s="70">
        <f t="shared" si="11"/>
        <v>10587500.000000002</v>
      </c>
      <c r="Q71" s="41">
        <v>0</v>
      </c>
      <c r="R71" s="41">
        <v>0</v>
      </c>
      <c r="S71" s="70">
        <f t="shared" si="12"/>
        <v>0</v>
      </c>
      <c r="T71" s="41">
        <v>0</v>
      </c>
      <c r="U71" s="41">
        <v>0</v>
      </c>
      <c r="V71" s="70">
        <f t="shared" si="13"/>
        <v>0</v>
      </c>
      <c r="W71" s="41">
        <v>25</v>
      </c>
      <c r="X71" s="41">
        <f>5*2</f>
        <v>10</v>
      </c>
      <c r="Y71" s="70">
        <f t="shared" si="19"/>
        <v>14091962.500000004</v>
      </c>
      <c r="Z71" s="41">
        <v>0</v>
      </c>
      <c r="AA71" s="41">
        <v>0</v>
      </c>
      <c r="AB71" s="70">
        <f t="shared" si="14"/>
        <v>0</v>
      </c>
      <c r="AC71" s="41">
        <v>0</v>
      </c>
      <c r="AD71" s="41">
        <v>0</v>
      </c>
      <c r="AE71" s="70">
        <f t="shared" si="15"/>
        <v>0</v>
      </c>
      <c r="AF71" s="28">
        <f t="shared" si="16"/>
        <v>33429462.500000004</v>
      </c>
      <c r="AG71" s="28">
        <f t="shared" si="17"/>
        <v>32455.788834951461</v>
      </c>
    </row>
    <row r="72" spans="1:33" ht="43.2" x14ac:dyDescent="0.3">
      <c r="A72" s="41" t="s">
        <v>696</v>
      </c>
      <c r="B72" s="41" t="s">
        <v>691</v>
      </c>
      <c r="C72" s="43" t="s">
        <v>657</v>
      </c>
      <c r="D72" s="41" t="s">
        <v>39</v>
      </c>
      <c r="E72" s="41" t="s">
        <v>323</v>
      </c>
      <c r="F72" s="41" t="s">
        <v>716</v>
      </c>
      <c r="G72" s="67">
        <v>39000</v>
      </c>
      <c r="H72" s="41">
        <v>25</v>
      </c>
      <c r="I72" s="41">
        <f>6*2</f>
        <v>12</v>
      </c>
      <c r="J72" s="67">
        <f t="shared" si="18"/>
        <v>11700000</v>
      </c>
      <c r="K72" s="41"/>
      <c r="L72" s="41"/>
      <c r="M72" s="70">
        <f t="shared" si="10"/>
        <v>0</v>
      </c>
      <c r="N72" s="41">
        <v>25</v>
      </c>
      <c r="O72" s="41">
        <f>6*2</f>
        <v>12</v>
      </c>
      <c r="P72" s="70">
        <f t="shared" si="11"/>
        <v>14157000.000000004</v>
      </c>
      <c r="Q72" s="41"/>
      <c r="R72" s="41"/>
      <c r="S72" s="70">
        <f t="shared" si="12"/>
        <v>0</v>
      </c>
      <c r="T72" s="41"/>
      <c r="U72" s="41"/>
      <c r="V72" s="70">
        <f t="shared" si="13"/>
        <v>0</v>
      </c>
      <c r="W72" s="41">
        <v>25</v>
      </c>
      <c r="X72" s="41">
        <f>6*2</f>
        <v>12</v>
      </c>
      <c r="Y72" s="70">
        <f t="shared" si="19"/>
        <v>18842967.000000007</v>
      </c>
      <c r="Z72" s="41"/>
      <c r="AA72" s="41"/>
      <c r="AB72" s="70">
        <f t="shared" si="14"/>
        <v>0</v>
      </c>
      <c r="AC72" s="41"/>
      <c r="AD72" s="41"/>
      <c r="AE72" s="70">
        <f t="shared" si="15"/>
        <v>0</v>
      </c>
      <c r="AF72" s="28">
        <f t="shared" si="16"/>
        <v>44699967.000000015</v>
      </c>
      <c r="AG72" s="28">
        <f t="shared" si="17"/>
        <v>43398.026213592246</v>
      </c>
    </row>
    <row r="73" spans="1:33" ht="43.2" x14ac:dyDescent="0.3">
      <c r="A73" s="41" t="s">
        <v>696</v>
      </c>
      <c r="B73" s="41" t="s">
        <v>691</v>
      </c>
      <c r="C73" s="43" t="s">
        <v>657</v>
      </c>
      <c r="D73" s="41" t="s">
        <v>39</v>
      </c>
      <c r="E73" s="41" t="s">
        <v>323</v>
      </c>
      <c r="F73" s="41" t="s">
        <v>712</v>
      </c>
      <c r="G73" s="67">
        <f>1999.2/7</f>
        <v>285.60000000000002</v>
      </c>
      <c r="H73" s="41">
        <f>2*25*9</f>
        <v>450</v>
      </c>
      <c r="I73" s="41">
        <f>5*2</f>
        <v>10</v>
      </c>
      <c r="J73" s="67">
        <f t="shared" si="18"/>
        <v>1285200.0000000002</v>
      </c>
      <c r="K73" s="41"/>
      <c r="L73" s="41"/>
      <c r="M73" s="70">
        <f t="shared" si="10"/>
        <v>0</v>
      </c>
      <c r="N73" s="41">
        <f>2*25*9</f>
        <v>450</v>
      </c>
      <c r="O73" s="41">
        <f>5*2</f>
        <v>10</v>
      </c>
      <c r="P73" s="70">
        <f t="shared" si="11"/>
        <v>1555092.0000000005</v>
      </c>
      <c r="Q73" s="41"/>
      <c r="R73" s="41"/>
      <c r="S73" s="70">
        <f t="shared" si="12"/>
        <v>0</v>
      </c>
      <c r="T73" s="41"/>
      <c r="U73" s="41"/>
      <c r="V73" s="70">
        <f t="shared" si="13"/>
        <v>0</v>
      </c>
      <c r="W73" s="41">
        <f>2*25*9</f>
        <v>450</v>
      </c>
      <c r="X73" s="41">
        <f>5*2</f>
        <v>10</v>
      </c>
      <c r="Y73" s="70">
        <f t="shared" si="19"/>
        <v>2069827.452000001</v>
      </c>
      <c r="Z73" s="41"/>
      <c r="AA73" s="41"/>
      <c r="AB73" s="70">
        <f t="shared" si="14"/>
        <v>0</v>
      </c>
      <c r="AC73" s="41"/>
      <c r="AD73" s="41"/>
      <c r="AE73" s="70">
        <f t="shared" si="15"/>
        <v>0</v>
      </c>
      <c r="AF73" s="28">
        <f t="shared" si="16"/>
        <v>4910119.4520000014</v>
      </c>
      <c r="AG73" s="28">
        <f t="shared" si="17"/>
        <v>4767.1062640776709</v>
      </c>
    </row>
    <row r="74" spans="1:33" ht="43.2" x14ac:dyDescent="0.3">
      <c r="A74" s="41" t="s">
        <v>696</v>
      </c>
      <c r="B74" s="41" t="s">
        <v>691</v>
      </c>
      <c r="C74" s="43" t="s">
        <v>657</v>
      </c>
      <c r="D74" s="41" t="s">
        <v>39</v>
      </c>
      <c r="E74" s="41" t="s">
        <v>323</v>
      </c>
      <c r="F74" s="41" t="s">
        <v>1299</v>
      </c>
      <c r="G74" s="67">
        <f>1999.2/7</f>
        <v>285.60000000000002</v>
      </c>
      <c r="H74" s="41">
        <f>2*135*9</f>
        <v>2430</v>
      </c>
      <c r="I74" s="41">
        <v>2</v>
      </c>
      <c r="J74" s="67">
        <f t="shared" si="18"/>
        <v>1388016</v>
      </c>
      <c r="K74" s="41"/>
      <c r="L74" s="41"/>
      <c r="M74" s="70">
        <f t="shared" si="10"/>
        <v>0</v>
      </c>
      <c r="N74" s="41">
        <f>2*135*9</f>
        <v>2430</v>
      </c>
      <c r="O74" s="41">
        <v>2</v>
      </c>
      <c r="P74" s="70">
        <f t="shared" si="11"/>
        <v>1679499.3600000003</v>
      </c>
      <c r="Q74" s="41"/>
      <c r="R74" s="41"/>
      <c r="S74" s="70">
        <f t="shared" si="12"/>
        <v>0</v>
      </c>
      <c r="T74" s="41"/>
      <c r="U74" s="41"/>
      <c r="V74" s="70">
        <f t="shared" si="13"/>
        <v>0</v>
      </c>
      <c r="W74" s="41">
        <f>2*135*9</f>
        <v>2430</v>
      </c>
      <c r="X74" s="41">
        <v>2</v>
      </c>
      <c r="Y74" s="70">
        <f t="shared" si="19"/>
        <v>2235413.6481600008</v>
      </c>
      <c r="Z74" s="41"/>
      <c r="AA74" s="41"/>
      <c r="AB74" s="70">
        <f t="shared" si="14"/>
        <v>0</v>
      </c>
      <c r="AC74" s="41"/>
      <c r="AD74" s="41"/>
      <c r="AE74" s="70">
        <f t="shared" si="15"/>
        <v>0</v>
      </c>
      <c r="AF74" s="28">
        <f t="shared" si="16"/>
        <v>5302929.0081600007</v>
      </c>
      <c r="AG74" s="28">
        <f t="shared" si="17"/>
        <v>5148.4747652038841</v>
      </c>
    </row>
    <row r="75" spans="1:33" ht="43.2" x14ac:dyDescent="0.3">
      <c r="A75" s="41" t="s">
        <v>696</v>
      </c>
      <c r="B75" s="41" t="s">
        <v>691</v>
      </c>
      <c r="C75" s="43" t="s">
        <v>657</v>
      </c>
      <c r="D75" s="41" t="s">
        <v>39</v>
      </c>
      <c r="E75" s="41" t="s">
        <v>324</v>
      </c>
      <c r="F75" s="41" t="s">
        <v>716</v>
      </c>
      <c r="G75" s="67">
        <v>39000</v>
      </c>
      <c r="H75" s="41">
        <v>29</v>
      </c>
      <c r="I75" s="41">
        <v>6</v>
      </c>
      <c r="J75" s="67">
        <f t="shared" si="18"/>
        <v>6786000</v>
      </c>
      <c r="K75" s="41">
        <v>0</v>
      </c>
      <c r="L75" s="41">
        <v>0</v>
      </c>
      <c r="M75" s="70">
        <f t="shared" si="10"/>
        <v>0</v>
      </c>
      <c r="N75" s="41">
        <v>29</v>
      </c>
      <c r="O75" s="41">
        <v>6</v>
      </c>
      <c r="P75" s="70">
        <f t="shared" si="11"/>
        <v>8211060.0000000019</v>
      </c>
      <c r="Q75" s="41">
        <v>0</v>
      </c>
      <c r="R75" s="41">
        <v>0</v>
      </c>
      <c r="S75" s="70">
        <f t="shared" si="12"/>
        <v>0</v>
      </c>
      <c r="T75" s="41">
        <v>0</v>
      </c>
      <c r="U75" s="41">
        <v>0</v>
      </c>
      <c r="V75" s="70">
        <f t="shared" si="13"/>
        <v>0</v>
      </c>
      <c r="W75" s="41">
        <v>29</v>
      </c>
      <c r="X75" s="41">
        <v>6</v>
      </c>
      <c r="Y75" s="70">
        <f t="shared" si="19"/>
        <v>10928920.860000003</v>
      </c>
      <c r="Z75" s="41">
        <v>0</v>
      </c>
      <c r="AA75" s="41">
        <v>0</v>
      </c>
      <c r="AB75" s="70">
        <f t="shared" si="14"/>
        <v>0</v>
      </c>
      <c r="AC75" s="41">
        <v>0</v>
      </c>
      <c r="AD75" s="41">
        <v>0</v>
      </c>
      <c r="AE75" s="70">
        <f t="shared" si="15"/>
        <v>0</v>
      </c>
      <c r="AF75" s="28">
        <f t="shared" si="16"/>
        <v>25925980.860000007</v>
      </c>
      <c r="AG75" s="28">
        <f t="shared" si="17"/>
        <v>25170.855203883501</v>
      </c>
    </row>
    <row r="76" spans="1:33" ht="43.2" x14ac:dyDescent="0.3">
      <c r="A76" s="41" t="s">
        <v>696</v>
      </c>
      <c r="B76" s="41" t="s">
        <v>691</v>
      </c>
      <c r="C76" s="43" t="s">
        <v>657</v>
      </c>
      <c r="D76" s="41" t="s">
        <v>39</v>
      </c>
      <c r="E76" s="41" t="s">
        <v>324</v>
      </c>
      <c r="F76" s="41" t="s">
        <v>709</v>
      </c>
      <c r="G76" s="67">
        <v>35000</v>
      </c>
      <c r="H76" s="41">
        <v>29</v>
      </c>
      <c r="I76" s="41">
        <v>5</v>
      </c>
      <c r="J76" s="67">
        <f t="shared" si="18"/>
        <v>5075000</v>
      </c>
      <c r="K76" s="41">
        <v>0</v>
      </c>
      <c r="L76" s="41">
        <v>0</v>
      </c>
      <c r="M76" s="70">
        <f t="shared" si="10"/>
        <v>0</v>
      </c>
      <c r="N76" s="41">
        <v>29</v>
      </c>
      <c r="O76" s="41">
        <v>5</v>
      </c>
      <c r="P76" s="70">
        <f t="shared" si="11"/>
        <v>6140750.0000000009</v>
      </c>
      <c r="Q76" s="41">
        <v>0</v>
      </c>
      <c r="R76" s="41">
        <v>0</v>
      </c>
      <c r="S76" s="70">
        <f t="shared" si="12"/>
        <v>0</v>
      </c>
      <c r="T76" s="41">
        <v>0</v>
      </c>
      <c r="U76" s="41">
        <v>0</v>
      </c>
      <c r="V76" s="70">
        <f t="shared" si="13"/>
        <v>0</v>
      </c>
      <c r="W76" s="41">
        <v>29</v>
      </c>
      <c r="X76" s="41">
        <v>5</v>
      </c>
      <c r="Y76" s="70">
        <f t="shared" si="19"/>
        <v>8173338.2500000028</v>
      </c>
      <c r="Z76" s="41">
        <v>0</v>
      </c>
      <c r="AA76" s="41">
        <v>0</v>
      </c>
      <c r="AB76" s="70">
        <f t="shared" si="14"/>
        <v>0</v>
      </c>
      <c r="AC76" s="41">
        <v>0</v>
      </c>
      <c r="AD76" s="41">
        <v>0</v>
      </c>
      <c r="AE76" s="70">
        <f t="shared" si="15"/>
        <v>0</v>
      </c>
      <c r="AF76" s="28">
        <f t="shared" si="16"/>
        <v>19389088.250000004</v>
      </c>
      <c r="AG76" s="28">
        <f t="shared" si="17"/>
        <v>18824.357524271847</v>
      </c>
    </row>
    <row r="77" spans="1:33" ht="43.2" x14ac:dyDescent="0.3">
      <c r="A77" s="41" t="s">
        <v>696</v>
      </c>
      <c r="B77" s="41" t="s">
        <v>691</v>
      </c>
      <c r="C77" s="43" t="s">
        <v>657</v>
      </c>
      <c r="D77" s="41" t="s">
        <v>39</v>
      </c>
      <c r="E77" s="41" t="s">
        <v>324</v>
      </c>
      <c r="F77" s="41" t="s">
        <v>712</v>
      </c>
      <c r="G77" s="67">
        <f>1999.2/7</f>
        <v>285.60000000000002</v>
      </c>
      <c r="H77" s="41">
        <f>2*25*10</f>
        <v>500</v>
      </c>
      <c r="I77" s="41">
        <v>5</v>
      </c>
      <c r="J77" s="67">
        <f t="shared" si="18"/>
        <v>714000</v>
      </c>
      <c r="K77" s="41">
        <v>0</v>
      </c>
      <c r="L77" s="41">
        <v>0</v>
      </c>
      <c r="M77" s="70">
        <f t="shared" si="10"/>
        <v>0</v>
      </c>
      <c r="N77" s="41">
        <f>2*25*10</f>
        <v>500</v>
      </c>
      <c r="O77" s="41">
        <v>5</v>
      </c>
      <c r="P77" s="70">
        <f t="shared" si="11"/>
        <v>863940.00000000012</v>
      </c>
      <c r="Q77" s="41">
        <v>0</v>
      </c>
      <c r="R77" s="41">
        <v>0</v>
      </c>
      <c r="S77" s="70">
        <f t="shared" si="12"/>
        <v>0</v>
      </c>
      <c r="T77" s="41">
        <v>0</v>
      </c>
      <c r="U77" s="41">
        <v>0</v>
      </c>
      <c r="V77" s="70">
        <f t="shared" si="13"/>
        <v>0</v>
      </c>
      <c r="W77" s="41">
        <f>2*25*10</f>
        <v>500</v>
      </c>
      <c r="X77" s="41">
        <v>5</v>
      </c>
      <c r="Y77" s="70">
        <f t="shared" si="19"/>
        <v>1149904.1400000006</v>
      </c>
      <c r="Z77" s="41">
        <v>0</v>
      </c>
      <c r="AA77" s="41">
        <v>0</v>
      </c>
      <c r="AB77" s="70">
        <f t="shared" si="14"/>
        <v>0</v>
      </c>
      <c r="AC77" s="41">
        <v>0</v>
      </c>
      <c r="AD77" s="41">
        <v>0</v>
      </c>
      <c r="AE77" s="70">
        <f t="shared" si="15"/>
        <v>0</v>
      </c>
      <c r="AF77" s="28">
        <f t="shared" si="16"/>
        <v>2727844.1400000006</v>
      </c>
      <c r="AG77" s="28">
        <f t="shared" si="17"/>
        <v>2648.3923689320395</v>
      </c>
    </row>
    <row r="78" spans="1:33" ht="43.2" x14ac:dyDescent="0.3">
      <c r="A78" s="41" t="s">
        <v>696</v>
      </c>
      <c r="B78" s="41" t="s">
        <v>691</v>
      </c>
      <c r="C78" s="43" t="s">
        <v>657</v>
      </c>
      <c r="D78" s="41" t="s">
        <v>39</v>
      </c>
      <c r="E78" s="41" t="s">
        <v>324</v>
      </c>
      <c r="F78" s="41" t="s">
        <v>1299</v>
      </c>
      <c r="G78" s="67">
        <f>1999.2/7</f>
        <v>285.60000000000002</v>
      </c>
      <c r="H78" s="41">
        <f>2*135*10</f>
        <v>2700</v>
      </c>
      <c r="I78" s="41">
        <v>1</v>
      </c>
      <c r="J78" s="67">
        <f t="shared" si="18"/>
        <v>771120.00000000012</v>
      </c>
      <c r="K78" s="41"/>
      <c r="L78" s="41"/>
      <c r="M78" s="70">
        <f t="shared" si="10"/>
        <v>0</v>
      </c>
      <c r="N78" s="41">
        <f>2*135*10</f>
        <v>2700</v>
      </c>
      <c r="O78" s="41">
        <v>1</v>
      </c>
      <c r="P78" s="70">
        <f t="shared" si="11"/>
        <v>933055.20000000019</v>
      </c>
      <c r="Q78" s="41"/>
      <c r="R78" s="41"/>
      <c r="S78" s="70">
        <f t="shared" si="12"/>
        <v>0</v>
      </c>
      <c r="T78" s="41"/>
      <c r="U78" s="41"/>
      <c r="V78" s="70">
        <f t="shared" si="13"/>
        <v>0</v>
      </c>
      <c r="W78" s="41">
        <f>2*135*10</f>
        <v>2700</v>
      </c>
      <c r="X78" s="41">
        <v>1</v>
      </c>
      <c r="Y78" s="70">
        <f t="shared" si="19"/>
        <v>1241896.4712000005</v>
      </c>
      <c r="Z78" s="41"/>
      <c r="AA78" s="41"/>
      <c r="AB78" s="70">
        <f t="shared" si="14"/>
        <v>0</v>
      </c>
      <c r="AC78" s="41"/>
      <c r="AD78" s="41"/>
      <c r="AE78" s="70">
        <f t="shared" si="15"/>
        <v>0</v>
      </c>
      <c r="AF78" s="28">
        <f t="shared" si="16"/>
        <v>2946071.6712000007</v>
      </c>
      <c r="AG78" s="28">
        <f t="shared" si="17"/>
        <v>2860.2637584466024</v>
      </c>
    </row>
    <row r="79" spans="1:33" ht="43.2" x14ac:dyDescent="0.3">
      <c r="A79" s="41" t="s">
        <v>696</v>
      </c>
      <c r="B79" s="41" t="s">
        <v>691</v>
      </c>
      <c r="C79" s="43" t="s">
        <v>657</v>
      </c>
      <c r="D79" s="41" t="s">
        <v>39</v>
      </c>
      <c r="E79" s="41" t="s">
        <v>325</v>
      </c>
      <c r="F79" s="41" t="s">
        <v>709</v>
      </c>
      <c r="G79" s="67">
        <v>35000</v>
      </c>
      <c r="H79" s="41">
        <v>4500</v>
      </c>
      <c r="I79" s="41">
        <v>5</v>
      </c>
      <c r="J79" s="67">
        <f t="shared" si="18"/>
        <v>787500000</v>
      </c>
      <c r="K79" s="41">
        <v>4500</v>
      </c>
      <c r="L79" s="41">
        <v>5</v>
      </c>
      <c r="M79" s="70">
        <f t="shared" si="10"/>
        <v>866250000</v>
      </c>
      <c r="N79" s="41">
        <v>4500</v>
      </c>
      <c r="O79" s="41">
        <v>5</v>
      </c>
      <c r="P79" s="70">
        <f t="shared" si="11"/>
        <v>952875000.00000012</v>
      </c>
      <c r="Q79" s="41">
        <v>4500</v>
      </c>
      <c r="R79" s="41">
        <v>5</v>
      </c>
      <c r="S79" s="70">
        <f t="shared" si="12"/>
        <v>1048162500.0000002</v>
      </c>
      <c r="T79" s="41">
        <v>4500</v>
      </c>
      <c r="U79" s="41">
        <v>5</v>
      </c>
      <c r="V79" s="70">
        <f t="shared" si="13"/>
        <v>1152978750.0000002</v>
      </c>
      <c r="W79" s="41">
        <v>4500</v>
      </c>
      <c r="X79" s="41">
        <v>5</v>
      </c>
      <c r="Y79" s="70">
        <f t="shared" si="19"/>
        <v>1268276625.0000005</v>
      </c>
      <c r="Z79" s="41">
        <v>4500</v>
      </c>
      <c r="AA79" s="41">
        <v>5</v>
      </c>
      <c r="AB79" s="70">
        <f t="shared" si="14"/>
        <v>1395104287.5000005</v>
      </c>
      <c r="AC79" s="41">
        <v>4500</v>
      </c>
      <c r="AD79" s="41">
        <v>5</v>
      </c>
      <c r="AE79" s="70">
        <f t="shared" si="15"/>
        <v>1534614716.250001</v>
      </c>
      <c r="AF79" s="28">
        <f t="shared" si="16"/>
        <v>9005761878.75</v>
      </c>
      <c r="AG79" s="28">
        <f t="shared" si="17"/>
        <v>8743458.134708738</v>
      </c>
    </row>
    <row r="80" spans="1:33" ht="43.2" x14ac:dyDescent="0.3">
      <c r="A80" s="41" t="s">
        <v>696</v>
      </c>
      <c r="B80" s="41" t="s">
        <v>691</v>
      </c>
      <c r="C80" s="43" t="s">
        <v>657</v>
      </c>
      <c r="D80" s="41" t="s">
        <v>39</v>
      </c>
      <c r="E80" s="41" t="s">
        <v>325</v>
      </c>
      <c r="F80" s="41" t="s">
        <v>716</v>
      </c>
      <c r="G80" s="67">
        <v>39000</v>
      </c>
      <c r="H80" s="41">
        <v>4500</v>
      </c>
      <c r="I80" s="41">
        <v>6</v>
      </c>
      <c r="J80" s="67">
        <f t="shared" si="18"/>
        <v>1053000000</v>
      </c>
      <c r="K80" s="41">
        <v>4500</v>
      </c>
      <c r="L80" s="41">
        <v>6</v>
      </c>
      <c r="M80" s="70">
        <f t="shared" si="10"/>
        <v>1158300000</v>
      </c>
      <c r="N80" s="41">
        <v>4500</v>
      </c>
      <c r="O80" s="41">
        <v>6</v>
      </c>
      <c r="P80" s="70">
        <f t="shared" si="11"/>
        <v>1274130000.0000002</v>
      </c>
      <c r="Q80" s="41">
        <v>4500</v>
      </c>
      <c r="R80" s="41">
        <v>6</v>
      </c>
      <c r="S80" s="70">
        <f t="shared" si="12"/>
        <v>1401543000.0000005</v>
      </c>
      <c r="T80" s="41">
        <v>4500</v>
      </c>
      <c r="U80" s="41">
        <v>6</v>
      </c>
      <c r="V80" s="70">
        <f t="shared" si="13"/>
        <v>1541697300.0000005</v>
      </c>
      <c r="W80" s="41">
        <v>4500</v>
      </c>
      <c r="X80" s="41">
        <v>6</v>
      </c>
      <c r="Y80" s="70">
        <f t="shared" si="19"/>
        <v>1695867030.0000007</v>
      </c>
      <c r="Z80" s="41">
        <v>4500</v>
      </c>
      <c r="AA80" s="41">
        <v>6</v>
      </c>
      <c r="AB80" s="70">
        <f t="shared" si="14"/>
        <v>1865453733.0000007</v>
      </c>
      <c r="AC80" s="41">
        <v>4500</v>
      </c>
      <c r="AD80" s="41">
        <v>6</v>
      </c>
      <c r="AE80" s="70">
        <f t="shared" si="15"/>
        <v>2051999106.3000011</v>
      </c>
      <c r="AF80" s="28">
        <f t="shared" si="16"/>
        <v>12041990169.300003</v>
      </c>
      <c r="AG80" s="28">
        <f t="shared" si="17"/>
        <v>11691252.591553401</v>
      </c>
    </row>
    <row r="81" spans="1:33" ht="43.2" x14ac:dyDescent="0.3">
      <c r="A81" s="41" t="s">
        <v>696</v>
      </c>
      <c r="B81" s="41" t="s">
        <v>691</v>
      </c>
      <c r="C81" s="43" t="s">
        <v>657</v>
      </c>
      <c r="D81" s="41" t="s">
        <v>39</v>
      </c>
      <c r="E81" s="41" t="s">
        <v>325</v>
      </c>
      <c r="F81" s="41" t="s">
        <v>712</v>
      </c>
      <c r="G81" s="67">
        <f>1999.2/7</f>
        <v>285.60000000000002</v>
      </c>
      <c r="H81" s="41">
        <v>22500</v>
      </c>
      <c r="I81" s="41">
        <v>5</v>
      </c>
      <c r="J81" s="67">
        <f t="shared" si="18"/>
        <v>32130000.000000004</v>
      </c>
      <c r="K81" s="41">
        <v>22500</v>
      </c>
      <c r="L81" s="41">
        <v>5</v>
      </c>
      <c r="M81" s="70">
        <f t="shared" si="10"/>
        <v>35343000.000000007</v>
      </c>
      <c r="N81" s="41">
        <v>22500</v>
      </c>
      <c r="O81" s="41">
        <v>5</v>
      </c>
      <c r="P81" s="70">
        <f t="shared" si="11"/>
        <v>38877300.000000007</v>
      </c>
      <c r="Q81" s="41">
        <v>22500</v>
      </c>
      <c r="R81" s="41">
        <v>5</v>
      </c>
      <c r="S81" s="70">
        <f t="shared" si="12"/>
        <v>42765030.000000015</v>
      </c>
      <c r="T81" s="41">
        <v>22500</v>
      </c>
      <c r="U81" s="41">
        <v>5</v>
      </c>
      <c r="V81" s="70">
        <f t="shared" si="13"/>
        <v>47041533.000000015</v>
      </c>
      <c r="W81" s="41">
        <v>22500</v>
      </c>
      <c r="X81" s="41">
        <v>5</v>
      </c>
      <c r="Y81" s="70">
        <f t="shared" si="19"/>
        <v>51745686.300000019</v>
      </c>
      <c r="Z81" s="41">
        <v>22500</v>
      </c>
      <c r="AA81" s="41">
        <v>5</v>
      </c>
      <c r="AB81" s="70">
        <f t="shared" si="14"/>
        <v>56920254.930000037</v>
      </c>
      <c r="AC81" s="41">
        <v>22500</v>
      </c>
      <c r="AD81" s="41">
        <v>5</v>
      </c>
      <c r="AE81" s="70">
        <f t="shared" si="15"/>
        <v>62612280.423000045</v>
      </c>
      <c r="AF81" s="28">
        <f t="shared" si="16"/>
        <v>367435084.65300018</v>
      </c>
      <c r="AG81" s="28">
        <f t="shared" si="17"/>
        <v>356733.09189611668</v>
      </c>
    </row>
    <row r="82" spans="1:33" ht="43.2" x14ac:dyDescent="0.3">
      <c r="A82" s="41" t="s">
        <v>696</v>
      </c>
      <c r="B82" s="41" t="s">
        <v>691</v>
      </c>
      <c r="C82" s="43" t="s">
        <v>657</v>
      </c>
      <c r="D82" s="41" t="s">
        <v>39</v>
      </c>
      <c r="E82" s="41" t="s">
        <v>325</v>
      </c>
      <c r="F82" s="41" t="s">
        <v>1299</v>
      </c>
      <c r="G82" s="67">
        <f>1999.2/7</f>
        <v>285.60000000000002</v>
      </c>
      <c r="H82" s="41">
        <v>90000</v>
      </c>
      <c r="I82" s="41">
        <v>1</v>
      </c>
      <c r="J82" s="67">
        <f t="shared" si="18"/>
        <v>25704000.000000004</v>
      </c>
      <c r="K82" s="41">
        <v>90000</v>
      </c>
      <c r="L82" s="41">
        <v>1</v>
      </c>
      <c r="M82" s="70">
        <f t="shared" si="10"/>
        <v>28274400.000000004</v>
      </c>
      <c r="N82" s="41">
        <v>90000</v>
      </c>
      <c r="O82" s="41">
        <v>1</v>
      </c>
      <c r="P82" s="70">
        <f t="shared" si="11"/>
        <v>31101840.000000007</v>
      </c>
      <c r="Q82" s="41">
        <v>90000</v>
      </c>
      <c r="R82" s="41">
        <v>1</v>
      </c>
      <c r="S82" s="70">
        <f t="shared" si="12"/>
        <v>34212024.000000015</v>
      </c>
      <c r="T82" s="41">
        <v>90000</v>
      </c>
      <c r="U82" s="41">
        <v>1</v>
      </c>
      <c r="V82" s="70">
        <f t="shared" si="13"/>
        <v>37633226.400000013</v>
      </c>
      <c r="W82" s="41">
        <v>90000</v>
      </c>
      <c r="X82" s="41">
        <v>1</v>
      </c>
      <c r="Y82" s="70">
        <f t="shared" si="19"/>
        <v>41396549.040000014</v>
      </c>
      <c r="Z82" s="41">
        <v>90000</v>
      </c>
      <c r="AA82" s="41">
        <v>1</v>
      </c>
      <c r="AB82" s="70">
        <f t="shared" si="14"/>
        <v>45536203.944000028</v>
      </c>
      <c r="AC82" s="41">
        <v>90000</v>
      </c>
      <c r="AD82" s="41">
        <v>1</v>
      </c>
      <c r="AE82" s="70">
        <f t="shared" si="15"/>
        <v>50089824.338400036</v>
      </c>
      <c r="AF82" s="28">
        <f t="shared" si="16"/>
        <v>293948067.72240013</v>
      </c>
      <c r="AG82" s="28">
        <f t="shared" si="17"/>
        <v>285386.47351689334</v>
      </c>
    </row>
    <row r="83" spans="1:33" ht="43.2" x14ac:dyDescent="0.3">
      <c r="A83" s="41" t="s">
        <v>696</v>
      </c>
      <c r="B83" s="41" t="s">
        <v>691</v>
      </c>
      <c r="C83" s="43" t="s">
        <v>657</v>
      </c>
      <c r="D83" s="41" t="s">
        <v>39</v>
      </c>
      <c r="E83" s="41" t="s">
        <v>747</v>
      </c>
      <c r="F83" s="41" t="s">
        <v>716</v>
      </c>
      <c r="G83" s="67">
        <v>39000</v>
      </c>
      <c r="H83" s="41">
        <v>25</v>
      </c>
      <c r="I83" s="41">
        <v>6</v>
      </c>
      <c r="J83" s="67">
        <f t="shared" si="18"/>
        <v>5850000</v>
      </c>
      <c r="K83" s="41">
        <v>25</v>
      </c>
      <c r="L83" s="41">
        <v>6</v>
      </c>
      <c r="M83" s="70">
        <f t="shared" si="10"/>
        <v>6435000</v>
      </c>
      <c r="N83" s="41">
        <v>25</v>
      </c>
      <c r="O83" s="41">
        <v>6</v>
      </c>
      <c r="P83" s="70">
        <f t="shared" si="11"/>
        <v>7078500.0000000019</v>
      </c>
      <c r="Q83" s="41">
        <v>25</v>
      </c>
      <c r="R83" s="41">
        <v>6</v>
      </c>
      <c r="S83" s="70">
        <f t="shared" si="12"/>
        <v>7786350.0000000028</v>
      </c>
      <c r="T83" s="41">
        <v>25</v>
      </c>
      <c r="U83" s="41">
        <v>6</v>
      </c>
      <c r="V83" s="70">
        <f t="shared" si="13"/>
        <v>8564985.0000000037</v>
      </c>
      <c r="W83" s="41">
        <v>25</v>
      </c>
      <c r="X83" s="41">
        <v>6</v>
      </c>
      <c r="Y83" s="70">
        <f t="shared" si="19"/>
        <v>9421483.5000000037</v>
      </c>
      <c r="Z83" s="41">
        <v>25</v>
      </c>
      <c r="AA83" s="41">
        <v>6</v>
      </c>
      <c r="AB83" s="70">
        <f t="shared" si="14"/>
        <v>10363631.850000005</v>
      </c>
      <c r="AC83" s="41">
        <v>25</v>
      </c>
      <c r="AD83" s="41">
        <v>6</v>
      </c>
      <c r="AE83" s="70">
        <f t="shared" si="15"/>
        <v>11399995.035000006</v>
      </c>
      <c r="AF83" s="28">
        <f t="shared" si="16"/>
        <v>66899945.385000028</v>
      </c>
      <c r="AG83" s="28">
        <f t="shared" si="17"/>
        <v>64951.403286407796</v>
      </c>
    </row>
    <row r="84" spans="1:33" ht="43.2" x14ac:dyDescent="0.3">
      <c r="A84" s="41" t="s">
        <v>696</v>
      </c>
      <c r="B84" s="41" t="s">
        <v>691</v>
      </c>
      <c r="C84" s="43" t="s">
        <v>657</v>
      </c>
      <c r="D84" s="41" t="s">
        <v>39</v>
      </c>
      <c r="E84" s="41" t="s">
        <v>747</v>
      </c>
      <c r="F84" s="41" t="s">
        <v>709</v>
      </c>
      <c r="G84" s="67">
        <v>35000</v>
      </c>
      <c r="H84" s="41">
        <v>25</v>
      </c>
      <c r="I84" s="41">
        <v>5</v>
      </c>
      <c r="J84" s="67">
        <f t="shared" si="18"/>
        <v>4375000</v>
      </c>
      <c r="K84" s="41">
        <v>25</v>
      </c>
      <c r="L84" s="41">
        <v>5</v>
      </c>
      <c r="M84" s="70">
        <f t="shared" si="10"/>
        <v>4812500</v>
      </c>
      <c r="N84" s="41">
        <v>25</v>
      </c>
      <c r="O84" s="41">
        <v>5</v>
      </c>
      <c r="P84" s="70">
        <f t="shared" si="11"/>
        <v>5293750.0000000009</v>
      </c>
      <c r="Q84" s="41">
        <v>25</v>
      </c>
      <c r="R84" s="41">
        <v>5</v>
      </c>
      <c r="S84" s="70">
        <f t="shared" si="12"/>
        <v>5823125.0000000019</v>
      </c>
      <c r="T84" s="41">
        <v>25</v>
      </c>
      <c r="U84" s="41">
        <v>5</v>
      </c>
      <c r="V84" s="70">
        <f t="shared" si="13"/>
        <v>6405437.5000000019</v>
      </c>
      <c r="W84" s="41">
        <v>25</v>
      </c>
      <c r="X84" s="41">
        <v>5</v>
      </c>
      <c r="Y84" s="70">
        <f t="shared" si="19"/>
        <v>7045981.2500000019</v>
      </c>
      <c r="Z84" s="41">
        <v>25</v>
      </c>
      <c r="AA84" s="41">
        <v>5</v>
      </c>
      <c r="AB84" s="70">
        <f t="shared" si="14"/>
        <v>7750579.3750000037</v>
      </c>
      <c r="AC84" s="41">
        <v>25</v>
      </c>
      <c r="AD84" s="41">
        <v>5</v>
      </c>
      <c r="AE84" s="70">
        <f t="shared" si="15"/>
        <v>8525637.3125000037</v>
      </c>
      <c r="AF84" s="28">
        <f t="shared" si="16"/>
        <v>50032010.4375</v>
      </c>
      <c r="AG84" s="28">
        <f t="shared" si="17"/>
        <v>48574.767415048547</v>
      </c>
    </row>
    <row r="85" spans="1:33" ht="43.2" x14ac:dyDescent="0.3">
      <c r="A85" s="41" t="s">
        <v>696</v>
      </c>
      <c r="B85" s="41" t="s">
        <v>691</v>
      </c>
      <c r="C85" s="43" t="s">
        <v>657</v>
      </c>
      <c r="D85" s="41" t="s">
        <v>39</v>
      </c>
      <c r="E85" s="41" t="s">
        <v>747</v>
      </c>
      <c r="F85" s="41" t="s">
        <v>712</v>
      </c>
      <c r="G85" s="67">
        <f>1999.2/7</f>
        <v>285.60000000000002</v>
      </c>
      <c r="H85" s="41">
        <f>2*25*9</f>
        <v>450</v>
      </c>
      <c r="I85" s="41">
        <v>5</v>
      </c>
      <c r="J85" s="67">
        <f t="shared" si="18"/>
        <v>642600.00000000012</v>
      </c>
      <c r="K85" s="41">
        <f>2*25*9</f>
        <v>450</v>
      </c>
      <c r="L85" s="41">
        <v>5</v>
      </c>
      <c r="M85" s="70">
        <f t="shared" si="10"/>
        <v>706860</v>
      </c>
      <c r="N85" s="41">
        <f>2*25*9</f>
        <v>450</v>
      </c>
      <c r="O85" s="41">
        <v>5</v>
      </c>
      <c r="P85" s="70">
        <f t="shared" si="11"/>
        <v>777546.00000000023</v>
      </c>
      <c r="Q85" s="41">
        <f>2*25*9</f>
        <v>450</v>
      </c>
      <c r="R85" s="41">
        <v>5</v>
      </c>
      <c r="S85" s="70">
        <f t="shared" si="12"/>
        <v>855300.60000000044</v>
      </c>
      <c r="T85" s="41">
        <f>2*25*9</f>
        <v>450</v>
      </c>
      <c r="U85" s="41">
        <v>5</v>
      </c>
      <c r="V85" s="70">
        <f t="shared" si="13"/>
        <v>940830.66000000038</v>
      </c>
      <c r="W85" s="41">
        <f>2*25*9</f>
        <v>450</v>
      </c>
      <c r="X85" s="41">
        <v>5</v>
      </c>
      <c r="Y85" s="70">
        <f t="shared" si="19"/>
        <v>1034913.7260000005</v>
      </c>
      <c r="Z85" s="41">
        <f>2*25*9</f>
        <v>450</v>
      </c>
      <c r="AA85" s="41">
        <v>5</v>
      </c>
      <c r="AB85" s="70">
        <f t="shared" si="14"/>
        <v>1138405.0986000006</v>
      </c>
      <c r="AC85" s="41">
        <f>2*25*9</f>
        <v>450</v>
      </c>
      <c r="AD85" s="41">
        <v>5</v>
      </c>
      <c r="AE85" s="70">
        <f t="shared" si="15"/>
        <v>1252245.6084600009</v>
      </c>
      <c r="AF85" s="28">
        <f t="shared" si="16"/>
        <v>7348701.6930600023</v>
      </c>
      <c r="AG85" s="28">
        <f t="shared" si="17"/>
        <v>7134.6618379223319</v>
      </c>
    </row>
    <row r="86" spans="1:33" ht="43.2" x14ac:dyDescent="0.3">
      <c r="A86" s="41" t="s">
        <v>696</v>
      </c>
      <c r="B86" s="41" t="s">
        <v>691</v>
      </c>
      <c r="C86" s="43" t="s">
        <v>657</v>
      </c>
      <c r="D86" s="41" t="s">
        <v>39</v>
      </c>
      <c r="E86" s="41" t="s">
        <v>747</v>
      </c>
      <c r="F86" s="41" t="s">
        <v>1299</v>
      </c>
      <c r="G86" s="67">
        <f>1999.2/7</f>
        <v>285.60000000000002</v>
      </c>
      <c r="H86" s="41">
        <f>2*135*9</f>
        <v>2430</v>
      </c>
      <c r="I86" s="41">
        <v>1</v>
      </c>
      <c r="J86" s="67">
        <f t="shared" si="18"/>
        <v>694008</v>
      </c>
      <c r="K86" s="41">
        <f>2*135*9</f>
        <v>2430</v>
      </c>
      <c r="L86" s="41">
        <v>1</v>
      </c>
      <c r="M86" s="70">
        <f t="shared" si="10"/>
        <v>763408.8</v>
      </c>
      <c r="N86" s="41">
        <f>2*135*9</f>
        <v>2430</v>
      </c>
      <c r="O86" s="41">
        <v>1</v>
      </c>
      <c r="P86" s="70">
        <f t="shared" si="11"/>
        <v>839749.68000000017</v>
      </c>
      <c r="Q86" s="41">
        <f>2*135*9</f>
        <v>2430</v>
      </c>
      <c r="R86" s="41">
        <v>1</v>
      </c>
      <c r="S86" s="70">
        <f t="shared" si="12"/>
        <v>923724.64800000039</v>
      </c>
      <c r="T86" s="41">
        <f>2*135*9</f>
        <v>2430</v>
      </c>
      <c r="U86" s="41">
        <v>1</v>
      </c>
      <c r="V86" s="70">
        <f t="shared" si="13"/>
        <v>1016097.1128000004</v>
      </c>
      <c r="W86" s="41">
        <f>2*135*9</f>
        <v>2430</v>
      </c>
      <c r="X86" s="41">
        <v>1</v>
      </c>
      <c r="Y86" s="70">
        <f t="shared" si="19"/>
        <v>1117706.8240800004</v>
      </c>
      <c r="Z86" s="41">
        <f>2*135*9</f>
        <v>2430</v>
      </c>
      <c r="AA86" s="41">
        <v>1</v>
      </c>
      <c r="AB86" s="70">
        <f t="shared" si="14"/>
        <v>1229477.5064880007</v>
      </c>
      <c r="AC86" s="41">
        <f>2*135*9</f>
        <v>2430</v>
      </c>
      <c r="AD86" s="41">
        <v>1</v>
      </c>
      <c r="AE86" s="70">
        <f t="shared" si="15"/>
        <v>1352425.257136801</v>
      </c>
      <c r="AF86" s="28">
        <f t="shared" si="16"/>
        <v>7936597.8285048045</v>
      </c>
      <c r="AG86" s="28">
        <f t="shared" si="17"/>
        <v>7705.4347849561209</v>
      </c>
    </row>
    <row r="87" spans="1:33" ht="43.2" x14ac:dyDescent="0.3">
      <c r="A87" s="41" t="s">
        <v>696</v>
      </c>
      <c r="B87" s="41" t="s">
        <v>691</v>
      </c>
      <c r="C87" s="43" t="s">
        <v>657</v>
      </c>
      <c r="D87" s="41" t="s">
        <v>39</v>
      </c>
      <c r="E87" s="41" t="s">
        <v>327</v>
      </c>
      <c r="F87" s="41" t="s">
        <v>708</v>
      </c>
      <c r="G87" s="67">
        <f>500*1030</f>
        <v>515000</v>
      </c>
      <c r="H87" s="41"/>
      <c r="I87" s="41"/>
      <c r="J87" s="67"/>
      <c r="K87" s="41">
        <v>0</v>
      </c>
      <c r="L87" s="41">
        <v>0</v>
      </c>
      <c r="M87" s="70">
        <f t="shared" si="10"/>
        <v>0</v>
      </c>
      <c r="N87" s="41">
        <v>0</v>
      </c>
      <c r="O87" s="41">
        <v>0</v>
      </c>
      <c r="P87" s="70">
        <f t="shared" si="11"/>
        <v>0</v>
      </c>
      <c r="Q87" s="41">
        <v>0</v>
      </c>
      <c r="R87" s="41">
        <v>0</v>
      </c>
      <c r="S87" s="70">
        <f t="shared" si="12"/>
        <v>0</v>
      </c>
      <c r="T87" s="41">
        <v>1</v>
      </c>
      <c r="U87" s="41">
        <v>25</v>
      </c>
      <c r="V87" s="70">
        <f t="shared" si="13"/>
        <v>18850287.500000007</v>
      </c>
      <c r="W87" s="41">
        <v>0</v>
      </c>
      <c r="X87" s="41">
        <v>0</v>
      </c>
      <c r="Y87" s="70">
        <f t="shared" si="19"/>
        <v>0</v>
      </c>
      <c r="Z87" s="41">
        <v>0</v>
      </c>
      <c r="AA87" s="41">
        <v>0</v>
      </c>
      <c r="AB87" s="70">
        <f t="shared" si="14"/>
        <v>0</v>
      </c>
      <c r="AC87" s="41">
        <v>1</v>
      </c>
      <c r="AD87" s="41">
        <v>25</v>
      </c>
      <c r="AE87" s="70">
        <f t="shared" si="15"/>
        <v>25089732.662500016</v>
      </c>
      <c r="AF87" s="28">
        <f t="shared" si="16"/>
        <v>43940020.162500024</v>
      </c>
      <c r="AG87" s="28">
        <f t="shared" si="17"/>
        <v>42660.213750000024</v>
      </c>
    </row>
    <row r="88" spans="1:33" ht="43.2" x14ac:dyDescent="0.3">
      <c r="A88" s="41" t="s">
        <v>696</v>
      </c>
      <c r="B88" s="41" t="s">
        <v>691</v>
      </c>
      <c r="C88" s="43" t="s">
        <v>657</v>
      </c>
      <c r="D88" s="41" t="s">
        <v>40</v>
      </c>
      <c r="E88" s="41" t="s">
        <v>328</v>
      </c>
      <c r="F88" s="41" t="s">
        <v>707</v>
      </c>
      <c r="G88" s="67">
        <v>391991.03749999998</v>
      </c>
      <c r="H88" s="41">
        <v>2</v>
      </c>
      <c r="I88" s="41">
        <v>2</v>
      </c>
      <c r="J88" s="67">
        <f t="shared" si="18"/>
        <v>1567964.15</v>
      </c>
      <c r="K88" s="41">
        <v>0</v>
      </c>
      <c r="L88" s="41">
        <v>0</v>
      </c>
      <c r="M88" s="70">
        <f t="shared" si="10"/>
        <v>0</v>
      </c>
      <c r="N88" s="41">
        <v>0</v>
      </c>
      <c r="O88" s="41">
        <v>0</v>
      </c>
      <c r="P88" s="70">
        <f t="shared" si="11"/>
        <v>0</v>
      </c>
      <c r="Q88" s="41">
        <v>0</v>
      </c>
      <c r="R88" s="41">
        <v>0</v>
      </c>
      <c r="S88" s="70">
        <f t="shared" si="12"/>
        <v>0</v>
      </c>
      <c r="T88" s="41">
        <v>0</v>
      </c>
      <c r="U88" s="41">
        <v>0</v>
      </c>
      <c r="V88" s="70">
        <f t="shared" si="13"/>
        <v>0</v>
      </c>
      <c r="W88" s="41">
        <v>0</v>
      </c>
      <c r="X88" s="41">
        <v>0</v>
      </c>
      <c r="Y88" s="70">
        <f t="shared" si="19"/>
        <v>0</v>
      </c>
      <c r="Z88" s="41">
        <v>0</v>
      </c>
      <c r="AA88" s="41">
        <v>0</v>
      </c>
      <c r="AB88" s="70">
        <f t="shared" si="14"/>
        <v>0</v>
      </c>
      <c r="AC88" s="41">
        <v>0</v>
      </c>
      <c r="AD88" s="41">
        <v>0</v>
      </c>
      <c r="AE88" s="70">
        <f t="shared" si="15"/>
        <v>0</v>
      </c>
      <c r="AF88" s="28">
        <f t="shared" si="16"/>
        <v>1567964.15</v>
      </c>
      <c r="AG88" s="28">
        <f t="shared" si="17"/>
        <v>1522.2952912621358</v>
      </c>
    </row>
    <row r="89" spans="1:33" ht="43.2" x14ac:dyDescent="0.3">
      <c r="A89" s="41" t="s">
        <v>696</v>
      </c>
      <c r="B89" s="41" t="s">
        <v>691</v>
      </c>
      <c r="C89" s="43" t="s">
        <v>657</v>
      </c>
      <c r="D89" s="41" t="s">
        <v>40</v>
      </c>
      <c r="E89" s="41" t="s">
        <v>328</v>
      </c>
      <c r="F89" s="41" t="s">
        <v>741</v>
      </c>
      <c r="G89" s="67">
        <f>42000*1030</f>
        <v>43260000</v>
      </c>
      <c r="H89" s="41"/>
      <c r="I89" s="41"/>
      <c r="J89" s="67"/>
      <c r="K89" s="41">
        <v>2</v>
      </c>
      <c r="L89" s="41">
        <v>1</v>
      </c>
      <c r="M89" s="70">
        <f t="shared" si="10"/>
        <v>95172000.000000015</v>
      </c>
      <c r="N89" s="41">
        <v>2</v>
      </c>
      <c r="O89" s="41">
        <v>1</v>
      </c>
      <c r="P89" s="70">
        <f t="shared" si="11"/>
        <v>104689200.00000001</v>
      </c>
      <c r="Q89" s="41">
        <v>2</v>
      </c>
      <c r="R89" s="41">
        <v>1</v>
      </c>
      <c r="S89" s="70">
        <f t="shared" si="12"/>
        <v>115158120.00000003</v>
      </c>
      <c r="T89" s="41">
        <v>2</v>
      </c>
      <c r="U89" s="41">
        <v>1</v>
      </c>
      <c r="V89" s="70">
        <f t="shared" si="13"/>
        <v>126673932.00000003</v>
      </c>
      <c r="W89" s="41">
        <v>0</v>
      </c>
      <c r="X89" s="41">
        <v>0</v>
      </c>
      <c r="Y89" s="70">
        <f t="shared" si="19"/>
        <v>0</v>
      </c>
      <c r="Z89" s="41">
        <v>0</v>
      </c>
      <c r="AA89" s="41">
        <v>0</v>
      </c>
      <c r="AB89" s="70">
        <f t="shared" si="14"/>
        <v>0</v>
      </c>
      <c r="AC89" s="41">
        <v>0</v>
      </c>
      <c r="AD89" s="41">
        <v>0</v>
      </c>
      <c r="AE89" s="70">
        <f t="shared" si="15"/>
        <v>0</v>
      </c>
      <c r="AF89" s="28">
        <f t="shared" si="16"/>
        <v>441693252.00000012</v>
      </c>
      <c r="AG89" s="28">
        <f t="shared" si="17"/>
        <v>428828.40000000014</v>
      </c>
    </row>
    <row r="90" spans="1:33" ht="43.2" x14ac:dyDescent="0.3">
      <c r="A90" s="41" t="s">
        <v>696</v>
      </c>
      <c r="B90" s="41" t="s">
        <v>691</v>
      </c>
      <c r="C90" s="43" t="s">
        <v>657</v>
      </c>
      <c r="D90" s="41" t="s">
        <v>40</v>
      </c>
      <c r="E90" s="41" t="s">
        <v>329</v>
      </c>
      <c r="F90" s="41" t="s">
        <v>741</v>
      </c>
      <c r="G90" s="67">
        <f>48000*1030</f>
        <v>49440000</v>
      </c>
      <c r="H90" s="41"/>
      <c r="I90" s="41"/>
      <c r="J90" s="67"/>
      <c r="K90" s="41">
        <v>2</v>
      </c>
      <c r="L90" s="41">
        <v>1</v>
      </c>
      <c r="M90" s="70">
        <f t="shared" si="10"/>
        <v>108768000.00000001</v>
      </c>
      <c r="N90" s="41">
        <v>2</v>
      </c>
      <c r="O90" s="41">
        <v>1</v>
      </c>
      <c r="P90" s="70">
        <f t="shared" si="11"/>
        <v>119644800.00000001</v>
      </c>
      <c r="Q90" s="41">
        <v>2</v>
      </c>
      <c r="R90" s="41">
        <v>1</v>
      </c>
      <c r="S90" s="70">
        <f t="shared" si="12"/>
        <v>131609280.00000004</v>
      </c>
      <c r="T90" s="41">
        <v>2</v>
      </c>
      <c r="U90" s="41">
        <v>1</v>
      </c>
      <c r="V90" s="70">
        <f t="shared" si="13"/>
        <v>144770208.00000003</v>
      </c>
      <c r="W90" s="41">
        <v>0</v>
      </c>
      <c r="X90" s="41">
        <v>0</v>
      </c>
      <c r="Y90" s="70">
        <f t="shared" si="19"/>
        <v>0</v>
      </c>
      <c r="Z90" s="41">
        <v>0</v>
      </c>
      <c r="AA90" s="41">
        <v>0</v>
      </c>
      <c r="AB90" s="70">
        <f t="shared" si="14"/>
        <v>0</v>
      </c>
      <c r="AC90" s="41">
        <v>0</v>
      </c>
      <c r="AD90" s="41">
        <v>0</v>
      </c>
      <c r="AE90" s="70">
        <f t="shared" si="15"/>
        <v>0</v>
      </c>
      <c r="AF90" s="28">
        <f t="shared" si="16"/>
        <v>504792288.00000012</v>
      </c>
      <c r="AG90" s="28">
        <f t="shared" si="17"/>
        <v>490089.60000000009</v>
      </c>
    </row>
    <row r="91" spans="1:33" ht="43.2" x14ac:dyDescent="0.3">
      <c r="A91" s="41" t="s">
        <v>696</v>
      </c>
      <c r="B91" s="41" t="s">
        <v>691</v>
      </c>
      <c r="C91" s="43" t="s">
        <v>657</v>
      </c>
      <c r="D91" s="41" t="s">
        <v>40</v>
      </c>
      <c r="E91" s="41" t="s">
        <v>330</v>
      </c>
      <c r="F91" s="41" t="s">
        <v>748</v>
      </c>
      <c r="G91" s="67">
        <v>10000</v>
      </c>
      <c r="H91" s="41"/>
      <c r="I91" s="41"/>
      <c r="J91" s="67"/>
      <c r="K91" s="41">
        <v>900</v>
      </c>
      <c r="L91" s="41">
        <v>1</v>
      </c>
      <c r="M91" s="70">
        <f t="shared" si="10"/>
        <v>9900000</v>
      </c>
      <c r="N91" s="41">
        <v>200</v>
      </c>
      <c r="O91" s="41">
        <v>1</v>
      </c>
      <c r="P91" s="70">
        <f t="shared" si="11"/>
        <v>2420000.0000000005</v>
      </c>
      <c r="Q91" s="41">
        <v>200</v>
      </c>
      <c r="R91" s="41">
        <v>1</v>
      </c>
      <c r="S91" s="70">
        <f t="shared" si="12"/>
        <v>2662000.0000000009</v>
      </c>
      <c r="T91" s="41"/>
      <c r="U91" s="41"/>
      <c r="V91" s="70">
        <f t="shared" si="13"/>
        <v>0</v>
      </c>
      <c r="W91" s="41">
        <v>0</v>
      </c>
      <c r="X91" s="41">
        <v>0</v>
      </c>
      <c r="Y91" s="70">
        <f t="shared" si="19"/>
        <v>0</v>
      </c>
      <c r="Z91" s="41">
        <v>0</v>
      </c>
      <c r="AA91" s="41">
        <v>0</v>
      </c>
      <c r="AB91" s="70">
        <f t="shared" si="14"/>
        <v>0</v>
      </c>
      <c r="AC91" s="41">
        <v>0</v>
      </c>
      <c r="AD91" s="41">
        <v>0</v>
      </c>
      <c r="AE91" s="70">
        <f t="shared" si="15"/>
        <v>0</v>
      </c>
      <c r="AF91" s="28">
        <f t="shared" si="16"/>
        <v>14982000</v>
      </c>
      <c r="AG91" s="28">
        <f t="shared" si="17"/>
        <v>14545.631067961165</v>
      </c>
    </row>
    <row r="92" spans="1:33" ht="43.2" x14ac:dyDescent="0.3">
      <c r="A92" s="41" t="s">
        <v>696</v>
      </c>
      <c r="B92" s="41" t="s">
        <v>691</v>
      </c>
      <c r="C92" s="43" t="s">
        <v>657</v>
      </c>
      <c r="D92" s="41" t="s">
        <v>40</v>
      </c>
      <c r="E92" s="41" t="s">
        <v>749</v>
      </c>
      <c r="F92" s="41" t="s">
        <v>750</v>
      </c>
      <c r="G92" s="67">
        <v>420000000</v>
      </c>
      <c r="H92" s="41"/>
      <c r="I92" s="41"/>
      <c r="J92" s="67"/>
      <c r="K92" s="41">
        <v>1</v>
      </c>
      <c r="L92" s="41">
        <v>1</v>
      </c>
      <c r="M92" s="70">
        <f t="shared" si="10"/>
        <v>462000000.00000006</v>
      </c>
      <c r="N92" s="41">
        <v>1</v>
      </c>
      <c r="O92" s="41">
        <v>1</v>
      </c>
      <c r="P92" s="70">
        <f t="shared" si="11"/>
        <v>508200000.00000006</v>
      </c>
      <c r="Q92" s="41">
        <v>1</v>
      </c>
      <c r="R92" s="41">
        <v>1</v>
      </c>
      <c r="S92" s="70">
        <f t="shared" si="12"/>
        <v>559020000.00000012</v>
      </c>
      <c r="T92" s="41">
        <v>1</v>
      </c>
      <c r="U92" s="41">
        <v>1</v>
      </c>
      <c r="V92" s="70">
        <f t="shared" si="13"/>
        <v>614922000.00000012</v>
      </c>
      <c r="W92" s="41">
        <v>1</v>
      </c>
      <c r="X92" s="41">
        <v>1</v>
      </c>
      <c r="Y92" s="70">
        <f t="shared" si="19"/>
        <v>676414200.00000024</v>
      </c>
      <c r="Z92" s="41">
        <v>1</v>
      </c>
      <c r="AA92" s="41">
        <v>1</v>
      </c>
      <c r="AB92" s="70">
        <f t="shared" si="14"/>
        <v>744055620.00000036</v>
      </c>
      <c r="AC92" s="41">
        <v>1</v>
      </c>
      <c r="AD92" s="41">
        <v>1</v>
      </c>
      <c r="AE92" s="70">
        <f t="shared" si="15"/>
        <v>818461182.00000048</v>
      </c>
      <c r="AF92" s="28">
        <f t="shared" si="16"/>
        <v>4383073002.0000019</v>
      </c>
      <c r="AG92" s="28">
        <f t="shared" si="17"/>
        <v>4255410.6815534001</v>
      </c>
    </row>
    <row r="93" spans="1:33" ht="43.2" x14ac:dyDescent="0.3">
      <c r="A93" s="41" t="s">
        <v>696</v>
      </c>
      <c r="B93" s="41" t="s">
        <v>691</v>
      </c>
      <c r="C93" s="43" t="s">
        <v>657</v>
      </c>
      <c r="D93" s="41" t="s">
        <v>40</v>
      </c>
      <c r="E93" s="41" t="s">
        <v>1386</v>
      </c>
      <c r="F93" s="41" t="s">
        <v>751</v>
      </c>
      <c r="G93" s="67">
        <v>105000000</v>
      </c>
      <c r="H93" s="41"/>
      <c r="I93" s="41"/>
      <c r="J93" s="67"/>
      <c r="K93" s="41">
        <v>1</v>
      </c>
      <c r="L93" s="41">
        <v>1</v>
      </c>
      <c r="M93" s="70">
        <f t="shared" si="10"/>
        <v>115500000.00000001</v>
      </c>
      <c r="N93" s="41">
        <v>1</v>
      </c>
      <c r="O93" s="41">
        <v>1</v>
      </c>
      <c r="P93" s="70">
        <f t="shared" si="11"/>
        <v>127050000.00000001</v>
      </c>
      <c r="Q93" s="41">
        <v>1</v>
      </c>
      <c r="R93" s="41">
        <v>1</v>
      </c>
      <c r="S93" s="70">
        <f t="shared" si="12"/>
        <v>139755000.00000003</v>
      </c>
      <c r="T93" s="41">
        <v>1</v>
      </c>
      <c r="U93" s="41">
        <v>1</v>
      </c>
      <c r="V93" s="70">
        <f t="shared" si="13"/>
        <v>153730500.00000003</v>
      </c>
      <c r="W93" s="41">
        <v>1</v>
      </c>
      <c r="X93" s="41">
        <v>1</v>
      </c>
      <c r="Y93" s="70">
        <f t="shared" si="19"/>
        <v>169103550.00000006</v>
      </c>
      <c r="Z93" s="41">
        <v>1</v>
      </c>
      <c r="AA93" s="41">
        <v>1</v>
      </c>
      <c r="AB93" s="70">
        <f t="shared" si="14"/>
        <v>186013905.00000009</v>
      </c>
      <c r="AC93" s="41">
        <v>1</v>
      </c>
      <c r="AD93" s="41">
        <v>1</v>
      </c>
      <c r="AE93" s="70">
        <f t="shared" si="15"/>
        <v>204615295.50000012</v>
      </c>
      <c r="AF93" s="28">
        <f t="shared" si="16"/>
        <v>1095768250.5000005</v>
      </c>
      <c r="AG93" s="28">
        <f t="shared" si="17"/>
        <v>1063852.67038835</v>
      </c>
    </row>
    <row r="94" spans="1:33" ht="43.2" x14ac:dyDescent="0.3">
      <c r="A94" s="41" t="s">
        <v>696</v>
      </c>
      <c r="B94" s="41" t="s">
        <v>691</v>
      </c>
      <c r="C94" s="43" t="s">
        <v>657</v>
      </c>
      <c r="D94" s="41" t="s">
        <v>40</v>
      </c>
      <c r="E94" s="41" t="s">
        <v>332</v>
      </c>
      <c r="F94" s="41" t="s">
        <v>709</v>
      </c>
      <c r="G94" s="67">
        <v>35000</v>
      </c>
      <c r="H94" s="41">
        <v>1000</v>
      </c>
      <c r="I94" s="41">
        <v>6</v>
      </c>
      <c r="J94" s="67">
        <f t="shared" si="18"/>
        <v>210000000</v>
      </c>
      <c r="K94" s="41">
        <v>0</v>
      </c>
      <c r="L94" s="41">
        <v>0</v>
      </c>
      <c r="M94" s="70">
        <f t="shared" si="10"/>
        <v>0</v>
      </c>
      <c r="N94" s="41">
        <v>0</v>
      </c>
      <c r="O94" s="41">
        <v>0</v>
      </c>
      <c r="P94" s="70">
        <f t="shared" si="11"/>
        <v>0</v>
      </c>
      <c r="Q94" s="41">
        <v>0</v>
      </c>
      <c r="R94" s="41">
        <v>0</v>
      </c>
      <c r="S94" s="70">
        <f t="shared" si="12"/>
        <v>0</v>
      </c>
      <c r="T94" s="41">
        <v>0</v>
      </c>
      <c r="U94" s="41">
        <v>0</v>
      </c>
      <c r="V94" s="70">
        <f t="shared" si="13"/>
        <v>0</v>
      </c>
      <c r="W94" s="41">
        <v>0</v>
      </c>
      <c r="X94" s="41">
        <v>0</v>
      </c>
      <c r="Y94" s="70">
        <f t="shared" si="19"/>
        <v>0</v>
      </c>
      <c r="Z94" s="41">
        <v>0</v>
      </c>
      <c r="AA94" s="41">
        <v>0</v>
      </c>
      <c r="AB94" s="70">
        <f t="shared" si="14"/>
        <v>0</v>
      </c>
      <c r="AC94" s="41">
        <v>0</v>
      </c>
      <c r="AD94" s="41">
        <v>0</v>
      </c>
      <c r="AE94" s="70">
        <f t="shared" si="15"/>
        <v>0</v>
      </c>
      <c r="AF94" s="28">
        <f t="shared" si="16"/>
        <v>210000000</v>
      </c>
      <c r="AG94" s="28">
        <f t="shared" si="17"/>
        <v>203883.49514563108</v>
      </c>
    </row>
    <row r="95" spans="1:33" ht="43.2" x14ac:dyDescent="0.3">
      <c r="A95" s="41" t="s">
        <v>696</v>
      </c>
      <c r="B95" s="41" t="s">
        <v>691</v>
      </c>
      <c r="C95" s="43" t="s">
        <v>657</v>
      </c>
      <c r="D95" s="41" t="s">
        <v>40</v>
      </c>
      <c r="E95" s="41" t="s">
        <v>332</v>
      </c>
      <c r="F95" s="41" t="s">
        <v>712</v>
      </c>
      <c r="G95" s="67">
        <f>1999.2/7</f>
        <v>285.60000000000002</v>
      </c>
      <c r="H95" s="41">
        <v>22500</v>
      </c>
      <c r="I95" s="41">
        <v>5</v>
      </c>
      <c r="J95" s="67">
        <f t="shared" si="18"/>
        <v>32130000.000000004</v>
      </c>
      <c r="K95" s="41">
        <v>0</v>
      </c>
      <c r="L95" s="41">
        <v>0</v>
      </c>
      <c r="M95" s="70">
        <f t="shared" si="10"/>
        <v>0</v>
      </c>
      <c r="N95" s="41">
        <v>0</v>
      </c>
      <c r="O95" s="41">
        <v>0</v>
      </c>
      <c r="P95" s="70">
        <f t="shared" si="11"/>
        <v>0</v>
      </c>
      <c r="Q95" s="41">
        <v>0</v>
      </c>
      <c r="R95" s="41">
        <v>0</v>
      </c>
      <c r="S95" s="70">
        <f t="shared" si="12"/>
        <v>0</v>
      </c>
      <c r="T95" s="41">
        <v>0</v>
      </c>
      <c r="U95" s="41">
        <v>0</v>
      </c>
      <c r="V95" s="70">
        <f t="shared" si="13"/>
        <v>0</v>
      </c>
      <c r="W95" s="41">
        <v>0</v>
      </c>
      <c r="X95" s="41">
        <v>0</v>
      </c>
      <c r="Y95" s="70">
        <f t="shared" si="19"/>
        <v>0</v>
      </c>
      <c r="Z95" s="41">
        <v>0</v>
      </c>
      <c r="AA95" s="41">
        <v>0</v>
      </c>
      <c r="AB95" s="70">
        <f t="shared" si="14"/>
        <v>0</v>
      </c>
      <c r="AC95" s="41">
        <v>0</v>
      </c>
      <c r="AD95" s="41">
        <v>0</v>
      </c>
      <c r="AE95" s="70">
        <f t="shared" si="15"/>
        <v>0</v>
      </c>
      <c r="AF95" s="28">
        <f t="shared" si="16"/>
        <v>32130000.000000004</v>
      </c>
      <c r="AG95" s="28">
        <f t="shared" si="17"/>
        <v>31194.174757281558</v>
      </c>
    </row>
    <row r="96" spans="1:33" ht="43.2" x14ac:dyDescent="0.3">
      <c r="A96" s="41" t="s">
        <v>696</v>
      </c>
      <c r="B96" s="41" t="s">
        <v>691</v>
      </c>
      <c r="C96" s="43" t="s">
        <v>657</v>
      </c>
      <c r="D96" s="41" t="s">
        <v>40</v>
      </c>
      <c r="E96" s="41" t="s">
        <v>332</v>
      </c>
      <c r="F96" s="41" t="s">
        <v>716</v>
      </c>
      <c r="G96" s="67">
        <v>39000</v>
      </c>
      <c r="H96" s="41">
        <v>1000</v>
      </c>
      <c r="I96" s="41">
        <v>6</v>
      </c>
      <c r="J96" s="67">
        <f t="shared" si="18"/>
        <v>234000000</v>
      </c>
      <c r="K96" s="41"/>
      <c r="L96" s="41"/>
      <c r="M96" s="70">
        <f t="shared" si="10"/>
        <v>0</v>
      </c>
      <c r="N96" s="41"/>
      <c r="O96" s="41"/>
      <c r="P96" s="70">
        <f t="shared" si="11"/>
        <v>0</v>
      </c>
      <c r="Q96" s="41"/>
      <c r="R96" s="41"/>
      <c r="S96" s="70">
        <f t="shared" si="12"/>
        <v>0</v>
      </c>
      <c r="T96" s="41"/>
      <c r="U96" s="41"/>
      <c r="V96" s="70">
        <f t="shared" si="13"/>
        <v>0</v>
      </c>
      <c r="W96" s="41"/>
      <c r="X96" s="41"/>
      <c r="Y96" s="70">
        <f t="shared" si="19"/>
        <v>0</v>
      </c>
      <c r="Z96" s="41"/>
      <c r="AA96" s="41"/>
      <c r="AB96" s="70">
        <f t="shared" si="14"/>
        <v>0</v>
      </c>
      <c r="AC96" s="41"/>
      <c r="AD96" s="41"/>
      <c r="AE96" s="70">
        <f t="shared" si="15"/>
        <v>0</v>
      </c>
      <c r="AF96" s="28">
        <f t="shared" si="16"/>
        <v>234000000</v>
      </c>
      <c r="AG96" s="28">
        <f t="shared" si="17"/>
        <v>227184.46601941748</v>
      </c>
    </row>
    <row r="97" spans="1:33" ht="43.2" x14ac:dyDescent="0.3">
      <c r="A97" s="41" t="s">
        <v>696</v>
      </c>
      <c r="B97" s="41" t="s">
        <v>691</v>
      </c>
      <c r="C97" s="43" t="s">
        <v>657</v>
      </c>
      <c r="D97" s="41" t="s">
        <v>40</v>
      </c>
      <c r="E97" s="41" t="s">
        <v>332</v>
      </c>
      <c r="F97" s="41" t="s">
        <v>1299</v>
      </c>
      <c r="G97" s="67">
        <f>1999.2/7</f>
        <v>285.60000000000002</v>
      </c>
      <c r="H97" s="41">
        <v>99000</v>
      </c>
      <c r="I97" s="41">
        <v>1</v>
      </c>
      <c r="J97" s="67"/>
      <c r="K97" s="41"/>
      <c r="L97" s="41"/>
      <c r="M97" s="70">
        <f t="shared" si="10"/>
        <v>0</v>
      </c>
      <c r="N97" s="41"/>
      <c r="O97" s="41"/>
      <c r="P97" s="70">
        <f t="shared" si="11"/>
        <v>0</v>
      </c>
      <c r="Q97" s="41"/>
      <c r="R97" s="41"/>
      <c r="S97" s="70">
        <f t="shared" si="12"/>
        <v>0</v>
      </c>
      <c r="T97" s="41"/>
      <c r="U97" s="41"/>
      <c r="V97" s="70">
        <f t="shared" si="13"/>
        <v>0</v>
      </c>
      <c r="W97" s="41"/>
      <c r="X97" s="41"/>
      <c r="Y97" s="70">
        <f t="shared" si="19"/>
        <v>0</v>
      </c>
      <c r="Z97" s="41"/>
      <c r="AA97" s="41"/>
      <c r="AB97" s="70">
        <f t="shared" si="14"/>
        <v>0</v>
      </c>
      <c r="AC97" s="41"/>
      <c r="AD97" s="41"/>
      <c r="AE97" s="70">
        <f t="shared" si="15"/>
        <v>0</v>
      </c>
      <c r="AF97" s="28">
        <f t="shared" si="16"/>
        <v>0</v>
      </c>
      <c r="AG97" s="28">
        <f t="shared" si="17"/>
        <v>0</v>
      </c>
    </row>
    <row r="98" spans="1:33" ht="43.2" x14ac:dyDescent="0.3">
      <c r="A98" s="41" t="s">
        <v>696</v>
      </c>
      <c r="B98" s="41" t="s">
        <v>691</v>
      </c>
      <c r="C98" s="43" t="s">
        <v>657</v>
      </c>
      <c r="D98" s="41" t="s">
        <v>40</v>
      </c>
      <c r="E98" s="41" t="s">
        <v>333</v>
      </c>
      <c r="F98" s="41" t="s">
        <v>716</v>
      </c>
      <c r="G98" s="67">
        <v>39000</v>
      </c>
      <c r="H98" s="41">
        <v>30</v>
      </c>
      <c r="I98" s="41">
        <f>3*4</f>
        <v>12</v>
      </c>
      <c r="J98" s="67">
        <f t="shared" si="18"/>
        <v>14040000</v>
      </c>
      <c r="K98" s="41">
        <v>30</v>
      </c>
      <c r="L98" s="41">
        <f>3*4</f>
        <v>12</v>
      </c>
      <c r="M98" s="70">
        <f t="shared" si="10"/>
        <v>15444000</v>
      </c>
      <c r="N98" s="41">
        <v>30</v>
      </c>
      <c r="O98" s="41">
        <f>3*4</f>
        <v>12</v>
      </c>
      <c r="P98" s="70">
        <f t="shared" si="11"/>
        <v>16988400.000000004</v>
      </c>
      <c r="Q98" s="41">
        <v>30</v>
      </c>
      <c r="R98" s="41">
        <f>3*4</f>
        <v>12</v>
      </c>
      <c r="S98" s="70">
        <f t="shared" si="12"/>
        <v>18687240.000000007</v>
      </c>
      <c r="T98" s="41">
        <v>30</v>
      </c>
      <c r="U98" s="41">
        <f>3*4</f>
        <v>12</v>
      </c>
      <c r="V98" s="70">
        <f t="shared" si="13"/>
        <v>20555964.000000007</v>
      </c>
      <c r="W98" s="41">
        <v>30</v>
      </c>
      <c r="X98" s="41">
        <f>3*4</f>
        <v>12</v>
      </c>
      <c r="Y98" s="70">
        <f t="shared" si="19"/>
        <v>22611560.400000006</v>
      </c>
      <c r="Z98" s="41">
        <v>30</v>
      </c>
      <c r="AA98" s="41">
        <f>3*4</f>
        <v>12</v>
      </c>
      <c r="AB98" s="70">
        <f t="shared" si="14"/>
        <v>24872716.440000009</v>
      </c>
      <c r="AC98" s="41">
        <v>30</v>
      </c>
      <c r="AD98" s="41">
        <f>3*4</f>
        <v>12</v>
      </c>
      <c r="AE98" s="70">
        <f t="shared" si="15"/>
        <v>27359988.084000014</v>
      </c>
      <c r="AF98" s="28">
        <f t="shared" si="16"/>
        <v>160559868.92400005</v>
      </c>
      <c r="AG98" s="28">
        <f t="shared" si="17"/>
        <v>155883.3678873787</v>
      </c>
    </row>
    <row r="99" spans="1:33" ht="43.2" x14ac:dyDescent="0.3">
      <c r="A99" s="41" t="s">
        <v>696</v>
      </c>
      <c r="B99" s="41" t="s">
        <v>691</v>
      </c>
      <c r="C99" s="43" t="s">
        <v>657</v>
      </c>
      <c r="D99" s="41" t="s">
        <v>40</v>
      </c>
      <c r="E99" s="41" t="s">
        <v>333</v>
      </c>
      <c r="F99" s="41" t="s">
        <v>709</v>
      </c>
      <c r="G99" s="67">
        <v>35000</v>
      </c>
      <c r="H99" s="41">
        <v>30</v>
      </c>
      <c r="I99" s="41">
        <f>3*4</f>
        <v>12</v>
      </c>
      <c r="J99" s="67">
        <f t="shared" si="18"/>
        <v>12600000</v>
      </c>
      <c r="K99" s="41">
        <v>30</v>
      </c>
      <c r="L99" s="41">
        <f>3*4</f>
        <v>12</v>
      </c>
      <c r="M99" s="70">
        <f t="shared" si="10"/>
        <v>13860000</v>
      </c>
      <c r="N99" s="41">
        <v>30</v>
      </c>
      <c r="O99" s="41">
        <f>3*4</f>
        <v>12</v>
      </c>
      <c r="P99" s="70">
        <f t="shared" si="11"/>
        <v>15246000.000000004</v>
      </c>
      <c r="Q99" s="41">
        <v>30</v>
      </c>
      <c r="R99" s="41">
        <f>3*4</f>
        <v>12</v>
      </c>
      <c r="S99" s="70">
        <f t="shared" si="12"/>
        <v>16770600.000000006</v>
      </c>
      <c r="T99" s="41">
        <v>30</v>
      </c>
      <c r="U99" s="41">
        <f>3*4</f>
        <v>12</v>
      </c>
      <c r="V99" s="70">
        <f t="shared" si="13"/>
        <v>18447660.000000007</v>
      </c>
      <c r="W99" s="41">
        <v>30</v>
      </c>
      <c r="X99" s="41">
        <f>3*4</f>
        <v>12</v>
      </c>
      <c r="Y99" s="70">
        <f t="shared" si="19"/>
        <v>20292426.000000007</v>
      </c>
      <c r="Z99" s="41">
        <v>30</v>
      </c>
      <c r="AA99" s="41">
        <f>3*4</f>
        <v>12</v>
      </c>
      <c r="AB99" s="70">
        <f t="shared" si="14"/>
        <v>22321668.600000013</v>
      </c>
      <c r="AC99" s="41">
        <v>30</v>
      </c>
      <c r="AD99" s="41">
        <f>3*4</f>
        <v>12</v>
      </c>
      <c r="AE99" s="70">
        <f t="shared" si="15"/>
        <v>24553835.460000012</v>
      </c>
      <c r="AF99" s="28">
        <f t="shared" si="16"/>
        <v>144092190.06000006</v>
      </c>
      <c r="AG99" s="28">
        <f t="shared" si="17"/>
        <v>139895.33015533988</v>
      </c>
    </row>
    <row r="100" spans="1:33" ht="43.2" x14ac:dyDescent="0.3">
      <c r="A100" s="41" t="s">
        <v>696</v>
      </c>
      <c r="B100" s="41" t="s">
        <v>691</v>
      </c>
      <c r="C100" s="43" t="s">
        <v>657</v>
      </c>
      <c r="D100" s="41" t="s">
        <v>40</v>
      </c>
      <c r="E100" s="41" t="s">
        <v>333</v>
      </c>
      <c r="F100" s="41" t="s">
        <v>712</v>
      </c>
      <c r="G100" s="67">
        <f>1999.2/7</f>
        <v>285.60000000000002</v>
      </c>
      <c r="H100" s="41">
        <f>2*25*10</f>
        <v>500</v>
      </c>
      <c r="I100" s="41">
        <f>3*4</f>
        <v>12</v>
      </c>
      <c r="J100" s="67">
        <f t="shared" si="18"/>
        <v>1713600</v>
      </c>
      <c r="K100" s="41">
        <f>2*25*10</f>
        <v>500</v>
      </c>
      <c r="L100" s="41">
        <f>3*4</f>
        <v>12</v>
      </c>
      <c r="M100" s="70">
        <f t="shared" si="10"/>
        <v>1884960</v>
      </c>
      <c r="N100" s="41">
        <f>2*25*10</f>
        <v>500</v>
      </c>
      <c r="O100" s="41">
        <f>3*4</f>
        <v>12</v>
      </c>
      <c r="P100" s="70">
        <f t="shared" si="11"/>
        <v>2073456.0000000005</v>
      </c>
      <c r="Q100" s="41">
        <f>2*25*10</f>
        <v>500</v>
      </c>
      <c r="R100" s="41">
        <f>3*4</f>
        <v>12</v>
      </c>
      <c r="S100" s="70">
        <f t="shared" si="12"/>
        <v>2280801.600000001</v>
      </c>
      <c r="T100" s="41">
        <f>2*25*10</f>
        <v>500</v>
      </c>
      <c r="U100" s="41">
        <f>3*4</f>
        <v>12</v>
      </c>
      <c r="V100" s="70">
        <f t="shared" si="13"/>
        <v>2508881.7600000007</v>
      </c>
      <c r="W100" s="41">
        <f>2*25*10</f>
        <v>500</v>
      </c>
      <c r="X100" s="41">
        <f>3*4</f>
        <v>12</v>
      </c>
      <c r="Y100" s="70">
        <f t="shared" si="19"/>
        <v>2759769.9360000012</v>
      </c>
      <c r="Z100" s="41">
        <f>2*25*10</f>
        <v>500</v>
      </c>
      <c r="AA100" s="41">
        <f>3*4</f>
        <v>12</v>
      </c>
      <c r="AB100" s="70">
        <f t="shared" si="14"/>
        <v>3035746.9296000013</v>
      </c>
      <c r="AC100" s="41">
        <f>2*25*10</f>
        <v>500</v>
      </c>
      <c r="AD100" s="41">
        <f>3*4</f>
        <v>12</v>
      </c>
      <c r="AE100" s="70">
        <f t="shared" si="15"/>
        <v>3339321.6225600028</v>
      </c>
      <c r="AF100" s="28">
        <f t="shared" si="16"/>
        <v>19596537.848160006</v>
      </c>
      <c r="AG100" s="28">
        <f t="shared" si="17"/>
        <v>19025.764901126218</v>
      </c>
    </row>
    <row r="101" spans="1:33" ht="43.2" x14ac:dyDescent="0.3">
      <c r="A101" s="41" t="s">
        <v>696</v>
      </c>
      <c r="B101" s="41" t="s">
        <v>691</v>
      </c>
      <c r="C101" s="43" t="s">
        <v>657</v>
      </c>
      <c r="D101" s="41" t="s">
        <v>40</v>
      </c>
      <c r="E101" s="41" t="s">
        <v>333</v>
      </c>
      <c r="F101" s="41" t="s">
        <v>1299</v>
      </c>
      <c r="G101" s="67">
        <f>1999.2/7</f>
        <v>285.60000000000002</v>
      </c>
      <c r="H101" s="41">
        <f>2*135*10</f>
        <v>2700</v>
      </c>
      <c r="I101" s="41">
        <v>4</v>
      </c>
      <c r="J101" s="67"/>
      <c r="K101" s="41">
        <f>2*135*10</f>
        <v>2700</v>
      </c>
      <c r="L101" s="41">
        <v>4</v>
      </c>
      <c r="M101" s="70">
        <f t="shared" si="10"/>
        <v>3392928.0000000005</v>
      </c>
      <c r="N101" s="41">
        <f>2*135*10</f>
        <v>2700</v>
      </c>
      <c r="O101" s="41">
        <v>4</v>
      </c>
      <c r="P101" s="70">
        <f t="shared" si="11"/>
        <v>3732220.8000000007</v>
      </c>
      <c r="Q101" s="41">
        <f>2*135*10</f>
        <v>2700</v>
      </c>
      <c r="R101" s="41">
        <v>4</v>
      </c>
      <c r="S101" s="70">
        <f t="shared" si="12"/>
        <v>4105442.8800000018</v>
      </c>
      <c r="T101" s="41">
        <f>2*135*10</f>
        <v>2700</v>
      </c>
      <c r="U101" s="41">
        <v>4</v>
      </c>
      <c r="V101" s="70">
        <f t="shared" si="13"/>
        <v>4515987.1680000015</v>
      </c>
      <c r="W101" s="41">
        <f>2*135*10</f>
        <v>2700</v>
      </c>
      <c r="X101" s="41">
        <v>4</v>
      </c>
      <c r="Y101" s="70">
        <f t="shared" si="19"/>
        <v>4967585.884800002</v>
      </c>
      <c r="Z101" s="41">
        <f>2*135*10</f>
        <v>2700</v>
      </c>
      <c r="AA101" s="41">
        <v>4</v>
      </c>
      <c r="AB101" s="70">
        <f t="shared" si="14"/>
        <v>5464344.4732800033</v>
      </c>
      <c r="AC101" s="41">
        <f>2*135*10</f>
        <v>2700</v>
      </c>
      <c r="AD101" s="41">
        <v>4</v>
      </c>
      <c r="AE101" s="70">
        <f t="shared" si="15"/>
        <v>6010778.9206080046</v>
      </c>
      <c r="AF101" s="28">
        <f t="shared" si="16"/>
        <v>32189288.126688018</v>
      </c>
      <c r="AG101" s="28">
        <f t="shared" si="17"/>
        <v>31251.736045328173</v>
      </c>
    </row>
    <row r="102" spans="1:33" ht="43.2" x14ac:dyDescent="0.3">
      <c r="A102" s="41" t="s">
        <v>696</v>
      </c>
      <c r="B102" s="41" t="s">
        <v>691</v>
      </c>
      <c r="C102" s="43" t="s">
        <v>657</v>
      </c>
      <c r="D102" s="41" t="s">
        <v>40</v>
      </c>
      <c r="E102" s="41" t="s">
        <v>374</v>
      </c>
      <c r="F102" s="41" t="s">
        <v>713</v>
      </c>
      <c r="G102" s="67">
        <v>45000</v>
      </c>
      <c r="H102" s="41">
        <v>58</v>
      </c>
      <c r="I102" s="41">
        <f>6*4</f>
        <v>24</v>
      </c>
      <c r="J102" s="67">
        <f t="shared" si="18"/>
        <v>62640000</v>
      </c>
      <c r="K102" s="41">
        <v>58</v>
      </c>
      <c r="L102" s="41">
        <f>6*4</f>
        <v>24</v>
      </c>
      <c r="M102" s="70">
        <f t="shared" si="10"/>
        <v>68904000.000000015</v>
      </c>
      <c r="N102" s="41">
        <v>58</v>
      </c>
      <c r="O102" s="41">
        <f>6*4</f>
        <v>24</v>
      </c>
      <c r="P102" s="70">
        <f t="shared" si="11"/>
        <v>75794400.000000015</v>
      </c>
      <c r="Q102" s="41">
        <v>58</v>
      </c>
      <c r="R102" s="41">
        <f>6*4</f>
        <v>24</v>
      </c>
      <c r="S102" s="70">
        <f t="shared" si="12"/>
        <v>83373840.00000003</v>
      </c>
      <c r="T102" s="41">
        <v>58</v>
      </c>
      <c r="U102" s="41">
        <f>6*4</f>
        <v>24</v>
      </c>
      <c r="V102" s="70">
        <f t="shared" si="13"/>
        <v>91711224.00000003</v>
      </c>
      <c r="W102" s="41">
        <v>58</v>
      </c>
      <c r="X102" s="41">
        <f>6*4</f>
        <v>24</v>
      </c>
      <c r="Y102" s="70">
        <f t="shared" si="19"/>
        <v>100882346.40000004</v>
      </c>
      <c r="Z102" s="41">
        <v>58</v>
      </c>
      <c r="AA102" s="41">
        <f>6*4</f>
        <v>24</v>
      </c>
      <c r="AB102" s="70">
        <f t="shared" si="14"/>
        <v>110970581.04000005</v>
      </c>
      <c r="AC102" s="41">
        <v>58</v>
      </c>
      <c r="AD102" s="41">
        <f>6*4</f>
        <v>24</v>
      </c>
      <c r="AE102" s="70">
        <f t="shared" si="15"/>
        <v>122067639.14400007</v>
      </c>
      <c r="AF102" s="28">
        <f t="shared" si="16"/>
        <v>716344030.58400023</v>
      </c>
      <c r="AG102" s="28">
        <f t="shared" si="17"/>
        <v>695479.64134368952</v>
      </c>
    </row>
    <row r="103" spans="1:33" ht="43.2" x14ac:dyDescent="0.3">
      <c r="A103" s="41" t="s">
        <v>696</v>
      </c>
      <c r="B103" s="41" t="s">
        <v>691</v>
      </c>
      <c r="C103" s="43" t="s">
        <v>657</v>
      </c>
      <c r="D103" s="41" t="s">
        <v>40</v>
      </c>
      <c r="E103" s="41" t="s">
        <v>374</v>
      </c>
      <c r="F103" s="41" t="s">
        <v>712</v>
      </c>
      <c r="G103" s="67">
        <f>1999.2/7</f>
        <v>285.60000000000002</v>
      </c>
      <c r="H103" s="41">
        <v>22500</v>
      </c>
      <c r="I103" s="41">
        <f>5*4</f>
        <v>20</v>
      </c>
      <c r="J103" s="67">
        <f t="shared" si="18"/>
        <v>128520000.00000001</v>
      </c>
      <c r="K103" s="41">
        <v>22500</v>
      </c>
      <c r="L103" s="41">
        <f>5*4</f>
        <v>20</v>
      </c>
      <c r="M103" s="70">
        <f t="shared" si="10"/>
        <v>141372000.00000003</v>
      </c>
      <c r="N103" s="41">
        <v>22500</v>
      </c>
      <c r="O103" s="41">
        <f>5*4</f>
        <v>20</v>
      </c>
      <c r="P103" s="70">
        <f t="shared" si="11"/>
        <v>155509200.00000003</v>
      </c>
      <c r="Q103" s="41">
        <v>22500</v>
      </c>
      <c r="R103" s="41">
        <f>5*4</f>
        <v>20</v>
      </c>
      <c r="S103" s="70">
        <f t="shared" si="12"/>
        <v>171060120.00000006</v>
      </c>
      <c r="T103" s="41">
        <v>22500</v>
      </c>
      <c r="U103" s="41">
        <f>5*4</f>
        <v>20</v>
      </c>
      <c r="V103" s="70">
        <f t="shared" si="13"/>
        <v>188166132.00000006</v>
      </c>
      <c r="W103" s="41">
        <v>22500</v>
      </c>
      <c r="X103" s="41">
        <f>5*4</f>
        <v>20</v>
      </c>
      <c r="Y103" s="70">
        <f t="shared" si="19"/>
        <v>206982745.20000008</v>
      </c>
      <c r="Z103" s="41">
        <v>22500</v>
      </c>
      <c r="AA103" s="41">
        <f>5*4</f>
        <v>20</v>
      </c>
      <c r="AB103" s="70">
        <f t="shared" si="14"/>
        <v>227681019.72000015</v>
      </c>
      <c r="AC103" s="41">
        <v>22500</v>
      </c>
      <c r="AD103" s="41">
        <f>5*4</f>
        <v>20</v>
      </c>
      <c r="AE103" s="70">
        <f t="shared" si="15"/>
        <v>250449121.69200018</v>
      </c>
      <c r="AF103" s="28">
        <f t="shared" si="16"/>
        <v>1469740338.6120007</v>
      </c>
      <c r="AG103" s="28">
        <f t="shared" si="17"/>
        <v>1426932.3675844667</v>
      </c>
    </row>
    <row r="104" spans="1:33" ht="43.2" x14ac:dyDescent="0.3">
      <c r="A104" s="41" t="s">
        <v>696</v>
      </c>
      <c r="B104" s="41" t="s">
        <v>691</v>
      </c>
      <c r="C104" s="43" t="s">
        <v>657</v>
      </c>
      <c r="D104" s="41" t="s">
        <v>40</v>
      </c>
      <c r="E104" s="41" t="s">
        <v>374</v>
      </c>
      <c r="F104" s="41" t="s">
        <v>1299</v>
      </c>
      <c r="G104" s="67">
        <f>1999.2/7</f>
        <v>285.60000000000002</v>
      </c>
      <c r="H104" s="41">
        <v>90000</v>
      </c>
      <c r="I104" s="41">
        <v>4</v>
      </c>
      <c r="J104" s="67">
        <f t="shared" si="18"/>
        <v>102816000.00000001</v>
      </c>
      <c r="K104" s="41">
        <v>90000</v>
      </c>
      <c r="L104" s="41">
        <v>4</v>
      </c>
      <c r="M104" s="70">
        <f t="shared" si="10"/>
        <v>113097600.00000001</v>
      </c>
      <c r="N104" s="41">
        <v>90000</v>
      </c>
      <c r="O104" s="41">
        <v>4</v>
      </c>
      <c r="P104" s="70">
        <f t="shared" si="11"/>
        <v>124407360.00000003</v>
      </c>
      <c r="Q104" s="41">
        <v>90000</v>
      </c>
      <c r="R104" s="41">
        <v>4</v>
      </c>
      <c r="S104" s="70">
        <f t="shared" si="12"/>
        <v>136848096.00000006</v>
      </c>
      <c r="T104" s="41">
        <v>90000</v>
      </c>
      <c r="U104" s="41">
        <v>4</v>
      </c>
      <c r="V104" s="70">
        <f t="shared" si="13"/>
        <v>150532905.60000005</v>
      </c>
      <c r="W104" s="41">
        <v>90000</v>
      </c>
      <c r="X104" s="41">
        <v>4</v>
      </c>
      <c r="Y104" s="70">
        <f t="shared" si="19"/>
        <v>165586196.16000006</v>
      </c>
      <c r="Z104" s="41">
        <v>90000</v>
      </c>
      <c r="AA104" s="41">
        <v>4</v>
      </c>
      <c r="AB104" s="70">
        <f t="shared" si="14"/>
        <v>182144815.77600011</v>
      </c>
      <c r="AC104" s="41">
        <v>90000</v>
      </c>
      <c r="AD104" s="41">
        <v>4</v>
      </c>
      <c r="AE104" s="70">
        <f t="shared" si="15"/>
        <v>200359297.35360014</v>
      </c>
      <c r="AF104" s="28">
        <f t="shared" si="16"/>
        <v>1175792270.8896005</v>
      </c>
      <c r="AG104" s="28">
        <f t="shared" si="17"/>
        <v>1141545.8940675734</v>
      </c>
    </row>
    <row r="105" spans="1:33" ht="43.2" x14ac:dyDescent="0.3">
      <c r="A105" s="41" t="s">
        <v>696</v>
      </c>
      <c r="B105" s="41" t="s">
        <v>691</v>
      </c>
      <c r="C105" s="43" t="s">
        <v>657</v>
      </c>
      <c r="D105" s="41" t="s">
        <v>40</v>
      </c>
      <c r="E105" s="41" t="s">
        <v>335</v>
      </c>
      <c r="F105" s="41" t="s">
        <v>713</v>
      </c>
      <c r="G105" s="67">
        <v>45000</v>
      </c>
      <c r="H105" s="41">
        <v>58</v>
      </c>
      <c r="I105" s="41">
        <f>6*12</f>
        <v>72</v>
      </c>
      <c r="J105" s="67">
        <f t="shared" si="18"/>
        <v>187920000</v>
      </c>
      <c r="K105" s="41">
        <v>58</v>
      </c>
      <c r="L105" s="41">
        <f>6*12</f>
        <v>72</v>
      </c>
      <c r="M105" s="70">
        <f t="shared" si="10"/>
        <v>206712000.00000003</v>
      </c>
      <c r="N105" s="41">
        <v>58</v>
      </c>
      <c r="O105" s="41">
        <f>6*12</f>
        <v>72</v>
      </c>
      <c r="P105" s="70">
        <f t="shared" si="11"/>
        <v>227383200.00000003</v>
      </c>
      <c r="Q105" s="41">
        <v>58</v>
      </c>
      <c r="R105" s="41">
        <f>6*12</f>
        <v>72</v>
      </c>
      <c r="S105" s="70">
        <f t="shared" si="12"/>
        <v>250121520.00000009</v>
      </c>
      <c r="T105" s="41">
        <v>58</v>
      </c>
      <c r="U105" s="41">
        <f>6*12</f>
        <v>72</v>
      </c>
      <c r="V105" s="70">
        <f t="shared" si="13"/>
        <v>275133672.00000006</v>
      </c>
      <c r="W105" s="41">
        <v>58</v>
      </c>
      <c r="X105" s="41">
        <f>6*12</f>
        <v>72</v>
      </c>
      <c r="Y105" s="70">
        <f t="shared" si="19"/>
        <v>302647039.20000011</v>
      </c>
      <c r="Z105" s="41">
        <v>58</v>
      </c>
      <c r="AA105" s="41">
        <f>6*12</f>
        <v>72</v>
      </c>
      <c r="AB105" s="70">
        <f t="shared" si="14"/>
        <v>332911743.12000012</v>
      </c>
      <c r="AC105" s="41">
        <v>58</v>
      </c>
      <c r="AD105" s="41">
        <f>6*12</f>
        <v>72</v>
      </c>
      <c r="AE105" s="70">
        <f t="shared" si="15"/>
        <v>366202917.43200022</v>
      </c>
      <c r="AF105" s="28">
        <f t="shared" si="16"/>
        <v>2149032091.7520008</v>
      </c>
      <c r="AG105" s="28">
        <f t="shared" si="17"/>
        <v>2086438.9240310688</v>
      </c>
    </row>
    <row r="106" spans="1:33" ht="43.2" x14ac:dyDescent="0.3">
      <c r="A106" s="41" t="s">
        <v>696</v>
      </c>
      <c r="B106" s="41" t="s">
        <v>691</v>
      </c>
      <c r="C106" s="43" t="s">
        <v>657</v>
      </c>
      <c r="D106" s="41" t="s">
        <v>40</v>
      </c>
      <c r="E106" s="41" t="s">
        <v>335</v>
      </c>
      <c r="F106" s="41" t="s">
        <v>712</v>
      </c>
      <c r="G106" s="67">
        <f>1999.2/7</f>
        <v>285.60000000000002</v>
      </c>
      <c r="H106" s="41">
        <v>22500</v>
      </c>
      <c r="I106" s="41">
        <f>5*12</f>
        <v>60</v>
      </c>
      <c r="J106" s="67">
        <f t="shared" si="18"/>
        <v>385560000.00000006</v>
      </c>
      <c r="K106" s="41">
        <v>22500</v>
      </c>
      <c r="L106" s="41">
        <f>5*12</f>
        <v>60</v>
      </c>
      <c r="M106" s="70">
        <f t="shared" si="10"/>
        <v>424116000.00000006</v>
      </c>
      <c r="N106" s="41">
        <v>22500</v>
      </c>
      <c r="O106" s="41">
        <f>5*12</f>
        <v>60</v>
      </c>
      <c r="P106" s="70">
        <f t="shared" si="11"/>
        <v>466527600.00000012</v>
      </c>
      <c r="Q106" s="41">
        <v>22500</v>
      </c>
      <c r="R106" s="41">
        <f>5*12</f>
        <v>60</v>
      </c>
      <c r="S106" s="70">
        <f t="shared" si="12"/>
        <v>513180360.00000024</v>
      </c>
      <c r="T106" s="41">
        <v>22500</v>
      </c>
      <c r="U106" s="41">
        <f>5*12</f>
        <v>60</v>
      </c>
      <c r="V106" s="70">
        <f t="shared" si="13"/>
        <v>564498396.00000024</v>
      </c>
      <c r="W106" s="41">
        <v>22500</v>
      </c>
      <c r="X106" s="41">
        <f>5*12</f>
        <v>60</v>
      </c>
      <c r="Y106" s="70">
        <f t="shared" si="19"/>
        <v>620948235.60000026</v>
      </c>
      <c r="Z106" s="41">
        <v>22500</v>
      </c>
      <c r="AA106" s="41">
        <f>5*12</f>
        <v>60</v>
      </c>
      <c r="AB106" s="70">
        <f t="shared" si="14"/>
        <v>683043059.16000044</v>
      </c>
      <c r="AC106" s="41">
        <v>22500</v>
      </c>
      <c r="AD106" s="41">
        <f>5*12</f>
        <v>60</v>
      </c>
      <c r="AE106" s="70">
        <f t="shared" si="15"/>
        <v>751347365.07600057</v>
      </c>
      <c r="AF106" s="28">
        <f t="shared" si="16"/>
        <v>4409221015.8360023</v>
      </c>
      <c r="AG106" s="28">
        <f t="shared" si="17"/>
        <v>4280797.1027534008</v>
      </c>
    </row>
    <row r="107" spans="1:33" ht="43.2" x14ac:dyDescent="0.3">
      <c r="A107" s="41" t="s">
        <v>696</v>
      </c>
      <c r="B107" s="41" t="s">
        <v>691</v>
      </c>
      <c r="C107" s="43" t="s">
        <v>657</v>
      </c>
      <c r="D107" s="41" t="s">
        <v>40</v>
      </c>
      <c r="E107" s="41" t="s">
        <v>335</v>
      </c>
      <c r="F107" s="41" t="s">
        <v>1299</v>
      </c>
      <c r="G107" s="67">
        <f>1999.2/7</f>
        <v>285.60000000000002</v>
      </c>
      <c r="H107" s="41">
        <v>90000</v>
      </c>
      <c r="I107" s="41">
        <v>1</v>
      </c>
      <c r="J107" s="67">
        <f t="shared" si="18"/>
        <v>25704000.000000004</v>
      </c>
      <c r="K107" s="41">
        <v>90000</v>
      </c>
      <c r="L107" s="41">
        <v>1</v>
      </c>
      <c r="M107" s="70">
        <f t="shared" si="10"/>
        <v>28274400.000000004</v>
      </c>
      <c r="N107" s="41">
        <v>90000</v>
      </c>
      <c r="O107" s="41">
        <v>1</v>
      </c>
      <c r="P107" s="70">
        <f t="shared" si="11"/>
        <v>31101840.000000007</v>
      </c>
      <c r="Q107" s="41">
        <v>90000</v>
      </c>
      <c r="R107" s="41">
        <v>1</v>
      </c>
      <c r="S107" s="70">
        <f t="shared" si="12"/>
        <v>34212024.000000015</v>
      </c>
      <c r="T107" s="41">
        <v>90000</v>
      </c>
      <c r="U107" s="41">
        <v>1</v>
      </c>
      <c r="V107" s="70">
        <f t="shared" si="13"/>
        <v>37633226.400000013</v>
      </c>
      <c r="W107" s="41">
        <v>90000</v>
      </c>
      <c r="X107" s="41">
        <v>1</v>
      </c>
      <c r="Y107" s="70">
        <f t="shared" si="19"/>
        <v>41396549.040000014</v>
      </c>
      <c r="Z107" s="41">
        <v>90000</v>
      </c>
      <c r="AA107" s="41">
        <v>1</v>
      </c>
      <c r="AB107" s="70">
        <f t="shared" si="14"/>
        <v>45536203.944000028</v>
      </c>
      <c r="AC107" s="41">
        <v>90000</v>
      </c>
      <c r="AD107" s="41">
        <v>1</v>
      </c>
      <c r="AE107" s="70">
        <f t="shared" si="15"/>
        <v>50089824.338400036</v>
      </c>
      <c r="AF107" s="28">
        <f t="shared" si="16"/>
        <v>293948067.72240013</v>
      </c>
      <c r="AG107" s="28">
        <f t="shared" si="17"/>
        <v>285386.47351689334</v>
      </c>
    </row>
    <row r="108" spans="1:33" ht="43.2" x14ac:dyDescent="0.3">
      <c r="A108" s="41" t="s">
        <v>696</v>
      </c>
      <c r="B108" s="41" t="s">
        <v>691</v>
      </c>
      <c r="C108" s="43" t="s">
        <v>657</v>
      </c>
      <c r="D108" s="41" t="s">
        <v>40</v>
      </c>
      <c r="E108" s="41" t="s">
        <v>336</v>
      </c>
      <c r="F108" s="41" t="s">
        <v>713</v>
      </c>
      <c r="G108" s="67">
        <v>39000</v>
      </c>
      <c r="H108" s="41">
        <v>58</v>
      </c>
      <c r="I108" s="41">
        <f>6*12</f>
        <v>72</v>
      </c>
      <c r="J108" s="67">
        <f t="shared" si="18"/>
        <v>162864000</v>
      </c>
      <c r="K108" s="41">
        <v>20</v>
      </c>
      <c r="L108" s="41">
        <v>10</v>
      </c>
      <c r="M108" s="70">
        <f t="shared" si="10"/>
        <v>8580000</v>
      </c>
      <c r="N108" s="41">
        <v>20</v>
      </c>
      <c r="O108" s="41">
        <v>10</v>
      </c>
      <c r="P108" s="70">
        <f t="shared" si="11"/>
        <v>9438000.0000000019</v>
      </c>
      <c r="Q108" s="41">
        <v>20</v>
      </c>
      <c r="R108" s="41">
        <v>10</v>
      </c>
      <c r="S108" s="70">
        <f t="shared" si="12"/>
        <v>10381800.000000002</v>
      </c>
      <c r="T108" s="41">
        <v>20</v>
      </c>
      <c r="U108" s="41">
        <v>10</v>
      </c>
      <c r="V108" s="70">
        <f t="shared" si="13"/>
        <v>11419980.000000002</v>
      </c>
      <c r="W108" s="41">
        <v>0</v>
      </c>
      <c r="X108" s="41">
        <v>0</v>
      </c>
      <c r="Y108" s="70">
        <f t="shared" si="19"/>
        <v>0</v>
      </c>
      <c r="Z108" s="41">
        <v>0</v>
      </c>
      <c r="AA108" s="41">
        <v>0</v>
      </c>
      <c r="AB108" s="70">
        <f t="shared" si="14"/>
        <v>0</v>
      </c>
      <c r="AC108" s="41">
        <v>0</v>
      </c>
      <c r="AD108" s="41">
        <v>0</v>
      </c>
      <c r="AE108" s="70">
        <f t="shared" si="15"/>
        <v>0</v>
      </c>
      <c r="AF108" s="28">
        <f t="shared" si="16"/>
        <v>202683780</v>
      </c>
      <c r="AG108" s="28">
        <f t="shared" si="17"/>
        <v>196780.36893203884</v>
      </c>
    </row>
    <row r="109" spans="1:33" ht="43.2" x14ac:dyDescent="0.3">
      <c r="A109" s="41" t="s">
        <v>696</v>
      </c>
      <c r="B109" s="41" t="s">
        <v>691</v>
      </c>
      <c r="C109" s="43" t="s">
        <v>657</v>
      </c>
      <c r="D109" s="41" t="s">
        <v>40</v>
      </c>
      <c r="E109" s="41" t="s">
        <v>336</v>
      </c>
      <c r="F109" s="41" t="s">
        <v>712</v>
      </c>
      <c r="G109" s="67">
        <f>1999.2/7</f>
        <v>285.60000000000002</v>
      </c>
      <c r="H109" s="41">
        <v>22500</v>
      </c>
      <c r="I109" s="41">
        <f>5*12</f>
        <v>60</v>
      </c>
      <c r="J109" s="67">
        <f t="shared" si="18"/>
        <v>385560000.00000006</v>
      </c>
      <c r="K109" s="41">
        <v>8000</v>
      </c>
      <c r="L109" s="41">
        <v>1</v>
      </c>
      <c r="M109" s="70">
        <f t="shared" si="10"/>
        <v>2513280</v>
      </c>
      <c r="N109" s="41">
        <v>8000</v>
      </c>
      <c r="O109" s="41">
        <v>1</v>
      </c>
      <c r="P109" s="70">
        <f t="shared" si="11"/>
        <v>2764608.0000000005</v>
      </c>
      <c r="Q109" s="41">
        <v>8000</v>
      </c>
      <c r="R109" s="41">
        <v>1</v>
      </c>
      <c r="S109" s="70">
        <f t="shared" si="12"/>
        <v>3041068.8000000012</v>
      </c>
      <c r="T109" s="41">
        <v>8000</v>
      </c>
      <c r="U109" s="41">
        <v>1</v>
      </c>
      <c r="V109" s="70">
        <f t="shared" si="13"/>
        <v>3345175.6800000011</v>
      </c>
      <c r="W109" s="41">
        <v>0</v>
      </c>
      <c r="X109" s="41">
        <v>0</v>
      </c>
      <c r="Y109" s="70">
        <f t="shared" si="19"/>
        <v>0</v>
      </c>
      <c r="Z109" s="41">
        <v>0</v>
      </c>
      <c r="AA109" s="41">
        <v>0</v>
      </c>
      <c r="AB109" s="70">
        <f t="shared" si="14"/>
        <v>0</v>
      </c>
      <c r="AC109" s="41">
        <v>0</v>
      </c>
      <c r="AD109" s="41">
        <v>0</v>
      </c>
      <c r="AE109" s="70">
        <f t="shared" si="15"/>
        <v>0</v>
      </c>
      <c r="AF109" s="28">
        <f t="shared" si="16"/>
        <v>397224132.48000008</v>
      </c>
      <c r="AG109" s="28">
        <f t="shared" si="17"/>
        <v>385654.49755339813</v>
      </c>
    </row>
    <row r="110" spans="1:33" ht="43.2" x14ac:dyDescent="0.3">
      <c r="A110" s="41" t="s">
        <v>696</v>
      </c>
      <c r="B110" s="41" t="s">
        <v>691</v>
      </c>
      <c r="C110" s="43" t="s">
        <v>657</v>
      </c>
      <c r="D110" s="41" t="s">
        <v>40</v>
      </c>
      <c r="E110" s="41" t="s">
        <v>336</v>
      </c>
      <c r="F110" s="41" t="s">
        <v>1299</v>
      </c>
      <c r="G110" s="67">
        <f>1999.2/7</f>
        <v>285.60000000000002</v>
      </c>
      <c r="H110" s="41">
        <v>90000</v>
      </c>
      <c r="I110" s="41">
        <v>1</v>
      </c>
      <c r="J110" s="67">
        <f t="shared" si="18"/>
        <v>25704000.000000004</v>
      </c>
      <c r="K110" s="41"/>
      <c r="L110" s="41"/>
      <c r="M110" s="70">
        <f t="shared" si="10"/>
        <v>0</v>
      </c>
      <c r="N110" s="41"/>
      <c r="O110" s="41"/>
      <c r="P110" s="70">
        <f t="shared" si="11"/>
        <v>0</v>
      </c>
      <c r="Q110" s="41"/>
      <c r="R110" s="41"/>
      <c r="S110" s="70">
        <f t="shared" si="12"/>
        <v>0</v>
      </c>
      <c r="T110" s="41"/>
      <c r="U110" s="41"/>
      <c r="V110" s="70">
        <f t="shared" si="13"/>
        <v>0</v>
      </c>
      <c r="W110" s="41"/>
      <c r="X110" s="41"/>
      <c r="Y110" s="70">
        <f t="shared" si="19"/>
        <v>0</v>
      </c>
      <c r="Z110" s="41"/>
      <c r="AA110" s="41"/>
      <c r="AB110" s="70">
        <f t="shared" si="14"/>
        <v>0</v>
      </c>
      <c r="AC110" s="41"/>
      <c r="AD110" s="41"/>
      <c r="AE110" s="70">
        <f t="shared" si="15"/>
        <v>0</v>
      </c>
      <c r="AF110" s="28">
        <f t="shared" si="16"/>
        <v>25704000.000000004</v>
      </c>
      <c r="AG110" s="28">
        <f t="shared" si="17"/>
        <v>24955.339805825246</v>
      </c>
    </row>
    <row r="111" spans="1:33" ht="43.2" x14ac:dyDescent="0.3">
      <c r="A111" s="41" t="s">
        <v>696</v>
      </c>
      <c r="B111" s="41" t="s">
        <v>691</v>
      </c>
      <c r="C111" s="43" t="s">
        <v>657</v>
      </c>
      <c r="D111" s="41" t="s">
        <v>40</v>
      </c>
      <c r="E111" s="41" t="s">
        <v>337</v>
      </c>
      <c r="F111" s="41" t="s">
        <v>713</v>
      </c>
      <c r="G111" s="67">
        <v>45000</v>
      </c>
      <c r="H111" s="41">
        <v>58</v>
      </c>
      <c r="I111" s="41">
        <f>6*12</f>
        <v>72</v>
      </c>
      <c r="J111" s="67">
        <f t="shared" si="18"/>
        <v>187920000</v>
      </c>
      <c r="K111" s="41">
        <v>20</v>
      </c>
      <c r="L111" s="41">
        <v>10</v>
      </c>
      <c r="M111" s="70">
        <f t="shared" si="10"/>
        <v>9900000.0000000019</v>
      </c>
      <c r="N111" s="41">
        <v>20</v>
      </c>
      <c r="O111" s="41">
        <v>10</v>
      </c>
      <c r="P111" s="70">
        <f t="shared" si="11"/>
        <v>10890000.000000002</v>
      </c>
      <c r="Q111" s="41">
        <v>20</v>
      </c>
      <c r="R111" s="41">
        <v>10</v>
      </c>
      <c r="S111" s="70">
        <f t="shared" si="12"/>
        <v>11979000.000000004</v>
      </c>
      <c r="T111" s="41">
        <v>20</v>
      </c>
      <c r="U111" s="41">
        <v>10</v>
      </c>
      <c r="V111" s="70">
        <f t="shared" si="13"/>
        <v>13176900.000000002</v>
      </c>
      <c r="W111" s="41">
        <v>0</v>
      </c>
      <c r="X111" s="41">
        <v>0</v>
      </c>
      <c r="Y111" s="70">
        <f t="shared" si="19"/>
        <v>0</v>
      </c>
      <c r="Z111" s="41">
        <v>0</v>
      </c>
      <c r="AA111" s="41">
        <v>0</v>
      </c>
      <c r="AB111" s="70">
        <f t="shared" si="14"/>
        <v>0</v>
      </c>
      <c r="AC111" s="41">
        <v>0</v>
      </c>
      <c r="AD111" s="41">
        <v>0</v>
      </c>
      <c r="AE111" s="70">
        <f t="shared" si="15"/>
        <v>0</v>
      </c>
      <c r="AF111" s="28">
        <f t="shared" si="16"/>
        <v>233865900</v>
      </c>
      <c r="AG111" s="28">
        <f t="shared" si="17"/>
        <v>227054.27184466019</v>
      </c>
    </row>
    <row r="112" spans="1:33" ht="43.2" x14ac:dyDescent="0.3">
      <c r="A112" s="41" t="s">
        <v>696</v>
      </c>
      <c r="B112" s="41" t="s">
        <v>691</v>
      </c>
      <c r="C112" s="43" t="s">
        <v>657</v>
      </c>
      <c r="D112" s="41" t="s">
        <v>40</v>
      </c>
      <c r="E112" s="41" t="s">
        <v>337</v>
      </c>
      <c r="F112" s="41" t="s">
        <v>712</v>
      </c>
      <c r="G112" s="67">
        <f>1999.2/7</f>
        <v>285.60000000000002</v>
      </c>
      <c r="H112" s="41">
        <v>22500</v>
      </c>
      <c r="I112" s="41">
        <f>5*12</f>
        <v>60</v>
      </c>
      <c r="J112" s="67">
        <f t="shared" si="18"/>
        <v>385560000.00000006</v>
      </c>
      <c r="K112" s="41">
        <v>8000</v>
      </c>
      <c r="L112" s="41">
        <v>1</v>
      </c>
      <c r="M112" s="70">
        <f t="shared" si="10"/>
        <v>2513280</v>
      </c>
      <c r="N112" s="41">
        <v>8000</v>
      </c>
      <c r="O112" s="41">
        <v>1</v>
      </c>
      <c r="P112" s="70">
        <f t="shared" si="11"/>
        <v>2764608.0000000005</v>
      </c>
      <c r="Q112" s="41">
        <v>8000</v>
      </c>
      <c r="R112" s="41">
        <v>1</v>
      </c>
      <c r="S112" s="70">
        <f t="shared" si="12"/>
        <v>3041068.8000000012</v>
      </c>
      <c r="T112" s="41">
        <v>8000</v>
      </c>
      <c r="U112" s="41">
        <v>1</v>
      </c>
      <c r="V112" s="70">
        <f t="shared" si="13"/>
        <v>3345175.6800000011</v>
      </c>
      <c r="W112" s="41">
        <v>0</v>
      </c>
      <c r="X112" s="41">
        <v>0</v>
      </c>
      <c r="Y112" s="70">
        <f t="shared" si="19"/>
        <v>0</v>
      </c>
      <c r="Z112" s="41">
        <v>0</v>
      </c>
      <c r="AA112" s="41">
        <v>0</v>
      </c>
      <c r="AB112" s="70">
        <f t="shared" si="14"/>
        <v>0</v>
      </c>
      <c r="AC112" s="41">
        <v>0</v>
      </c>
      <c r="AD112" s="41">
        <v>0</v>
      </c>
      <c r="AE112" s="70">
        <f t="shared" si="15"/>
        <v>0</v>
      </c>
      <c r="AF112" s="28">
        <f t="shared" si="16"/>
        <v>397224132.48000008</v>
      </c>
      <c r="AG112" s="28">
        <f t="shared" si="17"/>
        <v>385654.49755339813</v>
      </c>
    </row>
    <row r="113" spans="1:68" ht="43.2" x14ac:dyDescent="0.3">
      <c r="A113" s="41" t="s">
        <v>696</v>
      </c>
      <c r="B113" s="41" t="s">
        <v>691</v>
      </c>
      <c r="C113" s="43" t="s">
        <v>657</v>
      </c>
      <c r="D113" s="41" t="s">
        <v>40</v>
      </c>
      <c r="E113" s="41" t="s">
        <v>337</v>
      </c>
      <c r="F113" s="41" t="s">
        <v>1299</v>
      </c>
      <c r="G113" s="67">
        <f>1999.2/7</f>
        <v>285.60000000000002</v>
      </c>
      <c r="H113" s="41">
        <v>90000</v>
      </c>
      <c r="I113" s="41">
        <v>1</v>
      </c>
      <c r="J113" s="67">
        <f t="shared" si="18"/>
        <v>25704000.000000004</v>
      </c>
      <c r="K113" s="41"/>
      <c r="L113" s="41"/>
      <c r="M113" s="70">
        <f t="shared" si="10"/>
        <v>0</v>
      </c>
      <c r="N113" s="41"/>
      <c r="O113" s="41"/>
      <c r="P113" s="70">
        <f t="shared" si="11"/>
        <v>0</v>
      </c>
      <c r="Q113" s="41"/>
      <c r="R113" s="41"/>
      <c r="S113" s="70">
        <f t="shared" si="12"/>
        <v>0</v>
      </c>
      <c r="T113" s="41"/>
      <c r="U113" s="41"/>
      <c r="V113" s="70">
        <f t="shared" si="13"/>
        <v>0</v>
      </c>
      <c r="W113" s="41"/>
      <c r="X113" s="41"/>
      <c r="Y113" s="70">
        <f t="shared" si="19"/>
        <v>0</v>
      </c>
      <c r="Z113" s="41"/>
      <c r="AA113" s="41"/>
      <c r="AB113" s="70">
        <f t="shared" si="14"/>
        <v>0</v>
      </c>
      <c r="AC113" s="41"/>
      <c r="AD113" s="41"/>
      <c r="AE113" s="70">
        <f t="shared" si="15"/>
        <v>0</v>
      </c>
      <c r="AF113" s="28">
        <f t="shared" si="16"/>
        <v>25704000.000000004</v>
      </c>
      <c r="AG113" s="28">
        <f t="shared" si="17"/>
        <v>24955.339805825246</v>
      </c>
    </row>
    <row r="114" spans="1:68" ht="43.2" x14ac:dyDescent="0.3">
      <c r="A114" s="41" t="s">
        <v>696</v>
      </c>
      <c r="B114" s="41" t="s">
        <v>691</v>
      </c>
      <c r="C114" s="43" t="s">
        <v>657</v>
      </c>
      <c r="D114" s="41" t="s">
        <v>40</v>
      </c>
      <c r="E114" s="41" t="s">
        <v>752</v>
      </c>
      <c r="F114" s="41" t="s">
        <v>751</v>
      </c>
      <c r="G114" s="67">
        <f>2.5%*$G$117</f>
        <v>135000000</v>
      </c>
      <c r="H114" s="41">
        <v>1</v>
      </c>
      <c r="I114" s="41">
        <v>1</v>
      </c>
      <c r="J114" s="67">
        <f t="shared" si="18"/>
        <v>135000000</v>
      </c>
      <c r="K114" s="41">
        <v>1</v>
      </c>
      <c r="L114" s="41">
        <v>1</v>
      </c>
      <c r="M114" s="70">
        <f t="shared" si="10"/>
        <v>148500000</v>
      </c>
      <c r="N114" s="41">
        <v>1</v>
      </c>
      <c r="O114" s="41">
        <v>1</v>
      </c>
      <c r="P114" s="70">
        <f t="shared" si="11"/>
        <v>163350000.00000003</v>
      </c>
      <c r="Q114" s="41">
        <v>1</v>
      </c>
      <c r="R114" s="41">
        <v>1</v>
      </c>
      <c r="S114" s="70">
        <f t="shared" si="12"/>
        <v>179685000.00000006</v>
      </c>
      <c r="T114" s="41">
        <v>1</v>
      </c>
      <c r="U114" s="41">
        <v>1</v>
      </c>
      <c r="V114" s="70">
        <f t="shared" si="13"/>
        <v>197653500.00000006</v>
      </c>
      <c r="W114" s="41">
        <v>1</v>
      </c>
      <c r="X114" s="41">
        <v>1</v>
      </c>
      <c r="Y114" s="70">
        <f t="shared" si="19"/>
        <v>217418850.00000009</v>
      </c>
      <c r="Z114" s="41">
        <v>1</v>
      </c>
      <c r="AA114" s="41">
        <v>1</v>
      </c>
      <c r="AB114" s="70">
        <f t="shared" si="14"/>
        <v>239160735.00000012</v>
      </c>
      <c r="AC114" s="41">
        <v>1</v>
      </c>
      <c r="AD114" s="41">
        <v>1</v>
      </c>
      <c r="AE114" s="70">
        <f t="shared" si="15"/>
        <v>263076808.50000015</v>
      </c>
      <c r="AF114" s="28">
        <f t="shared" si="16"/>
        <v>1543844893.5000005</v>
      </c>
      <c r="AG114" s="28">
        <f t="shared" si="17"/>
        <v>1498878.5373786413</v>
      </c>
    </row>
    <row r="115" spans="1:68" ht="43.2" x14ac:dyDescent="0.3">
      <c r="A115" s="41" t="s">
        <v>696</v>
      </c>
      <c r="B115" s="41" t="s">
        <v>691</v>
      </c>
      <c r="C115" s="43" t="s">
        <v>657</v>
      </c>
      <c r="D115" s="41" t="s">
        <v>40</v>
      </c>
      <c r="E115" s="41" t="s">
        <v>338</v>
      </c>
      <c r="F115" s="41" t="s">
        <v>753</v>
      </c>
      <c r="G115" s="67">
        <v>10000000</v>
      </c>
      <c r="H115" s="41">
        <v>1</v>
      </c>
      <c r="I115" s="41">
        <v>1</v>
      </c>
      <c r="J115" s="67">
        <f t="shared" si="18"/>
        <v>10000000</v>
      </c>
      <c r="K115" s="41">
        <v>1</v>
      </c>
      <c r="L115" s="41">
        <v>1</v>
      </c>
      <c r="M115" s="70">
        <f t="shared" si="10"/>
        <v>11000000</v>
      </c>
      <c r="N115" s="41">
        <v>1</v>
      </c>
      <c r="O115" s="41">
        <v>1</v>
      </c>
      <c r="P115" s="70">
        <f t="shared" si="11"/>
        <v>12100000.000000002</v>
      </c>
      <c r="Q115" s="41">
        <v>1</v>
      </c>
      <c r="R115" s="41">
        <v>1</v>
      </c>
      <c r="S115" s="70">
        <f t="shared" si="12"/>
        <v>13310000.000000004</v>
      </c>
      <c r="T115" s="41">
        <v>1</v>
      </c>
      <c r="U115" s="41">
        <v>1</v>
      </c>
      <c r="V115" s="70">
        <f t="shared" si="13"/>
        <v>14641000.000000004</v>
      </c>
      <c r="W115" s="41">
        <v>1</v>
      </c>
      <c r="X115" s="41">
        <v>1</v>
      </c>
      <c r="Y115" s="70">
        <f t="shared" si="19"/>
        <v>16105100.000000006</v>
      </c>
      <c r="Z115" s="41">
        <v>1</v>
      </c>
      <c r="AA115" s="41">
        <v>1</v>
      </c>
      <c r="AB115" s="70">
        <f t="shared" si="14"/>
        <v>17715610.000000007</v>
      </c>
      <c r="AC115" s="41">
        <v>1</v>
      </c>
      <c r="AD115" s="41">
        <v>1</v>
      </c>
      <c r="AE115" s="70">
        <f t="shared" si="15"/>
        <v>19487171.000000011</v>
      </c>
      <c r="AF115" s="28">
        <f t="shared" si="16"/>
        <v>114358881.00000001</v>
      </c>
      <c r="AG115" s="28">
        <f t="shared" si="17"/>
        <v>111028.03980582526</v>
      </c>
    </row>
    <row r="116" spans="1:68" ht="43.2" x14ac:dyDescent="0.3">
      <c r="A116" s="41" t="s">
        <v>696</v>
      </c>
      <c r="B116" s="41" t="s">
        <v>691</v>
      </c>
      <c r="C116" s="43" t="s">
        <v>657</v>
      </c>
      <c r="D116" s="41" t="s">
        <v>40</v>
      </c>
      <c r="E116" s="41" t="s">
        <v>339</v>
      </c>
      <c r="F116" s="41" t="s">
        <v>754</v>
      </c>
      <c r="G116" s="67">
        <f>2.5%*$G$117</f>
        <v>135000000</v>
      </c>
      <c r="H116" s="41">
        <v>1</v>
      </c>
      <c r="I116" s="41">
        <v>1</v>
      </c>
      <c r="J116" s="67">
        <f t="shared" si="18"/>
        <v>135000000</v>
      </c>
      <c r="K116" s="41">
        <v>1</v>
      </c>
      <c r="L116" s="41">
        <v>1</v>
      </c>
      <c r="M116" s="70">
        <f t="shared" si="10"/>
        <v>148500000</v>
      </c>
      <c r="N116" s="41">
        <v>1</v>
      </c>
      <c r="O116" s="41">
        <v>1</v>
      </c>
      <c r="P116" s="70">
        <f t="shared" si="11"/>
        <v>163350000.00000003</v>
      </c>
      <c r="Q116" s="41">
        <v>1</v>
      </c>
      <c r="R116" s="41">
        <v>1</v>
      </c>
      <c r="S116" s="70">
        <f t="shared" si="12"/>
        <v>179685000.00000006</v>
      </c>
      <c r="T116" s="41">
        <v>1</v>
      </c>
      <c r="U116" s="41">
        <v>1</v>
      </c>
      <c r="V116" s="70">
        <f t="shared" si="13"/>
        <v>197653500.00000006</v>
      </c>
      <c r="W116" s="41">
        <v>1</v>
      </c>
      <c r="X116" s="41">
        <v>1</v>
      </c>
      <c r="Y116" s="70">
        <f t="shared" si="19"/>
        <v>217418850.00000009</v>
      </c>
      <c r="Z116" s="41">
        <v>1</v>
      </c>
      <c r="AA116" s="41">
        <v>1</v>
      </c>
      <c r="AB116" s="70">
        <f t="shared" si="14"/>
        <v>239160735.00000012</v>
      </c>
      <c r="AC116" s="41">
        <v>1</v>
      </c>
      <c r="AD116" s="41">
        <v>1</v>
      </c>
      <c r="AE116" s="70">
        <f t="shared" si="15"/>
        <v>263076808.50000015</v>
      </c>
      <c r="AF116" s="28">
        <f t="shared" si="16"/>
        <v>1543844893.5000005</v>
      </c>
      <c r="AG116" s="28">
        <f t="shared" si="17"/>
        <v>1498878.5373786413</v>
      </c>
    </row>
    <row r="117" spans="1:68" ht="43.2" x14ac:dyDescent="0.3">
      <c r="A117" s="41" t="s">
        <v>696</v>
      </c>
      <c r="B117" s="41" t="s">
        <v>691</v>
      </c>
      <c r="C117" s="43" t="s">
        <v>657</v>
      </c>
      <c r="D117" s="41" t="s">
        <v>40</v>
      </c>
      <c r="E117" s="41" t="s">
        <v>340</v>
      </c>
      <c r="F117" s="41" t="s">
        <v>755</v>
      </c>
      <c r="G117" s="67">
        <f>900*500000*12</f>
        <v>5400000000</v>
      </c>
      <c r="H117" s="41">
        <v>1</v>
      </c>
      <c r="I117" s="41">
        <v>1</v>
      </c>
      <c r="J117" s="67">
        <f t="shared" si="18"/>
        <v>5400000000</v>
      </c>
      <c r="K117" s="41">
        <v>1</v>
      </c>
      <c r="L117" s="41">
        <v>1</v>
      </c>
      <c r="M117" s="70">
        <f t="shared" si="10"/>
        <v>5940000000.000001</v>
      </c>
      <c r="N117" s="41">
        <v>1</v>
      </c>
      <c r="O117" s="41">
        <v>1</v>
      </c>
      <c r="P117" s="70">
        <f t="shared" si="11"/>
        <v>6534000000.000001</v>
      </c>
      <c r="Q117" s="41">
        <v>1</v>
      </c>
      <c r="R117" s="41">
        <v>1</v>
      </c>
      <c r="S117" s="70">
        <f t="shared" si="12"/>
        <v>7187400000.0000019</v>
      </c>
      <c r="T117" s="41">
        <v>1</v>
      </c>
      <c r="U117" s="41">
        <v>1</v>
      </c>
      <c r="V117" s="70">
        <f t="shared" si="13"/>
        <v>7906140000.0000019</v>
      </c>
      <c r="W117" s="41">
        <v>1</v>
      </c>
      <c r="X117" s="41">
        <v>1</v>
      </c>
      <c r="Y117" s="70">
        <f t="shared" si="19"/>
        <v>8696754000.0000038</v>
      </c>
      <c r="Z117" s="41">
        <v>1</v>
      </c>
      <c r="AA117" s="41">
        <v>1</v>
      </c>
      <c r="AB117" s="70">
        <f t="shared" si="14"/>
        <v>9566429400.0000038</v>
      </c>
      <c r="AC117" s="41">
        <v>1</v>
      </c>
      <c r="AD117" s="41">
        <v>1</v>
      </c>
      <c r="AE117" s="70">
        <f t="shared" si="15"/>
        <v>10523072340.000006</v>
      </c>
      <c r="AF117" s="28">
        <f t="shared" si="16"/>
        <v>61753795740.000008</v>
      </c>
      <c r="AG117" s="28">
        <f t="shared" si="17"/>
        <v>59955141.495145641</v>
      </c>
    </row>
    <row r="118" spans="1:68" x14ac:dyDescent="0.3">
      <c r="A118" s="53" t="s">
        <v>1296</v>
      </c>
      <c r="B118" s="63"/>
      <c r="C118" s="63"/>
      <c r="D118" s="63"/>
      <c r="E118" s="63"/>
      <c r="F118" s="63"/>
      <c r="G118" s="68"/>
      <c r="H118" s="63"/>
      <c r="I118" s="63"/>
      <c r="J118" s="68">
        <f>SUM(J2:J117)</f>
        <v>10311812588.450001</v>
      </c>
      <c r="K118" s="63"/>
      <c r="L118" s="63"/>
      <c r="M118" s="68">
        <f>SUM(M2:M117)</f>
        <v>10587100080.095001</v>
      </c>
      <c r="N118" s="63"/>
      <c r="O118" s="63"/>
      <c r="P118" s="68">
        <f>SUM(P2:P117)</f>
        <v>12808451399.040001</v>
      </c>
      <c r="Q118" s="63"/>
      <c r="R118" s="63"/>
      <c r="S118" s="68">
        <f>SUM(S2:S117)</f>
        <v>14040755852.728004</v>
      </c>
      <c r="T118" s="63"/>
      <c r="U118" s="63"/>
      <c r="V118" s="68">
        <f>SUM(V2:V117)</f>
        <v>15406498319.312819</v>
      </c>
      <c r="W118" s="63"/>
      <c r="X118" s="63"/>
      <c r="Y118" s="68">
        <f>SUM(Y2:Y117)</f>
        <v>14807924132.562023</v>
      </c>
      <c r="Z118" s="63"/>
      <c r="AA118" s="63"/>
      <c r="AB118" s="68">
        <f>SUM(AB2:AB117)</f>
        <v>16419015225.852913</v>
      </c>
      <c r="AC118" s="63"/>
      <c r="AD118" s="63"/>
      <c r="AE118" s="68">
        <f>SUM(AE2:AE117)</f>
        <v>17640505657.810173</v>
      </c>
      <c r="AF118" s="20">
        <f t="shared" si="16"/>
        <v>112022063255.85095</v>
      </c>
      <c r="AG118" s="20">
        <f t="shared" si="17"/>
        <v>108759284.7144184</v>
      </c>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row>
    <row r="119" spans="1:68" x14ac:dyDescent="0.3">
      <c r="A119" s="63" t="s">
        <v>1429</v>
      </c>
      <c r="B119" s="63"/>
      <c r="C119" s="63"/>
      <c r="D119" s="63"/>
      <c r="E119" s="63"/>
      <c r="F119" s="63"/>
      <c r="G119" s="68"/>
      <c r="H119" s="63"/>
      <c r="I119" s="63"/>
      <c r="J119" s="68">
        <f>J118/$AL$2</f>
        <v>10011468.532475729</v>
      </c>
      <c r="K119" s="63"/>
      <c r="L119" s="63"/>
      <c r="M119" s="68">
        <f>M118/$AL$2</f>
        <v>10278737.941839807</v>
      </c>
      <c r="N119" s="63"/>
      <c r="O119" s="63"/>
      <c r="P119" s="68">
        <f>P118/$AL$2</f>
        <v>12435389.707805825</v>
      </c>
      <c r="Q119" s="63"/>
      <c r="R119" s="63"/>
      <c r="S119" s="68">
        <f>S118/$AL$2</f>
        <v>13631801.798765052</v>
      </c>
      <c r="T119" s="63"/>
      <c r="U119" s="63"/>
      <c r="V119" s="68">
        <f>V118/$AL$2</f>
        <v>14957765.358556135</v>
      </c>
      <c r="W119" s="63"/>
      <c r="X119" s="63"/>
      <c r="Y119" s="68">
        <f>Y118/$AL$2</f>
        <v>14376625.371419439</v>
      </c>
      <c r="Z119" s="63"/>
      <c r="AA119" s="63"/>
      <c r="AB119" s="68">
        <f>AB118/$AL$2</f>
        <v>15940791.481410595</v>
      </c>
      <c r="AC119" s="63"/>
      <c r="AD119" s="63"/>
      <c r="AE119" s="68">
        <f>AE118/$AL$2</f>
        <v>17126704.5221458</v>
      </c>
      <c r="AF119" s="20">
        <f t="shared" si="16"/>
        <v>108759284.71441838</v>
      </c>
      <c r="AG119" s="20">
        <f t="shared" si="17"/>
        <v>105591.53855768775</v>
      </c>
      <c r="AH119" s="62"/>
      <c r="AI119" s="62"/>
      <c r="AJ119" s="62"/>
      <c r="AK119" s="62"/>
      <c r="AL119" s="62"/>
      <c r="AM119" s="62"/>
      <c r="AN119" s="62"/>
      <c r="AO119" s="62"/>
    </row>
    <row r="120" spans="1:68" ht="43.2" x14ac:dyDescent="0.3">
      <c r="A120" s="41" t="s">
        <v>696</v>
      </c>
      <c r="B120" s="41" t="s">
        <v>691</v>
      </c>
      <c r="C120" s="41" t="s">
        <v>658</v>
      </c>
      <c r="D120" s="41" t="s">
        <v>41</v>
      </c>
      <c r="E120" s="41" t="s">
        <v>341</v>
      </c>
      <c r="F120" s="41" t="s">
        <v>718</v>
      </c>
      <c r="G120" s="67">
        <v>0</v>
      </c>
      <c r="H120" s="41">
        <v>0</v>
      </c>
      <c r="I120" s="41">
        <v>0</v>
      </c>
      <c r="J120" s="67">
        <f t="shared" si="18"/>
        <v>0</v>
      </c>
      <c r="K120" s="41">
        <v>0</v>
      </c>
      <c r="L120" s="41">
        <v>0</v>
      </c>
      <c r="M120" s="70">
        <f t="shared" si="10"/>
        <v>0</v>
      </c>
      <c r="N120" s="41">
        <v>0</v>
      </c>
      <c r="O120" s="41">
        <v>0</v>
      </c>
      <c r="P120" s="70">
        <f t="shared" si="11"/>
        <v>0</v>
      </c>
      <c r="Q120" s="41">
        <v>0</v>
      </c>
      <c r="R120" s="41">
        <v>0</v>
      </c>
      <c r="S120" s="70">
        <f t="shared" si="12"/>
        <v>0</v>
      </c>
      <c r="T120" s="41">
        <v>0</v>
      </c>
      <c r="U120" s="41">
        <v>0</v>
      </c>
      <c r="V120" s="70">
        <f t="shared" si="13"/>
        <v>0</v>
      </c>
      <c r="W120" s="41">
        <v>0</v>
      </c>
      <c r="X120" s="41">
        <v>0</v>
      </c>
      <c r="Y120" s="70">
        <f t="shared" si="19"/>
        <v>0</v>
      </c>
      <c r="Z120" s="41">
        <v>0</v>
      </c>
      <c r="AA120" s="41">
        <v>0</v>
      </c>
      <c r="AB120" s="70">
        <f t="shared" si="14"/>
        <v>0</v>
      </c>
      <c r="AC120" s="41">
        <v>0</v>
      </c>
      <c r="AD120" s="41">
        <v>0</v>
      </c>
      <c r="AE120" s="70">
        <f t="shared" si="15"/>
        <v>0</v>
      </c>
      <c r="AF120" s="28">
        <f t="shared" si="16"/>
        <v>0</v>
      </c>
      <c r="AG120" s="28">
        <f t="shared" si="17"/>
        <v>0</v>
      </c>
    </row>
    <row r="121" spans="1:68" ht="57.6" x14ac:dyDescent="0.3">
      <c r="A121" s="41" t="s">
        <v>696</v>
      </c>
      <c r="B121" s="41" t="s">
        <v>691</v>
      </c>
      <c r="C121" s="41" t="s">
        <v>658</v>
      </c>
      <c r="D121" s="41" t="s">
        <v>41</v>
      </c>
      <c r="E121" s="41" t="s">
        <v>342</v>
      </c>
      <c r="F121" s="41" t="s">
        <v>716</v>
      </c>
      <c r="G121" s="67">
        <v>39000</v>
      </c>
      <c r="H121" s="41"/>
      <c r="I121" s="41"/>
      <c r="J121" s="67">
        <f t="shared" si="18"/>
        <v>0</v>
      </c>
      <c r="K121" s="41">
        <v>0</v>
      </c>
      <c r="L121" s="41">
        <v>0</v>
      </c>
      <c r="M121" s="70">
        <f t="shared" si="10"/>
        <v>0</v>
      </c>
      <c r="N121" s="41">
        <v>58</v>
      </c>
      <c r="O121" s="41">
        <f>6*2</f>
        <v>12</v>
      </c>
      <c r="P121" s="70">
        <f t="shared" si="11"/>
        <v>32844240.000000007</v>
      </c>
      <c r="Q121" s="41">
        <v>0</v>
      </c>
      <c r="R121" s="41">
        <v>0</v>
      </c>
      <c r="S121" s="70">
        <f t="shared" si="12"/>
        <v>0</v>
      </c>
      <c r="T121" s="41">
        <v>40</v>
      </c>
      <c r="U121" s="41">
        <v>10</v>
      </c>
      <c r="V121" s="70">
        <f t="shared" si="13"/>
        <v>22839960.000000004</v>
      </c>
      <c r="W121" s="41">
        <v>0</v>
      </c>
      <c r="X121" s="41">
        <v>0</v>
      </c>
      <c r="Y121" s="70">
        <f t="shared" si="19"/>
        <v>0</v>
      </c>
      <c r="Z121" s="41">
        <v>58</v>
      </c>
      <c r="AA121" s="41">
        <f>6*2</f>
        <v>12</v>
      </c>
      <c r="AB121" s="70">
        <f t="shared" si="14"/>
        <v>48087251.784000024</v>
      </c>
      <c r="AC121" s="41">
        <v>0</v>
      </c>
      <c r="AD121" s="41">
        <v>0</v>
      </c>
      <c r="AE121" s="70">
        <f t="shared" si="15"/>
        <v>0</v>
      </c>
      <c r="AF121" s="28">
        <f t="shared" si="16"/>
        <v>103771451.78400004</v>
      </c>
      <c r="AG121" s="28">
        <f t="shared" si="17"/>
        <v>100748.98231456314</v>
      </c>
    </row>
    <row r="122" spans="1:68" ht="57.6" x14ac:dyDescent="0.3">
      <c r="A122" s="41" t="s">
        <v>696</v>
      </c>
      <c r="B122" s="41" t="s">
        <v>691</v>
      </c>
      <c r="C122" s="41" t="s">
        <v>658</v>
      </c>
      <c r="D122" s="41" t="s">
        <v>41</v>
      </c>
      <c r="E122" s="41" t="s">
        <v>342</v>
      </c>
      <c r="F122" s="41" t="s">
        <v>709</v>
      </c>
      <c r="G122" s="67">
        <v>35000</v>
      </c>
      <c r="H122" s="41"/>
      <c r="I122" s="41"/>
      <c r="J122" s="67">
        <f t="shared" si="18"/>
        <v>0</v>
      </c>
      <c r="K122" s="41">
        <v>0</v>
      </c>
      <c r="L122" s="41">
        <v>0</v>
      </c>
      <c r="M122" s="70">
        <f t="shared" si="10"/>
        <v>0</v>
      </c>
      <c r="N122" s="41">
        <v>100</v>
      </c>
      <c r="O122" s="41">
        <f>5*2</f>
        <v>10</v>
      </c>
      <c r="P122" s="70">
        <f t="shared" si="11"/>
        <v>42350000.000000007</v>
      </c>
      <c r="Q122" s="41">
        <v>0</v>
      </c>
      <c r="R122" s="41">
        <v>0</v>
      </c>
      <c r="S122" s="70">
        <f t="shared" si="12"/>
        <v>0</v>
      </c>
      <c r="T122" s="41">
        <v>40</v>
      </c>
      <c r="U122" s="41">
        <v>10</v>
      </c>
      <c r="V122" s="70">
        <f t="shared" si="13"/>
        <v>20497400.000000004</v>
      </c>
      <c r="W122" s="41">
        <v>0</v>
      </c>
      <c r="X122" s="41">
        <v>0</v>
      </c>
      <c r="Y122" s="70">
        <f t="shared" si="19"/>
        <v>0</v>
      </c>
      <c r="Z122" s="41">
        <v>100</v>
      </c>
      <c r="AA122" s="41">
        <f>5*2</f>
        <v>10</v>
      </c>
      <c r="AB122" s="70">
        <f t="shared" si="14"/>
        <v>62004635.00000003</v>
      </c>
      <c r="AC122" s="41">
        <v>0</v>
      </c>
      <c r="AD122" s="41">
        <v>0</v>
      </c>
      <c r="AE122" s="70">
        <f t="shared" si="15"/>
        <v>0</v>
      </c>
      <c r="AF122" s="28">
        <f t="shared" si="16"/>
        <v>124852035.00000004</v>
      </c>
      <c r="AG122" s="28">
        <f t="shared" si="17"/>
        <v>121215.56796116508</v>
      </c>
    </row>
    <row r="123" spans="1:68" ht="57.6" x14ac:dyDescent="0.3">
      <c r="A123" s="41" t="s">
        <v>696</v>
      </c>
      <c r="B123" s="41" t="s">
        <v>691</v>
      </c>
      <c r="C123" s="41" t="s">
        <v>658</v>
      </c>
      <c r="D123" s="41" t="s">
        <v>41</v>
      </c>
      <c r="E123" s="41" t="s">
        <v>342</v>
      </c>
      <c r="F123" s="41" t="s">
        <v>712</v>
      </c>
      <c r="G123" s="67">
        <f>1999.2/7</f>
        <v>285.60000000000002</v>
      </c>
      <c r="H123" s="41"/>
      <c r="I123" s="41"/>
      <c r="J123" s="67">
        <f t="shared" si="18"/>
        <v>0</v>
      </c>
      <c r="K123" s="41">
        <v>0</v>
      </c>
      <c r="L123" s="41">
        <v>0</v>
      </c>
      <c r="M123" s="70">
        <f t="shared" si="10"/>
        <v>0</v>
      </c>
      <c r="N123" s="41">
        <f>2*25*29</f>
        <v>1450</v>
      </c>
      <c r="O123" s="41">
        <f>5*2</f>
        <v>10</v>
      </c>
      <c r="P123" s="70">
        <f t="shared" si="11"/>
        <v>5010852.0000000009</v>
      </c>
      <c r="Q123" s="41">
        <v>0</v>
      </c>
      <c r="R123" s="41">
        <v>0</v>
      </c>
      <c r="S123" s="70">
        <f t="shared" si="12"/>
        <v>0</v>
      </c>
      <c r="T123" s="41">
        <v>10000</v>
      </c>
      <c r="U123" s="41">
        <v>1</v>
      </c>
      <c r="V123" s="70">
        <f t="shared" si="13"/>
        <v>4181469.6000000015</v>
      </c>
      <c r="W123" s="41">
        <v>0</v>
      </c>
      <c r="X123" s="41">
        <v>0</v>
      </c>
      <c r="Y123" s="70">
        <f t="shared" si="19"/>
        <v>0</v>
      </c>
      <c r="Z123" s="41">
        <f>2*25*29</f>
        <v>1450</v>
      </c>
      <c r="AA123" s="41">
        <f>5*2</f>
        <v>10</v>
      </c>
      <c r="AB123" s="70">
        <f t="shared" si="14"/>
        <v>7336388.413200004</v>
      </c>
      <c r="AC123" s="41">
        <v>0</v>
      </c>
      <c r="AD123" s="41">
        <v>0</v>
      </c>
      <c r="AE123" s="70">
        <f t="shared" si="15"/>
        <v>0</v>
      </c>
      <c r="AF123" s="28">
        <f t="shared" si="16"/>
        <v>16528710.013200006</v>
      </c>
      <c r="AG123" s="28">
        <f t="shared" si="17"/>
        <v>16047.291274951462</v>
      </c>
    </row>
    <row r="124" spans="1:68" ht="57.6" x14ac:dyDescent="0.3">
      <c r="A124" s="41" t="s">
        <v>696</v>
      </c>
      <c r="B124" s="41" t="s">
        <v>691</v>
      </c>
      <c r="C124" s="41" t="s">
        <v>658</v>
      </c>
      <c r="D124" s="41" t="s">
        <v>41</v>
      </c>
      <c r="E124" s="41" t="s">
        <v>342</v>
      </c>
      <c r="F124" s="41" t="s">
        <v>1299</v>
      </c>
      <c r="G124" s="67">
        <f>1999.2/7</f>
        <v>285.60000000000002</v>
      </c>
      <c r="H124" s="41"/>
      <c r="I124" s="41"/>
      <c r="J124" s="67">
        <f t="shared" si="18"/>
        <v>0</v>
      </c>
      <c r="K124" s="41"/>
      <c r="L124" s="41"/>
      <c r="M124" s="70">
        <f t="shared" si="10"/>
        <v>0</v>
      </c>
      <c r="N124" s="41">
        <v>22500</v>
      </c>
      <c r="O124" s="41">
        <v>5</v>
      </c>
      <c r="P124" s="70">
        <f t="shared" si="11"/>
        <v>38877300.000000007</v>
      </c>
      <c r="Q124" s="41"/>
      <c r="R124" s="41"/>
      <c r="S124" s="70">
        <f t="shared" si="12"/>
        <v>0</v>
      </c>
      <c r="T124" s="41"/>
      <c r="U124" s="41"/>
      <c r="V124" s="70">
        <f t="shared" si="13"/>
        <v>0</v>
      </c>
      <c r="W124" s="41"/>
      <c r="X124" s="41"/>
      <c r="Y124" s="70">
        <f t="shared" si="19"/>
        <v>0</v>
      </c>
      <c r="Z124" s="41">
        <v>22500</v>
      </c>
      <c r="AA124" s="41">
        <v>5</v>
      </c>
      <c r="AB124" s="70">
        <f t="shared" si="14"/>
        <v>56920254.930000037</v>
      </c>
      <c r="AC124" s="41"/>
      <c r="AD124" s="41"/>
      <c r="AE124" s="70">
        <f t="shared" si="15"/>
        <v>0</v>
      </c>
      <c r="AF124" s="28">
        <f t="shared" si="16"/>
        <v>95797554.930000037</v>
      </c>
      <c r="AG124" s="28">
        <f t="shared" si="17"/>
        <v>93007.334883495176</v>
      </c>
    </row>
    <row r="125" spans="1:68" ht="43.2" x14ac:dyDescent="0.3">
      <c r="A125" s="41" t="s">
        <v>696</v>
      </c>
      <c r="B125" s="41" t="s">
        <v>691</v>
      </c>
      <c r="C125" s="41" t="s">
        <v>658</v>
      </c>
      <c r="D125" s="41" t="s">
        <v>41</v>
      </c>
      <c r="E125" s="41" t="s">
        <v>179</v>
      </c>
      <c r="F125" s="41" t="s">
        <v>713</v>
      </c>
      <c r="G125" s="67">
        <v>45000</v>
      </c>
      <c r="H125" s="41"/>
      <c r="I125" s="41"/>
      <c r="J125" s="67">
        <f t="shared" si="18"/>
        <v>0</v>
      </c>
      <c r="K125" s="41">
        <v>0</v>
      </c>
      <c r="L125" s="41">
        <v>0</v>
      </c>
      <c r="M125" s="70">
        <f t="shared" si="10"/>
        <v>0</v>
      </c>
      <c r="N125" s="41">
        <v>25</v>
      </c>
      <c r="O125" s="41">
        <v>6</v>
      </c>
      <c r="P125" s="70">
        <f t="shared" si="11"/>
        <v>8167500.0000000019</v>
      </c>
      <c r="Q125" s="41">
        <v>0</v>
      </c>
      <c r="R125" s="41">
        <v>0</v>
      </c>
      <c r="S125" s="70">
        <f t="shared" si="12"/>
        <v>0</v>
      </c>
      <c r="T125" s="41">
        <v>15</v>
      </c>
      <c r="U125" s="41">
        <v>25</v>
      </c>
      <c r="V125" s="70">
        <f t="shared" si="13"/>
        <v>24706687.500000007</v>
      </c>
      <c r="W125" s="41">
        <v>0</v>
      </c>
      <c r="X125" s="41">
        <v>0</v>
      </c>
      <c r="Y125" s="70">
        <f t="shared" si="19"/>
        <v>0</v>
      </c>
      <c r="Z125" s="41">
        <v>25</v>
      </c>
      <c r="AA125" s="41">
        <v>6</v>
      </c>
      <c r="AB125" s="70">
        <f t="shared" si="14"/>
        <v>11958036.750000006</v>
      </c>
      <c r="AC125" s="41">
        <v>0</v>
      </c>
      <c r="AD125" s="41">
        <v>0</v>
      </c>
      <c r="AE125" s="70">
        <f t="shared" si="15"/>
        <v>0</v>
      </c>
      <c r="AF125" s="28">
        <f t="shared" si="16"/>
        <v>44832224.250000015</v>
      </c>
      <c r="AG125" s="28">
        <f t="shared" si="17"/>
        <v>43526.431310679625</v>
      </c>
    </row>
    <row r="126" spans="1:68" ht="43.2" x14ac:dyDescent="0.3">
      <c r="A126" s="41" t="s">
        <v>696</v>
      </c>
      <c r="B126" s="41" t="s">
        <v>691</v>
      </c>
      <c r="C126" s="41" t="s">
        <v>658</v>
      </c>
      <c r="D126" s="41" t="s">
        <v>41</v>
      </c>
      <c r="E126" s="41" t="s">
        <v>179</v>
      </c>
      <c r="F126" s="41" t="s">
        <v>712</v>
      </c>
      <c r="G126" s="67">
        <f>1999.2/7</f>
        <v>285.60000000000002</v>
      </c>
      <c r="H126" s="41"/>
      <c r="I126" s="41"/>
      <c r="J126" s="67">
        <f t="shared" si="18"/>
        <v>0</v>
      </c>
      <c r="K126" s="41">
        <v>0</v>
      </c>
      <c r="L126" s="41">
        <v>0</v>
      </c>
      <c r="M126" s="70">
        <f t="shared" si="10"/>
        <v>0</v>
      </c>
      <c r="N126" s="41">
        <f>2*25*9</f>
        <v>450</v>
      </c>
      <c r="O126" s="41">
        <v>5</v>
      </c>
      <c r="P126" s="70">
        <f t="shared" si="11"/>
        <v>777546.00000000023</v>
      </c>
      <c r="Q126" s="41">
        <v>0</v>
      </c>
      <c r="R126" s="41">
        <v>0</v>
      </c>
      <c r="S126" s="70">
        <f t="shared" si="12"/>
        <v>0</v>
      </c>
      <c r="T126" s="41">
        <v>20000</v>
      </c>
      <c r="U126" s="41">
        <v>1</v>
      </c>
      <c r="V126" s="70">
        <f t="shared" si="13"/>
        <v>8362939.200000003</v>
      </c>
      <c r="W126" s="41">
        <v>0</v>
      </c>
      <c r="X126" s="41">
        <v>0</v>
      </c>
      <c r="Y126" s="70">
        <f t="shared" si="19"/>
        <v>0</v>
      </c>
      <c r="Z126" s="41">
        <f>2*25*9</f>
        <v>450</v>
      </c>
      <c r="AA126" s="41">
        <v>5</v>
      </c>
      <c r="AB126" s="70">
        <f t="shared" si="14"/>
        <v>1138405.0986000006</v>
      </c>
      <c r="AC126" s="41">
        <v>0</v>
      </c>
      <c r="AD126" s="41">
        <v>0</v>
      </c>
      <c r="AE126" s="70">
        <f t="shared" si="15"/>
        <v>0</v>
      </c>
      <c r="AF126" s="28">
        <f t="shared" si="16"/>
        <v>10278890.298600003</v>
      </c>
      <c r="AG126" s="28">
        <f t="shared" si="17"/>
        <v>9979.5051442718468</v>
      </c>
    </row>
    <row r="127" spans="1:68" ht="43.2" x14ac:dyDescent="0.3">
      <c r="A127" s="41" t="s">
        <v>696</v>
      </c>
      <c r="B127" s="41" t="s">
        <v>691</v>
      </c>
      <c r="C127" s="41" t="s">
        <v>658</v>
      </c>
      <c r="D127" s="41" t="s">
        <v>41</v>
      </c>
      <c r="E127" s="41" t="s">
        <v>179</v>
      </c>
      <c r="F127" s="41" t="s">
        <v>709</v>
      </c>
      <c r="G127" s="67">
        <v>35000</v>
      </c>
      <c r="H127" s="41"/>
      <c r="I127" s="41"/>
      <c r="J127" s="67">
        <f t="shared" si="18"/>
        <v>0</v>
      </c>
      <c r="K127" s="41"/>
      <c r="L127" s="41"/>
      <c r="M127" s="70">
        <f t="shared" si="10"/>
        <v>0</v>
      </c>
      <c r="N127" s="41">
        <v>25</v>
      </c>
      <c r="O127" s="41">
        <v>5</v>
      </c>
      <c r="P127" s="70">
        <f t="shared" si="11"/>
        <v>5293750.0000000009</v>
      </c>
      <c r="Q127" s="41"/>
      <c r="R127" s="41"/>
      <c r="S127" s="70">
        <f t="shared" si="12"/>
        <v>0</v>
      </c>
      <c r="T127" s="41"/>
      <c r="U127" s="41"/>
      <c r="V127" s="70">
        <f t="shared" si="13"/>
        <v>0</v>
      </c>
      <c r="W127" s="41"/>
      <c r="X127" s="41"/>
      <c r="Y127" s="70">
        <f t="shared" si="19"/>
        <v>0</v>
      </c>
      <c r="Z127" s="41">
        <v>25</v>
      </c>
      <c r="AA127" s="41">
        <v>5</v>
      </c>
      <c r="AB127" s="70">
        <f t="shared" si="14"/>
        <v>7750579.3750000037</v>
      </c>
      <c r="AC127" s="41"/>
      <c r="AD127" s="41"/>
      <c r="AE127" s="70">
        <f t="shared" si="15"/>
        <v>0</v>
      </c>
      <c r="AF127" s="28">
        <f t="shared" si="16"/>
        <v>13044329.375000004</v>
      </c>
      <c r="AG127" s="28">
        <f t="shared" si="17"/>
        <v>12664.397451456314</v>
      </c>
    </row>
    <row r="128" spans="1:68" ht="43.2" x14ac:dyDescent="0.3">
      <c r="A128" s="41" t="s">
        <v>696</v>
      </c>
      <c r="B128" s="41" t="s">
        <v>691</v>
      </c>
      <c r="C128" s="41" t="s">
        <v>658</v>
      </c>
      <c r="D128" s="41" t="s">
        <v>41</v>
      </c>
      <c r="E128" s="41" t="s">
        <v>179</v>
      </c>
      <c r="F128" s="41" t="s">
        <v>1299</v>
      </c>
      <c r="G128" s="67">
        <f>1999.2/7</f>
        <v>285.60000000000002</v>
      </c>
      <c r="H128" s="41"/>
      <c r="I128" s="41"/>
      <c r="J128" s="67">
        <f t="shared" si="18"/>
        <v>0</v>
      </c>
      <c r="K128" s="41"/>
      <c r="L128" s="41"/>
      <c r="M128" s="70">
        <f t="shared" si="10"/>
        <v>0</v>
      </c>
      <c r="N128" s="41">
        <f>2*135*9</f>
        <v>2430</v>
      </c>
      <c r="O128" s="41">
        <v>1</v>
      </c>
      <c r="P128" s="70">
        <f t="shared" si="11"/>
        <v>839749.68000000017</v>
      </c>
      <c r="Q128" s="41"/>
      <c r="R128" s="41"/>
      <c r="S128" s="70">
        <f t="shared" si="12"/>
        <v>0</v>
      </c>
      <c r="T128" s="41"/>
      <c r="U128" s="41"/>
      <c r="V128" s="70">
        <f t="shared" si="13"/>
        <v>0</v>
      </c>
      <c r="W128" s="41"/>
      <c r="X128" s="41"/>
      <c r="Y128" s="70">
        <f t="shared" si="19"/>
        <v>0</v>
      </c>
      <c r="Z128" s="41">
        <f>2*135*9</f>
        <v>2430</v>
      </c>
      <c r="AA128" s="41">
        <v>1</v>
      </c>
      <c r="AB128" s="70">
        <f t="shared" si="14"/>
        <v>1229477.5064880007</v>
      </c>
      <c r="AC128" s="41"/>
      <c r="AD128" s="41"/>
      <c r="AE128" s="70">
        <f t="shared" si="15"/>
        <v>0</v>
      </c>
      <c r="AF128" s="28">
        <f t="shared" si="16"/>
        <v>2069227.1864880009</v>
      </c>
      <c r="AG128" s="28">
        <f t="shared" si="17"/>
        <v>2008.958433483496</v>
      </c>
    </row>
    <row r="129" spans="1:33" ht="43.2" x14ac:dyDescent="0.3">
      <c r="A129" s="41" t="s">
        <v>696</v>
      </c>
      <c r="B129" s="41" t="s">
        <v>691</v>
      </c>
      <c r="C129" s="41" t="s">
        <v>658</v>
      </c>
      <c r="D129" s="41" t="s">
        <v>41</v>
      </c>
      <c r="E129" s="41" t="s">
        <v>179</v>
      </c>
      <c r="F129" s="41" t="s">
        <v>714</v>
      </c>
      <c r="G129" s="67">
        <v>10000</v>
      </c>
      <c r="H129" s="41"/>
      <c r="I129" s="41"/>
      <c r="J129" s="67">
        <f t="shared" si="18"/>
        <v>0</v>
      </c>
      <c r="K129" s="41">
        <v>0</v>
      </c>
      <c r="L129" s="41">
        <v>0</v>
      </c>
      <c r="M129" s="70">
        <f t="shared" si="10"/>
        <v>0</v>
      </c>
      <c r="N129" s="41">
        <v>15</v>
      </c>
      <c r="O129" s="41">
        <v>1</v>
      </c>
      <c r="P129" s="70">
        <f t="shared" si="11"/>
        <v>181500.00000000003</v>
      </c>
      <c r="Q129" s="41">
        <v>0</v>
      </c>
      <c r="R129" s="41">
        <v>0</v>
      </c>
      <c r="S129" s="70">
        <f t="shared" si="12"/>
        <v>0</v>
      </c>
      <c r="T129" s="41">
        <v>15</v>
      </c>
      <c r="U129" s="41">
        <v>1</v>
      </c>
      <c r="V129" s="70">
        <f t="shared" si="13"/>
        <v>219615.00000000006</v>
      </c>
      <c r="W129" s="41">
        <v>0</v>
      </c>
      <c r="X129" s="41">
        <v>0</v>
      </c>
      <c r="Y129" s="70">
        <f t="shared" si="19"/>
        <v>0</v>
      </c>
      <c r="Z129" s="41">
        <v>15</v>
      </c>
      <c r="AA129" s="41">
        <v>1</v>
      </c>
      <c r="AB129" s="70">
        <f t="shared" si="14"/>
        <v>265734.15000000014</v>
      </c>
      <c r="AC129" s="41">
        <v>0</v>
      </c>
      <c r="AD129" s="41">
        <v>0</v>
      </c>
      <c r="AE129" s="70">
        <f t="shared" si="15"/>
        <v>0</v>
      </c>
      <c r="AF129" s="28">
        <f t="shared" si="16"/>
        <v>666849.15000000026</v>
      </c>
      <c r="AG129" s="28">
        <f t="shared" si="17"/>
        <v>647.42635922330123</v>
      </c>
    </row>
    <row r="130" spans="1:33" ht="43.2" x14ac:dyDescent="0.3">
      <c r="A130" s="41" t="s">
        <v>696</v>
      </c>
      <c r="B130" s="41" t="s">
        <v>691</v>
      </c>
      <c r="C130" s="41" t="s">
        <v>658</v>
      </c>
      <c r="D130" s="41" t="s">
        <v>41</v>
      </c>
      <c r="E130" s="41" t="s">
        <v>159</v>
      </c>
      <c r="F130" s="41" t="s">
        <v>716</v>
      </c>
      <c r="G130" s="67">
        <v>39000</v>
      </c>
      <c r="H130" s="41"/>
      <c r="I130" s="41"/>
      <c r="J130" s="67">
        <f t="shared" si="18"/>
        <v>0</v>
      </c>
      <c r="K130" s="41">
        <v>0</v>
      </c>
      <c r="L130" s="41">
        <v>0</v>
      </c>
      <c r="M130" s="70">
        <f t="shared" si="10"/>
        <v>0</v>
      </c>
      <c r="N130" s="41">
        <v>25</v>
      </c>
      <c r="O130" s="41">
        <v>6</v>
      </c>
      <c r="P130" s="70">
        <f t="shared" si="11"/>
        <v>7078500.0000000019</v>
      </c>
      <c r="Q130" s="41">
        <v>0</v>
      </c>
      <c r="R130" s="41">
        <v>0</v>
      </c>
      <c r="S130" s="70">
        <f t="shared" si="12"/>
        <v>0</v>
      </c>
      <c r="T130" s="41">
        <v>20</v>
      </c>
      <c r="U130" s="41">
        <v>5</v>
      </c>
      <c r="V130" s="70">
        <f t="shared" si="13"/>
        <v>5709990.0000000009</v>
      </c>
      <c r="W130" s="41">
        <v>0</v>
      </c>
      <c r="X130" s="41">
        <v>0</v>
      </c>
      <c r="Y130" s="70">
        <f t="shared" si="19"/>
        <v>0</v>
      </c>
      <c r="Z130" s="41">
        <v>25</v>
      </c>
      <c r="AA130" s="41">
        <v>6</v>
      </c>
      <c r="AB130" s="70">
        <f t="shared" si="14"/>
        <v>10363631.850000005</v>
      </c>
      <c r="AC130" s="41">
        <v>0</v>
      </c>
      <c r="AD130" s="41">
        <v>0</v>
      </c>
      <c r="AE130" s="70">
        <f t="shared" si="15"/>
        <v>0</v>
      </c>
      <c r="AF130" s="28">
        <f t="shared" si="16"/>
        <v>23152121.850000009</v>
      </c>
      <c r="AG130" s="28">
        <f t="shared" si="17"/>
        <v>22477.788203883505</v>
      </c>
    </row>
    <row r="131" spans="1:33" ht="43.2" x14ac:dyDescent="0.3">
      <c r="A131" s="41" t="s">
        <v>696</v>
      </c>
      <c r="B131" s="41" t="s">
        <v>691</v>
      </c>
      <c r="C131" s="41" t="s">
        <v>658</v>
      </c>
      <c r="D131" s="41" t="s">
        <v>41</v>
      </c>
      <c r="E131" s="41" t="s">
        <v>159</v>
      </c>
      <c r="F131" s="41" t="s">
        <v>709</v>
      </c>
      <c r="G131" s="67">
        <v>35000</v>
      </c>
      <c r="H131" s="41"/>
      <c r="I131" s="41"/>
      <c r="J131" s="67">
        <f t="shared" si="18"/>
        <v>0</v>
      </c>
      <c r="K131" s="41">
        <v>0</v>
      </c>
      <c r="L131" s="41">
        <v>0</v>
      </c>
      <c r="M131" s="70">
        <f t="shared" ref="M131:M194" si="20">($G131*1.1^1)*K131*L131</f>
        <v>0</v>
      </c>
      <c r="N131" s="41">
        <v>25</v>
      </c>
      <c r="O131" s="41">
        <v>5</v>
      </c>
      <c r="P131" s="70">
        <f t="shared" ref="P131:P194" si="21">($G131*1.1^2)*N131*O131</f>
        <v>5293750.0000000009</v>
      </c>
      <c r="Q131" s="41">
        <v>0</v>
      </c>
      <c r="R131" s="41">
        <v>0</v>
      </c>
      <c r="S131" s="70">
        <f t="shared" ref="S131:S194" si="22">($G131*1.1^3)*Q131*R131</f>
        <v>0</v>
      </c>
      <c r="T131" s="41">
        <v>20</v>
      </c>
      <c r="U131" s="41">
        <v>5</v>
      </c>
      <c r="V131" s="70">
        <f t="shared" ref="V131:V194" si="23">($G131*1.1^4)*T131*U131</f>
        <v>5124350.0000000009</v>
      </c>
      <c r="W131" s="41">
        <v>0</v>
      </c>
      <c r="X131" s="41">
        <v>0</v>
      </c>
      <c r="Y131" s="70">
        <f t="shared" si="19"/>
        <v>0</v>
      </c>
      <c r="Z131" s="41">
        <v>25</v>
      </c>
      <c r="AA131" s="41">
        <v>5</v>
      </c>
      <c r="AB131" s="70">
        <f t="shared" ref="AB131:AB194" si="24">($G131*1.1^6)*Z131*AA131</f>
        <v>7750579.3750000037</v>
      </c>
      <c r="AC131" s="41">
        <v>0</v>
      </c>
      <c r="AD131" s="41">
        <v>0</v>
      </c>
      <c r="AE131" s="70">
        <f t="shared" ref="AE131:AE194" si="25">($G131*1.1^7)*AC131*AD131</f>
        <v>0</v>
      </c>
      <c r="AF131" s="28">
        <f t="shared" ref="AF131:AF194" si="26">J131+M131+P131+S131+V131+Y131+AB131+AE131</f>
        <v>18168679.375000007</v>
      </c>
      <c r="AG131" s="28">
        <f t="shared" ref="AG131:AG194" si="27">AF131/$AL$2</f>
        <v>17639.494538834959</v>
      </c>
    </row>
    <row r="132" spans="1:33" ht="43.2" x14ac:dyDescent="0.3">
      <c r="A132" s="41" t="s">
        <v>696</v>
      </c>
      <c r="B132" s="41" t="s">
        <v>691</v>
      </c>
      <c r="C132" s="41" t="s">
        <v>658</v>
      </c>
      <c r="D132" s="41" t="s">
        <v>41</v>
      </c>
      <c r="E132" s="41" t="s">
        <v>159</v>
      </c>
      <c r="F132" s="41" t="s">
        <v>712</v>
      </c>
      <c r="G132" s="67">
        <f>1999.2/7</f>
        <v>285.60000000000002</v>
      </c>
      <c r="H132" s="41"/>
      <c r="I132" s="41"/>
      <c r="J132" s="67">
        <f t="shared" si="18"/>
        <v>0</v>
      </c>
      <c r="K132" s="41">
        <v>0</v>
      </c>
      <c r="L132" s="41">
        <v>0</v>
      </c>
      <c r="M132" s="70">
        <f t="shared" si="20"/>
        <v>0</v>
      </c>
      <c r="N132" s="41">
        <f>2*25*9</f>
        <v>450</v>
      </c>
      <c r="O132" s="41">
        <v>5</v>
      </c>
      <c r="P132" s="70">
        <f t="shared" si="21"/>
        <v>777546.00000000023</v>
      </c>
      <c r="Q132" s="41">
        <v>0</v>
      </c>
      <c r="R132" s="41">
        <v>0</v>
      </c>
      <c r="S132" s="70">
        <f t="shared" si="22"/>
        <v>0</v>
      </c>
      <c r="T132" s="41">
        <v>4000</v>
      </c>
      <c r="U132" s="41">
        <v>1</v>
      </c>
      <c r="V132" s="70">
        <f t="shared" si="23"/>
        <v>1672587.8400000005</v>
      </c>
      <c r="W132" s="41">
        <v>0</v>
      </c>
      <c r="X132" s="41">
        <v>0</v>
      </c>
      <c r="Y132" s="70">
        <f t="shared" si="19"/>
        <v>0</v>
      </c>
      <c r="Z132" s="41">
        <f>2*25*9</f>
        <v>450</v>
      </c>
      <c r="AA132" s="41">
        <v>5</v>
      </c>
      <c r="AB132" s="70">
        <f t="shared" si="24"/>
        <v>1138405.0986000006</v>
      </c>
      <c r="AC132" s="41">
        <v>0</v>
      </c>
      <c r="AD132" s="41">
        <v>0</v>
      </c>
      <c r="AE132" s="70">
        <f t="shared" si="25"/>
        <v>0</v>
      </c>
      <c r="AF132" s="28">
        <f t="shared" si="26"/>
        <v>3588538.9386000014</v>
      </c>
      <c r="AG132" s="28">
        <f t="shared" si="27"/>
        <v>3484.0183869902926</v>
      </c>
    </row>
    <row r="133" spans="1:33" ht="43.2" x14ac:dyDescent="0.3">
      <c r="A133" s="41" t="s">
        <v>696</v>
      </c>
      <c r="B133" s="41" t="s">
        <v>691</v>
      </c>
      <c r="C133" s="41" t="s">
        <v>658</v>
      </c>
      <c r="D133" s="41" t="s">
        <v>41</v>
      </c>
      <c r="E133" s="41" t="s">
        <v>159</v>
      </c>
      <c r="F133" s="41" t="s">
        <v>1299</v>
      </c>
      <c r="G133" s="67">
        <f>1999.2/7</f>
        <v>285.60000000000002</v>
      </c>
      <c r="H133" s="41"/>
      <c r="I133" s="41"/>
      <c r="J133" s="67">
        <f t="shared" ref="J133:J196" si="28">G133*H133*I133</f>
        <v>0</v>
      </c>
      <c r="K133" s="41"/>
      <c r="L133" s="41"/>
      <c r="M133" s="70">
        <f t="shared" si="20"/>
        <v>0</v>
      </c>
      <c r="N133" s="41">
        <f>2*135*9</f>
        <v>2430</v>
      </c>
      <c r="O133" s="41">
        <v>1</v>
      </c>
      <c r="P133" s="70">
        <f t="shared" si="21"/>
        <v>839749.68000000017</v>
      </c>
      <c r="Q133" s="41"/>
      <c r="R133" s="41"/>
      <c r="S133" s="70">
        <f t="shared" si="22"/>
        <v>0</v>
      </c>
      <c r="T133" s="41"/>
      <c r="U133" s="41"/>
      <c r="V133" s="70">
        <f t="shared" si="23"/>
        <v>0</v>
      </c>
      <c r="W133" s="41"/>
      <c r="X133" s="41"/>
      <c r="Y133" s="70">
        <f t="shared" ref="Y133:Y196" si="29">($G133*1.1^5)*W133*X133</f>
        <v>0</v>
      </c>
      <c r="Z133" s="41">
        <f>2*135*9</f>
        <v>2430</v>
      </c>
      <c r="AA133" s="41">
        <v>1</v>
      </c>
      <c r="AB133" s="70">
        <f t="shared" si="24"/>
        <v>1229477.5064880007</v>
      </c>
      <c r="AC133" s="41"/>
      <c r="AD133" s="41"/>
      <c r="AE133" s="70">
        <f t="shared" si="25"/>
        <v>0</v>
      </c>
      <c r="AF133" s="28">
        <f t="shared" si="26"/>
        <v>2069227.1864880009</v>
      </c>
      <c r="AG133" s="28">
        <f t="shared" si="27"/>
        <v>2008.958433483496</v>
      </c>
    </row>
    <row r="134" spans="1:33" ht="43.2" x14ac:dyDescent="0.3">
      <c r="A134" s="41" t="s">
        <v>696</v>
      </c>
      <c r="B134" s="41" t="s">
        <v>691</v>
      </c>
      <c r="C134" s="41" t="s">
        <v>658</v>
      </c>
      <c r="D134" s="41" t="s">
        <v>41</v>
      </c>
      <c r="E134" s="41" t="s">
        <v>153</v>
      </c>
      <c r="F134" s="41" t="s">
        <v>716</v>
      </c>
      <c r="G134" s="67">
        <v>39000</v>
      </c>
      <c r="H134" s="41"/>
      <c r="I134" s="41"/>
      <c r="J134" s="67">
        <f t="shared" si="28"/>
        <v>0</v>
      </c>
      <c r="K134" s="41">
        <v>0</v>
      </c>
      <c r="L134" s="41">
        <v>0</v>
      </c>
      <c r="M134" s="70">
        <f t="shared" si="20"/>
        <v>0</v>
      </c>
      <c r="N134" s="41">
        <v>25</v>
      </c>
      <c r="O134" s="41">
        <v>6</v>
      </c>
      <c r="P134" s="70">
        <f t="shared" si="21"/>
        <v>7078500.0000000019</v>
      </c>
      <c r="Q134" s="41">
        <v>0</v>
      </c>
      <c r="R134" s="41">
        <v>0</v>
      </c>
      <c r="S134" s="70">
        <f t="shared" si="22"/>
        <v>0</v>
      </c>
      <c r="T134" s="41">
        <v>20</v>
      </c>
      <c r="U134" s="41">
        <v>10</v>
      </c>
      <c r="V134" s="70">
        <f t="shared" si="23"/>
        <v>11419980.000000002</v>
      </c>
      <c r="W134" s="41">
        <v>0</v>
      </c>
      <c r="X134" s="41">
        <v>0</v>
      </c>
      <c r="Y134" s="70">
        <f t="shared" si="29"/>
        <v>0</v>
      </c>
      <c r="Z134" s="41">
        <v>25</v>
      </c>
      <c r="AA134" s="41">
        <v>6</v>
      </c>
      <c r="AB134" s="70">
        <f t="shared" si="24"/>
        <v>10363631.850000005</v>
      </c>
      <c r="AC134" s="41">
        <v>0</v>
      </c>
      <c r="AD134" s="41">
        <v>0</v>
      </c>
      <c r="AE134" s="70">
        <f t="shared" si="25"/>
        <v>0</v>
      </c>
      <c r="AF134" s="28">
        <f t="shared" si="26"/>
        <v>28862111.850000009</v>
      </c>
      <c r="AG134" s="28">
        <f t="shared" si="27"/>
        <v>28021.46781553399</v>
      </c>
    </row>
    <row r="135" spans="1:33" ht="43.2" x14ac:dyDescent="0.3">
      <c r="A135" s="41" t="s">
        <v>696</v>
      </c>
      <c r="B135" s="41" t="s">
        <v>691</v>
      </c>
      <c r="C135" s="41" t="s">
        <v>658</v>
      </c>
      <c r="D135" s="41" t="s">
        <v>41</v>
      </c>
      <c r="E135" s="41" t="s">
        <v>153</v>
      </c>
      <c r="F135" s="41" t="s">
        <v>709</v>
      </c>
      <c r="G135" s="67">
        <v>35000</v>
      </c>
      <c r="H135" s="41"/>
      <c r="I135" s="41"/>
      <c r="J135" s="67">
        <f t="shared" si="28"/>
        <v>0</v>
      </c>
      <c r="K135" s="41">
        <v>0</v>
      </c>
      <c r="L135" s="41">
        <v>0</v>
      </c>
      <c r="M135" s="70">
        <f t="shared" si="20"/>
        <v>0</v>
      </c>
      <c r="N135" s="41">
        <v>25</v>
      </c>
      <c r="O135" s="41">
        <v>5</v>
      </c>
      <c r="P135" s="70">
        <f t="shared" si="21"/>
        <v>5293750.0000000009</v>
      </c>
      <c r="Q135" s="41">
        <v>0</v>
      </c>
      <c r="R135" s="41">
        <v>0</v>
      </c>
      <c r="S135" s="70">
        <f t="shared" si="22"/>
        <v>0</v>
      </c>
      <c r="T135" s="41">
        <v>20</v>
      </c>
      <c r="U135" s="41">
        <v>10</v>
      </c>
      <c r="V135" s="70">
        <f t="shared" si="23"/>
        <v>10248700.000000002</v>
      </c>
      <c r="W135" s="41">
        <v>0</v>
      </c>
      <c r="X135" s="41">
        <v>0</v>
      </c>
      <c r="Y135" s="70">
        <f t="shared" si="29"/>
        <v>0</v>
      </c>
      <c r="Z135" s="41">
        <v>25</v>
      </c>
      <c r="AA135" s="41">
        <v>5</v>
      </c>
      <c r="AB135" s="70">
        <f t="shared" si="24"/>
        <v>7750579.3750000037</v>
      </c>
      <c r="AC135" s="41">
        <v>0</v>
      </c>
      <c r="AD135" s="41">
        <v>0</v>
      </c>
      <c r="AE135" s="70">
        <f t="shared" si="25"/>
        <v>0</v>
      </c>
      <c r="AF135" s="28">
        <f t="shared" si="26"/>
        <v>23293029.375000007</v>
      </c>
      <c r="AG135" s="28">
        <f t="shared" si="27"/>
        <v>22614.591626213598</v>
      </c>
    </row>
    <row r="136" spans="1:33" ht="43.2" x14ac:dyDescent="0.3">
      <c r="A136" s="41" t="s">
        <v>696</v>
      </c>
      <c r="B136" s="41" t="s">
        <v>691</v>
      </c>
      <c r="C136" s="41" t="s">
        <v>658</v>
      </c>
      <c r="D136" s="41" t="s">
        <v>41</v>
      </c>
      <c r="E136" s="41" t="s">
        <v>153</v>
      </c>
      <c r="F136" s="41" t="s">
        <v>712</v>
      </c>
      <c r="G136" s="67">
        <f>1999.2/7</f>
        <v>285.60000000000002</v>
      </c>
      <c r="H136" s="41"/>
      <c r="I136" s="41"/>
      <c r="J136" s="67">
        <f t="shared" si="28"/>
        <v>0</v>
      </c>
      <c r="K136" s="41">
        <v>0</v>
      </c>
      <c r="L136" s="41">
        <v>0</v>
      </c>
      <c r="M136" s="70">
        <f t="shared" si="20"/>
        <v>0</v>
      </c>
      <c r="N136" s="41">
        <f>2*25*9</f>
        <v>450</v>
      </c>
      <c r="O136" s="41">
        <v>5</v>
      </c>
      <c r="P136" s="70">
        <f t="shared" si="21"/>
        <v>777546.00000000023</v>
      </c>
      <c r="Q136" s="41">
        <v>0</v>
      </c>
      <c r="R136" s="41">
        <v>0</v>
      </c>
      <c r="S136" s="70">
        <f t="shared" si="22"/>
        <v>0</v>
      </c>
      <c r="T136" s="41">
        <v>4000</v>
      </c>
      <c r="U136" s="41">
        <v>2</v>
      </c>
      <c r="V136" s="70">
        <f t="shared" si="23"/>
        <v>3345175.6800000011</v>
      </c>
      <c r="W136" s="41">
        <v>0</v>
      </c>
      <c r="X136" s="41">
        <v>0</v>
      </c>
      <c r="Y136" s="70">
        <f t="shared" si="29"/>
        <v>0</v>
      </c>
      <c r="Z136" s="41">
        <f>2*25*9</f>
        <v>450</v>
      </c>
      <c r="AA136" s="41">
        <v>5</v>
      </c>
      <c r="AB136" s="70">
        <f t="shared" si="24"/>
        <v>1138405.0986000006</v>
      </c>
      <c r="AC136" s="41">
        <v>0</v>
      </c>
      <c r="AD136" s="41">
        <v>0</v>
      </c>
      <c r="AE136" s="70">
        <f t="shared" si="25"/>
        <v>0</v>
      </c>
      <c r="AF136" s="28">
        <f t="shared" si="26"/>
        <v>5261126.7786000017</v>
      </c>
      <c r="AG136" s="28">
        <f t="shared" si="27"/>
        <v>5107.8900763106813</v>
      </c>
    </row>
    <row r="137" spans="1:33" ht="43.2" x14ac:dyDescent="0.3">
      <c r="A137" s="41" t="s">
        <v>696</v>
      </c>
      <c r="B137" s="41" t="s">
        <v>691</v>
      </c>
      <c r="C137" s="41" t="s">
        <v>658</v>
      </c>
      <c r="D137" s="41" t="s">
        <v>41</v>
      </c>
      <c r="E137" s="41" t="s">
        <v>153</v>
      </c>
      <c r="F137" s="41" t="s">
        <v>1299</v>
      </c>
      <c r="G137" s="67">
        <f>1999.2/7</f>
        <v>285.60000000000002</v>
      </c>
      <c r="H137" s="41"/>
      <c r="I137" s="41"/>
      <c r="J137" s="67">
        <f t="shared" si="28"/>
        <v>0</v>
      </c>
      <c r="K137" s="41"/>
      <c r="L137" s="41"/>
      <c r="M137" s="70">
        <f t="shared" si="20"/>
        <v>0</v>
      </c>
      <c r="N137" s="41">
        <f>2*135*9</f>
        <v>2430</v>
      </c>
      <c r="O137" s="41">
        <v>1</v>
      </c>
      <c r="P137" s="70">
        <f t="shared" si="21"/>
        <v>839749.68000000017</v>
      </c>
      <c r="Q137" s="41"/>
      <c r="R137" s="41"/>
      <c r="S137" s="70">
        <f t="shared" si="22"/>
        <v>0</v>
      </c>
      <c r="T137" s="41"/>
      <c r="U137" s="41"/>
      <c r="V137" s="70">
        <f t="shared" si="23"/>
        <v>0</v>
      </c>
      <c r="W137" s="41"/>
      <c r="X137" s="41"/>
      <c r="Y137" s="70">
        <f t="shared" si="29"/>
        <v>0</v>
      </c>
      <c r="Z137" s="41">
        <f>2*135*9</f>
        <v>2430</v>
      </c>
      <c r="AA137" s="41">
        <v>1</v>
      </c>
      <c r="AB137" s="70">
        <f t="shared" si="24"/>
        <v>1229477.5064880007</v>
      </c>
      <c r="AC137" s="41"/>
      <c r="AD137" s="41"/>
      <c r="AE137" s="70">
        <f t="shared" si="25"/>
        <v>0</v>
      </c>
      <c r="AF137" s="28">
        <f t="shared" si="26"/>
        <v>2069227.1864880009</v>
      </c>
      <c r="AG137" s="28">
        <f t="shared" si="27"/>
        <v>2008.958433483496</v>
      </c>
    </row>
    <row r="138" spans="1:33" ht="43.2" x14ac:dyDescent="0.3">
      <c r="A138" s="41" t="s">
        <v>696</v>
      </c>
      <c r="B138" s="41" t="s">
        <v>691</v>
      </c>
      <c r="C138" s="41" t="s">
        <v>658</v>
      </c>
      <c r="D138" s="41" t="s">
        <v>41</v>
      </c>
      <c r="E138" s="41" t="s">
        <v>343</v>
      </c>
      <c r="F138" s="41" t="s">
        <v>716</v>
      </c>
      <c r="G138" s="67">
        <v>39000</v>
      </c>
      <c r="H138" s="41"/>
      <c r="I138" s="41"/>
      <c r="J138" s="67">
        <f t="shared" si="28"/>
        <v>0</v>
      </c>
      <c r="K138" s="41">
        <v>0</v>
      </c>
      <c r="L138" s="41">
        <v>0</v>
      </c>
      <c r="M138" s="70">
        <f t="shared" si="20"/>
        <v>0</v>
      </c>
      <c r="N138" s="41">
        <v>100</v>
      </c>
      <c r="O138" s="41">
        <v>5</v>
      </c>
      <c r="P138" s="70">
        <f t="shared" si="21"/>
        <v>23595000.000000004</v>
      </c>
      <c r="Q138" s="41">
        <v>0</v>
      </c>
      <c r="R138" s="41">
        <v>0</v>
      </c>
      <c r="S138" s="70">
        <f t="shared" si="22"/>
        <v>0</v>
      </c>
      <c r="T138" s="41">
        <v>30</v>
      </c>
      <c r="U138" s="41">
        <v>2</v>
      </c>
      <c r="V138" s="70">
        <f t="shared" si="23"/>
        <v>3425994.0000000009</v>
      </c>
      <c r="W138" s="41">
        <v>0</v>
      </c>
      <c r="X138" s="41">
        <v>0</v>
      </c>
      <c r="Y138" s="70">
        <f t="shared" si="29"/>
        <v>0</v>
      </c>
      <c r="Z138" s="41">
        <v>100</v>
      </c>
      <c r="AA138" s="41">
        <v>5</v>
      </c>
      <c r="AB138" s="70">
        <f t="shared" si="24"/>
        <v>34545439.500000015</v>
      </c>
      <c r="AC138" s="41">
        <v>0</v>
      </c>
      <c r="AD138" s="41">
        <v>0</v>
      </c>
      <c r="AE138" s="70">
        <f t="shared" si="25"/>
        <v>0</v>
      </c>
      <c r="AF138" s="28">
        <f t="shared" si="26"/>
        <v>61566433.500000015</v>
      </c>
      <c r="AG138" s="28">
        <f t="shared" si="27"/>
        <v>59773.236407767006</v>
      </c>
    </row>
    <row r="139" spans="1:33" ht="43.2" x14ac:dyDescent="0.3">
      <c r="A139" s="41" t="s">
        <v>696</v>
      </c>
      <c r="B139" s="41" t="s">
        <v>691</v>
      </c>
      <c r="C139" s="41" t="s">
        <v>658</v>
      </c>
      <c r="D139" s="41" t="s">
        <v>41</v>
      </c>
      <c r="E139" s="41" t="s">
        <v>343</v>
      </c>
      <c r="F139" s="41" t="s">
        <v>709</v>
      </c>
      <c r="G139" s="67">
        <v>35000</v>
      </c>
      <c r="H139" s="41"/>
      <c r="I139" s="41"/>
      <c r="J139" s="67">
        <f t="shared" si="28"/>
        <v>0</v>
      </c>
      <c r="K139" s="41">
        <v>0</v>
      </c>
      <c r="L139" s="41">
        <v>0</v>
      </c>
      <c r="M139" s="70">
        <f t="shared" si="20"/>
        <v>0</v>
      </c>
      <c r="N139" s="41">
        <v>58</v>
      </c>
      <c r="O139" s="41">
        <v>5</v>
      </c>
      <c r="P139" s="70">
        <f t="shared" si="21"/>
        <v>12281500.000000002</v>
      </c>
      <c r="Q139" s="41">
        <v>0</v>
      </c>
      <c r="R139" s="41">
        <v>0</v>
      </c>
      <c r="S139" s="70">
        <f t="shared" si="22"/>
        <v>0</v>
      </c>
      <c r="T139" s="41">
        <v>30</v>
      </c>
      <c r="U139" s="41">
        <v>2</v>
      </c>
      <c r="V139" s="70">
        <f t="shared" si="23"/>
        <v>3074610.0000000009</v>
      </c>
      <c r="W139" s="41">
        <v>0</v>
      </c>
      <c r="X139" s="41">
        <v>0</v>
      </c>
      <c r="Y139" s="70">
        <f t="shared" si="29"/>
        <v>0</v>
      </c>
      <c r="Z139" s="41">
        <v>58</v>
      </c>
      <c r="AA139" s="41">
        <v>5</v>
      </c>
      <c r="AB139" s="70">
        <f t="shared" si="24"/>
        <v>17981344.15000001</v>
      </c>
      <c r="AC139" s="41">
        <v>0</v>
      </c>
      <c r="AD139" s="41">
        <v>0</v>
      </c>
      <c r="AE139" s="70">
        <f t="shared" si="25"/>
        <v>0</v>
      </c>
      <c r="AF139" s="28">
        <f t="shared" si="26"/>
        <v>33337454.150000013</v>
      </c>
      <c r="AG139" s="28">
        <f t="shared" si="27"/>
        <v>32366.460339805839</v>
      </c>
    </row>
    <row r="140" spans="1:33" ht="43.2" x14ac:dyDescent="0.3">
      <c r="A140" s="41" t="s">
        <v>696</v>
      </c>
      <c r="B140" s="41" t="s">
        <v>691</v>
      </c>
      <c r="C140" s="41" t="s">
        <v>658</v>
      </c>
      <c r="D140" s="41" t="s">
        <v>41</v>
      </c>
      <c r="E140" s="41" t="s">
        <v>343</v>
      </c>
      <c r="F140" s="41" t="s">
        <v>712</v>
      </c>
      <c r="G140" s="67">
        <f>1999.2/7</f>
        <v>285.60000000000002</v>
      </c>
      <c r="H140" s="41"/>
      <c r="I140" s="41"/>
      <c r="J140" s="67">
        <f t="shared" si="28"/>
        <v>0</v>
      </c>
      <c r="K140" s="41">
        <v>0</v>
      </c>
      <c r="L140" s="41">
        <v>0</v>
      </c>
      <c r="M140" s="70">
        <f t="shared" si="20"/>
        <v>0</v>
      </c>
      <c r="N140" s="41">
        <f>2*25*29</f>
        <v>1450</v>
      </c>
      <c r="O140" s="41">
        <v>5</v>
      </c>
      <c r="P140" s="70">
        <f t="shared" si="21"/>
        <v>2505426.0000000005</v>
      </c>
      <c r="Q140" s="41">
        <v>0</v>
      </c>
      <c r="R140" s="41">
        <v>0</v>
      </c>
      <c r="S140" s="70">
        <f t="shared" si="22"/>
        <v>0</v>
      </c>
      <c r="T140" s="41">
        <v>4000</v>
      </c>
      <c r="U140" s="41">
        <v>1</v>
      </c>
      <c r="V140" s="70">
        <f t="shared" si="23"/>
        <v>1672587.8400000005</v>
      </c>
      <c r="W140" s="41">
        <v>0</v>
      </c>
      <c r="X140" s="41">
        <v>0</v>
      </c>
      <c r="Y140" s="70">
        <f t="shared" si="29"/>
        <v>0</v>
      </c>
      <c r="Z140" s="41">
        <f>2*25*29</f>
        <v>1450</v>
      </c>
      <c r="AA140" s="41">
        <v>5</v>
      </c>
      <c r="AB140" s="70">
        <f t="shared" si="24"/>
        <v>3668194.206600002</v>
      </c>
      <c r="AC140" s="41">
        <v>0</v>
      </c>
      <c r="AD140" s="41">
        <v>0</v>
      </c>
      <c r="AE140" s="70">
        <f t="shared" si="25"/>
        <v>0</v>
      </c>
      <c r="AF140" s="28">
        <f t="shared" si="26"/>
        <v>7846208.0466000028</v>
      </c>
      <c r="AG140" s="28">
        <f t="shared" si="27"/>
        <v>7617.6777151456336</v>
      </c>
    </row>
    <row r="141" spans="1:33" ht="43.2" x14ac:dyDescent="0.3">
      <c r="A141" s="41" t="s">
        <v>696</v>
      </c>
      <c r="B141" s="41" t="s">
        <v>691</v>
      </c>
      <c r="C141" s="41" t="s">
        <v>658</v>
      </c>
      <c r="D141" s="41" t="s">
        <v>41</v>
      </c>
      <c r="E141" s="41" t="s">
        <v>343</v>
      </c>
      <c r="F141" s="41" t="s">
        <v>1299</v>
      </c>
      <c r="G141" s="67">
        <f>1999.2/7</f>
        <v>285.60000000000002</v>
      </c>
      <c r="H141" s="41"/>
      <c r="I141" s="41"/>
      <c r="J141" s="67">
        <f t="shared" si="28"/>
        <v>0</v>
      </c>
      <c r="K141" s="41"/>
      <c r="L141" s="41"/>
      <c r="M141" s="70">
        <f t="shared" si="20"/>
        <v>0</v>
      </c>
      <c r="N141" s="41">
        <v>22500</v>
      </c>
      <c r="O141" s="41">
        <v>1</v>
      </c>
      <c r="P141" s="70">
        <f t="shared" si="21"/>
        <v>7775460.0000000019</v>
      </c>
      <c r="Q141" s="41"/>
      <c r="R141" s="41"/>
      <c r="S141" s="70">
        <f t="shared" si="22"/>
        <v>0</v>
      </c>
      <c r="T141" s="41"/>
      <c r="U141" s="41"/>
      <c r="V141" s="70">
        <f t="shared" si="23"/>
        <v>0</v>
      </c>
      <c r="W141" s="41"/>
      <c r="X141" s="41"/>
      <c r="Y141" s="70">
        <f t="shared" si="29"/>
        <v>0</v>
      </c>
      <c r="Z141" s="41">
        <v>22500</v>
      </c>
      <c r="AA141" s="41">
        <v>1</v>
      </c>
      <c r="AB141" s="70">
        <f t="shared" si="24"/>
        <v>11384050.986000007</v>
      </c>
      <c r="AC141" s="41"/>
      <c r="AD141" s="41"/>
      <c r="AE141" s="70">
        <f t="shared" si="25"/>
        <v>0</v>
      </c>
      <c r="AF141" s="28">
        <f t="shared" si="26"/>
        <v>19159510.986000009</v>
      </c>
      <c r="AG141" s="28">
        <f t="shared" si="27"/>
        <v>18601.466976699037</v>
      </c>
    </row>
    <row r="142" spans="1:33" ht="43.2" x14ac:dyDescent="0.3">
      <c r="A142" s="41" t="s">
        <v>696</v>
      </c>
      <c r="B142" s="41" t="s">
        <v>691</v>
      </c>
      <c r="C142" s="41" t="s">
        <v>658</v>
      </c>
      <c r="D142" s="41" t="s">
        <v>41</v>
      </c>
      <c r="E142" s="41" t="s">
        <v>344</v>
      </c>
      <c r="F142" s="41" t="s">
        <v>709</v>
      </c>
      <c r="G142" s="67">
        <v>35000</v>
      </c>
      <c r="H142" s="41"/>
      <c r="I142" s="41"/>
      <c r="J142" s="67">
        <f t="shared" si="28"/>
        <v>0</v>
      </c>
      <c r="K142" s="41">
        <v>0</v>
      </c>
      <c r="L142" s="41">
        <v>0</v>
      </c>
      <c r="M142" s="70">
        <f t="shared" si="20"/>
        <v>0</v>
      </c>
      <c r="N142" s="41">
        <v>50</v>
      </c>
      <c r="O142" s="41">
        <v>1</v>
      </c>
      <c r="P142" s="70">
        <f t="shared" si="21"/>
        <v>2117500.0000000005</v>
      </c>
      <c r="Q142" s="41">
        <v>0</v>
      </c>
      <c r="R142" s="41">
        <v>0</v>
      </c>
      <c r="S142" s="70">
        <f t="shared" si="22"/>
        <v>0</v>
      </c>
      <c r="T142" s="41">
        <v>30</v>
      </c>
      <c r="U142" s="41">
        <v>1</v>
      </c>
      <c r="V142" s="70">
        <f t="shared" si="23"/>
        <v>1537305.0000000005</v>
      </c>
      <c r="W142" s="41">
        <v>0</v>
      </c>
      <c r="X142" s="41">
        <v>0</v>
      </c>
      <c r="Y142" s="70">
        <f t="shared" si="29"/>
        <v>0</v>
      </c>
      <c r="Z142" s="41">
        <v>50</v>
      </c>
      <c r="AA142" s="41">
        <v>1</v>
      </c>
      <c r="AB142" s="70">
        <f t="shared" si="24"/>
        <v>3100231.7500000014</v>
      </c>
      <c r="AC142" s="41">
        <v>0</v>
      </c>
      <c r="AD142" s="41">
        <v>0</v>
      </c>
      <c r="AE142" s="70">
        <f t="shared" si="25"/>
        <v>0</v>
      </c>
      <c r="AF142" s="28">
        <f t="shared" si="26"/>
        <v>6755036.7500000019</v>
      </c>
      <c r="AG142" s="28">
        <f t="shared" si="27"/>
        <v>6558.288106796118</v>
      </c>
    </row>
    <row r="143" spans="1:33" ht="43.2" x14ac:dyDescent="0.3">
      <c r="A143" s="41" t="s">
        <v>696</v>
      </c>
      <c r="B143" s="41" t="s">
        <v>691</v>
      </c>
      <c r="C143" s="41" t="s">
        <v>658</v>
      </c>
      <c r="D143" s="41" t="s">
        <v>41</v>
      </c>
      <c r="E143" s="41" t="s">
        <v>266</v>
      </c>
      <c r="F143" s="41" t="s">
        <v>718</v>
      </c>
      <c r="G143" s="67">
        <v>0</v>
      </c>
      <c r="H143" s="41">
        <v>0</v>
      </c>
      <c r="I143" s="41">
        <v>0</v>
      </c>
      <c r="J143" s="67">
        <f t="shared" si="28"/>
        <v>0</v>
      </c>
      <c r="K143" s="41">
        <v>0</v>
      </c>
      <c r="L143" s="41">
        <v>0</v>
      </c>
      <c r="M143" s="70">
        <f t="shared" si="20"/>
        <v>0</v>
      </c>
      <c r="N143" s="41">
        <v>0</v>
      </c>
      <c r="O143" s="41">
        <v>0</v>
      </c>
      <c r="P143" s="70">
        <f t="shared" si="21"/>
        <v>0</v>
      </c>
      <c r="Q143" s="41">
        <v>0</v>
      </c>
      <c r="R143" s="41">
        <v>0</v>
      </c>
      <c r="S143" s="70">
        <f t="shared" si="22"/>
        <v>0</v>
      </c>
      <c r="T143" s="41">
        <v>0</v>
      </c>
      <c r="U143" s="41">
        <v>0</v>
      </c>
      <c r="V143" s="70">
        <f t="shared" si="23"/>
        <v>0</v>
      </c>
      <c r="W143" s="41">
        <v>0</v>
      </c>
      <c r="X143" s="41">
        <v>0</v>
      </c>
      <c r="Y143" s="70">
        <f t="shared" si="29"/>
        <v>0</v>
      </c>
      <c r="Z143" s="41">
        <v>0</v>
      </c>
      <c r="AA143" s="41">
        <v>0</v>
      </c>
      <c r="AB143" s="70">
        <f t="shared" si="24"/>
        <v>0</v>
      </c>
      <c r="AC143" s="41">
        <v>0</v>
      </c>
      <c r="AD143" s="41">
        <v>0</v>
      </c>
      <c r="AE143" s="70">
        <f t="shared" si="25"/>
        <v>0</v>
      </c>
      <c r="AF143" s="28">
        <f t="shared" si="26"/>
        <v>0</v>
      </c>
      <c r="AG143" s="28">
        <f t="shared" si="27"/>
        <v>0</v>
      </c>
    </row>
    <row r="144" spans="1:33" ht="43.2" x14ac:dyDescent="0.3">
      <c r="A144" s="41" t="s">
        <v>696</v>
      </c>
      <c r="B144" s="41" t="s">
        <v>691</v>
      </c>
      <c r="C144" s="41" t="s">
        <v>658</v>
      </c>
      <c r="D144" s="41" t="s">
        <v>42</v>
      </c>
      <c r="E144" s="41" t="s">
        <v>345</v>
      </c>
      <c r="F144" s="41" t="s">
        <v>716</v>
      </c>
      <c r="G144" s="67">
        <v>39000</v>
      </c>
      <c r="H144" s="41"/>
      <c r="I144" s="41"/>
      <c r="J144" s="67">
        <f t="shared" si="28"/>
        <v>0</v>
      </c>
      <c r="K144" s="41">
        <v>30</v>
      </c>
      <c r="L144" s="41">
        <v>5</v>
      </c>
      <c r="M144" s="70">
        <f t="shared" si="20"/>
        <v>6435000</v>
      </c>
      <c r="N144" s="41">
        <v>25</v>
      </c>
      <c r="O144" s="41">
        <f>6*3</f>
        <v>18</v>
      </c>
      <c r="P144" s="70">
        <f t="shared" si="21"/>
        <v>21235500.000000004</v>
      </c>
      <c r="Q144" s="41">
        <v>0</v>
      </c>
      <c r="R144" s="41">
        <v>0</v>
      </c>
      <c r="S144" s="70">
        <f t="shared" si="22"/>
        <v>0</v>
      </c>
      <c r="T144" s="41">
        <v>0</v>
      </c>
      <c r="U144" s="41">
        <v>0</v>
      </c>
      <c r="V144" s="70">
        <f t="shared" si="23"/>
        <v>0</v>
      </c>
      <c r="W144" s="41">
        <v>0</v>
      </c>
      <c r="X144" s="41">
        <v>0</v>
      </c>
      <c r="Y144" s="70">
        <f t="shared" si="29"/>
        <v>0</v>
      </c>
      <c r="Z144" s="41">
        <v>0</v>
      </c>
      <c r="AA144" s="41">
        <v>0</v>
      </c>
      <c r="AB144" s="70">
        <f t="shared" si="24"/>
        <v>0</v>
      </c>
      <c r="AC144" s="41">
        <v>0</v>
      </c>
      <c r="AD144" s="41">
        <v>0</v>
      </c>
      <c r="AE144" s="70">
        <f t="shared" si="25"/>
        <v>0</v>
      </c>
      <c r="AF144" s="28">
        <f t="shared" si="26"/>
        <v>27670500.000000004</v>
      </c>
      <c r="AG144" s="28">
        <f t="shared" si="27"/>
        <v>26864.563106796119</v>
      </c>
    </row>
    <row r="145" spans="1:33" ht="43.2" x14ac:dyDescent="0.3">
      <c r="A145" s="41" t="s">
        <v>696</v>
      </c>
      <c r="B145" s="41" t="s">
        <v>691</v>
      </c>
      <c r="C145" s="41" t="s">
        <v>658</v>
      </c>
      <c r="D145" s="41" t="s">
        <v>42</v>
      </c>
      <c r="E145" s="41" t="s">
        <v>345</v>
      </c>
      <c r="F145" s="41" t="s">
        <v>709</v>
      </c>
      <c r="G145" s="67">
        <v>35000</v>
      </c>
      <c r="H145" s="41"/>
      <c r="I145" s="41"/>
      <c r="J145" s="67">
        <f t="shared" si="28"/>
        <v>0</v>
      </c>
      <c r="K145" s="41">
        <v>30</v>
      </c>
      <c r="L145" s="41">
        <v>5</v>
      </c>
      <c r="M145" s="70">
        <f t="shared" si="20"/>
        <v>5775000</v>
      </c>
      <c r="N145" s="41">
        <v>25</v>
      </c>
      <c r="O145" s="41">
        <f>5*3</f>
        <v>15</v>
      </c>
      <c r="P145" s="70">
        <f t="shared" si="21"/>
        <v>15881250.000000004</v>
      </c>
      <c r="Q145" s="41">
        <v>0</v>
      </c>
      <c r="R145" s="41">
        <v>0</v>
      </c>
      <c r="S145" s="70">
        <f t="shared" si="22"/>
        <v>0</v>
      </c>
      <c r="T145" s="41">
        <v>0</v>
      </c>
      <c r="U145" s="41">
        <v>0</v>
      </c>
      <c r="V145" s="70">
        <f t="shared" si="23"/>
        <v>0</v>
      </c>
      <c r="W145" s="41">
        <v>0</v>
      </c>
      <c r="X145" s="41">
        <v>0</v>
      </c>
      <c r="Y145" s="70">
        <f t="shared" si="29"/>
        <v>0</v>
      </c>
      <c r="Z145" s="41">
        <v>0</v>
      </c>
      <c r="AA145" s="41">
        <v>0</v>
      </c>
      <c r="AB145" s="70">
        <f t="shared" si="24"/>
        <v>0</v>
      </c>
      <c r="AC145" s="41">
        <v>0</v>
      </c>
      <c r="AD145" s="41">
        <v>0</v>
      </c>
      <c r="AE145" s="70">
        <f t="shared" si="25"/>
        <v>0</v>
      </c>
      <c r="AF145" s="28">
        <f t="shared" si="26"/>
        <v>21656250.000000004</v>
      </c>
      <c r="AG145" s="28">
        <f t="shared" si="27"/>
        <v>21025.485436893206</v>
      </c>
    </row>
    <row r="146" spans="1:33" ht="43.2" x14ac:dyDescent="0.3">
      <c r="A146" s="41" t="s">
        <v>696</v>
      </c>
      <c r="B146" s="41" t="s">
        <v>691</v>
      </c>
      <c r="C146" s="41" t="s">
        <v>658</v>
      </c>
      <c r="D146" s="41" t="s">
        <v>42</v>
      </c>
      <c r="E146" s="41" t="s">
        <v>345</v>
      </c>
      <c r="F146" s="41" t="s">
        <v>712</v>
      </c>
      <c r="G146" s="67">
        <f>1999.2/7</f>
        <v>285.60000000000002</v>
      </c>
      <c r="H146" s="41"/>
      <c r="I146" s="41"/>
      <c r="J146" s="67">
        <f t="shared" si="28"/>
        <v>0</v>
      </c>
      <c r="K146" s="41">
        <v>8000</v>
      </c>
      <c r="L146" s="41">
        <v>1</v>
      </c>
      <c r="M146" s="70">
        <f t="shared" si="20"/>
        <v>2513280</v>
      </c>
      <c r="N146" s="41">
        <f>2*25*9</f>
        <v>450</v>
      </c>
      <c r="O146" s="41">
        <f>5*3</f>
        <v>15</v>
      </c>
      <c r="P146" s="70">
        <f t="shared" si="21"/>
        <v>2332638.0000000005</v>
      </c>
      <c r="Q146" s="41">
        <v>0</v>
      </c>
      <c r="R146" s="41">
        <v>0</v>
      </c>
      <c r="S146" s="70">
        <f t="shared" si="22"/>
        <v>0</v>
      </c>
      <c r="T146" s="41">
        <v>0</v>
      </c>
      <c r="U146" s="41">
        <v>0</v>
      </c>
      <c r="V146" s="70">
        <f t="shared" si="23"/>
        <v>0</v>
      </c>
      <c r="W146" s="41">
        <v>0</v>
      </c>
      <c r="X146" s="41">
        <v>0</v>
      </c>
      <c r="Y146" s="70">
        <f t="shared" si="29"/>
        <v>0</v>
      </c>
      <c r="Z146" s="41">
        <v>0</v>
      </c>
      <c r="AA146" s="41">
        <v>0</v>
      </c>
      <c r="AB146" s="70">
        <f t="shared" si="24"/>
        <v>0</v>
      </c>
      <c r="AC146" s="41">
        <v>0</v>
      </c>
      <c r="AD146" s="41">
        <v>0</v>
      </c>
      <c r="AE146" s="70">
        <f t="shared" si="25"/>
        <v>0</v>
      </c>
      <c r="AF146" s="28">
        <f t="shared" si="26"/>
        <v>4845918</v>
      </c>
      <c r="AG146" s="28">
        <f t="shared" si="27"/>
        <v>4704.7747572815533</v>
      </c>
    </row>
    <row r="147" spans="1:33" ht="43.2" x14ac:dyDescent="0.3">
      <c r="A147" s="41" t="s">
        <v>696</v>
      </c>
      <c r="B147" s="41" t="s">
        <v>691</v>
      </c>
      <c r="C147" s="41" t="s">
        <v>658</v>
      </c>
      <c r="D147" s="41" t="s">
        <v>42</v>
      </c>
      <c r="E147" s="41" t="s">
        <v>345</v>
      </c>
      <c r="F147" s="41" t="s">
        <v>1299</v>
      </c>
      <c r="G147" s="67">
        <f>1999.2/7</f>
        <v>285.60000000000002</v>
      </c>
      <c r="H147" s="41"/>
      <c r="I147" s="41"/>
      <c r="J147" s="67">
        <f t="shared" si="28"/>
        <v>0</v>
      </c>
      <c r="K147" s="41"/>
      <c r="L147" s="41"/>
      <c r="M147" s="70">
        <f t="shared" si="20"/>
        <v>0</v>
      </c>
      <c r="N147" s="41">
        <f>2*135*9</f>
        <v>2430</v>
      </c>
      <c r="O147" s="41">
        <v>3</v>
      </c>
      <c r="P147" s="70">
        <f t="shared" si="21"/>
        <v>2519249.0400000005</v>
      </c>
      <c r="Q147" s="41"/>
      <c r="R147" s="41"/>
      <c r="S147" s="70">
        <f t="shared" si="22"/>
        <v>0</v>
      </c>
      <c r="T147" s="41"/>
      <c r="U147" s="41"/>
      <c r="V147" s="70">
        <f t="shared" si="23"/>
        <v>0</v>
      </c>
      <c r="W147" s="41"/>
      <c r="X147" s="41"/>
      <c r="Y147" s="70">
        <f t="shared" si="29"/>
        <v>0</v>
      </c>
      <c r="Z147" s="41"/>
      <c r="AA147" s="41"/>
      <c r="AB147" s="70">
        <f t="shared" si="24"/>
        <v>0</v>
      </c>
      <c r="AC147" s="41"/>
      <c r="AD147" s="41"/>
      <c r="AE147" s="70">
        <f t="shared" si="25"/>
        <v>0</v>
      </c>
      <c r="AF147" s="28">
        <f t="shared" si="26"/>
        <v>2519249.0400000005</v>
      </c>
      <c r="AG147" s="28">
        <f t="shared" si="27"/>
        <v>2445.8728543689326</v>
      </c>
    </row>
    <row r="148" spans="1:33" ht="43.2" x14ac:dyDescent="0.3">
      <c r="A148" s="41" t="s">
        <v>696</v>
      </c>
      <c r="B148" s="41" t="s">
        <v>691</v>
      </c>
      <c r="C148" s="41" t="s">
        <v>658</v>
      </c>
      <c r="D148" s="41" t="s">
        <v>43</v>
      </c>
      <c r="E148" s="41" t="s">
        <v>346</v>
      </c>
      <c r="F148" s="41" t="s">
        <v>718</v>
      </c>
      <c r="G148" s="67">
        <v>0</v>
      </c>
      <c r="H148" s="41"/>
      <c r="I148" s="41"/>
      <c r="J148" s="67">
        <f t="shared" si="28"/>
        <v>0</v>
      </c>
      <c r="K148" s="41">
        <v>0</v>
      </c>
      <c r="L148" s="41">
        <v>0</v>
      </c>
      <c r="M148" s="70">
        <f t="shared" si="20"/>
        <v>0</v>
      </c>
      <c r="N148" s="41">
        <v>0</v>
      </c>
      <c r="O148" s="41">
        <v>0</v>
      </c>
      <c r="P148" s="70">
        <f t="shared" si="21"/>
        <v>0</v>
      </c>
      <c r="Q148" s="41">
        <v>0</v>
      </c>
      <c r="R148" s="41">
        <v>0</v>
      </c>
      <c r="S148" s="70">
        <f t="shared" si="22"/>
        <v>0</v>
      </c>
      <c r="T148" s="41">
        <v>0</v>
      </c>
      <c r="U148" s="41">
        <v>0</v>
      </c>
      <c r="V148" s="70">
        <f t="shared" si="23"/>
        <v>0</v>
      </c>
      <c r="W148" s="41">
        <v>0</v>
      </c>
      <c r="X148" s="41">
        <v>0</v>
      </c>
      <c r="Y148" s="70">
        <f t="shared" si="29"/>
        <v>0</v>
      </c>
      <c r="Z148" s="41">
        <v>0</v>
      </c>
      <c r="AA148" s="41">
        <v>0</v>
      </c>
      <c r="AB148" s="70">
        <f t="shared" si="24"/>
        <v>0</v>
      </c>
      <c r="AC148" s="41">
        <v>0</v>
      </c>
      <c r="AD148" s="41">
        <v>0</v>
      </c>
      <c r="AE148" s="70">
        <f t="shared" si="25"/>
        <v>0</v>
      </c>
      <c r="AF148" s="28">
        <f t="shared" si="26"/>
        <v>0</v>
      </c>
      <c r="AG148" s="28">
        <f t="shared" si="27"/>
        <v>0</v>
      </c>
    </row>
    <row r="149" spans="1:33" ht="43.2" x14ac:dyDescent="0.3">
      <c r="A149" s="41" t="s">
        <v>696</v>
      </c>
      <c r="B149" s="41" t="s">
        <v>691</v>
      </c>
      <c r="C149" s="41" t="s">
        <v>658</v>
      </c>
      <c r="D149" s="41" t="s">
        <v>43</v>
      </c>
      <c r="E149" s="41" t="s">
        <v>347</v>
      </c>
      <c r="F149" s="41" t="s">
        <v>713</v>
      </c>
      <c r="G149" s="67">
        <v>45000</v>
      </c>
      <c r="H149" s="41">
        <v>29</v>
      </c>
      <c r="I149" s="41">
        <v>2</v>
      </c>
      <c r="J149" s="67">
        <f t="shared" si="28"/>
        <v>2610000</v>
      </c>
      <c r="K149" s="41">
        <v>0</v>
      </c>
      <c r="L149" s="41">
        <v>0</v>
      </c>
      <c r="M149" s="70">
        <f t="shared" si="20"/>
        <v>0</v>
      </c>
      <c r="N149" s="41">
        <v>0</v>
      </c>
      <c r="O149" s="41">
        <v>0</v>
      </c>
      <c r="P149" s="70">
        <f t="shared" si="21"/>
        <v>0</v>
      </c>
      <c r="Q149" s="41">
        <v>0</v>
      </c>
      <c r="R149" s="41">
        <v>0</v>
      </c>
      <c r="S149" s="70">
        <f t="shared" si="22"/>
        <v>0</v>
      </c>
      <c r="T149" s="41">
        <v>15</v>
      </c>
      <c r="U149" s="41">
        <v>10</v>
      </c>
      <c r="V149" s="70">
        <f t="shared" si="23"/>
        <v>9882675.0000000019</v>
      </c>
      <c r="W149" s="41">
        <v>0</v>
      </c>
      <c r="X149" s="41">
        <v>0</v>
      </c>
      <c r="Y149" s="70">
        <f t="shared" si="29"/>
        <v>0</v>
      </c>
      <c r="Z149" s="41">
        <v>0</v>
      </c>
      <c r="AA149" s="41">
        <v>0</v>
      </c>
      <c r="AB149" s="70">
        <f t="shared" si="24"/>
        <v>0</v>
      </c>
      <c r="AC149" s="41">
        <v>0</v>
      </c>
      <c r="AD149" s="41">
        <v>0</v>
      </c>
      <c r="AE149" s="70">
        <f t="shared" si="25"/>
        <v>0</v>
      </c>
      <c r="AF149" s="28">
        <f t="shared" si="26"/>
        <v>12492675.000000002</v>
      </c>
      <c r="AG149" s="28">
        <f t="shared" si="27"/>
        <v>12128.810679611652</v>
      </c>
    </row>
    <row r="150" spans="1:33" ht="43.2" x14ac:dyDescent="0.3">
      <c r="A150" s="41" t="s">
        <v>696</v>
      </c>
      <c r="B150" s="41" t="s">
        <v>691</v>
      </c>
      <c r="C150" s="41" t="s">
        <v>658</v>
      </c>
      <c r="D150" s="41" t="s">
        <v>43</v>
      </c>
      <c r="E150" s="41" t="s">
        <v>347</v>
      </c>
      <c r="F150" s="41" t="s">
        <v>712</v>
      </c>
      <c r="G150" s="67">
        <f>1999.2/7</f>
        <v>285.60000000000002</v>
      </c>
      <c r="H150" s="41">
        <v>22500</v>
      </c>
      <c r="I150" s="41">
        <v>2</v>
      </c>
      <c r="J150" s="67">
        <f t="shared" si="28"/>
        <v>12852000.000000002</v>
      </c>
      <c r="K150" s="41">
        <v>0</v>
      </c>
      <c r="L150" s="41">
        <v>0</v>
      </c>
      <c r="M150" s="70">
        <f t="shared" si="20"/>
        <v>0</v>
      </c>
      <c r="N150" s="41">
        <v>0</v>
      </c>
      <c r="O150" s="41">
        <v>0</v>
      </c>
      <c r="P150" s="70">
        <f t="shared" si="21"/>
        <v>0</v>
      </c>
      <c r="Q150" s="41">
        <v>0</v>
      </c>
      <c r="R150" s="41">
        <v>0</v>
      </c>
      <c r="S150" s="70">
        <f t="shared" si="22"/>
        <v>0</v>
      </c>
      <c r="T150" s="41">
        <v>8000</v>
      </c>
      <c r="U150" s="41">
        <v>1</v>
      </c>
      <c r="V150" s="70">
        <f t="shared" si="23"/>
        <v>3345175.6800000011</v>
      </c>
      <c r="W150" s="41">
        <v>0</v>
      </c>
      <c r="X150" s="41">
        <v>0</v>
      </c>
      <c r="Y150" s="70">
        <f t="shared" si="29"/>
        <v>0</v>
      </c>
      <c r="Z150" s="41">
        <v>0</v>
      </c>
      <c r="AA150" s="41">
        <v>0</v>
      </c>
      <c r="AB150" s="70">
        <f t="shared" si="24"/>
        <v>0</v>
      </c>
      <c r="AC150" s="41">
        <v>0</v>
      </c>
      <c r="AD150" s="41">
        <v>0</v>
      </c>
      <c r="AE150" s="70">
        <f t="shared" si="25"/>
        <v>0</v>
      </c>
      <c r="AF150" s="28">
        <f t="shared" si="26"/>
        <v>16197175.680000003</v>
      </c>
      <c r="AG150" s="28">
        <f t="shared" si="27"/>
        <v>15725.413281553401</v>
      </c>
    </row>
    <row r="151" spans="1:33" ht="43.2" x14ac:dyDescent="0.3">
      <c r="A151" s="41" t="s">
        <v>696</v>
      </c>
      <c r="B151" s="41" t="s">
        <v>691</v>
      </c>
      <c r="C151" s="41" t="s">
        <v>658</v>
      </c>
      <c r="D151" s="41" t="s">
        <v>43</v>
      </c>
      <c r="E151" s="41" t="s">
        <v>347</v>
      </c>
      <c r="F151" s="41" t="s">
        <v>1299</v>
      </c>
      <c r="G151" s="67">
        <f>1999.2/7</f>
        <v>285.60000000000002</v>
      </c>
      <c r="H151" s="41">
        <v>90000</v>
      </c>
      <c r="I151" s="41">
        <v>1</v>
      </c>
      <c r="J151" s="67">
        <f t="shared" si="28"/>
        <v>25704000.000000004</v>
      </c>
      <c r="K151" s="41"/>
      <c r="L151" s="41"/>
      <c r="M151" s="70">
        <f t="shared" si="20"/>
        <v>0</v>
      </c>
      <c r="N151" s="41"/>
      <c r="O151" s="41"/>
      <c r="P151" s="70">
        <f t="shared" si="21"/>
        <v>0</v>
      </c>
      <c r="Q151" s="41"/>
      <c r="R151" s="41"/>
      <c r="S151" s="70">
        <f t="shared" si="22"/>
        <v>0</v>
      </c>
      <c r="T151" s="41"/>
      <c r="U151" s="41"/>
      <c r="V151" s="70">
        <f t="shared" si="23"/>
        <v>0</v>
      </c>
      <c r="W151" s="41"/>
      <c r="X151" s="41"/>
      <c r="Y151" s="70">
        <f t="shared" si="29"/>
        <v>0</v>
      </c>
      <c r="Z151" s="41"/>
      <c r="AA151" s="41"/>
      <c r="AB151" s="70">
        <f t="shared" si="24"/>
        <v>0</v>
      </c>
      <c r="AC151" s="41"/>
      <c r="AD151" s="41"/>
      <c r="AE151" s="70">
        <f t="shared" si="25"/>
        <v>0</v>
      </c>
      <c r="AF151" s="28">
        <f t="shared" si="26"/>
        <v>25704000.000000004</v>
      </c>
      <c r="AG151" s="28">
        <f t="shared" si="27"/>
        <v>24955.339805825246</v>
      </c>
    </row>
    <row r="152" spans="1:33" ht="43.2" x14ac:dyDescent="0.3">
      <c r="A152" s="41" t="s">
        <v>696</v>
      </c>
      <c r="B152" s="41" t="s">
        <v>691</v>
      </c>
      <c r="C152" s="41" t="s">
        <v>658</v>
      </c>
      <c r="D152" s="41" t="s">
        <v>43</v>
      </c>
      <c r="E152" s="41" t="s">
        <v>348</v>
      </c>
      <c r="F152" s="41" t="s">
        <v>709</v>
      </c>
      <c r="G152" s="67">
        <v>35000</v>
      </c>
      <c r="H152" s="41">
        <v>100</v>
      </c>
      <c r="I152" s="41">
        <v>2</v>
      </c>
      <c r="J152" s="67">
        <f t="shared" si="28"/>
        <v>7000000</v>
      </c>
      <c r="K152" s="41">
        <v>0</v>
      </c>
      <c r="L152" s="41">
        <v>0</v>
      </c>
      <c r="M152" s="70">
        <f t="shared" si="20"/>
        <v>0</v>
      </c>
      <c r="N152" s="41">
        <v>0</v>
      </c>
      <c r="O152" s="41">
        <v>0</v>
      </c>
      <c r="P152" s="70">
        <f t="shared" si="21"/>
        <v>0</v>
      </c>
      <c r="Q152" s="41">
        <v>0</v>
      </c>
      <c r="R152" s="41">
        <v>0</v>
      </c>
      <c r="S152" s="70">
        <f t="shared" si="22"/>
        <v>0</v>
      </c>
      <c r="T152" s="41">
        <v>0</v>
      </c>
      <c r="U152" s="41">
        <v>0</v>
      </c>
      <c r="V152" s="70">
        <f t="shared" si="23"/>
        <v>0</v>
      </c>
      <c r="W152" s="41">
        <v>0</v>
      </c>
      <c r="X152" s="41">
        <v>0</v>
      </c>
      <c r="Y152" s="70">
        <f t="shared" si="29"/>
        <v>0</v>
      </c>
      <c r="Z152" s="41">
        <v>0</v>
      </c>
      <c r="AA152" s="41">
        <v>0</v>
      </c>
      <c r="AB152" s="70">
        <f t="shared" si="24"/>
        <v>0</v>
      </c>
      <c r="AC152" s="41">
        <v>0</v>
      </c>
      <c r="AD152" s="41">
        <v>0</v>
      </c>
      <c r="AE152" s="70">
        <f t="shared" si="25"/>
        <v>0</v>
      </c>
      <c r="AF152" s="28">
        <f t="shared" si="26"/>
        <v>7000000</v>
      </c>
      <c r="AG152" s="28">
        <f t="shared" si="27"/>
        <v>6796.1165048543689</v>
      </c>
    </row>
    <row r="153" spans="1:33" ht="43.2" x14ac:dyDescent="0.3">
      <c r="A153" s="41" t="s">
        <v>696</v>
      </c>
      <c r="B153" s="41" t="s">
        <v>691</v>
      </c>
      <c r="C153" s="41" t="s">
        <v>658</v>
      </c>
      <c r="D153" s="41" t="s">
        <v>43</v>
      </c>
      <c r="E153" s="41" t="s">
        <v>350</v>
      </c>
      <c r="F153" s="41" t="s">
        <v>718</v>
      </c>
      <c r="G153" s="67">
        <v>0</v>
      </c>
      <c r="H153" s="41">
        <v>0</v>
      </c>
      <c r="I153" s="41">
        <v>0</v>
      </c>
      <c r="J153" s="67">
        <f t="shared" si="28"/>
        <v>0</v>
      </c>
      <c r="K153" s="41">
        <v>0</v>
      </c>
      <c r="L153" s="41">
        <v>0</v>
      </c>
      <c r="M153" s="70">
        <f t="shared" si="20"/>
        <v>0</v>
      </c>
      <c r="N153" s="41">
        <v>0</v>
      </c>
      <c r="O153" s="41">
        <v>0</v>
      </c>
      <c r="P153" s="70">
        <f t="shared" si="21"/>
        <v>0</v>
      </c>
      <c r="Q153" s="41">
        <v>0</v>
      </c>
      <c r="R153" s="41">
        <v>0</v>
      </c>
      <c r="S153" s="70">
        <f t="shared" si="22"/>
        <v>0</v>
      </c>
      <c r="T153" s="41">
        <v>0</v>
      </c>
      <c r="U153" s="41">
        <v>0</v>
      </c>
      <c r="V153" s="70">
        <f t="shared" si="23"/>
        <v>0</v>
      </c>
      <c r="W153" s="41">
        <v>0</v>
      </c>
      <c r="X153" s="41">
        <v>0</v>
      </c>
      <c r="Y153" s="70">
        <f t="shared" si="29"/>
        <v>0</v>
      </c>
      <c r="Z153" s="41">
        <v>0</v>
      </c>
      <c r="AA153" s="41">
        <v>0</v>
      </c>
      <c r="AB153" s="70">
        <f t="shared" si="24"/>
        <v>0</v>
      </c>
      <c r="AC153" s="41">
        <v>0</v>
      </c>
      <c r="AD153" s="41">
        <v>0</v>
      </c>
      <c r="AE153" s="70">
        <f t="shared" si="25"/>
        <v>0</v>
      </c>
      <c r="AF153" s="28">
        <f t="shared" si="26"/>
        <v>0</v>
      </c>
      <c r="AG153" s="28">
        <f t="shared" si="27"/>
        <v>0</v>
      </c>
    </row>
    <row r="154" spans="1:33" ht="43.2" x14ac:dyDescent="0.3">
      <c r="A154" s="41" t="s">
        <v>696</v>
      </c>
      <c r="B154" s="41" t="s">
        <v>691</v>
      </c>
      <c r="C154" s="41" t="s">
        <v>658</v>
      </c>
      <c r="D154" s="41" t="s">
        <v>43</v>
      </c>
      <c r="E154" s="41" t="s">
        <v>352</v>
      </c>
      <c r="F154" s="41" t="s">
        <v>709</v>
      </c>
      <c r="G154" s="67">
        <v>35000</v>
      </c>
      <c r="H154" s="41">
        <v>30</v>
      </c>
      <c r="I154" s="41">
        <v>4</v>
      </c>
      <c r="J154" s="67">
        <f t="shared" si="28"/>
        <v>4200000</v>
      </c>
      <c r="K154" s="41">
        <v>30</v>
      </c>
      <c r="L154" s="41">
        <v>4</v>
      </c>
      <c r="M154" s="70">
        <f t="shared" si="20"/>
        <v>4620000</v>
      </c>
      <c r="N154" s="41">
        <v>0</v>
      </c>
      <c r="O154" s="41">
        <v>0</v>
      </c>
      <c r="P154" s="70">
        <f t="shared" si="21"/>
        <v>0</v>
      </c>
      <c r="Q154" s="41">
        <v>0</v>
      </c>
      <c r="R154" s="41">
        <v>0</v>
      </c>
      <c r="S154" s="70">
        <f t="shared" si="22"/>
        <v>0</v>
      </c>
      <c r="T154" s="41">
        <v>40</v>
      </c>
      <c r="U154" s="41">
        <v>4</v>
      </c>
      <c r="V154" s="70">
        <f t="shared" si="23"/>
        <v>8198960.0000000019</v>
      </c>
      <c r="W154" s="41">
        <v>0</v>
      </c>
      <c r="X154" s="41">
        <v>0</v>
      </c>
      <c r="Y154" s="70">
        <f t="shared" si="29"/>
        <v>0</v>
      </c>
      <c r="Z154" s="41">
        <v>0</v>
      </c>
      <c r="AA154" s="41">
        <v>0</v>
      </c>
      <c r="AB154" s="70">
        <f t="shared" si="24"/>
        <v>0</v>
      </c>
      <c r="AC154" s="41">
        <v>0</v>
      </c>
      <c r="AD154" s="41">
        <v>0</v>
      </c>
      <c r="AE154" s="70">
        <f t="shared" si="25"/>
        <v>0</v>
      </c>
      <c r="AF154" s="28">
        <f t="shared" si="26"/>
        <v>17018960</v>
      </c>
      <c r="AG154" s="28">
        <f t="shared" si="27"/>
        <v>16523.26213592233</v>
      </c>
    </row>
    <row r="155" spans="1:33" ht="43.2" x14ac:dyDescent="0.3">
      <c r="A155" s="41" t="s">
        <v>696</v>
      </c>
      <c r="B155" s="41" t="s">
        <v>691</v>
      </c>
      <c r="C155" s="41" t="s">
        <v>658</v>
      </c>
      <c r="D155" s="41" t="s">
        <v>43</v>
      </c>
      <c r="E155" s="41" t="s">
        <v>352</v>
      </c>
      <c r="F155" s="41" t="s">
        <v>716</v>
      </c>
      <c r="G155" s="67">
        <v>39000</v>
      </c>
      <c r="H155" s="41">
        <v>30</v>
      </c>
      <c r="I155" s="41">
        <v>4</v>
      </c>
      <c r="J155" s="67">
        <f t="shared" si="28"/>
        <v>4680000</v>
      </c>
      <c r="K155" s="41">
        <v>30</v>
      </c>
      <c r="L155" s="41">
        <v>4</v>
      </c>
      <c r="M155" s="70">
        <f t="shared" si="20"/>
        <v>5148000</v>
      </c>
      <c r="N155" s="41">
        <v>0</v>
      </c>
      <c r="O155" s="41">
        <v>0</v>
      </c>
      <c r="P155" s="70">
        <f t="shared" si="21"/>
        <v>0</v>
      </c>
      <c r="Q155" s="41">
        <v>0</v>
      </c>
      <c r="R155" s="41">
        <v>0</v>
      </c>
      <c r="S155" s="70">
        <f t="shared" si="22"/>
        <v>0</v>
      </c>
      <c r="T155" s="41">
        <v>40</v>
      </c>
      <c r="U155" s="41">
        <v>4</v>
      </c>
      <c r="V155" s="70">
        <f t="shared" si="23"/>
        <v>9135984.0000000019</v>
      </c>
      <c r="W155" s="41">
        <v>0</v>
      </c>
      <c r="X155" s="41">
        <v>0</v>
      </c>
      <c r="Y155" s="70">
        <f t="shared" si="29"/>
        <v>0</v>
      </c>
      <c r="Z155" s="41">
        <v>0</v>
      </c>
      <c r="AA155" s="41">
        <v>0</v>
      </c>
      <c r="AB155" s="70">
        <f t="shared" si="24"/>
        <v>0</v>
      </c>
      <c r="AC155" s="41">
        <v>0</v>
      </c>
      <c r="AD155" s="41">
        <v>0</v>
      </c>
      <c r="AE155" s="70">
        <f t="shared" si="25"/>
        <v>0</v>
      </c>
      <c r="AF155" s="28">
        <f t="shared" si="26"/>
        <v>18963984</v>
      </c>
      <c r="AG155" s="28">
        <f t="shared" si="27"/>
        <v>18411.634951456312</v>
      </c>
    </row>
    <row r="156" spans="1:33" ht="43.2" x14ac:dyDescent="0.3">
      <c r="A156" s="41" t="s">
        <v>696</v>
      </c>
      <c r="B156" s="41" t="s">
        <v>691</v>
      </c>
      <c r="C156" s="41" t="s">
        <v>658</v>
      </c>
      <c r="D156" s="41" t="s">
        <v>43</v>
      </c>
      <c r="E156" s="41" t="s">
        <v>352</v>
      </c>
      <c r="F156" s="41" t="s">
        <v>712</v>
      </c>
      <c r="G156" s="67">
        <f>1999.2/7</f>
        <v>285.60000000000002</v>
      </c>
      <c r="H156" s="41">
        <f>2*25*9</f>
        <v>450</v>
      </c>
      <c r="I156" s="41">
        <v>4</v>
      </c>
      <c r="J156" s="67">
        <f t="shared" si="28"/>
        <v>514080.00000000006</v>
      </c>
      <c r="K156" s="41">
        <f>2*25*9</f>
        <v>450</v>
      </c>
      <c r="L156" s="41">
        <v>4</v>
      </c>
      <c r="M156" s="70">
        <f t="shared" si="20"/>
        <v>565488</v>
      </c>
      <c r="N156" s="41">
        <v>0</v>
      </c>
      <c r="O156" s="41">
        <v>0</v>
      </c>
      <c r="P156" s="70">
        <f t="shared" si="21"/>
        <v>0</v>
      </c>
      <c r="Q156" s="41">
        <v>0</v>
      </c>
      <c r="R156" s="41">
        <v>0</v>
      </c>
      <c r="S156" s="70">
        <f t="shared" si="22"/>
        <v>0</v>
      </c>
      <c r="T156" s="41">
        <v>8000</v>
      </c>
      <c r="U156" s="41">
        <v>1</v>
      </c>
      <c r="V156" s="70">
        <f t="shared" si="23"/>
        <v>3345175.6800000011</v>
      </c>
      <c r="W156" s="41">
        <v>0</v>
      </c>
      <c r="X156" s="41">
        <v>0</v>
      </c>
      <c r="Y156" s="70">
        <f t="shared" si="29"/>
        <v>0</v>
      </c>
      <c r="Z156" s="41">
        <v>0</v>
      </c>
      <c r="AA156" s="41">
        <v>0</v>
      </c>
      <c r="AB156" s="70">
        <f t="shared" si="24"/>
        <v>0</v>
      </c>
      <c r="AC156" s="41">
        <v>0</v>
      </c>
      <c r="AD156" s="41">
        <v>0</v>
      </c>
      <c r="AE156" s="70">
        <f t="shared" si="25"/>
        <v>0</v>
      </c>
      <c r="AF156" s="28">
        <f t="shared" si="26"/>
        <v>4424743.6800000016</v>
      </c>
      <c r="AG156" s="28">
        <f t="shared" si="27"/>
        <v>4295.8676504854384</v>
      </c>
    </row>
    <row r="157" spans="1:33" ht="43.2" x14ac:dyDescent="0.3">
      <c r="A157" s="41" t="s">
        <v>696</v>
      </c>
      <c r="B157" s="41" t="s">
        <v>691</v>
      </c>
      <c r="C157" s="41" t="s">
        <v>658</v>
      </c>
      <c r="D157" s="41" t="s">
        <v>43</v>
      </c>
      <c r="E157" s="41" t="s">
        <v>352</v>
      </c>
      <c r="F157" s="41" t="s">
        <v>1299</v>
      </c>
      <c r="G157" s="67">
        <f>1999.2/7</f>
        <v>285.60000000000002</v>
      </c>
      <c r="H157" s="41">
        <f>2*135*9</f>
        <v>2430</v>
      </c>
      <c r="I157" s="41">
        <v>1</v>
      </c>
      <c r="J157" s="67">
        <f t="shared" si="28"/>
        <v>694008</v>
      </c>
      <c r="K157" s="41">
        <f>2*135*9</f>
        <v>2430</v>
      </c>
      <c r="L157" s="41">
        <v>1</v>
      </c>
      <c r="M157" s="70">
        <f t="shared" si="20"/>
        <v>763408.8</v>
      </c>
      <c r="N157" s="41"/>
      <c r="O157" s="41"/>
      <c r="P157" s="70">
        <f t="shared" si="21"/>
        <v>0</v>
      </c>
      <c r="Q157" s="41"/>
      <c r="R157" s="41"/>
      <c r="S157" s="70">
        <f t="shared" si="22"/>
        <v>0</v>
      </c>
      <c r="T157" s="41"/>
      <c r="U157" s="41"/>
      <c r="V157" s="70">
        <f t="shared" si="23"/>
        <v>0</v>
      </c>
      <c r="W157" s="41"/>
      <c r="X157" s="41"/>
      <c r="Y157" s="70">
        <f t="shared" si="29"/>
        <v>0</v>
      </c>
      <c r="Z157" s="41"/>
      <c r="AA157" s="41"/>
      <c r="AB157" s="70">
        <f t="shared" si="24"/>
        <v>0</v>
      </c>
      <c r="AC157" s="41"/>
      <c r="AD157" s="41"/>
      <c r="AE157" s="70">
        <f t="shared" si="25"/>
        <v>0</v>
      </c>
      <c r="AF157" s="28">
        <f t="shared" si="26"/>
        <v>1457416.8</v>
      </c>
      <c r="AG157" s="28">
        <f t="shared" si="27"/>
        <v>1414.9677669902912</v>
      </c>
    </row>
    <row r="158" spans="1:33" ht="43.2" x14ac:dyDescent="0.3">
      <c r="A158" s="41" t="s">
        <v>696</v>
      </c>
      <c r="B158" s="41" t="s">
        <v>691</v>
      </c>
      <c r="C158" s="41" t="s">
        <v>658</v>
      </c>
      <c r="D158" s="41" t="s">
        <v>44</v>
      </c>
      <c r="E158" s="41" t="s">
        <v>353</v>
      </c>
      <c r="F158" s="41" t="s">
        <v>716</v>
      </c>
      <c r="G158" s="67">
        <v>39000</v>
      </c>
      <c r="H158" s="41"/>
      <c r="I158" s="41"/>
      <c r="J158" s="67">
        <f t="shared" si="28"/>
        <v>0</v>
      </c>
      <c r="K158" s="41">
        <v>25</v>
      </c>
      <c r="L158" s="41">
        <f>6*4</f>
        <v>24</v>
      </c>
      <c r="M158" s="70">
        <f t="shared" si="20"/>
        <v>25740000</v>
      </c>
      <c r="N158" s="41">
        <v>200</v>
      </c>
      <c r="O158" s="41">
        <v>3</v>
      </c>
      <c r="P158" s="70">
        <f t="shared" si="21"/>
        <v>28314000.000000007</v>
      </c>
      <c r="Q158" s="41">
        <v>200</v>
      </c>
      <c r="R158" s="41">
        <v>3</v>
      </c>
      <c r="S158" s="70">
        <f t="shared" si="22"/>
        <v>31145400.000000011</v>
      </c>
      <c r="T158" s="41">
        <v>200</v>
      </c>
      <c r="U158" s="41">
        <v>3</v>
      </c>
      <c r="V158" s="70">
        <f t="shared" si="23"/>
        <v>34259940.000000015</v>
      </c>
      <c r="W158" s="41">
        <v>0</v>
      </c>
      <c r="X158" s="41">
        <v>0</v>
      </c>
      <c r="Y158" s="70">
        <f t="shared" si="29"/>
        <v>0</v>
      </c>
      <c r="Z158" s="41">
        <v>0</v>
      </c>
      <c r="AA158" s="41">
        <v>0</v>
      </c>
      <c r="AB158" s="70">
        <f t="shared" si="24"/>
        <v>0</v>
      </c>
      <c r="AC158" s="41">
        <v>0</v>
      </c>
      <c r="AD158" s="41">
        <v>0</v>
      </c>
      <c r="AE158" s="70">
        <f t="shared" si="25"/>
        <v>0</v>
      </c>
      <c r="AF158" s="28">
        <f t="shared" si="26"/>
        <v>119459340.00000003</v>
      </c>
      <c r="AG158" s="28">
        <f t="shared" si="27"/>
        <v>115979.94174757284</v>
      </c>
    </row>
    <row r="159" spans="1:33" ht="43.2" x14ac:dyDescent="0.3">
      <c r="A159" s="41" t="s">
        <v>696</v>
      </c>
      <c r="B159" s="41" t="s">
        <v>691</v>
      </c>
      <c r="C159" s="41" t="s">
        <v>658</v>
      </c>
      <c r="D159" s="41" t="s">
        <v>44</v>
      </c>
      <c r="E159" s="41" t="s">
        <v>353</v>
      </c>
      <c r="F159" s="41" t="s">
        <v>709</v>
      </c>
      <c r="G159" s="67">
        <v>35000</v>
      </c>
      <c r="H159" s="41"/>
      <c r="I159" s="41"/>
      <c r="J159" s="67">
        <f t="shared" si="28"/>
        <v>0</v>
      </c>
      <c r="K159" s="41">
        <v>25</v>
      </c>
      <c r="L159" s="41">
        <f>5*4</f>
        <v>20</v>
      </c>
      <c r="M159" s="70">
        <f t="shared" si="20"/>
        <v>19250000</v>
      </c>
      <c r="N159" s="41">
        <v>200</v>
      </c>
      <c r="O159" s="41">
        <v>3</v>
      </c>
      <c r="P159" s="70">
        <f t="shared" si="21"/>
        <v>25410000.000000007</v>
      </c>
      <c r="Q159" s="41">
        <v>200</v>
      </c>
      <c r="R159" s="41">
        <v>3</v>
      </c>
      <c r="S159" s="70">
        <f t="shared" si="22"/>
        <v>27951000.000000011</v>
      </c>
      <c r="T159" s="41">
        <v>200</v>
      </c>
      <c r="U159" s="41">
        <v>3</v>
      </c>
      <c r="V159" s="70">
        <f t="shared" si="23"/>
        <v>30746100.000000011</v>
      </c>
      <c r="W159" s="41">
        <v>0</v>
      </c>
      <c r="X159" s="41">
        <v>0</v>
      </c>
      <c r="Y159" s="70">
        <f t="shared" si="29"/>
        <v>0</v>
      </c>
      <c r="Z159" s="41">
        <v>0</v>
      </c>
      <c r="AA159" s="41">
        <v>0</v>
      </c>
      <c r="AB159" s="70">
        <f t="shared" si="24"/>
        <v>0</v>
      </c>
      <c r="AC159" s="41">
        <v>0</v>
      </c>
      <c r="AD159" s="41">
        <v>0</v>
      </c>
      <c r="AE159" s="70">
        <f t="shared" si="25"/>
        <v>0</v>
      </c>
      <c r="AF159" s="28">
        <f t="shared" si="26"/>
        <v>103357100.00000003</v>
      </c>
      <c r="AG159" s="28">
        <f t="shared" si="27"/>
        <v>100346.69902912625</v>
      </c>
    </row>
    <row r="160" spans="1:33" ht="43.2" x14ac:dyDescent="0.3">
      <c r="A160" s="41" t="s">
        <v>696</v>
      </c>
      <c r="B160" s="41" t="s">
        <v>691</v>
      </c>
      <c r="C160" s="41" t="s">
        <v>658</v>
      </c>
      <c r="D160" s="41" t="s">
        <v>44</v>
      </c>
      <c r="E160" s="41" t="s">
        <v>353</v>
      </c>
      <c r="F160" s="41" t="s">
        <v>712</v>
      </c>
      <c r="G160" s="67">
        <f>1999.2/7</f>
        <v>285.60000000000002</v>
      </c>
      <c r="H160" s="41"/>
      <c r="I160" s="41"/>
      <c r="J160" s="67">
        <f t="shared" si="28"/>
        <v>0</v>
      </c>
      <c r="K160" s="41">
        <f>2*25*9</f>
        <v>450</v>
      </c>
      <c r="L160" s="41">
        <f>5*4</f>
        <v>20</v>
      </c>
      <c r="M160" s="70">
        <f t="shared" si="20"/>
        <v>2827440</v>
      </c>
      <c r="N160" s="41">
        <v>60000</v>
      </c>
      <c r="O160" s="41">
        <v>1</v>
      </c>
      <c r="P160" s="70">
        <f t="shared" si="21"/>
        <v>20734560.000000004</v>
      </c>
      <c r="Q160" s="41">
        <v>60000</v>
      </c>
      <c r="R160" s="41">
        <v>1</v>
      </c>
      <c r="S160" s="70">
        <f t="shared" si="22"/>
        <v>22808016.000000011</v>
      </c>
      <c r="T160" s="41">
        <v>60000</v>
      </c>
      <c r="U160" s="41">
        <v>1</v>
      </c>
      <c r="V160" s="70">
        <f t="shared" si="23"/>
        <v>25088817.600000009</v>
      </c>
      <c r="W160" s="41">
        <v>0</v>
      </c>
      <c r="X160" s="41">
        <v>0</v>
      </c>
      <c r="Y160" s="70">
        <f t="shared" si="29"/>
        <v>0</v>
      </c>
      <c r="Z160" s="41">
        <v>0</v>
      </c>
      <c r="AA160" s="41">
        <v>0</v>
      </c>
      <c r="AB160" s="70">
        <f t="shared" si="24"/>
        <v>0</v>
      </c>
      <c r="AC160" s="41">
        <v>0</v>
      </c>
      <c r="AD160" s="41">
        <v>0</v>
      </c>
      <c r="AE160" s="70">
        <f t="shared" si="25"/>
        <v>0</v>
      </c>
      <c r="AF160" s="28">
        <f t="shared" si="26"/>
        <v>71458833.600000024</v>
      </c>
      <c r="AG160" s="28">
        <f t="shared" si="27"/>
        <v>69377.508349514581</v>
      </c>
    </row>
    <row r="161" spans="1:33" ht="43.2" x14ac:dyDescent="0.3">
      <c r="A161" s="41" t="s">
        <v>696</v>
      </c>
      <c r="B161" s="41" t="s">
        <v>691</v>
      </c>
      <c r="C161" s="41" t="s">
        <v>658</v>
      </c>
      <c r="D161" s="41" t="s">
        <v>44</v>
      </c>
      <c r="E161" s="41" t="s">
        <v>353</v>
      </c>
      <c r="F161" s="41" t="s">
        <v>1299</v>
      </c>
      <c r="G161" s="67">
        <f>1999.2/7</f>
        <v>285.60000000000002</v>
      </c>
      <c r="H161" s="41"/>
      <c r="I161" s="41"/>
      <c r="J161" s="67">
        <f t="shared" si="28"/>
        <v>0</v>
      </c>
      <c r="K161" s="41">
        <f>2*135*9</f>
        <v>2430</v>
      </c>
      <c r="L161" s="41">
        <v>4</v>
      </c>
      <c r="M161" s="70">
        <f t="shared" si="20"/>
        <v>3053635.2</v>
      </c>
      <c r="N161" s="41"/>
      <c r="O161" s="41"/>
      <c r="P161" s="70">
        <f t="shared" si="21"/>
        <v>0</v>
      </c>
      <c r="Q161" s="41"/>
      <c r="R161" s="41"/>
      <c r="S161" s="70">
        <f t="shared" si="22"/>
        <v>0</v>
      </c>
      <c r="T161" s="41"/>
      <c r="U161" s="41"/>
      <c r="V161" s="70">
        <f t="shared" si="23"/>
        <v>0</v>
      </c>
      <c r="W161" s="41"/>
      <c r="X161" s="41"/>
      <c r="Y161" s="70">
        <f t="shared" si="29"/>
        <v>0</v>
      </c>
      <c r="Z161" s="41"/>
      <c r="AA161" s="41"/>
      <c r="AB161" s="70">
        <f t="shared" si="24"/>
        <v>0</v>
      </c>
      <c r="AC161" s="41"/>
      <c r="AD161" s="41"/>
      <c r="AE161" s="70">
        <f t="shared" si="25"/>
        <v>0</v>
      </c>
      <c r="AF161" s="28">
        <f t="shared" si="26"/>
        <v>3053635.2</v>
      </c>
      <c r="AG161" s="28">
        <f t="shared" si="27"/>
        <v>2964.6943689320392</v>
      </c>
    </row>
    <row r="162" spans="1:33" ht="43.2" x14ac:dyDescent="0.3">
      <c r="A162" s="41" t="s">
        <v>696</v>
      </c>
      <c r="B162" s="41" t="s">
        <v>691</v>
      </c>
      <c r="C162" s="41" t="s">
        <v>658</v>
      </c>
      <c r="D162" s="41" t="s">
        <v>45</v>
      </c>
      <c r="E162" s="41" t="s">
        <v>354</v>
      </c>
      <c r="F162" s="41" t="s">
        <v>718</v>
      </c>
      <c r="G162" s="67">
        <v>0</v>
      </c>
      <c r="H162" s="41">
        <v>0</v>
      </c>
      <c r="I162" s="41">
        <v>0</v>
      </c>
      <c r="J162" s="67">
        <f t="shared" si="28"/>
        <v>0</v>
      </c>
      <c r="K162" s="41">
        <v>0</v>
      </c>
      <c r="L162" s="41">
        <v>0</v>
      </c>
      <c r="M162" s="70">
        <f t="shared" si="20"/>
        <v>0</v>
      </c>
      <c r="N162" s="41">
        <v>0</v>
      </c>
      <c r="O162" s="41">
        <v>0</v>
      </c>
      <c r="P162" s="70">
        <f t="shared" si="21"/>
        <v>0</v>
      </c>
      <c r="Q162" s="41">
        <v>0</v>
      </c>
      <c r="R162" s="41">
        <v>0</v>
      </c>
      <c r="S162" s="70">
        <f t="shared" si="22"/>
        <v>0</v>
      </c>
      <c r="T162" s="41">
        <v>0</v>
      </c>
      <c r="U162" s="41">
        <v>0</v>
      </c>
      <c r="V162" s="70">
        <f t="shared" si="23"/>
        <v>0</v>
      </c>
      <c r="W162" s="41">
        <v>0</v>
      </c>
      <c r="X162" s="41">
        <v>0</v>
      </c>
      <c r="Y162" s="70">
        <f t="shared" si="29"/>
        <v>0</v>
      </c>
      <c r="Z162" s="41">
        <v>0</v>
      </c>
      <c r="AA162" s="41">
        <v>0</v>
      </c>
      <c r="AB162" s="70">
        <f t="shared" si="24"/>
        <v>0</v>
      </c>
      <c r="AC162" s="41">
        <v>0</v>
      </c>
      <c r="AD162" s="41">
        <v>0</v>
      </c>
      <c r="AE162" s="70">
        <f t="shared" si="25"/>
        <v>0</v>
      </c>
      <c r="AF162" s="28">
        <f t="shared" si="26"/>
        <v>0</v>
      </c>
      <c r="AG162" s="28">
        <f t="shared" si="27"/>
        <v>0</v>
      </c>
    </row>
    <row r="163" spans="1:33" ht="43.2" x14ac:dyDescent="0.3">
      <c r="A163" s="41" t="s">
        <v>696</v>
      </c>
      <c r="B163" s="41" t="s">
        <v>691</v>
      </c>
      <c r="C163" s="41" t="s">
        <v>658</v>
      </c>
      <c r="D163" s="41" t="s">
        <v>45</v>
      </c>
      <c r="E163" s="41" t="s">
        <v>355</v>
      </c>
      <c r="F163" s="41" t="s">
        <v>718</v>
      </c>
      <c r="G163" s="67">
        <v>0</v>
      </c>
      <c r="H163" s="41">
        <v>0</v>
      </c>
      <c r="I163" s="41">
        <v>0</v>
      </c>
      <c r="J163" s="67">
        <f t="shared" si="28"/>
        <v>0</v>
      </c>
      <c r="K163" s="41">
        <v>0</v>
      </c>
      <c r="L163" s="41">
        <v>0</v>
      </c>
      <c r="M163" s="70">
        <f t="shared" si="20"/>
        <v>0</v>
      </c>
      <c r="N163" s="41">
        <v>0</v>
      </c>
      <c r="O163" s="41">
        <v>0</v>
      </c>
      <c r="P163" s="70">
        <f t="shared" si="21"/>
        <v>0</v>
      </c>
      <c r="Q163" s="41">
        <v>0</v>
      </c>
      <c r="R163" s="41">
        <v>0</v>
      </c>
      <c r="S163" s="70">
        <f t="shared" si="22"/>
        <v>0</v>
      </c>
      <c r="T163" s="41">
        <v>0</v>
      </c>
      <c r="U163" s="41">
        <v>0</v>
      </c>
      <c r="V163" s="70">
        <f t="shared" si="23"/>
        <v>0</v>
      </c>
      <c r="W163" s="41">
        <v>0</v>
      </c>
      <c r="X163" s="41">
        <v>0</v>
      </c>
      <c r="Y163" s="70">
        <f t="shared" si="29"/>
        <v>0</v>
      </c>
      <c r="Z163" s="41">
        <v>0</v>
      </c>
      <c r="AA163" s="41">
        <v>0</v>
      </c>
      <c r="AB163" s="70">
        <f t="shared" si="24"/>
        <v>0</v>
      </c>
      <c r="AC163" s="41">
        <v>0</v>
      </c>
      <c r="AD163" s="41">
        <v>0</v>
      </c>
      <c r="AE163" s="70">
        <f t="shared" si="25"/>
        <v>0</v>
      </c>
      <c r="AF163" s="28">
        <f t="shared" si="26"/>
        <v>0</v>
      </c>
      <c r="AG163" s="28">
        <f t="shared" si="27"/>
        <v>0</v>
      </c>
    </row>
    <row r="164" spans="1:33" ht="43.2" x14ac:dyDescent="0.3">
      <c r="A164" s="41" t="s">
        <v>696</v>
      </c>
      <c r="B164" s="41" t="s">
        <v>691</v>
      </c>
      <c r="C164" s="41" t="s">
        <v>658</v>
      </c>
      <c r="D164" s="41" t="s">
        <v>45</v>
      </c>
      <c r="E164" s="41" t="s">
        <v>356</v>
      </c>
      <c r="F164" s="41" t="s">
        <v>707</v>
      </c>
      <c r="G164" s="67">
        <v>391991.03749999998</v>
      </c>
      <c r="H164" s="41"/>
      <c r="I164" s="41"/>
      <c r="J164" s="67">
        <f t="shared" si="28"/>
        <v>0</v>
      </c>
      <c r="K164" s="41">
        <v>2</v>
      </c>
      <c r="L164" s="41">
        <v>2</v>
      </c>
      <c r="M164" s="70">
        <f t="shared" si="20"/>
        <v>1724760.5649999999</v>
      </c>
      <c r="N164" s="41">
        <v>0</v>
      </c>
      <c r="O164" s="41">
        <v>0</v>
      </c>
      <c r="P164" s="70">
        <f t="shared" si="21"/>
        <v>0</v>
      </c>
      <c r="Q164" s="41">
        <v>0</v>
      </c>
      <c r="R164" s="41">
        <v>0</v>
      </c>
      <c r="S164" s="70">
        <f t="shared" si="22"/>
        <v>0</v>
      </c>
      <c r="T164" s="41">
        <v>0</v>
      </c>
      <c r="U164" s="41">
        <v>0</v>
      </c>
      <c r="V164" s="70">
        <f t="shared" si="23"/>
        <v>0</v>
      </c>
      <c r="W164" s="41">
        <v>2</v>
      </c>
      <c r="X164" s="41">
        <v>2</v>
      </c>
      <c r="Y164" s="70">
        <f t="shared" si="29"/>
        <v>2525221.9432165008</v>
      </c>
      <c r="Z164" s="41">
        <v>0</v>
      </c>
      <c r="AA164" s="41">
        <v>0</v>
      </c>
      <c r="AB164" s="70">
        <f t="shared" si="24"/>
        <v>0</v>
      </c>
      <c r="AC164" s="41">
        <v>0</v>
      </c>
      <c r="AD164" s="41">
        <v>0</v>
      </c>
      <c r="AE164" s="70">
        <f t="shared" si="25"/>
        <v>0</v>
      </c>
      <c r="AF164" s="28">
        <f t="shared" si="26"/>
        <v>4249982.5082165003</v>
      </c>
      <c r="AG164" s="28">
        <f t="shared" si="27"/>
        <v>4126.1966099189322</v>
      </c>
    </row>
    <row r="165" spans="1:33" ht="43.2" x14ac:dyDescent="0.3">
      <c r="A165" s="41" t="s">
        <v>696</v>
      </c>
      <c r="B165" s="41" t="s">
        <v>691</v>
      </c>
      <c r="C165" s="41" t="s">
        <v>658</v>
      </c>
      <c r="D165" s="41" t="s">
        <v>45</v>
      </c>
      <c r="E165" s="41" t="s">
        <v>356</v>
      </c>
      <c r="F165" s="41" t="s">
        <v>708</v>
      </c>
      <c r="G165" s="67">
        <f>9080*1030</f>
        <v>9352400</v>
      </c>
      <c r="H165" s="41"/>
      <c r="I165" s="41"/>
      <c r="J165" s="67">
        <f t="shared" si="28"/>
        <v>0</v>
      </c>
      <c r="K165" s="41">
        <v>1</v>
      </c>
      <c r="L165" s="41">
        <v>25</v>
      </c>
      <c r="M165" s="70">
        <f t="shared" si="20"/>
        <v>257191000</v>
      </c>
      <c r="N165" s="41"/>
      <c r="O165" s="41"/>
      <c r="P165" s="70">
        <f t="shared" si="21"/>
        <v>0</v>
      </c>
      <c r="Q165" s="41">
        <v>0</v>
      </c>
      <c r="R165" s="41">
        <v>0</v>
      </c>
      <c r="S165" s="70">
        <f t="shared" si="22"/>
        <v>0</v>
      </c>
      <c r="T165" s="41">
        <v>1</v>
      </c>
      <c r="U165" s="41">
        <v>25</v>
      </c>
      <c r="V165" s="70">
        <f t="shared" si="23"/>
        <v>342321221.00000012</v>
      </c>
      <c r="W165" s="41">
        <v>1</v>
      </c>
      <c r="X165" s="41">
        <v>25</v>
      </c>
      <c r="Y165" s="70">
        <f t="shared" si="29"/>
        <v>376553343.10000014</v>
      </c>
      <c r="Z165" s="41">
        <v>0</v>
      </c>
      <c r="AA165" s="41">
        <v>0</v>
      </c>
      <c r="AB165" s="70">
        <f t="shared" si="24"/>
        <v>0</v>
      </c>
      <c r="AC165" s="41">
        <v>1</v>
      </c>
      <c r="AD165" s="41">
        <v>25</v>
      </c>
      <c r="AE165" s="70">
        <f t="shared" si="25"/>
        <v>455629545.15100026</v>
      </c>
      <c r="AF165" s="28">
        <f t="shared" si="26"/>
        <v>1431695109.2510004</v>
      </c>
      <c r="AG165" s="28">
        <f t="shared" si="27"/>
        <v>1389995.2517000004</v>
      </c>
    </row>
    <row r="166" spans="1:33" ht="43.2" x14ac:dyDescent="0.3">
      <c r="A166" s="41" t="s">
        <v>696</v>
      </c>
      <c r="B166" s="41" t="s">
        <v>691</v>
      </c>
      <c r="C166" s="41" t="s">
        <v>658</v>
      </c>
      <c r="D166" s="41" t="s">
        <v>45</v>
      </c>
      <c r="E166" s="41" t="s">
        <v>357</v>
      </c>
      <c r="F166" s="41" t="s">
        <v>709</v>
      </c>
      <c r="G166" s="67">
        <v>35000</v>
      </c>
      <c r="H166" s="41"/>
      <c r="I166" s="41"/>
      <c r="J166" s="67">
        <f t="shared" si="28"/>
        <v>0</v>
      </c>
      <c r="K166" s="41">
        <v>100</v>
      </c>
      <c r="L166" s="41">
        <v>5</v>
      </c>
      <c r="M166" s="70">
        <f t="shared" si="20"/>
        <v>19250000</v>
      </c>
      <c r="N166" s="41">
        <v>0</v>
      </c>
      <c r="O166" s="41">
        <v>0</v>
      </c>
      <c r="P166" s="70">
        <f t="shared" si="21"/>
        <v>0</v>
      </c>
      <c r="Q166" s="41">
        <v>0</v>
      </c>
      <c r="R166" s="41">
        <v>0</v>
      </c>
      <c r="S166" s="70">
        <f t="shared" si="22"/>
        <v>0</v>
      </c>
      <c r="T166" s="41">
        <v>0</v>
      </c>
      <c r="U166" s="41">
        <v>0</v>
      </c>
      <c r="V166" s="70">
        <f t="shared" si="23"/>
        <v>0</v>
      </c>
      <c r="W166" s="41">
        <v>100</v>
      </c>
      <c r="X166" s="41">
        <v>5</v>
      </c>
      <c r="Y166" s="70">
        <f t="shared" si="29"/>
        <v>28183925.000000007</v>
      </c>
      <c r="Z166" s="41">
        <v>0</v>
      </c>
      <c r="AA166" s="41">
        <v>0</v>
      </c>
      <c r="AB166" s="70">
        <f t="shared" si="24"/>
        <v>0</v>
      </c>
      <c r="AC166" s="41">
        <v>0</v>
      </c>
      <c r="AD166" s="41">
        <v>0</v>
      </c>
      <c r="AE166" s="70">
        <f t="shared" si="25"/>
        <v>0</v>
      </c>
      <c r="AF166" s="28">
        <f t="shared" si="26"/>
        <v>47433925.000000007</v>
      </c>
      <c r="AG166" s="28">
        <f t="shared" si="27"/>
        <v>46052.354368932043</v>
      </c>
    </row>
    <row r="167" spans="1:33" ht="43.2" x14ac:dyDescent="0.3">
      <c r="A167" s="41" t="s">
        <v>696</v>
      </c>
      <c r="B167" s="41" t="s">
        <v>691</v>
      </c>
      <c r="C167" s="41" t="s">
        <v>658</v>
      </c>
      <c r="D167" s="41" t="s">
        <v>45</v>
      </c>
      <c r="E167" s="41" t="s">
        <v>357</v>
      </c>
      <c r="F167" s="41" t="s">
        <v>716</v>
      </c>
      <c r="G167" s="67">
        <v>39000</v>
      </c>
      <c r="H167" s="41"/>
      <c r="I167" s="41"/>
      <c r="J167" s="67">
        <f t="shared" si="28"/>
        <v>0</v>
      </c>
      <c r="K167" s="41">
        <v>58</v>
      </c>
      <c r="L167" s="41">
        <v>6</v>
      </c>
      <c r="M167" s="70">
        <f t="shared" si="20"/>
        <v>14929200</v>
      </c>
      <c r="N167" s="41"/>
      <c r="O167" s="41"/>
      <c r="P167" s="70">
        <f t="shared" si="21"/>
        <v>0</v>
      </c>
      <c r="Q167" s="41"/>
      <c r="R167" s="41"/>
      <c r="S167" s="70">
        <f t="shared" si="22"/>
        <v>0</v>
      </c>
      <c r="T167" s="41"/>
      <c r="U167" s="41"/>
      <c r="V167" s="70">
        <f t="shared" si="23"/>
        <v>0</v>
      </c>
      <c r="W167" s="41">
        <v>58</v>
      </c>
      <c r="X167" s="41">
        <v>6</v>
      </c>
      <c r="Y167" s="70">
        <f t="shared" si="29"/>
        <v>21857841.720000006</v>
      </c>
      <c r="Z167" s="41"/>
      <c r="AA167" s="41"/>
      <c r="AB167" s="70">
        <f t="shared" si="24"/>
        <v>0</v>
      </c>
      <c r="AC167" s="41"/>
      <c r="AD167" s="41"/>
      <c r="AE167" s="70">
        <f t="shared" si="25"/>
        <v>0</v>
      </c>
      <c r="AF167" s="28">
        <f t="shared" si="26"/>
        <v>36787041.720000006</v>
      </c>
      <c r="AG167" s="28">
        <f t="shared" si="27"/>
        <v>35715.574485436897</v>
      </c>
    </row>
    <row r="168" spans="1:33" ht="43.2" x14ac:dyDescent="0.3">
      <c r="A168" s="41" t="s">
        <v>696</v>
      </c>
      <c r="B168" s="41" t="s">
        <v>691</v>
      </c>
      <c r="C168" s="41" t="s">
        <v>658</v>
      </c>
      <c r="D168" s="41" t="s">
        <v>45</v>
      </c>
      <c r="E168" s="41" t="s">
        <v>756</v>
      </c>
      <c r="F168" s="41" t="s">
        <v>712</v>
      </c>
      <c r="G168" s="67">
        <f>1999.2/7</f>
        <v>285.60000000000002</v>
      </c>
      <c r="H168" s="41"/>
      <c r="I168" s="41"/>
      <c r="J168" s="67">
        <f t="shared" si="28"/>
        <v>0</v>
      </c>
      <c r="K168" s="41">
        <f>2*25*29</f>
        <v>1450</v>
      </c>
      <c r="L168" s="41">
        <v>5</v>
      </c>
      <c r="M168" s="70">
        <f t="shared" si="20"/>
        <v>2277660.0000000005</v>
      </c>
      <c r="N168" s="41">
        <v>0</v>
      </c>
      <c r="O168" s="41">
        <v>0</v>
      </c>
      <c r="P168" s="70">
        <f t="shared" si="21"/>
        <v>0</v>
      </c>
      <c r="Q168" s="41">
        <v>0</v>
      </c>
      <c r="R168" s="41">
        <v>0</v>
      </c>
      <c r="S168" s="70">
        <f t="shared" si="22"/>
        <v>0</v>
      </c>
      <c r="T168" s="41">
        <v>0</v>
      </c>
      <c r="U168" s="41">
        <v>0</v>
      </c>
      <c r="V168" s="70">
        <f t="shared" si="23"/>
        <v>0</v>
      </c>
      <c r="W168" s="41">
        <f>2*25*29</f>
        <v>1450</v>
      </c>
      <c r="X168" s="41">
        <v>5</v>
      </c>
      <c r="Y168" s="70">
        <f t="shared" si="29"/>
        <v>3334722.006000001</v>
      </c>
      <c r="Z168" s="41">
        <v>0</v>
      </c>
      <c r="AA168" s="41">
        <v>0</v>
      </c>
      <c r="AB168" s="70">
        <f t="shared" si="24"/>
        <v>0</v>
      </c>
      <c r="AC168" s="41">
        <v>0</v>
      </c>
      <c r="AD168" s="41">
        <v>0</v>
      </c>
      <c r="AE168" s="70">
        <f t="shared" si="25"/>
        <v>0</v>
      </c>
      <c r="AF168" s="28">
        <f t="shared" si="26"/>
        <v>5612382.006000001</v>
      </c>
      <c r="AG168" s="28">
        <f t="shared" si="27"/>
        <v>5448.9145689320394</v>
      </c>
    </row>
    <row r="169" spans="1:33" ht="43.2" x14ac:dyDescent="0.3">
      <c r="A169" s="41" t="s">
        <v>696</v>
      </c>
      <c r="B169" s="41" t="s">
        <v>691</v>
      </c>
      <c r="C169" s="41" t="s">
        <v>658</v>
      </c>
      <c r="D169" s="41" t="s">
        <v>45</v>
      </c>
      <c r="E169" s="41" t="s">
        <v>756</v>
      </c>
      <c r="F169" s="41" t="s">
        <v>1299</v>
      </c>
      <c r="G169" s="67">
        <f>1999.2/7</f>
        <v>285.60000000000002</v>
      </c>
      <c r="H169" s="41"/>
      <c r="I169" s="41"/>
      <c r="J169" s="67">
        <f t="shared" si="28"/>
        <v>0</v>
      </c>
      <c r="K169" s="41">
        <v>22500</v>
      </c>
      <c r="L169" s="41">
        <v>1</v>
      </c>
      <c r="M169" s="70">
        <f t="shared" si="20"/>
        <v>7068600.0000000009</v>
      </c>
      <c r="N169" s="41"/>
      <c r="O169" s="41"/>
      <c r="P169" s="70">
        <f t="shared" si="21"/>
        <v>0</v>
      </c>
      <c r="Q169" s="41"/>
      <c r="R169" s="41"/>
      <c r="S169" s="70">
        <f t="shared" si="22"/>
        <v>0</v>
      </c>
      <c r="T169" s="41"/>
      <c r="U169" s="41"/>
      <c r="V169" s="70">
        <f t="shared" si="23"/>
        <v>0</v>
      </c>
      <c r="W169" s="41">
        <v>22500</v>
      </c>
      <c r="X169" s="41">
        <v>1</v>
      </c>
      <c r="Y169" s="70">
        <f t="shared" si="29"/>
        <v>10349137.260000004</v>
      </c>
      <c r="Z169" s="41"/>
      <c r="AA169" s="41"/>
      <c r="AB169" s="70">
        <f t="shared" si="24"/>
        <v>0</v>
      </c>
      <c r="AC169" s="41"/>
      <c r="AD169" s="41"/>
      <c r="AE169" s="70">
        <f t="shared" si="25"/>
        <v>0</v>
      </c>
      <c r="AF169" s="28">
        <f t="shared" si="26"/>
        <v>17417737.260000005</v>
      </c>
      <c r="AG169" s="28">
        <f t="shared" si="27"/>
        <v>16910.42452427185</v>
      </c>
    </row>
    <row r="170" spans="1:33" ht="43.2" x14ac:dyDescent="0.3">
      <c r="A170" s="41" t="s">
        <v>696</v>
      </c>
      <c r="B170" s="41" t="s">
        <v>691</v>
      </c>
      <c r="C170" s="41" t="s">
        <v>658</v>
      </c>
      <c r="D170" s="41" t="s">
        <v>45</v>
      </c>
      <c r="E170" s="41" t="s">
        <v>358</v>
      </c>
      <c r="F170" s="41" t="s">
        <v>709</v>
      </c>
      <c r="G170" s="67">
        <v>35000</v>
      </c>
      <c r="H170" s="41"/>
      <c r="I170" s="41"/>
      <c r="J170" s="67">
        <f t="shared" si="28"/>
        <v>0</v>
      </c>
      <c r="K170" s="41">
        <v>25</v>
      </c>
      <c r="L170" s="41">
        <v>2</v>
      </c>
      <c r="M170" s="70">
        <f t="shared" si="20"/>
        <v>1925000</v>
      </c>
      <c r="N170" s="41">
        <v>0</v>
      </c>
      <c r="O170" s="41">
        <v>0</v>
      </c>
      <c r="P170" s="70">
        <f t="shared" si="21"/>
        <v>0</v>
      </c>
      <c r="Q170" s="41">
        <v>0</v>
      </c>
      <c r="R170" s="41">
        <v>0</v>
      </c>
      <c r="S170" s="70">
        <f t="shared" si="22"/>
        <v>0</v>
      </c>
      <c r="T170" s="41">
        <v>0</v>
      </c>
      <c r="U170" s="41">
        <v>0</v>
      </c>
      <c r="V170" s="70">
        <f t="shared" si="23"/>
        <v>0</v>
      </c>
      <c r="W170" s="41">
        <v>25</v>
      </c>
      <c r="X170" s="41">
        <v>2</v>
      </c>
      <c r="Y170" s="70">
        <f t="shared" si="29"/>
        <v>2818392.5000000009</v>
      </c>
      <c r="Z170" s="41">
        <v>0</v>
      </c>
      <c r="AA170" s="41">
        <v>0</v>
      </c>
      <c r="AB170" s="70">
        <f t="shared" si="24"/>
        <v>0</v>
      </c>
      <c r="AC170" s="41">
        <v>0</v>
      </c>
      <c r="AD170" s="41">
        <v>0</v>
      </c>
      <c r="AE170" s="70">
        <f t="shared" si="25"/>
        <v>0</v>
      </c>
      <c r="AF170" s="28">
        <f t="shared" si="26"/>
        <v>4743392.5000000009</v>
      </c>
      <c r="AG170" s="28">
        <f t="shared" si="27"/>
        <v>4605.2354368932047</v>
      </c>
    </row>
    <row r="171" spans="1:33" ht="43.2" x14ac:dyDescent="0.3">
      <c r="A171" s="41" t="s">
        <v>696</v>
      </c>
      <c r="B171" s="41" t="s">
        <v>691</v>
      </c>
      <c r="C171" s="41" t="s">
        <v>658</v>
      </c>
      <c r="D171" s="41" t="s">
        <v>45</v>
      </c>
      <c r="E171" s="41" t="s">
        <v>358</v>
      </c>
      <c r="F171" s="41" t="s">
        <v>716</v>
      </c>
      <c r="G171" s="67">
        <v>39000</v>
      </c>
      <c r="H171" s="41"/>
      <c r="I171" s="41"/>
      <c r="J171" s="67">
        <f t="shared" si="28"/>
        <v>0</v>
      </c>
      <c r="K171" s="41">
        <v>25</v>
      </c>
      <c r="L171" s="41">
        <v>3</v>
      </c>
      <c r="M171" s="70">
        <f t="shared" si="20"/>
        <v>3217500</v>
      </c>
      <c r="N171" s="41"/>
      <c r="O171" s="41"/>
      <c r="P171" s="70">
        <f t="shared" si="21"/>
        <v>0</v>
      </c>
      <c r="Q171" s="41"/>
      <c r="R171" s="41"/>
      <c r="S171" s="70">
        <f t="shared" si="22"/>
        <v>0</v>
      </c>
      <c r="T171" s="41"/>
      <c r="U171" s="41"/>
      <c r="V171" s="70">
        <f t="shared" si="23"/>
        <v>0</v>
      </c>
      <c r="W171" s="41">
        <v>25</v>
      </c>
      <c r="X171" s="41">
        <v>3</v>
      </c>
      <c r="Y171" s="70">
        <f t="shared" si="29"/>
        <v>4710741.7500000019</v>
      </c>
      <c r="Z171" s="41"/>
      <c r="AA171" s="41"/>
      <c r="AB171" s="70">
        <f t="shared" si="24"/>
        <v>0</v>
      </c>
      <c r="AC171" s="41"/>
      <c r="AD171" s="41"/>
      <c r="AE171" s="70">
        <f t="shared" si="25"/>
        <v>0</v>
      </c>
      <c r="AF171" s="28">
        <f t="shared" si="26"/>
        <v>7928241.7500000019</v>
      </c>
      <c r="AG171" s="28">
        <f t="shared" si="27"/>
        <v>7697.3220873786422</v>
      </c>
    </row>
    <row r="172" spans="1:33" ht="43.2" x14ac:dyDescent="0.3">
      <c r="A172" s="41" t="s">
        <v>696</v>
      </c>
      <c r="B172" s="41" t="s">
        <v>691</v>
      </c>
      <c r="C172" s="41" t="s">
        <v>658</v>
      </c>
      <c r="D172" s="41" t="s">
        <v>45</v>
      </c>
      <c r="E172" s="41" t="s">
        <v>358</v>
      </c>
      <c r="F172" s="41" t="s">
        <v>712</v>
      </c>
      <c r="G172" s="67">
        <f>1999.2/7</f>
        <v>285.60000000000002</v>
      </c>
      <c r="H172" s="41"/>
      <c r="I172" s="41"/>
      <c r="J172" s="67">
        <f t="shared" si="28"/>
        <v>0</v>
      </c>
      <c r="K172" s="41">
        <f>2*25*9</f>
        <v>450</v>
      </c>
      <c r="L172" s="41">
        <v>2</v>
      </c>
      <c r="M172" s="70">
        <f t="shared" si="20"/>
        <v>282744</v>
      </c>
      <c r="N172" s="41">
        <v>0</v>
      </c>
      <c r="O172" s="41">
        <v>0</v>
      </c>
      <c r="P172" s="70">
        <f t="shared" si="21"/>
        <v>0</v>
      </c>
      <c r="Q172" s="41">
        <v>0</v>
      </c>
      <c r="R172" s="41">
        <v>0</v>
      </c>
      <c r="S172" s="70">
        <f t="shared" si="22"/>
        <v>0</v>
      </c>
      <c r="T172" s="41">
        <v>0</v>
      </c>
      <c r="U172" s="41">
        <v>0</v>
      </c>
      <c r="V172" s="70">
        <f t="shared" si="23"/>
        <v>0</v>
      </c>
      <c r="W172" s="41">
        <f>2*25*9</f>
        <v>450</v>
      </c>
      <c r="X172" s="41">
        <v>2</v>
      </c>
      <c r="Y172" s="70">
        <f t="shared" si="29"/>
        <v>413965.49040000018</v>
      </c>
      <c r="Z172" s="41">
        <v>0</v>
      </c>
      <c r="AA172" s="41">
        <v>0</v>
      </c>
      <c r="AB172" s="70">
        <f t="shared" si="24"/>
        <v>0</v>
      </c>
      <c r="AC172" s="41">
        <v>0</v>
      </c>
      <c r="AD172" s="41">
        <v>0</v>
      </c>
      <c r="AE172" s="70">
        <f t="shared" si="25"/>
        <v>0</v>
      </c>
      <c r="AF172" s="28">
        <f t="shared" si="26"/>
        <v>696709.49040000024</v>
      </c>
      <c r="AG172" s="28">
        <f t="shared" si="27"/>
        <v>676.41698097087408</v>
      </c>
    </row>
    <row r="173" spans="1:33" ht="43.2" x14ac:dyDescent="0.3">
      <c r="A173" s="41" t="s">
        <v>696</v>
      </c>
      <c r="B173" s="41" t="s">
        <v>691</v>
      </c>
      <c r="C173" s="41" t="s">
        <v>658</v>
      </c>
      <c r="D173" s="41" t="s">
        <v>45</v>
      </c>
      <c r="E173" s="41" t="s">
        <v>358</v>
      </c>
      <c r="F173" s="41" t="s">
        <v>1299</v>
      </c>
      <c r="G173" s="67">
        <f>1999.2/7</f>
        <v>285.60000000000002</v>
      </c>
      <c r="H173" s="41"/>
      <c r="I173" s="41"/>
      <c r="J173" s="67">
        <f t="shared" si="28"/>
        <v>0</v>
      </c>
      <c r="K173" s="41">
        <f>2*135*9</f>
        <v>2430</v>
      </c>
      <c r="L173" s="41">
        <v>1</v>
      </c>
      <c r="M173" s="70">
        <f t="shared" si="20"/>
        <v>763408.8</v>
      </c>
      <c r="N173" s="41"/>
      <c r="O173" s="41"/>
      <c r="P173" s="70">
        <f t="shared" si="21"/>
        <v>0</v>
      </c>
      <c r="Q173" s="41"/>
      <c r="R173" s="41"/>
      <c r="S173" s="70">
        <f t="shared" si="22"/>
        <v>0</v>
      </c>
      <c r="T173" s="41"/>
      <c r="U173" s="41"/>
      <c r="V173" s="70">
        <f t="shared" si="23"/>
        <v>0</v>
      </c>
      <c r="W173" s="41">
        <f>2*135*9</f>
        <v>2430</v>
      </c>
      <c r="X173" s="41">
        <v>1</v>
      </c>
      <c r="Y173" s="70">
        <f t="shared" si="29"/>
        <v>1117706.8240800004</v>
      </c>
      <c r="Z173" s="41"/>
      <c r="AA173" s="41"/>
      <c r="AB173" s="70">
        <f t="shared" si="24"/>
        <v>0</v>
      </c>
      <c r="AC173" s="41"/>
      <c r="AD173" s="41"/>
      <c r="AE173" s="70">
        <f t="shared" si="25"/>
        <v>0</v>
      </c>
      <c r="AF173" s="28">
        <f t="shared" si="26"/>
        <v>1881115.6240800004</v>
      </c>
      <c r="AG173" s="28">
        <f t="shared" si="27"/>
        <v>1826.3258486213597</v>
      </c>
    </row>
    <row r="174" spans="1:33" ht="43.2" x14ac:dyDescent="0.3">
      <c r="A174" s="41" t="s">
        <v>696</v>
      </c>
      <c r="B174" s="41" t="s">
        <v>691</v>
      </c>
      <c r="C174" s="41" t="s">
        <v>658</v>
      </c>
      <c r="D174" s="41" t="s">
        <v>45</v>
      </c>
      <c r="E174" s="41" t="s">
        <v>1387</v>
      </c>
      <c r="F174" s="41" t="s">
        <v>716</v>
      </c>
      <c r="G174" s="67">
        <v>39000</v>
      </c>
      <c r="H174" s="41"/>
      <c r="I174" s="41"/>
      <c r="J174" s="67">
        <f t="shared" si="28"/>
        <v>0</v>
      </c>
      <c r="K174" s="41">
        <v>58</v>
      </c>
      <c r="L174" s="41">
        <v>6</v>
      </c>
      <c r="M174" s="70">
        <f t="shared" si="20"/>
        <v>14929200</v>
      </c>
      <c r="N174" s="41">
        <v>0</v>
      </c>
      <c r="O174" s="41">
        <v>0</v>
      </c>
      <c r="P174" s="70">
        <f t="shared" si="21"/>
        <v>0</v>
      </c>
      <c r="Q174" s="41">
        <v>0</v>
      </c>
      <c r="R174" s="41">
        <v>0</v>
      </c>
      <c r="S174" s="70">
        <f t="shared" si="22"/>
        <v>0</v>
      </c>
      <c r="T174" s="41">
        <v>0</v>
      </c>
      <c r="U174" s="41">
        <v>0</v>
      </c>
      <c r="V174" s="70">
        <f t="shared" si="23"/>
        <v>0</v>
      </c>
      <c r="W174" s="41">
        <v>58</v>
      </c>
      <c r="X174" s="41">
        <v>6</v>
      </c>
      <c r="Y174" s="70">
        <f t="shared" si="29"/>
        <v>21857841.720000006</v>
      </c>
      <c r="Z174" s="41">
        <v>0</v>
      </c>
      <c r="AA174" s="41">
        <v>0</v>
      </c>
      <c r="AB174" s="70">
        <f t="shared" si="24"/>
        <v>0</v>
      </c>
      <c r="AC174" s="41">
        <v>0</v>
      </c>
      <c r="AD174" s="41">
        <v>0</v>
      </c>
      <c r="AE174" s="70">
        <f t="shared" si="25"/>
        <v>0</v>
      </c>
      <c r="AF174" s="28">
        <f t="shared" si="26"/>
        <v>36787041.720000006</v>
      </c>
      <c r="AG174" s="28">
        <f t="shared" si="27"/>
        <v>35715.574485436897</v>
      </c>
    </row>
    <row r="175" spans="1:33" ht="43.2" x14ac:dyDescent="0.3">
      <c r="A175" s="41" t="s">
        <v>696</v>
      </c>
      <c r="B175" s="41" t="s">
        <v>691</v>
      </c>
      <c r="C175" s="41" t="s">
        <v>658</v>
      </c>
      <c r="D175" s="41" t="s">
        <v>45</v>
      </c>
      <c r="E175" s="41" t="s">
        <v>1387</v>
      </c>
      <c r="F175" s="41" t="s">
        <v>709</v>
      </c>
      <c r="G175" s="67">
        <v>35000</v>
      </c>
      <c r="H175" s="41"/>
      <c r="I175" s="41"/>
      <c r="J175" s="67">
        <f t="shared" si="28"/>
        <v>0</v>
      </c>
      <c r="K175" s="41">
        <v>100</v>
      </c>
      <c r="L175" s="41">
        <v>5</v>
      </c>
      <c r="M175" s="70">
        <f t="shared" si="20"/>
        <v>19250000</v>
      </c>
      <c r="N175" s="41">
        <v>0</v>
      </c>
      <c r="O175" s="41">
        <v>0</v>
      </c>
      <c r="P175" s="70">
        <f t="shared" si="21"/>
        <v>0</v>
      </c>
      <c r="Q175" s="41">
        <v>0</v>
      </c>
      <c r="R175" s="41">
        <v>0</v>
      </c>
      <c r="S175" s="70">
        <f t="shared" si="22"/>
        <v>0</v>
      </c>
      <c r="T175" s="41">
        <v>0</v>
      </c>
      <c r="U175" s="41">
        <v>0</v>
      </c>
      <c r="V175" s="70">
        <f t="shared" si="23"/>
        <v>0</v>
      </c>
      <c r="W175" s="41">
        <v>100</v>
      </c>
      <c r="X175" s="41">
        <v>5</v>
      </c>
      <c r="Y175" s="70">
        <f t="shared" si="29"/>
        <v>28183925.000000007</v>
      </c>
      <c r="Z175" s="41">
        <v>0</v>
      </c>
      <c r="AA175" s="41">
        <v>0</v>
      </c>
      <c r="AB175" s="70">
        <f t="shared" si="24"/>
        <v>0</v>
      </c>
      <c r="AC175" s="41">
        <v>0</v>
      </c>
      <c r="AD175" s="41">
        <v>0</v>
      </c>
      <c r="AE175" s="70">
        <f t="shared" si="25"/>
        <v>0</v>
      </c>
      <c r="AF175" s="28">
        <f t="shared" si="26"/>
        <v>47433925.000000007</v>
      </c>
      <c r="AG175" s="28">
        <f t="shared" si="27"/>
        <v>46052.354368932043</v>
      </c>
    </row>
    <row r="176" spans="1:33" ht="43.2" x14ac:dyDescent="0.3">
      <c r="A176" s="41" t="s">
        <v>696</v>
      </c>
      <c r="B176" s="41" t="s">
        <v>691</v>
      </c>
      <c r="C176" s="41" t="s">
        <v>658</v>
      </c>
      <c r="D176" s="41" t="s">
        <v>45</v>
      </c>
      <c r="E176" s="41" t="s">
        <v>1387</v>
      </c>
      <c r="F176" s="41" t="s">
        <v>712</v>
      </c>
      <c r="G176" s="67">
        <f>1999.2/7</f>
        <v>285.60000000000002</v>
      </c>
      <c r="H176" s="41"/>
      <c r="I176" s="41"/>
      <c r="J176" s="67">
        <f t="shared" si="28"/>
        <v>0</v>
      </c>
      <c r="K176" s="41">
        <f>2*25*29</f>
        <v>1450</v>
      </c>
      <c r="L176" s="41">
        <v>5</v>
      </c>
      <c r="M176" s="70">
        <f t="shared" si="20"/>
        <v>2277660.0000000005</v>
      </c>
      <c r="N176" s="41">
        <v>0</v>
      </c>
      <c r="O176" s="41">
        <v>0</v>
      </c>
      <c r="P176" s="70">
        <f t="shared" si="21"/>
        <v>0</v>
      </c>
      <c r="Q176" s="41">
        <v>0</v>
      </c>
      <c r="R176" s="41">
        <v>0</v>
      </c>
      <c r="S176" s="70">
        <f t="shared" si="22"/>
        <v>0</v>
      </c>
      <c r="T176" s="41">
        <v>0</v>
      </c>
      <c r="U176" s="41">
        <v>0</v>
      </c>
      <c r="V176" s="70">
        <f t="shared" si="23"/>
        <v>0</v>
      </c>
      <c r="W176" s="41">
        <f>2*25*29</f>
        <v>1450</v>
      </c>
      <c r="X176" s="41">
        <v>5</v>
      </c>
      <c r="Y176" s="70">
        <f t="shared" si="29"/>
        <v>3334722.006000001</v>
      </c>
      <c r="Z176" s="41">
        <v>0</v>
      </c>
      <c r="AA176" s="41">
        <v>0</v>
      </c>
      <c r="AB176" s="70">
        <f t="shared" si="24"/>
        <v>0</v>
      </c>
      <c r="AC176" s="41">
        <v>0</v>
      </c>
      <c r="AD176" s="41">
        <v>0</v>
      </c>
      <c r="AE176" s="70">
        <f t="shared" si="25"/>
        <v>0</v>
      </c>
      <c r="AF176" s="28">
        <f t="shared" si="26"/>
        <v>5612382.006000001</v>
      </c>
      <c r="AG176" s="28">
        <f t="shared" si="27"/>
        <v>5448.9145689320394</v>
      </c>
    </row>
    <row r="177" spans="1:33" ht="43.2" x14ac:dyDescent="0.3">
      <c r="A177" s="41" t="s">
        <v>696</v>
      </c>
      <c r="B177" s="41" t="s">
        <v>691</v>
      </c>
      <c r="C177" s="41" t="s">
        <v>658</v>
      </c>
      <c r="D177" s="41" t="s">
        <v>45</v>
      </c>
      <c r="E177" s="41" t="s">
        <v>1387</v>
      </c>
      <c r="F177" s="41" t="s">
        <v>1299</v>
      </c>
      <c r="G177" s="67">
        <f>1999.2/7</f>
        <v>285.60000000000002</v>
      </c>
      <c r="H177" s="41"/>
      <c r="I177" s="41"/>
      <c r="J177" s="67">
        <f t="shared" si="28"/>
        <v>0</v>
      </c>
      <c r="K177" s="41">
        <v>22500</v>
      </c>
      <c r="L177" s="41">
        <v>1</v>
      </c>
      <c r="M177" s="70">
        <f t="shared" si="20"/>
        <v>7068600.0000000009</v>
      </c>
      <c r="N177" s="41"/>
      <c r="O177" s="41"/>
      <c r="P177" s="70">
        <f t="shared" si="21"/>
        <v>0</v>
      </c>
      <c r="Q177" s="41"/>
      <c r="R177" s="41"/>
      <c r="S177" s="70">
        <f t="shared" si="22"/>
        <v>0</v>
      </c>
      <c r="T177" s="41"/>
      <c r="U177" s="41"/>
      <c r="V177" s="70">
        <f t="shared" si="23"/>
        <v>0</v>
      </c>
      <c r="W177" s="41">
        <v>22500</v>
      </c>
      <c r="X177" s="41">
        <v>1</v>
      </c>
      <c r="Y177" s="70">
        <f t="shared" si="29"/>
        <v>10349137.260000004</v>
      </c>
      <c r="Z177" s="41"/>
      <c r="AA177" s="41"/>
      <c r="AB177" s="70">
        <f t="shared" si="24"/>
        <v>0</v>
      </c>
      <c r="AC177" s="41"/>
      <c r="AD177" s="41"/>
      <c r="AE177" s="70">
        <f t="shared" si="25"/>
        <v>0</v>
      </c>
      <c r="AF177" s="28">
        <f t="shared" si="26"/>
        <v>17417737.260000005</v>
      </c>
      <c r="AG177" s="28">
        <f t="shared" si="27"/>
        <v>16910.42452427185</v>
      </c>
    </row>
    <row r="178" spans="1:33" ht="43.2" x14ac:dyDescent="0.3">
      <c r="A178" s="41" t="s">
        <v>696</v>
      </c>
      <c r="B178" s="41" t="s">
        <v>691</v>
      </c>
      <c r="C178" s="41" t="s">
        <v>658</v>
      </c>
      <c r="D178" s="41" t="s">
        <v>45</v>
      </c>
      <c r="E178" s="41" t="s">
        <v>360</v>
      </c>
      <c r="F178" s="41" t="s">
        <v>709</v>
      </c>
      <c r="G178" s="67">
        <v>35000</v>
      </c>
      <c r="H178" s="41">
        <v>25</v>
      </c>
      <c r="I178" s="41">
        <v>5</v>
      </c>
      <c r="J178" s="67">
        <f t="shared" si="28"/>
        <v>4375000</v>
      </c>
      <c r="K178" s="41">
        <v>25</v>
      </c>
      <c r="L178" s="41">
        <v>5</v>
      </c>
      <c r="M178" s="70">
        <f t="shared" si="20"/>
        <v>4812500</v>
      </c>
      <c r="N178" s="41">
        <v>0</v>
      </c>
      <c r="O178" s="41">
        <v>0</v>
      </c>
      <c r="P178" s="70">
        <f t="shared" si="21"/>
        <v>0</v>
      </c>
      <c r="Q178" s="41">
        <v>0</v>
      </c>
      <c r="R178" s="41">
        <v>0</v>
      </c>
      <c r="S178" s="70">
        <f t="shared" si="22"/>
        <v>0</v>
      </c>
      <c r="T178" s="41">
        <v>0</v>
      </c>
      <c r="U178" s="41">
        <v>0</v>
      </c>
      <c r="V178" s="70">
        <f t="shared" si="23"/>
        <v>0</v>
      </c>
      <c r="W178" s="41">
        <v>25</v>
      </c>
      <c r="X178" s="41">
        <v>5</v>
      </c>
      <c r="Y178" s="70">
        <f t="shared" si="29"/>
        <v>7045981.2500000019</v>
      </c>
      <c r="Z178" s="41">
        <v>0</v>
      </c>
      <c r="AA178" s="41">
        <v>0</v>
      </c>
      <c r="AB178" s="70">
        <f t="shared" si="24"/>
        <v>0</v>
      </c>
      <c r="AC178" s="41">
        <v>0</v>
      </c>
      <c r="AD178" s="41">
        <v>0</v>
      </c>
      <c r="AE178" s="70">
        <f t="shared" si="25"/>
        <v>0</v>
      </c>
      <c r="AF178" s="28">
        <f t="shared" si="26"/>
        <v>16233481.250000002</v>
      </c>
      <c r="AG178" s="28">
        <f t="shared" si="27"/>
        <v>15760.661407766993</v>
      </c>
    </row>
    <row r="179" spans="1:33" ht="43.2" x14ac:dyDescent="0.3">
      <c r="A179" s="41" t="s">
        <v>696</v>
      </c>
      <c r="B179" s="41" t="s">
        <v>691</v>
      </c>
      <c r="C179" s="41" t="s">
        <v>658</v>
      </c>
      <c r="D179" s="41" t="s">
        <v>45</v>
      </c>
      <c r="E179" s="41" t="s">
        <v>360</v>
      </c>
      <c r="F179" s="41" t="s">
        <v>716</v>
      </c>
      <c r="G179" s="67">
        <v>39000</v>
      </c>
      <c r="H179" s="41">
        <v>25</v>
      </c>
      <c r="I179" s="41">
        <v>6</v>
      </c>
      <c r="J179" s="67">
        <f t="shared" si="28"/>
        <v>5850000</v>
      </c>
      <c r="K179" s="41">
        <v>25</v>
      </c>
      <c r="L179" s="41">
        <v>6</v>
      </c>
      <c r="M179" s="70">
        <f t="shared" si="20"/>
        <v>6435000</v>
      </c>
      <c r="N179" s="41">
        <v>0</v>
      </c>
      <c r="O179" s="41">
        <v>0</v>
      </c>
      <c r="P179" s="70">
        <f t="shared" si="21"/>
        <v>0</v>
      </c>
      <c r="Q179" s="41">
        <v>0</v>
      </c>
      <c r="R179" s="41">
        <v>0</v>
      </c>
      <c r="S179" s="70">
        <f t="shared" si="22"/>
        <v>0</v>
      </c>
      <c r="T179" s="41">
        <v>0</v>
      </c>
      <c r="U179" s="41">
        <v>0</v>
      </c>
      <c r="V179" s="70">
        <f t="shared" si="23"/>
        <v>0</v>
      </c>
      <c r="W179" s="41">
        <v>25</v>
      </c>
      <c r="X179" s="41">
        <v>6</v>
      </c>
      <c r="Y179" s="70">
        <f t="shared" si="29"/>
        <v>9421483.5000000037</v>
      </c>
      <c r="Z179" s="41">
        <v>0</v>
      </c>
      <c r="AA179" s="41">
        <v>0</v>
      </c>
      <c r="AB179" s="70">
        <f t="shared" si="24"/>
        <v>0</v>
      </c>
      <c r="AC179" s="41">
        <v>0</v>
      </c>
      <c r="AD179" s="41">
        <v>0</v>
      </c>
      <c r="AE179" s="70">
        <f t="shared" si="25"/>
        <v>0</v>
      </c>
      <c r="AF179" s="28">
        <f t="shared" si="26"/>
        <v>21706483.500000004</v>
      </c>
      <c r="AG179" s="28">
        <f t="shared" si="27"/>
        <v>21074.255825242722</v>
      </c>
    </row>
    <row r="180" spans="1:33" ht="43.2" x14ac:dyDescent="0.3">
      <c r="A180" s="41" t="s">
        <v>696</v>
      </c>
      <c r="B180" s="41" t="s">
        <v>691</v>
      </c>
      <c r="C180" s="41" t="s">
        <v>658</v>
      </c>
      <c r="D180" s="41" t="s">
        <v>45</v>
      </c>
      <c r="E180" s="41" t="s">
        <v>360</v>
      </c>
      <c r="F180" s="41" t="s">
        <v>712</v>
      </c>
      <c r="G180" s="67">
        <f>1999.2/7</f>
        <v>285.60000000000002</v>
      </c>
      <c r="H180" s="41">
        <f>2*25*9</f>
        <v>450</v>
      </c>
      <c r="I180" s="41">
        <v>5</v>
      </c>
      <c r="J180" s="67">
        <f t="shared" si="28"/>
        <v>642600.00000000012</v>
      </c>
      <c r="K180" s="41">
        <f>2*25*9</f>
        <v>450</v>
      </c>
      <c r="L180" s="41">
        <v>5</v>
      </c>
      <c r="M180" s="70">
        <f t="shared" si="20"/>
        <v>706860</v>
      </c>
      <c r="N180" s="41">
        <v>0</v>
      </c>
      <c r="O180" s="41">
        <v>0</v>
      </c>
      <c r="P180" s="70">
        <f t="shared" si="21"/>
        <v>0</v>
      </c>
      <c r="Q180" s="41">
        <v>0</v>
      </c>
      <c r="R180" s="41">
        <v>0</v>
      </c>
      <c r="S180" s="70">
        <f t="shared" si="22"/>
        <v>0</v>
      </c>
      <c r="T180" s="41">
        <v>0</v>
      </c>
      <c r="U180" s="41">
        <v>0</v>
      </c>
      <c r="V180" s="70">
        <f t="shared" si="23"/>
        <v>0</v>
      </c>
      <c r="W180" s="41">
        <f>2*25*9</f>
        <v>450</v>
      </c>
      <c r="X180" s="41">
        <v>5</v>
      </c>
      <c r="Y180" s="70">
        <f t="shared" si="29"/>
        <v>1034913.7260000005</v>
      </c>
      <c r="Z180" s="41">
        <v>0</v>
      </c>
      <c r="AA180" s="41">
        <v>0</v>
      </c>
      <c r="AB180" s="70">
        <f t="shared" si="24"/>
        <v>0</v>
      </c>
      <c r="AC180" s="41">
        <v>0</v>
      </c>
      <c r="AD180" s="41">
        <v>0</v>
      </c>
      <c r="AE180" s="70">
        <f t="shared" si="25"/>
        <v>0</v>
      </c>
      <c r="AF180" s="28">
        <f t="shared" si="26"/>
        <v>2384373.7260000007</v>
      </c>
      <c r="AG180" s="28">
        <f t="shared" si="27"/>
        <v>2314.9259475728163</v>
      </c>
    </row>
    <row r="181" spans="1:33" ht="43.2" x14ac:dyDescent="0.3">
      <c r="A181" s="41" t="s">
        <v>696</v>
      </c>
      <c r="B181" s="41" t="s">
        <v>691</v>
      </c>
      <c r="C181" s="41" t="s">
        <v>658</v>
      </c>
      <c r="D181" s="41" t="s">
        <v>45</v>
      </c>
      <c r="E181" s="41" t="s">
        <v>360</v>
      </c>
      <c r="F181" s="41" t="s">
        <v>1299</v>
      </c>
      <c r="G181" s="67">
        <f>1999.2/7</f>
        <v>285.60000000000002</v>
      </c>
      <c r="H181" s="41">
        <f>2*135*9</f>
        <v>2430</v>
      </c>
      <c r="I181" s="41">
        <v>1</v>
      </c>
      <c r="J181" s="67">
        <f t="shared" si="28"/>
        <v>694008</v>
      </c>
      <c r="K181" s="41">
        <f>2*135*9</f>
        <v>2430</v>
      </c>
      <c r="L181" s="41">
        <v>1</v>
      </c>
      <c r="M181" s="70">
        <f t="shared" si="20"/>
        <v>763408.8</v>
      </c>
      <c r="N181" s="41"/>
      <c r="O181" s="41"/>
      <c r="P181" s="70">
        <f t="shared" si="21"/>
        <v>0</v>
      </c>
      <c r="Q181" s="41"/>
      <c r="R181" s="41"/>
      <c r="S181" s="70">
        <f t="shared" si="22"/>
        <v>0</v>
      </c>
      <c r="T181" s="41"/>
      <c r="U181" s="41"/>
      <c r="V181" s="70">
        <f t="shared" si="23"/>
        <v>0</v>
      </c>
      <c r="W181" s="41">
        <f>2*135*9</f>
        <v>2430</v>
      </c>
      <c r="X181" s="41">
        <v>1</v>
      </c>
      <c r="Y181" s="70">
        <f t="shared" si="29"/>
        <v>1117706.8240800004</v>
      </c>
      <c r="Z181" s="41"/>
      <c r="AA181" s="41"/>
      <c r="AB181" s="70">
        <f t="shared" si="24"/>
        <v>0</v>
      </c>
      <c r="AC181" s="41"/>
      <c r="AD181" s="41"/>
      <c r="AE181" s="70">
        <f t="shared" si="25"/>
        <v>0</v>
      </c>
      <c r="AF181" s="28">
        <f t="shared" si="26"/>
        <v>2575123.6240800004</v>
      </c>
      <c r="AG181" s="28">
        <f t="shared" si="27"/>
        <v>2500.1200233786412</v>
      </c>
    </row>
    <row r="182" spans="1:33" ht="43.2" x14ac:dyDescent="0.3">
      <c r="A182" s="41" t="s">
        <v>696</v>
      </c>
      <c r="B182" s="41" t="s">
        <v>691</v>
      </c>
      <c r="C182" s="41" t="s">
        <v>658</v>
      </c>
      <c r="D182" s="41" t="s">
        <v>45</v>
      </c>
      <c r="E182" s="41" t="s">
        <v>361</v>
      </c>
      <c r="F182" s="41" t="s">
        <v>716</v>
      </c>
      <c r="G182" s="67">
        <v>39000</v>
      </c>
      <c r="H182" s="41">
        <v>100</v>
      </c>
      <c r="I182" s="41">
        <v>5</v>
      </c>
      <c r="J182" s="67">
        <f t="shared" si="28"/>
        <v>19500000</v>
      </c>
      <c r="K182" s="41">
        <v>100</v>
      </c>
      <c r="L182" s="41">
        <v>5</v>
      </c>
      <c r="M182" s="70">
        <f t="shared" si="20"/>
        <v>21450000</v>
      </c>
      <c r="N182" s="41">
        <v>0</v>
      </c>
      <c r="O182" s="41">
        <v>0</v>
      </c>
      <c r="P182" s="70">
        <f t="shared" si="21"/>
        <v>0</v>
      </c>
      <c r="Q182" s="41">
        <v>0</v>
      </c>
      <c r="R182" s="41">
        <v>0</v>
      </c>
      <c r="S182" s="70">
        <f t="shared" si="22"/>
        <v>0</v>
      </c>
      <c r="T182" s="41">
        <v>0</v>
      </c>
      <c r="U182" s="41">
        <v>0</v>
      </c>
      <c r="V182" s="70">
        <f t="shared" si="23"/>
        <v>0</v>
      </c>
      <c r="W182" s="41">
        <v>100</v>
      </c>
      <c r="X182" s="41">
        <v>5</v>
      </c>
      <c r="Y182" s="70">
        <f t="shared" si="29"/>
        <v>31404945.000000007</v>
      </c>
      <c r="Z182" s="41">
        <v>0</v>
      </c>
      <c r="AA182" s="41">
        <v>0</v>
      </c>
      <c r="AB182" s="70">
        <f t="shared" si="24"/>
        <v>0</v>
      </c>
      <c r="AC182" s="41">
        <v>0</v>
      </c>
      <c r="AD182" s="41">
        <v>0</v>
      </c>
      <c r="AE182" s="70">
        <f t="shared" si="25"/>
        <v>0</v>
      </c>
      <c r="AF182" s="28">
        <f t="shared" si="26"/>
        <v>72354945</v>
      </c>
      <c r="AG182" s="28">
        <f t="shared" si="27"/>
        <v>70247.519417475734</v>
      </c>
    </row>
    <row r="183" spans="1:33" ht="43.2" x14ac:dyDescent="0.3">
      <c r="A183" s="41" t="s">
        <v>696</v>
      </c>
      <c r="B183" s="41" t="s">
        <v>691</v>
      </c>
      <c r="C183" s="41" t="s">
        <v>658</v>
      </c>
      <c r="D183" s="41" t="s">
        <v>45</v>
      </c>
      <c r="E183" s="41" t="s">
        <v>361</v>
      </c>
      <c r="F183" s="41" t="s">
        <v>709</v>
      </c>
      <c r="G183" s="67">
        <v>35000</v>
      </c>
      <c r="H183" s="41">
        <v>58</v>
      </c>
      <c r="I183" s="41">
        <v>5</v>
      </c>
      <c r="J183" s="67">
        <f t="shared" si="28"/>
        <v>10150000</v>
      </c>
      <c r="K183" s="41">
        <v>58</v>
      </c>
      <c r="L183" s="41">
        <v>5</v>
      </c>
      <c r="M183" s="70">
        <f t="shared" si="20"/>
        <v>11165000</v>
      </c>
      <c r="N183" s="41">
        <v>0</v>
      </c>
      <c r="O183" s="41">
        <v>0</v>
      </c>
      <c r="P183" s="70">
        <f t="shared" si="21"/>
        <v>0</v>
      </c>
      <c r="Q183" s="41">
        <v>0</v>
      </c>
      <c r="R183" s="41">
        <v>0</v>
      </c>
      <c r="S183" s="70">
        <f t="shared" si="22"/>
        <v>0</v>
      </c>
      <c r="T183" s="41">
        <v>0</v>
      </c>
      <c r="U183" s="41">
        <v>0</v>
      </c>
      <c r="V183" s="70">
        <f t="shared" si="23"/>
        <v>0</v>
      </c>
      <c r="W183" s="41">
        <v>58</v>
      </c>
      <c r="X183" s="41">
        <v>5</v>
      </c>
      <c r="Y183" s="70">
        <f t="shared" si="29"/>
        <v>16346676.500000006</v>
      </c>
      <c r="Z183" s="41">
        <v>0</v>
      </c>
      <c r="AA183" s="41">
        <v>0</v>
      </c>
      <c r="AB183" s="70">
        <f t="shared" si="24"/>
        <v>0</v>
      </c>
      <c r="AC183" s="41">
        <v>0</v>
      </c>
      <c r="AD183" s="41">
        <v>0</v>
      </c>
      <c r="AE183" s="70">
        <f t="shared" si="25"/>
        <v>0</v>
      </c>
      <c r="AF183" s="28">
        <f t="shared" si="26"/>
        <v>37661676.500000007</v>
      </c>
      <c r="AG183" s="28">
        <f t="shared" si="27"/>
        <v>36564.734466019421</v>
      </c>
    </row>
    <row r="184" spans="1:33" ht="43.2" x14ac:dyDescent="0.3">
      <c r="A184" s="41" t="s">
        <v>696</v>
      </c>
      <c r="B184" s="41" t="s">
        <v>691</v>
      </c>
      <c r="C184" s="41" t="s">
        <v>658</v>
      </c>
      <c r="D184" s="41" t="s">
        <v>45</v>
      </c>
      <c r="E184" s="41" t="s">
        <v>361</v>
      </c>
      <c r="F184" s="41" t="s">
        <v>712</v>
      </c>
      <c r="G184" s="67">
        <f>1999.2/7</f>
        <v>285.60000000000002</v>
      </c>
      <c r="H184" s="41">
        <f>2*25*29</f>
        <v>1450</v>
      </c>
      <c r="I184" s="41">
        <v>5</v>
      </c>
      <c r="J184" s="67">
        <f t="shared" si="28"/>
        <v>2070600.0000000002</v>
      </c>
      <c r="K184" s="41">
        <f>2*25*29</f>
        <v>1450</v>
      </c>
      <c r="L184" s="41">
        <v>5</v>
      </c>
      <c r="M184" s="70">
        <f t="shared" si="20"/>
        <v>2277660.0000000005</v>
      </c>
      <c r="N184" s="41">
        <v>0</v>
      </c>
      <c r="O184" s="41">
        <v>0</v>
      </c>
      <c r="P184" s="70">
        <f t="shared" si="21"/>
        <v>0</v>
      </c>
      <c r="Q184" s="41">
        <v>0</v>
      </c>
      <c r="R184" s="41">
        <v>0</v>
      </c>
      <c r="S184" s="70">
        <f t="shared" si="22"/>
        <v>0</v>
      </c>
      <c r="T184" s="41">
        <v>0</v>
      </c>
      <c r="U184" s="41">
        <v>0</v>
      </c>
      <c r="V184" s="70">
        <f t="shared" si="23"/>
        <v>0</v>
      </c>
      <c r="W184" s="41">
        <f>2*25*29</f>
        <v>1450</v>
      </c>
      <c r="X184" s="41">
        <v>5</v>
      </c>
      <c r="Y184" s="70">
        <f t="shared" si="29"/>
        <v>3334722.006000001</v>
      </c>
      <c r="Z184" s="41">
        <v>0</v>
      </c>
      <c r="AA184" s="41">
        <v>0</v>
      </c>
      <c r="AB184" s="70">
        <f t="shared" si="24"/>
        <v>0</v>
      </c>
      <c r="AC184" s="41">
        <v>0</v>
      </c>
      <c r="AD184" s="41">
        <v>0</v>
      </c>
      <c r="AE184" s="70">
        <f t="shared" si="25"/>
        <v>0</v>
      </c>
      <c r="AF184" s="28">
        <f t="shared" si="26"/>
        <v>7682982.0060000019</v>
      </c>
      <c r="AG184" s="28">
        <f t="shared" si="27"/>
        <v>7459.2058310679631</v>
      </c>
    </row>
    <row r="185" spans="1:33" ht="43.2" x14ac:dyDescent="0.3">
      <c r="A185" s="41" t="s">
        <v>696</v>
      </c>
      <c r="B185" s="41" t="s">
        <v>691</v>
      </c>
      <c r="C185" s="41" t="s">
        <v>658</v>
      </c>
      <c r="D185" s="41" t="s">
        <v>45</v>
      </c>
      <c r="E185" s="41" t="s">
        <v>361</v>
      </c>
      <c r="F185" s="41" t="s">
        <v>1299</v>
      </c>
      <c r="G185" s="67">
        <f>1999.2/7</f>
        <v>285.60000000000002</v>
      </c>
      <c r="H185" s="41">
        <v>22500</v>
      </c>
      <c r="I185" s="41">
        <v>1</v>
      </c>
      <c r="J185" s="67">
        <f t="shared" si="28"/>
        <v>6426000.0000000009</v>
      </c>
      <c r="K185" s="41">
        <v>22500</v>
      </c>
      <c r="L185" s="41">
        <v>1</v>
      </c>
      <c r="M185" s="70">
        <f t="shared" si="20"/>
        <v>7068600.0000000009</v>
      </c>
      <c r="N185" s="41"/>
      <c r="O185" s="41"/>
      <c r="P185" s="70">
        <f t="shared" si="21"/>
        <v>0</v>
      </c>
      <c r="Q185" s="41"/>
      <c r="R185" s="41"/>
      <c r="S185" s="70">
        <f t="shared" si="22"/>
        <v>0</v>
      </c>
      <c r="T185" s="41"/>
      <c r="U185" s="41"/>
      <c r="V185" s="70">
        <f t="shared" si="23"/>
        <v>0</v>
      </c>
      <c r="W185" s="41">
        <v>22500</v>
      </c>
      <c r="X185" s="41">
        <v>1</v>
      </c>
      <c r="Y185" s="70">
        <f t="shared" si="29"/>
        <v>10349137.260000004</v>
      </c>
      <c r="Z185" s="41"/>
      <c r="AA185" s="41"/>
      <c r="AB185" s="70">
        <f t="shared" si="24"/>
        <v>0</v>
      </c>
      <c r="AC185" s="41"/>
      <c r="AD185" s="41"/>
      <c r="AE185" s="70">
        <f t="shared" si="25"/>
        <v>0</v>
      </c>
      <c r="AF185" s="28">
        <f t="shared" si="26"/>
        <v>23843737.260000005</v>
      </c>
      <c r="AG185" s="28">
        <f t="shared" si="27"/>
        <v>23149.259475728162</v>
      </c>
    </row>
    <row r="186" spans="1:33" ht="43.2" x14ac:dyDescent="0.3">
      <c r="A186" s="41" t="s">
        <v>696</v>
      </c>
      <c r="B186" s="41" t="s">
        <v>691</v>
      </c>
      <c r="C186" s="41" t="s">
        <v>658</v>
      </c>
      <c r="D186" s="41" t="s">
        <v>45</v>
      </c>
      <c r="E186" s="41" t="s">
        <v>166</v>
      </c>
      <c r="F186" s="41" t="s">
        <v>709</v>
      </c>
      <c r="G186" s="67">
        <v>35000</v>
      </c>
      <c r="H186" s="41">
        <v>50</v>
      </c>
      <c r="I186" s="41">
        <v>1</v>
      </c>
      <c r="J186" s="67">
        <f t="shared" si="28"/>
        <v>1750000</v>
      </c>
      <c r="K186" s="41">
        <v>50</v>
      </c>
      <c r="L186" s="41">
        <v>1</v>
      </c>
      <c r="M186" s="70">
        <f t="shared" si="20"/>
        <v>1925000</v>
      </c>
      <c r="N186" s="41">
        <v>0</v>
      </c>
      <c r="O186" s="41">
        <v>0</v>
      </c>
      <c r="P186" s="70">
        <f t="shared" si="21"/>
        <v>0</v>
      </c>
      <c r="Q186" s="41">
        <v>0</v>
      </c>
      <c r="R186" s="41">
        <v>0</v>
      </c>
      <c r="S186" s="70">
        <f t="shared" si="22"/>
        <v>0</v>
      </c>
      <c r="T186" s="41">
        <v>0</v>
      </c>
      <c r="U186" s="41">
        <v>0</v>
      </c>
      <c r="V186" s="70">
        <f t="shared" si="23"/>
        <v>0</v>
      </c>
      <c r="W186" s="41">
        <v>50</v>
      </c>
      <c r="X186" s="41">
        <v>1</v>
      </c>
      <c r="Y186" s="70">
        <f t="shared" si="29"/>
        <v>2818392.5000000009</v>
      </c>
      <c r="Z186" s="41">
        <v>0</v>
      </c>
      <c r="AA186" s="41">
        <v>0</v>
      </c>
      <c r="AB186" s="70">
        <f t="shared" si="24"/>
        <v>0</v>
      </c>
      <c r="AC186" s="41">
        <v>0</v>
      </c>
      <c r="AD186" s="41">
        <v>0</v>
      </c>
      <c r="AE186" s="70">
        <f t="shared" si="25"/>
        <v>0</v>
      </c>
      <c r="AF186" s="28">
        <f t="shared" si="26"/>
        <v>6493392.5000000009</v>
      </c>
      <c r="AG186" s="28">
        <f t="shared" si="27"/>
        <v>6304.2645631067971</v>
      </c>
    </row>
    <row r="187" spans="1:33" ht="43.2" x14ac:dyDescent="0.3">
      <c r="A187" s="41" t="s">
        <v>696</v>
      </c>
      <c r="B187" s="41" t="s">
        <v>691</v>
      </c>
      <c r="C187" s="41" t="s">
        <v>658</v>
      </c>
      <c r="D187" s="41" t="s">
        <v>45</v>
      </c>
      <c r="E187" s="41" t="s">
        <v>296</v>
      </c>
      <c r="F187" s="41" t="s">
        <v>718</v>
      </c>
      <c r="G187" s="67">
        <v>0</v>
      </c>
      <c r="H187" s="41">
        <v>0</v>
      </c>
      <c r="I187" s="41">
        <v>0</v>
      </c>
      <c r="J187" s="67">
        <f t="shared" si="28"/>
        <v>0</v>
      </c>
      <c r="K187" s="41">
        <v>0</v>
      </c>
      <c r="L187" s="41">
        <v>0</v>
      </c>
      <c r="M187" s="70">
        <f t="shared" si="20"/>
        <v>0</v>
      </c>
      <c r="N187" s="41">
        <v>0</v>
      </c>
      <c r="O187" s="41">
        <v>0</v>
      </c>
      <c r="P187" s="70">
        <f t="shared" si="21"/>
        <v>0</v>
      </c>
      <c r="Q187" s="41">
        <v>0</v>
      </c>
      <c r="R187" s="41">
        <v>0</v>
      </c>
      <c r="S187" s="70">
        <f t="shared" si="22"/>
        <v>0</v>
      </c>
      <c r="T187" s="41">
        <v>0</v>
      </c>
      <c r="U187" s="41">
        <v>0</v>
      </c>
      <c r="V187" s="70">
        <f t="shared" si="23"/>
        <v>0</v>
      </c>
      <c r="W187" s="41">
        <v>0</v>
      </c>
      <c r="X187" s="41">
        <v>0</v>
      </c>
      <c r="Y187" s="70">
        <f t="shared" si="29"/>
        <v>0</v>
      </c>
      <c r="Z187" s="41">
        <v>0</v>
      </c>
      <c r="AA187" s="41">
        <v>0</v>
      </c>
      <c r="AB187" s="70">
        <f t="shared" si="24"/>
        <v>0</v>
      </c>
      <c r="AC187" s="41">
        <v>0</v>
      </c>
      <c r="AD187" s="41">
        <v>0</v>
      </c>
      <c r="AE187" s="70">
        <f t="shared" si="25"/>
        <v>0</v>
      </c>
      <c r="AF187" s="28">
        <f t="shared" si="26"/>
        <v>0</v>
      </c>
      <c r="AG187" s="28">
        <f t="shared" si="27"/>
        <v>0</v>
      </c>
    </row>
    <row r="188" spans="1:33" ht="43.2" x14ac:dyDescent="0.3">
      <c r="A188" s="41" t="s">
        <v>696</v>
      </c>
      <c r="B188" s="41" t="s">
        <v>691</v>
      </c>
      <c r="C188" s="41" t="s">
        <v>658</v>
      </c>
      <c r="D188" s="41" t="s">
        <v>45</v>
      </c>
      <c r="E188" s="41" t="s">
        <v>362</v>
      </c>
      <c r="F188" s="41" t="s">
        <v>709</v>
      </c>
      <c r="G188" s="67">
        <v>35000</v>
      </c>
      <c r="H188" s="41">
        <v>50</v>
      </c>
      <c r="I188" s="41">
        <v>1</v>
      </c>
      <c r="J188" s="67">
        <f t="shared" si="28"/>
        <v>1750000</v>
      </c>
      <c r="K188" s="41">
        <v>50</v>
      </c>
      <c r="L188" s="41">
        <v>1</v>
      </c>
      <c r="M188" s="70">
        <f t="shared" si="20"/>
        <v>1925000</v>
      </c>
      <c r="N188" s="41">
        <v>0</v>
      </c>
      <c r="O188" s="41">
        <v>0</v>
      </c>
      <c r="P188" s="70">
        <f t="shared" si="21"/>
        <v>0</v>
      </c>
      <c r="Q188" s="41">
        <v>0</v>
      </c>
      <c r="R188" s="41">
        <v>0</v>
      </c>
      <c r="S188" s="70">
        <f t="shared" si="22"/>
        <v>0</v>
      </c>
      <c r="T188" s="41">
        <v>0</v>
      </c>
      <c r="U188" s="41">
        <v>0</v>
      </c>
      <c r="V188" s="70">
        <f t="shared" si="23"/>
        <v>0</v>
      </c>
      <c r="W188" s="41">
        <v>50</v>
      </c>
      <c r="X188" s="41">
        <v>1</v>
      </c>
      <c r="Y188" s="70">
        <f t="shared" si="29"/>
        <v>2818392.5000000009</v>
      </c>
      <c r="Z188" s="41">
        <v>0</v>
      </c>
      <c r="AA188" s="41">
        <v>0</v>
      </c>
      <c r="AB188" s="70">
        <f t="shared" si="24"/>
        <v>0</v>
      </c>
      <c r="AC188" s="41">
        <v>0</v>
      </c>
      <c r="AD188" s="41">
        <v>0</v>
      </c>
      <c r="AE188" s="70">
        <f t="shared" si="25"/>
        <v>0</v>
      </c>
      <c r="AF188" s="28">
        <f t="shared" si="26"/>
        <v>6493392.5000000009</v>
      </c>
      <c r="AG188" s="28">
        <f t="shared" si="27"/>
        <v>6304.2645631067971</v>
      </c>
    </row>
    <row r="189" spans="1:33" ht="43.2" x14ac:dyDescent="0.3">
      <c r="A189" s="41" t="s">
        <v>696</v>
      </c>
      <c r="B189" s="41" t="s">
        <v>691</v>
      </c>
      <c r="C189" s="41" t="s">
        <v>658</v>
      </c>
      <c r="D189" s="41" t="s">
        <v>45</v>
      </c>
      <c r="E189" s="41" t="s">
        <v>363</v>
      </c>
      <c r="F189" s="41" t="s">
        <v>718</v>
      </c>
      <c r="G189" s="67">
        <v>0</v>
      </c>
      <c r="H189" s="41">
        <v>0</v>
      </c>
      <c r="I189" s="41">
        <v>0</v>
      </c>
      <c r="J189" s="67">
        <f t="shared" si="28"/>
        <v>0</v>
      </c>
      <c r="K189" s="41">
        <v>0</v>
      </c>
      <c r="L189" s="41">
        <v>0</v>
      </c>
      <c r="M189" s="70">
        <f t="shared" si="20"/>
        <v>0</v>
      </c>
      <c r="N189" s="41">
        <v>0</v>
      </c>
      <c r="O189" s="41">
        <v>0</v>
      </c>
      <c r="P189" s="70">
        <f t="shared" si="21"/>
        <v>0</v>
      </c>
      <c r="Q189" s="41">
        <v>0</v>
      </c>
      <c r="R189" s="41">
        <v>0</v>
      </c>
      <c r="S189" s="70">
        <f t="shared" si="22"/>
        <v>0</v>
      </c>
      <c r="T189" s="41">
        <v>0</v>
      </c>
      <c r="U189" s="41">
        <v>0</v>
      </c>
      <c r="V189" s="70">
        <f t="shared" si="23"/>
        <v>0</v>
      </c>
      <c r="W189" s="41">
        <v>0</v>
      </c>
      <c r="X189" s="41">
        <v>0</v>
      </c>
      <c r="Y189" s="70">
        <f t="shared" si="29"/>
        <v>0</v>
      </c>
      <c r="Z189" s="41">
        <v>0</v>
      </c>
      <c r="AA189" s="41">
        <v>0</v>
      </c>
      <c r="AB189" s="70">
        <f t="shared" si="24"/>
        <v>0</v>
      </c>
      <c r="AC189" s="41">
        <v>0</v>
      </c>
      <c r="AD189" s="41">
        <v>0</v>
      </c>
      <c r="AE189" s="70">
        <f t="shared" si="25"/>
        <v>0</v>
      </c>
      <c r="AF189" s="28">
        <f t="shared" si="26"/>
        <v>0</v>
      </c>
      <c r="AG189" s="28">
        <f t="shared" si="27"/>
        <v>0</v>
      </c>
    </row>
    <row r="190" spans="1:33" ht="43.2" x14ac:dyDescent="0.3">
      <c r="A190" s="41" t="s">
        <v>696</v>
      </c>
      <c r="B190" s="41" t="s">
        <v>691</v>
      </c>
      <c r="C190" s="41" t="s">
        <v>658</v>
      </c>
      <c r="D190" s="41" t="s">
        <v>45</v>
      </c>
      <c r="E190" s="41" t="s">
        <v>364</v>
      </c>
      <c r="F190" s="41" t="s">
        <v>713</v>
      </c>
      <c r="G190" s="67">
        <v>45000</v>
      </c>
      <c r="H190" s="41">
        <v>29</v>
      </c>
      <c r="I190" s="41">
        <v>6</v>
      </c>
      <c r="J190" s="67">
        <f t="shared" si="28"/>
        <v>7830000</v>
      </c>
      <c r="K190" s="41">
        <v>29</v>
      </c>
      <c r="L190" s="41">
        <v>6</v>
      </c>
      <c r="M190" s="70">
        <f t="shared" si="20"/>
        <v>8613000.0000000019</v>
      </c>
      <c r="N190" s="41">
        <v>0</v>
      </c>
      <c r="O190" s="41">
        <v>0</v>
      </c>
      <c r="P190" s="70">
        <f t="shared" si="21"/>
        <v>0</v>
      </c>
      <c r="Q190" s="41">
        <v>0</v>
      </c>
      <c r="R190" s="41">
        <v>0</v>
      </c>
      <c r="S190" s="70">
        <f t="shared" si="22"/>
        <v>0</v>
      </c>
      <c r="T190" s="41">
        <v>0</v>
      </c>
      <c r="U190" s="41">
        <v>0</v>
      </c>
      <c r="V190" s="70">
        <f t="shared" si="23"/>
        <v>0</v>
      </c>
      <c r="W190" s="41">
        <v>29</v>
      </c>
      <c r="X190" s="41">
        <v>6</v>
      </c>
      <c r="Y190" s="70">
        <f t="shared" si="29"/>
        <v>12610293.300000004</v>
      </c>
      <c r="Z190" s="41">
        <v>0</v>
      </c>
      <c r="AA190" s="41">
        <v>0</v>
      </c>
      <c r="AB190" s="70">
        <f t="shared" si="24"/>
        <v>0</v>
      </c>
      <c r="AC190" s="41">
        <v>0</v>
      </c>
      <c r="AD190" s="41">
        <v>0</v>
      </c>
      <c r="AE190" s="70">
        <f t="shared" si="25"/>
        <v>0</v>
      </c>
      <c r="AF190" s="28">
        <f t="shared" si="26"/>
        <v>29053293.300000004</v>
      </c>
      <c r="AG190" s="28">
        <f t="shared" si="27"/>
        <v>28207.080873786414</v>
      </c>
    </row>
    <row r="191" spans="1:33" ht="43.2" x14ac:dyDescent="0.3">
      <c r="A191" s="41" t="s">
        <v>696</v>
      </c>
      <c r="B191" s="41" t="s">
        <v>691</v>
      </c>
      <c r="C191" s="41" t="s">
        <v>658</v>
      </c>
      <c r="D191" s="41" t="s">
        <v>45</v>
      </c>
      <c r="E191" s="41" t="s">
        <v>364</v>
      </c>
      <c r="F191" s="41" t="s">
        <v>712</v>
      </c>
      <c r="G191" s="67">
        <f>1999.2/7</f>
        <v>285.60000000000002</v>
      </c>
      <c r="H191" s="41">
        <v>22500</v>
      </c>
      <c r="I191" s="41">
        <v>5</v>
      </c>
      <c r="J191" s="67">
        <f t="shared" si="28"/>
        <v>32130000.000000004</v>
      </c>
      <c r="K191" s="41">
        <v>22500</v>
      </c>
      <c r="L191" s="41">
        <v>5</v>
      </c>
      <c r="M191" s="70">
        <f t="shared" si="20"/>
        <v>35343000.000000007</v>
      </c>
      <c r="N191" s="41">
        <v>0</v>
      </c>
      <c r="O191" s="41">
        <v>0</v>
      </c>
      <c r="P191" s="70">
        <f t="shared" si="21"/>
        <v>0</v>
      </c>
      <c r="Q191" s="41">
        <v>0</v>
      </c>
      <c r="R191" s="41">
        <v>0</v>
      </c>
      <c r="S191" s="70">
        <f t="shared" si="22"/>
        <v>0</v>
      </c>
      <c r="T191" s="41">
        <v>0</v>
      </c>
      <c r="U191" s="41">
        <v>0</v>
      </c>
      <c r="V191" s="70">
        <f t="shared" si="23"/>
        <v>0</v>
      </c>
      <c r="W191" s="41">
        <v>22500</v>
      </c>
      <c r="X191" s="41">
        <v>5</v>
      </c>
      <c r="Y191" s="70">
        <f t="shared" si="29"/>
        <v>51745686.300000019</v>
      </c>
      <c r="Z191" s="41">
        <v>0</v>
      </c>
      <c r="AA191" s="41">
        <v>0</v>
      </c>
      <c r="AB191" s="70">
        <f t="shared" si="24"/>
        <v>0</v>
      </c>
      <c r="AC191" s="41">
        <v>0</v>
      </c>
      <c r="AD191" s="41">
        <v>0</v>
      </c>
      <c r="AE191" s="70">
        <f t="shared" si="25"/>
        <v>0</v>
      </c>
      <c r="AF191" s="28">
        <f t="shared" si="26"/>
        <v>119218686.30000004</v>
      </c>
      <c r="AG191" s="28">
        <f t="shared" si="27"/>
        <v>115746.29737864081</v>
      </c>
    </row>
    <row r="192" spans="1:33" ht="43.2" x14ac:dyDescent="0.3">
      <c r="A192" s="41" t="s">
        <v>696</v>
      </c>
      <c r="B192" s="41" t="s">
        <v>691</v>
      </c>
      <c r="C192" s="41" t="s">
        <v>658</v>
      </c>
      <c r="D192" s="41" t="s">
        <v>45</v>
      </c>
      <c r="E192" s="41" t="s">
        <v>364</v>
      </c>
      <c r="F192" s="41" t="s">
        <v>1299</v>
      </c>
      <c r="G192" s="67">
        <f>1999.2/7</f>
        <v>285.60000000000002</v>
      </c>
      <c r="H192" s="41">
        <v>90000</v>
      </c>
      <c r="I192" s="41">
        <v>1</v>
      </c>
      <c r="J192" s="67">
        <f t="shared" si="28"/>
        <v>25704000.000000004</v>
      </c>
      <c r="K192" s="41">
        <v>90000</v>
      </c>
      <c r="L192" s="41">
        <v>1</v>
      </c>
      <c r="M192" s="70">
        <f t="shared" si="20"/>
        <v>28274400.000000004</v>
      </c>
      <c r="N192" s="41"/>
      <c r="O192" s="41"/>
      <c r="P192" s="70">
        <f t="shared" si="21"/>
        <v>0</v>
      </c>
      <c r="Q192" s="41"/>
      <c r="R192" s="41"/>
      <c r="S192" s="70">
        <f t="shared" si="22"/>
        <v>0</v>
      </c>
      <c r="T192" s="41"/>
      <c r="U192" s="41"/>
      <c r="V192" s="70">
        <f t="shared" si="23"/>
        <v>0</v>
      </c>
      <c r="W192" s="41">
        <v>90000</v>
      </c>
      <c r="X192" s="41">
        <v>1</v>
      </c>
      <c r="Y192" s="70">
        <f t="shared" si="29"/>
        <v>41396549.040000014</v>
      </c>
      <c r="Z192" s="41"/>
      <c r="AA192" s="41"/>
      <c r="AB192" s="70">
        <f t="shared" si="24"/>
        <v>0</v>
      </c>
      <c r="AC192" s="41"/>
      <c r="AD192" s="41"/>
      <c r="AE192" s="70">
        <f t="shared" si="25"/>
        <v>0</v>
      </c>
      <c r="AF192" s="28">
        <f t="shared" si="26"/>
        <v>95374949.040000021</v>
      </c>
      <c r="AG192" s="28">
        <f t="shared" si="27"/>
        <v>92597.037902912649</v>
      </c>
    </row>
    <row r="193" spans="1:33" ht="43.2" x14ac:dyDescent="0.3">
      <c r="A193" s="41" t="s">
        <v>696</v>
      </c>
      <c r="B193" s="41" t="s">
        <v>691</v>
      </c>
      <c r="C193" s="41" t="s">
        <v>658</v>
      </c>
      <c r="D193" s="41" t="s">
        <v>45</v>
      </c>
      <c r="E193" s="41" t="s">
        <v>1388</v>
      </c>
      <c r="F193" s="41" t="s">
        <v>713</v>
      </c>
      <c r="G193" s="67">
        <v>45000</v>
      </c>
      <c r="H193" s="41">
        <v>25</v>
      </c>
      <c r="I193" s="41">
        <f>6*4</f>
        <v>24</v>
      </c>
      <c r="J193" s="67">
        <f t="shared" si="28"/>
        <v>27000000</v>
      </c>
      <c r="K193" s="41">
        <v>25</v>
      </c>
      <c r="L193" s="41">
        <f>6*4</f>
        <v>24</v>
      </c>
      <c r="M193" s="70">
        <f t="shared" si="20"/>
        <v>29700000.000000007</v>
      </c>
      <c r="N193" s="41">
        <v>0</v>
      </c>
      <c r="O193" s="41">
        <v>0</v>
      </c>
      <c r="P193" s="70">
        <f t="shared" si="21"/>
        <v>0</v>
      </c>
      <c r="Q193" s="41">
        <v>0</v>
      </c>
      <c r="R193" s="41">
        <v>0</v>
      </c>
      <c r="S193" s="70">
        <f t="shared" si="22"/>
        <v>0</v>
      </c>
      <c r="T193" s="41">
        <v>0</v>
      </c>
      <c r="U193" s="41">
        <v>0</v>
      </c>
      <c r="V193" s="70">
        <f t="shared" si="23"/>
        <v>0</v>
      </c>
      <c r="W193" s="41">
        <v>25</v>
      </c>
      <c r="X193" s="41">
        <f>6*4</f>
        <v>24</v>
      </c>
      <c r="Y193" s="70">
        <f t="shared" si="29"/>
        <v>43483770.000000015</v>
      </c>
      <c r="Z193" s="41">
        <v>0</v>
      </c>
      <c r="AA193" s="41">
        <v>0</v>
      </c>
      <c r="AB193" s="70">
        <f t="shared" si="24"/>
        <v>0</v>
      </c>
      <c r="AC193" s="41">
        <v>0</v>
      </c>
      <c r="AD193" s="41">
        <v>0</v>
      </c>
      <c r="AE193" s="70">
        <f t="shared" si="25"/>
        <v>0</v>
      </c>
      <c r="AF193" s="28">
        <f t="shared" si="26"/>
        <v>100183770.00000003</v>
      </c>
      <c r="AG193" s="28">
        <f t="shared" si="27"/>
        <v>97265.796116504876</v>
      </c>
    </row>
    <row r="194" spans="1:33" ht="43.2" x14ac:dyDescent="0.3">
      <c r="A194" s="41" t="s">
        <v>696</v>
      </c>
      <c r="B194" s="41" t="s">
        <v>691</v>
      </c>
      <c r="C194" s="41" t="s">
        <v>658</v>
      </c>
      <c r="D194" s="41" t="s">
        <v>45</v>
      </c>
      <c r="E194" s="41" t="s">
        <v>1388</v>
      </c>
      <c r="F194" s="41" t="s">
        <v>712</v>
      </c>
      <c r="G194" s="67">
        <f>1999.2/7</f>
        <v>285.60000000000002</v>
      </c>
      <c r="H194" s="41">
        <f>2*25*9</f>
        <v>450</v>
      </c>
      <c r="I194" s="41">
        <f>5*4</f>
        <v>20</v>
      </c>
      <c r="J194" s="67">
        <f t="shared" si="28"/>
        <v>2570400.0000000005</v>
      </c>
      <c r="K194" s="41">
        <f>2*25*9</f>
        <v>450</v>
      </c>
      <c r="L194" s="41">
        <f>5*4</f>
        <v>20</v>
      </c>
      <c r="M194" s="70">
        <f t="shared" si="20"/>
        <v>2827440</v>
      </c>
      <c r="N194" s="41">
        <v>0</v>
      </c>
      <c r="O194" s="41">
        <v>0</v>
      </c>
      <c r="P194" s="70">
        <f t="shared" si="21"/>
        <v>0</v>
      </c>
      <c r="Q194" s="41">
        <v>0</v>
      </c>
      <c r="R194" s="41">
        <v>0</v>
      </c>
      <c r="S194" s="70">
        <f t="shared" si="22"/>
        <v>0</v>
      </c>
      <c r="T194" s="41">
        <v>0</v>
      </c>
      <c r="U194" s="41">
        <v>0</v>
      </c>
      <c r="V194" s="70">
        <f t="shared" si="23"/>
        <v>0</v>
      </c>
      <c r="W194" s="41">
        <f>2*25*9</f>
        <v>450</v>
      </c>
      <c r="X194" s="41">
        <f>5*4</f>
        <v>20</v>
      </c>
      <c r="Y194" s="70">
        <f t="shared" si="29"/>
        <v>4139654.904000002</v>
      </c>
      <c r="Z194" s="41">
        <v>0</v>
      </c>
      <c r="AA194" s="41">
        <v>0</v>
      </c>
      <c r="AB194" s="70">
        <f t="shared" si="24"/>
        <v>0</v>
      </c>
      <c r="AC194" s="41">
        <v>0</v>
      </c>
      <c r="AD194" s="41">
        <v>0</v>
      </c>
      <c r="AE194" s="70">
        <f t="shared" si="25"/>
        <v>0</v>
      </c>
      <c r="AF194" s="28">
        <f t="shared" si="26"/>
        <v>9537494.9040000029</v>
      </c>
      <c r="AG194" s="28">
        <f t="shared" si="27"/>
        <v>9259.7037902912652</v>
      </c>
    </row>
    <row r="195" spans="1:33" ht="43.2" x14ac:dyDescent="0.3">
      <c r="A195" s="41" t="s">
        <v>696</v>
      </c>
      <c r="B195" s="41" t="s">
        <v>691</v>
      </c>
      <c r="C195" s="41" t="s">
        <v>658</v>
      </c>
      <c r="D195" s="41" t="s">
        <v>45</v>
      </c>
      <c r="E195" s="41" t="s">
        <v>1388</v>
      </c>
      <c r="F195" s="41" t="s">
        <v>1299</v>
      </c>
      <c r="G195" s="67">
        <f>1999.2/7</f>
        <v>285.60000000000002</v>
      </c>
      <c r="H195" s="41">
        <f>2*135*9</f>
        <v>2430</v>
      </c>
      <c r="I195" s="41">
        <v>4</v>
      </c>
      <c r="J195" s="67">
        <f t="shared" si="28"/>
        <v>2776032</v>
      </c>
      <c r="K195" s="41">
        <f>2*135*9</f>
        <v>2430</v>
      </c>
      <c r="L195" s="41">
        <v>4</v>
      </c>
      <c r="M195" s="70">
        <f t="shared" ref="M195:M258" si="30">($G195*1.1^1)*K195*L195</f>
        <v>3053635.2</v>
      </c>
      <c r="N195" s="41"/>
      <c r="O195" s="41"/>
      <c r="P195" s="70">
        <f t="shared" ref="P195:P258" si="31">($G195*1.1^2)*N195*O195</f>
        <v>0</v>
      </c>
      <c r="Q195" s="41"/>
      <c r="R195" s="41"/>
      <c r="S195" s="70">
        <f t="shared" ref="S195:S258" si="32">($G195*1.1^3)*Q195*R195</f>
        <v>0</v>
      </c>
      <c r="T195" s="41"/>
      <c r="U195" s="41"/>
      <c r="V195" s="70">
        <f t="shared" ref="V195:V258" si="33">($G195*1.1^4)*T195*U195</f>
        <v>0</v>
      </c>
      <c r="W195" s="41">
        <f>2*135*9</f>
        <v>2430</v>
      </c>
      <c r="X195" s="41">
        <v>4</v>
      </c>
      <c r="Y195" s="70">
        <f t="shared" si="29"/>
        <v>4470827.2963200016</v>
      </c>
      <c r="Z195" s="41"/>
      <c r="AA195" s="41"/>
      <c r="AB195" s="70">
        <f t="shared" ref="AB195:AB258" si="34">($G195*1.1^6)*Z195*AA195</f>
        <v>0</v>
      </c>
      <c r="AC195" s="41"/>
      <c r="AD195" s="41"/>
      <c r="AE195" s="70">
        <f t="shared" ref="AE195:AE258" si="35">($G195*1.1^7)*AC195*AD195</f>
        <v>0</v>
      </c>
      <c r="AF195" s="28">
        <f t="shared" ref="AF195:AF258" si="36">J195+M195+P195+S195+V195+Y195+AB195+AE195</f>
        <v>10300494.496320002</v>
      </c>
      <c r="AG195" s="28">
        <f t="shared" ref="AG195:AG258" si="37">AF195/$AL$2</f>
        <v>10000.480093514565</v>
      </c>
    </row>
    <row r="196" spans="1:33" ht="43.2" x14ac:dyDescent="0.3">
      <c r="A196" s="41" t="s">
        <v>696</v>
      </c>
      <c r="B196" s="41" t="s">
        <v>691</v>
      </c>
      <c r="C196" s="41" t="s">
        <v>658</v>
      </c>
      <c r="D196" s="41" t="s">
        <v>45</v>
      </c>
      <c r="E196" s="41" t="s">
        <v>1388</v>
      </c>
      <c r="F196" s="41" t="s">
        <v>716</v>
      </c>
      <c r="G196" s="67">
        <v>39000</v>
      </c>
      <c r="H196" s="41">
        <v>4500</v>
      </c>
      <c r="I196" s="41">
        <v>2</v>
      </c>
      <c r="J196" s="67">
        <f t="shared" si="28"/>
        <v>351000000</v>
      </c>
      <c r="K196" s="41">
        <v>4500</v>
      </c>
      <c r="L196" s="41">
        <v>2</v>
      </c>
      <c r="M196" s="70">
        <f t="shared" si="30"/>
        <v>386100000</v>
      </c>
      <c r="N196" s="41">
        <v>0</v>
      </c>
      <c r="O196" s="41">
        <v>0</v>
      </c>
      <c r="P196" s="70">
        <f t="shared" si="31"/>
        <v>0</v>
      </c>
      <c r="Q196" s="41">
        <v>0</v>
      </c>
      <c r="R196" s="41">
        <v>0</v>
      </c>
      <c r="S196" s="70">
        <f t="shared" si="32"/>
        <v>0</v>
      </c>
      <c r="T196" s="41">
        <v>0</v>
      </c>
      <c r="U196" s="41">
        <v>0</v>
      </c>
      <c r="V196" s="70">
        <f t="shared" si="33"/>
        <v>0</v>
      </c>
      <c r="W196" s="41">
        <v>4500</v>
      </c>
      <c r="X196" s="41">
        <v>2</v>
      </c>
      <c r="Y196" s="70">
        <f t="shared" si="29"/>
        <v>565289010.00000024</v>
      </c>
      <c r="Z196" s="41">
        <v>0</v>
      </c>
      <c r="AA196" s="41">
        <v>0</v>
      </c>
      <c r="AB196" s="70">
        <f t="shared" si="34"/>
        <v>0</v>
      </c>
      <c r="AC196" s="41">
        <v>0</v>
      </c>
      <c r="AD196" s="41">
        <v>0</v>
      </c>
      <c r="AE196" s="70">
        <f t="shared" si="35"/>
        <v>0</v>
      </c>
      <c r="AF196" s="28">
        <f t="shared" si="36"/>
        <v>1302389010.0000002</v>
      </c>
      <c r="AG196" s="28">
        <f t="shared" si="37"/>
        <v>1264455.3495145633</v>
      </c>
    </row>
    <row r="197" spans="1:33" ht="43.2" x14ac:dyDescent="0.3">
      <c r="A197" s="41" t="s">
        <v>696</v>
      </c>
      <c r="B197" s="41" t="s">
        <v>691</v>
      </c>
      <c r="C197" s="41" t="s">
        <v>658</v>
      </c>
      <c r="D197" s="41" t="s">
        <v>45</v>
      </c>
      <c r="E197" s="41" t="s">
        <v>366</v>
      </c>
      <c r="F197" s="41" t="s">
        <v>709</v>
      </c>
      <c r="G197" s="67">
        <v>35000</v>
      </c>
      <c r="H197" s="41"/>
      <c r="I197" s="41"/>
      <c r="J197" s="67">
        <f t="shared" ref="J197:J260" si="38">G197*H197*I197</f>
        <v>0</v>
      </c>
      <c r="K197" s="41"/>
      <c r="L197" s="41"/>
      <c r="M197" s="70">
        <f t="shared" si="30"/>
        <v>0</v>
      </c>
      <c r="N197" s="41">
        <v>4500</v>
      </c>
      <c r="O197" s="41">
        <v>2</v>
      </c>
      <c r="P197" s="70">
        <f t="shared" si="31"/>
        <v>381150000.00000006</v>
      </c>
      <c r="Q197" s="41">
        <v>4500</v>
      </c>
      <c r="R197" s="41">
        <v>2</v>
      </c>
      <c r="S197" s="70">
        <f t="shared" si="32"/>
        <v>419265000.00000012</v>
      </c>
      <c r="T197" s="41">
        <v>4500</v>
      </c>
      <c r="U197" s="41">
        <v>2</v>
      </c>
      <c r="V197" s="70">
        <f t="shared" si="33"/>
        <v>461191500.00000012</v>
      </c>
      <c r="W197" s="41">
        <v>4500</v>
      </c>
      <c r="X197" s="41">
        <v>2</v>
      </c>
      <c r="Y197" s="70">
        <f t="shared" ref="Y197:Y260" si="39">($G197*1.1^5)*W197*X197</f>
        <v>507310650.00000018</v>
      </c>
      <c r="Z197" s="41">
        <v>4500</v>
      </c>
      <c r="AA197" s="41">
        <v>2</v>
      </c>
      <c r="AB197" s="70">
        <f t="shared" si="34"/>
        <v>558041715.00000024</v>
      </c>
      <c r="AC197" s="41">
        <v>4500</v>
      </c>
      <c r="AD197" s="41">
        <v>2</v>
      </c>
      <c r="AE197" s="70">
        <f t="shared" si="35"/>
        <v>613845886.50000036</v>
      </c>
      <c r="AF197" s="28">
        <f t="shared" si="36"/>
        <v>2940804751.5000014</v>
      </c>
      <c r="AG197" s="28">
        <f t="shared" si="37"/>
        <v>2855150.2441747584</v>
      </c>
    </row>
    <row r="198" spans="1:33" ht="43.2" x14ac:dyDescent="0.3">
      <c r="A198" s="41" t="s">
        <v>696</v>
      </c>
      <c r="B198" s="41" t="s">
        <v>691</v>
      </c>
      <c r="C198" s="41" t="s">
        <v>658</v>
      </c>
      <c r="D198" s="41" t="s">
        <v>45</v>
      </c>
      <c r="E198" s="41" t="s">
        <v>366</v>
      </c>
      <c r="F198" s="41" t="s">
        <v>712</v>
      </c>
      <c r="G198" s="67">
        <f>1999.2/7</f>
        <v>285.60000000000002</v>
      </c>
      <c r="H198" s="41">
        <f>2*25*9</f>
        <v>450</v>
      </c>
      <c r="I198" s="41">
        <f>5*4</f>
        <v>20</v>
      </c>
      <c r="J198" s="67">
        <f t="shared" si="38"/>
        <v>2570400.0000000005</v>
      </c>
      <c r="K198" s="41">
        <f>2*25*9</f>
        <v>450</v>
      </c>
      <c r="L198" s="41">
        <v>20</v>
      </c>
      <c r="M198" s="70">
        <f t="shared" si="30"/>
        <v>2827440</v>
      </c>
      <c r="N198" s="41">
        <v>0</v>
      </c>
      <c r="O198" s="41">
        <v>0</v>
      </c>
      <c r="P198" s="70">
        <f t="shared" si="31"/>
        <v>0</v>
      </c>
      <c r="Q198" s="41">
        <v>0</v>
      </c>
      <c r="R198" s="41">
        <v>0</v>
      </c>
      <c r="S198" s="70">
        <f t="shared" si="32"/>
        <v>0</v>
      </c>
      <c r="T198" s="41">
        <v>0</v>
      </c>
      <c r="U198" s="41">
        <v>0</v>
      </c>
      <c r="V198" s="70">
        <f t="shared" si="33"/>
        <v>0</v>
      </c>
      <c r="W198" s="41">
        <f>2*25*9</f>
        <v>450</v>
      </c>
      <c r="X198" s="41">
        <f>5*4</f>
        <v>20</v>
      </c>
      <c r="Y198" s="70">
        <f t="shared" si="39"/>
        <v>4139654.904000002</v>
      </c>
      <c r="Z198" s="41">
        <v>0</v>
      </c>
      <c r="AA198" s="41">
        <v>0</v>
      </c>
      <c r="AB198" s="70">
        <f t="shared" si="34"/>
        <v>0</v>
      </c>
      <c r="AC198" s="41">
        <v>0</v>
      </c>
      <c r="AD198" s="41">
        <v>0</v>
      </c>
      <c r="AE198" s="70">
        <f t="shared" si="35"/>
        <v>0</v>
      </c>
      <c r="AF198" s="28">
        <f t="shared" si="36"/>
        <v>9537494.9040000029</v>
      </c>
      <c r="AG198" s="28">
        <f t="shared" si="37"/>
        <v>9259.7037902912652</v>
      </c>
    </row>
    <row r="199" spans="1:33" ht="43.2" x14ac:dyDescent="0.3">
      <c r="A199" s="41" t="s">
        <v>696</v>
      </c>
      <c r="B199" s="41" t="s">
        <v>691</v>
      </c>
      <c r="C199" s="41" t="s">
        <v>658</v>
      </c>
      <c r="D199" s="41" t="s">
        <v>45</v>
      </c>
      <c r="E199" s="41" t="s">
        <v>366</v>
      </c>
      <c r="F199" s="41" t="s">
        <v>1299</v>
      </c>
      <c r="G199" s="67">
        <f>1999.2/7</f>
        <v>285.60000000000002</v>
      </c>
      <c r="H199" s="41">
        <f>2*135*9</f>
        <v>2430</v>
      </c>
      <c r="I199" s="41">
        <v>4</v>
      </c>
      <c r="J199" s="67">
        <f t="shared" si="38"/>
        <v>2776032</v>
      </c>
      <c r="K199" s="41">
        <f>2*135*9</f>
        <v>2430</v>
      </c>
      <c r="L199" s="41">
        <v>4</v>
      </c>
      <c r="M199" s="70">
        <f t="shared" si="30"/>
        <v>3053635.2</v>
      </c>
      <c r="N199" s="41"/>
      <c r="O199" s="41"/>
      <c r="P199" s="70">
        <f t="shared" si="31"/>
        <v>0</v>
      </c>
      <c r="Q199" s="41"/>
      <c r="R199" s="41"/>
      <c r="S199" s="70">
        <f t="shared" si="32"/>
        <v>0</v>
      </c>
      <c r="T199" s="41"/>
      <c r="U199" s="41"/>
      <c r="V199" s="70">
        <f t="shared" si="33"/>
        <v>0</v>
      </c>
      <c r="W199" s="41">
        <f>2*135*9</f>
        <v>2430</v>
      </c>
      <c r="X199" s="41">
        <v>4</v>
      </c>
      <c r="Y199" s="70">
        <f t="shared" si="39"/>
        <v>4470827.2963200016</v>
      </c>
      <c r="Z199" s="41"/>
      <c r="AA199" s="41"/>
      <c r="AB199" s="70">
        <f t="shared" si="34"/>
        <v>0</v>
      </c>
      <c r="AC199" s="41"/>
      <c r="AD199" s="41"/>
      <c r="AE199" s="70">
        <f t="shared" si="35"/>
        <v>0</v>
      </c>
      <c r="AF199" s="28">
        <f t="shared" si="36"/>
        <v>10300494.496320002</v>
      </c>
      <c r="AG199" s="28">
        <f t="shared" si="37"/>
        <v>10000.480093514565</v>
      </c>
    </row>
    <row r="200" spans="1:33" ht="43.2" x14ac:dyDescent="0.3">
      <c r="A200" s="41" t="s">
        <v>696</v>
      </c>
      <c r="B200" s="41" t="s">
        <v>691</v>
      </c>
      <c r="C200" s="41" t="s">
        <v>658</v>
      </c>
      <c r="D200" s="41" t="s">
        <v>45</v>
      </c>
      <c r="E200" s="41" t="s">
        <v>367</v>
      </c>
      <c r="F200" s="41" t="s">
        <v>716</v>
      </c>
      <c r="G200" s="67">
        <v>39000</v>
      </c>
      <c r="H200" s="41">
        <v>25</v>
      </c>
      <c r="I200" s="41">
        <v>5</v>
      </c>
      <c r="J200" s="67">
        <f t="shared" si="38"/>
        <v>4875000</v>
      </c>
      <c r="K200" s="41">
        <v>25</v>
      </c>
      <c r="L200" s="41">
        <v>5</v>
      </c>
      <c r="M200" s="70">
        <f t="shared" si="30"/>
        <v>5362500</v>
      </c>
      <c r="N200" s="41">
        <v>0</v>
      </c>
      <c r="O200" s="41">
        <v>0</v>
      </c>
      <c r="P200" s="70">
        <f t="shared" si="31"/>
        <v>0</v>
      </c>
      <c r="Q200" s="41">
        <v>0</v>
      </c>
      <c r="R200" s="41">
        <v>0</v>
      </c>
      <c r="S200" s="70">
        <f t="shared" si="32"/>
        <v>0</v>
      </c>
      <c r="T200" s="41">
        <v>0</v>
      </c>
      <c r="U200" s="41">
        <v>0</v>
      </c>
      <c r="V200" s="70">
        <f t="shared" si="33"/>
        <v>0</v>
      </c>
      <c r="W200" s="41">
        <v>25</v>
      </c>
      <c r="X200" s="41">
        <v>5</v>
      </c>
      <c r="Y200" s="70">
        <f t="shared" si="39"/>
        <v>7851236.2500000019</v>
      </c>
      <c r="Z200" s="41">
        <v>0</v>
      </c>
      <c r="AA200" s="41">
        <v>0</v>
      </c>
      <c r="AB200" s="70">
        <f t="shared" si="34"/>
        <v>0</v>
      </c>
      <c r="AC200" s="41">
        <v>0</v>
      </c>
      <c r="AD200" s="41">
        <v>0</v>
      </c>
      <c r="AE200" s="70">
        <f t="shared" si="35"/>
        <v>0</v>
      </c>
      <c r="AF200" s="28">
        <f t="shared" si="36"/>
        <v>18088736.25</v>
      </c>
      <c r="AG200" s="28">
        <f t="shared" si="37"/>
        <v>17561.879854368934</v>
      </c>
    </row>
    <row r="201" spans="1:33" ht="43.2" x14ac:dyDescent="0.3">
      <c r="A201" s="41" t="s">
        <v>696</v>
      </c>
      <c r="B201" s="41" t="s">
        <v>691</v>
      </c>
      <c r="C201" s="41" t="s">
        <v>658</v>
      </c>
      <c r="D201" s="41" t="s">
        <v>46</v>
      </c>
      <c r="E201" s="41" t="s">
        <v>368</v>
      </c>
      <c r="F201" s="41" t="s">
        <v>707</v>
      </c>
      <c r="G201" s="67">
        <v>391991.03749999998</v>
      </c>
      <c r="H201" s="41"/>
      <c r="I201" s="41"/>
      <c r="J201" s="67">
        <f t="shared" si="38"/>
        <v>0</v>
      </c>
      <c r="K201" s="41"/>
      <c r="L201" s="41"/>
      <c r="M201" s="70">
        <f t="shared" si="30"/>
        <v>0</v>
      </c>
      <c r="N201" s="41">
        <v>2</v>
      </c>
      <c r="O201" s="41">
        <v>2</v>
      </c>
      <c r="P201" s="70">
        <f t="shared" si="31"/>
        <v>1897236.6215000001</v>
      </c>
      <c r="Q201" s="41">
        <v>2</v>
      </c>
      <c r="R201" s="41">
        <v>2</v>
      </c>
      <c r="S201" s="70">
        <f t="shared" si="32"/>
        <v>2086960.2836500006</v>
      </c>
      <c r="T201" s="41">
        <v>2</v>
      </c>
      <c r="U201" s="41">
        <v>2</v>
      </c>
      <c r="V201" s="70">
        <f t="shared" si="33"/>
        <v>2295656.3120150003</v>
      </c>
      <c r="W201" s="41">
        <v>2</v>
      </c>
      <c r="X201" s="41">
        <v>2</v>
      </c>
      <c r="Y201" s="70">
        <f t="shared" si="39"/>
        <v>2525221.9432165008</v>
      </c>
      <c r="Z201" s="41">
        <v>2</v>
      </c>
      <c r="AA201" s="41">
        <v>2</v>
      </c>
      <c r="AB201" s="70">
        <f t="shared" si="34"/>
        <v>2777744.1375381513</v>
      </c>
      <c r="AC201" s="41">
        <v>0</v>
      </c>
      <c r="AD201" s="41">
        <v>0</v>
      </c>
      <c r="AE201" s="70">
        <f t="shared" si="35"/>
        <v>0</v>
      </c>
      <c r="AF201" s="28">
        <f t="shared" si="36"/>
        <v>11582819.297919653</v>
      </c>
      <c r="AG201" s="28">
        <f t="shared" si="37"/>
        <v>11245.455629048207</v>
      </c>
    </row>
    <row r="202" spans="1:33" ht="43.2" x14ac:dyDescent="0.3">
      <c r="A202" s="41" t="s">
        <v>696</v>
      </c>
      <c r="B202" s="41" t="s">
        <v>691</v>
      </c>
      <c r="C202" s="41" t="s">
        <v>658</v>
      </c>
      <c r="D202" s="41" t="s">
        <v>46</v>
      </c>
      <c r="E202" s="41" t="s">
        <v>368</v>
      </c>
      <c r="F202" s="41" t="s">
        <v>741</v>
      </c>
      <c r="G202" s="67">
        <v>34293000</v>
      </c>
      <c r="H202" s="41">
        <v>0</v>
      </c>
      <c r="I202" s="41">
        <v>0</v>
      </c>
      <c r="J202" s="67">
        <f t="shared" si="38"/>
        <v>0</v>
      </c>
      <c r="K202" s="41">
        <v>0</v>
      </c>
      <c r="L202" s="41">
        <v>0</v>
      </c>
      <c r="M202" s="70">
        <f t="shared" si="30"/>
        <v>0</v>
      </c>
      <c r="N202" s="41">
        <v>5</v>
      </c>
      <c r="O202" s="41">
        <v>1</v>
      </c>
      <c r="P202" s="70">
        <f t="shared" si="31"/>
        <v>207472650.00000003</v>
      </c>
      <c r="Q202" s="41">
        <v>5</v>
      </c>
      <c r="R202" s="41">
        <v>1</v>
      </c>
      <c r="S202" s="70">
        <f t="shared" si="32"/>
        <v>228219915.00000006</v>
      </c>
      <c r="T202" s="41">
        <v>5</v>
      </c>
      <c r="U202" s="41">
        <v>1</v>
      </c>
      <c r="V202" s="70">
        <f t="shared" si="33"/>
        <v>251041906.50000006</v>
      </c>
      <c r="W202" s="41">
        <v>5</v>
      </c>
      <c r="X202" s="41">
        <v>1</v>
      </c>
      <c r="Y202" s="70">
        <f t="shared" si="39"/>
        <v>276146097.1500001</v>
      </c>
      <c r="Z202" s="41">
        <v>5</v>
      </c>
      <c r="AA202" s="41">
        <v>1</v>
      </c>
      <c r="AB202" s="70">
        <f t="shared" si="34"/>
        <v>303760706.86500013</v>
      </c>
      <c r="AC202" s="41">
        <v>0</v>
      </c>
      <c r="AD202" s="41">
        <v>0</v>
      </c>
      <c r="AE202" s="70">
        <f t="shared" si="35"/>
        <v>0</v>
      </c>
      <c r="AF202" s="28">
        <f t="shared" si="36"/>
        <v>1266641275.5150003</v>
      </c>
      <c r="AG202" s="28">
        <f t="shared" si="37"/>
        <v>1229748.8111796121</v>
      </c>
    </row>
    <row r="203" spans="1:33" ht="43.2" x14ac:dyDescent="0.3">
      <c r="A203" s="41" t="s">
        <v>696</v>
      </c>
      <c r="B203" s="41" t="s">
        <v>691</v>
      </c>
      <c r="C203" s="41" t="s">
        <v>658</v>
      </c>
      <c r="D203" s="41" t="s">
        <v>46</v>
      </c>
      <c r="E203" s="41" t="s">
        <v>369</v>
      </c>
      <c r="F203" s="41" t="s">
        <v>746</v>
      </c>
      <c r="G203" s="88">
        <v>2000</v>
      </c>
      <c r="H203" s="41">
        <v>0</v>
      </c>
      <c r="I203" s="41">
        <v>0</v>
      </c>
      <c r="J203" s="67">
        <f t="shared" si="38"/>
        <v>0</v>
      </c>
      <c r="K203" s="41">
        <v>0</v>
      </c>
      <c r="L203" s="41">
        <v>0</v>
      </c>
      <c r="M203" s="70">
        <f t="shared" si="30"/>
        <v>0</v>
      </c>
      <c r="N203" s="41">
        <v>10</v>
      </c>
      <c r="O203" s="41">
        <v>1</v>
      </c>
      <c r="P203" s="70">
        <f t="shared" si="31"/>
        <v>24200.000000000004</v>
      </c>
      <c r="Q203" s="41">
        <v>0</v>
      </c>
      <c r="R203" s="41">
        <v>0</v>
      </c>
      <c r="S203" s="70">
        <f t="shared" si="32"/>
        <v>0</v>
      </c>
      <c r="T203" s="41">
        <v>0</v>
      </c>
      <c r="U203" s="41">
        <v>0</v>
      </c>
      <c r="V203" s="70">
        <f t="shared" si="33"/>
        <v>0</v>
      </c>
      <c r="W203" s="41">
        <v>0</v>
      </c>
      <c r="X203" s="41">
        <v>0</v>
      </c>
      <c r="Y203" s="70">
        <f t="shared" si="39"/>
        <v>0</v>
      </c>
      <c r="Z203" s="41">
        <v>0</v>
      </c>
      <c r="AA203" s="41">
        <v>0</v>
      </c>
      <c r="AB203" s="70">
        <f t="shared" si="34"/>
        <v>0</v>
      </c>
      <c r="AC203" s="41">
        <v>0</v>
      </c>
      <c r="AD203" s="41">
        <v>0</v>
      </c>
      <c r="AE203" s="70">
        <f t="shared" si="35"/>
        <v>0</v>
      </c>
      <c r="AF203" s="28">
        <f t="shared" si="36"/>
        <v>24200.000000000004</v>
      </c>
      <c r="AG203" s="28">
        <f t="shared" si="37"/>
        <v>23.495145631067963</v>
      </c>
    </row>
    <row r="204" spans="1:33" ht="43.2" x14ac:dyDescent="0.3">
      <c r="A204" s="41" t="s">
        <v>696</v>
      </c>
      <c r="B204" s="41" t="s">
        <v>691</v>
      </c>
      <c r="C204" s="41" t="s">
        <v>658</v>
      </c>
      <c r="D204" s="41" t="s">
        <v>45</v>
      </c>
      <c r="E204" s="41" t="s">
        <v>367</v>
      </c>
      <c r="F204" s="41" t="s">
        <v>709</v>
      </c>
      <c r="G204" s="67">
        <v>35000</v>
      </c>
      <c r="H204" s="41">
        <v>25</v>
      </c>
      <c r="I204" s="41">
        <v>5</v>
      </c>
      <c r="J204" s="67">
        <f t="shared" si="38"/>
        <v>4375000</v>
      </c>
      <c r="K204" s="41">
        <v>25</v>
      </c>
      <c r="L204" s="41">
        <v>5</v>
      </c>
      <c r="M204" s="70">
        <f t="shared" si="30"/>
        <v>4812500</v>
      </c>
      <c r="N204" s="41">
        <v>0</v>
      </c>
      <c r="O204" s="41">
        <v>0</v>
      </c>
      <c r="P204" s="70">
        <f t="shared" si="31"/>
        <v>0</v>
      </c>
      <c r="Q204" s="41">
        <v>0</v>
      </c>
      <c r="R204" s="41">
        <v>0</v>
      </c>
      <c r="S204" s="70">
        <f t="shared" si="32"/>
        <v>0</v>
      </c>
      <c r="T204" s="41">
        <v>0</v>
      </c>
      <c r="U204" s="41">
        <v>0</v>
      </c>
      <c r="V204" s="70">
        <f t="shared" si="33"/>
        <v>0</v>
      </c>
      <c r="W204" s="41">
        <v>25</v>
      </c>
      <c r="X204" s="41">
        <v>5</v>
      </c>
      <c r="Y204" s="70">
        <f t="shared" si="39"/>
        <v>7045981.2500000019</v>
      </c>
      <c r="Z204" s="41">
        <v>0</v>
      </c>
      <c r="AA204" s="41">
        <v>0</v>
      </c>
      <c r="AB204" s="70">
        <f t="shared" si="34"/>
        <v>0</v>
      </c>
      <c r="AC204" s="41">
        <v>0</v>
      </c>
      <c r="AD204" s="41">
        <v>0</v>
      </c>
      <c r="AE204" s="70">
        <f t="shared" si="35"/>
        <v>0</v>
      </c>
      <c r="AF204" s="28">
        <f t="shared" si="36"/>
        <v>16233481.250000002</v>
      </c>
      <c r="AG204" s="28">
        <f t="shared" si="37"/>
        <v>15760.661407766993</v>
      </c>
    </row>
    <row r="205" spans="1:33" ht="43.2" x14ac:dyDescent="0.3">
      <c r="A205" s="41" t="s">
        <v>696</v>
      </c>
      <c r="B205" s="41" t="s">
        <v>691</v>
      </c>
      <c r="C205" s="41" t="s">
        <v>658</v>
      </c>
      <c r="D205" s="41" t="s">
        <v>45</v>
      </c>
      <c r="E205" s="41" t="s">
        <v>367</v>
      </c>
      <c r="F205" s="41" t="s">
        <v>712</v>
      </c>
      <c r="G205" s="67">
        <f>1999.2/7</f>
        <v>285.60000000000002</v>
      </c>
      <c r="H205" s="41">
        <f>2*25*9</f>
        <v>450</v>
      </c>
      <c r="I205" s="41">
        <v>5</v>
      </c>
      <c r="J205" s="67">
        <f t="shared" si="38"/>
        <v>642600.00000000012</v>
      </c>
      <c r="K205" s="41">
        <f>2*25*9</f>
        <v>450</v>
      </c>
      <c r="L205" s="41">
        <v>5</v>
      </c>
      <c r="M205" s="70">
        <f t="shared" si="30"/>
        <v>706860</v>
      </c>
      <c r="N205" s="41">
        <v>0</v>
      </c>
      <c r="O205" s="41">
        <v>0</v>
      </c>
      <c r="P205" s="70">
        <f t="shared" si="31"/>
        <v>0</v>
      </c>
      <c r="Q205" s="41">
        <v>0</v>
      </c>
      <c r="R205" s="41">
        <v>0</v>
      </c>
      <c r="S205" s="70">
        <f t="shared" si="32"/>
        <v>0</v>
      </c>
      <c r="T205" s="41">
        <v>0</v>
      </c>
      <c r="U205" s="41">
        <v>0</v>
      </c>
      <c r="V205" s="70">
        <f t="shared" si="33"/>
        <v>0</v>
      </c>
      <c r="W205" s="41">
        <f>2*25*9</f>
        <v>450</v>
      </c>
      <c r="X205" s="41">
        <v>5</v>
      </c>
      <c r="Y205" s="70">
        <f t="shared" si="39"/>
        <v>1034913.7260000005</v>
      </c>
      <c r="Z205" s="41">
        <v>0</v>
      </c>
      <c r="AA205" s="41">
        <v>0</v>
      </c>
      <c r="AB205" s="70">
        <f t="shared" si="34"/>
        <v>0</v>
      </c>
      <c r="AC205" s="41">
        <v>0</v>
      </c>
      <c r="AD205" s="41">
        <v>0</v>
      </c>
      <c r="AE205" s="70">
        <f t="shared" si="35"/>
        <v>0</v>
      </c>
      <c r="AF205" s="28">
        <f t="shared" si="36"/>
        <v>2384373.7260000007</v>
      </c>
      <c r="AG205" s="28">
        <f t="shared" si="37"/>
        <v>2314.9259475728163</v>
      </c>
    </row>
    <row r="206" spans="1:33" ht="43.2" x14ac:dyDescent="0.3">
      <c r="A206" s="41" t="s">
        <v>696</v>
      </c>
      <c r="B206" s="41" t="s">
        <v>691</v>
      </c>
      <c r="C206" s="41" t="s">
        <v>658</v>
      </c>
      <c r="D206" s="41" t="s">
        <v>45</v>
      </c>
      <c r="E206" s="41" t="s">
        <v>367</v>
      </c>
      <c r="F206" s="41" t="s">
        <v>716</v>
      </c>
      <c r="G206" s="67">
        <v>39000</v>
      </c>
      <c r="H206" s="41">
        <v>25</v>
      </c>
      <c r="I206" s="41">
        <v>6</v>
      </c>
      <c r="J206" s="67">
        <f t="shared" si="38"/>
        <v>5850000</v>
      </c>
      <c r="K206" s="41">
        <v>25</v>
      </c>
      <c r="L206" s="41">
        <v>6</v>
      </c>
      <c r="M206" s="70">
        <f t="shared" si="30"/>
        <v>6435000</v>
      </c>
      <c r="N206" s="41"/>
      <c r="O206" s="41"/>
      <c r="P206" s="70">
        <f t="shared" si="31"/>
        <v>0</v>
      </c>
      <c r="Q206" s="41"/>
      <c r="R206" s="41"/>
      <c r="S206" s="70">
        <f t="shared" si="32"/>
        <v>0</v>
      </c>
      <c r="T206" s="41"/>
      <c r="U206" s="41"/>
      <c r="V206" s="70">
        <f t="shared" si="33"/>
        <v>0</v>
      </c>
      <c r="W206" s="41">
        <v>25</v>
      </c>
      <c r="X206" s="41">
        <v>6</v>
      </c>
      <c r="Y206" s="70">
        <f t="shared" si="39"/>
        <v>9421483.5000000037</v>
      </c>
      <c r="Z206" s="41"/>
      <c r="AA206" s="41"/>
      <c r="AB206" s="70">
        <f t="shared" si="34"/>
        <v>0</v>
      </c>
      <c r="AC206" s="41"/>
      <c r="AD206" s="41"/>
      <c r="AE206" s="70">
        <f t="shared" si="35"/>
        <v>0</v>
      </c>
      <c r="AF206" s="28">
        <f t="shared" si="36"/>
        <v>21706483.500000004</v>
      </c>
      <c r="AG206" s="28">
        <f t="shared" si="37"/>
        <v>21074.255825242722</v>
      </c>
    </row>
    <row r="207" spans="1:33" ht="43.2" x14ac:dyDescent="0.3">
      <c r="A207" s="41" t="s">
        <v>696</v>
      </c>
      <c r="B207" s="41" t="s">
        <v>691</v>
      </c>
      <c r="C207" s="41" t="s">
        <v>658</v>
      </c>
      <c r="D207" s="41" t="s">
        <v>45</v>
      </c>
      <c r="E207" s="41" t="s">
        <v>367</v>
      </c>
      <c r="F207" s="41" t="s">
        <v>1299</v>
      </c>
      <c r="G207" s="67">
        <f>1999.2/7</f>
        <v>285.60000000000002</v>
      </c>
      <c r="H207" s="41">
        <f>2*135*9</f>
        <v>2430</v>
      </c>
      <c r="I207" s="41">
        <v>1</v>
      </c>
      <c r="J207" s="67">
        <f t="shared" si="38"/>
        <v>694008</v>
      </c>
      <c r="K207" s="41">
        <f>2*135*9</f>
        <v>2430</v>
      </c>
      <c r="L207" s="41">
        <v>1</v>
      </c>
      <c r="M207" s="70">
        <f t="shared" si="30"/>
        <v>763408.8</v>
      </c>
      <c r="N207" s="41"/>
      <c r="O207" s="41"/>
      <c r="P207" s="70">
        <f t="shared" si="31"/>
        <v>0</v>
      </c>
      <c r="Q207" s="41"/>
      <c r="R207" s="41"/>
      <c r="S207" s="70">
        <f t="shared" si="32"/>
        <v>0</v>
      </c>
      <c r="T207" s="41"/>
      <c r="U207" s="41"/>
      <c r="V207" s="70">
        <f t="shared" si="33"/>
        <v>0</v>
      </c>
      <c r="W207" s="41">
        <f>2*135*9</f>
        <v>2430</v>
      </c>
      <c r="X207" s="41">
        <v>1</v>
      </c>
      <c r="Y207" s="70">
        <f t="shared" si="39"/>
        <v>1117706.8240800004</v>
      </c>
      <c r="Z207" s="41"/>
      <c r="AA207" s="41"/>
      <c r="AB207" s="70">
        <f t="shared" si="34"/>
        <v>0</v>
      </c>
      <c r="AC207" s="41"/>
      <c r="AD207" s="41"/>
      <c r="AE207" s="70">
        <f t="shared" si="35"/>
        <v>0</v>
      </c>
      <c r="AF207" s="28">
        <f t="shared" si="36"/>
        <v>2575123.6240800004</v>
      </c>
      <c r="AG207" s="28">
        <f t="shared" si="37"/>
        <v>2500.1200233786412</v>
      </c>
    </row>
    <row r="208" spans="1:33" ht="43.2" x14ac:dyDescent="0.3">
      <c r="A208" s="41" t="s">
        <v>696</v>
      </c>
      <c r="B208" s="41" t="s">
        <v>691</v>
      </c>
      <c r="C208" s="41" t="s">
        <v>658</v>
      </c>
      <c r="D208" s="41" t="s">
        <v>46</v>
      </c>
      <c r="E208" s="41" t="s">
        <v>759</v>
      </c>
      <c r="F208" s="41" t="s">
        <v>760</v>
      </c>
      <c r="G208" s="67">
        <v>1500000</v>
      </c>
      <c r="H208" s="41">
        <v>1</v>
      </c>
      <c r="I208" s="41">
        <v>12</v>
      </c>
      <c r="J208" s="67">
        <f t="shared" si="38"/>
        <v>18000000</v>
      </c>
      <c r="K208" s="41">
        <v>1</v>
      </c>
      <c r="L208" s="41">
        <v>12</v>
      </c>
      <c r="M208" s="70">
        <f t="shared" si="30"/>
        <v>19800000.000000004</v>
      </c>
      <c r="N208" s="41">
        <v>1</v>
      </c>
      <c r="O208" s="41">
        <v>12</v>
      </c>
      <c r="P208" s="70">
        <f t="shared" si="31"/>
        <v>21780000.000000004</v>
      </c>
      <c r="Q208" s="41">
        <v>1</v>
      </c>
      <c r="R208" s="41">
        <v>12</v>
      </c>
      <c r="S208" s="70">
        <f t="shared" si="32"/>
        <v>23958000.000000007</v>
      </c>
      <c r="T208" s="41">
        <v>1</v>
      </c>
      <c r="U208" s="41">
        <v>12</v>
      </c>
      <c r="V208" s="70">
        <f t="shared" si="33"/>
        <v>26353800.000000007</v>
      </c>
      <c r="W208" s="41">
        <v>0</v>
      </c>
      <c r="X208" s="41">
        <v>0</v>
      </c>
      <c r="Y208" s="70">
        <f t="shared" si="39"/>
        <v>0</v>
      </c>
      <c r="Z208" s="41">
        <v>0</v>
      </c>
      <c r="AA208" s="41">
        <v>0</v>
      </c>
      <c r="AB208" s="70">
        <f t="shared" si="34"/>
        <v>0</v>
      </c>
      <c r="AC208" s="41">
        <v>0</v>
      </c>
      <c r="AD208" s="41">
        <v>0</v>
      </c>
      <c r="AE208" s="70">
        <f t="shared" si="35"/>
        <v>0</v>
      </c>
      <c r="AF208" s="28">
        <f t="shared" si="36"/>
        <v>109891800</v>
      </c>
      <c r="AG208" s="28">
        <f t="shared" si="37"/>
        <v>106691.06796116506</v>
      </c>
    </row>
    <row r="209" spans="1:33" ht="43.2" x14ac:dyDescent="0.3">
      <c r="A209" s="41" t="s">
        <v>696</v>
      </c>
      <c r="B209" s="41" t="s">
        <v>691</v>
      </c>
      <c r="C209" s="41" t="s">
        <v>658</v>
      </c>
      <c r="D209" s="41" t="s">
        <v>46</v>
      </c>
      <c r="E209" s="41" t="s">
        <v>1389</v>
      </c>
      <c r="F209" s="41" t="s">
        <v>716</v>
      </c>
      <c r="G209" s="67">
        <v>39000</v>
      </c>
      <c r="H209" s="41">
        <v>25</v>
      </c>
      <c r="I209" s="41">
        <f>6*4</f>
        <v>24</v>
      </c>
      <c r="J209" s="67">
        <f t="shared" si="38"/>
        <v>23400000</v>
      </c>
      <c r="K209" s="41">
        <v>0</v>
      </c>
      <c r="L209" s="41">
        <v>0</v>
      </c>
      <c r="M209" s="70">
        <f t="shared" si="30"/>
        <v>0</v>
      </c>
      <c r="N209" s="41">
        <v>60</v>
      </c>
      <c r="O209" s="41">
        <v>3</v>
      </c>
      <c r="P209" s="70">
        <f t="shared" si="31"/>
        <v>8494200.0000000019</v>
      </c>
      <c r="Q209" s="41">
        <v>60</v>
      </c>
      <c r="R209" s="41">
        <v>3</v>
      </c>
      <c r="S209" s="70">
        <f t="shared" si="32"/>
        <v>9343620.0000000037</v>
      </c>
      <c r="T209" s="41">
        <v>60</v>
      </c>
      <c r="U209" s="41">
        <v>3</v>
      </c>
      <c r="V209" s="70">
        <f t="shared" si="33"/>
        <v>10277982.000000004</v>
      </c>
      <c r="W209" s="41">
        <v>0</v>
      </c>
      <c r="X209" s="41">
        <v>0</v>
      </c>
      <c r="Y209" s="70">
        <f t="shared" si="39"/>
        <v>0</v>
      </c>
      <c r="Z209" s="41">
        <v>0</v>
      </c>
      <c r="AA209" s="41">
        <v>0</v>
      </c>
      <c r="AB209" s="70">
        <f t="shared" si="34"/>
        <v>0</v>
      </c>
      <c r="AC209" s="41">
        <v>0</v>
      </c>
      <c r="AD209" s="41">
        <v>0</v>
      </c>
      <c r="AE209" s="70">
        <f t="shared" si="35"/>
        <v>0</v>
      </c>
      <c r="AF209" s="28">
        <f t="shared" si="36"/>
        <v>51515802</v>
      </c>
      <c r="AG209" s="28">
        <f t="shared" si="37"/>
        <v>50015.341747572813</v>
      </c>
    </row>
    <row r="210" spans="1:33" ht="43.2" x14ac:dyDescent="0.3">
      <c r="A210" s="41" t="s">
        <v>696</v>
      </c>
      <c r="B210" s="41" t="s">
        <v>691</v>
      </c>
      <c r="C210" s="41" t="s">
        <v>658</v>
      </c>
      <c r="D210" s="41" t="s">
        <v>46</v>
      </c>
      <c r="E210" s="41" t="s">
        <v>1389</v>
      </c>
      <c r="F210" s="41" t="s">
        <v>709</v>
      </c>
      <c r="G210" s="67">
        <v>35000</v>
      </c>
      <c r="H210" s="41">
        <v>25</v>
      </c>
      <c r="I210" s="41">
        <f>5*4</f>
        <v>20</v>
      </c>
      <c r="J210" s="67">
        <f t="shared" si="38"/>
        <v>17500000</v>
      </c>
      <c r="K210" s="41">
        <v>0</v>
      </c>
      <c r="L210" s="41">
        <v>0</v>
      </c>
      <c r="M210" s="70">
        <f t="shared" si="30"/>
        <v>0</v>
      </c>
      <c r="N210" s="41">
        <v>60</v>
      </c>
      <c r="O210" s="41">
        <v>3</v>
      </c>
      <c r="P210" s="70">
        <f t="shared" si="31"/>
        <v>7623000.0000000019</v>
      </c>
      <c r="Q210" s="41">
        <v>60</v>
      </c>
      <c r="R210" s="41">
        <v>3</v>
      </c>
      <c r="S210" s="70">
        <f t="shared" si="32"/>
        <v>8385300.0000000028</v>
      </c>
      <c r="T210" s="41">
        <v>60</v>
      </c>
      <c r="U210" s="41">
        <v>3</v>
      </c>
      <c r="V210" s="70">
        <f t="shared" si="33"/>
        <v>9223830.0000000037</v>
      </c>
      <c r="W210" s="41">
        <v>0</v>
      </c>
      <c r="X210" s="41">
        <v>0</v>
      </c>
      <c r="Y210" s="70">
        <f t="shared" si="39"/>
        <v>0</v>
      </c>
      <c r="Z210" s="41">
        <v>0</v>
      </c>
      <c r="AA210" s="41">
        <v>0</v>
      </c>
      <c r="AB210" s="70">
        <f t="shared" si="34"/>
        <v>0</v>
      </c>
      <c r="AC210" s="41">
        <v>0</v>
      </c>
      <c r="AD210" s="41">
        <v>0</v>
      </c>
      <c r="AE210" s="70">
        <f t="shared" si="35"/>
        <v>0</v>
      </c>
      <c r="AF210" s="28">
        <f t="shared" si="36"/>
        <v>42732130.000000007</v>
      </c>
      <c r="AG210" s="28">
        <f t="shared" si="37"/>
        <v>41487.504854368941</v>
      </c>
    </row>
    <row r="211" spans="1:33" ht="43.2" x14ac:dyDescent="0.3">
      <c r="A211" s="41" t="s">
        <v>696</v>
      </c>
      <c r="B211" s="41" t="s">
        <v>691</v>
      </c>
      <c r="C211" s="41" t="s">
        <v>658</v>
      </c>
      <c r="D211" s="41" t="s">
        <v>46</v>
      </c>
      <c r="E211" s="41" t="s">
        <v>1389</v>
      </c>
      <c r="F211" s="41" t="s">
        <v>712</v>
      </c>
      <c r="G211" s="67">
        <f>1999.2/7</f>
        <v>285.60000000000002</v>
      </c>
      <c r="H211" s="41">
        <f>2*25*9</f>
        <v>450</v>
      </c>
      <c r="I211" s="41">
        <f>5*4</f>
        <v>20</v>
      </c>
      <c r="J211" s="67">
        <f t="shared" si="38"/>
        <v>2570400.0000000005</v>
      </c>
      <c r="K211" s="41">
        <v>0</v>
      </c>
      <c r="L211" s="41">
        <v>0</v>
      </c>
      <c r="M211" s="70">
        <f t="shared" si="30"/>
        <v>0</v>
      </c>
      <c r="N211" s="41">
        <v>20000</v>
      </c>
      <c r="O211" s="41">
        <v>1</v>
      </c>
      <c r="P211" s="70">
        <f t="shared" si="31"/>
        <v>6911520.0000000019</v>
      </c>
      <c r="Q211" s="41">
        <v>20000</v>
      </c>
      <c r="R211" s="41">
        <v>1</v>
      </c>
      <c r="S211" s="70">
        <f t="shared" si="32"/>
        <v>7602672.0000000037</v>
      </c>
      <c r="T211" s="41">
        <v>20000</v>
      </c>
      <c r="U211" s="41">
        <v>1</v>
      </c>
      <c r="V211" s="70">
        <f t="shared" si="33"/>
        <v>8362939.200000003</v>
      </c>
      <c r="W211" s="41">
        <v>0</v>
      </c>
      <c r="X211" s="41">
        <v>0</v>
      </c>
      <c r="Y211" s="70">
        <f t="shared" si="39"/>
        <v>0</v>
      </c>
      <c r="Z211" s="41">
        <v>0</v>
      </c>
      <c r="AA211" s="41">
        <v>0</v>
      </c>
      <c r="AB211" s="70">
        <f t="shared" si="34"/>
        <v>0</v>
      </c>
      <c r="AC211" s="41">
        <v>0</v>
      </c>
      <c r="AD211" s="41">
        <v>0</v>
      </c>
      <c r="AE211" s="70">
        <f t="shared" si="35"/>
        <v>0</v>
      </c>
      <c r="AF211" s="28">
        <f t="shared" si="36"/>
        <v>25447531.20000001</v>
      </c>
      <c r="AG211" s="28">
        <f t="shared" si="37"/>
        <v>24706.340970873796</v>
      </c>
    </row>
    <row r="212" spans="1:33" ht="43.2" x14ac:dyDescent="0.3">
      <c r="A212" s="41" t="s">
        <v>696</v>
      </c>
      <c r="B212" s="41" t="s">
        <v>691</v>
      </c>
      <c r="C212" s="41" t="s">
        <v>658</v>
      </c>
      <c r="D212" s="41" t="s">
        <v>46</v>
      </c>
      <c r="E212" s="41" t="s">
        <v>1389</v>
      </c>
      <c r="F212" s="41" t="s">
        <v>1299</v>
      </c>
      <c r="G212" s="67">
        <f>1999.2/7</f>
        <v>285.60000000000002</v>
      </c>
      <c r="H212" s="41">
        <f>2*135*9</f>
        <v>2430</v>
      </c>
      <c r="I212" s="41">
        <v>4</v>
      </c>
      <c r="J212" s="67">
        <f t="shared" si="38"/>
        <v>2776032</v>
      </c>
      <c r="K212" s="41"/>
      <c r="L212" s="41"/>
      <c r="M212" s="70">
        <f t="shared" si="30"/>
        <v>0</v>
      </c>
      <c r="N212" s="41"/>
      <c r="O212" s="41"/>
      <c r="P212" s="70">
        <f t="shared" si="31"/>
        <v>0</v>
      </c>
      <c r="Q212" s="41"/>
      <c r="R212" s="41"/>
      <c r="S212" s="70">
        <f t="shared" si="32"/>
        <v>0</v>
      </c>
      <c r="T212" s="41"/>
      <c r="U212" s="41"/>
      <c r="V212" s="70">
        <f t="shared" si="33"/>
        <v>0</v>
      </c>
      <c r="W212" s="41"/>
      <c r="X212" s="41"/>
      <c r="Y212" s="70">
        <f t="shared" si="39"/>
        <v>0</v>
      </c>
      <c r="Z212" s="41"/>
      <c r="AA212" s="41"/>
      <c r="AB212" s="70">
        <f t="shared" si="34"/>
        <v>0</v>
      </c>
      <c r="AC212" s="41"/>
      <c r="AD212" s="41"/>
      <c r="AE212" s="70">
        <f t="shared" si="35"/>
        <v>0</v>
      </c>
      <c r="AF212" s="28">
        <f t="shared" si="36"/>
        <v>2776032</v>
      </c>
      <c r="AG212" s="28">
        <f t="shared" si="37"/>
        <v>2695.1766990291262</v>
      </c>
    </row>
    <row r="213" spans="1:33" ht="43.2" x14ac:dyDescent="0.3">
      <c r="A213" s="41" t="s">
        <v>696</v>
      </c>
      <c r="B213" s="41" t="s">
        <v>691</v>
      </c>
      <c r="C213" s="41" t="s">
        <v>658</v>
      </c>
      <c r="D213" s="41" t="s">
        <v>46</v>
      </c>
      <c r="E213" s="41" t="s">
        <v>372</v>
      </c>
      <c r="F213" s="41" t="s">
        <v>716</v>
      </c>
      <c r="G213" s="67">
        <v>39000</v>
      </c>
      <c r="H213" s="41">
        <v>25</v>
      </c>
      <c r="I213" s="41">
        <f>6*4</f>
        <v>24</v>
      </c>
      <c r="J213" s="67">
        <f t="shared" si="38"/>
        <v>23400000</v>
      </c>
      <c r="K213" s="41">
        <v>0</v>
      </c>
      <c r="L213" s="41">
        <v>0</v>
      </c>
      <c r="M213" s="70">
        <f t="shared" si="30"/>
        <v>0</v>
      </c>
      <c r="N213" s="41">
        <v>15</v>
      </c>
      <c r="O213" s="41">
        <v>10</v>
      </c>
      <c r="P213" s="70">
        <f t="shared" si="31"/>
        <v>7078500.0000000009</v>
      </c>
      <c r="Q213" s="41">
        <v>15</v>
      </c>
      <c r="R213" s="41">
        <v>10</v>
      </c>
      <c r="S213" s="70">
        <f t="shared" si="32"/>
        <v>7786350.0000000019</v>
      </c>
      <c r="T213" s="41">
        <v>15</v>
      </c>
      <c r="U213" s="41">
        <v>10</v>
      </c>
      <c r="V213" s="70">
        <f t="shared" si="33"/>
        <v>8564985.0000000019</v>
      </c>
      <c r="W213" s="41">
        <v>0</v>
      </c>
      <c r="X213" s="41">
        <v>0</v>
      </c>
      <c r="Y213" s="70">
        <f t="shared" si="39"/>
        <v>0</v>
      </c>
      <c r="Z213" s="41">
        <v>0</v>
      </c>
      <c r="AA213" s="41">
        <v>0</v>
      </c>
      <c r="AB213" s="70">
        <f t="shared" si="34"/>
        <v>0</v>
      </c>
      <c r="AC213" s="41">
        <v>0</v>
      </c>
      <c r="AD213" s="41">
        <v>0</v>
      </c>
      <c r="AE213" s="70">
        <f t="shared" si="35"/>
        <v>0</v>
      </c>
      <c r="AF213" s="28">
        <f t="shared" si="36"/>
        <v>46829835</v>
      </c>
      <c r="AG213" s="28">
        <f t="shared" si="37"/>
        <v>45465.859223300969</v>
      </c>
    </row>
    <row r="214" spans="1:33" ht="43.2" x14ac:dyDescent="0.3">
      <c r="A214" s="41" t="s">
        <v>696</v>
      </c>
      <c r="B214" s="41" t="s">
        <v>691</v>
      </c>
      <c r="C214" s="41" t="s">
        <v>658</v>
      </c>
      <c r="D214" s="41" t="s">
        <v>46</v>
      </c>
      <c r="E214" s="41" t="s">
        <v>372</v>
      </c>
      <c r="F214" s="41" t="s">
        <v>712</v>
      </c>
      <c r="G214" s="67">
        <f>1999.2/7</f>
        <v>285.60000000000002</v>
      </c>
      <c r="H214" s="41">
        <f>2*25*9</f>
        <v>450</v>
      </c>
      <c r="I214" s="41">
        <f>5*4</f>
        <v>20</v>
      </c>
      <c r="J214" s="67">
        <f t="shared" si="38"/>
        <v>2570400.0000000005</v>
      </c>
      <c r="K214" s="41">
        <v>0</v>
      </c>
      <c r="L214" s="41">
        <v>0</v>
      </c>
      <c r="M214" s="70">
        <f t="shared" si="30"/>
        <v>0</v>
      </c>
      <c r="N214" s="41">
        <v>20000</v>
      </c>
      <c r="O214" s="41">
        <v>1</v>
      </c>
      <c r="P214" s="70">
        <f t="shared" si="31"/>
        <v>6911520.0000000019</v>
      </c>
      <c r="Q214" s="41">
        <v>20000</v>
      </c>
      <c r="R214" s="41">
        <v>1</v>
      </c>
      <c r="S214" s="70">
        <f t="shared" si="32"/>
        <v>7602672.0000000037</v>
      </c>
      <c r="T214" s="41">
        <v>20000</v>
      </c>
      <c r="U214" s="41">
        <v>1</v>
      </c>
      <c r="V214" s="70">
        <f t="shared" si="33"/>
        <v>8362939.200000003</v>
      </c>
      <c r="W214" s="41">
        <v>0</v>
      </c>
      <c r="X214" s="41">
        <v>0</v>
      </c>
      <c r="Y214" s="70">
        <f t="shared" si="39"/>
        <v>0</v>
      </c>
      <c r="Z214" s="41">
        <v>0</v>
      </c>
      <c r="AA214" s="41">
        <v>0</v>
      </c>
      <c r="AB214" s="70">
        <f t="shared" si="34"/>
        <v>0</v>
      </c>
      <c r="AC214" s="41">
        <v>0</v>
      </c>
      <c r="AD214" s="41">
        <v>0</v>
      </c>
      <c r="AE214" s="70">
        <f t="shared" si="35"/>
        <v>0</v>
      </c>
      <c r="AF214" s="28">
        <f t="shared" si="36"/>
        <v>25447531.20000001</v>
      </c>
      <c r="AG214" s="28">
        <f t="shared" si="37"/>
        <v>24706.340970873796</v>
      </c>
    </row>
    <row r="215" spans="1:33" ht="43.2" x14ac:dyDescent="0.3">
      <c r="A215" s="41" t="s">
        <v>696</v>
      </c>
      <c r="B215" s="41" t="s">
        <v>691</v>
      </c>
      <c r="C215" s="41" t="s">
        <v>658</v>
      </c>
      <c r="D215" s="41" t="s">
        <v>46</v>
      </c>
      <c r="E215" s="41" t="s">
        <v>372</v>
      </c>
      <c r="F215" s="41" t="s">
        <v>709</v>
      </c>
      <c r="G215" s="67">
        <v>35000</v>
      </c>
      <c r="H215" s="41">
        <v>25</v>
      </c>
      <c r="I215" s="41">
        <f>5*4</f>
        <v>20</v>
      </c>
      <c r="J215" s="67">
        <f t="shared" si="38"/>
        <v>17500000</v>
      </c>
      <c r="K215" s="41"/>
      <c r="L215" s="41"/>
      <c r="M215" s="70">
        <f t="shared" si="30"/>
        <v>0</v>
      </c>
      <c r="N215" s="41"/>
      <c r="O215" s="41"/>
      <c r="P215" s="70">
        <f t="shared" si="31"/>
        <v>0</v>
      </c>
      <c r="Q215" s="41"/>
      <c r="R215" s="41"/>
      <c r="S215" s="70">
        <f t="shared" si="32"/>
        <v>0</v>
      </c>
      <c r="T215" s="41"/>
      <c r="U215" s="41"/>
      <c r="V215" s="70">
        <f t="shared" si="33"/>
        <v>0</v>
      </c>
      <c r="W215" s="41"/>
      <c r="X215" s="41"/>
      <c r="Y215" s="70">
        <f t="shared" si="39"/>
        <v>0</v>
      </c>
      <c r="Z215" s="41"/>
      <c r="AA215" s="41"/>
      <c r="AB215" s="70">
        <f t="shared" si="34"/>
        <v>0</v>
      </c>
      <c r="AC215" s="41"/>
      <c r="AD215" s="41"/>
      <c r="AE215" s="70">
        <f t="shared" si="35"/>
        <v>0</v>
      </c>
      <c r="AF215" s="28">
        <f t="shared" si="36"/>
        <v>17500000</v>
      </c>
      <c r="AG215" s="28">
        <f t="shared" si="37"/>
        <v>16990.291262135921</v>
      </c>
    </row>
    <row r="216" spans="1:33" ht="43.2" x14ac:dyDescent="0.3">
      <c r="A216" s="41" t="s">
        <v>696</v>
      </c>
      <c r="B216" s="41" t="s">
        <v>691</v>
      </c>
      <c r="C216" s="41" t="s">
        <v>658</v>
      </c>
      <c r="D216" s="41" t="s">
        <v>46</v>
      </c>
      <c r="E216" s="41" t="s">
        <v>372</v>
      </c>
      <c r="F216" s="41" t="s">
        <v>1299</v>
      </c>
      <c r="G216" s="67">
        <f>1999.2/7</f>
        <v>285.60000000000002</v>
      </c>
      <c r="H216" s="41">
        <f>2*135*9</f>
        <v>2430</v>
      </c>
      <c r="I216" s="41">
        <v>4</v>
      </c>
      <c r="J216" s="67">
        <f t="shared" si="38"/>
        <v>2776032</v>
      </c>
      <c r="K216" s="41"/>
      <c r="L216" s="41"/>
      <c r="M216" s="70">
        <f t="shared" si="30"/>
        <v>0</v>
      </c>
      <c r="N216" s="41"/>
      <c r="O216" s="41"/>
      <c r="P216" s="70">
        <f t="shared" si="31"/>
        <v>0</v>
      </c>
      <c r="Q216" s="41"/>
      <c r="R216" s="41"/>
      <c r="S216" s="70">
        <f t="shared" si="32"/>
        <v>0</v>
      </c>
      <c r="T216" s="41"/>
      <c r="U216" s="41"/>
      <c r="V216" s="70">
        <f t="shared" si="33"/>
        <v>0</v>
      </c>
      <c r="W216" s="41"/>
      <c r="X216" s="41"/>
      <c r="Y216" s="70">
        <f t="shared" si="39"/>
        <v>0</v>
      </c>
      <c r="Z216" s="41"/>
      <c r="AA216" s="41"/>
      <c r="AB216" s="70">
        <f t="shared" si="34"/>
        <v>0</v>
      </c>
      <c r="AC216" s="41"/>
      <c r="AD216" s="41"/>
      <c r="AE216" s="70">
        <f t="shared" si="35"/>
        <v>0</v>
      </c>
      <c r="AF216" s="28">
        <f t="shared" si="36"/>
        <v>2776032</v>
      </c>
      <c r="AG216" s="28">
        <f t="shared" si="37"/>
        <v>2695.1766990291262</v>
      </c>
    </row>
    <row r="217" spans="1:33" ht="43.2" x14ac:dyDescent="0.3">
      <c r="A217" s="41" t="s">
        <v>696</v>
      </c>
      <c r="B217" s="41" t="s">
        <v>691</v>
      </c>
      <c r="C217" s="41" t="s">
        <v>658</v>
      </c>
      <c r="D217" s="41" t="s">
        <v>47</v>
      </c>
      <c r="E217" s="41" t="s">
        <v>1390</v>
      </c>
      <c r="F217" s="41" t="s">
        <v>716</v>
      </c>
      <c r="G217" s="67">
        <v>39000</v>
      </c>
      <c r="H217" s="41">
        <v>58</v>
      </c>
      <c r="I217" s="41">
        <v>6</v>
      </c>
      <c r="J217" s="67">
        <f t="shared" si="38"/>
        <v>13572000</v>
      </c>
      <c r="K217" s="41">
        <v>0</v>
      </c>
      <c r="L217" s="41">
        <v>0</v>
      </c>
      <c r="M217" s="70">
        <f t="shared" si="30"/>
        <v>0</v>
      </c>
      <c r="N217" s="41">
        <v>0</v>
      </c>
      <c r="O217" s="41">
        <v>0</v>
      </c>
      <c r="P217" s="70">
        <f t="shared" si="31"/>
        <v>0</v>
      </c>
      <c r="Q217" s="41">
        <v>80</v>
      </c>
      <c r="R217" s="41">
        <v>5</v>
      </c>
      <c r="S217" s="70">
        <f t="shared" si="32"/>
        <v>20763600.000000004</v>
      </c>
      <c r="T217" s="41">
        <v>0</v>
      </c>
      <c r="U217" s="41">
        <v>0</v>
      </c>
      <c r="V217" s="70">
        <f t="shared" si="33"/>
        <v>0</v>
      </c>
      <c r="W217" s="41">
        <v>0</v>
      </c>
      <c r="X217" s="41">
        <v>0</v>
      </c>
      <c r="Y217" s="70">
        <f t="shared" si="39"/>
        <v>0</v>
      </c>
      <c r="Z217" s="41">
        <v>0</v>
      </c>
      <c r="AA217" s="41">
        <v>0</v>
      </c>
      <c r="AB217" s="70">
        <f t="shared" si="34"/>
        <v>0</v>
      </c>
      <c r="AC217" s="41">
        <v>0</v>
      </c>
      <c r="AD217" s="41">
        <v>0</v>
      </c>
      <c r="AE217" s="70">
        <f t="shared" si="35"/>
        <v>0</v>
      </c>
      <c r="AF217" s="28">
        <f t="shared" si="36"/>
        <v>34335600</v>
      </c>
      <c r="AG217" s="28">
        <f t="shared" si="37"/>
        <v>33335.533980582528</v>
      </c>
    </row>
    <row r="218" spans="1:33" ht="43.2" x14ac:dyDescent="0.3">
      <c r="A218" s="41" t="s">
        <v>696</v>
      </c>
      <c r="B218" s="41" t="s">
        <v>691</v>
      </c>
      <c r="C218" s="41" t="s">
        <v>658</v>
      </c>
      <c r="D218" s="41" t="s">
        <v>47</v>
      </c>
      <c r="E218" s="41" t="s">
        <v>1390</v>
      </c>
      <c r="F218" s="41" t="s">
        <v>709</v>
      </c>
      <c r="G218" s="67">
        <v>35000</v>
      </c>
      <c r="H218" s="41">
        <v>100</v>
      </c>
      <c r="I218" s="41">
        <v>5</v>
      </c>
      <c r="J218" s="67">
        <f t="shared" si="38"/>
        <v>17500000</v>
      </c>
      <c r="K218" s="41">
        <v>0</v>
      </c>
      <c r="L218" s="41">
        <v>0</v>
      </c>
      <c r="M218" s="70">
        <f t="shared" si="30"/>
        <v>0</v>
      </c>
      <c r="N218" s="41">
        <v>0</v>
      </c>
      <c r="O218" s="41">
        <v>0</v>
      </c>
      <c r="P218" s="70">
        <f t="shared" si="31"/>
        <v>0</v>
      </c>
      <c r="Q218" s="41">
        <v>80</v>
      </c>
      <c r="R218" s="41">
        <v>5</v>
      </c>
      <c r="S218" s="70">
        <f t="shared" si="32"/>
        <v>18634000.000000004</v>
      </c>
      <c r="T218" s="41">
        <v>0</v>
      </c>
      <c r="U218" s="41">
        <v>0</v>
      </c>
      <c r="V218" s="70">
        <f t="shared" si="33"/>
        <v>0</v>
      </c>
      <c r="W218" s="41">
        <v>0</v>
      </c>
      <c r="X218" s="41">
        <v>0</v>
      </c>
      <c r="Y218" s="70">
        <f t="shared" si="39"/>
        <v>0</v>
      </c>
      <c r="Z218" s="41">
        <v>0</v>
      </c>
      <c r="AA218" s="41">
        <v>0</v>
      </c>
      <c r="AB218" s="70">
        <f t="shared" si="34"/>
        <v>0</v>
      </c>
      <c r="AC218" s="41">
        <v>0</v>
      </c>
      <c r="AD218" s="41">
        <v>0</v>
      </c>
      <c r="AE218" s="70">
        <f t="shared" si="35"/>
        <v>0</v>
      </c>
      <c r="AF218" s="28">
        <f t="shared" si="36"/>
        <v>36134000</v>
      </c>
      <c r="AG218" s="28">
        <f t="shared" si="37"/>
        <v>35081.553398058255</v>
      </c>
    </row>
    <row r="219" spans="1:33" ht="43.2" x14ac:dyDescent="0.3">
      <c r="A219" s="41" t="s">
        <v>696</v>
      </c>
      <c r="B219" s="41" t="s">
        <v>691</v>
      </c>
      <c r="C219" s="41" t="s">
        <v>658</v>
      </c>
      <c r="D219" s="41" t="s">
        <v>47</v>
      </c>
      <c r="E219" s="41" t="s">
        <v>1390</v>
      </c>
      <c r="F219" s="41" t="s">
        <v>712</v>
      </c>
      <c r="G219" s="67">
        <f>1999.2/7</f>
        <v>285.60000000000002</v>
      </c>
      <c r="H219" s="41">
        <f>2*25*29</f>
        <v>1450</v>
      </c>
      <c r="I219" s="41">
        <v>5</v>
      </c>
      <c r="J219" s="67">
        <f t="shared" si="38"/>
        <v>2070600.0000000002</v>
      </c>
      <c r="K219" s="41">
        <v>0</v>
      </c>
      <c r="L219" s="41">
        <v>0</v>
      </c>
      <c r="M219" s="70">
        <f t="shared" si="30"/>
        <v>0</v>
      </c>
      <c r="N219" s="41">
        <v>0</v>
      </c>
      <c r="O219" s="41">
        <v>0</v>
      </c>
      <c r="P219" s="70">
        <f t="shared" si="31"/>
        <v>0</v>
      </c>
      <c r="Q219" s="41">
        <v>20000</v>
      </c>
      <c r="R219" s="41">
        <v>1</v>
      </c>
      <c r="S219" s="70">
        <f t="shared" si="32"/>
        <v>7602672.0000000037</v>
      </c>
      <c r="T219" s="41">
        <v>0</v>
      </c>
      <c r="U219" s="41">
        <v>0</v>
      </c>
      <c r="V219" s="70">
        <f t="shared" si="33"/>
        <v>0</v>
      </c>
      <c r="W219" s="41">
        <v>0</v>
      </c>
      <c r="X219" s="41">
        <v>0</v>
      </c>
      <c r="Y219" s="70">
        <f t="shared" si="39"/>
        <v>0</v>
      </c>
      <c r="Z219" s="41">
        <v>0</v>
      </c>
      <c r="AA219" s="41">
        <v>0</v>
      </c>
      <c r="AB219" s="70">
        <f t="shared" si="34"/>
        <v>0</v>
      </c>
      <c r="AC219" s="41">
        <v>0</v>
      </c>
      <c r="AD219" s="41">
        <v>0</v>
      </c>
      <c r="AE219" s="70">
        <f t="shared" si="35"/>
        <v>0</v>
      </c>
      <c r="AF219" s="28">
        <f t="shared" si="36"/>
        <v>9673272.0000000037</v>
      </c>
      <c r="AG219" s="28">
        <f t="shared" si="37"/>
        <v>9391.5262135922367</v>
      </c>
    </row>
    <row r="220" spans="1:33" ht="43.2" x14ac:dyDescent="0.3">
      <c r="A220" s="41" t="s">
        <v>696</v>
      </c>
      <c r="B220" s="41" t="s">
        <v>691</v>
      </c>
      <c r="C220" s="41" t="s">
        <v>658</v>
      </c>
      <c r="D220" s="41" t="s">
        <v>47</v>
      </c>
      <c r="E220" s="41" t="s">
        <v>1390</v>
      </c>
      <c r="F220" s="41" t="s">
        <v>1299</v>
      </c>
      <c r="G220" s="67">
        <f>1999.2/7</f>
        <v>285.60000000000002</v>
      </c>
      <c r="H220" s="41">
        <v>22500</v>
      </c>
      <c r="I220" s="41">
        <v>1</v>
      </c>
      <c r="J220" s="67">
        <f t="shared" si="38"/>
        <v>6426000.0000000009</v>
      </c>
      <c r="K220" s="41"/>
      <c r="L220" s="41"/>
      <c r="M220" s="70">
        <f t="shared" si="30"/>
        <v>0</v>
      </c>
      <c r="N220" s="41"/>
      <c r="O220" s="41"/>
      <c r="P220" s="70">
        <f t="shared" si="31"/>
        <v>0</v>
      </c>
      <c r="Q220" s="41"/>
      <c r="R220" s="41"/>
      <c r="S220" s="70">
        <f t="shared" si="32"/>
        <v>0</v>
      </c>
      <c r="T220" s="41"/>
      <c r="U220" s="41"/>
      <c r="V220" s="70">
        <f t="shared" si="33"/>
        <v>0</v>
      </c>
      <c r="W220" s="41"/>
      <c r="X220" s="41"/>
      <c r="Y220" s="70">
        <f t="shared" si="39"/>
        <v>0</v>
      </c>
      <c r="Z220" s="41"/>
      <c r="AA220" s="41"/>
      <c r="AB220" s="70">
        <f t="shared" si="34"/>
        <v>0</v>
      </c>
      <c r="AC220" s="41"/>
      <c r="AD220" s="41"/>
      <c r="AE220" s="70">
        <f t="shared" si="35"/>
        <v>0</v>
      </c>
      <c r="AF220" s="28">
        <f t="shared" si="36"/>
        <v>6426000.0000000009</v>
      </c>
      <c r="AG220" s="28">
        <f t="shared" si="37"/>
        <v>6238.8349514563115</v>
      </c>
    </row>
    <row r="221" spans="1:33" ht="43.2" x14ac:dyDescent="0.3">
      <c r="A221" s="41" t="s">
        <v>696</v>
      </c>
      <c r="B221" s="41" t="s">
        <v>691</v>
      </c>
      <c r="C221" s="41" t="s">
        <v>658</v>
      </c>
      <c r="D221" s="41" t="s">
        <v>47</v>
      </c>
      <c r="E221" s="41" t="s">
        <v>374</v>
      </c>
      <c r="F221" s="41" t="s">
        <v>713</v>
      </c>
      <c r="G221" s="67">
        <v>45000</v>
      </c>
      <c r="H221" s="41">
        <v>100</v>
      </c>
      <c r="I221" s="41">
        <f>5*4</f>
        <v>20</v>
      </c>
      <c r="J221" s="67">
        <f t="shared" si="38"/>
        <v>90000000</v>
      </c>
      <c r="K221" s="41">
        <v>0</v>
      </c>
      <c r="L221" s="41">
        <v>0</v>
      </c>
      <c r="M221" s="70">
        <f t="shared" si="30"/>
        <v>0</v>
      </c>
      <c r="N221" s="41">
        <v>0</v>
      </c>
      <c r="O221" s="41">
        <v>0</v>
      </c>
      <c r="P221" s="70">
        <f t="shared" si="31"/>
        <v>0</v>
      </c>
      <c r="Q221" s="41">
        <v>15</v>
      </c>
      <c r="R221" s="41">
        <v>40</v>
      </c>
      <c r="S221" s="70">
        <f t="shared" si="32"/>
        <v>35937000.000000015</v>
      </c>
      <c r="T221" s="41">
        <v>15</v>
      </c>
      <c r="U221" s="41">
        <v>40</v>
      </c>
      <c r="V221" s="70">
        <f t="shared" si="33"/>
        <v>39530700.000000007</v>
      </c>
      <c r="W221" s="41">
        <v>0</v>
      </c>
      <c r="X221" s="41">
        <v>0</v>
      </c>
      <c r="Y221" s="70">
        <f t="shared" si="39"/>
        <v>0</v>
      </c>
      <c r="Z221" s="41">
        <v>0</v>
      </c>
      <c r="AA221" s="41">
        <v>0</v>
      </c>
      <c r="AB221" s="70">
        <f t="shared" si="34"/>
        <v>0</v>
      </c>
      <c r="AC221" s="41">
        <v>0</v>
      </c>
      <c r="AD221" s="41">
        <v>0</v>
      </c>
      <c r="AE221" s="70">
        <f t="shared" si="35"/>
        <v>0</v>
      </c>
      <c r="AF221" s="28">
        <f t="shared" si="36"/>
        <v>165467700.00000003</v>
      </c>
      <c r="AG221" s="28">
        <f t="shared" si="37"/>
        <v>160648.25242718449</v>
      </c>
    </row>
    <row r="222" spans="1:33" ht="43.2" x14ac:dyDescent="0.3">
      <c r="A222" s="41" t="s">
        <v>696</v>
      </c>
      <c r="B222" s="41" t="s">
        <v>691</v>
      </c>
      <c r="C222" s="41" t="s">
        <v>658</v>
      </c>
      <c r="D222" s="41" t="s">
        <v>47</v>
      </c>
      <c r="E222" s="41" t="s">
        <v>374</v>
      </c>
      <c r="F222" s="41" t="s">
        <v>712</v>
      </c>
      <c r="G222" s="67">
        <f>1999.2/7</f>
        <v>285.60000000000002</v>
      </c>
      <c r="H222" s="41">
        <f>2*25*29</f>
        <v>1450</v>
      </c>
      <c r="I222" s="41">
        <f>5*4</f>
        <v>20</v>
      </c>
      <c r="J222" s="67">
        <f t="shared" si="38"/>
        <v>8282400.0000000009</v>
      </c>
      <c r="K222" s="41">
        <v>0</v>
      </c>
      <c r="L222" s="41">
        <v>0</v>
      </c>
      <c r="M222" s="70">
        <f t="shared" si="30"/>
        <v>0</v>
      </c>
      <c r="N222" s="41">
        <v>0</v>
      </c>
      <c r="O222" s="41">
        <v>0</v>
      </c>
      <c r="P222" s="70">
        <f t="shared" si="31"/>
        <v>0</v>
      </c>
      <c r="Q222" s="41">
        <v>20000</v>
      </c>
      <c r="R222" s="41">
        <v>4</v>
      </c>
      <c r="S222" s="70">
        <f t="shared" si="32"/>
        <v>30410688.000000015</v>
      </c>
      <c r="T222" s="41">
        <v>20000</v>
      </c>
      <c r="U222" s="41">
        <v>4</v>
      </c>
      <c r="V222" s="70">
        <f t="shared" si="33"/>
        <v>33451756.800000012</v>
      </c>
      <c r="W222" s="41">
        <v>0</v>
      </c>
      <c r="X222" s="41">
        <v>0</v>
      </c>
      <c r="Y222" s="70">
        <f t="shared" si="39"/>
        <v>0</v>
      </c>
      <c r="Z222" s="41">
        <v>0</v>
      </c>
      <c r="AA222" s="41">
        <v>0</v>
      </c>
      <c r="AB222" s="70">
        <f t="shared" si="34"/>
        <v>0</v>
      </c>
      <c r="AC222" s="41">
        <v>0</v>
      </c>
      <c r="AD222" s="41">
        <v>0</v>
      </c>
      <c r="AE222" s="70">
        <f t="shared" si="35"/>
        <v>0</v>
      </c>
      <c r="AF222" s="28">
        <f t="shared" si="36"/>
        <v>72144844.800000027</v>
      </c>
      <c r="AG222" s="28">
        <f t="shared" si="37"/>
        <v>70043.538640776722</v>
      </c>
    </row>
    <row r="223" spans="1:33" ht="43.2" x14ac:dyDescent="0.3">
      <c r="A223" s="41" t="s">
        <v>696</v>
      </c>
      <c r="B223" s="41" t="s">
        <v>691</v>
      </c>
      <c r="C223" s="41" t="s">
        <v>658</v>
      </c>
      <c r="D223" s="41" t="s">
        <v>47</v>
      </c>
      <c r="E223" s="41" t="s">
        <v>374</v>
      </c>
      <c r="F223" s="41" t="s">
        <v>1299</v>
      </c>
      <c r="G223" s="67">
        <f>1999.2/7</f>
        <v>285.60000000000002</v>
      </c>
      <c r="H223" s="41">
        <v>22500</v>
      </c>
      <c r="I223" s="41">
        <v>4</v>
      </c>
      <c r="J223" s="67">
        <f t="shared" si="38"/>
        <v>25704000.000000004</v>
      </c>
      <c r="K223" s="41"/>
      <c r="L223" s="41"/>
      <c r="M223" s="70">
        <f t="shared" si="30"/>
        <v>0</v>
      </c>
      <c r="N223" s="41"/>
      <c r="O223" s="41"/>
      <c r="P223" s="70">
        <f t="shared" si="31"/>
        <v>0</v>
      </c>
      <c r="Q223" s="41"/>
      <c r="R223" s="41"/>
      <c r="S223" s="70">
        <f t="shared" si="32"/>
        <v>0</v>
      </c>
      <c r="T223" s="41"/>
      <c r="U223" s="41"/>
      <c r="V223" s="70">
        <f t="shared" si="33"/>
        <v>0</v>
      </c>
      <c r="W223" s="41"/>
      <c r="X223" s="41"/>
      <c r="Y223" s="70">
        <f t="shared" si="39"/>
        <v>0</v>
      </c>
      <c r="Z223" s="41"/>
      <c r="AA223" s="41"/>
      <c r="AB223" s="70">
        <f t="shared" si="34"/>
        <v>0</v>
      </c>
      <c r="AC223" s="41"/>
      <c r="AD223" s="41"/>
      <c r="AE223" s="70">
        <f t="shared" si="35"/>
        <v>0</v>
      </c>
      <c r="AF223" s="28">
        <f t="shared" si="36"/>
        <v>25704000.000000004</v>
      </c>
      <c r="AG223" s="28">
        <f t="shared" si="37"/>
        <v>24955.339805825246</v>
      </c>
    </row>
    <row r="224" spans="1:33" ht="43.2" x14ac:dyDescent="0.3">
      <c r="A224" s="41" t="s">
        <v>696</v>
      </c>
      <c r="B224" s="41" t="s">
        <v>691</v>
      </c>
      <c r="C224" s="41" t="s">
        <v>658</v>
      </c>
      <c r="D224" s="41" t="s">
        <v>47</v>
      </c>
      <c r="E224" s="41" t="s">
        <v>375</v>
      </c>
      <c r="F224" s="41" t="s">
        <v>713</v>
      </c>
      <c r="G224" s="67">
        <v>45000</v>
      </c>
      <c r="H224" s="41">
        <v>100</v>
      </c>
      <c r="I224" s="41">
        <f>6*4</f>
        <v>24</v>
      </c>
      <c r="J224" s="67">
        <f t="shared" si="38"/>
        <v>108000000</v>
      </c>
      <c r="K224" s="41">
        <v>0</v>
      </c>
      <c r="L224" s="41">
        <v>0</v>
      </c>
      <c r="M224" s="70">
        <f t="shared" si="30"/>
        <v>0</v>
      </c>
      <c r="N224" s="41">
        <v>0</v>
      </c>
      <c r="O224" s="41">
        <v>0</v>
      </c>
      <c r="P224" s="70">
        <f t="shared" si="31"/>
        <v>0</v>
      </c>
      <c r="Q224" s="41">
        <v>15</v>
      </c>
      <c r="R224" s="41">
        <v>40</v>
      </c>
      <c r="S224" s="70">
        <f t="shared" si="32"/>
        <v>35937000.000000015</v>
      </c>
      <c r="T224" s="41">
        <v>15</v>
      </c>
      <c r="U224" s="41">
        <v>40</v>
      </c>
      <c r="V224" s="70">
        <f t="shared" si="33"/>
        <v>39530700.000000007</v>
      </c>
      <c r="W224" s="41">
        <v>0</v>
      </c>
      <c r="X224" s="41">
        <v>0</v>
      </c>
      <c r="Y224" s="70">
        <f t="shared" si="39"/>
        <v>0</v>
      </c>
      <c r="Z224" s="41">
        <v>0</v>
      </c>
      <c r="AA224" s="41">
        <v>0</v>
      </c>
      <c r="AB224" s="70">
        <f t="shared" si="34"/>
        <v>0</v>
      </c>
      <c r="AC224" s="41">
        <v>0</v>
      </c>
      <c r="AD224" s="41">
        <v>0</v>
      </c>
      <c r="AE224" s="70">
        <f t="shared" si="35"/>
        <v>0</v>
      </c>
      <c r="AF224" s="28">
        <f t="shared" si="36"/>
        <v>183467700</v>
      </c>
      <c r="AG224" s="28">
        <f t="shared" si="37"/>
        <v>178123.98058252427</v>
      </c>
    </row>
    <row r="225" spans="1:33" ht="43.2" x14ac:dyDescent="0.3">
      <c r="A225" s="41" t="s">
        <v>696</v>
      </c>
      <c r="B225" s="41" t="s">
        <v>691</v>
      </c>
      <c r="C225" s="41" t="s">
        <v>658</v>
      </c>
      <c r="D225" s="41" t="s">
        <v>47</v>
      </c>
      <c r="E225" s="41" t="s">
        <v>375</v>
      </c>
      <c r="F225" s="41" t="s">
        <v>712</v>
      </c>
      <c r="G225" s="67">
        <f>1999.2/7</f>
        <v>285.60000000000002</v>
      </c>
      <c r="H225" s="41">
        <f>2*25*9</f>
        <v>450</v>
      </c>
      <c r="I225" s="41">
        <f>5*4</f>
        <v>20</v>
      </c>
      <c r="J225" s="67">
        <f t="shared" si="38"/>
        <v>2570400.0000000005</v>
      </c>
      <c r="K225" s="41">
        <v>0</v>
      </c>
      <c r="L225" s="41">
        <v>0</v>
      </c>
      <c r="M225" s="70">
        <f t="shared" si="30"/>
        <v>0</v>
      </c>
      <c r="N225" s="41">
        <v>0</v>
      </c>
      <c r="O225" s="41">
        <v>0</v>
      </c>
      <c r="P225" s="70">
        <f t="shared" si="31"/>
        <v>0</v>
      </c>
      <c r="Q225" s="41">
        <v>20000</v>
      </c>
      <c r="R225" s="41">
        <v>4</v>
      </c>
      <c r="S225" s="70">
        <f t="shared" si="32"/>
        <v>30410688.000000015</v>
      </c>
      <c r="T225" s="41">
        <v>20000</v>
      </c>
      <c r="U225" s="41">
        <v>4</v>
      </c>
      <c r="V225" s="70">
        <f t="shared" si="33"/>
        <v>33451756.800000012</v>
      </c>
      <c r="W225" s="41">
        <v>0</v>
      </c>
      <c r="X225" s="41">
        <v>0</v>
      </c>
      <c r="Y225" s="70">
        <f t="shared" si="39"/>
        <v>0</v>
      </c>
      <c r="Z225" s="41">
        <v>0</v>
      </c>
      <c r="AA225" s="41">
        <v>0</v>
      </c>
      <c r="AB225" s="70">
        <f t="shared" si="34"/>
        <v>0</v>
      </c>
      <c r="AC225" s="41">
        <v>0</v>
      </c>
      <c r="AD225" s="41">
        <v>0</v>
      </c>
      <c r="AE225" s="70">
        <f t="shared" si="35"/>
        <v>0</v>
      </c>
      <c r="AF225" s="28">
        <f t="shared" si="36"/>
        <v>66432844.800000027</v>
      </c>
      <c r="AG225" s="28">
        <f t="shared" si="37"/>
        <v>64497.907572815559</v>
      </c>
    </row>
    <row r="226" spans="1:33" ht="43.2" x14ac:dyDescent="0.3">
      <c r="A226" s="41" t="s">
        <v>696</v>
      </c>
      <c r="B226" s="41" t="s">
        <v>691</v>
      </c>
      <c r="C226" s="41" t="s">
        <v>658</v>
      </c>
      <c r="D226" s="41" t="s">
        <v>47</v>
      </c>
      <c r="E226" s="41" t="s">
        <v>375</v>
      </c>
      <c r="F226" s="41" t="s">
        <v>1299</v>
      </c>
      <c r="G226" s="67">
        <f>1999.2/7</f>
        <v>285.60000000000002</v>
      </c>
      <c r="H226" s="41">
        <f>2*135*9</f>
        <v>2430</v>
      </c>
      <c r="I226" s="41">
        <v>4</v>
      </c>
      <c r="J226" s="67">
        <f t="shared" si="38"/>
        <v>2776032</v>
      </c>
      <c r="K226" s="41"/>
      <c r="L226" s="41"/>
      <c r="M226" s="70">
        <f t="shared" si="30"/>
        <v>0</v>
      </c>
      <c r="N226" s="41"/>
      <c r="O226" s="41"/>
      <c r="P226" s="70">
        <f t="shared" si="31"/>
        <v>0</v>
      </c>
      <c r="Q226" s="41"/>
      <c r="R226" s="41"/>
      <c r="S226" s="70">
        <f t="shared" si="32"/>
        <v>0</v>
      </c>
      <c r="T226" s="41"/>
      <c r="U226" s="41"/>
      <c r="V226" s="70">
        <f t="shared" si="33"/>
        <v>0</v>
      </c>
      <c r="W226" s="41"/>
      <c r="X226" s="41"/>
      <c r="Y226" s="70">
        <f t="shared" si="39"/>
        <v>0</v>
      </c>
      <c r="Z226" s="41"/>
      <c r="AA226" s="41"/>
      <c r="AB226" s="70">
        <f t="shared" si="34"/>
        <v>0</v>
      </c>
      <c r="AC226" s="41"/>
      <c r="AD226" s="41"/>
      <c r="AE226" s="70">
        <f t="shared" si="35"/>
        <v>0</v>
      </c>
      <c r="AF226" s="28">
        <f t="shared" si="36"/>
        <v>2776032</v>
      </c>
      <c r="AG226" s="28">
        <f t="shared" si="37"/>
        <v>2695.1766990291262</v>
      </c>
    </row>
    <row r="227" spans="1:33" ht="43.2" x14ac:dyDescent="0.3">
      <c r="A227" s="41" t="s">
        <v>696</v>
      </c>
      <c r="B227" s="41" t="s">
        <v>691</v>
      </c>
      <c r="C227" s="41" t="s">
        <v>658</v>
      </c>
      <c r="D227" s="41" t="s">
        <v>47</v>
      </c>
      <c r="E227" s="41" t="s">
        <v>376</v>
      </c>
      <c r="F227" s="41" t="s">
        <v>713</v>
      </c>
      <c r="G227" s="67">
        <v>45000</v>
      </c>
      <c r="H227" s="41">
        <v>100</v>
      </c>
      <c r="I227" s="41">
        <f>6*4</f>
        <v>24</v>
      </c>
      <c r="J227" s="67">
        <f t="shared" si="38"/>
        <v>108000000</v>
      </c>
      <c r="K227" s="41">
        <v>0</v>
      </c>
      <c r="L227" s="41">
        <v>0</v>
      </c>
      <c r="M227" s="70">
        <f t="shared" si="30"/>
        <v>0</v>
      </c>
      <c r="N227" s="41">
        <v>0</v>
      </c>
      <c r="O227" s="41">
        <v>0</v>
      </c>
      <c r="P227" s="70">
        <f t="shared" si="31"/>
        <v>0</v>
      </c>
      <c r="Q227" s="41">
        <v>15</v>
      </c>
      <c r="R227" s="41">
        <v>40</v>
      </c>
      <c r="S227" s="70">
        <f t="shared" si="32"/>
        <v>35937000.000000015</v>
      </c>
      <c r="T227" s="41">
        <v>15</v>
      </c>
      <c r="U227" s="41">
        <v>40</v>
      </c>
      <c r="V227" s="70">
        <f t="shared" si="33"/>
        <v>39530700.000000007</v>
      </c>
      <c r="W227" s="41">
        <v>0</v>
      </c>
      <c r="X227" s="41">
        <v>0</v>
      </c>
      <c r="Y227" s="70">
        <f t="shared" si="39"/>
        <v>0</v>
      </c>
      <c r="Z227" s="41">
        <v>0</v>
      </c>
      <c r="AA227" s="41">
        <v>0</v>
      </c>
      <c r="AB227" s="70">
        <f t="shared" si="34"/>
        <v>0</v>
      </c>
      <c r="AC227" s="41">
        <v>0</v>
      </c>
      <c r="AD227" s="41">
        <v>0</v>
      </c>
      <c r="AE227" s="70">
        <f t="shared" si="35"/>
        <v>0</v>
      </c>
      <c r="AF227" s="28">
        <f t="shared" si="36"/>
        <v>183467700</v>
      </c>
      <c r="AG227" s="28">
        <f t="shared" si="37"/>
        <v>178123.98058252427</v>
      </c>
    </row>
    <row r="228" spans="1:33" ht="43.2" x14ac:dyDescent="0.3">
      <c r="A228" s="41" t="s">
        <v>696</v>
      </c>
      <c r="B228" s="41" t="s">
        <v>691</v>
      </c>
      <c r="C228" s="41" t="s">
        <v>658</v>
      </c>
      <c r="D228" s="41" t="s">
        <v>47</v>
      </c>
      <c r="E228" s="41" t="s">
        <v>376</v>
      </c>
      <c r="F228" s="41" t="s">
        <v>712</v>
      </c>
      <c r="G228" s="67">
        <f>1999.2/7</f>
        <v>285.60000000000002</v>
      </c>
      <c r="H228" s="41">
        <f>2*25*9</f>
        <v>450</v>
      </c>
      <c r="I228" s="41">
        <f>5*4</f>
        <v>20</v>
      </c>
      <c r="J228" s="67">
        <f t="shared" si="38"/>
        <v>2570400.0000000005</v>
      </c>
      <c r="K228" s="41">
        <v>0</v>
      </c>
      <c r="L228" s="41">
        <v>0</v>
      </c>
      <c r="M228" s="70">
        <f t="shared" si="30"/>
        <v>0</v>
      </c>
      <c r="N228" s="41">
        <v>0</v>
      </c>
      <c r="O228" s="41">
        <v>0</v>
      </c>
      <c r="P228" s="70">
        <f t="shared" si="31"/>
        <v>0</v>
      </c>
      <c r="Q228" s="41">
        <v>20000</v>
      </c>
      <c r="R228" s="41">
        <v>4</v>
      </c>
      <c r="S228" s="70">
        <f t="shared" si="32"/>
        <v>30410688.000000015</v>
      </c>
      <c r="T228" s="41">
        <v>20000</v>
      </c>
      <c r="U228" s="41">
        <v>4</v>
      </c>
      <c r="V228" s="70">
        <f t="shared" si="33"/>
        <v>33451756.800000012</v>
      </c>
      <c r="W228" s="41">
        <v>0</v>
      </c>
      <c r="X228" s="41">
        <v>0</v>
      </c>
      <c r="Y228" s="70">
        <f t="shared" si="39"/>
        <v>0</v>
      </c>
      <c r="Z228" s="41">
        <v>0</v>
      </c>
      <c r="AA228" s="41">
        <v>0</v>
      </c>
      <c r="AB228" s="70">
        <f t="shared" si="34"/>
        <v>0</v>
      </c>
      <c r="AC228" s="41">
        <v>0</v>
      </c>
      <c r="AD228" s="41">
        <v>0</v>
      </c>
      <c r="AE228" s="70">
        <f t="shared" si="35"/>
        <v>0</v>
      </c>
      <c r="AF228" s="28">
        <f t="shared" si="36"/>
        <v>66432844.800000027</v>
      </c>
      <c r="AG228" s="28">
        <f t="shared" si="37"/>
        <v>64497.907572815559</v>
      </c>
    </row>
    <row r="229" spans="1:33" ht="43.2" x14ac:dyDescent="0.3">
      <c r="A229" s="41" t="s">
        <v>696</v>
      </c>
      <c r="B229" s="41" t="s">
        <v>691</v>
      </c>
      <c r="C229" s="41" t="s">
        <v>658</v>
      </c>
      <c r="D229" s="41" t="s">
        <v>47</v>
      </c>
      <c r="E229" s="41" t="s">
        <v>376</v>
      </c>
      <c r="F229" s="41" t="s">
        <v>1299</v>
      </c>
      <c r="G229" s="67">
        <f>1999.2/7</f>
        <v>285.60000000000002</v>
      </c>
      <c r="H229" s="41">
        <f>2*135*9</f>
        <v>2430</v>
      </c>
      <c r="I229" s="41">
        <v>4</v>
      </c>
      <c r="J229" s="67">
        <f t="shared" si="38"/>
        <v>2776032</v>
      </c>
      <c r="K229" s="41"/>
      <c r="L229" s="41"/>
      <c r="M229" s="70">
        <f t="shared" si="30"/>
        <v>0</v>
      </c>
      <c r="N229" s="41"/>
      <c r="O229" s="41"/>
      <c r="P229" s="70">
        <f t="shared" si="31"/>
        <v>0</v>
      </c>
      <c r="Q229" s="41"/>
      <c r="R229" s="41"/>
      <c r="S229" s="70">
        <f t="shared" si="32"/>
        <v>0</v>
      </c>
      <c r="T229" s="41"/>
      <c r="U229" s="41"/>
      <c r="V229" s="70">
        <f t="shared" si="33"/>
        <v>0</v>
      </c>
      <c r="W229" s="41"/>
      <c r="X229" s="41"/>
      <c r="Y229" s="70">
        <f t="shared" si="39"/>
        <v>0</v>
      </c>
      <c r="Z229" s="41"/>
      <c r="AA229" s="41"/>
      <c r="AB229" s="70">
        <f t="shared" si="34"/>
        <v>0</v>
      </c>
      <c r="AC229" s="41"/>
      <c r="AD229" s="41"/>
      <c r="AE229" s="70">
        <f t="shared" si="35"/>
        <v>0</v>
      </c>
      <c r="AF229" s="28">
        <f t="shared" si="36"/>
        <v>2776032</v>
      </c>
      <c r="AG229" s="28">
        <f t="shared" si="37"/>
        <v>2695.1766990291262</v>
      </c>
    </row>
    <row r="230" spans="1:33" ht="43.2" x14ac:dyDescent="0.3">
      <c r="A230" s="41" t="s">
        <v>696</v>
      </c>
      <c r="B230" s="41" t="s">
        <v>691</v>
      </c>
      <c r="C230" s="41" t="s">
        <v>658</v>
      </c>
      <c r="D230" s="41" t="s">
        <v>47</v>
      </c>
      <c r="E230" s="41" t="s">
        <v>377</v>
      </c>
      <c r="F230" s="41" t="s">
        <v>718</v>
      </c>
      <c r="G230" s="67">
        <v>0</v>
      </c>
      <c r="H230" s="41">
        <v>0</v>
      </c>
      <c r="I230" s="41">
        <v>0</v>
      </c>
      <c r="J230" s="67">
        <f t="shared" si="38"/>
        <v>0</v>
      </c>
      <c r="K230" s="41">
        <v>0</v>
      </c>
      <c r="L230" s="41">
        <v>0</v>
      </c>
      <c r="M230" s="70">
        <f t="shared" si="30"/>
        <v>0</v>
      </c>
      <c r="N230" s="41">
        <v>0</v>
      </c>
      <c r="O230" s="41">
        <v>0</v>
      </c>
      <c r="P230" s="70">
        <f t="shared" si="31"/>
        <v>0</v>
      </c>
      <c r="Q230" s="41">
        <v>0</v>
      </c>
      <c r="R230" s="41">
        <v>0</v>
      </c>
      <c r="S230" s="70">
        <f t="shared" si="32"/>
        <v>0</v>
      </c>
      <c r="T230" s="41">
        <v>0</v>
      </c>
      <c r="U230" s="41">
        <v>0</v>
      </c>
      <c r="V230" s="70">
        <f t="shared" si="33"/>
        <v>0</v>
      </c>
      <c r="W230" s="41">
        <v>0</v>
      </c>
      <c r="X230" s="41">
        <v>0</v>
      </c>
      <c r="Y230" s="70">
        <f t="shared" si="39"/>
        <v>0</v>
      </c>
      <c r="Z230" s="41">
        <v>0</v>
      </c>
      <c r="AA230" s="41">
        <v>0</v>
      </c>
      <c r="AB230" s="70">
        <f t="shared" si="34"/>
        <v>0</v>
      </c>
      <c r="AC230" s="41">
        <v>0</v>
      </c>
      <c r="AD230" s="41">
        <v>0</v>
      </c>
      <c r="AE230" s="70">
        <f t="shared" si="35"/>
        <v>0</v>
      </c>
      <c r="AF230" s="28">
        <f t="shared" si="36"/>
        <v>0</v>
      </c>
      <c r="AG230" s="28">
        <f t="shared" si="37"/>
        <v>0</v>
      </c>
    </row>
    <row r="231" spans="1:33" ht="43.2" x14ac:dyDescent="0.3">
      <c r="A231" s="41" t="s">
        <v>696</v>
      </c>
      <c r="B231" s="41" t="s">
        <v>691</v>
      </c>
      <c r="C231" s="41" t="s">
        <v>658</v>
      </c>
      <c r="D231" s="41" t="s">
        <v>47</v>
      </c>
      <c r="E231" s="41" t="s">
        <v>378</v>
      </c>
      <c r="F231" s="41" t="s">
        <v>713</v>
      </c>
      <c r="G231" s="67">
        <v>45000</v>
      </c>
      <c r="H231" s="41">
        <v>25</v>
      </c>
      <c r="I231" s="41">
        <v>6</v>
      </c>
      <c r="J231" s="67">
        <f t="shared" si="38"/>
        <v>6750000</v>
      </c>
      <c r="K231" s="41">
        <v>0</v>
      </c>
      <c r="L231" s="41">
        <v>0</v>
      </c>
      <c r="M231" s="70">
        <f t="shared" si="30"/>
        <v>0</v>
      </c>
      <c r="N231" s="41">
        <v>0</v>
      </c>
      <c r="O231" s="41">
        <v>0</v>
      </c>
      <c r="P231" s="70">
        <f t="shared" si="31"/>
        <v>0</v>
      </c>
      <c r="Q231" s="41">
        <v>15</v>
      </c>
      <c r="R231" s="41">
        <v>40</v>
      </c>
      <c r="S231" s="70">
        <f t="shared" si="32"/>
        <v>35937000.000000015</v>
      </c>
      <c r="T231" s="41">
        <v>15</v>
      </c>
      <c r="U231" s="41">
        <v>40</v>
      </c>
      <c r="V231" s="70">
        <f t="shared" si="33"/>
        <v>39530700.000000007</v>
      </c>
      <c r="W231" s="41">
        <v>0</v>
      </c>
      <c r="X231" s="41">
        <v>0</v>
      </c>
      <c r="Y231" s="70">
        <f t="shared" si="39"/>
        <v>0</v>
      </c>
      <c r="Z231" s="41">
        <v>0</v>
      </c>
      <c r="AA231" s="41">
        <v>0</v>
      </c>
      <c r="AB231" s="70">
        <f t="shared" si="34"/>
        <v>0</v>
      </c>
      <c r="AC231" s="41">
        <v>0</v>
      </c>
      <c r="AD231" s="41">
        <v>0</v>
      </c>
      <c r="AE231" s="70">
        <f t="shared" si="35"/>
        <v>0</v>
      </c>
      <c r="AF231" s="28">
        <f t="shared" si="36"/>
        <v>82217700.00000003</v>
      </c>
      <c r="AG231" s="28">
        <f t="shared" si="37"/>
        <v>79823.009708737896</v>
      </c>
    </row>
    <row r="232" spans="1:33" ht="43.2" x14ac:dyDescent="0.3">
      <c r="A232" s="41" t="s">
        <v>696</v>
      </c>
      <c r="B232" s="41" t="s">
        <v>691</v>
      </c>
      <c r="C232" s="41" t="s">
        <v>658</v>
      </c>
      <c r="D232" s="41" t="s">
        <v>47</v>
      </c>
      <c r="E232" s="41" t="s">
        <v>378</v>
      </c>
      <c r="F232" s="41" t="s">
        <v>712</v>
      </c>
      <c r="G232" s="67">
        <f>1999.2/7</f>
        <v>285.60000000000002</v>
      </c>
      <c r="H232" s="41">
        <f>2*25*9</f>
        <v>450</v>
      </c>
      <c r="I232" s="41">
        <v>5</v>
      </c>
      <c r="J232" s="67">
        <f t="shared" si="38"/>
        <v>642600.00000000012</v>
      </c>
      <c r="K232" s="41">
        <v>0</v>
      </c>
      <c r="L232" s="41">
        <v>0</v>
      </c>
      <c r="M232" s="70">
        <f t="shared" si="30"/>
        <v>0</v>
      </c>
      <c r="N232" s="41">
        <v>0</v>
      </c>
      <c r="O232" s="41">
        <v>0</v>
      </c>
      <c r="P232" s="70">
        <f t="shared" si="31"/>
        <v>0</v>
      </c>
      <c r="Q232" s="41">
        <v>20000</v>
      </c>
      <c r="R232" s="41">
        <v>4</v>
      </c>
      <c r="S232" s="70">
        <f t="shared" si="32"/>
        <v>30410688.000000015</v>
      </c>
      <c r="T232" s="41">
        <v>20000</v>
      </c>
      <c r="U232" s="41">
        <v>4</v>
      </c>
      <c r="V232" s="70">
        <f t="shared" si="33"/>
        <v>33451756.800000012</v>
      </c>
      <c r="W232" s="41">
        <v>0</v>
      </c>
      <c r="X232" s="41">
        <v>0</v>
      </c>
      <c r="Y232" s="70">
        <f t="shared" si="39"/>
        <v>0</v>
      </c>
      <c r="Z232" s="41">
        <v>0</v>
      </c>
      <c r="AA232" s="41">
        <v>0</v>
      </c>
      <c r="AB232" s="70">
        <f t="shared" si="34"/>
        <v>0</v>
      </c>
      <c r="AC232" s="41">
        <v>0</v>
      </c>
      <c r="AD232" s="41">
        <v>0</v>
      </c>
      <c r="AE232" s="70">
        <f t="shared" si="35"/>
        <v>0</v>
      </c>
      <c r="AF232" s="28">
        <f t="shared" si="36"/>
        <v>64505044.800000027</v>
      </c>
      <c r="AG232" s="28">
        <f t="shared" si="37"/>
        <v>62626.257087378668</v>
      </c>
    </row>
    <row r="233" spans="1:33" ht="43.2" x14ac:dyDescent="0.3">
      <c r="A233" s="41" t="s">
        <v>696</v>
      </c>
      <c r="B233" s="41" t="s">
        <v>691</v>
      </c>
      <c r="C233" s="41" t="s">
        <v>658</v>
      </c>
      <c r="D233" s="41" t="s">
        <v>47</v>
      </c>
      <c r="E233" s="41" t="s">
        <v>378</v>
      </c>
      <c r="F233" s="41" t="s">
        <v>1299</v>
      </c>
      <c r="G233" s="67">
        <f>1999.2/7</f>
        <v>285.60000000000002</v>
      </c>
      <c r="H233" s="41">
        <f>2*135*9</f>
        <v>2430</v>
      </c>
      <c r="I233" s="41">
        <v>1</v>
      </c>
      <c r="J233" s="67">
        <f t="shared" si="38"/>
        <v>694008</v>
      </c>
      <c r="K233" s="41"/>
      <c r="L233" s="41"/>
      <c r="M233" s="70">
        <f t="shared" si="30"/>
        <v>0</v>
      </c>
      <c r="N233" s="41"/>
      <c r="O233" s="41"/>
      <c r="P233" s="70">
        <f t="shared" si="31"/>
        <v>0</v>
      </c>
      <c r="Q233" s="41"/>
      <c r="R233" s="41"/>
      <c r="S233" s="70">
        <f t="shared" si="32"/>
        <v>0</v>
      </c>
      <c r="T233" s="41"/>
      <c r="U233" s="41"/>
      <c r="V233" s="70">
        <f t="shared" si="33"/>
        <v>0</v>
      </c>
      <c r="W233" s="41"/>
      <c r="X233" s="41"/>
      <c r="Y233" s="70">
        <f t="shared" si="39"/>
        <v>0</v>
      </c>
      <c r="Z233" s="41"/>
      <c r="AA233" s="41"/>
      <c r="AB233" s="70">
        <f t="shared" si="34"/>
        <v>0</v>
      </c>
      <c r="AC233" s="41"/>
      <c r="AD233" s="41"/>
      <c r="AE233" s="70">
        <f t="shared" si="35"/>
        <v>0</v>
      </c>
      <c r="AF233" s="28">
        <f t="shared" si="36"/>
        <v>694008</v>
      </c>
      <c r="AG233" s="28">
        <f t="shared" si="37"/>
        <v>673.79417475728155</v>
      </c>
    </row>
    <row r="234" spans="1:33" ht="43.2" x14ac:dyDescent="0.3">
      <c r="A234" s="41" t="s">
        <v>696</v>
      </c>
      <c r="B234" s="41" t="s">
        <v>691</v>
      </c>
      <c r="C234" s="41" t="s">
        <v>658</v>
      </c>
      <c r="D234" s="41" t="s">
        <v>47</v>
      </c>
      <c r="E234" s="41" t="s">
        <v>338</v>
      </c>
      <c r="F234" s="41" t="s">
        <v>753</v>
      </c>
      <c r="G234" s="67">
        <v>135000000</v>
      </c>
      <c r="H234" s="41">
        <v>0</v>
      </c>
      <c r="I234" s="41">
        <v>0</v>
      </c>
      <c r="J234" s="67">
        <f t="shared" si="38"/>
        <v>0</v>
      </c>
      <c r="K234" s="41">
        <v>0</v>
      </c>
      <c r="L234" s="41">
        <v>0</v>
      </c>
      <c r="M234" s="70">
        <f t="shared" si="30"/>
        <v>0</v>
      </c>
      <c r="N234" s="41">
        <v>0</v>
      </c>
      <c r="O234" s="41">
        <v>0</v>
      </c>
      <c r="P234" s="70">
        <f t="shared" si="31"/>
        <v>0</v>
      </c>
      <c r="Q234" s="41">
        <v>1</v>
      </c>
      <c r="R234" s="41">
        <v>1</v>
      </c>
      <c r="S234" s="70">
        <f t="shared" si="32"/>
        <v>179685000.00000006</v>
      </c>
      <c r="T234" s="41">
        <v>1</v>
      </c>
      <c r="U234" s="41">
        <v>1</v>
      </c>
      <c r="V234" s="70">
        <f t="shared" si="33"/>
        <v>197653500.00000006</v>
      </c>
      <c r="W234" s="41">
        <v>0</v>
      </c>
      <c r="X234" s="41">
        <v>0</v>
      </c>
      <c r="Y234" s="70">
        <f t="shared" si="39"/>
        <v>0</v>
      </c>
      <c r="Z234" s="41">
        <v>0</v>
      </c>
      <c r="AA234" s="41">
        <v>0</v>
      </c>
      <c r="AB234" s="70">
        <f t="shared" si="34"/>
        <v>0</v>
      </c>
      <c r="AC234" s="41">
        <v>0</v>
      </c>
      <c r="AD234" s="41">
        <v>0</v>
      </c>
      <c r="AE234" s="70">
        <f t="shared" si="35"/>
        <v>0</v>
      </c>
      <c r="AF234" s="28">
        <f t="shared" si="36"/>
        <v>377338500.00000012</v>
      </c>
      <c r="AG234" s="28">
        <f t="shared" si="37"/>
        <v>366348.05825242732</v>
      </c>
    </row>
    <row r="235" spans="1:33" ht="43.2" x14ac:dyDescent="0.3">
      <c r="A235" s="41" t="s">
        <v>696</v>
      </c>
      <c r="B235" s="41" t="s">
        <v>691</v>
      </c>
      <c r="C235" s="41" t="s">
        <v>658</v>
      </c>
      <c r="D235" s="41" t="s">
        <v>47</v>
      </c>
      <c r="E235" s="41" t="s">
        <v>339</v>
      </c>
      <c r="F235" s="41" t="s">
        <v>754</v>
      </c>
      <c r="G235" s="67">
        <v>105000000</v>
      </c>
      <c r="H235" s="41">
        <v>0</v>
      </c>
      <c r="I235" s="41">
        <v>0</v>
      </c>
      <c r="J235" s="67">
        <f t="shared" si="38"/>
        <v>0</v>
      </c>
      <c r="K235" s="41">
        <v>0</v>
      </c>
      <c r="L235" s="41">
        <v>0</v>
      </c>
      <c r="M235" s="70">
        <f t="shared" si="30"/>
        <v>0</v>
      </c>
      <c r="N235" s="41">
        <v>0</v>
      </c>
      <c r="O235" s="41">
        <v>0</v>
      </c>
      <c r="P235" s="70">
        <f t="shared" si="31"/>
        <v>0</v>
      </c>
      <c r="Q235" s="41">
        <v>1</v>
      </c>
      <c r="R235" s="41">
        <v>1</v>
      </c>
      <c r="S235" s="70">
        <f t="shared" si="32"/>
        <v>139755000.00000003</v>
      </c>
      <c r="T235" s="41">
        <v>1</v>
      </c>
      <c r="U235" s="41">
        <v>1</v>
      </c>
      <c r="V235" s="70">
        <f t="shared" si="33"/>
        <v>153730500.00000003</v>
      </c>
      <c r="W235" s="41">
        <v>0</v>
      </c>
      <c r="X235" s="41">
        <v>0</v>
      </c>
      <c r="Y235" s="70">
        <f t="shared" si="39"/>
        <v>0</v>
      </c>
      <c r="Z235" s="41">
        <v>0</v>
      </c>
      <c r="AA235" s="41">
        <v>0</v>
      </c>
      <c r="AB235" s="70">
        <f t="shared" si="34"/>
        <v>0</v>
      </c>
      <c r="AC235" s="41">
        <v>0</v>
      </c>
      <c r="AD235" s="41">
        <v>0</v>
      </c>
      <c r="AE235" s="70">
        <f t="shared" si="35"/>
        <v>0</v>
      </c>
      <c r="AF235" s="28">
        <f t="shared" si="36"/>
        <v>293485500.00000006</v>
      </c>
      <c r="AG235" s="28">
        <f t="shared" si="37"/>
        <v>284937.37864077673</v>
      </c>
    </row>
    <row r="236" spans="1:33" ht="43.2" x14ac:dyDescent="0.3">
      <c r="A236" s="41" t="s">
        <v>696</v>
      </c>
      <c r="B236" s="41" t="s">
        <v>691</v>
      </c>
      <c r="C236" s="41" t="s">
        <v>658</v>
      </c>
      <c r="D236" s="41" t="s">
        <v>48</v>
      </c>
      <c r="E236" s="41" t="s">
        <v>379</v>
      </c>
      <c r="F236" s="41" t="s">
        <v>707</v>
      </c>
      <c r="G236" s="67">
        <v>391991.03749999998</v>
      </c>
      <c r="H236" s="41">
        <v>2</v>
      </c>
      <c r="I236" s="41">
        <v>2</v>
      </c>
      <c r="J236" s="67">
        <f t="shared" si="38"/>
        <v>1567964.15</v>
      </c>
      <c r="K236" s="41">
        <v>0</v>
      </c>
      <c r="L236" s="41">
        <v>0</v>
      </c>
      <c r="M236" s="70">
        <f t="shared" si="30"/>
        <v>0</v>
      </c>
      <c r="N236" s="41">
        <v>1</v>
      </c>
      <c r="O236" s="41">
        <v>4</v>
      </c>
      <c r="P236" s="70">
        <f t="shared" si="31"/>
        <v>1897236.6215000001</v>
      </c>
      <c r="Q236" s="41">
        <v>0</v>
      </c>
      <c r="R236" s="41">
        <v>0</v>
      </c>
      <c r="S236" s="70">
        <f t="shared" si="32"/>
        <v>0</v>
      </c>
      <c r="T236" s="41">
        <v>0</v>
      </c>
      <c r="U236" s="41">
        <v>0</v>
      </c>
      <c r="V236" s="70">
        <f t="shared" si="33"/>
        <v>0</v>
      </c>
      <c r="W236" s="41">
        <v>0</v>
      </c>
      <c r="X236" s="41">
        <v>0</v>
      </c>
      <c r="Y236" s="70">
        <f t="shared" si="39"/>
        <v>0</v>
      </c>
      <c r="Z236" s="41">
        <v>0</v>
      </c>
      <c r="AA236" s="41">
        <v>0</v>
      </c>
      <c r="AB236" s="70">
        <f t="shared" si="34"/>
        <v>0</v>
      </c>
      <c r="AC236" s="41">
        <v>0</v>
      </c>
      <c r="AD236" s="41">
        <v>0</v>
      </c>
      <c r="AE236" s="70">
        <f t="shared" si="35"/>
        <v>0</v>
      </c>
      <c r="AF236" s="28">
        <f t="shared" si="36"/>
        <v>3465200.7714999998</v>
      </c>
      <c r="AG236" s="28">
        <f t="shared" si="37"/>
        <v>3364.2725936893203</v>
      </c>
    </row>
    <row r="237" spans="1:33" ht="43.2" x14ac:dyDescent="0.3">
      <c r="A237" s="41" t="s">
        <v>696</v>
      </c>
      <c r="B237" s="41" t="s">
        <v>691</v>
      </c>
      <c r="C237" s="41" t="s">
        <v>658</v>
      </c>
      <c r="D237" s="41" t="s">
        <v>48</v>
      </c>
      <c r="E237" s="41" t="s">
        <v>379</v>
      </c>
      <c r="F237" s="41" t="s">
        <v>708</v>
      </c>
      <c r="G237" s="67">
        <f>500*1030</f>
        <v>515000</v>
      </c>
      <c r="H237" s="41"/>
      <c r="I237" s="41"/>
      <c r="J237" s="67">
        <f t="shared" si="38"/>
        <v>0</v>
      </c>
      <c r="K237" s="41">
        <v>0</v>
      </c>
      <c r="L237" s="41">
        <v>0</v>
      </c>
      <c r="M237" s="70">
        <f t="shared" si="30"/>
        <v>0</v>
      </c>
      <c r="N237" s="41">
        <v>1</v>
      </c>
      <c r="O237" s="41">
        <v>30</v>
      </c>
      <c r="P237" s="70">
        <f t="shared" si="31"/>
        <v>18694500.000000004</v>
      </c>
      <c r="Q237" s="41">
        <v>1</v>
      </c>
      <c r="R237" s="41">
        <v>25</v>
      </c>
      <c r="S237" s="70">
        <f t="shared" si="32"/>
        <v>17136625.000000007</v>
      </c>
      <c r="T237" s="41">
        <v>0</v>
      </c>
      <c r="U237" s="41">
        <v>0</v>
      </c>
      <c r="V237" s="70">
        <f t="shared" si="33"/>
        <v>0</v>
      </c>
      <c r="W237" s="41">
        <v>0</v>
      </c>
      <c r="X237" s="41">
        <v>0</v>
      </c>
      <c r="Y237" s="70">
        <f t="shared" si="39"/>
        <v>0</v>
      </c>
      <c r="Z237" s="41">
        <v>0</v>
      </c>
      <c r="AA237" s="41">
        <v>0</v>
      </c>
      <c r="AB237" s="70">
        <f t="shared" si="34"/>
        <v>0</v>
      </c>
      <c r="AC237" s="41">
        <v>0</v>
      </c>
      <c r="AD237" s="41">
        <v>0</v>
      </c>
      <c r="AE237" s="70">
        <f t="shared" si="35"/>
        <v>0</v>
      </c>
      <c r="AF237" s="28">
        <f t="shared" si="36"/>
        <v>35831125.000000015</v>
      </c>
      <c r="AG237" s="28">
        <f t="shared" si="37"/>
        <v>34787.500000000015</v>
      </c>
    </row>
    <row r="238" spans="1:33" ht="43.2" x14ac:dyDescent="0.3">
      <c r="A238" s="41" t="s">
        <v>696</v>
      </c>
      <c r="B238" s="41" t="s">
        <v>691</v>
      </c>
      <c r="C238" s="41" t="s">
        <v>658</v>
      </c>
      <c r="D238" s="41" t="s">
        <v>48</v>
      </c>
      <c r="E238" s="41" t="s">
        <v>380</v>
      </c>
      <c r="F238" s="41" t="s">
        <v>718</v>
      </c>
      <c r="G238" s="67">
        <v>0</v>
      </c>
      <c r="H238" s="41">
        <v>0</v>
      </c>
      <c r="I238" s="41">
        <v>0</v>
      </c>
      <c r="J238" s="67">
        <f t="shared" si="38"/>
        <v>0</v>
      </c>
      <c r="K238" s="41">
        <v>0</v>
      </c>
      <c r="L238" s="41">
        <v>0</v>
      </c>
      <c r="M238" s="70">
        <f t="shared" si="30"/>
        <v>0</v>
      </c>
      <c r="N238" s="41">
        <v>0</v>
      </c>
      <c r="O238" s="41">
        <v>0</v>
      </c>
      <c r="P238" s="70">
        <f t="shared" si="31"/>
        <v>0</v>
      </c>
      <c r="Q238" s="41">
        <v>0</v>
      </c>
      <c r="R238" s="41">
        <v>0</v>
      </c>
      <c r="S238" s="70">
        <f t="shared" si="32"/>
        <v>0</v>
      </c>
      <c r="T238" s="41">
        <v>0</v>
      </c>
      <c r="U238" s="41">
        <v>0</v>
      </c>
      <c r="V238" s="70">
        <f t="shared" si="33"/>
        <v>0</v>
      </c>
      <c r="W238" s="41">
        <v>0</v>
      </c>
      <c r="X238" s="41">
        <v>0</v>
      </c>
      <c r="Y238" s="70">
        <f t="shared" si="39"/>
        <v>0</v>
      </c>
      <c r="Z238" s="41">
        <v>0</v>
      </c>
      <c r="AA238" s="41">
        <v>0</v>
      </c>
      <c r="AB238" s="70">
        <f t="shared" si="34"/>
        <v>0</v>
      </c>
      <c r="AC238" s="41">
        <v>0</v>
      </c>
      <c r="AD238" s="41">
        <v>0</v>
      </c>
      <c r="AE238" s="70">
        <f t="shared" si="35"/>
        <v>0</v>
      </c>
      <c r="AF238" s="28">
        <f t="shared" si="36"/>
        <v>0</v>
      </c>
      <c r="AG238" s="28">
        <f t="shared" si="37"/>
        <v>0</v>
      </c>
    </row>
    <row r="239" spans="1:33" ht="43.2" x14ac:dyDescent="0.3">
      <c r="A239" s="41" t="s">
        <v>696</v>
      </c>
      <c r="B239" s="41" t="s">
        <v>691</v>
      </c>
      <c r="C239" s="41" t="s">
        <v>658</v>
      </c>
      <c r="D239" s="41" t="s">
        <v>49</v>
      </c>
      <c r="E239" s="41" t="s">
        <v>1391</v>
      </c>
      <c r="F239" s="41" t="s">
        <v>713</v>
      </c>
      <c r="G239" s="67">
        <v>45000</v>
      </c>
      <c r="H239" s="41">
        <v>25</v>
      </c>
      <c r="I239" s="41">
        <v>6</v>
      </c>
      <c r="J239" s="67">
        <f t="shared" si="38"/>
        <v>6750000</v>
      </c>
      <c r="K239" s="41">
        <v>0</v>
      </c>
      <c r="L239" s="41">
        <v>0</v>
      </c>
      <c r="M239" s="70">
        <f t="shared" si="30"/>
        <v>0</v>
      </c>
      <c r="N239" s="41">
        <v>0</v>
      </c>
      <c r="O239" s="41">
        <v>0</v>
      </c>
      <c r="P239" s="70">
        <f t="shared" si="31"/>
        <v>0</v>
      </c>
      <c r="Q239" s="41">
        <v>15</v>
      </c>
      <c r="R239" s="41">
        <v>10</v>
      </c>
      <c r="S239" s="70">
        <f t="shared" si="32"/>
        <v>8984250.0000000037</v>
      </c>
      <c r="T239" s="41">
        <v>15</v>
      </c>
      <c r="U239" s="41">
        <v>10</v>
      </c>
      <c r="V239" s="70">
        <f t="shared" si="33"/>
        <v>9882675.0000000019</v>
      </c>
      <c r="W239" s="41">
        <v>0</v>
      </c>
      <c r="X239" s="41">
        <v>0</v>
      </c>
      <c r="Y239" s="70">
        <f t="shared" si="39"/>
        <v>0</v>
      </c>
      <c r="Z239" s="41">
        <v>0</v>
      </c>
      <c r="AA239" s="41">
        <v>0</v>
      </c>
      <c r="AB239" s="70">
        <f t="shared" si="34"/>
        <v>0</v>
      </c>
      <c r="AC239" s="41">
        <v>0</v>
      </c>
      <c r="AD239" s="41">
        <v>0</v>
      </c>
      <c r="AE239" s="70">
        <f t="shared" si="35"/>
        <v>0</v>
      </c>
      <c r="AF239" s="28">
        <f t="shared" si="36"/>
        <v>25616925.000000007</v>
      </c>
      <c r="AG239" s="28">
        <f t="shared" si="37"/>
        <v>24870.800970873795</v>
      </c>
    </row>
    <row r="240" spans="1:33" ht="43.2" x14ac:dyDescent="0.3">
      <c r="A240" s="41" t="s">
        <v>696</v>
      </c>
      <c r="B240" s="41" t="s">
        <v>691</v>
      </c>
      <c r="C240" s="41" t="s">
        <v>658</v>
      </c>
      <c r="D240" s="41" t="s">
        <v>49</v>
      </c>
      <c r="E240" s="41" t="s">
        <v>1391</v>
      </c>
      <c r="F240" s="41" t="s">
        <v>712</v>
      </c>
      <c r="G240" s="67">
        <f>1999.2/7</f>
        <v>285.60000000000002</v>
      </c>
      <c r="H240" s="41">
        <f>2*25*9</f>
        <v>450</v>
      </c>
      <c r="I240" s="41">
        <v>5</v>
      </c>
      <c r="J240" s="67">
        <f t="shared" si="38"/>
        <v>642600.00000000012</v>
      </c>
      <c r="K240" s="41">
        <v>0</v>
      </c>
      <c r="L240" s="41">
        <v>0</v>
      </c>
      <c r="M240" s="70">
        <f t="shared" si="30"/>
        <v>0</v>
      </c>
      <c r="N240" s="41">
        <v>0</v>
      </c>
      <c r="O240" s="41">
        <v>0</v>
      </c>
      <c r="P240" s="70">
        <f t="shared" si="31"/>
        <v>0</v>
      </c>
      <c r="Q240" s="41">
        <v>20000</v>
      </c>
      <c r="R240" s="41">
        <v>1</v>
      </c>
      <c r="S240" s="70">
        <f t="shared" si="32"/>
        <v>7602672.0000000037</v>
      </c>
      <c r="T240" s="41">
        <v>20000</v>
      </c>
      <c r="U240" s="41">
        <v>1</v>
      </c>
      <c r="V240" s="70">
        <f t="shared" si="33"/>
        <v>8362939.200000003</v>
      </c>
      <c r="W240" s="41">
        <v>0</v>
      </c>
      <c r="X240" s="41">
        <v>0</v>
      </c>
      <c r="Y240" s="70">
        <f t="shared" si="39"/>
        <v>0</v>
      </c>
      <c r="Z240" s="41">
        <v>0</v>
      </c>
      <c r="AA240" s="41">
        <v>0</v>
      </c>
      <c r="AB240" s="70">
        <f t="shared" si="34"/>
        <v>0</v>
      </c>
      <c r="AC240" s="41">
        <v>0</v>
      </c>
      <c r="AD240" s="41">
        <v>0</v>
      </c>
      <c r="AE240" s="70">
        <f t="shared" si="35"/>
        <v>0</v>
      </c>
      <c r="AF240" s="28">
        <f t="shared" si="36"/>
        <v>16608211.200000007</v>
      </c>
      <c r="AG240" s="28">
        <f t="shared" si="37"/>
        <v>16124.47689320389</v>
      </c>
    </row>
    <row r="241" spans="1:47" ht="43.2" x14ac:dyDescent="0.3">
      <c r="A241" s="41" t="s">
        <v>696</v>
      </c>
      <c r="B241" s="41" t="s">
        <v>691</v>
      </c>
      <c r="C241" s="41" t="s">
        <v>658</v>
      </c>
      <c r="D241" s="41" t="s">
        <v>49</v>
      </c>
      <c r="E241" s="41" t="s">
        <v>1391</v>
      </c>
      <c r="F241" s="41" t="s">
        <v>1299</v>
      </c>
      <c r="G241" s="67">
        <f>1999.2/7</f>
        <v>285.60000000000002</v>
      </c>
      <c r="H241" s="41">
        <f>2*135*9</f>
        <v>2430</v>
      </c>
      <c r="I241" s="41">
        <v>1</v>
      </c>
      <c r="J241" s="67">
        <f t="shared" si="38"/>
        <v>694008</v>
      </c>
      <c r="K241" s="41"/>
      <c r="L241" s="41"/>
      <c r="M241" s="70">
        <f t="shared" si="30"/>
        <v>0</v>
      </c>
      <c r="N241" s="41"/>
      <c r="O241" s="41"/>
      <c r="P241" s="70">
        <f t="shared" si="31"/>
        <v>0</v>
      </c>
      <c r="Q241" s="41"/>
      <c r="R241" s="41"/>
      <c r="S241" s="70">
        <f t="shared" si="32"/>
        <v>0</v>
      </c>
      <c r="T241" s="41"/>
      <c r="U241" s="41"/>
      <c r="V241" s="70">
        <f t="shared" si="33"/>
        <v>0</v>
      </c>
      <c r="W241" s="41"/>
      <c r="X241" s="41"/>
      <c r="Y241" s="70">
        <f t="shared" si="39"/>
        <v>0</v>
      </c>
      <c r="Z241" s="41"/>
      <c r="AA241" s="41"/>
      <c r="AB241" s="70">
        <f t="shared" si="34"/>
        <v>0</v>
      </c>
      <c r="AC241" s="41"/>
      <c r="AD241" s="41"/>
      <c r="AE241" s="70">
        <f t="shared" si="35"/>
        <v>0</v>
      </c>
      <c r="AF241" s="28">
        <f t="shared" si="36"/>
        <v>694008</v>
      </c>
      <c r="AG241" s="28">
        <f t="shared" si="37"/>
        <v>673.79417475728155</v>
      </c>
    </row>
    <row r="242" spans="1:47" ht="43.2" x14ac:dyDescent="0.3">
      <c r="A242" s="41" t="s">
        <v>696</v>
      </c>
      <c r="B242" s="41" t="s">
        <v>691</v>
      </c>
      <c r="C242" s="41" t="s">
        <v>658</v>
      </c>
      <c r="D242" s="41" t="s">
        <v>49</v>
      </c>
      <c r="E242" s="41" t="s">
        <v>377</v>
      </c>
      <c r="F242" s="41" t="s">
        <v>718</v>
      </c>
      <c r="G242" s="67">
        <v>0</v>
      </c>
      <c r="H242" s="41">
        <v>0</v>
      </c>
      <c r="I242" s="41">
        <v>0</v>
      </c>
      <c r="J242" s="67">
        <f t="shared" si="38"/>
        <v>0</v>
      </c>
      <c r="K242" s="41">
        <v>0</v>
      </c>
      <c r="L242" s="41">
        <v>0</v>
      </c>
      <c r="M242" s="70">
        <f t="shared" si="30"/>
        <v>0</v>
      </c>
      <c r="N242" s="41">
        <v>0</v>
      </c>
      <c r="O242" s="41">
        <v>0</v>
      </c>
      <c r="P242" s="70">
        <f t="shared" si="31"/>
        <v>0</v>
      </c>
      <c r="Q242" s="41">
        <v>0</v>
      </c>
      <c r="R242" s="41">
        <v>0</v>
      </c>
      <c r="S242" s="70">
        <f t="shared" si="32"/>
        <v>0</v>
      </c>
      <c r="T242" s="41">
        <v>0</v>
      </c>
      <c r="U242" s="41">
        <v>0</v>
      </c>
      <c r="V242" s="70">
        <f t="shared" si="33"/>
        <v>0</v>
      </c>
      <c r="W242" s="41">
        <v>0</v>
      </c>
      <c r="X242" s="41">
        <v>0</v>
      </c>
      <c r="Y242" s="70">
        <f t="shared" si="39"/>
        <v>0</v>
      </c>
      <c r="Z242" s="41">
        <v>0</v>
      </c>
      <c r="AA242" s="41">
        <v>0</v>
      </c>
      <c r="AB242" s="70">
        <f t="shared" si="34"/>
        <v>0</v>
      </c>
      <c r="AC242" s="41">
        <v>0</v>
      </c>
      <c r="AD242" s="41">
        <v>0</v>
      </c>
      <c r="AE242" s="70">
        <f t="shared" si="35"/>
        <v>0</v>
      </c>
      <c r="AF242" s="28">
        <f t="shared" si="36"/>
        <v>0</v>
      </c>
      <c r="AG242" s="28">
        <f t="shared" si="37"/>
        <v>0</v>
      </c>
    </row>
    <row r="243" spans="1:47" ht="43.2" x14ac:dyDescent="0.3">
      <c r="A243" s="41" t="s">
        <v>696</v>
      </c>
      <c r="B243" s="41" t="s">
        <v>691</v>
      </c>
      <c r="C243" s="41" t="s">
        <v>658</v>
      </c>
      <c r="D243" s="41" t="s">
        <v>49</v>
      </c>
      <c r="E243" s="41" t="s">
        <v>338</v>
      </c>
      <c r="F243" s="41" t="s">
        <v>753</v>
      </c>
      <c r="G243" s="67">
        <v>10000000</v>
      </c>
      <c r="H243" s="41">
        <v>0</v>
      </c>
      <c r="I243" s="41">
        <v>0</v>
      </c>
      <c r="J243" s="67">
        <f t="shared" si="38"/>
        <v>0</v>
      </c>
      <c r="K243" s="41">
        <v>0</v>
      </c>
      <c r="L243" s="41">
        <v>0</v>
      </c>
      <c r="M243" s="70">
        <f t="shared" si="30"/>
        <v>0</v>
      </c>
      <c r="N243" s="41">
        <v>0</v>
      </c>
      <c r="O243" s="41">
        <v>0</v>
      </c>
      <c r="P243" s="70">
        <f t="shared" si="31"/>
        <v>0</v>
      </c>
      <c r="Q243" s="41">
        <v>1</v>
      </c>
      <c r="R243" s="41">
        <v>1</v>
      </c>
      <c r="S243" s="70">
        <f t="shared" si="32"/>
        <v>13310000.000000004</v>
      </c>
      <c r="T243" s="41">
        <v>1</v>
      </c>
      <c r="U243" s="41">
        <v>1</v>
      </c>
      <c r="V243" s="70">
        <f t="shared" si="33"/>
        <v>14641000.000000004</v>
      </c>
      <c r="W243" s="41">
        <v>0</v>
      </c>
      <c r="X243" s="41">
        <v>0</v>
      </c>
      <c r="Y243" s="70">
        <f t="shared" si="39"/>
        <v>0</v>
      </c>
      <c r="Z243" s="41">
        <v>0</v>
      </c>
      <c r="AA243" s="41">
        <v>0</v>
      </c>
      <c r="AB243" s="70">
        <f t="shared" si="34"/>
        <v>0</v>
      </c>
      <c r="AC243" s="41">
        <v>0</v>
      </c>
      <c r="AD243" s="41">
        <v>0</v>
      </c>
      <c r="AE243" s="70">
        <f t="shared" si="35"/>
        <v>0</v>
      </c>
      <c r="AF243" s="28">
        <f t="shared" si="36"/>
        <v>27951000.000000007</v>
      </c>
      <c r="AG243" s="28">
        <f t="shared" si="37"/>
        <v>27136.893203883501</v>
      </c>
    </row>
    <row r="244" spans="1:47" ht="43.2" x14ac:dyDescent="0.3">
      <c r="A244" s="41" t="s">
        <v>696</v>
      </c>
      <c r="B244" s="41" t="s">
        <v>691</v>
      </c>
      <c r="C244" s="41" t="s">
        <v>658</v>
      </c>
      <c r="D244" s="41" t="s">
        <v>49</v>
      </c>
      <c r="E244" s="41" t="s">
        <v>382</v>
      </c>
      <c r="F244" s="41" t="s">
        <v>718</v>
      </c>
      <c r="G244" s="67">
        <v>0</v>
      </c>
      <c r="H244" s="41">
        <v>0</v>
      </c>
      <c r="I244" s="41">
        <v>0</v>
      </c>
      <c r="J244" s="67">
        <f t="shared" si="38"/>
        <v>0</v>
      </c>
      <c r="K244" s="41">
        <v>0</v>
      </c>
      <c r="L244" s="41">
        <v>0</v>
      </c>
      <c r="M244" s="70">
        <f t="shared" si="30"/>
        <v>0</v>
      </c>
      <c r="N244" s="41">
        <v>0</v>
      </c>
      <c r="O244" s="41">
        <v>0</v>
      </c>
      <c r="P244" s="70">
        <f t="shared" si="31"/>
        <v>0</v>
      </c>
      <c r="Q244" s="41">
        <v>0</v>
      </c>
      <c r="R244" s="41">
        <v>0</v>
      </c>
      <c r="S244" s="70">
        <f t="shared" si="32"/>
        <v>0</v>
      </c>
      <c r="T244" s="41">
        <v>0</v>
      </c>
      <c r="U244" s="41">
        <v>0</v>
      </c>
      <c r="V244" s="70">
        <f t="shared" si="33"/>
        <v>0</v>
      </c>
      <c r="W244" s="41">
        <v>0</v>
      </c>
      <c r="X244" s="41">
        <v>0</v>
      </c>
      <c r="Y244" s="70">
        <f t="shared" si="39"/>
        <v>0</v>
      </c>
      <c r="Z244" s="41">
        <v>0</v>
      </c>
      <c r="AA244" s="41">
        <v>0</v>
      </c>
      <c r="AB244" s="70">
        <f t="shared" si="34"/>
        <v>0</v>
      </c>
      <c r="AC244" s="41">
        <v>0</v>
      </c>
      <c r="AD244" s="41">
        <v>0</v>
      </c>
      <c r="AE244" s="70">
        <f t="shared" si="35"/>
        <v>0</v>
      </c>
      <c r="AF244" s="28">
        <f t="shared" si="36"/>
        <v>0</v>
      </c>
      <c r="AG244" s="28">
        <f t="shared" si="37"/>
        <v>0</v>
      </c>
    </row>
    <row r="245" spans="1:47" x14ac:dyDescent="0.3">
      <c r="A245" s="53" t="s">
        <v>1296</v>
      </c>
      <c r="B245" s="63"/>
      <c r="C245" s="63"/>
      <c r="D245" s="63"/>
      <c r="E245" s="63"/>
      <c r="F245" s="63"/>
      <c r="G245" s="68"/>
      <c r="H245" s="63"/>
      <c r="I245" s="63"/>
      <c r="J245" s="68">
        <f>SUM(J120:J244)</f>
        <v>1100737676.1500001</v>
      </c>
      <c r="K245" s="63"/>
      <c r="L245" s="63"/>
      <c r="M245" s="68">
        <f>SUM(M120:M244)</f>
        <v>1025048433.3650001</v>
      </c>
      <c r="N245" s="63"/>
      <c r="O245" s="63"/>
      <c r="P245" s="68">
        <f>SUM(P120:P244)</f>
        <v>996958175.32300019</v>
      </c>
      <c r="Q245" s="63"/>
      <c r="R245" s="63"/>
      <c r="S245" s="68">
        <f>SUM(S120:S244)</f>
        <v>1475019476.2836502</v>
      </c>
      <c r="T245" s="63"/>
      <c r="U245" s="63"/>
      <c r="V245" s="68">
        <f>SUM(V120:V244)</f>
        <v>2056239380.2320154</v>
      </c>
      <c r="W245" s="63"/>
      <c r="X245" s="63"/>
      <c r="Y245" s="68">
        <f>SUM(Y120:Y244)</f>
        <v>2145482538.3297138</v>
      </c>
      <c r="Z245" s="63"/>
      <c r="AA245" s="63"/>
      <c r="AB245" s="68">
        <f>SUM(AB120:AB244)</f>
        <v>1172914377.2626028</v>
      </c>
      <c r="AC245" s="63"/>
      <c r="AD245" s="63"/>
      <c r="AE245" s="68">
        <f>SUM(AE120:AE244)</f>
        <v>1069475431.6510006</v>
      </c>
      <c r="AF245" s="20">
        <f t="shared" si="36"/>
        <v>11041875488.596985</v>
      </c>
      <c r="AG245" s="20">
        <f t="shared" si="37"/>
        <v>10720267.464657268</v>
      </c>
      <c r="AH245" s="62"/>
      <c r="AI245" s="62"/>
      <c r="AJ245" s="62"/>
      <c r="AK245" s="62"/>
      <c r="AL245" s="62"/>
      <c r="AM245" s="62"/>
      <c r="AN245" s="62"/>
      <c r="AO245" s="62"/>
      <c r="AP245" s="62"/>
      <c r="AQ245" s="62"/>
      <c r="AR245" s="62"/>
      <c r="AS245" s="62"/>
      <c r="AT245" s="62"/>
      <c r="AU245" s="62"/>
    </row>
    <row r="246" spans="1:47" x14ac:dyDescent="0.3">
      <c r="A246" s="91" t="s">
        <v>1427</v>
      </c>
      <c r="B246" s="91"/>
      <c r="C246" s="91"/>
      <c r="D246" s="91"/>
      <c r="E246" s="91"/>
      <c r="F246" s="91"/>
      <c r="G246" s="93"/>
      <c r="H246" s="91"/>
      <c r="I246" s="91"/>
      <c r="J246" s="93">
        <f>J245/$AL$2</f>
        <v>1068677.355485437</v>
      </c>
      <c r="K246" s="91"/>
      <c r="L246" s="91"/>
      <c r="M246" s="93">
        <f>M245/$AL$2</f>
        <v>995192.65375242732</v>
      </c>
      <c r="N246" s="91"/>
      <c r="O246" s="91"/>
      <c r="P246" s="93">
        <f>P245/$AL$2</f>
        <v>967920.55856601964</v>
      </c>
      <c r="Q246" s="91"/>
      <c r="R246" s="91"/>
      <c r="S246" s="93">
        <f>S245/$AL$2</f>
        <v>1432057.7439647089</v>
      </c>
      <c r="T246" s="91"/>
      <c r="U246" s="91"/>
      <c r="V246" s="93">
        <f>V245/$AL$2</f>
        <v>1996348.9128466169</v>
      </c>
      <c r="W246" s="91"/>
      <c r="X246" s="91"/>
      <c r="Y246" s="93">
        <f>Y245/$AL$2</f>
        <v>2082992.7556599164</v>
      </c>
      <c r="Z246" s="91"/>
      <c r="AA246" s="91"/>
      <c r="AB246" s="93">
        <f>AB245/$AL$2</f>
        <v>1138751.8225850512</v>
      </c>
      <c r="AC246" s="91"/>
      <c r="AD246" s="91"/>
      <c r="AE246" s="93">
        <f>AE245/$AL$2</f>
        <v>1038325.661797088</v>
      </c>
      <c r="AF246" s="95">
        <f t="shared" si="36"/>
        <v>10720267.464657268</v>
      </c>
      <c r="AG246" s="95">
        <f t="shared" si="37"/>
        <v>10408.026664715793</v>
      </c>
      <c r="AH246" s="94"/>
      <c r="AI246" s="94"/>
      <c r="AJ246" s="94"/>
      <c r="AK246" s="94"/>
      <c r="AL246" s="94"/>
      <c r="AM246" s="94"/>
      <c r="AN246" s="94"/>
      <c r="AO246" s="94"/>
      <c r="AP246" s="94"/>
    </row>
    <row r="247" spans="1:47" ht="57.6" x14ac:dyDescent="0.3">
      <c r="A247" s="41" t="s">
        <v>696</v>
      </c>
      <c r="B247" s="41" t="s">
        <v>691</v>
      </c>
      <c r="C247" s="43" t="s">
        <v>1698</v>
      </c>
      <c r="D247" s="41" t="s">
        <v>50</v>
      </c>
      <c r="E247" s="41" t="s">
        <v>383</v>
      </c>
      <c r="F247" s="41" t="s">
        <v>709</v>
      </c>
      <c r="G247" s="67">
        <v>35000</v>
      </c>
      <c r="H247" s="41">
        <v>25</v>
      </c>
      <c r="I247" s="41">
        <v>5</v>
      </c>
      <c r="J247" s="67">
        <f t="shared" si="38"/>
        <v>4375000</v>
      </c>
      <c r="K247" s="41">
        <v>0</v>
      </c>
      <c r="L247" s="41">
        <v>0</v>
      </c>
      <c r="M247" s="70">
        <f t="shared" si="30"/>
        <v>0</v>
      </c>
      <c r="N247" s="41">
        <v>20</v>
      </c>
      <c r="O247" s="41">
        <v>1</v>
      </c>
      <c r="P247" s="70">
        <f t="shared" si="31"/>
        <v>847000.00000000012</v>
      </c>
      <c r="Q247" s="41">
        <v>25</v>
      </c>
      <c r="R247" s="41">
        <v>5</v>
      </c>
      <c r="S247" s="70">
        <f t="shared" si="32"/>
        <v>5823125.0000000019</v>
      </c>
      <c r="T247" s="41">
        <v>0</v>
      </c>
      <c r="U247" s="41">
        <v>0</v>
      </c>
      <c r="V247" s="70">
        <f t="shared" si="33"/>
        <v>0</v>
      </c>
      <c r="W247" s="41">
        <v>0</v>
      </c>
      <c r="X247" s="41">
        <v>0</v>
      </c>
      <c r="Y247" s="70">
        <f t="shared" si="39"/>
        <v>0</v>
      </c>
      <c r="Z247" s="41">
        <v>0</v>
      </c>
      <c r="AA247" s="41">
        <v>0</v>
      </c>
      <c r="AB247" s="70">
        <f t="shared" si="34"/>
        <v>0</v>
      </c>
      <c r="AC247" s="41">
        <v>0</v>
      </c>
      <c r="AD247" s="41">
        <v>0</v>
      </c>
      <c r="AE247" s="70">
        <f t="shared" si="35"/>
        <v>0</v>
      </c>
      <c r="AF247" s="28">
        <f t="shared" si="36"/>
        <v>11045125.000000002</v>
      </c>
      <c r="AG247" s="28">
        <f t="shared" si="37"/>
        <v>10723.42233009709</v>
      </c>
    </row>
    <row r="248" spans="1:47" ht="57.6" x14ac:dyDescent="0.3">
      <c r="A248" s="41" t="s">
        <v>696</v>
      </c>
      <c r="B248" s="41" t="s">
        <v>691</v>
      </c>
      <c r="C248" s="43" t="s">
        <v>1698</v>
      </c>
      <c r="D248" s="41" t="s">
        <v>51</v>
      </c>
      <c r="E248" s="41" t="s">
        <v>155</v>
      </c>
      <c r="F248" s="41" t="s">
        <v>718</v>
      </c>
      <c r="G248" s="67">
        <v>0</v>
      </c>
      <c r="H248" s="41">
        <v>0</v>
      </c>
      <c r="I248" s="41">
        <v>0</v>
      </c>
      <c r="J248" s="67">
        <f t="shared" si="38"/>
        <v>0</v>
      </c>
      <c r="K248" s="41">
        <v>0</v>
      </c>
      <c r="L248" s="41">
        <v>0</v>
      </c>
      <c r="M248" s="70">
        <f t="shared" si="30"/>
        <v>0</v>
      </c>
      <c r="N248" s="41">
        <v>0</v>
      </c>
      <c r="O248" s="41">
        <v>0</v>
      </c>
      <c r="P248" s="70">
        <f t="shared" si="31"/>
        <v>0</v>
      </c>
      <c r="Q248" s="41">
        <v>0</v>
      </c>
      <c r="R248" s="41">
        <v>0</v>
      </c>
      <c r="S248" s="70">
        <f t="shared" si="32"/>
        <v>0</v>
      </c>
      <c r="T248" s="41">
        <v>0</v>
      </c>
      <c r="U248" s="41">
        <v>0</v>
      </c>
      <c r="V248" s="70">
        <f t="shared" si="33"/>
        <v>0</v>
      </c>
      <c r="W248" s="41">
        <v>0</v>
      </c>
      <c r="X248" s="41">
        <v>0</v>
      </c>
      <c r="Y248" s="70">
        <f t="shared" si="39"/>
        <v>0</v>
      </c>
      <c r="Z248" s="41">
        <v>0</v>
      </c>
      <c r="AA248" s="41">
        <v>0</v>
      </c>
      <c r="AB248" s="70">
        <f t="shared" si="34"/>
        <v>0</v>
      </c>
      <c r="AC248" s="41">
        <v>0</v>
      </c>
      <c r="AD248" s="41">
        <v>0</v>
      </c>
      <c r="AE248" s="70">
        <f t="shared" si="35"/>
        <v>0</v>
      </c>
      <c r="AF248" s="28">
        <f t="shared" si="36"/>
        <v>0</v>
      </c>
      <c r="AG248" s="28">
        <f t="shared" si="37"/>
        <v>0</v>
      </c>
    </row>
    <row r="249" spans="1:47" ht="57.6" x14ac:dyDescent="0.3">
      <c r="A249" s="41" t="s">
        <v>696</v>
      </c>
      <c r="B249" s="41" t="s">
        <v>691</v>
      </c>
      <c r="C249" s="43" t="s">
        <v>1698</v>
      </c>
      <c r="D249" s="41" t="s">
        <v>51</v>
      </c>
      <c r="E249" s="41" t="s">
        <v>169</v>
      </c>
      <c r="F249" s="41" t="s">
        <v>718</v>
      </c>
      <c r="G249" s="67">
        <v>0</v>
      </c>
      <c r="H249" s="41">
        <v>0</v>
      </c>
      <c r="I249" s="41">
        <v>0</v>
      </c>
      <c r="J249" s="67">
        <f t="shared" si="38"/>
        <v>0</v>
      </c>
      <c r="K249" s="41">
        <v>0</v>
      </c>
      <c r="L249" s="41">
        <v>0</v>
      </c>
      <c r="M249" s="70">
        <f t="shared" si="30"/>
        <v>0</v>
      </c>
      <c r="N249" s="41">
        <v>0</v>
      </c>
      <c r="O249" s="41">
        <v>0</v>
      </c>
      <c r="P249" s="70">
        <f t="shared" si="31"/>
        <v>0</v>
      </c>
      <c r="Q249" s="41">
        <v>0</v>
      </c>
      <c r="R249" s="41">
        <v>0</v>
      </c>
      <c r="S249" s="70">
        <f t="shared" si="32"/>
        <v>0</v>
      </c>
      <c r="T249" s="41">
        <v>0</v>
      </c>
      <c r="U249" s="41">
        <v>0</v>
      </c>
      <c r="V249" s="70">
        <f t="shared" si="33"/>
        <v>0</v>
      </c>
      <c r="W249" s="41">
        <v>0</v>
      </c>
      <c r="X249" s="41">
        <v>0</v>
      </c>
      <c r="Y249" s="70">
        <f t="shared" si="39"/>
        <v>0</v>
      </c>
      <c r="Z249" s="41">
        <v>0</v>
      </c>
      <c r="AA249" s="41">
        <v>0</v>
      </c>
      <c r="AB249" s="70">
        <f t="shared" si="34"/>
        <v>0</v>
      </c>
      <c r="AC249" s="41">
        <v>0</v>
      </c>
      <c r="AD249" s="41">
        <v>0</v>
      </c>
      <c r="AE249" s="70">
        <f t="shared" si="35"/>
        <v>0</v>
      </c>
      <c r="AF249" s="28">
        <f t="shared" si="36"/>
        <v>0</v>
      </c>
      <c r="AG249" s="28">
        <f t="shared" si="37"/>
        <v>0</v>
      </c>
    </row>
    <row r="250" spans="1:47" ht="57.6" x14ac:dyDescent="0.3">
      <c r="A250" s="41" t="s">
        <v>696</v>
      </c>
      <c r="B250" s="41" t="s">
        <v>691</v>
      </c>
      <c r="C250" s="43" t="s">
        <v>1698</v>
      </c>
      <c r="D250" s="41" t="s">
        <v>51</v>
      </c>
      <c r="E250" s="41" t="s">
        <v>384</v>
      </c>
      <c r="F250" s="41" t="s">
        <v>707</v>
      </c>
      <c r="G250" s="67">
        <v>391991.03749999998</v>
      </c>
      <c r="H250" s="41">
        <v>2</v>
      </c>
      <c r="I250" s="41">
        <v>2</v>
      </c>
      <c r="J250" s="67">
        <f t="shared" si="38"/>
        <v>1567964.15</v>
      </c>
      <c r="K250" s="41">
        <v>0</v>
      </c>
      <c r="L250" s="41">
        <v>0</v>
      </c>
      <c r="M250" s="70">
        <f t="shared" si="30"/>
        <v>0</v>
      </c>
      <c r="N250" s="41">
        <v>1</v>
      </c>
      <c r="O250" s="41">
        <v>6</v>
      </c>
      <c r="P250" s="70">
        <f t="shared" si="31"/>
        <v>2845854.9322500001</v>
      </c>
      <c r="Q250" s="41">
        <v>0</v>
      </c>
      <c r="R250" s="41">
        <v>0</v>
      </c>
      <c r="S250" s="70">
        <f t="shared" si="32"/>
        <v>0</v>
      </c>
      <c r="T250" s="41">
        <v>0</v>
      </c>
      <c r="U250" s="41">
        <v>0</v>
      </c>
      <c r="V250" s="70">
        <f t="shared" si="33"/>
        <v>0</v>
      </c>
      <c r="W250" s="41">
        <v>0</v>
      </c>
      <c r="X250" s="41">
        <v>0</v>
      </c>
      <c r="Y250" s="70">
        <f t="shared" si="39"/>
        <v>0</v>
      </c>
      <c r="Z250" s="41">
        <v>0</v>
      </c>
      <c r="AA250" s="41">
        <v>0</v>
      </c>
      <c r="AB250" s="70">
        <f t="shared" si="34"/>
        <v>0</v>
      </c>
      <c r="AC250" s="41">
        <v>0</v>
      </c>
      <c r="AD250" s="41">
        <v>0</v>
      </c>
      <c r="AE250" s="70">
        <f t="shared" si="35"/>
        <v>0</v>
      </c>
      <c r="AF250" s="28">
        <f t="shared" si="36"/>
        <v>4413819.08225</v>
      </c>
      <c r="AG250" s="28">
        <f t="shared" si="37"/>
        <v>4285.2612449029129</v>
      </c>
    </row>
    <row r="251" spans="1:47" ht="57.6" x14ac:dyDescent="0.3">
      <c r="A251" s="41" t="s">
        <v>696</v>
      </c>
      <c r="B251" s="41" t="s">
        <v>691</v>
      </c>
      <c r="C251" s="43" t="s">
        <v>1698</v>
      </c>
      <c r="D251" s="41" t="s">
        <v>51</v>
      </c>
      <c r="E251" s="41" t="s">
        <v>384</v>
      </c>
      <c r="F251" s="41" t="s">
        <v>708</v>
      </c>
      <c r="G251" s="67">
        <v>425000</v>
      </c>
      <c r="H251" s="41">
        <v>0</v>
      </c>
      <c r="I251" s="41">
        <v>0</v>
      </c>
      <c r="J251" s="67">
        <f t="shared" si="38"/>
        <v>0</v>
      </c>
      <c r="K251" s="41">
        <v>0</v>
      </c>
      <c r="L251" s="41">
        <v>0</v>
      </c>
      <c r="M251" s="70">
        <f t="shared" si="30"/>
        <v>0</v>
      </c>
      <c r="N251" s="41">
        <v>1</v>
      </c>
      <c r="O251" s="41">
        <v>40</v>
      </c>
      <c r="P251" s="70">
        <f t="shared" si="31"/>
        <v>20570000.000000004</v>
      </c>
      <c r="Q251" s="41">
        <v>0</v>
      </c>
      <c r="R251" s="41">
        <v>0</v>
      </c>
      <c r="S251" s="70">
        <f t="shared" si="32"/>
        <v>0</v>
      </c>
      <c r="T251" s="41">
        <v>0</v>
      </c>
      <c r="U251" s="41">
        <v>0</v>
      </c>
      <c r="V251" s="70">
        <f t="shared" si="33"/>
        <v>0</v>
      </c>
      <c r="W251" s="41">
        <v>0</v>
      </c>
      <c r="X251" s="41">
        <v>0</v>
      </c>
      <c r="Y251" s="70">
        <f t="shared" si="39"/>
        <v>0</v>
      </c>
      <c r="Z251" s="41">
        <v>0</v>
      </c>
      <c r="AA251" s="41">
        <v>0</v>
      </c>
      <c r="AB251" s="70">
        <f t="shared" si="34"/>
        <v>0</v>
      </c>
      <c r="AC251" s="41">
        <v>0</v>
      </c>
      <c r="AD251" s="41">
        <v>0</v>
      </c>
      <c r="AE251" s="70">
        <f t="shared" si="35"/>
        <v>0</v>
      </c>
      <c r="AF251" s="28">
        <f t="shared" si="36"/>
        <v>20570000.000000004</v>
      </c>
      <c r="AG251" s="28">
        <f t="shared" si="37"/>
        <v>19970.87378640777</v>
      </c>
    </row>
    <row r="252" spans="1:47" ht="57.6" x14ac:dyDescent="0.3">
      <c r="A252" s="41" t="s">
        <v>696</v>
      </c>
      <c r="B252" s="41" t="s">
        <v>691</v>
      </c>
      <c r="C252" s="43" t="s">
        <v>1698</v>
      </c>
      <c r="D252" s="41" t="s">
        <v>51</v>
      </c>
      <c r="E252" s="41" t="s">
        <v>151</v>
      </c>
      <c r="F252" s="41" t="s">
        <v>713</v>
      </c>
      <c r="G252" s="67">
        <v>45000</v>
      </c>
      <c r="H252" s="41">
        <v>25</v>
      </c>
      <c r="I252" s="41">
        <v>6</v>
      </c>
      <c r="J252" s="67">
        <f t="shared" si="38"/>
        <v>6750000</v>
      </c>
      <c r="K252" s="41">
        <v>0</v>
      </c>
      <c r="L252" s="41">
        <v>0</v>
      </c>
      <c r="M252" s="70">
        <f t="shared" si="30"/>
        <v>0</v>
      </c>
      <c r="N252" s="41">
        <v>15</v>
      </c>
      <c r="O252" s="41">
        <v>10</v>
      </c>
      <c r="P252" s="70">
        <f t="shared" si="31"/>
        <v>8167500.0000000009</v>
      </c>
      <c r="Q252" s="41">
        <v>0</v>
      </c>
      <c r="R252" s="41">
        <v>0</v>
      </c>
      <c r="S252" s="70">
        <f t="shared" si="32"/>
        <v>0</v>
      </c>
      <c r="T252" s="41">
        <v>0</v>
      </c>
      <c r="U252" s="41">
        <v>0</v>
      </c>
      <c r="V252" s="70">
        <f t="shared" si="33"/>
        <v>0</v>
      </c>
      <c r="W252" s="41">
        <v>0</v>
      </c>
      <c r="X252" s="41">
        <v>0</v>
      </c>
      <c r="Y252" s="70">
        <f t="shared" si="39"/>
        <v>0</v>
      </c>
      <c r="Z252" s="41">
        <v>0</v>
      </c>
      <c r="AA252" s="41">
        <v>0</v>
      </c>
      <c r="AB252" s="70">
        <f t="shared" si="34"/>
        <v>0</v>
      </c>
      <c r="AC252" s="41">
        <v>0</v>
      </c>
      <c r="AD252" s="41">
        <v>0</v>
      </c>
      <c r="AE252" s="70">
        <f t="shared" si="35"/>
        <v>0</v>
      </c>
      <c r="AF252" s="28">
        <f t="shared" si="36"/>
        <v>14917500</v>
      </c>
      <c r="AG252" s="28">
        <f t="shared" si="37"/>
        <v>14483.009708737864</v>
      </c>
    </row>
    <row r="253" spans="1:47" ht="57.6" x14ac:dyDescent="0.3">
      <c r="A253" s="41" t="s">
        <v>696</v>
      </c>
      <c r="B253" s="41" t="s">
        <v>691</v>
      </c>
      <c r="C253" s="43" t="s">
        <v>1698</v>
      </c>
      <c r="D253" s="41" t="s">
        <v>51</v>
      </c>
      <c r="E253" s="41" t="s">
        <v>151</v>
      </c>
      <c r="F253" s="41" t="s">
        <v>712</v>
      </c>
      <c r="G253" s="67">
        <f>1999.2/7</f>
        <v>285.60000000000002</v>
      </c>
      <c r="H253" s="41">
        <f>2*25*9</f>
        <v>450</v>
      </c>
      <c r="I253" s="41">
        <v>5</v>
      </c>
      <c r="J253" s="67">
        <f t="shared" si="38"/>
        <v>642600.00000000012</v>
      </c>
      <c r="K253" s="41">
        <v>0</v>
      </c>
      <c r="L253" s="41">
        <v>0</v>
      </c>
      <c r="M253" s="70">
        <f t="shared" si="30"/>
        <v>0</v>
      </c>
      <c r="N253" s="41">
        <v>20000</v>
      </c>
      <c r="O253" s="41">
        <v>1</v>
      </c>
      <c r="P253" s="70">
        <f t="shared" si="31"/>
        <v>6911520.0000000019</v>
      </c>
      <c r="Q253" s="41">
        <v>0</v>
      </c>
      <c r="R253" s="41">
        <v>0</v>
      </c>
      <c r="S253" s="70">
        <f t="shared" si="32"/>
        <v>0</v>
      </c>
      <c r="T253" s="41">
        <v>0</v>
      </c>
      <c r="U253" s="41">
        <v>0</v>
      </c>
      <c r="V253" s="70">
        <f t="shared" si="33"/>
        <v>0</v>
      </c>
      <c r="W253" s="41">
        <v>0</v>
      </c>
      <c r="X253" s="41">
        <v>0</v>
      </c>
      <c r="Y253" s="70">
        <f t="shared" si="39"/>
        <v>0</v>
      </c>
      <c r="Z253" s="41">
        <v>0</v>
      </c>
      <c r="AA253" s="41">
        <v>0</v>
      </c>
      <c r="AB253" s="70">
        <f t="shared" si="34"/>
        <v>0</v>
      </c>
      <c r="AC253" s="41">
        <v>0</v>
      </c>
      <c r="AD253" s="41">
        <v>0</v>
      </c>
      <c r="AE253" s="70">
        <f t="shared" si="35"/>
        <v>0</v>
      </c>
      <c r="AF253" s="28">
        <f t="shared" si="36"/>
        <v>7554120.0000000019</v>
      </c>
      <c r="AG253" s="28">
        <f t="shared" si="37"/>
        <v>7334.0970873786428</v>
      </c>
    </row>
    <row r="254" spans="1:47" ht="57.6" x14ac:dyDescent="0.3">
      <c r="A254" s="41" t="s">
        <v>696</v>
      </c>
      <c r="B254" s="41" t="s">
        <v>691</v>
      </c>
      <c r="C254" s="43" t="s">
        <v>1698</v>
      </c>
      <c r="D254" s="41" t="s">
        <v>51</v>
      </c>
      <c r="E254" s="41" t="s">
        <v>151</v>
      </c>
      <c r="F254" s="41" t="s">
        <v>1299</v>
      </c>
      <c r="G254" s="67">
        <f>1999.2/7</f>
        <v>285.60000000000002</v>
      </c>
      <c r="H254" s="41">
        <f>2*135*9</f>
        <v>2430</v>
      </c>
      <c r="I254" s="41">
        <v>1</v>
      </c>
      <c r="J254" s="67">
        <f t="shared" si="38"/>
        <v>694008</v>
      </c>
      <c r="K254" s="41"/>
      <c r="L254" s="41"/>
      <c r="M254" s="70">
        <f t="shared" si="30"/>
        <v>0</v>
      </c>
      <c r="N254" s="41"/>
      <c r="O254" s="41"/>
      <c r="P254" s="70">
        <f t="shared" si="31"/>
        <v>0</v>
      </c>
      <c r="Q254" s="41"/>
      <c r="R254" s="41"/>
      <c r="S254" s="70">
        <f t="shared" si="32"/>
        <v>0</v>
      </c>
      <c r="T254" s="41"/>
      <c r="U254" s="41"/>
      <c r="V254" s="70">
        <f t="shared" si="33"/>
        <v>0</v>
      </c>
      <c r="W254" s="41"/>
      <c r="X254" s="41"/>
      <c r="Y254" s="70">
        <f t="shared" si="39"/>
        <v>0</v>
      </c>
      <c r="Z254" s="41"/>
      <c r="AA254" s="41"/>
      <c r="AB254" s="70">
        <f t="shared" si="34"/>
        <v>0</v>
      </c>
      <c r="AC254" s="41"/>
      <c r="AD254" s="41"/>
      <c r="AE254" s="70">
        <f t="shared" si="35"/>
        <v>0</v>
      </c>
      <c r="AF254" s="28">
        <f t="shared" si="36"/>
        <v>694008</v>
      </c>
      <c r="AG254" s="28">
        <f t="shared" si="37"/>
        <v>673.79417475728155</v>
      </c>
    </row>
    <row r="255" spans="1:47" ht="57.6" x14ac:dyDescent="0.3">
      <c r="A255" s="41" t="s">
        <v>696</v>
      </c>
      <c r="B255" s="41" t="s">
        <v>691</v>
      </c>
      <c r="C255" s="43" t="s">
        <v>1698</v>
      </c>
      <c r="D255" s="41" t="s">
        <v>51</v>
      </c>
      <c r="E255" s="41" t="s">
        <v>151</v>
      </c>
      <c r="F255" s="41" t="s">
        <v>715</v>
      </c>
      <c r="G255" s="67">
        <v>302000</v>
      </c>
      <c r="H255" s="41">
        <v>0</v>
      </c>
      <c r="I255" s="41">
        <v>0</v>
      </c>
      <c r="J255" s="67">
        <f t="shared" si="38"/>
        <v>0</v>
      </c>
      <c r="K255" s="41">
        <v>0</v>
      </c>
      <c r="L255" s="41">
        <v>0</v>
      </c>
      <c r="M255" s="70">
        <f t="shared" si="30"/>
        <v>0</v>
      </c>
      <c r="N255" s="41">
        <v>20</v>
      </c>
      <c r="O255" s="41">
        <v>1</v>
      </c>
      <c r="P255" s="70">
        <f t="shared" si="31"/>
        <v>7308400.0000000009</v>
      </c>
      <c r="Q255" s="41">
        <v>0</v>
      </c>
      <c r="R255" s="41">
        <v>0</v>
      </c>
      <c r="S255" s="70">
        <f t="shared" si="32"/>
        <v>0</v>
      </c>
      <c r="T255" s="41">
        <v>0</v>
      </c>
      <c r="U255" s="41">
        <v>0</v>
      </c>
      <c r="V255" s="70">
        <f t="shared" si="33"/>
        <v>0</v>
      </c>
      <c r="W255" s="41">
        <v>0</v>
      </c>
      <c r="X255" s="41">
        <v>0</v>
      </c>
      <c r="Y255" s="70">
        <f t="shared" si="39"/>
        <v>0</v>
      </c>
      <c r="Z255" s="41">
        <v>0</v>
      </c>
      <c r="AA255" s="41">
        <v>0</v>
      </c>
      <c r="AB255" s="70">
        <f t="shared" si="34"/>
        <v>0</v>
      </c>
      <c r="AC255" s="41">
        <v>0</v>
      </c>
      <c r="AD255" s="41">
        <v>0</v>
      </c>
      <c r="AE255" s="70">
        <f t="shared" si="35"/>
        <v>0</v>
      </c>
      <c r="AF255" s="28">
        <f t="shared" si="36"/>
        <v>7308400.0000000009</v>
      </c>
      <c r="AG255" s="28">
        <f t="shared" si="37"/>
        <v>7095.5339805825251</v>
      </c>
    </row>
    <row r="256" spans="1:47" ht="57.6" x14ac:dyDescent="0.3">
      <c r="A256" s="41" t="s">
        <v>696</v>
      </c>
      <c r="B256" s="41" t="s">
        <v>691</v>
      </c>
      <c r="C256" s="43" t="s">
        <v>1698</v>
      </c>
      <c r="D256" s="41" t="s">
        <v>51</v>
      </c>
      <c r="E256" s="41" t="s">
        <v>151</v>
      </c>
      <c r="F256" s="41" t="s">
        <v>714</v>
      </c>
      <c r="G256" s="67">
        <v>10000</v>
      </c>
      <c r="H256" s="41">
        <v>0</v>
      </c>
      <c r="I256" s="41">
        <v>0</v>
      </c>
      <c r="J256" s="67">
        <f t="shared" si="38"/>
        <v>0</v>
      </c>
      <c r="K256" s="41">
        <v>0</v>
      </c>
      <c r="L256" s="41">
        <v>0</v>
      </c>
      <c r="M256" s="70">
        <f t="shared" si="30"/>
        <v>0</v>
      </c>
      <c r="N256" s="41">
        <v>15</v>
      </c>
      <c r="O256" s="41">
        <v>1</v>
      </c>
      <c r="P256" s="70">
        <f t="shared" si="31"/>
        <v>181500.00000000003</v>
      </c>
      <c r="Q256" s="41">
        <v>0</v>
      </c>
      <c r="R256" s="41">
        <v>0</v>
      </c>
      <c r="S256" s="70">
        <f t="shared" si="32"/>
        <v>0</v>
      </c>
      <c r="T256" s="41">
        <v>0</v>
      </c>
      <c r="U256" s="41">
        <v>0</v>
      </c>
      <c r="V256" s="70">
        <f t="shared" si="33"/>
        <v>0</v>
      </c>
      <c r="W256" s="41">
        <v>0</v>
      </c>
      <c r="X256" s="41">
        <v>0</v>
      </c>
      <c r="Y256" s="70">
        <f t="shared" si="39"/>
        <v>0</v>
      </c>
      <c r="Z256" s="41">
        <v>0</v>
      </c>
      <c r="AA256" s="41">
        <v>0</v>
      </c>
      <c r="AB256" s="70">
        <f t="shared" si="34"/>
        <v>0</v>
      </c>
      <c r="AC256" s="41">
        <v>0</v>
      </c>
      <c r="AD256" s="41">
        <v>0</v>
      </c>
      <c r="AE256" s="70">
        <f t="shared" si="35"/>
        <v>0</v>
      </c>
      <c r="AF256" s="28">
        <f t="shared" si="36"/>
        <v>181500.00000000003</v>
      </c>
      <c r="AG256" s="28">
        <f t="shared" si="37"/>
        <v>176.21359223300973</v>
      </c>
    </row>
    <row r="257" spans="1:33" ht="57.6" x14ac:dyDescent="0.3">
      <c r="A257" s="41" t="s">
        <v>696</v>
      </c>
      <c r="B257" s="41" t="s">
        <v>691</v>
      </c>
      <c r="C257" s="43" t="s">
        <v>1698</v>
      </c>
      <c r="D257" s="41" t="s">
        <v>51</v>
      </c>
      <c r="E257" s="41" t="s">
        <v>152</v>
      </c>
      <c r="F257" s="41" t="s">
        <v>716</v>
      </c>
      <c r="G257" s="67">
        <v>39000</v>
      </c>
      <c r="H257" s="41">
        <v>25</v>
      </c>
      <c r="I257" s="41">
        <v>6</v>
      </c>
      <c r="J257" s="67">
        <f t="shared" si="38"/>
        <v>5850000</v>
      </c>
      <c r="K257" s="41">
        <v>0</v>
      </c>
      <c r="L257" s="41">
        <v>0</v>
      </c>
      <c r="M257" s="70">
        <f t="shared" si="30"/>
        <v>0</v>
      </c>
      <c r="N257" s="41">
        <v>20</v>
      </c>
      <c r="O257" s="41">
        <v>5</v>
      </c>
      <c r="P257" s="70">
        <f t="shared" si="31"/>
        <v>4719000.0000000009</v>
      </c>
      <c r="Q257" s="41">
        <v>0</v>
      </c>
      <c r="R257" s="41">
        <v>0</v>
      </c>
      <c r="S257" s="70">
        <f t="shared" si="32"/>
        <v>0</v>
      </c>
      <c r="T257" s="41">
        <v>0</v>
      </c>
      <c r="U257" s="41">
        <v>0</v>
      </c>
      <c r="V257" s="70">
        <f t="shared" si="33"/>
        <v>0</v>
      </c>
      <c r="W257" s="41">
        <v>0</v>
      </c>
      <c r="X257" s="41">
        <v>0</v>
      </c>
      <c r="Y257" s="70">
        <f t="shared" si="39"/>
        <v>0</v>
      </c>
      <c r="Z257" s="41">
        <v>0</v>
      </c>
      <c r="AA257" s="41">
        <v>0</v>
      </c>
      <c r="AB257" s="70">
        <f t="shared" si="34"/>
        <v>0</v>
      </c>
      <c r="AC257" s="41">
        <v>0</v>
      </c>
      <c r="AD257" s="41">
        <v>0</v>
      </c>
      <c r="AE257" s="70">
        <f t="shared" si="35"/>
        <v>0</v>
      </c>
      <c r="AF257" s="28">
        <f t="shared" si="36"/>
        <v>10569000</v>
      </c>
      <c r="AG257" s="28">
        <f t="shared" si="37"/>
        <v>10261.165048543689</v>
      </c>
    </row>
    <row r="258" spans="1:33" ht="57.6" x14ac:dyDescent="0.3">
      <c r="A258" s="41" t="s">
        <v>696</v>
      </c>
      <c r="B258" s="41" t="s">
        <v>691</v>
      </c>
      <c r="C258" s="43" t="s">
        <v>1698</v>
      </c>
      <c r="D258" s="41" t="s">
        <v>51</v>
      </c>
      <c r="E258" s="41" t="s">
        <v>152</v>
      </c>
      <c r="F258" s="41" t="s">
        <v>709</v>
      </c>
      <c r="G258" s="67">
        <v>35000</v>
      </c>
      <c r="H258" s="41">
        <v>25</v>
      </c>
      <c r="I258" s="41">
        <v>5</v>
      </c>
      <c r="J258" s="67">
        <f t="shared" si="38"/>
        <v>4375000</v>
      </c>
      <c r="K258" s="41">
        <v>0</v>
      </c>
      <c r="L258" s="41">
        <v>0</v>
      </c>
      <c r="M258" s="70">
        <f t="shared" si="30"/>
        <v>0</v>
      </c>
      <c r="N258" s="41">
        <v>20</v>
      </c>
      <c r="O258" s="41">
        <v>5</v>
      </c>
      <c r="P258" s="70">
        <f t="shared" si="31"/>
        <v>4235000.0000000009</v>
      </c>
      <c r="Q258" s="41">
        <v>0</v>
      </c>
      <c r="R258" s="41">
        <v>0</v>
      </c>
      <c r="S258" s="70">
        <f t="shared" si="32"/>
        <v>0</v>
      </c>
      <c r="T258" s="41">
        <v>0</v>
      </c>
      <c r="U258" s="41">
        <v>0</v>
      </c>
      <c r="V258" s="70">
        <f t="shared" si="33"/>
        <v>0</v>
      </c>
      <c r="W258" s="41">
        <v>0</v>
      </c>
      <c r="X258" s="41">
        <v>0</v>
      </c>
      <c r="Y258" s="70">
        <f t="shared" si="39"/>
        <v>0</v>
      </c>
      <c r="Z258" s="41">
        <v>0</v>
      </c>
      <c r="AA258" s="41">
        <v>0</v>
      </c>
      <c r="AB258" s="70">
        <f t="shared" si="34"/>
        <v>0</v>
      </c>
      <c r="AC258" s="41">
        <v>0</v>
      </c>
      <c r="AD258" s="41">
        <v>0</v>
      </c>
      <c r="AE258" s="70">
        <f t="shared" si="35"/>
        <v>0</v>
      </c>
      <c r="AF258" s="28">
        <f t="shared" si="36"/>
        <v>8610000</v>
      </c>
      <c r="AG258" s="28">
        <f t="shared" si="37"/>
        <v>8359.2233009708743</v>
      </c>
    </row>
    <row r="259" spans="1:33" ht="57.6" x14ac:dyDescent="0.3">
      <c r="A259" s="41" t="s">
        <v>696</v>
      </c>
      <c r="B259" s="41" t="s">
        <v>691</v>
      </c>
      <c r="C259" s="43" t="s">
        <v>1698</v>
      </c>
      <c r="D259" s="41" t="s">
        <v>51</v>
      </c>
      <c r="E259" s="41" t="s">
        <v>152</v>
      </c>
      <c r="F259" s="41" t="s">
        <v>712</v>
      </c>
      <c r="G259" s="67">
        <f>1999.2/7</f>
        <v>285.60000000000002</v>
      </c>
      <c r="H259" s="41">
        <f>2*25*9</f>
        <v>450</v>
      </c>
      <c r="I259" s="41">
        <v>5</v>
      </c>
      <c r="J259" s="67">
        <f t="shared" si="38"/>
        <v>642600.00000000012</v>
      </c>
      <c r="K259" s="41">
        <v>0</v>
      </c>
      <c r="L259" s="41">
        <v>0</v>
      </c>
      <c r="M259" s="70">
        <f t="shared" ref="M259:M323" si="40">($G259*1.1^1)*K259*L259</f>
        <v>0</v>
      </c>
      <c r="N259" s="41">
        <v>4000</v>
      </c>
      <c r="O259" s="41">
        <v>1</v>
      </c>
      <c r="P259" s="70">
        <f t="shared" ref="P259:P323" si="41">($G259*1.1^2)*N259*O259</f>
        <v>1382304.0000000002</v>
      </c>
      <c r="Q259" s="41">
        <v>0</v>
      </c>
      <c r="R259" s="41">
        <v>0</v>
      </c>
      <c r="S259" s="70">
        <f t="shared" ref="S259:S323" si="42">($G259*1.1^3)*Q259*R259</f>
        <v>0</v>
      </c>
      <c r="T259" s="41">
        <v>0</v>
      </c>
      <c r="U259" s="41">
        <v>0</v>
      </c>
      <c r="V259" s="70">
        <f t="shared" ref="V259:V323" si="43">($G259*1.1^4)*T259*U259</f>
        <v>0</v>
      </c>
      <c r="W259" s="41">
        <v>0</v>
      </c>
      <c r="X259" s="41">
        <v>0</v>
      </c>
      <c r="Y259" s="70">
        <f t="shared" si="39"/>
        <v>0</v>
      </c>
      <c r="Z259" s="41">
        <v>0</v>
      </c>
      <c r="AA259" s="41">
        <v>0</v>
      </c>
      <c r="AB259" s="70">
        <f t="shared" ref="AB259:AB323" si="44">($G259*1.1^6)*Z259*AA259</f>
        <v>0</v>
      </c>
      <c r="AC259" s="41">
        <v>0</v>
      </c>
      <c r="AD259" s="41">
        <v>0</v>
      </c>
      <c r="AE259" s="70">
        <f t="shared" ref="AE259:AE323" si="45">($G259*1.1^7)*AC259*AD259</f>
        <v>0</v>
      </c>
      <c r="AF259" s="28">
        <f t="shared" ref="AF259:AF323" si="46">J259+M259+P259+S259+V259+Y259+AB259+AE259</f>
        <v>2024904.0000000005</v>
      </c>
      <c r="AG259" s="28">
        <f t="shared" ref="AG259:AG323" si="47">AF259/$AL$2</f>
        <v>1965.9262135922334</v>
      </c>
    </row>
    <row r="260" spans="1:33" ht="57.6" x14ac:dyDescent="0.3">
      <c r="A260" s="41" t="s">
        <v>696</v>
      </c>
      <c r="B260" s="41" t="s">
        <v>691</v>
      </c>
      <c r="C260" s="43" t="s">
        <v>1698</v>
      </c>
      <c r="D260" s="41" t="s">
        <v>51</v>
      </c>
      <c r="E260" s="41" t="s">
        <v>152</v>
      </c>
      <c r="F260" s="41" t="s">
        <v>1299</v>
      </c>
      <c r="G260" s="67">
        <f>1999.2/7</f>
        <v>285.60000000000002</v>
      </c>
      <c r="H260" s="41">
        <f>2*135*9</f>
        <v>2430</v>
      </c>
      <c r="I260" s="41">
        <v>1</v>
      </c>
      <c r="J260" s="67">
        <f t="shared" si="38"/>
        <v>694008</v>
      </c>
      <c r="K260" s="41"/>
      <c r="L260" s="41"/>
      <c r="M260" s="70">
        <f t="shared" si="40"/>
        <v>0</v>
      </c>
      <c r="N260" s="41"/>
      <c r="O260" s="41"/>
      <c r="P260" s="70">
        <f t="shared" si="41"/>
        <v>0</v>
      </c>
      <c r="Q260" s="41"/>
      <c r="R260" s="41"/>
      <c r="S260" s="70">
        <f t="shared" si="42"/>
        <v>0</v>
      </c>
      <c r="T260" s="41"/>
      <c r="U260" s="41"/>
      <c r="V260" s="70">
        <f t="shared" si="43"/>
        <v>0</v>
      </c>
      <c r="W260" s="41"/>
      <c r="X260" s="41"/>
      <c r="Y260" s="70">
        <f t="shared" si="39"/>
        <v>0</v>
      </c>
      <c r="Z260" s="41"/>
      <c r="AA260" s="41"/>
      <c r="AB260" s="70">
        <f t="shared" si="44"/>
        <v>0</v>
      </c>
      <c r="AC260" s="41"/>
      <c r="AD260" s="41"/>
      <c r="AE260" s="70">
        <f t="shared" si="45"/>
        <v>0</v>
      </c>
      <c r="AF260" s="28">
        <f t="shared" si="46"/>
        <v>694008</v>
      </c>
      <c r="AG260" s="28">
        <f t="shared" si="47"/>
        <v>673.79417475728155</v>
      </c>
    </row>
    <row r="261" spans="1:33" ht="57.6" x14ac:dyDescent="0.3">
      <c r="A261" s="41" t="s">
        <v>696</v>
      </c>
      <c r="B261" s="41" t="s">
        <v>691</v>
      </c>
      <c r="C261" s="43" t="s">
        <v>1698</v>
      </c>
      <c r="D261" s="41" t="s">
        <v>51</v>
      </c>
      <c r="E261" s="41" t="s">
        <v>168</v>
      </c>
      <c r="F261" s="41" t="s">
        <v>716</v>
      </c>
      <c r="G261" s="67">
        <v>39000</v>
      </c>
      <c r="H261" s="41">
        <v>25</v>
      </c>
      <c r="I261" s="41">
        <v>6</v>
      </c>
      <c r="J261" s="67">
        <f t="shared" ref="J261:J329" si="48">G261*H261*I261</f>
        <v>5850000</v>
      </c>
      <c r="K261" s="41"/>
      <c r="L261" s="41"/>
      <c r="M261" s="70">
        <f t="shared" si="40"/>
        <v>0</v>
      </c>
      <c r="N261" s="41"/>
      <c r="O261" s="41"/>
      <c r="P261" s="70">
        <f t="shared" si="41"/>
        <v>0</v>
      </c>
      <c r="Q261" s="41"/>
      <c r="R261" s="41"/>
      <c r="S261" s="70">
        <f t="shared" si="42"/>
        <v>0</v>
      </c>
      <c r="T261" s="41"/>
      <c r="U261" s="41"/>
      <c r="V261" s="70">
        <f t="shared" si="43"/>
        <v>0</v>
      </c>
      <c r="W261" s="41"/>
      <c r="X261" s="41"/>
      <c r="Y261" s="70">
        <f t="shared" ref="Y261:Y325" si="49">($G261*1.1^5)*W261*X261</f>
        <v>0</v>
      </c>
      <c r="Z261" s="41"/>
      <c r="AA261" s="41"/>
      <c r="AB261" s="70">
        <f t="shared" si="44"/>
        <v>0</v>
      </c>
      <c r="AC261" s="41"/>
      <c r="AD261" s="41"/>
      <c r="AE261" s="70">
        <f t="shared" si="45"/>
        <v>0</v>
      </c>
      <c r="AF261" s="28">
        <f t="shared" si="46"/>
        <v>5850000</v>
      </c>
      <c r="AG261" s="28">
        <f t="shared" si="47"/>
        <v>5679.6116504854372</v>
      </c>
    </row>
    <row r="262" spans="1:33" ht="57.6" x14ac:dyDescent="0.3">
      <c r="A262" s="41" t="s">
        <v>696</v>
      </c>
      <c r="B262" s="41" t="s">
        <v>691</v>
      </c>
      <c r="C262" s="43" t="s">
        <v>1698</v>
      </c>
      <c r="D262" s="41" t="s">
        <v>51</v>
      </c>
      <c r="E262" s="41" t="s">
        <v>168</v>
      </c>
      <c r="F262" s="41" t="s">
        <v>709</v>
      </c>
      <c r="G262" s="67">
        <v>35000</v>
      </c>
      <c r="H262" s="41">
        <v>25</v>
      </c>
      <c r="I262" s="41">
        <v>5</v>
      </c>
      <c r="J262" s="67">
        <f t="shared" si="48"/>
        <v>4375000</v>
      </c>
      <c r="K262" s="41"/>
      <c r="L262" s="41"/>
      <c r="M262" s="70">
        <f t="shared" si="40"/>
        <v>0</v>
      </c>
      <c r="N262" s="41"/>
      <c r="O262" s="41"/>
      <c r="P262" s="70">
        <f t="shared" si="41"/>
        <v>0</v>
      </c>
      <c r="Q262" s="41"/>
      <c r="R262" s="41"/>
      <c r="S262" s="70">
        <f t="shared" si="42"/>
        <v>0</v>
      </c>
      <c r="T262" s="41"/>
      <c r="U262" s="41"/>
      <c r="V262" s="70">
        <f t="shared" si="43"/>
        <v>0</v>
      </c>
      <c r="W262" s="41"/>
      <c r="X262" s="41"/>
      <c r="Y262" s="70">
        <f t="shared" si="49"/>
        <v>0</v>
      </c>
      <c r="Z262" s="41"/>
      <c r="AA262" s="41"/>
      <c r="AB262" s="70">
        <f t="shared" si="44"/>
        <v>0</v>
      </c>
      <c r="AC262" s="41"/>
      <c r="AD262" s="41"/>
      <c r="AE262" s="70">
        <f t="shared" si="45"/>
        <v>0</v>
      </c>
      <c r="AF262" s="28">
        <f t="shared" si="46"/>
        <v>4375000</v>
      </c>
      <c r="AG262" s="28">
        <f t="shared" si="47"/>
        <v>4247.5728155339802</v>
      </c>
    </row>
    <row r="263" spans="1:33" ht="57.6" x14ac:dyDescent="0.3">
      <c r="A263" s="41" t="s">
        <v>696</v>
      </c>
      <c r="B263" s="41" t="s">
        <v>691</v>
      </c>
      <c r="C263" s="43" t="s">
        <v>1698</v>
      </c>
      <c r="D263" s="41" t="s">
        <v>51</v>
      </c>
      <c r="E263" s="41" t="s">
        <v>168</v>
      </c>
      <c r="F263" s="41" t="s">
        <v>712</v>
      </c>
      <c r="G263" s="67">
        <f>1999.2/7</f>
        <v>285.60000000000002</v>
      </c>
      <c r="H263" s="41">
        <f>2*25*9</f>
        <v>450</v>
      </c>
      <c r="I263" s="41">
        <v>5</v>
      </c>
      <c r="J263" s="67">
        <f t="shared" si="48"/>
        <v>642600.00000000012</v>
      </c>
      <c r="K263" s="41"/>
      <c r="L263" s="41"/>
      <c r="M263" s="70">
        <f t="shared" si="40"/>
        <v>0</v>
      </c>
      <c r="N263" s="41"/>
      <c r="O263" s="41"/>
      <c r="P263" s="70">
        <f t="shared" si="41"/>
        <v>0</v>
      </c>
      <c r="Q263" s="41"/>
      <c r="R263" s="41"/>
      <c r="S263" s="70">
        <f t="shared" si="42"/>
        <v>0</v>
      </c>
      <c r="T263" s="41"/>
      <c r="U263" s="41"/>
      <c r="V263" s="70">
        <f t="shared" si="43"/>
        <v>0</v>
      </c>
      <c r="W263" s="41"/>
      <c r="X263" s="41"/>
      <c r="Y263" s="70">
        <f t="shared" si="49"/>
        <v>0</v>
      </c>
      <c r="Z263" s="41"/>
      <c r="AA263" s="41"/>
      <c r="AB263" s="70">
        <f t="shared" si="44"/>
        <v>0</v>
      </c>
      <c r="AC263" s="41"/>
      <c r="AD263" s="41"/>
      <c r="AE263" s="70">
        <f t="shared" si="45"/>
        <v>0</v>
      </c>
      <c r="AF263" s="28">
        <f t="shared" si="46"/>
        <v>642600.00000000012</v>
      </c>
      <c r="AG263" s="28">
        <f t="shared" si="47"/>
        <v>623.88349514563117</v>
      </c>
    </row>
    <row r="264" spans="1:33" ht="57.6" x14ac:dyDescent="0.3">
      <c r="A264" s="41" t="s">
        <v>696</v>
      </c>
      <c r="B264" s="41" t="s">
        <v>691</v>
      </c>
      <c r="C264" s="43" t="s">
        <v>1698</v>
      </c>
      <c r="D264" s="41" t="s">
        <v>51</v>
      </c>
      <c r="E264" s="41" t="s">
        <v>168</v>
      </c>
      <c r="F264" s="41" t="s">
        <v>1299</v>
      </c>
      <c r="G264" s="67">
        <f>1999.2/7</f>
        <v>285.60000000000002</v>
      </c>
      <c r="H264" s="41">
        <f>2*135*9</f>
        <v>2430</v>
      </c>
      <c r="I264" s="41">
        <v>1</v>
      </c>
      <c r="J264" s="67">
        <f t="shared" si="48"/>
        <v>694008</v>
      </c>
      <c r="K264" s="41"/>
      <c r="L264" s="41"/>
      <c r="M264" s="70">
        <f t="shared" si="40"/>
        <v>0</v>
      </c>
      <c r="N264" s="41"/>
      <c r="O264" s="41"/>
      <c r="P264" s="70">
        <f t="shared" si="41"/>
        <v>0</v>
      </c>
      <c r="Q264" s="41"/>
      <c r="R264" s="41"/>
      <c r="S264" s="70">
        <f t="shared" si="42"/>
        <v>0</v>
      </c>
      <c r="T264" s="41"/>
      <c r="U264" s="41"/>
      <c r="V264" s="70">
        <f t="shared" si="43"/>
        <v>0</v>
      </c>
      <c r="W264" s="41"/>
      <c r="X264" s="41"/>
      <c r="Y264" s="70">
        <f t="shared" si="49"/>
        <v>0</v>
      </c>
      <c r="Z264" s="41"/>
      <c r="AA264" s="41"/>
      <c r="AB264" s="70">
        <f t="shared" si="44"/>
        <v>0</v>
      </c>
      <c r="AC264" s="41"/>
      <c r="AD264" s="41"/>
      <c r="AE264" s="70">
        <f t="shared" si="45"/>
        <v>0</v>
      </c>
      <c r="AF264" s="28">
        <f t="shared" si="46"/>
        <v>694008</v>
      </c>
      <c r="AG264" s="28">
        <f t="shared" si="47"/>
        <v>673.79417475728155</v>
      </c>
    </row>
    <row r="265" spans="1:33" ht="57.6" x14ac:dyDescent="0.3">
      <c r="A265" s="41" t="s">
        <v>696</v>
      </c>
      <c r="B265" s="41" t="s">
        <v>691</v>
      </c>
      <c r="C265" s="43" t="s">
        <v>1698</v>
      </c>
      <c r="D265" s="41" t="s">
        <v>51</v>
      </c>
      <c r="E265" s="41" t="s">
        <v>153</v>
      </c>
      <c r="F265" s="41" t="s">
        <v>716</v>
      </c>
      <c r="G265" s="67">
        <v>39000</v>
      </c>
      <c r="H265" s="41">
        <v>25</v>
      </c>
      <c r="I265" s="41">
        <v>6</v>
      </c>
      <c r="J265" s="67">
        <f t="shared" si="48"/>
        <v>5850000</v>
      </c>
      <c r="K265" s="41">
        <v>0</v>
      </c>
      <c r="L265" s="41">
        <v>0</v>
      </c>
      <c r="M265" s="70">
        <f t="shared" si="40"/>
        <v>0</v>
      </c>
      <c r="N265" s="41">
        <v>20</v>
      </c>
      <c r="O265" s="41">
        <v>5</v>
      </c>
      <c r="P265" s="70">
        <f t="shared" si="41"/>
        <v>4719000.0000000009</v>
      </c>
      <c r="Q265" s="41">
        <v>0</v>
      </c>
      <c r="R265" s="41">
        <v>0</v>
      </c>
      <c r="S265" s="70">
        <f t="shared" si="42"/>
        <v>0</v>
      </c>
      <c r="T265" s="41">
        <v>0</v>
      </c>
      <c r="U265" s="41">
        <v>0</v>
      </c>
      <c r="V265" s="70">
        <f t="shared" si="43"/>
        <v>0</v>
      </c>
      <c r="W265" s="41">
        <v>0</v>
      </c>
      <c r="X265" s="41">
        <v>0</v>
      </c>
      <c r="Y265" s="70">
        <f t="shared" si="49"/>
        <v>0</v>
      </c>
      <c r="Z265" s="41">
        <v>0</v>
      </c>
      <c r="AA265" s="41">
        <v>0</v>
      </c>
      <c r="AB265" s="70">
        <f t="shared" si="44"/>
        <v>0</v>
      </c>
      <c r="AC265" s="41">
        <v>0</v>
      </c>
      <c r="AD265" s="41">
        <v>0</v>
      </c>
      <c r="AE265" s="70">
        <f t="shared" si="45"/>
        <v>0</v>
      </c>
      <c r="AF265" s="28">
        <f t="shared" si="46"/>
        <v>10569000</v>
      </c>
      <c r="AG265" s="28">
        <f t="shared" si="47"/>
        <v>10261.165048543689</v>
      </c>
    </row>
    <row r="266" spans="1:33" ht="57.6" x14ac:dyDescent="0.3">
      <c r="A266" s="41" t="s">
        <v>696</v>
      </c>
      <c r="B266" s="41" t="s">
        <v>691</v>
      </c>
      <c r="C266" s="43" t="s">
        <v>1698</v>
      </c>
      <c r="D266" s="41" t="s">
        <v>51</v>
      </c>
      <c r="E266" s="41" t="s">
        <v>153</v>
      </c>
      <c r="F266" s="41" t="s">
        <v>709</v>
      </c>
      <c r="G266" s="67">
        <v>35000</v>
      </c>
      <c r="H266" s="41">
        <v>25</v>
      </c>
      <c r="I266" s="41">
        <v>5</v>
      </c>
      <c r="J266" s="67">
        <f t="shared" si="48"/>
        <v>4375000</v>
      </c>
      <c r="K266" s="41">
        <v>0</v>
      </c>
      <c r="L266" s="41">
        <v>0</v>
      </c>
      <c r="M266" s="70">
        <f t="shared" si="40"/>
        <v>0</v>
      </c>
      <c r="N266" s="41">
        <v>20</v>
      </c>
      <c r="O266" s="41">
        <v>5</v>
      </c>
      <c r="P266" s="70">
        <f t="shared" si="41"/>
        <v>4235000.0000000009</v>
      </c>
      <c r="Q266" s="41">
        <v>0</v>
      </c>
      <c r="R266" s="41">
        <v>0</v>
      </c>
      <c r="S266" s="70">
        <f t="shared" si="42"/>
        <v>0</v>
      </c>
      <c r="T266" s="41">
        <v>0</v>
      </c>
      <c r="U266" s="41">
        <v>0</v>
      </c>
      <c r="V266" s="70">
        <f t="shared" si="43"/>
        <v>0</v>
      </c>
      <c r="W266" s="41">
        <v>0</v>
      </c>
      <c r="X266" s="41">
        <v>0</v>
      </c>
      <c r="Y266" s="70">
        <f t="shared" si="49"/>
        <v>0</v>
      </c>
      <c r="Z266" s="41">
        <v>0</v>
      </c>
      <c r="AA266" s="41">
        <v>0</v>
      </c>
      <c r="AB266" s="70">
        <f t="shared" si="44"/>
        <v>0</v>
      </c>
      <c r="AC266" s="41">
        <v>0</v>
      </c>
      <c r="AD266" s="41">
        <v>0</v>
      </c>
      <c r="AE266" s="70">
        <f t="shared" si="45"/>
        <v>0</v>
      </c>
      <c r="AF266" s="28">
        <f t="shared" si="46"/>
        <v>8610000</v>
      </c>
      <c r="AG266" s="28">
        <f t="shared" si="47"/>
        <v>8359.2233009708743</v>
      </c>
    </row>
    <row r="267" spans="1:33" ht="57.6" x14ac:dyDescent="0.3">
      <c r="A267" s="41" t="s">
        <v>696</v>
      </c>
      <c r="B267" s="41" t="s">
        <v>691</v>
      </c>
      <c r="C267" s="43" t="s">
        <v>1698</v>
      </c>
      <c r="D267" s="41" t="s">
        <v>51</v>
      </c>
      <c r="E267" s="41" t="s">
        <v>153</v>
      </c>
      <c r="F267" s="41" t="s">
        <v>712</v>
      </c>
      <c r="G267" s="67">
        <f>1999.2/7</f>
        <v>285.60000000000002</v>
      </c>
      <c r="H267" s="41">
        <f>2*25*9</f>
        <v>450</v>
      </c>
      <c r="I267" s="41">
        <v>5</v>
      </c>
      <c r="J267" s="67">
        <f t="shared" si="48"/>
        <v>642600.00000000012</v>
      </c>
      <c r="K267" s="41">
        <v>0</v>
      </c>
      <c r="L267" s="41">
        <v>0</v>
      </c>
      <c r="M267" s="70">
        <f t="shared" si="40"/>
        <v>0</v>
      </c>
      <c r="N267" s="41">
        <v>4000</v>
      </c>
      <c r="O267" s="41">
        <v>1</v>
      </c>
      <c r="P267" s="70">
        <f t="shared" si="41"/>
        <v>1382304.0000000002</v>
      </c>
      <c r="Q267" s="41">
        <v>0</v>
      </c>
      <c r="R267" s="41">
        <v>0</v>
      </c>
      <c r="S267" s="70">
        <f t="shared" si="42"/>
        <v>0</v>
      </c>
      <c r="T267" s="41">
        <v>0</v>
      </c>
      <c r="U267" s="41">
        <v>0</v>
      </c>
      <c r="V267" s="70">
        <f t="shared" si="43"/>
        <v>0</v>
      </c>
      <c r="W267" s="41">
        <v>0</v>
      </c>
      <c r="X267" s="41">
        <v>0</v>
      </c>
      <c r="Y267" s="70">
        <f t="shared" si="49"/>
        <v>0</v>
      </c>
      <c r="Z267" s="41">
        <v>0</v>
      </c>
      <c r="AA267" s="41">
        <v>0</v>
      </c>
      <c r="AB267" s="70">
        <f t="shared" si="44"/>
        <v>0</v>
      </c>
      <c r="AC267" s="41">
        <v>0</v>
      </c>
      <c r="AD267" s="41">
        <v>0</v>
      </c>
      <c r="AE267" s="70">
        <f t="shared" si="45"/>
        <v>0</v>
      </c>
      <c r="AF267" s="28">
        <f t="shared" si="46"/>
        <v>2024904.0000000005</v>
      </c>
      <c r="AG267" s="28">
        <f t="shared" si="47"/>
        <v>1965.9262135922334</v>
      </c>
    </row>
    <row r="268" spans="1:33" ht="57.6" x14ac:dyDescent="0.3">
      <c r="A268" s="41" t="s">
        <v>696</v>
      </c>
      <c r="B268" s="41" t="s">
        <v>691</v>
      </c>
      <c r="C268" s="43" t="s">
        <v>1698</v>
      </c>
      <c r="D268" s="41" t="s">
        <v>51</v>
      </c>
      <c r="E268" s="41" t="s">
        <v>153</v>
      </c>
      <c r="F268" s="41" t="s">
        <v>1299</v>
      </c>
      <c r="G268" s="67">
        <f>1999.2/7</f>
        <v>285.60000000000002</v>
      </c>
      <c r="H268" s="41">
        <f>2*135*9</f>
        <v>2430</v>
      </c>
      <c r="I268" s="41">
        <v>1</v>
      </c>
      <c r="J268" s="67">
        <f t="shared" si="48"/>
        <v>694008</v>
      </c>
      <c r="K268" s="41"/>
      <c r="L268" s="41"/>
      <c r="M268" s="70">
        <f t="shared" si="40"/>
        <v>0</v>
      </c>
      <c r="N268" s="41"/>
      <c r="O268" s="41"/>
      <c r="P268" s="70">
        <f t="shared" si="41"/>
        <v>0</v>
      </c>
      <c r="Q268" s="41"/>
      <c r="R268" s="41"/>
      <c r="S268" s="70">
        <f t="shared" si="42"/>
        <v>0</v>
      </c>
      <c r="T268" s="41"/>
      <c r="U268" s="41"/>
      <c r="V268" s="70">
        <f t="shared" si="43"/>
        <v>0</v>
      </c>
      <c r="W268" s="41"/>
      <c r="X268" s="41"/>
      <c r="Y268" s="70">
        <f t="shared" si="49"/>
        <v>0</v>
      </c>
      <c r="Z268" s="41"/>
      <c r="AA268" s="41"/>
      <c r="AB268" s="70">
        <f t="shared" si="44"/>
        <v>0</v>
      </c>
      <c r="AC268" s="41"/>
      <c r="AD268" s="41"/>
      <c r="AE268" s="70">
        <f t="shared" si="45"/>
        <v>0</v>
      </c>
      <c r="AF268" s="28">
        <f t="shared" si="46"/>
        <v>694008</v>
      </c>
      <c r="AG268" s="28">
        <f t="shared" si="47"/>
        <v>673.79417475728155</v>
      </c>
    </row>
    <row r="269" spans="1:33" ht="57.6" x14ac:dyDescent="0.3">
      <c r="A269" s="41" t="s">
        <v>696</v>
      </c>
      <c r="B269" s="41" t="s">
        <v>691</v>
      </c>
      <c r="C269" s="43" t="s">
        <v>1698</v>
      </c>
      <c r="D269" s="41" t="s">
        <v>51</v>
      </c>
      <c r="E269" s="41" t="s">
        <v>156</v>
      </c>
      <c r="F269" s="41" t="s">
        <v>709</v>
      </c>
      <c r="G269" s="67">
        <v>35000</v>
      </c>
      <c r="H269" s="41">
        <v>100</v>
      </c>
      <c r="I269" s="41">
        <v>1</v>
      </c>
      <c r="J269" s="67">
        <f t="shared" si="48"/>
        <v>3500000</v>
      </c>
      <c r="K269" s="41">
        <v>0</v>
      </c>
      <c r="L269" s="41">
        <v>0</v>
      </c>
      <c r="M269" s="70">
        <f t="shared" si="40"/>
        <v>0</v>
      </c>
      <c r="N269" s="41">
        <v>50</v>
      </c>
      <c r="O269" s="41">
        <v>1</v>
      </c>
      <c r="P269" s="70">
        <f t="shared" si="41"/>
        <v>2117500.0000000005</v>
      </c>
      <c r="Q269" s="41">
        <v>0</v>
      </c>
      <c r="R269" s="41">
        <v>0</v>
      </c>
      <c r="S269" s="70">
        <f t="shared" si="42"/>
        <v>0</v>
      </c>
      <c r="T269" s="41">
        <v>0</v>
      </c>
      <c r="U269" s="41">
        <v>0</v>
      </c>
      <c r="V269" s="70">
        <f t="shared" si="43"/>
        <v>0</v>
      </c>
      <c r="W269" s="41">
        <v>0</v>
      </c>
      <c r="X269" s="41">
        <v>0</v>
      </c>
      <c r="Y269" s="70">
        <f t="shared" si="49"/>
        <v>0</v>
      </c>
      <c r="Z269" s="41">
        <v>0</v>
      </c>
      <c r="AA269" s="41">
        <v>0</v>
      </c>
      <c r="AB269" s="70">
        <f t="shared" si="44"/>
        <v>0</v>
      </c>
      <c r="AC269" s="41">
        <v>0</v>
      </c>
      <c r="AD269" s="41">
        <v>0</v>
      </c>
      <c r="AE269" s="70">
        <f t="shared" si="45"/>
        <v>0</v>
      </c>
      <c r="AF269" s="28">
        <f t="shared" si="46"/>
        <v>5617500</v>
      </c>
      <c r="AG269" s="28">
        <f t="shared" si="47"/>
        <v>5453.8834951456311</v>
      </c>
    </row>
    <row r="270" spans="1:33" ht="57.6" x14ac:dyDescent="0.3">
      <c r="A270" s="41" t="s">
        <v>696</v>
      </c>
      <c r="B270" s="41" t="s">
        <v>691</v>
      </c>
      <c r="C270" s="43" t="s">
        <v>1698</v>
      </c>
      <c r="D270" s="41" t="s">
        <v>51</v>
      </c>
      <c r="E270" s="41" t="s">
        <v>156</v>
      </c>
      <c r="F270" s="41" t="s">
        <v>716</v>
      </c>
      <c r="G270" s="67">
        <v>39000</v>
      </c>
      <c r="H270" s="41">
        <v>58</v>
      </c>
      <c r="I270" s="41">
        <v>1</v>
      </c>
      <c r="J270" s="67">
        <f t="shared" si="48"/>
        <v>2262000</v>
      </c>
      <c r="K270" s="41"/>
      <c r="L270" s="41"/>
      <c r="M270" s="70">
        <f t="shared" si="40"/>
        <v>0</v>
      </c>
      <c r="N270" s="41"/>
      <c r="O270" s="41"/>
      <c r="P270" s="70">
        <f t="shared" si="41"/>
        <v>0</v>
      </c>
      <c r="Q270" s="41"/>
      <c r="R270" s="41"/>
      <c r="S270" s="70">
        <f t="shared" si="42"/>
        <v>0</v>
      </c>
      <c r="T270" s="41"/>
      <c r="U270" s="41"/>
      <c r="V270" s="70">
        <f t="shared" si="43"/>
        <v>0</v>
      </c>
      <c r="W270" s="41"/>
      <c r="X270" s="41"/>
      <c r="Y270" s="70">
        <f t="shared" si="49"/>
        <v>0</v>
      </c>
      <c r="Z270" s="41"/>
      <c r="AA270" s="41"/>
      <c r="AB270" s="70">
        <f t="shared" si="44"/>
        <v>0</v>
      </c>
      <c r="AC270" s="41"/>
      <c r="AD270" s="41"/>
      <c r="AE270" s="70">
        <f t="shared" si="45"/>
        <v>0</v>
      </c>
      <c r="AF270" s="28">
        <f t="shared" si="46"/>
        <v>2262000</v>
      </c>
      <c r="AG270" s="28">
        <f t="shared" si="47"/>
        <v>2196.1165048543689</v>
      </c>
    </row>
    <row r="271" spans="1:33" ht="57.6" x14ac:dyDescent="0.3">
      <c r="A271" s="41" t="s">
        <v>696</v>
      </c>
      <c r="B271" s="41" t="s">
        <v>691</v>
      </c>
      <c r="C271" s="43" t="s">
        <v>1698</v>
      </c>
      <c r="D271" s="41" t="s">
        <v>51</v>
      </c>
      <c r="E271" s="41" t="s">
        <v>156</v>
      </c>
      <c r="F271" s="41" t="s">
        <v>712</v>
      </c>
      <c r="G271" s="67">
        <f>1999.2/7</f>
        <v>285.60000000000002</v>
      </c>
      <c r="H271" s="41">
        <f>2*25*9</f>
        <v>450</v>
      </c>
      <c r="I271" s="41">
        <v>1</v>
      </c>
      <c r="J271" s="67">
        <f t="shared" si="48"/>
        <v>128520.00000000001</v>
      </c>
      <c r="K271" s="41"/>
      <c r="L271" s="41"/>
      <c r="M271" s="70">
        <f t="shared" si="40"/>
        <v>0</v>
      </c>
      <c r="N271" s="41"/>
      <c r="O271" s="41"/>
      <c r="P271" s="70">
        <f t="shared" si="41"/>
        <v>0</v>
      </c>
      <c r="Q271" s="41"/>
      <c r="R271" s="41"/>
      <c r="S271" s="70">
        <f t="shared" si="42"/>
        <v>0</v>
      </c>
      <c r="T271" s="41"/>
      <c r="U271" s="41"/>
      <c r="V271" s="70">
        <f t="shared" si="43"/>
        <v>0</v>
      </c>
      <c r="W271" s="41"/>
      <c r="X271" s="41"/>
      <c r="Y271" s="70">
        <f t="shared" si="49"/>
        <v>0</v>
      </c>
      <c r="Z271" s="41"/>
      <c r="AA271" s="41"/>
      <c r="AB271" s="70">
        <f t="shared" si="44"/>
        <v>0</v>
      </c>
      <c r="AC271" s="41"/>
      <c r="AD271" s="41"/>
      <c r="AE271" s="70">
        <f t="shared" si="45"/>
        <v>0</v>
      </c>
      <c r="AF271" s="28">
        <f t="shared" si="46"/>
        <v>128520.00000000001</v>
      </c>
      <c r="AG271" s="28">
        <f t="shared" si="47"/>
        <v>124.77669902912623</v>
      </c>
    </row>
    <row r="272" spans="1:33" ht="57.6" x14ac:dyDescent="0.3">
      <c r="A272" s="41" t="s">
        <v>696</v>
      </c>
      <c r="B272" s="41" t="s">
        <v>691</v>
      </c>
      <c r="C272" s="43" t="s">
        <v>1698</v>
      </c>
      <c r="D272" s="41" t="s">
        <v>51</v>
      </c>
      <c r="E272" s="41" t="s">
        <v>156</v>
      </c>
      <c r="F272" s="41" t="s">
        <v>1299</v>
      </c>
      <c r="G272" s="67">
        <f>1999.2/7</f>
        <v>285.60000000000002</v>
      </c>
      <c r="H272" s="41">
        <f>2*135*9</f>
        <v>2430</v>
      </c>
      <c r="I272" s="41">
        <v>1</v>
      </c>
      <c r="J272" s="67">
        <f t="shared" si="48"/>
        <v>694008</v>
      </c>
      <c r="K272" s="41"/>
      <c r="L272" s="41"/>
      <c r="M272" s="70">
        <f t="shared" si="40"/>
        <v>0</v>
      </c>
      <c r="N272" s="41"/>
      <c r="O272" s="41"/>
      <c r="P272" s="70">
        <f t="shared" si="41"/>
        <v>0</v>
      </c>
      <c r="Q272" s="41"/>
      <c r="R272" s="41"/>
      <c r="S272" s="70">
        <f t="shared" si="42"/>
        <v>0</v>
      </c>
      <c r="T272" s="41"/>
      <c r="U272" s="41"/>
      <c r="V272" s="70">
        <f t="shared" si="43"/>
        <v>0</v>
      </c>
      <c r="W272" s="41"/>
      <c r="X272" s="41"/>
      <c r="Y272" s="70">
        <f t="shared" si="49"/>
        <v>0</v>
      </c>
      <c r="Z272" s="41"/>
      <c r="AA272" s="41"/>
      <c r="AB272" s="70">
        <f t="shared" si="44"/>
        <v>0</v>
      </c>
      <c r="AC272" s="41"/>
      <c r="AD272" s="41"/>
      <c r="AE272" s="70">
        <f t="shared" si="45"/>
        <v>0</v>
      </c>
      <c r="AF272" s="28">
        <f t="shared" si="46"/>
        <v>694008</v>
      </c>
      <c r="AG272" s="28">
        <f t="shared" si="47"/>
        <v>673.79417475728155</v>
      </c>
    </row>
    <row r="273" spans="1:60" ht="57.6" x14ac:dyDescent="0.3">
      <c r="A273" s="41" t="s">
        <v>696</v>
      </c>
      <c r="B273" s="41" t="s">
        <v>691</v>
      </c>
      <c r="C273" s="43" t="s">
        <v>1698</v>
      </c>
      <c r="D273" s="41" t="s">
        <v>51</v>
      </c>
      <c r="E273" s="41" t="s">
        <v>156</v>
      </c>
      <c r="F273" s="41" t="s">
        <v>711</v>
      </c>
      <c r="G273" s="67">
        <v>8000</v>
      </c>
      <c r="H273" s="41">
        <v>1</v>
      </c>
      <c r="I273" s="41">
        <v>1</v>
      </c>
      <c r="J273" s="67">
        <f t="shared" si="48"/>
        <v>8000</v>
      </c>
      <c r="K273" s="41">
        <v>0</v>
      </c>
      <c r="L273" s="41">
        <v>0</v>
      </c>
      <c r="M273" s="70">
        <f t="shared" si="40"/>
        <v>0</v>
      </c>
      <c r="N273" s="41">
        <v>10000</v>
      </c>
      <c r="O273" s="41">
        <v>1</v>
      </c>
      <c r="P273" s="70">
        <f t="shared" si="41"/>
        <v>96800000.000000015</v>
      </c>
      <c r="Q273" s="41">
        <v>0</v>
      </c>
      <c r="R273" s="41">
        <v>0</v>
      </c>
      <c r="S273" s="70">
        <f t="shared" si="42"/>
        <v>0</v>
      </c>
      <c r="T273" s="41">
        <v>0</v>
      </c>
      <c r="U273" s="41">
        <v>0</v>
      </c>
      <c r="V273" s="70">
        <f t="shared" si="43"/>
        <v>0</v>
      </c>
      <c r="W273" s="41">
        <v>0</v>
      </c>
      <c r="X273" s="41">
        <v>0</v>
      </c>
      <c r="Y273" s="70">
        <f t="shared" si="49"/>
        <v>0</v>
      </c>
      <c r="Z273" s="41">
        <v>0</v>
      </c>
      <c r="AA273" s="41">
        <v>0</v>
      </c>
      <c r="AB273" s="70">
        <f t="shared" si="44"/>
        <v>0</v>
      </c>
      <c r="AC273" s="41">
        <v>0</v>
      </c>
      <c r="AD273" s="41">
        <v>0</v>
      </c>
      <c r="AE273" s="70">
        <f t="shared" si="45"/>
        <v>0</v>
      </c>
      <c r="AF273" s="28">
        <f t="shared" si="46"/>
        <v>96808000.000000015</v>
      </c>
      <c r="AG273" s="28">
        <f t="shared" si="47"/>
        <v>93988.349514563117</v>
      </c>
    </row>
    <row r="274" spans="1:60" ht="57.6" x14ac:dyDescent="0.3">
      <c r="A274" s="41" t="s">
        <v>696</v>
      </c>
      <c r="B274" s="41" t="s">
        <v>691</v>
      </c>
      <c r="C274" s="43" t="s">
        <v>1698</v>
      </c>
      <c r="D274" s="41" t="s">
        <v>51</v>
      </c>
      <c r="E274" s="41" t="s">
        <v>156</v>
      </c>
      <c r="F274" s="41" t="s">
        <v>717</v>
      </c>
      <c r="G274" s="67">
        <v>104850</v>
      </c>
      <c r="H274" s="41">
        <v>1</v>
      </c>
      <c r="I274" s="41">
        <v>1</v>
      </c>
      <c r="J274" s="67">
        <f t="shared" si="48"/>
        <v>104850</v>
      </c>
      <c r="K274" s="41">
        <v>0</v>
      </c>
      <c r="L274" s="41">
        <v>0</v>
      </c>
      <c r="M274" s="70">
        <f t="shared" si="40"/>
        <v>0</v>
      </c>
      <c r="N274" s="41">
        <v>2</v>
      </c>
      <c r="O274" s="41">
        <v>1</v>
      </c>
      <c r="P274" s="70">
        <f t="shared" si="41"/>
        <v>253737.00000000003</v>
      </c>
      <c r="Q274" s="41">
        <v>0</v>
      </c>
      <c r="R274" s="41">
        <v>0</v>
      </c>
      <c r="S274" s="70">
        <f t="shared" si="42"/>
        <v>0</v>
      </c>
      <c r="T274" s="41">
        <v>0</v>
      </c>
      <c r="U274" s="41">
        <v>0</v>
      </c>
      <c r="V274" s="70">
        <f t="shared" si="43"/>
        <v>0</v>
      </c>
      <c r="W274" s="41">
        <v>0</v>
      </c>
      <c r="X274" s="41">
        <v>0</v>
      </c>
      <c r="Y274" s="70">
        <f t="shared" si="49"/>
        <v>0</v>
      </c>
      <c r="Z274" s="41">
        <v>0</v>
      </c>
      <c r="AA274" s="41">
        <v>0</v>
      </c>
      <c r="AB274" s="70">
        <f t="shared" si="44"/>
        <v>0</v>
      </c>
      <c r="AC274" s="41">
        <v>0</v>
      </c>
      <c r="AD274" s="41">
        <v>0</v>
      </c>
      <c r="AE274" s="70">
        <f t="shared" si="45"/>
        <v>0</v>
      </c>
      <c r="AF274" s="28">
        <f t="shared" si="46"/>
        <v>358587</v>
      </c>
      <c r="AG274" s="28">
        <f t="shared" si="47"/>
        <v>348.14271844660192</v>
      </c>
    </row>
    <row r="275" spans="1:60" ht="57.6" x14ac:dyDescent="0.3">
      <c r="A275" s="41" t="s">
        <v>696</v>
      </c>
      <c r="B275" s="41" t="s">
        <v>691</v>
      </c>
      <c r="C275" s="43" t="s">
        <v>1698</v>
      </c>
      <c r="D275" s="41" t="s">
        <v>52</v>
      </c>
      <c r="E275" s="41" t="s">
        <v>764</v>
      </c>
      <c r="F275" s="41" t="s">
        <v>709</v>
      </c>
      <c r="G275" s="67">
        <v>35000</v>
      </c>
      <c r="H275" s="41">
        <v>100</v>
      </c>
      <c r="I275" s="41">
        <v>5</v>
      </c>
      <c r="J275" s="67">
        <f t="shared" si="48"/>
        <v>17500000</v>
      </c>
      <c r="K275" s="41">
        <v>0</v>
      </c>
      <c r="L275" s="41">
        <v>0</v>
      </c>
      <c r="M275" s="70">
        <f t="shared" si="40"/>
        <v>0</v>
      </c>
      <c r="N275" s="41">
        <v>0</v>
      </c>
      <c r="O275" s="41">
        <v>0</v>
      </c>
      <c r="P275" s="70">
        <f t="shared" si="41"/>
        <v>0</v>
      </c>
      <c r="Q275" s="41">
        <v>30</v>
      </c>
      <c r="R275" s="41">
        <v>2</v>
      </c>
      <c r="S275" s="70">
        <f t="shared" si="42"/>
        <v>2795100.0000000009</v>
      </c>
      <c r="T275" s="41">
        <v>0</v>
      </c>
      <c r="U275" s="41">
        <v>0</v>
      </c>
      <c r="V275" s="70">
        <f t="shared" si="43"/>
        <v>0</v>
      </c>
      <c r="W275" s="41">
        <v>0</v>
      </c>
      <c r="X275" s="41">
        <v>0</v>
      </c>
      <c r="Y275" s="70">
        <f t="shared" si="49"/>
        <v>0</v>
      </c>
      <c r="Z275" s="41">
        <v>0</v>
      </c>
      <c r="AA275" s="41">
        <v>0</v>
      </c>
      <c r="AB275" s="70">
        <f t="shared" si="44"/>
        <v>0</v>
      </c>
      <c r="AC275" s="41">
        <v>0</v>
      </c>
      <c r="AD275" s="41">
        <v>0</v>
      </c>
      <c r="AE275" s="70">
        <f t="shared" si="45"/>
        <v>0</v>
      </c>
      <c r="AF275" s="28">
        <f t="shared" si="46"/>
        <v>20295100</v>
      </c>
      <c r="AG275" s="28">
        <f t="shared" si="47"/>
        <v>19703.980582524273</v>
      </c>
    </row>
    <row r="276" spans="1:60" ht="57.6" x14ac:dyDescent="0.3">
      <c r="A276" s="41" t="s">
        <v>696</v>
      </c>
      <c r="B276" s="41" t="s">
        <v>691</v>
      </c>
      <c r="C276" s="43" t="s">
        <v>1698</v>
      </c>
      <c r="D276" s="41" t="s">
        <v>53</v>
      </c>
      <c r="E276" s="41" t="s">
        <v>764</v>
      </c>
      <c r="F276" s="41" t="s">
        <v>716</v>
      </c>
      <c r="G276" s="67">
        <v>39000</v>
      </c>
      <c r="H276" s="41">
        <v>58</v>
      </c>
      <c r="I276" s="41">
        <v>6</v>
      </c>
      <c r="J276" s="67">
        <f t="shared" si="48"/>
        <v>13572000</v>
      </c>
      <c r="K276" s="41">
        <v>0</v>
      </c>
      <c r="L276" s="41">
        <v>0</v>
      </c>
      <c r="M276" s="70">
        <f t="shared" si="40"/>
        <v>0</v>
      </c>
      <c r="N276" s="41">
        <v>0</v>
      </c>
      <c r="O276" s="41">
        <v>0</v>
      </c>
      <c r="P276" s="70">
        <f t="shared" si="41"/>
        <v>0</v>
      </c>
      <c r="Q276" s="41">
        <v>30</v>
      </c>
      <c r="R276" s="41">
        <v>2</v>
      </c>
      <c r="S276" s="70">
        <f t="shared" si="42"/>
        <v>3114540.0000000009</v>
      </c>
      <c r="T276" s="41">
        <v>0</v>
      </c>
      <c r="U276" s="41">
        <v>0</v>
      </c>
      <c r="V276" s="70">
        <f t="shared" si="43"/>
        <v>0</v>
      </c>
      <c r="W276" s="41">
        <v>0</v>
      </c>
      <c r="X276" s="41">
        <v>0</v>
      </c>
      <c r="Y276" s="70">
        <f t="shared" si="49"/>
        <v>0</v>
      </c>
      <c r="Z276" s="41">
        <v>0</v>
      </c>
      <c r="AA276" s="41">
        <v>0</v>
      </c>
      <c r="AB276" s="70">
        <f t="shared" si="44"/>
        <v>0</v>
      </c>
      <c r="AC276" s="41">
        <v>0</v>
      </c>
      <c r="AD276" s="41">
        <v>0</v>
      </c>
      <c r="AE276" s="70">
        <f t="shared" si="45"/>
        <v>0</v>
      </c>
      <c r="AF276" s="28">
        <f t="shared" si="46"/>
        <v>16686540</v>
      </c>
      <c r="AG276" s="28">
        <f t="shared" si="47"/>
        <v>16200.524271844661</v>
      </c>
    </row>
    <row r="277" spans="1:60" ht="57.6" x14ac:dyDescent="0.3">
      <c r="A277" s="41" t="s">
        <v>696</v>
      </c>
      <c r="B277" s="41" t="s">
        <v>691</v>
      </c>
      <c r="C277" s="43" t="s">
        <v>1698</v>
      </c>
      <c r="D277" s="41" t="s">
        <v>54</v>
      </c>
      <c r="E277" s="41" t="s">
        <v>764</v>
      </c>
      <c r="F277" s="41" t="s">
        <v>712</v>
      </c>
      <c r="G277" s="67">
        <f>1999.2/7</f>
        <v>285.60000000000002</v>
      </c>
      <c r="H277" s="41">
        <f>2*25*29</f>
        <v>1450</v>
      </c>
      <c r="I277" s="41">
        <v>5</v>
      </c>
      <c r="J277" s="67">
        <f t="shared" si="48"/>
        <v>2070600.0000000002</v>
      </c>
      <c r="K277" s="41">
        <v>0</v>
      </c>
      <c r="L277" s="41">
        <v>0</v>
      </c>
      <c r="M277" s="70">
        <f t="shared" si="40"/>
        <v>0</v>
      </c>
      <c r="N277" s="41">
        <v>0</v>
      </c>
      <c r="O277" s="41">
        <v>0</v>
      </c>
      <c r="P277" s="70">
        <f t="shared" si="41"/>
        <v>0</v>
      </c>
      <c r="Q277" s="41">
        <v>10000</v>
      </c>
      <c r="R277" s="41">
        <v>2</v>
      </c>
      <c r="S277" s="70">
        <f t="shared" si="42"/>
        <v>7602672.0000000037</v>
      </c>
      <c r="T277" s="41">
        <v>0</v>
      </c>
      <c r="U277" s="41">
        <v>0</v>
      </c>
      <c r="V277" s="70">
        <f t="shared" si="43"/>
        <v>0</v>
      </c>
      <c r="W277" s="41">
        <v>0</v>
      </c>
      <c r="X277" s="41">
        <v>0</v>
      </c>
      <c r="Y277" s="70">
        <f t="shared" si="49"/>
        <v>0</v>
      </c>
      <c r="Z277" s="41">
        <v>0</v>
      </c>
      <c r="AA277" s="41">
        <v>0</v>
      </c>
      <c r="AB277" s="70">
        <f t="shared" si="44"/>
        <v>0</v>
      </c>
      <c r="AC277" s="41">
        <v>0</v>
      </c>
      <c r="AD277" s="41">
        <v>0</v>
      </c>
      <c r="AE277" s="70">
        <f t="shared" si="45"/>
        <v>0</v>
      </c>
      <c r="AF277" s="28">
        <f t="shared" si="46"/>
        <v>9673272.0000000037</v>
      </c>
      <c r="AG277" s="28">
        <f t="shared" si="47"/>
        <v>9391.5262135922367</v>
      </c>
    </row>
    <row r="278" spans="1:60" ht="57.6" x14ac:dyDescent="0.3">
      <c r="A278" s="41" t="s">
        <v>696</v>
      </c>
      <c r="B278" s="41" t="s">
        <v>691</v>
      </c>
      <c r="C278" s="43" t="s">
        <v>1698</v>
      </c>
      <c r="D278" s="41" t="s">
        <v>54</v>
      </c>
      <c r="E278" s="41" t="s">
        <v>764</v>
      </c>
      <c r="F278" s="41" t="s">
        <v>1299</v>
      </c>
      <c r="G278" s="67">
        <f>1999.2/7</f>
        <v>285.60000000000002</v>
      </c>
      <c r="H278" s="41">
        <v>22500</v>
      </c>
      <c r="I278" s="41">
        <v>1</v>
      </c>
      <c r="J278" s="67">
        <f t="shared" si="48"/>
        <v>6426000.0000000009</v>
      </c>
      <c r="K278" s="41"/>
      <c r="L278" s="41"/>
      <c r="M278" s="70">
        <f t="shared" si="40"/>
        <v>0</v>
      </c>
      <c r="N278" s="41"/>
      <c r="O278" s="41"/>
      <c r="P278" s="70">
        <f t="shared" si="41"/>
        <v>0</v>
      </c>
      <c r="Q278" s="41"/>
      <c r="R278" s="41"/>
      <c r="S278" s="70">
        <f t="shared" si="42"/>
        <v>0</v>
      </c>
      <c r="T278" s="41"/>
      <c r="U278" s="41"/>
      <c r="V278" s="70">
        <f t="shared" si="43"/>
        <v>0</v>
      </c>
      <c r="W278" s="41"/>
      <c r="X278" s="41"/>
      <c r="Y278" s="70">
        <f t="shared" si="49"/>
        <v>0</v>
      </c>
      <c r="Z278" s="41"/>
      <c r="AA278" s="41"/>
      <c r="AB278" s="70">
        <f t="shared" si="44"/>
        <v>0</v>
      </c>
      <c r="AC278" s="41"/>
      <c r="AD278" s="41"/>
      <c r="AE278" s="70">
        <f t="shared" si="45"/>
        <v>0</v>
      </c>
      <c r="AF278" s="28">
        <f t="shared" si="46"/>
        <v>6426000.0000000009</v>
      </c>
      <c r="AG278" s="28">
        <f t="shared" si="47"/>
        <v>6238.8349514563115</v>
      </c>
    </row>
    <row r="279" spans="1:60" ht="57.6" x14ac:dyDescent="0.3">
      <c r="A279" s="41" t="s">
        <v>696</v>
      </c>
      <c r="B279" s="41" t="s">
        <v>691</v>
      </c>
      <c r="C279" s="43" t="s">
        <v>1698</v>
      </c>
      <c r="D279" s="41" t="s">
        <v>55</v>
      </c>
      <c r="E279" s="41" t="s">
        <v>387</v>
      </c>
      <c r="F279" s="41" t="s">
        <v>718</v>
      </c>
      <c r="G279" s="67">
        <v>0</v>
      </c>
      <c r="H279" s="41">
        <v>0</v>
      </c>
      <c r="I279" s="41">
        <v>0</v>
      </c>
      <c r="J279" s="67">
        <f t="shared" si="48"/>
        <v>0</v>
      </c>
      <c r="K279" s="41">
        <v>0</v>
      </c>
      <c r="L279" s="41">
        <v>0</v>
      </c>
      <c r="M279" s="70">
        <f t="shared" si="40"/>
        <v>0</v>
      </c>
      <c r="N279" s="41">
        <v>0</v>
      </c>
      <c r="O279" s="41">
        <v>0</v>
      </c>
      <c r="P279" s="70">
        <f t="shared" si="41"/>
        <v>0</v>
      </c>
      <c r="Q279" s="41">
        <v>0</v>
      </c>
      <c r="R279" s="41">
        <v>0</v>
      </c>
      <c r="S279" s="70">
        <f t="shared" si="42"/>
        <v>0</v>
      </c>
      <c r="T279" s="41">
        <v>0</v>
      </c>
      <c r="U279" s="41">
        <v>0</v>
      </c>
      <c r="V279" s="70">
        <f t="shared" si="43"/>
        <v>0</v>
      </c>
      <c r="W279" s="41">
        <v>0</v>
      </c>
      <c r="X279" s="41">
        <v>0</v>
      </c>
      <c r="Y279" s="70">
        <f t="shared" si="49"/>
        <v>0</v>
      </c>
      <c r="Z279" s="41">
        <v>0</v>
      </c>
      <c r="AA279" s="41">
        <v>0</v>
      </c>
      <c r="AB279" s="70">
        <f t="shared" si="44"/>
        <v>0</v>
      </c>
      <c r="AC279" s="41">
        <v>0</v>
      </c>
      <c r="AD279" s="41">
        <v>0</v>
      </c>
      <c r="AE279" s="70">
        <f t="shared" si="45"/>
        <v>0</v>
      </c>
      <c r="AF279" s="28">
        <f t="shared" si="46"/>
        <v>0</v>
      </c>
      <c r="AG279" s="28">
        <f t="shared" si="47"/>
        <v>0</v>
      </c>
    </row>
    <row r="280" spans="1:60" ht="57.6" x14ac:dyDescent="0.3">
      <c r="A280" s="41" t="s">
        <v>696</v>
      </c>
      <c r="B280" s="41" t="s">
        <v>691</v>
      </c>
      <c r="C280" s="43" t="s">
        <v>1698</v>
      </c>
      <c r="D280" s="41" t="s">
        <v>56</v>
      </c>
      <c r="E280" s="41" t="s">
        <v>764</v>
      </c>
      <c r="F280" s="41" t="s">
        <v>709</v>
      </c>
      <c r="G280" s="67">
        <v>35000</v>
      </c>
      <c r="H280" s="41">
        <v>100</v>
      </c>
      <c r="I280" s="41">
        <v>5</v>
      </c>
      <c r="J280" s="67">
        <f t="shared" si="48"/>
        <v>17500000</v>
      </c>
      <c r="K280" s="41">
        <v>0</v>
      </c>
      <c r="L280" s="41">
        <v>0</v>
      </c>
      <c r="M280" s="70">
        <f t="shared" si="40"/>
        <v>0</v>
      </c>
      <c r="N280" s="41">
        <v>0</v>
      </c>
      <c r="O280" s="41">
        <v>0</v>
      </c>
      <c r="P280" s="70">
        <f t="shared" si="41"/>
        <v>0</v>
      </c>
      <c r="Q280" s="41">
        <v>0</v>
      </c>
      <c r="R280" s="41">
        <v>0</v>
      </c>
      <c r="S280" s="70">
        <f t="shared" si="42"/>
        <v>0</v>
      </c>
      <c r="T280" s="41">
        <v>20</v>
      </c>
      <c r="U280" s="41">
        <v>2</v>
      </c>
      <c r="V280" s="70">
        <f t="shared" si="43"/>
        <v>2049740.0000000005</v>
      </c>
      <c r="W280" s="41">
        <v>0</v>
      </c>
      <c r="X280" s="41">
        <v>0</v>
      </c>
      <c r="Y280" s="70">
        <f t="shared" si="49"/>
        <v>0</v>
      </c>
      <c r="Z280" s="41">
        <v>0</v>
      </c>
      <c r="AA280" s="41">
        <v>0</v>
      </c>
      <c r="AB280" s="70">
        <f t="shared" si="44"/>
        <v>0</v>
      </c>
      <c r="AC280" s="41">
        <v>0</v>
      </c>
      <c r="AD280" s="41">
        <v>0</v>
      </c>
      <c r="AE280" s="70">
        <f t="shared" si="45"/>
        <v>0</v>
      </c>
      <c r="AF280" s="28">
        <f t="shared" si="46"/>
        <v>19549740</v>
      </c>
      <c r="AG280" s="28">
        <f t="shared" si="47"/>
        <v>18980.330097087379</v>
      </c>
    </row>
    <row r="281" spans="1:60" ht="57.6" x14ac:dyDescent="0.3">
      <c r="A281" s="41" t="s">
        <v>696</v>
      </c>
      <c r="B281" s="41" t="s">
        <v>691</v>
      </c>
      <c r="C281" s="43" t="s">
        <v>1698</v>
      </c>
      <c r="D281" s="41" t="s">
        <v>56</v>
      </c>
      <c r="E281" s="41" t="s">
        <v>764</v>
      </c>
      <c r="F281" s="41" t="s">
        <v>716</v>
      </c>
      <c r="G281" s="67">
        <v>39000</v>
      </c>
      <c r="H281" s="41">
        <v>58</v>
      </c>
      <c r="I281" s="41">
        <v>6</v>
      </c>
      <c r="J281" s="67">
        <f t="shared" si="48"/>
        <v>13572000</v>
      </c>
      <c r="K281" s="41"/>
      <c r="L281" s="41"/>
      <c r="M281" s="70">
        <f t="shared" si="40"/>
        <v>0</v>
      </c>
      <c r="N281" s="41"/>
      <c r="O281" s="41"/>
      <c r="P281" s="70">
        <f t="shared" si="41"/>
        <v>0</v>
      </c>
      <c r="Q281" s="41"/>
      <c r="R281" s="41"/>
      <c r="S281" s="70">
        <f t="shared" si="42"/>
        <v>0</v>
      </c>
      <c r="T281" s="41"/>
      <c r="U281" s="41"/>
      <c r="V281" s="70">
        <f t="shared" si="43"/>
        <v>0</v>
      </c>
      <c r="W281" s="41"/>
      <c r="X281" s="41"/>
      <c r="Y281" s="70">
        <f t="shared" si="49"/>
        <v>0</v>
      </c>
      <c r="Z281" s="41"/>
      <c r="AA281" s="41"/>
      <c r="AB281" s="70">
        <f t="shared" si="44"/>
        <v>0</v>
      </c>
      <c r="AC281" s="41"/>
      <c r="AD281" s="41"/>
      <c r="AE281" s="70">
        <f t="shared" si="45"/>
        <v>0</v>
      </c>
      <c r="AF281" s="28">
        <f t="shared" si="46"/>
        <v>13572000</v>
      </c>
      <c r="AG281" s="28">
        <f t="shared" si="47"/>
        <v>13176.699029126214</v>
      </c>
    </row>
    <row r="282" spans="1:60" ht="57.6" x14ac:dyDescent="0.3">
      <c r="A282" s="41" t="s">
        <v>696</v>
      </c>
      <c r="B282" s="41" t="s">
        <v>691</v>
      </c>
      <c r="C282" s="43" t="s">
        <v>1698</v>
      </c>
      <c r="D282" s="41" t="s">
        <v>56</v>
      </c>
      <c r="E282" s="41" t="s">
        <v>764</v>
      </c>
      <c r="F282" s="41" t="s">
        <v>712</v>
      </c>
      <c r="G282" s="67">
        <f>1999.2/7</f>
        <v>285.60000000000002</v>
      </c>
      <c r="H282" s="41">
        <f>2*25*29</f>
        <v>1450</v>
      </c>
      <c r="I282" s="41">
        <v>5</v>
      </c>
      <c r="J282" s="67">
        <f t="shared" si="48"/>
        <v>2070600.0000000002</v>
      </c>
      <c r="K282" s="41"/>
      <c r="L282" s="41"/>
      <c r="M282" s="70">
        <f t="shared" si="40"/>
        <v>0</v>
      </c>
      <c r="N282" s="41"/>
      <c r="O282" s="41"/>
      <c r="P282" s="70">
        <f t="shared" si="41"/>
        <v>0</v>
      </c>
      <c r="Q282" s="41"/>
      <c r="R282" s="41"/>
      <c r="S282" s="70">
        <f t="shared" si="42"/>
        <v>0</v>
      </c>
      <c r="T282" s="41"/>
      <c r="U282" s="41"/>
      <c r="V282" s="70">
        <f t="shared" si="43"/>
        <v>0</v>
      </c>
      <c r="W282" s="41"/>
      <c r="X282" s="41"/>
      <c r="Y282" s="70">
        <f t="shared" si="49"/>
        <v>0</v>
      </c>
      <c r="Z282" s="41"/>
      <c r="AA282" s="41"/>
      <c r="AB282" s="70">
        <f t="shared" si="44"/>
        <v>0</v>
      </c>
      <c r="AC282" s="41"/>
      <c r="AD282" s="41"/>
      <c r="AE282" s="70">
        <f t="shared" si="45"/>
        <v>0</v>
      </c>
      <c r="AF282" s="28">
        <f t="shared" si="46"/>
        <v>2070600.0000000002</v>
      </c>
      <c r="AG282" s="28">
        <f t="shared" si="47"/>
        <v>2010.2912621359226</v>
      </c>
    </row>
    <row r="283" spans="1:60" ht="57.6" x14ac:dyDescent="0.3">
      <c r="A283" s="41" t="s">
        <v>696</v>
      </c>
      <c r="B283" s="41" t="s">
        <v>691</v>
      </c>
      <c r="C283" s="43" t="s">
        <v>1698</v>
      </c>
      <c r="D283" s="41" t="s">
        <v>56</v>
      </c>
      <c r="E283" s="41" t="s">
        <v>764</v>
      </c>
      <c r="F283" s="41" t="s">
        <v>1299</v>
      </c>
      <c r="G283" s="67">
        <f>1999.2/7</f>
        <v>285.60000000000002</v>
      </c>
      <c r="H283" s="41">
        <v>22500</v>
      </c>
      <c r="I283" s="41">
        <v>1</v>
      </c>
      <c r="J283" s="67">
        <f t="shared" si="48"/>
        <v>6426000.0000000009</v>
      </c>
      <c r="K283" s="41"/>
      <c r="L283" s="41"/>
      <c r="M283" s="70">
        <f t="shared" si="40"/>
        <v>0</v>
      </c>
      <c r="N283" s="41"/>
      <c r="O283" s="41"/>
      <c r="P283" s="70">
        <f t="shared" si="41"/>
        <v>0</v>
      </c>
      <c r="Q283" s="41"/>
      <c r="R283" s="41"/>
      <c r="S283" s="70">
        <f t="shared" si="42"/>
        <v>0</v>
      </c>
      <c r="T283" s="41"/>
      <c r="U283" s="41"/>
      <c r="V283" s="70">
        <f t="shared" si="43"/>
        <v>0</v>
      </c>
      <c r="W283" s="41"/>
      <c r="X283" s="41"/>
      <c r="Y283" s="70">
        <f t="shared" si="49"/>
        <v>0</v>
      </c>
      <c r="Z283" s="41"/>
      <c r="AA283" s="41"/>
      <c r="AB283" s="70">
        <f t="shared" si="44"/>
        <v>0</v>
      </c>
      <c r="AC283" s="41"/>
      <c r="AD283" s="41"/>
      <c r="AE283" s="70">
        <f t="shared" si="45"/>
        <v>0</v>
      </c>
      <c r="AF283" s="28">
        <f t="shared" si="46"/>
        <v>6426000.0000000009</v>
      </c>
      <c r="AG283" s="28">
        <f t="shared" si="47"/>
        <v>6238.8349514563115</v>
      </c>
    </row>
    <row r="284" spans="1:60" ht="57.6" x14ac:dyDescent="0.3">
      <c r="A284" s="41" t="s">
        <v>696</v>
      </c>
      <c r="B284" s="41" t="s">
        <v>691</v>
      </c>
      <c r="C284" s="43" t="s">
        <v>1698</v>
      </c>
      <c r="D284" s="41" t="s">
        <v>57</v>
      </c>
      <c r="E284" s="41" t="s">
        <v>765</v>
      </c>
      <c r="F284" s="41" t="s">
        <v>707</v>
      </c>
      <c r="G284" s="67">
        <v>391991.03749999998</v>
      </c>
      <c r="H284" s="41">
        <v>2</v>
      </c>
      <c r="I284" s="41">
        <v>2</v>
      </c>
      <c r="J284" s="67">
        <f t="shared" si="48"/>
        <v>1567964.15</v>
      </c>
      <c r="K284" s="41">
        <v>0</v>
      </c>
      <c r="L284" s="41">
        <v>0</v>
      </c>
      <c r="M284" s="70">
        <f t="shared" si="40"/>
        <v>0</v>
      </c>
      <c r="N284" s="41">
        <v>0</v>
      </c>
      <c r="O284" s="41">
        <v>0</v>
      </c>
      <c r="P284" s="70">
        <f t="shared" si="41"/>
        <v>0</v>
      </c>
      <c r="Q284" s="41">
        <v>0</v>
      </c>
      <c r="R284" s="41">
        <v>0</v>
      </c>
      <c r="S284" s="70">
        <f t="shared" si="42"/>
        <v>0</v>
      </c>
      <c r="T284" s="41">
        <v>5</v>
      </c>
      <c r="U284" s="41">
        <v>4</v>
      </c>
      <c r="V284" s="70">
        <f t="shared" si="43"/>
        <v>11478281.560075002</v>
      </c>
      <c r="W284" s="41">
        <v>0</v>
      </c>
      <c r="X284" s="41">
        <v>0</v>
      </c>
      <c r="Y284" s="70">
        <f t="shared" si="49"/>
        <v>0</v>
      </c>
      <c r="Z284" s="41">
        <v>0</v>
      </c>
      <c r="AA284" s="41">
        <v>0</v>
      </c>
      <c r="AB284" s="70">
        <f t="shared" si="44"/>
        <v>0</v>
      </c>
      <c r="AC284" s="41">
        <v>0</v>
      </c>
      <c r="AD284" s="41">
        <v>0</v>
      </c>
      <c r="AE284" s="70">
        <f t="shared" si="45"/>
        <v>0</v>
      </c>
      <c r="AF284" s="28">
        <f t="shared" si="46"/>
        <v>13046245.710075002</v>
      </c>
      <c r="AG284" s="28">
        <f t="shared" si="47"/>
        <v>12666.257970946604</v>
      </c>
    </row>
    <row r="285" spans="1:60" ht="57.6" x14ac:dyDescent="0.3">
      <c r="A285" s="41" t="s">
        <v>696</v>
      </c>
      <c r="B285" s="41" t="s">
        <v>691</v>
      </c>
      <c r="C285" s="43" t="s">
        <v>1698</v>
      </c>
      <c r="D285" s="41" t="s">
        <v>58</v>
      </c>
      <c r="E285" s="41" t="s">
        <v>389</v>
      </c>
      <c r="F285" s="41" t="s">
        <v>719</v>
      </c>
      <c r="G285" s="67">
        <v>286576.3</v>
      </c>
      <c r="H285" s="41">
        <v>0</v>
      </c>
      <c r="I285" s="41">
        <v>0</v>
      </c>
      <c r="J285" s="67">
        <f t="shared" si="48"/>
        <v>0</v>
      </c>
      <c r="K285" s="41">
        <v>0</v>
      </c>
      <c r="L285" s="41">
        <v>0</v>
      </c>
      <c r="M285" s="70">
        <f t="shared" si="40"/>
        <v>0</v>
      </c>
      <c r="N285" s="41">
        <v>0</v>
      </c>
      <c r="O285" s="41">
        <v>0</v>
      </c>
      <c r="P285" s="70">
        <f t="shared" si="41"/>
        <v>0</v>
      </c>
      <c r="Q285" s="41">
        <v>0</v>
      </c>
      <c r="R285" s="41">
        <v>0</v>
      </c>
      <c r="S285" s="70">
        <f t="shared" si="42"/>
        <v>0</v>
      </c>
      <c r="T285" s="41">
        <v>10</v>
      </c>
      <c r="U285" s="41">
        <v>15</v>
      </c>
      <c r="V285" s="70">
        <f t="shared" si="43"/>
        <v>62936454.124500006</v>
      </c>
      <c r="W285" s="41">
        <v>0</v>
      </c>
      <c r="X285" s="41">
        <v>0</v>
      </c>
      <c r="Y285" s="70">
        <f t="shared" si="49"/>
        <v>0</v>
      </c>
      <c r="Z285" s="41">
        <v>0</v>
      </c>
      <c r="AA285" s="41">
        <v>0</v>
      </c>
      <c r="AB285" s="70">
        <f t="shared" si="44"/>
        <v>0</v>
      </c>
      <c r="AC285" s="41">
        <v>0</v>
      </c>
      <c r="AD285" s="41">
        <v>0</v>
      </c>
      <c r="AE285" s="70">
        <f t="shared" si="45"/>
        <v>0</v>
      </c>
      <c r="AF285" s="28">
        <f t="shared" si="46"/>
        <v>62936454.124500006</v>
      </c>
      <c r="AG285" s="28">
        <f t="shared" si="47"/>
        <v>61103.353518932046</v>
      </c>
    </row>
    <row r="286" spans="1:60" ht="57.6" x14ac:dyDescent="0.3">
      <c r="A286" s="41" t="s">
        <v>696</v>
      </c>
      <c r="B286" s="41" t="s">
        <v>691</v>
      </c>
      <c r="C286" s="43" t="s">
        <v>1698</v>
      </c>
      <c r="D286" s="41" t="s">
        <v>0</v>
      </c>
      <c r="E286" s="41" t="s">
        <v>390</v>
      </c>
      <c r="F286" s="41" t="s">
        <v>718</v>
      </c>
      <c r="G286" s="67">
        <v>0</v>
      </c>
      <c r="H286" s="41">
        <v>0</v>
      </c>
      <c r="I286" s="41">
        <v>0</v>
      </c>
      <c r="J286" s="67">
        <f t="shared" si="48"/>
        <v>0</v>
      </c>
      <c r="K286" s="41">
        <v>0</v>
      </c>
      <c r="L286" s="41">
        <v>0</v>
      </c>
      <c r="M286" s="70">
        <f t="shared" si="40"/>
        <v>0</v>
      </c>
      <c r="N286" s="41">
        <v>0</v>
      </c>
      <c r="O286" s="41">
        <v>0</v>
      </c>
      <c r="P286" s="70">
        <f t="shared" si="41"/>
        <v>0</v>
      </c>
      <c r="Q286" s="41">
        <v>0</v>
      </c>
      <c r="R286" s="41">
        <v>0</v>
      </c>
      <c r="S286" s="70">
        <f t="shared" si="42"/>
        <v>0</v>
      </c>
      <c r="T286" s="41">
        <v>0</v>
      </c>
      <c r="U286" s="41">
        <v>0</v>
      </c>
      <c r="V286" s="70">
        <f t="shared" si="43"/>
        <v>0</v>
      </c>
      <c r="W286" s="41">
        <v>0</v>
      </c>
      <c r="X286" s="41">
        <v>0</v>
      </c>
      <c r="Y286" s="70">
        <f t="shared" si="49"/>
        <v>0</v>
      </c>
      <c r="Z286" s="41">
        <v>0</v>
      </c>
      <c r="AA286" s="41">
        <v>0</v>
      </c>
      <c r="AB286" s="70">
        <f t="shared" si="44"/>
        <v>0</v>
      </c>
      <c r="AC286" s="41">
        <v>0</v>
      </c>
      <c r="AD286" s="41">
        <v>0</v>
      </c>
      <c r="AE286" s="70">
        <f t="shared" si="45"/>
        <v>0</v>
      </c>
      <c r="AF286" s="28">
        <f t="shared" si="46"/>
        <v>0</v>
      </c>
      <c r="AG286" s="28">
        <f t="shared" si="47"/>
        <v>0</v>
      </c>
    </row>
    <row r="287" spans="1:60" x14ac:dyDescent="0.3">
      <c r="A287" s="41"/>
      <c r="B287" s="41"/>
      <c r="C287" s="41"/>
      <c r="D287" s="41"/>
      <c r="E287" s="41"/>
      <c r="F287" s="41"/>
      <c r="G287" s="67"/>
      <c r="H287" s="41"/>
      <c r="I287" s="41"/>
      <c r="J287" s="67">
        <f t="shared" si="48"/>
        <v>0</v>
      </c>
      <c r="K287" s="41"/>
      <c r="L287" s="41"/>
      <c r="M287" s="70">
        <f t="shared" si="40"/>
        <v>0</v>
      </c>
      <c r="N287" s="41"/>
      <c r="O287" s="41"/>
      <c r="P287" s="70">
        <f t="shared" si="41"/>
        <v>0</v>
      </c>
      <c r="Q287" s="41"/>
      <c r="R287" s="41"/>
      <c r="S287" s="70">
        <f t="shared" si="42"/>
        <v>0</v>
      </c>
      <c r="T287" s="41"/>
      <c r="U287" s="41"/>
      <c r="V287" s="70">
        <f t="shared" si="43"/>
        <v>0</v>
      </c>
      <c r="W287" s="41"/>
      <c r="X287" s="41"/>
      <c r="Y287" s="70">
        <f t="shared" si="49"/>
        <v>0</v>
      </c>
      <c r="Z287" s="41"/>
      <c r="AA287" s="41"/>
      <c r="AB287" s="70">
        <f t="shared" si="44"/>
        <v>0</v>
      </c>
      <c r="AC287" s="41"/>
      <c r="AD287" s="41"/>
      <c r="AE287" s="70">
        <f t="shared" si="45"/>
        <v>0</v>
      </c>
      <c r="AF287" s="28">
        <f t="shared" si="46"/>
        <v>0</v>
      </c>
      <c r="AG287" s="28">
        <f t="shared" si="47"/>
        <v>0</v>
      </c>
    </row>
    <row r="288" spans="1:60" x14ac:dyDescent="0.3">
      <c r="A288" s="53" t="s">
        <v>1296</v>
      </c>
      <c r="B288" s="63"/>
      <c r="C288" s="63"/>
      <c r="D288" s="63"/>
      <c r="E288" s="63"/>
      <c r="F288" s="63"/>
      <c r="G288" s="68"/>
      <c r="H288" s="63"/>
      <c r="I288" s="63"/>
      <c r="J288" s="68">
        <f>SUM(J247:J287)</f>
        <v>136116938.30000001</v>
      </c>
      <c r="K288" s="63"/>
      <c r="L288" s="63"/>
      <c r="M288" s="68">
        <f>SUM(M247:M287)</f>
        <v>0</v>
      </c>
      <c r="N288" s="63"/>
      <c r="O288" s="63"/>
      <c r="P288" s="68">
        <f>SUM(P247:P287)</f>
        <v>166675619.93225002</v>
      </c>
      <c r="Q288" s="63"/>
      <c r="R288" s="63"/>
      <c r="S288" s="68">
        <f>SUM(S247:S287)</f>
        <v>19335437.000000007</v>
      </c>
      <c r="T288" s="63"/>
      <c r="U288" s="63"/>
      <c r="V288" s="68">
        <f>SUM(V247:V287)</f>
        <v>76464475.684575006</v>
      </c>
      <c r="W288" s="63"/>
      <c r="X288" s="63"/>
      <c r="Y288" s="68">
        <f>SUM(Y247:Y287)</f>
        <v>0</v>
      </c>
      <c r="Z288" s="63"/>
      <c r="AA288" s="63"/>
      <c r="AB288" s="68">
        <f>SUM(AB247:AB287)</f>
        <v>0</v>
      </c>
      <c r="AC288" s="63"/>
      <c r="AD288" s="63"/>
      <c r="AE288" s="68">
        <f>SUM(AE247:AE287)</f>
        <v>0</v>
      </c>
      <c r="AF288" s="20">
        <f t="shared" si="46"/>
        <v>398592470.91682506</v>
      </c>
      <c r="AG288" s="20">
        <f t="shared" si="47"/>
        <v>386982.98147264571</v>
      </c>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row>
    <row r="289" spans="1:60" x14ac:dyDescent="0.3">
      <c r="A289" s="53" t="s">
        <v>1427</v>
      </c>
      <c r="B289" s="63"/>
      <c r="C289" s="63"/>
      <c r="D289" s="63"/>
      <c r="E289" s="63"/>
      <c r="F289" s="63"/>
      <c r="G289" s="68"/>
      <c r="H289" s="63"/>
      <c r="I289" s="63"/>
      <c r="J289" s="68">
        <f>J288/$AL$2</f>
        <v>132152.36728155342</v>
      </c>
      <c r="K289" s="63"/>
      <c r="L289" s="63"/>
      <c r="M289" s="68">
        <f>M288/$AL$2</f>
        <v>0</v>
      </c>
      <c r="N289" s="63"/>
      <c r="O289" s="63"/>
      <c r="P289" s="68">
        <f>P288/$AL$2</f>
        <v>161820.99022548547</v>
      </c>
      <c r="Q289" s="63"/>
      <c r="R289" s="63"/>
      <c r="S289" s="68">
        <f>S288/$AL$2</f>
        <v>18772.268932038842</v>
      </c>
      <c r="T289" s="63"/>
      <c r="U289" s="63"/>
      <c r="V289" s="68">
        <f>V288/$AL$2</f>
        <v>74237.355033567961</v>
      </c>
      <c r="W289" s="63"/>
      <c r="X289" s="63"/>
      <c r="Y289" s="68">
        <f>Y288/$AL$2</f>
        <v>0</v>
      </c>
      <c r="Z289" s="63"/>
      <c r="AA289" s="63"/>
      <c r="AB289" s="68">
        <f>AB288/$AL$2</f>
        <v>0</v>
      </c>
      <c r="AC289" s="63"/>
      <c r="AD289" s="63"/>
      <c r="AE289" s="68">
        <f>AE288/$AL$2</f>
        <v>0</v>
      </c>
      <c r="AF289" s="20"/>
      <c r="AG289" s="20"/>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row>
    <row r="290" spans="1:60" ht="43.2" x14ac:dyDescent="0.3">
      <c r="A290" s="41" t="s">
        <v>696</v>
      </c>
      <c r="B290" s="41" t="s">
        <v>691</v>
      </c>
      <c r="C290" s="43" t="s">
        <v>660</v>
      </c>
      <c r="D290" s="41" t="s">
        <v>59</v>
      </c>
      <c r="E290" s="41" t="s">
        <v>391</v>
      </c>
      <c r="F290" s="41" t="s">
        <v>718</v>
      </c>
      <c r="G290" s="67">
        <v>0</v>
      </c>
      <c r="H290" s="41">
        <v>0</v>
      </c>
      <c r="I290" s="41">
        <v>0</v>
      </c>
      <c r="J290" s="67">
        <f t="shared" si="48"/>
        <v>0</v>
      </c>
      <c r="K290" s="41">
        <v>0</v>
      </c>
      <c r="L290" s="41">
        <v>0</v>
      </c>
      <c r="M290" s="70">
        <f t="shared" si="40"/>
        <v>0</v>
      </c>
      <c r="N290" s="41">
        <v>0</v>
      </c>
      <c r="O290" s="41">
        <v>0</v>
      </c>
      <c r="P290" s="70">
        <f t="shared" si="41"/>
        <v>0</v>
      </c>
      <c r="Q290" s="41">
        <v>0</v>
      </c>
      <c r="R290" s="41">
        <v>0</v>
      </c>
      <c r="S290" s="70">
        <f t="shared" si="42"/>
        <v>0</v>
      </c>
      <c r="T290" s="41">
        <v>0</v>
      </c>
      <c r="U290" s="41">
        <v>0</v>
      </c>
      <c r="V290" s="70">
        <f t="shared" si="43"/>
        <v>0</v>
      </c>
      <c r="W290" s="41">
        <v>0</v>
      </c>
      <c r="X290" s="41">
        <v>0</v>
      </c>
      <c r="Y290" s="70">
        <f t="shared" si="49"/>
        <v>0</v>
      </c>
      <c r="Z290" s="41">
        <v>0</v>
      </c>
      <c r="AA290" s="41">
        <v>0</v>
      </c>
      <c r="AB290" s="70">
        <f t="shared" si="44"/>
        <v>0</v>
      </c>
      <c r="AC290" s="41">
        <v>0</v>
      </c>
      <c r="AD290" s="41">
        <v>0</v>
      </c>
      <c r="AE290" s="70">
        <f t="shared" si="45"/>
        <v>0</v>
      </c>
      <c r="AF290" s="28">
        <f t="shared" si="46"/>
        <v>0</v>
      </c>
      <c r="AG290" s="28">
        <f t="shared" si="47"/>
        <v>0</v>
      </c>
    </row>
    <row r="291" spans="1:60" ht="43.2" x14ac:dyDescent="0.3">
      <c r="A291" s="41" t="s">
        <v>696</v>
      </c>
      <c r="B291" s="41" t="s">
        <v>691</v>
      </c>
      <c r="C291" s="43" t="s">
        <v>660</v>
      </c>
      <c r="D291" s="41" t="s">
        <v>59</v>
      </c>
      <c r="E291" s="41" t="s">
        <v>392</v>
      </c>
      <c r="F291" s="41" t="s">
        <v>713</v>
      </c>
      <c r="G291" s="67">
        <v>45000</v>
      </c>
      <c r="H291" s="41">
        <v>25</v>
      </c>
      <c r="I291" s="41">
        <v>6</v>
      </c>
      <c r="J291" s="67">
        <f t="shared" si="48"/>
        <v>6750000</v>
      </c>
      <c r="K291" s="41">
        <v>25</v>
      </c>
      <c r="L291" s="41">
        <v>6</v>
      </c>
      <c r="M291" s="70">
        <f t="shared" si="40"/>
        <v>7425000.0000000019</v>
      </c>
      <c r="N291" s="41">
        <v>0</v>
      </c>
      <c r="O291" s="41">
        <v>0</v>
      </c>
      <c r="P291" s="70">
        <f t="shared" si="41"/>
        <v>0</v>
      </c>
      <c r="Q291" s="41">
        <v>0</v>
      </c>
      <c r="R291" s="41">
        <v>0</v>
      </c>
      <c r="S291" s="70">
        <f t="shared" si="42"/>
        <v>0</v>
      </c>
      <c r="T291" s="41">
        <v>0</v>
      </c>
      <c r="U291" s="41">
        <v>0</v>
      </c>
      <c r="V291" s="70">
        <f t="shared" si="43"/>
        <v>0</v>
      </c>
      <c r="W291" s="41">
        <v>0</v>
      </c>
      <c r="X291" s="41">
        <v>0</v>
      </c>
      <c r="Y291" s="70">
        <f t="shared" si="49"/>
        <v>0</v>
      </c>
      <c r="Z291" s="41">
        <v>0</v>
      </c>
      <c r="AA291" s="41">
        <v>0</v>
      </c>
      <c r="AB291" s="70">
        <f t="shared" si="44"/>
        <v>0</v>
      </c>
      <c r="AC291" s="41">
        <v>25</v>
      </c>
      <c r="AD291" s="41">
        <v>6</v>
      </c>
      <c r="AE291" s="70">
        <f t="shared" si="45"/>
        <v>13153840.425000008</v>
      </c>
      <c r="AF291" s="28">
        <f t="shared" si="46"/>
        <v>27328840.425000012</v>
      </c>
      <c r="AG291" s="28">
        <f t="shared" si="47"/>
        <v>26532.854781553411</v>
      </c>
    </row>
    <row r="292" spans="1:60" ht="43.2" x14ac:dyDescent="0.3">
      <c r="A292" s="41" t="s">
        <v>696</v>
      </c>
      <c r="B292" s="41" t="s">
        <v>691</v>
      </c>
      <c r="C292" s="43" t="s">
        <v>660</v>
      </c>
      <c r="D292" s="41" t="s">
        <v>59</v>
      </c>
      <c r="E292" s="41" t="s">
        <v>392</v>
      </c>
      <c r="F292" s="41" t="s">
        <v>712</v>
      </c>
      <c r="G292" s="67">
        <f>1999.2/7</f>
        <v>285.60000000000002</v>
      </c>
      <c r="H292" s="41">
        <f>2*25*9</f>
        <v>450</v>
      </c>
      <c r="I292" s="41">
        <v>5</v>
      </c>
      <c r="J292" s="67">
        <f t="shared" si="48"/>
        <v>642600.00000000012</v>
      </c>
      <c r="K292" s="41">
        <f>2*25*9</f>
        <v>450</v>
      </c>
      <c r="L292" s="41">
        <v>5</v>
      </c>
      <c r="M292" s="70">
        <f t="shared" si="40"/>
        <v>706860</v>
      </c>
      <c r="N292" s="41">
        <v>0</v>
      </c>
      <c r="O292" s="41">
        <v>0</v>
      </c>
      <c r="P292" s="70">
        <f t="shared" si="41"/>
        <v>0</v>
      </c>
      <c r="Q292" s="41">
        <v>0</v>
      </c>
      <c r="R292" s="41">
        <v>0</v>
      </c>
      <c r="S292" s="70">
        <f t="shared" si="42"/>
        <v>0</v>
      </c>
      <c r="T292" s="41">
        <v>0</v>
      </c>
      <c r="U292" s="41">
        <v>0</v>
      </c>
      <c r="V292" s="70">
        <f t="shared" si="43"/>
        <v>0</v>
      </c>
      <c r="W292" s="41">
        <v>0</v>
      </c>
      <c r="X292" s="41">
        <v>0</v>
      </c>
      <c r="Y292" s="70">
        <f t="shared" si="49"/>
        <v>0</v>
      </c>
      <c r="Z292" s="41">
        <v>0</v>
      </c>
      <c r="AA292" s="41">
        <v>0</v>
      </c>
      <c r="AB292" s="70">
        <f t="shared" si="44"/>
        <v>0</v>
      </c>
      <c r="AC292" s="41">
        <f>2*25*9</f>
        <v>450</v>
      </c>
      <c r="AD292" s="41">
        <v>5</v>
      </c>
      <c r="AE292" s="70">
        <f t="shared" si="45"/>
        <v>1252245.6084600009</v>
      </c>
      <c r="AF292" s="28">
        <f t="shared" si="46"/>
        <v>2601705.6084600007</v>
      </c>
      <c r="AG292" s="28">
        <f t="shared" si="47"/>
        <v>2525.9277752038843</v>
      </c>
    </row>
    <row r="293" spans="1:60" ht="43.2" x14ac:dyDescent="0.3">
      <c r="A293" s="41" t="s">
        <v>696</v>
      </c>
      <c r="B293" s="41" t="s">
        <v>691</v>
      </c>
      <c r="C293" s="43" t="s">
        <v>660</v>
      </c>
      <c r="D293" s="41" t="s">
        <v>59</v>
      </c>
      <c r="E293" s="41" t="s">
        <v>392</v>
      </c>
      <c r="F293" s="41" t="s">
        <v>1392</v>
      </c>
      <c r="G293" s="67">
        <f>1999.2/7</f>
        <v>285.60000000000002</v>
      </c>
      <c r="H293" s="41">
        <f>2*135*9</f>
        <v>2430</v>
      </c>
      <c r="I293" s="41">
        <v>1</v>
      </c>
      <c r="J293" s="67">
        <f t="shared" si="48"/>
        <v>694008</v>
      </c>
      <c r="K293" s="41">
        <f>2*135*9</f>
        <v>2430</v>
      </c>
      <c r="L293" s="41">
        <v>1</v>
      </c>
      <c r="M293" s="70">
        <f t="shared" si="40"/>
        <v>763408.8</v>
      </c>
      <c r="N293" s="41"/>
      <c r="O293" s="41"/>
      <c r="P293" s="70">
        <f t="shared" si="41"/>
        <v>0</v>
      </c>
      <c r="Q293" s="41"/>
      <c r="R293" s="41"/>
      <c r="S293" s="70">
        <f t="shared" si="42"/>
        <v>0</v>
      </c>
      <c r="T293" s="41"/>
      <c r="U293" s="41"/>
      <c r="V293" s="70">
        <f t="shared" si="43"/>
        <v>0</v>
      </c>
      <c r="W293" s="41"/>
      <c r="X293" s="41"/>
      <c r="Y293" s="70">
        <f t="shared" si="49"/>
        <v>0</v>
      </c>
      <c r="Z293" s="41"/>
      <c r="AA293" s="41"/>
      <c r="AB293" s="70">
        <f t="shared" si="44"/>
        <v>0</v>
      </c>
      <c r="AC293" s="41">
        <f>2*135*9</f>
        <v>2430</v>
      </c>
      <c r="AD293" s="41">
        <v>1</v>
      </c>
      <c r="AE293" s="70">
        <f t="shared" si="45"/>
        <v>1352425.257136801</v>
      </c>
      <c r="AF293" s="28">
        <f t="shared" si="46"/>
        <v>2809842.0571368011</v>
      </c>
      <c r="AG293" s="28">
        <f t="shared" si="47"/>
        <v>2728.0019972201953</v>
      </c>
    </row>
    <row r="294" spans="1:60" ht="57.6" x14ac:dyDescent="0.3">
      <c r="A294" s="41" t="s">
        <v>696</v>
      </c>
      <c r="B294" s="41" t="s">
        <v>691</v>
      </c>
      <c r="C294" s="43" t="s">
        <v>660</v>
      </c>
      <c r="D294" s="41" t="s">
        <v>60</v>
      </c>
      <c r="E294" s="41" t="s">
        <v>764</v>
      </c>
      <c r="F294" s="41" t="s">
        <v>716</v>
      </c>
      <c r="G294" s="67">
        <v>39000</v>
      </c>
      <c r="H294" s="41">
        <v>100</v>
      </c>
      <c r="I294" s="41">
        <v>6</v>
      </c>
      <c r="J294" s="67">
        <f t="shared" si="48"/>
        <v>23400000</v>
      </c>
      <c r="K294" s="41">
        <v>100</v>
      </c>
      <c r="L294" s="41">
        <v>6</v>
      </c>
      <c r="M294" s="70">
        <f t="shared" si="40"/>
        <v>25740000</v>
      </c>
      <c r="N294" s="41">
        <v>0</v>
      </c>
      <c r="O294" s="41">
        <v>0</v>
      </c>
      <c r="P294" s="70">
        <f t="shared" si="41"/>
        <v>0</v>
      </c>
      <c r="Q294" s="41">
        <v>0</v>
      </c>
      <c r="R294" s="41">
        <v>0</v>
      </c>
      <c r="S294" s="70">
        <f t="shared" si="42"/>
        <v>0</v>
      </c>
      <c r="T294" s="41">
        <v>0</v>
      </c>
      <c r="U294" s="41">
        <v>0</v>
      </c>
      <c r="V294" s="70">
        <f t="shared" si="43"/>
        <v>0</v>
      </c>
      <c r="W294" s="41">
        <v>0</v>
      </c>
      <c r="X294" s="41">
        <v>0</v>
      </c>
      <c r="Y294" s="70">
        <f t="shared" si="49"/>
        <v>0</v>
      </c>
      <c r="Z294" s="41">
        <v>0</v>
      </c>
      <c r="AA294" s="41">
        <v>0</v>
      </c>
      <c r="AB294" s="70">
        <f t="shared" si="44"/>
        <v>0</v>
      </c>
      <c r="AC294" s="41">
        <v>100</v>
      </c>
      <c r="AD294" s="41">
        <v>6</v>
      </c>
      <c r="AE294" s="70">
        <f t="shared" si="45"/>
        <v>45599980.140000023</v>
      </c>
      <c r="AF294" s="28">
        <f t="shared" si="46"/>
        <v>94739980.140000015</v>
      </c>
      <c r="AG294" s="28">
        <f t="shared" si="47"/>
        <v>91980.563242718461</v>
      </c>
    </row>
    <row r="295" spans="1:60" ht="57.6" x14ac:dyDescent="0.3">
      <c r="A295" s="41" t="s">
        <v>696</v>
      </c>
      <c r="B295" s="41" t="s">
        <v>691</v>
      </c>
      <c r="C295" s="43" t="s">
        <v>660</v>
      </c>
      <c r="D295" s="41" t="s">
        <v>60</v>
      </c>
      <c r="E295" s="41" t="s">
        <v>764</v>
      </c>
      <c r="F295" s="41" t="s">
        <v>712</v>
      </c>
      <c r="G295" s="67">
        <f>1999.2/7</f>
        <v>285.60000000000002</v>
      </c>
      <c r="H295" s="41">
        <v>58</v>
      </c>
      <c r="I295" s="41">
        <v>5</v>
      </c>
      <c r="J295" s="67">
        <f t="shared" si="48"/>
        <v>82824.000000000015</v>
      </c>
      <c r="K295" s="41">
        <v>58</v>
      </c>
      <c r="L295" s="41">
        <v>5</v>
      </c>
      <c r="M295" s="70">
        <f t="shared" si="40"/>
        <v>91106.400000000009</v>
      </c>
      <c r="N295" s="41">
        <v>0</v>
      </c>
      <c r="O295" s="41">
        <v>0</v>
      </c>
      <c r="P295" s="70">
        <f t="shared" si="41"/>
        <v>0</v>
      </c>
      <c r="Q295" s="41">
        <v>0</v>
      </c>
      <c r="R295" s="41">
        <v>0</v>
      </c>
      <c r="S295" s="70">
        <f t="shared" si="42"/>
        <v>0</v>
      </c>
      <c r="T295" s="41">
        <v>0</v>
      </c>
      <c r="U295" s="41">
        <v>0</v>
      </c>
      <c r="V295" s="70">
        <f t="shared" si="43"/>
        <v>0</v>
      </c>
      <c r="W295" s="41">
        <v>0</v>
      </c>
      <c r="X295" s="41">
        <v>0</v>
      </c>
      <c r="Y295" s="70">
        <f t="shared" si="49"/>
        <v>0</v>
      </c>
      <c r="Z295" s="41">
        <v>0</v>
      </c>
      <c r="AA295" s="41">
        <v>0</v>
      </c>
      <c r="AB295" s="70">
        <f t="shared" si="44"/>
        <v>0</v>
      </c>
      <c r="AC295" s="41">
        <v>58</v>
      </c>
      <c r="AD295" s="41">
        <v>5</v>
      </c>
      <c r="AE295" s="70">
        <f t="shared" si="45"/>
        <v>161400.54509040012</v>
      </c>
      <c r="AF295" s="28">
        <f t="shared" si="46"/>
        <v>335330.94509040017</v>
      </c>
      <c r="AG295" s="28">
        <f t="shared" si="47"/>
        <v>325.56402435961184</v>
      </c>
    </row>
    <row r="296" spans="1:60" ht="57.6" x14ac:dyDescent="0.3">
      <c r="A296" s="41" t="s">
        <v>696</v>
      </c>
      <c r="B296" s="41" t="s">
        <v>691</v>
      </c>
      <c r="C296" s="43" t="s">
        <v>660</v>
      </c>
      <c r="D296" s="41" t="s">
        <v>60</v>
      </c>
      <c r="E296" s="41" t="s">
        <v>764</v>
      </c>
      <c r="F296" s="41" t="s">
        <v>709</v>
      </c>
      <c r="G296" s="67">
        <v>35000</v>
      </c>
      <c r="H296" s="41">
        <v>100</v>
      </c>
      <c r="I296" s="41">
        <v>5</v>
      </c>
      <c r="J296" s="67">
        <f t="shared" si="48"/>
        <v>17500000</v>
      </c>
      <c r="K296" s="41">
        <v>100</v>
      </c>
      <c r="L296" s="41">
        <v>5</v>
      </c>
      <c r="M296" s="70">
        <f t="shared" si="40"/>
        <v>19250000</v>
      </c>
      <c r="N296" s="41"/>
      <c r="O296" s="41"/>
      <c r="P296" s="70">
        <f t="shared" si="41"/>
        <v>0</v>
      </c>
      <c r="Q296" s="41"/>
      <c r="R296" s="41"/>
      <c r="S296" s="70">
        <f t="shared" si="42"/>
        <v>0</v>
      </c>
      <c r="T296" s="41"/>
      <c r="U296" s="41"/>
      <c r="V296" s="70">
        <f t="shared" si="43"/>
        <v>0</v>
      </c>
      <c r="W296" s="41"/>
      <c r="X296" s="41"/>
      <c r="Y296" s="70">
        <f t="shared" si="49"/>
        <v>0</v>
      </c>
      <c r="Z296" s="41"/>
      <c r="AA296" s="41"/>
      <c r="AB296" s="70">
        <f t="shared" si="44"/>
        <v>0</v>
      </c>
      <c r="AC296" s="41">
        <v>100</v>
      </c>
      <c r="AD296" s="41">
        <v>5</v>
      </c>
      <c r="AE296" s="70">
        <f t="shared" si="45"/>
        <v>34102549.250000015</v>
      </c>
      <c r="AF296" s="28">
        <f t="shared" si="46"/>
        <v>70852549.250000015</v>
      </c>
      <c r="AG296" s="28">
        <f t="shared" si="47"/>
        <v>68788.882766990311</v>
      </c>
    </row>
    <row r="297" spans="1:60" ht="57.6" x14ac:dyDescent="0.3">
      <c r="A297" s="41" t="s">
        <v>696</v>
      </c>
      <c r="B297" s="41" t="s">
        <v>691</v>
      </c>
      <c r="C297" s="43" t="s">
        <v>660</v>
      </c>
      <c r="D297" s="41" t="s">
        <v>60</v>
      </c>
      <c r="E297" s="41" t="s">
        <v>764</v>
      </c>
      <c r="F297" s="41" t="s">
        <v>1392</v>
      </c>
      <c r="G297" s="67">
        <f>1999.2/7</f>
        <v>285.60000000000002</v>
      </c>
      <c r="H297" s="41">
        <v>22500</v>
      </c>
      <c r="I297" s="41">
        <v>1</v>
      </c>
      <c r="J297" s="67">
        <f t="shared" si="48"/>
        <v>6426000.0000000009</v>
      </c>
      <c r="K297" s="41">
        <v>22500</v>
      </c>
      <c r="L297" s="41">
        <v>1</v>
      </c>
      <c r="M297" s="70">
        <f t="shared" si="40"/>
        <v>7068600.0000000009</v>
      </c>
      <c r="N297" s="41"/>
      <c r="O297" s="41"/>
      <c r="P297" s="70">
        <f t="shared" si="41"/>
        <v>0</v>
      </c>
      <c r="Q297" s="41"/>
      <c r="R297" s="41"/>
      <c r="S297" s="70">
        <f t="shared" si="42"/>
        <v>0</v>
      </c>
      <c r="T297" s="41"/>
      <c r="U297" s="41"/>
      <c r="V297" s="70">
        <f t="shared" si="43"/>
        <v>0</v>
      </c>
      <c r="W297" s="41"/>
      <c r="X297" s="41"/>
      <c r="Y297" s="70">
        <f t="shared" si="49"/>
        <v>0</v>
      </c>
      <c r="Z297" s="41"/>
      <c r="AA297" s="41"/>
      <c r="AB297" s="70">
        <f t="shared" si="44"/>
        <v>0</v>
      </c>
      <c r="AC297" s="41">
        <v>22500</v>
      </c>
      <c r="AD297" s="41">
        <v>1</v>
      </c>
      <c r="AE297" s="70">
        <f t="shared" si="45"/>
        <v>12522456.084600009</v>
      </c>
      <c r="AF297" s="28">
        <f t="shared" si="46"/>
        <v>26017056.084600009</v>
      </c>
      <c r="AG297" s="28">
        <f t="shared" si="47"/>
        <v>25259.277752038844</v>
      </c>
    </row>
    <row r="298" spans="1:60" ht="72" x14ac:dyDescent="0.3">
      <c r="A298" s="41" t="s">
        <v>696</v>
      </c>
      <c r="B298" s="41" t="s">
        <v>691</v>
      </c>
      <c r="C298" s="43" t="s">
        <v>660</v>
      </c>
      <c r="D298" s="41" t="s">
        <v>61</v>
      </c>
      <c r="E298" s="41" t="s">
        <v>394</v>
      </c>
      <c r="F298" s="41" t="s">
        <v>716</v>
      </c>
      <c r="G298" s="67">
        <v>39000</v>
      </c>
      <c r="H298" s="41">
        <v>100</v>
      </c>
      <c r="I298" s="41">
        <v>5</v>
      </c>
      <c r="J298" s="67">
        <f t="shared" si="48"/>
        <v>19500000</v>
      </c>
      <c r="K298" s="41">
        <v>100</v>
      </c>
      <c r="L298" s="41">
        <v>5</v>
      </c>
      <c r="M298" s="70">
        <f t="shared" si="40"/>
        <v>21450000</v>
      </c>
      <c r="N298" s="41">
        <v>120</v>
      </c>
      <c r="O298" s="41">
        <v>5</v>
      </c>
      <c r="P298" s="70">
        <f t="shared" si="41"/>
        <v>28314000.000000004</v>
      </c>
      <c r="Q298" s="41">
        <v>0</v>
      </c>
      <c r="R298" s="41">
        <v>0</v>
      </c>
      <c r="S298" s="70">
        <f t="shared" si="42"/>
        <v>0</v>
      </c>
      <c r="T298" s="41">
        <v>0</v>
      </c>
      <c r="U298" s="41">
        <v>0</v>
      </c>
      <c r="V298" s="70">
        <f t="shared" si="43"/>
        <v>0</v>
      </c>
      <c r="W298" s="41">
        <v>0</v>
      </c>
      <c r="X298" s="41">
        <v>0</v>
      </c>
      <c r="Y298" s="70">
        <f t="shared" si="49"/>
        <v>0</v>
      </c>
      <c r="Z298" s="41">
        <v>0</v>
      </c>
      <c r="AA298" s="41">
        <v>0</v>
      </c>
      <c r="AB298" s="70">
        <f t="shared" si="44"/>
        <v>0</v>
      </c>
      <c r="AC298" s="41">
        <v>100</v>
      </c>
      <c r="AD298" s="41">
        <v>5</v>
      </c>
      <c r="AE298" s="70">
        <f t="shared" si="45"/>
        <v>37999983.450000018</v>
      </c>
      <c r="AF298" s="28">
        <f t="shared" si="46"/>
        <v>107263983.45000002</v>
      </c>
      <c r="AG298" s="28">
        <f t="shared" si="47"/>
        <v>104139.78975728157</v>
      </c>
    </row>
    <row r="299" spans="1:60" ht="72" x14ac:dyDescent="0.3">
      <c r="A299" s="41" t="s">
        <v>696</v>
      </c>
      <c r="B299" s="41" t="s">
        <v>691</v>
      </c>
      <c r="C299" s="43" t="s">
        <v>660</v>
      </c>
      <c r="D299" s="41" t="s">
        <v>61</v>
      </c>
      <c r="E299" s="41" t="s">
        <v>394</v>
      </c>
      <c r="F299" s="41" t="s">
        <v>709</v>
      </c>
      <c r="G299" s="67">
        <v>35000</v>
      </c>
      <c r="H299" s="41">
        <v>58</v>
      </c>
      <c r="I299" s="41">
        <v>5</v>
      </c>
      <c r="J299" s="67">
        <f t="shared" si="48"/>
        <v>10150000</v>
      </c>
      <c r="K299" s="41">
        <v>58</v>
      </c>
      <c r="L299" s="41">
        <v>5</v>
      </c>
      <c r="M299" s="70">
        <f t="shared" si="40"/>
        <v>11165000</v>
      </c>
      <c r="N299" s="41">
        <v>120</v>
      </c>
      <c r="O299" s="41">
        <v>5</v>
      </c>
      <c r="P299" s="70">
        <f t="shared" si="41"/>
        <v>25410000.000000004</v>
      </c>
      <c r="Q299" s="41">
        <v>0</v>
      </c>
      <c r="R299" s="41">
        <v>0</v>
      </c>
      <c r="S299" s="70">
        <f t="shared" si="42"/>
        <v>0</v>
      </c>
      <c r="T299" s="41">
        <v>0</v>
      </c>
      <c r="U299" s="41">
        <v>0</v>
      </c>
      <c r="V299" s="70">
        <f t="shared" si="43"/>
        <v>0</v>
      </c>
      <c r="W299" s="41">
        <v>0</v>
      </c>
      <c r="X299" s="41">
        <v>0</v>
      </c>
      <c r="Y299" s="70">
        <f t="shared" si="49"/>
        <v>0</v>
      </c>
      <c r="Z299" s="41">
        <v>0</v>
      </c>
      <c r="AA299" s="41">
        <v>0</v>
      </c>
      <c r="AB299" s="70">
        <f t="shared" si="44"/>
        <v>0</v>
      </c>
      <c r="AC299" s="41">
        <v>58</v>
      </c>
      <c r="AD299" s="41">
        <v>5</v>
      </c>
      <c r="AE299" s="70">
        <f t="shared" si="45"/>
        <v>19779478.565000013</v>
      </c>
      <c r="AF299" s="28">
        <f t="shared" si="46"/>
        <v>66504478.565000013</v>
      </c>
      <c r="AG299" s="28">
        <f t="shared" si="47"/>
        <v>64567.454917475741</v>
      </c>
    </row>
    <row r="300" spans="1:60" ht="72" x14ac:dyDescent="0.3">
      <c r="A300" s="41" t="s">
        <v>696</v>
      </c>
      <c r="B300" s="41" t="s">
        <v>691</v>
      </c>
      <c r="C300" s="43" t="s">
        <v>660</v>
      </c>
      <c r="D300" s="41" t="s">
        <v>61</v>
      </c>
      <c r="E300" s="41" t="s">
        <v>394</v>
      </c>
      <c r="F300" s="41" t="s">
        <v>712</v>
      </c>
      <c r="G300" s="67">
        <f>1999.2/7</f>
        <v>285.60000000000002</v>
      </c>
      <c r="H300" s="41">
        <f>2*25*29</f>
        <v>1450</v>
      </c>
      <c r="I300" s="41">
        <v>5</v>
      </c>
      <c r="J300" s="67">
        <f t="shared" si="48"/>
        <v>2070600.0000000002</v>
      </c>
      <c r="K300" s="41">
        <f>2*25*29</f>
        <v>1450</v>
      </c>
      <c r="L300" s="41">
        <v>5</v>
      </c>
      <c r="M300" s="70">
        <f t="shared" si="40"/>
        <v>2277660.0000000005</v>
      </c>
      <c r="N300" s="41">
        <v>28000</v>
      </c>
      <c r="O300" s="41">
        <v>1</v>
      </c>
      <c r="P300" s="70">
        <f t="shared" si="41"/>
        <v>9676128.0000000019</v>
      </c>
      <c r="Q300" s="41">
        <v>0</v>
      </c>
      <c r="R300" s="41">
        <v>0</v>
      </c>
      <c r="S300" s="70">
        <f t="shared" si="42"/>
        <v>0</v>
      </c>
      <c r="T300" s="41">
        <v>0</v>
      </c>
      <c r="U300" s="41">
        <v>0</v>
      </c>
      <c r="V300" s="70">
        <f t="shared" si="43"/>
        <v>0</v>
      </c>
      <c r="W300" s="41">
        <v>0</v>
      </c>
      <c r="X300" s="41">
        <v>0</v>
      </c>
      <c r="Y300" s="70">
        <f t="shared" si="49"/>
        <v>0</v>
      </c>
      <c r="Z300" s="41">
        <v>0</v>
      </c>
      <c r="AA300" s="41">
        <v>0</v>
      </c>
      <c r="AB300" s="70">
        <f t="shared" si="44"/>
        <v>0</v>
      </c>
      <c r="AC300" s="41">
        <f>2*25*29</f>
        <v>1450</v>
      </c>
      <c r="AD300" s="41">
        <v>5</v>
      </c>
      <c r="AE300" s="70">
        <f t="shared" si="45"/>
        <v>4035013.6272600032</v>
      </c>
      <c r="AF300" s="28">
        <f t="shared" si="46"/>
        <v>18059401.627260007</v>
      </c>
      <c r="AG300" s="28">
        <f t="shared" si="47"/>
        <v>17533.399638116513</v>
      </c>
    </row>
    <row r="301" spans="1:60" ht="72" x14ac:dyDescent="0.3">
      <c r="A301" s="41" t="s">
        <v>696</v>
      </c>
      <c r="B301" s="41" t="s">
        <v>691</v>
      </c>
      <c r="C301" s="43" t="s">
        <v>660</v>
      </c>
      <c r="D301" s="41" t="s">
        <v>61</v>
      </c>
      <c r="E301" s="41" t="s">
        <v>394</v>
      </c>
      <c r="F301" s="41" t="s">
        <v>1392</v>
      </c>
      <c r="G301" s="67">
        <f>1999.2/7</f>
        <v>285.60000000000002</v>
      </c>
      <c r="H301" s="41">
        <v>22500</v>
      </c>
      <c r="I301" s="41">
        <v>1</v>
      </c>
      <c r="J301" s="67">
        <f t="shared" si="48"/>
        <v>6426000.0000000009</v>
      </c>
      <c r="K301" s="41">
        <v>22500</v>
      </c>
      <c r="L301" s="41">
        <v>1</v>
      </c>
      <c r="M301" s="70">
        <f t="shared" si="40"/>
        <v>7068600.0000000009</v>
      </c>
      <c r="N301" s="41"/>
      <c r="O301" s="41"/>
      <c r="P301" s="70">
        <f t="shared" si="41"/>
        <v>0</v>
      </c>
      <c r="Q301" s="41"/>
      <c r="R301" s="41"/>
      <c r="S301" s="70">
        <f t="shared" si="42"/>
        <v>0</v>
      </c>
      <c r="T301" s="41"/>
      <c r="U301" s="41"/>
      <c r="V301" s="70">
        <f t="shared" si="43"/>
        <v>0</v>
      </c>
      <c r="W301" s="41"/>
      <c r="X301" s="41"/>
      <c r="Y301" s="70">
        <f t="shared" si="49"/>
        <v>0</v>
      </c>
      <c r="Z301" s="41"/>
      <c r="AA301" s="41"/>
      <c r="AB301" s="70">
        <f t="shared" si="44"/>
        <v>0</v>
      </c>
      <c r="AC301" s="41">
        <v>22500</v>
      </c>
      <c r="AD301" s="41">
        <v>1</v>
      </c>
      <c r="AE301" s="70">
        <f t="shared" si="45"/>
        <v>12522456.084600009</v>
      </c>
      <c r="AF301" s="28">
        <f t="shared" si="46"/>
        <v>26017056.084600009</v>
      </c>
      <c r="AG301" s="28">
        <f t="shared" si="47"/>
        <v>25259.277752038844</v>
      </c>
    </row>
    <row r="302" spans="1:60" ht="72" x14ac:dyDescent="0.3">
      <c r="A302" s="41" t="s">
        <v>696</v>
      </c>
      <c r="B302" s="41" t="s">
        <v>691</v>
      </c>
      <c r="C302" s="43" t="s">
        <v>660</v>
      </c>
      <c r="D302" s="41" t="s">
        <v>61</v>
      </c>
      <c r="E302" s="41" t="s">
        <v>395</v>
      </c>
      <c r="F302" s="41" t="s">
        <v>716</v>
      </c>
      <c r="G302" s="67">
        <v>39000</v>
      </c>
      <c r="H302" s="41">
        <v>25</v>
      </c>
      <c r="I302" s="41">
        <v>6</v>
      </c>
      <c r="J302" s="67">
        <f t="shared" si="48"/>
        <v>5850000</v>
      </c>
      <c r="K302" s="41">
        <v>25</v>
      </c>
      <c r="L302" s="41">
        <v>6</v>
      </c>
      <c r="M302" s="70">
        <f t="shared" si="40"/>
        <v>6435000</v>
      </c>
      <c r="N302" s="41">
        <v>1100</v>
      </c>
      <c r="O302" s="41">
        <v>5</v>
      </c>
      <c r="P302" s="70">
        <f t="shared" si="41"/>
        <v>259545000.00000003</v>
      </c>
      <c r="Q302" s="41">
        <v>0</v>
      </c>
      <c r="R302" s="41">
        <v>0</v>
      </c>
      <c r="S302" s="70">
        <f t="shared" si="42"/>
        <v>0</v>
      </c>
      <c r="T302" s="41">
        <v>0</v>
      </c>
      <c r="U302" s="41">
        <v>0</v>
      </c>
      <c r="V302" s="70">
        <f t="shared" si="43"/>
        <v>0</v>
      </c>
      <c r="W302" s="41">
        <v>0</v>
      </c>
      <c r="X302" s="41">
        <v>0</v>
      </c>
      <c r="Y302" s="70">
        <f t="shared" si="49"/>
        <v>0</v>
      </c>
      <c r="Z302" s="41">
        <v>0</v>
      </c>
      <c r="AA302" s="41">
        <v>0</v>
      </c>
      <c r="AB302" s="70">
        <f t="shared" si="44"/>
        <v>0</v>
      </c>
      <c r="AC302" s="41">
        <v>25</v>
      </c>
      <c r="AD302" s="41">
        <v>6</v>
      </c>
      <c r="AE302" s="70">
        <f t="shared" si="45"/>
        <v>11399995.035000006</v>
      </c>
      <c r="AF302" s="28">
        <f t="shared" si="46"/>
        <v>283229995.03500003</v>
      </c>
      <c r="AG302" s="28">
        <f t="shared" si="47"/>
        <v>274980.57770388352</v>
      </c>
    </row>
    <row r="303" spans="1:60" ht="72" x14ac:dyDescent="0.3">
      <c r="A303" s="41" t="s">
        <v>696</v>
      </c>
      <c r="B303" s="41" t="s">
        <v>691</v>
      </c>
      <c r="C303" s="43" t="s">
        <v>660</v>
      </c>
      <c r="D303" s="41" t="s">
        <v>61</v>
      </c>
      <c r="E303" s="41" t="s">
        <v>395</v>
      </c>
      <c r="F303" s="41" t="s">
        <v>709</v>
      </c>
      <c r="G303" s="67">
        <v>35000</v>
      </c>
      <c r="H303" s="41">
        <v>25</v>
      </c>
      <c r="I303" s="41">
        <v>5</v>
      </c>
      <c r="J303" s="67">
        <f t="shared" si="48"/>
        <v>4375000</v>
      </c>
      <c r="K303" s="41">
        <v>25</v>
      </c>
      <c r="L303" s="41">
        <v>5</v>
      </c>
      <c r="M303" s="70">
        <f t="shared" si="40"/>
        <v>4812500</v>
      </c>
      <c r="N303" s="41">
        <v>1100</v>
      </c>
      <c r="O303" s="41">
        <v>5</v>
      </c>
      <c r="P303" s="70">
        <f t="shared" si="41"/>
        <v>232925000.00000003</v>
      </c>
      <c r="Q303" s="41">
        <v>0</v>
      </c>
      <c r="R303" s="41">
        <v>0</v>
      </c>
      <c r="S303" s="70">
        <f t="shared" si="42"/>
        <v>0</v>
      </c>
      <c r="T303" s="41">
        <v>0</v>
      </c>
      <c r="U303" s="41">
        <v>0</v>
      </c>
      <c r="V303" s="70">
        <f t="shared" si="43"/>
        <v>0</v>
      </c>
      <c r="W303" s="41">
        <v>0</v>
      </c>
      <c r="X303" s="41">
        <v>0</v>
      </c>
      <c r="Y303" s="70">
        <f t="shared" si="49"/>
        <v>0</v>
      </c>
      <c r="Z303" s="41">
        <v>0</v>
      </c>
      <c r="AA303" s="41">
        <v>0</v>
      </c>
      <c r="AB303" s="70">
        <f t="shared" si="44"/>
        <v>0</v>
      </c>
      <c r="AC303" s="41">
        <v>25</v>
      </c>
      <c r="AD303" s="41">
        <v>5</v>
      </c>
      <c r="AE303" s="70">
        <f t="shared" si="45"/>
        <v>8525637.3125000037</v>
      </c>
      <c r="AF303" s="28">
        <f t="shared" si="46"/>
        <v>250638137.31250003</v>
      </c>
      <c r="AG303" s="28">
        <f t="shared" si="47"/>
        <v>243337.99739077673</v>
      </c>
    </row>
    <row r="304" spans="1:60" ht="72" x14ac:dyDescent="0.3">
      <c r="A304" s="41" t="s">
        <v>696</v>
      </c>
      <c r="B304" s="41" t="s">
        <v>691</v>
      </c>
      <c r="C304" s="43" t="s">
        <v>660</v>
      </c>
      <c r="D304" s="41" t="s">
        <v>61</v>
      </c>
      <c r="E304" s="41" t="s">
        <v>395</v>
      </c>
      <c r="F304" s="41" t="s">
        <v>712</v>
      </c>
      <c r="G304" s="67">
        <f>1999.2/7</f>
        <v>285.60000000000002</v>
      </c>
      <c r="H304" s="41">
        <f>2*25*9</f>
        <v>450</v>
      </c>
      <c r="I304" s="41">
        <v>5</v>
      </c>
      <c r="J304" s="67">
        <f t="shared" si="48"/>
        <v>642600.00000000012</v>
      </c>
      <c r="K304" s="41">
        <f>2*25*9</f>
        <v>450</v>
      </c>
      <c r="L304" s="41">
        <v>5</v>
      </c>
      <c r="M304" s="70">
        <f t="shared" si="40"/>
        <v>706860</v>
      </c>
      <c r="N304" s="41">
        <v>100000</v>
      </c>
      <c r="O304" s="41">
        <v>1</v>
      </c>
      <c r="P304" s="70">
        <f t="shared" si="41"/>
        <v>34557600.000000007</v>
      </c>
      <c r="Q304" s="41">
        <v>0</v>
      </c>
      <c r="R304" s="41">
        <v>0</v>
      </c>
      <c r="S304" s="70">
        <f t="shared" si="42"/>
        <v>0</v>
      </c>
      <c r="T304" s="41">
        <v>0</v>
      </c>
      <c r="U304" s="41">
        <v>0</v>
      </c>
      <c r="V304" s="70">
        <f t="shared" si="43"/>
        <v>0</v>
      </c>
      <c r="W304" s="41">
        <v>0</v>
      </c>
      <c r="X304" s="41">
        <v>0</v>
      </c>
      <c r="Y304" s="70">
        <f t="shared" si="49"/>
        <v>0</v>
      </c>
      <c r="Z304" s="41">
        <v>0</v>
      </c>
      <c r="AA304" s="41">
        <v>0</v>
      </c>
      <c r="AB304" s="70">
        <f t="shared" si="44"/>
        <v>0</v>
      </c>
      <c r="AC304" s="41">
        <f>2*25*9</f>
        <v>450</v>
      </c>
      <c r="AD304" s="41">
        <v>5</v>
      </c>
      <c r="AE304" s="70">
        <f t="shared" si="45"/>
        <v>1252245.6084600009</v>
      </c>
      <c r="AF304" s="28">
        <f t="shared" si="46"/>
        <v>37159305.608460009</v>
      </c>
      <c r="AG304" s="28">
        <f t="shared" si="47"/>
        <v>36076.995736368939</v>
      </c>
    </row>
    <row r="305" spans="1:33" ht="72" x14ac:dyDescent="0.3">
      <c r="A305" s="41" t="s">
        <v>696</v>
      </c>
      <c r="B305" s="41" t="s">
        <v>691</v>
      </c>
      <c r="C305" s="43" t="s">
        <v>660</v>
      </c>
      <c r="D305" s="41" t="s">
        <v>61</v>
      </c>
      <c r="E305" s="41" t="s">
        <v>395</v>
      </c>
      <c r="F305" s="41" t="s">
        <v>1392</v>
      </c>
      <c r="G305" s="67">
        <f>1999.2/7</f>
        <v>285.60000000000002</v>
      </c>
      <c r="H305" s="41">
        <f>2*135*9</f>
        <v>2430</v>
      </c>
      <c r="I305" s="41">
        <v>1</v>
      </c>
      <c r="J305" s="67">
        <f t="shared" si="48"/>
        <v>694008</v>
      </c>
      <c r="K305" s="41">
        <f>2*135*9</f>
        <v>2430</v>
      </c>
      <c r="L305" s="41">
        <v>1</v>
      </c>
      <c r="M305" s="70">
        <f t="shared" si="40"/>
        <v>763408.8</v>
      </c>
      <c r="N305" s="41"/>
      <c r="O305" s="41"/>
      <c r="P305" s="70">
        <f t="shared" si="41"/>
        <v>0</v>
      </c>
      <c r="Q305" s="41"/>
      <c r="R305" s="41"/>
      <c r="S305" s="70">
        <f t="shared" si="42"/>
        <v>0</v>
      </c>
      <c r="T305" s="41"/>
      <c r="U305" s="41"/>
      <c r="V305" s="70">
        <f t="shared" si="43"/>
        <v>0</v>
      </c>
      <c r="W305" s="41"/>
      <c r="X305" s="41"/>
      <c r="Y305" s="70">
        <f t="shared" si="49"/>
        <v>0</v>
      </c>
      <c r="Z305" s="41"/>
      <c r="AA305" s="41"/>
      <c r="AB305" s="70">
        <f t="shared" si="44"/>
        <v>0</v>
      </c>
      <c r="AC305" s="41">
        <f>2*135*9</f>
        <v>2430</v>
      </c>
      <c r="AD305" s="41">
        <v>1</v>
      </c>
      <c r="AE305" s="70">
        <f t="shared" si="45"/>
        <v>1352425.257136801</v>
      </c>
      <c r="AF305" s="28">
        <f t="shared" si="46"/>
        <v>2809842.0571368011</v>
      </c>
      <c r="AG305" s="28">
        <f t="shared" si="47"/>
        <v>2728.0019972201953</v>
      </c>
    </row>
    <row r="306" spans="1:33" ht="43.2" x14ac:dyDescent="0.3">
      <c r="A306" s="41" t="s">
        <v>696</v>
      </c>
      <c r="B306" s="41" t="s">
        <v>691</v>
      </c>
      <c r="C306" s="43" t="s">
        <v>660</v>
      </c>
      <c r="D306" s="41" t="s">
        <v>62</v>
      </c>
      <c r="E306" s="41" t="s">
        <v>764</v>
      </c>
      <c r="F306" s="41" t="s">
        <v>716</v>
      </c>
      <c r="G306" s="67">
        <v>39000</v>
      </c>
      <c r="H306" s="41">
        <v>100</v>
      </c>
      <c r="I306" s="41">
        <v>6</v>
      </c>
      <c r="J306" s="67">
        <f t="shared" si="48"/>
        <v>23400000</v>
      </c>
      <c r="K306" s="41">
        <v>100</v>
      </c>
      <c r="L306" s="41">
        <v>6</v>
      </c>
      <c r="M306" s="70">
        <f t="shared" si="40"/>
        <v>25740000</v>
      </c>
      <c r="N306" s="41">
        <v>0</v>
      </c>
      <c r="O306" s="41">
        <v>0</v>
      </c>
      <c r="P306" s="70">
        <f t="shared" si="41"/>
        <v>0</v>
      </c>
      <c r="Q306" s="41">
        <v>0</v>
      </c>
      <c r="R306" s="41">
        <v>0</v>
      </c>
      <c r="S306" s="70">
        <f t="shared" si="42"/>
        <v>0</v>
      </c>
      <c r="T306" s="41">
        <v>0</v>
      </c>
      <c r="U306" s="41">
        <v>0</v>
      </c>
      <c r="V306" s="70">
        <f t="shared" si="43"/>
        <v>0</v>
      </c>
      <c r="W306" s="41">
        <v>0</v>
      </c>
      <c r="X306" s="41">
        <v>0</v>
      </c>
      <c r="Y306" s="70">
        <f t="shared" si="49"/>
        <v>0</v>
      </c>
      <c r="Z306" s="41">
        <v>0</v>
      </c>
      <c r="AA306" s="41">
        <v>0</v>
      </c>
      <c r="AB306" s="70">
        <f t="shared" si="44"/>
        <v>0</v>
      </c>
      <c r="AC306" s="41">
        <v>100</v>
      </c>
      <c r="AD306" s="41">
        <v>6</v>
      </c>
      <c r="AE306" s="70">
        <f t="shared" si="45"/>
        <v>45599980.140000023</v>
      </c>
      <c r="AF306" s="28">
        <f t="shared" si="46"/>
        <v>94739980.140000015</v>
      </c>
      <c r="AG306" s="28">
        <f t="shared" si="47"/>
        <v>91980.563242718461</v>
      </c>
    </row>
    <row r="307" spans="1:33" ht="43.2" x14ac:dyDescent="0.3">
      <c r="A307" s="41" t="s">
        <v>696</v>
      </c>
      <c r="B307" s="41" t="s">
        <v>691</v>
      </c>
      <c r="C307" s="43" t="s">
        <v>660</v>
      </c>
      <c r="D307" s="41" t="s">
        <v>62</v>
      </c>
      <c r="E307" s="41" t="s">
        <v>764</v>
      </c>
      <c r="F307" s="41" t="s">
        <v>709</v>
      </c>
      <c r="G307" s="67">
        <v>35000</v>
      </c>
      <c r="H307" s="41">
        <v>58</v>
      </c>
      <c r="I307" s="41">
        <v>5</v>
      </c>
      <c r="J307" s="67">
        <f t="shared" si="48"/>
        <v>10150000</v>
      </c>
      <c r="K307" s="41">
        <v>58</v>
      </c>
      <c r="L307" s="41">
        <v>5</v>
      </c>
      <c r="M307" s="70">
        <f t="shared" si="40"/>
        <v>11165000</v>
      </c>
      <c r="N307" s="41">
        <v>0</v>
      </c>
      <c r="O307" s="41">
        <v>0</v>
      </c>
      <c r="P307" s="70">
        <f t="shared" si="41"/>
        <v>0</v>
      </c>
      <c r="Q307" s="41">
        <v>0</v>
      </c>
      <c r="R307" s="41">
        <v>0</v>
      </c>
      <c r="S307" s="70">
        <f t="shared" si="42"/>
        <v>0</v>
      </c>
      <c r="T307" s="41">
        <v>0</v>
      </c>
      <c r="U307" s="41">
        <v>0</v>
      </c>
      <c r="V307" s="70">
        <f t="shared" si="43"/>
        <v>0</v>
      </c>
      <c r="W307" s="41">
        <v>0</v>
      </c>
      <c r="X307" s="41">
        <v>0</v>
      </c>
      <c r="Y307" s="70">
        <f t="shared" si="49"/>
        <v>0</v>
      </c>
      <c r="Z307" s="41">
        <v>0</v>
      </c>
      <c r="AA307" s="41">
        <v>0</v>
      </c>
      <c r="AB307" s="70">
        <f t="shared" si="44"/>
        <v>0</v>
      </c>
      <c r="AC307" s="41">
        <v>58</v>
      </c>
      <c r="AD307" s="41">
        <v>5</v>
      </c>
      <c r="AE307" s="70">
        <f t="shared" si="45"/>
        <v>19779478.565000013</v>
      </c>
      <c r="AF307" s="28">
        <f t="shared" si="46"/>
        <v>41094478.565000013</v>
      </c>
      <c r="AG307" s="28">
        <f t="shared" si="47"/>
        <v>39897.552004854384</v>
      </c>
    </row>
    <row r="308" spans="1:33" ht="43.2" x14ac:dyDescent="0.3">
      <c r="A308" s="41" t="s">
        <v>696</v>
      </c>
      <c r="B308" s="41" t="s">
        <v>691</v>
      </c>
      <c r="C308" s="43" t="s">
        <v>660</v>
      </c>
      <c r="D308" s="41" t="s">
        <v>62</v>
      </c>
      <c r="E308" s="41" t="s">
        <v>764</v>
      </c>
      <c r="F308" s="41" t="s">
        <v>712</v>
      </c>
      <c r="G308" s="67">
        <f>1999.2/7</f>
        <v>285.60000000000002</v>
      </c>
      <c r="H308" s="41">
        <f>2*25*29</f>
        <v>1450</v>
      </c>
      <c r="I308" s="41">
        <v>5</v>
      </c>
      <c r="J308" s="67">
        <f t="shared" si="48"/>
        <v>2070600.0000000002</v>
      </c>
      <c r="K308" s="41">
        <f>2*25*29</f>
        <v>1450</v>
      </c>
      <c r="L308" s="41">
        <v>5</v>
      </c>
      <c r="M308" s="70">
        <f t="shared" si="40"/>
        <v>2277660.0000000005</v>
      </c>
      <c r="N308" s="41">
        <v>0</v>
      </c>
      <c r="O308" s="41">
        <v>0</v>
      </c>
      <c r="P308" s="70">
        <f t="shared" si="41"/>
        <v>0</v>
      </c>
      <c r="Q308" s="41">
        <v>0</v>
      </c>
      <c r="R308" s="41">
        <v>0</v>
      </c>
      <c r="S308" s="70">
        <f t="shared" si="42"/>
        <v>0</v>
      </c>
      <c r="T308" s="41">
        <v>0</v>
      </c>
      <c r="U308" s="41">
        <v>0</v>
      </c>
      <c r="V308" s="70">
        <f t="shared" si="43"/>
        <v>0</v>
      </c>
      <c r="W308" s="41">
        <v>0</v>
      </c>
      <c r="X308" s="41">
        <v>0</v>
      </c>
      <c r="Y308" s="70">
        <f t="shared" si="49"/>
        <v>0</v>
      </c>
      <c r="Z308" s="41">
        <v>0</v>
      </c>
      <c r="AA308" s="41">
        <v>0</v>
      </c>
      <c r="AB308" s="70">
        <f t="shared" si="44"/>
        <v>0</v>
      </c>
      <c r="AC308" s="41">
        <f>2*25*29</f>
        <v>1450</v>
      </c>
      <c r="AD308" s="41">
        <v>5</v>
      </c>
      <c r="AE308" s="70">
        <f t="shared" si="45"/>
        <v>4035013.6272600032</v>
      </c>
      <c r="AF308" s="28">
        <f t="shared" si="46"/>
        <v>8383273.6272600042</v>
      </c>
      <c r="AG308" s="28">
        <f t="shared" si="47"/>
        <v>8139.1006089902949</v>
      </c>
    </row>
    <row r="309" spans="1:33" ht="43.2" x14ac:dyDescent="0.3">
      <c r="A309" s="41" t="s">
        <v>696</v>
      </c>
      <c r="B309" s="41" t="s">
        <v>691</v>
      </c>
      <c r="C309" s="43" t="s">
        <v>660</v>
      </c>
      <c r="D309" s="41" t="s">
        <v>62</v>
      </c>
      <c r="E309" s="41" t="s">
        <v>764</v>
      </c>
      <c r="F309" s="41" t="s">
        <v>1392</v>
      </c>
      <c r="G309" s="67">
        <f>1999.2/7</f>
        <v>285.60000000000002</v>
      </c>
      <c r="H309" s="41">
        <v>22500</v>
      </c>
      <c r="I309" s="41">
        <v>1</v>
      </c>
      <c r="J309" s="67">
        <f t="shared" si="48"/>
        <v>6426000.0000000009</v>
      </c>
      <c r="K309" s="41">
        <v>22500</v>
      </c>
      <c r="L309" s="41">
        <v>1</v>
      </c>
      <c r="M309" s="70">
        <f t="shared" si="40"/>
        <v>7068600.0000000009</v>
      </c>
      <c r="N309" s="41"/>
      <c r="O309" s="41"/>
      <c r="P309" s="70">
        <f t="shared" si="41"/>
        <v>0</v>
      </c>
      <c r="Q309" s="41"/>
      <c r="R309" s="41"/>
      <c r="S309" s="70">
        <f t="shared" si="42"/>
        <v>0</v>
      </c>
      <c r="T309" s="41"/>
      <c r="U309" s="41"/>
      <c r="V309" s="70">
        <f t="shared" si="43"/>
        <v>0</v>
      </c>
      <c r="W309" s="41"/>
      <c r="X309" s="41"/>
      <c r="Y309" s="70">
        <f t="shared" si="49"/>
        <v>0</v>
      </c>
      <c r="Z309" s="41"/>
      <c r="AA309" s="41"/>
      <c r="AB309" s="70">
        <f t="shared" si="44"/>
        <v>0</v>
      </c>
      <c r="AC309" s="41">
        <v>22500</v>
      </c>
      <c r="AD309" s="41">
        <v>1</v>
      </c>
      <c r="AE309" s="70">
        <f t="shared" si="45"/>
        <v>12522456.084600009</v>
      </c>
      <c r="AF309" s="28">
        <f t="shared" si="46"/>
        <v>26017056.084600009</v>
      </c>
      <c r="AG309" s="28">
        <f t="shared" si="47"/>
        <v>25259.277752038844</v>
      </c>
    </row>
    <row r="310" spans="1:33" ht="43.2" x14ac:dyDescent="0.3">
      <c r="A310" s="41" t="s">
        <v>696</v>
      </c>
      <c r="B310" s="41" t="s">
        <v>691</v>
      </c>
      <c r="C310" s="43" t="s">
        <v>660</v>
      </c>
      <c r="D310" s="41" t="s">
        <v>63</v>
      </c>
      <c r="E310" s="41" t="s">
        <v>397</v>
      </c>
      <c r="F310" s="41" t="s">
        <v>746</v>
      </c>
      <c r="G310" s="67">
        <v>1080000</v>
      </c>
      <c r="H310" s="41">
        <v>0</v>
      </c>
      <c r="I310" s="41">
        <v>0</v>
      </c>
      <c r="J310" s="67">
        <f t="shared" si="48"/>
        <v>0</v>
      </c>
      <c r="K310" s="41">
        <v>0</v>
      </c>
      <c r="L310" s="41">
        <v>0</v>
      </c>
      <c r="M310" s="70">
        <f t="shared" si="40"/>
        <v>0</v>
      </c>
      <c r="N310" s="41">
        <v>58</v>
      </c>
      <c r="O310" s="41">
        <v>1</v>
      </c>
      <c r="P310" s="70">
        <f t="shared" si="41"/>
        <v>75794400.000000015</v>
      </c>
      <c r="Q310" s="41">
        <v>0</v>
      </c>
      <c r="R310" s="41">
        <v>0</v>
      </c>
      <c r="S310" s="70">
        <f t="shared" si="42"/>
        <v>0</v>
      </c>
      <c r="T310" s="41">
        <v>0</v>
      </c>
      <c r="U310" s="41">
        <v>0</v>
      </c>
      <c r="V310" s="70">
        <f t="shared" si="43"/>
        <v>0</v>
      </c>
      <c r="W310" s="41">
        <v>0</v>
      </c>
      <c r="X310" s="41">
        <v>0</v>
      </c>
      <c r="Y310" s="70">
        <f t="shared" si="49"/>
        <v>0</v>
      </c>
      <c r="Z310" s="41">
        <v>0</v>
      </c>
      <c r="AA310" s="41">
        <v>0</v>
      </c>
      <c r="AB310" s="70">
        <f t="shared" si="44"/>
        <v>0</v>
      </c>
      <c r="AC310" s="41">
        <v>0</v>
      </c>
      <c r="AD310" s="41">
        <v>0</v>
      </c>
      <c r="AE310" s="70">
        <f t="shared" si="45"/>
        <v>0</v>
      </c>
      <c r="AF310" s="28">
        <f t="shared" si="46"/>
        <v>75794400.000000015</v>
      </c>
      <c r="AG310" s="28">
        <f t="shared" si="47"/>
        <v>73586.796116504862</v>
      </c>
    </row>
    <row r="311" spans="1:33" ht="43.2" x14ac:dyDescent="0.3">
      <c r="A311" s="41" t="s">
        <v>696</v>
      </c>
      <c r="B311" s="41" t="s">
        <v>691</v>
      </c>
      <c r="C311" s="43" t="s">
        <v>660</v>
      </c>
      <c r="D311" s="41" t="s">
        <v>63</v>
      </c>
      <c r="E311" s="41" t="s">
        <v>397</v>
      </c>
      <c r="F311" s="41" t="s">
        <v>766</v>
      </c>
      <c r="G311" s="67">
        <v>0</v>
      </c>
      <c r="H311" s="41">
        <v>0</v>
      </c>
      <c r="I311" s="41">
        <v>0</v>
      </c>
      <c r="J311" s="67">
        <f t="shared" si="48"/>
        <v>0</v>
      </c>
      <c r="K311" s="41">
        <v>0</v>
      </c>
      <c r="L311" s="41">
        <v>0</v>
      </c>
      <c r="M311" s="70">
        <f t="shared" si="40"/>
        <v>0</v>
      </c>
      <c r="N311" s="41">
        <v>1</v>
      </c>
      <c r="O311" s="41">
        <v>1</v>
      </c>
      <c r="P311" s="70">
        <f t="shared" si="41"/>
        <v>0</v>
      </c>
      <c r="Q311" s="41">
        <v>0</v>
      </c>
      <c r="R311" s="41">
        <v>0</v>
      </c>
      <c r="S311" s="70">
        <f t="shared" si="42"/>
        <v>0</v>
      </c>
      <c r="T311" s="41">
        <v>0</v>
      </c>
      <c r="U311" s="41">
        <v>0</v>
      </c>
      <c r="V311" s="70">
        <f t="shared" si="43"/>
        <v>0</v>
      </c>
      <c r="W311" s="41">
        <v>0</v>
      </c>
      <c r="X311" s="41">
        <v>0</v>
      </c>
      <c r="Y311" s="70">
        <f t="shared" si="49"/>
        <v>0</v>
      </c>
      <c r="Z311" s="41">
        <v>0</v>
      </c>
      <c r="AA311" s="41">
        <v>0</v>
      </c>
      <c r="AB311" s="70">
        <f t="shared" si="44"/>
        <v>0</v>
      </c>
      <c r="AC311" s="41">
        <v>0</v>
      </c>
      <c r="AD311" s="41">
        <v>0</v>
      </c>
      <c r="AE311" s="70">
        <f t="shared" si="45"/>
        <v>0</v>
      </c>
      <c r="AF311" s="28">
        <f t="shared" si="46"/>
        <v>0</v>
      </c>
      <c r="AG311" s="28">
        <f t="shared" si="47"/>
        <v>0</v>
      </c>
    </row>
    <row r="312" spans="1:33" ht="43.2" x14ac:dyDescent="0.3">
      <c r="A312" s="41" t="s">
        <v>696</v>
      </c>
      <c r="B312" s="41" t="s">
        <v>691</v>
      </c>
      <c r="C312" s="43" t="s">
        <v>660</v>
      </c>
      <c r="D312" s="41" t="s">
        <v>63</v>
      </c>
      <c r="E312" s="41" t="s">
        <v>398</v>
      </c>
      <c r="F312" s="41" t="s">
        <v>716</v>
      </c>
      <c r="G312" s="67">
        <v>39000</v>
      </c>
      <c r="H312" s="41">
        <v>100</v>
      </c>
      <c r="I312" s="41">
        <v>7</v>
      </c>
      <c r="J312" s="67">
        <f t="shared" si="48"/>
        <v>27300000</v>
      </c>
      <c r="K312" s="41">
        <v>100</v>
      </c>
      <c r="L312" s="41">
        <v>7</v>
      </c>
      <c r="M312" s="70">
        <f t="shared" si="40"/>
        <v>30030000</v>
      </c>
      <c r="N312" s="41">
        <v>120</v>
      </c>
      <c r="O312" s="41">
        <v>7</v>
      </c>
      <c r="P312" s="70">
        <f t="shared" si="41"/>
        <v>39639600.000000007</v>
      </c>
      <c r="Q312" s="41">
        <v>0</v>
      </c>
      <c r="R312" s="41">
        <v>0</v>
      </c>
      <c r="S312" s="70">
        <f t="shared" si="42"/>
        <v>0</v>
      </c>
      <c r="T312" s="41">
        <v>0</v>
      </c>
      <c r="U312" s="41">
        <v>0</v>
      </c>
      <c r="V312" s="70">
        <f t="shared" si="43"/>
        <v>0</v>
      </c>
      <c r="W312" s="41">
        <v>0</v>
      </c>
      <c r="X312" s="41">
        <v>0</v>
      </c>
      <c r="Y312" s="70">
        <f t="shared" si="49"/>
        <v>0</v>
      </c>
      <c r="Z312" s="41">
        <v>0</v>
      </c>
      <c r="AA312" s="41">
        <v>0</v>
      </c>
      <c r="AB312" s="70">
        <f t="shared" si="44"/>
        <v>0</v>
      </c>
      <c r="AC312" s="41">
        <v>100</v>
      </c>
      <c r="AD312" s="41">
        <v>7</v>
      </c>
      <c r="AE312" s="70">
        <f t="shared" si="45"/>
        <v>53199976.830000028</v>
      </c>
      <c r="AF312" s="28">
        <f t="shared" si="46"/>
        <v>150169576.83000004</v>
      </c>
      <c r="AG312" s="28">
        <f t="shared" si="47"/>
        <v>145795.70566019422</v>
      </c>
    </row>
    <row r="313" spans="1:33" ht="43.2" x14ac:dyDescent="0.3">
      <c r="A313" s="41" t="s">
        <v>696</v>
      </c>
      <c r="B313" s="41" t="s">
        <v>691</v>
      </c>
      <c r="C313" s="43" t="s">
        <v>660</v>
      </c>
      <c r="D313" s="41" t="s">
        <v>63</v>
      </c>
      <c r="E313" s="41" t="s">
        <v>398</v>
      </c>
      <c r="F313" s="41" t="s">
        <v>709</v>
      </c>
      <c r="G313" s="67">
        <v>35000</v>
      </c>
      <c r="H313" s="41">
        <v>58</v>
      </c>
      <c r="I313" s="41">
        <v>7</v>
      </c>
      <c r="J313" s="67">
        <f t="shared" si="48"/>
        <v>14210000</v>
      </c>
      <c r="K313" s="41">
        <v>58</v>
      </c>
      <c r="L313" s="41">
        <v>7</v>
      </c>
      <c r="M313" s="70">
        <f t="shared" si="40"/>
        <v>15631000</v>
      </c>
      <c r="N313" s="41">
        <v>120</v>
      </c>
      <c r="O313" s="41">
        <v>7</v>
      </c>
      <c r="P313" s="70">
        <f t="shared" si="41"/>
        <v>35574000.000000007</v>
      </c>
      <c r="Q313" s="41">
        <v>0</v>
      </c>
      <c r="R313" s="41">
        <v>0</v>
      </c>
      <c r="S313" s="70">
        <f t="shared" si="42"/>
        <v>0</v>
      </c>
      <c r="T313" s="41">
        <v>0</v>
      </c>
      <c r="U313" s="41">
        <v>0</v>
      </c>
      <c r="V313" s="70">
        <f t="shared" si="43"/>
        <v>0</v>
      </c>
      <c r="W313" s="41">
        <v>0</v>
      </c>
      <c r="X313" s="41">
        <v>0</v>
      </c>
      <c r="Y313" s="70">
        <f t="shared" si="49"/>
        <v>0</v>
      </c>
      <c r="Z313" s="41">
        <v>0</v>
      </c>
      <c r="AA313" s="41">
        <v>0</v>
      </c>
      <c r="AB313" s="70">
        <f t="shared" si="44"/>
        <v>0</v>
      </c>
      <c r="AC313" s="41">
        <v>58</v>
      </c>
      <c r="AD313" s="41">
        <v>7</v>
      </c>
      <c r="AE313" s="70">
        <f t="shared" si="45"/>
        <v>27691269.991000015</v>
      </c>
      <c r="AF313" s="28">
        <f t="shared" si="46"/>
        <v>93106269.991000026</v>
      </c>
      <c r="AG313" s="28">
        <f t="shared" si="47"/>
        <v>90394.436884466049</v>
      </c>
    </row>
    <row r="314" spans="1:33" ht="43.2" x14ac:dyDescent="0.3">
      <c r="A314" s="41" t="s">
        <v>696</v>
      </c>
      <c r="B314" s="41" t="s">
        <v>691</v>
      </c>
      <c r="C314" s="43" t="s">
        <v>660</v>
      </c>
      <c r="D314" s="41" t="s">
        <v>63</v>
      </c>
      <c r="E314" s="41" t="s">
        <v>398</v>
      </c>
      <c r="F314" s="41" t="s">
        <v>712</v>
      </c>
      <c r="G314" s="67">
        <f>1999.2/7</f>
        <v>285.60000000000002</v>
      </c>
      <c r="H314" s="41">
        <f>2*25*29</f>
        <v>1450</v>
      </c>
      <c r="I314" s="41">
        <v>7</v>
      </c>
      <c r="J314" s="67">
        <f t="shared" si="48"/>
        <v>2898840.0000000005</v>
      </c>
      <c r="K314" s="41">
        <f>2*25*29</f>
        <v>1450</v>
      </c>
      <c r="L314" s="41">
        <v>7</v>
      </c>
      <c r="M314" s="70">
        <f t="shared" si="40"/>
        <v>3188724.0000000005</v>
      </c>
      <c r="N314" s="41">
        <v>20000</v>
      </c>
      <c r="O314" s="41">
        <v>1</v>
      </c>
      <c r="P314" s="70">
        <f t="shared" si="41"/>
        <v>6911520.0000000019</v>
      </c>
      <c r="Q314" s="41">
        <v>0</v>
      </c>
      <c r="R314" s="41">
        <v>0</v>
      </c>
      <c r="S314" s="70">
        <f t="shared" si="42"/>
        <v>0</v>
      </c>
      <c r="T314" s="41">
        <v>0</v>
      </c>
      <c r="U314" s="41">
        <v>0</v>
      </c>
      <c r="V314" s="70">
        <f t="shared" si="43"/>
        <v>0</v>
      </c>
      <c r="W314" s="41">
        <v>0</v>
      </c>
      <c r="X314" s="41">
        <v>0</v>
      </c>
      <c r="Y314" s="70">
        <f t="shared" si="49"/>
        <v>0</v>
      </c>
      <c r="Z314" s="41">
        <v>0</v>
      </c>
      <c r="AA314" s="41">
        <v>0</v>
      </c>
      <c r="AB314" s="70">
        <f t="shared" si="44"/>
        <v>0</v>
      </c>
      <c r="AC314" s="41">
        <f>2*25*29</f>
        <v>1450</v>
      </c>
      <c r="AD314" s="41">
        <v>7</v>
      </c>
      <c r="AE314" s="70">
        <f t="shared" si="45"/>
        <v>5649019.0781640047</v>
      </c>
      <c r="AF314" s="28">
        <f t="shared" si="46"/>
        <v>18648103.078164008</v>
      </c>
      <c r="AG314" s="28">
        <f t="shared" si="47"/>
        <v>18104.954444819425</v>
      </c>
    </row>
    <row r="315" spans="1:33" ht="43.2" x14ac:dyDescent="0.3">
      <c r="A315" s="41" t="s">
        <v>696</v>
      </c>
      <c r="B315" s="41" t="s">
        <v>691</v>
      </c>
      <c r="C315" s="43" t="s">
        <v>660</v>
      </c>
      <c r="D315" s="41" t="s">
        <v>63</v>
      </c>
      <c r="E315" s="41" t="s">
        <v>398</v>
      </c>
      <c r="F315" s="41" t="s">
        <v>1392</v>
      </c>
      <c r="G315" s="67">
        <f>1999.2/7</f>
        <v>285.60000000000002</v>
      </c>
      <c r="H315" s="41">
        <v>22500</v>
      </c>
      <c r="I315" s="41">
        <v>1</v>
      </c>
      <c r="J315" s="67">
        <f t="shared" si="48"/>
        <v>6426000.0000000009</v>
      </c>
      <c r="K315" s="41">
        <v>22500</v>
      </c>
      <c r="L315" s="41">
        <v>1</v>
      </c>
      <c r="M315" s="70">
        <f t="shared" si="40"/>
        <v>7068600.0000000009</v>
      </c>
      <c r="N315" s="41"/>
      <c r="O315" s="41"/>
      <c r="P315" s="70">
        <f t="shared" si="41"/>
        <v>0</v>
      </c>
      <c r="Q315" s="41"/>
      <c r="R315" s="41"/>
      <c r="S315" s="70">
        <f t="shared" si="42"/>
        <v>0</v>
      </c>
      <c r="T315" s="41"/>
      <c r="U315" s="41"/>
      <c r="V315" s="70">
        <f t="shared" si="43"/>
        <v>0</v>
      </c>
      <c r="W315" s="41"/>
      <c r="X315" s="41"/>
      <c r="Y315" s="70">
        <f t="shared" si="49"/>
        <v>0</v>
      </c>
      <c r="Z315" s="41"/>
      <c r="AA315" s="41"/>
      <c r="AB315" s="70">
        <f t="shared" si="44"/>
        <v>0</v>
      </c>
      <c r="AC315" s="41">
        <v>22500</v>
      </c>
      <c r="AD315" s="41">
        <v>1</v>
      </c>
      <c r="AE315" s="70">
        <f t="shared" si="45"/>
        <v>12522456.084600009</v>
      </c>
      <c r="AF315" s="28">
        <f t="shared" si="46"/>
        <v>26017056.084600009</v>
      </c>
      <c r="AG315" s="28">
        <f t="shared" si="47"/>
        <v>25259.277752038844</v>
      </c>
    </row>
    <row r="316" spans="1:33" ht="43.2" x14ac:dyDescent="0.3">
      <c r="A316" s="41" t="s">
        <v>696</v>
      </c>
      <c r="B316" s="41" t="s">
        <v>691</v>
      </c>
      <c r="C316" s="43" t="s">
        <v>660</v>
      </c>
      <c r="D316" s="41" t="s">
        <v>63</v>
      </c>
      <c r="E316" s="41" t="s">
        <v>399</v>
      </c>
      <c r="F316" s="41" t="s">
        <v>718</v>
      </c>
      <c r="G316" s="67">
        <v>0</v>
      </c>
      <c r="H316" s="41">
        <v>0</v>
      </c>
      <c r="I316" s="41">
        <v>0</v>
      </c>
      <c r="J316" s="67">
        <f t="shared" si="48"/>
        <v>0</v>
      </c>
      <c r="K316" s="41">
        <v>0</v>
      </c>
      <c r="L316" s="41">
        <v>0</v>
      </c>
      <c r="M316" s="70">
        <f t="shared" si="40"/>
        <v>0</v>
      </c>
      <c r="N316" s="41">
        <v>0</v>
      </c>
      <c r="O316" s="41">
        <v>0</v>
      </c>
      <c r="P316" s="70">
        <f t="shared" si="41"/>
        <v>0</v>
      </c>
      <c r="Q316" s="41">
        <v>0</v>
      </c>
      <c r="R316" s="41">
        <v>0</v>
      </c>
      <c r="S316" s="70">
        <f t="shared" si="42"/>
        <v>0</v>
      </c>
      <c r="T316" s="41">
        <v>0</v>
      </c>
      <c r="U316" s="41">
        <v>0</v>
      </c>
      <c r="V316" s="70">
        <f t="shared" si="43"/>
        <v>0</v>
      </c>
      <c r="W316" s="41">
        <v>0</v>
      </c>
      <c r="X316" s="41">
        <v>0</v>
      </c>
      <c r="Y316" s="70">
        <f t="shared" si="49"/>
        <v>0</v>
      </c>
      <c r="Z316" s="41">
        <v>0</v>
      </c>
      <c r="AA316" s="41">
        <v>0</v>
      </c>
      <c r="AB316" s="70">
        <f t="shared" si="44"/>
        <v>0</v>
      </c>
      <c r="AC316" s="41">
        <v>0</v>
      </c>
      <c r="AD316" s="41">
        <v>0</v>
      </c>
      <c r="AE316" s="70">
        <f t="shared" si="45"/>
        <v>0</v>
      </c>
      <c r="AF316" s="28">
        <f t="shared" si="46"/>
        <v>0</v>
      </c>
      <c r="AG316" s="28">
        <f t="shared" si="47"/>
        <v>0</v>
      </c>
    </row>
    <row r="317" spans="1:33" ht="57.6" x14ac:dyDescent="0.3">
      <c r="A317" s="41" t="s">
        <v>696</v>
      </c>
      <c r="B317" s="41" t="s">
        <v>691</v>
      </c>
      <c r="C317" s="43" t="s">
        <v>660</v>
      </c>
      <c r="D317" s="41" t="s">
        <v>63</v>
      </c>
      <c r="E317" s="41" t="s">
        <v>400</v>
      </c>
      <c r="F317" s="41" t="s">
        <v>716</v>
      </c>
      <c r="G317" s="67">
        <v>39000</v>
      </c>
      <c r="H317" s="41">
        <v>25</v>
      </c>
      <c r="I317" s="41">
        <v>6</v>
      </c>
      <c r="J317" s="67">
        <f t="shared" si="48"/>
        <v>5850000</v>
      </c>
      <c r="K317" s="41">
        <v>25</v>
      </c>
      <c r="L317" s="41">
        <v>6</v>
      </c>
      <c r="M317" s="70">
        <f t="shared" si="40"/>
        <v>6435000</v>
      </c>
      <c r="N317" s="41">
        <v>200</v>
      </c>
      <c r="O317" s="41">
        <v>3</v>
      </c>
      <c r="P317" s="70">
        <f t="shared" si="41"/>
        <v>28314000.000000007</v>
      </c>
      <c r="Q317" s="41">
        <v>0</v>
      </c>
      <c r="R317" s="41">
        <v>0</v>
      </c>
      <c r="S317" s="70">
        <f t="shared" si="42"/>
        <v>0</v>
      </c>
      <c r="T317" s="41">
        <v>0</v>
      </c>
      <c r="U317" s="41">
        <v>0</v>
      </c>
      <c r="V317" s="70">
        <f t="shared" si="43"/>
        <v>0</v>
      </c>
      <c r="W317" s="41">
        <v>0</v>
      </c>
      <c r="X317" s="41">
        <v>0</v>
      </c>
      <c r="Y317" s="70">
        <f t="shared" si="49"/>
        <v>0</v>
      </c>
      <c r="Z317" s="41">
        <v>0</v>
      </c>
      <c r="AA317" s="41">
        <v>0</v>
      </c>
      <c r="AB317" s="70">
        <f t="shared" si="44"/>
        <v>0</v>
      </c>
      <c r="AC317" s="41">
        <v>25</v>
      </c>
      <c r="AD317" s="41">
        <v>6</v>
      </c>
      <c r="AE317" s="70">
        <f t="shared" si="45"/>
        <v>11399995.035000006</v>
      </c>
      <c r="AF317" s="28">
        <f t="shared" si="46"/>
        <v>51998995.035000011</v>
      </c>
      <c r="AG317" s="28">
        <f t="shared" si="47"/>
        <v>50484.461199029138</v>
      </c>
    </row>
    <row r="318" spans="1:33" ht="57.6" x14ac:dyDescent="0.3">
      <c r="A318" s="41" t="s">
        <v>696</v>
      </c>
      <c r="B318" s="41" t="s">
        <v>691</v>
      </c>
      <c r="C318" s="43" t="s">
        <v>660</v>
      </c>
      <c r="D318" s="41" t="s">
        <v>63</v>
      </c>
      <c r="E318" s="41" t="s">
        <v>400</v>
      </c>
      <c r="F318" s="41" t="s">
        <v>709</v>
      </c>
      <c r="G318" s="67">
        <v>35000</v>
      </c>
      <c r="H318" s="41">
        <v>25</v>
      </c>
      <c r="I318" s="41">
        <v>5</v>
      </c>
      <c r="J318" s="67">
        <f t="shared" si="48"/>
        <v>4375000</v>
      </c>
      <c r="K318" s="41">
        <v>25</v>
      </c>
      <c r="L318" s="41">
        <v>5</v>
      </c>
      <c r="M318" s="70">
        <f t="shared" si="40"/>
        <v>4812500</v>
      </c>
      <c r="N318" s="41">
        <v>200</v>
      </c>
      <c r="O318" s="41">
        <v>3</v>
      </c>
      <c r="P318" s="70">
        <f t="shared" si="41"/>
        <v>25410000.000000007</v>
      </c>
      <c r="Q318" s="41">
        <v>0</v>
      </c>
      <c r="R318" s="41">
        <v>0</v>
      </c>
      <c r="S318" s="70">
        <f t="shared" si="42"/>
        <v>0</v>
      </c>
      <c r="T318" s="41">
        <v>0</v>
      </c>
      <c r="U318" s="41">
        <v>0</v>
      </c>
      <c r="V318" s="70">
        <f t="shared" si="43"/>
        <v>0</v>
      </c>
      <c r="W318" s="41">
        <v>0</v>
      </c>
      <c r="X318" s="41">
        <v>0</v>
      </c>
      <c r="Y318" s="70">
        <f t="shared" si="49"/>
        <v>0</v>
      </c>
      <c r="Z318" s="41">
        <v>0</v>
      </c>
      <c r="AA318" s="41">
        <v>0</v>
      </c>
      <c r="AB318" s="70">
        <f t="shared" si="44"/>
        <v>0</v>
      </c>
      <c r="AC318" s="41">
        <v>25</v>
      </c>
      <c r="AD318" s="41">
        <v>5</v>
      </c>
      <c r="AE318" s="70">
        <f t="shared" si="45"/>
        <v>8525637.3125000037</v>
      </c>
      <c r="AF318" s="28">
        <f t="shared" si="46"/>
        <v>43123137.312500015</v>
      </c>
      <c r="AG318" s="28">
        <f t="shared" si="47"/>
        <v>41867.12360436895</v>
      </c>
    </row>
    <row r="319" spans="1:33" ht="57.6" x14ac:dyDescent="0.3">
      <c r="A319" s="41" t="s">
        <v>696</v>
      </c>
      <c r="B319" s="41" t="s">
        <v>691</v>
      </c>
      <c r="C319" s="43" t="s">
        <v>660</v>
      </c>
      <c r="D319" s="41" t="s">
        <v>63</v>
      </c>
      <c r="E319" s="41" t="s">
        <v>400</v>
      </c>
      <c r="F319" s="41" t="s">
        <v>712</v>
      </c>
      <c r="G319" s="67">
        <f>1999.2/7</f>
        <v>285.60000000000002</v>
      </c>
      <c r="H319" s="41">
        <f>2*25*9</f>
        <v>450</v>
      </c>
      <c r="I319" s="41">
        <v>5</v>
      </c>
      <c r="J319" s="67">
        <f t="shared" si="48"/>
        <v>642600.00000000012</v>
      </c>
      <c r="K319" s="41">
        <f>2*25*9</f>
        <v>450</v>
      </c>
      <c r="L319" s="41">
        <v>5</v>
      </c>
      <c r="M319" s="70">
        <f t="shared" si="40"/>
        <v>706860</v>
      </c>
      <c r="N319" s="41">
        <v>28000</v>
      </c>
      <c r="O319" s="41">
        <v>1</v>
      </c>
      <c r="P319" s="70">
        <f t="shared" si="41"/>
        <v>9676128.0000000019</v>
      </c>
      <c r="Q319" s="41">
        <v>0</v>
      </c>
      <c r="R319" s="41">
        <v>0</v>
      </c>
      <c r="S319" s="70">
        <f t="shared" si="42"/>
        <v>0</v>
      </c>
      <c r="T319" s="41">
        <v>0</v>
      </c>
      <c r="U319" s="41">
        <v>0</v>
      </c>
      <c r="V319" s="70">
        <f t="shared" si="43"/>
        <v>0</v>
      </c>
      <c r="W319" s="41">
        <v>0</v>
      </c>
      <c r="X319" s="41">
        <v>0</v>
      </c>
      <c r="Y319" s="70">
        <f t="shared" si="49"/>
        <v>0</v>
      </c>
      <c r="Z319" s="41">
        <v>0</v>
      </c>
      <c r="AA319" s="41">
        <v>0</v>
      </c>
      <c r="AB319" s="70">
        <f t="shared" si="44"/>
        <v>0</v>
      </c>
      <c r="AC319" s="41">
        <f>2*25*9</f>
        <v>450</v>
      </c>
      <c r="AD319" s="41">
        <v>5</v>
      </c>
      <c r="AE319" s="70">
        <f t="shared" si="45"/>
        <v>1252245.6084600009</v>
      </c>
      <c r="AF319" s="28">
        <f t="shared" si="46"/>
        <v>12277833.608460004</v>
      </c>
      <c r="AG319" s="28">
        <f t="shared" si="47"/>
        <v>11920.226804330101</v>
      </c>
    </row>
    <row r="320" spans="1:33" ht="57.6" x14ac:dyDescent="0.3">
      <c r="A320" s="41" t="s">
        <v>696</v>
      </c>
      <c r="B320" s="41" t="s">
        <v>691</v>
      </c>
      <c r="C320" s="43" t="s">
        <v>660</v>
      </c>
      <c r="D320" s="41" t="s">
        <v>63</v>
      </c>
      <c r="E320" s="41" t="s">
        <v>400</v>
      </c>
      <c r="F320" s="41" t="s">
        <v>1392</v>
      </c>
      <c r="G320" s="67">
        <f>1999.2/7</f>
        <v>285.60000000000002</v>
      </c>
      <c r="H320" s="41">
        <f>2*135*9</f>
        <v>2430</v>
      </c>
      <c r="I320" s="41">
        <v>1</v>
      </c>
      <c r="J320" s="67">
        <f t="shared" si="48"/>
        <v>694008</v>
      </c>
      <c r="K320" s="41">
        <f>2*135*9</f>
        <v>2430</v>
      </c>
      <c r="L320" s="41">
        <v>1</v>
      </c>
      <c r="M320" s="70">
        <f t="shared" si="40"/>
        <v>763408.8</v>
      </c>
      <c r="N320" s="41"/>
      <c r="O320" s="41"/>
      <c r="P320" s="70">
        <f t="shared" si="41"/>
        <v>0</v>
      </c>
      <c r="Q320" s="41"/>
      <c r="R320" s="41"/>
      <c r="S320" s="70">
        <f t="shared" si="42"/>
        <v>0</v>
      </c>
      <c r="T320" s="41"/>
      <c r="U320" s="41"/>
      <c r="V320" s="70">
        <f t="shared" si="43"/>
        <v>0</v>
      </c>
      <c r="W320" s="41"/>
      <c r="X320" s="41"/>
      <c r="Y320" s="70">
        <f t="shared" si="49"/>
        <v>0</v>
      </c>
      <c r="Z320" s="41"/>
      <c r="AA320" s="41"/>
      <c r="AB320" s="70">
        <f t="shared" si="44"/>
        <v>0</v>
      </c>
      <c r="AC320" s="41">
        <f>2*135*9</f>
        <v>2430</v>
      </c>
      <c r="AD320" s="41">
        <v>1</v>
      </c>
      <c r="AE320" s="70">
        <f t="shared" si="45"/>
        <v>1352425.257136801</v>
      </c>
      <c r="AF320" s="28">
        <f t="shared" si="46"/>
        <v>2809842.0571368011</v>
      </c>
      <c r="AG320" s="28">
        <f t="shared" si="47"/>
        <v>2728.0019972201953</v>
      </c>
    </row>
    <row r="321" spans="1:33" ht="43.2" x14ac:dyDescent="0.3">
      <c r="A321" s="41" t="s">
        <v>696</v>
      </c>
      <c r="B321" s="41" t="s">
        <v>691</v>
      </c>
      <c r="C321" s="43" t="s">
        <v>660</v>
      </c>
      <c r="D321" s="41" t="s">
        <v>64</v>
      </c>
      <c r="E321" s="41" t="s">
        <v>764</v>
      </c>
      <c r="F321" s="41" t="s">
        <v>709</v>
      </c>
      <c r="G321" s="67">
        <v>35000</v>
      </c>
      <c r="H321" s="41">
        <v>100</v>
      </c>
      <c r="I321" s="41">
        <v>5</v>
      </c>
      <c r="J321" s="67">
        <f t="shared" si="48"/>
        <v>17500000</v>
      </c>
      <c r="K321" s="41">
        <v>100</v>
      </c>
      <c r="L321" s="41">
        <v>5</v>
      </c>
      <c r="M321" s="70">
        <f t="shared" si="40"/>
        <v>19250000</v>
      </c>
      <c r="N321" s="41">
        <v>0</v>
      </c>
      <c r="O321" s="41">
        <v>0</v>
      </c>
      <c r="P321" s="70">
        <f t="shared" si="41"/>
        <v>0</v>
      </c>
      <c r="Q321" s="41">
        <v>20</v>
      </c>
      <c r="R321" s="41">
        <v>2</v>
      </c>
      <c r="S321" s="70">
        <f t="shared" si="42"/>
        <v>1863400.0000000005</v>
      </c>
      <c r="T321" s="41">
        <v>0</v>
      </c>
      <c r="U321" s="41">
        <v>0</v>
      </c>
      <c r="V321" s="70">
        <f t="shared" si="43"/>
        <v>0</v>
      </c>
      <c r="W321" s="41">
        <v>0</v>
      </c>
      <c r="X321" s="41">
        <v>0</v>
      </c>
      <c r="Y321" s="70">
        <f t="shared" si="49"/>
        <v>0</v>
      </c>
      <c r="Z321" s="41">
        <v>0</v>
      </c>
      <c r="AA321" s="41">
        <v>0</v>
      </c>
      <c r="AB321" s="70">
        <f t="shared" si="44"/>
        <v>0</v>
      </c>
      <c r="AC321" s="41">
        <v>100</v>
      </c>
      <c r="AD321" s="41">
        <v>5</v>
      </c>
      <c r="AE321" s="70">
        <f t="shared" si="45"/>
        <v>34102549.250000015</v>
      </c>
      <c r="AF321" s="28">
        <f t="shared" si="46"/>
        <v>72715949.250000015</v>
      </c>
      <c r="AG321" s="28">
        <f t="shared" si="47"/>
        <v>70598.008980582541</v>
      </c>
    </row>
    <row r="322" spans="1:33" ht="57.6" x14ac:dyDescent="0.3">
      <c r="A322" s="41" t="s">
        <v>696</v>
      </c>
      <c r="B322" s="41" t="s">
        <v>691</v>
      </c>
      <c r="C322" s="43" t="s">
        <v>660</v>
      </c>
      <c r="D322" s="41" t="s">
        <v>65</v>
      </c>
      <c r="E322" s="41" t="s">
        <v>764</v>
      </c>
      <c r="F322" s="41" t="s">
        <v>709</v>
      </c>
      <c r="G322" s="67">
        <v>35000</v>
      </c>
      <c r="H322" s="41">
        <v>100</v>
      </c>
      <c r="I322" s="41">
        <v>5</v>
      </c>
      <c r="J322" s="67">
        <f t="shared" si="48"/>
        <v>17500000</v>
      </c>
      <c r="K322" s="41">
        <v>100</v>
      </c>
      <c r="L322" s="41">
        <v>5</v>
      </c>
      <c r="M322" s="70">
        <f t="shared" si="40"/>
        <v>19250000</v>
      </c>
      <c r="N322" s="41">
        <v>0</v>
      </c>
      <c r="O322" s="41">
        <v>0</v>
      </c>
      <c r="P322" s="70">
        <f t="shared" si="41"/>
        <v>0</v>
      </c>
      <c r="Q322" s="41">
        <v>20</v>
      </c>
      <c r="R322" s="41">
        <v>2</v>
      </c>
      <c r="S322" s="70">
        <f t="shared" si="42"/>
        <v>1863400.0000000005</v>
      </c>
      <c r="T322" s="41">
        <v>0</v>
      </c>
      <c r="U322" s="41">
        <v>0</v>
      </c>
      <c r="V322" s="70">
        <f t="shared" si="43"/>
        <v>0</v>
      </c>
      <c r="W322" s="41">
        <v>0</v>
      </c>
      <c r="X322" s="41">
        <v>0</v>
      </c>
      <c r="Y322" s="70">
        <f t="shared" si="49"/>
        <v>0</v>
      </c>
      <c r="Z322" s="41">
        <v>0</v>
      </c>
      <c r="AA322" s="41">
        <v>0</v>
      </c>
      <c r="AB322" s="70">
        <f t="shared" si="44"/>
        <v>0</v>
      </c>
      <c r="AC322" s="41">
        <v>100</v>
      </c>
      <c r="AD322" s="41">
        <v>5</v>
      </c>
      <c r="AE322" s="70">
        <f t="shared" si="45"/>
        <v>34102549.250000015</v>
      </c>
      <c r="AF322" s="28">
        <f t="shared" si="46"/>
        <v>72715949.250000015</v>
      </c>
      <c r="AG322" s="28">
        <f t="shared" si="47"/>
        <v>70598.008980582541</v>
      </c>
    </row>
    <row r="323" spans="1:33" ht="43.2" x14ac:dyDescent="0.3">
      <c r="A323" s="41" t="s">
        <v>696</v>
      </c>
      <c r="B323" s="41" t="s">
        <v>691</v>
      </c>
      <c r="C323" s="43" t="s">
        <v>660</v>
      </c>
      <c r="D323" s="41" t="s">
        <v>66</v>
      </c>
      <c r="E323" s="41" t="s">
        <v>764</v>
      </c>
      <c r="F323" s="41" t="s">
        <v>709</v>
      </c>
      <c r="G323" s="67">
        <v>35000</v>
      </c>
      <c r="H323" s="41">
        <v>100</v>
      </c>
      <c r="I323" s="41">
        <v>5</v>
      </c>
      <c r="J323" s="67">
        <f t="shared" si="48"/>
        <v>17500000</v>
      </c>
      <c r="K323" s="41">
        <v>100</v>
      </c>
      <c r="L323" s="41">
        <v>5</v>
      </c>
      <c r="M323" s="70">
        <f t="shared" si="40"/>
        <v>19250000</v>
      </c>
      <c r="N323" s="41">
        <v>0</v>
      </c>
      <c r="O323" s="41">
        <v>0</v>
      </c>
      <c r="P323" s="70">
        <f t="shared" si="41"/>
        <v>0</v>
      </c>
      <c r="Q323" s="41">
        <v>0</v>
      </c>
      <c r="R323" s="41">
        <v>0</v>
      </c>
      <c r="S323" s="70">
        <f t="shared" si="42"/>
        <v>0</v>
      </c>
      <c r="T323" s="41">
        <v>0</v>
      </c>
      <c r="U323" s="41">
        <v>0</v>
      </c>
      <c r="V323" s="70">
        <f t="shared" si="43"/>
        <v>0</v>
      </c>
      <c r="W323" s="41">
        <v>0</v>
      </c>
      <c r="X323" s="41">
        <v>0</v>
      </c>
      <c r="Y323" s="70">
        <f t="shared" si="49"/>
        <v>0</v>
      </c>
      <c r="Z323" s="41">
        <v>0</v>
      </c>
      <c r="AA323" s="41">
        <v>0</v>
      </c>
      <c r="AB323" s="70">
        <f t="shared" si="44"/>
        <v>0</v>
      </c>
      <c r="AC323" s="41">
        <v>100</v>
      </c>
      <c r="AD323" s="41">
        <v>5</v>
      </c>
      <c r="AE323" s="70">
        <f t="shared" si="45"/>
        <v>34102549.250000015</v>
      </c>
      <c r="AF323" s="28">
        <f t="shared" si="46"/>
        <v>70852549.250000015</v>
      </c>
      <c r="AG323" s="28">
        <f t="shared" si="47"/>
        <v>68788.882766990311</v>
      </c>
    </row>
    <row r="324" spans="1:33" ht="43.2" x14ac:dyDescent="0.3">
      <c r="A324" s="41" t="s">
        <v>696</v>
      </c>
      <c r="B324" s="41" t="s">
        <v>691</v>
      </c>
      <c r="C324" s="43" t="s">
        <v>660</v>
      </c>
      <c r="D324" s="41" t="s">
        <v>66</v>
      </c>
      <c r="E324" s="41" t="s">
        <v>764</v>
      </c>
      <c r="F324" s="41" t="s">
        <v>716</v>
      </c>
      <c r="G324" s="67">
        <v>39000</v>
      </c>
      <c r="H324" s="41">
        <v>58</v>
      </c>
      <c r="I324" s="41">
        <v>6</v>
      </c>
      <c r="J324" s="67">
        <f t="shared" si="48"/>
        <v>13572000</v>
      </c>
      <c r="K324" s="41">
        <v>58</v>
      </c>
      <c r="L324" s="41">
        <v>6</v>
      </c>
      <c r="M324" s="70">
        <f t="shared" ref="M324:M360" si="50">($G324*1.1^1)*K324*L324</f>
        <v>14929200</v>
      </c>
      <c r="N324" s="41"/>
      <c r="O324" s="41"/>
      <c r="P324" s="70">
        <f t="shared" ref="P324:P360" si="51">($G324*1.1^2)*N324*O324</f>
        <v>0</v>
      </c>
      <c r="Q324" s="41"/>
      <c r="R324" s="41"/>
      <c r="S324" s="70">
        <f t="shared" ref="S324:S364" si="52">($G324*1.1^3)*Q324*R324</f>
        <v>0</v>
      </c>
      <c r="T324" s="41"/>
      <c r="U324" s="41"/>
      <c r="V324" s="70">
        <f t="shared" ref="V324:V360" si="53">($G324*1.1^4)*T324*U324</f>
        <v>0</v>
      </c>
      <c r="W324" s="41"/>
      <c r="X324" s="41"/>
      <c r="Y324" s="70">
        <f t="shared" si="49"/>
        <v>0</v>
      </c>
      <c r="Z324" s="41"/>
      <c r="AA324" s="41"/>
      <c r="AB324" s="70">
        <f t="shared" ref="AB324:AB360" si="54">($G324*1.1^6)*Z324*AA324</f>
        <v>0</v>
      </c>
      <c r="AC324" s="41">
        <v>58</v>
      </c>
      <c r="AD324" s="41">
        <v>6</v>
      </c>
      <c r="AE324" s="70">
        <f t="shared" ref="AE324:AE360" si="55">($G324*1.1^7)*AC324*AD324</f>
        <v>26447988.481200017</v>
      </c>
      <c r="AF324" s="28">
        <f t="shared" ref="AF324:AF363" si="56">J324+M324+P324+S324+V324+Y324+AB324+AE324</f>
        <v>54949188.481200017</v>
      </c>
      <c r="AG324" s="28">
        <f t="shared" ref="AG324:AG363" si="57">AF324/$AL$2</f>
        <v>53348.726680776716</v>
      </c>
    </row>
    <row r="325" spans="1:33" ht="43.2" x14ac:dyDescent="0.3">
      <c r="A325" s="41" t="s">
        <v>696</v>
      </c>
      <c r="B325" s="41" t="s">
        <v>691</v>
      </c>
      <c r="C325" s="43" t="s">
        <v>660</v>
      </c>
      <c r="D325" s="41" t="s">
        <v>66</v>
      </c>
      <c r="E325" s="41" t="s">
        <v>764</v>
      </c>
      <c r="F325" s="41" t="s">
        <v>712</v>
      </c>
      <c r="G325" s="67">
        <f>1999.2/7</f>
        <v>285.60000000000002</v>
      </c>
      <c r="H325" s="41">
        <f>2*25*29</f>
        <v>1450</v>
      </c>
      <c r="I325" s="41">
        <v>5</v>
      </c>
      <c r="J325" s="67">
        <f t="shared" si="48"/>
        <v>2070600.0000000002</v>
      </c>
      <c r="K325" s="41">
        <f>2*25*29</f>
        <v>1450</v>
      </c>
      <c r="L325" s="41">
        <v>5</v>
      </c>
      <c r="M325" s="70">
        <f t="shared" si="50"/>
        <v>2277660.0000000005</v>
      </c>
      <c r="N325" s="41"/>
      <c r="O325" s="41"/>
      <c r="P325" s="70">
        <f t="shared" si="51"/>
        <v>0</v>
      </c>
      <c r="Q325" s="41"/>
      <c r="R325" s="41"/>
      <c r="S325" s="70">
        <f t="shared" si="52"/>
        <v>0</v>
      </c>
      <c r="T325" s="41"/>
      <c r="U325" s="41"/>
      <c r="V325" s="70">
        <f t="shared" si="53"/>
        <v>0</v>
      </c>
      <c r="W325" s="41"/>
      <c r="X325" s="41"/>
      <c r="Y325" s="70">
        <f t="shared" si="49"/>
        <v>0</v>
      </c>
      <c r="Z325" s="41"/>
      <c r="AA325" s="41"/>
      <c r="AB325" s="70">
        <f t="shared" si="54"/>
        <v>0</v>
      </c>
      <c r="AC325" s="41">
        <f>2*25*29</f>
        <v>1450</v>
      </c>
      <c r="AD325" s="41">
        <v>5</v>
      </c>
      <c r="AE325" s="70">
        <f t="shared" si="55"/>
        <v>4035013.6272600032</v>
      </c>
      <c r="AF325" s="28">
        <f t="shared" si="56"/>
        <v>8383273.6272600042</v>
      </c>
      <c r="AG325" s="28">
        <f t="shared" si="57"/>
        <v>8139.1006089902949</v>
      </c>
    </row>
    <row r="326" spans="1:33" ht="43.2" x14ac:dyDescent="0.3">
      <c r="A326" s="41" t="s">
        <v>696</v>
      </c>
      <c r="B326" s="41" t="s">
        <v>691</v>
      </c>
      <c r="C326" s="43" t="s">
        <v>660</v>
      </c>
      <c r="D326" s="41" t="s">
        <v>66</v>
      </c>
      <c r="E326" s="41" t="s">
        <v>764</v>
      </c>
      <c r="F326" s="41" t="s">
        <v>1392</v>
      </c>
      <c r="G326" s="67">
        <f>1999.2/7</f>
        <v>285.60000000000002</v>
      </c>
      <c r="H326" s="41">
        <v>22500</v>
      </c>
      <c r="I326" s="41">
        <v>1</v>
      </c>
      <c r="J326" s="67">
        <f t="shared" si="48"/>
        <v>6426000.0000000009</v>
      </c>
      <c r="K326" s="41">
        <v>22500</v>
      </c>
      <c r="L326" s="41">
        <v>1</v>
      </c>
      <c r="M326" s="70">
        <f t="shared" si="50"/>
        <v>7068600.0000000009</v>
      </c>
      <c r="N326" s="41"/>
      <c r="O326" s="41"/>
      <c r="P326" s="70">
        <f t="shared" si="51"/>
        <v>0</v>
      </c>
      <c r="Q326" s="41"/>
      <c r="R326" s="41"/>
      <c r="S326" s="70">
        <f t="shared" si="52"/>
        <v>0</v>
      </c>
      <c r="T326" s="41"/>
      <c r="U326" s="41"/>
      <c r="V326" s="70">
        <f t="shared" si="53"/>
        <v>0</v>
      </c>
      <c r="W326" s="41"/>
      <c r="X326" s="41"/>
      <c r="Y326" s="70">
        <f t="shared" ref="Y326:Y365" si="58">($G326*1.1^5)*W326*X326</f>
        <v>0</v>
      </c>
      <c r="Z326" s="41"/>
      <c r="AA326" s="41"/>
      <c r="AB326" s="70">
        <f t="shared" si="54"/>
        <v>0</v>
      </c>
      <c r="AC326" s="41">
        <v>22500</v>
      </c>
      <c r="AD326" s="41">
        <v>1</v>
      </c>
      <c r="AE326" s="70">
        <f t="shared" si="55"/>
        <v>12522456.084600009</v>
      </c>
      <c r="AF326" s="28">
        <f t="shared" si="56"/>
        <v>26017056.084600009</v>
      </c>
      <c r="AG326" s="28">
        <f t="shared" si="57"/>
        <v>25259.277752038844</v>
      </c>
    </row>
    <row r="327" spans="1:33" ht="43.2" x14ac:dyDescent="0.3">
      <c r="A327" s="41" t="s">
        <v>696</v>
      </c>
      <c r="B327" s="41" t="s">
        <v>691</v>
      </c>
      <c r="C327" s="43" t="s">
        <v>660</v>
      </c>
      <c r="D327" s="41" t="s">
        <v>66</v>
      </c>
      <c r="E327" s="41" t="s">
        <v>393</v>
      </c>
      <c r="F327" s="41" t="s">
        <v>709</v>
      </c>
      <c r="G327" s="67">
        <v>35000</v>
      </c>
      <c r="H327" s="41">
        <v>100</v>
      </c>
      <c r="I327" s="41">
        <v>2</v>
      </c>
      <c r="J327" s="67">
        <f t="shared" si="48"/>
        <v>7000000</v>
      </c>
      <c r="K327" s="41">
        <v>100</v>
      </c>
      <c r="L327" s="41">
        <v>2</v>
      </c>
      <c r="M327" s="70">
        <f t="shared" si="50"/>
        <v>7700000</v>
      </c>
      <c r="N327" s="41">
        <v>0</v>
      </c>
      <c r="O327" s="41">
        <v>0</v>
      </c>
      <c r="P327" s="70">
        <f t="shared" si="51"/>
        <v>0</v>
      </c>
      <c r="Q327" s="41">
        <v>0</v>
      </c>
      <c r="R327" s="41">
        <v>0</v>
      </c>
      <c r="S327" s="70">
        <f t="shared" si="52"/>
        <v>0</v>
      </c>
      <c r="T327" s="41">
        <v>0</v>
      </c>
      <c r="U327" s="41">
        <v>0</v>
      </c>
      <c r="V327" s="70">
        <f t="shared" si="53"/>
        <v>0</v>
      </c>
      <c r="W327" s="41">
        <v>0</v>
      </c>
      <c r="X327" s="41">
        <v>0</v>
      </c>
      <c r="Y327" s="70">
        <f t="shared" si="58"/>
        <v>0</v>
      </c>
      <c r="Z327" s="41">
        <v>0</v>
      </c>
      <c r="AA327" s="41">
        <v>0</v>
      </c>
      <c r="AB327" s="70">
        <f t="shared" si="54"/>
        <v>0</v>
      </c>
      <c r="AC327" s="41">
        <v>100</v>
      </c>
      <c r="AD327" s="41">
        <v>2</v>
      </c>
      <c r="AE327" s="70">
        <f t="shared" si="55"/>
        <v>13641019.700000007</v>
      </c>
      <c r="AF327" s="28">
        <f t="shared" si="56"/>
        <v>28341019.700000007</v>
      </c>
      <c r="AG327" s="28">
        <f t="shared" si="57"/>
        <v>27515.553106796124</v>
      </c>
    </row>
    <row r="328" spans="1:33" ht="43.2" x14ac:dyDescent="0.3">
      <c r="A328" s="41" t="s">
        <v>696</v>
      </c>
      <c r="B328" s="41" t="s">
        <v>691</v>
      </c>
      <c r="C328" s="43" t="s">
        <v>660</v>
      </c>
      <c r="D328" s="41" t="s">
        <v>66</v>
      </c>
      <c r="E328" s="41" t="s">
        <v>393</v>
      </c>
      <c r="F328" s="41" t="s">
        <v>716</v>
      </c>
      <c r="G328" s="67">
        <v>39000</v>
      </c>
      <c r="H328" s="41">
        <v>58</v>
      </c>
      <c r="I328" s="41">
        <v>2</v>
      </c>
      <c r="J328" s="67">
        <f t="shared" si="48"/>
        <v>4524000</v>
      </c>
      <c r="K328" s="41">
        <v>58</v>
      </c>
      <c r="L328" s="41">
        <v>2</v>
      </c>
      <c r="M328" s="70">
        <f t="shared" si="50"/>
        <v>4976400</v>
      </c>
      <c r="N328" s="41"/>
      <c r="O328" s="41"/>
      <c r="P328" s="70">
        <f t="shared" si="51"/>
        <v>0</v>
      </c>
      <c r="Q328" s="41"/>
      <c r="R328" s="41"/>
      <c r="S328" s="70">
        <f t="shared" si="52"/>
        <v>0</v>
      </c>
      <c r="T328" s="41"/>
      <c r="U328" s="41"/>
      <c r="V328" s="70">
        <f t="shared" si="53"/>
        <v>0</v>
      </c>
      <c r="W328" s="41"/>
      <c r="X328" s="41"/>
      <c r="Y328" s="70">
        <f t="shared" si="58"/>
        <v>0</v>
      </c>
      <c r="Z328" s="41"/>
      <c r="AA328" s="41"/>
      <c r="AB328" s="70">
        <f t="shared" si="54"/>
        <v>0</v>
      </c>
      <c r="AC328" s="41">
        <v>58</v>
      </c>
      <c r="AD328" s="41">
        <v>2</v>
      </c>
      <c r="AE328" s="70">
        <f t="shared" si="55"/>
        <v>8815996.1604000051</v>
      </c>
      <c r="AF328" s="28">
        <f t="shared" si="56"/>
        <v>18316396.160400003</v>
      </c>
      <c r="AG328" s="28">
        <f t="shared" si="57"/>
        <v>17782.908893592237</v>
      </c>
    </row>
    <row r="329" spans="1:33" ht="43.2" x14ac:dyDescent="0.3">
      <c r="A329" s="41" t="s">
        <v>696</v>
      </c>
      <c r="B329" s="41" t="s">
        <v>691</v>
      </c>
      <c r="C329" s="43" t="s">
        <v>660</v>
      </c>
      <c r="D329" s="41" t="s">
        <v>66</v>
      </c>
      <c r="E329" s="41" t="s">
        <v>393</v>
      </c>
      <c r="F329" s="41" t="s">
        <v>712</v>
      </c>
      <c r="G329" s="67">
        <f>1999.2/7</f>
        <v>285.60000000000002</v>
      </c>
      <c r="H329" s="41">
        <f>2*25*29</f>
        <v>1450</v>
      </c>
      <c r="I329" s="41">
        <v>2</v>
      </c>
      <c r="J329" s="67">
        <f t="shared" si="48"/>
        <v>828240.00000000012</v>
      </c>
      <c r="K329" s="41">
        <f>2*25*29</f>
        <v>1450</v>
      </c>
      <c r="L329" s="41">
        <v>2</v>
      </c>
      <c r="M329" s="70">
        <f t="shared" si="50"/>
        <v>911064.00000000012</v>
      </c>
      <c r="N329" s="41"/>
      <c r="O329" s="41"/>
      <c r="P329" s="70">
        <f t="shared" si="51"/>
        <v>0</v>
      </c>
      <c r="Q329" s="41"/>
      <c r="R329" s="41"/>
      <c r="S329" s="70">
        <f t="shared" si="52"/>
        <v>0</v>
      </c>
      <c r="T329" s="41"/>
      <c r="U329" s="41"/>
      <c r="V329" s="70">
        <f t="shared" si="53"/>
        <v>0</v>
      </c>
      <c r="W329" s="41"/>
      <c r="X329" s="41"/>
      <c r="Y329" s="70">
        <f t="shared" si="58"/>
        <v>0</v>
      </c>
      <c r="Z329" s="41"/>
      <c r="AA329" s="41"/>
      <c r="AB329" s="70">
        <f t="shared" si="54"/>
        <v>0</v>
      </c>
      <c r="AC329" s="41">
        <f>2*25*29</f>
        <v>1450</v>
      </c>
      <c r="AD329" s="41">
        <v>2</v>
      </c>
      <c r="AE329" s="70">
        <f t="shared" si="55"/>
        <v>1614005.4509040012</v>
      </c>
      <c r="AF329" s="28">
        <f t="shared" si="56"/>
        <v>3353309.4509040015</v>
      </c>
      <c r="AG329" s="28">
        <f t="shared" si="57"/>
        <v>3255.6402435961181</v>
      </c>
    </row>
    <row r="330" spans="1:33" ht="43.2" x14ac:dyDescent="0.3">
      <c r="A330" s="41" t="s">
        <v>696</v>
      </c>
      <c r="B330" s="41" t="s">
        <v>691</v>
      </c>
      <c r="C330" s="43" t="s">
        <v>660</v>
      </c>
      <c r="D330" s="41" t="s">
        <v>66</v>
      </c>
      <c r="E330" s="41" t="s">
        <v>393</v>
      </c>
      <c r="F330" s="41" t="s">
        <v>1392</v>
      </c>
      <c r="G330" s="67">
        <f>1999.2/7</f>
        <v>285.60000000000002</v>
      </c>
      <c r="H330" s="41">
        <v>22500</v>
      </c>
      <c r="I330" s="41">
        <v>1</v>
      </c>
      <c r="J330" s="67">
        <f t="shared" ref="J330:J360" si="59">G330*H330*I330</f>
        <v>6426000.0000000009</v>
      </c>
      <c r="K330" s="41">
        <v>22500</v>
      </c>
      <c r="L330" s="41">
        <v>1</v>
      </c>
      <c r="M330" s="70">
        <f t="shared" si="50"/>
        <v>7068600.0000000009</v>
      </c>
      <c r="N330" s="41"/>
      <c r="O330" s="41"/>
      <c r="P330" s="70">
        <f t="shared" si="51"/>
        <v>0</v>
      </c>
      <c r="Q330" s="41"/>
      <c r="R330" s="41"/>
      <c r="S330" s="70">
        <f t="shared" si="52"/>
        <v>0</v>
      </c>
      <c r="T330" s="41"/>
      <c r="U330" s="41"/>
      <c r="V330" s="70">
        <f t="shared" si="53"/>
        <v>0</v>
      </c>
      <c r="W330" s="41"/>
      <c r="X330" s="41"/>
      <c r="Y330" s="70">
        <f t="shared" si="58"/>
        <v>0</v>
      </c>
      <c r="Z330" s="41"/>
      <c r="AA330" s="41"/>
      <c r="AB330" s="70">
        <f t="shared" si="54"/>
        <v>0</v>
      </c>
      <c r="AC330" s="41">
        <v>22500</v>
      </c>
      <c r="AD330" s="41">
        <v>1</v>
      </c>
      <c r="AE330" s="70">
        <f t="shared" si="55"/>
        <v>12522456.084600009</v>
      </c>
      <c r="AF330" s="28">
        <f t="shared" si="56"/>
        <v>26017056.084600009</v>
      </c>
      <c r="AG330" s="28">
        <f t="shared" si="57"/>
        <v>25259.277752038844</v>
      </c>
    </row>
    <row r="331" spans="1:33" ht="43.2" x14ac:dyDescent="0.3">
      <c r="A331" s="41" t="s">
        <v>696</v>
      </c>
      <c r="B331" s="41" t="s">
        <v>691</v>
      </c>
      <c r="C331" s="43" t="s">
        <v>660</v>
      </c>
      <c r="D331" s="41" t="s">
        <v>66</v>
      </c>
      <c r="E331" s="41" t="s">
        <v>401</v>
      </c>
      <c r="F331" s="41" t="s">
        <v>709</v>
      </c>
      <c r="G331" s="67">
        <v>35000</v>
      </c>
      <c r="H331" s="41">
        <v>100</v>
      </c>
      <c r="I331" s="41">
        <v>1</v>
      </c>
      <c r="J331" s="67">
        <f t="shared" si="59"/>
        <v>3500000</v>
      </c>
      <c r="K331" s="41">
        <v>100</v>
      </c>
      <c r="L331" s="41">
        <v>1</v>
      </c>
      <c r="M331" s="70">
        <f t="shared" si="50"/>
        <v>3850000</v>
      </c>
      <c r="N331" s="41">
        <v>0</v>
      </c>
      <c r="O331" s="41">
        <v>0</v>
      </c>
      <c r="P331" s="70">
        <f t="shared" si="51"/>
        <v>0</v>
      </c>
      <c r="Q331" s="41">
        <v>0</v>
      </c>
      <c r="R331" s="41">
        <v>0</v>
      </c>
      <c r="S331" s="70">
        <f t="shared" si="52"/>
        <v>0</v>
      </c>
      <c r="T331" s="41">
        <v>0</v>
      </c>
      <c r="U331" s="41">
        <v>0</v>
      </c>
      <c r="V331" s="70">
        <f t="shared" si="53"/>
        <v>0</v>
      </c>
      <c r="W331" s="41">
        <v>0</v>
      </c>
      <c r="X331" s="41">
        <v>0</v>
      </c>
      <c r="Y331" s="70">
        <f t="shared" si="58"/>
        <v>0</v>
      </c>
      <c r="Z331" s="41">
        <v>0</v>
      </c>
      <c r="AA331" s="41">
        <v>0</v>
      </c>
      <c r="AB331" s="70">
        <f t="shared" si="54"/>
        <v>0</v>
      </c>
      <c r="AC331" s="41">
        <v>100</v>
      </c>
      <c r="AD331" s="41">
        <v>1</v>
      </c>
      <c r="AE331" s="70">
        <f t="shared" si="55"/>
        <v>6820509.8500000034</v>
      </c>
      <c r="AF331" s="28">
        <f t="shared" si="56"/>
        <v>14170509.850000003</v>
      </c>
      <c r="AG331" s="28">
        <f t="shared" si="57"/>
        <v>13757.776553398062</v>
      </c>
    </row>
    <row r="332" spans="1:33" ht="43.2" x14ac:dyDescent="0.3">
      <c r="A332" s="41" t="s">
        <v>696</v>
      </c>
      <c r="B332" s="41" t="s">
        <v>691</v>
      </c>
      <c r="C332" s="43" t="s">
        <v>660</v>
      </c>
      <c r="D332" s="41" t="s">
        <v>66</v>
      </c>
      <c r="E332" s="41" t="s">
        <v>401</v>
      </c>
      <c r="F332" s="41" t="s">
        <v>716</v>
      </c>
      <c r="G332" s="67">
        <v>39000</v>
      </c>
      <c r="H332" s="41">
        <v>58</v>
      </c>
      <c r="I332" s="41">
        <v>1</v>
      </c>
      <c r="J332" s="67">
        <f t="shared" si="59"/>
        <v>2262000</v>
      </c>
      <c r="K332" s="41">
        <v>58</v>
      </c>
      <c r="L332" s="41">
        <v>1</v>
      </c>
      <c r="M332" s="70">
        <f t="shared" si="50"/>
        <v>2488200</v>
      </c>
      <c r="N332" s="41">
        <v>0</v>
      </c>
      <c r="O332" s="41">
        <v>0</v>
      </c>
      <c r="P332" s="70">
        <f t="shared" si="51"/>
        <v>0</v>
      </c>
      <c r="Q332" s="41">
        <v>0</v>
      </c>
      <c r="R332" s="41">
        <v>0</v>
      </c>
      <c r="S332" s="70">
        <f t="shared" si="52"/>
        <v>0</v>
      </c>
      <c r="T332" s="41">
        <v>0</v>
      </c>
      <c r="U332" s="41">
        <v>0</v>
      </c>
      <c r="V332" s="70">
        <f t="shared" si="53"/>
        <v>0</v>
      </c>
      <c r="W332" s="41">
        <v>0</v>
      </c>
      <c r="X332" s="41">
        <v>0</v>
      </c>
      <c r="Y332" s="70">
        <f t="shared" si="58"/>
        <v>0</v>
      </c>
      <c r="Z332" s="41">
        <v>0</v>
      </c>
      <c r="AA332" s="41">
        <v>0</v>
      </c>
      <c r="AB332" s="70">
        <f t="shared" si="54"/>
        <v>0</v>
      </c>
      <c r="AC332" s="41">
        <v>58</v>
      </c>
      <c r="AD332" s="41">
        <v>1</v>
      </c>
      <c r="AE332" s="70">
        <f t="shared" si="55"/>
        <v>4407998.0802000025</v>
      </c>
      <c r="AF332" s="28">
        <f t="shared" si="56"/>
        <v>9158198.0802000016</v>
      </c>
      <c r="AG332" s="28">
        <f t="shared" si="57"/>
        <v>8891.4544467961186</v>
      </c>
    </row>
    <row r="333" spans="1:33" ht="43.2" x14ac:dyDescent="0.3">
      <c r="A333" s="41" t="s">
        <v>696</v>
      </c>
      <c r="B333" s="41" t="s">
        <v>691</v>
      </c>
      <c r="C333" s="43" t="s">
        <v>660</v>
      </c>
      <c r="D333" s="41" t="s">
        <v>66</v>
      </c>
      <c r="E333" s="41" t="s">
        <v>401</v>
      </c>
      <c r="F333" s="41" t="s">
        <v>712</v>
      </c>
      <c r="G333" s="67">
        <f>1999.2/7</f>
        <v>285.60000000000002</v>
      </c>
      <c r="H333" s="41">
        <f>2*25*29</f>
        <v>1450</v>
      </c>
      <c r="I333" s="41">
        <v>1</v>
      </c>
      <c r="J333" s="67">
        <f t="shared" si="59"/>
        <v>414120.00000000006</v>
      </c>
      <c r="K333" s="41">
        <f>2*25*29</f>
        <v>1450</v>
      </c>
      <c r="L333" s="41">
        <v>1</v>
      </c>
      <c r="M333" s="70">
        <f t="shared" si="50"/>
        <v>455532.00000000006</v>
      </c>
      <c r="N333" s="41">
        <v>0</v>
      </c>
      <c r="O333" s="41">
        <v>0</v>
      </c>
      <c r="P333" s="70">
        <f t="shared" si="51"/>
        <v>0</v>
      </c>
      <c r="Q333" s="41">
        <v>0</v>
      </c>
      <c r="R333" s="41">
        <v>0</v>
      </c>
      <c r="S333" s="70">
        <f t="shared" si="52"/>
        <v>0</v>
      </c>
      <c r="T333" s="41">
        <v>0</v>
      </c>
      <c r="U333" s="41">
        <v>0</v>
      </c>
      <c r="V333" s="70">
        <f t="shared" si="53"/>
        <v>0</v>
      </c>
      <c r="W333" s="41">
        <v>0</v>
      </c>
      <c r="X333" s="41">
        <v>0</v>
      </c>
      <c r="Y333" s="70">
        <f t="shared" si="58"/>
        <v>0</v>
      </c>
      <c r="Z333" s="41">
        <v>0</v>
      </c>
      <c r="AA333" s="41">
        <v>0</v>
      </c>
      <c r="AB333" s="70">
        <f t="shared" si="54"/>
        <v>0</v>
      </c>
      <c r="AC333" s="41">
        <f>2*25*29</f>
        <v>1450</v>
      </c>
      <c r="AD333" s="41">
        <v>1</v>
      </c>
      <c r="AE333" s="70">
        <f t="shared" si="55"/>
        <v>807002.72545200062</v>
      </c>
      <c r="AF333" s="28">
        <f t="shared" si="56"/>
        <v>1676654.7254520007</v>
      </c>
      <c r="AG333" s="28">
        <f t="shared" si="57"/>
        <v>1627.8201217980591</v>
      </c>
    </row>
    <row r="334" spans="1:33" ht="43.2" x14ac:dyDescent="0.3">
      <c r="A334" s="41" t="s">
        <v>696</v>
      </c>
      <c r="B334" s="41" t="s">
        <v>691</v>
      </c>
      <c r="C334" s="43" t="s">
        <v>660</v>
      </c>
      <c r="D334" s="41" t="s">
        <v>66</v>
      </c>
      <c r="E334" s="41" t="s">
        <v>401</v>
      </c>
      <c r="F334" s="41" t="s">
        <v>1392</v>
      </c>
      <c r="G334" s="67">
        <f>1999.2/7</f>
        <v>285.60000000000002</v>
      </c>
      <c r="H334" s="41">
        <v>22500</v>
      </c>
      <c r="I334" s="41">
        <v>1</v>
      </c>
      <c r="J334" s="67">
        <f t="shared" si="59"/>
        <v>6426000.0000000009</v>
      </c>
      <c r="K334" s="41">
        <v>22500</v>
      </c>
      <c r="L334" s="41">
        <v>1</v>
      </c>
      <c r="M334" s="70">
        <f t="shared" si="50"/>
        <v>7068600.0000000009</v>
      </c>
      <c r="N334" s="41"/>
      <c r="O334" s="41"/>
      <c r="P334" s="70">
        <f t="shared" si="51"/>
        <v>0</v>
      </c>
      <c r="Q334" s="41"/>
      <c r="R334" s="41"/>
      <c r="S334" s="70">
        <f t="shared" si="52"/>
        <v>0</v>
      </c>
      <c r="T334" s="41"/>
      <c r="U334" s="41"/>
      <c r="V334" s="70">
        <f t="shared" si="53"/>
        <v>0</v>
      </c>
      <c r="W334" s="41"/>
      <c r="X334" s="41"/>
      <c r="Y334" s="70">
        <f t="shared" si="58"/>
        <v>0</v>
      </c>
      <c r="Z334" s="41"/>
      <c r="AA334" s="41"/>
      <c r="AB334" s="70">
        <f t="shared" si="54"/>
        <v>0</v>
      </c>
      <c r="AC334" s="41">
        <v>22500</v>
      </c>
      <c r="AD334" s="41">
        <v>1</v>
      </c>
      <c r="AE334" s="70">
        <f t="shared" si="55"/>
        <v>12522456.084600009</v>
      </c>
      <c r="AF334" s="28">
        <f t="shared" si="56"/>
        <v>26017056.084600009</v>
      </c>
      <c r="AG334" s="28">
        <f t="shared" si="57"/>
        <v>25259.277752038844</v>
      </c>
    </row>
    <row r="335" spans="1:33" ht="43.2" x14ac:dyDescent="0.3">
      <c r="A335" s="41" t="s">
        <v>696</v>
      </c>
      <c r="B335" s="41" t="s">
        <v>691</v>
      </c>
      <c r="C335" s="43" t="s">
        <v>660</v>
      </c>
      <c r="D335" s="41" t="s">
        <v>66</v>
      </c>
      <c r="E335" s="41" t="s">
        <v>402</v>
      </c>
      <c r="F335" s="41" t="s">
        <v>718</v>
      </c>
      <c r="G335" s="67">
        <v>0</v>
      </c>
      <c r="H335" s="41"/>
      <c r="I335" s="41">
        <v>0</v>
      </c>
      <c r="J335" s="67">
        <f t="shared" si="59"/>
        <v>0</v>
      </c>
      <c r="K335" s="41"/>
      <c r="L335" s="41">
        <v>0</v>
      </c>
      <c r="M335" s="70">
        <f t="shared" si="50"/>
        <v>0</v>
      </c>
      <c r="N335" s="41">
        <v>0</v>
      </c>
      <c r="O335" s="41">
        <v>0</v>
      </c>
      <c r="P335" s="70">
        <f t="shared" si="51"/>
        <v>0</v>
      </c>
      <c r="Q335" s="41">
        <v>0</v>
      </c>
      <c r="R335" s="41">
        <v>0</v>
      </c>
      <c r="S335" s="70">
        <f t="shared" si="52"/>
        <v>0</v>
      </c>
      <c r="T335" s="41">
        <v>0</v>
      </c>
      <c r="U335" s="41">
        <v>0</v>
      </c>
      <c r="V335" s="70">
        <f t="shared" si="53"/>
        <v>0</v>
      </c>
      <c r="W335" s="41">
        <v>0</v>
      </c>
      <c r="X335" s="41">
        <v>0</v>
      </c>
      <c r="Y335" s="70">
        <f t="shared" si="58"/>
        <v>0</v>
      </c>
      <c r="Z335" s="41">
        <v>0</v>
      </c>
      <c r="AA335" s="41">
        <v>0</v>
      </c>
      <c r="AB335" s="70">
        <f t="shared" si="54"/>
        <v>0</v>
      </c>
      <c r="AC335" s="41"/>
      <c r="AD335" s="41">
        <v>0</v>
      </c>
      <c r="AE335" s="70">
        <f t="shared" si="55"/>
        <v>0</v>
      </c>
      <c r="AF335" s="28">
        <f t="shared" si="56"/>
        <v>0</v>
      </c>
      <c r="AG335" s="28">
        <f t="shared" si="57"/>
        <v>0</v>
      </c>
    </row>
    <row r="336" spans="1:33" ht="43.2" x14ac:dyDescent="0.3">
      <c r="A336" s="41" t="s">
        <v>696</v>
      </c>
      <c r="B336" s="41" t="s">
        <v>691</v>
      </c>
      <c r="C336" s="43" t="s">
        <v>660</v>
      </c>
      <c r="D336" s="41" t="s">
        <v>67</v>
      </c>
      <c r="E336" s="41" t="s">
        <v>403</v>
      </c>
      <c r="F336" s="41" t="s">
        <v>716</v>
      </c>
      <c r="G336" s="67">
        <v>39000</v>
      </c>
      <c r="H336" s="41">
        <v>25</v>
      </c>
      <c r="I336" s="41">
        <v>6</v>
      </c>
      <c r="J336" s="67">
        <f t="shared" si="59"/>
        <v>5850000</v>
      </c>
      <c r="K336" s="41">
        <v>25</v>
      </c>
      <c r="L336" s="41">
        <v>6</v>
      </c>
      <c r="M336" s="70">
        <f t="shared" si="50"/>
        <v>6435000</v>
      </c>
      <c r="N336" s="41">
        <v>0</v>
      </c>
      <c r="O336" s="41">
        <v>0</v>
      </c>
      <c r="P336" s="70">
        <f t="shared" si="51"/>
        <v>0</v>
      </c>
      <c r="Q336" s="41">
        <v>0</v>
      </c>
      <c r="R336" s="41">
        <v>0</v>
      </c>
      <c r="S336" s="70">
        <f t="shared" si="52"/>
        <v>0</v>
      </c>
      <c r="T336" s="41">
        <v>0</v>
      </c>
      <c r="U336" s="41">
        <v>0</v>
      </c>
      <c r="V336" s="70">
        <f t="shared" si="53"/>
        <v>0</v>
      </c>
      <c r="W336" s="41">
        <v>0</v>
      </c>
      <c r="X336" s="41">
        <v>0</v>
      </c>
      <c r="Y336" s="70">
        <f t="shared" si="58"/>
        <v>0</v>
      </c>
      <c r="Z336" s="41">
        <v>0</v>
      </c>
      <c r="AA336" s="41">
        <v>0</v>
      </c>
      <c r="AB336" s="70">
        <f t="shared" si="54"/>
        <v>0</v>
      </c>
      <c r="AC336" s="41">
        <v>25</v>
      </c>
      <c r="AD336" s="41">
        <v>6</v>
      </c>
      <c r="AE336" s="70">
        <f t="shared" si="55"/>
        <v>11399995.035000006</v>
      </c>
      <c r="AF336" s="28">
        <f t="shared" si="56"/>
        <v>23684995.035000004</v>
      </c>
      <c r="AG336" s="28">
        <f t="shared" si="57"/>
        <v>22995.140810679615</v>
      </c>
    </row>
    <row r="337" spans="1:33" ht="43.2" x14ac:dyDescent="0.3">
      <c r="A337" s="41" t="s">
        <v>696</v>
      </c>
      <c r="B337" s="41" t="s">
        <v>691</v>
      </c>
      <c r="C337" s="43" t="s">
        <v>660</v>
      </c>
      <c r="D337" s="41" t="s">
        <v>67</v>
      </c>
      <c r="E337" s="41" t="s">
        <v>403</v>
      </c>
      <c r="F337" s="41" t="s">
        <v>709</v>
      </c>
      <c r="G337" s="67">
        <v>35000</v>
      </c>
      <c r="H337" s="41">
        <v>25</v>
      </c>
      <c r="I337" s="41">
        <v>5</v>
      </c>
      <c r="J337" s="67">
        <f t="shared" si="59"/>
        <v>4375000</v>
      </c>
      <c r="K337" s="41">
        <v>25</v>
      </c>
      <c r="L337" s="41">
        <v>5</v>
      </c>
      <c r="M337" s="70">
        <f t="shared" si="50"/>
        <v>4812500</v>
      </c>
      <c r="N337" s="41">
        <v>0</v>
      </c>
      <c r="O337" s="41">
        <v>0</v>
      </c>
      <c r="P337" s="70">
        <f t="shared" si="51"/>
        <v>0</v>
      </c>
      <c r="Q337" s="41">
        <v>0</v>
      </c>
      <c r="R337" s="41">
        <v>0</v>
      </c>
      <c r="S337" s="70">
        <f t="shared" si="52"/>
        <v>0</v>
      </c>
      <c r="T337" s="41">
        <v>0</v>
      </c>
      <c r="U337" s="41">
        <v>0</v>
      </c>
      <c r="V337" s="70">
        <f t="shared" si="53"/>
        <v>0</v>
      </c>
      <c r="W337" s="41">
        <v>0</v>
      </c>
      <c r="X337" s="41">
        <v>0</v>
      </c>
      <c r="Y337" s="70">
        <f t="shared" si="58"/>
        <v>0</v>
      </c>
      <c r="Z337" s="41">
        <v>0</v>
      </c>
      <c r="AA337" s="41">
        <v>0</v>
      </c>
      <c r="AB337" s="70">
        <f t="shared" si="54"/>
        <v>0</v>
      </c>
      <c r="AC337" s="41">
        <v>25</v>
      </c>
      <c r="AD337" s="41">
        <v>5</v>
      </c>
      <c r="AE337" s="70">
        <f t="shared" si="55"/>
        <v>8525637.3125000037</v>
      </c>
      <c r="AF337" s="28">
        <f t="shared" si="56"/>
        <v>17713137.312500004</v>
      </c>
      <c r="AG337" s="28">
        <f t="shared" si="57"/>
        <v>17197.220691747578</v>
      </c>
    </row>
    <row r="338" spans="1:33" ht="43.2" x14ac:dyDescent="0.3">
      <c r="A338" s="41" t="s">
        <v>696</v>
      </c>
      <c r="B338" s="41" t="s">
        <v>691</v>
      </c>
      <c r="C338" s="43" t="s">
        <v>660</v>
      </c>
      <c r="D338" s="41" t="s">
        <v>67</v>
      </c>
      <c r="E338" s="41" t="s">
        <v>403</v>
      </c>
      <c r="F338" s="41" t="s">
        <v>712</v>
      </c>
      <c r="G338" s="67">
        <f>1999.2/7</f>
        <v>285.60000000000002</v>
      </c>
      <c r="H338" s="41">
        <f>2*25*9</f>
        <v>450</v>
      </c>
      <c r="I338" s="41">
        <v>5</v>
      </c>
      <c r="J338" s="67">
        <f t="shared" si="59"/>
        <v>642600.00000000012</v>
      </c>
      <c r="K338" s="41">
        <f>2*25*9</f>
        <v>450</v>
      </c>
      <c r="L338" s="41">
        <v>5</v>
      </c>
      <c r="M338" s="70">
        <f t="shared" si="50"/>
        <v>706860</v>
      </c>
      <c r="N338" s="41">
        <v>0</v>
      </c>
      <c r="O338" s="41">
        <v>0</v>
      </c>
      <c r="P338" s="70">
        <f t="shared" si="51"/>
        <v>0</v>
      </c>
      <c r="Q338" s="41">
        <v>0</v>
      </c>
      <c r="R338" s="41">
        <v>0</v>
      </c>
      <c r="S338" s="70">
        <f t="shared" si="52"/>
        <v>0</v>
      </c>
      <c r="T338" s="41">
        <v>0</v>
      </c>
      <c r="U338" s="41">
        <v>0</v>
      </c>
      <c r="V338" s="70">
        <f t="shared" si="53"/>
        <v>0</v>
      </c>
      <c r="W338" s="41">
        <v>0</v>
      </c>
      <c r="X338" s="41">
        <v>0</v>
      </c>
      <c r="Y338" s="70">
        <f t="shared" si="58"/>
        <v>0</v>
      </c>
      <c r="Z338" s="41">
        <v>0</v>
      </c>
      <c r="AA338" s="41">
        <v>0</v>
      </c>
      <c r="AB338" s="70">
        <f t="shared" si="54"/>
        <v>0</v>
      </c>
      <c r="AC338" s="41">
        <f>2*25*9</f>
        <v>450</v>
      </c>
      <c r="AD338" s="41">
        <v>5</v>
      </c>
      <c r="AE338" s="70">
        <f t="shared" si="55"/>
        <v>1252245.6084600009</v>
      </c>
      <c r="AF338" s="28">
        <f t="shared" si="56"/>
        <v>2601705.6084600007</v>
      </c>
      <c r="AG338" s="28">
        <f t="shared" si="57"/>
        <v>2525.9277752038843</v>
      </c>
    </row>
    <row r="339" spans="1:33" ht="43.2" x14ac:dyDescent="0.3">
      <c r="A339" s="41" t="s">
        <v>696</v>
      </c>
      <c r="B339" s="41" t="s">
        <v>691</v>
      </c>
      <c r="C339" s="43" t="s">
        <v>660</v>
      </c>
      <c r="D339" s="41" t="s">
        <v>67</v>
      </c>
      <c r="E339" s="41" t="s">
        <v>403</v>
      </c>
      <c r="F339" s="41" t="s">
        <v>1392</v>
      </c>
      <c r="G339" s="67">
        <f>1999.2/7</f>
        <v>285.60000000000002</v>
      </c>
      <c r="H339" s="41">
        <f>2*135*9</f>
        <v>2430</v>
      </c>
      <c r="I339" s="41">
        <v>1</v>
      </c>
      <c r="J339" s="67">
        <f t="shared" si="59"/>
        <v>694008</v>
      </c>
      <c r="K339" s="41">
        <f>2*135*9</f>
        <v>2430</v>
      </c>
      <c r="L339" s="41">
        <v>1</v>
      </c>
      <c r="M339" s="70">
        <f t="shared" si="50"/>
        <v>763408.8</v>
      </c>
      <c r="N339" s="41"/>
      <c r="O339" s="41"/>
      <c r="P339" s="70">
        <f t="shared" si="51"/>
        <v>0</v>
      </c>
      <c r="Q339" s="41"/>
      <c r="R339" s="41"/>
      <c r="S339" s="70">
        <f t="shared" si="52"/>
        <v>0</v>
      </c>
      <c r="T339" s="41"/>
      <c r="U339" s="41"/>
      <c r="V339" s="70">
        <f t="shared" si="53"/>
        <v>0</v>
      </c>
      <c r="W339" s="41"/>
      <c r="X339" s="41"/>
      <c r="Y339" s="70">
        <f t="shared" si="58"/>
        <v>0</v>
      </c>
      <c r="Z339" s="41"/>
      <c r="AA339" s="41"/>
      <c r="AB339" s="70">
        <f t="shared" si="54"/>
        <v>0</v>
      </c>
      <c r="AC339" s="41">
        <f>2*135*9</f>
        <v>2430</v>
      </c>
      <c r="AD339" s="41">
        <v>1</v>
      </c>
      <c r="AE339" s="70">
        <f t="shared" si="55"/>
        <v>1352425.257136801</v>
      </c>
      <c r="AF339" s="28">
        <f t="shared" si="56"/>
        <v>2809842.0571368011</v>
      </c>
      <c r="AG339" s="28">
        <f t="shared" si="57"/>
        <v>2728.0019972201953</v>
      </c>
    </row>
    <row r="340" spans="1:33" ht="43.2" x14ac:dyDescent="0.3">
      <c r="A340" s="41" t="s">
        <v>696</v>
      </c>
      <c r="B340" s="41" t="s">
        <v>691</v>
      </c>
      <c r="C340" s="43" t="s">
        <v>660</v>
      </c>
      <c r="D340" s="41" t="s">
        <v>67</v>
      </c>
      <c r="E340" s="41" t="s">
        <v>404</v>
      </c>
      <c r="F340" s="41" t="s">
        <v>718</v>
      </c>
      <c r="G340" s="67">
        <v>0</v>
      </c>
      <c r="H340" s="41">
        <v>0</v>
      </c>
      <c r="I340" s="41">
        <v>0</v>
      </c>
      <c r="J340" s="67">
        <f t="shared" si="59"/>
        <v>0</v>
      </c>
      <c r="K340" s="41">
        <v>0</v>
      </c>
      <c r="L340" s="41">
        <v>0</v>
      </c>
      <c r="M340" s="70">
        <f t="shared" si="50"/>
        <v>0</v>
      </c>
      <c r="N340" s="41">
        <v>0</v>
      </c>
      <c r="O340" s="41">
        <v>0</v>
      </c>
      <c r="P340" s="70">
        <f t="shared" si="51"/>
        <v>0</v>
      </c>
      <c r="Q340" s="41">
        <v>0</v>
      </c>
      <c r="R340" s="41">
        <v>0</v>
      </c>
      <c r="S340" s="70">
        <f t="shared" si="52"/>
        <v>0</v>
      </c>
      <c r="T340" s="41">
        <v>0</v>
      </c>
      <c r="U340" s="41">
        <v>0</v>
      </c>
      <c r="V340" s="70">
        <f t="shared" si="53"/>
        <v>0</v>
      </c>
      <c r="W340" s="41">
        <v>0</v>
      </c>
      <c r="X340" s="41">
        <v>0</v>
      </c>
      <c r="Y340" s="70">
        <f t="shared" si="58"/>
        <v>0</v>
      </c>
      <c r="Z340" s="41">
        <v>0</v>
      </c>
      <c r="AA340" s="41">
        <v>0</v>
      </c>
      <c r="AB340" s="70">
        <f t="shared" si="54"/>
        <v>0</v>
      </c>
      <c r="AC340" s="41">
        <v>0</v>
      </c>
      <c r="AD340" s="41">
        <v>0</v>
      </c>
      <c r="AE340" s="70">
        <f t="shared" si="55"/>
        <v>0</v>
      </c>
      <c r="AF340" s="28">
        <f t="shared" si="56"/>
        <v>0</v>
      </c>
      <c r="AG340" s="28">
        <f t="shared" si="57"/>
        <v>0</v>
      </c>
    </row>
    <row r="341" spans="1:33" ht="43.2" x14ac:dyDescent="0.3">
      <c r="A341" s="41" t="s">
        <v>696</v>
      </c>
      <c r="B341" s="41" t="s">
        <v>691</v>
      </c>
      <c r="C341" s="43" t="s">
        <v>660</v>
      </c>
      <c r="D341" s="41" t="s">
        <v>67</v>
      </c>
      <c r="E341" s="41" t="s">
        <v>405</v>
      </c>
      <c r="F341" s="41" t="s">
        <v>716</v>
      </c>
      <c r="G341" s="67">
        <v>39000</v>
      </c>
      <c r="H341" s="41">
        <v>25</v>
      </c>
      <c r="I341" s="41">
        <v>6</v>
      </c>
      <c r="J341" s="67">
        <f t="shared" si="59"/>
        <v>5850000</v>
      </c>
      <c r="K341" s="41">
        <v>25</v>
      </c>
      <c r="L341" s="41">
        <v>6</v>
      </c>
      <c r="M341" s="70">
        <f t="shared" si="50"/>
        <v>6435000</v>
      </c>
      <c r="N341" s="41">
        <v>0</v>
      </c>
      <c r="O341" s="41">
        <v>0</v>
      </c>
      <c r="P341" s="70">
        <f t="shared" si="51"/>
        <v>0</v>
      </c>
      <c r="Q341" s="41">
        <v>0</v>
      </c>
      <c r="R341" s="41">
        <v>0</v>
      </c>
      <c r="S341" s="70">
        <f t="shared" si="52"/>
        <v>0</v>
      </c>
      <c r="T341" s="41">
        <v>0</v>
      </c>
      <c r="U341" s="41">
        <v>0</v>
      </c>
      <c r="V341" s="70">
        <f t="shared" si="53"/>
        <v>0</v>
      </c>
      <c r="W341" s="41">
        <v>0</v>
      </c>
      <c r="X341" s="41">
        <v>0</v>
      </c>
      <c r="Y341" s="70">
        <f t="shared" si="58"/>
        <v>0</v>
      </c>
      <c r="Z341" s="41">
        <v>0</v>
      </c>
      <c r="AA341" s="41">
        <v>0</v>
      </c>
      <c r="AB341" s="70">
        <f t="shared" si="54"/>
        <v>0</v>
      </c>
      <c r="AC341" s="41">
        <v>25</v>
      </c>
      <c r="AD341" s="41">
        <v>6</v>
      </c>
      <c r="AE341" s="70">
        <f t="shared" si="55"/>
        <v>11399995.035000006</v>
      </c>
      <c r="AF341" s="28">
        <f t="shared" si="56"/>
        <v>23684995.035000004</v>
      </c>
      <c r="AG341" s="28">
        <f t="shared" si="57"/>
        <v>22995.140810679615</v>
      </c>
    </row>
    <row r="342" spans="1:33" ht="43.2" x14ac:dyDescent="0.3">
      <c r="A342" s="41" t="s">
        <v>696</v>
      </c>
      <c r="B342" s="41" t="s">
        <v>691</v>
      </c>
      <c r="C342" s="43" t="s">
        <v>660</v>
      </c>
      <c r="D342" s="41" t="s">
        <v>67</v>
      </c>
      <c r="E342" s="41" t="s">
        <v>405</v>
      </c>
      <c r="F342" s="41" t="s">
        <v>709</v>
      </c>
      <c r="G342" s="67">
        <v>35000</v>
      </c>
      <c r="H342" s="41">
        <v>25</v>
      </c>
      <c r="I342" s="41">
        <v>5</v>
      </c>
      <c r="J342" s="67">
        <f t="shared" si="59"/>
        <v>4375000</v>
      </c>
      <c r="K342" s="41">
        <v>25</v>
      </c>
      <c r="L342" s="41">
        <v>5</v>
      </c>
      <c r="M342" s="70">
        <f t="shared" si="50"/>
        <v>4812500</v>
      </c>
      <c r="N342" s="41">
        <v>0</v>
      </c>
      <c r="O342" s="41">
        <v>0</v>
      </c>
      <c r="P342" s="70">
        <f t="shared" si="51"/>
        <v>0</v>
      </c>
      <c r="Q342" s="41">
        <v>0</v>
      </c>
      <c r="R342" s="41">
        <v>0</v>
      </c>
      <c r="S342" s="70">
        <f t="shared" si="52"/>
        <v>0</v>
      </c>
      <c r="T342" s="41">
        <v>0</v>
      </c>
      <c r="U342" s="41">
        <v>0</v>
      </c>
      <c r="V342" s="70">
        <f t="shared" si="53"/>
        <v>0</v>
      </c>
      <c r="W342" s="41">
        <v>0</v>
      </c>
      <c r="X342" s="41">
        <v>0</v>
      </c>
      <c r="Y342" s="70">
        <f t="shared" si="58"/>
        <v>0</v>
      </c>
      <c r="Z342" s="41">
        <v>0</v>
      </c>
      <c r="AA342" s="41">
        <v>0</v>
      </c>
      <c r="AB342" s="70">
        <f t="shared" si="54"/>
        <v>0</v>
      </c>
      <c r="AC342" s="41">
        <v>25</v>
      </c>
      <c r="AD342" s="41">
        <v>5</v>
      </c>
      <c r="AE342" s="70">
        <f t="shared" si="55"/>
        <v>8525637.3125000037</v>
      </c>
      <c r="AF342" s="28">
        <f t="shared" si="56"/>
        <v>17713137.312500004</v>
      </c>
      <c r="AG342" s="28">
        <f t="shared" si="57"/>
        <v>17197.220691747578</v>
      </c>
    </row>
    <row r="343" spans="1:33" ht="43.2" x14ac:dyDescent="0.3">
      <c r="A343" s="41" t="s">
        <v>696</v>
      </c>
      <c r="B343" s="41" t="s">
        <v>691</v>
      </c>
      <c r="C343" s="43" t="s">
        <v>660</v>
      </c>
      <c r="D343" s="41" t="s">
        <v>67</v>
      </c>
      <c r="E343" s="41" t="s">
        <v>405</v>
      </c>
      <c r="F343" s="41" t="s">
        <v>712</v>
      </c>
      <c r="G343" s="67">
        <f>1999.2/7</f>
        <v>285.60000000000002</v>
      </c>
      <c r="H343" s="41">
        <f>2*25*9</f>
        <v>450</v>
      </c>
      <c r="I343" s="41">
        <v>5</v>
      </c>
      <c r="J343" s="67">
        <f t="shared" si="59"/>
        <v>642600.00000000012</v>
      </c>
      <c r="K343" s="41">
        <f>2*25*9</f>
        <v>450</v>
      </c>
      <c r="L343" s="41">
        <v>5</v>
      </c>
      <c r="M343" s="70">
        <f t="shared" si="50"/>
        <v>706860</v>
      </c>
      <c r="N343" s="41">
        <v>0</v>
      </c>
      <c r="O343" s="41">
        <v>0</v>
      </c>
      <c r="P343" s="70">
        <f t="shared" si="51"/>
        <v>0</v>
      </c>
      <c r="Q343" s="41">
        <v>0</v>
      </c>
      <c r="R343" s="41">
        <v>0</v>
      </c>
      <c r="S343" s="70">
        <f t="shared" si="52"/>
        <v>0</v>
      </c>
      <c r="T343" s="41">
        <v>0</v>
      </c>
      <c r="U343" s="41">
        <v>0</v>
      </c>
      <c r="V343" s="70">
        <f t="shared" si="53"/>
        <v>0</v>
      </c>
      <c r="W343" s="41">
        <v>0</v>
      </c>
      <c r="X343" s="41">
        <v>0</v>
      </c>
      <c r="Y343" s="70">
        <f t="shared" si="58"/>
        <v>0</v>
      </c>
      <c r="Z343" s="41">
        <v>0</v>
      </c>
      <c r="AA343" s="41">
        <v>0</v>
      </c>
      <c r="AB343" s="70">
        <f t="shared" si="54"/>
        <v>0</v>
      </c>
      <c r="AC343" s="41">
        <f>2*25*9</f>
        <v>450</v>
      </c>
      <c r="AD343" s="41">
        <v>5</v>
      </c>
      <c r="AE343" s="70">
        <f t="shared" si="55"/>
        <v>1252245.6084600009</v>
      </c>
      <c r="AF343" s="28">
        <f t="shared" si="56"/>
        <v>2601705.6084600007</v>
      </c>
      <c r="AG343" s="28">
        <f t="shared" si="57"/>
        <v>2525.9277752038843</v>
      </c>
    </row>
    <row r="344" spans="1:33" ht="43.2" x14ac:dyDescent="0.3">
      <c r="A344" s="41" t="s">
        <v>696</v>
      </c>
      <c r="B344" s="41" t="s">
        <v>691</v>
      </c>
      <c r="C344" s="43" t="s">
        <v>660</v>
      </c>
      <c r="D344" s="41" t="s">
        <v>67</v>
      </c>
      <c r="E344" s="41" t="s">
        <v>405</v>
      </c>
      <c r="F344" s="41" t="s">
        <v>1392</v>
      </c>
      <c r="G344" s="67">
        <f>1999.2/7</f>
        <v>285.60000000000002</v>
      </c>
      <c r="H344" s="41">
        <f>2*135*9</f>
        <v>2430</v>
      </c>
      <c r="I344" s="41">
        <v>1</v>
      </c>
      <c r="J344" s="67">
        <f t="shared" si="59"/>
        <v>694008</v>
      </c>
      <c r="K344" s="41">
        <f>2*135*9</f>
        <v>2430</v>
      </c>
      <c r="L344" s="41">
        <v>1</v>
      </c>
      <c r="M344" s="70">
        <f t="shared" si="50"/>
        <v>763408.8</v>
      </c>
      <c r="N344" s="41"/>
      <c r="O344" s="41"/>
      <c r="P344" s="70">
        <f t="shared" si="51"/>
        <v>0</v>
      </c>
      <c r="Q344" s="41"/>
      <c r="R344" s="41"/>
      <c r="S344" s="70">
        <f t="shared" si="52"/>
        <v>0</v>
      </c>
      <c r="T344" s="41"/>
      <c r="U344" s="41"/>
      <c r="V344" s="70">
        <f t="shared" si="53"/>
        <v>0</v>
      </c>
      <c r="W344" s="41"/>
      <c r="X344" s="41"/>
      <c r="Y344" s="70">
        <f t="shared" si="58"/>
        <v>0</v>
      </c>
      <c r="Z344" s="41"/>
      <c r="AA344" s="41"/>
      <c r="AB344" s="70">
        <f t="shared" si="54"/>
        <v>0</v>
      </c>
      <c r="AC344" s="41">
        <f>2*135*9</f>
        <v>2430</v>
      </c>
      <c r="AD344" s="41">
        <v>1</v>
      </c>
      <c r="AE344" s="70">
        <f t="shared" si="55"/>
        <v>1352425.257136801</v>
      </c>
      <c r="AF344" s="28">
        <f t="shared" si="56"/>
        <v>2809842.0571368011</v>
      </c>
      <c r="AG344" s="28">
        <f t="shared" si="57"/>
        <v>2728.0019972201953</v>
      </c>
    </row>
    <row r="345" spans="1:33" ht="43.2" x14ac:dyDescent="0.3">
      <c r="A345" s="41" t="s">
        <v>696</v>
      </c>
      <c r="B345" s="41" t="s">
        <v>691</v>
      </c>
      <c r="C345" s="43" t="s">
        <v>660</v>
      </c>
      <c r="D345" s="41" t="s">
        <v>67</v>
      </c>
      <c r="E345" s="41" t="s">
        <v>406</v>
      </c>
      <c r="F345" s="41" t="s">
        <v>716</v>
      </c>
      <c r="G345" s="67">
        <v>39000</v>
      </c>
      <c r="H345" s="41">
        <v>25</v>
      </c>
      <c r="I345" s="41">
        <v>6</v>
      </c>
      <c r="J345" s="67">
        <f t="shared" si="59"/>
        <v>5850000</v>
      </c>
      <c r="K345" s="41">
        <v>25</v>
      </c>
      <c r="L345" s="41">
        <v>6</v>
      </c>
      <c r="M345" s="70">
        <f t="shared" si="50"/>
        <v>6435000</v>
      </c>
      <c r="N345" s="41">
        <v>0</v>
      </c>
      <c r="O345" s="41">
        <v>0</v>
      </c>
      <c r="P345" s="70">
        <f t="shared" si="51"/>
        <v>0</v>
      </c>
      <c r="Q345" s="41">
        <v>0</v>
      </c>
      <c r="R345" s="41">
        <v>0</v>
      </c>
      <c r="S345" s="70">
        <f t="shared" si="52"/>
        <v>0</v>
      </c>
      <c r="T345" s="41">
        <v>0</v>
      </c>
      <c r="U345" s="41">
        <v>0</v>
      </c>
      <c r="V345" s="70">
        <f t="shared" si="53"/>
        <v>0</v>
      </c>
      <c r="W345" s="41">
        <v>0</v>
      </c>
      <c r="X345" s="41">
        <v>0</v>
      </c>
      <c r="Y345" s="70">
        <f t="shared" si="58"/>
        <v>0</v>
      </c>
      <c r="Z345" s="41">
        <v>0</v>
      </c>
      <c r="AA345" s="41">
        <v>0</v>
      </c>
      <c r="AB345" s="70">
        <f t="shared" si="54"/>
        <v>0</v>
      </c>
      <c r="AC345" s="41">
        <v>25</v>
      </c>
      <c r="AD345" s="41">
        <v>6</v>
      </c>
      <c r="AE345" s="70">
        <f t="shared" si="55"/>
        <v>11399995.035000006</v>
      </c>
      <c r="AF345" s="28">
        <f t="shared" si="56"/>
        <v>23684995.035000004</v>
      </c>
      <c r="AG345" s="28">
        <f t="shared" si="57"/>
        <v>22995.140810679615</v>
      </c>
    </row>
    <row r="346" spans="1:33" ht="43.2" x14ac:dyDescent="0.3">
      <c r="A346" s="41" t="s">
        <v>696</v>
      </c>
      <c r="B346" s="41" t="s">
        <v>691</v>
      </c>
      <c r="C346" s="43" t="s">
        <v>660</v>
      </c>
      <c r="D346" s="41" t="s">
        <v>67</v>
      </c>
      <c r="E346" s="41" t="s">
        <v>406</v>
      </c>
      <c r="F346" s="41" t="s">
        <v>709</v>
      </c>
      <c r="G346" s="67">
        <v>35000</v>
      </c>
      <c r="H346" s="41">
        <v>25</v>
      </c>
      <c r="I346" s="41">
        <v>5</v>
      </c>
      <c r="J346" s="67">
        <f t="shared" si="59"/>
        <v>4375000</v>
      </c>
      <c r="K346" s="41">
        <v>25</v>
      </c>
      <c r="L346" s="41">
        <v>5</v>
      </c>
      <c r="M346" s="70">
        <f t="shared" si="50"/>
        <v>4812500</v>
      </c>
      <c r="N346" s="41">
        <v>0</v>
      </c>
      <c r="O346" s="41">
        <v>0</v>
      </c>
      <c r="P346" s="70">
        <f t="shared" si="51"/>
        <v>0</v>
      </c>
      <c r="Q346" s="41">
        <v>0</v>
      </c>
      <c r="R346" s="41">
        <v>0</v>
      </c>
      <c r="S346" s="70">
        <f t="shared" si="52"/>
        <v>0</v>
      </c>
      <c r="T346" s="41">
        <v>0</v>
      </c>
      <c r="U346" s="41">
        <v>0</v>
      </c>
      <c r="V346" s="70">
        <f t="shared" si="53"/>
        <v>0</v>
      </c>
      <c r="W346" s="41">
        <v>0</v>
      </c>
      <c r="X346" s="41">
        <v>0</v>
      </c>
      <c r="Y346" s="70">
        <f t="shared" si="58"/>
        <v>0</v>
      </c>
      <c r="Z346" s="41">
        <v>0</v>
      </c>
      <c r="AA346" s="41">
        <v>0</v>
      </c>
      <c r="AB346" s="70">
        <f t="shared" si="54"/>
        <v>0</v>
      </c>
      <c r="AC346" s="41">
        <v>25</v>
      </c>
      <c r="AD346" s="41">
        <v>5</v>
      </c>
      <c r="AE346" s="70">
        <f t="shared" si="55"/>
        <v>8525637.3125000037</v>
      </c>
      <c r="AF346" s="28">
        <f t="shared" si="56"/>
        <v>17713137.312500004</v>
      </c>
      <c r="AG346" s="28">
        <f t="shared" si="57"/>
        <v>17197.220691747578</v>
      </c>
    </row>
    <row r="347" spans="1:33" ht="43.2" x14ac:dyDescent="0.3">
      <c r="A347" s="41" t="s">
        <v>696</v>
      </c>
      <c r="B347" s="41" t="s">
        <v>691</v>
      </c>
      <c r="C347" s="43" t="s">
        <v>660</v>
      </c>
      <c r="D347" s="41" t="s">
        <v>67</v>
      </c>
      <c r="E347" s="41" t="s">
        <v>406</v>
      </c>
      <c r="F347" s="41" t="s">
        <v>712</v>
      </c>
      <c r="G347" s="67">
        <f>1999.2/7</f>
        <v>285.60000000000002</v>
      </c>
      <c r="H347" s="41">
        <f>2*25*9</f>
        <v>450</v>
      </c>
      <c r="I347" s="41">
        <v>5</v>
      </c>
      <c r="J347" s="67">
        <f t="shared" si="59"/>
        <v>642600.00000000012</v>
      </c>
      <c r="K347" s="41">
        <f>2*25*9</f>
        <v>450</v>
      </c>
      <c r="L347" s="41">
        <v>5</v>
      </c>
      <c r="M347" s="70">
        <f t="shared" si="50"/>
        <v>706860</v>
      </c>
      <c r="N347" s="41">
        <v>0</v>
      </c>
      <c r="O347" s="41">
        <v>0</v>
      </c>
      <c r="P347" s="70">
        <f t="shared" si="51"/>
        <v>0</v>
      </c>
      <c r="Q347" s="41">
        <v>0</v>
      </c>
      <c r="R347" s="41">
        <v>0</v>
      </c>
      <c r="S347" s="70">
        <f t="shared" si="52"/>
        <v>0</v>
      </c>
      <c r="T347" s="41">
        <v>0</v>
      </c>
      <c r="U347" s="41">
        <v>0</v>
      </c>
      <c r="V347" s="70">
        <f t="shared" si="53"/>
        <v>0</v>
      </c>
      <c r="W347" s="41">
        <v>0</v>
      </c>
      <c r="X347" s="41">
        <v>0</v>
      </c>
      <c r="Y347" s="70">
        <f t="shared" si="58"/>
        <v>0</v>
      </c>
      <c r="Z347" s="41">
        <v>0</v>
      </c>
      <c r="AA347" s="41">
        <v>0</v>
      </c>
      <c r="AB347" s="70">
        <f t="shared" si="54"/>
        <v>0</v>
      </c>
      <c r="AC347" s="41">
        <f>2*25*9</f>
        <v>450</v>
      </c>
      <c r="AD347" s="41">
        <v>5</v>
      </c>
      <c r="AE347" s="70">
        <f t="shared" si="55"/>
        <v>1252245.6084600009</v>
      </c>
      <c r="AF347" s="28">
        <f t="shared" si="56"/>
        <v>2601705.6084600007</v>
      </c>
      <c r="AG347" s="28">
        <f t="shared" si="57"/>
        <v>2525.9277752038843</v>
      </c>
    </row>
    <row r="348" spans="1:33" ht="43.2" x14ac:dyDescent="0.3">
      <c r="A348" s="41" t="s">
        <v>696</v>
      </c>
      <c r="B348" s="41" t="s">
        <v>691</v>
      </c>
      <c r="C348" s="43" t="s">
        <v>660</v>
      </c>
      <c r="D348" s="41" t="s">
        <v>67</v>
      </c>
      <c r="E348" s="41" t="s">
        <v>406</v>
      </c>
      <c r="F348" s="41" t="s">
        <v>1392</v>
      </c>
      <c r="G348" s="67">
        <f>1999.2/7</f>
        <v>285.60000000000002</v>
      </c>
      <c r="H348" s="41">
        <f>2*135*9</f>
        <v>2430</v>
      </c>
      <c r="I348" s="41">
        <v>1</v>
      </c>
      <c r="J348" s="67">
        <f t="shared" si="59"/>
        <v>694008</v>
      </c>
      <c r="K348" s="41">
        <f>2*135*9</f>
        <v>2430</v>
      </c>
      <c r="L348" s="41">
        <v>1</v>
      </c>
      <c r="M348" s="70">
        <f t="shared" si="50"/>
        <v>763408.8</v>
      </c>
      <c r="N348" s="41"/>
      <c r="O348" s="41"/>
      <c r="P348" s="70">
        <f t="shared" si="51"/>
        <v>0</v>
      </c>
      <c r="Q348" s="41"/>
      <c r="R348" s="41"/>
      <c r="S348" s="70">
        <f t="shared" si="52"/>
        <v>0</v>
      </c>
      <c r="T348" s="41"/>
      <c r="U348" s="41"/>
      <c r="V348" s="70">
        <f t="shared" si="53"/>
        <v>0</v>
      </c>
      <c r="W348" s="41"/>
      <c r="X348" s="41"/>
      <c r="Y348" s="70">
        <f t="shared" si="58"/>
        <v>0</v>
      </c>
      <c r="Z348" s="41"/>
      <c r="AA348" s="41"/>
      <c r="AB348" s="70">
        <f t="shared" si="54"/>
        <v>0</v>
      </c>
      <c r="AC348" s="41">
        <f>2*135*9</f>
        <v>2430</v>
      </c>
      <c r="AD348" s="41">
        <v>1</v>
      </c>
      <c r="AE348" s="70">
        <f t="shared" si="55"/>
        <v>1352425.257136801</v>
      </c>
      <c r="AF348" s="28">
        <f t="shared" si="56"/>
        <v>2809842.0571368011</v>
      </c>
      <c r="AG348" s="28">
        <f t="shared" si="57"/>
        <v>2728.0019972201953</v>
      </c>
    </row>
    <row r="349" spans="1:33" ht="43.2" x14ac:dyDescent="0.3">
      <c r="A349" s="41" t="s">
        <v>696</v>
      </c>
      <c r="B349" s="41" t="s">
        <v>691</v>
      </c>
      <c r="C349" s="43" t="s">
        <v>660</v>
      </c>
      <c r="D349" s="41" t="s">
        <v>67</v>
      </c>
      <c r="E349" s="41" t="s">
        <v>407</v>
      </c>
      <c r="F349" s="41" t="s">
        <v>709</v>
      </c>
      <c r="G349" s="67">
        <v>35000</v>
      </c>
      <c r="H349" s="41">
        <v>25</v>
      </c>
      <c r="I349" s="41">
        <v>5</v>
      </c>
      <c r="J349" s="67">
        <f t="shared" si="59"/>
        <v>4375000</v>
      </c>
      <c r="K349" s="41">
        <v>25</v>
      </c>
      <c r="L349" s="41">
        <v>5</v>
      </c>
      <c r="M349" s="70">
        <f t="shared" si="50"/>
        <v>4812500</v>
      </c>
      <c r="N349" s="41">
        <v>0</v>
      </c>
      <c r="O349" s="41">
        <v>0</v>
      </c>
      <c r="P349" s="70">
        <f t="shared" si="51"/>
        <v>0</v>
      </c>
      <c r="Q349" s="41">
        <v>0</v>
      </c>
      <c r="R349" s="41">
        <v>0</v>
      </c>
      <c r="S349" s="70">
        <f t="shared" si="52"/>
        <v>0</v>
      </c>
      <c r="T349" s="41">
        <v>0</v>
      </c>
      <c r="U349" s="41">
        <v>0</v>
      </c>
      <c r="V349" s="70">
        <f t="shared" si="53"/>
        <v>0</v>
      </c>
      <c r="W349" s="41">
        <v>0</v>
      </c>
      <c r="X349" s="41">
        <v>0</v>
      </c>
      <c r="Y349" s="70">
        <f t="shared" si="58"/>
        <v>0</v>
      </c>
      <c r="Z349" s="41">
        <v>0</v>
      </c>
      <c r="AA349" s="41">
        <v>0</v>
      </c>
      <c r="AB349" s="70">
        <f t="shared" si="54"/>
        <v>0</v>
      </c>
      <c r="AC349" s="41">
        <v>25</v>
      </c>
      <c r="AD349" s="41">
        <v>5</v>
      </c>
      <c r="AE349" s="70">
        <f t="shared" si="55"/>
        <v>8525637.3125000037</v>
      </c>
      <c r="AF349" s="28">
        <f t="shared" si="56"/>
        <v>17713137.312500004</v>
      </c>
      <c r="AG349" s="28">
        <f t="shared" si="57"/>
        <v>17197.220691747578</v>
      </c>
    </row>
    <row r="350" spans="1:33" ht="43.2" x14ac:dyDescent="0.3">
      <c r="A350" s="41" t="s">
        <v>696</v>
      </c>
      <c r="B350" s="41" t="s">
        <v>691</v>
      </c>
      <c r="C350" s="43" t="s">
        <v>660</v>
      </c>
      <c r="D350" s="41" t="s">
        <v>67</v>
      </c>
      <c r="E350" s="41" t="s">
        <v>407</v>
      </c>
      <c r="F350" s="41" t="s">
        <v>712</v>
      </c>
      <c r="G350" s="67">
        <f>1999.2/7</f>
        <v>285.60000000000002</v>
      </c>
      <c r="H350" s="41">
        <f>2*25*9</f>
        <v>450</v>
      </c>
      <c r="I350" s="41">
        <v>5</v>
      </c>
      <c r="J350" s="67">
        <f t="shared" si="59"/>
        <v>642600.00000000012</v>
      </c>
      <c r="K350" s="41">
        <f>2*25*9</f>
        <v>450</v>
      </c>
      <c r="L350" s="41">
        <v>5</v>
      </c>
      <c r="M350" s="70">
        <f t="shared" si="50"/>
        <v>706860</v>
      </c>
      <c r="N350" s="41">
        <v>0</v>
      </c>
      <c r="O350" s="41">
        <v>0</v>
      </c>
      <c r="P350" s="70">
        <f t="shared" si="51"/>
        <v>0</v>
      </c>
      <c r="Q350" s="41">
        <v>0</v>
      </c>
      <c r="R350" s="41">
        <v>0</v>
      </c>
      <c r="S350" s="70">
        <f t="shared" si="52"/>
        <v>0</v>
      </c>
      <c r="T350" s="41">
        <v>0</v>
      </c>
      <c r="U350" s="41">
        <v>0</v>
      </c>
      <c r="V350" s="70">
        <f t="shared" si="53"/>
        <v>0</v>
      </c>
      <c r="W350" s="41">
        <v>0</v>
      </c>
      <c r="X350" s="41">
        <v>0</v>
      </c>
      <c r="Y350" s="70">
        <f t="shared" si="58"/>
        <v>0</v>
      </c>
      <c r="Z350" s="41">
        <v>0</v>
      </c>
      <c r="AA350" s="41">
        <v>0</v>
      </c>
      <c r="AB350" s="70">
        <f t="shared" si="54"/>
        <v>0</v>
      </c>
      <c r="AC350" s="41">
        <f>2*25*9</f>
        <v>450</v>
      </c>
      <c r="AD350" s="41">
        <v>5</v>
      </c>
      <c r="AE350" s="70">
        <f t="shared" si="55"/>
        <v>1252245.6084600009</v>
      </c>
      <c r="AF350" s="28">
        <f t="shared" si="56"/>
        <v>2601705.6084600007</v>
      </c>
      <c r="AG350" s="28">
        <f t="shared" si="57"/>
        <v>2525.9277752038843</v>
      </c>
    </row>
    <row r="351" spans="1:33" ht="43.2" x14ac:dyDescent="0.3">
      <c r="A351" s="41" t="s">
        <v>696</v>
      </c>
      <c r="B351" s="41" t="s">
        <v>691</v>
      </c>
      <c r="C351" s="43" t="s">
        <v>660</v>
      </c>
      <c r="D351" s="41" t="s">
        <v>67</v>
      </c>
      <c r="E351" s="41" t="s">
        <v>407</v>
      </c>
      <c r="F351" s="41" t="s">
        <v>716</v>
      </c>
      <c r="G351" s="67">
        <v>39000</v>
      </c>
      <c r="H351" s="41">
        <v>25</v>
      </c>
      <c r="I351" s="41">
        <v>6</v>
      </c>
      <c r="J351" s="67">
        <f t="shared" si="59"/>
        <v>5850000</v>
      </c>
      <c r="K351" s="41">
        <v>25</v>
      </c>
      <c r="L351" s="41">
        <v>6</v>
      </c>
      <c r="M351" s="70">
        <f t="shared" si="50"/>
        <v>6435000</v>
      </c>
      <c r="N351" s="41"/>
      <c r="O351" s="41"/>
      <c r="P351" s="70">
        <f t="shared" si="51"/>
        <v>0</v>
      </c>
      <c r="Q351" s="41"/>
      <c r="R351" s="41"/>
      <c r="S351" s="70">
        <f t="shared" si="52"/>
        <v>0</v>
      </c>
      <c r="T351" s="41"/>
      <c r="U351" s="41"/>
      <c r="V351" s="70">
        <f t="shared" si="53"/>
        <v>0</v>
      </c>
      <c r="W351" s="41"/>
      <c r="X351" s="41"/>
      <c r="Y351" s="70">
        <f t="shared" si="58"/>
        <v>0</v>
      </c>
      <c r="Z351" s="41"/>
      <c r="AA351" s="41"/>
      <c r="AB351" s="70">
        <f t="shared" si="54"/>
        <v>0</v>
      </c>
      <c r="AC351" s="41">
        <v>25</v>
      </c>
      <c r="AD351" s="41">
        <v>6</v>
      </c>
      <c r="AE351" s="70">
        <f t="shared" si="55"/>
        <v>11399995.035000006</v>
      </c>
      <c r="AF351" s="28">
        <f t="shared" si="56"/>
        <v>23684995.035000004</v>
      </c>
      <c r="AG351" s="28">
        <f t="shared" si="57"/>
        <v>22995.140810679615</v>
      </c>
    </row>
    <row r="352" spans="1:33" ht="43.2" x14ac:dyDescent="0.3">
      <c r="A352" s="41" t="s">
        <v>696</v>
      </c>
      <c r="B352" s="41" t="s">
        <v>691</v>
      </c>
      <c r="C352" s="43" t="s">
        <v>660</v>
      </c>
      <c r="D352" s="41" t="s">
        <v>67</v>
      </c>
      <c r="E352" s="41" t="s">
        <v>407</v>
      </c>
      <c r="F352" s="41" t="s">
        <v>1392</v>
      </c>
      <c r="G352" s="67">
        <f>1999.2/7</f>
        <v>285.60000000000002</v>
      </c>
      <c r="H352" s="41">
        <f>2*135*9</f>
        <v>2430</v>
      </c>
      <c r="I352" s="41">
        <v>1</v>
      </c>
      <c r="J352" s="67">
        <f t="shared" si="59"/>
        <v>694008</v>
      </c>
      <c r="K352" s="41">
        <f>2*135*9</f>
        <v>2430</v>
      </c>
      <c r="L352" s="41">
        <v>1</v>
      </c>
      <c r="M352" s="70">
        <f t="shared" si="50"/>
        <v>763408.8</v>
      </c>
      <c r="N352" s="41"/>
      <c r="O352" s="41"/>
      <c r="P352" s="70">
        <f t="shared" si="51"/>
        <v>0</v>
      </c>
      <c r="Q352" s="41"/>
      <c r="R352" s="41"/>
      <c r="S352" s="70">
        <f t="shared" si="52"/>
        <v>0</v>
      </c>
      <c r="T352" s="41"/>
      <c r="U352" s="41"/>
      <c r="V352" s="70">
        <f t="shared" si="53"/>
        <v>0</v>
      </c>
      <c r="W352" s="41"/>
      <c r="X352" s="41"/>
      <c r="Y352" s="70">
        <f t="shared" si="58"/>
        <v>0</v>
      </c>
      <c r="Z352" s="41"/>
      <c r="AA352" s="41"/>
      <c r="AB352" s="70">
        <f t="shared" si="54"/>
        <v>0</v>
      </c>
      <c r="AC352" s="41">
        <f>2*135*9</f>
        <v>2430</v>
      </c>
      <c r="AD352" s="41">
        <v>1</v>
      </c>
      <c r="AE352" s="70">
        <f t="shared" si="55"/>
        <v>1352425.257136801</v>
      </c>
      <c r="AF352" s="28">
        <f t="shared" si="56"/>
        <v>2809842.0571368011</v>
      </c>
      <c r="AG352" s="28">
        <f t="shared" si="57"/>
        <v>2728.0019972201953</v>
      </c>
    </row>
    <row r="353" spans="1:48" s="62" customFormat="1" x14ac:dyDescent="0.3">
      <c r="A353" s="53" t="s">
        <v>1296</v>
      </c>
      <c r="B353" s="63"/>
      <c r="C353" s="89"/>
      <c r="D353" s="63"/>
      <c r="E353" s="63"/>
      <c r="F353" s="63"/>
      <c r="G353" s="68"/>
      <c r="H353" s="63"/>
      <c r="I353" s="63"/>
      <c r="J353" s="68">
        <f>SUM(J290:J352)</f>
        <v>361842080</v>
      </c>
      <c r="K353" s="63"/>
      <c r="L353" s="63"/>
      <c r="M353" s="68">
        <f>SUM(M290:M352)</f>
        <v>398026288.00000006</v>
      </c>
      <c r="N353" s="63"/>
      <c r="O353" s="63"/>
      <c r="P353" s="68">
        <f>SUM(P290:P352)</f>
        <v>811747376.00000012</v>
      </c>
      <c r="Q353" s="63"/>
      <c r="R353" s="63"/>
      <c r="S353" s="68">
        <f>SUM(S290:S352)</f>
        <v>3726800.0000000009</v>
      </c>
      <c r="T353" s="63"/>
      <c r="U353" s="63"/>
      <c r="V353" s="68">
        <f>SUM(V290:V352)</f>
        <v>0</v>
      </c>
      <c r="W353" s="63"/>
      <c r="X353" s="63"/>
      <c r="Y353" s="68">
        <f>SUM(Y290:Y352)</f>
        <v>0</v>
      </c>
      <c r="Z353" s="63"/>
      <c r="AA353" s="63"/>
      <c r="AB353" s="68">
        <f>SUM(AB290:AB352)</f>
        <v>0</v>
      </c>
      <c r="AC353" s="63"/>
      <c r="AD353" s="63"/>
      <c r="AE353" s="68">
        <f>SUM(AE290:AE352)</f>
        <v>705127848.79556799</v>
      </c>
      <c r="AF353" s="20"/>
      <c r="AG353" s="20"/>
    </row>
    <row r="354" spans="1:48" s="94" customFormat="1" x14ac:dyDescent="0.3">
      <c r="A354" s="118" t="s">
        <v>1427</v>
      </c>
      <c r="B354" s="91"/>
      <c r="C354" s="119"/>
      <c r="D354" s="91"/>
      <c r="E354" s="91"/>
      <c r="F354" s="91"/>
      <c r="G354" s="93"/>
      <c r="H354" s="91"/>
      <c r="I354" s="91"/>
      <c r="J354" s="93">
        <f>J353/$AL$2</f>
        <v>351302.99029126216</v>
      </c>
      <c r="K354" s="91"/>
      <c r="L354" s="91"/>
      <c r="M354" s="93">
        <f>M353/$AL$2</f>
        <v>386433.2893203884</v>
      </c>
      <c r="N354" s="91"/>
      <c r="O354" s="91"/>
      <c r="P354" s="93">
        <f>P353/$AL$2</f>
        <v>788104.24854368949</v>
      </c>
      <c r="Q354" s="91"/>
      <c r="R354" s="91"/>
      <c r="S354" s="93">
        <f>S353/$AL$2</f>
        <v>3618.2524271844668</v>
      </c>
      <c r="T354" s="91"/>
      <c r="U354" s="91"/>
      <c r="V354" s="93">
        <f>V353/$AL$2</f>
        <v>0</v>
      </c>
      <c r="W354" s="91"/>
      <c r="X354" s="91"/>
      <c r="Y354" s="93">
        <f>Y353/$AL$2</f>
        <v>0</v>
      </c>
      <c r="Z354" s="91"/>
      <c r="AA354" s="91"/>
      <c r="AB354" s="93">
        <f>AB353/$AL$2</f>
        <v>0</v>
      </c>
      <c r="AC354" s="91"/>
      <c r="AD354" s="91"/>
      <c r="AE354" s="93">
        <f>AE353/$AL$2</f>
        <v>684590.14446171653</v>
      </c>
      <c r="AF354" s="95"/>
      <c r="AG354" s="95"/>
    </row>
    <row r="355" spans="1:48" ht="43.2" x14ac:dyDescent="0.3">
      <c r="A355" s="41" t="s">
        <v>696</v>
      </c>
      <c r="B355" s="41" t="s">
        <v>691</v>
      </c>
      <c r="C355" s="41" t="s">
        <v>661</v>
      </c>
      <c r="D355" s="41" t="s">
        <v>68</v>
      </c>
      <c r="E355" s="41" t="s">
        <v>408</v>
      </c>
      <c r="F355" s="41" t="s">
        <v>716</v>
      </c>
      <c r="G355" s="67">
        <v>39000</v>
      </c>
      <c r="H355" s="41">
        <v>40</v>
      </c>
      <c r="I355" s="41">
        <v>6</v>
      </c>
      <c r="J355" s="67">
        <f t="shared" si="59"/>
        <v>9360000</v>
      </c>
      <c r="K355" s="41">
        <v>40</v>
      </c>
      <c r="L355" s="41">
        <v>6</v>
      </c>
      <c r="M355" s="70">
        <f t="shared" si="50"/>
        <v>10296000</v>
      </c>
      <c r="N355" s="41">
        <v>40</v>
      </c>
      <c r="O355" s="41">
        <v>6</v>
      </c>
      <c r="P355" s="70">
        <f t="shared" si="51"/>
        <v>11325600.000000002</v>
      </c>
      <c r="Q355" s="41">
        <v>40</v>
      </c>
      <c r="R355" s="41">
        <v>6</v>
      </c>
      <c r="S355" s="70">
        <f t="shared" si="52"/>
        <v>12458160.000000004</v>
      </c>
      <c r="T355" s="41">
        <v>40</v>
      </c>
      <c r="U355" s="41">
        <v>6</v>
      </c>
      <c r="V355" s="70">
        <f t="shared" si="53"/>
        <v>13703976.000000004</v>
      </c>
      <c r="W355" s="41">
        <v>40</v>
      </c>
      <c r="X355" s="41">
        <v>6</v>
      </c>
      <c r="Y355" s="70">
        <f t="shared" si="58"/>
        <v>15074373.600000005</v>
      </c>
      <c r="Z355" s="41">
        <v>40</v>
      </c>
      <c r="AA355" s="41">
        <v>6</v>
      </c>
      <c r="AB355" s="70">
        <f t="shared" si="54"/>
        <v>16581810.960000006</v>
      </c>
      <c r="AC355" s="41">
        <v>40</v>
      </c>
      <c r="AD355" s="41">
        <v>6</v>
      </c>
      <c r="AE355" s="70">
        <f t="shared" si="55"/>
        <v>18239992.056000009</v>
      </c>
      <c r="AF355" s="28">
        <f t="shared" si="56"/>
        <v>107039912.61600003</v>
      </c>
      <c r="AG355" s="28">
        <f t="shared" si="57"/>
        <v>103922.24525825246</v>
      </c>
    </row>
    <row r="356" spans="1:48" ht="43.2" x14ac:dyDescent="0.3">
      <c r="A356" s="41" t="s">
        <v>696</v>
      </c>
      <c r="B356" s="41" t="s">
        <v>691</v>
      </c>
      <c r="C356" s="41" t="s">
        <v>661</v>
      </c>
      <c r="D356" s="41" t="s">
        <v>68</v>
      </c>
      <c r="E356" s="41" t="s">
        <v>408</v>
      </c>
      <c r="F356" s="41" t="s">
        <v>709</v>
      </c>
      <c r="G356" s="67">
        <v>35000</v>
      </c>
      <c r="H356" s="41">
        <v>40</v>
      </c>
      <c r="I356" s="41">
        <v>5</v>
      </c>
      <c r="J356" s="67">
        <f t="shared" si="59"/>
        <v>7000000</v>
      </c>
      <c r="K356" s="41">
        <v>40</v>
      </c>
      <c r="L356" s="41">
        <v>5</v>
      </c>
      <c r="M356" s="70">
        <f t="shared" si="50"/>
        <v>7700000</v>
      </c>
      <c r="N356" s="41">
        <v>40</v>
      </c>
      <c r="O356" s="41">
        <v>5</v>
      </c>
      <c r="P356" s="70">
        <f t="shared" si="51"/>
        <v>8470000.0000000019</v>
      </c>
      <c r="Q356" s="41">
        <v>40</v>
      </c>
      <c r="R356" s="41">
        <v>5</v>
      </c>
      <c r="S356" s="70">
        <f t="shared" si="52"/>
        <v>9317000.0000000019</v>
      </c>
      <c r="T356" s="41">
        <v>40</v>
      </c>
      <c r="U356" s="41">
        <v>5</v>
      </c>
      <c r="V356" s="70">
        <f t="shared" si="53"/>
        <v>10248700.000000002</v>
      </c>
      <c r="W356" s="41">
        <v>40</v>
      </c>
      <c r="X356" s="41">
        <v>5</v>
      </c>
      <c r="Y356" s="70">
        <f t="shared" si="58"/>
        <v>11273570.000000004</v>
      </c>
      <c r="Z356" s="41">
        <v>40</v>
      </c>
      <c r="AA356" s="41">
        <v>5</v>
      </c>
      <c r="AB356" s="70">
        <f t="shared" si="54"/>
        <v>12400927.000000007</v>
      </c>
      <c r="AC356" s="41">
        <v>40</v>
      </c>
      <c r="AD356" s="41">
        <v>5</v>
      </c>
      <c r="AE356" s="70">
        <f t="shared" si="55"/>
        <v>13641019.700000007</v>
      </c>
      <c r="AF356" s="28">
        <f t="shared" si="56"/>
        <v>80051216.700000018</v>
      </c>
      <c r="AG356" s="28">
        <f t="shared" si="57"/>
        <v>77719.627864077687</v>
      </c>
    </row>
    <row r="357" spans="1:48" ht="43.2" x14ac:dyDescent="0.3">
      <c r="A357" s="41" t="s">
        <v>696</v>
      </c>
      <c r="B357" s="41" t="s">
        <v>691</v>
      </c>
      <c r="C357" s="41" t="s">
        <v>661</v>
      </c>
      <c r="D357" s="41" t="s">
        <v>68</v>
      </c>
      <c r="E357" s="41" t="s">
        <v>408</v>
      </c>
      <c r="F357" s="41" t="s">
        <v>712</v>
      </c>
      <c r="G357" s="67">
        <f>1999.2/7</f>
        <v>285.60000000000002</v>
      </c>
      <c r="H357" s="41">
        <f>2*25*15</f>
        <v>750</v>
      </c>
      <c r="I357" s="41">
        <v>5</v>
      </c>
      <c r="J357" s="67">
        <f t="shared" si="59"/>
        <v>1071000.0000000002</v>
      </c>
      <c r="K357" s="41">
        <f>2*25*15</f>
        <v>750</v>
      </c>
      <c r="L357" s="41">
        <v>5</v>
      </c>
      <c r="M357" s="70">
        <f t="shared" si="50"/>
        <v>1178100.0000000002</v>
      </c>
      <c r="N357" s="41">
        <f>2*25*15</f>
        <v>750</v>
      </c>
      <c r="O357" s="41">
        <v>5</v>
      </c>
      <c r="P357" s="70">
        <f t="shared" si="51"/>
        <v>1295910.0000000002</v>
      </c>
      <c r="Q357" s="41">
        <f>2*25*15</f>
        <v>750</v>
      </c>
      <c r="R357" s="41">
        <v>5</v>
      </c>
      <c r="S357" s="70">
        <f t="shared" si="52"/>
        <v>1425501.0000000007</v>
      </c>
      <c r="T357" s="41">
        <f>2*25*15</f>
        <v>750</v>
      </c>
      <c r="U357" s="41">
        <v>5</v>
      </c>
      <c r="V357" s="70">
        <f t="shared" si="53"/>
        <v>1568051.1000000006</v>
      </c>
      <c r="W357" s="41">
        <f>2*25*15</f>
        <v>750</v>
      </c>
      <c r="X357" s="41">
        <v>5</v>
      </c>
      <c r="Y357" s="70">
        <f t="shared" si="58"/>
        <v>1724856.2100000007</v>
      </c>
      <c r="Z357" s="41">
        <f>2*25*15</f>
        <v>750</v>
      </c>
      <c r="AA357" s="41">
        <v>5</v>
      </c>
      <c r="AB357" s="70">
        <f t="shared" si="54"/>
        <v>1897341.8310000012</v>
      </c>
      <c r="AC357" s="41">
        <f>2*25*15</f>
        <v>750</v>
      </c>
      <c r="AD357" s="41">
        <v>5</v>
      </c>
      <c r="AE357" s="70">
        <f t="shared" si="55"/>
        <v>2087076.0141000017</v>
      </c>
      <c r="AF357" s="28">
        <f t="shared" si="56"/>
        <v>12247836.155100007</v>
      </c>
      <c r="AG357" s="28">
        <f t="shared" si="57"/>
        <v>11891.103063203889</v>
      </c>
    </row>
    <row r="358" spans="1:48" ht="43.2" x14ac:dyDescent="0.3">
      <c r="A358" s="41" t="s">
        <v>696</v>
      </c>
      <c r="B358" s="41" t="s">
        <v>691</v>
      </c>
      <c r="C358" s="41" t="s">
        <v>661</v>
      </c>
      <c r="D358" s="41" t="s">
        <v>68</v>
      </c>
      <c r="E358" s="41" t="s">
        <v>408</v>
      </c>
      <c r="F358" s="41" t="s">
        <v>1392</v>
      </c>
      <c r="G358" s="67">
        <f>1999.2/7</f>
        <v>285.60000000000002</v>
      </c>
      <c r="H358" s="41">
        <f>2*135*15</f>
        <v>4050</v>
      </c>
      <c r="I358" s="41">
        <v>1</v>
      </c>
      <c r="J358" s="67">
        <f t="shared" si="59"/>
        <v>1156680</v>
      </c>
      <c r="K358" s="41">
        <f>2*135*15</f>
        <v>4050</v>
      </c>
      <c r="L358" s="41">
        <v>1</v>
      </c>
      <c r="M358" s="70">
        <f t="shared" si="50"/>
        <v>1272348</v>
      </c>
      <c r="N358" s="41">
        <f>2*135*15</f>
        <v>4050</v>
      </c>
      <c r="O358" s="41">
        <v>1</v>
      </c>
      <c r="P358" s="70">
        <f t="shared" si="51"/>
        <v>1399582.8000000003</v>
      </c>
      <c r="Q358" s="41">
        <f>2*135*15</f>
        <v>4050</v>
      </c>
      <c r="R358" s="41">
        <v>1</v>
      </c>
      <c r="S358" s="70">
        <f t="shared" si="52"/>
        <v>1539541.0800000008</v>
      </c>
      <c r="T358" s="41">
        <f>2*135*15</f>
        <v>4050</v>
      </c>
      <c r="U358" s="41">
        <v>1</v>
      </c>
      <c r="V358" s="70">
        <f t="shared" si="53"/>
        <v>1693495.1880000005</v>
      </c>
      <c r="W358" s="41">
        <f>2*135*15</f>
        <v>4050</v>
      </c>
      <c r="X358" s="41">
        <v>1</v>
      </c>
      <c r="Y358" s="70">
        <f t="shared" si="58"/>
        <v>1862844.7068000007</v>
      </c>
      <c r="Z358" s="41">
        <f>2*135*15</f>
        <v>4050</v>
      </c>
      <c r="AA358" s="41">
        <v>1</v>
      </c>
      <c r="AB358" s="70">
        <f t="shared" si="54"/>
        <v>2049129.177480001</v>
      </c>
      <c r="AC358" s="41">
        <f>2*135*15</f>
        <v>4050</v>
      </c>
      <c r="AD358" s="41">
        <v>1</v>
      </c>
      <c r="AE358" s="70">
        <f t="shared" si="55"/>
        <v>2254042.0952280019</v>
      </c>
      <c r="AF358" s="28">
        <f t="shared" si="56"/>
        <v>13227663.047508005</v>
      </c>
      <c r="AG358" s="28">
        <f t="shared" si="57"/>
        <v>12842.391308260199</v>
      </c>
    </row>
    <row r="359" spans="1:48" ht="43.2" x14ac:dyDescent="0.3">
      <c r="A359" s="41" t="s">
        <v>696</v>
      </c>
      <c r="B359" s="41" t="s">
        <v>691</v>
      </c>
      <c r="C359" s="41" t="s">
        <v>661</v>
      </c>
      <c r="D359" s="41" t="s">
        <v>69</v>
      </c>
      <c r="E359" s="41" t="s">
        <v>409</v>
      </c>
      <c r="F359" s="41" t="s">
        <v>767</v>
      </c>
      <c r="G359" s="67">
        <v>10000000</v>
      </c>
      <c r="H359" s="41">
        <v>900</v>
      </c>
      <c r="I359" s="41">
        <v>1</v>
      </c>
      <c r="J359" s="67">
        <f t="shared" si="59"/>
        <v>9000000000</v>
      </c>
      <c r="K359" s="41">
        <v>800</v>
      </c>
      <c r="L359" s="41">
        <v>1</v>
      </c>
      <c r="M359" s="70">
        <f t="shared" si="50"/>
        <v>8800000000</v>
      </c>
      <c r="N359" s="41">
        <v>800</v>
      </c>
      <c r="O359" s="41">
        <v>1</v>
      </c>
      <c r="P359" s="70">
        <f t="shared" si="51"/>
        <v>9680000000.0000019</v>
      </c>
      <c r="Q359" s="41">
        <v>800</v>
      </c>
      <c r="R359" s="41">
        <v>1</v>
      </c>
      <c r="S359" s="70">
        <f t="shared" si="52"/>
        <v>10648000000.000004</v>
      </c>
      <c r="T359" s="41">
        <v>800</v>
      </c>
      <c r="U359" s="41">
        <v>1</v>
      </c>
      <c r="V359" s="70">
        <f t="shared" si="53"/>
        <v>11712800000.000004</v>
      </c>
      <c r="W359" s="41">
        <v>0</v>
      </c>
      <c r="X359" s="41">
        <v>0</v>
      </c>
      <c r="Y359" s="70">
        <f t="shared" si="58"/>
        <v>0</v>
      </c>
      <c r="Z359" s="41">
        <v>0</v>
      </c>
      <c r="AA359" s="41">
        <v>0</v>
      </c>
      <c r="AB359" s="70">
        <f t="shared" si="54"/>
        <v>0</v>
      </c>
      <c r="AC359" s="41">
        <v>0</v>
      </c>
      <c r="AD359" s="41">
        <v>0</v>
      </c>
      <c r="AE359" s="70">
        <f t="shared" si="55"/>
        <v>0</v>
      </c>
      <c r="AF359" s="28">
        <f t="shared" si="56"/>
        <v>49840800000</v>
      </c>
      <c r="AG359" s="28">
        <f t="shared" si="57"/>
        <v>48389126.213592231</v>
      </c>
    </row>
    <row r="360" spans="1:48" ht="43.2" x14ac:dyDescent="0.3">
      <c r="A360" s="41" t="s">
        <v>696</v>
      </c>
      <c r="B360" s="41" t="s">
        <v>691</v>
      </c>
      <c r="C360" s="41" t="s">
        <v>661</v>
      </c>
      <c r="D360" s="41" t="s">
        <v>70</v>
      </c>
      <c r="E360" s="41" t="s">
        <v>410</v>
      </c>
      <c r="F360" s="41" t="s">
        <v>768</v>
      </c>
      <c r="G360" s="67">
        <f>2.5%*391991.0375*365</f>
        <v>3576918.2171875001</v>
      </c>
      <c r="H360" s="67">
        <f>2.5%*$G$359</f>
        <v>250000</v>
      </c>
      <c r="I360" s="41">
        <v>0</v>
      </c>
      <c r="J360" s="67">
        <f t="shared" si="59"/>
        <v>0</v>
      </c>
      <c r="K360" s="41">
        <v>1</v>
      </c>
      <c r="L360" s="41">
        <v>1</v>
      </c>
      <c r="M360" s="70">
        <f t="shared" si="50"/>
        <v>3934610.0389062506</v>
      </c>
      <c r="N360" s="41">
        <v>1</v>
      </c>
      <c r="O360" s="41">
        <v>1</v>
      </c>
      <c r="P360" s="70">
        <f t="shared" si="51"/>
        <v>4328071.0427968754</v>
      </c>
      <c r="Q360" s="41">
        <v>1</v>
      </c>
      <c r="R360" s="41">
        <v>1</v>
      </c>
      <c r="S360" s="70">
        <f t="shared" si="52"/>
        <v>4760878.1470765639</v>
      </c>
      <c r="T360" s="41">
        <v>1</v>
      </c>
      <c r="U360" s="41">
        <v>1</v>
      </c>
      <c r="V360" s="70">
        <f t="shared" si="53"/>
        <v>5236965.9617842203</v>
      </c>
      <c r="W360" s="41">
        <v>0</v>
      </c>
      <c r="X360" s="41">
        <v>0</v>
      </c>
      <c r="Y360" s="70">
        <f t="shared" si="58"/>
        <v>0</v>
      </c>
      <c r="Z360" s="41">
        <v>0</v>
      </c>
      <c r="AA360" s="41">
        <v>0</v>
      </c>
      <c r="AB360" s="70">
        <f t="shared" si="54"/>
        <v>0</v>
      </c>
      <c r="AC360" s="41">
        <v>0</v>
      </c>
      <c r="AD360" s="41">
        <v>0</v>
      </c>
      <c r="AE360" s="70">
        <f t="shared" si="55"/>
        <v>0</v>
      </c>
      <c r="AF360" s="28">
        <f t="shared" si="56"/>
        <v>18260525.19056391</v>
      </c>
      <c r="AG360" s="28">
        <f t="shared" si="57"/>
        <v>17728.665233557193</v>
      </c>
    </row>
    <row r="361" spans="1:48" x14ac:dyDescent="0.3">
      <c r="A361" s="53" t="s">
        <v>1296</v>
      </c>
      <c r="B361" s="62"/>
      <c r="C361" s="62"/>
      <c r="D361" s="62"/>
      <c r="E361" s="62"/>
      <c r="F361" s="62"/>
      <c r="G361" s="62"/>
      <c r="H361" s="62"/>
      <c r="I361" s="62"/>
      <c r="J361" s="20">
        <f>SUM(J355:J360)</f>
        <v>9018587680</v>
      </c>
      <c r="K361" s="62"/>
      <c r="L361" s="62"/>
      <c r="M361" s="20">
        <f>SUM(M355:M360)</f>
        <v>8824381058.0389061</v>
      </c>
      <c r="N361" s="62"/>
      <c r="O361" s="62"/>
      <c r="P361" s="20">
        <f>SUM(P355:P360)</f>
        <v>9706819163.8427982</v>
      </c>
      <c r="Q361" s="62"/>
      <c r="R361" s="62"/>
      <c r="S361" s="20">
        <f>SUM(S355:S360)</f>
        <v>10677501080.227079</v>
      </c>
      <c r="T361" s="62"/>
      <c r="U361" s="62"/>
      <c r="V361" s="20">
        <f>SUM(V355:V360)</f>
        <v>11745251188.249788</v>
      </c>
      <c r="W361" s="62"/>
      <c r="X361" s="62"/>
      <c r="Y361" s="20">
        <f>SUM(Y355:Y360)</f>
        <v>29935644.516800009</v>
      </c>
      <c r="Z361" s="62"/>
      <c r="AA361" s="62"/>
      <c r="AB361" s="20">
        <f>SUM(AB355:AB360)</f>
        <v>32929208.968480017</v>
      </c>
      <c r="AC361" s="62"/>
      <c r="AD361" s="62"/>
      <c r="AE361" s="20">
        <f>SUM(AE355:AE360)</f>
        <v>36222129.865328021</v>
      </c>
      <c r="AF361" s="20">
        <f t="shared" si="56"/>
        <v>50071627153.709183</v>
      </c>
      <c r="AG361" s="20">
        <f t="shared" si="57"/>
        <v>48613230.246319592</v>
      </c>
      <c r="AH361" s="62"/>
      <c r="AI361" s="62"/>
      <c r="AJ361" s="62"/>
      <c r="AK361" s="62"/>
      <c r="AL361" s="62"/>
      <c r="AM361" s="62"/>
      <c r="AN361" s="62"/>
      <c r="AO361" s="62"/>
      <c r="AP361" s="62"/>
      <c r="AQ361" s="62"/>
      <c r="AR361" s="62"/>
      <c r="AS361" s="62"/>
      <c r="AT361" s="62"/>
      <c r="AU361" s="62"/>
      <c r="AV361" s="62"/>
    </row>
    <row r="362" spans="1:48" x14ac:dyDescent="0.3">
      <c r="A362" s="98" t="s">
        <v>1411</v>
      </c>
      <c r="B362" s="98"/>
      <c r="C362" s="98"/>
      <c r="D362" s="98"/>
      <c r="E362" s="98"/>
      <c r="F362" s="98"/>
      <c r="G362" s="98"/>
      <c r="H362" s="98"/>
      <c r="I362" s="98"/>
      <c r="J362" s="99">
        <f>SUM(J2:J360)</f>
        <v>32851169847.04554</v>
      </c>
      <c r="K362" s="98"/>
      <c r="L362" s="98"/>
      <c r="M362" s="99">
        <f>SUM(M2:M360)</f>
        <v>32856391024.843819</v>
      </c>
      <c r="N362" s="98"/>
      <c r="O362" s="98"/>
      <c r="P362" s="99">
        <f>SUM(P2:P360)</f>
        <v>39288837539.938438</v>
      </c>
      <c r="Q362" s="98"/>
      <c r="R362" s="98"/>
      <c r="S362" s="99">
        <f>SUM(S2:S360)</f>
        <v>41770262462.314484</v>
      </c>
      <c r="T362" s="98"/>
      <c r="U362" s="98"/>
      <c r="V362" s="99">
        <f>SUM(V2:V360)</f>
        <v>46840683890.335045</v>
      </c>
      <c r="W362" s="98"/>
      <c r="X362" s="98"/>
      <c r="Y362" s="99">
        <f>SUM(Y2:Y360)</f>
        <v>33953208604.427357</v>
      </c>
      <c r="Z362" s="98"/>
      <c r="AA362" s="98"/>
      <c r="AB362" s="99">
        <f>SUM(AB2:AB360)</f>
        <v>35233867958.50351</v>
      </c>
      <c r="AC362" s="98"/>
      <c r="AD362" s="98"/>
      <c r="AE362" s="99">
        <f>SUM(AE2:AE360)</f>
        <v>38885289626.707222</v>
      </c>
      <c r="AF362" s="99">
        <f t="shared" si="56"/>
        <v>301679710954.11542</v>
      </c>
      <c r="AG362" s="99">
        <f t="shared" si="57"/>
        <v>292892923.25642276</v>
      </c>
      <c r="AH362" s="98"/>
      <c r="AI362" s="98"/>
      <c r="AJ362" s="98"/>
    </row>
    <row r="363" spans="1:48" x14ac:dyDescent="0.3">
      <c r="A363" s="94" t="s">
        <v>1430</v>
      </c>
      <c r="B363" s="94"/>
      <c r="C363" s="94"/>
      <c r="D363" s="94"/>
      <c r="E363" s="94"/>
      <c r="F363" s="94"/>
      <c r="G363" s="94"/>
      <c r="H363" s="94"/>
      <c r="I363" s="94"/>
      <c r="J363" s="95">
        <f>J362/$AL$2</f>
        <v>31894339.657325767</v>
      </c>
      <c r="K363" s="94"/>
      <c r="L363" s="94"/>
      <c r="M363" s="95">
        <f>M362/$AL$2</f>
        <v>31899408.761984289</v>
      </c>
      <c r="N363" s="94"/>
      <c r="O363" s="94"/>
      <c r="P363" s="95">
        <f>P362/$AL$2</f>
        <v>38144502.465959646</v>
      </c>
      <c r="Q363" s="94"/>
      <c r="R363" s="94"/>
      <c r="S363" s="95">
        <f>S362/$AL$2</f>
        <v>40553652.876033477</v>
      </c>
      <c r="T363" s="94"/>
      <c r="U363" s="94"/>
      <c r="V363" s="95">
        <f>V362/$AL$2</f>
        <v>45476392.12653888</v>
      </c>
      <c r="W363" s="94"/>
      <c r="X363" s="94"/>
      <c r="Y363" s="95">
        <f>Y362/$AL$2</f>
        <v>32964280.198473163</v>
      </c>
      <c r="Z363" s="94"/>
      <c r="AA363" s="94"/>
      <c r="AB363" s="95">
        <f>AB362/$AL$2</f>
        <v>34207638.794663601</v>
      </c>
      <c r="AC363" s="94"/>
      <c r="AD363" s="94"/>
      <c r="AE363" s="95">
        <f>AE362/$AL$2</f>
        <v>37752708.375443906</v>
      </c>
      <c r="AF363" s="95">
        <f t="shared" si="56"/>
        <v>292892923.25642276</v>
      </c>
      <c r="AG363" s="95">
        <f t="shared" si="57"/>
        <v>284362.06141400267</v>
      </c>
      <c r="AH363" s="94"/>
    </row>
    <row r="364" spans="1:48" x14ac:dyDescent="0.3">
      <c r="S364" s="70">
        <f t="shared" si="52"/>
        <v>0</v>
      </c>
      <c r="Y364" s="70">
        <f t="shared" si="58"/>
        <v>0</v>
      </c>
    </row>
    <row r="365" spans="1:48" x14ac:dyDescent="0.3">
      <c r="Y365" s="70">
        <f t="shared" si="58"/>
        <v>0</v>
      </c>
    </row>
    <row r="366" spans="1:48" x14ac:dyDescent="0.3">
      <c r="Y366" s="70">
        <f>(S366*1.1^5)*W366*X366</f>
        <v>0</v>
      </c>
    </row>
  </sheetData>
  <autoFilter ref="A1:AG366" xr:uid="{00000000-0009-0000-0000-000011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O246"/>
  <sheetViews>
    <sheetView topLeftCell="C170" workbookViewId="0">
      <selection activeCell="E95" sqref="E95"/>
    </sheetView>
  </sheetViews>
  <sheetFormatPr defaultColWidth="8.88671875" defaultRowHeight="14.4" x14ac:dyDescent="0.3"/>
  <cols>
    <col min="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72" x14ac:dyDescent="0.3">
      <c r="A2" s="41" t="s">
        <v>697</v>
      </c>
      <c r="B2" s="41" t="s">
        <v>692</v>
      </c>
      <c r="C2" s="41" t="s">
        <v>662</v>
      </c>
      <c r="D2" s="41" t="s">
        <v>71</v>
      </c>
      <c r="E2" s="41" t="s">
        <v>411</v>
      </c>
      <c r="F2" s="41" t="s">
        <v>718</v>
      </c>
      <c r="G2" s="83">
        <v>0</v>
      </c>
      <c r="H2" s="41">
        <v>0</v>
      </c>
      <c r="I2" s="41">
        <v>0</v>
      </c>
      <c r="J2" s="83">
        <f>G2*H2*I2</f>
        <v>0</v>
      </c>
      <c r="K2" s="41">
        <v>0</v>
      </c>
      <c r="L2" s="41">
        <v>0</v>
      </c>
      <c r="M2" s="70">
        <f>($G2*1.1^1)*K2*L2</f>
        <v>0</v>
      </c>
      <c r="N2" s="41">
        <v>0</v>
      </c>
      <c r="O2" s="41">
        <v>0</v>
      </c>
      <c r="P2" s="70">
        <f>($G2*1.1^2)*N2*O2</f>
        <v>0</v>
      </c>
      <c r="Q2" s="41">
        <v>0</v>
      </c>
      <c r="R2" s="41">
        <v>0</v>
      </c>
      <c r="S2" s="70">
        <f>($G2*1.1^3)*Q2*R2</f>
        <v>0</v>
      </c>
      <c r="T2" s="41">
        <v>0</v>
      </c>
      <c r="U2" s="41">
        <v>0</v>
      </c>
      <c r="V2" s="70">
        <f>($G2*1.1^4)*T2*U2</f>
        <v>0</v>
      </c>
      <c r="W2" s="41">
        <v>0</v>
      </c>
      <c r="X2" s="41">
        <v>0</v>
      </c>
      <c r="Y2" s="70">
        <f>($G2*1.1^5)*W2*X2</f>
        <v>0</v>
      </c>
      <c r="Z2" s="41">
        <v>0</v>
      </c>
      <c r="AA2" s="41">
        <v>0</v>
      </c>
      <c r="AB2" s="70">
        <f>($G2*1.1^6)*Z2*AA2</f>
        <v>0</v>
      </c>
      <c r="AC2" s="41">
        <v>0</v>
      </c>
      <c r="AD2" s="41">
        <v>0</v>
      </c>
      <c r="AE2" s="70">
        <f>($G2*1.1^7)*AC2*AD2</f>
        <v>0</v>
      </c>
      <c r="AF2" s="28">
        <f>J2+M2+P2+S2+V2+Y2+AB2+AE2</f>
        <v>0</v>
      </c>
      <c r="AG2" s="28">
        <f>AF2/$AL$2</f>
        <v>0</v>
      </c>
      <c r="AL2">
        <v>1022</v>
      </c>
    </row>
    <row r="3" spans="1:38" ht="72" x14ac:dyDescent="0.3">
      <c r="A3" s="41" t="s">
        <v>697</v>
      </c>
      <c r="B3" s="41" t="s">
        <v>692</v>
      </c>
      <c r="C3" s="41" t="s">
        <v>662</v>
      </c>
      <c r="D3" s="41" t="s">
        <v>71</v>
      </c>
      <c r="E3" s="41" t="s">
        <v>160</v>
      </c>
      <c r="F3" s="41" t="s">
        <v>707</v>
      </c>
      <c r="G3" s="83">
        <v>391991.03749999998</v>
      </c>
      <c r="J3" s="83">
        <f t="shared" ref="J3:J65" si="0">G3*H3*I3</f>
        <v>0</v>
      </c>
      <c r="K3" s="41">
        <v>2</v>
      </c>
      <c r="L3" s="41">
        <v>2</v>
      </c>
      <c r="M3" s="70">
        <f t="shared" ref="M3:M65" si="1">($G3*1.1^1)*K3*L3</f>
        <v>1724760.5649999999</v>
      </c>
      <c r="N3" s="41">
        <v>0</v>
      </c>
      <c r="O3" s="41">
        <v>0</v>
      </c>
      <c r="P3" s="70">
        <f t="shared" ref="P3:P65" si="2">($G3*1.1^2)*N3*O3</f>
        <v>0</v>
      </c>
      <c r="Q3" s="41">
        <v>0</v>
      </c>
      <c r="R3" s="41">
        <v>0</v>
      </c>
      <c r="S3" s="70">
        <f t="shared" ref="S3:S65" si="3">($G3*1.1^3)*Q3*R3</f>
        <v>0</v>
      </c>
      <c r="T3" s="41">
        <v>0</v>
      </c>
      <c r="U3" s="41">
        <v>0</v>
      </c>
      <c r="V3" s="70">
        <f t="shared" ref="V3:V65" si="4">($G3*1.1^4)*T3*U3</f>
        <v>0</v>
      </c>
      <c r="W3" s="41">
        <v>0</v>
      </c>
      <c r="X3" s="41">
        <v>0</v>
      </c>
      <c r="Y3" s="70">
        <f t="shared" ref="Y3:Y65" si="5">($G3*1.1^5)*W3*X3</f>
        <v>0</v>
      </c>
      <c r="Z3" s="41">
        <v>0</v>
      </c>
      <c r="AA3" s="41">
        <v>0</v>
      </c>
      <c r="AB3" s="70">
        <f t="shared" ref="AB3:AB65" si="6">($G3*1.1^6)*Z3*AA3</f>
        <v>0</v>
      </c>
      <c r="AC3" s="41">
        <v>0</v>
      </c>
      <c r="AD3" s="41">
        <v>0</v>
      </c>
      <c r="AE3" s="70">
        <f t="shared" ref="AE3:AE65" si="7">($G3*1.1^7)*AC3*AD3</f>
        <v>0</v>
      </c>
      <c r="AF3" s="28">
        <f t="shared" ref="AF3:AF65" si="8">J3+M3+P3+S3+V3+Y3+AB3+AE3</f>
        <v>1724760.5649999999</v>
      </c>
      <c r="AG3" s="28">
        <f t="shared" ref="AG3:AG65" si="9">AF3/$AL$2</f>
        <v>1687.6326467710371</v>
      </c>
    </row>
    <row r="4" spans="1:38" ht="72" x14ac:dyDescent="0.3">
      <c r="A4" s="41" t="s">
        <v>697</v>
      </c>
      <c r="B4" s="41" t="s">
        <v>692</v>
      </c>
      <c r="C4" s="41" t="s">
        <v>662</v>
      </c>
      <c r="D4" s="41" t="s">
        <v>71</v>
      </c>
      <c r="E4" s="41" t="s">
        <v>160</v>
      </c>
      <c r="F4" s="41" t="s">
        <v>720</v>
      </c>
      <c r="G4" s="83">
        <f>980*1022</f>
        <v>1001560</v>
      </c>
      <c r="H4" s="41"/>
      <c r="I4" s="41"/>
      <c r="J4" s="83">
        <f t="shared" si="0"/>
        <v>0</v>
      </c>
      <c r="K4" s="41">
        <v>1</v>
      </c>
      <c r="L4" s="41">
        <v>25</v>
      </c>
      <c r="M4" s="70">
        <f t="shared" si="1"/>
        <v>27542900</v>
      </c>
      <c r="N4" s="41">
        <v>0</v>
      </c>
      <c r="O4" s="41">
        <v>0</v>
      </c>
      <c r="P4" s="70">
        <f t="shared" si="2"/>
        <v>0</v>
      </c>
      <c r="Q4" s="41">
        <v>0</v>
      </c>
      <c r="R4" s="41">
        <v>0</v>
      </c>
      <c r="S4" s="70">
        <f t="shared" si="3"/>
        <v>0</v>
      </c>
      <c r="T4" s="41">
        <v>0</v>
      </c>
      <c r="U4" s="41">
        <v>0</v>
      </c>
      <c r="V4" s="70">
        <f t="shared" si="4"/>
        <v>0</v>
      </c>
      <c r="W4" s="41">
        <v>0</v>
      </c>
      <c r="X4" s="41">
        <v>0</v>
      </c>
      <c r="Y4" s="70">
        <f t="shared" si="5"/>
        <v>0</v>
      </c>
      <c r="Z4" s="41">
        <v>0</v>
      </c>
      <c r="AA4" s="41">
        <v>0</v>
      </c>
      <c r="AB4" s="70">
        <f t="shared" si="6"/>
        <v>0</v>
      </c>
      <c r="AC4" s="41">
        <v>0</v>
      </c>
      <c r="AD4" s="41">
        <v>0</v>
      </c>
      <c r="AE4" s="70">
        <f t="shared" si="7"/>
        <v>0</v>
      </c>
      <c r="AF4" s="28">
        <f t="shared" si="8"/>
        <v>27542900</v>
      </c>
      <c r="AG4" s="28">
        <f t="shared" si="9"/>
        <v>26950</v>
      </c>
    </row>
    <row r="5" spans="1:38" ht="72" x14ac:dyDescent="0.3">
      <c r="A5" s="41" t="s">
        <v>697</v>
      </c>
      <c r="B5" s="41" t="s">
        <v>692</v>
      </c>
      <c r="C5" s="41" t="s">
        <v>662</v>
      </c>
      <c r="D5" s="41" t="s">
        <v>71</v>
      </c>
      <c r="E5" s="41" t="s">
        <v>412</v>
      </c>
      <c r="F5" s="41" t="s">
        <v>709</v>
      </c>
      <c r="G5" s="83">
        <v>35000</v>
      </c>
      <c r="H5" s="41"/>
      <c r="I5" s="41"/>
      <c r="J5" s="83">
        <f t="shared" si="0"/>
        <v>0</v>
      </c>
      <c r="K5" s="41">
        <v>60</v>
      </c>
      <c r="L5" s="41">
        <f>5*3</f>
        <v>15</v>
      </c>
      <c r="M5" s="70">
        <f t="shared" si="1"/>
        <v>34650000</v>
      </c>
      <c r="N5" s="41">
        <v>0</v>
      </c>
      <c r="O5" s="41">
        <v>0</v>
      </c>
      <c r="P5" s="70">
        <f t="shared" si="2"/>
        <v>0</v>
      </c>
      <c r="Q5" s="41">
        <v>0</v>
      </c>
      <c r="R5" s="41">
        <v>0</v>
      </c>
      <c r="S5" s="70">
        <f t="shared" si="3"/>
        <v>0</v>
      </c>
      <c r="T5" s="41">
        <v>0</v>
      </c>
      <c r="U5" s="41">
        <v>0</v>
      </c>
      <c r="V5" s="70">
        <f t="shared" si="4"/>
        <v>0</v>
      </c>
      <c r="W5" s="41">
        <v>0</v>
      </c>
      <c r="X5" s="41">
        <v>0</v>
      </c>
      <c r="Y5" s="70">
        <f t="shared" si="5"/>
        <v>0</v>
      </c>
      <c r="Z5" s="41">
        <v>0</v>
      </c>
      <c r="AA5" s="41">
        <v>0</v>
      </c>
      <c r="AB5" s="70">
        <f t="shared" si="6"/>
        <v>0</v>
      </c>
      <c r="AC5" s="41">
        <v>0</v>
      </c>
      <c r="AD5" s="41">
        <v>0</v>
      </c>
      <c r="AE5" s="70">
        <f t="shared" si="7"/>
        <v>0</v>
      </c>
      <c r="AF5" s="28">
        <f t="shared" si="8"/>
        <v>34650000</v>
      </c>
      <c r="AG5" s="28">
        <f t="shared" si="9"/>
        <v>33904.109589041094</v>
      </c>
    </row>
    <row r="6" spans="1:38" ht="72" x14ac:dyDescent="0.3">
      <c r="A6" s="41" t="s">
        <v>697</v>
      </c>
      <c r="B6" s="41" t="s">
        <v>692</v>
      </c>
      <c r="C6" s="41" t="s">
        <v>662</v>
      </c>
      <c r="D6" s="41" t="s">
        <v>71</v>
      </c>
      <c r="E6" s="41" t="s">
        <v>412</v>
      </c>
      <c r="F6" s="41" t="s">
        <v>712</v>
      </c>
      <c r="G6" s="83">
        <f>1999.2/7</f>
        <v>285.60000000000002</v>
      </c>
      <c r="H6" s="41"/>
      <c r="I6" s="41"/>
      <c r="J6" s="83">
        <f t="shared" si="0"/>
        <v>0</v>
      </c>
      <c r="K6" s="41">
        <f>25*2*20</f>
        <v>1000</v>
      </c>
      <c r="L6" s="41">
        <v>3</v>
      </c>
      <c r="M6" s="70">
        <f t="shared" si="1"/>
        <v>942480</v>
      </c>
      <c r="N6" s="41">
        <v>0</v>
      </c>
      <c r="O6" s="41">
        <v>0</v>
      </c>
      <c r="P6" s="70">
        <f t="shared" si="2"/>
        <v>0</v>
      </c>
      <c r="Q6" s="41">
        <v>0</v>
      </c>
      <c r="R6" s="41">
        <v>0</v>
      </c>
      <c r="S6" s="70">
        <f t="shared" si="3"/>
        <v>0</v>
      </c>
      <c r="T6" s="41">
        <v>0</v>
      </c>
      <c r="U6" s="41">
        <v>0</v>
      </c>
      <c r="V6" s="70">
        <f t="shared" si="4"/>
        <v>0</v>
      </c>
      <c r="W6" s="41">
        <v>0</v>
      </c>
      <c r="X6" s="41">
        <v>0</v>
      </c>
      <c r="Y6" s="70">
        <f t="shared" si="5"/>
        <v>0</v>
      </c>
      <c r="Z6" s="41">
        <v>0</v>
      </c>
      <c r="AA6" s="41">
        <v>0</v>
      </c>
      <c r="AB6" s="70">
        <f t="shared" si="6"/>
        <v>0</v>
      </c>
      <c r="AC6" s="41">
        <v>0</v>
      </c>
      <c r="AD6" s="41">
        <v>0</v>
      </c>
      <c r="AE6" s="70">
        <f t="shared" si="7"/>
        <v>0</v>
      </c>
      <c r="AF6" s="28">
        <f t="shared" si="8"/>
        <v>942480</v>
      </c>
      <c r="AG6" s="28">
        <f t="shared" si="9"/>
        <v>922.19178082191786</v>
      </c>
    </row>
    <row r="7" spans="1:38" ht="72" x14ac:dyDescent="0.3">
      <c r="A7" s="41" t="s">
        <v>697</v>
      </c>
      <c r="B7" s="41" t="s">
        <v>692</v>
      </c>
      <c r="C7" s="41" t="s">
        <v>662</v>
      </c>
      <c r="D7" s="41" t="s">
        <v>71</v>
      </c>
      <c r="E7" s="41" t="s">
        <v>1393</v>
      </c>
      <c r="F7" s="41" t="s">
        <v>709</v>
      </c>
      <c r="G7" s="83">
        <v>35000</v>
      </c>
      <c r="H7" s="41"/>
      <c r="I7" s="41"/>
      <c r="J7" s="83">
        <f t="shared" si="0"/>
        <v>0</v>
      </c>
      <c r="K7" s="41">
        <v>100</v>
      </c>
      <c r="L7" s="41">
        <v>2</v>
      </c>
      <c r="M7" s="70">
        <f t="shared" si="1"/>
        <v>7700000</v>
      </c>
      <c r="N7" s="41">
        <v>0</v>
      </c>
      <c r="O7" s="41">
        <v>0</v>
      </c>
      <c r="P7" s="70">
        <f t="shared" si="2"/>
        <v>0</v>
      </c>
      <c r="Q7" s="41">
        <v>0</v>
      </c>
      <c r="R7" s="41">
        <v>0</v>
      </c>
      <c r="S7" s="70">
        <f t="shared" si="3"/>
        <v>0</v>
      </c>
      <c r="T7" s="41">
        <v>0</v>
      </c>
      <c r="U7" s="41">
        <v>0</v>
      </c>
      <c r="V7" s="70">
        <f t="shared" si="4"/>
        <v>0</v>
      </c>
      <c r="W7" s="41">
        <v>0</v>
      </c>
      <c r="X7" s="41">
        <v>0</v>
      </c>
      <c r="Y7" s="70">
        <f t="shared" si="5"/>
        <v>0</v>
      </c>
      <c r="Z7" s="41">
        <v>0</v>
      </c>
      <c r="AA7" s="41">
        <v>0</v>
      </c>
      <c r="AB7" s="70">
        <f t="shared" si="6"/>
        <v>0</v>
      </c>
      <c r="AC7" s="41">
        <v>0</v>
      </c>
      <c r="AD7" s="41">
        <v>0</v>
      </c>
      <c r="AE7" s="70">
        <f t="shared" si="7"/>
        <v>0</v>
      </c>
      <c r="AF7" s="28">
        <f t="shared" si="8"/>
        <v>7700000</v>
      </c>
      <c r="AG7" s="28">
        <f t="shared" si="9"/>
        <v>7534.2465753424658</v>
      </c>
    </row>
    <row r="8" spans="1:38" ht="72" x14ac:dyDescent="0.3">
      <c r="A8" s="41" t="s">
        <v>697</v>
      </c>
      <c r="B8" s="41" t="s">
        <v>692</v>
      </c>
      <c r="C8" s="41" t="s">
        <v>662</v>
      </c>
      <c r="D8" s="41" t="s">
        <v>71</v>
      </c>
      <c r="E8" s="41" t="s">
        <v>413</v>
      </c>
      <c r="F8" s="41" t="s">
        <v>712</v>
      </c>
      <c r="G8" s="83">
        <f>1999.2/7</f>
        <v>285.60000000000002</v>
      </c>
      <c r="H8" s="41"/>
      <c r="I8" s="41"/>
      <c r="J8" s="83">
        <f t="shared" si="0"/>
        <v>0</v>
      </c>
      <c r="K8" s="41">
        <f>25*2*10</f>
        <v>500</v>
      </c>
      <c r="L8" s="41">
        <v>1</v>
      </c>
      <c r="M8" s="70">
        <f t="shared" si="1"/>
        <v>157080</v>
      </c>
      <c r="N8" s="41">
        <v>0</v>
      </c>
      <c r="O8" s="41">
        <v>0</v>
      </c>
      <c r="P8" s="70">
        <f t="shared" si="2"/>
        <v>0</v>
      </c>
      <c r="Q8" s="41">
        <v>0</v>
      </c>
      <c r="R8" s="41">
        <v>0</v>
      </c>
      <c r="S8" s="70">
        <f t="shared" si="3"/>
        <v>0</v>
      </c>
      <c r="T8" s="41">
        <v>0</v>
      </c>
      <c r="U8" s="41">
        <v>0</v>
      </c>
      <c r="V8" s="70">
        <f t="shared" si="4"/>
        <v>0</v>
      </c>
      <c r="W8" s="41">
        <v>0</v>
      </c>
      <c r="X8" s="41">
        <v>0</v>
      </c>
      <c r="Y8" s="70">
        <f t="shared" si="5"/>
        <v>0</v>
      </c>
      <c r="Z8" s="41">
        <v>0</v>
      </c>
      <c r="AA8" s="41">
        <v>0</v>
      </c>
      <c r="AB8" s="70">
        <f t="shared" si="6"/>
        <v>0</v>
      </c>
      <c r="AC8" s="41">
        <v>0</v>
      </c>
      <c r="AD8" s="41">
        <v>0</v>
      </c>
      <c r="AE8" s="70">
        <f t="shared" si="7"/>
        <v>0</v>
      </c>
      <c r="AF8" s="28">
        <f t="shared" si="8"/>
        <v>157080</v>
      </c>
      <c r="AG8" s="28">
        <f t="shared" si="9"/>
        <v>153.69863013698631</v>
      </c>
    </row>
    <row r="9" spans="1:38" ht="72" x14ac:dyDescent="0.3">
      <c r="A9" s="41" t="s">
        <v>697</v>
      </c>
      <c r="B9" s="41" t="s">
        <v>692</v>
      </c>
      <c r="C9" s="41" t="s">
        <v>662</v>
      </c>
      <c r="D9" s="41" t="s">
        <v>71</v>
      </c>
      <c r="E9" s="41" t="s">
        <v>414</v>
      </c>
      <c r="F9" s="41" t="s">
        <v>709</v>
      </c>
      <c r="G9" s="83">
        <v>35000</v>
      </c>
      <c r="H9" s="41"/>
      <c r="I9" s="41">
        <v>0</v>
      </c>
      <c r="J9" s="83">
        <f t="shared" si="0"/>
        <v>0</v>
      </c>
      <c r="K9" s="41">
        <v>60</v>
      </c>
      <c r="L9" s="41">
        <v>1</v>
      </c>
      <c r="M9" s="70">
        <f t="shared" si="1"/>
        <v>2310000</v>
      </c>
      <c r="N9" s="41">
        <v>0</v>
      </c>
      <c r="O9" s="41">
        <v>0</v>
      </c>
      <c r="P9" s="70">
        <f t="shared" si="2"/>
        <v>0</v>
      </c>
      <c r="Q9" s="41">
        <v>0</v>
      </c>
      <c r="R9" s="41">
        <v>0</v>
      </c>
      <c r="S9" s="70">
        <f t="shared" si="3"/>
        <v>0</v>
      </c>
      <c r="T9" s="41">
        <v>0</v>
      </c>
      <c r="U9" s="41">
        <v>0</v>
      </c>
      <c r="V9" s="70">
        <f t="shared" si="4"/>
        <v>0</v>
      </c>
      <c r="W9" s="41">
        <v>0</v>
      </c>
      <c r="X9" s="41">
        <v>0</v>
      </c>
      <c r="Y9" s="70">
        <f t="shared" si="5"/>
        <v>0</v>
      </c>
      <c r="Z9" s="41">
        <v>0</v>
      </c>
      <c r="AA9" s="41">
        <v>0</v>
      </c>
      <c r="AB9" s="70">
        <f t="shared" si="6"/>
        <v>0</v>
      </c>
      <c r="AC9" s="41">
        <v>0</v>
      </c>
      <c r="AD9" s="41">
        <v>0</v>
      </c>
      <c r="AE9" s="70">
        <f t="shared" si="7"/>
        <v>0</v>
      </c>
      <c r="AF9" s="28">
        <f t="shared" si="8"/>
        <v>2310000</v>
      </c>
      <c r="AG9" s="28">
        <f t="shared" si="9"/>
        <v>2260.2739726027398</v>
      </c>
    </row>
    <row r="10" spans="1:38" ht="72" x14ac:dyDescent="0.3">
      <c r="A10" s="41" t="s">
        <v>697</v>
      </c>
      <c r="B10" s="41" t="s">
        <v>692</v>
      </c>
      <c r="C10" s="41" t="s">
        <v>662</v>
      </c>
      <c r="D10" s="41" t="s">
        <v>71</v>
      </c>
      <c r="E10" s="41" t="s">
        <v>414</v>
      </c>
      <c r="F10" s="41" t="s">
        <v>716</v>
      </c>
      <c r="G10" s="83">
        <v>39000</v>
      </c>
      <c r="J10" s="83">
        <f t="shared" si="0"/>
        <v>0</v>
      </c>
      <c r="K10" s="41">
        <v>60</v>
      </c>
      <c r="L10" s="41">
        <v>2</v>
      </c>
      <c r="M10" s="70">
        <f t="shared" si="1"/>
        <v>5148000</v>
      </c>
      <c r="N10" s="41"/>
      <c r="O10" s="41"/>
      <c r="P10" s="70">
        <f t="shared" si="2"/>
        <v>0</v>
      </c>
      <c r="Q10" s="41"/>
      <c r="R10" s="41"/>
      <c r="S10" s="70">
        <f t="shared" si="3"/>
        <v>0</v>
      </c>
      <c r="T10" s="41"/>
      <c r="U10" s="41"/>
      <c r="V10" s="70">
        <f t="shared" si="4"/>
        <v>0</v>
      </c>
      <c r="W10" s="41"/>
      <c r="X10" s="41"/>
      <c r="Y10" s="70">
        <f t="shared" si="5"/>
        <v>0</v>
      </c>
      <c r="Z10" s="41"/>
      <c r="AA10" s="41"/>
      <c r="AB10" s="70">
        <f t="shared" si="6"/>
        <v>0</v>
      </c>
      <c r="AC10" s="41"/>
      <c r="AD10" s="41"/>
      <c r="AE10" s="70">
        <f t="shared" si="7"/>
        <v>0</v>
      </c>
      <c r="AF10" s="28">
        <f t="shared" si="8"/>
        <v>5148000</v>
      </c>
      <c r="AG10" s="28">
        <f t="shared" si="9"/>
        <v>5037.1819960861058</v>
      </c>
    </row>
    <row r="11" spans="1:38" ht="72" x14ac:dyDescent="0.3">
      <c r="A11" s="41" t="s">
        <v>697</v>
      </c>
      <c r="B11" s="41" t="s">
        <v>692</v>
      </c>
      <c r="C11" s="41" t="s">
        <v>662</v>
      </c>
      <c r="D11" s="41" t="s">
        <v>71</v>
      </c>
      <c r="E11" s="41" t="s">
        <v>414</v>
      </c>
      <c r="F11" s="41" t="s">
        <v>712</v>
      </c>
      <c r="G11" s="83">
        <f>1999.2/7</f>
        <v>285.60000000000002</v>
      </c>
      <c r="J11" s="83">
        <f t="shared" si="0"/>
        <v>0</v>
      </c>
      <c r="K11" s="41">
        <f>2*25*15</f>
        <v>750</v>
      </c>
      <c r="L11" s="41">
        <v>1</v>
      </c>
      <c r="M11" s="70">
        <f t="shared" si="1"/>
        <v>235620.00000000003</v>
      </c>
      <c r="N11" s="41"/>
      <c r="O11" s="41"/>
      <c r="P11" s="70">
        <f t="shared" si="2"/>
        <v>0</v>
      </c>
      <c r="Q11" s="41"/>
      <c r="R11" s="41"/>
      <c r="S11" s="70">
        <f t="shared" si="3"/>
        <v>0</v>
      </c>
      <c r="T11" s="41"/>
      <c r="U11" s="41"/>
      <c r="V11" s="70">
        <f t="shared" si="4"/>
        <v>0</v>
      </c>
      <c r="W11" s="41"/>
      <c r="X11" s="41"/>
      <c r="Y11" s="70">
        <f t="shared" si="5"/>
        <v>0</v>
      </c>
      <c r="Z11" s="41"/>
      <c r="AA11" s="41"/>
      <c r="AB11" s="70">
        <f t="shared" si="6"/>
        <v>0</v>
      </c>
      <c r="AC11" s="41"/>
      <c r="AD11" s="41"/>
      <c r="AE11" s="70">
        <f t="shared" si="7"/>
        <v>0</v>
      </c>
      <c r="AF11" s="28">
        <f t="shared" si="8"/>
        <v>235620.00000000003</v>
      </c>
      <c r="AG11" s="28">
        <f t="shared" si="9"/>
        <v>230.54794520547949</v>
      </c>
    </row>
    <row r="12" spans="1:38" ht="72" x14ac:dyDescent="0.3">
      <c r="A12" s="41" t="s">
        <v>697</v>
      </c>
      <c r="B12" s="41" t="s">
        <v>692</v>
      </c>
      <c r="C12" s="41" t="s">
        <v>662</v>
      </c>
      <c r="D12" s="41" t="s">
        <v>71</v>
      </c>
      <c r="E12" s="41" t="s">
        <v>414</v>
      </c>
      <c r="F12" s="41" t="s">
        <v>1303</v>
      </c>
      <c r="G12" s="83">
        <f>1999.2/7</f>
        <v>285.60000000000002</v>
      </c>
      <c r="J12" s="83">
        <f t="shared" si="0"/>
        <v>0</v>
      </c>
      <c r="K12" s="41">
        <f>2*135*15</f>
        <v>4050</v>
      </c>
      <c r="L12" s="41">
        <v>1</v>
      </c>
      <c r="M12" s="70">
        <f t="shared" si="1"/>
        <v>1272348</v>
      </c>
      <c r="N12" s="41"/>
      <c r="O12" s="41"/>
      <c r="P12" s="70">
        <f t="shared" si="2"/>
        <v>0</v>
      </c>
      <c r="Q12" s="41"/>
      <c r="R12" s="41"/>
      <c r="S12" s="70">
        <f t="shared" si="3"/>
        <v>0</v>
      </c>
      <c r="T12" s="41"/>
      <c r="U12" s="41"/>
      <c r="V12" s="70">
        <f t="shared" si="4"/>
        <v>0</v>
      </c>
      <c r="W12" s="41"/>
      <c r="X12" s="41"/>
      <c r="Y12" s="70">
        <f t="shared" si="5"/>
        <v>0</v>
      </c>
      <c r="Z12" s="41"/>
      <c r="AA12" s="41"/>
      <c r="AB12" s="70">
        <f t="shared" si="6"/>
        <v>0</v>
      </c>
      <c r="AC12" s="41"/>
      <c r="AD12" s="41"/>
      <c r="AE12" s="70">
        <f t="shared" si="7"/>
        <v>0</v>
      </c>
      <c r="AF12" s="28">
        <f t="shared" si="8"/>
        <v>1272348</v>
      </c>
      <c r="AG12" s="28">
        <f t="shared" si="9"/>
        <v>1244.958904109589</v>
      </c>
    </row>
    <row r="13" spans="1:38" ht="72" x14ac:dyDescent="0.3">
      <c r="A13" s="41" t="s">
        <v>697</v>
      </c>
      <c r="B13" s="41" t="s">
        <v>692</v>
      </c>
      <c r="C13" s="41" t="s">
        <v>662</v>
      </c>
      <c r="D13" s="41" t="s">
        <v>71</v>
      </c>
      <c r="E13" s="41" t="s">
        <v>415</v>
      </c>
      <c r="F13" s="41" t="s">
        <v>718</v>
      </c>
      <c r="G13" s="83">
        <v>0</v>
      </c>
      <c r="H13" s="41">
        <v>0</v>
      </c>
      <c r="I13" s="41">
        <v>0</v>
      </c>
      <c r="J13" s="83">
        <f t="shared" si="0"/>
        <v>0</v>
      </c>
      <c r="K13" s="41">
        <v>0</v>
      </c>
      <c r="L13" s="41">
        <v>0</v>
      </c>
      <c r="M13" s="70">
        <f t="shared" si="1"/>
        <v>0</v>
      </c>
      <c r="N13" s="41">
        <v>0</v>
      </c>
      <c r="O13" s="41">
        <v>0</v>
      </c>
      <c r="P13" s="70">
        <f t="shared" si="2"/>
        <v>0</v>
      </c>
      <c r="Q13" s="41">
        <v>0</v>
      </c>
      <c r="R13" s="41">
        <v>0</v>
      </c>
      <c r="S13" s="70">
        <f t="shared" si="3"/>
        <v>0</v>
      </c>
      <c r="T13" s="41">
        <v>0</v>
      </c>
      <c r="U13" s="41">
        <v>0</v>
      </c>
      <c r="V13" s="70">
        <f t="shared" si="4"/>
        <v>0</v>
      </c>
      <c r="W13" s="41">
        <v>0</v>
      </c>
      <c r="X13" s="41">
        <v>0</v>
      </c>
      <c r="Y13" s="70">
        <f t="shared" si="5"/>
        <v>0</v>
      </c>
      <c r="Z13" s="41">
        <v>0</v>
      </c>
      <c r="AA13" s="41">
        <v>0</v>
      </c>
      <c r="AB13" s="70">
        <f t="shared" si="6"/>
        <v>0</v>
      </c>
      <c r="AC13" s="41">
        <v>0</v>
      </c>
      <c r="AD13" s="41">
        <v>0</v>
      </c>
      <c r="AE13" s="70">
        <f t="shared" si="7"/>
        <v>0</v>
      </c>
      <c r="AF13" s="28">
        <f t="shared" si="8"/>
        <v>0</v>
      </c>
      <c r="AG13" s="28">
        <f t="shared" si="9"/>
        <v>0</v>
      </c>
    </row>
    <row r="14" spans="1:38" ht="72" x14ac:dyDescent="0.3">
      <c r="A14" s="41" t="s">
        <v>697</v>
      </c>
      <c r="B14" s="41" t="s">
        <v>692</v>
      </c>
      <c r="C14" s="41" t="s">
        <v>662</v>
      </c>
      <c r="D14" s="41" t="s">
        <v>71</v>
      </c>
      <c r="E14" s="41" t="s">
        <v>416</v>
      </c>
      <c r="F14" s="41" t="s">
        <v>709</v>
      </c>
      <c r="G14" s="83">
        <v>35000</v>
      </c>
      <c r="H14" s="41"/>
      <c r="I14" s="41"/>
      <c r="J14" s="83">
        <f t="shared" si="0"/>
        <v>0</v>
      </c>
      <c r="K14" s="41">
        <v>25</v>
      </c>
      <c r="L14" s="41">
        <v>3</v>
      </c>
      <c r="M14" s="70">
        <f t="shared" si="1"/>
        <v>2887500</v>
      </c>
      <c r="N14" s="41">
        <v>0</v>
      </c>
      <c r="O14" s="41">
        <v>0</v>
      </c>
      <c r="P14" s="70">
        <f t="shared" si="2"/>
        <v>0</v>
      </c>
      <c r="Q14" s="41">
        <v>0</v>
      </c>
      <c r="R14" s="41">
        <v>0</v>
      </c>
      <c r="S14" s="70">
        <f t="shared" si="3"/>
        <v>0</v>
      </c>
      <c r="T14" s="41">
        <v>0</v>
      </c>
      <c r="U14" s="41">
        <v>0</v>
      </c>
      <c r="V14" s="70">
        <f t="shared" si="4"/>
        <v>0</v>
      </c>
      <c r="W14" s="41">
        <v>0</v>
      </c>
      <c r="X14" s="41">
        <v>0</v>
      </c>
      <c r="Y14" s="70">
        <f t="shared" si="5"/>
        <v>0</v>
      </c>
      <c r="Z14" s="41">
        <v>0</v>
      </c>
      <c r="AA14" s="41">
        <v>0</v>
      </c>
      <c r="AB14" s="70">
        <f t="shared" si="6"/>
        <v>0</v>
      </c>
      <c r="AC14" s="41">
        <v>0</v>
      </c>
      <c r="AD14" s="41">
        <v>0</v>
      </c>
      <c r="AE14" s="70">
        <f t="shared" si="7"/>
        <v>0</v>
      </c>
      <c r="AF14" s="28">
        <f t="shared" si="8"/>
        <v>2887500</v>
      </c>
      <c r="AG14" s="28">
        <f t="shared" si="9"/>
        <v>2825.3424657534247</v>
      </c>
    </row>
    <row r="15" spans="1:38" ht="57.6" x14ac:dyDescent="0.3">
      <c r="A15" s="41" t="s">
        <v>697</v>
      </c>
      <c r="B15" s="41" t="s">
        <v>692</v>
      </c>
      <c r="C15" s="41" t="s">
        <v>662</v>
      </c>
      <c r="D15" s="41" t="s">
        <v>72</v>
      </c>
      <c r="E15" s="41" t="s">
        <v>417</v>
      </c>
      <c r="F15" s="41" t="s">
        <v>709</v>
      </c>
      <c r="G15" s="83">
        <v>35000</v>
      </c>
      <c r="H15" s="41"/>
      <c r="I15" s="41"/>
      <c r="J15" s="83">
        <f t="shared" si="0"/>
        <v>0</v>
      </c>
      <c r="K15" s="41">
        <f>900*2</f>
        <v>1800</v>
      </c>
      <c r="L15" s="41">
        <v>5</v>
      </c>
      <c r="M15" s="70">
        <f t="shared" si="1"/>
        <v>346500000</v>
      </c>
      <c r="N15" s="41">
        <v>0</v>
      </c>
      <c r="O15" s="41">
        <v>0</v>
      </c>
      <c r="P15" s="70">
        <f t="shared" si="2"/>
        <v>0</v>
      </c>
      <c r="Q15" s="41">
        <v>0</v>
      </c>
      <c r="R15" s="41">
        <v>0</v>
      </c>
      <c r="S15" s="70">
        <f t="shared" si="3"/>
        <v>0</v>
      </c>
      <c r="T15" s="41">
        <v>1200</v>
      </c>
      <c r="U15" s="41">
        <v>5</v>
      </c>
      <c r="V15" s="70">
        <f t="shared" si="4"/>
        <v>307461000.00000006</v>
      </c>
      <c r="W15" s="41">
        <v>0</v>
      </c>
      <c r="X15" s="41">
        <v>0</v>
      </c>
      <c r="Y15" s="70">
        <f t="shared" si="5"/>
        <v>0</v>
      </c>
      <c r="Z15" s="41">
        <v>0</v>
      </c>
      <c r="AA15" s="41">
        <v>0</v>
      </c>
      <c r="AB15" s="70">
        <f t="shared" si="6"/>
        <v>0</v>
      </c>
      <c r="AC15" s="41">
        <v>0</v>
      </c>
      <c r="AD15" s="41">
        <v>0</v>
      </c>
      <c r="AE15" s="70">
        <f t="shared" si="7"/>
        <v>0</v>
      </c>
      <c r="AF15" s="28">
        <f t="shared" si="8"/>
        <v>653961000</v>
      </c>
      <c r="AG15" s="28">
        <f t="shared" si="9"/>
        <v>639883.56164383562</v>
      </c>
    </row>
    <row r="16" spans="1:38" ht="57.6" x14ac:dyDescent="0.3">
      <c r="A16" s="41" t="s">
        <v>697</v>
      </c>
      <c r="B16" s="41" t="s">
        <v>692</v>
      </c>
      <c r="C16" s="41" t="s">
        <v>662</v>
      </c>
      <c r="D16" s="41" t="s">
        <v>72</v>
      </c>
      <c r="E16" s="41" t="s">
        <v>417</v>
      </c>
      <c r="F16" s="41" t="s">
        <v>716</v>
      </c>
      <c r="G16" s="83">
        <v>39000</v>
      </c>
      <c r="H16" s="41"/>
      <c r="I16" s="41"/>
      <c r="J16" s="83">
        <f t="shared" si="0"/>
        <v>0</v>
      </c>
      <c r="K16" s="41">
        <f>900*2</f>
        <v>1800</v>
      </c>
      <c r="L16" s="41">
        <v>6</v>
      </c>
      <c r="M16" s="70">
        <f t="shared" si="1"/>
        <v>463320000</v>
      </c>
      <c r="N16" s="41">
        <v>0</v>
      </c>
      <c r="O16" s="41">
        <v>0</v>
      </c>
      <c r="P16" s="70">
        <f t="shared" si="2"/>
        <v>0</v>
      </c>
      <c r="Q16" s="41">
        <v>0</v>
      </c>
      <c r="R16" s="41">
        <v>0</v>
      </c>
      <c r="S16" s="70">
        <f t="shared" si="3"/>
        <v>0</v>
      </c>
      <c r="T16" s="41">
        <v>1200</v>
      </c>
      <c r="U16" s="41">
        <v>5</v>
      </c>
      <c r="V16" s="70">
        <f t="shared" si="4"/>
        <v>342599400.00000006</v>
      </c>
      <c r="W16" s="41">
        <v>0</v>
      </c>
      <c r="X16" s="41">
        <v>0</v>
      </c>
      <c r="Y16" s="70">
        <f t="shared" si="5"/>
        <v>0</v>
      </c>
      <c r="Z16" s="41">
        <v>0</v>
      </c>
      <c r="AA16" s="41">
        <v>0</v>
      </c>
      <c r="AB16" s="70">
        <f t="shared" si="6"/>
        <v>0</v>
      </c>
      <c r="AC16" s="41">
        <v>0</v>
      </c>
      <c r="AD16" s="41">
        <v>0</v>
      </c>
      <c r="AE16" s="70">
        <f t="shared" si="7"/>
        <v>0</v>
      </c>
      <c r="AF16" s="28">
        <f t="shared" si="8"/>
        <v>805919400</v>
      </c>
      <c r="AG16" s="28">
        <f t="shared" si="9"/>
        <v>788570.84148727986</v>
      </c>
    </row>
    <row r="17" spans="1:33" ht="57.6" x14ac:dyDescent="0.3">
      <c r="A17" s="41" t="s">
        <v>697</v>
      </c>
      <c r="B17" s="41" t="s">
        <v>692</v>
      </c>
      <c r="C17" s="41" t="s">
        <v>662</v>
      </c>
      <c r="D17" s="41" t="s">
        <v>72</v>
      </c>
      <c r="E17" s="41" t="s">
        <v>417</v>
      </c>
      <c r="F17" s="41" t="s">
        <v>712</v>
      </c>
      <c r="G17" s="83">
        <f>1999.2/7</f>
        <v>285.60000000000002</v>
      </c>
      <c r="H17" s="41"/>
      <c r="I17" s="41"/>
      <c r="J17" s="83">
        <f t="shared" si="0"/>
        <v>0</v>
      </c>
      <c r="K17" s="41">
        <f>25*2*450</f>
        <v>22500</v>
      </c>
      <c r="L17" s="41">
        <v>5</v>
      </c>
      <c r="M17" s="70">
        <f t="shared" si="1"/>
        <v>35343000.000000007</v>
      </c>
      <c r="N17" s="41">
        <v>0</v>
      </c>
      <c r="O17" s="41">
        <v>0</v>
      </c>
      <c r="P17" s="70">
        <f t="shared" si="2"/>
        <v>0</v>
      </c>
      <c r="Q17" s="41">
        <v>0</v>
      </c>
      <c r="R17" s="41">
        <v>0</v>
      </c>
      <c r="S17" s="70">
        <f t="shared" si="3"/>
        <v>0</v>
      </c>
      <c r="T17" s="41">
        <v>140000</v>
      </c>
      <c r="U17" s="41">
        <v>1</v>
      </c>
      <c r="V17" s="70">
        <f t="shared" si="4"/>
        <v>58540574.400000021</v>
      </c>
      <c r="W17" s="41">
        <v>0</v>
      </c>
      <c r="X17" s="41">
        <v>0</v>
      </c>
      <c r="Y17" s="70">
        <f t="shared" si="5"/>
        <v>0</v>
      </c>
      <c r="Z17" s="41">
        <v>0</v>
      </c>
      <c r="AA17" s="41">
        <v>0</v>
      </c>
      <c r="AB17" s="70">
        <f t="shared" si="6"/>
        <v>0</v>
      </c>
      <c r="AC17" s="41">
        <v>0</v>
      </c>
      <c r="AD17" s="41">
        <v>0</v>
      </c>
      <c r="AE17" s="70">
        <f t="shared" si="7"/>
        <v>0</v>
      </c>
      <c r="AF17" s="28">
        <f t="shared" si="8"/>
        <v>93883574.400000036</v>
      </c>
      <c r="AG17" s="28">
        <f t="shared" si="9"/>
        <v>91862.597260274008</v>
      </c>
    </row>
    <row r="18" spans="1:33" ht="57.6" x14ac:dyDescent="0.3">
      <c r="A18" s="41" t="s">
        <v>697</v>
      </c>
      <c r="B18" s="41" t="s">
        <v>692</v>
      </c>
      <c r="C18" s="41" t="s">
        <v>662</v>
      </c>
      <c r="D18" s="41" t="s">
        <v>72</v>
      </c>
      <c r="E18" s="41" t="s">
        <v>769</v>
      </c>
      <c r="F18" s="41" t="s">
        <v>1303</v>
      </c>
      <c r="G18" s="83">
        <f>1999.2/7</f>
        <v>285.60000000000002</v>
      </c>
      <c r="H18" s="41"/>
      <c r="I18" s="41"/>
      <c r="J18" s="83">
        <f t="shared" si="0"/>
        <v>0</v>
      </c>
      <c r="K18" s="41">
        <f>2*135*450</f>
        <v>121500</v>
      </c>
      <c r="L18" s="41">
        <v>1</v>
      </c>
      <c r="M18" s="70">
        <f t="shared" si="1"/>
        <v>38170440</v>
      </c>
      <c r="N18" s="41"/>
      <c r="O18" s="41"/>
      <c r="P18" s="70">
        <f t="shared" si="2"/>
        <v>0</v>
      </c>
      <c r="Q18" s="41"/>
      <c r="R18" s="41"/>
      <c r="S18" s="70">
        <f t="shared" si="3"/>
        <v>0</v>
      </c>
      <c r="T18" s="41"/>
      <c r="U18" s="41"/>
      <c r="V18" s="70">
        <f t="shared" si="4"/>
        <v>0</v>
      </c>
      <c r="W18" s="41"/>
      <c r="X18" s="41"/>
      <c r="Y18" s="70">
        <f t="shared" si="5"/>
        <v>0</v>
      </c>
      <c r="Z18" s="41"/>
      <c r="AA18" s="41"/>
      <c r="AB18" s="70">
        <f t="shared" si="6"/>
        <v>0</v>
      </c>
      <c r="AC18" s="41"/>
      <c r="AD18" s="41"/>
      <c r="AE18" s="70">
        <f t="shared" si="7"/>
        <v>0</v>
      </c>
      <c r="AF18" s="28">
        <f t="shared" si="8"/>
        <v>38170440</v>
      </c>
      <c r="AG18" s="28">
        <f t="shared" si="9"/>
        <v>37348.767123287675</v>
      </c>
    </row>
    <row r="19" spans="1:33" ht="57.6" x14ac:dyDescent="0.3">
      <c r="A19" s="41" t="s">
        <v>697</v>
      </c>
      <c r="B19" s="41" t="s">
        <v>692</v>
      </c>
      <c r="C19" s="41" t="s">
        <v>662</v>
      </c>
      <c r="D19" s="41" t="s">
        <v>72</v>
      </c>
      <c r="E19" s="41" t="s">
        <v>418</v>
      </c>
      <c r="F19" s="41" t="s">
        <v>709</v>
      </c>
      <c r="G19" s="83">
        <v>35000</v>
      </c>
      <c r="H19" s="41"/>
      <c r="I19" s="41"/>
      <c r="J19" s="83">
        <f t="shared" si="0"/>
        <v>0</v>
      </c>
      <c r="K19" s="41">
        <v>100</v>
      </c>
      <c r="L19" s="41">
        <v>5</v>
      </c>
      <c r="M19" s="70">
        <f t="shared" si="1"/>
        <v>19250000</v>
      </c>
      <c r="N19" s="41">
        <v>0</v>
      </c>
      <c r="O19" s="41">
        <v>0</v>
      </c>
      <c r="P19" s="70">
        <f t="shared" si="2"/>
        <v>0</v>
      </c>
      <c r="Q19" s="41">
        <v>0</v>
      </c>
      <c r="R19" s="41">
        <v>0</v>
      </c>
      <c r="S19" s="70">
        <f t="shared" si="3"/>
        <v>0</v>
      </c>
      <c r="T19" s="41">
        <v>190</v>
      </c>
      <c r="U19" s="41">
        <v>5</v>
      </c>
      <c r="V19" s="70">
        <f t="shared" si="4"/>
        <v>48681325.000000007</v>
      </c>
      <c r="W19" s="41">
        <v>0</v>
      </c>
      <c r="X19" s="41">
        <v>0</v>
      </c>
      <c r="Y19" s="70">
        <f t="shared" si="5"/>
        <v>0</v>
      </c>
      <c r="Z19" s="41">
        <v>0</v>
      </c>
      <c r="AA19" s="41">
        <v>0</v>
      </c>
      <c r="AB19" s="70">
        <f t="shared" si="6"/>
        <v>0</v>
      </c>
      <c r="AC19" s="41">
        <v>0</v>
      </c>
      <c r="AD19" s="41">
        <v>0</v>
      </c>
      <c r="AE19" s="70">
        <f t="shared" si="7"/>
        <v>0</v>
      </c>
      <c r="AF19" s="28">
        <f t="shared" si="8"/>
        <v>67931325</v>
      </c>
      <c r="AG19" s="28">
        <f t="shared" si="9"/>
        <v>66469.006849315076</v>
      </c>
    </row>
    <row r="20" spans="1:33" ht="57.6" x14ac:dyDescent="0.3">
      <c r="A20" s="41" t="s">
        <v>697</v>
      </c>
      <c r="B20" s="41" t="s">
        <v>692</v>
      </c>
      <c r="C20" s="41" t="s">
        <v>662</v>
      </c>
      <c r="D20" s="41" t="s">
        <v>72</v>
      </c>
      <c r="E20" s="41" t="s">
        <v>418</v>
      </c>
      <c r="F20" s="41" t="s">
        <v>716</v>
      </c>
      <c r="G20" s="83">
        <v>39000</v>
      </c>
      <c r="H20" s="41"/>
      <c r="I20" s="41"/>
      <c r="J20" s="83">
        <f t="shared" si="0"/>
        <v>0</v>
      </c>
      <c r="K20" s="41">
        <v>58</v>
      </c>
      <c r="L20" s="41">
        <v>6</v>
      </c>
      <c r="M20" s="70">
        <f t="shared" si="1"/>
        <v>14929200</v>
      </c>
      <c r="N20" s="41">
        <v>0</v>
      </c>
      <c r="O20" s="41">
        <v>0</v>
      </c>
      <c r="P20" s="70">
        <f t="shared" si="2"/>
        <v>0</v>
      </c>
      <c r="Q20" s="41">
        <v>0</v>
      </c>
      <c r="R20" s="41">
        <v>0</v>
      </c>
      <c r="S20" s="70">
        <f t="shared" si="3"/>
        <v>0</v>
      </c>
      <c r="T20" s="41">
        <v>190</v>
      </c>
      <c r="U20" s="41">
        <v>5</v>
      </c>
      <c r="V20" s="70">
        <f t="shared" si="4"/>
        <v>54244905.000000015</v>
      </c>
      <c r="W20" s="41">
        <v>0</v>
      </c>
      <c r="X20" s="41">
        <v>0</v>
      </c>
      <c r="Y20" s="70">
        <f t="shared" si="5"/>
        <v>0</v>
      </c>
      <c r="Z20" s="41">
        <v>0</v>
      </c>
      <c r="AA20" s="41">
        <v>0</v>
      </c>
      <c r="AB20" s="70">
        <f t="shared" si="6"/>
        <v>0</v>
      </c>
      <c r="AC20" s="41">
        <v>0</v>
      </c>
      <c r="AD20" s="41">
        <v>0</v>
      </c>
      <c r="AE20" s="70">
        <f t="shared" si="7"/>
        <v>0</v>
      </c>
      <c r="AF20" s="28">
        <f t="shared" si="8"/>
        <v>69174105.000000015</v>
      </c>
      <c r="AG20" s="28">
        <f t="shared" si="9"/>
        <v>67685.034246575364</v>
      </c>
    </row>
    <row r="21" spans="1:33" ht="57.6" x14ac:dyDescent="0.3">
      <c r="A21" s="41" t="s">
        <v>697</v>
      </c>
      <c r="B21" s="41" t="s">
        <v>692</v>
      </c>
      <c r="C21" s="41" t="s">
        <v>662</v>
      </c>
      <c r="D21" s="41" t="s">
        <v>72</v>
      </c>
      <c r="E21" s="41" t="s">
        <v>418</v>
      </c>
      <c r="F21" s="41" t="s">
        <v>712</v>
      </c>
      <c r="G21" s="83">
        <f>1999.2/7</f>
        <v>285.60000000000002</v>
      </c>
      <c r="H21" s="41"/>
      <c r="I21" s="41"/>
      <c r="J21" s="83">
        <f t="shared" si="0"/>
        <v>0</v>
      </c>
      <c r="K21" s="41">
        <f>25*2*29</f>
        <v>1450</v>
      </c>
      <c r="L21" s="41">
        <v>5</v>
      </c>
      <c r="M21" s="70">
        <f t="shared" si="1"/>
        <v>2277660.0000000005</v>
      </c>
      <c r="N21" s="41">
        <v>0</v>
      </c>
      <c r="O21" s="41">
        <v>0</v>
      </c>
      <c r="P21" s="70">
        <f t="shared" si="2"/>
        <v>0</v>
      </c>
      <c r="Q21" s="41">
        <v>0</v>
      </c>
      <c r="R21" s="41">
        <v>0</v>
      </c>
      <c r="S21" s="70">
        <f t="shared" si="3"/>
        <v>0</v>
      </c>
      <c r="T21" s="41">
        <v>40000</v>
      </c>
      <c r="U21" s="41">
        <v>1</v>
      </c>
      <c r="V21" s="70">
        <f t="shared" si="4"/>
        <v>16725878.400000006</v>
      </c>
      <c r="W21" s="41">
        <v>0</v>
      </c>
      <c r="X21" s="41">
        <v>0</v>
      </c>
      <c r="Y21" s="70">
        <f t="shared" si="5"/>
        <v>0</v>
      </c>
      <c r="Z21" s="41">
        <v>0</v>
      </c>
      <c r="AA21" s="41">
        <v>0</v>
      </c>
      <c r="AB21" s="70">
        <f t="shared" si="6"/>
        <v>0</v>
      </c>
      <c r="AC21" s="41">
        <v>0</v>
      </c>
      <c r="AD21" s="41">
        <v>0</v>
      </c>
      <c r="AE21" s="70">
        <f t="shared" si="7"/>
        <v>0</v>
      </c>
      <c r="AF21" s="28">
        <f t="shared" si="8"/>
        <v>19003538.400000006</v>
      </c>
      <c r="AG21" s="28">
        <f t="shared" si="9"/>
        <v>18594.460273972607</v>
      </c>
    </row>
    <row r="22" spans="1:33" ht="57.6" x14ac:dyDescent="0.3">
      <c r="A22" s="41" t="s">
        <v>697</v>
      </c>
      <c r="B22" s="41" t="s">
        <v>692</v>
      </c>
      <c r="C22" s="41" t="s">
        <v>662</v>
      </c>
      <c r="D22" s="41" t="s">
        <v>72</v>
      </c>
      <c r="E22" s="41" t="s">
        <v>418</v>
      </c>
      <c r="F22" s="41" t="s">
        <v>1303</v>
      </c>
      <c r="G22" s="83">
        <f>1999.2/7</f>
        <v>285.60000000000002</v>
      </c>
      <c r="H22" s="41"/>
      <c r="I22" s="41"/>
      <c r="J22" s="83">
        <f t="shared" si="0"/>
        <v>0</v>
      </c>
      <c r="K22" s="41">
        <f>2*135*29</f>
        <v>7830</v>
      </c>
      <c r="L22" s="41">
        <v>1</v>
      </c>
      <c r="M22" s="70">
        <f t="shared" si="1"/>
        <v>2459872.8000000003</v>
      </c>
      <c r="N22" s="41"/>
      <c r="O22" s="41"/>
      <c r="P22" s="70">
        <f t="shared" si="2"/>
        <v>0</v>
      </c>
      <c r="Q22" s="41"/>
      <c r="R22" s="41"/>
      <c r="S22" s="70">
        <f t="shared" si="3"/>
        <v>0</v>
      </c>
      <c r="T22" s="41"/>
      <c r="U22" s="41"/>
      <c r="V22" s="70">
        <f t="shared" si="4"/>
        <v>0</v>
      </c>
      <c r="W22" s="41"/>
      <c r="X22" s="41"/>
      <c r="Y22" s="70">
        <f t="shared" si="5"/>
        <v>0</v>
      </c>
      <c r="Z22" s="41"/>
      <c r="AA22" s="41"/>
      <c r="AB22" s="70">
        <f t="shared" si="6"/>
        <v>0</v>
      </c>
      <c r="AC22" s="41"/>
      <c r="AD22" s="41"/>
      <c r="AE22" s="70">
        <f t="shared" si="7"/>
        <v>0</v>
      </c>
      <c r="AF22" s="28">
        <f t="shared" si="8"/>
        <v>2459872.8000000003</v>
      </c>
      <c r="AG22" s="28">
        <f t="shared" si="9"/>
        <v>2406.9205479452057</v>
      </c>
    </row>
    <row r="23" spans="1:33" ht="57.6" x14ac:dyDescent="0.3">
      <c r="A23" s="41" t="s">
        <v>697</v>
      </c>
      <c r="B23" s="41" t="s">
        <v>692</v>
      </c>
      <c r="C23" s="41" t="s">
        <v>662</v>
      </c>
      <c r="D23" s="41" t="s">
        <v>73</v>
      </c>
      <c r="E23" s="41" t="s">
        <v>771</v>
      </c>
      <c r="F23" s="41" t="s">
        <v>709</v>
      </c>
      <c r="G23" s="83">
        <v>35000</v>
      </c>
      <c r="J23" s="83">
        <f t="shared" si="0"/>
        <v>0</v>
      </c>
      <c r="K23" s="41">
        <v>25</v>
      </c>
      <c r="L23" s="41">
        <v>3</v>
      </c>
      <c r="M23" s="70">
        <f t="shared" si="1"/>
        <v>2887500</v>
      </c>
      <c r="N23" s="41">
        <v>0</v>
      </c>
      <c r="O23" s="41">
        <v>0</v>
      </c>
      <c r="P23" s="70">
        <f t="shared" si="2"/>
        <v>0</v>
      </c>
      <c r="Q23" s="41">
        <v>0</v>
      </c>
      <c r="R23" s="41">
        <v>0</v>
      </c>
      <c r="S23" s="70">
        <f t="shared" si="3"/>
        <v>0</v>
      </c>
      <c r="T23" s="41">
        <v>10</v>
      </c>
      <c r="U23" s="41">
        <v>5</v>
      </c>
      <c r="V23" s="70">
        <f t="shared" si="4"/>
        <v>2562175.0000000005</v>
      </c>
      <c r="W23" s="41">
        <v>0</v>
      </c>
      <c r="X23" s="41">
        <v>0</v>
      </c>
      <c r="Y23" s="70">
        <f t="shared" si="5"/>
        <v>0</v>
      </c>
      <c r="Z23" s="41">
        <v>0</v>
      </c>
      <c r="AA23" s="41">
        <v>0</v>
      </c>
      <c r="AB23" s="70">
        <f t="shared" si="6"/>
        <v>0</v>
      </c>
      <c r="AC23" s="41">
        <v>0</v>
      </c>
      <c r="AD23" s="41">
        <v>0</v>
      </c>
      <c r="AE23" s="70">
        <f t="shared" si="7"/>
        <v>0</v>
      </c>
      <c r="AF23" s="28">
        <f t="shared" si="8"/>
        <v>5449675</v>
      </c>
      <c r="AG23" s="28">
        <f t="shared" si="9"/>
        <v>5332.3630136986303</v>
      </c>
    </row>
    <row r="24" spans="1:33" ht="57.6" x14ac:dyDescent="0.3">
      <c r="A24" s="41" t="s">
        <v>697</v>
      </c>
      <c r="B24" s="41" t="s">
        <v>692</v>
      </c>
      <c r="C24" s="41" t="s">
        <v>662</v>
      </c>
      <c r="D24" s="41" t="s">
        <v>73</v>
      </c>
      <c r="E24" s="41" t="s">
        <v>771</v>
      </c>
      <c r="F24" s="41" t="s">
        <v>712</v>
      </c>
      <c r="G24" s="83">
        <f>1999.2/7</f>
        <v>285.60000000000002</v>
      </c>
      <c r="J24" s="83">
        <f t="shared" si="0"/>
        <v>0</v>
      </c>
      <c r="K24" s="41">
        <f>25*2*9</f>
        <v>450</v>
      </c>
      <c r="L24" s="41">
        <v>3</v>
      </c>
      <c r="M24" s="70">
        <f t="shared" si="1"/>
        <v>424116</v>
      </c>
      <c r="N24" s="41">
        <v>0</v>
      </c>
      <c r="O24" s="41">
        <v>0</v>
      </c>
      <c r="P24" s="70">
        <f t="shared" si="2"/>
        <v>0</v>
      </c>
      <c r="Q24" s="41">
        <v>0</v>
      </c>
      <c r="R24" s="41">
        <v>0</v>
      </c>
      <c r="S24" s="70">
        <f t="shared" si="3"/>
        <v>0</v>
      </c>
      <c r="T24" s="41">
        <v>4000</v>
      </c>
      <c r="U24" s="41">
        <v>1</v>
      </c>
      <c r="V24" s="70">
        <f t="shared" si="4"/>
        <v>1672587.8400000005</v>
      </c>
      <c r="W24" s="41">
        <v>0</v>
      </c>
      <c r="X24" s="41">
        <v>0</v>
      </c>
      <c r="Y24" s="70">
        <f t="shared" si="5"/>
        <v>0</v>
      </c>
      <c r="Z24" s="41">
        <v>0</v>
      </c>
      <c r="AA24" s="41">
        <v>0</v>
      </c>
      <c r="AB24" s="70">
        <f t="shared" si="6"/>
        <v>0</v>
      </c>
      <c r="AC24" s="41">
        <v>0</v>
      </c>
      <c r="AD24" s="41">
        <v>0</v>
      </c>
      <c r="AE24" s="70">
        <f t="shared" si="7"/>
        <v>0</v>
      </c>
      <c r="AF24" s="28">
        <f t="shared" si="8"/>
        <v>2096703.8400000005</v>
      </c>
      <c r="AG24" s="28">
        <f t="shared" si="9"/>
        <v>2051.5693150684938</v>
      </c>
    </row>
    <row r="25" spans="1:33" x14ac:dyDescent="0.3">
      <c r="G25" s="84"/>
      <c r="J25" s="83">
        <f t="shared" si="0"/>
        <v>0</v>
      </c>
      <c r="M25" s="70">
        <f t="shared" si="1"/>
        <v>0</v>
      </c>
      <c r="P25" s="70">
        <f t="shared" si="2"/>
        <v>0</v>
      </c>
      <c r="S25" s="70">
        <f t="shared" si="3"/>
        <v>0</v>
      </c>
      <c r="V25" s="70">
        <f t="shared" si="4"/>
        <v>0</v>
      </c>
      <c r="Y25" s="70">
        <f t="shared" si="5"/>
        <v>0</v>
      </c>
      <c r="AB25" s="70">
        <f t="shared" si="6"/>
        <v>0</v>
      </c>
      <c r="AE25" s="70">
        <f t="shared" si="7"/>
        <v>0</v>
      </c>
      <c r="AF25" s="28">
        <f t="shared" si="8"/>
        <v>0</v>
      </c>
      <c r="AG25" s="28">
        <f t="shared" si="9"/>
        <v>0</v>
      </c>
    </row>
    <row r="26" spans="1:33" ht="57.6" x14ac:dyDescent="0.3">
      <c r="A26" s="41" t="s">
        <v>697</v>
      </c>
      <c r="B26" s="41" t="s">
        <v>692</v>
      </c>
      <c r="C26" s="41" t="s">
        <v>662</v>
      </c>
      <c r="D26" s="41" t="s">
        <v>74</v>
      </c>
      <c r="E26" s="41" t="s">
        <v>421</v>
      </c>
      <c r="F26" s="41" t="s">
        <v>718</v>
      </c>
      <c r="G26" s="83">
        <v>0</v>
      </c>
      <c r="H26" s="41">
        <v>0</v>
      </c>
      <c r="I26" s="41">
        <v>0</v>
      </c>
      <c r="J26" s="83">
        <f t="shared" si="0"/>
        <v>0</v>
      </c>
      <c r="K26" s="41">
        <v>0</v>
      </c>
      <c r="L26" s="41">
        <v>0</v>
      </c>
      <c r="M26" s="70">
        <f t="shared" si="1"/>
        <v>0</v>
      </c>
      <c r="N26" s="41">
        <v>0</v>
      </c>
      <c r="O26" s="41">
        <v>0</v>
      </c>
      <c r="P26" s="70">
        <f t="shared" si="2"/>
        <v>0</v>
      </c>
      <c r="Q26" s="41">
        <v>0</v>
      </c>
      <c r="R26" s="41">
        <v>0</v>
      </c>
      <c r="S26" s="70">
        <f t="shared" si="3"/>
        <v>0</v>
      </c>
      <c r="T26" s="41">
        <v>0</v>
      </c>
      <c r="U26" s="41">
        <v>0</v>
      </c>
      <c r="V26" s="70">
        <f t="shared" si="4"/>
        <v>0</v>
      </c>
      <c r="W26" s="41">
        <v>0</v>
      </c>
      <c r="X26" s="41">
        <v>0</v>
      </c>
      <c r="Y26" s="70">
        <f t="shared" si="5"/>
        <v>0</v>
      </c>
      <c r="Z26" s="41">
        <v>0</v>
      </c>
      <c r="AA26" s="41">
        <v>0</v>
      </c>
      <c r="AB26" s="70">
        <f t="shared" si="6"/>
        <v>0</v>
      </c>
      <c r="AC26" s="41">
        <v>0</v>
      </c>
      <c r="AD26" s="41">
        <v>0</v>
      </c>
      <c r="AE26" s="70">
        <f t="shared" si="7"/>
        <v>0</v>
      </c>
      <c r="AF26" s="28">
        <f t="shared" si="8"/>
        <v>0</v>
      </c>
      <c r="AG26" s="28">
        <f t="shared" si="9"/>
        <v>0</v>
      </c>
    </row>
    <row r="27" spans="1:33" ht="57.6" x14ac:dyDescent="0.3">
      <c r="A27" s="41" t="s">
        <v>697</v>
      </c>
      <c r="B27" s="41" t="s">
        <v>692</v>
      </c>
      <c r="C27" s="41" t="s">
        <v>662</v>
      </c>
      <c r="D27" s="41" t="s">
        <v>74</v>
      </c>
      <c r="E27" s="41" t="s">
        <v>422</v>
      </c>
      <c r="F27" s="41" t="s">
        <v>718</v>
      </c>
      <c r="G27" s="83">
        <v>0</v>
      </c>
      <c r="H27" s="41">
        <v>0</v>
      </c>
      <c r="I27" s="41">
        <v>0</v>
      </c>
      <c r="J27" s="83">
        <f t="shared" si="0"/>
        <v>0</v>
      </c>
      <c r="K27" s="41">
        <v>0</v>
      </c>
      <c r="L27" s="41">
        <v>0</v>
      </c>
      <c r="M27" s="70">
        <f t="shared" si="1"/>
        <v>0</v>
      </c>
      <c r="N27" s="41">
        <v>0</v>
      </c>
      <c r="O27" s="41">
        <v>0</v>
      </c>
      <c r="P27" s="70">
        <f t="shared" si="2"/>
        <v>0</v>
      </c>
      <c r="Q27" s="41">
        <v>0</v>
      </c>
      <c r="R27" s="41">
        <v>0</v>
      </c>
      <c r="S27" s="70">
        <f t="shared" si="3"/>
        <v>0</v>
      </c>
      <c r="T27" s="41">
        <v>0</v>
      </c>
      <c r="U27" s="41">
        <v>0</v>
      </c>
      <c r="V27" s="70">
        <f t="shared" si="4"/>
        <v>0</v>
      </c>
      <c r="W27" s="41">
        <v>0</v>
      </c>
      <c r="X27" s="41">
        <v>0</v>
      </c>
      <c r="Y27" s="70">
        <f t="shared" si="5"/>
        <v>0</v>
      </c>
      <c r="Z27" s="41">
        <v>0</v>
      </c>
      <c r="AA27" s="41">
        <v>0</v>
      </c>
      <c r="AB27" s="70">
        <f t="shared" si="6"/>
        <v>0</v>
      </c>
      <c r="AC27" s="41">
        <v>0</v>
      </c>
      <c r="AD27" s="41">
        <v>0</v>
      </c>
      <c r="AE27" s="70">
        <f t="shared" si="7"/>
        <v>0</v>
      </c>
      <c r="AF27" s="28">
        <f t="shared" si="8"/>
        <v>0</v>
      </c>
      <c r="AG27" s="28">
        <f t="shared" si="9"/>
        <v>0</v>
      </c>
    </row>
    <row r="28" spans="1:33" ht="57.6" x14ac:dyDescent="0.3">
      <c r="A28" s="41" t="s">
        <v>697</v>
      </c>
      <c r="B28" s="41" t="s">
        <v>692</v>
      </c>
      <c r="C28" s="41" t="s">
        <v>662</v>
      </c>
      <c r="D28" s="41" t="s">
        <v>74</v>
      </c>
      <c r="E28" s="41" t="s">
        <v>423</v>
      </c>
      <c r="F28" s="41" t="s">
        <v>707</v>
      </c>
      <c r="G28" s="83">
        <v>391991.03749999998</v>
      </c>
      <c r="H28" s="41"/>
      <c r="I28" s="41"/>
      <c r="J28" s="83">
        <f t="shared" si="0"/>
        <v>0</v>
      </c>
      <c r="K28" s="41">
        <v>0</v>
      </c>
      <c r="L28" s="41">
        <v>0</v>
      </c>
      <c r="M28" s="70">
        <f t="shared" si="1"/>
        <v>0</v>
      </c>
      <c r="N28" s="41">
        <v>2</v>
      </c>
      <c r="O28" s="41">
        <v>2</v>
      </c>
      <c r="P28" s="70">
        <f t="shared" si="2"/>
        <v>1897236.6215000001</v>
      </c>
      <c r="Q28" s="41">
        <v>1</v>
      </c>
      <c r="R28" s="41">
        <v>6</v>
      </c>
      <c r="S28" s="70">
        <f t="shared" si="3"/>
        <v>3130440.4254750009</v>
      </c>
      <c r="T28" s="41">
        <v>0</v>
      </c>
      <c r="U28" s="41">
        <v>0</v>
      </c>
      <c r="V28" s="70">
        <f t="shared" si="4"/>
        <v>0</v>
      </c>
      <c r="W28" s="41">
        <v>0</v>
      </c>
      <c r="X28" s="41">
        <v>0</v>
      </c>
      <c r="Y28" s="70">
        <f t="shared" si="5"/>
        <v>0</v>
      </c>
      <c r="Z28" s="41">
        <v>0</v>
      </c>
      <c r="AA28" s="41">
        <v>0</v>
      </c>
      <c r="AB28" s="70">
        <f t="shared" si="6"/>
        <v>0</v>
      </c>
      <c r="AC28" s="41">
        <v>0</v>
      </c>
      <c r="AD28" s="41">
        <v>0</v>
      </c>
      <c r="AE28" s="70">
        <f t="shared" si="7"/>
        <v>0</v>
      </c>
      <c r="AF28" s="28">
        <f t="shared" si="8"/>
        <v>5027677.0469750008</v>
      </c>
      <c r="AG28" s="28">
        <f t="shared" si="9"/>
        <v>4919.4491653375744</v>
      </c>
    </row>
    <row r="29" spans="1:33" ht="57.6" x14ac:dyDescent="0.3">
      <c r="A29" s="41" t="s">
        <v>697</v>
      </c>
      <c r="B29" s="41" t="s">
        <v>692</v>
      </c>
      <c r="C29" s="41" t="s">
        <v>662</v>
      </c>
      <c r="D29" s="41" t="s">
        <v>74</v>
      </c>
      <c r="E29" s="41" t="s">
        <v>423</v>
      </c>
      <c r="F29" s="41" t="s">
        <v>708</v>
      </c>
      <c r="G29" s="83">
        <f>500*1022</f>
        <v>511000</v>
      </c>
      <c r="H29" s="41"/>
      <c r="I29" s="41"/>
      <c r="J29" s="83">
        <f t="shared" si="0"/>
        <v>0</v>
      </c>
      <c r="K29" s="41">
        <v>0</v>
      </c>
      <c r="L29" s="41">
        <v>0</v>
      </c>
      <c r="M29" s="70">
        <f t="shared" si="1"/>
        <v>0</v>
      </c>
      <c r="N29" s="41">
        <v>4</v>
      </c>
      <c r="O29" s="41">
        <v>25</v>
      </c>
      <c r="P29" s="70">
        <f t="shared" si="2"/>
        <v>61831000.000000015</v>
      </c>
      <c r="Q29" s="41">
        <v>1</v>
      </c>
      <c r="R29" s="41">
        <v>40</v>
      </c>
      <c r="S29" s="70">
        <f t="shared" si="3"/>
        <v>27205640.000000007</v>
      </c>
      <c r="T29" s="41">
        <v>0</v>
      </c>
      <c r="U29" s="41">
        <v>0</v>
      </c>
      <c r="V29" s="70">
        <f t="shared" si="4"/>
        <v>0</v>
      </c>
      <c r="W29" s="41">
        <v>0</v>
      </c>
      <c r="X29" s="41">
        <v>0</v>
      </c>
      <c r="Y29" s="70">
        <f t="shared" si="5"/>
        <v>0</v>
      </c>
      <c r="Z29" s="41">
        <v>0</v>
      </c>
      <c r="AA29" s="41">
        <v>0</v>
      </c>
      <c r="AB29" s="70">
        <f t="shared" si="6"/>
        <v>0</v>
      </c>
      <c r="AC29" s="41">
        <v>0</v>
      </c>
      <c r="AD29" s="41">
        <v>0</v>
      </c>
      <c r="AE29" s="70">
        <f t="shared" si="7"/>
        <v>0</v>
      </c>
      <c r="AF29" s="28">
        <f t="shared" si="8"/>
        <v>89036640.00000003</v>
      </c>
      <c r="AG29" s="28">
        <f t="shared" si="9"/>
        <v>87120.000000000029</v>
      </c>
    </row>
    <row r="30" spans="1:33" ht="57.6" x14ac:dyDescent="0.3">
      <c r="A30" s="41" t="s">
        <v>697</v>
      </c>
      <c r="B30" s="41" t="s">
        <v>692</v>
      </c>
      <c r="C30" s="41" t="s">
        <v>662</v>
      </c>
      <c r="D30" s="41" t="s">
        <v>74</v>
      </c>
      <c r="E30" s="41" t="s">
        <v>424</v>
      </c>
      <c r="F30" s="41" t="s">
        <v>718</v>
      </c>
      <c r="G30" s="83">
        <v>0</v>
      </c>
      <c r="H30" s="41"/>
      <c r="I30" s="41"/>
      <c r="J30" s="83">
        <f t="shared" si="0"/>
        <v>0</v>
      </c>
      <c r="K30" s="41">
        <v>0</v>
      </c>
      <c r="L30" s="41">
        <v>0</v>
      </c>
      <c r="M30" s="70">
        <f t="shared" si="1"/>
        <v>0</v>
      </c>
      <c r="N30" s="41">
        <v>0</v>
      </c>
      <c r="O30" s="41">
        <v>0</v>
      </c>
      <c r="P30" s="70">
        <f t="shared" si="2"/>
        <v>0</v>
      </c>
      <c r="Q30" s="41">
        <v>0</v>
      </c>
      <c r="R30" s="41">
        <v>0</v>
      </c>
      <c r="S30" s="70">
        <f t="shared" si="3"/>
        <v>0</v>
      </c>
      <c r="T30" s="41">
        <v>0</v>
      </c>
      <c r="U30" s="41">
        <v>0</v>
      </c>
      <c r="V30" s="70">
        <f t="shared" si="4"/>
        <v>0</v>
      </c>
      <c r="W30" s="41">
        <v>0</v>
      </c>
      <c r="X30" s="41">
        <v>0</v>
      </c>
      <c r="Y30" s="70">
        <f t="shared" si="5"/>
        <v>0</v>
      </c>
      <c r="Z30" s="41">
        <v>0</v>
      </c>
      <c r="AA30" s="41">
        <v>0</v>
      </c>
      <c r="AB30" s="70">
        <f t="shared" si="6"/>
        <v>0</v>
      </c>
      <c r="AC30" s="41">
        <v>0</v>
      </c>
      <c r="AD30" s="41">
        <v>0</v>
      </c>
      <c r="AE30" s="70">
        <f t="shared" si="7"/>
        <v>0</v>
      </c>
      <c r="AF30" s="28">
        <f t="shared" si="8"/>
        <v>0</v>
      </c>
      <c r="AG30" s="28">
        <f t="shared" si="9"/>
        <v>0</v>
      </c>
    </row>
    <row r="31" spans="1:33" ht="57.6" x14ac:dyDescent="0.3">
      <c r="A31" s="41" t="s">
        <v>697</v>
      </c>
      <c r="B31" s="41" t="s">
        <v>692</v>
      </c>
      <c r="C31" s="41" t="s">
        <v>662</v>
      </c>
      <c r="D31" s="41" t="s">
        <v>74</v>
      </c>
      <c r="E31" s="41" t="s">
        <v>425</v>
      </c>
      <c r="F31" s="41" t="s">
        <v>713</v>
      </c>
      <c r="G31" s="83">
        <v>45000</v>
      </c>
      <c r="H31" s="41"/>
      <c r="I31" s="41"/>
      <c r="J31" s="83">
        <f t="shared" si="0"/>
        <v>0</v>
      </c>
      <c r="K31" s="41">
        <v>0</v>
      </c>
      <c r="L31" s="41">
        <v>0</v>
      </c>
      <c r="M31" s="70">
        <f t="shared" si="1"/>
        <v>0</v>
      </c>
      <c r="N31" s="41">
        <v>25</v>
      </c>
      <c r="O31" s="41">
        <v>10</v>
      </c>
      <c r="P31" s="70">
        <f t="shared" si="2"/>
        <v>13612500.000000002</v>
      </c>
      <c r="Q31" s="41">
        <v>15</v>
      </c>
      <c r="R31" s="41">
        <v>10</v>
      </c>
      <c r="S31" s="70">
        <f t="shared" si="3"/>
        <v>8984250.0000000037</v>
      </c>
      <c r="T31" s="41">
        <v>0</v>
      </c>
      <c r="U31" s="41">
        <v>0</v>
      </c>
      <c r="V31" s="70">
        <f t="shared" si="4"/>
        <v>0</v>
      </c>
      <c r="W31" s="41">
        <v>0</v>
      </c>
      <c r="X31" s="41">
        <v>0</v>
      </c>
      <c r="Y31" s="70">
        <f t="shared" si="5"/>
        <v>0</v>
      </c>
      <c r="Z31" s="41">
        <v>0</v>
      </c>
      <c r="AA31" s="41">
        <v>0</v>
      </c>
      <c r="AB31" s="70">
        <f t="shared" si="6"/>
        <v>0</v>
      </c>
      <c r="AC31" s="41">
        <v>0</v>
      </c>
      <c r="AD31" s="41">
        <v>0</v>
      </c>
      <c r="AE31" s="70">
        <f t="shared" si="7"/>
        <v>0</v>
      </c>
      <c r="AF31" s="28">
        <f t="shared" si="8"/>
        <v>22596750.000000007</v>
      </c>
      <c r="AG31" s="28">
        <f t="shared" si="9"/>
        <v>22110.322896281807</v>
      </c>
    </row>
    <row r="32" spans="1:33" ht="57.6" x14ac:dyDescent="0.3">
      <c r="A32" s="41" t="s">
        <v>697</v>
      </c>
      <c r="B32" s="41" t="s">
        <v>692</v>
      </c>
      <c r="C32" s="41" t="s">
        <v>662</v>
      </c>
      <c r="D32" s="41" t="s">
        <v>74</v>
      </c>
      <c r="E32" s="41" t="s">
        <v>425</v>
      </c>
      <c r="F32" s="41" t="s">
        <v>712</v>
      </c>
      <c r="G32" s="83">
        <f>1999.2/7</f>
        <v>285.60000000000002</v>
      </c>
      <c r="H32" s="41"/>
      <c r="I32" s="41"/>
      <c r="J32" s="83">
        <f t="shared" si="0"/>
        <v>0</v>
      </c>
      <c r="K32" s="41">
        <v>0</v>
      </c>
      <c r="L32" s="41">
        <v>0</v>
      </c>
      <c r="M32" s="70">
        <f t="shared" si="1"/>
        <v>0</v>
      </c>
      <c r="N32" s="41">
        <f>25*2*9</f>
        <v>450</v>
      </c>
      <c r="O32" s="41">
        <v>10</v>
      </c>
      <c r="P32" s="70">
        <f t="shared" si="2"/>
        <v>1555092.0000000005</v>
      </c>
      <c r="Q32" s="41">
        <v>20000</v>
      </c>
      <c r="R32" s="41">
        <v>1</v>
      </c>
      <c r="S32" s="70">
        <f t="shared" si="3"/>
        <v>7602672.0000000037</v>
      </c>
      <c r="T32" s="41">
        <v>0</v>
      </c>
      <c r="U32" s="41">
        <v>0</v>
      </c>
      <c r="V32" s="70">
        <f t="shared" si="4"/>
        <v>0</v>
      </c>
      <c r="W32" s="41">
        <v>0</v>
      </c>
      <c r="X32" s="41">
        <v>0</v>
      </c>
      <c r="Y32" s="70">
        <f t="shared" si="5"/>
        <v>0</v>
      </c>
      <c r="Z32" s="41">
        <v>0</v>
      </c>
      <c r="AA32" s="41">
        <v>0</v>
      </c>
      <c r="AB32" s="70">
        <f t="shared" si="6"/>
        <v>0</v>
      </c>
      <c r="AC32" s="41">
        <v>0</v>
      </c>
      <c r="AD32" s="41">
        <v>0</v>
      </c>
      <c r="AE32" s="70">
        <f t="shared" si="7"/>
        <v>0</v>
      </c>
      <c r="AF32" s="28">
        <f t="shared" si="8"/>
        <v>9157764.0000000037</v>
      </c>
      <c r="AG32" s="28">
        <f t="shared" si="9"/>
        <v>8960.6301369863049</v>
      </c>
    </row>
    <row r="33" spans="1:33" ht="57.6" x14ac:dyDescent="0.3">
      <c r="A33" s="41" t="s">
        <v>697</v>
      </c>
      <c r="B33" s="41" t="s">
        <v>692</v>
      </c>
      <c r="C33" s="41" t="s">
        <v>662</v>
      </c>
      <c r="D33" s="41" t="s">
        <v>74</v>
      </c>
      <c r="E33" s="41" t="s">
        <v>425</v>
      </c>
      <c r="F33" s="41" t="s">
        <v>1303</v>
      </c>
      <c r="G33" s="83">
        <f>1999.2/7</f>
        <v>285.60000000000002</v>
      </c>
      <c r="H33" s="41"/>
      <c r="I33" s="41"/>
      <c r="J33" s="83">
        <f t="shared" si="0"/>
        <v>0</v>
      </c>
      <c r="K33" s="41"/>
      <c r="L33" s="41"/>
      <c r="M33" s="70">
        <f t="shared" si="1"/>
        <v>0</v>
      </c>
      <c r="N33" s="41">
        <f>2*135*9</f>
        <v>2430</v>
      </c>
      <c r="O33" s="41">
        <v>1</v>
      </c>
      <c r="P33" s="70">
        <f t="shared" si="2"/>
        <v>839749.68000000017</v>
      </c>
      <c r="Q33" s="41"/>
      <c r="R33" s="41"/>
      <c r="S33" s="70">
        <f t="shared" si="3"/>
        <v>0</v>
      </c>
      <c r="T33" s="41"/>
      <c r="U33" s="41"/>
      <c r="V33" s="70">
        <f t="shared" si="4"/>
        <v>0</v>
      </c>
      <c r="W33" s="41"/>
      <c r="X33" s="41"/>
      <c r="Y33" s="70">
        <f t="shared" si="5"/>
        <v>0</v>
      </c>
      <c r="Z33" s="41"/>
      <c r="AA33" s="41"/>
      <c r="AB33" s="70">
        <f t="shared" si="6"/>
        <v>0</v>
      </c>
      <c r="AC33" s="41"/>
      <c r="AD33" s="41"/>
      <c r="AE33" s="70">
        <f t="shared" si="7"/>
        <v>0</v>
      </c>
      <c r="AF33" s="28">
        <f t="shared" si="8"/>
        <v>839749.68000000017</v>
      </c>
      <c r="AG33" s="28">
        <f t="shared" si="9"/>
        <v>821.67287671232896</v>
      </c>
    </row>
    <row r="34" spans="1:33" ht="57.6" x14ac:dyDescent="0.3">
      <c r="A34" s="41" t="s">
        <v>697</v>
      </c>
      <c r="B34" s="41" t="s">
        <v>692</v>
      </c>
      <c r="C34" s="41" t="s">
        <v>662</v>
      </c>
      <c r="D34" s="41" t="s">
        <v>74</v>
      </c>
      <c r="E34" s="41" t="s">
        <v>425</v>
      </c>
      <c r="F34" s="41" t="s">
        <v>714</v>
      </c>
      <c r="G34" s="83">
        <v>10000</v>
      </c>
      <c r="H34" s="41"/>
      <c r="I34" s="41"/>
      <c r="J34" s="83">
        <f t="shared" si="0"/>
        <v>0</v>
      </c>
      <c r="K34" s="41">
        <v>0</v>
      </c>
      <c r="L34" s="41">
        <v>0</v>
      </c>
      <c r="M34" s="70">
        <f t="shared" si="1"/>
        <v>0</v>
      </c>
      <c r="N34" s="41">
        <v>15</v>
      </c>
      <c r="O34" s="41">
        <v>1</v>
      </c>
      <c r="P34" s="70">
        <f t="shared" si="2"/>
        <v>181500.00000000003</v>
      </c>
      <c r="Q34" s="41">
        <v>15</v>
      </c>
      <c r="R34" s="41">
        <v>1</v>
      </c>
      <c r="S34" s="70">
        <f t="shared" si="3"/>
        <v>199650.00000000006</v>
      </c>
      <c r="T34" s="41">
        <v>0</v>
      </c>
      <c r="U34" s="41">
        <v>0</v>
      </c>
      <c r="V34" s="70">
        <f t="shared" si="4"/>
        <v>0</v>
      </c>
      <c r="W34" s="41">
        <v>0</v>
      </c>
      <c r="X34" s="41">
        <v>0</v>
      </c>
      <c r="Y34" s="70">
        <f t="shared" si="5"/>
        <v>0</v>
      </c>
      <c r="Z34" s="41">
        <v>0</v>
      </c>
      <c r="AA34" s="41">
        <v>0</v>
      </c>
      <c r="AB34" s="70">
        <f t="shared" si="6"/>
        <v>0</v>
      </c>
      <c r="AC34" s="41">
        <v>0</v>
      </c>
      <c r="AD34" s="41">
        <v>0</v>
      </c>
      <c r="AE34" s="70">
        <f t="shared" si="7"/>
        <v>0</v>
      </c>
      <c r="AF34" s="28">
        <f t="shared" si="8"/>
        <v>381150.00000000012</v>
      </c>
      <c r="AG34" s="28">
        <f t="shared" si="9"/>
        <v>372.94520547945217</v>
      </c>
    </row>
    <row r="35" spans="1:33" ht="57.6" x14ac:dyDescent="0.3">
      <c r="A35" s="41" t="s">
        <v>697</v>
      </c>
      <c r="B35" s="41" t="s">
        <v>692</v>
      </c>
      <c r="C35" s="41" t="s">
        <v>662</v>
      </c>
      <c r="D35" s="41" t="s">
        <v>74</v>
      </c>
      <c r="E35" s="41" t="s">
        <v>1319</v>
      </c>
      <c r="F35" s="41" t="s">
        <v>716</v>
      </c>
      <c r="G35" s="83">
        <v>39000</v>
      </c>
      <c r="H35" s="41"/>
      <c r="I35" s="41"/>
      <c r="J35" s="83">
        <f t="shared" si="0"/>
        <v>0</v>
      </c>
      <c r="K35" s="41">
        <v>0</v>
      </c>
      <c r="L35" s="41">
        <v>0</v>
      </c>
      <c r="M35" s="70">
        <f t="shared" si="1"/>
        <v>0</v>
      </c>
      <c r="N35" s="41">
        <v>58</v>
      </c>
      <c r="O35" s="41">
        <v>5</v>
      </c>
      <c r="P35" s="70">
        <f t="shared" si="2"/>
        <v>13685100.000000002</v>
      </c>
      <c r="Q35" s="41">
        <v>15</v>
      </c>
      <c r="R35" s="41">
        <v>5</v>
      </c>
      <c r="S35" s="70">
        <f t="shared" si="3"/>
        <v>3893175.0000000009</v>
      </c>
      <c r="T35" s="41">
        <v>0</v>
      </c>
      <c r="U35" s="41">
        <v>0</v>
      </c>
      <c r="V35" s="70">
        <f t="shared" si="4"/>
        <v>0</v>
      </c>
      <c r="W35" s="41">
        <v>0</v>
      </c>
      <c r="X35" s="41">
        <v>0</v>
      </c>
      <c r="Y35" s="70">
        <f t="shared" si="5"/>
        <v>0</v>
      </c>
      <c r="Z35" s="41">
        <v>0</v>
      </c>
      <c r="AA35" s="41">
        <v>0</v>
      </c>
      <c r="AB35" s="70">
        <f t="shared" si="6"/>
        <v>0</v>
      </c>
      <c r="AC35" s="41">
        <v>0</v>
      </c>
      <c r="AD35" s="41">
        <v>0</v>
      </c>
      <c r="AE35" s="70">
        <f t="shared" si="7"/>
        <v>0</v>
      </c>
      <c r="AF35" s="28">
        <f t="shared" si="8"/>
        <v>17578275.000000004</v>
      </c>
      <c r="AG35" s="28">
        <f t="shared" si="9"/>
        <v>17199.877690802354</v>
      </c>
    </row>
    <row r="36" spans="1:33" ht="57.6" x14ac:dyDescent="0.3">
      <c r="A36" s="41" t="s">
        <v>697</v>
      </c>
      <c r="B36" s="41" t="s">
        <v>692</v>
      </c>
      <c r="C36" s="41" t="s">
        <v>662</v>
      </c>
      <c r="D36" s="41" t="s">
        <v>74</v>
      </c>
      <c r="E36" s="41" t="s">
        <v>1319</v>
      </c>
      <c r="F36" s="41" t="s">
        <v>1303</v>
      </c>
      <c r="G36" s="83">
        <f>1999.2/7</f>
        <v>285.60000000000002</v>
      </c>
      <c r="H36" s="41"/>
      <c r="I36" s="41"/>
      <c r="J36" s="83">
        <f t="shared" si="0"/>
        <v>0</v>
      </c>
      <c r="K36" s="41"/>
      <c r="L36" s="41"/>
      <c r="M36" s="70">
        <f t="shared" si="1"/>
        <v>0</v>
      </c>
      <c r="N36" s="41">
        <f>2*135*29</f>
        <v>7830</v>
      </c>
      <c r="O36" s="41">
        <v>1</v>
      </c>
      <c r="P36" s="70">
        <f t="shared" si="2"/>
        <v>2705860.0800000005</v>
      </c>
      <c r="Q36" s="41"/>
      <c r="R36" s="41"/>
      <c r="S36" s="70">
        <f t="shared" si="3"/>
        <v>0</v>
      </c>
      <c r="T36" s="41"/>
      <c r="U36" s="41"/>
      <c r="V36" s="70">
        <f t="shared" si="4"/>
        <v>0</v>
      </c>
      <c r="W36" s="41"/>
      <c r="X36" s="41"/>
      <c r="Y36" s="70">
        <f t="shared" si="5"/>
        <v>0</v>
      </c>
      <c r="Z36" s="41"/>
      <c r="AA36" s="41"/>
      <c r="AB36" s="70">
        <f t="shared" si="6"/>
        <v>0</v>
      </c>
      <c r="AC36" s="41"/>
      <c r="AD36" s="41"/>
      <c r="AE36" s="70">
        <f t="shared" si="7"/>
        <v>0</v>
      </c>
      <c r="AF36" s="28">
        <f t="shared" si="8"/>
        <v>2705860.0800000005</v>
      </c>
      <c r="AG36" s="28">
        <f t="shared" si="9"/>
        <v>2647.6126027397268</v>
      </c>
    </row>
    <row r="37" spans="1:33" ht="57.6" x14ac:dyDescent="0.3">
      <c r="A37" s="41" t="s">
        <v>697</v>
      </c>
      <c r="B37" s="41" t="s">
        <v>692</v>
      </c>
      <c r="C37" s="41" t="s">
        <v>662</v>
      </c>
      <c r="D37" s="41" t="s">
        <v>74</v>
      </c>
      <c r="E37" s="41" t="s">
        <v>1319</v>
      </c>
      <c r="F37" s="41" t="s">
        <v>712</v>
      </c>
      <c r="G37" s="83">
        <f>1999.2/7</f>
        <v>285.60000000000002</v>
      </c>
      <c r="H37" s="41"/>
      <c r="I37" s="41"/>
      <c r="J37" s="83">
        <f t="shared" si="0"/>
        <v>0</v>
      </c>
      <c r="K37" s="41">
        <v>0</v>
      </c>
      <c r="L37" s="41">
        <v>0</v>
      </c>
      <c r="M37" s="70">
        <f t="shared" si="1"/>
        <v>0</v>
      </c>
      <c r="N37" s="41">
        <f>25*2*29</f>
        <v>1450</v>
      </c>
      <c r="O37" s="41">
        <v>5</v>
      </c>
      <c r="P37" s="70">
        <f t="shared" si="2"/>
        <v>2505426.0000000005</v>
      </c>
      <c r="Q37" s="41">
        <v>4000</v>
      </c>
      <c r="R37" s="41">
        <v>1</v>
      </c>
      <c r="S37" s="70">
        <f t="shared" si="3"/>
        <v>1520534.4000000006</v>
      </c>
      <c r="T37" s="41">
        <v>0</v>
      </c>
      <c r="U37" s="41">
        <v>0</v>
      </c>
      <c r="V37" s="70">
        <f t="shared" si="4"/>
        <v>0</v>
      </c>
      <c r="W37" s="41">
        <v>0</v>
      </c>
      <c r="X37" s="41">
        <v>0</v>
      </c>
      <c r="Y37" s="70">
        <f t="shared" si="5"/>
        <v>0</v>
      </c>
      <c r="Z37" s="41">
        <v>0</v>
      </c>
      <c r="AA37" s="41">
        <v>0</v>
      </c>
      <c r="AB37" s="70">
        <f t="shared" si="6"/>
        <v>0</v>
      </c>
      <c r="AC37" s="41">
        <v>0</v>
      </c>
      <c r="AD37" s="41">
        <v>0</v>
      </c>
      <c r="AE37" s="70">
        <f t="shared" si="7"/>
        <v>0</v>
      </c>
      <c r="AF37" s="28">
        <f t="shared" si="8"/>
        <v>4025960.4000000013</v>
      </c>
      <c r="AG37" s="28">
        <f t="shared" si="9"/>
        <v>3939.2958904109601</v>
      </c>
    </row>
    <row r="38" spans="1:33" ht="57.6" x14ac:dyDescent="0.3">
      <c r="A38" s="41" t="s">
        <v>697</v>
      </c>
      <c r="B38" s="41" t="s">
        <v>692</v>
      </c>
      <c r="C38" s="41" t="s">
        <v>662</v>
      </c>
      <c r="D38" s="41" t="s">
        <v>74</v>
      </c>
      <c r="E38" s="41" t="s">
        <v>426</v>
      </c>
      <c r="F38" s="41" t="s">
        <v>709</v>
      </c>
      <c r="G38" s="83">
        <v>35000</v>
      </c>
      <c r="H38" s="41"/>
      <c r="I38" s="41"/>
      <c r="J38" s="83">
        <f t="shared" si="0"/>
        <v>0</v>
      </c>
      <c r="K38" s="41">
        <v>0</v>
      </c>
      <c r="L38" s="41">
        <v>0</v>
      </c>
      <c r="M38" s="70">
        <f t="shared" si="1"/>
        <v>0</v>
      </c>
      <c r="N38" s="41">
        <v>100</v>
      </c>
      <c r="O38" s="41">
        <v>1</v>
      </c>
      <c r="P38" s="70">
        <f t="shared" si="2"/>
        <v>4235000.0000000009</v>
      </c>
      <c r="Q38" s="41">
        <v>30</v>
      </c>
      <c r="R38" s="41">
        <v>1</v>
      </c>
      <c r="S38" s="70">
        <f t="shared" si="3"/>
        <v>1397550.0000000005</v>
      </c>
      <c r="T38" s="41">
        <v>0</v>
      </c>
      <c r="U38" s="41">
        <v>0</v>
      </c>
      <c r="V38" s="70">
        <f t="shared" si="4"/>
        <v>0</v>
      </c>
      <c r="W38" s="41">
        <v>0</v>
      </c>
      <c r="X38" s="41">
        <v>0</v>
      </c>
      <c r="Y38" s="70">
        <f t="shared" si="5"/>
        <v>0</v>
      </c>
      <c r="Z38" s="41">
        <v>0</v>
      </c>
      <c r="AA38" s="41">
        <v>0</v>
      </c>
      <c r="AB38" s="70">
        <f t="shared" si="6"/>
        <v>0</v>
      </c>
      <c r="AC38" s="41">
        <v>0</v>
      </c>
      <c r="AD38" s="41">
        <v>0</v>
      </c>
      <c r="AE38" s="70">
        <f t="shared" si="7"/>
        <v>0</v>
      </c>
      <c r="AF38" s="28">
        <f t="shared" si="8"/>
        <v>5632550.0000000019</v>
      </c>
      <c r="AG38" s="28">
        <f t="shared" si="9"/>
        <v>5511.3013698630157</v>
      </c>
    </row>
    <row r="39" spans="1:33" ht="57.6" x14ac:dyDescent="0.3">
      <c r="A39" s="41" t="s">
        <v>697</v>
      </c>
      <c r="B39" s="41" t="s">
        <v>692</v>
      </c>
      <c r="C39" s="41" t="s">
        <v>662</v>
      </c>
      <c r="D39" s="41" t="s">
        <v>74</v>
      </c>
      <c r="E39" s="41" t="s">
        <v>427</v>
      </c>
      <c r="F39" s="41" t="s">
        <v>709</v>
      </c>
      <c r="G39" s="83">
        <v>35000</v>
      </c>
      <c r="H39" s="41"/>
      <c r="I39" s="41"/>
      <c r="J39" s="83">
        <f t="shared" si="0"/>
        <v>0</v>
      </c>
      <c r="K39" s="41">
        <v>0</v>
      </c>
      <c r="L39" s="41">
        <v>0</v>
      </c>
      <c r="M39" s="70">
        <f t="shared" si="1"/>
        <v>0</v>
      </c>
      <c r="N39" s="41">
        <v>30</v>
      </c>
      <c r="O39" s="41">
        <v>1</v>
      </c>
      <c r="P39" s="70">
        <f t="shared" si="2"/>
        <v>1270500.0000000002</v>
      </c>
      <c r="Q39" s="41">
        <v>30</v>
      </c>
      <c r="R39" s="41">
        <v>1</v>
      </c>
      <c r="S39" s="70">
        <f t="shared" si="3"/>
        <v>1397550.0000000005</v>
      </c>
      <c r="T39" s="41">
        <v>0</v>
      </c>
      <c r="U39" s="41">
        <v>0</v>
      </c>
      <c r="V39" s="70">
        <f t="shared" si="4"/>
        <v>0</v>
      </c>
      <c r="W39" s="41">
        <v>0</v>
      </c>
      <c r="X39" s="41">
        <v>0</v>
      </c>
      <c r="Y39" s="70">
        <f t="shared" si="5"/>
        <v>0</v>
      </c>
      <c r="Z39" s="41">
        <v>0</v>
      </c>
      <c r="AA39" s="41">
        <v>0</v>
      </c>
      <c r="AB39" s="70">
        <f t="shared" si="6"/>
        <v>0</v>
      </c>
      <c r="AC39" s="41">
        <v>0</v>
      </c>
      <c r="AD39" s="41">
        <v>0</v>
      </c>
      <c r="AE39" s="70">
        <f t="shared" si="7"/>
        <v>0</v>
      </c>
      <c r="AF39" s="28">
        <f t="shared" si="8"/>
        <v>2668050.0000000009</v>
      </c>
      <c r="AG39" s="28">
        <f t="shared" si="9"/>
        <v>2610.6164383561654</v>
      </c>
    </row>
    <row r="40" spans="1:33" ht="57.6" x14ac:dyDescent="0.3">
      <c r="A40" s="41" t="s">
        <v>697</v>
      </c>
      <c r="B40" s="41" t="s">
        <v>692</v>
      </c>
      <c r="C40" s="41" t="s">
        <v>662</v>
      </c>
      <c r="D40" s="41" t="s">
        <v>74</v>
      </c>
      <c r="E40" s="41" t="s">
        <v>173</v>
      </c>
      <c r="F40" s="41" t="s">
        <v>718</v>
      </c>
      <c r="G40" s="83">
        <v>0</v>
      </c>
      <c r="H40" s="41"/>
      <c r="I40" s="41"/>
      <c r="J40" s="83">
        <f t="shared" si="0"/>
        <v>0</v>
      </c>
      <c r="K40" s="41">
        <v>0</v>
      </c>
      <c r="L40" s="41">
        <v>0</v>
      </c>
      <c r="M40" s="70">
        <f t="shared" si="1"/>
        <v>0</v>
      </c>
      <c r="N40" s="41">
        <v>0</v>
      </c>
      <c r="O40" s="41">
        <v>0</v>
      </c>
      <c r="P40" s="70">
        <f t="shared" si="2"/>
        <v>0</v>
      </c>
      <c r="Q40" s="41">
        <v>0</v>
      </c>
      <c r="R40" s="41">
        <v>0</v>
      </c>
      <c r="S40" s="70">
        <f t="shared" si="3"/>
        <v>0</v>
      </c>
      <c r="T40" s="41">
        <v>0</v>
      </c>
      <c r="U40" s="41">
        <v>0</v>
      </c>
      <c r="V40" s="70">
        <f t="shared" si="4"/>
        <v>0</v>
      </c>
      <c r="W40" s="41">
        <v>0</v>
      </c>
      <c r="X40" s="41">
        <v>0</v>
      </c>
      <c r="Y40" s="70">
        <f t="shared" si="5"/>
        <v>0</v>
      </c>
      <c r="Z40" s="41">
        <v>0</v>
      </c>
      <c r="AA40" s="41">
        <v>0</v>
      </c>
      <c r="AB40" s="70">
        <f t="shared" si="6"/>
        <v>0</v>
      </c>
      <c r="AC40" s="41">
        <v>0</v>
      </c>
      <c r="AD40" s="41">
        <v>0</v>
      </c>
      <c r="AE40" s="70">
        <f t="shared" si="7"/>
        <v>0</v>
      </c>
      <c r="AF40" s="28">
        <f t="shared" si="8"/>
        <v>0</v>
      </c>
      <c r="AG40" s="28">
        <f t="shared" si="9"/>
        <v>0</v>
      </c>
    </row>
    <row r="41" spans="1:33" ht="57.6" x14ac:dyDescent="0.3">
      <c r="A41" s="41" t="s">
        <v>697</v>
      </c>
      <c r="B41" s="41" t="s">
        <v>692</v>
      </c>
      <c r="C41" s="41" t="s">
        <v>662</v>
      </c>
      <c r="D41" s="41" t="s">
        <v>75</v>
      </c>
      <c r="E41" s="41" t="s">
        <v>428</v>
      </c>
      <c r="F41" s="41" t="s">
        <v>718</v>
      </c>
      <c r="G41" s="83">
        <v>0</v>
      </c>
      <c r="H41" s="41"/>
      <c r="I41" s="41"/>
      <c r="J41" s="83">
        <f t="shared" si="0"/>
        <v>0</v>
      </c>
      <c r="K41" s="41">
        <v>0</v>
      </c>
      <c r="L41" s="41">
        <v>0</v>
      </c>
      <c r="M41" s="70">
        <f t="shared" si="1"/>
        <v>0</v>
      </c>
      <c r="N41" s="41">
        <v>0</v>
      </c>
      <c r="O41" s="41">
        <v>0</v>
      </c>
      <c r="P41" s="70">
        <f t="shared" si="2"/>
        <v>0</v>
      </c>
      <c r="Q41" s="41">
        <v>0</v>
      </c>
      <c r="R41" s="41">
        <v>0</v>
      </c>
      <c r="S41" s="70">
        <f t="shared" si="3"/>
        <v>0</v>
      </c>
      <c r="T41" s="41">
        <v>0</v>
      </c>
      <c r="U41" s="41">
        <v>0</v>
      </c>
      <c r="V41" s="70">
        <f t="shared" si="4"/>
        <v>0</v>
      </c>
      <c r="W41" s="41">
        <v>0</v>
      </c>
      <c r="X41" s="41">
        <v>0</v>
      </c>
      <c r="Y41" s="70">
        <f t="shared" si="5"/>
        <v>0</v>
      </c>
      <c r="Z41" s="41">
        <v>0</v>
      </c>
      <c r="AA41" s="41">
        <v>0</v>
      </c>
      <c r="AB41" s="70">
        <f t="shared" si="6"/>
        <v>0</v>
      </c>
      <c r="AC41" s="41">
        <v>0</v>
      </c>
      <c r="AD41" s="41">
        <v>0</v>
      </c>
      <c r="AE41" s="70">
        <f t="shared" si="7"/>
        <v>0</v>
      </c>
      <c r="AF41" s="28">
        <f t="shared" si="8"/>
        <v>0</v>
      </c>
      <c r="AG41" s="28">
        <f t="shared" si="9"/>
        <v>0</v>
      </c>
    </row>
    <row r="42" spans="1:33" ht="57.6" x14ac:dyDescent="0.3">
      <c r="A42" s="41" t="s">
        <v>697</v>
      </c>
      <c r="B42" s="41" t="s">
        <v>692</v>
      </c>
      <c r="C42" s="41" t="s">
        <v>662</v>
      </c>
      <c r="D42" s="41" t="s">
        <v>75</v>
      </c>
      <c r="E42" s="41" t="s">
        <v>429</v>
      </c>
      <c r="F42" s="41" t="s">
        <v>718</v>
      </c>
      <c r="G42" s="83">
        <v>0</v>
      </c>
      <c r="H42" s="41"/>
      <c r="I42" s="41"/>
      <c r="J42" s="83">
        <f t="shared" si="0"/>
        <v>0</v>
      </c>
      <c r="K42" s="41">
        <v>0</v>
      </c>
      <c r="L42" s="41">
        <v>0</v>
      </c>
      <c r="M42" s="70">
        <f t="shared" si="1"/>
        <v>0</v>
      </c>
      <c r="N42" s="41">
        <v>0</v>
      </c>
      <c r="O42" s="41">
        <v>0</v>
      </c>
      <c r="P42" s="70">
        <f t="shared" si="2"/>
        <v>0</v>
      </c>
      <c r="Q42" s="41">
        <v>0</v>
      </c>
      <c r="R42" s="41">
        <v>0</v>
      </c>
      <c r="S42" s="70">
        <f t="shared" si="3"/>
        <v>0</v>
      </c>
      <c r="T42" s="41">
        <v>0</v>
      </c>
      <c r="U42" s="41">
        <v>0</v>
      </c>
      <c r="V42" s="70">
        <f t="shared" si="4"/>
        <v>0</v>
      </c>
      <c r="W42" s="41">
        <v>0</v>
      </c>
      <c r="X42" s="41">
        <v>0</v>
      </c>
      <c r="Y42" s="70">
        <f t="shared" si="5"/>
        <v>0</v>
      </c>
      <c r="Z42" s="41">
        <v>0</v>
      </c>
      <c r="AA42" s="41">
        <v>0</v>
      </c>
      <c r="AB42" s="70">
        <f t="shared" si="6"/>
        <v>0</v>
      </c>
      <c r="AC42" s="41">
        <v>0</v>
      </c>
      <c r="AD42" s="41">
        <v>0</v>
      </c>
      <c r="AE42" s="70">
        <f t="shared" si="7"/>
        <v>0</v>
      </c>
      <c r="AF42" s="28">
        <f t="shared" si="8"/>
        <v>0</v>
      </c>
      <c r="AG42" s="28">
        <f t="shared" si="9"/>
        <v>0</v>
      </c>
    </row>
    <row r="43" spans="1:33" ht="57.6" x14ac:dyDescent="0.3">
      <c r="A43" s="41" t="s">
        <v>697</v>
      </c>
      <c r="B43" s="41" t="s">
        <v>692</v>
      </c>
      <c r="C43" s="41" t="s">
        <v>662</v>
      </c>
      <c r="D43" s="41" t="s">
        <v>75</v>
      </c>
      <c r="E43" s="41" t="s">
        <v>161</v>
      </c>
      <c r="F43" s="41" t="s">
        <v>709</v>
      </c>
      <c r="G43" s="83">
        <v>35000</v>
      </c>
      <c r="H43" s="41"/>
      <c r="I43" s="41"/>
      <c r="J43" s="83">
        <f t="shared" si="0"/>
        <v>0</v>
      </c>
      <c r="K43" s="41">
        <v>0</v>
      </c>
      <c r="L43" s="41">
        <v>0</v>
      </c>
      <c r="M43" s="70">
        <f t="shared" si="1"/>
        <v>0</v>
      </c>
      <c r="N43" s="41">
        <v>1800</v>
      </c>
      <c r="O43" s="41">
        <v>5</v>
      </c>
      <c r="P43" s="70">
        <f t="shared" si="2"/>
        <v>381150000.00000006</v>
      </c>
      <c r="Q43" s="41">
        <v>0</v>
      </c>
      <c r="R43" s="41">
        <v>0</v>
      </c>
      <c r="S43" s="70">
        <f t="shared" si="3"/>
        <v>0</v>
      </c>
      <c r="T43" s="41">
        <v>30</v>
      </c>
      <c r="U43" s="41">
        <v>5</v>
      </c>
      <c r="V43" s="70">
        <f t="shared" si="4"/>
        <v>7686525.0000000019</v>
      </c>
      <c r="W43" s="41">
        <v>0</v>
      </c>
      <c r="X43" s="41">
        <v>0</v>
      </c>
      <c r="Y43" s="70">
        <f t="shared" si="5"/>
        <v>0</v>
      </c>
      <c r="Z43" s="41">
        <v>0</v>
      </c>
      <c r="AA43" s="41">
        <v>0</v>
      </c>
      <c r="AB43" s="70">
        <f t="shared" si="6"/>
        <v>0</v>
      </c>
      <c r="AC43" s="41">
        <v>0</v>
      </c>
      <c r="AD43" s="41">
        <v>0</v>
      </c>
      <c r="AE43" s="70">
        <f t="shared" si="7"/>
        <v>0</v>
      </c>
      <c r="AF43" s="28">
        <f t="shared" si="8"/>
        <v>388836525.00000006</v>
      </c>
      <c r="AG43" s="28">
        <f t="shared" si="9"/>
        <v>380466.26712328772</v>
      </c>
    </row>
    <row r="44" spans="1:33" ht="57.6" x14ac:dyDescent="0.3">
      <c r="A44" s="41" t="s">
        <v>697</v>
      </c>
      <c r="B44" s="41" t="s">
        <v>692</v>
      </c>
      <c r="C44" s="41" t="s">
        <v>662</v>
      </c>
      <c r="D44" s="41" t="s">
        <v>75</v>
      </c>
      <c r="E44" s="41" t="s">
        <v>161</v>
      </c>
      <c r="F44" s="41" t="s">
        <v>1303</v>
      </c>
      <c r="G44" s="83">
        <f>1999.2/7</f>
        <v>285.60000000000002</v>
      </c>
      <c r="H44" s="41"/>
      <c r="I44" s="41"/>
      <c r="J44" s="83">
        <f t="shared" si="0"/>
        <v>0</v>
      </c>
      <c r="K44" s="41">
        <v>0</v>
      </c>
      <c r="L44" s="41">
        <v>0</v>
      </c>
      <c r="M44" s="70">
        <f t="shared" si="1"/>
        <v>0</v>
      </c>
      <c r="N44" s="41">
        <f>22500*4</f>
        <v>90000</v>
      </c>
      <c r="O44" s="41">
        <v>1</v>
      </c>
      <c r="P44" s="70">
        <f t="shared" si="2"/>
        <v>31101840.000000007</v>
      </c>
      <c r="Q44" s="41">
        <v>0</v>
      </c>
      <c r="R44" s="41">
        <v>0</v>
      </c>
      <c r="S44" s="70">
        <f t="shared" si="3"/>
        <v>0</v>
      </c>
      <c r="T44" s="41">
        <v>80</v>
      </c>
      <c r="U44" s="41">
        <v>5</v>
      </c>
      <c r="V44" s="70">
        <f t="shared" si="4"/>
        <v>167258.78400000004</v>
      </c>
      <c r="W44" s="41">
        <v>0</v>
      </c>
      <c r="X44" s="41">
        <v>0</v>
      </c>
      <c r="Y44" s="70">
        <f t="shared" si="5"/>
        <v>0</v>
      </c>
      <c r="Z44" s="41">
        <v>0</v>
      </c>
      <c r="AA44" s="41">
        <v>0</v>
      </c>
      <c r="AB44" s="70">
        <f t="shared" si="6"/>
        <v>0</v>
      </c>
      <c r="AC44" s="41">
        <v>0</v>
      </c>
      <c r="AD44" s="41">
        <v>0</v>
      </c>
      <c r="AE44" s="70">
        <f t="shared" si="7"/>
        <v>0</v>
      </c>
      <c r="AF44" s="28">
        <f t="shared" si="8"/>
        <v>31269098.784000009</v>
      </c>
      <c r="AG44" s="28">
        <f t="shared" si="9"/>
        <v>30595.987068493159</v>
      </c>
    </row>
    <row r="45" spans="1:33" ht="57.6" x14ac:dyDescent="0.3">
      <c r="A45" s="41" t="s">
        <v>697</v>
      </c>
      <c r="B45" s="41" t="s">
        <v>692</v>
      </c>
      <c r="C45" s="41" t="s">
        <v>662</v>
      </c>
      <c r="D45" s="41" t="s">
        <v>75</v>
      </c>
      <c r="E45" s="41" t="s">
        <v>161</v>
      </c>
      <c r="F45" s="41" t="s">
        <v>712</v>
      </c>
      <c r="G45" s="83">
        <f>1999.2/7</f>
        <v>285.60000000000002</v>
      </c>
      <c r="H45" s="41"/>
      <c r="I45" s="41"/>
      <c r="J45" s="83">
        <f t="shared" si="0"/>
        <v>0</v>
      </c>
      <c r="K45" s="41">
        <v>0</v>
      </c>
      <c r="L45" s="41">
        <v>0</v>
      </c>
      <c r="M45" s="70">
        <f t="shared" si="1"/>
        <v>0</v>
      </c>
      <c r="N45" s="41">
        <f>22500</f>
        <v>22500</v>
      </c>
      <c r="O45" s="41">
        <v>5</v>
      </c>
      <c r="P45" s="70">
        <f t="shared" si="2"/>
        <v>38877300.000000007</v>
      </c>
      <c r="Q45" s="41">
        <v>0</v>
      </c>
      <c r="R45" s="41">
        <v>0</v>
      </c>
      <c r="S45" s="70">
        <f t="shared" si="3"/>
        <v>0</v>
      </c>
      <c r="T45" s="41">
        <v>20000</v>
      </c>
      <c r="U45" s="41">
        <v>1</v>
      </c>
      <c r="V45" s="70">
        <f t="shared" si="4"/>
        <v>8362939.200000003</v>
      </c>
      <c r="W45" s="41">
        <v>0</v>
      </c>
      <c r="X45" s="41">
        <v>0</v>
      </c>
      <c r="Y45" s="70">
        <f t="shared" si="5"/>
        <v>0</v>
      </c>
      <c r="Z45" s="41">
        <v>0</v>
      </c>
      <c r="AA45" s="41">
        <v>0</v>
      </c>
      <c r="AB45" s="70">
        <f t="shared" si="6"/>
        <v>0</v>
      </c>
      <c r="AC45" s="41">
        <v>0</v>
      </c>
      <c r="AD45" s="41">
        <v>0</v>
      </c>
      <c r="AE45" s="70">
        <f t="shared" si="7"/>
        <v>0</v>
      </c>
      <c r="AF45" s="28">
        <f t="shared" si="8"/>
        <v>47240239.20000001</v>
      </c>
      <c r="AG45" s="28">
        <f t="shared" si="9"/>
        <v>46223.32602739727</v>
      </c>
    </row>
    <row r="46" spans="1:33" ht="57.6" x14ac:dyDescent="0.3">
      <c r="A46" s="41" t="s">
        <v>697</v>
      </c>
      <c r="B46" s="41" t="s">
        <v>692</v>
      </c>
      <c r="C46" s="41" t="s">
        <v>662</v>
      </c>
      <c r="D46" s="41" t="s">
        <v>75</v>
      </c>
      <c r="E46" s="41" t="s">
        <v>161</v>
      </c>
      <c r="F46" s="41" t="s">
        <v>716</v>
      </c>
      <c r="G46" s="83">
        <v>39000</v>
      </c>
      <c r="H46" s="41"/>
      <c r="I46" s="41"/>
      <c r="J46" s="83">
        <f t="shared" si="0"/>
        <v>0</v>
      </c>
      <c r="K46" s="41">
        <v>0</v>
      </c>
      <c r="L46" s="41">
        <v>0</v>
      </c>
      <c r="M46" s="70">
        <f t="shared" si="1"/>
        <v>0</v>
      </c>
      <c r="N46" s="41">
        <v>1800</v>
      </c>
      <c r="O46" s="41">
        <v>6</v>
      </c>
      <c r="P46" s="70">
        <f t="shared" si="2"/>
        <v>509652000.00000012</v>
      </c>
      <c r="Q46" s="41">
        <v>0</v>
      </c>
      <c r="R46" s="41">
        <v>0</v>
      </c>
      <c r="S46" s="70">
        <f t="shared" si="3"/>
        <v>0</v>
      </c>
      <c r="T46" s="41">
        <v>80</v>
      </c>
      <c r="U46" s="41">
        <v>5</v>
      </c>
      <c r="V46" s="70">
        <f t="shared" si="4"/>
        <v>22839960.000000004</v>
      </c>
      <c r="W46" s="41">
        <v>0</v>
      </c>
      <c r="X46" s="41">
        <v>0</v>
      </c>
      <c r="Y46" s="70">
        <f t="shared" si="5"/>
        <v>0</v>
      </c>
      <c r="Z46" s="41">
        <v>0</v>
      </c>
      <c r="AA46" s="41">
        <v>0</v>
      </c>
      <c r="AB46" s="70">
        <f t="shared" si="6"/>
        <v>0</v>
      </c>
      <c r="AC46" s="41">
        <v>0</v>
      </c>
      <c r="AD46" s="41">
        <v>0</v>
      </c>
      <c r="AE46" s="70">
        <f t="shared" si="7"/>
        <v>0</v>
      </c>
      <c r="AF46" s="28">
        <f t="shared" si="8"/>
        <v>532491960.00000012</v>
      </c>
      <c r="AG46" s="28">
        <f t="shared" si="9"/>
        <v>521029.31506849325</v>
      </c>
    </row>
    <row r="47" spans="1:33" ht="57.6" x14ac:dyDescent="0.3">
      <c r="A47" s="41" t="s">
        <v>697</v>
      </c>
      <c r="B47" s="41" t="s">
        <v>692</v>
      </c>
      <c r="C47" s="41" t="s">
        <v>662</v>
      </c>
      <c r="D47" s="41" t="s">
        <v>76</v>
      </c>
      <c r="E47" s="41" t="s">
        <v>430</v>
      </c>
      <c r="F47" s="41" t="s">
        <v>718</v>
      </c>
      <c r="G47" s="83">
        <v>0</v>
      </c>
      <c r="H47" s="41"/>
      <c r="I47" s="41"/>
      <c r="J47" s="83">
        <f t="shared" si="0"/>
        <v>0</v>
      </c>
      <c r="K47" s="41">
        <v>0</v>
      </c>
      <c r="L47" s="41">
        <v>0</v>
      </c>
      <c r="M47" s="70">
        <f t="shared" si="1"/>
        <v>0</v>
      </c>
      <c r="N47" s="41">
        <v>0</v>
      </c>
      <c r="O47" s="41">
        <v>0</v>
      </c>
      <c r="P47" s="70">
        <f t="shared" si="2"/>
        <v>0</v>
      </c>
      <c r="Q47" s="41">
        <v>0</v>
      </c>
      <c r="R47" s="41">
        <v>0</v>
      </c>
      <c r="S47" s="70">
        <f t="shared" si="3"/>
        <v>0</v>
      </c>
      <c r="T47" s="41">
        <v>0</v>
      </c>
      <c r="U47" s="41">
        <v>0</v>
      </c>
      <c r="V47" s="70">
        <f t="shared" si="4"/>
        <v>0</v>
      </c>
      <c r="W47" s="41">
        <v>0</v>
      </c>
      <c r="X47" s="41">
        <v>0</v>
      </c>
      <c r="Y47" s="70">
        <f t="shared" si="5"/>
        <v>0</v>
      </c>
      <c r="Z47" s="41">
        <v>0</v>
      </c>
      <c r="AA47" s="41">
        <v>0</v>
      </c>
      <c r="AB47" s="70">
        <f t="shared" si="6"/>
        <v>0</v>
      </c>
      <c r="AC47" s="41">
        <v>0</v>
      </c>
      <c r="AD47" s="41">
        <v>0</v>
      </c>
      <c r="AE47" s="70">
        <f t="shared" si="7"/>
        <v>0</v>
      </c>
      <c r="AF47" s="28">
        <f t="shared" si="8"/>
        <v>0</v>
      </c>
      <c r="AG47" s="28">
        <f t="shared" si="9"/>
        <v>0</v>
      </c>
    </row>
    <row r="48" spans="1:33" ht="57.6" x14ac:dyDescent="0.3">
      <c r="A48" s="41" t="s">
        <v>697</v>
      </c>
      <c r="B48" s="41" t="s">
        <v>692</v>
      </c>
      <c r="C48" s="41" t="s">
        <v>662</v>
      </c>
      <c r="D48" s="41" t="s">
        <v>76</v>
      </c>
      <c r="E48" s="41" t="s">
        <v>149</v>
      </c>
      <c r="F48" s="41" t="s">
        <v>707</v>
      </c>
      <c r="G48" s="83">
        <v>391991.03749999998</v>
      </c>
      <c r="H48" s="41"/>
      <c r="I48" s="41"/>
      <c r="J48" s="83">
        <f t="shared" si="0"/>
        <v>0</v>
      </c>
      <c r="K48" s="41">
        <v>0</v>
      </c>
      <c r="L48" s="41">
        <v>0</v>
      </c>
      <c r="M48" s="70">
        <f t="shared" si="1"/>
        <v>0</v>
      </c>
      <c r="N48" s="41">
        <v>2</v>
      </c>
      <c r="O48" s="41">
        <v>2</v>
      </c>
      <c r="P48" s="70">
        <f t="shared" si="2"/>
        <v>1897236.6215000001</v>
      </c>
      <c r="Q48" s="41">
        <v>1</v>
      </c>
      <c r="R48" s="41">
        <v>6</v>
      </c>
      <c r="S48" s="70">
        <f t="shared" si="3"/>
        <v>3130440.4254750009</v>
      </c>
      <c r="T48" s="41">
        <v>0</v>
      </c>
      <c r="U48" s="41">
        <v>0</v>
      </c>
      <c r="V48" s="70">
        <f t="shared" si="4"/>
        <v>0</v>
      </c>
      <c r="W48" s="41">
        <v>0</v>
      </c>
      <c r="X48" s="41">
        <v>0</v>
      </c>
      <c r="Y48" s="70">
        <f t="shared" si="5"/>
        <v>0</v>
      </c>
      <c r="Z48" s="41">
        <v>0</v>
      </c>
      <c r="AA48" s="41">
        <v>0</v>
      </c>
      <c r="AB48" s="70">
        <f t="shared" si="6"/>
        <v>0</v>
      </c>
      <c r="AC48" s="41">
        <v>0</v>
      </c>
      <c r="AD48" s="41">
        <v>0</v>
      </c>
      <c r="AE48" s="70">
        <f t="shared" si="7"/>
        <v>0</v>
      </c>
      <c r="AF48" s="28">
        <f t="shared" si="8"/>
        <v>5027677.0469750008</v>
      </c>
      <c r="AG48" s="28">
        <f t="shared" si="9"/>
        <v>4919.4491653375744</v>
      </c>
    </row>
    <row r="49" spans="1:33" ht="57.6" x14ac:dyDescent="0.3">
      <c r="A49" s="41" t="s">
        <v>697</v>
      </c>
      <c r="B49" s="41" t="s">
        <v>692</v>
      </c>
      <c r="C49" s="41" t="s">
        <v>662</v>
      </c>
      <c r="D49" s="41" t="s">
        <v>76</v>
      </c>
      <c r="E49" s="41" t="s">
        <v>149</v>
      </c>
      <c r="F49" s="41" t="s">
        <v>708</v>
      </c>
      <c r="G49" s="83">
        <f>500*1022</f>
        <v>511000</v>
      </c>
      <c r="H49" s="41"/>
      <c r="I49" s="41"/>
      <c r="J49" s="83">
        <f t="shared" si="0"/>
        <v>0</v>
      </c>
      <c r="K49" s="41">
        <v>0</v>
      </c>
      <c r="L49" s="41">
        <v>0</v>
      </c>
      <c r="M49" s="70">
        <f t="shared" si="1"/>
        <v>0</v>
      </c>
      <c r="N49" s="41">
        <v>1</v>
      </c>
      <c r="O49" s="41">
        <v>25</v>
      </c>
      <c r="P49" s="70">
        <f t="shared" si="2"/>
        <v>15457750.000000004</v>
      </c>
      <c r="Q49" s="41">
        <v>1</v>
      </c>
      <c r="R49" s="41">
        <v>40</v>
      </c>
      <c r="S49" s="70">
        <f t="shared" si="3"/>
        <v>27205640.000000007</v>
      </c>
      <c r="T49" s="41">
        <v>0</v>
      </c>
      <c r="U49" s="41">
        <v>0</v>
      </c>
      <c r="V49" s="70">
        <f t="shared" si="4"/>
        <v>0</v>
      </c>
      <c r="W49" s="41">
        <v>0</v>
      </c>
      <c r="X49" s="41">
        <v>0</v>
      </c>
      <c r="Y49" s="70">
        <f t="shared" si="5"/>
        <v>0</v>
      </c>
      <c r="Z49" s="41">
        <v>0</v>
      </c>
      <c r="AA49" s="41">
        <v>0</v>
      </c>
      <c r="AB49" s="70">
        <f t="shared" si="6"/>
        <v>0</v>
      </c>
      <c r="AC49" s="41">
        <v>0</v>
      </c>
      <c r="AD49" s="41">
        <v>0</v>
      </c>
      <c r="AE49" s="70">
        <f t="shared" si="7"/>
        <v>0</v>
      </c>
      <c r="AF49" s="28">
        <f t="shared" si="8"/>
        <v>42663390.000000015</v>
      </c>
      <c r="AG49" s="28">
        <f t="shared" si="9"/>
        <v>41745.000000000015</v>
      </c>
    </row>
    <row r="50" spans="1:33" ht="57.6" x14ac:dyDescent="0.3">
      <c r="A50" s="41" t="s">
        <v>697</v>
      </c>
      <c r="B50" s="41" t="s">
        <v>692</v>
      </c>
      <c r="C50" s="41" t="s">
        <v>662</v>
      </c>
      <c r="D50" s="41" t="s">
        <v>76</v>
      </c>
      <c r="E50" s="41" t="s">
        <v>431</v>
      </c>
      <c r="F50" s="41" t="s">
        <v>709</v>
      </c>
      <c r="G50" s="83">
        <v>35000</v>
      </c>
      <c r="H50" s="41"/>
      <c r="I50" s="41"/>
      <c r="J50" s="83">
        <f t="shared" si="0"/>
        <v>0</v>
      </c>
      <c r="K50" s="41">
        <v>0</v>
      </c>
      <c r="L50" s="41">
        <v>0</v>
      </c>
      <c r="M50" s="70">
        <f t="shared" si="1"/>
        <v>0</v>
      </c>
      <c r="N50" s="41">
        <v>100</v>
      </c>
      <c r="O50" s="41">
        <v>5</v>
      </c>
      <c r="P50" s="70">
        <f t="shared" si="2"/>
        <v>21175000.000000004</v>
      </c>
      <c r="Q50" s="41">
        <v>30</v>
      </c>
      <c r="R50" s="41">
        <v>1</v>
      </c>
      <c r="S50" s="70">
        <f t="shared" si="3"/>
        <v>1397550.0000000005</v>
      </c>
      <c r="T50" s="41">
        <v>0</v>
      </c>
      <c r="U50" s="41">
        <v>0</v>
      </c>
      <c r="V50" s="70">
        <f t="shared" si="4"/>
        <v>0</v>
      </c>
      <c r="W50" s="41">
        <v>0</v>
      </c>
      <c r="X50" s="41">
        <v>0</v>
      </c>
      <c r="Y50" s="70">
        <f t="shared" si="5"/>
        <v>0</v>
      </c>
      <c r="Z50" s="41">
        <v>0</v>
      </c>
      <c r="AA50" s="41">
        <v>0</v>
      </c>
      <c r="AB50" s="70">
        <f t="shared" si="6"/>
        <v>0</v>
      </c>
      <c r="AC50" s="41">
        <v>0</v>
      </c>
      <c r="AD50" s="41">
        <v>0</v>
      </c>
      <c r="AE50" s="70">
        <f t="shared" si="7"/>
        <v>0</v>
      </c>
      <c r="AF50" s="28">
        <f t="shared" si="8"/>
        <v>22572550.000000004</v>
      </c>
      <c r="AG50" s="28">
        <f t="shared" si="9"/>
        <v>22086.643835616444</v>
      </c>
    </row>
    <row r="51" spans="1:33" ht="57.6" x14ac:dyDescent="0.3">
      <c r="A51" s="41" t="s">
        <v>697</v>
      </c>
      <c r="B51" s="41" t="s">
        <v>692</v>
      </c>
      <c r="C51" s="41" t="s">
        <v>662</v>
      </c>
      <c r="D51" s="41" t="s">
        <v>76</v>
      </c>
      <c r="E51" s="41" t="s">
        <v>431</v>
      </c>
      <c r="F51" s="41" t="s">
        <v>716</v>
      </c>
      <c r="G51" s="83">
        <v>39000</v>
      </c>
      <c r="H51" s="41"/>
      <c r="I51" s="41"/>
      <c r="J51" s="83">
        <f t="shared" si="0"/>
        <v>0</v>
      </c>
      <c r="K51" s="41">
        <v>0</v>
      </c>
      <c r="L51" s="41">
        <v>0</v>
      </c>
      <c r="M51" s="70">
        <f t="shared" si="1"/>
        <v>0</v>
      </c>
      <c r="N51" s="41">
        <v>58</v>
      </c>
      <c r="O51" s="41">
        <v>6</v>
      </c>
      <c r="P51" s="70">
        <f t="shared" si="2"/>
        <v>16422120.000000004</v>
      </c>
      <c r="Q51" s="41">
        <v>30</v>
      </c>
      <c r="R51" s="41">
        <v>1</v>
      </c>
      <c r="S51" s="70">
        <f t="shared" si="3"/>
        <v>1557270.0000000005</v>
      </c>
      <c r="T51" s="41">
        <v>0</v>
      </c>
      <c r="U51" s="41">
        <v>0</v>
      </c>
      <c r="V51" s="70">
        <f t="shared" si="4"/>
        <v>0</v>
      </c>
      <c r="W51" s="41">
        <v>0</v>
      </c>
      <c r="X51" s="41">
        <v>0</v>
      </c>
      <c r="Y51" s="70">
        <f t="shared" si="5"/>
        <v>0</v>
      </c>
      <c r="Z51" s="41">
        <v>0</v>
      </c>
      <c r="AA51" s="41">
        <v>0</v>
      </c>
      <c r="AB51" s="70">
        <f t="shared" si="6"/>
        <v>0</v>
      </c>
      <c r="AC51" s="41">
        <v>0</v>
      </c>
      <c r="AD51" s="41">
        <v>0</v>
      </c>
      <c r="AE51" s="70">
        <f t="shared" si="7"/>
        <v>0</v>
      </c>
      <c r="AF51" s="28">
        <f t="shared" si="8"/>
        <v>17979390.000000004</v>
      </c>
      <c r="AG51" s="28">
        <f t="shared" si="9"/>
        <v>17592.358121330726</v>
      </c>
    </row>
    <row r="52" spans="1:33" ht="57.6" x14ac:dyDescent="0.3">
      <c r="A52" s="41" t="s">
        <v>697</v>
      </c>
      <c r="B52" s="41" t="s">
        <v>692</v>
      </c>
      <c r="C52" s="41" t="s">
        <v>662</v>
      </c>
      <c r="D52" s="41" t="s">
        <v>76</v>
      </c>
      <c r="E52" s="41" t="s">
        <v>431</v>
      </c>
      <c r="F52" s="41" t="s">
        <v>712</v>
      </c>
      <c r="G52" s="83">
        <f>1999.2/7</f>
        <v>285.60000000000002</v>
      </c>
      <c r="H52" s="41"/>
      <c r="I52" s="41"/>
      <c r="J52" s="83">
        <f t="shared" si="0"/>
        <v>0</v>
      </c>
      <c r="K52" s="41">
        <v>0</v>
      </c>
      <c r="L52" s="41">
        <v>0</v>
      </c>
      <c r="M52" s="70">
        <f t="shared" si="1"/>
        <v>0</v>
      </c>
      <c r="N52" s="41">
        <f>25*2*29</f>
        <v>1450</v>
      </c>
      <c r="O52" s="41">
        <v>5</v>
      </c>
      <c r="P52" s="70">
        <f t="shared" si="2"/>
        <v>2505426.0000000005</v>
      </c>
      <c r="Q52" s="41">
        <v>30</v>
      </c>
      <c r="R52" s="41">
        <v>1</v>
      </c>
      <c r="S52" s="70">
        <f t="shared" si="3"/>
        <v>11404.008000000005</v>
      </c>
      <c r="T52" s="41">
        <v>0</v>
      </c>
      <c r="U52" s="41">
        <v>0</v>
      </c>
      <c r="V52" s="70">
        <f t="shared" si="4"/>
        <v>0</v>
      </c>
      <c r="W52" s="41">
        <v>0</v>
      </c>
      <c r="X52" s="41">
        <v>0</v>
      </c>
      <c r="Y52" s="70">
        <f t="shared" si="5"/>
        <v>0</v>
      </c>
      <c r="Z52" s="41">
        <v>0</v>
      </c>
      <c r="AA52" s="41">
        <v>0</v>
      </c>
      <c r="AB52" s="70">
        <f t="shared" si="6"/>
        <v>0</v>
      </c>
      <c r="AC52" s="41">
        <v>0</v>
      </c>
      <c r="AD52" s="41">
        <v>0</v>
      </c>
      <c r="AE52" s="70">
        <f t="shared" si="7"/>
        <v>0</v>
      </c>
      <c r="AF52" s="28">
        <f t="shared" si="8"/>
        <v>2516830.0080000004</v>
      </c>
      <c r="AG52" s="28">
        <f t="shared" si="9"/>
        <v>2462.6516712328771</v>
      </c>
    </row>
    <row r="53" spans="1:33" ht="57.6" x14ac:dyDescent="0.3">
      <c r="A53" s="41" t="s">
        <v>697</v>
      </c>
      <c r="B53" s="41" t="s">
        <v>692</v>
      </c>
      <c r="C53" s="41" t="s">
        <v>662</v>
      </c>
      <c r="D53" s="41" t="s">
        <v>76</v>
      </c>
      <c r="E53" s="41" t="s">
        <v>431</v>
      </c>
      <c r="F53" s="41" t="s">
        <v>1303</v>
      </c>
      <c r="G53" s="83">
        <f>1999.2/7</f>
        <v>285.60000000000002</v>
      </c>
      <c r="H53" s="41"/>
      <c r="I53" s="41"/>
      <c r="J53" s="83">
        <f t="shared" si="0"/>
        <v>0</v>
      </c>
      <c r="K53" s="41">
        <v>0</v>
      </c>
      <c r="L53" s="41">
        <v>0</v>
      </c>
      <c r="M53" s="70">
        <f t="shared" si="1"/>
        <v>0</v>
      </c>
      <c r="N53" s="41">
        <f>2*135*29</f>
        <v>7830</v>
      </c>
      <c r="O53" s="41">
        <v>1</v>
      </c>
      <c r="P53" s="70">
        <f t="shared" si="2"/>
        <v>2705860.0800000005</v>
      </c>
      <c r="Q53" s="41">
        <v>30</v>
      </c>
      <c r="R53" s="41">
        <v>1</v>
      </c>
      <c r="S53" s="70">
        <f t="shared" si="3"/>
        <v>11404.008000000005</v>
      </c>
      <c r="T53" s="41">
        <v>0</v>
      </c>
      <c r="U53" s="41">
        <v>0</v>
      </c>
      <c r="V53" s="70">
        <f t="shared" si="4"/>
        <v>0</v>
      </c>
      <c r="W53" s="41">
        <v>0</v>
      </c>
      <c r="X53" s="41">
        <v>0</v>
      </c>
      <c r="Y53" s="70">
        <f t="shared" si="5"/>
        <v>0</v>
      </c>
      <c r="Z53" s="41">
        <v>0</v>
      </c>
      <c r="AA53" s="41">
        <v>0</v>
      </c>
      <c r="AB53" s="70">
        <f t="shared" si="6"/>
        <v>0</v>
      </c>
      <c r="AC53" s="41">
        <v>0</v>
      </c>
      <c r="AD53" s="41">
        <v>0</v>
      </c>
      <c r="AE53" s="70">
        <f t="shared" si="7"/>
        <v>0</v>
      </c>
      <c r="AF53" s="28">
        <f t="shared" si="8"/>
        <v>2717264.0880000005</v>
      </c>
      <c r="AG53" s="28">
        <f t="shared" si="9"/>
        <v>2658.7711232876718</v>
      </c>
    </row>
    <row r="54" spans="1:33" ht="57.6" x14ac:dyDescent="0.3">
      <c r="A54" s="41" t="s">
        <v>697</v>
      </c>
      <c r="B54" s="41" t="s">
        <v>692</v>
      </c>
      <c r="C54" s="41" t="s">
        <v>662</v>
      </c>
      <c r="D54" s="41" t="s">
        <v>1394</v>
      </c>
      <c r="E54" s="41" t="s">
        <v>432</v>
      </c>
      <c r="F54" s="41" t="s">
        <v>718</v>
      </c>
      <c r="G54" s="83">
        <v>0</v>
      </c>
      <c r="H54" s="41"/>
      <c r="I54" s="41"/>
      <c r="J54" s="83">
        <f t="shared" si="0"/>
        <v>0</v>
      </c>
      <c r="K54" s="41">
        <v>0</v>
      </c>
      <c r="L54" s="41">
        <v>0</v>
      </c>
      <c r="M54" s="70">
        <f t="shared" si="1"/>
        <v>0</v>
      </c>
      <c r="N54" s="41">
        <v>0</v>
      </c>
      <c r="O54" s="41">
        <v>0</v>
      </c>
      <c r="P54" s="70">
        <f t="shared" si="2"/>
        <v>0</v>
      </c>
      <c r="Q54" s="41">
        <v>0</v>
      </c>
      <c r="R54" s="41">
        <v>0</v>
      </c>
      <c r="S54" s="70">
        <f t="shared" si="3"/>
        <v>0</v>
      </c>
      <c r="T54" s="41">
        <v>0</v>
      </c>
      <c r="U54" s="41">
        <v>0</v>
      </c>
      <c r="V54" s="70">
        <f t="shared" si="4"/>
        <v>0</v>
      </c>
      <c r="W54" s="41">
        <v>0</v>
      </c>
      <c r="X54" s="41">
        <v>0</v>
      </c>
      <c r="Y54" s="70">
        <f t="shared" si="5"/>
        <v>0</v>
      </c>
      <c r="Z54" s="41">
        <v>0</v>
      </c>
      <c r="AA54" s="41">
        <v>0</v>
      </c>
      <c r="AB54" s="70">
        <f t="shared" si="6"/>
        <v>0</v>
      </c>
      <c r="AC54" s="41">
        <v>0</v>
      </c>
      <c r="AD54" s="41">
        <v>0</v>
      </c>
      <c r="AE54" s="70">
        <f t="shared" si="7"/>
        <v>0</v>
      </c>
      <c r="AF54" s="28">
        <f t="shared" si="8"/>
        <v>0</v>
      </c>
      <c r="AG54" s="28">
        <f t="shared" si="9"/>
        <v>0</v>
      </c>
    </row>
    <row r="55" spans="1:33" ht="57.6" x14ac:dyDescent="0.3">
      <c r="A55" s="41" t="s">
        <v>697</v>
      </c>
      <c r="B55" s="41" t="s">
        <v>692</v>
      </c>
      <c r="C55" s="41" t="s">
        <v>662</v>
      </c>
      <c r="D55" s="41" t="s">
        <v>1394</v>
      </c>
      <c r="E55" s="41" t="s">
        <v>149</v>
      </c>
      <c r="F55" s="41" t="s">
        <v>707</v>
      </c>
      <c r="G55" s="83">
        <v>391991.03749999998</v>
      </c>
      <c r="H55" s="41"/>
      <c r="I55" s="41"/>
      <c r="J55" s="83">
        <f t="shared" si="0"/>
        <v>0</v>
      </c>
      <c r="K55" s="41">
        <v>0</v>
      </c>
      <c r="L55" s="41">
        <v>0</v>
      </c>
      <c r="M55" s="70">
        <f t="shared" si="1"/>
        <v>0</v>
      </c>
      <c r="N55" s="41">
        <v>2</v>
      </c>
      <c r="O55" s="41">
        <v>2</v>
      </c>
      <c r="P55" s="70">
        <f t="shared" si="2"/>
        <v>1897236.6215000001</v>
      </c>
      <c r="Q55" s="41">
        <v>1</v>
      </c>
      <c r="R55" s="41">
        <v>6</v>
      </c>
      <c r="S55" s="70">
        <f t="shared" si="3"/>
        <v>3130440.4254750009</v>
      </c>
      <c r="T55" s="41">
        <v>0</v>
      </c>
      <c r="U55" s="41">
        <v>0</v>
      </c>
      <c r="V55" s="70">
        <f t="shared" si="4"/>
        <v>0</v>
      </c>
      <c r="W55" s="41">
        <v>0</v>
      </c>
      <c r="X55" s="41">
        <v>0</v>
      </c>
      <c r="Y55" s="70">
        <f t="shared" si="5"/>
        <v>0</v>
      </c>
      <c r="Z55" s="41">
        <v>0</v>
      </c>
      <c r="AA55" s="41">
        <v>0</v>
      </c>
      <c r="AB55" s="70">
        <f t="shared" si="6"/>
        <v>0</v>
      </c>
      <c r="AC55" s="41">
        <v>0</v>
      </c>
      <c r="AD55" s="41">
        <v>0</v>
      </c>
      <c r="AE55" s="70">
        <f t="shared" si="7"/>
        <v>0</v>
      </c>
      <c r="AF55" s="28">
        <f t="shared" si="8"/>
        <v>5027677.0469750008</v>
      </c>
      <c r="AG55" s="28">
        <f t="shared" si="9"/>
        <v>4919.4491653375744</v>
      </c>
    </row>
    <row r="56" spans="1:33" ht="57.6" x14ac:dyDescent="0.3">
      <c r="A56" s="41" t="s">
        <v>697</v>
      </c>
      <c r="B56" s="41" t="s">
        <v>692</v>
      </c>
      <c r="C56" s="41" t="s">
        <v>662</v>
      </c>
      <c r="D56" s="41" t="s">
        <v>1394</v>
      </c>
      <c r="E56" s="41" t="s">
        <v>149</v>
      </c>
      <c r="F56" s="41" t="s">
        <v>708</v>
      </c>
      <c r="G56" s="83">
        <f>500*1022</f>
        <v>511000</v>
      </c>
      <c r="H56" s="41"/>
      <c r="I56" s="41"/>
      <c r="J56" s="83">
        <f t="shared" si="0"/>
        <v>0</v>
      </c>
      <c r="K56" s="41">
        <v>0</v>
      </c>
      <c r="L56" s="41">
        <v>0</v>
      </c>
      <c r="M56" s="70">
        <f t="shared" si="1"/>
        <v>0</v>
      </c>
      <c r="N56" s="41">
        <v>1</v>
      </c>
      <c r="O56" s="41">
        <v>25</v>
      </c>
      <c r="P56" s="70">
        <f t="shared" si="2"/>
        <v>15457750.000000004</v>
      </c>
      <c r="Q56" s="41">
        <v>1</v>
      </c>
      <c r="R56" s="41">
        <v>40</v>
      </c>
      <c r="S56" s="70">
        <f t="shared" si="3"/>
        <v>27205640.000000007</v>
      </c>
      <c r="T56" s="41">
        <v>0</v>
      </c>
      <c r="U56" s="41">
        <v>0</v>
      </c>
      <c r="V56" s="70">
        <f t="shared" si="4"/>
        <v>0</v>
      </c>
      <c r="W56" s="41">
        <v>0</v>
      </c>
      <c r="X56" s="41">
        <v>0</v>
      </c>
      <c r="Y56" s="70">
        <f t="shared" si="5"/>
        <v>0</v>
      </c>
      <c r="Z56" s="41">
        <v>0</v>
      </c>
      <c r="AA56" s="41">
        <v>0</v>
      </c>
      <c r="AB56" s="70">
        <f t="shared" si="6"/>
        <v>0</v>
      </c>
      <c r="AC56" s="41">
        <v>0</v>
      </c>
      <c r="AD56" s="41">
        <v>0</v>
      </c>
      <c r="AE56" s="70">
        <f t="shared" si="7"/>
        <v>0</v>
      </c>
      <c r="AF56" s="28">
        <f t="shared" si="8"/>
        <v>42663390.000000015</v>
      </c>
      <c r="AG56" s="28">
        <f t="shared" si="9"/>
        <v>41745.000000000015</v>
      </c>
    </row>
    <row r="57" spans="1:33" ht="57.6" x14ac:dyDescent="0.3">
      <c r="A57" s="41" t="s">
        <v>697</v>
      </c>
      <c r="B57" s="41" t="s">
        <v>692</v>
      </c>
      <c r="C57" s="41" t="s">
        <v>662</v>
      </c>
      <c r="D57" s="41" t="s">
        <v>1394</v>
      </c>
      <c r="E57" s="41" t="s">
        <v>150</v>
      </c>
      <c r="F57" s="41" t="s">
        <v>718</v>
      </c>
      <c r="G57" s="83">
        <v>0</v>
      </c>
      <c r="H57" s="41"/>
      <c r="I57" s="41"/>
      <c r="J57" s="83">
        <f t="shared" si="0"/>
        <v>0</v>
      </c>
      <c r="K57" s="41">
        <v>0</v>
      </c>
      <c r="L57" s="41">
        <v>0</v>
      </c>
      <c r="M57" s="70">
        <f t="shared" si="1"/>
        <v>0</v>
      </c>
      <c r="N57" s="41">
        <v>0</v>
      </c>
      <c r="O57" s="41">
        <v>0</v>
      </c>
      <c r="P57" s="70">
        <f t="shared" si="2"/>
        <v>0</v>
      </c>
      <c r="Q57" s="41">
        <v>0</v>
      </c>
      <c r="R57" s="41">
        <v>0</v>
      </c>
      <c r="S57" s="70">
        <f t="shared" si="3"/>
        <v>0</v>
      </c>
      <c r="T57" s="41">
        <v>0</v>
      </c>
      <c r="U57" s="41">
        <v>0</v>
      </c>
      <c r="V57" s="70">
        <f t="shared" si="4"/>
        <v>0</v>
      </c>
      <c r="W57" s="41">
        <v>0</v>
      </c>
      <c r="X57" s="41">
        <v>0</v>
      </c>
      <c r="Y57" s="70">
        <f t="shared" si="5"/>
        <v>0</v>
      </c>
      <c r="Z57" s="41">
        <v>0</v>
      </c>
      <c r="AA57" s="41">
        <v>0</v>
      </c>
      <c r="AB57" s="70">
        <f t="shared" si="6"/>
        <v>0</v>
      </c>
      <c r="AC57" s="41">
        <v>0</v>
      </c>
      <c r="AD57" s="41">
        <v>0</v>
      </c>
      <c r="AE57" s="70">
        <f t="shared" si="7"/>
        <v>0</v>
      </c>
      <c r="AF57" s="28">
        <f t="shared" si="8"/>
        <v>0</v>
      </c>
      <c r="AG57" s="28">
        <f t="shared" si="9"/>
        <v>0</v>
      </c>
    </row>
    <row r="58" spans="1:33" ht="57.6" x14ac:dyDescent="0.3">
      <c r="A58" s="41" t="s">
        <v>697</v>
      </c>
      <c r="B58" s="41" t="s">
        <v>692</v>
      </c>
      <c r="C58" s="41" t="s">
        <v>662</v>
      </c>
      <c r="D58" s="41" t="s">
        <v>1394</v>
      </c>
      <c r="E58" s="41" t="s">
        <v>150</v>
      </c>
      <c r="F58" s="41" t="s">
        <v>709</v>
      </c>
      <c r="G58" s="83">
        <v>35000</v>
      </c>
      <c r="H58" s="41"/>
      <c r="I58" s="41"/>
      <c r="J58" s="83">
        <f t="shared" si="0"/>
        <v>0</v>
      </c>
      <c r="K58" s="41">
        <v>0</v>
      </c>
      <c r="L58" s="41">
        <v>0</v>
      </c>
      <c r="M58" s="70">
        <f t="shared" si="1"/>
        <v>0</v>
      </c>
      <c r="N58" s="41">
        <v>30</v>
      </c>
      <c r="O58" s="41">
        <v>5</v>
      </c>
      <c r="P58" s="70">
        <f t="shared" si="2"/>
        <v>6352500.0000000009</v>
      </c>
      <c r="Q58" s="41">
        <v>15</v>
      </c>
      <c r="R58" s="41">
        <v>3</v>
      </c>
      <c r="S58" s="70">
        <f t="shared" si="3"/>
        <v>2096325.0000000007</v>
      </c>
      <c r="T58" s="41">
        <v>0</v>
      </c>
      <c r="U58" s="41">
        <v>0</v>
      </c>
      <c r="V58" s="70">
        <f t="shared" si="4"/>
        <v>0</v>
      </c>
      <c r="W58" s="41">
        <v>0</v>
      </c>
      <c r="X58" s="41">
        <v>0</v>
      </c>
      <c r="Y58" s="70">
        <f t="shared" si="5"/>
        <v>0</v>
      </c>
      <c r="Z58" s="41">
        <v>0</v>
      </c>
      <c r="AA58" s="41">
        <v>0</v>
      </c>
      <c r="AB58" s="70">
        <f t="shared" si="6"/>
        <v>0</v>
      </c>
      <c r="AC58" s="41">
        <v>0</v>
      </c>
      <c r="AD58" s="41">
        <v>0</v>
      </c>
      <c r="AE58" s="70">
        <f t="shared" si="7"/>
        <v>0</v>
      </c>
      <c r="AF58" s="28">
        <f t="shared" si="8"/>
        <v>8448825.0000000019</v>
      </c>
      <c r="AG58" s="28">
        <f t="shared" si="9"/>
        <v>8266.9520547945231</v>
      </c>
    </row>
    <row r="59" spans="1:33" ht="57.6" x14ac:dyDescent="0.3">
      <c r="A59" s="41" t="s">
        <v>697</v>
      </c>
      <c r="B59" s="41" t="s">
        <v>692</v>
      </c>
      <c r="C59" s="41" t="s">
        <v>662</v>
      </c>
      <c r="D59" s="41" t="s">
        <v>1394</v>
      </c>
      <c r="E59" s="41" t="s">
        <v>150</v>
      </c>
      <c r="F59" s="41" t="s">
        <v>716</v>
      </c>
      <c r="G59" s="83">
        <v>39000</v>
      </c>
      <c r="H59" s="41"/>
      <c r="I59" s="41"/>
      <c r="J59" s="83">
        <f t="shared" si="0"/>
        <v>0</v>
      </c>
      <c r="K59" s="41">
        <v>0</v>
      </c>
      <c r="L59" s="41">
        <v>0</v>
      </c>
      <c r="M59" s="70">
        <f t="shared" si="1"/>
        <v>0</v>
      </c>
      <c r="N59" s="41">
        <v>30</v>
      </c>
      <c r="O59" s="41">
        <v>6</v>
      </c>
      <c r="P59" s="70">
        <f t="shared" si="2"/>
        <v>8494200.0000000019</v>
      </c>
      <c r="Q59" s="41">
        <v>15</v>
      </c>
      <c r="R59" s="41">
        <v>3</v>
      </c>
      <c r="S59" s="70">
        <f t="shared" si="3"/>
        <v>2335905.0000000009</v>
      </c>
      <c r="T59" s="41">
        <v>0</v>
      </c>
      <c r="U59" s="41">
        <v>0</v>
      </c>
      <c r="V59" s="70">
        <f t="shared" si="4"/>
        <v>0</v>
      </c>
      <c r="W59" s="41">
        <v>0</v>
      </c>
      <c r="X59" s="41">
        <v>0</v>
      </c>
      <c r="Y59" s="70">
        <f t="shared" si="5"/>
        <v>0</v>
      </c>
      <c r="Z59" s="41">
        <v>0</v>
      </c>
      <c r="AA59" s="41">
        <v>0</v>
      </c>
      <c r="AB59" s="70">
        <f t="shared" si="6"/>
        <v>0</v>
      </c>
      <c r="AC59" s="41">
        <v>0</v>
      </c>
      <c r="AD59" s="41">
        <v>0</v>
      </c>
      <c r="AE59" s="70">
        <f t="shared" si="7"/>
        <v>0</v>
      </c>
      <c r="AF59" s="28">
        <f t="shared" si="8"/>
        <v>10830105.000000004</v>
      </c>
      <c r="AG59" s="28">
        <f t="shared" si="9"/>
        <v>10596.971624266149</v>
      </c>
    </row>
    <row r="60" spans="1:33" ht="57.6" x14ac:dyDescent="0.3">
      <c r="A60" s="41" t="s">
        <v>697</v>
      </c>
      <c r="B60" s="41" t="s">
        <v>692</v>
      </c>
      <c r="C60" s="41" t="s">
        <v>662</v>
      </c>
      <c r="D60" s="41" t="s">
        <v>1394</v>
      </c>
      <c r="E60" s="41" t="s">
        <v>150</v>
      </c>
      <c r="F60" s="41" t="s">
        <v>712</v>
      </c>
      <c r="G60" s="83">
        <f>1999.2/7</f>
        <v>285.60000000000002</v>
      </c>
      <c r="H60" s="41"/>
      <c r="I60" s="41"/>
      <c r="J60" s="83">
        <f t="shared" si="0"/>
        <v>0</v>
      </c>
      <c r="K60" s="41">
        <v>0</v>
      </c>
      <c r="L60" s="41">
        <v>0</v>
      </c>
      <c r="M60" s="70">
        <f t="shared" si="1"/>
        <v>0</v>
      </c>
      <c r="N60" s="41">
        <f>25*2*10</f>
        <v>500</v>
      </c>
      <c r="O60" s="41">
        <v>5</v>
      </c>
      <c r="P60" s="70">
        <f t="shared" si="2"/>
        <v>863940.00000000012</v>
      </c>
      <c r="Q60" s="41">
        <v>15</v>
      </c>
      <c r="R60" s="41">
        <v>3</v>
      </c>
      <c r="S60" s="70">
        <f t="shared" si="3"/>
        <v>17106.01200000001</v>
      </c>
      <c r="T60" s="41">
        <v>0</v>
      </c>
      <c r="U60" s="41">
        <v>0</v>
      </c>
      <c r="V60" s="70">
        <f t="shared" si="4"/>
        <v>0</v>
      </c>
      <c r="W60" s="41">
        <v>0</v>
      </c>
      <c r="X60" s="41">
        <v>0</v>
      </c>
      <c r="Y60" s="70">
        <f t="shared" si="5"/>
        <v>0</v>
      </c>
      <c r="Z60" s="41">
        <v>0</v>
      </c>
      <c r="AA60" s="41">
        <v>0</v>
      </c>
      <c r="AB60" s="70">
        <f t="shared" si="6"/>
        <v>0</v>
      </c>
      <c r="AC60" s="41">
        <v>0</v>
      </c>
      <c r="AD60" s="41">
        <v>0</v>
      </c>
      <c r="AE60" s="70">
        <f t="shared" si="7"/>
        <v>0</v>
      </c>
      <c r="AF60" s="28">
        <f t="shared" si="8"/>
        <v>881046.0120000001</v>
      </c>
      <c r="AG60" s="28">
        <f t="shared" si="9"/>
        <v>862.08024657534258</v>
      </c>
    </row>
    <row r="61" spans="1:33" ht="57.6" x14ac:dyDescent="0.3">
      <c r="A61" s="41" t="s">
        <v>697</v>
      </c>
      <c r="B61" s="41" t="s">
        <v>692</v>
      </c>
      <c r="C61" s="41" t="s">
        <v>662</v>
      </c>
      <c r="D61" s="41" t="s">
        <v>1394</v>
      </c>
      <c r="E61" s="41" t="s">
        <v>150</v>
      </c>
      <c r="F61" s="41" t="s">
        <v>1303</v>
      </c>
      <c r="G61" s="83">
        <f>1999.2/7</f>
        <v>285.60000000000002</v>
      </c>
      <c r="H61" s="41"/>
      <c r="I61" s="41"/>
      <c r="J61" s="83">
        <f t="shared" si="0"/>
        <v>0</v>
      </c>
      <c r="K61" s="41">
        <v>0</v>
      </c>
      <c r="L61" s="41">
        <v>0</v>
      </c>
      <c r="M61" s="70">
        <f t="shared" si="1"/>
        <v>0</v>
      </c>
      <c r="N61" s="41">
        <f>2*135*10</f>
        <v>2700</v>
      </c>
      <c r="O61" s="41">
        <v>1</v>
      </c>
      <c r="P61" s="70">
        <f t="shared" si="2"/>
        <v>933055.20000000019</v>
      </c>
      <c r="Q61" s="41">
        <v>15</v>
      </c>
      <c r="R61" s="41">
        <v>3</v>
      </c>
      <c r="S61" s="70">
        <f t="shared" si="3"/>
        <v>17106.01200000001</v>
      </c>
      <c r="T61" s="41">
        <v>0</v>
      </c>
      <c r="U61" s="41">
        <v>0</v>
      </c>
      <c r="V61" s="70">
        <f t="shared" si="4"/>
        <v>0</v>
      </c>
      <c r="W61" s="41">
        <v>0</v>
      </c>
      <c r="X61" s="41">
        <v>0</v>
      </c>
      <c r="Y61" s="70">
        <f t="shared" si="5"/>
        <v>0</v>
      </c>
      <c r="Z61" s="41">
        <v>0</v>
      </c>
      <c r="AA61" s="41">
        <v>0</v>
      </c>
      <c r="AB61" s="70">
        <f t="shared" si="6"/>
        <v>0</v>
      </c>
      <c r="AC61" s="41">
        <v>0</v>
      </c>
      <c r="AD61" s="41">
        <v>0</v>
      </c>
      <c r="AE61" s="70">
        <f t="shared" si="7"/>
        <v>0</v>
      </c>
      <c r="AF61" s="28">
        <f t="shared" si="8"/>
        <v>950161.21200000017</v>
      </c>
      <c r="AG61" s="28">
        <f t="shared" si="9"/>
        <v>929.70764383561664</v>
      </c>
    </row>
    <row r="62" spans="1:33" ht="57.6" x14ac:dyDescent="0.3">
      <c r="A62" s="41" t="s">
        <v>697</v>
      </c>
      <c r="B62" s="41" t="s">
        <v>692</v>
      </c>
      <c r="C62" s="41" t="s">
        <v>662</v>
      </c>
      <c r="D62" s="41" t="s">
        <v>1394</v>
      </c>
      <c r="E62" s="41" t="s">
        <v>163</v>
      </c>
      <c r="F62" s="41" t="s">
        <v>713</v>
      </c>
      <c r="G62" s="83">
        <v>45000</v>
      </c>
      <c r="H62" s="41"/>
      <c r="I62" s="41"/>
      <c r="J62" s="83">
        <f t="shared" si="0"/>
        <v>0</v>
      </c>
      <c r="K62" s="41">
        <v>0</v>
      </c>
      <c r="L62" s="41">
        <v>0</v>
      </c>
      <c r="M62" s="70">
        <f t="shared" si="1"/>
        <v>0</v>
      </c>
      <c r="N62" s="41">
        <v>30</v>
      </c>
      <c r="O62" s="41">
        <v>1</v>
      </c>
      <c r="P62" s="70">
        <f t="shared" si="2"/>
        <v>1633500.0000000002</v>
      </c>
      <c r="Q62" s="41">
        <v>15</v>
      </c>
      <c r="R62" s="41">
        <v>1</v>
      </c>
      <c r="S62" s="70">
        <f t="shared" si="3"/>
        <v>898425.00000000035</v>
      </c>
      <c r="T62" s="41">
        <v>0</v>
      </c>
      <c r="U62" s="41">
        <v>0</v>
      </c>
      <c r="V62" s="70">
        <f t="shared" si="4"/>
        <v>0</v>
      </c>
      <c r="W62" s="41">
        <v>0</v>
      </c>
      <c r="X62" s="41">
        <v>0</v>
      </c>
      <c r="Y62" s="70">
        <f t="shared" si="5"/>
        <v>0</v>
      </c>
      <c r="Z62" s="41">
        <v>0</v>
      </c>
      <c r="AA62" s="41">
        <v>0</v>
      </c>
      <c r="AB62" s="70">
        <f t="shared" si="6"/>
        <v>0</v>
      </c>
      <c r="AC62" s="41">
        <v>0</v>
      </c>
      <c r="AD62" s="41">
        <v>0</v>
      </c>
      <c r="AE62" s="70">
        <f t="shared" si="7"/>
        <v>0</v>
      </c>
      <c r="AF62" s="28">
        <f t="shared" si="8"/>
        <v>2531925.0000000005</v>
      </c>
      <c r="AG62" s="28">
        <f t="shared" si="9"/>
        <v>2477.4217221135032</v>
      </c>
    </row>
    <row r="63" spans="1:33" ht="57.6" x14ac:dyDescent="0.3">
      <c r="A63" s="41" t="s">
        <v>697</v>
      </c>
      <c r="B63" s="41" t="s">
        <v>692</v>
      </c>
      <c r="C63" s="41" t="s">
        <v>662</v>
      </c>
      <c r="D63" s="41" t="s">
        <v>1394</v>
      </c>
      <c r="E63" s="41" t="s">
        <v>163</v>
      </c>
      <c r="F63" s="41" t="s">
        <v>712</v>
      </c>
      <c r="G63" s="83">
        <f>1999.2/7</f>
        <v>285.60000000000002</v>
      </c>
      <c r="H63" s="41"/>
      <c r="I63" s="41"/>
      <c r="J63" s="83">
        <f t="shared" si="0"/>
        <v>0</v>
      </c>
      <c r="K63" s="41">
        <v>0</v>
      </c>
      <c r="L63" s="41">
        <v>0</v>
      </c>
      <c r="M63" s="70">
        <f t="shared" si="1"/>
        <v>0</v>
      </c>
      <c r="N63" s="41">
        <f>25*2*10</f>
        <v>500</v>
      </c>
      <c r="O63" s="41">
        <v>1</v>
      </c>
      <c r="P63" s="70">
        <f t="shared" si="2"/>
        <v>172788.00000000003</v>
      </c>
      <c r="Q63" s="41">
        <v>4000</v>
      </c>
      <c r="R63" s="41">
        <v>1</v>
      </c>
      <c r="S63" s="70">
        <f t="shared" si="3"/>
        <v>1520534.4000000006</v>
      </c>
      <c r="T63" s="41">
        <v>0</v>
      </c>
      <c r="U63" s="41">
        <v>0</v>
      </c>
      <c r="V63" s="70">
        <f t="shared" si="4"/>
        <v>0</v>
      </c>
      <c r="W63" s="41">
        <v>0</v>
      </c>
      <c r="X63" s="41">
        <v>0</v>
      </c>
      <c r="Y63" s="70">
        <f t="shared" si="5"/>
        <v>0</v>
      </c>
      <c r="Z63" s="41">
        <v>0</v>
      </c>
      <c r="AA63" s="41">
        <v>0</v>
      </c>
      <c r="AB63" s="70">
        <f t="shared" si="6"/>
        <v>0</v>
      </c>
      <c r="AC63" s="41">
        <v>0</v>
      </c>
      <c r="AD63" s="41">
        <v>0</v>
      </c>
      <c r="AE63" s="70">
        <f t="shared" si="7"/>
        <v>0</v>
      </c>
      <c r="AF63" s="28">
        <f t="shared" si="8"/>
        <v>1693322.4000000006</v>
      </c>
      <c r="AG63" s="28">
        <f t="shared" si="9"/>
        <v>1656.8712328767128</v>
      </c>
    </row>
    <row r="64" spans="1:33" ht="57.6" x14ac:dyDescent="0.3">
      <c r="A64" s="41" t="s">
        <v>697</v>
      </c>
      <c r="B64" s="41" t="s">
        <v>692</v>
      </c>
      <c r="C64" s="41" t="s">
        <v>662</v>
      </c>
      <c r="D64" s="41" t="s">
        <v>1394</v>
      </c>
      <c r="E64" s="41" t="s">
        <v>163</v>
      </c>
      <c r="F64" s="41" t="s">
        <v>1303</v>
      </c>
      <c r="G64" s="83">
        <f>1999.2/7</f>
        <v>285.60000000000002</v>
      </c>
      <c r="H64" s="41"/>
      <c r="I64" s="41"/>
      <c r="J64" s="83">
        <f t="shared" si="0"/>
        <v>0</v>
      </c>
      <c r="K64" s="41">
        <v>0</v>
      </c>
      <c r="L64" s="41">
        <v>0</v>
      </c>
      <c r="M64" s="70">
        <f t="shared" si="1"/>
        <v>0</v>
      </c>
      <c r="N64" s="41">
        <f>2*135*10</f>
        <v>2700</v>
      </c>
      <c r="O64" s="41">
        <v>1</v>
      </c>
      <c r="P64" s="70">
        <f t="shared" si="2"/>
        <v>933055.20000000019</v>
      </c>
      <c r="Q64" s="41">
        <v>4000</v>
      </c>
      <c r="R64" s="41">
        <v>1</v>
      </c>
      <c r="S64" s="70">
        <f t="shared" si="3"/>
        <v>1520534.4000000006</v>
      </c>
      <c r="T64" s="41">
        <v>0</v>
      </c>
      <c r="U64" s="41">
        <v>0</v>
      </c>
      <c r="V64" s="70">
        <f t="shared" si="4"/>
        <v>0</v>
      </c>
      <c r="W64" s="41">
        <v>0</v>
      </c>
      <c r="X64" s="41">
        <v>0</v>
      </c>
      <c r="Y64" s="70">
        <f t="shared" si="5"/>
        <v>0</v>
      </c>
      <c r="Z64" s="41">
        <v>0</v>
      </c>
      <c r="AA64" s="41">
        <v>0</v>
      </c>
      <c r="AB64" s="70">
        <f t="shared" si="6"/>
        <v>0</v>
      </c>
      <c r="AC64" s="41">
        <v>0</v>
      </c>
      <c r="AD64" s="41">
        <v>0</v>
      </c>
      <c r="AE64" s="70">
        <f t="shared" si="7"/>
        <v>0</v>
      </c>
      <c r="AF64" s="28">
        <f t="shared" si="8"/>
        <v>2453589.6000000006</v>
      </c>
      <c r="AG64" s="28">
        <f t="shared" si="9"/>
        <v>2400.7726027397266</v>
      </c>
    </row>
    <row r="65" spans="1:33" ht="57.6" x14ac:dyDescent="0.3">
      <c r="A65" s="41" t="s">
        <v>697</v>
      </c>
      <c r="B65" s="41" t="s">
        <v>692</v>
      </c>
      <c r="C65" s="41" t="s">
        <v>662</v>
      </c>
      <c r="D65" s="41" t="s">
        <v>1394</v>
      </c>
      <c r="E65" s="41" t="s">
        <v>232</v>
      </c>
      <c r="F65" s="41" t="s">
        <v>718</v>
      </c>
      <c r="G65" s="83">
        <v>0</v>
      </c>
      <c r="H65" s="41"/>
      <c r="I65" s="41"/>
      <c r="J65" s="83">
        <f t="shared" si="0"/>
        <v>0</v>
      </c>
      <c r="K65" s="41">
        <v>0</v>
      </c>
      <c r="L65" s="41">
        <v>0</v>
      </c>
      <c r="M65" s="70">
        <f t="shared" si="1"/>
        <v>0</v>
      </c>
      <c r="N65" s="41">
        <v>0</v>
      </c>
      <c r="O65" s="41">
        <v>0</v>
      </c>
      <c r="P65" s="70">
        <f t="shared" si="2"/>
        <v>0</v>
      </c>
      <c r="Q65" s="41">
        <v>0</v>
      </c>
      <c r="R65" s="41">
        <v>0</v>
      </c>
      <c r="S65" s="70">
        <f t="shared" si="3"/>
        <v>0</v>
      </c>
      <c r="T65" s="41">
        <v>0</v>
      </c>
      <c r="U65" s="41">
        <v>0</v>
      </c>
      <c r="V65" s="70">
        <f t="shared" si="4"/>
        <v>0</v>
      </c>
      <c r="W65" s="41">
        <v>0</v>
      </c>
      <c r="X65" s="41">
        <v>0</v>
      </c>
      <c r="Y65" s="70">
        <f t="shared" si="5"/>
        <v>0</v>
      </c>
      <c r="Z65" s="41">
        <v>0</v>
      </c>
      <c r="AA65" s="41">
        <v>0</v>
      </c>
      <c r="AB65" s="70">
        <f t="shared" si="6"/>
        <v>0</v>
      </c>
      <c r="AC65" s="41">
        <v>0</v>
      </c>
      <c r="AD65" s="41">
        <v>0</v>
      </c>
      <c r="AE65" s="70">
        <f t="shared" si="7"/>
        <v>0</v>
      </c>
      <c r="AF65" s="28">
        <f t="shared" si="8"/>
        <v>0</v>
      </c>
      <c r="AG65" s="28">
        <f t="shared" si="9"/>
        <v>0</v>
      </c>
    </row>
    <row r="66" spans="1:33" ht="57.6" x14ac:dyDescent="0.3">
      <c r="A66" s="41" t="s">
        <v>697</v>
      </c>
      <c r="B66" s="41" t="s">
        <v>692</v>
      </c>
      <c r="C66" s="41" t="s">
        <v>662</v>
      </c>
      <c r="D66" s="41" t="s">
        <v>1394</v>
      </c>
      <c r="E66" s="41" t="s">
        <v>280</v>
      </c>
      <c r="F66" s="41" t="s">
        <v>709</v>
      </c>
      <c r="G66" s="83">
        <v>35000</v>
      </c>
      <c r="H66" s="41"/>
      <c r="I66" s="41"/>
      <c r="J66" s="83">
        <f t="shared" ref="J66:J129" si="10">G66*H66*I66</f>
        <v>0</v>
      </c>
      <c r="K66" s="41">
        <v>0</v>
      </c>
      <c r="L66" s="41">
        <v>0</v>
      </c>
      <c r="M66" s="70">
        <f t="shared" ref="M66:M129" si="11">($G66*1.1^1)*K66*L66</f>
        <v>0</v>
      </c>
      <c r="N66" s="41">
        <v>100</v>
      </c>
      <c r="O66" s="41">
        <v>5</v>
      </c>
      <c r="P66" s="70">
        <f t="shared" ref="P66:P129" si="12">($G66*1.1^2)*N66*O66</f>
        <v>21175000.000000004</v>
      </c>
      <c r="Q66" s="41">
        <v>30</v>
      </c>
      <c r="R66" s="41">
        <v>1</v>
      </c>
      <c r="S66" s="70">
        <f t="shared" ref="S66:S129" si="13">($G66*1.1^3)*Q66*R66</f>
        <v>1397550.0000000005</v>
      </c>
      <c r="T66" s="41">
        <v>0</v>
      </c>
      <c r="U66" s="41">
        <v>0</v>
      </c>
      <c r="V66" s="70">
        <f t="shared" ref="V66:V129" si="14">($G66*1.1^4)*T66*U66</f>
        <v>0</v>
      </c>
      <c r="W66" s="41">
        <v>0</v>
      </c>
      <c r="X66" s="41">
        <v>0</v>
      </c>
      <c r="Y66" s="70">
        <f t="shared" ref="Y66:Y129" si="15">($G66*1.1^5)*W66*X66</f>
        <v>0</v>
      </c>
      <c r="Z66" s="41">
        <v>0</v>
      </c>
      <c r="AA66" s="41">
        <v>0</v>
      </c>
      <c r="AB66" s="70">
        <f t="shared" ref="AB66:AB129" si="16">($G66*1.1^6)*Z66*AA66</f>
        <v>0</v>
      </c>
      <c r="AC66" s="41">
        <v>0</v>
      </c>
      <c r="AD66" s="41">
        <v>0</v>
      </c>
      <c r="AE66" s="70">
        <f t="shared" ref="AE66:AE129" si="17">($G66*1.1^7)*AC66*AD66</f>
        <v>0</v>
      </c>
      <c r="AF66" s="28">
        <f t="shared" ref="AF66:AF129" si="18">J66+M66+P66+S66+V66+Y66+AB66+AE66</f>
        <v>22572550.000000004</v>
      </c>
      <c r="AG66" s="28">
        <f t="shared" ref="AG66:AG129" si="19">AF66/$AL$2</f>
        <v>22086.643835616444</v>
      </c>
    </row>
    <row r="67" spans="1:33" ht="57.6" x14ac:dyDescent="0.3">
      <c r="A67" s="41" t="s">
        <v>697</v>
      </c>
      <c r="B67" s="41" t="s">
        <v>692</v>
      </c>
      <c r="C67" s="41" t="s">
        <v>662</v>
      </c>
      <c r="D67" s="41" t="s">
        <v>1394</v>
      </c>
      <c r="E67" s="41" t="s">
        <v>280</v>
      </c>
      <c r="F67" s="41" t="s">
        <v>716</v>
      </c>
      <c r="G67" s="83">
        <v>39000</v>
      </c>
      <c r="H67" s="41"/>
      <c r="I67" s="41"/>
      <c r="J67" s="83">
        <f t="shared" si="10"/>
        <v>0</v>
      </c>
      <c r="K67" s="41">
        <v>0</v>
      </c>
      <c r="L67" s="41">
        <v>0</v>
      </c>
      <c r="M67" s="70">
        <f t="shared" si="11"/>
        <v>0</v>
      </c>
      <c r="N67" s="41">
        <v>58</v>
      </c>
      <c r="O67" s="41">
        <v>6</v>
      </c>
      <c r="P67" s="70">
        <f t="shared" si="12"/>
        <v>16422120.000000004</v>
      </c>
      <c r="Q67" s="41">
        <v>80</v>
      </c>
      <c r="R67" s="41">
        <v>1</v>
      </c>
      <c r="S67" s="70">
        <f t="shared" si="13"/>
        <v>4152720.0000000009</v>
      </c>
      <c r="T67" s="41">
        <v>0</v>
      </c>
      <c r="U67" s="41">
        <v>0</v>
      </c>
      <c r="V67" s="70">
        <f t="shared" si="14"/>
        <v>0</v>
      </c>
      <c r="W67" s="41">
        <v>0</v>
      </c>
      <c r="X67" s="41">
        <v>0</v>
      </c>
      <c r="Y67" s="70">
        <f t="shared" si="15"/>
        <v>0</v>
      </c>
      <c r="Z67" s="41">
        <v>0</v>
      </c>
      <c r="AA67" s="41">
        <v>0</v>
      </c>
      <c r="AB67" s="70">
        <f t="shared" si="16"/>
        <v>0</v>
      </c>
      <c r="AC67" s="41">
        <v>0</v>
      </c>
      <c r="AD67" s="41">
        <v>0</v>
      </c>
      <c r="AE67" s="70">
        <f t="shared" si="17"/>
        <v>0</v>
      </c>
      <c r="AF67" s="28">
        <f t="shared" si="18"/>
        <v>20574840.000000004</v>
      </c>
      <c r="AG67" s="28">
        <f t="shared" si="19"/>
        <v>20131.937377690807</v>
      </c>
    </row>
    <row r="68" spans="1:33" ht="57.6" x14ac:dyDescent="0.3">
      <c r="A68" s="41" t="s">
        <v>697</v>
      </c>
      <c r="B68" s="41" t="s">
        <v>692</v>
      </c>
      <c r="C68" s="41" t="s">
        <v>662</v>
      </c>
      <c r="D68" s="41" t="s">
        <v>1394</v>
      </c>
      <c r="E68" s="41" t="s">
        <v>280</v>
      </c>
      <c r="F68" s="41" t="s">
        <v>1303</v>
      </c>
      <c r="G68" s="84">
        <f>1999.2/7</f>
        <v>285.60000000000002</v>
      </c>
      <c r="H68" s="41"/>
      <c r="I68" s="41"/>
      <c r="J68" s="83">
        <f t="shared" si="10"/>
        <v>0</v>
      </c>
      <c r="K68" s="41">
        <v>0</v>
      </c>
      <c r="L68" s="41">
        <v>0</v>
      </c>
      <c r="M68" s="70">
        <f t="shared" si="11"/>
        <v>0</v>
      </c>
      <c r="N68" s="41">
        <f>2*135*29</f>
        <v>7830</v>
      </c>
      <c r="O68" s="41">
        <v>1</v>
      </c>
      <c r="P68" s="70">
        <f t="shared" si="12"/>
        <v>2705860.0800000005</v>
      </c>
      <c r="Q68" s="41">
        <v>40</v>
      </c>
      <c r="R68" s="41">
        <v>1</v>
      </c>
      <c r="S68" s="70">
        <f t="shared" si="13"/>
        <v>15205.344000000006</v>
      </c>
      <c r="T68" s="41">
        <v>0</v>
      </c>
      <c r="U68" s="41">
        <v>0</v>
      </c>
      <c r="V68" s="70">
        <f t="shared" si="14"/>
        <v>0</v>
      </c>
      <c r="W68" s="41">
        <v>0</v>
      </c>
      <c r="X68" s="41">
        <v>0</v>
      </c>
      <c r="Y68" s="70">
        <f t="shared" si="15"/>
        <v>0</v>
      </c>
      <c r="Z68" s="41">
        <v>0</v>
      </c>
      <c r="AA68" s="41">
        <v>0</v>
      </c>
      <c r="AB68" s="70">
        <f t="shared" si="16"/>
        <v>0</v>
      </c>
      <c r="AC68" s="41">
        <v>0</v>
      </c>
      <c r="AD68" s="41">
        <v>0</v>
      </c>
      <c r="AE68" s="70">
        <f t="shared" si="17"/>
        <v>0</v>
      </c>
      <c r="AF68" s="28">
        <f t="shared" si="18"/>
        <v>2721065.4240000006</v>
      </c>
      <c r="AG68" s="28">
        <f t="shared" si="19"/>
        <v>2662.490630136987</v>
      </c>
    </row>
    <row r="69" spans="1:33" ht="57.6" x14ac:dyDescent="0.3">
      <c r="A69" s="41" t="s">
        <v>697</v>
      </c>
      <c r="B69" s="41" t="s">
        <v>692</v>
      </c>
      <c r="C69" s="41" t="s">
        <v>662</v>
      </c>
      <c r="D69" s="41" t="s">
        <v>1394</v>
      </c>
      <c r="E69" s="41" t="s">
        <v>280</v>
      </c>
      <c r="F69" s="41" t="s">
        <v>712</v>
      </c>
      <c r="G69" s="84">
        <f>1999.2/7</f>
        <v>285.60000000000002</v>
      </c>
      <c r="H69" s="41"/>
      <c r="I69" s="41"/>
      <c r="J69" s="83">
        <f t="shared" si="10"/>
        <v>0</v>
      </c>
      <c r="K69" s="41">
        <v>0</v>
      </c>
      <c r="L69" s="41">
        <v>0</v>
      </c>
      <c r="M69" s="70">
        <f t="shared" si="11"/>
        <v>0</v>
      </c>
      <c r="N69" s="41">
        <f>2*25*29</f>
        <v>1450</v>
      </c>
      <c r="O69" s="41">
        <v>5</v>
      </c>
      <c r="P69" s="70">
        <f t="shared" si="12"/>
        <v>2505426.0000000005</v>
      </c>
      <c r="Q69" s="41">
        <v>10000</v>
      </c>
      <c r="R69" s="41">
        <v>1</v>
      </c>
      <c r="S69" s="70">
        <f t="shared" si="13"/>
        <v>3801336.0000000019</v>
      </c>
      <c r="T69" s="41">
        <v>0</v>
      </c>
      <c r="U69" s="41">
        <v>0</v>
      </c>
      <c r="V69" s="70">
        <f t="shared" si="14"/>
        <v>0</v>
      </c>
      <c r="W69" s="41">
        <v>0</v>
      </c>
      <c r="X69" s="41">
        <v>0</v>
      </c>
      <c r="Y69" s="70">
        <f t="shared" si="15"/>
        <v>0</v>
      </c>
      <c r="Z69" s="41">
        <v>0</v>
      </c>
      <c r="AA69" s="41">
        <v>0</v>
      </c>
      <c r="AB69" s="70">
        <f t="shared" si="16"/>
        <v>0</v>
      </c>
      <c r="AC69" s="41">
        <v>0</v>
      </c>
      <c r="AD69" s="41">
        <v>0</v>
      </c>
      <c r="AE69" s="70">
        <f t="shared" si="17"/>
        <v>0</v>
      </c>
      <c r="AF69" s="28">
        <f t="shared" si="18"/>
        <v>6306762.0000000019</v>
      </c>
      <c r="AG69" s="28">
        <f t="shared" si="19"/>
        <v>6171.0000000000018</v>
      </c>
    </row>
    <row r="70" spans="1:33" ht="57.6" x14ac:dyDescent="0.3">
      <c r="A70" s="41" t="s">
        <v>697</v>
      </c>
      <c r="B70" s="41" t="s">
        <v>692</v>
      </c>
      <c r="C70" s="41" t="s">
        <v>662</v>
      </c>
      <c r="D70" s="41" t="s">
        <v>1394</v>
      </c>
      <c r="E70" s="41" t="s">
        <v>435</v>
      </c>
      <c r="F70" s="41" t="s">
        <v>709</v>
      </c>
      <c r="G70" s="83">
        <v>35000</v>
      </c>
      <c r="H70" s="41"/>
      <c r="I70" s="41"/>
      <c r="J70" s="83">
        <f t="shared" si="10"/>
        <v>0</v>
      </c>
      <c r="K70" s="41">
        <v>0</v>
      </c>
      <c r="L70" s="41">
        <v>0</v>
      </c>
      <c r="M70" s="70">
        <f t="shared" si="11"/>
        <v>0</v>
      </c>
      <c r="N70" s="41">
        <v>100</v>
      </c>
      <c r="O70" s="41">
        <v>5</v>
      </c>
      <c r="P70" s="70">
        <f t="shared" si="12"/>
        <v>21175000.000000004</v>
      </c>
      <c r="Q70" s="41">
        <v>0</v>
      </c>
      <c r="R70" s="41">
        <v>0</v>
      </c>
      <c r="S70" s="70">
        <f t="shared" si="13"/>
        <v>0</v>
      </c>
      <c r="T70" s="41">
        <v>40</v>
      </c>
      <c r="U70" s="41">
        <v>5</v>
      </c>
      <c r="V70" s="70">
        <f t="shared" si="14"/>
        <v>10248700.000000002</v>
      </c>
      <c r="W70" s="41">
        <v>0</v>
      </c>
      <c r="X70" s="41">
        <v>0</v>
      </c>
      <c r="Y70" s="70">
        <f t="shared" si="15"/>
        <v>0</v>
      </c>
      <c r="Z70" s="41">
        <v>0</v>
      </c>
      <c r="AA70" s="41">
        <v>0</v>
      </c>
      <c r="AB70" s="70">
        <f t="shared" si="16"/>
        <v>0</v>
      </c>
      <c r="AC70" s="41">
        <v>0</v>
      </c>
      <c r="AD70" s="41">
        <v>0</v>
      </c>
      <c r="AE70" s="70">
        <f t="shared" si="17"/>
        <v>0</v>
      </c>
      <c r="AF70" s="28">
        <f t="shared" si="18"/>
        <v>31423700.000000007</v>
      </c>
      <c r="AG70" s="28">
        <f t="shared" si="19"/>
        <v>30747.26027397261</v>
      </c>
    </row>
    <row r="71" spans="1:33" ht="57.6" x14ac:dyDescent="0.3">
      <c r="A71" s="41" t="s">
        <v>697</v>
      </c>
      <c r="B71" s="41" t="s">
        <v>692</v>
      </c>
      <c r="C71" s="41" t="s">
        <v>662</v>
      </c>
      <c r="D71" s="41" t="s">
        <v>1394</v>
      </c>
      <c r="E71" s="41" t="s">
        <v>435</v>
      </c>
      <c r="F71" s="41" t="s">
        <v>716</v>
      </c>
      <c r="G71" s="83">
        <v>39000</v>
      </c>
      <c r="H71" s="41"/>
      <c r="I71" s="41"/>
      <c r="J71" s="83">
        <f t="shared" si="10"/>
        <v>0</v>
      </c>
      <c r="K71" s="41">
        <v>0</v>
      </c>
      <c r="L71" s="41">
        <v>0</v>
      </c>
      <c r="M71" s="70">
        <f t="shared" si="11"/>
        <v>0</v>
      </c>
      <c r="N71" s="41">
        <v>58</v>
      </c>
      <c r="O71" s="41">
        <v>6</v>
      </c>
      <c r="P71" s="70">
        <f t="shared" si="12"/>
        <v>16422120.000000004</v>
      </c>
      <c r="Q71" s="41">
        <v>0</v>
      </c>
      <c r="R71" s="41">
        <v>0</v>
      </c>
      <c r="S71" s="70">
        <f t="shared" si="13"/>
        <v>0</v>
      </c>
      <c r="T71" s="41">
        <v>40</v>
      </c>
      <c r="U71" s="41">
        <v>5</v>
      </c>
      <c r="V71" s="70">
        <f t="shared" si="14"/>
        <v>11419980.000000002</v>
      </c>
      <c r="W71" s="41">
        <v>0</v>
      </c>
      <c r="X71" s="41">
        <v>0</v>
      </c>
      <c r="Y71" s="70">
        <f t="shared" si="15"/>
        <v>0</v>
      </c>
      <c r="Z71" s="41">
        <v>0</v>
      </c>
      <c r="AA71" s="41">
        <v>0</v>
      </c>
      <c r="AB71" s="70">
        <f t="shared" si="16"/>
        <v>0</v>
      </c>
      <c r="AC71" s="41">
        <v>0</v>
      </c>
      <c r="AD71" s="41">
        <v>0</v>
      </c>
      <c r="AE71" s="70">
        <f t="shared" si="17"/>
        <v>0</v>
      </c>
      <c r="AF71" s="28">
        <f t="shared" si="18"/>
        <v>27842100.000000007</v>
      </c>
      <c r="AG71" s="28">
        <f t="shared" si="19"/>
        <v>27242.759295499029</v>
      </c>
    </row>
    <row r="72" spans="1:33" ht="57.6" x14ac:dyDescent="0.3">
      <c r="A72" s="41" t="s">
        <v>697</v>
      </c>
      <c r="B72" s="41" t="s">
        <v>692</v>
      </c>
      <c r="C72" s="41" t="s">
        <v>662</v>
      </c>
      <c r="D72" s="41" t="s">
        <v>1394</v>
      </c>
      <c r="E72" s="41" t="s">
        <v>435</v>
      </c>
      <c r="F72" s="41" t="s">
        <v>1303</v>
      </c>
      <c r="G72" s="83">
        <f>1999.2/7</f>
        <v>285.60000000000002</v>
      </c>
      <c r="H72" s="41"/>
      <c r="I72" s="41"/>
      <c r="J72" s="83">
        <f t="shared" si="10"/>
        <v>0</v>
      </c>
      <c r="K72" s="41"/>
      <c r="L72" s="41"/>
      <c r="M72" s="70">
        <f t="shared" si="11"/>
        <v>0</v>
      </c>
      <c r="N72" s="41">
        <f>2*135*29</f>
        <v>7830</v>
      </c>
      <c r="O72" s="41">
        <v>1</v>
      </c>
      <c r="P72" s="70">
        <f t="shared" si="12"/>
        <v>2705860.0800000005</v>
      </c>
      <c r="Q72" s="41"/>
      <c r="R72" s="41"/>
      <c r="S72" s="70">
        <f t="shared" si="13"/>
        <v>0</v>
      </c>
      <c r="T72" s="41"/>
      <c r="U72" s="41"/>
      <c r="V72" s="70">
        <f t="shared" si="14"/>
        <v>0</v>
      </c>
      <c r="W72" s="41"/>
      <c r="X72" s="41"/>
      <c r="Y72" s="70">
        <f t="shared" si="15"/>
        <v>0</v>
      </c>
      <c r="Z72" s="41"/>
      <c r="AA72" s="41"/>
      <c r="AB72" s="70">
        <f t="shared" si="16"/>
        <v>0</v>
      </c>
      <c r="AC72" s="41"/>
      <c r="AD72" s="41"/>
      <c r="AE72" s="70">
        <f t="shared" si="17"/>
        <v>0</v>
      </c>
      <c r="AF72" s="28">
        <f t="shared" si="18"/>
        <v>2705860.0800000005</v>
      </c>
      <c r="AG72" s="28">
        <f t="shared" si="19"/>
        <v>2647.6126027397268</v>
      </c>
    </row>
    <row r="73" spans="1:33" ht="57.6" x14ac:dyDescent="0.3">
      <c r="A73" s="41" t="s">
        <v>697</v>
      </c>
      <c r="B73" s="41" t="s">
        <v>692</v>
      </c>
      <c r="C73" s="41" t="s">
        <v>662</v>
      </c>
      <c r="D73" s="41" t="s">
        <v>1394</v>
      </c>
      <c r="E73" s="41" t="s">
        <v>435</v>
      </c>
      <c r="F73" s="41" t="s">
        <v>712</v>
      </c>
      <c r="G73" s="83">
        <f>1999.2/7</f>
        <v>285.60000000000002</v>
      </c>
      <c r="H73" s="41"/>
      <c r="I73" s="41"/>
      <c r="J73" s="83">
        <f t="shared" si="10"/>
        <v>0</v>
      </c>
      <c r="K73" s="41">
        <v>0</v>
      </c>
      <c r="L73" s="41">
        <v>0</v>
      </c>
      <c r="M73" s="70">
        <f t="shared" si="11"/>
        <v>0</v>
      </c>
      <c r="N73" s="41">
        <f>2*25*29</f>
        <v>1450</v>
      </c>
      <c r="O73" s="41">
        <v>1</v>
      </c>
      <c r="P73" s="70">
        <f t="shared" si="12"/>
        <v>501085.20000000013</v>
      </c>
      <c r="Q73" s="41">
        <v>0</v>
      </c>
      <c r="R73" s="41">
        <v>0</v>
      </c>
      <c r="S73" s="70">
        <f t="shared" si="13"/>
        <v>0</v>
      </c>
      <c r="T73" s="41">
        <v>8000</v>
      </c>
      <c r="U73" s="41">
        <v>1</v>
      </c>
      <c r="V73" s="70">
        <f t="shared" si="14"/>
        <v>3345175.6800000011</v>
      </c>
      <c r="W73" s="41">
        <v>0</v>
      </c>
      <c r="X73" s="41">
        <v>0</v>
      </c>
      <c r="Y73" s="70">
        <f t="shared" si="15"/>
        <v>0</v>
      </c>
      <c r="Z73" s="41">
        <v>0</v>
      </c>
      <c r="AA73" s="41">
        <v>0</v>
      </c>
      <c r="AB73" s="70">
        <f t="shared" si="16"/>
        <v>0</v>
      </c>
      <c r="AC73" s="41">
        <v>0</v>
      </c>
      <c r="AD73" s="41">
        <v>0</v>
      </c>
      <c r="AE73" s="70">
        <f t="shared" si="17"/>
        <v>0</v>
      </c>
      <c r="AF73" s="28">
        <f t="shared" si="18"/>
        <v>3846260.8800000013</v>
      </c>
      <c r="AG73" s="28">
        <f t="shared" si="19"/>
        <v>3763.4646575342476</v>
      </c>
    </row>
    <row r="74" spans="1:33" ht="57.6" x14ac:dyDescent="0.3">
      <c r="A74" s="41" t="s">
        <v>697</v>
      </c>
      <c r="B74" s="41" t="s">
        <v>692</v>
      </c>
      <c r="C74" s="41" t="s">
        <v>662</v>
      </c>
      <c r="D74" s="41" t="s">
        <v>1394</v>
      </c>
      <c r="E74" s="41" t="s">
        <v>436</v>
      </c>
      <c r="F74" s="41" t="s">
        <v>709</v>
      </c>
      <c r="G74" s="83">
        <v>35000</v>
      </c>
      <c r="H74" s="41"/>
      <c r="I74" s="41"/>
      <c r="J74" s="83">
        <f t="shared" si="10"/>
        <v>0</v>
      </c>
      <c r="K74" s="41">
        <v>0</v>
      </c>
      <c r="L74" s="41">
        <v>0</v>
      </c>
      <c r="M74" s="70">
        <f t="shared" si="11"/>
        <v>0</v>
      </c>
      <c r="N74" s="41">
        <v>100</v>
      </c>
      <c r="O74" s="41">
        <v>5</v>
      </c>
      <c r="P74" s="70">
        <f t="shared" si="12"/>
        <v>21175000.000000004</v>
      </c>
      <c r="Q74" s="41">
        <v>0</v>
      </c>
      <c r="R74" s="41">
        <v>0</v>
      </c>
      <c r="S74" s="70">
        <f t="shared" si="13"/>
        <v>0</v>
      </c>
      <c r="T74" s="41">
        <v>40</v>
      </c>
      <c r="U74" s="41">
        <v>5</v>
      </c>
      <c r="V74" s="70">
        <f t="shared" si="14"/>
        <v>10248700.000000002</v>
      </c>
      <c r="W74" s="41">
        <v>0</v>
      </c>
      <c r="X74" s="41">
        <v>0</v>
      </c>
      <c r="Y74" s="70">
        <f t="shared" si="15"/>
        <v>0</v>
      </c>
      <c r="Z74" s="41">
        <v>0</v>
      </c>
      <c r="AA74" s="41">
        <v>0</v>
      </c>
      <c r="AB74" s="70">
        <f t="shared" si="16"/>
        <v>0</v>
      </c>
      <c r="AC74" s="41">
        <v>0</v>
      </c>
      <c r="AD74" s="41">
        <v>0</v>
      </c>
      <c r="AE74" s="70">
        <f t="shared" si="17"/>
        <v>0</v>
      </c>
      <c r="AF74" s="28">
        <f t="shared" si="18"/>
        <v>31423700.000000007</v>
      </c>
      <c r="AG74" s="28">
        <f t="shared" si="19"/>
        <v>30747.26027397261</v>
      </c>
    </row>
    <row r="75" spans="1:33" ht="57.6" x14ac:dyDescent="0.3">
      <c r="A75" s="41" t="s">
        <v>697</v>
      </c>
      <c r="B75" s="41" t="s">
        <v>692</v>
      </c>
      <c r="C75" s="41" t="s">
        <v>662</v>
      </c>
      <c r="D75" s="41" t="s">
        <v>1394</v>
      </c>
      <c r="E75" s="41" t="s">
        <v>436</v>
      </c>
      <c r="F75" s="41" t="s">
        <v>716</v>
      </c>
      <c r="G75" s="83">
        <v>39000</v>
      </c>
      <c r="H75" s="41"/>
      <c r="I75" s="41"/>
      <c r="J75" s="83">
        <f t="shared" si="10"/>
        <v>0</v>
      </c>
      <c r="K75" s="41">
        <v>0</v>
      </c>
      <c r="L75" s="41">
        <v>0</v>
      </c>
      <c r="M75" s="70">
        <f t="shared" si="11"/>
        <v>0</v>
      </c>
      <c r="N75" s="41">
        <v>58</v>
      </c>
      <c r="O75" s="41">
        <v>6</v>
      </c>
      <c r="P75" s="70">
        <f t="shared" si="12"/>
        <v>16422120.000000004</v>
      </c>
      <c r="Q75" s="41">
        <v>0</v>
      </c>
      <c r="R75" s="41">
        <v>0</v>
      </c>
      <c r="S75" s="70">
        <f t="shared" si="13"/>
        <v>0</v>
      </c>
      <c r="T75" s="41">
        <v>40</v>
      </c>
      <c r="U75" s="41">
        <v>5</v>
      </c>
      <c r="V75" s="70">
        <f t="shared" si="14"/>
        <v>11419980.000000002</v>
      </c>
      <c r="W75" s="41">
        <v>0</v>
      </c>
      <c r="X75" s="41">
        <v>0</v>
      </c>
      <c r="Y75" s="70">
        <f t="shared" si="15"/>
        <v>0</v>
      </c>
      <c r="Z75" s="41">
        <v>0</v>
      </c>
      <c r="AA75" s="41">
        <v>0</v>
      </c>
      <c r="AB75" s="70">
        <f t="shared" si="16"/>
        <v>0</v>
      </c>
      <c r="AC75" s="41">
        <v>0</v>
      </c>
      <c r="AD75" s="41">
        <v>0</v>
      </c>
      <c r="AE75" s="70">
        <f t="shared" si="17"/>
        <v>0</v>
      </c>
      <c r="AF75" s="28">
        <f t="shared" si="18"/>
        <v>27842100.000000007</v>
      </c>
      <c r="AG75" s="28">
        <f t="shared" si="19"/>
        <v>27242.759295499029</v>
      </c>
    </row>
    <row r="76" spans="1:33" ht="57.6" x14ac:dyDescent="0.3">
      <c r="A76" s="41" t="s">
        <v>697</v>
      </c>
      <c r="B76" s="41" t="s">
        <v>692</v>
      </c>
      <c r="C76" s="41" t="s">
        <v>662</v>
      </c>
      <c r="D76" s="41" t="s">
        <v>1394</v>
      </c>
      <c r="E76" s="41" t="s">
        <v>436</v>
      </c>
      <c r="F76" s="41" t="s">
        <v>1303</v>
      </c>
      <c r="G76" s="83">
        <f>1999.2/7</f>
        <v>285.60000000000002</v>
      </c>
      <c r="H76" s="41"/>
      <c r="I76" s="41"/>
      <c r="J76" s="83">
        <f t="shared" si="10"/>
        <v>0</v>
      </c>
      <c r="K76" s="41">
        <v>0</v>
      </c>
      <c r="L76" s="41">
        <v>0</v>
      </c>
      <c r="M76" s="70">
        <f t="shared" si="11"/>
        <v>0</v>
      </c>
      <c r="N76" s="41">
        <f>2*135*29</f>
        <v>7830</v>
      </c>
      <c r="O76" s="41">
        <v>1</v>
      </c>
      <c r="P76" s="70">
        <f t="shared" si="12"/>
        <v>2705860.0800000005</v>
      </c>
      <c r="Q76" s="41">
        <v>0</v>
      </c>
      <c r="R76" s="41">
        <v>0</v>
      </c>
      <c r="S76" s="70">
        <f t="shared" si="13"/>
        <v>0</v>
      </c>
      <c r="T76" s="41">
        <v>8000</v>
      </c>
      <c r="U76" s="41">
        <v>1</v>
      </c>
      <c r="V76" s="70">
        <f t="shared" si="14"/>
        <v>3345175.6800000011</v>
      </c>
      <c r="W76" s="41">
        <v>0</v>
      </c>
      <c r="X76" s="41">
        <v>0</v>
      </c>
      <c r="Y76" s="70">
        <f t="shared" si="15"/>
        <v>0</v>
      </c>
      <c r="Z76" s="41">
        <v>0</v>
      </c>
      <c r="AA76" s="41">
        <v>0</v>
      </c>
      <c r="AB76" s="70">
        <f t="shared" si="16"/>
        <v>0</v>
      </c>
      <c r="AC76" s="41">
        <v>0</v>
      </c>
      <c r="AD76" s="41">
        <v>0</v>
      </c>
      <c r="AE76" s="70">
        <f t="shared" si="17"/>
        <v>0</v>
      </c>
      <c r="AF76" s="28">
        <f t="shared" si="18"/>
        <v>6051035.7600000016</v>
      </c>
      <c r="AG76" s="28">
        <f t="shared" si="19"/>
        <v>5920.7786301369879</v>
      </c>
    </row>
    <row r="77" spans="1:33" ht="57.6" x14ac:dyDescent="0.3">
      <c r="A77" s="41" t="s">
        <v>697</v>
      </c>
      <c r="B77" s="41" t="s">
        <v>692</v>
      </c>
      <c r="C77" s="41" t="s">
        <v>662</v>
      </c>
      <c r="D77" s="41" t="s">
        <v>1394</v>
      </c>
      <c r="E77" s="41" t="s">
        <v>436</v>
      </c>
      <c r="F77" s="41" t="s">
        <v>712</v>
      </c>
      <c r="G77" s="83">
        <f>1999.2/7</f>
        <v>285.60000000000002</v>
      </c>
      <c r="H77" s="41"/>
      <c r="I77" s="41"/>
      <c r="J77" s="83">
        <f t="shared" si="10"/>
        <v>0</v>
      </c>
      <c r="K77" s="41">
        <v>0</v>
      </c>
      <c r="L77" s="41">
        <v>0</v>
      </c>
      <c r="M77" s="70">
        <f t="shared" si="11"/>
        <v>0</v>
      </c>
      <c r="N77" s="41">
        <f>25*2*29</f>
        <v>1450</v>
      </c>
      <c r="O77" s="41">
        <v>5</v>
      </c>
      <c r="P77" s="70">
        <f t="shared" si="12"/>
        <v>2505426.0000000005</v>
      </c>
      <c r="Q77" s="41">
        <v>0</v>
      </c>
      <c r="R77" s="41">
        <v>0</v>
      </c>
      <c r="S77" s="70">
        <f t="shared" si="13"/>
        <v>0</v>
      </c>
      <c r="T77" s="41">
        <v>8000</v>
      </c>
      <c r="U77" s="41">
        <v>1</v>
      </c>
      <c r="V77" s="70">
        <f t="shared" si="14"/>
        <v>3345175.6800000011</v>
      </c>
      <c r="W77" s="41">
        <v>0</v>
      </c>
      <c r="X77" s="41">
        <v>0</v>
      </c>
      <c r="Y77" s="70">
        <f t="shared" si="15"/>
        <v>0</v>
      </c>
      <c r="Z77" s="41">
        <v>0</v>
      </c>
      <c r="AA77" s="41">
        <v>0</v>
      </c>
      <c r="AB77" s="70">
        <f t="shared" si="16"/>
        <v>0</v>
      </c>
      <c r="AC77" s="41">
        <v>0</v>
      </c>
      <c r="AD77" s="41">
        <v>0</v>
      </c>
      <c r="AE77" s="70">
        <f t="shared" si="17"/>
        <v>0</v>
      </c>
      <c r="AF77" s="28">
        <f t="shared" si="18"/>
        <v>5850601.6800000016</v>
      </c>
      <c r="AG77" s="28">
        <f t="shared" si="19"/>
        <v>5724.6591780821936</v>
      </c>
    </row>
    <row r="78" spans="1:33" ht="57.6" x14ac:dyDescent="0.3">
      <c r="A78" s="41" t="s">
        <v>697</v>
      </c>
      <c r="B78" s="41" t="s">
        <v>692</v>
      </c>
      <c r="C78" s="41" t="s">
        <v>662</v>
      </c>
      <c r="D78" s="41" t="s">
        <v>1394</v>
      </c>
      <c r="E78" s="41" t="s">
        <v>437</v>
      </c>
      <c r="F78" s="41" t="s">
        <v>718</v>
      </c>
      <c r="G78" s="83">
        <v>0</v>
      </c>
      <c r="H78" s="41"/>
      <c r="I78" s="41"/>
      <c r="J78" s="83">
        <f t="shared" si="10"/>
        <v>0</v>
      </c>
      <c r="K78" s="41">
        <v>0</v>
      </c>
      <c r="L78" s="41">
        <v>0</v>
      </c>
      <c r="M78" s="70">
        <f t="shared" si="11"/>
        <v>0</v>
      </c>
      <c r="N78" s="41">
        <v>0</v>
      </c>
      <c r="O78" s="41">
        <v>0</v>
      </c>
      <c r="P78" s="70">
        <f t="shared" si="12"/>
        <v>0</v>
      </c>
      <c r="Q78" s="41">
        <v>0</v>
      </c>
      <c r="R78" s="41">
        <v>0</v>
      </c>
      <c r="S78" s="70">
        <f t="shared" si="13"/>
        <v>0</v>
      </c>
      <c r="T78" s="41">
        <v>0</v>
      </c>
      <c r="U78" s="41">
        <v>0</v>
      </c>
      <c r="V78" s="70">
        <f t="shared" si="14"/>
        <v>0</v>
      </c>
      <c r="W78" s="41">
        <v>0</v>
      </c>
      <c r="X78" s="41">
        <v>0</v>
      </c>
      <c r="Y78" s="70">
        <f t="shared" si="15"/>
        <v>0</v>
      </c>
      <c r="Z78" s="41">
        <v>0</v>
      </c>
      <c r="AA78" s="41">
        <v>0</v>
      </c>
      <c r="AB78" s="70">
        <f t="shared" si="16"/>
        <v>0</v>
      </c>
      <c r="AC78" s="41">
        <v>0</v>
      </c>
      <c r="AD78" s="41">
        <v>0</v>
      </c>
      <c r="AE78" s="70">
        <f t="shared" si="17"/>
        <v>0</v>
      </c>
      <c r="AF78" s="28">
        <f t="shared" si="18"/>
        <v>0</v>
      </c>
      <c r="AG78" s="28">
        <f t="shared" si="19"/>
        <v>0</v>
      </c>
    </row>
    <row r="79" spans="1:33" ht="57.6" x14ac:dyDescent="0.3">
      <c r="A79" s="41" t="s">
        <v>697</v>
      </c>
      <c r="B79" s="41" t="s">
        <v>692</v>
      </c>
      <c r="C79" s="41" t="s">
        <v>662</v>
      </c>
      <c r="D79" s="41" t="s">
        <v>1394</v>
      </c>
      <c r="E79" s="41" t="s">
        <v>438</v>
      </c>
      <c r="F79" s="41" t="s">
        <v>716</v>
      </c>
      <c r="G79" s="83">
        <v>39000</v>
      </c>
      <c r="H79" s="41"/>
      <c r="I79" s="41"/>
      <c r="J79" s="83">
        <f t="shared" si="10"/>
        <v>0</v>
      </c>
      <c r="K79" s="41">
        <v>0</v>
      </c>
      <c r="L79" s="41">
        <v>0</v>
      </c>
      <c r="M79" s="70">
        <f t="shared" si="11"/>
        <v>0</v>
      </c>
      <c r="N79" s="41">
        <v>25</v>
      </c>
      <c r="O79" s="41">
        <v>6</v>
      </c>
      <c r="P79" s="70">
        <f t="shared" si="12"/>
        <v>7078500.0000000019</v>
      </c>
      <c r="Q79" s="41">
        <v>0</v>
      </c>
      <c r="R79" s="41">
        <v>0</v>
      </c>
      <c r="S79" s="70">
        <f t="shared" si="13"/>
        <v>0</v>
      </c>
      <c r="T79" s="41">
        <v>150</v>
      </c>
      <c r="U79" s="41">
        <v>3</v>
      </c>
      <c r="V79" s="70">
        <f t="shared" si="14"/>
        <v>25694955.000000007</v>
      </c>
      <c r="W79" s="41">
        <v>0</v>
      </c>
      <c r="X79" s="41">
        <v>0</v>
      </c>
      <c r="Y79" s="70">
        <f t="shared" si="15"/>
        <v>0</v>
      </c>
      <c r="Z79" s="41">
        <v>0</v>
      </c>
      <c r="AA79" s="41">
        <v>0</v>
      </c>
      <c r="AB79" s="70">
        <f t="shared" si="16"/>
        <v>0</v>
      </c>
      <c r="AC79" s="41">
        <v>0</v>
      </c>
      <c r="AD79" s="41">
        <v>0</v>
      </c>
      <c r="AE79" s="70">
        <f t="shared" si="17"/>
        <v>0</v>
      </c>
      <c r="AF79" s="28">
        <f t="shared" si="18"/>
        <v>32773455.000000007</v>
      </c>
      <c r="AG79" s="28">
        <f t="shared" si="19"/>
        <v>32067.959882583178</v>
      </c>
    </row>
    <row r="80" spans="1:33" ht="57.6" x14ac:dyDescent="0.3">
      <c r="A80" s="41" t="s">
        <v>697</v>
      </c>
      <c r="B80" s="41" t="s">
        <v>692</v>
      </c>
      <c r="C80" s="41" t="s">
        <v>662</v>
      </c>
      <c r="D80" s="41" t="s">
        <v>1394</v>
      </c>
      <c r="E80" s="41" t="s">
        <v>438</v>
      </c>
      <c r="F80" s="41" t="s">
        <v>709</v>
      </c>
      <c r="G80" s="83">
        <v>35000</v>
      </c>
      <c r="H80" s="41"/>
      <c r="I80" s="41"/>
      <c r="J80" s="83">
        <f t="shared" si="10"/>
        <v>0</v>
      </c>
      <c r="K80" s="41">
        <v>0</v>
      </c>
      <c r="L80" s="41">
        <v>0</v>
      </c>
      <c r="M80" s="70">
        <f t="shared" si="11"/>
        <v>0</v>
      </c>
      <c r="N80" s="41">
        <v>25</v>
      </c>
      <c r="O80" s="41">
        <v>5</v>
      </c>
      <c r="P80" s="70">
        <f t="shared" si="12"/>
        <v>5293750.0000000009</v>
      </c>
      <c r="Q80" s="41">
        <v>0</v>
      </c>
      <c r="R80" s="41">
        <v>0</v>
      </c>
      <c r="S80" s="70">
        <f t="shared" si="13"/>
        <v>0</v>
      </c>
      <c r="T80" s="41">
        <v>150</v>
      </c>
      <c r="U80" s="41">
        <v>3</v>
      </c>
      <c r="V80" s="70">
        <f t="shared" si="14"/>
        <v>23059575.000000007</v>
      </c>
      <c r="W80" s="41">
        <v>0</v>
      </c>
      <c r="X80" s="41">
        <v>0</v>
      </c>
      <c r="Y80" s="70">
        <f t="shared" si="15"/>
        <v>0</v>
      </c>
      <c r="Z80" s="41">
        <v>0</v>
      </c>
      <c r="AA80" s="41">
        <v>0</v>
      </c>
      <c r="AB80" s="70">
        <f t="shared" si="16"/>
        <v>0</v>
      </c>
      <c r="AC80" s="41">
        <v>0</v>
      </c>
      <c r="AD80" s="41">
        <v>0</v>
      </c>
      <c r="AE80" s="70">
        <f t="shared" si="17"/>
        <v>0</v>
      </c>
      <c r="AF80" s="28">
        <f t="shared" si="18"/>
        <v>28353325.000000007</v>
      </c>
      <c r="AG80" s="28">
        <f t="shared" si="19"/>
        <v>27742.979452054802</v>
      </c>
    </row>
    <row r="81" spans="1:36" ht="57.6" x14ac:dyDescent="0.3">
      <c r="A81" s="41" t="s">
        <v>697</v>
      </c>
      <c r="B81" s="41" t="s">
        <v>692</v>
      </c>
      <c r="C81" s="41" t="s">
        <v>662</v>
      </c>
      <c r="D81" s="41" t="s">
        <v>1394</v>
      </c>
      <c r="E81" s="41" t="s">
        <v>438</v>
      </c>
      <c r="F81" s="41" t="s">
        <v>712</v>
      </c>
      <c r="G81" s="83">
        <f>1999.2/7</f>
        <v>285.60000000000002</v>
      </c>
      <c r="H81" s="41"/>
      <c r="I81" s="41"/>
      <c r="J81" s="83">
        <f t="shared" si="10"/>
        <v>0</v>
      </c>
      <c r="K81" s="41">
        <v>0</v>
      </c>
      <c r="L81" s="41">
        <v>0</v>
      </c>
      <c r="M81" s="70">
        <f t="shared" si="11"/>
        <v>0</v>
      </c>
      <c r="N81" s="41">
        <f>25*2*9</f>
        <v>450</v>
      </c>
      <c r="O81" s="41">
        <v>5</v>
      </c>
      <c r="P81" s="70">
        <f t="shared" si="12"/>
        <v>777546.00000000023</v>
      </c>
      <c r="Q81" s="41">
        <v>0</v>
      </c>
      <c r="R81" s="41">
        <v>0</v>
      </c>
      <c r="S81" s="70">
        <f t="shared" si="13"/>
        <v>0</v>
      </c>
      <c r="T81" s="41">
        <v>28000</v>
      </c>
      <c r="U81" s="41">
        <v>1</v>
      </c>
      <c r="V81" s="70">
        <f t="shared" si="14"/>
        <v>11708114.880000005</v>
      </c>
      <c r="W81" s="41">
        <v>0</v>
      </c>
      <c r="X81" s="41">
        <v>0</v>
      </c>
      <c r="Y81" s="70">
        <f t="shared" si="15"/>
        <v>0</v>
      </c>
      <c r="Z81" s="41">
        <v>0</v>
      </c>
      <c r="AA81" s="41">
        <v>0</v>
      </c>
      <c r="AB81" s="70">
        <f t="shared" si="16"/>
        <v>0</v>
      </c>
      <c r="AC81" s="41">
        <v>0</v>
      </c>
      <c r="AD81" s="41">
        <v>0</v>
      </c>
      <c r="AE81" s="70">
        <f t="shared" si="17"/>
        <v>0</v>
      </c>
      <c r="AF81" s="28">
        <f t="shared" si="18"/>
        <v>12485660.880000005</v>
      </c>
      <c r="AG81" s="28">
        <f t="shared" si="19"/>
        <v>12216.889315068498</v>
      </c>
    </row>
    <row r="82" spans="1:36" ht="57.6" x14ac:dyDescent="0.3">
      <c r="A82" s="41" t="s">
        <v>697</v>
      </c>
      <c r="B82" s="41" t="s">
        <v>692</v>
      </c>
      <c r="C82" s="41" t="s">
        <v>662</v>
      </c>
      <c r="D82" s="41" t="s">
        <v>1394</v>
      </c>
      <c r="E82" s="41" t="s">
        <v>438</v>
      </c>
      <c r="F82" s="41" t="s">
        <v>1303</v>
      </c>
      <c r="G82" s="83">
        <f>1999.2/7</f>
        <v>285.60000000000002</v>
      </c>
      <c r="H82" s="41"/>
      <c r="I82" s="41"/>
      <c r="J82" s="83">
        <f t="shared" si="10"/>
        <v>0</v>
      </c>
      <c r="K82" s="41">
        <v>0</v>
      </c>
      <c r="L82" s="41">
        <v>0</v>
      </c>
      <c r="M82" s="70">
        <f t="shared" si="11"/>
        <v>0</v>
      </c>
      <c r="N82" s="41">
        <f>2*135*9</f>
        <v>2430</v>
      </c>
      <c r="O82" s="41">
        <v>1</v>
      </c>
      <c r="P82" s="70">
        <f t="shared" si="12"/>
        <v>839749.68000000017</v>
      </c>
      <c r="Q82" s="41">
        <v>0</v>
      </c>
      <c r="R82" s="41">
        <v>0</v>
      </c>
      <c r="S82" s="70">
        <f t="shared" si="13"/>
        <v>0</v>
      </c>
      <c r="T82" s="41">
        <v>28000</v>
      </c>
      <c r="U82" s="41">
        <v>1</v>
      </c>
      <c r="V82" s="70">
        <f t="shared" si="14"/>
        <v>11708114.880000005</v>
      </c>
      <c r="W82" s="41">
        <v>0</v>
      </c>
      <c r="X82" s="41">
        <v>0</v>
      </c>
      <c r="Y82" s="70">
        <f t="shared" si="15"/>
        <v>0</v>
      </c>
      <c r="Z82" s="41">
        <v>0</v>
      </c>
      <c r="AA82" s="41">
        <v>0</v>
      </c>
      <c r="AB82" s="70">
        <f t="shared" si="16"/>
        <v>0</v>
      </c>
      <c r="AC82" s="41">
        <v>0</v>
      </c>
      <c r="AD82" s="41">
        <v>0</v>
      </c>
      <c r="AE82" s="70">
        <f t="shared" si="17"/>
        <v>0</v>
      </c>
      <c r="AF82" s="28">
        <f t="shared" si="18"/>
        <v>12547864.560000004</v>
      </c>
      <c r="AG82" s="28">
        <f t="shared" si="19"/>
        <v>12277.753972602744</v>
      </c>
    </row>
    <row r="83" spans="1:36" ht="57.6" x14ac:dyDescent="0.3">
      <c r="A83" s="41" t="s">
        <v>697</v>
      </c>
      <c r="B83" s="41" t="s">
        <v>692</v>
      </c>
      <c r="C83" s="41" t="s">
        <v>662</v>
      </c>
      <c r="D83" s="41" t="s">
        <v>1394</v>
      </c>
      <c r="E83" s="41" t="s">
        <v>439</v>
      </c>
      <c r="F83" s="41" t="s">
        <v>707</v>
      </c>
      <c r="G83" s="83">
        <v>391991.03749999998</v>
      </c>
      <c r="H83" s="41"/>
      <c r="I83" s="41"/>
      <c r="J83" s="83">
        <f t="shared" si="10"/>
        <v>0</v>
      </c>
      <c r="K83" s="41">
        <v>0</v>
      </c>
      <c r="L83" s="41">
        <v>0</v>
      </c>
      <c r="M83" s="70">
        <f t="shared" si="11"/>
        <v>0</v>
      </c>
      <c r="N83" s="41">
        <v>2</v>
      </c>
      <c r="O83" s="41">
        <v>2</v>
      </c>
      <c r="P83" s="70">
        <f t="shared" si="12"/>
        <v>1897236.6215000001</v>
      </c>
      <c r="Q83" s="41">
        <v>0</v>
      </c>
      <c r="R83" s="41">
        <v>0</v>
      </c>
      <c r="S83" s="70">
        <f t="shared" si="13"/>
        <v>0</v>
      </c>
      <c r="T83" s="41">
        <v>1</v>
      </c>
      <c r="U83" s="41">
        <v>6</v>
      </c>
      <c r="V83" s="70">
        <f t="shared" si="14"/>
        <v>3443484.4680225002</v>
      </c>
      <c r="W83" s="41">
        <v>0</v>
      </c>
      <c r="X83" s="41">
        <v>0</v>
      </c>
      <c r="Y83" s="70">
        <f t="shared" si="15"/>
        <v>0</v>
      </c>
      <c r="Z83" s="41">
        <v>0</v>
      </c>
      <c r="AA83" s="41">
        <v>0</v>
      </c>
      <c r="AB83" s="70">
        <f t="shared" si="16"/>
        <v>0</v>
      </c>
      <c r="AC83" s="41">
        <v>0</v>
      </c>
      <c r="AD83" s="41">
        <v>0</v>
      </c>
      <c r="AE83" s="70">
        <f t="shared" si="17"/>
        <v>0</v>
      </c>
      <c r="AF83" s="28">
        <f t="shared" si="18"/>
        <v>5340721.0895225005</v>
      </c>
      <c r="AG83" s="28">
        <f t="shared" si="19"/>
        <v>5225.7544907265174</v>
      </c>
    </row>
    <row r="84" spans="1:36" ht="57.6" x14ac:dyDescent="0.3">
      <c r="A84" s="41" t="s">
        <v>697</v>
      </c>
      <c r="B84" s="41" t="s">
        <v>692</v>
      </c>
      <c r="C84" s="41" t="s">
        <v>662</v>
      </c>
      <c r="D84" s="41" t="s">
        <v>1394</v>
      </c>
      <c r="E84" s="41" t="s">
        <v>439</v>
      </c>
      <c r="F84" s="41" t="s">
        <v>741</v>
      </c>
      <c r="G84" s="83">
        <f>42000*1022</f>
        <v>42924000</v>
      </c>
      <c r="H84" s="41"/>
      <c r="I84" s="41"/>
      <c r="J84" s="83">
        <f t="shared" si="10"/>
        <v>0</v>
      </c>
      <c r="K84" s="41"/>
      <c r="L84" s="41"/>
      <c r="M84" s="70">
        <f t="shared" si="11"/>
        <v>0</v>
      </c>
      <c r="N84" s="41">
        <v>1</v>
      </c>
      <c r="O84" s="41">
        <v>1</v>
      </c>
      <c r="P84" s="70">
        <f t="shared" si="12"/>
        <v>51938040.000000007</v>
      </c>
      <c r="Q84" s="41">
        <v>0</v>
      </c>
      <c r="R84" s="41">
        <v>0</v>
      </c>
      <c r="S84" s="70">
        <f t="shared" si="13"/>
        <v>0</v>
      </c>
      <c r="T84" s="41">
        <v>1</v>
      </c>
      <c r="U84" s="41">
        <v>1</v>
      </c>
      <c r="V84" s="70">
        <f t="shared" si="14"/>
        <v>62845028.400000021</v>
      </c>
      <c r="W84" s="41">
        <v>0</v>
      </c>
      <c r="X84" s="41">
        <v>0</v>
      </c>
      <c r="Y84" s="70">
        <f t="shared" si="15"/>
        <v>0</v>
      </c>
      <c r="Z84" s="41">
        <v>0</v>
      </c>
      <c r="AA84" s="41">
        <v>0</v>
      </c>
      <c r="AB84" s="70">
        <f t="shared" si="16"/>
        <v>0</v>
      </c>
      <c r="AC84" s="41">
        <v>0</v>
      </c>
      <c r="AD84" s="41">
        <v>0</v>
      </c>
      <c r="AE84" s="70">
        <f t="shared" si="17"/>
        <v>0</v>
      </c>
      <c r="AF84" s="28">
        <f t="shared" si="18"/>
        <v>114783068.40000004</v>
      </c>
      <c r="AG84" s="28">
        <f t="shared" si="19"/>
        <v>112312.20000000004</v>
      </c>
    </row>
    <row r="85" spans="1:36" x14ac:dyDescent="0.3">
      <c r="A85" s="91" t="s">
        <v>1302</v>
      </c>
      <c r="B85" s="91"/>
      <c r="C85" s="91"/>
      <c r="D85" s="91"/>
      <c r="E85" s="91"/>
      <c r="F85" s="91"/>
      <c r="G85" s="92"/>
      <c r="H85" s="91"/>
      <c r="I85" s="91"/>
      <c r="J85" s="92">
        <f>SUM(J2:J84)</f>
        <v>0</v>
      </c>
      <c r="K85" s="91"/>
      <c r="L85" s="91"/>
      <c r="M85" s="92">
        <f>SUM(M2:M84)</f>
        <v>1010132477.365</v>
      </c>
      <c r="N85" s="91"/>
      <c r="O85" s="91"/>
      <c r="P85" s="92">
        <f>SUM(P2:P84)</f>
        <v>1356247221.8460002</v>
      </c>
      <c r="Q85" s="91"/>
      <c r="R85" s="91"/>
      <c r="S85" s="92">
        <f>SUM(S2:S84)</f>
        <v>136753997.86042506</v>
      </c>
      <c r="T85" s="91"/>
      <c r="U85" s="91"/>
      <c r="V85" s="92">
        <f>SUM(V2:V84)</f>
        <v>1063376688.2920225</v>
      </c>
      <c r="W85" s="91"/>
      <c r="X85" s="91"/>
      <c r="Y85" s="92">
        <f>SUM(Y2:Y84)</f>
        <v>0</v>
      </c>
      <c r="Z85" s="91"/>
      <c r="AA85" s="91"/>
      <c r="AB85" s="92">
        <f>SUM(AB2:AB84)</f>
        <v>0</v>
      </c>
      <c r="AC85" s="91"/>
      <c r="AD85" s="91"/>
      <c r="AE85" s="92">
        <f>SUM(AE2:AE84)</f>
        <v>0</v>
      </c>
      <c r="AF85" s="95">
        <f t="shared" si="18"/>
        <v>3566510385.3634481</v>
      </c>
      <c r="AG85" s="95">
        <f t="shared" si="19"/>
        <v>3489736.1892010258</v>
      </c>
      <c r="AH85" s="94"/>
      <c r="AI85" s="94"/>
      <c r="AJ85" s="94"/>
    </row>
    <row r="86" spans="1:36" x14ac:dyDescent="0.3">
      <c r="A86" s="63" t="s">
        <v>1431</v>
      </c>
      <c r="B86" s="63"/>
      <c r="C86" s="63"/>
      <c r="D86" s="63"/>
      <c r="E86" s="63"/>
      <c r="F86" s="63"/>
      <c r="G86" s="90"/>
      <c r="H86" s="63"/>
      <c r="I86" s="63"/>
      <c r="J86" s="90">
        <f>J85/$AL$2</f>
        <v>0</v>
      </c>
      <c r="K86" s="63"/>
      <c r="L86" s="63"/>
      <c r="M86" s="90">
        <f>M85/$AL$2</f>
        <v>988387.94262720156</v>
      </c>
      <c r="N86" s="63"/>
      <c r="O86" s="63"/>
      <c r="P86" s="90">
        <f>P85/$AL$2</f>
        <v>1327052.0761702545</v>
      </c>
      <c r="Q86" s="63"/>
      <c r="R86" s="63"/>
      <c r="S86" s="90">
        <f>S85/$AL$2</f>
        <v>133810.17403172707</v>
      </c>
      <c r="T86" s="63"/>
      <c r="U86" s="63"/>
      <c r="V86" s="90">
        <f>V85/$AL$2</f>
        <v>1040485.996371842</v>
      </c>
      <c r="W86" s="63"/>
      <c r="X86" s="63"/>
      <c r="Y86" s="90">
        <f>Y85/$AL$2</f>
        <v>0</v>
      </c>
      <c r="Z86" s="63"/>
      <c r="AA86" s="63"/>
      <c r="AB86" s="90">
        <f>AB85/$AL$2</f>
        <v>0</v>
      </c>
      <c r="AC86" s="63"/>
      <c r="AD86" s="63"/>
      <c r="AE86" s="90">
        <f>AE85/$AL$2</f>
        <v>0</v>
      </c>
      <c r="AF86" s="20">
        <f t="shared" si="18"/>
        <v>3489736.1892010253</v>
      </c>
      <c r="AG86" s="20">
        <f t="shared" si="19"/>
        <v>3414.6146665372066</v>
      </c>
      <c r="AH86" s="62"/>
      <c r="AI86" s="62"/>
      <c r="AJ86" s="62"/>
    </row>
    <row r="87" spans="1:36" ht="72" x14ac:dyDescent="0.3">
      <c r="A87" s="41" t="s">
        <v>697</v>
      </c>
      <c r="B87" s="41" t="s">
        <v>692</v>
      </c>
      <c r="C87" s="41" t="s">
        <v>663</v>
      </c>
      <c r="D87" s="41" t="s">
        <v>81</v>
      </c>
      <c r="E87" s="41" t="s">
        <v>440</v>
      </c>
      <c r="F87" s="41" t="s">
        <v>718</v>
      </c>
      <c r="G87" s="83">
        <v>0</v>
      </c>
      <c r="H87" s="41">
        <v>0</v>
      </c>
      <c r="I87" s="41">
        <v>0</v>
      </c>
      <c r="J87" s="83">
        <f t="shared" si="10"/>
        <v>0</v>
      </c>
      <c r="K87" s="41">
        <v>0</v>
      </c>
      <c r="L87" s="41">
        <v>0</v>
      </c>
      <c r="M87" s="70">
        <f t="shared" si="11"/>
        <v>0</v>
      </c>
      <c r="N87" s="41">
        <v>0</v>
      </c>
      <c r="O87" s="41">
        <v>0</v>
      </c>
      <c r="P87" s="70">
        <f t="shared" si="12"/>
        <v>0</v>
      </c>
      <c r="Q87" s="41">
        <v>0</v>
      </c>
      <c r="R87" s="41">
        <v>0</v>
      </c>
      <c r="S87" s="70">
        <f t="shared" si="13"/>
        <v>0</v>
      </c>
      <c r="T87" s="41">
        <v>0</v>
      </c>
      <c r="U87" s="41">
        <v>0</v>
      </c>
      <c r="V87" s="70">
        <f t="shared" si="14"/>
        <v>0</v>
      </c>
      <c r="W87" s="41">
        <v>0</v>
      </c>
      <c r="X87" s="41">
        <v>0</v>
      </c>
      <c r="Y87" s="70">
        <f t="shared" si="15"/>
        <v>0</v>
      </c>
      <c r="Z87" s="41">
        <v>0</v>
      </c>
      <c r="AA87" s="41">
        <v>0</v>
      </c>
      <c r="AB87" s="70">
        <f t="shared" si="16"/>
        <v>0</v>
      </c>
      <c r="AC87" s="41">
        <v>0</v>
      </c>
      <c r="AD87" s="41">
        <v>0</v>
      </c>
      <c r="AE87" s="70">
        <f t="shared" si="17"/>
        <v>0</v>
      </c>
      <c r="AF87" s="28">
        <f t="shared" si="18"/>
        <v>0</v>
      </c>
      <c r="AG87" s="28">
        <f t="shared" si="19"/>
        <v>0</v>
      </c>
    </row>
    <row r="88" spans="1:36" ht="72" x14ac:dyDescent="0.3">
      <c r="A88" s="41" t="s">
        <v>697</v>
      </c>
      <c r="B88" s="41" t="s">
        <v>692</v>
      </c>
      <c r="C88" s="41" t="s">
        <v>663</v>
      </c>
      <c r="D88" s="41" t="s">
        <v>81</v>
      </c>
      <c r="E88" s="41" t="s">
        <v>441</v>
      </c>
      <c r="F88" s="41" t="s">
        <v>718</v>
      </c>
      <c r="G88" s="83">
        <v>0</v>
      </c>
      <c r="H88" s="41">
        <v>0</v>
      </c>
      <c r="I88" s="41">
        <v>0</v>
      </c>
      <c r="J88" s="83">
        <f t="shared" si="10"/>
        <v>0</v>
      </c>
      <c r="K88" s="41">
        <v>0</v>
      </c>
      <c r="L88" s="41">
        <v>0</v>
      </c>
      <c r="M88" s="70">
        <f t="shared" si="11"/>
        <v>0</v>
      </c>
      <c r="N88" s="41">
        <v>0</v>
      </c>
      <c r="O88" s="41">
        <v>0</v>
      </c>
      <c r="P88" s="70">
        <f t="shared" si="12"/>
        <v>0</v>
      </c>
      <c r="Q88" s="41">
        <v>0</v>
      </c>
      <c r="R88" s="41">
        <v>0</v>
      </c>
      <c r="S88" s="70">
        <f t="shared" si="13"/>
        <v>0</v>
      </c>
      <c r="T88" s="41">
        <v>0</v>
      </c>
      <c r="U88" s="41">
        <v>0</v>
      </c>
      <c r="V88" s="70">
        <f t="shared" si="14"/>
        <v>0</v>
      </c>
      <c r="W88" s="41">
        <v>0</v>
      </c>
      <c r="X88" s="41">
        <v>0</v>
      </c>
      <c r="Y88" s="70">
        <f t="shared" si="15"/>
        <v>0</v>
      </c>
      <c r="Z88" s="41">
        <v>0</v>
      </c>
      <c r="AA88" s="41">
        <v>0</v>
      </c>
      <c r="AB88" s="70">
        <f t="shared" si="16"/>
        <v>0</v>
      </c>
      <c r="AC88" s="41">
        <v>0</v>
      </c>
      <c r="AD88" s="41">
        <v>0</v>
      </c>
      <c r="AE88" s="70">
        <f t="shared" si="17"/>
        <v>0</v>
      </c>
      <c r="AF88" s="28">
        <f t="shared" si="18"/>
        <v>0</v>
      </c>
      <c r="AG88" s="28">
        <f t="shared" si="19"/>
        <v>0</v>
      </c>
    </row>
    <row r="89" spans="1:36" ht="72" x14ac:dyDescent="0.3">
      <c r="A89" s="41" t="s">
        <v>697</v>
      </c>
      <c r="B89" s="41" t="s">
        <v>692</v>
      </c>
      <c r="C89" s="41" t="s">
        <v>663</v>
      </c>
      <c r="D89" s="41" t="s">
        <v>81</v>
      </c>
      <c r="E89" s="41" t="s">
        <v>149</v>
      </c>
      <c r="F89" s="41" t="s">
        <v>707</v>
      </c>
      <c r="G89" s="83">
        <v>391991.03749999998</v>
      </c>
      <c r="J89" s="83">
        <f t="shared" si="10"/>
        <v>0</v>
      </c>
      <c r="K89" s="41">
        <v>2</v>
      </c>
      <c r="L89" s="41">
        <v>2</v>
      </c>
      <c r="M89" s="70">
        <f t="shared" si="11"/>
        <v>1724760.5649999999</v>
      </c>
      <c r="N89" s="41">
        <v>2</v>
      </c>
      <c r="O89" s="41">
        <v>2</v>
      </c>
      <c r="P89" s="70">
        <f t="shared" si="12"/>
        <v>1897236.6215000001</v>
      </c>
      <c r="Q89" s="41">
        <v>2</v>
      </c>
      <c r="R89" s="41">
        <v>2</v>
      </c>
      <c r="S89" s="70">
        <f t="shared" si="13"/>
        <v>2086960.2836500006</v>
      </c>
      <c r="T89" s="41">
        <v>2</v>
      </c>
      <c r="U89" s="41">
        <v>2</v>
      </c>
      <c r="V89" s="70">
        <f t="shared" si="14"/>
        <v>2295656.3120150003</v>
      </c>
      <c r="W89" s="41">
        <v>2</v>
      </c>
      <c r="X89" s="41">
        <v>2</v>
      </c>
      <c r="Y89" s="70">
        <f t="shared" si="15"/>
        <v>2525221.9432165008</v>
      </c>
      <c r="Z89" s="41">
        <v>2</v>
      </c>
      <c r="AA89" s="41">
        <v>2</v>
      </c>
      <c r="AB89" s="70">
        <f t="shared" si="16"/>
        <v>2777744.1375381513</v>
      </c>
      <c r="AC89" s="41">
        <v>2</v>
      </c>
      <c r="AD89" s="41">
        <v>2</v>
      </c>
      <c r="AE89" s="70">
        <f t="shared" si="17"/>
        <v>3055518.5512919668</v>
      </c>
      <c r="AF89" s="28">
        <f t="shared" si="18"/>
        <v>16363098.41421162</v>
      </c>
      <c r="AG89" s="28">
        <f t="shared" si="19"/>
        <v>16010.859505099432</v>
      </c>
    </row>
    <row r="90" spans="1:36" ht="72" x14ac:dyDescent="0.3">
      <c r="A90" s="41" t="s">
        <v>697</v>
      </c>
      <c r="B90" s="41" t="s">
        <v>692</v>
      </c>
      <c r="C90" s="41" t="s">
        <v>663</v>
      </c>
      <c r="D90" s="41" t="s">
        <v>81</v>
      </c>
      <c r="E90" s="41" t="s">
        <v>149</v>
      </c>
      <c r="F90" s="41" t="s">
        <v>708</v>
      </c>
      <c r="G90" s="83">
        <f>500*1022</f>
        <v>511000</v>
      </c>
      <c r="J90" s="83">
        <f t="shared" si="10"/>
        <v>0</v>
      </c>
      <c r="K90" s="41">
        <v>1</v>
      </c>
      <c r="L90" s="41">
        <v>25</v>
      </c>
      <c r="M90" s="70">
        <f t="shared" si="11"/>
        <v>14052500</v>
      </c>
      <c r="N90" s="41">
        <v>1</v>
      </c>
      <c r="O90" s="41">
        <v>25</v>
      </c>
      <c r="P90" s="70">
        <f t="shared" si="12"/>
        <v>15457750.000000004</v>
      </c>
      <c r="Q90" s="41">
        <v>1</v>
      </c>
      <c r="R90" s="41">
        <v>25</v>
      </c>
      <c r="S90" s="70">
        <f t="shared" si="13"/>
        <v>17003525.000000007</v>
      </c>
      <c r="T90" s="41">
        <v>1</v>
      </c>
      <c r="U90" s="41">
        <v>25</v>
      </c>
      <c r="V90" s="70">
        <f t="shared" si="14"/>
        <v>18703877.500000004</v>
      </c>
      <c r="W90" s="41">
        <v>1</v>
      </c>
      <c r="X90" s="41">
        <v>25</v>
      </c>
      <c r="Y90" s="70">
        <f t="shared" si="15"/>
        <v>20574265.250000007</v>
      </c>
      <c r="Z90" s="41">
        <v>1</v>
      </c>
      <c r="AA90" s="41">
        <v>25</v>
      </c>
      <c r="AB90" s="70">
        <f t="shared" si="16"/>
        <v>22631691.77500001</v>
      </c>
      <c r="AC90" s="41">
        <v>1</v>
      </c>
      <c r="AD90" s="41">
        <v>25</v>
      </c>
      <c r="AE90" s="70">
        <f t="shared" si="17"/>
        <v>24894860.952500015</v>
      </c>
      <c r="AF90" s="28">
        <f t="shared" si="18"/>
        <v>133318470.47750005</v>
      </c>
      <c r="AG90" s="28">
        <f t="shared" si="19"/>
        <v>130448.60125000005</v>
      </c>
    </row>
    <row r="91" spans="1:36" ht="72" x14ac:dyDescent="0.3">
      <c r="A91" s="41" t="s">
        <v>697</v>
      </c>
      <c r="B91" s="41" t="s">
        <v>692</v>
      </c>
      <c r="C91" s="41" t="s">
        <v>663</v>
      </c>
      <c r="D91" s="41" t="s">
        <v>81</v>
      </c>
      <c r="E91" s="41" t="s">
        <v>442</v>
      </c>
      <c r="F91" s="41" t="s">
        <v>709</v>
      </c>
      <c r="G91" s="83">
        <v>35000</v>
      </c>
      <c r="J91" s="83">
        <f t="shared" si="10"/>
        <v>0</v>
      </c>
      <c r="K91" s="41">
        <v>150</v>
      </c>
      <c r="L91" s="41">
        <v>3</v>
      </c>
      <c r="M91" s="70">
        <f t="shared" si="11"/>
        <v>17325000</v>
      </c>
      <c r="N91" s="41">
        <v>150</v>
      </c>
      <c r="O91" s="41">
        <v>3</v>
      </c>
      <c r="P91" s="70">
        <f t="shared" si="12"/>
        <v>19057500.000000004</v>
      </c>
      <c r="Q91" s="41">
        <v>150</v>
      </c>
      <c r="R91" s="41">
        <v>3</v>
      </c>
      <c r="S91" s="70">
        <f t="shared" si="13"/>
        <v>20963250.000000007</v>
      </c>
      <c r="T91" s="41">
        <v>150</v>
      </c>
      <c r="U91" s="41">
        <v>3</v>
      </c>
      <c r="V91" s="70">
        <f t="shared" si="14"/>
        <v>23059575.000000007</v>
      </c>
      <c r="W91" s="41">
        <v>150</v>
      </c>
      <c r="X91" s="41">
        <v>3</v>
      </c>
      <c r="Y91" s="70">
        <f t="shared" si="15"/>
        <v>25365532.500000011</v>
      </c>
      <c r="Z91" s="41">
        <v>150</v>
      </c>
      <c r="AA91" s="41">
        <v>3</v>
      </c>
      <c r="AB91" s="70">
        <f t="shared" si="16"/>
        <v>27902085.750000015</v>
      </c>
      <c r="AC91" s="41">
        <v>150</v>
      </c>
      <c r="AD91" s="41">
        <v>3</v>
      </c>
      <c r="AE91" s="70">
        <f t="shared" si="17"/>
        <v>30692294.325000018</v>
      </c>
      <c r="AF91" s="28">
        <f t="shared" si="18"/>
        <v>164365237.57500005</v>
      </c>
      <c r="AG91" s="28">
        <f t="shared" si="19"/>
        <v>160827.04263698636</v>
      </c>
    </row>
    <row r="92" spans="1:36" ht="72" x14ac:dyDescent="0.3">
      <c r="A92" s="41" t="s">
        <v>697</v>
      </c>
      <c r="B92" s="41" t="s">
        <v>692</v>
      </c>
      <c r="C92" s="41" t="s">
        <v>663</v>
      </c>
      <c r="D92" s="41" t="s">
        <v>81</v>
      </c>
      <c r="E92" s="41" t="s">
        <v>442</v>
      </c>
      <c r="F92" s="41" t="s">
        <v>716</v>
      </c>
      <c r="G92" s="83">
        <v>39000</v>
      </c>
      <c r="J92" s="83">
        <f t="shared" si="10"/>
        <v>0</v>
      </c>
      <c r="K92" s="41">
        <v>150</v>
      </c>
      <c r="L92" s="41">
        <v>3</v>
      </c>
      <c r="M92" s="70">
        <f t="shared" si="11"/>
        <v>19305000</v>
      </c>
      <c r="N92" s="41">
        <v>150</v>
      </c>
      <c r="O92" s="41">
        <v>3</v>
      </c>
      <c r="P92" s="70">
        <f t="shared" si="12"/>
        <v>21235500.000000004</v>
      </c>
      <c r="Q92" s="41">
        <v>150</v>
      </c>
      <c r="R92" s="41">
        <v>3</v>
      </c>
      <c r="S92" s="70">
        <f t="shared" si="13"/>
        <v>23359050.000000007</v>
      </c>
      <c r="T92" s="41">
        <v>150</v>
      </c>
      <c r="U92" s="41">
        <v>3</v>
      </c>
      <c r="V92" s="70">
        <f t="shared" si="14"/>
        <v>25694955.000000007</v>
      </c>
      <c r="W92" s="41">
        <v>150</v>
      </c>
      <c r="X92" s="41">
        <v>3</v>
      </c>
      <c r="Y92" s="70">
        <f t="shared" si="15"/>
        <v>28264450.500000011</v>
      </c>
      <c r="Z92" s="41">
        <v>150</v>
      </c>
      <c r="AA92" s="41">
        <v>3</v>
      </c>
      <c r="AB92" s="70">
        <f t="shared" si="16"/>
        <v>31090895.550000016</v>
      </c>
      <c r="AC92" s="41">
        <v>150</v>
      </c>
      <c r="AD92" s="41">
        <v>3</v>
      </c>
      <c r="AE92" s="70">
        <f t="shared" si="17"/>
        <v>34199985.105000019</v>
      </c>
      <c r="AF92" s="28">
        <f t="shared" si="18"/>
        <v>183149836.15500006</v>
      </c>
      <c r="AG92" s="28">
        <f t="shared" si="19"/>
        <v>179207.27608121338</v>
      </c>
    </row>
    <row r="93" spans="1:36" ht="72" x14ac:dyDescent="0.3">
      <c r="A93" s="41" t="s">
        <v>697</v>
      </c>
      <c r="B93" s="41" t="s">
        <v>692</v>
      </c>
      <c r="C93" s="41" t="s">
        <v>663</v>
      </c>
      <c r="D93" s="41" t="s">
        <v>81</v>
      </c>
      <c r="E93" s="41" t="s">
        <v>442</v>
      </c>
      <c r="F93" s="41" t="s">
        <v>712</v>
      </c>
      <c r="G93" s="83">
        <f>1999.2/7</f>
        <v>285.60000000000002</v>
      </c>
      <c r="J93" s="83">
        <f t="shared" si="10"/>
        <v>0</v>
      </c>
      <c r="K93" s="41">
        <f>25*2*75</f>
        <v>3750</v>
      </c>
      <c r="L93" s="41">
        <v>2</v>
      </c>
      <c r="M93" s="70">
        <f t="shared" si="11"/>
        <v>2356200</v>
      </c>
      <c r="N93" s="41">
        <f>25*2*75</f>
        <v>3750</v>
      </c>
      <c r="O93" s="41">
        <v>2</v>
      </c>
      <c r="P93" s="70">
        <f t="shared" si="12"/>
        <v>2591820.0000000005</v>
      </c>
      <c r="Q93" s="41">
        <f>25*2*75</f>
        <v>3750</v>
      </c>
      <c r="R93" s="41">
        <v>2</v>
      </c>
      <c r="S93" s="70">
        <f t="shared" si="13"/>
        <v>2851002.0000000014</v>
      </c>
      <c r="T93" s="41">
        <f>25*2*75</f>
        <v>3750</v>
      </c>
      <c r="U93" s="41">
        <v>2</v>
      </c>
      <c r="V93" s="70">
        <f t="shared" si="14"/>
        <v>3136102.2000000011</v>
      </c>
      <c r="W93" s="41">
        <f>25*2*75</f>
        <v>3750</v>
      </c>
      <c r="X93" s="41">
        <v>2</v>
      </c>
      <c r="Y93" s="70">
        <f t="shared" si="15"/>
        <v>3449712.4200000013</v>
      </c>
      <c r="Z93" s="41">
        <v>3750</v>
      </c>
      <c r="AA93" s="41">
        <v>2</v>
      </c>
      <c r="AB93" s="70">
        <f t="shared" si="16"/>
        <v>3794683.6620000019</v>
      </c>
      <c r="AC93" s="41">
        <v>3750</v>
      </c>
      <c r="AD93" s="41">
        <v>2</v>
      </c>
      <c r="AE93" s="70">
        <f t="shared" si="17"/>
        <v>4174152.0282000033</v>
      </c>
      <c r="AF93" s="28">
        <f t="shared" si="18"/>
        <v>22353672.310200009</v>
      </c>
      <c r="AG93" s="28">
        <f t="shared" si="19"/>
        <v>21872.477798630145</v>
      </c>
    </row>
    <row r="94" spans="1:36" ht="72" x14ac:dyDescent="0.3">
      <c r="A94" s="41" t="s">
        <v>697</v>
      </c>
      <c r="B94" s="41" t="s">
        <v>692</v>
      </c>
      <c r="C94" s="41" t="s">
        <v>663</v>
      </c>
      <c r="D94" s="41" t="s">
        <v>81</v>
      </c>
      <c r="E94" s="41" t="s">
        <v>442</v>
      </c>
      <c r="F94" s="41" t="s">
        <v>1303</v>
      </c>
      <c r="G94" s="83">
        <f>1999.2/7</f>
        <v>285.60000000000002</v>
      </c>
      <c r="J94" s="83">
        <f t="shared" si="10"/>
        <v>0</v>
      </c>
      <c r="K94">
        <f>2*25*75</f>
        <v>3750</v>
      </c>
      <c r="L94" s="41">
        <v>1</v>
      </c>
      <c r="M94" s="70">
        <f t="shared" si="11"/>
        <v>1178100</v>
      </c>
      <c r="N94">
        <f>2*25*75</f>
        <v>3750</v>
      </c>
      <c r="O94" s="41">
        <v>1</v>
      </c>
      <c r="P94" s="70">
        <f t="shared" si="12"/>
        <v>1295910.0000000002</v>
      </c>
      <c r="Q94">
        <f>2*25*75</f>
        <v>3750</v>
      </c>
      <c r="R94" s="41">
        <v>1</v>
      </c>
      <c r="S94" s="70">
        <f t="shared" si="13"/>
        <v>1425501.0000000007</v>
      </c>
      <c r="T94">
        <f>2*25*75</f>
        <v>3750</v>
      </c>
      <c r="U94" s="41">
        <v>1</v>
      </c>
      <c r="V94" s="70">
        <f t="shared" si="14"/>
        <v>1568051.1000000006</v>
      </c>
      <c r="W94" s="41">
        <f>2*25*75</f>
        <v>3750</v>
      </c>
      <c r="X94" s="41">
        <v>1</v>
      </c>
      <c r="Y94" s="70">
        <f t="shared" si="15"/>
        <v>1724856.2100000007</v>
      </c>
      <c r="Z94" s="41">
        <v>3750</v>
      </c>
      <c r="AA94" s="41">
        <v>1</v>
      </c>
      <c r="AB94" s="70">
        <f t="shared" si="16"/>
        <v>1897341.8310000009</v>
      </c>
      <c r="AC94" s="41">
        <v>3750</v>
      </c>
      <c r="AD94" s="41">
        <v>1</v>
      </c>
      <c r="AE94" s="70">
        <f t="shared" si="17"/>
        <v>2087076.0141000017</v>
      </c>
      <c r="AF94" s="28">
        <f t="shared" si="18"/>
        <v>11176836.155100005</v>
      </c>
      <c r="AG94" s="28">
        <f t="shared" si="19"/>
        <v>10936.238899315073</v>
      </c>
    </row>
    <row r="95" spans="1:36" ht="72" x14ac:dyDescent="0.3">
      <c r="A95" s="41" t="s">
        <v>697</v>
      </c>
      <c r="B95" s="41" t="s">
        <v>692</v>
      </c>
      <c r="C95" s="41" t="s">
        <v>663</v>
      </c>
      <c r="D95" s="41" t="s">
        <v>81</v>
      </c>
      <c r="E95" s="41" t="s">
        <v>443</v>
      </c>
      <c r="F95" s="41" t="s">
        <v>716</v>
      </c>
      <c r="G95" s="83">
        <v>39000</v>
      </c>
      <c r="J95" s="83">
        <f t="shared" si="10"/>
        <v>0</v>
      </c>
      <c r="K95" s="41">
        <v>15</v>
      </c>
      <c r="L95" s="41">
        <v>5</v>
      </c>
      <c r="M95" s="70">
        <f t="shared" si="11"/>
        <v>3217500</v>
      </c>
      <c r="N95" s="41">
        <v>15</v>
      </c>
      <c r="O95" s="41">
        <v>5</v>
      </c>
      <c r="P95" s="70">
        <f t="shared" si="12"/>
        <v>3539250.0000000005</v>
      </c>
      <c r="Q95" s="41">
        <v>15</v>
      </c>
      <c r="R95" s="41">
        <v>5</v>
      </c>
      <c r="S95" s="70">
        <f t="shared" si="13"/>
        <v>3893175.0000000009</v>
      </c>
      <c r="T95" s="41">
        <v>15</v>
      </c>
      <c r="U95" s="41">
        <v>5</v>
      </c>
      <c r="V95" s="70">
        <f t="shared" si="14"/>
        <v>4282492.5000000009</v>
      </c>
      <c r="W95" s="41">
        <v>15</v>
      </c>
      <c r="X95" s="41">
        <v>5</v>
      </c>
      <c r="Y95" s="70">
        <f t="shared" si="15"/>
        <v>4710741.7500000019</v>
      </c>
      <c r="Z95" s="41">
        <v>15</v>
      </c>
      <c r="AA95" s="41">
        <v>5</v>
      </c>
      <c r="AB95" s="70">
        <f t="shared" si="16"/>
        <v>5181815.9250000017</v>
      </c>
      <c r="AC95" s="41">
        <v>15</v>
      </c>
      <c r="AD95" s="41">
        <v>5</v>
      </c>
      <c r="AE95" s="70">
        <f t="shared" si="17"/>
        <v>5699997.5175000029</v>
      </c>
      <c r="AF95" s="28">
        <f t="shared" si="18"/>
        <v>30524972.692500003</v>
      </c>
      <c r="AG95" s="28">
        <f t="shared" si="19"/>
        <v>29867.879346868885</v>
      </c>
    </row>
    <row r="96" spans="1:36" ht="72" x14ac:dyDescent="0.3">
      <c r="A96" s="41" t="s">
        <v>697</v>
      </c>
      <c r="B96" s="41" t="s">
        <v>692</v>
      </c>
      <c r="C96" s="41" t="s">
        <v>663</v>
      </c>
      <c r="D96" s="41" t="s">
        <v>81</v>
      </c>
      <c r="E96" s="41" t="s">
        <v>443</v>
      </c>
      <c r="F96" s="41" t="s">
        <v>709</v>
      </c>
      <c r="G96" s="83">
        <v>35000</v>
      </c>
      <c r="J96" s="83">
        <f t="shared" si="10"/>
        <v>0</v>
      </c>
      <c r="K96" s="41">
        <v>15</v>
      </c>
      <c r="L96" s="41">
        <v>5</v>
      </c>
      <c r="M96" s="70">
        <f t="shared" si="11"/>
        <v>2887500</v>
      </c>
      <c r="N96" s="41">
        <v>15</v>
      </c>
      <c r="O96" s="41">
        <v>5</v>
      </c>
      <c r="P96" s="70">
        <f t="shared" si="12"/>
        <v>3176250.0000000005</v>
      </c>
      <c r="Q96" s="41">
        <v>15</v>
      </c>
      <c r="R96" s="41">
        <v>5</v>
      </c>
      <c r="S96" s="70">
        <f t="shared" si="13"/>
        <v>3493875.0000000009</v>
      </c>
      <c r="T96" s="41">
        <v>15</v>
      </c>
      <c r="U96" s="41">
        <v>5</v>
      </c>
      <c r="V96" s="70">
        <f t="shared" si="14"/>
        <v>3843262.5000000009</v>
      </c>
      <c r="W96" s="41">
        <v>15</v>
      </c>
      <c r="X96" s="41">
        <v>5</v>
      </c>
      <c r="Y96" s="70">
        <f t="shared" si="15"/>
        <v>4227588.7500000019</v>
      </c>
      <c r="Z96" s="41">
        <v>15</v>
      </c>
      <c r="AA96" s="41">
        <v>5</v>
      </c>
      <c r="AB96" s="70">
        <f t="shared" si="16"/>
        <v>4650347.6250000028</v>
      </c>
      <c r="AC96" s="41">
        <v>15</v>
      </c>
      <c r="AD96" s="41">
        <v>5</v>
      </c>
      <c r="AE96" s="70">
        <f t="shared" si="17"/>
        <v>5115382.387500003</v>
      </c>
      <c r="AF96" s="28">
        <f t="shared" si="18"/>
        <v>27394206.262500007</v>
      </c>
      <c r="AG96" s="28">
        <f t="shared" si="19"/>
        <v>26804.50710616439</v>
      </c>
    </row>
    <row r="97" spans="1:41" ht="72" x14ac:dyDescent="0.3">
      <c r="A97" s="41" t="s">
        <v>697</v>
      </c>
      <c r="B97" s="41" t="s">
        <v>692</v>
      </c>
      <c r="C97" s="41" t="s">
        <v>663</v>
      </c>
      <c r="D97" s="41" t="s">
        <v>81</v>
      </c>
      <c r="E97" s="41" t="s">
        <v>443</v>
      </c>
      <c r="F97" s="41" t="s">
        <v>712</v>
      </c>
      <c r="G97" s="83">
        <f>1999.2/7</f>
        <v>285.60000000000002</v>
      </c>
      <c r="J97" s="83">
        <f t="shared" si="10"/>
        <v>0</v>
      </c>
      <c r="K97" s="41">
        <f>25*2*7</f>
        <v>350</v>
      </c>
      <c r="L97" s="41">
        <v>5</v>
      </c>
      <c r="M97" s="70">
        <f t="shared" si="11"/>
        <v>549780.00000000012</v>
      </c>
      <c r="N97" s="41">
        <f>25*2*7</f>
        <v>350</v>
      </c>
      <c r="O97" s="41">
        <v>5</v>
      </c>
      <c r="P97" s="70">
        <f t="shared" si="12"/>
        <v>604758.00000000012</v>
      </c>
      <c r="Q97" s="41">
        <f>25*2*7</f>
        <v>350</v>
      </c>
      <c r="R97" s="41">
        <v>5</v>
      </c>
      <c r="S97" s="70">
        <f t="shared" si="13"/>
        <v>665233.80000000028</v>
      </c>
      <c r="T97" s="41">
        <f>25*2*7</f>
        <v>350</v>
      </c>
      <c r="U97" s="41">
        <v>5</v>
      </c>
      <c r="V97" s="70">
        <f t="shared" si="14"/>
        <v>731757.18000000017</v>
      </c>
      <c r="W97" s="41">
        <f>25*2*7</f>
        <v>350</v>
      </c>
      <c r="X97" s="41">
        <v>5</v>
      </c>
      <c r="Y97" s="70">
        <f t="shared" si="15"/>
        <v>804932.89800000028</v>
      </c>
      <c r="Z97" s="41">
        <v>350</v>
      </c>
      <c r="AA97" s="41">
        <v>5</v>
      </c>
      <c r="AB97" s="70">
        <f t="shared" si="16"/>
        <v>885426.18780000042</v>
      </c>
      <c r="AC97" s="41">
        <v>350</v>
      </c>
      <c r="AD97" s="41">
        <v>5</v>
      </c>
      <c r="AE97" s="70">
        <f t="shared" si="17"/>
        <v>973968.80658000079</v>
      </c>
      <c r="AF97" s="28">
        <f t="shared" si="18"/>
        <v>5215856.8723800015</v>
      </c>
      <c r="AG97" s="28">
        <f t="shared" si="19"/>
        <v>5103.5781530137001</v>
      </c>
    </row>
    <row r="98" spans="1:41" ht="72" x14ac:dyDescent="0.3">
      <c r="A98" s="41" t="s">
        <v>697</v>
      </c>
      <c r="B98" s="41" t="s">
        <v>692</v>
      </c>
      <c r="C98" s="41" t="s">
        <v>663</v>
      </c>
      <c r="D98" s="41" t="s">
        <v>81</v>
      </c>
      <c r="E98" s="41" t="s">
        <v>443</v>
      </c>
      <c r="F98" s="41" t="s">
        <v>1303</v>
      </c>
      <c r="G98" s="83">
        <f>1999.2/7</f>
        <v>285.60000000000002</v>
      </c>
      <c r="J98" s="83">
        <f t="shared" si="10"/>
        <v>0</v>
      </c>
      <c r="K98" s="41">
        <f>2*135*7</f>
        <v>1890</v>
      </c>
      <c r="L98" s="41">
        <v>1</v>
      </c>
      <c r="M98" s="70">
        <f t="shared" si="11"/>
        <v>593762.4</v>
      </c>
      <c r="N98" s="41">
        <f>2*135*7</f>
        <v>1890</v>
      </c>
      <c r="O98" s="41">
        <v>1</v>
      </c>
      <c r="P98" s="70">
        <f t="shared" si="12"/>
        <v>653138.64000000013</v>
      </c>
      <c r="Q98" s="41">
        <f>2*135*7</f>
        <v>1890</v>
      </c>
      <c r="R98" s="41">
        <v>1</v>
      </c>
      <c r="S98" s="70">
        <f t="shared" si="13"/>
        <v>718452.50400000031</v>
      </c>
      <c r="T98" s="41">
        <f>2*135*7</f>
        <v>1890</v>
      </c>
      <c r="U98" s="41">
        <v>1</v>
      </c>
      <c r="V98" s="70">
        <f t="shared" si="14"/>
        <v>790297.75440000033</v>
      </c>
      <c r="W98" s="41">
        <f>2*135*7</f>
        <v>1890</v>
      </c>
      <c r="X98" s="41">
        <v>1</v>
      </c>
      <c r="Y98" s="70">
        <f t="shared" si="15"/>
        <v>869327.52984000032</v>
      </c>
      <c r="Z98" s="41">
        <v>1890</v>
      </c>
      <c r="AA98" s="41">
        <v>1</v>
      </c>
      <c r="AB98" s="70">
        <f t="shared" si="16"/>
        <v>956260.28282400046</v>
      </c>
      <c r="AC98" s="41">
        <v>1890</v>
      </c>
      <c r="AD98" s="41">
        <v>1</v>
      </c>
      <c r="AE98" s="70">
        <f t="shared" si="17"/>
        <v>1051886.3111064008</v>
      </c>
      <c r="AF98" s="28">
        <f t="shared" si="18"/>
        <v>5633125.4221704025</v>
      </c>
      <c r="AG98" s="28">
        <f t="shared" si="19"/>
        <v>5511.864405254797</v>
      </c>
    </row>
    <row r="99" spans="1:41" ht="72" x14ac:dyDescent="0.3">
      <c r="A99" s="41" t="s">
        <v>697</v>
      </c>
      <c r="B99" s="41" t="s">
        <v>692</v>
      </c>
      <c r="C99" s="41" t="s">
        <v>663</v>
      </c>
      <c r="D99" s="41" t="s">
        <v>81</v>
      </c>
      <c r="E99" s="41" t="s">
        <v>168</v>
      </c>
      <c r="F99" s="41" t="s">
        <v>716</v>
      </c>
      <c r="G99" s="83">
        <v>39000</v>
      </c>
      <c r="J99" s="83">
        <f t="shared" si="10"/>
        <v>0</v>
      </c>
      <c r="K99" s="41">
        <v>40</v>
      </c>
      <c r="L99" s="41">
        <v>6</v>
      </c>
      <c r="M99" s="70">
        <f t="shared" si="11"/>
        <v>10296000</v>
      </c>
      <c r="N99" s="41">
        <v>40</v>
      </c>
      <c r="O99" s="41">
        <v>6</v>
      </c>
      <c r="P99" s="70">
        <f t="shared" si="12"/>
        <v>11325600.000000002</v>
      </c>
      <c r="Q99" s="41">
        <v>40</v>
      </c>
      <c r="R99" s="41">
        <v>6</v>
      </c>
      <c r="S99" s="70">
        <f t="shared" si="13"/>
        <v>12458160.000000004</v>
      </c>
      <c r="T99" s="41">
        <v>40</v>
      </c>
      <c r="U99" s="41">
        <v>6</v>
      </c>
      <c r="V99" s="70">
        <f t="shared" si="14"/>
        <v>13703976.000000004</v>
      </c>
      <c r="W99" s="41">
        <v>40</v>
      </c>
      <c r="X99" s="41">
        <v>6</v>
      </c>
      <c r="Y99" s="70">
        <f t="shared" si="15"/>
        <v>15074373.600000005</v>
      </c>
      <c r="Z99" s="41">
        <v>40</v>
      </c>
      <c r="AA99" s="41">
        <v>6</v>
      </c>
      <c r="AB99" s="70">
        <f t="shared" si="16"/>
        <v>16581810.960000006</v>
      </c>
      <c r="AC99" s="41">
        <v>40</v>
      </c>
      <c r="AD99" s="41">
        <v>6</v>
      </c>
      <c r="AE99" s="70">
        <f t="shared" si="17"/>
        <v>18239992.056000009</v>
      </c>
      <c r="AF99" s="28">
        <f t="shared" si="18"/>
        <v>97679912.616000026</v>
      </c>
      <c r="AG99" s="28">
        <f t="shared" si="19"/>
        <v>95577.213909980463</v>
      </c>
    </row>
    <row r="100" spans="1:41" ht="72" x14ac:dyDescent="0.3">
      <c r="A100" s="41" t="s">
        <v>697</v>
      </c>
      <c r="B100" s="41" t="s">
        <v>692</v>
      </c>
      <c r="C100" s="41" t="s">
        <v>663</v>
      </c>
      <c r="D100" s="41" t="s">
        <v>81</v>
      </c>
      <c r="E100" s="41" t="s">
        <v>168</v>
      </c>
      <c r="F100" s="41" t="s">
        <v>709</v>
      </c>
      <c r="G100" s="83">
        <v>35000</v>
      </c>
      <c r="J100" s="83">
        <f t="shared" si="10"/>
        <v>0</v>
      </c>
      <c r="K100" s="41">
        <v>40</v>
      </c>
      <c r="L100" s="41">
        <v>5</v>
      </c>
      <c r="M100" s="70">
        <f t="shared" si="11"/>
        <v>7700000</v>
      </c>
      <c r="N100" s="41">
        <v>40</v>
      </c>
      <c r="O100" s="41">
        <v>5</v>
      </c>
      <c r="P100" s="70">
        <f t="shared" si="12"/>
        <v>8470000.0000000019</v>
      </c>
      <c r="Q100" s="41">
        <v>40</v>
      </c>
      <c r="R100" s="41">
        <v>5</v>
      </c>
      <c r="S100" s="70">
        <f t="shared" si="13"/>
        <v>9317000.0000000019</v>
      </c>
      <c r="T100" s="41">
        <v>40</v>
      </c>
      <c r="U100" s="41">
        <v>5</v>
      </c>
      <c r="V100" s="70">
        <f t="shared" si="14"/>
        <v>10248700.000000002</v>
      </c>
      <c r="W100" s="41">
        <v>40</v>
      </c>
      <c r="X100" s="41">
        <v>5</v>
      </c>
      <c r="Y100" s="70">
        <f t="shared" si="15"/>
        <v>11273570.000000004</v>
      </c>
      <c r="Z100" s="41">
        <v>40</v>
      </c>
      <c r="AA100" s="41">
        <v>5</v>
      </c>
      <c r="AB100" s="70">
        <f t="shared" si="16"/>
        <v>12400927.000000007</v>
      </c>
      <c r="AC100" s="41">
        <v>40</v>
      </c>
      <c r="AD100" s="41">
        <v>5</v>
      </c>
      <c r="AE100" s="70">
        <f t="shared" si="17"/>
        <v>13641019.700000007</v>
      </c>
      <c r="AF100" s="28">
        <f t="shared" si="18"/>
        <v>73051216.700000033</v>
      </c>
      <c r="AG100" s="28">
        <f t="shared" si="19"/>
        <v>71478.685616438393</v>
      </c>
    </row>
    <row r="101" spans="1:41" ht="72" x14ac:dyDescent="0.3">
      <c r="A101" s="41" t="s">
        <v>697</v>
      </c>
      <c r="B101" s="41" t="s">
        <v>692</v>
      </c>
      <c r="C101" s="41" t="s">
        <v>663</v>
      </c>
      <c r="D101" s="41" t="s">
        <v>81</v>
      </c>
      <c r="E101" s="41" t="s">
        <v>168</v>
      </c>
      <c r="F101" s="41" t="s">
        <v>716</v>
      </c>
      <c r="G101" s="83">
        <v>39000</v>
      </c>
      <c r="J101" s="83">
        <f t="shared" si="10"/>
        <v>0</v>
      </c>
      <c r="K101" s="41">
        <v>40</v>
      </c>
      <c r="L101" s="41">
        <v>5</v>
      </c>
      <c r="M101" s="70">
        <f t="shared" si="11"/>
        <v>8580000</v>
      </c>
      <c r="N101" s="41">
        <v>40</v>
      </c>
      <c r="O101" s="41">
        <v>5</v>
      </c>
      <c r="P101" s="70">
        <f t="shared" si="12"/>
        <v>9438000.0000000019</v>
      </c>
      <c r="Q101" s="41">
        <v>40</v>
      </c>
      <c r="R101" s="41">
        <v>5</v>
      </c>
      <c r="S101" s="70">
        <f t="shared" si="13"/>
        <v>10381800.000000002</v>
      </c>
      <c r="T101" s="41">
        <v>40</v>
      </c>
      <c r="U101" s="41">
        <v>5</v>
      </c>
      <c r="V101" s="70">
        <f t="shared" si="14"/>
        <v>11419980.000000002</v>
      </c>
      <c r="W101" s="41">
        <v>40</v>
      </c>
      <c r="X101" s="41">
        <v>5</v>
      </c>
      <c r="Y101" s="70">
        <f t="shared" si="15"/>
        <v>12561978.000000006</v>
      </c>
      <c r="Z101" s="41">
        <v>40</v>
      </c>
      <c r="AA101" s="41">
        <v>5</v>
      </c>
      <c r="AB101" s="70">
        <f t="shared" si="16"/>
        <v>13818175.800000004</v>
      </c>
      <c r="AC101" s="41">
        <v>40</v>
      </c>
      <c r="AD101" s="41">
        <v>5</v>
      </c>
      <c r="AE101" s="70">
        <f t="shared" si="17"/>
        <v>15199993.38000001</v>
      </c>
      <c r="AF101" s="28">
        <f t="shared" si="18"/>
        <v>81399927.180000022</v>
      </c>
      <c r="AG101" s="28">
        <f t="shared" si="19"/>
        <v>79647.678258317042</v>
      </c>
    </row>
    <row r="102" spans="1:41" ht="72" x14ac:dyDescent="0.3">
      <c r="A102" s="41" t="s">
        <v>697</v>
      </c>
      <c r="B102" s="41" t="s">
        <v>692</v>
      </c>
      <c r="C102" s="41" t="s">
        <v>663</v>
      </c>
      <c r="D102" s="41" t="s">
        <v>81</v>
      </c>
      <c r="E102" s="41" t="s">
        <v>168</v>
      </c>
      <c r="F102" s="41" t="s">
        <v>1303</v>
      </c>
      <c r="G102" s="83">
        <f>1999.2/7</f>
        <v>285.60000000000002</v>
      </c>
      <c r="J102" s="83">
        <f t="shared" si="10"/>
        <v>0</v>
      </c>
      <c r="K102" s="41">
        <f>2*135*15</f>
        <v>4050</v>
      </c>
      <c r="L102" s="41">
        <v>5</v>
      </c>
      <c r="M102" s="70">
        <f t="shared" si="11"/>
        <v>6361740</v>
      </c>
      <c r="N102" s="41">
        <f>2*135*15</f>
        <v>4050</v>
      </c>
      <c r="O102" s="41">
        <v>5</v>
      </c>
      <c r="P102" s="70">
        <f t="shared" si="12"/>
        <v>6997914.0000000019</v>
      </c>
      <c r="Q102" s="41">
        <f>2*135*15</f>
        <v>4050</v>
      </c>
      <c r="R102" s="41">
        <v>5</v>
      </c>
      <c r="S102" s="70">
        <f t="shared" si="13"/>
        <v>7697705.4000000041</v>
      </c>
      <c r="T102" s="41">
        <f>2*135*15</f>
        <v>4050</v>
      </c>
      <c r="U102" s="41">
        <v>5</v>
      </c>
      <c r="V102" s="70">
        <f t="shared" si="14"/>
        <v>8467475.9400000032</v>
      </c>
      <c r="W102" s="41">
        <f>2*135*15</f>
        <v>4050</v>
      </c>
      <c r="X102" s="41">
        <v>5</v>
      </c>
      <c r="Y102" s="70">
        <f t="shared" si="15"/>
        <v>9314223.5340000037</v>
      </c>
      <c r="Z102" s="41">
        <v>4050</v>
      </c>
      <c r="AA102" s="41">
        <v>5</v>
      </c>
      <c r="AB102" s="70">
        <f t="shared" si="16"/>
        <v>10245645.887400005</v>
      </c>
      <c r="AC102" s="41">
        <v>4050</v>
      </c>
      <c r="AD102" s="41">
        <v>5</v>
      </c>
      <c r="AE102" s="70">
        <f t="shared" si="17"/>
        <v>11270210.476140009</v>
      </c>
      <c r="AF102" s="28">
        <f t="shared" si="18"/>
        <v>60354915.237540022</v>
      </c>
      <c r="AG102" s="28">
        <f t="shared" si="19"/>
        <v>59055.690056301391</v>
      </c>
    </row>
    <row r="103" spans="1:41" ht="72" x14ac:dyDescent="0.3">
      <c r="A103" s="41" t="s">
        <v>697</v>
      </c>
      <c r="B103" s="41" t="s">
        <v>692</v>
      </c>
      <c r="C103" s="41" t="s">
        <v>663</v>
      </c>
      <c r="D103" s="41" t="s">
        <v>81</v>
      </c>
      <c r="E103" s="41" t="s">
        <v>444</v>
      </c>
      <c r="F103" s="41" t="s">
        <v>709</v>
      </c>
      <c r="G103" s="83">
        <v>35000</v>
      </c>
      <c r="J103" s="83">
        <f t="shared" si="10"/>
        <v>0</v>
      </c>
      <c r="K103" s="41">
        <v>20</v>
      </c>
      <c r="L103" s="41">
        <v>5</v>
      </c>
      <c r="M103" s="70">
        <f t="shared" si="11"/>
        <v>3850000</v>
      </c>
      <c r="N103" s="41">
        <v>20</v>
      </c>
      <c r="O103" s="41">
        <v>5</v>
      </c>
      <c r="P103" s="70">
        <f t="shared" si="12"/>
        <v>4235000.0000000009</v>
      </c>
      <c r="Q103" s="41">
        <v>20</v>
      </c>
      <c r="R103" s="41">
        <v>5</v>
      </c>
      <c r="S103" s="70">
        <f t="shared" si="13"/>
        <v>4658500.0000000009</v>
      </c>
      <c r="T103" s="41">
        <v>20</v>
      </c>
      <c r="U103" s="41">
        <v>5</v>
      </c>
      <c r="V103" s="70">
        <f t="shared" si="14"/>
        <v>5124350.0000000009</v>
      </c>
      <c r="W103" s="41">
        <v>20</v>
      </c>
      <c r="X103" s="41">
        <v>5</v>
      </c>
      <c r="Y103" s="70">
        <f t="shared" si="15"/>
        <v>5636785.0000000019</v>
      </c>
      <c r="Z103" s="41">
        <v>20</v>
      </c>
      <c r="AA103" s="41">
        <v>5</v>
      </c>
      <c r="AB103" s="70">
        <f t="shared" si="16"/>
        <v>6200463.5000000037</v>
      </c>
      <c r="AC103" s="41">
        <v>20</v>
      </c>
      <c r="AD103" s="41">
        <v>5</v>
      </c>
      <c r="AE103" s="70">
        <f t="shared" si="17"/>
        <v>6820509.8500000034</v>
      </c>
      <c r="AF103" s="28">
        <f t="shared" si="18"/>
        <v>36525608.350000016</v>
      </c>
      <c r="AG103" s="28">
        <f t="shared" si="19"/>
        <v>35739.342808219197</v>
      </c>
    </row>
    <row r="104" spans="1:41" ht="72" x14ac:dyDescent="0.3">
      <c r="A104" s="41" t="s">
        <v>697</v>
      </c>
      <c r="B104" s="41" t="s">
        <v>692</v>
      </c>
      <c r="C104" s="41" t="s">
        <v>663</v>
      </c>
      <c r="D104" s="41" t="s">
        <v>81</v>
      </c>
      <c r="E104" s="41" t="s">
        <v>444</v>
      </c>
      <c r="F104" s="41" t="s">
        <v>716</v>
      </c>
      <c r="G104" s="83">
        <v>39000</v>
      </c>
      <c r="J104" s="83">
        <f t="shared" si="10"/>
        <v>0</v>
      </c>
      <c r="K104" s="41">
        <v>25</v>
      </c>
      <c r="L104" s="41">
        <v>5</v>
      </c>
      <c r="M104" s="70">
        <f t="shared" si="11"/>
        <v>5362500</v>
      </c>
      <c r="N104" s="41">
        <v>25</v>
      </c>
      <c r="O104" s="41">
        <v>5</v>
      </c>
      <c r="P104" s="70">
        <f t="shared" si="12"/>
        <v>5898750.0000000009</v>
      </c>
      <c r="Q104" s="41">
        <v>25</v>
      </c>
      <c r="R104" s="41">
        <v>5</v>
      </c>
      <c r="S104" s="70">
        <f t="shared" si="13"/>
        <v>6488625.0000000019</v>
      </c>
      <c r="T104" s="41">
        <v>25</v>
      </c>
      <c r="U104" s="41">
        <v>5</v>
      </c>
      <c r="V104" s="70">
        <f t="shared" si="14"/>
        <v>7137487.5000000019</v>
      </c>
      <c r="W104" s="41">
        <v>25</v>
      </c>
      <c r="X104" s="41">
        <v>5</v>
      </c>
      <c r="Y104" s="70">
        <f t="shared" si="15"/>
        <v>7851236.2500000019</v>
      </c>
      <c r="Z104" s="41">
        <v>25</v>
      </c>
      <c r="AA104" s="41">
        <v>5</v>
      </c>
      <c r="AB104" s="70">
        <f t="shared" si="16"/>
        <v>8636359.8750000037</v>
      </c>
      <c r="AC104" s="41">
        <v>25</v>
      </c>
      <c r="AD104" s="41">
        <v>5</v>
      </c>
      <c r="AE104" s="70">
        <f t="shared" si="17"/>
        <v>9499995.8625000045</v>
      </c>
      <c r="AF104" s="28">
        <f t="shared" si="18"/>
        <v>50874954.487500004</v>
      </c>
      <c r="AG104" s="28">
        <f t="shared" si="19"/>
        <v>49779.798911448146</v>
      </c>
    </row>
    <row r="105" spans="1:41" ht="72" x14ac:dyDescent="0.3">
      <c r="A105" s="41" t="s">
        <v>697</v>
      </c>
      <c r="B105" s="41" t="s">
        <v>692</v>
      </c>
      <c r="C105" s="41" t="s">
        <v>663</v>
      </c>
      <c r="D105" s="41" t="s">
        <v>81</v>
      </c>
      <c r="E105" s="41" t="s">
        <v>444</v>
      </c>
      <c r="F105" s="41" t="s">
        <v>712</v>
      </c>
      <c r="G105" s="83">
        <f>1999.2/7</f>
        <v>285.60000000000002</v>
      </c>
      <c r="J105" s="83">
        <f t="shared" si="10"/>
        <v>0</v>
      </c>
      <c r="K105" s="41">
        <f>25*2*9</f>
        <v>450</v>
      </c>
      <c r="L105" s="41">
        <v>5</v>
      </c>
      <c r="M105" s="70">
        <f t="shared" si="11"/>
        <v>706860</v>
      </c>
      <c r="N105" s="41">
        <f>25*2*9</f>
        <v>450</v>
      </c>
      <c r="O105" s="41">
        <v>5</v>
      </c>
      <c r="P105" s="70">
        <f t="shared" si="12"/>
        <v>777546.00000000023</v>
      </c>
      <c r="Q105" s="41">
        <f>25*2*9</f>
        <v>450</v>
      </c>
      <c r="R105" s="41">
        <v>5</v>
      </c>
      <c r="S105" s="70">
        <f t="shared" si="13"/>
        <v>855300.60000000044</v>
      </c>
      <c r="T105" s="41">
        <f>25*2*9</f>
        <v>450</v>
      </c>
      <c r="U105" s="41">
        <v>5</v>
      </c>
      <c r="V105" s="70">
        <f t="shared" si="14"/>
        <v>940830.66000000038</v>
      </c>
      <c r="W105" s="41">
        <f>25*2*9</f>
        <v>450</v>
      </c>
      <c r="X105" s="41">
        <v>5</v>
      </c>
      <c r="Y105" s="70">
        <f t="shared" si="15"/>
        <v>1034913.7260000005</v>
      </c>
      <c r="Z105" s="41">
        <v>450</v>
      </c>
      <c r="AA105" s="41">
        <v>5</v>
      </c>
      <c r="AB105" s="70">
        <f t="shared" si="16"/>
        <v>1138405.0986000006</v>
      </c>
      <c r="AC105" s="41">
        <v>450</v>
      </c>
      <c r="AD105" s="41">
        <v>5</v>
      </c>
      <c r="AE105" s="70">
        <f t="shared" si="17"/>
        <v>1252245.6084600009</v>
      </c>
      <c r="AF105" s="28">
        <f t="shared" si="18"/>
        <v>6706101.6930600023</v>
      </c>
      <c r="AG105" s="28">
        <f t="shared" si="19"/>
        <v>6561.743339589043</v>
      </c>
    </row>
    <row r="106" spans="1:41" ht="72" x14ac:dyDescent="0.3">
      <c r="A106" s="41" t="s">
        <v>697</v>
      </c>
      <c r="B106" s="41" t="s">
        <v>692</v>
      </c>
      <c r="C106" s="41" t="s">
        <v>663</v>
      </c>
      <c r="D106" s="41" t="s">
        <v>81</v>
      </c>
      <c r="E106" s="41" t="s">
        <v>444</v>
      </c>
      <c r="F106" s="41" t="s">
        <v>1303</v>
      </c>
      <c r="G106" s="83">
        <f>1999.2/7</f>
        <v>285.60000000000002</v>
      </c>
      <c r="J106" s="83">
        <f t="shared" si="10"/>
        <v>0</v>
      </c>
      <c r="K106" s="41">
        <f>2*135*9</f>
        <v>2430</v>
      </c>
      <c r="L106" s="41">
        <v>1</v>
      </c>
      <c r="M106" s="70">
        <f t="shared" si="11"/>
        <v>763408.8</v>
      </c>
      <c r="N106" s="41">
        <f>2*135*9</f>
        <v>2430</v>
      </c>
      <c r="O106" s="41">
        <v>1</v>
      </c>
      <c r="P106" s="70">
        <f t="shared" si="12"/>
        <v>839749.68000000017</v>
      </c>
      <c r="Q106" s="41">
        <f>2*135*9</f>
        <v>2430</v>
      </c>
      <c r="R106" s="41">
        <v>1</v>
      </c>
      <c r="S106" s="70">
        <f t="shared" si="13"/>
        <v>923724.64800000039</v>
      </c>
      <c r="T106" s="41">
        <f>2*135*9</f>
        <v>2430</v>
      </c>
      <c r="U106" s="41">
        <v>1</v>
      </c>
      <c r="V106" s="70">
        <f t="shared" si="14"/>
        <v>1016097.1128000004</v>
      </c>
      <c r="W106" s="41">
        <f>2*135*9</f>
        <v>2430</v>
      </c>
      <c r="X106" s="41">
        <v>1</v>
      </c>
      <c r="Y106" s="70">
        <f t="shared" si="15"/>
        <v>1117706.8240800004</v>
      </c>
      <c r="Z106" s="41">
        <v>2430</v>
      </c>
      <c r="AA106" s="41">
        <v>1</v>
      </c>
      <c r="AB106" s="70">
        <f t="shared" si="16"/>
        <v>1229477.5064880007</v>
      </c>
      <c r="AC106" s="41">
        <v>2430</v>
      </c>
      <c r="AD106" s="41">
        <v>1</v>
      </c>
      <c r="AE106" s="70">
        <f t="shared" si="17"/>
        <v>1352425.257136801</v>
      </c>
      <c r="AF106" s="28">
        <f t="shared" si="18"/>
        <v>7242589.8285048036</v>
      </c>
      <c r="AG106" s="28">
        <f t="shared" si="19"/>
        <v>7086.6828067561682</v>
      </c>
    </row>
    <row r="107" spans="1:41" x14ac:dyDescent="0.3">
      <c r="A107" s="91" t="s">
        <v>1302</v>
      </c>
      <c r="B107" s="91"/>
      <c r="C107" s="91"/>
      <c r="D107" s="91"/>
      <c r="E107" s="91"/>
      <c r="F107" s="91"/>
      <c r="G107" s="92"/>
      <c r="H107" s="91"/>
      <c r="I107" s="91"/>
      <c r="J107" s="92">
        <f>SUM(J87:J106)</f>
        <v>0</v>
      </c>
      <c r="K107" s="91"/>
      <c r="L107" s="91"/>
      <c r="M107" s="92">
        <f>SUM(M87:M106)</f>
        <v>106810611.765</v>
      </c>
      <c r="N107" s="91"/>
      <c r="O107" s="91"/>
      <c r="P107" s="92">
        <f>SUM(P87:P106)</f>
        <v>117491672.94150002</v>
      </c>
      <c r="Q107" s="91"/>
      <c r="R107" s="91"/>
      <c r="S107" s="92">
        <f>SUM(S87:S106)</f>
        <v>129240840.23565002</v>
      </c>
      <c r="T107" s="91"/>
      <c r="U107" s="91"/>
      <c r="V107" s="92">
        <f>SUM(V87:V106)</f>
        <v>142164924.25921503</v>
      </c>
      <c r="W107" s="91"/>
      <c r="X107" s="91"/>
      <c r="Y107" s="92">
        <f>SUM(Y87:Y106)</f>
        <v>156381416.68513656</v>
      </c>
      <c r="Z107" s="91"/>
      <c r="AA107" s="91"/>
      <c r="AB107" s="92">
        <f>SUM(AB87:AB106)</f>
        <v>172019558.35365021</v>
      </c>
      <c r="AC107" s="91"/>
      <c r="AD107" s="91"/>
      <c r="AE107" s="92">
        <f>SUM(AE87:AE106)</f>
        <v>189221514.18901527</v>
      </c>
      <c r="AF107" s="95">
        <f t="shared" si="18"/>
        <v>1013330538.4291672</v>
      </c>
      <c r="AG107" s="95">
        <f t="shared" si="19"/>
        <v>991517.1608895961</v>
      </c>
      <c r="AH107" s="94"/>
      <c r="AI107" s="94"/>
      <c r="AJ107" s="94"/>
      <c r="AK107" s="94"/>
    </row>
    <row r="108" spans="1:41" x14ac:dyDescent="0.3">
      <c r="A108" s="115" t="s">
        <v>1431</v>
      </c>
      <c r="B108" s="115"/>
      <c r="C108" s="115"/>
      <c r="D108" s="115"/>
      <c r="E108" s="115"/>
      <c r="F108" s="115"/>
      <c r="G108" s="120"/>
      <c r="H108" s="115"/>
      <c r="I108" s="115"/>
      <c r="J108" s="120">
        <f>J107/$AL$2</f>
        <v>0</v>
      </c>
      <c r="K108" s="115"/>
      <c r="L108" s="115"/>
      <c r="M108" s="120">
        <f>M107/$AL$2</f>
        <v>104511.36180528376</v>
      </c>
      <c r="N108" s="115"/>
      <c r="O108" s="115"/>
      <c r="P108" s="120">
        <f>P107/$AL$2</f>
        <v>114962.49798581215</v>
      </c>
      <c r="Q108" s="115"/>
      <c r="R108" s="115"/>
      <c r="S108" s="120">
        <f>S107/$AL$2</f>
        <v>126458.74778439336</v>
      </c>
      <c r="T108" s="115"/>
      <c r="U108" s="115"/>
      <c r="V108" s="120">
        <f>V107/$AL$2</f>
        <v>139104.62256283269</v>
      </c>
      <c r="W108" s="115"/>
      <c r="X108" s="115"/>
      <c r="Y108" s="120">
        <f>Y107/$AL$2</f>
        <v>153015.08481911602</v>
      </c>
      <c r="Z108" s="115"/>
      <c r="AA108" s="115"/>
      <c r="AB108" s="120">
        <f>AB107/$AL$2</f>
        <v>168316.59330102761</v>
      </c>
      <c r="AC108" s="115"/>
      <c r="AD108" s="115"/>
      <c r="AE108" s="120">
        <f>AE107/$AL$2</f>
        <v>185148.2526311304</v>
      </c>
      <c r="AF108" s="121">
        <f t="shared" si="18"/>
        <v>991517.16088959598</v>
      </c>
      <c r="AG108" s="121">
        <f t="shared" si="19"/>
        <v>970.17334725009391</v>
      </c>
      <c r="AH108" s="116"/>
      <c r="AI108" s="116"/>
      <c r="AJ108" s="116"/>
      <c r="AK108" s="116"/>
      <c r="AL108" s="116"/>
      <c r="AM108" s="116"/>
      <c r="AN108" s="116"/>
      <c r="AO108" s="116"/>
    </row>
    <row r="109" spans="1:41" ht="57.6" x14ac:dyDescent="0.3">
      <c r="A109" s="41" t="s">
        <v>697</v>
      </c>
      <c r="B109" s="41" t="s">
        <v>692</v>
      </c>
      <c r="C109" s="41" t="s">
        <v>664</v>
      </c>
      <c r="D109" s="41" t="s">
        <v>1395</v>
      </c>
      <c r="E109" s="41" t="s">
        <v>445</v>
      </c>
      <c r="F109" s="41" t="s">
        <v>718</v>
      </c>
      <c r="G109" s="83">
        <v>0</v>
      </c>
      <c r="H109" s="41">
        <v>2</v>
      </c>
      <c r="I109" s="41">
        <v>2</v>
      </c>
      <c r="J109" s="83">
        <f t="shared" si="10"/>
        <v>0</v>
      </c>
      <c r="K109" s="41">
        <v>0</v>
      </c>
      <c r="L109" s="41">
        <v>0</v>
      </c>
      <c r="M109" s="70">
        <f t="shared" si="11"/>
        <v>0</v>
      </c>
      <c r="N109" s="41">
        <v>0</v>
      </c>
      <c r="O109" s="41">
        <v>0</v>
      </c>
      <c r="P109" s="70">
        <f t="shared" si="12"/>
        <v>0</v>
      </c>
      <c r="Q109" s="41">
        <v>0</v>
      </c>
      <c r="R109" s="41">
        <v>0</v>
      </c>
      <c r="S109" s="70">
        <f t="shared" si="13"/>
        <v>0</v>
      </c>
      <c r="T109" s="41">
        <v>0</v>
      </c>
      <c r="U109" s="41">
        <v>0</v>
      </c>
      <c r="V109" s="70">
        <f t="shared" si="14"/>
        <v>0</v>
      </c>
      <c r="W109" s="41">
        <v>0</v>
      </c>
      <c r="X109" s="41">
        <v>0</v>
      </c>
      <c r="Y109" s="70">
        <f t="shared" si="15"/>
        <v>0</v>
      </c>
      <c r="Z109" s="41">
        <v>0</v>
      </c>
      <c r="AA109" s="41">
        <v>0</v>
      </c>
      <c r="AB109" s="70">
        <f t="shared" si="16"/>
        <v>0</v>
      </c>
      <c r="AC109" s="41">
        <v>0</v>
      </c>
      <c r="AD109" s="41">
        <v>0</v>
      </c>
      <c r="AE109" s="70">
        <f t="shared" si="17"/>
        <v>0</v>
      </c>
      <c r="AF109" s="28">
        <f t="shared" si="18"/>
        <v>0</v>
      </c>
      <c r="AG109" s="28">
        <f t="shared" si="19"/>
        <v>0</v>
      </c>
    </row>
    <row r="110" spans="1:41" ht="57.6" x14ac:dyDescent="0.3">
      <c r="A110" s="41" t="s">
        <v>697</v>
      </c>
      <c r="B110" s="41" t="s">
        <v>692</v>
      </c>
      <c r="C110" s="41" t="s">
        <v>664</v>
      </c>
      <c r="D110" s="41" t="s">
        <v>1395</v>
      </c>
      <c r="E110" s="41" t="s">
        <v>772</v>
      </c>
      <c r="F110" s="41" t="s">
        <v>718</v>
      </c>
      <c r="G110" s="83">
        <v>0</v>
      </c>
      <c r="H110" s="41">
        <v>1</v>
      </c>
      <c r="I110" s="41">
        <v>1</v>
      </c>
      <c r="J110" s="83">
        <f t="shared" si="10"/>
        <v>0</v>
      </c>
      <c r="K110" s="41">
        <v>0</v>
      </c>
      <c r="L110" s="41">
        <v>0</v>
      </c>
      <c r="M110" s="70">
        <f t="shared" si="11"/>
        <v>0</v>
      </c>
      <c r="N110" s="41">
        <v>0</v>
      </c>
      <c r="O110" s="41">
        <v>0</v>
      </c>
      <c r="P110" s="70">
        <f t="shared" si="12"/>
        <v>0</v>
      </c>
      <c r="Q110" s="41">
        <v>0</v>
      </c>
      <c r="R110" s="41">
        <v>0</v>
      </c>
      <c r="S110" s="70">
        <f t="shared" si="13"/>
        <v>0</v>
      </c>
      <c r="T110" s="41">
        <v>0</v>
      </c>
      <c r="U110" s="41">
        <v>0</v>
      </c>
      <c r="V110" s="70">
        <f t="shared" si="14"/>
        <v>0</v>
      </c>
      <c r="W110" s="41">
        <v>0</v>
      </c>
      <c r="X110" s="41">
        <v>0</v>
      </c>
      <c r="Y110" s="70">
        <f t="shared" si="15"/>
        <v>0</v>
      </c>
      <c r="Z110" s="41">
        <v>0</v>
      </c>
      <c r="AA110" s="41">
        <v>0</v>
      </c>
      <c r="AB110" s="70">
        <f t="shared" si="16"/>
        <v>0</v>
      </c>
      <c r="AC110" s="41">
        <v>0</v>
      </c>
      <c r="AD110" s="41">
        <v>0</v>
      </c>
      <c r="AE110" s="70">
        <f t="shared" si="17"/>
        <v>0</v>
      </c>
      <c r="AF110" s="28">
        <f t="shared" si="18"/>
        <v>0</v>
      </c>
      <c r="AG110" s="28">
        <f t="shared" si="19"/>
        <v>0</v>
      </c>
    </row>
    <row r="111" spans="1:41" ht="57.6" x14ac:dyDescent="0.3">
      <c r="A111" s="41" t="s">
        <v>697</v>
      </c>
      <c r="B111" s="41" t="s">
        <v>692</v>
      </c>
      <c r="C111" s="41" t="s">
        <v>664</v>
      </c>
      <c r="D111" s="41" t="s">
        <v>1395</v>
      </c>
      <c r="E111" s="41" t="s">
        <v>774</v>
      </c>
      <c r="F111" s="41" t="s">
        <v>718</v>
      </c>
      <c r="G111" s="83">
        <v>0</v>
      </c>
      <c r="H111" s="41">
        <v>4</v>
      </c>
      <c r="I111" s="41">
        <v>1</v>
      </c>
      <c r="J111" s="83">
        <f t="shared" si="10"/>
        <v>0</v>
      </c>
      <c r="K111" s="41">
        <v>0</v>
      </c>
      <c r="L111" s="41">
        <v>0</v>
      </c>
      <c r="M111" s="70">
        <f t="shared" si="11"/>
        <v>0</v>
      </c>
      <c r="N111" s="41">
        <v>0</v>
      </c>
      <c r="O111" s="41">
        <v>0</v>
      </c>
      <c r="P111" s="70">
        <f t="shared" si="12"/>
        <v>0</v>
      </c>
      <c r="Q111" s="41">
        <v>0</v>
      </c>
      <c r="R111" s="41">
        <v>0</v>
      </c>
      <c r="S111" s="70">
        <f t="shared" si="13"/>
        <v>0</v>
      </c>
      <c r="T111" s="41">
        <v>0</v>
      </c>
      <c r="U111" s="41">
        <v>0</v>
      </c>
      <c r="V111" s="70">
        <f t="shared" si="14"/>
        <v>0</v>
      </c>
      <c r="W111" s="41">
        <v>0</v>
      </c>
      <c r="X111" s="41">
        <v>0</v>
      </c>
      <c r="Y111" s="70">
        <f t="shared" si="15"/>
        <v>0</v>
      </c>
      <c r="Z111" s="41">
        <v>0</v>
      </c>
      <c r="AA111" s="41">
        <v>0</v>
      </c>
      <c r="AB111" s="70">
        <f t="shared" si="16"/>
        <v>0</v>
      </c>
      <c r="AC111" s="41">
        <v>0</v>
      </c>
      <c r="AD111" s="41">
        <v>0</v>
      </c>
      <c r="AE111" s="70">
        <f t="shared" si="17"/>
        <v>0</v>
      </c>
      <c r="AF111" s="28">
        <f t="shared" si="18"/>
        <v>0</v>
      </c>
      <c r="AG111" s="28">
        <f t="shared" si="19"/>
        <v>0</v>
      </c>
    </row>
    <row r="112" spans="1:41" ht="57.6" x14ac:dyDescent="0.3">
      <c r="A112" s="41" t="s">
        <v>697</v>
      </c>
      <c r="B112" s="41" t="s">
        <v>692</v>
      </c>
      <c r="C112" s="41" t="s">
        <v>664</v>
      </c>
      <c r="D112" s="41" t="s">
        <v>1395</v>
      </c>
      <c r="E112" s="41" t="s">
        <v>446</v>
      </c>
      <c r="F112" s="41" t="s">
        <v>725</v>
      </c>
      <c r="G112" s="83">
        <f>50000*1022</f>
        <v>51100000</v>
      </c>
      <c r="H112" s="41"/>
      <c r="I112" s="41"/>
      <c r="J112" s="83">
        <f t="shared" si="10"/>
        <v>0</v>
      </c>
      <c r="K112" s="41">
        <v>1</v>
      </c>
      <c r="L112" s="41">
        <v>1</v>
      </c>
      <c r="M112" s="70">
        <f t="shared" si="11"/>
        <v>56210000.000000007</v>
      </c>
      <c r="N112" s="41"/>
      <c r="O112" s="41"/>
      <c r="P112" s="70">
        <f t="shared" si="12"/>
        <v>0</v>
      </c>
      <c r="Q112" s="41"/>
      <c r="R112" s="41"/>
      <c r="S112" s="70">
        <f t="shared" si="13"/>
        <v>0</v>
      </c>
      <c r="T112" s="41">
        <v>1</v>
      </c>
      <c r="U112" s="41">
        <v>1</v>
      </c>
      <c r="V112" s="70">
        <f t="shared" si="14"/>
        <v>74815510.000000015</v>
      </c>
      <c r="W112" s="41">
        <v>0</v>
      </c>
      <c r="X112" s="41">
        <v>0</v>
      </c>
      <c r="Y112" s="70">
        <f t="shared" si="15"/>
        <v>0</v>
      </c>
      <c r="Z112" s="41">
        <v>0</v>
      </c>
      <c r="AA112" s="41">
        <v>0</v>
      </c>
      <c r="AB112" s="70">
        <f t="shared" si="16"/>
        <v>0</v>
      </c>
      <c r="AC112" s="41">
        <v>0</v>
      </c>
      <c r="AD112" s="41">
        <v>0</v>
      </c>
      <c r="AE112" s="70">
        <f t="shared" si="17"/>
        <v>0</v>
      </c>
      <c r="AF112" s="28">
        <f t="shared" si="18"/>
        <v>131025510.00000003</v>
      </c>
      <c r="AG112" s="28">
        <f t="shared" si="19"/>
        <v>128205.00000000003</v>
      </c>
    </row>
    <row r="113" spans="1:33" ht="57.6" x14ac:dyDescent="0.3">
      <c r="A113" s="41" t="s">
        <v>697</v>
      </c>
      <c r="B113" s="41" t="s">
        <v>692</v>
      </c>
      <c r="C113" s="41" t="s">
        <v>664</v>
      </c>
      <c r="D113" s="41" t="s">
        <v>82</v>
      </c>
      <c r="E113" s="41" t="s">
        <v>447</v>
      </c>
      <c r="F113" s="41" t="s">
        <v>776</v>
      </c>
      <c r="G113" s="83">
        <v>44100963</v>
      </c>
      <c r="H113" s="41"/>
      <c r="I113" s="41"/>
      <c r="J113" s="83">
        <f t="shared" si="10"/>
        <v>0</v>
      </c>
      <c r="K113" s="41"/>
      <c r="L113" s="41"/>
      <c r="M113" s="70">
        <f t="shared" si="11"/>
        <v>0</v>
      </c>
      <c r="N113" s="41">
        <v>2</v>
      </c>
      <c r="O113" s="41">
        <v>1</v>
      </c>
      <c r="P113" s="70">
        <f t="shared" si="12"/>
        <v>106724330.46000002</v>
      </c>
      <c r="Q113" s="41">
        <v>2</v>
      </c>
      <c r="R113" s="41">
        <v>1</v>
      </c>
      <c r="S113" s="70">
        <f t="shared" si="13"/>
        <v>117396763.50600004</v>
      </c>
      <c r="T113" s="41">
        <v>2</v>
      </c>
      <c r="U113" s="41">
        <v>1</v>
      </c>
      <c r="V113" s="70">
        <f t="shared" si="14"/>
        <v>129136439.85660003</v>
      </c>
      <c r="W113" s="41">
        <v>2</v>
      </c>
      <c r="X113" s="41">
        <v>1</v>
      </c>
      <c r="Y113" s="70">
        <f t="shared" si="15"/>
        <v>142050083.84226006</v>
      </c>
      <c r="Z113" s="41">
        <v>2</v>
      </c>
      <c r="AA113" s="41">
        <v>1</v>
      </c>
      <c r="AB113" s="70">
        <f t="shared" si="16"/>
        <v>156255092.22648609</v>
      </c>
      <c r="AC113" s="41">
        <v>2</v>
      </c>
      <c r="AD113" s="41">
        <v>1</v>
      </c>
      <c r="AE113" s="70">
        <f t="shared" si="17"/>
        <v>171880601.44913471</v>
      </c>
      <c r="AF113" s="28">
        <f t="shared" si="18"/>
        <v>823443311.34048092</v>
      </c>
      <c r="AG113" s="28">
        <f t="shared" si="19"/>
        <v>805717.5257734647</v>
      </c>
    </row>
    <row r="114" spans="1:33" ht="57.6" x14ac:dyDescent="0.3">
      <c r="A114" s="41" t="s">
        <v>697</v>
      </c>
      <c r="B114" s="41" t="s">
        <v>692</v>
      </c>
      <c r="C114" s="41" t="s">
        <v>664</v>
      </c>
      <c r="D114" s="41" t="s">
        <v>82</v>
      </c>
      <c r="E114" s="41" t="s">
        <v>447</v>
      </c>
      <c r="F114" s="41" t="s">
        <v>777</v>
      </c>
      <c r="G114" s="83">
        <v>49001070</v>
      </c>
      <c r="J114" s="83">
        <f t="shared" si="10"/>
        <v>0</v>
      </c>
      <c r="K114" s="41"/>
      <c r="L114" s="41"/>
      <c r="M114" s="70">
        <f t="shared" si="11"/>
        <v>0</v>
      </c>
      <c r="N114" s="41">
        <v>1</v>
      </c>
      <c r="O114" s="41">
        <v>1</v>
      </c>
      <c r="P114" s="70">
        <f t="shared" si="12"/>
        <v>59291294.70000001</v>
      </c>
      <c r="Q114" s="41">
        <v>1</v>
      </c>
      <c r="R114" s="41">
        <v>1</v>
      </c>
      <c r="S114" s="70">
        <f t="shared" si="13"/>
        <v>65220424.170000017</v>
      </c>
      <c r="T114" s="41">
        <v>1</v>
      </c>
      <c r="U114" s="41">
        <v>1</v>
      </c>
      <c r="V114" s="70">
        <f t="shared" si="14"/>
        <v>71742466.587000012</v>
      </c>
      <c r="W114" s="41">
        <v>1</v>
      </c>
      <c r="X114" s="41">
        <v>1</v>
      </c>
      <c r="Y114" s="70">
        <f t="shared" si="15"/>
        <v>78916713.245700032</v>
      </c>
      <c r="Z114" s="41">
        <v>1</v>
      </c>
      <c r="AA114" s="41">
        <v>1</v>
      </c>
      <c r="AB114" s="70">
        <f t="shared" si="16"/>
        <v>86808384.570270047</v>
      </c>
      <c r="AC114" s="41">
        <v>1</v>
      </c>
      <c r="AD114" s="41">
        <v>1</v>
      </c>
      <c r="AE114" s="70">
        <f t="shared" si="17"/>
        <v>95489223.027297065</v>
      </c>
      <c r="AF114" s="28">
        <f t="shared" si="18"/>
        <v>457468506.30026722</v>
      </c>
      <c r="AG114" s="28">
        <f t="shared" si="19"/>
        <v>447620.84765192488</v>
      </c>
    </row>
    <row r="115" spans="1:33" ht="57.6" x14ac:dyDescent="0.3">
      <c r="A115" s="41" t="s">
        <v>697</v>
      </c>
      <c r="B115" s="41" t="s">
        <v>692</v>
      </c>
      <c r="C115" s="41" t="s">
        <v>664</v>
      </c>
      <c r="D115" s="41" t="s">
        <v>83</v>
      </c>
      <c r="E115" s="41" t="s">
        <v>448</v>
      </c>
      <c r="F115" s="41" t="s">
        <v>716</v>
      </c>
      <c r="G115" s="83">
        <v>39000</v>
      </c>
      <c r="J115" s="83">
        <f t="shared" si="10"/>
        <v>0</v>
      </c>
      <c r="K115" s="41">
        <v>40</v>
      </c>
      <c r="L115" s="41">
        <v>2</v>
      </c>
      <c r="M115" s="70">
        <f t="shared" si="11"/>
        <v>3432000</v>
      </c>
      <c r="N115" s="41">
        <v>40</v>
      </c>
      <c r="O115" s="41">
        <v>2</v>
      </c>
      <c r="P115" s="70">
        <f t="shared" si="12"/>
        <v>3775200.0000000005</v>
      </c>
      <c r="Q115" s="41">
        <v>40</v>
      </c>
      <c r="R115" s="41">
        <v>2</v>
      </c>
      <c r="S115" s="70">
        <f t="shared" si="13"/>
        <v>4152720.0000000009</v>
      </c>
      <c r="T115" s="41">
        <v>40</v>
      </c>
      <c r="U115" s="41">
        <v>2</v>
      </c>
      <c r="V115" s="70">
        <f t="shared" si="14"/>
        <v>4567992.0000000009</v>
      </c>
      <c r="W115" s="41">
        <v>40</v>
      </c>
      <c r="X115" s="41">
        <v>2</v>
      </c>
      <c r="Y115" s="70">
        <f t="shared" si="15"/>
        <v>5024791.200000002</v>
      </c>
      <c r="Z115" s="41">
        <v>40</v>
      </c>
      <c r="AA115" s="41">
        <v>2</v>
      </c>
      <c r="AB115" s="70">
        <f t="shared" si="16"/>
        <v>5527270.3200000022</v>
      </c>
      <c r="AC115" s="41">
        <v>40</v>
      </c>
      <c r="AD115" s="41">
        <v>2</v>
      </c>
      <c r="AE115" s="70">
        <f t="shared" si="17"/>
        <v>6079997.3520000037</v>
      </c>
      <c r="AF115" s="28">
        <f t="shared" si="18"/>
        <v>32559970.872000009</v>
      </c>
      <c r="AG115" s="28">
        <f t="shared" si="19"/>
        <v>31859.071303326818</v>
      </c>
    </row>
    <row r="116" spans="1:33" ht="57.6" x14ac:dyDescent="0.3">
      <c r="A116" s="41" t="s">
        <v>697</v>
      </c>
      <c r="B116" s="41" t="s">
        <v>692</v>
      </c>
      <c r="C116" s="41" t="s">
        <v>664</v>
      </c>
      <c r="D116" s="41" t="s">
        <v>83</v>
      </c>
      <c r="E116" s="41" t="s">
        <v>448</v>
      </c>
      <c r="F116" s="41" t="s">
        <v>709</v>
      </c>
      <c r="G116" s="83">
        <v>35000</v>
      </c>
      <c r="J116" s="83">
        <f t="shared" si="10"/>
        <v>0</v>
      </c>
      <c r="K116" s="41">
        <v>40</v>
      </c>
      <c r="L116" s="41">
        <v>2</v>
      </c>
      <c r="M116" s="70">
        <f t="shared" si="11"/>
        <v>3080000</v>
      </c>
      <c r="N116" s="41">
        <v>40</v>
      </c>
      <c r="O116" s="41">
        <v>2</v>
      </c>
      <c r="P116" s="70">
        <f t="shared" si="12"/>
        <v>3388000.0000000005</v>
      </c>
      <c r="Q116" s="41">
        <v>40</v>
      </c>
      <c r="R116" s="41">
        <v>2</v>
      </c>
      <c r="S116" s="70">
        <f t="shared" si="13"/>
        <v>3726800.0000000009</v>
      </c>
      <c r="T116" s="41">
        <v>40</v>
      </c>
      <c r="U116" s="41">
        <v>2</v>
      </c>
      <c r="V116" s="70">
        <f t="shared" si="14"/>
        <v>4099480.0000000009</v>
      </c>
      <c r="W116" s="41">
        <v>40</v>
      </c>
      <c r="X116" s="41">
        <v>2</v>
      </c>
      <c r="Y116" s="70">
        <f t="shared" si="15"/>
        <v>4509428.0000000019</v>
      </c>
      <c r="Z116" s="41">
        <v>40</v>
      </c>
      <c r="AA116" s="41">
        <v>2</v>
      </c>
      <c r="AB116" s="70">
        <f t="shared" si="16"/>
        <v>4960370.8000000026</v>
      </c>
      <c r="AC116" s="41">
        <v>40</v>
      </c>
      <c r="AD116" s="41">
        <v>2</v>
      </c>
      <c r="AE116" s="70">
        <f t="shared" si="17"/>
        <v>5456407.8800000027</v>
      </c>
      <c r="AF116" s="28">
        <f t="shared" si="18"/>
        <v>29220486.680000007</v>
      </c>
      <c r="AG116" s="28">
        <f t="shared" si="19"/>
        <v>28591.474246575348</v>
      </c>
    </row>
    <row r="117" spans="1:33" ht="57.6" x14ac:dyDescent="0.3">
      <c r="A117" s="41" t="s">
        <v>697</v>
      </c>
      <c r="B117" s="41" t="s">
        <v>692</v>
      </c>
      <c r="C117" s="41" t="s">
        <v>664</v>
      </c>
      <c r="D117" s="41" t="s">
        <v>83</v>
      </c>
      <c r="E117" s="41" t="s">
        <v>448</v>
      </c>
      <c r="F117" s="41" t="s">
        <v>712</v>
      </c>
      <c r="G117" s="83">
        <f>1999.2/7</f>
        <v>285.60000000000002</v>
      </c>
      <c r="J117" s="83">
        <f t="shared" si="10"/>
        <v>0</v>
      </c>
      <c r="K117" s="41">
        <f>25*2*12</f>
        <v>600</v>
      </c>
      <c r="L117" s="41">
        <v>2</v>
      </c>
      <c r="M117" s="70">
        <f t="shared" si="11"/>
        <v>376992.00000000006</v>
      </c>
      <c r="N117" s="41">
        <f>2*25*12</f>
        <v>600</v>
      </c>
      <c r="O117" s="41">
        <v>1</v>
      </c>
      <c r="P117" s="70">
        <f t="shared" si="12"/>
        <v>207345.60000000003</v>
      </c>
      <c r="Q117" s="41">
        <f>2*25*12</f>
        <v>600</v>
      </c>
      <c r="R117" s="41">
        <v>1</v>
      </c>
      <c r="S117" s="70">
        <f t="shared" si="13"/>
        <v>228080.16000000009</v>
      </c>
      <c r="T117" s="41">
        <f>2*25*12</f>
        <v>600</v>
      </c>
      <c r="U117" s="41">
        <v>1</v>
      </c>
      <c r="V117" s="70">
        <f t="shared" si="14"/>
        <v>250888.17600000009</v>
      </c>
      <c r="W117" s="41">
        <f>2*25*12</f>
        <v>600</v>
      </c>
      <c r="X117" s="41">
        <v>1</v>
      </c>
      <c r="Y117" s="70">
        <f t="shared" si="15"/>
        <v>275976.9936000001</v>
      </c>
      <c r="Z117" s="41">
        <f>2*25*12</f>
        <v>600</v>
      </c>
      <c r="AA117" s="41">
        <v>1</v>
      </c>
      <c r="AB117" s="70">
        <f t="shared" si="16"/>
        <v>303574.69296000019</v>
      </c>
      <c r="AC117" s="41">
        <f>2*25*12</f>
        <v>600</v>
      </c>
      <c r="AD117" s="41">
        <v>1</v>
      </c>
      <c r="AE117" s="70">
        <f t="shared" si="17"/>
        <v>333932.16225600027</v>
      </c>
      <c r="AF117" s="28">
        <f t="shared" si="18"/>
        <v>1976789.7848160008</v>
      </c>
      <c r="AG117" s="28">
        <f t="shared" si="19"/>
        <v>1934.2365800547952</v>
      </c>
    </row>
    <row r="118" spans="1:33" ht="57.6" x14ac:dyDescent="0.3">
      <c r="A118" s="41" t="s">
        <v>697</v>
      </c>
      <c r="B118" s="41" t="s">
        <v>692</v>
      </c>
      <c r="C118" s="41" t="s">
        <v>664</v>
      </c>
      <c r="D118" s="41" t="s">
        <v>83</v>
      </c>
      <c r="E118" s="41" t="s">
        <v>448</v>
      </c>
      <c r="F118" s="41" t="s">
        <v>1299</v>
      </c>
      <c r="G118" s="83">
        <f>1999.2/7</f>
        <v>285.60000000000002</v>
      </c>
      <c r="J118" s="83">
        <f t="shared" si="10"/>
        <v>0</v>
      </c>
      <c r="K118" s="41">
        <f>2*135*12</f>
        <v>3240</v>
      </c>
      <c r="L118" s="41">
        <v>1</v>
      </c>
      <c r="M118" s="70">
        <f t="shared" si="11"/>
        <v>1017878.4</v>
      </c>
      <c r="N118" s="41">
        <f>2*135*12</f>
        <v>3240</v>
      </c>
      <c r="O118" s="41">
        <v>1</v>
      </c>
      <c r="P118" s="70">
        <f t="shared" si="12"/>
        <v>1119666.2400000002</v>
      </c>
      <c r="Q118" s="41">
        <f>2*135*12</f>
        <v>3240</v>
      </c>
      <c r="R118" s="41">
        <v>1</v>
      </c>
      <c r="S118" s="70">
        <f t="shared" si="13"/>
        <v>1231632.8640000005</v>
      </c>
      <c r="T118" s="41">
        <f>2*135*12</f>
        <v>3240</v>
      </c>
      <c r="U118" s="41">
        <v>1</v>
      </c>
      <c r="V118" s="70">
        <f t="shared" si="14"/>
        <v>1354796.1504000004</v>
      </c>
      <c r="W118" s="41">
        <f>2*135*12</f>
        <v>3240</v>
      </c>
      <c r="X118" s="41">
        <v>0</v>
      </c>
      <c r="Y118" s="70">
        <f t="shared" si="15"/>
        <v>0</v>
      </c>
      <c r="Z118" s="41">
        <f>2*135*12</f>
        <v>3240</v>
      </c>
      <c r="AA118" s="41">
        <v>1</v>
      </c>
      <c r="AB118" s="70">
        <f t="shared" si="16"/>
        <v>1639303.341984001</v>
      </c>
      <c r="AC118" s="41">
        <f>2*135*12</f>
        <v>3240</v>
      </c>
      <c r="AD118" s="41">
        <v>1</v>
      </c>
      <c r="AE118" s="70">
        <f t="shared" si="17"/>
        <v>1803233.6761824014</v>
      </c>
      <c r="AF118" s="28">
        <f t="shared" si="18"/>
        <v>8166510.6725664036</v>
      </c>
      <c r="AG118" s="28">
        <f t="shared" si="19"/>
        <v>7990.7149438027436</v>
      </c>
    </row>
    <row r="119" spans="1:33" ht="57.6" x14ac:dyDescent="0.3">
      <c r="A119" s="41" t="s">
        <v>697</v>
      </c>
      <c r="B119" s="41" t="s">
        <v>692</v>
      </c>
      <c r="C119" s="41" t="s">
        <v>664</v>
      </c>
      <c r="D119" s="41" t="s">
        <v>83</v>
      </c>
      <c r="E119" s="41" t="s">
        <v>280</v>
      </c>
      <c r="F119" s="41" t="s">
        <v>709</v>
      </c>
      <c r="G119" s="83">
        <v>35000</v>
      </c>
      <c r="J119" s="83">
        <f t="shared" si="10"/>
        <v>0</v>
      </c>
      <c r="K119" s="41">
        <v>40</v>
      </c>
      <c r="L119" s="41">
        <v>1</v>
      </c>
      <c r="M119" s="70">
        <f t="shared" si="11"/>
        <v>1540000</v>
      </c>
      <c r="N119" s="41">
        <v>40</v>
      </c>
      <c r="O119" s="41">
        <v>1</v>
      </c>
      <c r="P119" s="70">
        <f t="shared" si="12"/>
        <v>1694000.0000000002</v>
      </c>
      <c r="Q119" s="41">
        <v>40</v>
      </c>
      <c r="R119" s="41">
        <v>1</v>
      </c>
      <c r="S119" s="70">
        <f t="shared" si="13"/>
        <v>1863400.0000000005</v>
      </c>
      <c r="T119" s="41">
        <v>40</v>
      </c>
      <c r="U119" s="41">
        <v>1</v>
      </c>
      <c r="V119" s="70">
        <f t="shared" si="14"/>
        <v>2049740.0000000005</v>
      </c>
      <c r="W119" s="41">
        <v>0</v>
      </c>
      <c r="X119" s="41">
        <v>0</v>
      </c>
      <c r="Y119" s="70">
        <f t="shared" si="15"/>
        <v>0</v>
      </c>
      <c r="Z119" s="41">
        <v>0</v>
      </c>
      <c r="AA119" s="41">
        <v>0</v>
      </c>
      <c r="AB119" s="70">
        <f t="shared" si="16"/>
        <v>0</v>
      </c>
      <c r="AC119" s="41">
        <v>0</v>
      </c>
      <c r="AD119" s="41">
        <v>0</v>
      </c>
      <c r="AE119" s="70">
        <f t="shared" si="17"/>
        <v>0</v>
      </c>
      <c r="AF119" s="28">
        <f t="shared" si="18"/>
        <v>7147140</v>
      </c>
      <c r="AG119" s="28">
        <f t="shared" si="19"/>
        <v>6993.2876712328771</v>
      </c>
    </row>
    <row r="120" spans="1:33" ht="57.6" x14ac:dyDescent="0.3">
      <c r="A120" s="41" t="s">
        <v>697</v>
      </c>
      <c r="B120" s="41" t="s">
        <v>692</v>
      </c>
      <c r="C120" s="41" t="s">
        <v>664</v>
      </c>
      <c r="D120" s="41" t="s">
        <v>83</v>
      </c>
      <c r="E120" s="41" t="s">
        <v>449</v>
      </c>
      <c r="F120" s="41" t="s">
        <v>718</v>
      </c>
      <c r="G120" s="83">
        <v>0</v>
      </c>
      <c r="J120" s="83">
        <f t="shared" si="10"/>
        <v>0</v>
      </c>
      <c r="K120" s="41">
        <v>0</v>
      </c>
      <c r="L120" s="41">
        <v>0</v>
      </c>
      <c r="M120" s="70">
        <f t="shared" si="11"/>
        <v>0</v>
      </c>
      <c r="N120" s="41">
        <v>0</v>
      </c>
      <c r="O120" s="41">
        <v>0</v>
      </c>
      <c r="P120" s="70">
        <f t="shared" si="12"/>
        <v>0</v>
      </c>
      <c r="Q120" s="41">
        <v>0</v>
      </c>
      <c r="R120" s="41">
        <v>0</v>
      </c>
      <c r="S120" s="70">
        <f t="shared" si="13"/>
        <v>0</v>
      </c>
      <c r="T120" s="41">
        <v>0</v>
      </c>
      <c r="U120" s="41">
        <v>0</v>
      </c>
      <c r="V120" s="70">
        <f t="shared" si="14"/>
        <v>0</v>
      </c>
      <c r="W120" s="41">
        <v>0</v>
      </c>
      <c r="X120" s="41">
        <v>0</v>
      </c>
      <c r="Y120" s="70">
        <f t="shared" si="15"/>
        <v>0</v>
      </c>
      <c r="Z120" s="41">
        <v>0</v>
      </c>
      <c r="AA120" s="41">
        <v>0</v>
      </c>
      <c r="AB120" s="70">
        <f t="shared" si="16"/>
        <v>0</v>
      </c>
      <c r="AC120" s="41">
        <v>0</v>
      </c>
      <c r="AD120" s="41">
        <v>0</v>
      </c>
      <c r="AE120" s="70">
        <f t="shared" si="17"/>
        <v>0</v>
      </c>
      <c r="AF120" s="28">
        <f t="shared" si="18"/>
        <v>0</v>
      </c>
      <c r="AG120" s="28">
        <f t="shared" si="19"/>
        <v>0</v>
      </c>
    </row>
    <row r="121" spans="1:33" ht="57.6" x14ac:dyDescent="0.3">
      <c r="A121" s="41" t="s">
        <v>697</v>
      </c>
      <c r="B121" s="41" t="s">
        <v>692</v>
      </c>
      <c r="C121" s="41" t="s">
        <v>664</v>
      </c>
      <c r="D121" s="41" t="s">
        <v>83</v>
      </c>
      <c r="E121" s="41" t="s">
        <v>450</v>
      </c>
      <c r="F121" s="41" t="s">
        <v>718</v>
      </c>
      <c r="G121" s="83">
        <v>0</v>
      </c>
      <c r="J121" s="83">
        <f t="shared" si="10"/>
        <v>0</v>
      </c>
      <c r="K121" s="41">
        <v>0</v>
      </c>
      <c r="L121" s="41">
        <v>0</v>
      </c>
      <c r="M121" s="70">
        <f t="shared" si="11"/>
        <v>0</v>
      </c>
      <c r="N121" s="41">
        <v>0</v>
      </c>
      <c r="O121" s="41">
        <v>0</v>
      </c>
      <c r="P121" s="70">
        <f t="shared" si="12"/>
        <v>0</v>
      </c>
      <c r="Q121" s="41">
        <v>0</v>
      </c>
      <c r="R121" s="41">
        <v>0</v>
      </c>
      <c r="S121" s="70">
        <f t="shared" si="13"/>
        <v>0</v>
      </c>
      <c r="T121" s="41">
        <v>0</v>
      </c>
      <c r="U121" s="41">
        <v>0</v>
      </c>
      <c r="V121" s="70">
        <f t="shared" si="14"/>
        <v>0</v>
      </c>
      <c r="W121" s="41">
        <v>0</v>
      </c>
      <c r="X121" s="41">
        <v>0</v>
      </c>
      <c r="Y121" s="70">
        <f t="shared" si="15"/>
        <v>0</v>
      </c>
      <c r="Z121" s="41">
        <v>0</v>
      </c>
      <c r="AA121" s="41">
        <v>0</v>
      </c>
      <c r="AB121" s="70">
        <f t="shared" si="16"/>
        <v>0</v>
      </c>
      <c r="AC121" s="41">
        <v>0</v>
      </c>
      <c r="AD121" s="41">
        <v>0</v>
      </c>
      <c r="AE121" s="70">
        <f t="shared" si="17"/>
        <v>0</v>
      </c>
      <c r="AF121" s="28">
        <f t="shared" si="18"/>
        <v>0</v>
      </c>
      <c r="AG121" s="28">
        <f t="shared" si="19"/>
        <v>0</v>
      </c>
    </row>
    <row r="122" spans="1:33" ht="57.6" x14ac:dyDescent="0.3">
      <c r="A122" s="41" t="s">
        <v>697</v>
      </c>
      <c r="B122" s="41" t="s">
        <v>692</v>
      </c>
      <c r="C122" s="41" t="s">
        <v>664</v>
      </c>
      <c r="D122" s="41" t="s">
        <v>84</v>
      </c>
      <c r="E122" s="41" t="s">
        <v>451</v>
      </c>
      <c r="F122" s="41" t="s">
        <v>778</v>
      </c>
      <c r="G122" s="83">
        <f>10000*1022</f>
        <v>10220000</v>
      </c>
      <c r="J122" s="83">
        <f t="shared" si="10"/>
        <v>0</v>
      </c>
      <c r="K122" s="41">
        <v>1</v>
      </c>
      <c r="L122" s="41">
        <v>1</v>
      </c>
      <c r="M122" s="70">
        <f t="shared" si="11"/>
        <v>11242000</v>
      </c>
      <c r="N122" s="41">
        <v>1</v>
      </c>
      <c r="O122" s="41">
        <v>1</v>
      </c>
      <c r="P122" s="70">
        <f t="shared" si="12"/>
        <v>12366200.000000002</v>
      </c>
      <c r="Q122" s="41">
        <v>1</v>
      </c>
      <c r="R122" s="41">
        <v>1</v>
      </c>
      <c r="S122" s="70">
        <f t="shared" si="13"/>
        <v>13602820.000000004</v>
      </c>
      <c r="T122" s="41">
        <v>1</v>
      </c>
      <c r="U122" s="41">
        <v>1</v>
      </c>
      <c r="V122" s="70">
        <f t="shared" si="14"/>
        <v>14963102.000000004</v>
      </c>
      <c r="W122" s="41">
        <v>1</v>
      </c>
      <c r="X122" s="41">
        <v>1</v>
      </c>
      <c r="Y122" s="70">
        <f t="shared" si="15"/>
        <v>16459412.200000005</v>
      </c>
      <c r="Z122" s="41">
        <v>1</v>
      </c>
      <c r="AA122" s="41">
        <v>1</v>
      </c>
      <c r="AB122" s="70">
        <f t="shared" si="16"/>
        <v>18105353.420000009</v>
      </c>
      <c r="AC122" s="41">
        <v>1</v>
      </c>
      <c r="AD122" s="41">
        <v>1</v>
      </c>
      <c r="AE122" s="70">
        <f t="shared" si="17"/>
        <v>19915888.762000013</v>
      </c>
      <c r="AF122" s="28">
        <f t="shared" si="18"/>
        <v>106654776.38200001</v>
      </c>
      <c r="AG122" s="28">
        <f t="shared" si="19"/>
        <v>104358.88100000001</v>
      </c>
    </row>
    <row r="123" spans="1:33" ht="57.6" x14ac:dyDescent="0.3">
      <c r="A123" s="41" t="s">
        <v>697</v>
      </c>
      <c r="B123" s="41" t="s">
        <v>692</v>
      </c>
      <c r="C123" s="41" t="s">
        <v>664</v>
      </c>
      <c r="D123" s="41" t="s">
        <v>84</v>
      </c>
      <c r="E123" s="41" t="s">
        <v>452</v>
      </c>
      <c r="F123" s="41" t="s">
        <v>716</v>
      </c>
      <c r="G123" s="83">
        <v>39000</v>
      </c>
      <c r="J123" s="83">
        <f t="shared" si="10"/>
        <v>0</v>
      </c>
      <c r="K123" s="41">
        <v>10</v>
      </c>
      <c r="L123" s="41">
        <v>2</v>
      </c>
      <c r="M123" s="70">
        <f t="shared" si="11"/>
        <v>858000</v>
      </c>
      <c r="N123" s="41"/>
      <c r="O123" s="41"/>
      <c r="P123" s="70">
        <f t="shared" si="12"/>
        <v>0</v>
      </c>
      <c r="Q123" s="41">
        <v>10</v>
      </c>
      <c r="R123" s="41">
        <v>2</v>
      </c>
      <c r="S123" s="70">
        <f t="shared" si="13"/>
        <v>1038180.0000000002</v>
      </c>
      <c r="T123" s="41"/>
      <c r="U123" s="41"/>
      <c r="V123" s="70">
        <f t="shared" si="14"/>
        <v>0</v>
      </c>
      <c r="W123" s="41">
        <v>10</v>
      </c>
      <c r="X123" s="41">
        <v>2</v>
      </c>
      <c r="Y123" s="70">
        <f t="shared" si="15"/>
        <v>1256197.8000000005</v>
      </c>
      <c r="Z123" s="41">
        <v>0</v>
      </c>
      <c r="AA123" s="41">
        <v>0</v>
      </c>
      <c r="AB123" s="70">
        <f t="shared" si="16"/>
        <v>0</v>
      </c>
      <c r="AC123" s="41">
        <v>10</v>
      </c>
      <c r="AD123" s="41">
        <v>2</v>
      </c>
      <c r="AE123" s="70">
        <f t="shared" si="17"/>
        <v>1519999.3380000009</v>
      </c>
      <c r="AF123" s="28">
        <f t="shared" si="18"/>
        <v>4672377.1380000021</v>
      </c>
      <c r="AG123" s="28">
        <f t="shared" si="19"/>
        <v>4571.7975909980451</v>
      </c>
    </row>
    <row r="124" spans="1:33" ht="57.6" x14ac:dyDescent="0.3">
      <c r="A124" s="41" t="s">
        <v>697</v>
      </c>
      <c r="B124" s="41" t="s">
        <v>692</v>
      </c>
      <c r="C124" s="41" t="s">
        <v>664</v>
      </c>
      <c r="D124" s="41" t="s">
        <v>84</v>
      </c>
      <c r="E124" s="41" t="s">
        <v>452</v>
      </c>
      <c r="F124" s="41" t="s">
        <v>709</v>
      </c>
      <c r="G124" s="83">
        <v>35000</v>
      </c>
      <c r="J124" s="83">
        <f t="shared" si="10"/>
        <v>0</v>
      </c>
      <c r="K124" s="41">
        <v>10</v>
      </c>
      <c r="L124" s="41">
        <v>2</v>
      </c>
      <c r="M124" s="70">
        <f t="shared" si="11"/>
        <v>770000</v>
      </c>
      <c r="N124" s="41">
        <v>0</v>
      </c>
      <c r="O124" s="41">
        <v>0</v>
      </c>
      <c r="P124" s="70">
        <f t="shared" si="12"/>
        <v>0</v>
      </c>
      <c r="Q124" s="41">
        <v>10</v>
      </c>
      <c r="R124" s="41">
        <v>2</v>
      </c>
      <c r="S124" s="70">
        <f t="shared" si="13"/>
        <v>931700.00000000023</v>
      </c>
      <c r="T124" s="41"/>
      <c r="U124" s="41"/>
      <c r="V124" s="70">
        <f t="shared" si="14"/>
        <v>0</v>
      </c>
      <c r="W124" s="41">
        <v>10</v>
      </c>
      <c r="X124" s="41">
        <v>2</v>
      </c>
      <c r="Y124" s="70">
        <f t="shared" si="15"/>
        <v>1127357.0000000005</v>
      </c>
      <c r="Z124" s="41">
        <v>0</v>
      </c>
      <c r="AA124" s="41">
        <v>0</v>
      </c>
      <c r="AB124" s="70">
        <f t="shared" si="16"/>
        <v>0</v>
      </c>
      <c r="AC124" s="41">
        <v>10</v>
      </c>
      <c r="AD124" s="41">
        <v>2</v>
      </c>
      <c r="AE124" s="70">
        <f t="shared" si="17"/>
        <v>1364101.9700000007</v>
      </c>
      <c r="AF124" s="28">
        <f t="shared" si="18"/>
        <v>4193158.9700000016</v>
      </c>
      <c r="AG124" s="28">
        <f t="shared" si="19"/>
        <v>4102.8952739726046</v>
      </c>
    </row>
    <row r="125" spans="1:33" ht="57.6" x14ac:dyDescent="0.3">
      <c r="A125" s="41" t="s">
        <v>697</v>
      </c>
      <c r="B125" s="41" t="s">
        <v>692</v>
      </c>
      <c r="C125" s="41" t="s">
        <v>664</v>
      </c>
      <c r="D125" s="41" t="s">
        <v>84</v>
      </c>
      <c r="E125" s="41" t="s">
        <v>452</v>
      </c>
      <c r="F125" s="41" t="s">
        <v>712</v>
      </c>
      <c r="G125" s="83">
        <f>1999.2/7</f>
        <v>285.60000000000002</v>
      </c>
      <c r="J125" s="83">
        <f t="shared" si="10"/>
        <v>0</v>
      </c>
      <c r="K125" s="41">
        <f>2*25*5</f>
        <v>250</v>
      </c>
      <c r="L125" s="41">
        <v>5</v>
      </c>
      <c r="M125" s="70">
        <f t="shared" si="11"/>
        <v>392700</v>
      </c>
      <c r="N125" s="41">
        <v>0</v>
      </c>
      <c r="O125" s="41">
        <v>0</v>
      </c>
      <c r="P125" s="70">
        <f t="shared" si="12"/>
        <v>0</v>
      </c>
      <c r="Q125" s="41">
        <f>2*25*5</f>
        <v>250</v>
      </c>
      <c r="R125" s="41">
        <v>5</v>
      </c>
      <c r="S125" s="70">
        <f t="shared" si="13"/>
        <v>475167.00000000017</v>
      </c>
      <c r="T125" s="41"/>
      <c r="U125" s="41">
        <v>1</v>
      </c>
      <c r="V125" s="70">
        <f t="shared" si="14"/>
        <v>0</v>
      </c>
      <c r="W125" s="41">
        <f>2*25*5</f>
        <v>250</v>
      </c>
      <c r="X125" s="41">
        <v>5</v>
      </c>
      <c r="Y125" s="70">
        <f t="shared" si="15"/>
        <v>574952.0700000003</v>
      </c>
      <c r="Z125" s="41">
        <v>0</v>
      </c>
      <c r="AA125" s="41">
        <v>0</v>
      </c>
      <c r="AB125" s="70">
        <f t="shared" si="16"/>
        <v>0</v>
      </c>
      <c r="AC125" s="41">
        <f>2*25*5</f>
        <v>250</v>
      </c>
      <c r="AD125" s="41">
        <v>5</v>
      </c>
      <c r="AE125" s="70">
        <f t="shared" si="17"/>
        <v>695692.00470000051</v>
      </c>
      <c r="AF125" s="28">
        <f t="shared" si="18"/>
        <v>2138511.0747000012</v>
      </c>
      <c r="AG125" s="28">
        <f t="shared" si="19"/>
        <v>2092.4765897260286</v>
      </c>
    </row>
    <row r="126" spans="1:33" ht="57.6" x14ac:dyDescent="0.3">
      <c r="A126" s="41" t="s">
        <v>697</v>
      </c>
      <c r="B126" s="41" t="s">
        <v>692</v>
      </c>
      <c r="C126" s="41" t="s">
        <v>664</v>
      </c>
      <c r="D126" s="41" t="s">
        <v>84</v>
      </c>
      <c r="E126" s="41" t="s">
        <v>452</v>
      </c>
      <c r="F126" s="41" t="s">
        <v>1299</v>
      </c>
      <c r="G126" s="83">
        <f>1999.2/7</f>
        <v>285.60000000000002</v>
      </c>
      <c r="J126" s="83">
        <f t="shared" si="10"/>
        <v>0</v>
      </c>
      <c r="K126" s="41">
        <f>2*135*5</f>
        <v>1350</v>
      </c>
      <c r="L126" s="41">
        <v>5</v>
      </c>
      <c r="M126" s="70">
        <f t="shared" si="11"/>
        <v>2120580.0000000005</v>
      </c>
      <c r="N126" s="41">
        <v>0</v>
      </c>
      <c r="O126" s="41">
        <v>0</v>
      </c>
      <c r="P126" s="70">
        <f t="shared" si="12"/>
        <v>0</v>
      </c>
      <c r="Q126" s="41">
        <f>2*135*5</f>
        <v>1350</v>
      </c>
      <c r="R126" s="41">
        <v>5</v>
      </c>
      <c r="S126" s="70">
        <f t="shared" si="13"/>
        <v>2565901.8000000012</v>
      </c>
      <c r="T126" s="41"/>
      <c r="U126" s="41">
        <v>1</v>
      </c>
      <c r="V126" s="70">
        <f t="shared" si="14"/>
        <v>0</v>
      </c>
      <c r="W126" s="41">
        <f>2*135*5</f>
        <v>1350</v>
      </c>
      <c r="X126" s="41">
        <v>5</v>
      </c>
      <c r="Y126" s="70">
        <f t="shared" si="15"/>
        <v>3104741.1780000012</v>
      </c>
      <c r="Z126" s="41">
        <v>0</v>
      </c>
      <c r="AA126" s="41">
        <v>0</v>
      </c>
      <c r="AB126" s="70">
        <f t="shared" si="16"/>
        <v>0</v>
      </c>
      <c r="AC126" s="41">
        <f>2*135*5</f>
        <v>1350</v>
      </c>
      <c r="AD126" s="41">
        <v>5</v>
      </c>
      <c r="AE126" s="70">
        <f t="shared" si="17"/>
        <v>3756736.8253800031</v>
      </c>
      <c r="AF126" s="28">
        <f t="shared" si="18"/>
        <v>11547959.803380005</v>
      </c>
      <c r="AG126" s="28">
        <f t="shared" si="19"/>
        <v>11299.373584520554</v>
      </c>
    </row>
    <row r="127" spans="1:33" ht="57.6" x14ac:dyDescent="0.3">
      <c r="A127" s="41" t="s">
        <v>697</v>
      </c>
      <c r="B127" s="41" t="s">
        <v>692</v>
      </c>
      <c r="C127" s="41" t="s">
        <v>664</v>
      </c>
      <c r="D127" s="41" t="s">
        <v>85</v>
      </c>
      <c r="E127" s="41" t="s">
        <v>779</v>
      </c>
      <c r="F127" s="41" t="s">
        <v>718</v>
      </c>
      <c r="G127" s="83">
        <v>0</v>
      </c>
      <c r="H127" s="41">
        <v>0</v>
      </c>
      <c r="I127" s="41">
        <v>0</v>
      </c>
      <c r="J127" s="83">
        <f t="shared" si="10"/>
        <v>0</v>
      </c>
      <c r="K127" s="41">
        <v>0</v>
      </c>
      <c r="L127" s="41">
        <v>0</v>
      </c>
      <c r="M127" s="70">
        <f t="shared" si="11"/>
        <v>0</v>
      </c>
      <c r="N127" s="41">
        <v>0</v>
      </c>
      <c r="O127" s="41">
        <v>0</v>
      </c>
      <c r="P127" s="70">
        <f t="shared" si="12"/>
        <v>0</v>
      </c>
      <c r="Q127" s="41">
        <v>0</v>
      </c>
      <c r="R127" s="41">
        <v>0</v>
      </c>
      <c r="S127" s="70">
        <f t="shared" si="13"/>
        <v>0</v>
      </c>
      <c r="T127" s="41">
        <v>0</v>
      </c>
      <c r="U127" s="41">
        <v>0</v>
      </c>
      <c r="V127" s="70">
        <f t="shared" si="14"/>
        <v>0</v>
      </c>
      <c r="W127" s="41">
        <v>0</v>
      </c>
      <c r="X127" s="41">
        <v>0</v>
      </c>
      <c r="Y127" s="70">
        <f t="shared" si="15"/>
        <v>0</v>
      </c>
      <c r="Z127" s="41">
        <v>0</v>
      </c>
      <c r="AA127" s="41">
        <v>0</v>
      </c>
      <c r="AB127" s="70">
        <f t="shared" si="16"/>
        <v>0</v>
      </c>
      <c r="AC127" s="41">
        <v>0</v>
      </c>
      <c r="AD127" s="41">
        <v>0</v>
      </c>
      <c r="AE127" s="70">
        <f t="shared" si="17"/>
        <v>0</v>
      </c>
      <c r="AF127" s="28">
        <f t="shared" si="18"/>
        <v>0</v>
      </c>
      <c r="AG127" s="28">
        <f t="shared" si="19"/>
        <v>0</v>
      </c>
    </row>
    <row r="128" spans="1:33" ht="57.6" x14ac:dyDescent="0.3">
      <c r="A128" s="41" t="s">
        <v>697</v>
      </c>
      <c r="B128" s="41" t="s">
        <v>692</v>
      </c>
      <c r="C128" s="41" t="s">
        <v>664</v>
      </c>
      <c r="D128" s="41" t="s">
        <v>85</v>
      </c>
      <c r="E128" s="41" t="s">
        <v>780</v>
      </c>
      <c r="F128" s="41" t="s">
        <v>718</v>
      </c>
      <c r="G128" s="83">
        <v>0</v>
      </c>
      <c r="H128" s="41">
        <v>0</v>
      </c>
      <c r="I128" s="41">
        <v>0</v>
      </c>
      <c r="J128" s="83">
        <f t="shared" si="10"/>
        <v>0</v>
      </c>
      <c r="K128" s="41">
        <v>0</v>
      </c>
      <c r="L128" s="41">
        <v>0</v>
      </c>
      <c r="M128" s="70">
        <f t="shared" si="11"/>
        <v>0</v>
      </c>
      <c r="N128" s="41">
        <v>0</v>
      </c>
      <c r="O128" s="41">
        <v>0</v>
      </c>
      <c r="P128" s="70">
        <f t="shared" si="12"/>
        <v>0</v>
      </c>
      <c r="Q128" s="41">
        <v>0</v>
      </c>
      <c r="R128" s="41">
        <v>0</v>
      </c>
      <c r="S128" s="70">
        <f t="shared" si="13"/>
        <v>0</v>
      </c>
      <c r="T128" s="41">
        <v>0</v>
      </c>
      <c r="U128" s="41">
        <v>0</v>
      </c>
      <c r="V128" s="70">
        <f t="shared" si="14"/>
        <v>0</v>
      </c>
      <c r="W128" s="41">
        <v>0</v>
      </c>
      <c r="X128" s="41">
        <v>0</v>
      </c>
      <c r="Y128" s="70">
        <f t="shared" si="15"/>
        <v>0</v>
      </c>
      <c r="Z128" s="41">
        <v>0</v>
      </c>
      <c r="AA128" s="41">
        <v>0</v>
      </c>
      <c r="AB128" s="70">
        <f t="shared" si="16"/>
        <v>0</v>
      </c>
      <c r="AC128" s="41">
        <v>0</v>
      </c>
      <c r="AD128" s="41">
        <v>0</v>
      </c>
      <c r="AE128" s="70">
        <f t="shared" si="17"/>
        <v>0</v>
      </c>
      <c r="AF128" s="28">
        <f t="shared" si="18"/>
        <v>0</v>
      </c>
      <c r="AG128" s="28">
        <f t="shared" si="19"/>
        <v>0</v>
      </c>
    </row>
    <row r="129" spans="1:33" ht="57.6" x14ac:dyDescent="0.3">
      <c r="A129" s="41" t="s">
        <v>697</v>
      </c>
      <c r="B129" s="41" t="s">
        <v>692</v>
      </c>
      <c r="C129" s="41" t="s">
        <v>664</v>
      </c>
      <c r="D129" s="41" t="s">
        <v>85</v>
      </c>
      <c r="E129" s="41" t="s">
        <v>455</v>
      </c>
      <c r="F129" s="41" t="s">
        <v>718</v>
      </c>
      <c r="G129" s="83">
        <v>0</v>
      </c>
      <c r="H129" s="41">
        <v>0</v>
      </c>
      <c r="I129" s="41">
        <v>0</v>
      </c>
      <c r="J129" s="83">
        <f t="shared" si="10"/>
        <v>0</v>
      </c>
      <c r="K129" s="41">
        <v>0</v>
      </c>
      <c r="L129" s="41">
        <v>0</v>
      </c>
      <c r="M129" s="70">
        <f t="shared" si="11"/>
        <v>0</v>
      </c>
      <c r="N129" s="41">
        <v>0</v>
      </c>
      <c r="O129" s="41">
        <v>0</v>
      </c>
      <c r="P129" s="70">
        <f t="shared" si="12"/>
        <v>0</v>
      </c>
      <c r="Q129" s="41">
        <v>0</v>
      </c>
      <c r="R129" s="41">
        <v>0</v>
      </c>
      <c r="S129" s="70">
        <f t="shared" si="13"/>
        <v>0</v>
      </c>
      <c r="T129" s="41">
        <v>0</v>
      </c>
      <c r="U129" s="41">
        <v>0</v>
      </c>
      <c r="V129" s="70">
        <f t="shared" si="14"/>
        <v>0</v>
      </c>
      <c r="W129" s="41">
        <v>0</v>
      </c>
      <c r="X129" s="41">
        <v>0</v>
      </c>
      <c r="Y129" s="70">
        <f t="shared" si="15"/>
        <v>0</v>
      </c>
      <c r="Z129" s="41">
        <v>0</v>
      </c>
      <c r="AA129" s="41">
        <v>0</v>
      </c>
      <c r="AB129" s="70">
        <f t="shared" si="16"/>
        <v>0</v>
      </c>
      <c r="AC129" s="41">
        <v>0</v>
      </c>
      <c r="AD129" s="41">
        <v>0</v>
      </c>
      <c r="AE129" s="70">
        <f t="shared" si="17"/>
        <v>0</v>
      </c>
      <c r="AF129" s="28">
        <f t="shared" si="18"/>
        <v>0</v>
      </c>
      <c r="AG129" s="28">
        <f t="shared" si="19"/>
        <v>0</v>
      </c>
    </row>
    <row r="130" spans="1:33" ht="57.6" x14ac:dyDescent="0.3">
      <c r="A130" s="41" t="s">
        <v>697</v>
      </c>
      <c r="B130" s="41" t="s">
        <v>692</v>
      </c>
      <c r="C130" s="41" t="s">
        <v>664</v>
      </c>
      <c r="D130" s="41" t="s">
        <v>86</v>
      </c>
      <c r="E130" s="41" t="s">
        <v>781</v>
      </c>
      <c r="F130" s="41" t="s">
        <v>718</v>
      </c>
      <c r="G130" s="83">
        <v>0</v>
      </c>
      <c r="H130" s="41">
        <v>0</v>
      </c>
      <c r="I130" s="41">
        <v>0</v>
      </c>
      <c r="J130" s="83">
        <f t="shared" ref="J130:J193" si="20">G130*H130*I130</f>
        <v>0</v>
      </c>
      <c r="K130" s="41">
        <v>0</v>
      </c>
      <c r="L130" s="41">
        <v>0</v>
      </c>
      <c r="M130" s="70">
        <f t="shared" ref="M130:M193" si="21">($G130*1.1^1)*K130*L130</f>
        <v>0</v>
      </c>
      <c r="N130" s="41">
        <v>0</v>
      </c>
      <c r="O130" s="41">
        <v>0</v>
      </c>
      <c r="P130" s="70">
        <f t="shared" ref="P130:P193" si="22">($G130*1.1^2)*N130*O130</f>
        <v>0</v>
      </c>
      <c r="Q130" s="41">
        <v>0</v>
      </c>
      <c r="R130" s="41">
        <v>0</v>
      </c>
      <c r="S130" s="70">
        <f t="shared" ref="S130:S193" si="23">($G130*1.1^3)*Q130*R130</f>
        <v>0</v>
      </c>
      <c r="T130" s="41">
        <v>0</v>
      </c>
      <c r="U130" s="41">
        <v>0</v>
      </c>
      <c r="V130" s="70">
        <f t="shared" ref="V130:V193" si="24">($G130*1.1^4)*T130*U130</f>
        <v>0</v>
      </c>
      <c r="W130" s="41">
        <v>0</v>
      </c>
      <c r="X130" s="41">
        <v>0</v>
      </c>
      <c r="Y130" s="70">
        <f t="shared" ref="Y130:Y193" si="25">($G130*1.1^5)*W130*X130</f>
        <v>0</v>
      </c>
      <c r="Z130" s="41">
        <v>0</v>
      </c>
      <c r="AA130" s="41">
        <v>0</v>
      </c>
      <c r="AB130" s="70">
        <f t="shared" ref="AB130:AB193" si="26">($G130*1.1^6)*Z130*AA130</f>
        <v>0</v>
      </c>
      <c r="AC130" s="41">
        <v>0</v>
      </c>
      <c r="AD130" s="41">
        <v>0</v>
      </c>
      <c r="AE130" s="70">
        <f t="shared" ref="AE130:AE193" si="27">($G130*1.1^7)*AC130*AD130</f>
        <v>0</v>
      </c>
      <c r="AF130" s="28">
        <f t="shared" ref="AF130:AF193" si="28">J130+M130+P130+S130+V130+Y130+AB130+AE130</f>
        <v>0</v>
      </c>
      <c r="AG130" s="28">
        <f t="shared" ref="AG130:AG193" si="29">AF130/$AL$2</f>
        <v>0</v>
      </c>
    </row>
    <row r="131" spans="1:33" ht="57.6" x14ac:dyDescent="0.3">
      <c r="A131" s="41" t="s">
        <v>697</v>
      </c>
      <c r="B131" s="41" t="s">
        <v>692</v>
      </c>
      <c r="C131" s="41" t="s">
        <v>664</v>
      </c>
      <c r="D131" s="41" t="s">
        <v>86</v>
      </c>
      <c r="E131" s="41" t="s">
        <v>781</v>
      </c>
      <c r="F131" s="41" t="s">
        <v>709</v>
      </c>
      <c r="G131" s="83">
        <v>35000</v>
      </c>
      <c r="H131" s="41">
        <v>60</v>
      </c>
      <c r="I131" s="41">
        <v>5</v>
      </c>
      <c r="J131" s="83">
        <f t="shared" si="20"/>
        <v>10500000</v>
      </c>
      <c r="K131" s="41">
        <v>60</v>
      </c>
      <c r="L131" s="41">
        <v>5</v>
      </c>
      <c r="M131" s="70">
        <f t="shared" si="21"/>
        <v>11550000</v>
      </c>
      <c r="N131" s="41">
        <v>60</v>
      </c>
      <c r="O131" s="41">
        <v>5</v>
      </c>
      <c r="P131" s="70">
        <f t="shared" si="22"/>
        <v>12705000.000000002</v>
      </c>
      <c r="Q131" s="41">
        <v>60</v>
      </c>
      <c r="R131" s="41">
        <v>5</v>
      </c>
      <c r="S131" s="70">
        <f t="shared" si="23"/>
        <v>13975500.000000004</v>
      </c>
      <c r="T131" s="41">
        <v>60</v>
      </c>
      <c r="U131" s="41">
        <v>5</v>
      </c>
      <c r="V131" s="70">
        <f t="shared" si="24"/>
        <v>15373050.000000004</v>
      </c>
      <c r="W131" s="41">
        <v>60</v>
      </c>
      <c r="X131" s="41">
        <v>5</v>
      </c>
      <c r="Y131" s="70">
        <f t="shared" si="25"/>
        <v>16910355.000000007</v>
      </c>
      <c r="Z131" s="41">
        <v>60</v>
      </c>
      <c r="AA131" s="41">
        <v>5</v>
      </c>
      <c r="AB131" s="70">
        <f t="shared" si="26"/>
        <v>18601390.500000011</v>
      </c>
      <c r="AC131" s="41">
        <v>60</v>
      </c>
      <c r="AD131" s="41">
        <v>5</v>
      </c>
      <c r="AE131" s="70">
        <f t="shared" si="27"/>
        <v>20461529.550000012</v>
      </c>
      <c r="AF131" s="28">
        <f t="shared" si="28"/>
        <v>120076825.05000003</v>
      </c>
      <c r="AG131" s="28">
        <f t="shared" si="29"/>
        <v>117492.00102739729</v>
      </c>
    </row>
    <row r="132" spans="1:33" ht="57.6" x14ac:dyDescent="0.3">
      <c r="A132" s="41" t="s">
        <v>697</v>
      </c>
      <c r="B132" s="41" t="s">
        <v>692</v>
      </c>
      <c r="C132" s="41" t="s">
        <v>664</v>
      </c>
      <c r="D132" s="41" t="s">
        <v>86</v>
      </c>
      <c r="E132" s="41" t="s">
        <v>162</v>
      </c>
      <c r="F132" s="41" t="s">
        <v>716</v>
      </c>
      <c r="G132" s="83">
        <v>39000</v>
      </c>
      <c r="H132" s="41">
        <v>60</v>
      </c>
      <c r="I132" s="41">
        <v>6</v>
      </c>
      <c r="J132" s="83">
        <f t="shared" si="20"/>
        <v>14040000</v>
      </c>
      <c r="K132" s="41">
        <v>60</v>
      </c>
      <c r="L132" s="41">
        <v>6</v>
      </c>
      <c r="M132" s="70">
        <f t="shared" si="21"/>
        <v>15444000</v>
      </c>
      <c r="N132" s="41">
        <v>60</v>
      </c>
      <c r="O132" s="41">
        <v>6</v>
      </c>
      <c r="P132" s="70">
        <f t="shared" si="22"/>
        <v>16988400.000000004</v>
      </c>
      <c r="Q132" s="41">
        <v>60</v>
      </c>
      <c r="R132" s="41">
        <v>6</v>
      </c>
      <c r="S132" s="70">
        <f t="shared" si="23"/>
        <v>18687240.000000007</v>
      </c>
      <c r="T132" s="41">
        <v>60</v>
      </c>
      <c r="U132" s="41">
        <v>6</v>
      </c>
      <c r="V132" s="70">
        <f t="shared" si="24"/>
        <v>20555964.000000007</v>
      </c>
      <c r="W132" s="41">
        <v>60</v>
      </c>
      <c r="X132" s="41">
        <v>6</v>
      </c>
      <c r="Y132" s="70">
        <f t="shared" si="25"/>
        <v>22611560.400000006</v>
      </c>
      <c r="Z132" s="41">
        <v>60</v>
      </c>
      <c r="AA132" s="41">
        <v>6</v>
      </c>
      <c r="AB132" s="70">
        <f t="shared" si="26"/>
        <v>24872716.440000009</v>
      </c>
      <c r="AC132" s="41">
        <v>60</v>
      </c>
      <c r="AD132" s="41">
        <v>6</v>
      </c>
      <c r="AE132" s="70">
        <f t="shared" si="27"/>
        <v>27359988.084000014</v>
      </c>
      <c r="AF132" s="28">
        <f t="shared" si="28"/>
        <v>160559868.92400005</v>
      </c>
      <c r="AG132" s="28">
        <f t="shared" si="29"/>
        <v>157103.58994520555</v>
      </c>
    </row>
    <row r="133" spans="1:33" ht="57.6" x14ac:dyDescent="0.3">
      <c r="A133" s="41" t="s">
        <v>697</v>
      </c>
      <c r="B133" s="41" t="s">
        <v>692</v>
      </c>
      <c r="C133" s="41" t="s">
        <v>664</v>
      </c>
      <c r="D133" s="41" t="s">
        <v>86</v>
      </c>
      <c r="E133" s="41" t="s">
        <v>162</v>
      </c>
      <c r="F133" s="41" t="s">
        <v>712</v>
      </c>
      <c r="G133" s="83">
        <f>1999.2/7</f>
        <v>285.60000000000002</v>
      </c>
      <c r="H133" s="41">
        <f>25*2*25</f>
        <v>1250</v>
      </c>
      <c r="I133" s="41">
        <v>5</v>
      </c>
      <c r="J133" s="83">
        <f t="shared" si="20"/>
        <v>1785000</v>
      </c>
      <c r="K133" s="41">
        <f>25*2*25</f>
        <v>1250</v>
      </c>
      <c r="L133" s="41">
        <v>5</v>
      </c>
      <c r="M133" s="70">
        <f t="shared" si="21"/>
        <v>1963500.0000000002</v>
      </c>
      <c r="N133" s="41">
        <f>25*2*25</f>
        <v>1250</v>
      </c>
      <c r="O133" s="41">
        <v>5</v>
      </c>
      <c r="P133" s="70">
        <f t="shared" si="22"/>
        <v>2159850.0000000005</v>
      </c>
      <c r="Q133" s="41">
        <f>25*2*25</f>
        <v>1250</v>
      </c>
      <c r="R133" s="41">
        <v>5</v>
      </c>
      <c r="S133" s="70">
        <f t="shared" si="23"/>
        <v>2375835.0000000009</v>
      </c>
      <c r="T133" s="41">
        <f>25*2*25</f>
        <v>1250</v>
      </c>
      <c r="U133" s="41">
        <v>5</v>
      </c>
      <c r="V133" s="70">
        <f t="shared" si="24"/>
        <v>2613418.5000000009</v>
      </c>
      <c r="W133" s="41">
        <f>25*2*25</f>
        <v>1250</v>
      </c>
      <c r="X133" s="41">
        <v>5</v>
      </c>
      <c r="Y133" s="70">
        <f t="shared" si="25"/>
        <v>2874760.350000001</v>
      </c>
      <c r="Z133" s="41">
        <f>25*2*25</f>
        <v>1250</v>
      </c>
      <c r="AA133" s="41">
        <v>5</v>
      </c>
      <c r="AB133" s="70">
        <f t="shared" si="26"/>
        <v>3162236.3850000016</v>
      </c>
      <c r="AC133" s="41">
        <f>25*2*25</f>
        <v>1250</v>
      </c>
      <c r="AD133" s="41">
        <v>5</v>
      </c>
      <c r="AE133" s="70">
        <f t="shared" si="27"/>
        <v>3478460.0235000025</v>
      </c>
      <c r="AF133" s="28">
        <f t="shared" si="28"/>
        <v>20413060.25850001</v>
      </c>
      <c r="AG133" s="28">
        <f t="shared" si="29"/>
        <v>19973.640174657543</v>
      </c>
    </row>
    <row r="134" spans="1:33" ht="57.6" x14ac:dyDescent="0.3">
      <c r="A134" s="41" t="s">
        <v>697</v>
      </c>
      <c r="B134" s="41" t="s">
        <v>692</v>
      </c>
      <c r="C134" s="41" t="s">
        <v>664</v>
      </c>
      <c r="D134" s="41" t="s">
        <v>86</v>
      </c>
      <c r="E134" s="41" t="s">
        <v>162</v>
      </c>
      <c r="F134" s="41" t="s">
        <v>1299</v>
      </c>
      <c r="G134" s="83">
        <f>1999.2/7</f>
        <v>285.60000000000002</v>
      </c>
      <c r="H134" s="41">
        <f>2*135*25</f>
        <v>6750</v>
      </c>
      <c r="I134" s="41">
        <v>1</v>
      </c>
      <c r="J134" s="83">
        <f t="shared" si="20"/>
        <v>1927800.0000000002</v>
      </c>
      <c r="K134" s="41">
        <f>2*135*25</f>
        <v>6750</v>
      </c>
      <c r="L134" s="41">
        <v>1</v>
      </c>
      <c r="M134" s="70">
        <f t="shared" si="21"/>
        <v>2120580</v>
      </c>
      <c r="N134" s="41">
        <f>2*135*25</f>
        <v>6750</v>
      </c>
      <c r="O134" s="41">
        <v>1</v>
      </c>
      <c r="P134" s="70">
        <f t="shared" si="22"/>
        <v>2332638.0000000005</v>
      </c>
      <c r="Q134" s="41">
        <f>2*135*25</f>
        <v>6750</v>
      </c>
      <c r="R134" s="41">
        <v>1</v>
      </c>
      <c r="S134" s="70">
        <f t="shared" si="23"/>
        <v>2565901.8000000012</v>
      </c>
      <c r="T134" s="41">
        <f>2*135*25</f>
        <v>6750</v>
      </c>
      <c r="U134" s="41">
        <v>1</v>
      </c>
      <c r="V134" s="70">
        <f t="shared" si="24"/>
        <v>2822491.9800000009</v>
      </c>
      <c r="W134" s="41">
        <f>2*135*25</f>
        <v>6750</v>
      </c>
      <c r="X134" s="41">
        <v>1</v>
      </c>
      <c r="Y134" s="70">
        <f t="shared" si="25"/>
        <v>3104741.1780000012</v>
      </c>
      <c r="Z134" s="41">
        <f>2*135*25</f>
        <v>6750</v>
      </c>
      <c r="AA134" s="41">
        <v>1</v>
      </c>
      <c r="AB134" s="70">
        <f t="shared" si="26"/>
        <v>3415215.2958000018</v>
      </c>
      <c r="AC134" s="41">
        <f>2*135*25</f>
        <v>6750</v>
      </c>
      <c r="AD134" s="41">
        <v>1</v>
      </c>
      <c r="AE134" s="70">
        <f t="shared" si="27"/>
        <v>3756736.8253800031</v>
      </c>
      <c r="AF134" s="28">
        <f t="shared" si="28"/>
        <v>22046105.07918001</v>
      </c>
      <c r="AG134" s="28">
        <f t="shared" si="29"/>
        <v>21571.531388630145</v>
      </c>
    </row>
    <row r="135" spans="1:33" ht="57.6" x14ac:dyDescent="0.3">
      <c r="A135" s="41" t="s">
        <v>697</v>
      </c>
      <c r="B135" s="41" t="s">
        <v>692</v>
      </c>
      <c r="C135" s="41" t="s">
        <v>664</v>
      </c>
      <c r="D135" s="41" t="s">
        <v>86</v>
      </c>
      <c r="E135" s="41" t="s">
        <v>162</v>
      </c>
      <c r="F135" s="41" t="s">
        <v>717</v>
      </c>
      <c r="G135" s="83">
        <v>104850</v>
      </c>
      <c r="H135" s="41">
        <v>1</v>
      </c>
      <c r="I135" s="41">
        <v>1</v>
      </c>
      <c r="J135" s="83">
        <f t="shared" si="20"/>
        <v>104850</v>
      </c>
      <c r="K135" s="41">
        <v>1</v>
      </c>
      <c r="L135" s="41">
        <v>1</v>
      </c>
      <c r="M135" s="70">
        <f t="shared" si="21"/>
        <v>115335.00000000001</v>
      </c>
      <c r="N135" s="41">
        <v>1</v>
      </c>
      <c r="O135" s="41">
        <v>1</v>
      </c>
      <c r="P135" s="70">
        <f t="shared" si="22"/>
        <v>126868.50000000001</v>
      </c>
      <c r="Q135" s="41">
        <v>1</v>
      </c>
      <c r="R135" s="41">
        <v>1</v>
      </c>
      <c r="S135" s="70">
        <f t="shared" si="23"/>
        <v>139555.35000000003</v>
      </c>
      <c r="T135" s="41">
        <v>1</v>
      </c>
      <c r="U135" s="41">
        <v>1</v>
      </c>
      <c r="V135" s="70">
        <f t="shared" si="24"/>
        <v>153510.88500000004</v>
      </c>
      <c r="W135" s="41">
        <v>1</v>
      </c>
      <c r="X135" s="41">
        <v>1</v>
      </c>
      <c r="Y135" s="70">
        <f t="shared" si="25"/>
        <v>168861.97350000005</v>
      </c>
      <c r="Z135" s="41">
        <v>1</v>
      </c>
      <c r="AA135" s="41">
        <v>1</v>
      </c>
      <c r="AB135" s="70">
        <f t="shared" si="26"/>
        <v>185748.17085000008</v>
      </c>
      <c r="AC135" s="41">
        <v>1</v>
      </c>
      <c r="AD135" s="41">
        <v>1</v>
      </c>
      <c r="AE135" s="70">
        <f t="shared" si="27"/>
        <v>204322.98793500013</v>
      </c>
      <c r="AF135" s="28">
        <f t="shared" si="28"/>
        <v>1199052.8672850004</v>
      </c>
      <c r="AG135" s="28">
        <f t="shared" si="29"/>
        <v>1173.2415531164388</v>
      </c>
    </row>
    <row r="136" spans="1:33" ht="57.6" x14ac:dyDescent="0.3">
      <c r="A136" s="41" t="s">
        <v>697</v>
      </c>
      <c r="B136" s="41" t="s">
        <v>692</v>
      </c>
      <c r="C136" s="41" t="s">
        <v>664</v>
      </c>
      <c r="D136" s="41" t="s">
        <v>86</v>
      </c>
      <c r="E136" s="41" t="s">
        <v>162</v>
      </c>
      <c r="F136" s="41" t="s">
        <v>1297</v>
      </c>
      <c r="G136" s="83">
        <v>8000</v>
      </c>
      <c r="H136" s="41">
        <v>5</v>
      </c>
      <c r="I136" s="41">
        <v>1</v>
      </c>
      <c r="J136" s="83">
        <f t="shared" si="20"/>
        <v>40000</v>
      </c>
      <c r="K136" s="41">
        <v>5</v>
      </c>
      <c r="L136" s="41">
        <v>1</v>
      </c>
      <c r="M136" s="70">
        <f t="shared" si="21"/>
        <v>44000</v>
      </c>
      <c r="N136" s="41">
        <v>5</v>
      </c>
      <c r="O136" s="41">
        <v>1</v>
      </c>
      <c r="P136" s="70">
        <f t="shared" si="22"/>
        <v>48400.000000000007</v>
      </c>
      <c r="Q136" s="41">
        <v>5</v>
      </c>
      <c r="R136" s="41">
        <v>1</v>
      </c>
      <c r="S136" s="70">
        <f t="shared" si="23"/>
        <v>53240.000000000015</v>
      </c>
      <c r="T136" s="41">
        <v>5</v>
      </c>
      <c r="U136" s="41">
        <v>1</v>
      </c>
      <c r="V136" s="70">
        <f t="shared" si="24"/>
        <v>58564.000000000015</v>
      </c>
      <c r="W136" s="41">
        <v>5</v>
      </c>
      <c r="X136" s="41">
        <v>1</v>
      </c>
      <c r="Y136" s="70">
        <f t="shared" si="25"/>
        <v>64420.400000000016</v>
      </c>
      <c r="Z136" s="41">
        <v>5</v>
      </c>
      <c r="AA136" s="41">
        <v>1</v>
      </c>
      <c r="AB136" s="70">
        <f t="shared" si="26"/>
        <v>70862.440000000031</v>
      </c>
      <c r="AC136" s="41">
        <v>5</v>
      </c>
      <c r="AD136" s="41">
        <v>1</v>
      </c>
      <c r="AE136" s="70">
        <f t="shared" si="27"/>
        <v>77948.684000000052</v>
      </c>
      <c r="AF136" s="28">
        <f t="shared" si="28"/>
        <v>457435.52400000015</v>
      </c>
      <c r="AG136" s="28">
        <f t="shared" si="29"/>
        <v>447.5885753424659</v>
      </c>
    </row>
    <row r="137" spans="1:33" ht="57.6" x14ac:dyDescent="0.3">
      <c r="A137" s="41" t="s">
        <v>697</v>
      </c>
      <c r="B137" s="41" t="s">
        <v>692</v>
      </c>
      <c r="C137" s="41" t="s">
        <v>664</v>
      </c>
      <c r="D137" s="41" t="s">
        <v>87</v>
      </c>
      <c r="E137" s="41" t="s">
        <v>459</v>
      </c>
      <c r="F137" s="41" t="s">
        <v>718</v>
      </c>
      <c r="G137" s="83">
        <v>0</v>
      </c>
      <c r="H137" s="41">
        <v>0</v>
      </c>
      <c r="I137" s="41">
        <v>0</v>
      </c>
      <c r="J137" s="83">
        <f t="shared" si="20"/>
        <v>0</v>
      </c>
      <c r="K137" s="41">
        <v>0</v>
      </c>
      <c r="L137" s="41">
        <v>0</v>
      </c>
      <c r="M137" s="70">
        <f t="shared" si="21"/>
        <v>0</v>
      </c>
      <c r="N137" s="41">
        <v>0</v>
      </c>
      <c r="O137" s="41">
        <v>0</v>
      </c>
      <c r="P137" s="70">
        <f t="shared" si="22"/>
        <v>0</v>
      </c>
      <c r="Q137" s="41">
        <v>0</v>
      </c>
      <c r="R137" s="41">
        <v>0</v>
      </c>
      <c r="S137" s="70">
        <f t="shared" si="23"/>
        <v>0</v>
      </c>
      <c r="T137" s="41">
        <v>0</v>
      </c>
      <c r="U137" s="41">
        <v>0</v>
      </c>
      <c r="V137" s="70">
        <f t="shared" si="24"/>
        <v>0</v>
      </c>
      <c r="W137" s="41">
        <v>0</v>
      </c>
      <c r="X137" s="41">
        <v>0</v>
      </c>
      <c r="Y137" s="70">
        <f t="shared" si="25"/>
        <v>0</v>
      </c>
      <c r="Z137" s="41">
        <v>0</v>
      </c>
      <c r="AA137" s="41">
        <v>0</v>
      </c>
      <c r="AB137" s="70">
        <f t="shared" si="26"/>
        <v>0</v>
      </c>
      <c r="AC137" s="41">
        <v>0</v>
      </c>
      <c r="AD137" s="41">
        <v>0</v>
      </c>
      <c r="AE137" s="70">
        <f t="shared" si="27"/>
        <v>0</v>
      </c>
      <c r="AF137" s="28">
        <f t="shared" si="28"/>
        <v>0</v>
      </c>
      <c r="AG137" s="28">
        <f t="shared" si="29"/>
        <v>0</v>
      </c>
    </row>
    <row r="138" spans="1:33" ht="57.6" x14ac:dyDescent="0.3">
      <c r="A138" s="41" t="s">
        <v>697</v>
      </c>
      <c r="B138" s="41" t="s">
        <v>692</v>
      </c>
      <c r="C138" s="41" t="s">
        <v>664</v>
      </c>
      <c r="D138" s="41" t="s">
        <v>87</v>
      </c>
      <c r="E138" s="41" t="s">
        <v>459</v>
      </c>
      <c r="F138" s="41" t="s">
        <v>709</v>
      </c>
      <c r="G138" s="83">
        <v>35000</v>
      </c>
      <c r="H138" s="41">
        <v>100</v>
      </c>
      <c r="I138" s="41">
        <v>5</v>
      </c>
      <c r="J138" s="83">
        <f t="shared" si="20"/>
        <v>17500000</v>
      </c>
      <c r="K138" s="41">
        <v>100</v>
      </c>
      <c r="L138" s="41">
        <v>5</v>
      </c>
      <c r="M138" s="70">
        <f t="shared" si="21"/>
        <v>19250000</v>
      </c>
      <c r="N138" s="41">
        <v>100</v>
      </c>
      <c r="O138" s="41">
        <v>5</v>
      </c>
      <c r="P138" s="70">
        <f t="shared" si="22"/>
        <v>21175000.000000004</v>
      </c>
      <c r="Q138" s="41">
        <v>100</v>
      </c>
      <c r="R138" s="41">
        <v>5</v>
      </c>
      <c r="S138" s="70">
        <f t="shared" si="23"/>
        <v>23292500.000000007</v>
      </c>
      <c r="T138" s="41">
        <v>100</v>
      </c>
      <c r="U138" s="41">
        <v>5</v>
      </c>
      <c r="V138" s="70">
        <f t="shared" si="24"/>
        <v>25621750.000000007</v>
      </c>
      <c r="W138" s="41">
        <v>100</v>
      </c>
      <c r="X138" s="41">
        <v>5</v>
      </c>
      <c r="Y138" s="70">
        <f t="shared" si="25"/>
        <v>28183925.000000007</v>
      </c>
      <c r="Z138" s="41">
        <v>100</v>
      </c>
      <c r="AA138" s="41">
        <v>5</v>
      </c>
      <c r="AB138" s="70">
        <f t="shared" si="26"/>
        <v>31002317.500000015</v>
      </c>
      <c r="AC138" s="41">
        <v>100</v>
      </c>
      <c r="AD138" s="41">
        <v>5</v>
      </c>
      <c r="AE138" s="70">
        <f t="shared" si="27"/>
        <v>34102549.250000015</v>
      </c>
      <c r="AF138" s="28">
        <f t="shared" si="28"/>
        <v>200128041.75</v>
      </c>
      <c r="AG138" s="28">
        <f t="shared" si="29"/>
        <v>195820.00171232875</v>
      </c>
    </row>
    <row r="139" spans="1:33" ht="57.6" x14ac:dyDescent="0.3">
      <c r="A139" s="41" t="s">
        <v>697</v>
      </c>
      <c r="B139" s="41" t="s">
        <v>692</v>
      </c>
      <c r="C139" s="41" t="s">
        <v>664</v>
      </c>
      <c r="D139" s="41" t="s">
        <v>87</v>
      </c>
      <c r="E139" s="41" t="s">
        <v>459</v>
      </c>
      <c r="F139" s="41" t="s">
        <v>716</v>
      </c>
      <c r="G139" s="83">
        <v>39000</v>
      </c>
      <c r="H139" s="41">
        <v>58</v>
      </c>
      <c r="I139" s="41">
        <v>6</v>
      </c>
      <c r="J139" s="83">
        <f t="shared" si="20"/>
        <v>13572000</v>
      </c>
      <c r="K139" s="41">
        <v>58</v>
      </c>
      <c r="L139" s="41">
        <v>6</v>
      </c>
      <c r="M139" s="70">
        <f t="shared" si="21"/>
        <v>14929200</v>
      </c>
      <c r="N139" s="41">
        <v>58</v>
      </c>
      <c r="O139" s="41">
        <v>6</v>
      </c>
      <c r="P139" s="70">
        <f t="shared" si="22"/>
        <v>16422120.000000004</v>
      </c>
      <c r="Q139" s="41">
        <v>58</v>
      </c>
      <c r="R139" s="41">
        <v>6</v>
      </c>
      <c r="S139" s="70">
        <f t="shared" si="23"/>
        <v>18064332.000000007</v>
      </c>
      <c r="T139" s="41">
        <v>58</v>
      </c>
      <c r="U139" s="41">
        <v>6</v>
      </c>
      <c r="V139" s="70">
        <f t="shared" si="24"/>
        <v>19870765.200000007</v>
      </c>
      <c r="W139" s="41">
        <v>58</v>
      </c>
      <c r="X139" s="41">
        <v>6</v>
      </c>
      <c r="Y139" s="70">
        <f t="shared" si="25"/>
        <v>21857841.720000006</v>
      </c>
      <c r="Z139" s="41">
        <v>58</v>
      </c>
      <c r="AA139" s="41">
        <v>6</v>
      </c>
      <c r="AB139" s="70">
        <f t="shared" si="26"/>
        <v>24043625.892000012</v>
      </c>
      <c r="AC139" s="41">
        <v>58</v>
      </c>
      <c r="AD139" s="41">
        <v>6</v>
      </c>
      <c r="AE139" s="70">
        <f t="shared" si="27"/>
        <v>26447988.481200017</v>
      </c>
      <c r="AF139" s="28">
        <f t="shared" si="28"/>
        <v>155207873.29320005</v>
      </c>
      <c r="AG139" s="28">
        <f t="shared" si="29"/>
        <v>151866.80361369866</v>
      </c>
    </row>
    <row r="140" spans="1:33" ht="57.6" x14ac:dyDescent="0.3">
      <c r="A140" s="41" t="s">
        <v>697</v>
      </c>
      <c r="B140" s="41" t="s">
        <v>692</v>
      </c>
      <c r="C140" s="41" t="s">
        <v>664</v>
      </c>
      <c r="D140" s="41" t="s">
        <v>87</v>
      </c>
      <c r="E140" s="41" t="s">
        <v>162</v>
      </c>
      <c r="F140" s="41" t="s">
        <v>1299</v>
      </c>
      <c r="G140" s="83">
        <f>1999.2/7</f>
        <v>285.60000000000002</v>
      </c>
      <c r="H140" s="41">
        <f>2*135*29</f>
        <v>7830</v>
      </c>
      <c r="I140" s="41">
        <v>1</v>
      </c>
      <c r="J140" s="83">
        <f t="shared" si="20"/>
        <v>2236248</v>
      </c>
      <c r="K140" s="41">
        <f>2*135*29</f>
        <v>7830</v>
      </c>
      <c r="L140" s="41">
        <v>1</v>
      </c>
      <c r="M140" s="70">
        <f t="shared" si="21"/>
        <v>2459872.8000000003</v>
      </c>
      <c r="N140" s="41">
        <f>2*135*29</f>
        <v>7830</v>
      </c>
      <c r="O140" s="41">
        <v>1</v>
      </c>
      <c r="P140" s="70">
        <f t="shared" si="22"/>
        <v>2705860.0800000005</v>
      </c>
      <c r="Q140" s="41">
        <f>2*135*29</f>
        <v>7830</v>
      </c>
      <c r="R140" s="41">
        <v>1</v>
      </c>
      <c r="S140" s="70">
        <f t="shared" si="23"/>
        <v>2976446.0880000014</v>
      </c>
      <c r="T140" s="41">
        <f>2*135*29</f>
        <v>7830</v>
      </c>
      <c r="U140" s="41">
        <v>1</v>
      </c>
      <c r="V140" s="70">
        <f t="shared" si="24"/>
        <v>3274090.696800001</v>
      </c>
      <c r="W140" s="41">
        <f>2*135*29</f>
        <v>7830</v>
      </c>
      <c r="X140" s="41">
        <v>1</v>
      </c>
      <c r="Y140" s="70">
        <f t="shared" si="25"/>
        <v>3601499.7664800012</v>
      </c>
      <c r="Z140" s="41">
        <f>2*135*29</f>
        <v>7830</v>
      </c>
      <c r="AA140" s="41">
        <v>1</v>
      </c>
      <c r="AB140" s="70">
        <f t="shared" si="26"/>
        <v>3961649.7431280022</v>
      </c>
      <c r="AC140" s="41">
        <f>2*135*29</f>
        <v>7830</v>
      </c>
      <c r="AD140" s="41">
        <v>1</v>
      </c>
      <c r="AE140" s="70">
        <f t="shared" si="27"/>
        <v>4357814.7174408035</v>
      </c>
      <c r="AF140" s="28">
        <f t="shared" si="28"/>
        <v>25573481.89184881</v>
      </c>
      <c r="AG140" s="28">
        <f t="shared" si="29"/>
        <v>25022.97641081097</v>
      </c>
    </row>
    <row r="141" spans="1:33" ht="57.6" x14ac:dyDescent="0.3">
      <c r="A141" s="41" t="s">
        <v>697</v>
      </c>
      <c r="B141" s="41" t="s">
        <v>692</v>
      </c>
      <c r="C141" s="41" t="s">
        <v>664</v>
      </c>
      <c r="D141" s="41" t="s">
        <v>87</v>
      </c>
      <c r="E141" s="41" t="s">
        <v>162</v>
      </c>
      <c r="F141" s="41" t="s">
        <v>712</v>
      </c>
      <c r="G141" s="83">
        <f>1999.2/7</f>
        <v>285.60000000000002</v>
      </c>
      <c r="H141" s="41">
        <f>2*25*29</f>
        <v>1450</v>
      </c>
      <c r="I141" s="41">
        <v>5</v>
      </c>
      <c r="J141" s="83">
        <f t="shared" si="20"/>
        <v>2070600.0000000002</v>
      </c>
      <c r="K141" s="41">
        <f>2*25*29</f>
        <v>1450</v>
      </c>
      <c r="L141" s="41">
        <v>5</v>
      </c>
      <c r="M141" s="70">
        <f t="shared" si="21"/>
        <v>2277660.0000000005</v>
      </c>
      <c r="N141" s="41">
        <f>2*25*29</f>
        <v>1450</v>
      </c>
      <c r="O141" s="41">
        <v>5</v>
      </c>
      <c r="P141" s="70">
        <f t="shared" si="22"/>
        <v>2505426.0000000005</v>
      </c>
      <c r="Q141" s="41">
        <f>2*25*29</f>
        <v>1450</v>
      </c>
      <c r="R141" s="41">
        <v>5</v>
      </c>
      <c r="S141" s="70">
        <f t="shared" si="23"/>
        <v>2755968.600000001</v>
      </c>
      <c r="T141" s="41">
        <f>2*25*29</f>
        <v>1450</v>
      </c>
      <c r="U141" s="41">
        <v>5</v>
      </c>
      <c r="V141" s="70">
        <f t="shared" si="24"/>
        <v>3031565.4600000009</v>
      </c>
      <c r="W141" s="41">
        <f>2*25*29</f>
        <v>1450</v>
      </c>
      <c r="X141" s="41">
        <v>5</v>
      </c>
      <c r="Y141" s="70">
        <f t="shared" si="25"/>
        <v>3334722.006000001</v>
      </c>
      <c r="Z141" s="41">
        <f>2*25*29</f>
        <v>1450</v>
      </c>
      <c r="AA141" s="41">
        <v>5</v>
      </c>
      <c r="AB141" s="70">
        <f t="shared" si="26"/>
        <v>3668194.206600002</v>
      </c>
      <c r="AC141" s="41">
        <f>2*25*29</f>
        <v>1450</v>
      </c>
      <c r="AD141" s="41">
        <v>5</v>
      </c>
      <c r="AE141" s="70">
        <f t="shared" si="27"/>
        <v>4035013.6272600032</v>
      </c>
      <c r="AF141" s="28">
        <f t="shared" si="28"/>
        <v>23679149.89986001</v>
      </c>
      <c r="AG141" s="28">
        <f t="shared" si="29"/>
        <v>23169.42260260275</v>
      </c>
    </row>
    <row r="142" spans="1:33" ht="57.6" x14ac:dyDescent="0.3">
      <c r="A142" s="41" t="s">
        <v>697</v>
      </c>
      <c r="B142" s="41" t="s">
        <v>692</v>
      </c>
      <c r="C142" s="41" t="s">
        <v>664</v>
      </c>
      <c r="D142" s="41" t="s">
        <v>87</v>
      </c>
      <c r="E142" s="41" t="s">
        <v>162</v>
      </c>
      <c r="F142" s="41" t="s">
        <v>709</v>
      </c>
      <c r="G142" s="83">
        <v>35000</v>
      </c>
      <c r="H142" s="41">
        <v>25</v>
      </c>
      <c r="I142" s="41">
        <v>5</v>
      </c>
      <c r="J142" s="83">
        <f t="shared" si="20"/>
        <v>4375000</v>
      </c>
      <c r="K142" s="41">
        <v>25</v>
      </c>
      <c r="L142" s="41">
        <v>5</v>
      </c>
      <c r="M142" s="70">
        <f t="shared" si="21"/>
        <v>4812500</v>
      </c>
      <c r="N142" s="41">
        <v>25</v>
      </c>
      <c r="O142" s="41">
        <v>5</v>
      </c>
      <c r="P142" s="70">
        <f t="shared" si="22"/>
        <v>5293750.0000000009</v>
      </c>
      <c r="Q142" s="41">
        <v>25</v>
      </c>
      <c r="R142" s="41">
        <v>5</v>
      </c>
      <c r="S142" s="70">
        <f t="shared" si="23"/>
        <v>5823125.0000000019</v>
      </c>
      <c r="T142" s="41">
        <v>25</v>
      </c>
      <c r="U142" s="41">
        <v>5</v>
      </c>
      <c r="V142" s="70">
        <f t="shared" si="24"/>
        <v>6405437.5000000019</v>
      </c>
      <c r="W142" s="41">
        <v>25</v>
      </c>
      <c r="X142" s="41">
        <v>5</v>
      </c>
      <c r="Y142" s="70">
        <f t="shared" si="25"/>
        <v>7045981.2500000019</v>
      </c>
      <c r="Z142" s="41">
        <v>25</v>
      </c>
      <c r="AA142" s="41">
        <v>5</v>
      </c>
      <c r="AB142" s="70">
        <f t="shared" si="26"/>
        <v>7750579.3750000037</v>
      </c>
      <c r="AC142" s="41">
        <v>25</v>
      </c>
      <c r="AD142" s="41">
        <v>5</v>
      </c>
      <c r="AE142" s="70">
        <f t="shared" si="27"/>
        <v>8525637.3125000037</v>
      </c>
      <c r="AF142" s="28">
        <f t="shared" si="28"/>
        <v>50032010.4375</v>
      </c>
      <c r="AG142" s="28">
        <f t="shared" si="29"/>
        <v>48955.000428082189</v>
      </c>
    </row>
    <row r="143" spans="1:33" ht="57.6" x14ac:dyDescent="0.3">
      <c r="A143" s="41" t="s">
        <v>697</v>
      </c>
      <c r="B143" s="41" t="s">
        <v>692</v>
      </c>
      <c r="C143" s="41" t="s">
        <v>664</v>
      </c>
      <c r="D143" s="41" t="s">
        <v>88</v>
      </c>
      <c r="E143" s="41" t="s">
        <v>782</v>
      </c>
      <c r="F143" s="41" t="s">
        <v>718</v>
      </c>
      <c r="G143" s="83">
        <v>0</v>
      </c>
      <c r="H143" s="41">
        <v>0</v>
      </c>
      <c r="I143" s="41">
        <v>0</v>
      </c>
      <c r="J143" s="83">
        <f t="shared" si="20"/>
        <v>0</v>
      </c>
      <c r="K143" s="41">
        <v>0</v>
      </c>
      <c r="L143" s="41">
        <v>0</v>
      </c>
      <c r="M143" s="70">
        <f t="shared" si="21"/>
        <v>0</v>
      </c>
      <c r="N143" s="41">
        <v>0</v>
      </c>
      <c r="O143" s="41">
        <v>0</v>
      </c>
      <c r="P143" s="70">
        <f t="shared" si="22"/>
        <v>0</v>
      </c>
      <c r="Q143" s="41">
        <v>0</v>
      </c>
      <c r="R143" s="41">
        <v>0</v>
      </c>
      <c r="S143" s="70">
        <f t="shared" si="23"/>
        <v>0</v>
      </c>
      <c r="T143" s="41">
        <v>0</v>
      </c>
      <c r="U143" s="41">
        <v>0</v>
      </c>
      <c r="V143" s="70">
        <f t="shared" si="24"/>
        <v>0</v>
      </c>
      <c r="W143" s="41">
        <v>0</v>
      </c>
      <c r="X143" s="41">
        <v>0</v>
      </c>
      <c r="Y143" s="70">
        <f t="shared" si="25"/>
        <v>0</v>
      </c>
      <c r="Z143" s="41">
        <v>0</v>
      </c>
      <c r="AA143" s="41">
        <v>0</v>
      </c>
      <c r="AB143" s="70">
        <f t="shared" si="26"/>
        <v>0</v>
      </c>
      <c r="AC143" s="41">
        <v>0</v>
      </c>
      <c r="AD143" s="41">
        <v>0</v>
      </c>
      <c r="AE143" s="70">
        <f t="shared" si="27"/>
        <v>0</v>
      </c>
      <c r="AF143" s="28">
        <f t="shared" si="28"/>
        <v>0</v>
      </c>
      <c r="AG143" s="28">
        <f t="shared" si="29"/>
        <v>0</v>
      </c>
    </row>
    <row r="144" spans="1:33" ht="57.6" x14ac:dyDescent="0.3">
      <c r="A144" s="41" t="s">
        <v>697</v>
      </c>
      <c r="B144" s="41" t="s">
        <v>692</v>
      </c>
      <c r="C144" s="41" t="s">
        <v>664</v>
      </c>
      <c r="D144" s="41" t="s">
        <v>88</v>
      </c>
      <c r="E144" s="41" t="s">
        <v>462</v>
      </c>
      <c r="F144" s="41" t="s">
        <v>716</v>
      </c>
      <c r="G144" s="83">
        <v>39000</v>
      </c>
      <c r="H144" s="41">
        <v>58</v>
      </c>
      <c r="I144" s="41">
        <v>6</v>
      </c>
      <c r="J144" s="83">
        <f t="shared" si="20"/>
        <v>13572000</v>
      </c>
      <c r="K144" s="41">
        <v>58</v>
      </c>
      <c r="L144" s="41">
        <v>6</v>
      </c>
      <c r="M144" s="70">
        <f t="shared" si="21"/>
        <v>14929200</v>
      </c>
      <c r="N144" s="41">
        <v>25</v>
      </c>
      <c r="O144" s="41">
        <v>6</v>
      </c>
      <c r="P144" s="70">
        <f t="shared" si="22"/>
        <v>7078500.0000000019</v>
      </c>
      <c r="Q144" s="41">
        <v>25</v>
      </c>
      <c r="R144" s="41">
        <v>6</v>
      </c>
      <c r="S144" s="70">
        <f t="shared" si="23"/>
        <v>7786350.0000000028</v>
      </c>
      <c r="T144" s="41">
        <v>25</v>
      </c>
      <c r="U144" s="41">
        <v>6</v>
      </c>
      <c r="V144" s="70">
        <f t="shared" si="24"/>
        <v>8564985.0000000037</v>
      </c>
      <c r="W144" s="41">
        <v>25</v>
      </c>
      <c r="X144" s="41">
        <v>6</v>
      </c>
      <c r="Y144" s="70">
        <f t="shared" si="25"/>
        <v>9421483.5000000037</v>
      </c>
      <c r="Z144" s="41">
        <v>25</v>
      </c>
      <c r="AA144" s="41">
        <v>6</v>
      </c>
      <c r="AB144" s="70">
        <f t="shared" si="26"/>
        <v>10363631.850000005</v>
      </c>
      <c r="AC144" s="41">
        <v>25</v>
      </c>
      <c r="AD144" s="41">
        <v>6</v>
      </c>
      <c r="AE144" s="70">
        <f t="shared" si="27"/>
        <v>11399995.035000006</v>
      </c>
      <c r="AF144" s="28">
        <f t="shared" si="28"/>
        <v>83116145.38500002</v>
      </c>
      <c r="AG144" s="28">
        <f t="shared" si="29"/>
        <v>81326.95243150687</v>
      </c>
    </row>
    <row r="145" spans="1:36" ht="57.6" x14ac:dyDescent="0.3">
      <c r="A145" s="41" t="s">
        <v>697</v>
      </c>
      <c r="B145" s="41" t="s">
        <v>692</v>
      </c>
      <c r="C145" s="41" t="s">
        <v>664</v>
      </c>
      <c r="D145" s="41" t="s">
        <v>88</v>
      </c>
      <c r="E145" s="41" t="s">
        <v>462</v>
      </c>
      <c r="F145" s="41" t="s">
        <v>712</v>
      </c>
      <c r="G145" s="83">
        <f>1999.2/7</f>
        <v>285.60000000000002</v>
      </c>
      <c r="H145" s="41">
        <f>25*2*29</f>
        <v>1450</v>
      </c>
      <c r="I145" s="41">
        <v>5</v>
      </c>
      <c r="J145" s="83">
        <f t="shared" si="20"/>
        <v>2070600.0000000002</v>
      </c>
      <c r="K145" s="41">
        <f>25*2*9</f>
        <v>450</v>
      </c>
      <c r="L145" s="41">
        <v>5</v>
      </c>
      <c r="M145" s="70">
        <f t="shared" si="21"/>
        <v>706860</v>
      </c>
      <c r="N145" s="41">
        <f>25*2*9</f>
        <v>450</v>
      </c>
      <c r="O145" s="41">
        <v>5</v>
      </c>
      <c r="P145" s="70">
        <f t="shared" si="22"/>
        <v>777546.00000000023</v>
      </c>
      <c r="Q145" s="41">
        <f>25*2*9</f>
        <v>450</v>
      </c>
      <c r="R145" s="41">
        <v>5</v>
      </c>
      <c r="S145" s="70">
        <f t="shared" si="23"/>
        <v>855300.60000000044</v>
      </c>
      <c r="T145" s="41">
        <f>25*2*9</f>
        <v>450</v>
      </c>
      <c r="U145" s="41">
        <v>5</v>
      </c>
      <c r="V145" s="70">
        <f t="shared" si="24"/>
        <v>940830.66000000038</v>
      </c>
      <c r="W145" s="41">
        <f>25*2*9</f>
        <v>450</v>
      </c>
      <c r="X145" s="41">
        <v>5</v>
      </c>
      <c r="Y145" s="70">
        <f t="shared" si="25"/>
        <v>1034913.7260000005</v>
      </c>
      <c r="Z145" s="41">
        <f>25*2*9</f>
        <v>450</v>
      </c>
      <c r="AA145" s="41">
        <v>5</v>
      </c>
      <c r="AB145" s="70">
        <f t="shared" si="26"/>
        <v>1138405.0986000006</v>
      </c>
      <c r="AC145" s="41">
        <f>25*2*9</f>
        <v>450</v>
      </c>
      <c r="AD145" s="41">
        <v>5</v>
      </c>
      <c r="AE145" s="70">
        <f t="shared" si="27"/>
        <v>1252245.6084600009</v>
      </c>
      <c r="AF145" s="28">
        <f t="shared" si="28"/>
        <v>8776701.6930600032</v>
      </c>
      <c r="AG145" s="28">
        <f t="shared" si="29"/>
        <v>8587.7707368493175</v>
      </c>
    </row>
    <row r="146" spans="1:36" ht="57.6" x14ac:dyDescent="0.3">
      <c r="A146" s="41" t="s">
        <v>697</v>
      </c>
      <c r="B146" s="41" t="s">
        <v>692</v>
      </c>
      <c r="C146" s="41" t="s">
        <v>664</v>
      </c>
      <c r="D146" s="41" t="s">
        <v>88</v>
      </c>
      <c r="E146" s="41" t="s">
        <v>462</v>
      </c>
      <c r="F146" s="41" t="s">
        <v>709</v>
      </c>
      <c r="G146" s="83">
        <v>35000</v>
      </c>
      <c r="H146" s="41">
        <v>100</v>
      </c>
      <c r="I146" s="41">
        <v>5</v>
      </c>
      <c r="J146" s="83">
        <f t="shared" si="20"/>
        <v>17500000</v>
      </c>
      <c r="K146" s="41">
        <v>100</v>
      </c>
      <c r="L146" s="41">
        <v>5</v>
      </c>
      <c r="M146" s="70">
        <f t="shared" si="21"/>
        <v>19250000</v>
      </c>
      <c r="N146" s="41">
        <v>25</v>
      </c>
      <c r="O146" s="41">
        <v>5</v>
      </c>
      <c r="P146" s="70">
        <f t="shared" si="22"/>
        <v>5293750.0000000009</v>
      </c>
      <c r="Q146" s="41">
        <v>25</v>
      </c>
      <c r="R146" s="41">
        <v>5</v>
      </c>
      <c r="S146" s="70">
        <f t="shared" si="23"/>
        <v>5823125.0000000019</v>
      </c>
      <c r="T146" s="41">
        <v>25</v>
      </c>
      <c r="U146" s="41">
        <v>5</v>
      </c>
      <c r="V146" s="70">
        <f t="shared" si="24"/>
        <v>6405437.5000000019</v>
      </c>
      <c r="W146" s="41">
        <v>25</v>
      </c>
      <c r="X146" s="41">
        <v>5</v>
      </c>
      <c r="Y146" s="70">
        <f t="shared" si="25"/>
        <v>7045981.2500000019</v>
      </c>
      <c r="Z146" s="41">
        <v>25</v>
      </c>
      <c r="AA146" s="41">
        <v>5</v>
      </c>
      <c r="AB146" s="70">
        <f t="shared" si="26"/>
        <v>7750579.3750000037</v>
      </c>
      <c r="AC146" s="41">
        <v>25</v>
      </c>
      <c r="AD146" s="41">
        <v>5</v>
      </c>
      <c r="AE146" s="70">
        <f t="shared" si="27"/>
        <v>8525637.3125000037</v>
      </c>
      <c r="AF146" s="28">
        <f t="shared" si="28"/>
        <v>77594510.4375</v>
      </c>
      <c r="AG146" s="28">
        <f t="shared" si="29"/>
        <v>75924.178510273967</v>
      </c>
    </row>
    <row r="147" spans="1:36" ht="57.6" x14ac:dyDescent="0.3">
      <c r="A147" s="41" t="s">
        <v>697</v>
      </c>
      <c r="B147" s="41" t="s">
        <v>692</v>
      </c>
      <c r="C147" s="41" t="s">
        <v>664</v>
      </c>
      <c r="D147" s="41" t="s">
        <v>88</v>
      </c>
      <c r="E147" s="41" t="s">
        <v>462</v>
      </c>
      <c r="F147" s="41" t="s">
        <v>1299</v>
      </c>
      <c r="G147" s="83">
        <f>1999.2/7</f>
        <v>285.60000000000002</v>
      </c>
      <c r="H147" s="41">
        <f>2*135*29</f>
        <v>7830</v>
      </c>
      <c r="I147" s="41">
        <v>5</v>
      </c>
      <c r="J147" s="83">
        <f t="shared" si="20"/>
        <v>11181240</v>
      </c>
      <c r="K147" s="41">
        <f>2*135*9</f>
        <v>2430</v>
      </c>
      <c r="L147" s="41">
        <v>5</v>
      </c>
      <c r="M147" s="70">
        <f t="shared" si="21"/>
        <v>3817044</v>
      </c>
      <c r="N147" s="41">
        <f>2*135*9</f>
        <v>2430</v>
      </c>
      <c r="O147" s="41">
        <v>5</v>
      </c>
      <c r="P147" s="70">
        <f t="shared" si="22"/>
        <v>4198748.4000000004</v>
      </c>
      <c r="Q147" s="41">
        <f>2*135*9</f>
        <v>2430</v>
      </c>
      <c r="R147" s="41">
        <v>5</v>
      </c>
      <c r="S147" s="70">
        <f t="shared" si="23"/>
        <v>4618623.2400000021</v>
      </c>
      <c r="T147" s="41">
        <f>2*135*9</f>
        <v>2430</v>
      </c>
      <c r="U147" s="41">
        <v>5</v>
      </c>
      <c r="V147" s="70">
        <f t="shared" si="24"/>
        <v>5080485.5640000021</v>
      </c>
      <c r="W147" s="41">
        <f>2*135*9</f>
        <v>2430</v>
      </c>
      <c r="X147" s="41">
        <v>5</v>
      </c>
      <c r="Y147" s="70">
        <f t="shared" si="25"/>
        <v>5588534.1204000022</v>
      </c>
      <c r="Z147" s="41">
        <f>2*135*9</f>
        <v>2430</v>
      </c>
      <c r="AA147" s="41">
        <v>5</v>
      </c>
      <c r="AB147" s="70">
        <f t="shared" si="26"/>
        <v>6147387.5324400039</v>
      </c>
      <c r="AC147" s="41">
        <f>2*135*9</f>
        <v>2430</v>
      </c>
      <c r="AD147" s="41">
        <v>5</v>
      </c>
      <c r="AE147" s="70">
        <f t="shared" si="27"/>
        <v>6762126.2856840054</v>
      </c>
      <c r="AF147" s="28">
        <f t="shared" si="28"/>
        <v>47394189.142524019</v>
      </c>
      <c r="AG147" s="28">
        <f t="shared" si="29"/>
        <v>46373.961978986321</v>
      </c>
    </row>
    <row r="148" spans="1:36" ht="57.6" x14ac:dyDescent="0.3">
      <c r="A148" s="41" t="s">
        <v>697</v>
      </c>
      <c r="B148" s="41" t="s">
        <v>692</v>
      </c>
      <c r="C148" s="41" t="s">
        <v>664</v>
      </c>
      <c r="D148" s="41" t="s">
        <v>88</v>
      </c>
      <c r="E148" s="41" t="s">
        <v>462</v>
      </c>
      <c r="F148" s="41" t="s">
        <v>717</v>
      </c>
      <c r="G148" s="83">
        <v>104850</v>
      </c>
      <c r="H148" s="41">
        <v>1</v>
      </c>
      <c r="I148" s="41">
        <v>1</v>
      </c>
      <c r="J148" s="83">
        <f t="shared" si="20"/>
        <v>104850</v>
      </c>
      <c r="K148" s="41">
        <v>1</v>
      </c>
      <c r="L148" s="41">
        <v>1</v>
      </c>
      <c r="M148" s="70">
        <f t="shared" si="21"/>
        <v>115335.00000000001</v>
      </c>
      <c r="N148" s="41">
        <v>1</v>
      </c>
      <c r="O148" s="41">
        <v>1</v>
      </c>
      <c r="P148" s="70">
        <f t="shared" si="22"/>
        <v>126868.50000000001</v>
      </c>
      <c r="Q148" s="41">
        <v>1</v>
      </c>
      <c r="R148" s="41">
        <v>1</v>
      </c>
      <c r="S148" s="70">
        <f t="shared" si="23"/>
        <v>139555.35000000003</v>
      </c>
      <c r="T148" s="41">
        <v>1</v>
      </c>
      <c r="U148" s="41">
        <v>1</v>
      </c>
      <c r="V148" s="70">
        <f t="shared" si="24"/>
        <v>153510.88500000004</v>
      </c>
      <c r="W148" s="41">
        <v>1</v>
      </c>
      <c r="X148" s="41">
        <v>1</v>
      </c>
      <c r="Y148" s="70">
        <f t="shared" si="25"/>
        <v>168861.97350000005</v>
      </c>
      <c r="Z148" s="41">
        <v>1</v>
      </c>
      <c r="AA148" s="41">
        <v>1</v>
      </c>
      <c r="AB148" s="70">
        <f t="shared" si="26"/>
        <v>185748.17085000008</v>
      </c>
      <c r="AC148" s="41">
        <v>1</v>
      </c>
      <c r="AD148" s="41">
        <v>1</v>
      </c>
      <c r="AE148" s="70">
        <f t="shared" si="27"/>
        <v>204322.98793500013</v>
      </c>
      <c r="AF148" s="28">
        <f t="shared" si="28"/>
        <v>1199052.8672850004</v>
      </c>
      <c r="AG148" s="28">
        <f t="shared" si="29"/>
        <v>1173.2415531164388</v>
      </c>
    </row>
    <row r="149" spans="1:36" ht="57.6" x14ac:dyDescent="0.3">
      <c r="A149" s="41" t="s">
        <v>697</v>
      </c>
      <c r="B149" s="41" t="s">
        <v>692</v>
      </c>
      <c r="C149" s="41" t="s">
        <v>664</v>
      </c>
      <c r="D149" s="41" t="s">
        <v>88</v>
      </c>
      <c r="E149" s="41" t="s">
        <v>462</v>
      </c>
      <c r="F149" s="41" t="s">
        <v>1297</v>
      </c>
      <c r="G149" s="83">
        <v>8000</v>
      </c>
      <c r="H149" s="41">
        <v>5</v>
      </c>
      <c r="I149" s="41">
        <v>1</v>
      </c>
      <c r="J149" s="83">
        <f t="shared" si="20"/>
        <v>40000</v>
      </c>
      <c r="K149" s="41">
        <v>5</v>
      </c>
      <c r="L149" s="41">
        <v>1</v>
      </c>
      <c r="M149" s="70">
        <f t="shared" si="21"/>
        <v>44000</v>
      </c>
      <c r="N149" s="41">
        <v>5</v>
      </c>
      <c r="O149" s="41">
        <v>1</v>
      </c>
      <c r="P149" s="70">
        <f t="shared" si="22"/>
        <v>48400.000000000007</v>
      </c>
      <c r="Q149" s="41">
        <v>5</v>
      </c>
      <c r="R149" s="41">
        <v>1</v>
      </c>
      <c r="S149" s="70">
        <f t="shared" si="23"/>
        <v>53240.000000000015</v>
      </c>
      <c r="T149" s="41">
        <v>5</v>
      </c>
      <c r="U149" s="41">
        <v>1</v>
      </c>
      <c r="V149" s="70">
        <f t="shared" si="24"/>
        <v>58564.000000000015</v>
      </c>
      <c r="W149" s="41">
        <v>5</v>
      </c>
      <c r="X149" s="41">
        <v>1</v>
      </c>
      <c r="Y149" s="70">
        <f t="shared" si="25"/>
        <v>64420.400000000016</v>
      </c>
      <c r="Z149" s="41">
        <v>5</v>
      </c>
      <c r="AA149" s="41">
        <v>1</v>
      </c>
      <c r="AB149" s="70">
        <f t="shared" si="26"/>
        <v>70862.440000000031</v>
      </c>
      <c r="AC149" s="41">
        <v>5</v>
      </c>
      <c r="AD149" s="41">
        <v>1</v>
      </c>
      <c r="AE149" s="70">
        <f t="shared" si="27"/>
        <v>77948.684000000052</v>
      </c>
      <c r="AF149" s="28">
        <f t="shared" si="28"/>
        <v>457435.52400000015</v>
      </c>
      <c r="AG149" s="28">
        <f t="shared" si="29"/>
        <v>447.5885753424659</v>
      </c>
    </row>
    <row r="150" spans="1:36" ht="57.6" x14ac:dyDescent="0.3">
      <c r="A150" s="41" t="s">
        <v>697</v>
      </c>
      <c r="B150" s="41" t="s">
        <v>692</v>
      </c>
      <c r="C150" s="41" t="s">
        <v>664</v>
      </c>
      <c r="D150" s="41" t="s">
        <v>88</v>
      </c>
      <c r="E150" s="41" t="s">
        <v>783</v>
      </c>
      <c r="F150" s="41" t="s">
        <v>778</v>
      </c>
      <c r="G150" s="83">
        <f>10000*1022</f>
        <v>10220000</v>
      </c>
      <c r="H150" s="41">
        <v>30</v>
      </c>
      <c r="I150" s="41">
        <v>1</v>
      </c>
      <c r="J150" s="83">
        <f t="shared" si="20"/>
        <v>306600000</v>
      </c>
      <c r="K150" s="41">
        <v>30</v>
      </c>
      <c r="L150" s="41">
        <v>1</v>
      </c>
      <c r="M150" s="70">
        <f t="shared" si="21"/>
        <v>337260000</v>
      </c>
      <c r="N150" s="41">
        <v>30</v>
      </c>
      <c r="O150" s="41">
        <v>1</v>
      </c>
      <c r="P150" s="70">
        <f t="shared" si="22"/>
        <v>370986000.00000006</v>
      </c>
      <c r="Q150" s="41">
        <v>30</v>
      </c>
      <c r="R150" s="41">
        <v>1</v>
      </c>
      <c r="S150" s="70">
        <f t="shared" si="23"/>
        <v>408084600.00000012</v>
      </c>
      <c r="T150" s="41">
        <v>30</v>
      </c>
      <c r="U150" s="41">
        <v>1</v>
      </c>
      <c r="V150" s="70">
        <f t="shared" si="24"/>
        <v>448893060.00000012</v>
      </c>
      <c r="W150" s="41">
        <v>30</v>
      </c>
      <c r="X150" s="41">
        <v>1</v>
      </c>
      <c r="Y150" s="70">
        <f t="shared" si="25"/>
        <v>493782366.00000012</v>
      </c>
      <c r="Z150" s="41">
        <v>30</v>
      </c>
      <c r="AA150" s="41">
        <v>1</v>
      </c>
      <c r="AB150" s="70">
        <f t="shared" si="26"/>
        <v>543160602.60000026</v>
      </c>
      <c r="AC150" s="41">
        <v>30</v>
      </c>
      <c r="AD150" s="41">
        <v>1</v>
      </c>
      <c r="AE150" s="70">
        <f t="shared" si="27"/>
        <v>597476662.86000037</v>
      </c>
      <c r="AF150" s="28">
        <f t="shared" si="28"/>
        <v>3506243291.460001</v>
      </c>
      <c r="AG150" s="28">
        <f t="shared" si="29"/>
        <v>3430766.4300000011</v>
      </c>
    </row>
    <row r="151" spans="1:36" x14ac:dyDescent="0.3">
      <c r="A151" s="91" t="s">
        <v>1302</v>
      </c>
      <c r="B151" s="91"/>
      <c r="C151" s="91"/>
      <c r="D151" s="91"/>
      <c r="E151" s="91"/>
      <c r="F151" s="91"/>
      <c r="G151" s="92"/>
      <c r="H151" s="91"/>
      <c r="I151" s="91"/>
      <c r="J151" s="92">
        <f>SUM(J109:J150)</f>
        <v>419220188</v>
      </c>
      <c r="K151" s="91"/>
      <c r="L151" s="91"/>
      <c r="M151" s="92">
        <f>SUM(M109:M150)</f>
        <v>532129237.20000005</v>
      </c>
      <c r="N151" s="91"/>
      <c r="O151" s="91"/>
      <c r="P151" s="92">
        <f>SUM(P109:P150)</f>
        <v>659539162.48000002</v>
      </c>
      <c r="Q151" s="91"/>
      <c r="R151" s="91"/>
      <c r="S151" s="92">
        <f>SUM(S109:S150)</f>
        <v>730504027.52800035</v>
      </c>
      <c r="T151" s="91"/>
      <c r="U151" s="91"/>
      <c r="V151" s="92">
        <f>SUM(V109:V150)</f>
        <v>872857896.60080016</v>
      </c>
      <c r="W151" s="91"/>
      <c r="X151" s="91"/>
      <c r="Y151" s="92">
        <f>SUM(Y109:Y150)</f>
        <v>880164883.54344034</v>
      </c>
      <c r="Z151" s="91"/>
      <c r="AA151" s="91"/>
      <c r="AB151" s="92">
        <f>SUM(AB109:AB150)</f>
        <v>963151102.38696849</v>
      </c>
      <c r="AC151" s="91"/>
      <c r="AD151" s="91"/>
      <c r="AE151" s="92">
        <f>SUM(AE109:AE150)</f>
        <v>1066802742.7637455</v>
      </c>
      <c r="AF151" s="95">
        <f t="shared" si="28"/>
        <v>6124369240.5029545</v>
      </c>
      <c r="AG151" s="95">
        <f t="shared" si="29"/>
        <v>5992533.5034275483</v>
      </c>
      <c r="AH151" s="94"/>
      <c r="AI151" s="94"/>
      <c r="AJ151" s="94"/>
    </row>
    <row r="152" spans="1:36" x14ac:dyDescent="0.3">
      <c r="A152" s="115" t="s">
        <v>1431</v>
      </c>
      <c r="B152" s="115"/>
      <c r="C152" s="115"/>
      <c r="D152" s="115"/>
      <c r="E152" s="115"/>
      <c r="F152" s="115"/>
      <c r="G152" s="120"/>
      <c r="H152" s="115"/>
      <c r="I152" s="115"/>
      <c r="J152" s="120">
        <f>J151/$AL$2</f>
        <v>410195.8786692759</v>
      </c>
      <c r="K152" s="115"/>
      <c r="L152" s="115"/>
      <c r="M152" s="120">
        <f>M151/$AL$2</f>
        <v>520674.4003913895</v>
      </c>
      <c r="N152" s="115"/>
      <c r="O152" s="115"/>
      <c r="P152" s="120">
        <f>P151/$AL$2</f>
        <v>645341.64626223093</v>
      </c>
      <c r="Q152" s="115"/>
      <c r="R152" s="115"/>
      <c r="S152" s="120">
        <f>S151/$AL$2</f>
        <v>714778.89190606691</v>
      </c>
      <c r="T152" s="115"/>
      <c r="U152" s="115"/>
      <c r="V152" s="120">
        <f>V151/$AL$2</f>
        <v>854068.39197729959</v>
      </c>
      <c r="W152" s="115"/>
      <c r="X152" s="115"/>
      <c r="Y152" s="120">
        <f>Y151/$AL$2</f>
        <v>861218.08565894363</v>
      </c>
      <c r="Z152" s="115"/>
      <c r="AA152" s="115"/>
      <c r="AB152" s="120">
        <f>AB151/$AL$2</f>
        <v>942417.90840212186</v>
      </c>
      <c r="AC152" s="115"/>
      <c r="AD152" s="115"/>
      <c r="AE152" s="120">
        <f>AE151/$AL$2</f>
        <v>1043838.3001602207</v>
      </c>
      <c r="AF152" s="121">
        <f t="shared" si="28"/>
        <v>5992533.5034275493</v>
      </c>
      <c r="AG152" s="121">
        <f t="shared" si="29"/>
        <v>5863.5357176394809</v>
      </c>
      <c r="AH152" s="116"/>
      <c r="AI152" s="116"/>
    </row>
    <row r="153" spans="1:36" ht="72" x14ac:dyDescent="0.3">
      <c r="A153" s="41" t="s">
        <v>697</v>
      </c>
      <c r="B153" s="41" t="s">
        <v>692</v>
      </c>
      <c r="C153" s="41" t="s">
        <v>665</v>
      </c>
      <c r="D153" s="41" t="s">
        <v>89</v>
      </c>
      <c r="E153" s="41" t="s">
        <v>464</v>
      </c>
      <c r="F153" s="41" t="s">
        <v>718</v>
      </c>
      <c r="G153" s="83">
        <v>0</v>
      </c>
      <c r="H153" s="41">
        <v>0</v>
      </c>
      <c r="I153" s="41">
        <v>0</v>
      </c>
      <c r="J153" s="83">
        <f t="shared" si="20"/>
        <v>0</v>
      </c>
      <c r="K153" s="41">
        <v>0</v>
      </c>
      <c r="L153" s="41">
        <v>0</v>
      </c>
      <c r="M153" s="70">
        <f t="shared" si="21"/>
        <v>0</v>
      </c>
      <c r="N153" s="41">
        <v>0</v>
      </c>
      <c r="O153" s="41">
        <v>0</v>
      </c>
      <c r="P153" s="70">
        <f t="shared" si="22"/>
        <v>0</v>
      </c>
      <c r="Q153" s="41">
        <v>0</v>
      </c>
      <c r="R153" s="41">
        <v>0</v>
      </c>
      <c r="S153" s="70">
        <f t="shared" si="23"/>
        <v>0</v>
      </c>
      <c r="T153" s="41">
        <v>0</v>
      </c>
      <c r="U153" s="41">
        <v>0</v>
      </c>
      <c r="V153" s="70">
        <f t="shared" si="24"/>
        <v>0</v>
      </c>
      <c r="W153" s="41">
        <v>0</v>
      </c>
      <c r="X153" s="41">
        <v>0</v>
      </c>
      <c r="Y153" s="70">
        <f t="shared" si="25"/>
        <v>0</v>
      </c>
      <c r="Z153" s="41">
        <v>0</v>
      </c>
      <c r="AA153" s="41">
        <v>0</v>
      </c>
      <c r="AB153" s="70">
        <f t="shared" si="26"/>
        <v>0</v>
      </c>
      <c r="AC153" s="41">
        <v>0</v>
      </c>
      <c r="AD153" s="41">
        <v>0</v>
      </c>
      <c r="AE153" s="70">
        <f t="shared" si="27"/>
        <v>0</v>
      </c>
      <c r="AF153" s="28">
        <f t="shared" si="28"/>
        <v>0</v>
      </c>
      <c r="AG153" s="28">
        <f t="shared" si="29"/>
        <v>0</v>
      </c>
    </row>
    <row r="154" spans="1:36" ht="72" x14ac:dyDescent="0.3">
      <c r="A154" s="41" t="s">
        <v>697</v>
      </c>
      <c r="B154" s="41" t="s">
        <v>692</v>
      </c>
      <c r="C154" s="41" t="s">
        <v>665</v>
      </c>
      <c r="D154" s="41" t="s">
        <v>89</v>
      </c>
      <c r="E154" s="41" t="s">
        <v>465</v>
      </c>
      <c r="F154" s="41" t="s">
        <v>718</v>
      </c>
      <c r="G154" s="83">
        <v>0</v>
      </c>
      <c r="H154" s="41">
        <v>0</v>
      </c>
      <c r="I154" s="41">
        <v>0</v>
      </c>
      <c r="J154" s="83">
        <f t="shared" si="20"/>
        <v>0</v>
      </c>
      <c r="K154" s="41">
        <v>0</v>
      </c>
      <c r="L154" s="41">
        <v>0</v>
      </c>
      <c r="M154" s="70">
        <f t="shared" si="21"/>
        <v>0</v>
      </c>
      <c r="N154" s="41">
        <v>0</v>
      </c>
      <c r="O154" s="41">
        <v>0</v>
      </c>
      <c r="P154" s="70">
        <f t="shared" si="22"/>
        <v>0</v>
      </c>
      <c r="Q154" s="41">
        <v>0</v>
      </c>
      <c r="R154" s="41">
        <v>0</v>
      </c>
      <c r="S154" s="70">
        <f t="shared" si="23"/>
        <v>0</v>
      </c>
      <c r="T154" s="41">
        <v>0</v>
      </c>
      <c r="U154" s="41">
        <v>0</v>
      </c>
      <c r="V154" s="70">
        <f t="shared" si="24"/>
        <v>0</v>
      </c>
      <c r="W154" s="41">
        <v>0</v>
      </c>
      <c r="X154" s="41">
        <v>0</v>
      </c>
      <c r="Y154" s="70">
        <f t="shared" si="25"/>
        <v>0</v>
      </c>
      <c r="Z154" s="41">
        <v>0</v>
      </c>
      <c r="AA154" s="41">
        <v>0</v>
      </c>
      <c r="AB154" s="70">
        <f t="shared" si="26"/>
        <v>0</v>
      </c>
      <c r="AC154" s="41">
        <v>0</v>
      </c>
      <c r="AD154" s="41">
        <v>0</v>
      </c>
      <c r="AE154" s="70">
        <f t="shared" si="27"/>
        <v>0</v>
      </c>
      <c r="AF154" s="28">
        <f t="shared" si="28"/>
        <v>0</v>
      </c>
      <c r="AG154" s="28">
        <f t="shared" si="29"/>
        <v>0</v>
      </c>
    </row>
    <row r="155" spans="1:36" ht="72" x14ac:dyDescent="0.3">
      <c r="A155" s="41" t="s">
        <v>697</v>
      </c>
      <c r="B155" s="41" t="s">
        <v>692</v>
      </c>
      <c r="C155" s="41" t="s">
        <v>665</v>
      </c>
      <c r="D155" s="41" t="s">
        <v>89</v>
      </c>
      <c r="E155" s="41" t="s">
        <v>466</v>
      </c>
      <c r="F155" s="41" t="s">
        <v>718</v>
      </c>
      <c r="G155" s="83">
        <v>0</v>
      </c>
      <c r="H155" s="41">
        <v>0</v>
      </c>
      <c r="I155" s="41">
        <v>0</v>
      </c>
      <c r="J155" s="83">
        <f t="shared" si="20"/>
        <v>0</v>
      </c>
      <c r="K155" s="41">
        <v>0</v>
      </c>
      <c r="L155" s="41">
        <v>0</v>
      </c>
      <c r="M155" s="70">
        <f t="shared" si="21"/>
        <v>0</v>
      </c>
      <c r="N155" s="41">
        <v>0</v>
      </c>
      <c r="O155" s="41">
        <v>0</v>
      </c>
      <c r="P155" s="70">
        <f t="shared" si="22"/>
        <v>0</v>
      </c>
      <c r="Q155" s="41">
        <v>0</v>
      </c>
      <c r="R155" s="41">
        <v>0</v>
      </c>
      <c r="S155" s="70">
        <f t="shared" si="23"/>
        <v>0</v>
      </c>
      <c r="T155" s="41">
        <v>0</v>
      </c>
      <c r="U155" s="41">
        <v>0</v>
      </c>
      <c r="V155" s="70">
        <f t="shared" si="24"/>
        <v>0</v>
      </c>
      <c r="W155" s="41">
        <v>0</v>
      </c>
      <c r="X155" s="41">
        <v>0</v>
      </c>
      <c r="Y155" s="70">
        <f t="shared" si="25"/>
        <v>0</v>
      </c>
      <c r="Z155" s="41">
        <v>0</v>
      </c>
      <c r="AA155" s="41">
        <v>0</v>
      </c>
      <c r="AB155" s="70">
        <f t="shared" si="26"/>
        <v>0</v>
      </c>
      <c r="AC155" s="41">
        <v>0</v>
      </c>
      <c r="AD155" s="41">
        <v>0</v>
      </c>
      <c r="AE155" s="70">
        <f t="shared" si="27"/>
        <v>0</v>
      </c>
      <c r="AF155" s="28">
        <f t="shared" si="28"/>
        <v>0</v>
      </c>
      <c r="AG155" s="28">
        <f t="shared" si="29"/>
        <v>0</v>
      </c>
    </row>
    <row r="156" spans="1:36" ht="72" x14ac:dyDescent="0.3">
      <c r="A156" s="41" t="s">
        <v>697</v>
      </c>
      <c r="B156" s="41" t="s">
        <v>692</v>
      </c>
      <c r="C156" s="41" t="s">
        <v>665</v>
      </c>
      <c r="D156" s="41" t="s">
        <v>89</v>
      </c>
      <c r="E156" s="41" t="s">
        <v>467</v>
      </c>
      <c r="F156" s="41" t="s">
        <v>718</v>
      </c>
      <c r="G156" s="83">
        <v>0</v>
      </c>
      <c r="H156" s="41">
        <v>0</v>
      </c>
      <c r="I156" s="41">
        <v>0</v>
      </c>
      <c r="J156" s="83">
        <f t="shared" si="20"/>
        <v>0</v>
      </c>
      <c r="K156" s="41">
        <v>0</v>
      </c>
      <c r="L156" s="41">
        <v>0</v>
      </c>
      <c r="M156" s="70">
        <f t="shared" si="21"/>
        <v>0</v>
      </c>
      <c r="N156" s="41">
        <v>0</v>
      </c>
      <c r="O156" s="41">
        <v>0</v>
      </c>
      <c r="P156" s="70">
        <f t="shared" si="22"/>
        <v>0</v>
      </c>
      <c r="Q156" s="41">
        <v>0</v>
      </c>
      <c r="R156" s="41">
        <v>0</v>
      </c>
      <c r="S156" s="70">
        <f t="shared" si="23"/>
        <v>0</v>
      </c>
      <c r="T156" s="41">
        <v>0</v>
      </c>
      <c r="U156" s="41">
        <v>0</v>
      </c>
      <c r="V156" s="70">
        <f t="shared" si="24"/>
        <v>0</v>
      </c>
      <c r="W156" s="41">
        <v>0</v>
      </c>
      <c r="X156" s="41">
        <v>0</v>
      </c>
      <c r="Y156" s="70">
        <f t="shared" si="25"/>
        <v>0</v>
      </c>
      <c r="Z156" s="41">
        <v>0</v>
      </c>
      <c r="AA156" s="41">
        <v>0</v>
      </c>
      <c r="AB156" s="70">
        <f t="shared" si="26"/>
        <v>0</v>
      </c>
      <c r="AC156" s="41">
        <v>0</v>
      </c>
      <c r="AD156" s="41">
        <v>0</v>
      </c>
      <c r="AE156" s="70">
        <f t="shared" si="27"/>
        <v>0</v>
      </c>
      <c r="AF156" s="28">
        <f t="shared" si="28"/>
        <v>0</v>
      </c>
      <c r="AG156" s="28">
        <f t="shared" si="29"/>
        <v>0</v>
      </c>
    </row>
    <row r="157" spans="1:36" ht="72" x14ac:dyDescent="0.3">
      <c r="A157" s="41" t="s">
        <v>697</v>
      </c>
      <c r="B157" s="41" t="s">
        <v>692</v>
      </c>
      <c r="C157" s="41" t="s">
        <v>665</v>
      </c>
      <c r="D157" s="41" t="s">
        <v>89</v>
      </c>
      <c r="E157" s="41" t="s">
        <v>468</v>
      </c>
      <c r="F157" s="41" t="s">
        <v>718</v>
      </c>
      <c r="G157" s="83">
        <v>0</v>
      </c>
      <c r="H157" s="41">
        <v>0</v>
      </c>
      <c r="I157" s="41">
        <v>0</v>
      </c>
      <c r="J157" s="83">
        <f t="shared" si="20"/>
        <v>0</v>
      </c>
      <c r="K157" s="41">
        <v>0</v>
      </c>
      <c r="L157" s="41">
        <v>0</v>
      </c>
      <c r="M157" s="70">
        <f t="shared" si="21"/>
        <v>0</v>
      </c>
      <c r="N157" s="41">
        <v>0</v>
      </c>
      <c r="O157" s="41">
        <v>0</v>
      </c>
      <c r="P157" s="70">
        <f t="shared" si="22"/>
        <v>0</v>
      </c>
      <c r="Q157" s="41">
        <v>0</v>
      </c>
      <c r="R157" s="41">
        <v>0</v>
      </c>
      <c r="S157" s="70">
        <f t="shared" si="23"/>
        <v>0</v>
      </c>
      <c r="T157" s="41">
        <v>0</v>
      </c>
      <c r="U157" s="41">
        <v>0</v>
      </c>
      <c r="V157" s="70">
        <f t="shared" si="24"/>
        <v>0</v>
      </c>
      <c r="W157" s="41">
        <v>0</v>
      </c>
      <c r="X157" s="41">
        <v>0</v>
      </c>
      <c r="Y157" s="70">
        <f t="shared" si="25"/>
        <v>0</v>
      </c>
      <c r="Z157" s="41">
        <v>0</v>
      </c>
      <c r="AA157" s="41">
        <v>0</v>
      </c>
      <c r="AB157" s="70">
        <f t="shared" si="26"/>
        <v>0</v>
      </c>
      <c r="AC157" s="41">
        <v>0</v>
      </c>
      <c r="AD157" s="41">
        <v>0</v>
      </c>
      <c r="AE157" s="70">
        <f t="shared" si="27"/>
        <v>0</v>
      </c>
      <c r="AF157" s="28">
        <f t="shared" si="28"/>
        <v>0</v>
      </c>
      <c r="AG157" s="28">
        <f t="shared" si="29"/>
        <v>0</v>
      </c>
    </row>
    <row r="158" spans="1:36" ht="72" x14ac:dyDescent="0.3">
      <c r="A158" s="41" t="s">
        <v>697</v>
      </c>
      <c r="B158" s="41" t="s">
        <v>692</v>
      </c>
      <c r="C158" s="41" t="s">
        <v>665</v>
      </c>
      <c r="D158" s="41" t="s">
        <v>89</v>
      </c>
      <c r="E158" s="41" t="s">
        <v>469</v>
      </c>
      <c r="F158" s="41" t="s">
        <v>718</v>
      </c>
      <c r="G158" s="83">
        <v>0</v>
      </c>
      <c r="H158" s="41">
        <v>0</v>
      </c>
      <c r="I158" s="41">
        <v>0</v>
      </c>
      <c r="J158" s="83">
        <f t="shared" si="20"/>
        <v>0</v>
      </c>
      <c r="K158" s="41">
        <v>0</v>
      </c>
      <c r="L158" s="41">
        <v>0</v>
      </c>
      <c r="M158" s="70">
        <f t="shared" si="21"/>
        <v>0</v>
      </c>
      <c r="N158" s="41">
        <v>0</v>
      </c>
      <c r="O158" s="41">
        <v>0</v>
      </c>
      <c r="P158" s="70">
        <f t="shared" si="22"/>
        <v>0</v>
      </c>
      <c r="Q158" s="41">
        <v>0</v>
      </c>
      <c r="R158" s="41">
        <v>0</v>
      </c>
      <c r="S158" s="70">
        <f t="shared" si="23"/>
        <v>0</v>
      </c>
      <c r="T158" s="41">
        <v>0</v>
      </c>
      <c r="U158" s="41">
        <v>0</v>
      </c>
      <c r="V158" s="70">
        <f t="shared" si="24"/>
        <v>0</v>
      </c>
      <c r="W158" s="41">
        <v>0</v>
      </c>
      <c r="X158" s="41">
        <v>0</v>
      </c>
      <c r="Y158" s="70">
        <f t="shared" si="25"/>
        <v>0</v>
      </c>
      <c r="Z158" s="41">
        <v>0</v>
      </c>
      <c r="AA158" s="41">
        <v>0</v>
      </c>
      <c r="AB158" s="70">
        <f t="shared" si="26"/>
        <v>0</v>
      </c>
      <c r="AC158" s="41">
        <v>0</v>
      </c>
      <c r="AD158" s="41">
        <v>0</v>
      </c>
      <c r="AE158" s="70">
        <f t="shared" si="27"/>
        <v>0</v>
      </c>
      <c r="AF158" s="28">
        <f t="shared" si="28"/>
        <v>0</v>
      </c>
      <c r="AG158" s="28">
        <f t="shared" si="29"/>
        <v>0</v>
      </c>
    </row>
    <row r="159" spans="1:36" ht="72" x14ac:dyDescent="0.3">
      <c r="A159" s="41" t="s">
        <v>697</v>
      </c>
      <c r="B159" s="41" t="s">
        <v>692</v>
      </c>
      <c r="C159" s="41" t="s">
        <v>665</v>
      </c>
      <c r="D159" s="41" t="s">
        <v>89</v>
      </c>
      <c r="E159" s="41" t="s">
        <v>470</v>
      </c>
      <c r="F159" s="41" t="s">
        <v>718</v>
      </c>
      <c r="G159" s="83">
        <v>0</v>
      </c>
      <c r="H159" s="41">
        <v>0</v>
      </c>
      <c r="I159" s="41">
        <v>0</v>
      </c>
      <c r="J159" s="83">
        <f t="shared" si="20"/>
        <v>0</v>
      </c>
      <c r="K159" s="41">
        <v>0</v>
      </c>
      <c r="L159" s="41">
        <v>0</v>
      </c>
      <c r="M159" s="70">
        <f t="shared" si="21"/>
        <v>0</v>
      </c>
      <c r="N159" s="41">
        <v>0</v>
      </c>
      <c r="O159" s="41">
        <v>0</v>
      </c>
      <c r="P159" s="70">
        <f t="shared" si="22"/>
        <v>0</v>
      </c>
      <c r="Q159" s="41">
        <v>0</v>
      </c>
      <c r="R159" s="41">
        <v>0</v>
      </c>
      <c r="S159" s="70">
        <f t="shared" si="23"/>
        <v>0</v>
      </c>
      <c r="T159" s="41">
        <v>0</v>
      </c>
      <c r="U159" s="41">
        <v>0</v>
      </c>
      <c r="V159" s="70">
        <f t="shared" si="24"/>
        <v>0</v>
      </c>
      <c r="W159" s="41">
        <v>0</v>
      </c>
      <c r="X159" s="41">
        <v>0</v>
      </c>
      <c r="Y159" s="70">
        <f t="shared" si="25"/>
        <v>0</v>
      </c>
      <c r="Z159" s="41">
        <v>0</v>
      </c>
      <c r="AA159" s="41">
        <v>0</v>
      </c>
      <c r="AB159" s="70">
        <f t="shared" si="26"/>
        <v>0</v>
      </c>
      <c r="AC159" s="41">
        <v>0</v>
      </c>
      <c r="AD159" s="41">
        <v>0</v>
      </c>
      <c r="AE159" s="70">
        <f t="shared" si="27"/>
        <v>0</v>
      </c>
      <c r="AF159" s="28">
        <f t="shared" si="28"/>
        <v>0</v>
      </c>
      <c r="AG159" s="28">
        <f t="shared" si="29"/>
        <v>0</v>
      </c>
    </row>
    <row r="160" spans="1:36" ht="72" x14ac:dyDescent="0.3">
      <c r="A160" s="41" t="s">
        <v>697</v>
      </c>
      <c r="B160" s="41" t="s">
        <v>692</v>
      </c>
      <c r="C160" s="41" t="s">
        <v>665</v>
      </c>
      <c r="D160" s="41" t="s">
        <v>89</v>
      </c>
      <c r="E160" s="41" t="s">
        <v>471</v>
      </c>
      <c r="F160" s="41" t="s">
        <v>718</v>
      </c>
      <c r="G160" s="83">
        <v>0</v>
      </c>
      <c r="H160" s="41">
        <v>0</v>
      </c>
      <c r="I160" s="41">
        <v>0</v>
      </c>
      <c r="J160" s="83">
        <f t="shared" si="20"/>
        <v>0</v>
      </c>
      <c r="K160" s="41">
        <v>0</v>
      </c>
      <c r="L160" s="41">
        <v>0</v>
      </c>
      <c r="M160" s="70">
        <f t="shared" si="21"/>
        <v>0</v>
      </c>
      <c r="N160" s="41">
        <v>0</v>
      </c>
      <c r="O160" s="41">
        <v>0</v>
      </c>
      <c r="P160" s="70">
        <f t="shared" si="22"/>
        <v>0</v>
      </c>
      <c r="Q160" s="41">
        <v>0</v>
      </c>
      <c r="R160" s="41">
        <v>0</v>
      </c>
      <c r="S160" s="70">
        <f t="shared" si="23"/>
        <v>0</v>
      </c>
      <c r="T160" s="41">
        <v>0</v>
      </c>
      <c r="U160" s="41">
        <v>0</v>
      </c>
      <c r="V160" s="70">
        <f t="shared" si="24"/>
        <v>0</v>
      </c>
      <c r="W160" s="41">
        <v>0</v>
      </c>
      <c r="X160" s="41">
        <v>0</v>
      </c>
      <c r="Y160" s="70">
        <f t="shared" si="25"/>
        <v>0</v>
      </c>
      <c r="Z160" s="41">
        <v>0</v>
      </c>
      <c r="AA160" s="41">
        <v>0</v>
      </c>
      <c r="AB160" s="70">
        <f t="shared" si="26"/>
        <v>0</v>
      </c>
      <c r="AC160" s="41">
        <v>0</v>
      </c>
      <c r="AD160" s="41">
        <v>0</v>
      </c>
      <c r="AE160" s="70">
        <f t="shared" si="27"/>
        <v>0</v>
      </c>
      <c r="AF160" s="28">
        <f t="shared" si="28"/>
        <v>0</v>
      </c>
      <c r="AG160" s="28">
        <f t="shared" si="29"/>
        <v>0</v>
      </c>
    </row>
    <row r="161" spans="1:37" ht="72" x14ac:dyDescent="0.3">
      <c r="A161" s="41" t="s">
        <v>697</v>
      </c>
      <c r="B161" s="41" t="s">
        <v>692</v>
      </c>
      <c r="C161" s="41" t="s">
        <v>665</v>
      </c>
      <c r="D161" s="41" t="s">
        <v>89</v>
      </c>
      <c r="E161" s="41" t="s">
        <v>472</v>
      </c>
      <c r="F161" s="41" t="s">
        <v>718</v>
      </c>
      <c r="G161" s="83">
        <v>0</v>
      </c>
      <c r="H161" s="41">
        <v>0</v>
      </c>
      <c r="I161" s="41">
        <v>0</v>
      </c>
      <c r="J161" s="83">
        <f t="shared" si="20"/>
        <v>0</v>
      </c>
      <c r="K161" s="41">
        <v>0</v>
      </c>
      <c r="L161" s="41">
        <v>0</v>
      </c>
      <c r="M161" s="70">
        <f t="shared" si="21"/>
        <v>0</v>
      </c>
      <c r="N161" s="41">
        <v>0</v>
      </c>
      <c r="O161" s="41">
        <v>0</v>
      </c>
      <c r="P161" s="70">
        <f t="shared" si="22"/>
        <v>0</v>
      </c>
      <c r="Q161" s="41">
        <v>0</v>
      </c>
      <c r="R161" s="41">
        <v>0</v>
      </c>
      <c r="S161" s="70">
        <f t="shared" si="23"/>
        <v>0</v>
      </c>
      <c r="T161" s="41">
        <v>0</v>
      </c>
      <c r="U161" s="41">
        <v>0</v>
      </c>
      <c r="V161" s="70">
        <f t="shared" si="24"/>
        <v>0</v>
      </c>
      <c r="W161" s="41">
        <v>0</v>
      </c>
      <c r="X161" s="41">
        <v>0</v>
      </c>
      <c r="Y161" s="70">
        <f t="shared" si="25"/>
        <v>0</v>
      </c>
      <c r="Z161" s="41">
        <v>0</v>
      </c>
      <c r="AA161" s="41">
        <v>0</v>
      </c>
      <c r="AB161" s="70">
        <f t="shared" si="26"/>
        <v>0</v>
      </c>
      <c r="AC161" s="41">
        <v>0</v>
      </c>
      <c r="AD161" s="41">
        <v>0</v>
      </c>
      <c r="AE161" s="70">
        <f t="shared" si="27"/>
        <v>0</v>
      </c>
      <c r="AF161" s="28">
        <f t="shared" si="28"/>
        <v>0</v>
      </c>
      <c r="AG161" s="28">
        <f t="shared" si="29"/>
        <v>0</v>
      </c>
    </row>
    <row r="162" spans="1:37" ht="72" x14ac:dyDescent="0.3">
      <c r="A162" s="41" t="s">
        <v>697</v>
      </c>
      <c r="B162" s="41" t="s">
        <v>692</v>
      </c>
      <c r="C162" s="41" t="s">
        <v>665</v>
      </c>
      <c r="D162" s="41" t="s">
        <v>89</v>
      </c>
      <c r="E162" s="41" t="s">
        <v>473</v>
      </c>
      <c r="F162" s="41" t="s">
        <v>718</v>
      </c>
      <c r="G162" s="83">
        <v>0</v>
      </c>
      <c r="H162" s="41">
        <v>0</v>
      </c>
      <c r="I162" s="41">
        <v>0</v>
      </c>
      <c r="J162" s="83">
        <f t="shared" si="20"/>
        <v>0</v>
      </c>
      <c r="K162" s="41">
        <v>0</v>
      </c>
      <c r="L162" s="41">
        <v>0</v>
      </c>
      <c r="M162" s="70">
        <f t="shared" si="21"/>
        <v>0</v>
      </c>
      <c r="N162" s="41">
        <v>0</v>
      </c>
      <c r="O162" s="41">
        <v>0</v>
      </c>
      <c r="P162" s="70">
        <f t="shared" si="22"/>
        <v>0</v>
      </c>
      <c r="Q162" s="41">
        <v>0</v>
      </c>
      <c r="R162" s="41">
        <v>0</v>
      </c>
      <c r="S162" s="70">
        <f t="shared" si="23"/>
        <v>0</v>
      </c>
      <c r="T162" s="41">
        <v>0</v>
      </c>
      <c r="U162" s="41">
        <v>0</v>
      </c>
      <c r="V162" s="70">
        <f t="shared" si="24"/>
        <v>0</v>
      </c>
      <c r="W162" s="41">
        <v>0</v>
      </c>
      <c r="X162" s="41">
        <v>0</v>
      </c>
      <c r="Y162" s="70">
        <f t="shared" si="25"/>
        <v>0</v>
      </c>
      <c r="Z162" s="41">
        <v>0</v>
      </c>
      <c r="AA162" s="41">
        <v>0</v>
      </c>
      <c r="AB162" s="70">
        <f t="shared" si="26"/>
        <v>0</v>
      </c>
      <c r="AC162" s="41">
        <v>0</v>
      </c>
      <c r="AD162" s="41">
        <v>0</v>
      </c>
      <c r="AE162" s="70">
        <f t="shared" si="27"/>
        <v>0</v>
      </c>
      <c r="AF162" s="28">
        <f t="shared" si="28"/>
        <v>0</v>
      </c>
      <c r="AG162" s="28">
        <f t="shared" si="29"/>
        <v>0</v>
      </c>
    </row>
    <row r="163" spans="1:37" x14ac:dyDescent="0.3">
      <c r="A163" s="91" t="s">
        <v>1302</v>
      </c>
      <c r="B163" s="91"/>
      <c r="C163" s="91"/>
      <c r="D163" s="91"/>
      <c r="E163" s="91"/>
      <c r="F163" s="91"/>
      <c r="G163" s="92"/>
      <c r="H163" s="91"/>
      <c r="I163" s="91"/>
      <c r="J163" s="92">
        <f>SUM(J153:J162)</f>
        <v>0</v>
      </c>
      <c r="K163" s="91"/>
      <c r="L163" s="91"/>
      <c r="M163" s="92">
        <f>SUM(M153:M162)</f>
        <v>0</v>
      </c>
      <c r="N163" s="91"/>
      <c r="O163" s="91"/>
      <c r="P163" s="92">
        <f>SUM(P153:P162)</f>
        <v>0</v>
      </c>
      <c r="Q163" s="91"/>
      <c r="R163" s="91"/>
      <c r="S163" s="92">
        <f>SUM(S153:S162)</f>
        <v>0</v>
      </c>
      <c r="T163" s="91"/>
      <c r="U163" s="91"/>
      <c r="V163" s="92">
        <f>SUM(V153:V162)</f>
        <v>0</v>
      </c>
      <c r="W163" s="91"/>
      <c r="X163" s="91"/>
      <c r="Y163" s="92">
        <f>SUM(Y153:Y162)</f>
        <v>0</v>
      </c>
      <c r="Z163" s="91"/>
      <c r="AA163" s="91"/>
      <c r="AB163" s="92">
        <f>SUM(AB153:AB162)</f>
        <v>0</v>
      </c>
      <c r="AC163" s="91"/>
      <c r="AD163" s="91"/>
      <c r="AE163" s="92">
        <f>SUM(AE153:AE162)</f>
        <v>0</v>
      </c>
      <c r="AF163" s="95">
        <f t="shared" si="28"/>
        <v>0</v>
      </c>
      <c r="AG163" s="95">
        <f t="shared" si="29"/>
        <v>0</v>
      </c>
      <c r="AH163" s="94"/>
      <c r="AI163" s="94"/>
    </row>
    <row r="164" spans="1:37" x14ac:dyDescent="0.3">
      <c r="A164" s="63" t="s">
        <v>1431</v>
      </c>
      <c r="B164" s="63"/>
      <c r="C164" s="63"/>
      <c r="D164" s="63"/>
      <c r="E164" s="63"/>
      <c r="F164" s="63"/>
      <c r="G164" s="90"/>
      <c r="H164" s="63"/>
      <c r="I164" s="63"/>
      <c r="J164" s="90">
        <f>J163/$AL$2</f>
        <v>0</v>
      </c>
      <c r="K164" s="63"/>
      <c r="L164" s="63"/>
      <c r="M164" s="90">
        <f>M163/$AL$2</f>
        <v>0</v>
      </c>
      <c r="N164" s="63"/>
      <c r="O164" s="63"/>
      <c r="P164" s="90">
        <f>P163/$AL$2</f>
        <v>0</v>
      </c>
      <c r="Q164" s="63"/>
      <c r="R164" s="63"/>
      <c r="S164" s="90">
        <f>S163/$AL$2</f>
        <v>0</v>
      </c>
      <c r="T164" s="63"/>
      <c r="U164" s="63"/>
      <c r="V164" s="90">
        <f>V163/$AL$2</f>
        <v>0</v>
      </c>
      <c r="W164" s="63"/>
      <c r="X164" s="63"/>
      <c r="Y164" s="90">
        <f>Y163/$AL$2</f>
        <v>0</v>
      </c>
      <c r="Z164" s="63"/>
      <c r="AA164" s="63"/>
      <c r="AB164" s="90">
        <f>AB163/$AL$2</f>
        <v>0</v>
      </c>
      <c r="AC164" s="63"/>
      <c r="AD164" s="63"/>
      <c r="AE164" s="90">
        <f>AE163/$AL$2</f>
        <v>0</v>
      </c>
      <c r="AF164" s="20">
        <f t="shared" si="28"/>
        <v>0</v>
      </c>
      <c r="AG164" s="90">
        <f>AG163/$AL$2</f>
        <v>0</v>
      </c>
      <c r="AH164" s="62"/>
      <c r="AI164" s="62"/>
      <c r="AJ164" s="62"/>
      <c r="AK164" s="62"/>
    </row>
    <row r="165" spans="1:37" ht="57.6" x14ac:dyDescent="0.3">
      <c r="A165" s="41" t="s">
        <v>697</v>
      </c>
      <c r="B165" s="41" t="s">
        <v>692</v>
      </c>
      <c r="C165" s="41" t="s">
        <v>666</v>
      </c>
      <c r="D165" s="41" t="s">
        <v>90</v>
      </c>
      <c r="E165" s="41" t="s">
        <v>474</v>
      </c>
      <c r="F165" s="41" t="s">
        <v>716</v>
      </c>
      <c r="G165" s="83">
        <v>39000</v>
      </c>
      <c r="J165" s="83">
        <f t="shared" si="20"/>
        <v>0</v>
      </c>
      <c r="K165" s="41">
        <v>60</v>
      </c>
      <c r="L165" s="41">
        <f>6*3</f>
        <v>18</v>
      </c>
      <c r="M165" s="70">
        <f t="shared" si="21"/>
        <v>46332000</v>
      </c>
      <c r="N165" s="41">
        <v>0</v>
      </c>
      <c r="O165" s="41">
        <v>0</v>
      </c>
      <c r="P165" s="70">
        <f t="shared" si="22"/>
        <v>0</v>
      </c>
      <c r="Q165" s="41">
        <v>0</v>
      </c>
      <c r="R165" s="41">
        <v>0</v>
      </c>
      <c r="S165" s="70">
        <f t="shared" si="23"/>
        <v>0</v>
      </c>
      <c r="T165" s="41">
        <v>0</v>
      </c>
      <c r="U165" s="41">
        <v>0</v>
      </c>
      <c r="V165" s="70">
        <f t="shared" si="24"/>
        <v>0</v>
      </c>
      <c r="W165" s="41">
        <v>0</v>
      </c>
      <c r="X165" s="41">
        <v>0</v>
      </c>
      <c r="Y165" s="70">
        <f t="shared" si="25"/>
        <v>0</v>
      </c>
      <c r="Z165" s="41">
        <v>60</v>
      </c>
      <c r="AA165" s="41">
        <f>6*3</f>
        <v>18</v>
      </c>
      <c r="AB165" s="70">
        <f t="shared" si="26"/>
        <v>74618149.320000023</v>
      </c>
      <c r="AC165" s="41">
        <v>0</v>
      </c>
      <c r="AD165" s="41">
        <v>0</v>
      </c>
      <c r="AE165" s="70">
        <f t="shared" si="27"/>
        <v>0</v>
      </c>
      <c r="AF165" s="28">
        <f t="shared" si="28"/>
        <v>120950149.32000002</v>
      </c>
      <c r="AG165" s="28">
        <f t="shared" si="29"/>
        <v>118346.52575342468</v>
      </c>
    </row>
    <row r="166" spans="1:37" ht="57.6" x14ac:dyDescent="0.3">
      <c r="A166" s="41" t="s">
        <v>697</v>
      </c>
      <c r="B166" s="41" t="s">
        <v>692</v>
      </c>
      <c r="C166" s="41" t="s">
        <v>666</v>
      </c>
      <c r="D166" s="41" t="s">
        <v>90</v>
      </c>
      <c r="E166" s="41" t="s">
        <v>474</v>
      </c>
      <c r="F166" s="41" t="s">
        <v>709</v>
      </c>
      <c r="G166" s="83">
        <v>35000</v>
      </c>
      <c r="J166" s="83">
        <f t="shared" si="20"/>
        <v>0</v>
      </c>
      <c r="K166" s="41">
        <v>60</v>
      </c>
      <c r="L166" s="41">
        <v>15</v>
      </c>
      <c r="M166" s="70">
        <f t="shared" si="21"/>
        <v>34650000</v>
      </c>
      <c r="N166" s="41">
        <v>0</v>
      </c>
      <c r="O166" s="41">
        <v>0</v>
      </c>
      <c r="P166" s="70">
        <f t="shared" si="22"/>
        <v>0</v>
      </c>
      <c r="Q166" s="41">
        <v>0</v>
      </c>
      <c r="R166" s="41">
        <v>0</v>
      </c>
      <c r="S166" s="70">
        <f t="shared" si="23"/>
        <v>0</v>
      </c>
      <c r="T166" s="41">
        <v>0</v>
      </c>
      <c r="U166" s="41">
        <v>0</v>
      </c>
      <c r="V166" s="70">
        <f t="shared" si="24"/>
        <v>0</v>
      </c>
      <c r="W166" s="41">
        <v>0</v>
      </c>
      <c r="X166" s="41">
        <v>0</v>
      </c>
      <c r="Y166" s="70">
        <f t="shared" si="25"/>
        <v>0</v>
      </c>
      <c r="Z166" s="41">
        <v>60</v>
      </c>
      <c r="AA166" s="41">
        <v>15</v>
      </c>
      <c r="AB166" s="70">
        <f t="shared" si="26"/>
        <v>55804171.50000003</v>
      </c>
      <c r="AC166" s="41">
        <v>0</v>
      </c>
      <c r="AD166" s="41">
        <v>0</v>
      </c>
      <c r="AE166" s="70">
        <f t="shared" si="27"/>
        <v>0</v>
      </c>
      <c r="AF166" s="28">
        <f t="shared" si="28"/>
        <v>90454171.50000003</v>
      </c>
      <c r="AG166" s="28">
        <f t="shared" si="29"/>
        <v>88507.017123287704</v>
      </c>
    </row>
    <row r="167" spans="1:37" ht="57.6" x14ac:dyDescent="0.3">
      <c r="A167" s="41" t="s">
        <v>697</v>
      </c>
      <c r="B167" s="41" t="s">
        <v>692</v>
      </c>
      <c r="C167" s="41" t="s">
        <v>666</v>
      </c>
      <c r="D167" s="41" t="s">
        <v>90</v>
      </c>
      <c r="E167" s="41" t="s">
        <v>474</v>
      </c>
      <c r="F167" s="41" t="s">
        <v>712</v>
      </c>
      <c r="G167" s="83">
        <f>1999.2/7</f>
        <v>285.60000000000002</v>
      </c>
      <c r="J167" s="83">
        <f t="shared" si="20"/>
        <v>0</v>
      </c>
      <c r="K167" s="41">
        <f>25*2*15</f>
        <v>750</v>
      </c>
      <c r="L167" s="41">
        <v>15</v>
      </c>
      <c r="M167" s="70">
        <f t="shared" si="21"/>
        <v>3534300.0000000005</v>
      </c>
      <c r="N167" s="41">
        <v>0</v>
      </c>
      <c r="O167" s="41">
        <v>0</v>
      </c>
      <c r="P167" s="70">
        <f t="shared" si="22"/>
        <v>0</v>
      </c>
      <c r="Q167" s="41">
        <v>0</v>
      </c>
      <c r="R167" s="41">
        <v>0</v>
      </c>
      <c r="S167" s="70">
        <f t="shared" si="23"/>
        <v>0</v>
      </c>
      <c r="T167" s="41">
        <v>0</v>
      </c>
      <c r="U167" s="41">
        <v>0</v>
      </c>
      <c r="V167" s="70">
        <f t="shared" si="24"/>
        <v>0</v>
      </c>
      <c r="W167" s="41">
        <v>0</v>
      </c>
      <c r="X167" s="41">
        <v>0</v>
      </c>
      <c r="Y167" s="70">
        <f t="shared" si="25"/>
        <v>0</v>
      </c>
      <c r="Z167" s="41">
        <f>25*2*15</f>
        <v>750</v>
      </c>
      <c r="AA167" s="41">
        <v>15</v>
      </c>
      <c r="AB167" s="70">
        <f t="shared" si="26"/>
        <v>5692025.4930000035</v>
      </c>
      <c r="AC167" s="41">
        <v>0</v>
      </c>
      <c r="AD167" s="41">
        <v>0</v>
      </c>
      <c r="AE167" s="70">
        <f t="shared" si="27"/>
        <v>0</v>
      </c>
      <c r="AF167" s="28">
        <f t="shared" si="28"/>
        <v>9226325.4930000044</v>
      </c>
      <c r="AG167" s="28">
        <f t="shared" si="29"/>
        <v>9027.7157465753462</v>
      </c>
    </row>
    <row r="168" spans="1:37" ht="57.6" x14ac:dyDescent="0.3">
      <c r="A168" s="41" t="s">
        <v>697</v>
      </c>
      <c r="B168" s="41" t="s">
        <v>692</v>
      </c>
      <c r="C168" s="41" t="s">
        <v>666</v>
      </c>
      <c r="D168" s="41" t="s">
        <v>90</v>
      </c>
      <c r="E168" s="41" t="s">
        <v>474</v>
      </c>
      <c r="F168" s="41" t="s">
        <v>1350</v>
      </c>
      <c r="G168" s="83">
        <f>1999.2/7</f>
        <v>285.60000000000002</v>
      </c>
      <c r="J168" s="83">
        <f t="shared" si="20"/>
        <v>0</v>
      </c>
      <c r="K168" s="41">
        <f>2*135*15</f>
        <v>4050</v>
      </c>
      <c r="L168" s="41">
        <v>1</v>
      </c>
      <c r="M168" s="70">
        <f t="shared" si="21"/>
        <v>1272348</v>
      </c>
      <c r="N168" s="41">
        <v>0</v>
      </c>
      <c r="O168" s="41">
        <v>0</v>
      </c>
      <c r="P168" s="70">
        <f t="shared" si="22"/>
        <v>0</v>
      </c>
      <c r="Q168" s="41">
        <v>0</v>
      </c>
      <c r="R168" s="41">
        <v>0</v>
      </c>
      <c r="S168" s="70">
        <f t="shared" si="23"/>
        <v>0</v>
      </c>
      <c r="T168" s="41">
        <v>0</v>
      </c>
      <c r="U168" s="41">
        <v>0</v>
      </c>
      <c r="V168" s="70">
        <f t="shared" si="24"/>
        <v>0</v>
      </c>
      <c r="W168" s="41">
        <v>0</v>
      </c>
      <c r="X168" s="41">
        <v>0</v>
      </c>
      <c r="Y168" s="70">
        <f t="shared" si="25"/>
        <v>0</v>
      </c>
      <c r="Z168" s="41">
        <f>2*135*15</f>
        <v>4050</v>
      </c>
      <c r="AA168" s="41">
        <v>1</v>
      </c>
      <c r="AB168" s="70">
        <f t="shared" si="26"/>
        <v>2049129.177480001</v>
      </c>
      <c r="AC168" s="41">
        <v>0</v>
      </c>
      <c r="AD168" s="41">
        <v>0</v>
      </c>
      <c r="AE168" s="70">
        <f t="shared" si="27"/>
        <v>0</v>
      </c>
      <c r="AF168" s="28">
        <f t="shared" si="28"/>
        <v>3321477.177480001</v>
      </c>
      <c r="AG168" s="28">
        <f t="shared" si="29"/>
        <v>3249.9776687671242</v>
      </c>
    </row>
    <row r="169" spans="1:37" ht="57.6" x14ac:dyDescent="0.3">
      <c r="A169" s="41" t="s">
        <v>697</v>
      </c>
      <c r="B169" s="41" t="s">
        <v>692</v>
      </c>
      <c r="C169" s="41" t="s">
        <v>666</v>
      </c>
      <c r="D169" s="41" t="s">
        <v>90</v>
      </c>
      <c r="E169" s="41" t="s">
        <v>475</v>
      </c>
      <c r="F169" s="41" t="s">
        <v>709</v>
      </c>
      <c r="G169" s="83">
        <v>35000</v>
      </c>
      <c r="J169" s="83">
        <f t="shared" si="20"/>
        <v>0</v>
      </c>
      <c r="K169" s="41">
        <v>100</v>
      </c>
      <c r="L169" s="41">
        <v>5</v>
      </c>
      <c r="M169" s="70">
        <f t="shared" si="21"/>
        <v>19250000</v>
      </c>
      <c r="N169" s="41">
        <v>0</v>
      </c>
      <c r="O169" s="41">
        <v>0</v>
      </c>
      <c r="P169" s="70">
        <f t="shared" si="22"/>
        <v>0</v>
      </c>
      <c r="Q169" s="41">
        <v>0</v>
      </c>
      <c r="R169" s="41">
        <v>0</v>
      </c>
      <c r="S169" s="70">
        <f t="shared" si="23"/>
        <v>0</v>
      </c>
      <c r="T169" s="41">
        <v>0</v>
      </c>
      <c r="U169" s="41">
        <v>0</v>
      </c>
      <c r="V169" s="70">
        <f t="shared" si="24"/>
        <v>0</v>
      </c>
      <c r="W169" s="41">
        <v>0</v>
      </c>
      <c r="X169" s="41">
        <v>0</v>
      </c>
      <c r="Y169" s="70">
        <f t="shared" si="25"/>
        <v>0</v>
      </c>
      <c r="Z169" s="41">
        <v>100</v>
      </c>
      <c r="AA169" s="41">
        <v>5</v>
      </c>
      <c r="AB169" s="70">
        <f t="shared" si="26"/>
        <v>31002317.500000015</v>
      </c>
      <c r="AC169" s="41">
        <v>0</v>
      </c>
      <c r="AD169" s="41">
        <v>0</v>
      </c>
      <c r="AE169" s="70">
        <f t="shared" si="27"/>
        <v>0</v>
      </c>
      <c r="AF169" s="28">
        <f t="shared" si="28"/>
        <v>50252317.500000015</v>
      </c>
      <c r="AG169" s="28">
        <f t="shared" si="29"/>
        <v>49170.565068493168</v>
      </c>
    </row>
    <row r="170" spans="1:37" ht="57.6" x14ac:dyDescent="0.3">
      <c r="A170" s="41" t="s">
        <v>697</v>
      </c>
      <c r="B170" s="41" t="s">
        <v>692</v>
      </c>
      <c r="C170" s="41" t="s">
        <v>666</v>
      </c>
      <c r="D170" s="41" t="s">
        <v>90</v>
      </c>
      <c r="E170" s="41" t="s">
        <v>475</v>
      </c>
      <c r="F170" s="41" t="s">
        <v>716</v>
      </c>
      <c r="G170" s="83">
        <v>39000</v>
      </c>
      <c r="J170" s="83">
        <f t="shared" si="20"/>
        <v>0</v>
      </c>
      <c r="K170" s="41">
        <v>58</v>
      </c>
      <c r="L170" s="41">
        <v>6</v>
      </c>
      <c r="M170" s="70">
        <f t="shared" si="21"/>
        <v>14929200</v>
      </c>
      <c r="N170" s="41">
        <v>0</v>
      </c>
      <c r="O170" s="41">
        <v>0</v>
      </c>
      <c r="P170" s="70">
        <f t="shared" si="22"/>
        <v>0</v>
      </c>
      <c r="Q170" s="41">
        <v>0</v>
      </c>
      <c r="R170" s="41">
        <v>0</v>
      </c>
      <c r="S170" s="70">
        <f t="shared" si="23"/>
        <v>0</v>
      </c>
      <c r="T170" s="41">
        <v>0</v>
      </c>
      <c r="U170" s="41">
        <v>0</v>
      </c>
      <c r="V170" s="70">
        <f t="shared" si="24"/>
        <v>0</v>
      </c>
      <c r="W170" s="41">
        <v>0</v>
      </c>
      <c r="X170" s="41">
        <v>0</v>
      </c>
      <c r="Y170" s="70">
        <f t="shared" si="25"/>
        <v>0</v>
      </c>
      <c r="Z170" s="41">
        <v>58</v>
      </c>
      <c r="AA170" s="41">
        <v>6</v>
      </c>
      <c r="AB170" s="70">
        <f t="shared" si="26"/>
        <v>24043625.892000012</v>
      </c>
      <c r="AC170" s="41">
        <v>0</v>
      </c>
      <c r="AD170" s="41">
        <v>0</v>
      </c>
      <c r="AE170" s="70">
        <f t="shared" si="27"/>
        <v>0</v>
      </c>
      <c r="AF170" s="28">
        <f t="shared" si="28"/>
        <v>38972825.892000012</v>
      </c>
      <c r="AG170" s="28">
        <f t="shared" si="29"/>
        <v>38133.880520547958</v>
      </c>
    </row>
    <row r="171" spans="1:37" ht="57.6" x14ac:dyDescent="0.3">
      <c r="A171" s="41" t="s">
        <v>697</v>
      </c>
      <c r="B171" s="41" t="s">
        <v>692</v>
      </c>
      <c r="C171" s="41" t="s">
        <v>666</v>
      </c>
      <c r="D171" s="41" t="s">
        <v>90</v>
      </c>
      <c r="E171" s="41" t="s">
        <v>474</v>
      </c>
      <c r="F171" s="41" t="s">
        <v>1350</v>
      </c>
      <c r="G171" s="83">
        <f>1999.2/7</f>
        <v>285.60000000000002</v>
      </c>
      <c r="J171" s="83">
        <f t="shared" si="20"/>
        <v>0</v>
      </c>
      <c r="K171" s="41">
        <f>2*135*29</f>
        <v>7830</v>
      </c>
      <c r="L171" s="41">
        <v>1</v>
      </c>
      <c r="M171" s="70">
        <f t="shared" si="21"/>
        <v>2459872.8000000003</v>
      </c>
      <c r="N171" s="41">
        <v>0</v>
      </c>
      <c r="O171" s="41">
        <v>0</v>
      </c>
      <c r="P171" s="70">
        <f t="shared" si="22"/>
        <v>0</v>
      </c>
      <c r="Q171" s="41">
        <v>0</v>
      </c>
      <c r="R171" s="41">
        <v>0</v>
      </c>
      <c r="S171" s="70">
        <f t="shared" si="23"/>
        <v>0</v>
      </c>
      <c r="T171" s="41">
        <v>0</v>
      </c>
      <c r="U171" s="41">
        <v>0</v>
      </c>
      <c r="V171" s="70">
        <f t="shared" si="24"/>
        <v>0</v>
      </c>
      <c r="W171" s="41">
        <v>0</v>
      </c>
      <c r="X171" s="41">
        <v>0</v>
      </c>
      <c r="Y171" s="70">
        <f t="shared" si="25"/>
        <v>0</v>
      </c>
      <c r="Z171" s="41">
        <f>2*135*29</f>
        <v>7830</v>
      </c>
      <c r="AA171" s="41">
        <v>1</v>
      </c>
      <c r="AB171" s="70">
        <f t="shared" si="26"/>
        <v>3961649.7431280022</v>
      </c>
      <c r="AC171" s="41">
        <v>0</v>
      </c>
      <c r="AD171" s="41">
        <v>0</v>
      </c>
      <c r="AE171" s="70">
        <f t="shared" si="27"/>
        <v>0</v>
      </c>
      <c r="AF171" s="28">
        <f t="shared" si="28"/>
        <v>6421522.5431280024</v>
      </c>
      <c r="AG171" s="28">
        <f t="shared" si="29"/>
        <v>6283.2901596164411</v>
      </c>
    </row>
    <row r="172" spans="1:37" ht="57.6" x14ac:dyDescent="0.3">
      <c r="A172" s="41" t="s">
        <v>697</v>
      </c>
      <c r="B172" s="41" t="s">
        <v>692</v>
      </c>
      <c r="C172" s="41" t="s">
        <v>666</v>
      </c>
      <c r="D172" s="41" t="s">
        <v>90</v>
      </c>
      <c r="E172" s="41" t="s">
        <v>475</v>
      </c>
      <c r="F172" s="41" t="s">
        <v>712</v>
      </c>
      <c r="G172" s="83">
        <f>1999.2/7</f>
        <v>285.60000000000002</v>
      </c>
      <c r="J172" s="83">
        <f t="shared" si="20"/>
        <v>0</v>
      </c>
      <c r="K172" s="41">
        <f>25*2*29</f>
        <v>1450</v>
      </c>
      <c r="L172" s="41">
        <v>5</v>
      </c>
      <c r="M172" s="70">
        <f t="shared" si="21"/>
        <v>2277660.0000000005</v>
      </c>
      <c r="N172" s="41">
        <v>0</v>
      </c>
      <c r="O172" s="41">
        <v>0</v>
      </c>
      <c r="P172" s="70">
        <f t="shared" si="22"/>
        <v>0</v>
      </c>
      <c r="Q172" s="41">
        <v>0</v>
      </c>
      <c r="R172" s="41">
        <v>0</v>
      </c>
      <c r="S172" s="70">
        <f t="shared" si="23"/>
        <v>0</v>
      </c>
      <c r="T172" s="41">
        <v>0</v>
      </c>
      <c r="U172" s="41">
        <v>0</v>
      </c>
      <c r="V172" s="70">
        <f t="shared" si="24"/>
        <v>0</v>
      </c>
      <c r="W172" s="41">
        <v>0</v>
      </c>
      <c r="X172" s="41">
        <v>0</v>
      </c>
      <c r="Y172" s="70">
        <f t="shared" si="25"/>
        <v>0</v>
      </c>
      <c r="Z172" s="41">
        <f>25*2*29</f>
        <v>1450</v>
      </c>
      <c r="AA172" s="41">
        <v>5</v>
      </c>
      <c r="AB172" s="70">
        <f t="shared" si="26"/>
        <v>3668194.206600002</v>
      </c>
      <c r="AC172" s="41">
        <v>0</v>
      </c>
      <c r="AD172" s="41">
        <v>0</v>
      </c>
      <c r="AE172" s="70">
        <f t="shared" si="27"/>
        <v>0</v>
      </c>
      <c r="AF172" s="28">
        <f t="shared" si="28"/>
        <v>5945854.2066000029</v>
      </c>
      <c r="AG172" s="28">
        <f t="shared" si="29"/>
        <v>5817.8612589041122</v>
      </c>
    </row>
    <row r="173" spans="1:37" ht="57.6" x14ac:dyDescent="0.3">
      <c r="A173" s="41" t="s">
        <v>697</v>
      </c>
      <c r="B173" s="41" t="s">
        <v>692</v>
      </c>
      <c r="C173" s="41" t="s">
        <v>666</v>
      </c>
      <c r="D173" s="41" t="s">
        <v>90</v>
      </c>
      <c r="E173" s="41" t="s">
        <v>476</v>
      </c>
      <c r="F173" s="41" t="s">
        <v>709</v>
      </c>
      <c r="G173" s="83">
        <v>35000</v>
      </c>
      <c r="J173" s="83">
        <f t="shared" si="20"/>
        <v>0</v>
      </c>
      <c r="K173" s="41">
        <v>60</v>
      </c>
      <c r="L173" s="41">
        <v>1</v>
      </c>
      <c r="M173" s="70">
        <f t="shared" si="21"/>
        <v>2310000</v>
      </c>
      <c r="N173" s="41">
        <v>0</v>
      </c>
      <c r="O173" s="41">
        <v>0</v>
      </c>
      <c r="P173" s="70">
        <f t="shared" si="22"/>
        <v>0</v>
      </c>
      <c r="Q173" s="41">
        <v>0</v>
      </c>
      <c r="R173" s="41">
        <v>0</v>
      </c>
      <c r="S173" s="70">
        <f t="shared" si="23"/>
        <v>0</v>
      </c>
      <c r="T173" s="41">
        <v>0</v>
      </c>
      <c r="U173" s="41">
        <v>0</v>
      </c>
      <c r="V173" s="70">
        <f t="shared" si="24"/>
        <v>0</v>
      </c>
      <c r="W173" s="41">
        <v>0</v>
      </c>
      <c r="X173" s="41">
        <v>0</v>
      </c>
      <c r="Y173" s="70">
        <f t="shared" si="25"/>
        <v>0</v>
      </c>
      <c r="Z173" s="41">
        <v>60</v>
      </c>
      <c r="AA173" s="41">
        <v>1</v>
      </c>
      <c r="AB173" s="70">
        <f t="shared" si="26"/>
        <v>3720278.100000002</v>
      </c>
      <c r="AC173" s="41">
        <v>0</v>
      </c>
      <c r="AD173" s="41">
        <v>0</v>
      </c>
      <c r="AE173" s="70">
        <f t="shared" si="27"/>
        <v>0</v>
      </c>
      <c r="AF173" s="28">
        <f t="shared" si="28"/>
        <v>6030278.1000000015</v>
      </c>
      <c r="AG173" s="28">
        <f t="shared" si="29"/>
        <v>5900.4678082191795</v>
      </c>
    </row>
    <row r="174" spans="1:37" ht="57.6" x14ac:dyDescent="0.3">
      <c r="A174" s="41" t="s">
        <v>697</v>
      </c>
      <c r="B174" s="41" t="s">
        <v>692</v>
      </c>
      <c r="C174" s="41" t="s">
        <v>666</v>
      </c>
      <c r="D174" s="41" t="s">
        <v>90</v>
      </c>
      <c r="E174" s="41" t="s">
        <v>477</v>
      </c>
      <c r="F174" s="41" t="s">
        <v>718</v>
      </c>
      <c r="G174" s="83">
        <v>0</v>
      </c>
      <c r="J174" s="83">
        <f t="shared" si="20"/>
        <v>0</v>
      </c>
      <c r="K174" s="41">
        <v>0</v>
      </c>
      <c r="L174" s="41">
        <v>1</v>
      </c>
      <c r="M174" s="70">
        <f t="shared" si="21"/>
        <v>0</v>
      </c>
      <c r="N174" s="41">
        <v>0</v>
      </c>
      <c r="O174" s="41">
        <v>0</v>
      </c>
      <c r="P174" s="70">
        <f t="shared" si="22"/>
        <v>0</v>
      </c>
      <c r="Q174" s="41">
        <v>0</v>
      </c>
      <c r="R174" s="41">
        <v>0</v>
      </c>
      <c r="S174" s="70">
        <f t="shared" si="23"/>
        <v>0</v>
      </c>
      <c r="T174" s="41">
        <v>0</v>
      </c>
      <c r="U174" s="41">
        <v>0</v>
      </c>
      <c r="V174" s="70">
        <f t="shared" si="24"/>
        <v>0</v>
      </c>
      <c r="W174" s="41">
        <v>0</v>
      </c>
      <c r="X174" s="41">
        <v>0</v>
      </c>
      <c r="Y174" s="70">
        <f t="shared" si="25"/>
        <v>0</v>
      </c>
      <c r="Z174" s="41">
        <v>0</v>
      </c>
      <c r="AA174" s="41">
        <v>1</v>
      </c>
      <c r="AB174" s="70">
        <f t="shared" si="26"/>
        <v>0</v>
      </c>
      <c r="AC174" s="41">
        <v>0</v>
      </c>
      <c r="AD174" s="41">
        <v>0</v>
      </c>
      <c r="AE174" s="70">
        <f t="shared" si="27"/>
        <v>0</v>
      </c>
      <c r="AF174" s="28">
        <f t="shared" si="28"/>
        <v>0</v>
      </c>
      <c r="AG174" s="28">
        <f t="shared" si="29"/>
        <v>0</v>
      </c>
    </row>
    <row r="175" spans="1:37" ht="57.6" x14ac:dyDescent="0.3">
      <c r="A175" s="41" t="s">
        <v>697</v>
      </c>
      <c r="B175" s="41" t="s">
        <v>692</v>
      </c>
      <c r="C175" s="41" t="s">
        <v>666</v>
      </c>
      <c r="D175" s="41" t="s">
        <v>90</v>
      </c>
      <c r="E175" s="41" t="s">
        <v>478</v>
      </c>
      <c r="F175" s="41" t="s">
        <v>709</v>
      </c>
      <c r="G175" s="83">
        <v>35000</v>
      </c>
      <c r="J175" s="83">
        <f t="shared" si="20"/>
        <v>0</v>
      </c>
      <c r="K175" s="41">
        <v>100</v>
      </c>
      <c r="L175" s="41">
        <v>1</v>
      </c>
      <c r="M175" s="70">
        <f t="shared" si="21"/>
        <v>3850000</v>
      </c>
      <c r="N175" s="41">
        <v>0</v>
      </c>
      <c r="O175" s="41">
        <v>0</v>
      </c>
      <c r="P175" s="70">
        <f t="shared" si="22"/>
        <v>0</v>
      </c>
      <c r="Q175" s="41">
        <v>0</v>
      </c>
      <c r="R175" s="41">
        <v>0</v>
      </c>
      <c r="S175" s="70">
        <f t="shared" si="23"/>
        <v>0</v>
      </c>
      <c r="T175" s="41">
        <v>0</v>
      </c>
      <c r="U175" s="41">
        <v>0</v>
      </c>
      <c r="V175" s="70">
        <f t="shared" si="24"/>
        <v>0</v>
      </c>
      <c r="W175" s="41">
        <v>0</v>
      </c>
      <c r="X175" s="41">
        <v>0</v>
      </c>
      <c r="Y175" s="70">
        <f t="shared" si="25"/>
        <v>0</v>
      </c>
      <c r="Z175" s="41">
        <v>100</v>
      </c>
      <c r="AA175" s="41">
        <v>1</v>
      </c>
      <c r="AB175" s="70">
        <f t="shared" si="26"/>
        <v>6200463.5000000028</v>
      </c>
      <c r="AC175" s="41">
        <v>0</v>
      </c>
      <c r="AD175" s="41">
        <v>0</v>
      </c>
      <c r="AE175" s="70">
        <f t="shared" si="27"/>
        <v>0</v>
      </c>
      <c r="AF175" s="28">
        <f t="shared" si="28"/>
        <v>10050463.500000004</v>
      </c>
      <c r="AG175" s="28">
        <f t="shared" si="29"/>
        <v>9834.1130136986339</v>
      </c>
    </row>
    <row r="176" spans="1:37" ht="57.6" x14ac:dyDescent="0.3">
      <c r="A176" s="41" t="s">
        <v>697</v>
      </c>
      <c r="B176" s="41" t="s">
        <v>692</v>
      </c>
      <c r="C176" s="41" t="s">
        <v>666</v>
      </c>
      <c r="D176" s="41" t="s">
        <v>90</v>
      </c>
      <c r="E176" s="41" t="s">
        <v>478</v>
      </c>
      <c r="F176" s="41" t="s">
        <v>716</v>
      </c>
      <c r="G176" s="83">
        <v>39000</v>
      </c>
      <c r="J176" s="83">
        <f t="shared" si="20"/>
        <v>0</v>
      </c>
      <c r="K176" s="41">
        <v>58</v>
      </c>
      <c r="L176" s="41">
        <v>2</v>
      </c>
      <c r="M176" s="70">
        <f t="shared" si="21"/>
        <v>4976400</v>
      </c>
      <c r="N176" s="41">
        <v>0</v>
      </c>
      <c r="O176" s="41">
        <v>0</v>
      </c>
      <c r="P176" s="70">
        <f t="shared" si="22"/>
        <v>0</v>
      </c>
      <c r="Q176" s="41">
        <v>0</v>
      </c>
      <c r="R176" s="41">
        <v>0</v>
      </c>
      <c r="S176" s="70">
        <f t="shared" si="23"/>
        <v>0</v>
      </c>
      <c r="T176" s="41">
        <v>0</v>
      </c>
      <c r="U176" s="41">
        <v>0</v>
      </c>
      <c r="V176" s="70">
        <f t="shared" si="24"/>
        <v>0</v>
      </c>
      <c r="W176" s="41">
        <v>0</v>
      </c>
      <c r="X176" s="41">
        <v>0</v>
      </c>
      <c r="Y176" s="70">
        <f t="shared" si="25"/>
        <v>0</v>
      </c>
      <c r="Z176" s="41">
        <v>58</v>
      </c>
      <c r="AA176" s="41">
        <v>2</v>
      </c>
      <c r="AB176" s="70">
        <f t="shared" si="26"/>
        <v>8014541.9640000034</v>
      </c>
      <c r="AC176" s="41">
        <v>0</v>
      </c>
      <c r="AD176" s="41">
        <v>0</v>
      </c>
      <c r="AE176" s="70">
        <f t="shared" si="27"/>
        <v>0</v>
      </c>
      <c r="AF176" s="28">
        <f t="shared" si="28"/>
        <v>12990941.964000003</v>
      </c>
      <c r="AG176" s="28">
        <f t="shared" si="29"/>
        <v>12711.293506849319</v>
      </c>
    </row>
    <row r="177" spans="1:39" ht="57.6" x14ac:dyDescent="0.3">
      <c r="A177" s="41" t="s">
        <v>697</v>
      </c>
      <c r="B177" s="41" t="s">
        <v>692</v>
      </c>
      <c r="C177" s="41" t="s">
        <v>666</v>
      </c>
      <c r="D177" s="41" t="s">
        <v>90</v>
      </c>
      <c r="E177" s="41" t="s">
        <v>478</v>
      </c>
      <c r="F177" s="41" t="s">
        <v>712</v>
      </c>
      <c r="G177" s="83">
        <f>1999.2/7</f>
        <v>285.60000000000002</v>
      </c>
      <c r="J177" s="83">
        <f t="shared" si="20"/>
        <v>0</v>
      </c>
      <c r="K177" s="41">
        <f>25*2*29</f>
        <v>1450</v>
      </c>
      <c r="L177" s="41">
        <v>1</v>
      </c>
      <c r="M177" s="70">
        <f t="shared" si="21"/>
        <v>455532.00000000006</v>
      </c>
      <c r="N177" s="41">
        <v>0</v>
      </c>
      <c r="O177" s="41">
        <v>0</v>
      </c>
      <c r="P177" s="70">
        <f t="shared" si="22"/>
        <v>0</v>
      </c>
      <c r="Q177" s="41">
        <v>0</v>
      </c>
      <c r="R177" s="41">
        <v>0</v>
      </c>
      <c r="S177" s="70">
        <f t="shared" si="23"/>
        <v>0</v>
      </c>
      <c r="T177" s="41">
        <v>0</v>
      </c>
      <c r="U177" s="41">
        <v>0</v>
      </c>
      <c r="V177" s="70">
        <f t="shared" si="24"/>
        <v>0</v>
      </c>
      <c r="W177" s="41">
        <v>0</v>
      </c>
      <c r="X177" s="41">
        <v>0</v>
      </c>
      <c r="Y177" s="70">
        <f t="shared" si="25"/>
        <v>0</v>
      </c>
      <c r="Z177" s="41">
        <f>25*2*29</f>
        <v>1450</v>
      </c>
      <c r="AA177" s="41">
        <v>1</v>
      </c>
      <c r="AB177" s="70">
        <f t="shared" si="26"/>
        <v>733638.84132000036</v>
      </c>
      <c r="AC177" s="41">
        <v>0</v>
      </c>
      <c r="AD177" s="41">
        <v>0</v>
      </c>
      <c r="AE177" s="70">
        <f t="shared" si="27"/>
        <v>0</v>
      </c>
      <c r="AF177" s="28">
        <f t="shared" si="28"/>
        <v>1189170.8413200004</v>
      </c>
      <c r="AG177" s="28">
        <f t="shared" si="29"/>
        <v>1163.5722517808222</v>
      </c>
    </row>
    <row r="178" spans="1:39" ht="57.6" x14ac:dyDescent="0.3">
      <c r="A178" s="41" t="s">
        <v>697</v>
      </c>
      <c r="B178" s="41" t="s">
        <v>692</v>
      </c>
      <c r="C178" s="41" t="s">
        <v>666</v>
      </c>
      <c r="D178" s="41" t="s">
        <v>90</v>
      </c>
      <c r="E178" s="41" t="s">
        <v>478</v>
      </c>
      <c r="F178" s="41" t="s">
        <v>1396</v>
      </c>
      <c r="G178" s="83">
        <f>1999.2/7</f>
        <v>285.60000000000002</v>
      </c>
      <c r="J178" s="83">
        <f t="shared" si="20"/>
        <v>0</v>
      </c>
      <c r="K178" s="41">
        <f>135*2*29</f>
        <v>7830</v>
      </c>
      <c r="L178" s="41">
        <v>1</v>
      </c>
      <c r="M178" s="70">
        <f t="shared" si="21"/>
        <v>2459872.8000000003</v>
      </c>
      <c r="N178" s="41">
        <v>0</v>
      </c>
      <c r="O178" s="41">
        <v>0</v>
      </c>
      <c r="P178" s="70">
        <f t="shared" si="22"/>
        <v>0</v>
      </c>
      <c r="Q178" s="41">
        <v>0</v>
      </c>
      <c r="R178" s="41">
        <v>0</v>
      </c>
      <c r="S178" s="70">
        <f t="shared" si="23"/>
        <v>0</v>
      </c>
      <c r="T178" s="41">
        <v>0</v>
      </c>
      <c r="U178" s="41">
        <v>0</v>
      </c>
      <c r="V178" s="70">
        <f t="shared" si="24"/>
        <v>0</v>
      </c>
      <c r="W178" s="41">
        <v>0</v>
      </c>
      <c r="X178" s="41">
        <v>0</v>
      </c>
      <c r="Y178" s="70">
        <f t="shared" si="25"/>
        <v>0</v>
      </c>
      <c r="Z178" s="41">
        <f>135*2*29</f>
        <v>7830</v>
      </c>
      <c r="AA178" s="41">
        <v>1</v>
      </c>
      <c r="AB178" s="70">
        <f t="shared" si="26"/>
        <v>3961649.7431280022</v>
      </c>
      <c r="AC178" s="41">
        <v>0</v>
      </c>
      <c r="AD178" s="41">
        <v>0</v>
      </c>
      <c r="AE178" s="70">
        <f t="shared" si="27"/>
        <v>0</v>
      </c>
      <c r="AF178" s="28">
        <f t="shared" si="28"/>
        <v>6421522.5431280024</v>
      </c>
      <c r="AG178" s="28">
        <f t="shared" si="29"/>
        <v>6283.2901596164411</v>
      </c>
    </row>
    <row r="179" spans="1:39" ht="57.6" x14ac:dyDescent="0.3">
      <c r="A179" s="41" t="s">
        <v>697</v>
      </c>
      <c r="B179" s="41" t="s">
        <v>692</v>
      </c>
      <c r="C179" s="41" t="s">
        <v>666</v>
      </c>
      <c r="D179" s="41" t="s">
        <v>90</v>
      </c>
      <c r="E179" s="41" t="s">
        <v>478</v>
      </c>
      <c r="F179" s="41" t="s">
        <v>707</v>
      </c>
      <c r="G179" s="83">
        <v>391991.03749999998</v>
      </c>
      <c r="J179" s="83">
        <f t="shared" si="20"/>
        <v>0</v>
      </c>
      <c r="K179" s="41">
        <v>2</v>
      </c>
      <c r="L179" s="41">
        <v>2</v>
      </c>
      <c r="M179" s="70">
        <f t="shared" si="21"/>
        <v>1724760.5649999999</v>
      </c>
      <c r="N179" s="41"/>
      <c r="O179" s="41"/>
      <c r="P179" s="70">
        <f t="shared" si="22"/>
        <v>0</v>
      </c>
      <c r="Q179" s="41"/>
      <c r="R179" s="41"/>
      <c r="S179" s="70">
        <f t="shared" si="23"/>
        <v>0</v>
      </c>
      <c r="T179" s="41"/>
      <c r="U179" s="41"/>
      <c r="V179" s="70">
        <f t="shared" si="24"/>
        <v>0</v>
      </c>
      <c r="W179" s="41"/>
      <c r="X179" s="41"/>
      <c r="Y179" s="70">
        <f t="shared" si="25"/>
        <v>0</v>
      </c>
      <c r="Z179" s="41"/>
      <c r="AA179" s="41"/>
      <c r="AB179" s="70">
        <f t="shared" si="26"/>
        <v>0</v>
      </c>
      <c r="AC179" s="41"/>
      <c r="AD179" s="41"/>
      <c r="AE179" s="70">
        <f t="shared" si="27"/>
        <v>0</v>
      </c>
      <c r="AF179" s="28">
        <f t="shared" si="28"/>
        <v>1724760.5649999999</v>
      </c>
      <c r="AG179" s="28">
        <f t="shared" si="29"/>
        <v>1687.6326467710371</v>
      </c>
    </row>
    <row r="180" spans="1:39" ht="57.6" x14ac:dyDescent="0.3">
      <c r="A180" s="41" t="s">
        <v>697</v>
      </c>
      <c r="B180" s="41" t="s">
        <v>692</v>
      </c>
      <c r="C180" s="41" t="s">
        <v>666</v>
      </c>
      <c r="D180" s="41" t="s">
        <v>90</v>
      </c>
      <c r="E180" s="41" t="s">
        <v>478</v>
      </c>
      <c r="F180" s="41" t="s">
        <v>708</v>
      </c>
      <c r="G180" s="83">
        <f>500*1022</f>
        <v>511000</v>
      </c>
      <c r="J180" s="83">
        <f t="shared" si="20"/>
        <v>0</v>
      </c>
      <c r="K180" s="41">
        <v>1</v>
      </c>
      <c r="L180" s="41">
        <v>25</v>
      </c>
      <c r="M180" s="70">
        <f t="shared" si="21"/>
        <v>14052500</v>
      </c>
      <c r="N180" s="41"/>
      <c r="O180" s="41"/>
      <c r="P180" s="70">
        <f t="shared" si="22"/>
        <v>0</v>
      </c>
      <c r="Q180" s="41"/>
      <c r="R180" s="41"/>
      <c r="S180" s="70">
        <f t="shared" si="23"/>
        <v>0</v>
      </c>
      <c r="T180" s="41"/>
      <c r="U180" s="41"/>
      <c r="V180" s="70">
        <f t="shared" si="24"/>
        <v>0</v>
      </c>
      <c r="W180" s="41"/>
      <c r="X180" s="41"/>
      <c r="Y180" s="70">
        <f t="shared" si="25"/>
        <v>0</v>
      </c>
      <c r="Z180" s="41"/>
      <c r="AA180" s="41"/>
      <c r="AB180" s="70">
        <f t="shared" si="26"/>
        <v>0</v>
      </c>
      <c r="AC180" s="41"/>
      <c r="AD180" s="41"/>
      <c r="AE180" s="70">
        <f t="shared" si="27"/>
        <v>0</v>
      </c>
      <c r="AF180" s="28">
        <f t="shared" si="28"/>
        <v>14052500</v>
      </c>
      <c r="AG180" s="28">
        <f t="shared" si="29"/>
        <v>13750</v>
      </c>
    </row>
    <row r="181" spans="1:39" ht="57.6" x14ac:dyDescent="0.3">
      <c r="A181" s="41" t="s">
        <v>697</v>
      </c>
      <c r="B181" s="41" t="s">
        <v>692</v>
      </c>
      <c r="C181" s="41" t="s">
        <v>666</v>
      </c>
      <c r="D181" s="41" t="s">
        <v>91</v>
      </c>
      <c r="E181" s="41" t="s">
        <v>479</v>
      </c>
      <c r="F181" s="41" t="s">
        <v>716</v>
      </c>
      <c r="G181" s="83">
        <v>39000</v>
      </c>
      <c r="H181" s="41"/>
      <c r="I181" s="41"/>
      <c r="J181" s="83">
        <f t="shared" si="20"/>
        <v>0</v>
      </c>
      <c r="K181" s="41">
        <v>25</v>
      </c>
      <c r="L181" s="41">
        <v>6</v>
      </c>
      <c r="M181" s="70">
        <f t="shared" si="21"/>
        <v>6435000</v>
      </c>
      <c r="N181" s="41">
        <v>0</v>
      </c>
      <c r="O181" s="41">
        <v>0</v>
      </c>
      <c r="P181" s="70">
        <f t="shared" si="22"/>
        <v>0</v>
      </c>
      <c r="Q181" s="41">
        <v>0</v>
      </c>
      <c r="R181" s="41">
        <v>0</v>
      </c>
      <c r="S181" s="70">
        <f t="shared" si="23"/>
        <v>0</v>
      </c>
      <c r="T181" s="41">
        <v>0</v>
      </c>
      <c r="U181" s="41">
        <v>0</v>
      </c>
      <c r="V181" s="70">
        <f t="shared" si="24"/>
        <v>0</v>
      </c>
      <c r="W181" s="41">
        <v>0</v>
      </c>
      <c r="X181" s="41">
        <v>0</v>
      </c>
      <c r="Y181" s="70">
        <f t="shared" si="25"/>
        <v>0</v>
      </c>
      <c r="Z181" s="41">
        <v>25</v>
      </c>
      <c r="AA181" s="41">
        <v>6</v>
      </c>
      <c r="AB181" s="70">
        <f t="shared" si="26"/>
        <v>10363631.850000005</v>
      </c>
      <c r="AC181" s="41">
        <v>0</v>
      </c>
      <c r="AD181" s="41">
        <v>0</v>
      </c>
      <c r="AE181" s="70">
        <f t="shared" si="27"/>
        <v>0</v>
      </c>
      <c r="AF181" s="28">
        <f t="shared" si="28"/>
        <v>16798631.850000005</v>
      </c>
      <c r="AG181" s="28">
        <f t="shared" si="29"/>
        <v>16437.01746575343</v>
      </c>
    </row>
    <row r="182" spans="1:39" ht="57.6" x14ac:dyDescent="0.3">
      <c r="A182" s="41" t="s">
        <v>697</v>
      </c>
      <c r="B182" s="41" t="s">
        <v>692</v>
      </c>
      <c r="C182" s="41" t="s">
        <v>666</v>
      </c>
      <c r="D182" s="41" t="s">
        <v>91</v>
      </c>
      <c r="E182" s="41" t="s">
        <v>479</v>
      </c>
      <c r="F182" s="41" t="s">
        <v>709</v>
      </c>
      <c r="G182" s="83">
        <v>35000</v>
      </c>
      <c r="H182" s="41"/>
      <c r="I182" s="41"/>
      <c r="J182" s="83">
        <f t="shared" si="20"/>
        <v>0</v>
      </c>
      <c r="K182" s="41">
        <v>25</v>
      </c>
      <c r="L182" s="41">
        <v>5</v>
      </c>
      <c r="M182" s="70">
        <f t="shared" si="21"/>
        <v>4812500</v>
      </c>
      <c r="N182" s="41">
        <v>0</v>
      </c>
      <c r="O182" s="41">
        <v>0</v>
      </c>
      <c r="P182" s="70">
        <f t="shared" si="22"/>
        <v>0</v>
      </c>
      <c r="Q182" s="41">
        <v>0</v>
      </c>
      <c r="R182" s="41">
        <v>0</v>
      </c>
      <c r="S182" s="70">
        <f t="shared" si="23"/>
        <v>0</v>
      </c>
      <c r="T182" s="41">
        <v>0</v>
      </c>
      <c r="U182" s="41">
        <v>0</v>
      </c>
      <c r="V182" s="70">
        <f t="shared" si="24"/>
        <v>0</v>
      </c>
      <c r="W182" s="41">
        <v>0</v>
      </c>
      <c r="X182" s="41">
        <v>0</v>
      </c>
      <c r="Y182" s="70">
        <f t="shared" si="25"/>
        <v>0</v>
      </c>
      <c r="Z182" s="41">
        <v>25</v>
      </c>
      <c r="AA182" s="41">
        <v>5</v>
      </c>
      <c r="AB182" s="70">
        <f t="shared" si="26"/>
        <v>7750579.3750000037</v>
      </c>
      <c r="AC182" s="41">
        <v>0</v>
      </c>
      <c r="AD182" s="41">
        <v>0</v>
      </c>
      <c r="AE182" s="70">
        <f t="shared" si="27"/>
        <v>0</v>
      </c>
      <c r="AF182" s="28">
        <f t="shared" si="28"/>
        <v>12563079.375000004</v>
      </c>
      <c r="AG182" s="28">
        <f t="shared" si="29"/>
        <v>12292.641267123292</v>
      </c>
    </row>
    <row r="183" spans="1:39" ht="57.6" x14ac:dyDescent="0.3">
      <c r="A183" s="41" t="s">
        <v>697</v>
      </c>
      <c r="B183" s="41" t="s">
        <v>692</v>
      </c>
      <c r="C183" s="41" t="s">
        <v>666</v>
      </c>
      <c r="D183" s="41" t="s">
        <v>91</v>
      </c>
      <c r="E183" s="41" t="s">
        <v>479</v>
      </c>
      <c r="F183" s="41" t="s">
        <v>712</v>
      </c>
      <c r="G183" s="83">
        <f>1999.2/7</f>
        <v>285.60000000000002</v>
      </c>
      <c r="H183" s="41"/>
      <c r="I183" s="41"/>
      <c r="J183" s="83">
        <f t="shared" si="20"/>
        <v>0</v>
      </c>
      <c r="K183" s="41">
        <f>25*2*9</f>
        <v>450</v>
      </c>
      <c r="L183" s="41">
        <v>5</v>
      </c>
      <c r="M183" s="70">
        <f t="shared" si="21"/>
        <v>706860</v>
      </c>
      <c r="N183" s="41">
        <v>0</v>
      </c>
      <c r="O183" s="41">
        <v>0</v>
      </c>
      <c r="P183" s="70">
        <f t="shared" si="22"/>
        <v>0</v>
      </c>
      <c r="Q183" s="41">
        <v>0</v>
      </c>
      <c r="R183" s="41">
        <v>0</v>
      </c>
      <c r="S183" s="70">
        <f t="shared" si="23"/>
        <v>0</v>
      </c>
      <c r="T183" s="41">
        <v>0</v>
      </c>
      <c r="U183" s="41">
        <v>0</v>
      </c>
      <c r="V183" s="70">
        <f t="shared" si="24"/>
        <v>0</v>
      </c>
      <c r="W183" s="41">
        <v>0</v>
      </c>
      <c r="X183" s="41">
        <v>0</v>
      </c>
      <c r="Y183" s="70">
        <f t="shared" si="25"/>
        <v>0</v>
      </c>
      <c r="Z183" s="41">
        <f>25*2*9</f>
        <v>450</v>
      </c>
      <c r="AA183" s="41">
        <v>5</v>
      </c>
      <c r="AB183" s="70">
        <f t="shared" si="26"/>
        <v>1138405.0986000006</v>
      </c>
      <c r="AC183" s="41">
        <v>0</v>
      </c>
      <c r="AD183" s="41">
        <v>0</v>
      </c>
      <c r="AE183" s="70">
        <f t="shared" si="27"/>
        <v>0</v>
      </c>
      <c r="AF183" s="28">
        <f t="shared" si="28"/>
        <v>1845265.0986000006</v>
      </c>
      <c r="AG183" s="28">
        <f t="shared" si="29"/>
        <v>1805.5431493150691</v>
      </c>
    </row>
    <row r="184" spans="1:39" ht="57.6" x14ac:dyDescent="0.3">
      <c r="A184" s="41" t="s">
        <v>697</v>
      </c>
      <c r="B184" s="41" t="s">
        <v>692</v>
      </c>
      <c r="C184" s="41" t="s">
        <v>666</v>
      </c>
      <c r="D184" s="41" t="s">
        <v>91</v>
      </c>
      <c r="E184" s="41" t="s">
        <v>479</v>
      </c>
      <c r="F184" s="41" t="s">
        <v>1350</v>
      </c>
      <c r="G184" s="83">
        <f>1999.2/7</f>
        <v>285.60000000000002</v>
      </c>
      <c r="H184" s="41"/>
      <c r="I184" s="41"/>
      <c r="J184" s="83">
        <f t="shared" si="20"/>
        <v>0</v>
      </c>
      <c r="K184" s="41">
        <f>135*2*9</f>
        <v>2430</v>
      </c>
      <c r="L184" s="41">
        <v>5</v>
      </c>
      <c r="M184" s="70">
        <f t="shared" si="21"/>
        <v>3817044</v>
      </c>
      <c r="N184" s="41">
        <v>0</v>
      </c>
      <c r="O184" s="41">
        <v>0</v>
      </c>
      <c r="P184" s="70">
        <f t="shared" si="22"/>
        <v>0</v>
      </c>
      <c r="Q184" s="41">
        <v>0</v>
      </c>
      <c r="R184" s="41">
        <v>0</v>
      </c>
      <c r="S184" s="70">
        <f t="shared" si="23"/>
        <v>0</v>
      </c>
      <c r="T184" s="41">
        <v>0</v>
      </c>
      <c r="U184" s="41">
        <v>0</v>
      </c>
      <c r="V184" s="70">
        <f t="shared" si="24"/>
        <v>0</v>
      </c>
      <c r="W184" s="41">
        <v>0</v>
      </c>
      <c r="X184" s="41">
        <v>0</v>
      </c>
      <c r="Y184" s="70">
        <f t="shared" si="25"/>
        <v>0</v>
      </c>
      <c r="Z184" s="41">
        <f>135*2*9</f>
        <v>2430</v>
      </c>
      <c r="AA184" s="41">
        <v>5</v>
      </c>
      <c r="AB184" s="70">
        <f t="shared" si="26"/>
        <v>6147387.5324400039</v>
      </c>
      <c r="AC184" s="41">
        <v>0</v>
      </c>
      <c r="AD184" s="41">
        <v>0</v>
      </c>
      <c r="AE184" s="70">
        <f t="shared" si="27"/>
        <v>0</v>
      </c>
      <c r="AF184" s="28">
        <f t="shared" si="28"/>
        <v>9964431.532440003</v>
      </c>
      <c r="AG184" s="28">
        <f t="shared" si="29"/>
        <v>9749.9330063013731</v>
      </c>
    </row>
    <row r="185" spans="1:39" ht="57.6" x14ac:dyDescent="0.3">
      <c r="A185" s="41" t="s">
        <v>697</v>
      </c>
      <c r="B185" s="41" t="s">
        <v>692</v>
      </c>
      <c r="C185" s="41" t="s">
        <v>666</v>
      </c>
      <c r="D185" s="41" t="s">
        <v>91</v>
      </c>
      <c r="E185" s="41" t="s">
        <v>480</v>
      </c>
      <c r="F185" s="41" t="s">
        <v>716</v>
      </c>
      <c r="G185" s="83">
        <v>39000</v>
      </c>
      <c r="H185" s="41"/>
      <c r="I185" s="41"/>
      <c r="J185" s="83">
        <f t="shared" si="20"/>
        <v>0</v>
      </c>
      <c r="K185" s="41">
        <v>60</v>
      </c>
      <c r="L185" s="41">
        <v>6</v>
      </c>
      <c r="M185" s="70">
        <f t="shared" si="21"/>
        <v>15444000</v>
      </c>
      <c r="N185" s="41">
        <v>0</v>
      </c>
      <c r="O185" s="41">
        <v>0</v>
      </c>
      <c r="P185" s="70">
        <f t="shared" si="22"/>
        <v>0</v>
      </c>
      <c r="Q185" s="41">
        <v>0</v>
      </c>
      <c r="R185" s="41">
        <v>0</v>
      </c>
      <c r="S185" s="70">
        <f t="shared" si="23"/>
        <v>0</v>
      </c>
      <c r="T185" s="41">
        <v>0</v>
      </c>
      <c r="U185" s="41">
        <v>0</v>
      </c>
      <c r="V185" s="70">
        <f t="shared" si="24"/>
        <v>0</v>
      </c>
      <c r="W185" s="41">
        <v>0</v>
      </c>
      <c r="X185" s="41">
        <v>0</v>
      </c>
      <c r="Y185" s="70">
        <f t="shared" si="25"/>
        <v>0</v>
      </c>
      <c r="Z185" s="41">
        <v>60</v>
      </c>
      <c r="AA185" s="41">
        <v>6</v>
      </c>
      <c r="AB185" s="70">
        <f t="shared" si="26"/>
        <v>24872716.440000009</v>
      </c>
      <c r="AC185" s="41">
        <v>0</v>
      </c>
      <c r="AD185" s="41">
        <v>0</v>
      </c>
      <c r="AE185" s="70">
        <f t="shared" si="27"/>
        <v>0</v>
      </c>
      <c r="AF185" s="28">
        <f t="shared" si="28"/>
        <v>40316716.440000013</v>
      </c>
      <c r="AG185" s="28">
        <f t="shared" si="29"/>
        <v>39448.841917808233</v>
      </c>
    </row>
    <row r="186" spans="1:39" ht="57.6" x14ac:dyDescent="0.3">
      <c r="A186" s="41" t="s">
        <v>697</v>
      </c>
      <c r="B186" s="41" t="s">
        <v>692</v>
      </c>
      <c r="C186" s="41" t="s">
        <v>666</v>
      </c>
      <c r="D186" s="41" t="s">
        <v>91</v>
      </c>
      <c r="E186" s="41" t="s">
        <v>480</v>
      </c>
      <c r="F186" s="41" t="s">
        <v>709</v>
      </c>
      <c r="G186" s="83">
        <v>35000</v>
      </c>
      <c r="H186" s="41"/>
      <c r="I186" s="41"/>
      <c r="J186" s="83">
        <f t="shared" si="20"/>
        <v>0</v>
      </c>
      <c r="K186" s="41">
        <v>60</v>
      </c>
      <c r="L186" s="41">
        <v>5</v>
      </c>
      <c r="M186" s="70">
        <f t="shared" si="21"/>
        <v>11550000</v>
      </c>
      <c r="N186" s="41">
        <v>0</v>
      </c>
      <c r="O186" s="41">
        <v>0</v>
      </c>
      <c r="P186" s="70">
        <f t="shared" si="22"/>
        <v>0</v>
      </c>
      <c r="Q186" s="41">
        <v>0</v>
      </c>
      <c r="R186" s="41">
        <v>0</v>
      </c>
      <c r="S186" s="70">
        <f t="shared" si="23"/>
        <v>0</v>
      </c>
      <c r="T186" s="41">
        <v>0</v>
      </c>
      <c r="U186" s="41">
        <v>0</v>
      </c>
      <c r="V186" s="70">
        <f t="shared" si="24"/>
        <v>0</v>
      </c>
      <c r="W186" s="41">
        <v>0</v>
      </c>
      <c r="X186" s="41">
        <v>0</v>
      </c>
      <c r="Y186" s="70">
        <f t="shared" si="25"/>
        <v>0</v>
      </c>
      <c r="Z186" s="41">
        <v>60</v>
      </c>
      <c r="AA186" s="41">
        <v>5</v>
      </c>
      <c r="AB186" s="70">
        <f t="shared" si="26"/>
        <v>18601390.500000011</v>
      </c>
      <c r="AC186" s="41">
        <v>0</v>
      </c>
      <c r="AD186" s="41">
        <v>0</v>
      </c>
      <c r="AE186" s="70">
        <f t="shared" si="27"/>
        <v>0</v>
      </c>
      <c r="AF186" s="28">
        <f t="shared" si="28"/>
        <v>30151390.500000011</v>
      </c>
      <c r="AG186" s="28">
        <f t="shared" si="29"/>
        <v>29502.3390410959</v>
      </c>
    </row>
    <row r="187" spans="1:39" ht="57.6" x14ac:dyDescent="0.3">
      <c r="A187" s="41" t="s">
        <v>697</v>
      </c>
      <c r="B187" s="41" t="s">
        <v>692</v>
      </c>
      <c r="C187" s="41" t="s">
        <v>666</v>
      </c>
      <c r="D187" s="41" t="s">
        <v>91</v>
      </c>
      <c r="E187" s="41" t="s">
        <v>480</v>
      </c>
      <c r="F187" s="41" t="s">
        <v>712</v>
      </c>
      <c r="G187" s="83">
        <f>1999.2/7</f>
        <v>285.60000000000002</v>
      </c>
      <c r="H187" s="41"/>
      <c r="I187" s="41"/>
      <c r="J187" s="83">
        <f t="shared" si="20"/>
        <v>0</v>
      </c>
      <c r="K187" s="41">
        <f>25*2*25</f>
        <v>1250</v>
      </c>
      <c r="L187" s="41">
        <v>5</v>
      </c>
      <c r="M187" s="70">
        <f t="shared" si="21"/>
        <v>1963500.0000000002</v>
      </c>
      <c r="N187" s="41">
        <v>0</v>
      </c>
      <c r="O187" s="41">
        <v>0</v>
      </c>
      <c r="P187" s="70">
        <f t="shared" si="22"/>
        <v>0</v>
      </c>
      <c r="Q187" s="41">
        <v>0</v>
      </c>
      <c r="R187" s="41">
        <v>0</v>
      </c>
      <c r="S187" s="70">
        <f t="shared" si="23"/>
        <v>0</v>
      </c>
      <c r="T187" s="41">
        <v>0</v>
      </c>
      <c r="U187" s="41">
        <v>0</v>
      </c>
      <c r="V187" s="70">
        <f t="shared" si="24"/>
        <v>0</v>
      </c>
      <c r="W187" s="41">
        <v>0</v>
      </c>
      <c r="X187" s="41">
        <v>0</v>
      </c>
      <c r="Y187" s="70">
        <f t="shared" si="25"/>
        <v>0</v>
      </c>
      <c r="Z187" s="41">
        <f>25*2*25</f>
        <v>1250</v>
      </c>
      <c r="AA187" s="41">
        <v>5</v>
      </c>
      <c r="AB187" s="70">
        <f t="shared" si="26"/>
        <v>3162236.3850000016</v>
      </c>
      <c r="AC187" s="41">
        <v>0</v>
      </c>
      <c r="AD187" s="41">
        <v>0</v>
      </c>
      <c r="AE187" s="70">
        <f t="shared" si="27"/>
        <v>0</v>
      </c>
      <c r="AF187" s="28">
        <f t="shared" si="28"/>
        <v>5125736.3850000016</v>
      </c>
      <c r="AG187" s="28">
        <f t="shared" si="29"/>
        <v>5015.397636986303</v>
      </c>
    </row>
    <row r="188" spans="1:39" ht="57.6" x14ac:dyDescent="0.3">
      <c r="A188" s="41" t="s">
        <v>697</v>
      </c>
      <c r="B188" s="41" t="s">
        <v>692</v>
      </c>
      <c r="C188" s="41" t="s">
        <v>666</v>
      </c>
      <c r="D188" s="41" t="s">
        <v>91</v>
      </c>
      <c r="E188" s="41" t="s">
        <v>481</v>
      </c>
      <c r="F188" s="41" t="s">
        <v>718</v>
      </c>
      <c r="G188" s="83">
        <v>0</v>
      </c>
      <c r="H188" s="41">
        <v>0</v>
      </c>
      <c r="I188" s="41">
        <v>0</v>
      </c>
      <c r="J188" s="83">
        <f t="shared" si="20"/>
        <v>0</v>
      </c>
      <c r="K188" s="41">
        <v>0</v>
      </c>
      <c r="L188" s="41">
        <v>0</v>
      </c>
      <c r="M188" s="70">
        <f t="shared" si="21"/>
        <v>0</v>
      </c>
      <c r="N188" s="41">
        <v>0</v>
      </c>
      <c r="O188" s="41">
        <v>0</v>
      </c>
      <c r="P188" s="70">
        <f t="shared" si="22"/>
        <v>0</v>
      </c>
      <c r="Q188" s="41">
        <v>0</v>
      </c>
      <c r="R188" s="41">
        <v>0</v>
      </c>
      <c r="S188" s="70">
        <f t="shared" si="23"/>
        <v>0</v>
      </c>
      <c r="T188" s="41">
        <v>0</v>
      </c>
      <c r="U188" s="41">
        <v>0</v>
      </c>
      <c r="V188" s="70">
        <f t="shared" si="24"/>
        <v>0</v>
      </c>
      <c r="W188" s="41">
        <v>0</v>
      </c>
      <c r="X188" s="41">
        <v>0</v>
      </c>
      <c r="Y188" s="70">
        <f t="shared" si="25"/>
        <v>0</v>
      </c>
      <c r="Z188" s="41">
        <v>0</v>
      </c>
      <c r="AA188" s="41">
        <v>0</v>
      </c>
      <c r="AB188" s="70">
        <f t="shared" si="26"/>
        <v>0</v>
      </c>
      <c r="AC188" s="41">
        <v>0</v>
      </c>
      <c r="AD188" s="41">
        <v>0</v>
      </c>
      <c r="AE188" s="70">
        <f t="shared" si="27"/>
        <v>0</v>
      </c>
      <c r="AF188" s="28">
        <f t="shared" si="28"/>
        <v>0</v>
      </c>
      <c r="AG188" s="28">
        <f t="shared" si="29"/>
        <v>0</v>
      </c>
    </row>
    <row r="189" spans="1:39" x14ac:dyDescent="0.3">
      <c r="A189" s="91" t="s">
        <v>1302</v>
      </c>
      <c r="B189" s="91"/>
      <c r="C189" s="91"/>
      <c r="D189" s="91"/>
      <c r="E189" s="91"/>
      <c r="F189" s="91"/>
      <c r="G189" s="92"/>
      <c r="H189" s="91"/>
      <c r="I189" s="91"/>
      <c r="J189" s="92">
        <f>SUM(J165:J188)</f>
        <v>0</v>
      </c>
      <c r="K189" s="91"/>
      <c r="L189" s="91"/>
      <c r="M189" s="92">
        <f>SUM(M165:M188)</f>
        <v>199263350.16500002</v>
      </c>
      <c r="N189" s="91"/>
      <c r="O189" s="91"/>
      <c r="P189" s="92">
        <f>SUM(P165:P188)</f>
        <v>0</v>
      </c>
      <c r="Q189" s="91"/>
      <c r="R189" s="91"/>
      <c r="S189" s="92">
        <f>SUM(S165:S188)</f>
        <v>0</v>
      </c>
      <c r="T189" s="91"/>
      <c r="U189" s="91"/>
      <c r="V189" s="92">
        <f>SUM(V165:V188)</f>
        <v>0</v>
      </c>
      <c r="W189" s="91"/>
      <c r="X189" s="91"/>
      <c r="Y189" s="92">
        <f>SUM(Y165:Y188)</f>
        <v>0</v>
      </c>
      <c r="Z189" s="91"/>
      <c r="AA189" s="91"/>
      <c r="AB189" s="92">
        <f>SUM(AB165:AB188)</f>
        <v>295506182.16169614</v>
      </c>
      <c r="AC189" s="91"/>
      <c r="AD189" s="91"/>
      <c r="AE189" s="92">
        <f>SUM(AE165:AE188)</f>
        <v>0</v>
      </c>
      <c r="AF189" s="95">
        <f t="shared" si="28"/>
        <v>494769532.32669616</v>
      </c>
      <c r="AG189" s="95">
        <f t="shared" si="29"/>
        <v>484118.91617093555</v>
      </c>
      <c r="AH189" s="94"/>
      <c r="AI189" s="94"/>
      <c r="AJ189" s="94"/>
      <c r="AK189" s="94"/>
      <c r="AL189" s="94"/>
    </row>
    <row r="190" spans="1:39" x14ac:dyDescent="0.3">
      <c r="A190" s="63" t="s">
        <v>1431</v>
      </c>
      <c r="B190" s="63"/>
      <c r="C190" s="63"/>
      <c r="D190" s="63"/>
      <c r="E190" s="63"/>
      <c r="F190" s="63"/>
      <c r="G190" s="90"/>
      <c r="H190" s="63"/>
      <c r="I190" s="63"/>
      <c r="J190" s="90">
        <f>J189/$AL$2</f>
        <v>0</v>
      </c>
      <c r="K190" s="63"/>
      <c r="L190" s="63"/>
      <c r="M190" s="90">
        <f>M189/$AL$2</f>
        <v>194973.92384050883</v>
      </c>
      <c r="N190" s="63"/>
      <c r="O190" s="63"/>
      <c r="P190" s="90">
        <f>P189/$AL$2</f>
        <v>0</v>
      </c>
      <c r="Q190" s="63"/>
      <c r="R190" s="63"/>
      <c r="S190" s="90">
        <f>S189/$AL$2</f>
        <v>0</v>
      </c>
      <c r="T190" s="63"/>
      <c r="U190" s="63"/>
      <c r="V190" s="90">
        <f>V189/$AL$2</f>
        <v>0</v>
      </c>
      <c r="W190" s="63"/>
      <c r="X190" s="63"/>
      <c r="Y190" s="90">
        <f>Y189/$AL$2</f>
        <v>0</v>
      </c>
      <c r="Z190" s="63"/>
      <c r="AA190" s="63"/>
      <c r="AB190" s="90">
        <f>AB189/$AL$2</f>
        <v>289144.99233042676</v>
      </c>
      <c r="AC190" s="63"/>
      <c r="AD190" s="63"/>
      <c r="AE190" s="90">
        <f>AE189/$AL$2</f>
        <v>0</v>
      </c>
      <c r="AF190" s="20">
        <f t="shared" si="28"/>
        <v>484118.91617093561</v>
      </c>
      <c r="AG190" s="20">
        <f t="shared" si="29"/>
        <v>473.69756963888022</v>
      </c>
      <c r="AH190" s="62"/>
      <c r="AI190" s="62"/>
      <c r="AJ190" s="62"/>
      <c r="AK190" s="62"/>
      <c r="AL190" s="62"/>
      <c r="AM190" s="62"/>
    </row>
    <row r="191" spans="1:39" ht="57.6" x14ac:dyDescent="0.3">
      <c r="A191" s="41" t="s">
        <v>697</v>
      </c>
      <c r="B191" s="41" t="s">
        <v>692</v>
      </c>
      <c r="C191" s="41" t="s">
        <v>667</v>
      </c>
      <c r="D191" s="41" t="s">
        <v>92</v>
      </c>
      <c r="E191" s="41" t="s">
        <v>482</v>
      </c>
      <c r="F191" s="41" t="s">
        <v>718</v>
      </c>
      <c r="G191" s="83">
        <v>0</v>
      </c>
      <c r="H191" s="41">
        <v>0</v>
      </c>
      <c r="I191" s="41">
        <v>0</v>
      </c>
      <c r="J191" s="83">
        <f t="shared" si="20"/>
        <v>0</v>
      </c>
      <c r="K191" s="41">
        <v>0</v>
      </c>
      <c r="L191" s="41">
        <v>0</v>
      </c>
      <c r="M191" s="70">
        <f t="shared" si="21"/>
        <v>0</v>
      </c>
      <c r="N191" s="41">
        <v>0</v>
      </c>
      <c r="O191" s="41">
        <v>0</v>
      </c>
      <c r="P191" s="70">
        <f t="shared" si="22"/>
        <v>0</v>
      </c>
      <c r="Q191" s="41">
        <v>0</v>
      </c>
      <c r="R191" s="41">
        <v>0</v>
      </c>
      <c r="S191" s="70">
        <f t="shared" si="23"/>
        <v>0</v>
      </c>
      <c r="T191" s="41">
        <v>0</v>
      </c>
      <c r="U191" s="41">
        <v>0</v>
      </c>
      <c r="V191" s="70">
        <f t="shared" si="24"/>
        <v>0</v>
      </c>
      <c r="W191" s="41">
        <v>0</v>
      </c>
      <c r="X191" s="41">
        <v>0</v>
      </c>
      <c r="Y191" s="70">
        <f t="shared" si="25"/>
        <v>0</v>
      </c>
      <c r="Z191" s="41">
        <v>0</v>
      </c>
      <c r="AA191" s="41">
        <v>0</v>
      </c>
      <c r="AB191" s="70">
        <f t="shared" si="26"/>
        <v>0</v>
      </c>
      <c r="AC191" s="41">
        <v>0</v>
      </c>
      <c r="AD191" s="41">
        <v>0</v>
      </c>
      <c r="AE191" s="70">
        <f t="shared" si="27"/>
        <v>0</v>
      </c>
      <c r="AF191" s="28">
        <f t="shared" si="28"/>
        <v>0</v>
      </c>
      <c r="AG191" s="28">
        <f t="shared" si="29"/>
        <v>0</v>
      </c>
    </row>
    <row r="192" spans="1:39" ht="57.6" x14ac:dyDescent="0.3">
      <c r="A192" s="41" t="s">
        <v>697</v>
      </c>
      <c r="B192" s="41" t="s">
        <v>692</v>
      </c>
      <c r="C192" s="41" t="s">
        <v>667</v>
      </c>
      <c r="D192" s="41" t="s">
        <v>92</v>
      </c>
      <c r="E192" s="41" t="s">
        <v>573</v>
      </c>
      <c r="F192" s="41" t="s">
        <v>707</v>
      </c>
      <c r="G192" s="83">
        <v>391991.03749999998</v>
      </c>
      <c r="H192" s="41">
        <v>2</v>
      </c>
      <c r="I192" s="41">
        <v>1</v>
      </c>
      <c r="J192" s="83">
        <f t="shared" si="20"/>
        <v>783982.07499999995</v>
      </c>
      <c r="K192" s="41"/>
      <c r="L192" s="41"/>
      <c r="M192" s="70">
        <f t="shared" si="21"/>
        <v>0</v>
      </c>
      <c r="N192" s="41">
        <v>0</v>
      </c>
      <c r="O192" s="41">
        <v>0</v>
      </c>
      <c r="P192" s="70">
        <f t="shared" si="22"/>
        <v>0</v>
      </c>
      <c r="Q192" s="41">
        <v>0</v>
      </c>
      <c r="R192" s="41">
        <v>0</v>
      </c>
      <c r="S192" s="70">
        <f t="shared" si="23"/>
        <v>0</v>
      </c>
      <c r="T192" s="41">
        <v>0</v>
      </c>
      <c r="U192" s="41">
        <v>0</v>
      </c>
      <c r="V192" s="70">
        <f t="shared" si="24"/>
        <v>0</v>
      </c>
      <c r="W192" s="41">
        <v>0</v>
      </c>
      <c r="X192" s="41">
        <v>0</v>
      </c>
      <c r="Y192" s="70">
        <f t="shared" si="25"/>
        <v>0</v>
      </c>
      <c r="Z192" s="41">
        <v>0</v>
      </c>
      <c r="AA192" s="41">
        <v>0</v>
      </c>
      <c r="AB192" s="70">
        <f t="shared" si="26"/>
        <v>0</v>
      </c>
      <c r="AC192" s="41">
        <v>0</v>
      </c>
      <c r="AD192" s="41">
        <v>0</v>
      </c>
      <c r="AE192" s="70">
        <f t="shared" si="27"/>
        <v>0</v>
      </c>
      <c r="AF192" s="28">
        <f t="shared" si="28"/>
        <v>783982.07499999995</v>
      </c>
      <c r="AG192" s="28">
        <f t="shared" si="29"/>
        <v>767.10574853228957</v>
      </c>
    </row>
    <row r="193" spans="1:37" ht="57.6" x14ac:dyDescent="0.3">
      <c r="A193" s="41" t="s">
        <v>697</v>
      </c>
      <c r="B193" s="41" t="s">
        <v>692</v>
      </c>
      <c r="C193" s="41" t="s">
        <v>667</v>
      </c>
      <c r="D193" s="41" t="s">
        <v>92</v>
      </c>
      <c r="E193" s="41" t="s">
        <v>573</v>
      </c>
      <c r="F193" s="41" t="s">
        <v>708</v>
      </c>
      <c r="G193" s="83">
        <f>500*1022</f>
        <v>511000</v>
      </c>
      <c r="H193" s="41">
        <v>1</v>
      </c>
      <c r="I193" s="41">
        <v>25</v>
      </c>
      <c r="J193" s="83">
        <f t="shared" si="20"/>
        <v>12775000</v>
      </c>
      <c r="K193" s="41"/>
      <c r="L193" s="41"/>
      <c r="M193" s="70">
        <f t="shared" si="21"/>
        <v>0</v>
      </c>
      <c r="N193" s="41">
        <v>0</v>
      </c>
      <c r="O193" s="41">
        <v>0</v>
      </c>
      <c r="P193" s="70">
        <f t="shared" si="22"/>
        <v>0</v>
      </c>
      <c r="Q193" s="41">
        <v>0</v>
      </c>
      <c r="R193" s="41">
        <v>0</v>
      </c>
      <c r="S193" s="70">
        <f t="shared" si="23"/>
        <v>0</v>
      </c>
      <c r="T193" s="41">
        <v>0</v>
      </c>
      <c r="U193" s="41">
        <v>0</v>
      </c>
      <c r="V193" s="70">
        <f t="shared" si="24"/>
        <v>0</v>
      </c>
      <c r="W193" s="41">
        <v>0</v>
      </c>
      <c r="X193" s="41">
        <v>0</v>
      </c>
      <c r="Y193" s="70">
        <f t="shared" si="25"/>
        <v>0</v>
      </c>
      <c r="Z193" s="41">
        <v>0</v>
      </c>
      <c r="AA193" s="41">
        <v>0</v>
      </c>
      <c r="AB193" s="70">
        <f t="shared" si="26"/>
        <v>0</v>
      </c>
      <c r="AC193" s="41">
        <v>0</v>
      </c>
      <c r="AD193" s="41">
        <v>0</v>
      </c>
      <c r="AE193" s="70">
        <f t="shared" si="27"/>
        <v>0</v>
      </c>
      <c r="AF193" s="28">
        <f t="shared" si="28"/>
        <v>12775000</v>
      </c>
      <c r="AG193" s="28">
        <f t="shared" si="29"/>
        <v>12500</v>
      </c>
    </row>
    <row r="194" spans="1:37" ht="57.6" x14ac:dyDescent="0.3">
      <c r="A194" s="41" t="s">
        <v>697</v>
      </c>
      <c r="B194" s="41" t="s">
        <v>692</v>
      </c>
      <c r="C194" s="41" t="s">
        <v>667</v>
      </c>
      <c r="D194" s="41" t="s">
        <v>92</v>
      </c>
      <c r="E194" s="41" t="s">
        <v>280</v>
      </c>
      <c r="F194" s="41" t="s">
        <v>716</v>
      </c>
      <c r="G194" s="83">
        <v>39000</v>
      </c>
      <c r="J194" s="83">
        <f t="shared" ref="J194:J226" si="30">G194*H194*I194</f>
        <v>0</v>
      </c>
      <c r="K194" s="41">
        <v>58</v>
      </c>
      <c r="L194" s="41">
        <v>2</v>
      </c>
      <c r="M194" s="70">
        <f t="shared" ref="M194:M222" si="31">($G194*1.1^1)*K194*L194</f>
        <v>4976400</v>
      </c>
      <c r="N194" s="41">
        <v>0</v>
      </c>
      <c r="O194" s="41">
        <v>0</v>
      </c>
      <c r="P194" s="70">
        <f t="shared" ref="P194:P222" si="32">($G194*1.1^2)*N194*O194</f>
        <v>0</v>
      </c>
      <c r="Q194" s="41">
        <v>0</v>
      </c>
      <c r="R194" s="41">
        <v>0</v>
      </c>
      <c r="S194" s="70">
        <f t="shared" ref="S194:S222" si="33">($G194*1.1^3)*Q194*R194</f>
        <v>0</v>
      </c>
      <c r="T194" s="41">
        <v>0</v>
      </c>
      <c r="U194" s="41">
        <v>0</v>
      </c>
      <c r="V194" s="70">
        <f t="shared" ref="V194:V222" si="34">($G194*1.1^4)*T194*U194</f>
        <v>0</v>
      </c>
      <c r="W194" s="41">
        <v>0</v>
      </c>
      <c r="X194" s="41">
        <v>0</v>
      </c>
      <c r="Y194" s="70">
        <f t="shared" ref="Y194:Y222" si="35">($G194*1.1^5)*W194*X194</f>
        <v>0</v>
      </c>
      <c r="Z194" s="41">
        <v>58</v>
      </c>
      <c r="AA194" s="41">
        <v>2</v>
      </c>
      <c r="AB194" s="70">
        <f t="shared" ref="AB194:AB222" si="36">($G194*1.1^6)*Z194*AA194</f>
        <v>8014541.9640000034</v>
      </c>
      <c r="AC194" s="41">
        <v>0</v>
      </c>
      <c r="AD194" s="41">
        <v>0</v>
      </c>
      <c r="AE194" s="70">
        <f t="shared" ref="AE194:AE222" si="37">($G194*1.1^7)*AC194*AD194</f>
        <v>0</v>
      </c>
      <c r="AF194" s="28">
        <f t="shared" ref="AF194:AF222" si="38">J194+M194+P194+S194+V194+Y194+AB194+AE194</f>
        <v>12990941.964000003</v>
      </c>
      <c r="AG194" s="28">
        <f t="shared" ref="AG194:AG222" si="39">AF194/$AL$2</f>
        <v>12711.293506849319</v>
      </c>
    </row>
    <row r="195" spans="1:37" ht="57.6" x14ac:dyDescent="0.3">
      <c r="A195" s="41" t="s">
        <v>697</v>
      </c>
      <c r="B195" s="41" t="s">
        <v>692</v>
      </c>
      <c r="C195" s="41" t="s">
        <v>667</v>
      </c>
      <c r="D195" s="41" t="s">
        <v>92</v>
      </c>
      <c r="E195" s="41" t="s">
        <v>280</v>
      </c>
      <c r="F195" s="41" t="s">
        <v>709</v>
      </c>
      <c r="G195" s="83">
        <v>35000</v>
      </c>
      <c r="J195" s="83">
        <f t="shared" si="30"/>
        <v>0</v>
      </c>
      <c r="K195" s="41">
        <v>100</v>
      </c>
      <c r="L195" s="41">
        <v>1</v>
      </c>
      <c r="M195" s="70">
        <f t="shared" si="31"/>
        <v>3850000</v>
      </c>
      <c r="N195" s="41"/>
      <c r="O195" s="41"/>
      <c r="P195" s="70">
        <f t="shared" si="32"/>
        <v>0</v>
      </c>
      <c r="Q195" s="41"/>
      <c r="R195" s="41"/>
      <c r="S195" s="70">
        <f t="shared" si="33"/>
        <v>0</v>
      </c>
      <c r="T195" s="41"/>
      <c r="U195" s="41"/>
      <c r="V195" s="70">
        <f t="shared" si="34"/>
        <v>0</v>
      </c>
      <c r="W195" s="41"/>
      <c r="X195" s="41"/>
      <c r="Y195" s="70">
        <f t="shared" si="35"/>
        <v>0</v>
      </c>
      <c r="Z195" s="41">
        <v>100</v>
      </c>
      <c r="AA195" s="41">
        <v>1</v>
      </c>
      <c r="AB195" s="70">
        <f t="shared" si="36"/>
        <v>6200463.5000000028</v>
      </c>
      <c r="AC195" s="41"/>
      <c r="AD195" s="41"/>
      <c r="AE195" s="70">
        <f t="shared" si="37"/>
        <v>0</v>
      </c>
      <c r="AF195" s="28">
        <f t="shared" si="38"/>
        <v>10050463.500000004</v>
      </c>
      <c r="AG195" s="28">
        <f t="shared" si="39"/>
        <v>9834.1130136986339</v>
      </c>
    </row>
    <row r="196" spans="1:37" ht="57.6" x14ac:dyDescent="0.3">
      <c r="A196" s="41" t="s">
        <v>697</v>
      </c>
      <c r="B196" s="41" t="s">
        <v>692</v>
      </c>
      <c r="C196" s="41" t="s">
        <v>667</v>
      </c>
      <c r="D196" s="41" t="s">
        <v>92</v>
      </c>
      <c r="E196" s="41" t="s">
        <v>280</v>
      </c>
      <c r="F196" s="41" t="s">
        <v>712</v>
      </c>
      <c r="G196" s="83">
        <f>1999.2/7</f>
        <v>285.60000000000002</v>
      </c>
      <c r="J196" s="83">
        <f t="shared" si="30"/>
        <v>0</v>
      </c>
      <c r="K196" s="41">
        <f>2*25*29</f>
        <v>1450</v>
      </c>
      <c r="L196" s="41">
        <v>1</v>
      </c>
      <c r="M196" s="70">
        <f t="shared" si="31"/>
        <v>455532.00000000006</v>
      </c>
      <c r="N196" s="41"/>
      <c r="O196" s="41"/>
      <c r="P196" s="70">
        <f t="shared" si="32"/>
        <v>0</v>
      </c>
      <c r="Q196" s="41"/>
      <c r="R196" s="41"/>
      <c r="S196" s="70">
        <f t="shared" si="33"/>
        <v>0</v>
      </c>
      <c r="T196" s="41"/>
      <c r="U196" s="41"/>
      <c r="V196" s="70">
        <f t="shared" si="34"/>
        <v>0</v>
      </c>
      <c r="W196" s="41"/>
      <c r="X196" s="41"/>
      <c r="Y196" s="70">
        <f t="shared" si="35"/>
        <v>0</v>
      </c>
      <c r="Z196" s="41">
        <f>2*25*29</f>
        <v>1450</v>
      </c>
      <c r="AA196" s="41">
        <v>1</v>
      </c>
      <c r="AB196" s="70">
        <f t="shared" si="36"/>
        <v>733638.84132000036</v>
      </c>
      <c r="AC196" s="41"/>
      <c r="AD196" s="41"/>
      <c r="AE196" s="70">
        <f t="shared" si="37"/>
        <v>0</v>
      </c>
      <c r="AF196" s="28">
        <f t="shared" si="38"/>
        <v>1189170.8413200004</v>
      </c>
      <c r="AG196" s="28">
        <f t="shared" si="39"/>
        <v>1163.5722517808222</v>
      </c>
    </row>
    <row r="197" spans="1:37" ht="57.6" x14ac:dyDescent="0.3">
      <c r="A197" s="41" t="s">
        <v>697</v>
      </c>
      <c r="B197" s="41" t="s">
        <v>692</v>
      </c>
      <c r="C197" s="41" t="s">
        <v>667</v>
      </c>
      <c r="D197" s="41" t="s">
        <v>92</v>
      </c>
      <c r="E197" s="41" t="s">
        <v>280</v>
      </c>
      <c r="F197" s="41" t="s">
        <v>1371</v>
      </c>
      <c r="G197" s="83">
        <f>1999.2/7</f>
        <v>285.60000000000002</v>
      </c>
      <c r="J197" s="83">
        <f t="shared" si="30"/>
        <v>0</v>
      </c>
      <c r="K197" s="41">
        <f>2*25*29</f>
        <v>1450</v>
      </c>
      <c r="L197" s="41">
        <v>1</v>
      </c>
      <c r="M197" s="70">
        <f t="shared" si="31"/>
        <v>455532.00000000006</v>
      </c>
      <c r="N197" s="41"/>
      <c r="O197" s="41"/>
      <c r="P197" s="70">
        <f t="shared" si="32"/>
        <v>0</v>
      </c>
      <c r="Q197" s="41"/>
      <c r="R197" s="41"/>
      <c r="S197" s="70">
        <f t="shared" si="33"/>
        <v>0</v>
      </c>
      <c r="T197" s="41"/>
      <c r="U197" s="41"/>
      <c r="V197" s="70">
        <f t="shared" si="34"/>
        <v>0</v>
      </c>
      <c r="W197" s="41"/>
      <c r="X197" s="41"/>
      <c r="Y197" s="70">
        <f t="shared" si="35"/>
        <v>0</v>
      </c>
      <c r="Z197" s="41">
        <f>2*25*29</f>
        <v>1450</v>
      </c>
      <c r="AA197" s="41">
        <v>1</v>
      </c>
      <c r="AB197" s="70">
        <f t="shared" si="36"/>
        <v>733638.84132000036</v>
      </c>
      <c r="AC197" s="41"/>
      <c r="AD197" s="41"/>
      <c r="AE197" s="70">
        <f t="shared" si="37"/>
        <v>0</v>
      </c>
      <c r="AF197" s="28">
        <f t="shared" si="38"/>
        <v>1189170.8413200004</v>
      </c>
      <c r="AG197" s="28">
        <f t="shared" si="39"/>
        <v>1163.5722517808222</v>
      </c>
    </row>
    <row r="198" spans="1:37" ht="57.6" x14ac:dyDescent="0.3">
      <c r="A198" s="41" t="s">
        <v>697</v>
      </c>
      <c r="B198" s="41" t="s">
        <v>692</v>
      </c>
      <c r="C198" s="41" t="s">
        <v>667</v>
      </c>
      <c r="D198" s="41" t="s">
        <v>92</v>
      </c>
      <c r="E198" s="41" t="s">
        <v>575</v>
      </c>
      <c r="F198" s="41" t="s">
        <v>718</v>
      </c>
      <c r="G198" s="83">
        <v>0</v>
      </c>
      <c r="H198" s="41">
        <v>0</v>
      </c>
      <c r="I198" s="41">
        <v>0</v>
      </c>
      <c r="J198" s="83">
        <f t="shared" si="30"/>
        <v>0</v>
      </c>
      <c r="K198" s="41">
        <v>0</v>
      </c>
      <c r="L198" s="41">
        <v>0</v>
      </c>
      <c r="M198" s="70">
        <f t="shared" si="31"/>
        <v>0</v>
      </c>
      <c r="N198" s="41">
        <v>0</v>
      </c>
      <c r="O198" s="41">
        <v>0</v>
      </c>
      <c r="P198" s="70">
        <f t="shared" si="32"/>
        <v>0</v>
      </c>
      <c r="Q198" s="41">
        <v>0</v>
      </c>
      <c r="R198" s="41">
        <v>0</v>
      </c>
      <c r="S198" s="70">
        <f t="shared" si="33"/>
        <v>0</v>
      </c>
      <c r="T198" s="41">
        <v>0</v>
      </c>
      <c r="U198" s="41">
        <v>0</v>
      </c>
      <c r="V198" s="70">
        <f t="shared" si="34"/>
        <v>0</v>
      </c>
      <c r="W198" s="41">
        <v>0</v>
      </c>
      <c r="X198" s="41">
        <v>0</v>
      </c>
      <c r="Y198" s="70">
        <f t="shared" si="35"/>
        <v>0</v>
      </c>
      <c r="Z198" s="41">
        <v>0</v>
      </c>
      <c r="AA198" s="41">
        <v>0</v>
      </c>
      <c r="AB198" s="70">
        <f t="shared" si="36"/>
        <v>0</v>
      </c>
      <c r="AC198" s="41">
        <v>0</v>
      </c>
      <c r="AD198" s="41">
        <v>0</v>
      </c>
      <c r="AE198" s="70">
        <f t="shared" si="37"/>
        <v>0</v>
      </c>
      <c r="AF198" s="28">
        <f t="shared" si="38"/>
        <v>0</v>
      </c>
      <c r="AG198" s="28">
        <f t="shared" si="39"/>
        <v>0</v>
      </c>
    </row>
    <row r="199" spans="1:37" ht="57.6" x14ac:dyDescent="0.3">
      <c r="A199" s="41" t="s">
        <v>697</v>
      </c>
      <c r="B199" s="41" t="s">
        <v>692</v>
      </c>
      <c r="C199" s="41" t="s">
        <v>667</v>
      </c>
      <c r="D199" s="41" t="s">
        <v>92</v>
      </c>
      <c r="E199" s="41" t="s">
        <v>484</v>
      </c>
      <c r="F199" s="41" t="s">
        <v>709</v>
      </c>
      <c r="G199" s="83">
        <v>35000</v>
      </c>
      <c r="H199" s="41">
        <v>50</v>
      </c>
      <c r="I199" s="41">
        <v>4</v>
      </c>
      <c r="J199" s="83">
        <f t="shared" si="30"/>
        <v>7000000</v>
      </c>
      <c r="K199" s="41">
        <v>50</v>
      </c>
      <c r="L199" s="41">
        <v>1</v>
      </c>
      <c r="M199" s="70">
        <f t="shared" si="31"/>
        <v>1925000</v>
      </c>
      <c r="N199" s="41">
        <v>0</v>
      </c>
      <c r="O199" s="41">
        <v>0</v>
      </c>
      <c r="P199" s="70">
        <f t="shared" si="32"/>
        <v>0</v>
      </c>
      <c r="Q199" s="41">
        <v>0</v>
      </c>
      <c r="R199" s="41">
        <v>0</v>
      </c>
      <c r="S199" s="70">
        <f t="shared" si="33"/>
        <v>0</v>
      </c>
      <c r="T199" s="41">
        <v>0</v>
      </c>
      <c r="U199" s="41">
        <v>0</v>
      </c>
      <c r="V199" s="70">
        <f t="shared" si="34"/>
        <v>0</v>
      </c>
      <c r="W199" s="41">
        <v>0</v>
      </c>
      <c r="X199" s="41">
        <v>0</v>
      </c>
      <c r="Y199" s="70">
        <f t="shared" si="35"/>
        <v>0</v>
      </c>
      <c r="Z199" s="41">
        <v>0</v>
      </c>
      <c r="AA199" s="41">
        <v>0</v>
      </c>
      <c r="AB199" s="70">
        <f t="shared" si="36"/>
        <v>0</v>
      </c>
      <c r="AC199" s="41">
        <v>0</v>
      </c>
      <c r="AD199" s="41">
        <v>0</v>
      </c>
      <c r="AE199" s="70">
        <f t="shared" si="37"/>
        <v>0</v>
      </c>
      <c r="AF199" s="28">
        <f t="shared" si="38"/>
        <v>8925000</v>
      </c>
      <c r="AG199" s="28">
        <f t="shared" si="39"/>
        <v>8732.8767123287671</v>
      </c>
    </row>
    <row r="200" spans="1:37" ht="57.6" x14ac:dyDescent="0.3">
      <c r="A200" s="41" t="s">
        <v>697</v>
      </c>
      <c r="B200" s="41" t="s">
        <v>692</v>
      </c>
      <c r="C200" s="41" t="s">
        <v>667</v>
      </c>
      <c r="D200" s="41" t="s">
        <v>93</v>
      </c>
      <c r="E200" s="41" t="s">
        <v>485</v>
      </c>
      <c r="F200" s="41" t="s">
        <v>718</v>
      </c>
      <c r="G200" s="83">
        <v>0</v>
      </c>
      <c r="H200" s="41">
        <v>0</v>
      </c>
      <c r="I200" s="41">
        <v>0</v>
      </c>
      <c r="J200" s="83">
        <f t="shared" si="30"/>
        <v>0</v>
      </c>
      <c r="K200" s="41">
        <v>0</v>
      </c>
      <c r="L200" s="41">
        <v>0</v>
      </c>
      <c r="M200" s="70">
        <f t="shared" si="31"/>
        <v>0</v>
      </c>
      <c r="N200" s="41">
        <v>0</v>
      </c>
      <c r="O200" s="41">
        <v>0</v>
      </c>
      <c r="P200" s="70">
        <f t="shared" si="32"/>
        <v>0</v>
      </c>
      <c r="Q200" s="41">
        <v>0</v>
      </c>
      <c r="R200" s="41">
        <v>0</v>
      </c>
      <c r="S200" s="70">
        <f t="shared" si="33"/>
        <v>0</v>
      </c>
      <c r="T200" s="41">
        <v>0</v>
      </c>
      <c r="U200" s="41">
        <v>0</v>
      </c>
      <c r="V200" s="70">
        <f t="shared" si="34"/>
        <v>0</v>
      </c>
      <c r="W200" s="41">
        <v>0</v>
      </c>
      <c r="X200" s="41">
        <v>0</v>
      </c>
      <c r="Y200" s="70">
        <f t="shared" si="35"/>
        <v>0</v>
      </c>
      <c r="Z200" s="41">
        <v>0</v>
      </c>
      <c r="AA200" s="41">
        <v>0</v>
      </c>
      <c r="AB200" s="70">
        <f t="shared" si="36"/>
        <v>0</v>
      </c>
      <c r="AC200" s="41">
        <v>0</v>
      </c>
      <c r="AD200" s="41">
        <v>0</v>
      </c>
      <c r="AE200" s="70">
        <f t="shared" si="37"/>
        <v>0</v>
      </c>
      <c r="AF200" s="28">
        <f t="shared" si="38"/>
        <v>0</v>
      </c>
      <c r="AG200" s="28">
        <f t="shared" si="39"/>
        <v>0</v>
      </c>
    </row>
    <row r="201" spans="1:37" ht="57.6" x14ac:dyDescent="0.3">
      <c r="A201" s="41" t="s">
        <v>697</v>
      </c>
      <c r="B201" s="41" t="s">
        <v>692</v>
      </c>
      <c r="C201" s="41" t="s">
        <v>667</v>
      </c>
      <c r="D201" s="41" t="s">
        <v>93</v>
      </c>
      <c r="E201" s="41" t="s">
        <v>486</v>
      </c>
      <c r="F201" s="41" t="s">
        <v>718</v>
      </c>
      <c r="G201" s="83">
        <v>0</v>
      </c>
      <c r="H201" s="41">
        <v>0</v>
      </c>
      <c r="I201" s="41">
        <v>0</v>
      </c>
      <c r="J201" s="83">
        <f t="shared" si="30"/>
        <v>0</v>
      </c>
      <c r="K201" s="41">
        <v>0</v>
      </c>
      <c r="L201" s="41">
        <v>0</v>
      </c>
      <c r="M201" s="70">
        <f t="shared" si="31"/>
        <v>0</v>
      </c>
      <c r="N201" s="41">
        <v>0</v>
      </c>
      <c r="O201" s="41">
        <v>0</v>
      </c>
      <c r="P201" s="70">
        <f t="shared" si="32"/>
        <v>0</v>
      </c>
      <c r="Q201" s="41">
        <v>0</v>
      </c>
      <c r="R201" s="41">
        <v>0</v>
      </c>
      <c r="S201" s="70">
        <f t="shared" si="33"/>
        <v>0</v>
      </c>
      <c r="T201" s="41">
        <v>0</v>
      </c>
      <c r="U201" s="41">
        <v>0</v>
      </c>
      <c r="V201" s="70">
        <f t="shared" si="34"/>
        <v>0</v>
      </c>
      <c r="W201" s="41">
        <v>0</v>
      </c>
      <c r="X201" s="41">
        <v>0</v>
      </c>
      <c r="Y201" s="70">
        <f t="shared" si="35"/>
        <v>0</v>
      </c>
      <c r="Z201" s="41">
        <v>0</v>
      </c>
      <c r="AA201" s="41">
        <v>0</v>
      </c>
      <c r="AB201" s="70">
        <f t="shared" si="36"/>
        <v>0</v>
      </c>
      <c r="AC201" s="41">
        <v>0</v>
      </c>
      <c r="AD201" s="41">
        <v>0</v>
      </c>
      <c r="AE201" s="70">
        <f t="shared" si="37"/>
        <v>0</v>
      </c>
      <c r="AF201" s="28">
        <f t="shared" si="38"/>
        <v>0</v>
      </c>
      <c r="AG201" s="28">
        <f t="shared" si="39"/>
        <v>0</v>
      </c>
    </row>
    <row r="202" spans="1:37" ht="57.6" x14ac:dyDescent="0.3">
      <c r="A202" s="41" t="s">
        <v>697</v>
      </c>
      <c r="B202" s="41" t="s">
        <v>692</v>
      </c>
      <c r="C202" s="41" t="s">
        <v>667</v>
      </c>
      <c r="D202" s="41" t="s">
        <v>93</v>
      </c>
      <c r="E202" s="41" t="s">
        <v>487</v>
      </c>
      <c r="F202" s="41" t="s">
        <v>718</v>
      </c>
      <c r="G202" s="83">
        <v>0</v>
      </c>
      <c r="H202" s="41">
        <v>0</v>
      </c>
      <c r="I202" s="41">
        <v>0</v>
      </c>
      <c r="J202" s="83">
        <f t="shared" si="30"/>
        <v>0</v>
      </c>
      <c r="K202" s="41">
        <v>0</v>
      </c>
      <c r="L202" s="41">
        <v>0</v>
      </c>
      <c r="M202" s="70">
        <f t="shared" si="31"/>
        <v>0</v>
      </c>
      <c r="N202" s="41">
        <v>0</v>
      </c>
      <c r="O202" s="41">
        <v>0</v>
      </c>
      <c r="P202" s="70">
        <f t="shared" si="32"/>
        <v>0</v>
      </c>
      <c r="Q202" s="41">
        <v>0</v>
      </c>
      <c r="R202" s="41">
        <v>0</v>
      </c>
      <c r="S202" s="70">
        <f t="shared" si="33"/>
        <v>0</v>
      </c>
      <c r="T202" s="41">
        <v>0</v>
      </c>
      <c r="U202" s="41">
        <v>0</v>
      </c>
      <c r="V202" s="70">
        <f t="shared" si="34"/>
        <v>0</v>
      </c>
      <c r="W202" s="41">
        <v>0</v>
      </c>
      <c r="X202" s="41">
        <v>0</v>
      </c>
      <c r="Y202" s="70">
        <f t="shared" si="35"/>
        <v>0</v>
      </c>
      <c r="Z202" s="41">
        <v>0</v>
      </c>
      <c r="AA202" s="41">
        <v>0</v>
      </c>
      <c r="AB202" s="70">
        <f t="shared" si="36"/>
        <v>0</v>
      </c>
      <c r="AC202" s="41">
        <v>0</v>
      </c>
      <c r="AD202" s="41">
        <v>0</v>
      </c>
      <c r="AE202" s="70">
        <f t="shared" si="37"/>
        <v>0</v>
      </c>
      <c r="AF202" s="28">
        <f t="shared" si="38"/>
        <v>0</v>
      </c>
      <c r="AG202" s="28">
        <f t="shared" si="39"/>
        <v>0</v>
      </c>
    </row>
    <row r="203" spans="1:37" ht="57.6" x14ac:dyDescent="0.3">
      <c r="A203" s="41" t="s">
        <v>697</v>
      </c>
      <c r="B203" s="41" t="s">
        <v>692</v>
      </c>
      <c r="C203" s="41" t="s">
        <v>667</v>
      </c>
      <c r="D203" s="41" t="s">
        <v>93</v>
      </c>
      <c r="E203" s="41" t="s">
        <v>488</v>
      </c>
      <c r="F203" s="41" t="s">
        <v>718</v>
      </c>
      <c r="G203" s="83">
        <v>0</v>
      </c>
      <c r="H203" s="41">
        <v>0</v>
      </c>
      <c r="I203" s="41">
        <v>0</v>
      </c>
      <c r="J203" s="83">
        <f t="shared" si="30"/>
        <v>0</v>
      </c>
      <c r="K203" s="41">
        <v>0</v>
      </c>
      <c r="L203" s="41">
        <v>0</v>
      </c>
      <c r="M203" s="70">
        <f t="shared" si="31"/>
        <v>0</v>
      </c>
      <c r="N203" s="41">
        <v>0</v>
      </c>
      <c r="O203" s="41">
        <v>0</v>
      </c>
      <c r="P203" s="70">
        <f t="shared" si="32"/>
        <v>0</v>
      </c>
      <c r="Q203" s="41">
        <v>0</v>
      </c>
      <c r="R203" s="41">
        <v>0</v>
      </c>
      <c r="S203" s="70">
        <f t="shared" si="33"/>
        <v>0</v>
      </c>
      <c r="T203" s="41">
        <v>0</v>
      </c>
      <c r="U203" s="41">
        <v>0</v>
      </c>
      <c r="V203" s="70">
        <f t="shared" si="34"/>
        <v>0</v>
      </c>
      <c r="W203" s="41">
        <v>0</v>
      </c>
      <c r="X203" s="41">
        <v>0</v>
      </c>
      <c r="Y203" s="70">
        <f t="shared" si="35"/>
        <v>0</v>
      </c>
      <c r="Z203" s="41">
        <v>0</v>
      </c>
      <c r="AA203" s="41">
        <v>0</v>
      </c>
      <c r="AB203" s="70">
        <f t="shared" si="36"/>
        <v>0</v>
      </c>
      <c r="AC203" s="41">
        <v>0</v>
      </c>
      <c r="AD203" s="41">
        <v>0</v>
      </c>
      <c r="AE203" s="70">
        <f t="shared" si="37"/>
        <v>0</v>
      </c>
      <c r="AF203" s="28">
        <f t="shared" si="38"/>
        <v>0</v>
      </c>
      <c r="AG203" s="28">
        <f t="shared" si="39"/>
        <v>0</v>
      </c>
    </row>
    <row r="204" spans="1:37" ht="57.6" x14ac:dyDescent="0.3">
      <c r="A204" s="41" t="s">
        <v>697</v>
      </c>
      <c r="B204" s="41" t="s">
        <v>692</v>
      </c>
      <c r="C204" s="41" t="s">
        <v>667</v>
      </c>
      <c r="D204" s="41" t="s">
        <v>94</v>
      </c>
      <c r="E204" s="41" t="s">
        <v>489</v>
      </c>
      <c r="F204" s="41" t="s">
        <v>718</v>
      </c>
      <c r="G204" s="83">
        <v>0</v>
      </c>
      <c r="H204" s="41">
        <v>0</v>
      </c>
      <c r="I204" s="41">
        <v>0</v>
      </c>
      <c r="J204" s="83">
        <f t="shared" si="30"/>
        <v>0</v>
      </c>
      <c r="K204" s="41">
        <v>0</v>
      </c>
      <c r="L204" s="41">
        <v>0</v>
      </c>
      <c r="M204" s="70">
        <f t="shared" si="31"/>
        <v>0</v>
      </c>
      <c r="N204" s="41">
        <v>0</v>
      </c>
      <c r="O204" s="41">
        <v>0</v>
      </c>
      <c r="P204" s="70">
        <f t="shared" si="32"/>
        <v>0</v>
      </c>
      <c r="Q204" s="41">
        <v>0</v>
      </c>
      <c r="R204" s="41">
        <v>0</v>
      </c>
      <c r="S204" s="70">
        <f t="shared" si="33"/>
        <v>0</v>
      </c>
      <c r="T204" s="41">
        <v>0</v>
      </c>
      <c r="U204" s="41">
        <v>0</v>
      </c>
      <c r="V204" s="70">
        <f t="shared" si="34"/>
        <v>0</v>
      </c>
      <c r="W204" s="41">
        <v>0</v>
      </c>
      <c r="X204" s="41">
        <v>0</v>
      </c>
      <c r="Y204" s="70">
        <f t="shared" si="35"/>
        <v>0</v>
      </c>
      <c r="Z204" s="41">
        <v>0</v>
      </c>
      <c r="AA204" s="41">
        <v>0</v>
      </c>
      <c r="AB204" s="70">
        <f t="shared" si="36"/>
        <v>0</v>
      </c>
      <c r="AC204" s="41">
        <v>0</v>
      </c>
      <c r="AD204" s="41">
        <v>0</v>
      </c>
      <c r="AE204" s="70">
        <f t="shared" si="37"/>
        <v>0</v>
      </c>
      <c r="AF204" s="28">
        <f t="shared" si="38"/>
        <v>0</v>
      </c>
      <c r="AG204" s="28">
        <f t="shared" si="39"/>
        <v>0</v>
      </c>
    </row>
    <row r="205" spans="1:37" ht="57.6" x14ac:dyDescent="0.3">
      <c r="A205" s="41" t="s">
        <v>697</v>
      </c>
      <c r="B205" s="41" t="s">
        <v>692</v>
      </c>
      <c r="C205" s="41" t="s">
        <v>667</v>
      </c>
      <c r="D205" s="41" t="s">
        <v>94</v>
      </c>
      <c r="E205" s="41" t="s">
        <v>490</v>
      </c>
      <c r="F205" s="41" t="s">
        <v>718</v>
      </c>
      <c r="G205" s="83">
        <v>0</v>
      </c>
      <c r="H205" s="41">
        <v>0</v>
      </c>
      <c r="I205" s="41">
        <v>0</v>
      </c>
      <c r="J205" s="83">
        <f t="shared" si="30"/>
        <v>0</v>
      </c>
      <c r="K205" s="41">
        <v>0</v>
      </c>
      <c r="L205" s="41">
        <v>0</v>
      </c>
      <c r="M205" s="70">
        <f t="shared" si="31"/>
        <v>0</v>
      </c>
      <c r="N205" s="41">
        <v>0</v>
      </c>
      <c r="O205" s="41">
        <v>0</v>
      </c>
      <c r="P205" s="70">
        <f t="shared" si="32"/>
        <v>0</v>
      </c>
      <c r="Q205" s="41">
        <v>0</v>
      </c>
      <c r="R205" s="41">
        <v>0</v>
      </c>
      <c r="S205" s="70">
        <f t="shared" si="33"/>
        <v>0</v>
      </c>
      <c r="T205" s="41">
        <v>0</v>
      </c>
      <c r="U205" s="41">
        <v>0</v>
      </c>
      <c r="V205" s="70">
        <f t="shared" si="34"/>
        <v>0</v>
      </c>
      <c r="W205" s="41">
        <v>0</v>
      </c>
      <c r="X205" s="41">
        <v>0</v>
      </c>
      <c r="Y205" s="70">
        <f t="shared" si="35"/>
        <v>0</v>
      </c>
      <c r="Z205" s="41">
        <v>0</v>
      </c>
      <c r="AA205" s="41">
        <v>0</v>
      </c>
      <c r="AB205" s="70">
        <f t="shared" si="36"/>
        <v>0</v>
      </c>
      <c r="AC205" s="41">
        <v>0</v>
      </c>
      <c r="AD205" s="41">
        <v>0</v>
      </c>
      <c r="AE205" s="70">
        <f t="shared" si="37"/>
        <v>0</v>
      </c>
      <c r="AF205" s="28">
        <f t="shared" si="38"/>
        <v>0</v>
      </c>
      <c r="AG205" s="28">
        <f t="shared" si="39"/>
        <v>0</v>
      </c>
    </row>
    <row r="206" spans="1:37" ht="57.6" x14ac:dyDescent="0.3">
      <c r="A206" s="41" t="s">
        <v>697</v>
      </c>
      <c r="B206" s="41" t="s">
        <v>692</v>
      </c>
      <c r="C206" s="41" t="s">
        <v>667</v>
      </c>
      <c r="D206" s="41" t="s">
        <v>94</v>
      </c>
      <c r="E206" s="41" t="s">
        <v>487</v>
      </c>
      <c r="F206" s="41" t="s">
        <v>718</v>
      </c>
      <c r="G206" s="83">
        <v>0</v>
      </c>
      <c r="H206" s="41">
        <v>0</v>
      </c>
      <c r="I206" s="41">
        <v>0</v>
      </c>
      <c r="J206" s="83">
        <f t="shared" si="30"/>
        <v>0</v>
      </c>
      <c r="K206" s="41">
        <v>0</v>
      </c>
      <c r="L206" s="41">
        <v>0</v>
      </c>
      <c r="M206" s="70">
        <f t="shared" si="31"/>
        <v>0</v>
      </c>
      <c r="N206" s="41">
        <v>0</v>
      </c>
      <c r="O206" s="41">
        <v>0</v>
      </c>
      <c r="P206" s="70">
        <f t="shared" si="32"/>
        <v>0</v>
      </c>
      <c r="Q206" s="41">
        <v>0</v>
      </c>
      <c r="R206" s="41">
        <v>0</v>
      </c>
      <c r="S206" s="70">
        <f t="shared" si="33"/>
        <v>0</v>
      </c>
      <c r="T206" s="41">
        <v>0</v>
      </c>
      <c r="U206" s="41">
        <v>0</v>
      </c>
      <c r="V206" s="70">
        <f t="shared" si="34"/>
        <v>0</v>
      </c>
      <c r="W206" s="41">
        <v>0</v>
      </c>
      <c r="X206" s="41">
        <v>0</v>
      </c>
      <c r="Y206" s="70">
        <f t="shared" si="35"/>
        <v>0</v>
      </c>
      <c r="Z206" s="41">
        <v>0</v>
      </c>
      <c r="AA206" s="41">
        <v>0</v>
      </c>
      <c r="AB206" s="70">
        <f t="shared" si="36"/>
        <v>0</v>
      </c>
      <c r="AC206" s="41">
        <v>0</v>
      </c>
      <c r="AD206" s="41">
        <v>0</v>
      </c>
      <c r="AE206" s="70">
        <f t="shared" si="37"/>
        <v>0</v>
      </c>
      <c r="AF206" s="28">
        <f t="shared" si="38"/>
        <v>0</v>
      </c>
      <c r="AG206" s="28">
        <f t="shared" si="39"/>
        <v>0</v>
      </c>
    </row>
    <row r="207" spans="1:37" ht="57.6" x14ac:dyDescent="0.3">
      <c r="A207" s="41" t="s">
        <v>697</v>
      </c>
      <c r="B207" s="41" t="s">
        <v>692</v>
      </c>
      <c r="C207" s="41" t="s">
        <v>667</v>
      </c>
      <c r="D207" s="41" t="s">
        <v>94</v>
      </c>
      <c r="E207" s="41" t="s">
        <v>488</v>
      </c>
      <c r="F207" s="41" t="s">
        <v>718</v>
      </c>
      <c r="G207" s="83">
        <v>0</v>
      </c>
      <c r="H207" s="41">
        <v>0</v>
      </c>
      <c r="I207" s="41">
        <v>0</v>
      </c>
      <c r="J207" s="83">
        <f t="shared" si="30"/>
        <v>0</v>
      </c>
      <c r="K207" s="41">
        <v>0</v>
      </c>
      <c r="L207" s="41">
        <v>0</v>
      </c>
      <c r="M207" s="70">
        <f t="shared" si="31"/>
        <v>0</v>
      </c>
      <c r="N207" s="41">
        <v>0</v>
      </c>
      <c r="O207" s="41">
        <v>0</v>
      </c>
      <c r="P207" s="70">
        <f t="shared" si="32"/>
        <v>0</v>
      </c>
      <c r="Q207" s="41">
        <v>0</v>
      </c>
      <c r="R207" s="41">
        <v>0</v>
      </c>
      <c r="S207" s="70">
        <f t="shared" si="33"/>
        <v>0</v>
      </c>
      <c r="T207" s="41">
        <v>0</v>
      </c>
      <c r="U207" s="41">
        <v>0</v>
      </c>
      <c r="V207" s="70">
        <f t="shared" si="34"/>
        <v>0</v>
      </c>
      <c r="W207" s="41">
        <v>0</v>
      </c>
      <c r="X207" s="41">
        <v>0</v>
      </c>
      <c r="Y207" s="70">
        <f t="shared" si="35"/>
        <v>0</v>
      </c>
      <c r="Z207" s="41">
        <v>0</v>
      </c>
      <c r="AA207" s="41">
        <v>0</v>
      </c>
      <c r="AB207" s="70">
        <f t="shared" si="36"/>
        <v>0</v>
      </c>
      <c r="AC207" s="41">
        <v>0</v>
      </c>
      <c r="AD207" s="41">
        <v>0</v>
      </c>
      <c r="AE207" s="70">
        <f t="shared" si="37"/>
        <v>0</v>
      </c>
      <c r="AF207" s="28">
        <f t="shared" si="38"/>
        <v>0</v>
      </c>
      <c r="AG207" s="28">
        <f t="shared" si="39"/>
        <v>0</v>
      </c>
    </row>
    <row r="208" spans="1:37" x14ac:dyDescent="0.3">
      <c r="A208" s="91" t="s">
        <v>1302</v>
      </c>
      <c r="B208" s="91"/>
      <c r="C208" s="91"/>
      <c r="D208" s="91"/>
      <c r="E208" s="91"/>
      <c r="F208" s="91"/>
      <c r="G208" s="92"/>
      <c r="H208" s="91"/>
      <c r="I208" s="91"/>
      <c r="J208" s="92">
        <f>SUM(J191:J207)</f>
        <v>20558982.074999999</v>
      </c>
      <c r="K208" s="91"/>
      <c r="L208" s="91"/>
      <c r="M208" s="92">
        <f>SUM(M191:M207)</f>
        <v>11662464</v>
      </c>
      <c r="N208" s="91"/>
      <c r="O208" s="91"/>
      <c r="P208" s="92">
        <f>SUM(P191:P207)</f>
        <v>0</v>
      </c>
      <c r="Q208" s="91"/>
      <c r="R208" s="91"/>
      <c r="S208" s="92">
        <f>SUM(S191:S207)</f>
        <v>0</v>
      </c>
      <c r="T208" s="91"/>
      <c r="U208" s="91"/>
      <c r="V208" s="92">
        <f>SUM(V191:V207)</f>
        <v>0</v>
      </c>
      <c r="W208" s="91"/>
      <c r="X208" s="91"/>
      <c r="Y208" s="92">
        <f>SUM(Y191:Y207)</f>
        <v>0</v>
      </c>
      <c r="Z208" s="91"/>
      <c r="AA208" s="91"/>
      <c r="AB208" s="92">
        <f>SUM(AB191:AB207)</f>
        <v>15682283.146640006</v>
      </c>
      <c r="AC208" s="91"/>
      <c r="AD208" s="91"/>
      <c r="AE208" s="92">
        <f>SUM(AE191:AE207)</f>
        <v>0</v>
      </c>
      <c r="AF208" s="95">
        <f t="shared" si="38"/>
        <v>47903729.221640006</v>
      </c>
      <c r="AG208" s="95">
        <f t="shared" si="39"/>
        <v>46872.533484970649</v>
      </c>
      <c r="AH208" s="94"/>
      <c r="AI208" s="94"/>
      <c r="AJ208" s="94"/>
      <c r="AK208" s="94"/>
    </row>
    <row r="209" spans="1:37" x14ac:dyDescent="0.3">
      <c r="A209" s="63" t="s">
        <v>1431</v>
      </c>
      <c r="B209" s="63"/>
      <c r="C209" s="63"/>
      <c r="D209" s="63"/>
      <c r="E209" s="63"/>
      <c r="F209" s="63"/>
      <c r="G209" s="90"/>
      <c r="H209" s="63"/>
      <c r="I209" s="63"/>
      <c r="J209" s="90">
        <f>J208/$AL$2</f>
        <v>20116.420817025439</v>
      </c>
      <c r="K209" s="63"/>
      <c r="L209" s="63"/>
      <c r="M209" s="90">
        <f>M208/$AL$2</f>
        <v>11411.412915851271</v>
      </c>
      <c r="N209" s="63"/>
      <c r="O209" s="63"/>
      <c r="P209" s="90">
        <f>P208/$AL$2</f>
        <v>0</v>
      </c>
      <c r="Q209" s="63"/>
      <c r="R209" s="63"/>
      <c r="S209" s="90">
        <f>S208/$AL$2</f>
        <v>0</v>
      </c>
      <c r="T209" s="63"/>
      <c r="U209" s="63"/>
      <c r="V209" s="90">
        <f>V208/$AL$2</f>
        <v>0</v>
      </c>
      <c r="W209" s="63"/>
      <c r="X209" s="63"/>
      <c r="Y209" s="90">
        <f>Y208/$AL$2</f>
        <v>0</v>
      </c>
      <c r="Z209" s="63"/>
      <c r="AA209" s="63"/>
      <c r="AB209" s="90">
        <f>AB208/$AL$2</f>
        <v>15344.69975209394</v>
      </c>
      <c r="AC209" s="63"/>
      <c r="AD209" s="63"/>
      <c r="AE209" s="90">
        <f>AE208/$AL$2</f>
        <v>0</v>
      </c>
      <c r="AF209" s="20">
        <f t="shared" si="38"/>
        <v>46872.533484970649</v>
      </c>
      <c r="AG209" s="20">
        <f t="shared" si="39"/>
        <v>45.863535699579892</v>
      </c>
      <c r="AH209" s="62"/>
      <c r="AI209" s="62"/>
      <c r="AJ209" s="62"/>
      <c r="AK209" s="62"/>
    </row>
    <row r="210" spans="1:37" ht="57.6" x14ac:dyDescent="0.3">
      <c r="A210" s="41" t="s">
        <v>697</v>
      </c>
      <c r="B210" s="41" t="s">
        <v>692</v>
      </c>
      <c r="C210" s="41" t="s">
        <v>668</v>
      </c>
      <c r="D210" s="41" t="s">
        <v>95</v>
      </c>
      <c r="E210" s="41" t="s">
        <v>214</v>
      </c>
      <c r="F210" s="41" t="s">
        <v>718</v>
      </c>
      <c r="G210" s="83">
        <v>0</v>
      </c>
      <c r="H210" s="41">
        <v>0</v>
      </c>
      <c r="I210" s="41">
        <v>0</v>
      </c>
      <c r="J210" s="83">
        <f t="shared" si="30"/>
        <v>0</v>
      </c>
      <c r="K210" s="41">
        <v>0</v>
      </c>
      <c r="L210" s="41">
        <v>0</v>
      </c>
      <c r="M210" s="70">
        <f t="shared" si="31"/>
        <v>0</v>
      </c>
      <c r="N210" s="41">
        <v>0</v>
      </c>
      <c r="O210" s="41">
        <v>0</v>
      </c>
      <c r="P210" s="70">
        <f t="shared" si="32"/>
        <v>0</v>
      </c>
      <c r="Q210" s="41">
        <v>0</v>
      </c>
      <c r="R210" s="41">
        <v>0</v>
      </c>
      <c r="S210" s="70">
        <f t="shared" si="33"/>
        <v>0</v>
      </c>
      <c r="T210" s="41">
        <v>0</v>
      </c>
      <c r="U210" s="41">
        <v>0</v>
      </c>
      <c r="V210" s="70">
        <f t="shared" si="34"/>
        <v>0</v>
      </c>
      <c r="W210" s="41">
        <v>0</v>
      </c>
      <c r="X210" s="41">
        <v>0</v>
      </c>
      <c r="Y210" s="70">
        <f t="shared" si="35"/>
        <v>0</v>
      </c>
      <c r="Z210" s="41">
        <v>0</v>
      </c>
      <c r="AA210" s="41">
        <v>0</v>
      </c>
      <c r="AB210" s="70">
        <f t="shared" si="36"/>
        <v>0</v>
      </c>
      <c r="AC210" s="41">
        <v>0</v>
      </c>
      <c r="AD210" s="41">
        <v>0</v>
      </c>
      <c r="AE210" s="70">
        <f t="shared" si="37"/>
        <v>0</v>
      </c>
      <c r="AF210" s="28">
        <f t="shared" si="38"/>
        <v>0</v>
      </c>
      <c r="AG210" s="28">
        <f t="shared" si="39"/>
        <v>0</v>
      </c>
    </row>
    <row r="211" spans="1:37" ht="57.6" x14ac:dyDescent="0.3">
      <c r="A211" s="41" t="s">
        <v>697</v>
      </c>
      <c r="B211" s="41" t="s">
        <v>692</v>
      </c>
      <c r="C211" s="41" t="s">
        <v>668</v>
      </c>
      <c r="D211" s="41" t="s">
        <v>95</v>
      </c>
      <c r="E211" s="41" t="s">
        <v>234</v>
      </c>
      <c r="F211" s="41" t="s">
        <v>718</v>
      </c>
      <c r="G211" s="83">
        <v>0</v>
      </c>
      <c r="H211" s="41">
        <v>0</v>
      </c>
      <c r="I211" s="41">
        <v>0</v>
      </c>
      <c r="J211" s="83">
        <f t="shared" si="30"/>
        <v>0</v>
      </c>
      <c r="K211" s="41">
        <v>0</v>
      </c>
      <c r="L211" s="41">
        <v>0</v>
      </c>
      <c r="M211" s="70">
        <f t="shared" si="31"/>
        <v>0</v>
      </c>
      <c r="N211" s="41">
        <v>0</v>
      </c>
      <c r="O211" s="41">
        <v>0</v>
      </c>
      <c r="P211" s="70">
        <f t="shared" si="32"/>
        <v>0</v>
      </c>
      <c r="Q211" s="41">
        <v>0</v>
      </c>
      <c r="R211" s="41">
        <v>0</v>
      </c>
      <c r="S211" s="70">
        <f t="shared" si="33"/>
        <v>0</v>
      </c>
      <c r="T211" s="41">
        <v>0</v>
      </c>
      <c r="U211" s="41">
        <v>0</v>
      </c>
      <c r="V211" s="70">
        <f t="shared" si="34"/>
        <v>0</v>
      </c>
      <c r="W211" s="41">
        <v>0</v>
      </c>
      <c r="X211" s="41">
        <v>0</v>
      </c>
      <c r="Y211" s="70">
        <f t="shared" si="35"/>
        <v>0</v>
      </c>
      <c r="Z211" s="41">
        <v>0</v>
      </c>
      <c r="AA211" s="41">
        <v>0</v>
      </c>
      <c r="AB211" s="70">
        <f t="shared" si="36"/>
        <v>0</v>
      </c>
      <c r="AC211" s="41">
        <v>0</v>
      </c>
      <c r="AD211" s="41">
        <v>0</v>
      </c>
      <c r="AE211" s="70">
        <f t="shared" si="37"/>
        <v>0</v>
      </c>
      <c r="AF211" s="28">
        <f t="shared" si="38"/>
        <v>0</v>
      </c>
      <c r="AG211" s="28">
        <f t="shared" si="39"/>
        <v>0</v>
      </c>
    </row>
    <row r="212" spans="1:37" ht="57.6" x14ac:dyDescent="0.3">
      <c r="A212" s="41" t="s">
        <v>697</v>
      </c>
      <c r="B212" s="41" t="s">
        <v>692</v>
      </c>
      <c r="C212" s="41" t="s">
        <v>668</v>
      </c>
      <c r="D212" s="41" t="s">
        <v>95</v>
      </c>
      <c r="E212" s="41" t="s">
        <v>149</v>
      </c>
      <c r="F212" s="41" t="s">
        <v>707</v>
      </c>
      <c r="G212" s="83">
        <v>391991.03749999998</v>
      </c>
      <c r="H212" s="41">
        <v>2</v>
      </c>
      <c r="I212" s="41">
        <v>2</v>
      </c>
      <c r="J212" s="83">
        <f t="shared" si="30"/>
        <v>1567964.15</v>
      </c>
      <c r="K212" s="41">
        <v>0</v>
      </c>
      <c r="L212" s="41">
        <v>0</v>
      </c>
      <c r="M212" s="70">
        <f t="shared" si="31"/>
        <v>0</v>
      </c>
      <c r="N212" s="41">
        <v>0</v>
      </c>
      <c r="O212" s="41">
        <v>0</v>
      </c>
      <c r="P212" s="70">
        <f t="shared" si="32"/>
        <v>0</v>
      </c>
      <c r="Q212" s="41">
        <v>0</v>
      </c>
      <c r="R212" s="41">
        <v>0</v>
      </c>
      <c r="S212" s="70">
        <f t="shared" si="33"/>
        <v>0</v>
      </c>
      <c r="T212" s="41">
        <v>0</v>
      </c>
      <c r="U212" s="41">
        <v>0</v>
      </c>
      <c r="V212" s="70">
        <f t="shared" si="34"/>
        <v>0</v>
      </c>
      <c r="W212" s="41">
        <v>0</v>
      </c>
      <c r="X212" s="41">
        <v>0</v>
      </c>
      <c r="Y212" s="70">
        <f t="shared" si="35"/>
        <v>0</v>
      </c>
      <c r="Z212" s="41">
        <v>0</v>
      </c>
      <c r="AA212" s="41">
        <v>0</v>
      </c>
      <c r="AB212" s="70">
        <f t="shared" si="36"/>
        <v>0</v>
      </c>
      <c r="AC212" s="41">
        <v>0</v>
      </c>
      <c r="AD212" s="41">
        <v>0</v>
      </c>
      <c r="AE212" s="70">
        <f t="shared" si="37"/>
        <v>0</v>
      </c>
      <c r="AF212" s="28">
        <f t="shared" si="38"/>
        <v>1567964.15</v>
      </c>
      <c r="AG212" s="28">
        <f t="shared" si="39"/>
        <v>1534.2114970645791</v>
      </c>
    </row>
    <row r="213" spans="1:37" ht="57.6" x14ac:dyDescent="0.3">
      <c r="A213" s="41" t="s">
        <v>697</v>
      </c>
      <c r="B213" s="41" t="s">
        <v>692</v>
      </c>
      <c r="C213" s="41" t="s">
        <v>668</v>
      </c>
      <c r="D213" s="41" t="s">
        <v>95</v>
      </c>
      <c r="E213" s="41" t="s">
        <v>149</v>
      </c>
      <c r="F213" s="41" t="s">
        <v>708</v>
      </c>
      <c r="G213" s="83">
        <f>500*1022</f>
        <v>511000</v>
      </c>
      <c r="H213" s="41"/>
      <c r="I213" s="41"/>
      <c r="J213" s="83">
        <f t="shared" si="30"/>
        <v>0</v>
      </c>
      <c r="K213" s="41">
        <v>1</v>
      </c>
      <c r="L213" s="41">
        <v>25</v>
      </c>
      <c r="M213" s="70">
        <f t="shared" si="31"/>
        <v>14052500</v>
      </c>
      <c r="N213" s="41">
        <v>0</v>
      </c>
      <c r="O213" s="41">
        <v>0</v>
      </c>
      <c r="P213" s="70">
        <f t="shared" si="32"/>
        <v>0</v>
      </c>
      <c r="Q213" s="41">
        <v>0</v>
      </c>
      <c r="R213" s="41">
        <v>0</v>
      </c>
      <c r="S213" s="70">
        <f t="shared" si="33"/>
        <v>0</v>
      </c>
      <c r="T213" s="41">
        <v>0</v>
      </c>
      <c r="U213" s="41">
        <v>0</v>
      </c>
      <c r="V213" s="70">
        <f t="shared" si="34"/>
        <v>0</v>
      </c>
      <c r="W213" s="41">
        <v>0</v>
      </c>
      <c r="X213" s="41">
        <v>0</v>
      </c>
      <c r="Y213" s="70">
        <f t="shared" si="35"/>
        <v>0</v>
      </c>
      <c r="Z213" s="41">
        <v>1</v>
      </c>
      <c r="AA213" s="41">
        <v>25</v>
      </c>
      <c r="AB213" s="70">
        <f t="shared" si="36"/>
        <v>22631691.77500001</v>
      </c>
      <c r="AC213" s="41">
        <v>0</v>
      </c>
      <c r="AD213" s="41">
        <v>0</v>
      </c>
      <c r="AE213" s="70">
        <f t="shared" si="37"/>
        <v>0</v>
      </c>
      <c r="AF213" s="28">
        <f t="shared" si="38"/>
        <v>36684191.775000006</v>
      </c>
      <c r="AG213" s="28">
        <f t="shared" si="39"/>
        <v>35894.512500000004</v>
      </c>
    </row>
    <row r="214" spans="1:37" ht="57.6" x14ac:dyDescent="0.3">
      <c r="A214" s="41" t="s">
        <v>697</v>
      </c>
      <c r="B214" s="41" t="s">
        <v>692</v>
      </c>
      <c r="C214" s="41" t="s">
        <v>668</v>
      </c>
      <c r="D214" s="41" t="s">
        <v>95</v>
      </c>
      <c r="E214" s="41" t="s">
        <v>491</v>
      </c>
      <c r="F214" s="41" t="s">
        <v>709</v>
      </c>
      <c r="G214" s="83">
        <v>0</v>
      </c>
      <c r="H214" s="41"/>
      <c r="I214" s="41"/>
      <c r="J214" s="83">
        <f t="shared" si="30"/>
        <v>0</v>
      </c>
      <c r="K214" s="41">
        <v>0</v>
      </c>
      <c r="L214" s="41">
        <v>0</v>
      </c>
      <c r="M214" s="70">
        <f t="shared" si="31"/>
        <v>0</v>
      </c>
      <c r="N214" s="41">
        <v>0</v>
      </c>
      <c r="O214" s="41">
        <v>0</v>
      </c>
      <c r="P214" s="70">
        <f t="shared" si="32"/>
        <v>0</v>
      </c>
      <c r="Q214" s="41">
        <v>0</v>
      </c>
      <c r="R214" s="41">
        <v>0</v>
      </c>
      <c r="S214" s="70">
        <f t="shared" si="33"/>
        <v>0</v>
      </c>
      <c r="T214" s="41">
        <v>0</v>
      </c>
      <c r="U214" s="41">
        <v>0</v>
      </c>
      <c r="V214" s="70">
        <f t="shared" si="34"/>
        <v>0</v>
      </c>
      <c r="W214" s="41">
        <v>0</v>
      </c>
      <c r="X214" s="41">
        <v>0</v>
      </c>
      <c r="Y214" s="70">
        <f t="shared" si="35"/>
        <v>0</v>
      </c>
      <c r="Z214" s="41">
        <v>0</v>
      </c>
      <c r="AA214" s="41">
        <v>0</v>
      </c>
      <c r="AB214" s="70">
        <f t="shared" si="36"/>
        <v>0</v>
      </c>
      <c r="AC214" s="41">
        <v>0</v>
      </c>
      <c r="AD214" s="41">
        <v>0</v>
      </c>
      <c r="AE214" s="70">
        <f t="shared" si="37"/>
        <v>0</v>
      </c>
      <c r="AF214" s="28">
        <f t="shared" si="38"/>
        <v>0</v>
      </c>
      <c r="AG214" s="28">
        <f t="shared" si="39"/>
        <v>0</v>
      </c>
    </row>
    <row r="215" spans="1:37" ht="57.6" x14ac:dyDescent="0.3">
      <c r="A215" s="41" t="s">
        <v>697</v>
      </c>
      <c r="B215" s="41" t="s">
        <v>692</v>
      </c>
      <c r="C215" s="41" t="s">
        <v>668</v>
      </c>
      <c r="D215" s="41" t="s">
        <v>95</v>
      </c>
      <c r="E215" s="41" t="s">
        <v>493</v>
      </c>
      <c r="F215" s="41" t="s">
        <v>713</v>
      </c>
      <c r="G215" s="83">
        <v>45000</v>
      </c>
      <c r="H215" s="41"/>
      <c r="I215" s="41"/>
      <c r="J215" s="83">
        <f t="shared" si="30"/>
        <v>0</v>
      </c>
      <c r="K215" s="41">
        <v>30</v>
      </c>
      <c r="L215" s="41">
        <v>6</v>
      </c>
      <c r="M215" s="70">
        <f t="shared" si="31"/>
        <v>8910000.0000000019</v>
      </c>
      <c r="N215" s="41">
        <v>0</v>
      </c>
      <c r="O215" s="41">
        <v>0</v>
      </c>
      <c r="P215" s="70">
        <f t="shared" si="32"/>
        <v>0</v>
      </c>
      <c r="Q215" s="41">
        <v>0</v>
      </c>
      <c r="R215" s="41">
        <v>0</v>
      </c>
      <c r="S215" s="70">
        <f t="shared" si="33"/>
        <v>0</v>
      </c>
      <c r="T215" s="41">
        <v>0</v>
      </c>
      <c r="U215" s="41">
        <v>0</v>
      </c>
      <c r="V215" s="70">
        <f t="shared" si="34"/>
        <v>0</v>
      </c>
      <c r="W215" s="41">
        <v>0</v>
      </c>
      <c r="X215" s="41">
        <v>0</v>
      </c>
      <c r="Y215" s="70">
        <f t="shared" si="35"/>
        <v>0</v>
      </c>
      <c r="Z215" s="41">
        <v>30</v>
      </c>
      <c r="AA215" s="41">
        <v>6</v>
      </c>
      <c r="AB215" s="70">
        <f t="shared" si="36"/>
        <v>14349644.100000005</v>
      </c>
      <c r="AC215" s="41">
        <v>0</v>
      </c>
      <c r="AD215" s="41">
        <v>0</v>
      </c>
      <c r="AE215" s="70">
        <f t="shared" si="37"/>
        <v>0</v>
      </c>
      <c r="AF215" s="28">
        <f t="shared" si="38"/>
        <v>23259644.100000009</v>
      </c>
      <c r="AG215" s="28">
        <f t="shared" si="39"/>
        <v>22758.947260273981</v>
      </c>
    </row>
    <row r="216" spans="1:37" ht="57.6" x14ac:dyDescent="0.3">
      <c r="A216" s="41" t="s">
        <v>697</v>
      </c>
      <c r="B216" s="41" t="s">
        <v>692</v>
      </c>
      <c r="C216" s="41" t="s">
        <v>668</v>
      </c>
      <c r="D216" s="41" t="s">
        <v>95</v>
      </c>
      <c r="E216" s="41" t="s">
        <v>493</v>
      </c>
      <c r="F216" s="41" t="s">
        <v>712</v>
      </c>
      <c r="G216" s="83">
        <f>1999.2/7</f>
        <v>285.60000000000002</v>
      </c>
      <c r="H216" s="41"/>
      <c r="I216" s="41"/>
      <c r="J216" s="83">
        <f t="shared" si="30"/>
        <v>0</v>
      </c>
      <c r="K216" s="41">
        <v>500</v>
      </c>
      <c r="L216" s="41">
        <v>5</v>
      </c>
      <c r="M216" s="70">
        <f t="shared" si="31"/>
        <v>785400</v>
      </c>
      <c r="N216" s="41">
        <v>0</v>
      </c>
      <c r="O216" s="41">
        <v>0</v>
      </c>
      <c r="P216" s="70">
        <f t="shared" si="32"/>
        <v>0</v>
      </c>
      <c r="Q216" s="41">
        <v>0</v>
      </c>
      <c r="R216" s="41">
        <v>0</v>
      </c>
      <c r="S216" s="70">
        <f t="shared" si="33"/>
        <v>0</v>
      </c>
      <c r="T216" s="41">
        <v>0</v>
      </c>
      <c r="U216" s="41">
        <v>0</v>
      </c>
      <c r="V216" s="70">
        <f t="shared" si="34"/>
        <v>0</v>
      </c>
      <c r="W216" s="41">
        <v>0</v>
      </c>
      <c r="X216" s="41">
        <v>0</v>
      </c>
      <c r="Y216" s="70">
        <f t="shared" si="35"/>
        <v>0</v>
      </c>
      <c r="Z216" s="41">
        <v>500</v>
      </c>
      <c r="AA216" s="41">
        <v>5</v>
      </c>
      <c r="AB216" s="70">
        <f t="shared" si="36"/>
        <v>1264894.5540000007</v>
      </c>
      <c r="AC216" s="41">
        <v>0</v>
      </c>
      <c r="AD216" s="41">
        <v>0</v>
      </c>
      <c r="AE216" s="70">
        <f t="shared" si="37"/>
        <v>0</v>
      </c>
      <c r="AF216" s="28">
        <f t="shared" si="38"/>
        <v>2050294.5540000007</v>
      </c>
      <c r="AG216" s="28">
        <f t="shared" si="39"/>
        <v>2006.1590547945211</v>
      </c>
    </row>
    <row r="217" spans="1:37" ht="57.6" x14ac:dyDescent="0.3">
      <c r="A217" s="41" t="s">
        <v>697</v>
      </c>
      <c r="B217" s="41" t="s">
        <v>692</v>
      </c>
      <c r="C217" s="41" t="s">
        <v>668</v>
      </c>
      <c r="D217" s="41" t="s">
        <v>95</v>
      </c>
      <c r="E217" s="41" t="s">
        <v>232</v>
      </c>
      <c r="F217" s="41" t="s">
        <v>718</v>
      </c>
      <c r="G217" s="83">
        <v>0</v>
      </c>
      <c r="H217" s="41">
        <v>0</v>
      </c>
      <c r="I217" s="41">
        <v>0</v>
      </c>
      <c r="J217" s="83">
        <f t="shared" si="30"/>
        <v>0</v>
      </c>
      <c r="K217" s="41">
        <v>0</v>
      </c>
      <c r="L217" s="41">
        <v>0</v>
      </c>
      <c r="M217" s="70">
        <f t="shared" si="31"/>
        <v>0</v>
      </c>
      <c r="N217" s="41">
        <v>0</v>
      </c>
      <c r="O217" s="41">
        <v>0</v>
      </c>
      <c r="P217" s="70">
        <f t="shared" si="32"/>
        <v>0</v>
      </c>
      <c r="Q217" s="41">
        <v>0</v>
      </c>
      <c r="R217" s="41">
        <v>0</v>
      </c>
      <c r="S217" s="70">
        <f t="shared" si="33"/>
        <v>0</v>
      </c>
      <c r="T217" s="41">
        <v>0</v>
      </c>
      <c r="U217" s="41">
        <v>0</v>
      </c>
      <c r="V217" s="70">
        <f t="shared" si="34"/>
        <v>0</v>
      </c>
      <c r="W217" s="41">
        <v>0</v>
      </c>
      <c r="X217" s="41">
        <v>0</v>
      </c>
      <c r="Y217" s="70">
        <f t="shared" si="35"/>
        <v>0</v>
      </c>
      <c r="Z217" s="41">
        <v>0</v>
      </c>
      <c r="AA217" s="41">
        <v>0</v>
      </c>
      <c r="AB217" s="70">
        <f t="shared" si="36"/>
        <v>0</v>
      </c>
      <c r="AC217" s="41">
        <v>0</v>
      </c>
      <c r="AD217" s="41">
        <v>0</v>
      </c>
      <c r="AE217" s="70">
        <f t="shared" si="37"/>
        <v>0</v>
      </c>
      <c r="AF217" s="28">
        <f t="shared" si="38"/>
        <v>0</v>
      </c>
      <c r="AG217" s="28">
        <f t="shared" si="39"/>
        <v>0</v>
      </c>
    </row>
    <row r="218" spans="1:37" ht="57.6" x14ac:dyDescent="0.3">
      <c r="A218" s="41" t="s">
        <v>697</v>
      </c>
      <c r="B218" s="41" t="s">
        <v>692</v>
      </c>
      <c r="C218" s="41" t="s">
        <v>668</v>
      </c>
      <c r="D218" s="41" t="s">
        <v>95</v>
      </c>
      <c r="E218" s="41" t="s">
        <v>494</v>
      </c>
      <c r="F218" s="41" t="s">
        <v>709</v>
      </c>
      <c r="G218" s="83">
        <v>35000</v>
      </c>
      <c r="J218" s="83">
        <f t="shared" si="30"/>
        <v>0</v>
      </c>
      <c r="K218" s="41">
        <v>100</v>
      </c>
      <c r="L218" s="41">
        <v>5</v>
      </c>
      <c r="M218" s="70">
        <f t="shared" si="31"/>
        <v>19250000</v>
      </c>
      <c r="N218" s="41">
        <v>0</v>
      </c>
      <c r="O218" s="41">
        <v>0</v>
      </c>
      <c r="P218" s="70">
        <f t="shared" si="32"/>
        <v>0</v>
      </c>
      <c r="Q218" s="41">
        <v>0</v>
      </c>
      <c r="R218" s="41">
        <v>0</v>
      </c>
      <c r="S218" s="70">
        <f t="shared" si="33"/>
        <v>0</v>
      </c>
      <c r="T218" s="41">
        <v>0</v>
      </c>
      <c r="U218" s="41">
        <v>0</v>
      </c>
      <c r="V218" s="70">
        <f t="shared" si="34"/>
        <v>0</v>
      </c>
      <c r="W218" s="41">
        <v>0</v>
      </c>
      <c r="X218" s="41">
        <v>0</v>
      </c>
      <c r="Y218" s="70">
        <f t="shared" si="35"/>
        <v>0</v>
      </c>
      <c r="Z218" s="41">
        <v>100</v>
      </c>
      <c r="AA218" s="41">
        <v>5</v>
      </c>
      <c r="AB218" s="70">
        <f t="shared" si="36"/>
        <v>31002317.500000015</v>
      </c>
      <c r="AC218" s="41">
        <v>0</v>
      </c>
      <c r="AD218" s="41">
        <v>0</v>
      </c>
      <c r="AE218" s="70">
        <f t="shared" si="37"/>
        <v>0</v>
      </c>
      <c r="AF218" s="28">
        <f t="shared" si="38"/>
        <v>50252317.500000015</v>
      </c>
      <c r="AG218" s="28">
        <f t="shared" si="39"/>
        <v>49170.565068493168</v>
      </c>
    </row>
    <row r="219" spans="1:37" ht="57.6" x14ac:dyDescent="0.3">
      <c r="A219" s="41" t="s">
        <v>697</v>
      </c>
      <c r="B219" s="41" t="s">
        <v>692</v>
      </c>
      <c r="C219" s="41" t="s">
        <v>668</v>
      </c>
      <c r="D219" s="41" t="s">
        <v>95</v>
      </c>
      <c r="E219" s="41" t="s">
        <v>494</v>
      </c>
      <c r="F219" s="41" t="s">
        <v>716</v>
      </c>
      <c r="G219" s="83">
        <v>39000</v>
      </c>
      <c r="J219" s="83">
        <f t="shared" si="30"/>
        <v>0</v>
      </c>
      <c r="K219" s="41">
        <v>58</v>
      </c>
      <c r="L219" s="41">
        <v>6</v>
      </c>
      <c r="M219" s="70">
        <f t="shared" si="31"/>
        <v>14929200</v>
      </c>
      <c r="N219" s="41">
        <v>0</v>
      </c>
      <c r="O219" s="41">
        <v>0</v>
      </c>
      <c r="P219" s="70">
        <f t="shared" si="32"/>
        <v>0</v>
      </c>
      <c r="Q219" s="41">
        <v>0</v>
      </c>
      <c r="R219" s="41">
        <v>0</v>
      </c>
      <c r="S219" s="70">
        <f t="shared" si="33"/>
        <v>0</v>
      </c>
      <c r="T219" s="41">
        <v>0</v>
      </c>
      <c r="U219" s="41">
        <v>0</v>
      </c>
      <c r="V219" s="70">
        <f t="shared" si="34"/>
        <v>0</v>
      </c>
      <c r="W219" s="41">
        <v>0</v>
      </c>
      <c r="X219" s="41">
        <v>0</v>
      </c>
      <c r="Y219" s="70">
        <f t="shared" si="35"/>
        <v>0</v>
      </c>
      <c r="Z219" s="41">
        <v>58</v>
      </c>
      <c r="AA219" s="41">
        <v>6</v>
      </c>
      <c r="AB219" s="70">
        <f t="shared" si="36"/>
        <v>24043625.892000012</v>
      </c>
      <c r="AC219" s="41">
        <v>0</v>
      </c>
      <c r="AD219" s="41">
        <v>0</v>
      </c>
      <c r="AE219" s="70">
        <f t="shared" si="37"/>
        <v>0</v>
      </c>
      <c r="AF219" s="28">
        <f t="shared" si="38"/>
        <v>38972825.892000012</v>
      </c>
      <c r="AG219" s="28">
        <f t="shared" si="39"/>
        <v>38133.880520547958</v>
      </c>
    </row>
    <row r="220" spans="1:37" ht="57.6" x14ac:dyDescent="0.3">
      <c r="A220" s="41" t="s">
        <v>697</v>
      </c>
      <c r="B220" s="41" t="s">
        <v>692</v>
      </c>
      <c r="C220" s="41" t="s">
        <v>668</v>
      </c>
      <c r="D220" s="41" t="s">
        <v>95</v>
      </c>
      <c r="E220" s="41" t="s">
        <v>494</v>
      </c>
      <c r="F220" s="41" t="s">
        <v>1371</v>
      </c>
      <c r="G220" s="83">
        <f>1999.2/7</f>
        <v>285.60000000000002</v>
      </c>
      <c r="J220" s="83">
        <f t="shared" si="30"/>
        <v>0</v>
      </c>
      <c r="K220" s="41">
        <f>135*2*29</f>
        <v>7830</v>
      </c>
      <c r="L220" s="41">
        <v>1</v>
      </c>
      <c r="M220" s="70">
        <f t="shared" si="31"/>
        <v>2459872.8000000003</v>
      </c>
      <c r="N220" s="41">
        <v>0</v>
      </c>
      <c r="O220" s="41">
        <v>0</v>
      </c>
      <c r="P220" s="70">
        <f t="shared" si="32"/>
        <v>0</v>
      </c>
      <c r="Q220" s="41">
        <v>0</v>
      </c>
      <c r="R220" s="41">
        <v>0</v>
      </c>
      <c r="S220" s="70">
        <f t="shared" si="33"/>
        <v>0</v>
      </c>
      <c r="T220" s="41">
        <v>0</v>
      </c>
      <c r="U220" s="41">
        <v>0</v>
      </c>
      <c r="V220" s="70">
        <f t="shared" si="34"/>
        <v>0</v>
      </c>
      <c r="W220" s="41">
        <v>0</v>
      </c>
      <c r="X220" s="41">
        <v>0</v>
      </c>
      <c r="Y220" s="70">
        <f t="shared" si="35"/>
        <v>0</v>
      </c>
      <c r="Z220" s="41">
        <v>7830</v>
      </c>
      <c r="AA220" s="41">
        <v>1</v>
      </c>
      <c r="AB220" s="70">
        <f t="shared" si="36"/>
        <v>3961649.7431280022</v>
      </c>
      <c r="AC220" s="41">
        <v>0</v>
      </c>
      <c r="AD220" s="41">
        <v>0</v>
      </c>
      <c r="AE220" s="70">
        <f t="shared" si="37"/>
        <v>0</v>
      </c>
      <c r="AF220" s="28">
        <f t="shared" si="38"/>
        <v>6421522.5431280024</v>
      </c>
      <c r="AG220" s="28">
        <f t="shared" si="39"/>
        <v>6283.2901596164411</v>
      </c>
    </row>
    <row r="221" spans="1:37" ht="57.6" x14ac:dyDescent="0.3">
      <c r="A221" s="41" t="s">
        <v>697</v>
      </c>
      <c r="B221" s="41" t="s">
        <v>692</v>
      </c>
      <c r="C221" s="41" t="s">
        <v>668</v>
      </c>
      <c r="D221" s="41" t="s">
        <v>95</v>
      </c>
      <c r="E221" s="41" t="s">
        <v>494</v>
      </c>
      <c r="F221" s="41" t="s">
        <v>712</v>
      </c>
      <c r="G221" s="83">
        <f>1999.2/7</f>
        <v>285.60000000000002</v>
      </c>
      <c r="J221" s="83">
        <f t="shared" si="30"/>
        <v>0</v>
      </c>
      <c r="K221" s="41">
        <f>25*2*29</f>
        <v>1450</v>
      </c>
      <c r="L221" s="41">
        <v>5</v>
      </c>
      <c r="M221" s="70">
        <f t="shared" si="31"/>
        <v>2277660.0000000005</v>
      </c>
      <c r="N221" s="41">
        <v>0</v>
      </c>
      <c r="O221" s="41">
        <v>0</v>
      </c>
      <c r="P221" s="70">
        <f t="shared" si="32"/>
        <v>0</v>
      </c>
      <c r="Q221" s="41">
        <v>0</v>
      </c>
      <c r="R221" s="41">
        <v>0</v>
      </c>
      <c r="S221" s="70">
        <f t="shared" si="33"/>
        <v>0</v>
      </c>
      <c r="T221" s="41">
        <v>0</v>
      </c>
      <c r="U221" s="41">
        <v>0</v>
      </c>
      <c r="V221" s="70">
        <f t="shared" si="34"/>
        <v>0</v>
      </c>
      <c r="W221" s="41">
        <v>0</v>
      </c>
      <c r="X221" s="41">
        <v>0</v>
      </c>
      <c r="Y221" s="70">
        <f t="shared" si="35"/>
        <v>0</v>
      </c>
      <c r="Z221" s="41">
        <v>1450</v>
      </c>
      <c r="AA221" s="41">
        <v>5</v>
      </c>
      <c r="AB221" s="70">
        <f t="shared" si="36"/>
        <v>3668194.206600002</v>
      </c>
      <c r="AC221" s="41">
        <v>0</v>
      </c>
      <c r="AD221" s="41">
        <v>0</v>
      </c>
      <c r="AE221" s="70">
        <f t="shared" si="37"/>
        <v>0</v>
      </c>
      <c r="AF221" s="28">
        <f t="shared" si="38"/>
        <v>5945854.2066000029</v>
      </c>
      <c r="AG221" s="28">
        <f t="shared" si="39"/>
        <v>5817.8612589041122</v>
      </c>
    </row>
    <row r="222" spans="1:37" ht="57.6" x14ac:dyDescent="0.3">
      <c r="A222" s="41" t="s">
        <v>697</v>
      </c>
      <c r="B222" s="41" t="s">
        <v>692</v>
      </c>
      <c r="C222" s="41" t="s">
        <v>668</v>
      </c>
      <c r="D222" s="41" t="s">
        <v>95</v>
      </c>
      <c r="E222" s="41" t="s">
        <v>434</v>
      </c>
      <c r="F222" s="41" t="s">
        <v>1297</v>
      </c>
      <c r="G222" s="83">
        <v>8000</v>
      </c>
      <c r="J222" s="83">
        <f t="shared" si="30"/>
        <v>0</v>
      </c>
      <c r="K222" s="41">
        <v>5</v>
      </c>
      <c r="L222" s="41">
        <v>1</v>
      </c>
      <c r="M222" s="70">
        <f t="shared" si="31"/>
        <v>44000</v>
      </c>
      <c r="N222" s="41">
        <v>0</v>
      </c>
      <c r="O222" s="41">
        <v>0</v>
      </c>
      <c r="P222" s="70">
        <f t="shared" si="32"/>
        <v>0</v>
      </c>
      <c r="Q222" s="41">
        <v>0</v>
      </c>
      <c r="R222" s="41">
        <v>0</v>
      </c>
      <c r="S222" s="70">
        <f t="shared" si="33"/>
        <v>0</v>
      </c>
      <c r="T222" s="41">
        <v>0</v>
      </c>
      <c r="U222" s="41">
        <v>0</v>
      </c>
      <c r="V222" s="70">
        <f t="shared" si="34"/>
        <v>0</v>
      </c>
      <c r="W222" s="41">
        <v>0</v>
      </c>
      <c r="X222" s="41">
        <v>0</v>
      </c>
      <c r="Y222" s="70">
        <f t="shared" si="35"/>
        <v>0</v>
      </c>
      <c r="Z222" s="41">
        <v>5</v>
      </c>
      <c r="AA222" s="41">
        <v>1</v>
      </c>
      <c r="AB222" s="70">
        <f t="shared" si="36"/>
        <v>70862.440000000031</v>
      </c>
      <c r="AC222" s="41">
        <v>0</v>
      </c>
      <c r="AD222" s="41">
        <v>0</v>
      </c>
      <c r="AE222" s="70">
        <f t="shared" si="37"/>
        <v>0</v>
      </c>
      <c r="AF222" s="28">
        <f t="shared" si="38"/>
        <v>114862.44000000003</v>
      </c>
      <c r="AG222" s="28">
        <f t="shared" si="39"/>
        <v>112.38986301369866</v>
      </c>
    </row>
    <row r="223" spans="1:37" ht="72" x14ac:dyDescent="0.3">
      <c r="A223" s="41" t="s">
        <v>697</v>
      </c>
      <c r="B223" s="41" t="s">
        <v>692</v>
      </c>
      <c r="C223" s="41" t="s">
        <v>1615</v>
      </c>
      <c r="D223" s="41" t="s">
        <v>1623</v>
      </c>
      <c r="E223" s="41" t="s">
        <v>1616</v>
      </c>
      <c r="F223" s="41" t="s">
        <v>709</v>
      </c>
      <c r="G223" s="83">
        <v>35000</v>
      </c>
      <c r="H223">
        <v>25</v>
      </c>
      <c r="I223">
        <f>4*3</f>
        <v>12</v>
      </c>
      <c r="J223" s="83">
        <f t="shared" si="30"/>
        <v>10500000</v>
      </c>
      <c r="K223" s="41">
        <v>25</v>
      </c>
      <c r="L223">
        <f>4*3</f>
        <v>12</v>
      </c>
      <c r="M223" s="70">
        <f>G223*K223*L223</f>
        <v>10500000</v>
      </c>
      <c r="N223" s="41">
        <v>25</v>
      </c>
      <c r="O223">
        <f>4*3</f>
        <v>12</v>
      </c>
      <c r="P223" s="70">
        <f>G223*N223*O223</f>
        <v>10500000</v>
      </c>
      <c r="Q223" s="41">
        <v>25</v>
      </c>
      <c r="R223">
        <f>4*3</f>
        <v>12</v>
      </c>
      <c r="S223" s="70">
        <f>G223*Q223*R223</f>
        <v>10500000</v>
      </c>
      <c r="T223" s="41">
        <v>25</v>
      </c>
      <c r="U223">
        <f>4*3</f>
        <v>12</v>
      </c>
      <c r="V223" s="70">
        <f>G223*T223*U223</f>
        <v>10500000</v>
      </c>
      <c r="W223" s="41">
        <v>25</v>
      </c>
      <c r="X223">
        <f>4*3</f>
        <v>12</v>
      </c>
      <c r="Y223" s="70">
        <f>G223*W223*X223</f>
        <v>10500000</v>
      </c>
      <c r="Z223" s="41">
        <v>25</v>
      </c>
      <c r="AA223">
        <f>4*3</f>
        <v>12</v>
      </c>
      <c r="AB223" s="70">
        <f>G223*Z223*AA223</f>
        <v>10500000</v>
      </c>
      <c r="AC223" s="41">
        <v>25</v>
      </c>
      <c r="AD223">
        <f>4*3</f>
        <v>12</v>
      </c>
      <c r="AE223" s="70">
        <f>G223*AC223*AD223</f>
        <v>10500000</v>
      </c>
      <c r="AF223" s="28">
        <f t="shared" ref="AF223:AF236" si="40">J223+M223+P223+S223+V223+Y223+AB223+AE223</f>
        <v>84000000</v>
      </c>
      <c r="AG223" s="28">
        <f t="shared" ref="AG223:AG236" si="41">AF223/$AL$2</f>
        <v>82191.780821917811</v>
      </c>
    </row>
    <row r="224" spans="1:37" ht="72" x14ac:dyDescent="0.3">
      <c r="A224" s="41" t="s">
        <v>697</v>
      </c>
      <c r="B224" s="41" t="s">
        <v>692</v>
      </c>
      <c r="C224" s="41" t="s">
        <v>1615</v>
      </c>
      <c r="D224" s="41" t="s">
        <v>1623</v>
      </c>
      <c r="E224" s="41" t="s">
        <v>1616</v>
      </c>
      <c r="F224" s="41" t="s">
        <v>716</v>
      </c>
      <c r="G224" s="83">
        <v>39000</v>
      </c>
      <c r="H224">
        <v>25</v>
      </c>
      <c r="I224">
        <f>4*3</f>
        <v>12</v>
      </c>
      <c r="J224" s="83">
        <f t="shared" si="30"/>
        <v>11700000</v>
      </c>
      <c r="K224" s="41">
        <v>25</v>
      </c>
      <c r="L224">
        <f>4*3</f>
        <v>12</v>
      </c>
      <c r="M224" s="70">
        <f t="shared" ref="M224:M227" si="42">G224*K224*L224</f>
        <v>11700000</v>
      </c>
      <c r="N224" s="41">
        <v>25</v>
      </c>
      <c r="O224">
        <f>4*3</f>
        <v>12</v>
      </c>
      <c r="P224" s="70">
        <f t="shared" ref="P224:P227" si="43">G224*N224*O224</f>
        <v>11700000</v>
      </c>
      <c r="Q224" s="41">
        <v>25</v>
      </c>
      <c r="R224">
        <f>4*3</f>
        <v>12</v>
      </c>
      <c r="S224" s="70">
        <f t="shared" ref="S224:S227" si="44">G224*Q224*R224</f>
        <v>11700000</v>
      </c>
      <c r="T224" s="41">
        <v>25</v>
      </c>
      <c r="U224">
        <f>4*3</f>
        <v>12</v>
      </c>
      <c r="V224" s="70">
        <f t="shared" ref="V224:V227" si="45">G224*T224*U224</f>
        <v>11700000</v>
      </c>
      <c r="W224" s="41">
        <v>25</v>
      </c>
      <c r="X224">
        <f>4*3</f>
        <v>12</v>
      </c>
      <c r="Y224" s="70">
        <f t="shared" ref="Y224:Y227" si="46">G224*W224*X224</f>
        <v>11700000</v>
      </c>
      <c r="Z224" s="41">
        <v>25</v>
      </c>
      <c r="AA224">
        <f>4*3</f>
        <v>12</v>
      </c>
      <c r="AB224" s="70">
        <f t="shared" ref="AB224:AB227" si="47">G224*Z224*AA224</f>
        <v>11700000</v>
      </c>
      <c r="AC224" s="41">
        <v>25</v>
      </c>
      <c r="AD224">
        <f>4*3</f>
        <v>12</v>
      </c>
      <c r="AE224" s="70">
        <f t="shared" ref="AE224:AE227" si="48">G224*AC224*AD224</f>
        <v>11700000</v>
      </c>
      <c r="AF224" s="28">
        <f t="shared" si="40"/>
        <v>93600000</v>
      </c>
      <c r="AG224" s="28">
        <f t="shared" si="41"/>
        <v>91585.127201565556</v>
      </c>
    </row>
    <row r="225" spans="1:38" ht="72" x14ac:dyDescent="0.3">
      <c r="A225" s="41" t="s">
        <v>697</v>
      </c>
      <c r="B225" s="41" t="s">
        <v>692</v>
      </c>
      <c r="C225" s="41" t="s">
        <v>1615</v>
      </c>
      <c r="D225" s="41" t="s">
        <v>1623</v>
      </c>
      <c r="E225" s="41" t="s">
        <v>1616</v>
      </c>
      <c r="F225" s="41" t="s">
        <v>1371</v>
      </c>
      <c r="G225" s="83">
        <f>1999.2/7</f>
        <v>285.60000000000002</v>
      </c>
      <c r="H225" s="41">
        <f>2*135*9</f>
        <v>2430</v>
      </c>
      <c r="I225">
        <v>4</v>
      </c>
      <c r="J225" s="83">
        <f t="shared" si="30"/>
        <v>2776032</v>
      </c>
      <c r="K225" s="41">
        <f>2*135*9</f>
        <v>2430</v>
      </c>
      <c r="L225">
        <v>4</v>
      </c>
      <c r="M225" s="70">
        <f t="shared" si="42"/>
        <v>2776032</v>
      </c>
      <c r="N225" s="41">
        <f>2*135*9</f>
        <v>2430</v>
      </c>
      <c r="O225">
        <v>4</v>
      </c>
      <c r="P225" s="70">
        <f t="shared" si="43"/>
        <v>2776032</v>
      </c>
      <c r="Q225" s="41">
        <f>2*135*9</f>
        <v>2430</v>
      </c>
      <c r="R225">
        <v>4</v>
      </c>
      <c r="S225" s="70">
        <f t="shared" si="44"/>
        <v>2776032</v>
      </c>
      <c r="T225" s="41">
        <f>2*135*9</f>
        <v>2430</v>
      </c>
      <c r="U225">
        <v>4</v>
      </c>
      <c r="V225" s="70">
        <f t="shared" si="45"/>
        <v>2776032</v>
      </c>
      <c r="W225" s="41">
        <f>2*135*9</f>
        <v>2430</v>
      </c>
      <c r="X225">
        <v>4</v>
      </c>
      <c r="Y225" s="70">
        <f t="shared" si="46"/>
        <v>2776032</v>
      </c>
      <c r="Z225" s="41">
        <f>2*135*9</f>
        <v>2430</v>
      </c>
      <c r="AA225">
        <v>4</v>
      </c>
      <c r="AB225" s="70">
        <f t="shared" si="47"/>
        <v>2776032</v>
      </c>
      <c r="AC225" s="41">
        <f>2*135*9</f>
        <v>2430</v>
      </c>
      <c r="AD225">
        <v>4</v>
      </c>
      <c r="AE225" s="70">
        <f t="shared" si="48"/>
        <v>2776032</v>
      </c>
      <c r="AF225" s="28">
        <f t="shared" si="40"/>
        <v>22208256</v>
      </c>
      <c r="AG225" s="28">
        <f t="shared" si="41"/>
        <v>21730.191780821919</v>
      </c>
    </row>
    <row r="226" spans="1:38" ht="72" x14ac:dyDescent="0.3">
      <c r="A226" s="41" t="s">
        <v>697</v>
      </c>
      <c r="B226" s="41" t="s">
        <v>692</v>
      </c>
      <c r="C226" s="41" t="s">
        <v>1615</v>
      </c>
      <c r="D226" s="41" t="s">
        <v>1623</v>
      </c>
      <c r="E226" s="41" t="s">
        <v>1616</v>
      </c>
      <c r="F226" s="41" t="s">
        <v>712</v>
      </c>
      <c r="G226" s="83">
        <f>1999.2/7</f>
        <v>285.60000000000002</v>
      </c>
      <c r="H226">
        <f>25*2*9</f>
        <v>450</v>
      </c>
      <c r="I226">
        <f>3*4</f>
        <v>12</v>
      </c>
      <c r="J226" s="83">
        <f t="shared" si="30"/>
        <v>1542240.0000000002</v>
      </c>
      <c r="K226" s="41">
        <f>25*2*9</f>
        <v>450</v>
      </c>
      <c r="L226">
        <f>3*4</f>
        <v>12</v>
      </c>
      <c r="M226" s="70">
        <f t="shared" si="42"/>
        <v>1542240.0000000002</v>
      </c>
      <c r="N226" s="41">
        <f>25*2*9</f>
        <v>450</v>
      </c>
      <c r="O226">
        <f>3*4</f>
        <v>12</v>
      </c>
      <c r="P226" s="70">
        <f t="shared" si="43"/>
        <v>1542240.0000000002</v>
      </c>
      <c r="Q226" s="41">
        <f>25*2*9</f>
        <v>450</v>
      </c>
      <c r="R226">
        <f>3*4</f>
        <v>12</v>
      </c>
      <c r="S226" s="70">
        <f t="shared" si="44"/>
        <v>1542240.0000000002</v>
      </c>
      <c r="T226" s="41">
        <f>25*2*9</f>
        <v>450</v>
      </c>
      <c r="U226">
        <f>3*4</f>
        <v>12</v>
      </c>
      <c r="V226" s="70">
        <f t="shared" si="45"/>
        <v>1542240.0000000002</v>
      </c>
      <c r="W226" s="41">
        <f>25*2*9</f>
        <v>450</v>
      </c>
      <c r="X226">
        <f>3*4</f>
        <v>12</v>
      </c>
      <c r="Y226" s="70">
        <f t="shared" si="46"/>
        <v>1542240.0000000002</v>
      </c>
      <c r="Z226" s="41">
        <f>25*2*9</f>
        <v>450</v>
      </c>
      <c r="AA226">
        <f>3*4</f>
        <v>12</v>
      </c>
      <c r="AB226" s="70">
        <f t="shared" si="47"/>
        <v>1542240.0000000002</v>
      </c>
      <c r="AC226" s="41">
        <f>25*2*9</f>
        <v>450</v>
      </c>
      <c r="AD226">
        <f>3*4</f>
        <v>12</v>
      </c>
      <c r="AE226" s="70">
        <f t="shared" si="48"/>
        <v>1542240.0000000002</v>
      </c>
      <c r="AF226" s="28">
        <f t="shared" si="40"/>
        <v>12337920.000000002</v>
      </c>
      <c r="AG226" s="28">
        <f t="shared" si="41"/>
        <v>12072.32876712329</v>
      </c>
    </row>
    <row r="227" spans="1:38" ht="72" x14ac:dyDescent="0.3">
      <c r="A227" s="41" t="s">
        <v>697</v>
      </c>
      <c r="B227" s="41" t="s">
        <v>692</v>
      </c>
      <c r="C227" s="41" t="s">
        <v>1615</v>
      </c>
      <c r="D227" s="41" t="s">
        <v>1624</v>
      </c>
      <c r="E227" s="41" t="s">
        <v>1625</v>
      </c>
      <c r="F227" s="41" t="s">
        <v>709</v>
      </c>
      <c r="G227" s="83">
        <v>35000</v>
      </c>
      <c r="H227">
        <v>50</v>
      </c>
      <c r="I227">
        <v>4</v>
      </c>
      <c r="J227" s="83">
        <f t="shared" ref="J227" si="49">G227*H227*I227</f>
        <v>7000000</v>
      </c>
      <c r="K227" s="41">
        <v>50</v>
      </c>
      <c r="L227" s="41">
        <v>4</v>
      </c>
      <c r="M227" s="70">
        <f t="shared" si="42"/>
        <v>7000000</v>
      </c>
      <c r="N227" s="41">
        <v>50</v>
      </c>
      <c r="O227" s="41">
        <v>4</v>
      </c>
      <c r="P227" s="70">
        <f t="shared" si="43"/>
        <v>7000000</v>
      </c>
      <c r="Q227" s="41">
        <v>50</v>
      </c>
      <c r="R227" s="41">
        <v>4</v>
      </c>
      <c r="S227" s="70">
        <f t="shared" si="44"/>
        <v>7000000</v>
      </c>
      <c r="T227" s="41">
        <v>50</v>
      </c>
      <c r="U227" s="41">
        <v>4</v>
      </c>
      <c r="V227" s="70">
        <f t="shared" si="45"/>
        <v>7000000</v>
      </c>
      <c r="W227" s="41">
        <v>50</v>
      </c>
      <c r="X227" s="41">
        <v>4</v>
      </c>
      <c r="Y227" s="70">
        <f t="shared" si="46"/>
        <v>7000000</v>
      </c>
      <c r="Z227" s="41">
        <v>50</v>
      </c>
      <c r="AA227" s="41">
        <v>4</v>
      </c>
      <c r="AB227" s="70">
        <f t="shared" si="47"/>
        <v>7000000</v>
      </c>
      <c r="AC227" s="41">
        <v>50</v>
      </c>
      <c r="AD227" s="41">
        <v>4</v>
      </c>
      <c r="AE227" s="70">
        <f t="shared" si="48"/>
        <v>7000000</v>
      </c>
      <c r="AF227" s="28">
        <f t="shared" si="40"/>
        <v>56000000</v>
      </c>
      <c r="AG227" s="28">
        <f t="shared" si="41"/>
        <v>54794.520547945205</v>
      </c>
    </row>
    <row r="228" spans="1:38" ht="72" x14ac:dyDescent="0.3">
      <c r="A228" s="41" t="s">
        <v>697</v>
      </c>
      <c r="B228" s="41" t="s">
        <v>692</v>
      </c>
      <c r="C228" s="41" t="s">
        <v>1615</v>
      </c>
      <c r="D228" s="41" t="s">
        <v>1626</v>
      </c>
      <c r="E228" s="41" t="s">
        <v>1625</v>
      </c>
      <c r="F228" s="41" t="s">
        <v>709</v>
      </c>
      <c r="G228" s="83">
        <v>35000</v>
      </c>
      <c r="H228">
        <v>50</v>
      </c>
      <c r="I228">
        <v>4</v>
      </c>
      <c r="J228" s="83">
        <f t="shared" ref="J228:J236" si="50">G228*H228*I228</f>
        <v>7000000</v>
      </c>
      <c r="K228" s="41">
        <v>50</v>
      </c>
      <c r="L228" s="41">
        <v>4</v>
      </c>
      <c r="M228" s="70">
        <f t="shared" ref="M228:M236" si="51">G228*K228*L228</f>
        <v>7000000</v>
      </c>
      <c r="N228" s="41">
        <v>50</v>
      </c>
      <c r="O228" s="41">
        <v>4</v>
      </c>
      <c r="P228" s="70">
        <f t="shared" ref="P228:P236" si="52">G228*N228*O228</f>
        <v>7000000</v>
      </c>
      <c r="Q228" s="41">
        <v>50</v>
      </c>
      <c r="R228" s="41">
        <v>4</v>
      </c>
      <c r="S228" s="70">
        <f t="shared" ref="S228:S236" si="53">G228*Q228*R228</f>
        <v>7000000</v>
      </c>
      <c r="T228" s="41">
        <v>50</v>
      </c>
      <c r="U228" s="41">
        <v>4</v>
      </c>
      <c r="V228" s="70">
        <f t="shared" ref="V228:V236" si="54">G228*T228*U228</f>
        <v>7000000</v>
      </c>
      <c r="W228" s="41">
        <v>50</v>
      </c>
      <c r="X228" s="41">
        <v>4</v>
      </c>
      <c r="Y228" s="70">
        <f t="shared" ref="Y228:Y236" si="55">G228*W228*X228</f>
        <v>7000000</v>
      </c>
      <c r="Z228" s="41">
        <v>50</v>
      </c>
      <c r="AA228" s="41">
        <v>4</v>
      </c>
      <c r="AB228" s="70">
        <f t="shared" ref="AB228:AB236" si="56">G228*Z228*AA228</f>
        <v>7000000</v>
      </c>
      <c r="AC228" s="41">
        <v>50</v>
      </c>
      <c r="AD228" s="41">
        <v>4</v>
      </c>
      <c r="AE228" s="70">
        <f t="shared" ref="AE228:AE236" si="57">G228*AC228*AD228</f>
        <v>7000000</v>
      </c>
      <c r="AF228" s="28">
        <f t="shared" si="40"/>
        <v>56000000</v>
      </c>
      <c r="AG228" s="28">
        <f t="shared" si="41"/>
        <v>54794.520547945205</v>
      </c>
    </row>
    <row r="229" spans="1:38" ht="57.6" x14ac:dyDescent="0.3">
      <c r="A229" s="41" t="s">
        <v>697</v>
      </c>
      <c r="B229" s="41" t="s">
        <v>692</v>
      </c>
      <c r="C229" s="41" t="s">
        <v>1672</v>
      </c>
      <c r="D229" s="41" t="s">
        <v>1621</v>
      </c>
      <c r="E229" s="41" t="s">
        <v>1617</v>
      </c>
      <c r="F229" s="83" t="s">
        <v>1329</v>
      </c>
      <c r="G229" s="83">
        <v>0</v>
      </c>
      <c r="H229">
        <v>0</v>
      </c>
      <c r="I229">
        <v>0</v>
      </c>
      <c r="J229" s="83">
        <f t="shared" si="50"/>
        <v>0</v>
      </c>
      <c r="K229" s="41">
        <v>0</v>
      </c>
      <c r="L229" s="41">
        <v>0</v>
      </c>
      <c r="M229" s="70">
        <f t="shared" si="51"/>
        <v>0</v>
      </c>
      <c r="N229" s="41"/>
      <c r="O229" s="41"/>
      <c r="P229" s="70">
        <f t="shared" si="52"/>
        <v>0</v>
      </c>
      <c r="Q229" s="41">
        <v>0</v>
      </c>
      <c r="R229" s="41">
        <v>0</v>
      </c>
      <c r="S229" s="70">
        <f t="shared" si="53"/>
        <v>0</v>
      </c>
      <c r="T229" s="41"/>
      <c r="U229" s="41"/>
      <c r="V229" s="70">
        <f t="shared" si="54"/>
        <v>0</v>
      </c>
      <c r="W229" s="41">
        <v>0</v>
      </c>
      <c r="X229" s="41">
        <v>0</v>
      </c>
      <c r="Y229" s="70">
        <f t="shared" si="55"/>
        <v>0</v>
      </c>
      <c r="Z229" s="41"/>
      <c r="AA229" s="41"/>
      <c r="AB229" s="70">
        <f t="shared" si="56"/>
        <v>0</v>
      </c>
      <c r="AC229" s="41">
        <v>0</v>
      </c>
      <c r="AD229" s="41">
        <v>0</v>
      </c>
      <c r="AE229" s="70">
        <f t="shared" si="57"/>
        <v>0</v>
      </c>
      <c r="AF229" s="28">
        <f t="shared" si="40"/>
        <v>0</v>
      </c>
      <c r="AG229" s="28">
        <f t="shared" si="41"/>
        <v>0</v>
      </c>
    </row>
    <row r="230" spans="1:38" ht="57.6" x14ac:dyDescent="0.3">
      <c r="A230" s="41" t="s">
        <v>697</v>
      </c>
      <c r="B230" s="41" t="s">
        <v>692</v>
      </c>
      <c r="C230" s="41" t="s">
        <v>1672</v>
      </c>
      <c r="D230" s="41" t="s">
        <v>1621</v>
      </c>
      <c r="E230" s="41" t="s">
        <v>1618</v>
      </c>
      <c r="F230" s="83" t="s">
        <v>1329</v>
      </c>
      <c r="G230">
        <v>0</v>
      </c>
      <c r="J230" s="83">
        <f t="shared" si="50"/>
        <v>0</v>
      </c>
      <c r="K230" s="41">
        <v>0</v>
      </c>
      <c r="L230" s="41">
        <v>0</v>
      </c>
      <c r="M230" s="70">
        <f t="shared" si="51"/>
        <v>0</v>
      </c>
      <c r="N230" s="41"/>
      <c r="O230" s="41"/>
      <c r="P230" s="70">
        <f t="shared" si="52"/>
        <v>0</v>
      </c>
      <c r="Q230" s="41">
        <v>0</v>
      </c>
      <c r="R230" s="41">
        <v>0</v>
      </c>
      <c r="S230" s="70">
        <f t="shared" si="53"/>
        <v>0</v>
      </c>
      <c r="T230" s="41"/>
      <c r="U230" s="41"/>
      <c r="V230" s="70">
        <f t="shared" si="54"/>
        <v>0</v>
      </c>
      <c r="W230" s="41">
        <v>0</v>
      </c>
      <c r="X230" s="41">
        <v>0</v>
      </c>
      <c r="Y230" s="70">
        <f t="shared" si="55"/>
        <v>0</v>
      </c>
      <c r="Z230" s="41"/>
      <c r="AA230" s="41"/>
      <c r="AB230" s="70">
        <f t="shared" si="56"/>
        <v>0</v>
      </c>
      <c r="AC230" s="41">
        <v>0</v>
      </c>
      <c r="AD230" s="41">
        <v>0</v>
      </c>
      <c r="AE230" s="70">
        <f t="shared" si="57"/>
        <v>0</v>
      </c>
      <c r="AF230" s="28">
        <f t="shared" si="40"/>
        <v>0</v>
      </c>
      <c r="AG230" s="28">
        <f t="shared" si="41"/>
        <v>0</v>
      </c>
    </row>
    <row r="231" spans="1:38" ht="57.6" x14ac:dyDescent="0.3">
      <c r="A231" s="41" t="s">
        <v>697</v>
      </c>
      <c r="B231" s="41" t="s">
        <v>692</v>
      </c>
      <c r="C231" s="41" t="s">
        <v>1672</v>
      </c>
      <c r="D231" s="41" t="s">
        <v>1621</v>
      </c>
      <c r="E231" s="41" t="s">
        <v>1627</v>
      </c>
      <c r="F231" s="41" t="s">
        <v>1619</v>
      </c>
      <c r="G231" s="83">
        <v>0</v>
      </c>
      <c r="J231" s="83">
        <f t="shared" si="50"/>
        <v>0</v>
      </c>
      <c r="K231" s="41">
        <v>0</v>
      </c>
      <c r="L231" s="41">
        <v>0</v>
      </c>
      <c r="M231" s="70">
        <f t="shared" si="51"/>
        <v>0</v>
      </c>
      <c r="N231" s="41"/>
      <c r="O231" s="41"/>
      <c r="P231" s="70">
        <f t="shared" si="52"/>
        <v>0</v>
      </c>
      <c r="Q231" s="41">
        <v>0</v>
      </c>
      <c r="R231" s="41">
        <v>0</v>
      </c>
      <c r="S231" s="70">
        <f t="shared" si="53"/>
        <v>0</v>
      </c>
      <c r="T231" s="41"/>
      <c r="U231" s="41"/>
      <c r="V231" s="70">
        <f t="shared" si="54"/>
        <v>0</v>
      </c>
      <c r="W231" s="41">
        <v>0</v>
      </c>
      <c r="X231" s="41">
        <v>0</v>
      </c>
      <c r="Y231" s="70">
        <f t="shared" si="55"/>
        <v>0</v>
      </c>
      <c r="Z231" s="41"/>
      <c r="AA231" s="41"/>
      <c r="AB231" s="70">
        <f t="shared" si="56"/>
        <v>0</v>
      </c>
      <c r="AC231" s="41">
        <v>0</v>
      </c>
      <c r="AD231" s="41">
        <v>0</v>
      </c>
      <c r="AE231" s="70">
        <f t="shared" si="57"/>
        <v>0</v>
      </c>
      <c r="AF231" s="28">
        <f t="shared" si="40"/>
        <v>0</v>
      </c>
      <c r="AG231" s="28">
        <f t="shared" si="41"/>
        <v>0</v>
      </c>
    </row>
    <row r="232" spans="1:38" ht="57.6" x14ac:dyDescent="0.3">
      <c r="A232" s="41" t="s">
        <v>697</v>
      </c>
      <c r="B232" s="41" t="s">
        <v>692</v>
      </c>
      <c r="C232" s="41" t="s">
        <v>1672</v>
      </c>
      <c r="D232" s="41" t="s">
        <v>1621</v>
      </c>
      <c r="E232" s="41" t="s">
        <v>1627</v>
      </c>
      <c r="F232" s="41" t="s">
        <v>1620</v>
      </c>
      <c r="G232" s="83">
        <v>391991.03749999998</v>
      </c>
      <c r="J232" s="83">
        <f t="shared" si="50"/>
        <v>0</v>
      </c>
      <c r="K232">
        <v>2</v>
      </c>
      <c r="L232">
        <v>2</v>
      </c>
      <c r="M232" s="70">
        <f t="shared" si="51"/>
        <v>1567964.15</v>
      </c>
      <c r="N232" s="41"/>
      <c r="O232" s="41"/>
      <c r="P232" s="70">
        <f t="shared" si="52"/>
        <v>0</v>
      </c>
      <c r="Q232">
        <v>2</v>
      </c>
      <c r="R232">
        <v>2</v>
      </c>
      <c r="S232" s="70">
        <f t="shared" si="53"/>
        <v>1567964.15</v>
      </c>
      <c r="T232" s="41"/>
      <c r="U232" s="41"/>
      <c r="V232" s="70">
        <f t="shared" si="54"/>
        <v>0</v>
      </c>
      <c r="W232">
        <v>2</v>
      </c>
      <c r="X232">
        <v>2</v>
      </c>
      <c r="Y232" s="70">
        <f t="shared" si="55"/>
        <v>1567964.15</v>
      </c>
      <c r="Z232" s="41"/>
      <c r="AA232" s="41"/>
      <c r="AB232" s="70">
        <f t="shared" si="56"/>
        <v>0</v>
      </c>
      <c r="AC232">
        <v>2</v>
      </c>
      <c r="AD232">
        <v>2</v>
      </c>
      <c r="AE232" s="70">
        <f t="shared" si="57"/>
        <v>1567964.15</v>
      </c>
      <c r="AF232" s="28">
        <f t="shared" si="40"/>
        <v>6271856.5999999996</v>
      </c>
      <c r="AG232" s="28">
        <f t="shared" si="41"/>
        <v>6136.8459882583165</v>
      </c>
    </row>
    <row r="233" spans="1:38" ht="57.6" x14ac:dyDescent="0.3">
      <c r="A233" s="41" t="s">
        <v>697</v>
      </c>
      <c r="B233" s="41" t="s">
        <v>692</v>
      </c>
      <c r="C233" s="41" t="s">
        <v>1672</v>
      </c>
      <c r="D233" s="41" t="s">
        <v>1621</v>
      </c>
      <c r="E233" s="41" t="s">
        <v>1627</v>
      </c>
      <c r="F233" s="41" t="s">
        <v>1622</v>
      </c>
      <c r="G233" s="83">
        <f>500*1030</f>
        <v>515000</v>
      </c>
      <c r="J233" s="83">
        <f t="shared" si="50"/>
        <v>0</v>
      </c>
      <c r="K233">
        <v>1</v>
      </c>
      <c r="L233">
        <v>25</v>
      </c>
      <c r="M233" s="70">
        <f t="shared" si="51"/>
        <v>12875000</v>
      </c>
      <c r="N233" s="41"/>
      <c r="O233" s="41"/>
      <c r="P233" s="70">
        <f t="shared" si="52"/>
        <v>0</v>
      </c>
      <c r="Q233">
        <v>1</v>
      </c>
      <c r="R233">
        <v>25</v>
      </c>
      <c r="S233" s="70">
        <f t="shared" si="53"/>
        <v>12875000</v>
      </c>
      <c r="T233" s="41"/>
      <c r="U233" s="41"/>
      <c r="V233" s="70">
        <f t="shared" si="54"/>
        <v>0</v>
      </c>
      <c r="W233">
        <v>1</v>
      </c>
      <c r="X233">
        <v>25</v>
      </c>
      <c r="Y233" s="70">
        <f t="shared" si="55"/>
        <v>12875000</v>
      </c>
      <c r="Z233" s="41"/>
      <c r="AA233" s="41"/>
      <c r="AB233" s="70">
        <f t="shared" si="56"/>
        <v>0</v>
      </c>
      <c r="AC233">
        <v>1</v>
      </c>
      <c r="AD233">
        <v>25</v>
      </c>
      <c r="AE233" s="70">
        <f t="shared" si="57"/>
        <v>12875000</v>
      </c>
      <c r="AF233" s="28">
        <f t="shared" si="40"/>
        <v>51500000</v>
      </c>
      <c r="AG233" s="28">
        <f t="shared" si="41"/>
        <v>50391.389432485325</v>
      </c>
    </row>
    <row r="234" spans="1:38" ht="57.6" x14ac:dyDescent="0.3">
      <c r="A234" s="41" t="s">
        <v>697</v>
      </c>
      <c r="B234" s="41" t="s">
        <v>692</v>
      </c>
      <c r="C234" s="41" t="s">
        <v>1672</v>
      </c>
      <c r="D234" s="41" t="s">
        <v>1621</v>
      </c>
      <c r="E234" s="41" t="s">
        <v>1319</v>
      </c>
      <c r="F234" t="s">
        <v>709</v>
      </c>
      <c r="G234" s="83">
        <v>35000</v>
      </c>
      <c r="J234" s="83">
        <f t="shared" si="50"/>
        <v>0</v>
      </c>
      <c r="K234" s="41">
        <v>50</v>
      </c>
      <c r="L234">
        <v>1</v>
      </c>
      <c r="M234" s="70">
        <f t="shared" si="51"/>
        <v>1750000</v>
      </c>
      <c r="N234" s="41"/>
      <c r="O234" s="41"/>
      <c r="P234" s="70">
        <f t="shared" si="52"/>
        <v>0</v>
      </c>
      <c r="Q234" s="41">
        <v>50</v>
      </c>
      <c r="R234">
        <v>1</v>
      </c>
      <c r="S234" s="70">
        <f t="shared" si="53"/>
        <v>1750000</v>
      </c>
      <c r="T234" s="41"/>
      <c r="U234" s="41"/>
      <c r="V234" s="70">
        <f t="shared" si="54"/>
        <v>0</v>
      </c>
      <c r="W234" s="41">
        <v>50</v>
      </c>
      <c r="X234">
        <v>1</v>
      </c>
      <c r="Y234" s="70">
        <f t="shared" si="55"/>
        <v>1750000</v>
      </c>
      <c r="Z234" s="41"/>
      <c r="AA234" s="41"/>
      <c r="AB234" s="70">
        <f t="shared" si="56"/>
        <v>0</v>
      </c>
      <c r="AC234" s="41">
        <v>50</v>
      </c>
      <c r="AD234">
        <v>1</v>
      </c>
      <c r="AE234" s="70">
        <f t="shared" si="57"/>
        <v>1750000</v>
      </c>
      <c r="AF234" s="28">
        <f t="shared" si="40"/>
        <v>7000000</v>
      </c>
      <c r="AG234" s="28">
        <f t="shared" si="41"/>
        <v>6849.3150684931506</v>
      </c>
    </row>
    <row r="235" spans="1:38" ht="57.6" x14ac:dyDescent="0.3">
      <c r="A235" s="41" t="s">
        <v>697</v>
      </c>
      <c r="B235" s="41" t="s">
        <v>692</v>
      </c>
      <c r="C235" s="41" t="s">
        <v>1672</v>
      </c>
      <c r="D235" s="41" t="s">
        <v>1621</v>
      </c>
      <c r="E235" s="41" t="s">
        <v>344</v>
      </c>
      <c r="F235" t="s">
        <v>709</v>
      </c>
      <c r="G235" s="83">
        <v>35000</v>
      </c>
      <c r="J235" s="83">
        <f t="shared" si="50"/>
        <v>0</v>
      </c>
      <c r="K235" s="41">
        <v>30</v>
      </c>
      <c r="L235">
        <v>1</v>
      </c>
      <c r="M235" s="70">
        <f t="shared" si="51"/>
        <v>1050000</v>
      </c>
      <c r="N235" s="41"/>
      <c r="O235" s="41"/>
      <c r="P235" s="70">
        <f t="shared" si="52"/>
        <v>0</v>
      </c>
      <c r="Q235" s="41">
        <v>30</v>
      </c>
      <c r="R235">
        <v>1</v>
      </c>
      <c r="S235" s="70">
        <f t="shared" si="53"/>
        <v>1050000</v>
      </c>
      <c r="T235" s="41"/>
      <c r="U235" s="41"/>
      <c r="V235" s="70">
        <f t="shared" si="54"/>
        <v>0</v>
      </c>
      <c r="W235" s="41">
        <v>30</v>
      </c>
      <c r="X235">
        <v>1</v>
      </c>
      <c r="Y235" s="70">
        <f t="shared" si="55"/>
        <v>1050000</v>
      </c>
      <c r="Z235" s="41"/>
      <c r="AA235" s="41"/>
      <c r="AB235" s="70">
        <f t="shared" si="56"/>
        <v>0</v>
      </c>
      <c r="AC235" s="41">
        <v>30</v>
      </c>
      <c r="AD235">
        <v>1</v>
      </c>
      <c r="AE235" s="70">
        <f t="shared" si="57"/>
        <v>1050000</v>
      </c>
      <c r="AF235" s="28">
        <f t="shared" si="40"/>
        <v>4200000</v>
      </c>
      <c r="AG235" s="28">
        <f t="shared" si="41"/>
        <v>4109.58904109589</v>
      </c>
    </row>
    <row r="236" spans="1:38" ht="57.6" x14ac:dyDescent="0.3">
      <c r="A236" s="41" t="s">
        <v>697</v>
      </c>
      <c r="B236" s="41" t="s">
        <v>692</v>
      </c>
      <c r="C236" s="41" t="s">
        <v>1672</v>
      </c>
      <c r="D236" s="41" t="s">
        <v>1621</v>
      </c>
      <c r="E236" s="41" t="s">
        <v>575</v>
      </c>
      <c r="F236" t="s">
        <v>709</v>
      </c>
      <c r="G236" s="83">
        <v>35000</v>
      </c>
      <c r="J236" s="83">
        <f t="shared" si="50"/>
        <v>0</v>
      </c>
      <c r="K236" s="41">
        <v>20</v>
      </c>
      <c r="L236">
        <v>1</v>
      </c>
      <c r="M236" s="70">
        <f t="shared" si="51"/>
        <v>700000</v>
      </c>
      <c r="N236" s="41"/>
      <c r="O236" s="41"/>
      <c r="P236" s="70">
        <f t="shared" si="52"/>
        <v>0</v>
      </c>
      <c r="Q236" s="41">
        <v>20</v>
      </c>
      <c r="R236">
        <v>1</v>
      </c>
      <c r="S236" s="70">
        <f t="shared" si="53"/>
        <v>700000</v>
      </c>
      <c r="T236" s="41"/>
      <c r="U236" s="41"/>
      <c r="V236" s="70">
        <f t="shared" si="54"/>
        <v>0</v>
      </c>
      <c r="W236" s="41">
        <v>20</v>
      </c>
      <c r="X236">
        <v>1</v>
      </c>
      <c r="Y236" s="70">
        <f t="shared" si="55"/>
        <v>700000</v>
      </c>
      <c r="Z236" s="41"/>
      <c r="AA236" s="41"/>
      <c r="AB236" s="70">
        <f t="shared" si="56"/>
        <v>0</v>
      </c>
      <c r="AC236" s="41">
        <v>20</v>
      </c>
      <c r="AD236">
        <v>1</v>
      </c>
      <c r="AE236" s="70">
        <f t="shared" si="57"/>
        <v>700000</v>
      </c>
      <c r="AF236" s="28">
        <f t="shared" si="40"/>
        <v>2800000</v>
      </c>
      <c r="AG236" s="28">
        <f t="shared" si="41"/>
        <v>2739.7260273972602</v>
      </c>
    </row>
    <row r="237" spans="1:38" x14ac:dyDescent="0.3">
      <c r="A237" s="91" t="s">
        <v>1302</v>
      </c>
      <c r="B237" s="94"/>
      <c r="C237" s="94"/>
      <c r="D237" s="94"/>
      <c r="E237" s="94"/>
      <c r="F237" s="94"/>
      <c r="G237" s="96"/>
      <c r="H237" s="94"/>
      <c r="I237" s="94"/>
      <c r="J237" s="92">
        <f>SUM(J210:J222)</f>
        <v>1567964.15</v>
      </c>
      <c r="K237" s="94"/>
      <c r="L237" s="94"/>
      <c r="M237" s="92">
        <f>SUM(M210:M222)</f>
        <v>62708632.799999997</v>
      </c>
      <c r="N237" s="41">
        <f>2*135*9</f>
        <v>2430</v>
      </c>
      <c r="O237" s="41">
        <v>1</v>
      </c>
      <c r="P237" s="92">
        <f>SUM(P210:P222)</f>
        <v>0</v>
      </c>
      <c r="Q237" s="94"/>
      <c r="R237" s="94"/>
      <c r="S237" s="92">
        <f>SUM(S210:S222)</f>
        <v>0</v>
      </c>
      <c r="T237" s="94"/>
      <c r="U237" s="94"/>
      <c r="V237" s="92">
        <f>SUM(V210:V222)</f>
        <v>0</v>
      </c>
      <c r="W237" s="94"/>
      <c r="X237" s="94"/>
      <c r="Y237" s="92">
        <f>SUM(Y210:Y222)</f>
        <v>0</v>
      </c>
      <c r="Z237" s="94"/>
      <c r="AA237" s="94"/>
      <c r="AB237" s="92">
        <f>SUM(AB210:AB222)</f>
        <v>100992880.21072803</v>
      </c>
      <c r="AC237" s="94"/>
      <c r="AD237" s="94"/>
      <c r="AE237" s="92">
        <f>SUM(AE210:AE222)</f>
        <v>0</v>
      </c>
      <c r="AF237" s="94"/>
      <c r="AG237" s="94"/>
      <c r="AH237" s="94"/>
      <c r="AI237" s="94"/>
      <c r="AJ237" s="94"/>
      <c r="AK237" s="94"/>
    </row>
    <row r="238" spans="1:38" x14ac:dyDescent="0.3">
      <c r="A238" s="97" t="s">
        <v>1411</v>
      </c>
      <c r="B238" s="98"/>
      <c r="C238" s="98"/>
      <c r="D238" s="98"/>
      <c r="E238" s="98"/>
      <c r="F238" s="98"/>
      <c r="G238" s="104"/>
      <c r="H238" s="98"/>
      <c r="I238" s="98"/>
      <c r="J238" s="101">
        <f>SUM(J2:J222)</f>
        <v>881556616.59948635</v>
      </c>
      <c r="K238" s="98"/>
      <c r="L238" s="98"/>
      <c r="M238" s="101">
        <f>SUM(M2:M222)</f>
        <v>3784524872.8315811</v>
      </c>
      <c r="N238" s="41">
        <f>25*2*9</f>
        <v>450</v>
      </c>
      <c r="O238" s="41">
        <v>3</v>
      </c>
      <c r="P238" s="101">
        <f>SUM(P2:P222)</f>
        <v>4268643470.7554183</v>
      </c>
      <c r="Q238" s="98"/>
      <c r="R238" s="98"/>
      <c r="S238" s="101">
        <f>SUM(S2:S222)</f>
        <v>1993972779.0618727</v>
      </c>
      <c r="T238" s="98"/>
      <c r="U238" s="98"/>
      <c r="V238" s="101">
        <f>SUM(V2:V222)</f>
        <v>4158832677.3149867</v>
      </c>
      <c r="W238" s="98"/>
      <c r="X238" s="98"/>
      <c r="Y238" s="101">
        <f>SUM(Y2:Y222)</f>
        <v>2074106833.6276317</v>
      </c>
      <c r="Z238" s="98"/>
      <c r="AA238" s="98"/>
      <c r="AB238" s="101">
        <f>SUM(AB2:AB222)</f>
        <v>2995126356.5024247</v>
      </c>
      <c r="AC238" s="98"/>
      <c r="AD238" s="98"/>
      <c r="AE238" s="101">
        <f>SUM(AE2:AE222)</f>
        <v>2513277500.4583125</v>
      </c>
      <c r="AF238" s="98"/>
      <c r="AG238" s="98"/>
      <c r="AH238" s="98"/>
      <c r="AI238" s="98"/>
      <c r="AJ238" s="98"/>
      <c r="AK238" s="98"/>
      <c r="AL238" s="98"/>
    </row>
    <row r="239" spans="1:38" x14ac:dyDescent="0.3">
      <c r="A239" s="91" t="s">
        <v>1428</v>
      </c>
      <c r="B239" s="94"/>
      <c r="C239" s="94"/>
      <c r="D239" s="94"/>
      <c r="E239" s="94"/>
      <c r="F239" s="94"/>
      <c r="G239" s="96"/>
      <c r="H239" s="94"/>
      <c r="I239" s="94"/>
      <c r="J239" s="92">
        <f>J238/$AL$2</f>
        <v>862579.85968638584</v>
      </c>
      <c r="K239" s="94"/>
      <c r="L239" s="94"/>
      <c r="M239" s="92">
        <f>M238/$AL$2</f>
        <v>3703057.6055103531</v>
      </c>
      <c r="N239" s="94"/>
      <c r="O239" s="94"/>
      <c r="P239" s="92">
        <f>P238/$AL$2</f>
        <v>4176754.8637528555</v>
      </c>
      <c r="Q239" s="94"/>
      <c r="R239" s="94"/>
      <c r="S239" s="92">
        <f>S238/$AL$2</f>
        <v>1951049.6859705213</v>
      </c>
      <c r="T239" s="94"/>
      <c r="U239" s="94"/>
      <c r="V239" s="92">
        <f>V238/$AL$2</f>
        <v>4069307.9034393216</v>
      </c>
      <c r="W239" s="94"/>
      <c r="X239" s="94"/>
      <c r="Y239" s="92">
        <f>Y238/$AL$2</f>
        <v>2029458.7413186219</v>
      </c>
      <c r="Z239" s="94"/>
      <c r="AA239" s="94"/>
      <c r="AB239" s="92">
        <f>AB238/$AL$2</f>
        <v>2930652.0122332922</v>
      </c>
      <c r="AC239" s="94"/>
      <c r="AD239" s="94"/>
      <c r="AE239" s="92">
        <f>AE238/$AL$2</f>
        <v>2459175.6364562744</v>
      </c>
      <c r="AF239" s="94"/>
      <c r="AG239" s="94"/>
      <c r="AH239" s="94"/>
      <c r="AI239" s="94"/>
      <c r="AJ239" s="94"/>
    </row>
    <row r="240" spans="1:38" x14ac:dyDescent="0.3">
      <c r="J240" s="83">
        <f t="shared" ref="J240:J246" si="58">G240*H240*I240</f>
        <v>0</v>
      </c>
      <c r="M240" s="70">
        <f>($G240*1.1^1)*K240*L240</f>
        <v>0</v>
      </c>
      <c r="N240" s="98"/>
      <c r="O240" s="98"/>
      <c r="V240" s="70">
        <f>($G240*1.1^4)*T240*U240</f>
        <v>0</v>
      </c>
      <c r="Y240" s="70">
        <f>($G240*1.1^5)*W240*X240</f>
        <v>0</v>
      </c>
    </row>
    <row r="241" spans="10:22" x14ac:dyDescent="0.3">
      <c r="J241" s="83">
        <f t="shared" si="58"/>
        <v>0</v>
      </c>
      <c r="N241" s="94"/>
      <c r="O241" s="94"/>
      <c r="V241" s="70">
        <f>($G241*1.1^4)*T241*U241</f>
        <v>0</v>
      </c>
    </row>
    <row r="242" spans="10:22" x14ac:dyDescent="0.3">
      <c r="J242" s="83">
        <f t="shared" si="58"/>
        <v>0</v>
      </c>
    </row>
    <row r="243" spans="10:22" x14ac:dyDescent="0.3">
      <c r="J243" s="83">
        <f t="shared" si="58"/>
        <v>0</v>
      </c>
    </row>
    <row r="244" spans="10:22" x14ac:dyDescent="0.3">
      <c r="J244" s="83">
        <f t="shared" si="58"/>
        <v>0</v>
      </c>
    </row>
    <row r="245" spans="10:22" x14ac:dyDescent="0.3">
      <c r="J245" s="83">
        <f t="shared" si="58"/>
        <v>0</v>
      </c>
    </row>
    <row r="246" spans="10:22" x14ac:dyDescent="0.3">
      <c r="J246" s="83">
        <f t="shared" si="5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2420"/>
  <sheetViews>
    <sheetView zoomScaleNormal="100" workbookViewId="0">
      <selection activeCell="A2" sqref="A2"/>
    </sheetView>
  </sheetViews>
  <sheetFormatPr defaultColWidth="8.88671875" defaultRowHeight="15" customHeight="1" x14ac:dyDescent="0.3"/>
  <cols>
    <col min="2" max="2" width="48.88671875" customWidth="1"/>
    <col min="3" max="3" width="44.44140625" customWidth="1"/>
    <col min="4" max="5" width="45.44140625" customWidth="1"/>
    <col min="6" max="6" width="32.6640625" customWidth="1"/>
    <col min="7" max="7" width="35.6640625" customWidth="1"/>
    <col min="8" max="8" width="24.88671875" style="28" customWidth="1"/>
    <col min="9" max="9" width="21" customWidth="1"/>
    <col min="10" max="10" width="9.109375" customWidth="1"/>
    <col min="11" max="11" width="19.44140625" bestFit="1" customWidth="1"/>
    <col min="12" max="13" width="9.109375" customWidth="1"/>
    <col min="14" max="14" width="22.44140625" customWidth="1"/>
    <col min="15" max="16" width="9.109375" customWidth="1"/>
    <col min="17" max="17" width="24.33203125" customWidth="1"/>
    <col min="18" max="19" width="9.109375" customWidth="1"/>
    <col min="20" max="20" width="23.44140625" customWidth="1"/>
    <col min="21" max="22" width="9.109375" customWidth="1"/>
    <col min="23" max="23" width="21.44140625" customWidth="1"/>
    <col min="24" max="25" width="9.109375" customWidth="1"/>
    <col min="26" max="26" width="22.33203125" customWidth="1"/>
    <col min="27" max="28" width="9.109375" customWidth="1"/>
    <col min="29" max="29" width="22.88671875" customWidth="1"/>
    <col min="30" max="31" width="9.109375" customWidth="1"/>
    <col min="32" max="32" width="25.109375" customWidth="1"/>
    <col min="37" max="38" width="9.109375" customWidth="1"/>
    <col min="41" max="41" width="9.109375" customWidth="1"/>
    <col min="44" max="44" width="9.109375" customWidth="1"/>
  </cols>
  <sheetData>
    <row r="1" spans="2:32" ht="15" customHeight="1" x14ac:dyDescent="0.3">
      <c r="B1" s="5" t="s">
        <v>643</v>
      </c>
      <c r="C1" s="5" t="s">
        <v>642</v>
      </c>
      <c r="D1" s="5" t="s">
        <v>641</v>
      </c>
      <c r="E1" s="5" t="s">
        <v>639</v>
      </c>
      <c r="F1" s="5" t="s">
        <v>640</v>
      </c>
      <c r="G1" s="5" t="s">
        <v>706</v>
      </c>
      <c r="H1" s="22" t="s">
        <v>834</v>
      </c>
      <c r="I1" s="7" t="s">
        <v>810</v>
      </c>
      <c r="J1" s="7" t="s">
        <v>811</v>
      </c>
      <c r="K1" s="19" t="s">
        <v>812</v>
      </c>
      <c r="L1" s="7" t="s">
        <v>813</v>
      </c>
      <c r="M1" s="7" t="s">
        <v>814</v>
      </c>
      <c r="N1" s="18" t="s">
        <v>815</v>
      </c>
      <c r="O1" s="7" t="s">
        <v>816</v>
      </c>
      <c r="P1" s="7" t="s">
        <v>817</v>
      </c>
      <c r="Q1" s="18" t="s">
        <v>818</v>
      </c>
      <c r="R1" s="7" t="s">
        <v>819</v>
      </c>
      <c r="S1" s="7" t="s">
        <v>820</v>
      </c>
      <c r="T1" s="18" t="s">
        <v>821</v>
      </c>
      <c r="U1" s="7" t="s">
        <v>822</v>
      </c>
      <c r="V1" s="7" t="s">
        <v>823</v>
      </c>
      <c r="W1" s="18" t="s">
        <v>824</v>
      </c>
      <c r="X1" s="7" t="s">
        <v>825</v>
      </c>
      <c r="Y1" s="7" t="s">
        <v>826</v>
      </c>
      <c r="Z1" s="18" t="s">
        <v>827</v>
      </c>
      <c r="AA1" s="7" t="s">
        <v>828</v>
      </c>
      <c r="AB1" s="7" t="s">
        <v>829</v>
      </c>
      <c r="AC1" s="18" t="s">
        <v>830</v>
      </c>
      <c r="AD1" s="7" t="s">
        <v>831</v>
      </c>
      <c r="AE1" s="7" t="s">
        <v>832</v>
      </c>
      <c r="AF1" s="18" t="s">
        <v>833</v>
      </c>
    </row>
    <row r="2" spans="2:32" ht="15" customHeight="1" x14ac:dyDescent="0.3">
      <c r="B2" s="2" t="s">
        <v>836</v>
      </c>
      <c r="C2" s="4" t="s">
        <v>837</v>
      </c>
      <c r="D2" s="3" t="s">
        <v>838</v>
      </c>
      <c r="E2" s="6" t="s">
        <v>839</v>
      </c>
      <c r="F2" s="6" t="s">
        <v>840</v>
      </c>
      <c r="G2" s="6" t="s">
        <v>841</v>
      </c>
      <c r="H2" s="25">
        <v>0</v>
      </c>
      <c r="I2" s="38">
        <v>0</v>
      </c>
      <c r="J2" s="38">
        <v>0</v>
      </c>
      <c r="K2" s="39">
        <f>H2*I2*J2</f>
        <v>0</v>
      </c>
      <c r="L2" s="38">
        <v>0</v>
      </c>
      <c r="M2" s="38">
        <v>0</v>
      </c>
      <c r="N2" s="39">
        <f>H2*L2*M2</f>
        <v>0</v>
      </c>
      <c r="O2" s="38">
        <v>0</v>
      </c>
      <c r="P2" s="38">
        <v>0</v>
      </c>
      <c r="Q2" s="39">
        <f>H2*O2*P2</f>
        <v>0</v>
      </c>
      <c r="R2" s="38">
        <v>0</v>
      </c>
      <c r="S2" s="38">
        <v>0</v>
      </c>
      <c r="T2" s="39">
        <f>H2*R2*S2</f>
        <v>0</v>
      </c>
      <c r="U2" s="38">
        <v>0</v>
      </c>
      <c r="V2" s="38">
        <v>0</v>
      </c>
      <c r="W2" s="39">
        <f>H2*U2*V2</f>
        <v>0</v>
      </c>
      <c r="X2" s="38"/>
      <c r="Y2" s="38"/>
      <c r="Z2" s="39">
        <f>H2*X2*Y2</f>
        <v>0</v>
      </c>
      <c r="AA2" s="38"/>
      <c r="AB2" s="38"/>
      <c r="AC2" s="39">
        <f>H2*AA2*AB2</f>
        <v>0</v>
      </c>
      <c r="AD2" s="38"/>
      <c r="AE2" s="38"/>
      <c r="AF2" s="39">
        <f>H2*AD2*AE2</f>
        <v>0</v>
      </c>
    </row>
    <row r="3" spans="2:32" ht="15" customHeight="1" x14ac:dyDescent="0.3">
      <c r="B3" s="2" t="s">
        <v>836</v>
      </c>
      <c r="C3" s="4" t="s">
        <v>837</v>
      </c>
      <c r="D3" s="3" t="s">
        <v>838</v>
      </c>
      <c r="E3" s="6" t="s">
        <v>839</v>
      </c>
      <c r="F3" s="6" t="s">
        <v>842</v>
      </c>
      <c r="G3" s="6" t="s">
        <v>841</v>
      </c>
      <c r="H3" s="25">
        <v>0</v>
      </c>
      <c r="I3" s="38">
        <v>0</v>
      </c>
      <c r="J3" s="38">
        <v>0</v>
      </c>
      <c r="K3" s="39">
        <f t="shared" ref="K3:K66" si="0">H3*I3*J3</f>
        <v>0</v>
      </c>
      <c r="L3" s="38">
        <v>0</v>
      </c>
      <c r="M3" s="38">
        <v>0</v>
      </c>
      <c r="N3" s="39">
        <f t="shared" ref="N3:N66" si="1">H3*L3*M3</f>
        <v>0</v>
      </c>
      <c r="O3" s="38">
        <v>0</v>
      </c>
      <c r="P3" s="38">
        <v>0</v>
      </c>
      <c r="Q3" s="39">
        <f t="shared" ref="Q3:Q66" si="2">H3*O3*P3</f>
        <v>0</v>
      </c>
      <c r="R3" s="38">
        <v>0</v>
      </c>
      <c r="S3" s="38">
        <v>0</v>
      </c>
      <c r="T3" s="39">
        <f t="shared" ref="T3:T66" si="3">H3*R3*S3</f>
        <v>0</v>
      </c>
      <c r="U3" s="38">
        <v>0</v>
      </c>
      <c r="V3" s="38">
        <v>0</v>
      </c>
      <c r="W3" s="39">
        <f t="shared" ref="W3:W66" si="4">H3*U3*V3</f>
        <v>0</v>
      </c>
      <c r="X3" s="38"/>
      <c r="Y3" s="38"/>
      <c r="Z3" s="39">
        <f t="shared" ref="Z3:Z66" si="5">H3*X3*Y3</f>
        <v>0</v>
      </c>
      <c r="AA3" s="38"/>
      <c r="AB3" s="38"/>
      <c r="AC3" s="39">
        <f t="shared" ref="AC3:AC66" si="6">H3*AA3*AB3</f>
        <v>0</v>
      </c>
      <c r="AD3" s="38"/>
      <c r="AE3" s="38"/>
      <c r="AF3" s="39">
        <f t="shared" ref="AF3:AF66" si="7">H3*AD3*AE3</f>
        <v>0</v>
      </c>
    </row>
    <row r="4" spans="2:32" ht="15" customHeight="1" x14ac:dyDescent="0.3">
      <c r="B4" s="2" t="s">
        <v>836</v>
      </c>
      <c r="C4" s="4" t="s">
        <v>837</v>
      </c>
      <c r="D4" s="3" t="s">
        <v>838</v>
      </c>
      <c r="E4" s="6" t="s">
        <v>839</v>
      </c>
      <c r="F4" s="6" t="s">
        <v>843</v>
      </c>
      <c r="G4" s="6" t="s">
        <v>841</v>
      </c>
      <c r="H4" s="25">
        <v>0</v>
      </c>
      <c r="I4" s="38">
        <v>0</v>
      </c>
      <c r="J4" s="38">
        <v>0</v>
      </c>
      <c r="K4" s="39">
        <f t="shared" si="0"/>
        <v>0</v>
      </c>
      <c r="L4" s="38">
        <v>0</v>
      </c>
      <c r="M4" s="38">
        <v>0</v>
      </c>
      <c r="N4" s="39">
        <f t="shared" si="1"/>
        <v>0</v>
      </c>
      <c r="O4" s="38">
        <v>0</v>
      </c>
      <c r="P4" s="38">
        <v>0</v>
      </c>
      <c r="Q4" s="39">
        <f t="shared" si="2"/>
        <v>0</v>
      </c>
      <c r="R4" s="38">
        <v>0</v>
      </c>
      <c r="S4" s="38">
        <v>0</v>
      </c>
      <c r="T4" s="39">
        <f t="shared" si="3"/>
        <v>0</v>
      </c>
      <c r="U4" s="38">
        <v>0</v>
      </c>
      <c r="V4" s="38">
        <v>0</v>
      </c>
      <c r="W4" s="39">
        <f t="shared" si="4"/>
        <v>0</v>
      </c>
      <c r="X4" s="38"/>
      <c r="Y4" s="38"/>
      <c r="Z4" s="39">
        <f t="shared" si="5"/>
        <v>0</v>
      </c>
      <c r="AA4" s="38"/>
      <c r="AB4" s="38"/>
      <c r="AC4" s="39">
        <f t="shared" si="6"/>
        <v>0</v>
      </c>
      <c r="AD4" s="38"/>
      <c r="AE4" s="38"/>
      <c r="AF4" s="39">
        <f t="shared" si="7"/>
        <v>0</v>
      </c>
    </row>
    <row r="5" spans="2:32" ht="15" customHeight="1" x14ac:dyDescent="0.3">
      <c r="B5" s="2" t="s">
        <v>836</v>
      </c>
      <c r="C5" s="4" t="s">
        <v>837</v>
      </c>
      <c r="D5" s="3" t="s">
        <v>838</v>
      </c>
      <c r="E5" s="6" t="s">
        <v>839</v>
      </c>
      <c r="F5" s="6" t="s">
        <v>149</v>
      </c>
      <c r="G5" s="6" t="s">
        <v>707</v>
      </c>
      <c r="H5" s="25">
        <v>391991.03749999998</v>
      </c>
      <c r="I5" s="38">
        <v>1</v>
      </c>
      <c r="J5" s="38">
        <v>4</v>
      </c>
      <c r="K5" s="39">
        <f t="shared" si="0"/>
        <v>1567964.15</v>
      </c>
      <c r="L5" s="38">
        <v>0</v>
      </c>
      <c r="M5" s="38">
        <v>0</v>
      </c>
      <c r="N5" s="39">
        <f t="shared" si="1"/>
        <v>0</v>
      </c>
      <c r="O5" s="38">
        <v>1</v>
      </c>
      <c r="P5" s="38">
        <v>4</v>
      </c>
      <c r="Q5" s="39">
        <f t="shared" si="2"/>
        <v>1567964.15</v>
      </c>
      <c r="R5" s="38">
        <v>0</v>
      </c>
      <c r="S5" s="38">
        <v>0</v>
      </c>
      <c r="T5" s="39">
        <f t="shared" si="3"/>
        <v>0</v>
      </c>
      <c r="U5" s="38">
        <v>1</v>
      </c>
      <c r="V5" s="38">
        <v>4</v>
      </c>
      <c r="W5" s="39">
        <f t="shared" si="4"/>
        <v>1567964.15</v>
      </c>
      <c r="X5" s="38"/>
      <c r="Y5" s="38"/>
      <c r="Z5" s="39">
        <f t="shared" si="5"/>
        <v>0</v>
      </c>
      <c r="AA5" s="38"/>
      <c r="AB5" s="38"/>
      <c r="AC5" s="39">
        <f t="shared" si="6"/>
        <v>0</v>
      </c>
      <c r="AD5" s="38"/>
      <c r="AE5" s="38"/>
      <c r="AF5" s="39">
        <f t="shared" si="7"/>
        <v>0</v>
      </c>
    </row>
    <row r="6" spans="2:32" ht="15" customHeight="1" x14ac:dyDescent="0.3">
      <c r="B6" s="2" t="s">
        <v>836</v>
      </c>
      <c r="C6" s="4" t="s">
        <v>837</v>
      </c>
      <c r="D6" s="3" t="s">
        <v>838</v>
      </c>
      <c r="E6" s="6" t="s">
        <v>839</v>
      </c>
      <c r="F6" s="6" t="s">
        <v>149</v>
      </c>
      <c r="G6" s="6" t="s">
        <v>708</v>
      </c>
      <c r="H6" s="25">
        <v>425000</v>
      </c>
      <c r="I6" s="38">
        <v>1</v>
      </c>
      <c r="J6" s="38">
        <v>40</v>
      </c>
      <c r="K6" s="39">
        <f t="shared" si="0"/>
        <v>17000000</v>
      </c>
      <c r="L6" s="38">
        <v>0</v>
      </c>
      <c r="M6" s="38">
        <v>0</v>
      </c>
      <c r="N6" s="39">
        <f t="shared" si="1"/>
        <v>0</v>
      </c>
      <c r="O6" s="38">
        <v>1</v>
      </c>
      <c r="P6" s="38">
        <v>40</v>
      </c>
      <c r="Q6" s="39">
        <f t="shared" si="2"/>
        <v>17000000</v>
      </c>
      <c r="R6" s="38">
        <v>0</v>
      </c>
      <c r="S6" s="38">
        <v>0</v>
      </c>
      <c r="T6" s="39">
        <f t="shared" si="3"/>
        <v>0</v>
      </c>
      <c r="U6" s="38">
        <v>1</v>
      </c>
      <c r="V6" s="38">
        <v>40</v>
      </c>
      <c r="W6" s="39">
        <f t="shared" si="4"/>
        <v>17000000</v>
      </c>
      <c r="X6" s="38"/>
      <c r="Y6" s="38"/>
      <c r="Z6" s="39">
        <f t="shared" si="5"/>
        <v>0</v>
      </c>
      <c r="AA6" s="38"/>
      <c r="AB6" s="38"/>
      <c r="AC6" s="39">
        <f t="shared" si="6"/>
        <v>0</v>
      </c>
      <c r="AD6" s="38"/>
      <c r="AE6" s="38"/>
      <c r="AF6" s="39">
        <f t="shared" si="7"/>
        <v>0</v>
      </c>
    </row>
    <row r="7" spans="2:32" ht="15" customHeight="1" x14ac:dyDescent="0.3">
      <c r="B7" s="2" t="s">
        <v>836</v>
      </c>
      <c r="C7" s="4" t="s">
        <v>837</v>
      </c>
      <c r="D7" s="3" t="s">
        <v>838</v>
      </c>
      <c r="E7" s="6" t="s">
        <v>839</v>
      </c>
      <c r="F7" s="6" t="s">
        <v>150</v>
      </c>
      <c r="G7" s="6" t="s">
        <v>841</v>
      </c>
      <c r="H7" s="25">
        <v>0</v>
      </c>
      <c r="I7" s="38">
        <v>5</v>
      </c>
      <c r="J7" s="38">
        <v>14</v>
      </c>
      <c r="K7" s="39">
        <f t="shared" si="0"/>
        <v>0</v>
      </c>
      <c r="L7" s="38">
        <v>0</v>
      </c>
      <c r="M7" s="38">
        <v>0</v>
      </c>
      <c r="N7" s="39">
        <f t="shared" si="1"/>
        <v>0</v>
      </c>
      <c r="O7" s="38">
        <v>0</v>
      </c>
      <c r="P7" s="38">
        <v>0</v>
      </c>
      <c r="Q7" s="39">
        <f t="shared" si="2"/>
        <v>0</v>
      </c>
      <c r="R7" s="38">
        <v>0</v>
      </c>
      <c r="S7" s="38">
        <v>0</v>
      </c>
      <c r="T7" s="39">
        <f t="shared" si="3"/>
        <v>0</v>
      </c>
      <c r="U7" s="38">
        <v>0</v>
      </c>
      <c r="V7" s="38">
        <v>0</v>
      </c>
      <c r="W7" s="39">
        <f t="shared" si="4"/>
        <v>0</v>
      </c>
      <c r="X7" s="38"/>
      <c r="Y7" s="38"/>
      <c r="Z7" s="39">
        <f t="shared" si="5"/>
        <v>0</v>
      </c>
      <c r="AA7" s="38"/>
      <c r="AB7" s="38"/>
      <c r="AC7" s="39">
        <f t="shared" si="6"/>
        <v>0</v>
      </c>
      <c r="AD7" s="38"/>
      <c r="AE7" s="38"/>
      <c r="AF7" s="39">
        <f t="shared" si="7"/>
        <v>0</v>
      </c>
    </row>
    <row r="8" spans="2:32" ht="15" customHeight="1" x14ac:dyDescent="0.3">
      <c r="B8" s="2" t="s">
        <v>836</v>
      </c>
      <c r="C8" s="4" t="s">
        <v>837</v>
      </c>
      <c r="D8" s="3" t="s">
        <v>838</v>
      </c>
      <c r="E8" s="6" t="s">
        <v>839</v>
      </c>
      <c r="F8" s="6" t="s">
        <v>844</v>
      </c>
      <c r="G8" s="6" t="s">
        <v>709</v>
      </c>
      <c r="H8" s="25">
        <v>28000</v>
      </c>
      <c r="I8" s="38">
        <v>25</v>
      </c>
      <c r="J8" s="38">
        <v>3</v>
      </c>
      <c r="K8" s="39">
        <f t="shared" si="0"/>
        <v>2100000</v>
      </c>
      <c r="L8" s="38">
        <v>0</v>
      </c>
      <c r="M8" s="38">
        <v>0</v>
      </c>
      <c r="N8" s="39">
        <f t="shared" si="1"/>
        <v>0</v>
      </c>
      <c r="O8" s="38">
        <v>25</v>
      </c>
      <c r="P8" s="38">
        <v>3</v>
      </c>
      <c r="Q8" s="39">
        <f t="shared" si="2"/>
        <v>2100000</v>
      </c>
      <c r="R8" s="38">
        <v>0</v>
      </c>
      <c r="S8" s="38">
        <v>0</v>
      </c>
      <c r="T8" s="39">
        <f t="shared" si="3"/>
        <v>0</v>
      </c>
      <c r="U8" s="38">
        <v>25</v>
      </c>
      <c r="V8" s="38">
        <v>3</v>
      </c>
      <c r="W8" s="39">
        <f t="shared" si="4"/>
        <v>2100000</v>
      </c>
      <c r="X8" s="38"/>
      <c r="Y8" s="38"/>
      <c r="Z8" s="39">
        <f t="shared" si="5"/>
        <v>0</v>
      </c>
      <c r="AA8" s="38"/>
      <c r="AB8" s="38"/>
      <c r="AC8" s="39">
        <f t="shared" si="6"/>
        <v>0</v>
      </c>
      <c r="AD8" s="38"/>
      <c r="AE8" s="38"/>
      <c r="AF8" s="39">
        <f t="shared" si="7"/>
        <v>0</v>
      </c>
    </row>
    <row r="9" spans="2:32" ht="15" customHeight="1" x14ac:dyDescent="0.3">
      <c r="B9" s="2" t="s">
        <v>836</v>
      </c>
      <c r="C9" s="4" t="s">
        <v>837</v>
      </c>
      <c r="D9" s="3" t="s">
        <v>838</v>
      </c>
      <c r="E9" s="6" t="s">
        <v>839</v>
      </c>
      <c r="F9" s="6" t="s">
        <v>844</v>
      </c>
      <c r="G9" s="6" t="s">
        <v>710</v>
      </c>
      <c r="H9" s="25">
        <v>104850</v>
      </c>
      <c r="I9" s="38">
        <v>1</v>
      </c>
      <c r="J9" s="38">
        <v>1</v>
      </c>
      <c r="K9" s="39">
        <f t="shared" si="0"/>
        <v>104850</v>
      </c>
      <c r="L9" s="38">
        <v>0</v>
      </c>
      <c r="M9" s="38">
        <v>0</v>
      </c>
      <c r="N9" s="39">
        <f t="shared" si="1"/>
        <v>0</v>
      </c>
      <c r="O9" s="38">
        <v>1</v>
      </c>
      <c r="P9" s="38">
        <v>1</v>
      </c>
      <c r="Q9" s="39">
        <f t="shared" si="2"/>
        <v>104850</v>
      </c>
      <c r="R9" s="38">
        <v>0</v>
      </c>
      <c r="S9" s="38">
        <v>0</v>
      </c>
      <c r="T9" s="39">
        <f t="shared" si="3"/>
        <v>0</v>
      </c>
      <c r="U9" s="38">
        <v>1</v>
      </c>
      <c r="V9" s="38">
        <v>1</v>
      </c>
      <c r="W9" s="39">
        <f t="shared" si="4"/>
        <v>104850</v>
      </c>
      <c r="X9" s="38"/>
      <c r="Y9" s="38"/>
      <c r="Z9" s="39">
        <f t="shared" si="5"/>
        <v>0</v>
      </c>
      <c r="AA9" s="38"/>
      <c r="AB9" s="38"/>
      <c r="AC9" s="39">
        <f t="shared" si="6"/>
        <v>0</v>
      </c>
      <c r="AD9" s="38"/>
      <c r="AE9" s="38"/>
      <c r="AF9" s="39">
        <f t="shared" si="7"/>
        <v>0</v>
      </c>
    </row>
    <row r="10" spans="2:32" ht="15" customHeight="1" x14ac:dyDescent="0.3">
      <c r="B10" s="2" t="s">
        <v>836</v>
      </c>
      <c r="C10" s="4" t="s">
        <v>837</v>
      </c>
      <c r="D10" s="3" t="s">
        <v>838</v>
      </c>
      <c r="E10" s="6" t="s">
        <v>839</v>
      </c>
      <c r="F10" s="6" t="s">
        <v>844</v>
      </c>
      <c r="G10" s="6" t="s">
        <v>711</v>
      </c>
      <c r="H10" s="25">
        <v>70</v>
      </c>
      <c r="I10" s="38">
        <v>5000</v>
      </c>
      <c r="J10" s="38">
        <v>1</v>
      </c>
      <c r="K10" s="39">
        <f t="shared" si="0"/>
        <v>350000</v>
      </c>
      <c r="L10" s="38">
        <v>0</v>
      </c>
      <c r="M10" s="38">
        <v>0</v>
      </c>
      <c r="N10" s="39">
        <f t="shared" si="1"/>
        <v>0</v>
      </c>
      <c r="O10" s="38">
        <v>5000</v>
      </c>
      <c r="P10" s="38">
        <v>1</v>
      </c>
      <c r="Q10" s="39">
        <f t="shared" si="2"/>
        <v>350000</v>
      </c>
      <c r="R10" s="38">
        <v>0</v>
      </c>
      <c r="S10" s="38">
        <v>0</v>
      </c>
      <c r="T10" s="39">
        <f t="shared" si="3"/>
        <v>0</v>
      </c>
      <c r="U10" s="38">
        <v>5000</v>
      </c>
      <c r="V10" s="38">
        <v>1</v>
      </c>
      <c r="W10" s="39">
        <f t="shared" si="4"/>
        <v>350000</v>
      </c>
      <c r="X10" s="38"/>
      <c r="Y10" s="38"/>
      <c r="Z10" s="39">
        <f t="shared" si="5"/>
        <v>0</v>
      </c>
      <c r="AA10" s="38"/>
      <c r="AB10" s="38"/>
      <c r="AC10" s="39">
        <f t="shared" si="6"/>
        <v>0</v>
      </c>
      <c r="AD10" s="38"/>
      <c r="AE10" s="38"/>
      <c r="AF10" s="39">
        <f t="shared" si="7"/>
        <v>0</v>
      </c>
    </row>
    <row r="11" spans="2:32" ht="15" customHeight="1" x14ac:dyDescent="0.3">
      <c r="B11" s="2" t="s">
        <v>836</v>
      </c>
      <c r="C11" s="4" t="s">
        <v>837</v>
      </c>
      <c r="D11" s="3" t="s">
        <v>838</v>
      </c>
      <c r="E11" s="6" t="s">
        <v>839</v>
      </c>
      <c r="F11" s="6" t="s">
        <v>845</v>
      </c>
      <c r="G11" s="6" t="s">
        <v>712</v>
      </c>
      <c r="H11" s="25">
        <v>214.29</v>
      </c>
      <c r="I11" s="38">
        <v>15</v>
      </c>
      <c r="J11" s="38">
        <v>1</v>
      </c>
      <c r="K11" s="39">
        <f t="shared" si="0"/>
        <v>3214.35</v>
      </c>
      <c r="L11" s="38">
        <v>0</v>
      </c>
      <c r="M11" s="38">
        <v>0</v>
      </c>
      <c r="N11" s="39">
        <f t="shared" si="1"/>
        <v>0</v>
      </c>
      <c r="O11" s="38">
        <v>15</v>
      </c>
      <c r="P11" s="38">
        <v>1</v>
      </c>
      <c r="Q11" s="39">
        <f t="shared" si="2"/>
        <v>3214.35</v>
      </c>
      <c r="R11" s="38">
        <v>0</v>
      </c>
      <c r="S11" s="38">
        <v>0</v>
      </c>
      <c r="T11" s="39">
        <f t="shared" si="3"/>
        <v>0</v>
      </c>
      <c r="U11" s="38">
        <v>15</v>
      </c>
      <c r="V11" s="38">
        <v>1</v>
      </c>
      <c r="W11" s="39">
        <f t="shared" si="4"/>
        <v>3214.35</v>
      </c>
      <c r="X11" s="38"/>
      <c r="Y11" s="38"/>
      <c r="Z11" s="39">
        <f t="shared" si="5"/>
        <v>0</v>
      </c>
      <c r="AA11" s="38"/>
      <c r="AB11" s="38"/>
      <c r="AC11" s="39">
        <f t="shared" si="6"/>
        <v>0</v>
      </c>
      <c r="AD11" s="38"/>
      <c r="AE11" s="38"/>
      <c r="AF11" s="39">
        <f t="shared" si="7"/>
        <v>0</v>
      </c>
    </row>
    <row r="12" spans="2:32" ht="15" customHeight="1" x14ac:dyDescent="0.3">
      <c r="B12" s="2" t="s">
        <v>836</v>
      </c>
      <c r="C12" s="4" t="s">
        <v>837</v>
      </c>
      <c r="D12" s="3" t="s">
        <v>838</v>
      </c>
      <c r="E12" s="6" t="s">
        <v>839</v>
      </c>
      <c r="F12" s="6" t="s">
        <v>845</v>
      </c>
      <c r="G12" s="6" t="s">
        <v>713</v>
      </c>
      <c r="H12" s="25">
        <v>45000</v>
      </c>
      <c r="I12" s="38">
        <v>4000</v>
      </c>
      <c r="J12" s="38">
        <v>1</v>
      </c>
      <c r="K12" s="39">
        <f t="shared" si="0"/>
        <v>180000000</v>
      </c>
      <c r="L12" s="38">
        <v>0</v>
      </c>
      <c r="M12" s="38">
        <v>0</v>
      </c>
      <c r="N12" s="39">
        <f t="shared" si="1"/>
        <v>0</v>
      </c>
      <c r="O12" s="38">
        <v>4000</v>
      </c>
      <c r="P12" s="38">
        <v>1</v>
      </c>
      <c r="Q12" s="39">
        <f t="shared" si="2"/>
        <v>180000000</v>
      </c>
      <c r="R12" s="38">
        <v>0</v>
      </c>
      <c r="S12" s="38">
        <v>0</v>
      </c>
      <c r="T12" s="39">
        <f t="shared" si="3"/>
        <v>0</v>
      </c>
      <c r="U12" s="38">
        <v>4000</v>
      </c>
      <c r="V12" s="38">
        <v>1</v>
      </c>
      <c r="W12" s="39">
        <f t="shared" si="4"/>
        <v>180000000</v>
      </c>
      <c r="X12" s="38"/>
      <c r="Y12" s="38"/>
      <c r="Z12" s="39">
        <f t="shared" si="5"/>
        <v>0</v>
      </c>
      <c r="AA12" s="38"/>
      <c r="AB12" s="38"/>
      <c r="AC12" s="39">
        <f t="shared" si="6"/>
        <v>0</v>
      </c>
      <c r="AD12" s="38"/>
      <c r="AE12" s="38"/>
      <c r="AF12" s="39">
        <f t="shared" si="7"/>
        <v>0</v>
      </c>
    </row>
    <row r="13" spans="2:32" ht="15" customHeight="1" x14ac:dyDescent="0.3">
      <c r="B13" s="2" t="s">
        <v>836</v>
      </c>
      <c r="C13" s="4" t="s">
        <v>837</v>
      </c>
      <c r="D13" s="3" t="s">
        <v>838</v>
      </c>
      <c r="E13" s="6" t="s">
        <v>839</v>
      </c>
      <c r="F13" s="6" t="s">
        <v>846</v>
      </c>
      <c r="G13" s="6" t="s">
        <v>709</v>
      </c>
      <c r="H13" s="25">
        <v>28000</v>
      </c>
      <c r="I13" s="38">
        <v>25</v>
      </c>
      <c r="J13" s="38">
        <v>1</v>
      </c>
      <c r="K13" s="39">
        <f t="shared" si="0"/>
        <v>700000</v>
      </c>
      <c r="L13" s="38">
        <v>0</v>
      </c>
      <c r="M13" s="38">
        <v>0</v>
      </c>
      <c r="N13" s="39">
        <f t="shared" si="1"/>
        <v>0</v>
      </c>
      <c r="O13" s="38">
        <v>25</v>
      </c>
      <c r="P13" s="38">
        <v>1</v>
      </c>
      <c r="Q13" s="39">
        <f t="shared" si="2"/>
        <v>700000</v>
      </c>
      <c r="R13" s="38">
        <v>0</v>
      </c>
      <c r="S13" s="38">
        <v>0</v>
      </c>
      <c r="T13" s="39">
        <f t="shared" si="3"/>
        <v>0</v>
      </c>
      <c r="U13" s="38">
        <v>25</v>
      </c>
      <c r="V13" s="38">
        <v>1</v>
      </c>
      <c r="W13" s="39">
        <f t="shared" si="4"/>
        <v>700000</v>
      </c>
      <c r="X13" s="38"/>
      <c r="Y13" s="38"/>
      <c r="Z13" s="39">
        <f t="shared" si="5"/>
        <v>0</v>
      </c>
      <c r="AA13" s="38"/>
      <c r="AB13" s="38"/>
      <c r="AC13" s="39">
        <f t="shared" si="6"/>
        <v>0</v>
      </c>
      <c r="AD13" s="38"/>
      <c r="AE13" s="38"/>
      <c r="AF13" s="39">
        <f t="shared" si="7"/>
        <v>0</v>
      </c>
    </row>
    <row r="14" spans="2:32" ht="15" customHeight="1" x14ac:dyDescent="0.3">
      <c r="B14" s="2" t="s">
        <v>836</v>
      </c>
      <c r="C14" s="4" t="s">
        <v>837</v>
      </c>
      <c r="D14" s="3" t="s">
        <v>838</v>
      </c>
      <c r="E14" s="6" t="s">
        <v>839</v>
      </c>
      <c r="F14" s="6" t="s">
        <v>151</v>
      </c>
      <c r="G14" s="6" t="s">
        <v>713</v>
      </c>
      <c r="H14" s="25">
        <v>45000</v>
      </c>
      <c r="I14" s="38">
        <v>25</v>
      </c>
      <c r="J14" s="38">
        <v>1</v>
      </c>
      <c r="K14" s="39">
        <f t="shared" si="0"/>
        <v>1125000</v>
      </c>
      <c r="L14" s="38">
        <v>0</v>
      </c>
      <c r="M14" s="38">
        <v>0</v>
      </c>
      <c r="N14" s="39">
        <f t="shared" si="1"/>
        <v>0</v>
      </c>
      <c r="O14" s="38">
        <v>25</v>
      </c>
      <c r="P14" s="38">
        <v>1</v>
      </c>
      <c r="Q14" s="39">
        <f t="shared" si="2"/>
        <v>1125000</v>
      </c>
      <c r="R14" s="38">
        <v>0</v>
      </c>
      <c r="S14" s="38">
        <v>0</v>
      </c>
      <c r="T14" s="39">
        <f t="shared" si="3"/>
        <v>0</v>
      </c>
      <c r="U14" s="38">
        <v>25</v>
      </c>
      <c r="V14" s="38">
        <v>1</v>
      </c>
      <c r="W14" s="39">
        <f t="shared" si="4"/>
        <v>1125000</v>
      </c>
      <c r="X14" s="38"/>
      <c r="Y14" s="38"/>
      <c r="Z14" s="39">
        <f t="shared" si="5"/>
        <v>0</v>
      </c>
      <c r="AA14" s="38"/>
      <c r="AB14" s="38"/>
      <c r="AC14" s="39">
        <f t="shared" si="6"/>
        <v>0</v>
      </c>
      <c r="AD14" s="38"/>
      <c r="AE14" s="38"/>
      <c r="AF14" s="39">
        <f t="shared" si="7"/>
        <v>0</v>
      </c>
    </row>
    <row r="15" spans="2:32" ht="15" customHeight="1" x14ac:dyDescent="0.3">
      <c r="B15" s="2" t="s">
        <v>836</v>
      </c>
      <c r="C15" s="4" t="s">
        <v>837</v>
      </c>
      <c r="D15" s="3" t="s">
        <v>838</v>
      </c>
      <c r="E15" s="6" t="s">
        <v>839</v>
      </c>
      <c r="F15" s="6" t="s">
        <v>151</v>
      </c>
      <c r="G15" s="6" t="s">
        <v>712</v>
      </c>
      <c r="H15" s="25">
        <v>214.29</v>
      </c>
      <c r="I15" s="38">
        <v>25</v>
      </c>
      <c r="J15" s="38">
        <v>10</v>
      </c>
      <c r="K15" s="39">
        <f t="shared" si="0"/>
        <v>53572.5</v>
      </c>
      <c r="L15" s="38">
        <v>0</v>
      </c>
      <c r="M15" s="38">
        <v>0</v>
      </c>
      <c r="N15" s="39">
        <f t="shared" si="1"/>
        <v>0</v>
      </c>
      <c r="O15" s="38">
        <v>25</v>
      </c>
      <c r="P15" s="38">
        <v>10</v>
      </c>
      <c r="Q15" s="39">
        <f t="shared" si="2"/>
        <v>53572.5</v>
      </c>
      <c r="R15" s="38">
        <v>0</v>
      </c>
      <c r="S15" s="38">
        <v>0</v>
      </c>
      <c r="T15" s="39">
        <f t="shared" si="3"/>
        <v>0</v>
      </c>
      <c r="U15" s="38">
        <v>25</v>
      </c>
      <c r="V15" s="38">
        <v>10</v>
      </c>
      <c r="W15" s="39">
        <f t="shared" si="4"/>
        <v>53572.5</v>
      </c>
      <c r="X15" s="38"/>
      <c r="Y15" s="38"/>
      <c r="Z15" s="39">
        <f t="shared" si="5"/>
        <v>0</v>
      </c>
      <c r="AA15" s="38"/>
      <c r="AB15" s="38"/>
      <c r="AC15" s="39">
        <f t="shared" si="6"/>
        <v>0</v>
      </c>
      <c r="AD15" s="38"/>
      <c r="AE15" s="38"/>
      <c r="AF15" s="39">
        <f t="shared" si="7"/>
        <v>0</v>
      </c>
    </row>
    <row r="16" spans="2:32" ht="15" customHeight="1" x14ac:dyDescent="0.3">
      <c r="B16" s="2" t="s">
        <v>836</v>
      </c>
      <c r="C16" s="4" t="s">
        <v>837</v>
      </c>
      <c r="D16" s="3" t="s">
        <v>838</v>
      </c>
      <c r="E16" s="6" t="s">
        <v>839</v>
      </c>
      <c r="F16" s="6" t="s">
        <v>151</v>
      </c>
      <c r="G16" s="6" t="s">
        <v>714</v>
      </c>
      <c r="H16" s="25">
        <v>10000</v>
      </c>
      <c r="I16" s="38">
        <v>20000</v>
      </c>
      <c r="J16" s="38">
        <v>1</v>
      </c>
      <c r="K16" s="39">
        <f t="shared" si="0"/>
        <v>200000000</v>
      </c>
      <c r="L16" s="38">
        <v>0</v>
      </c>
      <c r="M16" s="38">
        <v>0</v>
      </c>
      <c r="N16" s="39">
        <f t="shared" si="1"/>
        <v>0</v>
      </c>
      <c r="O16" s="38">
        <v>20000</v>
      </c>
      <c r="P16" s="38">
        <v>1</v>
      </c>
      <c r="Q16" s="39">
        <f t="shared" si="2"/>
        <v>200000000</v>
      </c>
      <c r="R16" s="38">
        <v>0</v>
      </c>
      <c r="S16" s="38">
        <v>0</v>
      </c>
      <c r="T16" s="39">
        <f t="shared" si="3"/>
        <v>0</v>
      </c>
      <c r="U16" s="38">
        <v>20000</v>
      </c>
      <c r="V16" s="38">
        <v>1</v>
      </c>
      <c r="W16" s="39">
        <f t="shared" si="4"/>
        <v>200000000</v>
      </c>
      <c r="X16" s="38"/>
      <c r="Y16" s="38"/>
      <c r="Z16" s="39">
        <f t="shared" si="5"/>
        <v>0</v>
      </c>
      <c r="AA16" s="38"/>
      <c r="AB16" s="38"/>
      <c r="AC16" s="39">
        <f t="shared" si="6"/>
        <v>0</v>
      </c>
      <c r="AD16" s="38"/>
      <c r="AE16" s="38"/>
      <c r="AF16" s="39">
        <f t="shared" si="7"/>
        <v>0</v>
      </c>
    </row>
    <row r="17" spans="2:32" ht="15" customHeight="1" x14ac:dyDescent="0.3">
      <c r="B17" s="2" t="s">
        <v>836</v>
      </c>
      <c r="C17" s="4" t="s">
        <v>837</v>
      </c>
      <c r="D17" s="3" t="s">
        <v>838</v>
      </c>
      <c r="E17" s="6" t="s">
        <v>839</v>
      </c>
      <c r="F17" s="6" t="s">
        <v>151</v>
      </c>
      <c r="G17" s="6" t="s">
        <v>715</v>
      </c>
      <c r="H17" s="25">
        <v>302000</v>
      </c>
      <c r="I17" s="38">
        <v>15</v>
      </c>
      <c r="J17" s="38">
        <v>1</v>
      </c>
      <c r="K17" s="39">
        <f t="shared" si="0"/>
        <v>4530000</v>
      </c>
      <c r="L17" s="38">
        <v>0</v>
      </c>
      <c r="M17" s="38">
        <v>0</v>
      </c>
      <c r="N17" s="39">
        <f t="shared" si="1"/>
        <v>0</v>
      </c>
      <c r="O17" s="38">
        <v>15</v>
      </c>
      <c r="P17" s="38">
        <v>1</v>
      </c>
      <c r="Q17" s="39">
        <f t="shared" si="2"/>
        <v>4530000</v>
      </c>
      <c r="R17" s="38">
        <v>0</v>
      </c>
      <c r="S17" s="38">
        <v>0</v>
      </c>
      <c r="T17" s="39">
        <f t="shared" si="3"/>
        <v>0</v>
      </c>
      <c r="U17" s="38">
        <v>15</v>
      </c>
      <c r="V17" s="38">
        <v>1</v>
      </c>
      <c r="W17" s="39">
        <f t="shared" si="4"/>
        <v>4530000</v>
      </c>
      <c r="X17" s="38"/>
      <c r="Y17" s="38"/>
      <c r="Z17" s="39">
        <f t="shared" si="5"/>
        <v>0</v>
      </c>
      <c r="AA17" s="38"/>
      <c r="AB17" s="38"/>
      <c r="AC17" s="39">
        <f t="shared" si="6"/>
        <v>0</v>
      </c>
      <c r="AD17" s="38"/>
      <c r="AE17" s="38"/>
      <c r="AF17" s="39">
        <f t="shared" si="7"/>
        <v>0</v>
      </c>
    </row>
    <row r="18" spans="2:32" ht="15" customHeight="1" x14ac:dyDescent="0.3">
      <c r="B18" s="2" t="s">
        <v>836</v>
      </c>
      <c r="C18" s="4" t="s">
        <v>837</v>
      </c>
      <c r="D18" s="3" t="s">
        <v>838</v>
      </c>
      <c r="E18" s="6" t="s">
        <v>839</v>
      </c>
      <c r="F18" s="6" t="s">
        <v>152</v>
      </c>
      <c r="G18" s="6" t="s">
        <v>709</v>
      </c>
      <c r="H18" s="25">
        <v>28000</v>
      </c>
      <c r="I18" s="38">
        <v>20</v>
      </c>
      <c r="J18" s="38">
        <v>1</v>
      </c>
      <c r="K18" s="39">
        <f t="shared" si="0"/>
        <v>560000</v>
      </c>
      <c r="L18" s="38">
        <v>0</v>
      </c>
      <c r="M18" s="38">
        <v>0</v>
      </c>
      <c r="N18" s="39">
        <f t="shared" si="1"/>
        <v>0</v>
      </c>
      <c r="O18" s="38">
        <v>20</v>
      </c>
      <c r="P18" s="38">
        <v>1</v>
      </c>
      <c r="Q18" s="39">
        <f t="shared" si="2"/>
        <v>560000</v>
      </c>
      <c r="R18" s="38">
        <v>0</v>
      </c>
      <c r="S18" s="38">
        <v>0</v>
      </c>
      <c r="T18" s="39">
        <f t="shared" si="3"/>
        <v>0</v>
      </c>
      <c r="U18" s="38">
        <v>20</v>
      </c>
      <c r="V18" s="38">
        <v>1</v>
      </c>
      <c r="W18" s="39">
        <f t="shared" si="4"/>
        <v>560000</v>
      </c>
      <c r="X18" s="38"/>
      <c r="Y18" s="38"/>
      <c r="Z18" s="39">
        <f t="shared" si="5"/>
        <v>0</v>
      </c>
      <c r="AA18" s="38"/>
      <c r="AB18" s="38"/>
      <c r="AC18" s="39">
        <f t="shared" si="6"/>
        <v>0</v>
      </c>
      <c r="AD18" s="38"/>
      <c r="AE18" s="38"/>
      <c r="AF18" s="39">
        <f t="shared" si="7"/>
        <v>0</v>
      </c>
    </row>
    <row r="19" spans="2:32" ht="15" customHeight="1" x14ac:dyDescent="0.3">
      <c r="B19" s="2" t="s">
        <v>836</v>
      </c>
      <c r="C19" s="4" t="s">
        <v>837</v>
      </c>
      <c r="D19" s="3" t="s">
        <v>838</v>
      </c>
      <c r="E19" s="6" t="s">
        <v>839</v>
      </c>
      <c r="F19" s="6" t="s">
        <v>152</v>
      </c>
      <c r="G19" s="6" t="s">
        <v>712</v>
      </c>
      <c r="H19" s="25">
        <v>214.29</v>
      </c>
      <c r="I19" s="38">
        <v>25</v>
      </c>
      <c r="J19" s="38">
        <v>5</v>
      </c>
      <c r="K19" s="39">
        <f t="shared" si="0"/>
        <v>26786.25</v>
      </c>
      <c r="L19" s="38">
        <v>0</v>
      </c>
      <c r="M19" s="38">
        <v>0</v>
      </c>
      <c r="N19" s="39">
        <f t="shared" si="1"/>
        <v>0</v>
      </c>
      <c r="O19" s="38">
        <v>25</v>
      </c>
      <c r="P19" s="38">
        <v>5</v>
      </c>
      <c r="Q19" s="39">
        <f t="shared" si="2"/>
        <v>26786.25</v>
      </c>
      <c r="R19" s="38">
        <v>0</v>
      </c>
      <c r="S19" s="38">
        <v>0</v>
      </c>
      <c r="T19" s="39">
        <f t="shared" si="3"/>
        <v>0</v>
      </c>
      <c r="U19" s="38">
        <v>25</v>
      </c>
      <c r="V19" s="38">
        <v>5</v>
      </c>
      <c r="W19" s="39">
        <f t="shared" si="4"/>
        <v>26786.25</v>
      </c>
      <c r="X19" s="38"/>
      <c r="Y19" s="38"/>
      <c r="Z19" s="39">
        <f t="shared" si="5"/>
        <v>0</v>
      </c>
      <c r="AA19" s="38"/>
      <c r="AB19" s="38"/>
      <c r="AC19" s="39">
        <f t="shared" si="6"/>
        <v>0</v>
      </c>
      <c r="AD19" s="38"/>
      <c r="AE19" s="38"/>
      <c r="AF19" s="39">
        <f t="shared" si="7"/>
        <v>0</v>
      </c>
    </row>
    <row r="20" spans="2:32" ht="15" customHeight="1" x14ac:dyDescent="0.3">
      <c r="B20" s="2" t="s">
        <v>836</v>
      </c>
      <c r="C20" s="4" t="s">
        <v>837</v>
      </c>
      <c r="D20" s="3" t="s">
        <v>838</v>
      </c>
      <c r="E20" s="6" t="s">
        <v>839</v>
      </c>
      <c r="F20" s="6" t="s">
        <v>152</v>
      </c>
      <c r="G20" s="6" t="s">
        <v>716</v>
      </c>
      <c r="H20" s="25">
        <v>39000</v>
      </c>
      <c r="I20" s="38">
        <v>4000</v>
      </c>
      <c r="J20" s="38">
        <v>1</v>
      </c>
      <c r="K20" s="39">
        <f t="shared" si="0"/>
        <v>156000000</v>
      </c>
      <c r="L20" s="38">
        <v>0</v>
      </c>
      <c r="M20" s="38">
        <v>0</v>
      </c>
      <c r="N20" s="39">
        <f t="shared" si="1"/>
        <v>0</v>
      </c>
      <c r="O20" s="38">
        <v>4000</v>
      </c>
      <c r="P20" s="38">
        <v>1</v>
      </c>
      <c r="Q20" s="39">
        <f t="shared" si="2"/>
        <v>156000000</v>
      </c>
      <c r="R20" s="38">
        <v>0</v>
      </c>
      <c r="S20" s="38">
        <v>0</v>
      </c>
      <c r="T20" s="39">
        <f t="shared" si="3"/>
        <v>0</v>
      </c>
      <c r="U20" s="38">
        <v>4000</v>
      </c>
      <c r="V20" s="38">
        <v>1</v>
      </c>
      <c r="W20" s="39">
        <f t="shared" si="4"/>
        <v>156000000</v>
      </c>
      <c r="X20" s="38"/>
      <c r="Y20" s="38"/>
      <c r="Z20" s="39">
        <f t="shared" si="5"/>
        <v>0</v>
      </c>
      <c r="AA20" s="38"/>
      <c r="AB20" s="38"/>
      <c r="AC20" s="39">
        <f t="shared" si="6"/>
        <v>0</v>
      </c>
      <c r="AD20" s="38"/>
      <c r="AE20" s="38"/>
      <c r="AF20" s="39">
        <f t="shared" si="7"/>
        <v>0</v>
      </c>
    </row>
    <row r="21" spans="2:32" ht="15" customHeight="1" x14ac:dyDescent="0.3">
      <c r="B21" s="2" t="s">
        <v>836</v>
      </c>
      <c r="C21" s="4" t="s">
        <v>837</v>
      </c>
      <c r="D21" s="3" t="s">
        <v>838</v>
      </c>
      <c r="E21" s="6" t="s">
        <v>839</v>
      </c>
      <c r="F21" s="6" t="s">
        <v>847</v>
      </c>
      <c r="G21" s="6" t="s">
        <v>841</v>
      </c>
      <c r="H21" s="25">
        <v>0</v>
      </c>
      <c r="I21" s="38">
        <v>25</v>
      </c>
      <c r="J21" s="38">
        <v>5</v>
      </c>
      <c r="K21" s="39">
        <f t="shared" si="0"/>
        <v>0</v>
      </c>
      <c r="L21" s="38">
        <v>0</v>
      </c>
      <c r="M21" s="38">
        <v>0</v>
      </c>
      <c r="N21" s="39">
        <f t="shared" si="1"/>
        <v>0</v>
      </c>
      <c r="O21" s="38">
        <v>25</v>
      </c>
      <c r="P21" s="38">
        <v>5</v>
      </c>
      <c r="Q21" s="39">
        <f t="shared" si="2"/>
        <v>0</v>
      </c>
      <c r="R21" s="38">
        <v>0</v>
      </c>
      <c r="S21" s="38">
        <v>0</v>
      </c>
      <c r="T21" s="39">
        <f t="shared" si="3"/>
        <v>0</v>
      </c>
      <c r="U21" s="38">
        <v>25</v>
      </c>
      <c r="V21" s="38">
        <v>5</v>
      </c>
      <c r="W21" s="39">
        <f t="shared" si="4"/>
        <v>0</v>
      </c>
      <c r="X21" s="38"/>
      <c r="Y21" s="38"/>
      <c r="Z21" s="39">
        <f t="shared" si="5"/>
        <v>0</v>
      </c>
      <c r="AA21" s="38"/>
      <c r="AB21" s="38"/>
      <c r="AC21" s="39">
        <f t="shared" si="6"/>
        <v>0</v>
      </c>
      <c r="AD21" s="38"/>
      <c r="AE21" s="38"/>
      <c r="AF21" s="39">
        <f t="shared" si="7"/>
        <v>0</v>
      </c>
    </row>
    <row r="22" spans="2:32" ht="15" customHeight="1" x14ac:dyDescent="0.3">
      <c r="B22" s="2" t="s">
        <v>836</v>
      </c>
      <c r="C22" s="4" t="s">
        <v>837</v>
      </c>
      <c r="D22" s="3" t="s">
        <v>838</v>
      </c>
      <c r="E22" s="6" t="s">
        <v>839</v>
      </c>
      <c r="F22" s="6" t="s">
        <v>154</v>
      </c>
      <c r="G22" s="6" t="s">
        <v>709</v>
      </c>
      <c r="H22" s="25">
        <v>28000</v>
      </c>
      <c r="I22" s="38">
        <v>0</v>
      </c>
      <c r="J22" s="38">
        <v>0</v>
      </c>
      <c r="K22" s="39">
        <f t="shared" si="0"/>
        <v>0</v>
      </c>
      <c r="L22" s="38">
        <v>0</v>
      </c>
      <c r="M22" s="38">
        <v>0</v>
      </c>
      <c r="N22" s="39">
        <f t="shared" si="1"/>
        <v>0</v>
      </c>
      <c r="O22" s="38">
        <v>25</v>
      </c>
      <c r="P22" s="38">
        <v>5</v>
      </c>
      <c r="Q22" s="39">
        <f t="shared" si="2"/>
        <v>3500000</v>
      </c>
      <c r="R22" s="38">
        <v>0</v>
      </c>
      <c r="S22" s="38">
        <v>0</v>
      </c>
      <c r="T22" s="39">
        <f t="shared" si="3"/>
        <v>0</v>
      </c>
      <c r="U22" s="38">
        <v>25</v>
      </c>
      <c r="V22" s="38">
        <v>5</v>
      </c>
      <c r="W22" s="39">
        <f t="shared" si="4"/>
        <v>3500000</v>
      </c>
      <c r="X22" s="38"/>
      <c r="Y22" s="38"/>
      <c r="Z22" s="39">
        <f t="shared" si="5"/>
        <v>0</v>
      </c>
      <c r="AA22" s="38"/>
      <c r="AB22" s="38"/>
      <c r="AC22" s="39">
        <f t="shared" si="6"/>
        <v>0</v>
      </c>
      <c r="AD22" s="38"/>
      <c r="AE22" s="38"/>
      <c r="AF22" s="39">
        <f t="shared" si="7"/>
        <v>0</v>
      </c>
    </row>
    <row r="23" spans="2:32" ht="15" customHeight="1" x14ac:dyDescent="0.3">
      <c r="B23" s="2" t="s">
        <v>836</v>
      </c>
      <c r="C23" s="4" t="s">
        <v>837</v>
      </c>
      <c r="D23" s="3" t="s">
        <v>838</v>
      </c>
      <c r="E23" s="6" t="s">
        <v>839</v>
      </c>
      <c r="F23" s="6" t="s">
        <v>154</v>
      </c>
      <c r="G23" s="6" t="s">
        <v>716</v>
      </c>
      <c r="H23" s="25">
        <v>39000</v>
      </c>
      <c r="I23" s="38">
        <v>100</v>
      </c>
      <c r="J23" s="38">
        <v>1</v>
      </c>
      <c r="K23" s="39">
        <f t="shared" si="0"/>
        <v>3900000</v>
      </c>
      <c r="L23" s="38">
        <v>0</v>
      </c>
      <c r="M23" s="38">
        <v>0</v>
      </c>
      <c r="N23" s="39">
        <f t="shared" si="1"/>
        <v>0</v>
      </c>
      <c r="O23" s="38">
        <v>100</v>
      </c>
      <c r="P23" s="38">
        <v>1</v>
      </c>
      <c r="Q23" s="39">
        <f t="shared" si="2"/>
        <v>3900000</v>
      </c>
      <c r="R23" s="38">
        <v>0</v>
      </c>
      <c r="S23" s="38">
        <v>0</v>
      </c>
      <c r="T23" s="39">
        <f t="shared" si="3"/>
        <v>0</v>
      </c>
      <c r="U23" s="38">
        <v>100</v>
      </c>
      <c r="V23" s="38">
        <v>1</v>
      </c>
      <c r="W23" s="39">
        <f t="shared" si="4"/>
        <v>3900000</v>
      </c>
      <c r="X23" s="38"/>
      <c r="Y23" s="38"/>
      <c r="Z23" s="39">
        <f t="shared" si="5"/>
        <v>0</v>
      </c>
      <c r="AA23" s="38"/>
      <c r="AB23" s="38"/>
      <c r="AC23" s="39">
        <f t="shared" si="6"/>
        <v>0</v>
      </c>
      <c r="AD23" s="38"/>
      <c r="AE23" s="38"/>
      <c r="AF23" s="39">
        <f t="shared" si="7"/>
        <v>0</v>
      </c>
    </row>
    <row r="24" spans="2:32" ht="15" customHeight="1" x14ac:dyDescent="0.3">
      <c r="B24" s="2" t="s">
        <v>836</v>
      </c>
      <c r="C24" s="4" t="s">
        <v>837</v>
      </c>
      <c r="D24" s="3" t="s">
        <v>838</v>
      </c>
      <c r="E24" s="6" t="s">
        <v>839</v>
      </c>
      <c r="F24" s="6" t="s">
        <v>154</v>
      </c>
      <c r="G24" s="6" t="s">
        <v>711</v>
      </c>
      <c r="H24" s="25">
        <v>70</v>
      </c>
      <c r="I24" s="38">
        <v>30</v>
      </c>
      <c r="J24" s="38">
        <v>2</v>
      </c>
      <c r="K24" s="39">
        <f t="shared" si="0"/>
        <v>4200</v>
      </c>
      <c r="L24" s="38">
        <v>0</v>
      </c>
      <c r="M24" s="38">
        <v>0</v>
      </c>
      <c r="N24" s="39">
        <f t="shared" si="1"/>
        <v>0</v>
      </c>
      <c r="O24" s="38">
        <v>30</v>
      </c>
      <c r="P24" s="38">
        <v>2</v>
      </c>
      <c r="Q24" s="39">
        <f t="shared" si="2"/>
        <v>4200</v>
      </c>
      <c r="R24" s="38">
        <v>0</v>
      </c>
      <c r="S24" s="38">
        <v>0</v>
      </c>
      <c r="T24" s="39">
        <f t="shared" si="3"/>
        <v>0</v>
      </c>
      <c r="U24" s="38">
        <v>30</v>
      </c>
      <c r="V24" s="38">
        <v>2</v>
      </c>
      <c r="W24" s="39">
        <f t="shared" si="4"/>
        <v>4200</v>
      </c>
      <c r="X24" s="38"/>
      <c r="Y24" s="38"/>
      <c r="Z24" s="39">
        <f t="shared" si="5"/>
        <v>0</v>
      </c>
      <c r="AA24" s="38"/>
      <c r="AB24" s="38"/>
      <c r="AC24" s="39">
        <f t="shared" si="6"/>
        <v>0</v>
      </c>
      <c r="AD24" s="38"/>
      <c r="AE24" s="38"/>
      <c r="AF24" s="39">
        <f t="shared" si="7"/>
        <v>0</v>
      </c>
    </row>
    <row r="25" spans="2:32" ht="15" customHeight="1" x14ac:dyDescent="0.3">
      <c r="B25" s="2" t="s">
        <v>836</v>
      </c>
      <c r="C25" s="4" t="s">
        <v>837</v>
      </c>
      <c r="D25" s="3" t="s">
        <v>838</v>
      </c>
      <c r="E25" s="6" t="s">
        <v>839</v>
      </c>
      <c r="F25" s="6" t="s">
        <v>154</v>
      </c>
      <c r="G25" s="6" t="s">
        <v>717</v>
      </c>
      <c r="H25" s="25">
        <v>104850</v>
      </c>
      <c r="I25" s="38">
        <v>50000</v>
      </c>
      <c r="J25" s="38">
        <v>1</v>
      </c>
      <c r="K25" s="39">
        <f t="shared" si="0"/>
        <v>5242500000</v>
      </c>
      <c r="L25" s="38">
        <v>0</v>
      </c>
      <c r="M25" s="38">
        <v>0</v>
      </c>
      <c r="N25" s="39">
        <f t="shared" si="1"/>
        <v>0</v>
      </c>
      <c r="O25" s="38">
        <v>50000</v>
      </c>
      <c r="P25" s="38">
        <v>1</v>
      </c>
      <c r="Q25" s="39">
        <f t="shared" si="2"/>
        <v>5242500000</v>
      </c>
      <c r="R25" s="38">
        <v>0</v>
      </c>
      <c r="S25" s="38">
        <v>0</v>
      </c>
      <c r="T25" s="39">
        <f t="shared" si="3"/>
        <v>0</v>
      </c>
      <c r="U25" s="38">
        <v>50000</v>
      </c>
      <c r="V25" s="38">
        <v>1</v>
      </c>
      <c r="W25" s="39">
        <f t="shared" si="4"/>
        <v>5242500000</v>
      </c>
      <c r="X25" s="38"/>
      <c r="Y25" s="38"/>
      <c r="Z25" s="39">
        <f t="shared" si="5"/>
        <v>0</v>
      </c>
      <c r="AA25" s="38"/>
      <c r="AB25" s="38"/>
      <c r="AC25" s="39">
        <f t="shared" si="6"/>
        <v>0</v>
      </c>
      <c r="AD25" s="38"/>
      <c r="AE25" s="38"/>
      <c r="AF25" s="39">
        <f t="shared" si="7"/>
        <v>0</v>
      </c>
    </row>
    <row r="26" spans="2:32" ht="15" customHeight="1" x14ac:dyDescent="0.3">
      <c r="B26" s="2" t="s">
        <v>836</v>
      </c>
      <c r="C26" s="4" t="s">
        <v>837</v>
      </c>
      <c r="D26" s="3" t="s">
        <v>838</v>
      </c>
      <c r="E26" s="6" t="s">
        <v>839</v>
      </c>
      <c r="F26" s="6" t="s">
        <v>154</v>
      </c>
      <c r="G26" s="6" t="s">
        <v>712</v>
      </c>
      <c r="H26" s="25">
        <v>214.29</v>
      </c>
      <c r="I26" s="38">
        <v>5</v>
      </c>
      <c r="J26" s="38">
        <v>5</v>
      </c>
      <c r="K26" s="39">
        <f t="shared" si="0"/>
        <v>5357.25</v>
      </c>
      <c r="L26" s="38">
        <v>0</v>
      </c>
      <c r="M26" s="38">
        <v>0</v>
      </c>
      <c r="N26" s="39">
        <f t="shared" si="1"/>
        <v>0</v>
      </c>
      <c r="O26" s="38">
        <v>5</v>
      </c>
      <c r="P26" s="38">
        <v>5</v>
      </c>
      <c r="Q26" s="39">
        <f t="shared" si="2"/>
        <v>5357.25</v>
      </c>
      <c r="R26" s="38">
        <v>0</v>
      </c>
      <c r="S26" s="38">
        <v>0</v>
      </c>
      <c r="T26" s="39">
        <f t="shared" si="3"/>
        <v>0</v>
      </c>
      <c r="U26" s="38">
        <v>5</v>
      </c>
      <c r="V26" s="38">
        <v>5</v>
      </c>
      <c r="W26" s="39">
        <f t="shared" si="4"/>
        <v>5357.25</v>
      </c>
      <c r="X26" s="38"/>
      <c r="Y26" s="38"/>
      <c r="Z26" s="39">
        <f t="shared" si="5"/>
        <v>0</v>
      </c>
      <c r="AA26" s="38"/>
      <c r="AB26" s="38"/>
      <c r="AC26" s="39">
        <f t="shared" si="6"/>
        <v>0</v>
      </c>
      <c r="AD26" s="38"/>
      <c r="AE26" s="38"/>
      <c r="AF26" s="39">
        <f t="shared" si="7"/>
        <v>0</v>
      </c>
    </row>
    <row r="27" spans="2:32" ht="15" customHeight="1" x14ac:dyDescent="0.3">
      <c r="B27" s="2" t="s">
        <v>836</v>
      </c>
      <c r="C27" s="4" t="s">
        <v>837</v>
      </c>
      <c r="D27" s="3" t="s">
        <v>838</v>
      </c>
      <c r="E27" s="6" t="s">
        <v>839</v>
      </c>
      <c r="F27" s="6" t="s">
        <v>848</v>
      </c>
      <c r="G27" s="6" t="s">
        <v>841</v>
      </c>
      <c r="H27" s="25">
        <v>0</v>
      </c>
      <c r="I27" s="38">
        <v>4000</v>
      </c>
      <c r="J27" s="38">
        <v>1</v>
      </c>
      <c r="K27" s="39">
        <f t="shared" si="0"/>
        <v>0</v>
      </c>
      <c r="L27" s="38">
        <v>0</v>
      </c>
      <c r="M27" s="38">
        <v>0</v>
      </c>
      <c r="N27" s="39">
        <f t="shared" si="1"/>
        <v>0</v>
      </c>
      <c r="O27" s="38">
        <v>4000</v>
      </c>
      <c r="P27" s="38">
        <v>1</v>
      </c>
      <c r="Q27" s="39">
        <f t="shared" si="2"/>
        <v>0</v>
      </c>
      <c r="R27" s="38">
        <v>0</v>
      </c>
      <c r="S27" s="38">
        <v>0</v>
      </c>
      <c r="T27" s="39">
        <f t="shared" si="3"/>
        <v>0</v>
      </c>
      <c r="U27" s="38">
        <v>4000</v>
      </c>
      <c r="V27" s="38">
        <v>1</v>
      </c>
      <c r="W27" s="39">
        <f t="shared" si="4"/>
        <v>0</v>
      </c>
      <c r="X27" s="38"/>
      <c r="Y27" s="38"/>
      <c r="Z27" s="39">
        <f t="shared" si="5"/>
        <v>0</v>
      </c>
      <c r="AA27" s="38"/>
      <c r="AB27" s="38"/>
      <c r="AC27" s="39">
        <f t="shared" si="6"/>
        <v>0</v>
      </c>
      <c r="AD27" s="38"/>
      <c r="AE27" s="38"/>
      <c r="AF27" s="39">
        <f t="shared" si="7"/>
        <v>0</v>
      </c>
    </row>
    <row r="28" spans="2:32" ht="15" customHeight="1" x14ac:dyDescent="0.3">
      <c r="B28" s="2" t="s">
        <v>836</v>
      </c>
      <c r="C28" s="4" t="s">
        <v>837</v>
      </c>
      <c r="D28" s="3" t="s">
        <v>849</v>
      </c>
      <c r="E28" s="6" t="s">
        <v>850</v>
      </c>
      <c r="F28" s="6" t="s">
        <v>851</v>
      </c>
      <c r="G28" s="6" t="s">
        <v>841</v>
      </c>
      <c r="H28" s="25">
        <v>0</v>
      </c>
      <c r="I28" s="38"/>
      <c r="J28" s="38"/>
      <c r="K28" s="39">
        <f t="shared" si="0"/>
        <v>0</v>
      </c>
      <c r="L28" s="38">
        <v>0</v>
      </c>
      <c r="M28" s="38">
        <v>0</v>
      </c>
      <c r="N28" s="39">
        <f t="shared" si="1"/>
        <v>0</v>
      </c>
      <c r="O28" s="38">
        <v>0</v>
      </c>
      <c r="P28" s="38">
        <v>0</v>
      </c>
      <c r="Q28" s="39">
        <f t="shared" si="2"/>
        <v>0</v>
      </c>
      <c r="R28" s="38">
        <v>0</v>
      </c>
      <c r="S28" s="38">
        <v>0</v>
      </c>
      <c r="T28" s="39">
        <f t="shared" si="3"/>
        <v>0</v>
      </c>
      <c r="U28" s="38">
        <v>0</v>
      </c>
      <c r="V28" s="38">
        <v>0</v>
      </c>
      <c r="W28" s="39">
        <f t="shared" si="4"/>
        <v>0</v>
      </c>
      <c r="X28" s="38"/>
      <c r="Y28" s="38"/>
      <c r="Z28" s="39">
        <f t="shared" si="5"/>
        <v>0</v>
      </c>
      <c r="AA28" s="38"/>
      <c r="AB28" s="38"/>
      <c r="AC28" s="39">
        <f t="shared" si="6"/>
        <v>0</v>
      </c>
      <c r="AD28" s="38"/>
      <c r="AE28" s="38"/>
      <c r="AF28" s="39">
        <f t="shared" si="7"/>
        <v>0</v>
      </c>
    </row>
    <row r="29" spans="2:32" ht="15" customHeight="1" x14ac:dyDescent="0.3">
      <c r="B29" s="2" t="s">
        <v>836</v>
      </c>
      <c r="C29" s="4" t="s">
        <v>837</v>
      </c>
      <c r="D29" s="3" t="s">
        <v>849</v>
      </c>
      <c r="E29" s="6" t="s">
        <v>850</v>
      </c>
      <c r="F29" s="6" t="s">
        <v>852</v>
      </c>
      <c r="G29" s="6" t="s">
        <v>709</v>
      </c>
      <c r="H29" s="25">
        <v>28000</v>
      </c>
      <c r="I29" s="38"/>
      <c r="J29" s="38"/>
      <c r="K29" s="39">
        <f t="shared" si="0"/>
        <v>0</v>
      </c>
      <c r="L29" s="38">
        <v>0</v>
      </c>
      <c r="M29" s="38">
        <v>0</v>
      </c>
      <c r="N29" s="39">
        <f t="shared" si="1"/>
        <v>0</v>
      </c>
      <c r="O29" s="38">
        <v>0</v>
      </c>
      <c r="P29" s="38">
        <v>0</v>
      </c>
      <c r="Q29" s="39">
        <f t="shared" si="2"/>
        <v>0</v>
      </c>
      <c r="R29" s="38">
        <v>0</v>
      </c>
      <c r="S29" s="38">
        <v>0</v>
      </c>
      <c r="T29" s="39">
        <f t="shared" si="3"/>
        <v>0</v>
      </c>
      <c r="U29" s="38">
        <v>0</v>
      </c>
      <c r="V29" s="38">
        <v>0</v>
      </c>
      <c r="W29" s="39">
        <f t="shared" si="4"/>
        <v>0</v>
      </c>
      <c r="X29" s="38"/>
      <c r="Y29" s="38"/>
      <c r="Z29" s="39">
        <f t="shared" si="5"/>
        <v>0</v>
      </c>
      <c r="AA29" s="38"/>
      <c r="AB29" s="38"/>
      <c r="AC29" s="39">
        <f t="shared" si="6"/>
        <v>0</v>
      </c>
      <c r="AD29" s="38"/>
      <c r="AE29" s="38"/>
      <c r="AF29" s="39">
        <f t="shared" si="7"/>
        <v>0</v>
      </c>
    </row>
    <row r="30" spans="2:32" ht="15" customHeight="1" x14ac:dyDescent="0.3">
      <c r="B30" s="2" t="s">
        <v>836</v>
      </c>
      <c r="C30" s="4" t="s">
        <v>837</v>
      </c>
      <c r="D30" s="3" t="s">
        <v>849</v>
      </c>
      <c r="E30" s="6" t="s">
        <v>850</v>
      </c>
      <c r="F30" s="6" t="s">
        <v>852</v>
      </c>
      <c r="G30" s="6" t="s">
        <v>716</v>
      </c>
      <c r="H30" s="25">
        <v>39000</v>
      </c>
      <c r="I30" s="38">
        <v>50</v>
      </c>
      <c r="J30" s="38">
        <v>3</v>
      </c>
      <c r="K30" s="39">
        <f t="shared" si="0"/>
        <v>5850000</v>
      </c>
      <c r="L30" s="38">
        <v>0</v>
      </c>
      <c r="M30" s="38">
        <v>0</v>
      </c>
      <c r="N30" s="39">
        <f t="shared" si="1"/>
        <v>0</v>
      </c>
      <c r="O30" s="38">
        <v>0</v>
      </c>
      <c r="P30" s="38">
        <v>0</v>
      </c>
      <c r="Q30" s="39">
        <f t="shared" si="2"/>
        <v>0</v>
      </c>
      <c r="R30" s="38">
        <v>0</v>
      </c>
      <c r="S30" s="38">
        <v>0</v>
      </c>
      <c r="T30" s="39">
        <f t="shared" si="3"/>
        <v>0</v>
      </c>
      <c r="U30" s="38">
        <v>50</v>
      </c>
      <c r="V30" s="38">
        <v>3</v>
      </c>
      <c r="W30" s="39">
        <f t="shared" si="4"/>
        <v>5850000</v>
      </c>
      <c r="X30" s="38"/>
      <c r="Y30" s="38"/>
      <c r="Z30" s="39">
        <f t="shared" si="5"/>
        <v>0</v>
      </c>
      <c r="AA30" s="38"/>
      <c r="AB30" s="38"/>
      <c r="AC30" s="39">
        <f t="shared" si="6"/>
        <v>0</v>
      </c>
      <c r="AD30" s="38"/>
      <c r="AE30" s="38"/>
      <c r="AF30" s="39">
        <f t="shared" si="7"/>
        <v>0</v>
      </c>
    </row>
    <row r="31" spans="2:32" ht="15" customHeight="1" x14ac:dyDescent="0.3">
      <c r="B31" s="2" t="s">
        <v>836</v>
      </c>
      <c r="C31" s="4" t="s">
        <v>837</v>
      </c>
      <c r="D31" s="3" t="s">
        <v>849</v>
      </c>
      <c r="E31" s="6" t="s">
        <v>850</v>
      </c>
      <c r="F31" s="6" t="s">
        <v>852</v>
      </c>
      <c r="G31" s="33" t="s">
        <v>712</v>
      </c>
      <c r="H31" s="25">
        <v>214.29</v>
      </c>
      <c r="I31" s="38">
        <v>20</v>
      </c>
      <c r="J31" s="38">
        <v>3</v>
      </c>
      <c r="K31" s="39">
        <f t="shared" si="0"/>
        <v>12857.400000000001</v>
      </c>
      <c r="L31" s="38">
        <v>0</v>
      </c>
      <c r="M31" s="38">
        <v>0</v>
      </c>
      <c r="N31" s="39">
        <f t="shared" si="1"/>
        <v>0</v>
      </c>
      <c r="O31" s="38">
        <v>0</v>
      </c>
      <c r="P31" s="38">
        <v>0</v>
      </c>
      <c r="Q31" s="39">
        <f t="shared" si="2"/>
        <v>0</v>
      </c>
      <c r="R31" s="38">
        <v>0</v>
      </c>
      <c r="S31" s="38">
        <v>0</v>
      </c>
      <c r="T31" s="39">
        <f t="shared" si="3"/>
        <v>0</v>
      </c>
      <c r="U31" s="38">
        <v>20</v>
      </c>
      <c r="V31" s="38">
        <v>3</v>
      </c>
      <c r="W31" s="39">
        <f t="shared" si="4"/>
        <v>12857.400000000001</v>
      </c>
      <c r="X31" s="38"/>
      <c r="Y31" s="38"/>
      <c r="Z31" s="39">
        <f t="shared" si="5"/>
        <v>0</v>
      </c>
      <c r="AA31" s="38"/>
      <c r="AB31" s="38"/>
      <c r="AC31" s="39">
        <f t="shared" si="6"/>
        <v>0</v>
      </c>
      <c r="AD31" s="38"/>
      <c r="AE31" s="38"/>
      <c r="AF31" s="39">
        <f t="shared" si="7"/>
        <v>0</v>
      </c>
    </row>
    <row r="32" spans="2:32" ht="15" customHeight="1" x14ac:dyDescent="0.3">
      <c r="B32" s="2" t="s">
        <v>836</v>
      </c>
      <c r="C32" s="4" t="s">
        <v>837</v>
      </c>
      <c r="D32" s="3" t="s">
        <v>849</v>
      </c>
      <c r="E32" s="6" t="s">
        <v>850</v>
      </c>
      <c r="F32" s="6" t="s">
        <v>853</v>
      </c>
      <c r="G32" s="33" t="s">
        <v>709</v>
      </c>
      <c r="H32" s="25">
        <v>28000</v>
      </c>
      <c r="I32" s="38">
        <v>10000</v>
      </c>
      <c r="J32" s="38">
        <v>1</v>
      </c>
      <c r="K32" s="39">
        <f t="shared" si="0"/>
        <v>280000000</v>
      </c>
      <c r="L32" s="38">
        <v>0</v>
      </c>
      <c r="M32" s="38">
        <v>0</v>
      </c>
      <c r="N32" s="39">
        <f t="shared" si="1"/>
        <v>0</v>
      </c>
      <c r="O32" s="38">
        <v>0</v>
      </c>
      <c r="P32" s="38">
        <v>0</v>
      </c>
      <c r="Q32" s="39">
        <f t="shared" si="2"/>
        <v>0</v>
      </c>
      <c r="R32" s="38">
        <v>0</v>
      </c>
      <c r="S32" s="38">
        <v>0</v>
      </c>
      <c r="T32" s="39">
        <f t="shared" si="3"/>
        <v>0</v>
      </c>
      <c r="U32" s="38">
        <v>10000</v>
      </c>
      <c r="V32" s="38">
        <v>1</v>
      </c>
      <c r="W32" s="39">
        <f t="shared" si="4"/>
        <v>280000000</v>
      </c>
      <c r="X32" s="38"/>
      <c r="Y32" s="38"/>
      <c r="Z32" s="39">
        <f t="shared" si="5"/>
        <v>0</v>
      </c>
      <c r="AA32" s="38"/>
      <c r="AB32" s="38"/>
      <c r="AC32" s="39">
        <f t="shared" si="6"/>
        <v>0</v>
      </c>
      <c r="AD32" s="38"/>
      <c r="AE32" s="38"/>
      <c r="AF32" s="39">
        <f t="shared" si="7"/>
        <v>0</v>
      </c>
    </row>
    <row r="33" spans="2:32" ht="15" customHeight="1" x14ac:dyDescent="0.3">
      <c r="B33" s="2" t="s">
        <v>836</v>
      </c>
      <c r="C33" s="4" t="s">
        <v>837</v>
      </c>
      <c r="D33" s="3" t="s">
        <v>849</v>
      </c>
      <c r="E33" s="6" t="s">
        <v>850</v>
      </c>
      <c r="F33" s="6" t="s">
        <v>853</v>
      </c>
      <c r="G33" s="33" t="s">
        <v>716</v>
      </c>
      <c r="H33" s="25">
        <v>39000</v>
      </c>
      <c r="I33" s="38">
        <v>50</v>
      </c>
      <c r="J33" s="38">
        <v>1</v>
      </c>
      <c r="K33" s="39">
        <f t="shared" si="0"/>
        <v>1950000</v>
      </c>
      <c r="L33" s="38">
        <v>0</v>
      </c>
      <c r="M33" s="38">
        <v>0</v>
      </c>
      <c r="N33" s="39">
        <f t="shared" si="1"/>
        <v>0</v>
      </c>
      <c r="O33" s="38">
        <v>0</v>
      </c>
      <c r="P33" s="38">
        <v>0</v>
      </c>
      <c r="Q33" s="39">
        <f t="shared" si="2"/>
        <v>0</v>
      </c>
      <c r="R33" s="38">
        <v>0</v>
      </c>
      <c r="S33" s="38">
        <v>0</v>
      </c>
      <c r="T33" s="39">
        <f t="shared" si="3"/>
        <v>0</v>
      </c>
      <c r="U33" s="38">
        <v>50</v>
      </c>
      <c r="V33" s="38">
        <v>1</v>
      </c>
      <c r="W33" s="39">
        <f t="shared" si="4"/>
        <v>1950000</v>
      </c>
      <c r="X33" s="38"/>
      <c r="Y33" s="38"/>
      <c r="Z33" s="39">
        <f t="shared" si="5"/>
        <v>0</v>
      </c>
      <c r="AA33" s="38"/>
      <c r="AB33" s="38"/>
      <c r="AC33" s="39">
        <f t="shared" si="6"/>
        <v>0</v>
      </c>
      <c r="AD33" s="38"/>
      <c r="AE33" s="38"/>
      <c r="AF33" s="39">
        <f t="shared" si="7"/>
        <v>0</v>
      </c>
    </row>
    <row r="34" spans="2:32" ht="15" customHeight="1" x14ac:dyDescent="0.3">
      <c r="B34" s="2" t="s">
        <v>836</v>
      </c>
      <c r="C34" s="4" t="s">
        <v>837</v>
      </c>
      <c r="D34" s="3" t="s">
        <v>849</v>
      </c>
      <c r="E34" s="6" t="s">
        <v>850</v>
      </c>
      <c r="F34" s="6" t="s">
        <v>854</v>
      </c>
      <c r="G34" s="33" t="s">
        <v>711</v>
      </c>
      <c r="H34" s="25">
        <v>70</v>
      </c>
      <c r="I34" s="38">
        <v>20</v>
      </c>
      <c r="J34" s="38">
        <v>2</v>
      </c>
      <c r="K34" s="39">
        <f t="shared" si="0"/>
        <v>2800</v>
      </c>
      <c r="L34" s="38">
        <v>0</v>
      </c>
      <c r="M34" s="38">
        <v>0</v>
      </c>
      <c r="N34" s="39">
        <f t="shared" si="1"/>
        <v>0</v>
      </c>
      <c r="O34" s="38">
        <v>0</v>
      </c>
      <c r="P34" s="38">
        <v>0</v>
      </c>
      <c r="Q34" s="39">
        <f t="shared" si="2"/>
        <v>0</v>
      </c>
      <c r="R34" s="38">
        <v>0</v>
      </c>
      <c r="S34" s="38">
        <v>0</v>
      </c>
      <c r="T34" s="39">
        <f t="shared" si="3"/>
        <v>0</v>
      </c>
      <c r="U34" s="38">
        <v>20</v>
      </c>
      <c r="V34" s="38">
        <v>2</v>
      </c>
      <c r="W34" s="39">
        <f t="shared" si="4"/>
        <v>2800</v>
      </c>
      <c r="X34" s="38"/>
      <c r="Y34" s="38"/>
      <c r="Z34" s="39">
        <f t="shared" si="5"/>
        <v>0</v>
      </c>
      <c r="AA34" s="38"/>
      <c r="AB34" s="38"/>
      <c r="AC34" s="39">
        <f t="shared" si="6"/>
        <v>0</v>
      </c>
      <c r="AD34" s="38"/>
      <c r="AE34" s="38"/>
      <c r="AF34" s="39">
        <f t="shared" si="7"/>
        <v>0</v>
      </c>
    </row>
    <row r="35" spans="2:32" ht="15" customHeight="1" x14ac:dyDescent="0.3">
      <c r="B35" s="2" t="s">
        <v>836</v>
      </c>
      <c r="C35" s="4" t="s">
        <v>837</v>
      </c>
      <c r="D35" s="3" t="s">
        <v>849</v>
      </c>
      <c r="E35" s="6" t="s">
        <v>850</v>
      </c>
      <c r="F35" s="6" t="s">
        <v>854</v>
      </c>
      <c r="G35" s="33" t="s">
        <v>710</v>
      </c>
      <c r="H35" s="25">
        <v>104850</v>
      </c>
      <c r="I35" s="38">
        <v>50000</v>
      </c>
      <c r="J35" s="38">
        <v>1</v>
      </c>
      <c r="K35" s="39">
        <f t="shared" si="0"/>
        <v>5242500000</v>
      </c>
      <c r="L35" s="38">
        <v>0</v>
      </c>
      <c r="M35" s="38">
        <v>0</v>
      </c>
      <c r="N35" s="39">
        <f t="shared" si="1"/>
        <v>0</v>
      </c>
      <c r="O35" s="38">
        <v>0</v>
      </c>
      <c r="P35" s="38">
        <v>0</v>
      </c>
      <c r="Q35" s="39">
        <f t="shared" si="2"/>
        <v>0</v>
      </c>
      <c r="R35" s="38">
        <v>0</v>
      </c>
      <c r="S35" s="38">
        <v>0</v>
      </c>
      <c r="T35" s="39">
        <f t="shared" si="3"/>
        <v>0</v>
      </c>
      <c r="U35" s="38">
        <v>50000</v>
      </c>
      <c r="V35" s="38">
        <v>1</v>
      </c>
      <c r="W35" s="39">
        <f t="shared" si="4"/>
        <v>5242500000</v>
      </c>
      <c r="X35" s="38"/>
      <c r="Y35" s="38"/>
      <c r="Z35" s="39">
        <f t="shared" si="5"/>
        <v>0</v>
      </c>
      <c r="AA35" s="38"/>
      <c r="AB35" s="38"/>
      <c r="AC35" s="39">
        <f t="shared" si="6"/>
        <v>0</v>
      </c>
      <c r="AD35" s="38"/>
      <c r="AE35" s="38"/>
      <c r="AF35" s="39">
        <f t="shared" si="7"/>
        <v>0</v>
      </c>
    </row>
    <row r="36" spans="2:32" ht="15" customHeight="1" x14ac:dyDescent="0.3">
      <c r="B36" s="2" t="s">
        <v>836</v>
      </c>
      <c r="C36" s="4" t="s">
        <v>837</v>
      </c>
      <c r="D36" s="3" t="s">
        <v>849</v>
      </c>
      <c r="E36" s="6" t="s">
        <v>850</v>
      </c>
      <c r="F36" s="6" t="s">
        <v>855</v>
      </c>
      <c r="G36" s="33" t="s">
        <v>709</v>
      </c>
      <c r="H36" s="25">
        <v>28000</v>
      </c>
      <c r="I36" s="38">
        <v>5</v>
      </c>
      <c r="J36" s="38">
        <v>5</v>
      </c>
      <c r="K36" s="39">
        <f t="shared" si="0"/>
        <v>700000</v>
      </c>
      <c r="L36" s="38">
        <v>0</v>
      </c>
      <c r="M36" s="38">
        <v>0</v>
      </c>
      <c r="N36" s="39">
        <f t="shared" si="1"/>
        <v>0</v>
      </c>
      <c r="O36" s="38">
        <v>0</v>
      </c>
      <c r="P36" s="38">
        <v>0</v>
      </c>
      <c r="Q36" s="39">
        <f t="shared" si="2"/>
        <v>0</v>
      </c>
      <c r="R36" s="38">
        <v>0</v>
      </c>
      <c r="S36" s="38">
        <v>0</v>
      </c>
      <c r="T36" s="39">
        <f t="shared" si="3"/>
        <v>0</v>
      </c>
      <c r="U36" s="38">
        <v>5</v>
      </c>
      <c r="V36" s="38">
        <v>5</v>
      </c>
      <c r="W36" s="39">
        <f t="shared" si="4"/>
        <v>700000</v>
      </c>
      <c r="X36" s="38"/>
      <c r="Y36" s="38"/>
      <c r="Z36" s="39">
        <f t="shared" si="5"/>
        <v>0</v>
      </c>
      <c r="AA36" s="38"/>
      <c r="AB36" s="38"/>
      <c r="AC36" s="39">
        <f t="shared" si="6"/>
        <v>0</v>
      </c>
      <c r="AD36" s="38"/>
      <c r="AE36" s="38"/>
      <c r="AF36" s="39">
        <f t="shared" si="7"/>
        <v>0</v>
      </c>
    </row>
    <row r="37" spans="2:32" ht="15" customHeight="1" x14ac:dyDescent="0.3">
      <c r="B37" s="2" t="s">
        <v>836</v>
      </c>
      <c r="C37" s="4" t="s">
        <v>837</v>
      </c>
      <c r="D37" s="3" t="s">
        <v>849</v>
      </c>
      <c r="E37" s="6" t="s">
        <v>850</v>
      </c>
      <c r="F37" s="6" t="s">
        <v>856</v>
      </c>
      <c r="G37" s="6" t="s">
        <v>841</v>
      </c>
      <c r="H37" s="25">
        <v>0</v>
      </c>
      <c r="I37" s="38">
        <v>50</v>
      </c>
      <c r="J37" s="38">
        <v>0.5</v>
      </c>
      <c r="K37" s="39">
        <f t="shared" si="0"/>
        <v>0</v>
      </c>
      <c r="L37" s="38">
        <v>0</v>
      </c>
      <c r="M37" s="38">
        <v>0</v>
      </c>
      <c r="N37" s="39">
        <f t="shared" si="1"/>
        <v>0</v>
      </c>
      <c r="O37" s="38">
        <v>0</v>
      </c>
      <c r="P37" s="38">
        <v>0</v>
      </c>
      <c r="Q37" s="39">
        <f t="shared" si="2"/>
        <v>0</v>
      </c>
      <c r="R37" s="38">
        <v>0</v>
      </c>
      <c r="S37" s="38">
        <v>0</v>
      </c>
      <c r="T37" s="39">
        <f t="shared" si="3"/>
        <v>0</v>
      </c>
      <c r="U37" s="38">
        <v>50</v>
      </c>
      <c r="V37" s="38">
        <v>0.5</v>
      </c>
      <c r="W37" s="39">
        <f t="shared" si="4"/>
        <v>0</v>
      </c>
      <c r="X37" s="38"/>
      <c r="Y37" s="38"/>
      <c r="Z37" s="39">
        <f t="shared" si="5"/>
        <v>0</v>
      </c>
      <c r="AA37" s="38"/>
      <c r="AB37" s="38"/>
      <c r="AC37" s="39">
        <f t="shared" si="6"/>
        <v>0</v>
      </c>
      <c r="AD37" s="38"/>
      <c r="AE37" s="38"/>
      <c r="AF37" s="39">
        <f t="shared" si="7"/>
        <v>0</v>
      </c>
    </row>
    <row r="38" spans="2:32" ht="15" customHeight="1" x14ac:dyDescent="0.3">
      <c r="B38" s="2" t="s">
        <v>836</v>
      </c>
      <c r="C38" s="4" t="s">
        <v>837</v>
      </c>
      <c r="D38" s="3" t="s">
        <v>857</v>
      </c>
      <c r="E38" s="6" t="s">
        <v>858</v>
      </c>
      <c r="F38" s="6" t="s">
        <v>155</v>
      </c>
      <c r="G38" s="6" t="s">
        <v>841</v>
      </c>
      <c r="H38" s="25">
        <v>0</v>
      </c>
      <c r="I38" s="38">
        <v>20</v>
      </c>
      <c r="J38" s="38">
        <v>1</v>
      </c>
      <c r="K38" s="39">
        <f t="shared" si="0"/>
        <v>0</v>
      </c>
      <c r="L38" s="38">
        <v>0</v>
      </c>
      <c r="M38" s="38">
        <v>0</v>
      </c>
      <c r="N38" s="39">
        <f t="shared" si="1"/>
        <v>0</v>
      </c>
      <c r="O38" s="38">
        <v>0</v>
      </c>
      <c r="P38" s="38">
        <v>0</v>
      </c>
      <c r="Q38" s="39">
        <f t="shared" si="2"/>
        <v>0</v>
      </c>
      <c r="R38" s="38">
        <v>0</v>
      </c>
      <c r="S38" s="38">
        <v>0</v>
      </c>
      <c r="T38" s="39">
        <f t="shared" si="3"/>
        <v>0</v>
      </c>
      <c r="U38" s="38">
        <v>20</v>
      </c>
      <c r="V38" s="38">
        <v>1</v>
      </c>
      <c r="W38" s="39">
        <f t="shared" si="4"/>
        <v>0</v>
      </c>
      <c r="X38" s="38"/>
      <c r="Y38" s="38"/>
      <c r="Z38" s="39">
        <f t="shared" si="5"/>
        <v>0</v>
      </c>
      <c r="AA38" s="38"/>
      <c r="AB38" s="38"/>
      <c r="AC38" s="39">
        <f t="shared" si="6"/>
        <v>0</v>
      </c>
      <c r="AD38" s="38"/>
      <c r="AE38" s="38"/>
      <c r="AF38" s="39">
        <f t="shared" si="7"/>
        <v>0</v>
      </c>
    </row>
    <row r="39" spans="2:32" ht="15" customHeight="1" x14ac:dyDescent="0.3">
      <c r="B39" s="2" t="s">
        <v>836</v>
      </c>
      <c r="C39" s="4" t="s">
        <v>837</v>
      </c>
      <c r="D39" s="3" t="s">
        <v>857</v>
      </c>
      <c r="E39" s="6" t="s">
        <v>858</v>
      </c>
      <c r="F39" s="6" t="s">
        <v>859</v>
      </c>
      <c r="G39" s="6" t="s">
        <v>841</v>
      </c>
      <c r="H39" s="25">
        <v>0</v>
      </c>
      <c r="I39" s="38">
        <v>0</v>
      </c>
      <c r="J39" s="38">
        <v>0</v>
      </c>
      <c r="K39" s="39">
        <f t="shared" si="0"/>
        <v>0</v>
      </c>
      <c r="L39" s="38">
        <v>0</v>
      </c>
      <c r="M39" s="38">
        <v>0</v>
      </c>
      <c r="N39" s="39">
        <f t="shared" si="1"/>
        <v>0</v>
      </c>
      <c r="O39" s="38">
        <v>0</v>
      </c>
      <c r="P39" s="38">
        <v>0</v>
      </c>
      <c r="Q39" s="39">
        <f t="shared" si="2"/>
        <v>0</v>
      </c>
      <c r="R39" s="38">
        <v>0</v>
      </c>
      <c r="S39" s="38">
        <v>0</v>
      </c>
      <c r="T39" s="39">
        <f t="shared" si="3"/>
        <v>0</v>
      </c>
      <c r="U39" s="38">
        <v>0</v>
      </c>
      <c r="V39" s="38">
        <v>0</v>
      </c>
      <c r="W39" s="39">
        <f t="shared" si="4"/>
        <v>0</v>
      </c>
      <c r="X39" s="38"/>
      <c r="Y39" s="38"/>
      <c r="Z39" s="39">
        <f t="shared" si="5"/>
        <v>0</v>
      </c>
      <c r="AA39" s="38"/>
      <c r="AB39" s="38"/>
      <c r="AC39" s="39">
        <f t="shared" si="6"/>
        <v>0</v>
      </c>
      <c r="AD39" s="38"/>
      <c r="AE39" s="38"/>
      <c r="AF39" s="39">
        <f t="shared" si="7"/>
        <v>0</v>
      </c>
    </row>
    <row r="40" spans="2:32" ht="15" customHeight="1" x14ac:dyDescent="0.3">
      <c r="B40" s="2" t="s">
        <v>836</v>
      </c>
      <c r="C40" s="4" t="s">
        <v>837</v>
      </c>
      <c r="D40" s="3" t="s">
        <v>857</v>
      </c>
      <c r="E40" s="6" t="s">
        <v>858</v>
      </c>
      <c r="F40" s="6" t="s">
        <v>860</v>
      </c>
      <c r="G40" s="6" t="s">
        <v>708</v>
      </c>
      <c r="H40" s="25">
        <v>425000</v>
      </c>
      <c r="I40" s="38">
        <v>0</v>
      </c>
      <c r="J40" s="38">
        <v>0</v>
      </c>
      <c r="K40" s="39">
        <f t="shared" si="0"/>
        <v>0</v>
      </c>
      <c r="L40" s="38">
        <v>0</v>
      </c>
      <c r="M40" s="38">
        <v>0</v>
      </c>
      <c r="N40" s="39">
        <f t="shared" si="1"/>
        <v>0</v>
      </c>
      <c r="O40" s="38">
        <v>0</v>
      </c>
      <c r="P40" s="38">
        <v>0</v>
      </c>
      <c r="Q40" s="39">
        <f t="shared" si="2"/>
        <v>0</v>
      </c>
      <c r="R40" s="38">
        <v>0</v>
      </c>
      <c r="S40" s="38">
        <v>0</v>
      </c>
      <c r="T40" s="39">
        <f t="shared" si="3"/>
        <v>0</v>
      </c>
      <c r="U40" s="38">
        <v>0</v>
      </c>
      <c r="V40" s="38">
        <v>0</v>
      </c>
      <c r="W40" s="39">
        <f t="shared" si="4"/>
        <v>0</v>
      </c>
      <c r="X40" s="38"/>
      <c r="Y40" s="38"/>
      <c r="Z40" s="39">
        <f t="shared" si="5"/>
        <v>0</v>
      </c>
      <c r="AA40" s="38"/>
      <c r="AB40" s="38"/>
      <c r="AC40" s="39">
        <f t="shared" si="6"/>
        <v>0</v>
      </c>
      <c r="AD40" s="38"/>
      <c r="AE40" s="38"/>
      <c r="AF40" s="39">
        <f t="shared" si="7"/>
        <v>0</v>
      </c>
    </row>
    <row r="41" spans="2:32" ht="15" customHeight="1" x14ac:dyDescent="0.3">
      <c r="B41" s="2" t="s">
        <v>836</v>
      </c>
      <c r="C41" s="4" t="s">
        <v>837</v>
      </c>
      <c r="D41" s="3" t="s">
        <v>857</v>
      </c>
      <c r="E41" s="6" t="s">
        <v>858</v>
      </c>
      <c r="F41" s="6" t="s">
        <v>860</v>
      </c>
      <c r="G41" s="6" t="s">
        <v>707</v>
      </c>
      <c r="H41" s="25">
        <v>391991.03749999998</v>
      </c>
      <c r="I41" s="38">
        <v>0</v>
      </c>
      <c r="J41" s="38">
        <v>0</v>
      </c>
      <c r="K41" s="39">
        <f t="shared" si="0"/>
        <v>0</v>
      </c>
      <c r="L41" s="38">
        <v>1</v>
      </c>
      <c r="M41" s="38">
        <v>60</v>
      </c>
      <c r="N41" s="39">
        <f t="shared" si="1"/>
        <v>23519462.25</v>
      </c>
      <c r="O41" s="38">
        <v>0</v>
      </c>
      <c r="P41" s="38">
        <v>0</v>
      </c>
      <c r="Q41" s="39">
        <f t="shared" si="2"/>
        <v>0</v>
      </c>
      <c r="R41" s="38">
        <v>0</v>
      </c>
      <c r="S41" s="38">
        <v>0</v>
      </c>
      <c r="T41" s="39">
        <f t="shared" si="3"/>
        <v>0</v>
      </c>
      <c r="U41" s="38">
        <v>0</v>
      </c>
      <c r="V41" s="38">
        <v>0</v>
      </c>
      <c r="W41" s="39">
        <f t="shared" si="4"/>
        <v>0</v>
      </c>
      <c r="X41" s="38"/>
      <c r="Y41" s="38"/>
      <c r="Z41" s="39">
        <f t="shared" si="5"/>
        <v>0</v>
      </c>
      <c r="AA41" s="38"/>
      <c r="AB41" s="38"/>
      <c r="AC41" s="39">
        <f t="shared" si="6"/>
        <v>0</v>
      </c>
      <c r="AD41" s="38"/>
      <c r="AE41" s="38"/>
      <c r="AF41" s="39">
        <f t="shared" si="7"/>
        <v>0</v>
      </c>
    </row>
    <row r="42" spans="2:32" ht="15" customHeight="1" x14ac:dyDescent="0.3">
      <c r="B42" s="2" t="s">
        <v>836</v>
      </c>
      <c r="C42" s="4" t="s">
        <v>837</v>
      </c>
      <c r="D42" s="3" t="s">
        <v>857</v>
      </c>
      <c r="E42" s="6" t="s">
        <v>858</v>
      </c>
      <c r="F42" s="6" t="s">
        <v>151</v>
      </c>
      <c r="G42" s="6" t="s">
        <v>713</v>
      </c>
      <c r="H42" s="25">
        <v>45000</v>
      </c>
      <c r="I42" s="38">
        <v>0</v>
      </c>
      <c r="J42" s="38">
        <v>0</v>
      </c>
      <c r="K42" s="39">
        <f t="shared" si="0"/>
        <v>0</v>
      </c>
      <c r="L42" s="38">
        <v>1</v>
      </c>
      <c r="M42" s="38">
        <v>6</v>
      </c>
      <c r="N42" s="39">
        <f t="shared" si="1"/>
        <v>270000</v>
      </c>
      <c r="O42" s="38">
        <v>0</v>
      </c>
      <c r="P42" s="38">
        <v>0</v>
      </c>
      <c r="Q42" s="39">
        <f t="shared" si="2"/>
        <v>0</v>
      </c>
      <c r="R42" s="38">
        <v>0</v>
      </c>
      <c r="S42" s="38">
        <v>0</v>
      </c>
      <c r="T42" s="39">
        <f t="shared" si="3"/>
        <v>0</v>
      </c>
      <c r="U42" s="38">
        <v>0</v>
      </c>
      <c r="V42" s="38">
        <v>0</v>
      </c>
      <c r="W42" s="39">
        <f t="shared" si="4"/>
        <v>0</v>
      </c>
      <c r="X42" s="38"/>
      <c r="Y42" s="38"/>
      <c r="Z42" s="39">
        <f t="shared" si="5"/>
        <v>0</v>
      </c>
      <c r="AA42" s="38"/>
      <c r="AB42" s="38"/>
      <c r="AC42" s="39">
        <f t="shared" si="6"/>
        <v>0</v>
      </c>
      <c r="AD42" s="38"/>
      <c r="AE42" s="38"/>
      <c r="AF42" s="39">
        <f t="shared" si="7"/>
        <v>0</v>
      </c>
    </row>
    <row r="43" spans="2:32" ht="15" customHeight="1" x14ac:dyDescent="0.3">
      <c r="B43" s="2" t="s">
        <v>836</v>
      </c>
      <c r="C43" s="4" t="s">
        <v>837</v>
      </c>
      <c r="D43" s="3" t="s">
        <v>857</v>
      </c>
      <c r="E43" s="6" t="s">
        <v>858</v>
      </c>
      <c r="F43" s="6" t="s">
        <v>151</v>
      </c>
      <c r="G43" s="6" t="s">
        <v>715</v>
      </c>
      <c r="H43" s="25">
        <v>302000</v>
      </c>
      <c r="I43" s="38">
        <v>0</v>
      </c>
      <c r="J43" s="38">
        <v>0</v>
      </c>
      <c r="K43" s="39">
        <f t="shared" si="0"/>
        <v>0</v>
      </c>
      <c r="L43" s="38">
        <v>25</v>
      </c>
      <c r="M43" s="38">
        <v>10</v>
      </c>
      <c r="N43" s="39">
        <f t="shared" si="1"/>
        <v>75500000</v>
      </c>
      <c r="O43" s="38">
        <v>0</v>
      </c>
      <c r="P43" s="38">
        <v>0</v>
      </c>
      <c r="Q43" s="39">
        <f t="shared" si="2"/>
        <v>0</v>
      </c>
      <c r="R43" s="38">
        <v>0</v>
      </c>
      <c r="S43" s="38">
        <v>0</v>
      </c>
      <c r="T43" s="39">
        <f t="shared" si="3"/>
        <v>0</v>
      </c>
      <c r="U43" s="38">
        <v>0</v>
      </c>
      <c r="V43" s="38">
        <v>0</v>
      </c>
      <c r="W43" s="39">
        <f t="shared" si="4"/>
        <v>0</v>
      </c>
      <c r="X43" s="38"/>
      <c r="Y43" s="38"/>
      <c r="Z43" s="39">
        <f t="shared" si="5"/>
        <v>0</v>
      </c>
      <c r="AA43" s="38"/>
      <c r="AB43" s="38"/>
      <c r="AC43" s="39">
        <f t="shared" si="6"/>
        <v>0</v>
      </c>
      <c r="AD43" s="38"/>
      <c r="AE43" s="38"/>
      <c r="AF43" s="39">
        <f t="shared" si="7"/>
        <v>0</v>
      </c>
    </row>
    <row r="44" spans="2:32" ht="15" customHeight="1" x14ac:dyDescent="0.3">
      <c r="B44" s="2" t="s">
        <v>836</v>
      </c>
      <c r="C44" s="4" t="s">
        <v>837</v>
      </c>
      <c r="D44" s="3" t="s">
        <v>857</v>
      </c>
      <c r="E44" s="6" t="s">
        <v>858</v>
      </c>
      <c r="F44" s="6" t="s">
        <v>151</v>
      </c>
      <c r="G44" s="6" t="s">
        <v>712</v>
      </c>
      <c r="H44" s="25">
        <v>214.29</v>
      </c>
      <c r="I44" s="38">
        <v>0</v>
      </c>
      <c r="J44" s="38">
        <v>0</v>
      </c>
      <c r="K44" s="39">
        <f t="shared" si="0"/>
        <v>0</v>
      </c>
      <c r="L44" s="38">
        <v>20</v>
      </c>
      <c r="M44" s="38">
        <v>1</v>
      </c>
      <c r="N44" s="39">
        <f t="shared" si="1"/>
        <v>4285.8</v>
      </c>
      <c r="O44" s="38">
        <v>0</v>
      </c>
      <c r="P44" s="38">
        <v>0</v>
      </c>
      <c r="Q44" s="39">
        <f t="shared" si="2"/>
        <v>0</v>
      </c>
      <c r="R44" s="38">
        <v>0</v>
      </c>
      <c r="S44" s="38">
        <v>0</v>
      </c>
      <c r="T44" s="39">
        <f t="shared" si="3"/>
        <v>0</v>
      </c>
      <c r="U44" s="38">
        <v>0</v>
      </c>
      <c r="V44" s="38">
        <v>0</v>
      </c>
      <c r="W44" s="39">
        <f t="shared" si="4"/>
        <v>0</v>
      </c>
      <c r="X44" s="38"/>
      <c r="Y44" s="38"/>
      <c r="Z44" s="39">
        <f t="shared" si="5"/>
        <v>0</v>
      </c>
      <c r="AA44" s="38"/>
      <c r="AB44" s="38"/>
      <c r="AC44" s="39">
        <f t="shared" si="6"/>
        <v>0</v>
      </c>
      <c r="AD44" s="38"/>
      <c r="AE44" s="38"/>
      <c r="AF44" s="39">
        <f t="shared" si="7"/>
        <v>0</v>
      </c>
    </row>
    <row r="45" spans="2:32" ht="15" customHeight="1" x14ac:dyDescent="0.3">
      <c r="B45" s="2" t="s">
        <v>836</v>
      </c>
      <c r="C45" s="4" t="s">
        <v>837</v>
      </c>
      <c r="D45" s="3" t="s">
        <v>857</v>
      </c>
      <c r="E45" s="6" t="s">
        <v>858</v>
      </c>
      <c r="F45" s="6" t="s">
        <v>151</v>
      </c>
      <c r="G45" s="6" t="s">
        <v>714</v>
      </c>
      <c r="H45" s="25">
        <v>10000</v>
      </c>
      <c r="I45" s="38">
        <v>0</v>
      </c>
      <c r="J45" s="38">
        <v>0</v>
      </c>
      <c r="K45" s="39">
        <f t="shared" si="0"/>
        <v>0</v>
      </c>
      <c r="L45" s="38">
        <v>20000</v>
      </c>
      <c r="M45" s="38">
        <v>1</v>
      </c>
      <c r="N45" s="39">
        <f t="shared" si="1"/>
        <v>200000000</v>
      </c>
      <c r="O45" s="38">
        <v>0</v>
      </c>
      <c r="P45" s="38">
        <v>0</v>
      </c>
      <c r="Q45" s="39">
        <f t="shared" si="2"/>
        <v>0</v>
      </c>
      <c r="R45" s="38">
        <v>0</v>
      </c>
      <c r="S45" s="38">
        <v>0</v>
      </c>
      <c r="T45" s="39">
        <f t="shared" si="3"/>
        <v>0</v>
      </c>
      <c r="U45" s="38">
        <v>0</v>
      </c>
      <c r="V45" s="38">
        <v>0</v>
      </c>
      <c r="W45" s="39">
        <f t="shared" si="4"/>
        <v>0</v>
      </c>
      <c r="X45" s="38"/>
      <c r="Y45" s="38"/>
      <c r="Z45" s="39">
        <f t="shared" si="5"/>
        <v>0</v>
      </c>
      <c r="AA45" s="38"/>
      <c r="AB45" s="38"/>
      <c r="AC45" s="39">
        <f t="shared" si="6"/>
        <v>0</v>
      </c>
      <c r="AD45" s="38"/>
      <c r="AE45" s="38"/>
      <c r="AF45" s="39">
        <f t="shared" si="7"/>
        <v>0</v>
      </c>
    </row>
    <row r="46" spans="2:32" ht="15" customHeight="1" x14ac:dyDescent="0.3">
      <c r="B46" s="2" t="s">
        <v>836</v>
      </c>
      <c r="C46" s="4" t="s">
        <v>837</v>
      </c>
      <c r="D46" s="3" t="s">
        <v>857</v>
      </c>
      <c r="E46" s="6" t="s">
        <v>858</v>
      </c>
      <c r="F46" s="6" t="s">
        <v>152</v>
      </c>
      <c r="G46" s="6" t="s">
        <v>716</v>
      </c>
      <c r="H46" s="25">
        <v>39000</v>
      </c>
      <c r="I46" s="38">
        <v>0</v>
      </c>
      <c r="J46" s="38">
        <v>0</v>
      </c>
      <c r="K46" s="39">
        <f t="shared" si="0"/>
        <v>0</v>
      </c>
      <c r="L46" s="38">
        <v>15</v>
      </c>
      <c r="M46" s="38">
        <v>1</v>
      </c>
      <c r="N46" s="39">
        <f t="shared" si="1"/>
        <v>585000</v>
      </c>
      <c r="O46" s="38">
        <v>0</v>
      </c>
      <c r="P46" s="38">
        <v>0</v>
      </c>
      <c r="Q46" s="39">
        <f t="shared" si="2"/>
        <v>0</v>
      </c>
      <c r="R46" s="38">
        <v>0</v>
      </c>
      <c r="S46" s="38">
        <v>0</v>
      </c>
      <c r="T46" s="39">
        <f t="shared" si="3"/>
        <v>0</v>
      </c>
      <c r="U46" s="38">
        <v>0</v>
      </c>
      <c r="V46" s="38">
        <v>0</v>
      </c>
      <c r="W46" s="39">
        <f t="shared" si="4"/>
        <v>0</v>
      </c>
      <c r="X46" s="38"/>
      <c r="Y46" s="38"/>
      <c r="Z46" s="39">
        <f t="shared" si="5"/>
        <v>0</v>
      </c>
      <c r="AA46" s="38"/>
      <c r="AB46" s="38"/>
      <c r="AC46" s="39">
        <f t="shared" si="6"/>
        <v>0</v>
      </c>
      <c r="AD46" s="38"/>
      <c r="AE46" s="38"/>
      <c r="AF46" s="39">
        <f t="shared" si="7"/>
        <v>0</v>
      </c>
    </row>
    <row r="47" spans="2:32" ht="15" customHeight="1" x14ac:dyDescent="0.3">
      <c r="B47" s="2" t="s">
        <v>836</v>
      </c>
      <c r="C47" s="4" t="s">
        <v>837</v>
      </c>
      <c r="D47" s="3" t="s">
        <v>857</v>
      </c>
      <c r="E47" s="6" t="s">
        <v>858</v>
      </c>
      <c r="F47" s="6" t="s">
        <v>152</v>
      </c>
      <c r="G47" s="6" t="s">
        <v>709</v>
      </c>
      <c r="H47" s="25">
        <v>28000</v>
      </c>
      <c r="I47" s="38">
        <v>0</v>
      </c>
      <c r="J47" s="38">
        <v>0</v>
      </c>
      <c r="K47" s="39">
        <f t="shared" si="0"/>
        <v>0</v>
      </c>
      <c r="L47" s="38">
        <v>25</v>
      </c>
      <c r="M47" s="38">
        <v>5</v>
      </c>
      <c r="N47" s="39">
        <f t="shared" si="1"/>
        <v>3500000</v>
      </c>
      <c r="O47" s="38">
        <v>0</v>
      </c>
      <c r="P47" s="38">
        <v>0</v>
      </c>
      <c r="Q47" s="39">
        <f t="shared" si="2"/>
        <v>0</v>
      </c>
      <c r="R47" s="38">
        <v>0</v>
      </c>
      <c r="S47" s="38">
        <v>0</v>
      </c>
      <c r="T47" s="39">
        <f t="shared" si="3"/>
        <v>0</v>
      </c>
      <c r="U47" s="38">
        <v>0</v>
      </c>
      <c r="V47" s="38">
        <v>0</v>
      </c>
      <c r="W47" s="39">
        <f t="shared" si="4"/>
        <v>0</v>
      </c>
      <c r="X47" s="38"/>
      <c r="Y47" s="38"/>
      <c r="Z47" s="39">
        <f t="shared" si="5"/>
        <v>0</v>
      </c>
      <c r="AA47" s="38"/>
      <c r="AB47" s="38"/>
      <c r="AC47" s="39">
        <f t="shared" si="6"/>
        <v>0</v>
      </c>
      <c r="AD47" s="38"/>
      <c r="AE47" s="38"/>
      <c r="AF47" s="39">
        <f t="shared" si="7"/>
        <v>0</v>
      </c>
    </row>
    <row r="48" spans="2:32" ht="15" customHeight="1" x14ac:dyDescent="0.3">
      <c r="B48" s="2" t="s">
        <v>836</v>
      </c>
      <c r="C48" s="4" t="s">
        <v>837</v>
      </c>
      <c r="D48" s="3" t="s">
        <v>857</v>
      </c>
      <c r="E48" s="6" t="s">
        <v>858</v>
      </c>
      <c r="F48" s="6" t="s">
        <v>152</v>
      </c>
      <c r="G48" s="6" t="s">
        <v>712</v>
      </c>
      <c r="H48" s="25">
        <v>214.29</v>
      </c>
      <c r="I48" s="38">
        <v>0</v>
      </c>
      <c r="J48" s="38">
        <v>0</v>
      </c>
      <c r="K48" s="39">
        <f t="shared" si="0"/>
        <v>0</v>
      </c>
      <c r="L48" s="38">
        <v>25</v>
      </c>
      <c r="M48" s="38">
        <v>5</v>
      </c>
      <c r="N48" s="39">
        <f t="shared" si="1"/>
        <v>26786.25</v>
      </c>
      <c r="O48" s="38">
        <v>0</v>
      </c>
      <c r="P48" s="38">
        <v>0</v>
      </c>
      <c r="Q48" s="39">
        <f t="shared" si="2"/>
        <v>0</v>
      </c>
      <c r="R48" s="38">
        <v>0</v>
      </c>
      <c r="S48" s="38">
        <v>0</v>
      </c>
      <c r="T48" s="39">
        <f t="shared" si="3"/>
        <v>0</v>
      </c>
      <c r="U48" s="38">
        <v>0</v>
      </c>
      <c r="V48" s="38">
        <v>0</v>
      </c>
      <c r="W48" s="39">
        <f t="shared" si="4"/>
        <v>0</v>
      </c>
      <c r="X48" s="38"/>
      <c r="Y48" s="38"/>
      <c r="Z48" s="39">
        <f t="shared" si="5"/>
        <v>0</v>
      </c>
      <c r="AA48" s="38"/>
      <c r="AB48" s="38"/>
      <c r="AC48" s="39">
        <f t="shared" si="6"/>
        <v>0</v>
      </c>
      <c r="AD48" s="38"/>
      <c r="AE48" s="38"/>
      <c r="AF48" s="39">
        <f t="shared" si="7"/>
        <v>0</v>
      </c>
    </row>
    <row r="49" spans="2:32" ht="15" customHeight="1" x14ac:dyDescent="0.3">
      <c r="B49" s="2" t="s">
        <v>836</v>
      </c>
      <c r="C49" s="4" t="s">
        <v>837</v>
      </c>
      <c r="D49" s="3" t="s">
        <v>857</v>
      </c>
      <c r="E49" s="6" t="s">
        <v>858</v>
      </c>
      <c r="F49" s="6" t="s">
        <v>861</v>
      </c>
      <c r="G49" s="6" t="s">
        <v>841</v>
      </c>
      <c r="H49" s="25">
        <v>0</v>
      </c>
      <c r="I49" s="38">
        <v>0</v>
      </c>
      <c r="J49" s="38">
        <v>0</v>
      </c>
      <c r="K49" s="39">
        <f t="shared" si="0"/>
        <v>0</v>
      </c>
      <c r="L49" s="38">
        <v>4000</v>
      </c>
      <c r="M49" s="38">
        <v>1</v>
      </c>
      <c r="N49" s="39">
        <f t="shared" si="1"/>
        <v>0</v>
      </c>
      <c r="O49" s="38">
        <v>0</v>
      </c>
      <c r="P49" s="38">
        <v>0</v>
      </c>
      <c r="Q49" s="39">
        <f t="shared" si="2"/>
        <v>0</v>
      </c>
      <c r="R49" s="38">
        <v>0</v>
      </c>
      <c r="S49" s="38">
        <v>0</v>
      </c>
      <c r="T49" s="39">
        <f t="shared" si="3"/>
        <v>0</v>
      </c>
      <c r="U49" s="38">
        <v>0</v>
      </c>
      <c r="V49" s="38">
        <v>0</v>
      </c>
      <c r="W49" s="39">
        <f t="shared" si="4"/>
        <v>0</v>
      </c>
      <c r="X49" s="38"/>
      <c r="Y49" s="38"/>
      <c r="Z49" s="39">
        <f t="shared" si="5"/>
        <v>0</v>
      </c>
      <c r="AA49" s="38"/>
      <c r="AB49" s="38"/>
      <c r="AC49" s="39">
        <f t="shared" si="6"/>
        <v>0</v>
      </c>
      <c r="AD49" s="38"/>
      <c r="AE49" s="38"/>
      <c r="AF49" s="39">
        <f t="shared" si="7"/>
        <v>0</v>
      </c>
    </row>
    <row r="50" spans="2:32" ht="15" customHeight="1" x14ac:dyDescent="0.3">
      <c r="B50" s="2" t="s">
        <v>836</v>
      </c>
      <c r="C50" s="4" t="s">
        <v>837</v>
      </c>
      <c r="D50" s="3" t="s">
        <v>857</v>
      </c>
      <c r="E50" s="6" t="s">
        <v>858</v>
      </c>
      <c r="F50" s="6" t="s">
        <v>156</v>
      </c>
      <c r="G50" s="6" t="s">
        <v>709</v>
      </c>
      <c r="H50" s="25">
        <v>28000</v>
      </c>
      <c r="I50" s="38">
        <v>0</v>
      </c>
      <c r="J50" s="38">
        <v>0</v>
      </c>
      <c r="K50" s="39">
        <f t="shared" si="0"/>
        <v>0</v>
      </c>
      <c r="L50" s="38">
        <v>0</v>
      </c>
      <c r="M50" s="38">
        <v>0</v>
      </c>
      <c r="N50" s="39">
        <f t="shared" si="1"/>
        <v>0</v>
      </c>
      <c r="O50" s="38">
        <v>0</v>
      </c>
      <c r="P50" s="38">
        <v>0</v>
      </c>
      <c r="Q50" s="39">
        <f t="shared" si="2"/>
        <v>0</v>
      </c>
      <c r="R50" s="38">
        <v>0</v>
      </c>
      <c r="S50" s="38">
        <v>0</v>
      </c>
      <c r="T50" s="39">
        <f t="shared" si="3"/>
        <v>0</v>
      </c>
      <c r="U50" s="38">
        <v>0</v>
      </c>
      <c r="V50" s="38">
        <v>0</v>
      </c>
      <c r="W50" s="39">
        <f t="shared" si="4"/>
        <v>0</v>
      </c>
      <c r="X50" s="38"/>
      <c r="Y50" s="38"/>
      <c r="Z50" s="39">
        <f t="shared" si="5"/>
        <v>0</v>
      </c>
      <c r="AA50" s="38"/>
      <c r="AB50" s="38"/>
      <c r="AC50" s="39">
        <f t="shared" si="6"/>
        <v>0</v>
      </c>
      <c r="AD50" s="38"/>
      <c r="AE50" s="38"/>
      <c r="AF50" s="39">
        <f t="shared" si="7"/>
        <v>0</v>
      </c>
    </row>
    <row r="51" spans="2:32" ht="15" customHeight="1" x14ac:dyDescent="0.3">
      <c r="B51" s="2" t="s">
        <v>836</v>
      </c>
      <c r="C51" s="4" t="s">
        <v>837</v>
      </c>
      <c r="D51" s="3" t="s">
        <v>857</v>
      </c>
      <c r="E51" s="6" t="s">
        <v>858</v>
      </c>
      <c r="F51" s="6" t="s">
        <v>156</v>
      </c>
      <c r="G51" s="6" t="s">
        <v>716</v>
      </c>
      <c r="H51" s="25">
        <v>39000</v>
      </c>
      <c r="I51" s="38">
        <v>0</v>
      </c>
      <c r="J51" s="38">
        <v>0</v>
      </c>
      <c r="K51" s="39">
        <f t="shared" si="0"/>
        <v>0</v>
      </c>
      <c r="L51" s="38">
        <v>100</v>
      </c>
      <c r="M51" s="38">
        <v>1</v>
      </c>
      <c r="N51" s="39">
        <f t="shared" si="1"/>
        <v>3900000</v>
      </c>
      <c r="O51" s="38">
        <v>0</v>
      </c>
      <c r="P51" s="38">
        <v>0</v>
      </c>
      <c r="Q51" s="39">
        <f t="shared" si="2"/>
        <v>0</v>
      </c>
      <c r="R51" s="38">
        <v>0</v>
      </c>
      <c r="S51" s="38">
        <v>0</v>
      </c>
      <c r="T51" s="39">
        <f t="shared" si="3"/>
        <v>0</v>
      </c>
      <c r="U51" s="38">
        <v>0</v>
      </c>
      <c r="V51" s="38">
        <v>0</v>
      </c>
      <c r="W51" s="39">
        <f t="shared" si="4"/>
        <v>0</v>
      </c>
      <c r="X51" s="38"/>
      <c r="Y51" s="38"/>
      <c r="Z51" s="39">
        <f t="shared" si="5"/>
        <v>0</v>
      </c>
      <c r="AA51" s="38"/>
      <c r="AB51" s="38"/>
      <c r="AC51" s="39">
        <f t="shared" si="6"/>
        <v>0</v>
      </c>
      <c r="AD51" s="38"/>
      <c r="AE51" s="38"/>
      <c r="AF51" s="39">
        <f t="shared" si="7"/>
        <v>0</v>
      </c>
    </row>
    <row r="52" spans="2:32" ht="15" customHeight="1" x14ac:dyDescent="0.3">
      <c r="B52" s="2" t="s">
        <v>836</v>
      </c>
      <c r="C52" s="4" t="s">
        <v>837</v>
      </c>
      <c r="D52" s="3" t="s">
        <v>857</v>
      </c>
      <c r="E52" s="6" t="s">
        <v>858</v>
      </c>
      <c r="F52" s="6" t="s">
        <v>156</v>
      </c>
      <c r="G52" s="6" t="s">
        <v>712</v>
      </c>
      <c r="H52" s="25">
        <v>214.29</v>
      </c>
      <c r="I52" s="38">
        <v>0</v>
      </c>
      <c r="J52" s="38">
        <v>0</v>
      </c>
      <c r="K52" s="39">
        <f t="shared" si="0"/>
        <v>0</v>
      </c>
      <c r="L52" s="38">
        <v>30</v>
      </c>
      <c r="M52" s="38">
        <v>2</v>
      </c>
      <c r="N52" s="39">
        <f t="shared" si="1"/>
        <v>12857.4</v>
      </c>
      <c r="O52" s="38">
        <v>0</v>
      </c>
      <c r="P52" s="38">
        <v>0</v>
      </c>
      <c r="Q52" s="39">
        <f t="shared" si="2"/>
        <v>0</v>
      </c>
      <c r="R52" s="38">
        <v>0</v>
      </c>
      <c r="S52" s="38">
        <v>0</v>
      </c>
      <c r="T52" s="39">
        <f t="shared" si="3"/>
        <v>0</v>
      </c>
      <c r="U52" s="38">
        <v>0</v>
      </c>
      <c r="V52" s="38">
        <v>0</v>
      </c>
      <c r="W52" s="39">
        <f t="shared" si="4"/>
        <v>0</v>
      </c>
      <c r="X52" s="38"/>
      <c r="Y52" s="38"/>
      <c r="Z52" s="39">
        <f t="shared" si="5"/>
        <v>0</v>
      </c>
      <c r="AA52" s="38"/>
      <c r="AB52" s="38"/>
      <c r="AC52" s="39">
        <f t="shared" si="6"/>
        <v>0</v>
      </c>
      <c r="AD52" s="38"/>
      <c r="AE52" s="38"/>
      <c r="AF52" s="39">
        <f t="shared" si="7"/>
        <v>0</v>
      </c>
    </row>
    <row r="53" spans="2:32" ht="15" customHeight="1" x14ac:dyDescent="0.3">
      <c r="B53" s="2" t="s">
        <v>836</v>
      </c>
      <c r="C53" s="4" t="s">
        <v>837</v>
      </c>
      <c r="D53" s="3" t="s">
        <v>857</v>
      </c>
      <c r="E53" s="6" t="s">
        <v>858</v>
      </c>
      <c r="F53" s="6" t="s">
        <v>156</v>
      </c>
      <c r="G53" s="6" t="s">
        <v>711</v>
      </c>
      <c r="H53" s="25">
        <v>70</v>
      </c>
      <c r="I53" s="38">
        <v>0</v>
      </c>
      <c r="J53" s="38">
        <v>0</v>
      </c>
      <c r="K53" s="39">
        <f t="shared" si="0"/>
        <v>0</v>
      </c>
      <c r="L53" s="38">
        <v>20000</v>
      </c>
      <c r="M53" s="38">
        <v>1</v>
      </c>
      <c r="N53" s="39">
        <f t="shared" si="1"/>
        <v>1400000</v>
      </c>
      <c r="O53" s="38">
        <v>0</v>
      </c>
      <c r="P53" s="38">
        <v>0</v>
      </c>
      <c r="Q53" s="39">
        <f t="shared" si="2"/>
        <v>0</v>
      </c>
      <c r="R53" s="38">
        <v>0</v>
      </c>
      <c r="S53" s="38">
        <v>0</v>
      </c>
      <c r="T53" s="39">
        <f t="shared" si="3"/>
        <v>0</v>
      </c>
      <c r="U53" s="38">
        <v>0</v>
      </c>
      <c r="V53" s="38">
        <v>0</v>
      </c>
      <c r="W53" s="39">
        <f t="shared" si="4"/>
        <v>0</v>
      </c>
      <c r="X53" s="38"/>
      <c r="Y53" s="38"/>
      <c r="Z53" s="39">
        <f t="shared" si="5"/>
        <v>0</v>
      </c>
      <c r="AA53" s="38"/>
      <c r="AB53" s="38"/>
      <c r="AC53" s="39">
        <f t="shared" si="6"/>
        <v>0</v>
      </c>
      <c r="AD53" s="38"/>
      <c r="AE53" s="38"/>
      <c r="AF53" s="39">
        <f t="shared" si="7"/>
        <v>0</v>
      </c>
    </row>
    <row r="54" spans="2:32" ht="15" customHeight="1" x14ac:dyDescent="0.3">
      <c r="B54" s="2" t="s">
        <v>836</v>
      </c>
      <c r="C54" s="4" t="s">
        <v>837</v>
      </c>
      <c r="D54" s="3" t="s">
        <v>857</v>
      </c>
      <c r="E54" s="6" t="s">
        <v>858</v>
      </c>
      <c r="F54" s="6" t="s">
        <v>156</v>
      </c>
      <c r="G54" s="6" t="s">
        <v>710</v>
      </c>
      <c r="H54" s="25">
        <v>104850</v>
      </c>
      <c r="I54" s="38">
        <v>0</v>
      </c>
      <c r="J54" s="38">
        <v>0</v>
      </c>
      <c r="K54" s="39">
        <f t="shared" si="0"/>
        <v>0</v>
      </c>
      <c r="L54" s="38">
        <v>50000</v>
      </c>
      <c r="M54" s="38">
        <v>1</v>
      </c>
      <c r="N54" s="39">
        <f t="shared" si="1"/>
        <v>5242500000</v>
      </c>
      <c r="O54" s="38">
        <v>0</v>
      </c>
      <c r="P54" s="38">
        <v>0</v>
      </c>
      <c r="Q54" s="39">
        <f t="shared" si="2"/>
        <v>0</v>
      </c>
      <c r="R54" s="38">
        <v>0</v>
      </c>
      <c r="S54" s="38">
        <v>0</v>
      </c>
      <c r="T54" s="39">
        <f t="shared" si="3"/>
        <v>0</v>
      </c>
      <c r="U54" s="38">
        <v>0</v>
      </c>
      <c r="V54" s="38">
        <v>0</v>
      </c>
      <c r="W54" s="39">
        <f t="shared" si="4"/>
        <v>0</v>
      </c>
      <c r="X54" s="38"/>
      <c r="Y54" s="38"/>
      <c r="Z54" s="39">
        <f t="shared" si="5"/>
        <v>0</v>
      </c>
      <c r="AA54" s="38"/>
      <c r="AB54" s="38"/>
      <c r="AC54" s="39">
        <f t="shared" si="6"/>
        <v>0</v>
      </c>
      <c r="AD54" s="38"/>
      <c r="AE54" s="38"/>
      <c r="AF54" s="39">
        <f t="shared" si="7"/>
        <v>0</v>
      </c>
    </row>
    <row r="55" spans="2:32" ht="15" customHeight="1" x14ac:dyDescent="0.3">
      <c r="B55" s="2" t="s">
        <v>836</v>
      </c>
      <c r="C55" s="4" t="s">
        <v>837</v>
      </c>
      <c r="D55" s="3" t="s">
        <v>857</v>
      </c>
      <c r="E55" s="6" t="s">
        <v>858</v>
      </c>
      <c r="F55" s="6" t="s">
        <v>862</v>
      </c>
      <c r="G55" s="6" t="s">
        <v>841</v>
      </c>
      <c r="H55" s="25">
        <v>0</v>
      </c>
      <c r="I55" s="38">
        <v>0</v>
      </c>
      <c r="J55" s="38">
        <v>0</v>
      </c>
      <c r="K55" s="39">
        <f t="shared" si="0"/>
        <v>0</v>
      </c>
      <c r="L55" s="38">
        <v>5</v>
      </c>
      <c r="M55" s="38">
        <v>1</v>
      </c>
      <c r="N55" s="39">
        <f t="shared" si="1"/>
        <v>0</v>
      </c>
      <c r="O55" s="38">
        <v>0</v>
      </c>
      <c r="P55" s="38">
        <v>0</v>
      </c>
      <c r="Q55" s="39">
        <f t="shared" si="2"/>
        <v>0</v>
      </c>
      <c r="R55" s="38">
        <v>0</v>
      </c>
      <c r="S55" s="38">
        <v>0</v>
      </c>
      <c r="T55" s="39">
        <f t="shared" si="3"/>
        <v>0</v>
      </c>
      <c r="U55" s="38">
        <v>0</v>
      </c>
      <c r="V55" s="38">
        <v>0</v>
      </c>
      <c r="W55" s="39">
        <f t="shared" si="4"/>
        <v>0</v>
      </c>
      <c r="X55" s="38"/>
      <c r="Y55" s="38"/>
      <c r="Z55" s="39">
        <f t="shared" si="5"/>
        <v>0</v>
      </c>
      <c r="AA55" s="38"/>
      <c r="AB55" s="38"/>
      <c r="AC55" s="39">
        <f t="shared" si="6"/>
        <v>0</v>
      </c>
      <c r="AD55" s="38"/>
      <c r="AE55" s="38"/>
      <c r="AF55" s="39">
        <f t="shared" si="7"/>
        <v>0</v>
      </c>
    </row>
    <row r="56" spans="2:32" ht="15" customHeight="1" x14ac:dyDescent="0.3">
      <c r="B56" s="2" t="s">
        <v>836</v>
      </c>
      <c r="C56" s="4" t="s">
        <v>837</v>
      </c>
      <c r="D56" s="3" t="s">
        <v>857</v>
      </c>
      <c r="E56" s="6" t="s">
        <v>863</v>
      </c>
      <c r="F56" s="6" t="s">
        <v>155</v>
      </c>
      <c r="G56" s="6" t="s">
        <v>841</v>
      </c>
      <c r="H56" s="25">
        <v>0</v>
      </c>
      <c r="I56" s="38">
        <v>0</v>
      </c>
      <c r="J56" s="38">
        <v>0</v>
      </c>
      <c r="K56" s="39">
        <f t="shared" si="0"/>
        <v>0</v>
      </c>
      <c r="L56" s="38">
        <v>0</v>
      </c>
      <c r="M56" s="38">
        <v>0</v>
      </c>
      <c r="N56" s="39">
        <f t="shared" si="1"/>
        <v>0</v>
      </c>
      <c r="O56" s="38">
        <v>0</v>
      </c>
      <c r="P56" s="38">
        <v>0</v>
      </c>
      <c r="Q56" s="39">
        <f t="shared" si="2"/>
        <v>0</v>
      </c>
      <c r="R56" s="38">
        <v>0</v>
      </c>
      <c r="S56" s="38">
        <v>0</v>
      </c>
      <c r="T56" s="39">
        <f t="shared" si="3"/>
        <v>0</v>
      </c>
      <c r="U56" s="38">
        <v>0</v>
      </c>
      <c r="V56" s="38">
        <v>0</v>
      </c>
      <c r="W56" s="39">
        <f t="shared" si="4"/>
        <v>0</v>
      </c>
      <c r="X56" s="38"/>
      <c r="Y56" s="38"/>
      <c r="Z56" s="39">
        <f t="shared" si="5"/>
        <v>0</v>
      </c>
      <c r="AA56" s="38"/>
      <c r="AB56" s="38"/>
      <c r="AC56" s="39">
        <f t="shared" si="6"/>
        <v>0</v>
      </c>
      <c r="AD56" s="38"/>
      <c r="AE56" s="38"/>
      <c r="AF56" s="39">
        <f t="shared" si="7"/>
        <v>0</v>
      </c>
    </row>
    <row r="57" spans="2:32" ht="15" customHeight="1" x14ac:dyDescent="0.3">
      <c r="B57" s="2" t="s">
        <v>836</v>
      </c>
      <c r="C57" s="4" t="s">
        <v>837</v>
      </c>
      <c r="D57" s="3" t="s">
        <v>857</v>
      </c>
      <c r="E57" s="6" t="s">
        <v>863</v>
      </c>
      <c r="F57" s="6" t="s">
        <v>864</v>
      </c>
      <c r="G57" s="6" t="s">
        <v>841</v>
      </c>
      <c r="H57" s="25">
        <v>0</v>
      </c>
      <c r="I57" s="38">
        <v>0</v>
      </c>
      <c r="J57" s="38">
        <v>0</v>
      </c>
      <c r="K57" s="39">
        <f t="shared" si="0"/>
        <v>0</v>
      </c>
      <c r="L57" s="38">
        <v>0</v>
      </c>
      <c r="M57" s="38">
        <v>0</v>
      </c>
      <c r="N57" s="39">
        <f t="shared" si="1"/>
        <v>0</v>
      </c>
      <c r="O57" s="38">
        <v>0</v>
      </c>
      <c r="P57" s="38">
        <v>0</v>
      </c>
      <c r="Q57" s="39">
        <f t="shared" si="2"/>
        <v>0</v>
      </c>
      <c r="R57" s="38">
        <v>0</v>
      </c>
      <c r="S57" s="38">
        <v>0</v>
      </c>
      <c r="T57" s="39">
        <f t="shared" si="3"/>
        <v>0</v>
      </c>
      <c r="U57" s="38">
        <v>0</v>
      </c>
      <c r="V57" s="38">
        <v>0</v>
      </c>
      <c r="W57" s="39">
        <f t="shared" si="4"/>
        <v>0</v>
      </c>
      <c r="X57" s="38"/>
      <c r="Y57" s="38"/>
      <c r="Z57" s="39">
        <f t="shared" si="5"/>
        <v>0</v>
      </c>
      <c r="AA57" s="38"/>
      <c r="AB57" s="38"/>
      <c r="AC57" s="39">
        <f t="shared" si="6"/>
        <v>0</v>
      </c>
      <c r="AD57" s="38"/>
      <c r="AE57" s="38"/>
      <c r="AF57" s="39">
        <f t="shared" si="7"/>
        <v>0</v>
      </c>
    </row>
    <row r="58" spans="2:32" ht="15" customHeight="1" x14ac:dyDescent="0.3">
      <c r="B58" s="2" t="s">
        <v>836</v>
      </c>
      <c r="C58" s="4" t="s">
        <v>837</v>
      </c>
      <c r="D58" s="3" t="s">
        <v>857</v>
      </c>
      <c r="E58" s="6" t="s">
        <v>863</v>
      </c>
      <c r="F58" s="6" t="s">
        <v>865</v>
      </c>
      <c r="G58" s="6" t="s">
        <v>707</v>
      </c>
      <c r="H58" s="25">
        <v>391991.03749999998</v>
      </c>
      <c r="I58" s="38">
        <v>0</v>
      </c>
      <c r="J58" s="38">
        <v>0</v>
      </c>
      <c r="K58" s="39">
        <f t="shared" si="0"/>
        <v>0</v>
      </c>
      <c r="L58" s="38">
        <v>0</v>
      </c>
      <c r="M58" s="38">
        <v>0</v>
      </c>
      <c r="N58" s="39">
        <f t="shared" si="1"/>
        <v>0</v>
      </c>
      <c r="O58" s="38">
        <v>0</v>
      </c>
      <c r="P58" s="38">
        <v>0</v>
      </c>
      <c r="Q58" s="39">
        <f t="shared" si="2"/>
        <v>0</v>
      </c>
      <c r="R58" s="38">
        <v>0</v>
      </c>
      <c r="S58" s="38">
        <v>0</v>
      </c>
      <c r="T58" s="39">
        <f t="shared" si="3"/>
        <v>0</v>
      </c>
      <c r="U58" s="38">
        <v>0</v>
      </c>
      <c r="V58" s="38">
        <v>0</v>
      </c>
      <c r="W58" s="39">
        <f t="shared" si="4"/>
        <v>0</v>
      </c>
      <c r="X58" s="38"/>
      <c r="Y58" s="38"/>
      <c r="Z58" s="39">
        <f t="shared" si="5"/>
        <v>0</v>
      </c>
      <c r="AA58" s="38"/>
      <c r="AB58" s="38"/>
      <c r="AC58" s="39">
        <f t="shared" si="6"/>
        <v>0</v>
      </c>
      <c r="AD58" s="38"/>
      <c r="AE58" s="38"/>
      <c r="AF58" s="39">
        <f t="shared" si="7"/>
        <v>0</v>
      </c>
    </row>
    <row r="59" spans="2:32" ht="15" customHeight="1" x14ac:dyDescent="0.3">
      <c r="B59" s="2" t="s">
        <v>836</v>
      </c>
      <c r="C59" s="4" t="s">
        <v>837</v>
      </c>
      <c r="D59" s="3" t="s">
        <v>857</v>
      </c>
      <c r="E59" s="6" t="s">
        <v>863</v>
      </c>
      <c r="F59" s="6" t="s">
        <v>865</v>
      </c>
      <c r="G59" s="6" t="s">
        <v>708</v>
      </c>
      <c r="H59" s="25">
        <v>425000</v>
      </c>
      <c r="I59" s="38">
        <v>0</v>
      </c>
      <c r="J59" s="38">
        <v>0</v>
      </c>
      <c r="K59" s="39">
        <f t="shared" si="0"/>
        <v>0</v>
      </c>
      <c r="L59" s="38">
        <v>0</v>
      </c>
      <c r="M59" s="38">
        <v>0</v>
      </c>
      <c r="N59" s="39">
        <f t="shared" si="1"/>
        <v>0</v>
      </c>
      <c r="O59" s="38">
        <v>1</v>
      </c>
      <c r="P59" s="38">
        <v>6</v>
      </c>
      <c r="Q59" s="39">
        <f t="shared" si="2"/>
        <v>2550000</v>
      </c>
      <c r="R59" s="38">
        <v>0</v>
      </c>
      <c r="S59" s="38">
        <v>0</v>
      </c>
      <c r="T59" s="39">
        <f t="shared" si="3"/>
        <v>0</v>
      </c>
      <c r="U59" s="38">
        <v>0</v>
      </c>
      <c r="V59" s="38">
        <v>0</v>
      </c>
      <c r="W59" s="39">
        <f t="shared" si="4"/>
        <v>0</v>
      </c>
      <c r="X59" s="38"/>
      <c r="Y59" s="38"/>
      <c r="Z59" s="39">
        <f t="shared" si="5"/>
        <v>0</v>
      </c>
      <c r="AA59" s="38"/>
      <c r="AB59" s="38"/>
      <c r="AC59" s="39">
        <f t="shared" si="6"/>
        <v>0</v>
      </c>
      <c r="AD59" s="38"/>
      <c r="AE59" s="38"/>
      <c r="AF59" s="39">
        <f t="shared" si="7"/>
        <v>0</v>
      </c>
    </row>
    <row r="60" spans="2:32" ht="15" customHeight="1" x14ac:dyDescent="0.3">
      <c r="B60" s="2" t="s">
        <v>836</v>
      </c>
      <c r="C60" s="4" t="s">
        <v>837</v>
      </c>
      <c r="D60" s="3" t="s">
        <v>857</v>
      </c>
      <c r="E60" s="6" t="s">
        <v>863</v>
      </c>
      <c r="F60" s="6" t="s">
        <v>157</v>
      </c>
      <c r="G60" s="6" t="s">
        <v>713</v>
      </c>
      <c r="H60" s="25">
        <v>45000</v>
      </c>
      <c r="I60" s="38">
        <v>0</v>
      </c>
      <c r="J60" s="38">
        <v>0</v>
      </c>
      <c r="K60" s="39">
        <f t="shared" si="0"/>
        <v>0</v>
      </c>
      <c r="L60" s="38">
        <v>0</v>
      </c>
      <c r="M60" s="38">
        <v>0</v>
      </c>
      <c r="N60" s="39">
        <f t="shared" si="1"/>
        <v>0</v>
      </c>
      <c r="O60" s="38">
        <v>1</v>
      </c>
      <c r="P60" s="38">
        <v>40</v>
      </c>
      <c r="Q60" s="39">
        <f t="shared" si="2"/>
        <v>1800000</v>
      </c>
      <c r="R60" s="38">
        <v>0</v>
      </c>
      <c r="S60" s="38">
        <v>0</v>
      </c>
      <c r="T60" s="39">
        <f t="shared" si="3"/>
        <v>0</v>
      </c>
      <c r="U60" s="38">
        <v>0</v>
      </c>
      <c r="V60" s="38">
        <v>0</v>
      </c>
      <c r="W60" s="39">
        <f t="shared" si="4"/>
        <v>0</v>
      </c>
      <c r="X60" s="38"/>
      <c r="Y60" s="38"/>
      <c r="Z60" s="39">
        <f t="shared" si="5"/>
        <v>0</v>
      </c>
      <c r="AA60" s="38"/>
      <c r="AB60" s="38"/>
      <c r="AC60" s="39">
        <f t="shared" si="6"/>
        <v>0</v>
      </c>
      <c r="AD60" s="38"/>
      <c r="AE60" s="38"/>
      <c r="AF60" s="39">
        <f t="shared" si="7"/>
        <v>0</v>
      </c>
    </row>
    <row r="61" spans="2:32" ht="15" customHeight="1" x14ac:dyDescent="0.3">
      <c r="B61" s="2" t="s">
        <v>836</v>
      </c>
      <c r="C61" s="4" t="s">
        <v>837</v>
      </c>
      <c r="D61" s="3" t="s">
        <v>857</v>
      </c>
      <c r="E61" s="6" t="s">
        <v>863</v>
      </c>
      <c r="F61" s="6" t="s">
        <v>157</v>
      </c>
      <c r="G61" s="6" t="s">
        <v>712</v>
      </c>
      <c r="H61" s="25">
        <v>214.29</v>
      </c>
      <c r="I61" s="38">
        <v>0</v>
      </c>
      <c r="J61" s="38">
        <v>0</v>
      </c>
      <c r="K61" s="39">
        <f t="shared" si="0"/>
        <v>0</v>
      </c>
      <c r="L61" s="38">
        <v>0</v>
      </c>
      <c r="M61" s="38">
        <v>0</v>
      </c>
      <c r="N61" s="39">
        <f t="shared" si="1"/>
        <v>0</v>
      </c>
      <c r="O61" s="38">
        <v>25</v>
      </c>
      <c r="P61" s="38">
        <v>10</v>
      </c>
      <c r="Q61" s="39">
        <f t="shared" si="2"/>
        <v>53572.5</v>
      </c>
      <c r="R61" s="38">
        <v>0</v>
      </c>
      <c r="S61" s="38">
        <v>0</v>
      </c>
      <c r="T61" s="39">
        <f t="shared" si="3"/>
        <v>0</v>
      </c>
      <c r="U61" s="38">
        <v>0</v>
      </c>
      <c r="V61" s="38">
        <v>0</v>
      </c>
      <c r="W61" s="39">
        <f t="shared" si="4"/>
        <v>0</v>
      </c>
      <c r="X61" s="38"/>
      <c r="Y61" s="38"/>
      <c r="Z61" s="39">
        <f t="shared" si="5"/>
        <v>0</v>
      </c>
      <c r="AA61" s="38"/>
      <c r="AB61" s="38"/>
      <c r="AC61" s="39">
        <f t="shared" si="6"/>
        <v>0</v>
      </c>
      <c r="AD61" s="38"/>
      <c r="AE61" s="38"/>
      <c r="AF61" s="39">
        <f t="shared" si="7"/>
        <v>0</v>
      </c>
    </row>
    <row r="62" spans="2:32" ht="15" customHeight="1" x14ac:dyDescent="0.3">
      <c r="B62" s="2" t="s">
        <v>836</v>
      </c>
      <c r="C62" s="4" t="s">
        <v>837</v>
      </c>
      <c r="D62" s="3" t="s">
        <v>857</v>
      </c>
      <c r="E62" s="6" t="s">
        <v>863</v>
      </c>
      <c r="F62" s="6" t="s">
        <v>157</v>
      </c>
      <c r="G62" s="6" t="s">
        <v>715</v>
      </c>
      <c r="H62" s="25">
        <v>302000</v>
      </c>
      <c r="I62" s="38">
        <v>0</v>
      </c>
      <c r="J62" s="38">
        <v>0</v>
      </c>
      <c r="K62" s="39">
        <f t="shared" si="0"/>
        <v>0</v>
      </c>
      <c r="L62" s="38">
        <v>0</v>
      </c>
      <c r="M62" s="38">
        <v>0</v>
      </c>
      <c r="N62" s="39">
        <f t="shared" si="1"/>
        <v>0</v>
      </c>
      <c r="O62" s="38">
        <v>20000</v>
      </c>
      <c r="P62" s="38">
        <v>1</v>
      </c>
      <c r="Q62" s="39">
        <f t="shared" si="2"/>
        <v>6040000000</v>
      </c>
      <c r="R62" s="38">
        <v>0</v>
      </c>
      <c r="S62" s="38">
        <v>0</v>
      </c>
      <c r="T62" s="39">
        <f t="shared" si="3"/>
        <v>0</v>
      </c>
      <c r="U62" s="38">
        <v>0</v>
      </c>
      <c r="V62" s="38">
        <v>0</v>
      </c>
      <c r="W62" s="39">
        <f t="shared" si="4"/>
        <v>0</v>
      </c>
      <c r="X62" s="38"/>
      <c r="Y62" s="38"/>
      <c r="Z62" s="39">
        <f t="shared" si="5"/>
        <v>0</v>
      </c>
      <c r="AA62" s="38"/>
      <c r="AB62" s="38"/>
      <c r="AC62" s="39">
        <f t="shared" si="6"/>
        <v>0</v>
      </c>
      <c r="AD62" s="38"/>
      <c r="AE62" s="38"/>
      <c r="AF62" s="39">
        <f t="shared" si="7"/>
        <v>0</v>
      </c>
    </row>
    <row r="63" spans="2:32" ht="15" customHeight="1" x14ac:dyDescent="0.3">
      <c r="B63" s="2" t="s">
        <v>836</v>
      </c>
      <c r="C63" s="4" t="s">
        <v>837</v>
      </c>
      <c r="D63" s="3" t="s">
        <v>857</v>
      </c>
      <c r="E63" s="6" t="s">
        <v>863</v>
      </c>
      <c r="F63" s="6" t="s">
        <v>157</v>
      </c>
      <c r="G63" s="6" t="s">
        <v>714</v>
      </c>
      <c r="H63" s="25">
        <v>10000</v>
      </c>
      <c r="I63" s="38">
        <v>0</v>
      </c>
      <c r="J63" s="38">
        <v>0</v>
      </c>
      <c r="K63" s="39">
        <f t="shared" si="0"/>
        <v>0</v>
      </c>
      <c r="L63" s="38">
        <v>0</v>
      </c>
      <c r="M63" s="38">
        <v>0</v>
      </c>
      <c r="N63" s="39">
        <f t="shared" si="1"/>
        <v>0</v>
      </c>
      <c r="O63" s="38">
        <v>20</v>
      </c>
      <c r="P63" s="38">
        <v>1</v>
      </c>
      <c r="Q63" s="39">
        <f t="shared" si="2"/>
        <v>200000</v>
      </c>
      <c r="R63" s="38">
        <v>0</v>
      </c>
      <c r="S63" s="38">
        <v>0</v>
      </c>
      <c r="T63" s="39">
        <f t="shared" si="3"/>
        <v>0</v>
      </c>
      <c r="U63" s="38">
        <v>0</v>
      </c>
      <c r="V63" s="38">
        <v>0</v>
      </c>
      <c r="W63" s="39">
        <f t="shared" si="4"/>
        <v>0</v>
      </c>
      <c r="X63" s="38"/>
      <c r="Y63" s="38"/>
      <c r="Z63" s="39">
        <f t="shared" si="5"/>
        <v>0</v>
      </c>
      <c r="AA63" s="38"/>
      <c r="AB63" s="38"/>
      <c r="AC63" s="39">
        <f t="shared" si="6"/>
        <v>0</v>
      </c>
      <c r="AD63" s="38"/>
      <c r="AE63" s="38"/>
      <c r="AF63" s="39">
        <f t="shared" si="7"/>
        <v>0</v>
      </c>
    </row>
    <row r="64" spans="2:32" ht="15" customHeight="1" x14ac:dyDescent="0.3">
      <c r="B64" s="2" t="s">
        <v>836</v>
      </c>
      <c r="C64" s="4" t="s">
        <v>837</v>
      </c>
      <c r="D64" s="3" t="s">
        <v>857</v>
      </c>
      <c r="E64" s="6" t="s">
        <v>863</v>
      </c>
      <c r="F64" s="6" t="s">
        <v>152</v>
      </c>
      <c r="G64" s="6" t="s">
        <v>709</v>
      </c>
      <c r="H64" s="25">
        <v>28000</v>
      </c>
      <c r="I64" s="38">
        <v>0</v>
      </c>
      <c r="J64" s="38">
        <v>0</v>
      </c>
      <c r="K64" s="39">
        <f t="shared" si="0"/>
        <v>0</v>
      </c>
      <c r="L64" s="38">
        <v>0</v>
      </c>
      <c r="M64" s="38">
        <v>0</v>
      </c>
      <c r="N64" s="39">
        <f t="shared" si="1"/>
        <v>0</v>
      </c>
      <c r="O64" s="38">
        <v>15</v>
      </c>
      <c r="P64" s="38">
        <v>1</v>
      </c>
      <c r="Q64" s="39">
        <f t="shared" si="2"/>
        <v>420000</v>
      </c>
      <c r="R64" s="38">
        <v>0</v>
      </c>
      <c r="S64" s="38">
        <v>0</v>
      </c>
      <c r="T64" s="39">
        <f t="shared" si="3"/>
        <v>0</v>
      </c>
      <c r="U64" s="38">
        <v>0</v>
      </c>
      <c r="V64" s="38">
        <v>0</v>
      </c>
      <c r="W64" s="39">
        <f t="shared" si="4"/>
        <v>0</v>
      </c>
      <c r="X64" s="38"/>
      <c r="Y64" s="38"/>
      <c r="Z64" s="39">
        <f t="shared" si="5"/>
        <v>0</v>
      </c>
      <c r="AA64" s="38"/>
      <c r="AB64" s="38"/>
      <c r="AC64" s="39">
        <f t="shared" si="6"/>
        <v>0</v>
      </c>
      <c r="AD64" s="38"/>
      <c r="AE64" s="38"/>
      <c r="AF64" s="39">
        <f t="shared" si="7"/>
        <v>0</v>
      </c>
    </row>
    <row r="65" spans="2:32" ht="15" customHeight="1" x14ac:dyDescent="0.3">
      <c r="B65" s="2" t="s">
        <v>836</v>
      </c>
      <c r="C65" s="4" t="s">
        <v>837</v>
      </c>
      <c r="D65" s="3" t="s">
        <v>857</v>
      </c>
      <c r="E65" s="6" t="s">
        <v>863</v>
      </c>
      <c r="F65" s="6" t="s">
        <v>152</v>
      </c>
      <c r="G65" s="6" t="s">
        <v>716</v>
      </c>
      <c r="H65" s="25">
        <v>39000</v>
      </c>
      <c r="I65" s="38">
        <v>0</v>
      </c>
      <c r="J65" s="38">
        <v>0</v>
      </c>
      <c r="K65" s="39">
        <f t="shared" si="0"/>
        <v>0</v>
      </c>
      <c r="L65" s="38">
        <v>0</v>
      </c>
      <c r="M65" s="38">
        <v>0</v>
      </c>
      <c r="N65" s="39">
        <f t="shared" si="1"/>
        <v>0</v>
      </c>
      <c r="O65" s="38">
        <v>25</v>
      </c>
      <c r="P65" s="38">
        <v>5</v>
      </c>
      <c r="Q65" s="39">
        <f t="shared" si="2"/>
        <v>4875000</v>
      </c>
      <c r="R65" s="38">
        <v>0</v>
      </c>
      <c r="S65" s="38">
        <v>0</v>
      </c>
      <c r="T65" s="39">
        <f t="shared" si="3"/>
        <v>0</v>
      </c>
      <c r="U65" s="38">
        <v>0</v>
      </c>
      <c r="V65" s="38">
        <v>0</v>
      </c>
      <c r="W65" s="39">
        <f t="shared" si="4"/>
        <v>0</v>
      </c>
      <c r="X65" s="38"/>
      <c r="Y65" s="38"/>
      <c r="Z65" s="39">
        <f t="shared" si="5"/>
        <v>0</v>
      </c>
      <c r="AA65" s="38"/>
      <c r="AB65" s="38"/>
      <c r="AC65" s="39">
        <f t="shared" si="6"/>
        <v>0</v>
      </c>
      <c r="AD65" s="38"/>
      <c r="AE65" s="38"/>
      <c r="AF65" s="39">
        <f t="shared" si="7"/>
        <v>0</v>
      </c>
    </row>
    <row r="66" spans="2:32" ht="15" customHeight="1" x14ac:dyDescent="0.3">
      <c r="B66" s="2" t="s">
        <v>836</v>
      </c>
      <c r="C66" s="4" t="s">
        <v>837</v>
      </c>
      <c r="D66" s="3" t="s">
        <v>857</v>
      </c>
      <c r="E66" s="6" t="s">
        <v>863</v>
      </c>
      <c r="F66" s="6" t="s">
        <v>152</v>
      </c>
      <c r="G66" s="6" t="s">
        <v>712</v>
      </c>
      <c r="H66" s="25">
        <v>214.29</v>
      </c>
      <c r="I66" s="38">
        <v>0</v>
      </c>
      <c r="J66" s="38">
        <v>0</v>
      </c>
      <c r="K66" s="39">
        <f t="shared" si="0"/>
        <v>0</v>
      </c>
      <c r="L66" s="38">
        <v>0</v>
      </c>
      <c r="M66" s="38">
        <v>0</v>
      </c>
      <c r="N66" s="39">
        <f t="shared" si="1"/>
        <v>0</v>
      </c>
      <c r="O66" s="38">
        <v>25</v>
      </c>
      <c r="P66" s="38">
        <v>5</v>
      </c>
      <c r="Q66" s="39">
        <f t="shared" si="2"/>
        <v>26786.25</v>
      </c>
      <c r="R66" s="38">
        <v>0</v>
      </c>
      <c r="S66" s="38">
        <v>0</v>
      </c>
      <c r="T66" s="39">
        <f t="shared" si="3"/>
        <v>0</v>
      </c>
      <c r="U66" s="38">
        <v>0</v>
      </c>
      <c r="V66" s="38">
        <v>0</v>
      </c>
      <c r="W66" s="39">
        <f t="shared" si="4"/>
        <v>0</v>
      </c>
      <c r="X66" s="38"/>
      <c r="Y66" s="38"/>
      <c r="Z66" s="39">
        <f t="shared" si="5"/>
        <v>0</v>
      </c>
      <c r="AA66" s="38"/>
      <c r="AB66" s="38"/>
      <c r="AC66" s="39">
        <f t="shared" si="6"/>
        <v>0</v>
      </c>
      <c r="AD66" s="38"/>
      <c r="AE66" s="38"/>
      <c r="AF66" s="39">
        <f t="shared" si="7"/>
        <v>0</v>
      </c>
    </row>
    <row r="67" spans="2:32" ht="15" customHeight="1" x14ac:dyDescent="0.3">
      <c r="B67" s="2" t="s">
        <v>836</v>
      </c>
      <c r="C67" s="4" t="s">
        <v>837</v>
      </c>
      <c r="D67" s="3" t="s">
        <v>857</v>
      </c>
      <c r="E67" s="6" t="s">
        <v>863</v>
      </c>
      <c r="F67" s="6" t="s">
        <v>861</v>
      </c>
      <c r="G67" s="6" t="s">
        <v>841</v>
      </c>
      <c r="H67" s="25">
        <v>0</v>
      </c>
      <c r="I67" s="38">
        <v>0</v>
      </c>
      <c r="J67" s="38">
        <v>0</v>
      </c>
      <c r="K67" s="39">
        <f t="shared" ref="K67:K130" si="8">H67*I67*J67</f>
        <v>0</v>
      </c>
      <c r="L67" s="38">
        <v>0</v>
      </c>
      <c r="M67" s="38">
        <v>0</v>
      </c>
      <c r="N67" s="39">
        <f t="shared" ref="N67:N130" si="9">H67*L67*M67</f>
        <v>0</v>
      </c>
      <c r="O67" s="38">
        <v>4000</v>
      </c>
      <c r="P67" s="38">
        <v>1</v>
      </c>
      <c r="Q67" s="39">
        <f t="shared" ref="Q67:Q130" si="10">H67*O67*P67</f>
        <v>0</v>
      </c>
      <c r="R67" s="38">
        <v>0</v>
      </c>
      <c r="S67" s="38">
        <v>0</v>
      </c>
      <c r="T67" s="39">
        <f t="shared" ref="T67:T130" si="11">H67*R67*S67</f>
        <v>0</v>
      </c>
      <c r="U67" s="38">
        <v>0</v>
      </c>
      <c r="V67" s="38">
        <v>0</v>
      </c>
      <c r="W67" s="39">
        <f t="shared" ref="W67:W130" si="12">H67*U67*V67</f>
        <v>0</v>
      </c>
      <c r="X67" s="38"/>
      <c r="Y67" s="38"/>
      <c r="Z67" s="39">
        <f t="shared" ref="Z67:Z130" si="13">H67*X67*Y67</f>
        <v>0</v>
      </c>
      <c r="AA67" s="38"/>
      <c r="AB67" s="38"/>
      <c r="AC67" s="39">
        <f t="shared" ref="AC67:AC130" si="14">H67*AA67*AB67</f>
        <v>0</v>
      </c>
      <c r="AD67" s="38"/>
      <c r="AE67" s="38"/>
      <c r="AF67" s="39">
        <f t="shared" ref="AF67:AF130" si="15">H67*AD67*AE67</f>
        <v>0</v>
      </c>
    </row>
    <row r="68" spans="2:32" ht="15" customHeight="1" x14ac:dyDescent="0.3">
      <c r="B68" s="2" t="s">
        <v>836</v>
      </c>
      <c r="C68" s="4" t="s">
        <v>837</v>
      </c>
      <c r="D68" s="3" t="s">
        <v>857</v>
      </c>
      <c r="E68" s="6" t="s">
        <v>863</v>
      </c>
      <c r="F68" s="6" t="s">
        <v>156</v>
      </c>
      <c r="G68" s="6" t="s">
        <v>709</v>
      </c>
      <c r="H68" s="25">
        <v>28000</v>
      </c>
      <c r="I68" s="38">
        <v>0</v>
      </c>
      <c r="J68" s="38">
        <v>0</v>
      </c>
      <c r="K68" s="39">
        <f t="shared" si="8"/>
        <v>0</v>
      </c>
      <c r="L68" s="38">
        <v>0</v>
      </c>
      <c r="M68" s="38">
        <v>0</v>
      </c>
      <c r="N68" s="39">
        <f t="shared" si="9"/>
        <v>0</v>
      </c>
      <c r="O68" s="38">
        <v>0</v>
      </c>
      <c r="P68" s="38">
        <v>0</v>
      </c>
      <c r="Q68" s="39">
        <f t="shared" si="10"/>
        <v>0</v>
      </c>
      <c r="R68" s="38">
        <v>0</v>
      </c>
      <c r="S68" s="38">
        <v>0</v>
      </c>
      <c r="T68" s="39">
        <f t="shared" si="11"/>
        <v>0</v>
      </c>
      <c r="U68" s="38">
        <v>0</v>
      </c>
      <c r="V68" s="38">
        <v>0</v>
      </c>
      <c r="W68" s="39">
        <f t="shared" si="12"/>
        <v>0</v>
      </c>
      <c r="X68" s="38"/>
      <c r="Y68" s="38"/>
      <c r="Z68" s="39">
        <f t="shared" si="13"/>
        <v>0</v>
      </c>
      <c r="AA68" s="38"/>
      <c r="AB68" s="38"/>
      <c r="AC68" s="39">
        <f t="shared" si="14"/>
        <v>0</v>
      </c>
      <c r="AD68" s="38"/>
      <c r="AE68" s="38"/>
      <c r="AF68" s="39">
        <f t="shared" si="15"/>
        <v>0</v>
      </c>
    </row>
    <row r="69" spans="2:32" ht="15" customHeight="1" x14ac:dyDescent="0.3">
      <c r="B69" s="2" t="s">
        <v>836</v>
      </c>
      <c r="C69" s="4" t="s">
        <v>837</v>
      </c>
      <c r="D69" s="3" t="s">
        <v>857</v>
      </c>
      <c r="E69" s="6" t="s">
        <v>863</v>
      </c>
      <c r="F69" s="6" t="s">
        <v>156</v>
      </c>
      <c r="G69" s="6" t="s">
        <v>716</v>
      </c>
      <c r="H69" s="25">
        <v>39000</v>
      </c>
      <c r="I69" s="38">
        <v>0</v>
      </c>
      <c r="J69" s="38">
        <v>0</v>
      </c>
      <c r="K69" s="39">
        <f t="shared" si="8"/>
        <v>0</v>
      </c>
      <c r="L69" s="38">
        <v>0</v>
      </c>
      <c r="M69" s="38">
        <v>0</v>
      </c>
      <c r="N69" s="39">
        <f t="shared" si="9"/>
        <v>0</v>
      </c>
      <c r="O69" s="38">
        <v>100</v>
      </c>
      <c r="P69" s="38">
        <v>1</v>
      </c>
      <c r="Q69" s="39">
        <f t="shared" si="10"/>
        <v>3900000</v>
      </c>
      <c r="R69" s="38">
        <v>0</v>
      </c>
      <c r="S69" s="38">
        <v>0</v>
      </c>
      <c r="T69" s="39">
        <f t="shared" si="11"/>
        <v>0</v>
      </c>
      <c r="U69" s="38">
        <v>0</v>
      </c>
      <c r="V69" s="38">
        <v>0</v>
      </c>
      <c r="W69" s="39">
        <f t="shared" si="12"/>
        <v>0</v>
      </c>
      <c r="X69" s="38"/>
      <c r="Y69" s="38"/>
      <c r="Z69" s="39">
        <f t="shared" si="13"/>
        <v>0</v>
      </c>
      <c r="AA69" s="38"/>
      <c r="AB69" s="38"/>
      <c r="AC69" s="39">
        <f t="shared" si="14"/>
        <v>0</v>
      </c>
      <c r="AD69" s="38"/>
      <c r="AE69" s="38"/>
      <c r="AF69" s="39">
        <f t="shared" si="15"/>
        <v>0</v>
      </c>
    </row>
    <row r="70" spans="2:32" ht="15" customHeight="1" x14ac:dyDescent="0.3">
      <c r="B70" s="2" t="s">
        <v>836</v>
      </c>
      <c r="C70" s="4" t="s">
        <v>837</v>
      </c>
      <c r="D70" s="3" t="s">
        <v>857</v>
      </c>
      <c r="E70" s="6" t="s">
        <v>863</v>
      </c>
      <c r="F70" s="6" t="s">
        <v>156</v>
      </c>
      <c r="G70" s="6" t="s">
        <v>711</v>
      </c>
      <c r="H70" s="25">
        <v>70</v>
      </c>
      <c r="I70" s="38">
        <v>0</v>
      </c>
      <c r="J70" s="38">
        <v>0</v>
      </c>
      <c r="K70" s="39">
        <f t="shared" si="8"/>
        <v>0</v>
      </c>
      <c r="L70" s="38">
        <v>0</v>
      </c>
      <c r="M70" s="38">
        <v>0</v>
      </c>
      <c r="N70" s="39">
        <f t="shared" si="9"/>
        <v>0</v>
      </c>
      <c r="O70" s="38">
        <v>30</v>
      </c>
      <c r="P70" s="38">
        <v>2</v>
      </c>
      <c r="Q70" s="39">
        <f t="shared" si="10"/>
        <v>4200</v>
      </c>
      <c r="R70" s="38">
        <v>0</v>
      </c>
      <c r="S70" s="38">
        <v>0</v>
      </c>
      <c r="T70" s="39">
        <f t="shared" si="11"/>
        <v>0</v>
      </c>
      <c r="U70" s="38">
        <v>0</v>
      </c>
      <c r="V70" s="38">
        <v>0</v>
      </c>
      <c r="W70" s="39">
        <f t="shared" si="12"/>
        <v>0</v>
      </c>
      <c r="X70" s="38"/>
      <c r="Y70" s="38"/>
      <c r="Z70" s="39">
        <f t="shared" si="13"/>
        <v>0</v>
      </c>
      <c r="AA70" s="38"/>
      <c r="AB70" s="38"/>
      <c r="AC70" s="39">
        <f t="shared" si="14"/>
        <v>0</v>
      </c>
      <c r="AD70" s="38"/>
      <c r="AE70" s="38"/>
      <c r="AF70" s="39">
        <f t="shared" si="15"/>
        <v>0</v>
      </c>
    </row>
    <row r="71" spans="2:32" ht="15" customHeight="1" x14ac:dyDescent="0.3">
      <c r="B71" s="2" t="s">
        <v>836</v>
      </c>
      <c r="C71" s="4" t="s">
        <v>837</v>
      </c>
      <c r="D71" s="3" t="s">
        <v>857</v>
      </c>
      <c r="E71" s="6" t="s">
        <v>863</v>
      </c>
      <c r="F71" s="6" t="s">
        <v>156</v>
      </c>
      <c r="G71" s="6" t="s">
        <v>717</v>
      </c>
      <c r="H71" s="25">
        <v>104850</v>
      </c>
      <c r="I71" s="38">
        <v>0</v>
      </c>
      <c r="J71" s="38">
        <v>0</v>
      </c>
      <c r="K71" s="39">
        <f t="shared" si="8"/>
        <v>0</v>
      </c>
      <c r="L71" s="38">
        <v>0</v>
      </c>
      <c r="M71" s="38">
        <v>0</v>
      </c>
      <c r="N71" s="39">
        <f t="shared" si="9"/>
        <v>0</v>
      </c>
      <c r="O71" s="38">
        <v>50000</v>
      </c>
      <c r="P71" s="38">
        <v>1</v>
      </c>
      <c r="Q71" s="39">
        <f t="shared" si="10"/>
        <v>5242500000</v>
      </c>
      <c r="R71" s="38">
        <v>0</v>
      </c>
      <c r="S71" s="38">
        <v>0</v>
      </c>
      <c r="T71" s="39">
        <f t="shared" si="11"/>
        <v>0</v>
      </c>
      <c r="U71" s="38">
        <v>0</v>
      </c>
      <c r="V71" s="38">
        <v>0</v>
      </c>
      <c r="W71" s="39">
        <f t="shared" si="12"/>
        <v>0</v>
      </c>
      <c r="X71" s="38"/>
      <c r="Y71" s="38"/>
      <c r="Z71" s="39">
        <f t="shared" si="13"/>
        <v>0</v>
      </c>
      <c r="AA71" s="38"/>
      <c r="AB71" s="38"/>
      <c r="AC71" s="39">
        <f t="shared" si="14"/>
        <v>0</v>
      </c>
      <c r="AD71" s="38"/>
      <c r="AE71" s="38"/>
      <c r="AF71" s="39">
        <f t="shared" si="15"/>
        <v>0</v>
      </c>
    </row>
    <row r="72" spans="2:32" ht="15" customHeight="1" x14ac:dyDescent="0.3">
      <c r="B72" s="2" t="s">
        <v>836</v>
      </c>
      <c r="C72" s="4" t="s">
        <v>837</v>
      </c>
      <c r="D72" s="3" t="s">
        <v>857</v>
      </c>
      <c r="E72" s="6" t="s">
        <v>866</v>
      </c>
      <c r="F72" s="6" t="s">
        <v>840</v>
      </c>
      <c r="G72" s="6" t="s">
        <v>841</v>
      </c>
      <c r="H72" s="25">
        <v>0</v>
      </c>
      <c r="I72" s="38">
        <v>0</v>
      </c>
      <c r="J72" s="38">
        <v>0</v>
      </c>
      <c r="K72" s="39">
        <f t="shared" si="8"/>
        <v>0</v>
      </c>
      <c r="L72" s="38">
        <v>0</v>
      </c>
      <c r="M72" s="38">
        <v>0</v>
      </c>
      <c r="N72" s="39">
        <f t="shared" si="9"/>
        <v>0</v>
      </c>
      <c r="O72" s="38">
        <v>5</v>
      </c>
      <c r="P72" s="38">
        <v>1</v>
      </c>
      <c r="Q72" s="39">
        <f t="shared" si="10"/>
        <v>0</v>
      </c>
      <c r="R72" s="38">
        <v>0</v>
      </c>
      <c r="S72" s="38">
        <v>0</v>
      </c>
      <c r="T72" s="39">
        <f t="shared" si="11"/>
        <v>0</v>
      </c>
      <c r="U72" s="38">
        <v>0</v>
      </c>
      <c r="V72" s="38">
        <v>0</v>
      </c>
      <c r="W72" s="39">
        <f t="shared" si="12"/>
        <v>0</v>
      </c>
      <c r="X72" s="38"/>
      <c r="Y72" s="38"/>
      <c r="Z72" s="39">
        <f t="shared" si="13"/>
        <v>0</v>
      </c>
      <c r="AA72" s="38"/>
      <c r="AB72" s="38"/>
      <c r="AC72" s="39">
        <f t="shared" si="14"/>
        <v>0</v>
      </c>
      <c r="AD72" s="38"/>
      <c r="AE72" s="38"/>
      <c r="AF72" s="39">
        <f t="shared" si="15"/>
        <v>0</v>
      </c>
    </row>
    <row r="73" spans="2:32" ht="15" customHeight="1" x14ac:dyDescent="0.3">
      <c r="B73" s="2" t="s">
        <v>836</v>
      </c>
      <c r="C73" s="4" t="s">
        <v>837</v>
      </c>
      <c r="D73" s="3" t="s">
        <v>857</v>
      </c>
      <c r="E73" s="6" t="s">
        <v>866</v>
      </c>
      <c r="F73" s="6" t="s">
        <v>158</v>
      </c>
      <c r="G73" s="6" t="s">
        <v>841</v>
      </c>
      <c r="H73" s="25">
        <v>0</v>
      </c>
      <c r="I73" s="38">
        <v>0</v>
      </c>
      <c r="J73" s="38">
        <v>0</v>
      </c>
      <c r="K73" s="39">
        <f t="shared" si="8"/>
        <v>0</v>
      </c>
      <c r="L73" s="38">
        <v>0</v>
      </c>
      <c r="M73" s="38">
        <v>0</v>
      </c>
      <c r="N73" s="39">
        <f t="shared" si="9"/>
        <v>0</v>
      </c>
      <c r="O73" s="38"/>
      <c r="P73" s="38"/>
      <c r="Q73" s="39">
        <f t="shared" si="10"/>
        <v>0</v>
      </c>
      <c r="R73" s="38">
        <v>0</v>
      </c>
      <c r="S73" s="38">
        <v>0</v>
      </c>
      <c r="T73" s="39">
        <f t="shared" si="11"/>
        <v>0</v>
      </c>
      <c r="U73" s="38">
        <v>0</v>
      </c>
      <c r="V73" s="38">
        <v>0</v>
      </c>
      <c r="W73" s="39">
        <f t="shared" si="12"/>
        <v>0</v>
      </c>
      <c r="X73" s="38"/>
      <c r="Y73" s="38"/>
      <c r="Z73" s="39">
        <f t="shared" si="13"/>
        <v>0</v>
      </c>
      <c r="AA73" s="38"/>
      <c r="AB73" s="38"/>
      <c r="AC73" s="39">
        <f t="shared" si="14"/>
        <v>0</v>
      </c>
      <c r="AD73" s="38"/>
      <c r="AE73" s="38"/>
      <c r="AF73" s="39">
        <f t="shared" si="15"/>
        <v>0</v>
      </c>
    </row>
    <row r="74" spans="2:32" ht="15" customHeight="1" x14ac:dyDescent="0.3">
      <c r="B74" s="2" t="s">
        <v>836</v>
      </c>
      <c r="C74" s="4" t="s">
        <v>837</v>
      </c>
      <c r="D74" s="3" t="s">
        <v>857</v>
      </c>
      <c r="E74" s="6" t="s">
        <v>866</v>
      </c>
      <c r="F74" s="6" t="s">
        <v>867</v>
      </c>
      <c r="G74" s="6" t="s">
        <v>707</v>
      </c>
      <c r="H74" s="25">
        <v>391991.03749999998</v>
      </c>
      <c r="I74" s="38">
        <v>0</v>
      </c>
      <c r="J74" s="38">
        <v>0</v>
      </c>
      <c r="K74" s="39">
        <f t="shared" si="8"/>
        <v>0</v>
      </c>
      <c r="L74" s="38">
        <v>0</v>
      </c>
      <c r="M74" s="38">
        <v>0</v>
      </c>
      <c r="N74" s="39">
        <f t="shared" si="9"/>
        <v>0</v>
      </c>
      <c r="O74" s="38"/>
      <c r="P74" s="38"/>
      <c r="Q74" s="39">
        <f t="shared" si="10"/>
        <v>0</v>
      </c>
      <c r="R74" s="38">
        <v>0</v>
      </c>
      <c r="S74" s="38">
        <v>0</v>
      </c>
      <c r="T74" s="39">
        <f t="shared" si="11"/>
        <v>0</v>
      </c>
      <c r="U74" s="38">
        <v>0</v>
      </c>
      <c r="V74" s="38">
        <v>0</v>
      </c>
      <c r="W74" s="39">
        <f t="shared" si="12"/>
        <v>0</v>
      </c>
      <c r="X74" s="38"/>
      <c r="Y74" s="38"/>
      <c r="Z74" s="39">
        <f t="shared" si="13"/>
        <v>0</v>
      </c>
      <c r="AA74" s="38"/>
      <c r="AB74" s="38"/>
      <c r="AC74" s="39">
        <f t="shared" si="14"/>
        <v>0</v>
      </c>
      <c r="AD74" s="38"/>
      <c r="AE74" s="38"/>
      <c r="AF74" s="39">
        <f t="shared" si="15"/>
        <v>0</v>
      </c>
    </row>
    <row r="75" spans="2:32" ht="15" customHeight="1" x14ac:dyDescent="0.3">
      <c r="B75" s="2" t="s">
        <v>836</v>
      </c>
      <c r="C75" s="4" t="s">
        <v>837</v>
      </c>
      <c r="D75" s="3" t="s">
        <v>857</v>
      </c>
      <c r="E75" s="6" t="s">
        <v>866</v>
      </c>
      <c r="F75" s="6" t="s">
        <v>867</v>
      </c>
      <c r="G75" s="6" t="s">
        <v>708</v>
      </c>
      <c r="H75" s="25">
        <v>425000</v>
      </c>
      <c r="I75" s="38">
        <v>0</v>
      </c>
      <c r="J75" s="38">
        <v>0</v>
      </c>
      <c r="K75" s="39">
        <f t="shared" si="8"/>
        <v>0</v>
      </c>
      <c r="L75" s="38">
        <v>0</v>
      </c>
      <c r="M75" s="38">
        <v>0</v>
      </c>
      <c r="N75" s="39">
        <f t="shared" si="9"/>
        <v>0</v>
      </c>
      <c r="O75" s="38">
        <v>1</v>
      </c>
      <c r="P75" s="38">
        <v>6</v>
      </c>
      <c r="Q75" s="39">
        <f t="shared" si="10"/>
        <v>2550000</v>
      </c>
      <c r="R75" s="38">
        <v>0</v>
      </c>
      <c r="S75" s="38">
        <v>0</v>
      </c>
      <c r="T75" s="39">
        <f t="shared" si="11"/>
        <v>0</v>
      </c>
      <c r="U75" s="38">
        <v>0</v>
      </c>
      <c r="V75" s="38">
        <v>0</v>
      </c>
      <c r="W75" s="39">
        <f t="shared" si="12"/>
        <v>0</v>
      </c>
      <c r="X75" s="38"/>
      <c r="Y75" s="38"/>
      <c r="Z75" s="39">
        <f t="shared" si="13"/>
        <v>0</v>
      </c>
      <c r="AA75" s="38"/>
      <c r="AB75" s="38"/>
      <c r="AC75" s="39">
        <f t="shared" si="14"/>
        <v>0</v>
      </c>
      <c r="AD75" s="38"/>
      <c r="AE75" s="38"/>
      <c r="AF75" s="39">
        <f t="shared" si="15"/>
        <v>0</v>
      </c>
    </row>
    <row r="76" spans="2:32" ht="15" customHeight="1" x14ac:dyDescent="0.3">
      <c r="B76" s="2" t="s">
        <v>836</v>
      </c>
      <c r="C76" s="4" t="s">
        <v>837</v>
      </c>
      <c r="D76" s="3" t="s">
        <v>857</v>
      </c>
      <c r="E76" s="6" t="s">
        <v>866</v>
      </c>
      <c r="F76" s="6" t="s">
        <v>151</v>
      </c>
      <c r="G76" s="6" t="s">
        <v>713</v>
      </c>
      <c r="H76" s="25">
        <v>45000</v>
      </c>
      <c r="I76" s="38">
        <v>0</v>
      </c>
      <c r="J76" s="38">
        <v>0</v>
      </c>
      <c r="K76" s="39">
        <f t="shared" si="8"/>
        <v>0</v>
      </c>
      <c r="L76" s="38">
        <v>0</v>
      </c>
      <c r="M76" s="38">
        <v>0</v>
      </c>
      <c r="N76" s="39">
        <f t="shared" si="9"/>
        <v>0</v>
      </c>
      <c r="O76" s="38">
        <v>1</v>
      </c>
      <c r="P76" s="38">
        <v>40</v>
      </c>
      <c r="Q76" s="39">
        <f t="shared" si="10"/>
        <v>1800000</v>
      </c>
      <c r="R76" s="38">
        <v>0</v>
      </c>
      <c r="S76" s="38">
        <v>0</v>
      </c>
      <c r="T76" s="39">
        <f t="shared" si="11"/>
        <v>0</v>
      </c>
      <c r="U76" s="38">
        <v>0</v>
      </c>
      <c r="V76" s="38">
        <v>0</v>
      </c>
      <c r="W76" s="39">
        <f t="shared" si="12"/>
        <v>0</v>
      </c>
      <c r="X76" s="38"/>
      <c r="Y76" s="38"/>
      <c r="Z76" s="39">
        <f t="shared" si="13"/>
        <v>0</v>
      </c>
      <c r="AA76" s="38"/>
      <c r="AB76" s="38"/>
      <c r="AC76" s="39">
        <f t="shared" si="14"/>
        <v>0</v>
      </c>
      <c r="AD76" s="38"/>
      <c r="AE76" s="38"/>
      <c r="AF76" s="39">
        <f t="shared" si="15"/>
        <v>0</v>
      </c>
    </row>
    <row r="77" spans="2:32" ht="15" customHeight="1" x14ac:dyDescent="0.3">
      <c r="B77" s="2" t="s">
        <v>836</v>
      </c>
      <c r="C77" s="4" t="s">
        <v>837</v>
      </c>
      <c r="D77" s="3" t="s">
        <v>857</v>
      </c>
      <c r="E77" s="6" t="s">
        <v>866</v>
      </c>
      <c r="F77" s="6" t="s">
        <v>151</v>
      </c>
      <c r="G77" s="6" t="s">
        <v>712</v>
      </c>
      <c r="H77" s="25">
        <v>214.29</v>
      </c>
      <c r="I77" s="38">
        <v>0</v>
      </c>
      <c r="J77" s="38">
        <v>0</v>
      </c>
      <c r="K77" s="39">
        <f t="shared" si="8"/>
        <v>0</v>
      </c>
      <c r="L77" s="38">
        <v>0</v>
      </c>
      <c r="M77" s="38">
        <v>0</v>
      </c>
      <c r="N77" s="39">
        <f t="shared" si="9"/>
        <v>0</v>
      </c>
      <c r="O77" s="38">
        <v>25</v>
      </c>
      <c r="P77" s="38">
        <v>10</v>
      </c>
      <c r="Q77" s="39">
        <f t="shared" si="10"/>
        <v>53572.5</v>
      </c>
      <c r="R77" s="38">
        <v>0</v>
      </c>
      <c r="S77" s="38">
        <v>0</v>
      </c>
      <c r="T77" s="39">
        <f t="shared" si="11"/>
        <v>0</v>
      </c>
      <c r="U77" s="38">
        <v>0</v>
      </c>
      <c r="V77" s="38">
        <v>0</v>
      </c>
      <c r="W77" s="39">
        <f t="shared" si="12"/>
        <v>0</v>
      </c>
      <c r="X77" s="38"/>
      <c r="Y77" s="38"/>
      <c r="Z77" s="39">
        <f t="shared" si="13"/>
        <v>0</v>
      </c>
      <c r="AA77" s="38"/>
      <c r="AB77" s="38"/>
      <c r="AC77" s="39">
        <f t="shared" si="14"/>
        <v>0</v>
      </c>
      <c r="AD77" s="38"/>
      <c r="AE77" s="38"/>
      <c r="AF77" s="39">
        <f t="shared" si="15"/>
        <v>0</v>
      </c>
    </row>
    <row r="78" spans="2:32" ht="15" customHeight="1" x14ac:dyDescent="0.3">
      <c r="B78" s="2" t="s">
        <v>836</v>
      </c>
      <c r="C78" s="4" t="s">
        <v>837</v>
      </c>
      <c r="D78" s="3" t="s">
        <v>857</v>
      </c>
      <c r="E78" s="6" t="s">
        <v>866</v>
      </c>
      <c r="F78" s="6" t="s">
        <v>151</v>
      </c>
      <c r="G78" s="6" t="s">
        <v>715</v>
      </c>
      <c r="H78" s="25">
        <v>302000</v>
      </c>
      <c r="I78" s="38">
        <v>0</v>
      </c>
      <c r="J78" s="38">
        <v>0</v>
      </c>
      <c r="K78" s="39">
        <f t="shared" si="8"/>
        <v>0</v>
      </c>
      <c r="L78" s="38">
        <v>0</v>
      </c>
      <c r="M78" s="38">
        <v>0</v>
      </c>
      <c r="N78" s="39">
        <f t="shared" si="9"/>
        <v>0</v>
      </c>
      <c r="O78" s="38">
        <v>20000</v>
      </c>
      <c r="P78" s="38">
        <v>1</v>
      </c>
      <c r="Q78" s="39">
        <f t="shared" si="10"/>
        <v>6040000000</v>
      </c>
      <c r="R78" s="38">
        <v>0</v>
      </c>
      <c r="S78" s="38">
        <v>0</v>
      </c>
      <c r="T78" s="39">
        <f t="shared" si="11"/>
        <v>0</v>
      </c>
      <c r="U78" s="38">
        <v>0</v>
      </c>
      <c r="V78" s="38">
        <v>0</v>
      </c>
      <c r="W78" s="39">
        <f t="shared" si="12"/>
        <v>0</v>
      </c>
      <c r="X78" s="38"/>
      <c r="Y78" s="38"/>
      <c r="Z78" s="39">
        <f t="shared" si="13"/>
        <v>0</v>
      </c>
      <c r="AA78" s="38"/>
      <c r="AB78" s="38"/>
      <c r="AC78" s="39">
        <f t="shared" si="14"/>
        <v>0</v>
      </c>
      <c r="AD78" s="38"/>
      <c r="AE78" s="38"/>
      <c r="AF78" s="39">
        <f t="shared" si="15"/>
        <v>0</v>
      </c>
    </row>
    <row r="79" spans="2:32" ht="15" customHeight="1" x14ac:dyDescent="0.3">
      <c r="B79" s="2" t="s">
        <v>836</v>
      </c>
      <c r="C79" s="4" t="s">
        <v>837</v>
      </c>
      <c r="D79" s="3" t="s">
        <v>857</v>
      </c>
      <c r="E79" s="6" t="s">
        <v>866</v>
      </c>
      <c r="F79" s="6" t="s">
        <v>151</v>
      </c>
      <c r="G79" s="6" t="s">
        <v>714</v>
      </c>
      <c r="H79" s="25">
        <v>10000</v>
      </c>
      <c r="I79" s="38">
        <v>0</v>
      </c>
      <c r="J79" s="38">
        <v>0</v>
      </c>
      <c r="K79" s="39">
        <f t="shared" si="8"/>
        <v>0</v>
      </c>
      <c r="L79" s="38">
        <v>0</v>
      </c>
      <c r="M79" s="38">
        <v>0</v>
      </c>
      <c r="N79" s="39">
        <f t="shared" si="9"/>
        <v>0</v>
      </c>
      <c r="O79" s="38">
        <v>20</v>
      </c>
      <c r="P79" s="38">
        <v>1</v>
      </c>
      <c r="Q79" s="39">
        <f t="shared" si="10"/>
        <v>200000</v>
      </c>
      <c r="R79" s="38">
        <v>0</v>
      </c>
      <c r="S79" s="38">
        <v>0</v>
      </c>
      <c r="T79" s="39">
        <f t="shared" si="11"/>
        <v>0</v>
      </c>
      <c r="U79" s="38">
        <v>0</v>
      </c>
      <c r="V79" s="38">
        <v>0</v>
      </c>
      <c r="W79" s="39">
        <f t="shared" si="12"/>
        <v>0</v>
      </c>
      <c r="X79" s="38"/>
      <c r="Y79" s="38"/>
      <c r="Z79" s="39">
        <f t="shared" si="13"/>
        <v>0</v>
      </c>
      <c r="AA79" s="38"/>
      <c r="AB79" s="38"/>
      <c r="AC79" s="39">
        <f t="shared" si="14"/>
        <v>0</v>
      </c>
      <c r="AD79" s="38"/>
      <c r="AE79" s="38"/>
      <c r="AF79" s="39">
        <f t="shared" si="15"/>
        <v>0</v>
      </c>
    </row>
    <row r="80" spans="2:32" ht="15" customHeight="1" x14ac:dyDescent="0.3">
      <c r="B80" s="2" t="s">
        <v>836</v>
      </c>
      <c r="C80" s="4" t="s">
        <v>837</v>
      </c>
      <c r="D80" s="3" t="s">
        <v>857</v>
      </c>
      <c r="E80" s="6" t="s">
        <v>866</v>
      </c>
      <c r="F80" s="6" t="s">
        <v>152</v>
      </c>
      <c r="G80" s="6" t="s">
        <v>716</v>
      </c>
      <c r="H80" s="25">
        <v>39000</v>
      </c>
      <c r="I80" s="38">
        <v>0</v>
      </c>
      <c r="J80" s="38">
        <v>0</v>
      </c>
      <c r="K80" s="39">
        <f t="shared" si="8"/>
        <v>0</v>
      </c>
      <c r="L80" s="38">
        <v>0</v>
      </c>
      <c r="M80" s="38">
        <v>0</v>
      </c>
      <c r="N80" s="39">
        <f t="shared" si="9"/>
        <v>0</v>
      </c>
      <c r="O80" s="38">
        <v>15</v>
      </c>
      <c r="P80" s="38">
        <v>1</v>
      </c>
      <c r="Q80" s="39">
        <f t="shared" si="10"/>
        <v>585000</v>
      </c>
      <c r="R80" s="38">
        <v>0</v>
      </c>
      <c r="S80" s="38">
        <v>0</v>
      </c>
      <c r="T80" s="39">
        <f t="shared" si="11"/>
        <v>0</v>
      </c>
      <c r="U80" s="38">
        <v>0</v>
      </c>
      <c r="V80" s="38">
        <v>0</v>
      </c>
      <c r="W80" s="39">
        <f t="shared" si="12"/>
        <v>0</v>
      </c>
      <c r="X80" s="38"/>
      <c r="Y80" s="38"/>
      <c r="Z80" s="39">
        <f t="shared" si="13"/>
        <v>0</v>
      </c>
      <c r="AA80" s="38"/>
      <c r="AB80" s="38"/>
      <c r="AC80" s="39">
        <f t="shared" si="14"/>
        <v>0</v>
      </c>
      <c r="AD80" s="38"/>
      <c r="AE80" s="38"/>
      <c r="AF80" s="39">
        <f t="shared" si="15"/>
        <v>0</v>
      </c>
    </row>
    <row r="81" spans="2:32" ht="15" customHeight="1" x14ac:dyDescent="0.3">
      <c r="B81" s="2" t="s">
        <v>836</v>
      </c>
      <c r="C81" s="4" t="s">
        <v>837</v>
      </c>
      <c r="D81" s="3" t="s">
        <v>857</v>
      </c>
      <c r="E81" s="6" t="s">
        <v>866</v>
      </c>
      <c r="F81" s="6" t="s">
        <v>152</v>
      </c>
      <c r="G81" s="6" t="s">
        <v>709</v>
      </c>
      <c r="H81" s="25">
        <v>28000</v>
      </c>
      <c r="I81" s="38">
        <v>0</v>
      </c>
      <c r="J81" s="38">
        <v>0</v>
      </c>
      <c r="K81" s="39">
        <f t="shared" si="8"/>
        <v>0</v>
      </c>
      <c r="L81" s="38">
        <v>0</v>
      </c>
      <c r="M81" s="38">
        <v>0</v>
      </c>
      <c r="N81" s="39">
        <f t="shared" si="9"/>
        <v>0</v>
      </c>
      <c r="O81" s="38">
        <v>25</v>
      </c>
      <c r="P81" s="38">
        <v>5</v>
      </c>
      <c r="Q81" s="39">
        <f t="shared" si="10"/>
        <v>3500000</v>
      </c>
      <c r="R81" s="38">
        <v>0</v>
      </c>
      <c r="S81" s="38">
        <v>0</v>
      </c>
      <c r="T81" s="39">
        <f t="shared" si="11"/>
        <v>0</v>
      </c>
      <c r="U81" s="38">
        <v>0</v>
      </c>
      <c r="V81" s="38">
        <v>0</v>
      </c>
      <c r="W81" s="39">
        <f t="shared" si="12"/>
        <v>0</v>
      </c>
      <c r="X81" s="38"/>
      <c r="Y81" s="38"/>
      <c r="Z81" s="39">
        <f t="shared" si="13"/>
        <v>0</v>
      </c>
      <c r="AA81" s="38"/>
      <c r="AB81" s="38"/>
      <c r="AC81" s="39">
        <f t="shared" si="14"/>
        <v>0</v>
      </c>
      <c r="AD81" s="38"/>
      <c r="AE81" s="38"/>
      <c r="AF81" s="39">
        <f t="shared" si="15"/>
        <v>0</v>
      </c>
    </row>
    <row r="82" spans="2:32" ht="15" customHeight="1" x14ac:dyDescent="0.3">
      <c r="B82" s="2" t="s">
        <v>836</v>
      </c>
      <c r="C82" s="4" t="s">
        <v>837</v>
      </c>
      <c r="D82" s="3" t="s">
        <v>857</v>
      </c>
      <c r="E82" s="6" t="s">
        <v>866</v>
      </c>
      <c r="F82" s="6" t="s">
        <v>152</v>
      </c>
      <c r="G82" s="6" t="s">
        <v>712</v>
      </c>
      <c r="H82" s="25">
        <v>214.29</v>
      </c>
      <c r="I82" s="38">
        <v>0</v>
      </c>
      <c r="J82" s="38">
        <v>0</v>
      </c>
      <c r="K82" s="39">
        <f t="shared" si="8"/>
        <v>0</v>
      </c>
      <c r="L82" s="38">
        <v>0</v>
      </c>
      <c r="M82" s="38">
        <v>0</v>
      </c>
      <c r="N82" s="39">
        <f t="shared" si="9"/>
        <v>0</v>
      </c>
      <c r="O82" s="38">
        <v>25</v>
      </c>
      <c r="P82" s="38">
        <v>5</v>
      </c>
      <c r="Q82" s="39">
        <f t="shared" si="10"/>
        <v>26786.25</v>
      </c>
      <c r="R82" s="38">
        <v>0</v>
      </c>
      <c r="S82" s="38">
        <v>0</v>
      </c>
      <c r="T82" s="39">
        <f t="shared" si="11"/>
        <v>0</v>
      </c>
      <c r="U82" s="38">
        <v>0</v>
      </c>
      <c r="V82" s="38">
        <v>0</v>
      </c>
      <c r="W82" s="39">
        <f t="shared" si="12"/>
        <v>0</v>
      </c>
      <c r="X82" s="38"/>
      <c r="Y82" s="38"/>
      <c r="Z82" s="39">
        <f t="shared" si="13"/>
        <v>0</v>
      </c>
      <c r="AA82" s="38"/>
      <c r="AB82" s="38"/>
      <c r="AC82" s="39">
        <f t="shared" si="14"/>
        <v>0</v>
      </c>
      <c r="AD82" s="38"/>
      <c r="AE82" s="38"/>
      <c r="AF82" s="39">
        <f t="shared" si="15"/>
        <v>0</v>
      </c>
    </row>
    <row r="83" spans="2:32" ht="15" customHeight="1" x14ac:dyDescent="0.3">
      <c r="B83" s="2" t="s">
        <v>836</v>
      </c>
      <c r="C83" s="4" t="s">
        <v>837</v>
      </c>
      <c r="D83" s="3" t="s">
        <v>857</v>
      </c>
      <c r="E83" s="6" t="s">
        <v>866</v>
      </c>
      <c r="F83" s="6" t="s">
        <v>868</v>
      </c>
      <c r="G83" s="6" t="s">
        <v>716</v>
      </c>
      <c r="H83" s="25">
        <v>39000</v>
      </c>
      <c r="I83" s="38">
        <v>0</v>
      </c>
      <c r="J83" s="38">
        <v>0</v>
      </c>
      <c r="K83" s="39">
        <f t="shared" si="8"/>
        <v>0</v>
      </c>
      <c r="L83" s="38">
        <v>0</v>
      </c>
      <c r="M83" s="38">
        <v>0</v>
      </c>
      <c r="N83" s="39">
        <f t="shared" si="9"/>
        <v>0</v>
      </c>
      <c r="O83" s="38">
        <v>4000</v>
      </c>
      <c r="P83" s="38">
        <v>1</v>
      </c>
      <c r="Q83" s="39">
        <f t="shared" si="10"/>
        <v>156000000</v>
      </c>
      <c r="R83" s="38">
        <v>0</v>
      </c>
      <c r="S83" s="38">
        <v>0</v>
      </c>
      <c r="T83" s="39">
        <f t="shared" si="11"/>
        <v>0</v>
      </c>
      <c r="U83" s="38">
        <v>0</v>
      </c>
      <c r="V83" s="38">
        <v>0</v>
      </c>
      <c r="W83" s="39">
        <f t="shared" si="12"/>
        <v>0</v>
      </c>
      <c r="X83" s="38"/>
      <c r="Y83" s="38"/>
      <c r="Z83" s="39">
        <f t="shared" si="13"/>
        <v>0</v>
      </c>
      <c r="AA83" s="38"/>
      <c r="AB83" s="38"/>
      <c r="AC83" s="39">
        <f t="shared" si="14"/>
        <v>0</v>
      </c>
      <c r="AD83" s="38"/>
      <c r="AE83" s="38"/>
      <c r="AF83" s="39">
        <f t="shared" si="15"/>
        <v>0</v>
      </c>
    </row>
    <row r="84" spans="2:32" ht="15" customHeight="1" x14ac:dyDescent="0.3">
      <c r="B84" s="2" t="s">
        <v>836</v>
      </c>
      <c r="C84" s="4" t="s">
        <v>837</v>
      </c>
      <c r="D84" s="3" t="s">
        <v>857</v>
      </c>
      <c r="E84" s="6" t="s">
        <v>866</v>
      </c>
      <c r="F84" s="6" t="s">
        <v>868</v>
      </c>
      <c r="G84" s="6" t="s">
        <v>709</v>
      </c>
      <c r="H84" s="25">
        <v>28000</v>
      </c>
      <c r="I84" s="38">
        <v>0</v>
      </c>
      <c r="J84" s="38">
        <v>0</v>
      </c>
      <c r="K84" s="39">
        <f t="shared" si="8"/>
        <v>0</v>
      </c>
      <c r="L84" s="38">
        <v>0</v>
      </c>
      <c r="M84" s="38">
        <v>0</v>
      </c>
      <c r="N84" s="39">
        <f t="shared" si="9"/>
        <v>0</v>
      </c>
      <c r="O84" s="38">
        <v>25</v>
      </c>
      <c r="P84" s="38">
        <v>5</v>
      </c>
      <c r="Q84" s="39">
        <f t="shared" si="10"/>
        <v>3500000</v>
      </c>
      <c r="R84" s="38">
        <v>0</v>
      </c>
      <c r="S84" s="38">
        <v>0</v>
      </c>
      <c r="T84" s="39">
        <f t="shared" si="11"/>
        <v>0</v>
      </c>
      <c r="U84" s="38">
        <v>0</v>
      </c>
      <c r="V84" s="38">
        <v>0</v>
      </c>
      <c r="W84" s="39">
        <f t="shared" si="12"/>
        <v>0</v>
      </c>
      <c r="X84" s="38"/>
      <c r="Y84" s="38"/>
      <c r="Z84" s="39">
        <f t="shared" si="13"/>
        <v>0</v>
      </c>
      <c r="AA84" s="38"/>
      <c r="AB84" s="38"/>
      <c r="AC84" s="39">
        <f t="shared" si="14"/>
        <v>0</v>
      </c>
      <c r="AD84" s="38"/>
      <c r="AE84" s="38"/>
      <c r="AF84" s="39">
        <f t="shared" si="15"/>
        <v>0</v>
      </c>
    </row>
    <row r="85" spans="2:32" ht="15" customHeight="1" x14ac:dyDescent="0.3">
      <c r="B85" s="2" t="s">
        <v>836</v>
      </c>
      <c r="C85" s="4" t="s">
        <v>837</v>
      </c>
      <c r="D85" s="3" t="s">
        <v>857</v>
      </c>
      <c r="E85" s="6" t="s">
        <v>866</v>
      </c>
      <c r="F85" s="6" t="s">
        <v>868</v>
      </c>
      <c r="G85" s="6" t="s">
        <v>712</v>
      </c>
      <c r="H85" s="25">
        <v>214.29</v>
      </c>
      <c r="I85" s="38">
        <v>0</v>
      </c>
      <c r="J85" s="38">
        <v>0</v>
      </c>
      <c r="K85" s="39">
        <f t="shared" si="8"/>
        <v>0</v>
      </c>
      <c r="L85" s="38">
        <v>0</v>
      </c>
      <c r="M85" s="38">
        <v>0</v>
      </c>
      <c r="N85" s="39">
        <f t="shared" si="9"/>
        <v>0</v>
      </c>
      <c r="O85" s="38">
        <v>25</v>
      </c>
      <c r="P85" s="38">
        <v>5</v>
      </c>
      <c r="Q85" s="39">
        <f t="shared" si="10"/>
        <v>26786.25</v>
      </c>
      <c r="R85" s="38">
        <v>0</v>
      </c>
      <c r="S85" s="38">
        <v>0</v>
      </c>
      <c r="T85" s="39">
        <f t="shared" si="11"/>
        <v>0</v>
      </c>
      <c r="U85" s="38">
        <v>0</v>
      </c>
      <c r="V85" s="38">
        <v>0</v>
      </c>
      <c r="W85" s="39">
        <f t="shared" si="12"/>
        <v>0</v>
      </c>
      <c r="X85" s="38"/>
      <c r="Y85" s="38"/>
      <c r="Z85" s="39">
        <f t="shared" si="13"/>
        <v>0</v>
      </c>
      <c r="AA85" s="38"/>
      <c r="AB85" s="38"/>
      <c r="AC85" s="39">
        <f t="shared" si="14"/>
        <v>0</v>
      </c>
      <c r="AD85" s="38"/>
      <c r="AE85" s="38"/>
      <c r="AF85" s="39">
        <f t="shared" si="15"/>
        <v>0</v>
      </c>
    </row>
    <row r="86" spans="2:32" ht="15" customHeight="1" x14ac:dyDescent="0.3">
      <c r="B86" s="2" t="s">
        <v>836</v>
      </c>
      <c r="C86" s="4" t="s">
        <v>837</v>
      </c>
      <c r="D86" s="3" t="s">
        <v>857</v>
      </c>
      <c r="E86" s="6" t="s">
        <v>866</v>
      </c>
      <c r="F86" s="6" t="s">
        <v>869</v>
      </c>
      <c r="G86" s="6" t="s">
        <v>841</v>
      </c>
      <c r="H86" s="25">
        <v>0</v>
      </c>
      <c r="I86" s="38">
        <v>0</v>
      </c>
      <c r="J86" s="38">
        <v>0</v>
      </c>
      <c r="K86" s="39">
        <f t="shared" si="8"/>
        <v>0</v>
      </c>
      <c r="L86" s="38">
        <v>0</v>
      </c>
      <c r="M86" s="38">
        <v>0</v>
      </c>
      <c r="N86" s="39">
        <f t="shared" si="9"/>
        <v>0</v>
      </c>
      <c r="O86" s="38">
        <v>4000</v>
      </c>
      <c r="P86" s="38">
        <v>1</v>
      </c>
      <c r="Q86" s="39">
        <f t="shared" si="10"/>
        <v>0</v>
      </c>
      <c r="R86" s="38">
        <v>0</v>
      </c>
      <c r="S86" s="38">
        <v>0</v>
      </c>
      <c r="T86" s="39">
        <f t="shared" si="11"/>
        <v>0</v>
      </c>
      <c r="U86" s="38">
        <v>0</v>
      </c>
      <c r="V86" s="38">
        <v>0</v>
      </c>
      <c r="W86" s="39">
        <f t="shared" si="12"/>
        <v>0</v>
      </c>
      <c r="X86" s="38"/>
      <c r="Y86" s="38"/>
      <c r="Z86" s="39">
        <f t="shared" si="13"/>
        <v>0</v>
      </c>
      <c r="AA86" s="38"/>
      <c r="AB86" s="38"/>
      <c r="AC86" s="39">
        <f t="shared" si="14"/>
        <v>0</v>
      </c>
      <c r="AD86" s="38"/>
      <c r="AE86" s="38"/>
      <c r="AF86" s="39">
        <f t="shared" si="15"/>
        <v>0</v>
      </c>
    </row>
    <row r="87" spans="2:32" ht="15" customHeight="1" x14ac:dyDescent="0.3">
      <c r="B87" s="2" t="s">
        <v>836</v>
      </c>
      <c r="C87" s="4" t="s">
        <v>837</v>
      </c>
      <c r="D87" s="3" t="s">
        <v>857</v>
      </c>
      <c r="E87" s="6" t="s">
        <v>870</v>
      </c>
      <c r="F87" s="6" t="s">
        <v>155</v>
      </c>
      <c r="G87" s="6" t="s">
        <v>841</v>
      </c>
      <c r="H87" s="25">
        <v>0</v>
      </c>
      <c r="I87" s="38">
        <v>0</v>
      </c>
      <c r="J87" s="38">
        <v>0</v>
      </c>
      <c r="K87" s="39">
        <f t="shared" si="8"/>
        <v>0</v>
      </c>
      <c r="L87" s="38">
        <v>0</v>
      </c>
      <c r="M87" s="38">
        <v>0</v>
      </c>
      <c r="N87" s="39">
        <f t="shared" si="9"/>
        <v>0</v>
      </c>
      <c r="O87" s="38">
        <v>0</v>
      </c>
      <c r="P87" s="38">
        <v>0</v>
      </c>
      <c r="Q87" s="39">
        <f t="shared" si="10"/>
        <v>0</v>
      </c>
      <c r="R87" s="38">
        <v>0</v>
      </c>
      <c r="S87" s="38">
        <v>0</v>
      </c>
      <c r="T87" s="39">
        <f t="shared" si="11"/>
        <v>0</v>
      </c>
      <c r="U87" s="38">
        <v>0</v>
      </c>
      <c r="V87" s="38">
        <v>0</v>
      </c>
      <c r="W87" s="39">
        <f t="shared" si="12"/>
        <v>0</v>
      </c>
      <c r="X87" s="38"/>
      <c r="Y87" s="38"/>
      <c r="Z87" s="39">
        <f t="shared" si="13"/>
        <v>0</v>
      </c>
      <c r="AA87" s="38"/>
      <c r="AB87" s="38"/>
      <c r="AC87" s="39">
        <f t="shared" si="14"/>
        <v>0</v>
      </c>
      <c r="AD87" s="38"/>
      <c r="AE87" s="38"/>
      <c r="AF87" s="39">
        <f t="shared" si="15"/>
        <v>0</v>
      </c>
    </row>
    <row r="88" spans="2:32" ht="15" customHeight="1" x14ac:dyDescent="0.3">
      <c r="B88" s="2" t="s">
        <v>836</v>
      </c>
      <c r="C88" s="4" t="s">
        <v>837</v>
      </c>
      <c r="D88" s="3" t="s">
        <v>857</v>
      </c>
      <c r="E88" s="6" t="s">
        <v>870</v>
      </c>
      <c r="F88" s="6" t="s">
        <v>158</v>
      </c>
      <c r="G88" s="6" t="s">
        <v>841</v>
      </c>
      <c r="H88" s="25">
        <v>0</v>
      </c>
      <c r="I88" s="38">
        <v>0</v>
      </c>
      <c r="J88" s="38">
        <v>0</v>
      </c>
      <c r="K88" s="39">
        <f t="shared" si="8"/>
        <v>0</v>
      </c>
      <c r="L88" s="38">
        <v>0</v>
      </c>
      <c r="M88" s="38">
        <v>0</v>
      </c>
      <c r="N88" s="39">
        <f t="shared" si="9"/>
        <v>0</v>
      </c>
      <c r="O88" s="38">
        <v>0</v>
      </c>
      <c r="P88" s="38">
        <v>0</v>
      </c>
      <c r="Q88" s="39">
        <f t="shared" si="10"/>
        <v>0</v>
      </c>
      <c r="R88" s="38">
        <v>0</v>
      </c>
      <c r="S88" s="38">
        <v>0</v>
      </c>
      <c r="T88" s="39">
        <f t="shared" si="11"/>
        <v>0</v>
      </c>
      <c r="U88" s="38">
        <v>0</v>
      </c>
      <c r="V88" s="38">
        <v>0</v>
      </c>
      <c r="W88" s="39">
        <f t="shared" si="12"/>
        <v>0</v>
      </c>
      <c r="X88" s="38"/>
      <c r="Y88" s="38"/>
      <c r="Z88" s="39">
        <f t="shared" si="13"/>
        <v>0</v>
      </c>
      <c r="AA88" s="38"/>
      <c r="AB88" s="38"/>
      <c r="AC88" s="39">
        <f t="shared" si="14"/>
        <v>0</v>
      </c>
      <c r="AD88" s="38"/>
      <c r="AE88" s="38"/>
      <c r="AF88" s="39">
        <f t="shared" si="15"/>
        <v>0</v>
      </c>
    </row>
    <row r="89" spans="2:32" ht="15" customHeight="1" x14ac:dyDescent="0.3">
      <c r="B89" s="2" t="s">
        <v>836</v>
      </c>
      <c r="C89" s="4" t="s">
        <v>837</v>
      </c>
      <c r="D89" s="3" t="s">
        <v>857</v>
      </c>
      <c r="E89" s="6" t="s">
        <v>870</v>
      </c>
      <c r="F89" s="6" t="s">
        <v>871</v>
      </c>
      <c r="G89" s="6" t="s">
        <v>716</v>
      </c>
      <c r="H89" s="25">
        <v>39000</v>
      </c>
      <c r="I89" s="38">
        <v>0</v>
      </c>
      <c r="J89" s="38">
        <v>0</v>
      </c>
      <c r="K89" s="39">
        <f t="shared" si="8"/>
        <v>0</v>
      </c>
      <c r="L89" s="38">
        <v>0</v>
      </c>
      <c r="M89" s="38">
        <v>0</v>
      </c>
      <c r="N89" s="39">
        <f t="shared" si="9"/>
        <v>0</v>
      </c>
      <c r="O89" s="38">
        <v>0</v>
      </c>
      <c r="P89" s="38">
        <v>0</v>
      </c>
      <c r="Q89" s="39">
        <f t="shared" si="10"/>
        <v>0</v>
      </c>
      <c r="R89" s="38">
        <v>0</v>
      </c>
      <c r="S89" s="38">
        <v>0</v>
      </c>
      <c r="T89" s="39">
        <f t="shared" si="11"/>
        <v>0</v>
      </c>
      <c r="U89" s="38">
        <v>0</v>
      </c>
      <c r="V89" s="38">
        <v>0</v>
      </c>
      <c r="W89" s="39">
        <f t="shared" si="12"/>
        <v>0</v>
      </c>
      <c r="X89" s="38"/>
      <c r="Y89" s="38"/>
      <c r="Z89" s="39">
        <f t="shared" si="13"/>
        <v>0</v>
      </c>
      <c r="AA89" s="38"/>
      <c r="AB89" s="38"/>
      <c r="AC89" s="39">
        <f t="shared" si="14"/>
        <v>0</v>
      </c>
      <c r="AD89" s="38"/>
      <c r="AE89" s="38"/>
      <c r="AF89" s="39">
        <f t="shared" si="15"/>
        <v>0</v>
      </c>
    </row>
    <row r="90" spans="2:32" ht="15" customHeight="1" x14ac:dyDescent="0.3">
      <c r="B90" s="2" t="s">
        <v>836</v>
      </c>
      <c r="C90" s="4" t="s">
        <v>837</v>
      </c>
      <c r="D90" s="3" t="s">
        <v>857</v>
      </c>
      <c r="E90" s="6" t="s">
        <v>870</v>
      </c>
      <c r="F90" s="6" t="s">
        <v>871</v>
      </c>
      <c r="G90" s="6" t="s">
        <v>709</v>
      </c>
      <c r="H90" s="25">
        <v>28000</v>
      </c>
      <c r="I90" s="38">
        <v>0</v>
      </c>
      <c r="J90" s="38">
        <v>0</v>
      </c>
      <c r="K90" s="39">
        <f t="shared" si="8"/>
        <v>0</v>
      </c>
      <c r="L90" s="38">
        <v>20</v>
      </c>
      <c r="M90" s="38">
        <v>5</v>
      </c>
      <c r="N90" s="39">
        <f t="shared" si="9"/>
        <v>2800000</v>
      </c>
      <c r="O90" s="38">
        <v>20</v>
      </c>
      <c r="P90" s="38">
        <v>5</v>
      </c>
      <c r="Q90" s="39">
        <f t="shared" si="10"/>
        <v>2800000</v>
      </c>
      <c r="R90" s="38">
        <v>20</v>
      </c>
      <c r="S90" s="38">
        <v>5</v>
      </c>
      <c r="T90" s="39">
        <f t="shared" si="11"/>
        <v>2800000</v>
      </c>
      <c r="U90" s="38">
        <v>20</v>
      </c>
      <c r="V90" s="38">
        <v>5</v>
      </c>
      <c r="W90" s="39">
        <f t="shared" si="12"/>
        <v>2800000</v>
      </c>
      <c r="X90" s="38"/>
      <c r="Y90" s="38"/>
      <c r="Z90" s="39">
        <f t="shared" si="13"/>
        <v>0</v>
      </c>
      <c r="AA90" s="38"/>
      <c r="AB90" s="38"/>
      <c r="AC90" s="39">
        <f t="shared" si="14"/>
        <v>0</v>
      </c>
      <c r="AD90" s="38"/>
      <c r="AE90" s="38"/>
      <c r="AF90" s="39">
        <f t="shared" si="15"/>
        <v>0</v>
      </c>
    </row>
    <row r="91" spans="2:32" ht="15" customHeight="1" x14ac:dyDescent="0.3">
      <c r="B91" s="2" t="s">
        <v>836</v>
      </c>
      <c r="C91" s="4" t="s">
        <v>837</v>
      </c>
      <c r="D91" s="3" t="s">
        <v>857</v>
      </c>
      <c r="E91" s="6" t="s">
        <v>870</v>
      </c>
      <c r="F91" s="6" t="s">
        <v>871</v>
      </c>
      <c r="G91" s="6" t="s">
        <v>712</v>
      </c>
      <c r="H91" s="25">
        <v>214.29</v>
      </c>
      <c r="I91" s="38">
        <v>0</v>
      </c>
      <c r="J91" s="38">
        <v>0</v>
      </c>
      <c r="K91" s="39">
        <f t="shared" si="8"/>
        <v>0</v>
      </c>
      <c r="L91" s="38">
        <v>20</v>
      </c>
      <c r="M91" s="38">
        <v>5</v>
      </c>
      <c r="N91" s="39">
        <f t="shared" si="9"/>
        <v>21429</v>
      </c>
      <c r="O91" s="38">
        <v>20</v>
      </c>
      <c r="P91" s="38">
        <v>5</v>
      </c>
      <c r="Q91" s="39">
        <f t="shared" si="10"/>
        <v>21429</v>
      </c>
      <c r="R91" s="38">
        <v>20</v>
      </c>
      <c r="S91" s="38">
        <v>5</v>
      </c>
      <c r="T91" s="39">
        <f t="shared" si="11"/>
        <v>21429</v>
      </c>
      <c r="U91" s="38">
        <v>20</v>
      </c>
      <c r="V91" s="38">
        <v>5</v>
      </c>
      <c r="W91" s="39">
        <f t="shared" si="12"/>
        <v>21429</v>
      </c>
      <c r="X91" s="38"/>
      <c r="Y91" s="38"/>
      <c r="Z91" s="39">
        <f t="shared" si="13"/>
        <v>0</v>
      </c>
      <c r="AA91" s="38"/>
      <c r="AB91" s="38"/>
      <c r="AC91" s="39">
        <f t="shared" si="14"/>
        <v>0</v>
      </c>
      <c r="AD91" s="38"/>
      <c r="AE91" s="38"/>
      <c r="AF91" s="39">
        <f t="shared" si="15"/>
        <v>0</v>
      </c>
    </row>
    <row r="92" spans="2:32" ht="15" customHeight="1" x14ac:dyDescent="0.3">
      <c r="B92" s="2" t="s">
        <v>836</v>
      </c>
      <c r="C92" s="4" t="s">
        <v>837</v>
      </c>
      <c r="D92" s="3" t="s">
        <v>857</v>
      </c>
      <c r="E92" s="6" t="s">
        <v>870</v>
      </c>
      <c r="F92" s="6" t="s">
        <v>872</v>
      </c>
      <c r="G92" s="6" t="s">
        <v>716</v>
      </c>
      <c r="H92" s="25">
        <v>39000</v>
      </c>
      <c r="I92" s="38">
        <v>0</v>
      </c>
      <c r="J92" s="38">
        <v>0</v>
      </c>
      <c r="K92" s="39">
        <f t="shared" si="8"/>
        <v>0</v>
      </c>
      <c r="L92" s="38">
        <v>8000</v>
      </c>
      <c r="M92" s="38">
        <v>1</v>
      </c>
      <c r="N92" s="39">
        <f t="shared" si="9"/>
        <v>312000000</v>
      </c>
      <c r="O92" s="38">
        <v>8000</v>
      </c>
      <c r="P92" s="38">
        <v>1</v>
      </c>
      <c r="Q92" s="39">
        <f t="shared" si="10"/>
        <v>312000000</v>
      </c>
      <c r="R92" s="38">
        <v>8000</v>
      </c>
      <c r="S92" s="38">
        <v>1</v>
      </c>
      <c r="T92" s="39">
        <f t="shared" si="11"/>
        <v>312000000</v>
      </c>
      <c r="U92" s="38">
        <v>8000</v>
      </c>
      <c r="V92" s="38">
        <v>1</v>
      </c>
      <c r="W92" s="39">
        <f t="shared" si="12"/>
        <v>312000000</v>
      </c>
      <c r="X92" s="38"/>
      <c r="Y92" s="38"/>
      <c r="Z92" s="39">
        <f t="shared" si="13"/>
        <v>0</v>
      </c>
      <c r="AA92" s="38"/>
      <c r="AB92" s="38"/>
      <c r="AC92" s="39">
        <f t="shared" si="14"/>
        <v>0</v>
      </c>
      <c r="AD92" s="38"/>
      <c r="AE92" s="38"/>
      <c r="AF92" s="39">
        <f t="shared" si="15"/>
        <v>0</v>
      </c>
    </row>
    <row r="93" spans="2:32" ht="15" customHeight="1" x14ac:dyDescent="0.3">
      <c r="B93" s="2" t="s">
        <v>836</v>
      </c>
      <c r="C93" s="4" t="s">
        <v>837</v>
      </c>
      <c r="D93" s="3" t="s">
        <v>857</v>
      </c>
      <c r="E93" s="6" t="s">
        <v>870</v>
      </c>
      <c r="F93" s="6" t="s">
        <v>872</v>
      </c>
      <c r="G93" s="6" t="s">
        <v>709</v>
      </c>
      <c r="H93" s="25">
        <v>28000</v>
      </c>
      <c r="I93" s="38">
        <v>0</v>
      </c>
      <c r="J93" s="38">
        <v>0</v>
      </c>
      <c r="K93" s="39">
        <f t="shared" si="8"/>
        <v>0</v>
      </c>
      <c r="L93" s="38">
        <v>25</v>
      </c>
      <c r="M93" s="38">
        <v>2</v>
      </c>
      <c r="N93" s="39">
        <f t="shared" si="9"/>
        <v>1400000</v>
      </c>
      <c r="O93" s="38">
        <v>25</v>
      </c>
      <c r="P93" s="38">
        <v>2</v>
      </c>
      <c r="Q93" s="39">
        <f t="shared" si="10"/>
        <v>1400000</v>
      </c>
      <c r="R93" s="38">
        <v>25</v>
      </c>
      <c r="S93" s="38">
        <v>2</v>
      </c>
      <c r="T93" s="39">
        <f t="shared" si="11"/>
        <v>1400000</v>
      </c>
      <c r="U93" s="38">
        <v>25</v>
      </c>
      <c r="V93" s="38">
        <v>2</v>
      </c>
      <c r="W93" s="39">
        <f t="shared" si="12"/>
        <v>1400000</v>
      </c>
      <c r="X93" s="38"/>
      <c r="Y93" s="38"/>
      <c r="Z93" s="39">
        <f t="shared" si="13"/>
        <v>0</v>
      </c>
      <c r="AA93" s="38"/>
      <c r="AB93" s="38"/>
      <c r="AC93" s="39">
        <f t="shared" si="14"/>
        <v>0</v>
      </c>
      <c r="AD93" s="38"/>
      <c r="AE93" s="38"/>
      <c r="AF93" s="39">
        <f t="shared" si="15"/>
        <v>0</v>
      </c>
    </row>
    <row r="94" spans="2:32" ht="15" customHeight="1" x14ac:dyDescent="0.3">
      <c r="B94" s="2" t="s">
        <v>836</v>
      </c>
      <c r="C94" s="4" t="s">
        <v>837</v>
      </c>
      <c r="D94" s="3" t="s">
        <v>857</v>
      </c>
      <c r="E94" s="6" t="s">
        <v>870</v>
      </c>
      <c r="F94" s="6" t="s">
        <v>872</v>
      </c>
      <c r="G94" s="6" t="s">
        <v>712</v>
      </c>
      <c r="H94" s="25">
        <v>214.29</v>
      </c>
      <c r="I94" s="38">
        <v>0</v>
      </c>
      <c r="J94" s="38">
        <v>0</v>
      </c>
      <c r="K94" s="39">
        <f t="shared" si="8"/>
        <v>0</v>
      </c>
      <c r="L94" s="38">
        <v>50</v>
      </c>
      <c r="M94" s="38">
        <v>1</v>
      </c>
      <c r="N94" s="39">
        <f t="shared" si="9"/>
        <v>10714.5</v>
      </c>
      <c r="O94" s="38">
        <v>50</v>
      </c>
      <c r="P94" s="38">
        <v>1</v>
      </c>
      <c r="Q94" s="39">
        <f t="shared" si="10"/>
        <v>10714.5</v>
      </c>
      <c r="R94" s="38">
        <v>50</v>
      </c>
      <c r="S94" s="38">
        <v>1</v>
      </c>
      <c r="T94" s="39">
        <f t="shared" si="11"/>
        <v>10714.5</v>
      </c>
      <c r="U94" s="38">
        <v>50</v>
      </c>
      <c r="V94" s="38">
        <v>1</v>
      </c>
      <c r="W94" s="39">
        <f t="shared" si="12"/>
        <v>10714.5</v>
      </c>
      <c r="X94" s="38"/>
      <c r="Y94" s="38"/>
      <c r="Z94" s="39">
        <f t="shared" si="13"/>
        <v>0</v>
      </c>
      <c r="AA94" s="38"/>
      <c r="AB94" s="38"/>
      <c r="AC94" s="39">
        <f t="shared" si="14"/>
        <v>0</v>
      </c>
      <c r="AD94" s="38"/>
      <c r="AE94" s="38"/>
      <c r="AF94" s="39">
        <f t="shared" si="15"/>
        <v>0</v>
      </c>
    </row>
    <row r="95" spans="2:32" ht="15" customHeight="1" x14ac:dyDescent="0.3">
      <c r="B95" s="2" t="s">
        <v>836</v>
      </c>
      <c r="C95" s="4" t="s">
        <v>837</v>
      </c>
      <c r="D95" s="3" t="s">
        <v>857</v>
      </c>
      <c r="E95" s="6" t="s">
        <v>870</v>
      </c>
      <c r="F95" s="6" t="s">
        <v>873</v>
      </c>
      <c r="G95" s="6" t="s">
        <v>713</v>
      </c>
      <c r="H95" s="25">
        <v>45000</v>
      </c>
      <c r="I95" s="38">
        <v>0</v>
      </c>
      <c r="J95" s="38">
        <v>0</v>
      </c>
      <c r="K95" s="39">
        <f t="shared" si="8"/>
        <v>0</v>
      </c>
      <c r="L95" s="38">
        <v>8000</v>
      </c>
      <c r="M95" s="38">
        <v>1</v>
      </c>
      <c r="N95" s="39">
        <f t="shared" si="9"/>
        <v>360000000</v>
      </c>
      <c r="O95" s="38">
        <v>8000</v>
      </c>
      <c r="P95" s="38">
        <v>1</v>
      </c>
      <c r="Q95" s="39">
        <f t="shared" si="10"/>
        <v>360000000</v>
      </c>
      <c r="R95" s="38">
        <v>8000</v>
      </c>
      <c r="S95" s="38">
        <v>1</v>
      </c>
      <c r="T95" s="39">
        <f t="shared" si="11"/>
        <v>360000000</v>
      </c>
      <c r="U95" s="38">
        <v>8000</v>
      </c>
      <c r="V95" s="38">
        <v>1</v>
      </c>
      <c r="W95" s="39">
        <f t="shared" si="12"/>
        <v>360000000</v>
      </c>
      <c r="X95" s="38"/>
      <c r="Y95" s="38"/>
      <c r="Z95" s="39">
        <f t="shared" si="13"/>
        <v>0</v>
      </c>
      <c r="AA95" s="38"/>
      <c r="AB95" s="38"/>
      <c r="AC95" s="39">
        <f t="shared" si="14"/>
        <v>0</v>
      </c>
      <c r="AD95" s="38"/>
      <c r="AE95" s="38"/>
      <c r="AF95" s="39">
        <f t="shared" si="15"/>
        <v>0</v>
      </c>
    </row>
    <row r="96" spans="2:32" ht="15" customHeight="1" x14ac:dyDescent="0.3">
      <c r="B96" s="2" t="s">
        <v>836</v>
      </c>
      <c r="C96" s="4" t="s">
        <v>837</v>
      </c>
      <c r="D96" s="3" t="s">
        <v>857</v>
      </c>
      <c r="E96" s="6" t="s">
        <v>870</v>
      </c>
      <c r="F96" s="6" t="s">
        <v>873</v>
      </c>
      <c r="G96" s="6" t="s">
        <v>712</v>
      </c>
      <c r="H96" s="25">
        <v>214.29</v>
      </c>
      <c r="I96" s="38">
        <v>0</v>
      </c>
      <c r="J96" s="38">
        <v>0</v>
      </c>
      <c r="K96" s="39">
        <f t="shared" si="8"/>
        <v>0</v>
      </c>
      <c r="L96" s="38">
        <v>25</v>
      </c>
      <c r="M96" s="38">
        <v>10</v>
      </c>
      <c r="N96" s="39">
        <f t="shared" si="9"/>
        <v>53572.5</v>
      </c>
      <c r="O96" s="38">
        <v>25</v>
      </c>
      <c r="P96" s="38">
        <v>10</v>
      </c>
      <c r="Q96" s="39">
        <f t="shared" si="10"/>
        <v>53572.5</v>
      </c>
      <c r="R96" s="38">
        <v>25</v>
      </c>
      <c r="S96" s="38">
        <v>10</v>
      </c>
      <c r="T96" s="39">
        <f t="shared" si="11"/>
        <v>53572.5</v>
      </c>
      <c r="U96" s="38">
        <v>25</v>
      </c>
      <c r="V96" s="38">
        <v>10</v>
      </c>
      <c r="W96" s="39">
        <f t="shared" si="12"/>
        <v>53572.5</v>
      </c>
      <c r="X96" s="38"/>
      <c r="Y96" s="38"/>
      <c r="Z96" s="39">
        <f t="shared" si="13"/>
        <v>0</v>
      </c>
      <c r="AA96" s="38"/>
      <c r="AB96" s="38"/>
      <c r="AC96" s="39">
        <f t="shared" si="14"/>
        <v>0</v>
      </c>
      <c r="AD96" s="38"/>
      <c r="AE96" s="38"/>
      <c r="AF96" s="39">
        <f t="shared" si="15"/>
        <v>0</v>
      </c>
    </row>
    <row r="97" spans="2:32" ht="15" customHeight="1" x14ac:dyDescent="0.3">
      <c r="B97" s="2" t="s">
        <v>836</v>
      </c>
      <c r="C97" s="4" t="s">
        <v>837</v>
      </c>
      <c r="D97" s="3" t="s">
        <v>857</v>
      </c>
      <c r="E97" s="6" t="s">
        <v>870</v>
      </c>
      <c r="F97" s="6" t="s">
        <v>873</v>
      </c>
      <c r="G97" s="6" t="s">
        <v>715</v>
      </c>
      <c r="H97" s="25">
        <v>302000</v>
      </c>
      <c r="I97" s="38">
        <v>0</v>
      </c>
      <c r="J97" s="38">
        <v>0</v>
      </c>
      <c r="K97" s="39">
        <f t="shared" si="8"/>
        <v>0</v>
      </c>
      <c r="L97" s="38">
        <v>20000</v>
      </c>
      <c r="M97" s="38">
        <v>1</v>
      </c>
      <c r="N97" s="39">
        <f t="shared" si="9"/>
        <v>6040000000</v>
      </c>
      <c r="O97" s="38">
        <v>20000</v>
      </c>
      <c r="P97" s="38">
        <v>1</v>
      </c>
      <c r="Q97" s="39">
        <f t="shared" si="10"/>
        <v>6040000000</v>
      </c>
      <c r="R97" s="38">
        <v>20000</v>
      </c>
      <c r="S97" s="38">
        <v>1</v>
      </c>
      <c r="T97" s="39">
        <f t="shared" si="11"/>
        <v>6040000000</v>
      </c>
      <c r="U97" s="38">
        <v>20000</v>
      </c>
      <c r="V97" s="38">
        <v>1</v>
      </c>
      <c r="W97" s="39">
        <f t="shared" si="12"/>
        <v>6040000000</v>
      </c>
      <c r="X97" s="38"/>
      <c r="Y97" s="38"/>
      <c r="Z97" s="39">
        <f t="shared" si="13"/>
        <v>0</v>
      </c>
      <c r="AA97" s="38"/>
      <c r="AB97" s="38"/>
      <c r="AC97" s="39">
        <f t="shared" si="14"/>
        <v>0</v>
      </c>
      <c r="AD97" s="38"/>
      <c r="AE97" s="38"/>
      <c r="AF97" s="39">
        <f t="shared" si="15"/>
        <v>0</v>
      </c>
    </row>
    <row r="98" spans="2:32" ht="15" customHeight="1" x14ac:dyDescent="0.3">
      <c r="B98" s="2" t="s">
        <v>836</v>
      </c>
      <c r="C98" s="4" t="s">
        <v>837</v>
      </c>
      <c r="D98" s="3" t="s">
        <v>857</v>
      </c>
      <c r="E98" s="6" t="s">
        <v>870</v>
      </c>
      <c r="F98" s="6" t="s">
        <v>873</v>
      </c>
      <c r="G98" s="6" t="s">
        <v>714</v>
      </c>
      <c r="H98" s="25">
        <v>10000</v>
      </c>
      <c r="I98" s="38">
        <v>0</v>
      </c>
      <c r="J98" s="38">
        <v>0</v>
      </c>
      <c r="K98" s="39">
        <f t="shared" si="8"/>
        <v>0</v>
      </c>
      <c r="L98" s="38">
        <v>20</v>
      </c>
      <c r="M98" s="38">
        <v>1</v>
      </c>
      <c r="N98" s="39">
        <f t="shared" si="9"/>
        <v>200000</v>
      </c>
      <c r="O98" s="38">
        <v>20</v>
      </c>
      <c r="P98" s="38">
        <v>1</v>
      </c>
      <c r="Q98" s="39">
        <f t="shared" si="10"/>
        <v>200000</v>
      </c>
      <c r="R98" s="38">
        <v>20</v>
      </c>
      <c r="S98" s="38">
        <v>1</v>
      </c>
      <c r="T98" s="39">
        <f t="shared" si="11"/>
        <v>200000</v>
      </c>
      <c r="U98" s="38">
        <v>20</v>
      </c>
      <c r="V98" s="38">
        <v>1</v>
      </c>
      <c r="W98" s="39">
        <f t="shared" si="12"/>
        <v>200000</v>
      </c>
      <c r="X98" s="38"/>
      <c r="Y98" s="38"/>
      <c r="Z98" s="39">
        <f t="shared" si="13"/>
        <v>0</v>
      </c>
      <c r="AA98" s="38"/>
      <c r="AB98" s="38"/>
      <c r="AC98" s="39">
        <f t="shared" si="14"/>
        <v>0</v>
      </c>
      <c r="AD98" s="38"/>
      <c r="AE98" s="38"/>
      <c r="AF98" s="39">
        <f t="shared" si="15"/>
        <v>0</v>
      </c>
    </row>
    <row r="99" spans="2:32" ht="15" customHeight="1" x14ac:dyDescent="0.3">
      <c r="B99" s="2" t="s">
        <v>836</v>
      </c>
      <c r="C99" s="4" t="s">
        <v>837</v>
      </c>
      <c r="D99" s="3" t="s">
        <v>857</v>
      </c>
      <c r="E99" s="6" t="s">
        <v>870</v>
      </c>
      <c r="F99" s="6" t="s">
        <v>159</v>
      </c>
      <c r="G99" s="6" t="s">
        <v>716</v>
      </c>
      <c r="H99" s="25">
        <v>39000</v>
      </c>
      <c r="I99" s="38">
        <v>0</v>
      </c>
      <c r="J99" s="38">
        <v>0</v>
      </c>
      <c r="K99" s="39">
        <f t="shared" si="8"/>
        <v>0</v>
      </c>
      <c r="L99" s="38">
        <v>15</v>
      </c>
      <c r="M99" s="38">
        <v>1</v>
      </c>
      <c r="N99" s="39">
        <f t="shared" si="9"/>
        <v>585000</v>
      </c>
      <c r="O99" s="38">
        <v>15</v>
      </c>
      <c r="P99" s="38">
        <v>1</v>
      </c>
      <c r="Q99" s="39">
        <f t="shared" si="10"/>
        <v>585000</v>
      </c>
      <c r="R99" s="38">
        <v>15</v>
      </c>
      <c r="S99" s="38">
        <v>1</v>
      </c>
      <c r="T99" s="39">
        <f t="shared" si="11"/>
        <v>585000</v>
      </c>
      <c r="U99" s="38">
        <v>15</v>
      </c>
      <c r="V99" s="38">
        <v>1</v>
      </c>
      <c r="W99" s="39">
        <f t="shared" si="12"/>
        <v>585000</v>
      </c>
      <c r="X99" s="38"/>
      <c r="Y99" s="38"/>
      <c r="Z99" s="39">
        <f t="shared" si="13"/>
        <v>0</v>
      </c>
      <c r="AA99" s="38"/>
      <c r="AB99" s="38"/>
      <c r="AC99" s="39">
        <f t="shared" si="14"/>
        <v>0</v>
      </c>
      <c r="AD99" s="38"/>
      <c r="AE99" s="38"/>
      <c r="AF99" s="39">
        <f t="shared" si="15"/>
        <v>0</v>
      </c>
    </row>
    <row r="100" spans="2:32" ht="15" customHeight="1" x14ac:dyDescent="0.3">
      <c r="B100" s="2" t="s">
        <v>836</v>
      </c>
      <c r="C100" s="4" t="s">
        <v>837</v>
      </c>
      <c r="D100" s="3" t="s">
        <v>857</v>
      </c>
      <c r="E100" s="6" t="s">
        <v>870</v>
      </c>
      <c r="F100" s="6" t="s">
        <v>159</v>
      </c>
      <c r="G100" s="6" t="s">
        <v>712</v>
      </c>
      <c r="H100" s="25">
        <v>214.29</v>
      </c>
      <c r="I100" s="38">
        <v>0</v>
      </c>
      <c r="J100" s="38">
        <v>0</v>
      </c>
      <c r="K100" s="39">
        <f t="shared" si="8"/>
        <v>0</v>
      </c>
      <c r="L100" s="38">
        <v>25</v>
      </c>
      <c r="M100" s="38">
        <v>5</v>
      </c>
      <c r="N100" s="39">
        <f t="shared" si="9"/>
        <v>26786.25</v>
      </c>
      <c r="O100" s="38">
        <v>25</v>
      </c>
      <c r="P100" s="38">
        <v>5</v>
      </c>
      <c r="Q100" s="39">
        <f t="shared" si="10"/>
        <v>26786.25</v>
      </c>
      <c r="R100" s="38">
        <v>25</v>
      </c>
      <c r="S100" s="38">
        <v>5</v>
      </c>
      <c r="T100" s="39">
        <f t="shared" si="11"/>
        <v>26786.25</v>
      </c>
      <c r="U100" s="38">
        <v>25</v>
      </c>
      <c r="V100" s="38">
        <v>5</v>
      </c>
      <c r="W100" s="39">
        <f t="shared" si="12"/>
        <v>26786.25</v>
      </c>
      <c r="X100" s="38"/>
      <c r="Y100" s="38"/>
      <c r="Z100" s="39">
        <f t="shared" si="13"/>
        <v>0</v>
      </c>
      <c r="AA100" s="38"/>
      <c r="AB100" s="38"/>
      <c r="AC100" s="39">
        <f t="shared" si="14"/>
        <v>0</v>
      </c>
      <c r="AD100" s="38"/>
      <c r="AE100" s="38"/>
      <c r="AF100" s="39">
        <f t="shared" si="15"/>
        <v>0</v>
      </c>
    </row>
    <row r="101" spans="2:32" ht="15" customHeight="1" x14ac:dyDescent="0.3">
      <c r="B101" s="2" t="s">
        <v>836</v>
      </c>
      <c r="C101" s="4" t="s">
        <v>837</v>
      </c>
      <c r="D101" s="3" t="s">
        <v>857</v>
      </c>
      <c r="E101" s="6" t="s">
        <v>870</v>
      </c>
      <c r="F101" s="6" t="s">
        <v>159</v>
      </c>
      <c r="G101" s="6" t="s">
        <v>709</v>
      </c>
      <c r="H101" s="25">
        <v>28000</v>
      </c>
      <c r="I101" s="38">
        <v>0</v>
      </c>
      <c r="J101" s="38">
        <v>0</v>
      </c>
      <c r="K101" s="39">
        <f t="shared" si="8"/>
        <v>0</v>
      </c>
      <c r="L101" s="38">
        <v>4000</v>
      </c>
      <c r="M101" s="38">
        <v>1</v>
      </c>
      <c r="N101" s="39">
        <f t="shared" si="9"/>
        <v>112000000</v>
      </c>
      <c r="O101" s="38">
        <v>4000</v>
      </c>
      <c r="P101" s="38">
        <v>1</v>
      </c>
      <c r="Q101" s="39">
        <f t="shared" si="10"/>
        <v>112000000</v>
      </c>
      <c r="R101" s="38">
        <v>4000</v>
      </c>
      <c r="S101" s="38">
        <v>1</v>
      </c>
      <c r="T101" s="39">
        <f t="shared" si="11"/>
        <v>112000000</v>
      </c>
      <c r="U101" s="38">
        <v>4000</v>
      </c>
      <c r="V101" s="38">
        <v>1</v>
      </c>
      <c r="W101" s="39">
        <f t="shared" si="12"/>
        <v>112000000</v>
      </c>
      <c r="X101" s="38"/>
      <c r="Y101" s="38"/>
      <c r="Z101" s="39">
        <f t="shared" si="13"/>
        <v>0</v>
      </c>
      <c r="AA101" s="38"/>
      <c r="AB101" s="38"/>
      <c r="AC101" s="39">
        <f t="shared" si="14"/>
        <v>0</v>
      </c>
      <c r="AD101" s="38"/>
      <c r="AE101" s="38"/>
      <c r="AF101" s="39">
        <f t="shared" si="15"/>
        <v>0</v>
      </c>
    </row>
    <row r="102" spans="2:32" ht="15" customHeight="1" x14ac:dyDescent="0.3">
      <c r="B102" s="2" t="s">
        <v>836</v>
      </c>
      <c r="C102" s="4" t="s">
        <v>837</v>
      </c>
      <c r="D102" s="3" t="s">
        <v>857</v>
      </c>
      <c r="E102" s="6" t="s">
        <v>874</v>
      </c>
      <c r="F102" s="6" t="s">
        <v>875</v>
      </c>
      <c r="G102" s="6" t="s">
        <v>841</v>
      </c>
      <c r="H102" s="25">
        <v>0</v>
      </c>
      <c r="I102" s="38">
        <v>0</v>
      </c>
      <c r="J102" s="38">
        <v>0</v>
      </c>
      <c r="K102" s="39">
        <f t="shared" si="8"/>
        <v>0</v>
      </c>
      <c r="L102" s="38">
        <v>25</v>
      </c>
      <c r="M102" s="38">
        <v>5</v>
      </c>
      <c r="N102" s="39">
        <f t="shared" si="9"/>
        <v>0</v>
      </c>
      <c r="O102" s="38">
        <v>25</v>
      </c>
      <c r="P102" s="38">
        <v>5</v>
      </c>
      <c r="Q102" s="39">
        <f t="shared" si="10"/>
        <v>0</v>
      </c>
      <c r="R102" s="38">
        <v>25</v>
      </c>
      <c r="S102" s="38">
        <v>5</v>
      </c>
      <c r="T102" s="39">
        <f t="shared" si="11"/>
        <v>0</v>
      </c>
      <c r="U102" s="38">
        <v>25</v>
      </c>
      <c r="V102" s="38">
        <v>5</v>
      </c>
      <c r="W102" s="39">
        <f t="shared" si="12"/>
        <v>0</v>
      </c>
      <c r="X102" s="38"/>
      <c r="Y102" s="38"/>
      <c r="Z102" s="39">
        <f t="shared" si="13"/>
        <v>0</v>
      </c>
      <c r="AA102" s="38"/>
      <c r="AB102" s="38"/>
      <c r="AC102" s="39">
        <f t="shared" si="14"/>
        <v>0</v>
      </c>
      <c r="AD102" s="38"/>
      <c r="AE102" s="38"/>
      <c r="AF102" s="39">
        <f t="shared" si="15"/>
        <v>0</v>
      </c>
    </row>
    <row r="103" spans="2:32" ht="15" customHeight="1" x14ac:dyDescent="0.3">
      <c r="B103" s="2" t="s">
        <v>836</v>
      </c>
      <c r="C103" s="4" t="s">
        <v>837</v>
      </c>
      <c r="D103" s="3" t="s">
        <v>857</v>
      </c>
      <c r="E103" s="6" t="s">
        <v>876</v>
      </c>
      <c r="F103" s="6" t="s">
        <v>877</v>
      </c>
      <c r="G103" s="6" t="s">
        <v>841</v>
      </c>
      <c r="H103" s="25">
        <v>0</v>
      </c>
      <c r="I103" s="38">
        <v>0</v>
      </c>
      <c r="J103" s="38">
        <v>0</v>
      </c>
      <c r="K103" s="39">
        <f t="shared" si="8"/>
        <v>0</v>
      </c>
      <c r="L103" s="38">
        <v>0</v>
      </c>
      <c r="M103" s="38">
        <v>0</v>
      </c>
      <c r="N103" s="39">
        <f t="shared" si="9"/>
        <v>0</v>
      </c>
      <c r="O103" s="38">
        <v>0</v>
      </c>
      <c r="P103" s="38">
        <v>0</v>
      </c>
      <c r="Q103" s="39">
        <f t="shared" si="10"/>
        <v>0</v>
      </c>
      <c r="R103" s="38">
        <v>0</v>
      </c>
      <c r="S103" s="38">
        <v>0</v>
      </c>
      <c r="T103" s="39">
        <f t="shared" si="11"/>
        <v>0</v>
      </c>
      <c r="U103" s="38">
        <v>0</v>
      </c>
      <c r="V103" s="38">
        <v>0</v>
      </c>
      <c r="W103" s="39">
        <f t="shared" si="12"/>
        <v>0</v>
      </c>
      <c r="X103" s="38"/>
      <c r="Y103" s="38"/>
      <c r="Z103" s="39">
        <f t="shared" si="13"/>
        <v>0</v>
      </c>
      <c r="AA103" s="38"/>
      <c r="AB103" s="38"/>
      <c r="AC103" s="39">
        <f t="shared" si="14"/>
        <v>0</v>
      </c>
      <c r="AD103" s="38"/>
      <c r="AE103" s="38"/>
      <c r="AF103" s="39">
        <f t="shared" si="15"/>
        <v>0</v>
      </c>
    </row>
    <row r="104" spans="2:32" ht="15" customHeight="1" x14ac:dyDescent="0.3">
      <c r="B104" s="2" t="s">
        <v>836</v>
      </c>
      <c r="C104" s="4" t="s">
        <v>837</v>
      </c>
      <c r="D104" s="3" t="s">
        <v>857</v>
      </c>
      <c r="E104" s="6" t="s">
        <v>876</v>
      </c>
      <c r="F104" s="6" t="s">
        <v>878</v>
      </c>
      <c r="G104" s="6" t="s">
        <v>709</v>
      </c>
      <c r="H104" s="25">
        <v>28000</v>
      </c>
      <c r="I104" s="38">
        <v>0</v>
      </c>
      <c r="J104" s="38">
        <v>0</v>
      </c>
      <c r="K104" s="39">
        <f t="shared" si="8"/>
        <v>0</v>
      </c>
      <c r="L104" s="38">
        <v>0</v>
      </c>
      <c r="M104" s="38">
        <v>0</v>
      </c>
      <c r="N104" s="39">
        <f t="shared" si="9"/>
        <v>0</v>
      </c>
      <c r="O104" s="38">
        <v>0</v>
      </c>
      <c r="P104" s="38">
        <v>0</v>
      </c>
      <c r="Q104" s="39">
        <f t="shared" si="10"/>
        <v>0</v>
      </c>
      <c r="R104" s="38">
        <v>0</v>
      </c>
      <c r="S104" s="38">
        <v>0</v>
      </c>
      <c r="T104" s="39">
        <f t="shared" si="11"/>
        <v>0</v>
      </c>
      <c r="U104" s="38">
        <v>0</v>
      </c>
      <c r="V104" s="38">
        <v>0</v>
      </c>
      <c r="W104" s="39">
        <f t="shared" si="12"/>
        <v>0</v>
      </c>
      <c r="X104" s="38"/>
      <c r="Y104" s="38"/>
      <c r="Z104" s="39">
        <f t="shared" si="13"/>
        <v>0</v>
      </c>
      <c r="AA104" s="38"/>
      <c r="AB104" s="38"/>
      <c r="AC104" s="39">
        <f t="shared" si="14"/>
        <v>0</v>
      </c>
      <c r="AD104" s="38"/>
      <c r="AE104" s="38"/>
      <c r="AF104" s="39">
        <f t="shared" si="15"/>
        <v>0</v>
      </c>
    </row>
    <row r="105" spans="2:32" ht="15" customHeight="1" x14ac:dyDescent="0.3">
      <c r="B105" s="2" t="s">
        <v>836</v>
      </c>
      <c r="C105" s="4" t="s">
        <v>837</v>
      </c>
      <c r="D105" s="3" t="s">
        <v>857</v>
      </c>
      <c r="E105" s="6" t="s">
        <v>876</v>
      </c>
      <c r="F105" s="6" t="s">
        <v>878</v>
      </c>
      <c r="G105" s="6" t="s">
        <v>712</v>
      </c>
      <c r="H105" s="25">
        <v>214.29</v>
      </c>
      <c r="I105" s="38">
        <v>0</v>
      </c>
      <c r="J105" s="38">
        <v>0</v>
      </c>
      <c r="K105" s="39">
        <f t="shared" si="8"/>
        <v>0</v>
      </c>
      <c r="L105" s="38">
        <v>20</v>
      </c>
      <c r="M105" s="38">
        <v>2</v>
      </c>
      <c r="N105" s="39">
        <f t="shared" si="9"/>
        <v>8571.6</v>
      </c>
      <c r="O105" s="38">
        <v>20</v>
      </c>
      <c r="P105" s="38">
        <v>2</v>
      </c>
      <c r="Q105" s="39">
        <f t="shared" si="10"/>
        <v>8571.6</v>
      </c>
      <c r="R105" s="38">
        <v>20</v>
      </c>
      <c r="S105" s="38">
        <v>2</v>
      </c>
      <c r="T105" s="39">
        <f t="shared" si="11"/>
        <v>8571.6</v>
      </c>
      <c r="U105" s="38">
        <v>20</v>
      </c>
      <c r="V105" s="38">
        <v>2</v>
      </c>
      <c r="W105" s="39">
        <f t="shared" si="12"/>
        <v>8571.6</v>
      </c>
      <c r="X105" s="38"/>
      <c r="Y105" s="38"/>
      <c r="Z105" s="39">
        <f t="shared" si="13"/>
        <v>0</v>
      </c>
      <c r="AA105" s="38"/>
      <c r="AB105" s="38"/>
      <c r="AC105" s="39">
        <f t="shared" si="14"/>
        <v>0</v>
      </c>
      <c r="AD105" s="38"/>
      <c r="AE105" s="38"/>
      <c r="AF105" s="39">
        <f t="shared" si="15"/>
        <v>0</v>
      </c>
    </row>
    <row r="106" spans="2:32" ht="15" customHeight="1" x14ac:dyDescent="0.3">
      <c r="B106" s="2" t="s">
        <v>836</v>
      </c>
      <c r="C106" s="4" t="s">
        <v>837</v>
      </c>
      <c r="D106" s="3" t="s">
        <v>879</v>
      </c>
      <c r="E106" s="6" t="s">
        <v>880</v>
      </c>
      <c r="F106" s="6" t="s">
        <v>881</v>
      </c>
      <c r="G106" s="6" t="s">
        <v>709</v>
      </c>
      <c r="H106" s="25">
        <v>28000</v>
      </c>
      <c r="I106" s="38">
        <v>0</v>
      </c>
      <c r="J106" s="38">
        <v>0</v>
      </c>
      <c r="K106" s="39">
        <f t="shared" si="8"/>
        <v>0</v>
      </c>
      <c r="L106" s="38">
        <v>1</v>
      </c>
      <c r="M106" s="38">
        <v>4000</v>
      </c>
      <c r="N106" s="39">
        <f t="shared" si="9"/>
        <v>112000000</v>
      </c>
      <c r="O106" s="38">
        <v>1</v>
      </c>
      <c r="P106" s="38">
        <v>4000</v>
      </c>
      <c r="Q106" s="39">
        <f t="shared" si="10"/>
        <v>112000000</v>
      </c>
      <c r="R106" s="38">
        <v>1</v>
      </c>
      <c r="S106" s="38">
        <v>4000</v>
      </c>
      <c r="T106" s="39">
        <f t="shared" si="11"/>
        <v>112000000</v>
      </c>
      <c r="U106" s="38">
        <v>1</v>
      </c>
      <c r="V106" s="38">
        <v>4000</v>
      </c>
      <c r="W106" s="39">
        <f t="shared" si="12"/>
        <v>112000000</v>
      </c>
      <c r="X106" s="38"/>
      <c r="Y106" s="38"/>
      <c r="Z106" s="39">
        <f t="shared" si="13"/>
        <v>0</v>
      </c>
      <c r="AA106" s="38"/>
      <c r="AB106" s="38"/>
      <c r="AC106" s="39">
        <f t="shared" si="14"/>
        <v>0</v>
      </c>
      <c r="AD106" s="38"/>
      <c r="AE106" s="38"/>
      <c r="AF106" s="39">
        <f t="shared" si="15"/>
        <v>0</v>
      </c>
    </row>
    <row r="107" spans="2:32" ht="15" customHeight="1" x14ac:dyDescent="0.3">
      <c r="B107" s="2" t="s">
        <v>836</v>
      </c>
      <c r="C107" s="4" t="s">
        <v>837</v>
      </c>
      <c r="D107" s="3" t="s">
        <v>879</v>
      </c>
      <c r="E107" s="6" t="s">
        <v>880</v>
      </c>
      <c r="F107" s="6" t="s">
        <v>881</v>
      </c>
      <c r="G107" s="6" t="s">
        <v>712</v>
      </c>
      <c r="H107" s="25">
        <v>214.29</v>
      </c>
      <c r="I107" s="38">
        <v>0</v>
      </c>
      <c r="J107" s="38">
        <v>0</v>
      </c>
      <c r="K107" s="39">
        <f t="shared" si="8"/>
        <v>0</v>
      </c>
      <c r="L107" s="38">
        <v>0</v>
      </c>
      <c r="M107" s="38">
        <v>0</v>
      </c>
      <c r="N107" s="39">
        <f t="shared" si="9"/>
        <v>0</v>
      </c>
      <c r="O107" s="38">
        <v>20</v>
      </c>
      <c r="P107" s="38">
        <v>10</v>
      </c>
      <c r="Q107" s="39">
        <f t="shared" si="10"/>
        <v>42858</v>
      </c>
      <c r="R107" s="38">
        <v>0</v>
      </c>
      <c r="S107" s="38">
        <v>0</v>
      </c>
      <c r="T107" s="39">
        <f t="shared" si="11"/>
        <v>0</v>
      </c>
      <c r="U107" s="38">
        <v>0</v>
      </c>
      <c r="V107" s="38">
        <v>0</v>
      </c>
      <c r="W107" s="39">
        <f t="shared" si="12"/>
        <v>0</v>
      </c>
      <c r="X107" s="38"/>
      <c r="Y107" s="38"/>
      <c r="Z107" s="39">
        <f t="shared" si="13"/>
        <v>0</v>
      </c>
      <c r="AA107" s="38"/>
      <c r="AB107" s="38"/>
      <c r="AC107" s="39">
        <f t="shared" si="14"/>
        <v>0</v>
      </c>
      <c r="AD107" s="38"/>
      <c r="AE107" s="38"/>
      <c r="AF107" s="39">
        <f t="shared" si="15"/>
        <v>0</v>
      </c>
    </row>
    <row r="108" spans="2:32" ht="15" customHeight="1" x14ac:dyDescent="0.3">
      <c r="B108" s="2" t="s">
        <v>836</v>
      </c>
      <c r="C108" s="4" t="s">
        <v>837</v>
      </c>
      <c r="D108" s="3" t="s">
        <v>879</v>
      </c>
      <c r="E108" s="6" t="s">
        <v>880</v>
      </c>
      <c r="F108" s="6" t="s">
        <v>882</v>
      </c>
      <c r="G108" s="6" t="s">
        <v>841</v>
      </c>
      <c r="H108" s="25">
        <v>0</v>
      </c>
      <c r="I108" s="38">
        <v>0</v>
      </c>
      <c r="J108" s="38">
        <v>0</v>
      </c>
      <c r="K108" s="39">
        <f t="shared" si="8"/>
        <v>0</v>
      </c>
      <c r="L108" s="38">
        <v>0</v>
      </c>
      <c r="M108" s="38">
        <v>0</v>
      </c>
      <c r="N108" s="39">
        <f t="shared" si="9"/>
        <v>0</v>
      </c>
      <c r="O108" s="38">
        <v>4000</v>
      </c>
      <c r="P108" s="38">
        <v>1</v>
      </c>
      <c r="Q108" s="39">
        <f t="shared" si="10"/>
        <v>0</v>
      </c>
      <c r="R108" s="38">
        <v>0</v>
      </c>
      <c r="S108" s="38">
        <v>0</v>
      </c>
      <c r="T108" s="39">
        <f t="shared" si="11"/>
        <v>0</v>
      </c>
      <c r="U108" s="38">
        <v>0</v>
      </c>
      <c r="V108" s="38">
        <v>0</v>
      </c>
      <c r="W108" s="39">
        <f t="shared" si="12"/>
        <v>0</v>
      </c>
      <c r="X108" s="38"/>
      <c r="Y108" s="38"/>
      <c r="Z108" s="39">
        <f t="shared" si="13"/>
        <v>0</v>
      </c>
      <c r="AA108" s="38"/>
      <c r="AB108" s="38"/>
      <c r="AC108" s="39">
        <f t="shared" si="14"/>
        <v>0</v>
      </c>
      <c r="AD108" s="38"/>
      <c r="AE108" s="38"/>
      <c r="AF108" s="39">
        <f t="shared" si="15"/>
        <v>0</v>
      </c>
    </row>
    <row r="109" spans="2:32" ht="15" customHeight="1" x14ac:dyDescent="0.3">
      <c r="B109" s="2" t="s">
        <v>836</v>
      </c>
      <c r="C109" s="4" t="s">
        <v>837</v>
      </c>
      <c r="D109" s="3" t="s">
        <v>879</v>
      </c>
      <c r="E109" s="6" t="s">
        <v>880</v>
      </c>
      <c r="F109" s="6" t="s">
        <v>160</v>
      </c>
      <c r="G109" s="6" t="s">
        <v>708</v>
      </c>
      <c r="H109" s="25">
        <v>425000</v>
      </c>
      <c r="I109" s="38">
        <v>0</v>
      </c>
      <c r="J109" s="38">
        <v>0</v>
      </c>
      <c r="K109" s="39">
        <f t="shared" si="8"/>
        <v>0</v>
      </c>
      <c r="L109" s="38">
        <v>0</v>
      </c>
      <c r="M109" s="38">
        <v>0</v>
      </c>
      <c r="N109" s="39">
        <f t="shared" si="9"/>
        <v>0</v>
      </c>
      <c r="O109" s="38">
        <v>5</v>
      </c>
      <c r="P109" s="38">
        <v>5</v>
      </c>
      <c r="Q109" s="39">
        <f t="shared" si="10"/>
        <v>10625000</v>
      </c>
      <c r="R109" s="38">
        <v>0</v>
      </c>
      <c r="S109" s="38">
        <v>0</v>
      </c>
      <c r="T109" s="39">
        <f t="shared" si="11"/>
        <v>0</v>
      </c>
      <c r="U109" s="38">
        <v>0</v>
      </c>
      <c r="V109" s="38">
        <v>0</v>
      </c>
      <c r="W109" s="39">
        <f t="shared" si="12"/>
        <v>0</v>
      </c>
      <c r="X109" s="38"/>
      <c r="Y109" s="38"/>
      <c r="Z109" s="39">
        <f t="shared" si="13"/>
        <v>0</v>
      </c>
      <c r="AA109" s="38"/>
      <c r="AB109" s="38"/>
      <c r="AC109" s="39">
        <f t="shared" si="14"/>
        <v>0</v>
      </c>
      <c r="AD109" s="38"/>
      <c r="AE109" s="38"/>
      <c r="AF109" s="39">
        <f t="shared" si="15"/>
        <v>0</v>
      </c>
    </row>
    <row r="110" spans="2:32" ht="15" customHeight="1" x14ac:dyDescent="0.3">
      <c r="B110" s="2" t="s">
        <v>836</v>
      </c>
      <c r="C110" s="4" t="s">
        <v>837</v>
      </c>
      <c r="D110" s="3" t="s">
        <v>879</v>
      </c>
      <c r="E110" s="6" t="s">
        <v>880</v>
      </c>
      <c r="F110" s="6" t="s">
        <v>160</v>
      </c>
      <c r="G110" s="6" t="s">
        <v>707</v>
      </c>
      <c r="H110" s="25">
        <v>391991.03749999998</v>
      </c>
      <c r="I110" s="38">
        <v>0</v>
      </c>
      <c r="J110" s="38">
        <v>0</v>
      </c>
      <c r="K110" s="39">
        <f t="shared" si="8"/>
        <v>0</v>
      </c>
      <c r="L110" s="38">
        <v>0</v>
      </c>
      <c r="M110" s="38">
        <v>0</v>
      </c>
      <c r="N110" s="39">
        <f t="shared" si="9"/>
        <v>0</v>
      </c>
      <c r="O110" s="38">
        <v>1</v>
      </c>
      <c r="P110" s="38">
        <v>150</v>
      </c>
      <c r="Q110" s="39">
        <f t="shared" si="10"/>
        <v>58798655.625</v>
      </c>
      <c r="R110" s="38">
        <v>0</v>
      </c>
      <c r="S110" s="38">
        <v>0</v>
      </c>
      <c r="T110" s="39">
        <f t="shared" si="11"/>
        <v>0</v>
      </c>
      <c r="U110" s="38">
        <v>0</v>
      </c>
      <c r="V110" s="38">
        <v>0</v>
      </c>
      <c r="W110" s="39">
        <f t="shared" si="12"/>
        <v>0</v>
      </c>
      <c r="X110" s="38"/>
      <c r="Y110" s="38"/>
      <c r="Z110" s="39">
        <f t="shared" si="13"/>
        <v>0</v>
      </c>
      <c r="AA110" s="38"/>
      <c r="AB110" s="38"/>
      <c r="AC110" s="39">
        <f t="shared" si="14"/>
        <v>0</v>
      </c>
      <c r="AD110" s="38"/>
      <c r="AE110" s="38"/>
      <c r="AF110" s="39">
        <f t="shared" si="15"/>
        <v>0</v>
      </c>
    </row>
    <row r="111" spans="2:32" ht="15" customHeight="1" x14ac:dyDescent="0.3">
      <c r="B111" s="2" t="s">
        <v>836</v>
      </c>
      <c r="C111" s="4" t="s">
        <v>837</v>
      </c>
      <c r="D111" s="3" t="s">
        <v>879</v>
      </c>
      <c r="E111" s="6" t="s">
        <v>880</v>
      </c>
      <c r="F111" s="6" t="s">
        <v>161</v>
      </c>
      <c r="G111" s="6" t="s">
        <v>709</v>
      </c>
      <c r="H111" s="25">
        <v>28000</v>
      </c>
      <c r="I111" s="38">
        <v>0</v>
      </c>
      <c r="J111" s="38">
        <v>0</v>
      </c>
      <c r="K111" s="39">
        <f t="shared" si="8"/>
        <v>0</v>
      </c>
      <c r="L111" s="38">
        <v>0</v>
      </c>
      <c r="M111" s="38">
        <v>0</v>
      </c>
      <c r="N111" s="39">
        <f t="shared" si="9"/>
        <v>0</v>
      </c>
      <c r="O111" s="38">
        <v>1</v>
      </c>
      <c r="P111" s="38">
        <v>4</v>
      </c>
      <c r="Q111" s="39">
        <f t="shared" si="10"/>
        <v>112000</v>
      </c>
      <c r="R111" s="38">
        <v>0</v>
      </c>
      <c r="S111" s="38">
        <v>0</v>
      </c>
      <c r="T111" s="39">
        <f t="shared" si="11"/>
        <v>0</v>
      </c>
      <c r="U111" s="38">
        <v>0</v>
      </c>
      <c r="V111" s="38">
        <v>0</v>
      </c>
      <c r="W111" s="39">
        <f t="shared" si="12"/>
        <v>0</v>
      </c>
      <c r="X111" s="38"/>
      <c r="Y111" s="38"/>
      <c r="Z111" s="39">
        <f t="shared" si="13"/>
        <v>0</v>
      </c>
      <c r="AA111" s="38"/>
      <c r="AB111" s="38"/>
      <c r="AC111" s="39">
        <f t="shared" si="14"/>
        <v>0</v>
      </c>
      <c r="AD111" s="38"/>
      <c r="AE111" s="38"/>
      <c r="AF111" s="39">
        <f t="shared" si="15"/>
        <v>0</v>
      </c>
    </row>
    <row r="112" spans="2:32" ht="15" customHeight="1" x14ac:dyDescent="0.3">
      <c r="B112" s="2" t="s">
        <v>836</v>
      </c>
      <c r="C112" s="4" t="s">
        <v>837</v>
      </c>
      <c r="D112" s="3" t="s">
        <v>879</v>
      </c>
      <c r="E112" s="6" t="s">
        <v>880</v>
      </c>
      <c r="F112" s="6" t="s">
        <v>161</v>
      </c>
      <c r="G112" s="6" t="s">
        <v>716</v>
      </c>
      <c r="H112" s="25">
        <v>39000</v>
      </c>
      <c r="I112" s="38">
        <v>0</v>
      </c>
      <c r="J112" s="38">
        <v>0</v>
      </c>
      <c r="K112" s="39">
        <f t="shared" si="8"/>
        <v>0</v>
      </c>
      <c r="L112" s="38">
        <v>0</v>
      </c>
      <c r="M112" s="38">
        <v>0</v>
      </c>
      <c r="N112" s="39">
        <f t="shared" si="9"/>
        <v>0</v>
      </c>
      <c r="O112" s="38">
        <v>30</v>
      </c>
      <c r="P112" s="38">
        <v>5</v>
      </c>
      <c r="Q112" s="39">
        <f t="shared" si="10"/>
        <v>5850000</v>
      </c>
      <c r="R112" s="38">
        <v>0</v>
      </c>
      <c r="S112" s="38">
        <v>0</v>
      </c>
      <c r="T112" s="39">
        <f t="shared" si="11"/>
        <v>0</v>
      </c>
      <c r="U112" s="38">
        <v>0</v>
      </c>
      <c r="V112" s="38">
        <v>0</v>
      </c>
      <c r="W112" s="39">
        <f t="shared" si="12"/>
        <v>0</v>
      </c>
      <c r="X112" s="38"/>
      <c r="Y112" s="38"/>
      <c r="Z112" s="39">
        <f t="shared" si="13"/>
        <v>0</v>
      </c>
      <c r="AA112" s="38"/>
      <c r="AB112" s="38"/>
      <c r="AC112" s="39">
        <f t="shared" si="14"/>
        <v>0</v>
      </c>
      <c r="AD112" s="38"/>
      <c r="AE112" s="38"/>
      <c r="AF112" s="39">
        <f t="shared" si="15"/>
        <v>0</v>
      </c>
    </row>
    <row r="113" spans="2:32" ht="15" customHeight="1" x14ac:dyDescent="0.3">
      <c r="B113" s="2" t="s">
        <v>836</v>
      </c>
      <c r="C113" s="4" t="s">
        <v>837</v>
      </c>
      <c r="D113" s="3" t="s">
        <v>879</v>
      </c>
      <c r="E113" s="6" t="s">
        <v>880</v>
      </c>
      <c r="F113" s="6" t="s">
        <v>161</v>
      </c>
      <c r="G113" s="6" t="s">
        <v>712</v>
      </c>
      <c r="H113" s="25">
        <v>214.29</v>
      </c>
      <c r="I113" s="38">
        <v>0</v>
      </c>
      <c r="J113" s="38">
        <v>0</v>
      </c>
      <c r="K113" s="39">
        <f t="shared" si="8"/>
        <v>0</v>
      </c>
      <c r="L113" s="38">
        <v>0</v>
      </c>
      <c r="M113" s="38">
        <v>0</v>
      </c>
      <c r="N113" s="39">
        <f t="shared" si="9"/>
        <v>0</v>
      </c>
      <c r="O113" s="38">
        <v>30</v>
      </c>
      <c r="P113" s="38">
        <v>5</v>
      </c>
      <c r="Q113" s="39">
        <f t="shared" si="10"/>
        <v>32143.5</v>
      </c>
      <c r="R113" s="38">
        <v>0</v>
      </c>
      <c r="S113" s="38">
        <v>0</v>
      </c>
      <c r="T113" s="39">
        <f t="shared" si="11"/>
        <v>0</v>
      </c>
      <c r="U113" s="38">
        <v>0</v>
      </c>
      <c r="V113" s="38">
        <v>0</v>
      </c>
      <c r="W113" s="39">
        <f t="shared" si="12"/>
        <v>0</v>
      </c>
      <c r="X113" s="38"/>
      <c r="Y113" s="38"/>
      <c r="Z113" s="39">
        <f t="shared" si="13"/>
        <v>0</v>
      </c>
      <c r="AA113" s="38"/>
      <c r="AB113" s="38"/>
      <c r="AC113" s="39">
        <f t="shared" si="14"/>
        <v>0</v>
      </c>
      <c r="AD113" s="38"/>
      <c r="AE113" s="38"/>
      <c r="AF113" s="39">
        <f t="shared" si="15"/>
        <v>0</v>
      </c>
    </row>
    <row r="114" spans="2:32" ht="15" customHeight="1" x14ac:dyDescent="0.3">
      <c r="B114" s="2" t="s">
        <v>836</v>
      </c>
      <c r="C114" s="4" t="s">
        <v>837</v>
      </c>
      <c r="D114" s="3" t="s">
        <v>879</v>
      </c>
      <c r="E114" s="6" t="s">
        <v>880</v>
      </c>
      <c r="F114" s="6" t="s">
        <v>883</v>
      </c>
      <c r="G114" s="6" t="s">
        <v>884</v>
      </c>
      <c r="H114" s="11">
        <v>8112303</v>
      </c>
      <c r="I114" s="38">
        <v>0</v>
      </c>
      <c r="J114" s="38">
        <v>0</v>
      </c>
      <c r="K114" s="39">
        <f t="shared" si="8"/>
        <v>0</v>
      </c>
      <c r="L114" s="38">
        <v>0</v>
      </c>
      <c r="M114" s="38">
        <v>0</v>
      </c>
      <c r="N114" s="39">
        <f t="shared" si="9"/>
        <v>0</v>
      </c>
      <c r="O114" s="38">
        <v>4000</v>
      </c>
      <c r="P114" s="38">
        <v>1</v>
      </c>
      <c r="Q114" s="39">
        <f t="shared" si="10"/>
        <v>32449212000</v>
      </c>
      <c r="R114" s="38">
        <v>0</v>
      </c>
      <c r="S114" s="38">
        <v>0</v>
      </c>
      <c r="T114" s="39">
        <f t="shared" si="11"/>
        <v>0</v>
      </c>
      <c r="U114" s="38">
        <v>0</v>
      </c>
      <c r="V114" s="38">
        <v>0</v>
      </c>
      <c r="W114" s="39">
        <f t="shared" si="12"/>
        <v>0</v>
      </c>
      <c r="X114" s="38"/>
      <c r="Y114" s="38"/>
      <c r="Z114" s="39">
        <f t="shared" si="13"/>
        <v>0</v>
      </c>
      <c r="AA114" s="38"/>
      <c r="AB114" s="38"/>
      <c r="AC114" s="39">
        <f t="shared" si="14"/>
        <v>0</v>
      </c>
      <c r="AD114" s="38"/>
      <c r="AE114" s="38"/>
      <c r="AF114" s="39">
        <f t="shared" si="15"/>
        <v>0</v>
      </c>
    </row>
    <row r="115" spans="2:32" ht="15" customHeight="1" x14ac:dyDescent="0.3">
      <c r="B115" s="2" t="s">
        <v>836</v>
      </c>
      <c r="C115" s="4" t="s">
        <v>837</v>
      </c>
      <c r="D115" s="3" t="s">
        <v>879</v>
      </c>
      <c r="E115" s="6" t="s">
        <v>880</v>
      </c>
      <c r="F115" s="6" t="s">
        <v>885</v>
      </c>
      <c r="G115" s="6" t="s">
        <v>886</v>
      </c>
      <c r="H115" s="25">
        <v>81123030</v>
      </c>
      <c r="I115" s="38">
        <v>0</v>
      </c>
      <c r="J115" s="38">
        <v>0</v>
      </c>
      <c r="K115" s="39">
        <f t="shared" si="8"/>
        <v>0</v>
      </c>
      <c r="L115" s="38">
        <v>0</v>
      </c>
      <c r="M115" s="38">
        <v>0</v>
      </c>
      <c r="N115" s="39">
        <f t="shared" si="9"/>
        <v>0</v>
      </c>
      <c r="O115" s="38"/>
      <c r="P115" s="38"/>
      <c r="Q115" s="39">
        <f t="shared" si="10"/>
        <v>0</v>
      </c>
      <c r="R115" s="38">
        <v>1</v>
      </c>
      <c r="S115" s="38">
        <v>1</v>
      </c>
      <c r="T115" s="39">
        <f t="shared" si="11"/>
        <v>81123030</v>
      </c>
      <c r="U115" s="38"/>
      <c r="V115" s="38"/>
      <c r="W115" s="39">
        <f t="shared" si="12"/>
        <v>0</v>
      </c>
      <c r="X115" s="38"/>
      <c r="Y115" s="38"/>
      <c r="Z115" s="39">
        <f t="shared" si="13"/>
        <v>0</v>
      </c>
      <c r="AA115" s="38"/>
      <c r="AB115" s="38"/>
      <c r="AC115" s="39">
        <f t="shared" si="14"/>
        <v>0</v>
      </c>
      <c r="AD115" s="38"/>
      <c r="AE115" s="38"/>
      <c r="AF115" s="39">
        <f t="shared" si="15"/>
        <v>0</v>
      </c>
    </row>
    <row r="116" spans="2:32" ht="15" customHeight="1" x14ac:dyDescent="0.3">
      <c r="B116" s="2" t="s">
        <v>836</v>
      </c>
      <c r="C116" s="4" t="s">
        <v>837</v>
      </c>
      <c r="D116" s="3" t="s">
        <v>887</v>
      </c>
      <c r="E116" s="6" t="s">
        <v>888</v>
      </c>
      <c r="F116" s="6" t="s">
        <v>888</v>
      </c>
      <c r="G116" s="6" t="s">
        <v>709</v>
      </c>
      <c r="H116" s="25">
        <v>28000</v>
      </c>
      <c r="I116" s="38">
        <v>0</v>
      </c>
      <c r="J116" s="38">
        <v>0</v>
      </c>
      <c r="K116" s="39">
        <f t="shared" si="8"/>
        <v>0</v>
      </c>
      <c r="L116" s="38">
        <v>0</v>
      </c>
      <c r="M116" s="38">
        <v>0</v>
      </c>
      <c r="N116" s="39">
        <f t="shared" si="9"/>
        <v>0</v>
      </c>
      <c r="O116" s="38"/>
      <c r="P116" s="38"/>
      <c r="Q116" s="39">
        <f t="shared" si="10"/>
        <v>0</v>
      </c>
      <c r="R116" s="38">
        <v>1</v>
      </c>
      <c r="S116" s="38">
        <v>1</v>
      </c>
      <c r="T116" s="39">
        <f t="shared" si="11"/>
        <v>28000</v>
      </c>
      <c r="U116" s="38"/>
      <c r="V116" s="38"/>
      <c r="W116" s="39">
        <f t="shared" si="12"/>
        <v>0</v>
      </c>
      <c r="X116" s="38"/>
      <c r="Y116" s="38"/>
      <c r="Z116" s="39">
        <f t="shared" si="13"/>
        <v>0</v>
      </c>
      <c r="AA116" s="38"/>
      <c r="AB116" s="38"/>
      <c r="AC116" s="39">
        <f t="shared" si="14"/>
        <v>0</v>
      </c>
      <c r="AD116" s="38"/>
      <c r="AE116" s="38"/>
      <c r="AF116" s="39">
        <f t="shared" si="15"/>
        <v>0</v>
      </c>
    </row>
    <row r="117" spans="2:32" ht="15" customHeight="1" x14ac:dyDescent="0.3">
      <c r="B117" s="2" t="s">
        <v>836</v>
      </c>
      <c r="C117" s="4" t="s">
        <v>837</v>
      </c>
      <c r="D117" s="3" t="s">
        <v>887</v>
      </c>
      <c r="E117" s="6" t="s">
        <v>888</v>
      </c>
      <c r="F117" s="6" t="s">
        <v>888</v>
      </c>
      <c r="G117" s="6" t="s">
        <v>716</v>
      </c>
      <c r="H117" s="25">
        <v>39000</v>
      </c>
      <c r="I117" s="38">
        <v>100</v>
      </c>
      <c r="J117" s="38">
        <v>5</v>
      </c>
      <c r="K117" s="39">
        <f t="shared" si="8"/>
        <v>19500000</v>
      </c>
      <c r="L117" s="38">
        <v>0</v>
      </c>
      <c r="M117" s="38">
        <v>0</v>
      </c>
      <c r="N117" s="39">
        <f t="shared" si="9"/>
        <v>0</v>
      </c>
      <c r="O117" s="38">
        <v>100</v>
      </c>
      <c r="P117" s="38">
        <v>5</v>
      </c>
      <c r="Q117" s="39">
        <f t="shared" si="10"/>
        <v>19500000</v>
      </c>
      <c r="R117" s="38">
        <v>0</v>
      </c>
      <c r="S117" s="38">
        <v>0</v>
      </c>
      <c r="T117" s="39">
        <f t="shared" si="11"/>
        <v>0</v>
      </c>
      <c r="U117" s="38">
        <v>100</v>
      </c>
      <c r="V117" s="38">
        <v>5</v>
      </c>
      <c r="W117" s="39">
        <f t="shared" si="12"/>
        <v>19500000</v>
      </c>
      <c r="X117" s="38"/>
      <c r="Y117" s="38"/>
      <c r="Z117" s="39">
        <f t="shared" si="13"/>
        <v>0</v>
      </c>
      <c r="AA117" s="38"/>
      <c r="AB117" s="38"/>
      <c r="AC117" s="39">
        <f t="shared" si="14"/>
        <v>0</v>
      </c>
      <c r="AD117" s="38"/>
      <c r="AE117" s="38"/>
      <c r="AF117" s="39">
        <f t="shared" si="15"/>
        <v>0</v>
      </c>
    </row>
    <row r="118" spans="2:32" ht="15" customHeight="1" x14ac:dyDescent="0.3">
      <c r="B118" s="2" t="s">
        <v>836</v>
      </c>
      <c r="C118" s="4" t="s">
        <v>837</v>
      </c>
      <c r="D118" s="3" t="s">
        <v>887</v>
      </c>
      <c r="E118" s="6" t="s">
        <v>888</v>
      </c>
      <c r="F118" s="6" t="s">
        <v>888</v>
      </c>
      <c r="G118" s="6" t="s">
        <v>712</v>
      </c>
      <c r="H118" s="25">
        <v>214.29</v>
      </c>
      <c r="I118" s="38">
        <v>100</v>
      </c>
      <c r="J118" s="38">
        <v>6</v>
      </c>
      <c r="K118" s="39">
        <f t="shared" si="8"/>
        <v>128574</v>
      </c>
      <c r="L118" s="38">
        <v>0</v>
      </c>
      <c r="M118" s="38">
        <v>0</v>
      </c>
      <c r="N118" s="39">
        <f t="shared" si="9"/>
        <v>0</v>
      </c>
      <c r="O118" s="38">
        <v>100</v>
      </c>
      <c r="P118" s="38">
        <v>6</v>
      </c>
      <c r="Q118" s="39">
        <f t="shared" si="10"/>
        <v>128574</v>
      </c>
      <c r="R118" s="38">
        <v>0</v>
      </c>
      <c r="S118" s="38">
        <v>0</v>
      </c>
      <c r="T118" s="39">
        <f t="shared" si="11"/>
        <v>0</v>
      </c>
      <c r="U118" s="38">
        <v>100</v>
      </c>
      <c r="V118" s="38">
        <v>6</v>
      </c>
      <c r="W118" s="39">
        <f t="shared" si="12"/>
        <v>128574</v>
      </c>
      <c r="X118" s="38"/>
      <c r="Y118" s="38"/>
      <c r="Z118" s="39">
        <f t="shared" si="13"/>
        <v>0</v>
      </c>
      <c r="AA118" s="38"/>
      <c r="AB118" s="38"/>
      <c r="AC118" s="39">
        <f t="shared" si="14"/>
        <v>0</v>
      </c>
      <c r="AD118" s="38"/>
      <c r="AE118" s="38"/>
      <c r="AF118" s="39">
        <f t="shared" si="15"/>
        <v>0</v>
      </c>
    </row>
    <row r="119" spans="2:32" ht="15" customHeight="1" x14ac:dyDescent="0.3">
      <c r="B119" s="2" t="s">
        <v>836</v>
      </c>
      <c r="C119" s="4" t="s">
        <v>837</v>
      </c>
      <c r="D119" s="3" t="s">
        <v>887</v>
      </c>
      <c r="E119" s="6" t="s">
        <v>888</v>
      </c>
      <c r="F119" s="6" t="s">
        <v>889</v>
      </c>
      <c r="G119" s="6" t="s">
        <v>718</v>
      </c>
      <c r="H119" s="25">
        <v>0</v>
      </c>
      <c r="I119" s="38">
        <v>20000</v>
      </c>
      <c r="J119" s="38">
        <v>1</v>
      </c>
      <c r="K119" s="39">
        <f t="shared" si="8"/>
        <v>0</v>
      </c>
      <c r="L119" s="38">
        <v>0</v>
      </c>
      <c r="M119" s="38">
        <v>0</v>
      </c>
      <c r="N119" s="39">
        <f t="shared" si="9"/>
        <v>0</v>
      </c>
      <c r="O119" s="38">
        <v>20000</v>
      </c>
      <c r="P119" s="38">
        <v>1</v>
      </c>
      <c r="Q119" s="39">
        <f t="shared" si="10"/>
        <v>0</v>
      </c>
      <c r="R119" s="38">
        <v>0</v>
      </c>
      <c r="S119" s="38">
        <v>0</v>
      </c>
      <c r="T119" s="39">
        <f t="shared" si="11"/>
        <v>0</v>
      </c>
      <c r="U119" s="38">
        <v>20000</v>
      </c>
      <c r="V119" s="38">
        <v>1</v>
      </c>
      <c r="W119" s="39">
        <f t="shared" si="12"/>
        <v>0</v>
      </c>
      <c r="X119" s="38"/>
      <c r="Y119" s="38"/>
      <c r="Z119" s="39">
        <f t="shared" si="13"/>
        <v>0</v>
      </c>
      <c r="AA119" s="38"/>
      <c r="AB119" s="38"/>
      <c r="AC119" s="39">
        <f t="shared" si="14"/>
        <v>0</v>
      </c>
      <c r="AD119" s="38"/>
      <c r="AE119" s="38"/>
      <c r="AF119" s="39">
        <f t="shared" si="15"/>
        <v>0</v>
      </c>
    </row>
    <row r="120" spans="2:32" ht="15" customHeight="1" x14ac:dyDescent="0.3">
      <c r="B120" s="2" t="s">
        <v>836</v>
      </c>
      <c r="C120" s="4" t="s">
        <v>837</v>
      </c>
      <c r="D120" s="3" t="s">
        <v>887</v>
      </c>
      <c r="E120" s="6" t="s">
        <v>888</v>
      </c>
      <c r="F120" s="6" t="s">
        <v>890</v>
      </c>
      <c r="G120" s="6" t="s">
        <v>716</v>
      </c>
      <c r="H120" s="25">
        <v>39000</v>
      </c>
      <c r="I120" s="38">
        <v>3</v>
      </c>
      <c r="J120" s="38">
        <v>5</v>
      </c>
      <c r="K120" s="39">
        <f t="shared" si="8"/>
        <v>585000</v>
      </c>
      <c r="L120" s="38">
        <v>0</v>
      </c>
      <c r="M120" s="38">
        <v>0</v>
      </c>
      <c r="N120" s="39">
        <f t="shared" si="9"/>
        <v>0</v>
      </c>
      <c r="O120" s="38">
        <v>0</v>
      </c>
      <c r="P120" s="38">
        <v>0</v>
      </c>
      <c r="Q120" s="39">
        <f t="shared" si="10"/>
        <v>0</v>
      </c>
      <c r="R120" s="38">
        <v>0</v>
      </c>
      <c r="S120" s="38">
        <v>0</v>
      </c>
      <c r="T120" s="39">
        <f t="shared" si="11"/>
        <v>0</v>
      </c>
      <c r="U120" s="38">
        <v>0</v>
      </c>
      <c r="V120" s="38">
        <v>0</v>
      </c>
      <c r="W120" s="39">
        <f t="shared" si="12"/>
        <v>0</v>
      </c>
      <c r="X120" s="38"/>
      <c r="Y120" s="38"/>
      <c r="Z120" s="39">
        <f t="shared" si="13"/>
        <v>0</v>
      </c>
      <c r="AA120" s="38"/>
      <c r="AB120" s="38"/>
      <c r="AC120" s="39">
        <f t="shared" si="14"/>
        <v>0</v>
      </c>
      <c r="AD120" s="38"/>
      <c r="AE120" s="38"/>
      <c r="AF120" s="39">
        <f t="shared" si="15"/>
        <v>0</v>
      </c>
    </row>
    <row r="121" spans="2:32" ht="15" customHeight="1" x14ac:dyDescent="0.3">
      <c r="B121" s="2" t="s">
        <v>836</v>
      </c>
      <c r="C121" s="4" t="s">
        <v>837</v>
      </c>
      <c r="D121" s="3" t="s">
        <v>887</v>
      </c>
      <c r="E121" s="6" t="s">
        <v>888</v>
      </c>
      <c r="F121" s="6" t="s">
        <v>890</v>
      </c>
      <c r="G121" s="6" t="s">
        <v>712</v>
      </c>
      <c r="H121" s="25">
        <v>214.29</v>
      </c>
      <c r="I121" s="38">
        <v>20</v>
      </c>
      <c r="J121" s="38">
        <v>5</v>
      </c>
      <c r="K121" s="39">
        <f t="shared" si="8"/>
        <v>21429</v>
      </c>
      <c r="L121" s="38">
        <v>0</v>
      </c>
      <c r="M121" s="38">
        <v>0</v>
      </c>
      <c r="N121" s="39">
        <f t="shared" si="9"/>
        <v>0</v>
      </c>
      <c r="O121" s="38">
        <v>0</v>
      </c>
      <c r="P121" s="38">
        <v>0</v>
      </c>
      <c r="Q121" s="39">
        <f t="shared" si="10"/>
        <v>0</v>
      </c>
      <c r="R121" s="38">
        <v>0</v>
      </c>
      <c r="S121" s="38">
        <v>0</v>
      </c>
      <c r="T121" s="39">
        <f t="shared" si="11"/>
        <v>0</v>
      </c>
      <c r="U121" s="38">
        <v>0</v>
      </c>
      <c r="V121" s="38">
        <v>0</v>
      </c>
      <c r="W121" s="39">
        <f t="shared" si="12"/>
        <v>0</v>
      </c>
      <c r="X121" s="38"/>
      <c r="Y121" s="38"/>
      <c r="Z121" s="39">
        <f t="shared" si="13"/>
        <v>0</v>
      </c>
      <c r="AA121" s="38"/>
      <c r="AB121" s="38"/>
      <c r="AC121" s="39">
        <f t="shared" si="14"/>
        <v>0</v>
      </c>
      <c r="AD121" s="38"/>
      <c r="AE121" s="38"/>
      <c r="AF121" s="39">
        <f t="shared" si="15"/>
        <v>0</v>
      </c>
    </row>
    <row r="122" spans="2:32" ht="15" customHeight="1" x14ac:dyDescent="0.3">
      <c r="B122" s="2" t="s">
        <v>836</v>
      </c>
      <c r="C122" s="4" t="s">
        <v>837</v>
      </c>
      <c r="D122" s="3" t="s">
        <v>887</v>
      </c>
      <c r="E122" s="6" t="s">
        <v>888</v>
      </c>
      <c r="F122" s="6" t="s">
        <v>890</v>
      </c>
      <c r="G122" s="6" t="s">
        <v>709</v>
      </c>
      <c r="H122" s="25">
        <v>28000</v>
      </c>
      <c r="I122" s="38">
        <v>4000</v>
      </c>
      <c r="J122" s="38">
        <v>1</v>
      </c>
      <c r="K122" s="39">
        <f t="shared" si="8"/>
        <v>112000000</v>
      </c>
      <c r="L122" s="38">
        <v>0</v>
      </c>
      <c r="M122" s="38">
        <v>0</v>
      </c>
      <c r="N122" s="39">
        <f t="shared" si="9"/>
        <v>0</v>
      </c>
      <c r="O122" s="38">
        <v>0</v>
      </c>
      <c r="P122" s="38">
        <v>0</v>
      </c>
      <c r="Q122" s="39">
        <f t="shared" si="10"/>
        <v>0</v>
      </c>
      <c r="R122" s="38">
        <v>0</v>
      </c>
      <c r="S122" s="38">
        <v>0</v>
      </c>
      <c r="T122" s="39">
        <f t="shared" si="11"/>
        <v>0</v>
      </c>
      <c r="U122" s="38">
        <v>0</v>
      </c>
      <c r="V122" s="38">
        <v>0</v>
      </c>
      <c r="W122" s="39">
        <f t="shared" si="12"/>
        <v>0</v>
      </c>
      <c r="X122" s="38"/>
      <c r="Y122" s="38"/>
      <c r="Z122" s="39">
        <f t="shared" si="13"/>
        <v>0</v>
      </c>
      <c r="AA122" s="38"/>
      <c r="AB122" s="38"/>
      <c r="AC122" s="39">
        <f t="shared" si="14"/>
        <v>0</v>
      </c>
      <c r="AD122" s="38"/>
      <c r="AE122" s="38"/>
      <c r="AF122" s="39">
        <f t="shared" si="15"/>
        <v>0</v>
      </c>
    </row>
    <row r="123" spans="2:32" ht="15" customHeight="1" x14ac:dyDescent="0.3">
      <c r="B123" s="2" t="s">
        <v>836</v>
      </c>
      <c r="C123" s="4" t="s">
        <v>837</v>
      </c>
      <c r="D123" s="3" t="s">
        <v>887</v>
      </c>
      <c r="E123" s="6" t="s">
        <v>888</v>
      </c>
      <c r="F123" s="6" t="s">
        <v>891</v>
      </c>
      <c r="G123" s="6" t="s">
        <v>713</v>
      </c>
      <c r="H123" s="25">
        <v>45000</v>
      </c>
      <c r="I123" s="38">
        <v>20</v>
      </c>
      <c r="J123" s="38">
        <v>5</v>
      </c>
      <c r="K123" s="39">
        <f t="shared" si="8"/>
        <v>4500000</v>
      </c>
      <c r="L123" s="38">
        <v>0</v>
      </c>
      <c r="M123" s="38">
        <v>0</v>
      </c>
      <c r="N123" s="39">
        <f t="shared" si="9"/>
        <v>0</v>
      </c>
      <c r="O123" s="38">
        <v>0</v>
      </c>
      <c r="P123" s="38">
        <v>0</v>
      </c>
      <c r="Q123" s="39">
        <f t="shared" si="10"/>
        <v>0</v>
      </c>
      <c r="R123" s="38">
        <v>0</v>
      </c>
      <c r="S123" s="38">
        <v>0</v>
      </c>
      <c r="T123" s="39">
        <f t="shared" si="11"/>
        <v>0</v>
      </c>
      <c r="U123" s="38">
        <v>0</v>
      </c>
      <c r="V123" s="38">
        <v>0</v>
      </c>
      <c r="W123" s="39">
        <f t="shared" si="12"/>
        <v>0</v>
      </c>
      <c r="X123" s="38"/>
      <c r="Y123" s="38"/>
      <c r="Z123" s="39">
        <f t="shared" si="13"/>
        <v>0</v>
      </c>
      <c r="AA123" s="38"/>
      <c r="AB123" s="38"/>
      <c r="AC123" s="39">
        <f t="shared" si="14"/>
        <v>0</v>
      </c>
      <c r="AD123" s="38"/>
      <c r="AE123" s="38"/>
      <c r="AF123" s="39">
        <f t="shared" si="15"/>
        <v>0</v>
      </c>
    </row>
    <row r="124" spans="2:32" ht="15" customHeight="1" x14ac:dyDescent="0.3">
      <c r="B124" s="2" t="s">
        <v>836</v>
      </c>
      <c r="C124" s="4" t="s">
        <v>837</v>
      </c>
      <c r="D124" s="3" t="s">
        <v>887</v>
      </c>
      <c r="E124" s="6" t="s">
        <v>888</v>
      </c>
      <c r="F124" s="6" t="s">
        <v>891</v>
      </c>
      <c r="G124" s="6" t="s">
        <v>712</v>
      </c>
      <c r="H124" s="25">
        <v>214.29</v>
      </c>
      <c r="I124" s="38">
        <v>10</v>
      </c>
      <c r="J124" s="38">
        <v>40</v>
      </c>
      <c r="K124" s="39">
        <f t="shared" si="8"/>
        <v>85716</v>
      </c>
      <c r="L124" s="38">
        <v>10</v>
      </c>
      <c r="M124" s="38">
        <v>40</v>
      </c>
      <c r="N124" s="39">
        <f t="shared" si="9"/>
        <v>85716</v>
      </c>
      <c r="O124" s="38">
        <v>10</v>
      </c>
      <c r="P124" s="38">
        <v>40</v>
      </c>
      <c r="Q124" s="39">
        <f t="shared" si="10"/>
        <v>85716</v>
      </c>
      <c r="R124" s="38">
        <v>10</v>
      </c>
      <c r="S124" s="38">
        <v>40</v>
      </c>
      <c r="T124" s="39">
        <f t="shared" si="11"/>
        <v>85716</v>
      </c>
      <c r="U124" s="38">
        <v>10</v>
      </c>
      <c r="V124" s="38">
        <v>40</v>
      </c>
      <c r="W124" s="39">
        <f t="shared" si="12"/>
        <v>85716</v>
      </c>
      <c r="X124" s="38"/>
      <c r="Y124" s="38"/>
      <c r="Z124" s="39">
        <f t="shared" si="13"/>
        <v>0</v>
      </c>
      <c r="AA124" s="38"/>
      <c r="AB124" s="38"/>
      <c r="AC124" s="39">
        <f t="shared" si="14"/>
        <v>0</v>
      </c>
      <c r="AD124" s="38"/>
      <c r="AE124" s="38"/>
      <c r="AF124" s="39">
        <f t="shared" si="15"/>
        <v>0</v>
      </c>
    </row>
    <row r="125" spans="2:32" ht="15" customHeight="1" x14ac:dyDescent="0.3">
      <c r="B125" s="2" t="s">
        <v>836</v>
      </c>
      <c r="C125" s="4" t="s">
        <v>837</v>
      </c>
      <c r="D125" s="3" t="s">
        <v>892</v>
      </c>
      <c r="E125" s="6" t="s">
        <v>893</v>
      </c>
      <c r="F125" s="6" t="s">
        <v>894</v>
      </c>
      <c r="G125" s="6" t="s">
        <v>841</v>
      </c>
      <c r="H125" s="25">
        <v>0</v>
      </c>
      <c r="I125" s="38">
        <v>20000</v>
      </c>
      <c r="J125" s="38">
        <v>8</v>
      </c>
      <c r="K125" s="39">
        <f t="shared" si="8"/>
        <v>0</v>
      </c>
      <c r="L125" s="38">
        <v>20000</v>
      </c>
      <c r="M125" s="38">
        <v>8</v>
      </c>
      <c r="N125" s="39">
        <f t="shared" si="9"/>
        <v>0</v>
      </c>
      <c r="O125" s="38">
        <v>20000</v>
      </c>
      <c r="P125" s="38">
        <v>8</v>
      </c>
      <c r="Q125" s="39">
        <f t="shared" si="10"/>
        <v>0</v>
      </c>
      <c r="R125" s="38">
        <v>20000</v>
      </c>
      <c r="S125" s="38">
        <v>8</v>
      </c>
      <c r="T125" s="39">
        <f t="shared" si="11"/>
        <v>0</v>
      </c>
      <c r="U125" s="38">
        <v>20000</v>
      </c>
      <c r="V125" s="38">
        <v>8</v>
      </c>
      <c r="W125" s="39">
        <f t="shared" si="12"/>
        <v>0</v>
      </c>
      <c r="X125" s="38"/>
      <c r="Y125" s="38"/>
      <c r="Z125" s="39">
        <f t="shared" si="13"/>
        <v>0</v>
      </c>
      <c r="AA125" s="38"/>
      <c r="AB125" s="38"/>
      <c r="AC125" s="39">
        <f t="shared" si="14"/>
        <v>0</v>
      </c>
      <c r="AD125" s="38"/>
      <c r="AE125" s="38"/>
      <c r="AF125" s="39">
        <f t="shared" si="15"/>
        <v>0</v>
      </c>
    </row>
    <row r="126" spans="2:32" ht="15" customHeight="1" x14ac:dyDescent="0.3">
      <c r="B126" s="2" t="s">
        <v>836</v>
      </c>
      <c r="C126" s="4" t="s">
        <v>837</v>
      </c>
      <c r="D126" s="3" t="s">
        <v>892</v>
      </c>
      <c r="E126" s="6" t="s">
        <v>893</v>
      </c>
      <c r="F126" s="6" t="s">
        <v>149</v>
      </c>
      <c r="G126" s="6" t="s">
        <v>707</v>
      </c>
      <c r="H126" s="25">
        <v>391991.03749999998</v>
      </c>
      <c r="I126" s="38">
        <v>0</v>
      </c>
      <c r="J126" s="38">
        <v>0</v>
      </c>
      <c r="K126" s="39">
        <f t="shared" si="8"/>
        <v>0</v>
      </c>
      <c r="L126" s="38">
        <v>0</v>
      </c>
      <c r="M126" s="38">
        <v>0</v>
      </c>
      <c r="N126" s="39">
        <f t="shared" si="9"/>
        <v>0</v>
      </c>
      <c r="O126" s="38">
        <v>0</v>
      </c>
      <c r="P126" s="38">
        <v>0</v>
      </c>
      <c r="Q126" s="39">
        <f t="shared" si="10"/>
        <v>0</v>
      </c>
      <c r="R126" s="38">
        <v>0</v>
      </c>
      <c r="S126" s="38">
        <v>0</v>
      </c>
      <c r="T126" s="39">
        <f t="shared" si="11"/>
        <v>0</v>
      </c>
      <c r="U126" s="38">
        <v>0</v>
      </c>
      <c r="V126" s="38">
        <v>0</v>
      </c>
      <c r="W126" s="39">
        <f t="shared" si="12"/>
        <v>0</v>
      </c>
      <c r="X126" s="38"/>
      <c r="Y126" s="38"/>
      <c r="Z126" s="39">
        <f t="shared" si="13"/>
        <v>0</v>
      </c>
      <c r="AA126" s="38"/>
      <c r="AB126" s="38"/>
      <c r="AC126" s="39">
        <f t="shared" si="14"/>
        <v>0</v>
      </c>
      <c r="AD126" s="38"/>
      <c r="AE126" s="38"/>
      <c r="AF126" s="39">
        <f t="shared" si="15"/>
        <v>0</v>
      </c>
    </row>
    <row r="127" spans="2:32" ht="15" customHeight="1" x14ac:dyDescent="0.3">
      <c r="B127" s="2" t="s">
        <v>836</v>
      </c>
      <c r="C127" s="4" t="s">
        <v>837</v>
      </c>
      <c r="D127" s="3" t="s">
        <v>892</v>
      </c>
      <c r="E127" s="6" t="s">
        <v>893</v>
      </c>
      <c r="F127" s="6" t="s">
        <v>149</v>
      </c>
      <c r="G127" s="6" t="s">
        <v>708</v>
      </c>
      <c r="H127" s="25">
        <v>425000</v>
      </c>
      <c r="I127" s="38">
        <v>0</v>
      </c>
      <c r="J127" s="38">
        <v>0</v>
      </c>
      <c r="K127" s="39">
        <f t="shared" si="8"/>
        <v>0</v>
      </c>
      <c r="L127" s="38">
        <v>1</v>
      </c>
      <c r="M127" s="38">
        <v>6</v>
      </c>
      <c r="N127" s="39">
        <f t="shared" si="9"/>
        <v>2550000</v>
      </c>
      <c r="O127" s="38">
        <v>1</v>
      </c>
      <c r="P127" s="38">
        <v>6</v>
      </c>
      <c r="Q127" s="39">
        <f t="shared" si="10"/>
        <v>2550000</v>
      </c>
      <c r="R127" s="38">
        <v>1</v>
      </c>
      <c r="S127" s="38">
        <v>6</v>
      </c>
      <c r="T127" s="39">
        <f t="shared" si="11"/>
        <v>2550000</v>
      </c>
      <c r="U127" s="38">
        <v>0</v>
      </c>
      <c r="V127" s="38">
        <v>0</v>
      </c>
      <c r="W127" s="39">
        <f t="shared" si="12"/>
        <v>0</v>
      </c>
      <c r="X127" s="38"/>
      <c r="Y127" s="38"/>
      <c r="Z127" s="39">
        <f t="shared" si="13"/>
        <v>0</v>
      </c>
      <c r="AA127" s="38"/>
      <c r="AB127" s="38"/>
      <c r="AC127" s="39">
        <f t="shared" si="14"/>
        <v>0</v>
      </c>
      <c r="AD127" s="38"/>
      <c r="AE127" s="38"/>
      <c r="AF127" s="39">
        <f t="shared" si="15"/>
        <v>0</v>
      </c>
    </row>
    <row r="128" spans="2:32" ht="15" customHeight="1" x14ac:dyDescent="0.3">
      <c r="B128" s="2" t="s">
        <v>836</v>
      </c>
      <c r="C128" s="4" t="s">
        <v>837</v>
      </c>
      <c r="D128" s="3" t="s">
        <v>892</v>
      </c>
      <c r="E128" s="6" t="s">
        <v>893</v>
      </c>
      <c r="F128" s="6" t="s">
        <v>895</v>
      </c>
      <c r="G128" s="6" t="s">
        <v>841</v>
      </c>
      <c r="H128" s="25">
        <v>0</v>
      </c>
      <c r="I128" s="38">
        <v>0</v>
      </c>
      <c r="J128" s="38">
        <v>0</v>
      </c>
      <c r="K128" s="39">
        <f t="shared" si="8"/>
        <v>0</v>
      </c>
      <c r="L128" s="38">
        <v>1</v>
      </c>
      <c r="M128" s="38">
        <v>50</v>
      </c>
      <c r="N128" s="39">
        <f t="shared" si="9"/>
        <v>0</v>
      </c>
      <c r="O128" s="38">
        <v>1</v>
      </c>
      <c r="P128" s="38">
        <v>50</v>
      </c>
      <c r="Q128" s="39">
        <f t="shared" si="10"/>
        <v>0</v>
      </c>
      <c r="R128" s="38">
        <v>1</v>
      </c>
      <c r="S128" s="38">
        <v>50</v>
      </c>
      <c r="T128" s="39">
        <f t="shared" si="11"/>
        <v>0</v>
      </c>
      <c r="U128" s="38">
        <v>0</v>
      </c>
      <c r="V128" s="38">
        <v>0</v>
      </c>
      <c r="W128" s="39">
        <f t="shared" si="12"/>
        <v>0</v>
      </c>
      <c r="X128" s="38"/>
      <c r="Y128" s="38"/>
      <c r="Z128" s="39">
        <f t="shared" si="13"/>
        <v>0</v>
      </c>
      <c r="AA128" s="38"/>
      <c r="AB128" s="38"/>
      <c r="AC128" s="39">
        <f t="shared" si="14"/>
        <v>0</v>
      </c>
      <c r="AD128" s="38"/>
      <c r="AE128" s="38"/>
      <c r="AF128" s="39">
        <f t="shared" si="15"/>
        <v>0</v>
      </c>
    </row>
    <row r="129" spans="2:32" ht="15" customHeight="1" x14ac:dyDescent="0.3">
      <c r="B129" s="2" t="s">
        <v>836</v>
      </c>
      <c r="C129" s="4" t="s">
        <v>837</v>
      </c>
      <c r="D129" s="3" t="s">
        <v>892</v>
      </c>
      <c r="E129" s="6" t="s">
        <v>893</v>
      </c>
      <c r="F129" s="6" t="s">
        <v>896</v>
      </c>
      <c r="G129" s="6" t="s">
        <v>709</v>
      </c>
      <c r="H129" s="25">
        <v>28000</v>
      </c>
      <c r="I129" s="38">
        <v>0</v>
      </c>
      <c r="J129" s="38">
        <v>0</v>
      </c>
      <c r="K129" s="39">
        <f t="shared" si="8"/>
        <v>0</v>
      </c>
      <c r="L129" s="38">
        <v>5</v>
      </c>
      <c r="M129" s="38">
        <v>14</v>
      </c>
      <c r="N129" s="39">
        <f t="shared" si="9"/>
        <v>1960000</v>
      </c>
      <c r="O129" s="38">
        <v>5</v>
      </c>
      <c r="P129" s="38">
        <v>14</v>
      </c>
      <c r="Q129" s="39">
        <f t="shared" si="10"/>
        <v>1960000</v>
      </c>
      <c r="R129" s="38">
        <v>5</v>
      </c>
      <c r="S129" s="38">
        <v>14</v>
      </c>
      <c r="T129" s="39">
        <f t="shared" si="11"/>
        <v>1960000</v>
      </c>
      <c r="U129" s="38">
        <v>0</v>
      </c>
      <c r="V129" s="38">
        <v>0</v>
      </c>
      <c r="W129" s="39">
        <f t="shared" si="12"/>
        <v>0</v>
      </c>
      <c r="X129" s="38"/>
      <c r="Y129" s="38"/>
      <c r="Z129" s="39">
        <f t="shared" si="13"/>
        <v>0</v>
      </c>
      <c r="AA129" s="38"/>
      <c r="AB129" s="38"/>
      <c r="AC129" s="39">
        <f t="shared" si="14"/>
        <v>0</v>
      </c>
      <c r="AD129" s="38"/>
      <c r="AE129" s="38"/>
      <c r="AF129" s="39">
        <f t="shared" si="15"/>
        <v>0</v>
      </c>
    </row>
    <row r="130" spans="2:32" ht="15" customHeight="1" x14ac:dyDescent="0.3">
      <c r="B130" s="2" t="s">
        <v>836</v>
      </c>
      <c r="C130" s="4" t="s">
        <v>837</v>
      </c>
      <c r="D130" s="3" t="s">
        <v>892</v>
      </c>
      <c r="E130" s="6" t="s">
        <v>893</v>
      </c>
      <c r="F130" s="6" t="s">
        <v>896</v>
      </c>
      <c r="G130" s="6" t="s">
        <v>710</v>
      </c>
      <c r="H130" s="25">
        <v>104850</v>
      </c>
      <c r="I130" s="38">
        <v>0</v>
      </c>
      <c r="J130" s="38">
        <v>0</v>
      </c>
      <c r="K130" s="39">
        <f t="shared" si="8"/>
        <v>0</v>
      </c>
      <c r="L130" s="38">
        <v>25</v>
      </c>
      <c r="M130" s="38">
        <v>3</v>
      </c>
      <c r="N130" s="39">
        <f t="shared" si="9"/>
        <v>7863750</v>
      </c>
      <c r="O130" s="38">
        <v>25</v>
      </c>
      <c r="P130" s="38">
        <v>3</v>
      </c>
      <c r="Q130" s="39">
        <f t="shared" si="10"/>
        <v>7863750</v>
      </c>
      <c r="R130" s="38">
        <v>25</v>
      </c>
      <c r="S130" s="38">
        <v>3</v>
      </c>
      <c r="T130" s="39">
        <f t="shared" si="11"/>
        <v>7863750</v>
      </c>
      <c r="U130" s="38">
        <v>0</v>
      </c>
      <c r="V130" s="38">
        <v>0</v>
      </c>
      <c r="W130" s="39">
        <f t="shared" si="12"/>
        <v>0</v>
      </c>
      <c r="X130" s="38"/>
      <c r="Y130" s="38"/>
      <c r="Z130" s="39">
        <f t="shared" si="13"/>
        <v>0</v>
      </c>
      <c r="AA130" s="38"/>
      <c r="AB130" s="38"/>
      <c r="AC130" s="39">
        <f t="shared" si="14"/>
        <v>0</v>
      </c>
      <c r="AD130" s="38"/>
      <c r="AE130" s="38"/>
      <c r="AF130" s="39">
        <f t="shared" si="15"/>
        <v>0</v>
      </c>
    </row>
    <row r="131" spans="2:32" ht="15" customHeight="1" x14ac:dyDescent="0.3">
      <c r="B131" s="2" t="s">
        <v>836</v>
      </c>
      <c r="C131" s="4" t="s">
        <v>837</v>
      </c>
      <c r="D131" s="3" t="s">
        <v>892</v>
      </c>
      <c r="E131" s="6" t="s">
        <v>893</v>
      </c>
      <c r="F131" s="6" t="s">
        <v>896</v>
      </c>
      <c r="G131" s="6" t="s">
        <v>711</v>
      </c>
      <c r="H131" s="25">
        <v>70</v>
      </c>
      <c r="I131" s="38">
        <v>0</v>
      </c>
      <c r="J131" s="38">
        <v>0</v>
      </c>
      <c r="K131" s="39">
        <f t="shared" ref="K131:K194" si="16">H131*I131*J131</f>
        <v>0</v>
      </c>
      <c r="L131" s="38">
        <v>1</v>
      </c>
      <c r="M131" s="38">
        <v>1</v>
      </c>
      <c r="N131" s="39">
        <f t="shared" ref="N131:N194" si="17">H131*L131*M131</f>
        <v>70</v>
      </c>
      <c r="O131" s="38">
        <v>1</v>
      </c>
      <c r="P131" s="38">
        <v>1</v>
      </c>
      <c r="Q131" s="39">
        <f t="shared" ref="Q131:Q194" si="18">H131*O131*P131</f>
        <v>70</v>
      </c>
      <c r="R131" s="38">
        <v>1</v>
      </c>
      <c r="S131" s="38">
        <v>1</v>
      </c>
      <c r="T131" s="39">
        <f t="shared" ref="T131:T194" si="19">H131*R131*S131</f>
        <v>70</v>
      </c>
      <c r="U131" s="38">
        <v>0</v>
      </c>
      <c r="V131" s="38">
        <v>0</v>
      </c>
      <c r="W131" s="39">
        <f t="shared" ref="W131:W194" si="20">H131*U131*V131</f>
        <v>0</v>
      </c>
      <c r="X131" s="38"/>
      <c r="Y131" s="38"/>
      <c r="Z131" s="39">
        <f t="shared" ref="Z131:Z194" si="21">H131*X131*Y131</f>
        <v>0</v>
      </c>
      <c r="AA131" s="38"/>
      <c r="AB131" s="38"/>
      <c r="AC131" s="39">
        <f t="shared" ref="AC131:AC194" si="22">H131*AA131*AB131</f>
        <v>0</v>
      </c>
      <c r="AD131" s="38"/>
      <c r="AE131" s="38"/>
      <c r="AF131" s="39">
        <f t="shared" ref="AF131:AF194" si="23">H131*AD131*AE131</f>
        <v>0</v>
      </c>
    </row>
    <row r="132" spans="2:32" ht="15" customHeight="1" x14ac:dyDescent="0.3">
      <c r="B132" s="2" t="s">
        <v>836</v>
      </c>
      <c r="C132" s="4" t="s">
        <v>837</v>
      </c>
      <c r="D132" s="3" t="s">
        <v>892</v>
      </c>
      <c r="E132" s="6" t="s">
        <v>893</v>
      </c>
      <c r="F132" s="6" t="s">
        <v>163</v>
      </c>
      <c r="G132" s="6" t="s">
        <v>713</v>
      </c>
      <c r="H132" s="25">
        <v>45000</v>
      </c>
      <c r="I132" s="38">
        <v>0</v>
      </c>
      <c r="J132" s="38">
        <v>0</v>
      </c>
      <c r="K132" s="39">
        <f t="shared" si="16"/>
        <v>0</v>
      </c>
      <c r="L132" s="38">
        <v>15</v>
      </c>
      <c r="M132" s="38">
        <v>1</v>
      </c>
      <c r="N132" s="39">
        <f t="shared" si="17"/>
        <v>675000</v>
      </c>
      <c r="O132" s="38">
        <v>15</v>
      </c>
      <c r="P132" s="38">
        <v>1</v>
      </c>
      <c r="Q132" s="39">
        <f t="shared" si="18"/>
        <v>675000</v>
      </c>
      <c r="R132" s="38">
        <v>15</v>
      </c>
      <c r="S132" s="38">
        <v>1</v>
      </c>
      <c r="T132" s="39">
        <f t="shared" si="19"/>
        <v>675000</v>
      </c>
      <c r="U132" s="38">
        <v>0</v>
      </c>
      <c r="V132" s="38">
        <v>0</v>
      </c>
      <c r="W132" s="39">
        <f t="shared" si="20"/>
        <v>0</v>
      </c>
      <c r="X132" s="38"/>
      <c r="Y132" s="38"/>
      <c r="Z132" s="39">
        <f t="shared" si="21"/>
        <v>0</v>
      </c>
      <c r="AA132" s="38"/>
      <c r="AB132" s="38"/>
      <c r="AC132" s="39">
        <f t="shared" si="22"/>
        <v>0</v>
      </c>
      <c r="AD132" s="38"/>
      <c r="AE132" s="38"/>
      <c r="AF132" s="39">
        <f t="shared" si="23"/>
        <v>0</v>
      </c>
    </row>
    <row r="133" spans="2:32" ht="15" customHeight="1" x14ac:dyDescent="0.3">
      <c r="B133" s="2" t="s">
        <v>836</v>
      </c>
      <c r="C133" s="4" t="s">
        <v>837</v>
      </c>
      <c r="D133" s="3" t="s">
        <v>892</v>
      </c>
      <c r="E133" s="6" t="s">
        <v>893</v>
      </c>
      <c r="F133" s="6" t="s">
        <v>163</v>
      </c>
      <c r="G133" s="6" t="s">
        <v>712</v>
      </c>
      <c r="H133" s="25">
        <v>214.29</v>
      </c>
      <c r="I133" s="38">
        <v>0</v>
      </c>
      <c r="J133" s="38">
        <v>0</v>
      </c>
      <c r="K133" s="39">
        <f t="shared" si="16"/>
        <v>0</v>
      </c>
      <c r="L133" s="38">
        <v>25</v>
      </c>
      <c r="M133" s="38">
        <v>1</v>
      </c>
      <c r="N133" s="39">
        <f t="shared" si="17"/>
        <v>5357.25</v>
      </c>
      <c r="O133" s="38">
        <v>25</v>
      </c>
      <c r="P133" s="38">
        <v>1</v>
      </c>
      <c r="Q133" s="39">
        <f t="shared" si="18"/>
        <v>5357.25</v>
      </c>
      <c r="R133" s="38">
        <v>25</v>
      </c>
      <c r="S133" s="38">
        <v>1</v>
      </c>
      <c r="T133" s="39">
        <f t="shared" si="19"/>
        <v>5357.25</v>
      </c>
      <c r="U133" s="38">
        <v>0</v>
      </c>
      <c r="V133" s="38">
        <v>0</v>
      </c>
      <c r="W133" s="39">
        <f t="shared" si="20"/>
        <v>0</v>
      </c>
      <c r="X133" s="38"/>
      <c r="Y133" s="38"/>
      <c r="Z133" s="39">
        <f t="shared" si="21"/>
        <v>0</v>
      </c>
      <c r="AA133" s="38"/>
      <c r="AB133" s="38"/>
      <c r="AC133" s="39">
        <f t="shared" si="22"/>
        <v>0</v>
      </c>
      <c r="AD133" s="38"/>
      <c r="AE133" s="38"/>
      <c r="AF133" s="39">
        <f t="shared" si="23"/>
        <v>0</v>
      </c>
    </row>
    <row r="134" spans="2:32" ht="15" customHeight="1" x14ac:dyDescent="0.3">
      <c r="B134" s="2" t="s">
        <v>836</v>
      </c>
      <c r="C134" s="4" t="s">
        <v>837</v>
      </c>
      <c r="D134" s="3" t="s">
        <v>892</v>
      </c>
      <c r="E134" s="6" t="s">
        <v>893</v>
      </c>
      <c r="F134" s="6" t="s">
        <v>846</v>
      </c>
      <c r="G134" s="6" t="s">
        <v>709</v>
      </c>
      <c r="H134" s="25">
        <v>28000</v>
      </c>
      <c r="I134" s="38">
        <v>0</v>
      </c>
      <c r="J134" s="38">
        <v>0</v>
      </c>
      <c r="K134" s="39">
        <f t="shared" si="16"/>
        <v>0</v>
      </c>
      <c r="L134" s="38">
        <v>4000</v>
      </c>
      <c r="M134" s="38">
        <v>1</v>
      </c>
      <c r="N134" s="39">
        <f t="shared" si="17"/>
        <v>112000000</v>
      </c>
      <c r="O134" s="38">
        <v>4000</v>
      </c>
      <c r="P134" s="38">
        <v>1</v>
      </c>
      <c r="Q134" s="39">
        <f t="shared" si="18"/>
        <v>112000000</v>
      </c>
      <c r="R134" s="38">
        <v>4000</v>
      </c>
      <c r="S134" s="38">
        <v>1</v>
      </c>
      <c r="T134" s="39">
        <f t="shared" si="19"/>
        <v>112000000</v>
      </c>
      <c r="U134" s="38">
        <v>0</v>
      </c>
      <c r="V134" s="38">
        <v>0</v>
      </c>
      <c r="W134" s="39">
        <f t="shared" si="20"/>
        <v>0</v>
      </c>
      <c r="X134" s="38"/>
      <c r="Y134" s="38"/>
      <c r="Z134" s="39">
        <f t="shared" si="21"/>
        <v>0</v>
      </c>
      <c r="AA134" s="38"/>
      <c r="AB134" s="38"/>
      <c r="AC134" s="39">
        <f t="shared" si="22"/>
        <v>0</v>
      </c>
      <c r="AD134" s="38"/>
      <c r="AE134" s="38"/>
      <c r="AF134" s="39">
        <f t="shared" si="23"/>
        <v>0</v>
      </c>
    </row>
    <row r="135" spans="2:32" ht="15" customHeight="1" x14ac:dyDescent="0.3">
      <c r="B135" s="2" t="s">
        <v>836</v>
      </c>
      <c r="C135" s="4" t="s">
        <v>837</v>
      </c>
      <c r="D135" s="3" t="s">
        <v>892</v>
      </c>
      <c r="E135" s="6" t="s">
        <v>893</v>
      </c>
      <c r="F135" s="6" t="s">
        <v>151</v>
      </c>
      <c r="G135" s="6" t="s">
        <v>713</v>
      </c>
      <c r="H135" s="25">
        <v>45000</v>
      </c>
      <c r="I135" s="38">
        <v>0</v>
      </c>
      <c r="J135" s="38">
        <v>0</v>
      </c>
      <c r="K135" s="39">
        <f t="shared" si="16"/>
        <v>0</v>
      </c>
      <c r="L135" s="38">
        <v>25</v>
      </c>
      <c r="M135" s="38">
        <v>1</v>
      </c>
      <c r="N135" s="39">
        <f t="shared" si="17"/>
        <v>1125000</v>
      </c>
      <c r="O135" s="38">
        <v>25</v>
      </c>
      <c r="P135" s="38">
        <v>1</v>
      </c>
      <c r="Q135" s="39">
        <f t="shared" si="18"/>
        <v>1125000</v>
      </c>
      <c r="R135" s="38">
        <v>25</v>
      </c>
      <c r="S135" s="38">
        <v>1</v>
      </c>
      <c r="T135" s="39">
        <f t="shared" si="19"/>
        <v>1125000</v>
      </c>
      <c r="U135" s="38">
        <v>0</v>
      </c>
      <c r="V135" s="38">
        <v>0</v>
      </c>
      <c r="W135" s="39">
        <f t="shared" si="20"/>
        <v>0</v>
      </c>
      <c r="X135" s="38"/>
      <c r="Y135" s="38"/>
      <c r="Z135" s="39">
        <f t="shared" si="21"/>
        <v>0</v>
      </c>
      <c r="AA135" s="38"/>
      <c r="AB135" s="38"/>
      <c r="AC135" s="39">
        <f t="shared" si="22"/>
        <v>0</v>
      </c>
      <c r="AD135" s="38"/>
      <c r="AE135" s="38"/>
      <c r="AF135" s="39">
        <f t="shared" si="23"/>
        <v>0</v>
      </c>
    </row>
    <row r="136" spans="2:32" ht="15" customHeight="1" x14ac:dyDescent="0.3">
      <c r="B136" s="2" t="s">
        <v>836</v>
      </c>
      <c r="C136" s="4" t="s">
        <v>837</v>
      </c>
      <c r="D136" s="3" t="s">
        <v>892</v>
      </c>
      <c r="E136" s="6" t="s">
        <v>893</v>
      </c>
      <c r="F136" s="6" t="s">
        <v>151</v>
      </c>
      <c r="G136" s="6" t="s">
        <v>712</v>
      </c>
      <c r="H136" s="25">
        <v>214.29</v>
      </c>
      <c r="I136" s="38">
        <v>0</v>
      </c>
      <c r="J136" s="38">
        <v>0</v>
      </c>
      <c r="K136" s="39">
        <f t="shared" si="16"/>
        <v>0</v>
      </c>
      <c r="L136" s="38">
        <v>25</v>
      </c>
      <c r="M136" s="38">
        <v>10</v>
      </c>
      <c r="N136" s="39">
        <f t="shared" si="17"/>
        <v>53572.5</v>
      </c>
      <c r="O136" s="38">
        <v>25</v>
      </c>
      <c r="P136" s="38">
        <v>10</v>
      </c>
      <c r="Q136" s="39">
        <f t="shared" si="18"/>
        <v>53572.5</v>
      </c>
      <c r="R136" s="38">
        <v>25</v>
      </c>
      <c r="S136" s="38">
        <v>10</v>
      </c>
      <c r="T136" s="39">
        <f t="shared" si="19"/>
        <v>53572.5</v>
      </c>
      <c r="U136" s="38">
        <v>0</v>
      </c>
      <c r="V136" s="38">
        <v>0</v>
      </c>
      <c r="W136" s="39">
        <f t="shared" si="20"/>
        <v>0</v>
      </c>
      <c r="X136" s="38"/>
      <c r="Y136" s="38"/>
      <c r="Z136" s="39">
        <f t="shared" si="21"/>
        <v>0</v>
      </c>
      <c r="AA136" s="38"/>
      <c r="AB136" s="38"/>
      <c r="AC136" s="39">
        <f t="shared" si="22"/>
        <v>0</v>
      </c>
      <c r="AD136" s="38"/>
      <c r="AE136" s="38"/>
      <c r="AF136" s="39">
        <f t="shared" si="23"/>
        <v>0</v>
      </c>
    </row>
    <row r="137" spans="2:32" ht="15" customHeight="1" x14ac:dyDescent="0.3">
      <c r="B137" s="2" t="s">
        <v>836</v>
      </c>
      <c r="C137" s="4" t="s">
        <v>837</v>
      </c>
      <c r="D137" s="3" t="s">
        <v>892</v>
      </c>
      <c r="E137" s="6" t="s">
        <v>893</v>
      </c>
      <c r="F137" s="6" t="s">
        <v>151</v>
      </c>
      <c r="G137" s="6" t="s">
        <v>714</v>
      </c>
      <c r="H137" s="25">
        <v>10000</v>
      </c>
      <c r="I137" s="38">
        <v>0</v>
      </c>
      <c r="J137" s="38">
        <v>0</v>
      </c>
      <c r="K137" s="39">
        <f t="shared" si="16"/>
        <v>0</v>
      </c>
      <c r="L137" s="38">
        <v>20000</v>
      </c>
      <c r="M137" s="38">
        <v>1</v>
      </c>
      <c r="N137" s="39">
        <f t="shared" si="17"/>
        <v>200000000</v>
      </c>
      <c r="O137" s="38">
        <v>20000</v>
      </c>
      <c r="P137" s="38">
        <v>1</v>
      </c>
      <c r="Q137" s="39">
        <f t="shared" si="18"/>
        <v>200000000</v>
      </c>
      <c r="R137" s="38">
        <v>20000</v>
      </c>
      <c r="S137" s="38">
        <v>1</v>
      </c>
      <c r="T137" s="39">
        <f t="shared" si="19"/>
        <v>200000000</v>
      </c>
      <c r="U137" s="38">
        <v>0</v>
      </c>
      <c r="V137" s="38">
        <v>0</v>
      </c>
      <c r="W137" s="39">
        <f t="shared" si="20"/>
        <v>0</v>
      </c>
      <c r="X137" s="38"/>
      <c r="Y137" s="38"/>
      <c r="Z137" s="39">
        <f t="shared" si="21"/>
        <v>0</v>
      </c>
      <c r="AA137" s="38"/>
      <c r="AB137" s="38"/>
      <c r="AC137" s="39">
        <f t="shared" si="22"/>
        <v>0</v>
      </c>
      <c r="AD137" s="38"/>
      <c r="AE137" s="38"/>
      <c r="AF137" s="39">
        <f t="shared" si="23"/>
        <v>0</v>
      </c>
    </row>
    <row r="138" spans="2:32" ht="15" customHeight="1" x14ac:dyDescent="0.3">
      <c r="B138" s="2" t="s">
        <v>836</v>
      </c>
      <c r="C138" s="4" t="s">
        <v>837</v>
      </c>
      <c r="D138" s="3" t="s">
        <v>892</v>
      </c>
      <c r="E138" s="6" t="s">
        <v>893</v>
      </c>
      <c r="F138" s="6" t="s">
        <v>151</v>
      </c>
      <c r="G138" s="6" t="s">
        <v>715</v>
      </c>
      <c r="H138" s="25">
        <v>302000</v>
      </c>
      <c r="I138" s="38">
        <v>0</v>
      </c>
      <c r="J138" s="38">
        <v>0</v>
      </c>
      <c r="K138" s="39">
        <f t="shared" si="16"/>
        <v>0</v>
      </c>
      <c r="L138" s="38">
        <v>15</v>
      </c>
      <c r="M138" s="38">
        <v>1</v>
      </c>
      <c r="N138" s="39">
        <f t="shared" si="17"/>
        <v>4530000</v>
      </c>
      <c r="O138" s="38">
        <v>15</v>
      </c>
      <c r="P138" s="38">
        <v>1</v>
      </c>
      <c r="Q138" s="39">
        <f t="shared" si="18"/>
        <v>4530000</v>
      </c>
      <c r="R138" s="38">
        <v>15</v>
      </c>
      <c r="S138" s="38">
        <v>1</v>
      </c>
      <c r="T138" s="39">
        <f t="shared" si="19"/>
        <v>4530000</v>
      </c>
      <c r="U138" s="38">
        <v>0</v>
      </c>
      <c r="V138" s="38">
        <v>0</v>
      </c>
      <c r="W138" s="39">
        <f t="shared" si="20"/>
        <v>0</v>
      </c>
      <c r="X138" s="38"/>
      <c r="Y138" s="38"/>
      <c r="Z138" s="39">
        <f t="shared" si="21"/>
        <v>0</v>
      </c>
      <c r="AA138" s="38"/>
      <c r="AB138" s="38"/>
      <c r="AC138" s="39">
        <f t="shared" si="22"/>
        <v>0</v>
      </c>
      <c r="AD138" s="38"/>
      <c r="AE138" s="38"/>
      <c r="AF138" s="39">
        <f t="shared" si="23"/>
        <v>0</v>
      </c>
    </row>
    <row r="139" spans="2:32" ht="15" customHeight="1" x14ac:dyDescent="0.3">
      <c r="B139" s="2" t="s">
        <v>836</v>
      </c>
      <c r="C139" s="4" t="s">
        <v>837</v>
      </c>
      <c r="D139" s="3" t="s">
        <v>892</v>
      </c>
      <c r="E139" s="6" t="s">
        <v>893</v>
      </c>
      <c r="F139" s="6" t="s">
        <v>152</v>
      </c>
      <c r="G139" s="6" t="s">
        <v>709</v>
      </c>
      <c r="H139" s="25">
        <v>28000</v>
      </c>
      <c r="I139" s="38">
        <v>0</v>
      </c>
      <c r="J139" s="38">
        <v>0</v>
      </c>
      <c r="K139" s="39">
        <f t="shared" si="16"/>
        <v>0</v>
      </c>
      <c r="L139" s="38">
        <v>20</v>
      </c>
      <c r="M139" s="38">
        <v>1</v>
      </c>
      <c r="N139" s="39">
        <f t="shared" si="17"/>
        <v>560000</v>
      </c>
      <c r="O139" s="38">
        <v>20</v>
      </c>
      <c r="P139" s="38">
        <v>1</v>
      </c>
      <c r="Q139" s="39">
        <f t="shared" si="18"/>
        <v>560000</v>
      </c>
      <c r="R139" s="38">
        <v>20</v>
      </c>
      <c r="S139" s="38">
        <v>1</v>
      </c>
      <c r="T139" s="39">
        <f t="shared" si="19"/>
        <v>560000</v>
      </c>
      <c r="U139" s="38">
        <v>0</v>
      </c>
      <c r="V139" s="38">
        <v>0</v>
      </c>
      <c r="W139" s="39">
        <f t="shared" si="20"/>
        <v>0</v>
      </c>
      <c r="X139" s="38"/>
      <c r="Y139" s="38"/>
      <c r="Z139" s="39">
        <f t="shared" si="21"/>
        <v>0</v>
      </c>
      <c r="AA139" s="38"/>
      <c r="AB139" s="38"/>
      <c r="AC139" s="39">
        <f t="shared" si="22"/>
        <v>0</v>
      </c>
      <c r="AD139" s="38"/>
      <c r="AE139" s="38"/>
      <c r="AF139" s="39">
        <f t="shared" si="23"/>
        <v>0</v>
      </c>
    </row>
    <row r="140" spans="2:32" ht="15" customHeight="1" x14ac:dyDescent="0.3">
      <c r="B140" s="2" t="s">
        <v>836</v>
      </c>
      <c r="C140" s="4" t="s">
        <v>837</v>
      </c>
      <c r="D140" s="3" t="s">
        <v>892</v>
      </c>
      <c r="E140" s="6" t="s">
        <v>893</v>
      </c>
      <c r="F140" s="6" t="s">
        <v>152</v>
      </c>
      <c r="G140" s="6" t="s">
        <v>712</v>
      </c>
      <c r="H140" s="25">
        <v>214.29</v>
      </c>
      <c r="I140" s="38">
        <v>0</v>
      </c>
      <c r="J140" s="38">
        <v>0</v>
      </c>
      <c r="K140" s="39">
        <f t="shared" si="16"/>
        <v>0</v>
      </c>
      <c r="L140" s="38">
        <v>25</v>
      </c>
      <c r="M140" s="38">
        <v>10</v>
      </c>
      <c r="N140" s="39">
        <f t="shared" si="17"/>
        <v>53572.5</v>
      </c>
      <c r="O140" s="38">
        <v>25</v>
      </c>
      <c r="P140" s="38">
        <v>10</v>
      </c>
      <c r="Q140" s="39">
        <f t="shared" si="18"/>
        <v>53572.5</v>
      </c>
      <c r="R140" s="38">
        <v>25</v>
      </c>
      <c r="S140" s="38">
        <v>10</v>
      </c>
      <c r="T140" s="39">
        <f t="shared" si="19"/>
        <v>53572.5</v>
      </c>
      <c r="U140" s="38">
        <v>0</v>
      </c>
      <c r="V140" s="38">
        <v>0</v>
      </c>
      <c r="W140" s="39">
        <f t="shared" si="20"/>
        <v>0</v>
      </c>
      <c r="X140" s="38"/>
      <c r="Y140" s="38"/>
      <c r="Z140" s="39">
        <f t="shared" si="21"/>
        <v>0</v>
      </c>
      <c r="AA140" s="38"/>
      <c r="AB140" s="38"/>
      <c r="AC140" s="39">
        <f t="shared" si="22"/>
        <v>0</v>
      </c>
      <c r="AD140" s="38"/>
      <c r="AE140" s="38"/>
      <c r="AF140" s="39">
        <f t="shared" si="23"/>
        <v>0</v>
      </c>
    </row>
    <row r="141" spans="2:32" ht="15" customHeight="1" x14ac:dyDescent="0.3">
      <c r="B141" s="2" t="s">
        <v>836</v>
      </c>
      <c r="C141" s="4" t="s">
        <v>837</v>
      </c>
      <c r="D141" s="3" t="s">
        <v>892</v>
      </c>
      <c r="E141" s="6" t="s">
        <v>893</v>
      </c>
      <c r="F141" s="6" t="s">
        <v>152</v>
      </c>
      <c r="G141" s="6" t="s">
        <v>716</v>
      </c>
      <c r="H141" s="25">
        <v>39000</v>
      </c>
      <c r="I141" s="38">
        <v>0</v>
      </c>
      <c r="J141" s="38">
        <v>0</v>
      </c>
      <c r="K141" s="39">
        <f t="shared" si="16"/>
        <v>0</v>
      </c>
      <c r="L141" s="38">
        <v>4000</v>
      </c>
      <c r="M141" s="38">
        <v>1</v>
      </c>
      <c r="N141" s="39">
        <f t="shared" si="17"/>
        <v>156000000</v>
      </c>
      <c r="O141" s="38">
        <v>4000</v>
      </c>
      <c r="P141" s="38">
        <v>1</v>
      </c>
      <c r="Q141" s="39">
        <f t="shared" si="18"/>
        <v>156000000</v>
      </c>
      <c r="R141" s="38">
        <v>4000</v>
      </c>
      <c r="S141" s="38">
        <v>1</v>
      </c>
      <c r="T141" s="39">
        <f t="shared" si="19"/>
        <v>156000000</v>
      </c>
      <c r="U141" s="38">
        <v>0</v>
      </c>
      <c r="V141" s="38">
        <v>0</v>
      </c>
      <c r="W141" s="39">
        <f t="shared" si="20"/>
        <v>0</v>
      </c>
      <c r="X141" s="38"/>
      <c r="Y141" s="38"/>
      <c r="Z141" s="39">
        <f t="shared" si="21"/>
        <v>0</v>
      </c>
      <c r="AA141" s="38"/>
      <c r="AB141" s="38"/>
      <c r="AC141" s="39">
        <f t="shared" si="22"/>
        <v>0</v>
      </c>
      <c r="AD141" s="38"/>
      <c r="AE141" s="38"/>
      <c r="AF141" s="39">
        <f t="shared" si="23"/>
        <v>0</v>
      </c>
    </row>
    <row r="142" spans="2:32" ht="15" customHeight="1" x14ac:dyDescent="0.3">
      <c r="B142" s="2" t="s">
        <v>836</v>
      </c>
      <c r="C142" s="4" t="s">
        <v>837</v>
      </c>
      <c r="D142" s="3" t="s">
        <v>892</v>
      </c>
      <c r="E142" s="6" t="s">
        <v>893</v>
      </c>
      <c r="F142" s="6" t="s">
        <v>861</v>
      </c>
      <c r="G142" s="6" t="s">
        <v>841</v>
      </c>
      <c r="H142" s="25">
        <v>0</v>
      </c>
      <c r="I142" s="38">
        <v>0</v>
      </c>
      <c r="J142" s="38">
        <v>0</v>
      </c>
      <c r="K142" s="39">
        <f t="shared" si="16"/>
        <v>0</v>
      </c>
      <c r="L142" s="38">
        <v>25</v>
      </c>
      <c r="M142" s="38">
        <v>10</v>
      </c>
      <c r="N142" s="39">
        <f t="shared" si="17"/>
        <v>0</v>
      </c>
      <c r="O142" s="38">
        <v>25</v>
      </c>
      <c r="P142" s="38">
        <v>10</v>
      </c>
      <c r="Q142" s="39">
        <f t="shared" si="18"/>
        <v>0</v>
      </c>
      <c r="R142" s="38">
        <v>25</v>
      </c>
      <c r="S142" s="38">
        <v>10</v>
      </c>
      <c r="T142" s="39">
        <f t="shared" si="19"/>
        <v>0</v>
      </c>
      <c r="U142" s="38">
        <v>0</v>
      </c>
      <c r="V142" s="38">
        <v>0</v>
      </c>
      <c r="W142" s="39">
        <f t="shared" si="20"/>
        <v>0</v>
      </c>
      <c r="X142" s="38"/>
      <c r="Y142" s="38"/>
      <c r="Z142" s="39">
        <f t="shared" si="21"/>
        <v>0</v>
      </c>
      <c r="AA142" s="38"/>
      <c r="AB142" s="38"/>
      <c r="AC142" s="39">
        <f t="shared" si="22"/>
        <v>0</v>
      </c>
      <c r="AD142" s="38"/>
      <c r="AE142" s="38"/>
      <c r="AF142" s="39">
        <f t="shared" si="23"/>
        <v>0</v>
      </c>
    </row>
    <row r="143" spans="2:32" ht="15" customHeight="1" x14ac:dyDescent="0.3">
      <c r="B143" s="2" t="s">
        <v>836</v>
      </c>
      <c r="C143" s="4" t="s">
        <v>837</v>
      </c>
      <c r="D143" s="3" t="s">
        <v>892</v>
      </c>
      <c r="E143" s="6" t="s">
        <v>893</v>
      </c>
      <c r="F143" s="6" t="s">
        <v>897</v>
      </c>
      <c r="G143" s="6" t="s">
        <v>841</v>
      </c>
      <c r="H143" s="25">
        <v>0</v>
      </c>
      <c r="I143" s="38">
        <v>0</v>
      </c>
      <c r="J143" s="38">
        <v>0</v>
      </c>
      <c r="K143" s="39">
        <f t="shared" si="16"/>
        <v>0</v>
      </c>
      <c r="L143" s="38">
        <v>0</v>
      </c>
      <c r="M143" s="38">
        <v>0</v>
      </c>
      <c r="N143" s="39">
        <f t="shared" si="17"/>
        <v>0</v>
      </c>
      <c r="O143" s="38">
        <v>0</v>
      </c>
      <c r="P143" s="38">
        <v>0</v>
      </c>
      <c r="Q143" s="39">
        <f t="shared" si="18"/>
        <v>0</v>
      </c>
      <c r="R143" s="38">
        <v>0</v>
      </c>
      <c r="S143" s="38">
        <v>0</v>
      </c>
      <c r="T143" s="39">
        <f t="shared" si="19"/>
        <v>0</v>
      </c>
      <c r="U143" s="38">
        <v>0</v>
      </c>
      <c r="V143" s="38">
        <v>0</v>
      </c>
      <c r="W143" s="39">
        <f t="shared" si="20"/>
        <v>0</v>
      </c>
      <c r="X143" s="38"/>
      <c r="Y143" s="38"/>
      <c r="Z143" s="39">
        <f t="shared" si="21"/>
        <v>0</v>
      </c>
      <c r="AA143" s="38"/>
      <c r="AB143" s="38"/>
      <c r="AC143" s="39">
        <f t="shared" si="22"/>
        <v>0</v>
      </c>
      <c r="AD143" s="38"/>
      <c r="AE143" s="38"/>
      <c r="AF143" s="39">
        <f t="shared" si="23"/>
        <v>0</v>
      </c>
    </row>
    <row r="144" spans="2:32" ht="15" customHeight="1" x14ac:dyDescent="0.3">
      <c r="B144" s="2" t="s">
        <v>836</v>
      </c>
      <c r="C144" s="4" t="s">
        <v>837</v>
      </c>
      <c r="D144" s="3" t="s">
        <v>898</v>
      </c>
      <c r="E144" s="6" t="s">
        <v>899</v>
      </c>
      <c r="F144" s="6" t="s">
        <v>900</v>
      </c>
      <c r="G144" s="6" t="s">
        <v>841</v>
      </c>
      <c r="H144" s="25">
        <v>0</v>
      </c>
      <c r="I144" s="38">
        <v>0</v>
      </c>
      <c r="J144" s="38">
        <v>0</v>
      </c>
      <c r="K144" s="39">
        <f t="shared" si="16"/>
        <v>0</v>
      </c>
      <c r="L144" s="38">
        <v>0</v>
      </c>
      <c r="M144" s="38">
        <v>0</v>
      </c>
      <c r="N144" s="39">
        <f t="shared" si="17"/>
        <v>0</v>
      </c>
      <c r="O144" s="38">
        <v>0</v>
      </c>
      <c r="P144" s="38">
        <v>0</v>
      </c>
      <c r="Q144" s="39">
        <f t="shared" si="18"/>
        <v>0</v>
      </c>
      <c r="R144" s="38">
        <v>0</v>
      </c>
      <c r="S144" s="38">
        <v>0</v>
      </c>
      <c r="T144" s="39">
        <f t="shared" si="19"/>
        <v>0</v>
      </c>
      <c r="U144" s="38">
        <v>0</v>
      </c>
      <c r="V144" s="38">
        <v>0</v>
      </c>
      <c r="W144" s="39">
        <f t="shared" si="20"/>
        <v>0</v>
      </c>
      <c r="X144" s="38"/>
      <c r="Y144" s="38"/>
      <c r="Z144" s="39">
        <f t="shared" si="21"/>
        <v>0</v>
      </c>
      <c r="AA144" s="38"/>
      <c r="AB144" s="38"/>
      <c r="AC144" s="39">
        <f t="shared" si="22"/>
        <v>0</v>
      </c>
      <c r="AD144" s="38"/>
      <c r="AE144" s="38"/>
      <c r="AF144" s="39">
        <f t="shared" si="23"/>
        <v>0</v>
      </c>
    </row>
    <row r="145" spans="2:32" ht="15" customHeight="1" x14ac:dyDescent="0.3">
      <c r="B145" s="2" t="s">
        <v>836</v>
      </c>
      <c r="C145" s="4" t="s">
        <v>837</v>
      </c>
      <c r="D145" s="3" t="s">
        <v>898</v>
      </c>
      <c r="E145" s="6" t="s">
        <v>899</v>
      </c>
      <c r="F145" s="6" t="s">
        <v>901</v>
      </c>
      <c r="G145" s="6" t="s">
        <v>709</v>
      </c>
      <c r="H145" s="25">
        <v>28000</v>
      </c>
      <c r="I145" s="38">
        <v>0</v>
      </c>
      <c r="J145" s="38">
        <v>0</v>
      </c>
      <c r="K145" s="39">
        <f t="shared" si="16"/>
        <v>0</v>
      </c>
      <c r="L145" s="38">
        <v>0</v>
      </c>
      <c r="M145" s="38">
        <v>0</v>
      </c>
      <c r="N145" s="39">
        <f t="shared" si="17"/>
        <v>0</v>
      </c>
      <c r="O145" s="38">
        <v>0</v>
      </c>
      <c r="P145" s="38">
        <v>0</v>
      </c>
      <c r="Q145" s="39">
        <f t="shared" si="18"/>
        <v>0</v>
      </c>
      <c r="R145" s="38">
        <v>0</v>
      </c>
      <c r="S145" s="38">
        <v>0</v>
      </c>
      <c r="T145" s="39">
        <f t="shared" si="19"/>
        <v>0</v>
      </c>
      <c r="U145" s="38">
        <v>0</v>
      </c>
      <c r="V145" s="38">
        <v>0</v>
      </c>
      <c r="W145" s="39">
        <f t="shared" si="20"/>
        <v>0</v>
      </c>
      <c r="X145" s="38"/>
      <c r="Y145" s="38"/>
      <c r="Z145" s="39">
        <f t="shared" si="21"/>
        <v>0</v>
      </c>
      <c r="AA145" s="38"/>
      <c r="AB145" s="38"/>
      <c r="AC145" s="39">
        <f t="shared" si="22"/>
        <v>0</v>
      </c>
      <c r="AD145" s="38"/>
      <c r="AE145" s="38"/>
      <c r="AF145" s="39">
        <f t="shared" si="23"/>
        <v>0</v>
      </c>
    </row>
    <row r="146" spans="2:32" ht="15" customHeight="1" x14ac:dyDescent="0.3">
      <c r="B146" s="2" t="s">
        <v>836</v>
      </c>
      <c r="C146" s="4" t="s">
        <v>837</v>
      </c>
      <c r="D146" s="3" t="s">
        <v>898</v>
      </c>
      <c r="E146" s="6" t="s">
        <v>899</v>
      </c>
      <c r="F146" s="6" t="s">
        <v>902</v>
      </c>
      <c r="G146" s="6" t="s">
        <v>841</v>
      </c>
      <c r="H146" s="25">
        <v>0</v>
      </c>
      <c r="I146" s="38">
        <v>30</v>
      </c>
      <c r="J146" s="38">
        <v>0.5</v>
      </c>
      <c r="K146" s="39">
        <f t="shared" si="16"/>
        <v>0</v>
      </c>
      <c r="L146" s="38">
        <v>0</v>
      </c>
      <c r="M146" s="38">
        <v>0</v>
      </c>
      <c r="N146" s="39">
        <f t="shared" si="17"/>
        <v>0</v>
      </c>
      <c r="O146" s="38">
        <v>0</v>
      </c>
      <c r="P146" s="38">
        <v>0</v>
      </c>
      <c r="Q146" s="39">
        <f t="shared" si="18"/>
        <v>0</v>
      </c>
      <c r="R146" s="38">
        <v>0</v>
      </c>
      <c r="S146" s="38">
        <v>0</v>
      </c>
      <c r="T146" s="39">
        <f t="shared" si="19"/>
        <v>0</v>
      </c>
      <c r="U146" s="38">
        <v>0</v>
      </c>
      <c r="V146" s="38">
        <v>0</v>
      </c>
      <c r="W146" s="39">
        <f t="shared" si="20"/>
        <v>0</v>
      </c>
      <c r="X146" s="38"/>
      <c r="Y146" s="38"/>
      <c r="Z146" s="39">
        <f t="shared" si="21"/>
        <v>0</v>
      </c>
      <c r="AA146" s="38"/>
      <c r="AB146" s="38"/>
      <c r="AC146" s="39">
        <f t="shared" si="22"/>
        <v>0</v>
      </c>
      <c r="AD146" s="38"/>
      <c r="AE146" s="38"/>
      <c r="AF146" s="39">
        <f t="shared" si="23"/>
        <v>0</v>
      </c>
    </row>
    <row r="147" spans="2:32" ht="15" customHeight="1" x14ac:dyDescent="0.3">
      <c r="B147" s="2" t="s">
        <v>836</v>
      </c>
      <c r="C147" s="4" t="s">
        <v>837</v>
      </c>
      <c r="D147" s="3" t="s">
        <v>898</v>
      </c>
      <c r="E147" s="6" t="s">
        <v>899</v>
      </c>
      <c r="F147" s="6" t="s">
        <v>903</v>
      </c>
      <c r="G147" s="6" t="s">
        <v>841</v>
      </c>
      <c r="H147" s="25">
        <v>0</v>
      </c>
      <c r="I147" s="38">
        <v>20</v>
      </c>
      <c r="J147" s="38">
        <v>1</v>
      </c>
      <c r="K147" s="39">
        <f t="shared" si="16"/>
        <v>0</v>
      </c>
      <c r="L147" s="38">
        <v>0</v>
      </c>
      <c r="M147" s="38">
        <v>0</v>
      </c>
      <c r="N147" s="39">
        <f t="shared" si="17"/>
        <v>0</v>
      </c>
      <c r="O147" s="38">
        <v>0</v>
      </c>
      <c r="P147" s="38">
        <v>0</v>
      </c>
      <c r="Q147" s="39">
        <f t="shared" si="18"/>
        <v>0</v>
      </c>
      <c r="R147" s="38">
        <v>0</v>
      </c>
      <c r="S147" s="38">
        <v>0</v>
      </c>
      <c r="T147" s="39">
        <f t="shared" si="19"/>
        <v>0</v>
      </c>
      <c r="U147" s="38">
        <v>0</v>
      </c>
      <c r="V147" s="38">
        <v>0</v>
      </c>
      <c r="W147" s="39">
        <f t="shared" si="20"/>
        <v>0</v>
      </c>
      <c r="X147" s="38"/>
      <c r="Y147" s="38"/>
      <c r="Z147" s="39">
        <f t="shared" si="21"/>
        <v>0</v>
      </c>
      <c r="AA147" s="38"/>
      <c r="AB147" s="38"/>
      <c r="AC147" s="39">
        <f t="shared" si="22"/>
        <v>0</v>
      </c>
      <c r="AD147" s="38"/>
      <c r="AE147" s="38"/>
      <c r="AF147" s="39">
        <f t="shared" si="23"/>
        <v>0</v>
      </c>
    </row>
    <row r="148" spans="2:32" ht="15" customHeight="1" x14ac:dyDescent="0.3">
      <c r="B148" s="2" t="s">
        <v>836</v>
      </c>
      <c r="C148" s="4" t="s">
        <v>837</v>
      </c>
      <c r="D148" s="3" t="s">
        <v>898</v>
      </c>
      <c r="E148" s="6" t="s">
        <v>904</v>
      </c>
      <c r="F148" s="6" t="s">
        <v>905</v>
      </c>
      <c r="G148" s="6" t="s">
        <v>841</v>
      </c>
      <c r="H148" s="25">
        <v>0</v>
      </c>
      <c r="I148" s="38"/>
      <c r="J148" s="38"/>
      <c r="K148" s="39">
        <f t="shared" si="16"/>
        <v>0</v>
      </c>
      <c r="L148" s="38">
        <v>0</v>
      </c>
      <c r="M148" s="38">
        <v>0</v>
      </c>
      <c r="N148" s="39">
        <f t="shared" si="17"/>
        <v>0</v>
      </c>
      <c r="O148" s="38">
        <v>0</v>
      </c>
      <c r="P148" s="38">
        <v>0</v>
      </c>
      <c r="Q148" s="39">
        <f t="shared" si="18"/>
        <v>0</v>
      </c>
      <c r="R148" s="38">
        <v>0</v>
      </c>
      <c r="S148" s="38">
        <v>0</v>
      </c>
      <c r="T148" s="39">
        <f t="shared" si="19"/>
        <v>0</v>
      </c>
      <c r="U148" s="38">
        <v>0</v>
      </c>
      <c r="V148" s="38">
        <v>0</v>
      </c>
      <c r="W148" s="39">
        <f t="shared" si="20"/>
        <v>0</v>
      </c>
      <c r="X148" s="38"/>
      <c r="Y148" s="38"/>
      <c r="Z148" s="39">
        <f t="shared" si="21"/>
        <v>0</v>
      </c>
      <c r="AA148" s="38"/>
      <c r="AB148" s="38"/>
      <c r="AC148" s="39">
        <f t="shared" si="22"/>
        <v>0</v>
      </c>
      <c r="AD148" s="38"/>
      <c r="AE148" s="38"/>
      <c r="AF148" s="39">
        <f t="shared" si="23"/>
        <v>0</v>
      </c>
    </row>
    <row r="149" spans="2:32" ht="15" customHeight="1" x14ac:dyDescent="0.3">
      <c r="B149" s="2" t="s">
        <v>836</v>
      </c>
      <c r="C149" s="4" t="s">
        <v>837</v>
      </c>
      <c r="D149" s="3" t="s">
        <v>898</v>
      </c>
      <c r="E149" s="6" t="s">
        <v>904</v>
      </c>
      <c r="F149" s="6" t="s">
        <v>906</v>
      </c>
      <c r="G149" s="6" t="s">
        <v>709</v>
      </c>
      <c r="H149" s="25">
        <v>28000</v>
      </c>
      <c r="I149" s="38">
        <v>10</v>
      </c>
      <c r="J149" s="38">
        <v>1</v>
      </c>
      <c r="K149" s="39">
        <f t="shared" si="16"/>
        <v>280000</v>
      </c>
      <c r="L149" s="38">
        <v>0</v>
      </c>
      <c r="M149" s="38">
        <v>0</v>
      </c>
      <c r="N149" s="39">
        <f t="shared" si="17"/>
        <v>0</v>
      </c>
      <c r="O149" s="38">
        <v>0</v>
      </c>
      <c r="P149" s="38">
        <v>0</v>
      </c>
      <c r="Q149" s="39">
        <f t="shared" si="18"/>
        <v>0</v>
      </c>
      <c r="R149" s="38">
        <v>0</v>
      </c>
      <c r="S149" s="38">
        <v>0</v>
      </c>
      <c r="T149" s="39">
        <f t="shared" si="19"/>
        <v>0</v>
      </c>
      <c r="U149" s="38">
        <v>0</v>
      </c>
      <c r="V149" s="38">
        <v>0</v>
      </c>
      <c r="W149" s="39">
        <f t="shared" si="20"/>
        <v>0</v>
      </c>
      <c r="X149" s="38"/>
      <c r="Y149" s="38"/>
      <c r="Z149" s="39">
        <f t="shared" si="21"/>
        <v>0</v>
      </c>
      <c r="AA149" s="38"/>
      <c r="AB149" s="38"/>
      <c r="AC149" s="39">
        <f t="shared" si="22"/>
        <v>0</v>
      </c>
      <c r="AD149" s="38"/>
      <c r="AE149" s="38"/>
      <c r="AF149" s="39">
        <f t="shared" si="23"/>
        <v>0</v>
      </c>
    </row>
    <row r="150" spans="2:32" ht="15" customHeight="1" x14ac:dyDescent="0.3">
      <c r="B150" s="2" t="s">
        <v>836</v>
      </c>
      <c r="C150" s="4" t="s">
        <v>837</v>
      </c>
      <c r="D150" s="3" t="s">
        <v>907</v>
      </c>
      <c r="E150" s="6" t="s">
        <v>908</v>
      </c>
      <c r="F150" s="6" t="s">
        <v>909</v>
      </c>
      <c r="G150" s="6" t="s">
        <v>841</v>
      </c>
      <c r="H150" s="25">
        <v>0</v>
      </c>
      <c r="I150" s="38">
        <v>15</v>
      </c>
      <c r="J150" s="38">
        <v>1</v>
      </c>
      <c r="K150" s="39">
        <f t="shared" si="16"/>
        <v>0</v>
      </c>
      <c r="L150" s="38">
        <v>15</v>
      </c>
      <c r="M150" s="38">
        <v>1</v>
      </c>
      <c r="N150" s="39">
        <f t="shared" si="17"/>
        <v>0</v>
      </c>
      <c r="O150" s="38">
        <v>15</v>
      </c>
      <c r="P150" s="38">
        <v>1</v>
      </c>
      <c r="Q150" s="39">
        <f t="shared" si="18"/>
        <v>0</v>
      </c>
      <c r="R150" s="38">
        <v>15</v>
      </c>
      <c r="S150" s="38">
        <v>1</v>
      </c>
      <c r="T150" s="39">
        <f t="shared" si="19"/>
        <v>0</v>
      </c>
      <c r="U150" s="38">
        <v>15</v>
      </c>
      <c r="V150" s="38">
        <v>1</v>
      </c>
      <c r="W150" s="39">
        <f t="shared" si="20"/>
        <v>0</v>
      </c>
      <c r="X150" s="38"/>
      <c r="Y150" s="38"/>
      <c r="Z150" s="39">
        <f t="shared" si="21"/>
        <v>0</v>
      </c>
      <c r="AA150" s="38"/>
      <c r="AB150" s="38"/>
      <c r="AC150" s="39">
        <f t="shared" si="22"/>
        <v>0</v>
      </c>
      <c r="AD150" s="38"/>
      <c r="AE150" s="38"/>
      <c r="AF150" s="39">
        <f t="shared" si="23"/>
        <v>0</v>
      </c>
    </row>
    <row r="151" spans="2:32" ht="15" customHeight="1" x14ac:dyDescent="0.3">
      <c r="B151" s="2" t="s">
        <v>836</v>
      </c>
      <c r="C151" s="4" t="s">
        <v>837</v>
      </c>
      <c r="D151" s="3" t="s">
        <v>907</v>
      </c>
      <c r="E151" s="6" t="s">
        <v>908</v>
      </c>
      <c r="F151" s="6" t="s">
        <v>910</v>
      </c>
      <c r="G151" s="6" t="s">
        <v>841</v>
      </c>
      <c r="H151" s="25">
        <v>0</v>
      </c>
      <c r="I151" s="38">
        <v>0</v>
      </c>
      <c r="J151" s="38">
        <v>0</v>
      </c>
      <c r="K151" s="39">
        <f t="shared" si="16"/>
        <v>0</v>
      </c>
      <c r="L151" s="38">
        <v>0</v>
      </c>
      <c r="M151" s="38">
        <v>0</v>
      </c>
      <c r="N151" s="39">
        <f t="shared" si="17"/>
        <v>0</v>
      </c>
      <c r="O151" s="38">
        <v>0</v>
      </c>
      <c r="P151" s="38">
        <v>0</v>
      </c>
      <c r="Q151" s="39">
        <f t="shared" si="18"/>
        <v>0</v>
      </c>
      <c r="R151" s="38">
        <v>0</v>
      </c>
      <c r="S151" s="38">
        <v>0</v>
      </c>
      <c r="T151" s="39">
        <f t="shared" si="19"/>
        <v>0</v>
      </c>
      <c r="U151" s="38">
        <v>0</v>
      </c>
      <c r="V151" s="38">
        <v>0</v>
      </c>
      <c r="W151" s="39">
        <f t="shared" si="20"/>
        <v>0</v>
      </c>
      <c r="X151" s="38"/>
      <c r="Y151" s="38"/>
      <c r="Z151" s="39">
        <f t="shared" si="21"/>
        <v>0</v>
      </c>
      <c r="AA151" s="38"/>
      <c r="AB151" s="38"/>
      <c r="AC151" s="39">
        <f t="shared" si="22"/>
        <v>0</v>
      </c>
      <c r="AD151" s="38"/>
      <c r="AE151" s="38"/>
      <c r="AF151" s="39">
        <f t="shared" si="23"/>
        <v>0</v>
      </c>
    </row>
    <row r="152" spans="2:32" ht="15" customHeight="1" x14ac:dyDescent="0.3">
      <c r="B152" s="2" t="s">
        <v>836</v>
      </c>
      <c r="C152" s="4" t="s">
        <v>837</v>
      </c>
      <c r="D152" s="3" t="s">
        <v>907</v>
      </c>
      <c r="E152" s="6" t="s">
        <v>908</v>
      </c>
      <c r="F152" s="6" t="s">
        <v>164</v>
      </c>
      <c r="G152" s="33" t="s">
        <v>841</v>
      </c>
      <c r="H152" s="25">
        <v>0</v>
      </c>
      <c r="I152" s="38">
        <v>0</v>
      </c>
      <c r="J152" s="38">
        <v>0</v>
      </c>
      <c r="K152" s="39">
        <f t="shared" si="16"/>
        <v>0</v>
      </c>
      <c r="L152" s="38">
        <v>0</v>
      </c>
      <c r="M152" s="38">
        <v>0</v>
      </c>
      <c r="N152" s="39">
        <f t="shared" si="17"/>
        <v>0</v>
      </c>
      <c r="O152" s="38">
        <v>0</v>
      </c>
      <c r="P152" s="38">
        <v>0</v>
      </c>
      <c r="Q152" s="39">
        <f t="shared" si="18"/>
        <v>0</v>
      </c>
      <c r="R152" s="38">
        <v>0</v>
      </c>
      <c r="S152" s="38">
        <v>0</v>
      </c>
      <c r="T152" s="39">
        <f t="shared" si="19"/>
        <v>0</v>
      </c>
      <c r="U152" s="38">
        <v>0</v>
      </c>
      <c r="V152" s="38">
        <v>0</v>
      </c>
      <c r="W152" s="39">
        <f t="shared" si="20"/>
        <v>0</v>
      </c>
      <c r="X152" s="38"/>
      <c r="Y152" s="38"/>
      <c r="Z152" s="39">
        <f t="shared" si="21"/>
        <v>0</v>
      </c>
      <c r="AA152" s="38"/>
      <c r="AB152" s="38"/>
      <c r="AC152" s="39">
        <f t="shared" si="22"/>
        <v>0</v>
      </c>
      <c r="AD152" s="38"/>
      <c r="AE152" s="38"/>
      <c r="AF152" s="39">
        <f t="shared" si="23"/>
        <v>0</v>
      </c>
    </row>
    <row r="153" spans="2:32" ht="15" customHeight="1" x14ac:dyDescent="0.3">
      <c r="B153" s="2" t="s">
        <v>836</v>
      </c>
      <c r="C153" s="4" t="s">
        <v>837</v>
      </c>
      <c r="D153" s="3" t="s">
        <v>907</v>
      </c>
      <c r="E153" s="6" t="s">
        <v>908</v>
      </c>
      <c r="F153" s="6" t="s">
        <v>165</v>
      </c>
      <c r="G153" s="33" t="s">
        <v>707</v>
      </c>
      <c r="H153" s="25">
        <v>391991.03749999998</v>
      </c>
      <c r="I153" s="38">
        <v>0</v>
      </c>
      <c r="J153" s="38">
        <v>0</v>
      </c>
      <c r="K153" s="39">
        <f t="shared" si="16"/>
        <v>0</v>
      </c>
      <c r="L153" s="38">
        <v>0</v>
      </c>
      <c r="M153" s="38">
        <v>0</v>
      </c>
      <c r="N153" s="39">
        <f t="shared" si="17"/>
        <v>0</v>
      </c>
      <c r="O153" s="38">
        <v>3</v>
      </c>
      <c r="P153" s="38">
        <v>3</v>
      </c>
      <c r="Q153" s="39">
        <f t="shared" si="18"/>
        <v>3527919.3374999994</v>
      </c>
      <c r="R153" s="38">
        <v>0</v>
      </c>
      <c r="S153" s="38">
        <v>0</v>
      </c>
      <c r="T153" s="39">
        <f t="shared" si="19"/>
        <v>0</v>
      </c>
      <c r="U153" s="38">
        <v>0</v>
      </c>
      <c r="V153" s="38">
        <v>0</v>
      </c>
      <c r="W153" s="39">
        <f t="shared" si="20"/>
        <v>0</v>
      </c>
      <c r="X153" s="38"/>
      <c r="Y153" s="38"/>
      <c r="Z153" s="39">
        <f t="shared" si="21"/>
        <v>0</v>
      </c>
      <c r="AA153" s="38"/>
      <c r="AB153" s="38"/>
      <c r="AC153" s="39">
        <f t="shared" si="22"/>
        <v>0</v>
      </c>
      <c r="AD153" s="38"/>
      <c r="AE153" s="38"/>
      <c r="AF153" s="39">
        <f t="shared" si="23"/>
        <v>0</v>
      </c>
    </row>
    <row r="154" spans="2:32" ht="15" customHeight="1" x14ac:dyDescent="0.3">
      <c r="B154" s="2" t="s">
        <v>836</v>
      </c>
      <c r="C154" s="4" t="s">
        <v>837</v>
      </c>
      <c r="D154" s="3" t="s">
        <v>907</v>
      </c>
      <c r="E154" s="6" t="s">
        <v>908</v>
      </c>
      <c r="F154" s="6" t="s">
        <v>165</v>
      </c>
      <c r="G154" s="33" t="s">
        <v>708</v>
      </c>
      <c r="H154" s="25">
        <v>425000</v>
      </c>
      <c r="I154" s="38">
        <v>0</v>
      </c>
      <c r="J154" s="38">
        <v>0</v>
      </c>
      <c r="K154" s="39">
        <f t="shared" si="16"/>
        <v>0</v>
      </c>
      <c r="L154" s="38">
        <v>0</v>
      </c>
      <c r="M154" s="38">
        <v>0</v>
      </c>
      <c r="N154" s="39">
        <f t="shared" si="17"/>
        <v>0</v>
      </c>
      <c r="O154" s="38">
        <v>1</v>
      </c>
      <c r="P154" s="38">
        <v>1</v>
      </c>
      <c r="Q154" s="39">
        <f t="shared" si="18"/>
        <v>425000</v>
      </c>
      <c r="R154" s="38">
        <v>0</v>
      </c>
      <c r="S154" s="38">
        <v>0</v>
      </c>
      <c r="T154" s="39">
        <f t="shared" si="19"/>
        <v>0</v>
      </c>
      <c r="U154" s="38">
        <v>0</v>
      </c>
      <c r="V154" s="38">
        <v>0</v>
      </c>
      <c r="W154" s="39">
        <f t="shared" si="20"/>
        <v>0</v>
      </c>
      <c r="X154" s="38"/>
      <c r="Y154" s="38"/>
      <c r="Z154" s="39">
        <f t="shared" si="21"/>
        <v>0</v>
      </c>
      <c r="AA154" s="38"/>
      <c r="AB154" s="38"/>
      <c r="AC154" s="39">
        <f t="shared" si="22"/>
        <v>0</v>
      </c>
      <c r="AD154" s="38"/>
      <c r="AE154" s="38"/>
      <c r="AF154" s="39">
        <f t="shared" si="23"/>
        <v>0</v>
      </c>
    </row>
    <row r="155" spans="2:32" ht="15" customHeight="1" x14ac:dyDescent="0.3">
      <c r="B155" s="2" t="s">
        <v>836</v>
      </c>
      <c r="C155" s="4" t="s">
        <v>837</v>
      </c>
      <c r="D155" s="3" t="s">
        <v>907</v>
      </c>
      <c r="E155" s="6" t="s">
        <v>908</v>
      </c>
      <c r="F155" s="6" t="s">
        <v>911</v>
      </c>
      <c r="G155" s="33" t="s">
        <v>841</v>
      </c>
      <c r="H155" s="25">
        <v>0</v>
      </c>
      <c r="I155" s="38">
        <v>0</v>
      </c>
      <c r="J155" s="38">
        <v>0</v>
      </c>
      <c r="K155" s="39">
        <f t="shared" si="16"/>
        <v>0</v>
      </c>
      <c r="L155" s="38">
        <v>0</v>
      </c>
      <c r="M155" s="38">
        <v>0</v>
      </c>
      <c r="N155" s="39">
        <f t="shared" si="17"/>
        <v>0</v>
      </c>
      <c r="O155" s="38">
        <v>1</v>
      </c>
      <c r="P155" s="38">
        <v>30</v>
      </c>
      <c r="Q155" s="39">
        <f t="shared" si="18"/>
        <v>0</v>
      </c>
      <c r="R155" s="38">
        <v>0</v>
      </c>
      <c r="S155" s="38">
        <v>0</v>
      </c>
      <c r="T155" s="39">
        <f t="shared" si="19"/>
        <v>0</v>
      </c>
      <c r="U155" s="38">
        <v>0</v>
      </c>
      <c r="V155" s="38">
        <v>0</v>
      </c>
      <c r="W155" s="39">
        <f t="shared" si="20"/>
        <v>0</v>
      </c>
      <c r="X155" s="38"/>
      <c r="Y155" s="38"/>
      <c r="Z155" s="39">
        <f t="shared" si="21"/>
        <v>0</v>
      </c>
      <c r="AA155" s="38"/>
      <c r="AB155" s="38"/>
      <c r="AC155" s="39">
        <f t="shared" si="22"/>
        <v>0</v>
      </c>
      <c r="AD155" s="38"/>
      <c r="AE155" s="38"/>
      <c r="AF155" s="39">
        <f t="shared" si="23"/>
        <v>0</v>
      </c>
    </row>
    <row r="156" spans="2:32" ht="15" customHeight="1" x14ac:dyDescent="0.3">
      <c r="B156" s="2" t="s">
        <v>836</v>
      </c>
      <c r="C156" s="4" t="s">
        <v>837</v>
      </c>
      <c r="D156" s="3" t="s">
        <v>907</v>
      </c>
      <c r="E156" s="6" t="s">
        <v>908</v>
      </c>
      <c r="F156" s="6" t="s">
        <v>912</v>
      </c>
      <c r="G156" s="33" t="s">
        <v>841</v>
      </c>
      <c r="H156" s="25">
        <v>0</v>
      </c>
      <c r="I156" s="38">
        <v>0</v>
      </c>
      <c r="J156" s="38">
        <v>0</v>
      </c>
      <c r="K156" s="39">
        <f t="shared" si="16"/>
        <v>0</v>
      </c>
      <c r="L156" s="38">
        <v>0</v>
      </c>
      <c r="M156" s="38">
        <v>0</v>
      </c>
      <c r="N156" s="39">
        <f t="shared" si="17"/>
        <v>0</v>
      </c>
      <c r="O156" s="38"/>
      <c r="P156" s="38"/>
      <c r="Q156" s="39">
        <f t="shared" si="18"/>
        <v>0</v>
      </c>
      <c r="R156" s="38">
        <v>0</v>
      </c>
      <c r="S156" s="38">
        <v>0</v>
      </c>
      <c r="T156" s="39">
        <f t="shared" si="19"/>
        <v>0</v>
      </c>
      <c r="U156" s="38">
        <v>0</v>
      </c>
      <c r="V156" s="38">
        <v>0</v>
      </c>
      <c r="W156" s="39">
        <f t="shared" si="20"/>
        <v>0</v>
      </c>
      <c r="X156" s="38"/>
      <c r="Y156" s="38"/>
      <c r="Z156" s="39">
        <f t="shared" si="21"/>
        <v>0</v>
      </c>
      <c r="AA156" s="38"/>
      <c r="AB156" s="38"/>
      <c r="AC156" s="39">
        <f t="shared" si="22"/>
        <v>0</v>
      </c>
      <c r="AD156" s="38"/>
      <c r="AE156" s="38"/>
      <c r="AF156" s="39">
        <f t="shared" si="23"/>
        <v>0</v>
      </c>
    </row>
    <row r="157" spans="2:32" ht="15" customHeight="1" x14ac:dyDescent="0.3">
      <c r="B157" s="2" t="s">
        <v>836</v>
      </c>
      <c r="C157" s="4" t="s">
        <v>837</v>
      </c>
      <c r="D157" s="3" t="s">
        <v>907</v>
      </c>
      <c r="E157" s="6" t="s">
        <v>908</v>
      </c>
      <c r="F157" s="6" t="s">
        <v>913</v>
      </c>
      <c r="G157" s="33" t="s">
        <v>709</v>
      </c>
      <c r="H157" s="25">
        <v>28000</v>
      </c>
      <c r="I157" s="38">
        <v>0</v>
      </c>
      <c r="J157" s="38">
        <v>0</v>
      </c>
      <c r="K157" s="39">
        <f t="shared" si="16"/>
        <v>0</v>
      </c>
      <c r="L157" s="38">
        <v>0</v>
      </c>
      <c r="M157" s="38">
        <v>0</v>
      </c>
      <c r="N157" s="39">
        <f t="shared" si="17"/>
        <v>0</v>
      </c>
      <c r="O157" s="38">
        <v>10</v>
      </c>
      <c r="P157" s="38"/>
      <c r="Q157" s="39">
        <f t="shared" si="18"/>
        <v>0</v>
      </c>
      <c r="R157" s="38">
        <v>0</v>
      </c>
      <c r="S157" s="38">
        <v>0</v>
      </c>
      <c r="T157" s="39">
        <f t="shared" si="19"/>
        <v>0</v>
      </c>
      <c r="U157" s="38">
        <v>0</v>
      </c>
      <c r="V157" s="38">
        <v>0</v>
      </c>
      <c r="W157" s="39">
        <f t="shared" si="20"/>
        <v>0</v>
      </c>
      <c r="X157" s="38"/>
      <c r="Y157" s="38"/>
      <c r="Z157" s="39">
        <f t="shared" si="21"/>
        <v>0</v>
      </c>
      <c r="AA157" s="38"/>
      <c r="AB157" s="38"/>
      <c r="AC157" s="39">
        <f t="shared" si="22"/>
        <v>0</v>
      </c>
      <c r="AD157" s="38"/>
      <c r="AE157" s="38"/>
      <c r="AF157" s="39">
        <f t="shared" si="23"/>
        <v>0</v>
      </c>
    </row>
    <row r="158" spans="2:32" ht="15" customHeight="1" x14ac:dyDescent="0.3">
      <c r="B158" s="2" t="s">
        <v>836</v>
      </c>
      <c r="C158" s="4" t="s">
        <v>837</v>
      </c>
      <c r="D158" s="3" t="s">
        <v>907</v>
      </c>
      <c r="E158" s="6" t="s">
        <v>908</v>
      </c>
      <c r="F158" s="6" t="s">
        <v>913</v>
      </c>
      <c r="G158" s="33" t="s">
        <v>710</v>
      </c>
      <c r="H158" s="25">
        <v>104850</v>
      </c>
      <c r="I158" s="38">
        <v>0</v>
      </c>
      <c r="J158" s="38">
        <v>0</v>
      </c>
      <c r="K158" s="39">
        <f t="shared" si="16"/>
        <v>0</v>
      </c>
      <c r="L158" s="38">
        <v>0</v>
      </c>
      <c r="M158" s="38">
        <v>0</v>
      </c>
      <c r="N158" s="39">
        <f t="shared" si="17"/>
        <v>0</v>
      </c>
      <c r="O158" s="38">
        <v>15</v>
      </c>
      <c r="P158" s="38">
        <v>3</v>
      </c>
      <c r="Q158" s="39">
        <f t="shared" si="18"/>
        <v>4718250</v>
      </c>
      <c r="R158" s="38">
        <v>0</v>
      </c>
      <c r="S158" s="38">
        <v>0</v>
      </c>
      <c r="T158" s="39">
        <f t="shared" si="19"/>
        <v>0</v>
      </c>
      <c r="U158" s="38">
        <v>0</v>
      </c>
      <c r="V158" s="38">
        <v>0</v>
      </c>
      <c r="W158" s="39">
        <f t="shared" si="20"/>
        <v>0</v>
      </c>
      <c r="X158" s="38"/>
      <c r="Y158" s="38"/>
      <c r="Z158" s="39">
        <f t="shared" si="21"/>
        <v>0</v>
      </c>
      <c r="AA158" s="38"/>
      <c r="AB158" s="38"/>
      <c r="AC158" s="39">
        <f t="shared" si="22"/>
        <v>0</v>
      </c>
      <c r="AD158" s="38"/>
      <c r="AE158" s="38"/>
      <c r="AF158" s="39">
        <f t="shared" si="23"/>
        <v>0</v>
      </c>
    </row>
    <row r="159" spans="2:32" ht="15" customHeight="1" x14ac:dyDescent="0.3">
      <c r="B159" s="2" t="s">
        <v>836</v>
      </c>
      <c r="C159" s="4" t="s">
        <v>837</v>
      </c>
      <c r="D159" s="3" t="s">
        <v>907</v>
      </c>
      <c r="E159" s="6" t="s">
        <v>908</v>
      </c>
      <c r="F159" s="6" t="s">
        <v>913</v>
      </c>
      <c r="G159" s="33" t="s">
        <v>711</v>
      </c>
      <c r="H159" s="25">
        <v>70</v>
      </c>
      <c r="I159" s="38">
        <v>0</v>
      </c>
      <c r="J159" s="38">
        <v>0</v>
      </c>
      <c r="K159" s="39">
        <f t="shared" si="16"/>
        <v>0</v>
      </c>
      <c r="L159" s="38">
        <v>0</v>
      </c>
      <c r="M159" s="38">
        <v>0</v>
      </c>
      <c r="N159" s="39">
        <f t="shared" si="17"/>
        <v>0</v>
      </c>
      <c r="O159" s="38">
        <v>1</v>
      </c>
      <c r="P159" s="38">
        <v>1</v>
      </c>
      <c r="Q159" s="39">
        <f t="shared" si="18"/>
        <v>70</v>
      </c>
      <c r="R159" s="38">
        <v>0</v>
      </c>
      <c r="S159" s="38">
        <v>0</v>
      </c>
      <c r="T159" s="39">
        <f t="shared" si="19"/>
        <v>0</v>
      </c>
      <c r="U159" s="38">
        <v>0</v>
      </c>
      <c r="V159" s="38">
        <v>0</v>
      </c>
      <c r="W159" s="39">
        <f t="shared" si="20"/>
        <v>0</v>
      </c>
      <c r="X159" s="38"/>
      <c r="Y159" s="38"/>
      <c r="Z159" s="39">
        <f t="shared" si="21"/>
        <v>0</v>
      </c>
      <c r="AA159" s="38"/>
      <c r="AB159" s="38"/>
      <c r="AC159" s="39">
        <f t="shared" si="22"/>
        <v>0</v>
      </c>
      <c r="AD159" s="38"/>
      <c r="AE159" s="38"/>
      <c r="AF159" s="39">
        <f t="shared" si="23"/>
        <v>0</v>
      </c>
    </row>
    <row r="160" spans="2:32" ht="15" customHeight="1" x14ac:dyDescent="0.3">
      <c r="B160" s="2" t="s">
        <v>836</v>
      </c>
      <c r="C160" s="4" t="s">
        <v>837</v>
      </c>
      <c r="D160" s="3" t="s">
        <v>907</v>
      </c>
      <c r="E160" s="16" t="s">
        <v>908</v>
      </c>
      <c r="F160" s="16" t="s">
        <v>913</v>
      </c>
      <c r="G160" s="34" t="s">
        <v>835</v>
      </c>
      <c r="H160" s="25"/>
      <c r="I160" s="38">
        <v>0</v>
      </c>
      <c r="J160" s="38">
        <v>0</v>
      </c>
      <c r="K160" s="39">
        <f t="shared" si="16"/>
        <v>0</v>
      </c>
      <c r="L160" s="38">
        <v>0</v>
      </c>
      <c r="M160" s="38">
        <v>0</v>
      </c>
      <c r="N160" s="39">
        <f t="shared" si="17"/>
        <v>0</v>
      </c>
      <c r="O160" s="38">
        <v>5000</v>
      </c>
      <c r="P160" s="38">
        <v>1</v>
      </c>
      <c r="Q160" s="39">
        <f t="shared" si="18"/>
        <v>0</v>
      </c>
      <c r="R160" s="38">
        <v>0</v>
      </c>
      <c r="S160" s="38">
        <v>0</v>
      </c>
      <c r="T160" s="39">
        <f t="shared" si="19"/>
        <v>0</v>
      </c>
      <c r="U160" s="38">
        <v>0</v>
      </c>
      <c r="V160" s="38">
        <v>0</v>
      </c>
      <c r="W160" s="39">
        <f t="shared" si="20"/>
        <v>0</v>
      </c>
      <c r="X160" s="38"/>
      <c r="Y160" s="38"/>
      <c r="Z160" s="39">
        <f t="shared" si="21"/>
        <v>0</v>
      </c>
      <c r="AA160" s="38"/>
      <c r="AB160" s="38"/>
      <c r="AC160" s="39">
        <f t="shared" si="22"/>
        <v>0</v>
      </c>
      <c r="AD160" s="38"/>
      <c r="AE160" s="38"/>
      <c r="AF160" s="39">
        <f t="shared" si="23"/>
        <v>0</v>
      </c>
    </row>
    <row r="161" spans="2:32" ht="15" customHeight="1" x14ac:dyDescent="0.3">
      <c r="B161" s="2" t="s">
        <v>836</v>
      </c>
      <c r="C161" s="4" t="s">
        <v>837</v>
      </c>
      <c r="D161" s="3" t="s">
        <v>907</v>
      </c>
      <c r="E161" s="6" t="s">
        <v>908</v>
      </c>
      <c r="F161" s="6" t="s">
        <v>845</v>
      </c>
      <c r="G161" s="33" t="s">
        <v>713</v>
      </c>
      <c r="H161" s="25">
        <v>45000</v>
      </c>
      <c r="I161" s="38">
        <v>0</v>
      </c>
      <c r="J161" s="38">
        <v>0</v>
      </c>
      <c r="K161" s="39">
        <f t="shared" si="16"/>
        <v>0</v>
      </c>
      <c r="L161" s="38">
        <v>0</v>
      </c>
      <c r="M161" s="38">
        <v>0</v>
      </c>
      <c r="N161" s="39">
        <f t="shared" si="17"/>
        <v>0</v>
      </c>
      <c r="O161" s="38">
        <v>15</v>
      </c>
      <c r="P161" s="38">
        <v>1</v>
      </c>
      <c r="Q161" s="39">
        <f t="shared" si="18"/>
        <v>675000</v>
      </c>
      <c r="R161" s="38">
        <v>0</v>
      </c>
      <c r="S161" s="38">
        <v>0</v>
      </c>
      <c r="T161" s="39">
        <f t="shared" si="19"/>
        <v>0</v>
      </c>
      <c r="U161" s="38">
        <v>0</v>
      </c>
      <c r="V161" s="38">
        <v>0</v>
      </c>
      <c r="W161" s="39">
        <f t="shared" si="20"/>
        <v>0</v>
      </c>
      <c r="X161" s="38"/>
      <c r="Y161" s="38"/>
      <c r="Z161" s="39">
        <f t="shared" si="21"/>
        <v>0</v>
      </c>
      <c r="AA161" s="38"/>
      <c r="AB161" s="38"/>
      <c r="AC161" s="39">
        <f t="shared" si="22"/>
        <v>0</v>
      </c>
      <c r="AD161" s="38"/>
      <c r="AE161" s="38"/>
      <c r="AF161" s="39">
        <f t="shared" si="23"/>
        <v>0</v>
      </c>
    </row>
    <row r="162" spans="2:32" ht="15" customHeight="1" x14ac:dyDescent="0.3">
      <c r="B162" s="2" t="s">
        <v>836</v>
      </c>
      <c r="C162" s="4" t="s">
        <v>837</v>
      </c>
      <c r="D162" s="3" t="s">
        <v>907</v>
      </c>
      <c r="E162" s="6" t="s">
        <v>908</v>
      </c>
      <c r="F162" s="6" t="s">
        <v>845</v>
      </c>
      <c r="G162" s="33" t="s">
        <v>712</v>
      </c>
      <c r="H162" s="25">
        <v>214.29</v>
      </c>
      <c r="I162" s="38">
        <v>0</v>
      </c>
      <c r="J162" s="38">
        <v>0</v>
      </c>
      <c r="K162" s="39">
        <f t="shared" si="16"/>
        <v>0</v>
      </c>
      <c r="L162" s="38">
        <v>0</v>
      </c>
      <c r="M162" s="38">
        <v>0</v>
      </c>
      <c r="N162" s="39">
        <f t="shared" si="17"/>
        <v>0</v>
      </c>
      <c r="O162" s="38">
        <v>25</v>
      </c>
      <c r="P162" s="38">
        <v>1</v>
      </c>
      <c r="Q162" s="39">
        <f t="shared" si="18"/>
        <v>5357.25</v>
      </c>
      <c r="R162" s="38">
        <v>0</v>
      </c>
      <c r="S162" s="38">
        <v>0</v>
      </c>
      <c r="T162" s="39">
        <f t="shared" si="19"/>
        <v>0</v>
      </c>
      <c r="U162" s="38">
        <v>0</v>
      </c>
      <c r="V162" s="38">
        <v>0</v>
      </c>
      <c r="W162" s="39">
        <f t="shared" si="20"/>
        <v>0</v>
      </c>
      <c r="X162" s="38"/>
      <c r="Y162" s="38"/>
      <c r="Z162" s="39">
        <f t="shared" si="21"/>
        <v>0</v>
      </c>
      <c r="AA162" s="38"/>
      <c r="AB162" s="38"/>
      <c r="AC162" s="39">
        <f t="shared" si="22"/>
        <v>0</v>
      </c>
      <c r="AD162" s="38"/>
      <c r="AE162" s="38"/>
      <c r="AF162" s="39">
        <f t="shared" si="23"/>
        <v>0</v>
      </c>
    </row>
    <row r="163" spans="2:32" ht="15" customHeight="1" x14ac:dyDescent="0.3">
      <c r="B163" s="2" t="s">
        <v>836</v>
      </c>
      <c r="C163" s="4" t="s">
        <v>837</v>
      </c>
      <c r="D163" s="3" t="s">
        <v>907</v>
      </c>
      <c r="E163" s="6" t="s">
        <v>908</v>
      </c>
      <c r="F163" s="6" t="s">
        <v>914</v>
      </c>
      <c r="G163" s="33" t="s">
        <v>709</v>
      </c>
      <c r="H163" s="25">
        <v>28000</v>
      </c>
      <c r="I163" s="38">
        <v>0</v>
      </c>
      <c r="J163" s="38">
        <v>0</v>
      </c>
      <c r="K163" s="39">
        <f t="shared" si="16"/>
        <v>0</v>
      </c>
      <c r="L163" s="38">
        <v>0</v>
      </c>
      <c r="M163" s="38">
        <v>0</v>
      </c>
      <c r="N163" s="39">
        <f t="shared" si="17"/>
        <v>0</v>
      </c>
      <c r="O163" s="38">
        <v>4000</v>
      </c>
      <c r="P163" s="38">
        <v>1</v>
      </c>
      <c r="Q163" s="39">
        <f t="shared" si="18"/>
        <v>112000000</v>
      </c>
      <c r="R163" s="38">
        <v>0</v>
      </c>
      <c r="S163" s="38">
        <v>0</v>
      </c>
      <c r="T163" s="39">
        <f t="shared" si="19"/>
        <v>0</v>
      </c>
      <c r="U163" s="38">
        <v>0</v>
      </c>
      <c r="V163" s="38">
        <v>0</v>
      </c>
      <c r="W163" s="39">
        <f t="shared" si="20"/>
        <v>0</v>
      </c>
      <c r="X163" s="38"/>
      <c r="Y163" s="38"/>
      <c r="Z163" s="39">
        <f t="shared" si="21"/>
        <v>0</v>
      </c>
      <c r="AA163" s="38"/>
      <c r="AB163" s="38"/>
      <c r="AC163" s="39">
        <f t="shared" si="22"/>
        <v>0</v>
      </c>
      <c r="AD163" s="38"/>
      <c r="AE163" s="38"/>
      <c r="AF163" s="39">
        <f t="shared" si="23"/>
        <v>0</v>
      </c>
    </row>
    <row r="164" spans="2:32" ht="15" customHeight="1" x14ac:dyDescent="0.3">
      <c r="B164" s="2" t="s">
        <v>836</v>
      </c>
      <c r="C164" s="4" t="s">
        <v>837</v>
      </c>
      <c r="D164" s="3" t="s">
        <v>907</v>
      </c>
      <c r="E164" s="6" t="s">
        <v>908</v>
      </c>
      <c r="F164" s="6" t="s">
        <v>915</v>
      </c>
      <c r="G164" s="6" t="s">
        <v>713</v>
      </c>
      <c r="H164" s="25">
        <v>45000</v>
      </c>
      <c r="I164" s="38">
        <v>0</v>
      </c>
      <c r="J164" s="38">
        <v>0</v>
      </c>
      <c r="K164" s="39">
        <f t="shared" si="16"/>
        <v>0</v>
      </c>
      <c r="L164" s="38">
        <v>0</v>
      </c>
      <c r="M164" s="38">
        <v>0</v>
      </c>
      <c r="N164" s="39">
        <f t="shared" si="17"/>
        <v>0</v>
      </c>
      <c r="O164" s="38">
        <v>25</v>
      </c>
      <c r="P164" s="38">
        <v>1</v>
      </c>
      <c r="Q164" s="39">
        <f t="shared" si="18"/>
        <v>1125000</v>
      </c>
      <c r="R164" s="38">
        <v>0</v>
      </c>
      <c r="S164" s="38">
        <v>0</v>
      </c>
      <c r="T164" s="39">
        <f t="shared" si="19"/>
        <v>0</v>
      </c>
      <c r="U164" s="38">
        <v>0</v>
      </c>
      <c r="V164" s="38">
        <v>0</v>
      </c>
      <c r="W164" s="39">
        <f t="shared" si="20"/>
        <v>0</v>
      </c>
      <c r="X164" s="38"/>
      <c r="Y164" s="38"/>
      <c r="Z164" s="39">
        <f t="shared" si="21"/>
        <v>0</v>
      </c>
      <c r="AA164" s="38"/>
      <c r="AB164" s="38"/>
      <c r="AC164" s="39">
        <f t="shared" si="22"/>
        <v>0</v>
      </c>
      <c r="AD164" s="38"/>
      <c r="AE164" s="38"/>
      <c r="AF164" s="39">
        <f t="shared" si="23"/>
        <v>0</v>
      </c>
    </row>
    <row r="165" spans="2:32" ht="15" customHeight="1" x14ac:dyDescent="0.3">
      <c r="B165" s="2" t="s">
        <v>836</v>
      </c>
      <c r="C165" s="4" t="s">
        <v>837</v>
      </c>
      <c r="D165" s="3" t="s">
        <v>907</v>
      </c>
      <c r="E165" s="6" t="s">
        <v>908</v>
      </c>
      <c r="F165" s="6" t="s">
        <v>915</v>
      </c>
      <c r="G165" s="6" t="s">
        <v>712</v>
      </c>
      <c r="H165" s="25">
        <v>214.29</v>
      </c>
      <c r="I165" s="38">
        <v>0</v>
      </c>
      <c r="J165" s="38">
        <v>0</v>
      </c>
      <c r="K165" s="39">
        <f t="shared" si="16"/>
        <v>0</v>
      </c>
      <c r="L165" s="38">
        <v>0</v>
      </c>
      <c r="M165" s="38">
        <v>0</v>
      </c>
      <c r="N165" s="39">
        <f t="shared" si="17"/>
        <v>0</v>
      </c>
      <c r="O165" s="38">
        <v>25</v>
      </c>
      <c r="P165" s="38">
        <v>10</v>
      </c>
      <c r="Q165" s="39">
        <f t="shared" si="18"/>
        <v>53572.5</v>
      </c>
      <c r="R165" s="38">
        <v>0</v>
      </c>
      <c r="S165" s="38">
        <v>0</v>
      </c>
      <c r="T165" s="39">
        <f t="shared" si="19"/>
        <v>0</v>
      </c>
      <c r="U165" s="38">
        <v>0</v>
      </c>
      <c r="V165" s="38">
        <v>0</v>
      </c>
      <c r="W165" s="39">
        <f t="shared" si="20"/>
        <v>0</v>
      </c>
      <c r="X165" s="38"/>
      <c r="Y165" s="38"/>
      <c r="Z165" s="39">
        <f t="shared" si="21"/>
        <v>0</v>
      </c>
      <c r="AA165" s="38"/>
      <c r="AB165" s="38"/>
      <c r="AC165" s="39">
        <f t="shared" si="22"/>
        <v>0</v>
      </c>
      <c r="AD165" s="38"/>
      <c r="AE165" s="38"/>
      <c r="AF165" s="39">
        <f t="shared" si="23"/>
        <v>0</v>
      </c>
    </row>
    <row r="166" spans="2:32" ht="15" customHeight="1" x14ac:dyDescent="0.3">
      <c r="B166" s="2" t="s">
        <v>836</v>
      </c>
      <c r="C166" s="4" t="s">
        <v>837</v>
      </c>
      <c r="D166" s="3" t="s">
        <v>907</v>
      </c>
      <c r="E166" s="6" t="s">
        <v>908</v>
      </c>
      <c r="F166" s="6" t="s">
        <v>915</v>
      </c>
      <c r="G166" s="6" t="s">
        <v>714</v>
      </c>
      <c r="H166" s="25">
        <v>10000</v>
      </c>
      <c r="I166" s="38">
        <v>0</v>
      </c>
      <c r="J166" s="38">
        <v>0</v>
      </c>
      <c r="K166" s="39">
        <f t="shared" si="16"/>
        <v>0</v>
      </c>
      <c r="L166" s="38">
        <v>0</v>
      </c>
      <c r="M166" s="38">
        <v>0</v>
      </c>
      <c r="N166" s="39">
        <f t="shared" si="17"/>
        <v>0</v>
      </c>
      <c r="O166" s="38">
        <v>20000</v>
      </c>
      <c r="P166" s="38">
        <v>1</v>
      </c>
      <c r="Q166" s="39">
        <f t="shared" si="18"/>
        <v>200000000</v>
      </c>
      <c r="R166" s="38">
        <v>0</v>
      </c>
      <c r="S166" s="38">
        <v>0</v>
      </c>
      <c r="T166" s="39">
        <f t="shared" si="19"/>
        <v>0</v>
      </c>
      <c r="U166" s="38">
        <v>0</v>
      </c>
      <c r="V166" s="38">
        <v>0</v>
      </c>
      <c r="W166" s="39">
        <f t="shared" si="20"/>
        <v>0</v>
      </c>
      <c r="X166" s="38"/>
      <c r="Y166" s="38"/>
      <c r="Z166" s="39">
        <f t="shared" si="21"/>
        <v>0</v>
      </c>
      <c r="AA166" s="38"/>
      <c r="AB166" s="38"/>
      <c r="AC166" s="39">
        <f t="shared" si="22"/>
        <v>0</v>
      </c>
      <c r="AD166" s="38"/>
      <c r="AE166" s="38"/>
      <c r="AF166" s="39">
        <f t="shared" si="23"/>
        <v>0</v>
      </c>
    </row>
    <row r="167" spans="2:32" ht="15" customHeight="1" x14ac:dyDescent="0.3">
      <c r="B167" s="2" t="s">
        <v>836</v>
      </c>
      <c r="C167" s="4" t="s">
        <v>837</v>
      </c>
      <c r="D167" s="3" t="s">
        <v>907</v>
      </c>
      <c r="E167" s="6" t="s">
        <v>908</v>
      </c>
      <c r="F167" s="6" t="s">
        <v>915</v>
      </c>
      <c r="G167" s="6" t="s">
        <v>715</v>
      </c>
      <c r="H167" s="25">
        <v>302000</v>
      </c>
      <c r="I167" s="38">
        <v>0</v>
      </c>
      <c r="J167" s="38">
        <v>0</v>
      </c>
      <c r="K167" s="39">
        <f t="shared" si="16"/>
        <v>0</v>
      </c>
      <c r="L167" s="38">
        <v>0</v>
      </c>
      <c r="M167" s="38">
        <v>0</v>
      </c>
      <c r="N167" s="39">
        <f t="shared" si="17"/>
        <v>0</v>
      </c>
      <c r="O167" s="38">
        <v>15</v>
      </c>
      <c r="P167" s="38">
        <v>1</v>
      </c>
      <c r="Q167" s="39">
        <f t="shared" si="18"/>
        <v>4530000</v>
      </c>
      <c r="R167" s="38">
        <v>0</v>
      </c>
      <c r="S167" s="38">
        <v>0</v>
      </c>
      <c r="T167" s="39">
        <f t="shared" si="19"/>
        <v>0</v>
      </c>
      <c r="U167" s="38">
        <v>0</v>
      </c>
      <c r="V167" s="38">
        <v>0</v>
      </c>
      <c r="W167" s="39">
        <f t="shared" si="20"/>
        <v>0</v>
      </c>
      <c r="X167" s="38"/>
      <c r="Y167" s="38"/>
      <c r="Z167" s="39">
        <f t="shared" si="21"/>
        <v>0</v>
      </c>
      <c r="AA167" s="38"/>
      <c r="AB167" s="38"/>
      <c r="AC167" s="39">
        <f t="shared" si="22"/>
        <v>0</v>
      </c>
      <c r="AD167" s="38"/>
      <c r="AE167" s="38"/>
      <c r="AF167" s="39">
        <f t="shared" si="23"/>
        <v>0</v>
      </c>
    </row>
    <row r="168" spans="2:32" ht="15" customHeight="1" x14ac:dyDescent="0.3">
      <c r="B168" s="2" t="s">
        <v>836</v>
      </c>
      <c r="C168" s="4" t="s">
        <v>837</v>
      </c>
      <c r="D168" s="3" t="s">
        <v>907</v>
      </c>
      <c r="E168" s="6" t="s">
        <v>908</v>
      </c>
      <c r="F168" s="6" t="s">
        <v>152</v>
      </c>
      <c r="G168" s="6" t="s">
        <v>716</v>
      </c>
      <c r="H168" s="25">
        <v>39000</v>
      </c>
      <c r="I168" s="38">
        <v>0</v>
      </c>
      <c r="J168" s="38">
        <v>0</v>
      </c>
      <c r="K168" s="39">
        <f t="shared" si="16"/>
        <v>0</v>
      </c>
      <c r="L168" s="38">
        <v>0</v>
      </c>
      <c r="M168" s="38">
        <v>0</v>
      </c>
      <c r="N168" s="39">
        <f t="shared" si="17"/>
        <v>0</v>
      </c>
      <c r="O168" s="38">
        <v>20</v>
      </c>
      <c r="P168" s="38">
        <v>1</v>
      </c>
      <c r="Q168" s="39">
        <f t="shared" si="18"/>
        <v>780000</v>
      </c>
      <c r="R168" s="38">
        <v>0</v>
      </c>
      <c r="S168" s="38">
        <v>0</v>
      </c>
      <c r="T168" s="39">
        <f t="shared" si="19"/>
        <v>0</v>
      </c>
      <c r="U168" s="38">
        <v>0</v>
      </c>
      <c r="V168" s="38">
        <v>0</v>
      </c>
      <c r="W168" s="39">
        <f t="shared" si="20"/>
        <v>0</v>
      </c>
      <c r="X168" s="38"/>
      <c r="Y168" s="38"/>
      <c r="Z168" s="39">
        <f t="shared" si="21"/>
        <v>0</v>
      </c>
      <c r="AA168" s="38"/>
      <c r="AB168" s="38"/>
      <c r="AC168" s="39">
        <f t="shared" si="22"/>
        <v>0</v>
      </c>
      <c r="AD168" s="38"/>
      <c r="AE168" s="38"/>
      <c r="AF168" s="39">
        <f t="shared" si="23"/>
        <v>0</v>
      </c>
    </row>
    <row r="169" spans="2:32" ht="15" customHeight="1" x14ac:dyDescent="0.3">
      <c r="B169" s="2" t="s">
        <v>836</v>
      </c>
      <c r="C169" s="4" t="s">
        <v>837</v>
      </c>
      <c r="D169" s="3" t="s">
        <v>907</v>
      </c>
      <c r="E169" s="6" t="s">
        <v>908</v>
      </c>
      <c r="F169" s="6" t="s">
        <v>152</v>
      </c>
      <c r="G169" s="6" t="s">
        <v>709</v>
      </c>
      <c r="H169" s="25">
        <v>28000</v>
      </c>
      <c r="I169" s="38">
        <v>0</v>
      </c>
      <c r="J169" s="38">
        <v>0</v>
      </c>
      <c r="K169" s="39">
        <f t="shared" si="16"/>
        <v>0</v>
      </c>
      <c r="L169" s="38">
        <v>0</v>
      </c>
      <c r="M169" s="38">
        <v>0</v>
      </c>
      <c r="N169" s="39">
        <f t="shared" si="17"/>
        <v>0</v>
      </c>
      <c r="O169" s="38">
        <v>25</v>
      </c>
      <c r="P169" s="38">
        <v>10</v>
      </c>
      <c r="Q169" s="39">
        <f t="shared" si="18"/>
        <v>7000000</v>
      </c>
      <c r="R169" s="38">
        <v>0</v>
      </c>
      <c r="S169" s="38">
        <v>0</v>
      </c>
      <c r="T169" s="39">
        <f t="shared" si="19"/>
        <v>0</v>
      </c>
      <c r="U169" s="38">
        <v>0</v>
      </c>
      <c r="V169" s="38">
        <v>0</v>
      </c>
      <c r="W169" s="39">
        <f t="shared" si="20"/>
        <v>0</v>
      </c>
      <c r="X169" s="38"/>
      <c r="Y169" s="38"/>
      <c r="Z169" s="39">
        <f t="shared" si="21"/>
        <v>0</v>
      </c>
      <c r="AA169" s="38"/>
      <c r="AB169" s="38"/>
      <c r="AC169" s="39">
        <f t="shared" si="22"/>
        <v>0</v>
      </c>
      <c r="AD169" s="38"/>
      <c r="AE169" s="38"/>
      <c r="AF169" s="39">
        <f t="shared" si="23"/>
        <v>0</v>
      </c>
    </row>
    <row r="170" spans="2:32" ht="15" customHeight="1" x14ac:dyDescent="0.3">
      <c r="B170" s="2" t="s">
        <v>836</v>
      </c>
      <c r="C170" s="4" t="s">
        <v>837</v>
      </c>
      <c r="D170" s="3" t="s">
        <v>907</v>
      </c>
      <c r="E170" s="6" t="s">
        <v>908</v>
      </c>
      <c r="F170" s="6" t="s">
        <v>152</v>
      </c>
      <c r="G170" s="6" t="s">
        <v>712</v>
      </c>
      <c r="H170" s="25">
        <v>214.29</v>
      </c>
      <c r="I170" s="38">
        <v>0</v>
      </c>
      <c r="J170" s="38">
        <v>0</v>
      </c>
      <c r="K170" s="39">
        <f t="shared" si="16"/>
        <v>0</v>
      </c>
      <c r="L170" s="38">
        <v>0</v>
      </c>
      <c r="M170" s="38">
        <v>0</v>
      </c>
      <c r="N170" s="39">
        <f t="shared" si="17"/>
        <v>0</v>
      </c>
      <c r="O170" s="38">
        <v>25</v>
      </c>
      <c r="P170" s="38">
        <v>10</v>
      </c>
      <c r="Q170" s="39">
        <f t="shared" si="18"/>
        <v>53572.5</v>
      </c>
      <c r="R170" s="38">
        <v>0</v>
      </c>
      <c r="S170" s="38">
        <v>0</v>
      </c>
      <c r="T170" s="39">
        <f t="shared" si="19"/>
        <v>0</v>
      </c>
      <c r="U170" s="38">
        <v>0</v>
      </c>
      <c r="V170" s="38">
        <v>0</v>
      </c>
      <c r="W170" s="39">
        <f t="shared" si="20"/>
        <v>0</v>
      </c>
      <c r="X170" s="38"/>
      <c r="Y170" s="38"/>
      <c r="Z170" s="39">
        <f t="shared" si="21"/>
        <v>0</v>
      </c>
      <c r="AA170" s="38"/>
      <c r="AB170" s="38"/>
      <c r="AC170" s="39">
        <f t="shared" si="22"/>
        <v>0</v>
      </c>
      <c r="AD170" s="38"/>
      <c r="AE170" s="38"/>
      <c r="AF170" s="39">
        <f t="shared" si="23"/>
        <v>0</v>
      </c>
    </row>
    <row r="171" spans="2:32" ht="15" customHeight="1" x14ac:dyDescent="0.3">
      <c r="B171" s="2" t="s">
        <v>836</v>
      </c>
      <c r="C171" s="4" t="s">
        <v>837</v>
      </c>
      <c r="D171" s="3" t="s">
        <v>907</v>
      </c>
      <c r="E171" s="6" t="s">
        <v>908</v>
      </c>
      <c r="F171" s="6" t="s">
        <v>916</v>
      </c>
      <c r="G171" s="6" t="s">
        <v>841</v>
      </c>
      <c r="H171" s="25">
        <v>0</v>
      </c>
      <c r="I171" s="38">
        <v>0</v>
      </c>
      <c r="J171" s="38">
        <v>0</v>
      </c>
      <c r="K171" s="39">
        <f t="shared" si="16"/>
        <v>0</v>
      </c>
      <c r="L171" s="38">
        <v>0</v>
      </c>
      <c r="M171" s="38">
        <v>0</v>
      </c>
      <c r="N171" s="39">
        <f t="shared" si="17"/>
        <v>0</v>
      </c>
      <c r="O171" s="38">
        <v>4000</v>
      </c>
      <c r="P171" s="38">
        <v>1</v>
      </c>
      <c r="Q171" s="39">
        <f t="shared" si="18"/>
        <v>0</v>
      </c>
      <c r="R171" s="38">
        <v>0</v>
      </c>
      <c r="S171" s="38">
        <v>0</v>
      </c>
      <c r="T171" s="39">
        <f t="shared" si="19"/>
        <v>0</v>
      </c>
      <c r="U171" s="38">
        <v>0</v>
      </c>
      <c r="V171" s="38">
        <v>0</v>
      </c>
      <c r="W171" s="39">
        <f t="shared" si="20"/>
        <v>0</v>
      </c>
      <c r="X171" s="38"/>
      <c r="Y171" s="38"/>
      <c r="Z171" s="39">
        <f t="shared" si="21"/>
        <v>0</v>
      </c>
      <c r="AA171" s="38"/>
      <c r="AB171" s="38"/>
      <c r="AC171" s="39">
        <f t="shared" si="22"/>
        <v>0</v>
      </c>
      <c r="AD171" s="38"/>
      <c r="AE171" s="38"/>
      <c r="AF171" s="39">
        <f t="shared" si="23"/>
        <v>0</v>
      </c>
    </row>
    <row r="172" spans="2:32" ht="15" customHeight="1" x14ac:dyDescent="0.3">
      <c r="B172" s="2" t="s">
        <v>836</v>
      </c>
      <c r="C172" s="4" t="s">
        <v>837</v>
      </c>
      <c r="D172" s="3" t="s">
        <v>907</v>
      </c>
      <c r="E172" s="6" t="s">
        <v>908</v>
      </c>
      <c r="F172" s="6" t="s">
        <v>917</v>
      </c>
      <c r="G172" s="6" t="s">
        <v>841</v>
      </c>
      <c r="H172" s="25">
        <v>0</v>
      </c>
      <c r="I172" s="38">
        <v>0</v>
      </c>
      <c r="J172" s="38">
        <v>0</v>
      </c>
      <c r="K172" s="39">
        <f t="shared" si="16"/>
        <v>0</v>
      </c>
      <c r="L172" s="38">
        <v>0</v>
      </c>
      <c r="M172" s="38">
        <v>0</v>
      </c>
      <c r="N172" s="39">
        <f t="shared" si="17"/>
        <v>0</v>
      </c>
      <c r="O172" s="38">
        <v>0</v>
      </c>
      <c r="P172" s="38">
        <v>0</v>
      </c>
      <c r="Q172" s="39">
        <f t="shared" si="18"/>
        <v>0</v>
      </c>
      <c r="R172" s="38">
        <v>0</v>
      </c>
      <c r="S172" s="38">
        <v>0</v>
      </c>
      <c r="T172" s="39">
        <f t="shared" si="19"/>
        <v>0</v>
      </c>
      <c r="U172" s="38">
        <v>0</v>
      </c>
      <c r="V172" s="38">
        <v>0</v>
      </c>
      <c r="W172" s="39">
        <f t="shared" si="20"/>
        <v>0</v>
      </c>
      <c r="X172" s="38"/>
      <c r="Y172" s="38"/>
      <c r="Z172" s="39">
        <f t="shared" si="21"/>
        <v>0</v>
      </c>
      <c r="AA172" s="38"/>
      <c r="AB172" s="38"/>
      <c r="AC172" s="39">
        <f t="shared" si="22"/>
        <v>0</v>
      </c>
      <c r="AD172" s="38"/>
      <c r="AE172" s="38"/>
      <c r="AF172" s="39">
        <f t="shared" si="23"/>
        <v>0</v>
      </c>
    </row>
    <row r="173" spans="2:32" ht="15" customHeight="1" x14ac:dyDescent="0.3">
      <c r="B173" s="2" t="s">
        <v>836</v>
      </c>
      <c r="C173" s="4" t="s">
        <v>837</v>
      </c>
      <c r="D173" s="3" t="s">
        <v>907</v>
      </c>
      <c r="E173" s="6" t="s">
        <v>908</v>
      </c>
      <c r="F173" s="6" t="s">
        <v>918</v>
      </c>
      <c r="G173" s="6" t="s">
        <v>709</v>
      </c>
      <c r="H173" s="25">
        <v>28000</v>
      </c>
      <c r="I173" s="38">
        <v>0</v>
      </c>
      <c r="J173" s="38">
        <v>0</v>
      </c>
      <c r="K173" s="39">
        <f t="shared" si="16"/>
        <v>0</v>
      </c>
      <c r="L173" s="38">
        <v>0</v>
      </c>
      <c r="M173" s="38">
        <v>0</v>
      </c>
      <c r="N173" s="39">
        <f t="shared" si="17"/>
        <v>0</v>
      </c>
      <c r="O173" s="38">
        <v>0</v>
      </c>
      <c r="P173" s="38">
        <v>0</v>
      </c>
      <c r="Q173" s="39">
        <f t="shared" si="18"/>
        <v>0</v>
      </c>
      <c r="R173" s="38">
        <v>0</v>
      </c>
      <c r="S173" s="38">
        <v>0</v>
      </c>
      <c r="T173" s="39">
        <f t="shared" si="19"/>
        <v>0</v>
      </c>
      <c r="U173" s="38">
        <v>0</v>
      </c>
      <c r="V173" s="38">
        <v>0</v>
      </c>
      <c r="W173" s="39">
        <f t="shared" si="20"/>
        <v>0</v>
      </c>
      <c r="X173" s="38"/>
      <c r="Y173" s="38"/>
      <c r="Z173" s="39">
        <f t="shared" si="21"/>
        <v>0</v>
      </c>
      <c r="AA173" s="38"/>
      <c r="AB173" s="38"/>
      <c r="AC173" s="39">
        <f t="shared" si="22"/>
        <v>0</v>
      </c>
      <c r="AD173" s="38"/>
      <c r="AE173" s="38"/>
      <c r="AF173" s="39">
        <f t="shared" si="23"/>
        <v>0</v>
      </c>
    </row>
    <row r="174" spans="2:32" ht="15" customHeight="1" x14ac:dyDescent="0.3">
      <c r="B174" s="2" t="s">
        <v>836</v>
      </c>
      <c r="C174" s="4" t="s">
        <v>837</v>
      </c>
      <c r="D174" s="3" t="s">
        <v>907</v>
      </c>
      <c r="E174" s="6" t="s">
        <v>908</v>
      </c>
      <c r="F174" s="6" t="s">
        <v>918</v>
      </c>
      <c r="G174" s="6" t="s">
        <v>716</v>
      </c>
      <c r="H174" s="25">
        <v>39000</v>
      </c>
      <c r="I174" s="38">
        <v>0</v>
      </c>
      <c r="J174" s="38">
        <v>0</v>
      </c>
      <c r="K174" s="39">
        <f t="shared" si="16"/>
        <v>0</v>
      </c>
      <c r="L174" s="38">
        <v>0</v>
      </c>
      <c r="M174" s="38">
        <v>0</v>
      </c>
      <c r="N174" s="39">
        <f t="shared" si="17"/>
        <v>0</v>
      </c>
      <c r="O174" s="38">
        <v>40</v>
      </c>
      <c r="P174" s="38">
        <v>1</v>
      </c>
      <c r="Q174" s="39">
        <f t="shared" si="18"/>
        <v>1560000</v>
      </c>
      <c r="R174" s="38">
        <v>0</v>
      </c>
      <c r="S174" s="38">
        <v>0</v>
      </c>
      <c r="T174" s="39">
        <f t="shared" si="19"/>
        <v>0</v>
      </c>
      <c r="U174" s="38">
        <v>0</v>
      </c>
      <c r="V174" s="38">
        <v>0</v>
      </c>
      <c r="W174" s="39">
        <f t="shared" si="20"/>
        <v>0</v>
      </c>
      <c r="X174" s="38"/>
      <c r="Y174" s="38"/>
      <c r="Z174" s="39">
        <f t="shared" si="21"/>
        <v>0</v>
      </c>
      <c r="AA174" s="38"/>
      <c r="AB174" s="38"/>
      <c r="AC174" s="39">
        <f t="shared" si="22"/>
        <v>0</v>
      </c>
      <c r="AD174" s="38"/>
      <c r="AE174" s="38"/>
      <c r="AF174" s="39">
        <f t="shared" si="23"/>
        <v>0</v>
      </c>
    </row>
    <row r="175" spans="2:32" ht="15" customHeight="1" x14ac:dyDescent="0.3">
      <c r="B175" s="2" t="s">
        <v>836</v>
      </c>
      <c r="C175" s="4" t="s">
        <v>837</v>
      </c>
      <c r="D175" s="3" t="s">
        <v>907</v>
      </c>
      <c r="E175" s="6" t="s">
        <v>908</v>
      </c>
      <c r="F175" s="6" t="s">
        <v>918</v>
      </c>
      <c r="G175" s="6" t="s">
        <v>712</v>
      </c>
      <c r="H175" s="25">
        <v>214.29</v>
      </c>
      <c r="I175" s="38">
        <v>0</v>
      </c>
      <c r="J175" s="38">
        <v>0</v>
      </c>
      <c r="K175" s="39">
        <f t="shared" si="16"/>
        <v>0</v>
      </c>
      <c r="L175" s="38">
        <v>0</v>
      </c>
      <c r="M175" s="38">
        <v>0</v>
      </c>
      <c r="N175" s="39">
        <f t="shared" si="17"/>
        <v>0</v>
      </c>
      <c r="O175" s="38">
        <v>20</v>
      </c>
      <c r="P175" s="38">
        <v>2</v>
      </c>
      <c r="Q175" s="39">
        <f t="shared" si="18"/>
        <v>8571.6</v>
      </c>
      <c r="R175" s="38">
        <v>0</v>
      </c>
      <c r="S175" s="38">
        <v>0</v>
      </c>
      <c r="T175" s="39">
        <f t="shared" si="19"/>
        <v>0</v>
      </c>
      <c r="U175" s="38">
        <v>0</v>
      </c>
      <c r="V175" s="38">
        <v>0</v>
      </c>
      <c r="W175" s="39">
        <f t="shared" si="20"/>
        <v>0</v>
      </c>
      <c r="X175" s="38"/>
      <c r="Y175" s="38"/>
      <c r="Z175" s="39">
        <f t="shared" si="21"/>
        <v>0</v>
      </c>
      <c r="AA175" s="38"/>
      <c r="AB175" s="38"/>
      <c r="AC175" s="39">
        <f t="shared" si="22"/>
        <v>0</v>
      </c>
      <c r="AD175" s="38"/>
      <c r="AE175" s="38"/>
      <c r="AF175" s="39">
        <f t="shared" si="23"/>
        <v>0</v>
      </c>
    </row>
    <row r="176" spans="2:32" ht="15" customHeight="1" x14ac:dyDescent="0.3">
      <c r="B176" s="2" t="s">
        <v>836</v>
      </c>
      <c r="C176" s="4" t="s">
        <v>837</v>
      </c>
      <c r="D176" s="3" t="s">
        <v>907</v>
      </c>
      <c r="E176" s="6" t="s">
        <v>908</v>
      </c>
      <c r="F176" s="6" t="s">
        <v>919</v>
      </c>
      <c r="G176" s="6" t="s">
        <v>709</v>
      </c>
      <c r="H176" s="25">
        <v>28000</v>
      </c>
      <c r="I176" s="38">
        <v>0</v>
      </c>
      <c r="J176" s="38">
        <v>0</v>
      </c>
      <c r="K176" s="39">
        <f t="shared" si="16"/>
        <v>0</v>
      </c>
      <c r="L176" s="38">
        <v>0</v>
      </c>
      <c r="M176" s="38">
        <v>0</v>
      </c>
      <c r="N176" s="39">
        <f t="shared" si="17"/>
        <v>0</v>
      </c>
      <c r="O176" s="38">
        <v>8000</v>
      </c>
      <c r="P176" s="38">
        <v>1</v>
      </c>
      <c r="Q176" s="39">
        <f t="shared" si="18"/>
        <v>224000000</v>
      </c>
      <c r="R176" s="38">
        <v>0</v>
      </c>
      <c r="S176" s="38">
        <v>0</v>
      </c>
      <c r="T176" s="39">
        <f t="shared" si="19"/>
        <v>0</v>
      </c>
      <c r="U176" s="38">
        <v>0</v>
      </c>
      <c r="V176" s="38">
        <v>0</v>
      </c>
      <c r="W176" s="39">
        <f t="shared" si="20"/>
        <v>0</v>
      </c>
      <c r="X176" s="38"/>
      <c r="Y176" s="38"/>
      <c r="Z176" s="39">
        <f t="shared" si="21"/>
        <v>0</v>
      </c>
      <c r="AA176" s="38"/>
      <c r="AB176" s="38"/>
      <c r="AC176" s="39">
        <f t="shared" si="22"/>
        <v>0</v>
      </c>
      <c r="AD176" s="38"/>
      <c r="AE176" s="38"/>
      <c r="AF176" s="39">
        <f t="shared" si="23"/>
        <v>0</v>
      </c>
    </row>
    <row r="177" spans="2:32" ht="15" customHeight="1" x14ac:dyDescent="0.3">
      <c r="B177" s="2" t="s">
        <v>836</v>
      </c>
      <c r="C177" s="4" t="s">
        <v>837</v>
      </c>
      <c r="D177" s="3" t="s">
        <v>907</v>
      </c>
      <c r="E177" s="6" t="s">
        <v>908</v>
      </c>
      <c r="F177" s="6" t="s">
        <v>919</v>
      </c>
      <c r="G177" s="6" t="s">
        <v>716</v>
      </c>
      <c r="H177" s="25">
        <v>39000</v>
      </c>
      <c r="I177" s="38">
        <v>0</v>
      </c>
      <c r="J177" s="38">
        <v>0</v>
      </c>
      <c r="K177" s="39">
        <f t="shared" si="16"/>
        <v>0</v>
      </c>
      <c r="L177" s="38">
        <v>0</v>
      </c>
      <c r="M177" s="38">
        <v>0</v>
      </c>
      <c r="N177" s="39">
        <f t="shared" si="17"/>
        <v>0</v>
      </c>
      <c r="O177" s="38">
        <v>80</v>
      </c>
      <c r="P177" s="38">
        <v>1</v>
      </c>
      <c r="Q177" s="39">
        <f t="shared" si="18"/>
        <v>3120000</v>
      </c>
      <c r="R177" s="38">
        <v>0</v>
      </c>
      <c r="S177" s="38">
        <v>0</v>
      </c>
      <c r="T177" s="39">
        <f t="shared" si="19"/>
        <v>0</v>
      </c>
      <c r="U177" s="38">
        <v>0</v>
      </c>
      <c r="V177" s="38">
        <v>0</v>
      </c>
      <c r="W177" s="39">
        <f t="shared" si="20"/>
        <v>0</v>
      </c>
      <c r="X177" s="38"/>
      <c r="Y177" s="38"/>
      <c r="Z177" s="39">
        <f t="shared" si="21"/>
        <v>0</v>
      </c>
      <c r="AA177" s="38"/>
      <c r="AB177" s="38"/>
      <c r="AC177" s="39">
        <f t="shared" si="22"/>
        <v>0</v>
      </c>
      <c r="AD177" s="38"/>
      <c r="AE177" s="38"/>
      <c r="AF177" s="39">
        <f t="shared" si="23"/>
        <v>0</v>
      </c>
    </row>
    <row r="178" spans="2:32" ht="15" customHeight="1" x14ac:dyDescent="0.3">
      <c r="B178" s="2" t="s">
        <v>836</v>
      </c>
      <c r="C178" s="4" t="s">
        <v>837</v>
      </c>
      <c r="D178" s="3" t="s">
        <v>907</v>
      </c>
      <c r="E178" s="6" t="s">
        <v>908</v>
      </c>
      <c r="F178" s="6" t="s">
        <v>919</v>
      </c>
      <c r="G178" s="6" t="s">
        <v>712</v>
      </c>
      <c r="H178" s="25">
        <v>214.29</v>
      </c>
      <c r="I178" s="38">
        <v>0</v>
      </c>
      <c r="J178" s="38">
        <v>0</v>
      </c>
      <c r="K178" s="39">
        <f t="shared" si="16"/>
        <v>0</v>
      </c>
      <c r="L178" s="38">
        <v>0</v>
      </c>
      <c r="M178" s="38">
        <v>0</v>
      </c>
      <c r="N178" s="39">
        <f t="shared" si="17"/>
        <v>0</v>
      </c>
      <c r="O178" s="38">
        <v>20</v>
      </c>
      <c r="P178" s="38">
        <v>1</v>
      </c>
      <c r="Q178" s="39">
        <f t="shared" si="18"/>
        <v>4285.8</v>
      </c>
      <c r="R178" s="38">
        <v>0</v>
      </c>
      <c r="S178" s="38">
        <v>0</v>
      </c>
      <c r="T178" s="39">
        <f t="shared" si="19"/>
        <v>0</v>
      </c>
      <c r="U178" s="38">
        <v>0</v>
      </c>
      <c r="V178" s="38">
        <v>0</v>
      </c>
      <c r="W178" s="39">
        <f t="shared" si="20"/>
        <v>0</v>
      </c>
      <c r="X178" s="38"/>
      <c r="Y178" s="38"/>
      <c r="Z178" s="39">
        <f t="shared" si="21"/>
        <v>0</v>
      </c>
      <c r="AA178" s="38"/>
      <c r="AB178" s="38"/>
      <c r="AC178" s="39">
        <f t="shared" si="22"/>
        <v>0</v>
      </c>
      <c r="AD178" s="38"/>
      <c r="AE178" s="38"/>
      <c r="AF178" s="39">
        <f t="shared" si="23"/>
        <v>0</v>
      </c>
    </row>
    <row r="179" spans="2:32" ht="15" customHeight="1" x14ac:dyDescent="0.3">
      <c r="B179" s="2" t="s">
        <v>836</v>
      </c>
      <c r="C179" s="4" t="s">
        <v>837</v>
      </c>
      <c r="D179" s="3" t="s">
        <v>907</v>
      </c>
      <c r="E179" s="6" t="s">
        <v>908</v>
      </c>
      <c r="F179" s="6" t="s">
        <v>919</v>
      </c>
      <c r="G179" s="6" t="s">
        <v>711</v>
      </c>
      <c r="H179" s="25">
        <v>70</v>
      </c>
      <c r="I179" s="38">
        <v>0</v>
      </c>
      <c r="J179" s="38">
        <v>0</v>
      </c>
      <c r="K179" s="39">
        <f t="shared" si="16"/>
        <v>0</v>
      </c>
      <c r="L179" s="38">
        <v>0</v>
      </c>
      <c r="M179" s="38">
        <v>0</v>
      </c>
      <c r="N179" s="39">
        <f t="shared" si="17"/>
        <v>0</v>
      </c>
      <c r="O179" s="38">
        <v>8000</v>
      </c>
      <c r="P179" s="38">
        <v>1</v>
      </c>
      <c r="Q179" s="39">
        <f t="shared" si="18"/>
        <v>560000</v>
      </c>
      <c r="R179" s="38">
        <v>0</v>
      </c>
      <c r="S179" s="38">
        <v>0</v>
      </c>
      <c r="T179" s="39">
        <f t="shared" si="19"/>
        <v>0</v>
      </c>
      <c r="U179" s="38">
        <v>0</v>
      </c>
      <c r="V179" s="38">
        <v>0</v>
      </c>
      <c r="W179" s="39">
        <f t="shared" si="20"/>
        <v>0</v>
      </c>
      <c r="X179" s="38"/>
      <c r="Y179" s="38"/>
      <c r="Z179" s="39">
        <f t="shared" si="21"/>
        <v>0</v>
      </c>
      <c r="AA179" s="38"/>
      <c r="AB179" s="38"/>
      <c r="AC179" s="39">
        <f t="shared" si="22"/>
        <v>0</v>
      </c>
      <c r="AD179" s="38"/>
      <c r="AE179" s="38"/>
      <c r="AF179" s="39">
        <f t="shared" si="23"/>
        <v>0</v>
      </c>
    </row>
    <row r="180" spans="2:32" ht="15" customHeight="1" x14ac:dyDescent="0.3">
      <c r="B180" s="2" t="s">
        <v>836</v>
      </c>
      <c r="C180" s="4" t="s">
        <v>837</v>
      </c>
      <c r="D180" s="3" t="s">
        <v>907</v>
      </c>
      <c r="E180" s="6" t="s">
        <v>908</v>
      </c>
      <c r="F180" s="6" t="s">
        <v>919</v>
      </c>
      <c r="G180" s="6" t="s">
        <v>710</v>
      </c>
      <c r="H180" s="25">
        <v>104850</v>
      </c>
      <c r="I180" s="38">
        <v>0</v>
      </c>
      <c r="J180" s="38">
        <v>0</v>
      </c>
      <c r="K180" s="39">
        <f t="shared" si="16"/>
        <v>0</v>
      </c>
      <c r="L180" s="38">
        <v>0</v>
      </c>
      <c r="M180" s="38">
        <v>0</v>
      </c>
      <c r="N180" s="39">
        <f t="shared" si="17"/>
        <v>0</v>
      </c>
      <c r="O180" s="38">
        <v>50000</v>
      </c>
      <c r="P180" s="38">
        <v>1</v>
      </c>
      <c r="Q180" s="39">
        <f t="shared" si="18"/>
        <v>5242500000</v>
      </c>
      <c r="R180" s="38">
        <v>0</v>
      </c>
      <c r="S180" s="38">
        <v>0</v>
      </c>
      <c r="T180" s="39">
        <f t="shared" si="19"/>
        <v>0</v>
      </c>
      <c r="U180" s="38">
        <v>0</v>
      </c>
      <c r="V180" s="38">
        <v>0</v>
      </c>
      <c r="W180" s="39">
        <f t="shared" si="20"/>
        <v>0</v>
      </c>
      <c r="X180" s="38"/>
      <c r="Y180" s="38"/>
      <c r="Z180" s="39">
        <f t="shared" si="21"/>
        <v>0</v>
      </c>
      <c r="AA180" s="38"/>
      <c r="AB180" s="38"/>
      <c r="AC180" s="39">
        <f t="shared" si="22"/>
        <v>0</v>
      </c>
      <c r="AD180" s="38"/>
      <c r="AE180" s="38"/>
      <c r="AF180" s="39">
        <f t="shared" si="23"/>
        <v>0</v>
      </c>
    </row>
    <row r="181" spans="2:32" ht="15" customHeight="1" x14ac:dyDescent="0.3">
      <c r="B181" s="2" t="s">
        <v>836</v>
      </c>
      <c r="C181" s="4" t="s">
        <v>837</v>
      </c>
      <c r="D181" s="3" t="s">
        <v>907</v>
      </c>
      <c r="E181" s="6" t="s">
        <v>908</v>
      </c>
      <c r="F181" s="6" t="s">
        <v>920</v>
      </c>
      <c r="G181" s="6" t="s">
        <v>841</v>
      </c>
      <c r="H181" s="25">
        <v>0</v>
      </c>
      <c r="I181" s="38">
        <v>0</v>
      </c>
      <c r="J181" s="38">
        <v>0</v>
      </c>
      <c r="K181" s="39">
        <f t="shared" si="16"/>
        <v>0</v>
      </c>
      <c r="L181" s="38">
        <v>0</v>
      </c>
      <c r="M181" s="38">
        <v>0</v>
      </c>
      <c r="N181" s="39">
        <f t="shared" si="17"/>
        <v>0</v>
      </c>
      <c r="O181" s="38">
        <v>5</v>
      </c>
      <c r="P181" s="38">
        <v>1</v>
      </c>
      <c r="Q181" s="39">
        <f t="shared" si="18"/>
        <v>0</v>
      </c>
      <c r="R181" s="38">
        <v>0</v>
      </c>
      <c r="S181" s="38">
        <v>0</v>
      </c>
      <c r="T181" s="39">
        <f t="shared" si="19"/>
        <v>0</v>
      </c>
      <c r="U181" s="38">
        <v>0</v>
      </c>
      <c r="V181" s="38">
        <v>0</v>
      </c>
      <c r="W181" s="39">
        <f t="shared" si="20"/>
        <v>0</v>
      </c>
      <c r="X181" s="38"/>
      <c r="Y181" s="38"/>
      <c r="Z181" s="39">
        <f t="shared" si="21"/>
        <v>0</v>
      </c>
      <c r="AA181" s="38"/>
      <c r="AB181" s="38"/>
      <c r="AC181" s="39">
        <f t="shared" si="22"/>
        <v>0</v>
      </c>
      <c r="AD181" s="38"/>
      <c r="AE181" s="38"/>
      <c r="AF181" s="39">
        <f t="shared" si="23"/>
        <v>0</v>
      </c>
    </row>
    <row r="182" spans="2:32" ht="15" customHeight="1" x14ac:dyDescent="0.3">
      <c r="B182" s="2" t="s">
        <v>836</v>
      </c>
      <c r="C182" s="4" t="s">
        <v>837</v>
      </c>
      <c r="D182" s="3" t="s">
        <v>907</v>
      </c>
      <c r="E182" s="6" t="s">
        <v>921</v>
      </c>
      <c r="F182" s="6" t="s">
        <v>922</v>
      </c>
      <c r="G182" s="6" t="s">
        <v>841</v>
      </c>
      <c r="H182" s="25">
        <v>0</v>
      </c>
      <c r="I182" s="38">
        <v>0</v>
      </c>
      <c r="J182" s="38">
        <v>0</v>
      </c>
      <c r="K182" s="39">
        <f t="shared" si="16"/>
        <v>0</v>
      </c>
      <c r="L182" s="38">
        <v>0</v>
      </c>
      <c r="M182" s="38">
        <v>0</v>
      </c>
      <c r="N182" s="39">
        <f t="shared" si="17"/>
        <v>0</v>
      </c>
      <c r="O182" s="38">
        <v>0</v>
      </c>
      <c r="P182" s="38">
        <v>0</v>
      </c>
      <c r="Q182" s="39">
        <f t="shared" si="18"/>
        <v>0</v>
      </c>
      <c r="R182" s="38">
        <v>0</v>
      </c>
      <c r="S182" s="38">
        <v>0</v>
      </c>
      <c r="T182" s="39">
        <f t="shared" si="19"/>
        <v>0</v>
      </c>
      <c r="U182" s="38">
        <v>0</v>
      </c>
      <c r="V182" s="38">
        <v>0</v>
      </c>
      <c r="W182" s="39">
        <f t="shared" si="20"/>
        <v>0</v>
      </c>
      <c r="X182" s="38"/>
      <c r="Y182" s="38"/>
      <c r="Z182" s="39">
        <f t="shared" si="21"/>
        <v>0</v>
      </c>
      <c r="AA182" s="38"/>
      <c r="AB182" s="38"/>
      <c r="AC182" s="39">
        <f t="shared" si="22"/>
        <v>0</v>
      </c>
      <c r="AD182" s="38"/>
      <c r="AE182" s="38"/>
      <c r="AF182" s="39">
        <f t="shared" si="23"/>
        <v>0</v>
      </c>
    </row>
    <row r="183" spans="2:32" ht="15" customHeight="1" x14ac:dyDescent="0.3">
      <c r="B183" s="2" t="s">
        <v>836</v>
      </c>
      <c r="C183" s="4" t="s">
        <v>837</v>
      </c>
      <c r="D183" s="3" t="s">
        <v>907</v>
      </c>
      <c r="E183" s="6" t="s">
        <v>921</v>
      </c>
      <c r="F183" s="6" t="s">
        <v>923</v>
      </c>
      <c r="G183" s="6" t="s">
        <v>841</v>
      </c>
      <c r="H183" s="25">
        <v>0</v>
      </c>
      <c r="I183" s="38">
        <v>0</v>
      </c>
      <c r="J183" s="38">
        <v>0</v>
      </c>
      <c r="K183" s="39">
        <f t="shared" si="16"/>
        <v>0</v>
      </c>
      <c r="L183" s="38">
        <v>0</v>
      </c>
      <c r="M183" s="38">
        <v>0</v>
      </c>
      <c r="N183" s="39">
        <f t="shared" si="17"/>
        <v>0</v>
      </c>
      <c r="O183" s="38">
        <v>0</v>
      </c>
      <c r="P183" s="38">
        <v>0</v>
      </c>
      <c r="Q183" s="39">
        <f t="shared" si="18"/>
        <v>0</v>
      </c>
      <c r="R183" s="38">
        <v>0</v>
      </c>
      <c r="S183" s="38">
        <v>0</v>
      </c>
      <c r="T183" s="39">
        <f t="shared" si="19"/>
        <v>0</v>
      </c>
      <c r="U183" s="38">
        <v>0</v>
      </c>
      <c r="V183" s="38">
        <v>0</v>
      </c>
      <c r="W183" s="39">
        <f t="shared" si="20"/>
        <v>0</v>
      </c>
      <c r="X183" s="38"/>
      <c r="Y183" s="38"/>
      <c r="Z183" s="39">
        <f t="shared" si="21"/>
        <v>0</v>
      </c>
      <c r="AA183" s="38"/>
      <c r="AB183" s="38"/>
      <c r="AC183" s="39">
        <f t="shared" si="22"/>
        <v>0</v>
      </c>
      <c r="AD183" s="38"/>
      <c r="AE183" s="38"/>
      <c r="AF183" s="39">
        <f t="shared" si="23"/>
        <v>0</v>
      </c>
    </row>
    <row r="184" spans="2:32" ht="15" customHeight="1" x14ac:dyDescent="0.3">
      <c r="B184" s="2" t="s">
        <v>836</v>
      </c>
      <c r="C184" s="4" t="s">
        <v>837</v>
      </c>
      <c r="D184" s="3" t="s">
        <v>907</v>
      </c>
      <c r="E184" s="6" t="s">
        <v>921</v>
      </c>
      <c r="F184" s="6" t="s">
        <v>924</v>
      </c>
      <c r="G184" s="6" t="s">
        <v>841</v>
      </c>
      <c r="H184" s="25">
        <v>0</v>
      </c>
      <c r="I184" s="38">
        <v>0</v>
      </c>
      <c r="J184" s="38">
        <v>0</v>
      </c>
      <c r="K184" s="39">
        <f t="shared" si="16"/>
        <v>0</v>
      </c>
      <c r="L184" s="38">
        <v>0</v>
      </c>
      <c r="M184" s="38">
        <v>0</v>
      </c>
      <c r="N184" s="39">
        <f t="shared" si="17"/>
        <v>0</v>
      </c>
      <c r="O184" s="38">
        <v>0</v>
      </c>
      <c r="P184" s="38">
        <v>0</v>
      </c>
      <c r="Q184" s="39">
        <f t="shared" si="18"/>
        <v>0</v>
      </c>
      <c r="R184" s="38">
        <v>0</v>
      </c>
      <c r="S184" s="38">
        <v>0</v>
      </c>
      <c r="T184" s="39">
        <f t="shared" si="19"/>
        <v>0</v>
      </c>
      <c r="U184" s="38">
        <v>0</v>
      </c>
      <c r="V184" s="38">
        <v>0</v>
      </c>
      <c r="W184" s="39">
        <f t="shared" si="20"/>
        <v>0</v>
      </c>
      <c r="X184" s="38"/>
      <c r="Y184" s="38"/>
      <c r="Z184" s="39">
        <f t="shared" si="21"/>
        <v>0</v>
      </c>
      <c r="AA184" s="38"/>
      <c r="AB184" s="38"/>
      <c r="AC184" s="39">
        <f t="shared" si="22"/>
        <v>0</v>
      </c>
      <c r="AD184" s="38"/>
      <c r="AE184" s="38"/>
      <c r="AF184" s="39">
        <f t="shared" si="23"/>
        <v>0</v>
      </c>
    </row>
    <row r="185" spans="2:32" ht="15" customHeight="1" x14ac:dyDescent="0.3">
      <c r="B185" s="2" t="s">
        <v>836</v>
      </c>
      <c r="C185" s="4" t="s">
        <v>837</v>
      </c>
      <c r="D185" s="3" t="s">
        <v>925</v>
      </c>
      <c r="E185" s="6" t="s">
        <v>926</v>
      </c>
      <c r="F185" s="6" t="s">
        <v>927</v>
      </c>
      <c r="G185" s="6" t="s">
        <v>841</v>
      </c>
      <c r="H185" s="25">
        <v>0</v>
      </c>
      <c r="I185" s="38">
        <v>0</v>
      </c>
      <c r="J185" s="38">
        <v>0</v>
      </c>
      <c r="K185" s="39">
        <f t="shared" si="16"/>
        <v>0</v>
      </c>
      <c r="L185" s="38">
        <v>0</v>
      </c>
      <c r="M185" s="38">
        <v>0</v>
      </c>
      <c r="N185" s="39">
        <f t="shared" si="17"/>
        <v>0</v>
      </c>
      <c r="O185" s="38">
        <v>0</v>
      </c>
      <c r="P185" s="38">
        <v>0</v>
      </c>
      <c r="Q185" s="39">
        <f t="shared" si="18"/>
        <v>0</v>
      </c>
      <c r="R185" s="38">
        <v>0</v>
      </c>
      <c r="S185" s="38">
        <v>0</v>
      </c>
      <c r="T185" s="39">
        <f t="shared" si="19"/>
        <v>0</v>
      </c>
      <c r="U185" s="38">
        <v>0</v>
      </c>
      <c r="V185" s="38">
        <v>0</v>
      </c>
      <c r="W185" s="39">
        <f t="shared" si="20"/>
        <v>0</v>
      </c>
      <c r="X185" s="38"/>
      <c r="Y185" s="38"/>
      <c r="Z185" s="39">
        <f t="shared" si="21"/>
        <v>0</v>
      </c>
      <c r="AA185" s="38"/>
      <c r="AB185" s="38"/>
      <c r="AC185" s="39">
        <f t="shared" si="22"/>
        <v>0</v>
      </c>
      <c r="AD185" s="38"/>
      <c r="AE185" s="38"/>
      <c r="AF185" s="39">
        <f t="shared" si="23"/>
        <v>0</v>
      </c>
    </row>
    <row r="186" spans="2:32" ht="15" customHeight="1" x14ac:dyDescent="0.3">
      <c r="B186" s="2" t="s">
        <v>836</v>
      </c>
      <c r="C186" s="4" t="s">
        <v>837</v>
      </c>
      <c r="D186" s="3" t="s">
        <v>925</v>
      </c>
      <c r="E186" s="6" t="s">
        <v>926</v>
      </c>
      <c r="F186" s="6" t="s">
        <v>928</v>
      </c>
      <c r="G186" s="6" t="s">
        <v>841</v>
      </c>
      <c r="H186" s="25">
        <v>0</v>
      </c>
      <c r="I186" s="38">
        <v>0</v>
      </c>
      <c r="J186" s="38">
        <v>0</v>
      </c>
      <c r="K186" s="39">
        <f t="shared" si="16"/>
        <v>0</v>
      </c>
      <c r="L186" s="38">
        <v>0</v>
      </c>
      <c r="M186" s="38">
        <v>0</v>
      </c>
      <c r="N186" s="39">
        <f t="shared" si="17"/>
        <v>0</v>
      </c>
      <c r="O186" s="38">
        <v>0</v>
      </c>
      <c r="P186" s="38">
        <v>0</v>
      </c>
      <c r="Q186" s="39">
        <f t="shared" si="18"/>
        <v>0</v>
      </c>
      <c r="R186" s="38">
        <v>0</v>
      </c>
      <c r="S186" s="38">
        <v>0</v>
      </c>
      <c r="T186" s="39">
        <f t="shared" si="19"/>
        <v>0</v>
      </c>
      <c r="U186" s="38">
        <v>0</v>
      </c>
      <c r="V186" s="38">
        <v>0</v>
      </c>
      <c r="W186" s="39">
        <f t="shared" si="20"/>
        <v>0</v>
      </c>
      <c r="X186" s="38"/>
      <c r="Y186" s="38"/>
      <c r="Z186" s="39">
        <f t="shared" si="21"/>
        <v>0</v>
      </c>
      <c r="AA186" s="38"/>
      <c r="AB186" s="38"/>
      <c r="AC186" s="39">
        <f t="shared" si="22"/>
        <v>0</v>
      </c>
      <c r="AD186" s="38"/>
      <c r="AE186" s="38"/>
      <c r="AF186" s="39">
        <f t="shared" si="23"/>
        <v>0</v>
      </c>
    </row>
    <row r="187" spans="2:32" ht="15" customHeight="1" x14ac:dyDescent="0.3">
      <c r="B187" s="2" t="s">
        <v>836</v>
      </c>
      <c r="C187" s="4" t="s">
        <v>837</v>
      </c>
      <c r="D187" s="3" t="s">
        <v>925</v>
      </c>
      <c r="E187" s="6" t="s">
        <v>926</v>
      </c>
      <c r="F187" s="6" t="s">
        <v>929</v>
      </c>
      <c r="G187" s="6" t="s">
        <v>841</v>
      </c>
      <c r="H187" s="25">
        <v>0</v>
      </c>
      <c r="I187" s="38">
        <v>0</v>
      </c>
      <c r="J187" s="38">
        <v>0</v>
      </c>
      <c r="K187" s="39">
        <f t="shared" si="16"/>
        <v>0</v>
      </c>
      <c r="L187" s="38">
        <v>0</v>
      </c>
      <c r="M187" s="38">
        <v>0</v>
      </c>
      <c r="N187" s="39">
        <f t="shared" si="17"/>
        <v>0</v>
      </c>
      <c r="O187" s="38">
        <v>0</v>
      </c>
      <c r="P187" s="38">
        <v>0</v>
      </c>
      <c r="Q187" s="39">
        <f t="shared" si="18"/>
        <v>0</v>
      </c>
      <c r="R187" s="38">
        <v>0</v>
      </c>
      <c r="S187" s="38">
        <v>0</v>
      </c>
      <c r="T187" s="39">
        <f t="shared" si="19"/>
        <v>0</v>
      </c>
      <c r="U187" s="38">
        <v>0</v>
      </c>
      <c r="V187" s="38">
        <v>0</v>
      </c>
      <c r="W187" s="39">
        <f t="shared" si="20"/>
        <v>0</v>
      </c>
      <c r="X187" s="38"/>
      <c r="Y187" s="38"/>
      <c r="Z187" s="39">
        <f t="shared" si="21"/>
        <v>0</v>
      </c>
      <c r="AA187" s="38"/>
      <c r="AB187" s="38"/>
      <c r="AC187" s="39">
        <f t="shared" si="22"/>
        <v>0</v>
      </c>
      <c r="AD187" s="38"/>
      <c r="AE187" s="38"/>
      <c r="AF187" s="39">
        <f t="shared" si="23"/>
        <v>0</v>
      </c>
    </row>
    <row r="188" spans="2:32" ht="15" customHeight="1" x14ac:dyDescent="0.3">
      <c r="B188" s="2" t="s">
        <v>836</v>
      </c>
      <c r="C188" s="4" t="s">
        <v>837</v>
      </c>
      <c r="D188" s="3" t="s">
        <v>925</v>
      </c>
      <c r="E188" s="6" t="s">
        <v>926</v>
      </c>
      <c r="F188" s="6" t="s">
        <v>930</v>
      </c>
      <c r="G188" s="6" t="s">
        <v>709</v>
      </c>
      <c r="H188" s="25">
        <v>28000</v>
      </c>
      <c r="I188" s="38">
        <v>30</v>
      </c>
      <c r="J188" s="38">
        <v>4</v>
      </c>
      <c r="K188" s="39">
        <f t="shared" si="16"/>
        <v>3360000</v>
      </c>
      <c r="L188" s="38">
        <v>0</v>
      </c>
      <c r="M188" s="38">
        <v>0</v>
      </c>
      <c r="N188" s="39">
        <f t="shared" si="17"/>
        <v>0</v>
      </c>
      <c r="O188" s="38">
        <v>0</v>
      </c>
      <c r="P188" s="38">
        <v>0</v>
      </c>
      <c r="Q188" s="39">
        <f t="shared" si="18"/>
        <v>0</v>
      </c>
      <c r="R188" s="38">
        <v>0</v>
      </c>
      <c r="S188" s="38">
        <v>0</v>
      </c>
      <c r="T188" s="39">
        <f t="shared" si="19"/>
        <v>0</v>
      </c>
      <c r="U188" s="38">
        <v>0</v>
      </c>
      <c r="V188" s="38">
        <v>0</v>
      </c>
      <c r="W188" s="39">
        <f t="shared" si="20"/>
        <v>0</v>
      </c>
      <c r="X188" s="38"/>
      <c r="Y188" s="38"/>
      <c r="Z188" s="39">
        <f t="shared" si="21"/>
        <v>0</v>
      </c>
      <c r="AA188" s="38"/>
      <c r="AB188" s="38"/>
      <c r="AC188" s="39">
        <f t="shared" si="22"/>
        <v>0</v>
      </c>
      <c r="AD188" s="38"/>
      <c r="AE188" s="38"/>
      <c r="AF188" s="39">
        <f t="shared" si="23"/>
        <v>0</v>
      </c>
    </row>
    <row r="189" spans="2:32" ht="15" customHeight="1" x14ac:dyDescent="0.3">
      <c r="B189" s="2" t="s">
        <v>836</v>
      </c>
      <c r="C189" s="4" t="s">
        <v>837</v>
      </c>
      <c r="D189" s="3" t="s">
        <v>925</v>
      </c>
      <c r="E189" s="6" t="s">
        <v>926</v>
      </c>
      <c r="F189" s="6" t="s">
        <v>930</v>
      </c>
      <c r="G189" s="6" t="s">
        <v>716</v>
      </c>
      <c r="H189" s="25">
        <v>39000</v>
      </c>
      <c r="I189" s="38">
        <v>15</v>
      </c>
      <c r="J189" s="38">
        <v>10</v>
      </c>
      <c r="K189" s="39">
        <f t="shared" si="16"/>
        <v>5850000</v>
      </c>
      <c r="L189" s="38">
        <v>0</v>
      </c>
      <c r="M189" s="38">
        <v>0</v>
      </c>
      <c r="N189" s="39">
        <f t="shared" si="17"/>
        <v>0</v>
      </c>
      <c r="O189" s="38">
        <v>0</v>
      </c>
      <c r="P189" s="38">
        <v>0</v>
      </c>
      <c r="Q189" s="39">
        <f t="shared" si="18"/>
        <v>0</v>
      </c>
      <c r="R189" s="38">
        <v>0</v>
      </c>
      <c r="S189" s="38">
        <v>0</v>
      </c>
      <c r="T189" s="39">
        <f t="shared" si="19"/>
        <v>0</v>
      </c>
      <c r="U189" s="38">
        <v>0</v>
      </c>
      <c r="V189" s="38">
        <v>0</v>
      </c>
      <c r="W189" s="39">
        <f t="shared" si="20"/>
        <v>0</v>
      </c>
      <c r="X189" s="38"/>
      <c r="Y189" s="38"/>
      <c r="Z189" s="39">
        <f t="shared" si="21"/>
        <v>0</v>
      </c>
      <c r="AA189" s="38"/>
      <c r="AB189" s="38"/>
      <c r="AC189" s="39">
        <f t="shared" si="22"/>
        <v>0</v>
      </c>
      <c r="AD189" s="38"/>
      <c r="AE189" s="38"/>
      <c r="AF189" s="39">
        <f t="shared" si="23"/>
        <v>0</v>
      </c>
    </row>
    <row r="190" spans="2:32" ht="15" customHeight="1" x14ac:dyDescent="0.3">
      <c r="B190" s="2" t="s">
        <v>836</v>
      </c>
      <c r="C190" s="4" t="s">
        <v>837</v>
      </c>
      <c r="D190" s="3" t="s">
        <v>925</v>
      </c>
      <c r="E190" s="6" t="s">
        <v>926</v>
      </c>
      <c r="F190" s="6" t="s">
        <v>930</v>
      </c>
      <c r="G190" s="6" t="s">
        <v>712</v>
      </c>
      <c r="H190" s="25">
        <v>214.29</v>
      </c>
      <c r="I190" s="38">
        <v>15</v>
      </c>
      <c r="J190" s="38">
        <v>12</v>
      </c>
      <c r="K190" s="39">
        <f t="shared" si="16"/>
        <v>38572.199999999997</v>
      </c>
      <c r="L190" s="38">
        <v>0</v>
      </c>
      <c r="M190" s="38">
        <v>0</v>
      </c>
      <c r="N190" s="39">
        <f t="shared" si="17"/>
        <v>0</v>
      </c>
      <c r="O190" s="38">
        <v>0</v>
      </c>
      <c r="P190" s="38">
        <v>0</v>
      </c>
      <c r="Q190" s="39">
        <f t="shared" si="18"/>
        <v>0</v>
      </c>
      <c r="R190" s="38">
        <v>0</v>
      </c>
      <c r="S190" s="38">
        <v>0</v>
      </c>
      <c r="T190" s="39">
        <f t="shared" si="19"/>
        <v>0</v>
      </c>
      <c r="U190" s="38">
        <v>0</v>
      </c>
      <c r="V190" s="38">
        <v>0</v>
      </c>
      <c r="W190" s="39">
        <f t="shared" si="20"/>
        <v>0</v>
      </c>
      <c r="X190" s="38"/>
      <c r="Y190" s="38"/>
      <c r="Z190" s="39">
        <f t="shared" si="21"/>
        <v>0</v>
      </c>
      <c r="AA190" s="38"/>
      <c r="AB190" s="38"/>
      <c r="AC190" s="39">
        <f t="shared" si="22"/>
        <v>0</v>
      </c>
      <c r="AD190" s="38"/>
      <c r="AE190" s="38"/>
      <c r="AF190" s="39">
        <f t="shared" si="23"/>
        <v>0</v>
      </c>
    </row>
    <row r="191" spans="2:32" ht="15" customHeight="1" x14ac:dyDescent="0.3">
      <c r="B191" s="2" t="s">
        <v>836</v>
      </c>
      <c r="C191" s="4" t="s">
        <v>837</v>
      </c>
      <c r="D191" s="3" t="s">
        <v>925</v>
      </c>
      <c r="E191" s="6" t="s">
        <v>926</v>
      </c>
      <c r="F191" s="6" t="s">
        <v>931</v>
      </c>
      <c r="G191" s="6" t="s">
        <v>709</v>
      </c>
      <c r="H191" s="25">
        <v>28000</v>
      </c>
      <c r="I191" s="38">
        <v>2</v>
      </c>
      <c r="J191" s="38">
        <v>8000</v>
      </c>
      <c r="K191" s="39">
        <f t="shared" si="16"/>
        <v>448000000</v>
      </c>
      <c r="L191" s="38">
        <v>0</v>
      </c>
      <c r="M191" s="38">
        <v>0</v>
      </c>
      <c r="N191" s="39">
        <f t="shared" si="17"/>
        <v>0</v>
      </c>
      <c r="O191" s="38">
        <v>0</v>
      </c>
      <c r="P191" s="38">
        <v>0</v>
      </c>
      <c r="Q191" s="39">
        <f t="shared" si="18"/>
        <v>0</v>
      </c>
      <c r="R191" s="38">
        <v>0</v>
      </c>
      <c r="S191" s="38">
        <v>0</v>
      </c>
      <c r="T191" s="39">
        <f t="shared" si="19"/>
        <v>0</v>
      </c>
      <c r="U191" s="38">
        <v>0</v>
      </c>
      <c r="V191" s="38">
        <v>0</v>
      </c>
      <c r="W191" s="39">
        <f t="shared" si="20"/>
        <v>0</v>
      </c>
      <c r="X191" s="38"/>
      <c r="Y191" s="38"/>
      <c r="Z191" s="39">
        <f t="shared" si="21"/>
        <v>0</v>
      </c>
      <c r="AA191" s="38"/>
      <c r="AB191" s="38"/>
      <c r="AC191" s="39">
        <f t="shared" si="22"/>
        <v>0</v>
      </c>
      <c r="AD191" s="38"/>
      <c r="AE191" s="38"/>
      <c r="AF191" s="39">
        <f t="shared" si="23"/>
        <v>0</v>
      </c>
    </row>
    <row r="192" spans="2:32" ht="15" customHeight="1" x14ac:dyDescent="0.3">
      <c r="B192" s="2" t="s">
        <v>836</v>
      </c>
      <c r="C192" s="4" t="s">
        <v>837</v>
      </c>
      <c r="D192" s="3" t="s">
        <v>925</v>
      </c>
      <c r="E192" s="6" t="s">
        <v>926</v>
      </c>
      <c r="F192" s="6" t="s">
        <v>931</v>
      </c>
      <c r="G192" s="6" t="s">
        <v>712</v>
      </c>
      <c r="H192" s="25">
        <v>214.29</v>
      </c>
      <c r="I192" s="38">
        <v>0</v>
      </c>
      <c r="J192" s="38">
        <v>0</v>
      </c>
      <c r="K192" s="39">
        <f t="shared" si="16"/>
        <v>0</v>
      </c>
      <c r="L192" s="38">
        <v>30</v>
      </c>
      <c r="M192" s="38">
        <v>1</v>
      </c>
      <c r="N192" s="39">
        <f t="shared" si="17"/>
        <v>6428.7</v>
      </c>
      <c r="O192" s="38">
        <v>0</v>
      </c>
      <c r="P192" s="38">
        <v>0</v>
      </c>
      <c r="Q192" s="39">
        <f t="shared" si="18"/>
        <v>0</v>
      </c>
      <c r="R192" s="38">
        <v>0</v>
      </c>
      <c r="S192" s="38">
        <v>0</v>
      </c>
      <c r="T192" s="39">
        <f t="shared" si="19"/>
        <v>0</v>
      </c>
      <c r="U192" s="38">
        <v>0</v>
      </c>
      <c r="V192" s="38">
        <v>0</v>
      </c>
      <c r="W192" s="39">
        <f t="shared" si="20"/>
        <v>0</v>
      </c>
      <c r="X192" s="38"/>
      <c r="Y192" s="38"/>
      <c r="Z192" s="39">
        <f t="shared" si="21"/>
        <v>0</v>
      </c>
      <c r="AA192" s="38"/>
      <c r="AB192" s="38"/>
      <c r="AC192" s="39">
        <f t="shared" si="22"/>
        <v>0</v>
      </c>
      <c r="AD192" s="38"/>
      <c r="AE192" s="38"/>
      <c r="AF192" s="39">
        <f t="shared" si="23"/>
        <v>0</v>
      </c>
    </row>
    <row r="193" spans="2:32" ht="15" customHeight="1" x14ac:dyDescent="0.3">
      <c r="B193" s="2" t="s">
        <v>836</v>
      </c>
      <c r="C193" s="4" t="s">
        <v>837</v>
      </c>
      <c r="D193" s="3" t="s">
        <v>925</v>
      </c>
      <c r="E193" s="6" t="s">
        <v>932</v>
      </c>
      <c r="F193" s="6" t="s">
        <v>933</v>
      </c>
      <c r="G193" s="6" t="s">
        <v>841</v>
      </c>
      <c r="H193" s="25">
        <v>0</v>
      </c>
      <c r="I193" s="38">
        <v>0</v>
      </c>
      <c r="J193" s="38">
        <v>0</v>
      </c>
      <c r="K193" s="39">
        <f t="shared" si="16"/>
        <v>0</v>
      </c>
      <c r="L193" s="38">
        <v>1</v>
      </c>
      <c r="M193" s="38">
        <v>8000</v>
      </c>
      <c r="N193" s="39">
        <f t="shared" si="17"/>
        <v>0</v>
      </c>
      <c r="O193" s="38">
        <v>0</v>
      </c>
      <c r="P193" s="38">
        <v>0</v>
      </c>
      <c r="Q193" s="39">
        <f t="shared" si="18"/>
        <v>0</v>
      </c>
      <c r="R193" s="38">
        <v>0</v>
      </c>
      <c r="S193" s="38">
        <v>0</v>
      </c>
      <c r="T193" s="39">
        <f t="shared" si="19"/>
        <v>0</v>
      </c>
      <c r="U193" s="38">
        <v>0</v>
      </c>
      <c r="V193" s="38">
        <v>0</v>
      </c>
      <c r="W193" s="39">
        <f t="shared" si="20"/>
        <v>0</v>
      </c>
      <c r="X193" s="38"/>
      <c r="Y193" s="38"/>
      <c r="Z193" s="39">
        <f t="shared" si="21"/>
        <v>0</v>
      </c>
      <c r="AA193" s="38"/>
      <c r="AB193" s="38"/>
      <c r="AC193" s="39">
        <f t="shared" si="22"/>
        <v>0</v>
      </c>
      <c r="AD193" s="38"/>
      <c r="AE193" s="38"/>
      <c r="AF193" s="39">
        <f t="shared" si="23"/>
        <v>0</v>
      </c>
    </row>
    <row r="194" spans="2:32" ht="15" customHeight="1" x14ac:dyDescent="0.3">
      <c r="B194" s="2" t="s">
        <v>836</v>
      </c>
      <c r="C194" s="4" t="s">
        <v>837</v>
      </c>
      <c r="D194" s="3" t="s">
        <v>925</v>
      </c>
      <c r="E194" s="6" t="s">
        <v>932</v>
      </c>
      <c r="F194" s="6" t="s">
        <v>934</v>
      </c>
      <c r="G194" s="6" t="s">
        <v>841</v>
      </c>
      <c r="H194" s="25">
        <v>0</v>
      </c>
      <c r="I194" s="38">
        <v>0</v>
      </c>
      <c r="J194" s="38">
        <v>0</v>
      </c>
      <c r="K194" s="39">
        <f t="shared" si="16"/>
        <v>0</v>
      </c>
      <c r="L194" s="38"/>
      <c r="M194" s="38"/>
      <c r="N194" s="39">
        <f t="shared" si="17"/>
        <v>0</v>
      </c>
      <c r="O194" s="38">
        <v>0</v>
      </c>
      <c r="P194" s="38">
        <v>0</v>
      </c>
      <c r="Q194" s="39">
        <f t="shared" si="18"/>
        <v>0</v>
      </c>
      <c r="R194" s="38">
        <v>0</v>
      </c>
      <c r="S194" s="38">
        <v>0</v>
      </c>
      <c r="T194" s="39">
        <f t="shared" si="19"/>
        <v>0</v>
      </c>
      <c r="U194" s="38">
        <v>0</v>
      </c>
      <c r="V194" s="38">
        <v>0</v>
      </c>
      <c r="W194" s="39">
        <f t="shared" si="20"/>
        <v>0</v>
      </c>
      <c r="X194" s="38"/>
      <c r="Y194" s="38"/>
      <c r="Z194" s="39">
        <f t="shared" si="21"/>
        <v>0</v>
      </c>
      <c r="AA194" s="38"/>
      <c r="AB194" s="38"/>
      <c r="AC194" s="39">
        <f t="shared" si="22"/>
        <v>0</v>
      </c>
      <c r="AD194" s="38"/>
      <c r="AE194" s="38"/>
      <c r="AF194" s="39">
        <f t="shared" si="23"/>
        <v>0</v>
      </c>
    </row>
    <row r="195" spans="2:32" ht="15" customHeight="1" x14ac:dyDescent="0.3">
      <c r="B195" s="2" t="s">
        <v>836</v>
      </c>
      <c r="C195" s="4" t="s">
        <v>837</v>
      </c>
      <c r="D195" s="3" t="s">
        <v>925</v>
      </c>
      <c r="E195" s="6" t="s">
        <v>932</v>
      </c>
      <c r="F195" s="6" t="s">
        <v>935</v>
      </c>
      <c r="G195" s="6" t="s">
        <v>709</v>
      </c>
      <c r="H195" s="25">
        <v>28000</v>
      </c>
      <c r="I195" s="38">
        <v>0</v>
      </c>
      <c r="J195" s="38">
        <v>0</v>
      </c>
      <c r="K195" s="39">
        <f t="shared" ref="K195:K258" si="24">H195*I195*J195</f>
        <v>0</v>
      </c>
      <c r="L195" s="38"/>
      <c r="M195" s="38"/>
      <c r="N195" s="39">
        <f t="shared" ref="N195:N258" si="25">H195*L195*M195</f>
        <v>0</v>
      </c>
      <c r="O195" s="38">
        <v>0</v>
      </c>
      <c r="P195" s="38">
        <v>0</v>
      </c>
      <c r="Q195" s="39">
        <f t="shared" ref="Q195:Q258" si="26">H195*O195*P195</f>
        <v>0</v>
      </c>
      <c r="R195" s="38">
        <v>0</v>
      </c>
      <c r="S195" s="38">
        <v>0</v>
      </c>
      <c r="T195" s="39">
        <f t="shared" ref="T195:T258" si="27">H195*R195*S195</f>
        <v>0</v>
      </c>
      <c r="U195" s="38">
        <v>0</v>
      </c>
      <c r="V195" s="38">
        <v>0</v>
      </c>
      <c r="W195" s="39">
        <f t="shared" ref="W195:W258" si="28">H195*U195*V195</f>
        <v>0</v>
      </c>
      <c r="X195" s="38"/>
      <c r="Y195" s="38"/>
      <c r="Z195" s="39">
        <f t="shared" ref="Z195:Z258" si="29">H195*X195*Y195</f>
        <v>0</v>
      </c>
      <c r="AA195" s="38"/>
      <c r="AB195" s="38"/>
      <c r="AC195" s="39">
        <f t="shared" ref="AC195:AC258" si="30">H195*AA195*AB195</f>
        <v>0</v>
      </c>
      <c r="AD195" s="38"/>
      <c r="AE195" s="38"/>
      <c r="AF195" s="39">
        <f t="shared" ref="AF195:AF258" si="31">H195*AD195*AE195</f>
        <v>0</v>
      </c>
    </row>
    <row r="196" spans="2:32" ht="15" customHeight="1" x14ac:dyDescent="0.3">
      <c r="B196" s="2" t="s">
        <v>836</v>
      </c>
      <c r="C196" s="4" t="s">
        <v>837</v>
      </c>
      <c r="D196" s="3" t="s">
        <v>925</v>
      </c>
      <c r="E196" s="6" t="s">
        <v>932</v>
      </c>
      <c r="F196" s="6" t="s">
        <v>936</v>
      </c>
      <c r="G196" s="6" t="s">
        <v>841</v>
      </c>
      <c r="H196" s="25">
        <v>0</v>
      </c>
      <c r="I196" s="38">
        <v>0</v>
      </c>
      <c r="J196" s="38">
        <v>0</v>
      </c>
      <c r="K196" s="39">
        <f t="shared" si="24"/>
        <v>0</v>
      </c>
      <c r="L196" s="38">
        <v>10</v>
      </c>
      <c r="M196" s="38">
        <v>1</v>
      </c>
      <c r="N196" s="39">
        <f t="shared" si="25"/>
        <v>0</v>
      </c>
      <c r="O196" s="38">
        <v>0</v>
      </c>
      <c r="P196" s="38">
        <v>0</v>
      </c>
      <c r="Q196" s="39">
        <f t="shared" si="26"/>
        <v>0</v>
      </c>
      <c r="R196" s="38">
        <v>0</v>
      </c>
      <c r="S196" s="38">
        <v>0</v>
      </c>
      <c r="T196" s="39">
        <f t="shared" si="27"/>
        <v>0</v>
      </c>
      <c r="U196" s="38">
        <v>0</v>
      </c>
      <c r="V196" s="38">
        <v>0</v>
      </c>
      <c r="W196" s="39">
        <f t="shared" si="28"/>
        <v>0</v>
      </c>
      <c r="X196" s="38"/>
      <c r="Y196" s="38"/>
      <c r="Z196" s="39">
        <f t="shared" si="29"/>
        <v>0</v>
      </c>
      <c r="AA196" s="38"/>
      <c r="AB196" s="38"/>
      <c r="AC196" s="39">
        <f t="shared" si="30"/>
        <v>0</v>
      </c>
      <c r="AD196" s="38"/>
      <c r="AE196" s="38"/>
      <c r="AF196" s="39">
        <f t="shared" si="31"/>
        <v>0</v>
      </c>
    </row>
    <row r="197" spans="2:32" ht="15" customHeight="1" x14ac:dyDescent="0.3">
      <c r="B197" s="2" t="s">
        <v>836</v>
      </c>
      <c r="C197" s="4" t="s">
        <v>837</v>
      </c>
      <c r="D197" s="3" t="s">
        <v>925</v>
      </c>
      <c r="E197" s="6" t="s">
        <v>932</v>
      </c>
      <c r="F197" s="6" t="s">
        <v>937</v>
      </c>
      <c r="G197" s="6" t="s">
        <v>709</v>
      </c>
      <c r="H197" s="25">
        <v>28000</v>
      </c>
      <c r="I197" s="38">
        <v>0</v>
      </c>
      <c r="J197" s="38">
        <v>0</v>
      </c>
      <c r="K197" s="39">
        <f t="shared" si="24"/>
        <v>0</v>
      </c>
      <c r="L197" s="38">
        <v>3</v>
      </c>
      <c r="M197" s="38">
        <v>5</v>
      </c>
      <c r="N197" s="39">
        <f t="shared" si="25"/>
        <v>420000</v>
      </c>
      <c r="O197" s="38">
        <v>0</v>
      </c>
      <c r="P197" s="38">
        <v>0</v>
      </c>
      <c r="Q197" s="39">
        <f t="shared" si="26"/>
        <v>0</v>
      </c>
      <c r="R197" s="38">
        <v>0</v>
      </c>
      <c r="S197" s="38">
        <v>0</v>
      </c>
      <c r="T197" s="39">
        <f t="shared" si="27"/>
        <v>0</v>
      </c>
      <c r="U197" s="38">
        <v>0</v>
      </c>
      <c r="V197" s="38">
        <v>0</v>
      </c>
      <c r="W197" s="39">
        <f t="shared" si="28"/>
        <v>0</v>
      </c>
      <c r="X197" s="38"/>
      <c r="Y197" s="38"/>
      <c r="Z197" s="39">
        <f t="shared" si="29"/>
        <v>0</v>
      </c>
      <c r="AA197" s="38"/>
      <c r="AB197" s="38"/>
      <c r="AC197" s="39">
        <f t="shared" si="30"/>
        <v>0</v>
      </c>
      <c r="AD197" s="38"/>
      <c r="AE197" s="38"/>
      <c r="AF197" s="39">
        <f t="shared" si="31"/>
        <v>0</v>
      </c>
    </row>
    <row r="198" spans="2:32" ht="15" customHeight="1" x14ac:dyDescent="0.3">
      <c r="B198" s="2" t="s">
        <v>836</v>
      </c>
      <c r="C198" s="4" t="s">
        <v>837</v>
      </c>
      <c r="D198" s="3" t="s">
        <v>925</v>
      </c>
      <c r="E198" s="6" t="s">
        <v>932</v>
      </c>
      <c r="F198" s="6" t="s">
        <v>938</v>
      </c>
      <c r="G198" s="6" t="s">
        <v>841</v>
      </c>
      <c r="H198" s="25">
        <v>0</v>
      </c>
      <c r="I198" s="38">
        <v>0</v>
      </c>
      <c r="J198" s="38">
        <v>0</v>
      </c>
      <c r="K198" s="39">
        <f t="shared" si="24"/>
        <v>0</v>
      </c>
      <c r="L198" s="38">
        <v>20</v>
      </c>
      <c r="M198" s="38">
        <v>1</v>
      </c>
      <c r="N198" s="39">
        <f t="shared" si="25"/>
        <v>0</v>
      </c>
      <c r="O198" s="38">
        <v>0</v>
      </c>
      <c r="P198" s="38">
        <v>0</v>
      </c>
      <c r="Q198" s="39">
        <f t="shared" si="26"/>
        <v>0</v>
      </c>
      <c r="R198" s="38">
        <v>0</v>
      </c>
      <c r="S198" s="38">
        <v>0</v>
      </c>
      <c r="T198" s="39">
        <f t="shared" si="27"/>
        <v>0</v>
      </c>
      <c r="U198" s="38">
        <v>0</v>
      </c>
      <c r="V198" s="38">
        <v>0</v>
      </c>
      <c r="W198" s="39">
        <f t="shared" si="28"/>
        <v>0</v>
      </c>
      <c r="X198" s="38"/>
      <c r="Y198" s="38"/>
      <c r="Z198" s="39">
        <f t="shared" si="29"/>
        <v>0</v>
      </c>
      <c r="AA198" s="38"/>
      <c r="AB198" s="38"/>
      <c r="AC198" s="39">
        <f t="shared" si="30"/>
        <v>0</v>
      </c>
      <c r="AD198" s="38"/>
      <c r="AE198" s="38"/>
      <c r="AF198" s="39">
        <f t="shared" si="31"/>
        <v>0</v>
      </c>
    </row>
    <row r="199" spans="2:32" ht="15" customHeight="1" x14ac:dyDescent="0.3">
      <c r="B199" s="2" t="s">
        <v>836</v>
      </c>
      <c r="C199" s="4" t="s">
        <v>837</v>
      </c>
      <c r="D199" s="3" t="s">
        <v>939</v>
      </c>
      <c r="E199" s="6" t="s">
        <v>940</v>
      </c>
      <c r="F199" s="6" t="s">
        <v>941</v>
      </c>
      <c r="G199" s="6" t="s">
        <v>709</v>
      </c>
      <c r="H199" s="25">
        <v>28000</v>
      </c>
      <c r="I199" s="38">
        <v>0</v>
      </c>
      <c r="J199" s="38">
        <v>0</v>
      </c>
      <c r="K199" s="39">
        <f t="shared" si="24"/>
        <v>0</v>
      </c>
      <c r="L199" s="38">
        <v>0</v>
      </c>
      <c r="M199" s="38">
        <v>0</v>
      </c>
      <c r="N199" s="39">
        <f t="shared" si="25"/>
        <v>0</v>
      </c>
      <c r="O199" s="38">
        <v>0</v>
      </c>
      <c r="P199" s="38">
        <v>0</v>
      </c>
      <c r="Q199" s="39">
        <f t="shared" si="26"/>
        <v>0</v>
      </c>
      <c r="R199" s="38">
        <v>0</v>
      </c>
      <c r="S199" s="38">
        <v>0</v>
      </c>
      <c r="T199" s="39">
        <f t="shared" si="27"/>
        <v>0</v>
      </c>
      <c r="U199" s="38">
        <v>0</v>
      </c>
      <c r="V199" s="38">
        <v>0</v>
      </c>
      <c r="W199" s="39">
        <f t="shared" si="28"/>
        <v>0</v>
      </c>
      <c r="X199" s="38"/>
      <c r="Y199" s="38"/>
      <c r="Z199" s="39">
        <f t="shared" si="29"/>
        <v>0</v>
      </c>
      <c r="AA199" s="38"/>
      <c r="AB199" s="38"/>
      <c r="AC199" s="39">
        <f t="shared" si="30"/>
        <v>0</v>
      </c>
      <c r="AD199" s="38"/>
      <c r="AE199" s="38"/>
      <c r="AF199" s="39">
        <f t="shared" si="31"/>
        <v>0</v>
      </c>
    </row>
    <row r="200" spans="2:32" ht="15" customHeight="1" x14ac:dyDescent="0.3">
      <c r="B200" s="2" t="s">
        <v>836</v>
      </c>
      <c r="C200" s="4" t="s">
        <v>837</v>
      </c>
      <c r="D200" s="3" t="s">
        <v>939</v>
      </c>
      <c r="E200" s="6" t="s">
        <v>940</v>
      </c>
      <c r="F200" s="6" t="s">
        <v>941</v>
      </c>
      <c r="G200" s="6" t="s">
        <v>716</v>
      </c>
      <c r="H200" s="25">
        <v>39000</v>
      </c>
      <c r="I200" s="38">
        <v>25</v>
      </c>
      <c r="J200" s="38">
        <v>30</v>
      </c>
      <c r="K200" s="39">
        <f t="shared" si="24"/>
        <v>29250000</v>
      </c>
      <c r="L200" s="38">
        <v>0</v>
      </c>
      <c r="M200" s="38">
        <v>0</v>
      </c>
      <c r="N200" s="39">
        <f t="shared" si="25"/>
        <v>0</v>
      </c>
      <c r="O200" s="38">
        <v>0</v>
      </c>
      <c r="P200" s="38">
        <v>0</v>
      </c>
      <c r="Q200" s="39">
        <f t="shared" si="26"/>
        <v>0</v>
      </c>
      <c r="R200" s="38">
        <v>0</v>
      </c>
      <c r="S200" s="38">
        <v>0</v>
      </c>
      <c r="T200" s="39">
        <f t="shared" si="27"/>
        <v>0</v>
      </c>
      <c r="U200" s="38">
        <v>0</v>
      </c>
      <c r="V200" s="38">
        <v>0</v>
      </c>
      <c r="W200" s="39">
        <f t="shared" si="28"/>
        <v>0</v>
      </c>
      <c r="X200" s="38"/>
      <c r="Y200" s="38"/>
      <c r="Z200" s="39">
        <f t="shared" si="29"/>
        <v>0</v>
      </c>
      <c r="AA200" s="38"/>
      <c r="AB200" s="38"/>
      <c r="AC200" s="39">
        <f t="shared" si="30"/>
        <v>0</v>
      </c>
      <c r="AD200" s="38"/>
      <c r="AE200" s="38"/>
      <c r="AF200" s="39">
        <f t="shared" si="31"/>
        <v>0</v>
      </c>
    </row>
    <row r="201" spans="2:32" ht="15" customHeight="1" x14ac:dyDescent="0.3">
      <c r="B201" s="2" t="s">
        <v>836</v>
      </c>
      <c r="C201" s="4" t="s">
        <v>837</v>
      </c>
      <c r="D201" s="3" t="s">
        <v>939</v>
      </c>
      <c r="E201" s="6" t="s">
        <v>940</v>
      </c>
      <c r="F201" s="6" t="s">
        <v>941</v>
      </c>
      <c r="G201" s="6" t="s">
        <v>712</v>
      </c>
      <c r="H201" s="25">
        <v>214.29</v>
      </c>
      <c r="I201" s="38">
        <v>25</v>
      </c>
      <c r="J201" s="38">
        <v>30</v>
      </c>
      <c r="K201" s="39">
        <f t="shared" si="24"/>
        <v>160717.5</v>
      </c>
      <c r="L201" s="38">
        <v>0</v>
      </c>
      <c r="M201" s="38">
        <v>0</v>
      </c>
      <c r="N201" s="39">
        <f t="shared" si="25"/>
        <v>0</v>
      </c>
      <c r="O201" s="38">
        <v>0</v>
      </c>
      <c r="P201" s="38">
        <v>0</v>
      </c>
      <c r="Q201" s="39">
        <f t="shared" si="26"/>
        <v>0</v>
      </c>
      <c r="R201" s="38">
        <v>0</v>
      </c>
      <c r="S201" s="38">
        <v>0</v>
      </c>
      <c r="T201" s="39">
        <f t="shared" si="27"/>
        <v>0</v>
      </c>
      <c r="U201" s="38">
        <v>0</v>
      </c>
      <c r="V201" s="38">
        <v>0</v>
      </c>
      <c r="W201" s="39">
        <f t="shared" si="28"/>
        <v>0</v>
      </c>
      <c r="X201" s="38"/>
      <c r="Y201" s="38"/>
      <c r="Z201" s="39">
        <f t="shared" si="29"/>
        <v>0</v>
      </c>
      <c r="AA201" s="38"/>
      <c r="AB201" s="38"/>
      <c r="AC201" s="39">
        <f t="shared" si="30"/>
        <v>0</v>
      </c>
      <c r="AD201" s="38"/>
      <c r="AE201" s="38"/>
      <c r="AF201" s="39">
        <f t="shared" si="31"/>
        <v>0</v>
      </c>
    </row>
    <row r="202" spans="2:32" ht="15" customHeight="1" x14ac:dyDescent="0.3">
      <c r="B202" s="2" t="s">
        <v>836</v>
      </c>
      <c r="C202" s="4" t="s">
        <v>837</v>
      </c>
      <c r="D202" s="3" t="s">
        <v>939</v>
      </c>
      <c r="E202" s="6" t="s">
        <v>940</v>
      </c>
      <c r="F202" s="6" t="s">
        <v>942</v>
      </c>
      <c r="G202" s="6" t="s">
        <v>709</v>
      </c>
      <c r="H202" s="25">
        <v>28000</v>
      </c>
      <c r="I202" s="38">
        <v>4000</v>
      </c>
      <c r="J202" s="38">
        <v>5</v>
      </c>
      <c r="K202" s="39">
        <f t="shared" si="24"/>
        <v>560000000</v>
      </c>
      <c r="L202" s="38">
        <v>0</v>
      </c>
      <c r="M202" s="38">
        <v>0</v>
      </c>
      <c r="N202" s="39">
        <f t="shared" si="25"/>
        <v>0</v>
      </c>
      <c r="O202" s="38">
        <v>0</v>
      </c>
      <c r="P202" s="38">
        <v>0</v>
      </c>
      <c r="Q202" s="39">
        <f t="shared" si="26"/>
        <v>0</v>
      </c>
      <c r="R202" s="38">
        <v>0</v>
      </c>
      <c r="S202" s="38">
        <v>0</v>
      </c>
      <c r="T202" s="39">
        <f t="shared" si="27"/>
        <v>0</v>
      </c>
      <c r="U202" s="38">
        <v>0</v>
      </c>
      <c r="V202" s="38">
        <v>0</v>
      </c>
      <c r="W202" s="39">
        <f t="shared" si="28"/>
        <v>0</v>
      </c>
      <c r="X202" s="38"/>
      <c r="Y202" s="38"/>
      <c r="Z202" s="39">
        <f t="shared" si="29"/>
        <v>0</v>
      </c>
      <c r="AA202" s="38"/>
      <c r="AB202" s="38"/>
      <c r="AC202" s="39">
        <f t="shared" si="30"/>
        <v>0</v>
      </c>
      <c r="AD202" s="38"/>
      <c r="AE202" s="38"/>
      <c r="AF202" s="39">
        <f t="shared" si="31"/>
        <v>0</v>
      </c>
    </row>
    <row r="203" spans="2:32" ht="15" customHeight="1" x14ac:dyDescent="0.3">
      <c r="B203" s="2" t="s">
        <v>836</v>
      </c>
      <c r="C203" s="4" t="s">
        <v>837</v>
      </c>
      <c r="D203" s="3" t="s">
        <v>939</v>
      </c>
      <c r="E203" s="6" t="s">
        <v>940</v>
      </c>
      <c r="F203" s="6" t="s">
        <v>943</v>
      </c>
      <c r="G203" s="6" t="s">
        <v>841</v>
      </c>
      <c r="H203" s="25">
        <v>0</v>
      </c>
      <c r="I203" s="38">
        <v>20</v>
      </c>
      <c r="J203" s="38">
        <v>0.5</v>
      </c>
      <c r="K203" s="39">
        <f t="shared" si="24"/>
        <v>0</v>
      </c>
      <c r="L203" s="38">
        <v>0</v>
      </c>
      <c r="M203" s="38">
        <v>0</v>
      </c>
      <c r="N203" s="39">
        <f t="shared" si="25"/>
        <v>0</v>
      </c>
      <c r="O203" s="38">
        <v>0</v>
      </c>
      <c r="P203" s="38">
        <v>0</v>
      </c>
      <c r="Q203" s="39">
        <f t="shared" si="26"/>
        <v>0</v>
      </c>
      <c r="R203" s="38">
        <v>0</v>
      </c>
      <c r="S203" s="38">
        <v>0</v>
      </c>
      <c r="T203" s="39">
        <f t="shared" si="27"/>
        <v>0</v>
      </c>
      <c r="U203" s="38">
        <v>0</v>
      </c>
      <c r="V203" s="38">
        <v>0</v>
      </c>
      <c r="W203" s="39">
        <f t="shared" si="28"/>
        <v>0</v>
      </c>
      <c r="X203" s="38"/>
      <c r="Y203" s="38"/>
      <c r="Z203" s="39">
        <f t="shared" si="29"/>
        <v>0</v>
      </c>
      <c r="AA203" s="38"/>
      <c r="AB203" s="38"/>
      <c r="AC203" s="39">
        <f t="shared" si="30"/>
        <v>0</v>
      </c>
      <c r="AD203" s="38"/>
      <c r="AE203" s="38"/>
      <c r="AF203" s="39">
        <f t="shared" si="31"/>
        <v>0</v>
      </c>
    </row>
    <row r="204" spans="2:32" ht="15" customHeight="1" x14ac:dyDescent="0.3">
      <c r="B204" s="2" t="s">
        <v>836</v>
      </c>
      <c r="C204" s="4" t="s">
        <v>837</v>
      </c>
      <c r="D204" s="3" t="s">
        <v>939</v>
      </c>
      <c r="E204" s="6" t="s">
        <v>940</v>
      </c>
      <c r="F204" s="6" t="s">
        <v>944</v>
      </c>
      <c r="G204" s="6" t="s">
        <v>709</v>
      </c>
      <c r="H204" s="25">
        <v>28000</v>
      </c>
      <c r="I204" s="38">
        <v>10</v>
      </c>
      <c r="J204" s="38">
        <v>1</v>
      </c>
      <c r="K204" s="39">
        <f t="shared" si="24"/>
        <v>280000</v>
      </c>
      <c r="L204" s="38">
        <v>0</v>
      </c>
      <c r="M204" s="38">
        <v>0</v>
      </c>
      <c r="N204" s="39">
        <f t="shared" si="25"/>
        <v>0</v>
      </c>
      <c r="O204" s="38">
        <v>0</v>
      </c>
      <c r="P204" s="38">
        <v>0</v>
      </c>
      <c r="Q204" s="39">
        <f t="shared" si="26"/>
        <v>0</v>
      </c>
      <c r="R204" s="38">
        <v>0</v>
      </c>
      <c r="S204" s="38">
        <v>0</v>
      </c>
      <c r="T204" s="39">
        <f t="shared" si="27"/>
        <v>0</v>
      </c>
      <c r="U204" s="38">
        <v>0</v>
      </c>
      <c r="V204" s="38">
        <v>0</v>
      </c>
      <c r="W204" s="39">
        <f t="shared" si="28"/>
        <v>0</v>
      </c>
      <c r="X204" s="38"/>
      <c r="Y204" s="38"/>
      <c r="Z204" s="39">
        <f t="shared" si="29"/>
        <v>0</v>
      </c>
      <c r="AA204" s="38"/>
      <c r="AB204" s="38"/>
      <c r="AC204" s="39">
        <f t="shared" si="30"/>
        <v>0</v>
      </c>
      <c r="AD204" s="38"/>
      <c r="AE204" s="38"/>
      <c r="AF204" s="39">
        <f t="shared" si="31"/>
        <v>0</v>
      </c>
    </row>
    <row r="205" spans="2:32" ht="15" customHeight="1" x14ac:dyDescent="0.3">
      <c r="B205" s="2" t="s">
        <v>836</v>
      </c>
      <c r="C205" s="4" t="s">
        <v>837</v>
      </c>
      <c r="D205" s="3" t="s">
        <v>939</v>
      </c>
      <c r="E205" s="6" t="s">
        <v>940</v>
      </c>
      <c r="F205" s="6" t="s">
        <v>944</v>
      </c>
      <c r="G205" s="6" t="s">
        <v>716</v>
      </c>
      <c r="H205" s="25">
        <v>39000</v>
      </c>
      <c r="I205" s="38">
        <v>100</v>
      </c>
      <c r="J205" s="38">
        <v>1</v>
      </c>
      <c r="K205" s="39">
        <f t="shared" si="24"/>
        <v>3900000</v>
      </c>
      <c r="L205" s="38">
        <v>0</v>
      </c>
      <c r="M205" s="38">
        <v>0</v>
      </c>
      <c r="N205" s="39">
        <f t="shared" si="25"/>
        <v>0</v>
      </c>
      <c r="O205" s="38">
        <v>0</v>
      </c>
      <c r="P205" s="38">
        <v>0</v>
      </c>
      <c r="Q205" s="39">
        <f t="shared" si="26"/>
        <v>0</v>
      </c>
      <c r="R205" s="38">
        <v>0</v>
      </c>
      <c r="S205" s="38">
        <v>0</v>
      </c>
      <c r="T205" s="39">
        <f t="shared" si="27"/>
        <v>0</v>
      </c>
      <c r="U205" s="38">
        <v>0</v>
      </c>
      <c r="V205" s="38">
        <v>0</v>
      </c>
      <c r="W205" s="39">
        <f t="shared" si="28"/>
        <v>0</v>
      </c>
      <c r="X205" s="38"/>
      <c r="Y205" s="38"/>
      <c r="Z205" s="39">
        <f t="shared" si="29"/>
        <v>0</v>
      </c>
      <c r="AA205" s="38"/>
      <c r="AB205" s="38"/>
      <c r="AC205" s="39">
        <f t="shared" si="30"/>
        <v>0</v>
      </c>
      <c r="AD205" s="38"/>
      <c r="AE205" s="38"/>
      <c r="AF205" s="39">
        <f t="shared" si="31"/>
        <v>0</v>
      </c>
    </row>
    <row r="206" spans="2:32" ht="15" customHeight="1" x14ac:dyDescent="0.3">
      <c r="B206" s="2" t="s">
        <v>836</v>
      </c>
      <c r="C206" s="4" t="s">
        <v>837</v>
      </c>
      <c r="D206" s="3" t="s">
        <v>939</v>
      </c>
      <c r="E206" s="6" t="s">
        <v>940</v>
      </c>
      <c r="F206" s="6" t="s">
        <v>944</v>
      </c>
      <c r="G206" s="6" t="s">
        <v>711</v>
      </c>
      <c r="H206" s="25">
        <v>70</v>
      </c>
      <c r="I206" s="38">
        <v>30</v>
      </c>
      <c r="J206" s="38">
        <v>2</v>
      </c>
      <c r="K206" s="39">
        <f t="shared" si="24"/>
        <v>4200</v>
      </c>
      <c r="L206" s="38">
        <v>0</v>
      </c>
      <c r="M206" s="38">
        <v>0</v>
      </c>
      <c r="N206" s="39">
        <f t="shared" si="25"/>
        <v>0</v>
      </c>
      <c r="O206" s="38">
        <v>0</v>
      </c>
      <c r="P206" s="38">
        <v>0</v>
      </c>
      <c r="Q206" s="39">
        <f t="shared" si="26"/>
        <v>0</v>
      </c>
      <c r="R206" s="38">
        <v>0</v>
      </c>
      <c r="S206" s="38">
        <v>0</v>
      </c>
      <c r="T206" s="39">
        <f t="shared" si="27"/>
        <v>0</v>
      </c>
      <c r="U206" s="38">
        <v>0</v>
      </c>
      <c r="V206" s="38">
        <v>0</v>
      </c>
      <c r="W206" s="39">
        <f t="shared" si="28"/>
        <v>0</v>
      </c>
      <c r="X206" s="38"/>
      <c r="Y206" s="38"/>
      <c r="Z206" s="39">
        <f t="shared" si="29"/>
        <v>0</v>
      </c>
      <c r="AA206" s="38"/>
      <c r="AB206" s="38"/>
      <c r="AC206" s="39">
        <f t="shared" si="30"/>
        <v>0</v>
      </c>
      <c r="AD206" s="38"/>
      <c r="AE206" s="38"/>
      <c r="AF206" s="39">
        <f t="shared" si="31"/>
        <v>0</v>
      </c>
    </row>
    <row r="207" spans="2:32" ht="15" customHeight="1" x14ac:dyDescent="0.3">
      <c r="B207" s="2" t="s">
        <v>836</v>
      </c>
      <c r="C207" s="4" t="s">
        <v>837</v>
      </c>
      <c r="D207" s="3" t="s">
        <v>939</v>
      </c>
      <c r="E207" s="6" t="s">
        <v>940</v>
      </c>
      <c r="F207" s="6" t="s">
        <v>944</v>
      </c>
      <c r="G207" s="6" t="s">
        <v>710</v>
      </c>
      <c r="H207" s="25">
        <v>104850</v>
      </c>
      <c r="I207" s="38">
        <v>50000</v>
      </c>
      <c r="J207" s="38">
        <v>1</v>
      </c>
      <c r="K207" s="39">
        <f t="shared" si="24"/>
        <v>5242500000</v>
      </c>
      <c r="L207" s="38">
        <v>0</v>
      </c>
      <c r="M207" s="38">
        <v>0</v>
      </c>
      <c r="N207" s="39">
        <f t="shared" si="25"/>
        <v>0</v>
      </c>
      <c r="O207" s="38">
        <v>0</v>
      </c>
      <c r="P207" s="38">
        <v>0</v>
      </c>
      <c r="Q207" s="39">
        <f t="shared" si="26"/>
        <v>0</v>
      </c>
      <c r="R207" s="38">
        <v>0</v>
      </c>
      <c r="S207" s="38">
        <v>0</v>
      </c>
      <c r="T207" s="39">
        <f t="shared" si="27"/>
        <v>0</v>
      </c>
      <c r="U207" s="38">
        <v>0</v>
      </c>
      <c r="V207" s="38">
        <v>0</v>
      </c>
      <c r="W207" s="39">
        <f t="shared" si="28"/>
        <v>0</v>
      </c>
      <c r="X207" s="38"/>
      <c r="Y207" s="38"/>
      <c r="Z207" s="39">
        <f t="shared" si="29"/>
        <v>0</v>
      </c>
      <c r="AA207" s="38"/>
      <c r="AB207" s="38"/>
      <c r="AC207" s="39">
        <f t="shared" si="30"/>
        <v>0</v>
      </c>
      <c r="AD207" s="38"/>
      <c r="AE207" s="38"/>
      <c r="AF207" s="39">
        <f t="shared" si="31"/>
        <v>0</v>
      </c>
    </row>
    <row r="208" spans="2:32" ht="15" customHeight="1" x14ac:dyDescent="0.3">
      <c r="B208" s="2" t="s">
        <v>836</v>
      </c>
      <c r="C208" s="4" t="s">
        <v>837</v>
      </c>
      <c r="D208" s="3" t="s">
        <v>939</v>
      </c>
      <c r="E208" s="6" t="s">
        <v>940</v>
      </c>
      <c r="F208" s="6" t="s">
        <v>944</v>
      </c>
      <c r="G208" s="6" t="s">
        <v>712</v>
      </c>
      <c r="H208" s="25">
        <v>214.29</v>
      </c>
      <c r="I208" s="38">
        <v>5</v>
      </c>
      <c r="J208" s="38">
        <v>1</v>
      </c>
      <c r="K208" s="39">
        <f t="shared" si="24"/>
        <v>1071.45</v>
      </c>
      <c r="L208" s="38">
        <v>0</v>
      </c>
      <c r="M208" s="38">
        <v>0</v>
      </c>
      <c r="N208" s="39">
        <f t="shared" si="25"/>
        <v>0</v>
      </c>
      <c r="O208" s="38">
        <v>0</v>
      </c>
      <c r="P208" s="38">
        <v>0</v>
      </c>
      <c r="Q208" s="39">
        <f t="shared" si="26"/>
        <v>0</v>
      </c>
      <c r="R208" s="38">
        <v>0</v>
      </c>
      <c r="S208" s="38">
        <v>0</v>
      </c>
      <c r="T208" s="39">
        <f t="shared" si="27"/>
        <v>0</v>
      </c>
      <c r="U208" s="38">
        <v>0</v>
      </c>
      <c r="V208" s="38">
        <v>0</v>
      </c>
      <c r="W208" s="39">
        <f t="shared" si="28"/>
        <v>0</v>
      </c>
      <c r="X208" s="38"/>
      <c r="Y208" s="38"/>
      <c r="Z208" s="39">
        <f t="shared" si="29"/>
        <v>0</v>
      </c>
      <c r="AA208" s="38"/>
      <c r="AB208" s="38"/>
      <c r="AC208" s="39">
        <f t="shared" si="30"/>
        <v>0</v>
      </c>
      <c r="AD208" s="38"/>
      <c r="AE208" s="38"/>
      <c r="AF208" s="39">
        <f t="shared" si="31"/>
        <v>0</v>
      </c>
    </row>
    <row r="209" spans="2:32" ht="15" customHeight="1" x14ac:dyDescent="0.3">
      <c r="B209" s="2" t="s">
        <v>836</v>
      </c>
      <c r="C209" s="4" t="s">
        <v>837</v>
      </c>
      <c r="D209" s="3" t="s">
        <v>939</v>
      </c>
      <c r="E209" s="6" t="s">
        <v>940</v>
      </c>
      <c r="F209" s="6" t="s">
        <v>945</v>
      </c>
      <c r="G209" s="6" t="s">
        <v>841</v>
      </c>
      <c r="H209" s="25">
        <v>0</v>
      </c>
      <c r="I209" s="38">
        <v>20000</v>
      </c>
      <c r="J209" s="38">
        <v>1</v>
      </c>
      <c r="K209" s="39">
        <f t="shared" si="24"/>
        <v>0</v>
      </c>
      <c r="L209" s="38">
        <v>0</v>
      </c>
      <c r="M209" s="38">
        <v>0</v>
      </c>
      <c r="N209" s="39">
        <f t="shared" si="25"/>
        <v>0</v>
      </c>
      <c r="O209" s="38">
        <v>0</v>
      </c>
      <c r="P209" s="38">
        <v>0</v>
      </c>
      <c r="Q209" s="39">
        <f t="shared" si="26"/>
        <v>0</v>
      </c>
      <c r="R209" s="38">
        <v>0</v>
      </c>
      <c r="S209" s="38">
        <v>0</v>
      </c>
      <c r="T209" s="39">
        <f t="shared" si="27"/>
        <v>0</v>
      </c>
      <c r="U209" s="38">
        <v>0</v>
      </c>
      <c r="V209" s="38">
        <v>0</v>
      </c>
      <c r="W209" s="39">
        <f t="shared" si="28"/>
        <v>0</v>
      </c>
      <c r="X209" s="38"/>
      <c r="Y209" s="38"/>
      <c r="Z209" s="39">
        <f t="shared" si="29"/>
        <v>0</v>
      </c>
      <c r="AA209" s="38"/>
      <c r="AB209" s="38"/>
      <c r="AC209" s="39">
        <f t="shared" si="30"/>
        <v>0</v>
      </c>
      <c r="AD209" s="38"/>
      <c r="AE209" s="38"/>
      <c r="AF209" s="39">
        <f t="shared" si="31"/>
        <v>0</v>
      </c>
    </row>
    <row r="210" spans="2:32" ht="15" customHeight="1" x14ac:dyDescent="0.3">
      <c r="B210" s="2" t="s">
        <v>836</v>
      </c>
      <c r="C210" s="4" t="s">
        <v>837</v>
      </c>
      <c r="D210" s="3" t="s">
        <v>939</v>
      </c>
      <c r="E210" s="6" t="s">
        <v>946</v>
      </c>
      <c r="F210" s="6" t="s">
        <v>947</v>
      </c>
      <c r="G210" s="6" t="s">
        <v>841</v>
      </c>
      <c r="H210" s="25">
        <v>0</v>
      </c>
      <c r="I210" s="38">
        <v>0</v>
      </c>
      <c r="J210" s="38">
        <v>0</v>
      </c>
      <c r="K210" s="39">
        <f t="shared" si="24"/>
        <v>0</v>
      </c>
      <c r="L210" s="38">
        <v>0</v>
      </c>
      <c r="M210" s="38">
        <v>0</v>
      </c>
      <c r="N210" s="39">
        <f t="shared" si="25"/>
        <v>0</v>
      </c>
      <c r="O210" s="38">
        <v>0</v>
      </c>
      <c r="P210" s="38">
        <v>0</v>
      </c>
      <c r="Q210" s="39">
        <f t="shared" si="26"/>
        <v>0</v>
      </c>
      <c r="R210" s="38">
        <v>0</v>
      </c>
      <c r="S210" s="38">
        <v>0</v>
      </c>
      <c r="T210" s="39">
        <f t="shared" si="27"/>
        <v>0</v>
      </c>
      <c r="U210" s="38">
        <v>0</v>
      </c>
      <c r="V210" s="38">
        <v>0</v>
      </c>
      <c r="W210" s="39">
        <f t="shared" si="28"/>
        <v>0</v>
      </c>
      <c r="X210" s="38"/>
      <c r="Y210" s="38"/>
      <c r="Z210" s="39">
        <f t="shared" si="29"/>
        <v>0</v>
      </c>
      <c r="AA210" s="38"/>
      <c r="AB210" s="38"/>
      <c r="AC210" s="39">
        <f t="shared" si="30"/>
        <v>0</v>
      </c>
      <c r="AD210" s="38"/>
      <c r="AE210" s="38"/>
      <c r="AF210" s="39">
        <f t="shared" si="31"/>
        <v>0</v>
      </c>
    </row>
    <row r="211" spans="2:32" ht="15" customHeight="1" x14ac:dyDescent="0.3">
      <c r="B211" s="2" t="s">
        <v>836</v>
      </c>
      <c r="C211" s="4" t="s">
        <v>837</v>
      </c>
      <c r="D211" s="3" t="s">
        <v>948</v>
      </c>
      <c r="E211" s="6" t="s">
        <v>949</v>
      </c>
      <c r="F211" s="6" t="s">
        <v>950</v>
      </c>
      <c r="G211" s="6" t="s">
        <v>841</v>
      </c>
      <c r="H211" s="25">
        <v>0</v>
      </c>
      <c r="I211" s="38">
        <v>0</v>
      </c>
      <c r="J211" s="38">
        <v>0</v>
      </c>
      <c r="K211" s="39">
        <f t="shared" si="24"/>
        <v>0</v>
      </c>
      <c r="L211" s="38">
        <v>0</v>
      </c>
      <c r="M211" s="38">
        <v>0</v>
      </c>
      <c r="N211" s="39">
        <f t="shared" si="25"/>
        <v>0</v>
      </c>
      <c r="O211" s="38">
        <v>0</v>
      </c>
      <c r="P211" s="38">
        <v>0</v>
      </c>
      <c r="Q211" s="39">
        <f t="shared" si="26"/>
        <v>0</v>
      </c>
      <c r="R211" s="38">
        <v>0</v>
      </c>
      <c r="S211" s="38">
        <v>0</v>
      </c>
      <c r="T211" s="39">
        <f t="shared" si="27"/>
        <v>0</v>
      </c>
      <c r="U211" s="38">
        <v>0</v>
      </c>
      <c r="V211" s="38">
        <v>0</v>
      </c>
      <c r="W211" s="39">
        <f t="shared" si="28"/>
        <v>0</v>
      </c>
      <c r="X211" s="38"/>
      <c r="Y211" s="38"/>
      <c r="Z211" s="39">
        <f t="shared" si="29"/>
        <v>0</v>
      </c>
      <c r="AA211" s="38"/>
      <c r="AB211" s="38"/>
      <c r="AC211" s="39">
        <f t="shared" si="30"/>
        <v>0</v>
      </c>
      <c r="AD211" s="38"/>
      <c r="AE211" s="38"/>
      <c r="AF211" s="39">
        <f t="shared" si="31"/>
        <v>0</v>
      </c>
    </row>
    <row r="212" spans="2:32" ht="15" customHeight="1" x14ac:dyDescent="0.3">
      <c r="B212" s="2" t="s">
        <v>836</v>
      </c>
      <c r="C212" s="4" t="s">
        <v>837</v>
      </c>
      <c r="D212" s="3" t="s">
        <v>948</v>
      </c>
      <c r="E212" s="6" t="s">
        <v>949</v>
      </c>
      <c r="F212" s="6" t="s">
        <v>951</v>
      </c>
      <c r="G212" s="6" t="s">
        <v>841</v>
      </c>
      <c r="H212" s="25">
        <v>0</v>
      </c>
      <c r="I212" s="38">
        <v>0</v>
      </c>
      <c r="J212" s="38">
        <v>0</v>
      </c>
      <c r="K212" s="39">
        <f t="shared" si="24"/>
        <v>0</v>
      </c>
      <c r="L212" s="38">
        <v>0</v>
      </c>
      <c r="M212" s="38">
        <v>0</v>
      </c>
      <c r="N212" s="39">
        <f t="shared" si="25"/>
        <v>0</v>
      </c>
      <c r="O212" s="38">
        <v>0</v>
      </c>
      <c r="P212" s="38">
        <v>0</v>
      </c>
      <c r="Q212" s="39">
        <f t="shared" si="26"/>
        <v>0</v>
      </c>
      <c r="R212" s="38">
        <v>0</v>
      </c>
      <c r="S212" s="38">
        <v>0</v>
      </c>
      <c r="T212" s="39">
        <f t="shared" si="27"/>
        <v>0</v>
      </c>
      <c r="U212" s="38">
        <v>0</v>
      </c>
      <c r="V212" s="38">
        <v>0</v>
      </c>
      <c r="W212" s="39">
        <f t="shared" si="28"/>
        <v>0</v>
      </c>
      <c r="X212" s="38"/>
      <c r="Y212" s="38"/>
      <c r="Z212" s="39">
        <f t="shared" si="29"/>
        <v>0</v>
      </c>
      <c r="AA212" s="38"/>
      <c r="AB212" s="38"/>
      <c r="AC212" s="39">
        <f t="shared" si="30"/>
        <v>0</v>
      </c>
      <c r="AD212" s="38"/>
      <c r="AE212" s="38"/>
      <c r="AF212" s="39">
        <f t="shared" si="31"/>
        <v>0</v>
      </c>
    </row>
    <row r="213" spans="2:32" ht="15" customHeight="1" x14ac:dyDescent="0.3">
      <c r="B213" s="2" t="s">
        <v>836</v>
      </c>
      <c r="C213" s="4" t="s">
        <v>837</v>
      </c>
      <c r="D213" s="3" t="s">
        <v>948</v>
      </c>
      <c r="E213" s="6" t="s">
        <v>949</v>
      </c>
      <c r="F213" s="6" t="s">
        <v>952</v>
      </c>
      <c r="G213" s="6" t="s">
        <v>719</v>
      </c>
      <c r="H213" s="25">
        <v>286576.30000000005</v>
      </c>
      <c r="I213" s="38">
        <v>0</v>
      </c>
      <c r="J213" s="38">
        <v>0</v>
      </c>
      <c r="K213" s="39">
        <f t="shared" si="24"/>
        <v>0</v>
      </c>
      <c r="L213" s="38">
        <v>0</v>
      </c>
      <c r="M213" s="38">
        <v>0</v>
      </c>
      <c r="N213" s="39">
        <f t="shared" si="25"/>
        <v>0</v>
      </c>
      <c r="O213" s="38">
        <v>0</v>
      </c>
      <c r="P213" s="38">
        <v>0</v>
      </c>
      <c r="Q213" s="39">
        <f t="shared" si="26"/>
        <v>0</v>
      </c>
      <c r="R213" s="38">
        <v>0</v>
      </c>
      <c r="S213" s="38">
        <v>0</v>
      </c>
      <c r="T213" s="39">
        <f t="shared" si="27"/>
        <v>0</v>
      </c>
      <c r="U213" s="38">
        <v>0</v>
      </c>
      <c r="V213" s="38">
        <v>0</v>
      </c>
      <c r="W213" s="39">
        <f t="shared" si="28"/>
        <v>0</v>
      </c>
      <c r="X213" s="38"/>
      <c r="Y213" s="38"/>
      <c r="Z213" s="39">
        <f t="shared" si="29"/>
        <v>0</v>
      </c>
      <c r="AA213" s="38"/>
      <c r="AB213" s="38"/>
      <c r="AC213" s="39">
        <f t="shared" si="30"/>
        <v>0</v>
      </c>
      <c r="AD213" s="38"/>
      <c r="AE213" s="38"/>
      <c r="AF213" s="39">
        <f t="shared" si="31"/>
        <v>0</v>
      </c>
    </row>
    <row r="214" spans="2:32" ht="15" customHeight="1" x14ac:dyDescent="0.3">
      <c r="B214" s="2" t="s">
        <v>836</v>
      </c>
      <c r="C214" s="4" t="s">
        <v>837</v>
      </c>
      <c r="D214" s="3" t="s">
        <v>948</v>
      </c>
      <c r="E214" s="6" t="s">
        <v>949</v>
      </c>
      <c r="F214" s="6" t="s">
        <v>952</v>
      </c>
      <c r="G214" s="6" t="s">
        <v>953</v>
      </c>
      <c r="H214" s="25">
        <v>639585</v>
      </c>
      <c r="I214" s="38">
        <v>0</v>
      </c>
      <c r="J214" s="38">
        <v>0</v>
      </c>
      <c r="K214" s="39">
        <f t="shared" si="24"/>
        <v>0</v>
      </c>
      <c r="L214" s="38">
        <v>5</v>
      </c>
      <c r="M214" s="38">
        <v>5</v>
      </c>
      <c r="N214" s="39">
        <f t="shared" si="25"/>
        <v>15989625</v>
      </c>
      <c r="O214" s="38">
        <v>0</v>
      </c>
      <c r="P214" s="38">
        <v>0</v>
      </c>
      <c r="Q214" s="39">
        <f t="shared" si="26"/>
        <v>0</v>
      </c>
      <c r="R214" s="38">
        <v>0</v>
      </c>
      <c r="S214" s="38">
        <v>0</v>
      </c>
      <c r="T214" s="39">
        <f t="shared" si="27"/>
        <v>0</v>
      </c>
      <c r="U214" s="38">
        <v>0</v>
      </c>
      <c r="V214" s="38">
        <v>0</v>
      </c>
      <c r="W214" s="39">
        <f t="shared" si="28"/>
        <v>0</v>
      </c>
      <c r="X214" s="38"/>
      <c r="Y214" s="38"/>
      <c r="Z214" s="39">
        <f t="shared" si="29"/>
        <v>0</v>
      </c>
      <c r="AA214" s="38"/>
      <c r="AB214" s="38"/>
      <c r="AC214" s="39">
        <f t="shared" si="30"/>
        <v>0</v>
      </c>
      <c r="AD214" s="38"/>
      <c r="AE214" s="38"/>
      <c r="AF214" s="39">
        <f t="shared" si="31"/>
        <v>0</v>
      </c>
    </row>
    <row r="215" spans="2:32" ht="15" customHeight="1" x14ac:dyDescent="0.3">
      <c r="B215" s="2" t="s">
        <v>836</v>
      </c>
      <c r="C215" s="4" t="s">
        <v>837</v>
      </c>
      <c r="D215" s="3" t="s">
        <v>948</v>
      </c>
      <c r="E215" s="6" t="s">
        <v>949</v>
      </c>
      <c r="F215" s="6" t="s">
        <v>954</v>
      </c>
      <c r="G215" s="6" t="s">
        <v>841</v>
      </c>
      <c r="H215" s="25">
        <v>0</v>
      </c>
      <c r="I215" s="38">
        <v>0</v>
      </c>
      <c r="J215" s="38">
        <v>0</v>
      </c>
      <c r="K215" s="39">
        <f t="shared" si="24"/>
        <v>0</v>
      </c>
      <c r="L215" s="38">
        <v>5</v>
      </c>
      <c r="M215" s="38">
        <v>1</v>
      </c>
      <c r="N215" s="39">
        <f t="shared" si="25"/>
        <v>0</v>
      </c>
      <c r="O215" s="38">
        <v>0</v>
      </c>
      <c r="P215" s="38">
        <v>0</v>
      </c>
      <c r="Q215" s="39">
        <f t="shared" si="26"/>
        <v>0</v>
      </c>
      <c r="R215" s="38">
        <v>0</v>
      </c>
      <c r="S215" s="38">
        <v>0</v>
      </c>
      <c r="T215" s="39">
        <f t="shared" si="27"/>
        <v>0</v>
      </c>
      <c r="U215" s="38">
        <v>0</v>
      </c>
      <c r="V215" s="38">
        <v>0</v>
      </c>
      <c r="W215" s="39">
        <f t="shared" si="28"/>
        <v>0</v>
      </c>
      <c r="X215" s="38"/>
      <c r="Y215" s="38"/>
      <c r="Z215" s="39">
        <f t="shared" si="29"/>
        <v>0</v>
      </c>
      <c r="AA215" s="38"/>
      <c r="AB215" s="38"/>
      <c r="AC215" s="39">
        <f t="shared" si="30"/>
        <v>0</v>
      </c>
      <c r="AD215" s="38"/>
      <c r="AE215" s="38"/>
      <c r="AF215" s="39">
        <f t="shared" si="31"/>
        <v>0</v>
      </c>
    </row>
    <row r="216" spans="2:32" ht="15" customHeight="1" x14ac:dyDescent="0.3">
      <c r="B216" s="2" t="s">
        <v>836</v>
      </c>
      <c r="C216" s="4" t="s">
        <v>837</v>
      </c>
      <c r="D216" s="3" t="s">
        <v>948</v>
      </c>
      <c r="E216" s="6" t="s">
        <v>955</v>
      </c>
      <c r="F216" s="6" t="s">
        <v>956</v>
      </c>
      <c r="G216" s="6" t="s">
        <v>709</v>
      </c>
      <c r="H216" s="25">
        <v>28000</v>
      </c>
      <c r="I216" s="38">
        <v>0</v>
      </c>
      <c r="J216" s="38">
        <v>0</v>
      </c>
      <c r="K216" s="39">
        <f t="shared" si="24"/>
        <v>0</v>
      </c>
      <c r="L216" s="38">
        <v>0</v>
      </c>
      <c r="M216" s="38">
        <v>0</v>
      </c>
      <c r="N216" s="39">
        <f t="shared" si="25"/>
        <v>0</v>
      </c>
      <c r="O216" s="38">
        <v>0</v>
      </c>
      <c r="P216" s="38">
        <v>0</v>
      </c>
      <c r="Q216" s="39">
        <f t="shared" si="26"/>
        <v>0</v>
      </c>
      <c r="R216" s="38">
        <v>0</v>
      </c>
      <c r="S216" s="38">
        <v>0</v>
      </c>
      <c r="T216" s="39">
        <f t="shared" si="27"/>
        <v>0</v>
      </c>
      <c r="U216" s="38">
        <v>0</v>
      </c>
      <c r="V216" s="38">
        <v>0</v>
      </c>
      <c r="W216" s="39">
        <f t="shared" si="28"/>
        <v>0</v>
      </c>
      <c r="X216" s="38"/>
      <c r="Y216" s="38"/>
      <c r="Z216" s="39">
        <f t="shared" si="29"/>
        <v>0</v>
      </c>
      <c r="AA216" s="38"/>
      <c r="AB216" s="38"/>
      <c r="AC216" s="39">
        <f t="shared" si="30"/>
        <v>0</v>
      </c>
      <c r="AD216" s="38"/>
      <c r="AE216" s="38"/>
      <c r="AF216" s="39">
        <f t="shared" si="31"/>
        <v>0</v>
      </c>
    </row>
    <row r="217" spans="2:32" ht="15" customHeight="1" x14ac:dyDescent="0.3">
      <c r="B217" s="2" t="s">
        <v>836</v>
      </c>
      <c r="C217" s="4" t="s">
        <v>837</v>
      </c>
      <c r="D217" s="3" t="s">
        <v>948</v>
      </c>
      <c r="E217" s="6" t="s">
        <v>955</v>
      </c>
      <c r="F217" s="6" t="s">
        <v>956</v>
      </c>
      <c r="G217" s="6" t="s">
        <v>716</v>
      </c>
      <c r="H217" s="25">
        <v>39000</v>
      </c>
      <c r="I217" s="38">
        <v>0</v>
      </c>
      <c r="J217" s="38">
        <v>0</v>
      </c>
      <c r="K217" s="39">
        <f t="shared" si="24"/>
        <v>0</v>
      </c>
      <c r="L217" s="38">
        <v>0</v>
      </c>
      <c r="M217" s="38">
        <v>0</v>
      </c>
      <c r="N217" s="39">
        <f t="shared" si="25"/>
        <v>0</v>
      </c>
      <c r="O217" s="38">
        <v>30</v>
      </c>
      <c r="P217" s="38">
        <v>25</v>
      </c>
      <c r="Q217" s="39">
        <f t="shared" si="26"/>
        <v>29250000</v>
      </c>
      <c r="R217" s="38">
        <v>0</v>
      </c>
      <c r="S217" s="38">
        <v>0</v>
      </c>
      <c r="T217" s="39">
        <f t="shared" si="27"/>
        <v>0</v>
      </c>
      <c r="U217" s="38">
        <v>0</v>
      </c>
      <c r="V217" s="38">
        <v>0</v>
      </c>
      <c r="W217" s="39">
        <f t="shared" si="28"/>
        <v>0</v>
      </c>
      <c r="X217" s="38"/>
      <c r="Y217" s="38"/>
      <c r="Z217" s="39">
        <f t="shared" si="29"/>
        <v>0</v>
      </c>
      <c r="AA217" s="38"/>
      <c r="AB217" s="38"/>
      <c r="AC217" s="39">
        <f t="shared" si="30"/>
        <v>0</v>
      </c>
      <c r="AD217" s="38"/>
      <c r="AE217" s="38"/>
      <c r="AF217" s="39">
        <f t="shared" si="31"/>
        <v>0</v>
      </c>
    </row>
    <row r="218" spans="2:32" ht="15" customHeight="1" x14ac:dyDescent="0.3">
      <c r="B218" s="2" t="s">
        <v>836</v>
      </c>
      <c r="C218" s="4" t="s">
        <v>837</v>
      </c>
      <c r="D218" s="3" t="s">
        <v>948</v>
      </c>
      <c r="E218" s="6" t="s">
        <v>955</v>
      </c>
      <c r="F218" s="6" t="s">
        <v>956</v>
      </c>
      <c r="G218" s="6" t="s">
        <v>712</v>
      </c>
      <c r="H218" s="25">
        <v>214.29</v>
      </c>
      <c r="I218" s="38">
        <v>0</v>
      </c>
      <c r="J218" s="38">
        <v>0</v>
      </c>
      <c r="K218" s="39">
        <f t="shared" si="24"/>
        <v>0</v>
      </c>
      <c r="L218" s="38">
        <v>0</v>
      </c>
      <c r="M218" s="38">
        <v>0</v>
      </c>
      <c r="N218" s="39">
        <f t="shared" si="25"/>
        <v>0</v>
      </c>
      <c r="O218" s="38">
        <v>30</v>
      </c>
      <c r="P218" s="38">
        <v>30</v>
      </c>
      <c r="Q218" s="39">
        <f t="shared" si="26"/>
        <v>192861</v>
      </c>
      <c r="R218" s="38">
        <v>0</v>
      </c>
      <c r="S218" s="38">
        <v>0</v>
      </c>
      <c r="T218" s="39">
        <f t="shared" si="27"/>
        <v>0</v>
      </c>
      <c r="U218" s="38">
        <v>0</v>
      </c>
      <c r="V218" s="38">
        <v>0</v>
      </c>
      <c r="W218" s="39">
        <f t="shared" si="28"/>
        <v>0</v>
      </c>
      <c r="X218" s="38"/>
      <c r="Y218" s="38"/>
      <c r="Z218" s="39">
        <f t="shared" si="29"/>
        <v>0</v>
      </c>
      <c r="AA218" s="38"/>
      <c r="AB218" s="38"/>
      <c r="AC218" s="39">
        <f t="shared" si="30"/>
        <v>0</v>
      </c>
      <c r="AD218" s="38"/>
      <c r="AE218" s="38"/>
      <c r="AF218" s="39">
        <f t="shared" si="31"/>
        <v>0</v>
      </c>
    </row>
    <row r="219" spans="2:32" ht="15" customHeight="1" x14ac:dyDescent="0.3">
      <c r="B219" s="2" t="s">
        <v>836</v>
      </c>
      <c r="C219" s="4" t="s">
        <v>837</v>
      </c>
      <c r="D219" s="3" t="s">
        <v>948</v>
      </c>
      <c r="E219" s="6" t="s">
        <v>955</v>
      </c>
      <c r="F219" s="6" t="s">
        <v>166</v>
      </c>
      <c r="G219" s="6" t="s">
        <v>709</v>
      </c>
      <c r="H219" s="25">
        <v>28000</v>
      </c>
      <c r="I219" s="38">
        <v>0</v>
      </c>
      <c r="J219" s="38">
        <v>0</v>
      </c>
      <c r="K219" s="39">
        <f t="shared" si="24"/>
        <v>0</v>
      </c>
      <c r="L219" s="38">
        <v>0</v>
      </c>
      <c r="M219" s="38">
        <v>0</v>
      </c>
      <c r="N219" s="39">
        <f t="shared" si="25"/>
        <v>0</v>
      </c>
      <c r="O219" s="38">
        <v>8000</v>
      </c>
      <c r="P219" s="38">
        <v>5</v>
      </c>
      <c r="Q219" s="39">
        <f t="shared" si="26"/>
        <v>1120000000</v>
      </c>
      <c r="R219" s="38">
        <v>0</v>
      </c>
      <c r="S219" s="38">
        <v>0</v>
      </c>
      <c r="T219" s="39">
        <f t="shared" si="27"/>
        <v>0</v>
      </c>
      <c r="U219" s="38">
        <v>0</v>
      </c>
      <c r="V219" s="38">
        <v>0</v>
      </c>
      <c r="W219" s="39">
        <f t="shared" si="28"/>
        <v>0</v>
      </c>
      <c r="X219" s="38"/>
      <c r="Y219" s="38"/>
      <c r="Z219" s="39">
        <f t="shared" si="29"/>
        <v>0</v>
      </c>
      <c r="AA219" s="38"/>
      <c r="AB219" s="38"/>
      <c r="AC219" s="39">
        <f t="shared" si="30"/>
        <v>0</v>
      </c>
      <c r="AD219" s="38"/>
      <c r="AE219" s="38"/>
      <c r="AF219" s="39">
        <f t="shared" si="31"/>
        <v>0</v>
      </c>
    </row>
    <row r="220" spans="2:32" ht="15" customHeight="1" x14ac:dyDescent="0.3">
      <c r="B220" s="2" t="s">
        <v>836</v>
      </c>
      <c r="C220" s="4" t="s">
        <v>837</v>
      </c>
      <c r="D220" s="3" t="s">
        <v>948</v>
      </c>
      <c r="E220" s="6" t="s">
        <v>955</v>
      </c>
      <c r="F220" s="6" t="s">
        <v>957</v>
      </c>
      <c r="G220" s="6" t="s">
        <v>841</v>
      </c>
      <c r="H220" s="25">
        <v>0</v>
      </c>
      <c r="I220" s="38">
        <v>0</v>
      </c>
      <c r="J220" s="38">
        <v>0</v>
      </c>
      <c r="K220" s="39">
        <f t="shared" si="24"/>
        <v>0</v>
      </c>
      <c r="L220" s="38">
        <v>0</v>
      </c>
      <c r="M220" s="38">
        <v>0</v>
      </c>
      <c r="N220" s="39">
        <f t="shared" si="25"/>
        <v>0</v>
      </c>
      <c r="O220" s="38">
        <v>30</v>
      </c>
      <c r="P220" s="38">
        <v>0.5</v>
      </c>
      <c r="Q220" s="39">
        <f t="shared" si="26"/>
        <v>0</v>
      </c>
      <c r="R220" s="38">
        <v>0</v>
      </c>
      <c r="S220" s="38">
        <v>0</v>
      </c>
      <c r="T220" s="39">
        <f t="shared" si="27"/>
        <v>0</v>
      </c>
      <c r="U220" s="38">
        <v>0</v>
      </c>
      <c r="V220" s="38">
        <v>0</v>
      </c>
      <c r="W220" s="39">
        <f t="shared" si="28"/>
        <v>0</v>
      </c>
      <c r="X220" s="38"/>
      <c r="Y220" s="38"/>
      <c r="Z220" s="39">
        <f t="shared" si="29"/>
        <v>0</v>
      </c>
      <c r="AA220" s="38"/>
      <c r="AB220" s="38"/>
      <c r="AC220" s="39">
        <f t="shared" si="30"/>
        <v>0</v>
      </c>
      <c r="AD220" s="38"/>
      <c r="AE220" s="38"/>
      <c r="AF220" s="39">
        <f t="shared" si="31"/>
        <v>0</v>
      </c>
    </row>
    <row r="221" spans="2:32" ht="15" customHeight="1" x14ac:dyDescent="0.3">
      <c r="B221" s="2" t="s">
        <v>836</v>
      </c>
      <c r="C221" s="4" t="s">
        <v>837</v>
      </c>
      <c r="D221" s="3" t="s">
        <v>948</v>
      </c>
      <c r="E221" s="6" t="s">
        <v>955</v>
      </c>
      <c r="F221" s="6" t="s">
        <v>958</v>
      </c>
      <c r="G221" s="6" t="s">
        <v>709</v>
      </c>
      <c r="H221" s="25">
        <v>28000</v>
      </c>
      <c r="I221" s="38">
        <v>0</v>
      </c>
      <c r="J221" s="38">
        <v>0</v>
      </c>
      <c r="K221" s="39">
        <f t="shared" si="24"/>
        <v>0</v>
      </c>
      <c r="L221" s="38">
        <v>0</v>
      </c>
      <c r="M221" s="38">
        <v>0</v>
      </c>
      <c r="N221" s="39">
        <f t="shared" si="25"/>
        <v>0</v>
      </c>
      <c r="O221" s="38">
        <v>10</v>
      </c>
      <c r="P221" s="38">
        <v>1</v>
      </c>
      <c r="Q221" s="39">
        <f t="shared" si="26"/>
        <v>280000</v>
      </c>
      <c r="R221" s="38">
        <v>0</v>
      </c>
      <c r="S221" s="38">
        <v>0</v>
      </c>
      <c r="T221" s="39">
        <f t="shared" si="27"/>
        <v>0</v>
      </c>
      <c r="U221" s="38">
        <v>0</v>
      </c>
      <c r="V221" s="38">
        <v>0</v>
      </c>
      <c r="W221" s="39">
        <f t="shared" si="28"/>
        <v>0</v>
      </c>
      <c r="X221" s="38"/>
      <c r="Y221" s="38"/>
      <c r="Z221" s="39">
        <f t="shared" si="29"/>
        <v>0</v>
      </c>
      <c r="AA221" s="38"/>
      <c r="AB221" s="38"/>
      <c r="AC221" s="39">
        <f t="shared" si="30"/>
        <v>0</v>
      </c>
      <c r="AD221" s="38"/>
      <c r="AE221" s="38"/>
      <c r="AF221" s="39">
        <f t="shared" si="31"/>
        <v>0</v>
      </c>
    </row>
    <row r="222" spans="2:32" ht="15" customHeight="1" x14ac:dyDescent="0.3">
      <c r="B222" s="2" t="s">
        <v>836</v>
      </c>
      <c r="C222" s="4" t="s">
        <v>837</v>
      </c>
      <c r="D222" s="3" t="s">
        <v>948</v>
      </c>
      <c r="E222" s="6" t="s">
        <v>955</v>
      </c>
      <c r="F222" s="6" t="s">
        <v>958</v>
      </c>
      <c r="G222" s="6" t="s">
        <v>716</v>
      </c>
      <c r="H222" s="25">
        <v>39000</v>
      </c>
      <c r="I222" s="38">
        <v>0</v>
      </c>
      <c r="J222" s="38">
        <v>0</v>
      </c>
      <c r="K222" s="39">
        <f t="shared" si="24"/>
        <v>0</v>
      </c>
      <c r="L222" s="38">
        <v>0</v>
      </c>
      <c r="M222" s="38">
        <v>0</v>
      </c>
      <c r="N222" s="39">
        <f t="shared" si="25"/>
        <v>0</v>
      </c>
      <c r="O222" s="38">
        <v>100</v>
      </c>
      <c r="P222" s="38">
        <v>1</v>
      </c>
      <c r="Q222" s="39">
        <f t="shared" si="26"/>
        <v>3900000</v>
      </c>
      <c r="R222" s="38">
        <v>0</v>
      </c>
      <c r="S222" s="38">
        <v>0</v>
      </c>
      <c r="T222" s="39">
        <f t="shared" si="27"/>
        <v>0</v>
      </c>
      <c r="U222" s="38">
        <v>0</v>
      </c>
      <c r="V222" s="38">
        <v>0</v>
      </c>
      <c r="W222" s="39">
        <f t="shared" si="28"/>
        <v>0</v>
      </c>
      <c r="X222" s="38"/>
      <c r="Y222" s="38"/>
      <c r="Z222" s="39">
        <f t="shared" si="29"/>
        <v>0</v>
      </c>
      <c r="AA222" s="38"/>
      <c r="AB222" s="38"/>
      <c r="AC222" s="39">
        <f t="shared" si="30"/>
        <v>0</v>
      </c>
      <c r="AD222" s="38"/>
      <c r="AE222" s="38"/>
      <c r="AF222" s="39">
        <f t="shared" si="31"/>
        <v>0</v>
      </c>
    </row>
    <row r="223" spans="2:32" ht="15" customHeight="1" x14ac:dyDescent="0.3">
      <c r="B223" s="2" t="s">
        <v>836</v>
      </c>
      <c r="C223" s="4" t="s">
        <v>837</v>
      </c>
      <c r="D223" s="3" t="s">
        <v>948</v>
      </c>
      <c r="E223" s="6" t="s">
        <v>955</v>
      </c>
      <c r="F223" s="6" t="s">
        <v>958</v>
      </c>
      <c r="G223" s="6" t="s">
        <v>712</v>
      </c>
      <c r="H223" s="25">
        <v>214.29</v>
      </c>
      <c r="I223" s="38">
        <v>0</v>
      </c>
      <c r="J223" s="38">
        <v>0</v>
      </c>
      <c r="K223" s="39">
        <f t="shared" si="24"/>
        <v>0</v>
      </c>
      <c r="L223" s="38">
        <v>0</v>
      </c>
      <c r="M223" s="38">
        <v>0</v>
      </c>
      <c r="N223" s="39">
        <f t="shared" si="25"/>
        <v>0</v>
      </c>
      <c r="O223" s="38">
        <v>30</v>
      </c>
      <c r="P223" s="38">
        <v>1</v>
      </c>
      <c r="Q223" s="39">
        <f t="shared" si="26"/>
        <v>6428.7</v>
      </c>
      <c r="R223" s="38">
        <v>0</v>
      </c>
      <c r="S223" s="38">
        <v>0</v>
      </c>
      <c r="T223" s="39">
        <f t="shared" si="27"/>
        <v>0</v>
      </c>
      <c r="U223" s="38">
        <v>0</v>
      </c>
      <c r="V223" s="38">
        <v>0</v>
      </c>
      <c r="W223" s="39">
        <f t="shared" si="28"/>
        <v>0</v>
      </c>
      <c r="X223" s="38"/>
      <c r="Y223" s="38"/>
      <c r="Z223" s="39">
        <f t="shared" si="29"/>
        <v>0</v>
      </c>
      <c r="AA223" s="38"/>
      <c r="AB223" s="38"/>
      <c r="AC223" s="39">
        <f t="shared" si="30"/>
        <v>0</v>
      </c>
      <c r="AD223" s="38"/>
      <c r="AE223" s="38"/>
      <c r="AF223" s="39">
        <f t="shared" si="31"/>
        <v>0</v>
      </c>
    </row>
    <row r="224" spans="2:32" ht="15" customHeight="1" x14ac:dyDescent="0.3">
      <c r="B224" s="2" t="s">
        <v>836</v>
      </c>
      <c r="C224" s="4" t="s">
        <v>837</v>
      </c>
      <c r="D224" s="3" t="s">
        <v>948</v>
      </c>
      <c r="E224" s="6" t="s">
        <v>955</v>
      </c>
      <c r="F224" s="6" t="s">
        <v>958</v>
      </c>
      <c r="G224" s="6" t="s">
        <v>711</v>
      </c>
      <c r="H224" s="25">
        <v>70</v>
      </c>
      <c r="I224" s="38">
        <v>0</v>
      </c>
      <c r="J224" s="38">
        <v>0</v>
      </c>
      <c r="K224" s="39">
        <f t="shared" si="24"/>
        <v>0</v>
      </c>
      <c r="L224" s="38">
        <v>0</v>
      </c>
      <c r="M224" s="38">
        <v>0</v>
      </c>
      <c r="N224" s="39">
        <f t="shared" si="25"/>
        <v>0</v>
      </c>
      <c r="O224" s="38">
        <v>8000</v>
      </c>
      <c r="P224" s="38">
        <v>1</v>
      </c>
      <c r="Q224" s="39">
        <f t="shared" si="26"/>
        <v>560000</v>
      </c>
      <c r="R224" s="38">
        <v>0</v>
      </c>
      <c r="S224" s="38">
        <v>0</v>
      </c>
      <c r="T224" s="39">
        <f t="shared" si="27"/>
        <v>0</v>
      </c>
      <c r="U224" s="38">
        <v>0</v>
      </c>
      <c r="V224" s="38">
        <v>0</v>
      </c>
      <c r="W224" s="39">
        <f t="shared" si="28"/>
        <v>0</v>
      </c>
      <c r="X224" s="38"/>
      <c r="Y224" s="38"/>
      <c r="Z224" s="39">
        <f t="shared" si="29"/>
        <v>0</v>
      </c>
      <c r="AA224" s="38"/>
      <c r="AB224" s="38"/>
      <c r="AC224" s="39">
        <f t="shared" si="30"/>
        <v>0</v>
      </c>
      <c r="AD224" s="38"/>
      <c r="AE224" s="38"/>
      <c r="AF224" s="39">
        <f t="shared" si="31"/>
        <v>0</v>
      </c>
    </row>
    <row r="225" spans="2:32" ht="15" customHeight="1" x14ac:dyDescent="0.3">
      <c r="B225" s="2" t="s">
        <v>836</v>
      </c>
      <c r="C225" s="4" t="s">
        <v>837</v>
      </c>
      <c r="D225" s="3" t="s">
        <v>948</v>
      </c>
      <c r="E225" s="6" t="s">
        <v>955</v>
      </c>
      <c r="F225" s="6" t="s">
        <v>958</v>
      </c>
      <c r="G225" s="6" t="s">
        <v>710</v>
      </c>
      <c r="H225" s="25">
        <v>104850</v>
      </c>
      <c r="I225" s="38">
        <v>0</v>
      </c>
      <c r="J225" s="38">
        <v>0</v>
      </c>
      <c r="K225" s="39">
        <f t="shared" si="24"/>
        <v>0</v>
      </c>
      <c r="L225" s="38">
        <v>0</v>
      </c>
      <c r="M225" s="38">
        <v>0</v>
      </c>
      <c r="N225" s="39">
        <f t="shared" si="25"/>
        <v>0</v>
      </c>
      <c r="O225" s="38">
        <v>50000</v>
      </c>
      <c r="P225" s="38">
        <v>1</v>
      </c>
      <c r="Q225" s="39">
        <f t="shared" si="26"/>
        <v>5242500000</v>
      </c>
      <c r="R225" s="38">
        <v>0</v>
      </c>
      <c r="S225" s="38">
        <v>0</v>
      </c>
      <c r="T225" s="39">
        <f t="shared" si="27"/>
        <v>0</v>
      </c>
      <c r="U225" s="38">
        <v>0</v>
      </c>
      <c r="V225" s="38">
        <v>0</v>
      </c>
      <c r="W225" s="39">
        <f t="shared" si="28"/>
        <v>0</v>
      </c>
      <c r="X225" s="38"/>
      <c r="Y225" s="38"/>
      <c r="Z225" s="39">
        <f t="shared" si="29"/>
        <v>0</v>
      </c>
      <c r="AA225" s="38"/>
      <c r="AB225" s="38"/>
      <c r="AC225" s="39">
        <f t="shared" si="30"/>
        <v>0</v>
      </c>
      <c r="AD225" s="38"/>
      <c r="AE225" s="38"/>
      <c r="AF225" s="39">
        <f t="shared" si="31"/>
        <v>0</v>
      </c>
    </row>
    <row r="226" spans="2:32" ht="15" customHeight="1" x14ac:dyDescent="0.3">
      <c r="B226" s="2" t="s">
        <v>836</v>
      </c>
      <c r="C226" s="4" t="s">
        <v>837</v>
      </c>
      <c r="D226" s="3" t="s">
        <v>948</v>
      </c>
      <c r="E226" s="6" t="s">
        <v>959</v>
      </c>
      <c r="F226" s="6" t="s">
        <v>960</v>
      </c>
      <c r="G226" s="6" t="s">
        <v>841</v>
      </c>
      <c r="H226" s="25">
        <v>0</v>
      </c>
      <c r="I226" s="38">
        <v>0</v>
      </c>
      <c r="J226" s="38">
        <v>0</v>
      </c>
      <c r="K226" s="39">
        <f t="shared" si="24"/>
        <v>0</v>
      </c>
      <c r="L226" s="38">
        <v>0</v>
      </c>
      <c r="M226" s="38">
        <v>0</v>
      </c>
      <c r="N226" s="39">
        <f t="shared" si="25"/>
        <v>0</v>
      </c>
      <c r="O226" s="38">
        <v>5</v>
      </c>
      <c r="P226" s="38">
        <v>1</v>
      </c>
      <c r="Q226" s="39">
        <f t="shared" si="26"/>
        <v>0</v>
      </c>
      <c r="R226" s="38">
        <v>0</v>
      </c>
      <c r="S226" s="38">
        <v>0</v>
      </c>
      <c r="T226" s="39">
        <f t="shared" si="27"/>
        <v>0</v>
      </c>
      <c r="U226" s="38">
        <v>0</v>
      </c>
      <c r="V226" s="38">
        <v>0</v>
      </c>
      <c r="W226" s="39">
        <f t="shared" si="28"/>
        <v>0</v>
      </c>
      <c r="X226" s="38"/>
      <c r="Y226" s="38"/>
      <c r="Z226" s="39">
        <f t="shared" si="29"/>
        <v>0</v>
      </c>
      <c r="AA226" s="38"/>
      <c r="AB226" s="38"/>
      <c r="AC226" s="39">
        <f t="shared" si="30"/>
        <v>0</v>
      </c>
      <c r="AD226" s="38"/>
      <c r="AE226" s="38"/>
      <c r="AF226" s="39">
        <f t="shared" si="31"/>
        <v>0</v>
      </c>
    </row>
    <row r="227" spans="2:32" ht="15" customHeight="1" x14ac:dyDescent="0.3">
      <c r="B227" s="2" t="s">
        <v>836</v>
      </c>
      <c r="C227" s="4" t="s">
        <v>837</v>
      </c>
      <c r="D227" s="3" t="s">
        <v>948</v>
      </c>
      <c r="E227" s="6" t="s">
        <v>959</v>
      </c>
      <c r="F227" s="6" t="s">
        <v>165</v>
      </c>
      <c r="G227" s="6" t="s">
        <v>708</v>
      </c>
      <c r="H227" s="25">
        <v>425000</v>
      </c>
      <c r="I227" s="38">
        <v>0</v>
      </c>
      <c r="J227" s="38">
        <v>0</v>
      </c>
      <c r="K227" s="39">
        <f t="shared" si="24"/>
        <v>0</v>
      </c>
      <c r="L227" s="38">
        <v>0</v>
      </c>
      <c r="M227" s="38">
        <v>0</v>
      </c>
      <c r="N227" s="39">
        <f t="shared" si="25"/>
        <v>0</v>
      </c>
      <c r="O227" s="38">
        <v>5</v>
      </c>
      <c r="P227" s="38">
        <v>3</v>
      </c>
      <c r="Q227" s="39">
        <f t="shared" si="26"/>
        <v>6375000</v>
      </c>
      <c r="R227" s="38">
        <v>0</v>
      </c>
      <c r="S227" s="38">
        <v>0</v>
      </c>
      <c r="T227" s="39">
        <f t="shared" si="27"/>
        <v>0</v>
      </c>
      <c r="U227" s="38">
        <v>0</v>
      </c>
      <c r="V227" s="38">
        <v>0</v>
      </c>
      <c r="W227" s="39">
        <f t="shared" si="28"/>
        <v>0</v>
      </c>
      <c r="X227" s="38"/>
      <c r="Y227" s="38"/>
      <c r="Z227" s="39">
        <f t="shared" si="29"/>
        <v>0</v>
      </c>
      <c r="AA227" s="38"/>
      <c r="AB227" s="38"/>
      <c r="AC227" s="39">
        <f t="shared" si="30"/>
        <v>0</v>
      </c>
      <c r="AD227" s="38"/>
      <c r="AE227" s="38"/>
      <c r="AF227" s="39">
        <f t="shared" si="31"/>
        <v>0</v>
      </c>
    </row>
    <row r="228" spans="2:32" ht="15" customHeight="1" x14ac:dyDescent="0.3">
      <c r="B228" s="2" t="s">
        <v>836</v>
      </c>
      <c r="C228" s="4" t="s">
        <v>837</v>
      </c>
      <c r="D228" s="3" t="s">
        <v>948</v>
      </c>
      <c r="E228" s="6" t="s">
        <v>959</v>
      </c>
      <c r="F228" s="6" t="s">
        <v>165</v>
      </c>
      <c r="G228" s="6" t="s">
        <v>707</v>
      </c>
      <c r="H228" s="25">
        <v>391991.03749999998</v>
      </c>
      <c r="I228" s="38">
        <v>0</v>
      </c>
      <c r="J228" s="38">
        <v>0</v>
      </c>
      <c r="K228" s="39">
        <f t="shared" si="24"/>
        <v>0</v>
      </c>
      <c r="L228" s="38">
        <v>0</v>
      </c>
      <c r="M228" s="38">
        <v>0</v>
      </c>
      <c r="N228" s="39">
        <f t="shared" si="25"/>
        <v>0</v>
      </c>
      <c r="O228" s="38">
        <v>1</v>
      </c>
      <c r="P228" s="38">
        <v>75</v>
      </c>
      <c r="Q228" s="39">
        <f t="shared" si="26"/>
        <v>29399327.8125</v>
      </c>
      <c r="R228" s="38">
        <v>0</v>
      </c>
      <c r="S228" s="38">
        <v>0</v>
      </c>
      <c r="T228" s="39">
        <f t="shared" si="27"/>
        <v>0</v>
      </c>
      <c r="U228" s="38">
        <v>0</v>
      </c>
      <c r="V228" s="38">
        <v>0</v>
      </c>
      <c r="W228" s="39">
        <f t="shared" si="28"/>
        <v>0</v>
      </c>
      <c r="X228" s="38"/>
      <c r="Y228" s="38"/>
      <c r="Z228" s="39">
        <f t="shared" si="29"/>
        <v>0</v>
      </c>
      <c r="AA228" s="38"/>
      <c r="AB228" s="38"/>
      <c r="AC228" s="39">
        <f t="shared" si="30"/>
        <v>0</v>
      </c>
      <c r="AD228" s="38"/>
      <c r="AE228" s="38"/>
      <c r="AF228" s="39">
        <f t="shared" si="31"/>
        <v>0</v>
      </c>
    </row>
    <row r="229" spans="2:32" ht="15" customHeight="1" x14ac:dyDescent="0.3">
      <c r="B229" s="2" t="s">
        <v>836</v>
      </c>
      <c r="C229" s="4" t="s">
        <v>837</v>
      </c>
      <c r="D229" s="3" t="s">
        <v>948</v>
      </c>
      <c r="E229" s="6" t="s">
        <v>959</v>
      </c>
      <c r="F229" s="6" t="s">
        <v>961</v>
      </c>
      <c r="G229" s="6" t="s">
        <v>716</v>
      </c>
      <c r="H229" s="25">
        <v>39000</v>
      </c>
      <c r="I229" s="38">
        <v>0</v>
      </c>
      <c r="J229" s="38">
        <v>0</v>
      </c>
      <c r="K229" s="39">
        <f t="shared" si="24"/>
        <v>0</v>
      </c>
      <c r="L229" s="38">
        <v>0</v>
      </c>
      <c r="M229" s="38">
        <v>0</v>
      </c>
      <c r="N229" s="39">
        <f t="shared" si="25"/>
        <v>0</v>
      </c>
      <c r="O229" s="38">
        <v>1</v>
      </c>
      <c r="P229" s="38">
        <v>4</v>
      </c>
      <c r="Q229" s="39">
        <f t="shared" si="26"/>
        <v>156000</v>
      </c>
      <c r="R229" s="38">
        <v>0</v>
      </c>
      <c r="S229" s="38">
        <v>0</v>
      </c>
      <c r="T229" s="39">
        <f t="shared" si="27"/>
        <v>0</v>
      </c>
      <c r="U229" s="38">
        <v>0</v>
      </c>
      <c r="V229" s="38">
        <v>0</v>
      </c>
      <c r="W229" s="39">
        <f t="shared" si="28"/>
        <v>0</v>
      </c>
      <c r="X229" s="38"/>
      <c r="Y229" s="38"/>
      <c r="Z229" s="39">
        <f t="shared" si="29"/>
        <v>0</v>
      </c>
      <c r="AA229" s="38"/>
      <c r="AB229" s="38"/>
      <c r="AC229" s="39">
        <f t="shared" si="30"/>
        <v>0</v>
      </c>
      <c r="AD229" s="38"/>
      <c r="AE229" s="38"/>
      <c r="AF229" s="39">
        <f t="shared" si="31"/>
        <v>0</v>
      </c>
    </row>
    <row r="230" spans="2:32" ht="15" customHeight="1" x14ac:dyDescent="0.3">
      <c r="B230" s="2" t="s">
        <v>836</v>
      </c>
      <c r="C230" s="4" t="s">
        <v>837</v>
      </c>
      <c r="D230" s="3" t="s">
        <v>948</v>
      </c>
      <c r="E230" s="6" t="s">
        <v>959</v>
      </c>
      <c r="F230" s="6" t="s">
        <v>961</v>
      </c>
      <c r="G230" s="6" t="s">
        <v>709</v>
      </c>
      <c r="H230" s="25">
        <v>28000</v>
      </c>
      <c r="I230" s="38">
        <v>0</v>
      </c>
      <c r="J230" s="38">
        <v>0</v>
      </c>
      <c r="K230" s="39">
        <f t="shared" si="24"/>
        <v>0</v>
      </c>
      <c r="L230" s="38">
        <v>0</v>
      </c>
      <c r="M230" s="38">
        <v>0</v>
      </c>
      <c r="N230" s="39">
        <f t="shared" si="25"/>
        <v>0</v>
      </c>
      <c r="O230" s="38">
        <v>40</v>
      </c>
      <c r="P230" s="38">
        <v>6</v>
      </c>
      <c r="Q230" s="39">
        <f t="shared" si="26"/>
        <v>6720000</v>
      </c>
      <c r="R230" s="38">
        <v>0</v>
      </c>
      <c r="S230" s="38">
        <v>0</v>
      </c>
      <c r="T230" s="39">
        <f t="shared" si="27"/>
        <v>0</v>
      </c>
      <c r="U230" s="38">
        <v>0</v>
      </c>
      <c r="V230" s="38">
        <v>0</v>
      </c>
      <c r="W230" s="39">
        <f t="shared" si="28"/>
        <v>0</v>
      </c>
      <c r="X230" s="38"/>
      <c r="Y230" s="38"/>
      <c r="Z230" s="39">
        <f t="shared" si="29"/>
        <v>0</v>
      </c>
      <c r="AA230" s="38"/>
      <c r="AB230" s="38"/>
      <c r="AC230" s="39">
        <f t="shared" si="30"/>
        <v>0</v>
      </c>
      <c r="AD230" s="38"/>
      <c r="AE230" s="38"/>
      <c r="AF230" s="39">
        <f t="shared" si="31"/>
        <v>0</v>
      </c>
    </row>
    <row r="231" spans="2:32" ht="15" customHeight="1" x14ac:dyDescent="0.3">
      <c r="B231" s="2" t="s">
        <v>836</v>
      </c>
      <c r="C231" s="4" t="s">
        <v>837</v>
      </c>
      <c r="D231" s="3" t="s">
        <v>948</v>
      </c>
      <c r="E231" s="6" t="s">
        <v>959</v>
      </c>
      <c r="F231" s="6" t="s">
        <v>961</v>
      </c>
      <c r="G231" s="6" t="s">
        <v>712</v>
      </c>
      <c r="H231" s="25">
        <v>214.29</v>
      </c>
      <c r="I231" s="38">
        <v>0</v>
      </c>
      <c r="J231" s="38">
        <v>0</v>
      </c>
      <c r="K231" s="39">
        <f t="shared" si="24"/>
        <v>0</v>
      </c>
      <c r="L231" s="38">
        <v>0</v>
      </c>
      <c r="M231" s="38">
        <v>0</v>
      </c>
      <c r="N231" s="39">
        <f t="shared" si="25"/>
        <v>0</v>
      </c>
      <c r="O231" s="38">
        <v>40</v>
      </c>
      <c r="P231" s="38">
        <v>5</v>
      </c>
      <c r="Q231" s="39">
        <f t="shared" si="26"/>
        <v>42858</v>
      </c>
      <c r="R231" s="38">
        <v>0</v>
      </c>
      <c r="S231" s="38">
        <v>0</v>
      </c>
      <c r="T231" s="39">
        <f t="shared" si="27"/>
        <v>0</v>
      </c>
      <c r="U231" s="38">
        <v>0</v>
      </c>
      <c r="V231" s="38">
        <v>0</v>
      </c>
      <c r="W231" s="39">
        <f t="shared" si="28"/>
        <v>0</v>
      </c>
      <c r="X231" s="38"/>
      <c r="Y231" s="38"/>
      <c r="Z231" s="39">
        <f t="shared" si="29"/>
        <v>0</v>
      </c>
      <c r="AA231" s="38"/>
      <c r="AB231" s="38"/>
      <c r="AC231" s="39">
        <f t="shared" si="30"/>
        <v>0</v>
      </c>
      <c r="AD231" s="38"/>
      <c r="AE231" s="38"/>
      <c r="AF231" s="39">
        <f t="shared" si="31"/>
        <v>0</v>
      </c>
    </row>
    <row r="232" spans="2:32" ht="15" customHeight="1" x14ac:dyDescent="0.3">
      <c r="B232" s="2" t="s">
        <v>836</v>
      </c>
      <c r="C232" s="4" t="s">
        <v>837</v>
      </c>
      <c r="D232" s="3" t="s">
        <v>948</v>
      </c>
      <c r="E232" s="6" t="s">
        <v>959</v>
      </c>
      <c r="F232" s="6" t="s">
        <v>962</v>
      </c>
      <c r="G232" s="6" t="s">
        <v>841</v>
      </c>
      <c r="H232" s="25">
        <v>0</v>
      </c>
      <c r="I232" s="38">
        <v>0</v>
      </c>
      <c r="J232" s="38">
        <v>0</v>
      </c>
      <c r="K232" s="39">
        <f t="shared" si="24"/>
        <v>0</v>
      </c>
      <c r="L232" s="38">
        <v>0</v>
      </c>
      <c r="M232" s="38">
        <v>0</v>
      </c>
      <c r="N232" s="39">
        <f t="shared" si="25"/>
        <v>0</v>
      </c>
      <c r="O232" s="38">
        <v>8000</v>
      </c>
      <c r="P232" s="38">
        <v>5</v>
      </c>
      <c r="Q232" s="39">
        <f t="shared" si="26"/>
        <v>0</v>
      </c>
      <c r="R232" s="38">
        <v>0</v>
      </c>
      <c r="S232" s="38">
        <v>0</v>
      </c>
      <c r="T232" s="39">
        <f t="shared" si="27"/>
        <v>0</v>
      </c>
      <c r="U232" s="38">
        <v>0</v>
      </c>
      <c r="V232" s="38">
        <v>0</v>
      </c>
      <c r="W232" s="39">
        <f t="shared" si="28"/>
        <v>0</v>
      </c>
      <c r="X232" s="38"/>
      <c r="Y232" s="38"/>
      <c r="Z232" s="39">
        <f t="shared" si="29"/>
        <v>0</v>
      </c>
      <c r="AA232" s="38"/>
      <c r="AB232" s="38"/>
      <c r="AC232" s="39">
        <f t="shared" si="30"/>
        <v>0</v>
      </c>
      <c r="AD232" s="38"/>
      <c r="AE232" s="38"/>
      <c r="AF232" s="39">
        <f t="shared" si="31"/>
        <v>0</v>
      </c>
    </row>
    <row r="233" spans="2:32" ht="15" customHeight="1" x14ac:dyDescent="0.3">
      <c r="B233" s="2" t="s">
        <v>836</v>
      </c>
      <c r="C233" s="4" t="s">
        <v>837</v>
      </c>
      <c r="D233" s="3" t="s">
        <v>948</v>
      </c>
      <c r="E233" s="6" t="s">
        <v>959</v>
      </c>
      <c r="F233" s="6" t="s">
        <v>963</v>
      </c>
      <c r="G233" s="6" t="s">
        <v>841</v>
      </c>
      <c r="H233" s="25">
        <v>0</v>
      </c>
      <c r="I233" s="38">
        <v>0</v>
      </c>
      <c r="J233" s="38">
        <v>0</v>
      </c>
      <c r="K233" s="39">
        <f t="shared" si="24"/>
        <v>0</v>
      </c>
      <c r="L233" s="38">
        <v>0</v>
      </c>
      <c r="M233" s="38">
        <v>0</v>
      </c>
      <c r="N233" s="39">
        <f t="shared" si="25"/>
        <v>0</v>
      </c>
      <c r="O233" s="38">
        <v>0</v>
      </c>
      <c r="P233" s="38">
        <v>0</v>
      </c>
      <c r="Q233" s="39">
        <f t="shared" si="26"/>
        <v>0</v>
      </c>
      <c r="R233" s="38">
        <v>0</v>
      </c>
      <c r="S233" s="38">
        <v>0</v>
      </c>
      <c r="T233" s="39">
        <f t="shared" si="27"/>
        <v>0</v>
      </c>
      <c r="U233" s="38">
        <v>0</v>
      </c>
      <c r="V233" s="38">
        <v>0</v>
      </c>
      <c r="W233" s="39">
        <f t="shared" si="28"/>
        <v>0</v>
      </c>
      <c r="X233" s="38"/>
      <c r="Y233" s="38"/>
      <c r="Z233" s="39">
        <f t="shared" si="29"/>
        <v>0</v>
      </c>
      <c r="AA233" s="38"/>
      <c r="AB233" s="38"/>
      <c r="AC233" s="39">
        <f t="shared" si="30"/>
        <v>0</v>
      </c>
      <c r="AD233" s="38"/>
      <c r="AE233" s="38"/>
      <c r="AF233" s="39">
        <f t="shared" si="31"/>
        <v>0</v>
      </c>
    </row>
    <row r="234" spans="2:32" ht="15" customHeight="1" x14ac:dyDescent="0.3">
      <c r="B234" s="2" t="s">
        <v>836</v>
      </c>
      <c r="C234" s="4" t="s">
        <v>837</v>
      </c>
      <c r="D234" s="3" t="s">
        <v>964</v>
      </c>
      <c r="E234" s="6" t="s">
        <v>965</v>
      </c>
      <c r="F234" s="6" t="s">
        <v>966</v>
      </c>
      <c r="G234" s="6" t="s">
        <v>841</v>
      </c>
      <c r="H234" s="25">
        <v>0</v>
      </c>
      <c r="I234" s="38">
        <v>0</v>
      </c>
      <c r="J234" s="38">
        <v>0</v>
      </c>
      <c r="K234" s="39">
        <f t="shared" si="24"/>
        <v>0</v>
      </c>
      <c r="L234" s="38">
        <v>0</v>
      </c>
      <c r="M234" s="38">
        <v>0</v>
      </c>
      <c r="N234" s="39">
        <f t="shared" si="25"/>
        <v>0</v>
      </c>
      <c r="O234" s="38">
        <v>0</v>
      </c>
      <c r="P234" s="38">
        <v>0</v>
      </c>
      <c r="Q234" s="39">
        <f t="shared" si="26"/>
        <v>0</v>
      </c>
      <c r="R234" s="38">
        <v>0</v>
      </c>
      <c r="S234" s="38">
        <v>0</v>
      </c>
      <c r="T234" s="39">
        <f t="shared" si="27"/>
        <v>0</v>
      </c>
      <c r="U234" s="38">
        <v>0</v>
      </c>
      <c r="V234" s="38">
        <v>0</v>
      </c>
      <c r="W234" s="39">
        <f t="shared" si="28"/>
        <v>0</v>
      </c>
      <c r="X234" s="38"/>
      <c r="Y234" s="38"/>
      <c r="Z234" s="39">
        <f t="shared" si="29"/>
        <v>0</v>
      </c>
      <c r="AA234" s="38"/>
      <c r="AB234" s="38"/>
      <c r="AC234" s="39">
        <f t="shared" si="30"/>
        <v>0</v>
      </c>
      <c r="AD234" s="38"/>
      <c r="AE234" s="38"/>
      <c r="AF234" s="39">
        <f t="shared" si="31"/>
        <v>0</v>
      </c>
    </row>
    <row r="235" spans="2:32" ht="15" customHeight="1" x14ac:dyDescent="0.3">
      <c r="B235" s="2" t="s">
        <v>836</v>
      </c>
      <c r="C235" s="4" t="s">
        <v>837</v>
      </c>
      <c r="D235" s="3" t="s">
        <v>964</v>
      </c>
      <c r="E235" s="6" t="s">
        <v>965</v>
      </c>
      <c r="F235" s="6" t="s">
        <v>967</v>
      </c>
      <c r="G235" s="6" t="s">
        <v>841</v>
      </c>
      <c r="H235" s="25">
        <v>0</v>
      </c>
      <c r="I235" s="38">
        <v>0</v>
      </c>
      <c r="J235" s="38">
        <v>0</v>
      </c>
      <c r="K235" s="39">
        <f t="shared" si="24"/>
        <v>0</v>
      </c>
      <c r="L235" s="38">
        <v>0</v>
      </c>
      <c r="M235" s="38">
        <v>0</v>
      </c>
      <c r="N235" s="39">
        <f t="shared" si="25"/>
        <v>0</v>
      </c>
      <c r="O235" s="38">
        <v>0</v>
      </c>
      <c r="P235" s="38">
        <v>0</v>
      </c>
      <c r="Q235" s="39">
        <f t="shared" si="26"/>
        <v>0</v>
      </c>
      <c r="R235" s="38">
        <v>0</v>
      </c>
      <c r="S235" s="38">
        <v>0</v>
      </c>
      <c r="T235" s="39">
        <f t="shared" si="27"/>
        <v>0</v>
      </c>
      <c r="U235" s="38">
        <v>0</v>
      </c>
      <c r="V235" s="38">
        <v>0</v>
      </c>
      <c r="W235" s="39">
        <f t="shared" si="28"/>
        <v>0</v>
      </c>
      <c r="X235" s="38"/>
      <c r="Y235" s="38"/>
      <c r="Z235" s="39">
        <f t="shared" si="29"/>
        <v>0</v>
      </c>
      <c r="AA235" s="38"/>
      <c r="AB235" s="38"/>
      <c r="AC235" s="39">
        <f t="shared" si="30"/>
        <v>0</v>
      </c>
      <c r="AD235" s="38"/>
      <c r="AE235" s="38"/>
      <c r="AF235" s="39">
        <f t="shared" si="31"/>
        <v>0</v>
      </c>
    </row>
    <row r="236" spans="2:32" ht="15" customHeight="1" x14ac:dyDescent="0.3">
      <c r="B236" s="2" t="s">
        <v>836</v>
      </c>
      <c r="C236" s="4" t="s">
        <v>837</v>
      </c>
      <c r="D236" s="3" t="s">
        <v>964</v>
      </c>
      <c r="E236" s="6" t="s">
        <v>965</v>
      </c>
      <c r="F236" s="6" t="s">
        <v>968</v>
      </c>
      <c r="G236" s="6" t="s">
        <v>841</v>
      </c>
      <c r="H236" s="25">
        <v>0</v>
      </c>
      <c r="I236" s="38">
        <v>0</v>
      </c>
      <c r="J236" s="38">
        <v>0</v>
      </c>
      <c r="K236" s="39">
        <f t="shared" si="24"/>
        <v>0</v>
      </c>
      <c r="L236" s="38">
        <v>0</v>
      </c>
      <c r="M236" s="38">
        <v>0</v>
      </c>
      <c r="N236" s="39">
        <f t="shared" si="25"/>
        <v>0</v>
      </c>
      <c r="O236" s="38">
        <v>0</v>
      </c>
      <c r="P236" s="38">
        <v>0</v>
      </c>
      <c r="Q236" s="39">
        <f t="shared" si="26"/>
        <v>0</v>
      </c>
      <c r="R236" s="38">
        <v>0</v>
      </c>
      <c r="S236" s="38">
        <v>0</v>
      </c>
      <c r="T236" s="39">
        <f t="shared" si="27"/>
        <v>0</v>
      </c>
      <c r="U236" s="38">
        <v>0</v>
      </c>
      <c r="V236" s="38">
        <v>0</v>
      </c>
      <c r="W236" s="39">
        <f t="shared" si="28"/>
        <v>0</v>
      </c>
      <c r="X236" s="38"/>
      <c r="Y236" s="38"/>
      <c r="Z236" s="39">
        <f t="shared" si="29"/>
        <v>0</v>
      </c>
      <c r="AA236" s="38"/>
      <c r="AB236" s="38"/>
      <c r="AC236" s="39">
        <f t="shared" si="30"/>
        <v>0</v>
      </c>
      <c r="AD236" s="38"/>
      <c r="AE236" s="38"/>
      <c r="AF236" s="39">
        <f t="shared" si="31"/>
        <v>0</v>
      </c>
    </row>
    <row r="237" spans="2:32" ht="15" customHeight="1" x14ac:dyDescent="0.3">
      <c r="B237" s="2" t="s">
        <v>836</v>
      </c>
      <c r="C237" s="4" t="s">
        <v>837</v>
      </c>
      <c r="D237" s="3" t="s">
        <v>964</v>
      </c>
      <c r="E237" s="6" t="s">
        <v>965</v>
      </c>
      <c r="F237" s="6" t="s">
        <v>969</v>
      </c>
      <c r="G237" s="6" t="s">
        <v>708</v>
      </c>
      <c r="H237" s="25">
        <v>425000</v>
      </c>
      <c r="I237" s="38">
        <v>0</v>
      </c>
      <c r="J237" s="38">
        <v>0</v>
      </c>
      <c r="K237" s="39">
        <f t="shared" si="24"/>
        <v>0</v>
      </c>
      <c r="L237" s="38">
        <v>0</v>
      </c>
      <c r="M237" s="38">
        <v>0</v>
      </c>
      <c r="N237" s="39">
        <f t="shared" si="25"/>
        <v>0</v>
      </c>
      <c r="O237" s="38">
        <v>0</v>
      </c>
      <c r="P237" s="38">
        <v>0</v>
      </c>
      <c r="Q237" s="39">
        <f t="shared" si="26"/>
        <v>0</v>
      </c>
      <c r="R237" s="38">
        <v>0</v>
      </c>
      <c r="S237" s="38">
        <v>0</v>
      </c>
      <c r="T237" s="39">
        <f t="shared" si="27"/>
        <v>0</v>
      </c>
      <c r="U237" s="38">
        <v>0</v>
      </c>
      <c r="V237" s="38">
        <v>0</v>
      </c>
      <c r="W237" s="39">
        <f t="shared" si="28"/>
        <v>0</v>
      </c>
      <c r="X237" s="38"/>
      <c r="Y237" s="38"/>
      <c r="Z237" s="39">
        <f t="shared" si="29"/>
        <v>0</v>
      </c>
      <c r="AA237" s="38"/>
      <c r="AB237" s="38"/>
      <c r="AC237" s="39">
        <f t="shared" si="30"/>
        <v>0</v>
      </c>
      <c r="AD237" s="38"/>
      <c r="AE237" s="38"/>
      <c r="AF237" s="39">
        <f t="shared" si="31"/>
        <v>0</v>
      </c>
    </row>
    <row r="238" spans="2:32" ht="15" customHeight="1" x14ac:dyDescent="0.3">
      <c r="B238" s="2" t="s">
        <v>836</v>
      </c>
      <c r="C238" s="4" t="s">
        <v>837</v>
      </c>
      <c r="D238" s="3" t="s">
        <v>964</v>
      </c>
      <c r="E238" s="6" t="s">
        <v>965</v>
      </c>
      <c r="F238" s="6" t="s">
        <v>969</v>
      </c>
      <c r="G238" s="6" t="s">
        <v>707</v>
      </c>
      <c r="H238" s="25">
        <v>391991.03749999998</v>
      </c>
      <c r="I238" s="38">
        <v>0</v>
      </c>
      <c r="J238" s="38">
        <v>0</v>
      </c>
      <c r="K238" s="39">
        <f t="shared" si="24"/>
        <v>0</v>
      </c>
      <c r="L238" s="38">
        <v>1</v>
      </c>
      <c r="M238" s="38">
        <v>30</v>
      </c>
      <c r="N238" s="39">
        <f t="shared" si="25"/>
        <v>11759731.125</v>
      </c>
      <c r="O238" s="38">
        <v>0</v>
      </c>
      <c r="P238" s="38">
        <v>0</v>
      </c>
      <c r="Q238" s="39">
        <f t="shared" si="26"/>
        <v>0</v>
      </c>
      <c r="R238" s="38">
        <v>0</v>
      </c>
      <c r="S238" s="38">
        <v>0</v>
      </c>
      <c r="T238" s="39">
        <f t="shared" si="27"/>
        <v>0</v>
      </c>
      <c r="U238" s="38">
        <v>0</v>
      </c>
      <c r="V238" s="38">
        <v>0</v>
      </c>
      <c r="W238" s="39">
        <f t="shared" si="28"/>
        <v>0</v>
      </c>
      <c r="X238" s="38"/>
      <c r="Y238" s="38"/>
      <c r="Z238" s="39">
        <f t="shared" si="29"/>
        <v>0</v>
      </c>
      <c r="AA238" s="38"/>
      <c r="AB238" s="38"/>
      <c r="AC238" s="39">
        <f t="shared" si="30"/>
        <v>0</v>
      </c>
      <c r="AD238" s="38"/>
      <c r="AE238" s="38"/>
      <c r="AF238" s="39">
        <f t="shared" si="31"/>
        <v>0</v>
      </c>
    </row>
    <row r="239" spans="2:32" ht="15" customHeight="1" x14ac:dyDescent="0.3">
      <c r="B239" s="2" t="s">
        <v>836</v>
      </c>
      <c r="C239" s="4" t="s">
        <v>837</v>
      </c>
      <c r="D239" s="3" t="s">
        <v>964</v>
      </c>
      <c r="E239" s="6" t="s">
        <v>965</v>
      </c>
      <c r="F239" s="6" t="s">
        <v>970</v>
      </c>
      <c r="G239" s="6" t="s">
        <v>841</v>
      </c>
      <c r="H239" s="25">
        <v>0</v>
      </c>
      <c r="I239" s="38">
        <v>0</v>
      </c>
      <c r="J239" s="38">
        <v>0</v>
      </c>
      <c r="K239" s="39">
        <f t="shared" si="24"/>
        <v>0</v>
      </c>
      <c r="L239" s="38">
        <v>1</v>
      </c>
      <c r="M239" s="38">
        <v>4</v>
      </c>
      <c r="N239" s="39">
        <f t="shared" si="25"/>
        <v>0</v>
      </c>
      <c r="O239" s="38">
        <v>0</v>
      </c>
      <c r="P239" s="38">
        <v>0</v>
      </c>
      <c r="Q239" s="39">
        <f t="shared" si="26"/>
        <v>0</v>
      </c>
      <c r="R239" s="38">
        <v>0</v>
      </c>
      <c r="S239" s="38">
        <v>0</v>
      </c>
      <c r="T239" s="39">
        <f t="shared" si="27"/>
        <v>0</v>
      </c>
      <c r="U239" s="38">
        <v>0</v>
      </c>
      <c r="V239" s="38">
        <v>0</v>
      </c>
      <c r="W239" s="39">
        <f t="shared" si="28"/>
        <v>0</v>
      </c>
      <c r="X239" s="38"/>
      <c r="Y239" s="38"/>
      <c r="Z239" s="39">
        <f t="shared" si="29"/>
        <v>0</v>
      </c>
      <c r="AA239" s="38"/>
      <c r="AB239" s="38"/>
      <c r="AC239" s="39">
        <f t="shared" si="30"/>
        <v>0</v>
      </c>
      <c r="AD239" s="38"/>
      <c r="AE239" s="38"/>
      <c r="AF239" s="39">
        <f t="shared" si="31"/>
        <v>0</v>
      </c>
    </row>
    <row r="240" spans="2:32" ht="15" customHeight="1" x14ac:dyDescent="0.3">
      <c r="B240" s="2" t="s">
        <v>836</v>
      </c>
      <c r="C240" s="4" t="s">
        <v>837</v>
      </c>
      <c r="D240" s="3" t="s">
        <v>964</v>
      </c>
      <c r="E240" s="6" t="s">
        <v>965</v>
      </c>
      <c r="F240" s="6" t="s">
        <v>895</v>
      </c>
      <c r="G240" s="6" t="s">
        <v>841</v>
      </c>
      <c r="H240" s="25">
        <v>0</v>
      </c>
      <c r="I240" s="38">
        <v>0</v>
      </c>
      <c r="J240" s="38">
        <v>0</v>
      </c>
      <c r="K240" s="39">
        <f t="shared" si="24"/>
        <v>0</v>
      </c>
      <c r="L240" s="38">
        <v>10</v>
      </c>
      <c r="M240" s="38">
        <v>3</v>
      </c>
      <c r="N240" s="39">
        <f t="shared" si="25"/>
        <v>0</v>
      </c>
      <c r="O240" s="38">
        <v>0</v>
      </c>
      <c r="P240" s="38">
        <v>0</v>
      </c>
      <c r="Q240" s="39">
        <f t="shared" si="26"/>
        <v>0</v>
      </c>
      <c r="R240" s="38">
        <v>0</v>
      </c>
      <c r="S240" s="38">
        <v>0</v>
      </c>
      <c r="T240" s="39">
        <f t="shared" si="27"/>
        <v>0</v>
      </c>
      <c r="U240" s="38">
        <v>0</v>
      </c>
      <c r="V240" s="38">
        <v>0</v>
      </c>
      <c r="W240" s="39">
        <f t="shared" si="28"/>
        <v>0</v>
      </c>
      <c r="X240" s="38"/>
      <c r="Y240" s="38"/>
      <c r="Z240" s="39">
        <f t="shared" si="29"/>
        <v>0</v>
      </c>
      <c r="AA240" s="38"/>
      <c r="AB240" s="38"/>
      <c r="AC240" s="39">
        <f t="shared" si="30"/>
        <v>0</v>
      </c>
      <c r="AD240" s="38"/>
      <c r="AE240" s="38"/>
      <c r="AF240" s="39">
        <f t="shared" si="31"/>
        <v>0</v>
      </c>
    </row>
    <row r="241" spans="2:32" ht="15" customHeight="1" x14ac:dyDescent="0.3">
      <c r="B241" s="2" t="s">
        <v>836</v>
      </c>
      <c r="C241" s="4" t="s">
        <v>837</v>
      </c>
      <c r="D241" s="3" t="s">
        <v>964</v>
      </c>
      <c r="E241" s="6" t="s">
        <v>965</v>
      </c>
      <c r="F241" s="6" t="s">
        <v>971</v>
      </c>
      <c r="G241" s="6" t="s">
        <v>709</v>
      </c>
      <c r="H241" s="25">
        <v>28000</v>
      </c>
      <c r="I241" s="38">
        <v>0</v>
      </c>
      <c r="J241" s="38">
        <v>0</v>
      </c>
      <c r="K241" s="39">
        <f t="shared" si="24"/>
        <v>0</v>
      </c>
      <c r="L241" s="38">
        <v>3</v>
      </c>
      <c r="M241" s="38">
        <v>14</v>
      </c>
      <c r="N241" s="39">
        <f t="shared" si="25"/>
        <v>1176000</v>
      </c>
      <c r="O241" s="38">
        <v>0</v>
      </c>
      <c r="P241" s="38">
        <v>0</v>
      </c>
      <c r="Q241" s="39">
        <f t="shared" si="26"/>
        <v>0</v>
      </c>
      <c r="R241" s="38">
        <v>0</v>
      </c>
      <c r="S241" s="38">
        <v>0</v>
      </c>
      <c r="T241" s="39">
        <f t="shared" si="27"/>
        <v>0</v>
      </c>
      <c r="U241" s="38">
        <v>0</v>
      </c>
      <c r="V241" s="38">
        <v>0</v>
      </c>
      <c r="W241" s="39">
        <f t="shared" si="28"/>
        <v>0</v>
      </c>
      <c r="X241" s="38"/>
      <c r="Y241" s="38"/>
      <c r="Z241" s="39">
        <f t="shared" si="29"/>
        <v>0</v>
      </c>
      <c r="AA241" s="38"/>
      <c r="AB241" s="38"/>
      <c r="AC241" s="39">
        <f t="shared" si="30"/>
        <v>0</v>
      </c>
      <c r="AD241" s="38"/>
      <c r="AE241" s="38"/>
      <c r="AF241" s="39">
        <f t="shared" si="31"/>
        <v>0</v>
      </c>
    </row>
    <row r="242" spans="2:32" ht="15" customHeight="1" x14ac:dyDescent="0.3">
      <c r="B242" s="2" t="s">
        <v>836</v>
      </c>
      <c r="C242" s="4" t="s">
        <v>837</v>
      </c>
      <c r="D242" s="3" t="s">
        <v>964</v>
      </c>
      <c r="E242" s="6" t="s">
        <v>965</v>
      </c>
      <c r="F242" s="6" t="s">
        <v>971</v>
      </c>
      <c r="G242" s="6" t="s">
        <v>711</v>
      </c>
      <c r="H242" s="25">
        <v>70</v>
      </c>
      <c r="I242" s="38">
        <v>0</v>
      </c>
      <c r="J242" s="38">
        <v>0</v>
      </c>
      <c r="K242" s="39">
        <f t="shared" si="24"/>
        <v>0</v>
      </c>
      <c r="L242" s="38">
        <v>25</v>
      </c>
      <c r="M242" s="38">
        <v>3</v>
      </c>
      <c r="N242" s="39">
        <f t="shared" si="25"/>
        <v>5250</v>
      </c>
      <c r="O242" s="38">
        <v>0</v>
      </c>
      <c r="P242" s="38">
        <v>0</v>
      </c>
      <c r="Q242" s="39">
        <f t="shared" si="26"/>
        <v>0</v>
      </c>
      <c r="R242" s="38">
        <v>0</v>
      </c>
      <c r="S242" s="38">
        <v>0</v>
      </c>
      <c r="T242" s="39">
        <f t="shared" si="27"/>
        <v>0</v>
      </c>
      <c r="U242" s="38">
        <v>0</v>
      </c>
      <c r="V242" s="38">
        <v>0</v>
      </c>
      <c r="W242" s="39">
        <f t="shared" si="28"/>
        <v>0</v>
      </c>
      <c r="X242" s="38"/>
      <c r="Y242" s="38"/>
      <c r="Z242" s="39">
        <f t="shared" si="29"/>
        <v>0</v>
      </c>
      <c r="AA242" s="38"/>
      <c r="AB242" s="38"/>
      <c r="AC242" s="39">
        <f t="shared" si="30"/>
        <v>0</v>
      </c>
      <c r="AD242" s="38"/>
      <c r="AE242" s="38"/>
      <c r="AF242" s="39">
        <f t="shared" si="31"/>
        <v>0</v>
      </c>
    </row>
    <row r="243" spans="2:32" ht="15" customHeight="1" x14ac:dyDescent="0.3">
      <c r="B243" s="2" t="s">
        <v>836</v>
      </c>
      <c r="C243" s="4" t="s">
        <v>837</v>
      </c>
      <c r="D243" s="3" t="s">
        <v>964</v>
      </c>
      <c r="E243" s="6" t="s">
        <v>965</v>
      </c>
      <c r="F243" s="6" t="s">
        <v>971</v>
      </c>
      <c r="G243" s="6" t="s">
        <v>710</v>
      </c>
      <c r="H243" s="25">
        <v>104850</v>
      </c>
      <c r="I243" s="38">
        <v>0</v>
      </c>
      <c r="J243" s="38">
        <v>0</v>
      </c>
      <c r="K243" s="39">
        <f t="shared" si="24"/>
        <v>0</v>
      </c>
      <c r="L243" s="38">
        <v>5000</v>
      </c>
      <c r="M243" s="38">
        <v>1</v>
      </c>
      <c r="N243" s="39">
        <f t="shared" si="25"/>
        <v>524250000</v>
      </c>
      <c r="O243" s="38">
        <v>0</v>
      </c>
      <c r="P243" s="38">
        <v>0</v>
      </c>
      <c r="Q243" s="39">
        <f t="shared" si="26"/>
        <v>0</v>
      </c>
      <c r="R243" s="38">
        <v>0</v>
      </c>
      <c r="S243" s="38">
        <v>0</v>
      </c>
      <c r="T243" s="39">
        <f t="shared" si="27"/>
        <v>0</v>
      </c>
      <c r="U243" s="38">
        <v>0</v>
      </c>
      <c r="V243" s="38">
        <v>0</v>
      </c>
      <c r="W243" s="39">
        <f t="shared" si="28"/>
        <v>0</v>
      </c>
      <c r="X243" s="38"/>
      <c r="Y243" s="38"/>
      <c r="Z243" s="39">
        <f t="shared" si="29"/>
        <v>0</v>
      </c>
      <c r="AA243" s="38"/>
      <c r="AB243" s="38"/>
      <c r="AC243" s="39">
        <f t="shared" si="30"/>
        <v>0</v>
      </c>
      <c r="AD243" s="38"/>
      <c r="AE243" s="38"/>
      <c r="AF243" s="39">
        <f t="shared" si="31"/>
        <v>0</v>
      </c>
    </row>
    <row r="244" spans="2:32" ht="15" customHeight="1" x14ac:dyDescent="0.3">
      <c r="B244" s="2" t="s">
        <v>836</v>
      </c>
      <c r="C244" s="4" t="s">
        <v>837</v>
      </c>
      <c r="D244" s="3" t="s">
        <v>964</v>
      </c>
      <c r="E244" s="6" t="s">
        <v>965</v>
      </c>
      <c r="F244" s="6" t="s">
        <v>972</v>
      </c>
      <c r="G244" s="6" t="s">
        <v>713</v>
      </c>
      <c r="H244" s="25">
        <v>45000</v>
      </c>
      <c r="I244" s="38">
        <v>0</v>
      </c>
      <c r="J244" s="38">
        <v>0</v>
      </c>
      <c r="K244" s="39">
        <f t="shared" si="24"/>
        <v>0</v>
      </c>
      <c r="L244" s="38">
        <v>1</v>
      </c>
      <c r="M244" s="38">
        <v>1</v>
      </c>
      <c r="N244" s="39">
        <f t="shared" si="25"/>
        <v>45000</v>
      </c>
      <c r="O244" s="38">
        <v>0</v>
      </c>
      <c r="P244" s="38">
        <v>0</v>
      </c>
      <c r="Q244" s="39">
        <f t="shared" si="26"/>
        <v>0</v>
      </c>
      <c r="R244" s="38">
        <v>0</v>
      </c>
      <c r="S244" s="38">
        <v>0</v>
      </c>
      <c r="T244" s="39">
        <f t="shared" si="27"/>
        <v>0</v>
      </c>
      <c r="U244" s="38">
        <v>0</v>
      </c>
      <c r="V244" s="38">
        <v>0</v>
      </c>
      <c r="W244" s="39">
        <f t="shared" si="28"/>
        <v>0</v>
      </c>
      <c r="X244" s="38"/>
      <c r="Y244" s="38"/>
      <c r="Z244" s="39">
        <f t="shared" si="29"/>
        <v>0</v>
      </c>
      <c r="AA244" s="38"/>
      <c r="AB244" s="38"/>
      <c r="AC244" s="39">
        <f t="shared" si="30"/>
        <v>0</v>
      </c>
      <c r="AD244" s="38"/>
      <c r="AE244" s="38"/>
      <c r="AF244" s="39">
        <f t="shared" si="31"/>
        <v>0</v>
      </c>
    </row>
    <row r="245" spans="2:32" ht="15" customHeight="1" x14ac:dyDescent="0.3">
      <c r="B245" s="2" t="s">
        <v>836</v>
      </c>
      <c r="C245" s="4" t="s">
        <v>837</v>
      </c>
      <c r="D245" s="3" t="s">
        <v>964</v>
      </c>
      <c r="E245" s="6" t="s">
        <v>965</v>
      </c>
      <c r="F245" s="6" t="s">
        <v>972</v>
      </c>
      <c r="G245" s="6" t="s">
        <v>712</v>
      </c>
      <c r="H245" s="25">
        <v>214.29</v>
      </c>
      <c r="I245" s="38">
        <v>0</v>
      </c>
      <c r="J245" s="38">
        <v>0</v>
      </c>
      <c r="K245" s="39">
        <f t="shared" si="24"/>
        <v>0</v>
      </c>
      <c r="L245" s="38">
        <v>25</v>
      </c>
      <c r="M245" s="38">
        <v>1</v>
      </c>
      <c r="N245" s="39">
        <f t="shared" si="25"/>
        <v>5357.25</v>
      </c>
      <c r="O245" s="38">
        <v>0</v>
      </c>
      <c r="P245" s="38">
        <v>0</v>
      </c>
      <c r="Q245" s="39">
        <f t="shared" si="26"/>
        <v>0</v>
      </c>
      <c r="R245" s="38">
        <v>0</v>
      </c>
      <c r="S245" s="38">
        <v>0</v>
      </c>
      <c r="T245" s="39">
        <f t="shared" si="27"/>
        <v>0</v>
      </c>
      <c r="U245" s="38">
        <v>0</v>
      </c>
      <c r="V245" s="38">
        <v>0</v>
      </c>
      <c r="W245" s="39">
        <f t="shared" si="28"/>
        <v>0</v>
      </c>
      <c r="X245" s="38"/>
      <c r="Y245" s="38"/>
      <c r="Z245" s="39">
        <f t="shared" si="29"/>
        <v>0</v>
      </c>
      <c r="AA245" s="38"/>
      <c r="AB245" s="38"/>
      <c r="AC245" s="39">
        <f t="shared" si="30"/>
        <v>0</v>
      </c>
      <c r="AD245" s="38"/>
      <c r="AE245" s="38"/>
      <c r="AF245" s="39">
        <f t="shared" si="31"/>
        <v>0</v>
      </c>
    </row>
    <row r="246" spans="2:32" ht="15" customHeight="1" x14ac:dyDescent="0.3">
      <c r="B246" s="2" t="s">
        <v>836</v>
      </c>
      <c r="C246" s="4" t="s">
        <v>837</v>
      </c>
      <c r="D246" s="3" t="s">
        <v>964</v>
      </c>
      <c r="E246" s="6" t="s">
        <v>965</v>
      </c>
      <c r="F246" s="6" t="s">
        <v>167</v>
      </c>
      <c r="G246" s="6" t="s">
        <v>709</v>
      </c>
      <c r="H246" s="25">
        <v>28000</v>
      </c>
      <c r="I246" s="38">
        <v>0</v>
      </c>
      <c r="J246" s="38">
        <v>0</v>
      </c>
      <c r="K246" s="39">
        <f t="shared" si="24"/>
        <v>0</v>
      </c>
      <c r="L246" s="38">
        <v>4000</v>
      </c>
      <c r="M246" s="38">
        <v>1</v>
      </c>
      <c r="N246" s="39">
        <f t="shared" si="25"/>
        <v>112000000</v>
      </c>
      <c r="O246" s="38">
        <v>0</v>
      </c>
      <c r="P246" s="38">
        <v>0</v>
      </c>
      <c r="Q246" s="39">
        <f t="shared" si="26"/>
        <v>0</v>
      </c>
      <c r="R246" s="38">
        <v>0</v>
      </c>
      <c r="S246" s="38">
        <v>0</v>
      </c>
      <c r="T246" s="39">
        <f t="shared" si="27"/>
        <v>0</v>
      </c>
      <c r="U246" s="38">
        <v>0</v>
      </c>
      <c r="V246" s="38">
        <v>0</v>
      </c>
      <c r="W246" s="39">
        <f t="shared" si="28"/>
        <v>0</v>
      </c>
      <c r="X246" s="38"/>
      <c r="Y246" s="38"/>
      <c r="Z246" s="39">
        <f t="shared" si="29"/>
        <v>0</v>
      </c>
      <c r="AA246" s="38"/>
      <c r="AB246" s="38"/>
      <c r="AC246" s="39">
        <f t="shared" si="30"/>
        <v>0</v>
      </c>
      <c r="AD246" s="38"/>
      <c r="AE246" s="38"/>
      <c r="AF246" s="39">
        <f t="shared" si="31"/>
        <v>0</v>
      </c>
    </row>
    <row r="247" spans="2:32" ht="15" customHeight="1" x14ac:dyDescent="0.3">
      <c r="B247" s="2" t="s">
        <v>836</v>
      </c>
      <c r="C247" s="4" t="s">
        <v>837</v>
      </c>
      <c r="D247" s="3" t="s">
        <v>964</v>
      </c>
      <c r="E247" s="6" t="s">
        <v>965</v>
      </c>
      <c r="F247" s="6" t="s">
        <v>157</v>
      </c>
      <c r="G247" s="6" t="s">
        <v>713</v>
      </c>
      <c r="H247" s="25">
        <v>45000</v>
      </c>
      <c r="I247" s="38">
        <v>0</v>
      </c>
      <c r="J247" s="38">
        <v>0</v>
      </c>
      <c r="K247" s="39">
        <f t="shared" si="24"/>
        <v>0</v>
      </c>
      <c r="L247" s="38">
        <v>25</v>
      </c>
      <c r="M247" s="38">
        <v>1</v>
      </c>
      <c r="N247" s="39">
        <f t="shared" si="25"/>
        <v>1125000</v>
      </c>
      <c r="O247" s="38">
        <v>0</v>
      </c>
      <c r="P247" s="38">
        <v>0</v>
      </c>
      <c r="Q247" s="39">
        <f t="shared" si="26"/>
        <v>0</v>
      </c>
      <c r="R247" s="38">
        <v>0</v>
      </c>
      <c r="S247" s="38">
        <v>0</v>
      </c>
      <c r="T247" s="39">
        <f t="shared" si="27"/>
        <v>0</v>
      </c>
      <c r="U247" s="38">
        <v>0</v>
      </c>
      <c r="V247" s="38">
        <v>0</v>
      </c>
      <c r="W247" s="39">
        <f t="shared" si="28"/>
        <v>0</v>
      </c>
      <c r="X247" s="38"/>
      <c r="Y247" s="38"/>
      <c r="Z247" s="39">
        <f t="shared" si="29"/>
        <v>0</v>
      </c>
      <c r="AA247" s="38"/>
      <c r="AB247" s="38"/>
      <c r="AC247" s="39">
        <f t="shared" si="30"/>
        <v>0</v>
      </c>
      <c r="AD247" s="38"/>
      <c r="AE247" s="38"/>
      <c r="AF247" s="39">
        <f t="shared" si="31"/>
        <v>0</v>
      </c>
    </row>
    <row r="248" spans="2:32" ht="15" customHeight="1" x14ac:dyDescent="0.3">
      <c r="B248" s="2" t="s">
        <v>836</v>
      </c>
      <c r="C248" s="4" t="s">
        <v>837</v>
      </c>
      <c r="D248" s="3" t="s">
        <v>964</v>
      </c>
      <c r="E248" s="6" t="s">
        <v>965</v>
      </c>
      <c r="F248" s="6" t="s">
        <v>157</v>
      </c>
      <c r="G248" s="6" t="s">
        <v>712</v>
      </c>
      <c r="H248" s="25">
        <v>214.29</v>
      </c>
      <c r="I248" s="38">
        <v>0</v>
      </c>
      <c r="J248" s="38">
        <v>0</v>
      </c>
      <c r="K248" s="39">
        <f t="shared" si="24"/>
        <v>0</v>
      </c>
      <c r="L248" s="38">
        <v>25</v>
      </c>
      <c r="M248" s="38">
        <v>10</v>
      </c>
      <c r="N248" s="39">
        <f t="shared" si="25"/>
        <v>53572.5</v>
      </c>
      <c r="O248" s="38">
        <v>0</v>
      </c>
      <c r="P248" s="38">
        <v>0</v>
      </c>
      <c r="Q248" s="39">
        <f t="shared" si="26"/>
        <v>0</v>
      </c>
      <c r="R248" s="38">
        <v>0</v>
      </c>
      <c r="S248" s="38">
        <v>0</v>
      </c>
      <c r="T248" s="39">
        <f t="shared" si="27"/>
        <v>0</v>
      </c>
      <c r="U248" s="38">
        <v>0</v>
      </c>
      <c r="V248" s="38">
        <v>0</v>
      </c>
      <c r="W248" s="39">
        <f t="shared" si="28"/>
        <v>0</v>
      </c>
      <c r="X248" s="38"/>
      <c r="Y248" s="38"/>
      <c r="Z248" s="39">
        <f t="shared" si="29"/>
        <v>0</v>
      </c>
      <c r="AA248" s="38"/>
      <c r="AB248" s="38"/>
      <c r="AC248" s="39">
        <f t="shared" si="30"/>
        <v>0</v>
      </c>
      <c r="AD248" s="38"/>
      <c r="AE248" s="38"/>
      <c r="AF248" s="39">
        <f t="shared" si="31"/>
        <v>0</v>
      </c>
    </row>
    <row r="249" spans="2:32" ht="15" customHeight="1" x14ac:dyDescent="0.3">
      <c r="B249" s="2" t="s">
        <v>836</v>
      </c>
      <c r="C249" s="4" t="s">
        <v>837</v>
      </c>
      <c r="D249" s="3" t="s">
        <v>964</v>
      </c>
      <c r="E249" s="6" t="s">
        <v>965</v>
      </c>
      <c r="F249" s="6" t="s">
        <v>157</v>
      </c>
      <c r="G249" s="6" t="s">
        <v>714</v>
      </c>
      <c r="H249" s="25">
        <v>10000</v>
      </c>
      <c r="I249" s="38">
        <v>0</v>
      </c>
      <c r="J249" s="38">
        <v>0</v>
      </c>
      <c r="K249" s="39">
        <f t="shared" si="24"/>
        <v>0</v>
      </c>
      <c r="L249" s="38">
        <v>20000</v>
      </c>
      <c r="M249" s="38">
        <v>1</v>
      </c>
      <c r="N249" s="39">
        <f t="shared" si="25"/>
        <v>200000000</v>
      </c>
      <c r="O249" s="38">
        <v>0</v>
      </c>
      <c r="P249" s="38">
        <v>0</v>
      </c>
      <c r="Q249" s="39">
        <f t="shared" si="26"/>
        <v>0</v>
      </c>
      <c r="R249" s="38">
        <v>0</v>
      </c>
      <c r="S249" s="38">
        <v>0</v>
      </c>
      <c r="T249" s="39">
        <f t="shared" si="27"/>
        <v>0</v>
      </c>
      <c r="U249" s="38">
        <v>0</v>
      </c>
      <c r="V249" s="38">
        <v>0</v>
      </c>
      <c r="W249" s="39">
        <f t="shared" si="28"/>
        <v>0</v>
      </c>
      <c r="X249" s="38"/>
      <c r="Y249" s="38"/>
      <c r="Z249" s="39">
        <f t="shared" si="29"/>
        <v>0</v>
      </c>
      <c r="AA249" s="38"/>
      <c r="AB249" s="38"/>
      <c r="AC249" s="39">
        <f t="shared" si="30"/>
        <v>0</v>
      </c>
      <c r="AD249" s="38"/>
      <c r="AE249" s="38"/>
      <c r="AF249" s="39">
        <f t="shared" si="31"/>
        <v>0</v>
      </c>
    </row>
    <row r="250" spans="2:32" ht="15" customHeight="1" x14ac:dyDescent="0.3">
      <c r="B250" s="2" t="s">
        <v>836</v>
      </c>
      <c r="C250" s="4" t="s">
        <v>837</v>
      </c>
      <c r="D250" s="3" t="s">
        <v>964</v>
      </c>
      <c r="E250" s="6" t="s">
        <v>965</v>
      </c>
      <c r="F250" s="6" t="s">
        <v>157</v>
      </c>
      <c r="G250" s="6" t="s">
        <v>715</v>
      </c>
      <c r="H250" s="25">
        <v>302000</v>
      </c>
      <c r="I250" s="38">
        <v>0</v>
      </c>
      <c r="J250" s="38">
        <v>0</v>
      </c>
      <c r="K250" s="39">
        <f t="shared" si="24"/>
        <v>0</v>
      </c>
      <c r="L250" s="38">
        <v>15</v>
      </c>
      <c r="M250" s="38">
        <v>1</v>
      </c>
      <c r="N250" s="39">
        <f t="shared" si="25"/>
        <v>4530000</v>
      </c>
      <c r="O250" s="38">
        <v>0</v>
      </c>
      <c r="P250" s="38">
        <v>0</v>
      </c>
      <c r="Q250" s="39">
        <f t="shared" si="26"/>
        <v>0</v>
      </c>
      <c r="R250" s="38">
        <v>0</v>
      </c>
      <c r="S250" s="38">
        <v>0</v>
      </c>
      <c r="T250" s="39">
        <f t="shared" si="27"/>
        <v>0</v>
      </c>
      <c r="U250" s="38">
        <v>0</v>
      </c>
      <c r="V250" s="38">
        <v>0</v>
      </c>
      <c r="W250" s="39">
        <f t="shared" si="28"/>
        <v>0</v>
      </c>
      <c r="X250" s="38"/>
      <c r="Y250" s="38"/>
      <c r="Z250" s="39">
        <f t="shared" si="29"/>
        <v>0</v>
      </c>
      <c r="AA250" s="38"/>
      <c r="AB250" s="38"/>
      <c r="AC250" s="39">
        <f t="shared" si="30"/>
        <v>0</v>
      </c>
      <c r="AD250" s="38"/>
      <c r="AE250" s="38"/>
      <c r="AF250" s="39">
        <f t="shared" si="31"/>
        <v>0</v>
      </c>
    </row>
    <row r="251" spans="2:32" ht="15" customHeight="1" x14ac:dyDescent="0.3">
      <c r="B251" s="2" t="s">
        <v>836</v>
      </c>
      <c r="C251" s="4" t="s">
        <v>837</v>
      </c>
      <c r="D251" s="3" t="s">
        <v>964</v>
      </c>
      <c r="E251" s="6" t="s">
        <v>965</v>
      </c>
      <c r="F251" s="6" t="s">
        <v>152</v>
      </c>
      <c r="G251" s="6" t="s">
        <v>716</v>
      </c>
      <c r="H251" s="25">
        <v>39000</v>
      </c>
      <c r="I251" s="38">
        <v>0</v>
      </c>
      <c r="J251" s="38">
        <v>0</v>
      </c>
      <c r="K251" s="39">
        <f t="shared" si="24"/>
        <v>0</v>
      </c>
      <c r="L251" s="38">
        <v>20</v>
      </c>
      <c r="M251" s="38">
        <v>1</v>
      </c>
      <c r="N251" s="39">
        <f t="shared" si="25"/>
        <v>780000</v>
      </c>
      <c r="O251" s="38">
        <v>0</v>
      </c>
      <c r="P251" s="38">
        <v>0</v>
      </c>
      <c r="Q251" s="39">
        <f t="shared" si="26"/>
        <v>0</v>
      </c>
      <c r="R251" s="38">
        <v>0</v>
      </c>
      <c r="S251" s="38">
        <v>0</v>
      </c>
      <c r="T251" s="39">
        <f t="shared" si="27"/>
        <v>0</v>
      </c>
      <c r="U251" s="38">
        <v>0</v>
      </c>
      <c r="V251" s="38">
        <v>0</v>
      </c>
      <c r="W251" s="39">
        <f t="shared" si="28"/>
        <v>0</v>
      </c>
      <c r="X251" s="38"/>
      <c r="Y251" s="38"/>
      <c r="Z251" s="39">
        <f t="shared" si="29"/>
        <v>0</v>
      </c>
      <c r="AA251" s="38"/>
      <c r="AB251" s="38"/>
      <c r="AC251" s="39">
        <f t="shared" si="30"/>
        <v>0</v>
      </c>
      <c r="AD251" s="38"/>
      <c r="AE251" s="38"/>
      <c r="AF251" s="39">
        <f t="shared" si="31"/>
        <v>0</v>
      </c>
    </row>
    <row r="252" spans="2:32" ht="15" customHeight="1" x14ac:dyDescent="0.3">
      <c r="B252" s="2" t="s">
        <v>836</v>
      </c>
      <c r="C252" s="4" t="s">
        <v>837</v>
      </c>
      <c r="D252" s="3" t="s">
        <v>964</v>
      </c>
      <c r="E252" s="6" t="s">
        <v>965</v>
      </c>
      <c r="F252" s="6" t="s">
        <v>152</v>
      </c>
      <c r="G252" s="6" t="s">
        <v>709</v>
      </c>
      <c r="H252" s="25">
        <v>28000</v>
      </c>
      <c r="I252" s="38">
        <v>0</v>
      </c>
      <c r="J252" s="38">
        <v>0</v>
      </c>
      <c r="K252" s="39">
        <f t="shared" si="24"/>
        <v>0</v>
      </c>
      <c r="L252" s="38">
        <v>25</v>
      </c>
      <c r="M252" s="38">
        <v>5</v>
      </c>
      <c r="N252" s="39">
        <f t="shared" si="25"/>
        <v>3500000</v>
      </c>
      <c r="O252" s="38">
        <v>0</v>
      </c>
      <c r="P252" s="38">
        <v>0</v>
      </c>
      <c r="Q252" s="39">
        <f t="shared" si="26"/>
        <v>0</v>
      </c>
      <c r="R252" s="38">
        <v>0</v>
      </c>
      <c r="S252" s="38">
        <v>0</v>
      </c>
      <c r="T252" s="39">
        <f t="shared" si="27"/>
        <v>0</v>
      </c>
      <c r="U252" s="38">
        <v>0</v>
      </c>
      <c r="V252" s="38">
        <v>0</v>
      </c>
      <c r="W252" s="39">
        <f t="shared" si="28"/>
        <v>0</v>
      </c>
      <c r="X252" s="38"/>
      <c r="Y252" s="38"/>
      <c r="Z252" s="39">
        <f t="shared" si="29"/>
        <v>0</v>
      </c>
      <c r="AA252" s="38"/>
      <c r="AB252" s="38"/>
      <c r="AC252" s="39">
        <f t="shared" si="30"/>
        <v>0</v>
      </c>
      <c r="AD252" s="38"/>
      <c r="AE252" s="38"/>
      <c r="AF252" s="39">
        <f t="shared" si="31"/>
        <v>0</v>
      </c>
    </row>
    <row r="253" spans="2:32" ht="15" customHeight="1" x14ac:dyDescent="0.3">
      <c r="B253" s="2" t="s">
        <v>836</v>
      </c>
      <c r="C253" s="4" t="s">
        <v>837</v>
      </c>
      <c r="D253" s="3" t="s">
        <v>964</v>
      </c>
      <c r="E253" s="6" t="s">
        <v>965</v>
      </c>
      <c r="F253" s="6" t="s">
        <v>152</v>
      </c>
      <c r="G253" s="6" t="s">
        <v>712</v>
      </c>
      <c r="H253" s="25">
        <v>214.29</v>
      </c>
      <c r="I253" s="38">
        <v>0</v>
      </c>
      <c r="J253" s="38">
        <v>0</v>
      </c>
      <c r="K253" s="39">
        <f t="shared" si="24"/>
        <v>0</v>
      </c>
      <c r="L253" s="38">
        <v>25</v>
      </c>
      <c r="M253" s="38">
        <v>5</v>
      </c>
      <c r="N253" s="39">
        <f t="shared" si="25"/>
        <v>26786.25</v>
      </c>
      <c r="O253" s="38">
        <v>0</v>
      </c>
      <c r="P253" s="38">
        <v>0</v>
      </c>
      <c r="Q253" s="39">
        <f t="shared" si="26"/>
        <v>0</v>
      </c>
      <c r="R253" s="38">
        <v>0</v>
      </c>
      <c r="S253" s="38">
        <v>0</v>
      </c>
      <c r="T253" s="39">
        <f t="shared" si="27"/>
        <v>0</v>
      </c>
      <c r="U253" s="38">
        <v>0</v>
      </c>
      <c r="V253" s="38">
        <v>0</v>
      </c>
      <c r="W253" s="39">
        <f t="shared" si="28"/>
        <v>0</v>
      </c>
      <c r="X253" s="38"/>
      <c r="Y253" s="38"/>
      <c r="Z253" s="39">
        <f t="shared" si="29"/>
        <v>0</v>
      </c>
      <c r="AA253" s="38"/>
      <c r="AB253" s="38"/>
      <c r="AC253" s="39">
        <f t="shared" si="30"/>
        <v>0</v>
      </c>
      <c r="AD253" s="38"/>
      <c r="AE253" s="38"/>
      <c r="AF253" s="39">
        <f t="shared" si="31"/>
        <v>0</v>
      </c>
    </row>
    <row r="254" spans="2:32" ht="15" customHeight="1" x14ac:dyDescent="0.3">
      <c r="B254" s="2" t="s">
        <v>836</v>
      </c>
      <c r="C254" s="4" t="s">
        <v>837</v>
      </c>
      <c r="D254" s="3" t="s">
        <v>964</v>
      </c>
      <c r="E254" s="6" t="s">
        <v>965</v>
      </c>
      <c r="F254" s="6" t="s">
        <v>973</v>
      </c>
      <c r="G254" s="6" t="s">
        <v>709</v>
      </c>
      <c r="H254" s="25">
        <v>28000</v>
      </c>
      <c r="I254" s="38">
        <v>0</v>
      </c>
      <c r="J254" s="38">
        <v>0</v>
      </c>
      <c r="K254" s="39">
        <f t="shared" si="24"/>
        <v>0</v>
      </c>
      <c r="L254" s="38">
        <v>4000</v>
      </c>
      <c r="M254" s="38">
        <v>1</v>
      </c>
      <c r="N254" s="39">
        <f t="shared" si="25"/>
        <v>112000000</v>
      </c>
      <c r="O254" s="38">
        <v>0</v>
      </c>
      <c r="P254" s="38">
        <v>0</v>
      </c>
      <c r="Q254" s="39">
        <f t="shared" si="26"/>
        <v>0</v>
      </c>
      <c r="R254" s="38">
        <v>0</v>
      </c>
      <c r="S254" s="38">
        <v>0</v>
      </c>
      <c r="T254" s="39">
        <f t="shared" si="27"/>
        <v>0</v>
      </c>
      <c r="U254" s="38">
        <v>0</v>
      </c>
      <c r="V254" s="38">
        <v>0</v>
      </c>
      <c r="W254" s="39">
        <f t="shared" si="28"/>
        <v>0</v>
      </c>
      <c r="X254" s="38"/>
      <c r="Y254" s="38"/>
      <c r="Z254" s="39">
        <f t="shared" si="29"/>
        <v>0</v>
      </c>
      <c r="AA254" s="38"/>
      <c r="AB254" s="38"/>
      <c r="AC254" s="39">
        <f t="shared" si="30"/>
        <v>0</v>
      </c>
      <c r="AD254" s="38"/>
      <c r="AE254" s="38"/>
      <c r="AF254" s="39">
        <f t="shared" si="31"/>
        <v>0</v>
      </c>
    </row>
    <row r="255" spans="2:32" ht="15" customHeight="1" x14ac:dyDescent="0.3">
      <c r="B255" s="2" t="s">
        <v>836</v>
      </c>
      <c r="C255" s="4" t="s">
        <v>837</v>
      </c>
      <c r="D255" s="3" t="s">
        <v>964</v>
      </c>
      <c r="E255" s="6" t="s">
        <v>965</v>
      </c>
      <c r="F255" s="6" t="s">
        <v>973</v>
      </c>
      <c r="G255" s="6" t="s">
        <v>716</v>
      </c>
      <c r="H255" s="25">
        <v>39000</v>
      </c>
      <c r="I255" s="38">
        <v>0</v>
      </c>
      <c r="J255" s="38">
        <v>0</v>
      </c>
      <c r="K255" s="39">
        <f t="shared" si="24"/>
        <v>0</v>
      </c>
      <c r="L255" s="38">
        <v>25</v>
      </c>
      <c r="M255" s="38">
        <v>5</v>
      </c>
      <c r="N255" s="39">
        <f t="shared" si="25"/>
        <v>4875000</v>
      </c>
      <c r="O255" s="38">
        <v>0</v>
      </c>
      <c r="P255" s="38">
        <v>0</v>
      </c>
      <c r="Q255" s="39">
        <f t="shared" si="26"/>
        <v>0</v>
      </c>
      <c r="R255" s="38">
        <v>0</v>
      </c>
      <c r="S255" s="38">
        <v>0</v>
      </c>
      <c r="T255" s="39">
        <f t="shared" si="27"/>
        <v>0</v>
      </c>
      <c r="U255" s="38">
        <v>0</v>
      </c>
      <c r="V255" s="38">
        <v>0</v>
      </c>
      <c r="W255" s="39">
        <f t="shared" si="28"/>
        <v>0</v>
      </c>
      <c r="X255" s="38"/>
      <c r="Y255" s="38"/>
      <c r="Z255" s="39">
        <f t="shared" si="29"/>
        <v>0</v>
      </c>
      <c r="AA255" s="38"/>
      <c r="AB255" s="38"/>
      <c r="AC255" s="39">
        <f t="shared" si="30"/>
        <v>0</v>
      </c>
      <c r="AD255" s="38"/>
      <c r="AE255" s="38"/>
      <c r="AF255" s="39">
        <f t="shared" si="31"/>
        <v>0</v>
      </c>
    </row>
    <row r="256" spans="2:32" ht="15" customHeight="1" x14ac:dyDescent="0.3">
      <c r="B256" s="2" t="s">
        <v>836</v>
      </c>
      <c r="C256" s="4" t="s">
        <v>837</v>
      </c>
      <c r="D256" s="3" t="s">
        <v>964</v>
      </c>
      <c r="E256" s="6" t="s">
        <v>965</v>
      </c>
      <c r="F256" s="6" t="s">
        <v>973</v>
      </c>
      <c r="G256" s="6" t="s">
        <v>712</v>
      </c>
      <c r="H256" s="25">
        <v>214.29</v>
      </c>
      <c r="I256" s="38">
        <v>0</v>
      </c>
      <c r="J256" s="38">
        <v>0</v>
      </c>
      <c r="K256" s="39">
        <f t="shared" si="24"/>
        <v>0</v>
      </c>
      <c r="L256" s="38">
        <v>25</v>
      </c>
      <c r="M256" s="38">
        <v>5</v>
      </c>
      <c r="N256" s="39">
        <f t="shared" si="25"/>
        <v>26786.25</v>
      </c>
      <c r="O256" s="38">
        <v>0</v>
      </c>
      <c r="P256" s="38">
        <v>0</v>
      </c>
      <c r="Q256" s="39">
        <f t="shared" si="26"/>
        <v>0</v>
      </c>
      <c r="R256" s="38">
        <v>0</v>
      </c>
      <c r="S256" s="38">
        <v>0</v>
      </c>
      <c r="T256" s="39">
        <f t="shared" si="27"/>
        <v>0</v>
      </c>
      <c r="U256" s="38">
        <v>0</v>
      </c>
      <c r="V256" s="38">
        <v>0</v>
      </c>
      <c r="W256" s="39">
        <f t="shared" si="28"/>
        <v>0</v>
      </c>
      <c r="X256" s="38"/>
      <c r="Y256" s="38"/>
      <c r="Z256" s="39">
        <f t="shared" si="29"/>
        <v>0</v>
      </c>
      <c r="AA256" s="38"/>
      <c r="AB256" s="38"/>
      <c r="AC256" s="39">
        <f t="shared" si="30"/>
        <v>0</v>
      </c>
      <c r="AD256" s="38"/>
      <c r="AE256" s="38"/>
      <c r="AF256" s="39">
        <f t="shared" si="31"/>
        <v>0</v>
      </c>
    </row>
    <row r="257" spans="2:32" ht="15" customHeight="1" x14ac:dyDescent="0.3">
      <c r="B257" s="2" t="s">
        <v>836</v>
      </c>
      <c r="C257" s="4" t="s">
        <v>837</v>
      </c>
      <c r="D257" s="3" t="s">
        <v>964</v>
      </c>
      <c r="E257" s="6" t="s">
        <v>965</v>
      </c>
      <c r="F257" s="6" t="s">
        <v>974</v>
      </c>
      <c r="G257" s="6" t="s">
        <v>709</v>
      </c>
      <c r="H257" s="25">
        <v>28000</v>
      </c>
      <c r="I257" s="38">
        <v>0</v>
      </c>
      <c r="J257" s="38">
        <v>0</v>
      </c>
      <c r="K257" s="39">
        <f t="shared" si="24"/>
        <v>0</v>
      </c>
      <c r="L257" s="38">
        <v>4000</v>
      </c>
      <c r="M257" s="38">
        <v>1</v>
      </c>
      <c r="N257" s="39">
        <f t="shared" si="25"/>
        <v>112000000</v>
      </c>
      <c r="O257" s="38">
        <v>0</v>
      </c>
      <c r="P257" s="38">
        <v>0</v>
      </c>
      <c r="Q257" s="39">
        <f t="shared" si="26"/>
        <v>0</v>
      </c>
      <c r="R257" s="38">
        <v>0</v>
      </c>
      <c r="S257" s="38">
        <v>0</v>
      </c>
      <c r="T257" s="39">
        <f t="shared" si="27"/>
        <v>0</v>
      </c>
      <c r="U257" s="38">
        <v>0</v>
      </c>
      <c r="V257" s="38">
        <v>0</v>
      </c>
      <c r="W257" s="39">
        <f t="shared" si="28"/>
        <v>0</v>
      </c>
      <c r="X257" s="38"/>
      <c r="Y257" s="38"/>
      <c r="Z257" s="39">
        <f t="shared" si="29"/>
        <v>0</v>
      </c>
      <c r="AA257" s="38"/>
      <c r="AB257" s="38"/>
      <c r="AC257" s="39">
        <f t="shared" si="30"/>
        <v>0</v>
      </c>
      <c r="AD257" s="38"/>
      <c r="AE257" s="38"/>
      <c r="AF257" s="39">
        <f t="shared" si="31"/>
        <v>0</v>
      </c>
    </row>
    <row r="258" spans="2:32" ht="15" customHeight="1" x14ac:dyDescent="0.3">
      <c r="B258" s="2" t="s">
        <v>836</v>
      </c>
      <c r="C258" s="4" t="s">
        <v>837</v>
      </c>
      <c r="D258" s="3" t="s">
        <v>964</v>
      </c>
      <c r="E258" s="6" t="s">
        <v>965</v>
      </c>
      <c r="F258" s="6" t="s">
        <v>974</v>
      </c>
      <c r="G258" s="6" t="s">
        <v>716</v>
      </c>
      <c r="H258" s="25">
        <v>39000</v>
      </c>
      <c r="I258" s="38">
        <v>0</v>
      </c>
      <c r="J258" s="38">
        <v>0</v>
      </c>
      <c r="K258" s="39">
        <f t="shared" si="24"/>
        <v>0</v>
      </c>
      <c r="L258" s="38">
        <v>100</v>
      </c>
      <c r="M258" s="38">
        <v>1</v>
      </c>
      <c r="N258" s="39">
        <f t="shared" si="25"/>
        <v>3900000</v>
      </c>
      <c r="O258" s="38">
        <v>0</v>
      </c>
      <c r="P258" s="38">
        <v>0</v>
      </c>
      <c r="Q258" s="39">
        <f t="shared" si="26"/>
        <v>0</v>
      </c>
      <c r="R258" s="38">
        <v>0</v>
      </c>
      <c r="S258" s="38">
        <v>0</v>
      </c>
      <c r="T258" s="39">
        <f t="shared" si="27"/>
        <v>0</v>
      </c>
      <c r="U258" s="38">
        <v>0</v>
      </c>
      <c r="V258" s="38">
        <v>0</v>
      </c>
      <c r="W258" s="39">
        <f t="shared" si="28"/>
        <v>0</v>
      </c>
      <c r="X258" s="38"/>
      <c r="Y258" s="38"/>
      <c r="Z258" s="39">
        <f t="shared" si="29"/>
        <v>0</v>
      </c>
      <c r="AA258" s="38"/>
      <c r="AB258" s="38"/>
      <c r="AC258" s="39">
        <f t="shared" si="30"/>
        <v>0</v>
      </c>
      <c r="AD258" s="38"/>
      <c r="AE258" s="38"/>
      <c r="AF258" s="39">
        <f t="shared" si="31"/>
        <v>0</v>
      </c>
    </row>
    <row r="259" spans="2:32" ht="15" customHeight="1" x14ac:dyDescent="0.3">
      <c r="B259" s="2" t="s">
        <v>836</v>
      </c>
      <c r="C259" s="4" t="s">
        <v>837</v>
      </c>
      <c r="D259" s="3" t="s">
        <v>964</v>
      </c>
      <c r="E259" s="6" t="s">
        <v>965</v>
      </c>
      <c r="F259" s="6" t="s">
        <v>974</v>
      </c>
      <c r="G259" s="6" t="s">
        <v>711</v>
      </c>
      <c r="H259" s="25">
        <v>70</v>
      </c>
      <c r="I259" s="38">
        <v>0</v>
      </c>
      <c r="J259" s="38">
        <v>0</v>
      </c>
      <c r="K259" s="39">
        <f t="shared" ref="K259:K322" si="32">H259*I259*J259</f>
        <v>0</v>
      </c>
      <c r="L259" s="38">
        <v>30</v>
      </c>
      <c r="M259" s="38">
        <v>1</v>
      </c>
      <c r="N259" s="39">
        <f t="shared" ref="N259:N322" si="33">H259*L259*M259</f>
        <v>2100</v>
      </c>
      <c r="O259" s="38">
        <v>0</v>
      </c>
      <c r="P259" s="38">
        <v>0</v>
      </c>
      <c r="Q259" s="39">
        <f t="shared" ref="Q259:Q322" si="34">H259*O259*P259</f>
        <v>0</v>
      </c>
      <c r="R259" s="38">
        <v>0</v>
      </c>
      <c r="S259" s="38">
        <v>0</v>
      </c>
      <c r="T259" s="39">
        <f t="shared" ref="T259:T322" si="35">H259*R259*S259</f>
        <v>0</v>
      </c>
      <c r="U259" s="38">
        <v>0</v>
      </c>
      <c r="V259" s="38">
        <v>0</v>
      </c>
      <c r="W259" s="39">
        <f t="shared" ref="W259:W322" si="36">H259*U259*V259</f>
        <v>0</v>
      </c>
      <c r="X259" s="38"/>
      <c r="Y259" s="38"/>
      <c r="Z259" s="39">
        <f t="shared" ref="Z259:Z322" si="37">H259*X259*Y259</f>
        <v>0</v>
      </c>
      <c r="AA259" s="38"/>
      <c r="AB259" s="38"/>
      <c r="AC259" s="39">
        <f t="shared" ref="AC259:AC322" si="38">H259*AA259*AB259</f>
        <v>0</v>
      </c>
      <c r="AD259" s="38"/>
      <c r="AE259" s="38"/>
      <c r="AF259" s="39">
        <f t="shared" ref="AF259:AF322" si="39">H259*AD259*AE259</f>
        <v>0</v>
      </c>
    </row>
    <row r="260" spans="2:32" ht="15" customHeight="1" x14ac:dyDescent="0.3">
      <c r="B260" s="2" t="s">
        <v>836</v>
      </c>
      <c r="C260" s="4" t="s">
        <v>837</v>
      </c>
      <c r="D260" s="3" t="s">
        <v>964</v>
      </c>
      <c r="E260" s="6" t="s">
        <v>965</v>
      </c>
      <c r="F260" s="6" t="s">
        <v>974</v>
      </c>
      <c r="G260" s="6" t="s">
        <v>710</v>
      </c>
      <c r="H260" s="25">
        <v>104850</v>
      </c>
      <c r="I260" s="38">
        <v>0</v>
      </c>
      <c r="J260" s="38">
        <v>0</v>
      </c>
      <c r="K260" s="39">
        <f t="shared" si="32"/>
        <v>0</v>
      </c>
      <c r="L260" s="38">
        <v>50000</v>
      </c>
      <c r="M260" s="38">
        <v>1</v>
      </c>
      <c r="N260" s="39">
        <f t="shared" si="33"/>
        <v>5242500000</v>
      </c>
      <c r="O260" s="38">
        <v>0</v>
      </c>
      <c r="P260" s="38">
        <v>0</v>
      </c>
      <c r="Q260" s="39">
        <f t="shared" si="34"/>
        <v>0</v>
      </c>
      <c r="R260" s="38">
        <v>0</v>
      </c>
      <c r="S260" s="38">
        <v>0</v>
      </c>
      <c r="T260" s="39">
        <f t="shared" si="35"/>
        <v>0</v>
      </c>
      <c r="U260" s="38">
        <v>0</v>
      </c>
      <c r="V260" s="38">
        <v>0</v>
      </c>
      <c r="W260" s="39">
        <f t="shared" si="36"/>
        <v>0</v>
      </c>
      <c r="X260" s="38"/>
      <c r="Y260" s="38"/>
      <c r="Z260" s="39">
        <f t="shared" si="37"/>
        <v>0</v>
      </c>
      <c r="AA260" s="38"/>
      <c r="AB260" s="38"/>
      <c r="AC260" s="39">
        <f t="shared" si="38"/>
        <v>0</v>
      </c>
      <c r="AD260" s="38"/>
      <c r="AE260" s="38"/>
      <c r="AF260" s="39">
        <f t="shared" si="39"/>
        <v>0</v>
      </c>
    </row>
    <row r="261" spans="2:32" ht="15" customHeight="1" x14ac:dyDescent="0.3">
      <c r="B261" s="2" t="s">
        <v>836</v>
      </c>
      <c r="C261" s="4" t="s">
        <v>837</v>
      </c>
      <c r="D261" s="3" t="s">
        <v>964</v>
      </c>
      <c r="E261" s="6" t="s">
        <v>965</v>
      </c>
      <c r="F261" s="6" t="s">
        <v>974</v>
      </c>
      <c r="G261" s="6" t="s">
        <v>712</v>
      </c>
      <c r="H261" s="25">
        <v>214.29</v>
      </c>
      <c r="I261" s="38">
        <v>0</v>
      </c>
      <c r="J261" s="38">
        <v>0</v>
      </c>
      <c r="K261" s="39">
        <f t="shared" si="32"/>
        <v>0</v>
      </c>
      <c r="L261" s="38">
        <v>5</v>
      </c>
      <c r="M261" s="38">
        <v>1</v>
      </c>
      <c r="N261" s="39">
        <f t="shared" si="33"/>
        <v>1071.45</v>
      </c>
      <c r="O261" s="38">
        <v>0</v>
      </c>
      <c r="P261" s="38">
        <v>0</v>
      </c>
      <c r="Q261" s="39">
        <f t="shared" si="34"/>
        <v>0</v>
      </c>
      <c r="R261" s="38">
        <v>0</v>
      </c>
      <c r="S261" s="38">
        <v>0</v>
      </c>
      <c r="T261" s="39">
        <f t="shared" si="35"/>
        <v>0</v>
      </c>
      <c r="U261" s="38">
        <v>0</v>
      </c>
      <c r="V261" s="38">
        <v>0</v>
      </c>
      <c r="W261" s="39">
        <f t="shared" si="36"/>
        <v>0</v>
      </c>
      <c r="X261" s="38"/>
      <c r="Y261" s="38"/>
      <c r="Z261" s="39">
        <f t="shared" si="37"/>
        <v>0</v>
      </c>
      <c r="AA261" s="38"/>
      <c r="AB261" s="38"/>
      <c r="AC261" s="39">
        <f t="shared" si="38"/>
        <v>0</v>
      </c>
      <c r="AD261" s="38"/>
      <c r="AE261" s="38"/>
      <c r="AF261" s="39">
        <f t="shared" si="39"/>
        <v>0</v>
      </c>
    </row>
    <row r="262" spans="2:32" ht="15" customHeight="1" x14ac:dyDescent="0.3">
      <c r="B262" s="2" t="s">
        <v>836</v>
      </c>
      <c r="C262" s="4" t="s">
        <v>837</v>
      </c>
      <c r="D262" s="3" t="s">
        <v>964</v>
      </c>
      <c r="E262" s="6" t="s">
        <v>965</v>
      </c>
      <c r="F262" s="6" t="s">
        <v>975</v>
      </c>
      <c r="G262" s="6" t="s">
        <v>718</v>
      </c>
      <c r="H262" s="25">
        <v>0</v>
      </c>
      <c r="I262" s="38">
        <v>0</v>
      </c>
      <c r="J262" s="38">
        <v>0</v>
      </c>
      <c r="K262" s="39">
        <f t="shared" si="32"/>
        <v>0</v>
      </c>
      <c r="L262" s="38">
        <v>20000</v>
      </c>
      <c r="M262" s="38">
        <v>1</v>
      </c>
      <c r="N262" s="39">
        <f t="shared" si="33"/>
        <v>0</v>
      </c>
      <c r="O262" s="38">
        <v>0</v>
      </c>
      <c r="P262" s="38">
        <v>0</v>
      </c>
      <c r="Q262" s="39">
        <f t="shared" si="34"/>
        <v>0</v>
      </c>
      <c r="R262" s="38">
        <v>0</v>
      </c>
      <c r="S262" s="38">
        <v>0</v>
      </c>
      <c r="T262" s="39">
        <f t="shared" si="35"/>
        <v>0</v>
      </c>
      <c r="U262" s="38">
        <v>0</v>
      </c>
      <c r="V262" s="38">
        <v>0</v>
      </c>
      <c r="W262" s="39">
        <f t="shared" si="36"/>
        <v>0</v>
      </c>
      <c r="X262" s="38"/>
      <c r="Y262" s="38"/>
      <c r="Z262" s="39">
        <f t="shared" si="37"/>
        <v>0</v>
      </c>
      <c r="AA262" s="38"/>
      <c r="AB262" s="38"/>
      <c r="AC262" s="39">
        <f t="shared" si="38"/>
        <v>0</v>
      </c>
      <c r="AD262" s="38"/>
      <c r="AE262" s="38"/>
      <c r="AF262" s="39">
        <f t="shared" si="39"/>
        <v>0</v>
      </c>
    </row>
    <row r="263" spans="2:32" ht="15" customHeight="1" x14ac:dyDescent="0.3">
      <c r="B263" s="2" t="s">
        <v>836</v>
      </c>
      <c r="C263" s="4" t="s">
        <v>837</v>
      </c>
      <c r="D263" s="3" t="s">
        <v>976</v>
      </c>
      <c r="E263" s="6" t="s">
        <v>977</v>
      </c>
      <c r="F263" s="6" t="s">
        <v>978</v>
      </c>
      <c r="G263" s="6" t="s">
        <v>709</v>
      </c>
      <c r="H263" s="25">
        <v>28000</v>
      </c>
      <c r="I263" s="38">
        <v>0</v>
      </c>
      <c r="J263" s="38">
        <v>0</v>
      </c>
      <c r="K263" s="39">
        <f t="shared" si="32"/>
        <v>0</v>
      </c>
      <c r="L263" s="38">
        <v>0</v>
      </c>
      <c r="M263" s="38">
        <v>0</v>
      </c>
      <c r="N263" s="39">
        <f t="shared" si="33"/>
        <v>0</v>
      </c>
      <c r="O263" s="38">
        <v>0</v>
      </c>
      <c r="P263" s="38">
        <v>0</v>
      </c>
      <c r="Q263" s="39">
        <f t="shared" si="34"/>
        <v>0</v>
      </c>
      <c r="R263" s="38">
        <v>0</v>
      </c>
      <c r="S263" s="38">
        <v>0</v>
      </c>
      <c r="T263" s="39">
        <f t="shared" si="35"/>
        <v>0</v>
      </c>
      <c r="U263" s="38">
        <v>0</v>
      </c>
      <c r="V263" s="38">
        <v>0</v>
      </c>
      <c r="W263" s="39">
        <f t="shared" si="36"/>
        <v>0</v>
      </c>
      <c r="X263" s="38"/>
      <c r="Y263" s="38"/>
      <c r="Z263" s="39">
        <f t="shared" si="37"/>
        <v>0</v>
      </c>
      <c r="AA263" s="38"/>
      <c r="AB263" s="38"/>
      <c r="AC263" s="39">
        <f t="shared" si="38"/>
        <v>0</v>
      </c>
      <c r="AD263" s="38"/>
      <c r="AE263" s="38"/>
      <c r="AF263" s="39">
        <f t="shared" si="39"/>
        <v>0</v>
      </c>
    </row>
    <row r="264" spans="2:32" ht="15" customHeight="1" x14ac:dyDescent="0.3">
      <c r="B264" s="2" t="s">
        <v>836</v>
      </c>
      <c r="C264" s="4" t="s">
        <v>837</v>
      </c>
      <c r="D264" s="3" t="s">
        <v>976</v>
      </c>
      <c r="E264" s="6" t="s">
        <v>977</v>
      </c>
      <c r="F264" s="6" t="s">
        <v>978</v>
      </c>
      <c r="G264" s="6" t="s">
        <v>716</v>
      </c>
      <c r="H264" s="25">
        <v>39000</v>
      </c>
      <c r="I264" s="38">
        <v>15</v>
      </c>
      <c r="J264" s="38">
        <v>1</v>
      </c>
      <c r="K264" s="39">
        <f t="shared" si="32"/>
        <v>585000</v>
      </c>
      <c r="L264" s="38">
        <v>15</v>
      </c>
      <c r="M264" s="38">
        <v>1</v>
      </c>
      <c r="N264" s="39">
        <f t="shared" si="33"/>
        <v>585000</v>
      </c>
      <c r="O264" s="38">
        <v>15</v>
      </c>
      <c r="P264" s="38">
        <v>1</v>
      </c>
      <c r="Q264" s="39">
        <f t="shared" si="34"/>
        <v>585000</v>
      </c>
      <c r="R264" s="38">
        <v>15</v>
      </c>
      <c r="S264" s="38">
        <v>1</v>
      </c>
      <c r="T264" s="39">
        <f t="shared" si="35"/>
        <v>585000</v>
      </c>
      <c r="U264" s="38">
        <v>15</v>
      </c>
      <c r="V264" s="38">
        <v>1</v>
      </c>
      <c r="W264" s="39">
        <f t="shared" si="36"/>
        <v>585000</v>
      </c>
      <c r="X264" s="38"/>
      <c r="Y264" s="38"/>
      <c r="Z264" s="39">
        <f t="shared" si="37"/>
        <v>0</v>
      </c>
      <c r="AA264" s="38"/>
      <c r="AB264" s="38"/>
      <c r="AC264" s="39">
        <f t="shared" si="38"/>
        <v>0</v>
      </c>
      <c r="AD264" s="38"/>
      <c r="AE264" s="38"/>
      <c r="AF264" s="39">
        <f t="shared" si="39"/>
        <v>0</v>
      </c>
    </row>
    <row r="265" spans="2:32" ht="15" customHeight="1" x14ac:dyDescent="0.3">
      <c r="B265" s="2" t="s">
        <v>836</v>
      </c>
      <c r="C265" s="4" t="s">
        <v>837</v>
      </c>
      <c r="D265" s="3" t="s">
        <v>976</v>
      </c>
      <c r="E265" s="6" t="s">
        <v>977</v>
      </c>
      <c r="F265" s="6" t="s">
        <v>978</v>
      </c>
      <c r="G265" s="6" t="s">
        <v>712</v>
      </c>
      <c r="H265" s="25">
        <v>214.29</v>
      </c>
      <c r="I265" s="38">
        <v>15</v>
      </c>
      <c r="J265" s="38">
        <v>2</v>
      </c>
      <c r="K265" s="39">
        <f t="shared" si="32"/>
        <v>6428.7</v>
      </c>
      <c r="L265" s="38">
        <v>15</v>
      </c>
      <c r="M265" s="38">
        <v>2</v>
      </c>
      <c r="N265" s="39">
        <f t="shared" si="33"/>
        <v>6428.7</v>
      </c>
      <c r="O265" s="38">
        <v>15</v>
      </c>
      <c r="P265" s="38">
        <v>2</v>
      </c>
      <c r="Q265" s="39">
        <f t="shared" si="34"/>
        <v>6428.7</v>
      </c>
      <c r="R265" s="38">
        <v>15</v>
      </c>
      <c r="S265" s="38">
        <v>2</v>
      </c>
      <c r="T265" s="39">
        <f t="shared" si="35"/>
        <v>6428.7</v>
      </c>
      <c r="U265" s="38">
        <v>15</v>
      </c>
      <c r="V265" s="38">
        <v>2</v>
      </c>
      <c r="W265" s="39">
        <f t="shared" si="36"/>
        <v>6428.7</v>
      </c>
      <c r="X265" s="38"/>
      <c r="Y265" s="38"/>
      <c r="Z265" s="39">
        <f t="shared" si="37"/>
        <v>0</v>
      </c>
      <c r="AA265" s="38"/>
      <c r="AB265" s="38"/>
      <c r="AC265" s="39">
        <f t="shared" si="38"/>
        <v>0</v>
      </c>
      <c r="AD265" s="38"/>
      <c r="AE265" s="38"/>
      <c r="AF265" s="39">
        <f t="shared" si="39"/>
        <v>0</v>
      </c>
    </row>
    <row r="266" spans="2:32" ht="15" customHeight="1" x14ac:dyDescent="0.3">
      <c r="B266" s="2" t="s">
        <v>836</v>
      </c>
      <c r="C266" s="4" t="s">
        <v>837</v>
      </c>
      <c r="D266" s="3" t="s">
        <v>976</v>
      </c>
      <c r="E266" s="6" t="s">
        <v>977</v>
      </c>
      <c r="F266" s="6" t="s">
        <v>979</v>
      </c>
      <c r="G266" s="6" t="s">
        <v>841</v>
      </c>
      <c r="H266" s="25">
        <v>0</v>
      </c>
      <c r="I266" s="38">
        <v>4000</v>
      </c>
      <c r="J266" s="38">
        <v>1</v>
      </c>
      <c r="K266" s="39">
        <f t="shared" si="32"/>
        <v>0</v>
      </c>
      <c r="L266" s="38">
        <v>4000</v>
      </c>
      <c r="M266" s="38">
        <v>1</v>
      </c>
      <c r="N266" s="39">
        <f t="shared" si="33"/>
        <v>0</v>
      </c>
      <c r="O266" s="38">
        <v>4000</v>
      </c>
      <c r="P266" s="38">
        <v>1</v>
      </c>
      <c r="Q266" s="39">
        <f t="shared" si="34"/>
        <v>0</v>
      </c>
      <c r="R266" s="38">
        <v>4000</v>
      </c>
      <c r="S266" s="38">
        <v>1</v>
      </c>
      <c r="T266" s="39">
        <f t="shared" si="35"/>
        <v>0</v>
      </c>
      <c r="U266" s="38">
        <v>4000</v>
      </c>
      <c r="V266" s="38">
        <v>1</v>
      </c>
      <c r="W266" s="39">
        <f t="shared" si="36"/>
        <v>0</v>
      </c>
      <c r="X266" s="38"/>
      <c r="Y266" s="38"/>
      <c r="Z266" s="39">
        <f t="shared" si="37"/>
        <v>0</v>
      </c>
      <c r="AA266" s="38"/>
      <c r="AB266" s="38"/>
      <c r="AC266" s="39">
        <f t="shared" si="38"/>
        <v>0</v>
      </c>
      <c r="AD266" s="38"/>
      <c r="AE266" s="38"/>
      <c r="AF266" s="39">
        <f t="shared" si="39"/>
        <v>0</v>
      </c>
    </row>
    <row r="267" spans="2:32" ht="15" customHeight="1" x14ac:dyDescent="0.3">
      <c r="B267" s="2" t="s">
        <v>836</v>
      </c>
      <c r="C267" s="4" t="s">
        <v>837</v>
      </c>
      <c r="D267" s="3" t="s">
        <v>976</v>
      </c>
      <c r="E267" s="6" t="s">
        <v>977</v>
      </c>
      <c r="F267" s="6" t="s">
        <v>980</v>
      </c>
      <c r="G267" s="6" t="s">
        <v>709</v>
      </c>
      <c r="H267" s="25">
        <v>28000</v>
      </c>
      <c r="I267" s="38">
        <v>10</v>
      </c>
      <c r="J267" s="38">
        <v>1</v>
      </c>
      <c r="K267" s="39">
        <f t="shared" si="32"/>
        <v>280000</v>
      </c>
      <c r="L267" s="38">
        <v>10</v>
      </c>
      <c r="M267" s="38">
        <v>1</v>
      </c>
      <c r="N267" s="39">
        <f t="shared" si="33"/>
        <v>280000</v>
      </c>
      <c r="O267" s="38">
        <v>10</v>
      </c>
      <c r="P267" s="38">
        <v>1</v>
      </c>
      <c r="Q267" s="39">
        <f t="shared" si="34"/>
        <v>280000</v>
      </c>
      <c r="R267" s="38">
        <v>10</v>
      </c>
      <c r="S267" s="38">
        <v>1</v>
      </c>
      <c r="T267" s="39">
        <f t="shared" si="35"/>
        <v>280000</v>
      </c>
      <c r="U267" s="38">
        <v>10</v>
      </c>
      <c r="V267" s="38">
        <v>1</v>
      </c>
      <c r="W267" s="39">
        <f t="shared" si="36"/>
        <v>280000</v>
      </c>
      <c r="X267" s="38"/>
      <c r="Y267" s="38"/>
      <c r="Z267" s="39">
        <f t="shared" si="37"/>
        <v>0</v>
      </c>
      <c r="AA267" s="38"/>
      <c r="AB267" s="38"/>
      <c r="AC267" s="39">
        <f t="shared" si="38"/>
        <v>0</v>
      </c>
      <c r="AD267" s="38"/>
      <c r="AE267" s="38"/>
      <c r="AF267" s="39">
        <f t="shared" si="39"/>
        <v>0</v>
      </c>
    </row>
    <row r="268" spans="2:32" ht="15" customHeight="1" x14ac:dyDescent="0.3">
      <c r="B268" s="2" t="s">
        <v>836</v>
      </c>
      <c r="C268" s="4" t="s">
        <v>837</v>
      </c>
      <c r="D268" s="3" t="s">
        <v>976</v>
      </c>
      <c r="E268" s="6" t="s">
        <v>977</v>
      </c>
      <c r="F268" s="6" t="s">
        <v>981</v>
      </c>
      <c r="G268" s="6" t="s">
        <v>841</v>
      </c>
      <c r="H268" s="25">
        <v>0</v>
      </c>
      <c r="I268" s="38">
        <v>20</v>
      </c>
      <c r="J268" s="38">
        <v>3</v>
      </c>
      <c r="K268" s="39">
        <f t="shared" si="32"/>
        <v>0</v>
      </c>
      <c r="L268" s="38">
        <v>20</v>
      </c>
      <c r="M268" s="38">
        <v>3</v>
      </c>
      <c r="N268" s="39">
        <f t="shared" si="33"/>
        <v>0</v>
      </c>
      <c r="O268" s="38">
        <v>20</v>
      </c>
      <c r="P268" s="38">
        <v>3</v>
      </c>
      <c r="Q268" s="39">
        <f t="shared" si="34"/>
        <v>0</v>
      </c>
      <c r="R268" s="38">
        <v>20</v>
      </c>
      <c r="S268" s="38">
        <v>3</v>
      </c>
      <c r="T268" s="39">
        <f t="shared" si="35"/>
        <v>0</v>
      </c>
      <c r="U268" s="38">
        <v>20</v>
      </c>
      <c r="V268" s="38">
        <v>3</v>
      </c>
      <c r="W268" s="39">
        <f t="shared" si="36"/>
        <v>0</v>
      </c>
      <c r="X268" s="38"/>
      <c r="Y268" s="38"/>
      <c r="Z268" s="39">
        <f t="shared" si="37"/>
        <v>0</v>
      </c>
      <c r="AA268" s="38"/>
      <c r="AB268" s="38"/>
      <c r="AC268" s="39">
        <f t="shared" si="38"/>
        <v>0</v>
      </c>
      <c r="AD268" s="38"/>
      <c r="AE268" s="38"/>
      <c r="AF268" s="39">
        <f t="shared" si="39"/>
        <v>0</v>
      </c>
    </row>
    <row r="269" spans="2:32" ht="15" customHeight="1" x14ac:dyDescent="0.3">
      <c r="B269" s="2" t="s">
        <v>836</v>
      </c>
      <c r="C269" s="4" t="s">
        <v>837</v>
      </c>
      <c r="D269" s="3" t="s">
        <v>976</v>
      </c>
      <c r="E269" s="6" t="s">
        <v>977</v>
      </c>
      <c r="F269" s="6" t="s">
        <v>982</v>
      </c>
      <c r="G269" s="6" t="s">
        <v>709</v>
      </c>
      <c r="H269" s="25">
        <v>28000</v>
      </c>
      <c r="I269" s="38">
        <v>3</v>
      </c>
      <c r="J269" s="38">
        <v>5</v>
      </c>
      <c r="K269" s="39">
        <f t="shared" si="32"/>
        <v>420000</v>
      </c>
      <c r="L269" s="38">
        <v>3</v>
      </c>
      <c r="M269" s="38">
        <v>5</v>
      </c>
      <c r="N269" s="39">
        <f t="shared" si="33"/>
        <v>420000</v>
      </c>
      <c r="O269" s="38">
        <v>3</v>
      </c>
      <c r="P269" s="38">
        <v>5</v>
      </c>
      <c r="Q269" s="39">
        <f t="shared" si="34"/>
        <v>420000</v>
      </c>
      <c r="R269" s="38">
        <v>3</v>
      </c>
      <c r="S269" s="38">
        <v>5</v>
      </c>
      <c r="T269" s="39">
        <f t="shared" si="35"/>
        <v>420000</v>
      </c>
      <c r="U269" s="38">
        <v>3</v>
      </c>
      <c r="V269" s="38">
        <v>5</v>
      </c>
      <c r="W269" s="39">
        <f t="shared" si="36"/>
        <v>420000</v>
      </c>
      <c r="X269" s="38"/>
      <c r="Y269" s="38"/>
      <c r="Z269" s="39">
        <f t="shared" si="37"/>
        <v>0</v>
      </c>
      <c r="AA269" s="38"/>
      <c r="AB269" s="38"/>
      <c r="AC269" s="39">
        <f t="shared" si="38"/>
        <v>0</v>
      </c>
      <c r="AD269" s="38"/>
      <c r="AE269" s="38"/>
      <c r="AF269" s="39">
        <f t="shared" si="39"/>
        <v>0</v>
      </c>
    </row>
    <row r="270" spans="2:32" ht="15" customHeight="1" x14ac:dyDescent="0.3">
      <c r="B270" s="35" t="s">
        <v>983</v>
      </c>
      <c r="C270" s="36" t="s">
        <v>837</v>
      </c>
      <c r="D270" s="37" t="s">
        <v>984</v>
      </c>
      <c r="E270" s="6" t="s">
        <v>985</v>
      </c>
      <c r="F270" s="6" t="s">
        <v>155</v>
      </c>
      <c r="G270" s="6" t="s">
        <v>841</v>
      </c>
      <c r="H270" s="25">
        <v>0</v>
      </c>
      <c r="I270" s="38">
        <v>20</v>
      </c>
      <c r="J270" s="38">
        <v>1</v>
      </c>
      <c r="K270" s="39">
        <f t="shared" si="32"/>
        <v>0</v>
      </c>
      <c r="L270" s="38">
        <v>20</v>
      </c>
      <c r="M270" s="38">
        <v>1</v>
      </c>
      <c r="N270" s="39">
        <f t="shared" si="33"/>
        <v>0</v>
      </c>
      <c r="O270" s="38">
        <v>20</v>
      </c>
      <c r="P270" s="38">
        <v>1</v>
      </c>
      <c r="Q270" s="39">
        <f t="shared" si="34"/>
        <v>0</v>
      </c>
      <c r="R270" s="38">
        <v>20</v>
      </c>
      <c r="S270" s="38">
        <v>1</v>
      </c>
      <c r="T270" s="39">
        <f t="shared" si="35"/>
        <v>0</v>
      </c>
      <c r="U270" s="38">
        <v>20</v>
      </c>
      <c r="V270" s="38">
        <v>1</v>
      </c>
      <c r="W270" s="39">
        <f t="shared" si="36"/>
        <v>0</v>
      </c>
      <c r="X270" s="38"/>
      <c r="Y270" s="38"/>
      <c r="Z270" s="39">
        <f t="shared" si="37"/>
        <v>0</v>
      </c>
      <c r="AA270" s="38"/>
      <c r="AB270" s="38"/>
      <c r="AC270" s="39">
        <f t="shared" si="38"/>
        <v>0</v>
      </c>
      <c r="AD270" s="38"/>
      <c r="AE270" s="38"/>
      <c r="AF270" s="39">
        <f t="shared" si="39"/>
        <v>0</v>
      </c>
    </row>
    <row r="271" spans="2:32" ht="15" customHeight="1" x14ac:dyDescent="0.3">
      <c r="B271" s="35" t="s">
        <v>983</v>
      </c>
      <c r="C271" s="36" t="s">
        <v>837</v>
      </c>
      <c r="D271" s="37" t="s">
        <v>984</v>
      </c>
      <c r="E271" s="6" t="s">
        <v>985</v>
      </c>
      <c r="F271" s="6" t="s">
        <v>158</v>
      </c>
      <c r="G271" s="6" t="s">
        <v>841</v>
      </c>
      <c r="H271" s="25">
        <v>0</v>
      </c>
      <c r="I271" s="38">
        <v>0</v>
      </c>
      <c r="J271" s="38">
        <v>0</v>
      </c>
      <c r="K271" s="39">
        <f t="shared" si="32"/>
        <v>0</v>
      </c>
      <c r="L271" s="38">
        <v>0</v>
      </c>
      <c r="M271" s="38">
        <v>0</v>
      </c>
      <c r="N271" s="39">
        <f t="shared" si="33"/>
        <v>0</v>
      </c>
      <c r="O271" s="38">
        <v>0</v>
      </c>
      <c r="P271" s="38">
        <v>0</v>
      </c>
      <c r="Q271" s="39">
        <f t="shared" si="34"/>
        <v>0</v>
      </c>
      <c r="R271" s="38">
        <v>0</v>
      </c>
      <c r="S271" s="38">
        <v>0</v>
      </c>
      <c r="T271" s="39">
        <f t="shared" si="35"/>
        <v>0</v>
      </c>
      <c r="U271" s="38">
        <v>0</v>
      </c>
      <c r="V271" s="38">
        <v>0</v>
      </c>
      <c r="W271" s="39">
        <f t="shared" si="36"/>
        <v>0</v>
      </c>
      <c r="X271" s="38"/>
      <c r="Y271" s="38"/>
      <c r="Z271" s="39">
        <f t="shared" si="37"/>
        <v>0</v>
      </c>
      <c r="AA271" s="38"/>
      <c r="AB271" s="38"/>
      <c r="AC271" s="39">
        <f t="shared" si="38"/>
        <v>0</v>
      </c>
      <c r="AD271" s="38"/>
      <c r="AE271" s="38"/>
      <c r="AF271" s="39">
        <f t="shared" si="39"/>
        <v>0</v>
      </c>
    </row>
    <row r="272" spans="2:32" ht="15" customHeight="1" x14ac:dyDescent="0.3">
      <c r="B272" s="35" t="s">
        <v>983</v>
      </c>
      <c r="C272" s="36" t="s">
        <v>837</v>
      </c>
      <c r="D272" s="37" t="s">
        <v>984</v>
      </c>
      <c r="E272" s="6" t="s">
        <v>985</v>
      </c>
      <c r="F272" s="6" t="s">
        <v>986</v>
      </c>
      <c r="G272" s="6" t="s">
        <v>707</v>
      </c>
      <c r="H272" s="25">
        <v>391991.03749999998</v>
      </c>
      <c r="I272" s="38">
        <v>0</v>
      </c>
      <c r="J272" s="38">
        <v>0</v>
      </c>
      <c r="K272" s="39">
        <f t="shared" si="32"/>
        <v>0</v>
      </c>
      <c r="L272" s="38">
        <v>0</v>
      </c>
      <c r="M272" s="38">
        <v>0</v>
      </c>
      <c r="N272" s="39">
        <f t="shared" si="33"/>
        <v>0</v>
      </c>
      <c r="O272" s="38">
        <v>0</v>
      </c>
      <c r="P272" s="38">
        <v>0</v>
      </c>
      <c r="Q272" s="39">
        <f t="shared" si="34"/>
        <v>0</v>
      </c>
      <c r="R272" s="38">
        <v>0</v>
      </c>
      <c r="S272" s="38">
        <v>0</v>
      </c>
      <c r="T272" s="39">
        <f t="shared" si="35"/>
        <v>0</v>
      </c>
      <c r="U272" s="38">
        <v>0</v>
      </c>
      <c r="V272" s="38">
        <v>0</v>
      </c>
      <c r="W272" s="39">
        <f t="shared" si="36"/>
        <v>0</v>
      </c>
      <c r="X272" s="38"/>
      <c r="Y272" s="38"/>
      <c r="Z272" s="39">
        <f t="shared" si="37"/>
        <v>0</v>
      </c>
      <c r="AA272" s="38"/>
      <c r="AB272" s="38"/>
      <c r="AC272" s="39">
        <f t="shared" si="38"/>
        <v>0</v>
      </c>
      <c r="AD272" s="38"/>
      <c r="AE272" s="38"/>
      <c r="AF272" s="39">
        <f t="shared" si="39"/>
        <v>0</v>
      </c>
    </row>
    <row r="273" spans="2:32" ht="15" customHeight="1" x14ac:dyDescent="0.3">
      <c r="B273" s="35" t="s">
        <v>983</v>
      </c>
      <c r="C273" s="36" t="s">
        <v>837</v>
      </c>
      <c r="D273" s="37" t="s">
        <v>984</v>
      </c>
      <c r="E273" s="6" t="s">
        <v>985</v>
      </c>
      <c r="F273" s="6" t="s">
        <v>986</v>
      </c>
      <c r="G273" s="6" t="s">
        <v>708</v>
      </c>
      <c r="H273" s="25">
        <v>425000</v>
      </c>
      <c r="I273" s="38">
        <v>1</v>
      </c>
      <c r="J273" s="38">
        <v>6</v>
      </c>
      <c r="K273" s="39">
        <f t="shared" si="32"/>
        <v>2550000</v>
      </c>
      <c r="L273" s="38">
        <v>0</v>
      </c>
      <c r="M273" s="38">
        <v>0</v>
      </c>
      <c r="N273" s="39">
        <f t="shared" si="33"/>
        <v>0</v>
      </c>
      <c r="O273" s="38">
        <v>0</v>
      </c>
      <c r="P273" s="38">
        <v>0</v>
      </c>
      <c r="Q273" s="39">
        <f t="shared" si="34"/>
        <v>0</v>
      </c>
      <c r="R273" s="38">
        <v>0</v>
      </c>
      <c r="S273" s="38">
        <v>0</v>
      </c>
      <c r="T273" s="39">
        <f t="shared" si="35"/>
        <v>0</v>
      </c>
      <c r="U273" s="38">
        <v>0</v>
      </c>
      <c r="V273" s="38">
        <v>0</v>
      </c>
      <c r="W273" s="39">
        <f t="shared" si="36"/>
        <v>0</v>
      </c>
      <c r="X273" s="38"/>
      <c r="Y273" s="38"/>
      <c r="Z273" s="39">
        <f t="shared" si="37"/>
        <v>0</v>
      </c>
      <c r="AA273" s="38"/>
      <c r="AB273" s="38"/>
      <c r="AC273" s="39">
        <f t="shared" si="38"/>
        <v>0</v>
      </c>
      <c r="AD273" s="38"/>
      <c r="AE273" s="38"/>
      <c r="AF273" s="39">
        <f t="shared" si="39"/>
        <v>0</v>
      </c>
    </row>
    <row r="274" spans="2:32" ht="15" customHeight="1" x14ac:dyDescent="0.3">
      <c r="B274" s="35" t="s">
        <v>983</v>
      </c>
      <c r="C274" s="36" t="s">
        <v>837</v>
      </c>
      <c r="D274" s="37" t="s">
        <v>984</v>
      </c>
      <c r="E274" s="6" t="s">
        <v>985</v>
      </c>
      <c r="F274" s="6" t="s">
        <v>151</v>
      </c>
      <c r="G274" s="6" t="s">
        <v>713</v>
      </c>
      <c r="H274" s="25">
        <v>45000</v>
      </c>
      <c r="I274" s="38">
        <v>1</v>
      </c>
      <c r="J274" s="38">
        <v>40</v>
      </c>
      <c r="K274" s="39">
        <f t="shared" si="32"/>
        <v>1800000</v>
      </c>
      <c r="L274" s="38">
        <v>0</v>
      </c>
      <c r="M274" s="38">
        <v>0</v>
      </c>
      <c r="N274" s="39">
        <f t="shared" si="33"/>
        <v>0</v>
      </c>
      <c r="O274" s="38">
        <v>0</v>
      </c>
      <c r="P274" s="38">
        <v>0</v>
      </c>
      <c r="Q274" s="39">
        <f t="shared" si="34"/>
        <v>0</v>
      </c>
      <c r="R274" s="38">
        <v>0</v>
      </c>
      <c r="S274" s="38">
        <v>0</v>
      </c>
      <c r="T274" s="39">
        <f t="shared" si="35"/>
        <v>0</v>
      </c>
      <c r="U274" s="38">
        <v>0</v>
      </c>
      <c r="V274" s="38">
        <v>0</v>
      </c>
      <c r="W274" s="39">
        <f t="shared" si="36"/>
        <v>0</v>
      </c>
      <c r="X274" s="38"/>
      <c r="Y274" s="38"/>
      <c r="Z274" s="39">
        <f t="shared" si="37"/>
        <v>0</v>
      </c>
      <c r="AA274" s="38"/>
      <c r="AB274" s="38"/>
      <c r="AC274" s="39">
        <f t="shared" si="38"/>
        <v>0</v>
      </c>
      <c r="AD274" s="38"/>
      <c r="AE274" s="38"/>
      <c r="AF274" s="39">
        <f t="shared" si="39"/>
        <v>0</v>
      </c>
    </row>
    <row r="275" spans="2:32" ht="15" customHeight="1" x14ac:dyDescent="0.3">
      <c r="B275" s="35" t="s">
        <v>983</v>
      </c>
      <c r="C275" s="36" t="s">
        <v>837</v>
      </c>
      <c r="D275" s="37" t="s">
        <v>984</v>
      </c>
      <c r="E275" s="6" t="s">
        <v>985</v>
      </c>
      <c r="F275" s="6" t="s">
        <v>151</v>
      </c>
      <c r="G275" s="6" t="s">
        <v>712</v>
      </c>
      <c r="H275" s="25">
        <v>214.29</v>
      </c>
      <c r="I275" s="38">
        <v>25</v>
      </c>
      <c r="J275" s="38">
        <v>10</v>
      </c>
      <c r="K275" s="39">
        <f t="shared" si="32"/>
        <v>53572.5</v>
      </c>
      <c r="L275" s="38">
        <v>0</v>
      </c>
      <c r="M275" s="38">
        <v>0</v>
      </c>
      <c r="N275" s="39">
        <f t="shared" si="33"/>
        <v>0</v>
      </c>
      <c r="O275" s="38">
        <v>0</v>
      </c>
      <c r="P275" s="38">
        <v>0</v>
      </c>
      <c r="Q275" s="39">
        <f t="shared" si="34"/>
        <v>0</v>
      </c>
      <c r="R275" s="38">
        <v>0</v>
      </c>
      <c r="S275" s="38">
        <v>0</v>
      </c>
      <c r="T275" s="39">
        <f t="shared" si="35"/>
        <v>0</v>
      </c>
      <c r="U275" s="38">
        <v>0</v>
      </c>
      <c r="V275" s="38">
        <v>0</v>
      </c>
      <c r="W275" s="39">
        <f t="shared" si="36"/>
        <v>0</v>
      </c>
      <c r="X275" s="38"/>
      <c r="Y275" s="38"/>
      <c r="Z275" s="39">
        <f t="shared" si="37"/>
        <v>0</v>
      </c>
      <c r="AA275" s="38"/>
      <c r="AB275" s="38"/>
      <c r="AC275" s="39">
        <f t="shared" si="38"/>
        <v>0</v>
      </c>
      <c r="AD275" s="38"/>
      <c r="AE275" s="38"/>
      <c r="AF275" s="39">
        <f t="shared" si="39"/>
        <v>0</v>
      </c>
    </row>
    <row r="276" spans="2:32" ht="15" customHeight="1" x14ac:dyDescent="0.3">
      <c r="B276" s="35" t="s">
        <v>983</v>
      </c>
      <c r="C276" s="36" t="s">
        <v>837</v>
      </c>
      <c r="D276" s="37" t="s">
        <v>984</v>
      </c>
      <c r="E276" s="6" t="s">
        <v>985</v>
      </c>
      <c r="F276" s="6" t="s">
        <v>151</v>
      </c>
      <c r="G276" s="6" t="s">
        <v>715</v>
      </c>
      <c r="H276" s="25">
        <v>302000</v>
      </c>
      <c r="I276" s="38">
        <v>20000</v>
      </c>
      <c r="J276" s="38">
        <v>1</v>
      </c>
      <c r="K276" s="39">
        <f t="shared" si="32"/>
        <v>6040000000</v>
      </c>
      <c r="L276" s="38">
        <v>0</v>
      </c>
      <c r="M276" s="38">
        <v>0</v>
      </c>
      <c r="N276" s="39">
        <f t="shared" si="33"/>
        <v>0</v>
      </c>
      <c r="O276" s="38">
        <v>0</v>
      </c>
      <c r="P276" s="38">
        <v>0</v>
      </c>
      <c r="Q276" s="39">
        <f t="shared" si="34"/>
        <v>0</v>
      </c>
      <c r="R276" s="38">
        <v>0</v>
      </c>
      <c r="S276" s="38">
        <v>0</v>
      </c>
      <c r="T276" s="39">
        <f t="shared" si="35"/>
        <v>0</v>
      </c>
      <c r="U276" s="38">
        <v>0</v>
      </c>
      <c r="V276" s="38">
        <v>0</v>
      </c>
      <c r="W276" s="39">
        <f t="shared" si="36"/>
        <v>0</v>
      </c>
      <c r="X276" s="38"/>
      <c r="Y276" s="38"/>
      <c r="Z276" s="39">
        <f t="shared" si="37"/>
        <v>0</v>
      </c>
      <c r="AA276" s="38"/>
      <c r="AB276" s="38"/>
      <c r="AC276" s="39">
        <f t="shared" si="38"/>
        <v>0</v>
      </c>
      <c r="AD276" s="38"/>
      <c r="AE276" s="38"/>
      <c r="AF276" s="39">
        <f t="shared" si="39"/>
        <v>0</v>
      </c>
    </row>
    <row r="277" spans="2:32" ht="15" customHeight="1" x14ac:dyDescent="0.3">
      <c r="B277" s="35" t="s">
        <v>983</v>
      </c>
      <c r="C277" s="36" t="s">
        <v>837</v>
      </c>
      <c r="D277" s="37" t="s">
        <v>984</v>
      </c>
      <c r="E277" s="6" t="s">
        <v>985</v>
      </c>
      <c r="F277" s="6" t="s">
        <v>151</v>
      </c>
      <c r="G277" s="6" t="s">
        <v>987</v>
      </c>
      <c r="H277" s="25">
        <v>10000</v>
      </c>
      <c r="I277" s="38">
        <v>20</v>
      </c>
      <c r="J277" s="38">
        <v>1</v>
      </c>
      <c r="K277" s="39">
        <f t="shared" si="32"/>
        <v>200000</v>
      </c>
      <c r="L277" s="38">
        <v>0</v>
      </c>
      <c r="M277" s="38">
        <v>0</v>
      </c>
      <c r="N277" s="39">
        <f t="shared" si="33"/>
        <v>0</v>
      </c>
      <c r="O277" s="38">
        <v>0</v>
      </c>
      <c r="P277" s="38">
        <v>0</v>
      </c>
      <c r="Q277" s="39">
        <f t="shared" si="34"/>
        <v>0</v>
      </c>
      <c r="R277" s="38">
        <v>0</v>
      </c>
      <c r="S277" s="38">
        <v>0</v>
      </c>
      <c r="T277" s="39">
        <f t="shared" si="35"/>
        <v>0</v>
      </c>
      <c r="U277" s="38">
        <v>0</v>
      </c>
      <c r="V277" s="38">
        <v>0</v>
      </c>
      <c r="W277" s="39">
        <f t="shared" si="36"/>
        <v>0</v>
      </c>
      <c r="X277" s="38"/>
      <c r="Y277" s="38"/>
      <c r="Z277" s="39">
        <f t="shared" si="37"/>
        <v>0</v>
      </c>
      <c r="AA277" s="38"/>
      <c r="AB277" s="38"/>
      <c r="AC277" s="39">
        <f t="shared" si="38"/>
        <v>0</v>
      </c>
      <c r="AD277" s="38"/>
      <c r="AE277" s="38"/>
      <c r="AF277" s="39">
        <f t="shared" si="39"/>
        <v>0</v>
      </c>
    </row>
    <row r="278" spans="2:32" ht="15" customHeight="1" x14ac:dyDescent="0.3">
      <c r="B278" s="35" t="s">
        <v>983</v>
      </c>
      <c r="C278" s="36" t="s">
        <v>837</v>
      </c>
      <c r="D278" s="37" t="s">
        <v>984</v>
      </c>
      <c r="E278" s="6" t="s">
        <v>985</v>
      </c>
      <c r="F278" s="6" t="s">
        <v>152</v>
      </c>
      <c r="G278" s="6" t="s">
        <v>709</v>
      </c>
      <c r="H278" s="25">
        <v>28000</v>
      </c>
      <c r="I278" s="38">
        <v>15</v>
      </c>
      <c r="J278" s="38">
        <v>1</v>
      </c>
      <c r="K278" s="39">
        <f t="shared" si="32"/>
        <v>420000</v>
      </c>
      <c r="L278" s="38">
        <v>0</v>
      </c>
      <c r="M278" s="38">
        <v>0</v>
      </c>
      <c r="N278" s="39">
        <f t="shared" si="33"/>
        <v>0</v>
      </c>
      <c r="O278" s="38">
        <v>0</v>
      </c>
      <c r="P278" s="38">
        <v>0</v>
      </c>
      <c r="Q278" s="39">
        <f t="shared" si="34"/>
        <v>0</v>
      </c>
      <c r="R278" s="38">
        <v>0</v>
      </c>
      <c r="S278" s="38">
        <v>0</v>
      </c>
      <c r="T278" s="39">
        <f t="shared" si="35"/>
        <v>0</v>
      </c>
      <c r="U278" s="38">
        <v>0</v>
      </c>
      <c r="V278" s="38">
        <v>0</v>
      </c>
      <c r="W278" s="39">
        <f t="shared" si="36"/>
        <v>0</v>
      </c>
      <c r="X278" s="38"/>
      <c r="Y278" s="38"/>
      <c r="Z278" s="39">
        <f t="shared" si="37"/>
        <v>0</v>
      </c>
      <c r="AA278" s="38"/>
      <c r="AB278" s="38"/>
      <c r="AC278" s="39">
        <f t="shared" si="38"/>
        <v>0</v>
      </c>
      <c r="AD278" s="38"/>
      <c r="AE278" s="38"/>
      <c r="AF278" s="39">
        <f t="shared" si="39"/>
        <v>0</v>
      </c>
    </row>
    <row r="279" spans="2:32" ht="15" customHeight="1" x14ac:dyDescent="0.3">
      <c r="B279" s="35" t="s">
        <v>983</v>
      </c>
      <c r="C279" s="36" t="s">
        <v>837</v>
      </c>
      <c r="D279" s="37" t="s">
        <v>984</v>
      </c>
      <c r="E279" s="6" t="s">
        <v>985</v>
      </c>
      <c r="F279" s="6" t="s">
        <v>152</v>
      </c>
      <c r="G279" s="6" t="s">
        <v>712</v>
      </c>
      <c r="H279" s="25">
        <v>214.29</v>
      </c>
      <c r="I279" s="38">
        <v>25</v>
      </c>
      <c r="J279" s="38">
        <v>5</v>
      </c>
      <c r="K279" s="39">
        <f t="shared" si="32"/>
        <v>26786.25</v>
      </c>
      <c r="L279" s="38">
        <v>0</v>
      </c>
      <c r="M279" s="38">
        <v>0</v>
      </c>
      <c r="N279" s="39">
        <f t="shared" si="33"/>
        <v>0</v>
      </c>
      <c r="O279" s="38">
        <v>0</v>
      </c>
      <c r="P279" s="38">
        <v>0</v>
      </c>
      <c r="Q279" s="39">
        <f t="shared" si="34"/>
        <v>0</v>
      </c>
      <c r="R279" s="38">
        <v>0</v>
      </c>
      <c r="S279" s="38">
        <v>0</v>
      </c>
      <c r="T279" s="39">
        <f t="shared" si="35"/>
        <v>0</v>
      </c>
      <c r="U279" s="38">
        <v>0</v>
      </c>
      <c r="V279" s="38">
        <v>0</v>
      </c>
      <c r="W279" s="39">
        <f t="shared" si="36"/>
        <v>0</v>
      </c>
      <c r="X279" s="38"/>
      <c r="Y279" s="38"/>
      <c r="Z279" s="39">
        <f t="shared" si="37"/>
        <v>0</v>
      </c>
      <c r="AA279" s="38"/>
      <c r="AB279" s="38"/>
      <c r="AC279" s="39">
        <f t="shared" si="38"/>
        <v>0</v>
      </c>
      <c r="AD279" s="38"/>
      <c r="AE279" s="38"/>
      <c r="AF279" s="39">
        <f t="shared" si="39"/>
        <v>0</v>
      </c>
    </row>
    <row r="280" spans="2:32" ht="15" customHeight="1" x14ac:dyDescent="0.3">
      <c r="B280" s="35" t="s">
        <v>983</v>
      </c>
      <c r="C280" s="36" t="s">
        <v>837</v>
      </c>
      <c r="D280" s="37" t="s">
        <v>984</v>
      </c>
      <c r="E280" s="6" t="s">
        <v>985</v>
      </c>
      <c r="F280" s="6" t="s">
        <v>152</v>
      </c>
      <c r="G280" s="6" t="s">
        <v>716</v>
      </c>
      <c r="H280" s="25">
        <v>39000</v>
      </c>
      <c r="I280" s="38">
        <v>4000</v>
      </c>
      <c r="J280" s="38">
        <v>1</v>
      </c>
      <c r="K280" s="39">
        <f t="shared" si="32"/>
        <v>156000000</v>
      </c>
      <c r="L280" s="38">
        <v>0</v>
      </c>
      <c r="M280" s="38">
        <v>0</v>
      </c>
      <c r="N280" s="39">
        <f t="shared" si="33"/>
        <v>0</v>
      </c>
      <c r="O280" s="38">
        <v>0</v>
      </c>
      <c r="P280" s="38">
        <v>0</v>
      </c>
      <c r="Q280" s="39">
        <f t="shared" si="34"/>
        <v>0</v>
      </c>
      <c r="R280" s="38">
        <v>0</v>
      </c>
      <c r="S280" s="38">
        <v>0</v>
      </c>
      <c r="T280" s="39">
        <f t="shared" si="35"/>
        <v>0</v>
      </c>
      <c r="U280" s="38">
        <v>0</v>
      </c>
      <c r="V280" s="38">
        <v>0</v>
      </c>
      <c r="W280" s="39">
        <f t="shared" si="36"/>
        <v>0</v>
      </c>
      <c r="X280" s="38"/>
      <c r="Y280" s="38"/>
      <c r="Z280" s="39">
        <f t="shared" si="37"/>
        <v>0</v>
      </c>
      <c r="AA280" s="38"/>
      <c r="AB280" s="38"/>
      <c r="AC280" s="39">
        <f t="shared" si="38"/>
        <v>0</v>
      </c>
      <c r="AD280" s="38"/>
      <c r="AE280" s="38"/>
      <c r="AF280" s="39">
        <f t="shared" si="39"/>
        <v>0</v>
      </c>
    </row>
    <row r="281" spans="2:32" ht="15" customHeight="1" x14ac:dyDescent="0.3">
      <c r="B281" s="35" t="s">
        <v>983</v>
      </c>
      <c r="C281" s="36" t="s">
        <v>837</v>
      </c>
      <c r="D281" s="37" t="s">
        <v>984</v>
      </c>
      <c r="E281" s="6" t="s">
        <v>985</v>
      </c>
      <c r="F281" s="6" t="s">
        <v>988</v>
      </c>
      <c r="G281" s="6" t="s">
        <v>709</v>
      </c>
      <c r="H281" s="25">
        <v>28000</v>
      </c>
      <c r="I281" s="38">
        <v>25</v>
      </c>
      <c r="J281" s="38">
        <v>5</v>
      </c>
      <c r="K281" s="39">
        <f t="shared" si="32"/>
        <v>3500000</v>
      </c>
      <c r="L281" s="38">
        <v>0</v>
      </c>
      <c r="M281" s="38">
        <v>0</v>
      </c>
      <c r="N281" s="39">
        <f t="shared" si="33"/>
        <v>0</v>
      </c>
      <c r="O281" s="38">
        <v>0</v>
      </c>
      <c r="P281" s="38">
        <v>0</v>
      </c>
      <c r="Q281" s="39">
        <f t="shared" si="34"/>
        <v>0</v>
      </c>
      <c r="R281" s="38">
        <v>0</v>
      </c>
      <c r="S281" s="38">
        <v>0</v>
      </c>
      <c r="T281" s="39">
        <f t="shared" si="35"/>
        <v>0</v>
      </c>
      <c r="U281" s="38">
        <v>0</v>
      </c>
      <c r="V281" s="38">
        <v>0</v>
      </c>
      <c r="W281" s="39">
        <f t="shared" si="36"/>
        <v>0</v>
      </c>
      <c r="X281" s="38"/>
      <c r="Y281" s="38"/>
      <c r="Z281" s="39">
        <f t="shared" si="37"/>
        <v>0</v>
      </c>
      <c r="AA281" s="38"/>
      <c r="AB281" s="38"/>
      <c r="AC281" s="39">
        <f t="shared" si="38"/>
        <v>0</v>
      </c>
      <c r="AD281" s="38"/>
      <c r="AE281" s="38"/>
      <c r="AF281" s="39">
        <f t="shared" si="39"/>
        <v>0</v>
      </c>
    </row>
    <row r="282" spans="2:32" ht="15" customHeight="1" x14ac:dyDescent="0.3">
      <c r="B282" s="35" t="s">
        <v>983</v>
      </c>
      <c r="C282" s="36" t="s">
        <v>837</v>
      </c>
      <c r="D282" s="37" t="s">
        <v>984</v>
      </c>
      <c r="E282" s="6" t="s">
        <v>985</v>
      </c>
      <c r="F282" s="6" t="s">
        <v>988</v>
      </c>
      <c r="G282" s="6" t="s">
        <v>712</v>
      </c>
      <c r="H282" s="25">
        <v>214.29</v>
      </c>
      <c r="I282" s="38">
        <v>25</v>
      </c>
      <c r="J282" s="38">
        <v>5</v>
      </c>
      <c r="K282" s="39">
        <f t="shared" si="32"/>
        <v>26786.25</v>
      </c>
      <c r="L282" s="38">
        <v>0</v>
      </c>
      <c r="M282" s="38">
        <v>0</v>
      </c>
      <c r="N282" s="39">
        <f t="shared" si="33"/>
        <v>0</v>
      </c>
      <c r="O282" s="38">
        <v>0</v>
      </c>
      <c r="P282" s="38">
        <v>0</v>
      </c>
      <c r="Q282" s="39">
        <f t="shared" si="34"/>
        <v>0</v>
      </c>
      <c r="R282" s="38">
        <v>0</v>
      </c>
      <c r="S282" s="38">
        <v>0</v>
      </c>
      <c r="T282" s="39">
        <f t="shared" si="35"/>
        <v>0</v>
      </c>
      <c r="U282" s="38">
        <v>0</v>
      </c>
      <c r="V282" s="38">
        <v>0</v>
      </c>
      <c r="W282" s="39">
        <f t="shared" si="36"/>
        <v>0</v>
      </c>
      <c r="X282" s="38"/>
      <c r="Y282" s="38"/>
      <c r="Z282" s="39">
        <f t="shared" si="37"/>
        <v>0</v>
      </c>
      <c r="AA282" s="38"/>
      <c r="AB282" s="38"/>
      <c r="AC282" s="39">
        <f t="shared" si="38"/>
        <v>0</v>
      </c>
      <c r="AD282" s="38"/>
      <c r="AE282" s="38"/>
      <c r="AF282" s="39">
        <f t="shared" si="39"/>
        <v>0</v>
      </c>
    </row>
    <row r="283" spans="2:32" ht="15" customHeight="1" x14ac:dyDescent="0.3">
      <c r="B283" s="35" t="s">
        <v>983</v>
      </c>
      <c r="C283" s="36" t="s">
        <v>837</v>
      </c>
      <c r="D283" s="37" t="s">
        <v>984</v>
      </c>
      <c r="E283" s="6" t="s">
        <v>985</v>
      </c>
      <c r="F283" s="6" t="s">
        <v>988</v>
      </c>
      <c r="G283" s="6" t="s">
        <v>716</v>
      </c>
      <c r="H283" s="25">
        <v>39000</v>
      </c>
      <c r="I283" s="38">
        <v>4000</v>
      </c>
      <c r="J283" s="38">
        <v>1</v>
      </c>
      <c r="K283" s="39">
        <f t="shared" si="32"/>
        <v>156000000</v>
      </c>
      <c r="L283" s="38">
        <v>0</v>
      </c>
      <c r="M283" s="38">
        <v>0</v>
      </c>
      <c r="N283" s="39">
        <f t="shared" si="33"/>
        <v>0</v>
      </c>
      <c r="O283" s="38">
        <v>0</v>
      </c>
      <c r="P283" s="38">
        <v>0</v>
      </c>
      <c r="Q283" s="39">
        <f t="shared" si="34"/>
        <v>0</v>
      </c>
      <c r="R283" s="38">
        <v>0</v>
      </c>
      <c r="S283" s="38">
        <v>0</v>
      </c>
      <c r="T283" s="39">
        <f t="shared" si="35"/>
        <v>0</v>
      </c>
      <c r="U283" s="38">
        <v>0</v>
      </c>
      <c r="V283" s="38">
        <v>0</v>
      </c>
      <c r="W283" s="39">
        <f t="shared" si="36"/>
        <v>0</v>
      </c>
      <c r="X283" s="38"/>
      <c r="Y283" s="38"/>
      <c r="Z283" s="39">
        <f t="shared" si="37"/>
        <v>0</v>
      </c>
      <c r="AA283" s="38"/>
      <c r="AB283" s="38"/>
      <c r="AC283" s="39">
        <f t="shared" si="38"/>
        <v>0</v>
      </c>
      <c r="AD283" s="38"/>
      <c r="AE283" s="38"/>
      <c r="AF283" s="39">
        <f t="shared" si="39"/>
        <v>0</v>
      </c>
    </row>
    <row r="284" spans="2:32" ht="15" customHeight="1" x14ac:dyDescent="0.3">
      <c r="B284" s="35" t="s">
        <v>983</v>
      </c>
      <c r="C284" s="36" t="s">
        <v>837</v>
      </c>
      <c r="D284" s="37" t="s">
        <v>984</v>
      </c>
      <c r="E284" s="6" t="s">
        <v>985</v>
      </c>
      <c r="F284" s="6" t="s">
        <v>869</v>
      </c>
      <c r="G284" s="6" t="s">
        <v>841</v>
      </c>
      <c r="H284" s="25">
        <v>0</v>
      </c>
      <c r="I284" s="38">
        <v>25</v>
      </c>
      <c r="J284" s="38">
        <v>5</v>
      </c>
      <c r="K284" s="39">
        <f t="shared" si="32"/>
        <v>0</v>
      </c>
      <c r="L284" s="38">
        <v>0</v>
      </c>
      <c r="M284" s="38">
        <v>0</v>
      </c>
      <c r="N284" s="39">
        <f t="shared" si="33"/>
        <v>0</v>
      </c>
      <c r="O284" s="38">
        <v>0</v>
      </c>
      <c r="P284" s="38">
        <v>0</v>
      </c>
      <c r="Q284" s="39">
        <f t="shared" si="34"/>
        <v>0</v>
      </c>
      <c r="R284" s="38">
        <v>0</v>
      </c>
      <c r="S284" s="38">
        <v>0</v>
      </c>
      <c r="T284" s="39">
        <f t="shared" si="35"/>
        <v>0</v>
      </c>
      <c r="U284" s="38">
        <v>0</v>
      </c>
      <c r="V284" s="38">
        <v>0</v>
      </c>
      <c r="W284" s="39">
        <f t="shared" si="36"/>
        <v>0</v>
      </c>
      <c r="X284" s="38"/>
      <c r="Y284" s="38"/>
      <c r="Z284" s="39">
        <f t="shared" si="37"/>
        <v>0</v>
      </c>
      <c r="AA284" s="38"/>
      <c r="AB284" s="38"/>
      <c r="AC284" s="39">
        <f t="shared" si="38"/>
        <v>0</v>
      </c>
      <c r="AD284" s="38"/>
      <c r="AE284" s="38"/>
      <c r="AF284" s="39">
        <f t="shared" si="39"/>
        <v>0</v>
      </c>
    </row>
    <row r="285" spans="2:32" ht="15" customHeight="1" x14ac:dyDescent="0.3">
      <c r="B285" s="35" t="s">
        <v>983</v>
      </c>
      <c r="C285" s="36" t="s">
        <v>837</v>
      </c>
      <c r="D285" s="37" t="s">
        <v>984</v>
      </c>
      <c r="E285" s="6" t="s">
        <v>989</v>
      </c>
      <c r="F285" s="6" t="s">
        <v>155</v>
      </c>
      <c r="G285" s="6" t="s">
        <v>841</v>
      </c>
      <c r="H285" s="25">
        <v>0</v>
      </c>
      <c r="I285" s="38">
        <v>0</v>
      </c>
      <c r="J285" s="38">
        <v>0</v>
      </c>
      <c r="K285" s="39">
        <f t="shared" si="32"/>
        <v>0</v>
      </c>
      <c r="L285" s="38">
        <v>0</v>
      </c>
      <c r="M285" s="38">
        <v>0</v>
      </c>
      <c r="N285" s="39">
        <f t="shared" si="33"/>
        <v>0</v>
      </c>
      <c r="O285" s="38">
        <v>0</v>
      </c>
      <c r="P285" s="38">
        <v>0</v>
      </c>
      <c r="Q285" s="39">
        <f t="shared" si="34"/>
        <v>0</v>
      </c>
      <c r="R285" s="38">
        <v>0</v>
      </c>
      <c r="S285" s="38">
        <v>0</v>
      </c>
      <c r="T285" s="39">
        <f t="shared" si="35"/>
        <v>0</v>
      </c>
      <c r="U285" s="38">
        <v>0</v>
      </c>
      <c r="V285" s="38">
        <v>0</v>
      </c>
      <c r="W285" s="39">
        <f t="shared" si="36"/>
        <v>0</v>
      </c>
      <c r="X285" s="38"/>
      <c r="Y285" s="38"/>
      <c r="Z285" s="39">
        <f t="shared" si="37"/>
        <v>0</v>
      </c>
      <c r="AA285" s="38"/>
      <c r="AB285" s="38"/>
      <c r="AC285" s="39">
        <f t="shared" si="38"/>
        <v>0</v>
      </c>
      <c r="AD285" s="38"/>
      <c r="AE285" s="38"/>
      <c r="AF285" s="39">
        <f t="shared" si="39"/>
        <v>0</v>
      </c>
    </row>
    <row r="286" spans="2:32" ht="15" customHeight="1" x14ac:dyDescent="0.3">
      <c r="B286" s="35" t="s">
        <v>983</v>
      </c>
      <c r="C286" s="36" t="s">
        <v>837</v>
      </c>
      <c r="D286" s="37" t="s">
        <v>984</v>
      </c>
      <c r="E286" s="6" t="s">
        <v>989</v>
      </c>
      <c r="F286" s="6" t="s">
        <v>990</v>
      </c>
      <c r="G286" s="6" t="s">
        <v>709</v>
      </c>
      <c r="H286" s="25">
        <v>28000</v>
      </c>
      <c r="I286" s="38">
        <v>0</v>
      </c>
      <c r="J286" s="38">
        <v>0</v>
      </c>
      <c r="K286" s="39">
        <f t="shared" si="32"/>
        <v>0</v>
      </c>
      <c r="L286" s="38">
        <v>0</v>
      </c>
      <c r="M286" s="38">
        <v>0</v>
      </c>
      <c r="N286" s="39">
        <f t="shared" si="33"/>
        <v>0</v>
      </c>
      <c r="O286" s="38">
        <v>0</v>
      </c>
      <c r="P286" s="38">
        <v>0</v>
      </c>
      <c r="Q286" s="39">
        <f t="shared" si="34"/>
        <v>0</v>
      </c>
      <c r="R286" s="38">
        <v>0</v>
      </c>
      <c r="S286" s="38">
        <v>0</v>
      </c>
      <c r="T286" s="39">
        <f t="shared" si="35"/>
        <v>0</v>
      </c>
      <c r="U286" s="38">
        <v>0</v>
      </c>
      <c r="V286" s="38">
        <v>0</v>
      </c>
      <c r="W286" s="39">
        <f t="shared" si="36"/>
        <v>0</v>
      </c>
      <c r="X286" s="38"/>
      <c r="Y286" s="38"/>
      <c r="Z286" s="39">
        <f t="shared" si="37"/>
        <v>0</v>
      </c>
      <c r="AA286" s="38"/>
      <c r="AB286" s="38"/>
      <c r="AC286" s="39">
        <f t="shared" si="38"/>
        <v>0</v>
      </c>
      <c r="AD286" s="38"/>
      <c r="AE286" s="38"/>
      <c r="AF286" s="39">
        <f t="shared" si="39"/>
        <v>0</v>
      </c>
    </row>
    <row r="287" spans="2:32" ht="15" customHeight="1" x14ac:dyDescent="0.3">
      <c r="B287" s="35" t="s">
        <v>983</v>
      </c>
      <c r="C287" s="36" t="s">
        <v>837</v>
      </c>
      <c r="D287" s="37" t="s">
        <v>984</v>
      </c>
      <c r="E287" s="6" t="s">
        <v>989</v>
      </c>
      <c r="F287" s="6" t="s">
        <v>990</v>
      </c>
      <c r="G287" s="6" t="s">
        <v>716</v>
      </c>
      <c r="H287" s="25">
        <v>39000</v>
      </c>
      <c r="I287" s="38">
        <v>0</v>
      </c>
      <c r="J287" s="38">
        <v>0</v>
      </c>
      <c r="K287" s="39">
        <f t="shared" si="32"/>
        <v>0</v>
      </c>
      <c r="L287" s="38">
        <v>0</v>
      </c>
      <c r="M287" s="38">
        <v>0</v>
      </c>
      <c r="N287" s="39">
        <f t="shared" si="33"/>
        <v>0</v>
      </c>
      <c r="O287" s="38">
        <v>0</v>
      </c>
      <c r="P287" s="38">
        <v>0</v>
      </c>
      <c r="Q287" s="39">
        <f t="shared" si="34"/>
        <v>0</v>
      </c>
      <c r="R287" s="38">
        <v>20</v>
      </c>
      <c r="S287" s="38">
        <v>20</v>
      </c>
      <c r="T287" s="39">
        <f t="shared" si="35"/>
        <v>15600000</v>
      </c>
      <c r="U287" s="38">
        <v>0</v>
      </c>
      <c r="V287" s="38">
        <v>0</v>
      </c>
      <c r="W287" s="39">
        <f t="shared" si="36"/>
        <v>0</v>
      </c>
      <c r="X287" s="38"/>
      <c r="Y287" s="38"/>
      <c r="Z287" s="39">
        <f t="shared" si="37"/>
        <v>0</v>
      </c>
      <c r="AA287" s="38"/>
      <c r="AB287" s="38"/>
      <c r="AC287" s="39">
        <f t="shared" si="38"/>
        <v>0</v>
      </c>
      <c r="AD287" s="38"/>
      <c r="AE287" s="38"/>
      <c r="AF287" s="39">
        <f t="shared" si="39"/>
        <v>0</v>
      </c>
    </row>
    <row r="288" spans="2:32" ht="15" customHeight="1" x14ac:dyDescent="0.3">
      <c r="B288" s="35" t="s">
        <v>983</v>
      </c>
      <c r="C288" s="36" t="s">
        <v>837</v>
      </c>
      <c r="D288" s="37" t="s">
        <v>984</v>
      </c>
      <c r="E288" s="6" t="s">
        <v>989</v>
      </c>
      <c r="F288" s="6" t="s">
        <v>990</v>
      </c>
      <c r="G288" s="6" t="s">
        <v>712</v>
      </c>
      <c r="H288" s="25">
        <v>214.29</v>
      </c>
      <c r="I288" s="38">
        <v>0</v>
      </c>
      <c r="J288" s="38">
        <v>0</v>
      </c>
      <c r="K288" s="39">
        <f t="shared" si="32"/>
        <v>0</v>
      </c>
      <c r="L288" s="38">
        <v>0</v>
      </c>
      <c r="M288" s="38">
        <v>0</v>
      </c>
      <c r="N288" s="39">
        <f t="shared" si="33"/>
        <v>0</v>
      </c>
      <c r="O288" s="38">
        <v>0</v>
      </c>
      <c r="P288" s="38">
        <v>0</v>
      </c>
      <c r="Q288" s="39">
        <f t="shared" si="34"/>
        <v>0</v>
      </c>
      <c r="R288" s="38">
        <v>20</v>
      </c>
      <c r="S288" s="38">
        <v>20</v>
      </c>
      <c r="T288" s="39">
        <f t="shared" si="35"/>
        <v>85716</v>
      </c>
      <c r="U288" s="38">
        <v>0</v>
      </c>
      <c r="V288" s="38">
        <v>0</v>
      </c>
      <c r="W288" s="39">
        <f t="shared" si="36"/>
        <v>0</v>
      </c>
      <c r="X288" s="38"/>
      <c r="Y288" s="38"/>
      <c r="Z288" s="39">
        <f t="shared" si="37"/>
        <v>0</v>
      </c>
      <c r="AA288" s="38"/>
      <c r="AB288" s="38"/>
      <c r="AC288" s="39">
        <f t="shared" si="38"/>
        <v>0</v>
      </c>
      <c r="AD288" s="38"/>
      <c r="AE288" s="38"/>
      <c r="AF288" s="39">
        <f t="shared" si="39"/>
        <v>0</v>
      </c>
    </row>
    <row r="289" spans="2:32" ht="15" customHeight="1" x14ac:dyDescent="0.3">
      <c r="B289" s="35" t="s">
        <v>983</v>
      </c>
      <c r="C289" s="36" t="s">
        <v>837</v>
      </c>
      <c r="D289" s="37" t="s">
        <v>984</v>
      </c>
      <c r="E289" s="6" t="s">
        <v>989</v>
      </c>
      <c r="F289" s="6" t="s">
        <v>991</v>
      </c>
      <c r="G289" s="6" t="s">
        <v>709</v>
      </c>
      <c r="H289" s="25">
        <v>28000</v>
      </c>
      <c r="I289" s="38">
        <v>0</v>
      </c>
      <c r="J289" s="38">
        <v>0</v>
      </c>
      <c r="K289" s="39">
        <f t="shared" si="32"/>
        <v>0</v>
      </c>
      <c r="L289" s="38">
        <v>0</v>
      </c>
      <c r="M289" s="38">
        <v>0</v>
      </c>
      <c r="N289" s="39">
        <f t="shared" si="33"/>
        <v>0</v>
      </c>
      <c r="O289" s="38">
        <v>0</v>
      </c>
      <c r="P289" s="38">
        <v>0</v>
      </c>
      <c r="Q289" s="39">
        <f t="shared" si="34"/>
        <v>0</v>
      </c>
      <c r="R289" s="38">
        <v>4000</v>
      </c>
      <c r="S289" s="38">
        <v>4</v>
      </c>
      <c r="T289" s="39">
        <f t="shared" si="35"/>
        <v>448000000</v>
      </c>
      <c r="U289" s="38">
        <v>0</v>
      </c>
      <c r="V289" s="38">
        <v>0</v>
      </c>
      <c r="W289" s="39">
        <f t="shared" si="36"/>
        <v>0</v>
      </c>
      <c r="X289" s="38"/>
      <c r="Y289" s="38"/>
      <c r="Z289" s="39">
        <f t="shared" si="37"/>
        <v>0</v>
      </c>
      <c r="AA289" s="38"/>
      <c r="AB289" s="38"/>
      <c r="AC289" s="39">
        <f t="shared" si="38"/>
        <v>0</v>
      </c>
      <c r="AD289" s="38"/>
      <c r="AE289" s="38"/>
      <c r="AF289" s="39">
        <f t="shared" si="39"/>
        <v>0</v>
      </c>
    </row>
    <row r="290" spans="2:32" ht="15" customHeight="1" x14ac:dyDescent="0.3">
      <c r="B290" s="35" t="s">
        <v>983</v>
      </c>
      <c r="C290" s="36" t="s">
        <v>837</v>
      </c>
      <c r="D290" s="37" t="s">
        <v>984</v>
      </c>
      <c r="E290" s="6" t="s">
        <v>989</v>
      </c>
      <c r="F290" s="6" t="s">
        <v>991</v>
      </c>
      <c r="G290" s="6" t="s">
        <v>716</v>
      </c>
      <c r="H290" s="25">
        <v>39000</v>
      </c>
      <c r="I290" s="38">
        <v>0</v>
      </c>
      <c r="J290" s="38">
        <v>0</v>
      </c>
      <c r="K290" s="39">
        <f t="shared" si="32"/>
        <v>0</v>
      </c>
      <c r="L290" s="38">
        <v>0</v>
      </c>
      <c r="M290" s="38">
        <v>0</v>
      </c>
      <c r="N290" s="39">
        <f t="shared" si="33"/>
        <v>0</v>
      </c>
      <c r="O290" s="38">
        <v>0</v>
      </c>
      <c r="P290" s="38">
        <v>0</v>
      </c>
      <c r="Q290" s="39">
        <f t="shared" si="34"/>
        <v>0</v>
      </c>
      <c r="R290" s="38">
        <v>100</v>
      </c>
      <c r="S290" s="38">
        <v>5</v>
      </c>
      <c r="T290" s="39">
        <f t="shared" si="35"/>
        <v>19500000</v>
      </c>
      <c r="U290" s="38">
        <v>0</v>
      </c>
      <c r="V290" s="38">
        <v>0</v>
      </c>
      <c r="W290" s="39">
        <f t="shared" si="36"/>
        <v>0</v>
      </c>
      <c r="X290" s="38"/>
      <c r="Y290" s="38"/>
      <c r="Z290" s="39">
        <f t="shared" si="37"/>
        <v>0</v>
      </c>
      <c r="AA290" s="38"/>
      <c r="AB290" s="38"/>
      <c r="AC290" s="39">
        <f t="shared" si="38"/>
        <v>0</v>
      </c>
      <c r="AD290" s="38"/>
      <c r="AE290" s="38"/>
      <c r="AF290" s="39">
        <f t="shared" si="39"/>
        <v>0</v>
      </c>
    </row>
    <row r="291" spans="2:32" ht="15" customHeight="1" x14ac:dyDescent="0.3">
      <c r="E291" s="6" t="s">
        <v>989</v>
      </c>
      <c r="F291" s="6" t="s">
        <v>991</v>
      </c>
      <c r="G291" s="6" t="s">
        <v>712</v>
      </c>
      <c r="H291" s="25">
        <v>214.29</v>
      </c>
      <c r="I291" s="38">
        <v>0</v>
      </c>
      <c r="J291" s="38">
        <v>0</v>
      </c>
      <c r="K291" s="39">
        <f t="shared" si="32"/>
        <v>0</v>
      </c>
      <c r="L291" s="38">
        <v>0</v>
      </c>
      <c r="M291" s="38">
        <v>0</v>
      </c>
      <c r="N291" s="39">
        <f t="shared" si="33"/>
        <v>0</v>
      </c>
      <c r="O291" s="38">
        <v>0</v>
      </c>
      <c r="P291" s="38">
        <v>0</v>
      </c>
      <c r="Q291" s="39">
        <f t="shared" si="34"/>
        <v>0</v>
      </c>
      <c r="R291" s="38">
        <v>100</v>
      </c>
      <c r="S291" s="38">
        <v>5</v>
      </c>
      <c r="T291" s="39">
        <f t="shared" si="35"/>
        <v>107145</v>
      </c>
      <c r="U291" s="38">
        <v>0</v>
      </c>
      <c r="V291" s="38">
        <v>0</v>
      </c>
      <c r="W291" s="39">
        <f t="shared" si="36"/>
        <v>0</v>
      </c>
      <c r="X291" s="38"/>
      <c r="Y291" s="38"/>
      <c r="Z291" s="39">
        <f t="shared" si="37"/>
        <v>0</v>
      </c>
      <c r="AA291" s="38"/>
      <c r="AB291" s="38"/>
      <c r="AC291" s="39">
        <f t="shared" si="38"/>
        <v>0</v>
      </c>
      <c r="AD291" s="38"/>
      <c r="AE291" s="38"/>
      <c r="AF291" s="39">
        <f t="shared" si="39"/>
        <v>0</v>
      </c>
    </row>
    <row r="292" spans="2:32" ht="15" customHeight="1" x14ac:dyDescent="0.3">
      <c r="B292" s="2" t="s">
        <v>836</v>
      </c>
      <c r="C292" s="4" t="s">
        <v>992</v>
      </c>
      <c r="D292" s="3" t="s">
        <v>993</v>
      </c>
      <c r="E292" s="6" t="s">
        <v>994</v>
      </c>
      <c r="F292" s="6" t="s">
        <v>164</v>
      </c>
      <c r="G292" s="6" t="s">
        <v>841</v>
      </c>
      <c r="H292" s="25">
        <v>0</v>
      </c>
      <c r="I292" s="38">
        <v>0</v>
      </c>
      <c r="J292" s="38">
        <v>0</v>
      </c>
      <c r="K292" s="39">
        <f t="shared" si="32"/>
        <v>0</v>
      </c>
      <c r="L292" s="38">
        <v>0</v>
      </c>
      <c r="M292" s="38">
        <v>0</v>
      </c>
      <c r="N292" s="39">
        <f t="shared" si="33"/>
        <v>0</v>
      </c>
      <c r="O292" s="38">
        <v>0</v>
      </c>
      <c r="P292" s="38">
        <v>0</v>
      </c>
      <c r="Q292" s="39">
        <f t="shared" si="34"/>
        <v>0</v>
      </c>
      <c r="R292" s="38">
        <v>40000</v>
      </c>
      <c r="S292" s="38">
        <v>1</v>
      </c>
      <c r="T292" s="39">
        <f t="shared" si="35"/>
        <v>0</v>
      </c>
      <c r="U292" s="38">
        <v>0</v>
      </c>
      <c r="V292" s="38">
        <v>0</v>
      </c>
      <c r="W292" s="39">
        <f t="shared" si="36"/>
        <v>0</v>
      </c>
      <c r="X292" s="38"/>
      <c r="Y292" s="38"/>
      <c r="Z292" s="39">
        <f t="shared" si="37"/>
        <v>0</v>
      </c>
      <c r="AA292" s="38"/>
      <c r="AB292" s="38"/>
      <c r="AC292" s="39">
        <f t="shared" si="38"/>
        <v>0</v>
      </c>
      <c r="AD292" s="38"/>
      <c r="AE292" s="38"/>
      <c r="AF292" s="39">
        <f t="shared" si="39"/>
        <v>0</v>
      </c>
    </row>
    <row r="293" spans="2:32" ht="15" customHeight="1" x14ac:dyDescent="0.3">
      <c r="B293" s="2" t="s">
        <v>836</v>
      </c>
      <c r="C293" s="4" t="s">
        <v>992</v>
      </c>
      <c r="D293" s="3" t="s">
        <v>993</v>
      </c>
      <c r="E293" s="6" t="s">
        <v>994</v>
      </c>
      <c r="F293" s="6" t="s">
        <v>165</v>
      </c>
      <c r="G293" s="6" t="s">
        <v>708</v>
      </c>
      <c r="H293" s="25">
        <v>425000</v>
      </c>
      <c r="I293" s="38">
        <v>0</v>
      </c>
      <c r="J293" s="38">
        <v>0</v>
      </c>
      <c r="K293" s="39">
        <f t="shared" si="32"/>
        <v>0</v>
      </c>
      <c r="L293" s="38">
        <v>0</v>
      </c>
      <c r="M293" s="38">
        <v>0</v>
      </c>
      <c r="N293" s="39">
        <f t="shared" si="33"/>
        <v>0</v>
      </c>
      <c r="O293" s="38">
        <v>0</v>
      </c>
      <c r="P293" s="38">
        <v>0</v>
      </c>
      <c r="Q293" s="39">
        <f t="shared" si="34"/>
        <v>0</v>
      </c>
      <c r="R293" s="38">
        <v>0</v>
      </c>
      <c r="S293" s="38">
        <v>0</v>
      </c>
      <c r="T293" s="39">
        <f t="shared" si="35"/>
        <v>0</v>
      </c>
      <c r="U293" s="38">
        <v>0</v>
      </c>
      <c r="V293" s="38">
        <v>0</v>
      </c>
      <c r="W293" s="39">
        <f t="shared" si="36"/>
        <v>0</v>
      </c>
      <c r="X293" s="38"/>
      <c r="Y293" s="38"/>
      <c r="Z293" s="39">
        <f t="shared" si="37"/>
        <v>0</v>
      </c>
      <c r="AA293" s="38"/>
      <c r="AB293" s="38"/>
      <c r="AC293" s="39">
        <f t="shared" si="38"/>
        <v>0</v>
      </c>
      <c r="AD293" s="38"/>
      <c r="AE293" s="38"/>
      <c r="AF293" s="39">
        <f t="shared" si="39"/>
        <v>0</v>
      </c>
    </row>
    <row r="294" spans="2:32" ht="15" customHeight="1" x14ac:dyDescent="0.3">
      <c r="B294" s="2" t="s">
        <v>836</v>
      </c>
      <c r="C294" s="4" t="s">
        <v>992</v>
      </c>
      <c r="D294" s="3" t="s">
        <v>993</v>
      </c>
      <c r="E294" s="6" t="s">
        <v>994</v>
      </c>
      <c r="F294" s="6" t="s">
        <v>165</v>
      </c>
      <c r="G294" s="6" t="s">
        <v>707</v>
      </c>
      <c r="H294" s="25">
        <v>391991.03749999998</v>
      </c>
      <c r="I294" s="38">
        <v>1</v>
      </c>
      <c r="J294" s="38">
        <v>30</v>
      </c>
      <c r="K294" s="39">
        <f t="shared" si="32"/>
        <v>11759731.125</v>
      </c>
      <c r="L294" s="38">
        <v>0</v>
      </c>
      <c r="M294" s="38">
        <v>0</v>
      </c>
      <c r="N294" s="39">
        <f t="shared" si="33"/>
        <v>0</v>
      </c>
      <c r="O294" s="38">
        <v>0</v>
      </c>
      <c r="P294" s="38">
        <v>0</v>
      </c>
      <c r="Q294" s="39">
        <f t="shared" si="34"/>
        <v>0</v>
      </c>
      <c r="R294" s="38">
        <v>0</v>
      </c>
      <c r="S294" s="38">
        <v>0</v>
      </c>
      <c r="T294" s="39">
        <f t="shared" si="35"/>
        <v>0</v>
      </c>
      <c r="U294" s="38">
        <v>0</v>
      </c>
      <c r="V294" s="38">
        <v>0</v>
      </c>
      <c r="W294" s="39">
        <f t="shared" si="36"/>
        <v>0</v>
      </c>
      <c r="X294" s="38"/>
      <c r="Y294" s="38"/>
      <c r="Z294" s="39">
        <f t="shared" si="37"/>
        <v>0</v>
      </c>
      <c r="AA294" s="38"/>
      <c r="AB294" s="38"/>
      <c r="AC294" s="39">
        <f t="shared" si="38"/>
        <v>0</v>
      </c>
      <c r="AD294" s="38"/>
      <c r="AE294" s="38"/>
      <c r="AF294" s="39">
        <f t="shared" si="39"/>
        <v>0</v>
      </c>
    </row>
    <row r="295" spans="2:32" ht="15" customHeight="1" x14ac:dyDescent="0.3">
      <c r="B295" s="2" t="s">
        <v>836</v>
      </c>
      <c r="C295" s="4" t="s">
        <v>992</v>
      </c>
      <c r="D295" s="3" t="s">
        <v>993</v>
      </c>
      <c r="E295" s="6" t="s">
        <v>994</v>
      </c>
      <c r="F295" s="6" t="s">
        <v>995</v>
      </c>
      <c r="G295" s="6" t="s">
        <v>841</v>
      </c>
      <c r="H295" s="25">
        <v>0</v>
      </c>
      <c r="I295" s="38">
        <v>1</v>
      </c>
      <c r="J295" s="38">
        <v>6</v>
      </c>
      <c r="K295" s="39">
        <f t="shared" si="32"/>
        <v>0</v>
      </c>
      <c r="L295" s="38">
        <v>0</v>
      </c>
      <c r="M295" s="38">
        <v>0</v>
      </c>
      <c r="N295" s="39">
        <f t="shared" si="33"/>
        <v>0</v>
      </c>
      <c r="O295" s="38">
        <v>0</v>
      </c>
      <c r="P295" s="38">
        <v>0</v>
      </c>
      <c r="Q295" s="39">
        <f t="shared" si="34"/>
        <v>0</v>
      </c>
      <c r="R295" s="38">
        <v>0</v>
      </c>
      <c r="S295" s="38">
        <v>0</v>
      </c>
      <c r="T295" s="39">
        <f t="shared" si="35"/>
        <v>0</v>
      </c>
      <c r="U295" s="38">
        <v>0</v>
      </c>
      <c r="V295" s="38">
        <v>0</v>
      </c>
      <c r="W295" s="39">
        <f t="shared" si="36"/>
        <v>0</v>
      </c>
      <c r="X295" s="38"/>
      <c r="Y295" s="38"/>
      <c r="Z295" s="39">
        <f t="shared" si="37"/>
        <v>0</v>
      </c>
      <c r="AA295" s="38"/>
      <c r="AB295" s="38"/>
      <c r="AC295" s="39">
        <f t="shared" si="38"/>
        <v>0</v>
      </c>
      <c r="AD295" s="38"/>
      <c r="AE295" s="38"/>
      <c r="AF295" s="39">
        <f t="shared" si="39"/>
        <v>0</v>
      </c>
    </row>
    <row r="296" spans="2:32" ht="15" customHeight="1" x14ac:dyDescent="0.3">
      <c r="B296" s="2" t="s">
        <v>836</v>
      </c>
      <c r="C296" s="4" t="s">
        <v>992</v>
      </c>
      <c r="D296" s="3" t="s">
        <v>993</v>
      </c>
      <c r="E296" s="6" t="s">
        <v>994</v>
      </c>
      <c r="F296" s="6" t="s">
        <v>996</v>
      </c>
      <c r="G296" s="6" t="s">
        <v>716</v>
      </c>
      <c r="H296" s="25">
        <v>39000</v>
      </c>
      <c r="I296" s="38">
        <v>0</v>
      </c>
      <c r="J296" s="38">
        <v>0</v>
      </c>
      <c r="K296" s="39">
        <f t="shared" si="32"/>
        <v>0</v>
      </c>
      <c r="L296" s="38">
        <v>0</v>
      </c>
      <c r="M296" s="38">
        <v>0</v>
      </c>
      <c r="N296" s="39">
        <f t="shared" si="33"/>
        <v>0</v>
      </c>
      <c r="O296" s="38">
        <v>0</v>
      </c>
      <c r="P296" s="38">
        <v>0</v>
      </c>
      <c r="Q296" s="39">
        <f t="shared" si="34"/>
        <v>0</v>
      </c>
      <c r="R296" s="38">
        <v>0</v>
      </c>
      <c r="S296" s="38">
        <v>0</v>
      </c>
      <c r="T296" s="39">
        <f t="shared" si="35"/>
        <v>0</v>
      </c>
      <c r="U296" s="38">
        <v>0</v>
      </c>
      <c r="V296" s="38">
        <v>0</v>
      </c>
      <c r="W296" s="39">
        <f t="shared" si="36"/>
        <v>0</v>
      </c>
      <c r="X296" s="38"/>
      <c r="Y296" s="38"/>
      <c r="Z296" s="39">
        <f t="shared" si="37"/>
        <v>0</v>
      </c>
      <c r="AA296" s="38"/>
      <c r="AB296" s="38"/>
      <c r="AC296" s="39">
        <f t="shared" si="38"/>
        <v>0</v>
      </c>
      <c r="AD296" s="38"/>
      <c r="AE296" s="38"/>
      <c r="AF296" s="39">
        <f t="shared" si="39"/>
        <v>0</v>
      </c>
    </row>
    <row r="297" spans="2:32" ht="15" customHeight="1" x14ac:dyDescent="0.3">
      <c r="B297" s="2" t="s">
        <v>836</v>
      </c>
      <c r="C297" s="4" t="s">
        <v>992</v>
      </c>
      <c r="D297" s="3" t="s">
        <v>993</v>
      </c>
      <c r="E297" s="6" t="s">
        <v>994</v>
      </c>
      <c r="F297" s="6" t="s">
        <v>996</v>
      </c>
      <c r="G297" s="6" t="s">
        <v>709</v>
      </c>
      <c r="H297" s="25">
        <v>28000</v>
      </c>
      <c r="I297" s="38">
        <v>100</v>
      </c>
      <c r="J297" s="38">
        <v>6</v>
      </c>
      <c r="K297" s="39">
        <f t="shared" si="32"/>
        <v>16800000</v>
      </c>
      <c r="L297" s="38">
        <v>0</v>
      </c>
      <c r="M297" s="38">
        <v>0</v>
      </c>
      <c r="N297" s="39">
        <f t="shared" si="33"/>
        <v>0</v>
      </c>
      <c r="O297" s="38">
        <v>0</v>
      </c>
      <c r="P297" s="38">
        <v>0</v>
      </c>
      <c r="Q297" s="39">
        <f t="shared" si="34"/>
        <v>0</v>
      </c>
      <c r="R297" s="38">
        <v>0</v>
      </c>
      <c r="S297" s="38">
        <v>0</v>
      </c>
      <c r="T297" s="39">
        <f t="shared" si="35"/>
        <v>0</v>
      </c>
      <c r="U297" s="38">
        <v>0</v>
      </c>
      <c r="V297" s="38">
        <v>0</v>
      </c>
      <c r="W297" s="39">
        <f t="shared" si="36"/>
        <v>0</v>
      </c>
      <c r="X297" s="38"/>
      <c r="Y297" s="38"/>
      <c r="Z297" s="39">
        <f t="shared" si="37"/>
        <v>0</v>
      </c>
      <c r="AA297" s="38"/>
      <c r="AB297" s="38"/>
      <c r="AC297" s="39">
        <f t="shared" si="38"/>
        <v>0</v>
      </c>
      <c r="AD297" s="38"/>
      <c r="AE297" s="38"/>
      <c r="AF297" s="39">
        <f t="shared" si="39"/>
        <v>0</v>
      </c>
    </row>
    <row r="298" spans="2:32" ht="15" customHeight="1" x14ac:dyDescent="0.3">
      <c r="B298" s="2" t="s">
        <v>836</v>
      </c>
      <c r="C298" s="4" t="s">
        <v>992</v>
      </c>
      <c r="D298" s="3" t="s">
        <v>993</v>
      </c>
      <c r="E298" s="6" t="s">
        <v>994</v>
      </c>
      <c r="F298" s="6" t="s">
        <v>996</v>
      </c>
      <c r="G298" s="6" t="s">
        <v>712</v>
      </c>
      <c r="H298" s="25">
        <v>214.29</v>
      </c>
      <c r="I298" s="38">
        <v>100</v>
      </c>
      <c r="J298" s="38">
        <v>5</v>
      </c>
      <c r="K298" s="39">
        <f t="shared" si="32"/>
        <v>107145</v>
      </c>
      <c r="L298" s="38">
        <v>0</v>
      </c>
      <c r="M298" s="38">
        <v>0</v>
      </c>
      <c r="N298" s="39">
        <f t="shared" si="33"/>
        <v>0</v>
      </c>
      <c r="O298" s="38">
        <v>0</v>
      </c>
      <c r="P298" s="38">
        <v>0</v>
      </c>
      <c r="Q298" s="39">
        <f t="shared" si="34"/>
        <v>0</v>
      </c>
      <c r="R298" s="38">
        <v>0</v>
      </c>
      <c r="S298" s="38">
        <v>0</v>
      </c>
      <c r="T298" s="39">
        <f t="shared" si="35"/>
        <v>0</v>
      </c>
      <c r="U298" s="38">
        <v>0</v>
      </c>
      <c r="V298" s="38">
        <v>0</v>
      </c>
      <c r="W298" s="39">
        <f t="shared" si="36"/>
        <v>0</v>
      </c>
      <c r="X298" s="38"/>
      <c r="Y298" s="38"/>
      <c r="Z298" s="39">
        <f t="shared" si="37"/>
        <v>0</v>
      </c>
      <c r="AA298" s="38"/>
      <c r="AB298" s="38"/>
      <c r="AC298" s="39">
        <f t="shared" si="38"/>
        <v>0</v>
      </c>
      <c r="AD298" s="38"/>
      <c r="AE298" s="38"/>
      <c r="AF298" s="39">
        <f t="shared" si="39"/>
        <v>0</v>
      </c>
    </row>
    <row r="299" spans="2:32" ht="15" customHeight="1" x14ac:dyDescent="0.3">
      <c r="B299" s="2" t="s">
        <v>836</v>
      </c>
      <c r="C299" s="4" t="s">
        <v>992</v>
      </c>
      <c r="D299" s="3" t="s">
        <v>993</v>
      </c>
      <c r="E299" s="6" t="s">
        <v>994</v>
      </c>
      <c r="F299" s="6" t="s">
        <v>997</v>
      </c>
      <c r="G299" s="6" t="s">
        <v>718</v>
      </c>
      <c r="H299" s="25">
        <v>0</v>
      </c>
      <c r="I299" s="38">
        <v>40000</v>
      </c>
      <c r="J299" s="38">
        <v>1</v>
      </c>
      <c r="K299" s="39">
        <f t="shared" si="32"/>
        <v>0</v>
      </c>
      <c r="L299" s="38">
        <v>0</v>
      </c>
      <c r="M299" s="38">
        <v>0</v>
      </c>
      <c r="N299" s="39">
        <f t="shared" si="33"/>
        <v>0</v>
      </c>
      <c r="O299" s="38">
        <v>0</v>
      </c>
      <c r="P299" s="38">
        <v>0</v>
      </c>
      <c r="Q299" s="39">
        <f t="shared" si="34"/>
        <v>0</v>
      </c>
      <c r="R299" s="38">
        <v>0</v>
      </c>
      <c r="S299" s="38">
        <v>0</v>
      </c>
      <c r="T299" s="39">
        <f t="shared" si="35"/>
        <v>0</v>
      </c>
      <c r="U299" s="38">
        <v>0</v>
      </c>
      <c r="V299" s="38">
        <v>0</v>
      </c>
      <c r="W299" s="39">
        <f t="shared" si="36"/>
        <v>0</v>
      </c>
      <c r="X299" s="38"/>
      <c r="Y299" s="38"/>
      <c r="Z299" s="39">
        <f t="shared" si="37"/>
        <v>0</v>
      </c>
      <c r="AA299" s="38"/>
      <c r="AB299" s="38"/>
      <c r="AC299" s="39">
        <f t="shared" si="38"/>
        <v>0</v>
      </c>
      <c r="AD299" s="38"/>
      <c r="AE299" s="38"/>
      <c r="AF299" s="39">
        <f t="shared" si="39"/>
        <v>0</v>
      </c>
    </row>
    <row r="300" spans="2:32" ht="15" customHeight="1" x14ac:dyDescent="0.3">
      <c r="B300" s="2" t="s">
        <v>836</v>
      </c>
      <c r="C300" s="4" t="s">
        <v>992</v>
      </c>
      <c r="D300" s="3" t="s">
        <v>993</v>
      </c>
      <c r="E300" s="6" t="s">
        <v>994</v>
      </c>
      <c r="F300" s="6" t="s">
        <v>998</v>
      </c>
      <c r="G300" s="6" t="s">
        <v>709</v>
      </c>
      <c r="H300" s="25">
        <v>28000</v>
      </c>
      <c r="I300" s="38">
        <v>0</v>
      </c>
      <c r="J300" s="38">
        <v>0</v>
      </c>
      <c r="K300" s="39">
        <f t="shared" si="32"/>
        <v>0</v>
      </c>
      <c r="L300" s="38">
        <v>0</v>
      </c>
      <c r="M300" s="38">
        <v>0</v>
      </c>
      <c r="N300" s="39">
        <f t="shared" si="33"/>
        <v>0</v>
      </c>
      <c r="O300" s="38">
        <v>0</v>
      </c>
      <c r="P300" s="38">
        <v>0</v>
      </c>
      <c r="Q300" s="39">
        <f t="shared" si="34"/>
        <v>0</v>
      </c>
      <c r="R300" s="38">
        <v>0</v>
      </c>
      <c r="S300" s="38">
        <v>0</v>
      </c>
      <c r="T300" s="39">
        <f t="shared" si="35"/>
        <v>0</v>
      </c>
      <c r="U300" s="38">
        <v>0</v>
      </c>
      <c r="V300" s="38">
        <v>0</v>
      </c>
      <c r="W300" s="39">
        <f t="shared" si="36"/>
        <v>0</v>
      </c>
      <c r="X300" s="38"/>
      <c r="Y300" s="38"/>
      <c r="Z300" s="39">
        <f t="shared" si="37"/>
        <v>0</v>
      </c>
      <c r="AA300" s="38"/>
      <c r="AB300" s="38"/>
      <c r="AC300" s="39">
        <f t="shared" si="38"/>
        <v>0</v>
      </c>
      <c r="AD300" s="38"/>
      <c r="AE300" s="38"/>
      <c r="AF300" s="39">
        <f t="shared" si="39"/>
        <v>0</v>
      </c>
    </row>
    <row r="301" spans="2:32" ht="15" customHeight="1" x14ac:dyDescent="0.3">
      <c r="B301" s="2" t="s">
        <v>836</v>
      </c>
      <c r="C301" s="4" t="s">
        <v>992</v>
      </c>
      <c r="D301" s="3" t="s">
        <v>993</v>
      </c>
      <c r="E301" s="6" t="s">
        <v>994</v>
      </c>
      <c r="F301" s="6" t="s">
        <v>998</v>
      </c>
      <c r="G301" s="6" t="s">
        <v>711</v>
      </c>
      <c r="H301" s="25">
        <v>70</v>
      </c>
      <c r="I301" s="38">
        <v>100</v>
      </c>
      <c r="J301" s="38">
        <v>1</v>
      </c>
      <c r="K301" s="39">
        <f t="shared" si="32"/>
        <v>7000</v>
      </c>
      <c r="L301" s="38">
        <v>0</v>
      </c>
      <c r="M301" s="38">
        <v>0</v>
      </c>
      <c r="N301" s="39">
        <f t="shared" si="33"/>
        <v>0</v>
      </c>
      <c r="O301" s="38">
        <v>0</v>
      </c>
      <c r="P301" s="38">
        <v>0</v>
      </c>
      <c r="Q301" s="39">
        <f t="shared" si="34"/>
        <v>0</v>
      </c>
      <c r="R301" s="38">
        <v>0</v>
      </c>
      <c r="S301" s="38">
        <v>0</v>
      </c>
      <c r="T301" s="39">
        <f t="shared" si="35"/>
        <v>0</v>
      </c>
      <c r="U301" s="38">
        <v>0</v>
      </c>
      <c r="V301" s="38">
        <v>0</v>
      </c>
      <c r="W301" s="39">
        <f t="shared" si="36"/>
        <v>0</v>
      </c>
      <c r="X301" s="38"/>
      <c r="Y301" s="38"/>
      <c r="Z301" s="39">
        <f t="shared" si="37"/>
        <v>0</v>
      </c>
      <c r="AA301" s="38"/>
      <c r="AB301" s="38"/>
      <c r="AC301" s="39">
        <f t="shared" si="38"/>
        <v>0</v>
      </c>
      <c r="AD301" s="38"/>
      <c r="AE301" s="38"/>
      <c r="AF301" s="39">
        <f t="shared" si="39"/>
        <v>0</v>
      </c>
    </row>
    <row r="302" spans="2:32" ht="15" customHeight="1" x14ac:dyDescent="0.3">
      <c r="B302" s="2" t="s">
        <v>836</v>
      </c>
      <c r="C302" s="4" t="s">
        <v>992</v>
      </c>
      <c r="D302" s="3" t="s">
        <v>993</v>
      </c>
      <c r="E302" s="6" t="s">
        <v>994</v>
      </c>
      <c r="F302" s="6" t="s">
        <v>998</v>
      </c>
      <c r="G302" s="6" t="s">
        <v>710</v>
      </c>
      <c r="H302" s="25">
        <v>104850</v>
      </c>
      <c r="I302" s="38">
        <v>50000</v>
      </c>
      <c r="J302" s="38">
        <v>1</v>
      </c>
      <c r="K302" s="39">
        <f t="shared" si="32"/>
        <v>5242500000</v>
      </c>
      <c r="L302" s="38">
        <v>0</v>
      </c>
      <c r="M302" s="38">
        <v>0</v>
      </c>
      <c r="N302" s="39">
        <f t="shared" si="33"/>
        <v>0</v>
      </c>
      <c r="O302" s="38">
        <v>0</v>
      </c>
      <c r="P302" s="38">
        <v>0</v>
      </c>
      <c r="Q302" s="39">
        <f t="shared" si="34"/>
        <v>0</v>
      </c>
      <c r="R302" s="38">
        <v>0</v>
      </c>
      <c r="S302" s="38">
        <v>0</v>
      </c>
      <c r="T302" s="39">
        <f t="shared" si="35"/>
        <v>0</v>
      </c>
      <c r="U302" s="38">
        <v>0</v>
      </c>
      <c r="V302" s="38">
        <v>0</v>
      </c>
      <c r="W302" s="39">
        <f t="shared" si="36"/>
        <v>0</v>
      </c>
      <c r="X302" s="38"/>
      <c r="Y302" s="38"/>
      <c r="Z302" s="39">
        <f t="shared" si="37"/>
        <v>0</v>
      </c>
      <c r="AA302" s="38"/>
      <c r="AB302" s="38"/>
      <c r="AC302" s="39">
        <f t="shared" si="38"/>
        <v>0</v>
      </c>
      <c r="AD302" s="38"/>
      <c r="AE302" s="38"/>
      <c r="AF302" s="39">
        <f t="shared" si="39"/>
        <v>0</v>
      </c>
    </row>
    <row r="303" spans="2:32" ht="15" customHeight="1" x14ac:dyDescent="0.3">
      <c r="B303" s="2" t="s">
        <v>836</v>
      </c>
      <c r="C303" s="4" t="s">
        <v>992</v>
      </c>
      <c r="D303" s="3" t="s">
        <v>993</v>
      </c>
      <c r="E303" s="6" t="s">
        <v>994</v>
      </c>
      <c r="F303" s="6" t="s">
        <v>998</v>
      </c>
      <c r="G303" s="6" t="s">
        <v>712</v>
      </c>
      <c r="H303" s="25">
        <v>214.29</v>
      </c>
      <c r="I303" s="38">
        <v>5</v>
      </c>
      <c r="J303" s="38">
        <v>1</v>
      </c>
      <c r="K303" s="39">
        <f t="shared" si="32"/>
        <v>1071.45</v>
      </c>
      <c r="L303" s="38">
        <v>0</v>
      </c>
      <c r="M303" s="38">
        <v>0</v>
      </c>
      <c r="N303" s="39">
        <f t="shared" si="33"/>
        <v>0</v>
      </c>
      <c r="O303" s="38">
        <v>0</v>
      </c>
      <c r="P303" s="38">
        <v>0</v>
      </c>
      <c r="Q303" s="39">
        <f t="shared" si="34"/>
        <v>0</v>
      </c>
      <c r="R303" s="38">
        <v>0</v>
      </c>
      <c r="S303" s="38">
        <v>0</v>
      </c>
      <c r="T303" s="39">
        <f t="shared" si="35"/>
        <v>0</v>
      </c>
      <c r="U303" s="38">
        <v>0</v>
      </c>
      <c r="V303" s="38">
        <v>0</v>
      </c>
      <c r="W303" s="39">
        <f t="shared" si="36"/>
        <v>0</v>
      </c>
      <c r="X303" s="38"/>
      <c r="Y303" s="38"/>
      <c r="Z303" s="39">
        <f t="shared" si="37"/>
        <v>0</v>
      </c>
      <c r="AA303" s="38"/>
      <c r="AB303" s="38"/>
      <c r="AC303" s="39">
        <f t="shared" si="38"/>
        <v>0</v>
      </c>
      <c r="AD303" s="38"/>
      <c r="AE303" s="38"/>
      <c r="AF303" s="39">
        <f t="shared" si="39"/>
        <v>0</v>
      </c>
    </row>
    <row r="304" spans="2:32" ht="15" customHeight="1" x14ac:dyDescent="0.3">
      <c r="B304" s="2" t="s">
        <v>836</v>
      </c>
      <c r="C304" s="4" t="s">
        <v>992</v>
      </c>
      <c r="D304" s="3" t="s">
        <v>999</v>
      </c>
      <c r="E304" s="6" t="s">
        <v>1000</v>
      </c>
      <c r="F304" s="6" t="s">
        <v>1001</v>
      </c>
      <c r="G304" s="6" t="s">
        <v>841</v>
      </c>
      <c r="H304" s="25">
        <v>0</v>
      </c>
      <c r="I304" s="38">
        <v>20000</v>
      </c>
      <c r="J304" s="38">
        <v>1</v>
      </c>
      <c r="K304" s="39">
        <f t="shared" si="32"/>
        <v>0</v>
      </c>
      <c r="L304" s="38">
        <v>0</v>
      </c>
      <c r="M304" s="38">
        <v>0</v>
      </c>
      <c r="N304" s="39">
        <f t="shared" si="33"/>
        <v>0</v>
      </c>
      <c r="O304" s="38">
        <v>0</v>
      </c>
      <c r="P304" s="38">
        <v>0</v>
      </c>
      <c r="Q304" s="39">
        <f t="shared" si="34"/>
        <v>0</v>
      </c>
      <c r="R304" s="38">
        <v>0</v>
      </c>
      <c r="S304" s="38">
        <v>0</v>
      </c>
      <c r="T304" s="39">
        <f t="shared" si="35"/>
        <v>0</v>
      </c>
      <c r="U304" s="38">
        <v>0</v>
      </c>
      <c r="V304" s="38">
        <v>0</v>
      </c>
      <c r="W304" s="39">
        <f t="shared" si="36"/>
        <v>0</v>
      </c>
      <c r="X304" s="38"/>
      <c r="Y304" s="38"/>
      <c r="Z304" s="39">
        <f t="shared" si="37"/>
        <v>0</v>
      </c>
      <c r="AA304" s="38"/>
      <c r="AB304" s="38"/>
      <c r="AC304" s="39">
        <f t="shared" si="38"/>
        <v>0</v>
      </c>
      <c r="AD304" s="38"/>
      <c r="AE304" s="38"/>
      <c r="AF304" s="39">
        <f t="shared" si="39"/>
        <v>0</v>
      </c>
    </row>
    <row r="305" spans="2:32" ht="15" customHeight="1" x14ac:dyDescent="0.3">
      <c r="B305" s="2" t="s">
        <v>836</v>
      </c>
      <c r="C305" s="4" t="s">
        <v>992</v>
      </c>
      <c r="D305" s="3" t="s">
        <v>999</v>
      </c>
      <c r="E305" s="6" t="s">
        <v>1000</v>
      </c>
      <c r="F305" s="6" t="s">
        <v>158</v>
      </c>
      <c r="G305" s="6" t="s">
        <v>718</v>
      </c>
      <c r="H305" s="25">
        <v>0</v>
      </c>
      <c r="I305" s="38">
        <v>0</v>
      </c>
      <c r="J305" s="38">
        <v>0</v>
      </c>
      <c r="K305" s="39">
        <f t="shared" si="32"/>
        <v>0</v>
      </c>
      <c r="L305" s="38">
        <v>0</v>
      </c>
      <c r="M305" s="38">
        <v>0</v>
      </c>
      <c r="N305" s="39">
        <f t="shared" si="33"/>
        <v>0</v>
      </c>
      <c r="O305" s="38">
        <v>0</v>
      </c>
      <c r="P305" s="38">
        <v>0</v>
      </c>
      <c r="Q305" s="39">
        <f t="shared" si="34"/>
        <v>0</v>
      </c>
      <c r="R305" s="38">
        <v>0</v>
      </c>
      <c r="S305" s="38">
        <v>0</v>
      </c>
      <c r="T305" s="39">
        <f t="shared" si="35"/>
        <v>0</v>
      </c>
      <c r="U305" s="38">
        <v>0</v>
      </c>
      <c r="V305" s="38">
        <v>0</v>
      </c>
      <c r="W305" s="39">
        <f t="shared" si="36"/>
        <v>0</v>
      </c>
      <c r="X305" s="38"/>
      <c r="Y305" s="38"/>
      <c r="Z305" s="39">
        <f t="shared" si="37"/>
        <v>0</v>
      </c>
      <c r="AA305" s="38"/>
      <c r="AB305" s="38"/>
      <c r="AC305" s="39">
        <f t="shared" si="38"/>
        <v>0</v>
      </c>
      <c r="AD305" s="38"/>
      <c r="AE305" s="38"/>
      <c r="AF305" s="39">
        <f t="shared" si="39"/>
        <v>0</v>
      </c>
    </row>
    <row r="306" spans="2:32" ht="15" customHeight="1" x14ac:dyDescent="0.3">
      <c r="B306" s="2" t="s">
        <v>836</v>
      </c>
      <c r="C306" s="4" t="s">
        <v>992</v>
      </c>
      <c r="D306" s="3" t="s">
        <v>999</v>
      </c>
      <c r="E306" s="6" t="s">
        <v>1000</v>
      </c>
      <c r="F306" s="6" t="s">
        <v>164</v>
      </c>
      <c r="G306" s="6" t="s">
        <v>718</v>
      </c>
      <c r="H306" s="25">
        <v>0</v>
      </c>
      <c r="I306" s="38">
        <v>0</v>
      </c>
      <c r="J306" s="38">
        <v>0</v>
      </c>
      <c r="K306" s="39">
        <f t="shared" si="32"/>
        <v>0</v>
      </c>
      <c r="L306" s="38">
        <v>0</v>
      </c>
      <c r="M306" s="38">
        <v>0</v>
      </c>
      <c r="N306" s="39">
        <f t="shared" si="33"/>
        <v>0</v>
      </c>
      <c r="O306" s="38">
        <v>0</v>
      </c>
      <c r="P306" s="38">
        <v>0</v>
      </c>
      <c r="Q306" s="39">
        <f t="shared" si="34"/>
        <v>0</v>
      </c>
      <c r="R306" s="38">
        <v>0</v>
      </c>
      <c r="S306" s="38">
        <v>0</v>
      </c>
      <c r="T306" s="39">
        <f t="shared" si="35"/>
        <v>0</v>
      </c>
      <c r="U306" s="38">
        <v>0</v>
      </c>
      <c r="V306" s="38">
        <v>0</v>
      </c>
      <c r="W306" s="39">
        <f t="shared" si="36"/>
        <v>0</v>
      </c>
      <c r="X306" s="38"/>
      <c r="Y306" s="38"/>
      <c r="Z306" s="39">
        <f t="shared" si="37"/>
        <v>0</v>
      </c>
      <c r="AA306" s="38"/>
      <c r="AB306" s="38"/>
      <c r="AC306" s="39">
        <f t="shared" si="38"/>
        <v>0</v>
      </c>
      <c r="AD306" s="38"/>
      <c r="AE306" s="38"/>
      <c r="AF306" s="39">
        <f t="shared" si="39"/>
        <v>0</v>
      </c>
    </row>
    <row r="307" spans="2:32" ht="15" customHeight="1" x14ac:dyDescent="0.3">
      <c r="B307" s="2" t="s">
        <v>836</v>
      </c>
      <c r="C307" s="4" t="s">
        <v>992</v>
      </c>
      <c r="D307" s="3" t="s">
        <v>999</v>
      </c>
      <c r="E307" s="6" t="s">
        <v>1000</v>
      </c>
      <c r="F307" s="6" t="s">
        <v>149</v>
      </c>
      <c r="G307" s="6" t="s">
        <v>707</v>
      </c>
      <c r="H307" s="25">
        <v>391991.03749999998</v>
      </c>
      <c r="I307" s="38">
        <v>0</v>
      </c>
      <c r="J307" s="38">
        <v>0</v>
      </c>
      <c r="K307" s="39">
        <f t="shared" si="32"/>
        <v>0</v>
      </c>
      <c r="L307" s="38">
        <v>0</v>
      </c>
      <c r="M307" s="38">
        <v>0</v>
      </c>
      <c r="N307" s="39">
        <f t="shared" si="33"/>
        <v>0</v>
      </c>
      <c r="O307" s="38">
        <v>0</v>
      </c>
      <c r="P307" s="38">
        <v>0</v>
      </c>
      <c r="Q307" s="39">
        <f t="shared" si="34"/>
        <v>0</v>
      </c>
      <c r="R307" s="38">
        <v>0</v>
      </c>
      <c r="S307" s="38">
        <v>0</v>
      </c>
      <c r="T307" s="39">
        <f t="shared" si="35"/>
        <v>0</v>
      </c>
      <c r="U307" s="38">
        <v>0</v>
      </c>
      <c r="V307" s="38">
        <v>0</v>
      </c>
      <c r="W307" s="39">
        <f t="shared" si="36"/>
        <v>0</v>
      </c>
      <c r="X307" s="38"/>
      <c r="Y307" s="38"/>
      <c r="Z307" s="39">
        <f t="shared" si="37"/>
        <v>0</v>
      </c>
      <c r="AA307" s="38"/>
      <c r="AB307" s="38"/>
      <c r="AC307" s="39">
        <f t="shared" si="38"/>
        <v>0</v>
      </c>
      <c r="AD307" s="38"/>
      <c r="AE307" s="38"/>
      <c r="AF307" s="39">
        <f t="shared" si="39"/>
        <v>0</v>
      </c>
    </row>
    <row r="308" spans="2:32" ht="15" customHeight="1" x14ac:dyDescent="0.3">
      <c r="B308" s="2" t="s">
        <v>836</v>
      </c>
      <c r="C308" s="4" t="s">
        <v>992</v>
      </c>
      <c r="D308" s="3" t="s">
        <v>999</v>
      </c>
      <c r="E308" s="6" t="s">
        <v>1000</v>
      </c>
      <c r="F308" s="6" t="s">
        <v>149</v>
      </c>
      <c r="G308" s="6" t="s">
        <v>708</v>
      </c>
      <c r="H308" s="25">
        <v>425000</v>
      </c>
      <c r="I308" s="38">
        <v>0</v>
      </c>
      <c r="J308" s="38">
        <v>0</v>
      </c>
      <c r="K308" s="39">
        <f t="shared" si="32"/>
        <v>0</v>
      </c>
      <c r="L308" s="38">
        <v>1</v>
      </c>
      <c r="M308" s="38">
        <v>4</v>
      </c>
      <c r="N308" s="39">
        <f t="shared" si="33"/>
        <v>1700000</v>
      </c>
      <c r="O308" s="38">
        <v>0</v>
      </c>
      <c r="P308" s="38">
        <v>0</v>
      </c>
      <c r="Q308" s="39">
        <f t="shared" si="34"/>
        <v>0</v>
      </c>
      <c r="R308" s="38">
        <v>0</v>
      </c>
      <c r="S308" s="38">
        <v>0</v>
      </c>
      <c r="T308" s="39">
        <f t="shared" si="35"/>
        <v>0</v>
      </c>
      <c r="U308" s="38">
        <v>0</v>
      </c>
      <c r="V308" s="38">
        <v>0</v>
      </c>
      <c r="W308" s="39">
        <f t="shared" si="36"/>
        <v>0</v>
      </c>
      <c r="X308" s="38"/>
      <c r="Y308" s="38"/>
      <c r="Z308" s="39">
        <f t="shared" si="37"/>
        <v>0</v>
      </c>
      <c r="AA308" s="38"/>
      <c r="AB308" s="38"/>
      <c r="AC308" s="39">
        <f t="shared" si="38"/>
        <v>0</v>
      </c>
      <c r="AD308" s="38"/>
      <c r="AE308" s="38"/>
      <c r="AF308" s="39">
        <f t="shared" si="39"/>
        <v>0</v>
      </c>
    </row>
    <row r="309" spans="2:32" ht="15" customHeight="1" x14ac:dyDescent="0.3">
      <c r="B309" s="2" t="s">
        <v>836</v>
      </c>
      <c r="C309" s="4" t="s">
        <v>992</v>
      </c>
      <c r="D309" s="3" t="s">
        <v>999</v>
      </c>
      <c r="E309" s="6" t="s">
        <v>1000</v>
      </c>
      <c r="F309" s="6" t="s">
        <v>1002</v>
      </c>
      <c r="G309" s="6" t="s">
        <v>718</v>
      </c>
      <c r="H309" s="25">
        <v>0</v>
      </c>
      <c r="I309" s="38">
        <v>0</v>
      </c>
      <c r="J309" s="38">
        <v>0</v>
      </c>
      <c r="K309" s="39">
        <f t="shared" si="32"/>
        <v>0</v>
      </c>
      <c r="L309" s="38">
        <v>1</v>
      </c>
      <c r="M309" s="38">
        <v>40</v>
      </c>
      <c r="N309" s="39">
        <f t="shared" si="33"/>
        <v>0</v>
      </c>
      <c r="O309" s="38">
        <v>0</v>
      </c>
      <c r="P309" s="38">
        <v>0</v>
      </c>
      <c r="Q309" s="39">
        <f t="shared" si="34"/>
        <v>0</v>
      </c>
      <c r="R309" s="38">
        <v>0</v>
      </c>
      <c r="S309" s="38">
        <v>0</v>
      </c>
      <c r="T309" s="39">
        <f t="shared" si="35"/>
        <v>0</v>
      </c>
      <c r="U309" s="38">
        <v>0</v>
      </c>
      <c r="V309" s="38">
        <v>0</v>
      </c>
      <c r="W309" s="39">
        <f t="shared" si="36"/>
        <v>0</v>
      </c>
      <c r="X309" s="38"/>
      <c r="Y309" s="38"/>
      <c r="Z309" s="39">
        <f t="shared" si="37"/>
        <v>0</v>
      </c>
      <c r="AA309" s="38"/>
      <c r="AB309" s="38"/>
      <c r="AC309" s="39">
        <f t="shared" si="38"/>
        <v>0</v>
      </c>
      <c r="AD309" s="38"/>
      <c r="AE309" s="38"/>
      <c r="AF309" s="39">
        <f t="shared" si="39"/>
        <v>0</v>
      </c>
    </row>
    <row r="310" spans="2:32" ht="15" customHeight="1" x14ac:dyDescent="0.3">
      <c r="B310" s="2" t="s">
        <v>836</v>
      </c>
      <c r="C310" s="4" t="s">
        <v>992</v>
      </c>
      <c r="D310" s="3" t="s">
        <v>999</v>
      </c>
      <c r="E310" s="6" t="s">
        <v>1000</v>
      </c>
      <c r="F310" s="6" t="s">
        <v>912</v>
      </c>
      <c r="G310" s="6" t="s">
        <v>718</v>
      </c>
      <c r="H310" s="25">
        <v>0</v>
      </c>
      <c r="I310" s="38">
        <v>0</v>
      </c>
      <c r="J310" s="38">
        <v>0</v>
      </c>
      <c r="K310" s="39">
        <f t="shared" si="32"/>
        <v>0</v>
      </c>
      <c r="L310" s="38">
        <v>5</v>
      </c>
      <c r="M310" s="38">
        <v>14</v>
      </c>
      <c r="N310" s="39">
        <f t="shared" si="33"/>
        <v>0</v>
      </c>
      <c r="O310" s="38">
        <v>0</v>
      </c>
      <c r="P310" s="38">
        <v>0</v>
      </c>
      <c r="Q310" s="39">
        <f t="shared" si="34"/>
        <v>0</v>
      </c>
      <c r="R310" s="38">
        <v>0</v>
      </c>
      <c r="S310" s="38">
        <v>0</v>
      </c>
      <c r="T310" s="39">
        <f t="shared" si="35"/>
        <v>0</v>
      </c>
      <c r="U310" s="38">
        <v>0</v>
      </c>
      <c r="V310" s="38">
        <v>0</v>
      </c>
      <c r="W310" s="39">
        <f t="shared" si="36"/>
        <v>0</v>
      </c>
      <c r="X310" s="38"/>
      <c r="Y310" s="38"/>
      <c r="Z310" s="39">
        <f t="shared" si="37"/>
        <v>0</v>
      </c>
      <c r="AA310" s="38"/>
      <c r="AB310" s="38"/>
      <c r="AC310" s="39">
        <f t="shared" si="38"/>
        <v>0</v>
      </c>
      <c r="AD310" s="38"/>
      <c r="AE310" s="38"/>
      <c r="AF310" s="39">
        <f t="shared" si="39"/>
        <v>0</v>
      </c>
    </row>
    <row r="311" spans="2:32" ht="15" customHeight="1" x14ac:dyDescent="0.3">
      <c r="B311" s="2" t="s">
        <v>836</v>
      </c>
      <c r="C311" s="4" t="s">
        <v>992</v>
      </c>
      <c r="D311" s="3" t="s">
        <v>999</v>
      </c>
      <c r="E311" s="6" t="s">
        <v>1000</v>
      </c>
      <c r="F311" s="6" t="s">
        <v>971</v>
      </c>
      <c r="G311" s="6" t="s">
        <v>709</v>
      </c>
      <c r="H311" s="25">
        <v>28000</v>
      </c>
      <c r="I311" s="38">
        <v>0</v>
      </c>
      <c r="J311" s="38">
        <v>0</v>
      </c>
      <c r="K311" s="39">
        <f t="shared" si="32"/>
        <v>0</v>
      </c>
      <c r="L311" s="38">
        <v>15</v>
      </c>
      <c r="M311" s="38">
        <v>1</v>
      </c>
      <c r="N311" s="39">
        <f t="shared" si="33"/>
        <v>420000</v>
      </c>
      <c r="O311" s="38">
        <v>0</v>
      </c>
      <c r="P311" s="38">
        <v>0</v>
      </c>
      <c r="Q311" s="39">
        <f t="shared" si="34"/>
        <v>0</v>
      </c>
      <c r="R311" s="38">
        <v>0</v>
      </c>
      <c r="S311" s="38">
        <v>0</v>
      </c>
      <c r="T311" s="39">
        <f t="shared" si="35"/>
        <v>0</v>
      </c>
      <c r="U311" s="38">
        <v>0</v>
      </c>
      <c r="V311" s="38">
        <v>0</v>
      </c>
      <c r="W311" s="39">
        <f t="shared" si="36"/>
        <v>0</v>
      </c>
      <c r="X311" s="38"/>
      <c r="Y311" s="38"/>
      <c r="Z311" s="39">
        <f t="shared" si="37"/>
        <v>0</v>
      </c>
      <c r="AA311" s="38"/>
      <c r="AB311" s="38"/>
      <c r="AC311" s="39">
        <f t="shared" si="38"/>
        <v>0</v>
      </c>
      <c r="AD311" s="38"/>
      <c r="AE311" s="38"/>
      <c r="AF311" s="39">
        <f t="shared" si="39"/>
        <v>0</v>
      </c>
    </row>
    <row r="312" spans="2:32" ht="15" customHeight="1" x14ac:dyDescent="0.3">
      <c r="B312" s="2" t="s">
        <v>836</v>
      </c>
      <c r="C312" s="4" t="s">
        <v>992</v>
      </c>
      <c r="D312" s="3" t="s">
        <v>999</v>
      </c>
      <c r="E312" s="6" t="s">
        <v>1000</v>
      </c>
      <c r="F312" s="6" t="s">
        <v>971</v>
      </c>
      <c r="G312" s="6" t="s">
        <v>711</v>
      </c>
      <c r="H312" s="25">
        <v>70</v>
      </c>
      <c r="I312" s="38">
        <v>0</v>
      </c>
      <c r="J312" s="38">
        <v>0</v>
      </c>
      <c r="K312" s="39">
        <f t="shared" si="32"/>
        <v>0</v>
      </c>
      <c r="L312" s="38">
        <v>25</v>
      </c>
      <c r="M312" s="38">
        <v>3</v>
      </c>
      <c r="N312" s="39">
        <f t="shared" si="33"/>
        <v>5250</v>
      </c>
      <c r="O312" s="38">
        <v>0</v>
      </c>
      <c r="P312" s="38">
        <v>0</v>
      </c>
      <c r="Q312" s="39">
        <f t="shared" si="34"/>
        <v>0</v>
      </c>
      <c r="R312" s="38">
        <v>0</v>
      </c>
      <c r="S312" s="38">
        <v>0</v>
      </c>
      <c r="T312" s="39">
        <f t="shared" si="35"/>
        <v>0</v>
      </c>
      <c r="U312" s="38">
        <v>0</v>
      </c>
      <c r="V312" s="38">
        <v>0</v>
      </c>
      <c r="W312" s="39">
        <f t="shared" si="36"/>
        <v>0</v>
      </c>
      <c r="X312" s="38"/>
      <c r="Y312" s="38"/>
      <c r="Z312" s="39">
        <f t="shared" si="37"/>
        <v>0</v>
      </c>
      <c r="AA312" s="38"/>
      <c r="AB312" s="38"/>
      <c r="AC312" s="39">
        <f t="shared" si="38"/>
        <v>0</v>
      </c>
      <c r="AD312" s="38"/>
      <c r="AE312" s="38"/>
      <c r="AF312" s="39">
        <f t="shared" si="39"/>
        <v>0</v>
      </c>
    </row>
    <row r="313" spans="2:32" ht="15" customHeight="1" x14ac:dyDescent="0.3">
      <c r="B313" s="2" t="s">
        <v>836</v>
      </c>
      <c r="C313" s="4" t="s">
        <v>992</v>
      </c>
      <c r="D313" s="3" t="s">
        <v>999</v>
      </c>
      <c r="E313" s="6" t="s">
        <v>1000</v>
      </c>
      <c r="F313" s="6" t="s">
        <v>971</v>
      </c>
      <c r="G313" s="6" t="s">
        <v>710</v>
      </c>
      <c r="H313" s="25">
        <v>104850</v>
      </c>
      <c r="I313" s="38">
        <v>0</v>
      </c>
      <c r="J313" s="38">
        <v>0</v>
      </c>
      <c r="K313" s="39">
        <f t="shared" si="32"/>
        <v>0</v>
      </c>
      <c r="L313" s="38">
        <v>5000</v>
      </c>
      <c r="M313" s="38">
        <v>1</v>
      </c>
      <c r="N313" s="39">
        <f t="shared" si="33"/>
        <v>524250000</v>
      </c>
      <c r="O313" s="38">
        <v>0</v>
      </c>
      <c r="P313" s="38">
        <v>0</v>
      </c>
      <c r="Q313" s="39">
        <f t="shared" si="34"/>
        <v>0</v>
      </c>
      <c r="R313" s="38">
        <v>0</v>
      </c>
      <c r="S313" s="38">
        <v>0</v>
      </c>
      <c r="T313" s="39">
        <f t="shared" si="35"/>
        <v>0</v>
      </c>
      <c r="U313" s="38">
        <v>0</v>
      </c>
      <c r="V313" s="38">
        <v>0</v>
      </c>
      <c r="W313" s="39">
        <f t="shared" si="36"/>
        <v>0</v>
      </c>
      <c r="X313" s="38"/>
      <c r="Y313" s="38"/>
      <c r="Z313" s="39">
        <f t="shared" si="37"/>
        <v>0</v>
      </c>
      <c r="AA313" s="38"/>
      <c r="AB313" s="38"/>
      <c r="AC313" s="39">
        <f t="shared" si="38"/>
        <v>0</v>
      </c>
      <c r="AD313" s="38"/>
      <c r="AE313" s="38"/>
      <c r="AF313" s="39">
        <f t="shared" si="39"/>
        <v>0</v>
      </c>
    </row>
    <row r="314" spans="2:32" ht="15" customHeight="1" x14ac:dyDescent="0.3">
      <c r="B314" s="2" t="s">
        <v>836</v>
      </c>
      <c r="C314" s="4" t="s">
        <v>992</v>
      </c>
      <c r="D314" s="3" t="s">
        <v>999</v>
      </c>
      <c r="E314" s="6" t="s">
        <v>1000</v>
      </c>
      <c r="F314" s="6" t="s">
        <v>1003</v>
      </c>
      <c r="G314" s="6" t="s">
        <v>713</v>
      </c>
      <c r="H314" s="25">
        <v>45000</v>
      </c>
      <c r="I314" s="38">
        <v>0</v>
      </c>
      <c r="J314" s="38">
        <v>0</v>
      </c>
      <c r="K314" s="39">
        <f t="shared" si="32"/>
        <v>0</v>
      </c>
      <c r="L314" s="38">
        <v>1</v>
      </c>
      <c r="M314" s="38">
        <v>1</v>
      </c>
      <c r="N314" s="39">
        <f t="shared" si="33"/>
        <v>45000</v>
      </c>
      <c r="O314" s="38">
        <v>0</v>
      </c>
      <c r="P314" s="38">
        <v>0</v>
      </c>
      <c r="Q314" s="39">
        <f t="shared" si="34"/>
        <v>0</v>
      </c>
      <c r="R314" s="38">
        <v>0</v>
      </c>
      <c r="S314" s="38">
        <v>0</v>
      </c>
      <c r="T314" s="39">
        <f t="shared" si="35"/>
        <v>0</v>
      </c>
      <c r="U314" s="38">
        <v>0</v>
      </c>
      <c r="V314" s="38">
        <v>0</v>
      </c>
      <c r="W314" s="39">
        <f t="shared" si="36"/>
        <v>0</v>
      </c>
      <c r="X314" s="38"/>
      <c r="Y314" s="38"/>
      <c r="Z314" s="39">
        <f t="shared" si="37"/>
        <v>0</v>
      </c>
      <c r="AA314" s="38"/>
      <c r="AB314" s="38"/>
      <c r="AC314" s="39">
        <f t="shared" si="38"/>
        <v>0</v>
      </c>
      <c r="AD314" s="38"/>
      <c r="AE314" s="38"/>
      <c r="AF314" s="39">
        <f t="shared" si="39"/>
        <v>0</v>
      </c>
    </row>
    <row r="315" spans="2:32" ht="15" customHeight="1" x14ac:dyDescent="0.3">
      <c r="B315" s="2" t="s">
        <v>836</v>
      </c>
      <c r="C315" s="4" t="s">
        <v>992</v>
      </c>
      <c r="D315" s="3" t="s">
        <v>999</v>
      </c>
      <c r="E315" s="6" t="s">
        <v>1000</v>
      </c>
      <c r="F315" s="6" t="s">
        <v>1003</v>
      </c>
      <c r="G315" s="6" t="s">
        <v>712</v>
      </c>
      <c r="H315" s="25">
        <v>214.29</v>
      </c>
      <c r="I315" s="38">
        <v>0</v>
      </c>
      <c r="J315" s="38">
        <v>0</v>
      </c>
      <c r="K315" s="39">
        <f t="shared" si="32"/>
        <v>0</v>
      </c>
      <c r="L315" s="38">
        <v>25</v>
      </c>
      <c r="M315" s="38">
        <v>1</v>
      </c>
      <c r="N315" s="39">
        <f t="shared" si="33"/>
        <v>5357.25</v>
      </c>
      <c r="O315" s="38">
        <v>0</v>
      </c>
      <c r="P315" s="38">
        <v>0</v>
      </c>
      <c r="Q315" s="39">
        <f t="shared" si="34"/>
        <v>0</v>
      </c>
      <c r="R315" s="38">
        <v>0</v>
      </c>
      <c r="S315" s="38">
        <v>0</v>
      </c>
      <c r="T315" s="39">
        <f t="shared" si="35"/>
        <v>0</v>
      </c>
      <c r="U315" s="38">
        <v>0</v>
      </c>
      <c r="V315" s="38">
        <v>0</v>
      </c>
      <c r="W315" s="39">
        <f t="shared" si="36"/>
        <v>0</v>
      </c>
      <c r="X315" s="38"/>
      <c r="Y315" s="38"/>
      <c r="Z315" s="39">
        <f t="shared" si="37"/>
        <v>0</v>
      </c>
      <c r="AA315" s="38"/>
      <c r="AB315" s="38"/>
      <c r="AC315" s="39">
        <f t="shared" si="38"/>
        <v>0</v>
      </c>
      <c r="AD315" s="38"/>
      <c r="AE315" s="38"/>
      <c r="AF315" s="39">
        <f t="shared" si="39"/>
        <v>0</v>
      </c>
    </row>
    <row r="316" spans="2:32" ht="15" customHeight="1" x14ac:dyDescent="0.3">
      <c r="B316" s="2" t="s">
        <v>836</v>
      </c>
      <c r="C316" s="4" t="s">
        <v>992</v>
      </c>
      <c r="D316" s="3" t="s">
        <v>999</v>
      </c>
      <c r="E316" s="6" t="s">
        <v>1000</v>
      </c>
      <c r="F316" s="6" t="s">
        <v>157</v>
      </c>
      <c r="G316" s="6" t="s">
        <v>713</v>
      </c>
      <c r="H316" s="25">
        <v>45000</v>
      </c>
      <c r="I316" s="38">
        <v>0</v>
      </c>
      <c r="J316" s="38">
        <v>0</v>
      </c>
      <c r="K316" s="39">
        <f t="shared" si="32"/>
        <v>0</v>
      </c>
      <c r="L316" s="38">
        <v>4000</v>
      </c>
      <c r="M316" s="38">
        <v>1</v>
      </c>
      <c r="N316" s="39">
        <f t="shared" si="33"/>
        <v>180000000</v>
      </c>
      <c r="O316" s="38">
        <v>0</v>
      </c>
      <c r="P316" s="38">
        <v>0</v>
      </c>
      <c r="Q316" s="39">
        <f t="shared" si="34"/>
        <v>0</v>
      </c>
      <c r="R316" s="38">
        <v>0</v>
      </c>
      <c r="S316" s="38">
        <v>0</v>
      </c>
      <c r="T316" s="39">
        <f t="shared" si="35"/>
        <v>0</v>
      </c>
      <c r="U316" s="38">
        <v>0</v>
      </c>
      <c r="V316" s="38">
        <v>0</v>
      </c>
      <c r="W316" s="39">
        <f t="shared" si="36"/>
        <v>0</v>
      </c>
      <c r="X316" s="38"/>
      <c r="Y316" s="38"/>
      <c r="Z316" s="39">
        <f t="shared" si="37"/>
        <v>0</v>
      </c>
      <c r="AA316" s="38"/>
      <c r="AB316" s="38"/>
      <c r="AC316" s="39">
        <f t="shared" si="38"/>
        <v>0</v>
      </c>
      <c r="AD316" s="38"/>
      <c r="AE316" s="38"/>
      <c r="AF316" s="39">
        <f t="shared" si="39"/>
        <v>0</v>
      </c>
    </row>
    <row r="317" spans="2:32" ht="15" customHeight="1" x14ac:dyDescent="0.3">
      <c r="B317" s="2" t="s">
        <v>836</v>
      </c>
      <c r="C317" s="4" t="s">
        <v>992</v>
      </c>
      <c r="D317" s="3" t="s">
        <v>999</v>
      </c>
      <c r="E317" s="6" t="s">
        <v>1000</v>
      </c>
      <c r="F317" s="6" t="s">
        <v>157</v>
      </c>
      <c r="G317" s="6" t="s">
        <v>712</v>
      </c>
      <c r="H317" s="25">
        <v>214.29</v>
      </c>
      <c r="I317" s="38">
        <v>0</v>
      </c>
      <c r="J317" s="38">
        <v>0</v>
      </c>
      <c r="K317" s="39">
        <f t="shared" si="32"/>
        <v>0</v>
      </c>
      <c r="L317" s="38">
        <v>25</v>
      </c>
      <c r="M317" s="38">
        <v>10</v>
      </c>
      <c r="N317" s="39">
        <f t="shared" si="33"/>
        <v>53572.5</v>
      </c>
      <c r="O317" s="38">
        <v>0</v>
      </c>
      <c r="P317" s="38">
        <v>0</v>
      </c>
      <c r="Q317" s="39">
        <f t="shared" si="34"/>
        <v>0</v>
      </c>
      <c r="R317" s="38">
        <v>0</v>
      </c>
      <c r="S317" s="38">
        <v>0</v>
      </c>
      <c r="T317" s="39">
        <f t="shared" si="35"/>
        <v>0</v>
      </c>
      <c r="U317" s="38">
        <v>0</v>
      </c>
      <c r="V317" s="38">
        <v>0</v>
      </c>
      <c r="W317" s="39">
        <f t="shared" si="36"/>
        <v>0</v>
      </c>
      <c r="X317" s="38"/>
      <c r="Y317" s="38"/>
      <c r="Z317" s="39">
        <f t="shared" si="37"/>
        <v>0</v>
      </c>
      <c r="AA317" s="38"/>
      <c r="AB317" s="38"/>
      <c r="AC317" s="39">
        <f t="shared" si="38"/>
        <v>0</v>
      </c>
      <c r="AD317" s="38"/>
      <c r="AE317" s="38"/>
      <c r="AF317" s="39">
        <f t="shared" si="39"/>
        <v>0</v>
      </c>
    </row>
    <row r="318" spans="2:32" ht="15" customHeight="1" x14ac:dyDescent="0.3">
      <c r="B318" s="2" t="s">
        <v>836</v>
      </c>
      <c r="C318" s="4" t="s">
        <v>992</v>
      </c>
      <c r="D318" s="3" t="s">
        <v>999</v>
      </c>
      <c r="E318" s="6" t="s">
        <v>1000</v>
      </c>
      <c r="F318" s="6" t="s">
        <v>157</v>
      </c>
      <c r="G318" s="6" t="s">
        <v>714</v>
      </c>
      <c r="H318" s="25">
        <v>10000</v>
      </c>
      <c r="I318" s="38">
        <v>0</v>
      </c>
      <c r="J318" s="38">
        <v>0</v>
      </c>
      <c r="K318" s="39">
        <f t="shared" si="32"/>
        <v>0</v>
      </c>
      <c r="L318" s="38">
        <v>20000</v>
      </c>
      <c r="M318" s="38">
        <v>1</v>
      </c>
      <c r="N318" s="39">
        <f t="shared" si="33"/>
        <v>200000000</v>
      </c>
      <c r="O318" s="38">
        <v>0</v>
      </c>
      <c r="P318" s="38">
        <v>0</v>
      </c>
      <c r="Q318" s="39">
        <f t="shared" si="34"/>
        <v>0</v>
      </c>
      <c r="R318" s="38">
        <v>0</v>
      </c>
      <c r="S318" s="38">
        <v>0</v>
      </c>
      <c r="T318" s="39">
        <f t="shared" si="35"/>
        <v>0</v>
      </c>
      <c r="U318" s="38">
        <v>0</v>
      </c>
      <c r="V318" s="38">
        <v>0</v>
      </c>
      <c r="W318" s="39">
        <f t="shared" si="36"/>
        <v>0</v>
      </c>
      <c r="X318" s="38"/>
      <c r="Y318" s="38"/>
      <c r="Z318" s="39">
        <f t="shared" si="37"/>
        <v>0</v>
      </c>
      <c r="AA318" s="38"/>
      <c r="AB318" s="38"/>
      <c r="AC318" s="39">
        <f t="shared" si="38"/>
        <v>0</v>
      </c>
      <c r="AD318" s="38"/>
      <c r="AE318" s="38"/>
      <c r="AF318" s="39">
        <f t="shared" si="39"/>
        <v>0</v>
      </c>
    </row>
    <row r="319" spans="2:32" ht="15" customHeight="1" x14ac:dyDescent="0.3">
      <c r="B319" s="2" t="s">
        <v>836</v>
      </c>
      <c r="C319" s="4" t="s">
        <v>992</v>
      </c>
      <c r="D319" s="3" t="s">
        <v>999</v>
      </c>
      <c r="E319" s="6" t="s">
        <v>1000</v>
      </c>
      <c r="F319" s="6" t="s">
        <v>157</v>
      </c>
      <c r="G319" s="6" t="s">
        <v>715</v>
      </c>
      <c r="H319" s="25">
        <v>302000</v>
      </c>
      <c r="I319" s="38">
        <v>0</v>
      </c>
      <c r="J319" s="38">
        <v>0</v>
      </c>
      <c r="K319" s="39">
        <f t="shared" si="32"/>
        <v>0</v>
      </c>
      <c r="L319" s="38">
        <v>25</v>
      </c>
      <c r="M319" s="38">
        <v>1</v>
      </c>
      <c r="N319" s="39">
        <f t="shared" si="33"/>
        <v>7550000</v>
      </c>
      <c r="O319" s="38">
        <v>0</v>
      </c>
      <c r="P319" s="38">
        <v>0</v>
      </c>
      <c r="Q319" s="39">
        <f t="shared" si="34"/>
        <v>0</v>
      </c>
      <c r="R319" s="38">
        <v>0</v>
      </c>
      <c r="S319" s="38">
        <v>0</v>
      </c>
      <c r="T319" s="39">
        <f t="shared" si="35"/>
        <v>0</v>
      </c>
      <c r="U319" s="38">
        <v>0</v>
      </c>
      <c r="V319" s="38">
        <v>0</v>
      </c>
      <c r="W319" s="39">
        <f t="shared" si="36"/>
        <v>0</v>
      </c>
      <c r="X319" s="38"/>
      <c r="Y319" s="38"/>
      <c r="Z319" s="39">
        <f t="shared" si="37"/>
        <v>0</v>
      </c>
      <c r="AA319" s="38"/>
      <c r="AB319" s="38"/>
      <c r="AC319" s="39">
        <f t="shared" si="38"/>
        <v>0</v>
      </c>
      <c r="AD319" s="38"/>
      <c r="AE319" s="38"/>
      <c r="AF319" s="39">
        <f t="shared" si="39"/>
        <v>0</v>
      </c>
    </row>
    <row r="320" spans="2:32" ht="15" customHeight="1" x14ac:dyDescent="0.3">
      <c r="B320" s="2" t="s">
        <v>836</v>
      </c>
      <c r="C320" s="4" t="s">
        <v>992</v>
      </c>
      <c r="D320" s="3" t="s">
        <v>999</v>
      </c>
      <c r="E320" s="6" t="s">
        <v>1000</v>
      </c>
      <c r="F320" s="6" t="s">
        <v>1004</v>
      </c>
      <c r="G320" s="6" t="s">
        <v>716</v>
      </c>
      <c r="H320" s="25">
        <v>39000</v>
      </c>
      <c r="I320" s="38">
        <v>0</v>
      </c>
      <c r="J320" s="38">
        <v>0</v>
      </c>
      <c r="K320" s="39">
        <f t="shared" si="32"/>
        <v>0</v>
      </c>
      <c r="L320" s="38">
        <v>20</v>
      </c>
      <c r="M320" s="38">
        <v>1</v>
      </c>
      <c r="N320" s="39">
        <f t="shared" si="33"/>
        <v>780000</v>
      </c>
      <c r="O320" s="38">
        <v>0</v>
      </c>
      <c r="P320" s="38">
        <v>0</v>
      </c>
      <c r="Q320" s="39">
        <f t="shared" si="34"/>
        <v>0</v>
      </c>
      <c r="R320" s="38">
        <v>0</v>
      </c>
      <c r="S320" s="38">
        <v>0</v>
      </c>
      <c r="T320" s="39">
        <f t="shared" si="35"/>
        <v>0</v>
      </c>
      <c r="U320" s="38">
        <v>0</v>
      </c>
      <c r="V320" s="38">
        <v>0</v>
      </c>
      <c r="W320" s="39">
        <f t="shared" si="36"/>
        <v>0</v>
      </c>
      <c r="X320" s="38"/>
      <c r="Y320" s="38"/>
      <c r="Z320" s="39">
        <f t="shared" si="37"/>
        <v>0</v>
      </c>
      <c r="AA320" s="38"/>
      <c r="AB320" s="38"/>
      <c r="AC320" s="39">
        <f t="shared" si="38"/>
        <v>0</v>
      </c>
      <c r="AD320" s="38"/>
      <c r="AE320" s="38"/>
      <c r="AF320" s="39">
        <f t="shared" si="39"/>
        <v>0</v>
      </c>
    </row>
    <row r="321" spans="2:32" ht="15" customHeight="1" x14ac:dyDescent="0.3">
      <c r="B321" s="2" t="s">
        <v>836</v>
      </c>
      <c r="C321" s="4" t="s">
        <v>992</v>
      </c>
      <c r="D321" s="3" t="s">
        <v>999</v>
      </c>
      <c r="E321" s="6" t="s">
        <v>1000</v>
      </c>
      <c r="F321" s="6" t="s">
        <v>1004</v>
      </c>
      <c r="G321" s="6" t="s">
        <v>709</v>
      </c>
      <c r="H321" s="25">
        <v>28000</v>
      </c>
      <c r="I321" s="38">
        <v>0</v>
      </c>
      <c r="J321" s="38">
        <v>0</v>
      </c>
      <c r="K321" s="39">
        <f t="shared" si="32"/>
        <v>0</v>
      </c>
      <c r="L321" s="38">
        <v>25</v>
      </c>
      <c r="M321" s="38">
        <v>5</v>
      </c>
      <c r="N321" s="39">
        <f t="shared" si="33"/>
        <v>3500000</v>
      </c>
      <c r="O321" s="38">
        <v>0</v>
      </c>
      <c r="P321" s="38">
        <v>0</v>
      </c>
      <c r="Q321" s="39">
        <f t="shared" si="34"/>
        <v>0</v>
      </c>
      <c r="R321" s="38">
        <v>0</v>
      </c>
      <c r="S321" s="38">
        <v>0</v>
      </c>
      <c r="T321" s="39">
        <f t="shared" si="35"/>
        <v>0</v>
      </c>
      <c r="U321" s="38">
        <v>0</v>
      </c>
      <c r="V321" s="38">
        <v>0</v>
      </c>
      <c r="W321" s="39">
        <f t="shared" si="36"/>
        <v>0</v>
      </c>
      <c r="X321" s="38"/>
      <c r="Y321" s="38"/>
      <c r="Z321" s="39">
        <f t="shared" si="37"/>
        <v>0</v>
      </c>
      <c r="AA321" s="38"/>
      <c r="AB321" s="38"/>
      <c r="AC321" s="39">
        <f t="shared" si="38"/>
        <v>0</v>
      </c>
      <c r="AD321" s="38"/>
      <c r="AE321" s="38"/>
      <c r="AF321" s="39">
        <f t="shared" si="39"/>
        <v>0</v>
      </c>
    </row>
    <row r="322" spans="2:32" ht="15" customHeight="1" x14ac:dyDescent="0.3">
      <c r="B322" s="2" t="s">
        <v>836</v>
      </c>
      <c r="C322" s="4" t="s">
        <v>992</v>
      </c>
      <c r="D322" s="3" t="s">
        <v>999</v>
      </c>
      <c r="E322" s="6" t="s">
        <v>1000</v>
      </c>
      <c r="F322" s="6" t="s">
        <v>1004</v>
      </c>
      <c r="G322" s="6" t="s">
        <v>712</v>
      </c>
      <c r="H322" s="25">
        <v>214.29</v>
      </c>
      <c r="I322" s="38">
        <v>0</v>
      </c>
      <c r="J322" s="38">
        <v>0</v>
      </c>
      <c r="K322" s="39">
        <f t="shared" si="32"/>
        <v>0</v>
      </c>
      <c r="L322" s="38">
        <v>25</v>
      </c>
      <c r="M322" s="38">
        <v>5</v>
      </c>
      <c r="N322" s="39">
        <f t="shared" si="33"/>
        <v>26786.25</v>
      </c>
      <c r="O322" s="38">
        <v>0</v>
      </c>
      <c r="P322" s="38">
        <v>0</v>
      </c>
      <c r="Q322" s="39">
        <f t="shared" si="34"/>
        <v>0</v>
      </c>
      <c r="R322" s="38">
        <v>0</v>
      </c>
      <c r="S322" s="38">
        <v>0</v>
      </c>
      <c r="T322" s="39">
        <f t="shared" si="35"/>
        <v>0</v>
      </c>
      <c r="U322" s="38">
        <v>0</v>
      </c>
      <c r="V322" s="38">
        <v>0</v>
      </c>
      <c r="W322" s="39">
        <f t="shared" si="36"/>
        <v>0</v>
      </c>
      <c r="X322" s="38"/>
      <c r="Y322" s="38"/>
      <c r="Z322" s="39">
        <f t="shared" si="37"/>
        <v>0</v>
      </c>
      <c r="AA322" s="38"/>
      <c r="AB322" s="38"/>
      <c r="AC322" s="39">
        <f t="shared" si="38"/>
        <v>0</v>
      </c>
      <c r="AD322" s="38"/>
      <c r="AE322" s="38"/>
      <c r="AF322" s="39">
        <f t="shared" si="39"/>
        <v>0</v>
      </c>
    </row>
    <row r="323" spans="2:32" ht="15" customHeight="1" x14ac:dyDescent="0.3">
      <c r="B323" s="2" t="s">
        <v>836</v>
      </c>
      <c r="C323" s="4" t="s">
        <v>992</v>
      </c>
      <c r="D323" s="3" t="s">
        <v>999</v>
      </c>
      <c r="E323" s="6" t="s">
        <v>1000</v>
      </c>
      <c r="F323" s="6" t="s">
        <v>1005</v>
      </c>
      <c r="G323" s="6" t="s">
        <v>841</v>
      </c>
      <c r="H323" s="25">
        <v>0</v>
      </c>
      <c r="I323" s="38">
        <v>0</v>
      </c>
      <c r="J323" s="38">
        <v>0</v>
      </c>
      <c r="K323" s="39">
        <f t="shared" ref="K323:K386" si="40">H323*I323*J323</f>
        <v>0</v>
      </c>
      <c r="L323" s="38">
        <v>4000</v>
      </c>
      <c r="M323" s="38">
        <v>1</v>
      </c>
      <c r="N323" s="39">
        <f t="shared" ref="N323:N386" si="41">H323*L323*M323</f>
        <v>0</v>
      </c>
      <c r="O323" s="38">
        <v>0</v>
      </c>
      <c r="P323" s="38">
        <v>0</v>
      </c>
      <c r="Q323" s="39">
        <f t="shared" ref="Q323:Q386" si="42">H323*O323*P323</f>
        <v>0</v>
      </c>
      <c r="R323" s="38">
        <v>0</v>
      </c>
      <c r="S323" s="38">
        <v>0</v>
      </c>
      <c r="T323" s="39">
        <f t="shared" ref="T323:T386" si="43">H323*R323*S323</f>
        <v>0</v>
      </c>
      <c r="U323" s="38">
        <v>0</v>
      </c>
      <c r="V323" s="38">
        <v>0</v>
      </c>
      <c r="W323" s="39">
        <f t="shared" ref="W323:W386" si="44">H323*U323*V323</f>
        <v>0</v>
      </c>
      <c r="X323" s="38"/>
      <c r="Y323" s="38"/>
      <c r="Z323" s="39">
        <f t="shared" ref="Z323:Z386" si="45">H323*X323*Y323</f>
        <v>0</v>
      </c>
      <c r="AA323" s="38"/>
      <c r="AB323" s="38"/>
      <c r="AC323" s="39">
        <f t="shared" ref="AC323:AC386" si="46">H323*AA323*AB323</f>
        <v>0</v>
      </c>
      <c r="AD323" s="38"/>
      <c r="AE323" s="38"/>
      <c r="AF323" s="39">
        <f t="shared" ref="AF323:AF386" si="47">H323*AD323*AE323</f>
        <v>0</v>
      </c>
    </row>
    <row r="324" spans="2:32" ht="15" customHeight="1" x14ac:dyDescent="0.3">
      <c r="B324" s="2" t="s">
        <v>836</v>
      </c>
      <c r="C324" s="4" t="s">
        <v>992</v>
      </c>
      <c r="D324" s="3" t="s">
        <v>999</v>
      </c>
      <c r="E324" s="6" t="s">
        <v>1000</v>
      </c>
      <c r="F324" s="6" t="s">
        <v>1006</v>
      </c>
      <c r="G324" s="6" t="s">
        <v>709</v>
      </c>
      <c r="H324" s="25">
        <v>28000</v>
      </c>
      <c r="I324" s="38">
        <v>0</v>
      </c>
      <c r="J324" s="38">
        <v>0</v>
      </c>
      <c r="K324" s="39">
        <f t="shared" si="40"/>
        <v>0</v>
      </c>
      <c r="L324" s="38">
        <v>10</v>
      </c>
      <c r="M324" s="38">
        <v>5</v>
      </c>
      <c r="N324" s="39">
        <f t="shared" si="41"/>
        <v>1400000</v>
      </c>
      <c r="O324" s="38">
        <v>0</v>
      </c>
      <c r="P324" s="38">
        <v>0</v>
      </c>
      <c r="Q324" s="39">
        <f t="shared" si="42"/>
        <v>0</v>
      </c>
      <c r="R324" s="38">
        <v>0</v>
      </c>
      <c r="S324" s="38">
        <v>0</v>
      </c>
      <c r="T324" s="39">
        <f t="shared" si="43"/>
        <v>0</v>
      </c>
      <c r="U324" s="38">
        <v>0</v>
      </c>
      <c r="V324" s="38">
        <v>0</v>
      </c>
      <c r="W324" s="39">
        <f t="shared" si="44"/>
        <v>0</v>
      </c>
      <c r="X324" s="38"/>
      <c r="Y324" s="38"/>
      <c r="Z324" s="39">
        <f t="shared" si="45"/>
        <v>0</v>
      </c>
      <c r="AA324" s="38"/>
      <c r="AB324" s="38"/>
      <c r="AC324" s="39">
        <f t="shared" si="46"/>
        <v>0</v>
      </c>
      <c r="AD324" s="38"/>
      <c r="AE324" s="38"/>
      <c r="AF324" s="39">
        <f t="shared" si="47"/>
        <v>0</v>
      </c>
    </row>
    <row r="325" spans="2:32" ht="15" customHeight="1" x14ac:dyDescent="0.3">
      <c r="B325" s="2" t="s">
        <v>836</v>
      </c>
      <c r="C325" s="4" t="s">
        <v>992</v>
      </c>
      <c r="D325" s="3" t="s">
        <v>999</v>
      </c>
      <c r="E325" s="6" t="s">
        <v>1000</v>
      </c>
      <c r="F325" s="6" t="s">
        <v>1006</v>
      </c>
      <c r="G325" s="6" t="s">
        <v>716</v>
      </c>
      <c r="H325" s="25">
        <v>39000</v>
      </c>
      <c r="I325" s="38">
        <v>0</v>
      </c>
      <c r="J325" s="38">
        <v>0</v>
      </c>
      <c r="K325" s="39">
        <f t="shared" si="40"/>
        <v>0</v>
      </c>
      <c r="L325" s="38">
        <v>30</v>
      </c>
      <c r="M325" s="38">
        <v>1</v>
      </c>
      <c r="N325" s="39">
        <f t="shared" si="41"/>
        <v>1170000</v>
      </c>
      <c r="O325" s="38">
        <v>0</v>
      </c>
      <c r="P325" s="38">
        <v>0</v>
      </c>
      <c r="Q325" s="39">
        <f t="shared" si="42"/>
        <v>0</v>
      </c>
      <c r="R325" s="38">
        <v>0</v>
      </c>
      <c r="S325" s="38">
        <v>0</v>
      </c>
      <c r="T325" s="39">
        <f t="shared" si="43"/>
        <v>0</v>
      </c>
      <c r="U325" s="38">
        <v>0</v>
      </c>
      <c r="V325" s="38">
        <v>0</v>
      </c>
      <c r="W325" s="39">
        <f t="shared" si="44"/>
        <v>0</v>
      </c>
      <c r="X325" s="38"/>
      <c r="Y325" s="38"/>
      <c r="Z325" s="39">
        <f t="shared" si="45"/>
        <v>0</v>
      </c>
      <c r="AA325" s="38"/>
      <c r="AB325" s="38"/>
      <c r="AC325" s="39">
        <f t="shared" si="46"/>
        <v>0</v>
      </c>
      <c r="AD325" s="38"/>
      <c r="AE325" s="38"/>
      <c r="AF325" s="39">
        <f t="shared" si="47"/>
        <v>0</v>
      </c>
    </row>
    <row r="326" spans="2:32" ht="15" customHeight="1" x14ac:dyDescent="0.3">
      <c r="B326" s="2" t="s">
        <v>836</v>
      </c>
      <c r="C326" s="4" t="s">
        <v>992</v>
      </c>
      <c r="D326" s="3" t="s">
        <v>999</v>
      </c>
      <c r="E326" s="6" t="s">
        <v>1000</v>
      </c>
      <c r="F326" s="6" t="s">
        <v>1006</v>
      </c>
      <c r="G326" s="6" t="s">
        <v>712</v>
      </c>
      <c r="H326" s="25">
        <v>214.29</v>
      </c>
      <c r="I326" s="38">
        <v>0</v>
      </c>
      <c r="J326" s="38">
        <v>0</v>
      </c>
      <c r="K326" s="39">
        <f t="shared" si="40"/>
        <v>0</v>
      </c>
      <c r="L326" s="38">
        <v>30</v>
      </c>
      <c r="M326" s="38">
        <v>1</v>
      </c>
      <c r="N326" s="39">
        <f t="shared" si="41"/>
        <v>6428.7</v>
      </c>
      <c r="O326" s="38">
        <v>0</v>
      </c>
      <c r="P326" s="38">
        <v>0</v>
      </c>
      <c r="Q326" s="39">
        <f t="shared" si="42"/>
        <v>0</v>
      </c>
      <c r="R326" s="38">
        <v>0</v>
      </c>
      <c r="S326" s="38">
        <v>0</v>
      </c>
      <c r="T326" s="39">
        <f t="shared" si="43"/>
        <v>0</v>
      </c>
      <c r="U326" s="38">
        <v>0</v>
      </c>
      <c r="V326" s="38">
        <v>0</v>
      </c>
      <c r="W326" s="39">
        <f t="shared" si="44"/>
        <v>0</v>
      </c>
      <c r="X326" s="38"/>
      <c r="Y326" s="38"/>
      <c r="Z326" s="39">
        <f t="shared" si="45"/>
        <v>0</v>
      </c>
      <c r="AA326" s="38"/>
      <c r="AB326" s="38"/>
      <c r="AC326" s="39">
        <f t="shared" si="46"/>
        <v>0</v>
      </c>
      <c r="AD326" s="38"/>
      <c r="AE326" s="38"/>
      <c r="AF326" s="39">
        <f t="shared" si="47"/>
        <v>0</v>
      </c>
    </row>
    <row r="327" spans="2:32" ht="15" customHeight="1" x14ac:dyDescent="0.3">
      <c r="B327" s="2" t="s">
        <v>836</v>
      </c>
      <c r="C327" s="4" t="s">
        <v>992</v>
      </c>
      <c r="D327" s="3" t="s">
        <v>999</v>
      </c>
      <c r="E327" s="6" t="s">
        <v>1000</v>
      </c>
      <c r="F327" s="6" t="s">
        <v>1007</v>
      </c>
      <c r="G327" s="6" t="s">
        <v>709</v>
      </c>
      <c r="H327" s="25">
        <v>28000</v>
      </c>
      <c r="I327" s="38">
        <v>0</v>
      </c>
      <c r="J327" s="38">
        <v>0</v>
      </c>
      <c r="K327" s="39">
        <f t="shared" si="40"/>
        <v>0</v>
      </c>
      <c r="L327" s="38">
        <v>6000</v>
      </c>
      <c r="M327" s="38">
        <v>1</v>
      </c>
      <c r="N327" s="39">
        <f t="shared" si="41"/>
        <v>168000000</v>
      </c>
      <c r="O327" s="38">
        <v>0</v>
      </c>
      <c r="P327" s="38">
        <v>0</v>
      </c>
      <c r="Q327" s="39">
        <f t="shared" si="42"/>
        <v>0</v>
      </c>
      <c r="R327" s="38">
        <v>0</v>
      </c>
      <c r="S327" s="38">
        <v>0</v>
      </c>
      <c r="T327" s="39">
        <f t="shared" si="43"/>
        <v>0</v>
      </c>
      <c r="U327" s="38">
        <v>0</v>
      </c>
      <c r="V327" s="38">
        <v>0</v>
      </c>
      <c r="W327" s="39">
        <f t="shared" si="44"/>
        <v>0</v>
      </c>
      <c r="X327" s="38"/>
      <c r="Y327" s="38"/>
      <c r="Z327" s="39">
        <f t="shared" si="45"/>
        <v>0</v>
      </c>
      <c r="AA327" s="38"/>
      <c r="AB327" s="38"/>
      <c r="AC327" s="39">
        <f t="shared" si="46"/>
        <v>0</v>
      </c>
      <c r="AD327" s="38"/>
      <c r="AE327" s="38"/>
      <c r="AF327" s="39">
        <f t="shared" si="47"/>
        <v>0</v>
      </c>
    </row>
    <row r="328" spans="2:32" ht="15" customHeight="1" x14ac:dyDescent="0.3">
      <c r="B328" s="2" t="s">
        <v>836</v>
      </c>
      <c r="C328" s="4" t="s">
        <v>992</v>
      </c>
      <c r="D328" s="3" t="s">
        <v>999</v>
      </c>
      <c r="E328" s="6" t="s">
        <v>1000</v>
      </c>
      <c r="F328" s="6" t="s">
        <v>957</v>
      </c>
      <c r="G328" s="6" t="s">
        <v>841</v>
      </c>
      <c r="H328" s="25">
        <v>0</v>
      </c>
      <c r="I328" s="38">
        <v>0</v>
      </c>
      <c r="J328" s="38">
        <v>0</v>
      </c>
      <c r="K328" s="39">
        <f t="shared" si="40"/>
        <v>0</v>
      </c>
      <c r="L328" s="38">
        <v>20</v>
      </c>
      <c r="M328" s="38">
        <v>1</v>
      </c>
      <c r="N328" s="39">
        <f t="shared" si="41"/>
        <v>0</v>
      </c>
      <c r="O328" s="38">
        <v>0</v>
      </c>
      <c r="P328" s="38">
        <v>0</v>
      </c>
      <c r="Q328" s="39">
        <f t="shared" si="42"/>
        <v>0</v>
      </c>
      <c r="R328" s="38">
        <v>0</v>
      </c>
      <c r="S328" s="38">
        <v>0</v>
      </c>
      <c r="T328" s="39">
        <f t="shared" si="43"/>
        <v>0</v>
      </c>
      <c r="U328" s="38">
        <v>0</v>
      </c>
      <c r="V328" s="38">
        <v>0</v>
      </c>
      <c r="W328" s="39">
        <f t="shared" si="44"/>
        <v>0</v>
      </c>
      <c r="X328" s="38"/>
      <c r="Y328" s="38"/>
      <c r="Z328" s="39">
        <f t="shared" si="45"/>
        <v>0</v>
      </c>
      <c r="AA328" s="38"/>
      <c r="AB328" s="38"/>
      <c r="AC328" s="39">
        <f t="shared" si="46"/>
        <v>0</v>
      </c>
      <c r="AD328" s="38"/>
      <c r="AE328" s="38"/>
      <c r="AF328" s="39">
        <f t="shared" si="47"/>
        <v>0</v>
      </c>
    </row>
    <row r="329" spans="2:32" ht="15" customHeight="1" x14ac:dyDescent="0.3">
      <c r="B329" s="2" t="s">
        <v>836</v>
      </c>
      <c r="C329" s="4" t="s">
        <v>992</v>
      </c>
      <c r="D329" s="3" t="s">
        <v>999</v>
      </c>
      <c r="E329" s="6" t="s">
        <v>1000</v>
      </c>
      <c r="F329" s="6" t="s">
        <v>1008</v>
      </c>
      <c r="G329" s="6" t="s">
        <v>709</v>
      </c>
      <c r="H329" s="25">
        <v>28000</v>
      </c>
      <c r="I329" s="38">
        <v>0</v>
      </c>
      <c r="J329" s="38">
        <v>0</v>
      </c>
      <c r="K329" s="39">
        <f t="shared" si="40"/>
        <v>0</v>
      </c>
      <c r="L329" s="38">
        <v>10</v>
      </c>
      <c r="M329" s="38">
        <v>0.5</v>
      </c>
      <c r="N329" s="39">
        <f t="shared" si="41"/>
        <v>140000</v>
      </c>
      <c r="O329" s="38">
        <v>0</v>
      </c>
      <c r="P329" s="38">
        <v>0</v>
      </c>
      <c r="Q329" s="39">
        <f t="shared" si="42"/>
        <v>0</v>
      </c>
      <c r="R329" s="38">
        <v>0</v>
      </c>
      <c r="S329" s="38">
        <v>0</v>
      </c>
      <c r="T329" s="39">
        <f t="shared" si="43"/>
        <v>0</v>
      </c>
      <c r="U329" s="38">
        <v>0</v>
      </c>
      <c r="V329" s="38">
        <v>0</v>
      </c>
      <c r="W329" s="39">
        <f t="shared" si="44"/>
        <v>0</v>
      </c>
      <c r="X329" s="38"/>
      <c r="Y329" s="38"/>
      <c r="Z329" s="39">
        <f t="shared" si="45"/>
        <v>0</v>
      </c>
      <c r="AA329" s="38"/>
      <c r="AB329" s="38"/>
      <c r="AC329" s="39">
        <f t="shared" si="46"/>
        <v>0</v>
      </c>
      <c r="AD329" s="38"/>
      <c r="AE329" s="38"/>
      <c r="AF329" s="39">
        <f t="shared" si="47"/>
        <v>0</v>
      </c>
    </row>
    <row r="330" spans="2:32" ht="15" customHeight="1" x14ac:dyDescent="0.3">
      <c r="B330" s="2" t="s">
        <v>836</v>
      </c>
      <c r="C330" s="4" t="s">
        <v>992</v>
      </c>
      <c r="D330" s="3" t="s">
        <v>999</v>
      </c>
      <c r="E330" s="6" t="s">
        <v>1000</v>
      </c>
      <c r="F330" s="6" t="s">
        <v>1008</v>
      </c>
      <c r="G330" s="6" t="s">
        <v>716</v>
      </c>
      <c r="H330" s="25">
        <v>39000</v>
      </c>
      <c r="I330" s="38">
        <v>0</v>
      </c>
      <c r="J330" s="38">
        <v>0</v>
      </c>
      <c r="K330" s="39">
        <f t="shared" si="40"/>
        <v>0</v>
      </c>
      <c r="L330" s="38">
        <v>290</v>
      </c>
      <c r="M330" s="38">
        <v>2</v>
      </c>
      <c r="N330" s="39">
        <f t="shared" si="41"/>
        <v>22620000</v>
      </c>
      <c r="O330" s="38">
        <v>0</v>
      </c>
      <c r="P330" s="38">
        <v>0</v>
      </c>
      <c r="Q330" s="39">
        <f t="shared" si="42"/>
        <v>0</v>
      </c>
      <c r="R330" s="38">
        <v>0</v>
      </c>
      <c r="S330" s="38">
        <v>0</v>
      </c>
      <c r="T330" s="39">
        <f t="shared" si="43"/>
        <v>0</v>
      </c>
      <c r="U330" s="38">
        <v>0</v>
      </c>
      <c r="V330" s="38">
        <v>0</v>
      </c>
      <c r="W330" s="39">
        <f t="shared" si="44"/>
        <v>0</v>
      </c>
      <c r="X330" s="38"/>
      <c r="Y330" s="38"/>
      <c r="Z330" s="39">
        <f t="shared" si="45"/>
        <v>0</v>
      </c>
      <c r="AA330" s="38"/>
      <c r="AB330" s="38"/>
      <c r="AC330" s="39">
        <f t="shared" si="46"/>
        <v>0</v>
      </c>
      <c r="AD330" s="38"/>
      <c r="AE330" s="38"/>
      <c r="AF330" s="39">
        <f t="shared" si="47"/>
        <v>0</v>
      </c>
    </row>
    <row r="331" spans="2:32" ht="15" customHeight="1" x14ac:dyDescent="0.3">
      <c r="B331" s="2" t="s">
        <v>836</v>
      </c>
      <c r="C331" s="4" t="s">
        <v>992</v>
      </c>
      <c r="D331" s="3" t="s">
        <v>999</v>
      </c>
      <c r="E331" s="6" t="s">
        <v>1000</v>
      </c>
      <c r="F331" s="6" t="s">
        <v>1008</v>
      </c>
      <c r="G331" s="6" t="s">
        <v>712</v>
      </c>
      <c r="H331" s="25">
        <v>214.29</v>
      </c>
      <c r="I331" s="38">
        <v>0</v>
      </c>
      <c r="J331" s="38">
        <v>0</v>
      </c>
      <c r="K331" s="39">
        <f t="shared" si="40"/>
        <v>0</v>
      </c>
      <c r="L331" s="38">
        <v>29</v>
      </c>
      <c r="M331" s="38">
        <v>3</v>
      </c>
      <c r="N331" s="39">
        <f t="shared" si="41"/>
        <v>18643.23</v>
      </c>
      <c r="O331" s="38">
        <v>0</v>
      </c>
      <c r="P331" s="38">
        <v>0</v>
      </c>
      <c r="Q331" s="39">
        <f t="shared" si="42"/>
        <v>0</v>
      </c>
      <c r="R331" s="38">
        <v>0</v>
      </c>
      <c r="S331" s="38">
        <v>0</v>
      </c>
      <c r="T331" s="39">
        <f t="shared" si="43"/>
        <v>0</v>
      </c>
      <c r="U331" s="38">
        <v>0</v>
      </c>
      <c r="V331" s="38">
        <v>0</v>
      </c>
      <c r="W331" s="39">
        <f t="shared" si="44"/>
        <v>0</v>
      </c>
      <c r="X331" s="38"/>
      <c r="Y331" s="38"/>
      <c r="Z331" s="39">
        <f t="shared" si="45"/>
        <v>0</v>
      </c>
      <c r="AA331" s="38"/>
      <c r="AB331" s="38"/>
      <c r="AC331" s="39">
        <f t="shared" si="46"/>
        <v>0</v>
      </c>
      <c r="AD331" s="38"/>
      <c r="AE331" s="38"/>
      <c r="AF331" s="39">
        <f t="shared" si="47"/>
        <v>0</v>
      </c>
    </row>
    <row r="332" spans="2:32" ht="15" customHeight="1" x14ac:dyDescent="0.3">
      <c r="B332" s="2" t="s">
        <v>836</v>
      </c>
      <c r="C332" s="4" t="s">
        <v>992</v>
      </c>
      <c r="D332" s="3" t="s">
        <v>999</v>
      </c>
      <c r="E332" s="6" t="s">
        <v>1000</v>
      </c>
      <c r="F332" s="6" t="s">
        <v>1009</v>
      </c>
      <c r="G332" s="6" t="s">
        <v>709</v>
      </c>
      <c r="H332" s="25">
        <v>28000</v>
      </c>
      <c r="I332" s="38">
        <v>0</v>
      </c>
      <c r="J332" s="38">
        <v>0</v>
      </c>
      <c r="K332" s="39">
        <f t="shared" si="40"/>
        <v>0</v>
      </c>
      <c r="L332" s="38">
        <v>20000</v>
      </c>
      <c r="M332" s="38">
        <v>1</v>
      </c>
      <c r="N332" s="39">
        <f t="shared" si="41"/>
        <v>560000000</v>
      </c>
      <c r="O332" s="38">
        <v>0</v>
      </c>
      <c r="P332" s="38">
        <v>0</v>
      </c>
      <c r="Q332" s="39">
        <f t="shared" si="42"/>
        <v>0</v>
      </c>
      <c r="R332" s="38">
        <v>0</v>
      </c>
      <c r="S332" s="38">
        <v>0</v>
      </c>
      <c r="T332" s="39">
        <f t="shared" si="43"/>
        <v>0</v>
      </c>
      <c r="U332" s="38">
        <v>0</v>
      </c>
      <c r="V332" s="38">
        <v>0</v>
      </c>
      <c r="W332" s="39">
        <f t="shared" si="44"/>
        <v>0</v>
      </c>
      <c r="X332" s="38"/>
      <c r="Y332" s="38"/>
      <c r="Z332" s="39">
        <f t="shared" si="45"/>
        <v>0</v>
      </c>
      <c r="AA332" s="38"/>
      <c r="AB332" s="38"/>
      <c r="AC332" s="39">
        <f t="shared" si="46"/>
        <v>0</v>
      </c>
      <c r="AD332" s="38"/>
      <c r="AE332" s="38"/>
      <c r="AF332" s="39">
        <f t="shared" si="47"/>
        <v>0</v>
      </c>
    </row>
    <row r="333" spans="2:32" ht="15" customHeight="1" x14ac:dyDescent="0.3">
      <c r="B333" s="2" t="s">
        <v>836</v>
      </c>
      <c r="C333" s="4" t="s">
        <v>992</v>
      </c>
      <c r="D333" s="3" t="s">
        <v>999</v>
      </c>
      <c r="E333" s="6" t="s">
        <v>1000</v>
      </c>
      <c r="F333" s="6" t="s">
        <v>1009</v>
      </c>
      <c r="G333" s="6" t="s">
        <v>712</v>
      </c>
      <c r="H333" s="25">
        <v>214.29</v>
      </c>
      <c r="I333" s="38">
        <v>0</v>
      </c>
      <c r="J333" s="38">
        <v>0</v>
      </c>
      <c r="K333" s="39">
        <f t="shared" si="40"/>
        <v>0</v>
      </c>
      <c r="L333" s="38">
        <v>5400</v>
      </c>
      <c r="M333" s="38">
        <v>2</v>
      </c>
      <c r="N333" s="39">
        <f t="shared" si="41"/>
        <v>2314332</v>
      </c>
      <c r="O333" s="38">
        <v>0</v>
      </c>
      <c r="P333" s="38">
        <v>0</v>
      </c>
      <c r="Q333" s="39">
        <f t="shared" si="42"/>
        <v>0</v>
      </c>
      <c r="R333" s="38">
        <v>0</v>
      </c>
      <c r="S333" s="38">
        <v>0</v>
      </c>
      <c r="T333" s="39">
        <f t="shared" si="43"/>
        <v>0</v>
      </c>
      <c r="U333" s="38">
        <v>0</v>
      </c>
      <c r="V333" s="38">
        <v>0</v>
      </c>
      <c r="W333" s="39">
        <f t="shared" si="44"/>
        <v>0</v>
      </c>
      <c r="X333" s="38"/>
      <c r="Y333" s="38"/>
      <c r="Z333" s="39">
        <f t="shared" si="45"/>
        <v>0</v>
      </c>
      <c r="AA333" s="38"/>
      <c r="AB333" s="38"/>
      <c r="AC333" s="39">
        <f t="shared" si="46"/>
        <v>0</v>
      </c>
      <c r="AD333" s="38"/>
      <c r="AE333" s="38"/>
      <c r="AF333" s="39">
        <f t="shared" si="47"/>
        <v>0</v>
      </c>
    </row>
    <row r="334" spans="2:32" ht="15" customHeight="1" x14ac:dyDescent="0.3">
      <c r="B334" s="2" t="s">
        <v>836</v>
      </c>
      <c r="C334" s="4" t="s">
        <v>992</v>
      </c>
      <c r="D334" s="3" t="s">
        <v>999</v>
      </c>
      <c r="E334" s="6" t="s">
        <v>1000</v>
      </c>
      <c r="F334" s="6" t="s">
        <v>945</v>
      </c>
      <c r="G334" s="6" t="s">
        <v>841</v>
      </c>
      <c r="H334" s="25">
        <v>0</v>
      </c>
      <c r="I334" s="38">
        <v>0</v>
      </c>
      <c r="J334" s="38">
        <v>0</v>
      </c>
      <c r="K334" s="39">
        <f t="shared" si="40"/>
        <v>0</v>
      </c>
      <c r="L334" s="38">
        <v>20000</v>
      </c>
      <c r="M334" s="38">
        <v>5</v>
      </c>
      <c r="N334" s="39">
        <f t="shared" si="41"/>
        <v>0</v>
      </c>
      <c r="O334" s="38">
        <v>0</v>
      </c>
      <c r="P334" s="38">
        <v>0</v>
      </c>
      <c r="Q334" s="39">
        <f t="shared" si="42"/>
        <v>0</v>
      </c>
      <c r="R334" s="38">
        <v>0</v>
      </c>
      <c r="S334" s="38">
        <v>0</v>
      </c>
      <c r="T334" s="39">
        <f t="shared" si="43"/>
        <v>0</v>
      </c>
      <c r="U334" s="38">
        <v>0</v>
      </c>
      <c r="V334" s="38">
        <v>0</v>
      </c>
      <c r="W334" s="39">
        <f t="shared" si="44"/>
        <v>0</v>
      </c>
      <c r="X334" s="38"/>
      <c r="Y334" s="38"/>
      <c r="Z334" s="39">
        <f t="shared" si="45"/>
        <v>0</v>
      </c>
      <c r="AA334" s="38"/>
      <c r="AB334" s="38"/>
      <c r="AC334" s="39">
        <f t="shared" si="46"/>
        <v>0</v>
      </c>
      <c r="AD334" s="38"/>
      <c r="AE334" s="38"/>
      <c r="AF334" s="39">
        <f t="shared" si="47"/>
        <v>0</v>
      </c>
    </row>
    <row r="335" spans="2:32" ht="15" customHeight="1" x14ac:dyDescent="0.3">
      <c r="B335" s="2" t="s">
        <v>836</v>
      </c>
      <c r="C335" s="4" t="s">
        <v>992</v>
      </c>
      <c r="D335" s="3" t="s">
        <v>999</v>
      </c>
      <c r="E335" s="6" t="s">
        <v>1000</v>
      </c>
      <c r="F335" s="6" t="s">
        <v>1010</v>
      </c>
      <c r="G335" s="6" t="s">
        <v>841</v>
      </c>
      <c r="H335" s="25">
        <v>0</v>
      </c>
      <c r="I335" s="38">
        <v>0</v>
      </c>
      <c r="J335" s="38">
        <v>0</v>
      </c>
      <c r="K335" s="39">
        <f t="shared" si="40"/>
        <v>0</v>
      </c>
      <c r="L335" s="38">
        <v>0</v>
      </c>
      <c r="M335" s="38">
        <v>0</v>
      </c>
      <c r="N335" s="39">
        <f t="shared" si="41"/>
        <v>0</v>
      </c>
      <c r="O335" s="38">
        <v>0</v>
      </c>
      <c r="P335" s="38">
        <v>0</v>
      </c>
      <c r="Q335" s="39">
        <f t="shared" si="42"/>
        <v>0</v>
      </c>
      <c r="R335" s="38">
        <v>0</v>
      </c>
      <c r="S335" s="38">
        <v>0</v>
      </c>
      <c r="T335" s="39">
        <f t="shared" si="43"/>
        <v>0</v>
      </c>
      <c r="U335" s="38">
        <v>0</v>
      </c>
      <c r="V335" s="38">
        <v>0</v>
      </c>
      <c r="W335" s="39">
        <f t="shared" si="44"/>
        <v>0</v>
      </c>
      <c r="X335" s="38"/>
      <c r="Y335" s="38"/>
      <c r="Z335" s="39">
        <f t="shared" si="45"/>
        <v>0</v>
      </c>
      <c r="AA335" s="38"/>
      <c r="AB335" s="38"/>
      <c r="AC335" s="39">
        <f t="shared" si="46"/>
        <v>0</v>
      </c>
      <c r="AD335" s="38"/>
      <c r="AE335" s="38"/>
      <c r="AF335" s="39">
        <f t="shared" si="47"/>
        <v>0</v>
      </c>
    </row>
    <row r="336" spans="2:32" ht="15" customHeight="1" x14ac:dyDescent="0.3">
      <c r="B336" s="2" t="s">
        <v>836</v>
      </c>
      <c r="C336" s="4" t="s">
        <v>992</v>
      </c>
      <c r="D336" s="3" t="s">
        <v>1011</v>
      </c>
      <c r="E336" s="6" t="s">
        <v>1012</v>
      </c>
      <c r="F336" s="6" t="s">
        <v>1013</v>
      </c>
      <c r="G336" s="6" t="s">
        <v>707</v>
      </c>
      <c r="H336" s="25">
        <v>391991.03749999998</v>
      </c>
      <c r="I336" s="38">
        <v>0</v>
      </c>
      <c r="J336" s="38">
        <v>0</v>
      </c>
      <c r="K336" s="39">
        <f t="shared" si="40"/>
        <v>0</v>
      </c>
      <c r="L336" s="38">
        <v>0</v>
      </c>
      <c r="M336" s="38">
        <v>0</v>
      </c>
      <c r="N336" s="39">
        <f t="shared" si="41"/>
        <v>0</v>
      </c>
      <c r="O336" s="38">
        <v>0</v>
      </c>
      <c r="P336" s="38">
        <v>0</v>
      </c>
      <c r="Q336" s="39">
        <f t="shared" si="42"/>
        <v>0</v>
      </c>
      <c r="R336" s="38">
        <v>0</v>
      </c>
      <c r="S336" s="38">
        <v>0</v>
      </c>
      <c r="T336" s="39">
        <f t="shared" si="43"/>
        <v>0</v>
      </c>
      <c r="U336" s="38">
        <v>0</v>
      </c>
      <c r="V336" s="38">
        <v>0</v>
      </c>
      <c r="W336" s="39">
        <f t="shared" si="44"/>
        <v>0</v>
      </c>
      <c r="X336" s="38"/>
      <c r="Y336" s="38"/>
      <c r="Z336" s="39">
        <f t="shared" si="45"/>
        <v>0</v>
      </c>
      <c r="AA336" s="38"/>
      <c r="AB336" s="38"/>
      <c r="AC336" s="39">
        <f t="shared" si="46"/>
        <v>0</v>
      </c>
      <c r="AD336" s="38"/>
      <c r="AE336" s="38"/>
      <c r="AF336" s="39">
        <f t="shared" si="47"/>
        <v>0</v>
      </c>
    </row>
    <row r="337" spans="2:32" ht="15" customHeight="1" x14ac:dyDescent="0.3">
      <c r="B337" s="2" t="s">
        <v>836</v>
      </c>
      <c r="C337" s="4" t="s">
        <v>992</v>
      </c>
      <c r="D337" s="3" t="s">
        <v>1011</v>
      </c>
      <c r="E337" s="6" t="s">
        <v>1012</v>
      </c>
      <c r="F337" s="6" t="s">
        <v>1013</v>
      </c>
      <c r="G337" s="6" t="s">
        <v>708</v>
      </c>
      <c r="H337" s="25">
        <v>28000</v>
      </c>
      <c r="I337" s="38">
        <v>0</v>
      </c>
      <c r="J337" s="38">
        <v>0</v>
      </c>
      <c r="K337" s="39">
        <f t="shared" si="40"/>
        <v>0</v>
      </c>
      <c r="L337" s="38">
        <v>0</v>
      </c>
      <c r="M337" s="38">
        <v>0</v>
      </c>
      <c r="N337" s="39">
        <f t="shared" si="41"/>
        <v>0</v>
      </c>
      <c r="O337" s="38">
        <v>0</v>
      </c>
      <c r="P337" s="38">
        <v>0</v>
      </c>
      <c r="Q337" s="39">
        <f t="shared" si="42"/>
        <v>0</v>
      </c>
      <c r="R337" s="38">
        <v>1</v>
      </c>
      <c r="S337" s="38">
        <v>4</v>
      </c>
      <c r="T337" s="39">
        <f t="shared" si="43"/>
        <v>112000</v>
      </c>
      <c r="U337" s="38">
        <v>0</v>
      </c>
      <c r="V337" s="38">
        <v>0</v>
      </c>
      <c r="W337" s="39">
        <f t="shared" si="44"/>
        <v>0</v>
      </c>
      <c r="X337" s="38"/>
      <c r="Y337" s="38"/>
      <c r="Z337" s="39">
        <f t="shared" si="45"/>
        <v>0</v>
      </c>
      <c r="AA337" s="38"/>
      <c r="AB337" s="38"/>
      <c r="AC337" s="39">
        <f t="shared" si="46"/>
        <v>0</v>
      </c>
      <c r="AD337" s="38"/>
      <c r="AE337" s="38"/>
      <c r="AF337" s="39">
        <f t="shared" si="47"/>
        <v>0</v>
      </c>
    </row>
    <row r="338" spans="2:32" ht="15" customHeight="1" x14ac:dyDescent="0.3">
      <c r="B338" s="2" t="s">
        <v>836</v>
      </c>
      <c r="C338" s="4" t="s">
        <v>992</v>
      </c>
      <c r="D338" s="3" t="s">
        <v>1011</v>
      </c>
      <c r="E338" s="6" t="s">
        <v>1012</v>
      </c>
      <c r="F338" s="6" t="s">
        <v>1014</v>
      </c>
      <c r="G338" s="6" t="s">
        <v>841</v>
      </c>
      <c r="H338" s="25">
        <v>0</v>
      </c>
      <c r="I338" s="38">
        <v>0</v>
      </c>
      <c r="J338" s="38">
        <v>0</v>
      </c>
      <c r="K338" s="39">
        <f t="shared" si="40"/>
        <v>0</v>
      </c>
      <c r="L338" s="38">
        <v>0</v>
      </c>
      <c r="M338" s="38">
        <v>0</v>
      </c>
      <c r="N338" s="39">
        <f t="shared" si="41"/>
        <v>0</v>
      </c>
      <c r="O338" s="38">
        <v>0</v>
      </c>
      <c r="P338" s="38">
        <v>0</v>
      </c>
      <c r="Q338" s="39">
        <f t="shared" si="42"/>
        <v>0</v>
      </c>
      <c r="R338" s="38">
        <v>1</v>
      </c>
      <c r="S338" s="38">
        <v>30</v>
      </c>
      <c r="T338" s="39">
        <f t="shared" si="43"/>
        <v>0</v>
      </c>
      <c r="U338" s="38">
        <v>0</v>
      </c>
      <c r="V338" s="38">
        <v>0</v>
      </c>
      <c r="W338" s="39">
        <f t="shared" si="44"/>
        <v>0</v>
      </c>
      <c r="X338" s="38"/>
      <c r="Y338" s="38"/>
      <c r="Z338" s="39">
        <f t="shared" si="45"/>
        <v>0</v>
      </c>
      <c r="AA338" s="38"/>
      <c r="AB338" s="38"/>
      <c r="AC338" s="39">
        <f t="shared" si="46"/>
        <v>0</v>
      </c>
      <c r="AD338" s="38"/>
      <c r="AE338" s="38"/>
      <c r="AF338" s="39">
        <f t="shared" si="47"/>
        <v>0</v>
      </c>
    </row>
    <row r="339" spans="2:32" ht="15" customHeight="1" x14ac:dyDescent="0.3">
      <c r="B339" s="2" t="s">
        <v>836</v>
      </c>
      <c r="C339" s="4" t="s">
        <v>992</v>
      </c>
      <c r="D339" s="3" t="s">
        <v>1011</v>
      </c>
      <c r="E339" s="6" t="s">
        <v>1012</v>
      </c>
      <c r="F339" s="6" t="s">
        <v>912</v>
      </c>
      <c r="G339" s="6" t="s">
        <v>841</v>
      </c>
      <c r="H339" s="25">
        <v>0</v>
      </c>
      <c r="I339" s="38">
        <v>0</v>
      </c>
      <c r="J339" s="38">
        <v>0</v>
      </c>
      <c r="K339" s="39">
        <f t="shared" si="40"/>
        <v>0</v>
      </c>
      <c r="L339" s="38">
        <v>0</v>
      </c>
      <c r="M339" s="38">
        <v>0</v>
      </c>
      <c r="N339" s="39">
        <f t="shared" si="41"/>
        <v>0</v>
      </c>
      <c r="O339" s="38">
        <v>0</v>
      </c>
      <c r="P339" s="38">
        <v>0</v>
      </c>
      <c r="Q339" s="39">
        <f t="shared" si="42"/>
        <v>0</v>
      </c>
      <c r="R339" s="38">
        <v>5</v>
      </c>
      <c r="S339" s="38">
        <v>14</v>
      </c>
      <c r="T339" s="39">
        <f t="shared" si="43"/>
        <v>0</v>
      </c>
      <c r="U339" s="38">
        <v>0</v>
      </c>
      <c r="V339" s="38">
        <v>0</v>
      </c>
      <c r="W339" s="39">
        <f t="shared" si="44"/>
        <v>0</v>
      </c>
      <c r="X339" s="38"/>
      <c r="Y339" s="38"/>
      <c r="Z339" s="39">
        <f t="shared" si="45"/>
        <v>0</v>
      </c>
      <c r="AA339" s="38"/>
      <c r="AB339" s="38"/>
      <c r="AC339" s="39">
        <f t="shared" si="46"/>
        <v>0</v>
      </c>
      <c r="AD339" s="38"/>
      <c r="AE339" s="38"/>
      <c r="AF339" s="39">
        <f t="shared" si="47"/>
        <v>0</v>
      </c>
    </row>
    <row r="340" spans="2:32" ht="15" customHeight="1" x14ac:dyDescent="0.3">
      <c r="B340" s="2" t="s">
        <v>836</v>
      </c>
      <c r="C340" s="4" t="s">
        <v>992</v>
      </c>
      <c r="D340" s="3" t="s">
        <v>1011</v>
      </c>
      <c r="E340" s="6" t="s">
        <v>1012</v>
      </c>
      <c r="F340" s="6" t="s">
        <v>1015</v>
      </c>
      <c r="G340" s="6" t="s">
        <v>709</v>
      </c>
      <c r="H340" s="25">
        <v>28000</v>
      </c>
      <c r="I340" s="38">
        <v>0</v>
      </c>
      <c r="J340" s="38">
        <v>0</v>
      </c>
      <c r="K340" s="39">
        <f t="shared" si="40"/>
        <v>0</v>
      </c>
      <c r="L340" s="38">
        <v>0</v>
      </c>
      <c r="M340" s="38">
        <v>0</v>
      </c>
      <c r="N340" s="39">
        <f t="shared" si="41"/>
        <v>0</v>
      </c>
      <c r="O340" s="38">
        <v>0</v>
      </c>
      <c r="P340" s="38">
        <v>0</v>
      </c>
      <c r="Q340" s="39">
        <f t="shared" si="42"/>
        <v>0</v>
      </c>
      <c r="R340" s="38">
        <v>10</v>
      </c>
      <c r="S340" s="38">
        <v>1</v>
      </c>
      <c r="T340" s="39">
        <f t="shared" si="43"/>
        <v>280000</v>
      </c>
      <c r="U340" s="38">
        <v>0</v>
      </c>
      <c r="V340" s="38">
        <v>0</v>
      </c>
      <c r="W340" s="39">
        <f t="shared" si="44"/>
        <v>0</v>
      </c>
      <c r="X340" s="38"/>
      <c r="Y340" s="38"/>
      <c r="Z340" s="39">
        <f t="shared" si="45"/>
        <v>0</v>
      </c>
      <c r="AA340" s="38"/>
      <c r="AB340" s="38"/>
      <c r="AC340" s="39">
        <f t="shared" si="46"/>
        <v>0</v>
      </c>
      <c r="AD340" s="38"/>
      <c r="AE340" s="38"/>
      <c r="AF340" s="39">
        <f t="shared" si="47"/>
        <v>0</v>
      </c>
    </row>
    <row r="341" spans="2:32" ht="15" customHeight="1" x14ac:dyDescent="0.3">
      <c r="B341" s="2" t="s">
        <v>836</v>
      </c>
      <c r="C341" s="4" t="s">
        <v>992</v>
      </c>
      <c r="D341" s="3" t="s">
        <v>1011</v>
      </c>
      <c r="E341" s="6" t="s">
        <v>1012</v>
      </c>
      <c r="F341" s="6" t="s">
        <v>1015</v>
      </c>
      <c r="G341" s="6" t="s">
        <v>711</v>
      </c>
      <c r="H341" s="25">
        <v>70</v>
      </c>
      <c r="I341" s="38">
        <v>0</v>
      </c>
      <c r="J341" s="38">
        <v>0</v>
      </c>
      <c r="K341" s="39">
        <f t="shared" si="40"/>
        <v>0</v>
      </c>
      <c r="L341" s="38">
        <v>0</v>
      </c>
      <c r="M341" s="38">
        <v>0</v>
      </c>
      <c r="N341" s="39">
        <f t="shared" si="41"/>
        <v>0</v>
      </c>
      <c r="O341" s="38">
        <v>0</v>
      </c>
      <c r="P341" s="38">
        <v>0</v>
      </c>
      <c r="Q341" s="39">
        <f t="shared" si="42"/>
        <v>0</v>
      </c>
      <c r="R341" s="38">
        <v>25</v>
      </c>
      <c r="S341" s="38">
        <v>3</v>
      </c>
      <c r="T341" s="39">
        <f t="shared" si="43"/>
        <v>5250</v>
      </c>
      <c r="U341" s="38">
        <v>0</v>
      </c>
      <c r="V341" s="38">
        <v>0</v>
      </c>
      <c r="W341" s="39">
        <f t="shared" si="44"/>
        <v>0</v>
      </c>
      <c r="X341" s="38"/>
      <c r="Y341" s="38"/>
      <c r="Z341" s="39">
        <f t="shared" si="45"/>
        <v>0</v>
      </c>
      <c r="AA341" s="38"/>
      <c r="AB341" s="38"/>
      <c r="AC341" s="39">
        <f t="shared" si="46"/>
        <v>0</v>
      </c>
      <c r="AD341" s="38"/>
      <c r="AE341" s="38"/>
      <c r="AF341" s="39">
        <f t="shared" si="47"/>
        <v>0</v>
      </c>
    </row>
    <row r="342" spans="2:32" ht="15" customHeight="1" x14ac:dyDescent="0.3">
      <c r="B342" s="2" t="s">
        <v>836</v>
      </c>
      <c r="C342" s="4" t="s">
        <v>992</v>
      </c>
      <c r="D342" s="3" t="s">
        <v>1011</v>
      </c>
      <c r="E342" s="6" t="s">
        <v>1012</v>
      </c>
      <c r="F342" s="6" t="s">
        <v>1015</v>
      </c>
      <c r="G342" s="6" t="s">
        <v>710</v>
      </c>
      <c r="H342" s="25">
        <v>104850</v>
      </c>
      <c r="I342" s="38">
        <v>0</v>
      </c>
      <c r="J342" s="38">
        <v>0</v>
      </c>
      <c r="K342" s="39">
        <f t="shared" si="40"/>
        <v>0</v>
      </c>
      <c r="L342" s="38">
        <v>0</v>
      </c>
      <c r="M342" s="38">
        <v>0</v>
      </c>
      <c r="N342" s="39">
        <f t="shared" si="41"/>
        <v>0</v>
      </c>
      <c r="O342" s="38">
        <v>0</v>
      </c>
      <c r="P342" s="38">
        <v>0</v>
      </c>
      <c r="Q342" s="39">
        <f t="shared" si="42"/>
        <v>0</v>
      </c>
      <c r="R342" s="38">
        <v>5000</v>
      </c>
      <c r="S342" s="38">
        <v>1</v>
      </c>
      <c r="T342" s="39">
        <f t="shared" si="43"/>
        <v>524250000</v>
      </c>
      <c r="U342" s="38">
        <v>0</v>
      </c>
      <c r="V342" s="38">
        <v>0</v>
      </c>
      <c r="W342" s="39">
        <f t="shared" si="44"/>
        <v>0</v>
      </c>
      <c r="X342" s="38"/>
      <c r="Y342" s="38"/>
      <c r="Z342" s="39">
        <f t="shared" si="45"/>
        <v>0</v>
      </c>
      <c r="AA342" s="38"/>
      <c r="AB342" s="38"/>
      <c r="AC342" s="39">
        <f t="shared" si="46"/>
        <v>0</v>
      </c>
      <c r="AD342" s="38"/>
      <c r="AE342" s="38"/>
      <c r="AF342" s="39">
        <f t="shared" si="47"/>
        <v>0</v>
      </c>
    </row>
    <row r="343" spans="2:32" ht="15" customHeight="1" x14ac:dyDescent="0.3">
      <c r="B343" s="2" t="s">
        <v>836</v>
      </c>
      <c r="C343" s="4" t="s">
        <v>992</v>
      </c>
      <c r="D343" s="3" t="s">
        <v>1011</v>
      </c>
      <c r="E343" s="6" t="s">
        <v>1012</v>
      </c>
      <c r="F343" s="6" t="s">
        <v>1016</v>
      </c>
      <c r="G343" s="6" t="s">
        <v>713</v>
      </c>
      <c r="H343" s="25">
        <v>45000</v>
      </c>
      <c r="I343" s="38">
        <v>0</v>
      </c>
      <c r="J343" s="38">
        <v>0</v>
      </c>
      <c r="K343" s="39">
        <f t="shared" si="40"/>
        <v>0</v>
      </c>
      <c r="L343" s="38">
        <v>0</v>
      </c>
      <c r="M343" s="38">
        <v>0</v>
      </c>
      <c r="N343" s="39">
        <f t="shared" si="41"/>
        <v>0</v>
      </c>
      <c r="O343" s="38">
        <v>0</v>
      </c>
      <c r="P343" s="38">
        <v>0</v>
      </c>
      <c r="Q343" s="39">
        <f t="shared" si="42"/>
        <v>0</v>
      </c>
      <c r="R343" s="38">
        <v>1</v>
      </c>
      <c r="S343" s="38">
        <v>1</v>
      </c>
      <c r="T343" s="39">
        <f t="shared" si="43"/>
        <v>45000</v>
      </c>
      <c r="U343" s="38">
        <v>0</v>
      </c>
      <c r="V343" s="38">
        <v>0</v>
      </c>
      <c r="W343" s="39">
        <f t="shared" si="44"/>
        <v>0</v>
      </c>
      <c r="X343" s="38"/>
      <c r="Y343" s="38"/>
      <c r="Z343" s="39">
        <f t="shared" si="45"/>
        <v>0</v>
      </c>
      <c r="AA343" s="38"/>
      <c r="AB343" s="38"/>
      <c r="AC343" s="39">
        <f t="shared" si="46"/>
        <v>0</v>
      </c>
      <c r="AD343" s="38"/>
      <c r="AE343" s="38"/>
      <c r="AF343" s="39">
        <f t="shared" si="47"/>
        <v>0</v>
      </c>
    </row>
    <row r="344" spans="2:32" ht="15" customHeight="1" x14ac:dyDescent="0.3">
      <c r="B344" s="2" t="s">
        <v>836</v>
      </c>
      <c r="C344" s="4" t="s">
        <v>992</v>
      </c>
      <c r="D344" s="3" t="s">
        <v>1011</v>
      </c>
      <c r="E344" s="6" t="s">
        <v>1012</v>
      </c>
      <c r="F344" s="6" t="s">
        <v>1016</v>
      </c>
      <c r="G344" s="6" t="s">
        <v>712</v>
      </c>
      <c r="H344" s="25">
        <v>214.29</v>
      </c>
      <c r="I344" s="38">
        <v>0</v>
      </c>
      <c r="J344" s="38">
        <v>0</v>
      </c>
      <c r="K344" s="39">
        <f t="shared" si="40"/>
        <v>0</v>
      </c>
      <c r="L344" s="38">
        <v>0</v>
      </c>
      <c r="M344" s="38">
        <v>0</v>
      </c>
      <c r="N344" s="39">
        <f t="shared" si="41"/>
        <v>0</v>
      </c>
      <c r="O344" s="38">
        <v>0</v>
      </c>
      <c r="P344" s="38">
        <v>0</v>
      </c>
      <c r="Q344" s="39">
        <f t="shared" si="42"/>
        <v>0</v>
      </c>
      <c r="R344" s="38">
        <v>25</v>
      </c>
      <c r="S344" s="38">
        <v>1</v>
      </c>
      <c r="T344" s="39">
        <f t="shared" si="43"/>
        <v>5357.25</v>
      </c>
      <c r="U344" s="38">
        <v>0</v>
      </c>
      <c r="V344" s="38">
        <v>0</v>
      </c>
      <c r="W344" s="39">
        <f t="shared" si="44"/>
        <v>0</v>
      </c>
      <c r="X344" s="38"/>
      <c r="Y344" s="38"/>
      <c r="Z344" s="39">
        <f t="shared" si="45"/>
        <v>0</v>
      </c>
      <c r="AA344" s="38"/>
      <c r="AB344" s="38"/>
      <c r="AC344" s="39">
        <f t="shared" si="46"/>
        <v>0</v>
      </c>
      <c r="AD344" s="38"/>
      <c r="AE344" s="38"/>
      <c r="AF344" s="39">
        <f t="shared" si="47"/>
        <v>0</v>
      </c>
    </row>
    <row r="345" spans="2:32" ht="15" customHeight="1" x14ac:dyDescent="0.3">
      <c r="B345" s="2" t="s">
        <v>836</v>
      </c>
      <c r="C345" s="4" t="s">
        <v>992</v>
      </c>
      <c r="D345" s="3" t="s">
        <v>1011</v>
      </c>
      <c r="E345" s="6" t="s">
        <v>1012</v>
      </c>
      <c r="F345" s="6" t="s">
        <v>1017</v>
      </c>
      <c r="G345" s="6" t="s">
        <v>709</v>
      </c>
      <c r="H345" s="25">
        <v>28000</v>
      </c>
      <c r="I345" s="38">
        <v>0</v>
      </c>
      <c r="J345" s="38">
        <v>0</v>
      </c>
      <c r="K345" s="39">
        <f t="shared" si="40"/>
        <v>0</v>
      </c>
      <c r="L345" s="38">
        <v>0</v>
      </c>
      <c r="M345" s="38">
        <v>0</v>
      </c>
      <c r="N345" s="39">
        <f t="shared" si="41"/>
        <v>0</v>
      </c>
      <c r="O345" s="38">
        <v>0</v>
      </c>
      <c r="P345" s="38">
        <v>0</v>
      </c>
      <c r="Q345" s="39">
        <f t="shared" si="42"/>
        <v>0</v>
      </c>
      <c r="R345" s="38">
        <v>4000</v>
      </c>
      <c r="S345" s="38">
        <v>1</v>
      </c>
      <c r="T345" s="39">
        <f t="shared" si="43"/>
        <v>112000000</v>
      </c>
      <c r="U345" s="38">
        <v>0</v>
      </c>
      <c r="V345" s="38">
        <v>0</v>
      </c>
      <c r="W345" s="39">
        <f t="shared" si="44"/>
        <v>0</v>
      </c>
      <c r="X345" s="38"/>
      <c r="Y345" s="38"/>
      <c r="Z345" s="39">
        <f t="shared" si="45"/>
        <v>0</v>
      </c>
      <c r="AA345" s="38"/>
      <c r="AB345" s="38"/>
      <c r="AC345" s="39">
        <f t="shared" si="46"/>
        <v>0</v>
      </c>
      <c r="AD345" s="38"/>
      <c r="AE345" s="38"/>
      <c r="AF345" s="39">
        <f t="shared" si="47"/>
        <v>0</v>
      </c>
    </row>
    <row r="346" spans="2:32" ht="15" customHeight="1" x14ac:dyDescent="0.3">
      <c r="B346" s="2" t="s">
        <v>836</v>
      </c>
      <c r="C346" s="4" t="s">
        <v>992</v>
      </c>
      <c r="D346" s="3" t="s">
        <v>1011</v>
      </c>
      <c r="E346" s="6" t="s">
        <v>1012</v>
      </c>
      <c r="F346" s="6" t="s">
        <v>157</v>
      </c>
      <c r="G346" s="6" t="s">
        <v>713</v>
      </c>
      <c r="H346" s="25">
        <v>45000</v>
      </c>
      <c r="I346" s="38">
        <v>0</v>
      </c>
      <c r="J346" s="38">
        <v>0</v>
      </c>
      <c r="K346" s="39">
        <f t="shared" si="40"/>
        <v>0</v>
      </c>
      <c r="L346" s="38">
        <v>0</v>
      </c>
      <c r="M346" s="38">
        <v>0</v>
      </c>
      <c r="N346" s="39">
        <f t="shared" si="41"/>
        <v>0</v>
      </c>
      <c r="O346" s="38">
        <v>0</v>
      </c>
      <c r="P346" s="38">
        <v>0</v>
      </c>
      <c r="Q346" s="39">
        <f t="shared" si="42"/>
        <v>0</v>
      </c>
      <c r="R346" s="38">
        <v>30</v>
      </c>
      <c r="S346" s="38">
        <v>1</v>
      </c>
      <c r="T346" s="39">
        <f t="shared" si="43"/>
        <v>1350000</v>
      </c>
      <c r="U346" s="38">
        <v>0</v>
      </c>
      <c r="V346" s="38">
        <v>0</v>
      </c>
      <c r="W346" s="39">
        <f t="shared" si="44"/>
        <v>0</v>
      </c>
      <c r="X346" s="38"/>
      <c r="Y346" s="38"/>
      <c r="Z346" s="39">
        <f t="shared" si="45"/>
        <v>0</v>
      </c>
      <c r="AA346" s="38"/>
      <c r="AB346" s="38"/>
      <c r="AC346" s="39">
        <f t="shared" si="46"/>
        <v>0</v>
      </c>
      <c r="AD346" s="38"/>
      <c r="AE346" s="38"/>
      <c r="AF346" s="39">
        <f t="shared" si="47"/>
        <v>0</v>
      </c>
    </row>
    <row r="347" spans="2:32" ht="15" customHeight="1" x14ac:dyDescent="0.3">
      <c r="B347" s="2" t="s">
        <v>836</v>
      </c>
      <c r="C347" s="4" t="s">
        <v>992</v>
      </c>
      <c r="D347" s="3" t="s">
        <v>1011</v>
      </c>
      <c r="E347" s="6" t="s">
        <v>1012</v>
      </c>
      <c r="F347" s="6" t="s">
        <v>157</v>
      </c>
      <c r="G347" s="6" t="s">
        <v>712</v>
      </c>
      <c r="H347" s="25">
        <v>214.29</v>
      </c>
      <c r="I347" s="38">
        <v>0</v>
      </c>
      <c r="J347" s="38">
        <v>0</v>
      </c>
      <c r="K347" s="39">
        <f t="shared" si="40"/>
        <v>0</v>
      </c>
      <c r="L347" s="38">
        <v>0</v>
      </c>
      <c r="M347" s="38">
        <v>0</v>
      </c>
      <c r="N347" s="39">
        <f t="shared" si="41"/>
        <v>0</v>
      </c>
      <c r="O347" s="38">
        <v>0</v>
      </c>
      <c r="P347" s="38">
        <v>0</v>
      </c>
      <c r="Q347" s="39">
        <f t="shared" si="42"/>
        <v>0</v>
      </c>
      <c r="R347" s="38">
        <v>25</v>
      </c>
      <c r="S347" s="38">
        <v>10</v>
      </c>
      <c r="T347" s="39">
        <f t="shared" si="43"/>
        <v>53572.5</v>
      </c>
      <c r="U347" s="38">
        <v>0</v>
      </c>
      <c r="V347" s="38">
        <v>0</v>
      </c>
      <c r="W347" s="39">
        <f t="shared" si="44"/>
        <v>0</v>
      </c>
      <c r="X347" s="38"/>
      <c r="Y347" s="38"/>
      <c r="Z347" s="39">
        <f t="shared" si="45"/>
        <v>0</v>
      </c>
      <c r="AA347" s="38"/>
      <c r="AB347" s="38"/>
      <c r="AC347" s="39">
        <f t="shared" si="46"/>
        <v>0</v>
      </c>
      <c r="AD347" s="38"/>
      <c r="AE347" s="38"/>
      <c r="AF347" s="39">
        <f t="shared" si="47"/>
        <v>0</v>
      </c>
    </row>
    <row r="348" spans="2:32" ht="15" customHeight="1" x14ac:dyDescent="0.3">
      <c r="B348" s="2" t="s">
        <v>836</v>
      </c>
      <c r="C348" s="4" t="s">
        <v>992</v>
      </c>
      <c r="D348" s="3" t="s">
        <v>1011</v>
      </c>
      <c r="E348" s="6" t="s">
        <v>1012</v>
      </c>
      <c r="F348" s="6" t="s">
        <v>157</v>
      </c>
      <c r="G348" s="6" t="s">
        <v>715</v>
      </c>
      <c r="H348" s="25">
        <v>302000</v>
      </c>
      <c r="I348" s="38">
        <v>0</v>
      </c>
      <c r="J348" s="38">
        <v>0</v>
      </c>
      <c r="K348" s="39">
        <f t="shared" si="40"/>
        <v>0</v>
      </c>
      <c r="L348" s="38">
        <v>0</v>
      </c>
      <c r="M348" s="38">
        <v>0</v>
      </c>
      <c r="N348" s="39">
        <f t="shared" si="41"/>
        <v>0</v>
      </c>
      <c r="O348" s="38">
        <v>0</v>
      </c>
      <c r="P348" s="38">
        <v>0</v>
      </c>
      <c r="Q348" s="39">
        <f t="shared" si="42"/>
        <v>0</v>
      </c>
      <c r="R348" s="38">
        <v>20000</v>
      </c>
      <c r="S348" s="38">
        <v>1</v>
      </c>
      <c r="T348" s="39">
        <f t="shared" si="43"/>
        <v>6040000000</v>
      </c>
      <c r="U348" s="38">
        <v>0</v>
      </c>
      <c r="V348" s="38">
        <v>0</v>
      </c>
      <c r="W348" s="39">
        <f t="shared" si="44"/>
        <v>0</v>
      </c>
      <c r="X348" s="38"/>
      <c r="Y348" s="38"/>
      <c r="Z348" s="39">
        <f t="shared" si="45"/>
        <v>0</v>
      </c>
      <c r="AA348" s="38"/>
      <c r="AB348" s="38"/>
      <c r="AC348" s="39">
        <f t="shared" si="46"/>
        <v>0</v>
      </c>
      <c r="AD348" s="38"/>
      <c r="AE348" s="38"/>
      <c r="AF348" s="39">
        <f t="shared" si="47"/>
        <v>0</v>
      </c>
    </row>
    <row r="349" spans="2:32" ht="15" customHeight="1" x14ac:dyDescent="0.3">
      <c r="B349" s="2" t="s">
        <v>836</v>
      </c>
      <c r="C349" s="4" t="s">
        <v>992</v>
      </c>
      <c r="D349" s="3" t="s">
        <v>1011</v>
      </c>
      <c r="E349" s="6" t="s">
        <v>1012</v>
      </c>
      <c r="F349" s="6" t="s">
        <v>157</v>
      </c>
      <c r="G349" s="6" t="s">
        <v>714</v>
      </c>
      <c r="H349" s="25">
        <v>10000</v>
      </c>
      <c r="I349" s="38">
        <v>0</v>
      </c>
      <c r="J349" s="38">
        <v>0</v>
      </c>
      <c r="K349" s="39">
        <f t="shared" si="40"/>
        <v>0</v>
      </c>
      <c r="L349" s="38">
        <v>0</v>
      </c>
      <c r="M349" s="38">
        <v>0</v>
      </c>
      <c r="N349" s="39">
        <f t="shared" si="41"/>
        <v>0</v>
      </c>
      <c r="O349" s="38">
        <v>0</v>
      </c>
      <c r="P349" s="38">
        <v>0</v>
      </c>
      <c r="Q349" s="39">
        <f t="shared" si="42"/>
        <v>0</v>
      </c>
      <c r="R349" s="38">
        <v>20</v>
      </c>
      <c r="S349" s="38">
        <v>1</v>
      </c>
      <c r="T349" s="39">
        <f t="shared" si="43"/>
        <v>200000</v>
      </c>
      <c r="U349" s="38">
        <v>0</v>
      </c>
      <c r="V349" s="38">
        <v>0</v>
      </c>
      <c r="W349" s="39">
        <f t="shared" si="44"/>
        <v>0</v>
      </c>
      <c r="X349" s="38"/>
      <c r="Y349" s="38"/>
      <c r="Z349" s="39">
        <f t="shared" si="45"/>
        <v>0</v>
      </c>
      <c r="AA349" s="38"/>
      <c r="AB349" s="38"/>
      <c r="AC349" s="39">
        <f t="shared" si="46"/>
        <v>0</v>
      </c>
      <c r="AD349" s="38"/>
      <c r="AE349" s="38"/>
      <c r="AF349" s="39">
        <f t="shared" si="47"/>
        <v>0</v>
      </c>
    </row>
    <row r="350" spans="2:32" ht="15" customHeight="1" x14ac:dyDescent="0.3">
      <c r="B350" s="2" t="s">
        <v>836</v>
      </c>
      <c r="C350" s="4" t="s">
        <v>992</v>
      </c>
      <c r="D350" s="3" t="s">
        <v>1011</v>
      </c>
      <c r="E350" s="6" t="s">
        <v>1012</v>
      </c>
      <c r="F350" s="6" t="s">
        <v>152</v>
      </c>
      <c r="G350" s="6" t="s">
        <v>709</v>
      </c>
      <c r="H350" s="25">
        <v>28000</v>
      </c>
      <c r="I350" s="38">
        <v>0</v>
      </c>
      <c r="J350" s="38">
        <v>0</v>
      </c>
      <c r="K350" s="39">
        <f t="shared" si="40"/>
        <v>0</v>
      </c>
      <c r="L350" s="38">
        <v>0</v>
      </c>
      <c r="M350" s="38">
        <v>0</v>
      </c>
      <c r="N350" s="39">
        <f t="shared" si="41"/>
        <v>0</v>
      </c>
      <c r="O350" s="38">
        <v>0</v>
      </c>
      <c r="P350" s="38">
        <v>0</v>
      </c>
      <c r="Q350" s="39">
        <f t="shared" si="42"/>
        <v>0</v>
      </c>
      <c r="R350" s="38">
        <v>15</v>
      </c>
      <c r="S350" s="38">
        <v>1</v>
      </c>
      <c r="T350" s="39">
        <f t="shared" si="43"/>
        <v>420000</v>
      </c>
      <c r="U350" s="38">
        <v>0</v>
      </c>
      <c r="V350" s="38">
        <v>0</v>
      </c>
      <c r="W350" s="39">
        <f t="shared" si="44"/>
        <v>0</v>
      </c>
      <c r="X350" s="38"/>
      <c r="Y350" s="38"/>
      <c r="Z350" s="39">
        <f t="shared" si="45"/>
        <v>0</v>
      </c>
      <c r="AA350" s="38"/>
      <c r="AB350" s="38"/>
      <c r="AC350" s="39">
        <f t="shared" si="46"/>
        <v>0</v>
      </c>
      <c r="AD350" s="38"/>
      <c r="AE350" s="38"/>
      <c r="AF350" s="39">
        <f t="shared" si="47"/>
        <v>0</v>
      </c>
    </row>
    <row r="351" spans="2:32" ht="15" customHeight="1" x14ac:dyDescent="0.3">
      <c r="B351" s="2" t="s">
        <v>836</v>
      </c>
      <c r="C351" s="4" t="s">
        <v>992</v>
      </c>
      <c r="D351" s="3" t="s">
        <v>1011</v>
      </c>
      <c r="E351" s="6" t="s">
        <v>1012</v>
      </c>
      <c r="F351" s="6" t="s">
        <v>152</v>
      </c>
      <c r="G351" s="6" t="s">
        <v>716</v>
      </c>
      <c r="H351" s="25">
        <v>39000</v>
      </c>
      <c r="I351" s="38">
        <v>0</v>
      </c>
      <c r="J351" s="38">
        <v>0</v>
      </c>
      <c r="K351" s="39">
        <f t="shared" si="40"/>
        <v>0</v>
      </c>
      <c r="L351" s="38">
        <v>0</v>
      </c>
      <c r="M351" s="38">
        <v>0</v>
      </c>
      <c r="N351" s="39">
        <f t="shared" si="41"/>
        <v>0</v>
      </c>
      <c r="O351" s="38">
        <v>0</v>
      </c>
      <c r="P351" s="38">
        <v>0</v>
      </c>
      <c r="Q351" s="39">
        <f t="shared" si="42"/>
        <v>0</v>
      </c>
      <c r="R351" s="38">
        <v>25</v>
      </c>
      <c r="S351" s="38">
        <v>5</v>
      </c>
      <c r="T351" s="39">
        <f t="shared" si="43"/>
        <v>4875000</v>
      </c>
      <c r="U351" s="38">
        <v>0</v>
      </c>
      <c r="V351" s="38">
        <v>0</v>
      </c>
      <c r="W351" s="39">
        <f t="shared" si="44"/>
        <v>0</v>
      </c>
      <c r="X351" s="38"/>
      <c r="Y351" s="38"/>
      <c r="Z351" s="39">
        <f t="shared" si="45"/>
        <v>0</v>
      </c>
      <c r="AA351" s="38"/>
      <c r="AB351" s="38"/>
      <c r="AC351" s="39">
        <f t="shared" si="46"/>
        <v>0</v>
      </c>
      <c r="AD351" s="38"/>
      <c r="AE351" s="38"/>
      <c r="AF351" s="39">
        <f t="shared" si="47"/>
        <v>0</v>
      </c>
    </row>
    <row r="352" spans="2:32" ht="15" customHeight="1" x14ac:dyDescent="0.3">
      <c r="B352" s="2" t="s">
        <v>836</v>
      </c>
      <c r="C352" s="4" t="s">
        <v>992</v>
      </c>
      <c r="D352" s="3" t="s">
        <v>1011</v>
      </c>
      <c r="E352" s="6" t="s">
        <v>1012</v>
      </c>
      <c r="F352" s="6" t="s">
        <v>152</v>
      </c>
      <c r="G352" s="6" t="s">
        <v>712</v>
      </c>
      <c r="H352" s="25">
        <v>214.29</v>
      </c>
      <c r="I352" s="38">
        <v>0</v>
      </c>
      <c r="J352" s="38">
        <v>0</v>
      </c>
      <c r="K352" s="39">
        <f t="shared" si="40"/>
        <v>0</v>
      </c>
      <c r="L352" s="38">
        <v>0</v>
      </c>
      <c r="M352" s="38">
        <v>0</v>
      </c>
      <c r="N352" s="39">
        <f t="shared" si="41"/>
        <v>0</v>
      </c>
      <c r="O352" s="38">
        <v>0</v>
      </c>
      <c r="P352" s="38">
        <v>0</v>
      </c>
      <c r="Q352" s="39">
        <f t="shared" si="42"/>
        <v>0</v>
      </c>
      <c r="R352" s="38">
        <v>25</v>
      </c>
      <c r="S352" s="38">
        <v>5</v>
      </c>
      <c r="T352" s="39">
        <f t="shared" si="43"/>
        <v>26786.25</v>
      </c>
      <c r="U352" s="38">
        <v>0</v>
      </c>
      <c r="V352" s="38">
        <v>0</v>
      </c>
      <c r="W352" s="39">
        <f t="shared" si="44"/>
        <v>0</v>
      </c>
      <c r="X352" s="38"/>
      <c r="Y352" s="38"/>
      <c r="Z352" s="39">
        <f t="shared" si="45"/>
        <v>0</v>
      </c>
      <c r="AA352" s="38"/>
      <c r="AB352" s="38"/>
      <c r="AC352" s="39">
        <f t="shared" si="46"/>
        <v>0</v>
      </c>
      <c r="AD352" s="38"/>
      <c r="AE352" s="38"/>
      <c r="AF352" s="39">
        <f t="shared" si="47"/>
        <v>0</v>
      </c>
    </row>
    <row r="353" spans="2:32" ht="15" customHeight="1" x14ac:dyDescent="0.3">
      <c r="B353" s="2" t="s">
        <v>836</v>
      </c>
      <c r="C353" s="4" t="s">
        <v>992</v>
      </c>
      <c r="D353" s="3" t="s">
        <v>1011</v>
      </c>
      <c r="E353" s="6" t="s">
        <v>1012</v>
      </c>
      <c r="F353" s="6" t="s">
        <v>1018</v>
      </c>
      <c r="G353" s="6" t="s">
        <v>841</v>
      </c>
      <c r="H353" s="25">
        <v>0</v>
      </c>
      <c r="I353" s="38">
        <v>0</v>
      </c>
      <c r="J353" s="38">
        <v>0</v>
      </c>
      <c r="K353" s="39">
        <f t="shared" si="40"/>
        <v>0</v>
      </c>
      <c r="L353" s="38">
        <v>0</v>
      </c>
      <c r="M353" s="38">
        <v>0</v>
      </c>
      <c r="N353" s="39">
        <f t="shared" si="41"/>
        <v>0</v>
      </c>
      <c r="O353" s="38">
        <v>0</v>
      </c>
      <c r="P353" s="38">
        <v>0</v>
      </c>
      <c r="Q353" s="39">
        <f t="shared" si="42"/>
        <v>0</v>
      </c>
      <c r="R353" s="38">
        <v>5000</v>
      </c>
      <c r="S353" s="38">
        <v>1</v>
      </c>
      <c r="T353" s="39">
        <f t="shared" si="43"/>
        <v>0</v>
      </c>
      <c r="U353" s="38">
        <v>0</v>
      </c>
      <c r="V353" s="38">
        <v>0</v>
      </c>
      <c r="W353" s="39">
        <f t="shared" si="44"/>
        <v>0</v>
      </c>
      <c r="X353" s="38"/>
      <c r="Y353" s="38"/>
      <c r="Z353" s="39">
        <f t="shared" si="45"/>
        <v>0</v>
      </c>
      <c r="AA353" s="38"/>
      <c r="AB353" s="38"/>
      <c r="AC353" s="39">
        <f t="shared" si="46"/>
        <v>0</v>
      </c>
      <c r="AD353" s="38"/>
      <c r="AE353" s="38"/>
      <c r="AF353" s="39">
        <f t="shared" si="47"/>
        <v>0</v>
      </c>
    </row>
    <row r="354" spans="2:32" ht="15" customHeight="1" x14ac:dyDescent="0.3">
      <c r="B354" s="2" t="s">
        <v>836</v>
      </c>
      <c r="C354" s="4" t="s">
        <v>992</v>
      </c>
      <c r="D354" s="3" t="s">
        <v>1011</v>
      </c>
      <c r="E354" s="6" t="s">
        <v>1012</v>
      </c>
      <c r="F354" s="6" t="s">
        <v>1019</v>
      </c>
      <c r="G354" s="6" t="s">
        <v>709</v>
      </c>
      <c r="H354" s="25">
        <v>28000</v>
      </c>
      <c r="I354" s="38">
        <v>0</v>
      </c>
      <c r="J354" s="38">
        <v>0</v>
      </c>
      <c r="K354" s="39">
        <f t="shared" si="40"/>
        <v>0</v>
      </c>
      <c r="L354" s="38">
        <v>0</v>
      </c>
      <c r="M354" s="38">
        <v>0</v>
      </c>
      <c r="N354" s="39">
        <f t="shared" si="41"/>
        <v>0</v>
      </c>
      <c r="O354" s="38">
        <v>0</v>
      </c>
      <c r="P354" s="38">
        <v>0</v>
      </c>
      <c r="Q354" s="39">
        <f t="shared" si="42"/>
        <v>0</v>
      </c>
      <c r="R354" s="38">
        <v>0</v>
      </c>
      <c r="S354" s="38">
        <v>0</v>
      </c>
      <c r="T354" s="39">
        <f t="shared" si="43"/>
        <v>0</v>
      </c>
      <c r="U354" s="38">
        <v>0</v>
      </c>
      <c r="V354" s="38">
        <v>0</v>
      </c>
      <c r="W354" s="39">
        <f t="shared" si="44"/>
        <v>0</v>
      </c>
      <c r="X354" s="38"/>
      <c r="Y354" s="38"/>
      <c r="Z354" s="39">
        <f t="shared" si="45"/>
        <v>0</v>
      </c>
      <c r="AA354" s="38"/>
      <c r="AB354" s="38"/>
      <c r="AC354" s="39">
        <f t="shared" si="46"/>
        <v>0</v>
      </c>
      <c r="AD354" s="38"/>
      <c r="AE354" s="38"/>
      <c r="AF354" s="39">
        <f t="shared" si="47"/>
        <v>0</v>
      </c>
    </row>
    <row r="355" spans="2:32" ht="15" customHeight="1" x14ac:dyDescent="0.3">
      <c r="B355" s="2" t="s">
        <v>836</v>
      </c>
      <c r="C355" s="4" t="s">
        <v>992</v>
      </c>
      <c r="D355" s="3" t="s">
        <v>1011</v>
      </c>
      <c r="E355" s="6" t="s">
        <v>1012</v>
      </c>
      <c r="F355" s="6" t="s">
        <v>1019</v>
      </c>
      <c r="G355" s="6" t="s">
        <v>716</v>
      </c>
      <c r="H355" s="25">
        <v>39000</v>
      </c>
      <c r="I355" s="38">
        <v>0</v>
      </c>
      <c r="J355" s="38">
        <v>0</v>
      </c>
      <c r="K355" s="39">
        <f t="shared" si="40"/>
        <v>0</v>
      </c>
      <c r="L355" s="38">
        <v>0</v>
      </c>
      <c r="M355" s="38">
        <v>0</v>
      </c>
      <c r="N355" s="39">
        <f t="shared" si="41"/>
        <v>0</v>
      </c>
      <c r="O355" s="38">
        <v>0</v>
      </c>
      <c r="P355" s="38">
        <v>0</v>
      </c>
      <c r="Q355" s="39">
        <f t="shared" si="42"/>
        <v>0</v>
      </c>
      <c r="R355" s="38">
        <v>50</v>
      </c>
      <c r="S355" s="38">
        <v>1</v>
      </c>
      <c r="T355" s="39">
        <f t="shared" si="43"/>
        <v>1950000</v>
      </c>
      <c r="U355" s="38">
        <v>0</v>
      </c>
      <c r="V355" s="38">
        <v>0</v>
      </c>
      <c r="W355" s="39">
        <f t="shared" si="44"/>
        <v>0</v>
      </c>
      <c r="X355" s="38"/>
      <c r="Y355" s="38"/>
      <c r="Z355" s="39">
        <f t="shared" si="45"/>
        <v>0</v>
      </c>
      <c r="AA355" s="38"/>
      <c r="AB355" s="38"/>
      <c r="AC355" s="39">
        <f t="shared" si="46"/>
        <v>0</v>
      </c>
      <c r="AD355" s="38"/>
      <c r="AE355" s="38"/>
      <c r="AF355" s="39">
        <f t="shared" si="47"/>
        <v>0</v>
      </c>
    </row>
    <row r="356" spans="2:32" ht="15" customHeight="1" x14ac:dyDescent="0.3">
      <c r="B356" s="2" t="s">
        <v>836</v>
      </c>
      <c r="C356" s="4" t="s">
        <v>992</v>
      </c>
      <c r="D356" s="3" t="s">
        <v>1011</v>
      </c>
      <c r="E356" s="6" t="s">
        <v>1012</v>
      </c>
      <c r="F356" s="6" t="s">
        <v>1019</v>
      </c>
      <c r="G356" s="6" t="s">
        <v>712</v>
      </c>
      <c r="H356" s="25">
        <v>214.29</v>
      </c>
      <c r="I356" s="38">
        <v>0</v>
      </c>
      <c r="J356" s="38">
        <v>0</v>
      </c>
      <c r="K356" s="39">
        <f t="shared" si="40"/>
        <v>0</v>
      </c>
      <c r="L356" s="38">
        <v>0</v>
      </c>
      <c r="M356" s="38">
        <v>0</v>
      </c>
      <c r="N356" s="39">
        <f t="shared" si="41"/>
        <v>0</v>
      </c>
      <c r="O356" s="38">
        <v>0</v>
      </c>
      <c r="P356" s="38">
        <v>0</v>
      </c>
      <c r="Q356" s="39">
        <f t="shared" si="42"/>
        <v>0</v>
      </c>
      <c r="R356" s="38">
        <v>20</v>
      </c>
      <c r="S356" s="38">
        <v>2</v>
      </c>
      <c r="T356" s="39">
        <f t="shared" si="43"/>
        <v>8571.6</v>
      </c>
      <c r="U356" s="38">
        <v>0</v>
      </c>
      <c r="V356" s="38">
        <v>0</v>
      </c>
      <c r="W356" s="39">
        <f t="shared" si="44"/>
        <v>0</v>
      </c>
      <c r="X356" s="38"/>
      <c r="Y356" s="38"/>
      <c r="Z356" s="39">
        <f t="shared" si="45"/>
        <v>0</v>
      </c>
      <c r="AA356" s="38"/>
      <c r="AB356" s="38"/>
      <c r="AC356" s="39">
        <f t="shared" si="46"/>
        <v>0</v>
      </c>
      <c r="AD356" s="38"/>
      <c r="AE356" s="38"/>
      <c r="AF356" s="39">
        <f t="shared" si="47"/>
        <v>0</v>
      </c>
    </row>
    <row r="357" spans="2:32" ht="15" customHeight="1" x14ac:dyDescent="0.3">
      <c r="B357" s="2" t="s">
        <v>836</v>
      </c>
      <c r="C357" s="4" t="s">
        <v>992</v>
      </c>
      <c r="D357" s="3" t="s">
        <v>1011</v>
      </c>
      <c r="E357" s="6" t="s">
        <v>1012</v>
      </c>
      <c r="F357" s="6" t="s">
        <v>1020</v>
      </c>
      <c r="G357" s="6" t="s">
        <v>841</v>
      </c>
      <c r="H357" s="25">
        <v>0</v>
      </c>
      <c r="I357" s="38">
        <v>0</v>
      </c>
      <c r="J357" s="38">
        <v>0</v>
      </c>
      <c r="K357" s="39">
        <f t="shared" si="40"/>
        <v>0</v>
      </c>
      <c r="L357" s="38">
        <v>0</v>
      </c>
      <c r="M357" s="38">
        <v>0</v>
      </c>
      <c r="N357" s="39">
        <f t="shared" si="41"/>
        <v>0</v>
      </c>
      <c r="O357" s="38">
        <v>0</v>
      </c>
      <c r="P357" s="38">
        <v>0</v>
      </c>
      <c r="Q357" s="39">
        <f t="shared" si="42"/>
        <v>0</v>
      </c>
      <c r="R357" s="38">
        <v>8000</v>
      </c>
      <c r="S357" s="38">
        <v>1</v>
      </c>
      <c r="T357" s="39">
        <f t="shared" si="43"/>
        <v>0</v>
      </c>
      <c r="U357" s="38">
        <v>0</v>
      </c>
      <c r="V357" s="38">
        <v>0</v>
      </c>
      <c r="W357" s="39">
        <f t="shared" si="44"/>
        <v>0</v>
      </c>
      <c r="X357" s="38"/>
      <c r="Y357" s="38"/>
      <c r="Z357" s="39">
        <f t="shared" si="45"/>
        <v>0</v>
      </c>
      <c r="AA357" s="38"/>
      <c r="AB357" s="38"/>
      <c r="AC357" s="39">
        <f t="shared" si="46"/>
        <v>0</v>
      </c>
      <c r="AD357" s="38"/>
      <c r="AE357" s="38"/>
      <c r="AF357" s="39">
        <f t="shared" si="47"/>
        <v>0</v>
      </c>
    </row>
    <row r="358" spans="2:32" ht="15" customHeight="1" x14ac:dyDescent="0.3">
      <c r="B358" s="2" t="s">
        <v>836</v>
      </c>
      <c r="C358" s="4" t="s">
        <v>992</v>
      </c>
      <c r="D358" s="3" t="s">
        <v>1011</v>
      </c>
      <c r="E358" s="6" t="s">
        <v>1012</v>
      </c>
      <c r="F358" s="6" t="s">
        <v>1021</v>
      </c>
      <c r="G358" s="6" t="s">
        <v>718</v>
      </c>
      <c r="H358" s="25">
        <v>0</v>
      </c>
      <c r="I358" s="38">
        <v>0</v>
      </c>
      <c r="J358" s="38">
        <v>0</v>
      </c>
      <c r="K358" s="39">
        <f t="shared" si="40"/>
        <v>0</v>
      </c>
      <c r="L358" s="38">
        <v>0</v>
      </c>
      <c r="M358" s="38">
        <v>0</v>
      </c>
      <c r="N358" s="39">
        <f t="shared" si="41"/>
        <v>0</v>
      </c>
      <c r="O358" s="38">
        <v>0</v>
      </c>
      <c r="P358" s="38">
        <v>0</v>
      </c>
      <c r="Q358" s="39">
        <f t="shared" si="42"/>
        <v>0</v>
      </c>
      <c r="R358" s="38">
        <v>3</v>
      </c>
      <c r="S358" s="38">
        <v>5</v>
      </c>
      <c r="T358" s="39">
        <f t="shared" si="43"/>
        <v>0</v>
      </c>
      <c r="U358" s="38">
        <v>0</v>
      </c>
      <c r="V358" s="38">
        <v>0</v>
      </c>
      <c r="W358" s="39">
        <f t="shared" si="44"/>
        <v>0</v>
      </c>
      <c r="X358" s="38"/>
      <c r="Y358" s="38"/>
      <c r="Z358" s="39">
        <f t="shared" si="45"/>
        <v>0</v>
      </c>
      <c r="AA358" s="38"/>
      <c r="AB358" s="38"/>
      <c r="AC358" s="39">
        <f t="shared" si="46"/>
        <v>0</v>
      </c>
      <c r="AD358" s="38"/>
      <c r="AE358" s="38"/>
      <c r="AF358" s="39">
        <f t="shared" si="47"/>
        <v>0</v>
      </c>
    </row>
    <row r="359" spans="2:32" ht="15" customHeight="1" x14ac:dyDescent="0.3">
      <c r="B359" s="2" t="s">
        <v>836</v>
      </c>
      <c r="C359" s="4" t="s">
        <v>992</v>
      </c>
      <c r="D359" s="3" t="s">
        <v>1011</v>
      </c>
      <c r="E359" s="6" t="s">
        <v>1022</v>
      </c>
      <c r="F359" s="6" t="s">
        <v>1023</v>
      </c>
      <c r="G359" s="6" t="s">
        <v>841</v>
      </c>
      <c r="H359" s="25">
        <v>0</v>
      </c>
      <c r="I359" s="38">
        <v>0</v>
      </c>
      <c r="J359" s="38">
        <v>0</v>
      </c>
      <c r="K359" s="39">
        <f t="shared" si="40"/>
        <v>0</v>
      </c>
      <c r="L359" s="38">
        <v>0</v>
      </c>
      <c r="M359" s="38">
        <v>0</v>
      </c>
      <c r="N359" s="39">
        <f t="shared" si="41"/>
        <v>0</v>
      </c>
      <c r="O359" s="38">
        <v>0</v>
      </c>
      <c r="P359" s="38">
        <v>0</v>
      </c>
      <c r="Q359" s="39">
        <f t="shared" si="42"/>
        <v>0</v>
      </c>
      <c r="R359" s="38">
        <v>0</v>
      </c>
      <c r="S359" s="38">
        <v>0</v>
      </c>
      <c r="T359" s="39">
        <f t="shared" si="43"/>
        <v>0</v>
      </c>
      <c r="U359" s="38">
        <v>0</v>
      </c>
      <c r="V359" s="38">
        <v>0</v>
      </c>
      <c r="W359" s="39">
        <f t="shared" si="44"/>
        <v>0</v>
      </c>
      <c r="X359" s="38"/>
      <c r="Y359" s="38"/>
      <c r="Z359" s="39">
        <f t="shared" si="45"/>
        <v>0</v>
      </c>
      <c r="AA359" s="38"/>
      <c r="AB359" s="38"/>
      <c r="AC359" s="39">
        <f t="shared" si="46"/>
        <v>0</v>
      </c>
      <c r="AD359" s="38"/>
      <c r="AE359" s="38"/>
      <c r="AF359" s="39">
        <f t="shared" si="47"/>
        <v>0</v>
      </c>
    </row>
    <row r="360" spans="2:32" ht="15" customHeight="1" x14ac:dyDescent="0.3">
      <c r="B360" s="2" t="s">
        <v>836</v>
      </c>
      <c r="C360" s="4" t="s">
        <v>992</v>
      </c>
      <c r="D360" s="3" t="s">
        <v>1011</v>
      </c>
      <c r="E360" s="6" t="s">
        <v>1022</v>
      </c>
      <c r="F360" s="6" t="s">
        <v>1024</v>
      </c>
      <c r="G360" s="6" t="s">
        <v>841</v>
      </c>
      <c r="H360" s="25">
        <v>0</v>
      </c>
      <c r="I360" s="38">
        <v>0</v>
      </c>
      <c r="J360" s="38">
        <v>0</v>
      </c>
      <c r="K360" s="39">
        <f t="shared" si="40"/>
        <v>0</v>
      </c>
      <c r="L360" s="38">
        <v>0</v>
      </c>
      <c r="M360" s="38">
        <v>0</v>
      </c>
      <c r="N360" s="39">
        <f t="shared" si="41"/>
        <v>0</v>
      </c>
      <c r="O360" s="38">
        <v>0</v>
      </c>
      <c r="P360" s="38">
        <v>0</v>
      </c>
      <c r="Q360" s="39">
        <f t="shared" si="42"/>
        <v>0</v>
      </c>
      <c r="R360" s="38">
        <v>0</v>
      </c>
      <c r="S360" s="38">
        <v>0</v>
      </c>
      <c r="T360" s="39">
        <f t="shared" si="43"/>
        <v>0</v>
      </c>
      <c r="U360" s="38">
        <v>0</v>
      </c>
      <c r="V360" s="38">
        <v>0</v>
      </c>
      <c r="W360" s="39">
        <f t="shared" si="44"/>
        <v>0</v>
      </c>
      <c r="X360" s="38"/>
      <c r="Y360" s="38"/>
      <c r="Z360" s="39">
        <f t="shared" si="45"/>
        <v>0</v>
      </c>
      <c r="AA360" s="38"/>
      <c r="AB360" s="38"/>
      <c r="AC360" s="39">
        <f t="shared" si="46"/>
        <v>0</v>
      </c>
      <c r="AD360" s="38"/>
      <c r="AE360" s="38"/>
      <c r="AF360" s="39">
        <f t="shared" si="47"/>
        <v>0</v>
      </c>
    </row>
    <row r="361" spans="2:32" ht="15" customHeight="1" x14ac:dyDescent="0.3">
      <c r="B361" s="2" t="s">
        <v>836</v>
      </c>
      <c r="C361" s="4" t="s">
        <v>992</v>
      </c>
      <c r="D361" s="3" t="s">
        <v>1011</v>
      </c>
      <c r="E361" s="6" t="s">
        <v>1022</v>
      </c>
      <c r="F361" s="6" t="s">
        <v>1025</v>
      </c>
      <c r="G361" s="6" t="s">
        <v>841</v>
      </c>
      <c r="H361" s="25">
        <v>0</v>
      </c>
      <c r="I361" s="38">
        <v>0</v>
      </c>
      <c r="J361" s="38">
        <v>0</v>
      </c>
      <c r="K361" s="39">
        <f t="shared" si="40"/>
        <v>0</v>
      </c>
      <c r="L361" s="38">
        <v>0</v>
      </c>
      <c r="M361" s="38">
        <v>0</v>
      </c>
      <c r="N361" s="39">
        <f t="shared" si="41"/>
        <v>0</v>
      </c>
      <c r="O361" s="38">
        <v>0</v>
      </c>
      <c r="P361" s="38">
        <v>0</v>
      </c>
      <c r="Q361" s="39">
        <f t="shared" si="42"/>
        <v>0</v>
      </c>
      <c r="R361" s="38">
        <v>0</v>
      </c>
      <c r="S361" s="38">
        <v>0</v>
      </c>
      <c r="T361" s="39">
        <f t="shared" si="43"/>
        <v>0</v>
      </c>
      <c r="U361" s="38">
        <v>0</v>
      </c>
      <c r="V361" s="38">
        <v>0</v>
      </c>
      <c r="W361" s="39">
        <f t="shared" si="44"/>
        <v>0</v>
      </c>
      <c r="X361" s="38"/>
      <c r="Y361" s="38"/>
      <c r="Z361" s="39">
        <f t="shared" si="45"/>
        <v>0</v>
      </c>
      <c r="AA361" s="38"/>
      <c r="AB361" s="38"/>
      <c r="AC361" s="39">
        <f t="shared" si="46"/>
        <v>0</v>
      </c>
      <c r="AD361" s="38"/>
      <c r="AE361" s="38"/>
      <c r="AF361" s="39">
        <f t="shared" si="47"/>
        <v>0</v>
      </c>
    </row>
    <row r="362" spans="2:32" ht="15" customHeight="1" x14ac:dyDescent="0.3">
      <c r="B362" s="2" t="s">
        <v>836</v>
      </c>
      <c r="C362" s="4" t="s">
        <v>992</v>
      </c>
      <c r="D362" s="3" t="s">
        <v>1011</v>
      </c>
      <c r="E362" s="6" t="s">
        <v>1022</v>
      </c>
      <c r="F362" s="6" t="s">
        <v>149</v>
      </c>
      <c r="G362" s="6" t="s">
        <v>707</v>
      </c>
      <c r="H362" s="25">
        <v>391991.03749999998</v>
      </c>
      <c r="I362" s="38">
        <v>0</v>
      </c>
      <c r="J362" s="38">
        <v>0</v>
      </c>
      <c r="K362" s="39">
        <f t="shared" si="40"/>
        <v>0</v>
      </c>
      <c r="L362" s="38">
        <v>0</v>
      </c>
      <c r="M362" s="38">
        <v>0</v>
      </c>
      <c r="N362" s="39">
        <f t="shared" si="41"/>
        <v>0</v>
      </c>
      <c r="O362" s="38">
        <v>0</v>
      </c>
      <c r="P362" s="38">
        <v>0</v>
      </c>
      <c r="Q362" s="39">
        <f t="shared" si="42"/>
        <v>0</v>
      </c>
      <c r="R362" s="38">
        <v>0</v>
      </c>
      <c r="S362" s="38">
        <v>0</v>
      </c>
      <c r="T362" s="39">
        <f t="shared" si="43"/>
        <v>0</v>
      </c>
      <c r="U362" s="38">
        <v>0</v>
      </c>
      <c r="V362" s="38">
        <v>0</v>
      </c>
      <c r="W362" s="39">
        <f t="shared" si="44"/>
        <v>0</v>
      </c>
      <c r="X362" s="38"/>
      <c r="Y362" s="38"/>
      <c r="Z362" s="39">
        <f t="shared" si="45"/>
        <v>0</v>
      </c>
      <c r="AA362" s="38"/>
      <c r="AB362" s="38"/>
      <c r="AC362" s="39">
        <f t="shared" si="46"/>
        <v>0</v>
      </c>
      <c r="AD362" s="38"/>
      <c r="AE362" s="38"/>
      <c r="AF362" s="39">
        <f t="shared" si="47"/>
        <v>0</v>
      </c>
    </row>
    <row r="363" spans="2:32" ht="15" customHeight="1" x14ac:dyDescent="0.3">
      <c r="B363" s="2" t="s">
        <v>836</v>
      </c>
      <c r="C363" s="4" t="s">
        <v>992</v>
      </c>
      <c r="D363" s="3" t="s">
        <v>1011</v>
      </c>
      <c r="E363" s="6" t="s">
        <v>1022</v>
      </c>
      <c r="F363" s="6" t="s">
        <v>149</v>
      </c>
      <c r="G363" s="6" t="s">
        <v>708</v>
      </c>
      <c r="H363" s="25">
        <v>425000</v>
      </c>
      <c r="I363" s="38">
        <v>0</v>
      </c>
      <c r="J363" s="38">
        <v>0</v>
      </c>
      <c r="K363" s="39">
        <f t="shared" si="40"/>
        <v>0</v>
      </c>
      <c r="L363" s="38">
        <v>0</v>
      </c>
      <c r="M363" s="38">
        <v>0</v>
      </c>
      <c r="N363" s="39">
        <f t="shared" si="41"/>
        <v>0</v>
      </c>
      <c r="O363" s="38">
        <v>0</v>
      </c>
      <c r="P363" s="38">
        <v>0</v>
      </c>
      <c r="Q363" s="39">
        <f t="shared" si="42"/>
        <v>0</v>
      </c>
      <c r="R363" s="38">
        <v>1</v>
      </c>
      <c r="S363" s="38">
        <v>4</v>
      </c>
      <c r="T363" s="39">
        <f t="shared" si="43"/>
        <v>1700000</v>
      </c>
      <c r="U363" s="38">
        <v>0</v>
      </c>
      <c r="V363" s="38">
        <v>0</v>
      </c>
      <c r="W363" s="39">
        <f t="shared" si="44"/>
        <v>0</v>
      </c>
      <c r="X363" s="38"/>
      <c r="Y363" s="38"/>
      <c r="Z363" s="39">
        <f t="shared" si="45"/>
        <v>0</v>
      </c>
      <c r="AA363" s="38"/>
      <c r="AB363" s="38"/>
      <c r="AC363" s="39">
        <f t="shared" si="46"/>
        <v>0</v>
      </c>
      <c r="AD363" s="38"/>
      <c r="AE363" s="38"/>
      <c r="AF363" s="39">
        <f t="shared" si="47"/>
        <v>0</v>
      </c>
    </row>
    <row r="364" spans="2:32" ht="15" customHeight="1" x14ac:dyDescent="0.3">
      <c r="B364" s="2" t="s">
        <v>836</v>
      </c>
      <c r="C364" s="4" t="s">
        <v>992</v>
      </c>
      <c r="D364" s="3" t="s">
        <v>1011</v>
      </c>
      <c r="E364" s="6" t="s">
        <v>1022</v>
      </c>
      <c r="F364" s="6" t="s">
        <v>895</v>
      </c>
      <c r="G364" s="6" t="s">
        <v>841</v>
      </c>
      <c r="H364" s="25">
        <v>0</v>
      </c>
      <c r="I364" s="38">
        <v>0</v>
      </c>
      <c r="J364" s="38">
        <v>0</v>
      </c>
      <c r="K364" s="39">
        <f t="shared" si="40"/>
        <v>0</v>
      </c>
      <c r="L364" s="38">
        <v>0</v>
      </c>
      <c r="M364" s="38">
        <v>0</v>
      </c>
      <c r="N364" s="39">
        <f t="shared" si="41"/>
        <v>0</v>
      </c>
      <c r="O364" s="38">
        <v>0</v>
      </c>
      <c r="P364" s="38">
        <v>0</v>
      </c>
      <c r="Q364" s="39">
        <f t="shared" si="42"/>
        <v>0</v>
      </c>
      <c r="R364" s="38">
        <v>1</v>
      </c>
      <c r="S364" s="38">
        <v>30</v>
      </c>
      <c r="T364" s="39">
        <f t="shared" si="43"/>
        <v>0</v>
      </c>
      <c r="U364" s="38">
        <v>0</v>
      </c>
      <c r="V364" s="38">
        <v>0</v>
      </c>
      <c r="W364" s="39">
        <f t="shared" si="44"/>
        <v>0</v>
      </c>
      <c r="X364" s="38"/>
      <c r="Y364" s="38"/>
      <c r="Z364" s="39">
        <f t="shared" si="45"/>
        <v>0</v>
      </c>
      <c r="AA364" s="38"/>
      <c r="AB364" s="38"/>
      <c r="AC364" s="39">
        <f t="shared" si="46"/>
        <v>0</v>
      </c>
      <c r="AD364" s="38"/>
      <c r="AE364" s="38"/>
      <c r="AF364" s="39">
        <f t="shared" si="47"/>
        <v>0</v>
      </c>
    </row>
    <row r="365" spans="2:32" ht="15" customHeight="1" x14ac:dyDescent="0.3">
      <c r="B365" s="2" t="s">
        <v>836</v>
      </c>
      <c r="C365" s="4" t="s">
        <v>992</v>
      </c>
      <c r="D365" s="3" t="s">
        <v>1011</v>
      </c>
      <c r="E365" s="6" t="s">
        <v>1022</v>
      </c>
      <c r="F365" s="6" t="s">
        <v>912</v>
      </c>
      <c r="G365" s="6" t="s">
        <v>841</v>
      </c>
      <c r="H365" s="25">
        <v>0</v>
      </c>
      <c r="I365" s="38">
        <v>0</v>
      </c>
      <c r="J365" s="38">
        <v>0</v>
      </c>
      <c r="K365" s="39">
        <f t="shared" si="40"/>
        <v>0</v>
      </c>
      <c r="L365" s="38">
        <v>0</v>
      </c>
      <c r="M365" s="38">
        <v>0</v>
      </c>
      <c r="N365" s="39">
        <f t="shared" si="41"/>
        <v>0</v>
      </c>
      <c r="O365" s="38">
        <v>0</v>
      </c>
      <c r="P365" s="38">
        <v>0</v>
      </c>
      <c r="Q365" s="39">
        <f t="shared" si="42"/>
        <v>0</v>
      </c>
      <c r="R365" s="38">
        <v>5</v>
      </c>
      <c r="S365" s="38">
        <v>5</v>
      </c>
      <c r="T365" s="39">
        <f t="shared" si="43"/>
        <v>0</v>
      </c>
      <c r="U365" s="38">
        <v>0</v>
      </c>
      <c r="V365" s="38">
        <v>0</v>
      </c>
      <c r="W365" s="39">
        <f t="shared" si="44"/>
        <v>0</v>
      </c>
      <c r="X365" s="38"/>
      <c r="Y365" s="38"/>
      <c r="Z365" s="39">
        <f t="shared" si="45"/>
        <v>0</v>
      </c>
      <c r="AA365" s="38"/>
      <c r="AB365" s="38"/>
      <c r="AC365" s="39">
        <f t="shared" si="46"/>
        <v>0</v>
      </c>
      <c r="AD365" s="38"/>
      <c r="AE365" s="38"/>
      <c r="AF365" s="39">
        <f t="shared" si="47"/>
        <v>0</v>
      </c>
    </row>
    <row r="366" spans="2:32" ht="15" customHeight="1" x14ac:dyDescent="0.3">
      <c r="B366" s="2" t="s">
        <v>836</v>
      </c>
      <c r="C366" s="4" t="s">
        <v>992</v>
      </c>
      <c r="D366" s="3" t="s">
        <v>1011</v>
      </c>
      <c r="E366" s="6" t="s">
        <v>1022</v>
      </c>
      <c r="F366" s="6" t="s">
        <v>1026</v>
      </c>
      <c r="G366" s="6" t="s">
        <v>709</v>
      </c>
      <c r="H366" s="25">
        <v>28000</v>
      </c>
      <c r="I366" s="38">
        <v>0</v>
      </c>
      <c r="J366" s="38">
        <v>0</v>
      </c>
      <c r="K366" s="39">
        <f t="shared" si="40"/>
        <v>0</v>
      </c>
      <c r="L366" s="38">
        <v>0</v>
      </c>
      <c r="M366" s="38">
        <v>0</v>
      </c>
      <c r="N366" s="39">
        <f t="shared" si="41"/>
        <v>0</v>
      </c>
      <c r="O366" s="38">
        <v>0</v>
      </c>
      <c r="P366" s="38">
        <v>0</v>
      </c>
      <c r="Q366" s="39">
        <f t="shared" si="42"/>
        <v>0</v>
      </c>
      <c r="R366" s="38">
        <v>10</v>
      </c>
      <c r="S366" s="38">
        <v>1</v>
      </c>
      <c r="T366" s="39">
        <f t="shared" si="43"/>
        <v>280000</v>
      </c>
      <c r="U366" s="38">
        <v>0</v>
      </c>
      <c r="V366" s="38">
        <v>0</v>
      </c>
      <c r="W366" s="39">
        <f t="shared" si="44"/>
        <v>0</v>
      </c>
      <c r="X366" s="38"/>
      <c r="Y366" s="38"/>
      <c r="Z366" s="39">
        <f t="shared" si="45"/>
        <v>0</v>
      </c>
      <c r="AA366" s="38"/>
      <c r="AB366" s="38"/>
      <c r="AC366" s="39">
        <f t="shared" si="46"/>
        <v>0</v>
      </c>
      <c r="AD366" s="38"/>
      <c r="AE366" s="38"/>
      <c r="AF366" s="39">
        <f t="shared" si="47"/>
        <v>0</v>
      </c>
    </row>
    <row r="367" spans="2:32" ht="15" customHeight="1" x14ac:dyDescent="0.3">
      <c r="B367" s="2" t="s">
        <v>836</v>
      </c>
      <c r="C367" s="4" t="s">
        <v>992</v>
      </c>
      <c r="D367" s="3" t="s">
        <v>1011</v>
      </c>
      <c r="E367" s="6" t="s">
        <v>1022</v>
      </c>
      <c r="F367" s="6" t="s">
        <v>1026</v>
      </c>
      <c r="G367" s="6" t="s">
        <v>711</v>
      </c>
      <c r="H367" s="25">
        <v>70</v>
      </c>
      <c r="I367" s="38">
        <v>0</v>
      </c>
      <c r="J367" s="38">
        <v>0</v>
      </c>
      <c r="K367" s="39">
        <f t="shared" si="40"/>
        <v>0</v>
      </c>
      <c r="L367" s="38">
        <v>0</v>
      </c>
      <c r="M367" s="38">
        <v>0</v>
      </c>
      <c r="N367" s="39">
        <f t="shared" si="41"/>
        <v>0</v>
      </c>
      <c r="O367" s="38">
        <v>0</v>
      </c>
      <c r="P367" s="38">
        <v>0</v>
      </c>
      <c r="Q367" s="39">
        <f t="shared" si="42"/>
        <v>0</v>
      </c>
      <c r="R367" s="38">
        <v>15</v>
      </c>
      <c r="S367" s="38">
        <v>3</v>
      </c>
      <c r="T367" s="39">
        <f t="shared" si="43"/>
        <v>3150</v>
      </c>
      <c r="U367" s="38">
        <v>0</v>
      </c>
      <c r="V367" s="38">
        <v>0</v>
      </c>
      <c r="W367" s="39">
        <f t="shared" si="44"/>
        <v>0</v>
      </c>
      <c r="X367" s="38"/>
      <c r="Y367" s="38"/>
      <c r="Z367" s="39">
        <f t="shared" si="45"/>
        <v>0</v>
      </c>
      <c r="AA367" s="38"/>
      <c r="AB367" s="38"/>
      <c r="AC367" s="39">
        <f t="shared" si="46"/>
        <v>0</v>
      </c>
      <c r="AD367" s="38"/>
      <c r="AE367" s="38"/>
      <c r="AF367" s="39">
        <f t="shared" si="47"/>
        <v>0</v>
      </c>
    </row>
    <row r="368" spans="2:32" ht="15" customHeight="1" x14ac:dyDescent="0.3">
      <c r="B368" s="2" t="s">
        <v>836</v>
      </c>
      <c r="C368" s="4" t="s">
        <v>992</v>
      </c>
      <c r="D368" s="3" t="s">
        <v>1011</v>
      </c>
      <c r="E368" s="6" t="s">
        <v>1022</v>
      </c>
      <c r="F368" s="6" t="s">
        <v>1026</v>
      </c>
      <c r="G368" s="6" t="s">
        <v>710</v>
      </c>
      <c r="H368" s="25">
        <v>104850</v>
      </c>
      <c r="I368" s="38">
        <v>0</v>
      </c>
      <c r="J368" s="38">
        <v>0</v>
      </c>
      <c r="K368" s="39">
        <f t="shared" si="40"/>
        <v>0</v>
      </c>
      <c r="L368" s="38">
        <v>0</v>
      </c>
      <c r="M368" s="38">
        <v>0</v>
      </c>
      <c r="N368" s="39">
        <f t="shared" si="41"/>
        <v>0</v>
      </c>
      <c r="O368" s="38">
        <v>0</v>
      </c>
      <c r="P368" s="38">
        <v>0</v>
      </c>
      <c r="Q368" s="39">
        <f t="shared" si="42"/>
        <v>0</v>
      </c>
      <c r="R368" s="38">
        <v>5000</v>
      </c>
      <c r="S368" s="38">
        <v>1</v>
      </c>
      <c r="T368" s="39">
        <f t="shared" si="43"/>
        <v>524250000</v>
      </c>
      <c r="U368" s="38">
        <v>0</v>
      </c>
      <c r="V368" s="38">
        <v>0</v>
      </c>
      <c r="W368" s="39">
        <f t="shared" si="44"/>
        <v>0</v>
      </c>
      <c r="X368" s="38"/>
      <c r="Y368" s="38"/>
      <c r="Z368" s="39">
        <f t="shared" si="45"/>
        <v>0</v>
      </c>
      <c r="AA368" s="38"/>
      <c r="AB368" s="38"/>
      <c r="AC368" s="39">
        <f t="shared" si="46"/>
        <v>0</v>
      </c>
      <c r="AD368" s="38"/>
      <c r="AE368" s="38"/>
      <c r="AF368" s="39">
        <f t="shared" si="47"/>
        <v>0</v>
      </c>
    </row>
    <row r="369" spans="2:32" ht="15" customHeight="1" x14ac:dyDescent="0.3">
      <c r="B369" s="2" t="s">
        <v>836</v>
      </c>
      <c r="C369" s="4" t="s">
        <v>992</v>
      </c>
      <c r="D369" s="3" t="s">
        <v>1011</v>
      </c>
      <c r="E369" s="16" t="s">
        <v>1022</v>
      </c>
      <c r="F369" s="16" t="s">
        <v>1026</v>
      </c>
      <c r="G369" s="16" t="s">
        <v>835</v>
      </c>
      <c r="H369" s="25"/>
      <c r="I369" s="38">
        <v>0</v>
      </c>
      <c r="J369" s="38">
        <v>0</v>
      </c>
      <c r="K369" s="39">
        <f t="shared" si="40"/>
        <v>0</v>
      </c>
      <c r="L369" s="38">
        <v>0</v>
      </c>
      <c r="M369" s="38">
        <v>0</v>
      </c>
      <c r="N369" s="39">
        <f t="shared" si="41"/>
        <v>0</v>
      </c>
      <c r="O369" s="38">
        <v>0</v>
      </c>
      <c r="P369" s="38">
        <v>0</v>
      </c>
      <c r="Q369" s="39">
        <f t="shared" si="42"/>
        <v>0</v>
      </c>
      <c r="R369" s="38">
        <v>1</v>
      </c>
      <c r="S369" s="38">
        <v>1</v>
      </c>
      <c r="T369" s="39">
        <f t="shared" si="43"/>
        <v>0</v>
      </c>
      <c r="U369" s="38">
        <v>0</v>
      </c>
      <c r="V369" s="38">
        <v>0</v>
      </c>
      <c r="W369" s="39">
        <f t="shared" si="44"/>
        <v>0</v>
      </c>
      <c r="X369" s="38"/>
      <c r="Y369" s="38"/>
      <c r="Z369" s="39">
        <f t="shared" si="45"/>
        <v>0</v>
      </c>
      <c r="AA369" s="38"/>
      <c r="AB369" s="38"/>
      <c r="AC369" s="39">
        <f t="shared" si="46"/>
        <v>0</v>
      </c>
      <c r="AD369" s="38"/>
      <c r="AE369" s="38"/>
      <c r="AF369" s="39">
        <f t="shared" si="47"/>
        <v>0</v>
      </c>
    </row>
    <row r="370" spans="2:32" ht="15" customHeight="1" x14ac:dyDescent="0.3">
      <c r="B370" s="2" t="s">
        <v>836</v>
      </c>
      <c r="C370" s="4" t="s">
        <v>992</v>
      </c>
      <c r="D370" s="3" t="s">
        <v>1011</v>
      </c>
      <c r="E370" s="6" t="s">
        <v>1022</v>
      </c>
      <c r="F370" s="6" t="s">
        <v>163</v>
      </c>
      <c r="G370" s="6" t="s">
        <v>713</v>
      </c>
      <c r="H370" s="25">
        <v>45000</v>
      </c>
      <c r="I370" s="38">
        <v>0</v>
      </c>
      <c r="J370" s="38">
        <v>0</v>
      </c>
      <c r="K370" s="39">
        <f t="shared" si="40"/>
        <v>0</v>
      </c>
      <c r="L370" s="38">
        <v>0</v>
      </c>
      <c r="M370" s="38">
        <v>0</v>
      </c>
      <c r="N370" s="39">
        <f t="shared" si="41"/>
        <v>0</v>
      </c>
      <c r="O370" s="38">
        <v>0</v>
      </c>
      <c r="P370" s="38">
        <v>0</v>
      </c>
      <c r="Q370" s="39">
        <f t="shared" si="42"/>
        <v>0</v>
      </c>
      <c r="R370" s="38">
        <v>15</v>
      </c>
      <c r="S370" s="38">
        <v>1</v>
      </c>
      <c r="T370" s="39">
        <f t="shared" si="43"/>
        <v>675000</v>
      </c>
      <c r="U370" s="38">
        <v>0</v>
      </c>
      <c r="V370" s="38">
        <v>0</v>
      </c>
      <c r="W370" s="39">
        <f t="shared" si="44"/>
        <v>0</v>
      </c>
      <c r="X370" s="38"/>
      <c r="Y370" s="38"/>
      <c r="Z370" s="39">
        <f t="shared" si="45"/>
        <v>0</v>
      </c>
      <c r="AA370" s="38"/>
      <c r="AB370" s="38"/>
      <c r="AC370" s="39">
        <f t="shared" si="46"/>
        <v>0</v>
      </c>
      <c r="AD370" s="38"/>
      <c r="AE370" s="38"/>
      <c r="AF370" s="39">
        <f t="shared" si="47"/>
        <v>0</v>
      </c>
    </row>
    <row r="371" spans="2:32" ht="15" customHeight="1" x14ac:dyDescent="0.3">
      <c r="B371" s="2" t="s">
        <v>836</v>
      </c>
      <c r="C371" s="4" t="s">
        <v>992</v>
      </c>
      <c r="D371" s="3" t="s">
        <v>1011</v>
      </c>
      <c r="E371" s="6" t="s">
        <v>1022</v>
      </c>
      <c r="F371" s="6" t="s">
        <v>163</v>
      </c>
      <c r="G371" s="6" t="s">
        <v>712</v>
      </c>
      <c r="H371" s="25">
        <v>214.29</v>
      </c>
      <c r="I371" s="38">
        <v>0</v>
      </c>
      <c r="J371" s="38">
        <v>0</v>
      </c>
      <c r="K371" s="39">
        <f t="shared" si="40"/>
        <v>0</v>
      </c>
      <c r="L371" s="38">
        <v>0</v>
      </c>
      <c r="M371" s="38">
        <v>0</v>
      </c>
      <c r="N371" s="39">
        <f t="shared" si="41"/>
        <v>0</v>
      </c>
      <c r="O371" s="38">
        <v>0</v>
      </c>
      <c r="P371" s="38">
        <v>0</v>
      </c>
      <c r="Q371" s="39">
        <f t="shared" si="42"/>
        <v>0</v>
      </c>
      <c r="R371" s="38">
        <v>20</v>
      </c>
      <c r="S371" s="38">
        <v>1</v>
      </c>
      <c r="T371" s="39">
        <f t="shared" si="43"/>
        <v>4285.8</v>
      </c>
      <c r="U371" s="38">
        <v>0</v>
      </c>
      <c r="V371" s="38">
        <v>0</v>
      </c>
      <c r="W371" s="39">
        <f t="shared" si="44"/>
        <v>0</v>
      </c>
      <c r="X371" s="38"/>
      <c r="Y371" s="38"/>
      <c r="Z371" s="39">
        <f t="shared" si="45"/>
        <v>0</v>
      </c>
      <c r="AA371" s="38"/>
      <c r="AB371" s="38"/>
      <c r="AC371" s="39">
        <f t="shared" si="46"/>
        <v>0</v>
      </c>
      <c r="AD371" s="38"/>
      <c r="AE371" s="38"/>
      <c r="AF371" s="39">
        <f t="shared" si="47"/>
        <v>0</v>
      </c>
    </row>
    <row r="372" spans="2:32" ht="15" customHeight="1" x14ac:dyDescent="0.3">
      <c r="B372" s="2" t="s">
        <v>836</v>
      </c>
      <c r="C372" s="4" t="s">
        <v>992</v>
      </c>
      <c r="D372" s="3" t="s">
        <v>1011</v>
      </c>
      <c r="E372" s="6" t="s">
        <v>1022</v>
      </c>
      <c r="F372" s="6" t="s">
        <v>1027</v>
      </c>
      <c r="G372" s="6" t="s">
        <v>841</v>
      </c>
      <c r="H372" s="25">
        <v>0</v>
      </c>
      <c r="I372" s="38">
        <v>0</v>
      </c>
      <c r="J372" s="38">
        <v>0</v>
      </c>
      <c r="K372" s="39">
        <f t="shared" si="40"/>
        <v>0</v>
      </c>
      <c r="L372" s="38">
        <v>0</v>
      </c>
      <c r="M372" s="38">
        <v>0</v>
      </c>
      <c r="N372" s="39">
        <f t="shared" si="41"/>
        <v>0</v>
      </c>
      <c r="O372" s="38">
        <v>0</v>
      </c>
      <c r="P372" s="38">
        <v>0</v>
      </c>
      <c r="Q372" s="39">
        <f t="shared" si="42"/>
        <v>0</v>
      </c>
      <c r="R372" s="38">
        <v>4000</v>
      </c>
      <c r="S372" s="38">
        <v>1</v>
      </c>
      <c r="T372" s="39">
        <f t="shared" si="43"/>
        <v>0</v>
      </c>
      <c r="U372" s="38">
        <v>0</v>
      </c>
      <c r="V372" s="38">
        <v>0</v>
      </c>
      <c r="W372" s="39">
        <f t="shared" si="44"/>
        <v>0</v>
      </c>
      <c r="X372" s="38"/>
      <c r="Y372" s="38"/>
      <c r="Z372" s="39">
        <f t="shared" si="45"/>
        <v>0</v>
      </c>
      <c r="AA372" s="38"/>
      <c r="AB372" s="38"/>
      <c r="AC372" s="39">
        <f t="shared" si="46"/>
        <v>0</v>
      </c>
      <c r="AD372" s="38"/>
      <c r="AE372" s="38"/>
      <c r="AF372" s="39">
        <f t="shared" si="47"/>
        <v>0</v>
      </c>
    </row>
    <row r="373" spans="2:32" ht="15" customHeight="1" x14ac:dyDescent="0.3">
      <c r="B373" s="2" t="s">
        <v>836</v>
      </c>
      <c r="C373" s="4" t="s">
        <v>992</v>
      </c>
      <c r="D373" s="3" t="s">
        <v>1011</v>
      </c>
      <c r="E373" s="6" t="s">
        <v>1022</v>
      </c>
      <c r="F373" s="6" t="s">
        <v>157</v>
      </c>
      <c r="G373" s="6" t="s">
        <v>713</v>
      </c>
      <c r="H373" s="25">
        <v>45000</v>
      </c>
      <c r="I373" s="38">
        <v>0</v>
      </c>
      <c r="J373" s="38">
        <v>0</v>
      </c>
      <c r="K373" s="39">
        <f t="shared" si="40"/>
        <v>0</v>
      </c>
      <c r="L373" s="38">
        <v>0</v>
      </c>
      <c r="M373" s="38">
        <v>0</v>
      </c>
      <c r="N373" s="39">
        <f t="shared" si="41"/>
        <v>0</v>
      </c>
      <c r="O373" s="38">
        <v>0</v>
      </c>
      <c r="P373" s="38">
        <v>0</v>
      </c>
      <c r="Q373" s="39">
        <f t="shared" si="42"/>
        <v>0</v>
      </c>
      <c r="R373" s="38">
        <v>0</v>
      </c>
      <c r="S373" s="38">
        <v>0</v>
      </c>
      <c r="T373" s="39">
        <f t="shared" si="43"/>
        <v>0</v>
      </c>
      <c r="U373" s="38">
        <v>0</v>
      </c>
      <c r="V373" s="38">
        <v>0</v>
      </c>
      <c r="W373" s="39">
        <f t="shared" si="44"/>
        <v>0</v>
      </c>
      <c r="X373" s="38"/>
      <c r="Y373" s="38"/>
      <c r="Z373" s="39">
        <f t="shared" si="45"/>
        <v>0</v>
      </c>
      <c r="AA373" s="38"/>
      <c r="AB373" s="38"/>
      <c r="AC373" s="39">
        <f t="shared" si="46"/>
        <v>0</v>
      </c>
      <c r="AD373" s="38"/>
      <c r="AE373" s="38"/>
      <c r="AF373" s="39">
        <f t="shared" si="47"/>
        <v>0</v>
      </c>
    </row>
    <row r="374" spans="2:32" ht="15" customHeight="1" x14ac:dyDescent="0.3">
      <c r="B374" s="2" t="s">
        <v>836</v>
      </c>
      <c r="C374" s="4" t="s">
        <v>992</v>
      </c>
      <c r="D374" s="3" t="s">
        <v>1011</v>
      </c>
      <c r="E374" s="6" t="s">
        <v>1022</v>
      </c>
      <c r="F374" s="6" t="s">
        <v>157</v>
      </c>
      <c r="G374" s="6" t="s">
        <v>712</v>
      </c>
      <c r="H374" s="25">
        <v>214.29</v>
      </c>
      <c r="I374" s="38">
        <v>0</v>
      </c>
      <c r="J374" s="38">
        <v>0</v>
      </c>
      <c r="K374" s="39">
        <f t="shared" si="40"/>
        <v>0</v>
      </c>
      <c r="L374" s="38">
        <v>0</v>
      </c>
      <c r="M374" s="38">
        <v>0</v>
      </c>
      <c r="N374" s="39">
        <f t="shared" si="41"/>
        <v>0</v>
      </c>
      <c r="O374" s="38">
        <v>0</v>
      </c>
      <c r="P374" s="38">
        <v>0</v>
      </c>
      <c r="Q374" s="39">
        <f t="shared" si="42"/>
        <v>0</v>
      </c>
      <c r="R374" s="38">
        <v>25</v>
      </c>
      <c r="S374" s="38">
        <v>10</v>
      </c>
      <c r="T374" s="39">
        <f t="shared" si="43"/>
        <v>53572.5</v>
      </c>
      <c r="U374" s="38">
        <v>0</v>
      </c>
      <c r="V374" s="38">
        <v>0</v>
      </c>
      <c r="W374" s="39">
        <f t="shared" si="44"/>
        <v>0</v>
      </c>
      <c r="X374" s="38"/>
      <c r="Y374" s="38"/>
      <c r="Z374" s="39">
        <f t="shared" si="45"/>
        <v>0</v>
      </c>
      <c r="AA374" s="38"/>
      <c r="AB374" s="38"/>
      <c r="AC374" s="39">
        <f t="shared" si="46"/>
        <v>0</v>
      </c>
      <c r="AD374" s="38"/>
      <c r="AE374" s="38"/>
      <c r="AF374" s="39">
        <f t="shared" si="47"/>
        <v>0</v>
      </c>
    </row>
    <row r="375" spans="2:32" ht="15" customHeight="1" x14ac:dyDescent="0.3">
      <c r="B375" s="2" t="s">
        <v>836</v>
      </c>
      <c r="C375" s="4" t="s">
        <v>992</v>
      </c>
      <c r="D375" s="3" t="s">
        <v>1011</v>
      </c>
      <c r="E375" s="6" t="s">
        <v>1022</v>
      </c>
      <c r="F375" s="6" t="s">
        <v>157</v>
      </c>
      <c r="G375" s="6" t="s">
        <v>714</v>
      </c>
      <c r="H375" s="25">
        <v>10000</v>
      </c>
      <c r="I375" s="38">
        <v>0</v>
      </c>
      <c r="J375" s="38">
        <v>0</v>
      </c>
      <c r="K375" s="39">
        <f t="shared" si="40"/>
        <v>0</v>
      </c>
      <c r="L375" s="38">
        <v>0</v>
      </c>
      <c r="M375" s="38">
        <v>0</v>
      </c>
      <c r="N375" s="39">
        <f t="shared" si="41"/>
        <v>0</v>
      </c>
      <c r="O375" s="38">
        <v>0</v>
      </c>
      <c r="P375" s="38">
        <v>0</v>
      </c>
      <c r="Q375" s="39">
        <f t="shared" si="42"/>
        <v>0</v>
      </c>
      <c r="R375" s="38">
        <v>20000</v>
      </c>
      <c r="S375" s="38">
        <v>1</v>
      </c>
      <c r="T375" s="39">
        <f t="shared" si="43"/>
        <v>200000000</v>
      </c>
      <c r="U375" s="38">
        <v>0</v>
      </c>
      <c r="V375" s="38">
        <v>0</v>
      </c>
      <c r="W375" s="39">
        <f t="shared" si="44"/>
        <v>0</v>
      </c>
      <c r="X375" s="38"/>
      <c r="Y375" s="38"/>
      <c r="Z375" s="39">
        <f t="shared" si="45"/>
        <v>0</v>
      </c>
      <c r="AA375" s="38"/>
      <c r="AB375" s="38"/>
      <c r="AC375" s="39">
        <f t="shared" si="46"/>
        <v>0</v>
      </c>
      <c r="AD375" s="38"/>
      <c r="AE375" s="38"/>
      <c r="AF375" s="39">
        <f t="shared" si="47"/>
        <v>0</v>
      </c>
    </row>
    <row r="376" spans="2:32" ht="15" customHeight="1" x14ac:dyDescent="0.3">
      <c r="B376" s="2" t="s">
        <v>836</v>
      </c>
      <c r="C376" s="4" t="s">
        <v>992</v>
      </c>
      <c r="D376" s="3" t="s">
        <v>1011</v>
      </c>
      <c r="E376" s="6" t="s">
        <v>1022</v>
      </c>
      <c r="F376" s="6" t="s">
        <v>157</v>
      </c>
      <c r="G376" s="6" t="s">
        <v>715</v>
      </c>
      <c r="H376" s="25">
        <v>302000</v>
      </c>
      <c r="I376" s="38">
        <v>0</v>
      </c>
      <c r="J376" s="38">
        <v>0</v>
      </c>
      <c r="K376" s="39">
        <f t="shared" si="40"/>
        <v>0</v>
      </c>
      <c r="L376" s="38">
        <v>0</v>
      </c>
      <c r="M376" s="38">
        <v>0</v>
      </c>
      <c r="N376" s="39">
        <f t="shared" si="41"/>
        <v>0</v>
      </c>
      <c r="O376" s="38">
        <v>0</v>
      </c>
      <c r="P376" s="38">
        <v>0</v>
      </c>
      <c r="Q376" s="39">
        <f t="shared" si="42"/>
        <v>0</v>
      </c>
      <c r="R376" s="38">
        <v>15</v>
      </c>
      <c r="S376" s="38">
        <v>1</v>
      </c>
      <c r="T376" s="39">
        <f t="shared" si="43"/>
        <v>4530000</v>
      </c>
      <c r="U376" s="38">
        <v>0</v>
      </c>
      <c r="V376" s="38">
        <v>0</v>
      </c>
      <c r="W376" s="39">
        <f t="shared" si="44"/>
        <v>0</v>
      </c>
      <c r="X376" s="38"/>
      <c r="Y376" s="38"/>
      <c r="Z376" s="39">
        <f t="shared" si="45"/>
        <v>0</v>
      </c>
      <c r="AA376" s="38"/>
      <c r="AB376" s="38"/>
      <c r="AC376" s="39">
        <f t="shared" si="46"/>
        <v>0</v>
      </c>
      <c r="AD376" s="38"/>
      <c r="AE376" s="38"/>
      <c r="AF376" s="39">
        <f t="shared" si="47"/>
        <v>0</v>
      </c>
    </row>
    <row r="377" spans="2:32" ht="15" customHeight="1" x14ac:dyDescent="0.3">
      <c r="B377" s="2" t="s">
        <v>836</v>
      </c>
      <c r="C377" s="4" t="s">
        <v>992</v>
      </c>
      <c r="D377" s="3" t="s">
        <v>1011</v>
      </c>
      <c r="E377" s="6" t="s">
        <v>1022</v>
      </c>
      <c r="F377" s="6" t="s">
        <v>1004</v>
      </c>
      <c r="G377" s="6" t="s">
        <v>709</v>
      </c>
      <c r="H377" s="25">
        <v>28000</v>
      </c>
      <c r="I377" s="38">
        <v>0</v>
      </c>
      <c r="J377" s="38">
        <v>0</v>
      </c>
      <c r="K377" s="39">
        <f t="shared" si="40"/>
        <v>0</v>
      </c>
      <c r="L377" s="38">
        <v>0</v>
      </c>
      <c r="M377" s="38">
        <v>0</v>
      </c>
      <c r="N377" s="39">
        <f t="shared" si="41"/>
        <v>0</v>
      </c>
      <c r="O377" s="38">
        <v>0</v>
      </c>
      <c r="P377" s="38">
        <v>0</v>
      </c>
      <c r="Q377" s="39">
        <f t="shared" si="42"/>
        <v>0</v>
      </c>
      <c r="R377" s="38">
        <v>20</v>
      </c>
      <c r="S377" s="38">
        <v>1</v>
      </c>
      <c r="T377" s="39">
        <f t="shared" si="43"/>
        <v>560000</v>
      </c>
      <c r="U377" s="38">
        <v>0</v>
      </c>
      <c r="V377" s="38">
        <v>0</v>
      </c>
      <c r="W377" s="39">
        <f t="shared" si="44"/>
        <v>0</v>
      </c>
      <c r="X377" s="38"/>
      <c r="Y377" s="38"/>
      <c r="Z377" s="39">
        <f t="shared" si="45"/>
        <v>0</v>
      </c>
      <c r="AA377" s="38"/>
      <c r="AB377" s="38"/>
      <c r="AC377" s="39">
        <f t="shared" si="46"/>
        <v>0</v>
      </c>
      <c r="AD377" s="38"/>
      <c r="AE377" s="38"/>
      <c r="AF377" s="39">
        <f t="shared" si="47"/>
        <v>0</v>
      </c>
    </row>
    <row r="378" spans="2:32" ht="15" customHeight="1" x14ac:dyDescent="0.3">
      <c r="B378" s="2" t="s">
        <v>836</v>
      </c>
      <c r="C378" s="4" t="s">
        <v>992</v>
      </c>
      <c r="D378" s="3" t="s">
        <v>1011</v>
      </c>
      <c r="E378" s="6" t="s">
        <v>1022</v>
      </c>
      <c r="F378" s="6" t="s">
        <v>1004</v>
      </c>
      <c r="G378" s="6" t="s">
        <v>716</v>
      </c>
      <c r="H378" s="25">
        <v>39000</v>
      </c>
      <c r="I378" s="38">
        <v>0</v>
      </c>
      <c r="J378" s="38">
        <v>0</v>
      </c>
      <c r="K378" s="39">
        <f t="shared" si="40"/>
        <v>0</v>
      </c>
      <c r="L378" s="38">
        <v>0</v>
      </c>
      <c r="M378" s="38">
        <v>0</v>
      </c>
      <c r="N378" s="39">
        <f t="shared" si="41"/>
        <v>0</v>
      </c>
      <c r="O378" s="38">
        <v>0</v>
      </c>
      <c r="P378" s="38">
        <v>0</v>
      </c>
      <c r="Q378" s="39">
        <f t="shared" si="42"/>
        <v>0</v>
      </c>
      <c r="R378" s="38">
        <v>25</v>
      </c>
      <c r="S378" s="38">
        <v>5</v>
      </c>
      <c r="T378" s="39">
        <f t="shared" si="43"/>
        <v>4875000</v>
      </c>
      <c r="U378" s="38">
        <v>0</v>
      </c>
      <c r="V378" s="38">
        <v>0</v>
      </c>
      <c r="W378" s="39">
        <f t="shared" si="44"/>
        <v>0</v>
      </c>
      <c r="X378" s="38"/>
      <c r="Y378" s="38"/>
      <c r="Z378" s="39">
        <f t="shared" si="45"/>
        <v>0</v>
      </c>
      <c r="AA378" s="38"/>
      <c r="AB378" s="38"/>
      <c r="AC378" s="39">
        <f t="shared" si="46"/>
        <v>0</v>
      </c>
      <c r="AD378" s="38"/>
      <c r="AE378" s="38"/>
      <c r="AF378" s="39">
        <f t="shared" si="47"/>
        <v>0</v>
      </c>
    </row>
    <row r="379" spans="2:32" ht="15" customHeight="1" x14ac:dyDescent="0.3">
      <c r="B379" s="2" t="s">
        <v>836</v>
      </c>
      <c r="C379" s="4" t="s">
        <v>992</v>
      </c>
      <c r="D379" s="3" t="s">
        <v>1011</v>
      </c>
      <c r="E379" s="6" t="s">
        <v>1022</v>
      </c>
      <c r="F379" s="6" t="s">
        <v>1004</v>
      </c>
      <c r="G379" s="6" t="s">
        <v>712</v>
      </c>
      <c r="H379" s="25">
        <v>214.29</v>
      </c>
      <c r="I379" s="38">
        <v>0</v>
      </c>
      <c r="J379" s="38">
        <v>0</v>
      </c>
      <c r="K379" s="39">
        <f t="shared" si="40"/>
        <v>0</v>
      </c>
      <c r="L379" s="38">
        <v>0</v>
      </c>
      <c r="M379" s="38">
        <v>0</v>
      </c>
      <c r="N379" s="39">
        <f t="shared" si="41"/>
        <v>0</v>
      </c>
      <c r="O379" s="38">
        <v>0</v>
      </c>
      <c r="P379" s="38">
        <v>0</v>
      </c>
      <c r="Q379" s="39">
        <f t="shared" si="42"/>
        <v>0</v>
      </c>
      <c r="R379" s="38">
        <v>25</v>
      </c>
      <c r="S379" s="38">
        <v>6</v>
      </c>
      <c r="T379" s="39">
        <f t="shared" si="43"/>
        <v>32143.5</v>
      </c>
      <c r="U379" s="38">
        <v>0</v>
      </c>
      <c r="V379" s="38">
        <v>0</v>
      </c>
      <c r="W379" s="39">
        <f t="shared" si="44"/>
        <v>0</v>
      </c>
      <c r="X379" s="38"/>
      <c r="Y379" s="38"/>
      <c r="Z379" s="39">
        <f t="shared" si="45"/>
        <v>0</v>
      </c>
      <c r="AA379" s="38"/>
      <c r="AB379" s="38"/>
      <c r="AC379" s="39">
        <f t="shared" si="46"/>
        <v>0</v>
      </c>
      <c r="AD379" s="38"/>
      <c r="AE379" s="38"/>
      <c r="AF379" s="39">
        <f t="shared" si="47"/>
        <v>0</v>
      </c>
    </row>
    <row r="380" spans="2:32" ht="15" customHeight="1" x14ac:dyDescent="0.3">
      <c r="B380" s="2" t="s">
        <v>836</v>
      </c>
      <c r="C380" s="4" t="s">
        <v>992</v>
      </c>
      <c r="D380" s="3" t="s">
        <v>1011</v>
      </c>
      <c r="E380" s="6" t="s">
        <v>1022</v>
      </c>
      <c r="F380" s="6" t="s">
        <v>1028</v>
      </c>
      <c r="G380" s="6" t="s">
        <v>841</v>
      </c>
      <c r="H380" s="25">
        <v>0</v>
      </c>
      <c r="I380" s="38">
        <v>0</v>
      </c>
      <c r="J380" s="38">
        <v>0</v>
      </c>
      <c r="K380" s="39">
        <f t="shared" si="40"/>
        <v>0</v>
      </c>
      <c r="L380" s="38">
        <v>0</v>
      </c>
      <c r="M380" s="38">
        <v>0</v>
      </c>
      <c r="N380" s="39">
        <f t="shared" si="41"/>
        <v>0</v>
      </c>
      <c r="O380" s="38">
        <v>0</v>
      </c>
      <c r="P380" s="38">
        <v>0</v>
      </c>
      <c r="Q380" s="39">
        <f t="shared" si="42"/>
        <v>0</v>
      </c>
      <c r="R380" s="38">
        <v>4000</v>
      </c>
      <c r="S380" s="38">
        <v>1</v>
      </c>
      <c r="T380" s="39">
        <f t="shared" si="43"/>
        <v>0</v>
      </c>
      <c r="U380" s="38">
        <v>0</v>
      </c>
      <c r="V380" s="38">
        <v>0</v>
      </c>
      <c r="W380" s="39">
        <f t="shared" si="44"/>
        <v>0</v>
      </c>
      <c r="X380" s="38"/>
      <c r="Y380" s="38"/>
      <c r="Z380" s="39">
        <f t="shared" si="45"/>
        <v>0</v>
      </c>
      <c r="AA380" s="38"/>
      <c r="AB380" s="38"/>
      <c r="AC380" s="39">
        <f t="shared" si="46"/>
        <v>0</v>
      </c>
      <c r="AD380" s="38"/>
      <c r="AE380" s="38"/>
      <c r="AF380" s="39">
        <f t="shared" si="47"/>
        <v>0</v>
      </c>
    </row>
    <row r="381" spans="2:32" ht="15" customHeight="1" x14ac:dyDescent="0.3">
      <c r="B381" s="2" t="s">
        <v>836</v>
      </c>
      <c r="C381" s="4" t="s">
        <v>992</v>
      </c>
      <c r="D381" s="3" t="s">
        <v>1011</v>
      </c>
      <c r="E381" s="6" t="s">
        <v>1022</v>
      </c>
      <c r="F381" s="6" t="s">
        <v>168</v>
      </c>
      <c r="G381" s="6" t="s">
        <v>709</v>
      </c>
      <c r="H381" s="25">
        <v>28000</v>
      </c>
      <c r="I381" s="38">
        <v>0</v>
      </c>
      <c r="J381" s="38">
        <v>0</v>
      </c>
      <c r="K381" s="39">
        <f t="shared" si="40"/>
        <v>0</v>
      </c>
      <c r="L381" s="38">
        <v>0</v>
      </c>
      <c r="M381" s="38">
        <v>0</v>
      </c>
      <c r="N381" s="39">
        <f t="shared" si="41"/>
        <v>0</v>
      </c>
      <c r="O381" s="38">
        <v>0</v>
      </c>
      <c r="P381" s="38">
        <v>0</v>
      </c>
      <c r="Q381" s="39">
        <f t="shared" si="42"/>
        <v>0</v>
      </c>
      <c r="R381" s="38">
        <v>0</v>
      </c>
      <c r="S381" s="38">
        <v>0</v>
      </c>
      <c r="T381" s="39">
        <f t="shared" si="43"/>
        <v>0</v>
      </c>
      <c r="U381" s="38">
        <v>0</v>
      </c>
      <c r="V381" s="38">
        <v>0</v>
      </c>
      <c r="W381" s="39">
        <f t="shared" si="44"/>
        <v>0</v>
      </c>
      <c r="X381" s="38"/>
      <c r="Y381" s="38"/>
      <c r="Z381" s="39">
        <f t="shared" si="45"/>
        <v>0</v>
      </c>
      <c r="AA381" s="38"/>
      <c r="AB381" s="38"/>
      <c r="AC381" s="39">
        <f t="shared" si="46"/>
        <v>0</v>
      </c>
      <c r="AD381" s="38"/>
      <c r="AE381" s="38"/>
      <c r="AF381" s="39">
        <f t="shared" si="47"/>
        <v>0</v>
      </c>
    </row>
    <row r="382" spans="2:32" ht="15" customHeight="1" x14ac:dyDescent="0.3">
      <c r="B382" s="2" t="s">
        <v>836</v>
      </c>
      <c r="C382" s="4" t="s">
        <v>992</v>
      </c>
      <c r="D382" s="3" t="s">
        <v>1011</v>
      </c>
      <c r="E382" s="6" t="s">
        <v>1022</v>
      </c>
      <c r="F382" s="6" t="s">
        <v>168</v>
      </c>
      <c r="G382" s="6" t="s">
        <v>1029</v>
      </c>
      <c r="H382" s="25">
        <v>214.29</v>
      </c>
      <c r="I382" s="38">
        <v>0</v>
      </c>
      <c r="J382" s="38">
        <v>0</v>
      </c>
      <c r="K382" s="39">
        <f t="shared" si="40"/>
        <v>0</v>
      </c>
      <c r="L382" s="38">
        <v>0</v>
      </c>
      <c r="M382" s="38">
        <v>0</v>
      </c>
      <c r="N382" s="39">
        <f t="shared" si="41"/>
        <v>0</v>
      </c>
      <c r="O382" s="38">
        <v>0</v>
      </c>
      <c r="P382" s="38">
        <v>0</v>
      </c>
      <c r="Q382" s="39">
        <f t="shared" si="42"/>
        <v>0</v>
      </c>
      <c r="R382" s="38">
        <v>30</v>
      </c>
      <c r="S382" s="38">
        <v>1</v>
      </c>
      <c r="T382" s="39">
        <f t="shared" si="43"/>
        <v>6428.7</v>
      </c>
      <c r="U382" s="38">
        <v>0</v>
      </c>
      <c r="V382" s="38">
        <v>0</v>
      </c>
      <c r="W382" s="39">
        <f t="shared" si="44"/>
        <v>0</v>
      </c>
      <c r="X382" s="38"/>
      <c r="Y382" s="38"/>
      <c r="Z382" s="39">
        <f t="shared" si="45"/>
        <v>0</v>
      </c>
      <c r="AA382" s="38"/>
      <c r="AB382" s="38"/>
      <c r="AC382" s="39">
        <f t="shared" si="46"/>
        <v>0</v>
      </c>
      <c r="AD382" s="38"/>
      <c r="AE382" s="38"/>
      <c r="AF382" s="39">
        <f t="shared" si="47"/>
        <v>0</v>
      </c>
    </row>
    <row r="383" spans="2:32" ht="15" customHeight="1" x14ac:dyDescent="0.3">
      <c r="B383" s="2" t="s">
        <v>836</v>
      </c>
      <c r="C383" s="4" t="s">
        <v>992</v>
      </c>
      <c r="D383" s="3" t="s">
        <v>1011</v>
      </c>
      <c r="E383" s="6" t="s">
        <v>1022</v>
      </c>
      <c r="F383" s="6" t="s">
        <v>1030</v>
      </c>
      <c r="G383" s="6" t="s">
        <v>709</v>
      </c>
      <c r="H383" s="25">
        <v>28000</v>
      </c>
      <c r="I383" s="38">
        <v>0</v>
      </c>
      <c r="J383" s="38">
        <v>0</v>
      </c>
      <c r="K383" s="39">
        <f t="shared" si="40"/>
        <v>0</v>
      </c>
      <c r="L383" s="38">
        <v>0</v>
      </c>
      <c r="M383" s="38">
        <v>0</v>
      </c>
      <c r="N383" s="39">
        <f t="shared" si="41"/>
        <v>0</v>
      </c>
      <c r="O383" s="38">
        <v>0</v>
      </c>
      <c r="P383" s="38">
        <v>0</v>
      </c>
      <c r="Q383" s="39">
        <f t="shared" si="42"/>
        <v>0</v>
      </c>
      <c r="R383" s="38">
        <v>8000</v>
      </c>
      <c r="S383" s="38">
        <v>1</v>
      </c>
      <c r="T383" s="39">
        <f t="shared" si="43"/>
        <v>224000000</v>
      </c>
      <c r="U383" s="38">
        <v>0</v>
      </c>
      <c r="V383" s="38">
        <v>0</v>
      </c>
      <c r="W383" s="39">
        <f t="shared" si="44"/>
        <v>0</v>
      </c>
      <c r="X383" s="38"/>
      <c r="Y383" s="38"/>
      <c r="Z383" s="39">
        <f t="shared" si="45"/>
        <v>0</v>
      </c>
      <c r="AA383" s="38"/>
      <c r="AB383" s="38"/>
      <c r="AC383" s="39">
        <f t="shared" si="46"/>
        <v>0</v>
      </c>
      <c r="AD383" s="38"/>
      <c r="AE383" s="38"/>
      <c r="AF383" s="39">
        <f t="shared" si="47"/>
        <v>0</v>
      </c>
    </row>
    <row r="384" spans="2:32" ht="15" customHeight="1" x14ac:dyDescent="0.3">
      <c r="B384" s="2" t="s">
        <v>836</v>
      </c>
      <c r="C384" s="4" t="s">
        <v>992</v>
      </c>
      <c r="D384" s="3" t="s">
        <v>1011</v>
      </c>
      <c r="E384" s="6" t="s">
        <v>1022</v>
      </c>
      <c r="F384" s="6" t="s">
        <v>856</v>
      </c>
      <c r="G384" s="6" t="s">
        <v>841</v>
      </c>
      <c r="H384" s="25">
        <v>0</v>
      </c>
      <c r="I384" s="38">
        <v>0</v>
      </c>
      <c r="J384" s="38">
        <v>0</v>
      </c>
      <c r="K384" s="39">
        <f t="shared" si="40"/>
        <v>0</v>
      </c>
      <c r="L384" s="38">
        <v>0</v>
      </c>
      <c r="M384" s="38">
        <v>0</v>
      </c>
      <c r="N384" s="39">
        <f t="shared" si="41"/>
        <v>0</v>
      </c>
      <c r="O384" s="38">
        <v>0</v>
      </c>
      <c r="P384" s="38">
        <v>0</v>
      </c>
      <c r="Q384" s="39">
        <f t="shared" si="42"/>
        <v>0</v>
      </c>
      <c r="R384" s="38">
        <v>30</v>
      </c>
      <c r="S384" s="38">
        <v>0.5</v>
      </c>
      <c r="T384" s="39">
        <f t="shared" si="43"/>
        <v>0</v>
      </c>
      <c r="U384" s="38">
        <v>0</v>
      </c>
      <c r="V384" s="38">
        <v>0</v>
      </c>
      <c r="W384" s="39">
        <f t="shared" si="44"/>
        <v>0</v>
      </c>
      <c r="X384" s="38"/>
      <c r="Y384" s="38"/>
      <c r="Z384" s="39">
        <f t="shared" si="45"/>
        <v>0</v>
      </c>
      <c r="AA384" s="38"/>
      <c r="AB384" s="38"/>
      <c r="AC384" s="39">
        <f t="shared" si="46"/>
        <v>0</v>
      </c>
      <c r="AD384" s="38"/>
      <c r="AE384" s="38"/>
      <c r="AF384" s="39">
        <f t="shared" si="47"/>
        <v>0</v>
      </c>
    </row>
    <row r="385" spans="2:32" ht="15" customHeight="1" x14ac:dyDescent="0.3">
      <c r="B385" s="2" t="s">
        <v>836</v>
      </c>
      <c r="C385" s="4" t="s">
        <v>992</v>
      </c>
      <c r="D385" s="3" t="s">
        <v>1011</v>
      </c>
      <c r="E385" s="6" t="s">
        <v>1022</v>
      </c>
      <c r="F385" s="6" t="s">
        <v>945</v>
      </c>
      <c r="G385" s="6" t="s">
        <v>841</v>
      </c>
      <c r="H385" s="25">
        <v>0</v>
      </c>
      <c r="I385" s="38">
        <v>0</v>
      </c>
      <c r="J385" s="38">
        <v>0</v>
      </c>
      <c r="K385" s="39">
        <f t="shared" si="40"/>
        <v>0</v>
      </c>
      <c r="L385" s="38">
        <v>0</v>
      </c>
      <c r="M385" s="38">
        <v>0</v>
      </c>
      <c r="N385" s="39">
        <f t="shared" si="41"/>
        <v>0</v>
      </c>
      <c r="O385" s="38">
        <v>0</v>
      </c>
      <c r="P385" s="38">
        <v>0</v>
      </c>
      <c r="Q385" s="39">
        <f t="shared" si="42"/>
        <v>0</v>
      </c>
      <c r="R385" s="38">
        <v>10</v>
      </c>
      <c r="S385" s="38">
        <v>1</v>
      </c>
      <c r="T385" s="39">
        <f t="shared" si="43"/>
        <v>0</v>
      </c>
      <c r="U385" s="38">
        <v>0</v>
      </c>
      <c r="V385" s="38">
        <v>0</v>
      </c>
      <c r="W385" s="39">
        <f t="shared" si="44"/>
        <v>0</v>
      </c>
      <c r="X385" s="38"/>
      <c r="Y385" s="38"/>
      <c r="Z385" s="39">
        <f t="shared" si="45"/>
        <v>0</v>
      </c>
      <c r="AA385" s="38"/>
      <c r="AB385" s="38"/>
      <c r="AC385" s="39">
        <f t="shared" si="46"/>
        <v>0</v>
      </c>
      <c r="AD385" s="38"/>
      <c r="AE385" s="38"/>
      <c r="AF385" s="39">
        <f t="shared" si="47"/>
        <v>0</v>
      </c>
    </row>
    <row r="386" spans="2:32" ht="15" customHeight="1" x14ac:dyDescent="0.3">
      <c r="B386" s="2" t="s">
        <v>836</v>
      </c>
      <c r="C386" s="4" t="s">
        <v>992</v>
      </c>
      <c r="D386" s="3" t="s">
        <v>1011</v>
      </c>
      <c r="E386" s="6" t="s">
        <v>1022</v>
      </c>
      <c r="F386" s="6" t="s">
        <v>1031</v>
      </c>
      <c r="G386" s="6" t="s">
        <v>841</v>
      </c>
      <c r="H386" s="25">
        <v>0</v>
      </c>
      <c r="I386" s="38">
        <v>0</v>
      </c>
      <c r="J386" s="38">
        <v>0</v>
      </c>
      <c r="K386" s="39">
        <f t="shared" si="40"/>
        <v>0</v>
      </c>
      <c r="L386" s="38">
        <v>0</v>
      </c>
      <c r="M386" s="38">
        <v>0</v>
      </c>
      <c r="N386" s="39">
        <f t="shared" si="41"/>
        <v>0</v>
      </c>
      <c r="O386" s="38">
        <v>0</v>
      </c>
      <c r="P386" s="38">
        <v>0</v>
      </c>
      <c r="Q386" s="39">
        <f t="shared" si="42"/>
        <v>0</v>
      </c>
      <c r="R386" s="38"/>
      <c r="S386" s="38"/>
      <c r="T386" s="39">
        <f t="shared" si="43"/>
        <v>0</v>
      </c>
      <c r="U386" s="38">
        <v>0</v>
      </c>
      <c r="V386" s="38">
        <v>0</v>
      </c>
      <c r="W386" s="39">
        <f t="shared" si="44"/>
        <v>0</v>
      </c>
      <c r="X386" s="38"/>
      <c r="Y386" s="38"/>
      <c r="Z386" s="39">
        <f t="shared" si="45"/>
        <v>0</v>
      </c>
      <c r="AA386" s="38"/>
      <c r="AB386" s="38"/>
      <c r="AC386" s="39">
        <f t="shared" si="46"/>
        <v>0</v>
      </c>
      <c r="AD386" s="38"/>
      <c r="AE386" s="38"/>
      <c r="AF386" s="39">
        <f t="shared" si="47"/>
        <v>0</v>
      </c>
    </row>
    <row r="387" spans="2:32" ht="15" customHeight="1" x14ac:dyDescent="0.3">
      <c r="B387" s="2" t="s">
        <v>836</v>
      </c>
      <c r="C387" s="4" t="s">
        <v>992</v>
      </c>
      <c r="D387" s="3" t="s">
        <v>1011</v>
      </c>
      <c r="E387" s="6" t="s">
        <v>1032</v>
      </c>
      <c r="F387" s="6" t="s">
        <v>1033</v>
      </c>
      <c r="G387" s="6" t="s">
        <v>841</v>
      </c>
      <c r="H387" s="25">
        <v>0</v>
      </c>
      <c r="I387" s="38">
        <v>0</v>
      </c>
      <c r="J387" s="38">
        <v>0</v>
      </c>
      <c r="K387" s="39">
        <f t="shared" ref="K387:K450" si="48">H387*I387*J387</f>
        <v>0</v>
      </c>
      <c r="L387" s="38">
        <v>0</v>
      </c>
      <c r="M387" s="38">
        <v>0</v>
      </c>
      <c r="N387" s="39">
        <f t="shared" ref="N387:N450" si="49">H387*L387*M387</f>
        <v>0</v>
      </c>
      <c r="O387" s="38">
        <v>0</v>
      </c>
      <c r="P387" s="38">
        <v>0</v>
      </c>
      <c r="Q387" s="39">
        <f t="shared" ref="Q387:Q450" si="50">H387*O387*P387</f>
        <v>0</v>
      </c>
      <c r="R387" s="38"/>
      <c r="S387" s="38"/>
      <c r="T387" s="39">
        <f t="shared" ref="T387:T450" si="51">H387*R387*S387</f>
        <v>0</v>
      </c>
      <c r="U387" s="38">
        <v>0</v>
      </c>
      <c r="V387" s="38">
        <v>0</v>
      </c>
      <c r="W387" s="39">
        <f t="shared" ref="W387:W450" si="52">H387*U387*V387</f>
        <v>0</v>
      </c>
      <c r="X387" s="38"/>
      <c r="Y387" s="38"/>
      <c r="Z387" s="39">
        <f t="shared" ref="Z387:Z450" si="53">H387*X387*Y387</f>
        <v>0</v>
      </c>
      <c r="AA387" s="38"/>
      <c r="AB387" s="38"/>
      <c r="AC387" s="39">
        <f t="shared" ref="AC387:AC450" si="54">H387*AA387*AB387</f>
        <v>0</v>
      </c>
      <c r="AD387" s="38"/>
      <c r="AE387" s="38"/>
      <c r="AF387" s="39">
        <f t="shared" ref="AF387:AF450" si="55">H387*AD387*AE387</f>
        <v>0</v>
      </c>
    </row>
    <row r="388" spans="2:32" ht="15" customHeight="1" x14ac:dyDescent="0.3">
      <c r="B388" s="2" t="s">
        <v>836</v>
      </c>
      <c r="C388" s="4" t="s">
        <v>992</v>
      </c>
      <c r="D388" s="3" t="s">
        <v>1011</v>
      </c>
      <c r="E388" s="6" t="s">
        <v>1032</v>
      </c>
      <c r="F388" s="6" t="s">
        <v>1034</v>
      </c>
      <c r="G388" s="6" t="s">
        <v>841</v>
      </c>
      <c r="H388" s="25">
        <v>0</v>
      </c>
      <c r="I388" s="38">
        <v>0</v>
      </c>
      <c r="J388" s="38">
        <v>0</v>
      </c>
      <c r="K388" s="39">
        <f t="shared" si="48"/>
        <v>0</v>
      </c>
      <c r="L388" s="38">
        <v>0</v>
      </c>
      <c r="M388" s="38">
        <v>0</v>
      </c>
      <c r="N388" s="39">
        <f t="shared" si="49"/>
        <v>0</v>
      </c>
      <c r="O388" s="38">
        <v>0</v>
      </c>
      <c r="P388" s="38">
        <v>0</v>
      </c>
      <c r="Q388" s="39">
        <f t="shared" si="50"/>
        <v>0</v>
      </c>
      <c r="R388" s="38"/>
      <c r="S388" s="38"/>
      <c r="T388" s="39">
        <f t="shared" si="51"/>
        <v>0</v>
      </c>
      <c r="U388" s="38"/>
      <c r="V388" s="38"/>
      <c r="W388" s="39">
        <f t="shared" si="52"/>
        <v>0</v>
      </c>
      <c r="X388" s="38"/>
      <c r="Y388" s="38"/>
      <c r="Z388" s="39">
        <f t="shared" si="53"/>
        <v>0</v>
      </c>
      <c r="AA388" s="38"/>
      <c r="AB388" s="38"/>
      <c r="AC388" s="39">
        <f t="shared" si="54"/>
        <v>0</v>
      </c>
      <c r="AD388" s="38"/>
      <c r="AE388" s="38"/>
      <c r="AF388" s="39">
        <f t="shared" si="55"/>
        <v>0</v>
      </c>
    </row>
    <row r="389" spans="2:32" ht="15" customHeight="1" x14ac:dyDescent="0.3">
      <c r="B389" s="2" t="s">
        <v>836</v>
      </c>
      <c r="C389" s="4" t="s">
        <v>992</v>
      </c>
      <c r="D389" s="3" t="s">
        <v>1011</v>
      </c>
      <c r="E389" s="6" t="s">
        <v>1032</v>
      </c>
      <c r="F389" s="6" t="s">
        <v>1035</v>
      </c>
      <c r="G389" s="6" t="s">
        <v>709</v>
      </c>
      <c r="H389" s="25">
        <v>28000</v>
      </c>
      <c r="I389" s="38">
        <v>0</v>
      </c>
      <c r="J389" s="38">
        <v>0</v>
      </c>
      <c r="K389" s="39">
        <f t="shared" si="48"/>
        <v>0</v>
      </c>
      <c r="L389" s="38">
        <v>0</v>
      </c>
      <c r="M389" s="38">
        <v>0</v>
      </c>
      <c r="N389" s="39">
        <f t="shared" si="49"/>
        <v>0</v>
      </c>
      <c r="O389" s="38">
        <v>0</v>
      </c>
      <c r="P389" s="38">
        <v>0</v>
      </c>
      <c r="Q389" s="39">
        <f t="shared" si="50"/>
        <v>0</v>
      </c>
      <c r="R389" s="38"/>
      <c r="S389" s="38"/>
      <c r="T389" s="39">
        <f t="shared" si="51"/>
        <v>0</v>
      </c>
      <c r="U389" s="38"/>
      <c r="V389" s="38"/>
      <c r="W389" s="39">
        <f t="shared" si="52"/>
        <v>0</v>
      </c>
      <c r="X389" s="38"/>
      <c r="Y389" s="38"/>
      <c r="Z389" s="39">
        <f t="shared" si="53"/>
        <v>0</v>
      </c>
      <c r="AA389" s="38"/>
      <c r="AB389" s="38"/>
      <c r="AC389" s="39">
        <f t="shared" si="54"/>
        <v>0</v>
      </c>
      <c r="AD389" s="38"/>
      <c r="AE389" s="38"/>
      <c r="AF389" s="39">
        <f t="shared" si="55"/>
        <v>0</v>
      </c>
    </row>
    <row r="390" spans="2:32" ht="15" customHeight="1" x14ac:dyDescent="0.3">
      <c r="B390" s="2" t="s">
        <v>836</v>
      </c>
      <c r="C390" s="4" t="s">
        <v>992</v>
      </c>
      <c r="D390" s="3" t="s">
        <v>1011</v>
      </c>
      <c r="E390" s="6" t="s">
        <v>1032</v>
      </c>
      <c r="F390" s="6" t="s">
        <v>1036</v>
      </c>
      <c r="G390" s="6" t="s">
        <v>841</v>
      </c>
      <c r="H390" s="25">
        <v>0</v>
      </c>
      <c r="I390" s="38">
        <v>0</v>
      </c>
      <c r="J390" s="38">
        <v>0</v>
      </c>
      <c r="K390" s="39">
        <f t="shared" si="48"/>
        <v>0</v>
      </c>
      <c r="L390" s="38">
        <v>0</v>
      </c>
      <c r="M390" s="38">
        <v>0</v>
      </c>
      <c r="N390" s="39">
        <f t="shared" si="49"/>
        <v>0</v>
      </c>
      <c r="O390" s="38">
        <v>0</v>
      </c>
      <c r="P390" s="38">
        <v>0</v>
      </c>
      <c r="Q390" s="39">
        <f t="shared" si="50"/>
        <v>0</v>
      </c>
      <c r="R390" s="38">
        <v>0</v>
      </c>
      <c r="S390" s="38">
        <v>0</v>
      </c>
      <c r="T390" s="39">
        <f t="shared" si="51"/>
        <v>0</v>
      </c>
      <c r="U390" s="38">
        <v>0</v>
      </c>
      <c r="V390" s="38">
        <v>0</v>
      </c>
      <c r="W390" s="39">
        <f t="shared" si="52"/>
        <v>0</v>
      </c>
      <c r="X390" s="38"/>
      <c r="Y390" s="38"/>
      <c r="Z390" s="39">
        <f t="shared" si="53"/>
        <v>0</v>
      </c>
      <c r="AA390" s="38"/>
      <c r="AB390" s="38"/>
      <c r="AC390" s="39">
        <f t="shared" si="54"/>
        <v>0</v>
      </c>
      <c r="AD390" s="38"/>
      <c r="AE390" s="38"/>
      <c r="AF390" s="39">
        <f t="shared" si="55"/>
        <v>0</v>
      </c>
    </row>
    <row r="391" spans="2:32" ht="15" customHeight="1" x14ac:dyDescent="0.3">
      <c r="B391" s="2" t="s">
        <v>836</v>
      </c>
      <c r="C391" s="4" t="s">
        <v>992</v>
      </c>
      <c r="D391" s="3" t="s">
        <v>1011</v>
      </c>
      <c r="E391" s="6" t="s">
        <v>1032</v>
      </c>
      <c r="F391" s="6" t="s">
        <v>1037</v>
      </c>
      <c r="G391" s="6" t="s">
        <v>841</v>
      </c>
      <c r="H391" s="25">
        <v>0</v>
      </c>
      <c r="I391" s="38">
        <v>0</v>
      </c>
      <c r="J391" s="38">
        <v>0</v>
      </c>
      <c r="K391" s="39">
        <f t="shared" si="48"/>
        <v>0</v>
      </c>
      <c r="L391" s="38">
        <v>0</v>
      </c>
      <c r="M391" s="38">
        <v>0</v>
      </c>
      <c r="N391" s="39">
        <f t="shared" si="49"/>
        <v>0</v>
      </c>
      <c r="O391" s="38">
        <v>0</v>
      </c>
      <c r="P391" s="38">
        <v>0</v>
      </c>
      <c r="Q391" s="39">
        <f t="shared" si="50"/>
        <v>0</v>
      </c>
      <c r="R391" s="38">
        <v>0</v>
      </c>
      <c r="S391" s="38">
        <v>0</v>
      </c>
      <c r="T391" s="39">
        <f t="shared" si="51"/>
        <v>0</v>
      </c>
      <c r="U391" s="38">
        <v>0</v>
      </c>
      <c r="V391" s="38">
        <v>0</v>
      </c>
      <c r="W391" s="39">
        <f t="shared" si="52"/>
        <v>0</v>
      </c>
      <c r="X391" s="38"/>
      <c r="Y391" s="38"/>
      <c r="Z391" s="39">
        <f t="shared" si="53"/>
        <v>0</v>
      </c>
      <c r="AA391" s="38"/>
      <c r="AB391" s="38"/>
      <c r="AC391" s="39">
        <f t="shared" si="54"/>
        <v>0</v>
      </c>
      <c r="AD391" s="38"/>
      <c r="AE391" s="38"/>
      <c r="AF391" s="39">
        <f t="shared" si="55"/>
        <v>0</v>
      </c>
    </row>
    <row r="392" spans="2:32" ht="15" customHeight="1" x14ac:dyDescent="0.3">
      <c r="B392" s="2" t="s">
        <v>836</v>
      </c>
      <c r="C392" s="4" t="s">
        <v>992</v>
      </c>
      <c r="D392" s="3" t="s">
        <v>1011</v>
      </c>
      <c r="E392" s="6" t="s">
        <v>1038</v>
      </c>
      <c r="F392" s="6" t="s">
        <v>155</v>
      </c>
      <c r="G392" s="6" t="s">
        <v>841</v>
      </c>
      <c r="H392" s="25">
        <v>0</v>
      </c>
      <c r="I392" s="38">
        <v>0</v>
      </c>
      <c r="J392" s="38">
        <v>0</v>
      </c>
      <c r="K392" s="39">
        <f t="shared" si="48"/>
        <v>0</v>
      </c>
      <c r="L392" s="38">
        <v>0</v>
      </c>
      <c r="M392" s="38">
        <v>0</v>
      </c>
      <c r="N392" s="39">
        <f t="shared" si="49"/>
        <v>0</v>
      </c>
      <c r="O392" s="38">
        <v>0</v>
      </c>
      <c r="P392" s="38">
        <v>0</v>
      </c>
      <c r="Q392" s="39">
        <f t="shared" si="50"/>
        <v>0</v>
      </c>
      <c r="R392" s="38">
        <v>0</v>
      </c>
      <c r="S392" s="38">
        <v>0</v>
      </c>
      <c r="T392" s="39">
        <f t="shared" si="51"/>
        <v>0</v>
      </c>
      <c r="U392" s="38">
        <v>0</v>
      </c>
      <c r="V392" s="38">
        <v>0</v>
      </c>
      <c r="W392" s="39">
        <f t="shared" si="52"/>
        <v>0</v>
      </c>
      <c r="X392" s="38"/>
      <c r="Y392" s="38"/>
      <c r="Z392" s="39">
        <f t="shared" si="53"/>
        <v>0</v>
      </c>
      <c r="AA392" s="38"/>
      <c r="AB392" s="38"/>
      <c r="AC392" s="39">
        <f t="shared" si="54"/>
        <v>0</v>
      </c>
      <c r="AD392" s="38"/>
      <c r="AE392" s="38"/>
      <c r="AF392" s="39">
        <f t="shared" si="55"/>
        <v>0</v>
      </c>
    </row>
    <row r="393" spans="2:32" ht="15" customHeight="1" x14ac:dyDescent="0.3">
      <c r="B393" s="2" t="s">
        <v>836</v>
      </c>
      <c r="C393" s="4" t="s">
        <v>992</v>
      </c>
      <c r="D393" s="3" t="s">
        <v>1011</v>
      </c>
      <c r="E393" s="6" t="s">
        <v>1038</v>
      </c>
      <c r="F393" s="6" t="s">
        <v>169</v>
      </c>
      <c r="G393" s="6" t="s">
        <v>841</v>
      </c>
      <c r="H393" s="25">
        <v>0</v>
      </c>
      <c r="I393" s="38">
        <v>0</v>
      </c>
      <c r="J393" s="38">
        <v>0</v>
      </c>
      <c r="K393" s="39">
        <f t="shared" si="48"/>
        <v>0</v>
      </c>
      <c r="L393" s="38">
        <v>0</v>
      </c>
      <c r="M393" s="38">
        <v>0</v>
      </c>
      <c r="N393" s="39">
        <f t="shared" si="49"/>
        <v>0</v>
      </c>
      <c r="O393" s="38">
        <v>0</v>
      </c>
      <c r="P393" s="38">
        <v>0</v>
      </c>
      <c r="Q393" s="39">
        <f t="shared" si="50"/>
        <v>0</v>
      </c>
      <c r="R393" s="38">
        <v>0</v>
      </c>
      <c r="S393" s="38">
        <v>0</v>
      </c>
      <c r="T393" s="39">
        <f t="shared" si="51"/>
        <v>0</v>
      </c>
      <c r="U393" s="38">
        <v>0</v>
      </c>
      <c r="V393" s="38">
        <v>0</v>
      </c>
      <c r="W393" s="39">
        <f t="shared" si="52"/>
        <v>0</v>
      </c>
      <c r="X393" s="38"/>
      <c r="Y393" s="38"/>
      <c r="Z393" s="39">
        <f t="shared" si="53"/>
        <v>0</v>
      </c>
      <c r="AA393" s="38"/>
      <c r="AB393" s="38"/>
      <c r="AC393" s="39">
        <f t="shared" si="54"/>
        <v>0</v>
      </c>
      <c r="AD393" s="38"/>
      <c r="AE393" s="38"/>
      <c r="AF393" s="39">
        <f t="shared" si="55"/>
        <v>0</v>
      </c>
    </row>
    <row r="394" spans="2:32" ht="15" customHeight="1" x14ac:dyDescent="0.3">
      <c r="B394" s="2" t="s">
        <v>836</v>
      </c>
      <c r="C394" s="4" t="s">
        <v>992</v>
      </c>
      <c r="D394" s="3" t="s">
        <v>1011</v>
      </c>
      <c r="E394" s="6" t="s">
        <v>1038</v>
      </c>
      <c r="F394" s="6" t="s">
        <v>1039</v>
      </c>
      <c r="G394" s="6" t="s">
        <v>841</v>
      </c>
      <c r="H394" s="25">
        <v>0</v>
      </c>
      <c r="I394" s="38">
        <v>0</v>
      </c>
      <c r="J394" s="38">
        <v>0</v>
      </c>
      <c r="K394" s="39">
        <f t="shared" si="48"/>
        <v>0</v>
      </c>
      <c r="L394" s="38">
        <v>0</v>
      </c>
      <c r="M394" s="38">
        <v>0</v>
      </c>
      <c r="N394" s="39">
        <f t="shared" si="49"/>
        <v>0</v>
      </c>
      <c r="O394" s="38">
        <v>0</v>
      </c>
      <c r="P394" s="38">
        <v>0</v>
      </c>
      <c r="Q394" s="39">
        <f t="shared" si="50"/>
        <v>0</v>
      </c>
      <c r="R394" s="38">
        <v>0</v>
      </c>
      <c r="S394" s="38">
        <v>0</v>
      </c>
      <c r="T394" s="39">
        <f t="shared" si="51"/>
        <v>0</v>
      </c>
      <c r="U394" s="38">
        <v>0</v>
      </c>
      <c r="V394" s="38">
        <v>0</v>
      </c>
      <c r="W394" s="39">
        <f t="shared" si="52"/>
        <v>0</v>
      </c>
      <c r="X394" s="38"/>
      <c r="Y394" s="38"/>
      <c r="Z394" s="39">
        <f t="shared" si="53"/>
        <v>0</v>
      </c>
      <c r="AA394" s="38"/>
      <c r="AB394" s="38"/>
      <c r="AC394" s="39">
        <f t="shared" si="54"/>
        <v>0</v>
      </c>
      <c r="AD394" s="38"/>
      <c r="AE394" s="38"/>
      <c r="AF394" s="39">
        <f t="shared" si="55"/>
        <v>0</v>
      </c>
    </row>
    <row r="395" spans="2:32" ht="15" customHeight="1" x14ac:dyDescent="0.3">
      <c r="B395" s="2" t="s">
        <v>836</v>
      </c>
      <c r="C395" s="4" t="s">
        <v>992</v>
      </c>
      <c r="D395" s="3" t="s">
        <v>1011</v>
      </c>
      <c r="E395" s="6" t="s">
        <v>1038</v>
      </c>
      <c r="F395" s="6" t="s">
        <v>1040</v>
      </c>
      <c r="G395" s="6" t="s">
        <v>707</v>
      </c>
      <c r="H395" s="25">
        <v>391991.03749999998</v>
      </c>
      <c r="I395" s="38">
        <v>0</v>
      </c>
      <c r="J395" s="38">
        <v>0</v>
      </c>
      <c r="K395" s="39">
        <f t="shared" si="48"/>
        <v>0</v>
      </c>
      <c r="L395" s="38">
        <v>0</v>
      </c>
      <c r="M395" s="38">
        <v>0</v>
      </c>
      <c r="N395" s="39">
        <f t="shared" si="49"/>
        <v>0</v>
      </c>
      <c r="O395" s="38">
        <v>0</v>
      </c>
      <c r="P395" s="38">
        <v>0</v>
      </c>
      <c r="Q395" s="39">
        <f t="shared" si="50"/>
        <v>0</v>
      </c>
      <c r="R395" s="38">
        <v>0</v>
      </c>
      <c r="S395" s="38">
        <v>0</v>
      </c>
      <c r="T395" s="39">
        <f t="shared" si="51"/>
        <v>0</v>
      </c>
      <c r="U395" s="38">
        <v>0</v>
      </c>
      <c r="V395" s="38">
        <v>0</v>
      </c>
      <c r="W395" s="39">
        <f t="shared" si="52"/>
        <v>0</v>
      </c>
      <c r="X395" s="38"/>
      <c r="Y395" s="38"/>
      <c r="Z395" s="39">
        <f t="shared" si="53"/>
        <v>0</v>
      </c>
      <c r="AA395" s="38"/>
      <c r="AB395" s="38"/>
      <c r="AC395" s="39">
        <f t="shared" si="54"/>
        <v>0</v>
      </c>
      <c r="AD395" s="38"/>
      <c r="AE395" s="38"/>
      <c r="AF395" s="39">
        <f t="shared" si="55"/>
        <v>0</v>
      </c>
    </row>
    <row r="396" spans="2:32" ht="15" customHeight="1" x14ac:dyDescent="0.3">
      <c r="B396" s="2" t="s">
        <v>836</v>
      </c>
      <c r="C396" s="4" t="s">
        <v>992</v>
      </c>
      <c r="D396" s="3" t="s">
        <v>1011</v>
      </c>
      <c r="E396" s="6" t="s">
        <v>1038</v>
      </c>
      <c r="F396" s="6" t="s">
        <v>1040</v>
      </c>
      <c r="G396" s="6" t="s">
        <v>708</v>
      </c>
      <c r="H396" s="25">
        <v>425000</v>
      </c>
      <c r="I396" s="38">
        <v>0</v>
      </c>
      <c r="J396" s="38">
        <v>0</v>
      </c>
      <c r="K396" s="39">
        <f t="shared" si="48"/>
        <v>0</v>
      </c>
      <c r="L396" s="38">
        <v>0</v>
      </c>
      <c r="M396" s="38">
        <v>0</v>
      </c>
      <c r="N396" s="39">
        <f t="shared" si="49"/>
        <v>0</v>
      </c>
      <c r="O396" s="38">
        <v>0</v>
      </c>
      <c r="P396" s="38">
        <v>0</v>
      </c>
      <c r="Q396" s="39">
        <f t="shared" si="50"/>
        <v>0</v>
      </c>
      <c r="R396" s="38">
        <v>0</v>
      </c>
      <c r="S396" s="38">
        <v>0</v>
      </c>
      <c r="T396" s="39">
        <f t="shared" si="51"/>
        <v>0</v>
      </c>
      <c r="U396" s="38">
        <v>1</v>
      </c>
      <c r="V396" s="38">
        <v>6</v>
      </c>
      <c r="W396" s="39">
        <f t="shared" si="52"/>
        <v>2550000</v>
      </c>
      <c r="X396" s="38"/>
      <c r="Y396" s="38"/>
      <c r="Z396" s="39">
        <f t="shared" si="53"/>
        <v>0</v>
      </c>
      <c r="AA396" s="38"/>
      <c r="AB396" s="38"/>
      <c r="AC396" s="39">
        <f t="shared" si="54"/>
        <v>0</v>
      </c>
      <c r="AD396" s="38"/>
      <c r="AE396" s="38"/>
      <c r="AF396" s="39">
        <f t="shared" si="55"/>
        <v>0</v>
      </c>
    </row>
    <row r="397" spans="2:32" ht="15" customHeight="1" x14ac:dyDescent="0.3">
      <c r="B397" s="2" t="s">
        <v>836</v>
      </c>
      <c r="C397" s="4" t="s">
        <v>992</v>
      </c>
      <c r="D397" s="3" t="s">
        <v>1011</v>
      </c>
      <c r="E397" s="6" t="s">
        <v>1038</v>
      </c>
      <c r="F397" s="6" t="s">
        <v>179</v>
      </c>
      <c r="G397" s="6" t="s">
        <v>713</v>
      </c>
      <c r="H397" s="25">
        <v>45000</v>
      </c>
      <c r="I397" s="38">
        <v>0</v>
      </c>
      <c r="J397" s="38">
        <v>0</v>
      </c>
      <c r="K397" s="39">
        <f t="shared" si="48"/>
        <v>0</v>
      </c>
      <c r="L397" s="38">
        <v>0</v>
      </c>
      <c r="M397" s="38">
        <v>0</v>
      </c>
      <c r="N397" s="39">
        <f t="shared" si="49"/>
        <v>0</v>
      </c>
      <c r="O397" s="38">
        <v>0</v>
      </c>
      <c r="P397" s="38">
        <v>0</v>
      </c>
      <c r="Q397" s="39">
        <f t="shared" si="50"/>
        <v>0</v>
      </c>
      <c r="R397" s="38">
        <v>0</v>
      </c>
      <c r="S397" s="38">
        <v>0</v>
      </c>
      <c r="T397" s="39">
        <f t="shared" si="51"/>
        <v>0</v>
      </c>
      <c r="U397" s="38">
        <v>1</v>
      </c>
      <c r="V397" s="38">
        <v>40</v>
      </c>
      <c r="W397" s="39">
        <f t="shared" si="52"/>
        <v>1800000</v>
      </c>
      <c r="X397" s="38"/>
      <c r="Y397" s="38"/>
      <c r="Z397" s="39">
        <f t="shared" si="53"/>
        <v>0</v>
      </c>
      <c r="AA397" s="38"/>
      <c r="AB397" s="38"/>
      <c r="AC397" s="39">
        <f t="shared" si="54"/>
        <v>0</v>
      </c>
      <c r="AD397" s="38"/>
      <c r="AE397" s="38"/>
      <c r="AF397" s="39">
        <f t="shared" si="55"/>
        <v>0</v>
      </c>
    </row>
    <row r="398" spans="2:32" ht="15" customHeight="1" x14ac:dyDescent="0.3">
      <c r="B398" s="2" t="s">
        <v>836</v>
      </c>
      <c r="C398" s="4" t="s">
        <v>992</v>
      </c>
      <c r="D398" s="3" t="s">
        <v>1011</v>
      </c>
      <c r="E398" s="6" t="s">
        <v>1038</v>
      </c>
      <c r="F398" s="6" t="s">
        <v>179</v>
      </c>
      <c r="G398" s="6" t="s">
        <v>712</v>
      </c>
      <c r="H398" s="25">
        <v>214.29</v>
      </c>
      <c r="I398" s="38">
        <v>0</v>
      </c>
      <c r="J398" s="38">
        <v>0</v>
      </c>
      <c r="K398" s="39">
        <f t="shared" si="48"/>
        <v>0</v>
      </c>
      <c r="L398" s="38">
        <v>0</v>
      </c>
      <c r="M398" s="38">
        <v>0</v>
      </c>
      <c r="N398" s="39">
        <f t="shared" si="49"/>
        <v>0</v>
      </c>
      <c r="O398" s="38">
        <v>0</v>
      </c>
      <c r="P398" s="38">
        <v>0</v>
      </c>
      <c r="Q398" s="39">
        <f t="shared" si="50"/>
        <v>0</v>
      </c>
      <c r="R398" s="38">
        <v>0</v>
      </c>
      <c r="S398" s="38">
        <v>0</v>
      </c>
      <c r="T398" s="39">
        <f t="shared" si="51"/>
        <v>0</v>
      </c>
      <c r="U398" s="38">
        <v>25</v>
      </c>
      <c r="V398" s="38">
        <v>10</v>
      </c>
      <c r="W398" s="39">
        <f t="shared" si="52"/>
        <v>53572.5</v>
      </c>
      <c r="X398" s="38"/>
      <c r="Y398" s="38"/>
      <c r="Z398" s="39">
        <f t="shared" si="53"/>
        <v>0</v>
      </c>
      <c r="AA398" s="38"/>
      <c r="AB398" s="38"/>
      <c r="AC398" s="39">
        <f t="shared" si="54"/>
        <v>0</v>
      </c>
      <c r="AD398" s="38"/>
      <c r="AE398" s="38"/>
      <c r="AF398" s="39">
        <f t="shared" si="55"/>
        <v>0</v>
      </c>
    </row>
    <row r="399" spans="2:32" ht="15" customHeight="1" x14ac:dyDescent="0.3">
      <c r="B399" s="2" t="s">
        <v>836</v>
      </c>
      <c r="C399" s="4" t="s">
        <v>992</v>
      </c>
      <c r="D399" s="3" t="s">
        <v>1011</v>
      </c>
      <c r="E399" s="6" t="s">
        <v>1038</v>
      </c>
      <c r="F399" s="6" t="s">
        <v>179</v>
      </c>
      <c r="G399" s="6" t="s">
        <v>1041</v>
      </c>
      <c r="H399" s="25">
        <v>10000</v>
      </c>
      <c r="I399" s="38">
        <v>0</v>
      </c>
      <c r="J399" s="38">
        <v>0</v>
      </c>
      <c r="K399" s="39">
        <f t="shared" si="48"/>
        <v>0</v>
      </c>
      <c r="L399" s="38">
        <v>0</v>
      </c>
      <c r="M399" s="38">
        <v>0</v>
      </c>
      <c r="N399" s="39">
        <f t="shared" si="49"/>
        <v>0</v>
      </c>
      <c r="O399" s="38">
        <v>0</v>
      </c>
      <c r="P399" s="38">
        <v>0</v>
      </c>
      <c r="Q399" s="39">
        <f t="shared" si="50"/>
        <v>0</v>
      </c>
      <c r="R399" s="38">
        <v>0</v>
      </c>
      <c r="S399" s="38">
        <v>0</v>
      </c>
      <c r="T399" s="39">
        <f t="shared" si="51"/>
        <v>0</v>
      </c>
      <c r="U399" s="38">
        <v>20000</v>
      </c>
      <c r="V399" s="38">
        <v>1</v>
      </c>
      <c r="W399" s="39">
        <f t="shared" si="52"/>
        <v>200000000</v>
      </c>
      <c r="X399" s="38"/>
      <c r="Y399" s="38"/>
      <c r="Z399" s="39">
        <f t="shared" si="53"/>
        <v>0</v>
      </c>
      <c r="AA399" s="38"/>
      <c r="AB399" s="38"/>
      <c r="AC399" s="39">
        <f t="shared" si="54"/>
        <v>0</v>
      </c>
      <c r="AD399" s="38"/>
      <c r="AE399" s="38"/>
      <c r="AF399" s="39">
        <f t="shared" si="55"/>
        <v>0</v>
      </c>
    </row>
    <row r="400" spans="2:32" ht="15" customHeight="1" x14ac:dyDescent="0.3">
      <c r="B400" s="2" t="s">
        <v>836</v>
      </c>
      <c r="C400" s="4" t="s">
        <v>992</v>
      </c>
      <c r="D400" s="3" t="s">
        <v>1011</v>
      </c>
      <c r="E400" s="6" t="s">
        <v>1038</v>
      </c>
      <c r="F400" s="6" t="s">
        <v>179</v>
      </c>
      <c r="G400" s="6" t="s">
        <v>715</v>
      </c>
      <c r="H400" s="25">
        <v>302000</v>
      </c>
      <c r="I400" s="38">
        <v>0</v>
      </c>
      <c r="J400" s="38">
        <v>0</v>
      </c>
      <c r="K400" s="39">
        <f t="shared" si="48"/>
        <v>0</v>
      </c>
      <c r="L400" s="38">
        <v>0</v>
      </c>
      <c r="M400" s="38">
        <v>0</v>
      </c>
      <c r="N400" s="39">
        <f t="shared" si="49"/>
        <v>0</v>
      </c>
      <c r="O400" s="38">
        <v>0</v>
      </c>
      <c r="P400" s="38">
        <v>0</v>
      </c>
      <c r="Q400" s="39">
        <f t="shared" si="50"/>
        <v>0</v>
      </c>
      <c r="R400" s="38">
        <v>0</v>
      </c>
      <c r="S400" s="38">
        <v>0</v>
      </c>
      <c r="T400" s="39">
        <f t="shared" si="51"/>
        <v>0</v>
      </c>
      <c r="U400" s="38">
        <v>15</v>
      </c>
      <c r="V400" s="38">
        <v>10</v>
      </c>
      <c r="W400" s="39">
        <f t="shared" si="52"/>
        <v>45300000</v>
      </c>
      <c r="X400" s="38"/>
      <c r="Y400" s="38"/>
      <c r="Z400" s="39">
        <f t="shared" si="53"/>
        <v>0</v>
      </c>
      <c r="AA400" s="38"/>
      <c r="AB400" s="38"/>
      <c r="AC400" s="39">
        <f t="shared" si="54"/>
        <v>0</v>
      </c>
      <c r="AD400" s="38"/>
      <c r="AE400" s="38"/>
      <c r="AF400" s="39">
        <f t="shared" si="55"/>
        <v>0</v>
      </c>
    </row>
    <row r="401" spans="2:32" ht="15" customHeight="1" x14ac:dyDescent="0.3">
      <c r="B401" s="2" t="s">
        <v>836</v>
      </c>
      <c r="C401" s="4" t="s">
        <v>992</v>
      </c>
      <c r="D401" s="3" t="s">
        <v>1011</v>
      </c>
      <c r="E401" s="6" t="s">
        <v>1038</v>
      </c>
      <c r="F401" s="6" t="s">
        <v>159</v>
      </c>
      <c r="G401" s="6" t="s">
        <v>716</v>
      </c>
      <c r="H401" s="25">
        <v>39000</v>
      </c>
      <c r="I401" s="38">
        <v>0</v>
      </c>
      <c r="J401" s="38">
        <v>0</v>
      </c>
      <c r="K401" s="39">
        <f t="shared" si="48"/>
        <v>0</v>
      </c>
      <c r="L401" s="38">
        <v>0</v>
      </c>
      <c r="M401" s="38">
        <v>0</v>
      </c>
      <c r="N401" s="39">
        <f t="shared" si="49"/>
        <v>0</v>
      </c>
      <c r="O401" s="38">
        <v>0</v>
      </c>
      <c r="P401" s="38">
        <v>0</v>
      </c>
      <c r="Q401" s="39">
        <f t="shared" si="50"/>
        <v>0</v>
      </c>
      <c r="R401" s="38">
        <v>0</v>
      </c>
      <c r="S401" s="38">
        <v>0</v>
      </c>
      <c r="T401" s="39">
        <f t="shared" si="51"/>
        <v>0</v>
      </c>
      <c r="U401" s="38">
        <v>20</v>
      </c>
      <c r="V401" s="38">
        <v>1</v>
      </c>
      <c r="W401" s="39">
        <f t="shared" si="52"/>
        <v>780000</v>
      </c>
      <c r="X401" s="38"/>
      <c r="Y401" s="38"/>
      <c r="Z401" s="39">
        <f t="shared" si="53"/>
        <v>0</v>
      </c>
      <c r="AA401" s="38"/>
      <c r="AB401" s="38"/>
      <c r="AC401" s="39">
        <f t="shared" si="54"/>
        <v>0</v>
      </c>
      <c r="AD401" s="38"/>
      <c r="AE401" s="38"/>
      <c r="AF401" s="39">
        <f t="shared" si="55"/>
        <v>0</v>
      </c>
    </row>
    <row r="402" spans="2:32" ht="15" customHeight="1" x14ac:dyDescent="0.3">
      <c r="B402" s="2" t="s">
        <v>836</v>
      </c>
      <c r="C402" s="4" t="s">
        <v>992</v>
      </c>
      <c r="D402" s="3" t="s">
        <v>1011</v>
      </c>
      <c r="E402" s="6" t="s">
        <v>1038</v>
      </c>
      <c r="F402" s="6" t="s">
        <v>159</v>
      </c>
      <c r="G402" s="6" t="s">
        <v>709</v>
      </c>
      <c r="H402" s="25">
        <v>28000</v>
      </c>
      <c r="I402" s="38">
        <v>0</v>
      </c>
      <c r="J402" s="38">
        <v>0</v>
      </c>
      <c r="K402" s="39">
        <f t="shared" si="48"/>
        <v>0</v>
      </c>
      <c r="L402" s="38">
        <v>0</v>
      </c>
      <c r="M402" s="38">
        <v>0</v>
      </c>
      <c r="N402" s="39">
        <f t="shared" si="49"/>
        <v>0</v>
      </c>
      <c r="O402" s="38">
        <v>0</v>
      </c>
      <c r="P402" s="38">
        <v>0</v>
      </c>
      <c r="Q402" s="39">
        <f t="shared" si="50"/>
        <v>0</v>
      </c>
      <c r="R402" s="38">
        <v>0</v>
      </c>
      <c r="S402" s="38">
        <v>0</v>
      </c>
      <c r="T402" s="39">
        <f t="shared" si="51"/>
        <v>0</v>
      </c>
      <c r="U402" s="38">
        <v>25</v>
      </c>
      <c r="V402" s="38">
        <v>5</v>
      </c>
      <c r="W402" s="39">
        <f t="shared" si="52"/>
        <v>3500000</v>
      </c>
      <c r="X402" s="38"/>
      <c r="Y402" s="38"/>
      <c r="Z402" s="39">
        <f t="shared" si="53"/>
        <v>0</v>
      </c>
      <c r="AA402" s="38"/>
      <c r="AB402" s="38"/>
      <c r="AC402" s="39">
        <f t="shared" si="54"/>
        <v>0</v>
      </c>
      <c r="AD402" s="38"/>
      <c r="AE402" s="38"/>
      <c r="AF402" s="39">
        <f t="shared" si="55"/>
        <v>0</v>
      </c>
    </row>
    <row r="403" spans="2:32" ht="15" customHeight="1" x14ac:dyDescent="0.3">
      <c r="B403" s="2" t="s">
        <v>836</v>
      </c>
      <c r="C403" s="4" t="s">
        <v>992</v>
      </c>
      <c r="D403" s="3" t="s">
        <v>1011</v>
      </c>
      <c r="E403" s="6" t="s">
        <v>1038</v>
      </c>
      <c r="F403" s="6" t="s">
        <v>159</v>
      </c>
      <c r="G403" s="6" t="s">
        <v>712</v>
      </c>
      <c r="H403" s="25">
        <v>214.29</v>
      </c>
      <c r="I403" s="38">
        <v>0</v>
      </c>
      <c r="J403" s="38">
        <v>0</v>
      </c>
      <c r="K403" s="39">
        <f t="shared" si="48"/>
        <v>0</v>
      </c>
      <c r="L403" s="38">
        <v>0</v>
      </c>
      <c r="M403" s="38">
        <v>0</v>
      </c>
      <c r="N403" s="39">
        <f t="shared" si="49"/>
        <v>0</v>
      </c>
      <c r="O403" s="38">
        <v>0</v>
      </c>
      <c r="P403" s="38">
        <v>0</v>
      </c>
      <c r="Q403" s="39">
        <f t="shared" si="50"/>
        <v>0</v>
      </c>
      <c r="R403" s="38">
        <v>0</v>
      </c>
      <c r="S403" s="38">
        <v>0</v>
      </c>
      <c r="T403" s="39">
        <f t="shared" si="51"/>
        <v>0</v>
      </c>
      <c r="U403" s="38">
        <v>25</v>
      </c>
      <c r="V403" s="38">
        <v>5</v>
      </c>
      <c r="W403" s="39">
        <f t="shared" si="52"/>
        <v>26786.25</v>
      </c>
      <c r="X403" s="38"/>
      <c r="Y403" s="38"/>
      <c r="Z403" s="39">
        <f t="shared" si="53"/>
        <v>0</v>
      </c>
      <c r="AA403" s="38"/>
      <c r="AB403" s="38"/>
      <c r="AC403" s="39">
        <f t="shared" si="54"/>
        <v>0</v>
      </c>
      <c r="AD403" s="38"/>
      <c r="AE403" s="38"/>
      <c r="AF403" s="39">
        <f t="shared" si="55"/>
        <v>0</v>
      </c>
    </row>
    <row r="404" spans="2:32" ht="15" customHeight="1" x14ac:dyDescent="0.3">
      <c r="B404" s="2" t="s">
        <v>836</v>
      </c>
      <c r="C404" s="4" t="s">
        <v>992</v>
      </c>
      <c r="D404" s="3" t="s">
        <v>1011</v>
      </c>
      <c r="E404" s="6" t="s">
        <v>1038</v>
      </c>
      <c r="F404" s="6" t="s">
        <v>1042</v>
      </c>
      <c r="G404" s="6" t="s">
        <v>716</v>
      </c>
      <c r="H404" s="25">
        <v>39000</v>
      </c>
      <c r="I404" s="38">
        <v>0</v>
      </c>
      <c r="J404" s="38">
        <v>0</v>
      </c>
      <c r="K404" s="39">
        <f t="shared" si="48"/>
        <v>0</v>
      </c>
      <c r="L404" s="38">
        <v>0</v>
      </c>
      <c r="M404" s="38">
        <v>0</v>
      </c>
      <c r="N404" s="39">
        <f t="shared" si="49"/>
        <v>0</v>
      </c>
      <c r="O404" s="38">
        <v>0</v>
      </c>
      <c r="P404" s="38">
        <v>0</v>
      </c>
      <c r="Q404" s="39">
        <f t="shared" si="50"/>
        <v>0</v>
      </c>
      <c r="R404" s="38">
        <v>0</v>
      </c>
      <c r="S404" s="38">
        <v>0</v>
      </c>
      <c r="T404" s="39">
        <f t="shared" si="51"/>
        <v>0</v>
      </c>
      <c r="U404" s="38">
        <v>4000</v>
      </c>
      <c r="V404" s="38">
        <v>1</v>
      </c>
      <c r="W404" s="39">
        <f t="shared" si="52"/>
        <v>156000000</v>
      </c>
      <c r="X404" s="38"/>
      <c r="Y404" s="38"/>
      <c r="Z404" s="39">
        <f t="shared" si="53"/>
        <v>0</v>
      </c>
      <c r="AA404" s="38"/>
      <c r="AB404" s="38"/>
      <c r="AC404" s="39">
        <f t="shared" si="54"/>
        <v>0</v>
      </c>
      <c r="AD404" s="38"/>
      <c r="AE404" s="38"/>
      <c r="AF404" s="39">
        <f t="shared" si="55"/>
        <v>0</v>
      </c>
    </row>
    <row r="405" spans="2:32" ht="15" customHeight="1" x14ac:dyDescent="0.3">
      <c r="B405" s="2" t="s">
        <v>836</v>
      </c>
      <c r="C405" s="4" t="s">
        <v>992</v>
      </c>
      <c r="D405" s="3" t="s">
        <v>1011</v>
      </c>
      <c r="E405" s="6" t="s">
        <v>1038</v>
      </c>
      <c r="F405" s="6" t="s">
        <v>181</v>
      </c>
      <c r="G405" s="6" t="s">
        <v>709</v>
      </c>
      <c r="H405" s="25">
        <v>28000</v>
      </c>
      <c r="I405" s="38">
        <v>0</v>
      </c>
      <c r="J405" s="38">
        <v>0</v>
      </c>
      <c r="K405" s="39">
        <f t="shared" si="48"/>
        <v>0</v>
      </c>
      <c r="L405" s="38">
        <v>0</v>
      </c>
      <c r="M405" s="38">
        <v>0</v>
      </c>
      <c r="N405" s="39">
        <f t="shared" si="49"/>
        <v>0</v>
      </c>
      <c r="O405" s="38">
        <v>0</v>
      </c>
      <c r="P405" s="38">
        <v>0</v>
      </c>
      <c r="Q405" s="39">
        <f t="shared" si="50"/>
        <v>0</v>
      </c>
      <c r="R405" s="38">
        <v>0</v>
      </c>
      <c r="S405" s="38">
        <v>0</v>
      </c>
      <c r="T405" s="39">
        <f t="shared" si="51"/>
        <v>0</v>
      </c>
      <c r="U405" s="38">
        <v>25</v>
      </c>
      <c r="V405" s="38">
        <v>5</v>
      </c>
      <c r="W405" s="39">
        <f t="shared" si="52"/>
        <v>3500000</v>
      </c>
      <c r="X405" s="38"/>
      <c r="Y405" s="38"/>
      <c r="Z405" s="39">
        <f t="shared" si="53"/>
        <v>0</v>
      </c>
      <c r="AA405" s="38"/>
      <c r="AB405" s="38"/>
      <c r="AC405" s="39">
        <f t="shared" si="54"/>
        <v>0</v>
      </c>
      <c r="AD405" s="38"/>
      <c r="AE405" s="38"/>
      <c r="AF405" s="39">
        <f t="shared" si="55"/>
        <v>0</v>
      </c>
    </row>
    <row r="406" spans="2:32" ht="15" customHeight="1" x14ac:dyDescent="0.3">
      <c r="B406" s="2" t="s">
        <v>836</v>
      </c>
      <c r="C406" s="4" t="s">
        <v>992</v>
      </c>
      <c r="D406" s="3" t="s">
        <v>1011</v>
      </c>
      <c r="E406" s="6" t="s">
        <v>1038</v>
      </c>
      <c r="F406" s="6" t="s">
        <v>181</v>
      </c>
      <c r="G406" s="6" t="s">
        <v>712</v>
      </c>
      <c r="H406" s="25">
        <v>214.29</v>
      </c>
      <c r="I406" s="38">
        <v>0</v>
      </c>
      <c r="J406" s="38">
        <v>0</v>
      </c>
      <c r="K406" s="39">
        <f t="shared" si="48"/>
        <v>0</v>
      </c>
      <c r="L406" s="38">
        <v>0</v>
      </c>
      <c r="M406" s="38">
        <v>0</v>
      </c>
      <c r="N406" s="39">
        <f t="shared" si="49"/>
        <v>0</v>
      </c>
      <c r="O406" s="38">
        <v>0</v>
      </c>
      <c r="P406" s="38">
        <v>0</v>
      </c>
      <c r="Q406" s="39">
        <f t="shared" si="50"/>
        <v>0</v>
      </c>
      <c r="R406" s="38">
        <v>0</v>
      </c>
      <c r="S406" s="38">
        <v>0</v>
      </c>
      <c r="T406" s="39">
        <f t="shared" si="51"/>
        <v>0</v>
      </c>
      <c r="U406" s="38">
        <v>50</v>
      </c>
      <c r="V406" s="38">
        <v>1</v>
      </c>
      <c r="W406" s="39">
        <f t="shared" si="52"/>
        <v>10714.5</v>
      </c>
      <c r="X406" s="38"/>
      <c r="Y406" s="38"/>
      <c r="Z406" s="39">
        <f t="shared" si="53"/>
        <v>0</v>
      </c>
      <c r="AA406" s="38"/>
      <c r="AB406" s="38"/>
      <c r="AC406" s="39">
        <f t="shared" si="54"/>
        <v>0</v>
      </c>
      <c r="AD406" s="38"/>
      <c r="AE406" s="38"/>
      <c r="AF406" s="39">
        <f t="shared" si="55"/>
        <v>0</v>
      </c>
    </row>
    <row r="407" spans="2:32" ht="15" customHeight="1" x14ac:dyDescent="0.3">
      <c r="B407" s="2" t="s">
        <v>836</v>
      </c>
      <c r="C407" s="4" t="s">
        <v>992</v>
      </c>
      <c r="D407" s="3" t="s">
        <v>1011</v>
      </c>
      <c r="E407" s="6" t="s">
        <v>1038</v>
      </c>
      <c r="F407" s="6" t="s">
        <v>181</v>
      </c>
      <c r="G407" s="6" t="s">
        <v>716</v>
      </c>
      <c r="H407" s="25">
        <v>39000</v>
      </c>
      <c r="I407" s="38">
        <v>0</v>
      </c>
      <c r="J407" s="38">
        <v>0</v>
      </c>
      <c r="K407" s="39">
        <f t="shared" si="48"/>
        <v>0</v>
      </c>
      <c r="L407" s="38">
        <v>0</v>
      </c>
      <c r="M407" s="38">
        <v>0</v>
      </c>
      <c r="N407" s="39">
        <f t="shared" si="49"/>
        <v>0</v>
      </c>
      <c r="O407" s="38">
        <v>0</v>
      </c>
      <c r="P407" s="38">
        <v>0</v>
      </c>
      <c r="Q407" s="39">
        <f t="shared" si="50"/>
        <v>0</v>
      </c>
      <c r="R407" s="38">
        <v>0</v>
      </c>
      <c r="S407" s="38">
        <v>0</v>
      </c>
      <c r="T407" s="39">
        <f t="shared" si="51"/>
        <v>0</v>
      </c>
      <c r="U407" s="38">
        <v>4000</v>
      </c>
      <c r="V407" s="38">
        <v>1</v>
      </c>
      <c r="W407" s="39">
        <f t="shared" si="52"/>
        <v>156000000</v>
      </c>
      <c r="X407" s="38"/>
      <c r="Y407" s="38"/>
      <c r="Z407" s="39">
        <f t="shared" si="53"/>
        <v>0</v>
      </c>
      <c r="AA407" s="38"/>
      <c r="AB407" s="38"/>
      <c r="AC407" s="39">
        <f t="shared" si="54"/>
        <v>0</v>
      </c>
      <c r="AD407" s="38"/>
      <c r="AE407" s="38"/>
      <c r="AF407" s="39">
        <f t="shared" si="55"/>
        <v>0</v>
      </c>
    </row>
    <row r="408" spans="2:32" ht="15" customHeight="1" x14ac:dyDescent="0.3">
      <c r="B408" s="2" t="s">
        <v>836</v>
      </c>
      <c r="C408" s="4" t="s">
        <v>992</v>
      </c>
      <c r="D408" s="3" t="s">
        <v>1011</v>
      </c>
      <c r="E408" s="6" t="s">
        <v>1038</v>
      </c>
      <c r="F408" s="6" t="s">
        <v>1043</v>
      </c>
      <c r="G408" s="6" t="s">
        <v>711</v>
      </c>
      <c r="H408" s="25">
        <v>70</v>
      </c>
      <c r="I408" s="38">
        <v>0</v>
      </c>
      <c r="J408" s="38">
        <v>0</v>
      </c>
      <c r="K408" s="39">
        <f t="shared" si="48"/>
        <v>0</v>
      </c>
      <c r="L408" s="38">
        <v>0</v>
      </c>
      <c r="M408" s="38">
        <v>0</v>
      </c>
      <c r="N408" s="39">
        <f t="shared" si="49"/>
        <v>0</v>
      </c>
      <c r="O408" s="38">
        <v>0</v>
      </c>
      <c r="P408" s="38">
        <v>0</v>
      </c>
      <c r="Q408" s="39">
        <f t="shared" si="50"/>
        <v>0</v>
      </c>
      <c r="R408" s="38">
        <v>0</v>
      </c>
      <c r="S408" s="38">
        <v>0</v>
      </c>
      <c r="T408" s="39">
        <f t="shared" si="51"/>
        <v>0</v>
      </c>
      <c r="U408" s="38">
        <v>10</v>
      </c>
      <c r="V408" s="38">
        <v>2</v>
      </c>
      <c r="W408" s="39">
        <f t="shared" si="52"/>
        <v>1400</v>
      </c>
      <c r="X408" s="38"/>
      <c r="Y408" s="38"/>
      <c r="Z408" s="39">
        <f t="shared" si="53"/>
        <v>0</v>
      </c>
      <c r="AA408" s="38"/>
      <c r="AB408" s="38"/>
      <c r="AC408" s="39">
        <f t="shared" si="54"/>
        <v>0</v>
      </c>
      <c r="AD408" s="38"/>
      <c r="AE408" s="38"/>
      <c r="AF408" s="39">
        <f t="shared" si="55"/>
        <v>0</v>
      </c>
    </row>
    <row r="409" spans="2:32" ht="15" customHeight="1" x14ac:dyDescent="0.3">
      <c r="B409" s="2" t="s">
        <v>836</v>
      </c>
      <c r="C409" s="4" t="s">
        <v>992</v>
      </c>
      <c r="D409" s="3" t="s">
        <v>1011</v>
      </c>
      <c r="E409" s="6" t="s">
        <v>1038</v>
      </c>
      <c r="F409" s="6" t="s">
        <v>1043</v>
      </c>
      <c r="G409" s="6" t="s">
        <v>710</v>
      </c>
      <c r="H409" s="25">
        <v>104850</v>
      </c>
      <c r="I409" s="38">
        <v>0</v>
      </c>
      <c r="J409" s="38">
        <v>0</v>
      </c>
      <c r="K409" s="39">
        <f t="shared" si="48"/>
        <v>0</v>
      </c>
      <c r="L409" s="38">
        <v>0</v>
      </c>
      <c r="M409" s="38">
        <v>0</v>
      </c>
      <c r="N409" s="39">
        <f t="shared" si="49"/>
        <v>0</v>
      </c>
      <c r="O409" s="38">
        <v>0</v>
      </c>
      <c r="P409" s="38">
        <v>0</v>
      </c>
      <c r="Q409" s="39">
        <f t="shared" si="50"/>
        <v>0</v>
      </c>
      <c r="R409" s="38">
        <v>0</v>
      </c>
      <c r="S409" s="38">
        <v>0</v>
      </c>
      <c r="T409" s="39">
        <f t="shared" si="51"/>
        <v>0</v>
      </c>
      <c r="U409" s="38">
        <v>50000</v>
      </c>
      <c r="V409" s="38">
        <v>1</v>
      </c>
      <c r="W409" s="39">
        <f t="shared" si="52"/>
        <v>5242500000</v>
      </c>
      <c r="X409" s="38"/>
      <c r="Y409" s="38"/>
      <c r="Z409" s="39">
        <f t="shared" si="53"/>
        <v>0</v>
      </c>
      <c r="AA409" s="38"/>
      <c r="AB409" s="38"/>
      <c r="AC409" s="39">
        <f t="shared" si="54"/>
        <v>0</v>
      </c>
      <c r="AD409" s="38"/>
      <c r="AE409" s="38"/>
      <c r="AF409" s="39">
        <f t="shared" si="55"/>
        <v>0</v>
      </c>
    </row>
    <row r="410" spans="2:32" ht="15" customHeight="1" x14ac:dyDescent="0.3">
      <c r="B410" s="2" t="s">
        <v>836</v>
      </c>
      <c r="C410" s="4" t="s">
        <v>992</v>
      </c>
      <c r="D410" s="3" t="s">
        <v>1011</v>
      </c>
      <c r="E410" s="6" t="s">
        <v>1038</v>
      </c>
      <c r="F410" s="6" t="s">
        <v>1043</v>
      </c>
      <c r="G410" s="6" t="s">
        <v>709</v>
      </c>
      <c r="H410" s="25">
        <v>28000</v>
      </c>
      <c r="I410" s="38">
        <v>0</v>
      </c>
      <c r="J410" s="38">
        <v>0</v>
      </c>
      <c r="K410" s="39">
        <f t="shared" si="48"/>
        <v>0</v>
      </c>
      <c r="L410" s="38">
        <v>0</v>
      </c>
      <c r="M410" s="38">
        <v>0</v>
      </c>
      <c r="N410" s="39">
        <f t="shared" si="49"/>
        <v>0</v>
      </c>
      <c r="O410" s="38">
        <v>0</v>
      </c>
      <c r="P410" s="38">
        <v>0</v>
      </c>
      <c r="Q410" s="39">
        <f t="shared" si="50"/>
        <v>0</v>
      </c>
      <c r="R410" s="38">
        <v>0</v>
      </c>
      <c r="S410" s="38">
        <v>0</v>
      </c>
      <c r="T410" s="39">
        <f t="shared" si="51"/>
        <v>0</v>
      </c>
      <c r="U410" s="38">
        <v>5</v>
      </c>
      <c r="V410" s="38">
        <v>1</v>
      </c>
      <c r="W410" s="39">
        <f t="shared" si="52"/>
        <v>140000</v>
      </c>
      <c r="X410" s="38"/>
      <c r="Y410" s="38"/>
      <c r="Z410" s="39">
        <f t="shared" si="53"/>
        <v>0</v>
      </c>
      <c r="AA410" s="38"/>
      <c r="AB410" s="38"/>
      <c r="AC410" s="39">
        <f t="shared" si="54"/>
        <v>0</v>
      </c>
      <c r="AD410" s="38"/>
      <c r="AE410" s="38"/>
      <c r="AF410" s="39">
        <f t="shared" si="55"/>
        <v>0</v>
      </c>
    </row>
    <row r="411" spans="2:32" ht="15" customHeight="1" x14ac:dyDescent="0.3">
      <c r="B411" s="2" t="s">
        <v>836</v>
      </c>
      <c r="C411" s="4" t="s">
        <v>992</v>
      </c>
      <c r="D411" s="3" t="s">
        <v>1011</v>
      </c>
      <c r="E411" s="6" t="s">
        <v>1038</v>
      </c>
      <c r="F411" s="6" t="s">
        <v>1043</v>
      </c>
      <c r="G411" s="6" t="s">
        <v>712</v>
      </c>
      <c r="H411" s="25">
        <v>214.29</v>
      </c>
      <c r="I411" s="38">
        <v>0</v>
      </c>
      <c r="J411" s="38">
        <v>0</v>
      </c>
      <c r="K411" s="39">
        <f t="shared" si="48"/>
        <v>0</v>
      </c>
      <c r="L411" s="38">
        <v>0</v>
      </c>
      <c r="M411" s="38">
        <v>0</v>
      </c>
      <c r="N411" s="39">
        <f t="shared" si="49"/>
        <v>0</v>
      </c>
      <c r="O411" s="38">
        <v>0</v>
      </c>
      <c r="P411" s="38">
        <v>0</v>
      </c>
      <c r="Q411" s="39">
        <f t="shared" si="50"/>
        <v>0</v>
      </c>
      <c r="R411" s="38">
        <v>0</v>
      </c>
      <c r="S411" s="38">
        <v>0</v>
      </c>
      <c r="T411" s="39">
        <f t="shared" si="51"/>
        <v>0</v>
      </c>
      <c r="U411" s="38">
        <v>100</v>
      </c>
      <c r="V411" s="38">
        <v>1</v>
      </c>
      <c r="W411" s="39">
        <f t="shared" si="52"/>
        <v>21429</v>
      </c>
      <c r="X411" s="38"/>
      <c r="Y411" s="38"/>
      <c r="Z411" s="39">
        <f t="shared" si="53"/>
        <v>0</v>
      </c>
      <c r="AA411" s="38"/>
      <c r="AB411" s="38"/>
      <c r="AC411" s="39">
        <f t="shared" si="54"/>
        <v>0</v>
      </c>
      <c r="AD411" s="38"/>
      <c r="AE411" s="38"/>
      <c r="AF411" s="39">
        <f t="shared" si="55"/>
        <v>0</v>
      </c>
    </row>
    <row r="412" spans="2:32" ht="15" customHeight="1" x14ac:dyDescent="0.3">
      <c r="B412" s="2" t="s">
        <v>836</v>
      </c>
      <c r="C412" s="4" t="s">
        <v>992</v>
      </c>
      <c r="D412" s="3" t="s">
        <v>1011</v>
      </c>
      <c r="E412" s="6" t="s">
        <v>1038</v>
      </c>
      <c r="F412" s="6" t="s">
        <v>1044</v>
      </c>
      <c r="G412" s="6" t="s">
        <v>841</v>
      </c>
      <c r="H412" s="25">
        <v>0</v>
      </c>
      <c r="I412" s="38">
        <v>0</v>
      </c>
      <c r="J412" s="38">
        <v>0</v>
      </c>
      <c r="K412" s="39">
        <f t="shared" si="48"/>
        <v>0</v>
      </c>
      <c r="L412" s="38">
        <v>0</v>
      </c>
      <c r="M412" s="38">
        <v>0</v>
      </c>
      <c r="N412" s="39">
        <f t="shared" si="49"/>
        <v>0</v>
      </c>
      <c r="O412" s="38">
        <v>0</v>
      </c>
      <c r="P412" s="38">
        <v>0</v>
      </c>
      <c r="Q412" s="39">
        <f t="shared" si="50"/>
        <v>0</v>
      </c>
      <c r="R412" s="38">
        <v>0</v>
      </c>
      <c r="S412" s="38">
        <v>0</v>
      </c>
      <c r="T412" s="39">
        <f t="shared" si="51"/>
        <v>0</v>
      </c>
      <c r="U412" s="38">
        <v>20000</v>
      </c>
      <c r="V412" s="38">
        <v>1</v>
      </c>
      <c r="W412" s="39">
        <f t="shared" si="52"/>
        <v>0</v>
      </c>
      <c r="X412" s="38"/>
      <c r="Y412" s="38"/>
      <c r="Z412" s="39">
        <f t="shared" si="53"/>
        <v>0</v>
      </c>
      <c r="AA412" s="38"/>
      <c r="AB412" s="38"/>
      <c r="AC412" s="39">
        <f t="shared" si="54"/>
        <v>0</v>
      </c>
      <c r="AD412" s="38"/>
      <c r="AE412" s="38"/>
      <c r="AF412" s="39">
        <f t="shared" si="55"/>
        <v>0</v>
      </c>
    </row>
    <row r="413" spans="2:32" ht="15" customHeight="1" x14ac:dyDescent="0.3">
      <c r="B413" s="2" t="s">
        <v>836</v>
      </c>
      <c r="C413" s="4" t="s">
        <v>992</v>
      </c>
      <c r="D413" s="3" t="s">
        <v>1011</v>
      </c>
      <c r="E413" s="6" t="s">
        <v>1038</v>
      </c>
      <c r="F413" s="6" t="s">
        <v>1045</v>
      </c>
      <c r="G413" s="6" t="s">
        <v>709</v>
      </c>
      <c r="H413" s="25">
        <v>28000</v>
      </c>
      <c r="I413" s="38">
        <v>0</v>
      </c>
      <c r="J413" s="38">
        <v>0</v>
      </c>
      <c r="K413" s="39">
        <f t="shared" si="48"/>
        <v>0</v>
      </c>
      <c r="L413" s="38">
        <v>0</v>
      </c>
      <c r="M413" s="38">
        <v>0</v>
      </c>
      <c r="N413" s="39">
        <f t="shared" si="49"/>
        <v>0</v>
      </c>
      <c r="O413" s="38">
        <v>0</v>
      </c>
      <c r="P413" s="38">
        <v>0</v>
      </c>
      <c r="Q413" s="39">
        <f t="shared" si="50"/>
        <v>0</v>
      </c>
      <c r="R413" s="38">
        <v>0</v>
      </c>
      <c r="S413" s="38">
        <v>0</v>
      </c>
      <c r="T413" s="39">
        <f t="shared" si="51"/>
        <v>0</v>
      </c>
      <c r="U413" s="38">
        <v>0</v>
      </c>
      <c r="V413" s="38">
        <v>0</v>
      </c>
      <c r="W413" s="39">
        <f t="shared" si="52"/>
        <v>0</v>
      </c>
      <c r="X413" s="38"/>
      <c r="Y413" s="38"/>
      <c r="Z413" s="39">
        <f t="shared" si="53"/>
        <v>0</v>
      </c>
      <c r="AA413" s="38"/>
      <c r="AB413" s="38"/>
      <c r="AC413" s="39">
        <f t="shared" si="54"/>
        <v>0</v>
      </c>
      <c r="AD413" s="38"/>
      <c r="AE413" s="38"/>
      <c r="AF413" s="39">
        <f t="shared" si="55"/>
        <v>0</v>
      </c>
    </row>
    <row r="414" spans="2:32" ht="15" customHeight="1" x14ac:dyDescent="0.3">
      <c r="B414" s="2" t="s">
        <v>836</v>
      </c>
      <c r="C414" s="4" t="s">
        <v>992</v>
      </c>
      <c r="D414" s="3" t="s">
        <v>1011</v>
      </c>
      <c r="E414" s="6" t="s">
        <v>1038</v>
      </c>
      <c r="F414" s="6" t="s">
        <v>1045</v>
      </c>
      <c r="G414" s="6" t="s">
        <v>716</v>
      </c>
      <c r="H414" s="25">
        <v>39000</v>
      </c>
      <c r="I414" s="38">
        <v>0</v>
      </c>
      <c r="J414" s="38">
        <v>0</v>
      </c>
      <c r="K414" s="39">
        <f t="shared" si="48"/>
        <v>0</v>
      </c>
      <c r="L414" s="38">
        <v>0</v>
      </c>
      <c r="M414" s="38">
        <v>0</v>
      </c>
      <c r="N414" s="39">
        <f t="shared" si="49"/>
        <v>0</v>
      </c>
      <c r="O414" s="38">
        <v>0</v>
      </c>
      <c r="P414" s="38">
        <v>0</v>
      </c>
      <c r="Q414" s="39">
        <f t="shared" si="50"/>
        <v>0</v>
      </c>
      <c r="R414" s="38">
        <v>0</v>
      </c>
      <c r="S414" s="38">
        <v>0</v>
      </c>
      <c r="T414" s="39">
        <f t="shared" si="51"/>
        <v>0</v>
      </c>
      <c r="U414" s="38">
        <v>70</v>
      </c>
      <c r="V414" s="38">
        <v>1</v>
      </c>
      <c r="W414" s="39">
        <f t="shared" si="52"/>
        <v>2730000</v>
      </c>
      <c r="X414" s="38"/>
      <c r="Y414" s="38"/>
      <c r="Z414" s="39">
        <f t="shared" si="53"/>
        <v>0</v>
      </c>
      <c r="AA414" s="38"/>
      <c r="AB414" s="38"/>
      <c r="AC414" s="39">
        <f t="shared" si="54"/>
        <v>0</v>
      </c>
      <c r="AD414" s="38"/>
      <c r="AE414" s="38"/>
      <c r="AF414" s="39">
        <f t="shared" si="55"/>
        <v>0</v>
      </c>
    </row>
    <row r="415" spans="2:32" ht="15" customHeight="1" x14ac:dyDescent="0.3">
      <c r="B415" s="2" t="s">
        <v>836</v>
      </c>
      <c r="C415" s="4" t="s">
        <v>992</v>
      </c>
      <c r="D415" s="3" t="s">
        <v>1011</v>
      </c>
      <c r="E415" s="6" t="s">
        <v>1038</v>
      </c>
      <c r="F415" s="6" t="s">
        <v>1045</v>
      </c>
      <c r="G415" s="6" t="s">
        <v>712</v>
      </c>
      <c r="H415" s="25">
        <v>214.29</v>
      </c>
      <c r="I415" s="38">
        <v>0</v>
      </c>
      <c r="J415" s="38">
        <v>0</v>
      </c>
      <c r="K415" s="39">
        <f t="shared" si="48"/>
        <v>0</v>
      </c>
      <c r="L415" s="38">
        <v>0</v>
      </c>
      <c r="M415" s="38">
        <v>0</v>
      </c>
      <c r="N415" s="39">
        <f t="shared" si="49"/>
        <v>0</v>
      </c>
      <c r="O415" s="38">
        <v>0</v>
      </c>
      <c r="P415" s="38">
        <v>0</v>
      </c>
      <c r="Q415" s="39">
        <f t="shared" si="50"/>
        <v>0</v>
      </c>
      <c r="R415" s="38">
        <v>0</v>
      </c>
      <c r="S415" s="38">
        <v>0</v>
      </c>
      <c r="T415" s="39">
        <f t="shared" si="51"/>
        <v>0</v>
      </c>
      <c r="U415" s="38">
        <v>70</v>
      </c>
      <c r="V415" s="38">
        <v>1</v>
      </c>
      <c r="W415" s="39">
        <f t="shared" si="52"/>
        <v>15000.3</v>
      </c>
      <c r="X415" s="38"/>
      <c r="Y415" s="38"/>
      <c r="Z415" s="39">
        <f t="shared" si="53"/>
        <v>0</v>
      </c>
      <c r="AA415" s="38"/>
      <c r="AB415" s="38"/>
      <c r="AC415" s="39">
        <f t="shared" si="54"/>
        <v>0</v>
      </c>
      <c r="AD415" s="38"/>
      <c r="AE415" s="38"/>
      <c r="AF415" s="39">
        <f t="shared" si="55"/>
        <v>0</v>
      </c>
    </row>
    <row r="416" spans="2:32" ht="15" customHeight="1" x14ac:dyDescent="0.3">
      <c r="B416" s="2" t="s">
        <v>836</v>
      </c>
      <c r="C416" s="4" t="s">
        <v>992</v>
      </c>
      <c r="D416" s="3" t="s">
        <v>1046</v>
      </c>
      <c r="E416" s="6" t="s">
        <v>1047</v>
      </c>
      <c r="F416" s="6" t="s">
        <v>1048</v>
      </c>
      <c r="G416" s="6" t="s">
        <v>841</v>
      </c>
      <c r="H416" s="25">
        <v>0</v>
      </c>
      <c r="I416" s="38">
        <v>0</v>
      </c>
      <c r="J416" s="38">
        <v>0</v>
      </c>
      <c r="K416" s="39">
        <f t="shared" si="48"/>
        <v>0</v>
      </c>
      <c r="L416" s="38">
        <v>0</v>
      </c>
      <c r="M416" s="38">
        <v>0</v>
      </c>
      <c r="N416" s="39">
        <f t="shared" si="49"/>
        <v>0</v>
      </c>
      <c r="O416" s="38">
        <v>0</v>
      </c>
      <c r="P416" s="38">
        <v>0</v>
      </c>
      <c r="Q416" s="39">
        <f t="shared" si="50"/>
        <v>0</v>
      </c>
      <c r="R416" s="38">
        <v>0</v>
      </c>
      <c r="S416" s="38">
        <v>0</v>
      </c>
      <c r="T416" s="39">
        <f t="shared" si="51"/>
        <v>0</v>
      </c>
      <c r="U416" s="38">
        <v>20000</v>
      </c>
      <c r="V416" s="38">
        <v>1</v>
      </c>
      <c r="W416" s="39">
        <f t="shared" si="52"/>
        <v>0</v>
      </c>
      <c r="X416" s="38"/>
      <c r="Y416" s="38"/>
      <c r="Z416" s="39">
        <f t="shared" si="53"/>
        <v>0</v>
      </c>
      <c r="AA416" s="38"/>
      <c r="AB416" s="38"/>
      <c r="AC416" s="39">
        <f t="shared" si="54"/>
        <v>0</v>
      </c>
      <c r="AD416" s="38"/>
      <c r="AE416" s="38"/>
      <c r="AF416" s="39">
        <f t="shared" si="55"/>
        <v>0</v>
      </c>
    </row>
    <row r="417" spans="2:32" ht="15" customHeight="1" x14ac:dyDescent="0.3">
      <c r="B417" s="2" t="s">
        <v>836</v>
      </c>
      <c r="C417" s="4" t="s">
        <v>992</v>
      </c>
      <c r="D417" s="3" t="s">
        <v>1046</v>
      </c>
      <c r="E417" s="6" t="s">
        <v>1047</v>
      </c>
      <c r="F417" s="6" t="s">
        <v>1024</v>
      </c>
      <c r="G417" s="6" t="s">
        <v>841</v>
      </c>
      <c r="H417" s="25">
        <v>0</v>
      </c>
      <c r="I417" s="38">
        <v>0</v>
      </c>
      <c r="J417" s="38">
        <v>0</v>
      </c>
      <c r="K417" s="39">
        <f t="shared" si="48"/>
        <v>0</v>
      </c>
      <c r="L417" s="38">
        <v>0</v>
      </c>
      <c r="M417" s="38">
        <v>0</v>
      </c>
      <c r="N417" s="39">
        <f t="shared" si="49"/>
        <v>0</v>
      </c>
      <c r="O417" s="38">
        <v>0</v>
      </c>
      <c r="P417" s="38">
        <v>0</v>
      </c>
      <c r="Q417" s="39">
        <f t="shared" si="50"/>
        <v>0</v>
      </c>
      <c r="R417" s="38">
        <v>0</v>
      </c>
      <c r="S417" s="38">
        <v>0</v>
      </c>
      <c r="T417" s="39">
        <f t="shared" si="51"/>
        <v>0</v>
      </c>
      <c r="U417" s="38">
        <v>0</v>
      </c>
      <c r="V417" s="38">
        <v>0</v>
      </c>
      <c r="W417" s="39">
        <f t="shared" si="52"/>
        <v>0</v>
      </c>
      <c r="X417" s="38"/>
      <c r="Y417" s="38"/>
      <c r="Z417" s="39">
        <f t="shared" si="53"/>
        <v>0</v>
      </c>
      <c r="AA417" s="38"/>
      <c r="AB417" s="38"/>
      <c r="AC417" s="39">
        <f t="shared" si="54"/>
        <v>0</v>
      </c>
      <c r="AD417" s="38"/>
      <c r="AE417" s="38"/>
      <c r="AF417" s="39">
        <f t="shared" si="55"/>
        <v>0</v>
      </c>
    </row>
    <row r="418" spans="2:32" ht="15" customHeight="1" x14ac:dyDescent="0.3">
      <c r="B418" s="2" t="s">
        <v>836</v>
      </c>
      <c r="C418" s="4" t="s">
        <v>992</v>
      </c>
      <c r="D418" s="3" t="s">
        <v>1046</v>
      </c>
      <c r="E418" s="6" t="s">
        <v>1047</v>
      </c>
      <c r="F418" s="6" t="s">
        <v>1049</v>
      </c>
      <c r="G418" s="6" t="s">
        <v>841</v>
      </c>
      <c r="H418" s="25">
        <v>0</v>
      </c>
      <c r="I418" s="38">
        <v>0</v>
      </c>
      <c r="J418" s="38">
        <v>0</v>
      </c>
      <c r="K418" s="39">
        <f t="shared" si="48"/>
        <v>0</v>
      </c>
      <c r="L418" s="38">
        <v>0</v>
      </c>
      <c r="M418" s="38">
        <v>0</v>
      </c>
      <c r="N418" s="39">
        <f t="shared" si="49"/>
        <v>0</v>
      </c>
      <c r="O418" s="38">
        <v>0</v>
      </c>
      <c r="P418" s="38">
        <v>0</v>
      </c>
      <c r="Q418" s="39">
        <f t="shared" si="50"/>
        <v>0</v>
      </c>
      <c r="R418" s="38">
        <v>0</v>
      </c>
      <c r="S418" s="38">
        <v>0</v>
      </c>
      <c r="T418" s="39">
        <f t="shared" si="51"/>
        <v>0</v>
      </c>
      <c r="U418" s="38">
        <v>0</v>
      </c>
      <c r="V418" s="38">
        <v>0</v>
      </c>
      <c r="W418" s="39">
        <f t="shared" si="52"/>
        <v>0</v>
      </c>
      <c r="X418" s="38"/>
      <c r="Y418" s="38"/>
      <c r="Z418" s="39">
        <f t="shared" si="53"/>
        <v>0</v>
      </c>
      <c r="AA418" s="38"/>
      <c r="AB418" s="38"/>
      <c r="AC418" s="39">
        <f t="shared" si="54"/>
        <v>0</v>
      </c>
      <c r="AD418" s="38"/>
      <c r="AE418" s="38"/>
      <c r="AF418" s="39">
        <f t="shared" si="55"/>
        <v>0</v>
      </c>
    </row>
    <row r="419" spans="2:32" ht="15" customHeight="1" x14ac:dyDescent="0.3">
      <c r="B419" s="2" t="s">
        <v>836</v>
      </c>
      <c r="C419" s="4" t="s">
        <v>992</v>
      </c>
      <c r="D419" s="3" t="s">
        <v>1046</v>
      </c>
      <c r="E419" s="6" t="s">
        <v>1047</v>
      </c>
      <c r="F419" s="6" t="s">
        <v>149</v>
      </c>
      <c r="G419" s="6" t="s">
        <v>707</v>
      </c>
      <c r="H419" s="25">
        <v>391991.03749999998</v>
      </c>
      <c r="I419" s="38">
        <v>0</v>
      </c>
      <c r="J419" s="38">
        <v>0</v>
      </c>
      <c r="K419" s="39">
        <f t="shared" si="48"/>
        <v>0</v>
      </c>
      <c r="L419" s="38">
        <v>5</v>
      </c>
      <c r="M419" s="38">
        <v>5</v>
      </c>
      <c r="N419" s="39">
        <f t="shared" si="49"/>
        <v>9799775.9375</v>
      </c>
      <c r="O419" s="38">
        <v>0</v>
      </c>
      <c r="P419" s="38">
        <v>0</v>
      </c>
      <c r="Q419" s="39">
        <f t="shared" si="50"/>
        <v>0</v>
      </c>
      <c r="R419" s="38">
        <v>0</v>
      </c>
      <c r="S419" s="38">
        <v>0</v>
      </c>
      <c r="T419" s="39">
        <f t="shared" si="51"/>
        <v>0</v>
      </c>
      <c r="U419" s="38">
        <v>0</v>
      </c>
      <c r="V419" s="38">
        <v>0</v>
      </c>
      <c r="W419" s="39">
        <f t="shared" si="52"/>
        <v>0</v>
      </c>
      <c r="X419" s="38"/>
      <c r="Y419" s="38"/>
      <c r="Z419" s="39">
        <f t="shared" si="53"/>
        <v>0</v>
      </c>
      <c r="AA419" s="38"/>
      <c r="AB419" s="38"/>
      <c r="AC419" s="39">
        <f t="shared" si="54"/>
        <v>0</v>
      </c>
      <c r="AD419" s="38"/>
      <c r="AE419" s="38"/>
      <c r="AF419" s="39">
        <f t="shared" si="55"/>
        <v>0</v>
      </c>
    </row>
    <row r="420" spans="2:32" ht="15" customHeight="1" x14ac:dyDescent="0.3">
      <c r="B420" s="2" t="s">
        <v>836</v>
      </c>
      <c r="C420" s="4" t="s">
        <v>992</v>
      </c>
      <c r="D420" s="3" t="s">
        <v>1046</v>
      </c>
      <c r="E420" s="6" t="s">
        <v>1047</v>
      </c>
      <c r="F420" s="6" t="s">
        <v>149</v>
      </c>
      <c r="G420" s="6" t="s">
        <v>708</v>
      </c>
      <c r="H420" s="25">
        <v>425000</v>
      </c>
      <c r="I420" s="38">
        <v>0</v>
      </c>
      <c r="J420" s="38">
        <v>0</v>
      </c>
      <c r="K420" s="39">
        <f t="shared" si="48"/>
        <v>0</v>
      </c>
      <c r="L420" s="38">
        <v>1</v>
      </c>
      <c r="M420" s="38">
        <v>4</v>
      </c>
      <c r="N420" s="39">
        <f t="shared" si="49"/>
        <v>1700000</v>
      </c>
      <c r="O420" s="38">
        <v>0</v>
      </c>
      <c r="P420" s="38">
        <v>0</v>
      </c>
      <c r="Q420" s="39">
        <f t="shared" si="50"/>
        <v>0</v>
      </c>
      <c r="R420" s="38">
        <v>0</v>
      </c>
      <c r="S420" s="38">
        <v>0</v>
      </c>
      <c r="T420" s="39">
        <f t="shared" si="51"/>
        <v>0</v>
      </c>
      <c r="U420" s="38">
        <v>0</v>
      </c>
      <c r="V420" s="38">
        <v>0</v>
      </c>
      <c r="W420" s="39">
        <f t="shared" si="52"/>
        <v>0</v>
      </c>
      <c r="X420" s="38"/>
      <c r="Y420" s="38"/>
      <c r="Z420" s="39">
        <f t="shared" si="53"/>
        <v>0</v>
      </c>
      <c r="AA420" s="38"/>
      <c r="AB420" s="38"/>
      <c r="AC420" s="39">
        <f t="shared" si="54"/>
        <v>0</v>
      </c>
      <c r="AD420" s="38"/>
      <c r="AE420" s="38"/>
      <c r="AF420" s="39">
        <f t="shared" si="55"/>
        <v>0</v>
      </c>
    </row>
    <row r="421" spans="2:32" ht="15" customHeight="1" x14ac:dyDescent="0.3">
      <c r="B421" s="2" t="s">
        <v>836</v>
      </c>
      <c r="C421" s="4" t="s">
        <v>992</v>
      </c>
      <c r="D421" s="3" t="s">
        <v>1046</v>
      </c>
      <c r="E421" s="6" t="s">
        <v>1047</v>
      </c>
      <c r="F421" s="6" t="s">
        <v>895</v>
      </c>
      <c r="G421" s="6" t="s">
        <v>841</v>
      </c>
      <c r="H421" s="25">
        <v>0</v>
      </c>
      <c r="I421" s="38">
        <v>0</v>
      </c>
      <c r="J421" s="38">
        <v>0</v>
      </c>
      <c r="K421" s="39">
        <f t="shared" si="48"/>
        <v>0</v>
      </c>
      <c r="L421" s="38">
        <v>1</v>
      </c>
      <c r="M421" s="38">
        <v>30</v>
      </c>
      <c r="N421" s="39">
        <f t="shared" si="49"/>
        <v>0</v>
      </c>
      <c r="O421" s="38">
        <v>0</v>
      </c>
      <c r="P421" s="38">
        <v>0</v>
      </c>
      <c r="Q421" s="39">
        <f t="shared" si="50"/>
        <v>0</v>
      </c>
      <c r="R421" s="38">
        <v>0</v>
      </c>
      <c r="S421" s="38">
        <v>0</v>
      </c>
      <c r="T421" s="39">
        <f t="shared" si="51"/>
        <v>0</v>
      </c>
      <c r="U421" s="38">
        <v>0</v>
      </c>
      <c r="V421" s="38">
        <v>0</v>
      </c>
      <c r="W421" s="39">
        <f t="shared" si="52"/>
        <v>0</v>
      </c>
      <c r="X421" s="38"/>
      <c r="Y421" s="38"/>
      <c r="Z421" s="39">
        <f t="shared" si="53"/>
        <v>0</v>
      </c>
      <c r="AA421" s="38"/>
      <c r="AB421" s="38"/>
      <c r="AC421" s="39">
        <f t="shared" si="54"/>
        <v>0</v>
      </c>
      <c r="AD421" s="38"/>
      <c r="AE421" s="38"/>
      <c r="AF421" s="39">
        <f t="shared" si="55"/>
        <v>0</v>
      </c>
    </row>
    <row r="422" spans="2:32" ht="15" customHeight="1" x14ac:dyDescent="0.3">
      <c r="B422" s="2" t="s">
        <v>836</v>
      </c>
      <c r="C422" s="4" t="s">
        <v>992</v>
      </c>
      <c r="D422" s="3" t="s">
        <v>1046</v>
      </c>
      <c r="E422" s="6" t="s">
        <v>1047</v>
      </c>
      <c r="F422" s="6" t="s">
        <v>912</v>
      </c>
      <c r="G422" s="6" t="s">
        <v>841</v>
      </c>
      <c r="H422" s="25">
        <v>0</v>
      </c>
      <c r="I422" s="38">
        <v>0</v>
      </c>
      <c r="J422" s="38">
        <v>0</v>
      </c>
      <c r="K422" s="39">
        <f t="shared" si="48"/>
        <v>0</v>
      </c>
      <c r="L422" s="38">
        <v>5</v>
      </c>
      <c r="M422" s="38">
        <v>5</v>
      </c>
      <c r="N422" s="39">
        <f t="shared" si="49"/>
        <v>0</v>
      </c>
      <c r="O422" s="38">
        <v>0</v>
      </c>
      <c r="P422" s="38">
        <v>0</v>
      </c>
      <c r="Q422" s="39">
        <f t="shared" si="50"/>
        <v>0</v>
      </c>
      <c r="R422" s="38">
        <v>0</v>
      </c>
      <c r="S422" s="38">
        <v>0</v>
      </c>
      <c r="T422" s="39">
        <f t="shared" si="51"/>
        <v>0</v>
      </c>
      <c r="U422" s="38">
        <v>0</v>
      </c>
      <c r="V422" s="38">
        <v>0</v>
      </c>
      <c r="W422" s="39">
        <f t="shared" si="52"/>
        <v>0</v>
      </c>
      <c r="X422" s="38"/>
      <c r="Y422" s="38"/>
      <c r="Z422" s="39">
        <f t="shared" si="53"/>
        <v>0</v>
      </c>
      <c r="AA422" s="38"/>
      <c r="AB422" s="38"/>
      <c r="AC422" s="39">
        <f t="shared" si="54"/>
        <v>0</v>
      </c>
      <c r="AD422" s="38"/>
      <c r="AE422" s="38"/>
      <c r="AF422" s="39">
        <f t="shared" si="55"/>
        <v>0</v>
      </c>
    </row>
    <row r="423" spans="2:32" ht="15" customHeight="1" x14ac:dyDescent="0.3">
      <c r="B423" s="2" t="s">
        <v>836</v>
      </c>
      <c r="C423" s="4" t="s">
        <v>992</v>
      </c>
      <c r="D423" s="3" t="s">
        <v>1046</v>
      </c>
      <c r="E423" s="6" t="s">
        <v>1047</v>
      </c>
      <c r="F423" s="6" t="s">
        <v>1026</v>
      </c>
      <c r="G423" s="6" t="s">
        <v>709</v>
      </c>
      <c r="H423" s="25">
        <v>28000</v>
      </c>
      <c r="I423" s="38">
        <v>0</v>
      </c>
      <c r="J423" s="38">
        <v>0</v>
      </c>
      <c r="K423" s="39">
        <f t="shared" si="48"/>
        <v>0</v>
      </c>
      <c r="L423" s="38">
        <v>10</v>
      </c>
      <c r="M423" s="38">
        <v>1</v>
      </c>
      <c r="N423" s="39">
        <f t="shared" si="49"/>
        <v>280000</v>
      </c>
      <c r="O423" s="38">
        <v>0</v>
      </c>
      <c r="P423" s="38">
        <v>0</v>
      </c>
      <c r="Q423" s="39">
        <f t="shared" si="50"/>
        <v>0</v>
      </c>
      <c r="R423" s="38">
        <v>0</v>
      </c>
      <c r="S423" s="38">
        <v>0</v>
      </c>
      <c r="T423" s="39">
        <f t="shared" si="51"/>
        <v>0</v>
      </c>
      <c r="U423" s="38">
        <v>0</v>
      </c>
      <c r="V423" s="38">
        <v>0</v>
      </c>
      <c r="W423" s="39">
        <f t="shared" si="52"/>
        <v>0</v>
      </c>
      <c r="X423" s="38"/>
      <c r="Y423" s="38"/>
      <c r="Z423" s="39">
        <f t="shared" si="53"/>
        <v>0</v>
      </c>
      <c r="AA423" s="38"/>
      <c r="AB423" s="38"/>
      <c r="AC423" s="39">
        <f t="shared" si="54"/>
        <v>0</v>
      </c>
      <c r="AD423" s="38"/>
      <c r="AE423" s="38"/>
      <c r="AF423" s="39">
        <f t="shared" si="55"/>
        <v>0</v>
      </c>
    </row>
    <row r="424" spans="2:32" ht="15" customHeight="1" x14ac:dyDescent="0.3">
      <c r="B424" s="2" t="s">
        <v>836</v>
      </c>
      <c r="C424" s="4" t="s">
        <v>992</v>
      </c>
      <c r="D424" s="3" t="s">
        <v>1046</v>
      </c>
      <c r="E424" s="6" t="s">
        <v>1047</v>
      </c>
      <c r="F424" s="6" t="s">
        <v>1026</v>
      </c>
      <c r="G424" s="6" t="s">
        <v>711</v>
      </c>
      <c r="H424" s="25">
        <v>70</v>
      </c>
      <c r="I424" s="38">
        <v>0</v>
      </c>
      <c r="J424" s="38">
        <v>0</v>
      </c>
      <c r="K424" s="39">
        <f t="shared" si="48"/>
        <v>0</v>
      </c>
      <c r="L424" s="38">
        <v>25</v>
      </c>
      <c r="M424" s="38">
        <v>3</v>
      </c>
      <c r="N424" s="39">
        <f t="shared" si="49"/>
        <v>5250</v>
      </c>
      <c r="O424" s="38">
        <v>0</v>
      </c>
      <c r="P424" s="38">
        <v>0</v>
      </c>
      <c r="Q424" s="39">
        <f t="shared" si="50"/>
        <v>0</v>
      </c>
      <c r="R424" s="38">
        <v>0</v>
      </c>
      <c r="S424" s="38">
        <v>0</v>
      </c>
      <c r="T424" s="39">
        <f t="shared" si="51"/>
        <v>0</v>
      </c>
      <c r="U424" s="38">
        <v>0</v>
      </c>
      <c r="V424" s="38">
        <v>0</v>
      </c>
      <c r="W424" s="39">
        <f t="shared" si="52"/>
        <v>0</v>
      </c>
      <c r="X424" s="38"/>
      <c r="Y424" s="38"/>
      <c r="Z424" s="39">
        <f t="shared" si="53"/>
        <v>0</v>
      </c>
      <c r="AA424" s="38"/>
      <c r="AB424" s="38"/>
      <c r="AC424" s="39">
        <f t="shared" si="54"/>
        <v>0</v>
      </c>
      <c r="AD424" s="38"/>
      <c r="AE424" s="38"/>
      <c r="AF424" s="39">
        <f t="shared" si="55"/>
        <v>0</v>
      </c>
    </row>
    <row r="425" spans="2:32" ht="15" customHeight="1" x14ac:dyDescent="0.3">
      <c r="B425" s="2" t="s">
        <v>836</v>
      </c>
      <c r="C425" s="4" t="s">
        <v>992</v>
      </c>
      <c r="D425" s="3" t="s">
        <v>1046</v>
      </c>
      <c r="E425" s="6" t="s">
        <v>1047</v>
      </c>
      <c r="F425" s="6" t="s">
        <v>1026</v>
      </c>
      <c r="G425" s="6" t="s">
        <v>710</v>
      </c>
      <c r="H425" s="25">
        <v>104850</v>
      </c>
      <c r="I425" s="38">
        <v>0</v>
      </c>
      <c r="J425" s="38">
        <v>0</v>
      </c>
      <c r="K425" s="39">
        <f t="shared" si="48"/>
        <v>0</v>
      </c>
      <c r="L425" s="38">
        <v>5000</v>
      </c>
      <c r="M425" s="38">
        <v>1</v>
      </c>
      <c r="N425" s="39">
        <f t="shared" si="49"/>
        <v>524250000</v>
      </c>
      <c r="O425" s="38">
        <v>0</v>
      </c>
      <c r="P425" s="38">
        <v>0</v>
      </c>
      <c r="Q425" s="39">
        <f t="shared" si="50"/>
        <v>0</v>
      </c>
      <c r="R425" s="38">
        <v>0</v>
      </c>
      <c r="S425" s="38">
        <v>0</v>
      </c>
      <c r="T425" s="39">
        <f t="shared" si="51"/>
        <v>0</v>
      </c>
      <c r="U425" s="38">
        <v>0</v>
      </c>
      <c r="V425" s="38">
        <v>0</v>
      </c>
      <c r="W425" s="39">
        <f t="shared" si="52"/>
        <v>0</v>
      </c>
      <c r="X425" s="38"/>
      <c r="Y425" s="38"/>
      <c r="Z425" s="39">
        <f t="shared" si="53"/>
        <v>0</v>
      </c>
      <c r="AA425" s="38"/>
      <c r="AB425" s="38"/>
      <c r="AC425" s="39">
        <f t="shared" si="54"/>
        <v>0</v>
      </c>
      <c r="AD425" s="38"/>
      <c r="AE425" s="38"/>
      <c r="AF425" s="39">
        <f t="shared" si="55"/>
        <v>0</v>
      </c>
    </row>
    <row r="426" spans="2:32" ht="15" customHeight="1" x14ac:dyDescent="0.3">
      <c r="B426" s="2" t="s">
        <v>836</v>
      </c>
      <c r="C426" s="4" t="s">
        <v>992</v>
      </c>
      <c r="D426" s="3" t="s">
        <v>1046</v>
      </c>
      <c r="E426" s="6" t="s">
        <v>1047</v>
      </c>
      <c r="F426" s="6" t="s">
        <v>163</v>
      </c>
      <c r="G426" s="6" t="s">
        <v>713</v>
      </c>
      <c r="H426" s="25">
        <v>45000</v>
      </c>
      <c r="I426" s="38">
        <v>0</v>
      </c>
      <c r="J426" s="38">
        <v>0</v>
      </c>
      <c r="K426" s="39">
        <f t="shared" si="48"/>
        <v>0</v>
      </c>
      <c r="L426" s="38">
        <v>1</v>
      </c>
      <c r="M426" s="38">
        <v>1</v>
      </c>
      <c r="N426" s="39">
        <f t="shared" si="49"/>
        <v>45000</v>
      </c>
      <c r="O426" s="38">
        <v>0</v>
      </c>
      <c r="P426" s="38">
        <v>0</v>
      </c>
      <c r="Q426" s="39">
        <f t="shared" si="50"/>
        <v>0</v>
      </c>
      <c r="R426" s="38">
        <v>0</v>
      </c>
      <c r="S426" s="38">
        <v>0</v>
      </c>
      <c r="T426" s="39">
        <f t="shared" si="51"/>
        <v>0</v>
      </c>
      <c r="U426" s="38">
        <v>0</v>
      </c>
      <c r="V426" s="38">
        <v>0</v>
      </c>
      <c r="W426" s="39">
        <f t="shared" si="52"/>
        <v>0</v>
      </c>
      <c r="X426" s="38"/>
      <c r="Y426" s="38"/>
      <c r="Z426" s="39">
        <f t="shared" si="53"/>
        <v>0</v>
      </c>
      <c r="AA426" s="38"/>
      <c r="AB426" s="38"/>
      <c r="AC426" s="39">
        <f t="shared" si="54"/>
        <v>0</v>
      </c>
      <c r="AD426" s="38"/>
      <c r="AE426" s="38"/>
      <c r="AF426" s="39">
        <f t="shared" si="55"/>
        <v>0</v>
      </c>
    </row>
    <row r="427" spans="2:32" ht="15" customHeight="1" x14ac:dyDescent="0.3">
      <c r="B427" s="2" t="s">
        <v>836</v>
      </c>
      <c r="C427" s="4" t="s">
        <v>992</v>
      </c>
      <c r="D427" s="3" t="s">
        <v>1046</v>
      </c>
      <c r="E427" s="6" t="s">
        <v>1047</v>
      </c>
      <c r="F427" s="6" t="s">
        <v>163</v>
      </c>
      <c r="G427" s="6" t="s">
        <v>712</v>
      </c>
      <c r="H427" s="25">
        <v>214.29</v>
      </c>
      <c r="I427" s="38">
        <v>0</v>
      </c>
      <c r="J427" s="38">
        <v>0</v>
      </c>
      <c r="K427" s="39">
        <f t="shared" si="48"/>
        <v>0</v>
      </c>
      <c r="L427" s="38">
        <v>25</v>
      </c>
      <c r="M427" s="38">
        <v>1</v>
      </c>
      <c r="N427" s="39">
        <f t="shared" si="49"/>
        <v>5357.25</v>
      </c>
      <c r="O427" s="38">
        <v>0</v>
      </c>
      <c r="P427" s="38">
        <v>0</v>
      </c>
      <c r="Q427" s="39">
        <f t="shared" si="50"/>
        <v>0</v>
      </c>
      <c r="R427" s="38">
        <v>0</v>
      </c>
      <c r="S427" s="38">
        <v>0</v>
      </c>
      <c r="T427" s="39">
        <f t="shared" si="51"/>
        <v>0</v>
      </c>
      <c r="U427" s="38">
        <v>0</v>
      </c>
      <c r="V427" s="38">
        <v>0</v>
      </c>
      <c r="W427" s="39">
        <f t="shared" si="52"/>
        <v>0</v>
      </c>
      <c r="X427" s="38"/>
      <c r="Y427" s="38"/>
      <c r="Z427" s="39">
        <f t="shared" si="53"/>
        <v>0</v>
      </c>
      <c r="AA427" s="38"/>
      <c r="AB427" s="38"/>
      <c r="AC427" s="39">
        <f t="shared" si="54"/>
        <v>0</v>
      </c>
      <c r="AD427" s="38"/>
      <c r="AE427" s="38"/>
      <c r="AF427" s="39">
        <f t="shared" si="55"/>
        <v>0</v>
      </c>
    </row>
    <row r="428" spans="2:32" ht="15" customHeight="1" x14ac:dyDescent="0.3">
      <c r="B428" s="2" t="s">
        <v>836</v>
      </c>
      <c r="C428" s="4" t="s">
        <v>992</v>
      </c>
      <c r="D428" s="3" t="s">
        <v>1046</v>
      </c>
      <c r="E428" s="6" t="s">
        <v>1047</v>
      </c>
      <c r="F428" s="6" t="s">
        <v>1027</v>
      </c>
      <c r="G428" s="6" t="s">
        <v>841</v>
      </c>
      <c r="H428" s="25">
        <v>0</v>
      </c>
      <c r="I428" s="38">
        <v>0</v>
      </c>
      <c r="J428" s="38">
        <v>0</v>
      </c>
      <c r="K428" s="39">
        <f t="shared" si="48"/>
        <v>0</v>
      </c>
      <c r="L428" s="38">
        <v>4000</v>
      </c>
      <c r="M428" s="38">
        <v>1</v>
      </c>
      <c r="N428" s="39">
        <f t="shared" si="49"/>
        <v>0</v>
      </c>
      <c r="O428" s="38">
        <v>0</v>
      </c>
      <c r="P428" s="38">
        <v>0</v>
      </c>
      <c r="Q428" s="39">
        <f t="shared" si="50"/>
        <v>0</v>
      </c>
      <c r="R428" s="38">
        <v>0</v>
      </c>
      <c r="S428" s="38">
        <v>0</v>
      </c>
      <c r="T428" s="39">
        <f t="shared" si="51"/>
        <v>0</v>
      </c>
      <c r="U428" s="38">
        <v>0</v>
      </c>
      <c r="V428" s="38">
        <v>0</v>
      </c>
      <c r="W428" s="39">
        <f t="shared" si="52"/>
        <v>0</v>
      </c>
      <c r="X428" s="38"/>
      <c r="Y428" s="38"/>
      <c r="Z428" s="39">
        <f t="shared" si="53"/>
        <v>0</v>
      </c>
      <c r="AA428" s="38"/>
      <c r="AB428" s="38"/>
      <c r="AC428" s="39">
        <f t="shared" si="54"/>
        <v>0</v>
      </c>
      <c r="AD428" s="38"/>
      <c r="AE428" s="38"/>
      <c r="AF428" s="39">
        <f t="shared" si="55"/>
        <v>0</v>
      </c>
    </row>
    <row r="429" spans="2:32" ht="15" customHeight="1" x14ac:dyDescent="0.3">
      <c r="B429" s="2" t="s">
        <v>836</v>
      </c>
      <c r="C429" s="4" t="s">
        <v>992</v>
      </c>
      <c r="D429" s="3" t="s">
        <v>1046</v>
      </c>
      <c r="E429" s="6" t="s">
        <v>1047</v>
      </c>
      <c r="F429" s="6" t="s">
        <v>157</v>
      </c>
      <c r="G429" s="6" t="s">
        <v>713</v>
      </c>
      <c r="H429" s="25">
        <v>45000</v>
      </c>
      <c r="I429" s="38">
        <v>0</v>
      </c>
      <c r="J429" s="38">
        <v>0</v>
      </c>
      <c r="K429" s="39">
        <f t="shared" si="48"/>
        <v>0</v>
      </c>
      <c r="L429" s="38">
        <v>30</v>
      </c>
      <c r="M429" s="38">
        <v>5</v>
      </c>
      <c r="N429" s="39">
        <f t="shared" si="49"/>
        <v>6750000</v>
      </c>
      <c r="O429" s="38">
        <v>0</v>
      </c>
      <c r="P429" s="38">
        <v>0</v>
      </c>
      <c r="Q429" s="39">
        <f t="shared" si="50"/>
        <v>0</v>
      </c>
      <c r="R429" s="38">
        <v>0</v>
      </c>
      <c r="S429" s="38">
        <v>0</v>
      </c>
      <c r="T429" s="39">
        <f t="shared" si="51"/>
        <v>0</v>
      </c>
      <c r="U429" s="38">
        <v>0</v>
      </c>
      <c r="V429" s="38">
        <v>0</v>
      </c>
      <c r="W429" s="39">
        <f t="shared" si="52"/>
        <v>0</v>
      </c>
      <c r="X429" s="38"/>
      <c r="Y429" s="38"/>
      <c r="Z429" s="39">
        <f t="shared" si="53"/>
        <v>0</v>
      </c>
      <c r="AA429" s="38"/>
      <c r="AB429" s="38"/>
      <c r="AC429" s="39">
        <f t="shared" si="54"/>
        <v>0</v>
      </c>
      <c r="AD429" s="38"/>
      <c r="AE429" s="38"/>
      <c r="AF429" s="39">
        <f t="shared" si="55"/>
        <v>0</v>
      </c>
    </row>
    <row r="430" spans="2:32" ht="15" customHeight="1" x14ac:dyDescent="0.3">
      <c r="B430" s="2" t="s">
        <v>836</v>
      </c>
      <c r="C430" s="4" t="s">
        <v>992</v>
      </c>
      <c r="D430" s="3" t="s">
        <v>1046</v>
      </c>
      <c r="E430" s="6" t="s">
        <v>1047</v>
      </c>
      <c r="F430" s="6" t="s">
        <v>157</v>
      </c>
      <c r="G430" s="6" t="s">
        <v>712</v>
      </c>
      <c r="H430" s="25">
        <v>214.29</v>
      </c>
      <c r="I430" s="38">
        <v>0</v>
      </c>
      <c r="J430" s="38">
        <v>0</v>
      </c>
      <c r="K430" s="39">
        <f t="shared" si="48"/>
        <v>0</v>
      </c>
      <c r="L430" s="38">
        <v>25</v>
      </c>
      <c r="M430" s="38">
        <v>10</v>
      </c>
      <c r="N430" s="39">
        <f t="shared" si="49"/>
        <v>53572.5</v>
      </c>
      <c r="O430" s="38">
        <v>0</v>
      </c>
      <c r="P430" s="38">
        <v>0</v>
      </c>
      <c r="Q430" s="39">
        <f t="shared" si="50"/>
        <v>0</v>
      </c>
      <c r="R430" s="38">
        <v>0</v>
      </c>
      <c r="S430" s="38">
        <v>0</v>
      </c>
      <c r="T430" s="39">
        <f t="shared" si="51"/>
        <v>0</v>
      </c>
      <c r="U430" s="38">
        <v>0</v>
      </c>
      <c r="V430" s="38">
        <v>0</v>
      </c>
      <c r="W430" s="39">
        <f t="shared" si="52"/>
        <v>0</v>
      </c>
      <c r="X430" s="38"/>
      <c r="Y430" s="38"/>
      <c r="Z430" s="39">
        <f t="shared" si="53"/>
        <v>0</v>
      </c>
      <c r="AA430" s="38"/>
      <c r="AB430" s="38"/>
      <c r="AC430" s="39">
        <f t="shared" si="54"/>
        <v>0</v>
      </c>
      <c r="AD430" s="38"/>
      <c r="AE430" s="38"/>
      <c r="AF430" s="39">
        <f t="shared" si="55"/>
        <v>0</v>
      </c>
    </row>
    <row r="431" spans="2:32" ht="15" customHeight="1" x14ac:dyDescent="0.3">
      <c r="B431" s="2" t="s">
        <v>836</v>
      </c>
      <c r="C431" s="4" t="s">
        <v>992</v>
      </c>
      <c r="D431" s="3" t="s">
        <v>1046</v>
      </c>
      <c r="E431" s="6" t="s">
        <v>1047</v>
      </c>
      <c r="F431" s="6" t="s">
        <v>157</v>
      </c>
      <c r="G431" s="6" t="s">
        <v>714</v>
      </c>
      <c r="H431" s="25">
        <v>10000</v>
      </c>
      <c r="I431" s="38">
        <v>0</v>
      </c>
      <c r="J431" s="38">
        <v>0</v>
      </c>
      <c r="K431" s="39">
        <f t="shared" si="48"/>
        <v>0</v>
      </c>
      <c r="L431" s="38">
        <v>20000</v>
      </c>
      <c r="M431" s="38">
        <v>1</v>
      </c>
      <c r="N431" s="39">
        <f t="shared" si="49"/>
        <v>200000000</v>
      </c>
      <c r="O431" s="38">
        <v>0</v>
      </c>
      <c r="P431" s="38">
        <v>0</v>
      </c>
      <c r="Q431" s="39">
        <f t="shared" si="50"/>
        <v>0</v>
      </c>
      <c r="R431" s="38">
        <v>0</v>
      </c>
      <c r="S431" s="38">
        <v>0</v>
      </c>
      <c r="T431" s="39">
        <f t="shared" si="51"/>
        <v>0</v>
      </c>
      <c r="U431" s="38">
        <v>0</v>
      </c>
      <c r="V431" s="38">
        <v>0</v>
      </c>
      <c r="W431" s="39">
        <f t="shared" si="52"/>
        <v>0</v>
      </c>
      <c r="X431" s="38"/>
      <c r="Y431" s="38"/>
      <c r="Z431" s="39">
        <f t="shared" si="53"/>
        <v>0</v>
      </c>
      <c r="AA431" s="38"/>
      <c r="AB431" s="38"/>
      <c r="AC431" s="39">
        <f t="shared" si="54"/>
        <v>0</v>
      </c>
      <c r="AD431" s="38"/>
      <c r="AE431" s="38"/>
      <c r="AF431" s="39">
        <f t="shared" si="55"/>
        <v>0</v>
      </c>
    </row>
    <row r="432" spans="2:32" ht="15" customHeight="1" x14ac:dyDescent="0.3">
      <c r="B432" s="2" t="s">
        <v>836</v>
      </c>
      <c r="C432" s="4" t="s">
        <v>992</v>
      </c>
      <c r="D432" s="3" t="s">
        <v>1046</v>
      </c>
      <c r="E432" s="6" t="s">
        <v>1047</v>
      </c>
      <c r="F432" s="6" t="s">
        <v>157</v>
      </c>
      <c r="G432" s="6" t="s">
        <v>715</v>
      </c>
      <c r="H432" s="25">
        <v>302000</v>
      </c>
      <c r="I432" s="38">
        <v>0</v>
      </c>
      <c r="J432" s="38">
        <v>0</v>
      </c>
      <c r="K432" s="39">
        <f t="shared" si="48"/>
        <v>0</v>
      </c>
      <c r="L432" s="38">
        <v>15</v>
      </c>
      <c r="M432" s="38">
        <v>1</v>
      </c>
      <c r="N432" s="39">
        <f t="shared" si="49"/>
        <v>4530000</v>
      </c>
      <c r="O432" s="38">
        <v>0</v>
      </c>
      <c r="P432" s="38">
        <v>0</v>
      </c>
      <c r="Q432" s="39">
        <f t="shared" si="50"/>
        <v>0</v>
      </c>
      <c r="R432" s="38">
        <v>0</v>
      </c>
      <c r="S432" s="38">
        <v>0</v>
      </c>
      <c r="T432" s="39">
        <f t="shared" si="51"/>
        <v>0</v>
      </c>
      <c r="U432" s="38">
        <v>0</v>
      </c>
      <c r="V432" s="38">
        <v>0</v>
      </c>
      <c r="W432" s="39">
        <f t="shared" si="52"/>
        <v>0</v>
      </c>
      <c r="X432" s="38"/>
      <c r="Y432" s="38"/>
      <c r="Z432" s="39">
        <f t="shared" si="53"/>
        <v>0</v>
      </c>
      <c r="AA432" s="38"/>
      <c r="AB432" s="38"/>
      <c r="AC432" s="39">
        <f t="shared" si="54"/>
        <v>0</v>
      </c>
      <c r="AD432" s="38"/>
      <c r="AE432" s="38"/>
      <c r="AF432" s="39">
        <f t="shared" si="55"/>
        <v>0</v>
      </c>
    </row>
    <row r="433" spans="2:32" ht="15" customHeight="1" x14ac:dyDescent="0.3">
      <c r="B433" s="2" t="s">
        <v>836</v>
      </c>
      <c r="C433" s="4" t="s">
        <v>992</v>
      </c>
      <c r="D433" s="3" t="s">
        <v>1046</v>
      </c>
      <c r="E433" s="6" t="s">
        <v>1047</v>
      </c>
      <c r="F433" s="6" t="s">
        <v>1004</v>
      </c>
      <c r="G433" s="6" t="s">
        <v>709</v>
      </c>
      <c r="H433" s="25">
        <v>28000</v>
      </c>
      <c r="I433" s="38">
        <v>0</v>
      </c>
      <c r="J433" s="38">
        <v>0</v>
      </c>
      <c r="K433" s="39">
        <f t="shared" si="48"/>
        <v>0</v>
      </c>
      <c r="L433" s="38">
        <v>20</v>
      </c>
      <c r="M433" s="38">
        <v>1</v>
      </c>
      <c r="N433" s="39">
        <f t="shared" si="49"/>
        <v>560000</v>
      </c>
      <c r="O433" s="38">
        <v>0</v>
      </c>
      <c r="P433" s="38">
        <v>0</v>
      </c>
      <c r="Q433" s="39">
        <f t="shared" si="50"/>
        <v>0</v>
      </c>
      <c r="R433" s="38">
        <v>0</v>
      </c>
      <c r="S433" s="38">
        <v>0</v>
      </c>
      <c r="T433" s="39">
        <f t="shared" si="51"/>
        <v>0</v>
      </c>
      <c r="U433" s="38">
        <v>0</v>
      </c>
      <c r="V433" s="38">
        <v>0</v>
      </c>
      <c r="W433" s="39">
        <f t="shared" si="52"/>
        <v>0</v>
      </c>
      <c r="X433" s="38"/>
      <c r="Y433" s="38"/>
      <c r="Z433" s="39">
        <f t="shared" si="53"/>
        <v>0</v>
      </c>
      <c r="AA433" s="38"/>
      <c r="AB433" s="38"/>
      <c r="AC433" s="39">
        <f t="shared" si="54"/>
        <v>0</v>
      </c>
      <c r="AD433" s="38"/>
      <c r="AE433" s="38"/>
      <c r="AF433" s="39">
        <f t="shared" si="55"/>
        <v>0</v>
      </c>
    </row>
    <row r="434" spans="2:32" ht="15" customHeight="1" x14ac:dyDescent="0.3">
      <c r="B434" s="2" t="s">
        <v>836</v>
      </c>
      <c r="C434" s="4" t="s">
        <v>992</v>
      </c>
      <c r="D434" s="3" t="s">
        <v>1046</v>
      </c>
      <c r="E434" s="6" t="s">
        <v>1047</v>
      </c>
      <c r="F434" s="6" t="s">
        <v>1004</v>
      </c>
      <c r="G434" s="6" t="s">
        <v>716</v>
      </c>
      <c r="H434" s="25">
        <v>39000</v>
      </c>
      <c r="I434" s="38">
        <v>0</v>
      </c>
      <c r="J434" s="38">
        <v>0</v>
      </c>
      <c r="K434" s="39">
        <f t="shared" si="48"/>
        <v>0</v>
      </c>
      <c r="L434" s="38">
        <v>25</v>
      </c>
      <c r="M434" s="38">
        <v>5</v>
      </c>
      <c r="N434" s="39">
        <f t="shared" si="49"/>
        <v>4875000</v>
      </c>
      <c r="O434" s="38">
        <v>0</v>
      </c>
      <c r="P434" s="38">
        <v>0</v>
      </c>
      <c r="Q434" s="39">
        <f t="shared" si="50"/>
        <v>0</v>
      </c>
      <c r="R434" s="38">
        <v>0</v>
      </c>
      <c r="S434" s="38">
        <v>0</v>
      </c>
      <c r="T434" s="39">
        <f t="shared" si="51"/>
        <v>0</v>
      </c>
      <c r="U434" s="38">
        <v>0</v>
      </c>
      <c r="V434" s="38">
        <v>0</v>
      </c>
      <c r="W434" s="39">
        <f t="shared" si="52"/>
        <v>0</v>
      </c>
      <c r="X434" s="38"/>
      <c r="Y434" s="38"/>
      <c r="Z434" s="39">
        <f t="shared" si="53"/>
        <v>0</v>
      </c>
      <c r="AA434" s="38"/>
      <c r="AB434" s="38"/>
      <c r="AC434" s="39">
        <f t="shared" si="54"/>
        <v>0</v>
      </c>
      <c r="AD434" s="38"/>
      <c r="AE434" s="38"/>
      <c r="AF434" s="39">
        <f t="shared" si="55"/>
        <v>0</v>
      </c>
    </row>
    <row r="435" spans="2:32" ht="15" customHeight="1" x14ac:dyDescent="0.3">
      <c r="B435" s="2" t="s">
        <v>836</v>
      </c>
      <c r="C435" s="4" t="s">
        <v>992</v>
      </c>
      <c r="D435" s="3" t="s">
        <v>1046</v>
      </c>
      <c r="E435" s="6" t="s">
        <v>1047</v>
      </c>
      <c r="F435" s="6" t="s">
        <v>1004</v>
      </c>
      <c r="G435" s="6" t="s">
        <v>712</v>
      </c>
      <c r="H435" s="25">
        <v>214.29</v>
      </c>
      <c r="I435" s="38">
        <v>0</v>
      </c>
      <c r="J435" s="38">
        <v>0</v>
      </c>
      <c r="K435" s="39">
        <f t="shared" si="48"/>
        <v>0</v>
      </c>
      <c r="L435" s="38">
        <v>25</v>
      </c>
      <c r="M435" s="38">
        <v>5</v>
      </c>
      <c r="N435" s="39">
        <f t="shared" si="49"/>
        <v>26786.25</v>
      </c>
      <c r="O435" s="38">
        <v>0</v>
      </c>
      <c r="P435" s="38">
        <v>0</v>
      </c>
      <c r="Q435" s="39">
        <f t="shared" si="50"/>
        <v>0</v>
      </c>
      <c r="R435" s="38">
        <v>0</v>
      </c>
      <c r="S435" s="38">
        <v>0</v>
      </c>
      <c r="T435" s="39">
        <f t="shared" si="51"/>
        <v>0</v>
      </c>
      <c r="U435" s="38">
        <v>0</v>
      </c>
      <c r="V435" s="38">
        <v>0</v>
      </c>
      <c r="W435" s="39">
        <f t="shared" si="52"/>
        <v>0</v>
      </c>
      <c r="X435" s="38"/>
      <c r="Y435" s="38"/>
      <c r="Z435" s="39">
        <f t="shared" si="53"/>
        <v>0</v>
      </c>
      <c r="AA435" s="38"/>
      <c r="AB435" s="38"/>
      <c r="AC435" s="39">
        <f t="shared" si="54"/>
        <v>0</v>
      </c>
      <c r="AD435" s="38"/>
      <c r="AE435" s="38"/>
      <c r="AF435" s="39">
        <f t="shared" si="55"/>
        <v>0</v>
      </c>
    </row>
    <row r="436" spans="2:32" ht="15" customHeight="1" x14ac:dyDescent="0.3">
      <c r="B436" s="2" t="s">
        <v>836</v>
      </c>
      <c r="C436" s="4" t="s">
        <v>992</v>
      </c>
      <c r="D436" s="3" t="s">
        <v>1046</v>
      </c>
      <c r="E436" s="6" t="s">
        <v>1047</v>
      </c>
      <c r="F436" s="6" t="s">
        <v>1028</v>
      </c>
      <c r="G436" s="6" t="s">
        <v>841</v>
      </c>
      <c r="H436" s="25">
        <v>0</v>
      </c>
      <c r="I436" s="38">
        <v>0</v>
      </c>
      <c r="J436" s="38">
        <v>0</v>
      </c>
      <c r="K436" s="39">
        <f t="shared" si="48"/>
        <v>0</v>
      </c>
      <c r="L436" s="38">
        <v>4000</v>
      </c>
      <c r="M436" s="38">
        <v>1</v>
      </c>
      <c r="N436" s="39">
        <f t="shared" si="49"/>
        <v>0</v>
      </c>
      <c r="O436" s="38">
        <v>0</v>
      </c>
      <c r="P436" s="38">
        <v>0</v>
      </c>
      <c r="Q436" s="39">
        <f t="shared" si="50"/>
        <v>0</v>
      </c>
      <c r="R436" s="38">
        <v>0</v>
      </c>
      <c r="S436" s="38">
        <v>0</v>
      </c>
      <c r="T436" s="39">
        <f t="shared" si="51"/>
        <v>0</v>
      </c>
      <c r="U436" s="38">
        <v>0</v>
      </c>
      <c r="V436" s="38">
        <v>0</v>
      </c>
      <c r="W436" s="39">
        <f t="shared" si="52"/>
        <v>0</v>
      </c>
      <c r="X436" s="38"/>
      <c r="Y436" s="38"/>
      <c r="Z436" s="39">
        <f t="shared" si="53"/>
        <v>0</v>
      </c>
      <c r="AA436" s="38"/>
      <c r="AB436" s="38"/>
      <c r="AC436" s="39">
        <f t="shared" si="54"/>
        <v>0</v>
      </c>
      <c r="AD436" s="38"/>
      <c r="AE436" s="38"/>
      <c r="AF436" s="39">
        <f t="shared" si="55"/>
        <v>0</v>
      </c>
    </row>
    <row r="437" spans="2:32" ht="15" customHeight="1" x14ac:dyDescent="0.3">
      <c r="B437" s="2" t="s">
        <v>836</v>
      </c>
      <c r="C437" s="4" t="s">
        <v>992</v>
      </c>
      <c r="D437" s="3" t="s">
        <v>1046</v>
      </c>
      <c r="E437" s="6" t="s">
        <v>1047</v>
      </c>
      <c r="F437" s="6" t="s">
        <v>168</v>
      </c>
      <c r="G437" s="6" t="s">
        <v>709</v>
      </c>
      <c r="H437" s="25">
        <v>28000</v>
      </c>
      <c r="I437" s="38">
        <v>0</v>
      </c>
      <c r="J437" s="38">
        <v>0</v>
      </c>
      <c r="K437" s="39">
        <f t="shared" si="48"/>
        <v>0</v>
      </c>
      <c r="L437" s="38">
        <v>25</v>
      </c>
      <c r="M437" s="38">
        <v>5</v>
      </c>
      <c r="N437" s="39">
        <f t="shared" si="49"/>
        <v>3500000</v>
      </c>
      <c r="O437" s="38">
        <v>0</v>
      </c>
      <c r="P437" s="38">
        <v>0</v>
      </c>
      <c r="Q437" s="39">
        <f t="shared" si="50"/>
        <v>0</v>
      </c>
      <c r="R437" s="38">
        <v>0</v>
      </c>
      <c r="S437" s="38">
        <v>0</v>
      </c>
      <c r="T437" s="39">
        <f t="shared" si="51"/>
        <v>0</v>
      </c>
      <c r="U437" s="38">
        <v>0</v>
      </c>
      <c r="V437" s="38">
        <v>0</v>
      </c>
      <c r="W437" s="39">
        <f t="shared" si="52"/>
        <v>0</v>
      </c>
      <c r="X437" s="38"/>
      <c r="Y437" s="38"/>
      <c r="Z437" s="39">
        <f t="shared" si="53"/>
        <v>0</v>
      </c>
      <c r="AA437" s="38"/>
      <c r="AB437" s="38"/>
      <c r="AC437" s="39">
        <f t="shared" si="54"/>
        <v>0</v>
      </c>
      <c r="AD437" s="38"/>
      <c r="AE437" s="38"/>
      <c r="AF437" s="39">
        <f t="shared" si="55"/>
        <v>0</v>
      </c>
    </row>
    <row r="438" spans="2:32" ht="15" customHeight="1" x14ac:dyDescent="0.3">
      <c r="B438" s="2" t="s">
        <v>836</v>
      </c>
      <c r="C438" s="4" t="s">
        <v>992</v>
      </c>
      <c r="D438" s="3" t="s">
        <v>1046</v>
      </c>
      <c r="E438" s="6" t="s">
        <v>1047</v>
      </c>
      <c r="F438" s="6" t="s">
        <v>168</v>
      </c>
      <c r="G438" s="6" t="s">
        <v>1029</v>
      </c>
      <c r="H438" s="25">
        <v>214.29</v>
      </c>
      <c r="I438" s="38">
        <v>0</v>
      </c>
      <c r="J438" s="38">
        <v>0</v>
      </c>
      <c r="K438" s="39">
        <f t="shared" si="48"/>
        <v>0</v>
      </c>
      <c r="L438" s="38">
        <v>50</v>
      </c>
      <c r="M438" s="38">
        <v>1</v>
      </c>
      <c r="N438" s="39">
        <f t="shared" si="49"/>
        <v>10714.5</v>
      </c>
      <c r="O438" s="38">
        <v>0</v>
      </c>
      <c r="P438" s="38">
        <v>0</v>
      </c>
      <c r="Q438" s="39">
        <f t="shared" si="50"/>
        <v>0</v>
      </c>
      <c r="R438" s="38">
        <v>0</v>
      </c>
      <c r="S438" s="38">
        <v>0</v>
      </c>
      <c r="T438" s="39">
        <f t="shared" si="51"/>
        <v>0</v>
      </c>
      <c r="U438" s="38">
        <v>0</v>
      </c>
      <c r="V438" s="38">
        <v>0</v>
      </c>
      <c r="W438" s="39">
        <f t="shared" si="52"/>
        <v>0</v>
      </c>
      <c r="X438" s="38"/>
      <c r="Y438" s="38"/>
      <c r="Z438" s="39">
        <f t="shared" si="53"/>
        <v>0</v>
      </c>
      <c r="AA438" s="38"/>
      <c r="AB438" s="38"/>
      <c r="AC438" s="39">
        <f t="shared" si="54"/>
        <v>0</v>
      </c>
      <c r="AD438" s="38"/>
      <c r="AE438" s="38"/>
      <c r="AF438" s="39">
        <f t="shared" si="55"/>
        <v>0</v>
      </c>
    </row>
    <row r="439" spans="2:32" ht="15" customHeight="1" x14ac:dyDescent="0.3">
      <c r="B439" s="2" t="s">
        <v>836</v>
      </c>
      <c r="C439" s="4" t="s">
        <v>992</v>
      </c>
      <c r="D439" s="3" t="s">
        <v>1046</v>
      </c>
      <c r="E439" s="6" t="s">
        <v>1047</v>
      </c>
      <c r="F439" s="6" t="s">
        <v>1030</v>
      </c>
      <c r="G439" s="6" t="s">
        <v>709</v>
      </c>
      <c r="H439" s="25">
        <v>28000</v>
      </c>
      <c r="I439" s="38">
        <v>0</v>
      </c>
      <c r="J439" s="38">
        <v>0</v>
      </c>
      <c r="K439" s="39">
        <f t="shared" si="48"/>
        <v>0</v>
      </c>
      <c r="L439" s="38">
        <v>8000</v>
      </c>
      <c r="M439" s="38">
        <v>1</v>
      </c>
      <c r="N439" s="39">
        <f t="shared" si="49"/>
        <v>224000000</v>
      </c>
      <c r="O439" s="38">
        <v>0</v>
      </c>
      <c r="P439" s="38">
        <v>0</v>
      </c>
      <c r="Q439" s="39">
        <f t="shared" si="50"/>
        <v>0</v>
      </c>
      <c r="R439" s="38">
        <v>0</v>
      </c>
      <c r="S439" s="38">
        <v>0</v>
      </c>
      <c r="T439" s="39">
        <f t="shared" si="51"/>
        <v>0</v>
      </c>
      <c r="U439" s="38">
        <v>0</v>
      </c>
      <c r="V439" s="38">
        <v>0</v>
      </c>
      <c r="W439" s="39">
        <f t="shared" si="52"/>
        <v>0</v>
      </c>
      <c r="X439" s="38"/>
      <c r="Y439" s="38"/>
      <c r="Z439" s="39">
        <f t="shared" si="53"/>
        <v>0</v>
      </c>
      <c r="AA439" s="38"/>
      <c r="AB439" s="38"/>
      <c r="AC439" s="39">
        <f t="shared" si="54"/>
        <v>0</v>
      </c>
      <c r="AD439" s="38"/>
      <c r="AE439" s="38"/>
      <c r="AF439" s="39">
        <f t="shared" si="55"/>
        <v>0</v>
      </c>
    </row>
    <row r="440" spans="2:32" ht="15" customHeight="1" x14ac:dyDescent="0.3">
      <c r="B440" s="2" t="s">
        <v>836</v>
      </c>
      <c r="C440" s="4" t="s">
        <v>992</v>
      </c>
      <c r="D440" s="3" t="s">
        <v>1046</v>
      </c>
      <c r="E440" s="6" t="s">
        <v>1047</v>
      </c>
      <c r="F440" s="6" t="s">
        <v>856</v>
      </c>
      <c r="G440" s="6" t="s">
        <v>841</v>
      </c>
      <c r="H440" s="25">
        <v>0</v>
      </c>
      <c r="I440" s="38">
        <v>0</v>
      </c>
      <c r="J440" s="38">
        <v>0</v>
      </c>
      <c r="K440" s="39">
        <f t="shared" si="48"/>
        <v>0</v>
      </c>
      <c r="L440" s="38">
        <v>30</v>
      </c>
      <c r="M440" s="38">
        <v>0.5</v>
      </c>
      <c r="N440" s="39">
        <f t="shared" si="49"/>
        <v>0</v>
      </c>
      <c r="O440" s="38">
        <v>0</v>
      </c>
      <c r="P440" s="38">
        <v>0</v>
      </c>
      <c r="Q440" s="39">
        <f t="shared" si="50"/>
        <v>0</v>
      </c>
      <c r="R440" s="38">
        <v>0</v>
      </c>
      <c r="S440" s="38">
        <v>0</v>
      </c>
      <c r="T440" s="39">
        <f t="shared" si="51"/>
        <v>0</v>
      </c>
      <c r="U440" s="38">
        <v>0</v>
      </c>
      <c r="V440" s="38">
        <v>0</v>
      </c>
      <c r="W440" s="39">
        <f t="shared" si="52"/>
        <v>0</v>
      </c>
      <c r="X440" s="38"/>
      <c r="Y440" s="38"/>
      <c r="Z440" s="39">
        <f t="shared" si="53"/>
        <v>0</v>
      </c>
      <c r="AA440" s="38"/>
      <c r="AB440" s="38"/>
      <c r="AC440" s="39">
        <f t="shared" si="54"/>
        <v>0</v>
      </c>
      <c r="AD440" s="38"/>
      <c r="AE440" s="38"/>
      <c r="AF440" s="39">
        <f t="shared" si="55"/>
        <v>0</v>
      </c>
    </row>
    <row r="441" spans="2:32" ht="15" customHeight="1" x14ac:dyDescent="0.3">
      <c r="B441" s="2" t="s">
        <v>836</v>
      </c>
      <c r="C441" s="4" t="s">
        <v>992</v>
      </c>
      <c r="D441" s="3" t="s">
        <v>1046</v>
      </c>
      <c r="E441" s="6" t="s">
        <v>1047</v>
      </c>
      <c r="F441" s="6" t="s">
        <v>945</v>
      </c>
      <c r="G441" s="6" t="s">
        <v>841</v>
      </c>
      <c r="H441" s="25">
        <v>0</v>
      </c>
      <c r="I441" s="38">
        <v>0</v>
      </c>
      <c r="J441" s="38">
        <v>0</v>
      </c>
      <c r="K441" s="39">
        <f t="shared" si="48"/>
        <v>0</v>
      </c>
      <c r="L441" s="38">
        <v>10</v>
      </c>
      <c r="M441" s="38">
        <v>1</v>
      </c>
      <c r="N441" s="39">
        <f t="shared" si="49"/>
        <v>0</v>
      </c>
      <c r="O441" s="38">
        <v>0</v>
      </c>
      <c r="P441" s="38">
        <v>0</v>
      </c>
      <c r="Q441" s="39">
        <f t="shared" si="50"/>
        <v>0</v>
      </c>
      <c r="R441" s="38">
        <v>0</v>
      </c>
      <c r="S441" s="38">
        <v>0</v>
      </c>
      <c r="T441" s="39">
        <f t="shared" si="51"/>
        <v>0</v>
      </c>
      <c r="U441" s="38">
        <v>0</v>
      </c>
      <c r="V441" s="38">
        <v>0</v>
      </c>
      <c r="W441" s="39">
        <f t="shared" si="52"/>
        <v>0</v>
      </c>
      <c r="X441" s="38"/>
      <c r="Y441" s="38"/>
      <c r="Z441" s="39">
        <f t="shared" si="53"/>
        <v>0</v>
      </c>
      <c r="AA441" s="38"/>
      <c r="AB441" s="38"/>
      <c r="AC441" s="39">
        <f t="shared" si="54"/>
        <v>0</v>
      </c>
      <c r="AD441" s="38"/>
      <c r="AE441" s="38"/>
      <c r="AF441" s="39">
        <f t="shared" si="55"/>
        <v>0</v>
      </c>
    </row>
    <row r="442" spans="2:32" ht="15" customHeight="1" x14ac:dyDescent="0.3">
      <c r="B442" s="2" t="s">
        <v>836</v>
      </c>
      <c r="C442" s="4" t="s">
        <v>992</v>
      </c>
      <c r="D442" s="3" t="s">
        <v>1046</v>
      </c>
      <c r="E442" s="6" t="s">
        <v>1047</v>
      </c>
      <c r="F442" s="6" t="s">
        <v>1050</v>
      </c>
      <c r="G442" s="6" t="s">
        <v>841</v>
      </c>
      <c r="H442" s="25">
        <v>0</v>
      </c>
      <c r="I442" s="38">
        <v>0</v>
      </c>
      <c r="J442" s="38">
        <v>0</v>
      </c>
      <c r="K442" s="39">
        <f t="shared" si="48"/>
        <v>0</v>
      </c>
      <c r="L442" s="38">
        <v>0</v>
      </c>
      <c r="M442" s="38">
        <v>0</v>
      </c>
      <c r="N442" s="39">
        <f t="shared" si="49"/>
        <v>0</v>
      </c>
      <c r="O442" s="38">
        <v>0</v>
      </c>
      <c r="P442" s="38">
        <v>0</v>
      </c>
      <c r="Q442" s="39">
        <f t="shared" si="50"/>
        <v>0</v>
      </c>
      <c r="R442" s="38">
        <v>0</v>
      </c>
      <c r="S442" s="38">
        <v>0</v>
      </c>
      <c r="T442" s="39">
        <f t="shared" si="51"/>
        <v>0</v>
      </c>
      <c r="U442" s="38">
        <v>0</v>
      </c>
      <c r="V442" s="38">
        <v>0</v>
      </c>
      <c r="W442" s="39">
        <f t="shared" si="52"/>
        <v>0</v>
      </c>
      <c r="X442" s="38"/>
      <c r="Y442" s="38"/>
      <c r="Z442" s="39">
        <f t="shared" si="53"/>
        <v>0</v>
      </c>
      <c r="AA442" s="38"/>
      <c r="AB442" s="38"/>
      <c r="AC442" s="39">
        <f t="shared" si="54"/>
        <v>0</v>
      </c>
      <c r="AD442" s="38"/>
      <c r="AE442" s="38"/>
      <c r="AF442" s="39">
        <f t="shared" si="55"/>
        <v>0</v>
      </c>
    </row>
    <row r="443" spans="2:32" ht="15" customHeight="1" x14ac:dyDescent="0.3">
      <c r="B443" s="2" t="s">
        <v>836</v>
      </c>
      <c r="C443" s="4" t="s">
        <v>1051</v>
      </c>
      <c r="D443" s="3" t="s">
        <v>1052</v>
      </c>
      <c r="E443" s="6" t="s">
        <v>1053</v>
      </c>
      <c r="F443" s="6" t="s">
        <v>1054</v>
      </c>
      <c r="G443" s="6" t="s">
        <v>841</v>
      </c>
      <c r="H443" s="25">
        <v>0</v>
      </c>
      <c r="I443" s="38">
        <v>0</v>
      </c>
      <c r="J443" s="38">
        <v>0</v>
      </c>
      <c r="K443" s="39">
        <f t="shared" si="48"/>
        <v>0</v>
      </c>
      <c r="L443" s="38">
        <v>0</v>
      </c>
      <c r="M443" s="38">
        <v>0</v>
      </c>
      <c r="N443" s="39">
        <f t="shared" si="49"/>
        <v>0</v>
      </c>
      <c r="O443" s="38">
        <v>0</v>
      </c>
      <c r="P443" s="38">
        <v>0</v>
      </c>
      <c r="Q443" s="39">
        <f t="shared" si="50"/>
        <v>0</v>
      </c>
      <c r="R443" s="38">
        <v>0</v>
      </c>
      <c r="S443" s="38">
        <v>0</v>
      </c>
      <c r="T443" s="39">
        <f t="shared" si="51"/>
        <v>0</v>
      </c>
      <c r="U443" s="38">
        <v>0</v>
      </c>
      <c r="V443" s="38">
        <v>0</v>
      </c>
      <c r="W443" s="39">
        <f t="shared" si="52"/>
        <v>0</v>
      </c>
      <c r="X443" s="38"/>
      <c r="Y443" s="38"/>
      <c r="Z443" s="39">
        <f t="shared" si="53"/>
        <v>0</v>
      </c>
      <c r="AA443" s="38"/>
      <c r="AB443" s="38"/>
      <c r="AC443" s="39">
        <f t="shared" si="54"/>
        <v>0</v>
      </c>
      <c r="AD443" s="38"/>
      <c r="AE443" s="38"/>
      <c r="AF443" s="39">
        <f t="shared" si="55"/>
        <v>0</v>
      </c>
    </row>
    <row r="444" spans="2:32" ht="15" customHeight="1" x14ac:dyDescent="0.3">
      <c r="B444" s="2" t="s">
        <v>836</v>
      </c>
      <c r="C444" s="4" t="s">
        <v>1051</v>
      </c>
      <c r="D444" s="3" t="s">
        <v>1052</v>
      </c>
      <c r="E444" s="6" t="s">
        <v>1053</v>
      </c>
      <c r="F444" s="6" t="s">
        <v>1055</v>
      </c>
      <c r="G444" s="6" t="s">
        <v>841</v>
      </c>
      <c r="H444" s="25">
        <v>0</v>
      </c>
      <c r="I444" s="38">
        <v>0</v>
      </c>
      <c r="J444" s="38">
        <v>0</v>
      </c>
      <c r="K444" s="39">
        <f t="shared" si="48"/>
        <v>0</v>
      </c>
      <c r="L444" s="38">
        <v>0</v>
      </c>
      <c r="M444" s="38">
        <v>0</v>
      </c>
      <c r="N444" s="39">
        <f t="shared" si="49"/>
        <v>0</v>
      </c>
      <c r="O444" s="38">
        <v>0</v>
      </c>
      <c r="P444" s="38">
        <v>0</v>
      </c>
      <c r="Q444" s="39">
        <f t="shared" si="50"/>
        <v>0</v>
      </c>
      <c r="R444" s="38">
        <v>0</v>
      </c>
      <c r="S444" s="38">
        <v>0</v>
      </c>
      <c r="T444" s="39">
        <f t="shared" si="51"/>
        <v>0</v>
      </c>
      <c r="U444" s="38">
        <v>0</v>
      </c>
      <c r="V444" s="38">
        <v>0</v>
      </c>
      <c r="W444" s="39">
        <f t="shared" si="52"/>
        <v>0</v>
      </c>
      <c r="X444" s="38"/>
      <c r="Y444" s="38"/>
      <c r="Z444" s="39">
        <f t="shared" si="53"/>
        <v>0</v>
      </c>
      <c r="AA444" s="38"/>
      <c r="AB444" s="38"/>
      <c r="AC444" s="39">
        <f t="shared" si="54"/>
        <v>0</v>
      </c>
      <c r="AD444" s="38"/>
      <c r="AE444" s="38"/>
      <c r="AF444" s="39">
        <f t="shared" si="55"/>
        <v>0</v>
      </c>
    </row>
    <row r="445" spans="2:32" ht="15" customHeight="1" x14ac:dyDescent="0.3">
      <c r="B445" s="2" t="s">
        <v>836</v>
      </c>
      <c r="C445" s="4" t="s">
        <v>1051</v>
      </c>
      <c r="D445" s="3" t="s">
        <v>1052</v>
      </c>
      <c r="E445" s="6" t="s">
        <v>1053</v>
      </c>
      <c r="F445" s="6" t="s">
        <v>1056</v>
      </c>
      <c r="G445" s="6" t="s">
        <v>841</v>
      </c>
      <c r="H445" s="25">
        <v>0</v>
      </c>
      <c r="I445" s="38">
        <v>0</v>
      </c>
      <c r="J445" s="38">
        <v>0</v>
      </c>
      <c r="K445" s="39">
        <f t="shared" si="48"/>
        <v>0</v>
      </c>
      <c r="L445" s="38">
        <v>0</v>
      </c>
      <c r="M445" s="38">
        <v>0</v>
      </c>
      <c r="N445" s="39">
        <f t="shared" si="49"/>
        <v>0</v>
      </c>
      <c r="O445" s="38">
        <v>0</v>
      </c>
      <c r="P445" s="38">
        <v>0</v>
      </c>
      <c r="Q445" s="39">
        <f t="shared" si="50"/>
        <v>0</v>
      </c>
      <c r="R445" s="38">
        <v>0</v>
      </c>
      <c r="S445" s="38">
        <v>0</v>
      </c>
      <c r="T445" s="39">
        <f t="shared" si="51"/>
        <v>0</v>
      </c>
      <c r="U445" s="38">
        <v>0</v>
      </c>
      <c r="V445" s="38">
        <v>0</v>
      </c>
      <c r="W445" s="39">
        <f t="shared" si="52"/>
        <v>0</v>
      </c>
      <c r="X445" s="38"/>
      <c r="Y445" s="38"/>
      <c r="Z445" s="39">
        <f t="shared" si="53"/>
        <v>0</v>
      </c>
      <c r="AA445" s="38"/>
      <c r="AB445" s="38"/>
      <c r="AC445" s="39">
        <f t="shared" si="54"/>
        <v>0</v>
      </c>
      <c r="AD445" s="38"/>
      <c r="AE445" s="38"/>
      <c r="AF445" s="39">
        <f t="shared" si="55"/>
        <v>0</v>
      </c>
    </row>
    <row r="446" spans="2:32" ht="15" customHeight="1" x14ac:dyDescent="0.3">
      <c r="B446" s="2" t="s">
        <v>836</v>
      </c>
      <c r="C446" s="4" t="s">
        <v>1051</v>
      </c>
      <c r="D446" s="3" t="s">
        <v>1052</v>
      </c>
      <c r="E446" s="6" t="s">
        <v>1053</v>
      </c>
      <c r="F446" s="6" t="s">
        <v>149</v>
      </c>
      <c r="G446" s="6" t="s">
        <v>707</v>
      </c>
      <c r="H446" s="25">
        <v>391991.03749999998</v>
      </c>
      <c r="I446" s="38">
        <v>0</v>
      </c>
      <c r="J446" s="38">
        <v>0</v>
      </c>
      <c r="K446" s="39">
        <f t="shared" si="48"/>
        <v>0</v>
      </c>
      <c r="L446" s="38">
        <v>0</v>
      </c>
      <c r="M446" s="38">
        <v>0</v>
      </c>
      <c r="N446" s="39">
        <f t="shared" si="49"/>
        <v>0</v>
      </c>
      <c r="O446" s="38">
        <v>0</v>
      </c>
      <c r="P446" s="38">
        <v>0</v>
      </c>
      <c r="Q446" s="39">
        <f t="shared" si="50"/>
        <v>0</v>
      </c>
      <c r="R446" s="38">
        <v>0</v>
      </c>
      <c r="S446" s="38">
        <v>0</v>
      </c>
      <c r="T446" s="39">
        <f t="shared" si="51"/>
        <v>0</v>
      </c>
      <c r="U446" s="38">
        <v>0</v>
      </c>
      <c r="V446" s="38">
        <v>0</v>
      </c>
      <c r="W446" s="39">
        <f t="shared" si="52"/>
        <v>0</v>
      </c>
      <c r="X446" s="38"/>
      <c r="Y446" s="38"/>
      <c r="Z446" s="39">
        <f t="shared" si="53"/>
        <v>0</v>
      </c>
      <c r="AA446" s="38"/>
      <c r="AB446" s="38"/>
      <c r="AC446" s="39">
        <f t="shared" si="54"/>
        <v>0</v>
      </c>
      <c r="AD446" s="38"/>
      <c r="AE446" s="38"/>
      <c r="AF446" s="39">
        <f t="shared" si="55"/>
        <v>0</v>
      </c>
    </row>
    <row r="447" spans="2:32" ht="15" customHeight="1" x14ac:dyDescent="0.3">
      <c r="B447" s="2" t="s">
        <v>836</v>
      </c>
      <c r="C447" s="4" t="s">
        <v>1051</v>
      </c>
      <c r="D447" s="3" t="s">
        <v>1052</v>
      </c>
      <c r="E447" s="6" t="s">
        <v>1053</v>
      </c>
      <c r="F447" s="6" t="s">
        <v>149</v>
      </c>
      <c r="G447" s="6" t="s">
        <v>708</v>
      </c>
      <c r="H447" s="25">
        <v>425000</v>
      </c>
      <c r="I447" s="38">
        <v>0</v>
      </c>
      <c r="J447" s="38">
        <v>0</v>
      </c>
      <c r="K447" s="39">
        <f t="shared" si="48"/>
        <v>0</v>
      </c>
      <c r="L447" s="38">
        <v>0</v>
      </c>
      <c r="M447" s="38">
        <v>0</v>
      </c>
      <c r="N447" s="39">
        <f t="shared" si="49"/>
        <v>0</v>
      </c>
      <c r="O447" s="38">
        <v>0</v>
      </c>
      <c r="P447" s="38">
        <v>0</v>
      </c>
      <c r="Q447" s="39">
        <f t="shared" si="50"/>
        <v>0</v>
      </c>
      <c r="R447" s="38">
        <v>0</v>
      </c>
      <c r="S447" s="38">
        <v>0</v>
      </c>
      <c r="T447" s="39">
        <f t="shared" si="51"/>
        <v>0</v>
      </c>
      <c r="U447" s="38">
        <v>1</v>
      </c>
      <c r="V447" s="38">
        <v>4</v>
      </c>
      <c r="W447" s="39">
        <f t="shared" si="52"/>
        <v>1700000</v>
      </c>
      <c r="X447" s="38"/>
      <c r="Y447" s="38"/>
      <c r="Z447" s="39">
        <f t="shared" si="53"/>
        <v>0</v>
      </c>
      <c r="AA447" s="38"/>
      <c r="AB447" s="38"/>
      <c r="AC447" s="39">
        <f t="shared" si="54"/>
        <v>0</v>
      </c>
      <c r="AD447" s="38"/>
      <c r="AE447" s="38"/>
      <c r="AF447" s="39">
        <f t="shared" si="55"/>
        <v>0</v>
      </c>
    </row>
    <row r="448" spans="2:32" ht="15" customHeight="1" x14ac:dyDescent="0.3">
      <c r="B448" s="2" t="s">
        <v>836</v>
      </c>
      <c r="C448" s="4" t="s">
        <v>1051</v>
      </c>
      <c r="D448" s="3" t="s">
        <v>1052</v>
      </c>
      <c r="E448" s="6" t="s">
        <v>1053</v>
      </c>
      <c r="F448" s="6" t="s">
        <v>895</v>
      </c>
      <c r="G448" s="6" t="s">
        <v>841</v>
      </c>
      <c r="H448" s="25">
        <v>0</v>
      </c>
      <c r="I448" s="38">
        <v>0</v>
      </c>
      <c r="J448" s="38">
        <v>0</v>
      </c>
      <c r="K448" s="39">
        <f t="shared" si="48"/>
        <v>0</v>
      </c>
      <c r="L448" s="38">
        <v>0</v>
      </c>
      <c r="M448" s="38">
        <v>0</v>
      </c>
      <c r="N448" s="39">
        <f t="shared" si="49"/>
        <v>0</v>
      </c>
      <c r="O448" s="38">
        <v>0</v>
      </c>
      <c r="P448" s="38">
        <v>0</v>
      </c>
      <c r="Q448" s="39">
        <f t="shared" si="50"/>
        <v>0</v>
      </c>
      <c r="R448" s="38">
        <v>0</v>
      </c>
      <c r="S448" s="38">
        <v>0</v>
      </c>
      <c r="T448" s="39">
        <f t="shared" si="51"/>
        <v>0</v>
      </c>
      <c r="U448" s="38">
        <v>1</v>
      </c>
      <c r="V448" s="38">
        <v>30</v>
      </c>
      <c r="W448" s="39">
        <f t="shared" si="52"/>
        <v>0</v>
      </c>
      <c r="X448" s="38"/>
      <c r="Y448" s="38"/>
      <c r="Z448" s="39">
        <f t="shared" si="53"/>
        <v>0</v>
      </c>
      <c r="AA448" s="38"/>
      <c r="AB448" s="38"/>
      <c r="AC448" s="39">
        <f t="shared" si="54"/>
        <v>0</v>
      </c>
      <c r="AD448" s="38"/>
      <c r="AE448" s="38"/>
      <c r="AF448" s="39">
        <f t="shared" si="55"/>
        <v>0</v>
      </c>
    </row>
    <row r="449" spans="2:32" ht="15" customHeight="1" x14ac:dyDescent="0.3">
      <c r="B449" s="2" t="s">
        <v>836</v>
      </c>
      <c r="C449" s="4" t="s">
        <v>1051</v>
      </c>
      <c r="D449" s="3" t="s">
        <v>1052</v>
      </c>
      <c r="E449" s="6" t="s">
        <v>1053</v>
      </c>
      <c r="F449" s="6" t="s">
        <v>912</v>
      </c>
      <c r="G449" s="6" t="s">
        <v>841</v>
      </c>
      <c r="H449" s="25">
        <v>0</v>
      </c>
      <c r="I449" s="38">
        <v>0</v>
      </c>
      <c r="J449" s="38">
        <v>0</v>
      </c>
      <c r="K449" s="39">
        <f t="shared" si="48"/>
        <v>0</v>
      </c>
      <c r="L449" s="38">
        <v>0</v>
      </c>
      <c r="M449" s="38">
        <v>0</v>
      </c>
      <c r="N449" s="39">
        <f t="shared" si="49"/>
        <v>0</v>
      </c>
      <c r="O449" s="38">
        <v>0</v>
      </c>
      <c r="P449" s="38">
        <v>0</v>
      </c>
      <c r="Q449" s="39">
        <f t="shared" si="50"/>
        <v>0</v>
      </c>
      <c r="R449" s="38">
        <v>0</v>
      </c>
      <c r="S449" s="38">
        <v>0</v>
      </c>
      <c r="T449" s="39">
        <f t="shared" si="51"/>
        <v>0</v>
      </c>
      <c r="U449" s="38">
        <v>5</v>
      </c>
      <c r="V449" s="38">
        <v>5</v>
      </c>
      <c r="W449" s="39">
        <f t="shared" si="52"/>
        <v>0</v>
      </c>
      <c r="X449" s="38"/>
      <c r="Y449" s="38"/>
      <c r="Z449" s="39">
        <f t="shared" si="53"/>
        <v>0</v>
      </c>
      <c r="AA449" s="38"/>
      <c r="AB449" s="38"/>
      <c r="AC449" s="39">
        <f t="shared" si="54"/>
        <v>0</v>
      </c>
      <c r="AD449" s="38"/>
      <c r="AE449" s="38"/>
      <c r="AF449" s="39">
        <f t="shared" si="55"/>
        <v>0</v>
      </c>
    </row>
    <row r="450" spans="2:32" ht="15" customHeight="1" x14ac:dyDescent="0.3">
      <c r="B450" s="2" t="s">
        <v>836</v>
      </c>
      <c r="C450" s="4" t="s">
        <v>1051</v>
      </c>
      <c r="D450" s="3" t="s">
        <v>1052</v>
      </c>
      <c r="E450" s="6" t="s">
        <v>1053</v>
      </c>
      <c r="F450" s="6" t="s">
        <v>1026</v>
      </c>
      <c r="G450" s="6" t="s">
        <v>709</v>
      </c>
      <c r="H450" s="25">
        <v>28000</v>
      </c>
      <c r="I450" s="38">
        <v>0</v>
      </c>
      <c r="J450" s="38">
        <v>0</v>
      </c>
      <c r="K450" s="39">
        <f t="shared" si="48"/>
        <v>0</v>
      </c>
      <c r="L450" s="38">
        <v>0</v>
      </c>
      <c r="M450" s="38">
        <v>0</v>
      </c>
      <c r="N450" s="39">
        <f t="shared" si="49"/>
        <v>0</v>
      </c>
      <c r="O450" s="38">
        <v>0</v>
      </c>
      <c r="P450" s="38">
        <v>0</v>
      </c>
      <c r="Q450" s="39">
        <f t="shared" si="50"/>
        <v>0</v>
      </c>
      <c r="R450" s="38">
        <v>0</v>
      </c>
      <c r="S450" s="38">
        <v>0</v>
      </c>
      <c r="T450" s="39">
        <f t="shared" si="51"/>
        <v>0</v>
      </c>
      <c r="U450" s="38">
        <v>10</v>
      </c>
      <c r="V450" s="38">
        <v>1</v>
      </c>
      <c r="W450" s="39">
        <f t="shared" si="52"/>
        <v>280000</v>
      </c>
      <c r="X450" s="38"/>
      <c r="Y450" s="38"/>
      <c r="Z450" s="39">
        <f t="shared" si="53"/>
        <v>0</v>
      </c>
      <c r="AA450" s="38"/>
      <c r="AB450" s="38"/>
      <c r="AC450" s="39">
        <f t="shared" si="54"/>
        <v>0</v>
      </c>
      <c r="AD450" s="38"/>
      <c r="AE450" s="38"/>
      <c r="AF450" s="39">
        <f t="shared" si="55"/>
        <v>0</v>
      </c>
    </row>
    <row r="451" spans="2:32" ht="15" customHeight="1" x14ac:dyDescent="0.3">
      <c r="B451" s="2" t="s">
        <v>836</v>
      </c>
      <c r="C451" s="4" t="s">
        <v>1051</v>
      </c>
      <c r="D451" s="3" t="s">
        <v>1052</v>
      </c>
      <c r="E451" s="6" t="s">
        <v>1053</v>
      </c>
      <c r="F451" s="6" t="s">
        <v>1026</v>
      </c>
      <c r="G451" s="6" t="s">
        <v>711</v>
      </c>
      <c r="H451" s="25">
        <v>70</v>
      </c>
      <c r="I451" s="38">
        <v>0</v>
      </c>
      <c r="J451" s="38">
        <v>0</v>
      </c>
      <c r="K451" s="39">
        <f t="shared" ref="K451:K514" si="56">H451*I451*J451</f>
        <v>0</v>
      </c>
      <c r="L451" s="38">
        <v>0</v>
      </c>
      <c r="M451" s="38">
        <v>0</v>
      </c>
      <c r="N451" s="39">
        <f t="shared" ref="N451:N514" si="57">H451*L451*M451</f>
        <v>0</v>
      </c>
      <c r="O451" s="38">
        <v>0</v>
      </c>
      <c r="P451" s="38">
        <v>0</v>
      </c>
      <c r="Q451" s="39">
        <f t="shared" ref="Q451:Q514" si="58">H451*O451*P451</f>
        <v>0</v>
      </c>
      <c r="R451" s="38">
        <v>0</v>
      </c>
      <c r="S451" s="38">
        <v>0</v>
      </c>
      <c r="T451" s="39">
        <f t="shared" ref="T451:T514" si="59">H451*R451*S451</f>
        <v>0</v>
      </c>
      <c r="U451" s="38">
        <v>25</v>
      </c>
      <c r="V451" s="38">
        <v>3</v>
      </c>
      <c r="W451" s="39">
        <f t="shared" ref="W451:W514" si="60">H451*U451*V451</f>
        <v>5250</v>
      </c>
      <c r="X451" s="38"/>
      <c r="Y451" s="38"/>
      <c r="Z451" s="39">
        <f t="shared" ref="Z451:Z514" si="61">H451*X451*Y451</f>
        <v>0</v>
      </c>
      <c r="AA451" s="38"/>
      <c r="AB451" s="38"/>
      <c r="AC451" s="39">
        <f t="shared" ref="AC451:AC514" si="62">H451*AA451*AB451</f>
        <v>0</v>
      </c>
      <c r="AD451" s="38"/>
      <c r="AE451" s="38"/>
      <c r="AF451" s="39">
        <f t="shared" ref="AF451:AF514" si="63">H451*AD451*AE451</f>
        <v>0</v>
      </c>
    </row>
    <row r="452" spans="2:32" ht="15" customHeight="1" x14ac:dyDescent="0.3">
      <c r="B452" s="2" t="s">
        <v>836</v>
      </c>
      <c r="C452" s="4" t="s">
        <v>1051</v>
      </c>
      <c r="D452" s="3" t="s">
        <v>1052</v>
      </c>
      <c r="E452" s="6" t="s">
        <v>1053</v>
      </c>
      <c r="F452" s="6" t="s">
        <v>1026</v>
      </c>
      <c r="G452" s="6" t="s">
        <v>710</v>
      </c>
      <c r="H452" s="25">
        <v>104850</v>
      </c>
      <c r="I452" s="38">
        <v>0</v>
      </c>
      <c r="J452" s="38">
        <v>0</v>
      </c>
      <c r="K452" s="39">
        <f t="shared" si="56"/>
        <v>0</v>
      </c>
      <c r="L452" s="38">
        <v>0</v>
      </c>
      <c r="M452" s="38">
        <v>0</v>
      </c>
      <c r="N452" s="39">
        <f t="shared" si="57"/>
        <v>0</v>
      </c>
      <c r="O452" s="38">
        <v>0</v>
      </c>
      <c r="P452" s="38">
        <v>0</v>
      </c>
      <c r="Q452" s="39">
        <f t="shared" si="58"/>
        <v>0</v>
      </c>
      <c r="R452" s="38">
        <v>0</v>
      </c>
      <c r="S452" s="38">
        <v>0</v>
      </c>
      <c r="T452" s="39">
        <f t="shared" si="59"/>
        <v>0</v>
      </c>
      <c r="U452" s="38">
        <v>5000</v>
      </c>
      <c r="V452" s="38">
        <v>1</v>
      </c>
      <c r="W452" s="39">
        <f t="shared" si="60"/>
        <v>524250000</v>
      </c>
      <c r="X452" s="38"/>
      <c r="Y452" s="38"/>
      <c r="Z452" s="39">
        <f t="shared" si="61"/>
        <v>0</v>
      </c>
      <c r="AA452" s="38"/>
      <c r="AB452" s="38"/>
      <c r="AC452" s="39">
        <f t="shared" si="62"/>
        <v>0</v>
      </c>
      <c r="AD452" s="38"/>
      <c r="AE452" s="38"/>
      <c r="AF452" s="39">
        <f t="shared" si="63"/>
        <v>0</v>
      </c>
    </row>
    <row r="453" spans="2:32" ht="15" customHeight="1" x14ac:dyDescent="0.3">
      <c r="B453" s="2" t="s">
        <v>836</v>
      </c>
      <c r="C453" s="4" t="s">
        <v>1051</v>
      </c>
      <c r="D453" s="3" t="s">
        <v>1052</v>
      </c>
      <c r="E453" s="6" t="s">
        <v>1053</v>
      </c>
      <c r="F453" s="6" t="s">
        <v>163</v>
      </c>
      <c r="G453" s="6" t="s">
        <v>713</v>
      </c>
      <c r="H453" s="25">
        <v>45000</v>
      </c>
      <c r="I453" s="38">
        <v>0</v>
      </c>
      <c r="J453" s="38">
        <v>0</v>
      </c>
      <c r="K453" s="39">
        <f t="shared" si="56"/>
        <v>0</v>
      </c>
      <c r="L453" s="38">
        <v>0</v>
      </c>
      <c r="M453" s="38">
        <v>0</v>
      </c>
      <c r="N453" s="39">
        <f t="shared" si="57"/>
        <v>0</v>
      </c>
      <c r="O453" s="38">
        <v>0</v>
      </c>
      <c r="P453" s="38">
        <v>0</v>
      </c>
      <c r="Q453" s="39">
        <f t="shared" si="58"/>
        <v>0</v>
      </c>
      <c r="R453" s="38">
        <v>0</v>
      </c>
      <c r="S453" s="38">
        <v>0</v>
      </c>
      <c r="T453" s="39">
        <f t="shared" si="59"/>
        <v>0</v>
      </c>
      <c r="U453" s="38">
        <v>1</v>
      </c>
      <c r="V453" s="38">
        <v>1</v>
      </c>
      <c r="W453" s="39">
        <f t="shared" si="60"/>
        <v>45000</v>
      </c>
      <c r="X453" s="38"/>
      <c r="Y453" s="38"/>
      <c r="Z453" s="39">
        <f t="shared" si="61"/>
        <v>0</v>
      </c>
      <c r="AA453" s="38"/>
      <c r="AB453" s="38"/>
      <c r="AC453" s="39">
        <f t="shared" si="62"/>
        <v>0</v>
      </c>
      <c r="AD453" s="38"/>
      <c r="AE453" s="38"/>
      <c r="AF453" s="39">
        <f t="shared" si="63"/>
        <v>0</v>
      </c>
    </row>
    <row r="454" spans="2:32" ht="15" customHeight="1" x14ac:dyDescent="0.3">
      <c r="B454" s="2" t="s">
        <v>836</v>
      </c>
      <c r="C454" s="4" t="s">
        <v>1051</v>
      </c>
      <c r="D454" s="3" t="s">
        <v>1052</v>
      </c>
      <c r="E454" s="6" t="s">
        <v>1053</v>
      </c>
      <c r="F454" s="6" t="s">
        <v>163</v>
      </c>
      <c r="G454" s="6" t="s">
        <v>712</v>
      </c>
      <c r="H454" s="25">
        <v>214.29</v>
      </c>
      <c r="I454" s="38">
        <v>0</v>
      </c>
      <c r="J454" s="38">
        <v>0</v>
      </c>
      <c r="K454" s="39">
        <f t="shared" si="56"/>
        <v>0</v>
      </c>
      <c r="L454" s="38">
        <v>0</v>
      </c>
      <c r="M454" s="38">
        <v>0</v>
      </c>
      <c r="N454" s="39">
        <f t="shared" si="57"/>
        <v>0</v>
      </c>
      <c r="O454" s="38">
        <v>0</v>
      </c>
      <c r="P454" s="38">
        <v>0</v>
      </c>
      <c r="Q454" s="39">
        <f t="shared" si="58"/>
        <v>0</v>
      </c>
      <c r="R454" s="38">
        <v>0</v>
      </c>
      <c r="S454" s="38">
        <v>0</v>
      </c>
      <c r="T454" s="39">
        <f t="shared" si="59"/>
        <v>0</v>
      </c>
      <c r="U454" s="38">
        <v>25</v>
      </c>
      <c r="V454" s="38">
        <v>1</v>
      </c>
      <c r="W454" s="39">
        <f t="shared" si="60"/>
        <v>5357.25</v>
      </c>
      <c r="X454" s="38"/>
      <c r="Y454" s="38"/>
      <c r="Z454" s="39">
        <f t="shared" si="61"/>
        <v>0</v>
      </c>
      <c r="AA454" s="38"/>
      <c r="AB454" s="38"/>
      <c r="AC454" s="39">
        <f t="shared" si="62"/>
        <v>0</v>
      </c>
      <c r="AD454" s="38"/>
      <c r="AE454" s="38"/>
      <c r="AF454" s="39">
        <f t="shared" si="63"/>
        <v>0</v>
      </c>
    </row>
    <row r="455" spans="2:32" ht="15" customHeight="1" x14ac:dyDescent="0.3">
      <c r="B455" s="2" t="s">
        <v>836</v>
      </c>
      <c r="C455" s="4" t="s">
        <v>1051</v>
      </c>
      <c r="D455" s="3" t="s">
        <v>1052</v>
      </c>
      <c r="E455" s="6" t="s">
        <v>1053</v>
      </c>
      <c r="F455" s="6" t="s">
        <v>1027</v>
      </c>
      <c r="G455" s="6" t="s">
        <v>709</v>
      </c>
      <c r="H455" s="25">
        <v>28000</v>
      </c>
      <c r="I455" s="38">
        <v>0</v>
      </c>
      <c r="J455" s="38">
        <v>0</v>
      </c>
      <c r="K455" s="39">
        <f t="shared" si="56"/>
        <v>0</v>
      </c>
      <c r="L455" s="38">
        <v>0</v>
      </c>
      <c r="M455" s="38">
        <v>0</v>
      </c>
      <c r="N455" s="39">
        <f t="shared" si="57"/>
        <v>0</v>
      </c>
      <c r="O455" s="38">
        <v>0</v>
      </c>
      <c r="P455" s="38">
        <v>0</v>
      </c>
      <c r="Q455" s="39">
        <f t="shared" si="58"/>
        <v>0</v>
      </c>
      <c r="R455" s="38">
        <v>0</v>
      </c>
      <c r="S455" s="38">
        <v>0</v>
      </c>
      <c r="T455" s="39">
        <f t="shared" si="59"/>
        <v>0</v>
      </c>
      <c r="U455" s="38">
        <v>4000</v>
      </c>
      <c r="V455" s="38">
        <v>1</v>
      </c>
      <c r="W455" s="39">
        <f t="shared" si="60"/>
        <v>112000000</v>
      </c>
      <c r="X455" s="38"/>
      <c r="Y455" s="38"/>
      <c r="Z455" s="39">
        <f t="shared" si="61"/>
        <v>0</v>
      </c>
      <c r="AA455" s="38"/>
      <c r="AB455" s="38"/>
      <c r="AC455" s="39">
        <f t="shared" si="62"/>
        <v>0</v>
      </c>
      <c r="AD455" s="38"/>
      <c r="AE455" s="38"/>
      <c r="AF455" s="39">
        <f t="shared" si="63"/>
        <v>0</v>
      </c>
    </row>
    <row r="456" spans="2:32" ht="15" customHeight="1" x14ac:dyDescent="0.3">
      <c r="B456" s="2" t="s">
        <v>836</v>
      </c>
      <c r="C456" s="4" t="s">
        <v>1051</v>
      </c>
      <c r="D456" s="3" t="s">
        <v>1052</v>
      </c>
      <c r="E456" s="6" t="s">
        <v>1053</v>
      </c>
      <c r="F456" s="6" t="s">
        <v>157</v>
      </c>
      <c r="G456" s="6" t="s">
        <v>713</v>
      </c>
      <c r="H456" s="25">
        <v>45000</v>
      </c>
      <c r="I456" s="38">
        <v>0</v>
      </c>
      <c r="J456" s="38">
        <v>0</v>
      </c>
      <c r="K456" s="39">
        <f t="shared" si="56"/>
        <v>0</v>
      </c>
      <c r="L456" s="38">
        <v>0</v>
      </c>
      <c r="M456" s="38">
        <v>0</v>
      </c>
      <c r="N456" s="39">
        <f t="shared" si="57"/>
        <v>0</v>
      </c>
      <c r="O456" s="38">
        <v>0</v>
      </c>
      <c r="P456" s="38">
        <v>0</v>
      </c>
      <c r="Q456" s="39">
        <f t="shared" si="58"/>
        <v>0</v>
      </c>
      <c r="R456" s="38">
        <v>0</v>
      </c>
      <c r="S456" s="38">
        <v>0</v>
      </c>
      <c r="T456" s="39">
        <f t="shared" si="59"/>
        <v>0</v>
      </c>
      <c r="U456" s="38">
        <v>30</v>
      </c>
      <c r="V456" s="38">
        <v>1</v>
      </c>
      <c r="W456" s="39">
        <f t="shared" si="60"/>
        <v>1350000</v>
      </c>
      <c r="X456" s="38"/>
      <c r="Y456" s="38"/>
      <c r="Z456" s="39">
        <f t="shared" si="61"/>
        <v>0</v>
      </c>
      <c r="AA456" s="38"/>
      <c r="AB456" s="38"/>
      <c r="AC456" s="39">
        <f t="shared" si="62"/>
        <v>0</v>
      </c>
      <c r="AD456" s="38"/>
      <c r="AE456" s="38"/>
      <c r="AF456" s="39">
        <f t="shared" si="63"/>
        <v>0</v>
      </c>
    </row>
    <row r="457" spans="2:32" ht="15" customHeight="1" x14ac:dyDescent="0.3">
      <c r="B457" s="2" t="s">
        <v>836</v>
      </c>
      <c r="C457" s="4" t="s">
        <v>1051</v>
      </c>
      <c r="D457" s="3" t="s">
        <v>1052</v>
      </c>
      <c r="E457" s="6" t="s">
        <v>1053</v>
      </c>
      <c r="F457" s="6" t="s">
        <v>157</v>
      </c>
      <c r="G457" s="6" t="s">
        <v>712</v>
      </c>
      <c r="H457" s="25">
        <v>214.29</v>
      </c>
      <c r="I457" s="38">
        <v>0</v>
      </c>
      <c r="J457" s="38">
        <v>0</v>
      </c>
      <c r="K457" s="39">
        <f t="shared" si="56"/>
        <v>0</v>
      </c>
      <c r="L457" s="38">
        <v>0</v>
      </c>
      <c r="M457" s="38">
        <v>0</v>
      </c>
      <c r="N457" s="39">
        <f t="shared" si="57"/>
        <v>0</v>
      </c>
      <c r="O457" s="38">
        <v>0</v>
      </c>
      <c r="P457" s="38">
        <v>0</v>
      </c>
      <c r="Q457" s="39">
        <f t="shared" si="58"/>
        <v>0</v>
      </c>
      <c r="R457" s="38">
        <v>0</v>
      </c>
      <c r="S457" s="38">
        <v>0</v>
      </c>
      <c r="T457" s="39">
        <f t="shared" si="59"/>
        <v>0</v>
      </c>
      <c r="U457" s="38">
        <v>25</v>
      </c>
      <c r="V457" s="38">
        <v>10</v>
      </c>
      <c r="W457" s="39">
        <f t="shared" si="60"/>
        <v>53572.5</v>
      </c>
      <c r="X457" s="38"/>
      <c r="Y457" s="38"/>
      <c r="Z457" s="39">
        <f t="shared" si="61"/>
        <v>0</v>
      </c>
      <c r="AA457" s="38"/>
      <c r="AB457" s="38"/>
      <c r="AC457" s="39">
        <f t="shared" si="62"/>
        <v>0</v>
      </c>
      <c r="AD457" s="38"/>
      <c r="AE457" s="38"/>
      <c r="AF457" s="39">
        <f t="shared" si="63"/>
        <v>0</v>
      </c>
    </row>
    <row r="458" spans="2:32" ht="15" customHeight="1" x14ac:dyDescent="0.3">
      <c r="B458" s="2" t="s">
        <v>836</v>
      </c>
      <c r="C458" s="4" t="s">
        <v>1051</v>
      </c>
      <c r="D458" s="3" t="s">
        <v>1052</v>
      </c>
      <c r="E458" s="6" t="s">
        <v>1053</v>
      </c>
      <c r="F458" s="6" t="s">
        <v>157</v>
      </c>
      <c r="G458" s="6" t="s">
        <v>714</v>
      </c>
      <c r="H458" s="25">
        <v>10000</v>
      </c>
      <c r="I458" s="38">
        <v>0</v>
      </c>
      <c r="J458" s="38">
        <v>0</v>
      </c>
      <c r="K458" s="39">
        <f t="shared" si="56"/>
        <v>0</v>
      </c>
      <c r="L458" s="38">
        <v>0</v>
      </c>
      <c r="M458" s="38">
        <v>0</v>
      </c>
      <c r="N458" s="39">
        <f t="shared" si="57"/>
        <v>0</v>
      </c>
      <c r="O458" s="38">
        <v>0</v>
      </c>
      <c r="P458" s="38">
        <v>0</v>
      </c>
      <c r="Q458" s="39">
        <f t="shared" si="58"/>
        <v>0</v>
      </c>
      <c r="R458" s="38">
        <v>0</v>
      </c>
      <c r="S458" s="38">
        <v>0</v>
      </c>
      <c r="T458" s="39">
        <f t="shared" si="59"/>
        <v>0</v>
      </c>
      <c r="U458" s="38">
        <v>20000</v>
      </c>
      <c r="V458" s="38">
        <v>1</v>
      </c>
      <c r="W458" s="39">
        <f t="shared" si="60"/>
        <v>200000000</v>
      </c>
      <c r="X458" s="38"/>
      <c r="Y458" s="38"/>
      <c r="Z458" s="39">
        <f t="shared" si="61"/>
        <v>0</v>
      </c>
      <c r="AA458" s="38"/>
      <c r="AB458" s="38"/>
      <c r="AC458" s="39">
        <f t="shared" si="62"/>
        <v>0</v>
      </c>
      <c r="AD458" s="38"/>
      <c r="AE458" s="38"/>
      <c r="AF458" s="39">
        <f t="shared" si="63"/>
        <v>0</v>
      </c>
    </row>
    <row r="459" spans="2:32" ht="15" customHeight="1" x14ac:dyDescent="0.3">
      <c r="B459" s="2" t="s">
        <v>836</v>
      </c>
      <c r="C459" s="4" t="s">
        <v>1051</v>
      </c>
      <c r="D459" s="3" t="s">
        <v>1052</v>
      </c>
      <c r="E459" s="6" t="s">
        <v>1053</v>
      </c>
      <c r="F459" s="6" t="s">
        <v>1004</v>
      </c>
      <c r="G459" s="6" t="s">
        <v>709</v>
      </c>
      <c r="H459" s="25">
        <v>28000</v>
      </c>
      <c r="I459" s="38">
        <v>0</v>
      </c>
      <c r="J459" s="38">
        <v>0</v>
      </c>
      <c r="K459" s="39">
        <f t="shared" si="56"/>
        <v>0</v>
      </c>
      <c r="L459" s="38">
        <v>0</v>
      </c>
      <c r="M459" s="38">
        <v>0</v>
      </c>
      <c r="N459" s="39">
        <f t="shared" si="57"/>
        <v>0</v>
      </c>
      <c r="O459" s="38">
        <v>0</v>
      </c>
      <c r="P459" s="38">
        <v>0</v>
      </c>
      <c r="Q459" s="39">
        <f t="shared" si="58"/>
        <v>0</v>
      </c>
      <c r="R459" s="38">
        <v>0</v>
      </c>
      <c r="S459" s="38">
        <v>0</v>
      </c>
      <c r="T459" s="39">
        <f t="shared" si="59"/>
        <v>0</v>
      </c>
      <c r="U459" s="38">
        <v>25</v>
      </c>
      <c r="V459" s="38">
        <v>1</v>
      </c>
      <c r="W459" s="39">
        <f t="shared" si="60"/>
        <v>700000</v>
      </c>
      <c r="X459" s="38"/>
      <c r="Y459" s="38"/>
      <c r="Z459" s="39">
        <f t="shared" si="61"/>
        <v>0</v>
      </c>
      <c r="AA459" s="38"/>
      <c r="AB459" s="38"/>
      <c r="AC459" s="39">
        <f t="shared" si="62"/>
        <v>0</v>
      </c>
      <c r="AD459" s="38"/>
      <c r="AE459" s="38"/>
      <c r="AF459" s="39">
        <f t="shared" si="63"/>
        <v>0</v>
      </c>
    </row>
    <row r="460" spans="2:32" ht="15" customHeight="1" x14ac:dyDescent="0.3">
      <c r="B460" s="2" t="s">
        <v>836</v>
      </c>
      <c r="C460" s="4" t="s">
        <v>1051</v>
      </c>
      <c r="D460" s="3" t="s">
        <v>1052</v>
      </c>
      <c r="E460" s="6" t="s">
        <v>1053</v>
      </c>
      <c r="F460" s="6" t="s">
        <v>1004</v>
      </c>
      <c r="G460" s="6" t="s">
        <v>716</v>
      </c>
      <c r="H460" s="25">
        <v>39000</v>
      </c>
      <c r="I460" s="38">
        <v>0</v>
      </c>
      <c r="J460" s="38">
        <v>0</v>
      </c>
      <c r="K460" s="39">
        <f t="shared" si="56"/>
        <v>0</v>
      </c>
      <c r="L460" s="38">
        <v>0</v>
      </c>
      <c r="M460" s="38">
        <v>0</v>
      </c>
      <c r="N460" s="39">
        <f t="shared" si="57"/>
        <v>0</v>
      </c>
      <c r="O460" s="38">
        <v>0</v>
      </c>
      <c r="P460" s="38">
        <v>0</v>
      </c>
      <c r="Q460" s="39">
        <f t="shared" si="58"/>
        <v>0</v>
      </c>
      <c r="R460" s="38">
        <v>0</v>
      </c>
      <c r="S460" s="38">
        <v>0</v>
      </c>
      <c r="T460" s="39">
        <f t="shared" si="59"/>
        <v>0</v>
      </c>
      <c r="U460" s="38">
        <v>25</v>
      </c>
      <c r="V460" s="38">
        <v>10</v>
      </c>
      <c r="W460" s="39">
        <f t="shared" si="60"/>
        <v>9750000</v>
      </c>
      <c r="X460" s="38"/>
      <c r="Y460" s="38"/>
      <c r="Z460" s="39">
        <f t="shared" si="61"/>
        <v>0</v>
      </c>
      <c r="AA460" s="38"/>
      <c r="AB460" s="38"/>
      <c r="AC460" s="39">
        <f t="shared" si="62"/>
        <v>0</v>
      </c>
      <c r="AD460" s="38"/>
      <c r="AE460" s="38"/>
      <c r="AF460" s="39">
        <f t="shared" si="63"/>
        <v>0</v>
      </c>
    </row>
    <row r="461" spans="2:32" ht="15" customHeight="1" x14ac:dyDescent="0.3">
      <c r="B461" s="2" t="s">
        <v>836</v>
      </c>
      <c r="C461" s="4" t="s">
        <v>1051</v>
      </c>
      <c r="D461" s="3" t="s">
        <v>1052</v>
      </c>
      <c r="E461" s="6" t="s">
        <v>1053</v>
      </c>
      <c r="F461" s="6" t="s">
        <v>1004</v>
      </c>
      <c r="G461" s="6" t="s">
        <v>712</v>
      </c>
      <c r="H461" s="25">
        <v>214.29</v>
      </c>
      <c r="I461" s="38">
        <v>0</v>
      </c>
      <c r="J461" s="38">
        <v>0</v>
      </c>
      <c r="K461" s="39">
        <f t="shared" si="56"/>
        <v>0</v>
      </c>
      <c r="L461" s="38">
        <v>0</v>
      </c>
      <c r="M461" s="38">
        <v>0</v>
      </c>
      <c r="N461" s="39">
        <f t="shared" si="57"/>
        <v>0</v>
      </c>
      <c r="O461" s="38">
        <v>0</v>
      </c>
      <c r="P461" s="38">
        <v>0</v>
      </c>
      <c r="Q461" s="39">
        <f t="shared" si="58"/>
        <v>0</v>
      </c>
      <c r="R461" s="38">
        <v>0</v>
      </c>
      <c r="S461" s="38">
        <v>0</v>
      </c>
      <c r="T461" s="39">
        <f t="shared" si="59"/>
        <v>0</v>
      </c>
      <c r="U461" s="38">
        <v>25</v>
      </c>
      <c r="V461" s="38">
        <v>10</v>
      </c>
      <c r="W461" s="39">
        <f t="shared" si="60"/>
        <v>53572.5</v>
      </c>
      <c r="X461" s="38"/>
      <c r="Y461" s="38"/>
      <c r="Z461" s="39">
        <f t="shared" si="61"/>
        <v>0</v>
      </c>
      <c r="AA461" s="38"/>
      <c r="AB461" s="38"/>
      <c r="AC461" s="39">
        <f t="shared" si="62"/>
        <v>0</v>
      </c>
      <c r="AD461" s="38"/>
      <c r="AE461" s="38"/>
      <c r="AF461" s="39">
        <f t="shared" si="63"/>
        <v>0</v>
      </c>
    </row>
    <row r="462" spans="2:32" ht="15" customHeight="1" x14ac:dyDescent="0.3">
      <c r="B462" s="2" t="s">
        <v>836</v>
      </c>
      <c r="C462" s="4" t="s">
        <v>1051</v>
      </c>
      <c r="D462" s="3" t="s">
        <v>1052</v>
      </c>
      <c r="E462" s="6" t="s">
        <v>1053</v>
      </c>
      <c r="F462" s="6" t="s">
        <v>1028</v>
      </c>
      <c r="G462" s="6" t="s">
        <v>841</v>
      </c>
      <c r="H462" s="25">
        <v>0</v>
      </c>
      <c r="I462" s="38">
        <v>0</v>
      </c>
      <c r="J462" s="38">
        <v>0</v>
      </c>
      <c r="K462" s="39">
        <f t="shared" si="56"/>
        <v>0</v>
      </c>
      <c r="L462" s="38">
        <v>0</v>
      </c>
      <c r="M462" s="38">
        <v>0</v>
      </c>
      <c r="N462" s="39">
        <f t="shared" si="57"/>
        <v>0</v>
      </c>
      <c r="O462" s="38">
        <v>0</v>
      </c>
      <c r="P462" s="38">
        <v>0</v>
      </c>
      <c r="Q462" s="39">
        <f t="shared" si="58"/>
        <v>0</v>
      </c>
      <c r="R462" s="38">
        <v>0</v>
      </c>
      <c r="S462" s="38">
        <v>0</v>
      </c>
      <c r="T462" s="39">
        <f t="shared" si="59"/>
        <v>0</v>
      </c>
      <c r="U462" s="38">
        <v>4000</v>
      </c>
      <c r="V462" s="38">
        <v>1</v>
      </c>
      <c r="W462" s="39">
        <f t="shared" si="60"/>
        <v>0</v>
      </c>
      <c r="X462" s="38"/>
      <c r="Y462" s="38"/>
      <c r="Z462" s="39">
        <f t="shared" si="61"/>
        <v>0</v>
      </c>
      <c r="AA462" s="38"/>
      <c r="AB462" s="38"/>
      <c r="AC462" s="39">
        <f t="shared" si="62"/>
        <v>0</v>
      </c>
      <c r="AD462" s="38"/>
      <c r="AE462" s="38"/>
      <c r="AF462" s="39">
        <f t="shared" si="63"/>
        <v>0</v>
      </c>
    </row>
    <row r="463" spans="2:32" ht="15" customHeight="1" x14ac:dyDescent="0.3">
      <c r="B463" s="2" t="s">
        <v>836</v>
      </c>
      <c r="C463" s="4" t="s">
        <v>1051</v>
      </c>
      <c r="D463" s="3" t="s">
        <v>1052</v>
      </c>
      <c r="E463" s="6" t="s">
        <v>1053</v>
      </c>
      <c r="F463" s="6" t="s">
        <v>1057</v>
      </c>
      <c r="G463" s="6" t="s">
        <v>841</v>
      </c>
      <c r="H463" s="25">
        <v>0</v>
      </c>
      <c r="I463" s="38">
        <v>0</v>
      </c>
      <c r="J463" s="38">
        <v>0</v>
      </c>
      <c r="K463" s="39">
        <f t="shared" si="56"/>
        <v>0</v>
      </c>
      <c r="L463" s="38">
        <v>0</v>
      </c>
      <c r="M463" s="38">
        <v>0</v>
      </c>
      <c r="N463" s="39">
        <f t="shared" si="57"/>
        <v>0</v>
      </c>
      <c r="O463" s="38">
        <v>0</v>
      </c>
      <c r="P463" s="38">
        <v>0</v>
      </c>
      <c r="Q463" s="39">
        <f t="shared" si="58"/>
        <v>0</v>
      </c>
      <c r="R463" s="38">
        <v>0</v>
      </c>
      <c r="S463" s="38">
        <v>0</v>
      </c>
      <c r="T463" s="39">
        <f t="shared" si="59"/>
        <v>0</v>
      </c>
      <c r="U463" s="38">
        <v>20</v>
      </c>
      <c r="V463" s="38">
        <v>5</v>
      </c>
      <c r="W463" s="39">
        <f t="shared" si="60"/>
        <v>0</v>
      </c>
      <c r="X463" s="38"/>
      <c r="Y463" s="38"/>
      <c r="Z463" s="39">
        <f t="shared" si="61"/>
        <v>0</v>
      </c>
      <c r="AA463" s="38"/>
      <c r="AB463" s="38"/>
      <c r="AC463" s="39">
        <f t="shared" si="62"/>
        <v>0</v>
      </c>
      <c r="AD463" s="38"/>
      <c r="AE463" s="38"/>
      <c r="AF463" s="39">
        <f t="shared" si="63"/>
        <v>0</v>
      </c>
    </row>
    <row r="464" spans="2:32" ht="15" customHeight="1" x14ac:dyDescent="0.3">
      <c r="B464" s="2" t="s">
        <v>836</v>
      </c>
      <c r="C464" s="4" t="s">
        <v>1051</v>
      </c>
      <c r="D464" s="3" t="s">
        <v>1058</v>
      </c>
      <c r="E464" s="6" t="s">
        <v>1059</v>
      </c>
      <c r="F464" s="6" t="s">
        <v>1048</v>
      </c>
      <c r="G464" s="6" t="s">
        <v>841</v>
      </c>
      <c r="H464" s="25">
        <v>0</v>
      </c>
      <c r="I464" s="38">
        <v>0</v>
      </c>
      <c r="J464" s="38">
        <v>0</v>
      </c>
      <c r="K464" s="39">
        <f t="shared" si="56"/>
        <v>0</v>
      </c>
      <c r="L464" s="38">
        <v>0</v>
      </c>
      <c r="M464" s="38">
        <v>0</v>
      </c>
      <c r="N464" s="39">
        <f t="shared" si="57"/>
        <v>0</v>
      </c>
      <c r="O464" s="38">
        <v>0</v>
      </c>
      <c r="P464" s="38">
        <v>0</v>
      </c>
      <c r="Q464" s="39">
        <f t="shared" si="58"/>
        <v>0</v>
      </c>
      <c r="R464" s="38">
        <v>0</v>
      </c>
      <c r="S464" s="38">
        <v>0</v>
      </c>
      <c r="T464" s="39">
        <f t="shared" si="59"/>
        <v>0</v>
      </c>
      <c r="U464" s="38">
        <v>0</v>
      </c>
      <c r="V464" s="38">
        <v>0</v>
      </c>
      <c r="W464" s="39">
        <f t="shared" si="60"/>
        <v>0</v>
      </c>
      <c r="X464" s="38"/>
      <c r="Y464" s="38"/>
      <c r="Z464" s="39">
        <f t="shared" si="61"/>
        <v>0</v>
      </c>
      <c r="AA464" s="38"/>
      <c r="AB464" s="38"/>
      <c r="AC464" s="39">
        <f t="shared" si="62"/>
        <v>0</v>
      </c>
      <c r="AD464" s="38"/>
      <c r="AE464" s="38"/>
      <c r="AF464" s="39">
        <f t="shared" si="63"/>
        <v>0</v>
      </c>
    </row>
    <row r="465" spans="2:32" ht="15" customHeight="1" x14ac:dyDescent="0.3">
      <c r="B465" s="2" t="s">
        <v>836</v>
      </c>
      <c r="C465" s="4" t="s">
        <v>1051</v>
      </c>
      <c r="D465" s="3" t="s">
        <v>1058</v>
      </c>
      <c r="E465" s="6" t="s">
        <v>1059</v>
      </c>
      <c r="F465" s="6" t="s">
        <v>1024</v>
      </c>
      <c r="G465" s="6" t="s">
        <v>841</v>
      </c>
      <c r="H465" s="25">
        <v>0</v>
      </c>
      <c r="I465" s="38">
        <v>0</v>
      </c>
      <c r="J465" s="38">
        <v>0</v>
      </c>
      <c r="K465" s="39">
        <f t="shared" si="56"/>
        <v>0</v>
      </c>
      <c r="L465" s="38">
        <v>0</v>
      </c>
      <c r="M465" s="38">
        <v>0</v>
      </c>
      <c r="N465" s="39">
        <f t="shared" si="57"/>
        <v>0</v>
      </c>
      <c r="O465" s="38">
        <v>0</v>
      </c>
      <c r="P465" s="38">
        <v>0</v>
      </c>
      <c r="Q465" s="39">
        <f t="shared" si="58"/>
        <v>0</v>
      </c>
      <c r="R465" s="38">
        <v>0</v>
      </c>
      <c r="S465" s="38">
        <v>0</v>
      </c>
      <c r="T465" s="39">
        <f t="shared" si="59"/>
        <v>0</v>
      </c>
      <c r="U465" s="38">
        <v>0</v>
      </c>
      <c r="V465" s="38">
        <v>0</v>
      </c>
      <c r="W465" s="39">
        <f t="shared" si="60"/>
        <v>0</v>
      </c>
      <c r="X465" s="38"/>
      <c r="Y465" s="38"/>
      <c r="Z465" s="39">
        <f t="shared" si="61"/>
        <v>0</v>
      </c>
      <c r="AA465" s="38"/>
      <c r="AB465" s="38"/>
      <c r="AC465" s="39">
        <f t="shared" si="62"/>
        <v>0</v>
      </c>
      <c r="AD465" s="38"/>
      <c r="AE465" s="38"/>
      <c r="AF465" s="39">
        <f t="shared" si="63"/>
        <v>0</v>
      </c>
    </row>
    <row r="466" spans="2:32" ht="15" customHeight="1" x14ac:dyDescent="0.3">
      <c r="B466" s="2" t="s">
        <v>836</v>
      </c>
      <c r="C466" s="4" t="s">
        <v>1051</v>
      </c>
      <c r="D466" s="3" t="s">
        <v>1058</v>
      </c>
      <c r="E466" s="6" t="s">
        <v>1059</v>
      </c>
      <c r="F466" s="6" t="s">
        <v>1049</v>
      </c>
      <c r="G466" s="6" t="s">
        <v>841</v>
      </c>
      <c r="H466" s="25">
        <v>0</v>
      </c>
      <c r="I466" s="38">
        <v>0</v>
      </c>
      <c r="J466" s="38">
        <v>0</v>
      </c>
      <c r="K466" s="39">
        <f t="shared" si="56"/>
        <v>0</v>
      </c>
      <c r="L466" s="38">
        <v>0</v>
      </c>
      <c r="M466" s="38">
        <v>0</v>
      </c>
      <c r="N466" s="39">
        <f t="shared" si="57"/>
        <v>0</v>
      </c>
      <c r="O466" s="38">
        <v>0</v>
      </c>
      <c r="P466" s="38">
        <v>0</v>
      </c>
      <c r="Q466" s="39">
        <f t="shared" si="58"/>
        <v>0</v>
      </c>
      <c r="R466" s="38">
        <v>0</v>
      </c>
      <c r="S466" s="38">
        <v>0</v>
      </c>
      <c r="T466" s="39">
        <f t="shared" si="59"/>
        <v>0</v>
      </c>
      <c r="U466" s="38">
        <v>0</v>
      </c>
      <c r="V466" s="38">
        <v>0</v>
      </c>
      <c r="W466" s="39">
        <f t="shared" si="60"/>
        <v>0</v>
      </c>
      <c r="X466" s="38"/>
      <c r="Y466" s="38"/>
      <c r="Z466" s="39">
        <f t="shared" si="61"/>
        <v>0</v>
      </c>
      <c r="AA466" s="38"/>
      <c r="AB466" s="38"/>
      <c r="AC466" s="39">
        <f t="shared" si="62"/>
        <v>0</v>
      </c>
      <c r="AD466" s="38"/>
      <c r="AE466" s="38"/>
      <c r="AF466" s="39">
        <f t="shared" si="63"/>
        <v>0</v>
      </c>
    </row>
    <row r="467" spans="2:32" ht="15" customHeight="1" x14ac:dyDescent="0.3">
      <c r="B467" s="2" t="s">
        <v>836</v>
      </c>
      <c r="C467" s="4" t="s">
        <v>1051</v>
      </c>
      <c r="D467" s="3" t="s">
        <v>1058</v>
      </c>
      <c r="E467" s="6" t="s">
        <v>1059</v>
      </c>
      <c r="F467" s="6" t="s">
        <v>149</v>
      </c>
      <c r="G467" s="6" t="s">
        <v>707</v>
      </c>
      <c r="H467" s="25">
        <v>391991.03749999998</v>
      </c>
      <c r="I467" s="38">
        <v>0</v>
      </c>
      <c r="J467" s="38">
        <v>0</v>
      </c>
      <c r="K467" s="39">
        <f t="shared" si="56"/>
        <v>0</v>
      </c>
      <c r="L467" s="38">
        <v>0</v>
      </c>
      <c r="M467" s="38">
        <v>0</v>
      </c>
      <c r="N467" s="39">
        <f t="shared" si="57"/>
        <v>0</v>
      </c>
      <c r="O467" s="38">
        <v>0</v>
      </c>
      <c r="P467" s="38">
        <v>0</v>
      </c>
      <c r="Q467" s="39">
        <f t="shared" si="58"/>
        <v>0</v>
      </c>
      <c r="R467" s="38">
        <v>0</v>
      </c>
      <c r="S467" s="38">
        <v>0</v>
      </c>
      <c r="T467" s="39">
        <f t="shared" si="59"/>
        <v>0</v>
      </c>
      <c r="U467" s="38">
        <v>0</v>
      </c>
      <c r="V467" s="38">
        <v>0</v>
      </c>
      <c r="W467" s="39">
        <f t="shared" si="60"/>
        <v>0</v>
      </c>
      <c r="X467" s="38"/>
      <c r="Y467" s="38"/>
      <c r="Z467" s="39">
        <f t="shared" si="61"/>
        <v>0</v>
      </c>
      <c r="AA467" s="38"/>
      <c r="AB467" s="38"/>
      <c r="AC467" s="39">
        <f t="shared" si="62"/>
        <v>0</v>
      </c>
      <c r="AD467" s="38"/>
      <c r="AE467" s="38"/>
      <c r="AF467" s="39">
        <f t="shared" si="63"/>
        <v>0</v>
      </c>
    </row>
    <row r="468" spans="2:32" ht="15" customHeight="1" x14ac:dyDescent="0.3">
      <c r="B468" s="2" t="s">
        <v>836</v>
      </c>
      <c r="C468" s="4" t="s">
        <v>1051</v>
      </c>
      <c r="D468" s="3" t="s">
        <v>1058</v>
      </c>
      <c r="E468" s="6" t="s">
        <v>1059</v>
      </c>
      <c r="F468" s="6" t="s">
        <v>149</v>
      </c>
      <c r="G468" s="6" t="s">
        <v>708</v>
      </c>
      <c r="H468" s="25">
        <v>425000</v>
      </c>
      <c r="I468" s="38">
        <v>0</v>
      </c>
      <c r="J468" s="38">
        <v>0</v>
      </c>
      <c r="K468" s="39">
        <f t="shared" si="56"/>
        <v>0</v>
      </c>
      <c r="L468" s="38">
        <v>1</v>
      </c>
      <c r="M468" s="38">
        <v>4</v>
      </c>
      <c r="N468" s="39">
        <f t="shared" si="57"/>
        <v>1700000</v>
      </c>
      <c r="O468" s="38">
        <v>0</v>
      </c>
      <c r="P468" s="38">
        <v>0</v>
      </c>
      <c r="Q468" s="39">
        <f t="shared" si="58"/>
        <v>0</v>
      </c>
      <c r="R468" s="38">
        <v>0</v>
      </c>
      <c r="S468" s="38">
        <v>0</v>
      </c>
      <c r="T468" s="39">
        <f t="shared" si="59"/>
        <v>0</v>
      </c>
      <c r="U468" s="38">
        <v>0</v>
      </c>
      <c r="V468" s="38">
        <v>0</v>
      </c>
      <c r="W468" s="39">
        <f t="shared" si="60"/>
        <v>0</v>
      </c>
      <c r="X468" s="38"/>
      <c r="Y468" s="38"/>
      <c r="Z468" s="39">
        <f t="shared" si="61"/>
        <v>0</v>
      </c>
      <c r="AA468" s="38"/>
      <c r="AB468" s="38"/>
      <c r="AC468" s="39">
        <f t="shared" si="62"/>
        <v>0</v>
      </c>
      <c r="AD468" s="38"/>
      <c r="AE468" s="38"/>
      <c r="AF468" s="39">
        <f t="shared" si="63"/>
        <v>0</v>
      </c>
    </row>
    <row r="469" spans="2:32" ht="15" customHeight="1" x14ac:dyDescent="0.3">
      <c r="B469" s="2" t="s">
        <v>836</v>
      </c>
      <c r="C469" s="4" t="s">
        <v>1051</v>
      </c>
      <c r="D469" s="3" t="s">
        <v>1058</v>
      </c>
      <c r="E469" s="6" t="s">
        <v>1059</v>
      </c>
      <c r="F469" s="6" t="s">
        <v>895</v>
      </c>
      <c r="G469" s="6" t="s">
        <v>841</v>
      </c>
      <c r="H469" s="25">
        <v>0</v>
      </c>
      <c r="I469" s="38">
        <v>0</v>
      </c>
      <c r="J469" s="38">
        <v>0</v>
      </c>
      <c r="K469" s="39">
        <f t="shared" si="56"/>
        <v>0</v>
      </c>
      <c r="L469" s="38">
        <v>1</v>
      </c>
      <c r="M469" s="38">
        <v>30</v>
      </c>
      <c r="N469" s="39">
        <f t="shared" si="57"/>
        <v>0</v>
      </c>
      <c r="O469" s="38">
        <v>0</v>
      </c>
      <c r="P469" s="38">
        <v>0</v>
      </c>
      <c r="Q469" s="39">
        <f t="shared" si="58"/>
        <v>0</v>
      </c>
      <c r="R469" s="38">
        <v>0</v>
      </c>
      <c r="S469" s="38">
        <v>0</v>
      </c>
      <c r="T469" s="39">
        <f t="shared" si="59"/>
        <v>0</v>
      </c>
      <c r="U469" s="38">
        <v>0</v>
      </c>
      <c r="V469" s="38">
        <v>0</v>
      </c>
      <c r="W469" s="39">
        <f t="shared" si="60"/>
        <v>0</v>
      </c>
      <c r="X469" s="38"/>
      <c r="Y469" s="38"/>
      <c r="Z469" s="39">
        <f t="shared" si="61"/>
        <v>0</v>
      </c>
      <c r="AA469" s="38"/>
      <c r="AB469" s="38"/>
      <c r="AC469" s="39">
        <f t="shared" si="62"/>
        <v>0</v>
      </c>
      <c r="AD469" s="38"/>
      <c r="AE469" s="38"/>
      <c r="AF469" s="39">
        <f t="shared" si="63"/>
        <v>0</v>
      </c>
    </row>
    <row r="470" spans="2:32" ht="15" customHeight="1" x14ac:dyDescent="0.3">
      <c r="B470" s="2" t="s">
        <v>836</v>
      </c>
      <c r="C470" s="4" t="s">
        <v>1051</v>
      </c>
      <c r="D470" s="3" t="s">
        <v>1058</v>
      </c>
      <c r="E470" s="6" t="s">
        <v>1059</v>
      </c>
      <c r="F470" s="6" t="s">
        <v>912</v>
      </c>
      <c r="G470" s="6" t="s">
        <v>841</v>
      </c>
      <c r="H470" s="25">
        <v>0</v>
      </c>
      <c r="I470" s="38">
        <v>0</v>
      </c>
      <c r="J470" s="38">
        <v>0</v>
      </c>
      <c r="K470" s="39">
        <f t="shared" si="56"/>
        <v>0</v>
      </c>
      <c r="L470" s="38">
        <v>5</v>
      </c>
      <c r="M470" s="38">
        <v>14</v>
      </c>
      <c r="N470" s="39">
        <f t="shared" si="57"/>
        <v>0</v>
      </c>
      <c r="O470" s="38">
        <v>0</v>
      </c>
      <c r="P470" s="38">
        <v>0</v>
      </c>
      <c r="Q470" s="39">
        <f t="shared" si="58"/>
        <v>0</v>
      </c>
      <c r="R470" s="38">
        <v>0</v>
      </c>
      <c r="S470" s="38">
        <v>0</v>
      </c>
      <c r="T470" s="39">
        <f t="shared" si="59"/>
        <v>0</v>
      </c>
      <c r="U470" s="38">
        <v>0</v>
      </c>
      <c r="V470" s="38">
        <v>0</v>
      </c>
      <c r="W470" s="39">
        <f t="shared" si="60"/>
        <v>0</v>
      </c>
      <c r="X470" s="38"/>
      <c r="Y470" s="38"/>
      <c r="Z470" s="39">
        <f t="shared" si="61"/>
        <v>0</v>
      </c>
      <c r="AA470" s="38"/>
      <c r="AB470" s="38"/>
      <c r="AC470" s="39">
        <f t="shared" si="62"/>
        <v>0</v>
      </c>
      <c r="AD470" s="38"/>
      <c r="AE470" s="38"/>
      <c r="AF470" s="39">
        <f t="shared" si="63"/>
        <v>0</v>
      </c>
    </row>
    <row r="471" spans="2:32" ht="15" customHeight="1" x14ac:dyDescent="0.3">
      <c r="B471" s="2" t="s">
        <v>836</v>
      </c>
      <c r="C471" s="4" t="s">
        <v>1051</v>
      </c>
      <c r="D471" s="3" t="s">
        <v>1058</v>
      </c>
      <c r="E471" s="6" t="s">
        <v>1059</v>
      </c>
      <c r="F471" s="6" t="s">
        <v>1026</v>
      </c>
      <c r="G471" s="6" t="s">
        <v>709</v>
      </c>
      <c r="H471" s="25">
        <v>28000</v>
      </c>
      <c r="I471" s="38">
        <v>0</v>
      </c>
      <c r="J471" s="38">
        <v>0</v>
      </c>
      <c r="K471" s="39">
        <f t="shared" si="56"/>
        <v>0</v>
      </c>
      <c r="L471" s="38">
        <v>10</v>
      </c>
      <c r="M471" s="38">
        <v>1</v>
      </c>
      <c r="N471" s="39">
        <f t="shared" si="57"/>
        <v>280000</v>
      </c>
      <c r="O471" s="38">
        <v>0</v>
      </c>
      <c r="P471" s="38">
        <v>0</v>
      </c>
      <c r="Q471" s="39">
        <f t="shared" si="58"/>
        <v>0</v>
      </c>
      <c r="R471" s="38">
        <v>0</v>
      </c>
      <c r="S471" s="38">
        <v>0</v>
      </c>
      <c r="T471" s="39">
        <f t="shared" si="59"/>
        <v>0</v>
      </c>
      <c r="U471" s="38">
        <v>0</v>
      </c>
      <c r="V471" s="38">
        <v>0</v>
      </c>
      <c r="W471" s="39">
        <f t="shared" si="60"/>
        <v>0</v>
      </c>
      <c r="X471" s="38"/>
      <c r="Y471" s="38"/>
      <c r="Z471" s="39">
        <f t="shared" si="61"/>
        <v>0</v>
      </c>
      <c r="AA471" s="38"/>
      <c r="AB471" s="38"/>
      <c r="AC471" s="39">
        <f t="shared" si="62"/>
        <v>0</v>
      </c>
      <c r="AD471" s="38"/>
      <c r="AE471" s="38"/>
      <c r="AF471" s="39">
        <f t="shared" si="63"/>
        <v>0</v>
      </c>
    </row>
    <row r="472" spans="2:32" ht="15" customHeight="1" x14ac:dyDescent="0.3">
      <c r="B472" s="2" t="s">
        <v>836</v>
      </c>
      <c r="C472" s="4" t="s">
        <v>1051</v>
      </c>
      <c r="D472" s="3" t="s">
        <v>1058</v>
      </c>
      <c r="E472" s="6" t="s">
        <v>1059</v>
      </c>
      <c r="F472" s="6" t="s">
        <v>1026</v>
      </c>
      <c r="G472" s="6" t="s">
        <v>711</v>
      </c>
      <c r="H472" s="25">
        <v>70</v>
      </c>
      <c r="I472" s="38">
        <v>0</v>
      </c>
      <c r="J472" s="38">
        <v>0</v>
      </c>
      <c r="K472" s="39">
        <f t="shared" si="56"/>
        <v>0</v>
      </c>
      <c r="L472" s="38">
        <v>25</v>
      </c>
      <c r="M472" s="38">
        <v>3</v>
      </c>
      <c r="N472" s="39">
        <f t="shared" si="57"/>
        <v>5250</v>
      </c>
      <c r="O472" s="38">
        <v>0</v>
      </c>
      <c r="P472" s="38">
        <v>0</v>
      </c>
      <c r="Q472" s="39">
        <f t="shared" si="58"/>
        <v>0</v>
      </c>
      <c r="R472" s="38">
        <v>0</v>
      </c>
      <c r="S472" s="38">
        <v>0</v>
      </c>
      <c r="T472" s="39">
        <f t="shared" si="59"/>
        <v>0</v>
      </c>
      <c r="U472" s="38">
        <v>0</v>
      </c>
      <c r="V472" s="38">
        <v>0</v>
      </c>
      <c r="W472" s="39">
        <f t="shared" si="60"/>
        <v>0</v>
      </c>
      <c r="X472" s="38"/>
      <c r="Y472" s="38"/>
      <c r="Z472" s="39">
        <f t="shared" si="61"/>
        <v>0</v>
      </c>
      <c r="AA472" s="38"/>
      <c r="AB472" s="38"/>
      <c r="AC472" s="39">
        <f t="shared" si="62"/>
        <v>0</v>
      </c>
      <c r="AD472" s="38"/>
      <c r="AE472" s="38"/>
      <c r="AF472" s="39">
        <f t="shared" si="63"/>
        <v>0</v>
      </c>
    </row>
    <row r="473" spans="2:32" ht="15" customHeight="1" x14ac:dyDescent="0.3">
      <c r="B473" s="2" t="s">
        <v>836</v>
      </c>
      <c r="C473" s="4" t="s">
        <v>1051</v>
      </c>
      <c r="D473" s="3" t="s">
        <v>1058</v>
      </c>
      <c r="E473" s="6" t="s">
        <v>1059</v>
      </c>
      <c r="F473" s="6" t="s">
        <v>1026</v>
      </c>
      <c r="G473" s="6" t="s">
        <v>710</v>
      </c>
      <c r="H473" s="25">
        <v>104850</v>
      </c>
      <c r="I473" s="38">
        <v>0</v>
      </c>
      <c r="J473" s="38">
        <v>0</v>
      </c>
      <c r="K473" s="39">
        <f t="shared" si="56"/>
        <v>0</v>
      </c>
      <c r="L473" s="38">
        <v>5000</v>
      </c>
      <c r="M473" s="38">
        <v>1</v>
      </c>
      <c r="N473" s="39">
        <f t="shared" si="57"/>
        <v>524250000</v>
      </c>
      <c r="O473" s="38">
        <v>0</v>
      </c>
      <c r="P473" s="38">
        <v>0</v>
      </c>
      <c r="Q473" s="39">
        <f t="shared" si="58"/>
        <v>0</v>
      </c>
      <c r="R473" s="38">
        <v>0</v>
      </c>
      <c r="S473" s="38">
        <v>0</v>
      </c>
      <c r="T473" s="39">
        <f t="shared" si="59"/>
        <v>0</v>
      </c>
      <c r="U473" s="38">
        <v>0</v>
      </c>
      <c r="V473" s="38">
        <v>0</v>
      </c>
      <c r="W473" s="39">
        <f t="shared" si="60"/>
        <v>0</v>
      </c>
      <c r="X473" s="38"/>
      <c r="Y473" s="38"/>
      <c r="Z473" s="39">
        <f t="shared" si="61"/>
        <v>0</v>
      </c>
      <c r="AA473" s="38"/>
      <c r="AB473" s="38"/>
      <c r="AC473" s="39">
        <f t="shared" si="62"/>
        <v>0</v>
      </c>
      <c r="AD473" s="38"/>
      <c r="AE473" s="38"/>
      <c r="AF473" s="39">
        <f t="shared" si="63"/>
        <v>0</v>
      </c>
    </row>
    <row r="474" spans="2:32" ht="15" customHeight="1" x14ac:dyDescent="0.3">
      <c r="B474" s="2" t="s">
        <v>836</v>
      </c>
      <c r="C474" s="4" t="s">
        <v>1051</v>
      </c>
      <c r="D474" s="3" t="s">
        <v>1058</v>
      </c>
      <c r="E474" s="6" t="s">
        <v>1059</v>
      </c>
      <c r="F474" s="6" t="s">
        <v>163</v>
      </c>
      <c r="G474" s="6" t="s">
        <v>713</v>
      </c>
      <c r="H474" s="25">
        <v>45000</v>
      </c>
      <c r="I474" s="38">
        <v>0</v>
      </c>
      <c r="J474" s="38">
        <v>0</v>
      </c>
      <c r="K474" s="39">
        <f t="shared" si="56"/>
        <v>0</v>
      </c>
      <c r="L474" s="38">
        <v>1</v>
      </c>
      <c r="M474" s="38">
        <v>1</v>
      </c>
      <c r="N474" s="39">
        <f t="shared" si="57"/>
        <v>45000</v>
      </c>
      <c r="O474" s="38">
        <v>0</v>
      </c>
      <c r="P474" s="38">
        <v>0</v>
      </c>
      <c r="Q474" s="39">
        <f t="shared" si="58"/>
        <v>0</v>
      </c>
      <c r="R474" s="38">
        <v>0</v>
      </c>
      <c r="S474" s="38">
        <v>0</v>
      </c>
      <c r="T474" s="39">
        <f t="shared" si="59"/>
        <v>0</v>
      </c>
      <c r="U474" s="38">
        <v>0</v>
      </c>
      <c r="V474" s="38">
        <v>0</v>
      </c>
      <c r="W474" s="39">
        <f t="shared" si="60"/>
        <v>0</v>
      </c>
      <c r="X474" s="38"/>
      <c r="Y474" s="38"/>
      <c r="Z474" s="39">
        <f t="shared" si="61"/>
        <v>0</v>
      </c>
      <c r="AA474" s="38"/>
      <c r="AB474" s="38"/>
      <c r="AC474" s="39">
        <f t="shared" si="62"/>
        <v>0</v>
      </c>
      <c r="AD474" s="38"/>
      <c r="AE474" s="38"/>
      <c r="AF474" s="39">
        <f t="shared" si="63"/>
        <v>0</v>
      </c>
    </row>
    <row r="475" spans="2:32" ht="15" customHeight="1" x14ac:dyDescent="0.3">
      <c r="B475" s="2" t="s">
        <v>836</v>
      </c>
      <c r="C475" s="4" t="s">
        <v>1051</v>
      </c>
      <c r="D475" s="3" t="s">
        <v>1058</v>
      </c>
      <c r="E475" s="6" t="s">
        <v>1059</v>
      </c>
      <c r="F475" s="6" t="s">
        <v>163</v>
      </c>
      <c r="G475" s="6" t="s">
        <v>712</v>
      </c>
      <c r="H475" s="25">
        <v>214.29</v>
      </c>
      <c r="I475" s="38">
        <v>0</v>
      </c>
      <c r="J475" s="38">
        <v>0</v>
      </c>
      <c r="K475" s="39">
        <f t="shared" si="56"/>
        <v>0</v>
      </c>
      <c r="L475" s="38">
        <v>20</v>
      </c>
      <c r="M475" s="38">
        <v>1</v>
      </c>
      <c r="N475" s="39">
        <f t="shared" si="57"/>
        <v>4285.8</v>
      </c>
      <c r="O475" s="38">
        <v>0</v>
      </c>
      <c r="P475" s="38">
        <v>0</v>
      </c>
      <c r="Q475" s="39">
        <f t="shared" si="58"/>
        <v>0</v>
      </c>
      <c r="R475" s="38">
        <v>0</v>
      </c>
      <c r="S475" s="38">
        <v>0</v>
      </c>
      <c r="T475" s="39">
        <f t="shared" si="59"/>
        <v>0</v>
      </c>
      <c r="U475" s="38">
        <v>0</v>
      </c>
      <c r="V475" s="38">
        <v>0</v>
      </c>
      <c r="W475" s="39">
        <f t="shared" si="60"/>
        <v>0</v>
      </c>
      <c r="X475" s="38"/>
      <c r="Y475" s="38"/>
      <c r="Z475" s="39">
        <f t="shared" si="61"/>
        <v>0</v>
      </c>
      <c r="AA475" s="38"/>
      <c r="AB475" s="38"/>
      <c r="AC475" s="39">
        <f t="shared" si="62"/>
        <v>0</v>
      </c>
      <c r="AD475" s="38"/>
      <c r="AE475" s="38"/>
      <c r="AF475" s="39">
        <f t="shared" si="63"/>
        <v>0</v>
      </c>
    </row>
    <row r="476" spans="2:32" ht="15" customHeight="1" x14ac:dyDescent="0.3">
      <c r="B476" s="2" t="s">
        <v>836</v>
      </c>
      <c r="C476" s="4" t="s">
        <v>1051</v>
      </c>
      <c r="D476" s="3" t="s">
        <v>1058</v>
      </c>
      <c r="E476" s="6" t="s">
        <v>1059</v>
      </c>
      <c r="F476" s="6" t="s">
        <v>1027</v>
      </c>
      <c r="G476" s="6" t="s">
        <v>709</v>
      </c>
      <c r="H476" s="25">
        <v>28000</v>
      </c>
      <c r="I476" s="38">
        <v>0</v>
      </c>
      <c r="J476" s="38">
        <v>0</v>
      </c>
      <c r="K476" s="39">
        <f t="shared" si="56"/>
        <v>0</v>
      </c>
      <c r="L476" s="38">
        <v>4000</v>
      </c>
      <c r="M476" s="38">
        <v>1</v>
      </c>
      <c r="N476" s="39">
        <f t="shared" si="57"/>
        <v>112000000</v>
      </c>
      <c r="O476" s="38">
        <v>0</v>
      </c>
      <c r="P476" s="38">
        <v>0</v>
      </c>
      <c r="Q476" s="39">
        <f t="shared" si="58"/>
        <v>0</v>
      </c>
      <c r="R476" s="38">
        <v>0</v>
      </c>
      <c r="S476" s="38">
        <v>0</v>
      </c>
      <c r="T476" s="39">
        <f t="shared" si="59"/>
        <v>0</v>
      </c>
      <c r="U476" s="38">
        <v>0</v>
      </c>
      <c r="V476" s="38">
        <v>0</v>
      </c>
      <c r="W476" s="39">
        <f t="shared" si="60"/>
        <v>0</v>
      </c>
      <c r="X476" s="38"/>
      <c r="Y476" s="38"/>
      <c r="Z476" s="39">
        <f t="shared" si="61"/>
        <v>0</v>
      </c>
      <c r="AA476" s="38"/>
      <c r="AB476" s="38"/>
      <c r="AC476" s="39">
        <f t="shared" si="62"/>
        <v>0</v>
      </c>
      <c r="AD476" s="38"/>
      <c r="AE476" s="38"/>
      <c r="AF476" s="39">
        <f t="shared" si="63"/>
        <v>0</v>
      </c>
    </row>
    <row r="477" spans="2:32" ht="15" customHeight="1" x14ac:dyDescent="0.3">
      <c r="B477" s="2" t="s">
        <v>836</v>
      </c>
      <c r="C477" s="4" t="s">
        <v>1051</v>
      </c>
      <c r="D477" s="3" t="s">
        <v>1058</v>
      </c>
      <c r="E477" s="6" t="s">
        <v>1059</v>
      </c>
      <c r="F477" s="6" t="s">
        <v>157</v>
      </c>
      <c r="G477" s="6" t="s">
        <v>713</v>
      </c>
      <c r="H477" s="25">
        <v>45000</v>
      </c>
      <c r="I477" s="38">
        <v>0</v>
      </c>
      <c r="J477" s="38">
        <v>0</v>
      </c>
      <c r="K477" s="39">
        <f t="shared" si="56"/>
        <v>0</v>
      </c>
      <c r="L477" s="38">
        <v>30</v>
      </c>
      <c r="M477" s="38">
        <v>1</v>
      </c>
      <c r="N477" s="39">
        <f t="shared" si="57"/>
        <v>1350000</v>
      </c>
      <c r="O477" s="38">
        <v>0</v>
      </c>
      <c r="P477" s="38">
        <v>0</v>
      </c>
      <c r="Q477" s="39">
        <f t="shared" si="58"/>
        <v>0</v>
      </c>
      <c r="R477" s="38">
        <v>0</v>
      </c>
      <c r="S477" s="38">
        <v>0</v>
      </c>
      <c r="T477" s="39">
        <f t="shared" si="59"/>
        <v>0</v>
      </c>
      <c r="U477" s="38">
        <v>0</v>
      </c>
      <c r="V477" s="38">
        <v>0</v>
      </c>
      <c r="W477" s="39">
        <f t="shared" si="60"/>
        <v>0</v>
      </c>
      <c r="X477" s="38"/>
      <c r="Y477" s="38"/>
      <c r="Z477" s="39">
        <f t="shared" si="61"/>
        <v>0</v>
      </c>
      <c r="AA477" s="38"/>
      <c r="AB477" s="38"/>
      <c r="AC477" s="39">
        <f t="shared" si="62"/>
        <v>0</v>
      </c>
      <c r="AD477" s="38"/>
      <c r="AE477" s="38"/>
      <c r="AF477" s="39">
        <f t="shared" si="63"/>
        <v>0</v>
      </c>
    </row>
    <row r="478" spans="2:32" ht="15" customHeight="1" x14ac:dyDescent="0.3">
      <c r="B478" s="2" t="s">
        <v>836</v>
      </c>
      <c r="C478" s="4" t="s">
        <v>1051</v>
      </c>
      <c r="D478" s="3" t="s">
        <v>1058</v>
      </c>
      <c r="E478" s="6" t="s">
        <v>1059</v>
      </c>
      <c r="F478" s="6" t="s">
        <v>157</v>
      </c>
      <c r="G478" s="6" t="s">
        <v>712</v>
      </c>
      <c r="H478" s="25">
        <v>214.29</v>
      </c>
      <c r="I478" s="38">
        <v>0</v>
      </c>
      <c r="J478" s="38">
        <v>0</v>
      </c>
      <c r="K478" s="39">
        <f t="shared" si="56"/>
        <v>0</v>
      </c>
      <c r="L478" s="38">
        <v>15</v>
      </c>
      <c r="M478" s="38">
        <v>10</v>
      </c>
      <c r="N478" s="39">
        <f t="shared" si="57"/>
        <v>32143.5</v>
      </c>
      <c r="O478" s="38">
        <v>0</v>
      </c>
      <c r="P478" s="38">
        <v>0</v>
      </c>
      <c r="Q478" s="39">
        <f t="shared" si="58"/>
        <v>0</v>
      </c>
      <c r="R478" s="38">
        <v>0</v>
      </c>
      <c r="S478" s="38">
        <v>0</v>
      </c>
      <c r="T478" s="39">
        <f t="shared" si="59"/>
        <v>0</v>
      </c>
      <c r="U478" s="38">
        <v>0</v>
      </c>
      <c r="V478" s="38">
        <v>0</v>
      </c>
      <c r="W478" s="39">
        <f t="shared" si="60"/>
        <v>0</v>
      </c>
      <c r="X478" s="38"/>
      <c r="Y478" s="38"/>
      <c r="Z478" s="39">
        <f t="shared" si="61"/>
        <v>0</v>
      </c>
      <c r="AA478" s="38"/>
      <c r="AB478" s="38"/>
      <c r="AC478" s="39">
        <f t="shared" si="62"/>
        <v>0</v>
      </c>
      <c r="AD478" s="38"/>
      <c r="AE478" s="38"/>
      <c r="AF478" s="39">
        <f t="shared" si="63"/>
        <v>0</v>
      </c>
    </row>
    <row r="479" spans="2:32" ht="15" customHeight="1" x14ac:dyDescent="0.3">
      <c r="B479" s="2" t="s">
        <v>836</v>
      </c>
      <c r="C479" s="4" t="s">
        <v>1051</v>
      </c>
      <c r="D479" s="3" t="s">
        <v>1058</v>
      </c>
      <c r="E479" s="6" t="s">
        <v>1059</v>
      </c>
      <c r="F479" s="6" t="s">
        <v>157</v>
      </c>
      <c r="G479" s="6" t="s">
        <v>714</v>
      </c>
      <c r="H479" s="25">
        <v>10000</v>
      </c>
      <c r="I479" s="38">
        <v>0</v>
      </c>
      <c r="J479" s="38">
        <v>0</v>
      </c>
      <c r="K479" s="39">
        <f t="shared" si="56"/>
        <v>0</v>
      </c>
      <c r="L479" s="38">
        <v>20000</v>
      </c>
      <c r="M479" s="38">
        <v>1</v>
      </c>
      <c r="N479" s="39">
        <f t="shared" si="57"/>
        <v>200000000</v>
      </c>
      <c r="O479" s="38">
        <v>0</v>
      </c>
      <c r="P479" s="38">
        <v>0</v>
      </c>
      <c r="Q479" s="39">
        <f t="shared" si="58"/>
        <v>0</v>
      </c>
      <c r="R479" s="38">
        <v>0</v>
      </c>
      <c r="S479" s="38">
        <v>0</v>
      </c>
      <c r="T479" s="39">
        <f t="shared" si="59"/>
        <v>0</v>
      </c>
      <c r="U479" s="38">
        <v>0</v>
      </c>
      <c r="V479" s="38">
        <v>0</v>
      </c>
      <c r="W479" s="39">
        <f t="shared" si="60"/>
        <v>0</v>
      </c>
      <c r="X479" s="38"/>
      <c r="Y479" s="38"/>
      <c r="Z479" s="39">
        <f t="shared" si="61"/>
        <v>0</v>
      </c>
      <c r="AA479" s="38"/>
      <c r="AB479" s="38"/>
      <c r="AC479" s="39">
        <f t="shared" si="62"/>
        <v>0</v>
      </c>
      <c r="AD479" s="38"/>
      <c r="AE479" s="38"/>
      <c r="AF479" s="39">
        <f t="shared" si="63"/>
        <v>0</v>
      </c>
    </row>
    <row r="480" spans="2:32" ht="15" customHeight="1" x14ac:dyDescent="0.3">
      <c r="B480" s="2" t="s">
        <v>836</v>
      </c>
      <c r="C480" s="4" t="s">
        <v>1051</v>
      </c>
      <c r="D480" s="3" t="s">
        <v>1058</v>
      </c>
      <c r="E480" s="6" t="s">
        <v>1059</v>
      </c>
      <c r="F480" s="6" t="s">
        <v>1004</v>
      </c>
      <c r="G480" s="6" t="s">
        <v>709</v>
      </c>
      <c r="H480" s="25">
        <v>28000</v>
      </c>
      <c r="I480" s="38">
        <v>0</v>
      </c>
      <c r="J480" s="38">
        <v>0</v>
      </c>
      <c r="K480" s="39">
        <f t="shared" si="56"/>
        <v>0</v>
      </c>
      <c r="L480" s="38">
        <v>15</v>
      </c>
      <c r="M480" s="38">
        <v>1</v>
      </c>
      <c r="N480" s="39">
        <f t="shared" si="57"/>
        <v>420000</v>
      </c>
      <c r="O480" s="38">
        <v>0</v>
      </c>
      <c r="P480" s="38">
        <v>0</v>
      </c>
      <c r="Q480" s="39">
        <f t="shared" si="58"/>
        <v>0</v>
      </c>
      <c r="R480" s="38">
        <v>0</v>
      </c>
      <c r="S480" s="38">
        <v>0</v>
      </c>
      <c r="T480" s="39">
        <f t="shared" si="59"/>
        <v>0</v>
      </c>
      <c r="U480" s="38">
        <v>0</v>
      </c>
      <c r="V480" s="38">
        <v>0</v>
      </c>
      <c r="W480" s="39">
        <f t="shared" si="60"/>
        <v>0</v>
      </c>
      <c r="X480" s="38"/>
      <c r="Y480" s="38"/>
      <c r="Z480" s="39">
        <f t="shared" si="61"/>
        <v>0</v>
      </c>
      <c r="AA480" s="38"/>
      <c r="AB480" s="38"/>
      <c r="AC480" s="39">
        <f t="shared" si="62"/>
        <v>0</v>
      </c>
      <c r="AD480" s="38"/>
      <c r="AE480" s="38"/>
      <c r="AF480" s="39">
        <f t="shared" si="63"/>
        <v>0</v>
      </c>
    </row>
    <row r="481" spans="2:32" ht="15" customHeight="1" x14ac:dyDescent="0.3">
      <c r="B481" s="2" t="s">
        <v>836</v>
      </c>
      <c r="C481" s="4" t="s">
        <v>1051</v>
      </c>
      <c r="D481" s="3" t="s">
        <v>1058</v>
      </c>
      <c r="E481" s="6" t="s">
        <v>1059</v>
      </c>
      <c r="F481" s="6" t="s">
        <v>1004</v>
      </c>
      <c r="G481" s="6" t="s">
        <v>716</v>
      </c>
      <c r="H481" s="25">
        <v>39000</v>
      </c>
      <c r="I481" s="38">
        <v>0</v>
      </c>
      <c r="J481" s="38">
        <v>0</v>
      </c>
      <c r="K481" s="39">
        <f t="shared" si="56"/>
        <v>0</v>
      </c>
      <c r="L481" s="38">
        <v>25</v>
      </c>
      <c r="M481" s="38">
        <v>5</v>
      </c>
      <c r="N481" s="39">
        <f t="shared" si="57"/>
        <v>4875000</v>
      </c>
      <c r="O481" s="38">
        <v>0</v>
      </c>
      <c r="P481" s="38">
        <v>0</v>
      </c>
      <c r="Q481" s="39">
        <f t="shared" si="58"/>
        <v>0</v>
      </c>
      <c r="R481" s="38">
        <v>0</v>
      </c>
      <c r="S481" s="38">
        <v>0</v>
      </c>
      <c r="T481" s="39">
        <f t="shared" si="59"/>
        <v>0</v>
      </c>
      <c r="U481" s="38">
        <v>0</v>
      </c>
      <c r="V481" s="38">
        <v>0</v>
      </c>
      <c r="W481" s="39">
        <f t="shared" si="60"/>
        <v>0</v>
      </c>
      <c r="X481" s="38"/>
      <c r="Y481" s="38"/>
      <c r="Z481" s="39">
        <f t="shared" si="61"/>
        <v>0</v>
      </c>
      <c r="AA481" s="38"/>
      <c r="AB481" s="38"/>
      <c r="AC481" s="39">
        <f t="shared" si="62"/>
        <v>0</v>
      </c>
      <c r="AD481" s="38"/>
      <c r="AE481" s="38"/>
      <c r="AF481" s="39">
        <f t="shared" si="63"/>
        <v>0</v>
      </c>
    </row>
    <row r="482" spans="2:32" ht="15" customHeight="1" x14ac:dyDescent="0.3">
      <c r="B482" s="2" t="s">
        <v>836</v>
      </c>
      <c r="C482" s="4" t="s">
        <v>1051</v>
      </c>
      <c r="D482" s="3" t="s">
        <v>1058</v>
      </c>
      <c r="E482" s="6" t="s">
        <v>1059</v>
      </c>
      <c r="F482" s="6" t="s">
        <v>1004</v>
      </c>
      <c r="G482" s="6" t="s">
        <v>712</v>
      </c>
      <c r="H482" s="25">
        <v>214.29</v>
      </c>
      <c r="I482" s="38">
        <v>0</v>
      </c>
      <c r="J482" s="38">
        <v>0</v>
      </c>
      <c r="K482" s="39">
        <f t="shared" si="56"/>
        <v>0</v>
      </c>
      <c r="L482" s="38">
        <v>25</v>
      </c>
      <c r="M482" s="38">
        <v>5</v>
      </c>
      <c r="N482" s="39">
        <f t="shared" si="57"/>
        <v>26786.25</v>
      </c>
      <c r="O482" s="38">
        <v>0</v>
      </c>
      <c r="P482" s="38">
        <v>0</v>
      </c>
      <c r="Q482" s="39">
        <f t="shared" si="58"/>
        <v>0</v>
      </c>
      <c r="R482" s="38">
        <v>0</v>
      </c>
      <c r="S482" s="38">
        <v>0</v>
      </c>
      <c r="T482" s="39">
        <f t="shared" si="59"/>
        <v>0</v>
      </c>
      <c r="U482" s="38">
        <v>0</v>
      </c>
      <c r="V482" s="38">
        <v>0</v>
      </c>
      <c r="W482" s="39">
        <f t="shared" si="60"/>
        <v>0</v>
      </c>
      <c r="X482" s="38"/>
      <c r="Y482" s="38"/>
      <c r="Z482" s="39">
        <f t="shared" si="61"/>
        <v>0</v>
      </c>
      <c r="AA482" s="38"/>
      <c r="AB482" s="38"/>
      <c r="AC482" s="39">
        <f t="shared" si="62"/>
        <v>0</v>
      </c>
      <c r="AD482" s="38"/>
      <c r="AE482" s="38"/>
      <c r="AF482" s="39">
        <f t="shared" si="63"/>
        <v>0</v>
      </c>
    </row>
    <row r="483" spans="2:32" ht="15" customHeight="1" x14ac:dyDescent="0.3">
      <c r="B483" s="2" t="s">
        <v>836</v>
      </c>
      <c r="C483" s="4" t="s">
        <v>1051</v>
      </c>
      <c r="D483" s="3" t="s">
        <v>1058</v>
      </c>
      <c r="E483" s="6" t="s">
        <v>1059</v>
      </c>
      <c r="F483" s="6" t="s">
        <v>1060</v>
      </c>
      <c r="G483" s="6" t="s">
        <v>712</v>
      </c>
      <c r="H483" s="25">
        <v>214.29</v>
      </c>
      <c r="I483" s="38">
        <v>0</v>
      </c>
      <c r="J483" s="38">
        <v>0</v>
      </c>
      <c r="K483" s="39">
        <f t="shared" si="56"/>
        <v>0</v>
      </c>
      <c r="L483" s="38">
        <v>4000</v>
      </c>
      <c r="M483" s="38">
        <v>1</v>
      </c>
      <c r="N483" s="39">
        <f t="shared" si="57"/>
        <v>857160</v>
      </c>
      <c r="O483" s="38">
        <v>0</v>
      </c>
      <c r="P483" s="38">
        <v>0</v>
      </c>
      <c r="Q483" s="39">
        <f t="shared" si="58"/>
        <v>0</v>
      </c>
      <c r="R483" s="38">
        <v>0</v>
      </c>
      <c r="S483" s="38">
        <v>0</v>
      </c>
      <c r="T483" s="39">
        <f t="shared" si="59"/>
        <v>0</v>
      </c>
      <c r="U483" s="38">
        <v>0</v>
      </c>
      <c r="V483" s="38">
        <v>0</v>
      </c>
      <c r="W483" s="39">
        <f t="shared" si="60"/>
        <v>0</v>
      </c>
      <c r="X483" s="38"/>
      <c r="Y483" s="38"/>
      <c r="Z483" s="39">
        <f t="shared" si="61"/>
        <v>0</v>
      </c>
      <c r="AA483" s="38"/>
      <c r="AB483" s="38"/>
      <c r="AC483" s="39">
        <f t="shared" si="62"/>
        <v>0</v>
      </c>
      <c r="AD483" s="38"/>
      <c r="AE483" s="38"/>
      <c r="AF483" s="39">
        <f t="shared" si="63"/>
        <v>0</v>
      </c>
    </row>
    <row r="484" spans="2:32" ht="15" customHeight="1" x14ac:dyDescent="0.3">
      <c r="B484" s="2" t="s">
        <v>836</v>
      </c>
      <c r="C484" s="4" t="s">
        <v>1051</v>
      </c>
      <c r="D484" s="3" t="s">
        <v>1058</v>
      </c>
      <c r="E484" s="6" t="s">
        <v>1059</v>
      </c>
      <c r="F484" s="6" t="s">
        <v>1061</v>
      </c>
      <c r="G484" s="6" t="s">
        <v>841</v>
      </c>
      <c r="H484" s="25">
        <v>0</v>
      </c>
      <c r="I484" s="38">
        <v>0</v>
      </c>
      <c r="J484" s="38">
        <v>0</v>
      </c>
      <c r="K484" s="39">
        <f t="shared" si="56"/>
        <v>0</v>
      </c>
      <c r="L484" s="38">
        <v>4000</v>
      </c>
      <c r="M484" s="38">
        <v>1</v>
      </c>
      <c r="N484" s="39">
        <f t="shared" si="57"/>
        <v>0</v>
      </c>
      <c r="O484" s="38">
        <v>0</v>
      </c>
      <c r="P484" s="38">
        <v>0</v>
      </c>
      <c r="Q484" s="39">
        <f t="shared" si="58"/>
        <v>0</v>
      </c>
      <c r="R484" s="38">
        <v>0</v>
      </c>
      <c r="S484" s="38">
        <v>0</v>
      </c>
      <c r="T484" s="39">
        <f t="shared" si="59"/>
        <v>0</v>
      </c>
      <c r="U484" s="38">
        <v>0</v>
      </c>
      <c r="V484" s="38">
        <v>0</v>
      </c>
      <c r="W484" s="39">
        <f t="shared" si="60"/>
        <v>0</v>
      </c>
      <c r="X484" s="38"/>
      <c r="Y484" s="38"/>
      <c r="Z484" s="39">
        <f t="shared" si="61"/>
        <v>0</v>
      </c>
      <c r="AA484" s="38"/>
      <c r="AB484" s="38"/>
      <c r="AC484" s="39">
        <f t="shared" si="62"/>
        <v>0</v>
      </c>
      <c r="AD484" s="38"/>
      <c r="AE484" s="38"/>
      <c r="AF484" s="39">
        <f t="shared" si="63"/>
        <v>0</v>
      </c>
    </row>
    <row r="485" spans="2:32" ht="15" customHeight="1" x14ac:dyDescent="0.3">
      <c r="B485" s="2" t="s">
        <v>836</v>
      </c>
      <c r="C485" s="4" t="s">
        <v>1051</v>
      </c>
      <c r="D485" s="3" t="s">
        <v>1058</v>
      </c>
      <c r="E485" s="6" t="s">
        <v>1059</v>
      </c>
      <c r="F485" s="6" t="s">
        <v>1062</v>
      </c>
      <c r="G485" s="6" t="s">
        <v>718</v>
      </c>
      <c r="H485" s="25">
        <v>0</v>
      </c>
      <c r="I485" s="38">
        <v>0</v>
      </c>
      <c r="J485" s="38">
        <v>0</v>
      </c>
      <c r="K485" s="39">
        <f t="shared" si="56"/>
        <v>0</v>
      </c>
      <c r="L485" s="38">
        <v>0</v>
      </c>
      <c r="M485" s="38">
        <v>0</v>
      </c>
      <c r="N485" s="39">
        <f t="shared" si="57"/>
        <v>0</v>
      </c>
      <c r="O485" s="38">
        <v>0</v>
      </c>
      <c r="P485" s="38">
        <v>0</v>
      </c>
      <c r="Q485" s="39">
        <f t="shared" si="58"/>
        <v>0</v>
      </c>
      <c r="R485" s="38">
        <v>0</v>
      </c>
      <c r="S485" s="38">
        <v>0</v>
      </c>
      <c r="T485" s="39">
        <f t="shared" si="59"/>
        <v>0</v>
      </c>
      <c r="U485" s="38">
        <v>0</v>
      </c>
      <c r="V485" s="38">
        <v>0</v>
      </c>
      <c r="W485" s="39">
        <f t="shared" si="60"/>
        <v>0</v>
      </c>
      <c r="X485" s="38"/>
      <c r="Y485" s="38"/>
      <c r="Z485" s="39">
        <f t="shared" si="61"/>
        <v>0</v>
      </c>
      <c r="AA485" s="38"/>
      <c r="AB485" s="38"/>
      <c r="AC485" s="39">
        <f t="shared" si="62"/>
        <v>0</v>
      </c>
      <c r="AD485" s="38"/>
      <c r="AE485" s="38"/>
      <c r="AF485" s="39">
        <f t="shared" si="63"/>
        <v>0</v>
      </c>
    </row>
    <row r="486" spans="2:32" ht="15" customHeight="1" x14ac:dyDescent="0.3">
      <c r="B486" s="2" t="s">
        <v>836</v>
      </c>
      <c r="C486" s="4" t="s">
        <v>1051</v>
      </c>
      <c r="D486" s="3" t="s">
        <v>1058</v>
      </c>
      <c r="E486" s="6" t="s">
        <v>1059</v>
      </c>
      <c r="F486" s="6" t="s">
        <v>1031</v>
      </c>
      <c r="G486" s="6" t="s">
        <v>841</v>
      </c>
      <c r="H486" s="25">
        <v>0</v>
      </c>
      <c r="I486" s="38">
        <v>0</v>
      </c>
      <c r="J486" s="38">
        <v>0</v>
      </c>
      <c r="K486" s="39">
        <f t="shared" si="56"/>
        <v>0</v>
      </c>
      <c r="L486" s="38">
        <v>0</v>
      </c>
      <c r="M486" s="38">
        <v>0</v>
      </c>
      <c r="N486" s="39">
        <f t="shared" si="57"/>
        <v>0</v>
      </c>
      <c r="O486" s="38">
        <v>0</v>
      </c>
      <c r="P486" s="38">
        <v>0</v>
      </c>
      <c r="Q486" s="39">
        <f t="shared" si="58"/>
        <v>0</v>
      </c>
      <c r="R486" s="38">
        <v>0</v>
      </c>
      <c r="S486" s="38">
        <v>0</v>
      </c>
      <c r="T486" s="39">
        <f t="shared" si="59"/>
        <v>0</v>
      </c>
      <c r="U486" s="38">
        <v>0</v>
      </c>
      <c r="V486" s="38">
        <v>0</v>
      </c>
      <c r="W486" s="39">
        <f t="shared" si="60"/>
        <v>0</v>
      </c>
      <c r="X486" s="38"/>
      <c r="Y486" s="38"/>
      <c r="Z486" s="39">
        <f t="shared" si="61"/>
        <v>0</v>
      </c>
      <c r="AA486" s="38"/>
      <c r="AB486" s="38"/>
      <c r="AC486" s="39">
        <f t="shared" si="62"/>
        <v>0</v>
      </c>
      <c r="AD486" s="38"/>
      <c r="AE486" s="38"/>
      <c r="AF486" s="39">
        <f t="shared" si="63"/>
        <v>0</v>
      </c>
    </row>
    <row r="487" spans="2:32" ht="15" customHeight="1" x14ac:dyDescent="0.3">
      <c r="B487" s="2" t="s">
        <v>836</v>
      </c>
      <c r="C487" s="4" t="s">
        <v>1051</v>
      </c>
      <c r="D487" s="3" t="s">
        <v>1058</v>
      </c>
      <c r="E487" s="6" t="s">
        <v>1063</v>
      </c>
      <c r="F487" s="6" t="s">
        <v>176</v>
      </c>
      <c r="G487" s="6" t="s">
        <v>841</v>
      </c>
      <c r="H487" s="25">
        <v>0</v>
      </c>
      <c r="I487" s="38">
        <v>0</v>
      </c>
      <c r="J487" s="38">
        <v>0</v>
      </c>
      <c r="K487" s="39">
        <f t="shared" si="56"/>
        <v>0</v>
      </c>
      <c r="L487" s="38">
        <v>0</v>
      </c>
      <c r="M487" s="38">
        <v>0</v>
      </c>
      <c r="N487" s="39">
        <f t="shared" si="57"/>
        <v>0</v>
      </c>
      <c r="O487" s="38">
        <v>0</v>
      </c>
      <c r="P487" s="38">
        <v>0</v>
      </c>
      <c r="Q487" s="39">
        <f t="shared" si="58"/>
        <v>0</v>
      </c>
      <c r="R487" s="38">
        <v>0</v>
      </c>
      <c r="S487" s="38">
        <v>0</v>
      </c>
      <c r="T487" s="39">
        <f t="shared" si="59"/>
        <v>0</v>
      </c>
      <c r="U487" s="38">
        <v>0</v>
      </c>
      <c r="V487" s="38">
        <v>0</v>
      </c>
      <c r="W487" s="39">
        <f t="shared" si="60"/>
        <v>0</v>
      </c>
      <c r="X487" s="38"/>
      <c r="Y487" s="38"/>
      <c r="Z487" s="39">
        <f t="shared" si="61"/>
        <v>0</v>
      </c>
      <c r="AA487" s="38"/>
      <c r="AB487" s="38"/>
      <c r="AC487" s="39">
        <f t="shared" si="62"/>
        <v>0</v>
      </c>
      <c r="AD487" s="38"/>
      <c r="AE487" s="38"/>
      <c r="AF487" s="39">
        <f t="shared" si="63"/>
        <v>0</v>
      </c>
    </row>
    <row r="488" spans="2:32" ht="15" customHeight="1" x14ac:dyDescent="0.3">
      <c r="B488" s="2" t="s">
        <v>836</v>
      </c>
      <c r="C488" s="4" t="s">
        <v>1051</v>
      </c>
      <c r="D488" s="3" t="s">
        <v>1058</v>
      </c>
      <c r="E488" s="6" t="s">
        <v>1063</v>
      </c>
      <c r="F488" s="6" t="s">
        <v>1055</v>
      </c>
      <c r="G488" s="6" t="s">
        <v>841</v>
      </c>
      <c r="H488" s="25">
        <v>0</v>
      </c>
      <c r="I488" s="38">
        <v>0</v>
      </c>
      <c r="J488" s="38">
        <v>0</v>
      </c>
      <c r="K488" s="39">
        <f t="shared" si="56"/>
        <v>0</v>
      </c>
      <c r="L488" s="38">
        <v>0</v>
      </c>
      <c r="M488" s="38">
        <v>5</v>
      </c>
      <c r="N488" s="39">
        <f t="shared" si="57"/>
        <v>0</v>
      </c>
      <c r="O488" s="38">
        <v>0</v>
      </c>
      <c r="P488" s="38">
        <v>0</v>
      </c>
      <c r="Q488" s="39">
        <f t="shared" si="58"/>
        <v>0</v>
      </c>
      <c r="R488" s="38">
        <v>0</v>
      </c>
      <c r="S488" s="38">
        <v>0</v>
      </c>
      <c r="T488" s="39">
        <f t="shared" si="59"/>
        <v>0</v>
      </c>
      <c r="U488" s="38">
        <v>0</v>
      </c>
      <c r="V488" s="38">
        <v>0</v>
      </c>
      <c r="W488" s="39">
        <f t="shared" si="60"/>
        <v>0</v>
      </c>
      <c r="X488" s="38"/>
      <c r="Y488" s="38"/>
      <c r="Z488" s="39">
        <f t="shared" si="61"/>
        <v>0</v>
      </c>
      <c r="AA488" s="38"/>
      <c r="AB488" s="38"/>
      <c r="AC488" s="39">
        <f t="shared" si="62"/>
        <v>0</v>
      </c>
      <c r="AD488" s="38"/>
      <c r="AE488" s="38"/>
      <c r="AF488" s="39">
        <f t="shared" si="63"/>
        <v>0</v>
      </c>
    </row>
    <row r="489" spans="2:32" ht="15" customHeight="1" x14ac:dyDescent="0.3">
      <c r="B489" s="2" t="s">
        <v>836</v>
      </c>
      <c r="C489" s="4" t="s">
        <v>1051</v>
      </c>
      <c r="D489" s="3" t="s">
        <v>1058</v>
      </c>
      <c r="E489" s="6" t="s">
        <v>1063</v>
      </c>
      <c r="F489" s="6" t="s">
        <v>1049</v>
      </c>
      <c r="G489" s="6" t="s">
        <v>841</v>
      </c>
      <c r="H489" s="25">
        <v>0</v>
      </c>
      <c r="I489" s="38">
        <v>0</v>
      </c>
      <c r="J489" s="38">
        <v>0</v>
      </c>
      <c r="K489" s="39">
        <f t="shared" si="56"/>
        <v>0</v>
      </c>
      <c r="L489" s="38">
        <v>0</v>
      </c>
      <c r="M489" s="38">
        <v>3</v>
      </c>
      <c r="N489" s="39">
        <f t="shared" si="57"/>
        <v>0</v>
      </c>
      <c r="O489" s="38">
        <v>0</v>
      </c>
      <c r="P489" s="38">
        <v>0</v>
      </c>
      <c r="Q489" s="39">
        <f t="shared" si="58"/>
        <v>0</v>
      </c>
      <c r="R489" s="38">
        <v>0</v>
      </c>
      <c r="S489" s="38">
        <v>0</v>
      </c>
      <c r="T489" s="39">
        <f t="shared" si="59"/>
        <v>0</v>
      </c>
      <c r="U489" s="38">
        <v>0</v>
      </c>
      <c r="V489" s="38">
        <v>0</v>
      </c>
      <c r="W489" s="39">
        <f t="shared" si="60"/>
        <v>0</v>
      </c>
      <c r="X489" s="38"/>
      <c r="Y489" s="38"/>
      <c r="Z489" s="39">
        <f t="shared" si="61"/>
        <v>0</v>
      </c>
      <c r="AA489" s="38"/>
      <c r="AB489" s="38"/>
      <c r="AC489" s="39">
        <f t="shared" si="62"/>
        <v>0</v>
      </c>
      <c r="AD489" s="38"/>
      <c r="AE489" s="38"/>
      <c r="AF489" s="39">
        <f t="shared" si="63"/>
        <v>0</v>
      </c>
    </row>
    <row r="490" spans="2:32" ht="15" customHeight="1" x14ac:dyDescent="0.3">
      <c r="B490" s="2" t="s">
        <v>836</v>
      </c>
      <c r="C490" s="4" t="s">
        <v>1051</v>
      </c>
      <c r="D490" s="3" t="s">
        <v>1058</v>
      </c>
      <c r="E490" s="6" t="s">
        <v>1063</v>
      </c>
      <c r="F490" s="6" t="s">
        <v>149</v>
      </c>
      <c r="G490" s="6" t="s">
        <v>707</v>
      </c>
      <c r="H490" s="25">
        <v>391991.03749999998</v>
      </c>
      <c r="I490" s="38">
        <v>0</v>
      </c>
      <c r="J490" s="38">
        <v>0</v>
      </c>
      <c r="K490" s="39">
        <f t="shared" si="56"/>
        <v>0</v>
      </c>
      <c r="L490" s="38">
        <v>5</v>
      </c>
      <c r="M490" s="38">
        <v>5</v>
      </c>
      <c r="N490" s="39">
        <f t="shared" si="57"/>
        <v>9799775.9375</v>
      </c>
      <c r="O490" s="38">
        <v>0</v>
      </c>
      <c r="P490" s="38">
        <v>0</v>
      </c>
      <c r="Q490" s="39">
        <f t="shared" si="58"/>
        <v>0</v>
      </c>
      <c r="R490" s="38">
        <v>0</v>
      </c>
      <c r="S490" s="38">
        <v>0</v>
      </c>
      <c r="T490" s="39">
        <f t="shared" si="59"/>
        <v>0</v>
      </c>
      <c r="U490" s="38">
        <v>0</v>
      </c>
      <c r="V490" s="38">
        <v>0</v>
      </c>
      <c r="W490" s="39">
        <f t="shared" si="60"/>
        <v>0</v>
      </c>
      <c r="X490" s="38"/>
      <c r="Y490" s="38"/>
      <c r="Z490" s="39">
        <f t="shared" si="61"/>
        <v>0</v>
      </c>
      <c r="AA490" s="38"/>
      <c r="AB490" s="38"/>
      <c r="AC490" s="39">
        <f t="shared" si="62"/>
        <v>0</v>
      </c>
      <c r="AD490" s="38"/>
      <c r="AE490" s="38"/>
      <c r="AF490" s="39">
        <f t="shared" si="63"/>
        <v>0</v>
      </c>
    </row>
    <row r="491" spans="2:32" ht="15" customHeight="1" x14ac:dyDescent="0.3">
      <c r="B491" s="2" t="s">
        <v>836</v>
      </c>
      <c r="C491" s="4" t="s">
        <v>1051</v>
      </c>
      <c r="D491" s="3" t="s">
        <v>1058</v>
      </c>
      <c r="E491" s="6" t="s">
        <v>1063</v>
      </c>
      <c r="F491" s="6" t="s">
        <v>149</v>
      </c>
      <c r="G491" s="6" t="s">
        <v>708</v>
      </c>
      <c r="H491" s="25">
        <v>28000</v>
      </c>
      <c r="I491" s="38">
        <v>0</v>
      </c>
      <c r="J491" s="38">
        <v>0</v>
      </c>
      <c r="K491" s="39">
        <f t="shared" si="56"/>
        <v>0</v>
      </c>
      <c r="L491" s="38">
        <v>1</v>
      </c>
      <c r="M491" s="38">
        <v>4</v>
      </c>
      <c r="N491" s="39">
        <f t="shared" si="57"/>
        <v>112000</v>
      </c>
      <c r="O491" s="38">
        <v>0</v>
      </c>
      <c r="P491" s="38">
        <v>0</v>
      </c>
      <c r="Q491" s="39">
        <f t="shared" si="58"/>
        <v>0</v>
      </c>
      <c r="R491" s="38">
        <v>0</v>
      </c>
      <c r="S491" s="38">
        <v>0</v>
      </c>
      <c r="T491" s="39">
        <f t="shared" si="59"/>
        <v>0</v>
      </c>
      <c r="U491" s="38">
        <v>0</v>
      </c>
      <c r="V491" s="38">
        <v>0</v>
      </c>
      <c r="W491" s="39">
        <f t="shared" si="60"/>
        <v>0</v>
      </c>
      <c r="X491" s="38"/>
      <c r="Y491" s="38"/>
      <c r="Z491" s="39">
        <f t="shared" si="61"/>
        <v>0</v>
      </c>
      <c r="AA491" s="38"/>
      <c r="AB491" s="38"/>
      <c r="AC491" s="39">
        <f t="shared" si="62"/>
        <v>0</v>
      </c>
      <c r="AD491" s="38"/>
      <c r="AE491" s="38"/>
      <c r="AF491" s="39">
        <f t="shared" si="63"/>
        <v>0</v>
      </c>
    </row>
    <row r="492" spans="2:32" ht="15" customHeight="1" x14ac:dyDescent="0.3">
      <c r="B492" s="2" t="s">
        <v>836</v>
      </c>
      <c r="C492" s="4" t="s">
        <v>1051</v>
      </c>
      <c r="D492" s="3" t="s">
        <v>1058</v>
      </c>
      <c r="E492" s="6" t="s">
        <v>1063</v>
      </c>
      <c r="F492" s="6" t="s">
        <v>895</v>
      </c>
      <c r="G492" s="6" t="s">
        <v>841</v>
      </c>
      <c r="H492" s="25">
        <v>0</v>
      </c>
      <c r="I492" s="38">
        <v>0</v>
      </c>
      <c r="J492" s="38">
        <v>0</v>
      </c>
      <c r="K492" s="39">
        <f t="shared" si="56"/>
        <v>0</v>
      </c>
      <c r="L492" s="38">
        <v>1</v>
      </c>
      <c r="M492" s="38">
        <v>30</v>
      </c>
      <c r="N492" s="39">
        <f t="shared" si="57"/>
        <v>0</v>
      </c>
      <c r="O492" s="38">
        <v>0</v>
      </c>
      <c r="P492" s="38">
        <v>0</v>
      </c>
      <c r="Q492" s="39">
        <f t="shared" si="58"/>
        <v>0</v>
      </c>
      <c r="R492" s="38">
        <v>0</v>
      </c>
      <c r="S492" s="38">
        <v>0</v>
      </c>
      <c r="T492" s="39">
        <f t="shared" si="59"/>
        <v>0</v>
      </c>
      <c r="U492" s="38">
        <v>0</v>
      </c>
      <c r="V492" s="38">
        <v>0</v>
      </c>
      <c r="W492" s="39">
        <f t="shared" si="60"/>
        <v>0</v>
      </c>
      <c r="X492" s="38"/>
      <c r="Y492" s="38"/>
      <c r="Z492" s="39">
        <f t="shared" si="61"/>
        <v>0</v>
      </c>
      <c r="AA492" s="38"/>
      <c r="AB492" s="38"/>
      <c r="AC492" s="39">
        <f t="shared" si="62"/>
        <v>0</v>
      </c>
      <c r="AD492" s="38"/>
      <c r="AE492" s="38"/>
      <c r="AF492" s="39">
        <f t="shared" si="63"/>
        <v>0</v>
      </c>
    </row>
    <row r="493" spans="2:32" ht="15" customHeight="1" x14ac:dyDescent="0.3">
      <c r="B493" s="2" t="s">
        <v>836</v>
      </c>
      <c r="C493" s="4" t="s">
        <v>1051</v>
      </c>
      <c r="D493" s="3" t="s">
        <v>1058</v>
      </c>
      <c r="E493" s="6" t="s">
        <v>1063</v>
      </c>
      <c r="F493" s="6" t="s">
        <v>912</v>
      </c>
      <c r="G493" s="6" t="s">
        <v>841</v>
      </c>
      <c r="H493" s="25">
        <v>0</v>
      </c>
      <c r="I493" s="38">
        <v>0</v>
      </c>
      <c r="J493" s="38">
        <v>0</v>
      </c>
      <c r="K493" s="39">
        <f t="shared" si="56"/>
        <v>0</v>
      </c>
      <c r="L493" s="38">
        <v>5</v>
      </c>
      <c r="M493" s="38">
        <v>14</v>
      </c>
      <c r="N493" s="39">
        <f t="shared" si="57"/>
        <v>0</v>
      </c>
      <c r="O493" s="38">
        <v>0</v>
      </c>
      <c r="P493" s="38">
        <v>0</v>
      </c>
      <c r="Q493" s="39">
        <f t="shared" si="58"/>
        <v>0</v>
      </c>
      <c r="R493" s="38">
        <v>0</v>
      </c>
      <c r="S493" s="38">
        <v>0</v>
      </c>
      <c r="T493" s="39">
        <f t="shared" si="59"/>
        <v>0</v>
      </c>
      <c r="U493" s="38">
        <v>0</v>
      </c>
      <c r="V493" s="38">
        <v>0</v>
      </c>
      <c r="W493" s="39">
        <f t="shared" si="60"/>
        <v>0</v>
      </c>
      <c r="X493" s="38"/>
      <c r="Y493" s="38"/>
      <c r="Z493" s="39">
        <f t="shared" si="61"/>
        <v>0</v>
      </c>
      <c r="AA493" s="38"/>
      <c r="AB493" s="38"/>
      <c r="AC493" s="39">
        <f t="shared" si="62"/>
        <v>0</v>
      </c>
      <c r="AD493" s="38"/>
      <c r="AE493" s="38"/>
      <c r="AF493" s="39">
        <f t="shared" si="63"/>
        <v>0</v>
      </c>
    </row>
    <row r="494" spans="2:32" ht="15" customHeight="1" x14ac:dyDescent="0.3">
      <c r="B494" s="2" t="s">
        <v>836</v>
      </c>
      <c r="C494" s="4" t="s">
        <v>1051</v>
      </c>
      <c r="D494" s="3" t="s">
        <v>1058</v>
      </c>
      <c r="E494" s="6" t="s">
        <v>1063</v>
      </c>
      <c r="F494" s="6" t="s">
        <v>1026</v>
      </c>
      <c r="G494" s="6" t="s">
        <v>709</v>
      </c>
      <c r="H494" s="25">
        <v>28000</v>
      </c>
      <c r="I494" s="38">
        <v>0</v>
      </c>
      <c r="J494" s="38">
        <v>0</v>
      </c>
      <c r="K494" s="39">
        <f t="shared" si="56"/>
        <v>0</v>
      </c>
      <c r="L494" s="38">
        <v>10</v>
      </c>
      <c r="M494" s="38">
        <v>1</v>
      </c>
      <c r="N494" s="39">
        <f t="shared" si="57"/>
        <v>280000</v>
      </c>
      <c r="O494" s="38">
        <v>0</v>
      </c>
      <c r="P494" s="38">
        <v>0</v>
      </c>
      <c r="Q494" s="39">
        <f t="shared" si="58"/>
        <v>0</v>
      </c>
      <c r="R494" s="38">
        <v>0</v>
      </c>
      <c r="S494" s="38">
        <v>0</v>
      </c>
      <c r="T494" s="39">
        <f t="shared" si="59"/>
        <v>0</v>
      </c>
      <c r="U494" s="38">
        <v>0</v>
      </c>
      <c r="V494" s="38">
        <v>0</v>
      </c>
      <c r="W494" s="39">
        <f t="shared" si="60"/>
        <v>0</v>
      </c>
      <c r="X494" s="38"/>
      <c r="Y494" s="38"/>
      <c r="Z494" s="39">
        <f t="shared" si="61"/>
        <v>0</v>
      </c>
      <c r="AA494" s="38"/>
      <c r="AB494" s="38"/>
      <c r="AC494" s="39">
        <f t="shared" si="62"/>
        <v>0</v>
      </c>
      <c r="AD494" s="38"/>
      <c r="AE494" s="38"/>
      <c r="AF494" s="39">
        <f t="shared" si="63"/>
        <v>0</v>
      </c>
    </row>
    <row r="495" spans="2:32" ht="15" customHeight="1" x14ac:dyDescent="0.3">
      <c r="B495" s="2" t="s">
        <v>836</v>
      </c>
      <c r="C495" s="4" t="s">
        <v>1051</v>
      </c>
      <c r="D495" s="3" t="s">
        <v>1058</v>
      </c>
      <c r="E495" s="6" t="s">
        <v>1063</v>
      </c>
      <c r="F495" s="6" t="s">
        <v>1026</v>
      </c>
      <c r="G495" s="6" t="s">
        <v>711</v>
      </c>
      <c r="H495" s="25">
        <v>70</v>
      </c>
      <c r="I495" s="38">
        <v>0</v>
      </c>
      <c r="J495" s="38">
        <v>0</v>
      </c>
      <c r="K495" s="39">
        <f t="shared" si="56"/>
        <v>0</v>
      </c>
      <c r="L495" s="38">
        <v>25</v>
      </c>
      <c r="M495" s="38">
        <v>3</v>
      </c>
      <c r="N495" s="39">
        <f t="shared" si="57"/>
        <v>5250</v>
      </c>
      <c r="O495" s="38">
        <v>0</v>
      </c>
      <c r="P495" s="38">
        <v>0</v>
      </c>
      <c r="Q495" s="39">
        <f t="shared" si="58"/>
        <v>0</v>
      </c>
      <c r="R495" s="38">
        <v>0</v>
      </c>
      <c r="S495" s="38">
        <v>0</v>
      </c>
      <c r="T495" s="39">
        <f t="shared" si="59"/>
        <v>0</v>
      </c>
      <c r="U495" s="38">
        <v>0</v>
      </c>
      <c r="V495" s="38">
        <v>0</v>
      </c>
      <c r="W495" s="39">
        <f t="shared" si="60"/>
        <v>0</v>
      </c>
      <c r="X495" s="38"/>
      <c r="Y495" s="38"/>
      <c r="Z495" s="39">
        <f t="shared" si="61"/>
        <v>0</v>
      </c>
      <c r="AA495" s="38"/>
      <c r="AB495" s="38"/>
      <c r="AC495" s="39">
        <f t="shared" si="62"/>
        <v>0</v>
      </c>
      <c r="AD495" s="38"/>
      <c r="AE495" s="38"/>
      <c r="AF495" s="39">
        <f t="shared" si="63"/>
        <v>0</v>
      </c>
    </row>
    <row r="496" spans="2:32" ht="15" customHeight="1" x14ac:dyDescent="0.3">
      <c r="B496" s="2" t="s">
        <v>836</v>
      </c>
      <c r="C496" s="4" t="s">
        <v>1051</v>
      </c>
      <c r="D496" s="3" t="s">
        <v>1058</v>
      </c>
      <c r="E496" s="6" t="s">
        <v>1063</v>
      </c>
      <c r="F496" s="6" t="s">
        <v>1026</v>
      </c>
      <c r="G496" s="6" t="s">
        <v>710</v>
      </c>
      <c r="H496" s="25">
        <v>104850</v>
      </c>
      <c r="I496" s="38">
        <v>0</v>
      </c>
      <c r="J496" s="38">
        <v>0</v>
      </c>
      <c r="K496" s="39">
        <f t="shared" si="56"/>
        <v>0</v>
      </c>
      <c r="L496" s="38">
        <v>5000</v>
      </c>
      <c r="M496" s="38">
        <v>1</v>
      </c>
      <c r="N496" s="39">
        <f t="shared" si="57"/>
        <v>524250000</v>
      </c>
      <c r="O496" s="38">
        <v>0</v>
      </c>
      <c r="P496" s="38">
        <v>0</v>
      </c>
      <c r="Q496" s="39">
        <f t="shared" si="58"/>
        <v>0</v>
      </c>
      <c r="R496" s="38">
        <v>0</v>
      </c>
      <c r="S496" s="38">
        <v>0</v>
      </c>
      <c r="T496" s="39">
        <f t="shared" si="59"/>
        <v>0</v>
      </c>
      <c r="U496" s="38">
        <v>0</v>
      </c>
      <c r="V496" s="38">
        <v>0</v>
      </c>
      <c r="W496" s="39">
        <f t="shared" si="60"/>
        <v>0</v>
      </c>
      <c r="X496" s="38"/>
      <c r="Y496" s="38"/>
      <c r="Z496" s="39">
        <f t="shared" si="61"/>
        <v>0</v>
      </c>
      <c r="AA496" s="38"/>
      <c r="AB496" s="38"/>
      <c r="AC496" s="39">
        <f t="shared" si="62"/>
        <v>0</v>
      </c>
      <c r="AD496" s="38"/>
      <c r="AE496" s="38"/>
      <c r="AF496" s="39">
        <f t="shared" si="63"/>
        <v>0</v>
      </c>
    </row>
    <row r="497" spans="2:32" ht="15" customHeight="1" x14ac:dyDescent="0.3">
      <c r="B497" s="2" t="s">
        <v>836</v>
      </c>
      <c r="C497" s="4" t="s">
        <v>1051</v>
      </c>
      <c r="D497" s="3" t="s">
        <v>1058</v>
      </c>
      <c r="E497" s="6" t="s">
        <v>1063</v>
      </c>
      <c r="F497" s="6" t="s">
        <v>163</v>
      </c>
      <c r="G497" s="6" t="s">
        <v>713</v>
      </c>
      <c r="H497" s="25">
        <v>45000</v>
      </c>
      <c r="I497" s="38">
        <v>0</v>
      </c>
      <c r="J497" s="38">
        <v>0</v>
      </c>
      <c r="K497" s="39">
        <f t="shared" si="56"/>
        <v>0</v>
      </c>
      <c r="L497" s="38">
        <v>1</v>
      </c>
      <c r="M497" s="38">
        <v>1</v>
      </c>
      <c r="N497" s="39">
        <f t="shared" si="57"/>
        <v>45000</v>
      </c>
      <c r="O497" s="38">
        <v>0</v>
      </c>
      <c r="P497" s="38">
        <v>0</v>
      </c>
      <c r="Q497" s="39">
        <f t="shared" si="58"/>
        <v>0</v>
      </c>
      <c r="R497" s="38">
        <v>0</v>
      </c>
      <c r="S497" s="38">
        <v>0</v>
      </c>
      <c r="T497" s="39">
        <f t="shared" si="59"/>
        <v>0</v>
      </c>
      <c r="U497" s="38">
        <v>0</v>
      </c>
      <c r="V497" s="38">
        <v>0</v>
      </c>
      <c r="W497" s="39">
        <f t="shared" si="60"/>
        <v>0</v>
      </c>
      <c r="X497" s="38"/>
      <c r="Y497" s="38"/>
      <c r="Z497" s="39">
        <f t="shared" si="61"/>
        <v>0</v>
      </c>
      <c r="AA497" s="38"/>
      <c r="AB497" s="38"/>
      <c r="AC497" s="39">
        <f t="shared" si="62"/>
        <v>0</v>
      </c>
      <c r="AD497" s="38"/>
      <c r="AE497" s="38"/>
      <c r="AF497" s="39">
        <f t="shared" si="63"/>
        <v>0</v>
      </c>
    </row>
    <row r="498" spans="2:32" ht="15" customHeight="1" x14ac:dyDescent="0.3">
      <c r="B498" s="2" t="s">
        <v>836</v>
      </c>
      <c r="C498" s="4" t="s">
        <v>1051</v>
      </c>
      <c r="D498" s="3" t="s">
        <v>1058</v>
      </c>
      <c r="E498" s="6" t="s">
        <v>1063</v>
      </c>
      <c r="F498" s="6" t="s">
        <v>163</v>
      </c>
      <c r="G498" s="6" t="s">
        <v>712</v>
      </c>
      <c r="H498" s="25">
        <v>214.29</v>
      </c>
      <c r="I498" s="38">
        <v>0</v>
      </c>
      <c r="J498" s="38">
        <v>0</v>
      </c>
      <c r="K498" s="39">
        <f t="shared" si="56"/>
        <v>0</v>
      </c>
      <c r="L498" s="38">
        <v>20</v>
      </c>
      <c r="M498" s="38">
        <v>1</v>
      </c>
      <c r="N498" s="39">
        <f t="shared" si="57"/>
        <v>4285.8</v>
      </c>
      <c r="O498" s="38">
        <v>0</v>
      </c>
      <c r="P498" s="38">
        <v>0</v>
      </c>
      <c r="Q498" s="39">
        <f t="shared" si="58"/>
        <v>0</v>
      </c>
      <c r="R498" s="38">
        <v>0</v>
      </c>
      <c r="S498" s="38">
        <v>0</v>
      </c>
      <c r="T498" s="39">
        <f t="shared" si="59"/>
        <v>0</v>
      </c>
      <c r="U498" s="38">
        <v>0</v>
      </c>
      <c r="V498" s="38">
        <v>0</v>
      </c>
      <c r="W498" s="39">
        <f t="shared" si="60"/>
        <v>0</v>
      </c>
      <c r="X498" s="38"/>
      <c r="Y498" s="38"/>
      <c r="Z498" s="39">
        <f t="shared" si="61"/>
        <v>0</v>
      </c>
      <c r="AA498" s="38"/>
      <c r="AB498" s="38"/>
      <c r="AC498" s="39">
        <f t="shared" si="62"/>
        <v>0</v>
      </c>
      <c r="AD498" s="38"/>
      <c r="AE498" s="38"/>
      <c r="AF498" s="39">
        <f t="shared" si="63"/>
        <v>0</v>
      </c>
    </row>
    <row r="499" spans="2:32" ht="15" customHeight="1" x14ac:dyDescent="0.3">
      <c r="B499" s="2" t="s">
        <v>836</v>
      </c>
      <c r="C499" s="4" t="s">
        <v>1051</v>
      </c>
      <c r="D499" s="3" t="s">
        <v>1058</v>
      </c>
      <c r="E499" s="6" t="s">
        <v>1063</v>
      </c>
      <c r="F499" s="6" t="s">
        <v>1027</v>
      </c>
      <c r="G499" s="6" t="s">
        <v>709</v>
      </c>
      <c r="H499" s="25">
        <v>28000</v>
      </c>
      <c r="I499" s="38">
        <v>0</v>
      </c>
      <c r="J499" s="38">
        <v>0</v>
      </c>
      <c r="K499" s="39">
        <f t="shared" si="56"/>
        <v>0</v>
      </c>
      <c r="L499" s="38">
        <v>8000</v>
      </c>
      <c r="M499" s="38">
        <v>1</v>
      </c>
      <c r="N499" s="39">
        <f t="shared" si="57"/>
        <v>224000000</v>
      </c>
      <c r="O499" s="38">
        <v>0</v>
      </c>
      <c r="P499" s="38">
        <v>0</v>
      </c>
      <c r="Q499" s="39">
        <f t="shared" si="58"/>
        <v>0</v>
      </c>
      <c r="R499" s="38">
        <v>0</v>
      </c>
      <c r="S499" s="38">
        <v>0</v>
      </c>
      <c r="T499" s="39">
        <f t="shared" si="59"/>
        <v>0</v>
      </c>
      <c r="U499" s="38">
        <v>0</v>
      </c>
      <c r="V499" s="38">
        <v>0</v>
      </c>
      <c r="W499" s="39">
        <f t="shared" si="60"/>
        <v>0</v>
      </c>
      <c r="X499" s="38"/>
      <c r="Y499" s="38"/>
      <c r="Z499" s="39">
        <f t="shared" si="61"/>
        <v>0</v>
      </c>
      <c r="AA499" s="38"/>
      <c r="AB499" s="38"/>
      <c r="AC499" s="39">
        <f t="shared" si="62"/>
        <v>0</v>
      </c>
      <c r="AD499" s="38"/>
      <c r="AE499" s="38"/>
      <c r="AF499" s="39">
        <f t="shared" si="63"/>
        <v>0</v>
      </c>
    </row>
    <row r="500" spans="2:32" ht="15" customHeight="1" x14ac:dyDescent="0.3">
      <c r="B500" s="2" t="s">
        <v>836</v>
      </c>
      <c r="C500" s="4" t="s">
        <v>1051</v>
      </c>
      <c r="D500" s="3" t="s">
        <v>1058</v>
      </c>
      <c r="E500" s="6" t="s">
        <v>1063</v>
      </c>
      <c r="F500" s="6" t="s">
        <v>157</v>
      </c>
      <c r="G500" s="6" t="s">
        <v>713</v>
      </c>
      <c r="H500" s="25">
        <v>45000</v>
      </c>
      <c r="I500" s="38">
        <v>0</v>
      </c>
      <c r="J500" s="38">
        <v>0</v>
      </c>
      <c r="K500" s="39">
        <f t="shared" si="56"/>
        <v>0</v>
      </c>
      <c r="L500" s="38">
        <v>30</v>
      </c>
      <c r="M500" s="38">
        <v>1</v>
      </c>
      <c r="N500" s="39">
        <f t="shared" si="57"/>
        <v>1350000</v>
      </c>
      <c r="O500" s="38">
        <v>0</v>
      </c>
      <c r="P500" s="38">
        <v>0</v>
      </c>
      <c r="Q500" s="39">
        <f t="shared" si="58"/>
        <v>0</v>
      </c>
      <c r="R500" s="38">
        <v>0</v>
      </c>
      <c r="S500" s="38">
        <v>0</v>
      </c>
      <c r="T500" s="39">
        <f t="shared" si="59"/>
        <v>0</v>
      </c>
      <c r="U500" s="38">
        <v>0</v>
      </c>
      <c r="V500" s="38">
        <v>0</v>
      </c>
      <c r="W500" s="39">
        <f t="shared" si="60"/>
        <v>0</v>
      </c>
      <c r="X500" s="38"/>
      <c r="Y500" s="38"/>
      <c r="Z500" s="39">
        <f t="shared" si="61"/>
        <v>0</v>
      </c>
      <c r="AA500" s="38"/>
      <c r="AB500" s="38"/>
      <c r="AC500" s="39">
        <f t="shared" si="62"/>
        <v>0</v>
      </c>
      <c r="AD500" s="38"/>
      <c r="AE500" s="38"/>
      <c r="AF500" s="39">
        <f t="shared" si="63"/>
        <v>0</v>
      </c>
    </row>
    <row r="501" spans="2:32" ht="15" customHeight="1" x14ac:dyDescent="0.3">
      <c r="B501" s="2" t="s">
        <v>836</v>
      </c>
      <c r="C501" s="4" t="s">
        <v>1051</v>
      </c>
      <c r="D501" s="3" t="s">
        <v>1058</v>
      </c>
      <c r="E501" s="6" t="s">
        <v>1063</v>
      </c>
      <c r="F501" s="6" t="s">
        <v>157</v>
      </c>
      <c r="G501" s="6" t="s">
        <v>712</v>
      </c>
      <c r="H501" s="25">
        <v>214.29</v>
      </c>
      <c r="I501" s="38">
        <v>0</v>
      </c>
      <c r="J501" s="38">
        <v>0</v>
      </c>
      <c r="K501" s="39">
        <f t="shared" si="56"/>
        <v>0</v>
      </c>
      <c r="L501" s="38">
        <v>25</v>
      </c>
      <c r="M501" s="38">
        <v>10</v>
      </c>
      <c r="N501" s="39">
        <f t="shared" si="57"/>
        <v>53572.5</v>
      </c>
      <c r="O501" s="38">
        <v>0</v>
      </c>
      <c r="P501" s="38">
        <v>0</v>
      </c>
      <c r="Q501" s="39">
        <f t="shared" si="58"/>
        <v>0</v>
      </c>
      <c r="R501" s="38">
        <v>0</v>
      </c>
      <c r="S501" s="38">
        <v>0</v>
      </c>
      <c r="T501" s="39">
        <f t="shared" si="59"/>
        <v>0</v>
      </c>
      <c r="U501" s="38">
        <v>0</v>
      </c>
      <c r="V501" s="38">
        <v>0</v>
      </c>
      <c r="W501" s="39">
        <f t="shared" si="60"/>
        <v>0</v>
      </c>
      <c r="X501" s="38"/>
      <c r="Y501" s="38"/>
      <c r="Z501" s="39">
        <f t="shared" si="61"/>
        <v>0</v>
      </c>
      <c r="AA501" s="38"/>
      <c r="AB501" s="38"/>
      <c r="AC501" s="39">
        <f t="shared" si="62"/>
        <v>0</v>
      </c>
      <c r="AD501" s="38"/>
      <c r="AE501" s="38"/>
      <c r="AF501" s="39">
        <f t="shared" si="63"/>
        <v>0</v>
      </c>
    </row>
    <row r="502" spans="2:32" ht="15" customHeight="1" x14ac:dyDescent="0.3">
      <c r="B502" s="2" t="s">
        <v>836</v>
      </c>
      <c r="C502" s="4" t="s">
        <v>1051</v>
      </c>
      <c r="D502" s="3" t="s">
        <v>1058</v>
      </c>
      <c r="E502" s="6" t="s">
        <v>1063</v>
      </c>
      <c r="F502" s="6" t="s">
        <v>157</v>
      </c>
      <c r="G502" s="6" t="s">
        <v>714</v>
      </c>
      <c r="H502" s="25">
        <v>10000</v>
      </c>
      <c r="I502" s="38">
        <v>0</v>
      </c>
      <c r="J502" s="38">
        <v>0</v>
      </c>
      <c r="K502" s="39">
        <f t="shared" si="56"/>
        <v>0</v>
      </c>
      <c r="L502" s="38">
        <v>20000</v>
      </c>
      <c r="M502" s="38">
        <v>1</v>
      </c>
      <c r="N502" s="39">
        <f t="shared" si="57"/>
        <v>200000000</v>
      </c>
      <c r="O502" s="38">
        <v>0</v>
      </c>
      <c r="P502" s="38">
        <v>0</v>
      </c>
      <c r="Q502" s="39">
        <f t="shared" si="58"/>
        <v>0</v>
      </c>
      <c r="R502" s="38">
        <v>0</v>
      </c>
      <c r="S502" s="38">
        <v>0</v>
      </c>
      <c r="T502" s="39">
        <f t="shared" si="59"/>
        <v>0</v>
      </c>
      <c r="U502" s="38">
        <v>0</v>
      </c>
      <c r="V502" s="38">
        <v>0</v>
      </c>
      <c r="W502" s="39">
        <f t="shared" si="60"/>
        <v>0</v>
      </c>
      <c r="X502" s="38"/>
      <c r="Y502" s="38"/>
      <c r="Z502" s="39">
        <f t="shared" si="61"/>
        <v>0</v>
      </c>
      <c r="AA502" s="38"/>
      <c r="AB502" s="38"/>
      <c r="AC502" s="39">
        <f t="shared" si="62"/>
        <v>0</v>
      </c>
      <c r="AD502" s="38"/>
      <c r="AE502" s="38"/>
      <c r="AF502" s="39">
        <f t="shared" si="63"/>
        <v>0</v>
      </c>
    </row>
    <row r="503" spans="2:32" ht="15" customHeight="1" x14ac:dyDescent="0.3">
      <c r="B503" s="2" t="s">
        <v>836</v>
      </c>
      <c r="C503" s="4" t="s">
        <v>1051</v>
      </c>
      <c r="D503" s="3" t="s">
        <v>1058</v>
      </c>
      <c r="E503" s="6" t="s">
        <v>1063</v>
      </c>
      <c r="F503" s="6" t="s">
        <v>1004</v>
      </c>
      <c r="G503" s="6" t="s">
        <v>709</v>
      </c>
      <c r="H503" s="25">
        <v>28000</v>
      </c>
      <c r="I503" s="38">
        <v>0</v>
      </c>
      <c r="J503" s="38">
        <v>0</v>
      </c>
      <c r="K503" s="39">
        <f t="shared" si="56"/>
        <v>0</v>
      </c>
      <c r="L503" s="38">
        <v>15</v>
      </c>
      <c r="M503" s="38">
        <v>1</v>
      </c>
      <c r="N503" s="39">
        <f t="shared" si="57"/>
        <v>420000</v>
      </c>
      <c r="O503" s="38">
        <v>0</v>
      </c>
      <c r="P503" s="38">
        <v>0</v>
      </c>
      <c r="Q503" s="39">
        <f t="shared" si="58"/>
        <v>0</v>
      </c>
      <c r="R503" s="38">
        <v>0</v>
      </c>
      <c r="S503" s="38">
        <v>0</v>
      </c>
      <c r="T503" s="39">
        <f t="shared" si="59"/>
        <v>0</v>
      </c>
      <c r="U503" s="38">
        <v>0</v>
      </c>
      <c r="V503" s="38">
        <v>0</v>
      </c>
      <c r="W503" s="39">
        <f t="shared" si="60"/>
        <v>0</v>
      </c>
      <c r="X503" s="38"/>
      <c r="Y503" s="38"/>
      <c r="Z503" s="39">
        <f t="shared" si="61"/>
        <v>0</v>
      </c>
      <c r="AA503" s="38"/>
      <c r="AB503" s="38"/>
      <c r="AC503" s="39">
        <f t="shared" si="62"/>
        <v>0</v>
      </c>
      <c r="AD503" s="38"/>
      <c r="AE503" s="38"/>
      <c r="AF503" s="39">
        <f t="shared" si="63"/>
        <v>0</v>
      </c>
    </row>
    <row r="504" spans="2:32" ht="15" customHeight="1" x14ac:dyDescent="0.3">
      <c r="B504" s="2" t="s">
        <v>836</v>
      </c>
      <c r="C504" s="4" t="s">
        <v>1051</v>
      </c>
      <c r="D504" s="3" t="s">
        <v>1058</v>
      </c>
      <c r="E504" s="6" t="s">
        <v>1063</v>
      </c>
      <c r="F504" s="6" t="s">
        <v>1004</v>
      </c>
      <c r="G504" s="6" t="s">
        <v>716</v>
      </c>
      <c r="H504" s="25">
        <v>39000</v>
      </c>
      <c r="I504" s="38">
        <v>0</v>
      </c>
      <c r="J504" s="38">
        <v>0</v>
      </c>
      <c r="K504" s="39">
        <f t="shared" si="56"/>
        <v>0</v>
      </c>
      <c r="L504" s="38">
        <v>25</v>
      </c>
      <c r="M504" s="38">
        <v>5</v>
      </c>
      <c r="N504" s="39">
        <f t="shared" si="57"/>
        <v>4875000</v>
      </c>
      <c r="O504" s="38">
        <v>0</v>
      </c>
      <c r="P504" s="38">
        <v>0</v>
      </c>
      <c r="Q504" s="39">
        <f t="shared" si="58"/>
        <v>0</v>
      </c>
      <c r="R504" s="38">
        <v>0</v>
      </c>
      <c r="S504" s="38">
        <v>0</v>
      </c>
      <c r="T504" s="39">
        <f t="shared" si="59"/>
        <v>0</v>
      </c>
      <c r="U504" s="38">
        <v>0</v>
      </c>
      <c r="V504" s="38">
        <v>0</v>
      </c>
      <c r="W504" s="39">
        <f t="shared" si="60"/>
        <v>0</v>
      </c>
      <c r="X504" s="38"/>
      <c r="Y504" s="38"/>
      <c r="Z504" s="39">
        <f t="shared" si="61"/>
        <v>0</v>
      </c>
      <c r="AA504" s="38"/>
      <c r="AB504" s="38"/>
      <c r="AC504" s="39">
        <f t="shared" si="62"/>
        <v>0</v>
      </c>
      <c r="AD504" s="38"/>
      <c r="AE504" s="38"/>
      <c r="AF504" s="39">
        <f t="shared" si="63"/>
        <v>0</v>
      </c>
    </row>
    <row r="505" spans="2:32" ht="15" customHeight="1" x14ac:dyDescent="0.3">
      <c r="B505" s="2" t="s">
        <v>836</v>
      </c>
      <c r="C505" s="4" t="s">
        <v>1051</v>
      </c>
      <c r="D505" s="3" t="s">
        <v>1058</v>
      </c>
      <c r="E505" s="6" t="s">
        <v>1063</v>
      </c>
      <c r="F505" s="6" t="s">
        <v>1004</v>
      </c>
      <c r="G505" s="6" t="s">
        <v>712</v>
      </c>
      <c r="H505" s="25">
        <v>214.29</v>
      </c>
      <c r="I505" s="38">
        <v>0</v>
      </c>
      <c r="J505" s="38">
        <v>0</v>
      </c>
      <c r="K505" s="39">
        <f t="shared" si="56"/>
        <v>0</v>
      </c>
      <c r="L505" s="38">
        <v>25</v>
      </c>
      <c r="M505" s="38">
        <v>5</v>
      </c>
      <c r="N505" s="39">
        <f t="shared" si="57"/>
        <v>26786.25</v>
      </c>
      <c r="O505" s="38">
        <v>0</v>
      </c>
      <c r="P505" s="38">
        <v>0</v>
      </c>
      <c r="Q505" s="39">
        <f t="shared" si="58"/>
        <v>0</v>
      </c>
      <c r="R505" s="38">
        <v>0</v>
      </c>
      <c r="S505" s="38">
        <v>0</v>
      </c>
      <c r="T505" s="39">
        <f t="shared" si="59"/>
        <v>0</v>
      </c>
      <c r="U505" s="38">
        <v>0</v>
      </c>
      <c r="V505" s="38">
        <v>0</v>
      </c>
      <c r="W505" s="39">
        <f t="shared" si="60"/>
        <v>0</v>
      </c>
      <c r="X505" s="38"/>
      <c r="Y505" s="38"/>
      <c r="Z505" s="39">
        <f t="shared" si="61"/>
        <v>0</v>
      </c>
      <c r="AA505" s="38"/>
      <c r="AB505" s="38"/>
      <c r="AC505" s="39">
        <f t="shared" si="62"/>
        <v>0</v>
      </c>
      <c r="AD505" s="38"/>
      <c r="AE505" s="38"/>
      <c r="AF505" s="39">
        <f t="shared" si="63"/>
        <v>0</v>
      </c>
    </row>
    <row r="506" spans="2:32" ht="15" customHeight="1" x14ac:dyDescent="0.3">
      <c r="B506" s="2" t="s">
        <v>836</v>
      </c>
      <c r="C506" s="4" t="s">
        <v>1051</v>
      </c>
      <c r="D506" s="3" t="s">
        <v>1058</v>
      </c>
      <c r="E506" s="6" t="s">
        <v>1063</v>
      </c>
      <c r="F506" s="6" t="s">
        <v>1042</v>
      </c>
      <c r="G506" s="6" t="s">
        <v>841</v>
      </c>
      <c r="H506" s="25">
        <v>0</v>
      </c>
      <c r="I506" s="38">
        <v>0</v>
      </c>
      <c r="J506" s="38">
        <v>0</v>
      </c>
      <c r="K506" s="39">
        <f t="shared" si="56"/>
        <v>0</v>
      </c>
      <c r="L506" s="38">
        <v>4000</v>
      </c>
      <c r="M506" s="38">
        <v>1</v>
      </c>
      <c r="N506" s="39">
        <f t="shared" si="57"/>
        <v>0</v>
      </c>
      <c r="O506" s="38">
        <v>0</v>
      </c>
      <c r="P506" s="38">
        <v>0</v>
      </c>
      <c r="Q506" s="39">
        <f t="shared" si="58"/>
        <v>0</v>
      </c>
      <c r="R506" s="38">
        <v>0</v>
      </c>
      <c r="S506" s="38">
        <v>0</v>
      </c>
      <c r="T506" s="39">
        <f t="shared" si="59"/>
        <v>0</v>
      </c>
      <c r="U506" s="38">
        <v>0</v>
      </c>
      <c r="V506" s="38">
        <v>0</v>
      </c>
      <c r="W506" s="39">
        <f t="shared" si="60"/>
        <v>0</v>
      </c>
      <c r="X506" s="38"/>
      <c r="Y506" s="38"/>
      <c r="Z506" s="39">
        <f t="shared" si="61"/>
        <v>0</v>
      </c>
      <c r="AA506" s="38"/>
      <c r="AB506" s="38"/>
      <c r="AC506" s="39">
        <f t="shared" si="62"/>
        <v>0</v>
      </c>
      <c r="AD506" s="38"/>
      <c r="AE506" s="38"/>
      <c r="AF506" s="39">
        <f t="shared" si="63"/>
        <v>0</v>
      </c>
    </row>
    <row r="507" spans="2:32" ht="15" customHeight="1" x14ac:dyDescent="0.3">
      <c r="B507" s="2" t="s">
        <v>836</v>
      </c>
      <c r="C507" s="4" t="s">
        <v>1051</v>
      </c>
      <c r="D507" s="3" t="s">
        <v>1058</v>
      </c>
      <c r="E507" s="6" t="s">
        <v>1063</v>
      </c>
      <c r="F507" s="6" t="s">
        <v>1064</v>
      </c>
      <c r="G507" s="6" t="s">
        <v>709</v>
      </c>
      <c r="H507" s="25">
        <v>28000</v>
      </c>
      <c r="I507" s="38">
        <v>0</v>
      </c>
      <c r="J507" s="38">
        <v>0</v>
      </c>
      <c r="K507" s="39">
        <f t="shared" si="56"/>
        <v>0</v>
      </c>
      <c r="L507" s="38">
        <v>8000</v>
      </c>
      <c r="M507" s="38">
        <v>1</v>
      </c>
      <c r="N507" s="39">
        <f t="shared" si="57"/>
        <v>224000000</v>
      </c>
      <c r="O507" s="38">
        <v>0</v>
      </c>
      <c r="P507" s="38">
        <v>0</v>
      </c>
      <c r="Q507" s="39">
        <f t="shared" si="58"/>
        <v>0</v>
      </c>
      <c r="R507" s="38">
        <v>0</v>
      </c>
      <c r="S507" s="38">
        <v>0</v>
      </c>
      <c r="T507" s="39">
        <f t="shared" si="59"/>
        <v>0</v>
      </c>
      <c r="U507" s="38">
        <v>0</v>
      </c>
      <c r="V507" s="38">
        <v>0</v>
      </c>
      <c r="W507" s="39">
        <f t="shared" si="60"/>
        <v>0</v>
      </c>
      <c r="X507" s="38"/>
      <c r="Y507" s="38"/>
      <c r="Z507" s="39">
        <f t="shared" si="61"/>
        <v>0</v>
      </c>
      <c r="AA507" s="38"/>
      <c r="AB507" s="38"/>
      <c r="AC507" s="39">
        <f t="shared" si="62"/>
        <v>0</v>
      </c>
      <c r="AD507" s="38"/>
      <c r="AE507" s="38"/>
      <c r="AF507" s="39">
        <f t="shared" si="63"/>
        <v>0</v>
      </c>
    </row>
    <row r="508" spans="2:32" ht="15" customHeight="1" x14ac:dyDescent="0.3">
      <c r="B508" s="2" t="s">
        <v>836</v>
      </c>
      <c r="C508" s="4" t="s">
        <v>1051</v>
      </c>
      <c r="D508" s="3" t="s">
        <v>1058</v>
      </c>
      <c r="E508" s="6" t="s">
        <v>1063</v>
      </c>
      <c r="F508" s="6" t="s">
        <v>177</v>
      </c>
      <c r="G508" s="6" t="s">
        <v>709</v>
      </c>
      <c r="H508" s="25">
        <v>28000</v>
      </c>
      <c r="I508" s="38">
        <v>0</v>
      </c>
      <c r="J508" s="38">
        <v>0</v>
      </c>
      <c r="K508" s="39">
        <f t="shared" si="56"/>
        <v>0</v>
      </c>
      <c r="L508" s="38">
        <v>20</v>
      </c>
      <c r="M508" s="38">
        <v>1</v>
      </c>
      <c r="N508" s="39">
        <f t="shared" si="57"/>
        <v>560000</v>
      </c>
      <c r="O508" s="38">
        <v>0</v>
      </c>
      <c r="P508" s="38">
        <v>0</v>
      </c>
      <c r="Q508" s="39">
        <f t="shared" si="58"/>
        <v>0</v>
      </c>
      <c r="R508" s="38">
        <v>0</v>
      </c>
      <c r="S508" s="38">
        <v>0</v>
      </c>
      <c r="T508" s="39">
        <f t="shared" si="59"/>
        <v>0</v>
      </c>
      <c r="U508" s="38">
        <v>0</v>
      </c>
      <c r="V508" s="38">
        <v>0</v>
      </c>
      <c r="W508" s="39">
        <f t="shared" si="60"/>
        <v>0</v>
      </c>
      <c r="X508" s="38"/>
      <c r="Y508" s="38"/>
      <c r="Z508" s="39">
        <f t="shared" si="61"/>
        <v>0</v>
      </c>
      <c r="AA508" s="38"/>
      <c r="AB508" s="38"/>
      <c r="AC508" s="39">
        <f t="shared" si="62"/>
        <v>0</v>
      </c>
      <c r="AD508" s="38"/>
      <c r="AE508" s="38"/>
      <c r="AF508" s="39">
        <f t="shared" si="63"/>
        <v>0</v>
      </c>
    </row>
    <row r="509" spans="2:32" ht="15" customHeight="1" x14ac:dyDescent="0.3">
      <c r="B509" s="2" t="s">
        <v>836</v>
      </c>
      <c r="C509" s="4" t="s">
        <v>1051</v>
      </c>
      <c r="D509" s="3" t="s">
        <v>1058</v>
      </c>
      <c r="E509" s="6" t="s">
        <v>1063</v>
      </c>
      <c r="F509" s="6" t="s">
        <v>177</v>
      </c>
      <c r="G509" s="6" t="s">
        <v>716</v>
      </c>
      <c r="H509" s="25">
        <v>39000</v>
      </c>
      <c r="I509" s="38">
        <v>0</v>
      </c>
      <c r="J509" s="38">
        <v>0</v>
      </c>
      <c r="K509" s="39">
        <f t="shared" si="56"/>
        <v>0</v>
      </c>
      <c r="L509" s="38">
        <v>50</v>
      </c>
      <c r="M509" s="38">
        <v>1</v>
      </c>
      <c r="N509" s="39">
        <f t="shared" si="57"/>
        <v>1950000</v>
      </c>
      <c r="O509" s="38">
        <v>0</v>
      </c>
      <c r="P509" s="38">
        <v>0</v>
      </c>
      <c r="Q509" s="39">
        <f t="shared" si="58"/>
        <v>0</v>
      </c>
      <c r="R509" s="38">
        <v>0</v>
      </c>
      <c r="S509" s="38">
        <v>0</v>
      </c>
      <c r="T509" s="39">
        <f t="shared" si="59"/>
        <v>0</v>
      </c>
      <c r="U509" s="38">
        <v>0</v>
      </c>
      <c r="V509" s="38">
        <v>0</v>
      </c>
      <c r="W509" s="39">
        <f t="shared" si="60"/>
        <v>0</v>
      </c>
      <c r="X509" s="38"/>
      <c r="Y509" s="38"/>
      <c r="Z509" s="39">
        <f t="shared" si="61"/>
        <v>0</v>
      </c>
      <c r="AA509" s="38"/>
      <c r="AB509" s="38"/>
      <c r="AC509" s="39">
        <f t="shared" si="62"/>
        <v>0</v>
      </c>
      <c r="AD509" s="38"/>
      <c r="AE509" s="38"/>
      <c r="AF509" s="39">
        <f t="shared" si="63"/>
        <v>0</v>
      </c>
    </row>
    <row r="510" spans="2:32" ht="15" customHeight="1" x14ac:dyDescent="0.3">
      <c r="B510" s="2" t="s">
        <v>836</v>
      </c>
      <c r="C510" s="4" t="s">
        <v>1051</v>
      </c>
      <c r="D510" s="3" t="s">
        <v>1058</v>
      </c>
      <c r="E510" s="6" t="s">
        <v>1063</v>
      </c>
      <c r="F510" s="6" t="s">
        <v>177</v>
      </c>
      <c r="G510" s="6" t="s">
        <v>712</v>
      </c>
      <c r="H510" s="25">
        <v>214.29</v>
      </c>
      <c r="I510" s="38">
        <v>0</v>
      </c>
      <c r="J510" s="38">
        <v>0</v>
      </c>
      <c r="K510" s="39">
        <f t="shared" si="56"/>
        <v>0</v>
      </c>
      <c r="L510" s="38">
        <v>20</v>
      </c>
      <c r="M510" s="38">
        <v>2</v>
      </c>
      <c r="N510" s="39">
        <f t="shared" si="57"/>
        <v>8571.6</v>
      </c>
      <c r="O510" s="38">
        <v>0</v>
      </c>
      <c r="P510" s="38">
        <v>0</v>
      </c>
      <c r="Q510" s="39">
        <f t="shared" si="58"/>
        <v>0</v>
      </c>
      <c r="R510" s="38">
        <v>0</v>
      </c>
      <c r="S510" s="38">
        <v>0</v>
      </c>
      <c r="T510" s="39">
        <f t="shared" si="59"/>
        <v>0</v>
      </c>
      <c r="U510" s="38">
        <v>0</v>
      </c>
      <c r="V510" s="38">
        <v>0</v>
      </c>
      <c r="W510" s="39">
        <f t="shared" si="60"/>
        <v>0</v>
      </c>
      <c r="X510" s="38"/>
      <c r="Y510" s="38"/>
      <c r="Z510" s="39">
        <f t="shared" si="61"/>
        <v>0</v>
      </c>
      <c r="AA510" s="38"/>
      <c r="AB510" s="38"/>
      <c r="AC510" s="39">
        <f t="shared" si="62"/>
        <v>0</v>
      </c>
      <c r="AD510" s="38"/>
      <c r="AE510" s="38"/>
      <c r="AF510" s="39">
        <f t="shared" si="63"/>
        <v>0</v>
      </c>
    </row>
    <row r="511" spans="2:32" ht="15" customHeight="1" x14ac:dyDescent="0.3">
      <c r="B511" s="2" t="s">
        <v>836</v>
      </c>
      <c r="C511" s="4" t="s">
        <v>1051</v>
      </c>
      <c r="D511" s="3" t="s">
        <v>1058</v>
      </c>
      <c r="E511" s="6" t="s">
        <v>1063</v>
      </c>
      <c r="F511" s="6" t="s">
        <v>869</v>
      </c>
      <c r="G511" s="6" t="s">
        <v>841</v>
      </c>
      <c r="H511" s="25">
        <v>0</v>
      </c>
      <c r="I511" s="38">
        <v>0</v>
      </c>
      <c r="J511" s="38">
        <v>0</v>
      </c>
      <c r="K511" s="39">
        <f t="shared" si="56"/>
        <v>0</v>
      </c>
      <c r="L511" s="38">
        <v>8000</v>
      </c>
      <c r="M511" s="38">
        <v>1</v>
      </c>
      <c r="N511" s="39">
        <f t="shared" si="57"/>
        <v>0</v>
      </c>
      <c r="O511" s="38">
        <v>0</v>
      </c>
      <c r="P511" s="38">
        <v>0</v>
      </c>
      <c r="Q511" s="39">
        <f t="shared" si="58"/>
        <v>0</v>
      </c>
      <c r="R511" s="38">
        <v>0</v>
      </c>
      <c r="S511" s="38">
        <v>0</v>
      </c>
      <c r="T511" s="39">
        <f t="shared" si="59"/>
        <v>0</v>
      </c>
      <c r="U511" s="38">
        <v>0</v>
      </c>
      <c r="V511" s="38">
        <v>0</v>
      </c>
      <c r="W511" s="39">
        <f t="shared" si="60"/>
        <v>0</v>
      </c>
      <c r="X511" s="38"/>
      <c r="Y511" s="38"/>
      <c r="Z511" s="39">
        <f t="shared" si="61"/>
        <v>0</v>
      </c>
      <c r="AA511" s="38"/>
      <c r="AB511" s="38"/>
      <c r="AC511" s="39">
        <f t="shared" si="62"/>
        <v>0</v>
      </c>
      <c r="AD511" s="38"/>
      <c r="AE511" s="38"/>
      <c r="AF511" s="39">
        <f t="shared" si="63"/>
        <v>0</v>
      </c>
    </row>
    <row r="512" spans="2:32" ht="15" customHeight="1" x14ac:dyDescent="0.3">
      <c r="B512" s="2" t="s">
        <v>836</v>
      </c>
      <c r="C512" s="4" t="s">
        <v>1051</v>
      </c>
      <c r="D512" s="3" t="s">
        <v>1058</v>
      </c>
      <c r="E512" s="6" t="s">
        <v>1063</v>
      </c>
      <c r="F512" s="6" t="s">
        <v>946</v>
      </c>
      <c r="G512" s="6" t="s">
        <v>841</v>
      </c>
      <c r="H512" s="25">
        <v>0</v>
      </c>
      <c r="I512" s="38">
        <v>0</v>
      </c>
      <c r="J512" s="38">
        <v>0</v>
      </c>
      <c r="K512" s="39">
        <f t="shared" si="56"/>
        <v>0</v>
      </c>
      <c r="L512" s="38">
        <v>0</v>
      </c>
      <c r="M512" s="38">
        <v>0</v>
      </c>
      <c r="N512" s="39">
        <f t="shared" si="57"/>
        <v>0</v>
      </c>
      <c r="O512" s="38">
        <v>0</v>
      </c>
      <c r="P512" s="38">
        <v>0</v>
      </c>
      <c r="Q512" s="39">
        <f t="shared" si="58"/>
        <v>0</v>
      </c>
      <c r="R512" s="38">
        <v>0</v>
      </c>
      <c r="S512" s="38">
        <v>0</v>
      </c>
      <c r="T512" s="39">
        <f t="shared" si="59"/>
        <v>0</v>
      </c>
      <c r="U512" s="38">
        <v>0</v>
      </c>
      <c r="V512" s="38">
        <v>0</v>
      </c>
      <c r="W512" s="39">
        <f t="shared" si="60"/>
        <v>0</v>
      </c>
      <c r="X512" s="38"/>
      <c r="Y512" s="38"/>
      <c r="Z512" s="39">
        <f t="shared" si="61"/>
        <v>0</v>
      </c>
      <c r="AA512" s="38"/>
      <c r="AB512" s="38"/>
      <c r="AC512" s="39">
        <f t="shared" si="62"/>
        <v>0</v>
      </c>
      <c r="AD512" s="38"/>
      <c r="AE512" s="38"/>
      <c r="AF512" s="39">
        <f t="shared" si="63"/>
        <v>0</v>
      </c>
    </row>
    <row r="513" spans="2:32" ht="15" customHeight="1" x14ac:dyDescent="0.3">
      <c r="B513" s="2" t="s">
        <v>836</v>
      </c>
      <c r="C513" s="4" t="s">
        <v>1051</v>
      </c>
      <c r="D513" s="3" t="s">
        <v>1065</v>
      </c>
      <c r="E513" s="6" t="s">
        <v>1066</v>
      </c>
      <c r="F513" s="6" t="s">
        <v>1067</v>
      </c>
      <c r="G513" s="6" t="s">
        <v>709</v>
      </c>
      <c r="H513" s="25">
        <v>28000</v>
      </c>
      <c r="I513" s="38">
        <v>0</v>
      </c>
      <c r="J513" s="38">
        <v>0</v>
      </c>
      <c r="K513" s="39">
        <f t="shared" si="56"/>
        <v>0</v>
      </c>
      <c r="L513" s="38">
        <v>0</v>
      </c>
      <c r="M513" s="38">
        <v>0</v>
      </c>
      <c r="N513" s="39">
        <f t="shared" si="57"/>
        <v>0</v>
      </c>
      <c r="O513" s="38">
        <v>0</v>
      </c>
      <c r="P513" s="38">
        <v>0</v>
      </c>
      <c r="Q513" s="39">
        <f t="shared" si="58"/>
        <v>0</v>
      </c>
      <c r="R513" s="38">
        <v>0</v>
      </c>
      <c r="S513" s="38">
        <v>0</v>
      </c>
      <c r="T513" s="39">
        <f t="shared" si="59"/>
        <v>0</v>
      </c>
      <c r="U513" s="38">
        <v>0</v>
      </c>
      <c r="V513" s="38">
        <v>0</v>
      </c>
      <c r="W513" s="39">
        <f t="shared" si="60"/>
        <v>0</v>
      </c>
      <c r="X513" s="38"/>
      <c r="Y513" s="38"/>
      <c r="Z513" s="39">
        <f t="shared" si="61"/>
        <v>0</v>
      </c>
      <c r="AA513" s="38"/>
      <c r="AB513" s="38"/>
      <c r="AC513" s="39">
        <f t="shared" si="62"/>
        <v>0</v>
      </c>
      <c r="AD513" s="38"/>
      <c r="AE513" s="38"/>
      <c r="AF513" s="39">
        <f t="shared" si="63"/>
        <v>0</v>
      </c>
    </row>
    <row r="514" spans="2:32" ht="15" customHeight="1" x14ac:dyDescent="0.3">
      <c r="B514" s="2" t="s">
        <v>836</v>
      </c>
      <c r="C514" s="4" t="s">
        <v>1051</v>
      </c>
      <c r="D514" s="3" t="s">
        <v>1065</v>
      </c>
      <c r="E514" s="6" t="s">
        <v>1066</v>
      </c>
      <c r="F514" s="6" t="s">
        <v>1067</v>
      </c>
      <c r="G514" s="6" t="s">
        <v>716</v>
      </c>
      <c r="H514" s="25">
        <v>39000</v>
      </c>
      <c r="I514" s="38">
        <v>40</v>
      </c>
      <c r="J514" s="38">
        <v>5</v>
      </c>
      <c r="K514" s="39">
        <f t="shared" si="56"/>
        <v>7800000</v>
      </c>
      <c r="L514" s="38"/>
      <c r="M514" s="38"/>
      <c r="N514" s="39">
        <f t="shared" si="57"/>
        <v>0</v>
      </c>
      <c r="O514" s="38"/>
      <c r="P514" s="38"/>
      <c r="Q514" s="39">
        <f t="shared" si="58"/>
        <v>0</v>
      </c>
      <c r="R514" s="38"/>
      <c r="S514" s="38"/>
      <c r="T514" s="39">
        <f t="shared" si="59"/>
        <v>0</v>
      </c>
      <c r="U514" s="38"/>
      <c r="V514" s="38"/>
      <c r="W514" s="39">
        <f t="shared" si="60"/>
        <v>0</v>
      </c>
      <c r="X514" s="38"/>
      <c r="Y514" s="38"/>
      <c r="Z514" s="39">
        <f t="shared" si="61"/>
        <v>0</v>
      </c>
      <c r="AA514" s="38"/>
      <c r="AB514" s="38"/>
      <c r="AC514" s="39">
        <f t="shared" si="62"/>
        <v>0</v>
      </c>
      <c r="AD514" s="38"/>
      <c r="AE514" s="38"/>
      <c r="AF514" s="39">
        <f t="shared" si="63"/>
        <v>0</v>
      </c>
    </row>
    <row r="515" spans="2:32" ht="15" customHeight="1" x14ac:dyDescent="0.3">
      <c r="B515" s="2" t="s">
        <v>836</v>
      </c>
      <c r="C515" s="4" t="s">
        <v>1051</v>
      </c>
      <c r="D515" s="3" t="s">
        <v>1065</v>
      </c>
      <c r="E515" s="6" t="s">
        <v>1066</v>
      </c>
      <c r="F515" s="6" t="s">
        <v>1067</v>
      </c>
      <c r="G515" s="6" t="s">
        <v>712</v>
      </c>
      <c r="H515" s="25">
        <v>214.29</v>
      </c>
      <c r="I515" s="38">
        <v>40</v>
      </c>
      <c r="J515" s="38">
        <v>5</v>
      </c>
      <c r="K515" s="39">
        <f t="shared" ref="K515:K578" si="64">H515*I515*J515</f>
        <v>42858</v>
      </c>
      <c r="L515" s="38">
        <v>40</v>
      </c>
      <c r="M515" s="38">
        <v>5</v>
      </c>
      <c r="N515" s="39">
        <f t="shared" ref="N515:N578" si="65">H515*L515*M515</f>
        <v>42858</v>
      </c>
      <c r="O515" s="38">
        <v>40</v>
      </c>
      <c r="P515" s="38">
        <v>5</v>
      </c>
      <c r="Q515" s="39">
        <f t="shared" ref="Q515:Q578" si="66">H515*O515*P515</f>
        <v>42858</v>
      </c>
      <c r="R515" s="38">
        <v>40</v>
      </c>
      <c r="S515" s="38">
        <v>5</v>
      </c>
      <c r="T515" s="39">
        <f t="shared" ref="T515:T578" si="67">H515*R515*S515</f>
        <v>42858</v>
      </c>
      <c r="U515" s="38">
        <v>40</v>
      </c>
      <c r="V515" s="38">
        <v>5</v>
      </c>
      <c r="W515" s="39">
        <f t="shared" ref="W515:W578" si="68">H515*U515*V515</f>
        <v>42858</v>
      </c>
      <c r="X515" s="38"/>
      <c r="Y515" s="38"/>
      <c r="Z515" s="39">
        <f t="shared" ref="Z515:Z578" si="69">H515*X515*Y515</f>
        <v>0</v>
      </c>
      <c r="AA515" s="38"/>
      <c r="AB515" s="38"/>
      <c r="AC515" s="39">
        <f t="shared" ref="AC515:AC578" si="70">H515*AA515*AB515</f>
        <v>0</v>
      </c>
      <c r="AD515" s="38"/>
      <c r="AE515" s="38"/>
      <c r="AF515" s="39">
        <f t="shared" ref="AF515:AF578" si="71">H515*AD515*AE515</f>
        <v>0</v>
      </c>
    </row>
    <row r="516" spans="2:32" ht="15" customHeight="1" x14ac:dyDescent="0.3">
      <c r="B516" s="2" t="s">
        <v>836</v>
      </c>
      <c r="C516" s="4" t="s">
        <v>1051</v>
      </c>
      <c r="D516" s="3" t="s">
        <v>1065</v>
      </c>
      <c r="E516" s="6" t="s">
        <v>1068</v>
      </c>
      <c r="F516" s="6" t="s">
        <v>1069</v>
      </c>
      <c r="G516" s="6" t="s">
        <v>709</v>
      </c>
      <c r="H516" s="25">
        <v>28000</v>
      </c>
      <c r="I516" s="38">
        <v>8000</v>
      </c>
      <c r="J516" s="38">
        <v>1</v>
      </c>
      <c r="K516" s="39">
        <f t="shared" si="64"/>
        <v>224000000</v>
      </c>
      <c r="L516" s="38">
        <v>8000</v>
      </c>
      <c r="M516" s="38">
        <v>1</v>
      </c>
      <c r="N516" s="39">
        <f t="shared" si="65"/>
        <v>224000000</v>
      </c>
      <c r="O516" s="38">
        <v>8000</v>
      </c>
      <c r="P516" s="38">
        <v>1</v>
      </c>
      <c r="Q516" s="39">
        <f t="shared" si="66"/>
        <v>224000000</v>
      </c>
      <c r="R516" s="38">
        <v>8000</v>
      </c>
      <c r="S516" s="38">
        <v>1</v>
      </c>
      <c r="T516" s="39">
        <f t="shared" si="67"/>
        <v>224000000</v>
      </c>
      <c r="U516" s="38">
        <v>8000</v>
      </c>
      <c r="V516" s="38">
        <v>1</v>
      </c>
      <c r="W516" s="39">
        <f t="shared" si="68"/>
        <v>224000000</v>
      </c>
      <c r="X516" s="38"/>
      <c r="Y516" s="38"/>
      <c r="Z516" s="39">
        <f t="shared" si="69"/>
        <v>0</v>
      </c>
      <c r="AA516" s="38"/>
      <c r="AB516" s="38"/>
      <c r="AC516" s="39">
        <f t="shared" si="70"/>
        <v>0</v>
      </c>
      <c r="AD516" s="38"/>
      <c r="AE516" s="38"/>
      <c r="AF516" s="39">
        <f t="shared" si="71"/>
        <v>0</v>
      </c>
    </row>
    <row r="517" spans="2:32" ht="15" customHeight="1" x14ac:dyDescent="0.3">
      <c r="B517" s="2" t="s">
        <v>836</v>
      </c>
      <c r="C517" s="4" t="s">
        <v>1051</v>
      </c>
      <c r="D517" s="3" t="s">
        <v>1070</v>
      </c>
      <c r="E517" s="6" t="s">
        <v>1071</v>
      </c>
      <c r="F517" s="6" t="s">
        <v>1072</v>
      </c>
      <c r="G517" s="6" t="s">
        <v>841</v>
      </c>
      <c r="H517" s="25">
        <v>0</v>
      </c>
      <c r="I517" s="38">
        <v>40</v>
      </c>
      <c r="J517" s="38">
        <v>1</v>
      </c>
      <c r="K517" s="39">
        <f t="shared" si="64"/>
        <v>0</v>
      </c>
      <c r="L517" s="38">
        <v>40</v>
      </c>
      <c r="M517" s="38">
        <v>1</v>
      </c>
      <c r="N517" s="39">
        <f t="shared" si="65"/>
        <v>0</v>
      </c>
      <c r="O517" s="38">
        <v>40</v>
      </c>
      <c r="P517" s="38">
        <v>1</v>
      </c>
      <c r="Q517" s="39">
        <f t="shared" si="66"/>
        <v>0</v>
      </c>
      <c r="R517" s="38">
        <v>40</v>
      </c>
      <c r="S517" s="38">
        <v>1</v>
      </c>
      <c r="T517" s="39">
        <f t="shared" si="67"/>
        <v>0</v>
      </c>
      <c r="U517" s="38">
        <v>40</v>
      </c>
      <c r="V517" s="38">
        <v>1</v>
      </c>
      <c r="W517" s="39">
        <f t="shared" si="68"/>
        <v>0</v>
      </c>
      <c r="X517" s="38"/>
      <c r="Y517" s="38"/>
      <c r="Z517" s="39">
        <f t="shared" si="69"/>
        <v>0</v>
      </c>
      <c r="AA517" s="38"/>
      <c r="AB517" s="38"/>
      <c r="AC517" s="39">
        <f t="shared" si="70"/>
        <v>0</v>
      </c>
      <c r="AD517" s="38"/>
      <c r="AE517" s="38"/>
      <c r="AF517" s="39">
        <f t="shared" si="71"/>
        <v>0</v>
      </c>
    </row>
    <row r="518" spans="2:32" ht="15" customHeight="1" x14ac:dyDescent="0.3">
      <c r="B518" s="2" t="s">
        <v>836</v>
      </c>
      <c r="C518" s="4" t="s">
        <v>1051</v>
      </c>
      <c r="D518" s="3" t="s">
        <v>1070</v>
      </c>
      <c r="E518" s="6" t="s">
        <v>1071</v>
      </c>
      <c r="F518" s="6" t="s">
        <v>149</v>
      </c>
      <c r="G518" s="6" t="s">
        <v>707</v>
      </c>
      <c r="H518" s="25">
        <v>391991.03749999998</v>
      </c>
      <c r="I518" s="38">
        <v>0</v>
      </c>
      <c r="J518" s="38">
        <v>0</v>
      </c>
      <c r="K518" s="39">
        <f t="shared" si="64"/>
        <v>0</v>
      </c>
      <c r="L518" s="38">
        <v>0</v>
      </c>
      <c r="M518" s="38">
        <v>5</v>
      </c>
      <c r="N518" s="39">
        <f t="shared" si="65"/>
        <v>0</v>
      </c>
      <c r="O518" s="38">
        <v>0</v>
      </c>
      <c r="P518" s="38">
        <v>0</v>
      </c>
      <c r="Q518" s="39">
        <f t="shared" si="66"/>
        <v>0</v>
      </c>
      <c r="R518" s="38">
        <v>0</v>
      </c>
      <c r="S518" s="38">
        <v>0</v>
      </c>
      <c r="T518" s="39">
        <f t="shared" si="67"/>
        <v>0</v>
      </c>
      <c r="U518" s="38">
        <v>0</v>
      </c>
      <c r="V518" s="38">
        <v>5</v>
      </c>
      <c r="W518" s="39">
        <f t="shared" si="68"/>
        <v>0</v>
      </c>
      <c r="X518" s="38"/>
      <c r="Y518" s="38"/>
      <c r="Z518" s="39">
        <f t="shared" si="69"/>
        <v>0</v>
      </c>
      <c r="AA518" s="38"/>
      <c r="AB518" s="38"/>
      <c r="AC518" s="39">
        <f t="shared" si="70"/>
        <v>0</v>
      </c>
      <c r="AD518" s="38"/>
      <c r="AE518" s="38"/>
      <c r="AF518" s="39">
        <f t="shared" si="71"/>
        <v>0</v>
      </c>
    </row>
    <row r="519" spans="2:32" ht="15" customHeight="1" x14ac:dyDescent="0.3">
      <c r="B519" s="2" t="s">
        <v>836</v>
      </c>
      <c r="C519" s="4" t="s">
        <v>1051</v>
      </c>
      <c r="D519" s="3" t="s">
        <v>1070</v>
      </c>
      <c r="E519" s="6" t="s">
        <v>1071</v>
      </c>
      <c r="F519" s="6" t="s">
        <v>149</v>
      </c>
      <c r="G519" s="6" t="s">
        <v>708</v>
      </c>
      <c r="H519" s="25">
        <v>425000</v>
      </c>
      <c r="I519" s="38">
        <v>0</v>
      </c>
      <c r="J519" s="38">
        <v>0</v>
      </c>
      <c r="K519" s="39">
        <f t="shared" si="64"/>
        <v>0</v>
      </c>
      <c r="L519" s="38">
        <v>2</v>
      </c>
      <c r="M519" s="38">
        <v>4</v>
      </c>
      <c r="N519" s="39">
        <f t="shared" si="65"/>
        <v>3400000</v>
      </c>
      <c r="O519" s="38">
        <v>0</v>
      </c>
      <c r="P519" s="38">
        <v>0</v>
      </c>
      <c r="Q519" s="39">
        <f t="shared" si="66"/>
        <v>0</v>
      </c>
      <c r="R519" s="38">
        <v>0</v>
      </c>
      <c r="S519" s="38">
        <v>0</v>
      </c>
      <c r="T519" s="39">
        <f t="shared" si="67"/>
        <v>0</v>
      </c>
      <c r="U519" s="38">
        <v>2</v>
      </c>
      <c r="V519" s="38">
        <v>4</v>
      </c>
      <c r="W519" s="39">
        <f t="shared" si="68"/>
        <v>3400000</v>
      </c>
      <c r="X519" s="38"/>
      <c r="Y519" s="38"/>
      <c r="Z519" s="39">
        <f t="shared" si="69"/>
        <v>0</v>
      </c>
      <c r="AA519" s="38"/>
      <c r="AB519" s="38"/>
      <c r="AC519" s="39">
        <f t="shared" si="70"/>
        <v>0</v>
      </c>
      <c r="AD519" s="38"/>
      <c r="AE519" s="38"/>
      <c r="AF519" s="39">
        <f t="shared" si="71"/>
        <v>0</v>
      </c>
    </row>
    <row r="520" spans="2:32" ht="15" customHeight="1" x14ac:dyDescent="0.3">
      <c r="B520" s="2" t="s">
        <v>836</v>
      </c>
      <c r="C520" s="4" t="s">
        <v>1051</v>
      </c>
      <c r="D520" s="3" t="s">
        <v>1070</v>
      </c>
      <c r="E520" s="6" t="s">
        <v>1071</v>
      </c>
      <c r="F520" s="6" t="s">
        <v>895</v>
      </c>
      <c r="G520" s="6" t="s">
        <v>841</v>
      </c>
      <c r="H520" s="25">
        <v>0</v>
      </c>
      <c r="I520" s="38">
        <v>0</v>
      </c>
      <c r="J520" s="38">
        <v>0</v>
      </c>
      <c r="K520" s="39">
        <f t="shared" si="64"/>
        <v>0</v>
      </c>
      <c r="L520" s="38">
        <v>1</v>
      </c>
      <c r="M520" s="38">
        <v>30</v>
      </c>
      <c r="N520" s="39">
        <f t="shared" si="65"/>
        <v>0</v>
      </c>
      <c r="O520" s="38">
        <v>0</v>
      </c>
      <c r="P520" s="38">
        <v>0</v>
      </c>
      <c r="Q520" s="39">
        <f t="shared" si="66"/>
        <v>0</v>
      </c>
      <c r="R520" s="38">
        <v>0</v>
      </c>
      <c r="S520" s="38">
        <v>0</v>
      </c>
      <c r="T520" s="39">
        <f t="shared" si="67"/>
        <v>0</v>
      </c>
      <c r="U520" s="38">
        <v>1</v>
      </c>
      <c r="V520" s="38">
        <v>30</v>
      </c>
      <c r="W520" s="39">
        <f t="shared" si="68"/>
        <v>0</v>
      </c>
      <c r="X520" s="38"/>
      <c r="Y520" s="38"/>
      <c r="Z520" s="39">
        <f t="shared" si="69"/>
        <v>0</v>
      </c>
      <c r="AA520" s="38"/>
      <c r="AB520" s="38"/>
      <c r="AC520" s="39">
        <f t="shared" si="70"/>
        <v>0</v>
      </c>
      <c r="AD520" s="38"/>
      <c r="AE520" s="38"/>
      <c r="AF520" s="39">
        <f t="shared" si="71"/>
        <v>0</v>
      </c>
    </row>
    <row r="521" spans="2:32" ht="15" customHeight="1" x14ac:dyDescent="0.3">
      <c r="B521" s="2" t="s">
        <v>836</v>
      </c>
      <c r="C521" s="4" t="s">
        <v>1051</v>
      </c>
      <c r="D521" s="3" t="s">
        <v>1070</v>
      </c>
      <c r="E521" s="6" t="s">
        <v>1071</v>
      </c>
      <c r="F521" s="6" t="s">
        <v>912</v>
      </c>
      <c r="G521" s="6" t="s">
        <v>841</v>
      </c>
      <c r="H521" s="25">
        <v>0</v>
      </c>
      <c r="I521" s="38">
        <v>0</v>
      </c>
      <c r="J521" s="38">
        <v>0</v>
      </c>
      <c r="K521" s="39">
        <f t="shared" si="64"/>
        <v>0</v>
      </c>
      <c r="L521" s="38">
        <v>5</v>
      </c>
      <c r="M521" s="38">
        <v>5</v>
      </c>
      <c r="N521" s="39">
        <f t="shared" si="65"/>
        <v>0</v>
      </c>
      <c r="O521" s="38">
        <v>0</v>
      </c>
      <c r="P521" s="38">
        <v>0</v>
      </c>
      <c r="Q521" s="39">
        <f t="shared" si="66"/>
        <v>0</v>
      </c>
      <c r="R521" s="38">
        <v>0</v>
      </c>
      <c r="S521" s="38">
        <v>0</v>
      </c>
      <c r="T521" s="39">
        <f t="shared" si="67"/>
        <v>0</v>
      </c>
      <c r="U521" s="38">
        <v>5</v>
      </c>
      <c r="V521" s="38">
        <v>5</v>
      </c>
      <c r="W521" s="39">
        <f t="shared" si="68"/>
        <v>0</v>
      </c>
      <c r="X521" s="38"/>
      <c r="Y521" s="38"/>
      <c r="Z521" s="39">
        <f t="shared" si="69"/>
        <v>0</v>
      </c>
      <c r="AA521" s="38"/>
      <c r="AB521" s="38"/>
      <c r="AC521" s="39">
        <f t="shared" si="70"/>
        <v>0</v>
      </c>
      <c r="AD521" s="38"/>
      <c r="AE521" s="38"/>
      <c r="AF521" s="39">
        <f t="shared" si="71"/>
        <v>0</v>
      </c>
    </row>
    <row r="522" spans="2:32" ht="15" customHeight="1" x14ac:dyDescent="0.3">
      <c r="B522" s="2" t="s">
        <v>836</v>
      </c>
      <c r="C522" s="4" t="s">
        <v>1051</v>
      </c>
      <c r="D522" s="3" t="s">
        <v>1070</v>
      </c>
      <c r="E522" s="6" t="s">
        <v>1071</v>
      </c>
      <c r="F522" s="6" t="s">
        <v>1026</v>
      </c>
      <c r="G522" s="6" t="s">
        <v>709</v>
      </c>
      <c r="H522" s="25">
        <v>28000</v>
      </c>
      <c r="I522" s="38">
        <v>0</v>
      </c>
      <c r="J522" s="38">
        <v>0</v>
      </c>
      <c r="K522" s="39">
        <f t="shared" si="64"/>
        <v>0</v>
      </c>
      <c r="L522" s="38">
        <v>10</v>
      </c>
      <c r="M522" s="38">
        <v>1</v>
      </c>
      <c r="N522" s="39">
        <f t="shared" si="65"/>
        <v>280000</v>
      </c>
      <c r="O522" s="38">
        <v>0</v>
      </c>
      <c r="P522" s="38">
        <v>0</v>
      </c>
      <c r="Q522" s="39">
        <f t="shared" si="66"/>
        <v>0</v>
      </c>
      <c r="R522" s="38">
        <v>0</v>
      </c>
      <c r="S522" s="38">
        <v>0</v>
      </c>
      <c r="T522" s="39">
        <f t="shared" si="67"/>
        <v>0</v>
      </c>
      <c r="U522" s="38">
        <v>10</v>
      </c>
      <c r="V522" s="38">
        <v>1</v>
      </c>
      <c r="W522" s="39">
        <f t="shared" si="68"/>
        <v>280000</v>
      </c>
      <c r="X522" s="38"/>
      <c r="Y522" s="38"/>
      <c r="Z522" s="39">
        <f t="shared" si="69"/>
        <v>0</v>
      </c>
      <c r="AA522" s="38"/>
      <c r="AB522" s="38"/>
      <c r="AC522" s="39">
        <f t="shared" si="70"/>
        <v>0</v>
      </c>
      <c r="AD522" s="38"/>
      <c r="AE522" s="38"/>
      <c r="AF522" s="39">
        <f t="shared" si="71"/>
        <v>0</v>
      </c>
    </row>
    <row r="523" spans="2:32" ht="15" customHeight="1" x14ac:dyDescent="0.3">
      <c r="B523" s="2" t="s">
        <v>836</v>
      </c>
      <c r="C523" s="4" t="s">
        <v>1051</v>
      </c>
      <c r="D523" s="3" t="s">
        <v>1070</v>
      </c>
      <c r="E523" s="6" t="s">
        <v>1071</v>
      </c>
      <c r="F523" s="6" t="s">
        <v>1026</v>
      </c>
      <c r="G523" s="6" t="s">
        <v>711</v>
      </c>
      <c r="H523" s="25">
        <v>70</v>
      </c>
      <c r="I523" s="38">
        <v>0</v>
      </c>
      <c r="J523" s="38">
        <v>0</v>
      </c>
      <c r="K523" s="39">
        <f t="shared" si="64"/>
        <v>0</v>
      </c>
      <c r="L523" s="38">
        <v>25</v>
      </c>
      <c r="M523" s="38">
        <v>3</v>
      </c>
      <c r="N523" s="39">
        <f t="shared" si="65"/>
        <v>5250</v>
      </c>
      <c r="O523" s="38">
        <v>0</v>
      </c>
      <c r="P523" s="38">
        <v>0</v>
      </c>
      <c r="Q523" s="39">
        <f t="shared" si="66"/>
        <v>0</v>
      </c>
      <c r="R523" s="38">
        <v>0</v>
      </c>
      <c r="S523" s="38">
        <v>0</v>
      </c>
      <c r="T523" s="39">
        <f t="shared" si="67"/>
        <v>0</v>
      </c>
      <c r="U523" s="38">
        <v>25</v>
      </c>
      <c r="V523" s="38">
        <v>3</v>
      </c>
      <c r="W523" s="39">
        <f t="shared" si="68"/>
        <v>5250</v>
      </c>
      <c r="X523" s="38"/>
      <c r="Y523" s="38"/>
      <c r="Z523" s="39">
        <f t="shared" si="69"/>
        <v>0</v>
      </c>
      <c r="AA523" s="38"/>
      <c r="AB523" s="38"/>
      <c r="AC523" s="39">
        <f t="shared" si="70"/>
        <v>0</v>
      </c>
      <c r="AD523" s="38"/>
      <c r="AE523" s="38"/>
      <c r="AF523" s="39">
        <f t="shared" si="71"/>
        <v>0</v>
      </c>
    </row>
    <row r="524" spans="2:32" ht="15" customHeight="1" x14ac:dyDescent="0.3">
      <c r="B524" s="2" t="s">
        <v>836</v>
      </c>
      <c r="C524" s="4" t="s">
        <v>1051</v>
      </c>
      <c r="D524" s="3" t="s">
        <v>1070</v>
      </c>
      <c r="E524" s="6" t="s">
        <v>1071</v>
      </c>
      <c r="F524" s="6" t="s">
        <v>1026</v>
      </c>
      <c r="G524" s="6" t="s">
        <v>710</v>
      </c>
      <c r="H524" s="25">
        <v>104850</v>
      </c>
      <c r="I524" s="38">
        <v>0</v>
      </c>
      <c r="J524" s="38">
        <v>0</v>
      </c>
      <c r="K524" s="39">
        <f t="shared" si="64"/>
        <v>0</v>
      </c>
      <c r="L524" s="38">
        <v>5000</v>
      </c>
      <c r="M524" s="38">
        <v>1</v>
      </c>
      <c r="N524" s="39">
        <f t="shared" si="65"/>
        <v>524250000</v>
      </c>
      <c r="O524" s="38">
        <v>0</v>
      </c>
      <c r="P524" s="38">
        <v>0</v>
      </c>
      <c r="Q524" s="39">
        <f t="shared" si="66"/>
        <v>0</v>
      </c>
      <c r="R524" s="38">
        <v>0</v>
      </c>
      <c r="S524" s="38">
        <v>0</v>
      </c>
      <c r="T524" s="39">
        <f t="shared" si="67"/>
        <v>0</v>
      </c>
      <c r="U524" s="38">
        <v>5000</v>
      </c>
      <c r="V524" s="38">
        <v>1</v>
      </c>
      <c r="W524" s="39">
        <f t="shared" si="68"/>
        <v>524250000</v>
      </c>
      <c r="X524" s="38"/>
      <c r="Y524" s="38"/>
      <c r="Z524" s="39">
        <f t="shared" si="69"/>
        <v>0</v>
      </c>
      <c r="AA524" s="38"/>
      <c r="AB524" s="38"/>
      <c r="AC524" s="39">
        <f t="shared" si="70"/>
        <v>0</v>
      </c>
      <c r="AD524" s="38"/>
      <c r="AE524" s="38"/>
      <c r="AF524" s="39">
        <f t="shared" si="71"/>
        <v>0</v>
      </c>
    </row>
    <row r="525" spans="2:32" ht="15" customHeight="1" x14ac:dyDescent="0.3">
      <c r="B525" s="2" t="s">
        <v>836</v>
      </c>
      <c r="C525" s="4" t="s">
        <v>1051</v>
      </c>
      <c r="D525" s="3" t="s">
        <v>1070</v>
      </c>
      <c r="E525" s="6" t="s">
        <v>1071</v>
      </c>
      <c r="F525" s="6" t="s">
        <v>163</v>
      </c>
      <c r="G525" s="6" t="s">
        <v>713</v>
      </c>
      <c r="H525" s="25">
        <v>45000</v>
      </c>
      <c r="I525" s="38">
        <v>0</v>
      </c>
      <c r="J525" s="38">
        <v>0</v>
      </c>
      <c r="K525" s="39">
        <f t="shared" si="64"/>
        <v>0</v>
      </c>
      <c r="L525" s="38">
        <v>1</v>
      </c>
      <c r="M525" s="38">
        <v>1</v>
      </c>
      <c r="N525" s="39">
        <f t="shared" si="65"/>
        <v>45000</v>
      </c>
      <c r="O525" s="38">
        <v>0</v>
      </c>
      <c r="P525" s="38">
        <v>0</v>
      </c>
      <c r="Q525" s="39">
        <f t="shared" si="66"/>
        <v>0</v>
      </c>
      <c r="R525" s="38">
        <v>0</v>
      </c>
      <c r="S525" s="38">
        <v>0</v>
      </c>
      <c r="T525" s="39">
        <f t="shared" si="67"/>
        <v>0</v>
      </c>
      <c r="U525" s="38">
        <v>1</v>
      </c>
      <c r="V525" s="38">
        <v>1</v>
      </c>
      <c r="W525" s="39">
        <f t="shared" si="68"/>
        <v>45000</v>
      </c>
      <c r="X525" s="38"/>
      <c r="Y525" s="38"/>
      <c r="Z525" s="39">
        <f t="shared" si="69"/>
        <v>0</v>
      </c>
      <c r="AA525" s="38"/>
      <c r="AB525" s="38"/>
      <c r="AC525" s="39">
        <f t="shared" si="70"/>
        <v>0</v>
      </c>
      <c r="AD525" s="38"/>
      <c r="AE525" s="38"/>
      <c r="AF525" s="39">
        <f t="shared" si="71"/>
        <v>0</v>
      </c>
    </row>
    <row r="526" spans="2:32" ht="15" customHeight="1" x14ac:dyDescent="0.3">
      <c r="B526" s="2" t="s">
        <v>836</v>
      </c>
      <c r="C526" s="4" t="s">
        <v>1051</v>
      </c>
      <c r="D526" s="3" t="s">
        <v>1070</v>
      </c>
      <c r="E526" s="6" t="s">
        <v>1071</v>
      </c>
      <c r="F526" s="6" t="s">
        <v>163</v>
      </c>
      <c r="G526" s="6" t="s">
        <v>712</v>
      </c>
      <c r="H526" s="25">
        <v>214.29</v>
      </c>
      <c r="I526" s="38">
        <v>0</v>
      </c>
      <c r="J526" s="38">
        <v>0</v>
      </c>
      <c r="K526" s="39">
        <f t="shared" si="64"/>
        <v>0</v>
      </c>
      <c r="L526" s="38">
        <v>25</v>
      </c>
      <c r="M526" s="38">
        <v>1</v>
      </c>
      <c r="N526" s="39">
        <f t="shared" si="65"/>
        <v>5357.25</v>
      </c>
      <c r="O526" s="38">
        <v>0</v>
      </c>
      <c r="P526" s="38">
        <v>0</v>
      </c>
      <c r="Q526" s="39">
        <f t="shared" si="66"/>
        <v>0</v>
      </c>
      <c r="R526" s="38">
        <v>0</v>
      </c>
      <c r="S526" s="38">
        <v>0</v>
      </c>
      <c r="T526" s="39">
        <f t="shared" si="67"/>
        <v>0</v>
      </c>
      <c r="U526" s="38">
        <v>25</v>
      </c>
      <c r="V526" s="38">
        <v>1</v>
      </c>
      <c r="W526" s="39">
        <f t="shared" si="68"/>
        <v>5357.25</v>
      </c>
      <c r="X526" s="38"/>
      <c r="Y526" s="38"/>
      <c r="Z526" s="39">
        <f t="shared" si="69"/>
        <v>0</v>
      </c>
      <c r="AA526" s="38"/>
      <c r="AB526" s="38"/>
      <c r="AC526" s="39">
        <f t="shared" si="70"/>
        <v>0</v>
      </c>
      <c r="AD526" s="38"/>
      <c r="AE526" s="38"/>
      <c r="AF526" s="39">
        <f t="shared" si="71"/>
        <v>0</v>
      </c>
    </row>
    <row r="527" spans="2:32" ht="15" customHeight="1" x14ac:dyDescent="0.3">
      <c r="B527" s="2" t="s">
        <v>836</v>
      </c>
      <c r="C527" s="4" t="s">
        <v>1051</v>
      </c>
      <c r="D527" s="3" t="s">
        <v>1070</v>
      </c>
      <c r="E527" s="6" t="s">
        <v>1071</v>
      </c>
      <c r="F527" s="6" t="s">
        <v>1027</v>
      </c>
      <c r="G527" s="6" t="s">
        <v>709</v>
      </c>
      <c r="H527" s="25">
        <v>28000</v>
      </c>
      <c r="I527" s="38">
        <v>0</v>
      </c>
      <c r="J527" s="38">
        <v>0</v>
      </c>
      <c r="K527" s="39">
        <f t="shared" si="64"/>
        <v>0</v>
      </c>
      <c r="L527" s="38">
        <v>4000</v>
      </c>
      <c r="M527" s="38">
        <v>1</v>
      </c>
      <c r="N527" s="39">
        <f t="shared" si="65"/>
        <v>112000000</v>
      </c>
      <c r="O527" s="38">
        <v>0</v>
      </c>
      <c r="P527" s="38">
        <v>0</v>
      </c>
      <c r="Q527" s="39">
        <f t="shared" si="66"/>
        <v>0</v>
      </c>
      <c r="R527" s="38">
        <v>0</v>
      </c>
      <c r="S527" s="38">
        <v>0</v>
      </c>
      <c r="T527" s="39">
        <f t="shared" si="67"/>
        <v>0</v>
      </c>
      <c r="U527" s="38">
        <v>4000</v>
      </c>
      <c r="V527" s="38">
        <v>1</v>
      </c>
      <c r="W527" s="39">
        <f t="shared" si="68"/>
        <v>112000000</v>
      </c>
      <c r="X527" s="38"/>
      <c r="Y527" s="38"/>
      <c r="Z527" s="39">
        <f t="shared" si="69"/>
        <v>0</v>
      </c>
      <c r="AA527" s="38"/>
      <c r="AB527" s="38"/>
      <c r="AC527" s="39">
        <f t="shared" si="70"/>
        <v>0</v>
      </c>
      <c r="AD527" s="38"/>
      <c r="AE527" s="38"/>
      <c r="AF527" s="39">
        <f t="shared" si="71"/>
        <v>0</v>
      </c>
    </row>
    <row r="528" spans="2:32" ht="15" customHeight="1" x14ac:dyDescent="0.3">
      <c r="B528" s="2" t="s">
        <v>836</v>
      </c>
      <c r="C528" s="4" t="s">
        <v>1051</v>
      </c>
      <c r="D528" s="3" t="s">
        <v>1070</v>
      </c>
      <c r="E528" s="6" t="s">
        <v>1071</v>
      </c>
      <c r="F528" s="6" t="s">
        <v>157</v>
      </c>
      <c r="G528" s="6" t="s">
        <v>713</v>
      </c>
      <c r="H528" s="25">
        <v>45000</v>
      </c>
      <c r="I528" s="38">
        <v>0</v>
      </c>
      <c r="J528" s="38">
        <v>0</v>
      </c>
      <c r="K528" s="39">
        <f t="shared" si="64"/>
        <v>0</v>
      </c>
      <c r="L528" s="38">
        <v>15</v>
      </c>
      <c r="M528" s="38">
        <v>1</v>
      </c>
      <c r="N528" s="39">
        <f t="shared" si="65"/>
        <v>675000</v>
      </c>
      <c r="O528" s="38">
        <v>0</v>
      </c>
      <c r="P528" s="38">
        <v>0</v>
      </c>
      <c r="Q528" s="39">
        <f t="shared" si="66"/>
        <v>0</v>
      </c>
      <c r="R528" s="38">
        <v>0</v>
      </c>
      <c r="S528" s="38">
        <v>0</v>
      </c>
      <c r="T528" s="39">
        <f t="shared" si="67"/>
        <v>0</v>
      </c>
      <c r="U528" s="38">
        <v>15</v>
      </c>
      <c r="V528" s="38">
        <v>1</v>
      </c>
      <c r="W528" s="39">
        <f t="shared" si="68"/>
        <v>675000</v>
      </c>
      <c r="X528" s="38"/>
      <c r="Y528" s="38"/>
      <c r="Z528" s="39">
        <f t="shared" si="69"/>
        <v>0</v>
      </c>
      <c r="AA528" s="38"/>
      <c r="AB528" s="38"/>
      <c r="AC528" s="39">
        <f t="shared" si="70"/>
        <v>0</v>
      </c>
      <c r="AD528" s="38"/>
      <c r="AE528" s="38"/>
      <c r="AF528" s="39">
        <f t="shared" si="71"/>
        <v>0</v>
      </c>
    </row>
    <row r="529" spans="2:32" ht="15" customHeight="1" x14ac:dyDescent="0.3">
      <c r="B529" s="2" t="s">
        <v>836</v>
      </c>
      <c r="C529" s="4" t="s">
        <v>1051</v>
      </c>
      <c r="D529" s="3" t="s">
        <v>1070</v>
      </c>
      <c r="E529" s="6" t="s">
        <v>1071</v>
      </c>
      <c r="F529" s="6" t="s">
        <v>157</v>
      </c>
      <c r="G529" s="6" t="s">
        <v>712</v>
      </c>
      <c r="H529" s="25">
        <v>214.29</v>
      </c>
      <c r="I529" s="38">
        <v>0</v>
      </c>
      <c r="J529" s="38">
        <v>0</v>
      </c>
      <c r="K529" s="39">
        <f t="shared" si="64"/>
        <v>0</v>
      </c>
      <c r="L529" s="38">
        <v>15</v>
      </c>
      <c r="M529" s="38">
        <v>10</v>
      </c>
      <c r="N529" s="39">
        <f t="shared" si="65"/>
        <v>32143.5</v>
      </c>
      <c r="O529" s="38">
        <v>0</v>
      </c>
      <c r="P529" s="38">
        <v>0</v>
      </c>
      <c r="Q529" s="39">
        <f t="shared" si="66"/>
        <v>0</v>
      </c>
      <c r="R529" s="38">
        <v>0</v>
      </c>
      <c r="S529" s="38">
        <v>0</v>
      </c>
      <c r="T529" s="39">
        <f t="shared" si="67"/>
        <v>0</v>
      </c>
      <c r="U529" s="38">
        <v>15</v>
      </c>
      <c r="V529" s="38">
        <v>10</v>
      </c>
      <c r="W529" s="39">
        <f t="shared" si="68"/>
        <v>32143.5</v>
      </c>
      <c r="X529" s="38"/>
      <c r="Y529" s="38"/>
      <c r="Z529" s="39">
        <f t="shared" si="69"/>
        <v>0</v>
      </c>
      <c r="AA529" s="38"/>
      <c r="AB529" s="38"/>
      <c r="AC529" s="39">
        <f t="shared" si="70"/>
        <v>0</v>
      </c>
      <c r="AD529" s="38"/>
      <c r="AE529" s="38"/>
      <c r="AF529" s="39">
        <f t="shared" si="71"/>
        <v>0</v>
      </c>
    </row>
    <row r="530" spans="2:32" ht="15" customHeight="1" x14ac:dyDescent="0.3">
      <c r="B530" s="2" t="s">
        <v>836</v>
      </c>
      <c r="C530" s="4" t="s">
        <v>1051</v>
      </c>
      <c r="D530" s="3" t="s">
        <v>1070</v>
      </c>
      <c r="E530" s="6" t="s">
        <v>1071</v>
      </c>
      <c r="F530" s="6" t="s">
        <v>157</v>
      </c>
      <c r="G530" s="6" t="s">
        <v>714</v>
      </c>
      <c r="H530" s="25">
        <v>10000</v>
      </c>
      <c r="I530" s="38">
        <v>0</v>
      </c>
      <c r="J530" s="38">
        <v>0</v>
      </c>
      <c r="K530" s="39">
        <f t="shared" si="64"/>
        <v>0</v>
      </c>
      <c r="L530" s="38">
        <v>20000</v>
      </c>
      <c r="M530" s="38">
        <v>1</v>
      </c>
      <c r="N530" s="39">
        <f t="shared" si="65"/>
        <v>200000000</v>
      </c>
      <c r="O530" s="38">
        <v>0</v>
      </c>
      <c r="P530" s="38">
        <v>0</v>
      </c>
      <c r="Q530" s="39">
        <f t="shared" si="66"/>
        <v>0</v>
      </c>
      <c r="R530" s="38">
        <v>0</v>
      </c>
      <c r="S530" s="38">
        <v>0</v>
      </c>
      <c r="T530" s="39">
        <f t="shared" si="67"/>
        <v>0</v>
      </c>
      <c r="U530" s="38">
        <v>20000</v>
      </c>
      <c r="V530" s="38">
        <v>1</v>
      </c>
      <c r="W530" s="39">
        <f t="shared" si="68"/>
        <v>200000000</v>
      </c>
      <c r="X530" s="38"/>
      <c r="Y530" s="38"/>
      <c r="Z530" s="39">
        <f t="shared" si="69"/>
        <v>0</v>
      </c>
      <c r="AA530" s="38"/>
      <c r="AB530" s="38"/>
      <c r="AC530" s="39">
        <f t="shared" si="70"/>
        <v>0</v>
      </c>
      <c r="AD530" s="38"/>
      <c r="AE530" s="38"/>
      <c r="AF530" s="39">
        <f t="shared" si="71"/>
        <v>0</v>
      </c>
    </row>
    <row r="531" spans="2:32" ht="15" customHeight="1" x14ac:dyDescent="0.3">
      <c r="B531" s="2" t="s">
        <v>836</v>
      </c>
      <c r="C531" s="4" t="s">
        <v>1051</v>
      </c>
      <c r="D531" s="3" t="s">
        <v>1070</v>
      </c>
      <c r="E531" s="6" t="s">
        <v>1071</v>
      </c>
      <c r="F531" s="6" t="s">
        <v>1004</v>
      </c>
      <c r="G531" s="6" t="s">
        <v>709</v>
      </c>
      <c r="H531" s="25">
        <v>28000</v>
      </c>
      <c r="I531" s="38">
        <v>0</v>
      </c>
      <c r="J531" s="38">
        <v>0</v>
      </c>
      <c r="K531" s="39">
        <f t="shared" si="64"/>
        <v>0</v>
      </c>
      <c r="L531" s="38">
        <v>15</v>
      </c>
      <c r="M531" s="38">
        <v>1</v>
      </c>
      <c r="N531" s="39">
        <f t="shared" si="65"/>
        <v>420000</v>
      </c>
      <c r="O531" s="38">
        <v>0</v>
      </c>
      <c r="P531" s="38">
        <v>0</v>
      </c>
      <c r="Q531" s="39">
        <f t="shared" si="66"/>
        <v>0</v>
      </c>
      <c r="R531" s="38">
        <v>0</v>
      </c>
      <c r="S531" s="38">
        <v>0</v>
      </c>
      <c r="T531" s="39">
        <f t="shared" si="67"/>
        <v>0</v>
      </c>
      <c r="U531" s="38">
        <v>15</v>
      </c>
      <c r="V531" s="38">
        <v>1</v>
      </c>
      <c r="W531" s="39">
        <f t="shared" si="68"/>
        <v>420000</v>
      </c>
      <c r="X531" s="38"/>
      <c r="Y531" s="38"/>
      <c r="Z531" s="39">
        <f t="shared" si="69"/>
        <v>0</v>
      </c>
      <c r="AA531" s="38"/>
      <c r="AB531" s="38"/>
      <c r="AC531" s="39">
        <f t="shared" si="70"/>
        <v>0</v>
      </c>
      <c r="AD531" s="38"/>
      <c r="AE531" s="38"/>
      <c r="AF531" s="39">
        <f t="shared" si="71"/>
        <v>0</v>
      </c>
    </row>
    <row r="532" spans="2:32" ht="15" customHeight="1" x14ac:dyDescent="0.3">
      <c r="B532" s="2" t="s">
        <v>836</v>
      </c>
      <c r="C532" s="4" t="s">
        <v>1051</v>
      </c>
      <c r="D532" s="3" t="s">
        <v>1070</v>
      </c>
      <c r="E532" s="6" t="s">
        <v>1071</v>
      </c>
      <c r="F532" s="6" t="s">
        <v>1004</v>
      </c>
      <c r="G532" s="6" t="s">
        <v>716</v>
      </c>
      <c r="H532" s="25">
        <v>39000</v>
      </c>
      <c r="I532" s="38">
        <v>0</v>
      </c>
      <c r="J532" s="38">
        <v>0</v>
      </c>
      <c r="K532" s="39">
        <f t="shared" si="64"/>
        <v>0</v>
      </c>
      <c r="L532" s="38">
        <v>25</v>
      </c>
      <c r="M532" s="38">
        <v>5</v>
      </c>
      <c r="N532" s="39">
        <f t="shared" si="65"/>
        <v>4875000</v>
      </c>
      <c r="O532" s="38">
        <v>0</v>
      </c>
      <c r="P532" s="38">
        <v>0</v>
      </c>
      <c r="Q532" s="39">
        <f t="shared" si="66"/>
        <v>0</v>
      </c>
      <c r="R532" s="38">
        <v>0</v>
      </c>
      <c r="S532" s="38">
        <v>0</v>
      </c>
      <c r="T532" s="39">
        <f t="shared" si="67"/>
        <v>0</v>
      </c>
      <c r="U532" s="38">
        <v>25</v>
      </c>
      <c r="V532" s="38">
        <v>5</v>
      </c>
      <c r="W532" s="39">
        <f t="shared" si="68"/>
        <v>4875000</v>
      </c>
      <c r="X532" s="38"/>
      <c r="Y532" s="38"/>
      <c r="Z532" s="39">
        <f t="shared" si="69"/>
        <v>0</v>
      </c>
      <c r="AA532" s="38"/>
      <c r="AB532" s="38"/>
      <c r="AC532" s="39">
        <f t="shared" si="70"/>
        <v>0</v>
      </c>
      <c r="AD532" s="38"/>
      <c r="AE532" s="38"/>
      <c r="AF532" s="39">
        <f t="shared" si="71"/>
        <v>0</v>
      </c>
    </row>
    <row r="533" spans="2:32" ht="15" customHeight="1" x14ac:dyDescent="0.3">
      <c r="B533" s="2" t="s">
        <v>836</v>
      </c>
      <c r="C533" s="4" t="s">
        <v>1051</v>
      </c>
      <c r="D533" s="3" t="s">
        <v>1070</v>
      </c>
      <c r="E533" s="6" t="s">
        <v>1071</v>
      </c>
      <c r="F533" s="6" t="s">
        <v>1004</v>
      </c>
      <c r="G533" s="6" t="s">
        <v>712</v>
      </c>
      <c r="H533" s="25">
        <v>214.29</v>
      </c>
      <c r="I533" s="38">
        <v>0</v>
      </c>
      <c r="J533" s="38">
        <v>0</v>
      </c>
      <c r="K533" s="39">
        <f t="shared" si="64"/>
        <v>0</v>
      </c>
      <c r="L533" s="38">
        <v>25</v>
      </c>
      <c r="M533" s="38">
        <v>5</v>
      </c>
      <c r="N533" s="39">
        <f t="shared" si="65"/>
        <v>26786.25</v>
      </c>
      <c r="O533" s="38">
        <v>0</v>
      </c>
      <c r="P533" s="38">
        <v>0</v>
      </c>
      <c r="Q533" s="39">
        <f t="shared" si="66"/>
        <v>0</v>
      </c>
      <c r="R533" s="38">
        <v>0</v>
      </c>
      <c r="S533" s="38">
        <v>0</v>
      </c>
      <c r="T533" s="39">
        <f t="shared" si="67"/>
        <v>0</v>
      </c>
      <c r="U533" s="38">
        <v>25</v>
      </c>
      <c r="V533" s="38">
        <v>5</v>
      </c>
      <c r="W533" s="39">
        <f t="shared" si="68"/>
        <v>26786.25</v>
      </c>
      <c r="X533" s="38"/>
      <c r="Y533" s="38"/>
      <c r="Z533" s="39">
        <f t="shared" si="69"/>
        <v>0</v>
      </c>
      <c r="AA533" s="38"/>
      <c r="AB533" s="38"/>
      <c r="AC533" s="39">
        <f t="shared" si="70"/>
        <v>0</v>
      </c>
      <c r="AD533" s="38"/>
      <c r="AE533" s="38"/>
      <c r="AF533" s="39">
        <f t="shared" si="71"/>
        <v>0</v>
      </c>
    </row>
    <row r="534" spans="2:32" ht="15" customHeight="1" x14ac:dyDescent="0.3">
      <c r="B534" s="2" t="s">
        <v>836</v>
      </c>
      <c r="C534" s="4" t="s">
        <v>1051</v>
      </c>
      <c r="D534" s="3" t="s">
        <v>1070</v>
      </c>
      <c r="E534" s="6" t="s">
        <v>1071</v>
      </c>
      <c r="F534" s="6" t="s">
        <v>1042</v>
      </c>
      <c r="G534" s="6" t="s">
        <v>841</v>
      </c>
      <c r="H534" s="25">
        <v>0</v>
      </c>
      <c r="I534" s="38">
        <v>0</v>
      </c>
      <c r="J534" s="38">
        <v>0</v>
      </c>
      <c r="K534" s="39">
        <f t="shared" si="64"/>
        <v>0</v>
      </c>
      <c r="L534" s="38">
        <v>6000</v>
      </c>
      <c r="M534" s="38">
        <v>1</v>
      </c>
      <c r="N534" s="39">
        <f t="shared" si="65"/>
        <v>0</v>
      </c>
      <c r="O534" s="38">
        <v>0</v>
      </c>
      <c r="P534" s="38">
        <v>0</v>
      </c>
      <c r="Q534" s="39">
        <f t="shared" si="66"/>
        <v>0</v>
      </c>
      <c r="R534" s="38">
        <v>0</v>
      </c>
      <c r="S534" s="38">
        <v>0</v>
      </c>
      <c r="T534" s="39">
        <f t="shared" si="67"/>
        <v>0</v>
      </c>
      <c r="U534" s="38">
        <v>6000</v>
      </c>
      <c r="V534" s="38">
        <v>1</v>
      </c>
      <c r="W534" s="39">
        <f t="shared" si="68"/>
        <v>0</v>
      </c>
      <c r="X534" s="38"/>
      <c r="Y534" s="38"/>
      <c r="Z534" s="39">
        <f t="shared" si="69"/>
        <v>0</v>
      </c>
      <c r="AA534" s="38"/>
      <c r="AB534" s="38"/>
      <c r="AC534" s="39">
        <f t="shared" si="70"/>
        <v>0</v>
      </c>
      <c r="AD534" s="38"/>
      <c r="AE534" s="38"/>
      <c r="AF534" s="39">
        <f t="shared" si="71"/>
        <v>0</v>
      </c>
    </row>
    <row r="535" spans="2:32" ht="15" customHeight="1" x14ac:dyDescent="0.3">
      <c r="B535" s="2" t="s">
        <v>836</v>
      </c>
      <c r="C535" s="4" t="s">
        <v>1051</v>
      </c>
      <c r="D535" s="3" t="s">
        <v>1070</v>
      </c>
      <c r="E535" s="6" t="s">
        <v>1071</v>
      </c>
      <c r="F535" s="6" t="s">
        <v>177</v>
      </c>
      <c r="G535" s="6" t="s">
        <v>709</v>
      </c>
      <c r="H535" s="25">
        <v>28000</v>
      </c>
      <c r="I535" s="38">
        <v>0</v>
      </c>
      <c r="J535" s="38">
        <v>0</v>
      </c>
      <c r="K535" s="39">
        <f t="shared" si="64"/>
        <v>0</v>
      </c>
      <c r="L535" s="38">
        <v>4000</v>
      </c>
      <c r="M535" s="38">
        <v>1</v>
      </c>
      <c r="N535" s="39">
        <f t="shared" si="65"/>
        <v>112000000</v>
      </c>
      <c r="O535" s="38">
        <v>0</v>
      </c>
      <c r="P535" s="38">
        <v>0</v>
      </c>
      <c r="Q535" s="39">
        <f t="shared" si="66"/>
        <v>0</v>
      </c>
      <c r="R535" s="38">
        <v>0</v>
      </c>
      <c r="S535" s="38">
        <v>0</v>
      </c>
      <c r="T535" s="39">
        <f t="shared" si="67"/>
        <v>0</v>
      </c>
      <c r="U535" s="38">
        <v>4000</v>
      </c>
      <c r="V535" s="38">
        <v>1</v>
      </c>
      <c r="W535" s="39">
        <f t="shared" si="68"/>
        <v>112000000</v>
      </c>
      <c r="X535" s="38"/>
      <c r="Y535" s="38"/>
      <c r="Z535" s="39">
        <f t="shared" si="69"/>
        <v>0</v>
      </c>
      <c r="AA535" s="38"/>
      <c r="AB535" s="38"/>
      <c r="AC535" s="39">
        <f t="shared" si="70"/>
        <v>0</v>
      </c>
      <c r="AD535" s="38"/>
      <c r="AE535" s="38"/>
      <c r="AF535" s="39">
        <f t="shared" si="71"/>
        <v>0</v>
      </c>
    </row>
    <row r="536" spans="2:32" ht="15" customHeight="1" x14ac:dyDescent="0.3">
      <c r="B536" s="2" t="s">
        <v>836</v>
      </c>
      <c r="C536" s="4" t="s">
        <v>1051</v>
      </c>
      <c r="D536" s="3" t="s">
        <v>1070</v>
      </c>
      <c r="E536" s="6" t="s">
        <v>1071</v>
      </c>
      <c r="F536" s="6" t="s">
        <v>177</v>
      </c>
      <c r="G536" s="6" t="s">
        <v>716</v>
      </c>
      <c r="H536" s="25">
        <v>39000</v>
      </c>
      <c r="I536" s="38">
        <v>0</v>
      </c>
      <c r="J536" s="38">
        <v>0</v>
      </c>
      <c r="K536" s="39">
        <f t="shared" si="64"/>
        <v>0</v>
      </c>
      <c r="L536" s="38">
        <v>35</v>
      </c>
      <c r="M536" s="38">
        <v>1</v>
      </c>
      <c r="N536" s="39">
        <f t="shared" si="65"/>
        <v>1365000</v>
      </c>
      <c r="O536" s="38">
        <v>0</v>
      </c>
      <c r="P536" s="38">
        <v>0</v>
      </c>
      <c r="Q536" s="39">
        <f t="shared" si="66"/>
        <v>0</v>
      </c>
      <c r="R536" s="38">
        <v>0</v>
      </c>
      <c r="S536" s="38">
        <v>0</v>
      </c>
      <c r="T536" s="39">
        <f t="shared" si="67"/>
        <v>0</v>
      </c>
      <c r="U536" s="38">
        <v>35</v>
      </c>
      <c r="V536" s="38">
        <v>1</v>
      </c>
      <c r="W536" s="39">
        <f t="shared" si="68"/>
        <v>1365000</v>
      </c>
      <c r="X536" s="38"/>
      <c r="Y536" s="38"/>
      <c r="Z536" s="39">
        <f t="shared" si="69"/>
        <v>0</v>
      </c>
      <c r="AA536" s="38"/>
      <c r="AB536" s="38"/>
      <c r="AC536" s="39">
        <f t="shared" si="70"/>
        <v>0</v>
      </c>
      <c r="AD536" s="38"/>
      <c r="AE536" s="38"/>
      <c r="AF536" s="39">
        <f t="shared" si="71"/>
        <v>0</v>
      </c>
    </row>
    <row r="537" spans="2:32" ht="15" customHeight="1" x14ac:dyDescent="0.3">
      <c r="B537" s="2" t="s">
        <v>836</v>
      </c>
      <c r="C537" s="4" t="s">
        <v>1051</v>
      </c>
      <c r="D537" s="3" t="s">
        <v>1070</v>
      </c>
      <c r="E537" s="6" t="s">
        <v>1071</v>
      </c>
      <c r="F537" s="6" t="s">
        <v>177</v>
      </c>
      <c r="G537" s="6" t="s">
        <v>712</v>
      </c>
      <c r="H537" s="25">
        <v>214.29</v>
      </c>
      <c r="I537" s="38">
        <v>0</v>
      </c>
      <c r="J537" s="38">
        <v>0</v>
      </c>
      <c r="K537" s="39">
        <f t="shared" si="64"/>
        <v>0</v>
      </c>
      <c r="L537" s="38">
        <v>50</v>
      </c>
      <c r="M537" s="38">
        <v>1</v>
      </c>
      <c r="N537" s="39">
        <f t="shared" si="65"/>
        <v>10714.5</v>
      </c>
      <c r="O537" s="38">
        <v>0</v>
      </c>
      <c r="P537" s="38">
        <v>0</v>
      </c>
      <c r="Q537" s="39">
        <f t="shared" si="66"/>
        <v>0</v>
      </c>
      <c r="R537" s="38">
        <v>0</v>
      </c>
      <c r="S537" s="38">
        <v>0</v>
      </c>
      <c r="T537" s="39">
        <f t="shared" si="67"/>
        <v>0</v>
      </c>
      <c r="U537" s="38">
        <v>50</v>
      </c>
      <c r="V537" s="38">
        <v>1</v>
      </c>
      <c r="W537" s="39">
        <f t="shared" si="68"/>
        <v>10714.5</v>
      </c>
      <c r="X537" s="38"/>
      <c r="Y537" s="38"/>
      <c r="Z537" s="39">
        <f t="shared" si="69"/>
        <v>0</v>
      </c>
      <c r="AA537" s="38"/>
      <c r="AB537" s="38"/>
      <c r="AC537" s="39">
        <f t="shared" si="70"/>
        <v>0</v>
      </c>
      <c r="AD537" s="38"/>
      <c r="AE537" s="38"/>
      <c r="AF537" s="39">
        <f t="shared" si="71"/>
        <v>0</v>
      </c>
    </row>
    <row r="538" spans="2:32" ht="15" customHeight="1" x14ac:dyDescent="0.3">
      <c r="B538" s="2" t="s">
        <v>836</v>
      </c>
      <c r="C538" s="4" t="s">
        <v>1051</v>
      </c>
      <c r="D538" s="3" t="s">
        <v>1070</v>
      </c>
      <c r="E538" s="6" t="s">
        <v>1071</v>
      </c>
      <c r="F538" s="6" t="s">
        <v>1073</v>
      </c>
      <c r="G538" s="6" t="s">
        <v>709</v>
      </c>
      <c r="H538" s="25">
        <v>280000</v>
      </c>
      <c r="I538" s="38">
        <v>0</v>
      </c>
      <c r="J538" s="38">
        <v>0</v>
      </c>
      <c r="K538" s="39">
        <f t="shared" si="64"/>
        <v>0</v>
      </c>
      <c r="L538" s="38">
        <v>8000</v>
      </c>
      <c r="M538" s="38">
        <v>1</v>
      </c>
      <c r="N538" s="39">
        <f t="shared" si="65"/>
        <v>2240000000</v>
      </c>
      <c r="O538" s="38">
        <v>0</v>
      </c>
      <c r="P538" s="38">
        <v>0</v>
      </c>
      <c r="Q538" s="39">
        <f t="shared" si="66"/>
        <v>0</v>
      </c>
      <c r="R538" s="38">
        <v>0</v>
      </c>
      <c r="S538" s="38">
        <v>0</v>
      </c>
      <c r="T538" s="39">
        <f t="shared" si="67"/>
        <v>0</v>
      </c>
      <c r="U538" s="38">
        <v>8000</v>
      </c>
      <c r="V538" s="38">
        <v>1</v>
      </c>
      <c r="W538" s="39">
        <f t="shared" si="68"/>
        <v>2240000000</v>
      </c>
      <c r="X538" s="38"/>
      <c r="Y538" s="38"/>
      <c r="Z538" s="39">
        <f t="shared" si="69"/>
        <v>0</v>
      </c>
      <c r="AA538" s="38"/>
      <c r="AB538" s="38"/>
      <c r="AC538" s="39">
        <f t="shared" si="70"/>
        <v>0</v>
      </c>
      <c r="AD538" s="38"/>
      <c r="AE538" s="38"/>
      <c r="AF538" s="39">
        <f t="shared" si="71"/>
        <v>0</v>
      </c>
    </row>
    <row r="539" spans="2:32" ht="15" customHeight="1" x14ac:dyDescent="0.3">
      <c r="B539" s="2" t="s">
        <v>836</v>
      </c>
      <c r="C539" s="4" t="s">
        <v>1051</v>
      </c>
      <c r="D539" s="3" t="s">
        <v>1070</v>
      </c>
      <c r="E539" s="6" t="s">
        <v>1071</v>
      </c>
      <c r="F539" s="6" t="s">
        <v>1074</v>
      </c>
      <c r="G539" s="6" t="s">
        <v>841</v>
      </c>
      <c r="H539" s="25">
        <v>0</v>
      </c>
      <c r="I539" s="38">
        <v>0</v>
      </c>
      <c r="J539" s="38">
        <v>0</v>
      </c>
      <c r="K539" s="39">
        <f t="shared" si="64"/>
        <v>0</v>
      </c>
      <c r="L539" s="38">
        <v>20</v>
      </c>
      <c r="M539" s="38">
        <v>0.5</v>
      </c>
      <c r="N539" s="39">
        <f t="shared" si="65"/>
        <v>0</v>
      </c>
      <c r="O539" s="38">
        <v>0</v>
      </c>
      <c r="P539" s="38">
        <v>0</v>
      </c>
      <c r="Q539" s="39">
        <f t="shared" si="66"/>
        <v>0</v>
      </c>
      <c r="R539" s="38">
        <v>0</v>
      </c>
      <c r="S539" s="38">
        <v>0</v>
      </c>
      <c r="T539" s="39">
        <f t="shared" si="67"/>
        <v>0</v>
      </c>
      <c r="U539" s="38">
        <v>20</v>
      </c>
      <c r="V539" s="38">
        <v>0.5</v>
      </c>
      <c r="W539" s="39">
        <f t="shared" si="68"/>
        <v>0</v>
      </c>
      <c r="X539" s="38"/>
      <c r="Y539" s="38"/>
      <c r="Z539" s="39">
        <f t="shared" si="69"/>
        <v>0</v>
      </c>
      <c r="AA539" s="38"/>
      <c r="AB539" s="38"/>
      <c r="AC539" s="39">
        <f t="shared" si="70"/>
        <v>0</v>
      </c>
      <c r="AD539" s="38"/>
      <c r="AE539" s="38"/>
      <c r="AF539" s="39">
        <f t="shared" si="71"/>
        <v>0</v>
      </c>
    </row>
    <row r="540" spans="2:32" ht="15" customHeight="1" x14ac:dyDescent="0.3">
      <c r="B540" s="2" t="s">
        <v>836</v>
      </c>
      <c r="C540" s="4" t="s">
        <v>1051</v>
      </c>
      <c r="D540" s="3" t="s">
        <v>1070</v>
      </c>
      <c r="E540" s="6" t="s">
        <v>1071</v>
      </c>
      <c r="F540" s="6" t="s">
        <v>1075</v>
      </c>
      <c r="G540" s="6" t="s">
        <v>709</v>
      </c>
      <c r="H540" s="25">
        <v>28000</v>
      </c>
      <c r="I540" s="38">
        <v>0</v>
      </c>
      <c r="J540" s="38">
        <v>0</v>
      </c>
      <c r="K540" s="39">
        <f t="shared" si="64"/>
        <v>0</v>
      </c>
      <c r="L540" s="38">
        <v>10</v>
      </c>
      <c r="M540" s="38">
        <v>1</v>
      </c>
      <c r="N540" s="39">
        <f t="shared" si="65"/>
        <v>280000</v>
      </c>
      <c r="O540" s="38">
        <v>0</v>
      </c>
      <c r="P540" s="38">
        <v>0</v>
      </c>
      <c r="Q540" s="39">
        <f t="shared" si="66"/>
        <v>0</v>
      </c>
      <c r="R540" s="38">
        <v>0</v>
      </c>
      <c r="S540" s="38">
        <v>0</v>
      </c>
      <c r="T540" s="39">
        <f t="shared" si="67"/>
        <v>0</v>
      </c>
      <c r="U540" s="38">
        <v>10</v>
      </c>
      <c r="V540" s="38">
        <v>1</v>
      </c>
      <c r="W540" s="39">
        <f t="shared" si="68"/>
        <v>280000</v>
      </c>
      <c r="X540" s="38"/>
      <c r="Y540" s="38"/>
      <c r="Z540" s="39">
        <f t="shared" si="69"/>
        <v>0</v>
      </c>
      <c r="AA540" s="38"/>
      <c r="AB540" s="38"/>
      <c r="AC540" s="39">
        <f t="shared" si="70"/>
        <v>0</v>
      </c>
      <c r="AD540" s="38"/>
      <c r="AE540" s="38"/>
      <c r="AF540" s="39">
        <f t="shared" si="71"/>
        <v>0</v>
      </c>
    </row>
    <row r="541" spans="2:32" ht="15" customHeight="1" x14ac:dyDescent="0.3">
      <c r="B541" s="2" t="s">
        <v>836</v>
      </c>
      <c r="C541" s="4" t="s">
        <v>1051</v>
      </c>
      <c r="D541" s="3" t="s">
        <v>1070</v>
      </c>
      <c r="E541" s="6" t="s">
        <v>1071</v>
      </c>
      <c r="F541" s="6" t="s">
        <v>1075</v>
      </c>
      <c r="G541" s="6" t="s">
        <v>716</v>
      </c>
      <c r="H541" s="25">
        <v>39000</v>
      </c>
      <c r="I541" s="38">
        <v>0</v>
      </c>
      <c r="J541" s="38">
        <v>0</v>
      </c>
      <c r="K541" s="39">
        <f t="shared" si="64"/>
        <v>0</v>
      </c>
      <c r="L541" s="38">
        <v>350</v>
      </c>
      <c r="M541" s="38">
        <v>10</v>
      </c>
      <c r="N541" s="39">
        <f t="shared" si="65"/>
        <v>136500000</v>
      </c>
      <c r="O541" s="38">
        <v>0</v>
      </c>
      <c r="P541" s="38">
        <v>0</v>
      </c>
      <c r="Q541" s="39">
        <f t="shared" si="66"/>
        <v>0</v>
      </c>
      <c r="R541" s="38">
        <v>0</v>
      </c>
      <c r="S541" s="38">
        <v>0</v>
      </c>
      <c r="T541" s="39">
        <f t="shared" si="67"/>
        <v>0</v>
      </c>
      <c r="U541" s="38">
        <v>350</v>
      </c>
      <c r="V541" s="38">
        <v>10</v>
      </c>
      <c r="W541" s="39">
        <f t="shared" si="68"/>
        <v>136500000</v>
      </c>
      <c r="X541" s="38"/>
      <c r="Y541" s="38"/>
      <c r="Z541" s="39">
        <f t="shared" si="69"/>
        <v>0</v>
      </c>
      <c r="AA541" s="38"/>
      <c r="AB541" s="38"/>
      <c r="AC541" s="39">
        <f t="shared" si="70"/>
        <v>0</v>
      </c>
      <c r="AD541" s="38"/>
      <c r="AE541" s="38"/>
      <c r="AF541" s="39">
        <f t="shared" si="71"/>
        <v>0</v>
      </c>
    </row>
    <row r="542" spans="2:32" ht="15" customHeight="1" x14ac:dyDescent="0.3">
      <c r="B542" s="2" t="s">
        <v>836</v>
      </c>
      <c r="C542" s="4" t="s">
        <v>1051</v>
      </c>
      <c r="D542" s="3" t="s">
        <v>1070</v>
      </c>
      <c r="E542" s="6" t="s">
        <v>1071</v>
      </c>
      <c r="F542" s="6" t="s">
        <v>1075</v>
      </c>
      <c r="G542" s="6" t="s">
        <v>712</v>
      </c>
      <c r="H542" s="25">
        <v>214.29</v>
      </c>
      <c r="I542" s="38">
        <v>0</v>
      </c>
      <c r="J542" s="38">
        <v>0</v>
      </c>
      <c r="K542" s="39">
        <f t="shared" si="64"/>
        <v>0</v>
      </c>
      <c r="L542" s="38">
        <v>3</v>
      </c>
      <c r="M542" s="38">
        <v>348</v>
      </c>
      <c r="N542" s="39">
        <f t="shared" si="65"/>
        <v>223718.76</v>
      </c>
      <c r="O542" s="38">
        <v>0</v>
      </c>
      <c r="P542" s="38">
        <v>0</v>
      </c>
      <c r="Q542" s="39">
        <f t="shared" si="66"/>
        <v>0</v>
      </c>
      <c r="R542" s="38">
        <v>0</v>
      </c>
      <c r="S542" s="38">
        <v>0</v>
      </c>
      <c r="T542" s="39">
        <f t="shared" si="67"/>
        <v>0</v>
      </c>
      <c r="U542" s="38">
        <v>3</v>
      </c>
      <c r="V542" s="38">
        <v>348</v>
      </c>
      <c r="W542" s="39">
        <f t="shared" si="68"/>
        <v>223718.76</v>
      </c>
      <c r="X542" s="38"/>
      <c r="Y542" s="38"/>
      <c r="Z542" s="39">
        <f t="shared" si="69"/>
        <v>0</v>
      </c>
      <c r="AA542" s="38"/>
      <c r="AB542" s="38"/>
      <c r="AC542" s="39">
        <f t="shared" si="70"/>
        <v>0</v>
      </c>
      <c r="AD542" s="38"/>
      <c r="AE542" s="38"/>
      <c r="AF542" s="39">
        <f t="shared" si="71"/>
        <v>0</v>
      </c>
    </row>
    <row r="543" spans="2:32" ht="15" customHeight="1" x14ac:dyDescent="0.3">
      <c r="B543" s="2" t="s">
        <v>836</v>
      </c>
      <c r="C543" s="4" t="s">
        <v>1051</v>
      </c>
      <c r="D543" s="3" t="s">
        <v>1070</v>
      </c>
      <c r="E543" s="6" t="s">
        <v>1071</v>
      </c>
      <c r="F543" s="6" t="s">
        <v>869</v>
      </c>
      <c r="G543" s="6" t="s">
        <v>841</v>
      </c>
      <c r="H543" s="25">
        <v>0</v>
      </c>
      <c r="I543" s="38">
        <v>0</v>
      </c>
      <c r="J543" s="38">
        <v>0</v>
      </c>
      <c r="K543" s="39">
        <f t="shared" si="64"/>
        <v>0</v>
      </c>
      <c r="L543" s="38">
        <v>20000</v>
      </c>
      <c r="M543" s="38">
        <v>2</v>
      </c>
      <c r="N543" s="39">
        <f t="shared" si="65"/>
        <v>0</v>
      </c>
      <c r="O543" s="38">
        <v>0</v>
      </c>
      <c r="P543" s="38">
        <v>0</v>
      </c>
      <c r="Q543" s="39">
        <f t="shared" si="66"/>
        <v>0</v>
      </c>
      <c r="R543" s="38">
        <v>0</v>
      </c>
      <c r="S543" s="38">
        <v>0</v>
      </c>
      <c r="T543" s="39">
        <f t="shared" si="67"/>
        <v>0</v>
      </c>
      <c r="U543" s="38">
        <v>20000</v>
      </c>
      <c r="V543" s="38">
        <v>2</v>
      </c>
      <c r="W543" s="39">
        <f t="shared" si="68"/>
        <v>0</v>
      </c>
      <c r="X543" s="38"/>
      <c r="Y543" s="38"/>
      <c r="Z543" s="39">
        <f t="shared" si="69"/>
        <v>0</v>
      </c>
      <c r="AA543" s="38"/>
      <c r="AB543" s="38"/>
      <c r="AC543" s="39">
        <f t="shared" si="70"/>
        <v>0</v>
      </c>
      <c r="AD543" s="38"/>
      <c r="AE543" s="38"/>
      <c r="AF543" s="39">
        <f t="shared" si="71"/>
        <v>0</v>
      </c>
    </row>
    <row r="544" spans="2:32" ht="15" customHeight="1" x14ac:dyDescent="0.3">
      <c r="B544" s="2" t="s">
        <v>836</v>
      </c>
      <c r="C544" s="4" t="s">
        <v>1051</v>
      </c>
      <c r="D544" s="3" t="s">
        <v>1070</v>
      </c>
      <c r="E544" s="6" t="s">
        <v>1071</v>
      </c>
      <c r="F544" s="6" t="s">
        <v>946</v>
      </c>
      <c r="G544" s="6" t="s">
        <v>841</v>
      </c>
      <c r="H544" s="25">
        <v>0</v>
      </c>
      <c r="I544" s="38">
        <v>0</v>
      </c>
      <c r="J544" s="38">
        <v>0</v>
      </c>
      <c r="K544" s="39">
        <f t="shared" si="64"/>
        <v>0</v>
      </c>
      <c r="L544" s="38">
        <v>0</v>
      </c>
      <c r="M544" s="38">
        <v>0</v>
      </c>
      <c r="N544" s="39">
        <f t="shared" si="65"/>
        <v>0</v>
      </c>
      <c r="O544" s="38">
        <v>0</v>
      </c>
      <c r="P544" s="38">
        <v>0</v>
      </c>
      <c r="Q544" s="39">
        <f t="shared" si="66"/>
        <v>0</v>
      </c>
      <c r="R544" s="38">
        <v>0</v>
      </c>
      <c r="S544" s="38">
        <v>0</v>
      </c>
      <c r="T544" s="39">
        <f t="shared" si="67"/>
        <v>0</v>
      </c>
      <c r="U544" s="38">
        <v>0</v>
      </c>
      <c r="V544" s="38">
        <v>0</v>
      </c>
      <c r="W544" s="39">
        <f t="shared" si="68"/>
        <v>0</v>
      </c>
      <c r="X544" s="38"/>
      <c r="Y544" s="38"/>
      <c r="Z544" s="39">
        <f t="shared" si="69"/>
        <v>0</v>
      </c>
      <c r="AA544" s="38"/>
      <c r="AB544" s="38"/>
      <c r="AC544" s="39">
        <f t="shared" si="70"/>
        <v>0</v>
      </c>
      <c r="AD544" s="38"/>
      <c r="AE544" s="38"/>
      <c r="AF544" s="39">
        <f t="shared" si="71"/>
        <v>0</v>
      </c>
    </row>
    <row r="545" spans="2:32" ht="15" customHeight="1" x14ac:dyDescent="0.3">
      <c r="B545" s="2" t="s">
        <v>836</v>
      </c>
      <c r="C545" s="4" t="s">
        <v>1076</v>
      </c>
      <c r="D545" s="3" t="s">
        <v>1077</v>
      </c>
      <c r="E545" s="6" t="s">
        <v>1078</v>
      </c>
      <c r="F545" s="6" t="s">
        <v>155</v>
      </c>
      <c r="G545" s="6" t="s">
        <v>841</v>
      </c>
      <c r="H545" s="25">
        <v>0</v>
      </c>
      <c r="I545" s="38">
        <v>0</v>
      </c>
      <c r="J545" s="38">
        <v>0</v>
      </c>
      <c r="K545" s="39">
        <f t="shared" si="64"/>
        <v>0</v>
      </c>
      <c r="L545" s="38">
        <v>0</v>
      </c>
      <c r="M545" s="38">
        <v>0</v>
      </c>
      <c r="N545" s="39">
        <f t="shared" si="65"/>
        <v>0</v>
      </c>
      <c r="O545" s="38">
        <v>0</v>
      </c>
      <c r="P545" s="38">
        <v>0</v>
      </c>
      <c r="Q545" s="39">
        <f t="shared" si="66"/>
        <v>0</v>
      </c>
      <c r="R545" s="38">
        <v>0</v>
      </c>
      <c r="S545" s="38">
        <v>0</v>
      </c>
      <c r="T545" s="39">
        <f t="shared" si="67"/>
        <v>0</v>
      </c>
      <c r="U545" s="38">
        <v>0</v>
      </c>
      <c r="V545" s="38">
        <v>0</v>
      </c>
      <c r="W545" s="39">
        <f t="shared" si="68"/>
        <v>0</v>
      </c>
      <c r="X545" s="38"/>
      <c r="Y545" s="38"/>
      <c r="Z545" s="39">
        <f t="shared" si="69"/>
        <v>0</v>
      </c>
      <c r="AA545" s="38"/>
      <c r="AB545" s="38"/>
      <c r="AC545" s="39">
        <f t="shared" si="70"/>
        <v>0</v>
      </c>
      <c r="AD545" s="38"/>
      <c r="AE545" s="38"/>
      <c r="AF545" s="39">
        <f t="shared" si="71"/>
        <v>0</v>
      </c>
    </row>
    <row r="546" spans="2:32" ht="15" customHeight="1" x14ac:dyDescent="0.3">
      <c r="B546" s="2" t="s">
        <v>836</v>
      </c>
      <c r="C546" s="4" t="s">
        <v>1076</v>
      </c>
      <c r="D546" s="3" t="s">
        <v>1077</v>
      </c>
      <c r="E546" s="6" t="s">
        <v>1078</v>
      </c>
      <c r="F546" s="6" t="s">
        <v>1079</v>
      </c>
      <c r="G546" s="6" t="s">
        <v>709</v>
      </c>
      <c r="H546" s="25">
        <v>28000</v>
      </c>
      <c r="I546" s="38">
        <v>0</v>
      </c>
      <c r="J546" s="38">
        <v>0</v>
      </c>
      <c r="K546" s="39">
        <f t="shared" si="64"/>
        <v>0</v>
      </c>
      <c r="L546" s="38"/>
      <c r="M546" s="38"/>
      <c r="N546" s="39">
        <f t="shared" si="65"/>
        <v>0</v>
      </c>
      <c r="O546" s="38"/>
      <c r="P546" s="38"/>
      <c r="Q546" s="39">
        <f t="shared" si="66"/>
        <v>0</v>
      </c>
      <c r="R546" s="38"/>
      <c r="S546" s="38"/>
      <c r="T546" s="39">
        <f t="shared" si="67"/>
        <v>0</v>
      </c>
      <c r="U546" s="38"/>
      <c r="V546" s="38"/>
      <c r="W546" s="39">
        <f t="shared" si="68"/>
        <v>0</v>
      </c>
      <c r="X546" s="38"/>
      <c r="Y546" s="38"/>
      <c r="Z546" s="39">
        <f t="shared" si="69"/>
        <v>0</v>
      </c>
      <c r="AA546" s="38"/>
      <c r="AB546" s="38"/>
      <c r="AC546" s="39">
        <f t="shared" si="70"/>
        <v>0</v>
      </c>
      <c r="AD546" s="38"/>
      <c r="AE546" s="38"/>
      <c r="AF546" s="39">
        <f t="shared" si="71"/>
        <v>0</v>
      </c>
    </row>
    <row r="547" spans="2:32" ht="15" customHeight="1" x14ac:dyDescent="0.3">
      <c r="B547" s="2" t="s">
        <v>836</v>
      </c>
      <c r="C547" s="4" t="s">
        <v>1076</v>
      </c>
      <c r="D547" s="3" t="s">
        <v>1077</v>
      </c>
      <c r="E547" s="6" t="s">
        <v>1078</v>
      </c>
      <c r="F547" s="6" t="s">
        <v>1079</v>
      </c>
      <c r="G547" s="6" t="s">
        <v>716</v>
      </c>
      <c r="H547" s="25">
        <v>39000</v>
      </c>
      <c r="I547" s="38">
        <v>0</v>
      </c>
      <c r="J547" s="38">
        <v>0</v>
      </c>
      <c r="K547" s="39">
        <f t="shared" si="64"/>
        <v>0</v>
      </c>
      <c r="L547" s="38">
        <v>0</v>
      </c>
      <c r="M547" s="38">
        <v>0</v>
      </c>
      <c r="N547" s="39">
        <f t="shared" si="65"/>
        <v>0</v>
      </c>
      <c r="O547" s="38">
        <v>0</v>
      </c>
      <c r="P547" s="38">
        <v>0</v>
      </c>
      <c r="Q547" s="39">
        <f t="shared" si="66"/>
        <v>0</v>
      </c>
      <c r="R547" s="38">
        <v>0</v>
      </c>
      <c r="S547" s="38">
        <v>0</v>
      </c>
      <c r="T547" s="39">
        <f t="shared" si="67"/>
        <v>0</v>
      </c>
      <c r="U547" s="38">
        <v>0</v>
      </c>
      <c r="V547" s="38">
        <v>0</v>
      </c>
      <c r="W547" s="39">
        <f t="shared" si="68"/>
        <v>0</v>
      </c>
      <c r="X547" s="38"/>
      <c r="Y547" s="38"/>
      <c r="Z547" s="39">
        <f t="shared" si="69"/>
        <v>0</v>
      </c>
      <c r="AA547" s="38"/>
      <c r="AB547" s="38"/>
      <c r="AC547" s="39">
        <f t="shared" si="70"/>
        <v>0</v>
      </c>
      <c r="AD547" s="38"/>
      <c r="AE547" s="38"/>
      <c r="AF547" s="39">
        <f t="shared" si="71"/>
        <v>0</v>
      </c>
    </row>
    <row r="548" spans="2:32" ht="15" customHeight="1" x14ac:dyDescent="0.3">
      <c r="B548" s="2" t="s">
        <v>836</v>
      </c>
      <c r="C548" s="4" t="s">
        <v>1076</v>
      </c>
      <c r="D548" s="3" t="s">
        <v>1077</v>
      </c>
      <c r="E548" s="6" t="s">
        <v>1078</v>
      </c>
      <c r="F548" s="6" t="s">
        <v>1079</v>
      </c>
      <c r="G548" s="6" t="s">
        <v>712</v>
      </c>
      <c r="H548" s="25">
        <v>214.29</v>
      </c>
      <c r="I548" s="38">
        <v>30</v>
      </c>
      <c r="J548" s="38">
        <v>5</v>
      </c>
      <c r="K548" s="39">
        <f t="shared" si="64"/>
        <v>32143.5</v>
      </c>
      <c r="L548" s="38">
        <v>30</v>
      </c>
      <c r="M548" s="38">
        <v>5</v>
      </c>
      <c r="N548" s="39">
        <f t="shared" si="65"/>
        <v>32143.5</v>
      </c>
      <c r="O548" s="38">
        <v>30</v>
      </c>
      <c r="P548" s="38">
        <v>5</v>
      </c>
      <c r="Q548" s="39">
        <f t="shared" si="66"/>
        <v>32143.5</v>
      </c>
      <c r="R548" s="38">
        <v>30</v>
      </c>
      <c r="S548" s="38">
        <v>5</v>
      </c>
      <c r="T548" s="39">
        <f t="shared" si="67"/>
        <v>32143.5</v>
      </c>
      <c r="U548" s="38">
        <v>30</v>
      </c>
      <c r="V548" s="38">
        <v>5</v>
      </c>
      <c r="W548" s="39">
        <f t="shared" si="68"/>
        <v>32143.5</v>
      </c>
      <c r="X548" s="38"/>
      <c r="Y548" s="38"/>
      <c r="Z548" s="39">
        <f t="shared" si="69"/>
        <v>0</v>
      </c>
      <c r="AA548" s="38"/>
      <c r="AB548" s="38"/>
      <c r="AC548" s="39">
        <f t="shared" si="70"/>
        <v>0</v>
      </c>
      <c r="AD548" s="38"/>
      <c r="AE548" s="38"/>
      <c r="AF548" s="39">
        <f t="shared" si="71"/>
        <v>0</v>
      </c>
    </row>
    <row r="549" spans="2:32" ht="15" customHeight="1" x14ac:dyDescent="0.3">
      <c r="B549" s="2" t="s">
        <v>836</v>
      </c>
      <c r="C549" s="4" t="s">
        <v>1076</v>
      </c>
      <c r="D549" s="3" t="s">
        <v>1077</v>
      </c>
      <c r="E549" s="6" t="s">
        <v>1078</v>
      </c>
      <c r="F549" s="6" t="s">
        <v>1080</v>
      </c>
      <c r="G549" s="6" t="s">
        <v>841</v>
      </c>
      <c r="H549" s="25">
        <v>0</v>
      </c>
      <c r="I549" s="38">
        <v>8000</v>
      </c>
      <c r="J549" s="38">
        <v>1</v>
      </c>
      <c r="K549" s="39">
        <f t="shared" si="64"/>
        <v>0</v>
      </c>
      <c r="L549" s="38">
        <v>8000</v>
      </c>
      <c r="M549" s="38">
        <v>1</v>
      </c>
      <c r="N549" s="39">
        <f t="shared" si="65"/>
        <v>0</v>
      </c>
      <c r="O549" s="38">
        <v>8000</v>
      </c>
      <c r="P549" s="38">
        <v>1</v>
      </c>
      <c r="Q549" s="39">
        <f t="shared" si="66"/>
        <v>0</v>
      </c>
      <c r="R549" s="38">
        <v>8000</v>
      </c>
      <c r="S549" s="38">
        <v>1</v>
      </c>
      <c r="T549" s="39">
        <f t="shared" si="67"/>
        <v>0</v>
      </c>
      <c r="U549" s="38">
        <v>8000</v>
      </c>
      <c r="V549" s="38">
        <v>1</v>
      </c>
      <c r="W549" s="39">
        <f t="shared" si="68"/>
        <v>0</v>
      </c>
      <c r="X549" s="38"/>
      <c r="Y549" s="38"/>
      <c r="Z549" s="39">
        <f t="shared" si="69"/>
        <v>0</v>
      </c>
      <c r="AA549" s="38"/>
      <c r="AB549" s="38"/>
      <c r="AC549" s="39">
        <f t="shared" si="70"/>
        <v>0</v>
      </c>
      <c r="AD549" s="38"/>
      <c r="AE549" s="38"/>
      <c r="AF549" s="39">
        <f t="shared" si="71"/>
        <v>0</v>
      </c>
    </row>
    <row r="550" spans="2:32" ht="15" customHeight="1" x14ac:dyDescent="0.3">
      <c r="B550" s="2" t="s">
        <v>836</v>
      </c>
      <c r="C550" s="4" t="s">
        <v>1076</v>
      </c>
      <c r="D550" s="3" t="s">
        <v>1077</v>
      </c>
      <c r="E550" s="6" t="s">
        <v>1078</v>
      </c>
      <c r="F550" s="6" t="s">
        <v>1081</v>
      </c>
      <c r="G550" s="6" t="s">
        <v>841</v>
      </c>
      <c r="H550" s="25">
        <v>0</v>
      </c>
      <c r="I550" s="38">
        <v>0</v>
      </c>
      <c r="J550" s="38">
        <v>0</v>
      </c>
      <c r="K550" s="39">
        <f t="shared" si="64"/>
        <v>0</v>
      </c>
      <c r="L550" s="38">
        <v>0</v>
      </c>
      <c r="M550" s="38">
        <v>0</v>
      </c>
      <c r="N550" s="39">
        <f t="shared" si="65"/>
        <v>0</v>
      </c>
      <c r="O550" s="38">
        <v>0</v>
      </c>
      <c r="P550" s="38">
        <v>0</v>
      </c>
      <c r="Q550" s="39">
        <f t="shared" si="66"/>
        <v>0</v>
      </c>
      <c r="R550" s="38">
        <v>0</v>
      </c>
      <c r="S550" s="38">
        <v>0</v>
      </c>
      <c r="T550" s="39">
        <f t="shared" si="67"/>
        <v>0</v>
      </c>
      <c r="U550" s="38">
        <v>0</v>
      </c>
      <c r="V550" s="38">
        <v>0</v>
      </c>
      <c r="W550" s="39">
        <f t="shared" si="68"/>
        <v>0</v>
      </c>
      <c r="X550" s="38"/>
      <c r="Y550" s="38"/>
      <c r="Z550" s="39">
        <f t="shared" si="69"/>
        <v>0</v>
      </c>
      <c r="AA550" s="38"/>
      <c r="AB550" s="38"/>
      <c r="AC550" s="39">
        <f t="shared" si="70"/>
        <v>0</v>
      </c>
      <c r="AD550" s="38"/>
      <c r="AE550" s="38"/>
      <c r="AF550" s="39">
        <f t="shared" si="71"/>
        <v>0</v>
      </c>
    </row>
    <row r="551" spans="2:32" ht="15" customHeight="1" x14ac:dyDescent="0.3">
      <c r="B551" s="2" t="s">
        <v>836</v>
      </c>
      <c r="C551" s="4" t="s">
        <v>1076</v>
      </c>
      <c r="D551" s="3" t="s">
        <v>1077</v>
      </c>
      <c r="E551" s="6" t="s">
        <v>1082</v>
      </c>
      <c r="F551" s="6" t="s">
        <v>1083</v>
      </c>
      <c r="G551" s="6" t="s">
        <v>709</v>
      </c>
      <c r="H551" s="25">
        <v>28000</v>
      </c>
      <c r="I551" s="38">
        <v>10</v>
      </c>
      <c r="J551" s="38">
        <v>1</v>
      </c>
      <c r="K551" s="39">
        <f t="shared" si="64"/>
        <v>280000</v>
      </c>
      <c r="L551" s="38">
        <v>10</v>
      </c>
      <c r="M551" s="38">
        <v>1</v>
      </c>
      <c r="N551" s="39">
        <f t="shared" si="65"/>
        <v>280000</v>
      </c>
      <c r="O551" s="38">
        <v>10</v>
      </c>
      <c r="P551" s="38">
        <v>1</v>
      </c>
      <c r="Q551" s="39">
        <f t="shared" si="66"/>
        <v>280000</v>
      </c>
      <c r="R551" s="38">
        <v>10</v>
      </c>
      <c r="S551" s="38">
        <v>1</v>
      </c>
      <c r="T551" s="39">
        <f t="shared" si="67"/>
        <v>280000</v>
      </c>
      <c r="U551" s="38">
        <v>10</v>
      </c>
      <c r="V551" s="38">
        <v>1</v>
      </c>
      <c r="W551" s="39">
        <f t="shared" si="68"/>
        <v>280000</v>
      </c>
      <c r="X551" s="38"/>
      <c r="Y551" s="38"/>
      <c r="Z551" s="39">
        <f t="shared" si="69"/>
        <v>0</v>
      </c>
      <c r="AA551" s="38"/>
      <c r="AB551" s="38"/>
      <c r="AC551" s="39">
        <f t="shared" si="70"/>
        <v>0</v>
      </c>
      <c r="AD551" s="38"/>
      <c r="AE551" s="38"/>
      <c r="AF551" s="39">
        <f t="shared" si="71"/>
        <v>0</v>
      </c>
    </row>
    <row r="552" spans="2:32" ht="15" customHeight="1" x14ac:dyDescent="0.3">
      <c r="B552" s="2" t="s">
        <v>836</v>
      </c>
      <c r="C552" s="4" t="s">
        <v>1076</v>
      </c>
      <c r="D552" s="3" t="s">
        <v>1077</v>
      </c>
      <c r="E552" s="6" t="s">
        <v>1082</v>
      </c>
      <c r="F552" s="6" t="s">
        <v>1084</v>
      </c>
      <c r="G552" s="6" t="s">
        <v>841</v>
      </c>
      <c r="H552" s="25">
        <v>0</v>
      </c>
      <c r="I552" s="38">
        <v>20</v>
      </c>
      <c r="J552" s="38">
        <v>1</v>
      </c>
      <c r="K552" s="39">
        <f t="shared" si="64"/>
        <v>0</v>
      </c>
      <c r="L552" s="38">
        <v>20</v>
      </c>
      <c r="M552" s="38">
        <v>1</v>
      </c>
      <c r="N552" s="39">
        <f t="shared" si="65"/>
        <v>0</v>
      </c>
      <c r="O552" s="38">
        <v>20</v>
      </c>
      <c r="P552" s="38">
        <v>1</v>
      </c>
      <c r="Q552" s="39">
        <f t="shared" si="66"/>
        <v>0</v>
      </c>
      <c r="R552" s="38">
        <v>20</v>
      </c>
      <c r="S552" s="38">
        <v>1</v>
      </c>
      <c r="T552" s="39">
        <f t="shared" si="67"/>
        <v>0</v>
      </c>
      <c r="U552" s="38">
        <v>20</v>
      </c>
      <c r="V552" s="38">
        <v>1</v>
      </c>
      <c r="W552" s="39">
        <f t="shared" si="68"/>
        <v>0</v>
      </c>
      <c r="X552" s="38"/>
      <c r="Y552" s="38"/>
      <c r="Z552" s="39">
        <f t="shared" si="69"/>
        <v>0</v>
      </c>
      <c r="AA552" s="38"/>
      <c r="AB552" s="38"/>
      <c r="AC552" s="39">
        <f t="shared" si="70"/>
        <v>0</v>
      </c>
      <c r="AD552" s="38"/>
      <c r="AE552" s="38"/>
      <c r="AF552" s="39">
        <f t="shared" si="71"/>
        <v>0</v>
      </c>
    </row>
    <row r="553" spans="2:32" ht="15" customHeight="1" x14ac:dyDescent="0.3">
      <c r="B553" s="2" t="s">
        <v>836</v>
      </c>
      <c r="C553" s="4" t="s">
        <v>1076</v>
      </c>
      <c r="D553" s="3" t="s">
        <v>1077</v>
      </c>
      <c r="E553" s="6" t="s">
        <v>1082</v>
      </c>
      <c r="F553" s="6" t="s">
        <v>1085</v>
      </c>
      <c r="G553" s="6" t="s">
        <v>841</v>
      </c>
      <c r="H553" s="25">
        <v>0</v>
      </c>
      <c r="I553" s="38">
        <v>5</v>
      </c>
      <c r="J553" s="38">
        <v>5</v>
      </c>
      <c r="K553" s="39">
        <f t="shared" si="64"/>
        <v>0</v>
      </c>
      <c r="L553" s="38">
        <v>5</v>
      </c>
      <c r="M553" s="38">
        <v>5</v>
      </c>
      <c r="N553" s="39">
        <f t="shared" si="65"/>
        <v>0</v>
      </c>
      <c r="O553" s="38">
        <v>5</v>
      </c>
      <c r="P553" s="38">
        <v>5</v>
      </c>
      <c r="Q553" s="39">
        <f t="shared" si="66"/>
        <v>0</v>
      </c>
      <c r="R553" s="38">
        <v>5</v>
      </c>
      <c r="S553" s="38">
        <v>5</v>
      </c>
      <c r="T553" s="39">
        <f t="shared" si="67"/>
        <v>0</v>
      </c>
      <c r="U553" s="38">
        <v>5</v>
      </c>
      <c r="V553" s="38">
        <v>5</v>
      </c>
      <c r="W553" s="39">
        <f t="shared" si="68"/>
        <v>0</v>
      </c>
      <c r="X553" s="38"/>
      <c r="Y553" s="38"/>
      <c r="Z553" s="39">
        <f t="shared" si="69"/>
        <v>0</v>
      </c>
      <c r="AA553" s="38"/>
      <c r="AB553" s="38"/>
      <c r="AC553" s="39">
        <f t="shared" si="70"/>
        <v>0</v>
      </c>
      <c r="AD553" s="38"/>
      <c r="AE553" s="38"/>
      <c r="AF553" s="39">
        <f t="shared" si="71"/>
        <v>0</v>
      </c>
    </row>
    <row r="554" spans="2:32" ht="15" customHeight="1" x14ac:dyDescent="0.3">
      <c r="B554" s="2" t="s">
        <v>836</v>
      </c>
      <c r="C554" s="4" t="s">
        <v>1076</v>
      </c>
      <c r="D554" s="3" t="s">
        <v>1077</v>
      </c>
      <c r="E554" s="6" t="s">
        <v>1086</v>
      </c>
      <c r="F554" s="6" t="s">
        <v>1087</v>
      </c>
      <c r="G554" s="6" t="s">
        <v>709</v>
      </c>
      <c r="H554" s="25">
        <v>28000</v>
      </c>
      <c r="I554" s="38">
        <v>0</v>
      </c>
      <c r="J554" s="38">
        <v>0</v>
      </c>
      <c r="K554" s="39">
        <f t="shared" si="64"/>
        <v>0</v>
      </c>
      <c r="L554" s="38">
        <v>0</v>
      </c>
      <c r="M554" s="38">
        <v>0</v>
      </c>
      <c r="N554" s="39">
        <f t="shared" si="65"/>
        <v>0</v>
      </c>
      <c r="O554" s="38">
        <v>0</v>
      </c>
      <c r="P554" s="38">
        <v>0</v>
      </c>
      <c r="Q554" s="39">
        <f t="shared" si="66"/>
        <v>0</v>
      </c>
      <c r="R554" s="38">
        <v>0</v>
      </c>
      <c r="S554" s="38">
        <v>0</v>
      </c>
      <c r="T554" s="39">
        <f t="shared" si="67"/>
        <v>0</v>
      </c>
      <c r="U554" s="38">
        <v>0</v>
      </c>
      <c r="V554" s="38">
        <v>0</v>
      </c>
      <c r="W554" s="39">
        <f t="shared" si="68"/>
        <v>0</v>
      </c>
      <c r="X554" s="38"/>
      <c r="Y554" s="38"/>
      <c r="Z554" s="39">
        <f t="shared" si="69"/>
        <v>0</v>
      </c>
      <c r="AA554" s="38"/>
      <c r="AB554" s="38"/>
      <c r="AC554" s="39">
        <f t="shared" si="70"/>
        <v>0</v>
      </c>
      <c r="AD554" s="38"/>
      <c r="AE554" s="38"/>
      <c r="AF554" s="39">
        <f t="shared" si="71"/>
        <v>0</v>
      </c>
    </row>
    <row r="555" spans="2:32" ht="15" customHeight="1" x14ac:dyDescent="0.3">
      <c r="B555" s="2" t="s">
        <v>836</v>
      </c>
      <c r="C555" s="4" t="s">
        <v>1076</v>
      </c>
      <c r="D555" s="3" t="s">
        <v>1077</v>
      </c>
      <c r="E555" s="6" t="s">
        <v>1086</v>
      </c>
      <c r="F555" s="6" t="s">
        <v>1087</v>
      </c>
      <c r="G555" s="6" t="s">
        <v>716</v>
      </c>
      <c r="H555" s="25">
        <v>39000</v>
      </c>
      <c r="I555" s="38">
        <v>20</v>
      </c>
      <c r="J555" s="38">
        <v>3</v>
      </c>
      <c r="K555" s="39">
        <f t="shared" si="64"/>
        <v>2340000</v>
      </c>
      <c r="L555" s="38">
        <v>0</v>
      </c>
      <c r="M555" s="38">
        <v>0</v>
      </c>
      <c r="N555" s="39">
        <f t="shared" si="65"/>
        <v>0</v>
      </c>
      <c r="O555" s="38">
        <v>0</v>
      </c>
      <c r="P555" s="38">
        <v>0</v>
      </c>
      <c r="Q555" s="39">
        <f t="shared" si="66"/>
        <v>0</v>
      </c>
      <c r="R555" s="38">
        <v>0</v>
      </c>
      <c r="S555" s="38">
        <v>0</v>
      </c>
      <c r="T555" s="39">
        <f t="shared" si="67"/>
        <v>0</v>
      </c>
      <c r="U555" s="38">
        <v>20</v>
      </c>
      <c r="V555" s="38">
        <v>3</v>
      </c>
      <c r="W555" s="39">
        <f t="shared" si="68"/>
        <v>2340000</v>
      </c>
      <c r="X555" s="38"/>
      <c r="Y555" s="38"/>
      <c r="Z555" s="39">
        <f t="shared" si="69"/>
        <v>0</v>
      </c>
      <c r="AA555" s="38"/>
      <c r="AB555" s="38"/>
      <c r="AC555" s="39">
        <f t="shared" si="70"/>
        <v>0</v>
      </c>
      <c r="AD555" s="38"/>
      <c r="AE555" s="38"/>
      <c r="AF555" s="39">
        <f t="shared" si="71"/>
        <v>0</v>
      </c>
    </row>
    <row r="556" spans="2:32" ht="15" customHeight="1" x14ac:dyDescent="0.3">
      <c r="B556" s="2" t="s">
        <v>836</v>
      </c>
      <c r="C556" s="4" t="s">
        <v>1076</v>
      </c>
      <c r="D556" s="3" t="s">
        <v>1077</v>
      </c>
      <c r="E556" s="6" t="s">
        <v>1086</v>
      </c>
      <c r="F556" s="6" t="s">
        <v>1087</v>
      </c>
      <c r="G556" s="6" t="s">
        <v>712</v>
      </c>
      <c r="H556" s="25">
        <v>214.29</v>
      </c>
      <c r="I556" s="38">
        <v>20</v>
      </c>
      <c r="J556" s="38">
        <v>3</v>
      </c>
      <c r="K556" s="39">
        <f t="shared" si="64"/>
        <v>12857.400000000001</v>
      </c>
      <c r="L556" s="38">
        <v>0</v>
      </c>
      <c r="M556" s="38">
        <v>0</v>
      </c>
      <c r="N556" s="39">
        <f t="shared" si="65"/>
        <v>0</v>
      </c>
      <c r="O556" s="38">
        <v>0</v>
      </c>
      <c r="P556" s="38">
        <v>0</v>
      </c>
      <c r="Q556" s="39">
        <f t="shared" si="66"/>
        <v>0</v>
      </c>
      <c r="R556" s="38">
        <v>0</v>
      </c>
      <c r="S556" s="38">
        <v>0</v>
      </c>
      <c r="T556" s="39">
        <f t="shared" si="67"/>
        <v>0</v>
      </c>
      <c r="U556" s="38">
        <v>20</v>
      </c>
      <c r="V556" s="38">
        <v>3</v>
      </c>
      <c r="W556" s="39">
        <f t="shared" si="68"/>
        <v>12857.400000000001</v>
      </c>
      <c r="X556" s="38"/>
      <c r="Y556" s="38"/>
      <c r="Z556" s="39">
        <f t="shared" si="69"/>
        <v>0</v>
      </c>
      <c r="AA556" s="38"/>
      <c r="AB556" s="38"/>
      <c r="AC556" s="39">
        <f t="shared" si="70"/>
        <v>0</v>
      </c>
      <c r="AD556" s="38"/>
      <c r="AE556" s="38"/>
      <c r="AF556" s="39">
        <f t="shared" si="71"/>
        <v>0</v>
      </c>
    </row>
    <row r="557" spans="2:32" ht="15" customHeight="1" x14ac:dyDescent="0.3">
      <c r="B557" s="2" t="s">
        <v>836</v>
      </c>
      <c r="C557" s="4" t="s">
        <v>1076</v>
      </c>
      <c r="D557" s="3" t="s">
        <v>1077</v>
      </c>
      <c r="E557" s="6" t="s">
        <v>1088</v>
      </c>
      <c r="F557" s="6" t="s">
        <v>1089</v>
      </c>
      <c r="G557" s="6" t="s">
        <v>709</v>
      </c>
      <c r="H557" s="25">
        <v>28000</v>
      </c>
      <c r="I557" s="38">
        <v>4000</v>
      </c>
      <c r="J557" s="38">
        <v>1</v>
      </c>
      <c r="K557" s="39">
        <f t="shared" si="64"/>
        <v>112000000</v>
      </c>
      <c r="L557" s="38">
        <v>0</v>
      </c>
      <c r="M557" s="38">
        <v>0</v>
      </c>
      <c r="N557" s="39">
        <f t="shared" si="65"/>
        <v>0</v>
      </c>
      <c r="O557" s="38">
        <v>0</v>
      </c>
      <c r="P557" s="38">
        <v>0</v>
      </c>
      <c r="Q557" s="39">
        <f t="shared" si="66"/>
        <v>0</v>
      </c>
      <c r="R557" s="38">
        <v>0</v>
      </c>
      <c r="S557" s="38">
        <v>0</v>
      </c>
      <c r="T557" s="39">
        <f t="shared" si="67"/>
        <v>0</v>
      </c>
      <c r="U557" s="38">
        <v>4000</v>
      </c>
      <c r="V557" s="38">
        <v>1</v>
      </c>
      <c r="W557" s="39">
        <f t="shared" si="68"/>
        <v>112000000</v>
      </c>
      <c r="X557" s="38"/>
      <c r="Y557" s="38"/>
      <c r="Z557" s="39">
        <f t="shared" si="69"/>
        <v>0</v>
      </c>
      <c r="AA557" s="38"/>
      <c r="AB557" s="38"/>
      <c r="AC557" s="39">
        <f t="shared" si="70"/>
        <v>0</v>
      </c>
      <c r="AD557" s="38"/>
      <c r="AE557" s="38"/>
      <c r="AF557" s="39">
        <f t="shared" si="71"/>
        <v>0</v>
      </c>
    </row>
    <row r="558" spans="2:32" ht="15" customHeight="1" x14ac:dyDescent="0.3">
      <c r="B558" s="2" t="s">
        <v>836</v>
      </c>
      <c r="C558" s="4" t="s">
        <v>1076</v>
      </c>
      <c r="D558" s="3" t="s">
        <v>1077</v>
      </c>
      <c r="E558" s="6" t="s">
        <v>1088</v>
      </c>
      <c r="F558" s="6" t="s">
        <v>1089</v>
      </c>
      <c r="G558" s="6" t="s">
        <v>716</v>
      </c>
      <c r="H558" s="25">
        <v>39000</v>
      </c>
      <c r="I558" s="38">
        <v>20</v>
      </c>
      <c r="J558" s="38">
        <v>3</v>
      </c>
      <c r="K558" s="39">
        <f t="shared" si="64"/>
        <v>2340000</v>
      </c>
      <c r="L558" s="38">
        <v>0</v>
      </c>
      <c r="M558" s="38">
        <v>0</v>
      </c>
      <c r="N558" s="39">
        <f t="shared" si="65"/>
        <v>0</v>
      </c>
      <c r="O558" s="38">
        <v>0</v>
      </c>
      <c r="P558" s="38">
        <v>0</v>
      </c>
      <c r="Q558" s="39">
        <f t="shared" si="66"/>
        <v>0</v>
      </c>
      <c r="R558" s="38">
        <v>0</v>
      </c>
      <c r="S558" s="38">
        <v>0</v>
      </c>
      <c r="T558" s="39">
        <f t="shared" si="67"/>
        <v>0</v>
      </c>
      <c r="U558" s="38">
        <v>20</v>
      </c>
      <c r="V558" s="38">
        <v>3</v>
      </c>
      <c r="W558" s="39">
        <f t="shared" si="68"/>
        <v>2340000</v>
      </c>
      <c r="X558" s="38"/>
      <c r="Y558" s="38"/>
      <c r="Z558" s="39">
        <f t="shared" si="69"/>
        <v>0</v>
      </c>
      <c r="AA558" s="38"/>
      <c r="AB558" s="38"/>
      <c r="AC558" s="39">
        <f t="shared" si="70"/>
        <v>0</v>
      </c>
      <c r="AD558" s="38"/>
      <c r="AE558" s="38"/>
      <c r="AF558" s="39">
        <f t="shared" si="71"/>
        <v>0</v>
      </c>
    </row>
    <row r="559" spans="2:32" ht="15" customHeight="1" x14ac:dyDescent="0.3">
      <c r="B559" s="2" t="s">
        <v>836</v>
      </c>
      <c r="C559" s="4" t="s">
        <v>1076</v>
      </c>
      <c r="D559" s="3" t="s">
        <v>1077</v>
      </c>
      <c r="E559" s="6" t="s">
        <v>1088</v>
      </c>
      <c r="F559" s="6" t="s">
        <v>1089</v>
      </c>
      <c r="G559" s="6" t="s">
        <v>712</v>
      </c>
      <c r="H559" s="25">
        <v>214.29</v>
      </c>
      <c r="I559" s="38">
        <v>20</v>
      </c>
      <c r="J559" s="38">
        <v>3</v>
      </c>
      <c r="K559" s="39">
        <f t="shared" si="64"/>
        <v>12857.400000000001</v>
      </c>
      <c r="L559" s="38">
        <v>0</v>
      </c>
      <c r="M559" s="38">
        <v>0</v>
      </c>
      <c r="N559" s="39">
        <f t="shared" si="65"/>
        <v>0</v>
      </c>
      <c r="O559" s="38">
        <v>0</v>
      </c>
      <c r="P559" s="38">
        <v>0</v>
      </c>
      <c r="Q559" s="39">
        <f t="shared" si="66"/>
        <v>0</v>
      </c>
      <c r="R559" s="38">
        <v>0</v>
      </c>
      <c r="S559" s="38">
        <v>0</v>
      </c>
      <c r="T559" s="39">
        <f t="shared" si="67"/>
        <v>0</v>
      </c>
      <c r="U559" s="38">
        <v>20</v>
      </c>
      <c r="V559" s="38">
        <v>3</v>
      </c>
      <c r="W559" s="39">
        <f t="shared" si="68"/>
        <v>12857.400000000001</v>
      </c>
      <c r="X559" s="38"/>
      <c r="Y559" s="38"/>
      <c r="Z559" s="39">
        <f t="shared" si="69"/>
        <v>0</v>
      </c>
      <c r="AA559" s="38"/>
      <c r="AB559" s="38"/>
      <c r="AC559" s="39">
        <f t="shared" si="70"/>
        <v>0</v>
      </c>
      <c r="AD559" s="38"/>
      <c r="AE559" s="38"/>
      <c r="AF559" s="39">
        <f t="shared" si="71"/>
        <v>0</v>
      </c>
    </row>
    <row r="560" spans="2:32" ht="15" customHeight="1" x14ac:dyDescent="0.3">
      <c r="B560" s="2" t="s">
        <v>836</v>
      </c>
      <c r="C560" s="4" t="s">
        <v>1076</v>
      </c>
      <c r="D560" s="3" t="s">
        <v>1077</v>
      </c>
      <c r="E560" s="6" t="s">
        <v>1090</v>
      </c>
      <c r="F560" s="6" t="s">
        <v>1091</v>
      </c>
      <c r="G560" s="6" t="s">
        <v>841</v>
      </c>
      <c r="H560" s="25">
        <v>0</v>
      </c>
      <c r="I560" s="38">
        <v>4000</v>
      </c>
      <c r="J560" s="38">
        <v>1</v>
      </c>
      <c r="K560" s="39">
        <f t="shared" si="64"/>
        <v>0</v>
      </c>
      <c r="L560" s="38">
        <v>0</v>
      </c>
      <c r="M560" s="38">
        <v>0</v>
      </c>
      <c r="N560" s="39">
        <f t="shared" si="65"/>
        <v>0</v>
      </c>
      <c r="O560" s="38">
        <v>0</v>
      </c>
      <c r="P560" s="38">
        <v>0</v>
      </c>
      <c r="Q560" s="39">
        <f t="shared" si="66"/>
        <v>0</v>
      </c>
      <c r="R560" s="38">
        <v>0</v>
      </c>
      <c r="S560" s="38">
        <v>0</v>
      </c>
      <c r="T560" s="39">
        <f t="shared" si="67"/>
        <v>0</v>
      </c>
      <c r="U560" s="38">
        <v>4000</v>
      </c>
      <c r="V560" s="38">
        <v>1</v>
      </c>
      <c r="W560" s="39">
        <f t="shared" si="68"/>
        <v>0</v>
      </c>
      <c r="X560" s="38"/>
      <c r="Y560" s="38"/>
      <c r="Z560" s="39">
        <f t="shared" si="69"/>
        <v>0</v>
      </c>
      <c r="AA560" s="38"/>
      <c r="AB560" s="38"/>
      <c r="AC560" s="39">
        <f t="shared" si="70"/>
        <v>0</v>
      </c>
      <c r="AD560" s="38"/>
      <c r="AE560" s="38"/>
      <c r="AF560" s="39">
        <f t="shared" si="71"/>
        <v>0</v>
      </c>
    </row>
    <row r="561" spans="2:32" ht="15" customHeight="1" x14ac:dyDescent="0.3">
      <c r="B561" s="2" t="s">
        <v>836</v>
      </c>
      <c r="C561" s="4" t="s">
        <v>1076</v>
      </c>
      <c r="D561" s="3" t="s">
        <v>1077</v>
      </c>
      <c r="E561" s="6" t="s">
        <v>1092</v>
      </c>
      <c r="F561" s="6" t="s">
        <v>946</v>
      </c>
      <c r="G561" s="6" t="s">
        <v>841</v>
      </c>
      <c r="H561" s="25">
        <v>0</v>
      </c>
      <c r="I561" s="38">
        <v>0</v>
      </c>
      <c r="J561" s="38">
        <v>0</v>
      </c>
      <c r="K561" s="39">
        <f t="shared" si="64"/>
        <v>0</v>
      </c>
      <c r="L561" s="38">
        <v>0</v>
      </c>
      <c r="M561" s="38">
        <v>0</v>
      </c>
      <c r="N561" s="39">
        <f t="shared" si="65"/>
        <v>0</v>
      </c>
      <c r="O561" s="38">
        <v>0</v>
      </c>
      <c r="P561" s="38">
        <v>0</v>
      </c>
      <c r="Q561" s="39">
        <f t="shared" si="66"/>
        <v>0</v>
      </c>
      <c r="R561" s="38">
        <v>0</v>
      </c>
      <c r="S561" s="38">
        <v>0</v>
      </c>
      <c r="T561" s="39">
        <f t="shared" si="67"/>
        <v>0</v>
      </c>
      <c r="U561" s="38">
        <v>0</v>
      </c>
      <c r="V561" s="38">
        <v>0</v>
      </c>
      <c r="W561" s="39">
        <f t="shared" si="68"/>
        <v>0</v>
      </c>
      <c r="X561" s="38"/>
      <c r="Y561" s="38"/>
      <c r="Z561" s="39">
        <f t="shared" si="69"/>
        <v>0</v>
      </c>
      <c r="AA561" s="38"/>
      <c r="AB561" s="38"/>
      <c r="AC561" s="39">
        <f t="shared" si="70"/>
        <v>0</v>
      </c>
      <c r="AD561" s="38"/>
      <c r="AE561" s="38"/>
      <c r="AF561" s="39">
        <f t="shared" si="71"/>
        <v>0</v>
      </c>
    </row>
    <row r="562" spans="2:32" ht="15" customHeight="1" x14ac:dyDescent="0.3">
      <c r="B562" s="2" t="s">
        <v>836</v>
      </c>
      <c r="C562" s="4" t="s">
        <v>1076</v>
      </c>
      <c r="D562" s="3" t="s">
        <v>1077</v>
      </c>
      <c r="E562" s="6" t="s">
        <v>1093</v>
      </c>
      <c r="F562" s="6" t="s">
        <v>1094</v>
      </c>
      <c r="G562" s="6" t="s">
        <v>709</v>
      </c>
      <c r="H562" s="25">
        <v>28000</v>
      </c>
      <c r="I562" s="38">
        <v>0</v>
      </c>
      <c r="J562" s="38">
        <v>0</v>
      </c>
      <c r="K562" s="39">
        <f t="shared" si="64"/>
        <v>0</v>
      </c>
      <c r="L562" s="38">
        <v>0</v>
      </c>
      <c r="M562" s="38">
        <v>0</v>
      </c>
      <c r="N562" s="39">
        <f t="shared" si="65"/>
        <v>0</v>
      </c>
      <c r="O562" s="38">
        <v>0</v>
      </c>
      <c r="P562" s="38">
        <v>0</v>
      </c>
      <c r="Q562" s="39">
        <f t="shared" si="66"/>
        <v>0</v>
      </c>
      <c r="R562" s="38">
        <v>0</v>
      </c>
      <c r="S562" s="38">
        <v>0</v>
      </c>
      <c r="T562" s="39">
        <f t="shared" si="67"/>
        <v>0</v>
      </c>
      <c r="U562" s="38">
        <v>0</v>
      </c>
      <c r="V562" s="38">
        <v>0</v>
      </c>
      <c r="W562" s="39">
        <f t="shared" si="68"/>
        <v>0</v>
      </c>
      <c r="X562" s="38"/>
      <c r="Y562" s="38"/>
      <c r="Z562" s="39">
        <f t="shared" si="69"/>
        <v>0</v>
      </c>
      <c r="AA562" s="38"/>
      <c r="AB562" s="38"/>
      <c r="AC562" s="39">
        <f t="shared" si="70"/>
        <v>0</v>
      </c>
      <c r="AD562" s="38"/>
      <c r="AE562" s="38"/>
      <c r="AF562" s="39">
        <f t="shared" si="71"/>
        <v>0</v>
      </c>
    </row>
    <row r="563" spans="2:32" ht="15" customHeight="1" x14ac:dyDescent="0.3">
      <c r="B563" s="2" t="s">
        <v>836</v>
      </c>
      <c r="C563" s="4" t="s">
        <v>1076</v>
      </c>
      <c r="D563" s="3" t="s">
        <v>1095</v>
      </c>
      <c r="E563" s="6" t="s">
        <v>1096</v>
      </c>
      <c r="F563" s="6" t="s">
        <v>1097</v>
      </c>
      <c r="G563" s="6" t="s">
        <v>709</v>
      </c>
      <c r="H563" s="25">
        <v>28000</v>
      </c>
      <c r="I563" s="38">
        <v>30</v>
      </c>
      <c r="J563" s="38">
        <v>1</v>
      </c>
      <c r="K563" s="39">
        <f t="shared" si="64"/>
        <v>840000</v>
      </c>
      <c r="L563" s="38">
        <v>30</v>
      </c>
      <c r="M563" s="38">
        <v>1</v>
      </c>
      <c r="N563" s="39">
        <f t="shared" si="65"/>
        <v>840000</v>
      </c>
      <c r="O563" s="38">
        <v>30</v>
      </c>
      <c r="P563" s="38">
        <v>1</v>
      </c>
      <c r="Q563" s="39">
        <f t="shared" si="66"/>
        <v>840000</v>
      </c>
      <c r="R563" s="38">
        <v>30</v>
      </c>
      <c r="S563" s="38">
        <v>1</v>
      </c>
      <c r="T563" s="39">
        <f t="shared" si="67"/>
        <v>840000</v>
      </c>
      <c r="U563" s="38">
        <v>30</v>
      </c>
      <c r="V563" s="38">
        <v>1</v>
      </c>
      <c r="W563" s="39">
        <f t="shared" si="68"/>
        <v>840000</v>
      </c>
      <c r="X563" s="38"/>
      <c r="Y563" s="38"/>
      <c r="Z563" s="39">
        <f t="shared" si="69"/>
        <v>0</v>
      </c>
      <c r="AA563" s="38"/>
      <c r="AB563" s="38"/>
      <c r="AC563" s="39">
        <f t="shared" si="70"/>
        <v>0</v>
      </c>
      <c r="AD563" s="38"/>
      <c r="AE563" s="38"/>
      <c r="AF563" s="39">
        <f t="shared" si="71"/>
        <v>0</v>
      </c>
    </row>
    <row r="564" spans="2:32" ht="15" customHeight="1" x14ac:dyDescent="0.3">
      <c r="B564" s="2" t="s">
        <v>836</v>
      </c>
      <c r="C564" s="4" t="s">
        <v>1076</v>
      </c>
      <c r="D564" s="3" t="s">
        <v>1095</v>
      </c>
      <c r="E564" s="6" t="s">
        <v>1096</v>
      </c>
      <c r="F564" s="6" t="s">
        <v>1097</v>
      </c>
      <c r="G564" s="6" t="s">
        <v>716</v>
      </c>
      <c r="H564" s="25">
        <v>39000</v>
      </c>
      <c r="I564" s="38">
        <v>0</v>
      </c>
      <c r="J564" s="38">
        <v>0</v>
      </c>
      <c r="K564" s="39">
        <f t="shared" si="64"/>
        <v>0</v>
      </c>
      <c r="L564" s="38">
        <v>0</v>
      </c>
      <c r="M564" s="38">
        <v>0</v>
      </c>
      <c r="N564" s="39">
        <f t="shared" si="65"/>
        <v>0</v>
      </c>
      <c r="O564" s="38">
        <v>40</v>
      </c>
      <c r="P564" s="38">
        <v>3</v>
      </c>
      <c r="Q564" s="39">
        <f t="shared" si="66"/>
        <v>4680000</v>
      </c>
      <c r="R564" s="38">
        <v>0</v>
      </c>
      <c r="S564" s="38">
        <v>0</v>
      </c>
      <c r="T564" s="39">
        <f t="shared" si="67"/>
        <v>0</v>
      </c>
      <c r="U564" s="38">
        <v>0</v>
      </c>
      <c r="V564" s="38">
        <v>0</v>
      </c>
      <c r="W564" s="39">
        <f t="shared" si="68"/>
        <v>0</v>
      </c>
      <c r="X564" s="38"/>
      <c r="Y564" s="38"/>
      <c r="Z564" s="39">
        <f t="shared" si="69"/>
        <v>0</v>
      </c>
      <c r="AA564" s="38"/>
      <c r="AB564" s="38"/>
      <c r="AC564" s="39">
        <f t="shared" si="70"/>
        <v>0</v>
      </c>
      <c r="AD564" s="38"/>
      <c r="AE564" s="38"/>
      <c r="AF564" s="39">
        <f t="shared" si="71"/>
        <v>0</v>
      </c>
    </row>
    <row r="565" spans="2:32" ht="15" customHeight="1" x14ac:dyDescent="0.3">
      <c r="B565" s="2" t="s">
        <v>836</v>
      </c>
      <c r="C565" s="4" t="s">
        <v>1076</v>
      </c>
      <c r="D565" s="3" t="s">
        <v>1095</v>
      </c>
      <c r="E565" s="6" t="s">
        <v>1096</v>
      </c>
      <c r="F565" s="6" t="s">
        <v>1097</v>
      </c>
      <c r="G565" s="6" t="s">
        <v>712</v>
      </c>
      <c r="H565" s="25">
        <v>214.29</v>
      </c>
      <c r="I565" s="38">
        <v>0</v>
      </c>
      <c r="J565" s="38">
        <v>0</v>
      </c>
      <c r="K565" s="39">
        <f t="shared" si="64"/>
        <v>0</v>
      </c>
      <c r="L565" s="38">
        <v>0</v>
      </c>
      <c r="M565" s="38">
        <v>0</v>
      </c>
      <c r="N565" s="39">
        <f t="shared" si="65"/>
        <v>0</v>
      </c>
      <c r="O565" s="38">
        <v>40</v>
      </c>
      <c r="P565" s="38">
        <v>3</v>
      </c>
      <c r="Q565" s="39">
        <f t="shared" si="66"/>
        <v>25714.800000000003</v>
      </c>
      <c r="R565" s="38">
        <v>0</v>
      </c>
      <c r="S565" s="38">
        <v>0</v>
      </c>
      <c r="T565" s="39">
        <f t="shared" si="67"/>
        <v>0</v>
      </c>
      <c r="U565" s="38">
        <v>0</v>
      </c>
      <c r="V565" s="38">
        <v>0</v>
      </c>
      <c r="W565" s="39">
        <f t="shared" si="68"/>
        <v>0</v>
      </c>
      <c r="X565" s="38"/>
      <c r="Y565" s="38"/>
      <c r="Z565" s="39">
        <f t="shared" si="69"/>
        <v>0</v>
      </c>
      <c r="AA565" s="38"/>
      <c r="AB565" s="38"/>
      <c r="AC565" s="39">
        <f t="shared" si="70"/>
        <v>0</v>
      </c>
      <c r="AD565" s="38"/>
      <c r="AE565" s="38"/>
      <c r="AF565" s="39">
        <f t="shared" si="71"/>
        <v>0</v>
      </c>
    </row>
    <row r="566" spans="2:32" ht="15" customHeight="1" x14ac:dyDescent="0.3">
      <c r="B566" s="2" t="s">
        <v>836</v>
      </c>
      <c r="C566" s="4" t="s">
        <v>1076</v>
      </c>
      <c r="D566" s="3" t="s">
        <v>1095</v>
      </c>
      <c r="E566" s="6" t="s">
        <v>1098</v>
      </c>
      <c r="F566" s="6" t="s">
        <v>1099</v>
      </c>
      <c r="G566" s="6" t="s">
        <v>709</v>
      </c>
      <c r="H566" s="25">
        <v>28000</v>
      </c>
      <c r="I566" s="38">
        <v>0</v>
      </c>
      <c r="J566" s="38">
        <v>0</v>
      </c>
      <c r="K566" s="39">
        <f t="shared" si="64"/>
        <v>0</v>
      </c>
      <c r="L566" s="38">
        <v>0</v>
      </c>
      <c r="M566" s="38">
        <v>0</v>
      </c>
      <c r="N566" s="39">
        <f t="shared" si="65"/>
        <v>0</v>
      </c>
      <c r="O566" s="38">
        <v>20000</v>
      </c>
      <c r="P566" s="38">
        <v>1</v>
      </c>
      <c r="Q566" s="39">
        <f t="shared" si="66"/>
        <v>560000000</v>
      </c>
      <c r="R566" s="38">
        <v>0</v>
      </c>
      <c r="S566" s="38">
        <v>0</v>
      </c>
      <c r="T566" s="39">
        <f t="shared" si="67"/>
        <v>0</v>
      </c>
      <c r="U566" s="38">
        <v>0</v>
      </c>
      <c r="V566" s="38">
        <v>0</v>
      </c>
      <c r="W566" s="39">
        <f t="shared" si="68"/>
        <v>0</v>
      </c>
      <c r="X566" s="38"/>
      <c r="Y566" s="38"/>
      <c r="Z566" s="39">
        <f t="shared" si="69"/>
        <v>0</v>
      </c>
      <c r="AA566" s="38"/>
      <c r="AB566" s="38"/>
      <c r="AC566" s="39">
        <f t="shared" si="70"/>
        <v>0</v>
      </c>
      <c r="AD566" s="38"/>
      <c r="AE566" s="38"/>
      <c r="AF566" s="39">
        <f t="shared" si="71"/>
        <v>0</v>
      </c>
    </row>
    <row r="567" spans="2:32" ht="15" customHeight="1" x14ac:dyDescent="0.3">
      <c r="B567" s="2" t="s">
        <v>836</v>
      </c>
      <c r="C567" s="4" t="s">
        <v>1076</v>
      </c>
      <c r="D567" s="3" t="s">
        <v>1095</v>
      </c>
      <c r="E567" s="6" t="s">
        <v>1098</v>
      </c>
      <c r="F567" s="6" t="s">
        <v>1099</v>
      </c>
      <c r="G567" s="6" t="s">
        <v>716</v>
      </c>
      <c r="H567" s="25">
        <v>39000</v>
      </c>
      <c r="I567" s="38">
        <v>0</v>
      </c>
      <c r="J567" s="38">
        <v>0</v>
      </c>
      <c r="K567" s="39">
        <f t="shared" si="64"/>
        <v>0</v>
      </c>
      <c r="L567" s="38">
        <v>0</v>
      </c>
      <c r="M567" s="38">
        <v>0</v>
      </c>
      <c r="N567" s="39">
        <f t="shared" si="65"/>
        <v>0</v>
      </c>
      <c r="O567" s="38">
        <v>100</v>
      </c>
      <c r="P567" s="38">
        <v>1</v>
      </c>
      <c r="Q567" s="39">
        <f t="shared" si="66"/>
        <v>3900000</v>
      </c>
      <c r="R567" s="38">
        <v>0</v>
      </c>
      <c r="S567" s="38">
        <v>0</v>
      </c>
      <c r="T567" s="39">
        <f t="shared" si="67"/>
        <v>0</v>
      </c>
      <c r="U567" s="38">
        <v>0</v>
      </c>
      <c r="V567" s="38">
        <v>0</v>
      </c>
      <c r="W567" s="39">
        <f t="shared" si="68"/>
        <v>0</v>
      </c>
      <c r="X567" s="38"/>
      <c r="Y567" s="38"/>
      <c r="Z567" s="39">
        <f t="shared" si="69"/>
        <v>0</v>
      </c>
      <c r="AA567" s="38"/>
      <c r="AB567" s="38"/>
      <c r="AC567" s="39">
        <f t="shared" si="70"/>
        <v>0</v>
      </c>
      <c r="AD567" s="38"/>
      <c r="AE567" s="38"/>
      <c r="AF567" s="39">
        <f t="shared" si="71"/>
        <v>0</v>
      </c>
    </row>
    <row r="568" spans="2:32" ht="15" customHeight="1" x14ac:dyDescent="0.3">
      <c r="B568" s="2" t="s">
        <v>836</v>
      </c>
      <c r="C568" s="4" t="s">
        <v>1076</v>
      </c>
      <c r="D568" s="3" t="s">
        <v>1095</v>
      </c>
      <c r="E568" s="6" t="s">
        <v>1098</v>
      </c>
      <c r="F568" s="6" t="s">
        <v>1099</v>
      </c>
      <c r="G568" s="6" t="s">
        <v>712</v>
      </c>
      <c r="H568" s="25">
        <v>214.29</v>
      </c>
      <c r="I568" s="38">
        <v>0</v>
      </c>
      <c r="J568" s="38">
        <v>0</v>
      </c>
      <c r="K568" s="39">
        <f t="shared" si="64"/>
        <v>0</v>
      </c>
      <c r="L568" s="38">
        <v>0</v>
      </c>
      <c r="M568" s="38">
        <v>0</v>
      </c>
      <c r="N568" s="39">
        <f t="shared" si="65"/>
        <v>0</v>
      </c>
      <c r="O568" s="38">
        <v>30</v>
      </c>
      <c r="P568" s="38">
        <v>1</v>
      </c>
      <c r="Q568" s="39">
        <f t="shared" si="66"/>
        <v>6428.7</v>
      </c>
      <c r="R568" s="38">
        <v>0</v>
      </c>
      <c r="S568" s="38">
        <v>0</v>
      </c>
      <c r="T568" s="39">
        <f t="shared" si="67"/>
        <v>0</v>
      </c>
      <c r="U568" s="38">
        <v>0</v>
      </c>
      <c r="V568" s="38">
        <v>0</v>
      </c>
      <c r="W568" s="39">
        <f t="shared" si="68"/>
        <v>0</v>
      </c>
      <c r="X568" s="38"/>
      <c r="Y568" s="38"/>
      <c r="Z568" s="39">
        <f t="shared" si="69"/>
        <v>0</v>
      </c>
      <c r="AA568" s="38"/>
      <c r="AB568" s="38"/>
      <c r="AC568" s="39">
        <f t="shared" si="70"/>
        <v>0</v>
      </c>
      <c r="AD568" s="38"/>
      <c r="AE568" s="38"/>
      <c r="AF568" s="39">
        <f t="shared" si="71"/>
        <v>0</v>
      </c>
    </row>
    <row r="569" spans="2:32" ht="15" customHeight="1" x14ac:dyDescent="0.3">
      <c r="B569" s="2" t="s">
        <v>836</v>
      </c>
      <c r="C569" s="4" t="s">
        <v>1076</v>
      </c>
      <c r="D569" s="3" t="s">
        <v>1100</v>
      </c>
      <c r="E569" s="6" t="s">
        <v>1101</v>
      </c>
      <c r="F569" s="6" t="s">
        <v>176</v>
      </c>
      <c r="G569" s="6" t="s">
        <v>841</v>
      </c>
      <c r="H569" s="25">
        <v>0</v>
      </c>
      <c r="I569" s="38">
        <v>0</v>
      </c>
      <c r="J569" s="38">
        <v>0</v>
      </c>
      <c r="K569" s="39">
        <f t="shared" si="64"/>
        <v>0</v>
      </c>
      <c r="L569" s="38">
        <v>0</v>
      </c>
      <c r="M569" s="38">
        <v>0</v>
      </c>
      <c r="N569" s="39">
        <f t="shared" si="65"/>
        <v>0</v>
      </c>
      <c r="O569" s="38">
        <v>8000</v>
      </c>
      <c r="P569" s="38">
        <v>1</v>
      </c>
      <c r="Q569" s="39">
        <f t="shared" si="66"/>
        <v>0</v>
      </c>
      <c r="R569" s="38">
        <v>0</v>
      </c>
      <c r="S569" s="38">
        <v>0</v>
      </c>
      <c r="T569" s="39">
        <f t="shared" si="67"/>
        <v>0</v>
      </c>
      <c r="U569" s="38">
        <v>0</v>
      </c>
      <c r="V569" s="38">
        <v>0</v>
      </c>
      <c r="W569" s="39">
        <f t="shared" si="68"/>
        <v>0</v>
      </c>
      <c r="X569" s="38"/>
      <c r="Y569" s="38"/>
      <c r="Z569" s="39">
        <f t="shared" si="69"/>
        <v>0</v>
      </c>
      <c r="AA569" s="38"/>
      <c r="AB569" s="38"/>
      <c r="AC569" s="39">
        <f t="shared" si="70"/>
        <v>0</v>
      </c>
      <c r="AD569" s="38"/>
      <c r="AE569" s="38"/>
      <c r="AF569" s="39">
        <f t="shared" si="71"/>
        <v>0</v>
      </c>
    </row>
    <row r="570" spans="2:32" ht="15" customHeight="1" x14ac:dyDescent="0.3">
      <c r="B570" s="2" t="s">
        <v>836</v>
      </c>
      <c r="C570" s="4" t="s">
        <v>1076</v>
      </c>
      <c r="D570" s="3" t="s">
        <v>1100</v>
      </c>
      <c r="E570" s="6" t="s">
        <v>1101</v>
      </c>
      <c r="F570" s="6" t="s">
        <v>1102</v>
      </c>
      <c r="G570" s="6" t="s">
        <v>841</v>
      </c>
      <c r="H570" s="25">
        <v>0</v>
      </c>
      <c r="I570" s="38">
        <v>3</v>
      </c>
      <c r="J570" s="38">
        <v>5</v>
      </c>
      <c r="K570" s="39">
        <f t="shared" si="64"/>
        <v>0</v>
      </c>
      <c r="L570" s="38">
        <v>0</v>
      </c>
      <c r="M570" s="38">
        <v>0</v>
      </c>
      <c r="N570" s="39">
        <f t="shared" si="65"/>
        <v>0</v>
      </c>
      <c r="O570" s="38">
        <v>0</v>
      </c>
      <c r="P570" s="38">
        <v>0</v>
      </c>
      <c r="Q570" s="39">
        <f t="shared" si="66"/>
        <v>0</v>
      </c>
      <c r="R570" s="38">
        <v>3</v>
      </c>
      <c r="S570" s="38">
        <v>5</v>
      </c>
      <c r="T570" s="39">
        <f t="shared" si="67"/>
        <v>0</v>
      </c>
      <c r="U570" s="38">
        <v>0</v>
      </c>
      <c r="V570" s="38">
        <v>0</v>
      </c>
      <c r="W570" s="39">
        <f t="shared" si="68"/>
        <v>0</v>
      </c>
      <c r="X570" s="38"/>
      <c r="Y570" s="38"/>
      <c r="Z570" s="39">
        <f t="shared" si="69"/>
        <v>0</v>
      </c>
      <c r="AA570" s="38"/>
      <c r="AB570" s="38"/>
      <c r="AC570" s="39">
        <f t="shared" si="70"/>
        <v>0</v>
      </c>
      <c r="AD570" s="38"/>
      <c r="AE570" s="38"/>
      <c r="AF570" s="39">
        <f t="shared" si="71"/>
        <v>0</v>
      </c>
    </row>
    <row r="571" spans="2:32" ht="15" customHeight="1" x14ac:dyDescent="0.3">
      <c r="B571" s="2" t="s">
        <v>836</v>
      </c>
      <c r="C571" s="4" t="s">
        <v>1076</v>
      </c>
      <c r="D571" s="3" t="s">
        <v>1100</v>
      </c>
      <c r="E571" s="6" t="s">
        <v>1101</v>
      </c>
      <c r="F571" s="6" t="s">
        <v>1103</v>
      </c>
      <c r="G571" s="6" t="s">
        <v>707</v>
      </c>
      <c r="H571" s="25">
        <v>391991.03749999998</v>
      </c>
      <c r="I571" s="38">
        <v>3</v>
      </c>
      <c r="J571" s="38">
        <v>5</v>
      </c>
      <c r="K571" s="39">
        <f t="shared" si="64"/>
        <v>5879865.5624999991</v>
      </c>
      <c r="L571" s="38">
        <v>0</v>
      </c>
      <c r="M571" s="38">
        <v>0</v>
      </c>
      <c r="N571" s="39">
        <f t="shared" si="65"/>
        <v>0</v>
      </c>
      <c r="O571" s="38">
        <v>0</v>
      </c>
      <c r="P571" s="38">
        <v>0</v>
      </c>
      <c r="Q571" s="39">
        <f t="shared" si="66"/>
        <v>0</v>
      </c>
      <c r="R571" s="38">
        <v>3</v>
      </c>
      <c r="S571" s="38">
        <v>5</v>
      </c>
      <c r="T571" s="39">
        <f t="shared" si="67"/>
        <v>5879865.5624999991</v>
      </c>
      <c r="U571" s="38">
        <v>0</v>
      </c>
      <c r="V571" s="38">
        <v>0</v>
      </c>
      <c r="W571" s="39">
        <f t="shared" si="68"/>
        <v>0</v>
      </c>
      <c r="X571" s="38"/>
      <c r="Y571" s="38"/>
      <c r="Z571" s="39">
        <f t="shared" si="69"/>
        <v>0</v>
      </c>
      <c r="AA571" s="38"/>
      <c r="AB571" s="38"/>
      <c r="AC571" s="39">
        <f t="shared" si="70"/>
        <v>0</v>
      </c>
      <c r="AD571" s="38"/>
      <c r="AE571" s="38"/>
      <c r="AF571" s="39">
        <f t="shared" si="71"/>
        <v>0</v>
      </c>
    </row>
    <row r="572" spans="2:32" ht="15" customHeight="1" x14ac:dyDescent="0.3">
      <c r="B572" s="2" t="s">
        <v>836</v>
      </c>
      <c r="C572" s="4" t="s">
        <v>1076</v>
      </c>
      <c r="D572" s="3" t="s">
        <v>1100</v>
      </c>
      <c r="E572" s="6" t="s">
        <v>1101</v>
      </c>
      <c r="F572" s="6" t="s">
        <v>1103</v>
      </c>
      <c r="G572" s="6" t="s">
        <v>720</v>
      </c>
      <c r="H572" s="25">
        <v>833000</v>
      </c>
      <c r="I572" s="38">
        <v>1</v>
      </c>
      <c r="J572" s="38">
        <v>4</v>
      </c>
      <c r="K572" s="39">
        <f t="shared" si="64"/>
        <v>3332000</v>
      </c>
      <c r="L572" s="38">
        <v>0</v>
      </c>
      <c r="M572" s="38">
        <v>0</v>
      </c>
      <c r="N572" s="39">
        <f t="shared" si="65"/>
        <v>0</v>
      </c>
      <c r="O572" s="38">
        <v>0</v>
      </c>
      <c r="P572" s="38">
        <v>0</v>
      </c>
      <c r="Q572" s="39">
        <f t="shared" si="66"/>
        <v>0</v>
      </c>
      <c r="R572" s="38">
        <v>1</v>
      </c>
      <c r="S572" s="38">
        <v>4</v>
      </c>
      <c r="T572" s="39">
        <f t="shared" si="67"/>
        <v>3332000</v>
      </c>
      <c r="U572" s="38">
        <v>0</v>
      </c>
      <c r="V572" s="38">
        <v>0</v>
      </c>
      <c r="W572" s="39">
        <f t="shared" si="68"/>
        <v>0</v>
      </c>
      <c r="X572" s="38"/>
      <c r="Y572" s="38"/>
      <c r="Z572" s="39">
        <f t="shared" si="69"/>
        <v>0</v>
      </c>
      <c r="AA572" s="38"/>
      <c r="AB572" s="38"/>
      <c r="AC572" s="39">
        <f t="shared" si="70"/>
        <v>0</v>
      </c>
      <c r="AD572" s="38"/>
      <c r="AE572" s="38"/>
      <c r="AF572" s="39">
        <f t="shared" si="71"/>
        <v>0</v>
      </c>
    </row>
    <row r="573" spans="2:32" ht="15" customHeight="1" x14ac:dyDescent="0.3">
      <c r="B573" s="2" t="s">
        <v>836</v>
      </c>
      <c r="C573" s="4" t="s">
        <v>1076</v>
      </c>
      <c r="D573" s="3" t="s">
        <v>1100</v>
      </c>
      <c r="E573" s="6" t="s">
        <v>1101</v>
      </c>
      <c r="F573" s="6" t="s">
        <v>895</v>
      </c>
      <c r="G573" s="6" t="s">
        <v>841</v>
      </c>
      <c r="H573" s="25">
        <v>0</v>
      </c>
      <c r="I573" s="38">
        <v>1</v>
      </c>
      <c r="J573" s="38">
        <v>30</v>
      </c>
      <c r="K573" s="39">
        <f t="shared" si="64"/>
        <v>0</v>
      </c>
      <c r="L573" s="38">
        <v>0</v>
      </c>
      <c r="M573" s="38">
        <v>0</v>
      </c>
      <c r="N573" s="39">
        <f t="shared" si="65"/>
        <v>0</v>
      </c>
      <c r="O573" s="38">
        <v>0</v>
      </c>
      <c r="P573" s="38">
        <v>0</v>
      </c>
      <c r="Q573" s="39">
        <f t="shared" si="66"/>
        <v>0</v>
      </c>
      <c r="R573" s="38">
        <v>1</v>
      </c>
      <c r="S573" s="38">
        <v>30</v>
      </c>
      <c r="T573" s="39">
        <f t="shared" si="67"/>
        <v>0</v>
      </c>
      <c r="U573" s="38">
        <v>0</v>
      </c>
      <c r="V573" s="38">
        <v>0</v>
      </c>
      <c r="W573" s="39">
        <f t="shared" si="68"/>
        <v>0</v>
      </c>
      <c r="X573" s="38"/>
      <c r="Y573" s="38"/>
      <c r="Z573" s="39">
        <f t="shared" si="69"/>
        <v>0</v>
      </c>
      <c r="AA573" s="38"/>
      <c r="AB573" s="38"/>
      <c r="AC573" s="39">
        <f t="shared" si="70"/>
        <v>0</v>
      </c>
      <c r="AD573" s="38"/>
      <c r="AE573" s="38"/>
      <c r="AF573" s="39">
        <f t="shared" si="71"/>
        <v>0</v>
      </c>
    </row>
    <row r="574" spans="2:32" ht="15" customHeight="1" x14ac:dyDescent="0.3">
      <c r="B574" s="2" t="s">
        <v>836</v>
      </c>
      <c r="C574" s="4" t="s">
        <v>1076</v>
      </c>
      <c r="D574" s="3" t="s">
        <v>1100</v>
      </c>
      <c r="E574" s="6" t="s">
        <v>1101</v>
      </c>
      <c r="F574" s="6" t="s">
        <v>912</v>
      </c>
      <c r="G574" s="6" t="s">
        <v>841</v>
      </c>
      <c r="H574" s="25">
        <v>0</v>
      </c>
      <c r="I574" s="38">
        <v>5</v>
      </c>
      <c r="J574" s="38">
        <v>5</v>
      </c>
      <c r="K574" s="39">
        <f t="shared" si="64"/>
        <v>0</v>
      </c>
      <c r="L574" s="38">
        <v>0</v>
      </c>
      <c r="M574" s="38">
        <v>0</v>
      </c>
      <c r="N574" s="39">
        <f t="shared" si="65"/>
        <v>0</v>
      </c>
      <c r="O574" s="38">
        <v>0</v>
      </c>
      <c r="P574" s="38">
        <v>0</v>
      </c>
      <c r="Q574" s="39">
        <f t="shared" si="66"/>
        <v>0</v>
      </c>
      <c r="R574" s="38">
        <v>5</v>
      </c>
      <c r="S574" s="38">
        <v>5</v>
      </c>
      <c r="T574" s="39">
        <f t="shared" si="67"/>
        <v>0</v>
      </c>
      <c r="U574" s="38">
        <v>0</v>
      </c>
      <c r="V574" s="38">
        <v>0</v>
      </c>
      <c r="W574" s="39">
        <f t="shared" si="68"/>
        <v>0</v>
      </c>
      <c r="X574" s="38"/>
      <c r="Y574" s="38"/>
      <c r="Z574" s="39">
        <f t="shared" si="69"/>
        <v>0</v>
      </c>
      <c r="AA574" s="38"/>
      <c r="AB574" s="38"/>
      <c r="AC574" s="39">
        <f t="shared" si="70"/>
        <v>0</v>
      </c>
      <c r="AD574" s="38"/>
      <c r="AE574" s="38"/>
      <c r="AF574" s="39">
        <f t="shared" si="71"/>
        <v>0</v>
      </c>
    </row>
    <row r="575" spans="2:32" ht="15" customHeight="1" x14ac:dyDescent="0.3">
      <c r="B575" s="2" t="s">
        <v>836</v>
      </c>
      <c r="C575" s="4" t="s">
        <v>1076</v>
      </c>
      <c r="D575" s="3" t="s">
        <v>1100</v>
      </c>
      <c r="E575" s="6" t="s">
        <v>1101</v>
      </c>
      <c r="F575" s="6" t="s">
        <v>1026</v>
      </c>
      <c r="G575" s="6" t="s">
        <v>709</v>
      </c>
      <c r="H575" s="25">
        <v>28000</v>
      </c>
      <c r="I575" s="38">
        <v>10</v>
      </c>
      <c r="J575" s="38">
        <v>1</v>
      </c>
      <c r="K575" s="39">
        <f t="shared" si="64"/>
        <v>280000</v>
      </c>
      <c r="L575" s="38">
        <v>0</v>
      </c>
      <c r="M575" s="38">
        <v>0</v>
      </c>
      <c r="N575" s="39">
        <f t="shared" si="65"/>
        <v>0</v>
      </c>
      <c r="O575" s="38">
        <v>0</v>
      </c>
      <c r="P575" s="38">
        <v>0</v>
      </c>
      <c r="Q575" s="39">
        <f t="shared" si="66"/>
        <v>0</v>
      </c>
      <c r="R575" s="38">
        <v>10</v>
      </c>
      <c r="S575" s="38">
        <v>1</v>
      </c>
      <c r="T575" s="39">
        <f t="shared" si="67"/>
        <v>280000</v>
      </c>
      <c r="U575" s="38">
        <v>0</v>
      </c>
      <c r="V575" s="38">
        <v>0</v>
      </c>
      <c r="W575" s="39">
        <f t="shared" si="68"/>
        <v>0</v>
      </c>
      <c r="X575" s="38"/>
      <c r="Y575" s="38"/>
      <c r="Z575" s="39">
        <f t="shared" si="69"/>
        <v>0</v>
      </c>
      <c r="AA575" s="38"/>
      <c r="AB575" s="38"/>
      <c r="AC575" s="39">
        <f t="shared" si="70"/>
        <v>0</v>
      </c>
      <c r="AD575" s="38"/>
      <c r="AE575" s="38"/>
      <c r="AF575" s="39">
        <f t="shared" si="71"/>
        <v>0</v>
      </c>
    </row>
    <row r="576" spans="2:32" ht="15" customHeight="1" x14ac:dyDescent="0.3">
      <c r="B576" s="2" t="s">
        <v>836</v>
      </c>
      <c r="C576" s="4" t="s">
        <v>1076</v>
      </c>
      <c r="D576" s="3" t="s">
        <v>1100</v>
      </c>
      <c r="E576" s="6" t="s">
        <v>1101</v>
      </c>
      <c r="F576" s="6" t="s">
        <v>1026</v>
      </c>
      <c r="G576" s="6" t="s">
        <v>711</v>
      </c>
      <c r="H576" s="25">
        <v>70</v>
      </c>
      <c r="I576" s="38">
        <v>25</v>
      </c>
      <c r="J576" s="38">
        <v>3</v>
      </c>
      <c r="K576" s="39">
        <f t="shared" si="64"/>
        <v>5250</v>
      </c>
      <c r="L576" s="38">
        <v>0</v>
      </c>
      <c r="M576" s="38">
        <v>0</v>
      </c>
      <c r="N576" s="39">
        <f t="shared" si="65"/>
        <v>0</v>
      </c>
      <c r="O576" s="38">
        <v>0</v>
      </c>
      <c r="P576" s="38">
        <v>0</v>
      </c>
      <c r="Q576" s="39">
        <f t="shared" si="66"/>
        <v>0</v>
      </c>
      <c r="R576" s="38">
        <v>25</v>
      </c>
      <c r="S576" s="38">
        <v>3</v>
      </c>
      <c r="T576" s="39">
        <f t="shared" si="67"/>
        <v>5250</v>
      </c>
      <c r="U576" s="38">
        <v>0</v>
      </c>
      <c r="V576" s="38">
        <v>0</v>
      </c>
      <c r="W576" s="39">
        <f t="shared" si="68"/>
        <v>0</v>
      </c>
      <c r="X576" s="38"/>
      <c r="Y576" s="38"/>
      <c r="Z576" s="39">
        <f t="shared" si="69"/>
        <v>0</v>
      </c>
      <c r="AA576" s="38"/>
      <c r="AB576" s="38"/>
      <c r="AC576" s="39">
        <f t="shared" si="70"/>
        <v>0</v>
      </c>
      <c r="AD576" s="38"/>
      <c r="AE576" s="38"/>
      <c r="AF576" s="39">
        <f t="shared" si="71"/>
        <v>0</v>
      </c>
    </row>
    <row r="577" spans="2:32" ht="15" customHeight="1" x14ac:dyDescent="0.3">
      <c r="B577" s="2" t="s">
        <v>836</v>
      </c>
      <c r="C577" s="4" t="s">
        <v>1076</v>
      </c>
      <c r="D577" s="3" t="s">
        <v>1100</v>
      </c>
      <c r="E577" s="6" t="s">
        <v>1101</v>
      </c>
      <c r="F577" s="6" t="s">
        <v>1026</v>
      </c>
      <c r="G577" s="6" t="s">
        <v>710</v>
      </c>
      <c r="H577" s="25">
        <v>104850</v>
      </c>
      <c r="I577" s="38">
        <v>5000</v>
      </c>
      <c r="J577" s="38">
        <v>1</v>
      </c>
      <c r="K577" s="39">
        <f t="shared" si="64"/>
        <v>524250000</v>
      </c>
      <c r="L577" s="38">
        <v>0</v>
      </c>
      <c r="M577" s="38">
        <v>0</v>
      </c>
      <c r="N577" s="39">
        <f t="shared" si="65"/>
        <v>0</v>
      </c>
      <c r="O577" s="38">
        <v>0</v>
      </c>
      <c r="P577" s="38">
        <v>0</v>
      </c>
      <c r="Q577" s="39">
        <f t="shared" si="66"/>
        <v>0</v>
      </c>
      <c r="R577" s="38">
        <v>5000</v>
      </c>
      <c r="S577" s="38">
        <v>1</v>
      </c>
      <c r="T577" s="39">
        <f t="shared" si="67"/>
        <v>524250000</v>
      </c>
      <c r="U577" s="38">
        <v>0</v>
      </c>
      <c r="V577" s="38">
        <v>0</v>
      </c>
      <c r="W577" s="39">
        <f t="shared" si="68"/>
        <v>0</v>
      </c>
      <c r="X577" s="38"/>
      <c r="Y577" s="38"/>
      <c r="Z577" s="39">
        <f t="shared" si="69"/>
        <v>0</v>
      </c>
      <c r="AA577" s="38"/>
      <c r="AB577" s="38"/>
      <c r="AC577" s="39">
        <f t="shared" si="70"/>
        <v>0</v>
      </c>
      <c r="AD577" s="38"/>
      <c r="AE577" s="38"/>
      <c r="AF577" s="39">
        <f t="shared" si="71"/>
        <v>0</v>
      </c>
    </row>
    <row r="578" spans="2:32" ht="15" customHeight="1" x14ac:dyDescent="0.3">
      <c r="B578" s="2" t="s">
        <v>836</v>
      </c>
      <c r="C578" s="4" t="s">
        <v>1076</v>
      </c>
      <c r="D578" s="3" t="s">
        <v>1100</v>
      </c>
      <c r="E578" s="6" t="s">
        <v>1101</v>
      </c>
      <c r="F578" s="6" t="s">
        <v>163</v>
      </c>
      <c r="G578" s="6" t="s">
        <v>713</v>
      </c>
      <c r="H578" s="25">
        <v>45000</v>
      </c>
      <c r="I578" s="38">
        <v>1</v>
      </c>
      <c r="J578" s="38">
        <v>1</v>
      </c>
      <c r="K578" s="39">
        <f t="shared" si="64"/>
        <v>45000</v>
      </c>
      <c r="L578" s="38">
        <v>0</v>
      </c>
      <c r="M578" s="38">
        <v>0</v>
      </c>
      <c r="N578" s="39">
        <f t="shared" si="65"/>
        <v>0</v>
      </c>
      <c r="O578" s="38">
        <v>0</v>
      </c>
      <c r="P578" s="38">
        <v>0</v>
      </c>
      <c r="Q578" s="39">
        <f t="shared" si="66"/>
        <v>0</v>
      </c>
      <c r="R578" s="38">
        <v>1</v>
      </c>
      <c r="S578" s="38">
        <v>1</v>
      </c>
      <c r="T578" s="39">
        <f t="shared" si="67"/>
        <v>45000</v>
      </c>
      <c r="U578" s="38">
        <v>0</v>
      </c>
      <c r="V578" s="38">
        <v>0</v>
      </c>
      <c r="W578" s="39">
        <f t="shared" si="68"/>
        <v>0</v>
      </c>
      <c r="X578" s="38"/>
      <c r="Y578" s="38"/>
      <c r="Z578" s="39">
        <f t="shared" si="69"/>
        <v>0</v>
      </c>
      <c r="AA578" s="38"/>
      <c r="AB578" s="38"/>
      <c r="AC578" s="39">
        <f t="shared" si="70"/>
        <v>0</v>
      </c>
      <c r="AD578" s="38"/>
      <c r="AE578" s="38"/>
      <c r="AF578" s="39">
        <f t="shared" si="71"/>
        <v>0</v>
      </c>
    </row>
    <row r="579" spans="2:32" ht="15" customHeight="1" x14ac:dyDescent="0.3">
      <c r="B579" s="2" t="s">
        <v>836</v>
      </c>
      <c r="C579" s="4" t="s">
        <v>1076</v>
      </c>
      <c r="D579" s="3" t="s">
        <v>1100</v>
      </c>
      <c r="E579" s="6" t="s">
        <v>1101</v>
      </c>
      <c r="F579" s="6" t="s">
        <v>163</v>
      </c>
      <c r="G579" s="6" t="s">
        <v>712</v>
      </c>
      <c r="H579" s="25">
        <v>214.29</v>
      </c>
      <c r="I579" s="38">
        <v>25</v>
      </c>
      <c r="J579" s="38">
        <v>1</v>
      </c>
      <c r="K579" s="39">
        <f t="shared" ref="K579:K642" si="72">H579*I579*J579</f>
        <v>5357.25</v>
      </c>
      <c r="L579" s="38">
        <v>0</v>
      </c>
      <c r="M579" s="38">
        <v>0</v>
      </c>
      <c r="N579" s="39">
        <f t="shared" ref="N579:N642" si="73">H579*L579*M579</f>
        <v>0</v>
      </c>
      <c r="O579" s="38">
        <v>0</v>
      </c>
      <c r="P579" s="38">
        <v>0</v>
      </c>
      <c r="Q579" s="39">
        <f t="shared" ref="Q579:Q642" si="74">H579*O579*P579</f>
        <v>0</v>
      </c>
      <c r="R579" s="38">
        <v>25</v>
      </c>
      <c r="S579" s="38">
        <v>1</v>
      </c>
      <c r="T579" s="39">
        <f t="shared" ref="T579:T642" si="75">H579*R579*S579</f>
        <v>5357.25</v>
      </c>
      <c r="U579" s="38">
        <v>0</v>
      </c>
      <c r="V579" s="38">
        <v>0</v>
      </c>
      <c r="W579" s="39">
        <f t="shared" ref="W579:W642" si="76">H579*U579*V579</f>
        <v>0</v>
      </c>
      <c r="X579" s="38"/>
      <c r="Y579" s="38"/>
      <c r="Z579" s="39">
        <f t="shared" ref="Z579:Z642" si="77">H579*X579*Y579</f>
        <v>0</v>
      </c>
      <c r="AA579" s="38"/>
      <c r="AB579" s="38"/>
      <c r="AC579" s="39">
        <f t="shared" ref="AC579:AC642" si="78">H579*AA579*AB579</f>
        <v>0</v>
      </c>
      <c r="AD579" s="38"/>
      <c r="AE579" s="38"/>
      <c r="AF579" s="39">
        <f t="shared" ref="AF579:AF642" si="79">H579*AD579*AE579</f>
        <v>0</v>
      </c>
    </row>
    <row r="580" spans="2:32" ht="15" customHeight="1" x14ac:dyDescent="0.3">
      <c r="B580" s="2" t="s">
        <v>836</v>
      </c>
      <c r="C580" s="4" t="s">
        <v>1076</v>
      </c>
      <c r="D580" s="3" t="s">
        <v>1100</v>
      </c>
      <c r="E580" s="6" t="s">
        <v>1101</v>
      </c>
      <c r="F580" s="6" t="s">
        <v>1027</v>
      </c>
      <c r="G580" s="6" t="s">
        <v>709</v>
      </c>
      <c r="H580" s="25">
        <v>28000</v>
      </c>
      <c r="I580" s="38">
        <v>4000</v>
      </c>
      <c r="J580" s="38">
        <v>1</v>
      </c>
      <c r="K580" s="39">
        <f t="shared" si="72"/>
        <v>112000000</v>
      </c>
      <c r="L580" s="38">
        <v>0</v>
      </c>
      <c r="M580" s="38">
        <v>0</v>
      </c>
      <c r="N580" s="39">
        <f t="shared" si="73"/>
        <v>0</v>
      </c>
      <c r="O580" s="38">
        <v>0</v>
      </c>
      <c r="P580" s="38">
        <v>0</v>
      </c>
      <c r="Q580" s="39">
        <f t="shared" si="74"/>
        <v>0</v>
      </c>
      <c r="R580" s="38">
        <v>4000</v>
      </c>
      <c r="S580" s="38">
        <v>1</v>
      </c>
      <c r="T580" s="39">
        <f t="shared" si="75"/>
        <v>112000000</v>
      </c>
      <c r="U580" s="38">
        <v>0</v>
      </c>
      <c r="V580" s="38">
        <v>0</v>
      </c>
      <c r="W580" s="39">
        <f t="shared" si="76"/>
        <v>0</v>
      </c>
      <c r="X580" s="38"/>
      <c r="Y580" s="38"/>
      <c r="Z580" s="39">
        <f t="shared" si="77"/>
        <v>0</v>
      </c>
      <c r="AA580" s="38"/>
      <c r="AB580" s="38"/>
      <c r="AC580" s="39">
        <f t="shared" si="78"/>
        <v>0</v>
      </c>
      <c r="AD580" s="38"/>
      <c r="AE580" s="38"/>
      <c r="AF580" s="39">
        <f t="shared" si="79"/>
        <v>0</v>
      </c>
    </row>
    <row r="581" spans="2:32" ht="15" customHeight="1" x14ac:dyDescent="0.3">
      <c r="B581" s="2" t="s">
        <v>836</v>
      </c>
      <c r="C581" s="4" t="s">
        <v>1076</v>
      </c>
      <c r="D581" s="3" t="s">
        <v>1100</v>
      </c>
      <c r="E581" s="6" t="s">
        <v>1101</v>
      </c>
      <c r="F581" s="6" t="s">
        <v>157</v>
      </c>
      <c r="G581" s="6" t="s">
        <v>713</v>
      </c>
      <c r="H581" s="25">
        <v>45000</v>
      </c>
      <c r="I581" s="38">
        <v>30</v>
      </c>
      <c r="J581" s="38">
        <v>1</v>
      </c>
      <c r="K581" s="39">
        <f t="shared" si="72"/>
        <v>1350000</v>
      </c>
      <c r="L581" s="38">
        <v>0</v>
      </c>
      <c r="M581" s="38">
        <v>0</v>
      </c>
      <c r="N581" s="39">
        <f t="shared" si="73"/>
        <v>0</v>
      </c>
      <c r="O581" s="38">
        <v>0</v>
      </c>
      <c r="P581" s="38">
        <v>0</v>
      </c>
      <c r="Q581" s="39">
        <f t="shared" si="74"/>
        <v>0</v>
      </c>
      <c r="R581" s="38">
        <v>30</v>
      </c>
      <c r="S581" s="38">
        <v>1</v>
      </c>
      <c r="T581" s="39">
        <f t="shared" si="75"/>
        <v>1350000</v>
      </c>
      <c r="U581" s="38">
        <v>0</v>
      </c>
      <c r="V581" s="38">
        <v>0</v>
      </c>
      <c r="W581" s="39">
        <f t="shared" si="76"/>
        <v>0</v>
      </c>
      <c r="X581" s="38"/>
      <c r="Y581" s="38"/>
      <c r="Z581" s="39">
        <f t="shared" si="77"/>
        <v>0</v>
      </c>
      <c r="AA581" s="38"/>
      <c r="AB581" s="38"/>
      <c r="AC581" s="39">
        <f t="shared" si="78"/>
        <v>0</v>
      </c>
      <c r="AD581" s="38"/>
      <c r="AE581" s="38"/>
      <c r="AF581" s="39">
        <f t="shared" si="79"/>
        <v>0</v>
      </c>
    </row>
    <row r="582" spans="2:32" ht="15" customHeight="1" x14ac:dyDescent="0.3">
      <c r="B582" s="2" t="s">
        <v>836</v>
      </c>
      <c r="C582" s="4" t="s">
        <v>1076</v>
      </c>
      <c r="D582" s="3" t="s">
        <v>1100</v>
      </c>
      <c r="E582" s="6" t="s">
        <v>1101</v>
      </c>
      <c r="F582" s="6" t="s">
        <v>157</v>
      </c>
      <c r="G582" s="6" t="s">
        <v>712</v>
      </c>
      <c r="H582" s="25">
        <v>214.29</v>
      </c>
      <c r="I582" s="38">
        <v>25</v>
      </c>
      <c r="J582" s="38">
        <v>10</v>
      </c>
      <c r="K582" s="39">
        <f t="shared" si="72"/>
        <v>53572.5</v>
      </c>
      <c r="L582" s="38">
        <v>0</v>
      </c>
      <c r="M582" s="38">
        <v>0</v>
      </c>
      <c r="N582" s="39">
        <f t="shared" si="73"/>
        <v>0</v>
      </c>
      <c r="O582" s="38">
        <v>0</v>
      </c>
      <c r="P582" s="38">
        <v>0</v>
      </c>
      <c r="Q582" s="39">
        <f t="shared" si="74"/>
        <v>0</v>
      </c>
      <c r="R582" s="38">
        <v>25</v>
      </c>
      <c r="S582" s="38">
        <v>10</v>
      </c>
      <c r="T582" s="39">
        <f t="shared" si="75"/>
        <v>53572.5</v>
      </c>
      <c r="U582" s="38">
        <v>0</v>
      </c>
      <c r="V582" s="38">
        <v>0</v>
      </c>
      <c r="W582" s="39">
        <f t="shared" si="76"/>
        <v>0</v>
      </c>
      <c r="X582" s="38"/>
      <c r="Y582" s="38"/>
      <c r="Z582" s="39">
        <f t="shared" si="77"/>
        <v>0</v>
      </c>
      <c r="AA582" s="38"/>
      <c r="AB582" s="38"/>
      <c r="AC582" s="39">
        <f t="shared" si="78"/>
        <v>0</v>
      </c>
      <c r="AD582" s="38"/>
      <c r="AE582" s="38"/>
      <c r="AF582" s="39">
        <f t="shared" si="79"/>
        <v>0</v>
      </c>
    </row>
    <row r="583" spans="2:32" ht="15" customHeight="1" x14ac:dyDescent="0.3">
      <c r="B583" s="2" t="s">
        <v>836</v>
      </c>
      <c r="C583" s="4" t="s">
        <v>1076</v>
      </c>
      <c r="D583" s="3" t="s">
        <v>1100</v>
      </c>
      <c r="E583" s="6" t="s">
        <v>1101</v>
      </c>
      <c r="F583" s="6" t="s">
        <v>157</v>
      </c>
      <c r="G583" s="6" t="s">
        <v>1041</v>
      </c>
      <c r="H583" s="25">
        <v>10000</v>
      </c>
      <c r="I583" s="38">
        <v>20000</v>
      </c>
      <c r="J583" s="38">
        <v>1</v>
      </c>
      <c r="K583" s="39">
        <f t="shared" si="72"/>
        <v>200000000</v>
      </c>
      <c r="L583" s="38">
        <v>0</v>
      </c>
      <c r="M583" s="38">
        <v>0</v>
      </c>
      <c r="N583" s="39">
        <f t="shared" si="73"/>
        <v>0</v>
      </c>
      <c r="O583" s="38">
        <v>0</v>
      </c>
      <c r="P583" s="38">
        <v>0</v>
      </c>
      <c r="Q583" s="39">
        <f t="shared" si="74"/>
        <v>0</v>
      </c>
      <c r="R583" s="38">
        <v>20000</v>
      </c>
      <c r="S583" s="38">
        <v>1</v>
      </c>
      <c r="T583" s="39">
        <f t="shared" si="75"/>
        <v>200000000</v>
      </c>
      <c r="U583" s="38">
        <v>0</v>
      </c>
      <c r="V583" s="38">
        <v>0</v>
      </c>
      <c r="W583" s="39">
        <f t="shared" si="76"/>
        <v>0</v>
      </c>
      <c r="X583" s="38"/>
      <c r="Y583" s="38"/>
      <c r="Z583" s="39">
        <f t="shared" si="77"/>
        <v>0</v>
      </c>
      <c r="AA583" s="38"/>
      <c r="AB583" s="38"/>
      <c r="AC583" s="39">
        <f t="shared" si="78"/>
        <v>0</v>
      </c>
      <c r="AD583" s="38"/>
      <c r="AE583" s="38"/>
      <c r="AF583" s="39">
        <f t="shared" si="79"/>
        <v>0</v>
      </c>
    </row>
    <row r="584" spans="2:32" ht="15" customHeight="1" x14ac:dyDescent="0.3">
      <c r="B584" s="2" t="s">
        <v>836</v>
      </c>
      <c r="C584" s="4" t="s">
        <v>1076</v>
      </c>
      <c r="D584" s="3" t="s">
        <v>1100</v>
      </c>
      <c r="E584" s="6" t="s">
        <v>1101</v>
      </c>
      <c r="F584" s="6" t="s">
        <v>1004</v>
      </c>
      <c r="G584" s="6" t="s">
        <v>709</v>
      </c>
      <c r="H584" s="25">
        <v>28000</v>
      </c>
      <c r="I584" s="38">
        <v>15</v>
      </c>
      <c r="J584" s="38">
        <v>1</v>
      </c>
      <c r="K584" s="39">
        <f t="shared" si="72"/>
        <v>420000</v>
      </c>
      <c r="L584" s="38">
        <v>0</v>
      </c>
      <c r="M584" s="38">
        <v>0</v>
      </c>
      <c r="N584" s="39">
        <f t="shared" si="73"/>
        <v>0</v>
      </c>
      <c r="O584" s="38">
        <v>0</v>
      </c>
      <c r="P584" s="38">
        <v>0</v>
      </c>
      <c r="Q584" s="39">
        <f t="shared" si="74"/>
        <v>0</v>
      </c>
      <c r="R584" s="38">
        <v>15</v>
      </c>
      <c r="S584" s="38">
        <v>1</v>
      </c>
      <c r="T584" s="39">
        <f t="shared" si="75"/>
        <v>420000</v>
      </c>
      <c r="U584" s="38">
        <v>0</v>
      </c>
      <c r="V584" s="38">
        <v>0</v>
      </c>
      <c r="W584" s="39">
        <f t="shared" si="76"/>
        <v>0</v>
      </c>
      <c r="X584" s="38"/>
      <c r="Y584" s="38"/>
      <c r="Z584" s="39">
        <f t="shared" si="77"/>
        <v>0</v>
      </c>
      <c r="AA584" s="38"/>
      <c r="AB584" s="38"/>
      <c r="AC584" s="39">
        <f t="shared" si="78"/>
        <v>0</v>
      </c>
      <c r="AD584" s="38"/>
      <c r="AE584" s="38"/>
      <c r="AF584" s="39">
        <f t="shared" si="79"/>
        <v>0</v>
      </c>
    </row>
    <row r="585" spans="2:32" ht="15" customHeight="1" x14ac:dyDescent="0.3">
      <c r="B585" s="2" t="s">
        <v>836</v>
      </c>
      <c r="C585" s="4" t="s">
        <v>1076</v>
      </c>
      <c r="D585" s="3" t="s">
        <v>1100</v>
      </c>
      <c r="E585" s="6" t="s">
        <v>1101</v>
      </c>
      <c r="F585" s="6" t="s">
        <v>1004</v>
      </c>
      <c r="G585" s="6" t="s">
        <v>716</v>
      </c>
      <c r="H585" s="25">
        <v>39000</v>
      </c>
      <c r="I585" s="38">
        <v>25</v>
      </c>
      <c r="J585" s="38">
        <v>5</v>
      </c>
      <c r="K585" s="39">
        <f t="shared" si="72"/>
        <v>4875000</v>
      </c>
      <c r="L585" s="38">
        <v>0</v>
      </c>
      <c r="M585" s="38">
        <v>0</v>
      </c>
      <c r="N585" s="39">
        <f t="shared" si="73"/>
        <v>0</v>
      </c>
      <c r="O585" s="38">
        <v>0</v>
      </c>
      <c r="P585" s="38">
        <v>0</v>
      </c>
      <c r="Q585" s="39">
        <f t="shared" si="74"/>
        <v>0</v>
      </c>
      <c r="R585" s="38">
        <v>25</v>
      </c>
      <c r="S585" s="38">
        <v>5</v>
      </c>
      <c r="T585" s="39">
        <f t="shared" si="75"/>
        <v>4875000</v>
      </c>
      <c r="U585" s="38">
        <v>0</v>
      </c>
      <c r="V585" s="38">
        <v>0</v>
      </c>
      <c r="W585" s="39">
        <f t="shared" si="76"/>
        <v>0</v>
      </c>
      <c r="X585" s="38"/>
      <c r="Y585" s="38"/>
      <c r="Z585" s="39">
        <f t="shared" si="77"/>
        <v>0</v>
      </c>
      <c r="AA585" s="38"/>
      <c r="AB585" s="38"/>
      <c r="AC585" s="39">
        <f t="shared" si="78"/>
        <v>0</v>
      </c>
      <c r="AD585" s="38"/>
      <c r="AE585" s="38"/>
      <c r="AF585" s="39">
        <f t="shared" si="79"/>
        <v>0</v>
      </c>
    </row>
    <row r="586" spans="2:32" ht="15" customHeight="1" x14ac:dyDescent="0.3">
      <c r="B586" s="2" t="s">
        <v>836</v>
      </c>
      <c r="C586" s="4" t="s">
        <v>1076</v>
      </c>
      <c r="D586" s="3" t="s">
        <v>1100</v>
      </c>
      <c r="E586" s="6" t="s">
        <v>1101</v>
      </c>
      <c r="F586" s="6" t="s">
        <v>1004</v>
      </c>
      <c r="G586" s="6" t="s">
        <v>712</v>
      </c>
      <c r="H586" s="25">
        <v>214.29</v>
      </c>
      <c r="I586" s="38">
        <v>25</v>
      </c>
      <c r="J586" s="38">
        <v>5</v>
      </c>
      <c r="K586" s="39">
        <f t="shared" si="72"/>
        <v>26786.25</v>
      </c>
      <c r="L586" s="38">
        <v>0</v>
      </c>
      <c r="M586" s="38">
        <v>0</v>
      </c>
      <c r="N586" s="39">
        <f t="shared" si="73"/>
        <v>0</v>
      </c>
      <c r="O586" s="38">
        <v>0</v>
      </c>
      <c r="P586" s="38">
        <v>0</v>
      </c>
      <c r="Q586" s="39">
        <f t="shared" si="74"/>
        <v>0</v>
      </c>
      <c r="R586" s="38">
        <v>25</v>
      </c>
      <c r="S586" s="38">
        <v>5</v>
      </c>
      <c r="T586" s="39">
        <f t="shared" si="75"/>
        <v>26786.25</v>
      </c>
      <c r="U586" s="38">
        <v>0</v>
      </c>
      <c r="V586" s="38">
        <v>0</v>
      </c>
      <c r="W586" s="39">
        <f t="shared" si="76"/>
        <v>0</v>
      </c>
      <c r="X586" s="38"/>
      <c r="Y586" s="38"/>
      <c r="Z586" s="39">
        <f t="shared" si="77"/>
        <v>0</v>
      </c>
      <c r="AA586" s="38"/>
      <c r="AB586" s="38"/>
      <c r="AC586" s="39">
        <f t="shared" si="78"/>
        <v>0</v>
      </c>
      <c r="AD586" s="38"/>
      <c r="AE586" s="38"/>
      <c r="AF586" s="39">
        <f t="shared" si="79"/>
        <v>0</v>
      </c>
    </row>
    <row r="587" spans="2:32" ht="15" customHeight="1" x14ac:dyDescent="0.3">
      <c r="B587" s="2" t="s">
        <v>836</v>
      </c>
      <c r="C587" s="4" t="s">
        <v>1076</v>
      </c>
      <c r="D587" s="3" t="s">
        <v>1100</v>
      </c>
      <c r="E587" s="6" t="s">
        <v>1101</v>
      </c>
      <c r="F587" s="6" t="s">
        <v>1104</v>
      </c>
      <c r="G587" s="6" t="s">
        <v>841</v>
      </c>
      <c r="H587" s="25">
        <v>0</v>
      </c>
      <c r="I587" s="38">
        <v>4000</v>
      </c>
      <c r="J587" s="38">
        <v>1</v>
      </c>
      <c r="K587" s="39">
        <f t="shared" si="72"/>
        <v>0</v>
      </c>
      <c r="L587" s="38">
        <v>0</v>
      </c>
      <c r="M587" s="38">
        <v>0</v>
      </c>
      <c r="N587" s="39">
        <f t="shared" si="73"/>
        <v>0</v>
      </c>
      <c r="O587" s="38">
        <v>0</v>
      </c>
      <c r="P587" s="38">
        <v>0</v>
      </c>
      <c r="Q587" s="39">
        <f t="shared" si="74"/>
        <v>0</v>
      </c>
      <c r="R587" s="38">
        <v>4000</v>
      </c>
      <c r="S587" s="38">
        <v>1</v>
      </c>
      <c r="T587" s="39">
        <f t="shared" si="75"/>
        <v>0</v>
      </c>
      <c r="U587" s="38">
        <v>0</v>
      </c>
      <c r="V587" s="38">
        <v>0</v>
      </c>
      <c r="W587" s="39">
        <f t="shared" si="76"/>
        <v>0</v>
      </c>
      <c r="X587" s="38"/>
      <c r="Y587" s="38"/>
      <c r="Z587" s="39">
        <f t="shared" si="77"/>
        <v>0</v>
      </c>
      <c r="AA587" s="38"/>
      <c r="AB587" s="38"/>
      <c r="AC587" s="39">
        <f t="shared" si="78"/>
        <v>0</v>
      </c>
      <c r="AD587" s="38"/>
      <c r="AE587" s="38"/>
      <c r="AF587" s="39">
        <f t="shared" si="79"/>
        <v>0</v>
      </c>
    </row>
    <row r="588" spans="2:32" ht="15" customHeight="1" x14ac:dyDescent="0.3">
      <c r="B588" s="2" t="s">
        <v>836</v>
      </c>
      <c r="C588" s="4" t="s">
        <v>1076</v>
      </c>
      <c r="D588" s="3" t="s">
        <v>1100</v>
      </c>
      <c r="E588" s="6" t="s">
        <v>1101</v>
      </c>
      <c r="F588" s="6" t="s">
        <v>168</v>
      </c>
      <c r="G588" s="6" t="s">
        <v>716</v>
      </c>
      <c r="H588" s="25">
        <v>39000</v>
      </c>
      <c r="I588" s="38">
        <v>0</v>
      </c>
      <c r="J588" s="38">
        <v>0</v>
      </c>
      <c r="K588" s="39">
        <f t="shared" si="72"/>
        <v>0</v>
      </c>
      <c r="L588" s="38">
        <v>0</v>
      </c>
      <c r="M588" s="38">
        <v>0</v>
      </c>
      <c r="N588" s="39">
        <f t="shared" si="73"/>
        <v>0</v>
      </c>
      <c r="O588" s="38">
        <v>0</v>
      </c>
      <c r="P588" s="38">
        <v>0</v>
      </c>
      <c r="Q588" s="39">
        <f t="shared" si="74"/>
        <v>0</v>
      </c>
      <c r="R588" s="38">
        <v>0</v>
      </c>
      <c r="S588" s="38">
        <v>0</v>
      </c>
      <c r="T588" s="39">
        <f t="shared" si="75"/>
        <v>0</v>
      </c>
      <c r="U588" s="38">
        <v>0</v>
      </c>
      <c r="V588" s="38">
        <v>0</v>
      </c>
      <c r="W588" s="39">
        <f t="shared" si="76"/>
        <v>0</v>
      </c>
      <c r="X588" s="38"/>
      <c r="Y588" s="38"/>
      <c r="Z588" s="39">
        <f t="shared" si="77"/>
        <v>0</v>
      </c>
      <c r="AA588" s="38"/>
      <c r="AB588" s="38"/>
      <c r="AC588" s="39">
        <f t="shared" si="78"/>
        <v>0</v>
      </c>
      <c r="AD588" s="38"/>
      <c r="AE588" s="38"/>
      <c r="AF588" s="39">
        <f t="shared" si="79"/>
        <v>0</v>
      </c>
    </row>
    <row r="589" spans="2:32" ht="15" customHeight="1" x14ac:dyDescent="0.3">
      <c r="B589" s="2" t="s">
        <v>836</v>
      </c>
      <c r="C589" s="4" t="s">
        <v>1076</v>
      </c>
      <c r="D589" s="3" t="s">
        <v>1100</v>
      </c>
      <c r="E589" s="6" t="s">
        <v>1101</v>
      </c>
      <c r="F589" s="6" t="s">
        <v>168</v>
      </c>
      <c r="G589" s="6" t="s">
        <v>709</v>
      </c>
      <c r="H589" s="25">
        <v>28000</v>
      </c>
      <c r="I589" s="38">
        <v>20</v>
      </c>
      <c r="J589" s="38">
        <v>1</v>
      </c>
      <c r="K589" s="39">
        <f t="shared" si="72"/>
        <v>560000</v>
      </c>
      <c r="L589" s="38">
        <v>0</v>
      </c>
      <c r="M589" s="38">
        <v>0</v>
      </c>
      <c r="N589" s="39">
        <f t="shared" si="73"/>
        <v>0</v>
      </c>
      <c r="O589" s="38">
        <v>0</v>
      </c>
      <c r="P589" s="38">
        <v>0</v>
      </c>
      <c r="Q589" s="39">
        <f t="shared" si="74"/>
        <v>0</v>
      </c>
      <c r="R589" s="38">
        <v>20</v>
      </c>
      <c r="S589" s="38">
        <v>1</v>
      </c>
      <c r="T589" s="39">
        <f t="shared" si="75"/>
        <v>560000</v>
      </c>
      <c r="U589" s="38">
        <v>0</v>
      </c>
      <c r="V589" s="38">
        <v>0</v>
      </c>
      <c r="W589" s="39">
        <f t="shared" si="76"/>
        <v>0</v>
      </c>
      <c r="X589" s="38"/>
      <c r="Y589" s="38"/>
      <c r="Z589" s="39">
        <f t="shared" si="77"/>
        <v>0</v>
      </c>
      <c r="AA589" s="38"/>
      <c r="AB589" s="38"/>
      <c r="AC589" s="39">
        <f t="shared" si="78"/>
        <v>0</v>
      </c>
      <c r="AD589" s="38"/>
      <c r="AE589" s="38"/>
      <c r="AF589" s="39">
        <f t="shared" si="79"/>
        <v>0</v>
      </c>
    </row>
    <row r="590" spans="2:32" ht="15" customHeight="1" x14ac:dyDescent="0.3">
      <c r="B590" s="2" t="s">
        <v>836</v>
      </c>
      <c r="C590" s="4" t="s">
        <v>1076</v>
      </c>
      <c r="D590" s="3" t="s">
        <v>1100</v>
      </c>
      <c r="E590" s="6" t="s">
        <v>1101</v>
      </c>
      <c r="F590" s="6" t="s">
        <v>168</v>
      </c>
      <c r="G590" s="6" t="s">
        <v>712</v>
      </c>
      <c r="H590" s="25">
        <v>214.29</v>
      </c>
      <c r="I590" s="38">
        <v>50</v>
      </c>
      <c r="J590" s="38">
        <v>1</v>
      </c>
      <c r="K590" s="39">
        <f t="shared" si="72"/>
        <v>10714.5</v>
      </c>
      <c r="L590" s="38">
        <v>0</v>
      </c>
      <c r="M590" s="38">
        <v>0</v>
      </c>
      <c r="N590" s="39">
        <f t="shared" si="73"/>
        <v>0</v>
      </c>
      <c r="O590" s="38">
        <v>0</v>
      </c>
      <c r="P590" s="38">
        <v>0</v>
      </c>
      <c r="Q590" s="39">
        <f t="shared" si="74"/>
        <v>0</v>
      </c>
      <c r="R590" s="38">
        <v>50</v>
      </c>
      <c r="S590" s="38">
        <v>1</v>
      </c>
      <c r="T590" s="39">
        <f t="shared" si="75"/>
        <v>10714.5</v>
      </c>
      <c r="U590" s="38">
        <v>0</v>
      </c>
      <c r="V590" s="38">
        <v>0</v>
      </c>
      <c r="W590" s="39">
        <f t="shared" si="76"/>
        <v>0</v>
      </c>
      <c r="X590" s="38"/>
      <c r="Y590" s="38"/>
      <c r="Z590" s="39">
        <f t="shared" si="77"/>
        <v>0</v>
      </c>
      <c r="AA590" s="38"/>
      <c r="AB590" s="38"/>
      <c r="AC590" s="39">
        <f t="shared" si="78"/>
        <v>0</v>
      </c>
      <c r="AD590" s="38"/>
      <c r="AE590" s="38"/>
      <c r="AF590" s="39">
        <f t="shared" si="79"/>
        <v>0</v>
      </c>
    </row>
    <row r="591" spans="2:32" ht="15" customHeight="1" x14ac:dyDescent="0.3">
      <c r="B591" s="2" t="s">
        <v>836</v>
      </c>
      <c r="C591" s="4" t="s">
        <v>1076</v>
      </c>
      <c r="D591" s="3" t="s">
        <v>1100</v>
      </c>
      <c r="E591" s="6" t="s">
        <v>1101</v>
      </c>
      <c r="F591" s="6" t="s">
        <v>178</v>
      </c>
      <c r="G591" s="6" t="s">
        <v>711</v>
      </c>
      <c r="H591" s="25">
        <v>70</v>
      </c>
      <c r="I591" s="38">
        <v>4000</v>
      </c>
      <c r="J591" s="38">
        <v>1</v>
      </c>
      <c r="K591" s="39">
        <f t="shared" si="72"/>
        <v>280000</v>
      </c>
      <c r="L591" s="38">
        <v>0</v>
      </c>
      <c r="M591" s="38">
        <v>0</v>
      </c>
      <c r="N591" s="39">
        <f t="shared" si="73"/>
        <v>0</v>
      </c>
      <c r="O591" s="38">
        <v>0</v>
      </c>
      <c r="P591" s="38">
        <v>0</v>
      </c>
      <c r="Q591" s="39">
        <f t="shared" si="74"/>
        <v>0</v>
      </c>
      <c r="R591" s="38">
        <v>4000</v>
      </c>
      <c r="S591" s="38">
        <v>1</v>
      </c>
      <c r="T591" s="39">
        <f t="shared" si="75"/>
        <v>280000</v>
      </c>
      <c r="U591" s="38">
        <v>0</v>
      </c>
      <c r="V591" s="38">
        <v>0</v>
      </c>
      <c r="W591" s="39">
        <f t="shared" si="76"/>
        <v>0</v>
      </c>
      <c r="X591" s="38"/>
      <c r="Y591" s="38"/>
      <c r="Z591" s="39">
        <f t="shared" si="77"/>
        <v>0</v>
      </c>
      <c r="AA591" s="38"/>
      <c r="AB591" s="38"/>
      <c r="AC591" s="39">
        <f t="shared" si="78"/>
        <v>0</v>
      </c>
      <c r="AD591" s="38"/>
      <c r="AE591" s="38"/>
      <c r="AF591" s="39">
        <f t="shared" si="79"/>
        <v>0</v>
      </c>
    </row>
    <row r="592" spans="2:32" ht="15" customHeight="1" x14ac:dyDescent="0.3">
      <c r="B592" s="2" t="s">
        <v>836</v>
      </c>
      <c r="C592" s="4" t="s">
        <v>1076</v>
      </c>
      <c r="D592" s="3" t="s">
        <v>1100</v>
      </c>
      <c r="E592" s="6" t="s">
        <v>1101</v>
      </c>
      <c r="F592" s="6" t="s">
        <v>178</v>
      </c>
      <c r="G592" s="6" t="s">
        <v>717</v>
      </c>
      <c r="H592" s="25">
        <v>104850</v>
      </c>
      <c r="I592" s="38">
        <v>50000</v>
      </c>
      <c r="J592" s="38">
        <v>1</v>
      </c>
      <c r="K592" s="39">
        <f t="shared" si="72"/>
        <v>5242500000</v>
      </c>
      <c r="L592" s="38">
        <v>0</v>
      </c>
      <c r="M592" s="38">
        <v>0</v>
      </c>
      <c r="N592" s="39">
        <f t="shared" si="73"/>
        <v>0</v>
      </c>
      <c r="O592" s="38">
        <v>0</v>
      </c>
      <c r="P592" s="38">
        <v>0</v>
      </c>
      <c r="Q592" s="39">
        <f t="shared" si="74"/>
        <v>0</v>
      </c>
      <c r="R592" s="38">
        <v>50000</v>
      </c>
      <c r="S592" s="38">
        <v>1</v>
      </c>
      <c r="T592" s="39">
        <f t="shared" si="75"/>
        <v>5242500000</v>
      </c>
      <c r="U592" s="38">
        <v>0</v>
      </c>
      <c r="V592" s="38">
        <v>0</v>
      </c>
      <c r="W592" s="39">
        <f t="shared" si="76"/>
        <v>0</v>
      </c>
      <c r="X592" s="38"/>
      <c r="Y592" s="38"/>
      <c r="Z592" s="39">
        <f t="shared" si="77"/>
        <v>0</v>
      </c>
      <c r="AA592" s="38"/>
      <c r="AB592" s="38"/>
      <c r="AC592" s="39">
        <f t="shared" si="78"/>
        <v>0</v>
      </c>
      <c r="AD592" s="38"/>
      <c r="AE592" s="38"/>
      <c r="AF592" s="39">
        <f t="shared" si="79"/>
        <v>0</v>
      </c>
    </row>
    <row r="593" spans="2:32" ht="15" customHeight="1" x14ac:dyDescent="0.3">
      <c r="B593" s="2" t="s">
        <v>836</v>
      </c>
      <c r="C593" s="4" t="s">
        <v>1076</v>
      </c>
      <c r="D593" s="3" t="s">
        <v>1100</v>
      </c>
      <c r="E593" s="6" t="s">
        <v>1101</v>
      </c>
      <c r="F593" s="6" t="s">
        <v>178</v>
      </c>
      <c r="G593" s="6" t="s">
        <v>709</v>
      </c>
      <c r="H593" s="25">
        <v>28000</v>
      </c>
      <c r="I593" s="38">
        <v>5</v>
      </c>
      <c r="J593" s="38">
        <v>1</v>
      </c>
      <c r="K593" s="39">
        <f t="shared" si="72"/>
        <v>140000</v>
      </c>
      <c r="L593" s="38">
        <v>0</v>
      </c>
      <c r="M593" s="38">
        <v>0</v>
      </c>
      <c r="N593" s="39">
        <f t="shared" si="73"/>
        <v>0</v>
      </c>
      <c r="O593" s="38">
        <v>0</v>
      </c>
      <c r="P593" s="38">
        <v>0</v>
      </c>
      <c r="Q593" s="39">
        <f t="shared" si="74"/>
        <v>0</v>
      </c>
      <c r="R593" s="38">
        <v>5</v>
      </c>
      <c r="S593" s="38">
        <v>1</v>
      </c>
      <c r="T593" s="39">
        <f t="shared" si="75"/>
        <v>140000</v>
      </c>
      <c r="U593" s="38">
        <v>0</v>
      </c>
      <c r="V593" s="38">
        <v>0</v>
      </c>
      <c r="W593" s="39">
        <f t="shared" si="76"/>
        <v>0</v>
      </c>
      <c r="X593" s="38"/>
      <c r="Y593" s="38"/>
      <c r="Z593" s="39">
        <f t="shared" si="77"/>
        <v>0</v>
      </c>
      <c r="AA593" s="38"/>
      <c r="AB593" s="38"/>
      <c r="AC593" s="39">
        <f t="shared" si="78"/>
        <v>0</v>
      </c>
      <c r="AD593" s="38"/>
      <c r="AE593" s="38"/>
      <c r="AF593" s="39">
        <f t="shared" si="79"/>
        <v>0</v>
      </c>
    </row>
    <row r="594" spans="2:32" ht="15" customHeight="1" x14ac:dyDescent="0.3">
      <c r="B594" s="2" t="s">
        <v>836</v>
      </c>
      <c r="C594" s="4" t="s">
        <v>1076</v>
      </c>
      <c r="D594" s="3" t="s">
        <v>1100</v>
      </c>
      <c r="E594" s="6" t="s">
        <v>1101</v>
      </c>
      <c r="F594" s="6" t="s">
        <v>178</v>
      </c>
      <c r="G594" s="6" t="s">
        <v>716</v>
      </c>
      <c r="H594" s="25">
        <v>39000</v>
      </c>
      <c r="I594" s="38">
        <v>100</v>
      </c>
      <c r="J594" s="38">
        <v>1</v>
      </c>
      <c r="K594" s="39">
        <f t="shared" si="72"/>
        <v>3900000</v>
      </c>
      <c r="L594" s="38">
        <v>0</v>
      </c>
      <c r="M594" s="38">
        <v>0</v>
      </c>
      <c r="N594" s="39">
        <f t="shared" si="73"/>
        <v>0</v>
      </c>
      <c r="O594" s="38">
        <v>0</v>
      </c>
      <c r="P594" s="38">
        <v>0</v>
      </c>
      <c r="Q594" s="39">
        <f t="shared" si="74"/>
        <v>0</v>
      </c>
      <c r="R594" s="38">
        <v>100</v>
      </c>
      <c r="S594" s="38">
        <v>1</v>
      </c>
      <c r="T594" s="39">
        <f t="shared" si="75"/>
        <v>3900000</v>
      </c>
      <c r="U594" s="38">
        <v>0</v>
      </c>
      <c r="V594" s="38">
        <v>0</v>
      </c>
      <c r="W594" s="39">
        <f t="shared" si="76"/>
        <v>0</v>
      </c>
      <c r="X594" s="38"/>
      <c r="Y594" s="38"/>
      <c r="Z594" s="39">
        <f t="shared" si="77"/>
        <v>0</v>
      </c>
      <c r="AA594" s="38"/>
      <c r="AB594" s="38"/>
      <c r="AC594" s="39">
        <f t="shared" si="78"/>
        <v>0</v>
      </c>
      <c r="AD594" s="38"/>
      <c r="AE594" s="38"/>
      <c r="AF594" s="39">
        <f t="shared" si="79"/>
        <v>0</v>
      </c>
    </row>
    <row r="595" spans="2:32" ht="15" customHeight="1" x14ac:dyDescent="0.3">
      <c r="B595" s="2" t="s">
        <v>836</v>
      </c>
      <c r="C595" s="4" t="s">
        <v>1076</v>
      </c>
      <c r="D595" s="3" t="s">
        <v>1100</v>
      </c>
      <c r="E595" s="6" t="s">
        <v>1101</v>
      </c>
      <c r="F595" s="6" t="s">
        <v>178</v>
      </c>
      <c r="G595" s="6" t="s">
        <v>1029</v>
      </c>
      <c r="H595" s="25">
        <v>214.29</v>
      </c>
      <c r="I595" s="38">
        <v>30</v>
      </c>
      <c r="J595" s="38">
        <v>1</v>
      </c>
      <c r="K595" s="39">
        <f t="shared" si="72"/>
        <v>6428.7</v>
      </c>
      <c r="L595" s="38">
        <v>0</v>
      </c>
      <c r="M595" s="38">
        <v>0</v>
      </c>
      <c r="N595" s="39">
        <f t="shared" si="73"/>
        <v>0</v>
      </c>
      <c r="O595" s="38">
        <v>0</v>
      </c>
      <c r="P595" s="38">
        <v>0</v>
      </c>
      <c r="Q595" s="39">
        <f t="shared" si="74"/>
        <v>0</v>
      </c>
      <c r="R595" s="38">
        <v>30</v>
      </c>
      <c r="S595" s="38">
        <v>1</v>
      </c>
      <c r="T595" s="39">
        <f t="shared" si="75"/>
        <v>6428.7</v>
      </c>
      <c r="U595" s="38">
        <v>0</v>
      </c>
      <c r="V595" s="38">
        <v>0</v>
      </c>
      <c r="W595" s="39">
        <f t="shared" si="76"/>
        <v>0</v>
      </c>
      <c r="X595" s="38"/>
      <c r="Y595" s="38"/>
      <c r="Z595" s="39">
        <f t="shared" si="77"/>
        <v>0</v>
      </c>
      <c r="AA595" s="38"/>
      <c r="AB595" s="38"/>
      <c r="AC595" s="39">
        <f t="shared" si="78"/>
        <v>0</v>
      </c>
      <c r="AD595" s="38"/>
      <c r="AE595" s="38"/>
      <c r="AF595" s="39">
        <f t="shared" si="79"/>
        <v>0</v>
      </c>
    </row>
    <row r="596" spans="2:32" ht="15" customHeight="1" x14ac:dyDescent="0.3">
      <c r="B596" s="2" t="s">
        <v>836</v>
      </c>
      <c r="C596" s="4" t="s">
        <v>1076</v>
      </c>
      <c r="D596" s="3" t="s">
        <v>1100</v>
      </c>
      <c r="E596" s="6" t="s">
        <v>1101</v>
      </c>
      <c r="F596" s="6" t="s">
        <v>1105</v>
      </c>
      <c r="G596" s="6" t="s">
        <v>709</v>
      </c>
      <c r="H596" s="25">
        <v>28000</v>
      </c>
      <c r="I596" s="38">
        <v>4000</v>
      </c>
      <c r="J596" s="38">
        <v>1</v>
      </c>
      <c r="K596" s="39">
        <f t="shared" si="72"/>
        <v>112000000</v>
      </c>
      <c r="L596" s="38">
        <v>0</v>
      </c>
      <c r="M596" s="38">
        <v>0</v>
      </c>
      <c r="N596" s="39">
        <f t="shared" si="73"/>
        <v>0</v>
      </c>
      <c r="O596" s="38">
        <v>0</v>
      </c>
      <c r="P596" s="38">
        <v>0</v>
      </c>
      <c r="Q596" s="39">
        <f t="shared" si="74"/>
        <v>0</v>
      </c>
      <c r="R596" s="38">
        <v>4000</v>
      </c>
      <c r="S596" s="38">
        <v>1</v>
      </c>
      <c r="T596" s="39">
        <f t="shared" si="75"/>
        <v>112000000</v>
      </c>
      <c r="U596" s="38">
        <v>0</v>
      </c>
      <c r="V596" s="38">
        <v>0</v>
      </c>
      <c r="W596" s="39">
        <f t="shared" si="76"/>
        <v>0</v>
      </c>
      <c r="X596" s="38"/>
      <c r="Y596" s="38"/>
      <c r="Z596" s="39">
        <f t="shared" si="77"/>
        <v>0</v>
      </c>
      <c r="AA596" s="38"/>
      <c r="AB596" s="38"/>
      <c r="AC596" s="39">
        <f t="shared" si="78"/>
        <v>0</v>
      </c>
      <c r="AD596" s="38"/>
      <c r="AE596" s="38"/>
      <c r="AF596" s="39">
        <f t="shared" si="79"/>
        <v>0</v>
      </c>
    </row>
    <row r="597" spans="2:32" ht="15" customHeight="1" x14ac:dyDescent="0.3">
      <c r="B597" s="2" t="s">
        <v>836</v>
      </c>
      <c r="C597" s="4" t="s">
        <v>1076</v>
      </c>
      <c r="D597" s="3" t="s">
        <v>1100</v>
      </c>
      <c r="E597" s="6" t="s">
        <v>1101</v>
      </c>
      <c r="F597" s="6" t="s">
        <v>1105</v>
      </c>
      <c r="G597" s="6" t="s">
        <v>716</v>
      </c>
      <c r="H597" s="25">
        <v>39000</v>
      </c>
      <c r="I597" s="38">
        <v>10</v>
      </c>
      <c r="J597" s="38">
        <v>5</v>
      </c>
      <c r="K597" s="39">
        <f t="shared" si="72"/>
        <v>1950000</v>
      </c>
      <c r="L597" s="38">
        <v>0</v>
      </c>
      <c r="M597" s="38">
        <v>0</v>
      </c>
      <c r="N597" s="39">
        <f t="shared" si="73"/>
        <v>0</v>
      </c>
      <c r="O597" s="38">
        <v>0</v>
      </c>
      <c r="P597" s="38">
        <v>0</v>
      </c>
      <c r="Q597" s="39">
        <f t="shared" si="74"/>
        <v>0</v>
      </c>
      <c r="R597" s="38">
        <v>10</v>
      </c>
      <c r="S597" s="38">
        <v>5</v>
      </c>
      <c r="T597" s="39">
        <f t="shared" si="75"/>
        <v>1950000</v>
      </c>
      <c r="U597" s="38">
        <v>0</v>
      </c>
      <c r="V597" s="38">
        <v>0</v>
      </c>
      <c r="W597" s="39">
        <f t="shared" si="76"/>
        <v>0</v>
      </c>
      <c r="X597" s="38"/>
      <c r="Y597" s="38"/>
      <c r="Z597" s="39">
        <f t="shared" si="77"/>
        <v>0</v>
      </c>
      <c r="AA597" s="38"/>
      <c r="AB597" s="38"/>
      <c r="AC597" s="39">
        <f t="shared" si="78"/>
        <v>0</v>
      </c>
      <c r="AD597" s="38"/>
      <c r="AE597" s="38"/>
      <c r="AF597" s="39">
        <f t="shared" si="79"/>
        <v>0</v>
      </c>
    </row>
    <row r="598" spans="2:32" ht="15" customHeight="1" x14ac:dyDescent="0.3">
      <c r="B598" s="2" t="s">
        <v>836</v>
      </c>
      <c r="C598" s="4" t="s">
        <v>1076</v>
      </c>
      <c r="D598" s="3" t="s">
        <v>1100</v>
      </c>
      <c r="E598" s="6" t="s">
        <v>1106</v>
      </c>
      <c r="F598" s="6" t="s">
        <v>1107</v>
      </c>
      <c r="G598" s="6" t="s">
        <v>841</v>
      </c>
      <c r="H598" s="25">
        <v>0</v>
      </c>
      <c r="I598" s="38">
        <v>10</v>
      </c>
      <c r="J598" s="38">
        <v>5</v>
      </c>
      <c r="K598" s="39">
        <f t="shared" si="72"/>
        <v>0</v>
      </c>
      <c r="L598" s="38">
        <v>0</v>
      </c>
      <c r="M598" s="38">
        <v>0</v>
      </c>
      <c r="N598" s="39">
        <f t="shared" si="73"/>
        <v>0</v>
      </c>
      <c r="O598" s="38">
        <v>0</v>
      </c>
      <c r="P598" s="38">
        <v>0</v>
      </c>
      <c r="Q598" s="39">
        <f t="shared" si="74"/>
        <v>0</v>
      </c>
      <c r="R598" s="38">
        <v>10</v>
      </c>
      <c r="S598" s="38">
        <v>5</v>
      </c>
      <c r="T598" s="39">
        <f t="shared" si="75"/>
        <v>0</v>
      </c>
      <c r="U598" s="38">
        <v>0</v>
      </c>
      <c r="V598" s="38">
        <v>0</v>
      </c>
      <c r="W598" s="39">
        <f t="shared" si="76"/>
        <v>0</v>
      </c>
      <c r="X598" s="38"/>
      <c r="Y598" s="38"/>
      <c r="Z598" s="39">
        <f t="shared" si="77"/>
        <v>0</v>
      </c>
      <c r="AA598" s="38"/>
      <c r="AB598" s="38"/>
      <c r="AC598" s="39">
        <f t="shared" si="78"/>
        <v>0</v>
      </c>
      <c r="AD598" s="38"/>
      <c r="AE598" s="38"/>
      <c r="AF598" s="39">
        <f t="shared" si="79"/>
        <v>0</v>
      </c>
    </row>
    <row r="599" spans="2:32" ht="15" customHeight="1" x14ac:dyDescent="0.3">
      <c r="B599" s="2" t="s">
        <v>836</v>
      </c>
      <c r="C599" s="4" t="s">
        <v>1076</v>
      </c>
      <c r="D599" s="3" t="s">
        <v>1100</v>
      </c>
      <c r="E599" s="6" t="s">
        <v>1106</v>
      </c>
      <c r="F599" s="6" t="s">
        <v>1108</v>
      </c>
      <c r="G599" s="6" t="s">
        <v>707</v>
      </c>
      <c r="H599" s="25">
        <v>391991.03749999998</v>
      </c>
      <c r="I599" s="38">
        <v>3</v>
      </c>
      <c r="J599" s="38">
        <v>5</v>
      </c>
      <c r="K599" s="39">
        <f t="shared" si="72"/>
        <v>5879865.5624999991</v>
      </c>
      <c r="L599" s="38">
        <v>3</v>
      </c>
      <c r="M599" s="38">
        <v>5</v>
      </c>
      <c r="N599" s="39">
        <f t="shared" si="73"/>
        <v>5879865.5624999991</v>
      </c>
      <c r="O599" s="38">
        <v>3</v>
      </c>
      <c r="P599" s="38">
        <v>5</v>
      </c>
      <c r="Q599" s="39">
        <f t="shared" si="74"/>
        <v>5879865.5624999991</v>
      </c>
      <c r="R599" s="38">
        <v>3</v>
      </c>
      <c r="S599" s="38">
        <v>5</v>
      </c>
      <c r="T599" s="39">
        <f t="shared" si="75"/>
        <v>5879865.5624999991</v>
      </c>
      <c r="U599" s="38">
        <v>3</v>
      </c>
      <c r="V599" s="38">
        <v>5</v>
      </c>
      <c r="W599" s="39">
        <f t="shared" si="76"/>
        <v>5879865.5624999991</v>
      </c>
      <c r="X599" s="38"/>
      <c r="Y599" s="38"/>
      <c r="Z599" s="39">
        <f t="shared" si="77"/>
        <v>0</v>
      </c>
      <c r="AA599" s="38"/>
      <c r="AB599" s="38"/>
      <c r="AC599" s="39">
        <f t="shared" si="78"/>
        <v>0</v>
      </c>
      <c r="AD599" s="38"/>
      <c r="AE599" s="38"/>
      <c r="AF599" s="39">
        <f t="shared" si="79"/>
        <v>0</v>
      </c>
    </row>
    <row r="600" spans="2:32" ht="15" customHeight="1" x14ac:dyDescent="0.3">
      <c r="B600" s="2" t="s">
        <v>836</v>
      </c>
      <c r="C600" s="4" t="s">
        <v>1076</v>
      </c>
      <c r="D600" s="3" t="s">
        <v>1100</v>
      </c>
      <c r="E600" s="6" t="s">
        <v>1106</v>
      </c>
      <c r="F600" s="6" t="s">
        <v>1109</v>
      </c>
      <c r="G600" s="6" t="s">
        <v>1110</v>
      </c>
      <c r="H600" s="25">
        <v>34650000</v>
      </c>
      <c r="I600" s="38">
        <v>1</v>
      </c>
      <c r="J600" s="38">
        <v>4</v>
      </c>
      <c r="K600" s="39">
        <f t="shared" si="72"/>
        <v>138600000</v>
      </c>
      <c r="L600" s="38">
        <v>1</v>
      </c>
      <c r="M600" s="38">
        <v>4</v>
      </c>
      <c r="N600" s="39">
        <f t="shared" si="73"/>
        <v>138600000</v>
      </c>
      <c r="O600" s="38">
        <v>1</v>
      </c>
      <c r="P600" s="38">
        <v>4</v>
      </c>
      <c r="Q600" s="39">
        <f t="shared" si="74"/>
        <v>138600000</v>
      </c>
      <c r="R600" s="38">
        <v>1</v>
      </c>
      <c r="S600" s="38">
        <v>4</v>
      </c>
      <c r="T600" s="39">
        <f t="shared" si="75"/>
        <v>138600000</v>
      </c>
      <c r="U600" s="38">
        <v>1</v>
      </c>
      <c r="V600" s="38">
        <v>4</v>
      </c>
      <c r="W600" s="39">
        <f t="shared" si="76"/>
        <v>138600000</v>
      </c>
      <c r="X600" s="38"/>
      <c r="Y600" s="38"/>
      <c r="Z600" s="39">
        <f t="shared" si="77"/>
        <v>0</v>
      </c>
      <c r="AA600" s="38"/>
      <c r="AB600" s="38"/>
      <c r="AC600" s="39">
        <f t="shared" si="78"/>
        <v>0</v>
      </c>
      <c r="AD600" s="38"/>
      <c r="AE600" s="38"/>
      <c r="AF600" s="39">
        <f t="shared" si="79"/>
        <v>0</v>
      </c>
    </row>
    <row r="601" spans="2:32" ht="15" customHeight="1" x14ac:dyDescent="0.3">
      <c r="B601" s="2" t="s">
        <v>836</v>
      </c>
      <c r="C601" s="4" t="s">
        <v>1076</v>
      </c>
      <c r="D601" s="3" t="s">
        <v>1100</v>
      </c>
      <c r="E601" s="6" t="s">
        <v>1111</v>
      </c>
      <c r="F601" s="6" t="s">
        <v>1112</v>
      </c>
      <c r="G601" s="6" t="s">
        <v>709</v>
      </c>
      <c r="H601" s="25">
        <v>28000</v>
      </c>
      <c r="I601" s="38">
        <v>1</v>
      </c>
      <c r="J601" s="38">
        <v>1</v>
      </c>
      <c r="K601" s="39">
        <f t="shared" si="72"/>
        <v>28000</v>
      </c>
      <c r="L601" s="38">
        <v>1</v>
      </c>
      <c r="M601" s="38">
        <v>1</v>
      </c>
      <c r="N601" s="39">
        <f t="shared" si="73"/>
        <v>28000</v>
      </c>
      <c r="O601" s="38">
        <v>1</v>
      </c>
      <c r="P601" s="38">
        <v>1</v>
      </c>
      <c r="Q601" s="39">
        <f t="shared" si="74"/>
        <v>28000</v>
      </c>
      <c r="R601" s="38">
        <v>1</v>
      </c>
      <c r="S601" s="38">
        <v>1</v>
      </c>
      <c r="T601" s="39">
        <f t="shared" si="75"/>
        <v>28000</v>
      </c>
      <c r="U601" s="38">
        <v>1</v>
      </c>
      <c r="V601" s="38">
        <v>1</v>
      </c>
      <c r="W601" s="39">
        <f t="shared" si="76"/>
        <v>28000</v>
      </c>
      <c r="X601" s="38"/>
      <c r="Y601" s="38"/>
      <c r="Z601" s="39">
        <f t="shared" si="77"/>
        <v>0</v>
      </c>
      <c r="AA601" s="38"/>
      <c r="AB601" s="38"/>
      <c r="AC601" s="39">
        <f t="shared" si="78"/>
        <v>0</v>
      </c>
      <c r="AD601" s="38"/>
      <c r="AE601" s="38"/>
      <c r="AF601" s="39">
        <f t="shared" si="79"/>
        <v>0</v>
      </c>
    </row>
    <row r="602" spans="2:32" ht="15" customHeight="1" x14ac:dyDescent="0.3">
      <c r="B602" s="2" t="s">
        <v>836</v>
      </c>
      <c r="C602" s="4" t="s">
        <v>1076</v>
      </c>
      <c r="D602" s="3" t="s">
        <v>1100</v>
      </c>
      <c r="E602" s="6" t="s">
        <v>1111</v>
      </c>
      <c r="F602" s="6" t="s">
        <v>1112</v>
      </c>
      <c r="G602" s="6" t="s">
        <v>716</v>
      </c>
      <c r="H602" s="25">
        <v>39000</v>
      </c>
      <c r="I602" s="38">
        <v>0</v>
      </c>
      <c r="J602" s="38">
        <v>0</v>
      </c>
      <c r="K602" s="39">
        <f t="shared" si="72"/>
        <v>0</v>
      </c>
      <c r="L602" s="38">
        <v>120</v>
      </c>
      <c r="M602" s="38">
        <v>12</v>
      </c>
      <c r="N602" s="39">
        <f t="shared" si="73"/>
        <v>56160000</v>
      </c>
      <c r="O602" s="38">
        <v>0</v>
      </c>
      <c r="P602" s="38">
        <v>0</v>
      </c>
      <c r="Q602" s="39">
        <f t="shared" si="74"/>
        <v>0</v>
      </c>
      <c r="R602" s="38">
        <v>0</v>
      </c>
      <c r="S602" s="38">
        <v>0</v>
      </c>
      <c r="T602" s="39">
        <f t="shared" si="75"/>
        <v>0</v>
      </c>
      <c r="U602" s="38">
        <v>0</v>
      </c>
      <c r="V602" s="38">
        <v>0</v>
      </c>
      <c r="W602" s="39">
        <f t="shared" si="76"/>
        <v>0</v>
      </c>
      <c r="X602" s="38"/>
      <c r="Y602" s="38"/>
      <c r="Z602" s="39">
        <f t="shared" si="77"/>
        <v>0</v>
      </c>
      <c r="AA602" s="38"/>
      <c r="AB602" s="38"/>
      <c r="AC602" s="39">
        <f t="shared" si="78"/>
        <v>0</v>
      </c>
      <c r="AD602" s="38"/>
      <c r="AE602" s="38"/>
      <c r="AF602" s="39">
        <f t="shared" si="79"/>
        <v>0</v>
      </c>
    </row>
    <row r="603" spans="2:32" ht="15" customHeight="1" x14ac:dyDescent="0.3">
      <c r="B603" s="2" t="s">
        <v>836</v>
      </c>
      <c r="C603" s="4" t="s">
        <v>1076</v>
      </c>
      <c r="D603" s="3" t="s">
        <v>1100</v>
      </c>
      <c r="E603" s="6" t="s">
        <v>1111</v>
      </c>
      <c r="F603" s="6" t="s">
        <v>1112</v>
      </c>
      <c r="G603" s="6" t="s">
        <v>712</v>
      </c>
      <c r="H603" s="25">
        <v>214.29</v>
      </c>
      <c r="I603" s="38">
        <v>0</v>
      </c>
      <c r="J603" s="38">
        <v>0</v>
      </c>
      <c r="K603" s="39">
        <f t="shared" si="72"/>
        <v>0</v>
      </c>
      <c r="L603" s="38">
        <v>120</v>
      </c>
      <c r="M603" s="38">
        <v>12</v>
      </c>
      <c r="N603" s="39">
        <f t="shared" si="73"/>
        <v>308577.59999999998</v>
      </c>
      <c r="O603" s="38">
        <v>0</v>
      </c>
      <c r="P603" s="38">
        <v>0</v>
      </c>
      <c r="Q603" s="39">
        <f t="shared" si="74"/>
        <v>0</v>
      </c>
      <c r="R603" s="38">
        <v>0</v>
      </c>
      <c r="S603" s="38">
        <v>0</v>
      </c>
      <c r="T603" s="39">
        <f t="shared" si="75"/>
        <v>0</v>
      </c>
      <c r="U603" s="38">
        <v>0</v>
      </c>
      <c r="V603" s="38">
        <v>0</v>
      </c>
      <c r="W603" s="39">
        <f t="shared" si="76"/>
        <v>0</v>
      </c>
      <c r="X603" s="38"/>
      <c r="Y603" s="38"/>
      <c r="Z603" s="39">
        <f t="shared" si="77"/>
        <v>0</v>
      </c>
      <c r="AA603" s="38"/>
      <c r="AB603" s="38"/>
      <c r="AC603" s="39">
        <f t="shared" si="78"/>
        <v>0</v>
      </c>
      <c r="AD603" s="38"/>
      <c r="AE603" s="38"/>
      <c r="AF603" s="39">
        <f t="shared" si="79"/>
        <v>0</v>
      </c>
    </row>
    <row r="604" spans="2:32" ht="15" customHeight="1" x14ac:dyDescent="0.3">
      <c r="B604" s="2" t="s">
        <v>836</v>
      </c>
      <c r="C604" s="4" t="s">
        <v>1113</v>
      </c>
      <c r="D604" s="3" t="s">
        <v>1114</v>
      </c>
      <c r="E604" s="6" t="s">
        <v>1115</v>
      </c>
      <c r="F604" s="6" t="s">
        <v>155</v>
      </c>
      <c r="G604" s="6" t="s">
        <v>841</v>
      </c>
      <c r="H604" s="25">
        <v>0</v>
      </c>
      <c r="I604" s="38">
        <v>0</v>
      </c>
      <c r="J604" s="38">
        <v>0</v>
      </c>
      <c r="K604" s="39">
        <f t="shared" si="72"/>
        <v>0</v>
      </c>
      <c r="L604" s="38">
        <v>50000</v>
      </c>
      <c r="M604" s="38">
        <v>1</v>
      </c>
      <c r="N604" s="39">
        <f t="shared" si="73"/>
        <v>0</v>
      </c>
      <c r="O604" s="38">
        <v>0</v>
      </c>
      <c r="P604" s="38">
        <v>0</v>
      </c>
      <c r="Q604" s="39">
        <f t="shared" si="74"/>
        <v>0</v>
      </c>
      <c r="R604" s="38">
        <v>0</v>
      </c>
      <c r="S604" s="38">
        <v>0</v>
      </c>
      <c r="T604" s="39">
        <f t="shared" si="75"/>
        <v>0</v>
      </c>
      <c r="U604" s="38">
        <v>0</v>
      </c>
      <c r="V604" s="38">
        <v>0</v>
      </c>
      <c r="W604" s="39">
        <f t="shared" si="76"/>
        <v>0</v>
      </c>
      <c r="X604" s="38"/>
      <c r="Y604" s="38"/>
      <c r="Z604" s="39">
        <f t="shared" si="77"/>
        <v>0</v>
      </c>
      <c r="AA604" s="38"/>
      <c r="AB604" s="38"/>
      <c r="AC604" s="39">
        <f t="shared" si="78"/>
        <v>0</v>
      </c>
      <c r="AD604" s="38"/>
      <c r="AE604" s="38"/>
      <c r="AF604" s="39">
        <f t="shared" si="79"/>
        <v>0</v>
      </c>
    </row>
    <row r="605" spans="2:32" ht="15" customHeight="1" x14ac:dyDescent="0.3">
      <c r="B605" s="2" t="s">
        <v>836</v>
      </c>
      <c r="C605" s="4" t="s">
        <v>1113</v>
      </c>
      <c r="D605" s="3" t="s">
        <v>1114</v>
      </c>
      <c r="E605" s="6" t="s">
        <v>1115</v>
      </c>
      <c r="F605" s="6" t="s">
        <v>1116</v>
      </c>
      <c r="G605" s="6" t="s">
        <v>709</v>
      </c>
      <c r="H605" s="25">
        <v>28000</v>
      </c>
      <c r="I605" s="38">
        <v>0</v>
      </c>
      <c r="J605" s="38">
        <v>0</v>
      </c>
      <c r="K605" s="39">
        <f t="shared" si="72"/>
        <v>0</v>
      </c>
      <c r="L605" s="38">
        <v>0</v>
      </c>
      <c r="M605" s="38">
        <v>0</v>
      </c>
      <c r="N605" s="39">
        <f t="shared" si="73"/>
        <v>0</v>
      </c>
      <c r="O605" s="38">
        <v>0</v>
      </c>
      <c r="P605" s="38">
        <v>0</v>
      </c>
      <c r="Q605" s="39">
        <f t="shared" si="74"/>
        <v>0</v>
      </c>
      <c r="R605" s="38">
        <v>0</v>
      </c>
      <c r="S605" s="38">
        <v>0</v>
      </c>
      <c r="T605" s="39">
        <f t="shared" si="75"/>
        <v>0</v>
      </c>
      <c r="U605" s="38">
        <v>0</v>
      </c>
      <c r="V605" s="38">
        <v>0</v>
      </c>
      <c r="W605" s="39">
        <f t="shared" si="76"/>
        <v>0</v>
      </c>
      <c r="X605" s="38"/>
      <c r="Y605" s="38"/>
      <c r="Z605" s="39">
        <f t="shared" si="77"/>
        <v>0</v>
      </c>
      <c r="AA605" s="38"/>
      <c r="AB605" s="38"/>
      <c r="AC605" s="39">
        <f t="shared" si="78"/>
        <v>0</v>
      </c>
      <c r="AD605" s="38"/>
      <c r="AE605" s="38"/>
      <c r="AF605" s="39">
        <f t="shared" si="79"/>
        <v>0</v>
      </c>
    </row>
    <row r="606" spans="2:32" ht="15" customHeight="1" x14ac:dyDescent="0.3">
      <c r="B606" s="2" t="s">
        <v>836</v>
      </c>
      <c r="C606" s="4" t="s">
        <v>1113</v>
      </c>
      <c r="D606" s="3" t="s">
        <v>1114</v>
      </c>
      <c r="E606" s="6" t="s">
        <v>1115</v>
      </c>
      <c r="F606" s="6" t="s">
        <v>1117</v>
      </c>
      <c r="G606" s="6" t="s">
        <v>716</v>
      </c>
      <c r="H606" s="25">
        <v>39000</v>
      </c>
      <c r="I606" s="38">
        <v>0</v>
      </c>
      <c r="J606" s="38">
        <v>0</v>
      </c>
      <c r="K606" s="39">
        <f t="shared" si="72"/>
        <v>0</v>
      </c>
      <c r="L606" s="38">
        <v>0</v>
      </c>
      <c r="M606" s="38">
        <v>0</v>
      </c>
      <c r="N606" s="39">
        <f t="shared" si="73"/>
        <v>0</v>
      </c>
      <c r="O606" s="38">
        <v>0</v>
      </c>
      <c r="P606" s="38">
        <v>0</v>
      </c>
      <c r="Q606" s="39">
        <f t="shared" si="74"/>
        <v>0</v>
      </c>
      <c r="R606" s="38">
        <v>0</v>
      </c>
      <c r="S606" s="38">
        <v>0</v>
      </c>
      <c r="T606" s="39">
        <f t="shared" si="75"/>
        <v>0</v>
      </c>
      <c r="U606" s="38">
        <v>0</v>
      </c>
      <c r="V606" s="38">
        <v>0</v>
      </c>
      <c r="W606" s="39">
        <f t="shared" si="76"/>
        <v>0</v>
      </c>
      <c r="X606" s="38"/>
      <c r="Y606" s="38"/>
      <c r="Z606" s="39">
        <f t="shared" si="77"/>
        <v>0</v>
      </c>
      <c r="AA606" s="38"/>
      <c r="AB606" s="38"/>
      <c r="AC606" s="39">
        <f t="shared" si="78"/>
        <v>0</v>
      </c>
      <c r="AD606" s="38"/>
      <c r="AE606" s="38"/>
      <c r="AF606" s="39">
        <f t="shared" si="79"/>
        <v>0</v>
      </c>
    </row>
    <row r="607" spans="2:32" ht="15" customHeight="1" x14ac:dyDescent="0.3">
      <c r="B607" s="2" t="s">
        <v>836</v>
      </c>
      <c r="C607" s="4" t="s">
        <v>1113</v>
      </c>
      <c r="D607" s="3" t="s">
        <v>1114</v>
      </c>
      <c r="E607" s="6" t="s">
        <v>1115</v>
      </c>
      <c r="F607" s="6" t="s">
        <v>1117</v>
      </c>
      <c r="G607" s="6" t="s">
        <v>709</v>
      </c>
      <c r="H607" s="25">
        <v>28000</v>
      </c>
      <c r="I607" s="38">
        <v>0</v>
      </c>
      <c r="J607" s="38">
        <v>0</v>
      </c>
      <c r="K607" s="39">
        <f t="shared" si="72"/>
        <v>0</v>
      </c>
      <c r="L607" s="38">
        <v>20</v>
      </c>
      <c r="M607" s="38">
        <v>6</v>
      </c>
      <c r="N607" s="39">
        <f t="shared" si="73"/>
        <v>3360000</v>
      </c>
      <c r="O607" s="38">
        <v>20</v>
      </c>
      <c r="P607" s="38">
        <v>6</v>
      </c>
      <c r="Q607" s="39">
        <f t="shared" si="74"/>
        <v>3360000</v>
      </c>
      <c r="R607" s="38">
        <v>20</v>
      </c>
      <c r="S607" s="38">
        <v>6</v>
      </c>
      <c r="T607" s="39">
        <f t="shared" si="75"/>
        <v>3360000</v>
      </c>
      <c r="U607" s="38">
        <v>20</v>
      </c>
      <c r="V607" s="38">
        <v>6</v>
      </c>
      <c r="W607" s="39">
        <f t="shared" si="76"/>
        <v>3360000</v>
      </c>
      <c r="X607" s="38"/>
      <c r="Y607" s="38"/>
      <c r="Z607" s="39">
        <f t="shared" si="77"/>
        <v>0</v>
      </c>
      <c r="AA607" s="38"/>
      <c r="AB607" s="38"/>
      <c r="AC607" s="39">
        <f t="shared" si="78"/>
        <v>0</v>
      </c>
      <c r="AD607" s="38"/>
      <c r="AE607" s="38"/>
      <c r="AF607" s="39">
        <f t="shared" si="79"/>
        <v>0</v>
      </c>
    </row>
    <row r="608" spans="2:32" ht="15" customHeight="1" x14ac:dyDescent="0.3">
      <c r="B608" s="2" t="s">
        <v>836</v>
      </c>
      <c r="C608" s="4" t="s">
        <v>1113</v>
      </c>
      <c r="D608" s="3" t="s">
        <v>1114</v>
      </c>
      <c r="E608" s="6" t="s">
        <v>1115</v>
      </c>
      <c r="F608" s="6" t="s">
        <v>1117</v>
      </c>
      <c r="G608" s="6" t="s">
        <v>1029</v>
      </c>
      <c r="H608" s="25">
        <v>214.29</v>
      </c>
      <c r="I608" s="38">
        <v>0</v>
      </c>
      <c r="J608" s="38">
        <v>0</v>
      </c>
      <c r="K608" s="39">
        <f t="shared" si="72"/>
        <v>0</v>
      </c>
      <c r="L608" s="38">
        <v>20</v>
      </c>
      <c r="M608" s="38">
        <v>6</v>
      </c>
      <c r="N608" s="39">
        <f t="shared" si="73"/>
        <v>25714.800000000003</v>
      </c>
      <c r="O608" s="38">
        <v>20</v>
      </c>
      <c r="P608" s="38">
        <v>6</v>
      </c>
      <c r="Q608" s="39">
        <f t="shared" si="74"/>
        <v>25714.800000000003</v>
      </c>
      <c r="R608" s="38">
        <v>20</v>
      </c>
      <c r="S608" s="38">
        <v>6</v>
      </c>
      <c r="T608" s="39">
        <f t="shared" si="75"/>
        <v>25714.800000000003</v>
      </c>
      <c r="U608" s="38">
        <v>20</v>
      </c>
      <c r="V608" s="38">
        <v>6</v>
      </c>
      <c r="W608" s="39">
        <f t="shared" si="76"/>
        <v>25714.800000000003</v>
      </c>
      <c r="X608" s="38"/>
      <c r="Y608" s="38"/>
      <c r="Z608" s="39">
        <f t="shared" si="77"/>
        <v>0</v>
      </c>
      <c r="AA608" s="38"/>
      <c r="AB608" s="38"/>
      <c r="AC608" s="39">
        <f t="shared" si="78"/>
        <v>0</v>
      </c>
      <c r="AD608" s="38"/>
      <c r="AE608" s="38"/>
      <c r="AF608" s="39">
        <f t="shared" si="79"/>
        <v>0</v>
      </c>
    </row>
    <row r="609" spans="2:32" ht="15" customHeight="1" x14ac:dyDescent="0.3">
      <c r="B609" s="2" t="s">
        <v>836</v>
      </c>
      <c r="C609" s="4" t="s">
        <v>1113</v>
      </c>
      <c r="D609" s="3" t="s">
        <v>1114</v>
      </c>
      <c r="E609" s="6" t="s">
        <v>1118</v>
      </c>
      <c r="F609" s="6" t="s">
        <v>1119</v>
      </c>
      <c r="G609" s="6" t="s">
        <v>709</v>
      </c>
      <c r="H609" s="25">
        <v>28000</v>
      </c>
      <c r="I609" s="38">
        <v>0</v>
      </c>
      <c r="J609" s="38">
        <v>0</v>
      </c>
      <c r="K609" s="39">
        <f t="shared" si="72"/>
        <v>0</v>
      </c>
      <c r="L609" s="38">
        <v>8000</v>
      </c>
      <c r="M609" s="38">
        <v>1</v>
      </c>
      <c r="N609" s="39">
        <f t="shared" si="73"/>
        <v>224000000</v>
      </c>
      <c r="O609" s="38">
        <v>8000</v>
      </c>
      <c r="P609" s="38">
        <v>1</v>
      </c>
      <c r="Q609" s="39">
        <f t="shared" si="74"/>
        <v>224000000</v>
      </c>
      <c r="R609" s="38">
        <v>8000</v>
      </c>
      <c r="S609" s="38">
        <v>1</v>
      </c>
      <c r="T609" s="39">
        <f t="shared" si="75"/>
        <v>224000000</v>
      </c>
      <c r="U609" s="38">
        <v>8000</v>
      </c>
      <c r="V609" s="38">
        <v>1</v>
      </c>
      <c r="W609" s="39">
        <f t="shared" si="76"/>
        <v>224000000</v>
      </c>
      <c r="X609" s="38"/>
      <c r="Y609" s="38"/>
      <c r="Z609" s="39">
        <f t="shared" si="77"/>
        <v>0</v>
      </c>
      <c r="AA609" s="38"/>
      <c r="AB609" s="38"/>
      <c r="AC609" s="39">
        <f t="shared" si="78"/>
        <v>0</v>
      </c>
      <c r="AD609" s="38"/>
      <c r="AE609" s="38"/>
      <c r="AF609" s="39">
        <f t="shared" si="79"/>
        <v>0</v>
      </c>
    </row>
    <row r="610" spans="2:32" ht="15" customHeight="1" x14ac:dyDescent="0.3">
      <c r="B610" s="2" t="s">
        <v>836</v>
      </c>
      <c r="C610" s="4" t="s">
        <v>1113</v>
      </c>
      <c r="D610" s="3" t="s">
        <v>1114</v>
      </c>
      <c r="E610" s="6" t="s">
        <v>1118</v>
      </c>
      <c r="F610" s="6" t="s">
        <v>1119</v>
      </c>
      <c r="G610" s="6" t="s">
        <v>716</v>
      </c>
      <c r="H610" s="25">
        <v>39000</v>
      </c>
      <c r="I610" s="38">
        <v>0</v>
      </c>
      <c r="J610" s="38">
        <v>0</v>
      </c>
      <c r="K610" s="39">
        <f t="shared" si="72"/>
        <v>0</v>
      </c>
      <c r="L610" s="38">
        <v>20</v>
      </c>
      <c r="M610" s="38">
        <v>5</v>
      </c>
      <c r="N610" s="39">
        <f t="shared" si="73"/>
        <v>3900000</v>
      </c>
      <c r="O610" s="38">
        <v>20</v>
      </c>
      <c r="P610" s="38">
        <v>5</v>
      </c>
      <c r="Q610" s="39">
        <f t="shared" si="74"/>
        <v>3900000</v>
      </c>
      <c r="R610" s="38">
        <v>20</v>
      </c>
      <c r="S610" s="38">
        <v>5</v>
      </c>
      <c r="T610" s="39">
        <f t="shared" si="75"/>
        <v>3900000</v>
      </c>
      <c r="U610" s="38">
        <v>20</v>
      </c>
      <c r="V610" s="38">
        <v>5</v>
      </c>
      <c r="W610" s="39">
        <f t="shared" si="76"/>
        <v>3900000</v>
      </c>
      <c r="X610" s="38"/>
      <c r="Y610" s="38"/>
      <c r="Z610" s="39">
        <f t="shared" si="77"/>
        <v>0</v>
      </c>
      <c r="AA610" s="38"/>
      <c r="AB610" s="38"/>
      <c r="AC610" s="39">
        <f t="shared" si="78"/>
        <v>0</v>
      </c>
      <c r="AD610" s="38"/>
      <c r="AE610" s="38"/>
      <c r="AF610" s="39">
        <f t="shared" si="79"/>
        <v>0</v>
      </c>
    </row>
    <row r="611" spans="2:32" ht="15" customHeight="1" x14ac:dyDescent="0.3">
      <c r="B611" s="2" t="s">
        <v>836</v>
      </c>
      <c r="C611" s="4" t="s">
        <v>1113</v>
      </c>
      <c r="D611" s="3" t="s">
        <v>1114</v>
      </c>
      <c r="E611" s="6" t="s">
        <v>1118</v>
      </c>
      <c r="F611" s="6" t="s">
        <v>1119</v>
      </c>
      <c r="G611" s="6" t="s">
        <v>712</v>
      </c>
      <c r="H611" s="25">
        <v>214.29</v>
      </c>
      <c r="I611" s="38">
        <v>0</v>
      </c>
      <c r="J611" s="38">
        <v>0</v>
      </c>
      <c r="K611" s="39">
        <f t="shared" si="72"/>
        <v>0</v>
      </c>
      <c r="L611" s="38">
        <v>10</v>
      </c>
      <c r="M611" s="38">
        <v>5</v>
      </c>
      <c r="N611" s="39">
        <f t="shared" si="73"/>
        <v>10714.5</v>
      </c>
      <c r="O611" s="38">
        <v>10</v>
      </c>
      <c r="P611" s="38">
        <v>5</v>
      </c>
      <c r="Q611" s="39">
        <f t="shared" si="74"/>
        <v>10714.5</v>
      </c>
      <c r="R611" s="38">
        <v>10</v>
      </c>
      <c r="S611" s="38">
        <v>5</v>
      </c>
      <c r="T611" s="39">
        <f t="shared" si="75"/>
        <v>10714.5</v>
      </c>
      <c r="U611" s="38">
        <v>10</v>
      </c>
      <c r="V611" s="38">
        <v>5</v>
      </c>
      <c r="W611" s="39">
        <f t="shared" si="76"/>
        <v>10714.5</v>
      </c>
      <c r="X611" s="38"/>
      <c r="Y611" s="38"/>
      <c r="Z611" s="39">
        <f t="shared" si="77"/>
        <v>0</v>
      </c>
      <c r="AA611" s="38"/>
      <c r="AB611" s="38"/>
      <c r="AC611" s="39">
        <f t="shared" si="78"/>
        <v>0</v>
      </c>
      <c r="AD611" s="38"/>
      <c r="AE611" s="38"/>
      <c r="AF611" s="39">
        <f t="shared" si="79"/>
        <v>0</v>
      </c>
    </row>
    <row r="612" spans="2:32" ht="15" customHeight="1" x14ac:dyDescent="0.3">
      <c r="B612" s="2" t="s">
        <v>836</v>
      </c>
      <c r="C612" s="4" t="s">
        <v>1113</v>
      </c>
      <c r="D612" s="3" t="s">
        <v>1114</v>
      </c>
      <c r="E612" s="6" t="s">
        <v>1120</v>
      </c>
      <c r="F612" s="6" t="s">
        <v>1121</v>
      </c>
      <c r="G612" s="6" t="s">
        <v>841</v>
      </c>
      <c r="H612" s="25">
        <v>0</v>
      </c>
      <c r="I612" s="38">
        <v>0</v>
      </c>
      <c r="J612" s="38">
        <v>0</v>
      </c>
      <c r="K612" s="39">
        <f t="shared" si="72"/>
        <v>0</v>
      </c>
      <c r="L612" s="38">
        <v>4000</v>
      </c>
      <c r="M612" s="38">
        <v>1</v>
      </c>
      <c r="N612" s="39">
        <f t="shared" si="73"/>
        <v>0</v>
      </c>
      <c r="O612" s="38">
        <v>4000</v>
      </c>
      <c r="P612" s="38">
        <v>1</v>
      </c>
      <c r="Q612" s="39">
        <f t="shared" si="74"/>
        <v>0</v>
      </c>
      <c r="R612" s="38">
        <v>4000</v>
      </c>
      <c r="S612" s="38">
        <v>1</v>
      </c>
      <c r="T612" s="39">
        <f t="shared" si="75"/>
        <v>0</v>
      </c>
      <c r="U612" s="38">
        <v>4000</v>
      </c>
      <c r="V612" s="38">
        <v>1</v>
      </c>
      <c r="W612" s="39">
        <f t="shared" si="76"/>
        <v>0</v>
      </c>
      <c r="X612" s="38"/>
      <c r="Y612" s="38"/>
      <c r="Z612" s="39">
        <f t="shared" si="77"/>
        <v>0</v>
      </c>
      <c r="AA612" s="38"/>
      <c r="AB612" s="38"/>
      <c r="AC612" s="39">
        <f t="shared" si="78"/>
        <v>0</v>
      </c>
      <c r="AD612" s="38"/>
      <c r="AE612" s="38"/>
      <c r="AF612" s="39">
        <f t="shared" si="79"/>
        <v>0</v>
      </c>
    </row>
    <row r="613" spans="2:32" ht="15" customHeight="1" x14ac:dyDescent="0.3">
      <c r="B613" s="2" t="s">
        <v>836</v>
      </c>
      <c r="C613" s="4" t="s">
        <v>1113</v>
      </c>
      <c r="D613" s="3" t="s">
        <v>1114</v>
      </c>
      <c r="E613" s="6" t="s">
        <v>1120</v>
      </c>
      <c r="F613" s="6" t="s">
        <v>179</v>
      </c>
      <c r="G613" s="6" t="s">
        <v>713</v>
      </c>
      <c r="H613" s="25">
        <v>45000</v>
      </c>
      <c r="I613" s="38">
        <v>0</v>
      </c>
      <c r="J613" s="38">
        <v>0</v>
      </c>
      <c r="K613" s="39">
        <f t="shared" si="72"/>
        <v>0</v>
      </c>
      <c r="L613" s="38">
        <v>0</v>
      </c>
      <c r="M613" s="38">
        <v>0</v>
      </c>
      <c r="N613" s="39">
        <f t="shared" si="73"/>
        <v>0</v>
      </c>
      <c r="O613" s="38">
        <v>0</v>
      </c>
      <c r="P613" s="38">
        <v>0</v>
      </c>
      <c r="Q613" s="39">
        <f t="shared" si="74"/>
        <v>0</v>
      </c>
      <c r="R613" s="38">
        <v>0</v>
      </c>
      <c r="S613" s="38">
        <v>0</v>
      </c>
      <c r="T613" s="39">
        <f t="shared" si="75"/>
        <v>0</v>
      </c>
      <c r="U613" s="38">
        <v>0</v>
      </c>
      <c r="V613" s="38">
        <v>0</v>
      </c>
      <c r="W613" s="39">
        <f t="shared" si="76"/>
        <v>0</v>
      </c>
      <c r="X613" s="38"/>
      <c r="Y613" s="38"/>
      <c r="Z613" s="39">
        <f t="shared" si="77"/>
        <v>0</v>
      </c>
      <c r="AA613" s="38"/>
      <c r="AB613" s="38"/>
      <c r="AC613" s="39">
        <f t="shared" si="78"/>
        <v>0</v>
      </c>
      <c r="AD613" s="38"/>
      <c r="AE613" s="38"/>
      <c r="AF613" s="39">
        <f t="shared" si="79"/>
        <v>0</v>
      </c>
    </row>
    <row r="614" spans="2:32" ht="15" customHeight="1" x14ac:dyDescent="0.3">
      <c r="B614" s="2" t="s">
        <v>836</v>
      </c>
      <c r="C614" s="4" t="s">
        <v>1113</v>
      </c>
      <c r="D614" s="3" t="s">
        <v>1114</v>
      </c>
      <c r="E614" s="6" t="s">
        <v>1120</v>
      </c>
      <c r="F614" s="6" t="s">
        <v>179</v>
      </c>
      <c r="G614" s="6" t="s">
        <v>712</v>
      </c>
      <c r="H614" s="25">
        <v>214.29</v>
      </c>
      <c r="I614" s="38">
        <v>0</v>
      </c>
      <c r="J614" s="38">
        <v>0</v>
      </c>
      <c r="K614" s="39">
        <f t="shared" si="72"/>
        <v>0</v>
      </c>
      <c r="L614" s="38">
        <v>25</v>
      </c>
      <c r="M614" s="38">
        <v>20</v>
      </c>
      <c r="N614" s="39">
        <f t="shared" si="73"/>
        <v>107145</v>
      </c>
      <c r="O614" s="38">
        <v>25</v>
      </c>
      <c r="P614" s="38">
        <v>20</v>
      </c>
      <c r="Q614" s="39">
        <f t="shared" si="74"/>
        <v>107145</v>
      </c>
      <c r="R614" s="38">
        <v>25</v>
      </c>
      <c r="S614" s="38">
        <v>20</v>
      </c>
      <c r="T614" s="39">
        <f t="shared" si="75"/>
        <v>107145</v>
      </c>
      <c r="U614" s="38">
        <v>25</v>
      </c>
      <c r="V614" s="38">
        <v>20</v>
      </c>
      <c r="W614" s="39">
        <f t="shared" si="76"/>
        <v>107145</v>
      </c>
      <c r="X614" s="38"/>
      <c r="Y614" s="38"/>
      <c r="Z614" s="39">
        <f t="shared" si="77"/>
        <v>0</v>
      </c>
      <c r="AA614" s="38"/>
      <c r="AB614" s="38"/>
      <c r="AC614" s="39">
        <f t="shared" si="78"/>
        <v>0</v>
      </c>
      <c r="AD614" s="38"/>
      <c r="AE614" s="38"/>
      <c r="AF614" s="39">
        <f t="shared" si="79"/>
        <v>0</v>
      </c>
    </row>
    <row r="615" spans="2:32" ht="15" customHeight="1" x14ac:dyDescent="0.3">
      <c r="B615" s="2" t="s">
        <v>836</v>
      </c>
      <c r="C615" s="4" t="s">
        <v>1113</v>
      </c>
      <c r="D615" s="3" t="s">
        <v>1114</v>
      </c>
      <c r="E615" s="6" t="s">
        <v>1120</v>
      </c>
      <c r="F615" s="6" t="s">
        <v>179</v>
      </c>
      <c r="G615" s="6" t="s">
        <v>714</v>
      </c>
      <c r="H615" s="25">
        <v>10000</v>
      </c>
      <c r="I615" s="38">
        <v>0</v>
      </c>
      <c r="J615" s="38">
        <v>0</v>
      </c>
      <c r="K615" s="39">
        <f t="shared" si="72"/>
        <v>0</v>
      </c>
      <c r="L615" s="38">
        <v>20000</v>
      </c>
      <c r="M615" s="38">
        <v>2</v>
      </c>
      <c r="N615" s="39">
        <f t="shared" si="73"/>
        <v>400000000</v>
      </c>
      <c r="O615" s="38">
        <v>20000</v>
      </c>
      <c r="P615" s="38">
        <v>2</v>
      </c>
      <c r="Q615" s="39">
        <f t="shared" si="74"/>
        <v>400000000</v>
      </c>
      <c r="R615" s="38">
        <v>20000</v>
      </c>
      <c r="S615" s="38">
        <v>2</v>
      </c>
      <c r="T615" s="39">
        <f t="shared" si="75"/>
        <v>400000000</v>
      </c>
      <c r="U615" s="38">
        <v>20000</v>
      </c>
      <c r="V615" s="38">
        <v>2</v>
      </c>
      <c r="W615" s="39">
        <f t="shared" si="76"/>
        <v>400000000</v>
      </c>
      <c r="X615" s="38"/>
      <c r="Y615" s="38"/>
      <c r="Z615" s="39">
        <f t="shared" si="77"/>
        <v>0</v>
      </c>
      <c r="AA615" s="38"/>
      <c r="AB615" s="38"/>
      <c r="AC615" s="39">
        <f t="shared" si="78"/>
        <v>0</v>
      </c>
      <c r="AD615" s="38"/>
      <c r="AE615" s="38"/>
      <c r="AF615" s="39">
        <f t="shared" si="79"/>
        <v>0</v>
      </c>
    </row>
    <row r="616" spans="2:32" ht="15" customHeight="1" x14ac:dyDescent="0.3">
      <c r="B616" s="2" t="s">
        <v>836</v>
      </c>
      <c r="C616" s="4" t="s">
        <v>1113</v>
      </c>
      <c r="D616" s="3" t="s">
        <v>1114</v>
      </c>
      <c r="E616" s="6" t="s">
        <v>1120</v>
      </c>
      <c r="F616" s="6" t="s">
        <v>1004</v>
      </c>
      <c r="G616" s="6" t="s">
        <v>716</v>
      </c>
      <c r="H616" s="25">
        <v>39000</v>
      </c>
      <c r="I616" s="38">
        <v>0</v>
      </c>
      <c r="J616" s="38">
        <v>0</v>
      </c>
      <c r="K616" s="39">
        <f t="shared" si="72"/>
        <v>0</v>
      </c>
      <c r="L616" s="38">
        <v>15</v>
      </c>
      <c r="M616" s="38">
        <v>2</v>
      </c>
      <c r="N616" s="39">
        <f t="shared" si="73"/>
        <v>1170000</v>
      </c>
      <c r="O616" s="38">
        <v>15</v>
      </c>
      <c r="P616" s="38">
        <v>2</v>
      </c>
      <c r="Q616" s="39">
        <f t="shared" si="74"/>
        <v>1170000</v>
      </c>
      <c r="R616" s="38">
        <v>15</v>
      </c>
      <c r="S616" s="38">
        <v>2</v>
      </c>
      <c r="T616" s="39">
        <f t="shared" si="75"/>
        <v>1170000</v>
      </c>
      <c r="U616" s="38">
        <v>15</v>
      </c>
      <c r="V616" s="38">
        <v>2</v>
      </c>
      <c r="W616" s="39">
        <f t="shared" si="76"/>
        <v>1170000</v>
      </c>
      <c r="X616" s="38"/>
      <c r="Y616" s="38"/>
      <c r="Z616" s="39">
        <f t="shared" si="77"/>
        <v>0</v>
      </c>
      <c r="AA616" s="38"/>
      <c r="AB616" s="38"/>
      <c r="AC616" s="39">
        <f t="shared" si="78"/>
        <v>0</v>
      </c>
      <c r="AD616" s="38"/>
      <c r="AE616" s="38"/>
      <c r="AF616" s="39">
        <f t="shared" si="79"/>
        <v>0</v>
      </c>
    </row>
    <row r="617" spans="2:32" ht="15" customHeight="1" x14ac:dyDescent="0.3">
      <c r="B617" s="2" t="s">
        <v>836</v>
      </c>
      <c r="C617" s="4" t="s">
        <v>1113</v>
      </c>
      <c r="D617" s="3" t="s">
        <v>1114</v>
      </c>
      <c r="E617" s="6" t="s">
        <v>1120</v>
      </c>
      <c r="F617" s="6" t="s">
        <v>1004</v>
      </c>
      <c r="G617" s="6" t="s">
        <v>709</v>
      </c>
      <c r="H617" s="25">
        <v>28000</v>
      </c>
      <c r="I617" s="38">
        <v>0</v>
      </c>
      <c r="J617" s="38">
        <v>0</v>
      </c>
      <c r="K617" s="39">
        <f t="shared" si="72"/>
        <v>0</v>
      </c>
      <c r="L617" s="38">
        <v>25</v>
      </c>
      <c r="M617" s="38">
        <v>10</v>
      </c>
      <c r="N617" s="39">
        <f t="shared" si="73"/>
        <v>7000000</v>
      </c>
      <c r="O617" s="38">
        <v>25</v>
      </c>
      <c r="P617" s="38">
        <v>10</v>
      </c>
      <c r="Q617" s="39">
        <f t="shared" si="74"/>
        <v>7000000</v>
      </c>
      <c r="R617" s="38">
        <v>25</v>
      </c>
      <c r="S617" s="38">
        <v>10</v>
      </c>
      <c r="T617" s="39">
        <f t="shared" si="75"/>
        <v>7000000</v>
      </c>
      <c r="U617" s="38">
        <v>25</v>
      </c>
      <c r="V617" s="38">
        <v>10</v>
      </c>
      <c r="W617" s="39">
        <f t="shared" si="76"/>
        <v>7000000</v>
      </c>
      <c r="X617" s="38"/>
      <c r="Y617" s="38"/>
      <c r="Z617" s="39">
        <f t="shared" si="77"/>
        <v>0</v>
      </c>
      <c r="AA617" s="38"/>
      <c r="AB617" s="38"/>
      <c r="AC617" s="39">
        <f t="shared" si="78"/>
        <v>0</v>
      </c>
      <c r="AD617" s="38"/>
      <c r="AE617" s="38"/>
      <c r="AF617" s="39">
        <f t="shared" si="79"/>
        <v>0</v>
      </c>
    </row>
    <row r="618" spans="2:32" ht="15" customHeight="1" x14ac:dyDescent="0.3">
      <c r="B618" s="2" t="s">
        <v>836</v>
      </c>
      <c r="C618" s="4" t="s">
        <v>1113</v>
      </c>
      <c r="D618" s="3" t="s">
        <v>1114</v>
      </c>
      <c r="E618" s="6" t="s">
        <v>1120</v>
      </c>
      <c r="F618" s="6" t="s">
        <v>1004</v>
      </c>
      <c r="G618" s="6" t="s">
        <v>712</v>
      </c>
      <c r="H618" s="25">
        <v>214.29</v>
      </c>
      <c r="I618" s="38">
        <v>0</v>
      </c>
      <c r="J618" s="38">
        <v>0</v>
      </c>
      <c r="K618" s="39">
        <f t="shared" si="72"/>
        <v>0</v>
      </c>
      <c r="L618" s="38">
        <v>25</v>
      </c>
      <c r="M618" s="38">
        <v>10</v>
      </c>
      <c r="N618" s="39">
        <f t="shared" si="73"/>
        <v>53572.5</v>
      </c>
      <c r="O618" s="38">
        <v>25</v>
      </c>
      <c r="P618" s="38">
        <v>10</v>
      </c>
      <c r="Q618" s="39">
        <f t="shared" si="74"/>
        <v>53572.5</v>
      </c>
      <c r="R618" s="38">
        <v>25</v>
      </c>
      <c r="S618" s="38">
        <v>10</v>
      </c>
      <c r="T618" s="39">
        <f t="shared" si="75"/>
        <v>53572.5</v>
      </c>
      <c r="U618" s="38">
        <v>25</v>
      </c>
      <c r="V618" s="38">
        <v>10</v>
      </c>
      <c r="W618" s="39">
        <f t="shared" si="76"/>
        <v>53572.5</v>
      </c>
      <c r="X618" s="38"/>
      <c r="Y618" s="38"/>
      <c r="Z618" s="39">
        <f t="shared" si="77"/>
        <v>0</v>
      </c>
      <c r="AA618" s="38"/>
      <c r="AB618" s="38"/>
      <c r="AC618" s="39">
        <f t="shared" si="78"/>
        <v>0</v>
      </c>
      <c r="AD618" s="38"/>
      <c r="AE618" s="38"/>
      <c r="AF618" s="39">
        <f t="shared" si="79"/>
        <v>0</v>
      </c>
    </row>
    <row r="619" spans="2:32" ht="15" customHeight="1" x14ac:dyDescent="0.3">
      <c r="B619" s="2" t="s">
        <v>836</v>
      </c>
      <c r="C619" s="4" t="s">
        <v>1113</v>
      </c>
      <c r="D619" s="3" t="s">
        <v>1114</v>
      </c>
      <c r="E619" s="6" t="s">
        <v>1120</v>
      </c>
      <c r="F619" s="6" t="s">
        <v>180</v>
      </c>
      <c r="G619" s="6" t="s">
        <v>716</v>
      </c>
      <c r="H619" s="25">
        <v>39000</v>
      </c>
      <c r="I619" s="38">
        <v>0</v>
      </c>
      <c r="J619" s="38">
        <v>0</v>
      </c>
      <c r="K619" s="39">
        <f t="shared" si="72"/>
        <v>0</v>
      </c>
      <c r="L619" s="38">
        <v>4000</v>
      </c>
      <c r="M619" s="38">
        <v>2</v>
      </c>
      <c r="N619" s="39">
        <f t="shared" si="73"/>
        <v>312000000</v>
      </c>
      <c r="O619" s="38">
        <v>4000</v>
      </c>
      <c r="P619" s="38">
        <v>2</v>
      </c>
      <c r="Q619" s="39">
        <f t="shared" si="74"/>
        <v>312000000</v>
      </c>
      <c r="R619" s="38">
        <v>4000</v>
      </c>
      <c r="S619" s="38">
        <v>2</v>
      </c>
      <c r="T619" s="39">
        <f t="shared" si="75"/>
        <v>312000000</v>
      </c>
      <c r="U619" s="38">
        <v>4000</v>
      </c>
      <c r="V619" s="38">
        <v>2</v>
      </c>
      <c r="W619" s="39">
        <f t="shared" si="76"/>
        <v>312000000</v>
      </c>
      <c r="X619" s="38"/>
      <c r="Y619" s="38"/>
      <c r="Z619" s="39">
        <f t="shared" si="77"/>
        <v>0</v>
      </c>
      <c r="AA619" s="38"/>
      <c r="AB619" s="38"/>
      <c r="AC619" s="39">
        <f t="shared" si="78"/>
        <v>0</v>
      </c>
      <c r="AD619" s="38"/>
      <c r="AE619" s="38"/>
      <c r="AF619" s="39">
        <f t="shared" si="79"/>
        <v>0</v>
      </c>
    </row>
    <row r="620" spans="2:32" ht="15" customHeight="1" x14ac:dyDescent="0.3">
      <c r="B620" s="2" t="s">
        <v>836</v>
      </c>
      <c r="C620" s="4" t="s">
        <v>1113</v>
      </c>
      <c r="D620" s="3" t="s">
        <v>1114</v>
      </c>
      <c r="E620" s="6" t="s">
        <v>1120</v>
      </c>
      <c r="F620" s="6" t="s">
        <v>180</v>
      </c>
      <c r="G620" s="6" t="s">
        <v>709</v>
      </c>
      <c r="H620" s="25">
        <v>28000</v>
      </c>
      <c r="I620" s="38">
        <v>0</v>
      </c>
      <c r="J620" s="38">
        <v>0</v>
      </c>
      <c r="K620" s="39">
        <f t="shared" si="72"/>
        <v>0</v>
      </c>
      <c r="L620" s="38">
        <v>20</v>
      </c>
      <c r="M620" s="38">
        <v>10</v>
      </c>
      <c r="N620" s="39">
        <f t="shared" si="73"/>
        <v>5600000</v>
      </c>
      <c r="O620" s="38">
        <v>20</v>
      </c>
      <c r="P620" s="38">
        <v>10</v>
      </c>
      <c r="Q620" s="39">
        <f t="shared" si="74"/>
        <v>5600000</v>
      </c>
      <c r="R620" s="38">
        <v>20</v>
      </c>
      <c r="S620" s="38">
        <v>10</v>
      </c>
      <c r="T620" s="39">
        <f t="shared" si="75"/>
        <v>5600000</v>
      </c>
      <c r="U620" s="38">
        <v>20</v>
      </c>
      <c r="V620" s="38">
        <v>10</v>
      </c>
      <c r="W620" s="39">
        <f t="shared" si="76"/>
        <v>5600000</v>
      </c>
      <c r="X620" s="38"/>
      <c r="Y620" s="38"/>
      <c r="Z620" s="39">
        <f t="shared" si="77"/>
        <v>0</v>
      </c>
      <c r="AA620" s="38"/>
      <c r="AB620" s="38"/>
      <c r="AC620" s="39">
        <f t="shared" si="78"/>
        <v>0</v>
      </c>
      <c r="AD620" s="38"/>
      <c r="AE620" s="38"/>
      <c r="AF620" s="39">
        <f t="shared" si="79"/>
        <v>0</v>
      </c>
    </row>
    <row r="621" spans="2:32" ht="15" customHeight="1" x14ac:dyDescent="0.3">
      <c r="B621" s="2" t="s">
        <v>836</v>
      </c>
      <c r="C621" s="4" t="s">
        <v>1113</v>
      </c>
      <c r="D621" s="3" t="s">
        <v>1114</v>
      </c>
      <c r="E621" s="6" t="s">
        <v>1120</v>
      </c>
      <c r="F621" s="6" t="s">
        <v>180</v>
      </c>
      <c r="G621" s="6" t="s">
        <v>712</v>
      </c>
      <c r="H621" s="25">
        <v>214.29</v>
      </c>
      <c r="I621" s="38">
        <v>0</v>
      </c>
      <c r="J621" s="38">
        <v>0</v>
      </c>
      <c r="K621" s="39">
        <f t="shared" si="72"/>
        <v>0</v>
      </c>
      <c r="L621" s="38">
        <v>20</v>
      </c>
      <c r="M621" s="38">
        <v>10</v>
      </c>
      <c r="N621" s="39">
        <f t="shared" si="73"/>
        <v>42858</v>
      </c>
      <c r="O621" s="38">
        <v>20</v>
      </c>
      <c r="P621" s="38">
        <v>10</v>
      </c>
      <c r="Q621" s="39">
        <f t="shared" si="74"/>
        <v>42858</v>
      </c>
      <c r="R621" s="38">
        <v>20</v>
      </c>
      <c r="S621" s="38">
        <v>10</v>
      </c>
      <c r="T621" s="39">
        <f t="shared" si="75"/>
        <v>42858</v>
      </c>
      <c r="U621" s="38">
        <v>20</v>
      </c>
      <c r="V621" s="38">
        <v>10</v>
      </c>
      <c r="W621" s="39">
        <f t="shared" si="76"/>
        <v>42858</v>
      </c>
      <c r="X621" s="38"/>
      <c r="Y621" s="38"/>
      <c r="Z621" s="39">
        <f t="shared" si="77"/>
        <v>0</v>
      </c>
      <c r="AA621" s="38"/>
      <c r="AB621" s="38"/>
      <c r="AC621" s="39">
        <f t="shared" si="78"/>
        <v>0</v>
      </c>
      <c r="AD621" s="38"/>
      <c r="AE621" s="38"/>
      <c r="AF621" s="39">
        <f t="shared" si="79"/>
        <v>0</v>
      </c>
    </row>
    <row r="622" spans="2:32" ht="15" customHeight="1" x14ac:dyDescent="0.3">
      <c r="B622" s="2" t="s">
        <v>836</v>
      </c>
      <c r="C622" s="4" t="s">
        <v>1113</v>
      </c>
      <c r="D622" s="3" t="s">
        <v>1114</v>
      </c>
      <c r="E622" s="6" t="s">
        <v>1120</v>
      </c>
      <c r="F622" s="6" t="s">
        <v>280</v>
      </c>
      <c r="G622" s="6" t="s">
        <v>709</v>
      </c>
      <c r="H622" s="25">
        <v>28000</v>
      </c>
      <c r="I622" s="38">
        <v>0</v>
      </c>
      <c r="J622" s="38">
        <v>0</v>
      </c>
      <c r="K622" s="39">
        <f t="shared" si="72"/>
        <v>0</v>
      </c>
      <c r="L622" s="38">
        <v>4000</v>
      </c>
      <c r="M622" s="38">
        <v>2</v>
      </c>
      <c r="N622" s="39">
        <f t="shared" si="73"/>
        <v>224000000</v>
      </c>
      <c r="O622" s="38">
        <v>4000</v>
      </c>
      <c r="P622" s="38">
        <v>2</v>
      </c>
      <c r="Q622" s="39">
        <f t="shared" si="74"/>
        <v>224000000</v>
      </c>
      <c r="R622" s="38">
        <v>4000</v>
      </c>
      <c r="S622" s="38">
        <v>2</v>
      </c>
      <c r="T622" s="39">
        <f t="shared" si="75"/>
        <v>224000000</v>
      </c>
      <c r="U622" s="38">
        <v>4000</v>
      </c>
      <c r="V622" s="38">
        <v>2</v>
      </c>
      <c r="W622" s="39">
        <f t="shared" si="76"/>
        <v>224000000</v>
      </c>
      <c r="X622" s="38"/>
      <c r="Y622" s="38"/>
      <c r="Z622" s="39">
        <f t="shared" si="77"/>
        <v>0</v>
      </c>
      <c r="AA622" s="38"/>
      <c r="AB622" s="38"/>
      <c r="AC622" s="39">
        <f t="shared" si="78"/>
        <v>0</v>
      </c>
      <c r="AD622" s="38"/>
      <c r="AE622" s="38"/>
      <c r="AF622" s="39">
        <f t="shared" si="79"/>
        <v>0</v>
      </c>
    </row>
    <row r="623" spans="2:32" ht="15" customHeight="1" x14ac:dyDescent="0.3">
      <c r="B623" s="2" t="s">
        <v>836</v>
      </c>
      <c r="C623" s="4" t="s">
        <v>1113</v>
      </c>
      <c r="D623" s="3" t="s">
        <v>1114</v>
      </c>
      <c r="E623" s="6" t="s">
        <v>1120</v>
      </c>
      <c r="F623" s="6" t="s">
        <v>280</v>
      </c>
      <c r="G623" s="6" t="s">
        <v>716</v>
      </c>
      <c r="H623" s="25">
        <v>39000</v>
      </c>
      <c r="I623" s="38">
        <v>0</v>
      </c>
      <c r="J623" s="38">
        <v>0</v>
      </c>
      <c r="K623" s="39">
        <f t="shared" si="72"/>
        <v>0</v>
      </c>
      <c r="L623" s="38">
        <v>50</v>
      </c>
      <c r="M623" s="38">
        <v>2</v>
      </c>
      <c r="N623" s="39">
        <f t="shared" si="73"/>
        <v>3900000</v>
      </c>
      <c r="O623" s="38">
        <v>50</v>
      </c>
      <c r="P623" s="38">
        <v>2</v>
      </c>
      <c r="Q623" s="39">
        <f t="shared" si="74"/>
        <v>3900000</v>
      </c>
      <c r="R623" s="38">
        <v>50</v>
      </c>
      <c r="S623" s="38">
        <v>2</v>
      </c>
      <c r="T623" s="39">
        <f t="shared" si="75"/>
        <v>3900000</v>
      </c>
      <c r="U623" s="38">
        <v>50</v>
      </c>
      <c r="V623" s="38">
        <v>2</v>
      </c>
      <c r="W623" s="39">
        <f t="shared" si="76"/>
        <v>3900000</v>
      </c>
      <c r="X623" s="38"/>
      <c r="Y623" s="38"/>
      <c r="Z623" s="39">
        <f t="shared" si="77"/>
        <v>0</v>
      </c>
      <c r="AA623" s="38"/>
      <c r="AB623" s="38"/>
      <c r="AC623" s="39">
        <f t="shared" si="78"/>
        <v>0</v>
      </c>
      <c r="AD623" s="38"/>
      <c r="AE623" s="38"/>
      <c r="AF623" s="39">
        <f t="shared" si="79"/>
        <v>0</v>
      </c>
    </row>
    <row r="624" spans="2:32" ht="15" customHeight="1" x14ac:dyDescent="0.3">
      <c r="B624" s="2" t="s">
        <v>836</v>
      </c>
      <c r="C624" s="4" t="s">
        <v>1113</v>
      </c>
      <c r="D624" s="3" t="s">
        <v>1114</v>
      </c>
      <c r="E624" s="6" t="s">
        <v>1120</v>
      </c>
      <c r="F624" s="6" t="s">
        <v>280</v>
      </c>
      <c r="G624" s="6" t="s">
        <v>712</v>
      </c>
      <c r="H624" s="25">
        <v>214.29</v>
      </c>
      <c r="I624" s="38">
        <v>0</v>
      </c>
      <c r="J624" s="38">
        <v>0</v>
      </c>
      <c r="K624" s="39">
        <f t="shared" si="72"/>
        <v>0</v>
      </c>
      <c r="L624" s="38">
        <v>20</v>
      </c>
      <c r="M624" s="38">
        <v>2</v>
      </c>
      <c r="N624" s="39">
        <f t="shared" si="73"/>
        <v>8571.6</v>
      </c>
      <c r="O624" s="38">
        <v>20</v>
      </c>
      <c r="P624" s="38">
        <v>2</v>
      </c>
      <c r="Q624" s="39">
        <f t="shared" si="74"/>
        <v>8571.6</v>
      </c>
      <c r="R624" s="38">
        <v>20</v>
      </c>
      <c r="S624" s="38">
        <v>2</v>
      </c>
      <c r="T624" s="39">
        <f t="shared" si="75"/>
        <v>8571.6</v>
      </c>
      <c r="U624" s="38">
        <v>20</v>
      </c>
      <c r="V624" s="38">
        <v>2</v>
      </c>
      <c r="W624" s="39">
        <f t="shared" si="76"/>
        <v>8571.6</v>
      </c>
      <c r="X624" s="38"/>
      <c r="Y624" s="38"/>
      <c r="Z624" s="39">
        <f t="shared" si="77"/>
        <v>0</v>
      </c>
      <c r="AA624" s="38"/>
      <c r="AB624" s="38"/>
      <c r="AC624" s="39">
        <f t="shared" si="78"/>
        <v>0</v>
      </c>
      <c r="AD624" s="38"/>
      <c r="AE624" s="38"/>
      <c r="AF624" s="39">
        <f t="shared" si="79"/>
        <v>0</v>
      </c>
    </row>
    <row r="625" spans="2:32" ht="15" customHeight="1" x14ac:dyDescent="0.3">
      <c r="B625" s="2" t="s">
        <v>836</v>
      </c>
      <c r="C625" s="4" t="s">
        <v>1113</v>
      </c>
      <c r="D625" s="3" t="s">
        <v>1114</v>
      </c>
      <c r="E625" s="6" t="s">
        <v>1120</v>
      </c>
      <c r="F625" s="6" t="s">
        <v>171</v>
      </c>
      <c r="G625" s="6" t="s">
        <v>709</v>
      </c>
      <c r="H625" s="25">
        <v>28000</v>
      </c>
      <c r="I625" s="38">
        <v>0</v>
      </c>
      <c r="J625" s="38">
        <v>0</v>
      </c>
      <c r="K625" s="39">
        <f t="shared" si="72"/>
        <v>0</v>
      </c>
      <c r="L625" s="38">
        <v>8000</v>
      </c>
      <c r="M625" s="38">
        <v>2</v>
      </c>
      <c r="N625" s="39">
        <f t="shared" si="73"/>
        <v>448000000</v>
      </c>
      <c r="O625" s="38">
        <v>8000</v>
      </c>
      <c r="P625" s="38">
        <v>2</v>
      </c>
      <c r="Q625" s="39">
        <f t="shared" si="74"/>
        <v>448000000</v>
      </c>
      <c r="R625" s="38">
        <v>8000</v>
      </c>
      <c r="S625" s="38">
        <v>2</v>
      </c>
      <c r="T625" s="39">
        <f t="shared" si="75"/>
        <v>448000000</v>
      </c>
      <c r="U625" s="38">
        <v>8000</v>
      </c>
      <c r="V625" s="38">
        <v>2</v>
      </c>
      <c r="W625" s="39">
        <f t="shared" si="76"/>
        <v>448000000</v>
      </c>
      <c r="X625" s="38"/>
      <c r="Y625" s="38"/>
      <c r="Z625" s="39">
        <f t="shared" si="77"/>
        <v>0</v>
      </c>
      <c r="AA625" s="38"/>
      <c r="AB625" s="38"/>
      <c r="AC625" s="39">
        <f t="shared" si="78"/>
        <v>0</v>
      </c>
      <c r="AD625" s="38"/>
      <c r="AE625" s="38"/>
      <c r="AF625" s="39">
        <f t="shared" si="79"/>
        <v>0</v>
      </c>
    </row>
    <row r="626" spans="2:32" ht="15" customHeight="1" x14ac:dyDescent="0.3">
      <c r="B626" s="2" t="s">
        <v>836</v>
      </c>
      <c r="C626" s="4" t="s">
        <v>1113</v>
      </c>
      <c r="D626" s="3" t="s">
        <v>1114</v>
      </c>
      <c r="E626" s="6" t="s">
        <v>1120</v>
      </c>
      <c r="F626" s="6" t="s">
        <v>171</v>
      </c>
      <c r="G626" s="6" t="s">
        <v>711</v>
      </c>
      <c r="H626" s="25">
        <v>70</v>
      </c>
      <c r="I626" s="38">
        <v>0</v>
      </c>
      <c r="J626" s="38">
        <v>0</v>
      </c>
      <c r="K626" s="39">
        <f t="shared" si="72"/>
        <v>0</v>
      </c>
      <c r="L626" s="38">
        <v>100</v>
      </c>
      <c r="M626" s="38">
        <v>2</v>
      </c>
      <c r="N626" s="39">
        <f t="shared" si="73"/>
        <v>14000</v>
      </c>
      <c r="O626" s="38">
        <v>100</v>
      </c>
      <c r="P626" s="38">
        <v>2</v>
      </c>
      <c r="Q626" s="39">
        <f t="shared" si="74"/>
        <v>14000</v>
      </c>
      <c r="R626" s="38">
        <v>100</v>
      </c>
      <c r="S626" s="38">
        <v>2</v>
      </c>
      <c r="T626" s="39">
        <f t="shared" si="75"/>
        <v>14000</v>
      </c>
      <c r="U626" s="38">
        <v>100</v>
      </c>
      <c r="V626" s="38">
        <v>2</v>
      </c>
      <c r="W626" s="39">
        <f t="shared" si="76"/>
        <v>14000</v>
      </c>
      <c r="X626" s="38"/>
      <c r="Y626" s="38"/>
      <c r="Z626" s="39">
        <f t="shared" si="77"/>
        <v>0</v>
      </c>
      <c r="AA626" s="38"/>
      <c r="AB626" s="38"/>
      <c r="AC626" s="39">
        <f t="shared" si="78"/>
        <v>0</v>
      </c>
      <c r="AD626" s="38"/>
      <c r="AE626" s="38"/>
      <c r="AF626" s="39">
        <f t="shared" si="79"/>
        <v>0</v>
      </c>
    </row>
    <row r="627" spans="2:32" ht="15" customHeight="1" x14ac:dyDescent="0.3">
      <c r="B627" s="2" t="s">
        <v>836</v>
      </c>
      <c r="C627" s="4" t="s">
        <v>1113</v>
      </c>
      <c r="D627" s="3" t="s">
        <v>1114</v>
      </c>
      <c r="E627" s="6" t="s">
        <v>1120</v>
      </c>
      <c r="F627" s="6" t="s">
        <v>171</v>
      </c>
      <c r="G627" s="6" t="s">
        <v>717</v>
      </c>
      <c r="H627" s="25">
        <v>104850</v>
      </c>
      <c r="I627" s="38">
        <v>0</v>
      </c>
      <c r="J627" s="38">
        <v>0</v>
      </c>
      <c r="K627" s="39">
        <f t="shared" si="72"/>
        <v>0</v>
      </c>
      <c r="L627" s="38">
        <v>50000</v>
      </c>
      <c r="M627" s="38">
        <v>2</v>
      </c>
      <c r="N627" s="39">
        <f t="shared" si="73"/>
        <v>10485000000</v>
      </c>
      <c r="O627" s="38">
        <v>50000</v>
      </c>
      <c r="P627" s="38">
        <v>2</v>
      </c>
      <c r="Q627" s="39">
        <f t="shared" si="74"/>
        <v>10485000000</v>
      </c>
      <c r="R627" s="38">
        <v>50000</v>
      </c>
      <c r="S627" s="38">
        <v>2</v>
      </c>
      <c r="T627" s="39">
        <f t="shared" si="75"/>
        <v>10485000000</v>
      </c>
      <c r="U627" s="38">
        <v>50000</v>
      </c>
      <c r="V627" s="38">
        <v>2</v>
      </c>
      <c r="W627" s="39">
        <f t="shared" si="76"/>
        <v>10485000000</v>
      </c>
      <c r="X627" s="38"/>
      <c r="Y627" s="38"/>
      <c r="Z627" s="39">
        <f t="shared" si="77"/>
        <v>0</v>
      </c>
      <c r="AA627" s="38"/>
      <c r="AB627" s="38"/>
      <c r="AC627" s="39">
        <f t="shared" si="78"/>
        <v>0</v>
      </c>
      <c r="AD627" s="38"/>
      <c r="AE627" s="38"/>
      <c r="AF627" s="39">
        <f t="shared" si="79"/>
        <v>0</v>
      </c>
    </row>
    <row r="628" spans="2:32" ht="15" customHeight="1" x14ac:dyDescent="0.3">
      <c r="B628" s="2" t="s">
        <v>836</v>
      </c>
      <c r="C628" s="4" t="s">
        <v>1113</v>
      </c>
      <c r="D628" s="3" t="s">
        <v>1114</v>
      </c>
      <c r="E628" s="6" t="s">
        <v>1122</v>
      </c>
      <c r="F628" s="6" t="s">
        <v>1123</v>
      </c>
      <c r="G628" s="6" t="s">
        <v>709</v>
      </c>
      <c r="H628" s="25">
        <v>28000</v>
      </c>
      <c r="I628" s="38">
        <v>0</v>
      </c>
      <c r="J628" s="38">
        <v>0</v>
      </c>
      <c r="K628" s="39">
        <f t="shared" si="72"/>
        <v>0</v>
      </c>
      <c r="L628" s="38">
        <v>5</v>
      </c>
      <c r="M628" s="38">
        <v>2</v>
      </c>
      <c r="N628" s="39">
        <f t="shared" si="73"/>
        <v>280000</v>
      </c>
      <c r="O628" s="38">
        <v>5</v>
      </c>
      <c r="P628" s="38">
        <v>2</v>
      </c>
      <c r="Q628" s="39">
        <f t="shared" si="74"/>
        <v>280000</v>
      </c>
      <c r="R628" s="38">
        <v>5</v>
      </c>
      <c r="S628" s="38">
        <v>2</v>
      </c>
      <c r="T628" s="39">
        <f t="shared" si="75"/>
        <v>280000</v>
      </c>
      <c r="U628" s="38">
        <v>5</v>
      </c>
      <c r="V628" s="38">
        <v>2</v>
      </c>
      <c r="W628" s="39">
        <f t="shared" si="76"/>
        <v>280000</v>
      </c>
      <c r="X628" s="38"/>
      <c r="Y628" s="38"/>
      <c r="Z628" s="39">
        <f t="shared" si="77"/>
        <v>0</v>
      </c>
      <c r="AA628" s="38"/>
      <c r="AB628" s="38"/>
      <c r="AC628" s="39">
        <f t="shared" si="78"/>
        <v>0</v>
      </c>
      <c r="AD628" s="38"/>
      <c r="AE628" s="38"/>
      <c r="AF628" s="39">
        <f t="shared" si="79"/>
        <v>0</v>
      </c>
    </row>
    <row r="629" spans="2:32" ht="15" customHeight="1" x14ac:dyDescent="0.3">
      <c r="B629" s="2" t="s">
        <v>836</v>
      </c>
      <c r="C629" s="4" t="s">
        <v>1113</v>
      </c>
      <c r="D629" s="3" t="s">
        <v>1114</v>
      </c>
      <c r="E629" s="6" t="s">
        <v>1122</v>
      </c>
      <c r="F629" s="6" t="s">
        <v>1123</v>
      </c>
      <c r="G629" s="6" t="s">
        <v>716</v>
      </c>
      <c r="H629" s="25">
        <v>39000</v>
      </c>
      <c r="I629" s="38">
        <v>0</v>
      </c>
      <c r="J629" s="38">
        <v>0</v>
      </c>
      <c r="K629" s="39">
        <f t="shared" si="72"/>
        <v>0</v>
      </c>
      <c r="L629" s="38">
        <v>20</v>
      </c>
      <c r="M629" s="38">
        <v>5</v>
      </c>
      <c r="N629" s="39">
        <f t="shared" si="73"/>
        <v>3900000</v>
      </c>
      <c r="O629" s="38">
        <v>20</v>
      </c>
      <c r="P629" s="38">
        <v>5</v>
      </c>
      <c r="Q629" s="39">
        <f t="shared" si="74"/>
        <v>3900000</v>
      </c>
      <c r="R629" s="38">
        <v>20</v>
      </c>
      <c r="S629" s="38">
        <v>5</v>
      </c>
      <c r="T629" s="39">
        <f t="shared" si="75"/>
        <v>3900000</v>
      </c>
      <c r="U629" s="38">
        <v>20</v>
      </c>
      <c r="V629" s="38">
        <v>5</v>
      </c>
      <c r="W629" s="39">
        <f t="shared" si="76"/>
        <v>3900000</v>
      </c>
      <c r="X629" s="38"/>
      <c r="Y629" s="38"/>
      <c r="Z629" s="39">
        <f t="shared" si="77"/>
        <v>0</v>
      </c>
      <c r="AA629" s="38"/>
      <c r="AB629" s="38"/>
      <c r="AC629" s="39">
        <f t="shared" si="78"/>
        <v>0</v>
      </c>
      <c r="AD629" s="38"/>
      <c r="AE629" s="38"/>
      <c r="AF629" s="39">
        <f t="shared" si="79"/>
        <v>0</v>
      </c>
    </row>
    <row r="630" spans="2:32" ht="15" customHeight="1" x14ac:dyDescent="0.3">
      <c r="B630" s="2" t="s">
        <v>836</v>
      </c>
      <c r="C630" s="4" t="s">
        <v>1113</v>
      </c>
      <c r="D630" s="3" t="s">
        <v>1114</v>
      </c>
      <c r="E630" s="6" t="s">
        <v>1122</v>
      </c>
      <c r="F630" s="6" t="s">
        <v>1123</v>
      </c>
      <c r="G630" s="6" t="s">
        <v>712</v>
      </c>
      <c r="H630" s="25">
        <v>214.29</v>
      </c>
      <c r="I630" s="38">
        <v>0</v>
      </c>
      <c r="J630" s="38">
        <v>0</v>
      </c>
      <c r="K630" s="39">
        <f t="shared" si="72"/>
        <v>0</v>
      </c>
      <c r="L630" s="38">
        <v>20</v>
      </c>
      <c r="M630" s="38">
        <v>6</v>
      </c>
      <c r="N630" s="39">
        <f t="shared" si="73"/>
        <v>25714.800000000003</v>
      </c>
      <c r="O630" s="38">
        <v>20</v>
      </c>
      <c r="P630" s="38">
        <v>6</v>
      </c>
      <c r="Q630" s="39">
        <f t="shared" si="74"/>
        <v>25714.800000000003</v>
      </c>
      <c r="R630" s="38">
        <v>20</v>
      </c>
      <c r="S630" s="38">
        <v>6</v>
      </c>
      <c r="T630" s="39">
        <f t="shared" si="75"/>
        <v>25714.800000000003</v>
      </c>
      <c r="U630" s="38">
        <v>20</v>
      </c>
      <c r="V630" s="38">
        <v>6</v>
      </c>
      <c r="W630" s="39">
        <f t="shared" si="76"/>
        <v>25714.800000000003</v>
      </c>
      <c r="X630" s="38"/>
      <c r="Y630" s="38"/>
      <c r="Z630" s="39">
        <f t="shared" si="77"/>
        <v>0</v>
      </c>
      <c r="AA630" s="38"/>
      <c r="AB630" s="38"/>
      <c r="AC630" s="39">
        <f t="shared" si="78"/>
        <v>0</v>
      </c>
      <c r="AD630" s="38"/>
      <c r="AE630" s="38"/>
      <c r="AF630" s="39">
        <f t="shared" si="79"/>
        <v>0</v>
      </c>
    </row>
    <row r="631" spans="2:32" ht="15" customHeight="1" x14ac:dyDescent="0.3">
      <c r="B631" s="2" t="s">
        <v>836</v>
      </c>
      <c r="C631" s="4" t="s">
        <v>1113</v>
      </c>
      <c r="D631" s="3" t="s">
        <v>1114</v>
      </c>
      <c r="E631" s="6" t="s">
        <v>1124</v>
      </c>
      <c r="F631" s="6" t="s">
        <v>1125</v>
      </c>
      <c r="G631" s="6" t="s">
        <v>841</v>
      </c>
      <c r="H631" s="25">
        <v>0</v>
      </c>
      <c r="I631" s="38">
        <v>0</v>
      </c>
      <c r="J631" s="38">
        <v>0</v>
      </c>
      <c r="K631" s="39">
        <f t="shared" si="72"/>
        <v>0</v>
      </c>
      <c r="L631" s="38">
        <v>8000</v>
      </c>
      <c r="M631" s="38">
        <v>1</v>
      </c>
      <c r="N631" s="39">
        <f t="shared" si="73"/>
        <v>0</v>
      </c>
      <c r="O631" s="38">
        <v>8000</v>
      </c>
      <c r="P631" s="38">
        <v>1</v>
      </c>
      <c r="Q631" s="39">
        <f t="shared" si="74"/>
        <v>0</v>
      </c>
      <c r="R631" s="38">
        <v>8000</v>
      </c>
      <c r="S631" s="38">
        <v>1</v>
      </c>
      <c r="T631" s="39">
        <f t="shared" si="75"/>
        <v>0</v>
      </c>
      <c r="U631" s="38">
        <v>8000</v>
      </c>
      <c r="V631" s="38">
        <v>1</v>
      </c>
      <c r="W631" s="39">
        <f t="shared" si="76"/>
        <v>0</v>
      </c>
      <c r="X631" s="38"/>
      <c r="Y631" s="38"/>
      <c r="Z631" s="39">
        <f t="shared" si="77"/>
        <v>0</v>
      </c>
      <c r="AA631" s="38"/>
      <c r="AB631" s="38"/>
      <c r="AC631" s="39">
        <f t="shared" si="78"/>
        <v>0</v>
      </c>
      <c r="AD631" s="38"/>
      <c r="AE631" s="38"/>
      <c r="AF631" s="39">
        <f t="shared" si="79"/>
        <v>0</v>
      </c>
    </row>
    <row r="632" spans="2:32" ht="15" customHeight="1" x14ac:dyDescent="0.3">
      <c r="B632" s="2" t="s">
        <v>836</v>
      </c>
      <c r="C632" s="4" t="s">
        <v>1113</v>
      </c>
      <c r="D632" s="3" t="s">
        <v>1114</v>
      </c>
      <c r="E632" s="6" t="s">
        <v>1124</v>
      </c>
      <c r="F632" s="6" t="s">
        <v>1126</v>
      </c>
      <c r="G632" s="6" t="s">
        <v>709</v>
      </c>
      <c r="H632" s="25">
        <v>28000</v>
      </c>
      <c r="I632" s="38">
        <v>0</v>
      </c>
      <c r="J632" s="38">
        <v>0</v>
      </c>
      <c r="K632" s="39">
        <f t="shared" si="72"/>
        <v>0</v>
      </c>
      <c r="L632" s="38">
        <v>0</v>
      </c>
      <c r="M632" s="38">
        <v>0</v>
      </c>
      <c r="N632" s="39">
        <f t="shared" si="73"/>
        <v>0</v>
      </c>
      <c r="O632" s="38">
        <v>3</v>
      </c>
      <c r="P632" s="38">
        <v>14</v>
      </c>
      <c r="Q632" s="39">
        <f t="shared" si="74"/>
        <v>1176000</v>
      </c>
      <c r="R632" s="38">
        <v>0</v>
      </c>
      <c r="S632" s="38">
        <v>0</v>
      </c>
      <c r="T632" s="39">
        <f t="shared" si="75"/>
        <v>0</v>
      </c>
      <c r="U632" s="38">
        <v>0</v>
      </c>
      <c r="V632" s="38">
        <v>0</v>
      </c>
      <c r="W632" s="39">
        <f t="shared" si="76"/>
        <v>0</v>
      </c>
      <c r="X632" s="38"/>
      <c r="Y632" s="38"/>
      <c r="Z632" s="39">
        <f t="shared" si="77"/>
        <v>0</v>
      </c>
      <c r="AA632" s="38"/>
      <c r="AB632" s="38"/>
      <c r="AC632" s="39">
        <f t="shared" si="78"/>
        <v>0</v>
      </c>
      <c r="AD632" s="38"/>
      <c r="AE632" s="38"/>
      <c r="AF632" s="39">
        <f t="shared" si="79"/>
        <v>0</v>
      </c>
    </row>
    <row r="633" spans="2:32" ht="15" customHeight="1" x14ac:dyDescent="0.3">
      <c r="B633" s="2" t="s">
        <v>836</v>
      </c>
      <c r="C633" s="4" t="s">
        <v>1113</v>
      </c>
      <c r="D633" s="3" t="s">
        <v>1114</v>
      </c>
      <c r="E633" s="6" t="s">
        <v>1124</v>
      </c>
      <c r="F633" s="6" t="s">
        <v>1126</v>
      </c>
      <c r="G633" s="6" t="s">
        <v>716</v>
      </c>
      <c r="H633" s="25">
        <v>39000</v>
      </c>
      <c r="I633" s="38">
        <v>0</v>
      </c>
      <c r="J633" s="38">
        <v>0</v>
      </c>
      <c r="K633" s="39">
        <f t="shared" si="72"/>
        <v>0</v>
      </c>
      <c r="L633" s="38">
        <v>0</v>
      </c>
      <c r="M633" s="38">
        <v>0</v>
      </c>
      <c r="N633" s="39">
        <f t="shared" si="73"/>
        <v>0</v>
      </c>
      <c r="O633" s="38">
        <v>20</v>
      </c>
      <c r="P633" s="38">
        <v>15</v>
      </c>
      <c r="Q633" s="39">
        <f t="shared" si="74"/>
        <v>11700000</v>
      </c>
      <c r="R633" s="38">
        <v>0</v>
      </c>
      <c r="S633" s="38">
        <v>0</v>
      </c>
      <c r="T633" s="39">
        <f t="shared" si="75"/>
        <v>0</v>
      </c>
      <c r="U633" s="38">
        <v>0</v>
      </c>
      <c r="V633" s="38">
        <v>0</v>
      </c>
      <c r="W633" s="39">
        <f t="shared" si="76"/>
        <v>0</v>
      </c>
      <c r="X633" s="38"/>
      <c r="Y633" s="38"/>
      <c r="Z633" s="39">
        <f t="shared" si="77"/>
        <v>0</v>
      </c>
      <c r="AA633" s="38"/>
      <c r="AB633" s="38"/>
      <c r="AC633" s="39">
        <f t="shared" si="78"/>
        <v>0</v>
      </c>
      <c r="AD633" s="38"/>
      <c r="AE633" s="38"/>
      <c r="AF633" s="39">
        <f t="shared" si="79"/>
        <v>0</v>
      </c>
    </row>
    <row r="634" spans="2:32" ht="15" customHeight="1" x14ac:dyDescent="0.3">
      <c r="B634" s="2" t="s">
        <v>836</v>
      </c>
      <c r="C634" s="4" t="s">
        <v>1113</v>
      </c>
      <c r="D634" s="3" t="s">
        <v>1114</v>
      </c>
      <c r="E634" s="6" t="s">
        <v>1124</v>
      </c>
      <c r="F634" s="6" t="s">
        <v>1126</v>
      </c>
      <c r="G634" s="6" t="s">
        <v>712</v>
      </c>
      <c r="H634" s="25">
        <v>214.29</v>
      </c>
      <c r="I634" s="38">
        <v>0</v>
      </c>
      <c r="J634" s="38">
        <v>0</v>
      </c>
      <c r="K634" s="39">
        <f t="shared" si="72"/>
        <v>0</v>
      </c>
      <c r="L634" s="38">
        <v>0</v>
      </c>
      <c r="M634" s="38">
        <v>0</v>
      </c>
      <c r="N634" s="39">
        <f t="shared" si="73"/>
        <v>0</v>
      </c>
      <c r="O634" s="38">
        <v>20</v>
      </c>
      <c r="P634" s="38">
        <v>15</v>
      </c>
      <c r="Q634" s="39">
        <f t="shared" si="74"/>
        <v>64287</v>
      </c>
      <c r="R634" s="38">
        <v>0</v>
      </c>
      <c r="S634" s="38">
        <v>0</v>
      </c>
      <c r="T634" s="39">
        <f t="shared" si="75"/>
        <v>0</v>
      </c>
      <c r="U634" s="38">
        <v>0</v>
      </c>
      <c r="V634" s="38">
        <v>0</v>
      </c>
      <c r="W634" s="39">
        <f t="shared" si="76"/>
        <v>0</v>
      </c>
      <c r="X634" s="38"/>
      <c r="Y634" s="38"/>
      <c r="Z634" s="39">
        <f t="shared" si="77"/>
        <v>0</v>
      </c>
      <c r="AA634" s="38"/>
      <c r="AB634" s="38"/>
      <c r="AC634" s="39">
        <f t="shared" si="78"/>
        <v>0</v>
      </c>
      <c r="AD634" s="38"/>
      <c r="AE634" s="38"/>
      <c r="AF634" s="39">
        <f t="shared" si="79"/>
        <v>0</v>
      </c>
    </row>
    <row r="635" spans="2:32" ht="15" customHeight="1" x14ac:dyDescent="0.3">
      <c r="B635" s="2" t="s">
        <v>836</v>
      </c>
      <c r="C635" s="4" t="s">
        <v>1113</v>
      </c>
      <c r="D635" s="3" t="s">
        <v>1114</v>
      </c>
      <c r="E635" s="6" t="s">
        <v>1124</v>
      </c>
      <c r="F635" s="6" t="s">
        <v>1127</v>
      </c>
      <c r="G635" s="6" t="s">
        <v>841</v>
      </c>
      <c r="H635" s="25">
        <v>0</v>
      </c>
      <c r="I635" s="38">
        <v>0</v>
      </c>
      <c r="J635" s="38">
        <v>0</v>
      </c>
      <c r="K635" s="39">
        <f t="shared" si="72"/>
        <v>0</v>
      </c>
      <c r="L635" s="38">
        <v>0</v>
      </c>
      <c r="M635" s="38">
        <v>0</v>
      </c>
      <c r="N635" s="39">
        <f t="shared" si="73"/>
        <v>0</v>
      </c>
      <c r="O635" s="38">
        <v>4000</v>
      </c>
      <c r="P635" s="38">
        <v>3</v>
      </c>
      <c r="Q635" s="39">
        <f t="shared" si="74"/>
        <v>0</v>
      </c>
      <c r="R635" s="38">
        <v>0</v>
      </c>
      <c r="S635" s="38">
        <v>0</v>
      </c>
      <c r="T635" s="39">
        <f t="shared" si="75"/>
        <v>0</v>
      </c>
      <c r="U635" s="38">
        <v>0</v>
      </c>
      <c r="V635" s="38">
        <v>0</v>
      </c>
      <c r="W635" s="39">
        <f t="shared" si="76"/>
        <v>0</v>
      </c>
      <c r="X635" s="38"/>
      <c r="Y635" s="38"/>
      <c r="Z635" s="39">
        <f t="shared" si="77"/>
        <v>0</v>
      </c>
      <c r="AA635" s="38"/>
      <c r="AB635" s="38"/>
      <c r="AC635" s="39">
        <f t="shared" si="78"/>
        <v>0</v>
      </c>
      <c r="AD635" s="38"/>
      <c r="AE635" s="38"/>
      <c r="AF635" s="39">
        <f t="shared" si="79"/>
        <v>0</v>
      </c>
    </row>
    <row r="636" spans="2:32" ht="15" customHeight="1" x14ac:dyDescent="0.3">
      <c r="B636" s="2" t="s">
        <v>836</v>
      </c>
      <c r="C636" s="4" t="s">
        <v>1113</v>
      </c>
      <c r="D636" s="3" t="s">
        <v>1128</v>
      </c>
      <c r="E636" s="6" t="s">
        <v>1129</v>
      </c>
      <c r="F636" s="6" t="s">
        <v>1130</v>
      </c>
      <c r="G636" s="6" t="s">
        <v>841</v>
      </c>
      <c r="H636" s="25">
        <v>0</v>
      </c>
      <c r="I636" s="38">
        <v>0</v>
      </c>
      <c r="J636" s="38">
        <v>0</v>
      </c>
      <c r="K636" s="39">
        <f t="shared" si="72"/>
        <v>0</v>
      </c>
      <c r="L636" s="38">
        <v>0</v>
      </c>
      <c r="M636" s="38">
        <v>0</v>
      </c>
      <c r="N636" s="39">
        <f t="shared" si="73"/>
        <v>0</v>
      </c>
      <c r="O636" s="38">
        <v>0</v>
      </c>
      <c r="P636" s="38">
        <v>0</v>
      </c>
      <c r="Q636" s="39">
        <f t="shared" si="74"/>
        <v>0</v>
      </c>
      <c r="R636" s="38">
        <v>0</v>
      </c>
      <c r="S636" s="38">
        <v>0</v>
      </c>
      <c r="T636" s="39">
        <f t="shared" si="75"/>
        <v>0</v>
      </c>
      <c r="U636" s="38">
        <v>0</v>
      </c>
      <c r="V636" s="38">
        <v>0</v>
      </c>
      <c r="W636" s="39">
        <f t="shared" si="76"/>
        <v>0</v>
      </c>
      <c r="X636" s="38"/>
      <c r="Y636" s="38"/>
      <c r="Z636" s="39">
        <f t="shared" si="77"/>
        <v>0</v>
      </c>
      <c r="AA636" s="38"/>
      <c r="AB636" s="38"/>
      <c r="AC636" s="39">
        <f t="shared" si="78"/>
        <v>0</v>
      </c>
      <c r="AD636" s="38"/>
      <c r="AE636" s="38"/>
      <c r="AF636" s="39">
        <f t="shared" si="79"/>
        <v>0</v>
      </c>
    </row>
    <row r="637" spans="2:32" ht="15" customHeight="1" x14ac:dyDescent="0.3">
      <c r="B637" s="2" t="s">
        <v>836</v>
      </c>
      <c r="C637" s="4" t="s">
        <v>1113</v>
      </c>
      <c r="D637" s="3" t="s">
        <v>1128</v>
      </c>
      <c r="E637" s="6" t="s">
        <v>1129</v>
      </c>
      <c r="F637" s="6" t="s">
        <v>1131</v>
      </c>
      <c r="G637" s="6" t="s">
        <v>709</v>
      </c>
      <c r="H637" s="25">
        <v>28000</v>
      </c>
      <c r="I637" s="38">
        <v>0</v>
      </c>
      <c r="J637" s="38">
        <v>0</v>
      </c>
      <c r="K637" s="39">
        <f t="shared" si="72"/>
        <v>0</v>
      </c>
      <c r="L637" s="38">
        <v>3</v>
      </c>
      <c r="M637" s="38">
        <v>14</v>
      </c>
      <c r="N637" s="39">
        <f t="shared" si="73"/>
        <v>1176000</v>
      </c>
      <c r="O637" s="38">
        <v>0</v>
      </c>
      <c r="P637" s="38">
        <v>0</v>
      </c>
      <c r="Q637" s="39">
        <f t="shared" si="74"/>
        <v>0</v>
      </c>
      <c r="R637" s="38">
        <v>3</v>
      </c>
      <c r="S637" s="38">
        <v>14</v>
      </c>
      <c r="T637" s="39">
        <f t="shared" si="75"/>
        <v>1176000</v>
      </c>
      <c r="U637" s="38">
        <v>0</v>
      </c>
      <c r="V637" s="38">
        <v>0</v>
      </c>
      <c r="W637" s="39">
        <f t="shared" si="76"/>
        <v>0</v>
      </c>
      <c r="X637" s="38"/>
      <c r="Y637" s="38"/>
      <c r="Z637" s="39">
        <f t="shared" si="77"/>
        <v>0</v>
      </c>
      <c r="AA637" s="38"/>
      <c r="AB637" s="38"/>
      <c r="AC637" s="39">
        <f t="shared" si="78"/>
        <v>0</v>
      </c>
      <c r="AD637" s="38"/>
      <c r="AE637" s="38"/>
      <c r="AF637" s="39">
        <f t="shared" si="79"/>
        <v>0</v>
      </c>
    </row>
    <row r="638" spans="2:32" ht="15" customHeight="1" x14ac:dyDescent="0.3">
      <c r="B638" s="2" t="s">
        <v>836</v>
      </c>
      <c r="C638" s="4" t="s">
        <v>1113</v>
      </c>
      <c r="D638" s="3" t="s">
        <v>1128</v>
      </c>
      <c r="E638" s="6" t="s">
        <v>1129</v>
      </c>
      <c r="F638" s="6" t="s">
        <v>1131</v>
      </c>
      <c r="G638" s="6" t="s">
        <v>716</v>
      </c>
      <c r="H638" s="25">
        <v>39000</v>
      </c>
      <c r="I638" s="38">
        <v>0</v>
      </c>
      <c r="J638" s="38">
        <v>0</v>
      </c>
      <c r="K638" s="39">
        <f t="shared" si="72"/>
        <v>0</v>
      </c>
      <c r="L638" s="38">
        <v>20</v>
      </c>
      <c r="M638" s="38">
        <v>2</v>
      </c>
      <c r="N638" s="39">
        <f t="shared" si="73"/>
        <v>1560000</v>
      </c>
      <c r="O638" s="38">
        <v>0</v>
      </c>
      <c r="P638" s="38">
        <v>0</v>
      </c>
      <c r="Q638" s="39">
        <f t="shared" si="74"/>
        <v>0</v>
      </c>
      <c r="R638" s="38">
        <v>20</v>
      </c>
      <c r="S638" s="38">
        <v>2</v>
      </c>
      <c r="T638" s="39">
        <f t="shared" si="75"/>
        <v>1560000</v>
      </c>
      <c r="U638" s="38">
        <v>0</v>
      </c>
      <c r="V638" s="38">
        <v>0</v>
      </c>
      <c r="W638" s="39">
        <f t="shared" si="76"/>
        <v>0</v>
      </c>
      <c r="X638" s="38"/>
      <c r="Y638" s="38"/>
      <c r="Z638" s="39">
        <f t="shared" si="77"/>
        <v>0</v>
      </c>
      <c r="AA638" s="38"/>
      <c r="AB638" s="38"/>
      <c r="AC638" s="39">
        <f t="shared" si="78"/>
        <v>0</v>
      </c>
      <c r="AD638" s="38"/>
      <c r="AE638" s="38"/>
      <c r="AF638" s="39">
        <f t="shared" si="79"/>
        <v>0</v>
      </c>
    </row>
    <row r="639" spans="2:32" ht="15" customHeight="1" x14ac:dyDescent="0.3">
      <c r="B639" s="2" t="s">
        <v>836</v>
      </c>
      <c r="C639" s="4" t="s">
        <v>1113</v>
      </c>
      <c r="D639" s="3" t="s">
        <v>1128</v>
      </c>
      <c r="E639" s="6" t="s">
        <v>1129</v>
      </c>
      <c r="F639" s="6" t="s">
        <v>1131</v>
      </c>
      <c r="G639" s="6" t="s">
        <v>721</v>
      </c>
      <c r="H639" s="25">
        <v>80000</v>
      </c>
      <c r="I639" s="38">
        <v>0</v>
      </c>
      <c r="J639" s="38">
        <v>0</v>
      </c>
      <c r="K639" s="39">
        <f t="shared" si="72"/>
        <v>0</v>
      </c>
      <c r="L639" s="38">
        <v>8</v>
      </c>
      <c r="M639" s="38">
        <v>2</v>
      </c>
      <c r="N639" s="39">
        <f t="shared" si="73"/>
        <v>1280000</v>
      </c>
      <c r="O639" s="38">
        <v>0</v>
      </c>
      <c r="P639" s="38">
        <v>0</v>
      </c>
      <c r="Q639" s="39">
        <f t="shared" si="74"/>
        <v>0</v>
      </c>
      <c r="R639" s="38">
        <v>8</v>
      </c>
      <c r="S639" s="38">
        <v>2</v>
      </c>
      <c r="T639" s="39">
        <f t="shared" si="75"/>
        <v>1280000</v>
      </c>
      <c r="U639" s="38">
        <v>0</v>
      </c>
      <c r="V639" s="38">
        <v>0</v>
      </c>
      <c r="W639" s="39">
        <f t="shared" si="76"/>
        <v>0</v>
      </c>
      <c r="X639" s="38"/>
      <c r="Y639" s="38"/>
      <c r="Z639" s="39">
        <f t="shared" si="77"/>
        <v>0</v>
      </c>
      <c r="AA639" s="38"/>
      <c r="AB639" s="38"/>
      <c r="AC639" s="39">
        <f t="shared" si="78"/>
        <v>0</v>
      </c>
      <c r="AD639" s="38"/>
      <c r="AE639" s="38"/>
      <c r="AF639" s="39">
        <f t="shared" si="79"/>
        <v>0</v>
      </c>
    </row>
    <row r="640" spans="2:32" ht="15" customHeight="1" x14ac:dyDescent="0.3">
      <c r="B640" s="2" t="s">
        <v>836</v>
      </c>
      <c r="C640" s="4" t="s">
        <v>1113</v>
      </c>
      <c r="D640" s="3" t="s">
        <v>1128</v>
      </c>
      <c r="E640" s="6" t="s">
        <v>1129</v>
      </c>
      <c r="F640" s="6" t="s">
        <v>1131</v>
      </c>
      <c r="G640" s="6" t="s">
        <v>712</v>
      </c>
      <c r="H640" s="25">
        <v>214.29</v>
      </c>
      <c r="I640" s="38">
        <v>0</v>
      </c>
      <c r="J640" s="38">
        <v>0</v>
      </c>
      <c r="K640" s="39">
        <f t="shared" si="72"/>
        <v>0</v>
      </c>
      <c r="L640" s="38">
        <v>12</v>
      </c>
      <c r="M640" s="38">
        <v>2</v>
      </c>
      <c r="N640" s="39">
        <f t="shared" si="73"/>
        <v>5142.96</v>
      </c>
      <c r="O640" s="38">
        <v>0</v>
      </c>
      <c r="P640" s="38">
        <v>0</v>
      </c>
      <c r="Q640" s="39">
        <f t="shared" si="74"/>
        <v>0</v>
      </c>
      <c r="R640" s="38">
        <v>12</v>
      </c>
      <c r="S640" s="38">
        <v>2</v>
      </c>
      <c r="T640" s="39">
        <f t="shared" si="75"/>
        <v>5142.96</v>
      </c>
      <c r="U640" s="38">
        <v>0</v>
      </c>
      <c r="V640" s="38">
        <v>0</v>
      </c>
      <c r="W640" s="39">
        <f t="shared" si="76"/>
        <v>0</v>
      </c>
      <c r="X640" s="38"/>
      <c r="Y640" s="38"/>
      <c r="Z640" s="39">
        <f t="shared" si="77"/>
        <v>0</v>
      </c>
      <c r="AA640" s="38"/>
      <c r="AB640" s="38"/>
      <c r="AC640" s="39">
        <f t="shared" si="78"/>
        <v>0</v>
      </c>
      <c r="AD640" s="38"/>
      <c r="AE640" s="38"/>
      <c r="AF640" s="39">
        <f t="shared" si="79"/>
        <v>0</v>
      </c>
    </row>
    <row r="641" spans="2:32" ht="15" customHeight="1" x14ac:dyDescent="0.3">
      <c r="B641" s="2" t="s">
        <v>836</v>
      </c>
      <c r="C641" s="4" t="s">
        <v>1113</v>
      </c>
      <c r="D641" s="3" t="s">
        <v>1128</v>
      </c>
      <c r="E641" s="6" t="s">
        <v>1132</v>
      </c>
      <c r="F641" s="6" t="s">
        <v>1133</v>
      </c>
      <c r="G641" s="6" t="s">
        <v>841</v>
      </c>
      <c r="H641" s="25">
        <v>0</v>
      </c>
      <c r="I641" s="38">
        <v>0</v>
      </c>
      <c r="J641" s="38">
        <v>0</v>
      </c>
      <c r="K641" s="39">
        <f t="shared" si="72"/>
        <v>0</v>
      </c>
      <c r="L641" s="38">
        <v>5000</v>
      </c>
      <c r="M641" s="38">
        <v>1</v>
      </c>
      <c r="N641" s="39">
        <f t="shared" si="73"/>
        <v>0</v>
      </c>
      <c r="O641" s="38">
        <v>0</v>
      </c>
      <c r="P641" s="38">
        <v>0</v>
      </c>
      <c r="Q641" s="39">
        <f t="shared" si="74"/>
        <v>0</v>
      </c>
      <c r="R641" s="38">
        <v>5000</v>
      </c>
      <c r="S641" s="38">
        <v>1</v>
      </c>
      <c r="T641" s="39">
        <f t="shared" si="75"/>
        <v>0</v>
      </c>
      <c r="U641" s="38">
        <v>0</v>
      </c>
      <c r="V641" s="38">
        <v>0</v>
      </c>
      <c r="W641" s="39">
        <f t="shared" si="76"/>
        <v>0</v>
      </c>
      <c r="X641" s="38"/>
      <c r="Y641" s="38"/>
      <c r="Z641" s="39">
        <f t="shared" si="77"/>
        <v>0</v>
      </c>
      <c r="AA641" s="38"/>
      <c r="AB641" s="38"/>
      <c r="AC641" s="39">
        <f t="shared" si="78"/>
        <v>0</v>
      </c>
      <c r="AD641" s="38"/>
      <c r="AE641" s="38"/>
      <c r="AF641" s="39">
        <f t="shared" si="79"/>
        <v>0</v>
      </c>
    </row>
    <row r="642" spans="2:32" ht="15" customHeight="1" x14ac:dyDescent="0.3">
      <c r="B642" s="2" t="s">
        <v>836</v>
      </c>
      <c r="C642" s="4" t="s">
        <v>1113</v>
      </c>
      <c r="D642" s="3" t="s">
        <v>1128</v>
      </c>
      <c r="E642" s="6" t="s">
        <v>1132</v>
      </c>
      <c r="F642" s="6" t="s">
        <v>1134</v>
      </c>
      <c r="G642" s="6" t="s">
        <v>722</v>
      </c>
      <c r="H642" s="25">
        <v>75</v>
      </c>
      <c r="I642" s="38">
        <v>0</v>
      </c>
      <c r="J642" s="38">
        <v>0</v>
      </c>
      <c r="K642" s="39">
        <f t="shared" si="72"/>
        <v>0</v>
      </c>
      <c r="L642" s="38">
        <v>0</v>
      </c>
      <c r="M642" s="38">
        <v>0</v>
      </c>
      <c r="N642" s="39">
        <f t="shared" si="73"/>
        <v>0</v>
      </c>
      <c r="O642" s="38">
        <v>0</v>
      </c>
      <c r="P642" s="38">
        <v>0</v>
      </c>
      <c r="Q642" s="39">
        <f t="shared" si="74"/>
        <v>0</v>
      </c>
      <c r="R642" s="38">
        <v>0</v>
      </c>
      <c r="S642" s="38">
        <v>0</v>
      </c>
      <c r="T642" s="39">
        <f t="shared" si="75"/>
        <v>0</v>
      </c>
      <c r="U642" s="38">
        <v>0</v>
      </c>
      <c r="V642" s="38">
        <v>0</v>
      </c>
      <c r="W642" s="39">
        <f t="shared" si="76"/>
        <v>0</v>
      </c>
      <c r="X642" s="38"/>
      <c r="Y642" s="38"/>
      <c r="Z642" s="39">
        <f t="shared" si="77"/>
        <v>0</v>
      </c>
      <c r="AA642" s="38"/>
      <c r="AB642" s="38"/>
      <c r="AC642" s="39">
        <f t="shared" si="78"/>
        <v>0</v>
      </c>
      <c r="AD642" s="38"/>
      <c r="AE642" s="38"/>
      <c r="AF642" s="39">
        <f t="shared" si="79"/>
        <v>0</v>
      </c>
    </row>
    <row r="643" spans="2:32" ht="15" customHeight="1" x14ac:dyDescent="0.3">
      <c r="B643" s="2" t="s">
        <v>836</v>
      </c>
      <c r="C643" s="4" t="s">
        <v>1113</v>
      </c>
      <c r="D643" s="3" t="s">
        <v>1128</v>
      </c>
      <c r="E643" s="6" t="s">
        <v>1132</v>
      </c>
      <c r="F643" s="6" t="s">
        <v>1134</v>
      </c>
      <c r="G643" s="6" t="s">
        <v>1135</v>
      </c>
      <c r="H643" s="25">
        <v>11824</v>
      </c>
      <c r="I643" s="38">
        <v>0</v>
      </c>
      <c r="J643" s="38">
        <v>0</v>
      </c>
      <c r="K643" s="39">
        <f t="shared" ref="K643:K706" si="80">H643*I643*J643</f>
        <v>0</v>
      </c>
      <c r="L643" s="38">
        <v>0</v>
      </c>
      <c r="M643" s="38">
        <v>0</v>
      </c>
      <c r="N643" s="39">
        <f t="shared" ref="N643:N706" si="81">H643*L643*M643</f>
        <v>0</v>
      </c>
      <c r="O643" s="38">
        <v>1</v>
      </c>
      <c r="P643" s="38">
        <v>5000</v>
      </c>
      <c r="Q643" s="39">
        <f t="shared" ref="Q643:Q706" si="82">H643*O643*P643</f>
        <v>59120000</v>
      </c>
      <c r="R643" s="38">
        <v>1</v>
      </c>
      <c r="S643" s="38">
        <v>5000</v>
      </c>
      <c r="T643" s="39">
        <f t="shared" ref="T643:T706" si="83">H643*R643*S643</f>
        <v>59120000</v>
      </c>
      <c r="U643" s="38">
        <v>0</v>
      </c>
      <c r="V643" s="38">
        <v>0</v>
      </c>
      <c r="W643" s="39">
        <f t="shared" ref="W643:W706" si="84">H643*U643*V643</f>
        <v>0</v>
      </c>
      <c r="X643" s="38"/>
      <c r="Y643" s="38"/>
      <c r="Z643" s="39">
        <f t="shared" ref="Z643:Z706" si="85">H643*X643*Y643</f>
        <v>0</v>
      </c>
      <c r="AA643" s="38"/>
      <c r="AB643" s="38"/>
      <c r="AC643" s="39">
        <f t="shared" ref="AC643:AC706" si="86">H643*AA643*AB643</f>
        <v>0</v>
      </c>
      <c r="AD643" s="38"/>
      <c r="AE643" s="38"/>
      <c r="AF643" s="39">
        <f t="shared" ref="AF643:AF706" si="87">H643*AD643*AE643</f>
        <v>0</v>
      </c>
    </row>
    <row r="644" spans="2:32" ht="15" customHeight="1" x14ac:dyDescent="0.3">
      <c r="B644" s="2" t="s">
        <v>836</v>
      </c>
      <c r="C644" s="4" t="s">
        <v>1113</v>
      </c>
      <c r="D644" s="3" t="s">
        <v>1128</v>
      </c>
      <c r="E644" s="6" t="s">
        <v>1132</v>
      </c>
      <c r="F644" s="6" t="s">
        <v>1134</v>
      </c>
      <c r="G644" s="6" t="s">
        <v>723</v>
      </c>
      <c r="H644" s="25">
        <v>70133.840000000011</v>
      </c>
      <c r="I644" s="38">
        <v>0</v>
      </c>
      <c r="J644" s="38">
        <v>0</v>
      </c>
      <c r="K644" s="39">
        <f t="shared" si="80"/>
        <v>0</v>
      </c>
      <c r="L644" s="38">
        <v>0</v>
      </c>
      <c r="M644" s="38">
        <v>0</v>
      </c>
      <c r="N644" s="39">
        <f t="shared" si="81"/>
        <v>0</v>
      </c>
      <c r="O644" s="38">
        <v>1</v>
      </c>
      <c r="P644" s="38">
        <v>5000</v>
      </c>
      <c r="Q644" s="39">
        <f t="shared" si="82"/>
        <v>350669200.00000006</v>
      </c>
      <c r="R644" s="38">
        <v>1</v>
      </c>
      <c r="S644" s="38">
        <v>5000</v>
      </c>
      <c r="T644" s="39">
        <f t="shared" si="83"/>
        <v>350669200.00000006</v>
      </c>
      <c r="U644" s="38">
        <v>0</v>
      </c>
      <c r="V644" s="38">
        <v>0</v>
      </c>
      <c r="W644" s="39">
        <f t="shared" si="84"/>
        <v>0</v>
      </c>
      <c r="X644" s="38"/>
      <c r="Y644" s="38"/>
      <c r="Z644" s="39">
        <f t="shared" si="85"/>
        <v>0</v>
      </c>
      <c r="AA644" s="38"/>
      <c r="AB644" s="38"/>
      <c r="AC644" s="39">
        <f t="shared" si="86"/>
        <v>0</v>
      </c>
      <c r="AD644" s="38"/>
      <c r="AE644" s="38"/>
      <c r="AF644" s="39">
        <f t="shared" si="87"/>
        <v>0</v>
      </c>
    </row>
    <row r="645" spans="2:32" ht="15" customHeight="1" x14ac:dyDescent="0.3">
      <c r="B645" s="2" t="s">
        <v>836</v>
      </c>
      <c r="C645" s="4" t="s">
        <v>1136</v>
      </c>
      <c r="D645" s="3" t="s">
        <v>1137</v>
      </c>
      <c r="E645" s="6" t="s">
        <v>1138</v>
      </c>
      <c r="F645" s="6" t="s">
        <v>1139</v>
      </c>
      <c r="G645" s="6" t="s">
        <v>1140</v>
      </c>
      <c r="H645" s="25">
        <v>180000000</v>
      </c>
      <c r="I645" s="38">
        <v>0</v>
      </c>
      <c r="J645" s="38">
        <v>0</v>
      </c>
      <c r="K645" s="39">
        <f t="shared" si="80"/>
        <v>0</v>
      </c>
      <c r="L645" s="38">
        <v>0</v>
      </c>
      <c r="M645" s="38">
        <v>0</v>
      </c>
      <c r="N645" s="39">
        <f t="shared" si="81"/>
        <v>0</v>
      </c>
      <c r="O645" s="38">
        <v>1</v>
      </c>
      <c r="P645" s="38">
        <v>5000</v>
      </c>
      <c r="Q645" s="39">
        <f t="shared" si="82"/>
        <v>900000000000</v>
      </c>
      <c r="R645" s="38">
        <v>1</v>
      </c>
      <c r="S645" s="38">
        <v>5000</v>
      </c>
      <c r="T645" s="39">
        <f t="shared" si="83"/>
        <v>900000000000</v>
      </c>
      <c r="U645" s="38">
        <v>0</v>
      </c>
      <c r="V645" s="38">
        <v>0</v>
      </c>
      <c r="W645" s="39">
        <f t="shared" si="84"/>
        <v>0</v>
      </c>
      <c r="X645" s="38"/>
      <c r="Y645" s="38"/>
      <c r="Z645" s="39">
        <f t="shared" si="85"/>
        <v>0</v>
      </c>
      <c r="AA645" s="38"/>
      <c r="AB645" s="38"/>
      <c r="AC645" s="39">
        <f t="shared" si="86"/>
        <v>0</v>
      </c>
      <c r="AD645" s="38"/>
      <c r="AE645" s="38"/>
      <c r="AF645" s="39">
        <f t="shared" si="87"/>
        <v>0</v>
      </c>
    </row>
    <row r="646" spans="2:32" ht="15" customHeight="1" x14ac:dyDescent="0.3">
      <c r="B646" s="2" t="s">
        <v>836</v>
      </c>
      <c r="C646" s="4" t="s">
        <v>1136</v>
      </c>
      <c r="D646" s="3" t="s">
        <v>1137</v>
      </c>
      <c r="E646" s="6" t="s">
        <v>1141</v>
      </c>
      <c r="F646" s="6" t="s">
        <v>1142</v>
      </c>
      <c r="G646" s="6" t="s">
        <v>841</v>
      </c>
      <c r="H646" s="25">
        <v>0</v>
      </c>
      <c r="I646" s="38">
        <v>1</v>
      </c>
      <c r="J646" s="38">
        <v>2</v>
      </c>
      <c r="K646" s="39">
        <f t="shared" si="80"/>
        <v>0</v>
      </c>
      <c r="L646" s="38">
        <v>1</v>
      </c>
      <c r="M646" s="38">
        <v>2</v>
      </c>
      <c r="N646" s="39">
        <f t="shared" si="81"/>
        <v>0</v>
      </c>
      <c r="O646" s="38">
        <v>1</v>
      </c>
      <c r="P646" s="38">
        <v>2</v>
      </c>
      <c r="Q646" s="39">
        <f t="shared" si="82"/>
        <v>0</v>
      </c>
      <c r="R646" s="38">
        <v>1</v>
      </c>
      <c r="S646" s="38">
        <v>2</v>
      </c>
      <c r="T646" s="39">
        <f t="shared" si="83"/>
        <v>0</v>
      </c>
      <c r="U646" s="38">
        <v>1</v>
      </c>
      <c r="V646" s="38">
        <v>2</v>
      </c>
      <c r="W646" s="39">
        <f t="shared" si="84"/>
        <v>0</v>
      </c>
      <c r="X646" s="38"/>
      <c r="Y646" s="38"/>
      <c r="Z646" s="39">
        <f t="shared" si="85"/>
        <v>0</v>
      </c>
      <c r="AA646" s="38"/>
      <c r="AB646" s="38"/>
      <c r="AC646" s="39">
        <f t="shared" si="86"/>
        <v>0</v>
      </c>
      <c r="AD646" s="38"/>
      <c r="AE646" s="38"/>
      <c r="AF646" s="39">
        <f t="shared" si="87"/>
        <v>0</v>
      </c>
    </row>
    <row r="647" spans="2:32" ht="15" customHeight="1" x14ac:dyDescent="0.3">
      <c r="B647" s="2" t="s">
        <v>836</v>
      </c>
      <c r="C647" s="4" t="s">
        <v>1136</v>
      </c>
      <c r="D647" s="3" t="s">
        <v>1137</v>
      </c>
      <c r="E647" s="6" t="s">
        <v>1141</v>
      </c>
      <c r="F647" s="6" t="s">
        <v>1143</v>
      </c>
      <c r="G647" s="6" t="s">
        <v>841</v>
      </c>
      <c r="H647" s="25">
        <v>0</v>
      </c>
      <c r="I647" s="38">
        <v>0</v>
      </c>
      <c r="J647" s="38">
        <v>0</v>
      </c>
      <c r="K647" s="39">
        <f t="shared" si="80"/>
        <v>0</v>
      </c>
      <c r="L647" s="38">
        <v>0</v>
      </c>
      <c r="M647" s="38">
        <v>0</v>
      </c>
      <c r="N647" s="39">
        <f t="shared" si="81"/>
        <v>0</v>
      </c>
      <c r="O647" s="38">
        <v>0</v>
      </c>
      <c r="P647" s="38">
        <v>0</v>
      </c>
      <c r="Q647" s="39">
        <f t="shared" si="82"/>
        <v>0</v>
      </c>
      <c r="R647" s="38">
        <v>0</v>
      </c>
      <c r="S647" s="38">
        <v>0</v>
      </c>
      <c r="T647" s="39">
        <f t="shared" si="83"/>
        <v>0</v>
      </c>
      <c r="U647" s="38">
        <v>0</v>
      </c>
      <c r="V647" s="38">
        <v>0</v>
      </c>
      <c r="W647" s="39">
        <f t="shared" si="84"/>
        <v>0</v>
      </c>
      <c r="X647" s="38"/>
      <c r="Y647" s="38"/>
      <c r="Z647" s="39">
        <f t="shared" si="85"/>
        <v>0</v>
      </c>
      <c r="AA647" s="38"/>
      <c r="AB647" s="38"/>
      <c r="AC647" s="39">
        <f t="shared" si="86"/>
        <v>0</v>
      </c>
      <c r="AD647" s="38"/>
      <c r="AE647" s="38"/>
      <c r="AF647" s="39">
        <f t="shared" si="87"/>
        <v>0</v>
      </c>
    </row>
    <row r="648" spans="2:32" ht="15" customHeight="1" x14ac:dyDescent="0.3">
      <c r="B648" s="2" t="s">
        <v>836</v>
      </c>
      <c r="C648" s="4" t="s">
        <v>1136</v>
      </c>
      <c r="D648" s="3" t="s">
        <v>1137</v>
      </c>
      <c r="E648" s="6" t="s">
        <v>1141</v>
      </c>
      <c r="F648" s="6" t="s">
        <v>1144</v>
      </c>
      <c r="G648" s="6" t="s">
        <v>709</v>
      </c>
      <c r="H648" s="25">
        <v>28000</v>
      </c>
      <c r="I648" s="38">
        <v>0</v>
      </c>
      <c r="J648" s="38">
        <v>0</v>
      </c>
      <c r="K648" s="39">
        <f t="shared" si="80"/>
        <v>0</v>
      </c>
      <c r="L648" s="38">
        <v>0</v>
      </c>
      <c r="M648" s="38">
        <v>0</v>
      </c>
      <c r="N648" s="39">
        <f t="shared" si="81"/>
        <v>0</v>
      </c>
      <c r="O648" s="38">
        <v>0</v>
      </c>
      <c r="P648" s="38">
        <v>0</v>
      </c>
      <c r="Q648" s="39">
        <f t="shared" si="82"/>
        <v>0</v>
      </c>
      <c r="R648" s="38">
        <v>0</v>
      </c>
      <c r="S648" s="38">
        <v>0</v>
      </c>
      <c r="T648" s="39">
        <f t="shared" si="83"/>
        <v>0</v>
      </c>
      <c r="U648" s="38">
        <v>0</v>
      </c>
      <c r="V648" s="38">
        <v>0</v>
      </c>
      <c r="W648" s="39">
        <f t="shared" si="84"/>
        <v>0</v>
      </c>
      <c r="X648" s="38"/>
      <c r="Y648" s="38"/>
      <c r="Z648" s="39">
        <f t="shared" si="85"/>
        <v>0</v>
      </c>
      <c r="AA648" s="38"/>
      <c r="AB648" s="38"/>
      <c r="AC648" s="39">
        <f t="shared" si="86"/>
        <v>0</v>
      </c>
      <c r="AD648" s="38"/>
      <c r="AE648" s="38"/>
      <c r="AF648" s="39">
        <f t="shared" si="87"/>
        <v>0</v>
      </c>
    </row>
    <row r="649" spans="2:32" ht="15" customHeight="1" x14ac:dyDescent="0.3">
      <c r="B649" s="2" t="s">
        <v>836</v>
      </c>
      <c r="C649" s="4" t="s">
        <v>1136</v>
      </c>
      <c r="D649" s="3" t="s">
        <v>1137</v>
      </c>
      <c r="E649" s="6" t="s">
        <v>1141</v>
      </c>
      <c r="F649" s="6" t="s">
        <v>1145</v>
      </c>
      <c r="G649" s="6" t="s">
        <v>841</v>
      </c>
      <c r="H649" s="25">
        <v>0</v>
      </c>
      <c r="I649" s="38">
        <v>20</v>
      </c>
      <c r="J649" s="38">
        <v>2</v>
      </c>
      <c r="K649" s="39">
        <f t="shared" si="80"/>
        <v>0</v>
      </c>
      <c r="L649" s="38">
        <v>0</v>
      </c>
      <c r="M649" s="38">
        <v>0</v>
      </c>
      <c r="N649" s="39">
        <f t="shared" si="81"/>
        <v>0</v>
      </c>
      <c r="O649" s="38">
        <v>0</v>
      </c>
      <c r="P649" s="38">
        <v>0</v>
      </c>
      <c r="Q649" s="39">
        <f t="shared" si="82"/>
        <v>0</v>
      </c>
      <c r="R649" s="38">
        <v>0</v>
      </c>
      <c r="S649" s="38">
        <v>0</v>
      </c>
      <c r="T649" s="39">
        <f t="shared" si="83"/>
        <v>0</v>
      </c>
      <c r="U649" s="38">
        <v>0</v>
      </c>
      <c r="V649" s="38">
        <v>0</v>
      </c>
      <c r="W649" s="39">
        <f t="shared" si="84"/>
        <v>0</v>
      </c>
      <c r="X649" s="38"/>
      <c r="Y649" s="38"/>
      <c r="Z649" s="39">
        <f t="shared" si="85"/>
        <v>0</v>
      </c>
      <c r="AA649" s="38"/>
      <c r="AB649" s="38"/>
      <c r="AC649" s="39">
        <f t="shared" si="86"/>
        <v>0</v>
      </c>
      <c r="AD649" s="38"/>
      <c r="AE649" s="38"/>
      <c r="AF649" s="39">
        <f t="shared" si="87"/>
        <v>0</v>
      </c>
    </row>
    <row r="650" spans="2:32" ht="15" customHeight="1" x14ac:dyDescent="0.3">
      <c r="B650" s="2" t="s">
        <v>836</v>
      </c>
      <c r="C650" s="4" t="s">
        <v>1136</v>
      </c>
      <c r="D650" s="3" t="s">
        <v>1137</v>
      </c>
      <c r="E650" s="6" t="s">
        <v>1141</v>
      </c>
      <c r="F650" s="6" t="s">
        <v>1146</v>
      </c>
      <c r="G650" s="6" t="s">
        <v>841</v>
      </c>
      <c r="H650" s="25">
        <v>0</v>
      </c>
      <c r="I650" s="38">
        <v>10</v>
      </c>
      <c r="J650" s="38">
        <v>1</v>
      </c>
      <c r="K650" s="39">
        <f t="shared" si="80"/>
        <v>0</v>
      </c>
      <c r="L650" s="38">
        <v>0</v>
      </c>
      <c r="M650" s="38">
        <v>0</v>
      </c>
      <c r="N650" s="39">
        <f t="shared" si="81"/>
        <v>0</v>
      </c>
      <c r="O650" s="38">
        <v>0</v>
      </c>
      <c r="P650" s="38">
        <v>0</v>
      </c>
      <c r="Q650" s="39">
        <f t="shared" si="82"/>
        <v>0</v>
      </c>
      <c r="R650" s="38">
        <v>0</v>
      </c>
      <c r="S650" s="38">
        <v>0</v>
      </c>
      <c r="T650" s="39">
        <f t="shared" si="83"/>
        <v>0</v>
      </c>
      <c r="U650" s="38">
        <v>0</v>
      </c>
      <c r="V650" s="38">
        <v>0</v>
      </c>
      <c r="W650" s="39">
        <f t="shared" si="84"/>
        <v>0</v>
      </c>
      <c r="X650" s="38"/>
      <c r="Y650" s="38"/>
      <c r="Z650" s="39">
        <f t="shared" si="85"/>
        <v>0</v>
      </c>
      <c r="AA650" s="38"/>
      <c r="AB650" s="38"/>
      <c r="AC650" s="39">
        <f t="shared" si="86"/>
        <v>0</v>
      </c>
      <c r="AD650" s="38"/>
      <c r="AE650" s="38"/>
      <c r="AF650" s="39">
        <f t="shared" si="87"/>
        <v>0</v>
      </c>
    </row>
    <row r="651" spans="2:32" ht="15" customHeight="1" x14ac:dyDescent="0.3">
      <c r="B651" s="2" t="s">
        <v>836</v>
      </c>
      <c r="C651" s="4" t="s">
        <v>1136</v>
      </c>
      <c r="D651" s="3" t="s">
        <v>1137</v>
      </c>
      <c r="E651" s="6" t="s">
        <v>1141</v>
      </c>
      <c r="F651" s="6" t="s">
        <v>1147</v>
      </c>
      <c r="G651" s="6" t="s">
        <v>841</v>
      </c>
      <c r="H651" s="25">
        <v>0</v>
      </c>
      <c r="I651" s="38">
        <v>2</v>
      </c>
      <c r="J651" s="38">
        <v>1</v>
      </c>
      <c r="K651" s="39">
        <f t="shared" si="80"/>
        <v>0</v>
      </c>
      <c r="L651" s="38">
        <v>0</v>
      </c>
      <c r="M651" s="38">
        <v>0</v>
      </c>
      <c r="N651" s="39">
        <f t="shared" si="81"/>
        <v>0</v>
      </c>
      <c r="O651" s="38">
        <v>0</v>
      </c>
      <c r="P651" s="38">
        <v>0</v>
      </c>
      <c r="Q651" s="39">
        <f t="shared" si="82"/>
        <v>0</v>
      </c>
      <c r="R651" s="38">
        <v>0</v>
      </c>
      <c r="S651" s="38">
        <v>0</v>
      </c>
      <c r="T651" s="39">
        <f t="shared" si="83"/>
        <v>0</v>
      </c>
      <c r="U651" s="38">
        <v>0</v>
      </c>
      <c r="V651" s="38">
        <v>0</v>
      </c>
      <c r="W651" s="39">
        <f t="shared" si="84"/>
        <v>0</v>
      </c>
      <c r="X651" s="38"/>
      <c r="Y651" s="38"/>
      <c r="Z651" s="39">
        <f t="shared" si="85"/>
        <v>0</v>
      </c>
      <c r="AA651" s="38"/>
      <c r="AB651" s="38"/>
      <c r="AC651" s="39">
        <f t="shared" si="86"/>
        <v>0</v>
      </c>
      <c r="AD651" s="38"/>
      <c r="AE651" s="38"/>
      <c r="AF651" s="39">
        <f t="shared" si="87"/>
        <v>0</v>
      </c>
    </row>
    <row r="652" spans="2:32" ht="15" customHeight="1" x14ac:dyDescent="0.3">
      <c r="B652" s="2" t="s">
        <v>836</v>
      </c>
      <c r="C652" s="4" t="s">
        <v>1136</v>
      </c>
      <c r="D652" s="3" t="s">
        <v>1137</v>
      </c>
      <c r="E652" s="6" t="s">
        <v>1141</v>
      </c>
      <c r="F652" s="6" t="s">
        <v>1148</v>
      </c>
      <c r="G652" s="6" t="s">
        <v>709</v>
      </c>
      <c r="H652" s="25">
        <v>28000</v>
      </c>
      <c r="I652" s="38">
        <v>3</v>
      </c>
      <c r="J652" s="38">
        <v>14</v>
      </c>
      <c r="K652" s="39">
        <f t="shared" si="80"/>
        <v>1176000</v>
      </c>
      <c r="L652" s="38">
        <v>0</v>
      </c>
      <c r="M652" s="38">
        <v>0</v>
      </c>
      <c r="N652" s="39">
        <f t="shared" si="81"/>
        <v>0</v>
      </c>
      <c r="O652" s="38">
        <v>0</v>
      </c>
      <c r="P652" s="38">
        <v>0</v>
      </c>
      <c r="Q652" s="39">
        <f t="shared" si="82"/>
        <v>0</v>
      </c>
      <c r="R652" s="38">
        <v>0</v>
      </c>
      <c r="S652" s="38">
        <v>0</v>
      </c>
      <c r="T652" s="39">
        <f t="shared" si="83"/>
        <v>0</v>
      </c>
      <c r="U652" s="38">
        <v>0</v>
      </c>
      <c r="V652" s="38">
        <v>0</v>
      </c>
      <c r="W652" s="39">
        <f t="shared" si="84"/>
        <v>0</v>
      </c>
      <c r="X652" s="38"/>
      <c r="Y652" s="38"/>
      <c r="Z652" s="39">
        <f t="shared" si="85"/>
        <v>0</v>
      </c>
      <c r="AA652" s="38"/>
      <c r="AB652" s="38"/>
      <c r="AC652" s="39">
        <f t="shared" si="86"/>
        <v>0</v>
      </c>
      <c r="AD652" s="38"/>
      <c r="AE652" s="38"/>
      <c r="AF652" s="39">
        <f t="shared" si="87"/>
        <v>0</v>
      </c>
    </row>
    <row r="653" spans="2:32" ht="15" customHeight="1" x14ac:dyDescent="0.3">
      <c r="B653" s="2" t="s">
        <v>836</v>
      </c>
      <c r="C653" s="4" t="s">
        <v>1136</v>
      </c>
      <c r="D653" s="3" t="s">
        <v>1137</v>
      </c>
      <c r="E653" s="6" t="s">
        <v>1141</v>
      </c>
      <c r="F653" s="6" t="s">
        <v>1149</v>
      </c>
      <c r="G653" s="6" t="s">
        <v>841</v>
      </c>
      <c r="H653" s="25">
        <v>0</v>
      </c>
      <c r="I653" s="38">
        <v>15</v>
      </c>
      <c r="J653" s="38">
        <v>1</v>
      </c>
      <c r="K653" s="39">
        <f t="shared" si="80"/>
        <v>0</v>
      </c>
      <c r="L653" s="38">
        <v>0</v>
      </c>
      <c r="M653" s="38">
        <v>0</v>
      </c>
      <c r="N653" s="39">
        <f t="shared" si="81"/>
        <v>0</v>
      </c>
      <c r="O653" s="38">
        <v>0</v>
      </c>
      <c r="P653" s="38">
        <v>0</v>
      </c>
      <c r="Q653" s="39">
        <f t="shared" si="82"/>
        <v>0</v>
      </c>
      <c r="R653" s="38">
        <v>0</v>
      </c>
      <c r="S653" s="38">
        <v>0</v>
      </c>
      <c r="T653" s="39">
        <f t="shared" si="83"/>
        <v>0</v>
      </c>
      <c r="U653" s="38">
        <v>0</v>
      </c>
      <c r="V653" s="38">
        <v>0</v>
      </c>
      <c r="W653" s="39">
        <f t="shared" si="84"/>
        <v>0</v>
      </c>
      <c r="X653" s="38"/>
      <c r="Y653" s="38"/>
      <c r="Z653" s="39">
        <f t="shared" si="85"/>
        <v>0</v>
      </c>
      <c r="AA653" s="38"/>
      <c r="AB653" s="38"/>
      <c r="AC653" s="39">
        <f t="shared" si="86"/>
        <v>0</v>
      </c>
      <c r="AD653" s="38"/>
      <c r="AE653" s="38"/>
      <c r="AF653" s="39">
        <f t="shared" si="87"/>
        <v>0</v>
      </c>
    </row>
    <row r="654" spans="2:32" ht="15" customHeight="1" x14ac:dyDescent="0.3">
      <c r="B654" s="2" t="s">
        <v>836</v>
      </c>
      <c r="C654" s="4" t="s">
        <v>1136</v>
      </c>
      <c r="D654" s="3" t="s">
        <v>1137</v>
      </c>
      <c r="E654" s="6" t="s">
        <v>1141</v>
      </c>
      <c r="F654" s="6" t="s">
        <v>1150</v>
      </c>
      <c r="G654" s="6" t="s">
        <v>841</v>
      </c>
      <c r="H654" s="25">
        <v>0</v>
      </c>
      <c r="I654" s="38">
        <v>10</v>
      </c>
      <c r="J654" s="38">
        <v>1</v>
      </c>
      <c r="K654" s="39">
        <f t="shared" si="80"/>
        <v>0</v>
      </c>
      <c r="L654" s="38">
        <v>0</v>
      </c>
      <c r="M654" s="38">
        <v>0</v>
      </c>
      <c r="N654" s="39">
        <f t="shared" si="81"/>
        <v>0</v>
      </c>
      <c r="O654" s="38">
        <v>0</v>
      </c>
      <c r="P654" s="38">
        <v>0</v>
      </c>
      <c r="Q654" s="39">
        <f t="shared" si="82"/>
        <v>0</v>
      </c>
      <c r="R654" s="38">
        <v>0</v>
      </c>
      <c r="S654" s="38">
        <v>0</v>
      </c>
      <c r="T654" s="39">
        <f t="shared" si="83"/>
        <v>0</v>
      </c>
      <c r="U654" s="38">
        <v>0</v>
      </c>
      <c r="V654" s="38">
        <v>0</v>
      </c>
      <c r="W654" s="39">
        <f t="shared" si="84"/>
        <v>0</v>
      </c>
      <c r="X654" s="38"/>
      <c r="Y654" s="38"/>
      <c r="Z654" s="39">
        <f t="shared" si="85"/>
        <v>0</v>
      </c>
      <c r="AA654" s="38"/>
      <c r="AB654" s="38"/>
      <c r="AC654" s="39">
        <f t="shared" si="86"/>
        <v>0</v>
      </c>
      <c r="AD654" s="38"/>
      <c r="AE654" s="38"/>
      <c r="AF654" s="39">
        <f t="shared" si="87"/>
        <v>0</v>
      </c>
    </row>
    <row r="655" spans="2:32" ht="15" customHeight="1" x14ac:dyDescent="0.3">
      <c r="B655" s="2" t="s">
        <v>836</v>
      </c>
      <c r="C655" s="4" t="s">
        <v>1136</v>
      </c>
      <c r="D655" s="3" t="s">
        <v>1137</v>
      </c>
      <c r="E655" s="6" t="s">
        <v>1151</v>
      </c>
      <c r="F655" s="6" t="s">
        <v>1054</v>
      </c>
      <c r="G655" s="6" t="s">
        <v>841</v>
      </c>
      <c r="H655" s="25">
        <v>0</v>
      </c>
      <c r="I655" s="38">
        <v>5</v>
      </c>
      <c r="J655" s="38">
        <v>1</v>
      </c>
      <c r="K655" s="39">
        <f t="shared" si="80"/>
        <v>0</v>
      </c>
      <c r="L655" s="38">
        <v>0</v>
      </c>
      <c r="M655" s="38">
        <v>0</v>
      </c>
      <c r="N655" s="39">
        <f t="shared" si="81"/>
        <v>0</v>
      </c>
      <c r="O655" s="38">
        <v>0</v>
      </c>
      <c r="P655" s="38">
        <v>0</v>
      </c>
      <c r="Q655" s="39">
        <f t="shared" si="82"/>
        <v>0</v>
      </c>
      <c r="R655" s="38">
        <v>0</v>
      </c>
      <c r="S655" s="38">
        <v>0</v>
      </c>
      <c r="T655" s="39">
        <f t="shared" si="83"/>
        <v>0</v>
      </c>
      <c r="U655" s="38">
        <v>0</v>
      </c>
      <c r="V655" s="38">
        <v>0</v>
      </c>
      <c r="W655" s="39">
        <f t="shared" si="84"/>
        <v>0</v>
      </c>
      <c r="X655" s="38"/>
      <c r="Y655" s="38"/>
      <c r="Z655" s="39">
        <f t="shared" si="85"/>
        <v>0</v>
      </c>
      <c r="AA655" s="38"/>
      <c r="AB655" s="38"/>
      <c r="AC655" s="39">
        <f t="shared" si="86"/>
        <v>0</v>
      </c>
      <c r="AD655" s="38"/>
      <c r="AE655" s="38"/>
      <c r="AF655" s="39">
        <f t="shared" si="87"/>
        <v>0</v>
      </c>
    </row>
    <row r="656" spans="2:32" ht="15" customHeight="1" x14ac:dyDescent="0.3">
      <c r="B656" s="2" t="s">
        <v>836</v>
      </c>
      <c r="C656" s="4" t="s">
        <v>1136</v>
      </c>
      <c r="D656" s="3" t="s">
        <v>1137</v>
      </c>
      <c r="E656" s="6" t="s">
        <v>1151</v>
      </c>
      <c r="F656" s="6" t="s">
        <v>158</v>
      </c>
      <c r="G656" s="6" t="s">
        <v>709</v>
      </c>
      <c r="H656" s="25">
        <v>28000</v>
      </c>
      <c r="I656" s="38">
        <v>3</v>
      </c>
      <c r="J656" s="38">
        <v>14</v>
      </c>
      <c r="K656" s="39">
        <f t="shared" si="80"/>
        <v>1176000</v>
      </c>
      <c r="L656" s="38">
        <v>0</v>
      </c>
      <c r="M656" s="38">
        <v>0</v>
      </c>
      <c r="N656" s="39">
        <f t="shared" si="81"/>
        <v>0</v>
      </c>
      <c r="O656" s="38">
        <v>0</v>
      </c>
      <c r="P656" s="38">
        <v>0</v>
      </c>
      <c r="Q656" s="39">
        <f t="shared" si="82"/>
        <v>0</v>
      </c>
      <c r="R656" s="38">
        <v>0</v>
      </c>
      <c r="S656" s="38">
        <v>0</v>
      </c>
      <c r="T656" s="39">
        <f t="shared" si="83"/>
        <v>0</v>
      </c>
      <c r="U656" s="38">
        <v>3</v>
      </c>
      <c r="V656" s="38">
        <v>14</v>
      </c>
      <c r="W656" s="39">
        <f t="shared" si="84"/>
        <v>1176000</v>
      </c>
      <c r="X656" s="38"/>
      <c r="Y656" s="38"/>
      <c r="Z656" s="39">
        <f t="shared" si="85"/>
        <v>0</v>
      </c>
      <c r="AA656" s="38"/>
      <c r="AB656" s="38"/>
      <c r="AC656" s="39">
        <f t="shared" si="86"/>
        <v>0</v>
      </c>
      <c r="AD656" s="38"/>
      <c r="AE656" s="38"/>
      <c r="AF656" s="39">
        <f t="shared" si="87"/>
        <v>0</v>
      </c>
    </row>
    <row r="657" spans="2:32" ht="15" customHeight="1" x14ac:dyDescent="0.3">
      <c r="B657" s="2" t="s">
        <v>836</v>
      </c>
      <c r="C657" s="4" t="s">
        <v>1136</v>
      </c>
      <c r="D657" s="3" t="s">
        <v>1137</v>
      </c>
      <c r="E657" s="6" t="s">
        <v>1151</v>
      </c>
      <c r="F657" s="6" t="s">
        <v>182</v>
      </c>
      <c r="G657" s="6" t="s">
        <v>841</v>
      </c>
      <c r="H657" s="25">
        <v>0</v>
      </c>
      <c r="I657" s="38">
        <v>15</v>
      </c>
      <c r="J657" s="38">
        <v>1</v>
      </c>
      <c r="K657" s="39">
        <f t="shared" si="80"/>
        <v>0</v>
      </c>
      <c r="L657" s="38">
        <v>0</v>
      </c>
      <c r="M657" s="38">
        <v>0</v>
      </c>
      <c r="N657" s="39">
        <f t="shared" si="81"/>
        <v>0</v>
      </c>
      <c r="O657" s="38">
        <v>0</v>
      </c>
      <c r="P657" s="38">
        <v>0</v>
      </c>
      <c r="Q657" s="39">
        <f t="shared" si="82"/>
        <v>0</v>
      </c>
      <c r="R657" s="38">
        <v>0</v>
      </c>
      <c r="S657" s="38">
        <v>0</v>
      </c>
      <c r="T657" s="39">
        <f t="shared" si="83"/>
        <v>0</v>
      </c>
      <c r="U657" s="38">
        <v>15</v>
      </c>
      <c r="V657" s="38">
        <v>1</v>
      </c>
      <c r="W657" s="39">
        <f t="shared" si="84"/>
        <v>0</v>
      </c>
      <c r="X657" s="38"/>
      <c r="Y657" s="38"/>
      <c r="Z657" s="39">
        <f t="shared" si="85"/>
        <v>0</v>
      </c>
      <c r="AA657" s="38"/>
      <c r="AB657" s="38"/>
      <c r="AC657" s="39">
        <f t="shared" si="86"/>
        <v>0</v>
      </c>
      <c r="AD657" s="38"/>
      <c r="AE657" s="38"/>
      <c r="AF657" s="39">
        <f t="shared" si="87"/>
        <v>0</v>
      </c>
    </row>
    <row r="658" spans="2:32" ht="15" customHeight="1" x14ac:dyDescent="0.3">
      <c r="B658" s="2" t="s">
        <v>836</v>
      </c>
      <c r="C658" s="4" t="s">
        <v>1136</v>
      </c>
      <c r="D658" s="3" t="s">
        <v>1137</v>
      </c>
      <c r="E658" s="6" t="s">
        <v>1151</v>
      </c>
      <c r="F658" s="6" t="s">
        <v>1152</v>
      </c>
      <c r="G658" s="6" t="s">
        <v>707</v>
      </c>
      <c r="H658" s="25">
        <v>391991.03749999998</v>
      </c>
      <c r="I658" s="38">
        <v>3</v>
      </c>
      <c r="J658" s="38">
        <v>5</v>
      </c>
      <c r="K658" s="39">
        <f t="shared" si="80"/>
        <v>5879865.5624999991</v>
      </c>
      <c r="L658" s="38">
        <v>0</v>
      </c>
      <c r="M658" s="38">
        <v>0</v>
      </c>
      <c r="N658" s="39">
        <f t="shared" si="81"/>
        <v>0</v>
      </c>
      <c r="O658" s="38">
        <v>0</v>
      </c>
      <c r="P658" s="38">
        <v>0</v>
      </c>
      <c r="Q658" s="39">
        <f t="shared" si="82"/>
        <v>0</v>
      </c>
      <c r="R658" s="38">
        <v>0</v>
      </c>
      <c r="S658" s="38">
        <v>0</v>
      </c>
      <c r="T658" s="39">
        <f t="shared" si="83"/>
        <v>0</v>
      </c>
      <c r="U658" s="38">
        <v>3</v>
      </c>
      <c r="V658" s="38">
        <v>5</v>
      </c>
      <c r="W658" s="39">
        <f t="shared" si="84"/>
        <v>5879865.5624999991</v>
      </c>
      <c r="X658" s="38"/>
      <c r="Y658" s="38"/>
      <c r="Z658" s="39">
        <f t="shared" si="85"/>
        <v>0</v>
      </c>
      <c r="AA658" s="38"/>
      <c r="AB658" s="38"/>
      <c r="AC658" s="39">
        <f t="shared" si="86"/>
        <v>0</v>
      </c>
      <c r="AD658" s="38"/>
      <c r="AE658" s="38"/>
      <c r="AF658" s="39">
        <f t="shared" si="87"/>
        <v>0</v>
      </c>
    </row>
    <row r="659" spans="2:32" ht="15" customHeight="1" x14ac:dyDescent="0.3">
      <c r="B659" s="2" t="s">
        <v>836</v>
      </c>
      <c r="C659" s="4" t="s">
        <v>1136</v>
      </c>
      <c r="D659" s="3" t="s">
        <v>1137</v>
      </c>
      <c r="E659" s="6" t="s">
        <v>1151</v>
      </c>
      <c r="F659" s="6" t="s">
        <v>1152</v>
      </c>
      <c r="G659" s="6" t="s">
        <v>708</v>
      </c>
      <c r="H659" s="25">
        <v>425000</v>
      </c>
      <c r="I659" s="38">
        <v>1</v>
      </c>
      <c r="J659" s="38">
        <v>4</v>
      </c>
      <c r="K659" s="39">
        <f t="shared" si="80"/>
        <v>1700000</v>
      </c>
      <c r="L659" s="38">
        <v>0</v>
      </c>
      <c r="M659" s="38">
        <v>0</v>
      </c>
      <c r="N659" s="39">
        <f t="shared" si="81"/>
        <v>0</v>
      </c>
      <c r="O659" s="38">
        <v>0</v>
      </c>
      <c r="P659" s="38">
        <v>0</v>
      </c>
      <c r="Q659" s="39">
        <f t="shared" si="82"/>
        <v>0</v>
      </c>
      <c r="R659" s="38">
        <v>0</v>
      </c>
      <c r="S659" s="38">
        <v>0</v>
      </c>
      <c r="T659" s="39">
        <f t="shared" si="83"/>
        <v>0</v>
      </c>
      <c r="U659" s="38">
        <v>1</v>
      </c>
      <c r="V659" s="38">
        <v>4</v>
      </c>
      <c r="W659" s="39">
        <f t="shared" si="84"/>
        <v>1700000</v>
      </c>
      <c r="X659" s="38"/>
      <c r="Y659" s="38"/>
      <c r="Z659" s="39">
        <f t="shared" si="85"/>
        <v>0</v>
      </c>
      <c r="AA659" s="38"/>
      <c r="AB659" s="38"/>
      <c r="AC659" s="39">
        <f t="shared" si="86"/>
        <v>0</v>
      </c>
      <c r="AD659" s="38"/>
      <c r="AE659" s="38"/>
      <c r="AF659" s="39">
        <f t="shared" si="87"/>
        <v>0</v>
      </c>
    </row>
    <row r="660" spans="2:32" ht="15" customHeight="1" x14ac:dyDescent="0.3">
      <c r="B660" s="2" t="s">
        <v>836</v>
      </c>
      <c r="C660" s="4" t="s">
        <v>1136</v>
      </c>
      <c r="D660" s="3" t="s">
        <v>1137</v>
      </c>
      <c r="E660" s="6" t="s">
        <v>1151</v>
      </c>
      <c r="F660" s="6" t="s">
        <v>1153</v>
      </c>
      <c r="G660" s="6" t="s">
        <v>716</v>
      </c>
      <c r="H660" s="25">
        <v>39000</v>
      </c>
      <c r="I660" s="38">
        <v>1</v>
      </c>
      <c r="J660" s="38">
        <v>30</v>
      </c>
      <c r="K660" s="39">
        <f t="shared" si="80"/>
        <v>1170000</v>
      </c>
      <c r="L660" s="38">
        <v>0</v>
      </c>
      <c r="M660" s="38">
        <v>0</v>
      </c>
      <c r="N660" s="39">
        <f t="shared" si="81"/>
        <v>0</v>
      </c>
      <c r="O660" s="38">
        <v>0</v>
      </c>
      <c r="P660" s="38">
        <v>0</v>
      </c>
      <c r="Q660" s="39">
        <f t="shared" si="82"/>
        <v>0</v>
      </c>
      <c r="R660" s="38">
        <v>0</v>
      </c>
      <c r="S660" s="38">
        <v>0</v>
      </c>
      <c r="T660" s="39">
        <f t="shared" si="83"/>
        <v>0</v>
      </c>
      <c r="U660" s="38">
        <v>1</v>
      </c>
      <c r="V660" s="38">
        <v>30</v>
      </c>
      <c r="W660" s="39">
        <f t="shared" si="84"/>
        <v>1170000</v>
      </c>
      <c r="X660" s="38"/>
      <c r="Y660" s="38"/>
      <c r="Z660" s="39">
        <f t="shared" si="85"/>
        <v>0</v>
      </c>
      <c r="AA660" s="38"/>
      <c r="AB660" s="38"/>
      <c r="AC660" s="39">
        <f t="shared" si="86"/>
        <v>0</v>
      </c>
      <c r="AD660" s="38"/>
      <c r="AE660" s="38"/>
      <c r="AF660" s="39">
        <f t="shared" si="87"/>
        <v>0</v>
      </c>
    </row>
    <row r="661" spans="2:32" ht="15" customHeight="1" x14ac:dyDescent="0.3">
      <c r="B661" s="2" t="s">
        <v>836</v>
      </c>
      <c r="C661" s="4" t="s">
        <v>1136</v>
      </c>
      <c r="D661" s="3" t="s">
        <v>1137</v>
      </c>
      <c r="E661" s="6" t="s">
        <v>1151</v>
      </c>
      <c r="F661" s="6" t="s">
        <v>1153</v>
      </c>
      <c r="G661" s="6" t="s">
        <v>709</v>
      </c>
      <c r="H661" s="25">
        <v>28000</v>
      </c>
      <c r="I661" s="38">
        <v>30</v>
      </c>
      <c r="J661" s="38">
        <v>9</v>
      </c>
      <c r="K661" s="39">
        <f t="shared" si="80"/>
        <v>7560000</v>
      </c>
      <c r="L661" s="38">
        <v>0</v>
      </c>
      <c r="M661" s="38">
        <v>0</v>
      </c>
      <c r="N661" s="39">
        <f t="shared" si="81"/>
        <v>0</v>
      </c>
      <c r="O661" s="38">
        <v>0</v>
      </c>
      <c r="P661" s="38">
        <v>0</v>
      </c>
      <c r="Q661" s="39">
        <f t="shared" si="82"/>
        <v>0</v>
      </c>
      <c r="R661" s="38">
        <v>0</v>
      </c>
      <c r="S661" s="38">
        <v>0</v>
      </c>
      <c r="T661" s="39">
        <f t="shared" si="83"/>
        <v>0</v>
      </c>
      <c r="U661" s="38">
        <v>30</v>
      </c>
      <c r="V661" s="38">
        <v>9</v>
      </c>
      <c r="W661" s="39">
        <f t="shared" si="84"/>
        <v>7560000</v>
      </c>
      <c r="X661" s="38"/>
      <c r="Y661" s="38"/>
      <c r="Z661" s="39">
        <f t="shared" si="85"/>
        <v>0</v>
      </c>
      <c r="AA661" s="38"/>
      <c r="AB661" s="38"/>
      <c r="AC661" s="39">
        <f t="shared" si="86"/>
        <v>0</v>
      </c>
      <c r="AD661" s="38"/>
      <c r="AE661" s="38"/>
      <c r="AF661" s="39">
        <f t="shared" si="87"/>
        <v>0</v>
      </c>
    </row>
    <row r="662" spans="2:32" ht="15" customHeight="1" x14ac:dyDescent="0.3">
      <c r="B662" s="2" t="s">
        <v>836</v>
      </c>
      <c r="C662" s="4" t="s">
        <v>1136</v>
      </c>
      <c r="D662" s="3" t="s">
        <v>1137</v>
      </c>
      <c r="E662" s="6" t="s">
        <v>1151</v>
      </c>
      <c r="F662" s="6" t="s">
        <v>1153</v>
      </c>
      <c r="G662" s="6" t="s">
        <v>712</v>
      </c>
      <c r="H662" s="25">
        <v>214.29</v>
      </c>
      <c r="I662" s="38">
        <v>30</v>
      </c>
      <c r="J662" s="38">
        <v>9</v>
      </c>
      <c r="K662" s="39">
        <f t="shared" si="80"/>
        <v>57858.299999999996</v>
      </c>
      <c r="L662" s="38">
        <v>0</v>
      </c>
      <c r="M662" s="38">
        <v>0</v>
      </c>
      <c r="N662" s="39">
        <f t="shared" si="81"/>
        <v>0</v>
      </c>
      <c r="O662" s="38">
        <v>0</v>
      </c>
      <c r="P662" s="38">
        <v>0</v>
      </c>
      <c r="Q662" s="39">
        <f t="shared" si="82"/>
        <v>0</v>
      </c>
      <c r="R662" s="38">
        <v>0</v>
      </c>
      <c r="S662" s="38">
        <v>0</v>
      </c>
      <c r="T662" s="39">
        <f t="shared" si="83"/>
        <v>0</v>
      </c>
      <c r="U662" s="38">
        <v>30</v>
      </c>
      <c r="V662" s="38">
        <v>9</v>
      </c>
      <c r="W662" s="39">
        <f t="shared" si="84"/>
        <v>57858.299999999996</v>
      </c>
      <c r="X662" s="38"/>
      <c r="Y662" s="38"/>
      <c r="Z662" s="39">
        <f t="shared" si="85"/>
        <v>0</v>
      </c>
      <c r="AA662" s="38"/>
      <c r="AB662" s="38"/>
      <c r="AC662" s="39">
        <f t="shared" si="86"/>
        <v>0</v>
      </c>
      <c r="AD662" s="38"/>
      <c r="AE662" s="38"/>
      <c r="AF662" s="39">
        <f t="shared" si="87"/>
        <v>0</v>
      </c>
    </row>
    <row r="663" spans="2:32" ht="15" customHeight="1" x14ac:dyDescent="0.3">
      <c r="B663" s="2" t="s">
        <v>836</v>
      </c>
      <c r="C663" s="4" t="s">
        <v>1136</v>
      </c>
      <c r="D663" s="3" t="s">
        <v>1137</v>
      </c>
      <c r="E663" s="6" t="s">
        <v>1151</v>
      </c>
      <c r="F663" s="6" t="s">
        <v>1154</v>
      </c>
      <c r="G663" s="6" t="s">
        <v>709</v>
      </c>
      <c r="H663" s="25">
        <v>28000</v>
      </c>
      <c r="I663" s="38">
        <v>12000</v>
      </c>
      <c r="J663" s="38">
        <v>1</v>
      </c>
      <c r="K663" s="39">
        <f t="shared" si="80"/>
        <v>336000000</v>
      </c>
      <c r="L663" s="38">
        <v>0</v>
      </c>
      <c r="M663" s="38">
        <v>0</v>
      </c>
      <c r="N663" s="39">
        <f t="shared" si="81"/>
        <v>0</v>
      </c>
      <c r="O663" s="38">
        <v>0</v>
      </c>
      <c r="P663" s="38">
        <v>0</v>
      </c>
      <c r="Q663" s="39">
        <f t="shared" si="82"/>
        <v>0</v>
      </c>
      <c r="R663" s="38">
        <v>0</v>
      </c>
      <c r="S663" s="38">
        <v>0</v>
      </c>
      <c r="T663" s="39">
        <f t="shared" si="83"/>
        <v>0</v>
      </c>
      <c r="U663" s="38">
        <v>12000</v>
      </c>
      <c r="V663" s="38">
        <v>1</v>
      </c>
      <c r="W663" s="39">
        <f t="shared" si="84"/>
        <v>336000000</v>
      </c>
      <c r="X663" s="38"/>
      <c r="Y663" s="38"/>
      <c r="Z663" s="39">
        <f t="shared" si="85"/>
        <v>0</v>
      </c>
      <c r="AA663" s="38"/>
      <c r="AB663" s="38"/>
      <c r="AC663" s="39">
        <f t="shared" si="86"/>
        <v>0</v>
      </c>
      <c r="AD663" s="38"/>
      <c r="AE663" s="38"/>
      <c r="AF663" s="39">
        <f t="shared" si="87"/>
        <v>0</v>
      </c>
    </row>
    <row r="664" spans="2:32" ht="15" customHeight="1" x14ac:dyDescent="0.3">
      <c r="B664" s="2" t="s">
        <v>836</v>
      </c>
      <c r="C664" s="4" t="s">
        <v>1136</v>
      </c>
      <c r="D664" s="3" t="s">
        <v>1137</v>
      </c>
      <c r="E664" s="6" t="s">
        <v>1151</v>
      </c>
      <c r="F664" s="6" t="s">
        <v>1155</v>
      </c>
      <c r="G664" s="6" t="s">
        <v>709</v>
      </c>
      <c r="H664" s="25">
        <v>28000</v>
      </c>
      <c r="I664" s="38">
        <v>15</v>
      </c>
      <c r="J664" s="38">
        <v>1</v>
      </c>
      <c r="K664" s="39">
        <f t="shared" si="80"/>
        <v>420000</v>
      </c>
      <c r="L664" s="38">
        <v>0</v>
      </c>
      <c r="M664" s="38">
        <v>0</v>
      </c>
      <c r="N664" s="39">
        <f t="shared" si="81"/>
        <v>0</v>
      </c>
      <c r="O664" s="38">
        <v>0</v>
      </c>
      <c r="P664" s="38">
        <v>0</v>
      </c>
      <c r="Q664" s="39">
        <f t="shared" si="82"/>
        <v>0</v>
      </c>
      <c r="R664" s="38">
        <v>0</v>
      </c>
      <c r="S664" s="38">
        <v>0</v>
      </c>
      <c r="T664" s="39">
        <f t="shared" si="83"/>
        <v>0</v>
      </c>
      <c r="U664" s="38">
        <v>15</v>
      </c>
      <c r="V664" s="38">
        <v>1</v>
      </c>
      <c r="W664" s="39">
        <f t="shared" si="84"/>
        <v>420000</v>
      </c>
      <c r="X664" s="38"/>
      <c r="Y664" s="38"/>
      <c r="Z664" s="39">
        <f t="shared" si="85"/>
        <v>0</v>
      </c>
      <c r="AA664" s="38"/>
      <c r="AB664" s="38"/>
      <c r="AC664" s="39">
        <f t="shared" si="86"/>
        <v>0</v>
      </c>
      <c r="AD664" s="38"/>
      <c r="AE664" s="38"/>
      <c r="AF664" s="39">
        <f t="shared" si="87"/>
        <v>0</v>
      </c>
    </row>
    <row r="665" spans="2:32" ht="15" customHeight="1" x14ac:dyDescent="0.3">
      <c r="B665" s="2" t="s">
        <v>836</v>
      </c>
      <c r="C665" s="4" t="s">
        <v>1136</v>
      </c>
      <c r="D665" s="3" t="s">
        <v>1137</v>
      </c>
      <c r="E665" s="6" t="s">
        <v>1151</v>
      </c>
      <c r="F665" s="6" t="s">
        <v>1156</v>
      </c>
      <c r="G665" s="6" t="s">
        <v>709</v>
      </c>
      <c r="H665" s="25">
        <v>28000</v>
      </c>
      <c r="I665" s="38">
        <v>10</v>
      </c>
      <c r="J665" s="38">
        <v>1</v>
      </c>
      <c r="K665" s="39">
        <f t="shared" si="80"/>
        <v>280000</v>
      </c>
      <c r="L665" s="38">
        <v>0</v>
      </c>
      <c r="M665" s="38">
        <v>0</v>
      </c>
      <c r="N665" s="39">
        <f t="shared" si="81"/>
        <v>0</v>
      </c>
      <c r="O665" s="38">
        <v>0</v>
      </c>
      <c r="P665" s="38">
        <v>0</v>
      </c>
      <c r="Q665" s="39">
        <f t="shared" si="82"/>
        <v>0</v>
      </c>
      <c r="R665" s="38">
        <v>0</v>
      </c>
      <c r="S665" s="38">
        <v>0</v>
      </c>
      <c r="T665" s="39">
        <f t="shared" si="83"/>
        <v>0</v>
      </c>
      <c r="U665" s="38">
        <v>10</v>
      </c>
      <c r="V665" s="38">
        <v>1</v>
      </c>
      <c r="W665" s="39">
        <f t="shared" si="84"/>
        <v>280000</v>
      </c>
      <c r="X665" s="38"/>
      <c r="Y665" s="38"/>
      <c r="Z665" s="39">
        <f t="shared" si="85"/>
        <v>0</v>
      </c>
      <c r="AA665" s="38"/>
      <c r="AB665" s="38"/>
      <c r="AC665" s="39">
        <f t="shared" si="86"/>
        <v>0</v>
      </c>
      <c r="AD665" s="38"/>
      <c r="AE665" s="38"/>
      <c r="AF665" s="39">
        <f t="shared" si="87"/>
        <v>0</v>
      </c>
    </row>
    <row r="666" spans="2:32" ht="15" customHeight="1" x14ac:dyDescent="0.3">
      <c r="B666" s="2" t="s">
        <v>836</v>
      </c>
      <c r="C666" s="4" t="s">
        <v>1136</v>
      </c>
      <c r="D666" s="3" t="s">
        <v>1137</v>
      </c>
      <c r="E666" s="6" t="s">
        <v>1151</v>
      </c>
      <c r="F666" s="6" t="s">
        <v>1156</v>
      </c>
      <c r="G666" s="6" t="s">
        <v>716</v>
      </c>
      <c r="H666" s="25">
        <v>39000</v>
      </c>
      <c r="I666" s="38">
        <v>30</v>
      </c>
      <c r="J666" s="38">
        <v>1</v>
      </c>
      <c r="K666" s="39">
        <f t="shared" si="80"/>
        <v>1170000</v>
      </c>
      <c r="L666" s="38">
        <v>0</v>
      </c>
      <c r="M666" s="38">
        <v>0</v>
      </c>
      <c r="N666" s="39">
        <f t="shared" si="81"/>
        <v>0</v>
      </c>
      <c r="O666" s="38">
        <v>0</v>
      </c>
      <c r="P666" s="38">
        <v>0</v>
      </c>
      <c r="Q666" s="39">
        <f t="shared" si="82"/>
        <v>0</v>
      </c>
      <c r="R666" s="38">
        <v>0</v>
      </c>
      <c r="S666" s="38">
        <v>0</v>
      </c>
      <c r="T666" s="39">
        <f t="shared" si="83"/>
        <v>0</v>
      </c>
      <c r="U666" s="38">
        <v>30</v>
      </c>
      <c r="V666" s="38">
        <v>1</v>
      </c>
      <c r="W666" s="39">
        <f t="shared" si="84"/>
        <v>1170000</v>
      </c>
      <c r="X666" s="38"/>
      <c r="Y666" s="38"/>
      <c r="Z666" s="39">
        <f t="shared" si="85"/>
        <v>0</v>
      </c>
      <c r="AA666" s="38"/>
      <c r="AB666" s="38"/>
      <c r="AC666" s="39">
        <f t="shared" si="86"/>
        <v>0</v>
      </c>
      <c r="AD666" s="38"/>
      <c r="AE666" s="38"/>
      <c r="AF666" s="39">
        <f t="shared" si="87"/>
        <v>0</v>
      </c>
    </row>
    <row r="667" spans="2:32" ht="15" customHeight="1" x14ac:dyDescent="0.3">
      <c r="B667" s="2" t="s">
        <v>836</v>
      </c>
      <c r="C667" s="4" t="s">
        <v>1136</v>
      </c>
      <c r="D667" s="3" t="s">
        <v>1137</v>
      </c>
      <c r="E667" s="6" t="s">
        <v>1151</v>
      </c>
      <c r="F667" s="6" t="s">
        <v>1156</v>
      </c>
      <c r="G667" s="6" t="s">
        <v>711</v>
      </c>
      <c r="H667" s="25">
        <v>70</v>
      </c>
      <c r="I667" s="38">
        <v>30</v>
      </c>
      <c r="J667" s="38">
        <v>1</v>
      </c>
      <c r="K667" s="39">
        <f t="shared" si="80"/>
        <v>2100</v>
      </c>
      <c r="L667" s="38">
        <v>0</v>
      </c>
      <c r="M667" s="38">
        <v>0</v>
      </c>
      <c r="N667" s="39">
        <f t="shared" si="81"/>
        <v>0</v>
      </c>
      <c r="O667" s="38">
        <v>0</v>
      </c>
      <c r="P667" s="38">
        <v>0</v>
      </c>
      <c r="Q667" s="39">
        <f t="shared" si="82"/>
        <v>0</v>
      </c>
      <c r="R667" s="38">
        <v>0</v>
      </c>
      <c r="S667" s="38">
        <v>0</v>
      </c>
      <c r="T667" s="39">
        <f t="shared" si="83"/>
        <v>0</v>
      </c>
      <c r="U667" s="38">
        <v>30</v>
      </c>
      <c r="V667" s="38">
        <v>1</v>
      </c>
      <c r="W667" s="39">
        <f t="shared" si="84"/>
        <v>2100</v>
      </c>
      <c r="X667" s="38"/>
      <c r="Y667" s="38"/>
      <c r="Z667" s="39">
        <f t="shared" si="85"/>
        <v>0</v>
      </c>
      <c r="AA667" s="38"/>
      <c r="AB667" s="38"/>
      <c r="AC667" s="39">
        <f t="shared" si="86"/>
        <v>0</v>
      </c>
      <c r="AD667" s="38"/>
      <c r="AE667" s="38"/>
      <c r="AF667" s="39">
        <f t="shared" si="87"/>
        <v>0</v>
      </c>
    </row>
    <row r="668" spans="2:32" ht="15" customHeight="1" x14ac:dyDescent="0.3">
      <c r="B668" s="2" t="s">
        <v>836</v>
      </c>
      <c r="C668" s="4" t="s">
        <v>1136</v>
      </c>
      <c r="D668" s="3" t="s">
        <v>1137</v>
      </c>
      <c r="E668" s="6" t="s">
        <v>1151</v>
      </c>
      <c r="F668" s="6" t="s">
        <v>1156</v>
      </c>
      <c r="G668" s="6" t="s">
        <v>710</v>
      </c>
      <c r="H668" s="25">
        <v>104850</v>
      </c>
      <c r="I668" s="38">
        <v>50000</v>
      </c>
      <c r="J668" s="38">
        <v>1</v>
      </c>
      <c r="K668" s="39">
        <f t="shared" si="80"/>
        <v>5242500000</v>
      </c>
      <c r="L668" s="38">
        <v>0</v>
      </c>
      <c r="M668" s="38">
        <v>0</v>
      </c>
      <c r="N668" s="39">
        <f t="shared" si="81"/>
        <v>0</v>
      </c>
      <c r="O668" s="38">
        <v>0</v>
      </c>
      <c r="P668" s="38">
        <v>0</v>
      </c>
      <c r="Q668" s="39">
        <f t="shared" si="82"/>
        <v>0</v>
      </c>
      <c r="R668" s="38">
        <v>0</v>
      </c>
      <c r="S668" s="38">
        <v>0</v>
      </c>
      <c r="T668" s="39">
        <f t="shared" si="83"/>
        <v>0</v>
      </c>
      <c r="U668" s="38">
        <v>50000</v>
      </c>
      <c r="V668" s="38">
        <v>1</v>
      </c>
      <c r="W668" s="39">
        <f t="shared" si="84"/>
        <v>5242500000</v>
      </c>
      <c r="X668" s="38"/>
      <c r="Y668" s="38"/>
      <c r="Z668" s="39">
        <f t="shared" si="85"/>
        <v>0</v>
      </c>
      <c r="AA668" s="38"/>
      <c r="AB668" s="38"/>
      <c r="AC668" s="39">
        <f t="shared" si="86"/>
        <v>0</v>
      </c>
      <c r="AD668" s="38"/>
      <c r="AE668" s="38"/>
      <c r="AF668" s="39">
        <f t="shared" si="87"/>
        <v>0</v>
      </c>
    </row>
    <row r="669" spans="2:32" ht="15" customHeight="1" x14ac:dyDescent="0.3">
      <c r="B669" s="2" t="s">
        <v>836</v>
      </c>
      <c r="C669" s="4" t="s">
        <v>1136</v>
      </c>
      <c r="D669" s="3" t="s">
        <v>1137</v>
      </c>
      <c r="E669" s="6" t="s">
        <v>1151</v>
      </c>
      <c r="F669" s="6" t="s">
        <v>1156</v>
      </c>
      <c r="G669" s="6" t="s">
        <v>712</v>
      </c>
      <c r="H669" s="25">
        <v>214.29</v>
      </c>
      <c r="I669" s="38">
        <v>5</v>
      </c>
      <c r="J669" s="38">
        <v>1</v>
      </c>
      <c r="K669" s="39">
        <f t="shared" si="80"/>
        <v>1071.45</v>
      </c>
      <c r="L669" s="38">
        <v>0</v>
      </c>
      <c r="M669" s="38">
        <v>0</v>
      </c>
      <c r="N669" s="39">
        <f t="shared" si="81"/>
        <v>0</v>
      </c>
      <c r="O669" s="38">
        <v>0</v>
      </c>
      <c r="P669" s="38">
        <v>0</v>
      </c>
      <c r="Q669" s="39">
        <f t="shared" si="82"/>
        <v>0</v>
      </c>
      <c r="R669" s="38">
        <v>0</v>
      </c>
      <c r="S669" s="38">
        <v>0</v>
      </c>
      <c r="T669" s="39">
        <f t="shared" si="83"/>
        <v>0</v>
      </c>
      <c r="U669" s="38">
        <v>5</v>
      </c>
      <c r="V669" s="38">
        <v>1</v>
      </c>
      <c r="W669" s="39">
        <f t="shared" si="84"/>
        <v>1071.45</v>
      </c>
      <c r="X669" s="38"/>
      <c r="Y669" s="38"/>
      <c r="Z669" s="39">
        <f t="shared" si="85"/>
        <v>0</v>
      </c>
      <c r="AA669" s="38"/>
      <c r="AB669" s="38"/>
      <c r="AC669" s="39">
        <f t="shared" si="86"/>
        <v>0</v>
      </c>
      <c r="AD669" s="38"/>
      <c r="AE669" s="38"/>
      <c r="AF669" s="39">
        <f t="shared" si="87"/>
        <v>0</v>
      </c>
    </row>
    <row r="670" spans="2:32" ht="15" customHeight="1" x14ac:dyDescent="0.3">
      <c r="B670" s="2" t="s">
        <v>836</v>
      </c>
      <c r="C670" s="4" t="s">
        <v>1136</v>
      </c>
      <c r="D670" s="3" t="s">
        <v>1137</v>
      </c>
      <c r="E670" s="6" t="s">
        <v>1157</v>
      </c>
      <c r="F670" s="6" t="s">
        <v>176</v>
      </c>
      <c r="G670" s="6" t="s">
        <v>841</v>
      </c>
      <c r="H670" s="25">
        <v>0</v>
      </c>
      <c r="I670" s="38">
        <v>6000</v>
      </c>
      <c r="J670" s="38">
        <v>1</v>
      </c>
      <c r="K670" s="39">
        <f t="shared" si="80"/>
        <v>0</v>
      </c>
      <c r="L670" s="38">
        <v>0</v>
      </c>
      <c r="M670" s="38">
        <v>0</v>
      </c>
      <c r="N670" s="39">
        <f t="shared" si="81"/>
        <v>0</v>
      </c>
      <c r="O670" s="38">
        <v>0</v>
      </c>
      <c r="P670" s="38">
        <v>0</v>
      </c>
      <c r="Q670" s="39">
        <f t="shared" si="82"/>
        <v>0</v>
      </c>
      <c r="R670" s="38">
        <v>0</v>
      </c>
      <c r="S670" s="38">
        <v>0</v>
      </c>
      <c r="T670" s="39">
        <f t="shared" si="83"/>
        <v>0</v>
      </c>
      <c r="U670" s="38">
        <v>6000</v>
      </c>
      <c r="V670" s="38">
        <v>1</v>
      </c>
      <c r="W670" s="39">
        <f t="shared" si="84"/>
        <v>0</v>
      </c>
      <c r="X670" s="38"/>
      <c r="Y670" s="38"/>
      <c r="Z670" s="39">
        <f t="shared" si="85"/>
        <v>0</v>
      </c>
      <c r="AA670" s="38"/>
      <c r="AB670" s="38"/>
      <c r="AC670" s="39">
        <f t="shared" si="86"/>
        <v>0</v>
      </c>
      <c r="AD670" s="38"/>
      <c r="AE670" s="38"/>
      <c r="AF670" s="39">
        <f t="shared" si="87"/>
        <v>0</v>
      </c>
    </row>
    <row r="671" spans="2:32" ht="15" customHeight="1" x14ac:dyDescent="0.3">
      <c r="B671" s="2" t="s">
        <v>836</v>
      </c>
      <c r="C671" s="4" t="s">
        <v>1136</v>
      </c>
      <c r="D671" s="3" t="s">
        <v>1137</v>
      </c>
      <c r="E671" s="6" t="s">
        <v>1157</v>
      </c>
      <c r="F671" s="6" t="s">
        <v>1158</v>
      </c>
      <c r="G671" s="6" t="s">
        <v>716</v>
      </c>
      <c r="H671" s="25">
        <v>39000</v>
      </c>
      <c r="I671" s="38">
        <v>0</v>
      </c>
      <c r="J671" s="38">
        <v>0</v>
      </c>
      <c r="K671" s="39">
        <f t="shared" si="80"/>
        <v>0</v>
      </c>
      <c r="L671" s="38">
        <v>0</v>
      </c>
      <c r="M671" s="38">
        <v>0</v>
      </c>
      <c r="N671" s="39">
        <f t="shared" si="81"/>
        <v>0</v>
      </c>
      <c r="O671" s="38">
        <v>0</v>
      </c>
      <c r="P671" s="38">
        <v>0</v>
      </c>
      <c r="Q671" s="39">
        <f t="shared" si="82"/>
        <v>0</v>
      </c>
      <c r="R671" s="38">
        <v>0</v>
      </c>
      <c r="S671" s="38">
        <v>0</v>
      </c>
      <c r="T671" s="39">
        <f t="shared" si="83"/>
        <v>0</v>
      </c>
      <c r="U671" s="38">
        <v>0</v>
      </c>
      <c r="V671" s="38">
        <v>0</v>
      </c>
      <c r="W671" s="39">
        <f t="shared" si="84"/>
        <v>0</v>
      </c>
      <c r="X671" s="38"/>
      <c r="Y671" s="38"/>
      <c r="Z671" s="39">
        <f t="shared" si="85"/>
        <v>0</v>
      </c>
      <c r="AA671" s="38"/>
      <c r="AB671" s="38"/>
      <c r="AC671" s="39">
        <f t="shared" si="86"/>
        <v>0</v>
      </c>
      <c r="AD671" s="38"/>
      <c r="AE671" s="38"/>
      <c r="AF671" s="39">
        <f t="shared" si="87"/>
        <v>0</v>
      </c>
    </row>
    <row r="672" spans="2:32" ht="15" customHeight="1" x14ac:dyDescent="0.3">
      <c r="B672" s="2" t="s">
        <v>836</v>
      </c>
      <c r="C672" s="4" t="s">
        <v>1136</v>
      </c>
      <c r="D672" s="3" t="s">
        <v>1137</v>
      </c>
      <c r="E672" s="6" t="s">
        <v>1157</v>
      </c>
      <c r="F672" s="6" t="s">
        <v>1158</v>
      </c>
      <c r="G672" s="6" t="s">
        <v>709</v>
      </c>
      <c r="H672" s="25">
        <v>28000</v>
      </c>
      <c r="I672" s="38">
        <v>20</v>
      </c>
      <c r="J672" s="38">
        <v>5</v>
      </c>
      <c r="K672" s="39">
        <f t="shared" si="80"/>
        <v>2800000</v>
      </c>
      <c r="L672" s="38">
        <v>0</v>
      </c>
      <c r="M672" s="38">
        <v>0</v>
      </c>
      <c r="N672" s="39">
        <f t="shared" si="81"/>
        <v>0</v>
      </c>
      <c r="O672" s="38">
        <v>0</v>
      </c>
      <c r="P672" s="38">
        <v>0</v>
      </c>
      <c r="Q672" s="39">
        <f t="shared" si="82"/>
        <v>0</v>
      </c>
      <c r="R672" s="38">
        <v>0</v>
      </c>
      <c r="S672" s="38">
        <v>0</v>
      </c>
      <c r="T672" s="39">
        <f t="shared" si="83"/>
        <v>0</v>
      </c>
      <c r="U672" s="38">
        <v>0</v>
      </c>
      <c r="V672" s="38">
        <v>0</v>
      </c>
      <c r="W672" s="39">
        <f t="shared" si="84"/>
        <v>0</v>
      </c>
      <c r="X672" s="38"/>
      <c r="Y672" s="38"/>
      <c r="Z672" s="39">
        <f t="shared" si="85"/>
        <v>0</v>
      </c>
      <c r="AA672" s="38"/>
      <c r="AB672" s="38"/>
      <c r="AC672" s="39">
        <f t="shared" si="86"/>
        <v>0</v>
      </c>
      <c r="AD672" s="38"/>
      <c r="AE672" s="38"/>
      <c r="AF672" s="39">
        <f t="shared" si="87"/>
        <v>0</v>
      </c>
    </row>
    <row r="673" spans="2:32" ht="15" customHeight="1" x14ac:dyDescent="0.3">
      <c r="B673" s="2" t="s">
        <v>836</v>
      </c>
      <c r="C673" s="4" t="s">
        <v>1136</v>
      </c>
      <c r="D673" s="3" t="s">
        <v>1137</v>
      </c>
      <c r="E673" s="6" t="s">
        <v>1157</v>
      </c>
      <c r="F673" s="6" t="s">
        <v>1158</v>
      </c>
      <c r="G673" s="6" t="s">
        <v>712</v>
      </c>
      <c r="H673" s="25">
        <v>214.29</v>
      </c>
      <c r="I673" s="38">
        <v>20</v>
      </c>
      <c r="J673" s="38">
        <v>5</v>
      </c>
      <c r="K673" s="39">
        <f t="shared" si="80"/>
        <v>21429</v>
      </c>
      <c r="L673" s="38">
        <v>0</v>
      </c>
      <c r="M673" s="38">
        <v>0</v>
      </c>
      <c r="N673" s="39">
        <f t="shared" si="81"/>
        <v>0</v>
      </c>
      <c r="O673" s="38">
        <v>0</v>
      </c>
      <c r="P673" s="38">
        <v>0</v>
      </c>
      <c r="Q673" s="39">
        <f t="shared" si="82"/>
        <v>0</v>
      </c>
      <c r="R673" s="38">
        <v>0</v>
      </c>
      <c r="S673" s="38">
        <v>0</v>
      </c>
      <c r="T673" s="39">
        <f t="shared" si="83"/>
        <v>0</v>
      </c>
      <c r="U673" s="38">
        <v>0</v>
      </c>
      <c r="V673" s="38">
        <v>0</v>
      </c>
      <c r="W673" s="39">
        <f t="shared" si="84"/>
        <v>0</v>
      </c>
      <c r="X673" s="38"/>
      <c r="Y673" s="38"/>
      <c r="Z673" s="39">
        <f t="shared" si="85"/>
        <v>0</v>
      </c>
      <c r="AA673" s="38"/>
      <c r="AB673" s="38"/>
      <c r="AC673" s="39">
        <f t="shared" si="86"/>
        <v>0</v>
      </c>
      <c r="AD673" s="38"/>
      <c r="AE673" s="38"/>
      <c r="AF673" s="39">
        <f t="shared" si="87"/>
        <v>0</v>
      </c>
    </row>
    <row r="674" spans="2:32" ht="15" customHeight="1" x14ac:dyDescent="0.3">
      <c r="B674" s="2" t="s">
        <v>836</v>
      </c>
      <c r="C674" s="4" t="s">
        <v>1136</v>
      </c>
      <c r="D674" s="3" t="s">
        <v>1137</v>
      </c>
      <c r="E674" s="6" t="s">
        <v>1157</v>
      </c>
      <c r="F674" s="6" t="s">
        <v>1102</v>
      </c>
      <c r="G674" s="6" t="s">
        <v>841</v>
      </c>
      <c r="H674" s="25">
        <v>0</v>
      </c>
      <c r="I674" s="38">
        <v>20000</v>
      </c>
      <c r="J674" s="38">
        <v>1</v>
      </c>
      <c r="K674" s="39">
        <f t="shared" si="80"/>
        <v>0</v>
      </c>
      <c r="L674" s="38">
        <v>0</v>
      </c>
      <c r="M674" s="38">
        <v>0</v>
      </c>
      <c r="N674" s="39">
        <f t="shared" si="81"/>
        <v>0</v>
      </c>
      <c r="O674" s="38">
        <v>0</v>
      </c>
      <c r="P674" s="38">
        <v>0</v>
      </c>
      <c r="Q674" s="39">
        <f t="shared" si="82"/>
        <v>0</v>
      </c>
      <c r="R674" s="38">
        <v>0</v>
      </c>
      <c r="S674" s="38">
        <v>0</v>
      </c>
      <c r="T674" s="39">
        <f t="shared" si="83"/>
        <v>0</v>
      </c>
      <c r="U674" s="38">
        <v>0</v>
      </c>
      <c r="V674" s="38">
        <v>0</v>
      </c>
      <c r="W674" s="39">
        <f t="shared" si="84"/>
        <v>0</v>
      </c>
      <c r="X674" s="38"/>
      <c r="Y674" s="38"/>
      <c r="Z674" s="39">
        <f t="shared" si="85"/>
        <v>0</v>
      </c>
      <c r="AA674" s="38"/>
      <c r="AB674" s="38"/>
      <c r="AC674" s="39">
        <f t="shared" si="86"/>
        <v>0</v>
      </c>
      <c r="AD674" s="38"/>
      <c r="AE674" s="38"/>
      <c r="AF674" s="39">
        <f t="shared" si="87"/>
        <v>0</v>
      </c>
    </row>
    <row r="675" spans="2:32" ht="15" customHeight="1" x14ac:dyDescent="0.3">
      <c r="B675" s="2" t="s">
        <v>836</v>
      </c>
      <c r="C675" s="4" t="s">
        <v>1136</v>
      </c>
      <c r="D675" s="3" t="s">
        <v>1137</v>
      </c>
      <c r="E675" s="6" t="s">
        <v>1157</v>
      </c>
      <c r="F675" s="6" t="s">
        <v>149</v>
      </c>
      <c r="G675" s="6" t="s">
        <v>707</v>
      </c>
      <c r="H675" s="25">
        <v>391991.03749999998</v>
      </c>
      <c r="I675" s="38">
        <v>5</v>
      </c>
      <c r="J675" s="38">
        <v>14</v>
      </c>
      <c r="K675" s="39">
        <f t="shared" si="80"/>
        <v>27439372.625</v>
      </c>
      <c r="L675" s="38">
        <v>0</v>
      </c>
      <c r="M675" s="38">
        <v>0</v>
      </c>
      <c r="N675" s="39">
        <f t="shared" si="81"/>
        <v>0</v>
      </c>
      <c r="O675" s="38">
        <v>0</v>
      </c>
      <c r="P675" s="38">
        <v>0</v>
      </c>
      <c r="Q675" s="39">
        <f t="shared" si="82"/>
        <v>0</v>
      </c>
      <c r="R675" s="38">
        <v>0</v>
      </c>
      <c r="S675" s="38">
        <v>0</v>
      </c>
      <c r="T675" s="39">
        <f t="shared" si="83"/>
        <v>0</v>
      </c>
      <c r="U675" s="38">
        <v>0</v>
      </c>
      <c r="V675" s="38">
        <v>0</v>
      </c>
      <c r="W675" s="39">
        <f t="shared" si="84"/>
        <v>0</v>
      </c>
      <c r="X675" s="38"/>
      <c r="Y675" s="38"/>
      <c r="Z675" s="39">
        <f t="shared" si="85"/>
        <v>0</v>
      </c>
      <c r="AA675" s="38"/>
      <c r="AB675" s="38"/>
      <c r="AC675" s="39">
        <f t="shared" si="86"/>
        <v>0</v>
      </c>
      <c r="AD675" s="38"/>
      <c r="AE675" s="38"/>
      <c r="AF675" s="39">
        <f t="shared" si="87"/>
        <v>0</v>
      </c>
    </row>
    <row r="676" spans="2:32" ht="15" customHeight="1" x14ac:dyDescent="0.3">
      <c r="B676" s="2" t="s">
        <v>836</v>
      </c>
      <c r="C676" s="4" t="s">
        <v>1136</v>
      </c>
      <c r="D676" s="3" t="s">
        <v>1137</v>
      </c>
      <c r="E676" s="6" t="s">
        <v>1157</v>
      </c>
      <c r="F676" s="6" t="s">
        <v>149</v>
      </c>
      <c r="G676" s="6" t="s">
        <v>708</v>
      </c>
      <c r="H676" s="25">
        <v>425000</v>
      </c>
      <c r="I676" s="38">
        <v>1</v>
      </c>
      <c r="J676" s="38">
        <v>4</v>
      </c>
      <c r="K676" s="39">
        <f t="shared" si="80"/>
        <v>1700000</v>
      </c>
      <c r="L676" s="38">
        <v>0</v>
      </c>
      <c r="M676" s="38">
        <v>0</v>
      </c>
      <c r="N676" s="39">
        <f t="shared" si="81"/>
        <v>0</v>
      </c>
      <c r="O676" s="38">
        <v>0</v>
      </c>
      <c r="P676" s="38">
        <v>0</v>
      </c>
      <c r="Q676" s="39">
        <f t="shared" si="82"/>
        <v>0</v>
      </c>
      <c r="R676" s="38">
        <v>0</v>
      </c>
      <c r="S676" s="38">
        <v>0</v>
      </c>
      <c r="T676" s="39">
        <f t="shared" si="83"/>
        <v>0</v>
      </c>
      <c r="U676" s="38">
        <v>0</v>
      </c>
      <c r="V676" s="38">
        <v>0</v>
      </c>
      <c r="W676" s="39">
        <f t="shared" si="84"/>
        <v>0</v>
      </c>
      <c r="X676" s="38"/>
      <c r="Y676" s="38"/>
      <c r="Z676" s="39">
        <f t="shared" si="85"/>
        <v>0</v>
      </c>
      <c r="AA676" s="38"/>
      <c r="AB676" s="38"/>
      <c r="AC676" s="39">
        <f t="shared" si="86"/>
        <v>0</v>
      </c>
      <c r="AD676" s="38"/>
      <c r="AE676" s="38"/>
      <c r="AF676" s="39">
        <f t="shared" si="87"/>
        <v>0</v>
      </c>
    </row>
    <row r="677" spans="2:32" ht="15" customHeight="1" x14ac:dyDescent="0.3">
      <c r="B677" s="2" t="s">
        <v>836</v>
      </c>
      <c r="C677" s="4" t="s">
        <v>1136</v>
      </c>
      <c r="D677" s="3" t="s">
        <v>1137</v>
      </c>
      <c r="E677" s="6" t="s">
        <v>1157</v>
      </c>
      <c r="F677" s="6" t="s">
        <v>174</v>
      </c>
      <c r="G677" s="6" t="s">
        <v>841</v>
      </c>
      <c r="H677" s="25">
        <v>0</v>
      </c>
      <c r="I677" s="38">
        <v>1</v>
      </c>
      <c r="J677" s="38">
        <v>40</v>
      </c>
      <c r="K677" s="39">
        <f t="shared" si="80"/>
        <v>0</v>
      </c>
      <c r="L677" s="38">
        <v>0</v>
      </c>
      <c r="M677" s="38">
        <v>0</v>
      </c>
      <c r="N677" s="39">
        <f t="shared" si="81"/>
        <v>0</v>
      </c>
      <c r="O677" s="38">
        <v>0</v>
      </c>
      <c r="P677" s="38">
        <v>0</v>
      </c>
      <c r="Q677" s="39">
        <f t="shared" si="82"/>
        <v>0</v>
      </c>
      <c r="R677" s="38">
        <v>0</v>
      </c>
      <c r="S677" s="38">
        <v>0</v>
      </c>
      <c r="T677" s="39">
        <f t="shared" si="83"/>
        <v>0</v>
      </c>
      <c r="U677" s="38">
        <v>0</v>
      </c>
      <c r="V677" s="38">
        <v>0</v>
      </c>
      <c r="W677" s="39">
        <f t="shared" si="84"/>
        <v>0</v>
      </c>
      <c r="X677" s="38"/>
      <c r="Y677" s="38"/>
      <c r="Z677" s="39">
        <f t="shared" si="85"/>
        <v>0</v>
      </c>
      <c r="AA677" s="38"/>
      <c r="AB677" s="38"/>
      <c r="AC677" s="39">
        <f t="shared" si="86"/>
        <v>0</v>
      </c>
      <c r="AD677" s="38"/>
      <c r="AE677" s="38"/>
      <c r="AF677" s="39">
        <f t="shared" si="87"/>
        <v>0</v>
      </c>
    </row>
    <row r="678" spans="2:32" ht="15" customHeight="1" x14ac:dyDescent="0.3">
      <c r="B678" s="2" t="s">
        <v>836</v>
      </c>
      <c r="C678" s="4" t="s">
        <v>1136</v>
      </c>
      <c r="D678" s="3" t="s">
        <v>1137</v>
      </c>
      <c r="E678" s="6" t="s">
        <v>1157</v>
      </c>
      <c r="F678" s="6" t="s">
        <v>1015</v>
      </c>
      <c r="G678" s="6" t="s">
        <v>709</v>
      </c>
      <c r="H678" s="25">
        <v>28000</v>
      </c>
      <c r="I678" s="38">
        <v>5</v>
      </c>
      <c r="J678" s="38">
        <v>5</v>
      </c>
      <c r="K678" s="39">
        <f t="shared" si="80"/>
        <v>700000</v>
      </c>
      <c r="L678" s="38">
        <v>0</v>
      </c>
      <c r="M678" s="38">
        <v>0</v>
      </c>
      <c r="N678" s="39">
        <f t="shared" si="81"/>
        <v>0</v>
      </c>
      <c r="O678" s="38">
        <v>0</v>
      </c>
      <c r="P678" s="38">
        <v>0</v>
      </c>
      <c r="Q678" s="39">
        <f t="shared" si="82"/>
        <v>0</v>
      </c>
      <c r="R678" s="38">
        <v>0</v>
      </c>
      <c r="S678" s="38">
        <v>0</v>
      </c>
      <c r="T678" s="39">
        <f t="shared" si="83"/>
        <v>0</v>
      </c>
      <c r="U678" s="38">
        <v>0</v>
      </c>
      <c r="V678" s="38">
        <v>0</v>
      </c>
      <c r="W678" s="39">
        <f t="shared" si="84"/>
        <v>0</v>
      </c>
      <c r="X678" s="38"/>
      <c r="Y678" s="38"/>
      <c r="Z678" s="39">
        <f t="shared" si="85"/>
        <v>0</v>
      </c>
      <c r="AA678" s="38"/>
      <c r="AB678" s="38"/>
      <c r="AC678" s="39">
        <f t="shared" si="86"/>
        <v>0</v>
      </c>
      <c r="AD678" s="38"/>
      <c r="AE678" s="38"/>
      <c r="AF678" s="39">
        <f t="shared" si="87"/>
        <v>0</v>
      </c>
    </row>
    <row r="679" spans="2:32" ht="15" customHeight="1" x14ac:dyDescent="0.3">
      <c r="B679" s="2" t="s">
        <v>836</v>
      </c>
      <c r="C679" s="4" t="s">
        <v>1136</v>
      </c>
      <c r="D679" s="3" t="s">
        <v>1137</v>
      </c>
      <c r="E679" s="6" t="s">
        <v>1157</v>
      </c>
      <c r="F679" s="6" t="s">
        <v>1015</v>
      </c>
      <c r="G679" s="6" t="s">
        <v>711</v>
      </c>
      <c r="H679" s="25">
        <v>70</v>
      </c>
      <c r="I679" s="38">
        <v>25</v>
      </c>
      <c r="J679" s="38">
        <v>3</v>
      </c>
      <c r="K679" s="39">
        <f t="shared" si="80"/>
        <v>5250</v>
      </c>
      <c r="L679" s="38">
        <v>0</v>
      </c>
      <c r="M679" s="38">
        <v>0</v>
      </c>
      <c r="N679" s="39">
        <f t="shared" si="81"/>
        <v>0</v>
      </c>
      <c r="O679" s="38">
        <v>0</v>
      </c>
      <c r="P679" s="38">
        <v>0</v>
      </c>
      <c r="Q679" s="39">
        <f t="shared" si="82"/>
        <v>0</v>
      </c>
      <c r="R679" s="38">
        <v>0</v>
      </c>
      <c r="S679" s="38">
        <v>0</v>
      </c>
      <c r="T679" s="39">
        <f t="shared" si="83"/>
        <v>0</v>
      </c>
      <c r="U679" s="38">
        <v>0</v>
      </c>
      <c r="V679" s="38">
        <v>0</v>
      </c>
      <c r="W679" s="39">
        <f t="shared" si="84"/>
        <v>0</v>
      </c>
      <c r="X679" s="38"/>
      <c r="Y679" s="38"/>
      <c r="Z679" s="39">
        <f t="shared" si="85"/>
        <v>0</v>
      </c>
      <c r="AA679" s="38"/>
      <c r="AB679" s="38"/>
      <c r="AC679" s="39">
        <f t="shared" si="86"/>
        <v>0</v>
      </c>
      <c r="AD679" s="38"/>
      <c r="AE679" s="38"/>
      <c r="AF679" s="39">
        <f t="shared" si="87"/>
        <v>0</v>
      </c>
    </row>
    <row r="680" spans="2:32" ht="15" customHeight="1" x14ac:dyDescent="0.3">
      <c r="B680" s="2" t="s">
        <v>836</v>
      </c>
      <c r="C680" s="4" t="s">
        <v>1136</v>
      </c>
      <c r="D680" s="3" t="s">
        <v>1137</v>
      </c>
      <c r="E680" s="6" t="s">
        <v>1157</v>
      </c>
      <c r="F680" s="6" t="s">
        <v>1015</v>
      </c>
      <c r="G680" s="6" t="s">
        <v>710</v>
      </c>
      <c r="H680" s="25">
        <v>104850</v>
      </c>
      <c r="I680" s="38">
        <v>5000</v>
      </c>
      <c r="J680" s="38">
        <v>1</v>
      </c>
      <c r="K680" s="39">
        <f t="shared" si="80"/>
        <v>524250000</v>
      </c>
      <c r="L680" s="38">
        <v>0</v>
      </c>
      <c r="M680" s="38">
        <v>0</v>
      </c>
      <c r="N680" s="39">
        <f t="shared" si="81"/>
        <v>0</v>
      </c>
      <c r="O680" s="38">
        <v>0</v>
      </c>
      <c r="P680" s="38">
        <v>0</v>
      </c>
      <c r="Q680" s="39">
        <f t="shared" si="82"/>
        <v>0</v>
      </c>
      <c r="R680" s="38">
        <v>0</v>
      </c>
      <c r="S680" s="38">
        <v>0</v>
      </c>
      <c r="T680" s="39">
        <f t="shared" si="83"/>
        <v>0</v>
      </c>
      <c r="U680" s="38">
        <v>0</v>
      </c>
      <c r="V680" s="38">
        <v>0</v>
      </c>
      <c r="W680" s="39">
        <f t="shared" si="84"/>
        <v>0</v>
      </c>
      <c r="X680" s="38"/>
      <c r="Y680" s="38"/>
      <c r="Z680" s="39">
        <f t="shared" si="85"/>
        <v>0</v>
      </c>
      <c r="AA680" s="38"/>
      <c r="AB680" s="38"/>
      <c r="AC680" s="39">
        <f t="shared" si="86"/>
        <v>0</v>
      </c>
      <c r="AD680" s="38"/>
      <c r="AE680" s="38"/>
      <c r="AF680" s="39">
        <f t="shared" si="87"/>
        <v>0</v>
      </c>
    </row>
    <row r="681" spans="2:32" ht="15" customHeight="1" x14ac:dyDescent="0.3">
      <c r="B681" s="2" t="s">
        <v>836</v>
      </c>
      <c r="C681" s="4" t="s">
        <v>1136</v>
      </c>
      <c r="D681" s="3" t="s">
        <v>1137</v>
      </c>
      <c r="E681" s="6" t="s">
        <v>1157</v>
      </c>
      <c r="F681" s="6" t="s">
        <v>1159</v>
      </c>
      <c r="G681" s="6" t="s">
        <v>713</v>
      </c>
      <c r="H681" s="25">
        <v>45000</v>
      </c>
      <c r="I681" s="38">
        <v>1</v>
      </c>
      <c r="J681" s="38">
        <v>1</v>
      </c>
      <c r="K681" s="39">
        <f t="shared" si="80"/>
        <v>45000</v>
      </c>
      <c r="L681" s="38">
        <v>0</v>
      </c>
      <c r="M681" s="38">
        <v>0</v>
      </c>
      <c r="N681" s="39">
        <f t="shared" si="81"/>
        <v>0</v>
      </c>
      <c r="O681" s="38">
        <v>0</v>
      </c>
      <c r="P681" s="38">
        <v>0</v>
      </c>
      <c r="Q681" s="39">
        <f t="shared" si="82"/>
        <v>0</v>
      </c>
      <c r="R681" s="38">
        <v>0</v>
      </c>
      <c r="S681" s="38">
        <v>0</v>
      </c>
      <c r="T681" s="39">
        <f t="shared" si="83"/>
        <v>0</v>
      </c>
      <c r="U681" s="38">
        <v>0</v>
      </c>
      <c r="V681" s="38">
        <v>0</v>
      </c>
      <c r="W681" s="39">
        <f t="shared" si="84"/>
        <v>0</v>
      </c>
      <c r="X681" s="38"/>
      <c r="Y681" s="38"/>
      <c r="Z681" s="39">
        <f t="shared" si="85"/>
        <v>0</v>
      </c>
      <c r="AA681" s="38"/>
      <c r="AB681" s="38"/>
      <c r="AC681" s="39">
        <f t="shared" si="86"/>
        <v>0</v>
      </c>
      <c r="AD681" s="38"/>
      <c r="AE681" s="38"/>
      <c r="AF681" s="39">
        <f t="shared" si="87"/>
        <v>0</v>
      </c>
    </row>
    <row r="682" spans="2:32" ht="15" customHeight="1" x14ac:dyDescent="0.3">
      <c r="B682" s="2" t="s">
        <v>836</v>
      </c>
      <c r="C682" s="4" t="s">
        <v>1136</v>
      </c>
      <c r="D682" s="3" t="s">
        <v>1137</v>
      </c>
      <c r="E682" s="6" t="s">
        <v>1157</v>
      </c>
      <c r="F682" s="6" t="s">
        <v>1159</v>
      </c>
      <c r="G682" s="6" t="s">
        <v>712</v>
      </c>
      <c r="H682" s="25">
        <v>214.29</v>
      </c>
      <c r="I682" s="38">
        <v>25</v>
      </c>
      <c r="J682" s="38">
        <v>1</v>
      </c>
      <c r="K682" s="39">
        <f t="shared" si="80"/>
        <v>5357.25</v>
      </c>
      <c r="L682" s="38">
        <v>0</v>
      </c>
      <c r="M682" s="38">
        <v>0</v>
      </c>
      <c r="N682" s="39">
        <f t="shared" si="81"/>
        <v>0</v>
      </c>
      <c r="O682" s="38">
        <v>0</v>
      </c>
      <c r="P682" s="38">
        <v>0</v>
      </c>
      <c r="Q682" s="39">
        <f t="shared" si="82"/>
        <v>0</v>
      </c>
      <c r="R682" s="38">
        <v>0</v>
      </c>
      <c r="S682" s="38">
        <v>0</v>
      </c>
      <c r="T682" s="39">
        <f t="shared" si="83"/>
        <v>0</v>
      </c>
      <c r="U682" s="38">
        <v>0</v>
      </c>
      <c r="V682" s="38">
        <v>0</v>
      </c>
      <c r="W682" s="39">
        <f t="shared" si="84"/>
        <v>0</v>
      </c>
      <c r="X682" s="38"/>
      <c r="Y682" s="38"/>
      <c r="Z682" s="39">
        <f t="shared" si="85"/>
        <v>0</v>
      </c>
      <c r="AA682" s="38"/>
      <c r="AB682" s="38"/>
      <c r="AC682" s="39">
        <f t="shared" si="86"/>
        <v>0</v>
      </c>
      <c r="AD682" s="38"/>
      <c r="AE682" s="38"/>
      <c r="AF682" s="39">
        <f t="shared" si="87"/>
        <v>0</v>
      </c>
    </row>
    <row r="683" spans="2:32" ht="15" customHeight="1" x14ac:dyDescent="0.3">
      <c r="B683" s="2" t="s">
        <v>836</v>
      </c>
      <c r="C683" s="4" t="s">
        <v>1136</v>
      </c>
      <c r="D683" s="3" t="s">
        <v>1137</v>
      </c>
      <c r="E683" s="6" t="s">
        <v>1157</v>
      </c>
      <c r="F683" s="6" t="s">
        <v>1160</v>
      </c>
      <c r="G683" s="6" t="s">
        <v>713</v>
      </c>
      <c r="H683" s="25">
        <v>45000</v>
      </c>
      <c r="I683" s="38">
        <v>4000</v>
      </c>
      <c r="J683" s="38">
        <v>1</v>
      </c>
      <c r="K683" s="39">
        <f t="shared" si="80"/>
        <v>180000000</v>
      </c>
      <c r="L683" s="38">
        <v>0</v>
      </c>
      <c r="M683" s="38">
        <v>0</v>
      </c>
      <c r="N683" s="39">
        <f t="shared" si="81"/>
        <v>0</v>
      </c>
      <c r="O683" s="38">
        <v>0</v>
      </c>
      <c r="P683" s="38">
        <v>0</v>
      </c>
      <c r="Q683" s="39">
        <f t="shared" si="82"/>
        <v>0</v>
      </c>
      <c r="R683" s="38">
        <v>0</v>
      </c>
      <c r="S683" s="38">
        <v>0</v>
      </c>
      <c r="T683" s="39">
        <f t="shared" si="83"/>
        <v>0</v>
      </c>
      <c r="U683" s="38">
        <v>0</v>
      </c>
      <c r="V683" s="38">
        <v>0</v>
      </c>
      <c r="W683" s="39">
        <f t="shared" si="84"/>
        <v>0</v>
      </c>
      <c r="X683" s="38"/>
      <c r="Y683" s="38"/>
      <c r="Z683" s="39">
        <f t="shared" si="85"/>
        <v>0</v>
      </c>
      <c r="AA683" s="38"/>
      <c r="AB683" s="38"/>
      <c r="AC683" s="39">
        <f t="shared" si="86"/>
        <v>0</v>
      </c>
      <c r="AD683" s="38"/>
      <c r="AE683" s="38"/>
      <c r="AF683" s="39">
        <f t="shared" si="87"/>
        <v>0</v>
      </c>
    </row>
    <row r="684" spans="2:32" ht="15" customHeight="1" x14ac:dyDescent="0.3">
      <c r="B684" s="2" t="s">
        <v>836</v>
      </c>
      <c r="C684" s="4" t="s">
        <v>1136</v>
      </c>
      <c r="D684" s="3" t="s">
        <v>1137</v>
      </c>
      <c r="E684" s="6" t="s">
        <v>1157</v>
      </c>
      <c r="F684" s="6" t="s">
        <v>1160</v>
      </c>
      <c r="G684" s="6" t="s">
        <v>712</v>
      </c>
      <c r="H684" s="25">
        <v>214.29</v>
      </c>
      <c r="I684" s="38">
        <v>25</v>
      </c>
      <c r="J684" s="38">
        <v>10</v>
      </c>
      <c r="K684" s="39">
        <f t="shared" si="80"/>
        <v>53572.5</v>
      </c>
      <c r="L684" s="38">
        <v>0</v>
      </c>
      <c r="M684" s="38">
        <v>0</v>
      </c>
      <c r="N684" s="39">
        <f t="shared" si="81"/>
        <v>0</v>
      </c>
      <c r="O684" s="38">
        <v>0</v>
      </c>
      <c r="P684" s="38">
        <v>0</v>
      </c>
      <c r="Q684" s="39">
        <f t="shared" si="82"/>
        <v>0</v>
      </c>
      <c r="R684" s="38">
        <v>0</v>
      </c>
      <c r="S684" s="38">
        <v>0</v>
      </c>
      <c r="T684" s="39">
        <f t="shared" si="83"/>
        <v>0</v>
      </c>
      <c r="U684" s="38">
        <v>0</v>
      </c>
      <c r="V684" s="38">
        <v>0</v>
      </c>
      <c r="W684" s="39">
        <f t="shared" si="84"/>
        <v>0</v>
      </c>
      <c r="X684" s="38"/>
      <c r="Y684" s="38"/>
      <c r="Z684" s="39">
        <f t="shared" si="85"/>
        <v>0</v>
      </c>
      <c r="AA684" s="38"/>
      <c r="AB684" s="38"/>
      <c r="AC684" s="39">
        <f t="shared" si="86"/>
        <v>0</v>
      </c>
      <c r="AD684" s="38"/>
      <c r="AE684" s="38"/>
      <c r="AF684" s="39">
        <f t="shared" si="87"/>
        <v>0</v>
      </c>
    </row>
    <row r="685" spans="2:32" ht="15" customHeight="1" x14ac:dyDescent="0.3">
      <c r="B685" s="2" t="s">
        <v>836</v>
      </c>
      <c r="C685" s="4" t="s">
        <v>1136</v>
      </c>
      <c r="D685" s="3" t="s">
        <v>1137</v>
      </c>
      <c r="E685" s="6" t="s">
        <v>1157</v>
      </c>
      <c r="F685" s="6" t="s">
        <v>1160</v>
      </c>
      <c r="G685" s="6" t="s">
        <v>714</v>
      </c>
      <c r="H685" s="25">
        <v>10000</v>
      </c>
      <c r="I685" s="38">
        <v>20000</v>
      </c>
      <c r="J685" s="38"/>
      <c r="K685" s="39">
        <f t="shared" si="80"/>
        <v>0</v>
      </c>
      <c r="L685" s="38">
        <v>0</v>
      </c>
      <c r="M685" s="38">
        <v>0</v>
      </c>
      <c r="N685" s="39">
        <f t="shared" si="81"/>
        <v>0</v>
      </c>
      <c r="O685" s="38">
        <v>0</v>
      </c>
      <c r="P685" s="38">
        <v>0</v>
      </c>
      <c r="Q685" s="39">
        <f t="shared" si="82"/>
        <v>0</v>
      </c>
      <c r="R685" s="38">
        <v>0</v>
      </c>
      <c r="S685" s="38">
        <v>0</v>
      </c>
      <c r="T685" s="39">
        <f t="shared" si="83"/>
        <v>0</v>
      </c>
      <c r="U685" s="38">
        <v>0</v>
      </c>
      <c r="V685" s="38">
        <v>0</v>
      </c>
      <c r="W685" s="39">
        <f t="shared" si="84"/>
        <v>0</v>
      </c>
      <c r="X685" s="38"/>
      <c r="Y685" s="38"/>
      <c r="Z685" s="39">
        <f t="shared" si="85"/>
        <v>0</v>
      </c>
      <c r="AA685" s="38"/>
      <c r="AB685" s="38"/>
      <c r="AC685" s="39">
        <f t="shared" si="86"/>
        <v>0</v>
      </c>
      <c r="AD685" s="38"/>
      <c r="AE685" s="38"/>
      <c r="AF685" s="39">
        <f t="shared" si="87"/>
        <v>0</v>
      </c>
    </row>
    <row r="686" spans="2:32" ht="15" customHeight="1" x14ac:dyDescent="0.3">
      <c r="B686" s="2" t="s">
        <v>836</v>
      </c>
      <c r="C686" s="4" t="s">
        <v>1136</v>
      </c>
      <c r="D686" s="3" t="s">
        <v>1137</v>
      </c>
      <c r="E686" s="6" t="s">
        <v>1157</v>
      </c>
      <c r="F686" s="6" t="s">
        <v>1004</v>
      </c>
      <c r="G686" s="6" t="s">
        <v>709</v>
      </c>
      <c r="H686" s="25">
        <v>28000</v>
      </c>
      <c r="I686" s="38">
        <v>15</v>
      </c>
      <c r="J686" s="38">
        <v>1</v>
      </c>
      <c r="K686" s="39">
        <f t="shared" si="80"/>
        <v>420000</v>
      </c>
      <c r="L686" s="38">
        <v>0</v>
      </c>
      <c r="M686" s="38">
        <v>0</v>
      </c>
      <c r="N686" s="39">
        <f t="shared" si="81"/>
        <v>0</v>
      </c>
      <c r="O686" s="38">
        <v>0</v>
      </c>
      <c r="P686" s="38">
        <v>0</v>
      </c>
      <c r="Q686" s="39">
        <f t="shared" si="82"/>
        <v>0</v>
      </c>
      <c r="R686" s="38">
        <v>0</v>
      </c>
      <c r="S686" s="38">
        <v>0</v>
      </c>
      <c r="T686" s="39">
        <f t="shared" si="83"/>
        <v>0</v>
      </c>
      <c r="U686" s="38">
        <v>0</v>
      </c>
      <c r="V686" s="38">
        <v>0</v>
      </c>
      <c r="W686" s="39">
        <f t="shared" si="84"/>
        <v>0</v>
      </c>
      <c r="X686" s="38"/>
      <c r="Y686" s="38"/>
      <c r="Z686" s="39">
        <f t="shared" si="85"/>
        <v>0</v>
      </c>
      <c r="AA686" s="38"/>
      <c r="AB686" s="38"/>
      <c r="AC686" s="39">
        <f t="shared" si="86"/>
        <v>0</v>
      </c>
      <c r="AD686" s="38"/>
      <c r="AE686" s="38"/>
      <c r="AF686" s="39">
        <f t="shared" si="87"/>
        <v>0</v>
      </c>
    </row>
    <row r="687" spans="2:32" ht="15" customHeight="1" x14ac:dyDescent="0.3">
      <c r="B687" s="2" t="s">
        <v>836</v>
      </c>
      <c r="C687" s="4" t="s">
        <v>1136</v>
      </c>
      <c r="D687" s="3" t="s">
        <v>1137</v>
      </c>
      <c r="E687" s="6" t="s">
        <v>1157</v>
      </c>
      <c r="F687" s="6" t="s">
        <v>1004</v>
      </c>
      <c r="G687" s="6" t="s">
        <v>716</v>
      </c>
      <c r="H687" s="25">
        <v>39000</v>
      </c>
      <c r="I687" s="38">
        <v>25</v>
      </c>
      <c r="J687" s="38">
        <v>5</v>
      </c>
      <c r="K687" s="39">
        <f t="shared" si="80"/>
        <v>4875000</v>
      </c>
      <c r="L687" s="38">
        <v>0</v>
      </c>
      <c r="M687" s="38">
        <v>0</v>
      </c>
      <c r="N687" s="39">
        <f t="shared" si="81"/>
        <v>0</v>
      </c>
      <c r="O687" s="38">
        <v>0</v>
      </c>
      <c r="P687" s="38">
        <v>0</v>
      </c>
      <c r="Q687" s="39">
        <f t="shared" si="82"/>
        <v>0</v>
      </c>
      <c r="R687" s="38">
        <v>0</v>
      </c>
      <c r="S687" s="38">
        <v>0</v>
      </c>
      <c r="T687" s="39">
        <f t="shared" si="83"/>
        <v>0</v>
      </c>
      <c r="U687" s="38">
        <v>0</v>
      </c>
      <c r="V687" s="38">
        <v>0</v>
      </c>
      <c r="W687" s="39">
        <f t="shared" si="84"/>
        <v>0</v>
      </c>
      <c r="X687" s="38"/>
      <c r="Y687" s="38"/>
      <c r="Z687" s="39">
        <f t="shared" si="85"/>
        <v>0</v>
      </c>
      <c r="AA687" s="38"/>
      <c r="AB687" s="38"/>
      <c r="AC687" s="39">
        <f t="shared" si="86"/>
        <v>0</v>
      </c>
      <c r="AD687" s="38"/>
      <c r="AE687" s="38"/>
      <c r="AF687" s="39">
        <f t="shared" si="87"/>
        <v>0</v>
      </c>
    </row>
    <row r="688" spans="2:32" ht="15" customHeight="1" x14ac:dyDescent="0.3">
      <c r="B688" s="2" t="s">
        <v>836</v>
      </c>
      <c r="C688" s="4" t="s">
        <v>1136</v>
      </c>
      <c r="D688" s="3" t="s">
        <v>1137</v>
      </c>
      <c r="E688" s="6" t="s">
        <v>1157</v>
      </c>
      <c r="F688" s="6" t="s">
        <v>1004</v>
      </c>
      <c r="G688" s="6" t="s">
        <v>712</v>
      </c>
      <c r="H688" s="25">
        <v>214.29</v>
      </c>
      <c r="I688" s="38">
        <v>25</v>
      </c>
      <c r="J688" s="38">
        <v>5</v>
      </c>
      <c r="K688" s="39">
        <f t="shared" si="80"/>
        <v>26786.25</v>
      </c>
      <c r="L688" s="38">
        <v>0</v>
      </c>
      <c r="M688" s="38">
        <v>0</v>
      </c>
      <c r="N688" s="39">
        <f t="shared" si="81"/>
        <v>0</v>
      </c>
      <c r="O688" s="38">
        <v>0</v>
      </c>
      <c r="P688" s="38">
        <v>0</v>
      </c>
      <c r="Q688" s="39">
        <f t="shared" si="82"/>
        <v>0</v>
      </c>
      <c r="R688" s="38">
        <v>0</v>
      </c>
      <c r="S688" s="38">
        <v>0</v>
      </c>
      <c r="T688" s="39">
        <f t="shared" si="83"/>
        <v>0</v>
      </c>
      <c r="U688" s="38">
        <v>0</v>
      </c>
      <c r="V688" s="38">
        <v>0</v>
      </c>
      <c r="W688" s="39">
        <f t="shared" si="84"/>
        <v>0</v>
      </c>
      <c r="X688" s="38"/>
      <c r="Y688" s="38"/>
      <c r="Z688" s="39">
        <f t="shared" si="85"/>
        <v>0</v>
      </c>
      <c r="AA688" s="38"/>
      <c r="AB688" s="38"/>
      <c r="AC688" s="39">
        <f t="shared" si="86"/>
        <v>0</v>
      </c>
      <c r="AD688" s="38"/>
      <c r="AE688" s="38"/>
      <c r="AF688" s="39">
        <f t="shared" si="87"/>
        <v>0</v>
      </c>
    </row>
    <row r="689" spans="2:32" ht="15" customHeight="1" x14ac:dyDescent="0.3">
      <c r="B689" s="2" t="s">
        <v>836</v>
      </c>
      <c r="C689" s="4" t="s">
        <v>1136</v>
      </c>
      <c r="D689" s="3" t="s">
        <v>1137</v>
      </c>
      <c r="E689" s="6" t="s">
        <v>1157</v>
      </c>
      <c r="F689" s="6" t="s">
        <v>1161</v>
      </c>
      <c r="G689" s="6" t="s">
        <v>841</v>
      </c>
      <c r="H689" s="25">
        <v>0</v>
      </c>
      <c r="I689" s="38">
        <v>4000</v>
      </c>
      <c r="J689" s="38">
        <v>1</v>
      </c>
      <c r="K689" s="39">
        <f t="shared" si="80"/>
        <v>0</v>
      </c>
      <c r="L689" s="38">
        <v>0</v>
      </c>
      <c r="M689" s="38">
        <v>0</v>
      </c>
      <c r="N689" s="39">
        <f t="shared" si="81"/>
        <v>0</v>
      </c>
      <c r="O689" s="38">
        <v>0</v>
      </c>
      <c r="P689" s="38">
        <v>0</v>
      </c>
      <c r="Q689" s="39">
        <f t="shared" si="82"/>
        <v>0</v>
      </c>
      <c r="R689" s="38">
        <v>0</v>
      </c>
      <c r="S689" s="38">
        <v>0</v>
      </c>
      <c r="T689" s="39">
        <f t="shared" si="83"/>
        <v>0</v>
      </c>
      <c r="U689" s="38">
        <v>0</v>
      </c>
      <c r="V689" s="38">
        <v>0</v>
      </c>
      <c r="W689" s="39">
        <f t="shared" si="84"/>
        <v>0</v>
      </c>
      <c r="X689" s="38"/>
      <c r="Y689" s="38"/>
      <c r="Z689" s="39">
        <f t="shared" si="85"/>
        <v>0</v>
      </c>
      <c r="AA689" s="38"/>
      <c r="AB689" s="38"/>
      <c r="AC689" s="39">
        <f t="shared" si="86"/>
        <v>0</v>
      </c>
      <c r="AD689" s="38"/>
      <c r="AE689" s="38"/>
      <c r="AF689" s="39">
        <f t="shared" si="87"/>
        <v>0</v>
      </c>
    </row>
    <row r="690" spans="2:32" ht="15" customHeight="1" x14ac:dyDescent="0.3">
      <c r="B690" s="2" t="s">
        <v>836</v>
      </c>
      <c r="C690" s="4" t="s">
        <v>1136</v>
      </c>
      <c r="D690" s="3" t="s">
        <v>1137</v>
      </c>
      <c r="E690" s="6" t="s">
        <v>1157</v>
      </c>
      <c r="F690" s="6" t="s">
        <v>177</v>
      </c>
      <c r="G690" s="6" t="s">
        <v>709</v>
      </c>
      <c r="H690" s="25">
        <v>28000</v>
      </c>
      <c r="I690" s="38">
        <v>4000</v>
      </c>
      <c r="J690" s="38">
        <v>1</v>
      </c>
      <c r="K690" s="39">
        <f t="shared" si="80"/>
        <v>112000000</v>
      </c>
      <c r="L690" s="38">
        <v>0</v>
      </c>
      <c r="M690" s="38">
        <v>0</v>
      </c>
      <c r="N690" s="39">
        <f t="shared" si="81"/>
        <v>0</v>
      </c>
      <c r="O690" s="38">
        <v>0</v>
      </c>
      <c r="P690" s="38">
        <v>0</v>
      </c>
      <c r="Q690" s="39">
        <f t="shared" si="82"/>
        <v>0</v>
      </c>
      <c r="R690" s="38">
        <v>0</v>
      </c>
      <c r="S690" s="38">
        <v>0</v>
      </c>
      <c r="T690" s="39">
        <f t="shared" si="83"/>
        <v>0</v>
      </c>
      <c r="U690" s="38">
        <v>0</v>
      </c>
      <c r="V690" s="38">
        <v>0</v>
      </c>
      <c r="W690" s="39">
        <f t="shared" si="84"/>
        <v>0</v>
      </c>
      <c r="X690" s="38"/>
      <c r="Y690" s="38"/>
      <c r="Z690" s="39">
        <f t="shared" si="85"/>
        <v>0</v>
      </c>
      <c r="AA690" s="38"/>
      <c r="AB690" s="38"/>
      <c r="AC690" s="39">
        <f t="shared" si="86"/>
        <v>0</v>
      </c>
      <c r="AD690" s="38"/>
      <c r="AE690" s="38"/>
      <c r="AF690" s="39">
        <f t="shared" si="87"/>
        <v>0</v>
      </c>
    </row>
    <row r="691" spans="2:32" ht="15" customHeight="1" x14ac:dyDescent="0.3">
      <c r="B691" s="2" t="s">
        <v>836</v>
      </c>
      <c r="C691" s="4" t="s">
        <v>1136</v>
      </c>
      <c r="D691" s="3" t="s">
        <v>1137</v>
      </c>
      <c r="E691" s="6" t="s">
        <v>1157</v>
      </c>
      <c r="F691" s="6" t="s">
        <v>177</v>
      </c>
      <c r="G691" s="6" t="s">
        <v>716</v>
      </c>
      <c r="H691" s="25">
        <v>39000</v>
      </c>
      <c r="I691" s="38">
        <v>50</v>
      </c>
      <c r="J691" s="38">
        <v>1</v>
      </c>
      <c r="K691" s="39">
        <f t="shared" si="80"/>
        <v>1950000</v>
      </c>
      <c r="L691" s="38">
        <v>0</v>
      </c>
      <c r="M691" s="38">
        <v>0</v>
      </c>
      <c r="N691" s="39">
        <f t="shared" si="81"/>
        <v>0</v>
      </c>
      <c r="O691" s="38">
        <v>0</v>
      </c>
      <c r="P691" s="38">
        <v>0</v>
      </c>
      <c r="Q691" s="39">
        <f t="shared" si="82"/>
        <v>0</v>
      </c>
      <c r="R691" s="38">
        <v>0</v>
      </c>
      <c r="S691" s="38">
        <v>0</v>
      </c>
      <c r="T691" s="39">
        <f t="shared" si="83"/>
        <v>0</v>
      </c>
      <c r="U691" s="38">
        <v>0</v>
      </c>
      <c r="V691" s="38">
        <v>0</v>
      </c>
      <c r="W691" s="39">
        <f t="shared" si="84"/>
        <v>0</v>
      </c>
      <c r="X691" s="38"/>
      <c r="Y691" s="38"/>
      <c r="Z691" s="39">
        <f t="shared" si="85"/>
        <v>0</v>
      </c>
      <c r="AA691" s="38"/>
      <c r="AB691" s="38"/>
      <c r="AC691" s="39">
        <f t="shared" si="86"/>
        <v>0</v>
      </c>
      <c r="AD691" s="38"/>
      <c r="AE691" s="38"/>
      <c r="AF691" s="39">
        <f t="shared" si="87"/>
        <v>0</v>
      </c>
    </row>
    <row r="692" spans="2:32" ht="15" customHeight="1" x14ac:dyDescent="0.3">
      <c r="B692" s="2" t="s">
        <v>836</v>
      </c>
      <c r="C692" s="4" t="s">
        <v>1136</v>
      </c>
      <c r="D692" s="3" t="s">
        <v>1137</v>
      </c>
      <c r="E692" s="6" t="s">
        <v>1157</v>
      </c>
      <c r="F692" s="6" t="s">
        <v>177</v>
      </c>
      <c r="G692" s="6" t="s">
        <v>712</v>
      </c>
      <c r="H692" s="25">
        <v>214.29</v>
      </c>
      <c r="I692" s="38">
        <v>20</v>
      </c>
      <c r="J692" s="38">
        <v>1</v>
      </c>
      <c r="K692" s="39">
        <f t="shared" si="80"/>
        <v>4285.8</v>
      </c>
      <c r="L692" s="38">
        <v>0</v>
      </c>
      <c r="M692" s="38">
        <v>0</v>
      </c>
      <c r="N692" s="39">
        <f t="shared" si="81"/>
        <v>0</v>
      </c>
      <c r="O692" s="38">
        <v>0</v>
      </c>
      <c r="P692" s="38">
        <v>0</v>
      </c>
      <c r="Q692" s="39">
        <f t="shared" si="82"/>
        <v>0</v>
      </c>
      <c r="R692" s="38">
        <v>0</v>
      </c>
      <c r="S692" s="38">
        <v>0</v>
      </c>
      <c r="T692" s="39">
        <f t="shared" si="83"/>
        <v>0</v>
      </c>
      <c r="U692" s="38">
        <v>0</v>
      </c>
      <c r="V692" s="38">
        <v>0</v>
      </c>
      <c r="W692" s="39">
        <f t="shared" si="84"/>
        <v>0</v>
      </c>
      <c r="X692" s="38"/>
      <c r="Y692" s="38"/>
      <c r="Z692" s="39">
        <f t="shared" si="85"/>
        <v>0</v>
      </c>
      <c r="AA692" s="38"/>
      <c r="AB692" s="38"/>
      <c r="AC692" s="39">
        <f t="shared" si="86"/>
        <v>0</v>
      </c>
      <c r="AD692" s="38"/>
      <c r="AE692" s="38"/>
      <c r="AF692" s="39">
        <f t="shared" si="87"/>
        <v>0</v>
      </c>
    </row>
    <row r="693" spans="2:32" ht="15" customHeight="1" x14ac:dyDescent="0.3">
      <c r="B693" s="2" t="s">
        <v>836</v>
      </c>
      <c r="C693" s="4" t="s">
        <v>1136</v>
      </c>
      <c r="D693" s="3" t="s">
        <v>1137</v>
      </c>
      <c r="E693" s="6" t="s">
        <v>1157</v>
      </c>
      <c r="F693" s="6" t="s">
        <v>1162</v>
      </c>
      <c r="G693" s="6" t="s">
        <v>709</v>
      </c>
      <c r="H693" s="25">
        <v>28000</v>
      </c>
      <c r="I693" s="38">
        <v>4000</v>
      </c>
      <c r="J693" s="38">
        <v>1</v>
      </c>
      <c r="K693" s="39">
        <f t="shared" si="80"/>
        <v>112000000</v>
      </c>
      <c r="L693" s="38">
        <v>0</v>
      </c>
      <c r="M693" s="38">
        <v>0</v>
      </c>
      <c r="N693" s="39">
        <f t="shared" si="81"/>
        <v>0</v>
      </c>
      <c r="O693" s="38">
        <v>0</v>
      </c>
      <c r="P693" s="38">
        <v>0</v>
      </c>
      <c r="Q693" s="39">
        <f t="shared" si="82"/>
        <v>0</v>
      </c>
      <c r="R693" s="38">
        <v>0</v>
      </c>
      <c r="S693" s="38">
        <v>0</v>
      </c>
      <c r="T693" s="39">
        <f t="shared" si="83"/>
        <v>0</v>
      </c>
      <c r="U693" s="38">
        <v>0</v>
      </c>
      <c r="V693" s="38">
        <v>0</v>
      </c>
      <c r="W693" s="39">
        <f t="shared" si="84"/>
        <v>0</v>
      </c>
      <c r="X693" s="38"/>
      <c r="Y693" s="38"/>
      <c r="Z693" s="39">
        <f t="shared" si="85"/>
        <v>0</v>
      </c>
      <c r="AA693" s="38"/>
      <c r="AB693" s="38"/>
      <c r="AC693" s="39">
        <f t="shared" si="86"/>
        <v>0</v>
      </c>
      <c r="AD693" s="38"/>
      <c r="AE693" s="38"/>
      <c r="AF693" s="39">
        <f t="shared" si="87"/>
        <v>0</v>
      </c>
    </row>
    <row r="694" spans="2:32" ht="15" customHeight="1" x14ac:dyDescent="0.3">
      <c r="B694" s="2" t="s">
        <v>836</v>
      </c>
      <c r="C694" s="4" t="s">
        <v>1136</v>
      </c>
      <c r="D694" s="3" t="s">
        <v>1137</v>
      </c>
      <c r="E694" s="6" t="s">
        <v>1163</v>
      </c>
      <c r="F694" s="6" t="s">
        <v>1062</v>
      </c>
      <c r="G694" s="6" t="s">
        <v>841</v>
      </c>
      <c r="H694" s="25">
        <v>0</v>
      </c>
      <c r="I694" s="38">
        <v>20</v>
      </c>
      <c r="J694" s="38">
        <v>0.5</v>
      </c>
      <c r="K694" s="39">
        <f t="shared" si="80"/>
        <v>0</v>
      </c>
      <c r="L694" s="38">
        <v>0</v>
      </c>
      <c r="M694" s="38">
        <v>0</v>
      </c>
      <c r="N694" s="39">
        <f t="shared" si="81"/>
        <v>0</v>
      </c>
      <c r="O694" s="38">
        <v>0</v>
      </c>
      <c r="P694" s="38">
        <v>0</v>
      </c>
      <c r="Q694" s="39">
        <f t="shared" si="82"/>
        <v>0</v>
      </c>
      <c r="R694" s="38">
        <v>0</v>
      </c>
      <c r="S694" s="38">
        <v>0</v>
      </c>
      <c r="T694" s="39">
        <f t="shared" si="83"/>
        <v>0</v>
      </c>
      <c r="U694" s="38">
        <v>0</v>
      </c>
      <c r="V694" s="38">
        <v>0</v>
      </c>
      <c r="W694" s="39">
        <f t="shared" si="84"/>
        <v>0</v>
      </c>
      <c r="X694" s="38"/>
      <c r="Y694" s="38"/>
      <c r="Z694" s="39">
        <f t="shared" si="85"/>
        <v>0</v>
      </c>
      <c r="AA694" s="38"/>
      <c r="AB694" s="38"/>
      <c r="AC694" s="39">
        <f t="shared" si="86"/>
        <v>0</v>
      </c>
      <c r="AD694" s="38"/>
      <c r="AE694" s="38"/>
      <c r="AF694" s="39">
        <f t="shared" si="87"/>
        <v>0</v>
      </c>
    </row>
    <row r="695" spans="2:32" ht="15" customHeight="1" x14ac:dyDescent="0.3">
      <c r="B695" s="2" t="s">
        <v>836</v>
      </c>
      <c r="C695" s="4" t="s">
        <v>1136</v>
      </c>
      <c r="D695" s="3" t="s">
        <v>1137</v>
      </c>
      <c r="E695" s="6" t="s">
        <v>1164</v>
      </c>
      <c r="F695" s="6" t="s">
        <v>155</v>
      </c>
      <c r="G695" s="6" t="s">
        <v>841</v>
      </c>
      <c r="H695" s="25">
        <v>0</v>
      </c>
      <c r="I695" s="38">
        <v>0</v>
      </c>
      <c r="J695" s="38">
        <v>0</v>
      </c>
      <c r="K695" s="39">
        <f t="shared" si="80"/>
        <v>0</v>
      </c>
      <c r="L695" s="38">
        <v>0</v>
      </c>
      <c r="M695" s="38">
        <v>0</v>
      </c>
      <c r="N695" s="39">
        <f t="shared" si="81"/>
        <v>0</v>
      </c>
      <c r="O695" s="38">
        <v>0</v>
      </c>
      <c r="P695" s="38">
        <v>0</v>
      </c>
      <c r="Q695" s="39">
        <f t="shared" si="82"/>
        <v>0</v>
      </c>
      <c r="R695" s="38">
        <v>0</v>
      </c>
      <c r="S695" s="38">
        <v>0</v>
      </c>
      <c r="T695" s="39">
        <f t="shared" si="83"/>
        <v>0</v>
      </c>
      <c r="U695" s="38">
        <v>0</v>
      </c>
      <c r="V695" s="38">
        <v>0</v>
      </c>
      <c r="W695" s="39">
        <f t="shared" si="84"/>
        <v>0</v>
      </c>
      <c r="X695" s="38"/>
      <c r="Y695" s="38"/>
      <c r="Z695" s="39">
        <f t="shared" si="85"/>
        <v>0</v>
      </c>
      <c r="AA695" s="38"/>
      <c r="AB695" s="38"/>
      <c r="AC695" s="39">
        <f t="shared" si="86"/>
        <v>0</v>
      </c>
      <c r="AD695" s="38"/>
      <c r="AE695" s="38"/>
      <c r="AF695" s="39">
        <f t="shared" si="87"/>
        <v>0</v>
      </c>
    </row>
    <row r="696" spans="2:32" ht="15" customHeight="1" x14ac:dyDescent="0.3">
      <c r="B696" s="2" t="s">
        <v>836</v>
      </c>
      <c r="C696" s="4" t="s">
        <v>1136</v>
      </c>
      <c r="D696" s="3" t="s">
        <v>1137</v>
      </c>
      <c r="E696" s="6" t="s">
        <v>1164</v>
      </c>
      <c r="F696" s="6" t="s">
        <v>169</v>
      </c>
      <c r="G696" s="6" t="s">
        <v>841</v>
      </c>
      <c r="H696" s="25">
        <v>0</v>
      </c>
      <c r="I696" s="38">
        <v>0</v>
      </c>
      <c r="J696" s="38">
        <v>0</v>
      </c>
      <c r="K696" s="39">
        <f t="shared" si="80"/>
        <v>0</v>
      </c>
      <c r="L696" s="38">
        <v>0</v>
      </c>
      <c r="M696" s="38">
        <v>0</v>
      </c>
      <c r="N696" s="39">
        <f t="shared" si="81"/>
        <v>0</v>
      </c>
      <c r="O696" s="38">
        <v>0</v>
      </c>
      <c r="P696" s="38">
        <v>0</v>
      </c>
      <c r="Q696" s="39">
        <f t="shared" si="82"/>
        <v>0</v>
      </c>
      <c r="R696" s="38">
        <v>0</v>
      </c>
      <c r="S696" s="38">
        <v>0</v>
      </c>
      <c r="T696" s="39">
        <f t="shared" si="83"/>
        <v>0</v>
      </c>
      <c r="U696" s="38">
        <v>0</v>
      </c>
      <c r="V696" s="38">
        <v>0</v>
      </c>
      <c r="W696" s="39">
        <f t="shared" si="84"/>
        <v>0</v>
      </c>
      <c r="X696" s="38"/>
      <c r="Y696" s="38"/>
      <c r="Z696" s="39">
        <f t="shared" si="85"/>
        <v>0</v>
      </c>
      <c r="AA696" s="38"/>
      <c r="AB696" s="38"/>
      <c r="AC696" s="39">
        <f t="shared" si="86"/>
        <v>0</v>
      </c>
      <c r="AD696" s="38"/>
      <c r="AE696" s="38"/>
      <c r="AF696" s="39">
        <f t="shared" si="87"/>
        <v>0</v>
      </c>
    </row>
    <row r="697" spans="2:32" ht="15" customHeight="1" x14ac:dyDescent="0.3">
      <c r="B697" s="2" t="s">
        <v>836</v>
      </c>
      <c r="C697" s="4" t="s">
        <v>1136</v>
      </c>
      <c r="D697" s="3" t="s">
        <v>1137</v>
      </c>
      <c r="E697" s="6" t="s">
        <v>1164</v>
      </c>
      <c r="F697" s="6" t="s">
        <v>1165</v>
      </c>
      <c r="G697" s="6" t="s">
        <v>707</v>
      </c>
      <c r="H697" s="25">
        <v>391991.03749999998</v>
      </c>
      <c r="I697" s="38">
        <v>0</v>
      </c>
      <c r="J697" s="38">
        <v>0</v>
      </c>
      <c r="K697" s="39">
        <f t="shared" si="80"/>
        <v>0</v>
      </c>
      <c r="L697" s="38">
        <v>0</v>
      </c>
      <c r="M697" s="38">
        <v>0</v>
      </c>
      <c r="N697" s="39">
        <f t="shared" si="81"/>
        <v>0</v>
      </c>
      <c r="O697" s="38">
        <v>0</v>
      </c>
      <c r="P697" s="38">
        <v>0</v>
      </c>
      <c r="Q697" s="39">
        <f t="shared" si="82"/>
        <v>0</v>
      </c>
      <c r="R697" s="38">
        <v>0</v>
      </c>
      <c r="S697" s="38">
        <v>0</v>
      </c>
      <c r="T697" s="39">
        <f t="shared" si="83"/>
        <v>0</v>
      </c>
      <c r="U697" s="38">
        <v>0</v>
      </c>
      <c r="V697" s="38">
        <v>0</v>
      </c>
      <c r="W697" s="39">
        <f t="shared" si="84"/>
        <v>0</v>
      </c>
      <c r="X697" s="38"/>
      <c r="Y697" s="38"/>
      <c r="Z697" s="39">
        <f t="shared" si="85"/>
        <v>0</v>
      </c>
      <c r="AA697" s="38"/>
      <c r="AB697" s="38"/>
      <c r="AC697" s="39">
        <f t="shared" si="86"/>
        <v>0</v>
      </c>
      <c r="AD697" s="38"/>
      <c r="AE697" s="38"/>
      <c r="AF697" s="39">
        <f t="shared" si="87"/>
        <v>0</v>
      </c>
    </row>
    <row r="698" spans="2:32" ht="15" customHeight="1" x14ac:dyDescent="0.3">
      <c r="B698" s="2" t="s">
        <v>836</v>
      </c>
      <c r="C698" s="4" t="s">
        <v>1136</v>
      </c>
      <c r="D698" s="3" t="s">
        <v>1137</v>
      </c>
      <c r="E698" s="6" t="s">
        <v>1164</v>
      </c>
      <c r="F698" s="6" t="s">
        <v>1165</v>
      </c>
      <c r="G698" s="6" t="s">
        <v>708</v>
      </c>
      <c r="H698" s="25">
        <v>425000</v>
      </c>
      <c r="I698" s="38">
        <v>0</v>
      </c>
      <c r="J698" s="38">
        <v>0</v>
      </c>
      <c r="K698" s="39">
        <f t="shared" si="80"/>
        <v>0</v>
      </c>
      <c r="L698" s="38">
        <v>2</v>
      </c>
      <c r="M698" s="38">
        <v>6</v>
      </c>
      <c r="N698" s="39">
        <f t="shared" si="81"/>
        <v>5100000</v>
      </c>
      <c r="O698" s="38">
        <v>0</v>
      </c>
      <c r="P698" s="38">
        <v>0</v>
      </c>
      <c r="Q698" s="39">
        <f t="shared" si="82"/>
        <v>0</v>
      </c>
      <c r="R698" s="38">
        <v>0</v>
      </c>
      <c r="S698" s="38">
        <v>0</v>
      </c>
      <c r="T698" s="39">
        <f t="shared" si="83"/>
        <v>0</v>
      </c>
      <c r="U698" s="38">
        <v>0</v>
      </c>
      <c r="V698" s="38">
        <v>0</v>
      </c>
      <c r="W698" s="39">
        <f t="shared" si="84"/>
        <v>0</v>
      </c>
      <c r="X698" s="38"/>
      <c r="Y698" s="38"/>
      <c r="Z698" s="39">
        <f t="shared" si="85"/>
        <v>0</v>
      </c>
      <c r="AA698" s="38"/>
      <c r="AB698" s="38"/>
      <c r="AC698" s="39">
        <f t="shared" si="86"/>
        <v>0</v>
      </c>
      <c r="AD698" s="38"/>
      <c r="AE698" s="38"/>
      <c r="AF698" s="39">
        <f t="shared" si="87"/>
        <v>0</v>
      </c>
    </row>
    <row r="699" spans="2:32" ht="15" customHeight="1" x14ac:dyDescent="0.3">
      <c r="B699" s="2" t="s">
        <v>836</v>
      </c>
      <c r="C699" s="4" t="s">
        <v>1136</v>
      </c>
      <c r="D699" s="3" t="s">
        <v>1137</v>
      </c>
      <c r="E699" s="6" t="s">
        <v>1164</v>
      </c>
      <c r="F699" s="6" t="s">
        <v>1166</v>
      </c>
      <c r="G699" s="6" t="s">
        <v>724</v>
      </c>
      <c r="H699" s="25">
        <v>425000</v>
      </c>
      <c r="I699" s="38">
        <v>0</v>
      </c>
      <c r="J699" s="38">
        <v>0</v>
      </c>
      <c r="K699" s="39">
        <f t="shared" si="80"/>
        <v>0</v>
      </c>
      <c r="L699" s="38">
        <v>2</v>
      </c>
      <c r="M699" s="38">
        <v>30</v>
      </c>
      <c r="N699" s="39">
        <f t="shared" si="81"/>
        <v>25500000</v>
      </c>
      <c r="O699" s="38">
        <v>0</v>
      </c>
      <c r="P699" s="38">
        <v>0</v>
      </c>
      <c r="Q699" s="39">
        <f t="shared" si="82"/>
        <v>0</v>
      </c>
      <c r="R699" s="38">
        <v>0</v>
      </c>
      <c r="S699" s="38">
        <v>0</v>
      </c>
      <c r="T699" s="39">
        <f t="shared" si="83"/>
        <v>0</v>
      </c>
      <c r="U699" s="38">
        <v>0</v>
      </c>
      <c r="V699" s="38">
        <v>0</v>
      </c>
      <c r="W699" s="39">
        <f t="shared" si="84"/>
        <v>0</v>
      </c>
      <c r="X699" s="38"/>
      <c r="Y699" s="38"/>
      <c r="Z699" s="39">
        <f t="shared" si="85"/>
        <v>0</v>
      </c>
      <c r="AA699" s="38"/>
      <c r="AB699" s="38"/>
      <c r="AC699" s="39">
        <f t="shared" si="86"/>
        <v>0</v>
      </c>
      <c r="AD699" s="38"/>
      <c r="AE699" s="38"/>
      <c r="AF699" s="39">
        <f t="shared" si="87"/>
        <v>0</v>
      </c>
    </row>
    <row r="700" spans="2:32" ht="15" customHeight="1" x14ac:dyDescent="0.3">
      <c r="B700" s="2" t="s">
        <v>836</v>
      </c>
      <c r="C700" s="4" t="s">
        <v>1136</v>
      </c>
      <c r="D700" s="3" t="s">
        <v>1137</v>
      </c>
      <c r="E700" s="6" t="s">
        <v>1164</v>
      </c>
      <c r="F700" s="6" t="s">
        <v>1166</v>
      </c>
      <c r="G700" s="6" t="s">
        <v>1167</v>
      </c>
      <c r="H700" s="25">
        <v>400000</v>
      </c>
      <c r="I700" s="38">
        <v>0</v>
      </c>
      <c r="J700" s="38">
        <v>0</v>
      </c>
      <c r="K700" s="39">
        <f t="shared" si="80"/>
        <v>0</v>
      </c>
      <c r="L700" s="38">
        <v>1</v>
      </c>
      <c r="M700" s="38">
        <v>200</v>
      </c>
      <c r="N700" s="39">
        <f t="shared" si="81"/>
        <v>80000000</v>
      </c>
      <c r="O700" s="38">
        <v>0</v>
      </c>
      <c r="P700" s="38">
        <v>0</v>
      </c>
      <c r="Q700" s="39">
        <f t="shared" si="82"/>
        <v>0</v>
      </c>
      <c r="R700" s="38">
        <v>0</v>
      </c>
      <c r="S700" s="38">
        <v>0</v>
      </c>
      <c r="T700" s="39">
        <f t="shared" si="83"/>
        <v>0</v>
      </c>
      <c r="U700" s="38">
        <v>0</v>
      </c>
      <c r="V700" s="38">
        <v>0</v>
      </c>
      <c r="W700" s="39">
        <f t="shared" si="84"/>
        <v>0</v>
      </c>
      <c r="X700" s="38"/>
      <c r="Y700" s="38"/>
      <c r="Z700" s="39">
        <f t="shared" si="85"/>
        <v>0</v>
      </c>
      <c r="AA700" s="38"/>
      <c r="AB700" s="38"/>
      <c r="AC700" s="39">
        <f t="shared" si="86"/>
        <v>0</v>
      </c>
      <c r="AD700" s="38"/>
      <c r="AE700" s="38"/>
      <c r="AF700" s="39">
        <f t="shared" si="87"/>
        <v>0</v>
      </c>
    </row>
    <row r="701" spans="2:32" ht="15" customHeight="1" x14ac:dyDescent="0.3">
      <c r="B701" s="2" t="s">
        <v>836</v>
      </c>
      <c r="C701" s="4" t="s">
        <v>1136</v>
      </c>
      <c r="D701" s="3" t="s">
        <v>1137</v>
      </c>
      <c r="E701" s="6" t="s">
        <v>1164</v>
      </c>
      <c r="F701" s="6" t="s">
        <v>1166</v>
      </c>
      <c r="G701" s="6" t="s">
        <v>1168</v>
      </c>
      <c r="H701" s="25">
        <v>35000</v>
      </c>
      <c r="I701" s="38">
        <v>0</v>
      </c>
      <c r="J701" s="38">
        <v>0</v>
      </c>
      <c r="K701" s="39">
        <f t="shared" si="80"/>
        <v>0</v>
      </c>
      <c r="L701" s="38">
        <v>1</v>
      </c>
      <c r="M701" s="38">
        <v>200</v>
      </c>
      <c r="N701" s="39">
        <f t="shared" si="81"/>
        <v>7000000</v>
      </c>
      <c r="O701" s="38">
        <v>0</v>
      </c>
      <c r="P701" s="38">
        <v>0</v>
      </c>
      <c r="Q701" s="39">
        <f t="shared" si="82"/>
        <v>0</v>
      </c>
      <c r="R701" s="38">
        <v>0</v>
      </c>
      <c r="S701" s="38">
        <v>0</v>
      </c>
      <c r="T701" s="39">
        <f t="shared" si="83"/>
        <v>0</v>
      </c>
      <c r="U701" s="38">
        <v>0</v>
      </c>
      <c r="V701" s="38">
        <v>0</v>
      </c>
      <c r="W701" s="39">
        <f t="shared" si="84"/>
        <v>0</v>
      </c>
      <c r="X701" s="38"/>
      <c r="Y701" s="38"/>
      <c r="Z701" s="39">
        <f t="shared" si="85"/>
        <v>0</v>
      </c>
      <c r="AA701" s="38"/>
      <c r="AB701" s="38"/>
      <c r="AC701" s="39">
        <f t="shared" si="86"/>
        <v>0</v>
      </c>
      <c r="AD701" s="38"/>
      <c r="AE701" s="38"/>
      <c r="AF701" s="39">
        <f t="shared" si="87"/>
        <v>0</v>
      </c>
    </row>
    <row r="702" spans="2:32" ht="15" customHeight="1" x14ac:dyDescent="0.3">
      <c r="B702" s="2" t="s">
        <v>836</v>
      </c>
      <c r="C702" s="4" t="s">
        <v>1136</v>
      </c>
      <c r="D702" s="3" t="s">
        <v>1137</v>
      </c>
      <c r="E702" s="6" t="s">
        <v>1169</v>
      </c>
      <c r="F702" s="6" t="s">
        <v>1170</v>
      </c>
      <c r="G702" s="6" t="s">
        <v>713</v>
      </c>
      <c r="H702" s="25">
        <v>45000</v>
      </c>
      <c r="I702" s="38">
        <v>0</v>
      </c>
      <c r="J702" s="38">
        <v>0</v>
      </c>
      <c r="K702" s="39">
        <f t="shared" si="80"/>
        <v>0</v>
      </c>
      <c r="L702" s="38">
        <v>1</v>
      </c>
      <c r="M702" s="38">
        <v>200</v>
      </c>
      <c r="N702" s="39">
        <f t="shared" si="81"/>
        <v>9000000</v>
      </c>
      <c r="O702" s="38">
        <v>0</v>
      </c>
      <c r="P702" s="38">
        <v>0</v>
      </c>
      <c r="Q702" s="39">
        <f t="shared" si="82"/>
        <v>0</v>
      </c>
      <c r="R702" s="38">
        <v>0</v>
      </c>
      <c r="S702" s="38">
        <v>0</v>
      </c>
      <c r="T702" s="39">
        <f t="shared" si="83"/>
        <v>0</v>
      </c>
      <c r="U702" s="38">
        <v>0</v>
      </c>
      <c r="V702" s="38">
        <v>0</v>
      </c>
      <c r="W702" s="39">
        <f t="shared" si="84"/>
        <v>0</v>
      </c>
      <c r="X702" s="38"/>
      <c r="Y702" s="38"/>
      <c r="Z702" s="39">
        <f t="shared" si="85"/>
        <v>0</v>
      </c>
      <c r="AA702" s="38"/>
      <c r="AB702" s="38"/>
      <c r="AC702" s="39">
        <f t="shared" si="86"/>
        <v>0</v>
      </c>
      <c r="AD702" s="38"/>
      <c r="AE702" s="38"/>
      <c r="AF702" s="39">
        <f t="shared" si="87"/>
        <v>0</v>
      </c>
    </row>
    <row r="703" spans="2:32" ht="15" customHeight="1" x14ac:dyDescent="0.3">
      <c r="B703" s="2" t="s">
        <v>836</v>
      </c>
      <c r="C703" s="4" t="s">
        <v>1136</v>
      </c>
      <c r="D703" s="3" t="s">
        <v>1137</v>
      </c>
      <c r="E703" s="6" t="s">
        <v>1169</v>
      </c>
      <c r="F703" s="6" t="s">
        <v>1170</v>
      </c>
      <c r="G703" s="6" t="s">
        <v>712</v>
      </c>
      <c r="H703" s="25">
        <v>214.29</v>
      </c>
      <c r="I703" s="38">
        <v>0</v>
      </c>
      <c r="J703" s="38">
        <v>0</v>
      </c>
      <c r="K703" s="39">
        <f t="shared" si="80"/>
        <v>0</v>
      </c>
      <c r="L703" s="38">
        <v>25</v>
      </c>
      <c r="M703" s="38">
        <v>20</v>
      </c>
      <c r="N703" s="39">
        <f t="shared" si="81"/>
        <v>107145</v>
      </c>
      <c r="O703" s="38">
        <v>0</v>
      </c>
      <c r="P703" s="38">
        <v>0</v>
      </c>
      <c r="Q703" s="39">
        <f t="shared" si="82"/>
        <v>0</v>
      </c>
      <c r="R703" s="38">
        <v>0</v>
      </c>
      <c r="S703" s="38">
        <v>0</v>
      </c>
      <c r="T703" s="39">
        <f t="shared" si="83"/>
        <v>0</v>
      </c>
      <c r="U703" s="38">
        <v>0</v>
      </c>
      <c r="V703" s="38">
        <v>0</v>
      </c>
      <c r="W703" s="39">
        <f t="shared" si="84"/>
        <v>0</v>
      </c>
      <c r="X703" s="38"/>
      <c r="Y703" s="38"/>
      <c r="Z703" s="39">
        <f t="shared" si="85"/>
        <v>0</v>
      </c>
      <c r="AA703" s="38"/>
      <c r="AB703" s="38"/>
      <c r="AC703" s="39">
        <f t="shared" si="86"/>
        <v>0</v>
      </c>
      <c r="AD703" s="38"/>
      <c r="AE703" s="38"/>
      <c r="AF703" s="39">
        <f t="shared" si="87"/>
        <v>0</v>
      </c>
    </row>
    <row r="704" spans="2:32" ht="15" customHeight="1" x14ac:dyDescent="0.3">
      <c r="B704" s="2" t="s">
        <v>836</v>
      </c>
      <c r="C704" s="4" t="s">
        <v>1136</v>
      </c>
      <c r="D704" s="3" t="s">
        <v>1137</v>
      </c>
      <c r="E704" s="6" t="s">
        <v>1169</v>
      </c>
      <c r="F704" s="6" t="s">
        <v>1170</v>
      </c>
      <c r="G704" s="6" t="s">
        <v>725</v>
      </c>
      <c r="H704" s="11">
        <v>25049102.166000001</v>
      </c>
      <c r="I704" s="38">
        <v>0</v>
      </c>
      <c r="J704" s="38">
        <v>0</v>
      </c>
      <c r="K704" s="39">
        <f t="shared" si="80"/>
        <v>0</v>
      </c>
      <c r="L704" s="38">
        <v>20000</v>
      </c>
      <c r="M704" s="38">
        <v>4</v>
      </c>
      <c r="N704" s="39">
        <f t="shared" si="81"/>
        <v>2003928173280</v>
      </c>
      <c r="O704" s="38">
        <v>0</v>
      </c>
      <c r="P704" s="38">
        <v>0</v>
      </c>
      <c r="Q704" s="39">
        <f t="shared" si="82"/>
        <v>0</v>
      </c>
      <c r="R704" s="38">
        <v>0</v>
      </c>
      <c r="S704" s="38">
        <v>0</v>
      </c>
      <c r="T704" s="39">
        <f t="shared" si="83"/>
        <v>0</v>
      </c>
      <c r="U704" s="38">
        <v>0</v>
      </c>
      <c r="V704" s="38">
        <v>0</v>
      </c>
      <c r="W704" s="39">
        <f t="shared" si="84"/>
        <v>0</v>
      </c>
      <c r="X704" s="38"/>
      <c r="Y704" s="38"/>
      <c r="Z704" s="39">
        <f t="shared" si="85"/>
        <v>0</v>
      </c>
      <c r="AA704" s="38"/>
      <c r="AB704" s="38"/>
      <c r="AC704" s="39">
        <f t="shared" si="86"/>
        <v>0</v>
      </c>
      <c r="AD704" s="38"/>
      <c r="AE704" s="38"/>
      <c r="AF704" s="39">
        <f t="shared" si="87"/>
        <v>0</v>
      </c>
    </row>
    <row r="705" spans="2:32" ht="15" customHeight="1" x14ac:dyDescent="0.3">
      <c r="B705" s="2" t="s">
        <v>836</v>
      </c>
      <c r="C705" s="4" t="s">
        <v>1136</v>
      </c>
      <c r="D705" s="3" t="s">
        <v>1137</v>
      </c>
      <c r="E705" s="6" t="s">
        <v>1169</v>
      </c>
      <c r="F705" s="6" t="s">
        <v>1171</v>
      </c>
      <c r="G705" s="6" t="s">
        <v>841</v>
      </c>
      <c r="H705" s="25">
        <v>0</v>
      </c>
      <c r="I705" s="38">
        <v>0</v>
      </c>
      <c r="J705" s="38">
        <v>0</v>
      </c>
      <c r="K705" s="39">
        <f t="shared" si="80"/>
        <v>0</v>
      </c>
      <c r="L705" s="38">
        <v>5</v>
      </c>
      <c r="M705" s="38">
        <v>1</v>
      </c>
      <c r="N705" s="39">
        <f t="shared" si="81"/>
        <v>0</v>
      </c>
      <c r="O705" s="38">
        <v>0</v>
      </c>
      <c r="P705" s="38">
        <v>0</v>
      </c>
      <c r="Q705" s="39">
        <f t="shared" si="82"/>
        <v>0</v>
      </c>
      <c r="R705" s="38">
        <v>0</v>
      </c>
      <c r="S705" s="38">
        <v>0</v>
      </c>
      <c r="T705" s="39">
        <f t="shared" si="83"/>
        <v>0</v>
      </c>
      <c r="U705" s="38">
        <v>0</v>
      </c>
      <c r="V705" s="38">
        <v>0</v>
      </c>
      <c r="W705" s="39">
        <f t="shared" si="84"/>
        <v>0</v>
      </c>
      <c r="X705" s="38"/>
      <c r="Y705" s="38"/>
      <c r="Z705" s="39">
        <f t="shared" si="85"/>
        <v>0</v>
      </c>
      <c r="AA705" s="38"/>
      <c r="AB705" s="38"/>
      <c r="AC705" s="39">
        <f t="shared" si="86"/>
        <v>0</v>
      </c>
      <c r="AD705" s="38"/>
      <c r="AE705" s="38"/>
      <c r="AF705" s="39">
        <f t="shared" si="87"/>
        <v>0</v>
      </c>
    </row>
    <row r="706" spans="2:32" ht="15" customHeight="1" x14ac:dyDescent="0.3">
      <c r="B706" s="2" t="s">
        <v>836</v>
      </c>
      <c r="C706" s="4" t="s">
        <v>1136</v>
      </c>
      <c r="D706" s="3" t="s">
        <v>1137</v>
      </c>
      <c r="E706" s="6" t="s">
        <v>1172</v>
      </c>
      <c r="F706" s="6" t="s">
        <v>1173</v>
      </c>
      <c r="G706" s="6" t="s">
        <v>709</v>
      </c>
      <c r="H706" s="25">
        <v>28000</v>
      </c>
      <c r="I706" s="38">
        <v>0</v>
      </c>
      <c r="J706" s="38">
        <v>0</v>
      </c>
      <c r="K706" s="39">
        <f t="shared" si="80"/>
        <v>0</v>
      </c>
      <c r="L706" s="38">
        <v>0</v>
      </c>
      <c r="M706" s="38">
        <v>0</v>
      </c>
      <c r="N706" s="39">
        <f t="shared" si="81"/>
        <v>0</v>
      </c>
      <c r="O706" s="38">
        <v>0</v>
      </c>
      <c r="P706" s="38">
        <v>0</v>
      </c>
      <c r="Q706" s="39">
        <f t="shared" si="82"/>
        <v>0</v>
      </c>
      <c r="R706" s="38">
        <v>0</v>
      </c>
      <c r="S706" s="38">
        <v>0</v>
      </c>
      <c r="T706" s="39">
        <f t="shared" si="83"/>
        <v>0</v>
      </c>
      <c r="U706" s="38">
        <v>0</v>
      </c>
      <c r="V706" s="38">
        <v>0</v>
      </c>
      <c r="W706" s="39">
        <f t="shared" si="84"/>
        <v>0</v>
      </c>
      <c r="X706" s="38"/>
      <c r="Y706" s="38"/>
      <c r="Z706" s="39">
        <f t="shared" si="85"/>
        <v>0</v>
      </c>
      <c r="AA706" s="38"/>
      <c r="AB706" s="38"/>
      <c r="AC706" s="39">
        <f t="shared" si="86"/>
        <v>0</v>
      </c>
      <c r="AD706" s="38"/>
      <c r="AE706" s="38"/>
      <c r="AF706" s="39">
        <f t="shared" si="87"/>
        <v>0</v>
      </c>
    </row>
    <row r="707" spans="2:32" ht="15" customHeight="1" x14ac:dyDescent="0.3">
      <c r="B707" s="2" t="s">
        <v>836</v>
      </c>
      <c r="C707" s="4" t="s">
        <v>1136</v>
      </c>
      <c r="D707" s="3" t="s">
        <v>1137</v>
      </c>
      <c r="E707" s="6" t="s">
        <v>1172</v>
      </c>
      <c r="F707" s="6" t="s">
        <v>1173</v>
      </c>
      <c r="G707" s="6" t="s">
        <v>716</v>
      </c>
      <c r="H707" s="25">
        <v>39000</v>
      </c>
      <c r="I707" s="38">
        <v>40</v>
      </c>
      <c r="J707" s="38">
        <v>1</v>
      </c>
      <c r="K707" s="39">
        <f t="shared" ref="K707:K770" si="88">H707*I707*J707</f>
        <v>1560000</v>
      </c>
      <c r="L707" s="38">
        <v>40</v>
      </c>
      <c r="M707" s="38">
        <v>1</v>
      </c>
      <c r="N707" s="39">
        <f t="shared" ref="N707:N770" si="89">H707*L707*M707</f>
        <v>1560000</v>
      </c>
      <c r="O707" s="38">
        <v>40</v>
      </c>
      <c r="P707" s="38">
        <v>1</v>
      </c>
      <c r="Q707" s="39">
        <f t="shared" ref="Q707:Q770" si="90">H707*O707*P707</f>
        <v>1560000</v>
      </c>
      <c r="R707" s="38">
        <v>40</v>
      </c>
      <c r="S707" s="38">
        <v>1</v>
      </c>
      <c r="T707" s="39">
        <f t="shared" ref="T707:T770" si="91">H707*R707*S707</f>
        <v>1560000</v>
      </c>
      <c r="U707" s="38">
        <v>40</v>
      </c>
      <c r="V707" s="38">
        <v>1</v>
      </c>
      <c r="W707" s="39">
        <f t="shared" ref="W707:W770" si="92">H707*U707*V707</f>
        <v>1560000</v>
      </c>
      <c r="X707" s="38"/>
      <c r="Y707" s="38"/>
      <c r="Z707" s="39">
        <f t="shared" ref="Z707:Z770" si="93">H707*X707*Y707</f>
        <v>0</v>
      </c>
      <c r="AA707" s="38"/>
      <c r="AB707" s="38"/>
      <c r="AC707" s="39">
        <f t="shared" ref="AC707:AC770" si="94">H707*AA707*AB707</f>
        <v>0</v>
      </c>
      <c r="AD707" s="38"/>
      <c r="AE707" s="38"/>
      <c r="AF707" s="39">
        <f t="shared" ref="AF707:AF770" si="95">H707*AD707*AE707</f>
        <v>0</v>
      </c>
    </row>
    <row r="708" spans="2:32" ht="15" customHeight="1" x14ac:dyDescent="0.3">
      <c r="B708" s="2" t="s">
        <v>836</v>
      </c>
      <c r="C708" s="4" t="s">
        <v>1136</v>
      </c>
      <c r="D708" s="3" t="s">
        <v>1137</v>
      </c>
      <c r="E708" s="6" t="s">
        <v>1172</v>
      </c>
      <c r="F708" s="6" t="s">
        <v>1173</v>
      </c>
      <c r="G708" s="6" t="s">
        <v>712</v>
      </c>
      <c r="H708" s="25">
        <v>214.29</v>
      </c>
      <c r="I708" s="38">
        <v>30</v>
      </c>
      <c r="J708" s="38">
        <v>2</v>
      </c>
      <c r="K708" s="39">
        <f t="shared" si="88"/>
        <v>12857.4</v>
      </c>
      <c r="L708" s="38">
        <v>30</v>
      </c>
      <c r="M708" s="38">
        <v>2</v>
      </c>
      <c r="N708" s="39">
        <f t="shared" si="89"/>
        <v>12857.4</v>
      </c>
      <c r="O708" s="38">
        <v>30</v>
      </c>
      <c r="P708" s="38">
        <v>2</v>
      </c>
      <c r="Q708" s="39">
        <f t="shared" si="90"/>
        <v>12857.4</v>
      </c>
      <c r="R708" s="38">
        <v>30</v>
      </c>
      <c r="S708" s="38">
        <v>2</v>
      </c>
      <c r="T708" s="39">
        <f t="shared" si="91"/>
        <v>12857.4</v>
      </c>
      <c r="U708" s="38">
        <v>30</v>
      </c>
      <c r="V708" s="38">
        <v>2</v>
      </c>
      <c r="W708" s="39">
        <f t="shared" si="92"/>
        <v>12857.4</v>
      </c>
      <c r="X708" s="38"/>
      <c r="Y708" s="38"/>
      <c r="Z708" s="39">
        <f t="shared" si="93"/>
        <v>0</v>
      </c>
      <c r="AA708" s="38"/>
      <c r="AB708" s="38"/>
      <c r="AC708" s="39">
        <f t="shared" si="94"/>
        <v>0</v>
      </c>
      <c r="AD708" s="38"/>
      <c r="AE708" s="38"/>
      <c r="AF708" s="39">
        <f t="shared" si="95"/>
        <v>0</v>
      </c>
    </row>
    <row r="709" spans="2:32" ht="15" customHeight="1" x14ac:dyDescent="0.3">
      <c r="B709" s="2" t="s">
        <v>836</v>
      </c>
      <c r="C709" s="4" t="s">
        <v>1136</v>
      </c>
      <c r="D709" s="3" t="s">
        <v>1137</v>
      </c>
      <c r="E709" s="6" t="s">
        <v>1174</v>
      </c>
      <c r="F709" s="6" t="s">
        <v>1175</v>
      </c>
      <c r="G709" s="6" t="s">
        <v>841</v>
      </c>
      <c r="H709" s="25">
        <v>0</v>
      </c>
      <c r="I709" s="38">
        <v>8000</v>
      </c>
      <c r="J709" s="38">
        <v>1</v>
      </c>
      <c r="K709" s="39">
        <f t="shared" si="88"/>
        <v>0</v>
      </c>
      <c r="L709" s="38">
        <v>8000</v>
      </c>
      <c r="M709" s="38">
        <v>1</v>
      </c>
      <c r="N709" s="39">
        <f t="shared" si="89"/>
        <v>0</v>
      </c>
      <c r="O709" s="38">
        <v>8000</v>
      </c>
      <c r="P709" s="38">
        <v>1</v>
      </c>
      <c r="Q709" s="39">
        <f t="shared" si="90"/>
        <v>0</v>
      </c>
      <c r="R709" s="38">
        <v>8000</v>
      </c>
      <c r="S709" s="38">
        <v>1</v>
      </c>
      <c r="T709" s="39">
        <f t="shared" si="91"/>
        <v>0</v>
      </c>
      <c r="U709" s="38">
        <v>8000</v>
      </c>
      <c r="V709" s="38">
        <v>1</v>
      </c>
      <c r="W709" s="39">
        <f t="shared" si="92"/>
        <v>0</v>
      </c>
      <c r="X709" s="38"/>
      <c r="Y709" s="38"/>
      <c r="Z709" s="39">
        <f t="shared" si="93"/>
        <v>0</v>
      </c>
      <c r="AA709" s="38"/>
      <c r="AB709" s="38"/>
      <c r="AC709" s="39">
        <f t="shared" si="94"/>
        <v>0</v>
      </c>
      <c r="AD709" s="38"/>
      <c r="AE709" s="38"/>
      <c r="AF709" s="39">
        <f t="shared" si="95"/>
        <v>0</v>
      </c>
    </row>
    <row r="710" spans="2:32" ht="15" customHeight="1" x14ac:dyDescent="0.3">
      <c r="B710" s="2" t="s">
        <v>983</v>
      </c>
      <c r="C710" s="4" t="s">
        <v>1176</v>
      </c>
      <c r="D710" s="3" t="s">
        <v>1177</v>
      </c>
      <c r="E710" s="6" t="s">
        <v>1178</v>
      </c>
      <c r="F710" s="6" t="s">
        <v>1179</v>
      </c>
      <c r="G710" s="6" t="s">
        <v>841</v>
      </c>
      <c r="H710" s="25">
        <v>0</v>
      </c>
      <c r="I710" s="38">
        <v>1</v>
      </c>
      <c r="J710" s="38">
        <v>1</v>
      </c>
      <c r="K710" s="39">
        <f t="shared" si="88"/>
        <v>0</v>
      </c>
      <c r="L710" s="38">
        <v>0</v>
      </c>
      <c r="M710" s="38">
        <v>0</v>
      </c>
      <c r="N710" s="39">
        <f t="shared" si="89"/>
        <v>0</v>
      </c>
      <c r="O710" s="38">
        <v>0</v>
      </c>
      <c r="P710" s="38">
        <v>0</v>
      </c>
      <c r="Q710" s="39">
        <f t="shared" si="90"/>
        <v>0</v>
      </c>
      <c r="R710" s="38">
        <v>0</v>
      </c>
      <c r="S710" s="38">
        <v>0</v>
      </c>
      <c r="T710" s="39">
        <f t="shared" si="91"/>
        <v>0</v>
      </c>
      <c r="U710" s="38">
        <v>0</v>
      </c>
      <c r="V710" s="38">
        <v>0</v>
      </c>
      <c r="W710" s="39">
        <f t="shared" si="92"/>
        <v>0</v>
      </c>
      <c r="X710" s="38"/>
      <c r="Y710" s="38"/>
      <c r="Z710" s="39">
        <f t="shared" si="93"/>
        <v>0</v>
      </c>
      <c r="AA710" s="38"/>
      <c r="AB710" s="38"/>
      <c r="AC710" s="39">
        <f t="shared" si="94"/>
        <v>0</v>
      </c>
      <c r="AD710" s="38"/>
      <c r="AE710" s="38"/>
      <c r="AF710" s="39">
        <f t="shared" si="95"/>
        <v>0</v>
      </c>
    </row>
    <row r="711" spans="2:32" ht="15" customHeight="1" x14ac:dyDescent="0.3">
      <c r="B711" s="2" t="s">
        <v>983</v>
      </c>
      <c r="C711" s="4" t="s">
        <v>1176</v>
      </c>
      <c r="D711" s="3" t="s">
        <v>1177</v>
      </c>
      <c r="E711" s="6" t="s">
        <v>1180</v>
      </c>
      <c r="F711" s="6" t="s">
        <v>158</v>
      </c>
      <c r="G711" s="6" t="s">
        <v>841</v>
      </c>
      <c r="H711" s="25">
        <v>0</v>
      </c>
      <c r="I711" s="38">
        <v>0</v>
      </c>
      <c r="J711" s="38">
        <v>0</v>
      </c>
      <c r="K711" s="39">
        <f t="shared" si="88"/>
        <v>0</v>
      </c>
      <c r="L711" s="38">
        <v>0</v>
      </c>
      <c r="M711" s="38">
        <v>0</v>
      </c>
      <c r="N711" s="39">
        <f t="shared" si="89"/>
        <v>0</v>
      </c>
      <c r="O711" s="38">
        <v>0</v>
      </c>
      <c r="P711" s="38">
        <v>0</v>
      </c>
      <c r="Q711" s="39">
        <f t="shared" si="90"/>
        <v>0</v>
      </c>
      <c r="R711" s="38">
        <v>0</v>
      </c>
      <c r="S711" s="38">
        <v>0</v>
      </c>
      <c r="T711" s="39">
        <f t="shared" si="91"/>
        <v>0</v>
      </c>
      <c r="U711" s="38">
        <v>0</v>
      </c>
      <c r="V711" s="38">
        <v>0</v>
      </c>
      <c r="W711" s="39">
        <f t="shared" si="92"/>
        <v>0</v>
      </c>
      <c r="X711" s="38"/>
      <c r="Y711" s="38"/>
      <c r="Z711" s="39">
        <f t="shared" si="93"/>
        <v>0</v>
      </c>
      <c r="AA711" s="38"/>
      <c r="AB711" s="38"/>
      <c r="AC711" s="39">
        <f t="shared" si="94"/>
        <v>0</v>
      </c>
      <c r="AD711" s="38"/>
      <c r="AE711" s="38"/>
      <c r="AF711" s="39">
        <f t="shared" si="95"/>
        <v>0</v>
      </c>
    </row>
    <row r="712" spans="2:32" ht="15" customHeight="1" x14ac:dyDescent="0.3">
      <c r="B712" s="2" t="s">
        <v>983</v>
      </c>
      <c r="C712" s="4" t="s">
        <v>1176</v>
      </c>
      <c r="D712" s="3" t="s">
        <v>1177</v>
      </c>
      <c r="E712" s="6" t="s">
        <v>1180</v>
      </c>
      <c r="F712" s="6" t="s">
        <v>1025</v>
      </c>
      <c r="G712" s="6" t="s">
        <v>841</v>
      </c>
      <c r="H712" s="25">
        <v>0</v>
      </c>
      <c r="I712" s="38">
        <v>0</v>
      </c>
      <c r="J712" s="38">
        <v>0</v>
      </c>
      <c r="K712" s="39">
        <f t="shared" si="88"/>
        <v>0</v>
      </c>
      <c r="L712" s="38">
        <v>0</v>
      </c>
      <c r="M712" s="38">
        <v>0</v>
      </c>
      <c r="N712" s="39">
        <f t="shared" si="89"/>
        <v>0</v>
      </c>
      <c r="O712" s="38">
        <v>0</v>
      </c>
      <c r="P712" s="38">
        <v>0</v>
      </c>
      <c r="Q712" s="39">
        <f t="shared" si="90"/>
        <v>0</v>
      </c>
      <c r="R712" s="38">
        <v>0</v>
      </c>
      <c r="S712" s="38">
        <v>0</v>
      </c>
      <c r="T712" s="39">
        <f t="shared" si="91"/>
        <v>0</v>
      </c>
      <c r="U712" s="38">
        <v>0</v>
      </c>
      <c r="V712" s="38">
        <v>0</v>
      </c>
      <c r="W712" s="39">
        <f t="shared" si="92"/>
        <v>0</v>
      </c>
      <c r="X712" s="38"/>
      <c r="Y712" s="38"/>
      <c r="Z712" s="39">
        <f t="shared" si="93"/>
        <v>0</v>
      </c>
      <c r="AA712" s="38"/>
      <c r="AB712" s="38"/>
      <c r="AC712" s="39">
        <f t="shared" si="94"/>
        <v>0</v>
      </c>
      <c r="AD712" s="38"/>
      <c r="AE712" s="38"/>
      <c r="AF712" s="39">
        <f t="shared" si="95"/>
        <v>0</v>
      </c>
    </row>
    <row r="713" spans="2:32" ht="15" customHeight="1" x14ac:dyDescent="0.3">
      <c r="B713" s="2" t="s">
        <v>983</v>
      </c>
      <c r="C713" s="4" t="s">
        <v>1176</v>
      </c>
      <c r="D713" s="3" t="s">
        <v>1177</v>
      </c>
      <c r="E713" s="6" t="s">
        <v>1180</v>
      </c>
      <c r="F713" s="6" t="s">
        <v>149</v>
      </c>
      <c r="G713" s="6" t="s">
        <v>707</v>
      </c>
      <c r="H713" s="25">
        <v>391991.03749999998</v>
      </c>
      <c r="I713" s="38">
        <v>5</v>
      </c>
      <c r="J713" s="38">
        <v>5</v>
      </c>
      <c r="K713" s="39">
        <f t="shared" si="88"/>
        <v>9799775.9375</v>
      </c>
      <c r="L713" s="38">
        <v>0</v>
      </c>
      <c r="M713" s="38">
        <v>0</v>
      </c>
      <c r="N713" s="39">
        <f t="shared" si="89"/>
        <v>0</v>
      </c>
      <c r="O713" s="38">
        <v>0</v>
      </c>
      <c r="P713" s="38">
        <v>0</v>
      </c>
      <c r="Q713" s="39">
        <f t="shared" si="90"/>
        <v>0</v>
      </c>
      <c r="R713" s="38">
        <v>0</v>
      </c>
      <c r="S713" s="38">
        <v>0</v>
      </c>
      <c r="T713" s="39">
        <f t="shared" si="91"/>
        <v>0</v>
      </c>
      <c r="U713" s="38">
        <v>0</v>
      </c>
      <c r="V713" s="38">
        <v>0</v>
      </c>
      <c r="W713" s="39">
        <f t="shared" si="92"/>
        <v>0</v>
      </c>
      <c r="X713" s="38"/>
      <c r="Y713" s="38"/>
      <c r="Z713" s="39">
        <f t="shared" si="93"/>
        <v>0</v>
      </c>
      <c r="AA713" s="38"/>
      <c r="AB713" s="38"/>
      <c r="AC713" s="39">
        <f t="shared" si="94"/>
        <v>0</v>
      </c>
      <c r="AD713" s="38"/>
      <c r="AE713" s="38"/>
      <c r="AF713" s="39">
        <f t="shared" si="95"/>
        <v>0</v>
      </c>
    </row>
    <row r="714" spans="2:32" ht="15" customHeight="1" x14ac:dyDescent="0.3">
      <c r="B714" s="2" t="s">
        <v>983</v>
      </c>
      <c r="C714" s="4" t="s">
        <v>1176</v>
      </c>
      <c r="D714" s="3" t="s">
        <v>1177</v>
      </c>
      <c r="E714" s="6" t="s">
        <v>1180</v>
      </c>
      <c r="F714" s="6" t="s">
        <v>149</v>
      </c>
      <c r="G714" s="6" t="s">
        <v>708</v>
      </c>
      <c r="H714" s="25">
        <v>425000</v>
      </c>
      <c r="I714" s="38">
        <v>1</v>
      </c>
      <c r="J714" s="38">
        <v>4</v>
      </c>
      <c r="K714" s="39">
        <f t="shared" si="88"/>
        <v>1700000</v>
      </c>
      <c r="L714" s="38">
        <v>0</v>
      </c>
      <c r="M714" s="38">
        <v>0</v>
      </c>
      <c r="N714" s="39">
        <f t="shared" si="89"/>
        <v>0</v>
      </c>
      <c r="O714" s="38">
        <v>0</v>
      </c>
      <c r="P714" s="38">
        <v>0</v>
      </c>
      <c r="Q714" s="39">
        <f t="shared" si="90"/>
        <v>0</v>
      </c>
      <c r="R714" s="38">
        <v>0</v>
      </c>
      <c r="S714" s="38">
        <v>0</v>
      </c>
      <c r="T714" s="39">
        <f t="shared" si="91"/>
        <v>0</v>
      </c>
      <c r="U714" s="38">
        <v>0</v>
      </c>
      <c r="V714" s="38">
        <v>0</v>
      </c>
      <c r="W714" s="39">
        <f t="shared" si="92"/>
        <v>0</v>
      </c>
      <c r="X714" s="38"/>
      <c r="Y714" s="38"/>
      <c r="Z714" s="39">
        <f t="shared" si="93"/>
        <v>0</v>
      </c>
      <c r="AA714" s="38"/>
      <c r="AB714" s="38"/>
      <c r="AC714" s="39">
        <f t="shared" si="94"/>
        <v>0</v>
      </c>
      <c r="AD714" s="38"/>
      <c r="AE714" s="38"/>
      <c r="AF714" s="39">
        <f t="shared" si="95"/>
        <v>0</v>
      </c>
    </row>
    <row r="715" spans="2:32" ht="15" customHeight="1" x14ac:dyDescent="0.3">
      <c r="B715" s="2" t="s">
        <v>983</v>
      </c>
      <c r="C715" s="4" t="s">
        <v>1176</v>
      </c>
      <c r="D715" s="3" t="s">
        <v>1177</v>
      </c>
      <c r="E715" s="6" t="s">
        <v>1180</v>
      </c>
      <c r="F715" s="6" t="s">
        <v>1181</v>
      </c>
      <c r="G715" s="6" t="s">
        <v>841</v>
      </c>
      <c r="H715" s="25">
        <v>0</v>
      </c>
      <c r="I715" s="38">
        <v>1</v>
      </c>
      <c r="J715" s="38">
        <v>40</v>
      </c>
      <c r="K715" s="39">
        <f t="shared" si="88"/>
        <v>0</v>
      </c>
      <c r="L715" s="38">
        <v>0</v>
      </c>
      <c r="M715" s="38">
        <v>0</v>
      </c>
      <c r="N715" s="39">
        <f t="shared" si="89"/>
        <v>0</v>
      </c>
      <c r="O715" s="38">
        <v>0</v>
      </c>
      <c r="P715" s="38">
        <v>0</v>
      </c>
      <c r="Q715" s="39">
        <f t="shared" si="90"/>
        <v>0</v>
      </c>
      <c r="R715" s="38">
        <v>0</v>
      </c>
      <c r="S715" s="38">
        <v>0</v>
      </c>
      <c r="T715" s="39">
        <f t="shared" si="91"/>
        <v>0</v>
      </c>
      <c r="U715" s="38">
        <v>0</v>
      </c>
      <c r="V715" s="38">
        <v>0</v>
      </c>
      <c r="W715" s="39">
        <f t="shared" si="92"/>
        <v>0</v>
      </c>
      <c r="X715" s="38"/>
      <c r="Y715" s="38"/>
      <c r="Z715" s="39">
        <f t="shared" si="93"/>
        <v>0</v>
      </c>
      <c r="AA715" s="38"/>
      <c r="AB715" s="38"/>
      <c r="AC715" s="39">
        <f t="shared" si="94"/>
        <v>0</v>
      </c>
      <c r="AD715" s="38"/>
      <c r="AE715" s="38"/>
      <c r="AF715" s="39">
        <f t="shared" si="95"/>
        <v>0</v>
      </c>
    </row>
    <row r="716" spans="2:32" ht="15" customHeight="1" x14ac:dyDescent="0.3">
      <c r="B716" s="2" t="s">
        <v>983</v>
      </c>
      <c r="C716" s="4" t="s">
        <v>1176</v>
      </c>
      <c r="D716" s="3" t="s">
        <v>1177</v>
      </c>
      <c r="E716" s="6" t="s">
        <v>1180</v>
      </c>
      <c r="F716" s="6" t="s">
        <v>1015</v>
      </c>
      <c r="G716" s="6" t="s">
        <v>709</v>
      </c>
      <c r="H716" s="25">
        <v>28000</v>
      </c>
      <c r="I716" s="38">
        <v>5</v>
      </c>
      <c r="J716" s="38">
        <v>5</v>
      </c>
      <c r="K716" s="39">
        <f t="shared" si="88"/>
        <v>700000</v>
      </c>
      <c r="L716" s="38">
        <v>0</v>
      </c>
      <c r="M716" s="38">
        <v>0</v>
      </c>
      <c r="N716" s="39">
        <f t="shared" si="89"/>
        <v>0</v>
      </c>
      <c r="O716" s="38">
        <v>0</v>
      </c>
      <c r="P716" s="38">
        <v>0</v>
      </c>
      <c r="Q716" s="39">
        <f t="shared" si="90"/>
        <v>0</v>
      </c>
      <c r="R716" s="38">
        <v>0</v>
      </c>
      <c r="S716" s="38">
        <v>0</v>
      </c>
      <c r="T716" s="39">
        <f t="shared" si="91"/>
        <v>0</v>
      </c>
      <c r="U716" s="38">
        <v>0</v>
      </c>
      <c r="V716" s="38">
        <v>0</v>
      </c>
      <c r="W716" s="39">
        <f t="shared" si="92"/>
        <v>0</v>
      </c>
      <c r="X716" s="38"/>
      <c r="Y716" s="38"/>
      <c r="Z716" s="39">
        <f t="shared" si="93"/>
        <v>0</v>
      </c>
      <c r="AA716" s="38"/>
      <c r="AB716" s="38"/>
      <c r="AC716" s="39">
        <f t="shared" si="94"/>
        <v>0</v>
      </c>
      <c r="AD716" s="38"/>
      <c r="AE716" s="38"/>
      <c r="AF716" s="39">
        <f t="shared" si="95"/>
        <v>0</v>
      </c>
    </row>
    <row r="717" spans="2:32" ht="15" customHeight="1" x14ac:dyDescent="0.3">
      <c r="B717" s="2" t="s">
        <v>983</v>
      </c>
      <c r="C717" s="4" t="s">
        <v>1176</v>
      </c>
      <c r="D717" s="3" t="s">
        <v>1177</v>
      </c>
      <c r="E717" s="6" t="s">
        <v>1180</v>
      </c>
      <c r="F717" s="6" t="s">
        <v>1159</v>
      </c>
      <c r="G717" s="6" t="s">
        <v>713</v>
      </c>
      <c r="H717" s="25">
        <v>45000</v>
      </c>
      <c r="I717" s="38">
        <v>25</v>
      </c>
      <c r="J717" s="38">
        <v>3</v>
      </c>
      <c r="K717" s="39">
        <f t="shared" si="88"/>
        <v>3375000</v>
      </c>
      <c r="L717" s="38">
        <v>0</v>
      </c>
      <c r="M717" s="38">
        <v>0</v>
      </c>
      <c r="N717" s="39">
        <f t="shared" si="89"/>
        <v>0</v>
      </c>
      <c r="O717" s="38">
        <v>0</v>
      </c>
      <c r="P717" s="38">
        <v>0</v>
      </c>
      <c r="Q717" s="39">
        <f t="shared" si="90"/>
        <v>0</v>
      </c>
      <c r="R717" s="38">
        <v>0</v>
      </c>
      <c r="S717" s="38">
        <v>0</v>
      </c>
      <c r="T717" s="39">
        <f t="shared" si="91"/>
        <v>0</v>
      </c>
      <c r="U717" s="38">
        <v>0</v>
      </c>
      <c r="V717" s="38">
        <v>0</v>
      </c>
      <c r="W717" s="39">
        <f t="shared" si="92"/>
        <v>0</v>
      </c>
      <c r="X717" s="38"/>
      <c r="Y717" s="38"/>
      <c r="Z717" s="39">
        <f t="shared" si="93"/>
        <v>0</v>
      </c>
      <c r="AA717" s="38"/>
      <c r="AB717" s="38"/>
      <c r="AC717" s="39">
        <f t="shared" si="94"/>
        <v>0</v>
      </c>
      <c r="AD717" s="38"/>
      <c r="AE717" s="38"/>
      <c r="AF717" s="39">
        <f t="shared" si="95"/>
        <v>0</v>
      </c>
    </row>
    <row r="718" spans="2:32" ht="15" customHeight="1" x14ac:dyDescent="0.3">
      <c r="B718" s="2" t="s">
        <v>983</v>
      </c>
      <c r="C718" s="4" t="s">
        <v>1176</v>
      </c>
      <c r="D718" s="3" t="s">
        <v>1177</v>
      </c>
      <c r="E718" s="6" t="s">
        <v>1180</v>
      </c>
      <c r="F718" s="6" t="s">
        <v>1159</v>
      </c>
      <c r="G718" s="6" t="s">
        <v>712</v>
      </c>
      <c r="H718" s="25">
        <v>214.29</v>
      </c>
      <c r="I718" s="38">
        <v>25</v>
      </c>
      <c r="J718" s="38">
        <v>1</v>
      </c>
      <c r="K718" s="39">
        <f t="shared" si="88"/>
        <v>5357.25</v>
      </c>
      <c r="L718" s="38">
        <v>0</v>
      </c>
      <c r="M718" s="38">
        <v>0</v>
      </c>
      <c r="N718" s="39">
        <f t="shared" si="89"/>
        <v>0</v>
      </c>
      <c r="O718" s="38">
        <v>0</v>
      </c>
      <c r="P718" s="38">
        <v>0</v>
      </c>
      <c r="Q718" s="39">
        <f t="shared" si="90"/>
        <v>0</v>
      </c>
      <c r="R718" s="38">
        <v>0</v>
      </c>
      <c r="S718" s="38">
        <v>0</v>
      </c>
      <c r="T718" s="39">
        <f t="shared" si="91"/>
        <v>0</v>
      </c>
      <c r="U718" s="38">
        <v>0</v>
      </c>
      <c r="V718" s="38">
        <v>0</v>
      </c>
      <c r="W718" s="39">
        <f t="shared" si="92"/>
        <v>0</v>
      </c>
      <c r="X718" s="38"/>
      <c r="Y718" s="38"/>
      <c r="Z718" s="39">
        <f t="shared" si="93"/>
        <v>0</v>
      </c>
      <c r="AA718" s="38"/>
      <c r="AB718" s="38"/>
      <c r="AC718" s="39">
        <f t="shared" si="94"/>
        <v>0</v>
      </c>
      <c r="AD718" s="38"/>
      <c r="AE718" s="38"/>
      <c r="AF718" s="39">
        <f t="shared" si="95"/>
        <v>0</v>
      </c>
    </row>
    <row r="719" spans="2:32" ht="15" customHeight="1" x14ac:dyDescent="0.3">
      <c r="B719" s="2" t="s">
        <v>983</v>
      </c>
      <c r="C719" s="4" t="s">
        <v>1176</v>
      </c>
      <c r="D719" s="3" t="s">
        <v>1177</v>
      </c>
      <c r="E719" s="6" t="s">
        <v>1180</v>
      </c>
      <c r="F719" s="6" t="s">
        <v>1017</v>
      </c>
      <c r="G719" s="6" t="s">
        <v>709</v>
      </c>
      <c r="H719" s="25">
        <v>28000</v>
      </c>
      <c r="I719" s="38">
        <v>4000</v>
      </c>
      <c r="J719" s="38">
        <v>1</v>
      </c>
      <c r="K719" s="39">
        <f t="shared" si="88"/>
        <v>112000000</v>
      </c>
      <c r="L719" s="38">
        <v>0</v>
      </c>
      <c r="M719" s="38">
        <v>0</v>
      </c>
      <c r="N719" s="39">
        <f t="shared" si="89"/>
        <v>0</v>
      </c>
      <c r="O719" s="38">
        <v>0</v>
      </c>
      <c r="P719" s="38">
        <v>0</v>
      </c>
      <c r="Q719" s="39">
        <f t="shared" si="90"/>
        <v>0</v>
      </c>
      <c r="R719" s="38">
        <v>0</v>
      </c>
      <c r="S719" s="38">
        <v>0</v>
      </c>
      <c r="T719" s="39">
        <f t="shared" si="91"/>
        <v>0</v>
      </c>
      <c r="U719" s="38">
        <v>0</v>
      </c>
      <c r="V719" s="38">
        <v>0</v>
      </c>
      <c r="W719" s="39">
        <f t="shared" si="92"/>
        <v>0</v>
      </c>
      <c r="X719" s="38"/>
      <c r="Y719" s="38"/>
      <c r="Z719" s="39">
        <f t="shared" si="93"/>
        <v>0</v>
      </c>
      <c r="AA719" s="38"/>
      <c r="AB719" s="38"/>
      <c r="AC719" s="39">
        <f t="shared" si="94"/>
        <v>0</v>
      </c>
      <c r="AD719" s="38"/>
      <c r="AE719" s="38"/>
      <c r="AF719" s="39">
        <f t="shared" si="95"/>
        <v>0</v>
      </c>
    </row>
    <row r="720" spans="2:32" ht="15" customHeight="1" x14ac:dyDescent="0.3">
      <c r="B720" s="2" t="s">
        <v>983</v>
      </c>
      <c r="C720" s="4" t="s">
        <v>1176</v>
      </c>
      <c r="D720" s="3" t="s">
        <v>1177</v>
      </c>
      <c r="E720" s="6" t="s">
        <v>1180</v>
      </c>
      <c r="F720" s="6" t="s">
        <v>1182</v>
      </c>
      <c r="G720" s="6" t="s">
        <v>713</v>
      </c>
      <c r="H720" s="25">
        <v>45000</v>
      </c>
      <c r="I720" s="38">
        <v>25</v>
      </c>
      <c r="J720" s="38">
        <v>1</v>
      </c>
      <c r="K720" s="39">
        <f t="shared" si="88"/>
        <v>1125000</v>
      </c>
      <c r="L720" s="38">
        <v>0</v>
      </c>
      <c r="M720" s="38">
        <v>0</v>
      </c>
      <c r="N720" s="39">
        <f t="shared" si="89"/>
        <v>0</v>
      </c>
      <c r="O720" s="38">
        <v>0</v>
      </c>
      <c r="P720" s="38">
        <v>0</v>
      </c>
      <c r="Q720" s="39">
        <f t="shared" si="90"/>
        <v>0</v>
      </c>
      <c r="R720" s="38">
        <v>0</v>
      </c>
      <c r="S720" s="38">
        <v>0</v>
      </c>
      <c r="T720" s="39">
        <f t="shared" si="91"/>
        <v>0</v>
      </c>
      <c r="U720" s="38">
        <v>0</v>
      </c>
      <c r="V720" s="38">
        <v>0</v>
      </c>
      <c r="W720" s="39">
        <f t="shared" si="92"/>
        <v>0</v>
      </c>
      <c r="X720" s="38"/>
      <c r="Y720" s="38"/>
      <c r="Z720" s="39">
        <f t="shared" si="93"/>
        <v>0</v>
      </c>
      <c r="AA720" s="38"/>
      <c r="AB720" s="38"/>
      <c r="AC720" s="39">
        <f t="shared" si="94"/>
        <v>0</v>
      </c>
      <c r="AD720" s="38"/>
      <c r="AE720" s="38"/>
      <c r="AF720" s="39">
        <f t="shared" si="95"/>
        <v>0</v>
      </c>
    </row>
    <row r="721" spans="2:32" ht="15" customHeight="1" x14ac:dyDescent="0.3">
      <c r="B721" s="2" t="s">
        <v>983</v>
      </c>
      <c r="C721" s="4" t="s">
        <v>1176</v>
      </c>
      <c r="D721" s="3" t="s">
        <v>1177</v>
      </c>
      <c r="E721" s="6" t="s">
        <v>1180</v>
      </c>
      <c r="F721" s="6" t="s">
        <v>1182</v>
      </c>
      <c r="G721" s="6" t="s">
        <v>712</v>
      </c>
      <c r="H721" s="25">
        <v>214.29</v>
      </c>
      <c r="I721" s="38">
        <v>25</v>
      </c>
      <c r="J721" s="38">
        <v>10</v>
      </c>
      <c r="K721" s="39">
        <f t="shared" si="88"/>
        <v>53572.5</v>
      </c>
      <c r="L721" s="38">
        <v>0</v>
      </c>
      <c r="M721" s="38">
        <v>0</v>
      </c>
      <c r="N721" s="39">
        <f t="shared" si="89"/>
        <v>0</v>
      </c>
      <c r="O721" s="38">
        <v>0</v>
      </c>
      <c r="P721" s="38">
        <v>0</v>
      </c>
      <c r="Q721" s="39">
        <f t="shared" si="90"/>
        <v>0</v>
      </c>
      <c r="R721" s="38">
        <v>0</v>
      </c>
      <c r="S721" s="38">
        <v>0</v>
      </c>
      <c r="T721" s="39">
        <f t="shared" si="91"/>
        <v>0</v>
      </c>
      <c r="U721" s="38">
        <v>0</v>
      </c>
      <c r="V721" s="38">
        <v>0</v>
      </c>
      <c r="W721" s="39">
        <f t="shared" si="92"/>
        <v>0</v>
      </c>
      <c r="X721" s="38"/>
      <c r="Y721" s="38"/>
      <c r="Z721" s="39">
        <f t="shared" si="93"/>
        <v>0</v>
      </c>
      <c r="AA721" s="38"/>
      <c r="AB721" s="38"/>
      <c r="AC721" s="39">
        <f t="shared" si="94"/>
        <v>0</v>
      </c>
      <c r="AD721" s="38"/>
      <c r="AE721" s="38"/>
      <c r="AF721" s="39">
        <f t="shared" si="95"/>
        <v>0</v>
      </c>
    </row>
    <row r="722" spans="2:32" ht="15" customHeight="1" x14ac:dyDescent="0.3">
      <c r="B722" s="2" t="s">
        <v>983</v>
      </c>
      <c r="C722" s="4" t="s">
        <v>1176</v>
      </c>
      <c r="D722" s="3" t="s">
        <v>1177</v>
      </c>
      <c r="E722" s="6" t="s">
        <v>1180</v>
      </c>
      <c r="F722" s="6" t="s">
        <v>1182</v>
      </c>
      <c r="G722" s="6" t="s">
        <v>714</v>
      </c>
      <c r="H722" s="25">
        <v>10000</v>
      </c>
      <c r="I722" s="38">
        <v>20000</v>
      </c>
      <c r="J722" s="38"/>
      <c r="K722" s="39">
        <f t="shared" si="88"/>
        <v>0</v>
      </c>
      <c r="L722" s="38">
        <v>0</v>
      </c>
      <c r="M722" s="38">
        <v>0</v>
      </c>
      <c r="N722" s="39">
        <f t="shared" si="89"/>
        <v>0</v>
      </c>
      <c r="O722" s="38">
        <v>0</v>
      </c>
      <c r="P722" s="38">
        <v>0</v>
      </c>
      <c r="Q722" s="39">
        <f t="shared" si="90"/>
        <v>0</v>
      </c>
      <c r="R722" s="38">
        <v>0</v>
      </c>
      <c r="S722" s="38">
        <v>0</v>
      </c>
      <c r="T722" s="39">
        <f t="shared" si="91"/>
        <v>0</v>
      </c>
      <c r="U722" s="38">
        <v>0</v>
      </c>
      <c r="V722" s="38">
        <v>0</v>
      </c>
      <c r="W722" s="39">
        <f t="shared" si="92"/>
        <v>0</v>
      </c>
      <c r="X722" s="38"/>
      <c r="Y722" s="38"/>
      <c r="Z722" s="39">
        <f t="shared" si="93"/>
        <v>0</v>
      </c>
      <c r="AA722" s="38"/>
      <c r="AB722" s="38"/>
      <c r="AC722" s="39">
        <f t="shared" si="94"/>
        <v>0</v>
      </c>
      <c r="AD722" s="38"/>
      <c r="AE722" s="38"/>
      <c r="AF722" s="39">
        <f t="shared" si="95"/>
        <v>0</v>
      </c>
    </row>
    <row r="723" spans="2:32" ht="15" customHeight="1" x14ac:dyDescent="0.3">
      <c r="B723" s="2" t="s">
        <v>983</v>
      </c>
      <c r="C723" s="4" t="s">
        <v>1176</v>
      </c>
      <c r="D723" s="3" t="s">
        <v>1177</v>
      </c>
      <c r="E723" s="6" t="s">
        <v>1180</v>
      </c>
      <c r="F723" s="6" t="s">
        <v>1004</v>
      </c>
      <c r="G723" s="6" t="s">
        <v>709</v>
      </c>
      <c r="H723" s="25">
        <v>28000</v>
      </c>
      <c r="I723" s="38">
        <v>15</v>
      </c>
      <c r="J723" s="38">
        <v>1</v>
      </c>
      <c r="K723" s="39">
        <f t="shared" si="88"/>
        <v>420000</v>
      </c>
      <c r="L723" s="38">
        <v>0</v>
      </c>
      <c r="M723" s="38">
        <v>0</v>
      </c>
      <c r="N723" s="39">
        <f t="shared" si="89"/>
        <v>0</v>
      </c>
      <c r="O723" s="38">
        <v>0</v>
      </c>
      <c r="P723" s="38">
        <v>0</v>
      </c>
      <c r="Q723" s="39">
        <f t="shared" si="90"/>
        <v>0</v>
      </c>
      <c r="R723" s="38">
        <v>0</v>
      </c>
      <c r="S723" s="38">
        <v>0</v>
      </c>
      <c r="T723" s="39">
        <f t="shared" si="91"/>
        <v>0</v>
      </c>
      <c r="U723" s="38">
        <v>0</v>
      </c>
      <c r="V723" s="38">
        <v>0</v>
      </c>
      <c r="W723" s="39">
        <f t="shared" si="92"/>
        <v>0</v>
      </c>
      <c r="X723" s="38"/>
      <c r="Y723" s="38"/>
      <c r="Z723" s="39">
        <f t="shared" si="93"/>
        <v>0</v>
      </c>
      <c r="AA723" s="38"/>
      <c r="AB723" s="38"/>
      <c r="AC723" s="39">
        <f t="shared" si="94"/>
        <v>0</v>
      </c>
      <c r="AD723" s="38"/>
      <c r="AE723" s="38"/>
      <c r="AF723" s="39">
        <f t="shared" si="95"/>
        <v>0</v>
      </c>
    </row>
    <row r="724" spans="2:32" ht="15" customHeight="1" x14ac:dyDescent="0.3">
      <c r="B724" s="2" t="s">
        <v>983</v>
      </c>
      <c r="C724" s="4" t="s">
        <v>1176</v>
      </c>
      <c r="D724" s="3" t="s">
        <v>1177</v>
      </c>
      <c r="E724" s="6" t="s">
        <v>1180</v>
      </c>
      <c r="F724" s="6" t="s">
        <v>1004</v>
      </c>
      <c r="G724" s="6" t="s">
        <v>716</v>
      </c>
      <c r="H724" s="25">
        <v>39000</v>
      </c>
      <c r="I724" s="38">
        <v>13</v>
      </c>
      <c r="J724" s="38">
        <v>10</v>
      </c>
      <c r="K724" s="39">
        <f t="shared" si="88"/>
        <v>5070000</v>
      </c>
      <c r="L724" s="38">
        <v>0</v>
      </c>
      <c r="M724" s="38">
        <v>0</v>
      </c>
      <c r="N724" s="39">
        <f t="shared" si="89"/>
        <v>0</v>
      </c>
      <c r="O724" s="38">
        <v>0</v>
      </c>
      <c r="P724" s="38">
        <v>0</v>
      </c>
      <c r="Q724" s="39">
        <f t="shared" si="90"/>
        <v>0</v>
      </c>
      <c r="R724" s="38">
        <v>0</v>
      </c>
      <c r="S724" s="38">
        <v>0</v>
      </c>
      <c r="T724" s="39">
        <f t="shared" si="91"/>
        <v>0</v>
      </c>
      <c r="U724" s="38">
        <v>0</v>
      </c>
      <c r="V724" s="38">
        <v>0</v>
      </c>
      <c r="W724" s="39">
        <f t="shared" si="92"/>
        <v>0</v>
      </c>
      <c r="X724" s="38"/>
      <c r="Y724" s="38"/>
      <c r="Z724" s="39">
        <f t="shared" si="93"/>
        <v>0</v>
      </c>
      <c r="AA724" s="38"/>
      <c r="AB724" s="38"/>
      <c r="AC724" s="39">
        <f t="shared" si="94"/>
        <v>0</v>
      </c>
      <c r="AD724" s="38"/>
      <c r="AE724" s="38"/>
      <c r="AF724" s="39">
        <f t="shared" si="95"/>
        <v>0</v>
      </c>
    </row>
    <row r="725" spans="2:32" ht="15" customHeight="1" x14ac:dyDescent="0.3">
      <c r="B725" s="2" t="s">
        <v>983</v>
      </c>
      <c r="C725" s="4" t="s">
        <v>1176</v>
      </c>
      <c r="D725" s="3" t="s">
        <v>1177</v>
      </c>
      <c r="E725" s="6" t="s">
        <v>1180</v>
      </c>
      <c r="F725" s="6" t="s">
        <v>1004</v>
      </c>
      <c r="G725" s="6" t="s">
        <v>712</v>
      </c>
      <c r="H725" s="25">
        <v>214.29</v>
      </c>
      <c r="I725" s="38">
        <v>13</v>
      </c>
      <c r="J725" s="38">
        <v>10</v>
      </c>
      <c r="K725" s="39">
        <f t="shared" si="88"/>
        <v>27857.7</v>
      </c>
      <c r="L725" s="38">
        <v>0</v>
      </c>
      <c r="M725" s="38">
        <v>0</v>
      </c>
      <c r="N725" s="39">
        <f t="shared" si="89"/>
        <v>0</v>
      </c>
      <c r="O725" s="38">
        <v>0</v>
      </c>
      <c r="P725" s="38">
        <v>0</v>
      </c>
      <c r="Q725" s="39">
        <f t="shared" si="90"/>
        <v>0</v>
      </c>
      <c r="R725" s="38">
        <v>0</v>
      </c>
      <c r="S725" s="38">
        <v>0</v>
      </c>
      <c r="T725" s="39">
        <f t="shared" si="91"/>
        <v>0</v>
      </c>
      <c r="U725" s="38">
        <v>0</v>
      </c>
      <c r="V725" s="38">
        <v>0</v>
      </c>
      <c r="W725" s="39">
        <f t="shared" si="92"/>
        <v>0</v>
      </c>
      <c r="X725" s="38"/>
      <c r="Y725" s="38"/>
      <c r="Z725" s="39">
        <f t="shared" si="93"/>
        <v>0</v>
      </c>
      <c r="AA725" s="38"/>
      <c r="AB725" s="38"/>
      <c r="AC725" s="39">
        <f t="shared" si="94"/>
        <v>0</v>
      </c>
      <c r="AD725" s="38"/>
      <c r="AE725" s="38"/>
      <c r="AF725" s="39">
        <f t="shared" si="95"/>
        <v>0</v>
      </c>
    </row>
    <row r="726" spans="2:32" ht="15" customHeight="1" x14ac:dyDescent="0.3">
      <c r="B726" s="2" t="s">
        <v>983</v>
      </c>
      <c r="C726" s="4" t="s">
        <v>1176</v>
      </c>
      <c r="D726" s="3" t="s">
        <v>1177</v>
      </c>
      <c r="E726" s="6" t="s">
        <v>1180</v>
      </c>
      <c r="F726" s="6" t="s">
        <v>1183</v>
      </c>
      <c r="G726" s="6" t="s">
        <v>841</v>
      </c>
      <c r="H726" s="25">
        <v>0</v>
      </c>
      <c r="I726" s="38">
        <v>4000</v>
      </c>
      <c r="J726" s="38">
        <v>1</v>
      </c>
      <c r="K726" s="39">
        <f t="shared" si="88"/>
        <v>0</v>
      </c>
      <c r="L726" s="38">
        <v>0</v>
      </c>
      <c r="M726" s="38">
        <v>0</v>
      </c>
      <c r="N726" s="39">
        <f t="shared" si="89"/>
        <v>0</v>
      </c>
      <c r="O726" s="38">
        <v>0</v>
      </c>
      <c r="P726" s="38">
        <v>0</v>
      </c>
      <c r="Q726" s="39">
        <f t="shared" si="90"/>
        <v>0</v>
      </c>
      <c r="R726" s="38">
        <v>0</v>
      </c>
      <c r="S726" s="38">
        <v>0</v>
      </c>
      <c r="T726" s="39">
        <f t="shared" si="91"/>
        <v>0</v>
      </c>
      <c r="U726" s="38">
        <v>0</v>
      </c>
      <c r="V726" s="38">
        <v>0</v>
      </c>
      <c r="W726" s="39">
        <f t="shared" si="92"/>
        <v>0</v>
      </c>
      <c r="X726" s="38"/>
      <c r="Y726" s="38"/>
      <c r="Z726" s="39">
        <f t="shared" si="93"/>
        <v>0</v>
      </c>
      <c r="AA726" s="38"/>
      <c r="AB726" s="38"/>
      <c r="AC726" s="39">
        <f t="shared" si="94"/>
        <v>0</v>
      </c>
      <c r="AD726" s="38"/>
      <c r="AE726" s="38"/>
      <c r="AF726" s="39">
        <f t="shared" si="95"/>
        <v>0</v>
      </c>
    </row>
    <row r="727" spans="2:32" ht="15" customHeight="1" x14ac:dyDescent="0.3">
      <c r="B727" s="2" t="s">
        <v>983</v>
      </c>
      <c r="C727" s="4" t="s">
        <v>1176</v>
      </c>
      <c r="D727" s="3" t="s">
        <v>1177</v>
      </c>
      <c r="E727" s="6" t="s">
        <v>1180</v>
      </c>
      <c r="F727" s="6" t="s">
        <v>168</v>
      </c>
      <c r="G727" s="6" t="s">
        <v>709</v>
      </c>
      <c r="H727" s="25">
        <v>28000</v>
      </c>
      <c r="I727" s="38">
        <v>0</v>
      </c>
      <c r="J727" s="38">
        <v>0</v>
      </c>
      <c r="K727" s="39">
        <f t="shared" si="88"/>
        <v>0</v>
      </c>
      <c r="L727" s="38">
        <v>0</v>
      </c>
      <c r="M727" s="38">
        <v>0</v>
      </c>
      <c r="N727" s="39">
        <f t="shared" si="89"/>
        <v>0</v>
      </c>
      <c r="O727" s="38">
        <v>0</v>
      </c>
      <c r="P727" s="38">
        <v>0</v>
      </c>
      <c r="Q727" s="39">
        <f t="shared" si="90"/>
        <v>0</v>
      </c>
      <c r="R727" s="38">
        <v>0</v>
      </c>
      <c r="S727" s="38">
        <v>0</v>
      </c>
      <c r="T727" s="39">
        <f t="shared" si="91"/>
        <v>0</v>
      </c>
      <c r="U727" s="38">
        <v>0</v>
      </c>
      <c r="V727" s="38">
        <v>0</v>
      </c>
      <c r="W727" s="39">
        <f t="shared" si="92"/>
        <v>0</v>
      </c>
      <c r="X727" s="38"/>
      <c r="Y727" s="38"/>
      <c r="Z727" s="39">
        <f t="shared" si="93"/>
        <v>0</v>
      </c>
      <c r="AA727" s="38"/>
      <c r="AB727" s="38"/>
      <c r="AC727" s="39">
        <f t="shared" si="94"/>
        <v>0</v>
      </c>
      <c r="AD727" s="38"/>
      <c r="AE727" s="38"/>
      <c r="AF727" s="39">
        <f t="shared" si="95"/>
        <v>0</v>
      </c>
    </row>
    <row r="728" spans="2:32" ht="15" customHeight="1" x14ac:dyDescent="0.3">
      <c r="B728" s="2" t="s">
        <v>983</v>
      </c>
      <c r="C728" s="4" t="s">
        <v>1176</v>
      </c>
      <c r="D728" s="3" t="s">
        <v>1177</v>
      </c>
      <c r="E728" s="6" t="s">
        <v>1180</v>
      </c>
      <c r="F728" s="6" t="s">
        <v>168</v>
      </c>
      <c r="G728" s="6" t="s">
        <v>716</v>
      </c>
      <c r="H728" s="25">
        <v>39000</v>
      </c>
      <c r="I728" s="38">
        <v>50</v>
      </c>
      <c r="J728" s="38">
        <v>1</v>
      </c>
      <c r="K728" s="39">
        <f t="shared" si="88"/>
        <v>1950000</v>
      </c>
      <c r="L728" s="38">
        <v>0</v>
      </c>
      <c r="M728" s="38">
        <v>0</v>
      </c>
      <c r="N728" s="39">
        <f t="shared" si="89"/>
        <v>0</v>
      </c>
      <c r="O728" s="38">
        <v>0</v>
      </c>
      <c r="P728" s="38">
        <v>0</v>
      </c>
      <c r="Q728" s="39">
        <f t="shared" si="90"/>
        <v>0</v>
      </c>
      <c r="R728" s="38">
        <v>0</v>
      </c>
      <c r="S728" s="38">
        <v>0</v>
      </c>
      <c r="T728" s="39">
        <f t="shared" si="91"/>
        <v>0</v>
      </c>
      <c r="U728" s="38">
        <v>0</v>
      </c>
      <c r="V728" s="38">
        <v>0</v>
      </c>
      <c r="W728" s="39">
        <f t="shared" si="92"/>
        <v>0</v>
      </c>
      <c r="X728" s="38"/>
      <c r="Y728" s="38"/>
      <c r="Z728" s="39">
        <f t="shared" si="93"/>
        <v>0</v>
      </c>
      <c r="AA728" s="38"/>
      <c r="AB728" s="38"/>
      <c r="AC728" s="39">
        <f t="shared" si="94"/>
        <v>0</v>
      </c>
      <c r="AD728" s="38"/>
      <c r="AE728" s="38"/>
      <c r="AF728" s="39">
        <f t="shared" si="95"/>
        <v>0</v>
      </c>
    </row>
    <row r="729" spans="2:32" ht="15" customHeight="1" x14ac:dyDescent="0.3">
      <c r="B729" s="2" t="s">
        <v>983</v>
      </c>
      <c r="C729" s="4" t="s">
        <v>1176</v>
      </c>
      <c r="D729" s="3" t="s">
        <v>1177</v>
      </c>
      <c r="E729" s="6" t="s">
        <v>1180</v>
      </c>
      <c r="F729" s="6" t="s">
        <v>168</v>
      </c>
      <c r="G729" s="6" t="s">
        <v>712</v>
      </c>
      <c r="H729" s="25">
        <v>214.29</v>
      </c>
      <c r="I729" s="38">
        <v>20</v>
      </c>
      <c r="J729" s="38">
        <v>1</v>
      </c>
      <c r="K729" s="39">
        <f t="shared" si="88"/>
        <v>4285.8</v>
      </c>
      <c r="L729" s="38">
        <v>0</v>
      </c>
      <c r="M729" s="38">
        <v>0</v>
      </c>
      <c r="N729" s="39">
        <f t="shared" si="89"/>
        <v>0</v>
      </c>
      <c r="O729" s="38">
        <v>0</v>
      </c>
      <c r="P729" s="38">
        <v>0</v>
      </c>
      <c r="Q729" s="39">
        <f t="shared" si="90"/>
        <v>0</v>
      </c>
      <c r="R729" s="38">
        <v>0</v>
      </c>
      <c r="S729" s="38">
        <v>0</v>
      </c>
      <c r="T729" s="39">
        <f t="shared" si="91"/>
        <v>0</v>
      </c>
      <c r="U729" s="38">
        <v>0</v>
      </c>
      <c r="V729" s="38">
        <v>0</v>
      </c>
      <c r="W729" s="39">
        <f t="shared" si="92"/>
        <v>0</v>
      </c>
      <c r="X729" s="38"/>
      <c r="Y729" s="38"/>
      <c r="Z729" s="39">
        <f t="shared" si="93"/>
        <v>0</v>
      </c>
      <c r="AA729" s="38"/>
      <c r="AB729" s="38"/>
      <c r="AC729" s="39">
        <f t="shared" si="94"/>
        <v>0</v>
      </c>
      <c r="AD729" s="38"/>
      <c r="AE729" s="38"/>
      <c r="AF729" s="39">
        <f t="shared" si="95"/>
        <v>0</v>
      </c>
    </row>
    <row r="730" spans="2:32" ht="15" customHeight="1" x14ac:dyDescent="0.3">
      <c r="B730" s="2" t="s">
        <v>983</v>
      </c>
      <c r="C730" s="4" t="s">
        <v>1176</v>
      </c>
      <c r="D730" s="3" t="s">
        <v>1177</v>
      </c>
      <c r="E730" s="6" t="s">
        <v>1180</v>
      </c>
      <c r="F730" s="6" t="s">
        <v>154</v>
      </c>
      <c r="G730" s="6" t="s">
        <v>709</v>
      </c>
      <c r="H730" s="25">
        <v>28000</v>
      </c>
      <c r="I730" s="38">
        <v>4000</v>
      </c>
      <c r="J730" s="38">
        <v>1</v>
      </c>
      <c r="K730" s="39">
        <f t="shared" si="88"/>
        <v>112000000</v>
      </c>
      <c r="L730" s="38">
        <v>0</v>
      </c>
      <c r="M730" s="38">
        <v>0</v>
      </c>
      <c r="N730" s="39">
        <f t="shared" si="89"/>
        <v>0</v>
      </c>
      <c r="O730" s="38">
        <v>0</v>
      </c>
      <c r="P730" s="38">
        <v>0</v>
      </c>
      <c r="Q730" s="39">
        <f t="shared" si="90"/>
        <v>0</v>
      </c>
      <c r="R730" s="38">
        <v>0</v>
      </c>
      <c r="S730" s="38">
        <v>0</v>
      </c>
      <c r="T730" s="39">
        <f t="shared" si="91"/>
        <v>0</v>
      </c>
      <c r="U730" s="38">
        <v>0</v>
      </c>
      <c r="V730" s="38">
        <v>0</v>
      </c>
      <c r="W730" s="39">
        <f t="shared" si="92"/>
        <v>0</v>
      </c>
      <c r="X730" s="38"/>
      <c r="Y730" s="38"/>
      <c r="Z730" s="39">
        <f t="shared" si="93"/>
        <v>0</v>
      </c>
      <c r="AA730" s="38"/>
      <c r="AB730" s="38"/>
      <c r="AC730" s="39">
        <f t="shared" si="94"/>
        <v>0</v>
      </c>
      <c r="AD730" s="38"/>
      <c r="AE730" s="38"/>
      <c r="AF730" s="39">
        <f t="shared" si="95"/>
        <v>0</v>
      </c>
    </row>
    <row r="731" spans="2:32" ht="15" customHeight="1" x14ac:dyDescent="0.3">
      <c r="B731" s="2" t="s">
        <v>983</v>
      </c>
      <c r="C731" s="4" t="s">
        <v>1176</v>
      </c>
      <c r="D731" s="3" t="s">
        <v>1177</v>
      </c>
      <c r="E731" s="6" t="s">
        <v>1180</v>
      </c>
      <c r="F731" s="6" t="s">
        <v>154</v>
      </c>
      <c r="G731" s="6" t="s">
        <v>716</v>
      </c>
      <c r="H731" s="25">
        <v>39000</v>
      </c>
      <c r="I731" s="38">
        <v>100</v>
      </c>
      <c r="J731" s="38">
        <v>1</v>
      </c>
      <c r="K731" s="39">
        <f t="shared" si="88"/>
        <v>3900000</v>
      </c>
      <c r="L731" s="38">
        <v>0</v>
      </c>
      <c r="M731" s="38">
        <v>0</v>
      </c>
      <c r="N731" s="39">
        <f t="shared" si="89"/>
        <v>0</v>
      </c>
      <c r="O731" s="38">
        <v>0</v>
      </c>
      <c r="P731" s="38">
        <v>0</v>
      </c>
      <c r="Q731" s="39">
        <f t="shared" si="90"/>
        <v>0</v>
      </c>
      <c r="R731" s="38">
        <v>0</v>
      </c>
      <c r="S731" s="38">
        <v>0</v>
      </c>
      <c r="T731" s="39">
        <f t="shared" si="91"/>
        <v>0</v>
      </c>
      <c r="U731" s="38">
        <v>0</v>
      </c>
      <c r="V731" s="38">
        <v>0</v>
      </c>
      <c r="W731" s="39">
        <f t="shared" si="92"/>
        <v>0</v>
      </c>
      <c r="X731" s="38"/>
      <c r="Y731" s="38"/>
      <c r="Z731" s="39">
        <f t="shared" si="93"/>
        <v>0</v>
      </c>
      <c r="AA731" s="38"/>
      <c r="AB731" s="38"/>
      <c r="AC731" s="39">
        <f t="shared" si="94"/>
        <v>0</v>
      </c>
      <c r="AD731" s="38"/>
      <c r="AE731" s="38"/>
      <c r="AF731" s="39">
        <f t="shared" si="95"/>
        <v>0</v>
      </c>
    </row>
    <row r="732" spans="2:32" ht="15" customHeight="1" x14ac:dyDescent="0.3">
      <c r="B732" s="2" t="s">
        <v>983</v>
      </c>
      <c r="C732" s="4" t="s">
        <v>1176</v>
      </c>
      <c r="D732" s="3" t="s">
        <v>1177</v>
      </c>
      <c r="E732" s="6" t="s">
        <v>1180</v>
      </c>
      <c r="F732" s="6" t="s">
        <v>154</v>
      </c>
      <c r="G732" s="6" t="s">
        <v>711</v>
      </c>
      <c r="H732" s="25">
        <v>70</v>
      </c>
      <c r="I732" s="38">
        <v>20</v>
      </c>
      <c r="J732" s="38">
        <v>1</v>
      </c>
      <c r="K732" s="39">
        <f t="shared" si="88"/>
        <v>1400</v>
      </c>
      <c r="L732" s="38">
        <v>0</v>
      </c>
      <c r="M732" s="38">
        <v>0</v>
      </c>
      <c r="N732" s="39">
        <f t="shared" si="89"/>
        <v>0</v>
      </c>
      <c r="O732" s="38">
        <v>0</v>
      </c>
      <c r="P732" s="38">
        <v>0</v>
      </c>
      <c r="Q732" s="39">
        <f t="shared" si="90"/>
        <v>0</v>
      </c>
      <c r="R732" s="38">
        <v>0</v>
      </c>
      <c r="S732" s="38">
        <v>0</v>
      </c>
      <c r="T732" s="39">
        <f t="shared" si="91"/>
        <v>0</v>
      </c>
      <c r="U732" s="38">
        <v>0</v>
      </c>
      <c r="V732" s="38">
        <v>0</v>
      </c>
      <c r="W732" s="39">
        <f t="shared" si="92"/>
        <v>0</v>
      </c>
      <c r="X732" s="38"/>
      <c r="Y732" s="38"/>
      <c r="Z732" s="39">
        <f t="shared" si="93"/>
        <v>0</v>
      </c>
      <c r="AA732" s="38"/>
      <c r="AB732" s="38"/>
      <c r="AC732" s="39">
        <f t="shared" si="94"/>
        <v>0</v>
      </c>
      <c r="AD732" s="38"/>
      <c r="AE732" s="38"/>
      <c r="AF732" s="39">
        <f t="shared" si="95"/>
        <v>0</v>
      </c>
    </row>
    <row r="733" spans="2:32" ht="15" customHeight="1" x14ac:dyDescent="0.3">
      <c r="B733" s="2" t="s">
        <v>983</v>
      </c>
      <c r="C733" s="4" t="s">
        <v>1176</v>
      </c>
      <c r="D733" s="3" t="s">
        <v>1177</v>
      </c>
      <c r="E733" s="6" t="s">
        <v>1180</v>
      </c>
      <c r="F733" s="6" t="s">
        <v>154</v>
      </c>
      <c r="G733" s="6" t="s">
        <v>710</v>
      </c>
      <c r="H733" s="25">
        <v>104850</v>
      </c>
      <c r="I733" s="38">
        <v>50000</v>
      </c>
      <c r="J733" s="38">
        <v>1</v>
      </c>
      <c r="K733" s="39">
        <f t="shared" si="88"/>
        <v>5242500000</v>
      </c>
      <c r="L733" s="38">
        <v>0</v>
      </c>
      <c r="M733" s="38">
        <v>0</v>
      </c>
      <c r="N733" s="39">
        <f t="shared" si="89"/>
        <v>0</v>
      </c>
      <c r="O733" s="38">
        <v>0</v>
      </c>
      <c r="P733" s="38">
        <v>0</v>
      </c>
      <c r="Q733" s="39">
        <f t="shared" si="90"/>
        <v>0</v>
      </c>
      <c r="R733" s="38">
        <v>0</v>
      </c>
      <c r="S733" s="38">
        <v>0</v>
      </c>
      <c r="T733" s="39">
        <f t="shared" si="91"/>
        <v>0</v>
      </c>
      <c r="U733" s="38">
        <v>0</v>
      </c>
      <c r="V733" s="38">
        <v>0</v>
      </c>
      <c r="W733" s="39">
        <f t="shared" si="92"/>
        <v>0</v>
      </c>
      <c r="X733" s="38"/>
      <c r="Y733" s="38"/>
      <c r="Z733" s="39">
        <f t="shared" si="93"/>
        <v>0</v>
      </c>
      <c r="AA733" s="38"/>
      <c r="AB733" s="38"/>
      <c r="AC733" s="39">
        <f t="shared" si="94"/>
        <v>0</v>
      </c>
      <c r="AD733" s="38"/>
      <c r="AE733" s="38"/>
      <c r="AF733" s="39">
        <f t="shared" si="95"/>
        <v>0</v>
      </c>
    </row>
    <row r="734" spans="2:32" ht="15" customHeight="1" x14ac:dyDescent="0.3">
      <c r="B734" s="2" t="s">
        <v>983</v>
      </c>
      <c r="C734" s="4" t="s">
        <v>1176</v>
      </c>
      <c r="D734" s="3" t="s">
        <v>1177</v>
      </c>
      <c r="E734" s="6" t="s">
        <v>1180</v>
      </c>
      <c r="F734" s="6" t="s">
        <v>154</v>
      </c>
      <c r="G734" s="6" t="s">
        <v>712</v>
      </c>
      <c r="H734" s="25">
        <v>214.29</v>
      </c>
      <c r="I734" s="38">
        <v>5</v>
      </c>
      <c r="J734" s="38">
        <v>1</v>
      </c>
      <c r="K734" s="39">
        <f t="shared" si="88"/>
        <v>1071.45</v>
      </c>
      <c r="L734" s="38">
        <v>0</v>
      </c>
      <c r="M734" s="38">
        <v>0</v>
      </c>
      <c r="N734" s="39">
        <f t="shared" si="89"/>
        <v>0</v>
      </c>
      <c r="O734" s="38">
        <v>0</v>
      </c>
      <c r="P734" s="38">
        <v>0</v>
      </c>
      <c r="Q734" s="39">
        <f t="shared" si="90"/>
        <v>0</v>
      </c>
      <c r="R734" s="38">
        <v>0</v>
      </c>
      <c r="S734" s="38">
        <v>0</v>
      </c>
      <c r="T734" s="39">
        <f t="shared" si="91"/>
        <v>0</v>
      </c>
      <c r="U734" s="38">
        <v>0</v>
      </c>
      <c r="V734" s="38">
        <v>0</v>
      </c>
      <c r="W734" s="39">
        <f t="shared" si="92"/>
        <v>0</v>
      </c>
      <c r="X734" s="38"/>
      <c r="Y734" s="38"/>
      <c r="Z734" s="39">
        <f t="shared" si="93"/>
        <v>0</v>
      </c>
      <c r="AA734" s="38"/>
      <c r="AB734" s="38"/>
      <c r="AC734" s="39">
        <f t="shared" si="94"/>
        <v>0</v>
      </c>
      <c r="AD734" s="38"/>
      <c r="AE734" s="38"/>
      <c r="AF734" s="39">
        <f t="shared" si="95"/>
        <v>0</v>
      </c>
    </row>
    <row r="735" spans="2:32" ht="15" customHeight="1" x14ac:dyDescent="0.3">
      <c r="B735" s="2" t="s">
        <v>983</v>
      </c>
      <c r="C735" s="4" t="s">
        <v>1176</v>
      </c>
      <c r="D735" s="3" t="s">
        <v>1177</v>
      </c>
      <c r="E735" s="6" t="s">
        <v>1180</v>
      </c>
      <c r="F735" s="6" t="s">
        <v>1184</v>
      </c>
      <c r="G735" s="6" t="s">
        <v>841</v>
      </c>
      <c r="H735" s="25">
        <v>0</v>
      </c>
      <c r="I735" s="38">
        <v>8000</v>
      </c>
      <c r="J735" s="38">
        <v>1</v>
      </c>
      <c r="K735" s="39">
        <f t="shared" si="88"/>
        <v>0</v>
      </c>
      <c r="L735" s="38">
        <v>0</v>
      </c>
      <c r="M735" s="38">
        <v>0</v>
      </c>
      <c r="N735" s="39">
        <f t="shared" si="89"/>
        <v>0</v>
      </c>
      <c r="O735" s="38">
        <v>0</v>
      </c>
      <c r="P735" s="38">
        <v>0</v>
      </c>
      <c r="Q735" s="39">
        <f t="shared" si="90"/>
        <v>0</v>
      </c>
      <c r="R735" s="38">
        <v>0</v>
      </c>
      <c r="S735" s="38">
        <v>0</v>
      </c>
      <c r="T735" s="39">
        <f t="shared" si="91"/>
        <v>0</v>
      </c>
      <c r="U735" s="38">
        <v>0</v>
      </c>
      <c r="V735" s="38">
        <v>0</v>
      </c>
      <c r="W735" s="39">
        <f t="shared" si="92"/>
        <v>0</v>
      </c>
      <c r="X735" s="38"/>
      <c r="Y735" s="38"/>
      <c r="Z735" s="39">
        <f t="shared" si="93"/>
        <v>0</v>
      </c>
      <c r="AA735" s="38"/>
      <c r="AB735" s="38"/>
      <c r="AC735" s="39">
        <f t="shared" si="94"/>
        <v>0</v>
      </c>
      <c r="AD735" s="38"/>
      <c r="AE735" s="38"/>
      <c r="AF735" s="39">
        <f t="shared" si="95"/>
        <v>0</v>
      </c>
    </row>
    <row r="736" spans="2:32" ht="15" customHeight="1" x14ac:dyDescent="0.3">
      <c r="B736" s="2" t="s">
        <v>983</v>
      </c>
      <c r="C736" s="4" t="s">
        <v>1176</v>
      </c>
      <c r="D736" s="3" t="s">
        <v>1177</v>
      </c>
      <c r="E736" s="6" t="s">
        <v>1185</v>
      </c>
      <c r="F736" s="6" t="s">
        <v>1186</v>
      </c>
      <c r="G736" s="6" t="s">
        <v>841</v>
      </c>
      <c r="H736" s="25">
        <v>0</v>
      </c>
      <c r="I736" s="38">
        <v>0</v>
      </c>
      <c r="J736" s="38">
        <v>0</v>
      </c>
      <c r="K736" s="39">
        <f t="shared" si="88"/>
        <v>0</v>
      </c>
      <c r="L736" s="38">
        <v>0</v>
      </c>
      <c r="M736" s="38">
        <v>0</v>
      </c>
      <c r="N736" s="39">
        <f t="shared" si="89"/>
        <v>0</v>
      </c>
      <c r="O736" s="38">
        <v>0</v>
      </c>
      <c r="P736" s="38">
        <v>0</v>
      </c>
      <c r="Q736" s="39">
        <f t="shared" si="90"/>
        <v>0</v>
      </c>
      <c r="R736" s="38">
        <v>0</v>
      </c>
      <c r="S736" s="38">
        <v>0</v>
      </c>
      <c r="T736" s="39">
        <f t="shared" si="91"/>
        <v>0</v>
      </c>
      <c r="U736" s="38">
        <v>0</v>
      </c>
      <c r="V736" s="38">
        <v>0</v>
      </c>
      <c r="W736" s="39">
        <f t="shared" si="92"/>
        <v>0</v>
      </c>
      <c r="X736" s="38"/>
      <c r="Y736" s="38"/>
      <c r="Z736" s="39">
        <f t="shared" si="93"/>
        <v>0</v>
      </c>
      <c r="AA736" s="38"/>
      <c r="AB736" s="38"/>
      <c r="AC736" s="39">
        <f t="shared" si="94"/>
        <v>0</v>
      </c>
      <c r="AD736" s="38"/>
      <c r="AE736" s="38"/>
      <c r="AF736" s="39">
        <f t="shared" si="95"/>
        <v>0</v>
      </c>
    </row>
    <row r="737" spans="2:32" ht="15" customHeight="1" x14ac:dyDescent="0.3">
      <c r="B737" s="2" t="s">
        <v>983</v>
      </c>
      <c r="C737" s="4" t="s">
        <v>1176</v>
      </c>
      <c r="D737" s="3" t="s">
        <v>1177</v>
      </c>
      <c r="E737" s="6" t="s">
        <v>1185</v>
      </c>
      <c r="F737" s="6" t="s">
        <v>1187</v>
      </c>
      <c r="G737" s="6" t="s">
        <v>841</v>
      </c>
      <c r="H737" s="25">
        <v>0</v>
      </c>
      <c r="I737" s="38">
        <v>0</v>
      </c>
      <c r="J737" s="38">
        <v>0</v>
      </c>
      <c r="K737" s="39">
        <f t="shared" si="88"/>
        <v>0</v>
      </c>
      <c r="L737" s="38">
        <v>0</v>
      </c>
      <c r="M737" s="38">
        <v>0</v>
      </c>
      <c r="N737" s="39">
        <f t="shared" si="89"/>
        <v>0</v>
      </c>
      <c r="O737" s="38">
        <v>0</v>
      </c>
      <c r="P737" s="38">
        <v>0</v>
      </c>
      <c r="Q737" s="39">
        <f t="shared" si="90"/>
        <v>0</v>
      </c>
      <c r="R737" s="38">
        <v>0</v>
      </c>
      <c r="S737" s="38">
        <v>0</v>
      </c>
      <c r="T737" s="39">
        <f t="shared" si="91"/>
        <v>0</v>
      </c>
      <c r="U737" s="38">
        <v>0</v>
      </c>
      <c r="V737" s="38">
        <v>0</v>
      </c>
      <c r="W737" s="39">
        <f t="shared" si="92"/>
        <v>0</v>
      </c>
      <c r="X737" s="38"/>
      <c r="Y737" s="38"/>
      <c r="Z737" s="39">
        <f t="shared" si="93"/>
        <v>0</v>
      </c>
      <c r="AA737" s="38"/>
      <c r="AB737" s="38"/>
      <c r="AC737" s="39">
        <f t="shared" si="94"/>
        <v>0</v>
      </c>
      <c r="AD737" s="38"/>
      <c r="AE737" s="38"/>
      <c r="AF737" s="39">
        <f t="shared" si="95"/>
        <v>0</v>
      </c>
    </row>
    <row r="738" spans="2:32" ht="15" customHeight="1" x14ac:dyDescent="0.3">
      <c r="B738" s="2" t="s">
        <v>983</v>
      </c>
      <c r="C738" s="4" t="s">
        <v>1176</v>
      </c>
      <c r="D738" s="3" t="s">
        <v>1177</v>
      </c>
      <c r="E738" s="6" t="s">
        <v>1185</v>
      </c>
      <c r="F738" s="6" t="s">
        <v>1188</v>
      </c>
      <c r="G738" s="6" t="s">
        <v>841</v>
      </c>
      <c r="H738" s="25">
        <v>0</v>
      </c>
      <c r="I738" s="38">
        <v>0</v>
      </c>
      <c r="J738" s="38">
        <v>0</v>
      </c>
      <c r="K738" s="39">
        <f t="shared" si="88"/>
        <v>0</v>
      </c>
      <c r="L738" s="38">
        <v>0</v>
      </c>
      <c r="M738" s="38">
        <v>0</v>
      </c>
      <c r="N738" s="39">
        <f t="shared" si="89"/>
        <v>0</v>
      </c>
      <c r="O738" s="38">
        <v>0</v>
      </c>
      <c r="P738" s="38">
        <v>0</v>
      </c>
      <c r="Q738" s="39">
        <f t="shared" si="90"/>
        <v>0</v>
      </c>
      <c r="R738" s="38">
        <v>0</v>
      </c>
      <c r="S738" s="38">
        <v>0</v>
      </c>
      <c r="T738" s="39">
        <f t="shared" si="91"/>
        <v>0</v>
      </c>
      <c r="U738" s="38">
        <v>0</v>
      </c>
      <c r="V738" s="38">
        <v>0</v>
      </c>
      <c r="W738" s="39">
        <f t="shared" si="92"/>
        <v>0</v>
      </c>
      <c r="X738" s="38"/>
      <c r="Y738" s="38"/>
      <c r="Z738" s="39">
        <f t="shared" si="93"/>
        <v>0</v>
      </c>
      <c r="AA738" s="38"/>
      <c r="AB738" s="38"/>
      <c r="AC738" s="39">
        <f t="shared" si="94"/>
        <v>0</v>
      </c>
      <c r="AD738" s="38"/>
      <c r="AE738" s="38"/>
      <c r="AF738" s="39">
        <f t="shared" si="95"/>
        <v>0</v>
      </c>
    </row>
    <row r="739" spans="2:32" ht="15" customHeight="1" x14ac:dyDescent="0.3">
      <c r="B739" s="2" t="s">
        <v>983</v>
      </c>
      <c r="C739" s="4" t="s">
        <v>1176</v>
      </c>
      <c r="D739" s="3" t="s">
        <v>1177</v>
      </c>
      <c r="E739" s="6" t="s">
        <v>1185</v>
      </c>
      <c r="F739" s="6" t="s">
        <v>1189</v>
      </c>
      <c r="G739" s="6" t="s">
        <v>841</v>
      </c>
      <c r="H739" s="25">
        <v>0</v>
      </c>
      <c r="I739" s="38">
        <v>0</v>
      </c>
      <c r="J739" s="38">
        <v>0</v>
      </c>
      <c r="K739" s="39">
        <f t="shared" si="88"/>
        <v>0</v>
      </c>
      <c r="L739" s="38">
        <v>0</v>
      </c>
      <c r="M739" s="38">
        <v>0</v>
      </c>
      <c r="N739" s="39">
        <f t="shared" si="89"/>
        <v>0</v>
      </c>
      <c r="O739" s="38">
        <v>0</v>
      </c>
      <c r="P739" s="38">
        <v>0</v>
      </c>
      <c r="Q739" s="39">
        <f t="shared" si="90"/>
        <v>0</v>
      </c>
      <c r="R739" s="38">
        <v>0</v>
      </c>
      <c r="S739" s="38">
        <v>0</v>
      </c>
      <c r="T739" s="39">
        <f t="shared" si="91"/>
        <v>0</v>
      </c>
      <c r="U739" s="38">
        <v>0</v>
      </c>
      <c r="V739" s="38">
        <v>0</v>
      </c>
      <c r="W739" s="39">
        <f t="shared" si="92"/>
        <v>0</v>
      </c>
      <c r="X739" s="38"/>
      <c r="Y739" s="38"/>
      <c r="Z739" s="39">
        <f t="shared" si="93"/>
        <v>0</v>
      </c>
      <c r="AA739" s="38"/>
      <c r="AB739" s="38"/>
      <c r="AC739" s="39">
        <f t="shared" si="94"/>
        <v>0</v>
      </c>
      <c r="AD739" s="38"/>
      <c r="AE739" s="38"/>
      <c r="AF739" s="39">
        <f t="shared" si="95"/>
        <v>0</v>
      </c>
    </row>
    <row r="740" spans="2:32" ht="15" customHeight="1" x14ac:dyDescent="0.3">
      <c r="B740" s="2" t="s">
        <v>983</v>
      </c>
      <c r="C740" s="4" t="s">
        <v>1176</v>
      </c>
      <c r="D740" s="3" t="s">
        <v>1177</v>
      </c>
      <c r="E740" s="6" t="s">
        <v>1185</v>
      </c>
      <c r="F740" s="6" t="s">
        <v>1190</v>
      </c>
      <c r="G740" s="6" t="s">
        <v>841</v>
      </c>
      <c r="H740" s="25">
        <v>0</v>
      </c>
      <c r="I740" s="38">
        <v>0</v>
      </c>
      <c r="J740" s="38">
        <v>0</v>
      </c>
      <c r="K740" s="39">
        <f t="shared" si="88"/>
        <v>0</v>
      </c>
      <c r="L740" s="38">
        <v>0</v>
      </c>
      <c r="M740" s="38">
        <v>0</v>
      </c>
      <c r="N740" s="39">
        <f t="shared" si="89"/>
        <v>0</v>
      </c>
      <c r="O740" s="38">
        <v>0</v>
      </c>
      <c r="P740" s="38">
        <v>0</v>
      </c>
      <c r="Q740" s="39">
        <f t="shared" si="90"/>
        <v>0</v>
      </c>
      <c r="R740" s="38">
        <v>0</v>
      </c>
      <c r="S740" s="38">
        <v>0</v>
      </c>
      <c r="T740" s="39">
        <f t="shared" si="91"/>
        <v>0</v>
      </c>
      <c r="U740" s="38">
        <v>0</v>
      </c>
      <c r="V740" s="38">
        <v>0</v>
      </c>
      <c r="W740" s="39">
        <f t="shared" si="92"/>
        <v>0</v>
      </c>
      <c r="X740" s="38"/>
      <c r="Y740" s="38"/>
      <c r="Z740" s="39">
        <f t="shared" si="93"/>
        <v>0</v>
      </c>
      <c r="AA740" s="38"/>
      <c r="AB740" s="38"/>
      <c r="AC740" s="39">
        <f t="shared" si="94"/>
        <v>0</v>
      </c>
      <c r="AD740" s="38"/>
      <c r="AE740" s="38"/>
      <c r="AF740" s="39">
        <f t="shared" si="95"/>
        <v>0</v>
      </c>
    </row>
    <row r="741" spans="2:32" ht="15" customHeight="1" x14ac:dyDescent="0.3">
      <c r="B741" s="2" t="s">
        <v>983</v>
      </c>
      <c r="C741" s="4" t="s">
        <v>1176</v>
      </c>
      <c r="D741" s="3" t="s">
        <v>1177</v>
      </c>
      <c r="E741" s="6" t="s">
        <v>1191</v>
      </c>
      <c r="F741" s="6" t="s">
        <v>1192</v>
      </c>
      <c r="G741" s="6" t="s">
        <v>841</v>
      </c>
      <c r="H741" s="25">
        <v>0</v>
      </c>
      <c r="I741" s="38">
        <v>0</v>
      </c>
      <c r="J741" s="38">
        <v>0</v>
      </c>
      <c r="K741" s="39">
        <f t="shared" si="88"/>
        <v>0</v>
      </c>
      <c r="L741" s="38">
        <v>0</v>
      </c>
      <c r="M741" s="38">
        <v>0</v>
      </c>
      <c r="N741" s="39">
        <f t="shared" si="89"/>
        <v>0</v>
      </c>
      <c r="O741" s="38">
        <v>0</v>
      </c>
      <c r="P741" s="38">
        <v>0</v>
      </c>
      <c r="Q741" s="39">
        <f t="shared" si="90"/>
        <v>0</v>
      </c>
      <c r="R741" s="38">
        <v>0</v>
      </c>
      <c r="S741" s="38">
        <v>0</v>
      </c>
      <c r="T741" s="39">
        <f t="shared" si="91"/>
        <v>0</v>
      </c>
      <c r="U741" s="38">
        <v>0</v>
      </c>
      <c r="V741" s="38">
        <v>0</v>
      </c>
      <c r="W741" s="39">
        <f t="shared" si="92"/>
        <v>0</v>
      </c>
      <c r="X741" s="38"/>
      <c r="Y741" s="38"/>
      <c r="Z741" s="39">
        <f t="shared" si="93"/>
        <v>0</v>
      </c>
      <c r="AA741" s="38"/>
      <c r="AB741" s="38"/>
      <c r="AC741" s="39">
        <f t="shared" si="94"/>
        <v>0</v>
      </c>
      <c r="AD741" s="38"/>
      <c r="AE741" s="38"/>
      <c r="AF741" s="39">
        <f t="shared" si="95"/>
        <v>0</v>
      </c>
    </row>
    <row r="742" spans="2:32" ht="15" customHeight="1" x14ac:dyDescent="0.3">
      <c r="B742" s="2" t="s">
        <v>983</v>
      </c>
      <c r="C742" s="4" t="s">
        <v>1176</v>
      </c>
      <c r="D742" s="3" t="s">
        <v>1177</v>
      </c>
      <c r="E742" s="6" t="s">
        <v>1191</v>
      </c>
      <c r="F742" s="6" t="s">
        <v>1193</v>
      </c>
      <c r="G742" s="6" t="s">
        <v>709</v>
      </c>
      <c r="H742" s="25">
        <v>28000</v>
      </c>
      <c r="I742" s="38">
        <v>0</v>
      </c>
      <c r="J742" s="38">
        <v>0</v>
      </c>
      <c r="K742" s="39">
        <f t="shared" si="88"/>
        <v>0</v>
      </c>
      <c r="L742" s="38">
        <v>0</v>
      </c>
      <c r="M742" s="38">
        <v>0</v>
      </c>
      <c r="N742" s="39">
        <f t="shared" si="89"/>
        <v>0</v>
      </c>
      <c r="O742" s="38">
        <v>0</v>
      </c>
      <c r="P742" s="38">
        <v>0</v>
      </c>
      <c r="Q742" s="39">
        <f t="shared" si="90"/>
        <v>0</v>
      </c>
      <c r="R742" s="38">
        <v>0</v>
      </c>
      <c r="S742" s="38">
        <v>0</v>
      </c>
      <c r="T742" s="39">
        <f t="shared" si="91"/>
        <v>0</v>
      </c>
      <c r="U742" s="38">
        <v>0</v>
      </c>
      <c r="V742" s="38">
        <v>0</v>
      </c>
      <c r="W742" s="39">
        <f t="shared" si="92"/>
        <v>0</v>
      </c>
      <c r="X742" s="38"/>
      <c r="Y742" s="38"/>
      <c r="Z742" s="39">
        <f t="shared" si="93"/>
        <v>0</v>
      </c>
      <c r="AA742" s="38"/>
      <c r="AB742" s="38"/>
      <c r="AC742" s="39">
        <f t="shared" si="94"/>
        <v>0</v>
      </c>
      <c r="AD742" s="38"/>
      <c r="AE742" s="38"/>
      <c r="AF742" s="39">
        <f t="shared" si="95"/>
        <v>0</v>
      </c>
    </row>
    <row r="743" spans="2:32" ht="15" customHeight="1" x14ac:dyDescent="0.3">
      <c r="B743" s="2" t="s">
        <v>983</v>
      </c>
      <c r="C743" s="4" t="s">
        <v>1176</v>
      </c>
      <c r="D743" s="3" t="s">
        <v>1177</v>
      </c>
      <c r="E743" s="6" t="s">
        <v>1191</v>
      </c>
      <c r="F743" s="6" t="s">
        <v>1194</v>
      </c>
      <c r="G743" s="6" t="s">
        <v>709</v>
      </c>
      <c r="H743" s="25">
        <v>28000</v>
      </c>
      <c r="I743" s="38">
        <v>40</v>
      </c>
      <c r="J743" s="38">
        <v>2</v>
      </c>
      <c r="K743" s="39">
        <f t="shared" si="88"/>
        <v>2240000</v>
      </c>
      <c r="L743" s="38">
        <v>40</v>
      </c>
      <c r="M743" s="38">
        <v>2</v>
      </c>
      <c r="N743" s="39">
        <f t="shared" si="89"/>
        <v>2240000</v>
      </c>
      <c r="O743" s="38">
        <v>40</v>
      </c>
      <c r="P743" s="38">
        <v>2</v>
      </c>
      <c r="Q743" s="39">
        <f t="shared" si="90"/>
        <v>2240000</v>
      </c>
      <c r="R743" s="38">
        <v>40</v>
      </c>
      <c r="S743" s="38">
        <v>2</v>
      </c>
      <c r="T743" s="39">
        <f t="shared" si="91"/>
        <v>2240000</v>
      </c>
      <c r="U743" s="38">
        <v>40</v>
      </c>
      <c r="V743" s="38">
        <v>2</v>
      </c>
      <c r="W743" s="39">
        <f t="shared" si="92"/>
        <v>2240000</v>
      </c>
      <c r="X743" s="38"/>
      <c r="Y743" s="38"/>
      <c r="Z743" s="39">
        <f t="shared" si="93"/>
        <v>0</v>
      </c>
      <c r="AA743" s="38"/>
      <c r="AB743" s="38"/>
      <c r="AC743" s="39">
        <f t="shared" si="94"/>
        <v>0</v>
      </c>
      <c r="AD743" s="38"/>
      <c r="AE743" s="38"/>
      <c r="AF743" s="39">
        <f t="shared" si="95"/>
        <v>0</v>
      </c>
    </row>
    <row r="744" spans="2:32" ht="15" customHeight="1" x14ac:dyDescent="0.3">
      <c r="B744" s="2" t="s">
        <v>983</v>
      </c>
      <c r="C744" s="4" t="s">
        <v>1176</v>
      </c>
      <c r="D744" s="3" t="s">
        <v>1177</v>
      </c>
      <c r="E744" s="6" t="s">
        <v>1191</v>
      </c>
      <c r="F744" s="6" t="s">
        <v>1194</v>
      </c>
      <c r="G744" s="6" t="s">
        <v>716</v>
      </c>
      <c r="H744" s="25">
        <v>39000</v>
      </c>
      <c r="I744" s="38">
        <v>30</v>
      </c>
      <c r="J744" s="38">
        <v>5</v>
      </c>
      <c r="K744" s="39">
        <f t="shared" si="88"/>
        <v>5850000</v>
      </c>
      <c r="L744" s="38">
        <v>0</v>
      </c>
      <c r="M744" s="38">
        <v>0</v>
      </c>
      <c r="N744" s="39">
        <f t="shared" si="89"/>
        <v>0</v>
      </c>
      <c r="O744" s="38">
        <v>0</v>
      </c>
      <c r="P744" s="38">
        <v>0</v>
      </c>
      <c r="Q744" s="39">
        <f t="shared" si="90"/>
        <v>0</v>
      </c>
      <c r="R744" s="38">
        <v>0</v>
      </c>
      <c r="S744" s="38">
        <v>0</v>
      </c>
      <c r="T744" s="39">
        <f t="shared" si="91"/>
        <v>0</v>
      </c>
      <c r="U744" s="38">
        <v>30</v>
      </c>
      <c r="V744" s="38">
        <v>5</v>
      </c>
      <c r="W744" s="39">
        <f t="shared" si="92"/>
        <v>5850000</v>
      </c>
      <c r="X744" s="38"/>
      <c r="Y744" s="38"/>
      <c r="Z744" s="39">
        <f t="shared" si="93"/>
        <v>0</v>
      </c>
      <c r="AA744" s="38"/>
      <c r="AB744" s="38"/>
      <c r="AC744" s="39">
        <f t="shared" si="94"/>
        <v>0</v>
      </c>
      <c r="AD744" s="38"/>
      <c r="AE744" s="38"/>
      <c r="AF744" s="39">
        <f t="shared" si="95"/>
        <v>0</v>
      </c>
    </row>
    <row r="745" spans="2:32" ht="15" customHeight="1" x14ac:dyDescent="0.3">
      <c r="B745" s="2" t="s">
        <v>983</v>
      </c>
      <c r="C745" s="4" t="s">
        <v>1176</v>
      </c>
      <c r="D745" s="3" t="s">
        <v>1177</v>
      </c>
      <c r="E745" s="6" t="s">
        <v>1191</v>
      </c>
      <c r="F745" s="6" t="s">
        <v>1194</v>
      </c>
      <c r="G745" s="6" t="s">
        <v>712</v>
      </c>
      <c r="H745" s="25">
        <v>214.29</v>
      </c>
      <c r="I745" s="38">
        <v>30</v>
      </c>
      <c r="J745" s="38">
        <v>5</v>
      </c>
      <c r="K745" s="39">
        <f t="shared" si="88"/>
        <v>32143.5</v>
      </c>
      <c r="L745" s="38">
        <v>0</v>
      </c>
      <c r="M745" s="38">
        <v>0</v>
      </c>
      <c r="N745" s="39">
        <f t="shared" si="89"/>
        <v>0</v>
      </c>
      <c r="O745" s="38">
        <v>0</v>
      </c>
      <c r="P745" s="38">
        <v>0</v>
      </c>
      <c r="Q745" s="39">
        <f t="shared" si="90"/>
        <v>0</v>
      </c>
      <c r="R745" s="38">
        <v>0</v>
      </c>
      <c r="S745" s="38">
        <v>0</v>
      </c>
      <c r="T745" s="39">
        <f t="shared" si="91"/>
        <v>0</v>
      </c>
      <c r="U745" s="38">
        <v>30</v>
      </c>
      <c r="V745" s="38">
        <v>5</v>
      </c>
      <c r="W745" s="39">
        <f t="shared" si="92"/>
        <v>32143.5</v>
      </c>
      <c r="X745" s="38"/>
      <c r="Y745" s="38"/>
      <c r="Z745" s="39">
        <f t="shared" si="93"/>
        <v>0</v>
      </c>
      <c r="AA745" s="38"/>
      <c r="AB745" s="38"/>
      <c r="AC745" s="39">
        <f t="shared" si="94"/>
        <v>0</v>
      </c>
      <c r="AD745" s="38"/>
      <c r="AE745" s="38"/>
      <c r="AF745" s="39">
        <f t="shared" si="95"/>
        <v>0</v>
      </c>
    </row>
    <row r="746" spans="2:32" ht="15" customHeight="1" x14ac:dyDescent="0.3">
      <c r="B746" s="2" t="s">
        <v>983</v>
      </c>
      <c r="C746" s="4" t="s">
        <v>1176</v>
      </c>
      <c r="D746" s="3" t="s">
        <v>1177</v>
      </c>
      <c r="E746" s="6" t="s">
        <v>1195</v>
      </c>
      <c r="F746" s="6" t="s">
        <v>1196</v>
      </c>
      <c r="G746" s="6" t="s">
        <v>841</v>
      </c>
      <c r="H746" s="25">
        <v>0</v>
      </c>
      <c r="I746" s="38">
        <v>8000</v>
      </c>
      <c r="J746" s="38">
        <v>1</v>
      </c>
      <c r="K746" s="39">
        <f t="shared" si="88"/>
        <v>0</v>
      </c>
      <c r="L746" s="38">
        <v>0</v>
      </c>
      <c r="M746" s="38">
        <v>0</v>
      </c>
      <c r="N746" s="39">
        <f t="shared" si="89"/>
        <v>0</v>
      </c>
      <c r="O746" s="38">
        <v>0</v>
      </c>
      <c r="P746" s="38">
        <v>0</v>
      </c>
      <c r="Q746" s="39">
        <f t="shared" si="90"/>
        <v>0</v>
      </c>
      <c r="R746" s="38">
        <v>0</v>
      </c>
      <c r="S746" s="38">
        <v>0</v>
      </c>
      <c r="T746" s="39">
        <f t="shared" si="91"/>
        <v>0</v>
      </c>
      <c r="U746" s="38">
        <v>8000</v>
      </c>
      <c r="V746" s="38">
        <v>1</v>
      </c>
      <c r="W746" s="39">
        <f t="shared" si="92"/>
        <v>0</v>
      </c>
      <c r="X746" s="38"/>
      <c r="Y746" s="38"/>
      <c r="Z746" s="39">
        <f t="shared" si="93"/>
        <v>0</v>
      </c>
      <c r="AA746" s="38"/>
      <c r="AB746" s="38"/>
      <c r="AC746" s="39">
        <f t="shared" si="94"/>
        <v>0</v>
      </c>
      <c r="AD746" s="38"/>
      <c r="AE746" s="38"/>
      <c r="AF746" s="39">
        <f t="shared" si="95"/>
        <v>0</v>
      </c>
    </row>
    <row r="747" spans="2:32" ht="15" customHeight="1" x14ac:dyDescent="0.3">
      <c r="B747" s="2" t="s">
        <v>983</v>
      </c>
      <c r="C747" s="4" t="s">
        <v>1176</v>
      </c>
      <c r="D747" s="3" t="s">
        <v>1177</v>
      </c>
      <c r="E747" s="6" t="s">
        <v>1195</v>
      </c>
      <c r="F747" s="6" t="s">
        <v>1197</v>
      </c>
      <c r="G747" s="6" t="s">
        <v>841</v>
      </c>
      <c r="H747" s="25">
        <v>0</v>
      </c>
      <c r="I747" s="38">
        <v>0</v>
      </c>
      <c r="J747" s="38">
        <v>0</v>
      </c>
      <c r="K747" s="39">
        <f t="shared" si="88"/>
        <v>0</v>
      </c>
      <c r="L747" s="38">
        <v>0</v>
      </c>
      <c r="M747" s="38">
        <v>0</v>
      </c>
      <c r="N747" s="39">
        <f t="shared" si="89"/>
        <v>0</v>
      </c>
      <c r="O747" s="38">
        <v>0</v>
      </c>
      <c r="P747" s="38">
        <v>0</v>
      </c>
      <c r="Q747" s="39">
        <f t="shared" si="90"/>
        <v>0</v>
      </c>
      <c r="R747" s="38">
        <v>0</v>
      </c>
      <c r="S747" s="38">
        <v>0</v>
      </c>
      <c r="T747" s="39">
        <f t="shared" si="91"/>
        <v>0</v>
      </c>
      <c r="U747" s="38">
        <v>0</v>
      </c>
      <c r="V747" s="38">
        <v>0</v>
      </c>
      <c r="W747" s="39">
        <f t="shared" si="92"/>
        <v>0</v>
      </c>
      <c r="X747" s="38"/>
      <c r="Y747" s="38"/>
      <c r="Z747" s="39">
        <f t="shared" si="93"/>
        <v>0</v>
      </c>
      <c r="AA747" s="38"/>
      <c r="AB747" s="38"/>
      <c r="AC747" s="39">
        <f t="shared" si="94"/>
        <v>0</v>
      </c>
      <c r="AD747" s="38"/>
      <c r="AE747" s="38"/>
      <c r="AF747" s="39">
        <f t="shared" si="95"/>
        <v>0</v>
      </c>
    </row>
    <row r="748" spans="2:32" ht="15" customHeight="1" x14ac:dyDescent="0.3">
      <c r="B748" s="2" t="s">
        <v>983</v>
      </c>
      <c r="C748" s="4" t="s">
        <v>1176</v>
      </c>
      <c r="D748" s="3" t="s">
        <v>1177</v>
      </c>
      <c r="E748" s="6" t="s">
        <v>1195</v>
      </c>
      <c r="F748" s="6" t="s">
        <v>1198</v>
      </c>
      <c r="G748" s="6" t="s">
        <v>709</v>
      </c>
      <c r="H748" s="25">
        <v>28000</v>
      </c>
      <c r="I748" s="38">
        <v>0</v>
      </c>
      <c r="J748" s="38">
        <v>0</v>
      </c>
      <c r="K748" s="39">
        <f t="shared" si="88"/>
        <v>0</v>
      </c>
      <c r="L748" s="38">
        <v>0</v>
      </c>
      <c r="M748" s="38">
        <v>0</v>
      </c>
      <c r="N748" s="39">
        <f t="shared" si="89"/>
        <v>0</v>
      </c>
      <c r="O748" s="38">
        <v>0</v>
      </c>
      <c r="P748" s="38">
        <v>0</v>
      </c>
      <c r="Q748" s="39">
        <f t="shared" si="90"/>
        <v>0</v>
      </c>
      <c r="R748" s="38">
        <v>0</v>
      </c>
      <c r="S748" s="38">
        <v>0</v>
      </c>
      <c r="T748" s="39">
        <f t="shared" si="91"/>
        <v>0</v>
      </c>
      <c r="U748" s="38">
        <v>0</v>
      </c>
      <c r="V748" s="38">
        <v>0</v>
      </c>
      <c r="W748" s="39">
        <f t="shared" si="92"/>
        <v>0</v>
      </c>
      <c r="X748" s="38"/>
      <c r="Y748" s="38"/>
      <c r="Z748" s="39">
        <f t="shared" si="93"/>
        <v>0</v>
      </c>
      <c r="AA748" s="38"/>
      <c r="AB748" s="38"/>
      <c r="AC748" s="39">
        <f t="shared" si="94"/>
        <v>0</v>
      </c>
      <c r="AD748" s="38"/>
      <c r="AE748" s="38"/>
      <c r="AF748" s="39">
        <f t="shared" si="95"/>
        <v>0</v>
      </c>
    </row>
    <row r="749" spans="2:32" ht="15" customHeight="1" x14ac:dyDescent="0.3">
      <c r="B749" s="2" t="s">
        <v>983</v>
      </c>
      <c r="C749" s="4" t="s">
        <v>1176</v>
      </c>
      <c r="D749" s="3" t="s">
        <v>1177</v>
      </c>
      <c r="E749" s="6" t="s">
        <v>1195</v>
      </c>
      <c r="F749" s="6" t="s">
        <v>1198</v>
      </c>
      <c r="G749" s="6" t="s">
        <v>716</v>
      </c>
      <c r="H749" s="25">
        <v>39000</v>
      </c>
      <c r="I749" s="38">
        <v>0</v>
      </c>
      <c r="J749" s="38">
        <v>0</v>
      </c>
      <c r="K749" s="39">
        <f t="shared" si="88"/>
        <v>0</v>
      </c>
      <c r="L749" s="38">
        <v>25</v>
      </c>
      <c r="M749" s="38">
        <v>5</v>
      </c>
      <c r="N749" s="39">
        <f t="shared" si="89"/>
        <v>4875000</v>
      </c>
      <c r="O749" s="38">
        <v>0</v>
      </c>
      <c r="P749" s="38">
        <v>0</v>
      </c>
      <c r="Q749" s="39">
        <f t="shared" si="90"/>
        <v>0</v>
      </c>
      <c r="R749" s="38">
        <v>25</v>
      </c>
      <c r="S749" s="38">
        <v>5</v>
      </c>
      <c r="T749" s="39">
        <f t="shared" si="91"/>
        <v>4875000</v>
      </c>
      <c r="U749" s="38">
        <v>0</v>
      </c>
      <c r="V749" s="38">
        <v>0</v>
      </c>
      <c r="W749" s="39">
        <f t="shared" si="92"/>
        <v>0</v>
      </c>
      <c r="X749" s="38"/>
      <c r="Y749" s="38"/>
      <c r="Z749" s="39">
        <f t="shared" si="93"/>
        <v>0</v>
      </c>
      <c r="AA749" s="38"/>
      <c r="AB749" s="38"/>
      <c r="AC749" s="39">
        <f t="shared" si="94"/>
        <v>0</v>
      </c>
      <c r="AD749" s="38"/>
      <c r="AE749" s="38"/>
      <c r="AF749" s="39">
        <f t="shared" si="95"/>
        <v>0</v>
      </c>
    </row>
    <row r="750" spans="2:32" ht="15" customHeight="1" x14ac:dyDescent="0.3">
      <c r="B750" s="2" t="s">
        <v>983</v>
      </c>
      <c r="C750" s="4" t="s">
        <v>1176</v>
      </c>
      <c r="D750" s="3" t="s">
        <v>1177</v>
      </c>
      <c r="E750" s="6" t="s">
        <v>1195</v>
      </c>
      <c r="F750" s="6" t="s">
        <v>1198</v>
      </c>
      <c r="G750" s="6" t="s">
        <v>712</v>
      </c>
      <c r="H750" s="25">
        <v>214.29</v>
      </c>
      <c r="I750" s="38">
        <v>0</v>
      </c>
      <c r="J750" s="38">
        <v>0</v>
      </c>
      <c r="K750" s="39">
        <f t="shared" si="88"/>
        <v>0</v>
      </c>
      <c r="L750" s="38">
        <v>25</v>
      </c>
      <c r="M750" s="38">
        <v>5</v>
      </c>
      <c r="N750" s="39">
        <f t="shared" si="89"/>
        <v>26786.25</v>
      </c>
      <c r="O750" s="38">
        <v>0</v>
      </c>
      <c r="P750" s="38">
        <v>0</v>
      </c>
      <c r="Q750" s="39">
        <f t="shared" si="90"/>
        <v>0</v>
      </c>
      <c r="R750" s="38">
        <v>25</v>
      </c>
      <c r="S750" s="38">
        <v>5</v>
      </c>
      <c r="T750" s="39">
        <f t="shared" si="91"/>
        <v>26786.25</v>
      </c>
      <c r="U750" s="38">
        <v>0</v>
      </c>
      <c r="V750" s="38">
        <v>0</v>
      </c>
      <c r="W750" s="39">
        <f t="shared" si="92"/>
        <v>0</v>
      </c>
      <c r="X750" s="38"/>
      <c r="Y750" s="38"/>
      <c r="Z750" s="39">
        <f t="shared" si="93"/>
        <v>0</v>
      </c>
      <c r="AA750" s="38"/>
      <c r="AB750" s="38"/>
      <c r="AC750" s="39">
        <f t="shared" si="94"/>
        <v>0</v>
      </c>
      <c r="AD750" s="38"/>
      <c r="AE750" s="38"/>
      <c r="AF750" s="39">
        <f t="shared" si="95"/>
        <v>0</v>
      </c>
    </row>
    <row r="751" spans="2:32" ht="15" customHeight="1" x14ac:dyDescent="0.3">
      <c r="B751" s="2" t="s">
        <v>983</v>
      </c>
      <c r="C751" s="4" t="s">
        <v>1176</v>
      </c>
      <c r="D751" s="3" t="s">
        <v>1177</v>
      </c>
      <c r="E751" s="6" t="s">
        <v>1195</v>
      </c>
      <c r="F751" s="6" t="s">
        <v>1199</v>
      </c>
      <c r="G751" s="6" t="s">
        <v>841</v>
      </c>
      <c r="H751" s="25">
        <v>0</v>
      </c>
      <c r="I751" s="38">
        <v>0</v>
      </c>
      <c r="J751" s="38">
        <v>0</v>
      </c>
      <c r="K751" s="39">
        <f t="shared" si="88"/>
        <v>0</v>
      </c>
      <c r="L751" s="38">
        <v>5000</v>
      </c>
      <c r="M751" s="38">
        <v>1</v>
      </c>
      <c r="N751" s="39">
        <f t="shared" si="89"/>
        <v>0</v>
      </c>
      <c r="O751" s="38">
        <v>0</v>
      </c>
      <c r="P751" s="38">
        <v>0</v>
      </c>
      <c r="Q751" s="39">
        <f t="shared" si="90"/>
        <v>0</v>
      </c>
      <c r="R751" s="38">
        <v>5000</v>
      </c>
      <c r="S751" s="38">
        <v>1</v>
      </c>
      <c r="T751" s="39">
        <f t="shared" si="91"/>
        <v>0</v>
      </c>
      <c r="U751" s="38">
        <v>0</v>
      </c>
      <c r="V751" s="38">
        <v>0</v>
      </c>
      <c r="W751" s="39">
        <f t="shared" si="92"/>
        <v>0</v>
      </c>
      <c r="X751" s="38"/>
      <c r="Y751" s="38"/>
      <c r="Z751" s="39">
        <f t="shared" si="93"/>
        <v>0</v>
      </c>
      <c r="AA751" s="38"/>
      <c r="AB751" s="38"/>
      <c r="AC751" s="39">
        <f t="shared" si="94"/>
        <v>0</v>
      </c>
      <c r="AD751" s="38"/>
      <c r="AE751" s="38"/>
      <c r="AF751" s="39">
        <f t="shared" si="95"/>
        <v>0</v>
      </c>
    </row>
    <row r="752" spans="2:32" ht="15" customHeight="1" x14ac:dyDescent="0.3">
      <c r="B752" s="2" t="s">
        <v>983</v>
      </c>
      <c r="C752" s="4" t="s">
        <v>1176</v>
      </c>
      <c r="D752" s="3" t="s">
        <v>1177</v>
      </c>
      <c r="E752" s="6" t="s">
        <v>1200</v>
      </c>
      <c r="F752" s="6" t="s">
        <v>1201</v>
      </c>
      <c r="G752" s="6" t="s">
        <v>709</v>
      </c>
      <c r="H752" s="25">
        <v>28000</v>
      </c>
      <c r="I752" s="38">
        <v>0</v>
      </c>
      <c r="J752" s="38">
        <v>0</v>
      </c>
      <c r="K752" s="39">
        <f t="shared" si="88"/>
        <v>0</v>
      </c>
      <c r="L752" s="38">
        <v>0</v>
      </c>
      <c r="M752" s="38">
        <v>0</v>
      </c>
      <c r="N752" s="39">
        <f t="shared" si="89"/>
        <v>0</v>
      </c>
      <c r="O752" s="38">
        <v>0</v>
      </c>
      <c r="P752" s="38">
        <v>0</v>
      </c>
      <c r="Q752" s="39">
        <f t="shared" si="90"/>
        <v>0</v>
      </c>
      <c r="R752" s="38">
        <v>0</v>
      </c>
      <c r="S752" s="38">
        <v>0</v>
      </c>
      <c r="T752" s="39">
        <f t="shared" si="91"/>
        <v>0</v>
      </c>
      <c r="U752" s="38">
        <v>0</v>
      </c>
      <c r="V752" s="38">
        <v>0</v>
      </c>
      <c r="W752" s="39">
        <f t="shared" si="92"/>
        <v>0</v>
      </c>
      <c r="X752" s="38"/>
      <c r="Y752" s="38"/>
      <c r="Z752" s="39">
        <f t="shared" si="93"/>
        <v>0</v>
      </c>
      <c r="AA752" s="38"/>
      <c r="AB752" s="38"/>
      <c r="AC752" s="39">
        <f t="shared" si="94"/>
        <v>0</v>
      </c>
      <c r="AD752" s="38"/>
      <c r="AE752" s="38"/>
      <c r="AF752" s="39">
        <f t="shared" si="95"/>
        <v>0</v>
      </c>
    </row>
    <row r="753" spans="2:32" ht="15" customHeight="1" x14ac:dyDescent="0.3">
      <c r="B753" s="2" t="s">
        <v>983</v>
      </c>
      <c r="C753" s="4" t="s">
        <v>1176</v>
      </c>
      <c r="D753" s="3" t="s">
        <v>1177</v>
      </c>
      <c r="E753" s="6" t="s">
        <v>1202</v>
      </c>
      <c r="F753" s="6" t="s">
        <v>1203</v>
      </c>
      <c r="G753" s="6" t="s">
        <v>841</v>
      </c>
      <c r="H753" s="25">
        <v>0</v>
      </c>
      <c r="I753" s="38">
        <v>40</v>
      </c>
      <c r="J753" s="38">
        <v>1</v>
      </c>
      <c r="K753" s="39">
        <f t="shared" si="88"/>
        <v>0</v>
      </c>
      <c r="L753" s="38">
        <v>40</v>
      </c>
      <c r="M753" s="38">
        <v>1</v>
      </c>
      <c r="N753" s="39">
        <f t="shared" si="89"/>
        <v>0</v>
      </c>
      <c r="O753" s="38">
        <v>40</v>
      </c>
      <c r="P753" s="38">
        <v>1</v>
      </c>
      <c r="Q753" s="39">
        <f t="shared" si="90"/>
        <v>0</v>
      </c>
      <c r="R753" s="38">
        <v>40</v>
      </c>
      <c r="S753" s="38">
        <v>1</v>
      </c>
      <c r="T753" s="39">
        <f t="shared" si="91"/>
        <v>0</v>
      </c>
      <c r="U753" s="38">
        <v>40</v>
      </c>
      <c r="V753" s="38">
        <v>1</v>
      </c>
      <c r="W753" s="39">
        <f t="shared" si="92"/>
        <v>0</v>
      </c>
      <c r="X753" s="38"/>
      <c r="Y753" s="38"/>
      <c r="Z753" s="39">
        <f t="shared" si="93"/>
        <v>0</v>
      </c>
      <c r="AA753" s="38"/>
      <c r="AB753" s="38"/>
      <c r="AC753" s="39">
        <f t="shared" si="94"/>
        <v>0</v>
      </c>
      <c r="AD753" s="38"/>
      <c r="AE753" s="38"/>
      <c r="AF753" s="39">
        <f t="shared" si="95"/>
        <v>0</v>
      </c>
    </row>
    <row r="754" spans="2:32" ht="15" customHeight="1" x14ac:dyDescent="0.3">
      <c r="B754" s="2" t="s">
        <v>983</v>
      </c>
      <c r="C754" s="4" t="s">
        <v>1176</v>
      </c>
      <c r="D754" s="3" t="s">
        <v>1177</v>
      </c>
      <c r="E754" s="6" t="s">
        <v>1202</v>
      </c>
      <c r="F754" s="6" t="s">
        <v>1204</v>
      </c>
      <c r="G754" s="6" t="s">
        <v>841</v>
      </c>
      <c r="H754" s="25">
        <v>0</v>
      </c>
      <c r="I754" s="38">
        <v>0</v>
      </c>
      <c r="J754" s="38">
        <v>0</v>
      </c>
      <c r="K754" s="39">
        <f t="shared" si="88"/>
        <v>0</v>
      </c>
      <c r="L754" s="38">
        <v>0</v>
      </c>
      <c r="M754" s="38">
        <v>0</v>
      </c>
      <c r="N754" s="39">
        <f t="shared" si="89"/>
        <v>0</v>
      </c>
      <c r="O754" s="38">
        <v>0</v>
      </c>
      <c r="P754" s="38">
        <v>0</v>
      </c>
      <c r="Q754" s="39">
        <f t="shared" si="90"/>
        <v>0</v>
      </c>
      <c r="R754" s="38">
        <v>0</v>
      </c>
      <c r="S754" s="38">
        <v>0</v>
      </c>
      <c r="T754" s="39">
        <f t="shared" si="91"/>
        <v>0</v>
      </c>
      <c r="U754" s="38">
        <v>0</v>
      </c>
      <c r="V754" s="38">
        <v>0</v>
      </c>
      <c r="W754" s="39">
        <f t="shared" si="92"/>
        <v>0</v>
      </c>
      <c r="X754" s="38"/>
      <c r="Y754" s="38"/>
      <c r="Z754" s="39">
        <f t="shared" si="93"/>
        <v>0</v>
      </c>
      <c r="AA754" s="38"/>
      <c r="AB754" s="38"/>
      <c r="AC754" s="39">
        <f t="shared" si="94"/>
        <v>0</v>
      </c>
      <c r="AD754" s="38"/>
      <c r="AE754" s="38"/>
      <c r="AF754" s="39">
        <f t="shared" si="95"/>
        <v>0</v>
      </c>
    </row>
    <row r="755" spans="2:32" ht="15" customHeight="1" x14ac:dyDescent="0.3">
      <c r="B755" s="2" t="s">
        <v>983</v>
      </c>
      <c r="C755" s="4" t="s">
        <v>1176</v>
      </c>
      <c r="D755" s="3" t="s">
        <v>1205</v>
      </c>
      <c r="E755" s="6" t="s">
        <v>1206</v>
      </c>
      <c r="F755" s="6" t="s">
        <v>1207</v>
      </c>
      <c r="G755" s="6" t="s">
        <v>709</v>
      </c>
      <c r="H755" s="25">
        <v>28000</v>
      </c>
      <c r="I755" s="38">
        <v>0</v>
      </c>
      <c r="J755" s="38">
        <v>0</v>
      </c>
      <c r="K755" s="39">
        <f t="shared" si="88"/>
        <v>0</v>
      </c>
      <c r="L755" s="38">
        <v>0</v>
      </c>
      <c r="M755" s="38">
        <v>0</v>
      </c>
      <c r="N755" s="39">
        <f t="shared" si="89"/>
        <v>0</v>
      </c>
      <c r="O755" s="38">
        <v>0</v>
      </c>
      <c r="P755" s="38">
        <v>0</v>
      </c>
      <c r="Q755" s="39">
        <f t="shared" si="90"/>
        <v>0</v>
      </c>
      <c r="R755" s="38">
        <v>0</v>
      </c>
      <c r="S755" s="38">
        <v>0</v>
      </c>
      <c r="T755" s="39">
        <f t="shared" si="91"/>
        <v>0</v>
      </c>
      <c r="U755" s="38">
        <v>0</v>
      </c>
      <c r="V755" s="38">
        <v>0</v>
      </c>
      <c r="W755" s="39">
        <f t="shared" si="92"/>
        <v>0</v>
      </c>
      <c r="X755" s="38"/>
      <c r="Y755" s="38"/>
      <c r="Z755" s="39">
        <f t="shared" si="93"/>
        <v>0</v>
      </c>
      <c r="AA755" s="38"/>
      <c r="AB755" s="38"/>
      <c r="AC755" s="39">
        <f t="shared" si="94"/>
        <v>0</v>
      </c>
      <c r="AD755" s="38"/>
      <c r="AE755" s="38"/>
      <c r="AF755" s="39">
        <f t="shared" si="95"/>
        <v>0</v>
      </c>
    </row>
    <row r="756" spans="2:32" ht="15" customHeight="1" x14ac:dyDescent="0.3">
      <c r="B756" s="2" t="s">
        <v>983</v>
      </c>
      <c r="C756" s="4" t="s">
        <v>1176</v>
      </c>
      <c r="D756" s="3" t="s">
        <v>1205</v>
      </c>
      <c r="E756" s="6" t="s">
        <v>1206</v>
      </c>
      <c r="F756" s="6" t="s">
        <v>1207</v>
      </c>
      <c r="G756" s="6" t="s">
        <v>716</v>
      </c>
      <c r="H756" s="25">
        <v>39000</v>
      </c>
      <c r="I756" s="38">
        <v>240</v>
      </c>
      <c r="J756" s="38">
        <v>3</v>
      </c>
      <c r="K756" s="39">
        <f t="shared" si="88"/>
        <v>28080000</v>
      </c>
      <c r="L756" s="38">
        <v>240</v>
      </c>
      <c r="M756" s="38">
        <v>3</v>
      </c>
      <c r="N756" s="39">
        <f t="shared" si="89"/>
        <v>28080000</v>
      </c>
      <c r="O756" s="38">
        <v>240</v>
      </c>
      <c r="P756" s="38">
        <v>3</v>
      </c>
      <c r="Q756" s="39">
        <f t="shared" si="90"/>
        <v>28080000</v>
      </c>
      <c r="R756" s="38">
        <v>240</v>
      </c>
      <c r="S756" s="38">
        <v>3</v>
      </c>
      <c r="T756" s="39">
        <f t="shared" si="91"/>
        <v>28080000</v>
      </c>
      <c r="U756" s="38">
        <v>240</v>
      </c>
      <c r="V756" s="38">
        <v>3</v>
      </c>
      <c r="W756" s="39">
        <f t="shared" si="92"/>
        <v>28080000</v>
      </c>
      <c r="X756" s="38"/>
      <c r="Y756" s="38"/>
      <c r="Z756" s="39">
        <f t="shared" si="93"/>
        <v>0</v>
      </c>
      <c r="AA756" s="38"/>
      <c r="AB756" s="38"/>
      <c r="AC756" s="39">
        <f t="shared" si="94"/>
        <v>0</v>
      </c>
      <c r="AD756" s="38"/>
      <c r="AE756" s="38"/>
      <c r="AF756" s="39">
        <f t="shared" si="95"/>
        <v>0</v>
      </c>
    </row>
    <row r="757" spans="2:32" ht="15" customHeight="1" x14ac:dyDescent="0.3">
      <c r="B757" s="2" t="s">
        <v>983</v>
      </c>
      <c r="C757" s="4" t="s">
        <v>1176</v>
      </c>
      <c r="D757" s="3" t="s">
        <v>1205</v>
      </c>
      <c r="E757" s="6" t="s">
        <v>1206</v>
      </c>
      <c r="F757" s="6" t="s">
        <v>1207</v>
      </c>
      <c r="G757" s="6" t="s">
        <v>712</v>
      </c>
      <c r="H757" s="25">
        <v>214.29</v>
      </c>
      <c r="I757" s="38">
        <v>240</v>
      </c>
      <c r="J757" s="38">
        <v>3</v>
      </c>
      <c r="K757" s="39">
        <f t="shared" si="88"/>
        <v>154288.79999999999</v>
      </c>
      <c r="L757" s="38">
        <v>240</v>
      </c>
      <c r="M757" s="38">
        <v>3</v>
      </c>
      <c r="N757" s="39">
        <f t="shared" si="89"/>
        <v>154288.79999999999</v>
      </c>
      <c r="O757" s="38">
        <v>240</v>
      </c>
      <c r="P757" s="38">
        <v>3</v>
      </c>
      <c r="Q757" s="39">
        <f t="shared" si="90"/>
        <v>154288.79999999999</v>
      </c>
      <c r="R757" s="38">
        <v>240</v>
      </c>
      <c r="S757" s="38">
        <v>3</v>
      </c>
      <c r="T757" s="39">
        <f t="shared" si="91"/>
        <v>154288.79999999999</v>
      </c>
      <c r="U757" s="38">
        <v>240</v>
      </c>
      <c r="V757" s="38">
        <v>3</v>
      </c>
      <c r="W757" s="39">
        <f t="shared" si="92"/>
        <v>154288.79999999999</v>
      </c>
      <c r="X757" s="38"/>
      <c r="Y757" s="38"/>
      <c r="Z757" s="39">
        <f t="shared" si="93"/>
        <v>0</v>
      </c>
      <c r="AA757" s="38"/>
      <c r="AB757" s="38"/>
      <c r="AC757" s="39">
        <f t="shared" si="94"/>
        <v>0</v>
      </c>
      <c r="AD757" s="38"/>
      <c r="AE757" s="38"/>
      <c r="AF757" s="39">
        <f t="shared" si="95"/>
        <v>0</v>
      </c>
    </row>
    <row r="758" spans="2:32" ht="15" customHeight="1" x14ac:dyDescent="0.3">
      <c r="B758" s="2" t="s">
        <v>983</v>
      </c>
      <c r="C758" s="4" t="s">
        <v>1176</v>
      </c>
      <c r="D758" s="3" t="s">
        <v>1205</v>
      </c>
      <c r="E758" s="6" t="s">
        <v>1206</v>
      </c>
      <c r="F758" s="6" t="s">
        <v>1208</v>
      </c>
      <c r="G758" s="6" t="s">
        <v>841</v>
      </c>
      <c r="H758" s="25">
        <v>0</v>
      </c>
      <c r="I758" s="38">
        <v>4000</v>
      </c>
      <c r="J758" s="38">
        <v>12</v>
      </c>
      <c r="K758" s="39">
        <f t="shared" si="88"/>
        <v>0</v>
      </c>
      <c r="L758" s="38">
        <v>4000</v>
      </c>
      <c r="M758" s="38">
        <v>12</v>
      </c>
      <c r="N758" s="39">
        <f t="shared" si="89"/>
        <v>0</v>
      </c>
      <c r="O758" s="38">
        <v>4000</v>
      </c>
      <c r="P758" s="38">
        <v>12</v>
      </c>
      <c r="Q758" s="39">
        <f t="shared" si="90"/>
        <v>0</v>
      </c>
      <c r="R758" s="38">
        <v>4000</v>
      </c>
      <c r="S758" s="38">
        <v>12</v>
      </c>
      <c r="T758" s="39">
        <f t="shared" si="91"/>
        <v>0</v>
      </c>
      <c r="U758" s="38">
        <v>4000</v>
      </c>
      <c r="V758" s="38">
        <v>12</v>
      </c>
      <c r="W758" s="39">
        <f t="shared" si="92"/>
        <v>0</v>
      </c>
      <c r="X758" s="38"/>
      <c r="Y758" s="38"/>
      <c r="Z758" s="39">
        <f t="shared" si="93"/>
        <v>0</v>
      </c>
      <c r="AA758" s="38"/>
      <c r="AB758" s="38"/>
      <c r="AC758" s="39">
        <f t="shared" si="94"/>
        <v>0</v>
      </c>
      <c r="AD758" s="38"/>
      <c r="AE758" s="38"/>
      <c r="AF758" s="39">
        <f t="shared" si="95"/>
        <v>0</v>
      </c>
    </row>
    <row r="759" spans="2:32" ht="15" customHeight="1" x14ac:dyDescent="0.3">
      <c r="B759" s="2" t="s">
        <v>983</v>
      </c>
      <c r="C759" s="4" t="s">
        <v>1176</v>
      </c>
      <c r="D759" s="3" t="s">
        <v>1205</v>
      </c>
      <c r="E759" s="6" t="s">
        <v>1209</v>
      </c>
      <c r="F759" s="6" t="s">
        <v>1210</v>
      </c>
      <c r="G759" s="6" t="s">
        <v>841</v>
      </c>
      <c r="H759" s="25">
        <v>0</v>
      </c>
      <c r="I759" s="38">
        <v>0</v>
      </c>
      <c r="J759" s="38">
        <v>0</v>
      </c>
      <c r="K759" s="39">
        <f t="shared" si="88"/>
        <v>0</v>
      </c>
      <c r="L759" s="38">
        <v>0</v>
      </c>
      <c r="M759" s="38">
        <v>0</v>
      </c>
      <c r="N759" s="39">
        <f t="shared" si="89"/>
        <v>0</v>
      </c>
      <c r="O759" s="38">
        <v>0</v>
      </c>
      <c r="P759" s="38">
        <v>0</v>
      </c>
      <c r="Q759" s="39">
        <f t="shared" si="90"/>
        <v>0</v>
      </c>
      <c r="R759" s="38">
        <v>0</v>
      </c>
      <c r="S759" s="38">
        <v>0</v>
      </c>
      <c r="T759" s="39">
        <f t="shared" si="91"/>
        <v>0</v>
      </c>
      <c r="U759" s="38">
        <v>0</v>
      </c>
      <c r="V759" s="38">
        <v>0</v>
      </c>
      <c r="W759" s="39">
        <f t="shared" si="92"/>
        <v>0</v>
      </c>
      <c r="X759" s="38"/>
      <c r="Y759" s="38"/>
      <c r="Z759" s="39">
        <f t="shared" si="93"/>
        <v>0</v>
      </c>
      <c r="AA759" s="38"/>
      <c r="AB759" s="38"/>
      <c r="AC759" s="39">
        <f t="shared" si="94"/>
        <v>0</v>
      </c>
      <c r="AD759" s="38"/>
      <c r="AE759" s="38"/>
      <c r="AF759" s="39">
        <f t="shared" si="95"/>
        <v>0</v>
      </c>
    </row>
    <row r="760" spans="2:32" ht="15" customHeight="1" x14ac:dyDescent="0.3">
      <c r="B760" s="2" t="s">
        <v>983</v>
      </c>
      <c r="C760" s="4" t="s">
        <v>1176</v>
      </c>
      <c r="D760" s="3" t="s">
        <v>1205</v>
      </c>
      <c r="E760" s="6" t="s">
        <v>1209</v>
      </c>
      <c r="F760" s="6" t="s">
        <v>1211</v>
      </c>
      <c r="G760" s="6" t="s">
        <v>841</v>
      </c>
      <c r="H760" s="25">
        <v>0</v>
      </c>
      <c r="I760" s="38">
        <v>20</v>
      </c>
      <c r="J760" s="38">
        <v>4</v>
      </c>
      <c r="K760" s="39">
        <f t="shared" si="88"/>
        <v>0</v>
      </c>
      <c r="L760" s="38">
        <v>20</v>
      </c>
      <c r="M760" s="38">
        <v>4</v>
      </c>
      <c r="N760" s="39">
        <f t="shared" si="89"/>
        <v>0</v>
      </c>
      <c r="O760" s="38">
        <v>20</v>
      </c>
      <c r="P760" s="38">
        <v>4</v>
      </c>
      <c r="Q760" s="39">
        <f t="shared" si="90"/>
        <v>0</v>
      </c>
      <c r="R760" s="38">
        <v>20</v>
      </c>
      <c r="S760" s="38">
        <v>4</v>
      </c>
      <c r="T760" s="39">
        <f t="shared" si="91"/>
        <v>0</v>
      </c>
      <c r="U760" s="38">
        <v>20</v>
      </c>
      <c r="V760" s="38">
        <v>4</v>
      </c>
      <c r="W760" s="39">
        <f t="shared" si="92"/>
        <v>0</v>
      </c>
      <c r="X760" s="38"/>
      <c r="Y760" s="38"/>
      <c r="Z760" s="39">
        <f t="shared" si="93"/>
        <v>0</v>
      </c>
      <c r="AA760" s="38"/>
      <c r="AB760" s="38"/>
      <c r="AC760" s="39">
        <f t="shared" si="94"/>
        <v>0</v>
      </c>
      <c r="AD760" s="38"/>
      <c r="AE760" s="38"/>
      <c r="AF760" s="39">
        <f t="shared" si="95"/>
        <v>0</v>
      </c>
    </row>
    <row r="761" spans="2:32" ht="15" customHeight="1" x14ac:dyDescent="0.3">
      <c r="B761" s="2" t="s">
        <v>983</v>
      </c>
      <c r="C761" s="4" t="s">
        <v>1176</v>
      </c>
      <c r="D761" s="3" t="s">
        <v>1205</v>
      </c>
      <c r="E761" s="6" t="s">
        <v>1212</v>
      </c>
      <c r="F761" s="6" t="s">
        <v>1213</v>
      </c>
      <c r="G761" s="6" t="s">
        <v>841</v>
      </c>
      <c r="H761" s="25">
        <v>0</v>
      </c>
      <c r="I761" s="38">
        <v>0</v>
      </c>
      <c r="J761" s="38">
        <v>0</v>
      </c>
      <c r="K761" s="39">
        <f t="shared" si="88"/>
        <v>0</v>
      </c>
      <c r="L761" s="38">
        <v>0</v>
      </c>
      <c r="M761" s="38">
        <v>0</v>
      </c>
      <c r="N761" s="39">
        <f t="shared" si="89"/>
        <v>0</v>
      </c>
      <c r="O761" s="38">
        <v>0</v>
      </c>
      <c r="P761" s="38">
        <v>0</v>
      </c>
      <c r="Q761" s="39">
        <f t="shared" si="90"/>
        <v>0</v>
      </c>
      <c r="R761" s="38">
        <v>0</v>
      </c>
      <c r="S761" s="38">
        <v>0</v>
      </c>
      <c r="T761" s="39">
        <f t="shared" si="91"/>
        <v>0</v>
      </c>
      <c r="U761" s="38">
        <v>0</v>
      </c>
      <c r="V761" s="38">
        <v>0</v>
      </c>
      <c r="W761" s="39">
        <f t="shared" si="92"/>
        <v>0</v>
      </c>
      <c r="X761" s="38"/>
      <c r="Y761" s="38"/>
      <c r="Z761" s="39">
        <f t="shared" si="93"/>
        <v>0</v>
      </c>
      <c r="AA761" s="38"/>
      <c r="AB761" s="38"/>
      <c r="AC761" s="39">
        <f t="shared" si="94"/>
        <v>0</v>
      </c>
      <c r="AD761" s="38"/>
      <c r="AE761" s="38"/>
      <c r="AF761" s="39">
        <f t="shared" si="95"/>
        <v>0</v>
      </c>
    </row>
    <row r="762" spans="2:32" ht="15" customHeight="1" x14ac:dyDescent="0.3">
      <c r="B762" s="2" t="s">
        <v>983</v>
      </c>
      <c r="C762" s="4" t="s">
        <v>1176</v>
      </c>
      <c r="D762" s="3" t="s">
        <v>1205</v>
      </c>
      <c r="E762" s="6" t="s">
        <v>1212</v>
      </c>
      <c r="F762" s="6" t="s">
        <v>1214</v>
      </c>
      <c r="G762" s="6" t="s">
        <v>841</v>
      </c>
      <c r="H762" s="25">
        <v>0</v>
      </c>
      <c r="I762" s="38">
        <v>0</v>
      </c>
      <c r="J762" s="38">
        <v>0</v>
      </c>
      <c r="K762" s="39">
        <f t="shared" si="88"/>
        <v>0</v>
      </c>
      <c r="L762" s="38">
        <v>0</v>
      </c>
      <c r="M762" s="38">
        <v>0</v>
      </c>
      <c r="N762" s="39">
        <f t="shared" si="89"/>
        <v>0</v>
      </c>
      <c r="O762" s="38">
        <v>0</v>
      </c>
      <c r="P762" s="38">
        <v>0</v>
      </c>
      <c r="Q762" s="39">
        <f t="shared" si="90"/>
        <v>0</v>
      </c>
      <c r="R762" s="38">
        <v>0</v>
      </c>
      <c r="S762" s="38">
        <v>0</v>
      </c>
      <c r="T762" s="39">
        <f t="shared" si="91"/>
        <v>0</v>
      </c>
      <c r="U762" s="38">
        <v>0</v>
      </c>
      <c r="V762" s="38">
        <v>0</v>
      </c>
      <c r="W762" s="39">
        <f t="shared" si="92"/>
        <v>0</v>
      </c>
      <c r="X762" s="38"/>
      <c r="Y762" s="38"/>
      <c r="Z762" s="39">
        <f t="shared" si="93"/>
        <v>0</v>
      </c>
      <c r="AA762" s="38"/>
      <c r="AB762" s="38"/>
      <c r="AC762" s="39">
        <f t="shared" si="94"/>
        <v>0</v>
      </c>
      <c r="AD762" s="38"/>
      <c r="AE762" s="38"/>
      <c r="AF762" s="39">
        <f t="shared" si="95"/>
        <v>0</v>
      </c>
    </row>
    <row r="763" spans="2:32" ht="15" customHeight="1" x14ac:dyDescent="0.3">
      <c r="B763" s="2" t="s">
        <v>983</v>
      </c>
      <c r="C763" s="4" t="s">
        <v>1176</v>
      </c>
      <c r="D763" s="3" t="s">
        <v>1205</v>
      </c>
      <c r="E763" s="6" t="s">
        <v>1212</v>
      </c>
      <c r="F763" s="6" t="s">
        <v>1215</v>
      </c>
      <c r="G763" s="6" t="s">
        <v>841</v>
      </c>
      <c r="H763" s="25">
        <v>0</v>
      </c>
      <c r="I763" s="38">
        <v>0</v>
      </c>
      <c r="J763" s="38">
        <v>0</v>
      </c>
      <c r="K763" s="39">
        <f t="shared" si="88"/>
        <v>0</v>
      </c>
      <c r="L763" s="38">
        <v>0</v>
      </c>
      <c r="M763" s="38">
        <v>0</v>
      </c>
      <c r="N763" s="39">
        <f t="shared" si="89"/>
        <v>0</v>
      </c>
      <c r="O763" s="38">
        <v>0</v>
      </c>
      <c r="P763" s="38">
        <v>0</v>
      </c>
      <c r="Q763" s="39">
        <f t="shared" si="90"/>
        <v>0</v>
      </c>
      <c r="R763" s="38">
        <v>0</v>
      </c>
      <c r="S763" s="38">
        <v>0</v>
      </c>
      <c r="T763" s="39">
        <f t="shared" si="91"/>
        <v>0</v>
      </c>
      <c r="U763" s="38">
        <v>0</v>
      </c>
      <c r="V763" s="38">
        <v>0</v>
      </c>
      <c r="W763" s="39">
        <f t="shared" si="92"/>
        <v>0</v>
      </c>
      <c r="X763" s="38"/>
      <c r="Y763" s="38"/>
      <c r="Z763" s="39">
        <f t="shared" si="93"/>
        <v>0</v>
      </c>
      <c r="AA763" s="38"/>
      <c r="AB763" s="38"/>
      <c r="AC763" s="39">
        <f t="shared" si="94"/>
        <v>0</v>
      </c>
      <c r="AD763" s="38"/>
      <c r="AE763" s="38"/>
      <c r="AF763" s="39">
        <f t="shared" si="95"/>
        <v>0</v>
      </c>
    </row>
    <row r="764" spans="2:32" ht="15" customHeight="1" x14ac:dyDescent="0.3">
      <c r="B764" s="2" t="s">
        <v>983</v>
      </c>
      <c r="C764" s="4" t="s">
        <v>1176</v>
      </c>
      <c r="D764" s="3" t="s">
        <v>1205</v>
      </c>
      <c r="E764" s="6" t="s">
        <v>1212</v>
      </c>
      <c r="F764" s="6" t="s">
        <v>1216</v>
      </c>
      <c r="G764" s="6" t="s">
        <v>709</v>
      </c>
      <c r="H764" s="25">
        <v>28000</v>
      </c>
      <c r="I764" s="38">
        <v>0</v>
      </c>
      <c r="J764" s="38">
        <v>0</v>
      </c>
      <c r="K764" s="39">
        <f t="shared" si="88"/>
        <v>0</v>
      </c>
      <c r="L764" s="38">
        <v>0</v>
      </c>
      <c r="M764" s="38">
        <v>0</v>
      </c>
      <c r="N764" s="39">
        <f t="shared" si="89"/>
        <v>0</v>
      </c>
      <c r="O764" s="38">
        <v>0</v>
      </c>
      <c r="P764" s="38">
        <v>0</v>
      </c>
      <c r="Q764" s="39">
        <f t="shared" si="90"/>
        <v>0</v>
      </c>
      <c r="R764" s="38">
        <v>0</v>
      </c>
      <c r="S764" s="38">
        <v>0</v>
      </c>
      <c r="T764" s="39">
        <f t="shared" si="91"/>
        <v>0</v>
      </c>
      <c r="U764" s="38">
        <v>0</v>
      </c>
      <c r="V764" s="38">
        <v>0</v>
      </c>
      <c r="W764" s="39">
        <f t="shared" si="92"/>
        <v>0</v>
      </c>
      <c r="X764" s="38"/>
      <c r="Y764" s="38"/>
      <c r="Z764" s="39">
        <f t="shared" si="93"/>
        <v>0</v>
      </c>
      <c r="AA764" s="38"/>
      <c r="AB764" s="38"/>
      <c r="AC764" s="39">
        <f t="shared" si="94"/>
        <v>0</v>
      </c>
      <c r="AD764" s="38"/>
      <c r="AE764" s="38"/>
      <c r="AF764" s="39">
        <f t="shared" si="95"/>
        <v>0</v>
      </c>
    </row>
    <row r="765" spans="2:32" ht="15" customHeight="1" x14ac:dyDescent="0.3">
      <c r="B765" s="2" t="s">
        <v>983</v>
      </c>
      <c r="C765" s="4" t="s">
        <v>1176</v>
      </c>
      <c r="D765" s="3" t="s">
        <v>1205</v>
      </c>
      <c r="E765" s="6" t="s">
        <v>1212</v>
      </c>
      <c r="F765" s="6" t="s">
        <v>1216</v>
      </c>
      <c r="G765" s="6" t="s">
        <v>716</v>
      </c>
      <c r="H765" s="25">
        <v>39000</v>
      </c>
      <c r="I765" s="38">
        <v>20</v>
      </c>
      <c r="J765" s="38">
        <v>10</v>
      </c>
      <c r="K765" s="39">
        <f t="shared" si="88"/>
        <v>7800000</v>
      </c>
      <c r="L765" s="38">
        <v>20</v>
      </c>
      <c r="M765" s="38">
        <v>10</v>
      </c>
      <c r="N765" s="39">
        <f t="shared" si="89"/>
        <v>7800000</v>
      </c>
      <c r="O765" s="38">
        <v>20</v>
      </c>
      <c r="P765" s="38">
        <v>10</v>
      </c>
      <c r="Q765" s="39">
        <f t="shared" si="90"/>
        <v>7800000</v>
      </c>
      <c r="R765" s="38">
        <v>20</v>
      </c>
      <c r="S765" s="38">
        <v>10</v>
      </c>
      <c r="T765" s="39">
        <f t="shared" si="91"/>
        <v>7800000</v>
      </c>
      <c r="U765" s="38">
        <v>20</v>
      </c>
      <c r="V765" s="38">
        <v>10</v>
      </c>
      <c r="W765" s="39">
        <f t="shared" si="92"/>
        <v>7800000</v>
      </c>
      <c r="X765" s="38"/>
      <c r="Y765" s="38"/>
      <c r="Z765" s="39">
        <f t="shared" si="93"/>
        <v>0</v>
      </c>
      <c r="AA765" s="38"/>
      <c r="AB765" s="38"/>
      <c r="AC765" s="39">
        <f t="shared" si="94"/>
        <v>0</v>
      </c>
      <c r="AD765" s="38"/>
      <c r="AE765" s="38"/>
      <c r="AF765" s="39">
        <f t="shared" si="95"/>
        <v>0</v>
      </c>
    </row>
    <row r="766" spans="2:32" ht="15" customHeight="1" x14ac:dyDescent="0.3">
      <c r="B766" s="2" t="s">
        <v>983</v>
      </c>
      <c r="C766" s="4" t="s">
        <v>1176</v>
      </c>
      <c r="D766" s="3" t="s">
        <v>1205</v>
      </c>
      <c r="E766" s="6" t="s">
        <v>1212</v>
      </c>
      <c r="F766" s="6" t="s">
        <v>1216</v>
      </c>
      <c r="G766" s="6" t="s">
        <v>712</v>
      </c>
      <c r="H766" s="25">
        <v>214.29</v>
      </c>
      <c r="I766" s="38">
        <v>20</v>
      </c>
      <c r="J766" s="38">
        <v>10</v>
      </c>
      <c r="K766" s="39">
        <f t="shared" si="88"/>
        <v>42858</v>
      </c>
      <c r="L766" s="38">
        <v>20</v>
      </c>
      <c r="M766" s="38">
        <v>10</v>
      </c>
      <c r="N766" s="39">
        <f t="shared" si="89"/>
        <v>42858</v>
      </c>
      <c r="O766" s="38">
        <v>20</v>
      </c>
      <c r="P766" s="38">
        <v>10</v>
      </c>
      <c r="Q766" s="39">
        <f t="shared" si="90"/>
        <v>42858</v>
      </c>
      <c r="R766" s="38">
        <v>20</v>
      </c>
      <c r="S766" s="38">
        <v>10</v>
      </c>
      <c r="T766" s="39">
        <f t="shared" si="91"/>
        <v>42858</v>
      </c>
      <c r="U766" s="38">
        <v>20</v>
      </c>
      <c r="V766" s="38">
        <v>10</v>
      </c>
      <c r="W766" s="39">
        <f t="shared" si="92"/>
        <v>42858</v>
      </c>
      <c r="X766" s="38"/>
      <c r="Y766" s="38"/>
      <c r="Z766" s="39">
        <f t="shared" si="93"/>
        <v>0</v>
      </c>
      <c r="AA766" s="38"/>
      <c r="AB766" s="38"/>
      <c r="AC766" s="39">
        <f t="shared" si="94"/>
        <v>0</v>
      </c>
      <c r="AD766" s="38"/>
      <c r="AE766" s="38"/>
      <c r="AF766" s="39">
        <f t="shared" si="95"/>
        <v>0</v>
      </c>
    </row>
    <row r="767" spans="2:32" ht="15" customHeight="1" x14ac:dyDescent="0.3">
      <c r="B767" s="2" t="s">
        <v>983</v>
      </c>
      <c r="C767" s="4" t="s">
        <v>1176</v>
      </c>
      <c r="D767" s="3" t="s">
        <v>1205</v>
      </c>
      <c r="E767" s="6" t="s">
        <v>1212</v>
      </c>
      <c r="F767" s="6" t="s">
        <v>1217</v>
      </c>
      <c r="G767" s="6" t="s">
        <v>841</v>
      </c>
      <c r="H767" s="25">
        <v>0</v>
      </c>
      <c r="I767" s="38">
        <v>4000</v>
      </c>
      <c r="J767" s="38">
        <v>2</v>
      </c>
      <c r="K767" s="39">
        <f t="shared" si="88"/>
        <v>0</v>
      </c>
      <c r="L767" s="38">
        <v>4000</v>
      </c>
      <c r="M767" s="38">
        <v>2</v>
      </c>
      <c r="N767" s="39">
        <f t="shared" si="89"/>
        <v>0</v>
      </c>
      <c r="O767" s="38">
        <v>4000</v>
      </c>
      <c r="P767" s="38">
        <v>2</v>
      </c>
      <c r="Q767" s="39">
        <f t="shared" si="90"/>
        <v>0</v>
      </c>
      <c r="R767" s="38">
        <v>4000</v>
      </c>
      <c r="S767" s="38">
        <v>2</v>
      </c>
      <c r="T767" s="39">
        <f t="shared" si="91"/>
        <v>0</v>
      </c>
      <c r="U767" s="38">
        <v>4000</v>
      </c>
      <c r="V767" s="38">
        <v>2</v>
      </c>
      <c r="W767" s="39">
        <f t="shared" si="92"/>
        <v>0</v>
      </c>
      <c r="X767" s="38"/>
      <c r="Y767" s="38"/>
      <c r="Z767" s="39">
        <f t="shared" si="93"/>
        <v>0</v>
      </c>
      <c r="AA767" s="38"/>
      <c r="AB767" s="38"/>
      <c r="AC767" s="39">
        <f t="shared" si="94"/>
        <v>0</v>
      </c>
      <c r="AD767" s="38"/>
      <c r="AE767" s="38"/>
      <c r="AF767" s="39">
        <f t="shared" si="95"/>
        <v>0</v>
      </c>
    </row>
    <row r="768" spans="2:32" ht="15" customHeight="1" x14ac:dyDescent="0.3">
      <c r="B768" s="2" t="s">
        <v>983</v>
      </c>
      <c r="C768" s="4" t="s">
        <v>1176</v>
      </c>
      <c r="D768" s="3" t="s">
        <v>1205</v>
      </c>
      <c r="E768" s="6" t="s">
        <v>1218</v>
      </c>
      <c r="F768" s="6" t="s">
        <v>1219</v>
      </c>
      <c r="G768" s="6" t="s">
        <v>709</v>
      </c>
      <c r="H768" s="25">
        <v>28000</v>
      </c>
      <c r="I768" s="38">
        <v>0</v>
      </c>
      <c r="J768" s="38">
        <v>0</v>
      </c>
      <c r="K768" s="39">
        <f t="shared" si="88"/>
        <v>0</v>
      </c>
      <c r="L768" s="38">
        <v>0</v>
      </c>
      <c r="M768" s="38">
        <v>0</v>
      </c>
      <c r="N768" s="39">
        <f t="shared" si="89"/>
        <v>0</v>
      </c>
      <c r="O768" s="38">
        <v>0</v>
      </c>
      <c r="P768" s="38">
        <v>0</v>
      </c>
      <c r="Q768" s="39">
        <f t="shared" si="90"/>
        <v>0</v>
      </c>
      <c r="R768" s="38">
        <v>0</v>
      </c>
      <c r="S768" s="38">
        <v>0</v>
      </c>
      <c r="T768" s="39">
        <f t="shared" si="91"/>
        <v>0</v>
      </c>
      <c r="U768" s="38">
        <v>0</v>
      </c>
      <c r="V768" s="38">
        <v>0</v>
      </c>
      <c r="W768" s="39">
        <f t="shared" si="92"/>
        <v>0</v>
      </c>
      <c r="X768" s="38"/>
      <c r="Y768" s="38"/>
      <c r="Z768" s="39">
        <f t="shared" si="93"/>
        <v>0</v>
      </c>
      <c r="AA768" s="38"/>
      <c r="AB768" s="38"/>
      <c r="AC768" s="39">
        <f t="shared" si="94"/>
        <v>0</v>
      </c>
      <c r="AD768" s="38"/>
      <c r="AE768" s="38"/>
      <c r="AF768" s="39">
        <f t="shared" si="95"/>
        <v>0</v>
      </c>
    </row>
    <row r="769" spans="2:32" ht="15" customHeight="1" x14ac:dyDescent="0.3">
      <c r="B769" s="2" t="s">
        <v>983</v>
      </c>
      <c r="C769" s="4" t="s">
        <v>1176</v>
      </c>
      <c r="D769" s="3" t="s">
        <v>1205</v>
      </c>
      <c r="E769" s="6" t="s">
        <v>1218</v>
      </c>
      <c r="F769" s="6" t="s">
        <v>1220</v>
      </c>
      <c r="G769" s="6" t="s">
        <v>841</v>
      </c>
      <c r="H769" s="25">
        <v>0</v>
      </c>
      <c r="I769" s="38">
        <v>0</v>
      </c>
      <c r="J769" s="38">
        <v>0</v>
      </c>
      <c r="K769" s="39">
        <f t="shared" si="88"/>
        <v>0</v>
      </c>
      <c r="L769" s="38">
        <v>25</v>
      </c>
      <c r="M769" s="38">
        <v>2</v>
      </c>
      <c r="N769" s="39">
        <f t="shared" si="89"/>
        <v>0</v>
      </c>
      <c r="O769" s="38">
        <v>0</v>
      </c>
      <c r="P769" s="38">
        <v>0</v>
      </c>
      <c r="Q769" s="39">
        <f t="shared" si="90"/>
        <v>0</v>
      </c>
      <c r="R769" s="38">
        <v>0</v>
      </c>
      <c r="S769" s="38">
        <v>0</v>
      </c>
      <c r="T769" s="39">
        <f t="shared" si="91"/>
        <v>0</v>
      </c>
      <c r="U769" s="38">
        <v>0</v>
      </c>
      <c r="V769" s="38">
        <v>0</v>
      </c>
      <c r="W769" s="39">
        <f t="shared" si="92"/>
        <v>0</v>
      </c>
      <c r="X769" s="38"/>
      <c r="Y769" s="38"/>
      <c r="Z769" s="39">
        <f t="shared" si="93"/>
        <v>0</v>
      </c>
      <c r="AA769" s="38"/>
      <c r="AB769" s="38"/>
      <c r="AC769" s="39">
        <f t="shared" si="94"/>
        <v>0</v>
      </c>
      <c r="AD769" s="38"/>
      <c r="AE769" s="38"/>
      <c r="AF769" s="39">
        <f t="shared" si="95"/>
        <v>0</v>
      </c>
    </row>
    <row r="770" spans="2:32" ht="15" customHeight="1" x14ac:dyDescent="0.3">
      <c r="B770" s="2" t="s">
        <v>983</v>
      </c>
      <c r="C770" s="4" t="s">
        <v>1176</v>
      </c>
      <c r="D770" s="3" t="s">
        <v>1221</v>
      </c>
      <c r="E770" s="6" t="s">
        <v>1222</v>
      </c>
      <c r="F770" s="6" t="s">
        <v>1223</v>
      </c>
      <c r="G770" s="6" t="s">
        <v>841</v>
      </c>
      <c r="H770" s="25">
        <v>0</v>
      </c>
      <c r="I770" s="38">
        <v>0</v>
      </c>
      <c r="J770" s="38">
        <v>0</v>
      </c>
      <c r="K770" s="39">
        <f t="shared" si="88"/>
        <v>0</v>
      </c>
      <c r="L770" s="38">
        <v>15</v>
      </c>
      <c r="M770" s="38">
        <v>1</v>
      </c>
      <c r="N770" s="39">
        <f t="shared" si="89"/>
        <v>0</v>
      </c>
      <c r="O770" s="38">
        <v>0</v>
      </c>
      <c r="P770" s="38">
        <v>0</v>
      </c>
      <c r="Q770" s="39">
        <f t="shared" si="90"/>
        <v>0</v>
      </c>
      <c r="R770" s="38">
        <v>0</v>
      </c>
      <c r="S770" s="38">
        <v>0</v>
      </c>
      <c r="T770" s="39">
        <f t="shared" si="91"/>
        <v>0</v>
      </c>
      <c r="U770" s="38">
        <v>0</v>
      </c>
      <c r="V770" s="38">
        <v>0</v>
      </c>
      <c r="W770" s="39">
        <f t="shared" si="92"/>
        <v>0</v>
      </c>
      <c r="X770" s="38"/>
      <c r="Y770" s="38"/>
      <c r="Z770" s="39">
        <f t="shared" si="93"/>
        <v>0</v>
      </c>
      <c r="AA770" s="38"/>
      <c r="AB770" s="38"/>
      <c r="AC770" s="39">
        <f t="shared" si="94"/>
        <v>0</v>
      </c>
      <c r="AD770" s="38"/>
      <c r="AE770" s="38"/>
      <c r="AF770" s="39">
        <f t="shared" si="95"/>
        <v>0</v>
      </c>
    </row>
    <row r="771" spans="2:32" ht="15" customHeight="1" x14ac:dyDescent="0.3">
      <c r="B771" s="2" t="s">
        <v>983</v>
      </c>
      <c r="C771" s="4" t="s">
        <v>1176</v>
      </c>
      <c r="D771" s="3" t="s">
        <v>1221</v>
      </c>
      <c r="E771" s="6" t="s">
        <v>1224</v>
      </c>
      <c r="F771" s="6" t="s">
        <v>1225</v>
      </c>
      <c r="G771" s="6" t="s">
        <v>709</v>
      </c>
      <c r="H771" s="25">
        <v>28000</v>
      </c>
      <c r="I771" s="38">
        <v>0</v>
      </c>
      <c r="J771" s="38">
        <v>0</v>
      </c>
      <c r="K771" s="39">
        <f t="shared" ref="K771:K834" si="96">H771*I771*J771</f>
        <v>0</v>
      </c>
      <c r="L771" s="38">
        <v>0</v>
      </c>
      <c r="M771" s="38">
        <v>0</v>
      </c>
      <c r="N771" s="39">
        <f t="shared" ref="N771:N834" si="97">H771*L771*M771</f>
        <v>0</v>
      </c>
      <c r="O771" s="38">
        <v>0</v>
      </c>
      <c r="P771" s="38">
        <v>0</v>
      </c>
      <c r="Q771" s="39">
        <f t="shared" ref="Q771:Q834" si="98">H771*O771*P771</f>
        <v>0</v>
      </c>
      <c r="R771" s="38">
        <v>5</v>
      </c>
      <c r="S771" s="38">
        <v>5</v>
      </c>
      <c r="T771" s="39">
        <f t="shared" ref="T771:T834" si="99">H771*R771*S771</f>
        <v>700000</v>
      </c>
      <c r="U771" s="38">
        <v>0</v>
      </c>
      <c r="V771" s="38">
        <v>0</v>
      </c>
      <c r="W771" s="39">
        <f t="shared" ref="W771:W834" si="100">H771*U771*V771</f>
        <v>0</v>
      </c>
      <c r="X771" s="38"/>
      <c r="Y771" s="38"/>
      <c r="Z771" s="39">
        <f t="shared" ref="Z771:Z834" si="101">H771*X771*Y771</f>
        <v>0</v>
      </c>
      <c r="AA771" s="38"/>
      <c r="AB771" s="38"/>
      <c r="AC771" s="39">
        <f t="shared" ref="AC771:AC834" si="102">H771*AA771*AB771</f>
        <v>0</v>
      </c>
      <c r="AD771" s="38"/>
      <c r="AE771" s="38"/>
      <c r="AF771" s="39">
        <f t="shared" ref="AF771:AF834" si="103">H771*AD771*AE771</f>
        <v>0</v>
      </c>
    </row>
    <row r="772" spans="2:32" ht="15" customHeight="1" x14ac:dyDescent="0.3">
      <c r="B772" s="2" t="s">
        <v>983</v>
      </c>
      <c r="C772" s="4" t="s">
        <v>1176</v>
      </c>
      <c r="D772" s="3" t="s">
        <v>1221</v>
      </c>
      <c r="E772" s="6" t="s">
        <v>1224</v>
      </c>
      <c r="F772" s="6" t="s">
        <v>1226</v>
      </c>
      <c r="G772" s="6" t="s">
        <v>841</v>
      </c>
      <c r="H772" s="25">
        <v>0</v>
      </c>
      <c r="I772" s="38">
        <v>0</v>
      </c>
      <c r="J772" s="38">
        <v>0</v>
      </c>
      <c r="K772" s="39">
        <f t="shared" si="96"/>
        <v>0</v>
      </c>
      <c r="L772" s="38">
        <v>0</v>
      </c>
      <c r="M772" s="38">
        <v>0</v>
      </c>
      <c r="N772" s="39">
        <f t="shared" si="97"/>
        <v>0</v>
      </c>
      <c r="O772" s="38">
        <v>0</v>
      </c>
      <c r="P772" s="38">
        <v>0</v>
      </c>
      <c r="Q772" s="39">
        <f t="shared" si="98"/>
        <v>0</v>
      </c>
      <c r="R772" s="38">
        <v>15</v>
      </c>
      <c r="S772" s="38">
        <v>3</v>
      </c>
      <c r="T772" s="39">
        <f t="shared" si="99"/>
        <v>0</v>
      </c>
      <c r="U772" s="38">
        <v>0</v>
      </c>
      <c r="V772" s="38">
        <v>0</v>
      </c>
      <c r="W772" s="39">
        <f t="shared" si="100"/>
        <v>0</v>
      </c>
      <c r="X772" s="38"/>
      <c r="Y772" s="38"/>
      <c r="Z772" s="39">
        <f t="shared" si="101"/>
        <v>0</v>
      </c>
      <c r="AA772" s="38"/>
      <c r="AB772" s="38"/>
      <c r="AC772" s="39">
        <f t="shared" si="102"/>
        <v>0</v>
      </c>
      <c r="AD772" s="38"/>
      <c r="AE772" s="38"/>
      <c r="AF772" s="39">
        <f t="shared" si="103"/>
        <v>0</v>
      </c>
    </row>
    <row r="773" spans="2:32" ht="15" customHeight="1" x14ac:dyDescent="0.3">
      <c r="B773" s="2" t="s">
        <v>983</v>
      </c>
      <c r="C773" s="4" t="s">
        <v>1176</v>
      </c>
      <c r="D773" s="3" t="s">
        <v>1221</v>
      </c>
      <c r="E773" s="6" t="s">
        <v>1224</v>
      </c>
      <c r="F773" s="6" t="s">
        <v>1227</v>
      </c>
      <c r="G773" s="6" t="s">
        <v>709</v>
      </c>
      <c r="H773" s="25">
        <v>28000</v>
      </c>
      <c r="I773" s="38">
        <v>0</v>
      </c>
      <c r="J773" s="38">
        <v>0</v>
      </c>
      <c r="K773" s="39">
        <f t="shared" si="96"/>
        <v>0</v>
      </c>
      <c r="L773" s="38">
        <v>0</v>
      </c>
      <c r="M773" s="38">
        <v>0</v>
      </c>
      <c r="N773" s="39">
        <f t="shared" si="97"/>
        <v>0</v>
      </c>
      <c r="O773" s="38">
        <v>0</v>
      </c>
      <c r="P773" s="38">
        <v>0</v>
      </c>
      <c r="Q773" s="39">
        <f t="shared" si="98"/>
        <v>0</v>
      </c>
      <c r="R773" s="38">
        <v>0</v>
      </c>
      <c r="S773" s="38">
        <v>0</v>
      </c>
      <c r="T773" s="39">
        <f t="shared" si="99"/>
        <v>0</v>
      </c>
      <c r="U773" s="38">
        <v>0</v>
      </c>
      <c r="V773" s="38">
        <v>0</v>
      </c>
      <c r="W773" s="39">
        <f t="shared" si="100"/>
        <v>0</v>
      </c>
      <c r="X773" s="38"/>
      <c r="Y773" s="38"/>
      <c r="Z773" s="39">
        <f t="shared" si="101"/>
        <v>0</v>
      </c>
      <c r="AA773" s="38"/>
      <c r="AB773" s="38"/>
      <c r="AC773" s="39">
        <f t="shared" si="102"/>
        <v>0</v>
      </c>
      <c r="AD773" s="38"/>
      <c r="AE773" s="38"/>
      <c r="AF773" s="39">
        <f t="shared" si="103"/>
        <v>0</v>
      </c>
    </row>
    <row r="774" spans="2:32" ht="15" customHeight="1" x14ac:dyDescent="0.3">
      <c r="B774" s="2" t="s">
        <v>983</v>
      </c>
      <c r="C774" s="4" t="s">
        <v>1176</v>
      </c>
      <c r="D774" s="3" t="s">
        <v>1221</v>
      </c>
      <c r="E774" s="6" t="s">
        <v>1224</v>
      </c>
      <c r="F774" s="6" t="s">
        <v>1227</v>
      </c>
      <c r="G774" s="6" t="s">
        <v>716</v>
      </c>
      <c r="H774" s="25">
        <v>39000</v>
      </c>
      <c r="I774" s="38">
        <v>0</v>
      </c>
      <c r="J774" s="38">
        <v>0</v>
      </c>
      <c r="K774" s="39">
        <f t="shared" si="96"/>
        <v>0</v>
      </c>
      <c r="L774" s="38">
        <v>0</v>
      </c>
      <c r="M774" s="38">
        <v>0</v>
      </c>
      <c r="N774" s="39">
        <f t="shared" si="97"/>
        <v>0</v>
      </c>
      <c r="O774" s="38">
        <v>0</v>
      </c>
      <c r="P774" s="38">
        <v>0</v>
      </c>
      <c r="Q774" s="39">
        <f t="shared" si="98"/>
        <v>0</v>
      </c>
      <c r="R774" s="38">
        <v>150</v>
      </c>
      <c r="S774" s="38">
        <v>2</v>
      </c>
      <c r="T774" s="39">
        <f t="shared" si="99"/>
        <v>11700000</v>
      </c>
      <c r="U774" s="38">
        <v>0</v>
      </c>
      <c r="V774" s="38">
        <v>0</v>
      </c>
      <c r="W774" s="39">
        <f t="shared" si="100"/>
        <v>0</v>
      </c>
      <c r="X774" s="38"/>
      <c r="Y774" s="38"/>
      <c r="Z774" s="39">
        <f t="shared" si="101"/>
        <v>0</v>
      </c>
      <c r="AA774" s="38"/>
      <c r="AB774" s="38"/>
      <c r="AC774" s="39">
        <f t="shared" si="102"/>
        <v>0</v>
      </c>
      <c r="AD774" s="38"/>
      <c r="AE774" s="38"/>
      <c r="AF774" s="39">
        <f t="shared" si="103"/>
        <v>0</v>
      </c>
    </row>
    <row r="775" spans="2:32" ht="15" customHeight="1" x14ac:dyDescent="0.3">
      <c r="B775" s="2" t="s">
        <v>983</v>
      </c>
      <c r="C775" s="4" t="s">
        <v>1176</v>
      </c>
      <c r="D775" s="3" t="s">
        <v>1221</v>
      </c>
      <c r="E775" s="6" t="s">
        <v>1224</v>
      </c>
      <c r="F775" s="6" t="s">
        <v>1227</v>
      </c>
      <c r="G775" s="6" t="s">
        <v>712</v>
      </c>
      <c r="H775" s="25">
        <v>214.29</v>
      </c>
      <c r="I775" s="38">
        <v>0</v>
      </c>
      <c r="J775" s="38">
        <v>0</v>
      </c>
      <c r="K775" s="39">
        <f t="shared" si="96"/>
        <v>0</v>
      </c>
      <c r="L775" s="38">
        <v>0</v>
      </c>
      <c r="M775" s="38">
        <v>0</v>
      </c>
      <c r="N775" s="39">
        <f t="shared" si="97"/>
        <v>0</v>
      </c>
      <c r="O775" s="38">
        <v>0</v>
      </c>
      <c r="P775" s="38">
        <v>0</v>
      </c>
      <c r="Q775" s="39">
        <f t="shared" si="98"/>
        <v>0</v>
      </c>
      <c r="R775" s="38">
        <v>140</v>
      </c>
      <c r="S775" s="38">
        <v>3</v>
      </c>
      <c r="T775" s="39">
        <f t="shared" si="99"/>
        <v>90001.799999999988</v>
      </c>
      <c r="U775" s="38">
        <v>0</v>
      </c>
      <c r="V775" s="38">
        <v>0</v>
      </c>
      <c r="W775" s="39">
        <f t="shared" si="100"/>
        <v>0</v>
      </c>
      <c r="X775" s="38"/>
      <c r="Y775" s="38"/>
      <c r="Z775" s="39">
        <f t="shared" si="101"/>
        <v>0</v>
      </c>
      <c r="AA775" s="38"/>
      <c r="AB775" s="38"/>
      <c r="AC775" s="39">
        <f t="shared" si="102"/>
        <v>0</v>
      </c>
      <c r="AD775" s="38"/>
      <c r="AE775" s="38"/>
      <c r="AF775" s="39">
        <f t="shared" si="103"/>
        <v>0</v>
      </c>
    </row>
    <row r="776" spans="2:32" ht="15" customHeight="1" x14ac:dyDescent="0.3">
      <c r="B776" s="2" t="s">
        <v>983</v>
      </c>
      <c r="C776" s="4" t="s">
        <v>1176</v>
      </c>
      <c r="D776" s="3" t="s">
        <v>1221</v>
      </c>
      <c r="E776" s="6" t="s">
        <v>1228</v>
      </c>
      <c r="F776" s="6" t="s">
        <v>1229</v>
      </c>
      <c r="G776" s="6" t="s">
        <v>709</v>
      </c>
      <c r="H776" s="25">
        <v>28000</v>
      </c>
      <c r="I776" s="38">
        <v>0</v>
      </c>
      <c r="J776" s="38">
        <v>0</v>
      </c>
      <c r="K776" s="39">
        <f t="shared" si="96"/>
        <v>0</v>
      </c>
      <c r="L776" s="38">
        <v>0</v>
      </c>
      <c r="M776" s="38">
        <v>0</v>
      </c>
      <c r="N776" s="39">
        <f t="shared" si="97"/>
        <v>0</v>
      </c>
      <c r="O776" s="38">
        <v>0</v>
      </c>
      <c r="P776" s="38">
        <v>0</v>
      </c>
      <c r="Q776" s="39">
        <f t="shared" si="98"/>
        <v>0</v>
      </c>
      <c r="R776" s="38">
        <v>20000</v>
      </c>
      <c r="S776" s="38">
        <v>2</v>
      </c>
      <c r="T776" s="39">
        <f t="shared" si="99"/>
        <v>1120000000</v>
      </c>
      <c r="U776" s="38">
        <v>0</v>
      </c>
      <c r="V776" s="38">
        <v>0</v>
      </c>
      <c r="W776" s="39">
        <f t="shared" si="100"/>
        <v>0</v>
      </c>
      <c r="X776" s="38"/>
      <c r="Y776" s="38"/>
      <c r="Z776" s="39">
        <f t="shared" si="101"/>
        <v>0</v>
      </c>
      <c r="AA776" s="38"/>
      <c r="AB776" s="38"/>
      <c r="AC776" s="39">
        <f t="shared" si="102"/>
        <v>0</v>
      </c>
      <c r="AD776" s="38"/>
      <c r="AE776" s="38"/>
      <c r="AF776" s="39">
        <f t="shared" si="103"/>
        <v>0</v>
      </c>
    </row>
    <row r="777" spans="2:32" ht="15" customHeight="1" x14ac:dyDescent="0.3">
      <c r="B777" s="2" t="s">
        <v>983</v>
      </c>
      <c r="C777" s="4" t="s">
        <v>1176</v>
      </c>
      <c r="D777" s="3" t="s">
        <v>1221</v>
      </c>
      <c r="E777" s="6" t="s">
        <v>1228</v>
      </c>
      <c r="F777" s="6" t="s">
        <v>1229</v>
      </c>
      <c r="G777" s="6" t="s">
        <v>716</v>
      </c>
      <c r="H777" s="25">
        <v>39000</v>
      </c>
      <c r="I777" s="38">
        <v>0</v>
      </c>
      <c r="J777" s="38">
        <v>0</v>
      </c>
      <c r="K777" s="39">
        <f t="shared" si="96"/>
        <v>0</v>
      </c>
      <c r="L777" s="38">
        <v>0</v>
      </c>
      <c r="M777" s="38">
        <v>0</v>
      </c>
      <c r="N777" s="39">
        <f t="shared" si="97"/>
        <v>0</v>
      </c>
      <c r="O777" s="38">
        <v>0</v>
      </c>
      <c r="P777" s="38">
        <v>0</v>
      </c>
      <c r="Q777" s="39">
        <f t="shared" si="98"/>
        <v>0</v>
      </c>
      <c r="R777" s="38">
        <v>20</v>
      </c>
      <c r="S777" s="38">
        <v>8</v>
      </c>
      <c r="T777" s="39">
        <f t="shared" si="99"/>
        <v>6240000</v>
      </c>
      <c r="U777" s="38">
        <v>0</v>
      </c>
      <c r="V777" s="38">
        <v>0</v>
      </c>
      <c r="W777" s="39">
        <f t="shared" si="100"/>
        <v>0</v>
      </c>
      <c r="X777" s="38"/>
      <c r="Y777" s="38"/>
      <c r="Z777" s="39">
        <f t="shared" si="101"/>
        <v>0</v>
      </c>
      <c r="AA777" s="38"/>
      <c r="AB777" s="38"/>
      <c r="AC777" s="39">
        <f t="shared" si="102"/>
        <v>0</v>
      </c>
      <c r="AD777" s="38"/>
      <c r="AE777" s="38"/>
      <c r="AF777" s="39">
        <f t="shared" si="103"/>
        <v>0</v>
      </c>
    </row>
    <row r="778" spans="2:32" ht="15" customHeight="1" x14ac:dyDescent="0.3">
      <c r="B778" s="2" t="s">
        <v>983</v>
      </c>
      <c r="C778" s="4" t="s">
        <v>1176</v>
      </c>
      <c r="D778" s="3" t="s">
        <v>1221</v>
      </c>
      <c r="E778" s="6" t="s">
        <v>1228</v>
      </c>
      <c r="F778" s="6" t="s">
        <v>1229</v>
      </c>
      <c r="G778" s="6" t="s">
        <v>712</v>
      </c>
      <c r="H778" s="25">
        <v>214.29</v>
      </c>
      <c r="I778" s="38">
        <v>0</v>
      </c>
      <c r="J778" s="38">
        <v>0</v>
      </c>
      <c r="K778" s="39">
        <f t="shared" si="96"/>
        <v>0</v>
      </c>
      <c r="L778" s="38">
        <v>0</v>
      </c>
      <c r="M778" s="38">
        <v>0</v>
      </c>
      <c r="N778" s="39">
        <f t="shared" si="97"/>
        <v>0</v>
      </c>
      <c r="O778" s="38">
        <v>0</v>
      </c>
      <c r="P778" s="38">
        <v>0</v>
      </c>
      <c r="Q778" s="39">
        <f t="shared" si="98"/>
        <v>0</v>
      </c>
      <c r="R778" s="38">
        <v>20</v>
      </c>
      <c r="S778" s="38">
        <v>9</v>
      </c>
      <c r="T778" s="39">
        <f t="shared" si="99"/>
        <v>38572.200000000004</v>
      </c>
      <c r="U778" s="38">
        <v>0</v>
      </c>
      <c r="V778" s="38">
        <v>0</v>
      </c>
      <c r="W778" s="39">
        <f t="shared" si="100"/>
        <v>0</v>
      </c>
      <c r="X778" s="38"/>
      <c r="Y778" s="38"/>
      <c r="Z778" s="39">
        <f t="shared" si="101"/>
        <v>0</v>
      </c>
      <c r="AA778" s="38"/>
      <c r="AB778" s="38"/>
      <c r="AC778" s="39">
        <f t="shared" si="102"/>
        <v>0</v>
      </c>
      <c r="AD778" s="38"/>
      <c r="AE778" s="38"/>
      <c r="AF778" s="39">
        <f t="shared" si="103"/>
        <v>0</v>
      </c>
    </row>
    <row r="779" spans="2:32" ht="15" customHeight="1" x14ac:dyDescent="0.3">
      <c r="B779" s="2" t="s">
        <v>983</v>
      </c>
      <c r="C779" s="4" t="s">
        <v>1176</v>
      </c>
      <c r="D779" s="3" t="s">
        <v>1221</v>
      </c>
      <c r="E779" s="6" t="s">
        <v>1228</v>
      </c>
      <c r="F779" s="6" t="s">
        <v>1230</v>
      </c>
      <c r="G779" s="6" t="s">
        <v>841</v>
      </c>
      <c r="H779" s="25">
        <v>0</v>
      </c>
      <c r="I779" s="38">
        <v>0</v>
      </c>
      <c r="J779" s="38">
        <v>0</v>
      </c>
      <c r="K779" s="39">
        <f t="shared" si="96"/>
        <v>0</v>
      </c>
      <c r="L779" s="38">
        <v>0</v>
      </c>
      <c r="M779" s="38">
        <v>0</v>
      </c>
      <c r="N779" s="39">
        <f t="shared" si="97"/>
        <v>0</v>
      </c>
      <c r="O779" s="38">
        <v>0</v>
      </c>
      <c r="P779" s="38">
        <v>0</v>
      </c>
      <c r="Q779" s="39">
        <f t="shared" si="98"/>
        <v>0</v>
      </c>
      <c r="R779" s="38">
        <v>8000</v>
      </c>
      <c r="S779" s="38">
        <v>1</v>
      </c>
      <c r="T779" s="39">
        <f t="shared" si="99"/>
        <v>0</v>
      </c>
      <c r="U779" s="38">
        <v>0</v>
      </c>
      <c r="V779" s="38">
        <v>0</v>
      </c>
      <c r="W779" s="39">
        <f t="shared" si="100"/>
        <v>0</v>
      </c>
      <c r="X779" s="38"/>
      <c r="Y779" s="38"/>
      <c r="Z779" s="39">
        <f t="shared" si="101"/>
        <v>0</v>
      </c>
      <c r="AA779" s="38"/>
      <c r="AB779" s="38"/>
      <c r="AC779" s="39">
        <f t="shared" si="102"/>
        <v>0</v>
      </c>
      <c r="AD779" s="38"/>
      <c r="AE779" s="38"/>
      <c r="AF779" s="39">
        <f t="shared" si="103"/>
        <v>0</v>
      </c>
    </row>
    <row r="780" spans="2:32" ht="15" customHeight="1" x14ac:dyDescent="0.3">
      <c r="B780" s="2" t="s">
        <v>983</v>
      </c>
      <c r="C780" s="4" t="s">
        <v>1176</v>
      </c>
      <c r="D780" s="3" t="s">
        <v>1221</v>
      </c>
      <c r="E780" s="6" t="s">
        <v>1228</v>
      </c>
      <c r="F780" s="6" t="s">
        <v>1231</v>
      </c>
      <c r="G780" s="6" t="s">
        <v>841</v>
      </c>
      <c r="H780" s="25">
        <v>0</v>
      </c>
      <c r="I780" s="38">
        <v>0</v>
      </c>
      <c r="J780" s="38">
        <v>0</v>
      </c>
      <c r="K780" s="39">
        <f t="shared" si="96"/>
        <v>0</v>
      </c>
      <c r="L780" s="38">
        <v>0</v>
      </c>
      <c r="M780" s="38">
        <v>0</v>
      </c>
      <c r="N780" s="39">
        <f t="shared" si="97"/>
        <v>0</v>
      </c>
      <c r="O780" s="38">
        <v>0</v>
      </c>
      <c r="P780" s="38">
        <v>0</v>
      </c>
      <c r="Q780" s="39">
        <f t="shared" si="98"/>
        <v>0</v>
      </c>
      <c r="R780" s="38">
        <v>5</v>
      </c>
      <c r="S780" s="38">
        <v>1</v>
      </c>
      <c r="T780" s="39">
        <f t="shared" si="99"/>
        <v>0</v>
      </c>
      <c r="U780" s="38">
        <v>0</v>
      </c>
      <c r="V780" s="38">
        <v>0</v>
      </c>
      <c r="W780" s="39">
        <f t="shared" si="100"/>
        <v>0</v>
      </c>
      <c r="X780" s="38"/>
      <c r="Y780" s="38"/>
      <c r="Z780" s="39">
        <f t="shared" si="101"/>
        <v>0</v>
      </c>
      <c r="AA780" s="38"/>
      <c r="AB780" s="38"/>
      <c r="AC780" s="39">
        <f t="shared" si="102"/>
        <v>0</v>
      </c>
      <c r="AD780" s="38"/>
      <c r="AE780" s="38"/>
      <c r="AF780" s="39">
        <f t="shared" si="103"/>
        <v>0</v>
      </c>
    </row>
    <row r="781" spans="2:32" ht="15" customHeight="1" x14ac:dyDescent="0.3">
      <c r="B781" s="2" t="s">
        <v>983</v>
      </c>
      <c r="C781" s="4" t="s">
        <v>1176</v>
      </c>
      <c r="D781" s="3" t="s">
        <v>1221</v>
      </c>
      <c r="E781" s="6" t="s">
        <v>1228</v>
      </c>
      <c r="F781" s="6" t="s">
        <v>1232</v>
      </c>
      <c r="G781" s="6" t="s">
        <v>709</v>
      </c>
      <c r="H781" s="25">
        <v>28000</v>
      </c>
      <c r="I781" s="38">
        <v>0</v>
      </c>
      <c r="J781" s="38">
        <v>0</v>
      </c>
      <c r="K781" s="39">
        <f t="shared" si="96"/>
        <v>0</v>
      </c>
      <c r="L781" s="38">
        <v>0</v>
      </c>
      <c r="M781" s="38">
        <v>0</v>
      </c>
      <c r="N781" s="39">
        <f t="shared" si="97"/>
        <v>0</v>
      </c>
      <c r="O781" s="38">
        <v>0</v>
      </c>
      <c r="P781" s="38">
        <v>0</v>
      </c>
      <c r="Q781" s="39">
        <f t="shared" si="98"/>
        <v>0</v>
      </c>
      <c r="R781" s="38">
        <v>0</v>
      </c>
      <c r="S781" s="38">
        <v>0</v>
      </c>
      <c r="T781" s="39">
        <f t="shared" si="99"/>
        <v>0</v>
      </c>
      <c r="U781" s="38">
        <v>0</v>
      </c>
      <c r="V781" s="38">
        <v>0</v>
      </c>
      <c r="W781" s="39">
        <f t="shared" si="100"/>
        <v>0</v>
      </c>
      <c r="X781" s="38"/>
      <c r="Y781" s="38"/>
      <c r="Z781" s="39">
        <f t="shared" si="101"/>
        <v>0</v>
      </c>
      <c r="AA781" s="38"/>
      <c r="AB781" s="38"/>
      <c r="AC781" s="39">
        <f t="shared" si="102"/>
        <v>0</v>
      </c>
      <c r="AD781" s="38"/>
      <c r="AE781" s="38"/>
      <c r="AF781" s="39">
        <f t="shared" si="103"/>
        <v>0</v>
      </c>
    </row>
    <row r="782" spans="2:32" ht="15" customHeight="1" x14ac:dyDescent="0.3">
      <c r="B782" s="2" t="s">
        <v>983</v>
      </c>
      <c r="C782" s="4" t="s">
        <v>1176</v>
      </c>
      <c r="D782" s="3" t="s">
        <v>1221</v>
      </c>
      <c r="E782" s="6" t="s">
        <v>1228</v>
      </c>
      <c r="F782" s="6" t="s">
        <v>1232</v>
      </c>
      <c r="G782" s="6" t="s">
        <v>716</v>
      </c>
      <c r="H782" s="25">
        <v>39000</v>
      </c>
      <c r="I782" s="38">
        <v>0</v>
      </c>
      <c r="J782" s="38">
        <v>0</v>
      </c>
      <c r="K782" s="39">
        <f t="shared" si="96"/>
        <v>0</v>
      </c>
      <c r="L782" s="38">
        <v>0</v>
      </c>
      <c r="M782" s="38">
        <v>0</v>
      </c>
      <c r="N782" s="39">
        <f t="shared" si="97"/>
        <v>0</v>
      </c>
      <c r="O782" s="38">
        <v>0</v>
      </c>
      <c r="P782" s="38">
        <v>0</v>
      </c>
      <c r="Q782" s="39">
        <f t="shared" si="98"/>
        <v>0</v>
      </c>
      <c r="R782" s="38">
        <v>30</v>
      </c>
      <c r="S782" s="38">
        <v>5</v>
      </c>
      <c r="T782" s="39">
        <f t="shared" si="99"/>
        <v>5850000</v>
      </c>
      <c r="U782" s="38">
        <v>0</v>
      </c>
      <c r="V782" s="38">
        <v>0</v>
      </c>
      <c r="W782" s="39">
        <f t="shared" si="100"/>
        <v>0</v>
      </c>
      <c r="X782" s="38"/>
      <c r="Y782" s="38"/>
      <c r="Z782" s="39">
        <f t="shared" si="101"/>
        <v>0</v>
      </c>
      <c r="AA782" s="38"/>
      <c r="AB782" s="38"/>
      <c r="AC782" s="39">
        <f t="shared" si="102"/>
        <v>0</v>
      </c>
      <c r="AD782" s="38"/>
      <c r="AE782" s="38"/>
      <c r="AF782" s="39">
        <f t="shared" si="103"/>
        <v>0</v>
      </c>
    </row>
    <row r="783" spans="2:32" ht="15" customHeight="1" x14ac:dyDescent="0.3">
      <c r="B783" s="2" t="s">
        <v>983</v>
      </c>
      <c r="C783" s="4" t="s">
        <v>1176</v>
      </c>
      <c r="D783" s="3" t="s">
        <v>1221</v>
      </c>
      <c r="E783" s="6" t="s">
        <v>1228</v>
      </c>
      <c r="F783" s="6" t="s">
        <v>1232</v>
      </c>
      <c r="G783" s="6" t="s">
        <v>712</v>
      </c>
      <c r="H783" s="25">
        <v>214.29</v>
      </c>
      <c r="I783" s="38">
        <v>0</v>
      </c>
      <c r="J783" s="38">
        <v>0</v>
      </c>
      <c r="K783" s="39">
        <f t="shared" si="96"/>
        <v>0</v>
      </c>
      <c r="L783" s="38">
        <v>0</v>
      </c>
      <c r="M783" s="38">
        <v>0</v>
      </c>
      <c r="N783" s="39">
        <f t="shared" si="97"/>
        <v>0</v>
      </c>
      <c r="O783" s="38">
        <v>0</v>
      </c>
      <c r="P783" s="38">
        <v>0</v>
      </c>
      <c r="Q783" s="39">
        <f t="shared" si="98"/>
        <v>0</v>
      </c>
      <c r="R783" s="38">
        <v>30</v>
      </c>
      <c r="S783" s="38">
        <v>5</v>
      </c>
      <c r="T783" s="39">
        <f t="shared" si="99"/>
        <v>32143.5</v>
      </c>
      <c r="U783" s="38">
        <v>0</v>
      </c>
      <c r="V783" s="38">
        <v>0</v>
      </c>
      <c r="W783" s="39">
        <f t="shared" si="100"/>
        <v>0</v>
      </c>
      <c r="X783" s="38"/>
      <c r="Y783" s="38"/>
      <c r="Z783" s="39">
        <f t="shared" si="101"/>
        <v>0</v>
      </c>
      <c r="AA783" s="38"/>
      <c r="AB783" s="38"/>
      <c r="AC783" s="39">
        <f t="shared" si="102"/>
        <v>0</v>
      </c>
      <c r="AD783" s="38"/>
      <c r="AE783" s="38"/>
      <c r="AF783" s="39">
        <f t="shared" si="103"/>
        <v>0</v>
      </c>
    </row>
    <row r="784" spans="2:32" ht="15" customHeight="1" x14ac:dyDescent="0.3">
      <c r="B784" s="2" t="s">
        <v>983</v>
      </c>
      <c r="C784" s="4" t="s">
        <v>1176</v>
      </c>
      <c r="D784" s="3" t="s">
        <v>1221</v>
      </c>
      <c r="E784" s="6" t="s">
        <v>1228</v>
      </c>
      <c r="F784" s="6" t="s">
        <v>1233</v>
      </c>
      <c r="G784" s="6" t="s">
        <v>841</v>
      </c>
      <c r="H784" s="25">
        <v>0</v>
      </c>
      <c r="I784" s="38">
        <v>0</v>
      </c>
      <c r="J784" s="38">
        <v>0</v>
      </c>
      <c r="K784" s="39">
        <f t="shared" si="96"/>
        <v>0</v>
      </c>
      <c r="L784" s="38">
        <v>0</v>
      </c>
      <c r="M784" s="38">
        <v>0</v>
      </c>
      <c r="N784" s="39">
        <f t="shared" si="97"/>
        <v>0</v>
      </c>
      <c r="O784" s="38">
        <v>0</v>
      </c>
      <c r="P784" s="38">
        <v>0</v>
      </c>
      <c r="Q784" s="39">
        <f t="shared" si="98"/>
        <v>0</v>
      </c>
      <c r="R784" s="38">
        <v>20000</v>
      </c>
      <c r="S784" s="38">
        <v>1</v>
      </c>
      <c r="T784" s="39">
        <f t="shared" si="99"/>
        <v>0</v>
      </c>
      <c r="U784" s="38">
        <v>0</v>
      </c>
      <c r="V784" s="38">
        <v>0</v>
      </c>
      <c r="W784" s="39">
        <f t="shared" si="100"/>
        <v>0</v>
      </c>
      <c r="X784" s="38"/>
      <c r="Y784" s="38"/>
      <c r="Z784" s="39">
        <f t="shared" si="101"/>
        <v>0</v>
      </c>
      <c r="AA784" s="38"/>
      <c r="AB784" s="38"/>
      <c r="AC784" s="39">
        <f t="shared" si="102"/>
        <v>0</v>
      </c>
      <c r="AD784" s="38"/>
      <c r="AE784" s="38"/>
      <c r="AF784" s="39">
        <f t="shared" si="103"/>
        <v>0</v>
      </c>
    </row>
    <row r="785" spans="2:32" ht="15" customHeight="1" x14ac:dyDescent="0.3">
      <c r="B785" s="2" t="s">
        <v>983</v>
      </c>
      <c r="C785" s="4" t="s">
        <v>1176</v>
      </c>
      <c r="D785" s="3" t="s">
        <v>1221</v>
      </c>
      <c r="E785" s="6" t="s">
        <v>1228</v>
      </c>
      <c r="F785" s="6" t="s">
        <v>1234</v>
      </c>
      <c r="G785" s="6" t="s">
        <v>841</v>
      </c>
      <c r="H785" s="25">
        <v>0</v>
      </c>
      <c r="I785" s="38">
        <v>0</v>
      </c>
      <c r="J785" s="38">
        <v>0</v>
      </c>
      <c r="K785" s="39">
        <f t="shared" si="96"/>
        <v>0</v>
      </c>
      <c r="L785" s="38">
        <v>0</v>
      </c>
      <c r="M785" s="38">
        <v>0</v>
      </c>
      <c r="N785" s="39">
        <f t="shared" si="97"/>
        <v>0</v>
      </c>
      <c r="O785" s="38">
        <v>0</v>
      </c>
      <c r="P785" s="38">
        <v>0</v>
      </c>
      <c r="Q785" s="39">
        <f t="shared" si="98"/>
        <v>0</v>
      </c>
      <c r="R785" s="38">
        <v>15</v>
      </c>
      <c r="S785" s="38">
        <v>2</v>
      </c>
      <c r="T785" s="39">
        <f t="shared" si="99"/>
        <v>0</v>
      </c>
      <c r="U785" s="38">
        <v>0</v>
      </c>
      <c r="V785" s="38">
        <v>0</v>
      </c>
      <c r="W785" s="39">
        <f t="shared" si="100"/>
        <v>0</v>
      </c>
      <c r="X785" s="38"/>
      <c r="Y785" s="38"/>
      <c r="Z785" s="39">
        <f t="shared" si="101"/>
        <v>0</v>
      </c>
      <c r="AA785" s="38"/>
      <c r="AB785" s="38"/>
      <c r="AC785" s="39">
        <f t="shared" si="102"/>
        <v>0</v>
      </c>
      <c r="AD785" s="38"/>
      <c r="AE785" s="38"/>
      <c r="AF785" s="39">
        <f t="shared" si="103"/>
        <v>0</v>
      </c>
    </row>
    <row r="786" spans="2:32" ht="15" customHeight="1" x14ac:dyDescent="0.3">
      <c r="B786" s="2" t="s">
        <v>983</v>
      </c>
      <c r="C786" s="4" t="s">
        <v>1176</v>
      </c>
      <c r="D786" s="3" t="s">
        <v>1221</v>
      </c>
      <c r="E786" s="6" t="s">
        <v>1228</v>
      </c>
      <c r="F786" s="6" t="s">
        <v>1235</v>
      </c>
      <c r="G786" s="6" t="s">
        <v>841</v>
      </c>
      <c r="H786" s="25">
        <v>0</v>
      </c>
      <c r="I786" s="38">
        <v>0</v>
      </c>
      <c r="J786" s="38">
        <v>0</v>
      </c>
      <c r="K786" s="39">
        <f t="shared" si="96"/>
        <v>0</v>
      </c>
      <c r="L786" s="38">
        <v>0</v>
      </c>
      <c r="M786" s="38">
        <v>0</v>
      </c>
      <c r="N786" s="39">
        <f t="shared" si="97"/>
        <v>0</v>
      </c>
      <c r="O786" s="38">
        <v>0</v>
      </c>
      <c r="P786" s="38">
        <v>0</v>
      </c>
      <c r="Q786" s="39">
        <f t="shared" si="98"/>
        <v>0</v>
      </c>
      <c r="R786" s="38">
        <v>3</v>
      </c>
      <c r="S786" s="38">
        <v>5</v>
      </c>
      <c r="T786" s="39">
        <f t="shared" si="99"/>
        <v>0</v>
      </c>
      <c r="U786" s="38">
        <v>0</v>
      </c>
      <c r="V786" s="38">
        <v>0</v>
      </c>
      <c r="W786" s="39">
        <f t="shared" si="100"/>
        <v>0</v>
      </c>
      <c r="X786" s="38"/>
      <c r="Y786" s="38"/>
      <c r="Z786" s="39">
        <f t="shared" si="101"/>
        <v>0</v>
      </c>
      <c r="AA786" s="38"/>
      <c r="AB786" s="38"/>
      <c r="AC786" s="39">
        <f t="shared" si="102"/>
        <v>0</v>
      </c>
      <c r="AD786" s="38"/>
      <c r="AE786" s="38"/>
      <c r="AF786" s="39">
        <f t="shared" si="103"/>
        <v>0</v>
      </c>
    </row>
    <row r="787" spans="2:32" ht="15" customHeight="1" x14ac:dyDescent="0.3">
      <c r="B787" s="2" t="s">
        <v>983</v>
      </c>
      <c r="C787" s="4" t="s">
        <v>1176</v>
      </c>
      <c r="D787" s="3" t="s">
        <v>1221</v>
      </c>
      <c r="E787" s="6" t="s">
        <v>1228</v>
      </c>
      <c r="F787" s="6" t="s">
        <v>1236</v>
      </c>
      <c r="G787" s="6" t="s">
        <v>709</v>
      </c>
      <c r="H787" s="25">
        <v>28000</v>
      </c>
      <c r="I787" s="38">
        <v>0</v>
      </c>
      <c r="J787" s="38">
        <v>0</v>
      </c>
      <c r="K787" s="39">
        <f t="shared" si="96"/>
        <v>0</v>
      </c>
      <c r="L787" s="38">
        <v>0</v>
      </c>
      <c r="M787" s="38">
        <v>0</v>
      </c>
      <c r="N787" s="39">
        <f t="shared" si="97"/>
        <v>0</v>
      </c>
      <c r="O787" s="38">
        <v>0</v>
      </c>
      <c r="P787" s="38">
        <v>0</v>
      </c>
      <c r="Q787" s="39">
        <f t="shared" si="98"/>
        <v>0</v>
      </c>
      <c r="R787" s="38">
        <v>5</v>
      </c>
      <c r="S787" s="38">
        <v>5</v>
      </c>
      <c r="T787" s="39">
        <f t="shared" si="99"/>
        <v>700000</v>
      </c>
      <c r="U787" s="38">
        <v>0</v>
      </c>
      <c r="V787" s="38">
        <v>0</v>
      </c>
      <c r="W787" s="39">
        <f t="shared" si="100"/>
        <v>0</v>
      </c>
      <c r="X787" s="38"/>
      <c r="Y787" s="38"/>
      <c r="Z787" s="39">
        <f t="shared" si="101"/>
        <v>0</v>
      </c>
      <c r="AA787" s="38"/>
      <c r="AB787" s="38"/>
      <c r="AC787" s="39">
        <f t="shared" si="102"/>
        <v>0</v>
      </c>
      <c r="AD787" s="38"/>
      <c r="AE787" s="38"/>
      <c r="AF787" s="39">
        <f t="shared" si="103"/>
        <v>0</v>
      </c>
    </row>
    <row r="788" spans="2:32" ht="15" customHeight="1" x14ac:dyDescent="0.3">
      <c r="B788" s="2" t="s">
        <v>983</v>
      </c>
      <c r="C788" s="4" t="s">
        <v>1176</v>
      </c>
      <c r="D788" s="3" t="s">
        <v>1221</v>
      </c>
      <c r="E788" s="6" t="s">
        <v>1228</v>
      </c>
      <c r="F788" s="6" t="s">
        <v>1236</v>
      </c>
      <c r="G788" s="6" t="s">
        <v>716</v>
      </c>
      <c r="H788" s="25">
        <v>39000</v>
      </c>
      <c r="I788" s="38">
        <v>0</v>
      </c>
      <c r="J788" s="38">
        <v>0</v>
      </c>
      <c r="K788" s="39">
        <f t="shared" si="96"/>
        <v>0</v>
      </c>
      <c r="L788" s="38">
        <v>0</v>
      </c>
      <c r="M788" s="38">
        <v>0</v>
      </c>
      <c r="N788" s="39">
        <f t="shared" si="97"/>
        <v>0</v>
      </c>
      <c r="O788" s="38">
        <v>0</v>
      </c>
      <c r="P788" s="38">
        <v>0</v>
      </c>
      <c r="Q788" s="39">
        <f t="shared" si="98"/>
        <v>0</v>
      </c>
      <c r="R788" s="38">
        <v>20</v>
      </c>
      <c r="S788" s="38">
        <v>15</v>
      </c>
      <c r="T788" s="39">
        <f t="shared" si="99"/>
        <v>11700000</v>
      </c>
      <c r="U788" s="38">
        <v>0</v>
      </c>
      <c r="V788" s="38">
        <v>0</v>
      </c>
      <c r="W788" s="39">
        <f t="shared" si="100"/>
        <v>0</v>
      </c>
      <c r="X788" s="38"/>
      <c r="Y788" s="38"/>
      <c r="Z788" s="39">
        <f t="shared" si="101"/>
        <v>0</v>
      </c>
      <c r="AA788" s="38"/>
      <c r="AB788" s="38"/>
      <c r="AC788" s="39">
        <f t="shared" si="102"/>
        <v>0</v>
      </c>
      <c r="AD788" s="38"/>
      <c r="AE788" s="38"/>
      <c r="AF788" s="39">
        <f t="shared" si="103"/>
        <v>0</v>
      </c>
    </row>
    <row r="789" spans="2:32" ht="15" customHeight="1" x14ac:dyDescent="0.3">
      <c r="B789" s="2" t="s">
        <v>983</v>
      </c>
      <c r="C789" s="4" t="s">
        <v>1176</v>
      </c>
      <c r="D789" s="3" t="s">
        <v>1221</v>
      </c>
      <c r="E789" s="6" t="s">
        <v>1228</v>
      </c>
      <c r="F789" s="6" t="s">
        <v>1236</v>
      </c>
      <c r="G789" s="6" t="s">
        <v>712</v>
      </c>
      <c r="H789" s="25">
        <v>214.29</v>
      </c>
      <c r="I789" s="38">
        <v>0</v>
      </c>
      <c r="J789" s="38">
        <v>0</v>
      </c>
      <c r="K789" s="39">
        <f t="shared" si="96"/>
        <v>0</v>
      </c>
      <c r="L789" s="38">
        <v>0</v>
      </c>
      <c r="M789" s="38">
        <v>0</v>
      </c>
      <c r="N789" s="39">
        <f t="shared" si="97"/>
        <v>0</v>
      </c>
      <c r="O789" s="38">
        <v>0</v>
      </c>
      <c r="P789" s="38">
        <v>0</v>
      </c>
      <c r="Q789" s="39">
        <f t="shared" si="98"/>
        <v>0</v>
      </c>
      <c r="R789" s="38">
        <v>20</v>
      </c>
      <c r="S789" s="38">
        <v>15</v>
      </c>
      <c r="T789" s="39">
        <f t="shared" si="99"/>
        <v>64287</v>
      </c>
      <c r="U789" s="38">
        <v>0</v>
      </c>
      <c r="V789" s="38">
        <v>0</v>
      </c>
      <c r="W789" s="39">
        <f t="shared" si="100"/>
        <v>0</v>
      </c>
      <c r="X789" s="38"/>
      <c r="Y789" s="38"/>
      <c r="Z789" s="39">
        <f t="shared" si="101"/>
        <v>0</v>
      </c>
      <c r="AA789" s="38"/>
      <c r="AB789" s="38"/>
      <c r="AC789" s="39">
        <f t="shared" si="102"/>
        <v>0</v>
      </c>
      <c r="AD789" s="38"/>
      <c r="AE789" s="38"/>
      <c r="AF789" s="39">
        <f t="shared" si="103"/>
        <v>0</v>
      </c>
    </row>
    <row r="790" spans="2:32" ht="15" customHeight="1" x14ac:dyDescent="0.3">
      <c r="B790" s="2" t="s">
        <v>983</v>
      </c>
      <c r="C790" s="4" t="s">
        <v>1176</v>
      </c>
      <c r="D790" s="3" t="s">
        <v>1221</v>
      </c>
      <c r="E790" s="6" t="s">
        <v>1228</v>
      </c>
      <c r="F790" s="6" t="s">
        <v>1237</v>
      </c>
      <c r="G790" s="6" t="s">
        <v>841</v>
      </c>
      <c r="H790" s="25">
        <v>0</v>
      </c>
      <c r="I790" s="38">
        <v>0</v>
      </c>
      <c r="J790" s="38">
        <v>0</v>
      </c>
      <c r="K790" s="39">
        <f t="shared" si="96"/>
        <v>0</v>
      </c>
      <c r="L790" s="38">
        <v>0</v>
      </c>
      <c r="M790" s="38">
        <v>0</v>
      </c>
      <c r="N790" s="39">
        <f t="shared" si="97"/>
        <v>0</v>
      </c>
      <c r="O790" s="38">
        <v>0</v>
      </c>
      <c r="P790" s="38">
        <v>0</v>
      </c>
      <c r="Q790" s="39">
        <f t="shared" si="98"/>
        <v>0</v>
      </c>
      <c r="R790" s="38">
        <v>4000</v>
      </c>
      <c r="S790" s="38">
        <v>1</v>
      </c>
      <c r="T790" s="39">
        <f t="shared" si="99"/>
        <v>0</v>
      </c>
      <c r="U790" s="38">
        <v>0</v>
      </c>
      <c r="V790" s="38">
        <v>0</v>
      </c>
      <c r="W790" s="39">
        <f t="shared" si="100"/>
        <v>0</v>
      </c>
      <c r="X790" s="38"/>
      <c r="Y790" s="38"/>
      <c r="Z790" s="39">
        <f t="shared" si="101"/>
        <v>0</v>
      </c>
      <c r="AA790" s="38"/>
      <c r="AB790" s="38"/>
      <c r="AC790" s="39">
        <f t="shared" si="102"/>
        <v>0</v>
      </c>
      <c r="AD790" s="38"/>
      <c r="AE790" s="38"/>
      <c r="AF790" s="39">
        <f t="shared" si="103"/>
        <v>0</v>
      </c>
    </row>
    <row r="791" spans="2:32" ht="15" customHeight="1" x14ac:dyDescent="0.3">
      <c r="B791" s="2" t="s">
        <v>983</v>
      </c>
      <c r="C791" s="4" t="s">
        <v>1176</v>
      </c>
      <c r="D791" s="3" t="s">
        <v>1238</v>
      </c>
      <c r="E791" s="6" t="s">
        <v>0</v>
      </c>
      <c r="F791" s="6" t="s">
        <v>1239</v>
      </c>
      <c r="G791" s="6" t="s">
        <v>841</v>
      </c>
      <c r="H791" s="25">
        <v>0</v>
      </c>
      <c r="I791" s="38">
        <v>0</v>
      </c>
      <c r="J791" s="38">
        <v>0</v>
      </c>
      <c r="K791" s="39">
        <f t="shared" si="96"/>
        <v>0</v>
      </c>
      <c r="L791" s="38">
        <v>0</v>
      </c>
      <c r="M791" s="38">
        <v>0</v>
      </c>
      <c r="N791" s="39">
        <f t="shared" si="97"/>
        <v>0</v>
      </c>
      <c r="O791" s="38">
        <v>0</v>
      </c>
      <c r="P791" s="38">
        <v>0</v>
      </c>
      <c r="Q791" s="39">
        <f t="shared" si="98"/>
        <v>0</v>
      </c>
      <c r="R791" s="38">
        <v>100</v>
      </c>
      <c r="S791" s="38">
        <v>1</v>
      </c>
      <c r="T791" s="39">
        <f t="shared" si="99"/>
        <v>0</v>
      </c>
      <c r="U791" s="38">
        <v>0</v>
      </c>
      <c r="V791" s="38">
        <v>0</v>
      </c>
      <c r="W791" s="39">
        <f t="shared" si="100"/>
        <v>0</v>
      </c>
      <c r="X791" s="38"/>
      <c r="Y791" s="38"/>
      <c r="Z791" s="39">
        <f t="shared" si="101"/>
        <v>0</v>
      </c>
      <c r="AA791" s="38"/>
      <c r="AB791" s="38"/>
      <c r="AC791" s="39">
        <f t="shared" si="102"/>
        <v>0</v>
      </c>
      <c r="AD791" s="38"/>
      <c r="AE791" s="38"/>
      <c r="AF791" s="39">
        <f t="shared" si="103"/>
        <v>0</v>
      </c>
    </row>
    <row r="792" spans="2:32" ht="15" customHeight="1" x14ac:dyDescent="0.3">
      <c r="B792" s="2" t="s">
        <v>983</v>
      </c>
      <c r="C792" s="4" t="s">
        <v>1176</v>
      </c>
      <c r="D792" s="3" t="s">
        <v>1238</v>
      </c>
      <c r="E792" s="6" t="s">
        <v>1240</v>
      </c>
      <c r="F792" s="6" t="s">
        <v>169</v>
      </c>
      <c r="G792" s="6" t="s">
        <v>841</v>
      </c>
      <c r="H792" s="25">
        <v>0</v>
      </c>
      <c r="I792" s="38">
        <v>0</v>
      </c>
      <c r="J792" s="38">
        <v>0</v>
      </c>
      <c r="K792" s="39">
        <f t="shared" si="96"/>
        <v>0</v>
      </c>
      <c r="L792" s="38">
        <v>0</v>
      </c>
      <c r="M792" s="38">
        <v>0</v>
      </c>
      <c r="N792" s="39">
        <f t="shared" si="97"/>
        <v>0</v>
      </c>
      <c r="O792" s="38">
        <v>0</v>
      </c>
      <c r="P792" s="38">
        <v>0</v>
      </c>
      <c r="Q792" s="39">
        <f t="shared" si="98"/>
        <v>0</v>
      </c>
      <c r="R792" s="38">
        <v>0</v>
      </c>
      <c r="S792" s="38">
        <v>0</v>
      </c>
      <c r="T792" s="39">
        <f t="shared" si="99"/>
        <v>0</v>
      </c>
      <c r="U792" s="38">
        <v>0</v>
      </c>
      <c r="V792" s="38">
        <v>0</v>
      </c>
      <c r="W792" s="39">
        <f t="shared" si="100"/>
        <v>0</v>
      </c>
      <c r="X792" s="38"/>
      <c r="Y792" s="38"/>
      <c r="Z792" s="39">
        <f t="shared" si="101"/>
        <v>0</v>
      </c>
      <c r="AA792" s="38"/>
      <c r="AB792" s="38"/>
      <c r="AC792" s="39">
        <f t="shared" si="102"/>
        <v>0</v>
      </c>
      <c r="AD792" s="38"/>
      <c r="AE792" s="38"/>
      <c r="AF792" s="39">
        <f t="shared" si="103"/>
        <v>0</v>
      </c>
    </row>
    <row r="793" spans="2:32" ht="15" customHeight="1" x14ac:dyDescent="0.3">
      <c r="B793" s="2" t="s">
        <v>983</v>
      </c>
      <c r="C793" s="4" t="s">
        <v>1176</v>
      </c>
      <c r="D793" s="3" t="s">
        <v>1238</v>
      </c>
      <c r="E793" s="6" t="s">
        <v>1240</v>
      </c>
      <c r="F793" s="6" t="s">
        <v>1025</v>
      </c>
      <c r="G793" s="6" t="s">
        <v>841</v>
      </c>
      <c r="H793" s="25">
        <v>0</v>
      </c>
      <c r="I793" s="38">
        <v>0</v>
      </c>
      <c r="J793" s="38">
        <v>0</v>
      </c>
      <c r="K793" s="39">
        <f t="shared" si="96"/>
        <v>0</v>
      </c>
      <c r="L793" s="38">
        <v>20</v>
      </c>
      <c r="M793" s="38">
        <v>1</v>
      </c>
      <c r="N793" s="39">
        <f t="shared" si="97"/>
        <v>0</v>
      </c>
      <c r="O793" s="38">
        <v>0</v>
      </c>
      <c r="P793" s="38">
        <v>0</v>
      </c>
      <c r="Q793" s="39">
        <f t="shared" si="98"/>
        <v>0</v>
      </c>
      <c r="R793" s="38">
        <v>0</v>
      </c>
      <c r="S793" s="38">
        <v>0</v>
      </c>
      <c r="T793" s="39">
        <f t="shared" si="99"/>
        <v>0</v>
      </c>
      <c r="U793" s="38">
        <v>0</v>
      </c>
      <c r="V793" s="38">
        <v>0</v>
      </c>
      <c r="W793" s="39">
        <f t="shared" si="100"/>
        <v>0</v>
      </c>
      <c r="X793" s="38"/>
      <c r="Y793" s="38"/>
      <c r="Z793" s="39">
        <f t="shared" si="101"/>
        <v>0</v>
      </c>
      <c r="AA793" s="38"/>
      <c r="AB793" s="38"/>
      <c r="AC793" s="39">
        <f t="shared" si="102"/>
        <v>0</v>
      </c>
      <c r="AD793" s="38"/>
      <c r="AE793" s="38"/>
      <c r="AF793" s="39">
        <f t="shared" si="103"/>
        <v>0</v>
      </c>
    </row>
    <row r="794" spans="2:32" ht="15" customHeight="1" x14ac:dyDescent="0.3">
      <c r="B794" s="2" t="s">
        <v>983</v>
      </c>
      <c r="C794" s="4" t="s">
        <v>1176</v>
      </c>
      <c r="D794" s="3" t="s">
        <v>1238</v>
      </c>
      <c r="E794" s="6" t="s">
        <v>1240</v>
      </c>
      <c r="F794" s="6" t="s">
        <v>149</v>
      </c>
      <c r="G794" s="6" t="s">
        <v>707</v>
      </c>
      <c r="H794" s="25">
        <v>391991.03749999998</v>
      </c>
      <c r="I794" s="38">
        <v>0</v>
      </c>
      <c r="J794" s="38">
        <v>0</v>
      </c>
      <c r="K794" s="39">
        <f t="shared" si="96"/>
        <v>0</v>
      </c>
      <c r="L794" s="38">
        <v>5</v>
      </c>
      <c r="M794" s="38">
        <v>5</v>
      </c>
      <c r="N794" s="39">
        <f t="shared" si="97"/>
        <v>9799775.9375</v>
      </c>
      <c r="O794" s="38">
        <v>0</v>
      </c>
      <c r="P794" s="38">
        <v>0</v>
      </c>
      <c r="Q794" s="39">
        <f t="shared" si="98"/>
        <v>0</v>
      </c>
      <c r="R794" s="38">
        <v>0</v>
      </c>
      <c r="S794" s="38">
        <v>0</v>
      </c>
      <c r="T794" s="39">
        <f t="shared" si="99"/>
        <v>0</v>
      </c>
      <c r="U794" s="38">
        <v>0</v>
      </c>
      <c r="V794" s="38">
        <v>0</v>
      </c>
      <c r="W794" s="39">
        <f t="shared" si="100"/>
        <v>0</v>
      </c>
      <c r="X794" s="38"/>
      <c r="Y794" s="38"/>
      <c r="Z794" s="39">
        <f t="shared" si="101"/>
        <v>0</v>
      </c>
      <c r="AA794" s="38"/>
      <c r="AB794" s="38"/>
      <c r="AC794" s="39">
        <f t="shared" si="102"/>
        <v>0</v>
      </c>
      <c r="AD794" s="38"/>
      <c r="AE794" s="38"/>
      <c r="AF794" s="39">
        <f t="shared" si="103"/>
        <v>0</v>
      </c>
    </row>
    <row r="795" spans="2:32" ht="15" customHeight="1" x14ac:dyDescent="0.3">
      <c r="B795" s="2" t="s">
        <v>983</v>
      </c>
      <c r="C795" s="4" t="s">
        <v>1176</v>
      </c>
      <c r="D795" s="3" t="s">
        <v>1238</v>
      </c>
      <c r="E795" s="6" t="s">
        <v>1240</v>
      </c>
      <c r="F795" s="6" t="s">
        <v>149</v>
      </c>
      <c r="G795" s="6" t="s">
        <v>708</v>
      </c>
      <c r="H795" s="25">
        <v>425000</v>
      </c>
      <c r="I795" s="38">
        <v>0</v>
      </c>
      <c r="J795" s="38">
        <v>0</v>
      </c>
      <c r="K795" s="39">
        <f t="shared" si="96"/>
        <v>0</v>
      </c>
      <c r="L795" s="38">
        <v>1</v>
      </c>
      <c r="M795" s="38">
        <v>4</v>
      </c>
      <c r="N795" s="39">
        <f t="shared" si="97"/>
        <v>1700000</v>
      </c>
      <c r="O795" s="38">
        <v>0</v>
      </c>
      <c r="P795" s="38">
        <v>0</v>
      </c>
      <c r="Q795" s="39">
        <f t="shared" si="98"/>
        <v>0</v>
      </c>
      <c r="R795" s="38">
        <v>0</v>
      </c>
      <c r="S795" s="38">
        <v>0</v>
      </c>
      <c r="T795" s="39">
        <f t="shared" si="99"/>
        <v>0</v>
      </c>
      <c r="U795" s="38">
        <v>0</v>
      </c>
      <c r="V795" s="38">
        <v>0</v>
      </c>
      <c r="W795" s="39">
        <f t="shared" si="100"/>
        <v>0</v>
      </c>
      <c r="X795" s="38"/>
      <c r="Y795" s="38"/>
      <c r="Z795" s="39">
        <f t="shared" si="101"/>
        <v>0</v>
      </c>
      <c r="AA795" s="38"/>
      <c r="AB795" s="38"/>
      <c r="AC795" s="39">
        <f t="shared" si="102"/>
        <v>0</v>
      </c>
      <c r="AD795" s="38"/>
      <c r="AE795" s="38"/>
      <c r="AF795" s="39">
        <f t="shared" si="103"/>
        <v>0</v>
      </c>
    </row>
    <row r="796" spans="2:32" ht="15" customHeight="1" x14ac:dyDescent="0.3">
      <c r="B796" s="2" t="s">
        <v>983</v>
      </c>
      <c r="C796" s="4" t="s">
        <v>1176</v>
      </c>
      <c r="D796" s="3" t="s">
        <v>1238</v>
      </c>
      <c r="E796" s="6" t="s">
        <v>1240</v>
      </c>
      <c r="F796" s="6" t="s">
        <v>1181</v>
      </c>
      <c r="G796" s="6" t="s">
        <v>841</v>
      </c>
      <c r="H796" s="25">
        <v>0</v>
      </c>
      <c r="I796" s="38">
        <v>0</v>
      </c>
      <c r="J796" s="38">
        <v>0</v>
      </c>
      <c r="K796" s="39">
        <f t="shared" si="96"/>
        <v>0</v>
      </c>
      <c r="L796" s="38">
        <v>1</v>
      </c>
      <c r="M796" s="38">
        <v>40</v>
      </c>
      <c r="N796" s="39">
        <f t="shared" si="97"/>
        <v>0</v>
      </c>
      <c r="O796" s="38">
        <v>0</v>
      </c>
      <c r="P796" s="38">
        <v>0</v>
      </c>
      <c r="Q796" s="39">
        <f t="shared" si="98"/>
        <v>0</v>
      </c>
      <c r="R796" s="38">
        <v>0</v>
      </c>
      <c r="S796" s="38">
        <v>0</v>
      </c>
      <c r="T796" s="39">
        <f t="shared" si="99"/>
        <v>0</v>
      </c>
      <c r="U796" s="38">
        <v>0</v>
      </c>
      <c r="V796" s="38">
        <v>0</v>
      </c>
      <c r="W796" s="39">
        <f t="shared" si="100"/>
        <v>0</v>
      </c>
      <c r="X796" s="38"/>
      <c r="Y796" s="38"/>
      <c r="Z796" s="39">
        <f t="shared" si="101"/>
        <v>0</v>
      </c>
      <c r="AA796" s="38"/>
      <c r="AB796" s="38"/>
      <c r="AC796" s="39">
        <f t="shared" si="102"/>
        <v>0</v>
      </c>
      <c r="AD796" s="38"/>
      <c r="AE796" s="38"/>
      <c r="AF796" s="39">
        <f t="shared" si="103"/>
        <v>0</v>
      </c>
    </row>
    <row r="797" spans="2:32" ht="15" customHeight="1" x14ac:dyDescent="0.3">
      <c r="B797" s="2" t="s">
        <v>983</v>
      </c>
      <c r="C797" s="4" t="s">
        <v>1176</v>
      </c>
      <c r="D797" s="3" t="s">
        <v>1238</v>
      </c>
      <c r="E797" s="6" t="s">
        <v>1240</v>
      </c>
      <c r="F797" s="6" t="s">
        <v>1015</v>
      </c>
      <c r="G797" s="6" t="s">
        <v>709</v>
      </c>
      <c r="H797" s="25">
        <v>28000</v>
      </c>
      <c r="I797" s="38">
        <v>0</v>
      </c>
      <c r="J797" s="38">
        <v>0</v>
      </c>
      <c r="K797" s="39">
        <f t="shared" si="96"/>
        <v>0</v>
      </c>
      <c r="L797" s="38">
        <v>5</v>
      </c>
      <c r="M797" s="38">
        <v>5</v>
      </c>
      <c r="N797" s="39">
        <f t="shared" si="97"/>
        <v>700000</v>
      </c>
      <c r="O797" s="38">
        <v>0</v>
      </c>
      <c r="P797" s="38">
        <v>0</v>
      </c>
      <c r="Q797" s="39">
        <f t="shared" si="98"/>
        <v>0</v>
      </c>
      <c r="R797" s="38">
        <v>0</v>
      </c>
      <c r="S797" s="38">
        <v>0</v>
      </c>
      <c r="T797" s="39">
        <f t="shared" si="99"/>
        <v>0</v>
      </c>
      <c r="U797" s="38">
        <v>0</v>
      </c>
      <c r="V797" s="38">
        <v>0</v>
      </c>
      <c r="W797" s="39">
        <f t="shared" si="100"/>
        <v>0</v>
      </c>
      <c r="X797" s="38"/>
      <c r="Y797" s="38"/>
      <c r="Z797" s="39">
        <f t="shared" si="101"/>
        <v>0</v>
      </c>
      <c r="AA797" s="38"/>
      <c r="AB797" s="38"/>
      <c r="AC797" s="39">
        <f t="shared" si="102"/>
        <v>0</v>
      </c>
      <c r="AD797" s="38"/>
      <c r="AE797" s="38"/>
      <c r="AF797" s="39">
        <f t="shared" si="103"/>
        <v>0</v>
      </c>
    </row>
    <row r="798" spans="2:32" ht="15" customHeight="1" x14ac:dyDescent="0.3">
      <c r="B798" s="2" t="s">
        <v>983</v>
      </c>
      <c r="C798" s="4" t="s">
        <v>1176</v>
      </c>
      <c r="D798" s="3" t="s">
        <v>1238</v>
      </c>
      <c r="E798" s="6" t="s">
        <v>1240</v>
      </c>
      <c r="F798" s="6" t="s">
        <v>1015</v>
      </c>
      <c r="G798" s="6" t="s">
        <v>711</v>
      </c>
      <c r="H798" s="25">
        <v>70</v>
      </c>
      <c r="I798" s="38">
        <v>0</v>
      </c>
      <c r="J798" s="38">
        <v>0</v>
      </c>
      <c r="K798" s="39">
        <f t="shared" si="96"/>
        <v>0</v>
      </c>
      <c r="L798" s="38">
        <v>15</v>
      </c>
      <c r="M798" s="38">
        <v>3</v>
      </c>
      <c r="N798" s="39">
        <f t="shared" si="97"/>
        <v>3150</v>
      </c>
      <c r="O798" s="38">
        <v>0</v>
      </c>
      <c r="P798" s="38">
        <v>0</v>
      </c>
      <c r="Q798" s="39">
        <f t="shared" si="98"/>
        <v>0</v>
      </c>
      <c r="R798" s="38">
        <v>0</v>
      </c>
      <c r="S798" s="38">
        <v>0</v>
      </c>
      <c r="T798" s="39">
        <f t="shared" si="99"/>
        <v>0</v>
      </c>
      <c r="U798" s="38">
        <v>0</v>
      </c>
      <c r="V798" s="38">
        <v>0</v>
      </c>
      <c r="W798" s="39">
        <f t="shared" si="100"/>
        <v>0</v>
      </c>
      <c r="X798" s="38"/>
      <c r="Y798" s="38"/>
      <c r="Z798" s="39">
        <f t="shared" si="101"/>
        <v>0</v>
      </c>
      <c r="AA798" s="38"/>
      <c r="AB798" s="38"/>
      <c r="AC798" s="39">
        <f t="shared" si="102"/>
        <v>0</v>
      </c>
      <c r="AD798" s="38"/>
      <c r="AE798" s="38"/>
      <c r="AF798" s="39">
        <f t="shared" si="103"/>
        <v>0</v>
      </c>
    </row>
    <row r="799" spans="2:32" ht="15" customHeight="1" x14ac:dyDescent="0.3">
      <c r="B799" s="2" t="s">
        <v>983</v>
      </c>
      <c r="C799" s="4" t="s">
        <v>1176</v>
      </c>
      <c r="D799" s="3" t="s">
        <v>1238</v>
      </c>
      <c r="E799" s="6" t="s">
        <v>1240</v>
      </c>
      <c r="F799" s="6" t="s">
        <v>1015</v>
      </c>
      <c r="G799" s="6" t="s">
        <v>710</v>
      </c>
      <c r="H799" s="25">
        <v>104850</v>
      </c>
      <c r="I799" s="38">
        <v>0</v>
      </c>
      <c r="J799" s="38">
        <v>0</v>
      </c>
      <c r="K799" s="39">
        <f t="shared" si="96"/>
        <v>0</v>
      </c>
      <c r="L799" s="38">
        <v>5000</v>
      </c>
      <c r="M799" s="38">
        <v>1</v>
      </c>
      <c r="N799" s="39">
        <f t="shared" si="97"/>
        <v>524250000</v>
      </c>
      <c r="O799" s="38">
        <v>0</v>
      </c>
      <c r="P799" s="38">
        <v>0</v>
      </c>
      <c r="Q799" s="39">
        <f t="shared" si="98"/>
        <v>0</v>
      </c>
      <c r="R799" s="38">
        <v>0</v>
      </c>
      <c r="S799" s="38">
        <v>0</v>
      </c>
      <c r="T799" s="39">
        <f t="shared" si="99"/>
        <v>0</v>
      </c>
      <c r="U799" s="38">
        <v>0</v>
      </c>
      <c r="V799" s="38">
        <v>0</v>
      </c>
      <c r="W799" s="39">
        <f t="shared" si="100"/>
        <v>0</v>
      </c>
      <c r="X799" s="38"/>
      <c r="Y799" s="38"/>
      <c r="Z799" s="39">
        <f t="shared" si="101"/>
        <v>0</v>
      </c>
      <c r="AA799" s="38"/>
      <c r="AB799" s="38"/>
      <c r="AC799" s="39">
        <f t="shared" si="102"/>
        <v>0</v>
      </c>
      <c r="AD799" s="38"/>
      <c r="AE799" s="38"/>
      <c r="AF799" s="39">
        <f t="shared" si="103"/>
        <v>0</v>
      </c>
    </row>
    <row r="800" spans="2:32" ht="15" customHeight="1" x14ac:dyDescent="0.3">
      <c r="B800" s="2" t="s">
        <v>983</v>
      </c>
      <c r="C800" s="4" t="s">
        <v>1176</v>
      </c>
      <c r="D800" s="3" t="s">
        <v>1238</v>
      </c>
      <c r="E800" s="6" t="s">
        <v>1240</v>
      </c>
      <c r="F800" s="6" t="s">
        <v>1159</v>
      </c>
      <c r="G800" s="6" t="s">
        <v>713</v>
      </c>
      <c r="H800" s="25">
        <v>45000</v>
      </c>
      <c r="I800" s="38">
        <v>0</v>
      </c>
      <c r="J800" s="38">
        <v>0</v>
      </c>
      <c r="K800" s="39">
        <f t="shared" si="96"/>
        <v>0</v>
      </c>
      <c r="L800" s="38">
        <v>1</v>
      </c>
      <c r="M800" s="38">
        <v>1</v>
      </c>
      <c r="N800" s="39">
        <f t="shared" si="97"/>
        <v>45000</v>
      </c>
      <c r="O800" s="38">
        <v>0</v>
      </c>
      <c r="P800" s="38">
        <v>0</v>
      </c>
      <c r="Q800" s="39">
        <f t="shared" si="98"/>
        <v>0</v>
      </c>
      <c r="R800" s="38">
        <v>0</v>
      </c>
      <c r="S800" s="38">
        <v>0</v>
      </c>
      <c r="T800" s="39">
        <f t="shared" si="99"/>
        <v>0</v>
      </c>
      <c r="U800" s="38">
        <v>0</v>
      </c>
      <c r="V800" s="38">
        <v>0</v>
      </c>
      <c r="W800" s="39">
        <f t="shared" si="100"/>
        <v>0</v>
      </c>
      <c r="X800" s="38"/>
      <c r="Y800" s="38"/>
      <c r="Z800" s="39">
        <f t="shared" si="101"/>
        <v>0</v>
      </c>
      <c r="AA800" s="38"/>
      <c r="AB800" s="38"/>
      <c r="AC800" s="39">
        <f t="shared" si="102"/>
        <v>0</v>
      </c>
      <c r="AD800" s="38"/>
      <c r="AE800" s="38"/>
      <c r="AF800" s="39">
        <f t="shared" si="103"/>
        <v>0</v>
      </c>
    </row>
    <row r="801" spans="2:32" ht="15" customHeight="1" x14ac:dyDescent="0.3">
      <c r="B801" s="2" t="s">
        <v>983</v>
      </c>
      <c r="C801" s="4" t="s">
        <v>1176</v>
      </c>
      <c r="D801" s="3" t="s">
        <v>1238</v>
      </c>
      <c r="E801" s="6" t="s">
        <v>1240</v>
      </c>
      <c r="F801" s="6" t="s">
        <v>1159</v>
      </c>
      <c r="G801" s="6" t="s">
        <v>712</v>
      </c>
      <c r="H801" s="25">
        <v>214.29</v>
      </c>
      <c r="I801" s="38">
        <v>0</v>
      </c>
      <c r="J801" s="38">
        <v>0</v>
      </c>
      <c r="K801" s="39">
        <f t="shared" si="96"/>
        <v>0</v>
      </c>
      <c r="L801" s="38">
        <v>25</v>
      </c>
      <c r="M801" s="38">
        <v>1</v>
      </c>
      <c r="N801" s="39">
        <f t="shared" si="97"/>
        <v>5357.25</v>
      </c>
      <c r="O801" s="38">
        <v>0</v>
      </c>
      <c r="P801" s="38">
        <v>0</v>
      </c>
      <c r="Q801" s="39">
        <f t="shared" si="98"/>
        <v>0</v>
      </c>
      <c r="R801" s="38">
        <v>0</v>
      </c>
      <c r="S801" s="38">
        <v>0</v>
      </c>
      <c r="T801" s="39">
        <f t="shared" si="99"/>
        <v>0</v>
      </c>
      <c r="U801" s="38">
        <v>0</v>
      </c>
      <c r="V801" s="38">
        <v>0</v>
      </c>
      <c r="W801" s="39">
        <f t="shared" si="100"/>
        <v>0</v>
      </c>
      <c r="X801" s="38"/>
      <c r="Y801" s="38"/>
      <c r="Z801" s="39">
        <f t="shared" si="101"/>
        <v>0</v>
      </c>
      <c r="AA801" s="38"/>
      <c r="AB801" s="38"/>
      <c r="AC801" s="39">
        <f t="shared" si="102"/>
        <v>0</v>
      </c>
      <c r="AD801" s="38"/>
      <c r="AE801" s="38"/>
      <c r="AF801" s="39">
        <f t="shared" si="103"/>
        <v>0</v>
      </c>
    </row>
    <row r="802" spans="2:32" ht="15" customHeight="1" x14ac:dyDescent="0.3">
      <c r="B802" s="2" t="s">
        <v>983</v>
      </c>
      <c r="C802" s="4" t="s">
        <v>1176</v>
      </c>
      <c r="D802" s="3" t="s">
        <v>1238</v>
      </c>
      <c r="E802" s="6" t="s">
        <v>1240</v>
      </c>
      <c r="F802" s="6" t="s">
        <v>1017</v>
      </c>
      <c r="G802" s="6" t="s">
        <v>709</v>
      </c>
      <c r="H802" s="25">
        <v>28000</v>
      </c>
      <c r="I802" s="38">
        <v>0</v>
      </c>
      <c r="J802" s="38">
        <v>0</v>
      </c>
      <c r="K802" s="39">
        <f t="shared" si="96"/>
        <v>0</v>
      </c>
      <c r="L802" s="38">
        <v>4000</v>
      </c>
      <c r="M802" s="38">
        <v>1</v>
      </c>
      <c r="N802" s="39">
        <f t="shared" si="97"/>
        <v>112000000</v>
      </c>
      <c r="O802" s="38">
        <v>0</v>
      </c>
      <c r="P802" s="38">
        <v>0</v>
      </c>
      <c r="Q802" s="39">
        <f t="shared" si="98"/>
        <v>0</v>
      </c>
      <c r="R802" s="38">
        <v>0</v>
      </c>
      <c r="S802" s="38">
        <v>0</v>
      </c>
      <c r="T802" s="39">
        <f t="shared" si="99"/>
        <v>0</v>
      </c>
      <c r="U802" s="38">
        <v>0</v>
      </c>
      <c r="V802" s="38">
        <v>0</v>
      </c>
      <c r="W802" s="39">
        <f t="shared" si="100"/>
        <v>0</v>
      </c>
      <c r="X802" s="38"/>
      <c r="Y802" s="38"/>
      <c r="Z802" s="39">
        <f t="shared" si="101"/>
        <v>0</v>
      </c>
      <c r="AA802" s="38"/>
      <c r="AB802" s="38"/>
      <c r="AC802" s="39">
        <f t="shared" si="102"/>
        <v>0</v>
      </c>
      <c r="AD802" s="38"/>
      <c r="AE802" s="38"/>
      <c r="AF802" s="39">
        <f t="shared" si="103"/>
        <v>0</v>
      </c>
    </row>
    <row r="803" spans="2:32" ht="15" customHeight="1" x14ac:dyDescent="0.3">
      <c r="B803" s="2" t="s">
        <v>983</v>
      </c>
      <c r="C803" s="4" t="s">
        <v>1176</v>
      </c>
      <c r="D803" s="3" t="s">
        <v>1238</v>
      </c>
      <c r="E803" s="6" t="s">
        <v>1240</v>
      </c>
      <c r="F803" s="6" t="s">
        <v>1182</v>
      </c>
      <c r="G803" s="6" t="s">
        <v>713</v>
      </c>
      <c r="H803" s="25">
        <v>45000</v>
      </c>
      <c r="I803" s="38">
        <v>0</v>
      </c>
      <c r="J803" s="38">
        <v>0</v>
      </c>
      <c r="K803" s="39">
        <f t="shared" si="96"/>
        <v>0</v>
      </c>
      <c r="L803" s="38">
        <v>30</v>
      </c>
      <c r="M803" s="38">
        <v>1</v>
      </c>
      <c r="N803" s="39">
        <f t="shared" si="97"/>
        <v>1350000</v>
      </c>
      <c r="O803" s="38">
        <v>0</v>
      </c>
      <c r="P803" s="38">
        <v>0</v>
      </c>
      <c r="Q803" s="39">
        <f t="shared" si="98"/>
        <v>0</v>
      </c>
      <c r="R803" s="38">
        <v>0</v>
      </c>
      <c r="S803" s="38">
        <v>0</v>
      </c>
      <c r="T803" s="39">
        <f t="shared" si="99"/>
        <v>0</v>
      </c>
      <c r="U803" s="38">
        <v>0</v>
      </c>
      <c r="V803" s="38">
        <v>0</v>
      </c>
      <c r="W803" s="39">
        <f t="shared" si="100"/>
        <v>0</v>
      </c>
      <c r="X803" s="38"/>
      <c r="Y803" s="38"/>
      <c r="Z803" s="39">
        <f t="shared" si="101"/>
        <v>0</v>
      </c>
      <c r="AA803" s="38"/>
      <c r="AB803" s="38"/>
      <c r="AC803" s="39">
        <f t="shared" si="102"/>
        <v>0</v>
      </c>
      <c r="AD803" s="38"/>
      <c r="AE803" s="38"/>
      <c r="AF803" s="39">
        <f t="shared" si="103"/>
        <v>0</v>
      </c>
    </row>
    <row r="804" spans="2:32" ht="15" customHeight="1" x14ac:dyDescent="0.3">
      <c r="B804" s="2" t="s">
        <v>983</v>
      </c>
      <c r="C804" s="4" t="s">
        <v>1176</v>
      </c>
      <c r="D804" s="3" t="s">
        <v>1238</v>
      </c>
      <c r="E804" s="6" t="s">
        <v>1240</v>
      </c>
      <c r="F804" s="6" t="s">
        <v>1182</v>
      </c>
      <c r="G804" s="6" t="s">
        <v>712</v>
      </c>
      <c r="H804" s="25">
        <v>214.29</v>
      </c>
      <c r="I804" s="38">
        <v>0</v>
      </c>
      <c r="J804" s="38">
        <v>0</v>
      </c>
      <c r="K804" s="39">
        <f t="shared" si="96"/>
        <v>0</v>
      </c>
      <c r="L804" s="38">
        <v>25</v>
      </c>
      <c r="M804" s="38">
        <v>10</v>
      </c>
      <c r="N804" s="39">
        <f t="shared" si="97"/>
        <v>53572.5</v>
      </c>
      <c r="O804" s="38">
        <v>0</v>
      </c>
      <c r="P804" s="38">
        <v>0</v>
      </c>
      <c r="Q804" s="39">
        <f t="shared" si="98"/>
        <v>0</v>
      </c>
      <c r="R804" s="38">
        <v>0</v>
      </c>
      <c r="S804" s="38">
        <v>0</v>
      </c>
      <c r="T804" s="39">
        <f t="shared" si="99"/>
        <v>0</v>
      </c>
      <c r="U804" s="38">
        <v>0</v>
      </c>
      <c r="V804" s="38">
        <v>0</v>
      </c>
      <c r="W804" s="39">
        <f t="shared" si="100"/>
        <v>0</v>
      </c>
      <c r="X804" s="38"/>
      <c r="Y804" s="38"/>
      <c r="Z804" s="39">
        <f t="shared" si="101"/>
        <v>0</v>
      </c>
      <c r="AA804" s="38"/>
      <c r="AB804" s="38"/>
      <c r="AC804" s="39">
        <f t="shared" si="102"/>
        <v>0</v>
      </c>
      <c r="AD804" s="38"/>
      <c r="AE804" s="38"/>
      <c r="AF804" s="39">
        <f t="shared" si="103"/>
        <v>0</v>
      </c>
    </row>
    <row r="805" spans="2:32" ht="15" customHeight="1" x14ac:dyDescent="0.3">
      <c r="B805" s="2" t="s">
        <v>983</v>
      </c>
      <c r="C805" s="4" t="s">
        <v>1176</v>
      </c>
      <c r="D805" s="3" t="s">
        <v>1238</v>
      </c>
      <c r="E805" s="6" t="s">
        <v>1240</v>
      </c>
      <c r="F805" s="6" t="s">
        <v>1182</v>
      </c>
      <c r="G805" s="6" t="s">
        <v>714</v>
      </c>
      <c r="H805" s="25">
        <v>10000</v>
      </c>
      <c r="I805" s="38">
        <v>0</v>
      </c>
      <c r="J805" s="38">
        <v>0</v>
      </c>
      <c r="K805" s="39">
        <f t="shared" si="96"/>
        <v>0</v>
      </c>
      <c r="L805" s="38">
        <v>20000</v>
      </c>
      <c r="M805" s="38">
        <v>1</v>
      </c>
      <c r="N805" s="39">
        <f t="shared" si="97"/>
        <v>200000000</v>
      </c>
      <c r="O805" s="38">
        <v>0</v>
      </c>
      <c r="P805" s="38">
        <v>0</v>
      </c>
      <c r="Q805" s="39">
        <f t="shared" si="98"/>
        <v>0</v>
      </c>
      <c r="R805" s="38">
        <v>0</v>
      </c>
      <c r="S805" s="38">
        <v>0</v>
      </c>
      <c r="T805" s="39">
        <f t="shared" si="99"/>
        <v>0</v>
      </c>
      <c r="U805" s="38">
        <v>0</v>
      </c>
      <c r="V805" s="38">
        <v>0</v>
      </c>
      <c r="W805" s="39">
        <f t="shared" si="100"/>
        <v>0</v>
      </c>
      <c r="X805" s="38"/>
      <c r="Y805" s="38"/>
      <c r="Z805" s="39">
        <f t="shared" si="101"/>
        <v>0</v>
      </c>
      <c r="AA805" s="38"/>
      <c r="AB805" s="38"/>
      <c r="AC805" s="39">
        <f t="shared" si="102"/>
        <v>0</v>
      </c>
      <c r="AD805" s="38"/>
      <c r="AE805" s="38"/>
      <c r="AF805" s="39">
        <f t="shared" si="103"/>
        <v>0</v>
      </c>
    </row>
    <row r="806" spans="2:32" ht="15" customHeight="1" x14ac:dyDescent="0.3">
      <c r="B806" s="2" t="s">
        <v>983</v>
      </c>
      <c r="C806" s="4" t="s">
        <v>1176</v>
      </c>
      <c r="D806" s="3" t="s">
        <v>1238</v>
      </c>
      <c r="E806" s="6" t="s">
        <v>1240</v>
      </c>
      <c r="F806" s="6" t="s">
        <v>1004</v>
      </c>
      <c r="G806" s="6" t="s">
        <v>709</v>
      </c>
      <c r="H806" s="25">
        <v>28000</v>
      </c>
      <c r="I806" s="38">
        <v>0</v>
      </c>
      <c r="J806" s="38">
        <v>0</v>
      </c>
      <c r="K806" s="39">
        <f t="shared" si="96"/>
        <v>0</v>
      </c>
      <c r="L806" s="38">
        <v>15</v>
      </c>
      <c r="M806" s="38">
        <v>1</v>
      </c>
      <c r="N806" s="39">
        <f t="shared" si="97"/>
        <v>420000</v>
      </c>
      <c r="O806" s="38">
        <v>0</v>
      </c>
      <c r="P806" s="38">
        <v>0</v>
      </c>
      <c r="Q806" s="39">
        <f t="shared" si="98"/>
        <v>0</v>
      </c>
      <c r="R806" s="38">
        <v>0</v>
      </c>
      <c r="S806" s="38">
        <v>0</v>
      </c>
      <c r="T806" s="39">
        <f t="shared" si="99"/>
        <v>0</v>
      </c>
      <c r="U806" s="38">
        <v>0</v>
      </c>
      <c r="V806" s="38">
        <v>0</v>
      </c>
      <c r="W806" s="39">
        <f t="shared" si="100"/>
        <v>0</v>
      </c>
      <c r="X806" s="38"/>
      <c r="Y806" s="38"/>
      <c r="Z806" s="39">
        <f t="shared" si="101"/>
        <v>0</v>
      </c>
      <c r="AA806" s="38"/>
      <c r="AB806" s="38"/>
      <c r="AC806" s="39">
        <f t="shared" si="102"/>
        <v>0</v>
      </c>
      <c r="AD806" s="38"/>
      <c r="AE806" s="38"/>
      <c r="AF806" s="39">
        <f t="shared" si="103"/>
        <v>0</v>
      </c>
    </row>
    <row r="807" spans="2:32" ht="15" customHeight="1" x14ac:dyDescent="0.3">
      <c r="B807" s="2" t="s">
        <v>983</v>
      </c>
      <c r="C807" s="4" t="s">
        <v>1176</v>
      </c>
      <c r="D807" s="3" t="s">
        <v>1238</v>
      </c>
      <c r="E807" s="6" t="s">
        <v>1240</v>
      </c>
      <c r="F807" s="6" t="s">
        <v>1004</v>
      </c>
      <c r="G807" s="6" t="s">
        <v>716</v>
      </c>
      <c r="H807" s="25">
        <v>39000</v>
      </c>
      <c r="I807" s="38">
        <v>0</v>
      </c>
      <c r="J807" s="38">
        <v>0</v>
      </c>
      <c r="K807" s="39">
        <f t="shared" si="96"/>
        <v>0</v>
      </c>
      <c r="L807" s="38">
        <v>25</v>
      </c>
      <c r="M807" s="38">
        <v>5</v>
      </c>
      <c r="N807" s="39">
        <f t="shared" si="97"/>
        <v>4875000</v>
      </c>
      <c r="O807" s="38">
        <v>0</v>
      </c>
      <c r="P807" s="38">
        <v>0</v>
      </c>
      <c r="Q807" s="39">
        <f t="shared" si="98"/>
        <v>0</v>
      </c>
      <c r="R807" s="38">
        <v>0</v>
      </c>
      <c r="S807" s="38">
        <v>0</v>
      </c>
      <c r="T807" s="39">
        <f t="shared" si="99"/>
        <v>0</v>
      </c>
      <c r="U807" s="38">
        <v>0</v>
      </c>
      <c r="V807" s="38">
        <v>0</v>
      </c>
      <c r="W807" s="39">
        <f t="shared" si="100"/>
        <v>0</v>
      </c>
      <c r="X807" s="38"/>
      <c r="Y807" s="38"/>
      <c r="Z807" s="39">
        <f t="shared" si="101"/>
        <v>0</v>
      </c>
      <c r="AA807" s="38"/>
      <c r="AB807" s="38"/>
      <c r="AC807" s="39">
        <f t="shared" si="102"/>
        <v>0</v>
      </c>
      <c r="AD807" s="38"/>
      <c r="AE807" s="38"/>
      <c r="AF807" s="39">
        <f t="shared" si="103"/>
        <v>0</v>
      </c>
    </row>
    <row r="808" spans="2:32" ht="15" customHeight="1" x14ac:dyDescent="0.3">
      <c r="B808" s="2" t="s">
        <v>983</v>
      </c>
      <c r="C808" s="4" t="s">
        <v>1176</v>
      </c>
      <c r="D808" s="3" t="s">
        <v>1238</v>
      </c>
      <c r="E808" s="6" t="s">
        <v>1240</v>
      </c>
      <c r="F808" s="6" t="s">
        <v>1004</v>
      </c>
      <c r="G808" s="6" t="s">
        <v>712</v>
      </c>
      <c r="H808" s="25">
        <v>214.29</v>
      </c>
      <c r="I808" s="38">
        <v>0</v>
      </c>
      <c r="J808" s="38">
        <v>0</v>
      </c>
      <c r="K808" s="39">
        <f t="shared" si="96"/>
        <v>0</v>
      </c>
      <c r="L808" s="38">
        <v>25</v>
      </c>
      <c r="M808" s="38">
        <v>5</v>
      </c>
      <c r="N808" s="39">
        <f t="shared" si="97"/>
        <v>26786.25</v>
      </c>
      <c r="O808" s="38">
        <v>0</v>
      </c>
      <c r="P808" s="38">
        <v>0</v>
      </c>
      <c r="Q808" s="39">
        <f t="shared" si="98"/>
        <v>0</v>
      </c>
      <c r="R808" s="38">
        <v>0</v>
      </c>
      <c r="S808" s="38">
        <v>0</v>
      </c>
      <c r="T808" s="39">
        <f t="shared" si="99"/>
        <v>0</v>
      </c>
      <c r="U808" s="38">
        <v>0</v>
      </c>
      <c r="V808" s="38">
        <v>0</v>
      </c>
      <c r="W808" s="39">
        <f t="shared" si="100"/>
        <v>0</v>
      </c>
      <c r="X808" s="38"/>
      <c r="Y808" s="38"/>
      <c r="Z808" s="39">
        <f t="shared" si="101"/>
        <v>0</v>
      </c>
      <c r="AA808" s="38"/>
      <c r="AB808" s="38"/>
      <c r="AC808" s="39">
        <f t="shared" si="102"/>
        <v>0</v>
      </c>
      <c r="AD808" s="38"/>
      <c r="AE808" s="38"/>
      <c r="AF808" s="39">
        <f t="shared" si="103"/>
        <v>0</v>
      </c>
    </row>
    <row r="809" spans="2:32" ht="15" customHeight="1" x14ac:dyDescent="0.3">
      <c r="B809" s="2" t="s">
        <v>983</v>
      </c>
      <c r="C809" s="4" t="s">
        <v>1176</v>
      </c>
      <c r="D809" s="3" t="s">
        <v>1238</v>
      </c>
      <c r="E809" s="6" t="s">
        <v>1240</v>
      </c>
      <c r="F809" s="6" t="s">
        <v>1241</v>
      </c>
      <c r="G809" s="6" t="s">
        <v>841</v>
      </c>
      <c r="H809" s="25">
        <v>0</v>
      </c>
      <c r="I809" s="38">
        <v>0</v>
      </c>
      <c r="J809" s="38">
        <v>0</v>
      </c>
      <c r="K809" s="39">
        <f t="shared" si="96"/>
        <v>0</v>
      </c>
      <c r="L809" s="38">
        <v>4000</v>
      </c>
      <c r="M809" s="38">
        <v>1</v>
      </c>
      <c r="N809" s="39">
        <f t="shared" si="97"/>
        <v>0</v>
      </c>
      <c r="O809" s="38">
        <v>0</v>
      </c>
      <c r="P809" s="38">
        <v>0</v>
      </c>
      <c r="Q809" s="39">
        <f t="shared" si="98"/>
        <v>0</v>
      </c>
      <c r="R809" s="38">
        <v>0</v>
      </c>
      <c r="S809" s="38">
        <v>0</v>
      </c>
      <c r="T809" s="39">
        <f t="shared" si="99"/>
        <v>0</v>
      </c>
      <c r="U809" s="38">
        <v>0</v>
      </c>
      <c r="V809" s="38">
        <v>0</v>
      </c>
      <c r="W809" s="39">
        <f t="shared" si="100"/>
        <v>0</v>
      </c>
      <c r="X809" s="38"/>
      <c r="Y809" s="38"/>
      <c r="Z809" s="39">
        <f t="shared" si="101"/>
        <v>0</v>
      </c>
      <c r="AA809" s="38"/>
      <c r="AB809" s="38"/>
      <c r="AC809" s="39">
        <f t="shared" si="102"/>
        <v>0</v>
      </c>
      <c r="AD809" s="38"/>
      <c r="AE809" s="38"/>
      <c r="AF809" s="39">
        <f t="shared" si="103"/>
        <v>0</v>
      </c>
    </row>
    <row r="810" spans="2:32" ht="15" customHeight="1" x14ac:dyDescent="0.3">
      <c r="B810" s="2" t="s">
        <v>983</v>
      </c>
      <c r="C810" s="4" t="s">
        <v>1176</v>
      </c>
      <c r="D810" s="3" t="s">
        <v>1238</v>
      </c>
      <c r="E810" s="6" t="s">
        <v>1240</v>
      </c>
      <c r="F810" s="6" t="s">
        <v>168</v>
      </c>
      <c r="G810" s="6" t="s">
        <v>709</v>
      </c>
      <c r="H810" s="25">
        <v>28000</v>
      </c>
      <c r="I810" s="38">
        <v>0</v>
      </c>
      <c r="J810" s="38">
        <v>0</v>
      </c>
      <c r="K810" s="39">
        <f t="shared" si="96"/>
        <v>0</v>
      </c>
      <c r="L810" s="38">
        <v>4000</v>
      </c>
      <c r="M810" s="38">
        <v>1</v>
      </c>
      <c r="N810" s="39">
        <f t="shared" si="97"/>
        <v>112000000</v>
      </c>
      <c r="O810" s="38">
        <v>0</v>
      </c>
      <c r="P810" s="38">
        <v>0</v>
      </c>
      <c r="Q810" s="39">
        <f t="shared" si="98"/>
        <v>0</v>
      </c>
      <c r="R810" s="38">
        <v>0</v>
      </c>
      <c r="S810" s="38">
        <v>0</v>
      </c>
      <c r="T810" s="39">
        <f t="shared" si="99"/>
        <v>0</v>
      </c>
      <c r="U810" s="38">
        <v>0</v>
      </c>
      <c r="V810" s="38">
        <v>0</v>
      </c>
      <c r="W810" s="39">
        <f t="shared" si="100"/>
        <v>0</v>
      </c>
      <c r="X810" s="38"/>
      <c r="Y810" s="38"/>
      <c r="Z810" s="39">
        <f t="shared" si="101"/>
        <v>0</v>
      </c>
      <c r="AA810" s="38"/>
      <c r="AB810" s="38"/>
      <c r="AC810" s="39">
        <f t="shared" si="102"/>
        <v>0</v>
      </c>
      <c r="AD810" s="38"/>
      <c r="AE810" s="38"/>
      <c r="AF810" s="39">
        <f t="shared" si="103"/>
        <v>0</v>
      </c>
    </row>
    <row r="811" spans="2:32" ht="15" customHeight="1" x14ac:dyDescent="0.3">
      <c r="B811" s="2" t="s">
        <v>983</v>
      </c>
      <c r="C811" s="4" t="s">
        <v>1176</v>
      </c>
      <c r="D811" s="3" t="s">
        <v>1238</v>
      </c>
      <c r="E811" s="6" t="s">
        <v>1240</v>
      </c>
      <c r="F811" s="6" t="s">
        <v>1242</v>
      </c>
      <c r="G811" s="6" t="s">
        <v>841</v>
      </c>
      <c r="H811" s="25">
        <v>0</v>
      </c>
      <c r="I811" s="38">
        <v>0</v>
      </c>
      <c r="J811" s="38">
        <v>0</v>
      </c>
      <c r="K811" s="39">
        <f t="shared" si="96"/>
        <v>0</v>
      </c>
      <c r="L811" s="38">
        <v>35</v>
      </c>
      <c r="M811" s="38">
        <v>0.5</v>
      </c>
      <c r="N811" s="39">
        <f t="shared" si="97"/>
        <v>0</v>
      </c>
      <c r="O811" s="38">
        <v>0</v>
      </c>
      <c r="P811" s="38">
        <v>0</v>
      </c>
      <c r="Q811" s="39">
        <f t="shared" si="98"/>
        <v>0</v>
      </c>
      <c r="R811" s="38">
        <v>0</v>
      </c>
      <c r="S811" s="38">
        <v>0</v>
      </c>
      <c r="T811" s="39">
        <f t="shared" si="99"/>
        <v>0</v>
      </c>
      <c r="U811" s="38">
        <v>0</v>
      </c>
      <c r="V811" s="38">
        <v>0</v>
      </c>
      <c r="W811" s="39">
        <f t="shared" si="100"/>
        <v>0</v>
      </c>
      <c r="X811" s="38"/>
      <c r="Y811" s="38"/>
      <c r="Z811" s="39">
        <f t="shared" si="101"/>
        <v>0</v>
      </c>
      <c r="AA811" s="38"/>
      <c r="AB811" s="38"/>
      <c r="AC811" s="39">
        <f t="shared" si="102"/>
        <v>0</v>
      </c>
      <c r="AD811" s="38"/>
      <c r="AE811" s="38"/>
      <c r="AF811" s="39">
        <f t="shared" si="103"/>
        <v>0</v>
      </c>
    </row>
    <row r="812" spans="2:32" ht="15" customHeight="1" x14ac:dyDescent="0.3">
      <c r="B812" s="2" t="s">
        <v>983</v>
      </c>
      <c r="C812" s="4" t="s">
        <v>1176</v>
      </c>
      <c r="D812" s="3" t="s">
        <v>1238</v>
      </c>
      <c r="E812" s="6" t="s">
        <v>1243</v>
      </c>
      <c r="F812" s="6" t="s">
        <v>1025</v>
      </c>
      <c r="G812" s="6" t="s">
        <v>841</v>
      </c>
      <c r="H812" s="25">
        <v>0</v>
      </c>
      <c r="I812" s="38">
        <v>0</v>
      </c>
      <c r="J812" s="38">
        <v>0</v>
      </c>
      <c r="K812" s="39">
        <f t="shared" si="96"/>
        <v>0</v>
      </c>
      <c r="L812" s="38">
        <v>0</v>
      </c>
      <c r="M812" s="38">
        <v>0</v>
      </c>
      <c r="N812" s="39">
        <f t="shared" si="97"/>
        <v>0</v>
      </c>
      <c r="O812" s="38">
        <v>0</v>
      </c>
      <c r="P812" s="38">
        <v>0</v>
      </c>
      <c r="Q812" s="39">
        <f t="shared" si="98"/>
        <v>0</v>
      </c>
      <c r="R812" s="38">
        <v>0</v>
      </c>
      <c r="S812" s="38">
        <v>0</v>
      </c>
      <c r="T812" s="39">
        <f t="shared" si="99"/>
        <v>0</v>
      </c>
      <c r="U812" s="38">
        <v>0</v>
      </c>
      <c r="V812" s="38">
        <v>0</v>
      </c>
      <c r="W812" s="39">
        <f t="shared" si="100"/>
        <v>0</v>
      </c>
      <c r="X812" s="38"/>
      <c r="Y812" s="38"/>
      <c r="Z812" s="39">
        <f t="shared" si="101"/>
        <v>0</v>
      </c>
      <c r="AA812" s="38"/>
      <c r="AB812" s="38"/>
      <c r="AC812" s="39">
        <f t="shared" si="102"/>
        <v>0</v>
      </c>
      <c r="AD812" s="38"/>
      <c r="AE812" s="38"/>
      <c r="AF812" s="39">
        <f t="shared" si="103"/>
        <v>0</v>
      </c>
    </row>
    <row r="813" spans="2:32" ht="15" customHeight="1" x14ac:dyDescent="0.3">
      <c r="B813" s="2" t="s">
        <v>983</v>
      </c>
      <c r="C813" s="4" t="s">
        <v>1176</v>
      </c>
      <c r="D813" s="3" t="s">
        <v>1238</v>
      </c>
      <c r="E813" s="6" t="s">
        <v>1243</v>
      </c>
      <c r="F813" s="6" t="s">
        <v>149</v>
      </c>
      <c r="G813" s="6" t="s">
        <v>707</v>
      </c>
      <c r="H813" s="25">
        <v>391991.03749999998</v>
      </c>
      <c r="I813" s="38">
        <v>0</v>
      </c>
      <c r="J813" s="38">
        <v>0</v>
      </c>
      <c r="K813" s="39">
        <f t="shared" si="96"/>
        <v>0</v>
      </c>
      <c r="L813" s="38">
        <v>0</v>
      </c>
      <c r="M813" s="38">
        <v>0</v>
      </c>
      <c r="N813" s="39">
        <f t="shared" si="97"/>
        <v>0</v>
      </c>
      <c r="O813" s="38">
        <v>0</v>
      </c>
      <c r="P813" s="38">
        <v>0</v>
      </c>
      <c r="Q813" s="39">
        <f t="shared" si="98"/>
        <v>0</v>
      </c>
      <c r="R813" s="38">
        <v>0</v>
      </c>
      <c r="S813" s="38">
        <v>0</v>
      </c>
      <c r="T813" s="39">
        <f t="shared" si="99"/>
        <v>0</v>
      </c>
      <c r="U813" s="38">
        <v>0</v>
      </c>
      <c r="V813" s="38">
        <v>0</v>
      </c>
      <c r="W813" s="39">
        <f t="shared" si="100"/>
        <v>0</v>
      </c>
      <c r="X813" s="38"/>
      <c r="Y813" s="38"/>
      <c r="Z813" s="39">
        <f t="shared" si="101"/>
        <v>0</v>
      </c>
      <c r="AA813" s="38"/>
      <c r="AB813" s="38"/>
      <c r="AC813" s="39">
        <f t="shared" si="102"/>
        <v>0</v>
      </c>
      <c r="AD813" s="38"/>
      <c r="AE813" s="38"/>
      <c r="AF813" s="39">
        <f t="shared" si="103"/>
        <v>0</v>
      </c>
    </row>
    <row r="814" spans="2:32" ht="15" customHeight="1" x14ac:dyDescent="0.3">
      <c r="B814" s="2" t="s">
        <v>983</v>
      </c>
      <c r="C814" s="4" t="s">
        <v>1176</v>
      </c>
      <c r="D814" s="3" t="s">
        <v>1238</v>
      </c>
      <c r="E814" s="6" t="s">
        <v>1243</v>
      </c>
      <c r="F814" s="6" t="s">
        <v>149</v>
      </c>
      <c r="G814" s="6" t="s">
        <v>708</v>
      </c>
      <c r="H814" s="25">
        <v>425000</v>
      </c>
      <c r="I814" s="38">
        <v>0</v>
      </c>
      <c r="J814" s="38">
        <v>0</v>
      </c>
      <c r="K814" s="39">
        <f t="shared" si="96"/>
        <v>0</v>
      </c>
      <c r="L814" s="38">
        <v>0</v>
      </c>
      <c r="M814" s="38">
        <v>0</v>
      </c>
      <c r="N814" s="39">
        <f t="shared" si="97"/>
        <v>0</v>
      </c>
      <c r="O814" s="38">
        <v>0</v>
      </c>
      <c r="P814" s="38">
        <v>0</v>
      </c>
      <c r="Q814" s="39">
        <f t="shared" si="98"/>
        <v>0</v>
      </c>
      <c r="R814" s="38">
        <v>0</v>
      </c>
      <c r="S814" s="38">
        <v>0</v>
      </c>
      <c r="T814" s="39">
        <f t="shared" si="99"/>
        <v>0</v>
      </c>
      <c r="U814" s="38">
        <v>1</v>
      </c>
      <c r="V814" s="38">
        <v>4</v>
      </c>
      <c r="W814" s="39">
        <f t="shared" si="100"/>
        <v>1700000</v>
      </c>
      <c r="X814" s="38"/>
      <c r="Y814" s="38"/>
      <c r="Z814" s="39">
        <f t="shared" si="101"/>
        <v>0</v>
      </c>
      <c r="AA814" s="38"/>
      <c r="AB814" s="38"/>
      <c r="AC814" s="39">
        <f t="shared" si="102"/>
        <v>0</v>
      </c>
      <c r="AD814" s="38"/>
      <c r="AE814" s="38"/>
      <c r="AF814" s="39">
        <f t="shared" si="103"/>
        <v>0</v>
      </c>
    </row>
    <row r="815" spans="2:32" ht="15" customHeight="1" x14ac:dyDescent="0.3">
      <c r="B815" s="2" t="s">
        <v>983</v>
      </c>
      <c r="C815" s="4" t="s">
        <v>1176</v>
      </c>
      <c r="D815" s="3" t="s">
        <v>1238</v>
      </c>
      <c r="E815" s="6" t="s">
        <v>1243</v>
      </c>
      <c r="F815" s="6" t="s">
        <v>1181</v>
      </c>
      <c r="G815" s="6" t="s">
        <v>841</v>
      </c>
      <c r="H815" s="25">
        <v>0</v>
      </c>
      <c r="I815" s="38">
        <v>0</v>
      </c>
      <c r="J815" s="38">
        <v>0</v>
      </c>
      <c r="K815" s="39">
        <f t="shared" si="96"/>
        <v>0</v>
      </c>
      <c r="L815" s="38">
        <v>0</v>
      </c>
      <c r="M815" s="38">
        <v>0</v>
      </c>
      <c r="N815" s="39">
        <f t="shared" si="97"/>
        <v>0</v>
      </c>
      <c r="O815" s="38">
        <v>0</v>
      </c>
      <c r="P815" s="38">
        <v>0</v>
      </c>
      <c r="Q815" s="39">
        <f t="shared" si="98"/>
        <v>0</v>
      </c>
      <c r="R815" s="38">
        <v>0</v>
      </c>
      <c r="S815" s="38">
        <v>0</v>
      </c>
      <c r="T815" s="39">
        <f t="shared" si="99"/>
        <v>0</v>
      </c>
      <c r="U815" s="38">
        <v>1</v>
      </c>
      <c r="V815" s="38">
        <v>40</v>
      </c>
      <c r="W815" s="39">
        <f t="shared" si="100"/>
        <v>0</v>
      </c>
      <c r="X815" s="38"/>
      <c r="Y815" s="38"/>
      <c r="Z815" s="39">
        <f t="shared" si="101"/>
        <v>0</v>
      </c>
      <c r="AA815" s="38"/>
      <c r="AB815" s="38"/>
      <c r="AC815" s="39">
        <f t="shared" si="102"/>
        <v>0</v>
      </c>
      <c r="AD815" s="38"/>
      <c r="AE815" s="38"/>
      <c r="AF815" s="39">
        <f t="shared" si="103"/>
        <v>0</v>
      </c>
    </row>
    <row r="816" spans="2:32" ht="15" customHeight="1" x14ac:dyDescent="0.3">
      <c r="B816" s="2" t="s">
        <v>983</v>
      </c>
      <c r="C816" s="4" t="s">
        <v>1176</v>
      </c>
      <c r="D816" s="3" t="s">
        <v>1238</v>
      </c>
      <c r="E816" s="6" t="s">
        <v>1243</v>
      </c>
      <c r="F816" s="6" t="s">
        <v>1015</v>
      </c>
      <c r="G816" s="6" t="s">
        <v>709</v>
      </c>
      <c r="H816" s="25">
        <v>28000</v>
      </c>
      <c r="I816" s="38">
        <v>0</v>
      </c>
      <c r="J816" s="38">
        <v>0</v>
      </c>
      <c r="K816" s="39">
        <f t="shared" si="96"/>
        <v>0</v>
      </c>
      <c r="L816" s="38">
        <v>0</v>
      </c>
      <c r="M816" s="38">
        <v>0</v>
      </c>
      <c r="N816" s="39">
        <f t="shared" si="97"/>
        <v>0</v>
      </c>
      <c r="O816" s="38">
        <v>0</v>
      </c>
      <c r="P816" s="38">
        <v>0</v>
      </c>
      <c r="Q816" s="39">
        <f t="shared" si="98"/>
        <v>0</v>
      </c>
      <c r="R816" s="38">
        <v>0</v>
      </c>
      <c r="S816" s="38">
        <v>0</v>
      </c>
      <c r="T816" s="39">
        <f t="shared" si="99"/>
        <v>0</v>
      </c>
      <c r="U816" s="38">
        <v>5</v>
      </c>
      <c r="V816" s="38">
        <v>5</v>
      </c>
      <c r="W816" s="39">
        <f t="shared" si="100"/>
        <v>700000</v>
      </c>
      <c r="X816" s="38"/>
      <c r="Y816" s="38"/>
      <c r="Z816" s="39">
        <f t="shared" si="101"/>
        <v>0</v>
      </c>
      <c r="AA816" s="38"/>
      <c r="AB816" s="38"/>
      <c r="AC816" s="39">
        <f t="shared" si="102"/>
        <v>0</v>
      </c>
      <c r="AD816" s="38"/>
      <c r="AE816" s="38"/>
      <c r="AF816" s="39">
        <f t="shared" si="103"/>
        <v>0</v>
      </c>
    </row>
    <row r="817" spans="2:32" ht="15" customHeight="1" x14ac:dyDescent="0.3">
      <c r="B817" s="2" t="s">
        <v>983</v>
      </c>
      <c r="C817" s="4" t="s">
        <v>1176</v>
      </c>
      <c r="D817" s="3" t="s">
        <v>1238</v>
      </c>
      <c r="E817" s="6" t="s">
        <v>1243</v>
      </c>
      <c r="F817" s="6" t="s">
        <v>1159</v>
      </c>
      <c r="G817" s="6" t="s">
        <v>713</v>
      </c>
      <c r="H817" s="25">
        <v>45000</v>
      </c>
      <c r="I817" s="38">
        <v>0</v>
      </c>
      <c r="J817" s="38">
        <v>0</v>
      </c>
      <c r="K817" s="39">
        <f t="shared" si="96"/>
        <v>0</v>
      </c>
      <c r="L817" s="38">
        <v>0</v>
      </c>
      <c r="M817" s="38">
        <v>0</v>
      </c>
      <c r="N817" s="39">
        <f t="shared" si="97"/>
        <v>0</v>
      </c>
      <c r="O817" s="38">
        <v>0</v>
      </c>
      <c r="P817" s="38">
        <v>0</v>
      </c>
      <c r="Q817" s="39">
        <f t="shared" si="98"/>
        <v>0</v>
      </c>
      <c r="R817" s="38">
        <v>0</v>
      </c>
      <c r="S817" s="38">
        <v>0</v>
      </c>
      <c r="T817" s="39">
        <f t="shared" si="99"/>
        <v>0</v>
      </c>
      <c r="U817" s="38">
        <v>25</v>
      </c>
      <c r="V817" s="38">
        <v>3</v>
      </c>
      <c r="W817" s="39">
        <f t="shared" si="100"/>
        <v>3375000</v>
      </c>
      <c r="X817" s="38"/>
      <c r="Y817" s="38"/>
      <c r="Z817" s="39">
        <f t="shared" si="101"/>
        <v>0</v>
      </c>
      <c r="AA817" s="38"/>
      <c r="AB817" s="38"/>
      <c r="AC817" s="39">
        <f t="shared" si="102"/>
        <v>0</v>
      </c>
      <c r="AD817" s="38"/>
      <c r="AE817" s="38"/>
      <c r="AF817" s="39">
        <f t="shared" si="103"/>
        <v>0</v>
      </c>
    </row>
    <row r="818" spans="2:32" ht="15" customHeight="1" x14ac:dyDescent="0.3">
      <c r="B818" s="2" t="s">
        <v>983</v>
      </c>
      <c r="C818" s="4" t="s">
        <v>1176</v>
      </c>
      <c r="D818" s="3" t="s">
        <v>1238</v>
      </c>
      <c r="E818" s="6" t="s">
        <v>1243</v>
      </c>
      <c r="F818" s="6" t="s">
        <v>1159</v>
      </c>
      <c r="G818" s="6" t="s">
        <v>712</v>
      </c>
      <c r="H818" s="25">
        <v>214.29</v>
      </c>
      <c r="I818" s="38">
        <v>0</v>
      </c>
      <c r="J818" s="38">
        <v>0</v>
      </c>
      <c r="K818" s="39">
        <f t="shared" si="96"/>
        <v>0</v>
      </c>
      <c r="L818" s="38">
        <v>0</v>
      </c>
      <c r="M818" s="38">
        <v>0</v>
      </c>
      <c r="N818" s="39">
        <f t="shared" si="97"/>
        <v>0</v>
      </c>
      <c r="O818" s="38">
        <v>0</v>
      </c>
      <c r="P818" s="38">
        <v>0</v>
      </c>
      <c r="Q818" s="39">
        <f t="shared" si="98"/>
        <v>0</v>
      </c>
      <c r="R818" s="38">
        <v>0</v>
      </c>
      <c r="S818" s="38">
        <v>0</v>
      </c>
      <c r="T818" s="39">
        <f t="shared" si="99"/>
        <v>0</v>
      </c>
      <c r="U818" s="38">
        <v>25</v>
      </c>
      <c r="V818" s="38">
        <v>1</v>
      </c>
      <c r="W818" s="39">
        <f t="shared" si="100"/>
        <v>5357.25</v>
      </c>
      <c r="X818" s="38"/>
      <c r="Y818" s="38"/>
      <c r="Z818" s="39">
        <f t="shared" si="101"/>
        <v>0</v>
      </c>
      <c r="AA818" s="38"/>
      <c r="AB818" s="38"/>
      <c r="AC818" s="39">
        <f t="shared" si="102"/>
        <v>0</v>
      </c>
      <c r="AD818" s="38"/>
      <c r="AE818" s="38"/>
      <c r="AF818" s="39">
        <f t="shared" si="103"/>
        <v>0</v>
      </c>
    </row>
    <row r="819" spans="2:32" ht="15" customHeight="1" x14ac:dyDescent="0.3">
      <c r="B819" s="2" t="s">
        <v>983</v>
      </c>
      <c r="C819" s="4" t="s">
        <v>1176</v>
      </c>
      <c r="D819" s="3" t="s">
        <v>1238</v>
      </c>
      <c r="E819" s="6" t="s">
        <v>1243</v>
      </c>
      <c r="F819" s="6" t="s">
        <v>1017</v>
      </c>
      <c r="G819" s="6" t="s">
        <v>709</v>
      </c>
      <c r="H819" s="25">
        <v>28000</v>
      </c>
      <c r="I819" s="38">
        <v>0</v>
      </c>
      <c r="J819" s="38">
        <v>0</v>
      </c>
      <c r="K819" s="39">
        <f t="shared" si="96"/>
        <v>0</v>
      </c>
      <c r="L819" s="38">
        <v>0</v>
      </c>
      <c r="M819" s="38">
        <v>0</v>
      </c>
      <c r="N819" s="39">
        <f t="shared" si="97"/>
        <v>0</v>
      </c>
      <c r="O819" s="38">
        <v>0</v>
      </c>
      <c r="P819" s="38">
        <v>0</v>
      </c>
      <c r="Q819" s="39">
        <f t="shared" si="98"/>
        <v>0</v>
      </c>
      <c r="R819" s="38">
        <v>0</v>
      </c>
      <c r="S819" s="38">
        <v>0</v>
      </c>
      <c r="T819" s="39">
        <f t="shared" si="99"/>
        <v>0</v>
      </c>
      <c r="U819" s="38">
        <v>4000</v>
      </c>
      <c r="V819" s="38">
        <v>1</v>
      </c>
      <c r="W819" s="39">
        <f t="shared" si="100"/>
        <v>112000000</v>
      </c>
      <c r="X819" s="38"/>
      <c r="Y819" s="38"/>
      <c r="Z819" s="39">
        <f t="shared" si="101"/>
        <v>0</v>
      </c>
      <c r="AA819" s="38"/>
      <c r="AB819" s="38"/>
      <c r="AC819" s="39">
        <f t="shared" si="102"/>
        <v>0</v>
      </c>
      <c r="AD819" s="38"/>
      <c r="AE819" s="38"/>
      <c r="AF819" s="39">
        <f t="shared" si="103"/>
        <v>0</v>
      </c>
    </row>
    <row r="820" spans="2:32" ht="15" customHeight="1" x14ac:dyDescent="0.3">
      <c r="B820" s="2" t="s">
        <v>983</v>
      </c>
      <c r="C820" s="4" t="s">
        <v>1176</v>
      </c>
      <c r="D820" s="3" t="s">
        <v>1238</v>
      </c>
      <c r="E820" s="6" t="s">
        <v>1243</v>
      </c>
      <c r="F820" s="6" t="s">
        <v>1182</v>
      </c>
      <c r="G820" s="6" t="s">
        <v>713</v>
      </c>
      <c r="H820" s="25">
        <v>45000</v>
      </c>
      <c r="I820" s="38">
        <v>0</v>
      </c>
      <c r="J820" s="38">
        <v>0</v>
      </c>
      <c r="K820" s="39">
        <f t="shared" si="96"/>
        <v>0</v>
      </c>
      <c r="L820" s="38">
        <v>0</v>
      </c>
      <c r="M820" s="38">
        <v>0</v>
      </c>
      <c r="N820" s="39">
        <f t="shared" si="97"/>
        <v>0</v>
      </c>
      <c r="O820" s="38">
        <v>0</v>
      </c>
      <c r="P820" s="38">
        <v>0</v>
      </c>
      <c r="Q820" s="39">
        <f t="shared" si="98"/>
        <v>0</v>
      </c>
      <c r="R820" s="38">
        <v>0</v>
      </c>
      <c r="S820" s="38">
        <v>0</v>
      </c>
      <c r="T820" s="39">
        <f t="shared" si="99"/>
        <v>0</v>
      </c>
      <c r="U820" s="38">
        <v>30</v>
      </c>
      <c r="V820" s="38">
        <v>1</v>
      </c>
      <c r="W820" s="39">
        <f t="shared" si="100"/>
        <v>1350000</v>
      </c>
      <c r="X820" s="38"/>
      <c r="Y820" s="38"/>
      <c r="Z820" s="39">
        <f t="shared" si="101"/>
        <v>0</v>
      </c>
      <c r="AA820" s="38"/>
      <c r="AB820" s="38"/>
      <c r="AC820" s="39">
        <f t="shared" si="102"/>
        <v>0</v>
      </c>
      <c r="AD820" s="38"/>
      <c r="AE820" s="38"/>
      <c r="AF820" s="39">
        <f t="shared" si="103"/>
        <v>0</v>
      </c>
    </row>
    <row r="821" spans="2:32" ht="15" customHeight="1" x14ac:dyDescent="0.3">
      <c r="B821" s="2" t="s">
        <v>983</v>
      </c>
      <c r="C821" s="4" t="s">
        <v>1176</v>
      </c>
      <c r="D821" s="3" t="s">
        <v>1238</v>
      </c>
      <c r="E821" s="6" t="s">
        <v>1243</v>
      </c>
      <c r="F821" s="6" t="s">
        <v>1182</v>
      </c>
      <c r="G821" s="6" t="s">
        <v>712</v>
      </c>
      <c r="H821" s="25">
        <v>214.29</v>
      </c>
      <c r="I821" s="38">
        <v>0</v>
      </c>
      <c r="J821" s="38">
        <v>0</v>
      </c>
      <c r="K821" s="39">
        <f t="shared" si="96"/>
        <v>0</v>
      </c>
      <c r="L821" s="38">
        <v>0</v>
      </c>
      <c r="M821" s="38">
        <v>0</v>
      </c>
      <c r="N821" s="39">
        <f t="shared" si="97"/>
        <v>0</v>
      </c>
      <c r="O821" s="38">
        <v>0</v>
      </c>
      <c r="P821" s="38">
        <v>0</v>
      </c>
      <c r="Q821" s="39">
        <f t="shared" si="98"/>
        <v>0</v>
      </c>
      <c r="R821" s="38">
        <v>0</v>
      </c>
      <c r="S821" s="38">
        <v>0</v>
      </c>
      <c r="T821" s="39">
        <f t="shared" si="99"/>
        <v>0</v>
      </c>
      <c r="U821" s="38">
        <v>25</v>
      </c>
      <c r="V821" s="38">
        <v>10</v>
      </c>
      <c r="W821" s="39">
        <f t="shared" si="100"/>
        <v>53572.5</v>
      </c>
      <c r="X821" s="38"/>
      <c r="Y821" s="38"/>
      <c r="Z821" s="39">
        <f t="shared" si="101"/>
        <v>0</v>
      </c>
      <c r="AA821" s="38"/>
      <c r="AB821" s="38"/>
      <c r="AC821" s="39">
        <f t="shared" si="102"/>
        <v>0</v>
      </c>
      <c r="AD821" s="38"/>
      <c r="AE821" s="38"/>
      <c r="AF821" s="39">
        <f t="shared" si="103"/>
        <v>0</v>
      </c>
    </row>
    <row r="822" spans="2:32" ht="15" customHeight="1" x14ac:dyDescent="0.3">
      <c r="B822" s="2" t="s">
        <v>983</v>
      </c>
      <c r="C822" s="4" t="s">
        <v>1176</v>
      </c>
      <c r="D822" s="3" t="s">
        <v>1238</v>
      </c>
      <c r="E822" s="6" t="s">
        <v>1243</v>
      </c>
      <c r="F822" s="6" t="s">
        <v>1182</v>
      </c>
      <c r="G822" s="6" t="s">
        <v>714</v>
      </c>
      <c r="H822" s="25">
        <v>10000</v>
      </c>
      <c r="I822" s="38">
        <v>0</v>
      </c>
      <c r="J822" s="38">
        <v>0</v>
      </c>
      <c r="K822" s="39">
        <f t="shared" si="96"/>
        <v>0</v>
      </c>
      <c r="L822" s="38">
        <v>0</v>
      </c>
      <c r="M822" s="38">
        <v>0</v>
      </c>
      <c r="N822" s="39">
        <f t="shared" si="97"/>
        <v>0</v>
      </c>
      <c r="O822" s="38">
        <v>0</v>
      </c>
      <c r="P822" s="38">
        <v>0</v>
      </c>
      <c r="Q822" s="39">
        <f t="shared" si="98"/>
        <v>0</v>
      </c>
      <c r="R822" s="38">
        <v>0</v>
      </c>
      <c r="S822" s="38">
        <v>0</v>
      </c>
      <c r="T822" s="39">
        <f t="shared" si="99"/>
        <v>0</v>
      </c>
      <c r="U822" s="38">
        <v>20000</v>
      </c>
      <c r="V822" s="38">
        <v>1</v>
      </c>
      <c r="W822" s="39">
        <f t="shared" si="100"/>
        <v>200000000</v>
      </c>
      <c r="X822" s="38"/>
      <c r="Y822" s="38"/>
      <c r="Z822" s="39">
        <f t="shared" si="101"/>
        <v>0</v>
      </c>
      <c r="AA822" s="38"/>
      <c r="AB822" s="38"/>
      <c r="AC822" s="39">
        <f t="shared" si="102"/>
        <v>0</v>
      </c>
      <c r="AD822" s="38"/>
      <c r="AE822" s="38"/>
      <c r="AF822" s="39">
        <f t="shared" si="103"/>
        <v>0</v>
      </c>
    </row>
    <row r="823" spans="2:32" ht="15" customHeight="1" x14ac:dyDescent="0.3">
      <c r="B823" s="2" t="s">
        <v>983</v>
      </c>
      <c r="C823" s="4" t="s">
        <v>1176</v>
      </c>
      <c r="D823" s="3" t="s">
        <v>1238</v>
      </c>
      <c r="E823" s="6" t="s">
        <v>1243</v>
      </c>
      <c r="F823" s="6" t="s">
        <v>1004</v>
      </c>
      <c r="G823" s="6" t="s">
        <v>709</v>
      </c>
      <c r="H823" s="25">
        <v>28000</v>
      </c>
      <c r="I823" s="38">
        <v>0</v>
      </c>
      <c r="J823" s="38">
        <v>0</v>
      </c>
      <c r="K823" s="39">
        <f t="shared" si="96"/>
        <v>0</v>
      </c>
      <c r="L823" s="38">
        <v>0</v>
      </c>
      <c r="M823" s="38">
        <v>0</v>
      </c>
      <c r="N823" s="39">
        <f t="shared" si="97"/>
        <v>0</v>
      </c>
      <c r="O823" s="38">
        <v>0</v>
      </c>
      <c r="P823" s="38">
        <v>0</v>
      </c>
      <c r="Q823" s="39">
        <f t="shared" si="98"/>
        <v>0</v>
      </c>
      <c r="R823" s="38">
        <v>0</v>
      </c>
      <c r="S823" s="38">
        <v>0</v>
      </c>
      <c r="T823" s="39">
        <f t="shared" si="99"/>
        <v>0</v>
      </c>
      <c r="U823" s="38">
        <v>15</v>
      </c>
      <c r="V823" s="38">
        <v>1</v>
      </c>
      <c r="W823" s="39">
        <f t="shared" si="100"/>
        <v>420000</v>
      </c>
      <c r="X823" s="38"/>
      <c r="Y823" s="38"/>
      <c r="Z823" s="39">
        <f t="shared" si="101"/>
        <v>0</v>
      </c>
      <c r="AA823" s="38"/>
      <c r="AB823" s="38"/>
      <c r="AC823" s="39">
        <f t="shared" si="102"/>
        <v>0</v>
      </c>
      <c r="AD823" s="38"/>
      <c r="AE823" s="38"/>
      <c r="AF823" s="39">
        <f t="shared" si="103"/>
        <v>0</v>
      </c>
    </row>
    <row r="824" spans="2:32" ht="15" customHeight="1" x14ac:dyDescent="0.3">
      <c r="B824" s="2" t="s">
        <v>983</v>
      </c>
      <c r="C824" s="4" t="s">
        <v>1176</v>
      </c>
      <c r="D824" s="3" t="s">
        <v>1238</v>
      </c>
      <c r="E824" s="6" t="s">
        <v>1243</v>
      </c>
      <c r="F824" s="6" t="s">
        <v>1004</v>
      </c>
      <c r="G824" s="6" t="s">
        <v>716</v>
      </c>
      <c r="H824" s="25">
        <v>39000</v>
      </c>
      <c r="I824" s="38">
        <v>0</v>
      </c>
      <c r="J824" s="38">
        <v>0</v>
      </c>
      <c r="K824" s="39">
        <f t="shared" si="96"/>
        <v>0</v>
      </c>
      <c r="L824" s="38">
        <v>0</v>
      </c>
      <c r="M824" s="38">
        <v>0</v>
      </c>
      <c r="N824" s="39">
        <f t="shared" si="97"/>
        <v>0</v>
      </c>
      <c r="O824" s="38">
        <v>0</v>
      </c>
      <c r="P824" s="38">
        <v>0</v>
      </c>
      <c r="Q824" s="39">
        <f t="shared" si="98"/>
        <v>0</v>
      </c>
      <c r="R824" s="38">
        <v>0</v>
      </c>
      <c r="S824" s="38">
        <v>0</v>
      </c>
      <c r="T824" s="39">
        <f t="shared" si="99"/>
        <v>0</v>
      </c>
      <c r="U824" s="38">
        <v>25</v>
      </c>
      <c r="V824" s="38">
        <v>5</v>
      </c>
      <c r="W824" s="39">
        <f t="shared" si="100"/>
        <v>4875000</v>
      </c>
      <c r="X824" s="38"/>
      <c r="Y824" s="38"/>
      <c r="Z824" s="39">
        <f t="shared" si="101"/>
        <v>0</v>
      </c>
      <c r="AA824" s="38"/>
      <c r="AB824" s="38"/>
      <c r="AC824" s="39">
        <f t="shared" si="102"/>
        <v>0</v>
      </c>
      <c r="AD824" s="38"/>
      <c r="AE824" s="38"/>
      <c r="AF824" s="39">
        <f t="shared" si="103"/>
        <v>0</v>
      </c>
    </row>
    <row r="825" spans="2:32" ht="15" customHeight="1" x14ac:dyDescent="0.3">
      <c r="B825" s="2" t="s">
        <v>983</v>
      </c>
      <c r="C825" s="4" t="s">
        <v>1176</v>
      </c>
      <c r="D825" s="3" t="s">
        <v>1238</v>
      </c>
      <c r="E825" s="6" t="s">
        <v>1243</v>
      </c>
      <c r="F825" s="6" t="s">
        <v>1004</v>
      </c>
      <c r="G825" s="6" t="s">
        <v>712</v>
      </c>
      <c r="H825" s="25">
        <v>214.29</v>
      </c>
      <c r="I825" s="38">
        <v>0</v>
      </c>
      <c r="J825" s="38">
        <v>0</v>
      </c>
      <c r="K825" s="39">
        <f t="shared" si="96"/>
        <v>0</v>
      </c>
      <c r="L825" s="38">
        <v>0</v>
      </c>
      <c r="M825" s="38">
        <v>0</v>
      </c>
      <c r="N825" s="39">
        <f t="shared" si="97"/>
        <v>0</v>
      </c>
      <c r="O825" s="38">
        <v>0</v>
      </c>
      <c r="P825" s="38">
        <v>0</v>
      </c>
      <c r="Q825" s="39">
        <f t="shared" si="98"/>
        <v>0</v>
      </c>
      <c r="R825" s="38">
        <v>0</v>
      </c>
      <c r="S825" s="38">
        <v>0</v>
      </c>
      <c r="T825" s="39">
        <f t="shared" si="99"/>
        <v>0</v>
      </c>
      <c r="U825" s="38">
        <v>25</v>
      </c>
      <c r="V825" s="38">
        <v>5</v>
      </c>
      <c r="W825" s="39">
        <f t="shared" si="100"/>
        <v>26786.25</v>
      </c>
      <c r="X825" s="38"/>
      <c r="Y825" s="38"/>
      <c r="Z825" s="39">
        <f t="shared" si="101"/>
        <v>0</v>
      </c>
      <c r="AA825" s="38"/>
      <c r="AB825" s="38"/>
      <c r="AC825" s="39">
        <f t="shared" si="102"/>
        <v>0</v>
      </c>
      <c r="AD825" s="38"/>
      <c r="AE825" s="38"/>
      <c r="AF825" s="39">
        <f t="shared" si="103"/>
        <v>0</v>
      </c>
    </row>
    <row r="826" spans="2:32" ht="15" customHeight="1" x14ac:dyDescent="0.3">
      <c r="B826" s="2" t="s">
        <v>983</v>
      </c>
      <c r="C826" s="4" t="s">
        <v>1176</v>
      </c>
      <c r="D826" s="3" t="s">
        <v>1238</v>
      </c>
      <c r="E826" s="6" t="s">
        <v>1243</v>
      </c>
      <c r="F826" s="6" t="s">
        <v>1042</v>
      </c>
      <c r="G826" s="6" t="s">
        <v>841</v>
      </c>
      <c r="H826" s="25">
        <v>0</v>
      </c>
      <c r="I826" s="38">
        <v>0</v>
      </c>
      <c r="J826" s="38">
        <v>0</v>
      </c>
      <c r="K826" s="39">
        <f t="shared" si="96"/>
        <v>0</v>
      </c>
      <c r="L826" s="38">
        <v>0</v>
      </c>
      <c r="M826" s="38">
        <v>0</v>
      </c>
      <c r="N826" s="39">
        <f t="shared" si="97"/>
        <v>0</v>
      </c>
      <c r="O826" s="38">
        <v>0</v>
      </c>
      <c r="P826" s="38">
        <v>0</v>
      </c>
      <c r="Q826" s="39">
        <f t="shared" si="98"/>
        <v>0</v>
      </c>
      <c r="R826" s="38">
        <v>0</v>
      </c>
      <c r="S826" s="38">
        <v>0</v>
      </c>
      <c r="T826" s="39">
        <f t="shared" si="99"/>
        <v>0</v>
      </c>
      <c r="U826" s="38">
        <v>4000</v>
      </c>
      <c r="V826" s="38">
        <v>1</v>
      </c>
      <c r="W826" s="39">
        <f t="shared" si="100"/>
        <v>0</v>
      </c>
      <c r="X826" s="38"/>
      <c r="Y826" s="38"/>
      <c r="Z826" s="39">
        <f t="shared" si="101"/>
        <v>0</v>
      </c>
      <c r="AA826" s="38"/>
      <c r="AB826" s="38"/>
      <c r="AC826" s="39">
        <f t="shared" si="102"/>
        <v>0</v>
      </c>
      <c r="AD826" s="38"/>
      <c r="AE826" s="38"/>
      <c r="AF826" s="39">
        <f t="shared" si="103"/>
        <v>0</v>
      </c>
    </row>
    <row r="827" spans="2:32" ht="15" customHeight="1" x14ac:dyDescent="0.3">
      <c r="B827" s="2" t="s">
        <v>983</v>
      </c>
      <c r="C827" s="4" t="s">
        <v>1176</v>
      </c>
      <c r="D827" s="3" t="s">
        <v>1238</v>
      </c>
      <c r="E827" s="6" t="s">
        <v>1243</v>
      </c>
      <c r="F827" s="6" t="s">
        <v>154</v>
      </c>
      <c r="G827" s="6" t="s">
        <v>841</v>
      </c>
      <c r="H827" s="25">
        <v>0</v>
      </c>
      <c r="I827" s="38">
        <v>0</v>
      </c>
      <c r="J827" s="38">
        <v>0</v>
      </c>
      <c r="K827" s="39">
        <f t="shared" si="96"/>
        <v>0</v>
      </c>
      <c r="L827" s="38">
        <v>0</v>
      </c>
      <c r="M827" s="38">
        <v>0</v>
      </c>
      <c r="N827" s="39">
        <f t="shared" si="97"/>
        <v>0</v>
      </c>
      <c r="O827" s="38">
        <v>0</v>
      </c>
      <c r="P827" s="38">
        <v>0</v>
      </c>
      <c r="Q827" s="39">
        <f t="shared" si="98"/>
        <v>0</v>
      </c>
      <c r="R827" s="38">
        <v>0</v>
      </c>
      <c r="S827" s="38">
        <v>0</v>
      </c>
      <c r="T827" s="39">
        <f t="shared" si="99"/>
        <v>0</v>
      </c>
      <c r="U827" s="38">
        <v>0</v>
      </c>
      <c r="V827" s="38">
        <v>0</v>
      </c>
      <c r="W827" s="39">
        <f t="shared" si="100"/>
        <v>0</v>
      </c>
      <c r="X827" s="38"/>
      <c r="Y827" s="38"/>
      <c r="Z827" s="39">
        <f t="shared" si="101"/>
        <v>0</v>
      </c>
      <c r="AA827" s="38"/>
      <c r="AB827" s="38"/>
      <c r="AC827" s="39">
        <f t="shared" si="102"/>
        <v>0</v>
      </c>
      <c r="AD827" s="38"/>
      <c r="AE827" s="38"/>
      <c r="AF827" s="39">
        <f t="shared" si="103"/>
        <v>0</v>
      </c>
    </row>
    <row r="828" spans="2:32" ht="15" customHeight="1" x14ac:dyDescent="0.3">
      <c r="B828" s="2" t="s">
        <v>983</v>
      </c>
      <c r="C828" s="4" t="s">
        <v>1176</v>
      </c>
      <c r="D828" s="3" t="s">
        <v>1238</v>
      </c>
      <c r="E828" s="6" t="s">
        <v>1191</v>
      </c>
      <c r="F828" s="6" t="s">
        <v>1244</v>
      </c>
      <c r="G828" s="6" t="s">
        <v>709</v>
      </c>
      <c r="H828" s="25">
        <v>28000</v>
      </c>
      <c r="I828" s="38">
        <v>0</v>
      </c>
      <c r="J828" s="38">
        <v>0</v>
      </c>
      <c r="K828" s="39">
        <f t="shared" si="96"/>
        <v>0</v>
      </c>
      <c r="L828" s="38">
        <v>0</v>
      </c>
      <c r="M828" s="38">
        <v>0</v>
      </c>
      <c r="N828" s="39">
        <f t="shared" si="97"/>
        <v>0</v>
      </c>
      <c r="O828" s="38">
        <v>0</v>
      </c>
      <c r="P828" s="38">
        <v>0</v>
      </c>
      <c r="Q828" s="39">
        <f t="shared" si="98"/>
        <v>0</v>
      </c>
      <c r="R828" s="38">
        <v>0</v>
      </c>
      <c r="S828" s="38">
        <v>0</v>
      </c>
      <c r="T828" s="39">
        <f t="shared" si="99"/>
        <v>0</v>
      </c>
      <c r="U828" s="38">
        <v>0</v>
      </c>
      <c r="V828" s="38">
        <v>0</v>
      </c>
      <c r="W828" s="39">
        <f t="shared" si="100"/>
        <v>0</v>
      </c>
      <c r="X828" s="38"/>
      <c r="Y828" s="38"/>
      <c r="Z828" s="39">
        <f t="shared" si="101"/>
        <v>0</v>
      </c>
      <c r="AA828" s="38"/>
      <c r="AB828" s="38"/>
      <c r="AC828" s="39">
        <f t="shared" si="102"/>
        <v>0</v>
      </c>
      <c r="AD828" s="38"/>
      <c r="AE828" s="38"/>
      <c r="AF828" s="39">
        <f t="shared" si="103"/>
        <v>0</v>
      </c>
    </row>
    <row r="829" spans="2:32" ht="15" customHeight="1" x14ac:dyDescent="0.3">
      <c r="B829" s="2" t="s">
        <v>983</v>
      </c>
      <c r="C829" s="4" t="s">
        <v>1176</v>
      </c>
      <c r="D829" s="3" t="s">
        <v>1238</v>
      </c>
      <c r="E829" s="6" t="s">
        <v>1191</v>
      </c>
      <c r="F829" s="6" t="s">
        <v>1192</v>
      </c>
      <c r="G829" s="6" t="s">
        <v>841</v>
      </c>
      <c r="H829" s="25">
        <v>0</v>
      </c>
      <c r="I829" s="38">
        <v>0</v>
      </c>
      <c r="J829" s="38">
        <v>0</v>
      </c>
      <c r="K829" s="39">
        <f t="shared" si="96"/>
        <v>0</v>
      </c>
      <c r="L829" s="38">
        <v>0</v>
      </c>
      <c r="M829" s="38">
        <v>0</v>
      </c>
      <c r="N829" s="39">
        <f t="shared" si="97"/>
        <v>0</v>
      </c>
      <c r="O829" s="38">
        <v>20</v>
      </c>
      <c r="P829" s="38">
        <v>1</v>
      </c>
      <c r="Q829" s="39">
        <f t="shared" si="98"/>
        <v>0</v>
      </c>
      <c r="R829" s="38">
        <v>0</v>
      </c>
      <c r="S829" s="38">
        <v>0</v>
      </c>
      <c r="T829" s="39">
        <f t="shared" si="99"/>
        <v>0</v>
      </c>
      <c r="U829" s="38">
        <v>0</v>
      </c>
      <c r="V829" s="38">
        <v>0</v>
      </c>
      <c r="W829" s="39">
        <f t="shared" si="100"/>
        <v>0</v>
      </c>
      <c r="X829" s="38"/>
      <c r="Y829" s="38"/>
      <c r="Z829" s="39">
        <f t="shared" si="101"/>
        <v>0</v>
      </c>
      <c r="AA829" s="38"/>
      <c r="AB829" s="38"/>
      <c r="AC829" s="39">
        <f t="shared" si="102"/>
        <v>0</v>
      </c>
      <c r="AD829" s="38"/>
      <c r="AE829" s="38"/>
      <c r="AF829" s="39">
        <f t="shared" si="103"/>
        <v>0</v>
      </c>
    </row>
    <row r="830" spans="2:32" ht="15" customHeight="1" x14ac:dyDescent="0.3">
      <c r="B830" s="2" t="s">
        <v>983</v>
      </c>
      <c r="C830" s="4" t="s">
        <v>1176</v>
      </c>
      <c r="D830" s="3" t="s">
        <v>1238</v>
      </c>
      <c r="E830" s="6" t="s">
        <v>1191</v>
      </c>
      <c r="F830" s="6" t="s">
        <v>1245</v>
      </c>
      <c r="G830" s="6" t="s">
        <v>841</v>
      </c>
      <c r="H830" s="25">
        <v>0</v>
      </c>
      <c r="I830" s="38">
        <v>0</v>
      </c>
      <c r="J830" s="38">
        <v>0</v>
      </c>
      <c r="K830" s="39">
        <f t="shared" si="96"/>
        <v>0</v>
      </c>
      <c r="L830" s="38">
        <v>0</v>
      </c>
      <c r="M830" s="38">
        <v>0</v>
      </c>
      <c r="N830" s="39">
        <f t="shared" si="97"/>
        <v>0</v>
      </c>
      <c r="O830" s="38">
        <v>0</v>
      </c>
      <c r="P830" s="38">
        <v>0</v>
      </c>
      <c r="Q830" s="39">
        <f t="shared" si="98"/>
        <v>0</v>
      </c>
      <c r="R830" s="38">
        <v>0</v>
      </c>
      <c r="S830" s="38">
        <v>0</v>
      </c>
      <c r="T830" s="39">
        <f t="shared" si="99"/>
        <v>0</v>
      </c>
      <c r="U830" s="38">
        <v>0</v>
      </c>
      <c r="V830" s="38">
        <v>0</v>
      </c>
      <c r="W830" s="39">
        <f t="shared" si="100"/>
        <v>0</v>
      </c>
      <c r="X830" s="38"/>
      <c r="Y830" s="38"/>
      <c r="Z830" s="39">
        <f t="shared" si="101"/>
        <v>0</v>
      </c>
      <c r="AA830" s="38"/>
      <c r="AB830" s="38"/>
      <c r="AC830" s="39">
        <f t="shared" si="102"/>
        <v>0</v>
      </c>
      <c r="AD830" s="38"/>
      <c r="AE830" s="38"/>
      <c r="AF830" s="39">
        <f t="shared" si="103"/>
        <v>0</v>
      </c>
    </row>
    <row r="831" spans="2:32" ht="15" customHeight="1" x14ac:dyDescent="0.3">
      <c r="B831" s="2" t="s">
        <v>983</v>
      </c>
      <c r="C831" s="4" t="s">
        <v>1176</v>
      </c>
      <c r="D831" s="3" t="s">
        <v>1238</v>
      </c>
      <c r="E831" s="6" t="s">
        <v>1191</v>
      </c>
      <c r="F831" s="6" t="s">
        <v>1246</v>
      </c>
      <c r="G831" s="6" t="s">
        <v>718</v>
      </c>
      <c r="H831" s="25">
        <v>0</v>
      </c>
      <c r="I831" s="38">
        <v>0</v>
      </c>
      <c r="J831" s="38">
        <v>0</v>
      </c>
      <c r="K831" s="39">
        <f t="shared" si="96"/>
        <v>0</v>
      </c>
      <c r="L831" s="38">
        <v>0</v>
      </c>
      <c r="M831" s="38">
        <v>0</v>
      </c>
      <c r="N831" s="39">
        <f t="shared" si="97"/>
        <v>0</v>
      </c>
      <c r="O831" s="38">
        <v>0</v>
      </c>
      <c r="P831" s="38">
        <v>0</v>
      </c>
      <c r="Q831" s="39">
        <f t="shared" si="98"/>
        <v>0</v>
      </c>
      <c r="R831" s="38">
        <v>0</v>
      </c>
      <c r="S831" s="38">
        <v>0</v>
      </c>
      <c r="T831" s="39">
        <f t="shared" si="99"/>
        <v>0</v>
      </c>
      <c r="U831" s="38">
        <v>0</v>
      </c>
      <c r="V831" s="38">
        <v>0</v>
      </c>
      <c r="W831" s="39">
        <f t="shared" si="100"/>
        <v>0</v>
      </c>
      <c r="X831" s="38"/>
      <c r="Y831" s="38"/>
      <c r="Z831" s="39">
        <f t="shared" si="101"/>
        <v>0</v>
      </c>
      <c r="AA831" s="38"/>
      <c r="AB831" s="38"/>
      <c r="AC831" s="39">
        <f t="shared" si="102"/>
        <v>0</v>
      </c>
      <c r="AD831" s="38"/>
      <c r="AE831" s="38"/>
      <c r="AF831" s="39">
        <f t="shared" si="103"/>
        <v>0</v>
      </c>
    </row>
    <row r="832" spans="2:32" ht="15" customHeight="1" x14ac:dyDescent="0.3">
      <c r="B832" s="2" t="s">
        <v>983</v>
      </c>
      <c r="C832" s="4" t="s">
        <v>1176</v>
      </c>
      <c r="D832" s="3" t="s">
        <v>1238</v>
      </c>
      <c r="E832" s="6" t="s">
        <v>1195</v>
      </c>
      <c r="F832" s="6" t="s">
        <v>1247</v>
      </c>
      <c r="G832" s="6" t="s">
        <v>718</v>
      </c>
      <c r="H832" s="25">
        <v>0</v>
      </c>
      <c r="I832" s="38">
        <v>0</v>
      </c>
      <c r="J832" s="38">
        <v>0</v>
      </c>
      <c r="K832" s="39">
        <f t="shared" si="96"/>
        <v>0</v>
      </c>
      <c r="L832" s="38">
        <v>0</v>
      </c>
      <c r="M832" s="38">
        <v>0</v>
      </c>
      <c r="N832" s="39">
        <f t="shared" si="97"/>
        <v>0</v>
      </c>
      <c r="O832" s="38">
        <v>0</v>
      </c>
      <c r="P832" s="38">
        <v>0</v>
      </c>
      <c r="Q832" s="39">
        <f t="shared" si="98"/>
        <v>0</v>
      </c>
      <c r="R832" s="38">
        <v>0</v>
      </c>
      <c r="S832" s="38">
        <v>0</v>
      </c>
      <c r="T832" s="39">
        <f t="shared" si="99"/>
        <v>0</v>
      </c>
      <c r="U832" s="38">
        <v>0</v>
      </c>
      <c r="V832" s="38">
        <v>0</v>
      </c>
      <c r="W832" s="39">
        <f t="shared" si="100"/>
        <v>0</v>
      </c>
      <c r="X832" s="38"/>
      <c r="Y832" s="38"/>
      <c r="Z832" s="39">
        <f t="shared" si="101"/>
        <v>0</v>
      </c>
      <c r="AA832" s="38"/>
      <c r="AB832" s="38"/>
      <c r="AC832" s="39">
        <f t="shared" si="102"/>
        <v>0</v>
      </c>
      <c r="AD832" s="38"/>
      <c r="AE832" s="38"/>
      <c r="AF832" s="39">
        <f t="shared" si="103"/>
        <v>0</v>
      </c>
    </row>
    <row r="833" spans="2:32" ht="15" customHeight="1" x14ac:dyDescent="0.3">
      <c r="B833" s="2" t="s">
        <v>983</v>
      </c>
      <c r="C833" s="4" t="s">
        <v>1176</v>
      </c>
      <c r="D833" s="3" t="s">
        <v>1238</v>
      </c>
      <c r="E833" s="6" t="s">
        <v>1195</v>
      </c>
      <c r="F833" s="6" t="s">
        <v>1248</v>
      </c>
      <c r="G833" s="6" t="s">
        <v>707</v>
      </c>
      <c r="H833" s="25">
        <v>391991.03749999998</v>
      </c>
      <c r="I833" s="38">
        <v>0</v>
      </c>
      <c r="J833" s="38">
        <v>0</v>
      </c>
      <c r="K833" s="39">
        <f t="shared" si="96"/>
        <v>0</v>
      </c>
      <c r="L833" s="38">
        <v>0</v>
      </c>
      <c r="M833" s="38">
        <v>0</v>
      </c>
      <c r="N833" s="39">
        <f t="shared" si="97"/>
        <v>0</v>
      </c>
      <c r="O833" s="38">
        <v>0</v>
      </c>
      <c r="P833" s="38">
        <v>0</v>
      </c>
      <c r="Q833" s="39">
        <f t="shared" si="98"/>
        <v>0</v>
      </c>
      <c r="R833" s="38">
        <v>0</v>
      </c>
      <c r="S833" s="38">
        <v>0</v>
      </c>
      <c r="T833" s="39">
        <f t="shared" si="99"/>
        <v>0</v>
      </c>
      <c r="U833" s="38">
        <v>0</v>
      </c>
      <c r="V833" s="38">
        <v>0</v>
      </c>
      <c r="W833" s="39">
        <f t="shared" si="100"/>
        <v>0</v>
      </c>
      <c r="X833" s="38"/>
      <c r="Y833" s="38"/>
      <c r="Z833" s="39">
        <f t="shared" si="101"/>
        <v>0</v>
      </c>
      <c r="AA833" s="38"/>
      <c r="AB833" s="38"/>
      <c r="AC833" s="39">
        <f t="shared" si="102"/>
        <v>0</v>
      </c>
      <c r="AD833" s="38"/>
      <c r="AE833" s="38"/>
      <c r="AF833" s="39">
        <f t="shared" si="103"/>
        <v>0</v>
      </c>
    </row>
    <row r="834" spans="2:32" ht="15" customHeight="1" x14ac:dyDescent="0.3">
      <c r="B834" s="2" t="s">
        <v>983</v>
      </c>
      <c r="C834" s="4" t="s">
        <v>1176</v>
      </c>
      <c r="D834" s="3" t="s">
        <v>1238</v>
      </c>
      <c r="E834" s="6" t="s">
        <v>1195</v>
      </c>
      <c r="F834" s="6" t="s">
        <v>1196</v>
      </c>
      <c r="G834" s="6" t="s">
        <v>841</v>
      </c>
      <c r="H834" s="25">
        <v>0</v>
      </c>
      <c r="I834" s="38">
        <v>0</v>
      </c>
      <c r="J834" s="38">
        <v>0</v>
      </c>
      <c r="K834" s="39">
        <f t="shared" si="96"/>
        <v>0</v>
      </c>
      <c r="L834" s="38">
        <v>0</v>
      </c>
      <c r="M834" s="38">
        <v>0</v>
      </c>
      <c r="N834" s="39">
        <f t="shared" si="97"/>
        <v>0</v>
      </c>
      <c r="O834" s="38">
        <v>1</v>
      </c>
      <c r="P834" s="38">
        <v>4</v>
      </c>
      <c r="Q834" s="39">
        <f t="shared" si="98"/>
        <v>0</v>
      </c>
      <c r="R834" s="38">
        <v>0</v>
      </c>
      <c r="S834" s="38">
        <v>0</v>
      </c>
      <c r="T834" s="39">
        <f t="shared" si="99"/>
        <v>0</v>
      </c>
      <c r="U834" s="38">
        <v>0</v>
      </c>
      <c r="V834" s="38">
        <v>0</v>
      </c>
      <c r="W834" s="39">
        <f t="shared" si="100"/>
        <v>0</v>
      </c>
      <c r="X834" s="38"/>
      <c r="Y834" s="38"/>
      <c r="Z834" s="39">
        <f t="shared" si="101"/>
        <v>0</v>
      </c>
      <c r="AA834" s="38"/>
      <c r="AB834" s="38"/>
      <c r="AC834" s="39">
        <f t="shared" si="102"/>
        <v>0</v>
      </c>
      <c r="AD834" s="38"/>
      <c r="AE834" s="38"/>
      <c r="AF834" s="39">
        <f t="shared" si="103"/>
        <v>0</v>
      </c>
    </row>
    <row r="835" spans="2:32" ht="15" customHeight="1" x14ac:dyDescent="0.3">
      <c r="B835" s="2" t="s">
        <v>983</v>
      </c>
      <c r="C835" s="4" t="s">
        <v>1176</v>
      </c>
      <c r="D835" s="3" t="s">
        <v>1238</v>
      </c>
      <c r="E835" s="6" t="s">
        <v>1195</v>
      </c>
      <c r="F835" s="6" t="s">
        <v>1197</v>
      </c>
      <c r="G835" s="6" t="s">
        <v>841</v>
      </c>
      <c r="H835" s="25">
        <v>0</v>
      </c>
      <c r="I835" s="38">
        <v>0</v>
      </c>
      <c r="J835" s="38">
        <v>0</v>
      </c>
      <c r="K835" s="39">
        <f t="shared" ref="K835:K898" si="104">H835*I835*J835</f>
        <v>0</v>
      </c>
      <c r="L835" s="38">
        <v>0</v>
      </c>
      <c r="M835" s="38">
        <v>0</v>
      </c>
      <c r="N835" s="39">
        <f t="shared" ref="N835:N898" si="105">H835*L835*M835</f>
        <v>0</v>
      </c>
      <c r="O835" s="38">
        <v>0</v>
      </c>
      <c r="P835" s="38">
        <v>0</v>
      </c>
      <c r="Q835" s="39">
        <f t="shared" ref="Q835:Q898" si="106">H835*O835*P835</f>
        <v>0</v>
      </c>
      <c r="R835" s="38">
        <v>0</v>
      </c>
      <c r="S835" s="38">
        <v>0</v>
      </c>
      <c r="T835" s="39">
        <f t="shared" ref="T835:T898" si="107">H835*R835*S835</f>
        <v>0</v>
      </c>
      <c r="U835" s="38">
        <v>0</v>
      </c>
      <c r="V835" s="38">
        <v>0</v>
      </c>
      <c r="W835" s="39">
        <f t="shared" ref="W835:W898" si="108">H835*U835*V835</f>
        <v>0</v>
      </c>
      <c r="X835" s="38"/>
      <c r="Y835" s="38"/>
      <c r="Z835" s="39">
        <f t="shared" ref="Z835:Z898" si="109">H835*X835*Y835</f>
        <v>0</v>
      </c>
      <c r="AA835" s="38"/>
      <c r="AB835" s="38"/>
      <c r="AC835" s="39">
        <f t="shared" ref="AC835:AC898" si="110">H835*AA835*AB835</f>
        <v>0</v>
      </c>
      <c r="AD835" s="38"/>
      <c r="AE835" s="38"/>
      <c r="AF835" s="39">
        <f t="shared" ref="AF835:AF898" si="111">H835*AD835*AE835</f>
        <v>0</v>
      </c>
    </row>
    <row r="836" spans="2:32" ht="15" customHeight="1" x14ac:dyDescent="0.3">
      <c r="B836" s="2" t="s">
        <v>983</v>
      </c>
      <c r="C836" s="4" t="s">
        <v>1176</v>
      </c>
      <c r="D836" s="3" t="s">
        <v>1238</v>
      </c>
      <c r="E836" s="6" t="s">
        <v>1249</v>
      </c>
      <c r="F836" s="6" t="s">
        <v>1250</v>
      </c>
      <c r="G836" s="6" t="s">
        <v>709</v>
      </c>
      <c r="H836" s="25">
        <v>28000</v>
      </c>
      <c r="I836" s="38">
        <v>0</v>
      </c>
      <c r="J836" s="38">
        <v>0</v>
      </c>
      <c r="K836" s="39">
        <f t="shared" si="104"/>
        <v>0</v>
      </c>
      <c r="L836" s="38">
        <v>0</v>
      </c>
      <c r="M836" s="38">
        <v>0</v>
      </c>
      <c r="N836" s="39">
        <f t="shared" si="105"/>
        <v>0</v>
      </c>
      <c r="O836" s="38">
        <v>0</v>
      </c>
      <c r="P836" s="38">
        <v>0</v>
      </c>
      <c r="Q836" s="39">
        <f t="shared" si="106"/>
        <v>0</v>
      </c>
      <c r="R836" s="38">
        <v>0</v>
      </c>
      <c r="S836" s="38">
        <v>0</v>
      </c>
      <c r="T836" s="39">
        <f t="shared" si="107"/>
        <v>0</v>
      </c>
      <c r="U836" s="38">
        <v>0</v>
      </c>
      <c r="V836" s="38">
        <v>0</v>
      </c>
      <c r="W836" s="39">
        <f t="shared" si="108"/>
        <v>0</v>
      </c>
      <c r="X836" s="38"/>
      <c r="Y836" s="38"/>
      <c r="Z836" s="39">
        <f t="shared" si="109"/>
        <v>0</v>
      </c>
      <c r="AA836" s="38"/>
      <c r="AB836" s="38"/>
      <c r="AC836" s="39">
        <f t="shared" si="110"/>
        <v>0</v>
      </c>
      <c r="AD836" s="38"/>
      <c r="AE836" s="38"/>
      <c r="AF836" s="39">
        <f t="shared" si="111"/>
        <v>0</v>
      </c>
    </row>
    <row r="837" spans="2:32" ht="15" customHeight="1" x14ac:dyDescent="0.3">
      <c r="B837" s="2" t="s">
        <v>983</v>
      </c>
      <c r="C837" s="4" t="s">
        <v>1176</v>
      </c>
      <c r="D837" s="3" t="s">
        <v>1238</v>
      </c>
      <c r="E837" s="6" t="s">
        <v>1251</v>
      </c>
      <c r="F837" s="6" t="s">
        <v>1203</v>
      </c>
      <c r="G837" s="6" t="s">
        <v>841</v>
      </c>
      <c r="H837" s="25">
        <v>0</v>
      </c>
      <c r="I837" s="38">
        <v>20</v>
      </c>
      <c r="J837" s="38">
        <v>4</v>
      </c>
      <c r="K837" s="39">
        <f t="shared" si="104"/>
        <v>0</v>
      </c>
      <c r="L837" s="38">
        <v>20</v>
      </c>
      <c r="M837" s="38">
        <v>4</v>
      </c>
      <c r="N837" s="39">
        <f t="shared" si="105"/>
        <v>0</v>
      </c>
      <c r="O837" s="38">
        <v>20</v>
      </c>
      <c r="P837" s="38">
        <v>4</v>
      </c>
      <c r="Q837" s="39">
        <f t="shared" si="106"/>
        <v>0</v>
      </c>
      <c r="R837" s="38">
        <v>20</v>
      </c>
      <c r="S837" s="38">
        <v>4</v>
      </c>
      <c r="T837" s="39">
        <f t="shared" si="107"/>
        <v>0</v>
      </c>
      <c r="U837" s="38">
        <v>20</v>
      </c>
      <c r="V837" s="38">
        <v>4</v>
      </c>
      <c r="W837" s="39">
        <f t="shared" si="108"/>
        <v>0</v>
      </c>
      <c r="X837" s="38"/>
      <c r="Y837" s="38"/>
      <c r="Z837" s="39">
        <f t="shared" si="109"/>
        <v>0</v>
      </c>
      <c r="AA837" s="38"/>
      <c r="AB837" s="38"/>
      <c r="AC837" s="39">
        <f t="shared" si="110"/>
        <v>0</v>
      </c>
      <c r="AD837" s="38"/>
      <c r="AE837" s="38"/>
      <c r="AF837" s="39">
        <f t="shared" si="111"/>
        <v>0</v>
      </c>
    </row>
    <row r="838" spans="2:32" ht="15" customHeight="1" x14ac:dyDescent="0.3">
      <c r="B838" s="2" t="s">
        <v>983</v>
      </c>
      <c r="C838" s="4" t="s">
        <v>1176</v>
      </c>
      <c r="D838" s="3" t="s">
        <v>1238</v>
      </c>
      <c r="E838" s="6" t="s">
        <v>1251</v>
      </c>
      <c r="F838" s="6" t="s">
        <v>1204</v>
      </c>
      <c r="G838" s="6" t="s">
        <v>841</v>
      </c>
      <c r="H838" s="25">
        <v>0</v>
      </c>
      <c r="I838" s="38">
        <v>0</v>
      </c>
      <c r="J838" s="38">
        <v>0</v>
      </c>
      <c r="K838" s="39">
        <f t="shared" si="104"/>
        <v>0</v>
      </c>
      <c r="L838" s="38">
        <v>0</v>
      </c>
      <c r="M838" s="38">
        <v>0</v>
      </c>
      <c r="N838" s="39">
        <f t="shared" si="105"/>
        <v>0</v>
      </c>
      <c r="O838" s="38">
        <v>0</v>
      </c>
      <c r="P838" s="38">
        <v>0</v>
      </c>
      <c r="Q838" s="39">
        <f t="shared" si="106"/>
        <v>0</v>
      </c>
      <c r="R838" s="38">
        <v>0</v>
      </c>
      <c r="S838" s="38">
        <v>0</v>
      </c>
      <c r="T838" s="39">
        <f t="shared" si="107"/>
        <v>0</v>
      </c>
      <c r="U838" s="38">
        <v>0</v>
      </c>
      <c r="V838" s="38">
        <v>0</v>
      </c>
      <c r="W838" s="39">
        <f t="shared" si="108"/>
        <v>0</v>
      </c>
      <c r="X838" s="38"/>
      <c r="Y838" s="38"/>
      <c r="Z838" s="39">
        <f t="shared" si="109"/>
        <v>0</v>
      </c>
      <c r="AA838" s="38"/>
      <c r="AB838" s="38"/>
      <c r="AC838" s="39">
        <f t="shared" si="110"/>
        <v>0</v>
      </c>
      <c r="AD838" s="38"/>
      <c r="AE838" s="38"/>
      <c r="AF838" s="39">
        <f t="shared" si="111"/>
        <v>0</v>
      </c>
    </row>
    <row r="839" spans="2:32" ht="15" customHeight="1" x14ac:dyDescent="0.3">
      <c r="B839" s="2" t="s">
        <v>983</v>
      </c>
      <c r="C839" s="4" t="s">
        <v>1176</v>
      </c>
      <c r="D839" s="3" t="s">
        <v>1238</v>
      </c>
      <c r="E839" s="6" t="s">
        <v>1252</v>
      </c>
      <c r="F839" s="6" t="s">
        <v>169</v>
      </c>
      <c r="G839" s="6" t="s">
        <v>841</v>
      </c>
      <c r="H839" s="25">
        <v>0</v>
      </c>
      <c r="I839" s="38">
        <v>0</v>
      </c>
      <c r="J839" s="38">
        <v>0</v>
      </c>
      <c r="K839" s="39">
        <f t="shared" si="104"/>
        <v>0</v>
      </c>
      <c r="L839" s="38">
        <v>0</v>
      </c>
      <c r="M839" s="38">
        <v>0</v>
      </c>
      <c r="N839" s="39">
        <f t="shared" si="105"/>
        <v>0</v>
      </c>
      <c r="O839" s="38">
        <v>0</v>
      </c>
      <c r="P839" s="38">
        <v>0</v>
      </c>
      <c r="Q839" s="39">
        <f t="shared" si="106"/>
        <v>0</v>
      </c>
      <c r="R839" s="38">
        <v>0</v>
      </c>
      <c r="S839" s="38">
        <v>0</v>
      </c>
      <c r="T839" s="39">
        <f t="shared" si="107"/>
        <v>0</v>
      </c>
      <c r="U839" s="38">
        <v>0</v>
      </c>
      <c r="V839" s="38">
        <v>0</v>
      </c>
      <c r="W839" s="39">
        <f t="shared" si="108"/>
        <v>0</v>
      </c>
      <c r="X839" s="38"/>
      <c r="Y839" s="38"/>
      <c r="Z839" s="39">
        <f t="shared" si="109"/>
        <v>0</v>
      </c>
      <c r="AA839" s="38"/>
      <c r="AB839" s="38"/>
      <c r="AC839" s="39">
        <f t="shared" si="110"/>
        <v>0</v>
      </c>
      <c r="AD839" s="38"/>
      <c r="AE839" s="38"/>
      <c r="AF839" s="39">
        <f t="shared" si="111"/>
        <v>0</v>
      </c>
    </row>
    <row r="840" spans="2:32" ht="15" customHeight="1" x14ac:dyDescent="0.3">
      <c r="B840" s="2" t="s">
        <v>983</v>
      </c>
      <c r="C840" s="4" t="s">
        <v>1176</v>
      </c>
      <c r="D840" s="3" t="s">
        <v>1238</v>
      </c>
      <c r="E840" s="6" t="s">
        <v>1252</v>
      </c>
      <c r="F840" s="6" t="s">
        <v>1025</v>
      </c>
      <c r="G840" s="6" t="s">
        <v>841</v>
      </c>
      <c r="H840" s="25">
        <v>0</v>
      </c>
      <c r="I840" s="38">
        <v>0</v>
      </c>
      <c r="J840" s="38">
        <v>0</v>
      </c>
      <c r="K840" s="39">
        <f t="shared" si="104"/>
        <v>0</v>
      </c>
      <c r="L840" s="38">
        <v>0</v>
      </c>
      <c r="M840" s="38">
        <v>0</v>
      </c>
      <c r="N840" s="39">
        <f t="shared" si="105"/>
        <v>0</v>
      </c>
      <c r="O840" s="38">
        <v>0</v>
      </c>
      <c r="P840" s="38">
        <v>0</v>
      </c>
      <c r="Q840" s="39">
        <f t="shared" si="106"/>
        <v>0</v>
      </c>
      <c r="R840" s="38">
        <v>0</v>
      </c>
      <c r="S840" s="38">
        <v>0</v>
      </c>
      <c r="T840" s="39">
        <f t="shared" si="107"/>
        <v>0</v>
      </c>
      <c r="U840" s="38">
        <v>0</v>
      </c>
      <c r="V840" s="38">
        <v>0</v>
      </c>
      <c r="W840" s="39">
        <f t="shared" si="108"/>
        <v>0</v>
      </c>
      <c r="X840" s="38"/>
      <c r="Y840" s="38"/>
      <c r="Z840" s="39">
        <f t="shared" si="109"/>
        <v>0</v>
      </c>
      <c r="AA840" s="38"/>
      <c r="AB840" s="38"/>
      <c r="AC840" s="39">
        <f t="shared" si="110"/>
        <v>0</v>
      </c>
      <c r="AD840" s="38"/>
      <c r="AE840" s="38"/>
      <c r="AF840" s="39">
        <f t="shared" si="111"/>
        <v>0</v>
      </c>
    </row>
    <row r="841" spans="2:32" ht="15" customHeight="1" x14ac:dyDescent="0.3">
      <c r="B841" s="2" t="s">
        <v>983</v>
      </c>
      <c r="C841" s="4" t="s">
        <v>1176</v>
      </c>
      <c r="D841" s="3" t="s">
        <v>1238</v>
      </c>
      <c r="E841" s="6" t="s">
        <v>1252</v>
      </c>
      <c r="F841" s="6" t="s">
        <v>149</v>
      </c>
      <c r="G841" s="6" t="s">
        <v>707</v>
      </c>
      <c r="H841" s="25">
        <v>391991.03749999998</v>
      </c>
      <c r="I841" s="38">
        <v>0</v>
      </c>
      <c r="J841" s="38">
        <v>0</v>
      </c>
      <c r="K841" s="39">
        <f t="shared" si="104"/>
        <v>0</v>
      </c>
      <c r="L841" s="38">
        <v>0</v>
      </c>
      <c r="M841" s="38">
        <v>0</v>
      </c>
      <c r="N841" s="39">
        <f t="shared" si="105"/>
        <v>0</v>
      </c>
      <c r="O841" s="38">
        <v>0</v>
      </c>
      <c r="P841" s="38">
        <v>0</v>
      </c>
      <c r="Q841" s="39">
        <f t="shared" si="106"/>
        <v>0</v>
      </c>
      <c r="R841" s="38">
        <v>0</v>
      </c>
      <c r="S841" s="38">
        <v>0</v>
      </c>
      <c r="T841" s="39">
        <f t="shared" si="107"/>
        <v>0</v>
      </c>
      <c r="U841" s="38">
        <v>0</v>
      </c>
      <c r="V841" s="38">
        <v>0</v>
      </c>
      <c r="W841" s="39">
        <f t="shared" si="108"/>
        <v>0</v>
      </c>
      <c r="X841" s="38"/>
      <c r="Y841" s="38"/>
      <c r="Z841" s="39">
        <f t="shared" si="109"/>
        <v>0</v>
      </c>
      <c r="AA841" s="38"/>
      <c r="AB841" s="38"/>
      <c r="AC841" s="39">
        <f t="shared" si="110"/>
        <v>0</v>
      </c>
      <c r="AD841" s="38"/>
      <c r="AE841" s="38"/>
      <c r="AF841" s="39">
        <f t="shared" si="111"/>
        <v>0</v>
      </c>
    </row>
    <row r="842" spans="2:32" ht="15" customHeight="1" x14ac:dyDescent="0.3">
      <c r="B842" s="2" t="s">
        <v>983</v>
      </c>
      <c r="C842" s="4" t="s">
        <v>1176</v>
      </c>
      <c r="D842" s="3" t="s">
        <v>1238</v>
      </c>
      <c r="E842" s="6" t="s">
        <v>1252</v>
      </c>
      <c r="F842" s="6" t="s">
        <v>149</v>
      </c>
      <c r="G842" s="6" t="s">
        <v>708</v>
      </c>
      <c r="H842" s="25">
        <v>425000</v>
      </c>
      <c r="I842" s="38">
        <v>0</v>
      </c>
      <c r="J842" s="38">
        <v>0</v>
      </c>
      <c r="K842" s="39">
        <f t="shared" si="104"/>
        <v>0</v>
      </c>
      <c r="L842" s="38">
        <v>1</v>
      </c>
      <c r="M842" s="38">
        <v>4</v>
      </c>
      <c r="N842" s="39">
        <f t="shared" si="105"/>
        <v>1700000</v>
      </c>
      <c r="O842" s="38">
        <v>0</v>
      </c>
      <c r="P842" s="38">
        <v>0</v>
      </c>
      <c r="Q842" s="39">
        <f t="shared" si="106"/>
        <v>0</v>
      </c>
      <c r="R842" s="38">
        <v>0</v>
      </c>
      <c r="S842" s="38">
        <v>0</v>
      </c>
      <c r="T842" s="39">
        <f t="shared" si="107"/>
        <v>0</v>
      </c>
      <c r="U842" s="38">
        <v>0</v>
      </c>
      <c r="V842" s="38">
        <v>0</v>
      </c>
      <c r="W842" s="39">
        <f t="shared" si="108"/>
        <v>0</v>
      </c>
      <c r="X842" s="38"/>
      <c r="Y842" s="38"/>
      <c r="Z842" s="39">
        <f t="shared" si="109"/>
        <v>0</v>
      </c>
      <c r="AA842" s="38"/>
      <c r="AB842" s="38"/>
      <c r="AC842" s="39">
        <f t="shared" si="110"/>
        <v>0</v>
      </c>
      <c r="AD842" s="38"/>
      <c r="AE842" s="38"/>
      <c r="AF842" s="39">
        <f t="shared" si="111"/>
        <v>0</v>
      </c>
    </row>
    <row r="843" spans="2:32" ht="15" customHeight="1" x14ac:dyDescent="0.3">
      <c r="B843" s="2" t="s">
        <v>983</v>
      </c>
      <c r="C843" s="4" t="s">
        <v>1176</v>
      </c>
      <c r="D843" s="3" t="s">
        <v>1238</v>
      </c>
      <c r="E843" s="6" t="s">
        <v>1252</v>
      </c>
      <c r="F843" s="6" t="s">
        <v>1181</v>
      </c>
      <c r="G843" s="6" t="s">
        <v>841</v>
      </c>
      <c r="H843" s="25">
        <v>0</v>
      </c>
      <c r="I843" s="38">
        <v>0</v>
      </c>
      <c r="J843" s="38">
        <v>0</v>
      </c>
      <c r="K843" s="39">
        <f t="shared" si="104"/>
        <v>0</v>
      </c>
      <c r="L843" s="38">
        <v>1</v>
      </c>
      <c r="M843" s="38">
        <v>40</v>
      </c>
      <c r="N843" s="39">
        <f t="shared" si="105"/>
        <v>0</v>
      </c>
      <c r="O843" s="38">
        <v>1</v>
      </c>
      <c r="P843" s="38">
        <v>40</v>
      </c>
      <c r="Q843" s="39">
        <f t="shared" si="106"/>
        <v>0</v>
      </c>
      <c r="R843" s="38">
        <v>1</v>
      </c>
      <c r="S843" s="38">
        <v>40</v>
      </c>
      <c r="T843" s="39">
        <f t="shared" si="107"/>
        <v>0</v>
      </c>
      <c r="U843" s="38">
        <v>1</v>
      </c>
      <c r="V843" s="38">
        <v>40</v>
      </c>
      <c r="W843" s="39">
        <f t="shared" si="108"/>
        <v>0</v>
      </c>
      <c r="X843" s="38"/>
      <c r="Y843" s="38"/>
      <c r="Z843" s="39">
        <f t="shared" si="109"/>
        <v>0</v>
      </c>
      <c r="AA843" s="38"/>
      <c r="AB843" s="38"/>
      <c r="AC843" s="39">
        <f t="shared" si="110"/>
        <v>0</v>
      </c>
      <c r="AD843" s="38"/>
      <c r="AE843" s="38"/>
      <c r="AF843" s="39">
        <f t="shared" si="111"/>
        <v>0</v>
      </c>
    </row>
    <row r="844" spans="2:32" ht="15" customHeight="1" x14ac:dyDescent="0.3">
      <c r="B844" s="2" t="s">
        <v>983</v>
      </c>
      <c r="C844" s="4" t="s">
        <v>1176</v>
      </c>
      <c r="D844" s="3" t="s">
        <v>1238</v>
      </c>
      <c r="E844" s="6" t="s">
        <v>1252</v>
      </c>
      <c r="F844" s="6" t="s">
        <v>1015</v>
      </c>
      <c r="G844" s="6" t="s">
        <v>709</v>
      </c>
      <c r="H844" s="25">
        <v>28000</v>
      </c>
      <c r="I844" s="38">
        <v>0</v>
      </c>
      <c r="J844" s="38">
        <v>0</v>
      </c>
      <c r="K844" s="39">
        <f t="shared" si="104"/>
        <v>0</v>
      </c>
      <c r="L844" s="38">
        <v>0</v>
      </c>
      <c r="M844" s="38">
        <v>0</v>
      </c>
      <c r="N844" s="39">
        <f t="shared" si="105"/>
        <v>0</v>
      </c>
      <c r="O844" s="38">
        <v>0</v>
      </c>
      <c r="P844" s="38">
        <v>0</v>
      </c>
      <c r="Q844" s="39">
        <f t="shared" si="106"/>
        <v>0</v>
      </c>
      <c r="R844" s="38">
        <v>0</v>
      </c>
      <c r="S844" s="38">
        <v>0</v>
      </c>
      <c r="T844" s="39">
        <f t="shared" si="107"/>
        <v>0</v>
      </c>
      <c r="U844" s="38">
        <v>0</v>
      </c>
      <c r="V844" s="38">
        <v>0</v>
      </c>
      <c r="W844" s="39">
        <f t="shared" si="108"/>
        <v>0</v>
      </c>
      <c r="X844" s="38"/>
      <c r="Y844" s="38"/>
      <c r="Z844" s="39">
        <f t="shared" si="109"/>
        <v>0</v>
      </c>
      <c r="AA844" s="38"/>
      <c r="AB844" s="38"/>
      <c r="AC844" s="39">
        <f t="shared" si="110"/>
        <v>0</v>
      </c>
      <c r="AD844" s="38"/>
      <c r="AE844" s="38"/>
      <c r="AF844" s="39">
        <f t="shared" si="111"/>
        <v>0</v>
      </c>
    </row>
    <row r="845" spans="2:32" ht="15" customHeight="1" x14ac:dyDescent="0.3">
      <c r="B845" s="2" t="s">
        <v>983</v>
      </c>
      <c r="C845" s="4" t="s">
        <v>1176</v>
      </c>
      <c r="D845" s="3" t="s">
        <v>1238</v>
      </c>
      <c r="E845" s="6" t="s">
        <v>1252</v>
      </c>
      <c r="F845" s="6" t="s">
        <v>1159</v>
      </c>
      <c r="G845" s="6" t="s">
        <v>713</v>
      </c>
      <c r="H845" s="25">
        <v>45000</v>
      </c>
      <c r="I845" s="38">
        <v>0</v>
      </c>
      <c r="J845" s="38">
        <v>0</v>
      </c>
      <c r="K845" s="39">
        <f t="shared" si="104"/>
        <v>0</v>
      </c>
      <c r="L845" s="38">
        <v>15</v>
      </c>
      <c r="M845" s="38">
        <v>3</v>
      </c>
      <c r="N845" s="39">
        <f t="shared" si="105"/>
        <v>2025000</v>
      </c>
      <c r="O845" s="38">
        <v>15</v>
      </c>
      <c r="P845" s="38">
        <v>3</v>
      </c>
      <c r="Q845" s="39">
        <f t="shared" si="106"/>
        <v>2025000</v>
      </c>
      <c r="R845" s="38">
        <v>15</v>
      </c>
      <c r="S845" s="38">
        <v>3</v>
      </c>
      <c r="T845" s="39">
        <f t="shared" si="107"/>
        <v>2025000</v>
      </c>
      <c r="U845" s="38">
        <v>15</v>
      </c>
      <c r="V845" s="38">
        <v>3</v>
      </c>
      <c r="W845" s="39">
        <f t="shared" si="108"/>
        <v>2025000</v>
      </c>
      <c r="X845" s="38"/>
      <c r="Y845" s="38"/>
      <c r="Z845" s="39">
        <f t="shared" si="109"/>
        <v>0</v>
      </c>
      <c r="AA845" s="38"/>
      <c r="AB845" s="38"/>
      <c r="AC845" s="39">
        <f t="shared" si="110"/>
        <v>0</v>
      </c>
      <c r="AD845" s="38"/>
      <c r="AE845" s="38"/>
      <c r="AF845" s="39">
        <f t="shared" si="111"/>
        <v>0</v>
      </c>
    </row>
    <row r="846" spans="2:32" ht="15" customHeight="1" x14ac:dyDescent="0.3">
      <c r="B846" s="2" t="s">
        <v>983</v>
      </c>
      <c r="C846" s="4" t="s">
        <v>1176</v>
      </c>
      <c r="D846" s="3" t="s">
        <v>1238</v>
      </c>
      <c r="E846" s="6" t="s">
        <v>1252</v>
      </c>
      <c r="F846" s="6" t="s">
        <v>1159</v>
      </c>
      <c r="G846" s="6" t="s">
        <v>712</v>
      </c>
      <c r="H846" s="25">
        <v>214.29</v>
      </c>
      <c r="I846" s="38">
        <v>0</v>
      </c>
      <c r="J846" s="38">
        <v>0</v>
      </c>
      <c r="K846" s="39">
        <f t="shared" si="104"/>
        <v>0</v>
      </c>
      <c r="L846" s="38">
        <v>15</v>
      </c>
      <c r="M846" s="38">
        <v>1</v>
      </c>
      <c r="N846" s="39">
        <f t="shared" si="105"/>
        <v>3214.35</v>
      </c>
      <c r="O846" s="38">
        <v>15</v>
      </c>
      <c r="P846" s="38">
        <v>1</v>
      </c>
      <c r="Q846" s="39">
        <f t="shared" si="106"/>
        <v>3214.35</v>
      </c>
      <c r="R846" s="38">
        <v>15</v>
      </c>
      <c r="S846" s="38">
        <v>1</v>
      </c>
      <c r="T846" s="39">
        <f t="shared" si="107"/>
        <v>3214.35</v>
      </c>
      <c r="U846" s="38">
        <v>15</v>
      </c>
      <c r="V846" s="38">
        <v>1</v>
      </c>
      <c r="W846" s="39">
        <f t="shared" si="108"/>
        <v>3214.35</v>
      </c>
      <c r="X846" s="38"/>
      <c r="Y846" s="38"/>
      <c r="Z846" s="39">
        <f t="shared" si="109"/>
        <v>0</v>
      </c>
      <c r="AA846" s="38"/>
      <c r="AB846" s="38"/>
      <c r="AC846" s="39">
        <f t="shared" si="110"/>
        <v>0</v>
      </c>
      <c r="AD846" s="38"/>
      <c r="AE846" s="38"/>
      <c r="AF846" s="39">
        <f t="shared" si="111"/>
        <v>0</v>
      </c>
    </row>
    <row r="847" spans="2:32" ht="15" customHeight="1" x14ac:dyDescent="0.3">
      <c r="B847" s="2" t="s">
        <v>983</v>
      </c>
      <c r="C847" s="4" t="s">
        <v>1176</v>
      </c>
      <c r="D847" s="3" t="s">
        <v>1238</v>
      </c>
      <c r="E847" s="6" t="s">
        <v>1252</v>
      </c>
      <c r="F847" s="6" t="s">
        <v>1017</v>
      </c>
      <c r="G847" s="6" t="s">
        <v>709</v>
      </c>
      <c r="H847" s="25">
        <v>28000</v>
      </c>
      <c r="I847" s="38">
        <v>0</v>
      </c>
      <c r="J847" s="38">
        <v>0</v>
      </c>
      <c r="K847" s="39">
        <f t="shared" si="104"/>
        <v>0</v>
      </c>
      <c r="L847" s="38">
        <v>4000</v>
      </c>
      <c r="M847" s="38">
        <v>1</v>
      </c>
      <c r="N847" s="39">
        <f t="shared" si="105"/>
        <v>112000000</v>
      </c>
      <c r="O847" s="38">
        <v>4000</v>
      </c>
      <c r="P847" s="38">
        <v>1</v>
      </c>
      <c r="Q847" s="39">
        <f t="shared" si="106"/>
        <v>112000000</v>
      </c>
      <c r="R847" s="38">
        <v>4000</v>
      </c>
      <c r="S847" s="38">
        <v>1</v>
      </c>
      <c r="T847" s="39">
        <f t="shared" si="107"/>
        <v>112000000</v>
      </c>
      <c r="U847" s="38">
        <v>4000</v>
      </c>
      <c r="V847" s="38">
        <v>1</v>
      </c>
      <c r="W847" s="39">
        <f t="shared" si="108"/>
        <v>112000000</v>
      </c>
      <c r="X847" s="38"/>
      <c r="Y847" s="38"/>
      <c r="Z847" s="39">
        <f t="shared" si="109"/>
        <v>0</v>
      </c>
      <c r="AA847" s="38"/>
      <c r="AB847" s="38"/>
      <c r="AC847" s="39">
        <f t="shared" si="110"/>
        <v>0</v>
      </c>
      <c r="AD847" s="38"/>
      <c r="AE847" s="38"/>
      <c r="AF847" s="39">
        <f t="shared" si="111"/>
        <v>0</v>
      </c>
    </row>
    <row r="848" spans="2:32" ht="15" customHeight="1" x14ac:dyDescent="0.3">
      <c r="B848" s="2" t="s">
        <v>983</v>
      </c>
      <c r="C848" s="4" t="s">
        <v>1176</v>
      </c>
      <c r="D848" s="3" t="s">
        <v>1238</v>
      </c>
      <c r="E848" s="6" t="s">
        <v>1252</v>
      </c>
      <c r="F848" s="6" t="s">
        <v>1253</v>
      </c>
      <c r="G848" s="6" t="s">
        <v>713</v>
      </c>
      <c r="H848" s="25">
        <v>45000</v>
      </c>
      <c r="I848" s="38">
        <v>0</v>
      </c>
      <c r="J848" s="38">
        <v>0</v>
      </c>
      <c r="K848" s="39">
        <f t="shared" si="104"/>
        <v>0</v>
      </c>
      <c r="L848" s="38">
        <v>15</v>
      </c>
      <c r="M848" s="38">
        <v>1</v>
      </c>
      <c r="N848" s="39">
        <f t="shared" si="105"/>
        <v>675000</v>
      </c>
      <c r="O848" s="38">
        <v>15</v>
      </c>
      <c r="P848" s="38">
        <v>1</v>
      </c>
      <c r="Q848" s="39">
        <f t="shared" si="106"/>
        <v>675000</v>
      </c>
      <c r="R848" s="38">
        <v>15</v>
      </c>
      <c r="S848" s="38">
        <v>1</v>
      </c>
      <c r="T848" s="39">
        <f t="shared" si="107"/>
        <v>675000</v>
      </c>
      <c r="U848" s="38">
        <v>15</v>
      </c>
      <c r="V848" s="38">
        <v>1</v>
      </c>
      <c r="W848" s="39">
        <f t="shared" si="108"/>
        <v>675000</v>
      </c>
      <c r="X848" s="38"/>
      <c r="Y848" s="38"/>
      <c r="Z848" s="39">
        <f t="shared" si="109"/>
        <v>0</v>
      </c>
      <c r="AA848" s="38"/>
      <c r="AB848" s="38"/>
      <c r="AC848" s="39">
        <f t="shared" si="110"/>
        <v>0</v>
      </c>
      <c r="AD848" s="38"/>
      <c r="AE848" s="38"/>
      <c r="AF848" s="39">
        <f t="shared" si="111"/>
        <v>0</v>
      </c>
    </row>
    <row r="849" spans="2:32" ht="15" customHeight="1" x14ac:dyDescent="0.3">
      <c r="B849" s="2" t="s">
        <v>983</v>
      </c>
      <c r="C849" s="4" t="s">
        <v>1176</v>
      </c>
      <c r="D849" s="3" t="s">
        <v>1238</v>
      </c>
      <c r="E849" s="6" t="s">
        <v>1252</v>
      </c>
      <c r="F849" s="6" t="s">
        <v>1182</v>
      </c>
      <c r="G849" s="6" t="s">
        <v>712</v>
      </c>
      <c r="H849" s="25">
        <v>214.29</v>
      </c>
      <c r="I849" s="38">
        <v>0</v>
      </c>
      <c r="J849" s="38">
        <v>0</v>
      </c>
      <c r="K849" s="39">
        <f t="shared" si="104"/>
        <v>0</v>
      </c>
      <c r="L849" s="38">
        <v>15</v>
      </c>
      <c r="M849" s="38">
        <v>10</v>
      </c>
      <c r="N849" s="39">
        <f t="shared" si="105"/>
        <v>32143.5</v>
      </c>
      <c r="O849" s="38">
        <v>15</v>
      </c>
      <c r="P849" s="38">
        <v>10</v>
      </c>
      <c r="Q849" s="39">
        <f t="shared" si="106"/>
        <v>32143.5</v>
      </c>
      <c r="R849" s="38">
        <v>15</v>
      </c>
      <c r="S849" s="38">
        <v>10</v>
      </c>
      <c r="T849" s="39">
        <f t="shared" si="107"/>
        <v>32143.5</v>
      </c>
      <c r="U849" s="38">
        <v>15</v>
      </c>
      <c r="V849" s="38">
        <v>10</v>
      </c>
      <c r="W849" s="39">
        <f t="shared" si="108"/>
        <v>32143.5</v>
      </c>
      <c r="X849" s="38"/>
      <c r="Y849" s="38"/>
      <c r="Z849" s="39">
        <f t="shared" si="109"/>
        <v>0</v>
      </c>
      <c r="AA849" s="38"/>
      <c r="AB849" s="38"/>
      <c r="AC849" s="39">
        <f t="shared" si="110"/>
        <v>0</v>
      </c>
      <c r="AD849" s="38"/>
      <c r="AE849" s="38"/>
      <c r="AF849" s="39">
        <f t="shared" si="111"/>
        <v>0</v>
      </c>
    </row>
    <row r="850" spans="2:32" ht="15" customHeight="1" x14ac:dyDescent="0.3">
      <c r="B850" s="2" t="s">
        <v>983</v>
      </c>
      <c r="C850" s="4" t="s">
        <v>1176</v>
      </c>
      <c r="D850" s="3" t="s">
        <v>1238</v>
      </c>
      <c r="E850" s="6" t="s">
        <v>1252</v>
      </c>
      <c r="F850" s="6" t="s">
        <v>1182</v>
      </c>
      <c r="G850" s="6" t="s">
        <v>714</v>
      </c>
      <c r="H850" s="25">
        <v>10000</v>
      </c>
      <c r="I850" s="38">
        <v>0</v>
      </c>
      <c r="J850" s="38">
        <v>0</v>
      </c>
      <c r="K850" s="39">
        <f t="shared" si="104"/>
        <v>0</v>
      </c>
      <c r="L850" s="38">
        <v>20000</v>
      </c>
      <c r="M850" s="38"/>
      <c r="N850" s="39">
        <f t="shared" si="105"/>
        <v>0</v>
      </c>
      <c r="O850" s="38">
        <v>20000</v>
      </c>
      <c r="P850" s="38"/>
      <c r="Q850" s="39">
        <f t="shared" si="106"/>
        <v>0</v>
      </c>
      <c r="R850" s="38">
        <v>20000</v>
      </c>
      <c r="S850" s="38"/>
      <c r="T850" s="39">
        <f t="shared" si="107"/>
        <v>0</v>
      </c>
      <c r="U850" s="38">
        <v>20000</v>
      </c>
      <c r="V850" s="38"/>
      <c r="W850" s="39">
        <f t="shared" si="108"/>
        <v>0</v>
      </c>
      <c r="X850" s="38"/>
      <c r="Y850" s="38"/>
      <c r="Z850" s="39">
        <f t="shared" si="109"/>
        <v>0</v>
      </c>
      <c r="AA850" s="38"/>
      <c r="AB850" s="38"/>
      <c r="AC850" s="39">
        <f t="shared" si="110"/>
        <v>0</v>
      </c>
      <c r="AD850" s="38"/>
      <c r="AE850" s="38"/>
      <c r="AF850" s="39">
        <f t="shared" si="111"/>
        <v>0</v>
      </c>
    </row>
    <row r="851" spans="2:32" ht="15" customHeight="1" x14ac:dyDescent="0.3">
      <c r="B851" s="2" t="s">
        <v>983</v>
      </c>
      <c r="C851" s="4" t="s">
        <v>1176</v>
      </c>
      <c r="D851" s="3" t="s">
        <v>1238</v>
      </c>
      <c r="E851" s="6" t="s">
        <v>1252</v>
      </c>
      <c r="F851" s="6" t="s">
        <v>1182</v>
      </c>
      <c r="G851" s="6" t="s">
        <v>715</v>
      </c>
      <c r="H851" s="25">
        <v>302000</v>
      </c>
      <c r="I851" s="38">
        <v>0</v>
      </c>
      <c r="J851" s="38">
        <v>0</v>
      </c>
      <c r="K851" s="39">
        <f t="shared" si="104"/>
        <v>0</v>
      </c>
      <c r="L851" s="38">
        <v>15</v>
      </c>
      <c r="M851" s="38">
        <v>1</v>
      </c>
      <c r="N851" s="39">
        <f t="shared" si="105"/>
        <v>4530000</v>
      </c>
      <c r="O851" s="38">
        <v>15</v>
      </c>
      <c r="P851" s="38">
        <v>1</v>
      </c>
      <c r="Q851" s="39">
        <f t="shared" si="106"/>
        <v>4530000</v>
      </c>
      <c r="R851" s="38">
        <v>15</v>
      </c>
      <c r="S851" s="38">
        <v>1</v>
      </c>
      <c r="T851" s="39">
        <f t="shared" si="107"/>
        <v>4530000</v>
      </c>
      <c r="U851" s="38">
        <v>15</v>
      </c>
      <c r="V851" s="38">
        <v>1</v>
      </c>
      <c r="W851" s="39">
        <f t="shared" si="108"/>
        <v>4530000</v>
      </c>
      <c r="X851" s="38"/>
      <c r="Y851" s="38"/>
      <c r="Z851" s="39">
        <f t="shared" si="109"/>
        <v>0</v>
      </c>
      <c r="AA851" s="38"/>
      <c r="AB851" s="38"/>
      <c r="AC851" s="39">
        <f t="shared" si="110"/>
        <v>0</v>
      </c>
      <c r="AD851" s="38"/>
      <c r="AE851" s="38"/>
      <c r="AF851" s="39">
        <f t="shared" si="111"/>
        <v>0</v>
      </c>
    </row>
    <row r="852" spans="2:32" ht="15" customHeight="1" x14ac:dyDescent="0.3">
      <c r="B852" s="2" t="s">
        <v>983</v>
      </c>
      <c r="C852" s="4" t="s">
        <v>1176</v>
      </c>
      <c r="D852" s="3" t="s">
        <v>1238</v>
      </c>
      <c r="E852" s="6" t="s">
        <v>1252</v>
      </c>
      <c r="F852" s="6" t="s">
        <v>1004</v>
      </c>
      <c r="G852" s="6" t="s">
        <v>709</v>
      </c>
      <c r="H852" s="25">
        <v>28000</v>
      </c>
      <c r="I852" s="38">
        <v>0</v>
      </c>
      <c r="J852" s="38">
        <v>0</v>
      </c>
      <c r="K852" s="39">
        <f t="shared" si="104"/>
        <v>0</v>
      </c>
      <c r="L852" s="38">
        <v>10</v>
      </c>
      <c r="M852" s="38">
        <v>1</v>
      </c>
      <c r="N852" s="39">
        <f t="shared" si="105"/>
        <v>280000</v>
      </c>
      <c r="O852" s="38">
        <v>10</v>
      </c>
      <c r="P852" s="38">
        <v>1</v>
      </c>
      <c r="Q852" s="39">
        <f t="shared" si="106"/>
        <v>280000</v>
      </c>
      <c r="R852" s="38">
        <v>10</v>
      </c>
      <c r="S852" s="38">
        <v>1</v>
      </c>
      <c r="T852" s="39">
        <f t="shared" si="107"/>
        <v>280000</v>
      </c>
      <c r="U852" s="38">
        <v>10</v>
      </c>
      <c r="V852" s="38">
        <v>1</v>
      </c>
      <c r="W852" s="39">
        <f t="shared" si="108"/>
        <v>280000</v>
      </c>
      <c r="X852" s="38"/>
      <c r="Y852" s="38"/>
      <c r="Z852" s="39">
        <f t="shared" si="109"/>
        <v>0</v>
      </c>
      <c r="AA852" s="38"/>
      <c r="AB852" s="38"/>
      <c r="AC852" s="39">
        <f t="shared" si="110"/>
        <v>0</v>
      </c>
      <c r="AD852" s="38"/>
      <c r="AE852" s="38"/>
      <c r="AF852" s="39">
        <f t="shared" si="111"/>
        <v>0</v>
      </c>
    </row>
    <row r="853" spans="2:32" ht="15" customHeight="1" x14ac:dyDescent="0.3">
      <c r="B853" s="2" t="s">
        <v>983</v>
      </c>
      <c r="C853" s="4" t="s">
        <v>1176</v>
      </c>
      <c r="D853" s="3" t="s">
        <v>1238</v>
      </c>
      <c r="E853" s="6" t="s">
        <v>1252</v>
      </c>
      <c r="F853" s="6" t="s">
        <v>1004</v>
      </c>
      <c r="G853" s="6" t="s">
        <v>716</v>
      </c>
      <c r="H853" s="25">
        <v>39000</v>
      </c>
      <c r="I853" s="38">
        <v>0</v>
      </c>
      <c r="J853" s="38">
        <v>0</v>
      </c>
      <c r="K853" s="39">
        <f t="shared" si="104"/>
        <v>0</v>
      </c>
      <c r="L853" s="38">
        <v>13</v>
      </c>
      <c r="M853" s="38">
        <v>10</v>
      </c>
      <c r="N853" s="39">
        <f t="shared" si="105"/>
        <v>5070000</v>
      </c>
      <c r="O853" s="38">
        <v>13</v>
      </c>
      <c r="P853" s="38">
        <v>10</v>
      </c>
      <c r="Q853" s="39">
        <f t="shared" si="106"/>
        <v>5070000</v>
      </c>
      <c r="R853" s="38">
        <v>13</v>
      </c>
      <c r="S853" s="38">
        <v>10</v>
      </c>
      <c r="T853" s="39">
        <f t="shared" si="107"/>
        <v>5070000</v>
      </c>
      <c r="U853" s="38">
        <v>13</v>
      </c>
      <c r="V853" s="38">
        <v>10</v>
      </c>
      <c r="W853" s="39">
        <f t="shared" si="108"/>
        <v>5070000</v>
      </c>
      <c r="X853" s="38"/>
      <c r="Y853" s="38"/>
      <c r="Z853" s="39">
        <f t="shared" si="109"/>
        <v>0</v>
      </c>
      <c r="AA853" s="38"/>
      <c r="AB853" s="38"/>
      <c r="AC853" s="39">
        <f t="shared" si="110"/>
        <v>0</v>
      </c>
      <c r="AD853" s="38"/>
      <c r="AE853" s="38"/>
      <c r="AF853" s="39">
        <f t="shared" si="111"/>
        <v>0</v>
      </c>
    </row>
    <row r="854" spans="2:32" ht="15" customHeight="1" x14ac:dyDescent="0.3">
      <c r="B854" s="2" t="s">
        <v>983</v>
      </c>
      <c r="C854" s="4" t="s">
        <v>1176</v>
      </c>
      <c r="D854" s="3" t="s">
        <v>1238</v>
      </c>
      <c r="E854" s="6" t="s">
        <v>1252</v>
      </c>
      <c r="F854" s="6" t="s">
        <v>1004</v>
      </c>
      <c r="G854" s="6" t="s">
        <v>712</v>
      </c>
      <c r="H854" s="25">
        <v>214.29</v>
      </c>
      <c r="I854" s="38">
        <v>0</v>
      </c>
      <c r="J854" s="38">
        <v>0</v>
      </c>
      <c r="K854" s="39">
        <f t="shared" si="104"/>
        <v>0</v>
      </c>
      <c r="L854" s="38">
        <v>13</v>
      </c>
      <c r="M854" s="38">
        <v>10</v>
      </c>
      <c r="N854" s="39">
        <f t="shared" si="105"/>
        <v>27857.7</v>
      </c>
      <c r="O854" s="38">
        <v>13</v>
      </c>
      <c r="P854" s="38">
        <v>10</v>
      </c>
      <c r="Q854" s="39">
        <f t="shared" si="106"/>
        <v>27857.7</v>
      </c>
      <c r="R854" s="38">
        <v>13</v>
      </c>
      <c r="S854" s="38">
        <v>10</v>
      </c>
      <c r="T854" s="39">
        <f t="shared" si="107"/>
        <v>27857.7</v>
      </c>
      <c r="U854" s="38">
        <v>13</v>
      </c>
      <c r="V854" s="38">
        <v>10</v>
      </c>
      <c r="W854" s="39">
        <f t="shared" si="108"/>
        <v>27857.7</v>
      </c>
      <c r="X854" s="38"/>
      <c r="Y854" s="38"/>
      <c r="Z854" s="39">
        <f t="shared" si="109"/>
        <v>0</v>
      </c>
      <c r="AA854" s="38"/>
      <c r="AB854" s="38"/>
      <c r="AC854" s="39">
        <f t="shared" si="110"/>
        <v>0</v>
      </c>
      <c r="AD854" s="38"/>
      <c r="AE854" s="38"/>
      <c r="AF854" s="39">
        <f t="shared" si="111"/>
        <v>0</v>
      </c>
    </row>
    <row r="855" spans="2:32" ht="15" customHeight="1" x14ac:dyDescent="0.3">
      <c r="B855" s="2" t="s">
        <v>983</v>
      </c>
      <c r="C855" s="4" t="s">
        <v>1176</v>
      </c>
      <c r="D855" s="3" t="s">
        <v>1238</v>
      </c>
      <c r="E855" s="6" t="s">
        <v>1252</v>
      </c>
      <c r="F855" s="6" t="s">
        <v>1254</v>
      </c>
      <c r="G855" s="6" t="s">
        <v>709</v>
      </c>
      <c r="H855" s="25">
        <v>28000</v>
      </c>
      <c r="I855" s="38">
        <v>0</v>
      </c>
      <c r="J855" s="38">
        <v>0</v>
      </c>
      <c r="K855" s="39">
        <f t="shared" si="104"/>
        <v>0</v>
      </c>
      <c r="L855" s="38">
        <v>4000</v>
      </c>
      <c r="M855" s="38">
        <v>1</v>
      </c>
      <c r="N855" s="39">
        <f t="shared" si="105"/>
        <v>112000000</v>
      </c>
      <c r="O855" s="38">
        <v>4000</v>
      </c>
      <c r="P855" s="38">
        <v>1</v>
      </c>
      <c r="Q855" s="39">
        <f t="shared" si="106"/>
        <v>112000000</v>
      </c>
      <c r="R855" s="38">
        <v>4000</v>
      </c>
      <c r="S855" s="38">
        <v>1</v>
      </c>
      <c r="T855" s="39">
        <f t="shared" si="107"/>
        <v>112000000</v>
      </c>
      <c r="U855" s="38">
        <v>4000</v>
      </c>
      <c r="V855" s="38">
        <v>1</v>
      </c>
      <c r="W855" s="39">
        <f t="shared" si="108"/>
        <v>112000000</v>
      </c>
      <c r="X855" s="38"/>
      <c r="Y855" s="38"/>
      <c r="Z855" s="39">
        <f t="shared" si="109"/>
        <v>0</v>
      </c>
      <c r="AA855" s="38"/>
      <c r="AB855" s="38"/>
      <c r="AC855" s="39">
        <f t="shared" si="110"/>
        <v>0</v>
      </c>
      <c r="AD855" s="38"/>
      <c r="AE855" s="38"/>
      <c r="AF855" s="39">
        <f t="shared" si="111"/>
        <v>0</v>
      </c>
    </row>
    <row r="856" spans="2:32" ht="15" customHeight="1" x14ac:dyDescent="0.3">
      <c r="B856" s="2" t="s">
        <v>983</v>
      </c>
      <c r="C856" s="4" t="s">
        <v>1176</v>
      </c>
      <c r="D856" s="3" t="s">
        <v>1238</v>
      </c>
      <c r="E856" s="6" t="s">
        <v>1252</v>
      </c>
      <c r="F856" s="6" t="s">
        <v>1254</v>
      </c>
      <c r="G856" s="6" t="s">
        <v>716</v>
      </c>
      <c r="H856" s="25">
        <v>39000</v>
      </c>
      <c r="I856" s="38">
        <v>0</v>
      </c>
      <c r="J856" s="38">
        <v>0</v>
      </c>
      <c r="K856" s="39">
        <f t="shared" si="104"/>
        <v>0</v>
      </c>
      <c r="L856" s="38">
        <v>15</v>
      </c>
      <c r="M856" s="38">
        <v>5</v>
      </c>
      <c r="N856" s="39">
        <f t="shared" si="105"/>
        <v>2925000</v>
      </c>
      <c r="O856" s="38">
        <v>15</v>
      </c>
      <c r="P856" s="38">
        <v>5</v>
      </c>
      <c r="Q856" s="39">
        <f t="shared" si="106"/>
        <v>2925000</v>
      </c>
      <c r="R856" s="38">
        <v>15</v>
      </c>
      <c r="S856" s="38">
        <v>5</v>
      </c>
      <c r="T856" s="39">
        <f t="shared" si="107"/>
        <v>2925000</v>
      </c>
      <c r="U856" s="38">
        <v>15</v>
      </c>
      <c r="V856" s="38">
        <v>5</v>
      </c>
      <c r="W856" s="39">
        <f t="shared" si="108"/>
        <v>2925000</v>
      </c>
      <c r="X856" s="38"/>
      <c r="Y856" s="38"/>
      <c r="Z856" s="39">
        <f t="shared" si="109"/>
        <v>0</v>
      </c>
      <c r="AA856" s="38"/>
      <c r="AB856" s="38"/>
      <c r="AC856" s="39">
        <f t="shared" si="110"/>
        <v>0</v>
      </c>
      <c r="AD856" s="38"/>
      <c r="AE856" s="38"/>
      <c r="AF856" s="39">
        <f t="shared" si="111"/>
        <v>0</v>
      </c>
    </row>
    <row r="857" spans="2:32" ht="15" customHeight="1" x14ac:dyDescent="0.3">
      <c r="B857" s="2" t="s">
        <v>983</v>
      </c>
      <c r="C857" s="4" t="s">
        <v>1176</v>
      </c>
      <c r="D857" s="3" t="s">
        <v>1238</v>
      </c>
      <c r="E857" s="6" t="s">
        <v>1252</v>
      </c>
      <c r="F857" s="6" t="s">
        <v>1254</v>
      </c>
      <c r="G857" s="6" t="s">
        <v>712</v>
      </c>
      <c r="H857" s="25">
        <v>214.29</v>
      </c>
      <c r="I857" s="38">
        <v>0</v>
      </c>
      <c r="J857" s="38">
        <v>0</v>
      </c>
      <c r="K857" s="39">
        <f t="shared" si="104"/>
        <v>0</v>
      </c>
      <c r="L857" s="38">
        <v>15</v>
      </c>
      <c r="M857" s="38">
        <v>1</v>
      </c>
      <c r="N857" s="39">
        <f t="shared" si="105"/>
        <v>3214.35</v>
      </c>
      <c r="O857" s="38">
        <v>15</v>
      </c>
      <c r="P857" s="38">
        <v>1</v>
      </c>
      <c r="Q857" s="39">
        <f t="shared" si="106"/>
        <v>3214.35</v>
      </c>
      <c r="R857" s="38">
        <v>15</v>
      </c>
      <c r="S857" s="38">
        <v>1</v>
      </c>
      <c r="T857" s="39">
        <f t="shared" si="107"/>
        <v>3214.35</v>
      </c>
      <c r="U857" s="38">
        <v>15</v>
      </c>
      <c r="V857" s="38">
        <v>1</v>
      </c>
      <c r="W857" s="39">
        <f t="shared" si="108"/>
        <v>3214.35</v>
      </c>
      <c r="X857" s="38"/>
      <c r="Y857" s="38"/>
      <c r="Z857" s="39">
        <f t="shared" si="109"/>
        <v>0</v>
      </c>
      <c r="AA857" s="38"/>
      <c r="AB857" s="38"/>
      <c r="AC857" s="39">
        <f t="shared" si="110"/>
        <v>0</v>
      </c>
      <c r="AD857" s="38"/>
      <c r="AE857" s="38"/>
      <c r="AF857" s="39">
        <f t="shared" si="111"/>
        <v>0</v>
      </c>
    </row>
    <row r="858" spans="2:32" ht="15" customHeight="1" x14ac:dyDescent="0.3">
      <c r="B858" s="2" t="s">
        <v>983</v>
      </c>
      <c r="C858" s="4" t="s">
        <v>1176</v>
      </c>
      <c r="D858" s="3" t="s">
        <v>1238</v>
      </c>
      <c r="E858" s="6" t="s">
        <v>1252</v>
      </c>
      <c r="F858" s="6" t="s">
        <v>168</v>
      </c>
      <c r="G858" s="6" t="s">
        <v>709</v>
      </c>
      <c r="H858" s="25">
        <v>28000</v>
      </c>
      <c r="I858" s="38">
        <v>0</v>
      </c>
      <c r="J858" s="38">
        <v>0</v>
      </c>
      <c r="K858" s="39">
        <f t="shared" si="104"/>
        <v>0</v>
      </c>
      <c r="L858" s="38">
        <v>4000</v>
      </c>
      <c r="M858" s="38">
        <v>1</v>
      </c>
      <c r="N858" s="39">
        <f t="shared" si="105"/>
        <v>112000000</v>
      </c>
      <c r="O858" s="38">
        <v>4000</v>
      </c>
      <c r="P858" s="38">
        <v>1</v>
      </c>
      <c r="Q858" s="39">
        <f t="shared" si="106"/>
        <v>112000000</v>
      </c>
      <c r="R858" s="38">
        <v>4000</v>
      </c>
      <c r="S858" s="38">
        <v>1</v>
      </c>
      <c r="T858" s="39">
        <f t="shared" si="107"/>
        <v>112000000</v>
      </c>
      <c r="U858" s="38">
        <v>4000</v>
      </c>
      <c r="V858" s="38">
        <v>1</v>
      </c>
      <c r="W858" s="39">
        <f t="shared" si="108"/>
        <v>112000000</v>
      </c>
      <c r="X858" s="38"/>
      <c r="Y858" s="38"/>
      <c r="Z858" s="39">
        <f t="shared" si="109"/>
        <v>0</v>
      </c>
      <c r="AA858" s="38"/>
      <c r="AB858" s="38"/>
      <c r="AC858" s="39">
        <f t="shared" si="110"/>
        <v>0</v>
      </c>
      <c r="AD858" s="38"/>
      <c r="AE858" s="38"/>
      <c r="AF858" s="39">
        <f t="shared" si="111"/>
        <v>0</v>
      </c>
    </row>
    <row r="859" spans="2:32" ht="15" customHeight="1" x14ac:dyDescent="0.3">
      <c r="B859" s="2" t="s">
        <v>983</v>
      </c>
      <c r="C859" s="4" t="s">
        <v>1176</v>
      </c>
      <c r="D859" s="3" t="s">
        <v>1238</v>
      </c>
      <c r="E859" s="6" t="s">
        <v>1252</v>
      </c>
      <c r="F859" s="6" t="s">
        <v>168</v>
      </c>
      <c r="G859" s="6" t="s">
        <v>716</v>
      </c>
      <c r="H859" s="25">
        <v>39000</v>
      </c>
      <c r="I859" s="38">
        <v>0</v>
      </c>
      <c r="J859" s="38">
        <v>0</v>
      </c>
      <c r="K859" s="39">
        <f t="shared" si="104"/>
        <v>0</v>
      </c>
      <c r="L859" s="38">
        <v>35</v>
      </c>
      <c r="M859" s="38">
        <v>1</v>
      </c>
      <c r="N859" s="39">
        <f t="shared" si="105"/>
        <v>1365000</v>
      </c>
      <c r="O859" s="38">
        <v>35</v>
      </c>
      <c r="P859" s="38">
        <v>1</v>
      </c>
      <c r="Q859" s="39">
        <f t="shared" si="106"/>
        <v>1365000</v>
      </c>
      <c r="R859" s="38">
        <v>35</v>
      </c>
      <c r="S859" s="38">
        <v>1</v>
      </c>
      <c r="T859" s="39">
        <f t="shared" si="107"/>
        <v>1365000</v>
      </c>
      <c r="U859" s="38">
        <v>35</v>
      </c>
      <c r="V859" s="38">
        <v>1</v>
      </c>
      <c r="W859" s="39">
        <f t="shared" si="108"/>
        <v>1365000</v>
      </c>
      <c r="X859" s="38"/>
      <c r="Y859" s="38"/>
      <c r="Z859" s="39">
        <f t="shared" si="109"/>
        <v>0</v>
      </c>
      <c r="AA859" s="38"/>
      <c r="AB859" s="38"/>
      <c r="AC859" s="39">
        <f t="shared" si="110"/>
        <v>0</v>
      </c>
      <c r="AD859" s="38"/>
      <c r="AE859" s="38"/>
      <c r="AF859" s="39">
        <f t="shared" si="111"/>
        <v>0</v>
      </c>
    </row>
    <row r="860" spans="2:32" ht="15" customHeight="1" x14ac:dyDescent="0.3">
      <c r="B860" s="2" t="s">
        <v>983</v>
      </c>
      <c r="C860" s="4" t="s">
        <v>1176</v>
      </c>
      <c r="D860" s="3" t="s">
        <v>1238</v>
      </c>
      <c r="E860" s="6" t="s">
        <v>1252</v>
      </c>
      <c r="F860" s="6" t="s">
        <v>168</v>
      </c>
      <c r="G860" s="6" t="s">
        <v>712</v>
      </c>
      <c r="H860" s="25">
        <v>214.29</v>
      </c>
      <c r="I860" s="38">
        <v>0</v>
      </c>
      <c r="J860" s="38">
        <v>0</v>
      </c>
      <c r="K860" s="39">
        <f t="shared" si="104"/>
        <v>0</v>
      </c>
      <c r="L860" s="38">
        <v>35</v>
      </c>
      <c r="M860" s="38">
        <v>1</v>
      </c>
      <c r="N860" s="39">
        <f t="shared" si="105"/>
        <v>7500.15</v>
      </c>
      <c r="O860" s="38">
        <v>35</v>
      </c>
      <c r="P860" s="38">
        <v>1</v>
      </c>
      <c r="Q860" s="39">
        <f t="shared" si="106"/>
        <v>7500.15</v>
      </c>
      <c r="R860" s="38">
        <v>35</v>
      </c>
      <c r="S860" s="38">
        <v>1</v>
      </c>
      <c r="T860" s="39">
        <f t="shared" si="107"/>
        <v>7500.15</v>
      </c>
      <c r="U860" s="38">
        <v>35</v>
      </c>
      <c r="V860" s="38">
        <v>1</v>
      </c>
      <c r="W860" s="39">
        <f t="shared" si="108"/>
        <v>7500.15</v>
      </c>
      <c r="X860" s="38"/>
      <c r="Y860" s="38"/>
      <c r="Z860" s="39">
        <f t="shared" si="109"/>
        <v>0</v>
      </c>
      <c r="AA860" s="38"/>
      <c r="AB860" s="38"/>
      <c r="AC860" s="39">
        <f t="shared" si="110"/>
        <v>0</v>
      </c>
      <c r="AD860" s="38"/>
      <c r="AE860" s="38"/>
      <c r="AF860" s="39">
        <f t="shared" si="111"/>
        <v>0</v>
      </c>
    </row>
    <row r="861" spans="2:32" ht="15" customHeight="1" x14ac:dyDescent="0.3">
      <c r="B861" s="2" t="s">
        <v>983</v>
      </c>
      <c r="C861" s="4" t="s">
        <v>1176</v>
      </c>
      <c r="D861" s="3" t="s">
        <v>1238</v>
      </c>
      <c r="E861" s="6" t="s">
        <v>1252</v>
      </c>
      <c r="F861" s="6" t="s">
        <v>1156</v>
      </c>
      <c r="G861" s="6" t="s">
        <v>709</v>
      </c>
      <c r="H861" s="25">
        <v>28000</v>
      </c>
      <c r="I861" s="38">
        <v>0</v>
      </c>
      <c r="J861" s="38">
        <v>0</v>
      </c>
      <c r="K861" s="39">
        <f t="shared" si="104"/>
        <v>0</v>
      </c>
      <c r="L861" s="38">
        <v>8000</v>
      </c>
      <c r="M861" s="38">
        <v>1</v>
      </c>
      <c r="N861" s="39">
        <f t="shared" si="105"/>
        <v>224000000</v>
      </c>
      <c r="O861" s="38">
        <v>8000</v>
      </c>
      <c r="P861" s="38">
        <v>1</v>
      </c>
      <c r="Q861" s="39">
        <f t="shared" si="106"/>
        <v>224000000</v>
      </c>
      <c r="R861" s="38">
        <v>8000</v>
      </c>
      <c r="S861" s="38">
        <v>1</v>
      </c>
      <c r="T861" s="39">
        <f t="shared" si="107"/>
        <v>224000000</v>
      </c>
      <c r="U861" s="38">
        <v>8000</v>
      </c>
      <c r="V861" s="38">
        <v>1</v>
      </c>
      <c r="W861" s="39">
        <f t="shared" si="108"/>
        <v>224000000</v>
      </c>
      <c r="X861" s="38"/>
      <c r="Y861" s="38"/>
      <c r="Z861" s="39">
        <f t="shared" si="109"/>
        <v>0</v>
      </c>
      <c r="AA861" s="38"/>
      <c r="AB861" s="38"/>
      <c r="AC861" s="39">
        <f t="shared" si="110"/>
        <v>0</v>
      </c>
      <c r="AD861" s="38"/>
      <c r="AE861" s="38"/>
      <c r="AF861" s="39">
        <f t="shared" si="111"/>
        <v>0</v>
      </c>
    </row>
    <row r="862" spans="2:32" ht="15" customHeight="1" x14ac:dyDescent="0.3">
      <c r="B862" s="2" t="s">
        <v>983</v>
      </c>
      <c r="C862" s="4" t="s">
        <v>1176</v>
      </c>
      <c r="D862" s="3" t="s">
        <v>1238</v>
      </c>
      <c r="E862" s="6" t="s">
        <v>1252</v>
      </c>
      <c r="F862" s="6" t="s">
        <v>1156</v>
      </c>
      <c r="G862" s="6" t="s">
        <v>716</v>
      </c>
      <c r="H862" s="25">
        <v>39000</v>
      </c>
      <c r="I862" s="38">
        <v>0</v>
      </c>
      <c r="J862" s="38">
        <v>0</v>
      </c>
      <c r="K862" s="39">
        <f t="shared" si="104"/>
        <v>0</v>
      </c>
      <c r="L862" s="38">
        <v>30</v>
      </c>
      <c r="M862" s="38">
        <v>1</v>
      </c>
      <c r="N862" s="39">
        <f t="shared" si="105"/>
        <v>1170000</v>
      </c>
      <c r="O862" s="38">
        <v>30</v>
      </c>
      <c r="P862" s="38">
        <v>1</v>
      </c>
      <c r="Q862" s="39">
        <f t="shared" si="106"/>
        <v>1170000</v>
      </c>
      <c r="R862" s="38">
        <v>30</v>
      </c>
      <c r="S862" s="38">
        <v>1</v>
      </c>
      <c r="T862" s="39">
        <f t="shared" si="107"/>
        <v>1170000</v>
      </c>
      <c r="U862" s="38">
        <v>30</v>
      </c>
      <c r="V862" s="38">
        <v>1</v>
      </c>
      <c r="W862" s="39">
        <f t="shared" si="108"/>
        <v>1170000</v>
      </c>
      <c r="X862" s="38"/>
      <c r="Y862" s="38"/>
      <c r="Z862" s="39">
        <f t="shared" si="109"/>
        <v>0</v>
      </c>
      <c r="AA862" s="38"/>
      <c r="AB862" s="38"/>
      <c r="AC862" s="39">
        <f t="shared" si="110"/>
        <v>0</v>
      </c>
      <c r="AD862" s="38"/>
      <c r="AE862" s="38"/>
      <c r="AF862" s="39">
        <f t="shared" si="111"/>
        <v>0</v>
      </c>
    </row>
    <row r="863" spans="2:32" ht="15" customHeight="1" x14ac:dyDescent="0.3">
      <c r="B863" s="2" t="s">
        <v>983</v>
      </c>
      <c r="C863" s="4" t="s">
        <v>1176</v>
      </c>
      <c r="D863" s="3" t="s">
        <v>1238</v>
      </c>
      <c r="E863" s="6" t="s">
        <v>1252</v>
      </c>
      <c r="F863" s="6" t="s">
        <v>1156</v>
      </c>
      <c r="G863" s="6" t="s">
        <v>711</v>
      </c>
      <c r="H863" s="25">
        <v>70</v>
      </c>
      <c r="I863" s="38">
        <v>0</v>
      </c>
      <c r="J863" s="38">
        <v>0</v>
      </c>
      <c r="K863" s="39">
        <f t="shared" si="104"/>
        <v>0</v>
      </c>
      <c r="L863" s="38">
        <v>30</v>
      </c>
      <c r="M863" s="38">
        <v>1</v>
      </c>
      <c r="N863" s="39">
        <f t="shared" si="105"/>
        <v>2100</v>
      </c>
      <c r="O863" s="38">
        <v>30</v>
      </c>
      <c r="P863" s="38">
        <v>1</v>
      </c>
      <c r="Q863" s="39">
        <f t="shared" si="106"/>
        <v>2100</v>
      </c>
      <c r="R863" s="38">
        <v>30</v>
      </c>
      <c r="S863" s="38">
        <v>1</v>
      </c>
      <c r="T863" s="39">
        <f t="shared" si="107"/>
        <v>2100</v>
      </c>
      <c r="U863" s="38">
        <v>30</v>
      </c>
      <c r="V863" s="38">
        <v>1</v>
      </c>
      <c r="W863" s="39">
        <f t="shared" si="108"/>
        <v>2100</v>
      </c>
      <c r="X863" s="38"/>
      <c r="Y863" s="38"/>
      <c r="Z863" s="39">
        <f t="shared" si="109"/>
        <v>0</v>
      </c>
      <c r="AA863" s="38"/>
      <c r="AB863" s="38"/>
      <c r="AC863" s="39">
        <f t="shared" si="110"/>
        <v>0</v>
      </c>
      <c r="AD863" s="38"/>
      <c r="AE863" s="38"/>
      <c r="AF863" s="39">
        <f t="shared" si="111"/>
        <v>0</v>
      </c>
    </row>
    <row r="864" spans="2:32" ht="15" customHeight="1" x14ac:dyDescent="0.3">
      <c r="B864" s="2" t="s">
        <v>983</v>
      </c>
      <c r="C864" s="4" t="s">
        <v>1176</v>
      </c>
      <c r="D864" s="3" t="s">
        <v>1238</v>
      </c>
      <c r="E864" s="6" t="s">
        <v>1252</v>
      </c>
      <c r="F864" s="6" t="s">
        <v>1156</v>
      </c>
      <c r="G864" s="6" t="s">
        <v>710</v>
      </c>
      <c r="H864" s="25">
        <v>104850</v>
      </c>
      <c r="I864" s="38">
        <v>0</v>
      </c>
      <c r="J864" s="38">
        <v>0</v>
      </c>
      <c r="K864" s="39">
        <f t="shared" si="104"/>
        <v>0</v>
      </c>
      <c r="L864" s="38">
        <v>50000</v>
      </c>
      <c r="M864" s="38">
        <v>1</v>
      </c>
      <c r="N864" s="39">
        <f t="shared" si="105"/>
        <v>5242500000</v>
      </c>
      <c r="O864" s="38">
        <v>50000</v>
      </c>
      <c r="P864" s="38">
        <v>1</v>
      </c>
      <c r="Q864" s="39">
        <f t="shared" si="106"/>
        <v>5242500000</v>
      </c>
      <c r="R864" s="38">
        <v>50000</v>
      </c>
      <c r="S864" s="38">
        <v>1</v>
      </c>
      <c r="T864" s="39">
        <f t="shared" si="107"/>
        <v>5242500000</v>
      </c>
      <c r="U864" s="38">
        <v>50000</v>
      </c>
      <c r="V864" s="38">
        <v>1</v>
      </c>
      <c r="W864" s="39">
        <f t="shared" si="108"/>
        <v>5242500000</v>
      </c>
      <c r="X864" s="38"/>
      <c r="Y864" s="38"/>
      <c r="Z864" s="39">
        <f t="shared" si="109"/>
        <v>0</v>
      </c>
      <c r="AA864" s="38"/>
      <c r="AB864" s="38"/>
      <c r="AC864" s="39">
        <f t="shared" si="110"/>
        <v>0</v>
      </c>
      <c r="AD864" s="38"/>
      <c r="AE864" s="38"/>
      <c r="AF864" s="39">
        <f t="shared" si="111"/>
        <v>0</v>
      </c>
    </row>
    <row r="865" spans="2:32" ht="15" customHeight="1" x14ac:dyDescent="0.3">
      <c r="B865" s="2" t="s">
        <v>983</v>
      </c>
      <c r="C865" s="4" t="s">
        <v>1176</v>
      </c>
      <c r="D865" s="3" t="s">
        <v>1238</v>
      </c>
      <c r="E865" s="6" t="s">
        <v>1252</v>
      </c>
      <c r="F865" s="6" t="s">
        <v>1156</v>
      </c>
      <c r="G865" s="6" t="s">
        <v>712</v>
      </c>
      <c r="H865" s="25">
        <v>214.29</v>
      </c>
      <c r="I865" s="38">
        <v>0</v>
      </c>
      <c r="J865" s="38">
        <v>0</v>
      </c>
      <c r="K865" s="39">
        <f t="shared" si="104"/>
        <v>0</v>
      </c>
      <c r="L865" s="38">
        <v>5</v>
      </c>
      <c r="M865" s="38">
        <v>1</v>
      </c>
      <c r="N865" s="39">
        <f t="shared" si="105"/>
        <v>1071.45</v>
      </c>
      <c r="O865" s="38">
        <v>5</v>
      </c>
      <c r="P865" s="38">
        <v>1</v>
      </c>
      <c r="Q865" s="39">
        <f t="shared" si="106"/>
        <v>1071.45</v>
      </c>
      <c r="R865" s="38">
        <v>5</v>
      </c>
      <c r="S865" s="38">
        <v>1</v>
      </c>
      <c r="T865" s="39">
        <f t="shared" si="107"/>
        <v>1071.45</v>
      </c>
      <c r="U865" s="38">
        <v>5</v>
      </c>
      <c r="V865" s="38">
        <v>1</v>
      </c>
      <c r="W865" s="39">
        <f t="shared" si="108"/>
        <v>1071.45</v>
      </c>
      <c r="X865" s="38"/>
      <c r="Y865" s="38"/>
      <c r="Z865" s="39">
        <f t="shared" si="109"/>
        <v>0</v>
      </c>
      <c r="AA865" s="38"/>
      <c r="AB865" s="38"/>
      <c r="AC865" s="39">
        <f t="shared" si="110"/>
        <v>0</v>
      </c>
      <c r="AD865" s="38"/>
      <c r="AE865" s="38"/>
      <c r="AF865" s="39">
        <f t="shared" si="111"/>
        <v>0</v>
      </c>
    </row>
    <row r="866" spans="2:32" ht="15" customHeight="1" x14ac:dyDescent="0.3">
      <c r="B866" s="2" t="s">
        <v>983</v>
      </c>
      <c r="C866" s="4" t="s">
        <v>1176</v>
      </c>
      <c r="D866" s="3" t="s">
        <v>1238</v>
      </c>
      <c r="E866" s="6" t="s">
        <v>1252</v>
      </c>
      <c r="F866" s="6" t="s">
        <v>1242</v>
      </c>
      <c r="G866" s="6" t="s">
        <v>841</v>
      </c>
      <c r="H866" s="25">
        <v>0</v>
      </c>
      <c r="I866" s="38">
        <v>0</v>
      </c>
      <c r="J866" s="38">
        <v>0</v>
      </c>
      <c r="K866" s="39">
        <f t="shared" si="104"/>
        <v>0</v>
      </c>
      <c r="L866" s="38">
        <v>6000</v>
      </c>
      <c r="M866" s="38">
        <v>1</v>
      </c>
      <c r="N866" s="39">
        <f t="shared" si="105"/>
        <v>0</v>
      </c>
      <c r="O866" s="38">
        <v>6000</v>
      </c>
      <c r="P866" s="38">
        <v>1</v>
      </c>
      <c r="Q866" s="39">
        <f t="shared" si="106"/>
        <v>0</v>
      </c>
      <c r="R866" s="38">
        <v>6000</v>
      </c>
      <c r="S866" s="38">
        <v>1</v>
      </c>
      <c r="T866" s="39">
        <f t="shared" si="107"/>
        <v>0</v>
      </c>
      <c r="U866" s="38">
        <v>6000</v>
      </c>
      <c r="V866" s="38">
        <v>1</v>
      </c>
      <c r="W866" s="39">
        <f t="shared" si="108"/>
        <v>0</v>
      </c>
      <c r="X866" s="38"/>
      <c r="Y866" s="38"/>
      <c r="Z866" s="39">
        <f t="shared" si="109"/>
        <v>0</v>
      </c>
      <c r="AA866" s="38"/>
      <c r="AB866" s="38"/>
      <c r="AC866" s="39">
        <f t="shared" si="110"/>
        <v>0</v>
      </c>
      <c r="AD866" s="38"/>
      <c r="AE866" s="38"/>
      <c r="AF866" s="39">
        <f t="shared" si="111"/>
        <v>0</v>
      </c>
    </row>
    <row r="867" spans="2:32" ht="15" customHeight="1" x14ac:dyDescent="0.3">
      <c r="B867" s="2" t="s">
        <v>983</v>
      </c>
      <c r="C867" s="4" t="s">
        <v>1255</v>
      </c>
      <c r="D867" s="3" t="s">
        <v>1256</v>
      </c>
      <c r="E867" s="6" t="s">
        <v>1257</v>
      </c>
      <c r="F867" s="6" t="s">
        <v>1258</v>
      </c>
      <c r="G867" s="6" t="s">
        <v>709</v>
      </c>
      <c r="H867" s="25">
        <v>28000</v>
      </c>
      <c r="I867" s="38">
        <v>0</v>
      </c>
      <c r="J867" s="38">
        <v>0</v>
      </c>
      <c r="K867" s="39">
        <f t="shared" si="104"/>
        <v>0</v>
      </c>
      <c r="L867" s="38">
        <v>0</v>
      </c>
      <c r="M867" s="38">
        <v>0</v>
      </c>
      <c r="N867" s="39">
        <f t="shared" si="105"/>
        <v>0</v>
      </c>
      <c r="O867" s="38">
        <v>0</v>
      </c>
      <c r="P867" s="38">
        <v>0</v>
      </c>
      <c r="Q867" s="39">
        <f t="shared" si="106"/>
        <v>0</v>
      </c>
      <c r="R867" s="38">
        <v>0</v>
      </c>
      <c r="S867" s="38">
        <v>0</v>
      </c>
      <c r="T867" s="39">
        <f t="shared" si="107"/>
        <v>0</v>
      </c>
      <c r="U867" s="38">
        <v>0</v>
      </c>
      <c r="V867" s="38">
        <v>0</v>
      </c>
      <c r="W867" s="39">
        <f t="shared" si="108"/>
        <v>0</v>
      </c>
      <c r="X867" s="38"/>
      <c r="Y867" s="38"/>
      <c r="Z867" s="39">
        <f t="shared" si="109"/>
        <v>0</v>
      </c>
      <c r="AA867" s="38"/>
      <c r="AB867" s="38"/>
      <c r="AC867" s="39">
        <f t="shared" si="110"/>
        <v>0</v>
      </c>
      <c r="AD867" s="38"/>
      <c r="AE867" s="38"/>
      <c r="AF867" s="39">
        <f t="shared" si="111"/>
        <v>0</v>
      </c>
    </row>
    <row r="868" spans="2:32" ht="15" customHeight="1" x14ac:dyDescent="0.3">
      <c r="B868" s="2" t="s">
        <v>983</v>
      </c>
      <c r="C868" s="4" t="s">
        <v>1255</v>
      </c>
      <c r="D868" s="3" t="s">
        <v>1256</v>
      </c>
      <c r="E868" s="6" t="s">
        <v>1259</v>
      </c>
      <c r="F868" s="6" t="s">
        <v>1260</v>
      </c>
      <c r="G868" s="6" t="s">
        <v>709</v>
      </c>
      <c r="H868" s="25">
        <v>28000</v>
      </c>
      <c r="I868" s="38">
        <v>0</v>
      </c>
      <c r="J868" s="38">
        <v>0</v>
      </c>
      <c r="K868" s="39">
        <f t="shared" si="104"/>
        <v>0</v>
      </c>
      <c r="L868" s="38">
        <v>10</v>
      </c>
      <c r="M868" s="38">
        <v>1</v>
      </c>
      <c r="N868" s="39">
        <f t="shared" si="105"/>
        <v>280000</v>
      </c>
      <c r="O868" s="38">
        <v>0</v>
      </c>
      <c r="P868" s="38">
        <v>0</v>
      </c>
      <c r="Q868" s="39">
        <f t="shared" si="106"/>
        <v>0</v>
      </c>
      <c r="R868" s="38">
        <v>0</v>
      </c>
      <c r="S868" s="38">
        <v>0</v>
      </c>
      <c r="T868" s="39">
        <f t="shared" si="107"/>
        <v>0</v>
      </c>
      <c r="U868" s="38">
        <v>0</v>
      </c>
      <c r="V868" s="38">
        <v>0</v>
      </c>
      <c r="W868" s="39">
        <f t="shared" si="108"/>
        <v>0</v>
      </c>
      <c r="X868" s="38"/>
      <c r="Y868" s="38"/>
      <c r="Z868" s="39">
        <f t="shared" si="109"/>
        <v>0</v>
      </c>
      <c r="AA868" s="38"/>
      <c r="AB868" s="38"/>
      <c r="AC868" s="39">
        <f t="shared" si="110"/>
        <v>0</v>
      </c>
      <c r="AD868" s="38"/>
      <c r="AE868" s="38"/>
      <c r="AF868" s="39">
        <f t="shared" si="111"/>
        <v>0</v>
      </c>
    </row>
    <row r="869" spans="2:32" ht="15" customHeight="1" x14ac:dyDescent="0.3">
      <c r="B869" s="2" t="s">
        <v>983</v>
      </c>
      <c r="C869" s="4" t="s">
        <v>1255</v>
      </c>
      <c r="D869" s="3" t="s">
        <v>1256</v>
      </c>
      <c r="E869" s="6" t="s">
        <v>1261</v>
      </c>
      <c r="F869" s="6" t="s">
        <v>1262</v>
      </c>
      <c r="G869" s="6" t="s">
        <v>709</v>
      </c>
      <c r="H869" s="25">
        <v>28000</v>
      </c>
      <c r="I869" s="38">
        <v>0</v>
      </c>
      <c r="J869" s="38">
        <v>0</v>
      </c>
      <c r="K869" s="39">
        <f t="shared" si="104"/>
        <v>0</v>
      </c>
      <c r="L869" s="38">
        <v>10</v>
      </c>
      <c r="M869" s="38">
        <v>1</v>
      </c>
      <c r="N869" s="39">
        <f t="shared" si="105"/>
        <v>280000</v>
      </c>
      <c r="O869" s="38">
        <v>0</v>
      </c>
      <c r="P869" s="38">
        <v>0</v>
      </c>
      <c r="Q869" s="39">
        <f t="shared" si="106"/>
        <v>0</v>
      </c>
      <c r="R869" s="38">
        <v>0</v>
      </c>
      <c r="S869" s="38">
        <v>0</v>
      </c>
      <c r="T869" s="39">
        <f t="shared" si="107"/>
        <v>0</v>
      </c>
      <c r="U869" s="38">
        <v>0</v>
      </c>
      <c r="V869" s="38">
        <v>0</v>
      </c>
      <c r="W869" s="39">
        <f t="shared" si="108"/>
        <v>0</v>
      </c>
      <c r="X869" s="38"/>
      <c r="Y869" s="38"/>
      <c r="Z869" s="39">
        <f t="shared" si="109"/>
        <v>0</v>
      </c>
      <c r="AA869" s="38"/>
      <c r="AB869" s="38"/>
      <c r="AC869" s="39">
        <f t="shared" si="110"/>
        <v>0</v>
      </c>
      <c r="AD869" s="38"/>
      <c r="AE869" s="38"/>
      <c r="AF869" s="39">
        <f t="shared" si="111"/>
        <v>0</v>
      </c>
    </row>
    <row r="870" spans="2:32" ht="15" customHeight="1" x14ac:dyDescent="0.3">
      <c r="B870" s="2" t="s">
        <v>983</v>
      </c>
      <c r="C870" s="4" t="s">
        <v>1255</v>
      </c>
      <c r="D870" s="3" t="s">
        <v>1256</v>
      </c>
      <c r="E870" s="6" t="s">
        <v>1261</v>
      </c>
      <c r="F870" s="6" t="s">
        <v>1262</v>
      </c>
      <c r="G870" s="6" t="s">
        <v>716</v>
      </c>
      <c r="H870" s="25">
        <v>39000</v>
      </c>
      <c r="I870" s="38">
        <v>40</v>
      </c>
      <c r="J870" s="38">
        <v>1</v>
      </c>
      <c r="K870" s="39">
        <f t="shared" si="104"/>
        <v>1560000</v>
      </c>
      <c r="L870" s="38">
        <v>0</v>
      </c>
      <c r="M870" s="38">
        <v>0</v>
      </c>
      <c r="N870" s="39">
        <f t="shared" si="105"/>
        <v>0</v>
      </c>
      <c r="O870" s="38">
        <v>0</v>
      </c>
      <c r="P870" s="38">
        <v>0</v>
      </c>
      <c r="Q870" s="39">
        <f t="shared" si="106"/>
        <v>0</v>
      </c>
      <c r="R870" s="38">
        <v>0</v>
      </c>
      <c r="S870" s="38">
        <v>0</v>
      </c>
      <c r="T870" s="39">
        <f t="shared" si="107"/>
        <v>0</v>
      </c>
      <c r="U870" s="38">
        <v>0</v>
      </c>
      <c r="V870" s="38">
        <v>0</v>
      </c>
      <c r="W870" s="39">
        <f t="shared" si="108"/>
        <v>0</v>
      </c>
      <c r="X870" s="38"/>
      <c r="Y870" s="38"/>
      <c r="Z870" s="39">
        <f t="shared" si="109"/>
        <v>0</v>
      </c>
      <c r="AA870" s="38"/>
      <c r="AB870" s="38"/>
      <c r="AC870" s="39">
        <f t="shared" si="110"/>
        <v>0</v>
      </c>
      <c r="AD870" s="38"/>
      <c r="AE870" s="38"/>
      <c r="AF870" s="39">
        <f t="shared" si="111"/>
        <v>0</v>
      </c>
    </row>
    <row r="871" spans="2:32" ht="15" customHeight="1" x14ac:dyDescent="0.3">
      <c r="B871" s="2" t="s">
        <v>983</v>
      </c>
      <c r="C871" s="4" t="s">
        <v>1255</v>
      </c>
      <c r="D871" s="3" t="s">
        <v>1256</v>
      </c>
      <c r="E871" s="6" t="s">
        <v>1261</v>
      </c>
      <c r="F871" s="6" t="s">
        <v>1262</v>
      </c>
      <c r="G871" s="6" t="s">
        <v>712</v>
      </c>
      <c r="H871" s="25">
        <v>214.29</v>
      </c>
      <c r="I871" s="38">
        <v>40</v>
      </c>
      <c r="J871" s="38">
        <v>1</v>
      </c>
      <c r="K871" s="39">
        <f t="shared" si="104"/>
        <v>8571.6</v>
      </c>
      <c r="L871" s="38">
        <v>0</v>
      </c>
      <c r="M871" s="38">
        <v>0</v>
      </c>
      <c r="N871" s="39">
        <f t="shared" si="105"/>
        <v>0</v>
      </c>
      <c r="O871" s="38">
        <v>0</v>
      </c>
      <c r="P871" s="38">
        <v>0</v>
      </c>
      <c r="Q871" s="39">
        <f t="shared" si="106"/>
        <v>0</v>
      </c>
      <c r="R871" s="38">
        <v>0</v>
      </c>
      <c r="S871" s="38">
        <v>0</v>
      </c>
      <c r="T871" s="39">
        <f t="shared" si="107"/>
        <v>0</v>
      </c>
      <c r="U871" s="38">
        <v>0</v>
      </c>
      <c r="V871" s="38">
        <v>0</v>
      </c>
      <c r="W871" s="39">
        <f t="shared" si="108"/>
        <v>0</v>
      </c>
      <c r="X871" s="38"/>
      <c r="Y871" s="38"/>
      <c r="Z871" s="39">
        <f t="shared" si="109"/>
        <v>0</v>
      </c>
      <c r="AA871" s="38"/>
      <c r="AB871" s="38"/>
      <c r="AC871" s="39">
        <f t="shared" si="110"/>
        <v>0</v>
      </c>
      <c r="AD871" s="38"/>
      <c r="AE871" s="38"/>
      <c r="AF871" s="39">
        <f t="shared" si="111"/>
        <v>0</v>
      </c>
    </row>
    <row r="872" spans="2:32" ht="15" customHeight="1" x14ac:dyDescent="0.3">
      <c r="B872" s="2" t="s">
        <v>983</v>
      </c>
      <c r="C872" s="4" t="s">
        <v>1255</v>
      </c>
      <c r="D872" s="3" t="s">
        <v>1256</v>
      </c>
      <c r="E872" s="6" t="s">
        <v>1263</v>
      </c>
      <c r="F872" s="6" t="s">
        <v>1264</v>
      </c>
      <c r="G872" s="6" t="s">
        <v>709</v>
      </c>
      <c r="H872" s="25">
        <v>28000</v>
      </c>
      <c r="I872" s="38">
        <v>8000</v>
      </c>
      <c r="J872" s="38">
        <v>1</v>
      </c>
      <c r="K872" s="39">
        <f t="shared" si="104"/>
        <v>224000000</v>
      </c>
      <c r="L872" s="38">
        <v>0</v>
      </c>
      <c r="M872" s="38">
        <v>0</v>
      </c>
      <c r="N872" s="39">
        <f t="shared" si="105"/>
        <v>0</v>
      </c>
      <c r="O872" s="38">
        <v>0</v>
      </c>
      <c r="P872" s="38">
        <v>0</v>
      </c>
      <c r="Q872" s="39">
        <f t="shared" si="106"/>
        <v>0</v>
      </c>
      <c r="R872" s="38">
        <v>0</v>
      </c>
      <c r="S872" s="38">
        <v>0</v>
      </c>
      <c r="T872" s="39">
        <f t="shared" si="107"/>
        <v>0</v>
      </c>
      <c r="U872" s="38">
        <v>0</v>
      </c>
      <c r="V872" s="38">
        <v>0</v>
      </c>
      <c r="W872" s="39">
        <f t="shared" si="108"/>
        <v>0</v>
      </c>
      <c r="X872" s="38"/>
      <c r="Y872" s="38"/>
      <c r="Z872" s="39">
        <f t="shared" si="109"/>
        <v>0</v>
      </c>
      <c r="AA872" s="38"/>
      <c r="AB872" s="38"/>
      <c r="AC872" s="39">
        <f t="shared" si="110"/>
        <v>0</v>
      </c>
      <c r="AD872" s="38"/>
      <c r="AE872" s="38"/>
      <c r="AF872" s="39">
        <f t="shared" si="111"/>
        <v>0</v>
      </c>
    </row>
    <row r="873" spans="2:32" ht="15" customHeight="1" x14ac:dyDescent="0.3">
      <c r="B873" s="2" t="s">
        <v>983</v>
      </c>
      <c r="C873" s="4" t="s">
        <v>1255</v>
      </c>
      <c r="D873" s="3" t="s">
        <v>1256</v>
      </c>
      <c r="E873" s="6" t="s">
        <v>1263</v>
      </c>
      <c r="F873" s="6" t="s">
        <v>1264</v>
      </c>
      <c r="G873" s="6" t="s">
        <v>716</v>
      </c>
      <c r="H873" s="25">
        <v>39000</v>
      </c>
      <c r="I873" s="38">
        <v>0</v>
      </c>
      <c r="J873" s="38">
        <v>0</v>
      </c>
      <c r="K873" s="39">
        <f t="shared" si="104"/>
        <v>0</v>
      </c>
      <c r="L873" s="38">
        <v>1200</v>
      </c>
      <c r="M873" s="38">
        <v>5</v>
      </c>
      <c r="N873" s="39">
        <f t="shared" si="105"/>
        <v>234000000</v>
      </c>
      <c r="O873" s="38">
        <v>0</v>
      </c>
      <c r="P873" s="38">
        <v>0</v>
      </c>
      <c r="Q873" s="39">
        <f t="shared" si="106"/>
        <v>0</v>
      </c>
      <c r="R873" s="38">
        <v>0</v>
      </c>
      <c r="S873" s="38">
        <v>0</v>
      </c>
      <c r="T873" s="39">
        <f t="shared" si="107"/>
        <v>0</v>
      </c>
      <c r="U873" s="38">
        <v>0</v>
      </c>
      <c r="V873" s="38">
        <v>0</v>
      </c>
      <c r="W873" s="39">
        <f t="shared" si="108"/>
        <v>0</v>
      </c>
      <c r="X873" s="38"/>
      <c r="Y873" s="38"/>
      <c r="Z873" s="39">
        <f t="shared" si="109"/>
        <v>0</v>
      </c>
      <c r="AA873" s="38"/>
      <c r="AB873" s="38"/>
      <c r="AC873" s="39">
        <f t="shared" si="110"/>
        <v>0</v>
      </c>
      <c r="AD873" s="38"/>
      <c r="AE873" s="38"/>
      <c r="AF873" s="39">
        <f t="shared" si="111"/>
        <v>0</v>
      </c>
    </row>
    <row r="874" spans="2:32" ht="15" customHeight="1" x14ac:dyDescent="0.3">
      <c r="B874" s="2" t="s">
        <v>983</v>
      </c>
      <c r="C874" s="4" t="s">
        <v>1255</v>
      </c>
      <c r="D874" s="3" t="s">
        <v>1256</v>
      </c>
      <c r="E874" s="6" t="s">
        <v>1263</v>
      </c>
      <c r="F874" s="6" t="s">
        <v>1264</v>
      </c>
      <c r="G874" s="6" t="s">
        <v>712</v>
      </c>
      <c r="H874" s="25">
        <v>214.29</v>
      </c>
      <c r="I874" s="38">
        <v>0</v>
      </c>
      <c r="J874" s="38">
        <v>0</v>
      </c>
      <c r="K874" s="39">
        <f t="shared" si="104"/>
        <v>0</v>
      </c>
      <c r="L874" s="38">
        <v>1200</v>
      </c>
      <c r="M874" s="38">
        <v>5</v>
      </c>
      <c r="N874" s="39">
        <f t="shared" si="105"/>
        <v>1285740</v>
      </c>
      <c r="O874" s="38">
        <v>0</v>
      </c>
      <c r="P874" s="38">
        <v>0</v>
      </c>
      <c r="Q874" s="39">
        <f t="shared" si="106"/>
        <v>0</v>
      </c>
      <c r="R874" s="38">
        <v>0</v>
      </c>
      <c r="S874" s="38">
        <v>0</v>
      </c>
      <c r="T874" s="39">
        <f t="shared" si="107"/>
        <v>0</v>
      </c>
      <c r="U874" s="38">
        <v>0</v>
      </c>
      <c r="V874" s="38">
        <v>0</v>
      </c>
      <c r="W874" s="39">
        <f t="shared" si="108"/>
        <v>0</v>
      </c>
      <c r="X874" s="38"/>
      <c r="Y874" s="38"/>
      <c r="Z874" s="39">
        <f t="shared" si="109"/>
        <v>0</v>
      </c>
      <c r="AA874" s="38"/>
      <c r="AB874" s="38"/>
      <c r="AC874" s="39">
        <f t="shared" si="110"/>
        <v>0</v>
      </c>
      <c r="AD874" s="38"/>
      <c r="AE874" s="38"/>
      <c r="AF874" s="39">
        <f t="shared" si="111"/>
        <v>0</v>
      </c>
    </row>
    <row r="875" spans="2:32" ht="15" customHeight="1" x14ac:dyDescent="0.3">
      <c r="B875" s="2" t="s">
        <v>983</v>
      </c>
      <c r="C875" s="4" t="s">
        <v>1255</v>
      </c>
      <c r="D875" s="3" t="s">
        <v>1256</v>
      </c>
      <c r="E875" s="6" t="s">
        <v>1265</v>
      </c>
      <c r="F875" s="6" t="s">
        <v>1266</v>
      </c>
      <c r="G875" s="6" t="s">
        <v>841</v>
      </c>
      <c r="H875" s="25">
        <v>0</v>
      </c>
      <c r="I875" s="38">
        <v>0</v>
      </c>
      <c r="J875" s="38">
        <v>0</v>
      </c>
      <c r="K875" s="39">
        <f t="shared" si="104"/>
        <v>0</v>
      </c>
      <c r="L875" s="38">
        <v>20000</v>
      </c>
      <c r="M875" s="38">
        <v>5</v>
      </c>
      <c r="N875" s="39">
        <f t="shared" si="105"/>
        <v>0</v>
      </c>
      <c r="O875" s="38">
        <v>0</v>
      </c>
      <c r="P875" s="38">
        <v>0</v>
      </c>
      <c r="Q875" s="39">
        <f t="shared" si="106"/>
        <v>0</v>
      </c>
      <c r="R875" s="38">
        <v>0</v>
      </c>
      <c r="S875" s="38">
        <v>0</v>
      </c>
      <c r="T875" s="39">
        <f t="shared" si="107"/>
        <v>0</v>
      </c>
      <c r="U875" s="38">
        <v>0</v>
      </c>
      <c r="V875" s="38">
        <v>0</v>
      </c>
      <c r="W875" s="39">
        <f t="shared" si="108"/>
        <v>0</v>
      </c>
      <c r="X875" s="38"/>
      <c r="Y875" s="38"/>
      <c r="Z875" s="39">
        <f t="shared" si="109"/>
        <v>0</v>
      </c>
      <c r="AA875" s="38"/>
      <c r="AB875" s="38"/>
      <c r="AC875" s="39">
        <f t="shared" si="110"/>
        <v>0</v>
      </c>
      <c r="AD875" s="38"/>
      <c r="AE875" s="38"/>
      <c r="AF875" s="39">
        <f t="shared" si="111"/>
        <v>0</v>
      </c>
    </row>
    <row r="876" spans="2:32" ht="15" customHeight="1" x14ac:dyDescent="0.3">
      <c r="B876" s="2" t="s">
        <v>983</v>
      </c>
      <c r="C876" s="4" t="s">
        <v>1255</v>
      </c>
      <c r="D876" s="3" t="s">
        <v>1256</v>
      </c>
      <c r="E876" s="6" t="s">
        <v>1267</v>
      </c>
      <c r="F876" s="6" t="s">
        <v>1179</v>
      </c>
      <c r="G876" s="6" t="s">
        <v>841</v>
      </c>
      <c r="H876" s="25">
        <v>0</v>
      </c>
      <c r="I876" s="38">
        <v>0</v>
      </c>
      <c r="J876" s="38">
        <v>0</v>
      </c>
      <c r="K876" s="39">
        <f t="shared" si="104"/>
        <v>0</v>
      </c>
      <c r="L876" s="38">
        <v>0</v>
      </c>
      <c r="M876" s="38">
        <v>0</v>
      </c>
      <c r="N876" s="39">
        <f t="shared" si="105"/>
        <v>0</v>
      </c>
      <c r="O876" s="38">
        <v>0</v>
      </c>
      <c r="P876" s="38">
        <v>0</v>
      </c>
      <c r="Q876" s="39">
        <f t="shared" si="106"/>
        <v>0</v>
      </c>
      <c r="R876" s="38">
        <v>0</v>
      </c>
      <c r="S876" s="38">
        <v>0</v>
      </c>
      <c r="T876" s="39">
        <f t="shared" si="107"/>
        <v>0</v>
      </c>
      <c r="U876" s="38">
        <v>0</v>
      </c>
      <c r="V876" s="38">
        <v>0</v>
      </c>
      <c r="W876" s="39">
        <f t="shared" si="108"/>
        <v>0</v>
      </c>
      <c r="X876" s="38"/>
      <c r="Y876" s="38"/>
      <c r="Z876" s="39">
        <f t="shared" si="109"/>
        <v>0</v>
      </c>
      <c r="AA876" s="38"/>
      <c r="AB876" s="38"/>
      <c r="AC876" s="39">
        <f t="shared" si="110"/>
        <v>0</v>
      </c>
      <c r="AD876" s="38"/>
      <c r="AE876" s="38"/>
      <c r="AF876" s="39">
        <f t="shared" si="111"/>
        <v>0</v>
      </c>
    </row>
    <row r="877" spans="2:32" ht="15" customHeight="1" x14ac:dyDescent="0.3">
      <c r="B877" s="2" t="s">
        <v>983</v>
      </c>
      <c r="C877" s="4" t="s">
        <v>1255</v>
      </c>
      <c r="D877" s="3" t="s">
        <v>1256</v>
      </c>
      <c r="E877" s="6" t="s">
        <v>1268</v>
      </c>
      <c r="F877" s="6" t="s">
        <v>1269</v>
      </c>
      <c r="G877" s="6" t="s">
        <v>709</v>
      </c>
      <c r="H877" s="25">
        <v>28000</v>
      </c>
      <c r="I877" s="38">
        <v>0</v>
      </c>
      <c r="J877" s="38">
        <v>0</v>
      </c>
      <c r="K877" s="39">
        <f t="shared" si="104"/>
        <v>0</v>
      </c>
      <c r="L877" s="38">
        <v>0</v>
      </c>
      <c r="M877" s="38">
        <v>0</v>
      </c>
      <c r="N877" s="39">
        <f t="shared" si="105"/>
        <v>0</v>
      </c>
      <c r="O877" s="38">
        <v>0</v>
      </c>
      <c r="P877" s="38">
        <v>0</v>
      </c>
      <c r="Q877" s="39">
        <f t="shared" si="106"/>
        <v>0</v>
      </c>
      <c r="R877" s="38">
        <v>0</v>
      </c>
      <c r="S877" s="38">
        <v>0</v>
      </c>
      <c r="T877" s="39">
        <f t="shared" si="107"/>
        <v>0</v>
      </c>
      <c r="U877" s="38">
        <v>0</v>
      </c>
      <c r="V877" s="38">
        <v>0</v>
      </c>
      <c r="W877" s="39">
        <f t="shared" si="108"/>
        <v>0</v>
      </c>
      <c r="X877" s="38"/>
      <c r="Y877" s="38"/>
      <c r="Z877" s="39">
        <f t="shared" si="109"/>
        <v>0</v>
      </c>
      <c r="AA877" s="38"/>
      <c r="AB877" s="38"/>
      <c r="AC877" s="39">
        <f t="shared" si="110"/>
        <v>0</v>
      </c>
      <c r="AD877" s="38"/>
      <c r="AE877" s="38"/>
      <c r="AF877" s="39">
        <f t="shared" si="111"/>
        <v>0</v>
      </c>
    </row>
    <row r="878" spans="2:32" ht="15" customHeight="1" x14ac:dyDescent="0.3">
      <c r="B878" s="2" t="s">
        <v>983</v>
      </c>
      <c r="C878" s="4" t="s">
        <v>1255</v>
      </c>
      <c r="D878" s="3" t="s">
        <v>1256</v>
      </c>
      <c r="E878" s="6" t="s">
        <v>1268</v>
      </c>
      <c r="F878" s="6" t="s">
        <v>1269</v>
      </c>
      <c r="G878" s="6" t="s">
        <v>716</v>
      </c>
      <c r="H878" s="25">
        <v>39000</v>
      </c>
      <c r="I878" s="38">
        <v>0</v>
      </c>
      <c r="J878" s="38">
        <v>0</v>
      </c>
      <c r="K878" s="39">
        <f t="shared" si="104"/>
        <v>0</v>
      </c>
      <c r="L878" s="38">
        <v>40</v>
      </c>
      <c r="M878" s="38">
        <v>2</v>
      </c>
      <c r="N878" s="39">
        <f t="shared" si="105"/>
        <v>3120000</v>
      </c>
      <c r="O878" s="38">
        <v>0</v>
      </c>
      <c r="P878" s="38">
        <v>0</v>
      </c>
      <c r="Q878" s="39">
        <f t="shared" si="106"/>
        <v>0</v>
      </c>
      <c r="R878" s="38">
        <v>0</v>
      </c>
      <c r="S878" s="38">
        <v>0</v>
      </c>
      <c r="T878" s="39">
        <f t="shared" si="107"/>
        <v>0</v>
      </c>
      <c r="U878" s="38">
        <v>0</v>
      </c>
      <c r="V878" s="38">
        <v>0</v>
      </c>
      <c r="W878" s="39">
        <f t="shared" si="108"/>
        <v>0</v>
      </c>
      <c r="X878" s="38"/>
      <c r="Y878" s="38"/>
      <c r="Z878" s="39">
        <f t="shared" si="109"/>
        <v>0</v>
      </c>
      <c r="AA878" s="38"/>
      <c r="AB878" s="38"/>
      <c r="AC878" s="39">
        <f t="shared" si="110"/>
        <v>0</v>
      </c>
      <c r="AD878" s="38"/>
      <c r="AE878" s="38"/>
      <c r="AF878" s="39">
        <f t="shared" si="111"/>
        <v>0</v>
      </c>
    </row>
    <row r="879" spans="2:32" ht="15" customHeight="1" x14ac:dyDescent="0.3">
      <c r="B879" s="2" t="s">
        <v>983</v>
      </c>
      <c r="C879" s="4" t="s">
        <v>1255</v>
      </c>
      <c r="D879" s="3" t="s">
        <v>1256</v>
      </c>
      <c r="E879" s="6" t="s">
        <v>1268</v>
      </c>
      <c r="F879" s="6" t="s">
        <v>1269</v>
      </c>
      <c r="G879" s="6" t="s">
        <v>712</v>
      </c>
      <c r="H879" s="25">
        <v>214.29</v>
      </c>
      <c r="I879" s="38">
        <v>0</v>
      </c>
      <c r="J879" s="38">
        <v>0</v>
      </c>
      <c r="K879" s="39">
        <f t="shared" si="104"/>
        <v>0</v>
      </c>
      <c r="L879" s="38">
        <v>40</v>
      </c>
      <c r="M879" s="38">
        <v>2</v>
      </c>
      <c r="N879" s="39">
        <f t="shared" si="105"/>
        <v>17143.2</v>
      </c>
      <c r="O879" s="38">
        <v>0</v>
      </c>
      <c r="P879" s="38">
        <v>0</v>
      </c>
      <c r="Q879" s="39">
        <f t="shared" si="106"/>
        <v>0</v>
      </c>
      <c r="R879" s="38">
        <v>0</v>
      </c>
      <c r="S879" s="38">
        <v>0</v>
      </c>
      <c r="T879" s="39">
        <f t="shared" si="107"/>
        <v>0</v>
      </c>
      <c r="U879" s="38">
        <v>0</v>
      </c>
      <c r="V879" s="38">
        <v>0</v>
      </c>
      <c r="W879" s="39">
        <f t="shared" si="108"/>
        <v>0</v>
      </c>
      <c r="X879" s="38"/>
      <c r="Y879" s="38"/>
      <c r="Z879" s="39">
        <f t="shared" si="109"/>
        <v>0</v>
      </c>
      <c r="AA879" s="38"/>
      <c r="AB879" s="38"/>
      <c r="AC879" s="39">
        <f t="shared" si="110"/>
        <v>0</v>
      </c>
      <c r="AD879" s="38"/>
      <c r="AE879" s="38"/>
      <c r="AF879" s="39">
        <f t="shared" si="111"/>
        <v>0</v>
      </c>
    </row>
    <row r="880" spans="2:32" ht="15" customHeight="1" x14ac:dyDescent="0.3">
      <c r="B880" s="2" t="s">
        <v>983</v>
      </c>
      <c r="C880" s="4" t="s">
        <v>1255</v>
      </c>
      <c r="D880" s="3" t="s">
        <v>1256</v>
      </c>
      <c r="E880" s="6" t="s">
        <v>1268</v>
      </c>
      <c r="F880" s="6" t="s">
        <v>1270</v>
      </c>
      <c r="G880" s="6" t="s">
        <v>709</v>
      </c>
      <c r="H880" s="25">
        <v>28000</v>
      </c>
      <c r="I880" s="38">
        <v>0</v>
      </c>
      <c r="J880" s="38">
        <v>0</v>
      </c>
      <c r="K880" s="39">
        <f t="shared" si="104"/>
        <v>0</v>
      </c>
      <c r="L880" s="38">
        <v>8000</v>
      </c>
      <c r="M880" s="38">
        <v>1</v>
      </c>
      <c r="N880" s="39">
        <f t="shared" si="105"/>
        <v>224000000</v>
      </c>
      <c r="O880" s="38">
        <v>0</v>
      </c>
      <c r="P880" s="38">
        <v>0</v>
      </c>
      <c r="Q880" s="39">
        <f t="shared" si="106"/>
        <v>0</v>
      </c>
      <c r="R880" s="38">
        <v>0</v>
      </c>
      <c r="S880" s="38">
        <v>0</v>
      </c>
      <c r="T880" s="39">
        <f t="shared" si="107"/>
        <v>0</v>
      </c>
      <c r="U880" s="38">
        <v>0</v>
      </c>
      <c r="V880" s="38">
        <v>0</v>
      </c>
      <c r="W880" s="39">
        <f t="shared" si="108"/>
        <v>0</v>
      </c>
      <c r="X880" s="38"/>
      <c r="Y880" s="38"/>
      <c r="Z880" s="39">
        <f t="shared" si="109"/>
        <v>0</v>
      </c>
      <c r="AA880" s="38"/>
      <c r="AB880" s="38"/>
      <c r="AC880" s="39">
        <f t="shared" si="110"/>
        <v>0</v>
      </c>
      <c r="AD880" s="38"/>
      <c r="AE880" s="38"/>
      <c r="AF880" s="39">
        <f t="shared" si="111"/>
        <v>0</v>
      </c>
    </row>
    <row r="881" spans="2:32" ht="15" customHeight="1" x14ac:dyDescent="0.3">
      <c r="B881" s="2" t="s">
        <v>983</v>
      </c>
      <c r="C881" s="4" t="s">
        <v>1255</v>
      </c>
      <c r="D881" s="3" t="s">
        <v>1256</v>
      </c>
      <c r="E881" s="6" t="s">
        <v>1268</v>
      </c>
      <c r="F881" s="6" t="s">
        <v>1271</v>
      </c>
      <c r="G881" s="6" t="s">
        <v>841</v>
      </c>
      <c r="H881" s="25">
        <v>0</v>
      </c>
      <c r="I881" s="38">
        <v>0</v>
      </c>
      <c r="J881" s="38">
        <v>0</v>
      </c>
      <c r="K881" s="39">
        <f t="shared" si="104"/>
        <v>0</v>
      </c>
      <c r="L881" s="38">
        <v>30</v>
      </c>
      <c r="M881" s="38">
        <v>1</v>
      </c>
      <c r="N881" s="39">
        <f t="shared" si="105"/>
        <v>0</v>
      </c>
      <c r="O881" s="38">
        <v>0</v>
      </c>
      <c r="P881" s="38">
        <v>0</v>
      </c>
      <c r="Q881" s="39">
        <f t="shared" si="106"/>
        <v>0</v>
      </c>
      <c r="R881" s="38">
        <v>0</v>
      </c>
      <c r="S881" s="38">
        <v>0</v>
      </c>
      <c r="T881" s="39">
        <f t="shared" si="107"/>
        <v>0</v>
      </c>
      <c r="U881" s="38">
        <v>0</v>
      </c>
      <c r="V881" s="38">
        <v>0</v>
      </c>
      <c r="W881" s="39">
        <f t="shared" si="108"/>
        <v>0</v>
      </c>
      <c r="X881" s="38"/>
      <c r="Y881" s="38"/>
      <c r="Z881" s="39">
        <f t="shared" si="109"/>
        <v>0</v>
      </c>
      <c r="AA881" s="38"/>
      <c r="AB881" s="38"/>
      <c r="AC881" s="39">
        <f t="shared" si="110"/>
        <v>0</v>
      </c>
      <c r="AD881" s="38"/>
      <c r="AE881" s="38"/>
      <c r="AF881" s="39">
        <f t="shared" si="111"/>
        <v>0</v>
      </c>
    </row>
    <row r="882" spans="2:32" ht="15" customHeight="1" x14ac:dyDescent="0.3">
      <c r="B882" s="2" t="s">
        <v>983</v>
      </c>
      <c r="C882" s="4" t="s">
        <v>1255</v>
      </c>
      <c r="D882" s="3" t="s">
        <v>1256</v>
      </c>
      <c r="E882" s="6" t="s">
        <v>1268</v>
      </c>
      <c r="F882" s="6" t="s">
        <v>1272</v>
      </c>
      <c r="G882" s="6" t="s">
        <v>709</v>
      </c>
      <c r="H882" s="25">
        <v>28000</v>
      </c>
      <c r="I882" s="38">
        <v>0</v>
      </c>
      <c r="J882" s="38">
        <v>0</v>
      </c>
      <c r="K882" s="39">
        <f t="shared" si="104"/>
        <v>0</v>
      </c>
      <c r="L882" s="38">
        <v>0</v>
      </c>
      <c r="M882" s="38">
        <v>0</v>
      </c>
      <c r="N882" s="39">
        <f t="shared" si="105"/>
        <v>0</v>
      </c>
      <c r="O882" s="38">
        <v>0</v>
      </c>
      <c r="P882" s="38">
        <v>0</v>
      </c>
      <c r="Q882" s="39">
        <f t="shared" si="106"/>
        <v>0</v>
      </c>
      <c r="R882" s="38">
        <v>0</v>
      </c>
      <c r="S882" s="38">
        <v>0</v>
      </c>
      <c r="T882" s="39">
        <f t="shared" si="107"/>
        <v>0</v>
      </c>
      <c r="U882" s="38">
        <v>0</v>
      </c>
      <c r="V882" s="38">
        <v>0</v>
      </c>
      <c r="W882" s="39">
        <f t="shared" si="108"/>
        <v>0</v>
      </c>
      <c r="X882" s="38"/>
      <c r="Y882" s="38"/>
      <c r="Z882" s="39">
        <f t="shared" si="109"/>
        <v>0</v>
      </c>
      <c r="AA882" s="38"/>
      <c r="AB882" s="38"/>
      <c r="AC882" s="39">
        <f t="shared" si="110"/>
        <v>0</v>
      </c>
      <c r="AD882" s="38"/>
      <c r="AE882" s="38"/>
      <c r="AF882" s="39">
        <f t="shared" si="111"/>
        <v>0</v>
      </c>
    </row>
    <row r="883" spans="2:32" ht="15" customHeight="1" x14ac:dyDescent="0.3">
      <c r="B883" s="2" t="s">
        <v>983</v>
      </c>
      <c r="C883" s="4" t="s">
        <v>1255</v>
      </c>
      <c r="D883" s="3" t="s">
        <v>1256</v>
      </c>
      <c r="E883" s="6" t="s">
        <v>1268</v>
      </c>
      <c r="F883" s="6" t="s">
        <v>1272</v>
      </c>
      <c r="G883" s="6" t="s">
        <v>716</v>
      </c>
      <c r="H883" s="25">
        <v>39000</v>
      </c>
      <c r="I883" s="38">
        <v>0</v>
      </c>
      <c r="J883" s="38">
        <v>0</v>
      </c>
      <c r="K883" s="39">
        <f t="shared" si="104"/>
        <v>0</v>
      </c>
      <c r="L883" s="38">
        <v>40</v>
      </c>
      <c r="M883" s="38">
        <v>3</v>
      </c>
      <c r="N883" s="39">
        <f t="shared" si="105"/>
        <v>4680000</v>
      </c>
      <c r="O883" s="38">
        <v>0</v>
      </c>
      <c r="P883" s="38">
        <v>0</v>
      </c>
      <c r="Q883" s="39">
        <f t="shared" si="106"/>
        <v>0</v>
      </c>
      <c r="R883" s="38">
        <v>0</v>
      </c>
      <c r="S883" s="38">
        <v>0</v>
      </c>
      <c r="T883" s="39">
        <f t="shared" si="107"/>
        <v>0</v>
      </c>
      <c r="U883" s="38">
        <v>0</v>
      </c>
      <c r="V883" s="38">
        <v>0</v>
      </c>
      <c r="W883" s="39">
        <f t="shared" si="108"/>
        <v>0</v>
      </c>
      <c r="X883" s="38"/>
      <c r="Y883" s="38"/>
      <c r="Z883" s="39">
        <f t="shared" si="109"/>
        <v>0</v>
      </c>
      <c r="AA883" s="38"/>
      <c r="AB883" s="38"/>
      <c r="AC883" s="39">
        <f t="shared" si="110"/>
        <v>0</v>
      </c>
      <c r="AD883" s="38"/>
      <c r="AE883" s="38"/>
      <c r="AF883" s="39">
        <f t="shared" si="111"/>
        <v>0</v>
      </c>
    </row>
    <row r="884" spans="2:32" ht="15" customHeight="1" x14ac:dyDescent="0.3">
      <c r="B884" s="2" t="s">
        <v>983</v>
      </c>
      <c r="C884" s="4" t="s">
        <v>1255</v>
      </c>
      <c r="D884" s="3" t="s">
        <v>1256</v>
      </c>
      <c r="E884" s="6" t="s">
        <v>1268</v>
      </c>
      <c r="F884" s="6" t="s">
        <v>1272</v>
      </c>
      <c r="G884" s="6" t="s">
        <v>712</v>
      </c>
      <c r="H884" s="25">
        <v>214.29</v>
      </c>
      <c r="I884" s="38">
        <v>0</v>
      </c>
      <c r="J884" s="38">
        <v>0</v>
      </c>
      <c r="K884" s="39">
        <f t="shared" si="104"/>
        <v>0</v>
      </c>
      <c r="L884" s="38">
        <v>40</v>
      </c>
      <c r="M884" s="38">
        <v>3</v>
      </c>
      <c r="N884" s="39">
        <f t="shared" si="105"/>
        <v>25714.800000000003</v>
      </c>
      <c r="O884" s="38">
        <v>0</v>
      </c>
      <c r="P884" s="38">
        <v>0</v>
      </c>
      <c r="Q884" s="39">
        <f t="shared" si="106"/>
        <v>0</v>
      </c>
      <c r="R884" s="38">
        <v>0</v>
      </c>
      <c r="S884" s="38">
        <v>0</v>
      </c>
      <c r="T884" s="39">
        <f t="shared" si="107"/>
        <v>0</v>
      </c>
      <c r="U884" s="38">
        <v>0</v>
      </c>
      <c r="V884" s="38">
        <v>0</v>
      </c>
      <c r="W884" s="39">
        <f t="shared" si="108"/>
        <v>0</v>
      </c>
      <c r="X884" s="38"/>
      <c r="Y884" s="38"/>
      <c r="Z884" s="39">
        <f t="shared" si="109"/>
        <v>0</v>
      </c>
      <c r="AA884" s="38"/>
      <c r="AB884" s="38"/>
      <c r="AC884" s="39">
        <f t="shared" si="110"/>
        <v>0</v>
      </c>
      <c r="AD884" s="38"/>
      <c r="AE884" s="38"/>
      <c r="AF884" s="39">
        <f t="shared" si="111"/>
        <v>0</v>
      </c>
    </row>
    <row r="885" spans="2:32" ht="15" customHeight="1" x14ac:dyDescent="0.3">
      <c r="B885" s="2" t="s">
        <v>983</v>
      </c>
      <c r="C885" s="4" t="s">
        <v>1255</v>
      </c>
      <c r="D885" s="3" t="s">
        <v>1256</v>
      </c>
      <c r="E885" s="6" t="s">
        <v>1268</v>
      </c>
      <c r="F885" s="6" t="s">
        <v>1156</v>
      </c>
      <c r="G885" s="6" t="s">
        <v>709</v>
      </c>
      <c r="H885" s="25">
        <v>28000</v>
      </c>
      <c r="I885" s="38">
        <v>0</v>
      </c>
      <c r="J885" s="38">
        <v>0</v>
      </c>
      <c r="K885" s="39">
        <f t="shared" si="104"/>
        <v>0</v>
      </c>
      <c r="L885" s="38">
        <v>20000</v>
      </c>
      <c r="M885" s="38">
        <v>1</v>
      </c>
      <c r="N885" s="39">
        <f t="shared" si="105"/>
        <v>560000000</v>
      </c>
      <c r="O885" s="38">
        <v>0</v>
      </c>
      <c r="P885" s="38">
        <v>0</v>
      </c>
      <c r="Q885" s="39">
        <f t="shared" si="106"/>
        <v>0</v>
      </c>
      <c r="R885" s="38">
        <v>0</v>
      </c>
      <c r="S885" s="38">
        <v>0</v>
      </c>
      <c r="T885" s="39">
        <f t="shared" si="107"/>
        <v>0</v>
      </c>
      <c r="U885" s="38">
        <v>0</v>
      </c>
      <c r="V885" s="38">
        <v>0</v>
      </c>
      <c r="W885" s="39">
        <f t="shared" si="108"/>
        <v>0</v>
      </c>
      <c r="X885" s="38"/>
      <c r="Y885" s="38"/>
      <c r="Z885" s="39">
        <f t="shared" si="109"/>
        <v>0</v>
      </c>
      <c r="AA885" s="38"/>
      <c r="AB885" s="38"/>
      <c r="AC885" s="39">
        <f t="shared" si="110"/>
        <v>0</v>
      </c>
      <c r="AD885" s="38"/>
      <c r="AE885" s="38"/>
      <c r="AF885" s="39">
        <f t="shared" si="111"/>
        <v>0</v>
      </c>
    </row>
    <row r="886" spans="2:32" ht="15" customHeight="1" x14ac:dyDescent="0.3">
      <c r="B886" s="2" t="s">
        <v>983</v>
      </c>
      <c r="C886" s="4" t="s">
        <v>1255</v>
      </c>
      <c r="D886" s="3" t="s">
        <v>1256</v>
      </c>
      <c r="E886" s="6" t="s">
        <v>1268</v>
      </c>
      <c r="F886" s="6" t="s">
        <v>1156</v>
      </c>
      <c r="G886" s="6" t="s">
        <v>716</v>
      </c>
      <c r="H886" s="25">
        <v>39000</v>
      </c>
      <c r="I886" s="38">
        <v>0</v>
      </c>
      <c r="J886" s="38">
        <v>0</v>
      </c>
      <c r="K886" s="39">
        <f t="shared" si="104"/>
        <v>0</v>
      </c>
      <c r="L886" s="38">
        <v>100</v>
      </c>
      <c r="M886" s="38">
        <v>0.5</v>
      </c>
      <c r="N886" s="39">
        <f t="shared" si="105"/>
        <v>1950000</v>
      </c>
      <c r="O886" s="38">
        <v>0</v>
      </c>
      <c r="P886" s="38">
        <v>0</v>
      </c>
      <c r="Q886" s="39">
        <f t="shared" si="106"/>
        <v>0</v>
      </c>
      <c r="R886" s="38">
        <v>0</v>
      </c>
      <c r="S886" s="38">
        <v>0</v>
      </c>
      <c r="T886" s="39">
        <f t="shared" si="107"/>
        <v>0</v>
      </c>
      <c r="U886" s="38">
        <v>0</v>
      </c>
      <c r="V886" s="38">
        <v>0</v>
      </c>
      <c r="W886" s="39">
        <f t="shared" si="108"/>
        <v>0</v>
      </c>
      <c r="X886" s="38"/>
      <c r="Y886" s="38"/>
      <c r="Z886" s="39">
        <f t="shared" si="109"/>
        <v>0</v>
      </c>
      <c r="AA886" s="38"/>
      <c r="AB886" s="38"/>
      <c r="AC886" s="39">
        <f t="shared" si="110"/>
        <v>0</v>
      </c>
      <c r="AD886" s="38"/>
      <c r="AE886" s="38"/>
      <c r="AF886" s="39">
        <f t="shared" si="111"/>
        <v>0</v>
      </c>
    </row>
    <row r="887" spans="2:32" ht="15" customHeight="1" x14ac:dyDescent="0.3">
      <c r="B887" s="2" t="s">
        <v>983</v>
      </c>
      <c r="C887" s="4" t="s">
        <v>1255</v>
      </c>
      <c r="D887" s="3" t="s">
        <v>1256</v>
      </c>
      <c r="E887" s="6" t="s">
        <v>1268</v>
      </c>
      <c r="F887" s="6" t="s">
        <v>1156</v>
      </c>
      <c r="G887" s="6" t="s">
        <v>711</v>
      </c>
      <c r="H887" s="25">
        <v>70</v>
      </c>
      <c r="I887" s="38">
        <v>0</v>
      </c>
      <c r="J887" s="38">
        <v>0</v>
      </c>
      <c r="K887" s="39">
        <f t="shared" si="104"/>
        <v>0</v>
      </c>
      <c r="L887" s="38">
        <v>40</v>
      </c>
      <c r="M887" s="38">
        <v>2</v>
      </c>
      <c r="N887" s="39">
        <f t="shared" si="105"/>
        <v>5600</v>
      </c>
      <c r="O887" s="38">
        <v>0</v>
      </c>
      <c r="P887" s="38">
        <v>0</v>
      </c>
      <c r="Q887" s="39">
        <f t="shared" si="106"/>
        <v>0</v>
      </c>
      <c r="R887" s="38">
        <v>0</v>
      </c>
      <c r="S887" s="38">
        <v>0</v>
      </c>
      <c r="T887" s="39">
        <f t="shared" si="107"/>
        <v>0</v>
      </c>
      <c r="U887" s="38">
        <v>0</v>
      </c>
      <c r="V887" s="38">
        <v>0</v>
      </c>
      <c r="W887" s="39">
        <f t="shared" si="108"/>
        <v>0</v>
      </c>
      <c r="X887" s="38"/>
      <c r="Y887" s="38"/>
      <c r="Z887" s="39">
        <f t="shared" si="109"/>
        <v>0</v>
      </c>
      <c r="AA887" s="38"/>
      <c r="AB887" s="38"/>
      <c r="AC887" s="39">
        <f t="shared" si="110"/>
        <v>0</v>
      </c>
      <c r="AD887" s="38"/>
      <c r="AE887" s="38"/>
      <c r="AF887" s="39">
        <f t="shared" si="111"/>
        <v>0</v>
      </c>
    </row>
    <row r="888" spans="2:32" ht="15" customHeight="1" x14ac:dyDescent="0.3">
      <c r="B888" s="2" t="s">
        <v>983</v>
      </c>
      <c r="C888" s="4" t="s">
        <v>1255</v>
      </c>
      <c r="D888" s="3" t="s">
        <v>1256</v>
      </c>
      <c r="E888" s="6" t="s">
        <v>1268</v>
      </c>
      <c r="F888" s="6" t="s">
        <v>1156</v>
      </c>
      <c r="G888" s="6" t="s">
        <v>710</v>
      </c>
      <c r="H888" s="25">
        <v>104850</v>
      </c>
      <c r="I888" s="38">
        <v>0</v>
      </c>
      <c r="J888" s="38">
        <v>0</v>
      </c>
      <c r="K888" s="39">
        <f t="shared" si="104"/>
        <v>0</v>
      </c>
      <c r="L888" s="38">
        <v>50000</v>
      </c>
      <c r="M888" s="38">
        <v>1</v>
      </c>
      <c r="N888" s="39">
        <f t="shared" si="105"/>
        <v>5242500000</v>
      </c>
      <c r="O888" s="38">
        <v>0</v>
      </c>
      <c r="P888" s="38">
        <v>0</v>
      </c>
      <c r="Q888" s="39">
        <f t="shared" si="106"/>
        <v>0</v>
      </c>
      <c r="R888" s="38">
        <v>0</v>
      </c>
      <c r="S888" s="38">
        <v>0</v>
      </c>
      <c r="T888" s="39">
        <f t="shared" si="107"/>
        <v>0</v>
      </c>
      <c r="U888" s="38">
        <v>0</v>
      </c>
      <c r="V888" s="38">
        <v>0</v>
      </c>
      <c r="W888" s="39">
        <f t="shared" si="108"/>
        <v>0</v>
      </c>
      <c r="X888" s="38"/>
      <c r="Y888" s="38"/>
      <c r="Z888" s="39">
        <f t="shared" si="109"/>
        <v>0</v>
      </c>
      <c r="AA888" s="38"/>
      <c r="AB888" s="38"/>
      <c r="AC888" s="39">
        <f t="shared" si="110"/>
        <v>0</v>
      </c>
      <c r="AD888" s="38"/>
      <c r="AE888" s="38"/>
      <c r="AF888" s="39">
        <f t="shared" si="111"/>
        <v>0</v>
      </c>
    </row>
    <row r="889" spans="2:32" ht="15" customHeight="1" x14ac:dyDescent="0.3">
      <c r="B889" s="2" t="s">
        <v>983</v>
      </c>
      <c r="C889" s="4" t="s">
        <v>1255</v>
      </c>
      <c r="D889" s="3" t="s">
        <v>1256</v>
      </c>
      <c r="E889" s="6" t="s">
        <v>1268</v>
      </c>
      <c r="F889" s="6" t="s">
        <v>1156</v>
      </c>
      <c r="G889" s="6" t="s">
        <v>712</v>
      </c>
      <c r="H889" s="25">
        <v>214.29</v>
      </c>
      <c r="I889" s="38">
        <v>0</v>
      </c>
      <c r="J889" s="38">
        <v>0</v>
      </c>
      <c r="K889" s="39">
        <f t="shared" si="104"/>
        <v>0</v>
      </c>
      <c r="L889" s="38">
        <v>5</v>
      </c>
      <c r="M889" s="38">
        <v>1</v>
      </c>
      <c r="N889" s="39">
        <f t="shared" si="105"/>
        <v>1071.45</v>
      </c>
      <c r="O889" s="38">
        <v>0</v>
      </c>
      <c r="P889" s="38">
        <v>0</v>
      </c>
      <c r="Q889" s="39">
        <f t="shared" si="106"/>
        <v>0</v>
      </c>
      <c r="R889" s="38">
        <v>0</v>
      </c>
      <c r="S889" s="38">
        <v>0</v>
      </c>
      <c r="T889" s="39">
        <f t="shared" si="107"/>
        <v>0</v>
      </c>
      <c r="U889" s="38">
        <v>0</v>
      </c>
      <c r="V889" s="38">
        <v>0</v>
      </c>
      <c r="W889" s="39">
        <f t="shared" si="108"/>
        <v>0</v>
      </c>
      <c r="X889" s="38"/>
      <c r="Y889" s="38"/>
      <c r="Z889" s="39">
        <f t="shared" si="109"/>
        <v>0</v>
      </c>
      <c r="AA889" s="38"/>
      <c r="AB889" s="38"/>
      <c r="AC889" s="39">
        <f t="shared" si="110"/>
        <v>0</v>
      </c>
      <c r="AD889" s="38"/>
      <c r="AE889" s="38"/>
      <c r="AF889" s="39">
        <f t="shared" si="111"/>
        <v>0</v>
      </c>
    </row>
    <row r="890" spans="2:32" ht="15" customHeight="1" x14ac:dyDescent="0.3">
      <c r="B890" s="2" t="s">
        <v>983</v>
      </c>
      <c r="C890" s="4" t="s">
        <v>1255</v>
      </c>
      <c r="D890" s="3" t="s">
        <v>1273</v>
      </c>
      <c r="E890" s="6" t="s">
        <v>1274</v>
      </c>
      <c r="F890" s="6" t="s">
        <v>1275</v>
      </c>
      <c r="G890" s="6" t="s">
        <v>709</v>
      </c>
      <c r="H890" s="25">
        <v>28000</v>
      </c>
      <c r="I890" s="38">
        <v>0</v>
      </c>
      <c r="J890" s="38">
        <v>0</v>
      </c>
      <c r="K890" s="39">
        <f t="shared" si="104"/>
        <v>0</v>
      </c>
      <c r="L890" s="38">
        <v>20000</v>
      </c>
      <c r="M890" s="38">
        <v>1</v>
      </c>
      <c r="N890" s="39">
        <f t="shared" si="105"/>
        <v>560000000</v>
      </c>
      <c r="O890" s="38">
        <v>0</v>
      </c>
      <c r="P890" s="38">
        <v>0</v>
      </c>
      <c r="Q890" s="39">
        <f t="shared" si="106"/>
        <v>0</v>
      </c>
      <c r="R890" s="38">
        <v>0</v>
      </c>
      <c r="S890" s="38">
        <v>0</v>
      </c>
      <c r="T890" s="39">
        <f t="shared" si="107"/>
        <v>0</v>
      </c>
      <c r="U890" s="38">
        <v>0</v>
      </c>
      <c r="V890" s="38">
        <v>0</v>
      </c>
      <c r="W890" s="39">
        <f t="shared" si="108"/>
        <v>0</v>
      </c>
      <c r="X890" s="38"/>
      <c r="Y890" s="38"/>
      <c r="Z890" s="39">
        <f t="shared" si="109"/>
        <v>0</v>
      </c>
      <c r="AA890" s="38"/>
      <c r="AB890" s="38"/>
      <c r="AC890" s="39">
        <f t="shared" si="110"/>
        <v>0</v>
      </c>
      <c r="AD890" s="38"/>
      <c r="AE890" s="38"/>
      <c r="AF890" s="39">
        <f t="shared" si="111"/>
        <v>0</v>
      </c>
    </row>
    <row r="891" spans="2:32" ht="15" customHeight="1" x14ac:dyDescent="0.3">
      <c r="B891" s="2" t="s">
        <v>983</v>
      </c>
      <c r="C891" s="4" t="s">
        <v>1255</v>
      </c>
      <c r="D891" s="3" t="s">
        <v>1273</v>
      </c>
      <c r="E891" s="6" t="s">
        <v>1274</v>
      </c>
      <c r="F891" s="6" t="s">
        <v>1275</v>
      </c>
      <c r="G891" s="6" t="s">
        <v>716</v>
      </c>
      <c r="H891" s="25">
        <v>39000</v>
      </c>
      <c r="I891" s="38">
        <v>0</v>
      </c>
      <c r="J891" s="38">
        <v>0</v>
      </c>
      <c r="K891" s="39">
        <f t="shared" si="104"/>
        <v>0</v>
      </c>
      <c r="L891" s="38">
        <v>0</v>
      </c>
      <c r="M891" s="38">
        <v>0</v>
      </c>
      <c r="N891" s="39">
        <f t="shared" si="105"/>
        <v>0</v>
      </c>
      <c r="O891" s="38">
        <v>0</v>
      </c>
      <c r="P891" s="38">
        <v>0</v>
      </c>
      <c r="Q891" s="39">
        <f t="shared" si="106"/>
        <v>0</v>
      </c>
      <c r="R891" s="38">
        <v>0</v>
      </c>
      <c r="S891" s="38">
        <v>0</v>
      </c>
      <c r="T891" s="39">
        <f t="shared" si="107"/>
        <v>0</v>
      </c>
      <c r="U891" s="38">
        <v>15</v>
      </c>
      <c r="V891" s="38">
        <v>5</v>
      </c>
      <c r="W891" s="39">
        <f t="shared" si="108"/>
        <v>2925000</v>
      </c>
      <c r="X891" s="38"/>
      <c r="Y891" s="38"/>
      <c r="Z891" s="39">
        <f t="shared" si="109"/>
        <v>0</v>
      </c>
      <c r="AA891" s="38"/>
      <c r="AB891" s="38"/>
      <c r="AC891" s="39">
        <f t="shared" si="110"/>
        <v>0</v>
      </c>
      <c r="AD891" s="38"/>
      <c r="AE891" s="38"/>
      <c r="AF891" s="39">
        <f t="shared" si="111"/>
        <v>0</v>
      </c>
    </row>
    <row r="892" spans="2:32" ht="15" customHeight="1" x14ac:dyDescent="0.3">
      <c r="B892" s="2" t="s">
        <v>983</v>
      </c>
      <c r="C892" s="4" t="s">
        <v>1255</v>
      </c>
      <c r="D892" s="3" t="s">
        <v>1273</v>
      </c>
      <c r="E892" s="6" t="s">
        <v>1274</v>
      </c>
      <c r="F892" s="6" t="s">
        <v>1275</v>
      </c>
      <c r="G892" s="6" t="s">
        <v>712</v>
      </c>
      <c r="H892" s="25">
        <v>214.29</v>
      </c>
      <c r="I892" s="38">
        <v>0</v>
      </c>
      <c r="J892" s="38">
        <v>0</v>
      </c>
      <c r="K892" s="39">
        <f t="shared" si="104"/>
        <v>0</v>
      </c>
      <c r="L892" s="38">
        <v>0</v>
      </c>
      <c r="M892" s="38">
        <v>0</v>
      </c>
      <c r="N892" s="39">
        <f t="shared" si="105"/>
        <v>0</v>
      </c>
      <c r="O892" s="38">
        <v>0</v>
      </c>
      <c r="P892" s="38">
        <v>0</v>
      </c>
      <c r="Q892" s="39">
        <f t="shared" si="106"/>
        <v>0</v>
      </c>
      <c r="R892" s="38">
        <v>0</v>
      </c>
      <c r="S892" s="38">
        <v>0</v>
      </c>
      <c r="T892" s="39">
        <f t="shared" si="107"/>
        <v>0</v>
      </c>
      <c r="U892" s="38">
        <v>15</v>
      </c>
      <c r="V892" s="38">
        <v>5</v>
      </c>
      <c r="W892" s="39">
        <f t="shared" si="108"/>
        <v>16071.75</v>
      </c>
      <c r="X892" s="38"/>
      <c r="Y892" s="38"/>
      <c r="Z892" s="39">
        <f t="shared" si="109"/>
        <v>0</v>
      </c>
      <c r="AA892" s="38"/>
      <c r="AB892" s="38"/>
      <c r="AC892" s="39">
        <f t="shared" si="110"/>
        <v>0</v>
      </c>
      <c r="AD892" s="38"/>
      <c r="AE892" s="38"/>
      <c r="AF892" s="39">
        <f t="shared" si="111"/>
        <v>0</v>
      </c>
    </row>
    <row r="893" spans="2:32" ht="15" customHeight="1" x14ac:dyDescent="0.3">
      <c r="B893" s="2" t="s">
        <v>983</v>
      </c>
      <c r="C893" s="4" t="s">
        <v>1255</v>
      </c>
      <c r="D893" s="3" t="s">
        <v>1273</v>
      </c>
      <c r="E893" s="6" t="s">
        <v>1276</v>
      </c>
      <c r="F893" s="6" t="s">
        <v>1277</v>
      </c>
      <c r="G893" s="6" t="s">
        <v>708</v>
      </c>
      <c r="H893" s="25">
        <v>425000</v>
      </c>
      <c r="I893" s="38">
        <v>0</v>
      </c>
      <c r="J893" s="38">
        <v>0</v>
      </c>
      <c r="K893" s="39">
        <f t="shared" si="104"/>
        <v>0</v>
      </c>
      <c r="L893" s="38">
        <v>0</v>
      </c>
      <c r="M893" s="38">
        <v>0</v>
      </c>
      <c r="N893" s="39">
        <f t="shared" si="105"/>
        <v>0</v>
      </c>
      <c r="O893" s="38">
        <v>0</v>
      </c>
      <c r="P893" s="38">
        <v>0</v>
      </c>
      <c r="Q893" s="39">
        <f t="shared" si="106"/>
        <v>0</v>
      </c>
      <c r="R893" s="38">
        <v>0</v>
      </c>
      <c r="S893" s="38">
        <v>0</v>
      </c>
      <c r="T893" s="39">
        <f t="shared" si="107"/>
        <v>0</v>
      </c>
      <c r="U893" s="38">
        <v>4000</v>
      </c>
      <c r="V893" s="38">
        <v>1</v>
      </c>
      <c r="W893" s="39">
        <f t="shared" si="108"/>
        <v>1700000000</v>
      </c>
      <c r="X893" s="38"/>
      <c r="Y893" s="38"/>
      <c r="Z893" s="39">
        <f t="shared" si="109"/>
        <v>0</v>
      </c>
      <c r="AA893" s="38"/>
      <c r="AB893" s="38"/>
      <c r="AC893" s="39">
        <f t="shared" si="110"/>
        <v>0</v>
      </c>
      <c r="AD893" s="38"/>
      <c r="AE893" s="38"/>
      <c r="AF893" s="39">
        <f t="shared" si="111"/>
        <v>0</v>
      </c>
    </row>
    <row r="894" spans="2:32" ht="15" customHeight="1" x14ac:dyDescent="0.3">
      <c r="B894" s="2" t="s">
        <v>983</v>
      </c>
      <c r="C894" s="4" t="s">
        <v>1255</v>
      </c>
      <c r="D894" s="3" t="s">
        <v>1273</v>
      </c>
      <c r="E894" s="6" t="s">
        <v>1276</v>
      </c>
      <c r="F894" s="6" t="s">
        <v>1181</v>
      </c>
      <c r="G894" s="6" t="s">
        <v>841</v>
      </c>
      <c r="H894" s="25">
        <v>0</v>
      </c>
      <c r="I894" s="38">
        <v>0</v>
      </c>
      <c r="J894" s="38">
        <v>0</v>
      </c>
      <c r="K894" s="39">
        <f t="shared" si="104"/>
        <v>0</v>
      </c>
      <c r="L894" s="38">
        <v>0</v>
      </c>
      <c r="M894" s="38">
        <v>0</v>
      </c>
      <c r="N894" s="39">
        <f t="shared" si="105"/>
        <v>0</v>
      </c>
      <c r="O894" s="38">
        <v>0</v>
      </c>
      <c r="P894" s="38">
        <v>0</v>
      </c>
      <c r="Q894" s="39">
        <f t="shared" si="106"/>
        <v>0</v>
      </c>
      <c r="R894" s="38">
        <v>0</v>
      </c>
      <c r="S894" s="38">
        <v>0</v>
      </c>
      <c r="T894" s="39">
        <f t="shared" si="107"/>
        <v>0</v>
      </c>
      <c r="U894" s="38">
        <v>1</v>
      </c>
      <c r="V894" s="38">
        <v>40</v>
      </c>
      <c r="W894" s="39">
        <f t="shared" si="108"/>
        <v>0</v>
      </c>
      <c r="X894" s="38"/>
      <c r="Y894" s="38"/>
      <c r="Z894" s="39">
        <f t="shared" si="109"/>
        <v>0</v>
      </c>
      <c r="AA894" s="38"/>
      <c r="AB894" s="38"/>
      <c r="AC894" s="39">
        <f t="shared" si="110"/>
        <v>0</v>
      </c>
      <c r="AD894" s="38"/>
      <c r="AE894" s="38"/>
      <c r="AF894" s="39">
        <f t="shared" si="111"/>
        <v>0</v>
      </c>
    </row>
    <row r="895" spans="2:32" ht="15" customHeight="1" x14ac:dyDescent="0.3">
      <c r="B895" s="2" t="s">
        <v>983</v>
      </c>
      <c r="C895" s="4" t="s">
        <v>1255</v>
      </c>
      <c r="D895" s="3" t="s">
        <v>1273</v>
      </c>
      <c r="E895" s="6" t="s">
        <v>1276</v>
      </c>
      <c r="F895" s="6" t="s">
        <v>1015</v>
      </c>
      <c r="G895" s="6" t="s">
        <v>709</v>
      </c>
      <c r="H895" s="25">
        <v>28000</v>
      </c>
      <c r="I895" s="38">
        <v>0</v>
      </c>
      <c r="J895" s="38">
        <v>0</v>
      </c>
      <c r="K895" s="39">
        <f t="shared" si="104"/>
        <v>0</v>
      </c>
      <c r="L895" s="38">
        <v>0</v>
      </c>
      <c r="M895" s="38">
        <v>0</v>
      </c>
      <c r="N895" s="39">
        <f t="shared" si="105"/>
        <v>0</v>
      </c>
      <c r="O895" s="38">
        <v>0</v>
      </c>
      <c r="P895" s="38">
        <v>0</v>
      </c>
      <c r="Q895" s="39">
        <f t="shared" si="106"/>
        <v>0</v>
      </c>
      <c r="R895" s="38">
        <v>0</v>
      </c>
      <c r="S895" s="38">
        <v>0</v>
      </c>
      <c r="T895" s="39">
        <f t="shared" si="107"/>
        <v>0</v>
      </c>
      <c r="U895" s="38">
        <v>5</v>
      </c>
      <c r="V895" s="38">
        <v>5</v>
      </c>
      <c r="W895" s="39">
        <f t="shared" si="108"/>
        <v>700000</v>
      </c>
      <c r="X895" s="38"/>
      <c r="Y895" s="38"/>
      <c r="Z895" s="39">
        <f t="shared" si="109"/>
        <v>0</v>
      </c>
      <c r="AA895" s="38"/>
      <c r="AB895" s="38"/>
      <c r="AC895" s="39">
        <f t="shared" si="110"/>
        <v>0</v>
      </c>
      <c r="AD895" s="38"/>
      <c r="AE895" s="38"/>
      <c r="AF895" s="39">
        <f t="shared" si="111"/>
        <v>0</v>
      </c>
    </row>
    <row r="896" spans="2:32" ht="15" customHeight="1" x14ac:dyDescent="0.3">
      <c r="B896" s="2" t="s">
        <v>983</v>
      </c>
      <c r="C896" s="4" t="s">
        <v>1255</v>
      </c>
      <c r="D896" s="3" t="s">
        <v>1273</v>
      </c>
      <c r="E896" s="6" t="s">
        <v>1276</v>
      </c>
      <c r="F896" s="6" t="s">
        <v>1015</v>
      </c>
      <c r="G896" s="6" t="s">
        <v>711</v>
      </c>
      <c r="H896" s="25">
        <v>70</v>
      </c>
      <c r="I896" s="38">
        <v>0</v>
      </c>
      <c r="J896" s="38">
        <v>0</v>
      </c>
      <c r="K896" s="39">
        <f t="shared" si="104"/>
        <v>0</v>
      </c>
      <c r="L896" s="38">
        <v>0</v>
      </c>
      <c r="M896" s="38">
        <v>0</v>
      </c>
      <c r="N896" s="39">
        <f t="shared" si="105"/>
        <v>0</v>
      </c>
      <c r="O896" s="38">
        <v>0</v>
      </c>
      <c r="P896" s="38">
        <v>0</v>
      </c>
      <c r="Q896" s="39">
        <f t="shared" si="106"/>
        <v>0</v>
      </c>
      <c r="R896" s="38">
        <v>0</v>
      </c>
      <c r="S896" s="38">
        <v>0</v>
      </c>
      <c r="T896" s="39">
        <f t="shared" si="107"/>
        <v>0</v>
      </c>
      <c r="U896" s="38">
        <v>15</v>
      </c>
      <c r="V896" s="38">
        <v>3</v>
      </c>
      <c r="W896" s="39">
        <f t="shared" si="108"/>
        <v>3150</v>
      </c>
      <c r="X896" s="38"/>
      <c r="Y896" s="38"/>
      <c r="Z896" s="39">
        <f t="shared" si="109"/>
        <v>0</v>
      </c>
      <c r="AA896" s="38"/>
      <c r="AB896" s="38"/>
      <c r="AC896" s="39">
        <f t="shared" si="110"/>
        <v>0</v>
      </c>
      <c r="AD896" s="38"/>
      <c r="AE896" s="38"/>
      <c r="AF896" s="39">
        <f t="shared" si="111"/>
        <v>0</v>
      </c>
    </row>
    <row r="897" spans="2:32" ht="15" customHeight="1" x14ac:dyDescent="0.3">
      <c r="B897" s="2" t="s">
        <v>983</v>
      </c>
      <c r="C897" s="4" t="s">
        <v>1255</v>
      </c>
      <c r="D897" s="3" t="s">
        <v>1273</v>
      </c>
      <c r="E897" s="6" t="s">
        <v>1276</v>
      </c>
      <c r="F897" s="6" t="s">
        <v>1015</v>
      </c>
      <c r="G897" s="6" t="s">
        <v>710</v>
      </c>
      <c r="H897" s="25">
        <v>104850</v>
      </c>
      <c r="I897" s="38">
        <v>0</v>
      </c>
      <c r="J897" s="38">
        <v>0</v>
      </c>
      <c r="K897" s="39">
        <f t="shared" si="104"/>
        <v>0</v>
      </c>
      <c r="L897" s="38">
        <v>0</v>
      </c>
      <c r="M897" s="38">
        <v>0</v>
      </c>
      <c r="N897" s="39">
        <f t="shared" si="105"/>
        <v>0</v>
      </c>
      <c r="O897" s="38">
        <v>0</v>
      </c>
      <c r="P897" s="38">
        <v>0</v>
      </c>
      <c r="Q897" s="39">
        <f t="shared" si="106"/>
        <v>0</v>
      </c>
      <c r="R897" s="38">
        <v>0</v>
      </c>
      <c r="S897" s="38">
        <v>0</v>
      </c>
      <c r="T897" s="39">
        <f t="shared" si="107"/>
        <v>0</v>
      </c>
      <c r="U897" s="38">
        <v>5000</v>
      </c>
      <c r="V897" s="38">
        <v>1</v>
      </c>
      <c r="W897" s="39">
        <f t="shared" si="108"/>
        <v>524250000</v>
      </c>
      <c r="X897" s="38"/>
      <c r="Y897" s="38"/>
      <c r="Z897" s="39">
        <f t="shared" si="109"/>
        <v>0</v>
      </c>
      <c r="AA897" s="38"/>
      <c r="AB897" s="38"/>
      <c r="AC897" s="39">
        <f t="shared" si="110"/>
        <v>0</v>
      </c>
      <c r="AD897" s="38"/>
      <c r="AE897" s="38"/>
      <c r="AF897" s="39">
        <f t="shared" si="111"/>
        <v>0</v>
      </c>
    </row>
    <row r="898" spans="2:32" ht="15" customHeight="1" x14ac:dyDescent="0.3">
      <c r="B898" s="2" t="s">
        <v>983</v>
      </c>
      <c r="C898" s="4" t="s">
        <v>1255</v>
      </c>
      <c r="D898" s="3" t="s">
        <v>1273</v>
      </c>
      <c r="E898" s="16" t="s">
        <v>1276</v>
      </c>
      <c r="F898" s="16" t="s">
        <v>1015</v>
      </c>
      <c r="G898" s="16" t="s">
        <v>835</v>
      </c>
      <c r="H898" s="25"/>
      <c r="I898" s="38">
        <v>0</v>
      </c>
      <c r="J898" s="38">
        <v>0</v>
      </c>
      <c r="K898" s="39">
        <f t="shared" si="104"/>
        <v>0</v>
      </c>
      <c r="L898" s="38">
        <v>0</v>
      </c>
      <c r="M898" s="38">
        <v>0</v>
      </c>
      <c r="N898" s="39">
        <f t="shared" si="105"/>
        <v>0</v>
      </c>
      <c r="O898" s="38">
        <v>0</v>
      </c>
      <c r="P898" s="38">
        <v>0</v>
      </c>
      <c r="Q898" s="39">
        <f t="shared" si="106"/>
        <v>0</v>
      </c>
      <c r="R898" s="38">
        <v>0</v>
      </c>
      <c r="S898" s="38">
        <v>0</v>
      </c>
      <c r="T898" s="39">
        <f t="shared" si="107"/>
        <v>0</v>
      </c>
      <c r="U898" s="38">
        <v>1</v>
      </c>
      <c r="V898" s="38">
        <v>1</v>
      </c>
      <c r="W898" s="39">
        <f t="shared" si="108"/>
        <v>0</v>
      </c>
      <c r="X898" s="38"/>
      <c r="Y898" s="38"/>
      <c r="Z898" s="39">
        <f t="shared" si="109"/>
        <v>0</v>
      </c>
      <c r="AA898" s="38"/>
      <c r="AB898" s="38"/>
      <c r="AC898" s="39">
        <f t="shared" si="110"/>
        <v>0</v>
      </c>
      <c r="AD898" s="38"/>
      <c r="AE898" s="38"/>
      <c r="AF898" s="39">
        <f t="shared" si="111"/>
        <v>0</v>
      </c>
    </row>
    <row r="899" spans="2:32" ht="15" customHeight="1" x14ac:dyDescent="0.3">
      <c r="B899" s="2" t="s">
        <v>983</v>
      </c>
      <c r="C899" s="4" t="s">
        <v>1255</v>
      </c>
      <c r="D899" s="3" t="s">
        <v>1273</v>
      </c>
      <c r="E899" s="6" t="s">
        <v>1276</v>
      </c>
      <c r="F899" s="6" t="s">
        <v>1159</v>
      </c>
      <c r="G899" s="6" t="s">
        <v>713</v>
      </c>
      <c r="H899" s="25">
        <v>45000</v>
      </c>
      <c r="I899" s="38">
        <v>0</v>
      </c>
      <c r="J899" s="38">
        <v>0</v>
      </c>
      <c r="K899" s="39">
        <f t="shared" ref="K899:K950" si="112">H899*I899*J899</f>
        <v>0</v>
      </c>
      <c r="L899" s="38">
        <v>0</v>
      </c>
      <c r="M899" s="38">
        <v>0</v>
      </c>
      <c r="N899" s="39">
        <f t="shared" ref="N899:N950" si="113">H899*L899*M899</f>
        <v>0</v>
      </c>
      <c r="O899" s="38">
        <v>0</v>
      </c>
      <c r="P899" s="38">
        <v>0</v>
      </c>
      <c r="Q899" s="39">
        <f t="shared" ref="Q899:Q950" si="114">H899*O899*P899</f>
        <v>0</v>
      </c>
      <c r="R899" s="38">
        <v>0</v>
      </c>
      <c r="S899" s="38">
        <v>0</v>
      </c>
      <c r="T899" s="39">
        <f t="shared" ref="T899:T950" si="115">H899*R899*S899</f>
        <v>0</v>
      </c>
      <c r="U899" s="38">
        <v>10</v>
      </c>
      <c r="V899" s="38">
        <v>1</v>
      </c>
      <c r="W899" s="39">
        <f t="shared" ref="W899:W950" si="116">H899*U899*V899</f>
        <v>450000</v>
      </c>
      <c r="X899" s="38"/>
      <c r="Y899" s="38"/>
      <c r="Z899" s="39">
        <f t="shared" ref="Z899:Z950" si="117">H899*X899*Y899</f>
        <v>0</v>
      </c>
      <c r="AA899" s="38"/>
      <c r="AB899" s="38"/>
      <c r="AC899" s="39">
        <f t="shared" ref="AC899:AC950" si="118">H899*AA899*AB899</f>
        <v>0</v>
      </c>
      <c r="AD899" s="38"/>
      <c r="AE899" s="38"/>
      <c r="AF899" s="39">
        <f t="shared" ref="AF899:AF950" si="119">H899*AD899*AE899</f>
        <v>0</v>
      </c>
    </row>
    <row r="900" spans="2:32" ht="15" customHeight="1" x14ac:dyDescent="0.3">
      <c r="B900" s="2" t="s">
        <v>983</v>
      </c>
      <c r="C900" s="4" t="s">
        <v>1255</v>
      </c>
      <c r="D900" s="3" t="s">
        <v>1273</v>
      </c>
      <c r="E900" s="6" t="s">
        <v>1276</v>
      </c>
      <c r="F900" s="6" t="s">
        <v>1159</v>
      </c>
      <c r="G900" s="6" t="s">
        <v>712</v>
      </c>
      <c r="H900" s="25">
        <v>214.29</v>
      </c>
      <c r="I900" s="38">
        <v>0</v>
      </c>
      <c r="J900" s="38">
        <v>0</v>
      </c>
      <c r="K900" s="39">
        <f t="shared" si="112"/>
        <v>0</v>
      </c>
      <c r="L900" s="38">
        <v>0</v>
      </c>
      <c r="M900" s="38">
        <v>0</v>
      </c>
      <c r="N900" s="39">
        <f t="shared" si="113"/>
        <v>0</v>
      </c>
      <c r="O900" s="38">
        <v>0</v>
      </c>
      <c r="P900" s="38">
        <v>0</v>
      </c>
      <c r="Q900" s="39">
        <f t="shared" si="114"/>
        <v>0</v>
      </c>
      <c r="R900" s="38">
        <v>0</v>
      </c>
      <c r="S900" s="38">
        <v>0</v>
      </c>
      <c r="T900" s="39">
        <f t="shared" si="115"/>
        <v>0</v>
      </c>
      <c r="U900" s="38">
        <v>15</v>
      </c>
      <c r="V900" s="38">
        <v>1</v>
      </c>
      <c r="W900" s="39">
        <f t="shared" si="116"/>
        <v>3214.35</v>
      </c>
      <c r="X900" s="38"/>
      <c r="Y900" s="38"/>
      <c r="Z900" s="39">
        <f t="shared" si="117"/>
        <v>0</v>
      </c>
      <c r="AA900" s="38"/>
      <c r="AB900" s="38"/>
      <c r="AC900" s="39">
        <f t="shared" si="118"/>
        <v>0</v>
      </c>
      <c r="AD900" s="38"/>
      <c r="AE900" s="38"/>
      <c r="AF900" s="39">
        <f t="shared" si="119"/>
        <v>0</v>
      </c>
    </row>
    <row r="901" spans="2:32" ht="15" customHeight="1" x14ac:dyDescent="0.3">
      <c r="B901" s="2" t="s">
        <v>983</v>
      </c>
      <c r="C901" s="4" t="s">
        <v>1255</v>
      </c>
      <c r="D901" s="3" t="s">
        <v>1273</v>
      </c>
      <c r="E901" s="6" t="s">
        <v>1276</v>
      </c>
      <c r="F901" s="6" t="s">
        <v>1017</v>
      </c>
      <c r="G901" s="6" t="s">
        <v>709</v>
      </c>
      <c r="H901" s="25">
        <v>28000</v>
      </c>
      <c r="I901" s="38">
        <v>0</v>
      </c>
      <c r="J901" s="38">
        <v>0</v>
      </c>
      <c r="K901" s="39">
        <f t="shared" si="112"/>
        <v>0</v>
      </c>
      <c r="L901" s="38">
        <v>0</v>
      </c>
      <c r="M901" s="38">
        <v>0</v>
      </c>
      <c r="N901" s="39">
        <f t="shared" si="113"/>
        <v>0</v>
      </c>
      <c r="O901" s="38">
        <v>0</v>
      </c>
      <c r="P901" s="38">
        <v>0</v>
      </c>
      <c r="Q901" s="39">
        <f t="shared" si="114"/>
        <v>0</v>
      </c>
      <c r="R901" s="38">
        <v>0</v>
      </c>
      <c r="S901" s="38">
        <v>0</v>
      </c>
      <c r="T901" s="39">
        <f t="shared" si="115"/>
        <v>0</v>
      </c>
      <c r="U901" s="38">
        <v>4000</v>
      </c>
      <c r="V901" s="38">
        <v>1</v>
      </c>
      <c r="W901" s="39">
        <f t="shared" si="116"/>
        <v>112000000</v>
      </c>
      <c r="X901" s="38"/>
      <c r="Y901" s="38"/>
      <c r="Z901" s="39">
        <f t="shared" si="117"/>
        <v>0</v>
      </c>
      <c r="AA901" s="38"/>
      <c r="AB901" s="38"/>
      <c r="AC901" s="39">
        <f t="shared" si="118"/>
        <v>0</v>
      </c>
      <c r="AD901" s="38"/>
      <c r="AE901" s="38"/>
      <c r="AF901" s="39">
        <f t="shared" si="119"/>
        <v>0</v>
      </c>
    </row>
    <row r="902" spans="2:32" ht="15" customHeight="1" x14ac:dyDescent="0.3">
      <c r="B902" s="2" t="s">
        <v>983</v>
      </c>
      <c r="C902" s="4" t="s">
        <v>1255</v>
      </c>
      <c r="D902" s="3" t="s">
        <v>1273</v>
      </c>
      <c r="E902" s="6" t="s">
        <v>1276</v>
      </c>
      <c r="F902" s="6" t="s">
        <v>1253</v>
      </c>
      <c r="G902" s="6" t="s">
        <v>713</v>
      </c>
      <c r="H902" s="25">
        <v>45000</v>
      </c>
      <c r="I902" s="38">
        <v>0</v>
      </c>
      <c r="J902" s="38">
        <v>0</v>
      </c>
      <c r="K902" s="39">
        <f t="shared" si="112"/>
        <v>0</v>
      </c>
      <c r="L902" s="38">
        <v>0</v>
      </c>
      <c r="M902" s="38">
        <v>0</v>
      </c>
      <c r="N902" s="39">
        <f t="shared" si="113"/>
        <v>0</v>
      </c>
      <c r="O902" s="38">
        <v>0</v>
      </c>
      <c r="P902" s="38">
        <v>0</v>
      </c>
      <c r="Q902" s="39">
        <f t="shared" si="114"/>
        <v>0</v>
      </c>
      <c r="R902" s="38">
        <v>0</v>
      </c>
      <c r="S902" s="38">
        <v>0</v>
      </c>
      <c r="T902" s="39">
        <f t="shared" si="115"/>
        <v>0</v>
      </c>
      <c r="U902" s="38">
        <v>15</v>
      </c>
      <c r="V902" s="38">
        <v>1</v>
      </c>
      <c r="W902" s="39">
        <f t="shared" si="116"/>
        <v>675000</v>
      </c>
      <c r="X902" s="38"/>
      <c r="Y902" s="38"/>
      <c r="Z902" s="39">
        <f t="shared" si="117"/>
        <v>0</v>
      </c>
      <c r="AA902" s="38"/>
      <c r="AB902" s="38"/>
      <c r="AC902" s="39">
        <f t="shared" si="118"/>
        <v>0</v>
      </c>
      <c r="AD902" s="38"/>
      <c r="AE902" s="38"/>
      <c r="AF902" s="39">
        <f t="shared" si="119"/>
        <v>0</v>
      </c>
    </row>
    <row r="903" spans="2:32" ht="15" customHeight="1" x14ac:dyDescent="0.3">
      <c r="B903" s="2" t="s">
        <v>983</v>
      </c>
      <c r="C903" s="4" t="s">
        <v>1255</v>
      </c>
      <c r="D903" s="3" t="s">
        <v>1273</v>
      </c>
      <c r="E903" s="6" t="s">
        <v>1276</v>
      </c>
      <c r="F903" s="6" t="s">
        <v>1182</v>
      </c>
      <c r="G903" s="6" t="s">
        <v>712</v>
      </c>
      <c r="H903" s="25">
        <v>214.29</v>
      </c>
      <c r="I903" s="38">
        <v>0</v>
      </c>
      <c r="J903" s="38">
        <v>0</v>
      </c>
      <c r="K903" s="39">
        <f t="shared" si="112"/>
        <v>0</v>
      </c>
      <c r="L903" s="38">
        <v>0</v>
      </c>
      <c r="M903" s="38">
        <v>0</v>
      </c>
      <c r="N903" s="39">
        <f t="shared" si="113"/>
        <v>0</v>
      </c>
      <c r="O903" s="38">
        <v>0</v>
      </c>
      <c r="P903" s="38">
        <v>0</v>
      </c>
      <c r="Q903" s="39">
        <f t="shared" si="114"/>
        <v>0</v>
      </c>
      <c r="R903" s="38">
        <v>0</v>
      </c>
      <c r="S903" s="38">
        <v>0</v>
      </c>
      <c r="T903" s="39">
        <f t="shared" si="115"/>
        <v>0</v>
      </c>
      <c r="U903" s="38">
        <v>15</v>
      </c>
      <c r="V903" s="38">
        <v>10</v>
      </c>
      <c r="W903" s="39">
        <f t="shared" si="116"/>
        <v>32143.5</v>
      </c>
      <c r="X903" s="38"/>
      <c r="Y903" s="38"/>
      <c r="Z903" s="39">
        <f t="shared" si="117"/>
        <v>0</v>
      </c>
      <c r="AA903" s="38"/>
      <c r="AB903" s="38"/>
      <c r="AC903" s="39">
        <f t="shared" si="118"/>
        <v>0</v>
      </c>
      <c r="AD903" s="38"/>
      <c r="AE903" s="38"/>
      <c r="AF903" s="39">
        <f t="shared" si="119"/>
        <v>0</v>
      </c>
    </row>
    <row r="904" spans="2:32" ht="15" customHeight="1" x14ac:dyDescent="0.3">
      <c r="B904" s="2" t="s">
        <v>983</v>
      </c>
      <c r="C904" s="4" t="s">
        <v>1255</v>
      </c>
      <c r="D904" s="3" t="s">
        <v>1273</v>
      </c>
      <c r="E904" s="6" t="s">
        <v>1276</v>
      </c>
      <c r="F904" s="6" t="s">
        <v>1182</v>
      </c>
      <c r="G904" s="6" t="s">
        <v>714</v>
      </c>
      <c r="H904" s="25">
        <v>10000</v>
      </c>
      <c r="I904" s="38">
        <v>0</v>
      </c>
      <c r="J904" s="38">
        <v>0</v>
      </c>
      <c r="K904" s="39">
        <f t="shared" si="112"/>
        <v>0</v>
      </c>
      <c r="L904" s="38">
        <v>0</v>
      </c>
      <c r="M904" s="38">
        <v>0</v>
      </c>
      <c r="N904" s="39">
        <f t="shared" si="113"/>
        <v>0</v>
      </c>
      <c r="O904" s="38">
        <v>0</v>
      </c>
      <c r="P904" s="38">
        <v>0</v>
      </c>
      <c r="Q904" s="39">
        <f t="shared" si="114"/>
        <v>0</v>
      </c>
      <c r="R904" s="38">
        <v>0</v>
      </c>
      <c r="S904" s="38">
        <v>0</v>
      </c>
      <c r="T904" s="39">
        <f t="shared" si="115"/>
        <v>0</v>
      </c>
      <c r="U904" s="38">
        <v>20000</v>
      </c>
      <c r="V904" s="38"/>
      <c r="W904" s="39">
        <f t="shared" si="116"/>
        <v>0</v>
      </c>
      <c r="X904" s="38"/>
      <c r="Y904" s="38"/>
      <c r="Z904" s="39">
        <f t="shared" si="117"/>
        <v>0</v>
      </c>
      <c r="AA904" s="38"/>
      <c r="AB904" s="38"/>
      <c r="AC904" s="39">
        <f t="shared" si="118"/>
        <v>0</v>
      </c>
      <c r="AD904" s="38"/>
      <c r="AE904" s="38"/>
      <c r="AF904" s="39">
        <f t="shared" si="119"/>
        <v>0</v>
      </c>
    </row>
    <row r="905" spans="2:32" ht="15" customHeight="1" x14ac:dyDescent="0.3">
      <c r="B905" s="2" t="s">
        <v>983</v>
      </c>
      <c r="C905" s="4" t="s">
        <v>1255</v>
      </c>
      <c r="D905" s="3" t="s">
        <v>1273</v>
      </c>
      <c r="E905" s="6" t="s">
        <v>1276</v>
      </c>
      <c r="F905" s="6" t="s">
        <v>1182</v>
      </c>
      <c r="G905" s="6" t="s">
        <v>715</v>
      </c>
      <c r="H905" s="25">
        <v>302000</v>
      </c>
      <c r="I905" s="38">
        <v>0</v>
      </c>
      <c r="J905" s="38">
        <v>0</v>
      </c>
      <c r="K905" s="39">
        <f t="shared" si="112"/>
        <v>0</v>
      </c>
      <c r="L905" s="38">
        <v>0</v>
      </c>
      <c r="M905" s="38">
        <v>0</v>
      </c>
      <c r="N905" s="39">
        <f t="shared" si="113"/>
        <v>0</v>
      </c>
      <c r="O905" s="38">
        <v>0</v>
      </c>
      <c r="P905" s="38">
        <v>0</v>
      </c>
      <c r="Q905" s="39">
        <f t="shared" si="114"/>
        <v>0</v>
      </c>
      <c r="R905" s="38">
        <v>0</v>
      </c>
      <c r="S905" s="38">
        <v>0</v>
      </c>
      <c r="T905" s="39">
        <f t="shared" si="115"/>
        <v>0</v>
      </c>
      <c r="U905" s="38">
        <v>15</v>
      </c>
      <c r="V905" s="38">
        <v>1</v>
      </c>
      <c r="W905" s="39">
        <f t="shared" si="116"/>
        <v>4530000</v>
      </c>
      <c r="X905" s="38"/>
      <c r="Y905" s="38"/>
      <c r="Z905" s="39">
        <f t="shared" si="117"/>
        <v>0</v>
      </c>
      <c r="AA905" s="38"/>
      <c r="AB905" s="38"/>
      <c r="AC905" s="39">
        <f t="shared" si="118"/>
        <v>0</v>
      </c>
      <c r="AD905" s="38"/>
      <c r="AE905" s="38"/>
      <c r="AF905" s="39">
        <f t="shared" si="119"/>
        <v>0</v>
      </c>
    </row>
    <row r="906" spans="2:32" ht="15" customHeight="1" x14ac:dyDescent="0.3">
      <c r="B906" s="2" t="s">
        <v>983</v>
      </c>
      <c r="C906" s="4" t="s">
        <v>1255</v>
      </c>
      <c r="D906" s="3" t="s">
        <v>1273</v>
      </c>
      <c r="E906" s="6" t="s">
        <v>1276</v>
      </c>
      <c r="F906" s="6" t="s">
        <v>1004</v>
      </c>
      <c r="G906" s="6" t="s">
        <v>709</v>
      </c>
      <c r="H906" s="25">
        <v>28000</v>
      </c>
      <c r="I906" s="38">
        <v>0</v>
      </c>
      <c r="J906" s="38">
        <v>0</v>
      </c>
      <c r="K906" s="39">
        <f t="shared" si="112"/>
        <v>0</v>
      </c>
      <c r="L906" s="38">
        <v>0</v>
      </c>
      <c r="M906" s="38">
        <v>0</v>
      </c>
      <c r="N906" s="39">
        <f t="shared" si="113"/>
        <v>0</v>
      </c>
      <c r="O906" s="38">
        <v>0</v>
      </c>
      <c r="P906" s="38">
        <v>0</v>
      </c>
      <c r="Q906" s="39">
        <f t="shared" si="114"/>
        <v>0</v>
      </c>
      <c r="R906" s="38">
        <v>0</v>
      </c>
      <c r="S906" s="38">
        <v>0</v>
      </c>
      <c r="T906" s="39">
        <f t="shared" si="115"/>
        <v>0</v>
      </c>
      <c r="U906" s="38">
        <v>10</v>
      </c>
      <c r="V906" s="38">
        <v>1</v>
      </c>
      <c r="W906" s="39">
        <f t="shared" si="116"/>
        <v>280000</v>
      </c>
      <c r="X906" s="38"/>
      <c r="Y906" s="38"/>
      <c r="Z906" s="39">
        <f t="shared" si="117"/>
        <v>0</v>
      </c>
      <c r="AA906" s="38"/>
      <c r="AB906" s="38"/>
      <c r="AC906" s="39">
        <f t="shared" si="118"/>
        <v>0</v>
      </c>
      <c r="AD906" s="38"/>
      <c r="AE906" s="38"/>
      <c r="AF906" s="39">
        <f t="shared" si="119"/>
        <v>0</v>
      </c>
    </row>
    <row r="907" spans="2:32" ht="15" customHeight="1" x14ac:dyDescent="0.3">
      <c r="B907" s="2" t="s">
        <v>983</v>
      </c>
      <c r="C907" s="4" t="s">
        <v>1255</v>
      </c>
      <c r="D907" s="3" t="s">
        <v>1273</v>
      </c>
      <c r="E907" s="6" t="s">
        <v>1276</v>
      </c>
      <c r="F907" s="6" t="s">
        <v>1004</v>
      </c>
      <c r="G907" s="6" t="s">
        <v>716</v>
      </c>
      <c r="H907" s="25">
        <v>39000</v>
      </c>
      <c r="I907" s="38">
        <v>0</v>
      </c>
      <c r="J907" s="38">
        <v>0</v>
      </c>
      <c r="K907" s="39">
        <f t="shared" si="112"/>
        <v>0</v>
      </c>
      <c r="L907" s="38">
        <v>0</v>
      </c>
      <c r="M907" s="38">
        <v>0</v>
      </c>
      <c r="N907" s="39">
        <f t="shared" si="113"/>
        <v>0</v>
      </c>
      <c r="O907" s="38">
        <v>0</v>
      </c>
      <c r="P907" s="38">
        <v>0</v>
      </c>
      <c r="Q907" s="39">
        <f t="shared" si="114"/>
        <v>0</v>
      </c>
      <c r="R907" s="38">
        <v>0</v>
      </c>
      <c r="S907" s="38">
        <v>0</v>
      </c>
      <c r="T907" s="39">
        <f t="shared" si="115"/>
        <v>0</v>
      </c>
      <c r="U907" s="38">
        <v>13</v>
      </c>
      <c r="V907" s="38">
        <v>10</v>
      </c>
      <c r="W907" s="39">
        <f t="shared" si="116"/>
        <v>5070000</v>
      </c>
      <c r="X907" s="38"/>
      <c r="Y907" s="38"/>
      <c r="Z907" s="39">
        <f t="shared" si="117"/>
        <v>0</v>
      </c>
      <c r="AA907" s="38"/>
      <c r="AB907" s="38"/>
      <c r="AC907" s="39">
        <f t="shared" si="118"/>
        <v>0</v>
      </c>
      <c r="AD907" s="38"/>
      <c r="AE907" s="38"/>
      <c r="AF907" s="39">
        <f t="shared" si="119"/>
        <v>0</v>
      </c>
    </row>
    <row r="908" spans="2:32" ht="15" customHeight="1" x14ac:dyDescent="0.3">
      <c r="B908" s="2" t="s">
        <v>983</v>
      </c>
      <c r="C908" s="4" t="s">
        <v>1255</v>
      </c>
      <c r="D908" s="3" t="s">
        <v>1273</v>
      </c>
      <c r="E908" s="6" t="s">
        <v>1276</v>
      </c>
      <c r="F908" s="6" t="s">
        <v>1004</v>
      </c>
      <c r="G908" s="6" t="s">
        <v>712</v>
      </c>
      <c r="H908" s="25">
        <v>214.29</v>
      </c>
      <c r="I908" s="38">
        <v>0</v>
      </c>
      <c r="J908" s="38">
        <v>0</v>
      </c>
      <c r="K908" s="39">
        <f t="shared" si="112"/>
        <v>0</v>
      </c>
      <c r="L908" s="38">
        <v>0</v>
      </c>
      <c r="M908" s="38">
        <v>0</v>
      </c>
      <c r="N908" s="39">
        <f t="shared" si="113"/>
        <v>0</v>
      </c>
      <c r="O908" s="38">
        <v>0</v>
      </c>
      <c r="P908" s="38">
        <v>0</v>
      </c>
      <c r="Q908" s="39">
        <f t="shared" si="114"/>
        <v>0</v>
      </c>
      <c r="R908" s="38">
        <v>0</v>
      </c>
      <c r="S908" s="38">
        <v>0</v>
      </c>
      <c r="T908" s="39">
        <f t="shared" si="115"/>
        <v>0</v>
      </c>
      <c r="U908" s="38">
        <v>13</v>
      </c>
      <c r="V908" s="38">
        <v>10</v>
      </c>
      <c r="W908" s="39">
        <f t="shared" si="116"/>
        <v>27857.7</v>
      </c>
      <c r="X908" s="38"/>
      <c r="Y908" s="38"/>
      <c r="Z908" s="39">
        <f t="shared" si="117"/>
        <v>0</v>
      </c>
      <c r="AA908" s="38"/>
      <c r="AB908" s="38"/>
      <c r="AC908" s="39">
        <f t="shared" si="118"/>
        <v>0</v>
      </c>
      <c r="AD908" s="38"/>
      <c r="AE908" s="38"/>
      <c r="AF908" s="39">
        <f t="shared" si="119"/>
        <v>0</v>
      </c>
    </row>
    <row r="909" spans="2:32" ht="15" customHeight="1" x14ac:dyDescent="0.3">
      <c r="B909" s="2" t="s">
        <v>983</v>
      </c>
      <c r="C909" s="4" t="s">
        <v>1255</v>
      </c>
      <c r="D909" s="3" t="s">
        <v>1273</v>
      </c>
      <c r="E909" s="6" t="s">
        <v>1276</v>
      </c>
      <c r="F909" s="6" t="s">
        <v>1278</v>
      </c>
      <c r="G909" s="6" t="s">
        <v>841</v>
      </c>
      <c r="H909" s="25">
        <v>0</v>
      </c>
      <c r="I909" s="38">
        <v>0</v>
      </c>
      <c r="J909" s="38">
        <v>0</v>
      </c>
      <c r="K909" s="39">
        <f t="shared" si="112"/>
        <v>0</v>
      </c>
      <c r="L909" s="38">
        <v>0</v>
      </c>
      <c r="M909" s="38">
        <v>0</v>
      </c>
      <c r="N909" s="39">
        <f t="shared" si="113"/>
        <v>0</v>
      </c>
      <c r="O909" s="38">
        <v>0</v>
      </c>
      <c r="P909" s="38">
        <v>0</v>
      </c>
      <c r="Q909" s="39">
        <f t="shared" si="114"/>
        <v>0</v>
      </c>
      <c r="R909" s="38">
        <v>0</v>
      </c>
      <c r="S909" s="38">
        <v>0</v>
      </c>
      <c r="T909" s="39">
        <f t="shared" si="115"/>
        <v>0</v>
      </c>
      <c r="U909" s="38">
        <v>4000</v>
      </c>
      <c r="V909" s="38">
        <v>1</v>
      </c>
      <c r="W909" s="39">
        <f t="shared" si="116"/>
        <v>0</v>
      </c>
      <c r="X909" s="38"/>
      <c r="Y909" s="38"/>
      <c r="Z909" s="39">
        <f t="shared" si="117"/>
        <v>0</v>
      </c>
      <c r="AA909" s="38"/>
      <c r="AB909" s="38"/>
      <c r="AC909" s="39">
        <f t="shared" si="118"/>
        <v>0</v>
      </c>
      <c r="AD909" s="38"/>
      <c r="AE909" s="38"/>
      <c r="AF909" s="39">
        <f t="shared" si="119"/>
        <v>0</v>
      </c>
    </row>
    <row r="910" spans="2:32" ht="15" customHeight="1" x14ac:dyDescent="0.3">
      <c r="B910" s="2" t="s">
        <v>983</v>
      </c>
      <c r="C910" s="4" t="s">
        <v>1255</v>
      </c>
      <c r="D910" s="3" t="s">
        <v>1273</v>
      </c>
      <c r="E910" s="6" t="s">
        <v>1276</v>
      </c>
      <c r="F910" s="6" t="s">
        <v>168</v>
      </c>
      <c r="G910" s="6" t="s">
        <v>709</v>
      </c>
      <c r="H910" s="25">
        <v>28000</v>
      </c>
      <c r="I910" s="38">
        <v>0</v>
      </c>
      <c r="J910" s="38">
        <v>0</v>
      </c>
      <c r="K910" s="39">
        <f t="shared" si="112"/>
        <v>0</v>
      </c>
      <c r="L910" s="38">
        <v>0</v>
      </c>
      <c r="M910" s="38">
        <v>0</v>
      </c>
      <c r="N910" s="39">
        <f t="shared" si="113"/>
        <v>0</v>
      </c>
      <c r="O910" s="38">
        <v>0</v>
      </c>
      <c r="P910" s="38">
        <v>0</v>
      </c>
      <c r="Q910" s="39">
        <f t="shared" si="114"/>
        <v>0</v>
      </c>
      <c r="R910" s="38">
        <v>0</v>
      </c>
      <c r="S910" s="38">
        <v>0</v>
      </c>
      <c r="T910" s="39">
        <f t="shared" si="115"/>
        <v>0</v>
      </c>
      <c r="U910" s="38">
        <v>1</v>
      </c>
      <c r="V910" s="38">
        <v>3</v>
      </c>
      <c r="W910" s="39">
        <f t="shared" si="116"/>
        <v>84000</v>
      </c>
      <c r="X910" s="38"/>
      <c r="Y910" s="38"/>
      <c r="Z910" s="39">
        <f t="shared" si="117"/>
        <v>0</v>
      </c>
      <c r="AA910" s="38"/>
      <c r="AB910" s="38"/>
      <c r="AC910" s="39">
        <f t="shared" si="118"/>
        <v>0</v>
      </c>
      <c r="AD910" s="38"/>
      <c r="AE910" s="38"/>
      <c r="AF910" s="39">
        <f t="shared" si="119"/>
        <v>0</v>
      </c>
    </row>
    <row r="911" spans="2:32" ht="15" customHeight="1" x14ac:dyDescent="0.3">
      <c r="B911" s="2" t="s">
        <v>983</v>
      </c>
      <c r="C911" s="4" t="s">
        <v>1255</v>
      </c>
      <c r="D911" s="3" t="s">
        <v>1273</v>
      </c>
      <c r="E911" s="6" t="s">
        <v>1276</v>
      </c>
      <c r="F911" s="6" t="s">
        <v>168</v>
      </c>
      <c r="G911" s="6" t="s">
        <v>716</v>
      </c>
      <c r="H911" s="25">
        <v>39000</v>
      </c>
      <c r="I911" s="38">
        <v>0</v>
      </c>
      <c r="J911" s="38">
        <v>0</v>
      </c>
      <c r="K911" s="39">
        <f t="shared" si="112"/>
        <v>0</v>
      </c>
      <c r="L911" s="38">
        <v>0</v>
      </c>
      <c r="M911" s="38">
        <v>0</v>
      </c>
      <c r="N911" s="39">
        <f t="shared" si="113"/>
        <v>0</v>
      </c>
      <c r="O911" s="38">
        <v>0</v>
      </c>
      <c r="P911" s="38">
        <v>0</v>
      </c>
      <c r="Q911" s="39">
        <f t="shared" si="114"/>
        <v>0</v>
      </c>
      <c r="R911" s="38">
        <v>0</v>
      </c>
      <c r="S911" s="38">
        <v>0</v>
      </c>
      <c r="T911" s="39">
        <f t="shared" si="115"/>
        <v>0</v>
      </c>
      <c r="U911" s="38">
        <v>35</v>
      </c>
      <c r="V911" s="38">
        <v>1</v>
      </c>
      <c r="W911" s="39">
        <f t="shared" si="116"/>
        <v>1365000</v>
      </c>
      <c r="X911" s="38"/>
      <c r="Y911" s="38"/>
      <c r="Z911" s="39">
        <f t="shared" si="117"/>
        <v>0</v>
      </c>
      <c r="AA911" s="38"/>
      <c r="AB911" s="38"/>
      <c r="AC911" s="39">
        <f t="shared" si="118"/>
        <v>0</v>
      </c>
      <c r="AD911" s="38"/>
      <c r="AE911" s="38"/>
      <c r="AF911" s="39">
        <f t="shared" si="119"/>
        <v>0</v>
      </c>
    </row>
    <row r="912" spans="2:32" ht="15" customHeight="1" x14ac:dyDescent="0.3">
      <c r="B912" s="2" t="s">
        <v>983</v>
      </c>
      <c r="C912" s="4" t="s">
        <v>1255</v>
      </c>
      <c r="D912" s="3" t="s">
        <v>1273</v>
      </c>
      <c r="E912" s="6" t="s">
        <v>1276</v>
      </c>
      <c r="F912" s="6" t="s">
        <v>168</v>
      </c>
      <c r="G912" s="6" t="s">
        <v>712</v>
      </c>
      <c r="H912" s="25">
        <v>214.29</v>
      </c>
      <c r="I912" s="38">
        <v>0</v>
      </c>
      <c r="J912" s="38">
        <v>0</v>
      </c>
      <c r="K912" s="39">
        <f t="shared" si="112"/>
        <v>0</v>
      </c>
      <c r="L912" s="38">
        <v>0</v>
      </c>
      <c r="M912" s="38">
        <v>0</v>
      </c>
      <c r="N912" s="39">
        <f t="shared" si="113"/>
        <v>0</v>
      </c>
      <c r="O912" s="38">
        <v>0</v>
      </c>
      <c r="P912" s="38">
        <v>0</v>
      </c>
      <c r="Q912" s="39">
        <f t="shared" si="114"/>
        <v>0</v>
      </c>
      <c r="R912" s="38">
        <v>0</v>
      </c>
      <c r="S912" s="38">
        <v>0</v>
      </c>
      <c r="T912" s="39">
        <f t="shared" si="115"/>
        <v>0</v>
      </c>
      <c r="U912" s="38">
        <v>35</v>
      </c>
      <c r="V912" s="38">
        <v>1</v>
      </c>
      <c r="W912" s="39">
        <f t="shared" si="116"/>
        <v>7500.15</v>
      </c>
      <c r="X912" s="38"/>
      <c r="Y912" s="38"/>
      <c r="Z912" s="39">
        <f t="shared" si="117"/>
        <v>0</v>
      </c>
      <c r="AA912" s="38"/>
      <c r="AB912" s="38"/>
      <c r="AC912" s="39">
        <f t="shared" si="118"/>
        <v>0</v>
      </c>
      <c r="AD912" s="38"/>
      <c r="AE912" s="38"/>
      <c r="AF912" s="39">
        <f t="shared" si="119"/>
        <v>0</v>
      </c>
    </row>
    <row r="913" spans="2:32" ht="15" customHeight="1" x14ac:dyDescent="0.3">
      <c r="B913" s="2" t="s">
        <v>983</v>
      </c>
      <c r="C913" s="4" t="s">
        <v>1255</v>
      </c>
      <c r="D913" s="3" t="s">
        <v>1273</v>
      </c>
      <c r="E913" s="6" t="s">
        <v>1276</v>
      </c>
      <c r="F913" s="6" t="s">
        <v>1279</v>
      </c>
      <c r="G913" s="6" t="s">
        <v>717</v>
      </c>
      <c r="H913" s="25">
        <v>104850</v>
      </c>
      <c r="I913" s="38">
        <v>0</v>
      </c>
      <c r="J913" s="38">
        <v>0</v>
      </c>
      <c r="K913" s="39">
        <f t="shared" si="112"/>
        <v>0</v>
      </c>
      <c r="L913" s="38">
        <v>0</v>
      </c>
      <c r="M913" s="38">
        <v>0</v>
      </c>
      <c r="N913" s="39">
        <f t="shared" si="113"/>
        <v>0</v>
      </c>
      <c r="O913" s="38">
        <v>0</v>
      </c>
      <c r="P913" s="38">
        <v>0</v>
      </c>
      <c r="Q913" s="39">
        <f t="shared" si="114"/>
        <v>0</v>
      </c>
      <c r="R913" s="38">
        <v>0</v>
      </c>
      <c r="S913" s="38">
        <v>0</v>
      </c>
      <c r="T913" s="39">
        <f t="shared" si="115"/>
        <v>0</v>
      </c>
      <c r="U913" s="38">
        <v>8000</v>
      </c>
      <c r="V913" s="38">
        <v>1</v>
      </c>
      <c r="W913" s="39">
        <f t="shared" si="116"/>
        <v>838800000</v>
      </c>
      <c r="X913" s="38"/>
      <c r="Y913" s="38"/>
      <c r="Z913" s="39">
        <f t="shared" si="117"/>
        <v>0</v>
      </c>
      <c r="AA913" s="38"/>
      <c r="AB913" s="38"/>
      <c r="AC913" s="39">
        <f t="shared" si="118"/>
        <v>0</v>
      </c>
      <c r="AD913" s="38"/>
      <c r="AE913" s="38"/>
      <c r="AF913" s="39">
        <f t="shared" si="119"/>
        <v>0</v>
      </c>
    </row>
    <row r="914" spans="2:32" ht="15" customHeight="1" x14ac:dyDescent="0.3">
      <c r="B914" s="2" t="s">
        <v>983</v>
      </c>
      <c r="C914" s="4" t="s">
        <v>1255</v>
      </c>
      <c r="D914" s="3" t="s">
        <v>1273</v>
      </c>
      <c r="E914" s="6" t="s">
        <v>1276</v>
      </c>
      <c r="F914" s="6" t="s">
        <v>1279</v>
      </c>
      <c r="G914" s="6" t="s">
        <v>711</v>
      </c>
      <c r="H914" s="25">
        <v>70</v>
      </c>
      <c r="I914" s="38">
        <v>0</v>
      </c>
      <c r="J914" s="38">
        <v>0</v>
      </c>
      <c r="K914" s="39">
        <f t="shared" si="112"/>
        <v>0</v>
      </c>
      <c r="L914" s="38">
        <v>0</v>
      </c>
      <c r="M914" s="38">
        <v>0</v>
      </c>
      <c r="N914" s="39">
        <f t="shared" si="113"/>
        <v>0</v>
      </c>
      <c r="O914" s="38">
        <v>0</v>
      </c>
      <c r="P914" s="38">
        <v>0</v>
      </c>
      <c r="Q914" s="39">
        <f t="shared" si="114"/>
        <v>0</v>
      </c>
      <c r="R914" s="38">
        <v>0</v>
      </c>
      <c r="S914" s="38">
        <v>0</v>
      </c>
      <c r="T914" s="39">
        <f t="shared" si="115"/>
        <v>0</v>
      </c>
      <c r="U914" s="38">
        <v>5</v>
      </c>
      <c r="V914" s="38">
        <v>5</v>
      </c>
      <c r="W914" s="39">
        <f t="shared" si="116"/>
        <v>1750</v>
      </c>
      <c r="X914" s="38"/>
      <c r="Y914" s="38"/>
      <c r="Z914" s="39">
        <f t="shared" si="117"/>
        <v>0</v>
      </c>
      <c r="AA914" s="38"/>
      <c r="AB914" s="38"/>
      <c r="AC914" s="39">
        <f t="shared" si="118"/>
        <v>0</v>
      </c>
      <c r="AD914" s="38"/>
      <c r="AE914" s="38"/>
      <c r="AF914" s="39">
        <f t="shared" si="119"/>
        <v>0</v>
      </c>
    </row>
    <row r="915" spans="2:32" ht="15" customHeight="1" x14ac:dyDescent="0.3">
      <c r="B915" s="2" t="s">
        <v>983</v>
      </c>
      <c r="C915" s="4" t="s">
        <v>1280</v>
      </c>
      <c r="D915" s="3" t="s">
        <v>1281</v>
      </c>
      <c r="E915" s="6" t="s">
        <v>1282</v>
      </c>
      <c r="F915" s="6" t="s">
        <v>1283</v>
      </c>
      <c r="G915" s="6" t="s">
        <v>841</v>
      </c>
      <c r="H915" s="25">
        <v>0</v>
      </c>
      <c r="I915" s="38">
        <v>0</v>
      </c>
      <c r="J915" s="38">
        <v>0</v>
      </c>
      <c r="K915" s="39">
        <f t="shared" si="112"/>
        <v>0</v>
      </c>
      <c r="L915" s="38">
        <v>0</v>
      </c>
      <c r="M915" s="38">
        <v>0</v>
      </c>
      <c r="N915" s="39">
        <f t="shared" si="113"/>
        <v>0</v>
      </c>
      <c r="O915" s="38">
        <v>0</v>
      </c>
      <c r="P915" s="38">
        <v>0</v>
      </c>
      <c r="Q915" s="39">
        <f t="shared" si="114"/>
        <v>0</v>
      </c>
      <c r="R915" s="38">
        <v>0</v>
      </c>
      <c r="S915" s="38">
        <v>0</v>
      </c>
      <c r="T915" s="39">
        <f t="shared" si="115"/>
        <v>0</v>
      </c>
      <c r="U915" s="38">
        <v>50000</v>
      </c>
      <c r="V915" s="38">
        <v>1</v>
      </c>
      <c r="W915" s="39">
        <f t="shared" si="116"/>
        <v>0</v>
      </c>
      <c r="X915" s="38"/>
      <c r="Y915" s="38"/>
      <c r="Z915" s="39">
        <f t="shared" si="117"/>
        <v>0</v>
      </c>
      <c r="AA915" s="38"/>
      <c r="AB915" s="38"/>
      <c r="AC915" s="39">
        <f t="shared" si="118"/>
        <v>0</v>
      </c>
      <c r="AD915" s="38"/>
      <c r="AE915" s="38"/>
      <c r="AF915" s="39">
        <f t="shared" si="119"/>
        <v>0</v>
      </c>
    </row>
    <row r="916" spans="2:32" ht="15" customHeight="1" x14ac:dyDescent="0.3">
      <c r="B916" s="2" t="s">
        <v>983</v>
      </c>
      <c r="C916" s="4" t="s">
        <v>1280</v>
      </c>
      <c r="D916" s="3" t="s">
        <v>1281</v>
      </c>
      <c r="E916" s="6" t="s">
        <v>1282</v>
      </c>
      <c r="F916" s="6" t="s">
        <v>1284</v>
      </c>
      <c r="G916" s="6" t="s">
        <v>709</v>
      </c>
      <c r="H916" s="25">
        <v>28000</v>
      </c>
      <c r="I916" s="38">
        <v>0</v>
      </c>
      <c r="J916" s="38">
        <v>0</v>
      </c>
      <c r="K916" s="39">
        <f t="shared" si="112"/>
        <v>0</v>
      </c>
      <c r="L916" s="38">
        <v>0</v>
      </c>
      <c r="M916" s="38">
        <v>0</v>
      </c>
      <c r="N916" s="39">
        <f t="shared" si="113"/>
        <v>0</v>
      </c>
      <c r="O916" s="38">
        <v>0</v>
      </c>
      <c r="P916" s="38">
        <v>0</v>
      </c>
      <c r="Q916" s="39">
        <f t="shared" si="114"/>
        <v>0</v>
      </c>
      <c r="R916" s="38">
        <v>0</v>
      </c>
      <c r="S916" s="38">
        <v>0</v>
      </c>
      <c r="T916" s="39">
        <f t="shared" si="115"/>
        <v>0</v>
      </c>
      <c r="U916" s="38">
        <v>0</v>
      </c>
      <c r="V916" s="38">
        <v>0</v>
      </c>
      <c r="W916" s="39">
        <f t="shared" si="116"/>
        <v>0</v>
      </c>
      <c r="X916" s="38"/>
      <c r="Y916" s="38"/>
      <c r="Z916" s="39">
        <f t="shared" si="117"/>
        <v>0</v>
      </c>
      <c r="AA916" s="38"/>
      <c r="AB916" s="38"/>
      <c r="AC916" s="39">
        <f t="shared" si="118"/>
        <v>0</v>
      </c>
      <c r="AD916" s="38"/>
      <c r="AE916" s="38"/>
      <c r="AF916" s="39">
        <f t="shared" si="119"/>
        <v>0</v>
      </c>
    </row>
    <row r="917" spans="2:32" ht="15" customHeight="1" x14ac:dyDescent="0.3">
      <c r="B917" s="2" t="s">
        <v>983</v>
      </c>
      <c r="C917" s="4" t="s">
        <v>1280</v>
      </c>
      <c r="D917" s="3" t="s">
        <v>1281</v>
      </c>
      <c r="E917" s="6" t="s">
        <v>1285</v>
      </c>
      <c r="F917" s="6" t="s">
        <v>1286</v>
      </c>
      <c r="G917" s="6" t="s">
        <v>709</v>
      </c>
      <c r="H917" s="25">
        <v>2800</v>
      </c>
      <c r="I917" s="38">
        <v>0</v>
      </c>
      <c r="J917" s="38">
        <v>0</v>
      </c>
      <c r="K917" s="39">
        <f t="shared" si="112"/>
        <v>0</v>
      </c>
      <c r="L917" s="38">
        <v>15</v>
      </c>
      <c r="M917" s="38">
        <v>1</v>
      </c>
      <c r="N917" s="39">
        <f t="shared" si="113"/>
        <v>42000</v>
      </c>
      <c r="O917" s="38">
        <v>0</v>
      </c>
      <c r="P917" s="38">
        <v>0</v>
      </c>
      <c r="Q917" s="39">
        <f t="shared" si="114"/>
        <v>0</v>
      </c>
      <c r="R917" s="38">
        <v>0</v>
      </c>
      <c r="S917" s="38">
        <v>0</v>
      </c>
      <c r="T917" s="39">
        <f t="shared" si="115"/>
        <v>0</v>
      </c>
      <c r="U917" s="38">
        <v>0</v>
      </c>
      <c r="V917" s="38">
        <v>0</v>
      </c>
      <c r="W917" s="39">
        <f t="shared" si="116"/>
        <v>0</v>
      </c>
      <c r="X917" s="38"/>
      <c r="Y917" s="38"/>
      <c r="Z917" s="39">
        <f t="shared" si="117"/>
        <v>0</v>
      </c>
      <c r="AA917" s="38"/>
      <c r="AB917" s="38"/>
      <c r="AC917" s="39">
        <f t="shared" si="118"/>
        <v>0</v>
      </c>
      <c r="AD917" s="38"/>
      <c r="AE917" s="38"/>
      <c r="AF917" s="39">
        <f t="shared" si="119"/>
        <v>0</v>
      </c>
    </row>
    <row r="918" spans="2:32" ht="15" customHeight="1" x14ac:dyDescent="0.3">
      <c r="B918" s="2" t="s">
        <v>983</v>
      </c>
      <c r="C918" s="4" t="s">
        <v>1280</v>
      </c>
      <c r="D918" s="3" t="s">
        <v>1287</v>
      </c>
      <c r="E918" s="6" t="s">
        <v>1288</v>
      </c>
      <c r="F918" s="6" t="s">
        <v>1289</v>
      </c>
      <c r="G918" s="6" t="s">
        <v>709</v>
      </c>
      <c r="H918" s="25">
        <v>2800</v>
      </c>
      <c r="I918" s="38">
        <v>0</v>
      </c>
      <c r="J918" s="38">
        <v>0</v>
      </c>
      <c r="K918" s="39">
        <f t="shared" si="112"/>
        <v>0</v>
      </c>
      <c r="L918" s="38">
        <v>40</v>
      </c>
      <c r="M918" s="38">
        <v>1</v>
      </c>
      <c r="N918" s="39">
        <f t="shared" si="113"/>
        <v>112000</v>
      </c>
      <c r="O918" s="38">
        <v>0</v>
      </c>
      <c r="P918" s="38">
        <v>0</v>
      </c>
      <c r="Q918" s="39">
        <f t="shared" si="114"/>
        <v>0</v>
      </c>
      <c r="R918" s="38">
        <v>0</v>
      </c>
      <c r="S918" s="38">
        <v>0</v>
      </c>
      <c r="T918" s="39">
        <f t="shared" si="115"/>
        <v>0</v>
      </c>
      <c r="U918" s="38">
        <v>0</v>
      </c>
      <c r="V918" s="38">
        <v>0</v>
      </c>
      <c r="W918" s="39">
        <f t="shared" si="116"/>
        <v>0</v>
      </c>
      <c r="X918" s="38"/>
      <c r="Y918" s="38"/>
      <c r="Z918" s="39">
        <f t="shared" si="117"/>
        <v>0</v>
      </c>
      <c r="AA918" s="38"/>
      <c r="AB918" s="38"/>
      <c r="AC918" s="39">
        <f t="shared" si="118"/>
        <v>0</v>
      </c>
      <c r="AD918" s="38"/>
      <c r="AE918" s="38"/>
      <c r="AF918" s="39">
        <f t="shared" si="119"/>
        <v>0</v>
      </c>
    </row>
    <row r="919" spans="2:32" ht="15" customHeight="1" x14ac:dyDescent="0.3">
      <c r="B919" s="2" t="s">
        <v>983</v>
      </c>
      <c r="C919" s="4" t="s">
        <v>1280</v>
      </c>
      <c r="D919" s="3" t="s">
        <v>1287</v>
      </c>
      <c r="E919" s="6" t="s">
        <v>1290</v>
      </c>
      <c r="F919" s="6" t="s">
        <v>169</v>
      </c>
      <c r="G919" s="6" t="s">
        <v>709</v>
      </c>
      <c r="H919" s="25">
        <v>2800</v>
      </c>
      <c r="I919" s="38">
        <v>25</v>
      </c>
      <c r="J919" s="38">
        <v>1</v>
      </c>
      <c r="K919" s="39">
        <f t="shared" si="112"/>
        <v>70000</v>
      </c>
      <c r="L919" s="38">
        <v>25</v>
      </c>
      <c r="M919" s="38">
        <v>1</v>
      </c>
      <c r="N919" s="39">
        <f t="shared" si="113"/>
        <v>70000</v>
      </c>
      <c r="O919" s="38">
        <v>0</v>
      </c>
      <c r="P919" s="38">
        <v>0</v>
      </c>
      <c r="Q919" s="39">
        <f t="shared" si="114"/>
        <v>0</v>
      </c>
      <c r="R919" s="38">
        <v>0</v>
      </c>
      <c r="S919" s="38">
        <v>0</v>
      </c>
      <c r="T919" s="39">
        <f t="shared" si="115"/>
        <v>0</v>
      </c>
      <c r="U919" s="38">
        <v>0</v>
      </c>
      <c r="V919" s="38">
        <v>0</v>
      </c>
      <c r="W919" s="39">
        <f t="shared" si="116"/>
        <v>0</v>
      </c>
      <c r="X919" s="38"/>
      <c r="Y919" s="38"/>
      <c r="Z919" s="39">
        <f t="shared" si="117"/>
        <v>0</v>
      </c>
      <c r="AA919" s="38"/>
      <c r="AB919" s="38"/>
      <c r="AC919" s="39">
        <f t="shared" si="118"/>
        <v>0</v>
      </c>
      <c r="AD919" s="38"/>
      <c r="AE919" s="38"/>
      <c r="AF919" s="39">
        <f t="shared" si="119"/>
        <v>0</v>
      </c>
    </row>
    <row r="920" spans="2:32" ht="15" customHeight="1" x14ac:dyDescent="0.3">
      <c r="B920" s="2" t="s">
        <v>983</v>
      </c>
      <c r="C920" s="4" t="s">
        <v>1280</v>
      </c>
      <c r="D920" s="3" t="s">
        <v>1287</v>
      </c>
      <c r="E920" s="6" t="s">
        <v>1290</v>
      </c>
      <c r="F920" s="6" t="s">
        <v>1025</v>
      </c>
      <c r="G920" s="6" t="s">
        <v>841</v>
      </c>
      <c r="H920" s="25">
        <v>0</v>
      </c>
      <c r="I920" s="38">
        <v>0</v>
      </c>
      <c r="J920" s="38">
        <v>0</v>
      </c>
      <c r="K920" s="39">
        <f t="shared" si="112"/>
        <v>0</v>
      </c>
      <c r="L920" s="38">
        <v>20</v>
      </c>
      <c r="M920" s="38">
        <v>1</v>
      </c>
      <c r="N920" s="39">
        <f t="shared" si="113"/>
        <v>0</v>
      </c>
      <c r="O920" s="38">
        <v>20</v>
      </c>
      <c r="P920" s="38">
        <v>1</v>
      </c>
      <c r="Q920" s="39">
        <f t="shared" si="114"/>
        <v>0</v>
      </c>
      <c r="R920" s="38">
        <v>20</v>
      </c>
      <c r="S920" s="38">
        <v>1</v>
      </c>
      <c r="T920" s="39">
        <f t="shared" si="115"/>
        <v>0</v>
      </c>
      <c r="U920" s="38">
        <v>0</v>
      </c>
      <c r="V920" s="38">
        <v>0</v>
      </c>
      <c r="W920" s="39">
        <f t="shared" si="116"/>
        <v>0</v>
      </c>
      <c r="X920" s="38"/>
      <c r="Y920" s="38"/>
      <c r="Z920" s="39">
        <f t="shared" si="117"/>
        <v>0</v>
      </c>
      <c r="AA920" s="38"/>
      <c r="AB920" s="38"/>
      <c r="AC920" s="39">
        <f t="shared" si="118"/>
        <v>0</v>
      </c>
      <c r="AD920" s="38"/>
      <c r="AE920" s="38"/>
      <c r="AF920" s="39">
        <f t="shared" si="119"/>
        <v>0</v>
      </c>
    </row>
    <row r="921" spans="2:32" ht="15" customHeight="1" x14ac:dyDescent="0.3">
      <c r="B921" s="2" t="s">
        <v>983</v>
      </c>
      <c r="C921" s="4" t="s">
        <v>1280</v>
      </c>
      <c r="D921" s="3" t="s">
        <v>1287</v>
      </c>
      <c r="E921" s="6" t="s">
        <v>1290</v>
      </c>
      <c r="F921" s="6" t="s">
        <v>149</v>
      </c>
      <c r="G921" s="6" t="s">
        <v>707</v>
      </c>
      <c r="H921" s="25">
        <v>391991.03749999998</v>
      </c>
      <c r="I921" s="38">
        <v>0</v>
      </c>
      <c r="J921" s="38">
        <v>0</v>
      </c>
      <c r="K921" s="39">
        <f t="shared" si="112"/>
        <v>0</v>
      </c>
      <c r="L921" s="38">
        <v>5</v>
      </c>
      <c r="M921" s="38">
        <v>5</v>
      </c>
      <c r="N921" s="39">
        <f t="shared" si="113"/>
        <v>9799775.9375</v>
      </c>
      <c r="O921" s="38">
        <v>5</v>
      </c>
      <c r="P921" s="38">
        <v>5</v>
      </c>
      <c r="Q921" s="39">
        <f t="shared" si="114"/>
        <v>9799775.9375</v>
      </c>
      <c r="R921" s="38">
        <v>5</v>
      </c>
      <c r="S921" s="38">
        <v>5</v>
      </c>
      <c r="T921" s="39">
        <f t="shared" si="115"/>
        <v>9799775.9375</v>
      </c>
      <c r="U921" s="38">
        <v>0</v>
      </c>
      <c r="V921" s="38">
        <v>0</v>
      </c>
      <c r="W921" s="39">
        <f t="shared" si="116"/>
        <v>0</v>
      </c>
      <c r="X921" s="38"/>
      <c r="Y921" s="38"/>
      <c r="Z921" s="39">
        <f t="shared" si="117"/>
        <v>0</v>
      </c>
      <c r="AA921" s="38"/>
      <c r="AB921" s="38"/>
      <c r="AC921" s="39">
        <f t="shared" si="118"/>
        <v>0</v>
      </c>
      <c r="AD921" s="38"/>
      <c r="AE921" s="38"/>
      <c r="AF921" s="39">
        <f t="shared" si="119"/>
        <v>0</v>
      </c>
    </row>
    <row r="922" spans="2:32" ht="15" customHeight="1" x14ac:dyDescent="0.3">
      <c r="B922" s="2" t="s">
        <v>983</v>
      </c>
      <c r="C922" s="4" t="s">
        <v>1280</v>
      </c>
      <c r="D922" s="3" t="s">
        <v>1287</v>
      </c>
      <c r="E922" s="6" t="s">
        <v>1290</v>
      </c>
      <c r="F922" s="6" t="s">
        <v>149</v>
      </c>
      <c r="G922" s="6" t="s">
        <v>708</v>
      </c>
      <c r="H922" s="25">
        <v>425000</v>
      </c>
      <c r="I922" s="38">
        <v>0</v>
      </c>
      <c r="J922" s="38">
        <v>0</v>
      </c>
      <c r="K922" s="39">
        <f t="shared" si="112"/>
        <v>0</v>
      </c>
      <c r="L922" s="38">
        <v>1</v>
      </c>
      <c r="M922" s="38">
        <v>4</v>
      </c>
      <c r="N922" s="39">
        <f t="shared" si="113"/>
        <v>1700000</v>
      </c>
      <c r="O922" s="38">
        <v>1</v>
      </c>
      <c r="P922" s="38">
        <v>4</v>
      </c>
      <c r="Q922" s="39">
        <f t="shared" si="114"/>
        <v>1700000</v>
      </c>
      <c r="R922" s="38">
        <v>1</v>
      </c>
      <c r="S922" s="38">
        <v>4</v>
      </c>
      <c r="T922" s="39">
        <f t="shared" si="115"/>
        <v>1700000</v>
      </c>
      <c r="U922" s="38">
        <v>0</v>
      </c>
      <c r="V922" s="38">
        <v>0</v>
      </c>
      <c r="W922" s="39">
        <f t="shared" si="116"/>
        <v>0</v>
      </c>
      <c r="X922" s="38"/>
      <c r="Y922" s="38"/>
      <c r="Z922" s="39">
        <f t="shared" si="117"/>
        <v>0</v>
      </c>
      <c r="AA922" s="38"/>
      <c r="AB922" s="38"/>
      <c r="AC922" s="39">
        <f t="shared" si="118"/>
        <v>0</v>
      </c>
      <c r="AD922" s="38"/>
      <c r="AE922" s="38"/>
      <c r="AF922" s="39">
        <f t="shared" si="119"/>
        <v>0</v>
      </c>
    </row>
    <row r="923" spans="2:32" ht="15" customHeight="1" x14ac:dyDescent="0.3">
      <c r="B923" s="2" t="s">
        <v>983</v>
      </c>
      <c r="C923" s="4" t="s">
        <v>1280</v>
      </c>
      <c r="D923" s="3" t="s">
        <v>1287</v>
      </c>
      <c r="E923" s="6" t="s">
        <v>1290</v>
      </c>
      <c r="F923" s="6" t="s">
        <v>1181</v>
      </c>
      <c r="G923" s="6" t="s">
        <v>841</v>
      </c>
      <c r="H923" s="25">
        <v>0</v>
      </c>
      <c r="I923" s="38">
        <v>0</v>
      </c>
      <c r="J923" s="38">
        <v>0</v>
      </c>
      <c r="K923" s="39">
        <f t="shared" si="112"/>
        <v>0</v>
      </c>
      <c r="L923" s="38">
        <v>1</v>
      </c>
      <c r="M923" s="38">
        <v>40</v>
      </c>
      <c r="N923" s="39">
        <f t="shared" si="113"/>
        <v>0</v>
      </c>
      <c r="O923" s="38">
        <v>1</v>
      </c>
      <c r="P923" s="38">
        <v>40</v>
      </c>
      <c r="Q923" s="39">
        <f t="shared" si="114"/>
        <v>0</v>
      </c>
      <c r="R923" s="38">
        <v>1</v>
      </c>
      <c r="S923" s="38">
        <v>40</v>
      </c>
      <c r="T923" s="39">
        <f t="shared" si="115"/>
        <v>0</v>
      </c>
      <c r="U923" s="38">
        <v>0</v>
      </c>
      <c r="V923" s="38">
        <v>0</v>
      </c>
      <c r="W923" s="39">
        <f t="shared" si="116"/>
        <v>0</v>
      </c>
      <c r="X923" s="38"/>
      <c r="Y923" s="38"/>
      <c r="Z923" s="39">
        <f t="shared" si="117"/>
        <v>0</v>
      </c>
      <c r="AA923" s="38"/>
      <c r="AB923" s="38"/>
      <c r="AC923" s="39">
        <f t="shared" si="118"/>
        <v>0</v>
      </c>
      <c r="AD923" s="38"/>
      <c r="AE923" s="38"/>
      <c r="AF923" s="39">
        <f t="shared" si="119"/>
        <v>0</v>
      </c>
    </row>
    <row r="924" spans="2:32" ht="15" customHeight="1" x14ac:dyDescent="0.3">
      <c r="B924" s="2" t="s">
        <v>983</v>
      </c>
      <c r="C924" s="4" t="s">
        <v>1280</v>
      </c>
      <c r="D924" s="3" t="s">
        <v>1287</v>
      </c>
      <c r="E924" s="6" t="s">
        <v>1290</v>
      </c>
      <c r="F924" s="6" t="s">
        <v>1015</v>
      </c>
      <c r="G924" s="6" t="s">
        <v>709</v>
      </c>
      <c r="H924" s="25">
        <v>28000</v>
      </c>
      <c r="I924" s="38">
        <v>0</v>
      </c>
      <c r="J924" s="38">
        <v>0</v>
      </c>
      <c r="K924" s="39">
        <f t="shared" si="112"/>
        <v>0</v>
      </c>
      <c r="L924" s="38">
        <v>5</v>
      </c>
      <c r="M924" s="38">
        <v>5</v>
      </c>
      <c r="N924" s="39">
        <f t="shared" si="113"/>
        <v>700000</v>
      </c>
      <c r="O924" s="38">
        <v>5</v>
      </c>
      <c r="P924" s="38">
        <v>5</v>
      </c>
      <c r="Q924" s="39">
        <f t="shared" si="114"/>
        <v>700000</v>
      </c>
      <c r="R924" s="38">
        <v>5</v>
      </c>
      <c r="S924" s="38">
        <v>5</v>
      </c>
      <c r="T924" s="39">
        <f t="shared" si="115"/>
        <v>700000</v>
      </c>
      <c r="U924" s="38">
        <v>0</v>
      </c>
      <c r="V924" s="38">
        <v>0</v>
      </c>
      <c r="W924" s="39">
        <f t="shared" si="116"/>
        <v>0</v>
      </c>
      <c r="X924" s="38"/>
      <c r="Y924" s="38"/>
      <c r="Z924" s="39">
        <f t="shared" si="117"/>
        <v>0</v>
      </c>
      <c r="AA924" s="38"/>
      <c r="AB924" s="38"/>
      <c r="AC924" s="39">
        <f t="shared" si="118"/>
        <v>0</v>
      </c>
      <c r="AD924" s="38"/>
      <c r="AE924" s="38"/>
      <c r="AF924" s="39">
        <f t="shared" si="119"/>
        <v>0</v>
      </c>
    </row>
    <row r="925" spans="2:32" ht="15" customHeight="1" x14ac:dyDescent="0.3">
      <c r="B925" s="2" t="s">
        <v>983</v>
      </c>
      <c r="C925" s="4" t="s">
        <v>1280</v>
      </c>
      <c r="D925" s="3" t="s">
        <v>1287</v>
      </c>
      <c r="E925" s="6" t="s">
        <v>1290</v>
      </c>
      <c r="F925" s="6" t="s">
        <v>1015</v>
      </c>
      <c r="G925" s="6" t="s">
        <v>711</v>
      </c>
      <c r="H925" s="25">
        <v>70</v>
      </c>
      <c r="I925" s="38">
        <v>0</v>
      </c>
      <c r="J925" s="38">
        <v>0</v>
      </c>
      <c r="K925" s="39">
        <f t="shared" si="112"/>
        <v>0</v>
      </c>
      <c r="L925" s="38">
        <v>15</v>
      </c>
      <c r="M925" s="38">
        <v>3</v>
      </c>
      <c r="N925" s="39">
        <f t="shared" si="113"/>
        <v>3150</v>
      </c>
      <c r="O925" s="38">
        <v>15</v>
      </c>
      <c r="P925" s="38">
        <v>3</v>
      </c>
      <c r="Q925" s="39">
        <f t="shared" si="114"/>
        <v>3150</v>
      </c>
      <c r="R925" s="38">
        <v>15</v>
      </c>
      <c r="S925" s="38">
        <v>3</v>
      </c>
      <c r="T925" s="39">
        <f t="shared" si="115"/>
        <v>3150</v>
      </c>
      <c r="U925" s="38">
        <v>0</v>
      </c>
      <c r="V925" s="38">
        <v>0</v>
      </c>
      <c r="W925" s="39">
        <f t="shared" si="116"/>
        <v>0</v>
      </c>
      <c r="X925" s="38"/>
      <c r="Y925" s="38"/>
      <c r="Z925" s="39">
        <f t="shared" si="117"/>
        <v>0</v>
      </c>
      <c r="AA925" s="38"/>
      <c r="AB925" s="38"/>
      <c r="AC925" s="39">
        <f t="shared" si="118"/>
        <v>0</v>
      </c>
      <c r="AD925" s="38"/>
      <c r="AE925" s="38"/>
      <c r="AF925" s="39">
        <f t="shared" si="119"/>
        <v>0</v>
      </c>
    </row>
    <row r="926" spans="2:32" ht="15" customHeight="1" x14ac:dyDescent="0.3">
      <c r="B926" s="2" t="s">
        <v>983</v>
      </c>
      <c r="C926" s="4" t="s">
        <v>1280</v>
      </c>
      <c r="D926" s="3" t="s">
        <v>1287</v>
      </c>
      <c r="E926" s="6" t="s">
        <v>1290</v>
      </c>
      <c r="F926" s="6" t="s">
        <v>1015</v>
      </c>
      <c r="G926" s="6" t="s">
        <v>710</v>
      </c>
      <c r="H926" s="25">
        <v>104850</v>
      </c>
      <c r="I926" s="38">
        <v>0</v>
      </c>
      <c r="J926" s="38">
        <v>0</v>
      </c>
      <c r="K926" s="39">
        <f t="shared" si="112"/>
        <v>0</v>
      </c>
      <c r="L926" s="38">
        <v>5000</v>
      </c>
      <c r="M926" s="38">
        <v>1</v>
      </c>
      <c r="N926" s="39">
        <f t="shared" si="113"/>
        <v>524250000</v>
      </c>
      <c r="O926" s="38">
        <v>5000</v>
      </c>
      <c r="P926" s="38">
        <v>1</v>
      </c>
      <c r="Q926" s="39">
        <f t="shared" si="114"/>
        <v>524250000</v>
      </c>
      <c r="R926" s="38">
        <v>5000</v>
      </c>
      <c r="S926" s="38">
        <v>1</v>
      </c>
      <c r="T926" s="39">
        <f t="shared" si="115"/>
        <v>524250000</v>
      </c>
      <c r="U926" s="38">
        <v>0</v>
      </c>
      <c r="V926" s="38">
        <v>0</v>
      </c>
      <c r="W926" s="39">
        <f t="shared" si="116"/>
        <v>0</v>
      </c>
      <c r="X926" s="38"/>
      <c r="Y926" s="38"/>
      <c r="Z926" s="39">
        <f t="shared" si="117"/>
        <v>0</v>
      </c>
      <c r="AA926" s="38"/>
      <c r="AB926" s="38"/>
      <c r="AC926" s="39">
        <f t="shared" si="118"/>
        <v>0</v>
      </c>
      <c r="AD926" s="38"/>
      <c r="AE926" s="38"/>
      <c r="AF926" s="39">
        <f t="shared" si="119"/>
        <v>0</v>
      </c>
    </row>
    <row r="927" spans="2:32" ht="15" customHeight="1" x14ac:dyDescent="0.3">
      <c r="B927" s="2" t="s">
        <v>983</v>
      </c>
      <c r="C927" s="4" t="s">
        <v>1280</v>
      </c>
      <c r="D927" s="3" t="s">
        <v>1287</v>
      </c>
      <c r="E927" s="16" t="s">
        <v>1290</v>
      </c>
      <c r="F927" s="16" t="s">
        <v>1015</v>
      </c>
      <c r="G927" s="16" t="s">
        <v>835</v>
      </c>
      <c r="H927" s="25"/>
      <c r="I927" s="38">
        <v>0</v>
      </c>
      <c r="J927" s="38">
        <v>0</v>
      </c>
      <c r="K927" s="39">
        <f t="shared" si="112"/>
        <v>0</v>
      </c>
      <c r="L927" s="38">
        <v>1</v>
      </c>
      <c r="M927" s="38">
        <v>1</v>
      </c>
      <c r="N927" s="39">
        <f t="shared" si="113"/>
        <v>0</v>
      </c>
      <c r="O927" s="38">
        <v>1</v>
      </c>
      <c r="P927" s="38">
        <v>1</v>
      </c>
      <c r="Q927" s="39">
        <f t="shared" si="114"/>
        <v>0</v>
      </c>
      <c r="R927" s="38">
        <v>1</v>
      </c>
      <c r="S927" s="38">
        <v>1</v>
      </c>
      <c r="T927" s="39">
        <f t="shared" si="115"/>
        <v>0</v>
      </c>
      <c r="U927" s="38">
        <v>0</v>
      </c>
      <c r="V927" s="38">
        <v>0</v>
      </c>
      <c r="W927" s="39">
        <f t="shared" si="116"/>
        <v>0</v>
      </c>
      <c r="X927" s="38"/>
      <c r="Y927" s="38"/>
      <c r="Z927" s="39">
        <f t="shared" si="117"/>
        <v>0</v>
      </c>
      <c r="AA927" s="38"/>
      <c r="AB927" s="38"/>
      <c r="AC927" s="39">
        <f t="shared" si="118"/>
        <v>0</v>
      </c>
      <c r="AD927" s="38"/>
      <c r="AE927" s="38"/>
      <c r="AF927" s="39">
        <f t="shared" si="119"/>
        <v>0</v>
      </c>
    </row>
    <row r="928" spans="2:32" ht="15" customHeight="1" x14ac:dyDescent="0.3">
      <c r="B928" s="2" t="s">
        <v>983</v>
      </c>
      <c r="C928" s="4" t="s">
        <v>1280</v>
      </c>
      <c r="D928" s="3" t="s">
        <v>1287</v>
      </c>
      <c r="E928" s="6" t="s">
        <v>1290</v>
      </c>
      <c r="F928" s="6" t="s">
        <v>1159</v>
      </c>
      <c r="G928" s="6" t="s">
        <v>713</v>
      </c>
      <c r="H928" s="25">
        <v>45000</v>
      </c>
      <c r="I928" s="38">
        <v>0</v>
      </c>
      <c r="J928" s="38">
        <v>0</v>
      </c>
      <c r="K928" s="39">
        <f t="shared" si="112"/>
        <v>0</v>
      </c>
      <c r="L928" s="38">
        <v>10</v>
      </c>
      <c r="M928" s="38">
        <v>1</v>
      </c>
      <c r="N928" s="39">
        <f t="shared" si="113"/>
        <v>450000</v>
      </c>
      <c r="O928" s="38">
        <v>10</v>
      </c>
      <c r="P928" s="38">
        <v>1</v>
      </c>
      <c r="Q928" s="39">
        <f t="shared" si="114"/>
        <v>450000</v>
      </c>
      <c r="R928" s="38">
        <v>10</v>
      </c>
      <c r="S928" s="38">
        <v>1</v>
      </c>
      <c r="T928" s="39">
        <f t="shared" si="115"/>
        <v>450000</v>
      </c>
      <c r="U928" s="38">
        <v>0</v>
      </c>
      <c r="V928" s="38">
        <v>0</v>
      </c>
      <c r="W928" s="39">
        <f t="shared" si="116"/>
        <v>0</v>
      </c>
      <c r="X928" s="38"/>
      <c r="Y928" s="38"/>
      <c r="Z928" s="39">
        <f t="shared" si="117"/>
        <v>0</v>
      </c>
      <c r="AA928" s="38"/>
      <c r="AB928" s="38"/>
      <c r="AC928" s="39">
        <f t="shared" si="118"/>
        <v>0</v>
      </c>
      <c r="AD928" s="38"/>
      <c r="AE928" s="38"/>
      <c r="AF928" s="39">
        <f t="shared" si="119"/>
        <v>0</v>
      </c>
    </row>
    <row r="929" spans="2:32" ht="15" customHeight="1" x14ac:dyDescent="0.3">
      <c r="B929" s="2" t="s">
        <v>983</v>
      </c>
      <c r="C929" s="4" t="s">
        <v>1280</v>
      </c>
      <c r="D929" s="3" t="s">
        <v>1287</v>
      </c>
      <c r="E929" s="6" t="s">
        <v>1290</v>
      </c>
      <c r="F929" s="6" t="s">
        <v>1159</v>
      </c>
      <c r="G929" s="6" t="s">
        <v>712</v>
      </c>
      <c r="H929" s="25">
        <v>214.29</v>
      </c>
      <c r="I929" s="38">
        <v>0</v>
      </c>
      <c r="J929" s="38">
        <v>0</v>
      </c>
      <c r="K929" s="39">
        <f t="shared" si="112"/>
        <v>0</v>
      </c>
      <c r="L929" s="38">
        <v>15</v>
      </c>
      <c r="M929" s="38">
        <v>1</v>
      </c>
      <c r="N929" s="39">
        <f t="shared" si="113"/>
        <v>3214.35</v>
      </c>
      <c r="O929" s="38">
        <v>15</v>
      </c>
      <c r="P929" s="38">
        <v>1</v>
      </c>
      <c r="Q929" s="39">
        <f t="shared" si="114"/>
        <v>3214.35</v>
      </c>
      <c r="R929" s="38">
        <v>15</v>
      </c>
      <c r="S929" s="38">
        <v>1</v>
      </c>
      <c r="T929" s="39">
        <f t="shared" si="115"/>
        <v>3214.35</v>
      </c>
      <c r="U929" s="38">
        <v>0</v>
      </c>
      <c r="V929" s="38">
        <v>0</v>
      </c>
      <c r="W929" s="39">
        <f t="shared" si="116"/>
        <v>0</v>
      </c>
      <c r="X929" s="38"/>
      <c r="Y929" s="38"/>
      <c r="Z929" s="39">
        <f t="shared" si="117"/>
        <v>0</v>
      </c>
      <c r="AA929" s="38"/>
      <c r="AB929" s="38"/>
      <c r="AC929" s="39">
        <f t="shared" si="118"/>
        <v>0</v>
      </c>
      <c r="AD929" s="38"/>
      <c r="AE929" s="38"/>
      <c r="AF929" s="39">
        <f t="shared" si="119"/>
        <v>0</v>
      </c>
    </row>
    <row r="930" spans="2:32" ht="15" customHeight="1" x14ac:dyDescent="0.3">
      <c r="B930" s="2" t="s">
        <v>983</v>
      </c>
      <c r="C930" s="4" t="s">
        <v>1280</v>
      </c>
      <c r="D930" s="3" t="s">
        <v>1287</v>
      </c>
      <c r="E930" s="6" t="s">
        <v>1290</v>
      </c>
      <c r="F930" s="6" t="s">
        <v>1017</v>
      </c>
      <c r="G930" s="6" t="s">
        <v>709</v>
      </c>
      <c r="H930" s="25">
        <v>28000</v>
      </c>
      <c r="I930" s="38">
        <v>0</v>
      </c>
      <c r="J930" s="38">
        <v>0</v>
      </c>
      <c r="K930" s="39">
        <f t="shared" si="112"/>
        <v>0</v>
      </c>
      <c r="L930" s="38">
        <v>4000</v>
      </c>
      <c r="M930" s="38">
        <v>1</v>
      </c>
      <c r="N930" s="39">
        <f t="shared" si="113"/>
        <v>112000000</v>
      </c>
      <c r="O930" s="38">
        <v>4000</v>
      </c>
      <c r="P930" s="38">
        <v>1</v>
      </c>
      <c r="Q930" s="39">
        <f t="shared" si="114"/>
        <v>112000000</v>
      </c>
      <c r="R930" s="38">
        <v>4000</v>
      </c>
      <c r="S930" s="38">
        <v>1</v>
      </c>
      <c r="T930" s="39">
        <f t="shared" si="115"/>
        <v>112000000</v>
      </c>
      <c r="U930" s="38">
        <v>0</v>
      </c>
      <c r="V930" s="38">
        <v>0</v>
      </c>
      <c r="W930" s="39">
        <f t="shared" si="116"/>
        <v>0</v>
      </c>
      <c r="X930" s="38"/>
      <c r="Y930" s="38"/>
      <c r="Z930" s="39">
        <f t="shared" si="117"/>
        <v>0</v>
      </c>
      <c r="AA930" s="38"/>
      <c r="AB930" s="38"/>
      <c r="AC930" s="39">
        <f t="shared" si="118"/>
        <v>0</v>
      </c>
      <c r="AD930" s="38"/>
      <c r="AE930" s="38"/>
      <c r="AF930" s="39">
        <f t="shared" si="119"/>
        <v>0</v>
      </c>
    </row>
    <row r="931" spans="2:32" ht="15" customHeight="1" x14ac:dyDescent="0.3">
      <c r="B931" s="2" t="s">
        <v>983</v>
      </c>
      <c r="C931" s="4" t="s">
        <v>1280</v>
      </c>
      <c r="D931" s="3" t="s">
        <v>1287</v>
      </c>
      <c r="E931" s="6" t="s">
        <v>1290</v>
      </c>
      <c r="F931" s="6" t="s">
        <v>1182</v>
      </c>
      <c r="G931" s="6" t="s">
        <v>713</v>
      </c>
      <c r="H931" s="25">
        <v>45000</v>
      </c>
      <c r="I931" s="38">
        <v>0</v>
      </c>
      <c r="J931" s="38">
        <v>0</v>
      </c>
      <c r="K931" s="39">
        <f t="shared" si="112"/>
        <v>0</v>
      </c>
      <c r="L931" s="38">
        <v>15</v>
      </c>
      <c r="M931" s="38">
        <v>1</v>
      </c>
      <c r="N931" s="39">
        <f t="shared" si="113"/>
        <v>675000</v>
      </c>
      <c r="O931" s="38">
        <v>15</v>
      </c>
      <c r="P931" s="38">
        <v>1</v>
      </c>
      <c r="Q931" s="39">
        <f t="shared" si="114"/>
        <v>675000</v>
      </c>
      <c r="R931" s="38">
        <v>15</v>
      </c>
      <c r="S931" s="38">
        <v>1</v>
      </c>
      <c r="T931" s="39">
        <f t="shared" si="115"/>
        <v>675000</v>
      </c>
      <c r="U931" s="38">
        <v>0</v>
      </c>
      <c r="V931" s="38">
        <v>0</v>
      </c>
      <c r="W931" s="39">
        <f t="shared" si="116"/>
        <v>0</v>
      </c>
      <c r="X931" s="38"/>
      <c r="Y931" s="38"/>
      <c r="Z931" s="39">
        <f t="shared" si="117"/>
        <v>0</v>
      </c>
      <c r="AA931" s="38"/>
      <c r="AB931" s="38"/>
      <c r="AC931" s="39">
        <f t="shared" si="118"/>
        <v>0</v>
      </c>
      <c r="AD931" s="38"/>
      <c r="AE931" s="38"/>
      <c r="AF931" s="39">
        <f t="shared" si="119"/>
        <v>0</v>
      </c>
    </row>
    <row r="932" spans="2:32" ht="15" customHeight="1" x14ac:dyDescent="0.3">
      <c r="B932" s="2" t="s">
        <v>983</v>
      </c>
      <c r="C932" s="4" t="s">
        <v>1280</v>
      </c>
      <c r="D932" s="3" t="s">
        <v>1287</v>
      </c>
      <c r="E932" s="6" t="s">
        <v>1290</v>
      </c>
      <c r="F932" s="6" t="s">
        <v>1182</v>
      </c>
      <c r="G932" s="6" t="s">
        <v>712</v>
      </c>
      <c r="H932" s="25">
        <v>214.29</v>
      </c>
      <c r="I932" s="38">
        <v>0</v>
      </c>
      <c r="J932" s="38">
        <v>0</v>
      </c>
      <c r="K932" s="39">
        <f t="shared" si="112"/>
        <v>0</v>
      </c>
      <c r="L932" s="38">
        <v>15</v>
      </c>
      <c r="M932" s="38">
        <v>10</v>
      </c>
      <c r="N932" s="39">
        <f t="shared" si="113"/>
        <v>32143.5</v>
      </c>
      <c r="O932" s="38">
        <v>15</v>
      </c>
      <c r="P932" s="38">
        <v>10</v>
      </c>
      <c r="Q932" s="39">
        <f t="shared" si="114"/>
        <v>32143.5</v>
      </c>
      <c r="R932" s="38">
        <v>15</v>
      </c>
      <c r="S932" s="38">
        <v>10</v>
      </c>
      <c r="T932" s="39">
        <f t="shared" si="115"/>
        <v>32143.5</v>
      </c>
      <c r="U932" s="38">
        <v>0</v>
      </c>
      <c r="V932" s="38">
        <v>0</v>
      </c>
      <c r="W932" s="39">
        <f t="shared" si="116"/>
        <v>0</v>
      </c>
      <c r="X932" s="38"/>
      <c r="Y932" s="38"/>
      <c r="Z932" s="39">
        <f t="shared" si="117"/>
        <v>0</v>
      </c>
      <c r="AA932" s="38"/>
      <c r="AB932" s="38"/>
      <c r="AC932" s="39">
        <f t="shared" si="118"/>
        <v>0</v>
      </c>
      <c r="AD932" s="38"/>
      <c r="AE932" s="38"/>
      <c r="AF932" s="39">
        <f t="shared" si="119"/>
        <v>0</v>
      </c>
    </row>
    <row r="933" spans="2:32" ht="15" customHeight="1" x14ac:dyDescent="0.3">
      <c r="B933" s="2" t="s">
        <v>983</v>
      </c>
      <c r="C933" s="4" t="s">
        <v>1280</v>
      </c>
      <c r="D933" s="3" t="s">
        <v>1287</v>
      </c>
      <c r="E933" s="6" t="s">
        <v>1290</v>
      </c>
      <c r="F933" s="6" t="s">
        <v>1182</v>
      </c>
      <c r="G933" s="6" t="s">
        <v>714</v>
      </c>
      <c r="H933" s="25">
        <v>10000</v>
      </c>
      <c r="I933" s="38">
        <v>0</v>
      </c>
      <c r="J933" s="38">
        <v>0</v>
      </c>
      <c r="K933" s="39">
        <f t="shared" si="112"/>
        <v>0</v>
      </c>
      <c r="L933" s="38">
        <v>20000</v>
      </c>
      <c r="M933" s="38"/>
      <c r="N933" s="39">
        <f t="shared" si="113"/>
        <v>0</v>
      </c>
      <c r="O933" s="38">
        <v>20000</v>
      </c>
      <c r="P933" s="38"/>
      <c r="Q933" s="39">
        <f t="shared" si="114"/>
        <v>0</v>
      </c>
      <c r="R933" s="38">
        <v>20000</v>
      </c>
      <c r="S933" s="38"/>
      <c r="T933" s="39">
        <f t="shared" si="115"/>
        <v>0</v>
      </c>
      <c r="U933" s="38">
        <v>0</v>
      </c>
      <c r="V933" s="38">
        <v>0</v>
      </c>
      <c r="W933" s="39">
        <f t="shared" si="116"/>
        <v>0</v>
      </c>
      <c r="X933" s="38"/>
      <c r="Y933" s="38"/>
      <c r="Z933" s="39">
        <f t="shared" si="117"/>
        <v>0</v>
      </c>
      <c r="AA933" s="38"/>
      <c r="AB933" s="38"/>
      <c r="AC933" s="39">
        <f t="shared" si="118"/>
        <v>0</v>
      </c>
      <c r="AD933" s="38"/>
      <c r="AE933" s="38"/>
      <c r="AF933" s="39">
        <f t="shared" si="119"/>
        <v>0</v>
      </c>
    </row>
    <row r="934" spans="2:32" ht="15" customHeight="1" x14ac:dyDescent="0.3">
      <c r="B934" s="2" t="s">
        <v>983</v>
      </c>
      <c r="C934" s="4" t="s">
        <v>1280</v>
      </c>
      <c r="D934" s="3" t="s">
        <v>1287</v>
      </c>
      <c r="E934" s="6" t="s">
        <v>1290</v>
      </c>
      <c r="F934" s="6" t="s">
        <v>1182</v>
      </c>
      <c r="G934" s="6" t="s">
        <v>715</v>
      </c>
      <c r="H934" s="25">
        <v>302000</v>
      </c>
      <c r="I934" s="38">
        <v>0</v>
      </c>
      <c r="J934" s="38">
        <v>0</v>
      </c>
      <c r="K934" s="39">
        <f t="shared" si="112"/>
        <v>0</v>
      </c>
      <c r="L934" s="38">
        <v>15</v>
      </c>
      <c r="M934" s="38">
        <v>1</v>
      </c>
      <c r="N934" s="39">
        <f t="shared" si="113"/>
        <v>4530000</v>
      </c>
      <c r="O934" s="38">
        <v>15</v>
      </c>
      <c r="P934" s="38">
        <v>1</v>
      </c>
      <c r="Q934" s="39">
        <f t="shared" si="114"/>
        <v>4530000</v>
      </c>
      <c r="R934" s="38">
        <v>15</v>
      </c>
      <c r="S934" s="38">
        <v>1</v>
      </c>
      <c r="T934" s="39">
        <f t="shared" si="115"/>
        <v>4530000</v>
      </c>
      <c r="U934" s="38">
        <v>0</v>
      </c>
      <c r="V934" s="38">
        <v>0</v>
      </c>
      <c r="W934" s="39">
        <f t="shared" si="116"/>
        <v>0</v>
      </c>
      <c r="X934" s="38"/>
      <c r="Y934" s="38"/>
      <c r="Z934" s="39">
        <f t="shared" si="117"/>
        <v>0</v>
      </c>
      <c r="AA934" s="38"/>
      <c r="AB934" s="38"/>
      <c r="AC934" s="39">
        <f t="shared" si="118"/>
        <v>0</v>
      </c>
      <c r="AD934" s="38"/>
      <c r="AE934" s="38"/>
      <c r="AF934" s="39">
        <f t="shared" si="119"/>
        <v>0</v>
      </c>
    </row>
    <row r="935" spans="2:32" ht="15" customHeight="1" x14ac:dyDescent="0.3">
      <c r="B935" s="2" t="s">
        <v>983</v>
      </c>
      <c r="C935" s="4" t="s">
        <v>1280</v>
      </c>
      <c r="D935" s="3" t="s">
        <v>1287</v>
      </c>
      <c r="E935" s="6" t="s">
        <v>1290</v>
      </c>
      <c r="F935" s="6" t="s">
        <v>1004</v>
      </c>
      <c r="G935" s="6" t="s">
        <v>709</v>
      </c>
      <c r="H935" s="25">
        <v>28000</v>
      </c>
      <c r="I935" s="38">
        <v>0</v>
      </c>
      <c r="J935" s="38">
        <v>0</v>
      </c>
      <c r="K935" s="39">
        <f t="shared" si="112"/>
        <v>0</v>
      </c>
      <c r="L935" s="38">
        <v>10</v>
      </c>
      <c r="M935" s="38">
        <v>1</v>
      </c>
      <c r="N935" s="39">
        <f t="shared" si="113"/>
        <v>280000</v>
      </c>
      <c r="O935" s="38">
        <v>10</v>
      </c>
      <c r="P935" s="38">
        <v>1</v>
      </c>
      <c r="Q935" s="39">
        <f t="shared" si="114"/>
        <v>280000</v>
      </c>
      <c r="R935" s="38">
        <v>10</v>
      </c>
      <c r="S935" s="38">
        <v>1</v>
      </c>
      <c r="T935" s="39">
        <f t="shared" si="115"/>
        <v>280000</v>
      </c>
      <c r="U935" s="38">
        <v>0</v>
      </c>
      <c r="V935" s="38">
        <v>0</v>
      </c>
      <c r="W935" s="39">
        <f t="shared" si="116"/>
        <v>0</v>
      </c>
      <c r="X935" s="38"/>
      <c r="Y935" s="38"/>
      <c r="Z935" s="39">
        <f t="shared" si="117"/>
        <v>0</v>
      </c>
      <c r="AA935" s="38"/>
      <c r="AB935" s="38"/>
      <c r="AC935" s="39">
        <f t="shared" si="118"/>
        <v>0</v>
      </c>
      <c r="AD935" s="38"/>
      <c r="AE935" s="38"/>
      <c r="AF935" s="39">
        <f t="shared" si="119"/>
        <v>0</v>
      </c>
    </row>
    <row r="936" spans="2:32" ht="15" customHeight="1" x14ac:dyDescent="0.3">
      <c r="B936" s="2" t="s">
        <v>983</v>
      </c>
      <c r="C936" s="4" t="s">
        <v>1280</v>
      </c>
      <c r="D936" s="3" t="s">
        <v>1287</v>
      </c>
      <c r="E936" s="6" t="s">
        <v>1290</v>
      </c>
      <c r="F936" s="6" t="s">
        <v>1004</v>
      </c>
      <c r="G936" s="6" t="s">
        <v>716</v>
      </c>
      <c r="H936" s="25">
        <v>39000</v>
      </c>
      <c r="I936" s="38">
        <v>0</v>
      </c>
      <c r="J936" s="38">
        <v>0</v>
      </c>
      <c r="K936" s="39">
        <f t="shared" si="112"/>
        <v>0</v>
      </c>
      <c r="L936" s="38">
        <v>13</v>
      </c>
      <c r="M936" s="38">
        <v>10</v>
      </c>
      <c r="N936" s="39">
        <f t="shared" si="113"/>
        <v>5070000</v>
      </c>
      <c r="O936" s="38">
        <v>13</v>
      </c>
      <c r="P936" s="38">
        <v>10</v>
      </c>
      <c r="Q936" s="39">
        <f t="shared" si="114"/>
        <v>5070000</v>
      </c>
      <c r="R936" s="38">
        <v>13</v>
      </c>
      <c r="S936" s="38">
        <v>10</v>
      </c>
      <c r="T936" s="39">
        <f t="shared" si="115"/>
        <v>5070000</v>
      </c>
      <c r="U936" s="38">
        <v>0</v>
      </c>
      <c r="V936" s="38">
        <v>0</v>
      </c>
      <c r="W936" s="39">
        <f t="shared" si="116"/>
        <v>0</v>
      </c>
      <c r="X936" s="38"/>
      <c r="Y936" s="38"/>
      <c r="Z936" s="39">
        <f t="shared" si="117"/>
        <v>0</v>
      </c>
      <c r="AA936" s="38"/>
      <c r="AB936" s="38"/>
      <c r="AC936" s="39">
        <f t="shared" si="118"/>
        <v>0</v>
      </c>
      <c r="AD936" s="38"/>
      <c r="AE936" s="38"/>
      <c r="AF936" s="39">
        <f t="shared" si="119"/>
        <v>0</v>
      </c>
    </row>
    <row r="937" spans="2:32" ht="15" customHeight="1" x14ac:dyDescent="0.3">
      <c r="B937" s="2" t="s">
        <v>983</v>
      </c>
      <c r="C937" s="4" t="s">
        <v>1280</v>
      </c>
      <c r="D937" s="3" t="s">
        <v>1287</v>
      </c>
      <c r="E937" s="6" t="s">
        <v>1290</v>
      </c>
      <c r="F937" s="6" t="s">
        <v>1004</v>
      </c>
      <c r="G937" s="6" t="s">
        <v>712</v>
      </c>
      <c r="H937" s="25">
        <v>214.29</v>
      </c>
      <c r="I937" s="38">
        <v>0</v>
      </c>
      <c r="J937" s="38">
        <v>0</v>
      </c>
      <c r="K937" s="39">
        <f t="shared" si="112"/>
        <v>0</v>
      </c>
      <c r="L937" s="38">
        <v>13</v>
      </c>
      <c r="M937" s="38">
        <v>10</v>
      </c>
      <c r="N937" s="39">
        <f t="shared" si="113"/>
        <v>27857.7</v>
      </c>
      <c r="O937" s="38">
        <v>13</v>
      </c>
      <c r="P937" s="38">
        <v>10</v>
      </c>
      <c r="Q937" s="39">
        <f t="shared" si="114"/>
        <v>27857.7</v>
      </c>
      <c r="R937" s="38">
        <v>13</v>
      </c>
      <c r="S937" s="38">
        <v>10</v>
      </c>
      <c r="T937" s="39">
        <f t="shared" si="115"/>
        <v>27857.7</v>
      </c>
      <c r="U937" s="38">
        <v>0</v>
      </c>
      <c r="V937" s="38">
        <v>0</v>
      </c>
      <c r="W937" s="39">
        <f t="shared" si="116"/>
        <v>0</v>
      </c>
      <c r="X937" s="38"/>
      <c r="Y937" s="38"/>
      <c r="Z937" s="39">
        <f t="shared" si="117"/>
        <v>0</v>
      </c>
      <c r="AA937" s="38"/>
      <c r="AB937" s="38"/>
      <c r="AC937" s="39">
        <f t="shared" si="118"/>
        <v>0</v>
      </c>
      <c r="AD937" s="38"/>
      <c r="AE937" s="38"/>
      <c r="AF937" s="39">
        <f t="shared" si="119"/>
        <v>0</v>
      </c>
    </row>
    <row r="938" spans="2:32" ht="15" customHeight="1" x14ac:dyDescent="0.3">
      <c r="B938" s="2" t="s">
        <v>983</v>
      </c>
      <c r="C938" s="4" t="s">
        <v>1280</v>
      </c>
      <c r="D938" s="3" t="s">
        <v>1287</v>
      </c>
      <c r="E938" s="6" t="s">
        <v>1290</v>
      </c>
      <c r="F938" s="6" t="s">
        <v>973</v>
      </c>
      <c r="G938" s="6" t="s">
        <v>709</v>
      </c>
      <c r="H938" s="25">
        <v>28000</v>
      </c>
      <c r="I938" s="38">
        <v>0</v>
      </c>
      <c r="J938" s="38">
        <v>0</v>
      </c>
      <c r="K938" s="39">
        <f t="shared" si="112"/>
        <v>0</v>
      </c>
      <c r="L938" s="38">
        <v>4000</v>
      </c>
      <c r="M938" s="38">
        <v>1</v>
      </c>
      <c r="N938" s="39">
        <f t="shared" si="113"/>
        <v>112000000</v>
      </c>
      <c r="O938" s="38">
        <v>4000</v>
      </c>
      <c r="P938" s="38">
        <v>1</v>
      </c>
      <c r="Q938" s="39">
        <f t="shared" si="114"/>
        <v>112000000</v>
      </c>
      <c r="R938" s="38">
        <v>4000</v>
      </c>
      <c r="S938" s="38">
        <v>1</v>
      </c>
      <c r="T938" s="39">
        <f t="shared" si="115"/>
        <v>112000000</v>
      </c>
      <c r="U938" s="38">
        <v>0</v>
      </c>
      <c r="V938" s="38">
        <v>0</v>
      </c>
      <c r="W938" s="39">
        <f t="shared" si="116"/>
        <v>0</v>
      </c>
      <c r="X938" s="38"/>
      <c r="Y938" s="38"/>
      <c r="Z938" s="39">
        <f t="shared" si="117"/>
        <v>0</v>
      </c>
      <c r="AA938" s="38"/>
      <c r="AB938" s="38"/>
      <c r="AC938" s="39">
        <f t="shared" si="118"/>
        <v>0</v>
      </c>
      <c r="AD938" s="38"/>
      <c r="AE938" s="38"/>
      <c r="AF938" s="39">
        <f t="shared" si="119"/>
        <v>0</v>
      </c>
    </row>
    <row r="939" spans="2:32" ht="15" customHeight="1" x14ac:dyDescent="0.3">
      <c r="B939" s="2" t="s">
        <v>983</v>
      </c>
      <c r="C939" s="4" t="s">
        <v>1280</v>
      </c>
      <c r="D939" s="3" t="s">
        <v>1287</v>
      </c>
      <c r="E939" s="6" t="s">
        <v>1290</v>
      </c>
      <c r="F939" s="6" t="s">
        <v>973</v>
      </c>
      <c r="G939" s="6" t="s">
        <v>716</v>
      </c>
      <c r="H939" s="25">
        <v>39000</v>
      </c>
      <c r="I939" s="38">
        <v>0</v>
      </c>
      <c r="J939" s="38">
        <v>0</v>
      </c>
      <c r="K939" s="39">
        <f t="shared" si="112"/>
        <v>0</v>
      </c>
      <c r="L939" s="38">
        <v>15</v>
      </c>
      <c r="M939" s="38">
        <v>5</v>
      </c>
      <c r="N939" s="39">
        <f t="shared" si="113"/>
        <v>2925000</v>
      </c>
      <c r="O939" s="38">
        <v>15</v>
      </c>
      <c r="P939" s="38">
        <v>5</v>
      </c>
      <c r="Q939" s="39">
        <f t="shared" si="114"/>
        <v>2925000</v>
      </c>
      <c r="R939" s="38">
        <v>15</v>
      </c>
      <c r="S939" s="38">
        <v>5</v>
      </c>
      <c r="T939" s="39">
        <f t="shared" si="115"/>
        <v>2925000</v>
      </c>
      <c r="U939" s="38">
        <v>0</v>
      </c>
      <c r="V939" s="38">
        <v>0</v>
      </c>
      <c r="W939" s="39">
        <f t="shared" si="116"/>
        <v>0</v>
      </c>
      <c r="X939" s="38"/>
      <c r="Y939" s="38"/>
      <c r="Z939" s="39">
        <f t="shared" si="117"/>
        <v>0</v>
      </c>
      <c r="AA939" s="38"/>
      <c r="AB939" s="38"/>
      <c r="AC939" s="39">
        <f t="shared" si="118"/>
        <v>0</v>
      </c>
      <c r="AD939" s="38"/>
      <c r="AE939" s="38"/>
      <c r="AF939" s="39">
        <f t="shared" si="119"/>
        <v>0</v>
      </c>
    </row>
    <row r="940" spans="2:32" ht="15" customHeight="1" x14ac:dyDescent="0.3">
      <c r="B940" s="2" t="s">
        <v>983</v>
      </c>
      <c r="C940" s="4" t="s">
        <v>1280</v>
      </c>
      <c r="D940" s="3" t="s">
        <v>1287</v>
      </c>
      <c r="E940" s="6" t="s">
        <v>1290</v>
      </c>
      <c r="F940" s="6" t="s">
        <v>973</v>
      </c>
      <c r="G940" s="6" t="s">
        <v>712</v>
      </c>
      <c r="H940" s="25">
        <v>214.29</v>
      </c>
      <c r="I940" s="38">
        <v>0</v>
      </c>
      <c r="J940" s="38">
        <v>0</v>
      </c>
      <c r="K940" s="39">
        <f t="shared" si="112"/>
        <v>0</v>
      </c>
      <c r="L940" s="38">
        <v>15</v>
      </c>
      <c r="M940" s="38">
        <v>1</v>
      </c>
      <c r="N940" s="39">
        <f t="shared" si="113"/>
        <v>3214.35</v>
      </c>
      <c r="O940" s="38">
        <v>15</v>
      </c>
      <c r="P940" s="38">
        <v>1</v>
      </c>
      <c r="Q940" s="39">
        <f t="shared" si="114"/>
        <v>3214.35</v>
      </c>
      <c r="R940" s="38">
        <v>15</v>
      </c>
      <c r="S940" s="38">
        <v>1</v>
      </c>
      <c r="T940" s="39">
        <f t="shared" si="115"/>
        <v>3214.35</v>
      </c>
      <c r="U940" s="38">
        <v>0</v>
      </c>
      <c r="V940" s="38">
        <v>0</v>
      </c>
      <c r="W940" s="39">
        <f t="shared" si="116"/>
        <v>0</v>
      </c>
      <c r="X940" s="38"/>
      <c r="Y940" s="38"/>
      <c r="Z940" s="39">
        <f t="shared" si="117"/>
        <v>0</v>
      </c>
      <c r="AA940" s="38"/>
      <c r="AB940" s="38"/>
      <c r="AC940" s="39">
        <f t="shared" si="118"/>
        <v>0</v>
      </c>
      <c r="AD940" s="38"/>
      <c r="AE940" s="38"/>
      <c r="AF940" s="39">
        <f t="shared" si="119"/>
        <v>0</v>
      </c>
    </row>
    <row r="941" spans="2:32" ht="15" customHeight="1" x14ac:dyDescent="0.3">
      <c r="B941" s="2" t="s">
        <v>983</v>
      </c>
      <c r="C941" s="4" t="s">
        <v>1280</v>
      </c>
      <c r="D941" s="3" t="s">
        <v>1287</v>
      </c>
      <c r="E941" s="6" t="s">
        <v>1290</v>
      </c>
      <c r="F941" s="6" t="s">
        <v>168</v>
      </c>
      <c r="G941" s="6" t="s">
        <v>709</v>
      </c>
      <c r="H941" s="25">
        <v>28000</v>
      </c>
      <c r="I941" s="38">
        <v>0</v>
      </c>
      <c r="J941" s="38">
        <v>0</v>
      </c>
      <c r="K941" s="39">
        <f t="shared" si="112"/>
        <v>0</v>
      </c>
      <c r="L941" s="38">
        <v>4000</v>
      </c>
      <c r="M941" s="38">
        <v>1</v>
      </c>
      <c r="N941" s="39">
        <f t="shared" si="113"/>
        <v>112000000</v>
      </c>
      <c r="O941" s="38">
        <v>4000</v>
      </c>
      <c r="P941" s="38">
        <v>1</v>
      </c>
      <c r="Q941" s="39">
        <f t="shared" si="114"/>
        <v>112000000</v>
      </c>
      <c r="R941" s="38">
        <v>4000</v>
      </c>
      <c r="S941" s="38">
        <v>1</v>
      </c>
      <c r="T941" s="39">
        <f t="shared" si="115"/>
        <v>112000000</v>
      </c>
      <c r="U941" s="38">
        <v>0</v>
      </c>
      <c r="V941" s="38">
        <v>0</v>
      </c>
      <c r="W941" s="39">
        <f t="shared" si="116"/>
        <v>0</v>
      </c>
      <c r="X941" s="38"/>
      <c r="Y941" s="38"/>
      <c r="Z941" s="39">
        <f t="shared" si="117"/>
        <v>0</v>
      </c>
      <c r="AA941" s="38"/>
      <c r="AB941" s="38"/>
      <c r="AC941" s="39">
        <f t="shared" si="118"/>
        <v>0</v>
      </c>
      <c r="AD941" s="38"/>
      <c r="AE941" s="38"/>
      <c r="AF941" s="39">
        <f t="shared" si="119"/>
        <v>0</v>
      </c>
    </row>
    <row r="942" spans="2:32" ht="15" customHeight="1" x14ac:dyDescent="0.3">
      <c r="B942" s="2" t="s">
        <v>983</v>
      </c>
      <c r="C942" s="4" t="s">
        <v>1280</v>
      </c>
      <c r="D942" s="3" t="s">
        <v>1287</v>
      </c>
      <c r="E942" s="6" t="s">
        <v>1290</v>
      </c>
      <c r="F942" s="6" t="s">
        <v>168</v>
      </c>
      <c r="G942" s="6" t="s">
        <v>716</v>
      </c>
      <c r="H942" s="25">
        <v>39000</v>
      </c>
      <c r="I942" s="38">
        <v>0</v>
      </c>
      <c r="J942" s="38">
        <v>0</v>
      </c>
      <c r="K942" s="39">
        <f t="shared" si="112"/>
        <v>0</v>
      </c>
      <c r="L942" s="38">
        <v>35</v>
      </c>
      <c r="M942" s="38">
        <v>1</v>
      </c>
      <c r="N942" s="39">
        <f t="shared" si="113"/>
        <v>1365000</v>
      </c>
      <c r="O942" s="38">
        <v>35</v>
      </c>
      <c r="P942" s="38">
        <v>1</v>
      </c>
      <c r="Q942" s="39">
        <f t="shared" si="114"/>
        <v>1365000</v>
      </c>
      <c r="R942" s="38">
        <v>35</v>
      </c>
      <c r="S942" s="38">
        <v>1</v>
      </c>
      <c r="T942" s="39">
        <f t="shared" si="115"/>
        <v>1365000</v>
      </c>
      <c r="U942" s="38">
        <v>0</v>
      </c>
      <c r="V942" s="38">
        <v>0</v>
      </c>
      <c r="W942" s="39">
        <f t="shared" si="116"/>
        <v>0</v>
      </c>
      <c r="X942" s="38"/>
      <c r="Y942" s="38"/>
      <c r="Z942" s="39">
        <f t="shared" si="117"/>
        <v>0</v>
      </c>
      <c r="AA942" s="38"/>
      <c r="AB942" s="38"/>
      <c r="AC942" s="39">
        <f t="shared" si="118"/>
        <v>0</v>
      </c>
      <c r="AD942" s="38"/>
      <c r="AE942" s="38"/>
      <c r="AF942" s="39">
        <f t="shared" si="119"/>
        <v>0</v>
      </c>
    </row>
    <row r="943" spans="2:32" ht="15" customHeight="1" x14ac:dyDescent="0.3">
      <c r="B943" s="2" t="s">
        <v>983</v>
      </c>
      <c r="C943" s="4" t="s">
        <v>1280</v>
      </c>
      <c r="D943" s="3" t="s">
        <v>1287</v>
      </c>
      <c r="E943" s="6" t="s">
        <v>1290</v>
      </c>
      <c r="F943" s="6" t="s">
        <v>168</v>
      </c>
      <c r="G943" s="6" t="s">
        <v>712</v>
      </c>
      <c r="H943" s="25">
        <v>214.29</v>
      </c>
      <c r="I943" s="38">
        <v>0</v>
      </c>
      <c r="J943" s="38">
        <v>0</v>
      </c>
      <c r="K943" s="39">
        <f t="shared" si="112"/>
        <v>0</v>
      </c>
      <c r="L943" s="38">
        <v>35</v>
      </c>
      <c r="M943" s="38">
        <v>1</v>
      </c>
      <c r="N943" s="39">
        <f t="shared" si="113"/>
        <v>7500.15</v>
      </c>
      <c r="O943" s="38">
        <v>35</v>
      </c>
      <c r="P943" s="38">
        <v>1</v>
      </c>
      <c r="Q943" s="39">
        <f t="shared" si="114"/>
        <v>7500.15</v>
      </c>
      <c r="R943" s="38">
        <v>35</v>
      </c>
      <c r="S943" s="38">
        <v>1</v>
      </c>
      <c r="T943" s="39">
        <f t="shared" si="115"/>
        <v>7500.15</v>
      </c>
      <c r="U943" s="38">
        <v>0</v>
      </c>
      <c r="V943" s="38">
        <v>0</v>
      </c>
      <c r="W943" s="39">
        <f t="shared" si="116"/>
        <v>0</v>
      </c>
      <c r="X943" s="38"/>
      <c r="Y943" s="38"/>
      <c r="Z943" s="39">
        <f t="shared" si="117"/>
        <v>0</v>
      </c>
      <c r="AA943" s="38"/>
      <c r="AB943" s="38"/>
      <c r="AC943" s="39">
        <f t="shared" si="118"/>
        <v>0</v>
      </c>
      <c r="AD943" s="38"/>
      <c r="AE943" s="38"/>
      <c r="AF943" s="39">
        <f t="shared" si="119"/>
        <v>0</v>
      </c>
    </row>
    <row r="944" spans="2:32" ht="15" customHeight="1" x14ac:dyDescent="0.3">
      <c r="B944" s="2" t="s">
        <v>983</v>
      </c>
      <c r="C944" s="4" t="s">
        <v>1280</v>
      </c>
      <c r="D944" s="3" t="s">
        <v>1287</v>
      </c>
      <c r="E944" s="6" t="s">
        <v>1290</v>
      </c>
      <c r="F944" s="6" t="s">
        <v>1156</v>
      </c>
      <c r="G944" s="6" t="s">
        <v>709</v>
      </c>
      <c r="H944" s="25">
        <v>28000</v>
      </c>
      <c r="I944" s="38">
        <v>0</v>
      </c>
      <c r="J944" s="38">
        <v>0</v>
      </c>
      <c r="K944" s="39">
        <f t="shared" si="112"/>
        <v>0</v>
      </c>
      <c r="L944" s="38">
        <v>8000</v>
      </c>
      <c r="M944" s="38">
        <v>1</v>
      </c>
      <c r="N944" s="39">
        <f t="shared" si="113"/>
        <v>224000000</v>
      </c>
      <c r="O944" s="38">
        <v>8000</v>
      </c>
      <c r="P944" s="38">
        <v>1</v>
      </c>
      <c r="Q944" s="39">
        <f t="shared" si="114"/>
        <v>224000000</v>
      </c>
      <c r="R944" s="38">
        <v>8000</v>
      </c>
      <c r="S944" s="38">
        <v>1</v>
      </c>
      <c r="T944" s="39">
        <f t="shared" si="115"/>
        <v>224000000</v>
      </c>
      <c r="U944" s="38">
        <v>0</v>
      </c>
      <c r="V944" s="38">
        <v>0</v>
      </c>
      <c r="W944" s="39">
        <f t="shared" si="116"/>
        <v>0</v>
      </c>
      <c r="X944" s="38"/>
      <c r="Y944" s="38"/>
      <c r="Z944" s="39">
        <f t="shared" si="117"/>
        <v>0</v>
      </c>
      <c r="AA944" s="38"/>
      <c r="AB944" s="38"/>
      <c r="AC944" s="39">
        <f t="shared" si="118"/>
        <v>0</v>
      </c>
      <c r="AD944" s="38"/>
      <c r="AE944" s="38"/>
      <c r="AF944" s="39">
        <f t="shared" si="119"/>
        <v>0</v>
      </c>
    </row>
    <row r="945" spans="2:32" ht="15" customHeight="1" x14ac:dyDescent="0.3">
      <c r="B945" s="2" t="s">
        <v>983</v>
      </c>
      <c r="C945" s="4" t="s">
        <v>1280</v>
      </c>
      <c r="D945" s="3" t="s">
        <v>1287</v>
      </c>
      <c r="E945" s="6" t="s">
        <v>1290</v>
      </c>
      <c r="F945" s="6" t="s">
        <v>1156</v>
      </c>
      <c r="G945" s="6" t="s">
        <v>716</v>
      </c>
      <c r="H945" s="25">
        <v>39000</v>
      </c>
      <c r="I945" s="38">
        <v>0</v>
      </c>
      <c r="J945" s="38">
        <v>0</v>
      </c>
      <c r="K945" s="39">
        <f t="shared" si="112"/>
        <v>0</v>
      </c>
      <c r="L945" s="38">
        <v>30</v>
      </c>
      <c r="M945" s="38">
        <v>1</v>
      </c>
      <c r="N945" s="39">
        <f t="shared" si="113"/>
        <v>1170000</v>
      </c>
      <c r="O945" s="38">
        <v>30</v>
      </c>
      <c r="P945" s="38">
        <v>1</v>
      </c>
      <c r="Q945" s="39">
        <f t="shared" si="114"/>
        <v>1170000</v>
      </c>
      <c r="R945" s="38">
        <v>30</v>
      </c>
      <c r="S945" s="38">
        <v>1</v>
      </c>
      <c r="T945" s="39">
        <f t="shared" si="115"/>
        <v>1170000</v>
      </c>
      <c r="U945" s="38">
        <v>0</v>
      </c>
      <c r="V945" s="38">
        <v>0</v>
      </c>
      <c r="W945" s="39">
        <f t="shared" si="116"/>
        <v>0</v>
      </c>
      <c r="X945" s="38"/>
      <c r="Y945" s="38"/>
      <c r="Z945" s="39">
        <f t="shared" si="117"/>
        <v>0</v>
      </c>
      <c r="AA945" s="38"/>
      <c r="AB945" s="38"/>
      <c r="AC945" s="39">
        <f t="shared" si="118"/>
        <v>0</v>
      </c>
      <c r="AD945" s="38"/>
      <c r="AE945" s="38"/>
      <c r="AF945" s="39">
        <f t="shared" si="119"/>
        <v>0</v>
      </c>
    </row>
    <row r="946" spans="2:32" ht="15" customHeight="1" x14ac:dyDescent="0.3">
      <c r="B946" s="2" t="s">
        <v>983</v>
      </c>
      <c r="C946" s="4" t="s">
        <v>1280</v>
      </c>
      <c r="D946" s="3" t="s">
        <v>1287</v>
      </c>
      <c r="E946" s="6" t="s">
        <v>1290</v>
      </c>
      <c r="F946" s="6" t="s">
        <v>1156</v>
      </c>
      <c r="G946" s="6" t="s">
        <v>711</v>
      </c>
      <c r="H946" s="25">
        <v>70</v>
      </c>
      <c r="I946" s="38">
        <v>0</v>
      </c>
      <c r="J946" s="38">
        <v>0</v>
      </c>
      <c r="K946" s="39">
        <f t="shared" si="112"/>
        <v>0</v>
      </c>
      <c r="L946" s="38">
        <v>30</v>
      </c>
      <c r="M946" s="38">
        <v>1</v>
      </c>
      <c r="N946" s="39">
        <f t="shared" si="113"/>
        <v>2100</v>
      </c>
      <c r="O946" s="38">
        <v>30</v>
      </c>
      <c r="P946" s="38">
        <v>1</v>
      </c>
      <c r="Q946" s="39">
        <f t="shared" si="114"/>
        <v>2100</v>
      </c>
      <c r="R946" s="38">
        <v>30</v>
      </c>
      <c r="S946" s="38">
        <v>1</v>
      </c>
      <c r="T946" s="39">
        <f t="shared" si="115"/>
        <v>2100</v>
      </c>
      <c r="U946" s="38">
        <v>0</v>
      </c>
      <c r="V946" s="38">
        <v>0</v>
      </c>
      <c r="W946" s="39">
        <f t="shared" si="116"/>
        <v>0</v>
      </c>
      <c r="X946" s="38"/>
      <c r="Y946" s="38"/>
      <c r="Z946" s="39">
        <f t="shared" si="117"/>
        <v>0</v>
      </c>
      <c r="AA946" s="38"/>
      <c r="AB946" s="38"/>
      <c r="AC946" s="39">
        <f t="shared" si="118"/>
        <v>0</v>
      </c>
      <c r="AD946" s="38"/>
      <c r="AE946" s="38"/>
      <c r="AF946" s="39">
        <f t="shared" si="119"/>
        <v>0</v>
      </c>
    </row>
    <row r="947" spans="2:32" ht="15" customHeight="1" x14ac:dyDescent="0.3">
      <c r="B947" s="2" t="s">
        <v>983</v>
      </c>
      <c r="C947" s="4" t="s">
        <v>1280</v>
      </c>
      <c r="D947" s="3" t="s">
        <v>1287</v>
      </c>
      <c r="E947" s="6" t="s">
        <v>1290</v>
      </c>
      <c r="F947" s="6" t="s">
        <v>1156</v>
      </c>
      <c r="G947" s="6" t="s">
        <v>710</v>
      </c>
      <c r="H947" s="25">
        <v>104850</v>
      </c>
      <c r="I947" s="38">
        <v>0</v>
      </c>
      <c r="J947" s="38">
        <v>0</v>
      </c>
      <c r="K947" s="39">
        <f t="shared" si="112"/>
        <v>0</v>
      </c>
      <c r="L947" s="38">
        <v>50000</v>
      </c>
      <c r="M947" s="38">
        <v>1</v>
      </c>
      <c r="N947" s="39">
        <f t="shared" si="113"/>
        <v>5242500000</v>
      </c>
      <c r="O947" s="38">
        <v>50000</v>
      </c>
      <c r="P947" s="38">
        <v>1</v>
      </c>
      <c r="Q947" s="39">
        <f t="shared" si="114"/>
        <v>5242500000</v>
      </c>
      <c r="R947" s="38">
        <v>50000</v>
      </c>
      <c r="S947" s="38">
        <v>1</v>
      </c>
      <c r="T947" s="39">
        <f t="shared" si="115"/>
        <v>5242500000</v>
      </c>
      <c r="U947" s="38">
        <v>0</v>
      </c>
      <c r="V947" s="38">
        <v>0</v>
      </c>
      <c r="W947" s="39">
        <f t="shared" si="116"/>
        <v>0</v>
      </c>
      <c r="X947" s="38"/>
      <c r="Y947" s="38"/>
      <c r="Z947" s="39">
        <f t="shared" si="117"/>
        <v>0</v>
      </c>
      <c r="AA947" s="38"/>
      <c r="AB947" s="38"/>
      <c r="AC947" s="39">
        <f t="shared" si="118"/>
        <v>0</v>
      </c>
      <c r="AD947" s="38"/>
      <c r="AE947" s="38"/>
      <c r="AF947" s="39">
        <f t="shared" si="119"/>
        <v>0</v>
      </c>
    </row>
    <row r="948" spans="2:32" ht="15" customHeight="1" x14ac:dyDescent="0.3">
      <c r="B948" s="2" t="s">
        <v>983</v>
      </c>
      <c r="C948" s="4" t="s">
        <v>1280</v>
      </c>
      <c r="D948" s="3" t="s">
        <v>1287</v>
      </c>
      <c r="E948" s="6" t="s">
        <v>1290</v>
      </c>
      <c r="F948" s="6" t="s">
        <v>1156</v>
      </c>
      <c r="G948" s="6" t="s">
        <v>712</v>
      </c>
      <c r="H948" s="25">
        <v>214.29</v>
      </c>
      <c r="I948" s="38">
        <v>0</v>
      </c>
      <c r="J948" s="38">
        <v>0</v>
      </c>
      <c r="K948" s="39">
        <f t="shared" si="112"/>
        <v>0</v>
      </c>
      <c r="L948" s="38">
        <v>5</v>
      </c>
      <c r="M948" s="38">
        <v>1</v>
      </c>
      <c r="N948" s="39">
        <f t="shared" si="113"/>
        <v>1071.45</v>
      </c>
      <c r="O948" s="38">
        <v>5</v>
      </c>
      <c r="P948" s="38">
        <v>1</v>
      </c>
      <c r="Q948" s="39">
        <f t="shared" si="114"/>
        <v>1071.45</v>
      </c>
      <c r="R948" s="38">
        <v>5</v>
      </c>
      <c r="S948" s="38">
        <v>1</v>
      </c>
      <c r="T948" s="39">
        <f t="shared" si="115"/>
        <v>1071.45</v>
      </c>
      <c r="U948" s="38">
        <v>0</v>
      </c>
      <c r="V948" s="38">
        <v>0</v>
      </c>
      <c r="W948" s="39">
        <f t="shared" si="116"/>
        <v>0</v>
      </c>
      <c r="X948" s="38"/>
      <c r="Y948" s="38"/>
      <c r="Z948" s="39">
        <f t="shared" si="117"/>
        <v>0</v>
      </c>
      <c r="AA948" s="38"/>
      <c r="AB948" s="38"/>
      <c r="AC948" s="39">
        <f t="shared" si="118"/>
        <v>0</v>
      </c>
      <c r="AD948" s="38"/>
      <c r="AE948" s="38"/>
      <c r="AF948" s="39">
        <f t="shared" si="119"/>
        <v>0</v>
      </c>
    </row>
    <row r="949" spans="2:32" ht="15" customHeight="1" x14ac:dyDescent="0.3">
      <c r="B949" s="2" t="s">
        <v>983</v>
      </c>
      <c r="C949" s="4" t="s">
        <v>1280</v>
      </c>
      <c r="D949" s="3" t="s">
        <v>1287</v>
      </c>
      <c r="E949" s="6" t="s">
        <v>1291</v>
      </c>
      <c r="F949" s="6" t="s">
        <v>1292</v>
      </c>
      <c r="G949" s="6" t="s">
        <v>841</v>
      </c>
      <c r="H949" s="25">
        <v>0</v>
      </c>
      <c r="I949" s="38">
        <v>0</v>
      </c>
      <c r="J949" s="38">
        <v>0</v>
      </c>
      <c r="K949" s="39">
        <f t="shared" si="112"/>
        <v>0</v>
      </c>
      <c r="L949" s="38">
        <v>8000</v>
      </c>
      <c r="M949" s="38">
        <v>1</v>
      </c>
      <c r="N949" s="39">
        <f t="shared" si="113"/>
        <v>0</v>
      </c>
      <c r="O949" s="38">
        <v>8000</v>
      </c>
      <c r="P949" s="38">
        <v>1</v>
      </c>
      <c r="Q949" s="39">
        <f t="shared" si="114"/>
        <v>0</v>
      </c>
      <c r="R949" s="38">
        <v>8000</v>
      </c>
      <c r="S949" s="38">
        <v>1</v>
      </c>
      <c r="T949" s="39">
        <f t="shared" si="115"/>
        <v>0</v>
      </c>
      <c r="U949" s="38">
        <v>0</v>
      </c>
      <c r="V949" s="38">
        <v>0</v>
      </c>
      <c r="W949" s="39">
        <f t="shared" si="116"/>
        <v>0</v>
      </c>
      <c r="X949" s="38"/>
      <c r="Y949" s="38"/>
      <c r="Z949" s="39">
        <f t="shared" si="117"/>
        <v>0</v>
      </c>
      <c r="AA949" s="38"/>
      <c r="AB949" s="38"/>
      <c r="AC949" s="39">
        <f t="shared" si="118"/>
        <v>0</v>
      </c>
      <c r="AD949" s="38"/>
      <c r="AE949" s="38"/>
      <c r="AF949" s="39">
        <f t="shared" si="119"/>
        <v>0</v>
      </c>
    </row>
    <row r="950" spans="2:32" ht="15" customHeight="1" x14ac:dyDescent="0.3">
      <c r="B950" s="2" t="s">
        <v>983</v>
      </c>
      <c r="C950" s="4" t="s">
        <v>1280</v>
      </c>
      <c r="D950" s="3" t="s">
        <v>1287</v>
      </c>
      <c r="E950" s="6" t="s">
        <v>1291</v>
      </c>
      <c r="F950" s="6" t="s">
        <v>1293</v>
      </c>
      <c r="G950" s="6" t="s">
        <v>841</v>
      </c>
      <c r="H950" s="25">
        <v>0</v>
      </c>
      <c r="I950" s="38">
        <v>0</v>
      </c>
      <c r="J950" s="38">
        <v>0</v>
      </c>
      <c r="K950" s="39">
        <f t="shared" si="112"/>
        <v>0</v>
      </c>
      <c r="L950" s="38">
        <v>0</v>
      </c>
      <c r="M950" s="38">
        <v>0</v>
      </c>
      <c r="N950" s="39">
        <f t="shared" si="113"/>
        <v>0</v>
      </c>
      <c r="O950" s="38">
        <v>0</v>
      </c>
      <c r="P950" s="38">
        <v>0</v>
      </c>
      <c r="Q950" s="39">
        <f t="shared" si="114"/>
        <v>0</v>
      </c>
      <c r="R950" s="38">
        <v>0</v>
      </c>
      <c r="S950" s="38">
        <v>0</v>
      </c>
      <c r="T950" s="39">
        <f t="shared" si="115"/>
        <v>0</v>
      </c>
      <c r="U950" s="38">
        <v>0</v>
      </c>
      <c r="V950" s="38">
        <v>0</v>
      </c>
      <c r="W950" s="39">
        <f t="shared" si="116"/>
        <v>0</v>
      </c>
      <c r="X950" s="38"/>
      <c r="Y950" s="38"/>
      <c r="Z950" s="39">
        <f t="shared" si="117"/>
        <v>0</v>
      </c>
      <c r="AA950" s="38"/>
      <c r="AB950" s="38"/>
      <c r="AC950" s="39">
        <f t="shared" si="118"/>
        <v>0</v>
      </c>
      <c r="AD950" s="38"/>
      <c r="AE950" s="38"/>
      <c r="AF950" s="39">
        <f t="shared" si="119"/>
        <v>0</v>
      </c>
    </row>
    <row r="951" spans="2:32" ht="15" customHeight="1" x14ac:dyDescent="0.3">
      <c r="B951" s="5"/>
      <c r="C951" s="5"/>
      <c r="D951" s="5"/>
      <c r="E951" s="5"/>
      <c r="F951" s="5"/>
      <c r="G951" s="5"/>
      <c r="H951" s="22"/>
      <c r="I951" s="32"/>
      <c r="J951" s="32"/>
      <c r="K951" s="19"/>
      <c r="L951" s="32"/>
      <c r="M951" s="32"/>
      <c r="N951" s="18"/>
      <c r="O951" s="32"/>
      <c r="P951" s="32"/>
      <c r="Q951" s="18"/>
      <c r="R951" s="32"/>
      <c r="S951" s="32"/>
      <c r="T951" s="18"/>
      <c r="U951" s="32"/>
      <c r="V951" s="32"/>
      <c r="W951" s="18"/>
      <c r="X951" s="32"/>
      <c r="Y951" s="32"/>
      <c r="Z951" s="18"/>
      <c r="AA951" s="32"/>
      <c r="AB951" s="32"/>
      <c r="AC951" s="18"/>
      <c r="AD951" s="32"/>
      <c r="AE951" s="32"/>
      <c r="AF951" s="18"/>
    </row>
    <row r="952" spans="2:32" ht="15" customHeight="1" x14ac:dyDescent="0.3">
      <c r="B952" s="5"/>
      <c r="C952" s="5"/>
      <c r="D952" s="5"/>
      <c r="E952" s="5"/>
      <c r="F952" s="5"/>
      <c r="G952" s="5"/>
      <c r="H952" s="22"/>
      <c r="I952" s="32"/>
      <c r="J952" s="32"/>
      <c r="K952" s="19"/>
      <c r="L952" s="32"/>
      <c r="M952" s="32"/>
      <c r="N952" s="18"/>
      <c r="O952" s="32"/>
      <c r="P952" s="32"/>
      <c r="Q952" s="18"/>
      <c r="R952" s="32"/>
      <c r="S952" s="32"/>
      <c r="T952" s="18"/>
      <c r="U952" s="32"/>
      <c r="V952" s="32"/>
      <c r="W952" s="18"/>
      <c r="X952" s="32"/>
      <c r="Y952" s="32"/>
      <c r="Z952" s="18"/>
      <c r="AA952" s="32"/>
      <c r="AB952" s="32"/>
      <c r="AC952" s="18"/>
      <c r="AD952" s="32"/>
      <c r="AE952" s="32"/>
      <c r="AF952" s="18"/>
    </row>
    <row r="953" spans="2:32" ht="15" customHeight="1" x14ac:dyDescent="0.3">
      <c r="B953" s="5"/>
      <c r="C953" s="5"/>
      <c r="D953" s="5"/>
      <c r="E953" s="5"/>
      <c r="F953" s="5"/>
      <c r="G953" s="5"/>
      <c r="H953" s="22"/>
      <c r="I953" s="32"/>
      <c r="J953" s="32"/>
      <c r="K953" s="19"/>
      <c r="L953" s="32"/>
      <c r="M953" s="32"/>
      <c r="N953" s="18"/>
      <c r="O953" s="32"/>
      <c r="P953" s="32"/>
      <c r="Q953" s="18"/>
      <c r="R953" s="32"/>
      <c r="S953" s="32"/>
      <c r="T953" s="18"/>
      <c r="U953" s="32"/>
      <c r="V953" s="32"/>
      <c r="W953" s="18"/>
      <c r="X953" s="32"/>
      <c r="Y953" s="32"/>
      <c r="Z953" s="18"/>
      <c r="AA953" s="32"/>
      <c r="AB953" s="32"/>
      <c r="AC953" s="18"/>
      <c r="AD953" s="32"/>
      <c r="AE953" s="32"/>
      <c r="AF953" s="18"/>
    </row>
    <row r="954" spans="2:32" ht="15" customHeight="1" x14ac:dyDescent="0.3">
      <c r="B954" s="5"/>
      <c r="C954" s="5"/>
      <c r="D954" s="5"/>
      <c r="E954" s="5"/>
      <c r="F954" s="5"/>
      <c r="G954" s="5"/>
      <c r="H954" s="22"/>
      <c r="I954" s="32"/>
      <c r="J954" s="32"/>
      <c r="K954" s="19"/>
      <c r="L954" s="32"/>
      <c r="M954" s="32"/>
      <c r="N954" s="18"/>
      <c r="O954" s="32"/>
      <c r="P954" s="32"/>
      <c r="Q954" s="18"/>
      <c r="R954" s="32"/>
      <c r="S954" s="32"/>
      <c r="T954" s="18"/>
      <c r="U954" s="32"/>
      <c r="V954" s="32"/>
      <c r="W954" s="18"/>
      <c r="X954" s="32"/>
      <c r="Y954" s="32"/>
      <c r="Z954" s="18"/>
      <c r="AA954" s="32"/>
      <c r="AB954" s="32"/>
      <c r="AC954" s="18"/>
      <c r="AD954" s="32"/>
      <c r="AE954" s="32"/>
      <c r="AF954" s="18"/>
    </row>
    <row r="955" spans="2:32" ht="15" customHeight="1" x14ac:dyDescent="0.3">
      <c r="B955" s="5"/>
      <c r="C955" s="5"/>
      <c r="D955" s="5"/>
      <c r="E955" s="5"/>
      <c r="F955" s="5"/>
      <c r="G955" s="5"/>
      <c r="H955" s="22"/>
      <c r="I955" s="32"/>
      <c r="J955" s="32"/>
      <c r="K955" s="19"/>
      <c r="L955" s="32"/>
      <c r="M955" s="32"/>
      <c r="N955" s="18"/>
      <c r="O955" s="32"/>
      <c r="P955" s="32"/>
      <c r="Q955" s="18"/>
      <c r="R955" s="32"/>
      <c r="S955" s="32"/>
      <c r="T955" s="18"/>
      <c r="U955" s="32"/>
      <c r="V955" s="32"/>
      <c r="W955" s="18"/>
      <c r="X955" s="32"/>
      <c r="Y955" s="32"/>
      <c r="Z955" s="18"/>
      <c r="AA955" s="32"/>
      <c r="AB955" s="32"/>
      <c r="AC955" s="18"/>
      <c r="AD955" s="32"/>
      <c r="AE955" s="32"/>
      <c r="AF955" s="18"/>
    </row>
    <row r="956" spans="2:32" ht="15" customHeight="1" x14ac:dyDescent="0.3">
      <c r="B956" s="5"/>
      <c r="C956" s="5"/>
      <c r="D956" s="5"/>
      <c r="E956" s="5"/>
      <c r="F956" s="5"/>
      <c r="G956" s="5"/>
      <c r="H956" s="22"/>
      <c r="I956" s="32"/>
      <c r="J956" s="32"/>
      <c r="K956" s="19"/>
      <c r="L956" s="32"/>
      <c r="M956" s="32"/>
      <c r="N956" s="18"/>
      <c r="O956" s="32"/>
      <c r="P956" s="32"/>
      <c r="Q956" s="18"/>
      <c r="R956" s="32"/>
      <c r="S956" s="32"/>
      <c r="T956" s="18"/>
      <c r="U956" s="32"/>
      <c r="V956" s="32"/>
      <c r="W956" s="18"/>
      <c r="X956" s="32"/>
      <c r="Y956" s="32"/>
      <c r="Z956" s="18"/>
      <c r="AA956" s="32"/>
      <c r="AB956" s="32"/>
      <c r="AC956" s="18"/>
      <c r="AD956" s="32"/>
      <c r="AE956" s="32"/>
      <c r="AF956" s="18"/>
    </row>
    <row r="957" spans="2:32" ht="15" customHeight="1" x14ac:dyDescent="0.3">
      <c r="B957" s="5"/>
      <c r="C957" s="5"/>
      <c r="D957" s="5"/>
      <c r="E957" s="5"/>
      <c r="F957" s="5"/>
      <c r="G957" s="5"/>
      <c r="H957" s="22"/>
      <c r="I957" s="32"/>
      <c r="J957" s="32"/>
      <c r="K957" s="19"/>
      <c r="L957" s="32"/>
      <c r="M957" s="32"/>
      <c r="N957" s="18"/>
      <c r="O957" s="32"/>
      <c r="P957" s="32"/>
      <c r="Q957" s="18"/>
      <c r="R957" s="32"/>
      <c r="S957" s="32"/>
      <c r="T957" s="18"/>
      <c r="U957" s="32"/>
      <c r="V957" s="32"/>
      <c r="W957" s="18"/>
      <c r="X957" s="32"/>
      <c r="Y957" s="32"/>
      <c r="Z957" s="18"/>
      <c r="AA957" s="32"/>
      <c r="AB957" s="32"/>
      <c r="AC957" s="18"/>
      <c r="AD957" s="32"/>
      <c r="AE957" s="32"/>
      <c r="AF957" s="18"/>
    </row>
    <row r="958" spans="2:32" ht="15" customHeight="1" x14ac:dyDescent="0.3">
      <c r="B958" s="5"/>
      <c r="C958" s="5"/>
      <c r="D958" s="5"/>
      <c r="E958" s="5"/>
      <c r="F958" s="5"/>
      <c r="G958" s="5"/>
      <c r="H958" s="22"/>
      <c r="I958" s="32"/>
      <c r="J958" s="32"/>
      <c r="K958" s="19"/>
      <c r="L958" s="32"/>
      <c r="M958" s="32"/>
      <c r="N958" s="18"/>
      <c r="O958" s="32"/>
      <c r="P958" s="32"/>
      <c r="Q958" s="18"/>
      <c r="R958" s="32"/>
      <c r="S958" s="32"/>
      <c r="T958" s="18"/>
      <c r="U958" s="32"/>
      <c r="V958" s="32"/>
      <c r="W958" s="18"/>
      <c r="X958" s="32"/>
      <c r="Y958" s="32"/>
      <c r="Z958" s="18"/>
      <c r="AA958" s="32"/>
      <c r="AB958" s="32"/>
      <c r="AC958" s="18"/>
      <c r="AD958" s="32"/>
      <c r="AE958" s="32"/>
      <c r="AF958" s="18"/>
    </row>
    <row r="959" spans="2:32" ht="15" customHeight="1" x14ac:dyDescent="0.3">
      <c r="B959" s="5"/>
      <c r="C959" s="5"/>
      <c r="D959" s="5"/>
      <c r="E959" s="5"/>
      <c r="F959" s="5"/>
      <c r="G959" s="5"/>
      <c r="H959" s="22"/>
      <c r="I959" s="32"/>
      <c r="J959" s="32"/>
      <c r="K959" s="19"/>
      <c r="L959" s="32"/>
      <c r="M959" s="32"/>
      <c r="N959" s="18"/>
      <c r="O959" s="32"/>
      <c r="P959" s="32"/>
      <c r="Q959" s="18"/>
      <c r="R959" s="32"/>
      <c r="S959" s="32"/>
      <c r="T959" s="18"/>
      <c r="U959" s="32"/>
      <c r="V959" s="32"/>
      <c r="W959" s="18"/>
      <c r="X959" s="32"/>
      <c r="Y959" s="32"/>
      <c r="Z959" s="18"/>
      <c r="AA959" s="32"/>
      <c r="AB959" s="32"/>
      <c r="AC959" s="18"/>
      <c r="AD959" s="32"/>
      <c r="AE959" s="32"/>
      <c r="AF959" s="18"/>
    </row>
    <row r="960" spans="2:32" ht="15" customHeight="1" x14ac:dyDescent="0.3">
      <c r="B960" s="5"/>
      <c r="C960" s="5"/>
      <c r="D960" s="5"/>
      <c r="E960" s="5"/>
      <c r="F960" s="5"/>
      <c r="G960" s="5"/>
      <c r="H960" s="22"/>
      <c r="I960" s="32"/>
      <c r="J960" s="32"/>
      <c r="K960" s="19"/>
      <c r="L960" s="32"/>
      <c r="M960" s="32"/>
      <c r="N960" s="18"/>
      <c r="O960" s="32"/>
      <c r="P960" s="32"/>
      <c r="Q960" s="18"/>
      <c r="R960" s="32"/>
      <c r="S960" s="32"/>
      <c r="T960" s="18"/>
      <c r="U960" s="32"/>
      <c r="V960" s="32"/>
      <c r="W960" s="18"/>
      <c r="X960" s="32"/>
      <c r="Y960" s="32"/>
      <c r="Z960" s="18"/>
      <c r="AA960" s="32"/>
      <c r="AB960" s="32"/>
      <c r="AC960" s="18"/>
      <c r="AD960" s="32"/>
      <c r="AE960" s="32"/>
      <c r="AF960" s="18"/>
    </row>
    <row r="961" spans="2:32" ht="15" customHeight="1" x14ac:dyDescent="0.3">
      <c r="B961" s="5"/>
      <c r="C961" s="5"/>
      <c r="D961" s="5"/>
      <c r="E961" s="5"/>
      <c r="F961" s="5"/>
      <c r="G961" s="5"/>
      <c r="H961" s="22"/>
      <c r="I961" s="32"/>
      <c r="J961" s="32"/>
      <c r="K961" s="19"/>
      <c r="L961" s="32"/>
      <c r="M961" s="32"/>
      <c r="N961" s="18"/>
      <c r="O961" s="32"/>
      <c r="P961" s="32"/>
      <c r="Q961" s="18"/>
      <c r="R961" s="32"/>
      <c r="S961" s="32"/>
      <c r="T961" s="18"/>
      <c r="U961" s="32"/>
      <c r="V961" s="32"/>
      <c r="W961" s="18"/>
      <c r="X961" s="32"/>
      <c r="Y961" s="32"/>
      <c r="Z961" s="18"/>
      <c r="AA961" s="32"/>
      <c r="AB961" s="32"/>
      <c r="AC961" s="18"/>
      <c r="AD961" s="32"/>
      <c r="AE961" s="32"/>
      <c r="AF961" s="18"/>
    </row>
    <row r="962" spans="2:32" ht="15" customHeight="1" x14ac:dyDescent="0.3">
      <c r="B962" s="5"/>
      <c r="C962" s="5"/>
      <c r="D962" s="5"/>
      <c r="E962" s="5"/>
      <c r="F962" s="5"/>
      <c r="G962" s="5"/>
      <c r="H962" s="22"/>
      <c r="I962" s="32"/>
      <c r="J962" s="32"/>
      <c r="K962" s="19"/>
      <c r="L962" s="32"/>
      <c r="M962" s="32"/>
      <c r="N962" s="18"/>
      <c r="O962" s="32"/>
      <c r="P962" s="32"/>
      <c r="Q962" s="18"/>
      <c r="R962" s="32"/>
      <c r="S962" s="32"/>
      <c r="T962" s="18"/>
      <c r="U962" s="32"/>
      <c r="V962" s="32"/>
      <c r="W962" s="18"/>
      <c r="X962" s="32"/>
      <c r="Y962" s="32"/>
      <c r="Z962" s="18"/>
      <c r="AA962" s="32"/>
      <c r="AB962" s="32"/>
      <c r="AC962" s="18"/>
      <c r="AD962" s="32"/>
      <c r="AE962" s="32"/>
      <c r="AF962" s="18"/>
    </row>
    <row r="963" spans="2:32" ht="15" customHeight="1" x14ac:dyDescent="0.3">
      <c r="B963" s="5"/>
      <c r="C963" s="5"/>
      <c r="D963" s="5"/>
      <c r="E963" s="5"/>
      <c r="F963" s="5"/>
      <c r="G963" s="5"/>
      <c r="H963" s="22"/>
      <c r="I963" s="32"/>
      <c r="J963" s="32"/>
      <c r="K963" s="19"/>
      <c r="L963" s="32"/>
      <c r="M963" s="32"/>
      <c r="N963" s="18"/>
      <c r="O963" s="32"/>
      <c r="P963" s="32"/>
      <c r="Q963" s="18"/>
      <c r="R963" s="32"/>
      <c r="S963" s="32"/>
      <c r="T963" s="18"/>
      <c r="U963" s="32"/>
      <c r="V963" s="32"/>
      <c r="W963" s="18"/>
      <c r="X963" s="32"/>
      <c r="Y963" s="32"/>
      <c r="Z963" s="18"/>
      <c r="AA963" s="32"/>
      <c r="AB963" s="32"/>
      <c r="AC963" s="18"/>
      <c r="AD963" s="32"/>
      <c r="AE963" s="32"/>
      <c r="AF963" s="18"/>
    </row>
    <row r="964" spans="2:32" ht="15" customHeight="1" x14ac:dyDescent="0.3">
      <c r="B964" s="5"/>
      <c r="C964" s="5"/>
      <c r="D964" s="5"/>
      <c r="E964" s="5"/>
      <c r="F964" s="5"/>
      <c r="G964" s="5"/>
      <c r="H964" s="22"/>
      <c r="I964" s="32"/>
      <c r="J964" s="32"/>
      <c r="K964" s="19"/>
      <c r="L964" s="32"/>
      <c r="M964" s="32"/>
      <c r="N964" s="18"/>
      <c r="O964" s="32"/>
      <c r="P964" s="32"/>
      <c r="Q964" s="18"/>
      <c r="R964" s="32"/>
      <c r="S964" s="32"/>
      <c r="T964" s="18"/>
      <c r="U964" s="32"/>
      <c r="V964" s="32"/>
      <c r="W964" s="18"/>
      <c r="X964" s="32"/>
      <c r="Y964" s="32"/>
      <c r="Z964" s="18"/>
      <c r="AA964" s="32"/>
      <c r="AB964" s="32"/>
      <c r="AC964" s="18"/>
      <c r="AD964" s="32"/>
      <c r="AE964" s="32"/>
      <c r="AF964" s="18"/>
    </row>
    <row r="965" spans="2:32" ht="15" customHeight="1" x14ac:dyDescent="0.3">
      <c r="B965" s="5"/>
      <c r="C965" s="5"/>
      <c r="D965" s="5"/>
      <c r="E965" s="5"/>
      <c r="F965" s="5"/>
      <c r="G965" s="5"/>
      <c r="H965" s="22"/>
      <c r="I965" s="32"/>
      <c r="J965" s="32"/>
      <c r="K965" s="19"/>
      <c r="L965" s="32"/>
      <c r="M965" s="32"/>
      <c r="N965" s="18"/>
      <c r="O965" s="32"/>
      <c r="P965" s="32"/>
      <c r="Q965" s="18"/>
      <c r="R965" s="32"/>
      <c r="S965" s="32"/>
      <c r="T965" s="18"/>
      <c r="U965" s="32"/>
      <c r="V965" s="32"/>
      <c r="W965" s="18"/>
      <c r="X965" s="32"/>
      <c r="Y965" s="32"/>
      <c r="Z965" s="18"/>
      <c r="AA965" s="32"/>
      <c r="AB965" s="32"/>
      <c r="AC965" s="18"/>
      <c r="AD965" s="32"/>
      <c r="AE965" s="32"/>
      <c r="AF965" s="18"/>
    </row>
    <row r="966" spans="2:32" ht="15" customHeight="1" x14ac:dyDescent="0.3">
      <c r="B966" s="5"/>
      <c r="C966" s="5"/>
      <c r="D966" s="5"/>
      <c r="E966" s="5"/>
      <c r="F966" s="5"/>
      <c r="G966" s="5"/>
      <c r="H966" s="22"/>
      <c r="I966" s="32"/>
      <c r="J966" s="32"/>
      <c r="K966" s="19"/>
      <c r="L966" s="32"/>
      <c r="M966" s="32"/>
      <c r="N966" s="18"/>
      <c r="O966" s="32"/>
      <c r="P966" s="32"/>
      <c r="Q966" s="18"/>
      <c r="R966" s="32"/>
      <c r="S966" s="32"/>
      <c r="T966" s="18"/>
      <c r="U966" s="32"/>
      <c r="V966" s="32"/>
      <c r="W966" s="18"/>
      <c r="X966" s="32"/>
      <c r="Y966" s="32"/>
      <c r="Z966" s="18"/>
      <c r="AA966" s="32"/>
      <c r="AB966" s="32"/>
      <c r="AC966" s="18"/>
      <c r="AD966" s="32"/>
      <c r="AE966" s="32"/>
      <c r="AF966" s="18"/>
    </row>
    <row r="967" spans="2:32" ht="15" customHeight="1" x14ac:dyDescent="0.3">
      <c r="B967" s="5"/>
      <c r="C967" s="5"/>
      <c r="D967" s="5"/>
      <c r="E967" s="5"/>
      <c r="F967" s="5"/>
      <c r="G967" s="5"/>
      <c r="H967" s="22"/>
      <c r="I967" s="32"/>
      <c r="J967" s="32"/>
      <c r="K967" s="19"/>
      <c r="L967" s="32"/>
      <c r="M967" s="32"/>
      <c r="N967" s="18"/>
      <c r="O967" s="32"/>
      <c r="P967" s="32"/>
      <c r="Q967" s="18"/>
      <c r="R967" s="32"/>
      <c r="S967" s="32"/>
      <c r="T967" s="18"/>
      <c r="U967" s="32"/>
      <c r="V967" s="32"/>
      <c r="W967" s="18"/>
      <c r="X967" s="32"/>
      <c r="Y967" s="32"/>
      <c r="Z967" s="18"/>
      <c r="AA967" s="32"/>
      <c r="AB967" s="32"/>
      <c r="AC967" s="18"/>
      <c r="AD967" s="32"/>
      <c r="AE967" s="32"/>
      <c r="AF967" s="18"/>
    </row>
    <row r="968" spans="2:32" ht="15" customHeight="1" x14ac:dyDescent="0.3">
      <c r="B968" s="5"/>
      <c r="C968" s="5"/>
      <c r="D968" s="5"/>
      <c r="E968" s="5"/>
      <c r="F968" s="5"/>
      <c r="G968" s="5"/>
      <c r="H968" s="22"/>
      <c r="I968" s="32"/>
      <c r="J968" s="32"/>
      <c r="K968" s="19"/>
      <c r="L968" s="32"/>
      <c r="M968" s="32"/>
      <c r="N968" s="18"/>
      <c r="O968" s="32"/>
      <c r="P968" s="32"/>
      <c r="Q968" s="18"/>
      <c r="R968" s="32"/>
      <c r="S968" s="32"/>
      <c r="T968" s="18"/>
      <c r="U968" s="32"/>
      <c r="V968" s="32"/>
      <c r="W968" s="18"/>
      <c r="X968" s="32"/>
      <c r="Y968" s="32"/>
      <c r="Z968" s="18"/>
      <c r="AA968" s="32"/>
      <c r="AB968" s="32"/>
      <c r="AC968" s="18"/>
      <c r="AD968" s="32"/>
      <c r="AE968" s="32"/>
      <c r="AF968" s="18"/>
    </row>
    <row r="969" spans="2:32" ht="15" customHeight="1" x14ac:dyDescent="0.3">
      <c r="B969" s="5"/>
      <c r="C969" s="5"/>
      <c r="D969" s="5"/>
      <c r="E969" s="5"/>
      <c r="F969" s="5"/>
      <c r="G969" s="5"/>
      <c r="H969" s="22"/>
      <c r="I969" s="32"/>
      <c r="J969" s="32"/>
      <c r="K969" s="19"/>
      <c r="L969" s="32"/>
      <c r="M969" s="32"/>
      <c r="N969" s="18"/>
      <c r="O969" s="32"/>
      <c r="P969" s="32"/>
      <c r="Q969" s="18"/>
      <c r="R969" s="32"/>
      <c r="S969" s="32"/>
      <c r="T969" s="18"/>
      <c r="U969" s="32"/>
      <c r="V969" s="32"/>
      <c r="W969" s="18"/>
      <c r="X969" s="32"/>
      <c r="Y969" s="32"/>
      <c r="Z969" s="18"/>
      <c r="AA969" s="32"/>
      <c r="AB969" s="32"/>
      <c r="AC969" s="18"/>
      <c r="AD969" s="32"/>
      <c r="AE969" s="32"/>
      <c r="AF969" s="18"/>
    </row>
    <row r="970" spans="2:32" ht="15" customHeight="1" x14ac:dyDescent="0.3">
      <c r="B970" s="5"/>
      <c r="C970" s="5"/>
      <c r="D970" s="5"/>
      <c r="E970" s="5"/>
      <c r="F970" s="5"/>
      <c r="G970" s="5"/>
      <c r="H970" s="22"/>
      <c r="I970" s="32"/>
      <c r="J970" s="32"/>
      <c r="K970" s="19"/>
      <c r="L970" s="32"/>
      <c r="M970" s="32"/>
      <c r="N970" s="18"/>
      <c r="O970" s="32"/>
      <c r="P970" s="32"/>
      <c r="Q970" s="18"/>
      <c r="R970" s="32"/>
      <c r="S970" s="32"/>
      <c r="T970" s="18"/>
      <c r="U970" s="32"/>
      <c r="V970" s="32"/>
      <c r="W970" s="18"/>
      <c r="X970" s="32"/>
      <c r="Y970" s="32"/>
      <c r="Z970" s="18"/>
      <c r="AA970" s="32"/>
      <c r="AB970" s="32"/>
      <c r="AC970" s="18"/>
      <c r="AD970" s="32"/>
      <c r="AE970" s="32"/>
      <c r="AF970" s="18"/>
    </row>
    <row r="971" spans="2:32" ht="15" customHeight="1" x14ac:dyDescent="0.3">
      <c r="B971" s="5"/>
      <c r="C971" s="5"/>
      <c r="D971" s="5"/>
      <c r="E971" s="5"/>
      <c r="F971" s="5"/>
      <c r="G971" s="5"/>
      <c r="H971" s="22"/>
      <c r="I971" s="32"/>
      <c r="J971" s="32"/>
      <c r="K971" s="19"/>
      <c r="L971" s="32"/>
      <c r="M971" s="32"/>
      <c r="N971" s="18"/>
      <c r="O971" s="32"/>
      <c r="P971" s="32"/>
      <c r="Q971" s="18"/>
      <c r="R971" s="32"/>
      <c r="S971" s="32"/>
      <c r="T971" s="18"/>
      <c r="U971" s="32"/>
      <c r="V971" s="32"/>
      <c r="W971" s="18"/>
      <c r="X971" s="32"/>
      <c r="Y971" s="32"/>
      <c r="Z971" s="18"/>
      <c r="AA971" s="32"/>
      <c r="AB971" s="32"/>
      <c r="AC971" s="18"/>
      <c r="AD971" s="32"/>
      <c r="AE971" s="32"/>
      <c r="AF971" s="18"/>
    </row>
    <row r="972" spans="2:32" ht="15" customHeight="1" x14ac:dyDescent="0.3">
      <c r="B972" s="5"/>
      <c r="C972" s="5"/>
      <c r="D972" s="5"/>
      <c r="E972" s="5"/>
      <c r="F972" s="5"/>
      <c r="G972" s="5"/>
      <c r="H972" s="22"/>
      <c r="I972" s="32"/>
      <c r="J972" s="32"/>
      <c r="K972" s="19"/>
      <c r="L972" s="32"/>
      <c r="M972" s="32"/>
      <c r="N972" s="18"/>
      <c r="O972" s="32"/>
      <c r="P972" s="32"/>
      <c r="Q972" s="18"/>
      <c r="R972" s="32"/>
      <c r="S972" s="32"/>
      <c r="T972" s="18"/>
      <c r="U972" s="32"/>
      <c r="V972" s="32"/>
      <c r="W972" s="18"/>
      <c r="X972" s="32"/>
      <c r="Y972" s="32"/>
      <c r="Z972" s="18"/>
      <c r="AA972" s="32"/>
      <c r="AB972" s="32"/>
      <c r="AC972" s="18"/>
      <c r="AD972" s="32"/>
      <c r="AE972" s="32"/>
      <c r="AF972" s="18"/>
    </row>
    <row r="973" spans="2:32" ht="15" customHeight="1" x14ac:dyDescent="0.3">
      <c r="B973" s="5"/>
      <c r="C973" s="5"/>
      <c r="D973" s="5"/>
      <c r="E973" s="5"/>
      <c r="F973" s="5"/>
      <c r="G973" s="5"/>
      <c r="H973" s="22"/>
      <c r="I973" s="32"/>
      <c r="J973" s="32"/>
      <c r="K973" s="19"/>
      <c r="L973" s="32"/>
      <c r="M973" s="32"/>
      <c r="N973" s="18"/>
      <c r="O973" s="32"/>
      <c r="P973" s="32"/>
      <c r="Q973" s="18"/>
      <c r="R973" s="32"/>
      <c r="S973" s="32"/>
      <c r="T973" s="18"/>
      <c r="U973" s="32"/>
      <c r="V973" s="32"/>
      <c r="W973" s="18"/>
      <c r="X973" s="32"/>
      <c r="Y973" s="32"/>
      <c r="Z973" s="18"/>
      <c r="AA973" s="32"/>
      <c r="AB973" s="32"/>
      <c r="AC973" s="18"/>
      <c r="AD973" s="32"/>
      <c r="AE973" s="32"/>
      <c r="AF973" s="18"/>
    </row>
    <row r="974" spans="2:32" ht="15" customHeight="1" x14ac:dyDescent="0.3">
      <c r="B974" s="5"/>
      <c r="C974" s="5"/>
      <c r="D974" s="5"/>
      <c r="E974" s="5"/>
      <c r="F974" s="5"/>
      <c r="G974" s="5"/>
      <c r="H974" s="22"/>
      <c r="I974" s="32"/>
      <c r="J974" s="32"/>
      <c r="K974" s="19"/>
      <c r="L974" s="32"/>
      <c r="M974" s="32"/>
      <c r="N974" s="18"/>
      <c r="O974" s="32"/>
      <c r="P974" s="32"/>
      <c r="Q974" s="18"/>
      <c r="R974" s="32"/>
      <c r="S974" s="32"/>
      <c r="T974" s="18"/>
      <c r="U974" s="32"/>
      <c r="V974" s="32"/>
      <c r="W974" s="18"/>
      <c r="X974" s="32"/>
      <c r="Y974" s="32"/>
      <c r="Z974" s="18"/>
      <c r="AA974" s="32"/>
      <c r="AB974" s="32"/>
      <c r="AC974" s="18"/>
      <c r="AD974" s="32"/>
      <c r="AE974" s="32"/>
      <c r="AF974" s="18"/>
    </row>
    <row r="975" spans="2:32" ht="15" customHeight="1" x14ac:dyDescent="0.3">
      <c r="B975" s="5"/>
      <c r="C975" s="5"/>
      <c r="D975" s="5"/>
      <c r="E975" s="5"/>
      <c r="F975" s="5"/>
      <c r="G975" s="5"/>
      <c r="H975" s="22"/>
      <c r="I975" s="32"/>
      <c r="J975" s="32"/>
      <c r="K975" s="19"/>
      <c r="L975" s="32"/>
      <c r="M975" s="32"/>
      <c r="N975" s="18"/>
      <c r="O975" s="32"/>
      <c r="P975" s="32"/>
      <c r="Q975" s="18"/>
      <c r="R975" s="32"/>
      <c r="S975" s="32"/>
      <c r="T975" s="18"/>
      <c r="U975" s="32"/>
      <c r="V975" s="32"/>
      <c r="W975" s="18"/>
      <c r="X975" s="32"/>
      <c r="Y975" s="32"/>
      <c r="Z975" s="18"/>
      <c r="AA975" s="32"/>
      <c r="AB975" s="32"/>
      <c r="AC975" s="18"/>
      <c r="AD975" s="32"/>
      <c r="AE975" s="32"/>
      <c r="AF975" s="18"/>
    </row>
    <row r="976" spans="2:32" ht="15" customHeight="1" x14ac:dyDescent="0.3">
      <c r="B976" s="5"/>
      <c r="C976" s="5"/>
      <c r="D976" s="5"/>
      <c r="E976" s="5"/>
      <c r="F976" s="5"/>
      <c r="G976" s="5"/>
      <c r="H976" s="22"/>
      <c r="I976" s="32"/>
      <c r="J976" s="32"/>
      <c r="K976" s="19"/>
      <c r="L976" s="32"/>
      <c r="M976" s="32"/>
      <c r="N976" s="18"/>
      <c r="O976" s="32"/>
      <c r="P976" s="32"/>
      <c r="Q976" s="18"/>
      <c r="R976" s="32"/>
      <c r="S976" s="32"/>
      <c r="T976" s="18"/>
      <c r="U976" s="32"/>
      <c r="V976" s="32"/>
      <c r="W976" s="18"/>
      <c r="X976" s="32"/>
      <c r="Y976" s="32"/>
      <c r="Z976" s="18"/>
      <c r="AA976" s="32"/>
      <c r="AB976" s="32"/>
      <c r="AC976" s="18"/>
      <c r="AD976" s="32"/>
      <c r="AE976" s="32"/>
      <c r="AF976" s="18"/>
    </row>
    <row r="977" spans="2:32" ht="15" customHeight="1" x14ac:dyDescent="0.3">
      <c r="B977" s="5"/>
      <c r="C977" s="5"/>
      <c r="D977" s="5"/>
      <c r="E977" s="5"/>
      <c r="F977" s="5"/>
      <c r="G977" s="5"/>
      <c r="H977" s="22"/>
      <c r="I977" s="32"/>
      <c r="J977" s="32"/>
      <c r="K977" s="19"/>
      <c r="L977" s="32"/>
      <c r="M977" s="32"/>
      <c r="N977" s="18"/>
      <c r="O977" s="32"/>
      <c r="P977" s="32"/>
      <c r="Q977" s="18"/>
      <c r="R977" s="32"/>
      <c r="S977" s="32"/>
      <c r="T977" s="18"/>
      <c r="U977" s="32"/>
      <c r="V977" s="32"/>
      <c r="W977" s="18"/>
      <c r="X977" s="32"/>
      <c r="Y977" s="32"/>
      <c r="Z977" s="18"/>
      <c r="AA977" s="32"/>
      <c r="AB977" s="32"/>
      <c r="AC977" s="18"/>
      <c r="AD977" s="32"/>
      <c r="AE977" s="32"/>
      <c r="AF977" s="18"/>
    </row>
    <row r="978" spans="2:32" ht="15" customHeight="1" x14ac:dyDescent="0.3">
      <c r="B978" s="5"/>
      <c r="C978" s="5"/>
      <c r="D978" s="5"/>
      <c r="E978" s="5"/>
      <c r="F978" s="5"/>
      <c r="G978" s="5"/>
      <c r="H978" s="22"/>
      <c r="I978" s="32"/>
      <c r="J978" s="32"/>
      <c r="K978" s="19"/>
      <c r="L978" s="32"/>
      <c r="M978" s="32"/>
      <c r="N978" s="18"/>
      <c r="O978" s="32"/>
      <c r="P978" s="32"/>
      <c r="Q978" s="18"/>
      <c r="R978" s="32"/>
      <c r="S978" s="32"/>
      <c r="T978" s="18"/>
      <c r="U978" s="32"/>
      <c r="V978" s="32"/>
      <c r="W978" s="18"/>
      <c r="X978" s="32"/>
      <c r="Y978" s="32"/>
      <c r="Z978" s="18"/>
      <c r="AA978" s="32"/>
      <c r="AB978" s="32"/>
      <c r="AC978" s="18"/>
      <c r="AD978" s="32"/>
      <c r="AE978" s="32"/>
      <c r="AF978" s="18"/>
    </row>
    <row r="979" spans="2:32" ht="15" customHeight="1" x14ac:dyDescent="0.3">
      <c r="B979" s="5"/>
      <c r="C979" s="5"/>
      <c r="D979" s="5"/>
      <c r="E979" s="5"/>
      <c r="F979" s="5"/>
      <c r="G979" s="5"/>
      <c r="H979" s="22"/>
      <c r="I979" s="32"/>
      <c r="J979" s="32"/>
      <c r="K979" s="19"/>
      <c r="L979" s="32"/>
      <c r="M979" s="32"/>
      <c r="N979" s="18"/>
      <c r="O979" s="32"/>
      <c r="P979" s="32"/>
      <c r="Q979" s="18"/>
      <c r="R979" s="32"/>
      <c r="S979" s="32"/>
      <c r="T979" s="18"/>
      <c r="U979" s="32"/>
      <c r="V979" s="32"/>
      <c r="W979" s="18"/>
      <c r="X979" s="32"/>
      <c r="Y979" s="32"/>
      <c r="Z979" s="18"/>
      <c r="AA979" s="32"/>
      <c r="AB979" s="32"/>
      <c r="AC979" s="18"/>
      <c r="AD979" s="32"/>
      <c r="AE979" s="32"/>
      <c r="AF979" s="18"/>
    </row>
    <row r="980" spans="2:32" ht="15" customHeight="1" x14ac:dyDescent="0.3">
      <c r="B980" s="5"/>
      <c r="C980" s="5"/>
      <c r="D980" s="5"/>
      <c r="E980" s="5"/>
      <c r="F980" s="5"/>
      <c r="G980" s="5"/>
      <c r="H980" s="22"/>
      <c r="I980" s="32"/>
      <c r="J980" s="32"/>
      <c r="K980" s="19"/>
      <c r="L980" s="32"/>
      <c r="M980" s="32"/>
      <c r="N980" s="18"/>
      <c r="O980" s="32"/>
      <c r="P980" s="32"/>
      <c r="Q980" s="18"/>
      <c r="R980" s="32"/>
      <c r="S980" s="32"/>
      <c r="T980" s="18"/>
      <c r="U980" s="32"/>
      <c r="V980" s="32"/>
      <c r="W980" s="18"/>
      <c r="X980" s="32"/>
      <c r="Y980" s="32"/>
      <c r="Z980" s="18"/>
      <c r="AA980" s="32"/>
      <c r="AB980" s="32"/>
      <c r="AC980" s="18"/>
      <c r="AD980" s="32"/>
      <c r="AE980" s="32"/>
      <c r="AF980" s="18"/>
    </row>
    <row r="981" spans="2:32" ht="15" customHeight="1" x14ac:dyDescent="0.3">
      <c r="B981" s="5"/>
      <c r="C981" s="5"/>
      <c r="D981" s="5"/>
      <c r="E981" s="5"/>
      <c r="F981" s="5"/>
      <c r="G981" s="5"/>
      <c r="H981" s="22"/>
      <c r="I981" s="32"/>
      <c r="J981" s="32"/>
      <c r="K981" s="19"/>
      <c r="L981" s="32"/>
      <c r="M981" s="32"/>
      <c r="N981" s="18"/>
      <c r="O981" s="32"/>
      <c r="P981" s="32"/>
      <c r="Q981" s="18"/>
      <c r="R981" s="32"/>
      <c r="S981" s="32"/>
      <c r="T981" s="18"/>
      <c r="U981" s="32"/>
      <c r="V981" s="32"/>
      <c r="W981" s="18"/>
      <c r="X981" s="32"/>
      <c r="Y981" s="32"/>
      <c r="Z981" s="18"/>
      <c r="AA981" s="32"/>
      <c r="AB981" s="32"/>
      <c r="AC981" s="18"/>
      <c r="AD981" s="32"/>
      <c r="AE981" s="32"/>
      <c r="AF981" s="18"/>
    </row>
    <row r="982" spans="2:32" ht="15" customHeight="1" x14ac:dyDescent="0.3">
      <c r="B982" s="5"/>
      <c r="C982" s="5"/>
      <c r="D982" s="5"/>
      <c r="E982" s="5"/>
      <c r="F982" s="5"/>
      <c r="G982" s="5"/>
      <c r="H982" s="22"/>
      <c r="I982" s="32"/>
      <c r="J982" s="32"/>
      <c r="K982" s="19"/>
      <c r="L982" s="32"/>
      <c r="M982" s="32"/>
      <c r="N982" s="18"/>
      <c r="O982" s="32"/>
      <c r="P982" s="32"/>
      <c r="Q982" s="18"/>
      <c r="R982" s="32"/>
      <c r="S982" s="32"/>
      <c r="T982" s="18"/>
      <c r="U982" s="32"/>
      <c r="V982" s="32"/>
      <c r="W982" s="18"/>
      <c r="X982" s="32"/>
      <c r="Y982" s="32"/>
      <c r="Z982" s="18"/>
      <c r="AA982" s="32"/>
      <c r="AB982" s="32"/>
      <c r="AC982" s="18"/>
      <c r="AD982" s="32"/>
      <c r="AE982" s="32"/>
      <c r="AF982" s="18"/>
    </row>
    <row r="983" spans="2:32" ht="15" customHeight="1" x14ac:dyDescent="0.3">
      <c r="B983" s="5"/>
      <c r="C983" s="5"/>
      <c r="D983" s="5"/>
      <c r="E983" s="5"/>
      <c r="F983" s="5"/>
      <c r="G983" s="5"/>
      <c r="H983" s="22"/>
      <c r="I983" s="32"/>
      <c r="J983" s="32"/>
      <c r="K983" s="19"/>
      <c r="L983" s="32"/>
      <c r="M983" s="32"/>
      <c r="N983" s="18"/>
      <c r="O983" s="32"/>
      <c r="P983" s="32"/>
      <c r="Q983" s="18"/>
      <c r="R983" s="32"/>
      <c r="S983" s="32"/>
      <c r="T983" s="18"/>
      <c r="U983" s="32"/>
      <c r="V983" s="32"/>
      <c r="W983" s="18"/>
      <c r="X983" s="32"/>
      <c r="Y983" s="32"/>
      <c r="Z983" s="18"/>
      <c r="AA983" s="32"/>
      <c r="AB983" s="32"/>
      <c r="AC983" s="18"/>
      <c r="AD983" s="32"/>
      <c r="AE983" s="32"/>
      <c r="AF983" s="18"/>
    </row>
    <row r="984" spans="2:32" ht="15" customHeight="1" x14ac:dyDescent="0.3">
      <c r="B984" s="5"/>
      <c r="C984" s="5"/>
      <c r="D984" s="5"/>
      <c r="E984" s="5"/>
      <c r="F984" s="5"/>
      <c r="G984" s="5"/>
      <c r="H984" s="22"/>
      <c r="I984" s="32"/>
      <c r="J984" s="32"/>
      <c r="K984" s="19"/>
      <c r="L984" s="32"/>
      <c r="M984" s="32"/>
      <c r="N984" s="18"/>
      <c r="O984" s="32"/>
      <c r="P984" s="32"/>
      <c r="Q984" s="18"/>
      <c r="R984" s="32"/>
      <c r="S984" s="32"/>
      <c r="T984" s="18"/>
      <c r="U984" s="32"/>
      <c r="V984" s="32"/>
      <c r="W984" s="18"/>
      <c r="X984" s="32"/>
      <c r="Y984" s="32"/>
      <c r="Z984" s="18"/>
      <c r="AA984" s="32"/>
      <c r="AB984" s="32"/>
      <c r="AC984" s="18"/>
      <c r="AD984" s="32"/>
      <c r="AE984" s="32"/>
      <c r="AF984" s="18"/>
    </row>
    <row r="985" spans="2:32" ht="15" customHeight="1" x14ac:dyDescent="0.3">
      <c r="B985" s="5"/>
      <c r="C985" s="5"/>
      <c r="D985" s="5"/>
      <c r="E985" s="5"/>
      <c r="F985" s="5"/>
      <c r="G985" s="5"/>
      <c r="H985" s="22"/>
      <c r="I985" s="32"/>
      <c r="J985" s="32"/>
      <c r="K985" s="19"/>
      <c r="L985" s="32"/>
      <c r="M985" s="32"/>
      <c r="N985" s="18"/>
      <c r="O985" s="32"/>
      <c r="P985" s="32"/>
      <c r="Q985" s="18"/>
      <c r="R985" s="32"/>
      <c r="S985" s="32"/>
      <c r="T985" s="18"/>
      <c r="U985" s="32"/>
      <c r="V985" s="32"/>
      <c r="W985" s="18"/>
      <c r="X985" s="32"/>
      <c r="Y985" s="32"/>
      <c r="Z985" s="18"/>
      <c r="AA985" s="32"/>
      <c r="AB985" s="32"/>
      <c r="AC985" s="18"/>
      <c r="AD985" s="32"/>
      <c r="AE985" s="32"/>
      <c r="AF985" s="18"/>
    </row>
    <row r="986" spans="2:32" ht="15" customHeight="1" x14ac:dyDescent="0.3">
      <c r="B986" s="5"/>
      <c r="C986" s="5"/>
      <c r="D986" s="5"/>
      <c r="E986" s="5"/>
      <c r="F986" s="5"/>
      <c r="G986" s="5"/>
      <c r="H986" s="22"/>
      <c r="I986" s="32"/>
      <c r="J986" s="32"/>
      <c r="K986" s="19"/>
      <c r="L986" s="32"/>
      <c r="M986" s="32"/>
      <c r="N986" s="18"/>
      <c r="O986" s="32"/>
      <c r="P986" s="32"/>
      <c r="Q986" s="18"/>
      <c r="R986" s="32"/>
      <c r="S986" s="32"/>
      <c r="T986" s="18"/>
      <c r="U986" s="32"/>
      <c r="V986" s="32"/>
      <c r="W986" s="18"/>
      <c r="X986" s="32"/>
      <c r="Y986" s="32"/>
      <c r="Z986" s="18"/>
      <c r="AA986" s="32"/>
      <c r="AB986" s="32"/>
      <c r="AC986" s="18"/>
      <c r="AD986" s="32"/>
      <c r="AE986" s="32"/>
      <c r="AF986" s="18"/>
    </row>
    <row r="987" spans="2:32" ht="15" customHeight="1" x14ac:dyDescent="0.3">
      <c r="B987" s="5"/>
      <c r="C987" s="5"/>
      <c r="D987" s="5"/>
      <c r="E987" s="5"/>
      <c r="F987" s="5"/>
      <c r="G987" s="5"/>
      <c r="H987" s="22"/>
      <c r="I987" s="32"/>
      <c r="J987" s="32"/>
      <c r="K987" s="19"/>
      <c r="L987" s="32"/>
      <c r="M987" s="32"/>
      <c r="N987" s="18"/>
      <c r="O987" s="32"/>
      <c r="P987" s="32"/>
      <c r="Q987" s="18"/>
      <c r="R987" s="32"/>
      <c r="S987" s="32"/>
      <c r="T987" s="18"/>
      <c r="U987" s="32"/>
      <c r="V987" s="32"/>
      <c r="W987" s="18"/>
      <c r="X987" s="32"/>
      <c r="Y987" s="32"/>
      <c r="Z987" s="18"/>
      <c r="AA987" s="32"/>
      <c r="AB987" s="32"/>
      <c r="AC987" s="18"/>
      <c r="AD987" s="32"/>
      <c r="AE987" s="32"/>
      <c r="AF987" s="18"/>
    </row>
    <row r="988" spans="2:32" ht="15" customHeight="1" x14ac:dyDescent="0.3">
      <c r="B988" s="5"/>
      <c r="C988" s="5"/>
      <c r="D988" s="5"/>
      <c r="E988" s="5"/>
      <c r="F988" s="5"/>
      <c r="G988" s="5"/>
      <c r="H988" s="22"/>
      <c r="I988" s="32"/>
      <c r="J988" s="32"/>
      <c r="K988" s="19"/>
      <c r="L988" s="32"/>
      <c r="M988" s="32"/>
      <c r="N988" s="18"/>
      <c r="O988" s="32"/>
      <c r="P988" s="32"/>
      <c r="Q988" s="18"/>
      <c r="R988" s="32"/>
      <c r="S988" s="32"/>
      <c r="T988" s="18"/>
      <c r="U988" s="32"/>
      <c r="V988" s="32"/>
      <c r="W988" s="18"/>
      <c r="X988" s="32"/>
      <c r="Y988" s="32"/>
      <c r="Z988" s="18"/>
      <c r="AA988" s="32"/>
      <c r="AB988" s="32"/>
      <c r="AC988" s="18"/>
      <c r="AD988" s="32"/>
      <c r="AE988" s="32"/>
      <c r="AF988" s="18"/>
    </row>
    <row r="989" spans="2:32" ht="15" customHeight="1" x14ac:dyDescent="0.3">
      <c r="B989" s="5"/>
      <c r="C989" s="5"/>
      <c r="D989" s="5"/>
      <c r="E989" s="5"/>
      <c r="F989" s="5"/>
      <c r="G989" s="5"/>
      <c r="H989" s="22"/>
      <c r="I989" s="32"/>
      <c r="J989" s="32"/>
      <c r="K989" s="19"/>
      <c r="L989" s="32"/>
      <c r="M989" s="32"/>
      <c r="N989" s="18"/>
      <c r="O989" s="32"/>
      <c r="P989" s="32"/>
      <c r="Q989" s="18"/>
      <c r="R989" s="32"/>
      <c r="S989" s="32"/>
      <c r="T989" s="18"/>
      <c r="U989" s="32"/>
      <c r="V989" s="32"/>
      <c r="W989" s="18"/>
      <c r="X989" s="32"/>
      <c r="Y989" s="32"/>
      <c r="Z989" s="18"/>
      <c r="AA989" s="32"/>
      <c r="AB989" s="32"/>
      <c r="AC989" s="18"/>
      <c r="AD989" s="32"/>
      <c r="AE989" s="32"/>
      <c r="AF989" s="18"/>
    </row>
    <row r="990" spans="2:32" ht="15" customHeight="1" x14ac:dyDescent="0.3">
      <c r="B990" s="5"/>
      <c r="C990" s="5"/>
      <c r="D990" s="5"/>
      <c r="E990" s="5"/>
      <c r="F990" s="5"/>
      <c r="G990" s="5"/>
      <c r="H990" s="22"/>
      <c r="I990" s="32"/>
      <c r="J990" s="32"/>
      <c r="K990" s="19"/>
      <c r="L990" s="32"/>
      <c r="M990" s="32"/>
      <c r="N990" s="18"/>
      <c r="O990" s="32"/>
      <c r="P990" s="32"/>
      <c r="Q990" s="18"/>
      <c r="R990" s="32"/>
      <c r="S990" s="32"/>
      <c r="T990" s="18"/>
      <c r="U990" s="32"/>
      <c r="V990" s="32"/>
      <c r="W990" s="18"/>
      <c r="X990" s="32"/>
      <c r="Y990" s="32"/>
      <c r="Z990" s="18"/>
      <c r="AA990" s="32"/>
      <c r="AB990" s="32"/>
      <c r="AC990" s="18"/>
      <c r="AD990" s="32"/>
      <c r="AE990" s="32"/>
      <c r="AF990" s="18"/>
    </row>
    <row r="991" spans="2:32" ht="15" customHeight="1" x14ac:dyDescent="0.3">
      <c r="B991" s="5"/>
      <c r="C991" s="5"/>
      <c r="D991" s="5"/>
      <c r="E991" s="5"/>
      <c r="F991" s="5"/>
      <c r="G991" s="5"/>
      <c r="H991" s="22"/>
      <c r="I991" s="32"/>
      <c r="J991" s="32"/>
      <c r="K991" s="19"/>
      <c r="L991" s="32"/>
      <c r="M991" s="32"/>
      <c r="N991" s="18"/>
      <c r="O991" s="32"/>
      <c r="P991" s="32"/>
      <c r="Q991" s="18"/>
      <c r="R991" s="32"/>
      <c r="S991" s="32"/>
      <c r="T991" s="18"/>
      <c r="U991" s="32"/>
      <c r="V991" s="32"/>
      <c r="W991" s="18"/>
      <c r="X991" s="32"/>
      <c r="Y991" s="32"/>
      <c r="Z991" s="18"/>
      <c r="AA991" s="32"/>
      <c r="AB991" s="32"/>
      <c r="AC991" s="18"/>
      <c r="AD991" s="32"/>
      <c r="AE991" s="32"/>
      <c r="AF991" s="18"/>
    </row>
    <row r="992" spans="2:32" ht="15" customHeight="1" x14ac:dyDescent="0.3">
      <c r="B992" s="5"/>
      <c r="C992" s="5"/>
      <c r="D992" s="5"/>
      <c r="E992" s="5"/>
      <c r="F992" s="5"/>
      <c r="G992" s="5"/>
      <c r="H992" s="22"/>
      <c r="I992" s="32"/>
      <c r="J992" s="32"/>
      <c r="K992" s="19"/>
      <c r="L992" s="32"/>
      <c r="M992" s="32"/>
      <c r="N992" s="18"/>
      <c r="O992" s="32"/>
      <c r="P992" s="32"/>
      <c r="Q992" s="18"/>
      <c r="R992" s="32"/>
      <c r="S992" s="32"/>
      <c r="T992" s="18"/>
      <c r="U992" s="32"/>
      <c r="V992" s="32"/>
      <c r="W992" s="18"/>
      <c r="X992" s="32"/>
      <c r="Y992" s="32"/>
      <c r="Z992" s="18"/>
      <c r="AA992" s="32"/>
      <c r="AB992" s="32"/>
      <c r="AC992" s="18"/>
      <c r="AD992" s="32"/>
      <c r="AE992" s="32"/>
      <c r="AF992" s="18"/>
    </row>
    <row r="993" spans="2:32" ht="15" customHeight="1" x14ac:dyDescent="0.3">
      <c r="B993" s="5"/>
      <c r="C993" s="5"/>
      <c r="D993" s="5"/>
      <c r="E993" s="5"/>
      <c r="F993" s="5"/>
      <c r="G993" s="5"/>
      <c r="H993" s="22"/>
      <c r="I993" s="32"/>
      <c r="J993" s="32"/>
      <c r="K993" s="19"/>
      <c r="L993" s="32"/>
      <c r="M993" s="32"/>
      <c r="N993" s="18"/>
      <c r="O993" s="32"/>
      <c r="P993" s="32"/>
      <c r="Q993" s="18"/>
      <c r="R993" s="32"/>
      <c r="S993" s="32"/>
      <c r="T993" s="18"/>
      <c r="U993" s="32"/>
      <c r="V993" s="32"/>
      <c r="W993" s="18"/>
      <c r="X993" s="32"/>
      <c r="Y993" s="32"/>
      <c r="Z993" s="18"/>
      <c r="AA993" s="32"/>
      <c r="AB993" s="32"/>
      <c r="AC993" s="18"/>
      <c r="AD993" s="32"/>
      <c r="AE993" s="32"/>
      <c r="AF993" s="18"/>
    </row>
    <row r="994" spans="2:32" ht="15" customHeight="1" x14ac:dyDescent="0.3">
      <c r="B994" s="5"/>
      <c r="C994" s="5"/>
      <c r="D994" s="5"/>
      <c r="E994" s="5"/>
      <c r="F994" s="5"/>
      <c r="G994" s="5"/>
      <c r="H994" s="22"/>
      <c r="I994" s="32"/>
      <c r="J994" s="32"/>
      <c r="K994" s="19"/>
      <c r="L994" s="32"/>
      <c r="M994" s="32"/>
      <c r="N994" s="18"/>
      <c r="O994" s="32"/>
      <c r="P994" s="32"/>
      <c r="Q994" s="18"/>
      <c r="R994" s="32"/>
      <c r="S994" s="32"/>
      <c r="T994" s="18"/>
      <c r="U994" s="32"/>
      <c r="V994" s="32"/>
      <c r="W994" s="18"/>
      <c r="X994" s="32"/>
      <c r="Y994" s="32"/>
      <c r="Z994" s="18"/>
      <c r="AA994" s="32"/>
      <c r="AB994" s="32"/>
      <c r="AC994" s="18"/>
      <c r="AD994" s="32"/>
      <c r="AE994" s="32"/>
      <c r="AF994" s="18"/>
    </row>
    <row r="995" spans="2:32" ht="15" customHeight="1" x14ac:dyDescent="0.3">
      <c r="B995" s="5"/>
      <c r="C995" s="5"/>
      <c r="D995" s="5"/>
      <c r="E995" s="5"/>
      <c r="F995" s="5"/>
      <c r="G995" s="5"/>
      <c r="H995" s="22"/>
      <c r="I995" s="32"/>
      <c r="J995" s="32"/>
      <c r="K995" s="19"/>
      <c r="L995" s="32"/>
      <c r="M995" s="32"/>
      <c r="N995" s="18"/>
      <c r="O995" s="32"/>
      <c r="P995" s="32"/>
      <c r="Q995" s="18"/>
      <c r="R995" s="32"/>
      <c r="S995" s="32"/>
      <c r="T995" s="18"/>
      <c r="U995" s="32"/>
      <c r="V995" s="32"/>
      <c r="W995" s="18"/>
      <c r="X995" s="32"/>
      <c r="Y995" s="32"/>
      <c r="Z995" s="18"/>
      <c r="AA995" s="32"/>
      <c r="AB995" s="32"/>
      <c r="AC995" s="18"/>
      <c r="AD995" s="32"/>
      <c r="AE995" s="32"/>
      <c r="AF995" s="18"/>
    </row>
    <row r="996" spans="2:32" ht="15" customHeight="1" x14ac:dyDescent="0.3">
      <c r="B996" s="5"/>
      <c r="C996" s="5"/>
      <c r="D996" s="5"/>
      <c r="E996" s="5"/>
      <c r="F996" s="5"/>
      <c r="G996" s="5"/>
      <c r="H996" s="22"/>
      <c r="I996" s="32"/>
      <c r="J996" s="32"/>
      <c r="K996" s="19"/>
      <c r="L996" s="32"/>
      <c r="M996" s="32"/>
      <c r="N996" s="18"/>
      <c r="O996" s="32"/>
      <c r="P996" s="32"/>
      <c r="Q996" s="18"/>
      <c r="R996" s="32"/>
      <c r="S996" s="32"/>
      <c r="T996" s="18"/>
      <c r="U996" s="32"/>
      <c r="V996" s="32"/>
      <c r="W996" s="18"/>
      <c r="X996" s="32"/>
      <c r="Y996" s="32"/>
      <c r="Z996" s="18"/>
      <c r="AA996" s="32"/>
      <c r="AB996" s="32"/>
      <c r="AC996" s="18"/>
      <c r="AD996" s="32"/>
      <c r="AE996" s="32"/>
      <c r="AF996" s="18"/>
    </row>
    <row r="997" spans="2:32" ht="15" customHeight="1" x14ac:dyDescent="0.3">
      <c r="B997" s="5"/>
      <c r="C997" s="5"/>
      <c r="D997" s="5"/>
      <c r="E997" s="5"/>
      <c r="F997" s="5"/>
      <c r="G997" s="5"/>
      <c r="H997" s="22"/>
      <c r="I997" s="32"/>
      <c r="J997" s="32"/>
      <c r="K997" s="19"/>
      <c r="L997" s="32"/>
      <c r="M997" s="32"/>
      <c r="N997" s="18"/>
      <c r="O997" s="32"/>
      <c r="P997" s="32"/>
      <c r="Q997" s="18"/>
      <c r="R997" s="32"/>
      <c r="S997" s="32"/>
      <c r="T997" s="18"/>
      <c r="U997" s="32"/>
      <c r="V997" s="32"/>
      <c r="W997" s="18"/>
      <c r="X997" s="32"/>
      <c r="Y997" s="32"/>
      <c r="Z997" s="18"/>
      <c r="AA997" s="32"/>
      <c r="AB997" s="32"/>
      <c r="AC997" s="18"/>
      <c r="AD997" s="32"/>
      <c r="AE997" s="32"/>
      <c r="AF997" s="18"/>
    </row>
    <row r="998" spans="2:32" ht="15" customHeight="1" x14ac:dyDescent="0.3">
      <c r="B998" s="5"/>
      <c r="C998" s="5"/>
      <c r="D998" s="5"/>
      <c r="E998" s="5"/>
      <c r="F998" s="5"/>
      <c r="G998" s="5"/>
      <c r="H998" s="22"/>
      <c r="I998" s="32"/>
      <c r="J998" s="32"/>
      <c r="K998" s="19"/>
      <c r="L998" s="32"/>
      <c r="M998" s="32"/>
      <c r="N998" s="18"/>
      <c r="O998" s="32"/>
      <c r="P998" s="32"/>
      <c r="Q998" s="18"/>
      <c r="R998" s="32"/>
      <c r="S998" s="32"/>
      <c r="T998" s="18"/>
      <c r="U998" s="32"/>
      <c r="V998" s="32"/>
      <c r="W998" s="18"/>
      <c r="X998" s="32"/>
      <c r="Y998" s="32"/>
      <c r="Z998" s="18"/>
      <c r="AA998" s="32"/>
      <c r="AB998" s="32"/>
      <c r="AC998" s="18"/>
      <c r="AD998" s="32"/>
      <c r="AE998" s="32"/>
      <c r="AF998" s="18"/>
    </row>
    <row r="999" spans="2:32" ht="15" customHeight="1" x14ac:dyDescent="0.3">
      <c r="B999" s="5"/>
      <c r="C999" s="5"/>
      <c r="D999" s="5"/>
      <c r="E999" s="5"/>
      <c r="F999" s="5"/>
      <c r="G999" s="5"/>
      <c r="H999" s="22"/>
      <c r="I999" s="32"/>
      <c r="J999" s="32"/>
      <c r="K999" s="19"/>
      <c r="L999" s="32"/>
      <c r="M999" s="32"/>
      <c r="N999" s="18"/>
      <c r="O999" s="32"/>
      <c r="P999" s="32"/>
      <c r="Q999" s="18"/>
      <c r="R999" s="32"/>
      <c r="S999" s="32"/>
      <c r="T999" s="18"/>
      <c r="U999" s="32"/>
      <c r="V999" s="32"/>
      <c r="W999" s="18"/>
      <c r="X999" s="32"/>
      <c r="Y999" s="32"/>
      <c r="Z999" s="18"/>
      <c r="AA999" s="32"/>
      <c r="AB999" s="32"/>
      <c r="AC999" s="18"/>
      <c r="AD999" s="32"/>
      <c r="AE999" s="32"/>
      <c r="AF999" s="18"/>
    </row>
    <row r="1000" spans="2:32" ht="15" customHeight="1" x14ac:dyDescent="0.3">
      <c r="B1000" s="5"/>
      <c r="C1000" s="5"/>
      <c r="D1000" s="5"/>
      <c r="E1000" s="5"/>
      <c r="F1000" s="5"/>
      <c r="G1000" s="5"/>
      <c r="H1000" s="22"/>
      <c r="I1000" s="32"/>
      <c r="J1000" s="32"/>
      <c r="K1000" s="19"/>
      <c r="L1000" s="32"/>
      <c r="M1000" s="32"/>
      <c r="N1000" s="18"/>
      <c r="O1000" s="32"/>
      <c r="P1000" s="32"/>
      <c r="Q1000" s="18"/>
      <c r="R1000" s="32"/>
      <c r="S1000" s="32"/>
      <c r="T1000" s="18"/>
      <c r="U1000" s="32"/>
      <c r="V1000" s="32"/>
      <c r="W1000" s="18"/>
      <c r="X1000" s="32"/>
      <c r="Y1000" s="32"/>
      <c r="Z1000" s="18"/>
      <c r="AA1000" s="32"/>
      <c r="AB1000" s="32"/>
      <c r="AC1000" s="18"/>
      <c r="AD1000" s="32"/>
      <c r="AE1000" s="32"/>
      <c r="AF1000" s="18"/>
    </row>
    <row r="1001" spans="2:32" ht="15" customHeight="1" x14ac:dyDescent="0.3">
      <c r="B1001" s="5"/>
      <c r="C1001" s="5"/>
      <c r="D1001" s="5"/>
      <c r="E1001" s="5"/>
      <c r="F1001" s="5"/>
      <c r="G1001" s="5"/>
      <c r="H1001" s="22"/>
      <c r="I1001" s="32"/>
      <c r="J1001" s="32"/>
      <c r="K1001" s="19"/>
      <c r="L1001" s="32"/>
      <c r="M1001" s="32"/>
      <c r="N1001" s="18"/>
      <c r="O1001" s="32"/>
      <c r="P1001" s="32"/>
      <c r="Q1001" s="18"/>
      <c r="R1001" s="32"/>
      <c r="S1001" s="32"/>
      <c r="T1001" s="18"/>
      <c r="U1001" s="32"/>
      <c r="V1001" s="32"/>
      <c r="W1001" s="18"/>
      <c r="X1001" s="32"/>
      <c r="Y1001" s="32"/>
      <c r="Z1001" s="18"/>
      <c r="AA1001" s="32"/>
      <c r="AB1001" s="32"/>
      <c r="AC1001" s="18"/>
      <c r="AD1001" s="32"/>
      <c r="AE1001" s="32"/>
      <c r="AF1001" s="18"/>
    </row>
    <row r="1002" spans="2:32" ht="15" customHeight="1" x14ac:dyDescent="0.3">
      <c r="B1002" s="5"/>
      <c r="C1002" s="5"/>
      <c r="D1002" s="5"/>
      <c r="E1002" s="5"/>
      <c r="F1002" s="5"/>
      <c r="G1002" s="5"/>
      <c r="H1002" s="22"/>
      <c r="I1002" s="32"/>
      <c r="J1002" s="32"/>
      <c r="K1002" s="19"/>
      <c r="L1002" s="32"/>
      <c r="M1002" s="32"/>
      <c r="N1002" s="18"/>
      <c r="O1002" s="32"/>
      <c r="P1002" s="32"/>
      <c r="Q1002" s="18"/>
      <c r="R1002" s="32"/>
      <c r="S1002" s="32"/>
      <c r="T1002" s="18"/>
      <c r="U1002" s="32"/>
      <c r="V1002" s="32"/>
      <c r="W1002" s="18"/>
      <c r="X1002" s="32"/>
      <c r="Y1002" s="32"/>
      <c r="Z1002" s="18"/>
      <c r="AA1002" s="32"/>
      <c r="AB1002" s="32"/>
      <c r="AC1002" s="18"/>
      <c r="AD1002" s="32"/>
      <c r="AE1002" s="32"/>
      <c r="AF1002" s="18"/>
    </row>
    <row r="1003" spans="2:32" ht="15" customHeight="1" x14ac:dyDescent="0.3">
      <c r="B1003" s="5"/>
      <c r="C1003" s="5"/>
      <c r="D1003" s="5"/>
      <c r="E1003" s="5"/>
      <c r="F1003" s="5"/>
      <c r="G1003" s="5"/>
      <c r="H1003" s="22"/>
      <c r="I1003" s="32"/>
      <c r="J1003" s="32"/>
      <c r="K1003" s="19"/>
      <c r="L1003" s="32"/>
      <c r="M1003" s="32"/>
      <c r="N1003" s="18"/>
      <c r="O1003" s="32"/>
      <c r="P1003" s="32"/>
      <c r="Q1003" s="18"/>
      <c r="R1003" s="32"/>
      <c r="S1003" s="32"/>
      <c r="T1003" s="18"/>
      <c r="U1003" s="32"/>
      <c r="V1003" s="32"/>
      <c r="W1003" s="18"/>
      <c r="X1003" s="32"/>
      <c r="Y1003" s="32"/>
      <c r="Z1003" s="18"/>
      <c r="AA1003" s="32"/>
      <c r="AB1003" s="32"/>
      <c r="AC1003" s="18"/>
      <c r="AD1003" s="32"/>
      <c r="AE1003" s="32"/>
      <c r="AF1003" s="18"/>
    </row>
    <row r="1004" spans="2:32" ht="15" customHeight="1" x14ac:dyDescent="0.3">
      <c r="B1004" s="5"/>
      <c r="C1004" s="5"/>
      <c r="D1004" s="5"/>
      <c r="E1004" s="5"/>
      <c r="F1004" s="5"/>
      <c r="G1004" s="5"/>
      <c r="H1004" s="22"/>
      <c r="I1004" s="32"/>
      <c r="J1004" s="32"/>
      <c r="K1004" s="19"/>
      <c r="L1004" s="32"/>
      <c r="M1004" s="32"/>
      <c r="N1004" s="18"/>
      <c r="O1004" s="32"/>
      <c r="P1004" s="32"/>
      <c r="Q1004" s="18"/>
      <c r="R1004" s="32"/>
      <c r="S1004" s="32"/>
      <c r="T1004" s="18"/>
      <c r="U1004" s="32"/>
      <c r="V1004" s="32"/>
      <c r="W1004" s="18"/>
      <c r="X1004" s="32"/>
      <c r="Y1004" s="32"/>
      <c r="Z1004" s="18"/>
      <c r="AA1004" s="32"/>
      <c r="AB1004" s="32"/>
      <c r="AC1004" s="18"/>
      <c r="AD1004" s="32"/>
      <c r="AE1004" s="32"/>
      <c r="AF1004" s="18"/>
    </row>
    <row r="1005" spans="2:32" ht="15" customHeight="1" x14ac:dyDescent="0.3">
      <c r="B1005" s="5"/>
      <c r="C1005" s="5"/>
      <c r="D1005" s="5"/>
      <c r="E1005" s="5"/>
      <c r="F1005" s="5"/>
      <c r="G1005" s="5"/>
      <c r="H1005" s="22"/>
      <c r="I1005" s="32"/>
      <c r="J1005" s="32"/>
      <c r="K1005" s="19"/>
      <c r="L1005" s="32"/>
      <c r="M1005" s="32"/>
      <c r="N1005" s="18"/>
      <c r="O1005" s="32"/>
      <c r="P1005" s="32"/>
      <c r="Q1005" s="18"/>
      <c r="R1005" s="32"/>
      <c r="S1005" s="32"/>
      <c r="T1005" s="18"/>
      <c r="U1005" s="32"/>
      <c r="V1005" s="32"/>
      <c r="W1005" s="18"/>
      <c r="X1005" s="32"/>
      <c r="Y1005" s="32"/>
      <c r="Z1005" s="18"/>
      <c r="AA1005" s="32"/>
      <c r="AB1005" s="32"/>
      <c r="AC1005" s="18"/>
      <c r="AD1005" s="32"/>
      <c r="AE1005" s="32"/>
      <c r="AF1005" s="18"/>
    </row>
    <row r="1006" spans="2:32" ht="15" customHeight="1" x14ac:dyDescent="0.3">
      <c r="B1006" s="5"/>
      <c r="C1006" s="5"/>
      <c r="D1006" s="5"/>
      <c r="E1006" s="5"/>
      <c r="F1006" s="5"/>
      <c r="G1006" s="5"/>
      <c r="H1006" s="22"/>
      <c r="I1006" s="32"/>
      <c r="J1006" s="32"/>
      <c r="K1006" s="19"/>
      <c r="L1006" s="32"/>
      <c r="M1006" s="32"/>
      <c r="N1006" s="18"/>
      <c r="O1006" s="32"/>
      <c r="P1006" s="32"/>
      <c r="Q1006" s="18"/>
      <c r="R1006" s="32"/>
      <c r="S1006" s="32"/>
      <c r="T1006" s="18"/>
      <c r="U1006" s="32"/>
      <c r="V1006" s="32"/>
      <c r="W1006" s="18"/>
      <c r="X1006" s="32"/>
      <c r="Y1006" s="32"/>
      <c r="Z1006" s="18"/>
      <c r="AA1006" s="32"/>
      <c r="AB1006" s="32"/>
      <c r="AC1006" s="18"/>
      <c r="AD1006" s="32"/>
      <c r="AE1006" s="32"/>
      <c r="AF1006" s="18"/>
    </row>
    <row r="1007" spans="2:32" ht="15" customHeight="1" x14ac:dyDescent="0.3">
      <c r="B1007" s="5"/>
      <c r="C1007" s="5"/>
      <c r="D1007" s="5"/>
      <c r="E1007" s="5"/>
      <c r="F1007" s="5"/>
      <c r="G1007" s="5"/>
      <c r="H1007" s="22"/>
      <c r="I1007" s="32"/>
      <c r="J1007" s="32"/>
      <c r="K1007" s="19"/>
      <c r="L1007" s="32"/>
      <c r="M1007" s="32"/>
      <c r="N1007" s="18"/>
      <c r="O1007" s="32"/>
      <c r="P1007" s="32"/>
      <c r="Q1007" s="18"/>
      <c r="R1007" s="32"/>
      <c r="S1007" s="32"/>
      <c r="T1007" s="18"/>
      <c r="U1007" s="32"/>
      <c r="V1007" s="32"/>
      <c r="W1007" s="18"/>
      <c r="X1007" s="32"/>
      <c r="Y1007" s="32"/>
      <c r="Z1007" s="18"/>
      <c r="AA1007" s="32"/>
      <c r="AB1007" s="32"/>
      <c r="AC1007" s="18"/>
      <c r="AD1007" s="32"/>
      <c r="AE1007" s="32"/>
      <c r="AF1007" s="18"/>
    </row>
    <row r="1008" spans="2:32" ht="15" customHeight="1" x14ac:dyDescent="0.3">
      <c r="B1008" s="5"/>
      <c r="C1008" s="5"/>
      <c r="D1008" s="5"/>
      <c r="E1008" s="5"/>
      <c r="F1008" s="5"/>
      <c r="G1008" s="5"/>
      <c r="H1008" s="22"/>
      <c r="I1008" s="32"/>
      <c r="J1008" s="32"/>
      <c r="K1008" s="19"/>
      <c r="L1008" s="32"/>
      <c r="M1008" s="32"/>
      <c r="N1008" s="18"/>
      <c r="O1008" s="32"/>
      <c r="P1008" s="32"/>
      <c r="Q1008" s="18"/>
      <c r="R1008" s="32"/>
      <c r="S1008" s="32"/>
      <c r="T1008" s="18"/>
      <c r="U1008" s="32"/>
      <c r="V1008" s="32"/>
      <c r="W1008" s="18"/>
      <c r="X1008" s="32"/>
      <c r="Y1008" s="32"/>
      <c r="Z1008" s="18"/>
      <c r="AA1008" s="32"/>
      <c r="AB1008" s="32"/>
      <c r="AC1008" s="18"/>
      <c r="AD1008" s="32"/>
      <c r="AE1008" s="32"/>
      <c r="AF1008" s="18"/>
    </row>
    <row r="1009" spans="2:32" ht="15" customHeight="1" x14ac:dyDescent="0.3">
      <c r="B1009" s="5"/>
      <c r="C1009" s="5"/>
      <c r="D1009" s="5"/>
      <c r="E1009" s="5"/>
      <c r="F1009" s="5"/>
      <c r="G1009" s="5"/>
      <c r="H1009" s="22"/>
      <c r="I1009" s="32"/>
      <c r="J1009" s="32"/>
      <c r="K1009" s="19"/>
      <c r="L1009" s="32"/>
      <c r="M1009" s="32"/>
      <c r="N1009" s="18"/>
      <c r="O1009" s="32"/>
      <c r="P1009" s="32"/>
      <c r="Q1009" s="18"/>
      <c r="R1009" s="32"/>
      <c r="S1009" s="32"/>
      <c r="T1009" s="18"/>
      <c r="U1009" s="32"/>
      <c r="V1009" s="32"/>
      <c r="W1009" s="18"/>
      <c r="X1009" s="32"/>
      <c r="Y1009" s="32"/>
      <c r="Z1009" s="18"/>
      <c r="AA1009" s="32"/>
      <c r="AB1009" s="32"/>
      <c r="AC1009" s="18"/>
      <c r="AD1009" s="32"/>
      <c r="AE1009" s="32"/>
      <c r="AF1009" s="18"/>
    </row>
    <row r="1010" spans="2:32" ht="15" customHeight="1" x14ac:dyDescent="0.3">
      <c r="B1010" s="5"/>
      <c r="C1010" s="5"/>
      <c r="D1010" s="5"/>
      <c r="E1010" s="5"/>
      <c r="F1010" s="5"/>
      <c r="G1010" s="5"/>
      <c r="H1010" s="22"/>
      <c r="I1010" s="32"/>
      <c r="J1010" s="32"/>
      <c r="K1010" s="19"/>
      <c r="L1010" s="32"/>
      <c r="M1010" s="32"/>
      <c r="N1010" s="18"/>
      <c r="O1010" s="32"/>
      <c r="P1010" s="32"/>
      <c r="Q1010" s="18"/>
      <c r="R1010" s="32"/>
      <c r="S1010" s="32"/>
      <c r="T1010" s="18"/>
      <c r="U1010" s="32"/>
      <c r="V1010" s="32"/>
      <c r="W1010" s="18"/>
      <c r="X1010" s="32"/>
      <c r="Y1010" s="32"/>
      <c r="Z1010" s="18"/>
      <c r="AA1010" s="32"/>
      <c r="AB1010" s="32"/>
      <c r="AC1010" s="18"/>
      <c r="AD1010" s="32"/>
      <c r="AE1010" s="32"/>
      <c r="AF1010" s="18"/>
    </row>
    <row r="1011" spans="2:32" ht="15" customHeight="1" x14ac:dyDescent="0.3">
      <c r="B1011" s="5"/>
      <c r="C1011" s="5"/>
      <c r="D1011" s="5"/>
      <c r="E1011" s="5"/>
      <c r="F1011" s="5"/>
      <c r="G1011" s="5"/>
      <c r="H1011" s="22"/>
      <c r="I1011" s="32"/>
      <c r="J1011" s="32"/>
      <c r="K1011" s="19"/>
      <c r="L1011" s="32"/>
      <c r="M1011" s="32"/>
      <c r="N1011" s="18"/>
      <c r="O1011" s="32"/>
      <c r="P1011" s="32"/>
      <c r="Q1011" s="18"/>
      <c r="R1011" s="32"/>
      <c r="S1011" s="32"/>
      <c r="T1011" s="18"/>
      <c r="U1011" s="32"/>
      <c r="V1011" s="32"/>
      <c r="W1011" s="18"/>
      <c r="X1011" s="32"/>
      <c r="Y1011" s="32"/>
      <c r="Z1011" s="18"/>
      <c r="AA1011" s="32"/>
      <c r="AB1011" s="32"/>
      <c r="AC1011" s="18"/>
      <c r="AD1011" s="32"/>
      <c r="AE1011" s="32"/>
      <c r="AF1011" s="18"/>
    </row>
    <row r="1012" spans="2:32" ht="15" customHeight="1" x14ac:dyDescent="0.3">
      <c r="B1012" s="5"/>
      <c r="C1012" s="5"/>
      <c r="D1012" s="5"/>
      <c r="E1012" s="5"/>
      <c r="F1012" s="5"/>
      <c r="G1012" s="5"/>
      <c r="H1012" s="22"/>
      <c r="I1012" s="32"/>
      <c r="J1012" s="32"/>
      <c r="K1012" s="19"/>
      <c r="L1012" s="32"/>
      <c r="M1012" s="32"/>
      <c r="N1012" s="18"/>
      <c r="O1012" s="32"/>
      <c r="P1012" s="32"/>
      <c r="Q1012" s="18"/>
      <c r="R1012" s="32"/>
      <c r="S1012" s="32"/>
      <c r="T1012" s="18"/>
      <c r="U1012" s="32"/>
      <c r="V1012" s="32"/>
      <c r="W1012" s="18"/>
      <c r="X1012" s="32"/>
      <c r="Y1012" s="32"/>
      <c r="Z1012" s="18"/>
      <c r="AA1012" s="32"/>
      <c r="AB1012" s="32"/>
      <c r="AC1012" s="18"/>
      <c r="AD1012" s="32"/>
      <c r="AE1012" s="32"/>
      <c r="AF1012" s="18"/>
    </row>
    <row r="1013" spans="2:32" ht="15" customHeight="1" x14ac:dyDescent="0.3">
      <c r="B1013" s="5"/>
      <c r="C1013" s="5"/>
      <c r="D1013" s="5"/>
      <c r="E1013" s="5"/>
      <c r="F1013" s="5"/>
      <c r="G1013" s="5"/>
      <c r="H1013" s="22"/>
      <c r="I1013" s="32"/>
      <c r="J1013" s="32"/>
      <c r="K1013" s="19"/>
      <c r="L1013" s="32"/>
      <c r="M1013" s="32"/>
      <c r="N1013" s="18"/>
      <c r="O1013" s="32"/>
      <c r="P1013" s="32"/>
      <c r="Q1013" s="18"/>
      <c r="R1013" s="32"/>
      <c r="S1013" s="32"/>
      <c r="T1013" s="18"/>
      <c r="U1013" s="32"/>
      <c r="V1013" s="32"/>
      <c r="W1013" s="18"/>
      <c r="X1013" s="32"/>
      <c r="Y1013" s="32"/>
      <c r="Z1013" s="18"/>
      <c r="AA1013" s="32"/>
      <c r="AB1013" s="32"/>
      <c r="AC1013" s="18"/>
      <c r="AD1013" s="32"/>
      <c r="AE1013" s="32"/>
      <c r="AF1013" s="18"/>
    </row>
    <row r="1014" spans="2:32" ht="15" customHeight="1" x14ac:dyDescent="0.3">
      <c r="B1014" s="5"/>
      <c r="C1014" s="5"/>
      <c r="D1014" s="5"/>
      <c r="E1014" s="5"/>
      <c r="F1014" s="5"/>
      <c r="G1014" s="5"/>
      <c r="H1014" s="22"/>
      <c r="I1014" s="32"/>
      <c r="J1014" s="32"/>
      <c r="K1014" s="19"/>
      <c r="L1014" s="32"/>
      <c r="M1014" s="32"/>
      <c r="N1014" s="18"/>
      <c r="O1014" s="32"/>
      <c r="P1014" s="32"/>
      <c r="Q1014" s="18"/>
      <c r="R1014" s="32"/>
      <c r="S1014" s="32"/>
      <c r="T1014" s="18"/>
      <c r="U1014" s="32"/>
      <c r="V1014" s="32"/>
      <c r="W1014" s="18"/>
      <c r="X1014" s="32"/>
      <c r="Y1014" s="32"/>
      <c r="Z1014" s="18"/>
      <c r="AA1014" s="32"/>
      <c r="AB1014" s="32"/>
      <c r="AC1014" s="18"/>
      <c r="AD1014" s="32"/>
      <c r="AE1014" s="32"/>
      <c r="AF1014" s="18"/>
    </row>
    <row r="1015" spans="2:32" ht="15" customHeight="1" x14ac:dyDescent="0.3">
      <c r="B1015" s="5"/>
      <c r="C1015" s="5"/>
      <c r="D1015" s="5"/>
      <c r="E1015" s="5"/>
      <c r="F1015" s="5"/>
      <c r="G1015" s="5"/>
      <c r="H1015" s="22"/>
      <c r="I1015" s="32"/>
      <c r="J1015" s="32"/>
      <c r="K1015" s="19"/>
      <c r="L1015" s="32"/>
      <c r="M1015" s="32"/>
      <c r="N1015" s="18"/>
      <c r="O1015" s="32"/>
      <c r="P1015" s="32"/>
      <c r="Q1015" s="18"/>
      <c r="R1015" s="32"/>
      <c r="S1015" s="32"/>
      <c r="T1015" s="18"/>
      <c r="U1015" s="32"/>
      <c r="V1015" s="32"/>
      <c r="W1015" s="18"/>
      <c r="X1015" s="32"/>
      <c r="Y1015" s="32"/>
      <c r="Z1015" s="18"/>
      <c r="AA1015" s="32"/>
      <c r="AB1015" s="32"/>
      <c r="AC1015" s="18"/>
      <c r="AD1015" s="32"/>
      <c r="AE1015" s="32"/>
      <c r="AF1015" s="18"/>
    </row>
    <row r="1016" spans="2:32" ht="15" customHeight="1" x14ac:dyDescent="0.3">
      <c r="B1016" s="5"/>
      <c r="C1016" s="5"/>
      <c r="D1016" s="5"/>
      <c r="E1016" s="5"/>
      <c r="F1016" s="5"/>
      <c r="G1016" s="5"/>
      <c r="H1016" s="22"/>
      <c r="I1016" s="32"/>
      <c r="J1016" s="32"/>
      <c r="K1016" s="19"/>
      <c r="L1016" s="32"/>
      <c r="M1016" s="32"/>
      <c r="N1016" s="18"/>
      <c r="O1016" s="32"/>
      <c r="P1016" s="32"/>
      <c r="Q1016" s="18"/>
      <c r="R1016" s="32"/>
      <c r="S1016" s="32"/>
      <c r="T1016" s="18"/>
      <c r="U1016" s="32"/>
      <c r="V1016" s="32"/>
      <c r="W1016" s="18"/>
      <c r="X1016" s="32"/>
      <c r="Y1016" s="32"/>
      <c r="Z1016" s="18"/>
      <c r="AA1016" s="32"/>
      <c r="AB1016" s="32"/>
      <c r="AC1016" s="18"/>
      <c r="AD1016" s="32"/>
      <c r="AE1016" s="32"/>
      <c r="AF1016" s="18"/>
    </row>
    <row r="1017" spans="2:32" ht="15" customHeight="1" x14ac:dyDescent="0.3">
      <c r="B1017" s="5"/>
      <c r="C1017" s="5"/>
      <c r="D1017" s="5"/>
      <c r="E1017" s="5"/>
      <c r="F1017" s="5"/>
      <c r="G1017" s="5"/>
      <c r="H1017" s="22"/>
      <c r="I1017" s="32"/>
      <c r="J1017" s="32"/>
      <c r="K1017" s="19"/>
      <c r="L1017" s="32"/>
      <c r="M1017" s="32"/>
      <c r="N1017" s="18"/>
      <c r="O1017" s="32"/>
      <c r="P1017" s="32"/>
      <c r="Q1017" s="18"/>
      <c r="R1017" s="32"/>
      <c r="S1017" s="32"/>
      <c r="T1017" s="18"/>
      <c r="U1017" s="32"/>
      <c r="V1017" s="32"/>
      <c r="W1017" s="18"/>
      <c r="X1017" s="32"/>
      <c r="Y1017" s="32"/>
      <c r="Z1017" s="18"/>
      <c r="AA1017" s="32"/>
      <c r="AB1017" s="32"/>
      <c r="AC1017" s="18"/>
      <c r="AD1017" s="32"/>
      <c r="AE1017" s="32"/>
      <c r="AF1017" s="18"/>
    </row>
    <row r="1018" spans="2:32" ht="15" customHeight="1" x14ac:dyDescent="0.3">
      <c r="B1018" s="5"/>
      <c r="C1018" s="5"/>
      <c r="D1018" s="5"/>
      <c r="E1018" s="5"/>
      <c r="F1018" s="5"/>
      <c r="G1018" s="5"/>
      <c r="H1018" s="22"/>
      <c r="I1018" s="32"/>
      <c r="J1018" s="32"/>
      <c r="K1018" s="19"/>
      <c r="L1018" s="32"/>
      <c r="M1018" s="32"/>
      <c r="N1018" s="18"/>
      <c r="O1018" s="32"/>
      <c r="P1018" s="32"/>
      <c r="Q1018" s="18"/>
      <c r="R1018" s="32"/>
      <c r="S1018" s="32"/>
      <c r="T1018" s="18"/>
      <c r="U1018" s="32"/>
      <c r="V1018" s="32"/>
      <c r="W1018" s="18"/>
      <c r="X1018" s="32"/>
      <c r="Y1018" s="32"/>
      <c r="Z1018" s="18"/>
      <c r="AA1018" s="32"/>
      <c r="AB1018" s="32"/>
      <c r="AC1018" s="18"/>
      <c r="AD1018" s="32"/>
      <c r="AE1018" s="32"/>
      <c r="AF1018" s="18"/>
    </row>
    <row r="1019" spans="2:32" ht="15" customHeight="1" x14ac:dyDescent="0.3">
      <c r="B1019" s="5"/>
      <c r="C1019" s="5"/>
      <c r="D1019" s="5"/>
      <c r="E1019" s="5"/>
      <c r="F1019" s="5"/>
      <c r="G1019" s="5"/>
      <c r="H1019" s="22"/>
      <c r="I1019" s="32"/>
      <c r="J1019" s="32"/>
      <c r="K1019" s="19"/>
      <c r="L1019" s="32"/>
      <c r="M1019" s="32"/>
      <c r="N1019" s="18"/>
      <c r="O1019" s="32"/>
      <c r="P1019" s="32"/>
      <c r="Q1019" s="18"/>
      <c r="R1019" s="32"/>
      <c r="S1019" s="32"/>
      <c r="T1019" s="18"/>
      <c r="U1019" s="32"/>
      <c r="V1019" s="32"/>
      <c r="W1019" s="18"/>
      <c r="X1019" s="32"/>
      <c r="Y1019" s="32"/>
      <c r="Z1019" s="18"/>
      <c r="AA1019" s="32"/>
      <c r="AB1019" s="32"/>
      <c r="AC1019" s="18"/>
      <c r="AD1019" s="32"/>
      <c r="AE1019" s="32"/>
      <c r="AF1019" s="18"/>
    </row>
    <row r="1020" spans="2:32" ht="15" customHeight="1" x14ac:dyDescent="0.3">
      <c r="B1020" s="5"/>
      <c r="C1020" s="5"/>
      <c r="D1020" s="5"/>
      <c r="E1020" s="5"/>
      <c r="F1020" s="5"/>
      <c r="G1020" s="5"/>
      <c r="H1020" s="22"/>
      <c r="I1020" s="32"/>
      <c r="J1020" s="32"/>
      <c r="K1020" s="19"/>
      <c r="L1020" s="32"/>
      <c r="M1020" s="32"/>
      <c r="N1020" s="18"/>
      <c r="O1020" s="32"/>
      <c r="P1020" s="32"/>
      <c r="Q1020" s="18"/>
      <c r="R1020" s="32"/>
      <c r="S1020" s="32"/>
      <c r="T1020" s="18"/>
      <c r="U1020" s="32"/>
      <c r="V1020" s="32"/>
      <c r="W1020" s="18"/>
      <c r="X1020" s="32"/>
      <c r="Y1020" s="32"/>
      <c r="Z1020" s="18"/>
      <c r="AA1020" s="32"/>
      <c r="AB1020" s="32"/>
      <c r="AC1020" s="18"/>
      <c r="AD1020" s="32"/>
      <c r="AE1020" s="32"/>
      <c r="AF1020" s="18"/>
    </row>
    <row r="1021" spans="2:32" ht="15" customHeight="1" x14ac:dyDescent="0.3">
      <c r="B1021" s="5"/>
      <c r="C1021" s="5"/>
      <c r="D1021" s="5"/>
      <c r="E1021" s="5"/>
      <c r="F1021" s="5"/>
      <c r="G1021" s="5"/>
      <c r="H1021" s="22"/>
      <c r="I1021" s="32"/>
      <c r="J1021" s="32"/>
      <c r="K1021" s="19"/>
      <c r="L1021" s="32"/>
      <c r="M1021" s="32"/>
      <c r="N1021" s="18"/>
      <c r="O1021" s="32"/>
      <c r="P1021" s="32"/>
      <c r="Q1021" s="18"/>
      <c r="R1021" s="32"/>
      <c r="S1021" s="32"/>
      <c r="T1021" s="18"/>
      <c r="U1021" s="32"/>
      <c r="V1021" s="32"/>
      <c r="W1021" s="18"/>
      <c r="X1021" s="32"/>
      <c r="Y1021" s="32"/>
      <c r="Z1021" s="18"/>
      <c r="AA1021" s="32"/>
      <c r="AB1021" s="32"/>
      <c r="AC1021" s="18"/>
      <c r="AD1021" s="32"/>
      <c r="AE1021" s="32"/>
      <c r="AF1021" s="18"/>
    </row>
    <row r="1022" spans="2:32" ht="15" customHeight="1" x14ac:dyDescent="0.3">
      <c r="B1022" s="5"/>
      <c r="C1022" s="5"/>
      <c r="D1022" s="5"/>
      <c r="E1022" s="5"/>
      <c r="F1022" s="5"/>
      <c r="G1022" s="5"/>
      <c r="H1022" s="22"/>
      <c r="I1022" s="32"/>
      <c r="J1022" s="32"/>
      <c r="K1022" s="19"/>
      <c r="L1022" s="32"/>
      <c r="M1022" s="32"/>
      <c r="N1022" s="18"/>
      <c r="O1022" s="32"/>
      <c r="P1022" s="32"/>
      <c r="Q1022" s="18"/>
      <c r="R1022" s="32"/>
      <c r="S1022" s="32"/>
      <c r="T1022" s="18"/>
      <c r="U1022" s="32"/>
      <c r="V1022" s="32"/>
      <c r="W1022" s="18"/>
      <c r="X1022" s="32"/>
      <c r="Y1022" s="32"/>
      <c r="Z1022" s="18"/>
      <c r="AA1022" s="32"/>
      <c r="AB1022" s="32"/>
      <c r="AC1022" s="18"/>
      <c r="AD1022" s="32"/>
      <c r="AE1022" s="32"/>
      <c r="AF1022" s="18"/>
    </row>
    <row r="1023" spans="2:32" ht="15" customHeight="1" x14ac:dyDescent="0.3">
      <c r="B1023" s="5"/>
      <c r="C1023" s="5"/>
      <c r="D1023" s="5"/>
      <c r="E1023" s="5"/>
      <c r="F1023" s="5"/>
      <c r="G1023" s="5"/>
      <c r="H1023" s="22"/>
      <c r="I1023" s="32"/>
      <c r="J1023" s="32"/>
      <c r="K1023" s="19"/>
      <c r="L1023" s="32"/>
      <c r="M1023" s="32"/>
      <c r="N1023" s="18"/>
      <c r="O1023" s="32"/>
      <c r="P1023" s="32"/>
      <c r="Q1023" s="18"/>
      <c r="R1023" s="32"/>
      <c r="S1023" s="32"/>
      <c r="T1023" s="18"/>
      <c r="U1023" s="32"/>
      <c r="V1023" s="32"/>
      <c r="W1023" s="18"/>
      <c r="X1023" s="32"/>
      <c r="Y1023" s="32"/>
      <c r="Z1023" s="18"/>
      <c r="AA1023" s="32"/>
      <c r="AB1023" s="32"/>
      <c r="AC1023" s="18"/>
      <c r="AD1023" s="32"/>
      <c r="AE1023" s="32"/>
      <c r="AF1023" s="18"/>
    </row>
    <row r="1024" spans="2:32" ht="15" customHeight="1" x14ac:dyDescent="0.3">
      <c r="B1024" s="5"/>
      <c r="C1024" s="5"/>
      <c r="D1024" s="5"/>
      <c r="E1024" s="5"/>
      <c r="F1024" s="5"/>
      <c r="G1024" s="5"/>
      <c r="H1024" s="22"/>
      <c r="I1024" s="32"/>
      <c r="J1024" s="32"/>
      <c r="K1024" s="19"/>
      <c r="L1024" s="32"/>
      <c r="M1024" s="32"/>
      <c r="N1024" s="18"/>
      <c r="O1024" s="32"/>
      <c r="P1024" s="32"/>
      <c r="Q1024" s="18"/>
      <c r="R1024" s="32"/>
      <c r="S1024" s="32"/>
      <c r="T1024" s="18"/>
      <c r="U1024" s="32"/>
      <c r="V1024" s="32"/>
      <c r="W1024" s="18"/>
      <c r="X1024" s="32"/>
      <c r="Y1024" s="32"/>
      <c r="Z1024" s="18"/>
      <c r="AA1024" s="32"/>
      <c r="AB1024" s="32"/>
      <c r="AC1024" s="18"/>
      <c r="AD1024" s="32"/>
      <c r="AE1024" s="32"/>
      <c r="AF1024" s="18"/>
    </row>
    <row r="1025" spans="2:32" ht="15" customHeight="1" x14ac:dyDescent="0.3">
      <c r="B1025" s="5"/>
      <c r="C1025" s="5"/>
      <c r="D1025" s="5"/>
      <c r="E1025" s="5"/>
      <c r="F1025" s="5"/>
      <c r="G1025" s="5"/>
      <c r="H1025" s="22"/>
      <c r="I1025" s="32"/>
      <c r="J1025" s="32"/>
      <c r="K1025" s="19"/>
      <c r="L1025" s="32"/>
      <c r="M1025" s="32"/>
      <c r="N1025" s="18"/>
      <c r="O1025" s="32"/>
      <c r="P1025" s="32"/>
      <c r="Q1025" s="18"/>
      <c r="R1025" s="32"/>
      <c r="S1025" s="32"/>
      <c r="T1025" s="18"/>
      <c r="U1025" s="32"/>
      <c r="V1025" s="32"/>
      <c r="W1025" s="18"/>
      <c r="X1025" s="32"/>
      <c r="Y1025" s="32"/>
      <c r="Z1025" s="18"/>
      <c r="AA1025" s="32"/>
      <c r="AB1025" s="32"/>
      <c r="AC1025" s="18"/>
      <c r="AD1025" s="32"/>
      <c r="AE1025" s="32"/>
      <c r="AF1025" s="18"/>
    </row>
    <row r="1026" spans="2:32" ht="15" customHeight="1" x14ac:dyDescent="0.3">
      <c r="B1026" s="5"/>
      <c r="C1026" s="5"/>
      <c r="D1026" s="5"/>
      <c r="E1026" s="5"/>
      <c r="F1026" s="5"/>
      <c r="G1026" s="5"/>
      <c r="H1026" s="22"/>
      <c r="I1026" s="32"/>
      <c r="J1026" s="32"/>
      <c r="K1026" s="19"/>
      <c r="L1026" s="32"/>
      <c r="M1026" s="32"/>
      <c r="N1026" s="18"/>
      <c r="O1026" s="32"/>
      <c r="P1026" s="32"/>
      <c r="Q1026" s="18"/>
      <c r="R1026" s="32"/>
      <c r="S1026" s="32"/>
      <c r="T1026" s="18"/>
      <c r="U1026" s="32"/>
      <c r="V1026" s="32"/>
      <c r="W1026" s="18"/>
      <c r="X1026" s="32"/>
      <c r="Y1026" s="32"/>
      <c r="Z1026" s="18"/>
      <c r="AA1026" s="32"/>
      <c r="AB1026" s="32"/>
      <c r="AC1026" s="18"/>
      <c r="AD1026" s="32"/>
      <c r="AE1026" s="32"/>
      <c r="AF1026" s="18"/>
    </row>
    <row r="1027" spans="2:32" ht="15" customHeight="1" x14ac:dyDescent="0.3">
      <c r="B1027" s="5"/>
      <c r="C1027" s="5"/>
      <c r="D1027" s="5"/>
      <c r="E1027" s="5"/>
      <c r="F1027" s="5"/>
      <c r="G1027" s="5"/>
      <c r="H1027" s="22"/>
      <c r="I1027" s="32"/>
      <c r="J1027" s="32"/>
      <c r="K1027" s="19"/>
      <c r="L1027" s="32"/>
      <c r="M1027" s="32"/>
      <c r="N1027" s="18"/>
      <c r="O1027" s="32"/>
      <c r="P1027" s="32"/>
      <c r="Q1027" s="18"/>
      <c r="R1027" s="32"/>
      <c r="S1027" s="32"/>
      <c r="T1027" s="18"/>
      <c r="U1027" s="32"/>
      <c r="V1027" s="32"/>
      <c r="W1027" s="18"/>
      <c r="X1027" s="32"/>
      <c r="Y1027" s="32"/>
      <c r="Z1027" s="18"/>
      <c r="AA1027" s="32"/>
      <c r="AB1027" s="32"/>
      <c r="AC1027" s="18"/>
      <c r="AD1027" s="32"/>
      <c r="AE1027" s="32"/>
      <c r="AF1027" s="18"/>
    </row>
    <row r="1028" spans="2:32" ht="15" customHeight="1" x14ac:dyDescent="0.3">
      <c r="B1028" s="5"/>
      <c r="C1028" s="5"/>
      <c r="D1028" s="5"/>
      <c r="E1028" s="5"/>
      <c r="F1028" s="5"/>
      <c r="G1028" s="5"/>
      <c r="H1028" s="22"/>
      <c r="I1028" s="32"/>
      <c r="J1028" s="32"/>
      <c r="K1028" s="19"/>
      <c r="L1028" s="32"/>
      <c r="M1028" s="32"/>
      <c r="N1028" s="18"/>
      <c r="O1028" s="32"/>
      <c r="P1028" s="32"/>
      <c r="Q1028" s="18"/>
      <c r="R1028" s="32"/>
      <c r="S1028" s="32"/>
      <c r="T1028" s="18"/>
      <c r="U1028" s="32"/>
      <c r="V1028" s="32"/>
      <c r="W1028" s="18"/>
      <c r="X1028" s="32"/>
      <c r="Y1028" s="32"/>
      <c r="Z1028" s="18"/>
      <c r="AA1028" s="32"/>
      <c r="AB1028" s="32"/>
      <c r="AC1028" s="18"/>
      <c r="AD1028" s="32"/>
      <c r="AE1028" s="32"/>
      <c r="AF1028" s="18"/>
    </row>
    <row r="1029" spans="2:32" ht="15" customHeight="1" x14ac:dyDescent="0.3">
      <c r="B1029" s="5"/>
      <c r="C1029" s="5"/>
      <c r="D1029" s="5"/>
      <c r="E1029" s="5"/>
      <c r="F1029" s="5"/>
      <c r="G1029" s="5"/>
      <c r="H1029" s="22"/>
      <c r="I1029" s="32"/>
      <c r="J1029" s="32"/>
      <c r="K1029" s="19"/>
      <c r="L1029" s="32"/>
      <c r="M1029" s="32"/>
      <c r="N1029" s="18"/>
      <c r="O1029" s="32"/>
      <c r="P1029" s="32"/>
      <c r="Q1029" s="18"/>
      <c r="R1029" s="32"/>
      <c r="S1029" s="32"/>
      <c r="T1029" s="18"/>
      <c r="U1029" s="32"/>
      <c r="V1029" s="32"/>
      <c r="W1029" s="18"/>
      <c r="X1029" s="32"/>
      <c r="Y1029" s="32"/>
      <c r="Z1029" s="18"/>
      <c r="AA1029" s="32"/>
      <c r="AB1029" s="32"/>
      <c r="AC1029" s="18"/>
      <c r="AD1029" s="32"/>
      <c r="AE1029" s="32"/>
      <c r="AF1029" s="18"/>
    </row>
    <row r="1030" spans="2:32" ht="15" customHeight="1" x14ac:dyDescent="0.3">
      <c r="B1030" s="5"/>
      <c r="C1030" s="5"/>
      <c r="D1030" s="5"/>
      <c r="E1030" s="5"/>
      <c r="F1030" s="5"/>
      <c r="G1030" s="5"/>
      <c r="H1030" s="22"/>
      <c r="I1030" s="32"/>
      <c r="J1030" s="32"/>
      <c r="K1030" s="19"/>
      <c r="L1030" s="32"/>
      <c r="M1030" s="32"/>
      <c r="N1030" s="18"/>
      <c r="O1030" s="32"/>
      <c r="P1030" s="32"/>
      <c r="Q1030" s="18"/>
      <c r="R1030" s="32"/>
      <c r="S1030" s="32"/>
      <c r="T1030" s="18"/>
      <c r="U1030" s="32"/>
      <c r="V1030" s="32"/>
      <c r="W1030" s="18"/>
      <c r="X1030" s="32"/>
      <c r="Y1030" s="32"/>
      <c r="Z1030" s="18"/>
      <c r="AA1030" s="32"/>
      <c r="AB1030" s="32"/>
      <c r="AC1030" s="18"/>
      <c r="AD1030" s="32"/>
      <c r="AE1030" s="32"/>
      <c r="AF1030" s="18"/>
    </row>
    <row r="1031" spans="2:32" ht="15" customHeight="1" x14ac:dyDescent="0.3">
      <c r="B1031" s="5"/>
      <c r="C1031" s="5"/>
      <c r="D1031" s="5"/>
      <c r="E1031" s="5"/>
      <c r="F1031" s="5"/>
      <c r="G1031" s="5"/>
      <c r="H1031" s="22"/>
      <c r="I1031" s="32"/>
      <c r="J1031" s="32"/>
      <c r="K1031" s="19"/>
      <c r="L1031" s="32"/>
      <c r="M1031" s="32"/>
      <c r="N1031" s="18"/>
      <c r="O1031" s="32"/>
      <c r="P1031" s="32"/>
      <c r="Q1031" s="18"/>
      <c r="R1031" s="32"/>
      <c r="S1031" s="32"/>
      <c r="T1031" s="18"/>
      <c r="U1031" s="32"/>
      <c r="V1031" s="32"/>
      <c r="W1031" s="18"/>
      <c r="X1031" s="32"/>
      <c r="Y1031" s="32"/>
      <c r="Z1031" s="18"/>
      <c r="AA1031" s="32"/>
      <c r="AB1031" s="32"/>
      <c r="AC1031" s="18"/>
      <c r="AD1031" s="32"/>
      <c r="AE1031" s="32"/>
      <c r="AF1031" s="18"/>
    </row>
    <row r="1032" spans="2:32" ht="15" customHeight="1" x14ac:dyDescent="0.3">
      <c r="B1032" s="5"/>
      <c r="C1032" s="5"/>
      <c r="D1032" s="5"/>
      <c r="E1032" s="5"/>
      <c r="F1032" s="5"/>
      <c r="G1032" s="5"/>
      <c r="H1032" s="22"/>
      <c r="I1032" s="32"/>
      <c r="J1032" s="32"/>
      <c r="K1032" s="19"/>
      <c r="L1032" s="32"/>
      <c r="M1032" s="32"/>
      <c r="N1032" s="18"/>
      <c r="O1032" s="32"/>
      <c r="P1032" s="32"/>
      <c r="Q1032" s="18"/>
      <c r="R1032" s="32"/>
      <c r="S1032" s="32"/>
      <c r="T1032" s="18"/>
      <c r="U1032" s="32"/>
      <c r="V1032" s="32"/>
      <c r="W1032" s="18"/>
      <c r="X1032" s="32"/>
      <c r="Y1032" s="32"/>
      <c r="Z1032" s="18"/>
      <c r="AA1032" s="32"/>
      <c r="AB1032" s="32"/>
      <c r="AC1032" s="18"/>
      <c r="AD1032" s="32"/>
      <c r="AE1032" s="32"/>
      <c r="AF1032" s="18"/>
    </row>
    <row r="1033" spans="2:32" ht="15" customHeight="1" x14ac:dyDescent="0.3">
      <c r="B1033" s="5"/>
      <c r="C1033" s="5"/>
      <c r="D1033" s="5"/>
      <c r="E1033" s="5"/>
      <c r="F1033" s="5"/>
      <c r="G1033" s="5"/>
      <c r="H1033" s="22"/>
      <c r="I1033" s="32"/>
      <c r="J1033" s="32"/>
      <c r="K1033" s="19"/>
      <c r="L1033" s="32"/>
      <c r="M1033" s="32"/>
      <c r="N1033" s="18"/>
      <c r="O1033" s="32"/>
      <c r="P1033" s="32"/>
      <c r="Q1033" s="18"/>
      <c r="R1033" s="32"/>
      <c r="S1033" s="32"/>
      <c r="T1033" s="18"/>
      <c r="U1033" s="32"/>
      <c r="V1033" s="32"/>
      <c r="W1033" s="18"/>
      <c r="X1033" s="32"/>
      <c r="Y1033" s="32"/>
      <c r="Z1033" s="18"/>
      <c r="AA1033" s="32"/>
      <c r="AB1033" s="32"/>
      <c r="AC1033" s="18"/>
      <c r="AD1033" s="32"/>
      <c r="AE1033" s="32"/>
      <c r="AF1033" s="18"/>
    </row>
    <row r="1034" spans="2:32" ht="15" customHeight="1" x14ac:dyDescent="0.3">
      <c r="B1034" s="5"/>
      <c r="C1034" s="5"/>
      <c r="D1034" s="5"/>
      <c r="E1034" s="5"/>
      <c r="F1034" s="5"/>
      <c r="G1034" s="5"/>
      <c r="H1034" s="22"/>
      <c r="I1034" s="32"/>
      <c r="J1034" s="32"/>
      <c r="K1034" s="19"/>
      <c r="L1034" s="32"/>
      <c r="M1034" s="32"/>
      <c r="N1034" s="18"/>
      <c r="O1034" s="32"/>
      <c r="P1034" s="32"/>
      <c r="Q1034" s="18"/>
      <c r="R1034" s="32"/>
      <c r="S1034" s="32"/>
      <c r="T1034" s="18"/>
      <c r="U1034" s="32"/>
      <c r="V1034" s="32"/>
      <c r="W1034" s="18"/>
      <c r="X1034" s="32"/>
      <c r="Y1034" s="32"/>
      <c r="Z1034" s="18"/>
      <c r="AA1034" s="32"/>
      <c r="AB1034" s="32"/>
      <c r="AC1034" s="18"/>
      <c r="AD1034" s="32"/>
      <c r="AE1034" s="32"/>
      <c r="AF1034" s="18"/>
    </row>
    <row r="1035" spans="2:32" ht="15" customHeight="1" x14ac:dyDescent="0.3">
      <c r="B1035" s="5"/>
      <c r="C1035" s="5"/>
      <c r="D1035" s="5"/>
      <c r="E1035" s="5"/>
      <c r="F1035" s="5"/>
      <c r="G1035" s="5"/>
      <c r="H1035" s="22"/>
      <c r="I1035" s="32"/>
      <c r="J1035" s="32"/>
      <c r="K1035" s="19"/>
      <c r="L1035" s="32"/>
      <c r="M1035" s="32"/>
      <c r="N1035" s="18"/>
      <c r="O1035" s="32"/>
      <c r="P1035" s="32"/>
      <c r="Q1035" s="18"/>
      <c r="R1035" s="32"/>
      <c r="S1035" s="32"/>
      <c r="T1035" s="18"/>
      <c r="U1035" s="32"/>
      <c r="V1035" s="32"/>
      <c r="W1035" s="18"/>
      <c r="X1035" s="32"/>
      <c r="Y1035" s="32"/>
      <c r="Z1035" s="18"/>
      <c r="AA1035" s="32"/>
      <c r="AB1035" s="32"/>
      <c r="AC1035" s="18"/>
      <c r="AD1035" s="32"/>
      <c r="AE1035" s="32"/>
      <c r="AF1035" s="18"/>
    </row>
    <row r="1036" spans="2:32" ht="15" customHeight="1" x14ac:dyDescent="0.3">
      <c r="B1036" s="5"/>
      <c r="C1036" s="5"/>
      <c r="D1036" s="5"/>
      <c r="E1036" s="5"/>
      <c r="F1036" s="5"/>
      <c r="G1036" s="5"/>
      <c r="H1036" s="22"/>
      <c r="I1036" s="32"/>
      <c r="J1036" s="32"/>
      <c r="K1036" s="19"/>
      <c r="L1036" s="32"/>
      <c r="M1036" s="32"/>
      <c r="N1036" s="18"/>
      <c r="O1036" s="32"/>
      <c r="P1036" s="32"/>
      <c r="Q1036" s="18"/>
      <c r="R1036" s="32"/>
      <c r="S1036" s="32"/>
      <c r="T1036" s="18"/>
      <c r="U1036" s="32"/>
      <c r="V1036" s="32"/>
      <c r="W1036" s="18"/>
      <c r="X1036" s="32"/>
      <c r="Y1036" s="32"/>
      <c r="Z1036" s="18"/>
      <c r="AA1036" s="32"/>
      <c r="AB1036" s="32"/>
      <c r="AC1036" s="18"/>
      <c r="AD1036" s="32"/>
      <c r="AE1036" s="32"/>
      <c r="AF1036" s="18"/>
    </row>
    <row r="1037" spans="2:32" ht="15" customHeight="1" x14ac:dyDescent="0.3">
      <c r="B1037" s="5"/>
      <c r="C1037" s="5"/>
      <c r="D1037" s="5"/>
      <c r="E1037" s="5"/>
      <c r="F1037" s="5"/>
      <c r="G1037" s="5"/>
      <c r="H1037" s="22"/>
      <c r="I1037" s="32"/>
      <c r="J1037" s="32"/>
      <c r="K1037" s="19"/>
      <c r="L1037" s="32"/>
      <c r="M1037" s="32"/>
      <c r="N1037" s="18"/>
      <c r="O1037" s="32"/>
      <c r="P1037" s="32"/>
      <c r="Q1037" s="18"/>
      <c r="R1037" s="32"/>
      <c r="S1037" s="32"/>
      <c r="T1037" s="18"/>
      <c r="U1037" s="32"/>
      <c r="V1037" s="32"/>
      <c r="W1037" s="18"/>
      <c r="X1037" s="32"/>
      <c r="Y1037" s="32"/>
      <c r="Z1037" s="18"/>
      <c r="AA1037" s="32"/>
      <c r="AB1037" s="32"/>
      <c r="AC1037" s="18"/>
      <c r="AD1037" s="32"/>
      <c r="AE1037" s="32"/>
      <c r="AF1037" s="18"/>
    </row>
    <row r="1038" spans="2:32" ht="15" customHeight="1" x14ac:dyDescent="0.3">
      <c r="B1038" s="5"/>
      <c r="C1038" s="5"/>
      <c r="D1038" s="5"/>
      <c r="E1038" s="5"/>
      <c r="F1038" s="5"/>
      <c r="G1038" s="5"/>
      <c r="H1038" s="22"/>
      <c r="I1038" s="32"/>
      <c r="J1038" s="32"/>
      <c r="K1038" s="19"/>
      <c r="L1038" s="32"/>
      <c r="M1038" s="32"/>
      <c r="N1038" s="18"/>
      <c r="O1038" s="32"/>
      <c r="P1038" s="32"/>
      <c r="Q1038" s="18"/>
      <c r="R1038" s="32"/>
      <c r="S1038" s="32"/>
      <c r="T1038" s="18"/>
      <c r="U1038" s="32"/>
      <c r="V1038" s="32"/>
      <c r="W1038" s="18"/>
      <c r="X1038" s="32"/>
      <c r="Y1038" s="32"/>
      <c r="Z1038" s="18"/>
      <c r="AA1038" s="32"/>
      <c r="AB1038" s="32"/>
      <c r="AC1038" s="18"/>
      <c r="AD1038" s="32"/>
      <c r="AE1038" s="32"/>
      <c r="AF1038" s="18"/>
    </row>
    <row r="1039" spans="2:32" ht="15" customHeight="1" x14ac:dyDescent="0.3">
      <c r="B1039" s="5"/>
      <c r="C1039" s="5"/>
      <c r="D1039" s="5"/>
      <c r="E1039" s="5"/>
      <c r="F1039" s="5"/>
      <c r="G1039" s="5"/>
      <c r="H1039" s="22"/>
      <c r="I1039" s="32"/>
      <c r="J1039" s="32"/>
      <c r="K1039" s="19"/>
      <c r="L1039" s="32"/>
      <c r="M1039" s="32"/>
      <c r="N1039" s="18"/>
      <c r="O1039" s="32"/>
      <c r="P1039" s="32"/>
      <c r="Q1039" s="18"/>
      <c r="R1039" s="32"/>
      <c r="S1039" s="32"/>
      <c r="T1039" s="18"/>
      <c r="U1039" s="32"/>
      <c r="V1039" s="32"/>
      <c r="W1039" s="18"/>
      <c r="X1039" s="32"/>
      <c r="Y1039" s="32"/>
      <c r="Z1039" s="18"/>
      <c r="AA1039" s="32"/>
      <c r="AB1039" s="32"/>
      <c r="AC1039" s="18"/>
      <c r="AD1039" s="32"/>
      <c r="AE1039" s="32"/>
      <c r="AF1039" s="18"/>
    </row>
    <row r="1040" spans="2:32" ht="15" customHeight="1" x14ac:dyDescent="0.3">
      <c r="B1040" s="5"/>
      <c r="C1040" s="5"/>
      <c r="D1040" s="5"/>
      <c r="E1040" s="5"/>
      <c r="F1040" s="5"/>
      <c r="G1040" s="5"/>
      <c r="H1040" s="22"/>
      <c r="I1040" s="32"/>
      <c r="J1040" s="32"/>
      <c r="K1040" s="19"/>
      <c r="L1040" s="32"/>
      <c r="M1040" s="32"/>
      <c r="N1040" s="18"/>
      <c r="O1040" s="32"/>
      <c r="P1040" s="32"/>
      <c r="Q1040" s="18"/>
      <c r="R1040" s="32"/>
      <c r="S1040" s="32"/>
      <c r="T1040" s="18"/>
      <c r="U1040" s="32"/>
      <c r="V1040" s="32"/>
      <c r="W1040" s="18"/>
      <c r="X1040" s="32"/>
      <c r="Y1040" s="32"/>
      <c r="Z1040" s="18"/>
      <c r="AA1040" s="32"/>
      <c r="AB1040" s="32"/>
      <c r="AC1040" s="18"/>
      <c r="AD1040" s="32"/>
      <c r="AE1040" s="32"/>
      <c r="AF1040" s="18"/>
    </row>
    <row r="1041" spans="2:32" ht="15" customHeight="1" x14ac:dyDescent="0.3">
      <c r="B1041" s="5"/>
      <c r="C1041" s="5"/>
      <c r="D1041" s="5"/>
      <c r="E1041" s="5"/>
      <c r="F1041" s="5"/>
      <c r="G1041" s="5"/>
      <c r="H1041" s="22"/>
      <c r="I1041" s="32"/>
      <c r="J1041" s="32"/>
      <c r="K1041" s="19"/>
      <c r="L1041" s="32"/>
      <c r="M1041" s="32"/>
      <c r="N1041" s="18"/>
      <c r="O1041" s="32"/>
      <c r="P1041" s="32"/>
      <c r="Q1041" s="18"/>
      <c r="R1041" s="32"/>
      <c r="S1041" s="32"/>
      <c r="T1041" s="18"/>
      <c r="U1041" s="32"/>
      <c r="V1041" s="32"/>
      <c r="W1041" s="18"/>
      <c r="X1041" s="32"/>
      <c r="Y1041" s="32"/>
      <c r="Z1041" s="18"/>
      <c r="AA1041" s="32"/>
      <c r="AB1041" s="32"/>
      <c r="AC1041" s="18"/>
      <c r="AD1041" s="32"/>
      <c r="AE1041" s="32"/>
      <c r="AF1041" s="18"/>
    </row>
    <row r="1042" spans="2:32" ht="15" customHeight="1" x14ac:dyDescent="0.3">
      <c r="B1042" s="5"/>
      <c r="C1042" s="5"/>
      <c r="D1042" s="5"/>
      <c r="E1042" s="5"/>
      <c r="F1042" s="5"/>
      <c r="G1042" s="5"/>
      <c r="H1042" s="22"/>
      <c r="I1042" s="32"/>
      <c r="J1042" s="32"/>
      <c r="K1042" s="19"/>
      <c r="L1042" s="32"/>
      <c r="M1042" s="32"/>
      <c r="N1042" s="18"/>
      <c r="O1042" s="32"/>
      <c r="P1042" s="32"/>
      <c r="Q1042" s="18"/>
      <c r="R1042" s="32"/>
      <c r="S1042" s="32"/>
      <c r="T1042" s="18"/>
      <c r="U1042" s="32"/>
      <c r="V1042" s="32"/>
      <c r="W1042" s="18"/>
      <c r="X1042" s="32"/>
      <c r="Y1042" s="32"/>
      <c r="Z1042" s="18"/>
      <c r="AA1042" s="32"/>
      <c r="AB1042" s="32"/>
      <c r="AC1042" s="18"/>
      <c r="AD1042" s="32"/>
      <c r="AE1042" s="32"/>
      <c r="AF1042" s="18"/>
    </row>
    <row r="1043" spans="2:32" ht="15" customHeight="1" x14ac:dyDescent="0.3">
      <c r="B1043" s="5"/>
      <c r="C1043" s="5"/>
      <c r="D1043" s="5"/>
      <c r="E1043" s="5"/>
      <c r="F1043" s="5"/>
      <c r="G1043" s="5"/>
      <c r="H1043" s="22"/>
      <c r="I1043" s="32"/>
      <c r="J1043" s="32"/>
      <c r="K1043" s="19"/>
      <c r="L1043" s="32"/>
      <c r="M1043" s="32"/>
      <c r="N1043" s="18"/>
      <c r="O1043" s="32"/>
      <c r="P1043" s="32"/>
      <c r="Q1043" s="18"/>
      <c r="R1043" s="32"/>
      <c r="S1043" s="32"/>
      <c r="T1043" s="18"/>
      <c r="U1043" s="32"/>
      <c r="V1043" s="32"/>
      <c r="W1043" s="18"/>
      <c r="X1043" s="32"/>
      <c r="Y1043" s="32"/>
      <c r="Z1043" s="18"/>
      <c r="AA1043" s="32"/>
      <c r="AB1043" s="32"/>
      <c r="AC1043" s="18"/>
      <c r="AD1043" s="32"/>
      <c r="AE1043" s="32"/>
      <c r="AF1043" s="18"/>
    </row>
    <row r="1044" spans="2:32" ht="15" customHeight="1" x14ac:dyDescent="0.3">
      <c r="B1044" s="5"/>
      <c r="C1044" s="5"/>
      <c r="D1044" s="5"/>
      <c r="E1044" s="5"/>
      <c r="F1044" s="5"/>
      <c r="G1044" s="5"/>
      <c r="H1044" s="22"/>
      <c r="I1044" s="32"/>
      <c r="J1044" s="32"/>
      <c r="K1044" s="19"/>
      <c r="L1044" s="32"/>
      <c r="M1044" s="32"/>
      <c r="N1044" s="18"/>
      <c r="O1044" s="32"/>
      <c r="P1044" s="32"/>
      <c r="Q1044" s="18"/>
      <c r="R1044" s="32"/>
      <c r="S1044" s="32"/>
      <c r="T1044" s="18"/>
      <c r="U1044" s="32"/>
      <c r="V1044" s="32"/>
      <c r="W1044" s="18"/>
      <c r="X1044" s="32"/>
      <c r="Y1044" s="32"/>
      <c r="Z1044" s="18"/>
      <c r="AA1044" s="32"/>
      <c r="AB1044" s="32"/>
      <c r="AC1044" s="18"/>
      <c r="AD1044" s="32"/>
      <c r="AE1044" s="32"/>
      <c r="AF1044" s="18"/>
    </row>
    <row r="1045" spans="2:32" ht="15" customHeight="1" x14ac:dyDescent="0.3">
      <c r="B1045" s="5"/>
      <c r="C1045" s="5"/>
      <c r="D1045" s="5"/>
      <c r="E1045" s="5"/>
      <c r="F1045" s="5"/>
      <c r="G1045" s="5"/>
      <c r="H1045" s="22"/>
      <c r="I1045" s="32"/>
      <c r="J1045" s="32"/>
      <c r="K1045" s="19"/>
      <c r="L1045" s="32"/>
      <c r="M1045" s="32"/>
      <c r="N1045" s="18"/>
      <c r="O1045" s="32"/>
      <c r="P1045" s="32"/>
      <c r="Q1045" s="18"/>
      <c r="R1045" s="32"/>
      <c r="S1045" s="32"/>
      <c r="T1045" s="18"/>
      <c r="U1045" s="32"/>
      <c r="V1045" s="32"/>
      <c r="W1045" s="18"/>
      <c r="X1045" s="32"/>
      <c r="Y1045" s="32"/>
      <c r="Z1045" s="18"/>
      <c r="AA1045" s="32"/>
      <c r="AB1045" s="32"/>
      <c r="AC1045" s="18"/>
      <c r="AD1045" s="32"/>
      <c r="AE1045" s="32"/>
      <c r="AF1045" s="18"/>
    </row>
    <row r="1046" spans="2:32" ht="15" customHeight="1" x14ac:dyDescent="0.3">
      <c r="B1046" s="5"/>
      <c r="C1046" s="5"/>
      <c r="D1046" s="5"/>
      <c r="E1046" s="5"/>
      <c r="F1046" s="5"/>
      <c r="G1046" s="5"/>
      <c r="H1046" s="22"/>
      <c r="I1046" s="32"/>
      <c r="J1046" s="32"/>
      <c r="K1046" s="19"/>
      <c r="L1046" s="32"/>
      <c r="M1046" s="32"/>
      <c r="N1046" s="18"/>
      <c r="O1046" s="32"/>
      <c r="P1046" s="32"/>
      <c r="Q1046" s="18"/>
      <c r="R1046" s="32"/>
      <c r="S1046" s="32"/>
      <c r="T1046" s="18"/>
      <c r="U1046" s="32"/>
      <c r="V1046" s="32"/>
      <c r="W1046" s="18"/>
      <c r="X1046" s="32"/>
      <c r="Y1046" s="32"/>
      <c r="Z1046" s="18"/>
      <c r="AA1046" s="32"/>
      <c r="AB1046" s="32"/>
      <c r="AC1046" s="18"/>
      <c r="AD1046" s="32"/>
      <c r="AE1046" s="32"/>
      <c r="AF1046" s="18"/>
    </row>
    <row r="1047" spans="2:32" ht="15" customHeight="1" x14ac:dyDescent="0.3">
      <c r="B1047" s="5"/>
      <c r="C1047" s="5"/>
      <c r="D1047" s="5"/>
      <c r="E1047" s="5"/>
      <c r="F1047" s="5"/>
      <c r="G1047" s="5"/>
      <c r="H1047" s="22"/>
      <c r="I1047" s="32"/>
      <c r="J1047" s="32"/>
      <c r="K1047" s="19"/>
      <c r="L1047" s="32"/>
      <c r="M1047" s="32"/>
      <c r="N1047" s="18"/>
      <c r="O1047" s="32"/>
      <c r="P1047" s="32"/>
      <c r="Q1047" s="18"/>
      <c r="R1047" s="32"/>
      <c r="S1047" s="32"/>
      <c r="T1047" s="18"/>
      <c r="U1047" s="32"/>
      <c r="V1047" s="32"/>
      <c r="W1047" s="18"/>
      <c r="X1047" s="32"/>
      <c r="Y1047" s="32"/>
      <c r="Z1047" s="18"/>
      <c r="AA1047" s="32"/>
      <c r="AB1047" s="32"/>
      <c r="AC1047" s="18"/>
      <c r="AD1047" s="32"/>
      <c r="AE1047" s="32"/>
      <c r="AF1047" s="18"/>
    </row>
    <row r="1048" spans="2:32" ht="15" customHeight="1" x14ac:dyDescent="0.3">
      <c r="B1048" s="5"/>
      <c r="C1048" s="5"/>
      <c r="D1048" s="5"/>
      <c r="E1048" s="5"/>
      <c r="F1048" s="5"/>
      <c r="G1048" s="5"/>
      <c r="H1048" s="22"/>
      <c r="I1048" s="32"/>
      <c r="J1048" s="32"/>
      <c r="K1048" s="19"/>
      <c r="L1048" s="32"/>
      <c r="M1048" s="32"/>
      <c r="N1048" s="18"/>
      <c r="O1048" s="32"/>
      <c r="P1048" s="32"/>
      <c r="Q1048" s="18"/>
      <c r="R1048" s="32"/>
      <c r="S1048" s="32"/>
      <c r="T1048" s="18"/>
      <c r="U1048" s="32"/>
      <c r="V1048" s="32"/>
      <c r="W1048" s="18"/>
      <c r="X1048" s="32"/>
      <c r="Y1048" s="32"/>
      <c r="Z1048" s="18"/>
      <c r="AA1048" s="32"/>
      <c r="AB1048" s="32"/>
      <c r="AC1048" s="18"/>
      <c r="AD1048" s="32"/>
      <c r="AE1048" s="32"/>
      <c r="AF1048" s="18"/>
    </row>
    <row r="1049" spans="2:32" ht="15" customHeight="1" x14ac:dyDescent="0.3">
      <c r="B1049" s="5"/>
      <c r="C1049" s="5"/>
      <c r="D1049" s="5"/>
      <c r="E1049" s="5"/>
      <c r="F1049" s="5"/>
      <c r="G1049" s="5"/>
      <c r="H1049" s="22"/>
      <c r="I1049" s="32"/>
      <c r="J1049" s="32"/>
      <c r="K1049" s="19"/>
      <c r="L1049" s="32"/>
      <c r="M1049" s="32"/>
      <c r="N1049" s="18"/>
      <c r="O1049" s="32"/>
      <c r="P1049" s="32"/>
      <c r="Q1049" s="18"/>
      <c r="R1049" s="32"/>
      <c r="S1049" s="32"/>
      <c r="T1049" s="18"/>
      <c r="U1049" s="32"/>
      <c r="V1049" s="32"/>
      <c r="W1049" s="18"/>
      <c r="X1049" s="32"/>
      <c r="Y1049" s="32"/>
      <c r="Z1049" s="18"/>
      <c r="AA1049" s="32"/>
      <c r="AB1049" s="32"/>
      <c r="AC1049" s="18"/>
      <c r="AD1049" s="32"/>
      <c r="AE1049" s="32"/>
      <c r="AF1049" s="18"/>
    </row>
    <row r="1050" spans="2:32" ht="15" customHeight="1" x14ac:dyDescent="0.3">
      <c r="B1050" s="5"/>
      <c r="C1050" s="5"/>
      <c r="D1050" s="5"/>
      <c r="E1050" s="5"/>
      <c r="F1050" s="5"/>
      <c r="G1050" s="5"/>
      <c r="H1050" s="22"/>
      <c r="I1050" s="32"/>
      <c r="J1050" s="32"/>
      <c r="K1050" s="19"/>
      <c r="L1050" s="32"/>
      <c r="M1050" s="32"/>
      <c r="N1050" s="18"/>
      <c r="O1050" s="32"/>
      <c r="P1050" s="32"/>
      <c r="Q1050" s="18"/>
      <c r="R1050" s="32"/>
      <c r="S1050" s="32"/>
      <c r="T1050" s="18"/>
      <c r="U1050" s="32"/>
      <c r="V1050" s="32"/>
      <c r="W1050" s="18"/>
      <c r="X1050" s="32"/>
      <c r="Y1050" s="32"/>
      <c r="Z1050" s="18"/>
      <c r="AA1050" s="32"/>
      <c r="AB1050" s="32"/>
      <c r="AC1050" s="18"/>
      <c r="AD1050" s="32"/>
      <c r="AE1050" s="32"/>
      <c r="AF1050" s="18"/>
    </row>
    <row r="1051" spans="2:32" ht="15" customHeight="1" x14ac:dyDescent="0.3">
      <c r="B1051" s="5"/>
      <c r="C1051" s="5"/>
      <c r="D1051" s="5"/>
      <c r="E1051" s="5"/>
      <c r="F1051" s="5"/>
      <c r="G1051" s="5"/>
      <c r="H1051" s="22"/>
      <c r="I1051" s="32"/>
      <c r="J1051" s="32"/>
      <c r="K1051" s="19"/>
      <c r="L1051" s="32"/>
      <c r="M1051" s="32"/>
      <c r="N1051" s="18"/>
      <c r="O1051" s="32"/>
      <c r="P1051" s="32"/>
      <c r="Q1051" s="18"/>
      <c r="R1051" s="32"/>
      <c r="S1051" s="32"/>
      <c r="T1051" s="18"/>
      <c r="U1051" s="32"/>
      <c r="V1051" s="32"/>
      <c r="W1051" s="18"/>
      <c r="X1051" s="32"/>
      <c r="Y1051" s="32"/>
      <c r="Z1051" s="18"/>
      <c r="AA1051" s="32"/>
      <c r="AB1051" s="32"/>
      <c r="AC1051" s="18"/>
      <c r="AD1051" s="32"/>
      <c r="AE1051" s="32"/>
      <c r="AF1051" s="18"/>
    </row>
    <row r="1052" spans="2:32" ht="15" customHeight="1" x14ac:dyDescent="0.3">
      <c r="B1052" s="5"/>
      <c r="C1052" s="5"/>
      <c r="D1052" s="5"/>
      <c r="E1052" s="5"/>
      <c r="F1052" s="5"/>
      <c r="G1052" s="5"/>
      <c r="H1052" s="22"/>
      <c r="I1052" s="32"/>
      <c r="J1052" s="32"/>
      <c r="K1052" s="19"/>
      <c r="L1052" s="32"/>
      <c r="M1052" s="32"/>
      <c r="N1052" s="18"/>
      <c r="O1052" s="32"/>
      <c r="P1052" s="32"/>
      <c r="Q1052" s="18"/>
      <c r="R1052" s="32"/>
      <c r="S1052" s="32"/>
      <c r="T1052" s="18"/>
      <c r="U1052" s="32"/>
      <c r="V1052" s="32"/>
      <c r="W1052" s="18"/>
      <c r="X1052" s="32"/>
      <c r="Y1052" s="32"/>
      <c r="Z1052" s="18"/>
      <c r="AA1052" s="32"/>
      <c r="AB1052" s="32"/>
      <c r="AC1052" s="18"/>
      <c r="AD1052" s="32"/>
      <c r="AE1052" s="32"/>
      <c r="AF1052" s="18"/>
    </row>
    <row r="1053" spans="2:32" ht="15" customHeight="1" x14ac:dyDescent="0.3">
      <c r="B1053" s="5"/>
      <c r="C1053" s="5"/>
      <c r="D1053" s="5"/>
      <c r="E1053" s="5"/>
      <c r="F1053" s="5"/>
      <c r="G1053" s="5"/>
      <c r="H1053" s="22"/>
      <c r="I1053" s="32"/>
      <c r="J1053" s="32"/>
      <c r="K1053" s="19"/>
      <c r="L1053" s="32"/>
      <c r="M1053" s="32"/>
      <c r="N1053" s="18"/>
      <c r="O1053" s="32"/>
      <c r="P1053" s="32"/>
      <c r="Q1053" s="18"/>
      <c r="R1053" s="32"/>
      <c r="S1053" s="32"/>
      <c r="T1053" s="18"/>
      <c r="U1053" s="32"/>
      <c r="V1053" s="32"/>
      <c r="W1053" s="18"/>
      <c r="X1053" s="32"/>
      <c r="Y1053" s="32"/>
      <c r="Z1053" s="18"/>
      <c r="AA1053" s="32"/>
      <c r="AB1053" s="32"/>
      <c r="AC1053" s="18"/>
      <c r="AD1053" s="32"/>
      <c r="AE1053" s="32"/>
      <c r="AF1053" s="18"/>
    </row>
    <row r="1054" spans="2:32" ht="15" customHeight="1" x14ac:dyDescent="0.3">
      <c r="B1054" s="5"/>
      <c r="C1054" s="5"/>
      <c r="D1054" s="5"/>
      <c r="E1054" s="5"/>
      <c r="F1054" s="5"/>
      <c r="G1054" s="5"/>
      <c r="H1054" s="22"/>
      <c r="I1054" s="32"/>
      <c r="J1054" s="32"/>
      <c r="K1054" s="19"/>
      <c r="L1054" s="32"/>
      <c r="M1054" s="32"/>
      <c r="N1054" s="18"/>
      <c r="O1054" s="32"/>
      <c r="P1054" s="32"/>
      <c r="Q1054" s="18"/>
      <c r="R1054" s="32"/>
      <c r="S1054" s="32"/>
      <c r="T1054" s="18"/>
      <c r="U1054" s="32"/>
      <c r="V1054" s="32"/>
      <c r="W1054" s="18"/>
      <c r="X1054" s="32"/>
      <c r="Y1054" s="32"/>
      <c r="Z1054" s="18"/>
      <c r="AA1054" s="32"/>
      <c r="AB1054" s="32"/>
      <c r="AC1054" s="18"/>
      <c r="AD1054" s="32"/>
      <c r="AE1054" s="32"/>
      <c r="AF1054" s="18"/>
    </row>
    <row r="1055" spans="2:32" ht="15" customHeight="1" x14ac:dyDescent="0.3">
      <c r="B1055" s="5"/>
      <c r="C1055" s="5"/>
      <c r="D1055" s="5"/>
      <c r="E1055" s="5"/>
      <c r="F1055" s="5"/>
      <c r="G1055" s="5"/>
      <c r="H1055" s="22"/>
      <c r="I1055" s="32"/>
      <c r="J1055" s="32"/>
      <c r="K1055" s="19"/>
      <c r="L1055" s="32"/>
      <c r="M1055" s="32"/>
      <c r="N1055" s="18"/>
      <c r="O1055" s="32"/>
      <c r="P1055" s="32"/>
      <c r="Q1055" s="18"/>
      <c r="R1055" s="32"/>
      <c r="S1055" s="32"/>
      <c r="T1055" s="18"/>
      <c r="U1055" s="32"/>
      <c r="V1055" s="32"/>
      <c r="W1055" s="18"/>
      <c r="X1055" s="32"/>
      <c r="Y1055" s="32"/>
      <c r="Z1055" s="18"/>
      <c r="AA1055" s="32"/>
      <c r="AB1055" s="32"/>
      <c r="AC1055" s="18"/>
      <c r="AD1055" s="32"/>
      <c r="AE1055" s="32"/>
      <c r="AF1055" s="18"/>
    </row>
    <row r="1056" spans="2:32" ht="15" customHeight="1" x14ac:dyDescent="0.3">
      <c r="B1056" s="5"/>
      <c r="C1056" s="5"/>
      <c r="D1056" s="5"/>
      <c r="E1056" s="5"/>
      <c r="F1056" s="5"/>
      <c r="G1056" s="5"/>
      <c r="H1056" s="22"/>
      <c r="I1056" s="32"/>
      <c r="J1056" s="32"/>
      <c r="K1056" s="19"/>
      <c r="L1056" s="32"/>
      <c r="M1056" s="32"/>
      <c r="N1056" s="18"/>
      <c r="O1056" s="32"/>
      <c r="P1056" s="32"/>
      <c r="Q1056" s="18"/>
      <c r="R1056" s="32"/>
      <c r="S1056" s="32"/>
      <c r="T1056" s="18"/>
      <c r="U1056" s="32"/>
      <c r="V1056" s="32"/>
      <c r="W1056" s="18"/>
      <c r="X1056" s="32"/>
      <c r="Y1056" s="32"/>
      <c r="Z1056" s="18"/>
      <c r="AA1056" s="32"/>
      <c r="AB1056" s="32"/>
      <c r="AC1056" s="18"/>
      <c r="AD1056" s="32"/>
      <c r="AE1056" s="32"/>
      <c r="AF1056" s="18"/>
    </row>
    <row r="1057" spans="2:32" ht="15" customHeight="1" x14ac:dyDescent="0.3">
      <c r="B1057" s="5"/>
      <c r="C1057" s="5"/>
      <c r="D1057" s="5"/>
      <c r="E1057" s="5"/>
      <c r="F1057" s="5"/>
      <c r="G1057" s="5"/>
      <c r="H1057" s="22"/>
      <c r="I1057" s="32"/>
      <c r="J1057" s="32"/>
      <c r="K1057" s="19"/>
      <c r="L1057" s="32"/>
      <c r="M1057" s="32"/>
      <c r="N1057" s="18"/>
      <c r="O1057" s="32"/>
      <c r="P1057" s="32"/>
      <c r="Q1057" s="18"/>
      <c r="R1057" s="32"/>
      <c r="S1057" s="32"/>
      <c r="T1057" s="18"/>
      <c r="U1057" s="32"/>
      <c r="V1057" s="32"/>
      <c r="W1057" s="18"/>
      <c r="X1057" s="32"/>
      <c r="Y1057" s="32"/>
      <c r="Z1057" s="18"/>
      <c r="AA1057" s="32"/>
      <c r="AB1057" s="32"/>
      <c r="AC1057" s="18"/>
      <c r="AD1057" s="32"/>
      <c r="AE1057" s="32"/>
      <c r="AF1057" s="18"/>
    </row>
    <row r="1058" spans="2:32" ht="15" customHeight="1" x14ac:dyDescent="0.3">
      <c r="B1058" s="5"/>
      <c r="C1058" s="5"/>
      <c r="D1058" s="5"/>
      <c r="E1058" s="5"/>
      <c r="F1058" s="5"/>
      <c r="G1058" s="5"/>
      <c r="H1058" s="22"/>
      <c r="I1058" s="32"/>
      <c r="J1058" s="32"/>
      <c r="K1058" s="19"/>
      <c r="L1058" s="32"/>
      <c r="M1058" s="32"/>
      <c r="N1058" s="18"/>
      <c r="O1058" s="32"/>
      <c r="P1058" s="32"/>
      <c r="Q1058" s="18"/>
      <c r="R1058" s="32"/>
      <c r="S1058" s="32"/>
      <c r="T1058" s="18"/>
      <c r="U1058" s="32"/>
      <c r="V1058" s="32"/>
      <c r="W1058" s="18"/>
      <c r="X1058" s="32"/>
      <c r="Y1058" s="32"/>
      <c r="Z1058" s="18"/>
      <c r="AA1058" s="32"/>
      <c r="AB1058" s="32"/>
      <c r="AC1058" s="18"/>
      <c r="AD1058" s="32"/>
      <c r="AE1058" s="32"/>
      <c r="AF1058" s="18"/>
    </row>
    <row r="1059" spans="2:32" ht="15" customHeight="1" x14ac:dyDescent="0.3">
      <c r="B1059" s="5"/>
      <c r="C1059" s="5"/>
      <c r="D1059" s="5"/>
      <c r="E1059" s="5"/>
      <c r="F1059" s="5"/>
      <c r="G1059" s="5"/>
      <c r="H1059" s="22"/>
      <c r="I1059" s="32"/>
      <c r="J1059" s="32"/>
      <c r="K1059" s="19"/>
      <c r="L1059" s="32"/>
      <c r="M1059" s="32"/>
      <c r="N1059" s="18"/>
      <c r="O1059" s="32"/>
      <c r="P1059" s="32"/>
      <c r="Q1059" s="18"/>
      <c r="R1059" s="32"/>
      <c r="S1059" s="32"/>
      <c r="T1059" s="18"/>
      <c r="U1059" s="32"/>
      <c r="V1059" s="32"/>
      <c r="W1059" s="18"/>
      <c r="X1059" s="32"/>
      <c r="Y1059" s="32"/>
      <c r="Z1059" s="18"/>
      <c r="AA1059" s="32"/>
      <c r="AB1059" s="32"/>
      <c r="AC1059" s="18"/>
      <c r="AD1059" s="32"/>
      <c r="AE1059" s="32"/>
      <c r="AF1059" s="18"/>
    </row>
    <row r="1060" spans="2:32" ht="15" customHeight="1" x14ac:dyDescent="0.3">
      <c r="B1060" s="5"/>
      <c r="C1060" s="5"/>
      <c r="D1060" s="5"/>
      <c r="E1060" s="5"/>
      <c r="F1060" s="5"/>
      <c r="G1060" s="5"/>
      <c r="H1060" s="22"/>
      <c r="I1060" s="32"/>
      <c r="J1060" s="32"/>
      <c r="K1060" s="19"/>
      <c r="L1060" s="32"/>
      <c r="M1060" s="32"/>
      <c r="N1060" s="18"/>
      <c r="O1060" s="32"/>
      <c r="P1060" s="32"/>
      <c r="Q1060" s="18"/>
      <c r="R1060" s="32"/>
      <c r="S1060" s="32"/>
      <c r="T1060" s="18"/>
      <c r="U1060" s="32"/>
      <c r="V1060" s="32"/>
      <c r="W1060" s="18"/>
      <c r="X1060" s="32"/>
      <c r="Y1060" s="32"/>
      <c r="Z1060" s="18"/>
      <c r="AA1060" s="32"/>
      <c r="AB1060" s="32"/>
      <c r="AC1060" s="18"/>
      <c r="AD1060" s="32"/>
      <c r="AE1060" s="32"/>
      <c r="AF1060" s="18"/>
    </row>
    <row r="1061" spans="2:32" ht="15" customHeight="1" x14ac:dyDescent="0.3">
      <c r="B1061" s="5"/>
      <c r="C1061" s="5"/>
      <c r="D1061" s="5"/>
      <c r="E1061" s="5"/>
      <c r="F1061" s="5"/>
      <c r="G1061" s="5"/>
      <c r="H1061" s="22"/>
      <c r="I1061" s="32"/>
      <c r="J1061" s="32"/>
      <c r="K1061" s="19"/>
      <c r="L1061" s="32"/>
      <c r="M1061" s="32"/>
      <c r="N1061" s="18"/>
      <c r="O1061" s="32"/>
      <c r="P1061" s="32"/>
      <c r="Q1061" s="18"/>
      <c r="R1061" s="32"/>
      <c r="S1061" s="32"/>
      <c r="T1061" s="18"/>
      <c r="U1061" s="32"/>
      <c r="V1061" s="32"/>
      <c r="W1061" s="18"/>
      <c r="X1061" s="32"/>
      <c r="Y1061" s="32"/>
      <c r="Z1061" s="18"/>
      <c r="AA1061" s="32"/>
      <c r="AB1061" s="32"/>
      <c r="AC1061" s="18"/>
      <c r="AD1061" s="32"/>
      <c r="AE1061" s="32"/>
      <c r="AF1061" s="18"/>
    </row>
    <row r="1062" spans="2:32" ht="15" customHeight="1" x14ac:dyDescent="0.3">
      <c r="B1062" s="5"/>
      <c r="C1062" s="5"/>
      <c r="D1062" s="5"/>
      <c r="E1062" s="5"/>
      <c r="F1062" s="5"/>
      <c r="G1062" s="5"/>
      <c r="H1062" s="22"/>
      <c r="I1062" s="32"/>
      <c r="J1062" s="32"/>
      <c r="K1062" s="19"/>
      <c r="L1062" s="32"/>
      <c r="M1062" s="32"/>
      <c r="N1062" s="18"/>
      <c r="O1062" s="32"/>
      <c r="P1062" s="32"/>
      <c r="Q1062" s="18"/>
      <c r="R1062" s="32"/>
      <c r="S1062" s="32"/>
      <c r="T1062" s="18"/>
      <c r="U1062" s="32"/>
      <c r="V1062" s="32"/>
      <c r="W1062" s="18"/>
      <c r="X1062" s="32"/>
      <c r="Y1062" s="32"/>
      <c r="Z1062" s="18"/>
      <c r="AA1062" s="32"/>
      <c r="AB1062" s="32"/>
      <c r="AC1062" s="18"/>
      <c r="AD1062" s="32"/>
      <c r="AE1062" s="32"/>
      <c r="AF1062" s="18"/>
    </row>
    <row r="1063" spans="2:32" ht="15" customHeight="1" x14ac:dyDescent="0.3">
      <c r="B1063" s="5"/>
      <c r="C1063" s="5"/>
      <c r="D1063" s="5"/>
      <c r="E1063" s="5"/>
      <c r="F1063" s="5"/>
      <c r="G1063" s="5"/>
      <c r="H1063" s="22"/>
      <c r="I1063" s="32"/>
      <c r="J1063" s="32"/>
      <c r="K1063" s="19"/>
      <c r="L1063" s="32"/>
      <c r="M1063" s="32"/>
      <c r="N1063" s="18"/>
      <c r="O1063" s="32"/>
      <c r="P1063" s="32"/>
      <c r="Q1063" s="18"/>
      <c r="R1063" s="32"/>
      <c r="S1063" s="32"/>
      <c r="T1063" s="18"/>
      <c r="U1063" s="32"/>
      <c r="V1063" s="32"/>
      <c r="W1063" s="18"/>
      <c r="X1063" s="32"/>
      <c r="Y1063" s="32"/>
      <c r="Z1063" s="18"/>
      <c r="AA1063" s="32"/>
      <c r="AB1063" s="32"/>
      <c r="AC1063" s="18"/>
      <c r="AD1063" s="32"/>
      <c r="AE1063" s="32"/>
      <c r="AF1063" s="18"/>
    </row>
    <row r="1064" spans="2:32" ht="15" customHeight="1" x14ac:dyDescent="0.3">
      <c r="B1064" s="5"/>
      <c r="C1064" s="5"/>
      <c r="D1064" s="5"/>
      <c r="E1064" s="5"/>
      <c r="F1064" s="5"/>
      <c r="G1064" s="5"/>
      <c r="H1064" s="22"/>
      <c r="I1064" s="32"/>
      <c r="J1064" s="32"/>
      <c r="K1064" s="19"/>
      <c r="L1064" s="32"/>
      <c r="M1064" s="32"/>
      <c r="N1064" s="18"/>
      <c r="O1064" s="32"/>
      <c r="P1064" s="32"/>
      <c r="Q1064" s="18"/>
      <c r="R1064" s="32"/>
      <c r="S1064" s="32"/>
      <c r="T1064" s="18"/>
      <c r="U1064" s="32"/>
      <c r="V1064" s="32"/>
      <c r="W1064" s="18"/>
      <c r="X1064" s="32"/>
      <c r="Y1064" s="32"/>
      <c r="Z1064" s="18"/>
      <c r="AA1064" s="32"/>
      <c r="AB1064" s="32"/>
      <c r="AC1064" s="18"/>
      <c r="AD1064" s="32"/>
      <c r="AE1064" s="32"/>
      <c r="AF1064" s="18"/>
    </row>
    <row r="1065" spans="2:32" ht="15" customHeight="1" x14ac:dyDescent="0.3">
      <c r="B1065" s="5"/>
      <c r="C1065" s="5"/>
      <c r="D1065" s="5"/>
      <c r="E1065" s="5"/>
      <c r="F1065" s="5"/>
      <c r="G1065" s="5"/>
      <c r="H1065" s="22"/>
      <c r="I1065" s="32"/>
      <c r="J1065" s="32"/>
      <c r="K1065" s="19"/>
      <c r="L1065" s="32"/>
      <c r="M1065" s="32"/>
      <c r="N1065" s="18"/>
      <c r="O1065" s="32"/>
      <c r="P1065" s="32"/>
      <c r="Q1065" s="18"/>
      <c r="R1065" s="32"/>
      <c r="S1065" s="32"/>
      <c r="T1065" s="18"/>
      <c r="U1065" s="32"/>
      <c r="V1065" s="32"/>
      <c r="W1065" s="18"/>
      <c r="X1065" s="32"/>
      <c r="Y1065" s="32"/>
      <c r="Z1065" s="18"/>
      <c r="AA1065" s="32"/>
      <c r="AB1065" s="32"/>
      <c r="AC1065" s="18"/>
      <c r="AD1065" s="32"/>
      <c r="AE1065" s="32"/>
      <c r="AF1065" s="18"/>
    </row>
    <row r="1066" spans="2:32" ht="15" customHeight="1" x14ac:dyDescent="0.3">
      <c r="B1066" s="5"/>
      <c r="C1066" s="5"/>
      <c r="D1066" s="5"/>
      <c r="E1066" s="5"/>
      <c r="F1066" s="5"/>
      <c r="G1066" s="5"/>
      <c r="H1066" s="22"/>
      <c r="I1066" s="32"/>
      <c r="J1066" s="32"/>
      <c r="K1066" s="19"/>
      <c r="L1066" s="32"/>
      <c r="M1066" s="32"/>
      <c r="N1066" s="18"/>
      <c r="O1066" s="32"/>
      <c r="P1066" s="32"/>
      <c r="Q1066" s="18"/>
      <c r="R1066" s="32"/>
      <c r="S1066" s="32"/>
      <c r="T1066" s="18"/>
      <c r="U1066" s="32"/>
      <c r="V1066" s="32"/>
      <c r="W1066" s="18"/>
      <c r="X1066" s="32"/>
      <c r="Y1066" s="32"/>
      <c r="Z1066" s="18"/>
      <c r="AA1066" s="32"/>
      <c r="AB1066" s="32"/>
      <c r="AC1066" s="18"/>
      <c r="AD1066" s="32"/>
      <c r="AE1066" s="32"/>
      <c r="AF1066" s="18"/>
    </row>
    <row r="1067" spans="2:32" ht="15" customHeight="1" x14ac:dyDescent="0.3">
      <c r="B1067" s="5"/>
      <c r="C1067" s="5"/>
      <c r="D1067" s="5"/>
      <c r="E1067" s="5"/>
      <c r="F1067" s="5"/>
      <c r="G1067" s="5"/>
      <c r="H1067" s="22"/>
      <c r="I1067" s="32"/>
      <c r="J1067" s="32"/>
      <c r="K1067" s="19"/>
      <c r="L1067" s="32"/>
      <c r="M1067" s="32"/>
      <c r="N1067" s="18"/>
      <c r="O1067" s="32"/>
      <c r="P1067" s="32"/>
      <c r="Q1067" s="18"/>
      <c r="R1067" s="32"/>
      <c r="S1067" s="32"/>
      <c r="T1067" s="18"/>
      <c r="U1067" s="32"/>
      <c r="V1067" s="32"/>
      <c r="W1067" s="18"/>
      <c r="X1067" s="32"/>
      <c r="Y1067" s="32"/>
      <c r="Z1067" s="18"/>
      <c r="AA1067" s="32"/>
      <c r="AB1067" s="32"/>
      <c r="AC1067" s="18"/>
      <c r="AD1067" s="32"/>
      <c r="AE1067" s="32"/>
      <c r="AF1067" s="18"/>
    </row>
    <row r="1068" spans="2:32" ht="15" customHeight="1" x14ac:dyDescent="0.3">
      <c r="B1068" s="5"/>
      <c r="C1068" s="5"/>
      <c r="D1068" s="5"/>
      <c r="E1068" s="5"/>
      <c r="F1068" s="5"/>
      <c r="G1068" s="5"/>
      <c r="H1068" s="22"/>
      <c r="I1068" s="32"/>
      <c r="J1068" s="32"/>
      <c r="K1068" s="19"/>
      <c r="L1068" s="32"/>
      <c r="M1068" s="32"/>
      <c r="N1068" s="18"/>
      <c r="O1068" s="32"/>
      <c r="P1068" s="32"/>
      <c r="Q1068" s="18"/>
      <c r="R1068" s="32"/>
      <c r="S1068" s="32"/>
      <c r="T1068" s="18"/>
      <c r="U1068" s="32"/>
      <c r="V1068" s="32"/>
      <c r="W1068" s="18"/>
      <c r="X1068" s="32"/>
      <c r="Y1068" s="32"/>
      <c r="Z1068" s="18"/>
      <c r="AA1068" s="32"/>
      <c r="AB1068" s="32"/>
      <c r="AC1068" s="18"/>
      <c r="AD1068" s="32"/>
      <c r="AE1068" s="32"/>
      <c r="AF1068" s="18"/>
    </row>
    <row r="1069" spans="2:32" ht="15" customHeight="1" x14ac:dyDescent="0.3">
      <c r="B1069" s="5"/>
      <c r="C1069" s="5"/>
      <c r="D1069" s="5"/>
      <c r="E1069" s="5"/>
      <c r="F1069" s="5"/>
      <c r="G1069" s="5"/>
      <c r="H1069" s="22"/>
      <c r="I1069" s="32"/>
      <c r="J1069" s="32"/>
      <c r="K1069" s="19"/>
      <c r="L1069" s="32"/>
      <c r="M1069" s="32"/>
      <c r="N1069" s="18"/>
      <c r="O1069" s="32"/>
      <c r="P1069" s="32"/>
      <c r="Q1069" s="18"/>
      <c r="R1069" s="32"/>
      <c r="S1069" s="32"/>
      <c r="T1069" s="18"/>
      <c r="U1069" s="32"/>
      <c r="V1069" s="32"/>
      <c r="W1069" s="18"/>
      <c r="X1069" s="32"/>
      <c r="Y1069" s="32"/>
      <c r="Z1069" s="18"/>
      <c r="AA1069" s="32"/>
      <c r="AB1069" s="32"/>
      <c r="AC1069" s="18"/>
      <c r="AD1069" s="32"/>
      <c r="AE1069" s="32"/>
      <c r="AF1069" s="18"/>
    </row>
    <row r="1070" spans="2:32" ht="15" customHeight="1" x14ac:dyDescent="0.3">
      <c r="B1070" s="5"/>
      <c r="C1070" s="5"/>
      <c r="D1070" s="5"/>
      <c r="E1070" s="5"/>
      <c r="F1070" s="5"/>
      <c r="G1070" s="5"/>
      <c r="H1070" s="22"/>
      <c r="I1070" s="32"/>
      <c r="J1070" s="32"/>
      <c r="K1070" s="19"/>
      <c r="L1070" s="32"/>
      <c r="M1070" s="32"/>
      <c r="N1070" s="18"/>
      <c r="O1070" s="32"/>
      <c r="P1070" s="32"/>
      <c r="Q1070" s="18"/>
      <c r="R1070" s="32"/>
      <c r="S1070" s="32"/>
      <c r="T1070" s="18"/>
      <c r="U1070" s="32"/>
      <c r="V1070" s="32"/>
      <c r="W1070" s="18"/>
      <c r="X1070" s="32"/>
      <c r="Y1070" s="32"/>
      <c r="Z1070" s="18"/>
      <c r="AA1070" s="32"/>
      <c r="AB1070" s="32"/>
      <c r="AC1070" s="18"/>
      <c r="AD1070" s="32"/>
      <c r="AE1070" s="32"/>
      <c r="AF1070" s="18"/>
    </row>
    <row r="1071" spans="2:32" ht="15" customHeight="1" x14ac:dyDescent="0.3">
      <c r="B1071" s="5"/>
      <c r="C1071" s="5"/>
      <c r="D1071" s="5"/>
      <c r="E1071" s="5"/>
      <c r="F1071" s="5"/>
      <c r="G1071" s="5"/>
      <c r="H1071" s="22"/>
      <c r="I1071" s="32"/>
      <c r="J1071" s="32"/>
      <c r="K1071" s="19"/>
      <c r="L1071" s="32"/>
      <c r="M1071" s="32"/>
      <c r="N1071" s="18"/>
      <c r="O1071" s="32"/>
      <c r="P1071" s="32"/>
      <c r="Q1071" s="18"/>
      <c r="R1071" s="32"/>
      <c r="S1071" s="32"/>
      <c r="T1071" s="18"/>
      <c r="U1071" s="32"/>
      <c r="V1071" s="32"/>
      <c r="W1071" s="18"/>
      <c r="X1071" s="32"/>
      <c r="Y1071" s="32"/>
      <c r="Z1071" s="18"/>
      <c r="AA1071" s="32"/>
      <c r="AB1071" s="32"/>
      <c r="AC1071" s="18"/>
      <c r="AD1071" s="32"/>
      <c r="AE1071" s="32"/>
      <c r="AF1071" s="18"/>
    </row>
    <row r="1072" spans="2:32" ht="15" customHeight="1" x14ac:dyDescent="0.3">
      <c r="B1072" s="5"/>
      <c r="C1072" s="5"/>
      <c r="D1072" s="5"/>
      <c r="E1072" s="5"/>
      <c r="F1072" s="5"/>
      <c r="G1072" s="5"/>
      <c r="H1072" s="22"/>
      <c r="I1072" s="32"/>
      <c r="J1072" s="32"/>
      <c r="K1072" s="19"/>
      <c r="L1072" s="32"/>
      <c r="M1072" s="32"/>
      <c r="N1072" s="18"/>
      <c r="O1072" s="32"/>
      <c r="P1072" s="32"/>
      <c r="Q1072" s="18"/>
      <c r="R1072" s="32"/>
      <c r="S1072" s="32"/>
      <c r="T1072" s="18"/>
      <c r="U1072" s="32"/>
      <c r="V1072" s="32"/>
      <c r="W1072" s="18"/>
      <c r="X1072" s="32"/>
      <c r="Y1072" s="32"/>
      <c r="Z1072" s="18"/>
      <c r="AA1072" s="32"/>
      <c r="AB1072" s="32"/>
      <c r="AC1072" s="18"/>
      <c r="AD1072" s="32"/>
      <c r="AE1072" s="32"/>
      <c r="AF1072" s="18"/>
    </row>
    <row r="1073" spans="1:44" ht="15" customHeight="1" x14ac:dyDescent="0.3">
      <c r="B1073" s="5"/>
      <c r="C1073" s="5"/>
      <c r="D1073" s="5"/>
      <c r="E1073" s="5"/>
      <c r="F1073" s="5"/>
      <c r="G1073" s="5"/>
      <c r="H1073" s="22"/>
      <c r="I1073" s="32"/>
      <c r="J1073" s="32"/>
      <c r="K1073" s="19"/>
      <c r="L1073" s="32"/>
      <c r="M1073" s="32"/>
      <c r="N1073" s="18"/>
      <c r="O1073" s="32"/>
      <c r="P1073" s="32"/>
      <c r="Q1073" s="18"/>
      <c r="R1073" s="32"/>
      <c r="S1073" s="32"/>
      <c r="T1073" s="18"/>
      <c r="U1073" s="32"/>
      <c r="V1073" s="32"/>
      <c r="W1073" s="18"/>
      <c r="X1073" s="32"/>
      <c r="Y1073" s="32"/>
      <c r="Z1073" s="18"/>
      <c r="AA1073" s="32"/>
      <c r="AB1073" s="32"/>
      <c r="AC1073" s="18"/>
      <c r="AD1073" s="32"/>
      <c r="AE1073" s="32"/>
      <c r="AF1073" s="18"/>
    </row>
    <row r="1074" spans="1:44" ht="15" customHeight="1" x14ac:dyDescent="0.3">
      <c r="B1074" s="5"/>
      <c r="C1074" s="5"/>
      <c r="D1074" s="5"/>
      <c r="E1074" s="5"/>
      <c r="F1074" s="5"/>
      <c r="G1074" s="5"/>
      <c r="H1074" s="22"/>
      <c r="I1074" s="32"/>
      <c r="J1074" s="32"/>
      <c r="K1074" s="19"/>
      <c r="L1074" s="32"/>
      <c r="M1074" s="32"/>
      <c r="N1074" s="18"/>
      <c r="O1074" s="32"/>
      <c r="P1074" s="32"/>
      <c r="Q1074" s="18"/>
      <c r="R1074" s="32"/>
      <c r="S1074" s="32"/>
      <c r="T1074" s="18"/>
      <c r="U1074" s="32"/>
      <c r="V1074" s="32"/>
      <c r="W1074" s="18"/>
      <c r="X1074" s="32"/>
      <c r="Y1074" s="32"/>
      <c r="Z1074" s="18"/>
      <c r="AA1074" s="32"/>
      <c r="AB1074" s="32"/>
      <c r="AC1074" s="18"/>
      <c r="AD1074" s="32"/>
      <c r="AE1074" s="32"/>
      <c r="AF1074" s="18"/>
    </row>
    <row r="1075" spans="1:44" ht="15" customHeight="1" x14ac:dyDescent="0.3">
      <c r="B1075" s="5"/>
      <c r="C1075" s="5"/>
      <c r="D1075" s="5"/>
      <c r="E1075" s="5"/>
      <c r="F1075" s="5"/>
      <c r="G1075" s="5"/>
      <c r="H1075" s="22"/>
      <c r="I1075" s="32"/>
      <c r="J1075" s="32"/>
      <c r="K1075" s="19"/>
      <c r="L1075" s="32"/>
      <c r="M1075" s="32"/>
      <c r="N1075" s="18"/>
      <c r="O1075" s="32"/>
      <c r="P1075" s="32"/>
      <c r="Q1075" s="18"/>
      <c r="R1075" s="32"/>
      <c r="S1075" s="32"/>
      <c r="T1075" s="18"/>
      <c r="U1075" s="32"/>
      <c r="V1075" s="32"/>
      <c r="W1075" s="18"/>
      <c r="X1075" s="32"/>
      <c r="Y1075" s="32"/>
      <c r="Z1075" s="18"/>
      <c r="AA1075" s="32"/>
      <c r="AB1075" s="32"/>
      <c r="AC1075" s="18"/>
      <c r="AD1075" s="32"/>
      <c r="AE1075" s="32"/>
      <c r="AF1075" s="18"/>
    </row>
    <row r="1076" spans="1:44" ht="15" customHeight="1" x14ac:dyDescent="0.3">
      <c r="B1076" s="5"/>
      <c r="C1076" s="5"/>
      <c r="D1076" s="5"/>
      <c r="E1076" s="5"/>
      <c r="F1076" s="5"/>
      <c r="G1076" s="5"/>
      <c r="H1076" s="22"/>
      <c r="I1076" s="32"/>
      <c r="J1076" s="32"/>
      <c r="K1076" s="19"/>
      <c r="L1076" s="32"/>
      <c r="M1076" s="32"/>
      <c r="N1076" s="18"/>
      <c r="O1076" s="32"/>
      <c r="P1076" s="32"/>
      <c r="Q1076" s="18"/>
      <c r="R1076" s="32"/>
      <c r="S1076" s="32"/>
      <c r="T1076" s="18"/>
      <c r="U1076" s="32"/>
      <c r="V1076" s="32"/>
      <c r="W1076" s="18"/>
      <c r="X1076" s="32"/>
      <c r="Y1076" s="32"/>
      <c r="Z1076" s="18"/>
      <c r="AA1076" s="32"/>
      <c r="AB1076" s="32"/>
      <c r="AC1076" s="18"/>
      <c r="AD1076" s="32"/>
      <c r="AE1076" s="32"/>
      <c r="AF1076" s="18"/>
    </row>
    <row r="1077" spans="1:44" ht="15" customHeight="1" x14ac:dyDescent="0.3">
      <c r="B1077" s="5"/>
      <c r="C1077" s="5"/>
      <c r="D1077" s="5"/>
      <c r="E1077" s="5"/>
      <c r="F1077" s="5"/>
      <c r="G1077" s="5"/>
      <c r="H1077" s="22"/>
      <c r="I1077" s="32"/>
      <c r="J1077" s="32"/>
      <c r="K1077" s="19"/>
      <c r="L1077" s="32"/>
      <c r="M1077" s="32"/>
      <c r="N1077" s="18"/>
      <c r="O1077" s="32"/>
      <c r="P1077" s="32"/>
      <c r="Q1077" s="18"/>
      <c r="R1077" s="32"/>
      <c r="S1077" s="32"/>
      <c r="T1077" s="18"/>
      <c r="U1077" s="32"/>
      <c r="V1077" s="32"/>
      <c r="W1077" s="18"/>
      <c r="X1077" s="32"/>
      <c r="Y1077" s="32"/>
      <c r="Z1077" s="18"/>
      <c r="AA1077" s="32"/>
      <c r="AB1077" s="32"/>
      <c r="AC1077" s="18"/>
      <c r="AD1077" s="32"/>
      <c r="AE1077" s="32"/>
      <c r="AF1077" s="18"/>
    </row>
    <row r="1078" spans="1:44" ht="15" customHeight="1" x14ac:dyDescent="0.3">
      <c r="B1078" s="5"/>
      <c r="C1078" s="5"/>
      <c r="D1078" s="5"/>
      <c r="E1078" s="5"/>
      <c r="F1078" s="5"/>
      <c r="G1078" s="5"/>
      <c r="H1078" s="22"/>
      <c r="I1078" s="32"/>
      <c r="J1078" s="32"/>
      <c r="K1078" s="19"/>
      <c r="L1078" s="32"/>
      <c r="M1078" s="32"/>
      <c r="N1078" s="18"/>
      <c r="O1078" s="32"/>
      <c r="P1078" s="32"/>
      <c r="Q1078" s="18"/>
      <c r="R1078" s="32"/>
      <c r="S1078" s="32"/>
      <c r="T1078" s="18"/>
      <c r="U1078" s="32"/>
      <c r="V1078" s="32"/>
      <c r="W1078" s="18"/>
      <c r="X1078" s="32"/>
      <c r="Y1078" s="32"/>
      <c r="Z1078" s="18"/>
      <c r="AA1078" s="32"/>
      <c r="AB1078" s="32"/>
      <c r="AC1078" s="18"/>
      <c r="AD1078" s="32"/>
      <c r="AE1078" s="32"/>
      <c r="AF1078" s="18"/>
    </row>
    <row r="1079" spans="1:44" ht="15" customHeight="1" x14ac:dyDescent="0.3">
      <c r="B1079" s="5"/>
      <c r="C1079" s="5"/>
      <c r="D1079" s="5"/>
      <c r="E1079" s="5"/>
      <c r="F1079" s="5"/>
      <c r="G1079" s="5"/>
      <c r="H1079" s="22"/>
      <c r="I1079" s="32"/>
      <c r="J1079" s="32"/>
      <c r="K1079" s="19"/>
      <c r="L1079" s="32"/>
      <c r="M1079" s="32"/>
      <c r="N1079" s="18"/>
      <c r="O1079" s="32"/>
      <c r="P1079" s="32"/>
      <c r="Q1079" s="18"/>
      <c r="R1079" s="32"/>
      <c r="S1079" s="32"/>
      <c r="T1079" s="18"/>
      <c r="U1079" s="32"/>
      <c r="V1079" s="32"/>
      <c r="W1079" s="18"/>
      <c r="X1079" s="32"/>
      <c r="Y1079" s="32"/>
      <c r="Z1079" s="18"/>
      <c r="AA1079" s="32"/>
      <c r="AB1079" s="32"/>
      <c r="AC1079" s="18"/>
      <c r="AD1079" s="32"/>
      <c r="AE1079" s="32"/>
      <c r="AF1079" s="18"/>
    </row>
    <row r="1080" spans="1:44" ht="15" customHeight="1" x14ac:dyDescent="0.3">
      <c r="B1080" s="5"/>
      <c r="C1080" s="5"/>
      <c r="D1080" s="5"/>
      <c r="E1080" s="5"/>
      <c r="F1080" s="5"/>
      <c r="G1080" s="5"/>
      <c r="H1080" s="22"/>
      <c r="I1080" s="32"/>
      <c r="J1080" s="32"/>
      <c r="K1080" s="19"/>
      <c r="L1080" s="32"/>
      <c r="M1080" s="32"/>
      <c r="N1080" s="18"/>
      <c r="O1080" s="32"/>
      <c r="P1080" s="32"/>
      <c r="Q1080" s="18"/>
      <c r="R1080" s="32"/>
      <c r="S1080" s="32"/>
      <c r="T1080" s="18"/>
      <c r="U1080" s="32"/>
      <c r="V1080" s="32"/>
      <c r="W1080" s="18"/>
      <c r="X1080" s="32"/>
      <c r="Y1080" s="32"/>
      <c r="Z1080" s="18"/>
      <c r="AA1080" s="32"/>
      <c r="AB1080" s="32"/>
      <c r="AC1080" s="18"/>
      <c r="AD1080" s="32"/>
      <c r="AE1080" s="32"/>
      <c r="AF1080" s="18"/>
    </row>
    <row r="1081" spans="1:44" ht="15" customHeight="1" x14ac:dyDescent="0.3">
      <c r="B1081" s="5"/>
      <c r="C1081" s="5"/>
      <c r="D1081" s="5"/>
      <c r="E1081" s="5"/>
      <c r="F1081" s="5"/>
      <c r="G1081" s="5"/>
      <c r="H1081" s="22"/>
      <c r="I1081" s="32"/>
      <c r="J1081" s="32"/>
      <c r="K1081" s="19"/>
      <c r="L1081" s="32"/>
      <c r="M1081" s="32"/>
      <c r="N1081" s="18"/>
      <c r="O1081" s="32"/>
      <c r="P1081" s="32"/>
      <c r="Q1081" s="18"/>
      <c r="R1081" s="32"/>
      <c r="S1081" s="32"/>
      <c r="T1081" s="18"/>
      <c r="U1081" s="32"/>
      <c r="V1081" s="32"/>
      <c r="W1081" s="18"/>
      <c r="X1081" s="32"/>
      <c r="Y1081" s="32"/>
      <c r="Z1081" s="18"/>
      <c r="AA1081" s="32"/>
      <c r="AB1081" s="32"/>
      <c r="AC1081" s="18"/>
      <c r="AD1081" s="32"/>
      <c r="AE1081" s="32"/>
      <c r="AF1081" s="18"/>
    </row>
    <row r="1082" spans="1:44" ht="15" customHeight="1" x14ac:dyDescent="0.3">
      <c r="B1082" s="5"/>
      <c r="C1082" s="5"/>
      <c r="D1082" s="5"/>
      <c r="E1082" s="5"/>
      <c r="F1082" s="5"/>
      <c r="G1082" s="5"/>
      <c r="H1082" s="22"/>
      <c r="I1082" s="32"/>
      <c r="J1082" s="32"/>
      <c r="K1082" s="19"/>
      <c r="L1082" s="32"/>
      <c r="M1082" s="32"/>
      <c r="N1082" s="18"/>
      <c r="O1082" s="32"/>
      <c r="P1082" s="32"/>
      <c r="Q1082" s="18"/>
      <c r="R1082" s="32"/>
      <c r="S1082" s="32"/>
      <c r="T1082" s="18"/>
      <c r="U1082" s="32"/>
      <c r="V1082" s="32"/>
      <c r="W1082" s="18"/>
      <c r="X1082" s="32"/>
      <c r="Y1082" s="32"/>
      <c r="Z1082" s="18"/>
      <c r="AA1082" s="32"/>
      <c r="AB1082" s="32"/>
      <c r="AC1082" s="18"/>
      <c r="AD1082" s="32"/>
      <c r="AE1082" s="32"/>
      <c r="AF1082" s="18"/>
    </row>
    <row r="1083" spans="1:44" ht="15" customHeight="1" x14ac:dyDescent="0.3">
      <c r="B1083" s="5"/>
      <c r="C1083" s="5"/>
      <c r="D1083" s="5"/>
      <c r="E1083" s="5"/>
      <c r="F1083" s="5"/>
      <c r="G1083" s="5"/>
      <c r="H1083" s="22"/>
      <c r="I1083" s="32"/>
      <c r="J1083" s="32"/>
      <c r="K1083" s="19"/>
      <c r="L1083" s="32"/>
      <c r="M1083" s="32"/>
      <c r="N1083" s="18"/>
      <c r="O1083" s="32"/>
      <c r="P1083" s="32"/>
      <c r="Q1083" s="18"/>
      <c r="R1083" s="32"/>
      <c r="S1083" s="32"/>
      <c r="T1083" s="18"/>
      <c r="U1083" s="32"/>
      <c r="V1083" s="32"/>
      <c r="W1083" s="18"/>
      <c r="X1083" s="32"/>
      <c r="Y1083" s="32"/>
      <c r="Z1083" s="18"/>
      <c r="AA1083" s="32"/>
      <c r="AB1083" s="32"/>
      <c r="AC1083" s="18"/>
      <c r="AD1083" s="32"/>
      <c r="AE1083" s="32"/>
      <c r="AF1083" s="18"/>
    </row>
    <row r="1084" spans="1:44" ht="15" customHeight="1" x14ac:dyDescent="0.3">
      <c r="A1084">
        <v>3</v>
      </c>
      <c r="B1084" s="2" t="s">
        <v>696</v>
      </c>
      <c r="C1084" s="4" t="s">
        <v>689</v>
      </c>
      <c r="D1084" s="3" t="s">
        <v>644</v>
      </c>
      <c r="E1084" s="6" t="s">
        <v>1</v>
      </c>
      <c r="F1084" s="6" t="s">
        <v>185</v>
      </c>
      <c r="G1084" s="6" t="s">
        <v>718</v>
      </c>
      <c r="H1084" s="23">
        <v>0</v>
      </c>
      <c r="I1084">
        <v>0</v>
      </c>
      <c r="J1084">
        <v>0</v>
      </c>
      <c r="K1084" s="20">
        <f t="shared" ref="K1084:K1093" si="120">H1084*I1084*J1084</f>
        <v>0</v>
      </c>
      <c r="L1084">
        <v>0</v>
      </c>
      <c r="M1084">
        <v>0</v>
      </c>
      <c r="N1084" s="21">
        <f t="shared" ref="N1084:N1093" si="121">H1084*L1084*M1084</f>
        <v>0</v>
      </c>
      <c r="O1084">
        <v>0</v>
      </c>
      <c r="P1084">
        <v>0</v>
      </c>
      <c r="Q1084" s="21">
        <f>H1084*O1084*P1084</f>
        <v>0</v>
      </c>
      <c r="R1084">
        <v>0</v>
      </c>
      <c r="S1084">
        <v>0</v>
      </c>
      <c r="T1084" s="21">
        <f>H1084*R1084*S1084</f>
        <v>0</v>
      </c>
      <c r="U1084">
        <v>0</v>
      </c>
      <c r="V1084">
        <v>0</v>
      </c>
      <c r="W1084" s="21">
        <f>H1084*U1084*V1084</f>
        <v>0</v>
      </c>
      <c r="X1084">
        <v>0</v>
      </c>
      <c r="Y1084">
        <v>0</v>
      </c>
      <c r="Z1084" s="21">
        <f>H1084*X1084*Y1084</f>
        <v>0</v>
      </c>
      <c r="AA1084">
        <v>0</v>
      </c>
      <c r="AB1084">
        <v>0</v>
      </c>
      <c r="AC1084" s="21">
        <f>H1084*AA1084*AB1084</f>
        <v>0</v>
      </c>
      <c r="AD1084">
        <v>0</v>
      </c>
      <c r="AE1084">
        <v>0</v>
      </c>
      <c r="AF1084" s="21">
        <f t="shared" ref="AF1084:AF1093" si="122">H1084*AD1084*AE1084</f>
        <v>0</v>
      </c>
    </row>
    <row r="1085" spans="1:44" ht="15" customHeight="1" x14ac:dyDescent="0.3">
      <c r="A1085">
        <v>3</v>
      </c>
      <c r="B1085" s="2" t="s">
        <v>696</v>
      </c>
      <c r="C1085" s="4" t="s">
        <v>689</v>
      </c>
      <c r="D1085" s="3" t="s">
        <v>644</v>
      </c>
      <c r="E1085" s="6" t="s">
        <v>1</v>
      </c>
      <c r="F1085" s="6" t="s">
        <v>186</v>
      </c>
      <c r="G1085" s="6" t="s">
        <v>718</v>
      </c>
      <c r="H1085" s="23">
        <v>0</v>
      </c>
      <c r="I1085">
        <v>0</v>
      </c>
      <c r="J1085">
        <v>0</v>
      </c>
      <c r="K1085" s="20">
        <f t="shared" si="120"/>
        <v>0</v>
      </c>
      <c r="L1085">
        <v>0</v>
      </c>
      <c r="M1085">
        <v>0</v>
      </c>
      <c r="N1085" s="21">
        <f t="shared" si="121"/>
        <v>0</v>
      </c>
      <c r="O1085">
        <v>0</v>
      </c>
      <c r="P1085">
        <v>0</v>
      </c>
      <c r="Q1085" s="21">
        <f t="shared" ref="Q1085:Q1148" si="123">H1085*O1085*P1085</f>
        <v>0</v>
      </c>
      <c r="R1085">
        <v>0</v>
      </c>
      <c r="S1085">
        <v>0</v>
      </c>
      <c r="T1085" s="21">
        <f t="shared" ref="T1085:T1148" si="124">H1085*R1085*S1085</f>
        <v>0</v>
      </c>
      <c r="U1085">
        <v>0</v>
      </c>
      <c r="V1085">
        <v>0</v>
      </c>
      <c r="W1085" s="21">
        <f t="shared" ref="W1085:W1148" si="125">H1085*U1085*V1085</f>
        <v>0</v>
      </c>
      <c r="X1085">
        <v>0</v>
      </c>
      <c r="Y1085">
        <v>0</v>
      </c>
      <c r="Z1085" s="21">
        <f t="shared" ref="Z1085:Z1148" si="126">H1085*X1085*Y1085</f>
        <v>0</v>
      </c>
      <c r="AA1085">
        <v>0</v>
      </c>
      <c r="AB1085">
        <v>0</v>
      </c>
      <c r="AC1085" s="21">
        <f t="shared" ref="AC1085:AC1148" si="127">H1085*AA1085*AB1085</f>
        <v>0</v>
      </c>
      <c r="AD1085">
        <v>0</v>
      </c>
      <c r="AE1085">
        <v>0</v>
      </c>
      <c r="AF1085" s="21">
        <f t="shared" si="122"/>
        <v>0</v>
      </c>
    </row>
    <row r="1086" spans="1:44" ht="15" customHeight="1" x14ac:dyDescent="0.3">
      <c r="A1086">
        <v>3</v>
      </c>
      <c r="B1086" s="2" t="s">
        <v>696</v>
      </c>
      <c r="C1086" s="4" t="s">
        <v>689</v>
      </c>
      <c r="D1086" s="3" t="s">
        <v>644</v>
      </c>
      <c r="E1086" s="6" t="s">
        <v>2</v>
      </c>
      <c r="F1086" s="6" t="s">
        <v>187</v>
      </c>
      <c r="G1086" s="6" t="s">
        <v>716</v>
      </c>
      <c r="H1086" s="24">
        <v>39000</v>
      </c>
      <c r="I1086">
        <v>0</v>
      </c>
      <c r="J1086">
        <v>0</v>
      </c>
      <c r="K1086" s="20">
        <f t="shared" si="120"/>
        <v>0</v>
      </c>
      <c r="L1086">
        <v>0</v>
      </c>
      <c r="M1086">
        <v>0</v>
      </c>
      <c r="N1086" s="21">
        <f t="shared" si="121"/>
        <v>0</v>
      </c>
      <c r="O1086">
        <v>0</v>
      </c>
      <c r="P1086">
        <v>0</v>
      </c>
      <c r="Q1086" s="21">
        <f t="shared" si="123"/>
        <v>0</v>
      </c>
      <c r="R1086">
        <v>0</v>
      </c>
      <c r="S1086">
        <v>0</v>
      </c>
      <c r="T1086" s="21">
        <f t="shared" si="124"/>
        <v>0</v>
      </c>
      <c r="U1086">
        <v>40</v>
      </c>
      <c r="V1086">
        <v>10</v>
      </c>
      <c r="W1086" s="21">
        <f t="shared" si="125"/>
        <v>15600000</v>
      </c>
      <c r="X1086">
        <v>0</v>
      </c>
      <c r="Y1086">
        <v>0</v>
      </c>
      <c r="Z1086" s="21">
        <f t="shared" si="126"/>
        <v>0</v>
      </c>
      <c r="AA1086">
        <v>0</v>
      </c>
      <c r="AB1086">
        <v>0</v>
      </c>
      <c r="AC1086" s="21">
        <f t="shared" si="127"/>
        <v>0</v>
      </c>
      <c r="AD1086">
        <v>0</v>
      </c>
      <c r="AE1086">
        <v>0</v>
      </c>
      <c r="AF1086" s="21">
        <f t="shared" si="122"/>
        <v>0</v>
      </c>
    </row>
    <row r="1087" spans="1:44" ht="15" customHeight="1" x14ac:dyDescent="0.3">
      <c r="A1087">
        <v>3</v>
      </c>
      <c r="B1087" s="2" t="s">
        <v>696</v>
      </c>
      <c r="C1087" s="4" t="s">
        <v>689</v>
      </c>
      <c r="D1087" s="3" t="s">
        <v>644</v>
      </c>
      <c r="E1087" s="6" t="s">
        <v>2</v>
      </c>
      <c r="F1087" s="6" t="s">
        <v>187</v>
      </c>
      <c r="G1087" s="6" t="s">
        <v>712</v>
      </c>
      <c r="H1087" s="23">
        <v>214.29</v>
      </c>
      <c r="I1087">
        <v>0</v>
      </c>
      <c r="J1087">
        <v>0</v>
      </c>
      <c r="K1087" s="20">
        <f t="shared" si="120"/>
        <v>0</v>
      </c>
      <c r="L1087">
        <v>0</v>
      </c>
      <c r="M1087">
        <v>0</v>
      </c>
      <c r="N1087" s="21">
        <f t="shared" si="121"/>
        <v>0</v>
      </c>
      <c r="O1087">
        <v>0</v>
      </c>
      <c r="P1087">
        <v>0</v>
      </c>
      <c r="Q1087" s="21">
        <f t="shared" si="123"/>
        <v>0</v>
      </c>
      <c r="R1087">
        <v>0</v>
      </c>
      <c r="S1087">
        <v>0</v>
      </c>
      <c r="T1087" s="21">
        <f t="shared" si="124"/>
        <v>0</v>
      </c>
      <c r="U1087">
        <v>20000</v>
      </c>
      <c r="V1087">
        <v>1</v>
      </c>
      <c r="W1087" s="21">
        <f t="shared" si="125"/>
        <v>4285800</v>
      </c>
      <c r="X1087">
        <v>0</v>
      </c>
      <c r="Y1087">
        <v>0</v>
      </c>
      <c r="Z1087" s="21">
        <f t="shared" si="126"/>
        <v>0</v>
      </c>
      <c r="AA1087">
        <v>0</v>
      </c>
      <c r="AB1087">
        <v>0</v>
      </c>
      <c r="AC1087" s="21">
        <f t="shared" si="127"/>
        <v>0</v>
      </c>
      <c r="AD1087">
        <v>0</v>
      </c>
      <c r="AE1087">
        <v>0</v>
      </c>
      <c r="AF1087" s="21">
        <f t="shared" si="122"/>
        <v>0</v>
      </c>
    </row>
    <row r="1088" spans="1:44" ht="15" customHeight="1" x14ac:dyDescent="0.3">
      <c r="A1088">
        <v>3</v>
      </c>
      <c r="B1088" s="2" t="s">
        <v>696</v>
      </c>
      <c r="C1088" s="4" t="s">
        <v>689</v>
      </c>
      <c r="D1088" s="3" t="s">
        <v>644</v>
      </c>
      <c r="E1088" s="6" t="s">
        <v>2</v>
      </c>
      <c r="F1088" s="6" t="s">
        <v>187</v>
      </c>
      <c r="G1088" s="6" t="s">
        <v>709</v>
      </c>
      <c r="H1088" s="25">
        <v>28000</v>
      </c>
      <c r="I1088">
        <v>0</v>
      </c>
      <c r="J1088">
        <v>0</v>
      </c>
      <c r="K1088" s="20">
        <f t="shared" si="120"/>
        <v>0</v>
      </c>
      <c r="L1088">
        <v>0</v>
      </c>
      <c r="M1088">
        <v>0</v>
      </c>
      <c r="N1088" s="21">
        <f t="shared" si="121"/>
        <v>0</v>
      </c>
      <c r="O1088">
        <v>0</v>
      </c>
      <c r="P1088">
        <v>0</v>
      </c>
      <c r="Q1088" s="21">
        <f t="shared" si="123"/>
        <v>0</v>
      </c>
      <c r="R1088">
        <v>0</v>
      </c>
      <c r="S1088">
        <v>0</v>
      </c>
      <c r="T1088" s="21">
        <f t="shared" si="124"/>
        <v>0</v>
      </c>
      <c r="U1088">
        <v>40</v>
      </c>
      <c r="V1088">
        <v>10</v>
      </c>
      <c r="W1088" s="21">
        <f t="shared" si="125"/>
        <v>11200000</v>
      </c>
      <c r="X1088">
        <v>0</v>
      </c>
      <c r="Y1088">
        <v>0</v>
      </c>
      <c r="Z1088" s="21">
        <f t="shared" si="126"/>
        <v>0</v>
      </c>
      <c r="AA1088">
        <v>0</v>
      </c>
      <c r="AB1088">
        <v>0</v>
      </c>
      <c r="AC1088" s="21">
        <f t="shared" si="127"/>
        <v>0</v>
      </c>
      <c r="AD1088">
        <v>0</v>
      </c>
      <c r="AE1088">
        <v>0</v>
      </c>
      <c r="AF1088" s="21">
        <f t="shared" si="122"/>
        <v>0</v>
      </c>
      <c r="AK1088" s="10" t="s">
        <v>711</v>
      </c>
      <c r="AL1088" s="11">
        <v>70</v>
      </c>
      <c r="AM1088" s="12"/>
      <c r="AN1088" s="10" t="s">
        <v>707</v>
      </c>
      <c r="AO1088" s="13">
        <v>391991.03749999998</v>
      </c>
      <c r="AQ1088" s="8" t="s">
        <v>709</v>
      </c>
      <c r="AR1088" s="9">
        <v>28000</v>
      </c>
    </row>
    <row r="1089" spans="1:41" ht="15" customHeight="1" x14ac:dyDescent="0.3">
      <c r="A1089">
        <v>3</v>
      </c>
      <c r="B1089" s="2" t="s">
        <v>696</v>
      </c>
      <c r="C1089" s="4" t="s">
        <v>689</v>
      </c>
      <c r="D1089" s="3" t="s">
        <v>644</v>
      </c>
      <c r="E1089" s="6" t="s">
        <v>2</v>
      </c>
      <c r="F1089" s="6" t="s">
        <v>188</v>
      </c>
      <c r="G1089" s="6" t="s">
        <v>716</v>
      </c>
      <c r="H1089" s="15">
        <v>39000</v>
      </c>
      <c r="I1089">
        <v>0</v>
      </c>
      <c r="J1089">
        <v>0</v>
      </c>
      <c r="K1089" s="20">
        <f t="shared" si="120"/>
        <v>0</v>
      </c>
      <c r="L1089">
        <v>0</v>
      </c>
      <c r="M1089">
        <v>0</v>
      </c>
      <c r="N1089" s="21">
        <f t="shared" si="121"/>
        <v>0</v>
      </c>
      <c r="O1089">
        <v>0</v>
      </c>
      <c r="P1089">
        <v>0</v>
      </c>
      <c r="Q1089" s="21">
        <f t="shared" si="123"/>
        <v>0</v>
      </c>
      <c r="R1089">
        <v>0</v>
      </c>
      <c r="S1089">
        <v>0</v>
      </c>
      <c r="T1089" s="21">
        <f t="shared" si="124"/>
        <v>0</v>
      </c>
      <c r="U1089">
        <v>40</v>
      </c>
      <c r="V1089">
        <v>3</v>
      </c>
      <c r="W1089" s="21">
        <f t="shared" si="125"/>
        <v>4680000</v>
      </c>
      <c r="X1089">
        <v>0</v>
      </c>
      <c r="Y1089">
        <v>0</v>
      </c>
      <c r="Z1089" s="21">
        <f t="shared" si="126"/>
        <v>0</v>
      </c>
      <c r="AA1089">
        <v>0</v>
      </c>
      <c r="AB1089">
        <v>0</v>
      </c>
      <c r="AC1089" s="21">
        <f t="shared" si="127"/>
        <v>0</v>
      </c>
      <c r="AD1089">
        <v>0</v>
      </c>
      <c r="AE1089">
        <v>0</v>
      </c>
      <c r="AF1089" s="21">
        <f t="shared" si="122"/>
        <v>0</v>
      </c>
      <c r="AK1089" s="14" t="s">
        <v>714</v>
      </c>
      <c r="AL1089" s="11">
        <v>10000</v>
      </c>
      <c r="AM1089" s="12"/>
      <c r="AN1089" s="10" t="s">
        <v>708</v>
      </c>
      <c r="AO1089" s="11">
        <v>468000</v>
      </c>
    </row>
    <row r="1090" spans="1:41" ht="15" customHeight="1" x14ac:dyDescent="0.3">
      <c r="A1090">
        <v>3</v>
      </c>
      <c r="B1090" s="2" t="s">
        <v>696</v>
      </c>
      <c r="C1090" s="4" t="s">
        <v>689</v>
      </c>
      <c r="D1090" s="3" t="s">
        <v>644</v>
      </c>
      <c r="E1090" s="6" t="s">
        <v>2</v>
      </c>
      <c r="F1090" s="6" t="s">
        <v>188</v>
      </c>
      <c r="G1090" s="6" t="s">
        <v>709</v>
      </c>
      <c r="H1090" s="23">
        <v>28000</v>
      </c>
      <c r="I1090">
        <v>0</v>
      </c>
      <c r="J1090">
        <v>0</v>
      </c>
      <c r="K1090" s="20">
        <f t="shared" si="120"/>
        <v>0</v>
      </c>
      <c r="L1090">
        <v>0</v>
      </c>
      <c r="M1090">
        <v>0</v>
      </c>
      <c r="N1090" s="21">
        <f t="shared" si="121"/>
        <v>0</v>
      </c>
      <c r="O1090">
        <v>0</v>
      </c>
      <c r="P1090">
        <v>0</v>
      </c>
      <c r="Q1090" s="21">
        <f t="shared" si="123"/>
        <v>0</v>
      </c>
      <c r="R1090">
        <v>0</v>
      </c>
      <c r="S1090">
        <v>0</v>
      </c>
      <c r="T1090" s="21">
        <f t="shared" si="124"/>
        <v>0</v>
      </c>
      <c r="U1090">
        <v>40</v>
      </c>
      <c r="V1090">
        <v>3</v>
      </c>
      <c r="W1090" s="21">
        <f t="shared" si="125"/>
        <v>3360000</v>
      </c>
      <c r="X1090">
        <v>0</v>
      </c>
      <c r="Y1090">
        <v>0</v>
      </c>
      <c r="Z1090" s="21">
        <f t="shared" si="126"/>
        <v>0</v>
      </c>
      <c r="AA1090">
        <v>0</v>
      </c>
      <c r="AB1090">
        <v>0</v>
      </c>
      <c r="AC1090" s="21">
        <f t="shared" si="127"/>
        <v>0</v>
      </c>
      <c r="AD1090">
        <v>0</v>
      </c>
      <c r="AE1090">
        <v>0</v>
      </c>
      <c r="AF1090" s="21">
        <f t="shared" si="122"/>
        <v>0</v>
      </c>
      <c r="AK1090" s="14" t="s">
        <v>724</v>
      </c>
      <c r="AL1090" s="11">
        <v>468000</v>
      </c>
      <c r="AM1090" s="12"/>
      <c r="AN1090" s="10" t="s">
        <v>720</v>
      </c>
      <c r="AO1090" s="11">
        <v>442020</v>
      </c>
    </row>
    <row r="1091" spans="1:41" ht="15" customHeight="1" x14ac:dyDescent="0.3">
      <c r="A1091">
        <v>3</v>
      </c>
      <c r="B1091" s="2" t="s">
        <v>696</v>
      </c>
      <c r="C1091" s="4" t="s">
        <v>689</v>
      </c>
      <c r="D1091" s="3" t="s">
        <v>644</v>
      </c>
      <c r="E1091" s="6" t="s">
        <v>2</v>
      </c>
      <c r="F1091" s="6" t="s">
        <v>188</v>
      </c>
      <c r="G1091" s="6" t="s">
        <v>712</v>
      </c>
      <c r="H1091" s="23">
        <v>214.29</v>
      </c>
      <c r="I1091">
        <v>0</v>
      </c>
      <c r="J1091">
        <v>0</v>
      </c>
      <c r="K1091" s="20">
        <f t="shared" si="120"/>
        <v>0</v>
      </c>
      <c r="L1091">
        <v>0</v>
      </c>
      <c r="M1091">
        <v>0</v>
      </c>
      <c r="N1091" s="21">
        <f t="shared" si="121"/>
        <v>0</v>
      </c>
      <c r="O1091">
        <v>0</v>
      </c>
      <c r="P1091">
        <v>0</v>
      </c>
      <c r="Q1091" s="21">
        <f t="shared" si="123"/>
        <v>0</v>
      </c>
      <c r="R1091">
        <v>0</v>
      </c>
      <c r="S1091">
        <v>0</v>
      </c>
      <c r="T1091" s="21">
        <f t="shared" si="124"/>
        <v>0</v>
      </c>
      <c r="U1091">
        <v>8000</v>
      </c>
      <c r="V1091">
        <v>1</v>
      </c>
      <c r="W1091" s="21">
        <f t="shared" si="125"/>
        <v>1714320</v>
      </c>
      <c r="X1091">
        <v>0</v>
      </c>
      <c r="Y1091">
        <v>0</v>
      </c>
      <c r="Z1091" s="21">
        <f t="shared" si="126"/>
        <v>0</v>
      </c>
      <c r="AA1091">
        <v>0</v>
      </c>
      <c r="AB1091">
        <v>0</v>
      </c>
      <c r="AC1091" s="21">
        <f t="shared" si="127"/>
        <v>0</v>
      </c>
      <c r="AD1091">
        <v>0</v>
      </c>
      <c r="AE1091">
        <v>0</v>
      </c>
      <c r="AF1091" s="21">
        <f t="shared" si="122"/>
        <v>0</v>
      </c>
      <c r="AK1091" s="10" t="s">
        <v>710</v>
      </c>
      <c r="AL1091" s="11">
        <v>104850</v>
      </c>
      <c r="AM1091" s="12"/>
      <c r="AN1091" s="10" t="s">
        <v>716</v>
      </c>
      <c r="AO1091" s="15">
        <v>26000</v>
      </c>
    </row>
    <row r="1092" spans="1:41" ht="15" customHeight="1" x14ac:dyDescent="0.3">
      <c r="A1092">
        <v>3</v>
      </c>
      <c r="B1092" s="2" t="s">
        <v>696</v>
      </c>
      <c r="C1092" s="4" t="s">
        <v>689</v>
      </c>
      <c r="D1092" s="3" t="s">
        <v>644</v>
      </c>
      <c r="E1092" s="6" t="s">
        <v>2</v>
      </c>
      <c r="F1092" s="6" t="s">
        <v>189</v>
      </c>
      <c r="G1092" s="6" t="s">
        <v>716</v>
      </c>
      <c r="H1092" s="15">
        <v>39000</v>
      </c>
      <c r="I1092">
        <v>0</v>
      </c>
      <c r="J1092">
        <v>0</v>
      </c>
      <c r="K1092" s="20">
        <f t="shared" si="120"/>
        <v>0</v>
      </c>
      <c r="L1092">
        <v>0</v>
      </c>
      <c r="M1092">
        <v>0</v>
      </c>
      <c r="N1092" s="21">
        <f t="shared" si="121"/>
        <v>0</v>
      </c>
      <c r="O1092">
        <v>0</v>
      </c>
      <c r="P1092">
        <v>0</v>
      </c>
      <c r="Q1092" s="21">
        <f t="shared" si="123"/>
        <v>0</v>
      </c>
      <c r="R1092">
        <v>0</v>
      </c>
      <c r="S1092">
        <v>0</v>
      </c>
      <c r="T1092" s="21">
        <f t="shared" si="124"/>
        <v>0</v>
      </c>
      <c r="U1092">
        <v>40</v>
      </c>
      <c r="V1092">
        <v>2</v>
      </c>
      <c r="W1092" s="21">
        <f t="shared" si="125"/>
        <v>3120000</v>
      </c>
      <c r="X1092">
        <v>0</v>
      </c>
      <c r="Y1092">
        <v>0</v>
      </c>
      <c r="Z1092" s="21">
        <f t="shared" si="126"/>
        <v>0</v>
      </c>
      <c r="AA1092">
        <v>0</v>
      </c>
      <c r="AB1092">
        <v>0</v>
      </c>
      <c r="AC1092" s="21">
        <f t="shared" si="127"/>
        <v>0</v>
      </c>
      <c r="AD1092">
        <v>0</v>
      </c>
      <c r="AE1092">
        <v>0</v>
      </c>
      <c r="AF1092" s="21">
        <f t="shared" si="122"/>
        <v>0</v>
      </c>
      <c r="AK1092" s="10" t="s">
        <v>835</v>
      </c>
      <c r="AL1092" s="11">
        <v>2000</v>
      </c>
      <c r="AM1092" s="12"/>
      <c r="AN1092" s="12"/>
      <c r="AO1092" s="12"/>
    </row>
    <row r="1093" spans="1:41" ht="15" customHeight="1" x14ac:dyDescent="0.3">
      <c r="A1093">
        <v>3</v>
      </c>
      <c r="B1093" s="2" t="s">
        <v>696</v>
      </c>
      <c r="C1093" s="4" t="s">
        <v>689</v>
      </c>
      <c r="D1093" s="3" t="s">
        <v>644</v>
      </c>
      <c r="E1093" s="6" t="s">
        <v>2</v>
      </c>
      <c r="F1093" s="6" t="s">
        <v>189</v>
      </c>
      <c r="G1093" s="6" t="s">
        <v>709</v>
      </c>
      <c r="H1093" s="23">
        <v>28000</v>
      </c>
      <c r="I1093">
        <v>0</v>
      </c>
      <c r="J1093">
        <v>0</v>
      </c>
      <c r="K1093" s="20">
        <f t="shared" si="120"/>
        <v>0</v>
      </c>
      <c r="L1093">
        <v>0</v>
      </c>
      <c r="M1093">
        <v>0</v>
      </c>
      <c r="N1093" s="21">
        <f t="shared" si="121"/>
        <v>0</v>
      </c>
      <c r="O1093">
        <v>0</v>
      </c>
      <c r="P1093">
        <v>0</v>
      </c>
      <c r="Q1093" s="21">
        <f t="shared" si="123"/>
        <v>0</v>
      </c>
      <c r="R1093">
        <v>0</v>
      </c>
      <c r="S1093">
        <v>0</v>
      </c>
      <c r="T1093" s="21">
        <f t="shared" si="124"/>
        <v>0</v>
      </c>
      <c r="U1093">
        <v>40</v>
      </c>
      <c r="V1093">
        <v>2</v>
      </c>
      <c r="W1093" s="21">
        <f t="shared" si="125"/>
        <v>2240000</v>
      </c>
      <c r="X1093">
        <v>0</v>
      </c>
      <c r="Y1093">
        <v>0</v>
      </c>
      <c r="Z1093" s="21">
        <f t="shared" si="126"/>
        <v>0</v>
      </c>
      <c r="AA1093">
        <v>0</v>
      </c>
      <c r="AB1093">
        <v>0</v>
      </c>
      <c r="AC1093" s="21">
        <f t="shared" si="127"/>
        <v>0</v>
      </c>
      <c r="AD1093">
        <v>0</v>
      </c>
      <c r="AE1093">
        <v>0</v>
      </c>
      <c r="AF1093" s="21">
        <f t="shared" si="122"/>
        <v>0</v>
      </c>
    </row>
    <row r="1094" spans="1:41" ht="15" customHeight="1" x14ac:dyDescent="0.3">
      <c r="A1094">
        <v>3</v>
      </c>
      <c r="B1094" s="2" t="s">
        <v>696</v>
      </c>
      <c r="C1094" s="4" t="s">
        <v>689</v>
      </c>
      <c r="D1094" s="3" t="s">
        <v>644</v>
      </c>
      <c r="E1094" s="6" t="s">
        <v>2</v>
      </c>
      <c r="F1094" s="6" t="s">
        <v>189</v>
      </c>
      <c r="G1094" s="6" t="s">
        <v>712</v>
      </c>
      <c r="H1094" s="23">
        <v>214.29</v>
      </c>
      <c r="I1094">
        <v>0</v>
      </c>
      <c r="J1094">
        <v>0</v>
      </c>
      <c r="K1094" s="20">
        <f t="shared" ref="K1094:K1157" si="128">H1094*I1094*J1094</f>
        <v>0</v>
      </c>
      <c r="L1094">
        <v>0</v>
      </c>
      <c r="M1094">
        <v>0</v>
      </c>
      <c r="N1094" s="21">
        <f t="shared" ref="N1094:N1157" si="129">H1094*L1094*M1094</f>
        <v>0</v>
      </c>
      <c r="O1094">
        <v>0</v>
      </c>
      <c r="P1094">
        <v>0</v>
      </c>
      <c r="Q1094" s="21">
        <f t="shared" si="123"/>
        <v>0</v>
      </c>
      <c r="R1094">
        <v>0</v>
      </c>
      <c r="S1094">
        <v>0</v>
      </c>
      <c r="T1094" s="21">
        <f t="shared" si="124"/>
        <v>0</v>
      </c>
      <c r="U1094">
        <v>15000</v>
      </c>
      <c r="V1094">
        <v>1</v>
      </c>
      <c r="W1094" s="21">
        <f t="shared" si="125"/>
        <v>3214350</v>
      </c>
      <c r="X1094">
        <v>0</v>
      </c>
      <c r="Y1094">
        <v>0</v>
      </c>
      <c r="Z1094" s="21">
        <f t="shared" si="126"/>
        <v>0</v>
      </c>
      <c r="AA1094">
        <v>0</v>
      </c>
      <c r="AB1094">
        <v>0</v>
      </c>
      <c r="AC1094" s="21">
        <f t="shared" si="127"/>
        <v>0</v>
      </c>
      <c r="AD1094">
        <v>0</v>
      </c>
      <c r="AE1094">
        <v>0</v>
      </c>
      <c r="AF1094" s="21">
        <f t="shared" ref="AF1094:AF1157" si="130">H1094*AD1094*AE1094</f>
        <v>0</v>
      </c>
    </row>
    <row r="1095" spans="1:41" ht="15" customHeight="1" x14ac:dyDescent="0.3">
      <c r="A1095">
        <v>3</v>
      </c>
      <c r="B1095" s="2" t="s">
        <v>696</v>
      </c>
      <c r="C1095" s="4" t="s">
        <v>689</v>
      </c>
      <c r="D1095" s="3" t="s">
        <v>644</v>
      </c>
      <c r="E1095" s="6" t="s">
        <v>3</v>
      </c>
      <c r="F1095" s="6" t="s">
        <v>190</v>
      </c>
      <c r="G1095" s="6" t="s">
        <v>716</v>
      </c>
      <c r="H1095" s="15">
        <v>39000</v>
      </c>
      <c r="I1095">
        <v>0</v>
      </c>
      <c r="J1095">
        <v>0</v>
      </c>
      <c r="K1095" s="20">
        <f t="shared" si="128"/>
        <v>0</v>
      </c>
      <c r="L1095">
        <v>0</v>
      </c>
      <c r="M1095">
        <v>0</v>
      </c>
      <c r="N1095" s="21">
        <f t="shared" si="129"/>
        <v>0</v>
      </c>
      <c r="O1095">
        <v>0</v>
      </c>
      <c r="P1095">
        <v>0</v>
      </c>
      <c r="Q1095" s="21">
        <f t="shared" si="123"/>
        <v>0</v>
      </c>
      <c r="R1095">
        <v>0</v>
      </c>
      <c r="S1095">
        <v>0</v>
      </c>
      <c r="T1095" s="21">
        <f t="shared" si="124"/>
        <v>0</v>
      </c>
      <c r="U1095">
        <v>20</v>
      </c>
      <c r="V1095">
        <v>10</v>
      </c>
      <c r="W1095" s="21">
        <f t="shared" si="125"/>
        <v>7800000</v>
      </c>
      <c r="X1095">
        <v>0</v>
      </c>
      <c r="Y1095">
        <v>0</v>
      </c>
      <c r="Z1095" s="21">
        <f t="shared" si="126"/>
        <v>0</v>
      </c>
      <c r="AA1095">
        <v>0</v>
      </c>
      <c r="AB1095">
        <v>0</v>
      </c>
      <c r="AC1095" s="21">
        <f t="shared" si="127"/>
        <v>0</v>
      </c>
      <c r="AD1095">
        <v>0</v>
      </c>
      <c r="AE1095">
        <v>0</v>
      </c>
      <c r="AF1095" s="21">
        <f t="shared" si="130"/>
        <v>0</v>
      </c>
    </row>
    <row r="1096" spans="1:41" ht="15" customHeight="1" x14ac:dyDescent="0.3">
      <c r="A1096">
        <v>3</v>
      </c>
      <c r="B1096" s="2" t="s">
        <v>696</v>
      </c>
      <c r="C1096" s="4" t="s">
        <v>689</v>
      </c>
      <c r="D1096" s="3" t="s">
        <v>644</v>
      </c>
      <c r="E1096" s="6" t="s">
        <v>3</v>
      </c>
      <c r="F1096" s="6" t="s">
        <v>190</v>
      </c>
      <c r="G1096" s="6" t="s">
        <v>709</v>
      </c>
      <c r="H1096" s="23">
        <v>28000</v>
      </c>
      <c r="I1096">
        <v>0</v>
      </c>
      <c r="J1096">
        <v>0</v>
      </c>
      <c r="K1096" s="20">
        <f t="shared" si="128"/>
        <v>0</v>
      </c>
      <c r="L1096">
        <v>0</v>
      </c>
      <c r="M1096">
        <v>0</v>
      </c>
      <c r="N1096" s="21">
        <f t="shared" si="129"/>
        <v>0</v>
      </c>
      <c r="O1096">
        <v>0</v>
      </c>
      <c r="P1096">
        <v>0</v>
      </c>
      <c r="Q1096" s="21">
        <f t="shared" si="123"/>
        <v>0</v>
      </c>
      <c r="R1096">
        <v>0</v>
      </c>
      <c r="S1096">
        <v>0</v>
      </c>
      <c r="T1096" s="21">
        <f t="shared" si="124"/>
        <v>0</v>
      </c>
      <c r="U1096">
        <v>20</v>
      </c>
      <c r="V1096">
        <v>10</v>
      </c>
      <c r="W1096" s="21">
        <f t="shared" si="125"/>
        <v>5600000</v>
      </c>
      <c r="X1096">
        <v>0</v>
      </c>
      <c r="Y1096">
        <v>0</v>
      </c>
      <c r="Z1096" s="21">
        <f t="shared" si="126"/>
        <v>0</v>
      </c>
      <c r="AA1096">
        <v>0</v>
      </c>
      <c r="AB1096">
        <v>0</v>
      </c>
      <c r="AC1096" s="21">
        <f t="shared" si="127"/>
        <v>0</v>
      </c>
      <c r="AD1096">
        <v>0</v>
      </c>
      <c r="AE1096">
        <v>0</v>
      </c>
      <c r="AF1096" s="21">
        <f t="shared" si="130"/>
        <v>0</v>
      </c>
    </row>
    <row r="1097" spans="1:41" ht="15" customHeight="1" x14ac:dyDescent="0.3">
      <c r="A1097">
        <v>3</v>
      </c>
      <c r="B1097" s="2" t="s">
        <v>696</v>
      </c>
      <c r="C1097" s="4" t="s">
        <v>689</v>
      </c>
      <c r="D1097" s="3" t="s">
        <v>644</v>
      </c>
      <c r="E1097" s="6" t="s">
        <v>3</v>
      </c>
      <c r="F1097" s="6" t="s">
        <v>190</v>
      </c>
      <c r="G1097" s="6" t="s">
        <v>712</v>
      </c>
      <c r="H1097" s="23">
        <v>214.29</v>
      </c>
      <c r="I1097">
        <v>0</v>
      </c>
      <c r="J1097">
        <v>0</v>
      </c>
      <c r="K1097" s="20">
        <f t="shared" si="128"/>
        <v>0</v>
      </c>
      <c r="L1097">
        <v>0</v>
      </c>
      <c r="M1097">
        <v>0</v>
      </c>
      <c r="N1097" s="21">
        <f t="shared" si="129"/>
        <v>0</v>
      </c>
      <c r="O1097">
        <v>0</v>
      </c>
      <c r="P1097">
        <v>0</v>
      </c>
      <c r="Q1097" s="21">
        <f t="shared" si="123"/>
        <v>0</v>
      </c>
      <c r="R1097">
        <v>0</v>
      </c>
      <c r="S1097">
        <v>0</v>
      </c>
      <c r="T1097" s="21">
        <f t="shared" si="124"/>
        <v>0</v>
      </c>
      <c r="U1097">
        <v>20000</v>
      </c>
      <c r="V1097">
        <v>1</v>
      </c>
      <c r="W1097" s="21">
        <f t="shared" si="125"/>
        <v>4285800</v>
      </c>
      <c r="X1097">
        <v>0</v>
      </c>
      <c r="Y1097">
        <v>0</v>
      </c>
      <c r="Z1097" s="21">
        <f t="shared" si="126"/>
        <v>0</v>
      </c>
      <c r="AA1097">
        <v>0</v>
      </c>
      <c r="AB1097">
        <v>0</v>
      </c>
      <c r="AC1097" s="21">
        <f t="shared" si="127"/>
        <v>0</v>
      </c>
      <c r="AD1097">
        <v>0</v>
      </c>
      <c r="AE1097">
        <v>0</v>
      </c>
      <c r="AF1097" s="21">
        <f t="shared" si="130"/>
        <v>0</v>
      </c>
    </row>
    <row r="1098" spans="1:41" ht="15" customHeight="1" x14ac:dyDescent="0.3">
      <c r="A1098">
        <v>3</v>
      </c>
      <c r="B1098" s="2" t="s">
        <v>696</v>
      </c>
      <c r="C1098" s="4" t="s">
        <v>689</v>
      </c>
      <c r="D1098" s="3" t="s">
        <v>644</v>
      </c>
      <c r="E1098" s="6" t="s">
        <v>3</v>
      </c>
      <c r="F1098" s="6" t="s">
        <v>191</v>
      </c>
      <c r="G1098" s="6" t="s">
        <v>716</v>
      </c>
      <c r="H1098" s="15">
        <v>39000</v>
      </c>
      <c r="I1098">
        <v>0</v>
      </c>
      <c r="J1098">
        <v>0</v>
      </c>
      <c r="K1098" s="20">
        <f t="shared" si="128"/>
        <v>0</v>
      </c>
      <c r="L1098">
        <v>0</v>
      </c>
      <c r="M1098">
        <v>0</v>
      </c>
      <c r="N1098" s="21">
        <f t="shared" si="129"/>
        <v>0</v>
      </c>
      <c r="O1098">
        <v>0</v>
      </c>
      <c r="P1098">
        <v>0</v>
      </c>
      <c r="Q1098" s="21">
        <f t="shared" si="123"/>
        <v>0</v>
      </c>
      <c r="R1098">
        <v>0</v>
      </c>
      <c r="S1098">
        <v>0</v>
      </c>
      <c r="T1098" s="21">
        <f t="shared" si="124"/>
        <v>0</v>
      </c>
      <c r="U1098">
        <v>20</v>
      </c>
      <c r="V1098">
        <v>10</v>
      </c>
      <c r="W1098" s="21">
        <f t="shared" si="125"/>
        <v>7800000</v>
      </c>
      <c r="X1098">
        <v>0</v>
      </c>
      <c r="Y1098">
        <v>0</v>
      </c>
      <c r="Z1098" s="21">
        <f t="shared" si="126"/>
        <v>0</v>
      </c>
      <c r="AA1098">
        <v>0</v>
      </c>
      <c r="AB1098">
        <v>0</v>
      </c>
      <c r="AC1098" s="21">
        <f t="shared" si="127"/>
        <v>0</v>
      </c>
      <c r="AD1098">
        <v>0</v>
      </c>
      <c r="AE1098">
        <v>0</v>
      </c>
      <c r="AF1098" s="21">
        <f t="shared" si="130"/>
        <v>0</v>
      </c>
    </row>
    <row r="1099" spans="1:41" ht="15" customHeight="1" x14ac:dyDescent="0.3">
      <c r="A1099">
        <v>3</v>
      </c>
      <c r="B1099" s="2" t="s">
        <v>696</v>
      </c>
      <c r="C1099" s="4" t="s">
        <v>689</v>
      </c>
      <c r="D1099" s="3" t="s">
        <v>644</v>
      </c>
      <c r="E1099" s="6" t="s">
        <v>3</v>
      </c>
      <c r="F1099" s="6" t="s">
        <v>191</v>
      </c>
      <c r="G1099" s="6" t="s">
        <v>709</v>
      </c>
      <c r="H1099" s="23">
        <v>28000</v>
      </c>
      <c r="I1099">
        <v>0</v>
      </c>
      <c r="J1099">
        <v>0</v>
      </c>
      <c r="K1099" s="20">
        <f t="shared" si="128"/>
        <v>0</v>
      </c>
      <c r="L1099">
        <v>0</v>
      </c>
      <c r="M1099">
        <v>0</v>
      </c>
      <c r="N1099" s="21">
        <f t="shared" si="129"/>
        <v>0</v>
      </c>
      <c r="O1099">
        <v>0</v>
      </c>
      <c r="P1099">
        <v>0</v>
      </c>
      <c r="Q1099" s="21">
        <f t="shared" si="123"/>
        <v>0</v>
      </c>
      <c r="R1099">
        <v>0</v>
      </c>
      <c r="S1099">
        <v>0</v>
      </c>
      <c r="T1099" s="21">
        <f t="shared" si="124"/>
        <v>0</v>
      </c>
      <c r="U1099">
        <v>20</v>
      </c>
      <c r="V1099">
        <v>10</v>
      </c>
      <c r="W1099" s="21">
        <f t="shared" si="125"/>
        <v>5600000</v>
      </c>
      <c r="X1099">
        <v>0</v>
      </c>
      <c r="Y1099">
        <v>0</v>
      </c>
      <c r="Z1099" s="21">
        <f t="shared" si="126"/>
        <v>0</v>
      </c>
      <c r="AA1099">
        <v>0</v>
      </c>
      <c r="AB1099">
        <v>0</v>
      </c>
      <c r="AC1099" s="21">
        <f t="shared" si="127"/>
        <v>0</v>
      </c>
      <c r="AD1099">
        <v>0</v>
      </c>
      <c r="AE1099">
        <v>0</v>
      </c>
      <c r="AF1099" s="21">
        <f t="shared" si="130"/>
        <v>0</v>
      </c>
    </row>
    <row r="1100" spans="1:41" ht="15" customHeight="1" x14ac:dyDescent="0.3">
      <c r="A1100">
        <v>3</v>
      </c>
      <c r="B1100" s="2" t="s">
        <v>696</v>
      </c>
      <c r="C1100" s="4" t="s">
        <v>689</v>
      </c>
      <c r="D1100" s="3" t="s">
        <v>644</v>
      </c>
      <c r="E1100" s="6" t="s">
        <v>3</v>
      </c>
      <c r="F1100" s="6" t="s">
        <v>191</v>
      </c>
      <c r="G1100" s="6" t="s">
        <v>712</v>
      </c>
      <c r="H1100" s="23">
        <v>214.29</v>
      </c>
      <c r="I1100">
        <v>0</v>
      </c>
      <c r="J1100">
        <v>0</v>
      </c>
      <c r="K1100" s="20">
        <f t="shared" si="128"/>
        <v>0</v>
      </c>
      <c r="L1100">
        <v>0</v>
      </c>
      <c r="M1100">
        <v>0</v>
      </c>
      <c r="N1100" s="21">
        <f t="shared" si="129"/>
        <v>0</v>
      </c>
      <c r="O1100">
        <v>0</v>
      </c>
      <c r="P1100">
        <v>0</v>
      </c>
      <c r="Q1100" s="21">
        <f t="shared" si="123"/>
        <v>0</v>
      </c>
      <c r="R1100">
        <v>0</v>
      </c>
      <c r="S1100">
        <v>0</v>
      </c>
      <c r="T1100" s="21">
        <f t="shared" si="124"/>
        <v>0</v>
      </c>
      <c r="U1100">
        <v>20000</v>
      </c>
      <c r="V1100">
        <v>1</v>
      </c>
      <c r="W1100" s="21">
        <f t="shared" si="125"/>
        <v>4285800</v>
      </c>
      <c r="X1100">
        <v>0</v>
      </c>
      <c r="Y1100">
        <v>0</v>
      </c>
      <c r="Z1100" s="21">
        <f t="shared" si="126"/>
        <v>0</v>
      </c>
      <c r="AA1100">
        <v>0</v>
      </c>
      <c r="AB1100">
        <v>0</v>
      </c>
      <c r="AC1100" s="21">
        <f t="shared" si="127"/>
        <v>0</v>
      </c>
      <c r="AD1100">
        <v>0</v>
      </c>
      <c r="AE1100">
        <v>0</v>
      </c>
      <c r="AF1100" s="21">
        <f t="shared" si="130"/>
        <v>0</v>
      </c>
    </row>
    <row r="1101" spans="1:41" ht="15" customHeight="1" x14ac:dyDescent="0.3">
      <c r="A1101">
        <v>3</v>
      </c>
      <c r="B1101" s="2" t="s">
        <v>696</v>
      </c>
      <c r="C1101" s="4" t="s">
        <v>689</v>
      </c>
      <c r="D1101" s="3" t="s">
        <v>644</v>
      </c>
      <c r="E1101" s="6" t="s">
        <v>3</v>
      </c>
      <c r="F1101" s="6" t="s">
        <v>192</v>
      </c>
      <c r="G1101" s="6" t="s">
        <v>716</v>
      </c>
      <c r="H1101" s="15">
        <v>39000</v>
      </c>
      <c r="I1101">
        <v>0</v>
      </c>
      <c r="J1101">
        <v>0</v>
      </c>
      <c r="K1101" s="20">
        <f t="shared" si="128"/>
        <v>0</v>
      </c>
      <c r="L1101">
        <v>0</v>
      </c>
      <c r="M1101">
        <v>0</v>
      </c>
      <c r="N1101" s="21">
        <f t="shared" si="129"/>
        <v>0</v>
      </c>
      <c r="O1101">
        <v>0</v>
      </c>
      <c r="P1101">
        <v>0</v>
      </c>
      <c r="Q1101" s="21">
        <f t="shared" si="123"/>
        <v>0</v>
      </c>
      <c r="R1101">
        <v>0</v>
      </c>
      <c r="S1101">
        <v>0</v>
      </c>
      <c r="T1101" s="21">
        <f t="shared" si="124"/>
        <v>0</v>
      </c>
      <c r="U1101">
        <v>20</v>
      </c>
      <c r="V1101">
        <v>2</v>
      </c>
      <c r="W1101" s="21">
        <f t="shared" si="125"/>
        <v>1560000</v>
      </c>
      <c r="X1101">
        <v>0</v>
      </c>
      <c r="Y1101">
        <v>0</v>
      </c>
      <c r="Z1101" s="21">
        <f t="shared" si="126"/>
        <v>0</v>
      </c>
      <c r="AA1101">
        <v>0</v>
      </c>
      <c r="AB1101">
        <v>0</v>
      </c>
      <c r="AC1101" s="21">
        <f t="shared" si="127"/>
        <v>0</v>
      </c>
      <c r="AD1101">
        <v>0</v>
      </c>
      <c r="AE1101">
        <v>0</v>
      </c>
      <c r="AF1101" s="21">
        <f t="shared" si="130"/>
        <v>0</v>
      </c>
    </row>
    <row r="1102" spans="1:41" ht="15" customHeight="1" x14ac:dyDescent="0.3">
      <c r="A1102">
        <v>3</v>
      </c>
      <c r="B1102" s="2" t="s">
        <v>696</v>
      </c>
      <c r="C1102" s="4" t="s">
        <v>689</v>
      </c>
      <c r="D1102" s="3" t="s">
        <v>644</v>
      </c>
      <c r="E1102" s="6" t="s">
        <v>3</v>
      </c>
      <c r="F1102" s="6" t="s">
        <v>192</v>
      </c>
      <c r="G1102" s="6" t="s">
        <v>709</v>
      </c>
      <c r="H1102" s="23">
        <v>28000</v>
      </c>
      <c r="I1102">
        <v>0</v>
      </c>
      <c r="J1102">
        <v>0</v>
      </c>
      <c r="K1102" s="20">
        <f t="shared" si="128"/>
        <v>0</v>
      </c>
      <c r="L1102">
        <v>0</v>
      </c>
      <c r="M1102">
        <v>0</v>
      </c>
      <c r="N1102" s="21">
        <f t="shared" si="129"/>
        <v>0</v>
      </c>
      <c r="O1102">
        <v>0</v>
      </c>
      <c r="P1102">
        <v>0</v>
      </c>
      <c r="Q1102" s="21">
        <f t="shared" si="123"/>
        <v>0</v>
      </c>
      <c r="R1102">
        <v>0</v>
      </c>
      <c r="S1102">
        <v>0</v>
      </c>
      <c r="T1102" s="21">
        <f t="shared" si="124"/>
        <v>0</v>
      </c>
      <c r="U1102">
        <v>20</v>
      </c>
      <c r="V1102">
        <v>2</v>
      </c>
      <c r="W1102" s="21">
        <f t="shared" si="125"/>
        <v>1120000</v>
      </c>
      <c r="X1102">
        <v>0</v>
      </c>
      <c r="Y1102">
        <v>0</v>
      </c>
      <c r="Z1102" s="21">
        <f t="shared" si="126"/>
        <v>0</v>
      </c>
      <c r="AA1102">
        <v>0</v>
      </c>
      <c r="AB1102">
        <v>0</v>
      </c>
      <c r="AC1102" s="21">
        <f t="shared" si="127"/>
        <v>0</v>
      </c>
      <c r="AD1102">
        <v>0</v>
      </c>
      <c r="AE1102">
        <v>0</v>
      </c>
      <c r="AF1102" s="21">
        <f t="shared" si="130"/>
        <v>0</v>
      </c>
    </row>
    <row r="1103" spans="1:41" ht="15" customHeight="1" x14ac:dyDescent="0.3">
      <c r="A1103">
        <v>3</v>
      </c>
      <c r="B1103" s="2" t="s">
        <v>696</v>
      </c>
      <c r="C1103" s="4" t="s">
        <v>689</v>
      </c>
      <c r="D1103" s="3" t="s">
        <v>644</v>
      </c>
      <c r="E1103" s="6" t="s">
        <v>3</v>
      </c>
      <c r="F1103" s="6" t="s">
        <v>192</v>
      </c>
      <c r="G1103" s="6" t="s">
        <v>712</v>
      </c>
      <c r="H1103" s="23">
        <v>214.29</v>
      </c>
      <c r="I1103">
        <v>0</v>
      </c>
      <c r="J1103">
        <v>0</v>
      </c>
      <c r="K1103" s="20">
        <f t="shared" si="128"/>
        <v>0</v>
      </c>
      <c r="L1103">
        <v>0</v>
      </c>
      <c r="M1103">
        <v>0</v>
      </c>
      <c r="N1103" s="21">
        <f t="shared" si="129"/>
        <v>0</v>
      </c>
      <c r="O1103">
        <v>0</v>
      </c>
      <c r="P1103">
        <v>0</v>
      </c>
      <c r="Q1103" s="21">
        <f t="shared" si="123"/>
        <v>0</v>
      </c>
      <c r="R1103">
        <v>0</v>
      </c>
      <c r="S1103">
        <v>0</v>
      </c>
      <c r="T1103" s="21">
        <f t="shared" si="124"/>
        <v>0</v>
      </c>
      <c r="U1103">
        <v>8000</v>
      </c>
      <c r="V1103">
        <v>1</v>
      </c>
      <c r="W1103" s="21">
        <f t="shared" si="125"/>
        <v>1714320</v>
      </c>
      <c r="X1103">
        <v>0</v>
      </c>
      <c r="Y1103">
        <v>0</v>
      </c>
      <c r="Z1103" s="21">
        <f t="shared" si="126"/>
        <v>0</v>
      </c>
      <c r="AA1103">
        <v>0</v>
      </c>
      <c r="AB1103">
        <v>0</v>
      </c>
      <c r="AC1103" s="21">
        <f t="shared" si="127"/>
        <v>0</v>
      </c>
      <c r="AD1103">
        <v>0</v>
      </c>
      <c r="AE1103">
        <v>0</v>
      </c>
      <c r="AF1103" s="21">
        <f t="shared" si="130"/>
        <v>0</v>
      </c>
    </row>
    <row r="1104" spans="1:41" ht="15" customHeight="1" x14ac:dyDescent="0.3">
      <c r="A1104">
        <v>3</v>
      </c>
      <c r="B1104" s="2" t="s">
        <v>696</v>
      </c>
      <c r="C1104" s="4" t="s">
        <v>689</v>
      </c>
      <c r="D1104" s="3" t="s">
        <v>644</v>
      </c>
      <c r="E1104" s="6" t="s">
        <v>4</v>
      </c>
      <c r="F1104" s="6" t="s">
        <v>193</v>
      </c>
      <c r="G1104" s="6" t="s">
        <v>716</v>
      </c>
      <c r="H1104" s="15">
        <v>39000</v>
      </c>
      <c r="I1104">
        <v>0</v>
      </c>
      <c r="J1104">
        <v>0</v>
      </c>
      <c r="K1104" s="20">
        <f t="shared" si="128"/>
        <v>0</v>
      </c>
      <c r="L1104">
        <v>0</v>
      </c>
      <c r="M1104">
        <v>0</v>
      </c>
      <c r="N1104" s="21">
        <f t="shared" si="129"/>
        <v>0</v>
      </c>
      <c r="O1104">
        <v>0</v>
      </c>
      <c r="P1104">
        <v>0</v>
      </c>
      <c r="Q1104" s="21">
        <f t="shared" si="123"/>
        <v>0</v>
      </c>
      <c r="R1104">
        <v>0</v>
      </c>
      <c r="S1104">
        <v>0</v>
      </c>
      <c r="T1104" s="21">
        <f t="shared" si="124"/>
        <v>0</v>
      </c>
      <c r="U1104">
        <v>30</v>
      </c>
      <c r="V1104">
        <v>10</v>
      </c>
      <c r="W1104" s="21">
        <f t="shared" si="125"/>
        <v>11700000</v>
      </c>
      <c r="X1104">
        <v>0</v>
      </c>
      <c r="Y1104">
        <v>0</v>
      </c>
      <c r="Z1104" s="21">
        <f t="shared" si="126"/>
        <v>0</v>
      </c>
      <c r="AA1104">
        <v>0</v>
      </c>
      <c r="AB1104">
        <v>0</v>
      </c>
      <c r="AC1104" s="21">
        <f t="shared" si="127"/>
        <v>0</v>
      </c>
      <c r="AD1104">
        <v>0</v>
      </c>
      <c r="AE1104">
        <v>0</v>
      </c>
      <c r="AF1104" s="21">
        <f t="shared" si="130"/>
        <v>0</v>
      </c>
    </row>
    <row r="1105" spans="1:32" ht="15" customHeight="1" x14ac:dyDescent="0.3">
      <c r="A1105">
        <v>3</v>
      </c>
      <c r="B1105" s="2" t="s">
        <v>696</v>
      </c>
      <c r="C1105" s="4" t="s">
        <v>689</v>
      </c>
      <c r="D1105" s="3" t="s">
        <v>644</v>
      </c>
      <c r="E1105" s="6" t="s">
        <v>4</v>
      </c>
      <c r="F1105" s="6" t="s">
        <v>193</v>
      </c>
      <c r="G1105" s="6" t="s">
        <v>709</v>
      </c>
      <c r="H1105" s="23">
        <v>28000</v>
      </c>
      <c r="I1105">
        <v>0</v>
      </c>
      <c r="J1105">
        <v>0</v>
      </c>
      <c r="K1105" s="20">
        <f t="shared" si="128"/>
        <v>0</v>
      </c>
      <c r="L1105">
        <v>0</v>
      </c>
      <c r="M1105">
        <v>0</v>
      </c>
      <c r="N1105" s="21">
        <f t="shared" si="129"/>
        <v>0</v>
      </c>
      <c r="O1105">
        <v>0</v>
      </c>
      <c r="P1105">
        <v>0</v>
      </c>
      <c r="Q1105" s="21">
        <f t="shared" si="123"/>
        <v>0</v>
      </c>
      <c r="R1105">
        <v>0</v>
      </c>
      <c r="S1105">
        <v>0</v>
      </c>
      <c r="T1105" s="21">
        <f t="shared" si="124"/>
        <v>0</v>
      </c>
      <c r="U1105">
        <v>30</v>
      </c>
      <c r="V1105">
        <v>10</v>
      </c>
      <c r="W1105" s="21">
        <f t="shared" si="125"/>
        <v>8400000</v>
      </c>
      <c r="X1105">
        <v>0</v>
      </c>
      <c r="Y1105">
        <v>0</v>
      </c>
      <c r="Z1105" s="21">
        <f t="shared" si="126"/>
        <v>0</v>
      </c>
      <c r="AA1105">
        <v>0</v>
      </c>
      <c r="AB1105">
        <v>0</v>
      </c>
      <c r="AC1105" s="21">
        <f t="shared" si="127"/>
        <v>0</v>
      </c>
      <c r="AD1105">
        <v>0</v>
      </c>
      <c r="AE1105">
        <v>0</v>
      </c>
      <c r="AF1105" s="21">
        <f t="shared" si="130"/>
        <v>0</v>
      </c>
    </row>
    <row r="1106" spans="1:32" ht="15" customHeight="1" x14ac:dyDescent="0.3">
      <c r="A1106">
        <v>3</v>
      </c>
      <c r="B1106" s="2" t="s">
        <v>696</v>
      </c>
      <c r="C1106" s="4" t="s">
        <v>689</v>
      </c>
      <c r="D1106" s="3" t="s">
        <v>644</v>
      </c>
      <c r="E1106" s="6" t="s">
        <v>4</v>
      </c>
      <c r="F1106" s="6" t="s">
        <v>193</v>
      </c>
      <c r="G1106" s="6" t="s">
        <v>712</v>
      </c>
      <c r="H1106" s="23">
        <v>214.29</v>
      </c>
      <c r="I1106">
        <v>0</v>
      </c>
      <c r="J1106">
        <v>0</v>
      </c>
      <c r="K1106" s="20">
        <f t="shared" si="128"/>
        <v>0</v>
      </c>
      <c r="L1106">
        <v>0</v>
      </c>
      <c r="M1106">
        <v>0</v>
      </c>
      <c r="N1106" s="21">
        <f t="shared" si="129"/>
        <v>0</v>
      </c>
      <c r="O1106">
        <v>0</v>
      </c>
      <c r="P1106">
        <v>0</v>
      </c>
      <c r="Q1106" s="21">
        <f t="shared" si="123"/>
        <v>0</v>
      </c>
      <c r="R1106">
        <v>0</v>
      </c>
      <c r="S1106">
        <v>0</v>
      </c>
      <c r="T1106" s="21">
        <f t="shared" si="124"/>
        <v>0</v>
      </c>
      <c r="U1106">
        <v>8000</v>
      </c>
      <c r="V1106">
        <v>1</v>
      </c>
      <c r="W1106" s="21">
        <f t="shared" si="125"/>
        <v>1714320</v>
      </c>
      <c r="X1106">
        <v>0</v>
      </c>
      <c r="Y1106">
        <v>0</v>
      </c>
      <c r="Z1106" s="21">
        <f t="shared" si="126"/>
        <v>0</v>
      </c>
      <c r="AA1106">
        <v>0</v>
      </c>
      <c r="AB1106">
        <v>0</v>
      </c>
      <c r="AC1106" s="21">
        <f t="shared" si="127"/>
        <v>0</v>
      </c>
      <c r="AD1106">
        <v>0</v>
      </c>
      <c r="AE1106">
        <v>0</v>
      </c>
      <c r="AF1106" s="21">
        <f t="shared" si="130"/>
        <v>0</v>
      </c>
    </row>
    <row r="1107" spans="1:32" ht="15" customHeight="1" x14ac:dyDescent="0.3">
      <c r="A1107">
        <v>3</v>
      </c>
      <c r="B1107" s="2" t="s">
        <v>696</v>
      </c>
      <c r="C1107" s="4" t="s">
        <v>689</v>
      </c>
      <c r="D1107" s="3" t="s">
        <v>644</v>
      </c>
      <c r="E1107" s="6" t="s">
        <v>4</v>
      </c>
      <c r="F1107" s="6" t="s">
        <v>194</v>
      </c>
      <c r="G1107" s="6" t="s">
        <v>716</v>
      </c>
      <c r="H1107" s="15">
        <v>39000</v>
      </c>
      <c r="I1107">
        <v>0</v>
      </c>
      <c r="J1107">
        <v>0</v>
      </c>
      <c r="K1107" s="20">
        <f t="shared" si="128"/>
        <v>0</v>
      </c>
      <c r="L1107">
        <v>0</v>
      </c>
      <c r="M1107">
        <v>0</v>
      </c>
      <c r="N1107" s="21">
        <f t="shared" si="129"/>
        <v>0</v>
      </c>
      <c r="O1107">
        <v>0</v>
      </c>
      <c r="P1107">
        <v>0</v>
      </c>
      <c r="Q1107" s="21">
        <f t="shared" si="123"/>
        <v>0</v>
      </c>
      <c r="R1107">
        <v>0</v>
      </c>
      <c r="S1107">
        <v>0</v>
      </c>
      <c r="T1107" s="21">
        <f t="shared" si="124"/>
        <v>0</v>
      </c>
      <c r="U1107">
        <v>20</v>
      </c>
      <c r="V1107">
        <v>10</v>
      </c>
      <c r="W1107" s="21">
        <f t="shared" si="125"/>
        <v>7800000</v>
      </c>
      <c r="X1107">
        <v>0</v>
      </c>
      <c r="Y1107">
        <v>0</v>
      </c>
      <c r="Z1107" s="21">
        <f t="shared" si="126"/>
        <v>0</v>
      </c>
      <c r="AA1107">
        <v>0</v>
      </c>
      <c r="AB1107">
        <v>0</v>
      </c>
      <c r="AC1107" s="21">
        <f t="shared" si="127"/>
        <v>0</v>
      </c>
      <c r="AD1107">
        <v>0</v>
      </c>
      <c r="AE1107">
        <v>0</v>
      </c>
      <c r="AF1107" s="21">
        <f t="shared" si="130"/>
        <v>0</v>
      </c>
    </row>
    <row r="1108" spans="1:32" ht="15" customHeight="1" x14ac:dyDescent="0.3">
      <c r="A1108">
        <v>3</v>
      </c>
      <c r="B1108" s="2" t="s">
        <v>696</v>
      </c>
      <c r="C1108" s="4" t="s">
        <v>689</v>
      </c>
      <c r="D1108" s="3" t="s">
        <v>644</v>
      </c>
      <c r="E1108" s="6" t="s">
        <v>4</v>
      </c>
      <c r="F1108" s="6" t="s">
        <v>194</v>
      </c>
      <c r="G1108" s="6" t="s">
        <v>709</v>
      </c>
      <c r="H1108" s="23">
        <v>28000</v>
      </c>
      <c r="I1108">
        <v>0</v>
      </c>
      <c r="J1108">
        <v>0</v>
      </c>
      <c r="K1108" s="20">
        <f t="shared" si="128"/>
        <v>0</v>
      </c>
      <c r="L1108">
        <v>0</v>
      </c>
      <c r="M1108">
        <v>0</v>
      </c>
      <c r="N1108" s="21">
        <f t="shared" si="129"/>
        <v>0</v>
      </c>
      <c r="O1108">
        <v>0</v>
      </c>
      <c r="P1108">
        <v>0</v>
      </c>
      <c r="Q1108" s="21">
        <f t="shared" si="123"/>
        <v>0</v>
      </c>
      <c r="R1108">
        <v>0</v>
      </c>
      <c r="S1108">
        <v>0</v>
      </c>
      <c r="T1108" s="21">
        <f t="shared" si="124"/>
        <v>0</v>
      </c>
      <c r="U1108">
        <v>20</v>
      </c>
      <c r="V1108">
        <v>10</v>
      </c>
      <c r="W1108" s="21">
        <f t="shared" si="125"/>
        <v>5600000</v>
      </c>
      <c r="X1108">
        <v>0</v>
      </c>
      <c r="Y1108">
        <v>0</v>
      </c>
      <c r="Z1108" s="21">
        <f t="shared" si="126"/>
        <v>0</v>
      </c>
      <c r="AA1108">
        <v>0</v>
      </c>
      <c r="AB1108">
        <v>0</v>
      </c>
      <c r="AC1108" s="21">
        <f t="shared" si="127"/>
        <v>0</v>
      </c>
      <c r="AD1108">
        <v>0</v>
      </c>
      <c r="AE1108">
        <v>0</v>
      </c>
      <c r="AF1108" s="21">
        <f t="shared" si="130"/>
        <v>0</v>
      </c>
    </row>
    <row r="1109" spans="1:32" ht="15" customHeight="1" x14ac:dyDescent="0.3">
      <c r="A1109">
        <v>3</v>
      </c>
      <c r="B1109" s="2" t="s">
        <v>696</v>
      </c>
      <c r="C1109" s="4" t="s">
        <v>689</v>
      </c>
      <c r="D1109" s="3" t="s">
        <v>644</v>
      </c>
      <c r="E1109" s="6" t="s">
        <v>4</v>
      </c>
      <c r="F1109" s="6" t="s">
        <v>194</v>
      </c>
      <c r="G1109" s="6" t="s">
        <v>712</v>
      </c>
      <c r="H1109" s="23">
        <v>214.29</v>
      </c>
      <c r="I1109">
        <v>0</v>
      </c>
      <c r="J1109">
        <v>0</v>
      </c>
      <c r="K1109" s="20">
        <f t="shared" si="128"/>
        <v>0</v>
      </c>
      <c r="L1109">
        <v>0</v>
      </c>
      <c r="M1109">
        <v>0</v>
      </c>
      <c r="N1109" s="21">
        <f t="shared" si="129"/>
        <v>0</v>
      </c>
      <c r="O1109">
        <v>0</v>
      </c>
      <c r="P1109">
        <v>0</v>
      </c>
      <c r="Q1109" s="21">
        <f t="shared" si="123"/>
        <v>0</v>
      </c>
      <c r="R1109">
        <v>0</v>
      </c>
      <c r="S1109">
        <v>0</v>
      </c>
      <c r="T1109" s="21">
        <f t="shared" si="124"/>
        <v>0</v>
      </c>
      <c r="U1109">
        <v>8000</v>
      </c>
      <c r="V1109">
        <v>1</v>
      </c>
      <c r="W1109" s="21">
        <f t="shared" si="125"/>
        <v>1714320</v>
      </c>
      <c r="X1109">
        <v>0</v>
      </c>
      <c r="Y1109">
        <v>0</v>
      </c>
      <c r="Z1109" s="21">
        <f t="shared" si="126"/>
        <v>0</v>
      </c>
      <c r="AA1109">
        <v>0</v>
      </c>
      <c r="AB1109">
        <v>0</v>
      </c>
      <c r="AC1109" s="21">
        <f t="shared" si="127"/>
        <v>0</v>
      </c>
      <c r="AD1109">
        <v>0</v>
      </c>
      <c r="AE1109">
        <v>0</v>
      </c>
      <c r="AF1109" s="21">
        <f t="shared" si="130"/>
        <v>0</v>
      </c>
    </row>
    <row r="1110" spans="1:32" ht="15" customHeight="1" x14ac:dyDescent="0.3">
      <c r="A1110">
        <v>3</v>
      </c>
      <c r="B1110" s="2" t="s">
        <v>696</v>
      </c>
      <c r="C1110" s="4" t="s">
        <v>689</v>
      </c>
      <c r="D1110" s="3" t="s">
        <v>644</v>
      </c>
      <c r="E1110" s="6" t="s">
        <v>4</v>
      </c>
      <c r="F1110" s="6" t="s">
        <v>195</v>
      </c>
      <c r="G1110" s="6" t="s">
        <v>716</v>
      </c>
      <c r="H1110" s="15">
        <v>39000</v>
      </c>
      <c r="I1110">
        <v>0</v>
      </c>
      <c r="J1110">
        <v>0</v>
      </c>
      <c r="K1110" s="20">
        <f t="shared" si="128"/>
        <v>0</v>
      </c>
      <c r="L1110">
        <v>0</v>
      </c>
      <c r="M1110">
        <v>0</v>
      </c>
      <c r="N1110" s="21">
        <f t="shared" si="129"/>
        <v>0</v>
      </c>
      <c r="O1110">
        <v>0</v>
      </c>
      <c r="P1110">
        <v>0</v>
      </c>
      <c r="Q1110" s="21">
        <f t="shared" si="123"/>
        <v>0</v>
      </c>
      <c r="R1110">
        <v>0</v>
      </c>
      <c r="S1110">
        <v>0</v>
      </c>
      <c r="T1110" s="21">
        <f t="shared" si="124"/>
        <v>0</v>
      </c>
      <c r="U1110">
        <v>30</v>
      </c>
      <c r="V1110">
        <v>2</v>
      </c>
      <c r="W1110" s="21">
        <f t="shared" si="125"/>
        <v>2340000</v>
      </c>
      <c r="X1110">
        <v>0</v>
      </c>
      <c r="Y1110">
        <v>0</v>
      </c>
      <c r="Z1110" s="21">
        <f t="shared" si="126"/>
        <v>0</v>
      </c>
      <c r="AA1110">
        <v>0</v>
      </c>
      <c r="AB1110">
        <v>0</v>
      </c>
      <c r="AC1110" s="21">
        <f t="shared" si="127"/>
        <v>0</v>
      </c>
      <c r="AD1110">
        <v>0</v>
      </c>
      <c r="AE1110">
        <v>0</v>
      </c>
      <c r="AF1110" s="21">
        <f t="shared" si="130"/>
        <v>0</v>
      </c>
    </row>
    <row r="1111" spans="1:32" ht="15" customHeight="1" x14ac:dyDescent="0.3">
      <c r="A1111">
        <v>3</v>
      </c>
      <c r="B1111" s="2" t="s">
        <v>696</v>
      </c>
      <c r="C1111" s="4" t="s">
        <v>689</v>
      </c>
      <c r="D1111" s="3" t="s">
        <v>644</v>
      </c>
      <c r="E1111" s="6" t="s">
        <v>4</v>
      </c>
      <c r="F1111" s="6" t="s">
        <v>195</v>
      </c>
      <c r="G1111" s="6" t="s">
        <v>709</v>
      </c>
      <c r="H1111" s="23">
        <v>28000</v>
      </c>
      <c r="I1111">
        <v>0</v>
      </c>
      <c r="J1111">
        <v>0</v>
      </c>
      <c r="K1111" s="20">
        <f t="shared" si="128"/>
        <v>0</v>
      </c>
      <c r="L1111">
        <v>0</v>
      </c>
      <c r="M1111">
        <v>0</v>
      </c>
      <c r="N1111" s="21">
        <f t="shared" si="129"/>
        <v>0</v>
      </c>
      <c r="O1111">
        <v>0</v>
      </c>
      <c r="P1111">
        <v>0</v>
      </c>
      <c r="Q1111" s="21">
        <f t="shared" si="123"/>
        <v>0</v>
      </c>
      <c r="R1111">
        <v>0</v>
      </c>
      <c r="S1111">
        <v>0</v>
      </c>
      <c r="T1111" s="21">
        <f t="shared" si="124"/>
        <v>0</v>
      </c>
      <c r="U1111">
        <v>30</v>
      </c>
      <c r="V1111">
        <v>2</v>
      </c>
      <c r="W1111" s="21">
        <f t="shared" si="125"/>
        <v>1680000</v>
      </c>
      <c r="X1111">
        <v>0</v>
      </c>
      <c r="Y1111">
        <v>0</v>
      </c>
      <c r="Z1111" s="21">
        <f t="shared" si="126"/>
        <v>0</v>
      </c>
      <c r="AA1111">
        <v>0</v>
      </c>
      <c r="AB1111">
        <v>0</v>
      </c>
      <c r="AC1111" s="21">
        <f t="shared" si="127"/>
        <v>0</v>
      </c>
      <c r="AD1111">
        <v>0</v>
      </c>
      <c r="AE1111">
        <v>0</v>
      </c>
      <c r="AF1111" s="21">
        <f t="shared" si="130"/>
        <v>0</v>
      </c>
    </row>
    <row r="1112" spans="1:32" ht="15" customHeight="1" x14ac:dyDescent="0.3">
      <c r="A1112">
        <v>3</v>
      </c>
      <c r="B1112" s="2" t="s">
        <v>696</v>
      </c>
      <c r="C1112" s="4" t="s">
        <v>689</v>
      </c>
      <c r="D1112" s="3" t="s">
        <v>644</v>
      </c>
      <c r="E1112" s="6" t="s">
        <v>4</v>
      </c>
      <c r="F1112" s="6" t="s">
        <v>195</v>
      </c>
      <c r="G1112" s="6" t="s">
        <v>712</v>
      </c>
      <c r="H1112" s="23">
        <v>214.29</v>
      </c>
      <c r="I1112">
        <v>0</v>
      </c>
      <c r="J1112">
        <v>0</v>
      </c>
      <c r="K1112" s="20">
        <f t="shared" si="128"/>
        <v>0</v>
      </c>
      <c r="L1112">
        <v>0</v>
      </c>
      <c r="M1112">
        <v>0</v>
      </c>
      <c r="N1112" s="21">
        <f t="shared" si="129"/>
        <v>0</v>
      </c>
      <c r="O1112">
        <v>0</v>
      </c>
      <c r="P1112">
        <v>0</v>
      </c>
      <c r="Q1112" s="21">
        <f t="shared" si="123"/>
        <v>0</v>
      </c>
      <c r="R1112">
        <v>0</v>
      </c>
      <c r="S1112">
        <v>0</v>
      </c>
      <c r="T1112" s="21">
        <f t="shared" si="124"/>
        <v>0</v>
      </c>
      <c r="U1112">
        <v>8000</v>
      </c>
      <c r="V1112">
        <v>1</v>
      </c>
      <c r="W1112" s="21">
        <f t="shared" si="125"/>
        <v>1714320</v>
      </c>
      <c r="X1112">
        <v>0</v>
      </c>
      <c r="Y1112">
        <v>0</v>
      </c>
      <c r="Z1112" s="21">
        <f t="shared" si="126"/>
        <v>0</v>
      </c>
      <c r="AA1112">
        <v>0</v>
      </c>
      <c r="AB1112">
        <v>0</v>
      </c>
      <c r="AC1112" s="21">
        <f t="shared" si="127"/>
        <v>0</v>
      </c>
      <c r="AD1112">
        <v>0</v>
      </c>
      <c r="AE1112">
        <v>0</v>
      </c>
      <c r="AF1112" s="21">
        <f t="shared" si="130"/>
        <v>0</v>
      </c>
    </row>
    <row r="1113" spans="1:32" ht="15" customHeight="1" x14ac:dyDescent="0.3">
      <c r="A1113">
        <v>3</v>
      </c>
      <c r="B1113" s="2" t="s">
        <v>696</v>
      </c>
      <c r="C1113" s="4" t="s">
        <v>689</v>
      </c>
      <c r="D1113" s="3" t="s">
        <v>644</v>
      </c>
      <c r="E1113" s="6" t="s">
        <v>5</v>
      </c>
      <c r="F1113" s="6" t="s">
        <v>196</v>
      </c>
      <c r="G1113" s="6" t="s">
        <v>718</v>
      </c>
      <c r="H1113" s="23">
        <v>0</v>
      </c>
      <c r="I1113">
        <v>0</v>
      </c>
      <c r="J1113">
        <v>0</v>
      </c>
      <c r="K1113" s="20">
        <f t="shared" si="128"/>
        <v>0</v>
      </c>
      <c r="L1113">
        <v>0</v>
      </c>
      <c r="M1113">
        <v>0</v>
      </c>
      <c r="N1113" s="21">
        <f t="shared" si="129"/>
        <v>0</v>
      </c>
      <c r="O1113">
        <v>0</v>
      </c>
      <c r="P1113">
        <v>0</v>
      </c>
      <c r="Q1113" s="21">
        <f t="shared" si="123"/>
        <v>0</v>
      </c>
      <c r="R1113">
        <v>0</v>
      </c>
      <c r="S1113">
        <v>0</v>
      </c>
      <c r="T1113" s="21">
        <f t="shared" si="124"/>
        <v>0</v>
      </c>
      <c r="U1113">
        <v>0</v>
      </c>
      <c r="V1113">
        <v>0</v>
      </c>
      <c r="W1113" s="21">
        <f t="shared" si="125"/>
        <v>0</v>
      </c>
      <c r="X1113">
        <v>0</v>
      </c>
      <c r="Y1113">
        <v>0</v>
      </c>
      <c r="Z1113" s="21">
        <f t="shared" si="126"/>
        <v>0</v>
      </c>
      <c r="AA1113">
        <v>0</v>
      </c>
      <c r="AB1113">
        <v>0</v>
      </c>
      <c r="AC1113" s="21">
        <f t="shared" si="127"/>
        <v>0</v>
      </c>
      <c r="AD1113">
        <v>0</v>
      </c>
      <c r="AE1113">
        <v>0</v>
      </c>
      <c r="AF1113" s="21">
        <f t="shared" si="130"/>
        <v>0</v>
      </c>
    </row>
    <row r="1114" spans="1:32" ht="15" customHeight="1" x14ac:dyDescent="0.3">
      <c r="A1114">
        <v>3</v>
      </c>
      <c r="B1114" s="2" t="s">
        <v>696</v>
      </c>
      <c r="C1114" s="4" t="s">
        <v>689</v>
      </c>
      <c r="D1114" s="3" t="s">
        <v>644</v>
      </c>
      <c r="E1114" s="6" t="s">
        <v>5</v>
      </c>
      <c r="F1114" s="6" t="s">
        <v>197</v>
      </c>
      <c r="G1114" s="6" t="s">
        <v>718</v>
      </c>
      <c r="H1114" s="23">
        <v>0</v>
      </c>
      <c r="I1114">
        <v>0</v>
      </c>
      <c r="J1114">
        <v>0</v>
      </c>
      <c r="K1114" s="20">
        <f t="shared" si="128"/>
        <v>0</v>
      </c>
      <c r="L1114">
        <v>0</v>
      </c>
      <c r="M1114">
        <v>0</v>
      </c>
      <c r="N1114" s="21">
        <f t="shared" si="129"/>
        <v>0</v>
      </c>
      <c r="O1114">
        <v>0</v>
      </c>
      <c r="P1114">
        <v>0</v>
      </c>
      <c r="Q1114" s="21">
        <f t="shared" si="123"/>
        <v>0</v>
      </c>
      <c r="R1114">
        <v>0</v>
      </c>
      <c r="S1114">
        <v>0</v>
      </c>
      <c r="T1114" s="21">
        <f t="shared" si="124"/>
        <v>0</v>
      </c>
      <c r="U1114">
        <v>0</v>
      </c>
      <c r="V1114">
        <v>0</v>
      </c>
      <c r="W1114" s="21">
        <f t="shared" si="125"/>
        <v>0</v>
      </c>
      <c r="X1114">
        <v>0</v>
      </c>
      <c r="Y1114">
        <v>0</v>
      </c>
      <c r="Z1114" s="21">
        <f t="shared" si="126"/>
        <v>0</v>
      </c>
      <c r="AA1114">
        <v>0</v>
      </c>
      <c r="AB1114">
        <v>0</v>
      </c>
      <c r="AC1114" s="21">
        <f t="shared" si="127"/>
        <v>0</v>
      </c>
      <c r="AD1114">
        <v>0</v>
      </c>
      <c r="AE1114">
        <v>0</v>
      </c>
      <c r="AF1114" s="21">
        <f t="shared" si="130"/>
        <v>0</v>
      </c>
    </row>
    <row r="1115" spans="1:32" ht="15" customHeight="1" x14ac:dyDescent="0.3">
      <c r="A1115">
        <v>3</v>
      </c>
      <c r="B1115" s="2" t="s">
        <v>696</v>
      </c>
      <c r="C1115" s="4" t="s">
        <v>689</v>
      </c>
      <c r="D1115" s="3" t="s">
        <v>644</v>
      </c>
      <c r="E1115" s="6" t="s">
        <v>5</v>
      </c>
      <c r="F1115" s="6" t="s">
        <v>198</v>
      </c>
      <c r="G1115" s="6" t="s">
        <v>718</v>
      </c>
      <c r="H1115" s="23">
        <v>0</v>
      </c>
      <c r="I1115">
        <v>0</v>
      </c>
      <c r="J1115">
        <v>0</v>
      </c>
      <c r="K1115" s="20">
        <f t="shared" si="128"/>
        <v>0</v>
      </c>
      <c r="L1115">
        <v>0</v>
      </c>
      <c r="M1115">
        <v>0</v>
      </c>
      <c r="N1115" s="21">
        <f t="shared" si="129"/>
        <v>0</v>
      </c>
      <c r="O1115">
        <v>0</v>
      </c>
      <c r="P1115">
        <v>0</v>
      </c>
      <c r="Q1115" s="21">
        <f t="shared" si="123"/>
        <v>0</v>
      </c>
      <c r="R1115">
        <v>0</v>
      </c>
      <c r="S1115">
        <v>0</v>
      </c>
      <c r="T1115" s="21">
        <f t="shared" si="124"/>
        <v>0</v>
      </c>
      <c r="U1115">
        <v>0</v>
      </c>
      <c r="V1115">
        <v>0</v>
      </c>
      <c r="W1115" s="21">
        <f t="shared" si="125"/>
        <v>0</v>
      </c>
      <c r="X1115">
        <v>0</v>
      </c>
      <c r="Y1115">
        <v>0</v>
      </c>
      <c r="Z1115" s="21">
        <f t="shared" si="126"/>
        <v>0</v>
      </c>
      <c r="AA1115">
        <v>0</v>
      </c>
      <c r="AB1115">
        <v>0</v>
      </c>
      <c r="AC1115" s="21">
        <f t="shared" si="127"/>
        <v>0</v>
      </c>
      <c r="AD1115">
        <v>0</v>
      </c>
      <c r="AE1115">
        <v>0</v>
      </c>
      <c r="AF1115" s="21">
        <f t="shared" si="130"/>
        <v>0</v>
      </c>
    </row>
    <row r="1116" spans="1:32" ht="15" customHeight="1" x14ac:dyDescent="0.3">
      <c r="A1116">
        <v>3</v>
      </c>
      <c r="B1116" s="2" t="s">
        <v>696</v>
      </c>
      <c r="C1116" s="4" t="s">
        <v>689</v>
      </c>
      <c r="D1116" s="3" t="s">
        <v>644</v>
      </c>
      <c r="E1116" s="6" t="s">
        <v>5</v>
      </c>
      <c r="F1116" s="6" t="s">
        <v>199</v>
      </c>
      <c r="G1116" s="6" t="s">
        <v>718</v>
      </c>
      <c r="H1116" s="23">
        <v>0</v>
      </c>
      <c r="I1116">
        <v>0</v>
      </c>
      <c r="J1116">
        <v>0</v>
      </c>
      <c r="K1116" s="20">
        <f t="shared" si="128"/>
        <v>0</v>
      </c>
      <c r="L1116">
        <v>0</v>
      </c>
      <c r="M1116">
        <v>0</v>
      </c>
      <c r="N1116" s="21">
        <f t="shared" si="129"/>
        <v>0</v>
      </c>
      <c r="O1116">
        <v>0</v>
      </c>
      <c r="P1116">
        <v>0</v>
      </c>
      <c r="Q1116" s="21">
        <f t="shared" si="123"/>
        <v>0</v>
      </c>
      <c r="R1116">
        <v>0</v>
      </c>
      <c r="S1116">
        <v>0</v>
      </c>
      <c r="T1116" s="21">
        <f t="shared" si="124"/>
        <v>0</v>
      </c>
      <c r="U1116">
        <v>0</v>
      </c>
      <c r="V1116">
        <v>0</v>
      </c>
      <c r="W1116" s="21">
        <f t="shared" si="125"/>
        <v>0</v>
      </c>
      <c r="X1116">
        <v>0</v>
      </c>
      <c r="Y1116">
        <v>0</v>
      </c>
      <c r="Z1116" s="21">
        <f t="shared" si="126"/>
        <v>0</v>
      </c>
      <c r="AA1116">
        <v>0</v>
      </c>
      <c r="AB1116">
        <v>0</v>
      </c>
      <c r="AC1116" s="21">
        <f t="shared" si="127"/>
        <v>0</v>
      </c>
      <c r="AD1116">
        <v>0</v>
      </c>
      <c r="AE1116">
        <v>0</v>
      </c>
      <c r="AF1116" s="21">
        <f t="shared" si="130"/>
        <v>0</v>
      </c>
    </row>
    <row r="1117" spans="1:32" ht="15" customHeight="1" x14ac:dyDescent="0.3">
      <c r="A1117">
        <v>3</v>
      </c>
      <c r="B1117" s="2" t="s">
        <v>696</v>
      </c>
      <c r="C1117" s="4" t="s">
        <v>689</v>
      </c>
      <c r="D1117" s="3" t="s">
        <v>644</v>
      </c>
      <c r="E1117" s="6" t="s">
        <v>5</v>
      </c>
      <c r="F1117" s="6" t="s">
        <v>200</v>
      </c>
      <c r="G1117" s="6" t="s">
        <v>713</v>
      </c>
      <c r="H1117" s="23">
        <v>45000</v>
      </c>
      <c r="I1117">
        <v>0</v>
      </c>
      <c r="J1117">
        <v>0</v>
      </c>
      <c r="K1117" s="20">
        <f t="shared" si="128"/>
        <v>0</v>
      </c>
      <c r="L1117">
        <v>0</v>
      </c>
      <c r="M1117">
        <v>0</v>
      </c>
      <c r="N1117" s="21">
        <f t="shared" si="129"/>
        <v>0</v>
      </c>
      <c r="O1117">
        <v>0</v>
      </c>
      <c r="P1117">
        <v>0</v>
      </c>
      <c r="Q1117" s="21">
        <f t="shared" si="123"/>
        <v>0</v>
      </c>
      <c r="R1117">
        <v>0</v>
      </c>
      <c r="S1117">
        <v>0</v>
      </c>
      <c r="T1117" s="21">
        <f t="shared" si="124"/>
        <v>0</v>
      </c>
      <c r="U1117">
        <v>15</v>
      </c>
      <c r="V1117">
        <v>10</v>
      </c>
      <c r="W1117" s="21">
        <f t="shared" si="125"/>
        <v>6750000</v>
      </c>
      <c r="X1117">
        <v>0</v>
      </c>
      <c r="Y1117">
        <v>0</v>
      </c>
      <c r="Z1117" s="21">
        <f t="shared" si="126"/>
        <v>0</v>
      </c>
      <c r="AA1117">
        <v>0</v>
      </c>
      <c r="AB1117">
        <v>0</v>
      </c>
      <c r="AC1117" s="21">
        <f t="shared" si="127"/>
        <v>0</v>
      </c>
      <c r="AD1117">
        <v>0</v>
      </c>
      <c r="AE1117">
        <v>0</v>
      </c>
      <c r="AF1117" s="21">
        <f t="shared" si="130"/>
        <v>0</v>
      </c>
    </row>
    <row r="1118" spans="1:32" ht="15" customHeight="1" x14ac:dyDescent="0.3">
      <c r="A1118">
        <v>3</v>
      </c>
      <c r="B1118" s="2" t="s">
        <v>696</v>
      </c>
      <c r="C1118" s="4" t="s">
        <v>689</v>
      </c>
      <c r="D1118" s="3" t="s">
        <v>644</v>
      </c>
      <c r="E1118" s="6" t="s">
        <v>5</v>
      </c>
      <c r="F1118" s="6" t="s">
        <v>200</v>
      </c>
      <c r="G1118" s="6" t="s">
        <v>712</v>
      </c>
      <c r="H1118" s="23">
        <v>214.29</v>
      </c>
      <c r="I1118">
        <v>0</v>
      </c>
      <c r="J1118">
        <v>0</v>
      </c>
      <c r="K1118" s="20">
        <f t="shared" si="128"/>
        <v>0</v>
      </c>
      <c r="L1118">
        <v>0</v>
      </c>
      <c r="M1118">
        <v>0</v>
      </c>
      <c r="N1118" s="21">
        <f t="shared" si="129"/>
        <v>0</v>
      </c>
      <c r="O1118">
        <v>0</v>
      </c>
      <c r="P1118">
        <v>0</v>
      </c>
      <c r="Q1118" s="21">
        <f t="shared" si="123"/>
        <v>0</v>
      </c>
      <c r="R1118">
        <v>0</v>
      </c>
      <c r="S1118">
        <v>0</v>
      </c>
      <c r="T1118" s="21">
        <f t="shared" si="124"/>
        <v>0</v>
      </c>
      <c r="U1118">
        <v>20000</v>
      </c>
      <c r="V1118">
        <v>1</v>
      </c>
      <c r="W1118" s="21">
        <f t="shared" si="125"/>
        <v>4285800</v>
      </c>
      <c r="X1118">
        <v>0</v>
      </c>
      <c r="Y1118">
        <v>0</v>
      </c>
      <c r="Z1118" s="21">
        <f t="shared" si="126"/>
        <v>0</v>
      </c>
      <c r="AA1118">
        <v>0</v>
      </c>
      <c r="AB1118">
        <v>0</v>
      </c>
      <c r="AC1118" s="21">
        <f t="shared" si="127"/>
        <v>0</v>
      </c>
      <c r="AD1118">
        <v>0</v>
      </c>
      <c r="AE1118">
        <v>0</v>
      </c>
      <c r="AF1118" s="21">
        <f t="shared" si="130"/>
        <v>0</v>
      </c>
    </row>
    <row r="1119" spans="1:32" ht="15" customHeight="1" x14ac:dyDescent="0.3">
      <c r="A1119">
        <v>3</v>
      </c>
      <c r="B1119" s="2" t="s">
        <v>696</v>
      </c>
      <c r="C1119" s="4" t="s">
        <v>689</v>
      </c>
      <c r="D1119" s="3" t="s">
        <v>644</v>
      </c>
      <c r="E1119" s="6" t="s">
        <v>5</v>
      </c>
      <c r="F1119" s="6" t="s">
        <v>200</v>
      </c>
      <c r="G1119" s="6" t="s">
        <v>715</v>
      </c>
      <c r="H1119" s="23">
        <v>302000</v>
      </c>
      <c r="I1119">
        <v>0</v>
      </c>
      <c r="J1119">
        <v>0</v>
      </c>
      <c r="K1119" s="20">
        <f t="shared" si="128"/>
        <v>0</v>
      </c>
      <c r="L1119">
        <v>0</v>
      </c>
      <c r="M1119">
        <v>0</v>
      </c>
      <c r="N1119" s="21">
        <f t="shared" si="129"/>
        <v>0</v>
      </c>
      <c r="O1119">
        <v>0</v>
      </c>
      <c r="P1119">
        <v>0</v>
      </c>
      <c r="Q1119" s="21">
        <f t="shared" si="123"/>
        <v>0</v>
      </c>
      <c r="R1119">
        <v>0</v>
      </c>
      <c r="S1119">
        <v>0</v>
      </c>
      <c r="T1119" s="21">
        <f t="shared" si="124"/>
        <v>0</v>
      </c>
      <c r="U1119">
        <v>20</v>
      </c>
      <c r="V1119">
        <v>1</v>
      </c>
      <c r="W1119" s="21">
        <f t="shared" si="125"/>
        <v>6040000</v>
      </c>
      <c r="X1119">
        <v>0</v>
      </c>
      <c r="Y1119">
        <v>0</v>
      </c>
      <c r="Z1119" s="21">
        <f t="shared" si="126"/>
        <v>0</v>
      </c>
      <c r="AA1119">
        <v>0</v>
      </c>
      <c r="AB1119">
        <v>0</v>
      </c>
      <c r="AC1119" s="21">
        <f t="shared" si="127"/>
        <v>0</v>
      </c>
      <c r="AD1119">
        <v>0</v>
      </c>
      <c r="AE1119">
        <v>0</v>
      </c>
      <c r="AF1119" s="21">
        <f t="shared" si="130"/>
        <v>0</v>
      </c>
    </row>
    <row r="1120" spans="1:32" ht="15" customHeight="1" x14ac:dyDescent="0.3">
      <c r="A1120">
        <v>3</v>
      </c>
      <c r="B1120" s="2" t="s">
        <v>696</v>
      </c>
      <c r="C1120" s="4" t="s">
        <v>689</v>
      </c>
      <c r="D1120" s="3" t="s">
        <v>644</v>
      </c>
      <c r="E1120" s="6" t="s">
        <v>5</v>
      </c>
      <c r="F1120" s="6" t="s">
        <v>200</v>
      </c>
      <c r="G1120" s="6" t="s">
        <v>714</v>
      </c>
      <c r="H1120" s="23">
        <v>10000</v>
      </c>
      <c r="I1120">
        <v>0</v>
      </c>
      <c r="J1120">
        <v>0</v>
      </c>
      <c r="K1120" s="20">
        <f t="shared" si="128"/>
        <v>0</v>
      </c>
      <c r="L1120">
        <v>0</v>
      </c>
      <c r="M1120">
        <v>0</v>
      </c>
      <c r="N1120" s="21">
        <f t="shared" si="129"/>
        <v>0</v>
      </c>
      <c r="O1120">
        <v>0</v>
      </c>
      <c r="P1120">
        <v>0</v>
      </c>
      <c r="Q1120" s="21">
        <f t="shared" si="123"/>
        <v>0</v>
      </c>
      <c r="R1120">
        <v>0</v>
      </c>
      <c r="S1120">
        <v>0</v>
      </c>
      <c r="T1120" s="21">
        <f t="shared" si="124"/>
        <v>0</v>
      </c>
      <c r="U1120">
        <v>15</v>
      </c>
      <c r="V1120">
        <v>1</v>
      </c>
      <c r="W1120" s="21">
        <f t="shared" si="125"/>
        <v>150000</v>
      </c>
      <c r="X1120">
        <v>0</v>
      </c>
      <c r="Y1120">
        <v>0</v>
      </c>
      <c r="Z1120" s="21">
        <f t="shared" si="126"/>
        <v>0</v>
      </c>
      <c r="AA1120">
        <v>0</v>
      </c>
      <c r="AB1120">
        <v>0</v>
      </c>
      <c r="AC1120" s="21">
        <f t="shared" si="127"/>
        <v>0</v>
      </c>
      <c r="AD1120">
        <v>0</v>
      </c>
      <c r="AE1120">
        <v>0</v>
      </c>
      <c r="AF1120" s="21">
        <f t="shared" si="130"/>
        <v>0</v>
      </c>
    </row>
    <row r="1121" spans="1:32" ht="15" customHeight="1" x14ac:dyDescent="0.3">
      <c r="A1121">
        <v>3</v>
      </c>
      <c r="B1121" s="2" t="s">
        <v>696</v>
      </c>
      <c r="C1121" s="4" t="s">
        <v>689</v>
      </c>
      <c r="D1121" s="3" t="s">
        <v>644</v>
      </c>
      <c r="E1121" s="6" t="s">
        <v>5</v>
      </c>
      <c r="F1121" s="6" t="s">
        <v>152</v>
      </c>
      <c r="G1121" s="6" t="s">
        <v>712</v>
      </c>
      <c r="H1121" s="23">
        <v>214.29</v>
      </c>
      <c r="I1121">
        <v>0</v>
      </c>
      <c r="J1121">
        <v>0</v>
      </c>
      <c r="K1121" s="20">
        <f t="shared" si="128"/>
        <v>0</v>
      </c>
      <c r="L1121">
        <v>0</v>
      </c>
      <c r="M1121">
        <v>0</v>
      </c>
      <c r="N1121" s="21">
        <f t="shared" si="129"/>
        <v>0</v>
      </c>
      <c r="O1121">
        <v>0</v>
      </c>
      <c r="P1121">
        <v>0</v>
      </c>
      <c r="Q1121" s="21">
        <f t="shared" si="123"/>
        <v>0</v>
      </c>
      <c r="R1121">
        <v>0</v>
      </c>
      <c r="S1121">
        <v>0</v>
      </c>
      <c r="T1121" s="21">
        <f t="shared" si="124"/>
        <v>0</v>
      </c>
      <c r="U1121">
        <v>4000</v>
      </c>
      <c r="V1121">
        <v>1</v>
      </c>
      <c r="W1121" s="21">
        <f t="shared" si="125"/>
        <v>857160</v>
      </c>
      <c r="X1121">
        <v>0</v>
      </c>
      <c r="Y1121">
        <v>0</v>
      </c>
      <c r="Z1121" s="21">
        <f t="shared" si="126"/>
        <v>0</v>
      </c>
      <c r="AA1121">
        <v>0</v>
      </c>
      <c r="AB1121">
        <v>0</v>
      </c>
      <c r="AC1121" s="21">
        <f t="shared" si="127"/>
        <v>0</v>
      </c>
      <c r="AD1121">
        <v>0</v>
      </c>
      <c r="AE1121">
        <v>0</v>
      </c>
      <c r="AF1121" s="21">
        <f t="shared" si="130"/>
        <v>0</v>
      </c>
    </row>
    <row r="1122" spans="1:32" ht="15" customHeight="1" x14ac:dyDescent="0.3">
      <c r="A1122">
        <v>3</v>
      </c>
      <c r="B1122" s="2" t="s">
        <v>696</v>
      </c>
      <c r="C1122" s="4" t="s">
        <v>689</v>
      </c>
      <c r="D1122" s="3" t="s">
        <v>644</v>
      </c>
      <c r="E1122" s="6" t="s">
        <v>5</v>
      </c>
      <c r="F1122" s="6" t="s">
        <v>152</v>
      </c>
      <c r="G1122" s="6" t="s">
        <v>716</v>
      </c>
      <c r="H1122" s="15">
        <v>39000</v>
      </c>
      <c r="I1122">
        <v>0</v>
      </c>
      <c r="J1122">
        <v>0</v>
      </c>
      <c r="K1122" s="20">
        <f t="shared" si="128"/>
        <v>0</v>
      </c>
      <c r="L1122">
        <v>0</v>
      </c>
      <c r="M1122">
        <v>0</v>
      </c>
      <c r="N1122" s="21">
        <f t="shared" si="129"/>
        <v>0</v>
      </c>
      <c r="O1122">
        <v>0</v>
      </c>
      <c r="P1122">
        <v>0</v>
      </c>
      <c r="Q1122" s="21">
        <f t="shared" si="123"/>
        <v>0</v>
      </c>
      <c r="R1122">
        <v>0</v>
      </c>
      <c r="S1122">
        <v>0</v>
      </c>
      <c r="T1122" s="21">
        <f t="shared" si="124"/>
        <v>0</v>
      </c>
      <c r="U1122">
        <v>15</v>
      </c>
      <c r="V1122">
        <v>5</v>
      </c>
      <c r="W1122" s="21">
        <f t="shared" si="125"/>
        <v>2925000</v>
      </c>
      <c r="X1122">
        <v>0</v>
      </c>
      <c r="Y1122">
        <v>0</v>
      </c>
      <c r="Z1122" s="21">
        <f t="shared" si="126"/>
        <v>0</v>
      </c>
      <c r="AA1122">
        <v>0</v>
      </c>
      <c r="AB1122">
        <v>0</v>
      </c>
      <c r="AC1122" s="21">
        <f t="shared" si="127"/>
        <v>0</v>
      </c>
      <c r="AD1122">
        <v>0</v>
      </c>
      <c r="AE1122">
        <v>0</v>
      </c>
      <c r="AF1122" s="21">
        <f t="shared" si="130"/>
        <v>0</v>
      </c>
    </row>
    <row r="1123" spans="1:32" ht="15" customHeight="1" x14ac:dyDescent="0.3">
      <c r="A1123">
        <v>3</v>
      </c>
      <c r="B1123" s="2" t="s">
        <v>696</v>
      </c>
      <c r="C1123" s="4" t="s">
        <v>689</v>
      </c>
      <c r="D1123" s="3" t="s">
        <v>644</v>
      </c>
      <c r="E1123" s="6" t="s">
        <v>5</v>
      </c>
      <c r="F1123" s="6" t="s">
        <v>152</v>
      </c>
      <c r="G1123" s="6" t="s">
        <v>709</v>
      </c>
      <c r="H1123" s="23">
        <v>28000</v>
      </c>
      <c r="I1123">
        <v>0</v>
      </c>
      <c r="J1123">
        <v>0</v>
      </c>
      <c r="K1123" s="20">
        <f t="shared" si="128"/>
        <v>0</v>
      </c>
      <c r="L1123">
        <v>0</v>
      </c>
      <c r="M1123">
        <v>0</v>
      </c>
      <c r="N1123" s="21">
        <f t="shared" si="129"/>
        <v>0</v>
      </c>
      <c r="O1123">
        <v>0</v>
      </c>
      <c r="P1123">
        <v>0</v>
      </c>
      <c r="Q1123" s="21">
        <f t="shared" si="123"/>
        <v>0</v>
      </c>
      <c r="R1123">
        <v>0</v>
      </c>
      <c r="S1123">
        <v>0</v>
      </c>
      <c r="T1123" s="21">
        <f t="shared" si="124"/>
        <v>0</v>
      </c>
      <c r="U1123">
        <v>15</v>
      </c>
      <c r="V1123">
        <v>5</v>
      </c>
      <c r="W1123" s="21">
        <f t="shared" si="125"/>
        <v>2100000</v>
      </c>
      <c r="X1123">
        <v>0</v>
      </c>
      <c r="Y1123">
        <v>0</v>
      </c>
      <c r="Z1123" s="21">
        <f t="shared" si="126"/>
        <v>0</v>
      </c>
      <c r="AA1123">
        <v>0</v>
      </c>
      <c r="AB1123">
        <v>0</v>
      </c>
      <c r="AC1123" s="21">
        <f t="shared" si="127"/>
        <v>0</v>
      </c>
      <c r="AD1123">
        <v>0</v>
      </c>
      <c r="AE1123">
        <v>0</v>
      </c>
      <c r="AF1123" s="21">
        <f t="shared" si="130"/>
        <v>0</v>
      </c>
    </row>
    <row r="1124" spans="1:32" ht="15" customHeight="1" x14ac:dyDescent="0.3">
      <c r="A1124">
        <v>3</v>
      </c>
      <c r="B1124" s="2" t="s">
        <v>696</v>
      </c>
      <c r="C1124" s="4" t="s">
        <v>689</v>
      </c>
      <c r="D1124" s="3" t="s">
        <v>644</v>
      </c>
      <c r="E1124" s="6" t="s">
        <v>5</v>
      </c>
      <c r="F1124" s="6" t="s">
        <v>153</v>
      </c>
      <c r="G1124" s="6" t="s">
        <v>709</v>
      </c>
      <c r="H1124" s="23">
        <v>28000</v>
      </c>
      <c r="I1124">
        <v>0</v>
      </c>
      <c r="J1124">
        <v>0</v>
      </c>
      <c r="K1124" s="20">
        <f t="shared" si="128"/>
        <v>0</v>
      </c>
      <c r="L1124">
        <v>0</v>
      </c>
      <c r="M1124">
        <v>0</v>
      </c>
      <c r="N1124" s="21">
        <f t="shared" si="129"/>
        <v>0</v>
      </c>
      <c r="O1124">
        <v>0</v>
      </c>
      <c r="P1124">
        <v>0</v>
      </c>
      <c r="Q1124" s="21">
        <f t="shared" si="123"/>
        <v>0</v>
      </c>
      <c r="R1124">
        <v>0</v>
      </c>
      <c r="S1124">
        <v>0</v>
      </c>
      <c r="T1124" s="21">
        <f t="shared" si="124"/>
        <v>0</v>
      </c>
      <c r="U1124">
        <v>15</v>
      </c>
      <c r="V1124">
        <v>5</v>
      </c>
      <c r="W1124" s="21">
        <f t="shared" si="125"/>
        <v>2100000</v>
      </c>
      <c r="X1124">
        <v>0</v>
      </c>
      <c r="Y1124">
        <v>0</v>
      </c>
      <c r="Z1124" s="21">
        <f t="shared" si="126"/>
        <v>0</v>
      </c>
      <c r="AA1124">
        <v>0</v>
      </c>
      <c r="AB1124">
        <v>0</v>
      </c>
      <c r="AC1124" s="21">
        <f t="shared" si="127"/>
        <v>0</v>
      </c>
      <c r="AD1124">
        <v>0</v>
      </c>
      <c r="AE1124">
        <v>0</v>
      </c>
      <c r="AF1124" s="21">
        <f t="shared" si="130"/>
        <v>0</v>
      </c>
    </row>
    <row r="1125" spans="1:32" ht="15" customHeight="1" x14ac:dyDescent="0.3">
      <c r="A1125">
        <v>3</v>
      </c>
      <c r="B1125" s="2" t="s">
        <v>696</v>
      </c>
      <c r="C1125" s="4" t="s">
        <v>689</v>
      </c>
      <c r="D1125" s="3" t="s">
        <v>644</v>
      </c>
      <c r="E1125" s="6" t="s">
        <v>5</v>
      </c>
      <c r="F1125" s="6" t="s">
        <v>153</v>
      </c>
      <c r="G1125" s="6" t="s">
        <v>716</v>
      </c>
      <c r="H1125" s="15">
        <v>39000</v>
      </c>
      <c r="I1125">
        <v>0</v>
      </c>
      <c r="J1125">
        <v>0</v>
      </c>
      <c r="K1125" s="20">
        <f t="shared" si="128"/>
        <v>0</v>
      </c>
      <c r="L1125">
        <v>0</v>
      </c>
      <c r="M1125">
        <v>0</v>
      </c>
      <c r="N1125" s="21">
        <f t="shared" si="129"/>
        <v>0</v>
      </c>
      <c r="O1125">
        <v>0</v>
      </c>
      <c r="P1125">
        <v>0</v>
      </c>
      <c r="Q1125" s="21">
        <f t="shared" si="123"/>
        <v>0</v>
      </c>
      <c r="R1125">
        <v>0</v>
      </c>
      <c r="S1125">
        <v>0</v>
      </c>
      <c r="T1125" s="21">
        <f t="shared" si="124"/>
        <v>0</v>
      </c>
      <c r="U1125">
        <v>15</v>
      </c>
      <c r="V1125">
        <v>5</v>
      </c>
      <c r="W1125" s="21">
        <f t="shared" si="125"/>
        <v>2925000</v>
      </c>
      <c r="X1125">
        <v>0</v>
      </c>
      <c r="Y1125">
        <v>0</v>
      </c>
      <c r="Z1125" s="21">
        <f t="shared" si="126"/>
        <v>0</v>
      </c>
      <c r="AA1125">
        <v>0</v>
      </c>
      <c r="AB1125">
        <v>0</v>
      </c>
      <c r="AC1125" s="21">
        <f t="shared" si="127"/>
        <v>0</v>
      </c>
      <c r="AD1125">
        <v>0</v>
      </c>
      <c r="AE1125">
        <v>0</v>
      </c>
      <c r="AF1125" s="21">
        <f t="shared" si="130"/>
        <v>0</v>
      </c>
    </row>
    <row r="1126" spans="1:32" ht="15" customHeight="1" x14ac:dyDescent="0.3">
      <c r="A1126">
        <v>3</v>
      </c>
      <c r="B1126" s="2" t="s">
        <v>696</v>
      </c>
      <c r="C1126" s="4" t="s">
        <v>689</v>
      </c>
      <c r="D1126" s="3" t="s">
        <v>644</v>
      </c>
      <c r="E1126" s="6" t="s">
        <v>5</v>
      </c>
      <c r="F1126" s="6" t="s">
        <v>153</v>
      </c>
      <c r="G1126" s="6" t="s">
        <v>712</v>
      </c>
      <c r="H1126" s="23">
        <v>214.29</v>
      </c>
      <c r="I1126">
        <v>0</v>
      </c>
      <c r="J1126">
        <v>0</v>
      </c>
      <c r="K1126" s="20">
        <f t="shared" si="128"/>
        <v>0</v>
      </c>
      <c r="L1126">
        <v>0</v>
      </c>
      <c r="M1126">
        <v>0</v>
      </c>
      <c r="N1126" s="21">
        <f t="shared" si="129"/>
        <v>0</v>
      </c>
      <c r="O1126">
        <v>0</v>
      </c>
      <c r="P1126">
        <v>0</v>
      </c>
      <c r="Q1126" s="21">
        <f t="shared" si="123"/>
        <v>0</v>
      </c>
      <c r="R1126">
        <v>0</v>
      </c>
      <c r="S1126">
        <v>0</v>
      </c>
      <c r="T1126" s="21">
        <f t="shared" si="124"/>
        <v>0</v>
      </c>
      <c r="U1126">
        <v>4000</v>
      </c>
      <c r="V1126">
        <v>1</v>
      </c>
      <c r="W1126" s="21">
        <f t="shared" si="125"/>
        <v>857160</v>
      </c>
      <c r="X1126">
        <v>0</v>
      </c>
      <c r="Y1126">
        <v>0</v>
      </c>
      <c r="Z1126" s="21">
        <f t="shared" si="126"/>
        <v>0</v>
      </c>
      <c r="AA1126">
        <v>0</v>
      </c>
      <c r="AB1126">
        <v>0</v>
      </c>
      <c r="AC1126" s="21">
        <f t="shared" si="127"/>
        <v>0</v>
      </c>
      <c r="AD1126">
        <v>0</v>
      </c>
      <c r="AE1126">
        <v>0</v>
      </c>
      <c r="AF1126" s="21">
        <f t="shared" si="130"/>
        <v>0</v>
      </c>
    </row>
    <row r="1127" spans="1:32" ht="15" customHeight="1" x14ac:dyDescent="0.3">
      <c r="A1127">
        <v>3</v>
      </c>
      <c r="B1127" s="2" t="s">
        <v>696</v>
      </c>
      <c r="C1127" s="4" t="s">
        <v>689</v>
      </c>
      <c r="D1127" s="3" t="s">
        <v>644</v>
      </c>
      <c r="E1127" s="6" t="s">
        <v>6</v>
      </c>
      <c r="F1127" s="6" t="s">
        <v>201</v>
      </c>
      <c r="G1127" s="6" t="s">
        <v>716</v>
      </c>
      <c r="H1127" s="15">
        <v>39000</v>
      </c>
      <c r="I1127">
        <v>0</v>
      </c>
      <c r="J1127">
        <v>0</v>
      </c>
      <c r="K1127" s="20">
        <f t="shared" si="128"/>
        <v>0</v>
      </c>
      <c r="L1127">
        <v>0</v>
      </c>
      <c r="M1127">
        <v>0</v>
      </c>
      <c r="N1127" s="21">
        <f t="shared" si="129"/>
        <v>0</v>
      </c>
      <c r="O1127">
        <v>0</v>
      </c>
      <c r="P1127">
        <v>0</v>
      </c>
      <c r="Q1127" s="21">
        <f t="shared" si="123"/>
        <v>0</v>
      </c>
      <c r="R1127">
        <v>0</v>
      </c>
      <c r="S1127">
        <v>0</v>
      </c>
      <c r="T1127" s="21">
        <f t="shared" si="124"/>
        <v>0</v>
      </c>
      <c r="U1127">
        <v>30</v>
      </c>
      <c r="V1127">
        <v>5</v>
      </c>
      <c r="W1127" s="21">
        <f t="shared" si="125"/>
        <v>5850000</v>
      </c>
      <c r="X1127">
        <v>0</v>
      </c>
      <c r="Y1127">
        <v>0</v>
      </c>
      <c r="Z1127" s="21">
        <f t="shared" si="126"/>
        <v>0</v>
      </c>
      <c r="AA1127">
        <v>0</v>
      </c>
      <c r="AB1127">
        <v>0</v>
      </c>
      <c r="AC1127" s="21">
        <f t="shared" si="127"/>
        <v>0</v>
      </c>
      <c r="AD1127">
        <v>0</v>
      </c>
      <c r="AE1127">
        <v>0</v>
      </c>
      <c r="AF1127" s="21">
        <f t="shared" si="130"/>
        <v>0</v>
      </c>
    </row>
    <row r="1128" spans="1:32" ht="15" customHeight="1" x14ac:dyDescent="0.3">
      <c r="A1128">
        <v>3</v>
      </c>
      <c r="B1128" s="2" t="s">
        <v>696</v>
      </c>
      <c r="C1128" s="4" t="s">
        <v>689</v>
      </c>
      <c r="D1128" s="3" t="s">
        <v>644</v>
      </c>
      <c r="E1128" s="6" t="s">
        <v>6</v>
      </c>
      <c r="F1128" s="6" t="s">
        <v>201</v>
      </c>
      <c r="G1128" s="6" t="s">
        <v>712</v>
      </c>
      <c r="H1128" s="23">
        <v>214.29</v>
      </c>
      <c r="I1128">
        <v>0</v>
      </c>
      <c r="J1128">
        <v>0</v>
      </c>
      <c r="K1128" s="20">
        <f t="shared" si="128"/>
        <v>0</v>
      </c>
      <c r="L1128">
        <v>0</v>
      </c>
      <c r="M1128">
        <v>0</v>
      </c>
      <c r="N1128" s="21">
        <f t="shared" si="129"/>
        <v>0</v>
      </c>
      <c r="O1128">
        <v>0</v>
      </c>
      <c r="P1128">
        <v>0</v>
      </c>
      <c r="Q1128" s="21">
        <f t="shared" si="123"/>
        <v>0</v>
      </c>
      <c r="R1128">
        <v>0</v>
      </c>
      <c r="S1128">
        <v>0</v>
      </c>
      <c r="T1128" s="21">
        <f t="shared" si="124"/>
        <v>0</v>
      </c>
      <c r="U1128">
        <v>8000</v>
      </c>
      <c r="V1128">
        <v>1</v>
      </c>
      <c r="W1128" s="21">
        <f t="shared" si="125"/>
        <v>1714320</v>
      </c>
      <c r="X1128">
        <v>0</v>
      </c>
      <c r="Y1128">
        <v>0</v>
      </c>
      <c r="Z1128" s="21">
        <f t="shared" si="126"/>
        <v>0</v>
      </c>
      <c r="AA1128">
        <v>0</v>
      </c>
      <c r="AB1128">
        <v>0</v>
      </c>
      <c r="AC1128" s="21">
        <f t="shared" si="127"/>
        <v>0</v>
      </c>
      <c r="AD1128">
        <v>0</v>
      </c>
      <c r="AE1128">
        <v>0</v>
      </c>
      <c r="AF1128" s="21">
        <f t="shared" si="130"/>
        <v>0</v>
      </c>
    </row>
    <row r="1129" spans="1:32" ht="15" customHeight="1" x14ac:dyDescent="0.3">
      <c r="A1129">
        <v>3</v>
      </c>
      <c r="B1129" s="2" t="s">
        <v>696</v>
      </c>
      <c r="C1129" s="4" t="s">
        <v>689</v>
      </c>
      <c r="D1129" s="3" t="s">
        <v>644</v>
      </c>
      <c r="E1129" s="6" t="s">
        <v>6</v>
      </c>
      <c r="F1129" s="6" t="s">
        <v>201</v>
      </c>
      <c r="G1129" s="6" t="s">
        <v>709</v>
      </c>
      <c r="H1129" s="23">
        <v>28000</v>
      </c>
      <c r="I1129">
        <v>0</v>
      </c>
      <c r="J1129">
        <v>0</v>
      </c>
      <c r="K1129" s="20">
        <f t="shared" si="128"/>
        <v>0</v>
      </c>
      <c r="L1129">
        <v>0</v>
      </c>
      <c r="M1129">
        <v>0</v>
      </c>
      <c r="N1129" s="21">
        <f t="shared" si="129"/>
        <v>0</v>
      </c>
      <c r="O1129">
        <v>0</v>
      </c>
      <c r="P1129">
        <v>0</v>
      </c>
      <c r="Q1129" s="21">
        <f t="shared" si="123"/>
        <v>0</v>
      </c>
      <c r="R1129">
        <v>0</v>
      </c>
      <c r="S1129">
        <v>0</v>
      </c>
      <c r="T1129" s="21">
        <f t="shared" si="124"/>
        <v>0</v>
      </c>
      <c r="U1129">
        <v>30</v>
      </c>
      <c r="V1129">
        <v>5</v>
      </c>
      <c r="W1129" s="21">
        <f t="shared" si="125"/>
        <v>4200000</v>
      </c>
      <c r="X1129">
        <v>0</v>
      </c>
      <c r="Y1129">
        <v>0</v>
      </c>
      <c r="Z1129" s="21">
        <f t="shared" si="126"/>
        <v>0</v>
      </c>
      <c r="AA1129">
        <v>0</v>
      </c>
      <c r="AB1129">
        <v>0</v>
      </c>
      <c r="AC1129" s="21">
        <f t="shared" si="127"/>
        <v>0</v>
      </c>
      <c r="AD1129">
        <v>0</v>
      </c>
      <c r="AE1129">
        <v>0</v>
      </c>
      <c r="AF1129" s="21">
        <f t="shared" si="130"/>
        <v>0</v>
      </c>
    </row>
    <row r="1130" spans="1:32" ht="15" customHeight="1" x14ac:dyDescent="0.3">
      <c r="A1130">
        <v>3</v>
      </c>
      <c r="B1130" s="2" t="s">
        <v>696</v>
      </c>
      <c r="C1130" s="4" t="s">
        <v>689</v>
      </c>
      <c r="D1130" s="3" t="s">
        <v>644</v>
      </c>
      <c r="E1130" s="6" t="s">
        <v>6</v>
      </c>
      <c r="F1130" s="6" t="s">
        <v>202</v>
      </c>
      <c r="G1130" s="6" t="s">
        <v>716</v>
      </c>
      <c r="H1130" s="15">
        <v>39000</v>
      </c>
      <c r="I1130">
        <v>0</v>
      </c>
      <c r="J1130">
        <v>0</v>
      </c>
      <c r="K1130" s="20">
        <f t="shared" si="128"/>
        <v>0</v>
      </c>
      <c r="L1130">
        <v>0</v>
      </c>
      <c r="M1130">
        <v>0</v>
      </c>
      <c r="N1130" s="21">
        <f t="shared" si="129"/>
        <v>0</v>
      </c>
      <c r="O1130">
        <v>0</v>
      </c>
      <c r="P1130">
        <v>0</v>
      </c>
      <c r="Q1130" s="21">
        <f t="shared" si="123"/>
        <v>0</v>
      </c>
      <c r="R1130">
        <v>0</v>
      </c>
      <c r="S1130">
        <v>0</v>
      </c>
      <c r="T1130" s="21">
        <f t="shared" si="124"/>
        <v>0</v>
      </c>
      <c r="U1130">
        <v>30</v>
      </c>
      <c r="V1130">
        <v>5</v>
      </c>
      <c r="W1130" s="21">
        <f t="shared" si="125"/>
        <v>5850000</v>
      </c>
      <c r="X1130">
        <v>0</v>
      </c>
      <c r="Y1130">
        <v>0</v>
      </c>
      <c r="Z1130" s="21">
        <f t="shared" si="126"/>
        <v>0</v>
      </c>
      <c r="AA1130">
        <v>0</v>
      </c>
      <c r="AB1130">
        <v>0</v>
      </c>
      <c r="AC1130" s="21">
        <f t="shared" si="127"/>
        <v>0</v>
      </c>
      <c r="AD1130">
        <v>0</v>
      </c>
      <c r="AE1130">
        <v>0</v>
      </c>
      <c r="AF1130" s="21">
        <f t="shared" si="130"/>
        <v>0</v>
      </c>
    </row>
    <row r="1131" spans="1:32" ht="15" customHeight="1" x14ac:dyDescent="0.3">
      <c r="A1131">
        <v>3</v>
      </c>
      <c r="B1131" s="2" t="s">
        <v>696</v>
      </c>
      <c r="C1131" s="4" t="s">
        <v>689</v>
      </c>
      <c r="D1131" s="3" t="s">
        <v>644</v>
      </c>
      <c r="E1131" s="6" t="s">
        <v>6</v>
      </c>
      <c r="F1131" s="6" t="s">
        <v>202</v>
      </c>
      <c r="G1131" s="6" t="s">
        <v>712</v>
      </c>
      <c r="H1131" s="23">
        <v>214.29</v>
      </c>
      <c r="I1131">
        <v>0</v>
      </c>
      <c r="J1131">
        <v>0</v>
      </c>
      <c r="K1131" s="20">
        <f t="shared" si="128"/>
        <v>0</v>
      </c>
      <c r="L1131">
        <v>0</v>
      </c>
      <c r="M1131">
        <v>0</v>
      </c>
      <c r="N1131" s="21">
        <f t="shared" si="129"/>
        <v>0</v>
      </c>
      <c r="O1131">
        <v>0</v>
      </c>
      <c r="P1131">
        <v>0</v>
      </c>
      <c r="Q1131" s="21">
        <f t="shared" si="123"/>
        <v>0</v>
      </c>
      <c r="R1131">
        <v>0</v>
      </c>
      <c r="S1131">
        <v>0</v>
      </c>
      <c r="T1131" s="21">
        <f t="shared" si="124"/>
        <v>0</v>
      </c>
      <c r="U1131">
        <v>8000</v>
      </c>
      <c r="V1131">
        <v>1</v>
      </c>
      <c r="W1131" s="21">
        <f t="shared" si="125"/>
        <v>1714320</v>
      </c>
      <c r="X1131">
        <v>0</v>
      </c>
      <c r="Y1131">
        <v>0</v>
      </c>
      <c r="Z1131" s="21">
        <f t="shared" si="126"/>
        <v>0</v>
      </c>
      <c r="AA1131">
        <v>0</v>
      </c>
      <c r="AB1131">
        <v>0</v>
      </c>
      <c r="AC1131" s="21">
        <f t="shared" si="127"/>
        <v>0</v>
      </c>
      <c r="AD1131">
        <v>0</v>
      </c>
      <c r="AE1131">
        <v>0</v>
      </c>
      <c r="AF1131" s="21">
        <f t="shared" si="130"/>
        <v>0</v>
      </c>
    </row>
    <row r="1132" spans="1:32" ht="15" customHeight="1" x14ac:dyDescent="0.3">
      <c r="A1132">
        <v>3</v>
      </c>
      <c r="B1132" s="2" t="s">
        <v>696</v>
      </c>
      <c r="C1132" s="4" t="s">
        <v>689</v>
      </c>
      <c r="D1132" s="3" t="s">
        <v>644</v>
      </c>
      <c r="E1132" s="6" t="s">
        <v>6</v>
      </c>
      <c r="F1132" s="6" t="s">
        <v>202</v>
      </c>
      <c r="G1132" s="6" t="s">
        <v>709</v>
      </c>
      <c r="H1132" s="23">
        <v>28000</v>
      </c>
      <c r="I1132">
        <v>0</v>
      </c>
      <c r="J1132">
        <v>0</v>
      </c>
      <c r="K1132" s="20">
        <f t="shared" si="128"/>
        <v>0</v>
      </c>
      <c r="L1132">
        <v>0</v>
      </c>
      <c r="M1132">
        <v>0</v>
      </c>
      <c r="N1132" s="21">
        <f t="shared" si="129"/>
        <v>0</v>
      </c>
      <c r="O1132">
        <v>0</v>
      </c>
      <c r="P1132">
        <v>0</v>
      </c>
      <c r="Q1132" s="21">
        <f t="shared" si="123"/>
        <v>0</v>
      </c>
      <c r="R1132">
        <v>0</v>
      </c>
      <c r="S1132">
        <v>0</v>
      </c>
      <c r="T1132" s="21">
        <f t="shared" si="124"/>
        <v>0</v>
      </c>
      <c r="U1132">
        <v>30</v>
      </c>
      <c r="V1132">
        <v>5</v>
      </c>
      <c r="W1132" s="21">
        <f t="shared" si="125"/>
        <v>4200000</v>
      </c>
      <c r="X1132">
        <v>0</v>
      </c>
      <c r="Y1132">
        <v>0</v>
      </c>
      <c r="Z1132" s="21">
        <f t="shared" si="126"/>
        <v>0</v>
      </c>
      <c r="AA1132">
        <v>0</v>
      </c>
      <c r="AB1132">
        <v>0</v>
      </c>
      <c r="AC1132" s="21">
        <f t="shared" si="127"/>
        <v>0</v>
      </c>
      <c r="AD1132">
        <v>0</v>
      </c>
      <c r="AE1132">
        <v>0</v>
      </c>
      <c r="AF1132" s="21">
        <f t="shared" si="130"/>
        <v>0</v>
      </c>
    </row>
    <row r="1133" spans="1:32" ht="15" customHeight="1" x14ac:dyDescent="0.3">
      <c r="A1133">
        <v>3</v>
      </c>
      <c r="B1133" s="2" t="s">
        <v>696</v>
      </c>
      <c r="C1133" s="4" t="s">
        <v>689</v>
      </c>
      <c r="D1133" s="3" t="s">
        <v>644</v>
      </c>
      <c r="E1133" s="6" t="s">
        <v>6</v>
      </c>
      <c r="F1133" s="6" t="s">
        <v>203</v>
      </c>
      <c r="G1133" s="6" t="s">
        <v>716</v>
      </c>
      <c r="H1133" s="15">
        <v>39000</v>
      </c>
      <c r="I1133">
        <v>0</v>
      </c>
      <c r="J1133">
        <v>0</v>
      </c>
      <c r="K1133" s="20">
        <f t="shared" si="128"/>
        <v>0</v>
      </c>
      <c r="L1133">
        <v>0</v>
      </c>
      <c r="M1133">
        <v>0</v>
      </c>
      <c r="N1133" s="21">
        <f t="shared" si="129"/>
        <v>0</v>
      </c>
      <c r="O1133">
        <v>0</v>
      </c>
      <c r="P1133">
        <v>0</v>
      </c>
      <c r="Q1133" s="21">
        <f t="shared" si="123"/>
        <v>0</v>
      </c>
      <c r="R1133">
        <v>0</v>
      </c>
      <c r="S1133">
        <v>0</v>
      </c>
      <c r="T1133" s="21">
        <f t="shared" si="124"/>
        <v>0</v>
      </c>
      <c r="U1133">
        <v>20</v>
      </c>
      <c r="V1133">
        <v>5</v>
      </c>
      <c r="W1133" s="21">
        <f t="shared" si="125"/>
        <v>3900000</v>
      </c>
      <c r="X1133">
        <v>0</v>
      </c>
      <c r="Y1133">
        <v>0</v>
      </c>
      <c r="Z1133" s="21">
        <f t="shared" si="126"/>
        <v>0</v>
      </c>
      <c r="AA1133">
        <v>0</v>
      </c>
      <c r="AB1133">
        <v>0</v>
      </c>
      <c r="AC1133" s="21">
        <f t="shared" si="127"/>
        <v>0</v>
      </c>
      <c r="AD1133">
        <v>0</v>
      </c>
      <c r="AE1133">
        <v>0</v>
      </c>
      <c r="AF1133" s="21">
        <f t="shared" si="130"/>
        <v>0</v>
      </c>
    </row>
    <row r="1134" spans="1:32" ht="15" customHeight="1" x14ac:dyDescent="0.3">
      <c r="A1134">
        <v>3</v>
      </c>
      <c r="B1134" s="2" t="s">
        <v>696</v>
      </c>
      <c r="C1134" s="4" t="s">
        <v>689</v>
      </c>
      <c r="D1134" s="3" t="s">
        <v>644</v>
      </c>
      <c r="E1134" s="6" t="s">
        <v>6</v>
      </c>
      <c r="F1134" s="6" t="s">
        <v>203</v>
      </c>
      <c r="G1134" s="6" t="s">
        <v>712</v>
      </c>
      <c r="H1134" s="23">
        <v>214.29</v>
      </c>
      <c r="I1134">
        <v>0</v>
      </c>
      <c r="J1134">
        <v>0</v>
      </c>
      <c r="K1134" s="20">
        <f t="shared" si="128"/>
        <v>0</v>
      </c>
      <c r="L1134">
        <v>0</v>
      </c>
      <c r="M1134">
        <v>0</v>
      </c>
      <c r="N1134" s="21">
        <f t="shared" si="129"/>
        <v>0</v>
      </c>
      <c r="O1134">
        <v>0</v>
      </c>
      <c r="P1134">
        <v>0</v>
      </c>
      <c r="Q1134" s="21">
        <f t="shared" si="123"/>
        <v>0</v>
      </c>
      <c r="R1134">
        <v>0</v>
      </c>
      <c r="S1134">
        <v>0</v>
      </c>
      <c r="T1134" s="21">
        <f t="shared" si="124"/>
        <v>0</v>
      </c>
      <c r="U1134">
        <v>8000</v>
      </c>
      <c r="V1134">
        <v>1</v>
      </c>
      <c r="W1134" s="21">
        <f t="shared" si="125"/>
        <v>1714320</v>
      </c>
      <c r="X1134">
        <v>0</v>
      </c>
      <c r="Y1134">
        <v>0</v>
      </c>
      <c r="Z1134" s="21">
        <f t="shared" si="126"/>
        <v>0</v>
      </c>
      <c r="AA1134">
        <v>0</v>
      </c>
      <c r="AB1134">
        <v>0</v>
      </c>
      <c r="AC1134" s="21">
        <f t="shared" si="127"/>
        <v>0</v>
      </c>
      <c r="AD1134">
        <v>0</v>
      </c>
      <c r="AE1134">
        <v>0</v>
      </c>
      <c r="AF1134" s="21">
        <f t="shared" si="130"/>
        <v>0</v>
      </c>
    </row>
    <row r="1135" spans="1:32" ht="15" customHeight="1" x14ac:dyDescent="0.3">
      <c r="A1135">
        <v>3</v>
      </c>
      <c r="B1135" s="2" t="s">
        <v>696</v>
      </c>
      <c r="C1135" s="4" t="s">
        <v>689</v>
      </c>
      <c r="D1135" s="3" t="s">
        <v>644</v>
      </c>
      <c r="E1135" s="6" t="s">
        <v>6</v>
      </c>
      <c r="F1135" s="6" t="s">
        <v>203</v>
      </c>
      <c r="G1135" s="6" t="s">
        <v>709</v>
      </c>
      <c r="H1135" s="23">
        <v>28000</v>
      </c>
      <c r="I1135">
        <v>0</v>
      </c>
      <c r="J1135">
        <v>0</v>
      </c>
      <c r="K1135" s="20">
        <f t="shared" si="128"/>
        <v>0</v>
      </c>
      <c r="L1135">
        <v>0</v>
      </c>
      <c r="M1135">
        <v>0</v>
      </c>
      <c r="N1135" s="21">
        <f t="shared" si="129"/>
        <v>0</v>
      </c>
      <c r="O1135">
        <v>0</v>
      </c>
      <c r="P1135">
        <v>0</v>
      </c>
      <c r="Q1135" s="21">
        <f t="shared" si="123"/>
        <v>0</v>
      </c>
      <c r="R1135">
        <v>0</v>
      </c>
      <c r="S1135">
        <v>0</v>
      </c>
      <c r="T1135" s="21">
        <f t="shared" si="124"/>
        <v>0</v>
      </c>
      <c r="U1135">
        <v>40</v>
      </c>
      <c r="V1135">
        <v>1</v>
      </c>
      <c r="W1135" s="21">
        <f t="shared" si="125"/>
        <v>1120000</v>
      </c>
      <c r="X1135">
        <v>0</v>
      </c>
      <c r="Y1135">
        <v>0</v>
      </c>
      <c r="Z1135" s="21">
        <f t="shared" si="126"/>
        <v>0</v>
      </c>
      <c r="AA1135">
        <v>0</v>
      </c>
      <c r="AB1135">
        <v>0</v>
      </c>
      <c r="AC1135" s="21">
        <f t="shared" si="127"/>
        <v>0</v>
      </c>
      <c r="AD1135">
        <v>0</v>
      </c>
      <c r="AE1135">
        <v>0</v>
      </c>
      <c r="AF1135" s="21">
        <f t="shared" si="130"/>
        <v>0</v>
      </c>
    </row>
    <row r="1136" spans="1:32" ht="15" customHeight="1" x14ac:dyDescent="0.3">
      <c r="A1136">
        <v>3</v>
      </c>
      <c r="B1136" s="2" t="s">
        <v>696</v>
      </c>
      <c r="C1136" s="4" t="s">
        <v>689</v>
      </c>
      <c r="D1136" s="3" t="s">
        <v>644</v>
      </c>
      <c r="E1136" s="6" t="s">
        <v>6</v>
      </c>
      <c r="F1136" s="6" t="s">
        <v>204</v>
      </c>
      <c r="G1136" s="6" t="s">
        <v>709</v>
      </c>
      <c r="H1136" s="23">
        <v>28000</v>
      </c>
      <c r="I1136">
        <v>0</v>
      </c>
      <c r="J1136">
        <v>0</v>
      </c>
      <c r="K1136" s="20">
        <f t="shared" si="128"/>
        <v>0</v>
      </c>
      <c r="L1136">
        <v>0</v>
      </c>
      <c r="M1136">
        <v>0</v>
      </c>
      <c r="N1136" s="21">
        <f t="shared" si="129"/>
        <v>0</v>
      </c>
      <c r="O1136">
        <v>0</v>
      </c>
      <c r="P1136">
        <v>0</v>
      </c>
      <c r="Q1136" s="21">
        <f t="shared" si="123"/>
        <v>0</v>
      </c>
      <c r="R1136">
        <v>0</v>
      </c>
      <c r="S1136">
        <v>0</v>
      </c>
      <c r="T1136" s="21">
        <f t="shared" si="124"/>
        <v>0</v>
      </c>
      <c r="U1136">
        <v>30</v>
      </c>
      <c r="V1136">
        <v>1</v>
      </c>
      <c r="W1136" s="21">
        <f t="shared" si="125"/>
        <v>840000</v>
      </c>
      <c r="X1136">
        <v>0</v>
      </c>
      <c r="Y1136">
        <v>0</v>
      </c>
      <c r="Z1136" s="21">
        <f t="shared" si="126"/>
        <v>0</v>
      </c>
      <c r="AA1136">
        <v>0</v>
      </c>
      <c r="AB1136">
        <v>0</v>
      </c>
      <c r="AC1136" s="21">
        <f t="shared" si="127"/>
        <v>0</v>
      </c>
      <c r="AD1136">
        <v>0</v>
      </c>
      <c r="AE1136">
        <v>0</v>
      </c>
      <c r="AF1136" s="21">
        <f t="shared" si="130"/>
        <v>0</v>
      </c>
    </row>
    <row r="1137" spans="1:32" ht="15" customHeight="1" x14ac:dyDescent="0.3">
      <c r="A1137">
        <v>3</v>
      </c>
      <c r="B1137" s="2" t="s">
        <v>696</v>
      </c>
      <c r="C1137" s="4" t="s">
        <v>689</v>
      </c>
      <c r="D1137" s="3" t="s">
        <v>644</v>
      </c>
      <c r="E1137" s="6" t="s">
        <v>6</v>
      </c>
      <c r="F1137" s="6" t="s">
        <v>205</v>
      </c>
      <c r="G1137" s="6" t="s">
        <v>709</v>
      </c>
      <c r="H1137" s="23">
        <v>28000</v>
      </c>
      <c r="I1137">
        <v>0</v>
      </c>
      <c r="J1137">
        <v>0</v>
      </c>
      <c r="K1137" s="20">
        <f t="shared" si="128"/>
        <v>0</v>
      </c>
      <c r="L1137">
        <v>0</v>
      </c>
      <c r="M1137">
        <v>0</v>
      </c>
      <c r="N1137" s="21">
        <f t="shared" si="129"/>
        <v>0</v>
      </c>
      <c r="O1137">
        <v>0</v>
      </c>
      <c r="P1137">
        <v>0</v>
      </c>
      <c r="Q1137" s="21">
        <f t="shared" si="123"/>
        <v>0</v>
      </c>
      <c r="R1137">
        <v>0</v>
      </c>
      <c r="S1137">
        <v>0</v>
      </c>
      <c r="T1137" s="21">
        <f t="shared" si="124"/>
        <v>0</v>
      </c>
      <c r="U1137">
        <v>15</v>
      </c>
      <c r="V1137">
        <v>1</v>
      </c>
      <c r="W1137" s="21">
        <f t="shared" si="125"/>
        <v>420000</v>
      </c>
      <c r="X1137">
        <v>0</v>
      </c>
      <c r="Y1137">
        <v>0</v>
      </c>
      <c r="Z1137" s="21">
        <f t="shared" si="126"/>
        <v>0</v>
      </c>
      <c r="AA1137">
        <v>0</v>
      </c>
      <c r="AB1137">
        <v>0</v>
      </c>
      <c r="AC1137" s="21">
        <f t="shared" si="127"/>
        <v>0</v>
      </c>
      <c r="AD1137">
        <v>0</v>
      </c>
      <c r="AE1137">
        <v>0</v>
      </c>
      <c r="AF1137" s="21">
        <f t="shared" si="130"/>
        <v>0</v>
      </c>
    </row>
    <row r="1138" spans="1:32" ht="15" customHeight="1" x14ac:dyDescent="0.3">
      <c r="A1138">
        <v>3</v>
      </c>
      <c r="B1138" s="2" t="s">
        <v>696</v>
      </c>
      <c r="C1138" s="4" t="s">
        <v>689</v>
      </c>
      <c r="D1138" s="3" t="s">
        <v>644</v>
      </c>
      <c r="E1138" s="6" t="s">
        <v>6</v>
      </c>
      <c r="F1138" s="6" t="s">
        <v>206</v>
      </c>
      <c r="G1138" s="6" t="s">
        <v>711</v>
      </c>
      <c r="H1138" s="23">
        <v>70</v>
      </c>
      <c r="I1138">
        <v>0</v>
      </c>
      <c r="J1138">
        <v>0</v>
      </c>
      <c r="K1138" s="20">
        <f t="shared" si="128"/>
        <v>0</v>
      </c>
      <c r="L1138">
        <v>0</v>
      </c>
      <c r="M1138">
        <v>0</v>
      </c>
      <c r="N1138" s="21">
        <f t="shared" si="129"/>
        <v>0</v>
      </c>
      <c r="O1138">
        <v>0</v>
      </c>
      <c r="P1138">
        <v>0</v>
      </c>
      <c r="Q1138" s="21">
        <f t="shared" si="123"/>
        <v>0</v>
      </c>
      <c r="R1138">
        <v>0</v>
      </c>
      <c r="S1138">
        <v>0</v>
      </c>
      <c r="T1138" s="21">
        <f t="shared" si="124"/>
        <v>0</v>
      </c>
      <c r="U1138">
        <v>50000</v>
      </c>
      <c r="V1138">
        <v>1</v>
      </c>
      <c r="W1138" s="21">
        <f t="shared" si="125"/>
        <v>3500000</v>
      </c>
      <c r="X1138">
        <v>0</v>
      </c>
      <c r="Y1138">
        <v>0</v>
      </c>
      <c r="Z1138" s="21">
        <f t="shared" si="126"/>
        <v>0</v>
      </c>
      <c r="AA1138">
        <v>0</v>
      </c>
      <c r="AB1138">
        <v>0</v>
      </c>
      <c r="AC1138" s="21">
        <f t="shared" si="127"/>
        <v>0</v>
      </c>
      <c r="AD1138">
        <v>0</v>
      </c>
      <c r="AE1138">
        <v>0</v>
      </c>
      <c r="AF1138" s="21">
        <f t="shared" si="130"/>
        <v>0</v>
      </c>
    </row>
    <row r="1139" spans="1:32" ht="15" customHeight="1" x14ac:dyDescent="0.3">
      <c r="A1139">
        <v>3</v>
      </c>
      <c r="B1139" s="2" t="s">
        <v>696</v>
      </c>
      <c r="C1139" s="4" t="s">
        <v>689</v>
      </c>
      <c r="D1139" s="3" t="s">
        <v>644</v>
      </c>
      <c r="E1139" s="6" t="s">
        <v>6</v>
      </c>
      <c r="F1139" s="6" t="s">
        <v>206</v>
      </c>
      <c r="G1139" s="6" t="s">
        <v>710</v>
      </c>
      <c r="H1139" s="23">
        <v>104850</v>
      </c>
      <c r="I1139">
        <v>0</v>
      </c>
      <c r="J1139">
        <v>0</v>
      </c>
      <c r="K1139" s="20">
        <f t="shared" si="128"/>
        <v>0</v>
      </c>
      <c r="L1139">
        <v>0</v>
      </c>
      <c r="M1139">
        <v>0</v>
      </c>
      <c r="N1139" s="21">
        <f t="shared" si="129"/>
        <v>0</v>
      </c>
      <c r="O1139">
        <v>0</v>
      </c>
      <c r="P1139">
        <v>0</v>
      </c>
      <c r="Q1139" s="21">
        <f t="shared" si="123"/>
        <v>0</v>
      </c>
      <c r="R1139">
        <v>0</v>
      </c>
      <c r="S1139">
        <v>0</v>
      </c>
      <c r="T1139" s="21">
        <f t="shared" si="124"/>
        <v>0</v>
      </c>
      <c r="U1139">
        <v>5</v>
      </c>
      <c r="V1139">
        <v>1</v>
      </c>
      <c r="W1139" s="21">
        <f t="shared" si="125"/>
        <v>524250</v>
      </c>
      <c r="X1139">
        <v>0</v>
      </c>
      <c r="Y1139">
        <v>0</v>
      </c>
      <c r="Z1139" s="21">
        <f t="shared" si="126"/>
        <v>0</v>
      </c>
      <c r="AA1139">
        <v>0</v>
      </c>
      <c r="AB1139">
        <v>0</v>
      </c>
      <c r="AC1139" s="21">
        <f t="shared" si="127"/>
        <v>0</v>
      </c>
      <c r="AD1139">
        <v>0</v>
      </c>
      <c r="AE1139">
        <v>0</v>
      </c>
      <c r="AF1139" s="21">
        <f t="shared" si="130"/>
        <v>0</v>
      </c>
    </row>
    <row r="1140" spans="1:32" ht="15" customHeight="1" x14ac:dyDescent="0.3">
      <c r="A1140">
        <v>3</v>
      </c>
      <c r="B1140" s="2" t="s">
        <v>696</v>
      </c>
      <c r="C1140" s="4" t="s">
        <v>689</v>
      </c>
      <c r="D1140" s="3" t="s">
        <v>644</v>
      </c>
      <c r="E1140" s="6" t="s">
        <v>6</v>
      </c>
      <c r="F1140" s="6" t="s">
        <v>207</v>
      </c>
      <c r="G1140" s="6" t="s">
        <v>711</v>
      </c>
      <c r="H1140" s="23">
        <v>70</v>
      </c>
      <c r="I1140">
        <v>0</v>
      </c>
      <c r="J1140">
        <v>0</v>
      </c>
      <c r="K1140" s="20">
        <f t="shared" si="128"/>
        <v>0</v>
      </c>
      <c r="L1140">
        <v>0</v>
      </c>
      <c r="M1140">
        <v>0</v>
      </c>
      <c r="N1140" s="21">
        <f t="shared" si="129"/>
        <v>0</v>
      </c>
      <c r="O1140">
        <v>0</v>
      </c>
      <c r="P1140">
        <v>0</v>
      </c>
      <c r="Q1140" s="21">
        <f t="shared" si="123"/>
        <v>0</v>
      </c>
      <c r="R1140">
        <v>0</v>
      </c>
      <c r="S1140">
        <v>0</v>
      </c>
      <c r="T1140" s="21">
        <f t="shared" si="124"/>
        <v>0</v>
      </c>
      <c r="U1140">
        <v>20000</v>
      </c>
      <c r="V1140">
        <v>1</v>
      </c>
      <c r="W1140" s="21">
        <f t="shared" si="125"/>
        <v>1400000</v>
      </c>
      <c r="X1140">
        <v>0</v>
      </c>
      <c r="Y1140">
        <v>0</v>
      </c>
      <c r="Z1140" s="21">
        <f t="shared" si="126"/>
        <v>0</v>
      </c>
      <c r="AA1140">
        <v>0</v>
      </c>
      <c r="AB1140">
        <v>0</v>
      </c>
      <c r="AC1140" s="21">
        <f t="shared" si="127"/>
        <v>0</v>
      </c>
      <c r="AD1140">
        <v>0</v>
      </c>
      <c r="AE1140">
        <v>0</v>
      </c>
      <c r="AF1140" s="21">
        <f t="shared" si="130"/>
        <v>0</v>
      </c>
    </row>
    <row r="1141" spans="1:32" ht="15" customHeight="1" x14ac:dyDescent="0.3">
      <c r="A1141">
        <v>3</v>
      </c>
      <c r="B1141" s="2" t="s">
        <v>696</v>
      </c>
      <c r="C1141" s="4" t="s">
        <v>689</v>
      </c>
      <c r="D1141" s="3" t="s">
        <v>644</v>
      </c>
      <c r="E1141" s="6" t="s">
        <v>6</v>
      </c>
      <c r="F1141" s="6" t="s">
        <v>207</v>
      </c>
      <c r="G1141" s="6" t="s">
        <v>710</v>
      </c>
      <c r="H1141" s="23">
        <v>104850</v>
      </c>
      <c r="I1141">
        <v>0</v>
      </c>
      <c r="J1141">
        <v>0</v>
      </c>
      <c r="K1141" s="20">
        <f t="shared" si="128"/>
        <v>0</v>
      </c>
      <c r="L1141">
        <v>0</v>
      </c>
      <c r="M1141">
        <v>0</v>
      </c>
      <c r="N1141" s="21">
        <f t="shared" si="129"/>
        <v>0</v>
      </c>
      <c r="O1141">
        <v>0</v>
      </c>
      <c r="P1141">
        <v>0</v>
      </c>
      <c r="Q1141" s="21">
        <f t="shared" si="123"/>
        <v>0</v>
      </c>
      <c r="R1141">
        <v>0</v>
      </c>
      <c r="S1141">
        <v>0</v>
      </c>
      <c r="T1141" s="21">
        <f t="shared" si="124"/>
        <v>0</v>
      </c>
      <c r="U1141">
        <v>2</v>
      </c>
      <c r="V1141">
        <v>1</v>
      </c>
      <c r="W1141" s="21">
        <f t="shared" si="125"/>
        <v>209700</v>
      </c>
      <c r="X1141">
        <v>0</v>
      </c>
      <c r="Y1141">
        <v>0</v>
      </c>
      <c r="Z1141" s="21">
        <f t="shared" si="126"/>
        <v>0</v>
      </c>
      <c r="AA1141">
        <v>0</v>
      </c>
      <c r="AB1141">
        <v>0</v>
      </c>
      <c r="AC1141" s="21">
        <f t="shared" si="127"/>
        <v>0</v>
      </c>
      <c r="AD1141">
        <v>0</v>
      </c>
      <c r="AE1141">
        <v>0</v>
      </c>
      <c r="AF1141" s="21">
        <f t="shared" si="130"/>
        <v>0</v>
      </c>
    </row>
    <row r="1142" spans="1:32" ht="15" customHeight="1" x14ac:dyDescent="0.3">
      <c r="A1142">
        <v>3</v>
      </c>
      <c r="B1142" s="2" t="s">
        <v>696</v>
      </c>
      <c r="C1142" s="4" t="s">
        <v>689</v>
      </c>
      <c r="D1142" s="3" t="s">
        <v>644</v>
      </c>
      <c r="E1142" s="6" t="s">
        <v>6</v>
      </c>
      <c r="F1142" s="6" t="s">
        <v>208</v>
      </c>
      <c r="G1142" s="16" t="s">
        <v>722</v>
      </c>
      <c r="H1142" s="26">
        <v>10682.15</v>
      </c>
      <c r="I1142">
        <v>0</v>
      </c>
      <c r="J1142">
        <v>0</v>
      </c>
      <c r="K1142" s="20">
        <f t="shared" si="128"/>
        <v>0</v>
      </c>
      <c r="L1142">
        <v>0</v>
      </c>
      <c r="M1142">
        <v>0</v>
      </c>
      <c r="N1142" s="21">
        <f t="shared" si="129"/>
        <v>0</v>
      </c>
      <c r="O1142">
        <v>0</v>
      </c>
      <c r="P1142">
        <v>0</v>
      </c>
      <c r="Q1142" s="21">
        <f t="shared" si="123"/>
        <v>0</v>
      </c>
      <c r="R1142">
        <v>0</v>
      </c>
      <c r="S1142">
        <v>0</v>
      </c>
      <c r="T1142" s="21">
        <f t="shared" si="124"/>
        <v>0</v>
      </c>
      <c r="U1142">
        <v>1</v>
      </c>
      <c r="V1142">
        <v>90</v>
      </c>
      <c r="W1142" s="21">
        <f t="shared" si="125"/>
        <v>961393.5</v>
      </c>
      <c r="X1142">
        <v>0</v>
      </c>
      <c r="Y1142">
        <v>0</v>
      </c>
      <c r="Z1142" s="21">
        <f t="shared" si="126"/>
        <v>0</v>
      </c>
      <c r="AA1142">
        <v>0</v>
      </c>
      <c r="AB1142">
        <v>0</v>
      </c>
      <c r="AC1142" s="21">
        <f t="shared" si="127"/>
        <v>0</v>
      </c>
      <c r="AD1142">
        <v>0</v>
      </c>
      <c r="AE1142">
        <v>0</v>
      </c>
      <c r="AF1142" s="21">
        <f t="shared" si="130"/>
        <v>0</v>
      </c>
    </row>
    <row r="1143" spans="1:32" ht="15" customHeight="1" x14ac:dyDescent="0.3">
      <c r="A1143">
        <v>3</v>
      </c>
      <c r="B1143" s="2" t="s">
        <v>696</v>
      </c>
      <c r="C1143" s="4" t="s">
        <v>689</v>
      </c>
      <c r="D1143" s="3" t="s">
        <v>644</v>
      </c>
      <c r="E1143" s="6" t="s">
        <v>6</v>
      </c>
      <c r="F1143" s="6" t="s">
        <v>208</v>
      </c>
      <c r="G1143" s="6" t="s">
        <v>726</v>
      </c>
      <c r="H1143" s="23">
        <v>15765.38</v>
      </c>
      <c r="I1143">
        <v>0</v>
      </c>
      <c r="J1143">
        <v>0</v>
      </c>
      <c r="K1143" s="20">
        <f t="shared" si="128"/>
        <v>0</v>
      </c>
      <c r="L1143">
        <v>0</v>
      </c>
      <c r="M1143">
        <v>0</v>
      </c>
      <c r="N1143" s="21">
        <f t="shared" si="129"/>
        <v>0</v>
      </c>
      <c r="O1143">
        <v>0</v>
      </c>
      <c r="P1143">
        <v>0</v>
      </c>
      <c r="Q1143" s="21">
        <f t="shared" si="123"/>
        <v>0</v>
      </c>
      <c r="R1143">
        <v>0</v>
      </c>
      <c r="S1143">
        <v>0</v>
      </c>
      <c r="T1143" s="21">
        <f t="shared" si="124"/>
        <v>0</v>
      </c>
      <c r="U1143">
        <v>1</v>
      </c>
      <c r="V1143">
        <v>90</v>
      </c>
      <c r="W1143" s="21">
        <f t="shared" si="125"/>
        <v>1418884.2</v>
      </c>
      <c r="X1143">
        <v>0</v>
      </c>
      <c r="Y1143">
        <v>0</v>
      </c>
      <c r="Z1143" s="21">
        <f t="shared" si="126"/>
        <v>0</v>
      </c>
      <c r="AA1143">
        <v>0</v>
      </c>
      <c r="AB1143">
        <v>0</v>
      </c>
      <c r="AC1143" s="21">
        <f t="shared" si="127"/>
        <v>0</v>
      </c>
      <c r="AD1143">
        <v>0</v>
      </c>
      <c r="AE1143">
        <v>0</v>
      </c>
      <c r="AF1143" s="21">
        <f t="shared" si="130"/>
        <v>0</v>
      </c>
    </row>
    <row r="1144" spans="1:32" ht="15" customHeight="1" x14ac:dyDescent="0.3">
      <c r="A1144">
        <v>3</v>
      </c>
      <c r="B1144" s="2" t="s">
        <v>696</v>
      </c>
      <c r="C1144" s="4" t="s">
        <v>689</v>
      </c>
      <c r="D1144" s="3" t="s">
        <v>644</v>
      </c>
      <c r="E1144" s="6" t="s">
        <v>6</v>
      </c>
      <c r="F1144" s="6" t="s">
        <v>208</v>
      </c>
      <c r="G1144" s="6" t="s">
        <v>723</v>
      </c>
      <c r="H1144" s="23">
        <v>70133.84</v>
      </c>
      <c r="I1144">
        <v>0</v>
      </c>
      <c r="J1144">
        <v>0</v>
      </c>
      <c r="K1144" s="20">
        <f t="shared" si="128"/>
        <v>0</v>
      </c>
      <c r="L1144">
        <v>0</v>
      </c>
      <c r="M1144">
        <v>0</v>
      </c>
      <c r="N1144" s="21">
        <f t="shared" si="129"/>
        <v>0</v>
      </c>
      <c r="O1144">
        <v>0</v>
      </c>
      <c r="P1144">
        <v>0</v>
      </c>
      <c r="Q1144" s="21">
        <f t="shared" si="123"/>
        <v>0</v>
      </c>
      <c r="R1144">
        <v>0</v>
      </c>
      <c r="S1144">
        <v>0</v>
      </c>
      <c r="T1144" s="21">
        <f t="shared" si="124"/>
        <v>0</v>
      </c>
      <c r="U1144">
        <v>1</v>
      </c>
      <c r="V1144">
        <v>90</v>
      </c>
      <c r="W1144" s="21">
        <f t="shared" si="125"/>
        <v>6312045.5999999996</v>
      </c>
      <c r="X1144">
        <v>0</v>
      </c>
      <c r="Y1144">
        <v>0</v>
      </c>
      <c r="Z1144" s="21">
        <f t="shared" si="126"/>
        <v>0</v>
      </c>
      <c r="AA1144">
        <v>0</v>
      </c>
      <c r="AB1144">
        <v>0</v>
      </c>
      <c r="AC1144" s="21">
        <f t="shared" si="127"/>
        <v>0</v>
      </c>
      <c r="AD1144">
        <v>0</v>
      </c>
      <c r="AE1144">
        <v>0</v>
      </c>
      <c r="AF1144" s="21">
        <f t="shared" si="130"/>
        <v>0</v>
      </c>
    </row>
    <row r="1145" spans="1:32" ht="15" customHeight="1" x14ac:dyDescent="0.3">
      <c r="A1145">
        <v>3</v>
      </c>
      <c r="B1145" s="2" t="s">
        <v>696</v>
      </c>
      <c r="C1145" s="4" t="s">
        <v>689</v>
      </c>
      <c r="D1145" s="3" t="s">
        <v>644</v>
      </c>
      <c r="E1145" s="6" t="s">
        <v>6</v>
      </c>
      <c r="F1145" s="6" t="s">
        <v>209</v>
      </c>
      <c r="G1145" s="6" t="s">
        <v>716</v>
      </c>
      <c r="H1145" s="15">
        <v>39000</v>
      </c>
      <c r="I1145">
        <v>0</v>
      </c>
      <c r="J1145">
        <v>0</v>
      </c>
      <c r="K1145" s="20">
        <f t="shared" si="128"/>
        <v>0</v>
      </c>
      <c r="L1145">
        <v>0</v>
      </c>
      <c r="M1145">
        <v>0</v>
      </c>
      <c r="N1145" s="21">
        <f t="shared" si="129"/>
        <v>0</v>
      </c>
      <c r="O1145">
        <v>0</v>
      </c>
      <c r="P1145">
        <v>0</v>
      </c>
      <c r="Q1145" s="21">
        <f t="shared" si="123"/>
        <v>0</v>
      </c>
      <c r="R1145">
        <v>0</v>
      </c>
      <c r="S1145">
        <v>0</v>
      </c>
      <c r="T1145" s="21">
        <f t="shared" si="124"/>
        <v>0</v>
      </c>
      <c r="U1145">
        <v>40</v>
      </c>
      <c r="V1145">
        <v>10</v>
      </c>
      <c r="W1145" s="21">
        <f t="shared" si="125"/>
        <v>15600000</v>
      </c>
      <c r="X1145">
        <v>0</v>
      </c>
      <c r="Y1145">
        <v>0</v>
      </c>
      <c r="Z1145" s="21">
        <f t="shared" si="126"/>
        <v>0</v>
      </c>
      <c r="AA1145">
        <v>0</v>
      </c>
      <c r="AB1145">
        <v>0</v>
      </c>
      <c r="AC1145" s="21">
        <f t="shared" si="127"/>
        <v>0</v>
      </c>
      <c r="AD1145">
        <v>0</v>
      </c>
      <c r="AE1145">
        <v>0</v>
      </c>
      <c r="AF1145" s="21">
        <f t="shared" si="130"/>
        <v>0</v>
      </c>
    </row>
    <row r="1146" spans="1:32" ht="15" customHeight="1" x14ac:dyDescent="0.3">
      <c r="A1146">
        <v>3</v>
      </c>
      <c r="B1146" s="2" t="s">
        <v>696</v>
      </c>
      <c r="C1146" s="4" t="s">
        <v>689</v>
      </c>
      <c r="D1146" s="3" t="s">
        <v>644</v>
      </c>
      <c r="E1146" s="6" t="s">
        <v>6</v>
      </c>
      <c r="F1146" s="6" t="s">
        <v>209</v>
      </c>
      <c r="G1146" s="6" t="s">
        <v>712</v>
      </c>
      <c r="H1146" s="23">
        <v>214.29</v>
      </c>
      <c r="I1146">
        <v>0</v>
      </c>
      <c r="J1146">
        <v>0</v>
      </c>
      <c r="K1146" s="20">
        <f t="shared" si="128"/>
        <v>0</v>
      </c>
      <c r="L1146">
        <v>0</v>
      </c>
      <c r="M1146">
        <v>0</v>
      </c>
      <c r="N1146" s="21">
        <f t="shared" si="129"/>
        <v>0</v>
      </c>
      <c r="O1146">
        <v>0</v>
      </c>
      <c r="P1146">
        <v>0</v>
      </c>
      <c r="Q1146" s="21">
        <f t="shared" si="123"/>
        <v>0</v>
      </c>
      <c r="R1146">
        <v>0</v>
      </c>
      <c r="S1146">
        <v>0</v>
      </c>
      <c r="T1146" s="21">
        <f t="shared" si="124"/>
        <v>0</v>
      </c>
      <c r="U1146">
        <v>20000</v>
      </c>
      <c r="V1146">
        <v>1</v>
      </c>
      <c r="W1146" s="21">
        <f t="shared" si="125"/>
        <v>4285800</v>
      </c>
      <c r="X1146">
        <v>0</v>
      </c>
      <c r="Y1146">
        <v>0</v>
      </c>
      <c r="Z1146" s="21">
        <f t="shared" si="126"/>
        <v>0</v>
      </c>
      <c r="AA1146">
        <v>0</v>
      </c>
      <c r="AB1146">
        <v>0</v>
      </c>
      <c r="AC1146" s="21">
        <f t="shared" si="127"/>
        <v>0</v>
      </c>
      <c r="AD1146">
        <v>0</v>
      </c>
      <c r="AE1146">
        <v>0</v>
      </c>
      <c r="AF1146" s="21">
        <f t="shared" si="130"/>
        <v>0</v>
      </c>
    </row>
    <row r="1147" spans="1:32" ht="15" customHeight="1" x14ac:dyDescent="0.3">
      <c r="A1147">
        <v>3</v>
      </c>
      <c r="B1147" s="2" t="s">
        <v>696</v>
      </c>
      <c r="C1147" s="4" t="s">
        <v>689</v>
      </c>
      <c r="D1147" s="3" t="s">
        <v>644</v>
      </c>
      <c r="E1147" s="6" t="s">
        <v>6</v>
      </c>
      <c r="F1147" s="6" t="s">
        <v>209</v>
      </c>
      <c r="G1147" s="6" t="s">
        <v>709</v>
      </c>
      <c r="H1147" s="23">
        <v>28000</v>
      </c>
      <c r="I1147">
        <v>0</v>
      </c>
      <c r="J1147">
        <v>0</v>
      </c>
      <c r="K1147" s="20">
        <f t="shared" si="128"/>
        <v>0</v>
      </c>
      <c r="L1147">
        <v>0</v>
      </c>
      <c r="M1147">
        <v>0</v>
      </c>
      <c r="N1147" s="21">
        <f t="shared" si="129"/>
        <v>0</v>
      </c>
      <c r="O1147">
        <v>0</v>
      </c>
      <c r="P1147">
        <v>0</v>
      </c>
      <c r="Q1147" s="21">
        <f t="shared" si="123"/>
        <v>0</v>
      </c>
      <c r="R1147">
        <v>0</v>
      </c>
      <c r="S1147">
        <v>0</v>
      </c>
      <c r="T1147" s="21">
        <f t="shared" si="124"/>
        <v>0</v>
      </c>
      <c r="U1147">
        <v>40</v>
      </c>
      <c r="V1147">
        <v>10</v>
      </c>
      <c r="W1147" s="21">
        <f t="shared" si="125"/>
        <v>11200000</v>
      </c>
      <c r="X1147">
        <v>0</v>
      </c>
      <c r="Y1147">
        <v>0</v>
      </c>
      <c r="Z1147" s="21">
        <f t="shared" si="126"/>
        <v>0</v>
      </c>
      <c r="AA1147">
        <v>0</v>
      </c>
      <c r="AB1147">
        <v>0</v>
      </c>
      <c r="AC1147" s="21">
        <f t="shared" si="127"/>
        <v>0</v>
      </c>
      <c r="AD1147">
        <v>0</v>
      </c>
      <c r="AE1147">
        <v>0</v>
      </c>
      <c r="AF1147" s="21">
        <f t="shared" si="130"/>
        <v>0</v>
      </c>
    </row>
    <row r="1148" spans="1:32" ht="15" customHeight="1" x14ac:dyDescent="0.3">
      <c r="A1148">
        <v>3</v>
      </c>
      <c r="B1148" s="2" t="s">
        <v>696</v>
      </c>
      <c r="C1148" s="4" t="s">
        <v>689</v>
      </c>
      <c r="D1148" s="3" t="s">
        <v>644</v>
      </c>
      <c r="E1148" s="6" t="s">
        <v>6</v>
      </c>
      <c r="F1148" s="6" t="s">
        <v>210</v>
      </c>
      <c r="G1148" s="6" t="s">
        <v>709</v>
      </c>
      <c r="H1148" s="23">
        <v>28000</v>
      </c>
      <c r="I1148">
        <v>0</v>
      </c>
      <c r="J1148">
        <v>0</v>
      </c>
      <c r="K1148" s="20">
        <f t="shared" si="128"/>
        <v>0</v>
      </c>
      <c r="L1148">
        <v>0</v>
      </c>
      <c r="M1148">
        <v>0</v>
      </c>
      <c r="N1148" s="21">
        <f t="shared" si="129"/>
        <v>0</v>
      </c>
      <c r="O1148">
        <v>0</v>
      </c>
      <c r="P1148">
        <v>0</v>
      </c>
      <c r="Q1148" s="21">
        <f t="shared" si="123"/>
        <v>0</v>
      </c>
      <c r="R1148">
        <v>0</v>
      </c>
      <c r="S1148">
        <v>0</v>
      </c>
      <c r="T1148" s="21">
        <f t="shared" si="124"/>
        <v>0</v>
      </c>
      <c r="U1148">
        <v>40</v>
      </c>
      <c r="V1148">
        <v>2</v>
      </c>
      <c r="W1148" s="21">
        <f t="shared" si="125"/>
        <v>2240000</v>
      </c>
      <c r="X1148">
        <v>0</v>
      </c>
      <c r="Y1148">
        <v>0</v>
      </c>
      <c r="Z1148" s="21">
        <f t="shared" si="126"/>
        <v>0</v>
      </c>
      <c r="AA1148">
        <v>0</v>
      </c>
      <c r="AB1148">
        <v>0</v>
      </c>
      <c r="AC1148" s="21">
        <f t="shared" si="127"/>
        <v>0</v>
      </c>
      <c r="AD1148">
        <v>0</v>
      </c>
      <c r="AE1148">
        <v>0</v>
      </c>
      <c r="AF1148" s="21">
        <f t="shared" si="130"/>
        <v>0</v>
      </c>
    </row>
    <row r="1149" spans="1:32" ht="15" customHeight="1" x14ac:dyDescent="0.3">
      <c r="A1149">
        <v>3</v>
      </c>
      <c r="B1149" s="2" t="s">
        <v>696</v>
      </c>
      <c r="C1149" s="4" t="s">
        <v>689</v>
      </c>
      <c r="D1149" s="3" t="s">
        <v>644</v>
      </c>
      <c r="E1149" s="6" t="s">
        <v>6</v>
      </c>
      <c r="F1149" s="6" t="s">
        <v>211</v>
      </c>
      <c r="G1149" s="6" t="s">
        <v>713</v>
      </c>
      <c r="H1149" s="23">
        <v>30000</v>
      </c>
      <c r="I1149">
        <v>0</v>
      </c>
      <c r="J1149">
        <v>0</v>
      </c>
      <c r="K1149" s="20">
        <f t="shared" si="128"/>
        <v>0</v>
      </c>
      <c r="L1149">
        <v>0</v>
      </c>
      <c r="M1149">
        <v>0</v>
      </c>
      <c r="N1149" s="21">
        <f t="shared" si="129"/>
        <v>0</v>
      </c>
      <c r="O1149">
        <v>0</v>
      </c>
      <c r="P1149">
        <v>0</v>
      </c>
      <c r="Q1149" s="21">
        <f t="shared" ref="Q1149:Q1212" si="131">H1149*O1149*P1149</f>
        <v>0</v>
      </c>
      <c r="R1149">
        <v>0</v>
      </c>
      <c r="S1149">
        <v>0</v>
      </c>
      <c r="T1149" s="21">
        <f t="shared" ref="T1149:T1212" si="132">H1149*R1149*S1149</f>
        <v>0</v>
      </c>
      <c r="U1149">
        <v>30</v>
      </c>
      <c r="V1149">
        <v>10</v>
      </c>
      <c r="W1149" s="21">
        <f t="shared" ref="W1149:W1212" si="133">H1149*U1149*V1149</f>
        <v>9000000</v>
      </c>
      <c r="X1149">
        <v>0</v>
      </c>
      <c r="Y1149">
        <v>0</v>
      </c>
      <c r="Z1149" s="21">
        <f t="shared" ref="Z1149:Z1212" si="134">H1149*X1149*Y1149</f>
        <v>0</v>
      </c>
      <c r="AA1149">
        <v>0</v>
      </c>
      <c r="AB1149">
        <v>0</v>
      </c>
      <c r="AC1149" s="21">
        <f t="shared" ref="AC1149:AC1212" si="135">H1149*AA1149*AB1149</f>
        <v>0</v>
      </c>
      <c r="AD1149">
        <v>0</v>
      </c>
      <c r="AE1149">
        <v>0</v>
      </c>
      <c r="AF1149" s="21">
        <f t="shared" si="130"/>
        <v>0</v>
      </c>
    </row>
    <row r="1150" spans="1:32" ht="15" customHeight="1" x14ac:dyDescent="0.3">
      <c r="A1150">
        <v>3</v>
      </c>
      <c r="B1150" s="2" t="s">
        <v>696</v>
      </c>
      <c r="C1150" s="4" t="s">
        <v>689</v>
      </c>
      <c r="D1150" s="3" t="s">
        <v>644</v>
      </c>
      <c r="E1150" s="6" t="s">
        <v>6</v>
      </c>
      <c r="F1150" s="6" t="s">
        <v>211</v>
      </c>
      <c r="G1150" s="6" t="s">
        <v>712</v>
      </c>
      <c r="H1150" s="23">
        <v>214.29</v>
      </c>
      <c r="I1150">
        <v>0</v>
      </c>
      <c r="J1150">
        <v>0</v>
      </c>
      <c r="K1150" s="20">
        <f t="shared" si="128"/>
        <v>0</v>
      </c>
      <c r="L1150">
        <v>0</v>
      </c>
      <c r="M1150">
        <v>0</v>
      </c>
      <c r="N1150" s="21">
        <f t="shared" si="129"/>
        <v>0</v>
      </c>
      <c r="O1150">
        <v>0</v>
      </c>
      <c r="P1150">
        <v>0</v>
      </c>
      <c r="Q1150" s="21">
        <f t="shared" si="131"/>
        <v>0</v>
      </c>
      <c r="R1150">
        <v>0</v>
      </c>
      <c r="S1150">
        <v>0</v>
      </c>
      <c r="T1150" s="21">
        <f t="shared" si="132"/>
        <v>0</v>
      </c>
      <c r="U1150">
        <v>20000</v>
      </c>
      <c r="V1150">
        <v>1</v>
      </c>
      <c r="W1150" s="21">
        <f t="shared" si="133"/>
        <v>4285800</v>
      </c>
      <c r="X1150">
        <v>0</v>
      </c>
      <c r="Y1150">
        <v>0</v>
      </c>
      <c r="Z1150" s="21">
        <f t="shared" si="134"/>
        <v>0</v>
      </c>
      <c r="AA1150">
        <v>0</v>
      </c>
      <c r="AB1150">
        <v>0</v>
      </c>
      <c r="AC1150" s="21">
        <f t="shared" si="135"/>
        <v>0</v>
      </c>
      <c r="AD1150">
        <v>0</v>
      </c>
      <c r="AE1150">
        <v>0</v>
      </c>
      <c r="AF1150" s="21">
        <f t="shared" si="130"/>
        <v>0</v>
      </c>
    </row>
    <row r="1151" spans="1:32" ht="15" customHeight="1" x14ac:dyDescent="0.3">
      <c r="A1151">
        <v>3</v>
      </c>
      <c r="B1151" s="2" t="s">
        <v>696</v>
      </c>
      <c r="C1151" s="4" t="s">
        <v>689</v>
      </c>
      <c r="D1151" s="3" t="s">
        <v>645</v>
      </c>
      <c r="E1151" s="6" t="s">
        <v>7</v>
      </c>
      <c r="F1151" s="6" t="s">
        <v>212</v>
      </c>
      <c r="G1151" s="6" t="s">
        <v>718</v>
      </c>
      <c r="H1151" s="23">
        <v>0</v>
      </c>
      <c r="I1151">
        <v>0</v>
      </c>
      <c r="J1151">
        <v>0</v>
      </c>
      <c r="K1151" s="20">
        <f t="shared" si="128"/>
        <v>0</v>
      </c>
      <c r="L1151">
        <v>0</v>
      </c>
      <c r="M1151">
        <v>0</v>
      </c>
      <c r="N1151" s="21">
        <f t="shared" si="129"/>
        <v>0</v>
      </c>
      <c r="O1151">
        <v>0</v>
      </c>
      <c r="P1151">
        <v>0</v>
      </c>
      <c r="Q1151" s="21">
        <f t="shared" si="131"/>
        <v>0</v>
      </c>
      <c r="R1151">
        <v>0</v>
      </c>
      <c r="S1151">
        <v>0</v>
      </c>
      <c r="T1151" s="21">
        <f t="shared" si="132"/>
        <v>0</v>
      </c>
      <c r="U1151">
        <v>0</v>
      </c>
      <c r="V1151">
        <v>0</v>
      </c>
      <c r="W1151" s="21">
        <f t="shared" si="133"/>
        <v>0</v>
      </c>
      <c r="X1151">
        <v>0</v>
      </c>
      <c r="Y1151">
        <v>0</v>
      </c>
      <c r="Z1151" s="21">
        <f t="shared" si="134"/>
        <v>0</v>
      </c>
      <c r="AA1151">
        <v>0</v>
      </c>
      <c r="AB1151">
        <v>0</v>
      </c>
      <c r="AC1151" s="21">
        <f t="shared" si="135"/>
        <v>0</v>
      </c>
      <c r="AD1151">
        <v>0</v>
      </c>
      <c r="AE1151">
        <v>0</v>
      </c>
      <c r="AF1151" s="21">
        <f t="shared" si="130"/>
        <v>0</v>
      </c>
    </row>
    <row r="1152" spans="1:32" ht="15" customHeight="1" x14ac:dyDescent="0.3">
      <c r="A1152">
        <v>3</v>
      </c>
      <c r="B1152" s="2" t="s">
        <v>696</v>
      </c>
      <c r="C1152" s="4" t="s">
        <v>689</v>
      </c>
      <c r="D1152" s="3" t="s">
        <v>645</v>
      </c>
      <c r="E1152" s="6" t="s">
        <v>7</v>
      </c>
      <c r="F1152" s="6" t="s">
        <v>213</v>
      </c>
      <c r="G1152" s="6" t="s">
        <v>718</v>
      </c>
      <c r="H1152" s="23">
        <v>0</v>
      </c>
      <c r="I1152">
        <v>0</v>
      </c>
      <c r="J1152">
        <v>0</v>
      </c>
      <c r="K1152" s="20">
        <f t="shared" si="128"/>
        <v>0</v>
      </c>
      <c r="L1152">
        <v>0</v>
      </c>
      <c r="M1152">
        <v>0</v>
      </c>
      <c r="N1152" s="21">
        <f t="shared" si="129"/>
        <v>0</v>
      </c>
      <c r="O1152">
        <v>0</v>
      </c>
      <c r="P1152">
        <v>0</v>
      </c>
      <c r="Q1152" s="21">
        <f t="shared" si="131"/>
        <v>0</v>
      </c>
      <c r="R1152">
        <v>0</v>
      </c>
      <c r="S1152">
        <v>0</v>
      </c>
      <c r="T1152" s="21">
        <f t="shared" si="132"/>
        <v>0</v>
      </c>
      <c r="U1152">
        <v>0</v>
      </c>
      <c r="V1152">
        <v>0</v>
      </c>
      <c r="W1152" s="21">
        <f t="shared" si="133"/>
        <v>0</v>
      </c>
      <c r="X1152">
        <v>0</v>
      </c>
      <c r="Y1152">
        <v>0</v>
      </c>
      <c r="Z1152" s="21">
        <f t="shared" si="134"/>
        <v>0</v>
      </c>
      <c r="AA1152">
        <v>0</v>
      </c>
      <c r="AB1152">
        <v>0</v>
      </c>
      <c r="AC1152" s="21">
        <f t="shared" si="135"/>
        <v>0</v>
      </c>
      <c r="AD1152">
        <v>0</v>
      </c>
      <c r="AE1152">
        <v>0</v>
      </c>
      <c r="AF1152" s="21">
        <f t="shared" si="130"/>
        <v>0</v>
      </c>
    </row>
    <row r="1153" spans="1:32" ht="15" customHeight="1" x14ac:dyDescent="0.3">
      <c r="A1153">
        <v>3</v>
      </c>
      <c r="B1153" s="2" t="s">
        <v>696</v>
      </c>
      <c r="C1153" s="4" t="s">
        <v>689</v>
      </c>
      <c r="D1153" s="3" t="s">
        <v>645</v>
      </c>
      <c r="E1153" s="6" t="s">
        <v>8</v>
      </c>
      <c r="F1153" s="6" t="s">
        <v>214</v>
      </c>
      <c r="G1153" s="6" t="s">
        <v>709</v>
      </c>
      <c r="H1153" s="23">
        <v>28000</v>
      </c>
      <c r="I1153">
        <v>0</v>
      </c>
      <c r="J1153">
        <v>0</v>
      </c>
      <c r="K1153" s="20">
        <f t="shared" si="128"/>
        <v>0</v>
      </c>
      <c r="L1153">
        <v>0</v>
      </c>
      <c r="M1153">
        <v>0</v>
      </c>
      <c r="N1153" s="21">
        <f t="shared" si="129"/>
        <v>0</v>
      </c>
      <c r="O1153">
        <v>0</v>
      </c>
      <c r="P1153">
        <v>0</v>
      </c>
      <c r="Q1153" s="21">
        <f t="shared" si="131"/>
        <v>0</v>
      </c>
      <c r="R1153">
        <v>0</v>
      </c>
      <c r="S1153">
        <v>0</v>
      </c>
      <c r="T1153" s="21">
        <f t="shared" si="132"/>
        <v>0</v>
      </c>
      <c r="U1153">
        <v>20</v>
      </c>
      <c r="V1153">
        <v>1</v>
      </c>
      <c r="W1153" s="21">
        <f t="shared" si="133"/>
        <v>560000</v>
      </c>
      <c r="X1153">
        <v>0</v>
      </c>
      <c r="Y1153">
        <v>0</v>
      </c>
      <c r="Z1153" s="21">
        <f t="shared" si="134"/>
        <v>0</v>
      </c>
      <c r="AA1153">
        <v>0</v>
      </c>
      <c r="AB1153">
        <v>0</v>
      </c>
      <c r="AC1153" s="21">
        <f t="shared" si="135"/>
        <v>0</v>
      </c>
      <c r="AD1153">
        <v>0</v>
      </c>
      <c r="AE1153">
        <v>0</v>
      </c>
      <c r="AF1153" s="21">
        <f t="shared" si="130"/>
        <v>0</v>
      </c>
    </row>
    <row r="1154" spans="1:32" ht="15" customHeight="1" x14ac:dyDescent="0.3">
      <c r="A1154">
        <v>3</v>
      </c>
      <c r="B1154" s="2" t="s">
        <v>696</v>
      </c>
      <c r="C1154" s="4" t="s">
        <v>689</v>
      </c>
      <c r="D1154" s="3" t="s">
        <v>645</v>
      </c>
      <c r="E1154" s="6" t="s">
        <v>8</v>
      </c>
      <c r="F1154" s="6" t="s">
        <v>215</v>
      </c>
      <c r="G1154" s="6" t="s">
        <v>718</v>
      </c>
      <c r="H1154" s="23">
        <v>0</v>
      </c>
      <c r="I1154">
        <v>0</v>
      </c>
      <c r="J1154">
        <v>0</v>
      </c>
      <c r="K1154" s="20">
        <f t="shared" si="128"/>
        <v>0</v>
      </c>
      <c r="L1154">
        <v>0</v>
      </c>
      <c r="M1154">
        <v>0</v>
      </c>
      <c r="N1154" s="21">
        <f t="shared" si="129"/>
        <v>0</v>
      </c>
      <c r="O1154">
        <v>0</v>
      </c>
      <c r="P1154">
        <v>0</v>
      </c>
      <c r="Q1154" s="21">
        <f t="shared" si="131"/>
        <v>0</v>
      </c>
      <c r="R1154">
        <v>0</v>
      </c>
      <c r="S1154">
        <v>0</v>
      </c>
      <c r="T1154" s="21">
        <f t="shared" si="132"/>
        <v>0</v>
      </c>
      <c r="U1154">
        <v>0</v>
      </c>
      <c r="V1154">
        <v>0</v>
      </c>
      <c r="W1154" s="21">
        <f t="shared" si="133"/>
        <v>0</v>
      </c>
      <c r="X1154">
        <v>0</v>
      </c>
      <c r="Y1154">
        <v>0</v>
      </c>
      <c r="Z1154" s="21">
        <f t="shared" si="134"/>
        <v>0</v>
      </c>
      <c r="AA1154">
        <v>0</v>
      </c>
      <c r="AB1154">
        <v>0</v>
      </c>
      <c r="AC1154" s="21">
        <f t="shared" si="135"/>
        <v>0</v>
      </c>
      <c r="AD1154">
        <v>0</v>
      </c>
      <c r="AE1154">
        <v>0</v>
      </c>
      <c r="AF1154" s="21">
        <f t="shared" si="130"/>
        <v>0</v>
      </c>
    </row>
    <row r="1155" spans="1:32" ht="15" customHeight="1" x14ac:dyDescent="0.3">
      <c r="A1155">
        <v>3</v>
      </c>
      <c r="B1155" s="2" t="s">
        <v>696</v>
      </c>
      <c r="C1155" s="4" t="s">
        <v>689</v>
      </c>
      <c r="D1155" s="3" t="s">
        <v>645</v>
      </c>
      <c r="E1155" s="6" t="s">
        <v>8</v>
      </c>
      <c r="F1155" s="6" t="s">
        <v>216</v>
      </c>
      <c r="G1155" s="6" t="s">
        <v>708</v>
      </c>
      <c r="H1155" s="23">
        <v>468000</v>
      </c>
      <c r="I1155">
        <v>0</v>
      </c>
      <c r="J1155">
        <v>0</v>
      </c>
      <c r="K1155" s="20">
        <f t="shared" si="128"/>
        <v>0</v>
      </c>
      <c r="L1155">
        <v>0</v>
      </c>
      <c r="M1155">
        <v>0</v>
      </c>
      <c r="N1155" s="21">
        <f t="shared" si="129"/>
        <v>0</v>
      </c>
      <c r="O1155">
        <v>0</v>
      </c>
      <c r="P1155">
        <v>0</v>
      </c>
      <c r="Q1155" s="21">
        <f t="shared" si="131"/>
        <v>0</v>
      </c>
      <c r="R1155">
        <v>0</v>
      </c>
      <c r="S1155">
        <v>0</v>
      </c>
      <c r="T1155" s="21">
        <f t="shared" si="132"/>
        <v>0</v>
      </c>
      <c r="U1155">
        <v>3</v>
      </c>
      <c r="V1155">
        <v>40</v>
      </c>
      <c r="W1155" s="21">
        <f t="shared" si="133"/>
        <v>56160000</v>
      </c>
      <c r="X1155">
        <v>0</v>
      </c>
      <c r="Y1155">
        <v>0</v>
      </c>
      <c r="Z1155" s="21">
        <f t="shared" si="134"/>
        <v>0</v>
      </c>
      <c r="AA1155">
        <v>0</v>
      </c>
      <c r="AB1155">
        <v>0</v>
      </c>
      <c r="AC1155" s="21">
        <f t="shared" si="135"/>
        <v>0</v>
      </c>
      <c r="AD1155">
        <v>0</v>
      </c>
      <c r="AE1155">
        <v>0</v>
      </c>
      <c r="AF1155" s="21">
        <f t="shared" si="130"/>
        <v>0</v>
      </c>
    </row>
    <row r="1156" spans="1:32" ht="15" customHeight="1" x14ac:dyDescent="0.3">
      <c r="A1156">
        <v>3</v>
      </c>
      <c r="B1156" s="2" t="s">
        <v>696</v>
      </c>
      <c r="C1156" s="4" t="s">
        <v>689</v>
      </c>
      <c r="D1156" s="3" t="s">
        <v>645</v>
      </c>
      <c r="E1156" s="6" t="s">
        <v>8</v>
      </c>
      <c r="F1156" s="6" t="s">
        <v>216</v>
      </c>
      <c r="G1156" s="6" t="s">
        <v>707</v>
      </c>
      <c r="H1156" s="23">
        <v>391991.03749999998</v>
      </c>
      <c r="I1156">
        <v>0</v>
      </c>
      <c r="J1156">
        <v>0</v>
      </c>
      <c r="K1156" s="20">
        <f t="shared" si="128"/>
        <v>0</v>
      </c>
      <c r="L1156">
        <v>0</v>
      </c>
      <c r="M1156">
        <v>0</v>
      </c>
      <c r="N1156" s="21">
        <f t="shared" si="129"/>
        <v>0</v>
      </c>
      <c r="O1156">
        <v>0</v>
      </c>
      <c r="P1156">
        <v>0</v>
      </c>
      <c r="Q1156" s="21">
        <f t="shared" si="131"/>
        <v>0</v>
      </c>
      <c r="R1156">
        <v>0</v>
      </c>
      <c r="S1156">
        <v>0</v>
      </c>
      <c r="T1156" s="21">
        <f t="shared" si="132"/>
        <v>0</v>
      </c>
      <c r="U1156">
        <v>1</v>
      </c>
      <c r="V1156">
        <v>4</v>
      </c>
      <c r="W1156" s="21">
        <f t="shared" si="133"/>
        <v>1567964.15</v>
      </c>
      <c r="X1156">
        <v>0</v>
      </c>
      <c r="Y1156">
        <v>0</v>
      </c>
      <c r="Z1156" s="21">
        <f t="shared" si="134"/>
        <v>0</v>
      </c>
      <c r="AA1156">
        <v>0</v>
      </c>
      <c r="AB1156">
        <v>0</v>
      </c>
      <c r="AC1156" s="21">
        <f t="shared" si="135"/>
        <v>0</v>
      </c>
      <c r="AD1156">
        <v>0</v>
      </c>
      <c r="AE1156">
        <v>0</v>
      </c>
      <c r="AF1156" s="21">
        <f t="shared" si="130"/>
        <v>0</v>
      </c>
    </row>
    <row r="1157" spans="1:32" ht="15" customHeight="1" x14ac:dyDescent="0.3">
      <c r="A1157">
        <v>3</v>
      </c>
      <c r="B1157" s="2" t="s">
        <v>696</v>
      </c>
      <c r="C1157" s="4" t="s">
        <v>689</v>
      </c>
      <c r="D1157" s="3" t="s">
        <v>645</v>
      </c>
      <c r="E1157" s="6" t="s">
        <v>9</v>
      </c>
      <c r="F1157" s="6" t="s">
        <v>217</v>
      </c>
      <c r="G1157" s="6" t="s">
        <v>716</v>
      </c>
      <c r="H1157" s="15">
        <v>39000</v>
      </c>
      <c r="I1157">
        <v>0</v>
      </c>
      <c r="J1157">
        <v>0</v>
      </c>
      <c r="K1157" s="20">
        <f t="shared" si="128"/>
        <v>0</v>
      </c>
      <c r="L1157">
        <v>0</v>
      </c>
      <c r="M1157">
        <v>0</v>
      </c>
      <c r="N1157" s="21">
        <f t="shared" si="129"/>
        <v>0</v>
      </c>
      <c r="O1157">
        <v>0</v>
      </c>
      <c r="P1157">
        <v>0</v>
      </c>
      <c r="Q1157" s="21">
        <f t="shared" si="131"/>
        <v>0</v>
      </c>
      <c r="R1157">
        <v>0</v>
      </c>
      <c r="S1157">
        <v>0</v>
      </c>
      <c r="T1157" s="21">
        <f t="shared" si="132"/>
        <v>0</v>
      </c>
      <c r="U1157">
        <v>40</v>
      </c>
      <c r="V1157">
        <v>5</v>
      </c>
      <c r="W1157" s="21">
        <f t="shared" si="133"/>
        <v>7800000</v>
      </c>
      <c r="X1157">
        <v>0</v>
      </c>
      <c r="Y1157">
        <v>0</v>
      </c>
      <c r="Z1157" s="21">
        <f t="shared" si="134"/>
        <v>0</v>
      </c>
      <c r="AA1157">
        <v>0</v>
      </c>
      <c r="AB1157">
        <v>0</v>
      </c>
      <c r="AC1157" s="21">
        <f t="shared" si="135"/>
        <v>0</v>
      </c>
      <c r="AD1157">
        <v>0</v>
      </c>
      <c r="AE1157">
        <v>0</v>
      </c>
      <c r="AF1157" s="21">
        <f t="shared" si="130"/>
        <v>0</v>
      </c>
    </row>
    <row r="1158" spans="1:32" ht="15" customHeight="1" x14ac:dyDescent="0.3">
      <c r="A1158">
        <v>3</v>
      </c>
      <c r="B1158" s="2" t="s">
        <v>696</v>
      </c>
      <c r="C1158" s="4" t="s">
        <v>689</v>
      </c>
      <c r="D1158" s="3" t="s">
        <v>645</v>
      </c>
      <c r="E1158" s="6" t="s">
        <v>9</v>
      </c>
      <c r="F1158" s="6" t="s">
        <v>217</v>
      </c>
      <c r="G1158" s="6" t="s">
        <v>709</v>
      </c>
      <c r="H1158" s="23">
        <v>28000</v>
      </c>
      <c r="I1158">
        <v>0</v>
      </c>
      <c r="J1158">
        <v>0</v>
      </c>
      <c r="K1158" s="20">
        <f t="shared" ref="K1158:K1221" si="136">H1158*I1158*J1158</f>
        <v>0</v>
      </c>
      <c r="L1158">
        <v>0</v>
      </c>
      <c r="M1158">
        <v>0</v>
      </c>
      <c r="N1158" s="21">
        <f t="shared" ref="N1158:N1221" si="137">H1158*L1158*M1158</f>
        <v>0</v>
      </c>
      <c r="O1158">
        <v>0</v>
      </c>
      <c r="P1158">
        <v>0</v>
      </c>
      <c r="Q1158" s="21">
        <f t="shared" si="131"/>
        <v>0</v>
      </c>
      <c r="R1158">
        <v>0</v>
      </c>
      <c r="S1158">
        <v>0</v>
      </c>
      <c r="T1158" s="21">
        <f t="shared" si="132"/>
        <v>0</v>
      </c>
      <c r="U1158">
        <v>40</v>
      </c>
      <c r="V1158">
        <v>5</v>
      </c>
      <c r="W1158" s="21">
        <f t="shared" si="133"/>
        <v>5600000</v>
      </c>
      <c r="X1158">
        <v>0</v>
      </c>
      <c r="Y1158">
        <v>0</v>
      </c>
      <c r="Z1158" s="21">
        <f t="shared" si="134"/>
        <v>0</v>
      </c>
      <c r="AA1158">
        <v>0</v>
      </c>
      <c r="AB1158">
        <v>0</v>
      </c>
      <c r="AC1158" s="21">
        <f t="shared" si="135"/>
        <v>0</v>
      </c>
      <c r="AD1158">
        <v>0</v>
      </c>
      <c r="AE1158">
        <v>0</v>
      </c>
      <c r="AF1158" s="21">
        <f t="shared" ref="AF1158:AF1221" si="138">H1158*AD1158*AE1158</f>
        <v>0</v>
      </c>
    </row>
    <row r="1159" spans="1:32" ht="15" customHeight="1" x14ac:dyDescent="0.3">
      <c r="A1159">
        <v>3</v>
      </c>
      <c r="B1159" s="2" t="s">
        <v>696</v>
      </c>
      <c r="C1159" s="4" t="s">
        <v>689</v>
      </c>
      <c r="D1159" s="3" t="s">
        <v>645</v>
      </c>
      <c r="E1159" s="6" t="s">
        <v>9</v>
      </c>
      <c r="F1159" s="6" t="s">
        <v>217</v>
      </c>
      <c r="G1159" s="6" t="s">
        <v>712</v>
      </c>
      <c r="H1159" s="23">
        <v>214.29</v>
      </c>
      <c r="I1159">
        <v>0</v>
      </c>
      <c r="J1159">
        <v>0</v>
      </c>
      <c r="K1159" s="20">
        <f t="shared" si="136"/>
        <v>0</v>
      </c>
      <c r="L1159">
        <v>0</v>
      </c>
      <c r="M1159">
        <v>0</v>
      </c>
      <c r="N1159" s="21">
        <f t="shared" si="137"/>
        <v>0</v>
      </c>
      <c r="O1159">
        <v>0</v>
      </c>
      <c r="P1159">
        <v>0</v>
      </c>
      <c r="Q1159" s="21">
        <f t="shared" si="131"/>
        <v>0</v>
      </c>
      <c r="R1159">
        <v>0</v>
      </c>
      <c r="S1159">
        <v>0</v>
      </c>
      <c r="T1159" s="21">
        <f t="shared" si="132"/>
        <v>0</v>
      </c>
      <c r="U1159">
        <v>20000</v>
      </c>
      <c r="V1159">
        <v>1</v>
      </c>
      <c r="W1159" s="21">
        <f t="shared" si="133"/>
        <v>4285800</v>
      </c>
      <c r="X1159">
        <v>0</v>
      </c>
      <c r="Y1159">
        <v>0</v>
      </c>
      <c r="Z1159" s="21">
        <f t="shared" si="134"/>
        <v>0</v>
      </c>
      <c r="AA1159">
        <v>0</v>
      </c>
      <c r="AB1159">
        <v>0</v>
      </c>
      <c r="AC1159" s="21">
        <f t="shared" si="135"/>
        <v>0</v>
      </c>
      <c r="AD1159">
        <v>0</v>
      </c>
      <c r="AE1159">
        <v>0</v>
      </c>
      <c r="AF1159" s="21">
        <f t="shared" si="138"/>
        <v>0</v>
      </c>
    </row>
    <row r="1160" spans="1:32" ht="15" customHeight="1" x14ac:dyDescent="0.3">
      <c r="A1160">
        <v>3</v>
      </c>
      <c r="B1160" s="2" t="s">
        <v>696</v>
      </c>
      <c r="C1160" s="4" t="s">
        <v>689</v>
      </c>
      <c r="D1160" s="3" t="s">
        <v>645</v>
      </c>
      <c r="E1160" s="6" t="s">
        <v>9</v>
      </c>
      <c r="F1160" s="6" t="s">
        <v>218</v>
      </c>
      <c r="G1160" s="6" t="s">
        <v>716</v>
      </c>
      <c r="H1160" s="15">
        <v>39000</v>
      </c>
      <c r="I1160">
        <v>0</v>
      </c>
      <c r="J1160">
        <v>0</v>
      </c>
      <c r="K1160" s="20">
        <f t="shared" si="136"/>
        <v>0</v>
      </c>
      <c r="L1160">
        <v>0</v>
      </c>
      <c r="M1160">
        <v>0</v>
      </c>
      <c r="N1160" s="21">
        <f t="shared" si="137"/>
        <v>0</v>
      </c>
      <c r="O1160">
        <v>0</v>
      </c>
      <c r="P1160">
        <v>0</v>
      </c>
      <c r="Q1160" s="21">
        <f t="shared" si="131"/>
        <v>0</v>
      </c>
      <c r="R1160">
        <v>0</v>
      </c>
      <c r="S1160">
        <v>0</v>
      </c>
      <c r="T1160" s="21">
        <f t="shared" si="132"/>
        <v>0</v>
      </c>
      <c r="U1160">
        <v>40</v>
      </c>
      <c r="V1160">
        <v>3</v>
      </c>
      <c r="W1160" s="21">
        <f t="shared" si="133"/>
        <v>4680000</v>
      </c>
      <c r="X1160">
        <v>0</v>
      </c>
      <c r="Y1160">
        <v>0</v>
      </c>
      <c r="Z1160" s="21">
        <f t="shared" si="134"/>
        <v>0</v>
      </c>
      <c r="AA1160">
        <v>0</v>
      </c>
      <c r="AB1160">
        <v>0</v>
      </c>
      <c r="AC1160" s="21">
        <f t="shared" si="135"/>
        <v>0</v>
      </c>
      <c r="AD1160">
        <v>0</v>
      </c>
      <c r="AE1160">
        <v>0</v>
      </c>
      <c r="AF1160" s="21">
        <f t="shared" si="138"/>
        <v>0</v>
      </c>
    </row>
    <row r="1161" spans="1:32" ht="15" customHeight="1" x14ac:dyDescent="0.3">
      <c r="A1161">
        <v>3</v>
      </c>
      <c r="B1161" s="2" t="s">
        <v>696</v>
      </c>
      <c r="C1161" s="4" t="s">
        <v>689</v>
      </c>
      <c r="D1161" s="3" t="s">
        <v>645</v>
      </c>
      <c r="E1161" s="6" t="s">
        <v>9</v>
      </c>
      <c r="F1161" s="6" t="s">
        <v>218</v>
      </c>
      <c r="G1161" s="6" t="s">
        <v>709</v>
      </c>
      <c r="H1161" s="23">
        <v>28000</v>
      </c>
      <c r="I1161">
        <v>0</v>
      </c>
      <c r="J1161">
        <v>0</v>
      </c>
      <c r="K1161" s="20">
        <f t="shared" si="136"/>
        <v>0</v>
      </c>
      <c r="L1161">
        <v>0</v>
      </c>
      <c r="M1161">
        <v>0</v>
      </c>
      <c r="N1161" s="21">
        <f t="shared" si="137"/>
        <v>0</v>
      </c>
      <c r="O1161">
        <v>0</v>
      </c>
      <c r="P1161">
        <v>0</v>
      </c>
      <c r="Q1161" s="21">
        <f t="shared" si="131"/>
        <v>0</v>
      </c>
      <c r="R1161">
        <v>0</v>
      </c>
      <c r="S1161">
        <v>0</v>
      </c>
      <c r="T1161" s="21">
        <f t="shared" si="132"/>
        <v>0</v>
      </c>
      <c r="U1161">
        <v>40</v>
      </c>
      <c r="V1161">
        <v>3</v>
      </c>
      <c r="W1161" s="21">
        <f t="shared" si="133"/>
        <v>3360000</v>
      </c>
      <c r="X1161">
        <v>0</v>
      </c>
      <c r="Y1161">
        <v>0</v>
      </c>
      <c r="Z1161" s="21">
        <f t="shared" si="134"/>
        <v>0</v>
      </c>
      <c r="AA1161">
        <v>0</v>
      </c>
      <c r="AB1161">
        <v>0</v>
      </c>
      <c r="AC1161" s="21">
        <f t="shared" si="135"/>
        <v>0</v>
      </c>
      <c r="AD1161">
        <v>0</v>
      </c>
      <c r="AE1161">
        <v>0</v>
      </c>
      <c r="AF1161" s="21">
        <f t="shared" si="138"/>
        <v>0</v>
      </c>
    </row>
    <row r="1162" spans="1:32" ht="15" customHeight="1" x14ac:dyDescent="0.3">
      <c r="A1162">
        <v>3</v>
      </c>
      <c r="B1162" s="2" t="s">
        <v>696</v>
      </c>
      <c r="C1162" s="4" t="s">
        <v>689</v>
      </c>
      <c r="D1162" s="3" t="s">
        <v>645</v>
      </c>
      <c r="E1162" s="6" t="s">
        <v>9</v>
      </c>
      <c r="F1162" s="6" t="s">
        <v>218</v>
      </c>
      <c r="G1162" s="6" t="s">
        <v>712</v>
      </c>
      <c r="H1162" s="23">
        <v>214.29</v>
      </c>
      <c r="I1162">
        <v>0</v>
      </c>
      <c r="J1162">
        <v>0</v>
      </c>
      <c r="K1162" s="20">
        <f t="shared" si="136"/>
        <v>0</v>
      </c>
      <c r="L1162">
        <v>0</v>
      </c>
      <c r="M1162">
        <v>0</v>
      </c>
      <c r="N1162" s="21">
        <f t="shared" si="137"/>
        <v>0</v>
      </c>
      <c r="O1162">
        <v>0</v>
      </c>
      <c r="P1162">
        <v>0</v>
      </c>
      <c r="Q1162" s="21">
        <f t="shared" si="131"/>
        <v>0</v>
      </c>
      <c r="R1162">
        <v>0</v>
      </c>
      <c r="S1162">
        <v>0</v>
      </c>
      <c r="T1162" s="21">
        <f t="shared" si="132"/>
        <v>0</v>
      </c>
      <c r="U1162">
        <v>20000</v>
      </c>
      <c r="V1162">
        <v>1</v>
      </c>
      <c r="W1162" s="21">
        <f t="shared" si="133"/>
        <v>4285800</v>
      </c>
      <c r="X1162">
        <v>0</v>
      </c>
      <c r="Y1162">
        <v>0</v>
      </c>
      <c r="Z1162" s="21">
        <f t="shared" si="134"/>
        <v>0</v>
      </c>
      <c r="AA1162">
        <v>0</v>
      </c>
      <c r="AB1162">
        <v>0</v>
      </c>
      <c r="AC1162" s="21">
        <f t="shared" si="135"/>
        <v>0</v>
      </c>
      <c r="AD1162">
        <v>0</v>
      </c>
      <c r="AE1162">
        <v>0</v>
      </c>
      <c r="AF1162" s="21">
        <f t="shared" si="138"/>
        <v>0</v>
      </c>
    </row>
    <row r="1163" spans="1:32" ht="15" customHeight="1" x14ac:dyDescent="0.3">
      <c r="A1163">
        <v>3</v>
      </c>
      <c r="B1163" s="2" t="s">
        <v>696</v>
      </c>
      <c r="C1163" s="4" t="s">
        <v>689</v>
      </c>
      <c r="D1163" s="3" t="s">
        <v>645</v>
      </c>
      <c r="E1163" s="6" t="s">
        <v>9</v>
      </c>
      <c r="F1163" s="6" t="s">
        <v>219</v>
      </c>
      <c r="G1163" s="6" t="s">
        <v>716</v>
      </c>
      <c r="H1163" s="15">
        <v>39000</v>
      </c>
      <c r="I1163">
        <v>0</v>
      </c>
      <c r="J1163">
        <v>0</v>
      </c>
      <c r="K1163" s="20">
        <f t="shared" si="136"/>
        <v>0</v>
      </c>
      <c r="L1163">
        <v>0</v>
      </c>
      <c r="M1163">
        <v>0</v>
      </c>
      <c r="N1163" s="21">
        <f t="shared" si="137"/>
        <v>0</v>
      </c>
      <c r="O1163">
        <v>0</v>
      </c>
      <c r="P1163">
        <v>0</v>
      </c>
      <c r="Q1163" s="21">
        <f t="shared" si="131"/>
        <v>0</v>
      </c>
      <c r="R1163">
        <v>0</v>
      </c>
      <c r="S1163">
        <v>0</v>
      </c>
      <c r="T1163" s="21">
        <f t="shared" si="132"/>
        <v>0</v>
      </c>
      <c r="U1163">
        <v>40</v>
      </c>
      <c r="V1163">
        <v>2</v>
      </c>
      <c r="W1163" s="21">
        <f t="shared" si="133"/>
        <v>3120000</v>
      </c>
      <c r="X1163">
        <v>0</v>
      </c>
      <c r="Y1163">
        <v>0</v>
      </c>
      <c r="Z1163" s="21">
        <f t="shared" si="134"/>
        <v>0</v>
      </c>
      <c r="AA1163">
        <v>0</v>
      </c>
      <c r="AB1163">
        <v>0</v>
      </c>
      <c r="AC1163" s="21">
        <f t="shared" si="135"/>
        <v>0</v>
      </c>
      <c r="AD1163">
        <v>0</v>
      </c>
      <c r="AE1163">
        <v>0</v>
      </c>
      <c r="AF1163" s="21">
        <f t="shared" si="138"/>
        <v>0</v>
      </c>
    </row>
    <row r="1164" spans="1:32" ht="15" customHeight="1" x14ac:dyDescent="0.3">
      <c r="A1164">
        <v>3</v>
      </c>
      <c r="B1164" s="2" t="s">
        <v>696</v>
      </c>
      <c r="C1164" s="4" t="s">
        <v>689</v>
      </c>
      <c r="D1164" s="3" t="s">
        <v>645</v>
      </c>
      <c r="E1164" s="6" t="s">
        <v>9</v>
      </c>
      <c r="F1164" s="6" t="s">
        <v>219</v>
      </c>
      <c r="G1164" s="6" t="s">
        <v>709</v>
      </c>
      <c r="H1164" s="23">
        <v>28000</v>
      </c>
      <c r="I1164">
        <v>0</v>
      </c>
      <c r="J1164">
        <v>0</v>
      </c>
      <c r="K1164" s="20">
        <f t="shared" si="136"/>
        <v>0</v>
      </c>
      <c r="L1164">
        <v>0</v>
      </c>
      <c r="M1164">
        <v>0</v>
      </c>
      <c r="N1164" s="21">
        <f t="shared" si="137"/>
        <v>0</v>
      </c>
      <c r="O1164">
        <v>0</v>
      </c>
      <c r="P1164">
        <v>0</v>
      </c>
      <c r="Q1164" s="21">
        <f t="shared" si="131"/>
        <v>0</v>
      </c>
      <c r="R1164">
        <v>0</v>
      </c>
      <c r="S1164">
        <v>0</v>
      </c>
      <c r="T1164" s="21">
        <f t="shared" si="132"/>
        <v>0</v>
      </c>
      <c r="U1164">
        <v>40</v>
      </c>
      <c r="V1164">
        <v>2</v>
      </c>
      <c r="W1164" s="21">
        <f t="shared" si="133"/>
        <v>2240000</v>
      </c>
      <c r="X1164">
        <v>0</v>
      </c>
      <c r="Y1164">
        <v>0</v>
      </c>
      <c r="Z1164" s="21">
        <f t="shared" si="134"/>
        <v>0</v>
      </c>
      <c r="AA1164">
        <v>0</v>
      </c>
      <c r="AB1164">
        <v>0</v>
      </c>
      <c r="AC1164" s="21">
        <f t="shared" si="135"/>
        <v>0</v>
      </c>
      <c r="AD1164">
        <v>0</v>
      </c>
      <c r="AE1164">
        <v>0</v>
      </c>
      <c r="AF1164" s="21">
        <f t="shared" si="138"/>
        <v>0</v>
      </c>
    </row>
    <row r="1165" spans="1:32" ht="15" customHeight="1" x14ac:dyDescent="0.3">
      <c r="A1165">
        <v>3</v>
      </c>
      <c r="B1165" s="2" t="s">
        <v>696</v>
      </c>
      <c r="C1165" s="4" t="s">
        <v>689</v>
      </c>
      <c r="D1165" s="3" t="s">
        <v>645</v>
      </c>
      <c r="E1165" s="6" t="s">
        <v>9</v>
      </c>
      <c r="F1165" s="6" t="s">
        <v>219</v>
      </c>
      <c r="G1165" s="6" t="s">
        <v>712</v>
      </c>
      <c r="H1165" s="23">
        <v>214.29</v>
      </c>
      <c r="I1165">
        <v>0</v>
      </c>
      <c r="J1165">
        <v>0</v>
      </c>
      <c r="K1165" s="20">
        <f t="shared" si="136"/>
        <v>0</v>
      </c>
      <c r="L1165">
        <v>0</v>
      </c>
      <c r="M1165">
        <v>0</v>
      </c>
      <c r="N1165" s="21">
        <f t="shared" si="137"/>
        <v>0</v>
      </c>
      <c r="O1165">
        <v>0</v>
      </c>
      <c r="P1165">
        <v>0</v>
      </c>
      <c r="Q1165" s="21">
        <f t="shared" si="131"/>
        <v>0</v>
      </c>
      <c r="R1165">
        <v>0</v>
      </c>
      <c r="S1165">
        <v>0</v>
      </c>
      <c r="T1165" s="21">
        <f t="shared" si="132"/>
        <v>0</v>
      </c>
      <c r="U1165">
        <v>20000</v>
      </c>
      <c r="V1165">
        <v>1</v>
      </c>
      <c r="W1165" s="21">
        <f t="shared" si="133"/>
        <v>4285800</v>
      </c>
      <c r="X1165">
        <v>0</v>
      </c>
      <c r="Y1165">
        <v>0</v>
      </c>
      <c r="Z1165" s="21">
        <f t="shared" si="134"/>
        <v>0</v>
      </c>
      <c r="AA1165">
        <v>0</v>
      </c>
      <c r="AB1165">
        <v>0</v>
      </c>
      <c r="AC1165" s="21">
        <f t="shared" si="135"/>
        <v>0</v>
      </c>
      <c r="AD1165">
        <v>0</v>
      </c>
      <c r="AE1165">
        <v>0</v>
      </c>
      <c r="AF1165" s="21">
        <f t="shared" si="138"/>
        <v>0</v>
      </c>
    </row>
    <row r="1166" spans="1:32" ht="15" customHeight="1" x14ac:dyDescent="0.3">
      <c r="A1166">
        <v>3</v>
      </c>
      <c r="B1166" s="2" t="s">
        <v>696</v>
      </c>
      <c r="C1166" s="4" t="s">
        <v>689</v>
      </c>
      <c r="D1166" s="3" t="s">
        <v>645</v>
      </c>
      <c r="E1166" s="6" t="s">
        <v>5</v>
      </c>
      <c r="F1166" s="6" t="s">
        <v>196</v>
      </c>
      <c r="G1166" s="6" t="s">
        <v>718</v>
      </c>
      <c r="H1166" s="23">
        <v>0</v>
      </c>
      <c r="I1166">
        <v>0</v>
      </c>
      <c r="J1166">
        <v>0</v>
      </c>
      <c r="K1166" s="20">
        <f t="shared" si="136"/>
        <v>0</v>
      </c>
      <c r="L1166">
        <v>0</v>
      </c>
      <c r="M1166">
        <v>0</v>
      </c>
      <c r="N1166" s="21">
        <f t="shared" si="137"/>
        <v>0</v>
      </c>
      <c r="O1166">
        <v>0</v>
      </c>
      <c r="P1166">
        <v>0</v>
      </c>
      <c r="Q1166" s="21">
        <f t="shared" si="131"/>
        <v>0</v>
      </c>
      <c r="R1166">
        <v>0</v>
      </c>
      <c r="S1166">
        <v>0</v>
      </c>
      <c r="T1166" s="21">
        <f t="shared" si="132"/>
        <v>0</v>
      </c>
      <c r="U1166">
        <v>0</v>
      </c>
      <c r="V1166">
        <v>0</v>
      </c>
      <c r="W1166" s="21">
        <f t="shared" si="133"/>
        <v>0</v>
      </c>
      <c r="X1166">
        <v>0</v>
      </c>
      <c r="Y1166">
        <v>0</v>
      </c>
      <c r="Z1166" s="21">
        <f t="shared" si="134"/>
        <v>0</v>
      </c>
      <c r="AA1166">
        <v>0</v>
      </c>
      <c r="AB1166">
        <v>0</v>
      </c>
      <c r="AC1166" s="21">
        <f t="shared" si="135"/>
        <v>0</v>
      </c>
      <c r="AD1166">
        <v>0</v>
      </c>
      <c r="AE1166">
        <v>0</v>
      </c>
      <c r="AF1166" s="21">
        <f t="shared" si="138"/>
        <v>0</v>
      </c>
    </row>
    <row r="1167" spans="1:32" ht="15" customHeight="1" x14ac:dyDescent="0.3">
      <c r="A1167">
        <v>3</v>
      </c>
      <c r="B1167" s="2" t="s">
        <v>696</v>
      </c>
      <c r="C1167" s="4" t="s">
        <v>689</v>
      </c>
      <c r="D1167" s="3" t="s">
        <v>645</v>
      </c>
      <c r="E1167" s="6" t="s">
        <v>5</v>
      </c>
      <c r="F1167" s="6" t="s">
        <v>197</v>
      </c>
      <c r="G1167" s="6" t="s">
        <v>718</v>
      </c>
      <c r="H1167" s="23">
        <v>0</v>
      </c>
      <c r="I1167">
        <v>0</v>
      </c>
      <c r="J1167">
        <v>0</v>
      </c>
      <c r="K1167" s="20">
        <f t="shared" si="136"/>
        <v>0</v>
      </c>
      <c r="L1167">
        <v>0</v>
      </c>
      <c r="M1167">
        <v>0</v>
      </c>
      <c r="N1167" s="21">
        <f t="shared" si="137"/>
        <v>0</v>
      </c>
      <c r="O1167">
        <v>0</v>
      </c>
      <c r="P1167">
        <v>0</v>
      </c>
      <c r="Q1167" s="21">
        <f t="shared" si="131"/>
        <v>0</v>
      </c>
      <c r="R1167">
        <v>0</v>
      </c>
      <c r="S1167">
        <v>0</v>
      </c>
      <c r="T1167" s="21">
        <f t="shared" si="132"/>
        <v>0</v>
      </c>
      <c r="U1167">
        <v>0</v>
      </c>
      <c r="V1167">
        <v>0</v>
      </c>
      <c r="W1167" s="21">
        <f t="shared" si="133"/>
        <v>0</v>
      </c>
      <c r="X1167">
        <v>0</v>
      </c>
      <c r="Y1167">
        <v>0</v>
      </c>
      <c r="Z1167" s="21">
        <f t="shared" si="134"/>
        <v>0</v>
      </c>
      <c r="AA1167">
        <v>0</v>
      </c>
      <c r="AB1167">
        <v>0</v>
      </c>
      <c r="AC1167" s="21">
        <f t="shared" si="135"/>
        <v>0</v>
      </c>
      <c r="AD1167">
        <v>0</v>
      </c>
      <c r="AE1167">
        <v>0</v>
      </c>
      <c r="AF1167" s="21">
        <f t="shared" si="138"/>
        <v>0</v>
      </c>
    </row>
    <row r="1168" spans="1:32" ht="15" customHeight="1" x14ac:dyDescent="0.3">
      <c r="A1168">
        <v>3</v>
      </c>
      <c r="B1168" s="2" t="s">
        <v>696</v>
      </c>
      <c r="C1168" s="4" t="s">
        <v>689</v>
      </c>
      <c r="D1168" s="3" t="s">
        <v>645</v>
      </c>
      <c r="E1168" s="6" t="s">
        <v>5</v>
      </c>
      <c r="F1168" s="6" t="s">
        <v>198</v>
      </c>
      <c r="G1168" s="6" t="s">
        <v>718</v>
      </c>
      <c r="H1168" s="23">
        <v>0</v>
      </c>
      <c r="I1168">
        <v>0</v>
      </c>
      <c r="J1168">
        <v>0</v>
      </c>
      <c r="K1168" s="20">
        <f t="shared" si="136"/>
        <v>0</v>
      </c>
      <c r="L1168">
        <v>0</v>
      </c>
      <c r="M1168">
        <v>0</v>
      </c>
      <c r="N1168" s="21">
        <f t="shared" si="137"/>
        <v>0</v>
      </c>
      <c r="O1168">
        <v>0</v>
      </c>
      <c r="P1168">
        <v>0</v>
      </c>
      <c r="Q1168" s="21">
        <f t="shared" si="131"/>
        <v>0</v>
      </c>
      <c r="R1168">
        <v>0</v>
      </c>
      <c r="S1168">
        <v>0</v>
      </c>
      <c r="T1168" s="21">
        <f t="shared" si="132"/>
        <v>0</v>
      </c>
      <c r="U1168">
        <v>0</v>
      </c>
      <c r="V1168">
        <v>0</v>
      </c>
      <c r="W1168" s="21">
        <f t="shared" si="133"/>
        <v>0</v>
      </c>
      <c r="X1168">
        <v>0</v>
      </c>
      <c r="Y1168">
        <v>0</v>
      </c>
      <c r="Z1168" s="21">
        <f t="shared" si="134"/>
        <v>0</v>
      </c>
      <c r="AA1168">
        <v>0</v>
      </c>
      <c r="AB1168">
        <v>0</v>
      </c>
      <c r="AC1168" s="21">
        <f t="shared" si="135"/>
        <v>0</v>
      </c>
      <c r="AD1168">
        <v>0</v>
      </c>
      <c r="AE1168">
        <v>0</v>
      </c>
      <c r="AF1168" s="21">
        <f t="shared" si="138"/>
        <v>0</v>
      </c>
    </row>
    <row r="1169" spans="1:32" ht="15" customHeight="1" x14ac:dyDescent="0.3">
      <c r="A1169">
        <v>3</v>
      </c>
      <c r="B1169" s="2" t="s">
        <v>696</v>
      </c>
      <c r="C1169" s="4" t="s">
        <v>689</v>
      </c>
      <c r="D1169" s="3" t="s">
        <v>645</v>
      </c>
      <c r="E1169" s="6" t="s">
        <v>5</v>
      </c>
      <c r="F1169" s="6" t="s">
        <v>199</v>
      </c>
      <c r="G1169" s="6" t="s">
        <v>718</v>
      </c>
      <c r="H1169" s="23">
        <v>0</v>
      </c>
      <c r="I1169">
        <v>0</v>
      </c>
      <c r="J1169">
        <v>0</v>
      </c>
      <c r="K1169" s="20">
        <f t="shared" si="136"/>
        <v>0</v>
      </c>
      <c r="L1169">
        <v>0</v>
      </c>
      <c r="M1169">
        <v>0</v>
      </c>
      <c r="N1169" s="21">
        <f t="shared" si="137"/>
        <v>0</v>
      </c>
      <c r="O1169">
        <v>0</v>
      </c>
      <c r="P1169">
        <v>0</v>
      </c>
      <c r="Q1169" s="21">
        <f t="shared" si="131"/>
        <v>0</v>
      </c>
      <c r="R1169">
        <v>0</v>
      </c>
      <c r="S1169">
        <v>0</v>
      </c>
      <c r="T1169" s="21">
        <f t="shared" si="132"/>
        <v>0</v>
      </c>
      <c r="U1169">
        <v>0</v>
      </c>
      <c r="V1169">
        <v>0</v>
      </c>
      <c r="W1169" s="21">
        <f t="shared" si="133"/>
        <v>0</v>
      </c>
      <c r="X1169">
        <v>0</v>
      </c>
      <c r="Y1169">
        <v>0</v>
      </c>
      <c r="Z1169" s="21">
        <f t="shared" si="134"/>
        <v>0</v>
      </c>
      <c r="AA1169">
        <v>0</v>
      </c>
      <c r="AB1169">
        <v>0</v>
      </c>
      <c r="AC1169" s="21">
        <f t="shared" si="135"/>
        <v>0</v>
      </c>
      <c r="AD1169">
        <v>0</v>
      </c>
      <c r="AE1169">
        <v>0</v>
      </c>
      <c r="AF1169" s="21">
        <f t="shared" si="138"/>
        <v>0</v>
      </c>
    </row>
    <row r="1170" spans="1:32" ht="15" customHeight="1" x14ac:dyDescent="0.3">
      <c r="A1170">
        <v>3</v>
      </c>
      <c r="B1170" s="2" t="s">
        <v>696</v>
      </c>
      <c r="C1170" s="4" t="s">
        <v>689</v>
      </c>
      <c r="D1170" s="3" t="s">
        <v>645</v>
      </c>
      <c r="E1170" s="6" t="s">
        <v>5</v>
      </c>
      <c r="F1170" s="6" t="s">
        <v>200</v>
      </c>
      <c r="G1170" s="6" t="s">
        <v>713</v>
      </c>
      <c r="H1170" s="23">
        <v>45000</v>
      </c>
      <c r="I1170">
        <v>0</v>
      </c>
      <c r="J1170">
        <v>0</v>
      </c>
      <c r="K1170" s="20">
        <f t="shared" si="136"/>
        <v>0</v>
      </c>
      <c r="L1170">
        <v>0</v>
      </c>
      <c r="M1170">
        <v>0</v>
      </c>
      <c r="N1170" s="21">
        <f t="shared" si="137"/>
        <v>0</v>
      </c>
      <c r="O1170">
        <v>0</v>
      </c>
      <c r="P1170">
        <v>0</v>
      </c>
      <c r="Q1170" s="21">
        <f t="shared" si="131"/>
        <v>0</v>
      </c>
      <c r="R1170">
        <v>0</v>
      </c>
      <c r="S1170">
        <v>0</v>
      </c>
      <c r="T1170" s="21">
        <f t="shared" si="132"/>
        <v>0</v>
      </c>
      <c r="U1170">
        <v>15</v>
      </c>
      <c r="V1170">
        <v>10</v>
      </c>
      <c r="W1170" s="21">
        <f t="shared" si="133"/>
        <v>6750000</v>
      </c>
      <c r="X1170">
        <v>0</v>
      </c>
      <c r="Y1170">
        <v>0</v>
      </c>
      <c r="Z1170" s="21">
        <f t="shared" si="134"/>
        <v>0</v>
      </c>
      <c r="AA1170">
        <v>0</v>
      </c>
      <c r="AB1170">
        <v>0</v>
      </c>
      <c r="AC1170" s="21">
        <f t="shared" si="135"/>
        <v>0</v>
      </c>
      <c r="AD1170">
        <v>0</v>
      </c>
      <c r="AE1170">
        <v>0</v>
      </c>
      <c r="AF1170" s="21">
        <f t="shared" si="138"/>
        <v>0</v>
      </c>
    </row>
    <row r="1171" spans="1:32" ht="15" customHeight="1" x14ac:dyDescent="0.3">
      <c r="A1171">
        <v>3</v>
      </c>
      <c r="B1171" s="2" t="s">
        <v>696</v>
      </c>
      <c r="C1171" s="4" t="s">
        <v>689</v>
      </c>
      <c r="D1171" s="3" t="s">
        <v>645</v>
      </c>
      <c r="E1171" s="6" t="s">
        <v>5</v>
      </c>
      <c r="F1171" s="6" t="s">
        <v>200</v>
      </c>
      <c r="G1171" s="6" t="s">
        <v>712</v>
      </c>
      <c r="H1171" s="23">
        <v>214.29</v>
      </c>
      <c r="I1171">
        <v>0</v>
      </c>
      <c r="J1171">
        <v>0</v>
      </c>
      <c r="K1171" s="20">
        <f t="shared" si="136"/>
        <v>0</v>
      </c>
      <c r="L1171">
        <v>0</v>
      </c>
      <c r="M1171">
        <v>0</v>
      </c>
      <c r="N1171" s="21">
        <f t="shared" si="137"/>
        <v>0</v>
      </c>
      <c r="O1171">
        <v>0</v>
      </c>
      <c r="P1171">
        <v>0</v>
      </c>
      <c r="Q1171" s="21">
        <f t="shared" si="131"/>
        <v>0</v>
      </c>
      <c r="R1171">
        <v>0</v>
      </c>
      <c r="S1171">
        <v>0</v>
      </c>
      <c r="T1171" s="21">
        <f t="shared" si="132"/>
        <v>0</v>
      </c>
      <c r="U1171">
        <v>20000</v>
      </c>
      <c r="V1171">
        <v>1</v>
      </c>
      <c r="W1171" s="21">
        <f t="shared" si="133"/>
        <v>4285800</v>
      </c>
      <c r="X1171">
        <v>0</v>
      </c>
      <c r="Y1171">
        <v>0</v>
      </c>
      <c r="Z1171" s="21">
        <f t="shared" si="134"/>
        <v>0</v>
      </c>
      <c r="AA1171">
        <v>0</v>
      </c>
      <c r="AB1171">
        <v>0</v>
      </c>
      <c r="AC1171" s="21">
        <f t="shared" si="135"/>
        <v>0</v>
      </c>
      <c r="AD1171">
        <v>0</v>
      </c>
      <c r="AE1171">
        <v>0</v>
      </c>
      <c r="AF1171" s="21">
        <f t="shared" si="138"/>
        <v>0</v>
      </c>
    </row>
    <row r="1172" spans="1:32" ht="15" customHeight="1" x14ac:dyDescent="0.3">
      <c r="A1172">
        <v>3</v>
      </c>
      <c r="B1172" s="2" t="s">
        <v>696</v>
      </c>
      <c r="C1172" s="4" t="s">
        <v>689</v>
      </c>
      <c r="D1172" s="3" t="s">
        <v>645</v>
      </c>
      <c r="E1172" s="6" t="s">
        <v>5</v>
      </c>
      <c r="F1172" s="6" t="s">
        <v>200</v>
      </c>
      <c r="G1172" s="6" t="s">
        <v>714</v>
      </c>
      <c r="H1172" s="23">
        <v>10000</v>
      </c>
      <c r="I1172">
        <v>0</v>
      </c>
      <c r="J1172">
        <v>0</v>
      </c>
      <c r="K1172" s="20">
        <f t="shared" si="136"/>
        <v>0</v>
      </c>
      <c r="L1172">
        <v>0</v>
      </c>
      <c r="M1172">
        <v>0</v>
      </c>
      <c r="N1172" s="21">
        <f t="shared" si="137"/>
        <v>0</v>
      </c>
      <c r="O1172">
        <v>0</v>
      </c>
      <c r="P1172">
        <v>0</v>
      </c>
      <c r="Q1172" s="21">
        <f t="shared" si="131"/>
        <v>0</v>
      </c>
      <c r="R1172">
        <v>0</v>
      </c>
      <c r="S1172">
        <v>0</v>
      </c>
      <c r="T1172" s="21">
        <f t="shared" si="132"/>
        <v>0</v>
      </c>
      <c r="U1172">
        <v>15</v>
      </c>
      <c r="V1172">
        <v>1</v>
      </c>
      <c r="W1172" s="21">
        <f t="shared" si="133"/>
        <v>150000</v>
      </c>
      <c r="X1172">
        <v>0</v>
      </c>
      <c r="Y1172">
        <v>0</v>
      </c>
      <c r="Z1172" s="21">
        <f t="shared" si="134"/>
        <v>0</v>
      </c>
      <c r="AA1172">
        <v>0</v>
      </c>
      <c r="AB1172">
        <v>0</v>
      </c>
      <c r="AC1172" s="21">
        <f t="shared" si="135"/>
        <v>0</v>
      </c>
      <c r="AD1172">
        <v>0</v>
      </c>
      <c r="AE1172">
        <v>0</v>
      </c>
      <c r="AF1172" s="21">
        <f t="shared" si="138"/>
        <v>0</v>
      </c>
    </row>
    <row r="1173" spans="1:32" ht="15" customHeight="1" x14ac:dyDescent="0.3">
      <c r="A1173">
        <v>3</v>
      </c>
      <c r="B1173" s="2" t="s">
        <v>696</v>
      </c>
      <c r="C1173" s="4" t="s">
        <v>689</v>
      </c>
      <c r="D1173" s="3" t="s">
        <v>645</v>
      </c>
      <c r="E1173" s="6" t="s">
        <v>5</v>
      </c>
      <c r="F1173" s="6" t="s">
        <v>200</v>
      </c>
      <c r="G1173" s="6" t="s">
        <v>715</v>
      </c>
      <c r="H1173" s="23">
        <v>302000</v>
      </c>
      <c r="I1173">
        <v>0</v>
      </c>
      <c r="J1173">
        <v>0</v>
      </c>
      <c r="K1173" s="20">
        <f t="shared" si="136"/>
        <v>0</v>
      </c>
      <c r="L1173">
        <v>0</v>
      </c>
      <c r="M1173">
        <v>0</v>
      </c>
      <c r="N1173" s="21">
        <f t="shared" si="137"/>
        <v>0</v>
      </c>
      <c r="O1173">
        <v>0</v>
      </c>
      <c r="P1173">
        <v>0</v>
      </c>
      <c r="Q1173" s="21">
        <f t="shared" si="131"/>
        <v>0</v>
      </c>
      <c r="R1173">
        <v>0</v>
      </c>
      <c r="S1173">
        <v>0</v>
      </c>
      <c r="T1173" s="21">
        <f t="shared" si="132"/>
        <v>0</v>
      </c>
      <c r="U1173">
        <v>20</v>
      </c>
      <c r="V1173">
        <v>1</v>
      </c>
      <c r="W1173" s="21">
        <f t="shared" si="133"/>
        <v>6040000</v>
      </c>
      <c r="X1173">
        <v>0</v>
      </c>
      <c r="Y1173">
        <v>0</v>
      </c>
      <c r="Z1173" s="21">
        <f t="shared" si="134"/>
        <v>0</v>
      </c>
      <c r="AA1173">
        <v>0</v>
      </c>
      <c r="AB1173">
        <v>0</v>
      </c>
      <c r="AC1173" s="21">
        <f t="shared" si="135"/>
        <v>0</v>
      </c>
      <c r="AD1173">
        <v>0</v>
      </c>
      <c r="AE1173">
        <v>0</v>
      </c>
      <c r="AF1173" s="21">
        <f t="shared" si="138"/>
        <v>0</v>
      </c>
    </row>
    <row r="1174" spans="1:32" ht="15" customHeight="1" x14ac:dyDescent="0.3">
      <c r="A1174">
        <v>3</v>
      </c>
      <c r="B1174" s="2" t="s">
        <v>696</v>
      </c>
      <c r="C1174" s="4" t="s">
        <v>689</v>
      </c>
      <c r="D1174" s="3" t="s">
        <v>646</v>
      </c>
      <c r="E1174" s="6" t="s">
        <v>5</v>
      </c>
      <c r="F1174" s="6" t="s">
        <v>152</v>
      </c>
      <c r="G1174" s="6" t="s">
        <v>716</v>
      </c>
      <c r="H1174" s="15">
        <v>39000</v>
      </c>
      <c r="I1174">
        <v>0</v>
      </c>
      <c r="J1174">
        <v>0</v>
      </c>
      <c r="K1174" s="20">
        <f t="shared" si="136"/>
        <v>0</v>
      </c>
      <c r="L1174">
        <v>0</v>
      </c>
      <c r="M1174">
        <v>0</v>
      </c>
      <c r="N1174" s="21">
        <f t="shared" si="137"/>
        <v>0</v>
      </c>
      <c r="O1174">
        <v>0</v>
      </c>
      <c r="P1174">
        <v>0</v>
      </c>
      <c r="Q1174" s="21">
        <f t="shared" si="131"/>
        <v>0</v>
      </c>
      <c r="R1174">
        <v>0</v>
      </c>
      <c r="S1174">
        <v>0</v>
      </c>
      <c r="T1174" s="21">
        <f t="shared" si="132"/>
        <v>0</v>
      </c>
      <c r="U1174">
        <v>15</v>
      </c>
      <c r="V1174">
        <v>5</v>
      </c>
      <c r="W1174" s="21">
        <f t="shared" si="133"/>
        <v>2925000</v>
      </c>
      <c r="X1174">
        <v>0</v>
      </c>
      <c r="Y1174">
        <v>0</v>
      </c>
      <c r="Z1174" s="21">
        <f t="shared" si="134"/>
        <v>0</v>
      </c>
      <c r="AA1174">
        <v>0</v>
      </c>
      <c r="AB1174">
        <v>0</v>
      </c>
      <c r="AC1174" s="21">
        <f t="shared" si="135"/>
        <v>0</v>
      </c>
      <c r="AD1174">
        <v>0</v>
      </c>
      <c r="AE1174">
        <v>0</v>
      </c>
      <c r="AF1174" s="21">
        <f t="shared" si="138"/>
        <v>0</v>
      </c>
    </row>
    <row r="1175" spans="1:32" ht="15" customHeight="1" x14ac:dyDescent="0.3">
      <c r="A1175">
        <v>3</v>
      </c>
      <c r="B1175" s="2" t="s">
        <v>696</v>
      </c>
      <c r="C1175" s="4" t="s">
        <v>689</v>
      </c>
      <c r="D1175" s="3" t="s">
        <v>646</v>
      </c>
      <c r="E1175" s="6" t="s">
        <v>5</v>
      </c>
      <c r="F1175" s="6" t="s">
        <v>152</v>
      </c>
      <c r="G1175" s="6" t="s">
        <v>709</v>
      </c>
      <c r="H1175" s="23">
        <v>28000</v>
      </c>
      <c r="I1175">
        <v>0</v>
      </c>
      <c r="J1175">
        <v>0</v>
      </c>
      <c r="K1175" s="20">
        <f t="shared" si="136"/>
        <v>0</v>
      </c>
      <c r="L1175">
        <v>0</v>
      </c>
      <c r="M1175">
        <v>0</v>
      </c>
      <c r="N1175" s="21">
        <f t="shared" si="137"/>
        <v>0</v>
      </c>
      <c r="O1175">
        <v>0</v>
      </c>
      <c r="P1175">
        <v>0</v>
      </c>
      <c r="Q1175" s="21">
        <f t="shared" si="131"/>
        <v>0</v>
      </c>
      <c r="R1175">
        <v>0</v>
      </c>
      <c r="S1175">
        <v>0</v>
      </c>
      <c r="T1175" s="21">
        <f t="shared" si="132"/>
        <v>0</v>
      </c>
      <c r="U1175">
        <v>15</v>
      </c>
      <c r="V1175">
        <v>5</v>
      </c>
      <c r="W1175" s="21">
        <f t="shared" si="133"/>
        <v>2100000</v>
      </c>
      <c r="X1175">
        <v>0</v>
      </c>
      <c r="Y1175">
        <v>0</v>
      </c>
      <c r="Z1175" s="21">
        <f t="shared" si="134"/>
        <v>0</v>
      </c>
      <c r="AA1175">
        <v>0</v>
      </c>
      <c r="AB1175">
        <v>0</v>
      </c>
      <c r="AC1175" s="21">
        <f t="shared" si="135"/>
        <v>0</v>
      </c>
      <c r="AD1175">
        <v>0</v>
      </c>
      <c r="AE1175">
        <v>0</v>
      </c>
      <c r="AF1175" s="21">
        <f t="shared" si="138"/>
        <v>0</v>
      </c>
    </row>
    <row r="1176" spans="1:32" ht="15" customHeight="1" x14ac:dyDescent="0.3">
      <c r="A1176">
        <v>3</v>
      </c>
      <c r="B1176" s="2" t="s">
        <v>696</v>
      </c>
      <c r="C1176" s="4" t="s">
        <v>689</v>
      </c>
      <c r="D1176" s="3" t="s">
        <v>646</v>
      </c>
      <c r="E1176" s="6" t="s">
        <v>5</v>
      </c>
      <c r="F1176" s="6" t="s">
        <v>152</v>
      </c>
      <c r="G1176" s="6" t="s">
        <v>712</v>
      </c>
      <c r="H1176" s="23">
        <v>214.29</v>
      </c>
      <c r="I1176">
        <v>0</v>
      </c>
      <c r="J1176">
        <v>0</v>
      </c>
      <c r="K1176" s="20">
        <f t="shared" si="136"/>
        <v>0</v>
      </c>
      <c r="L1176">
        <v>0</v>
      </c>
      <c r="M1176">
        <v>0</v>
      </c>
      <c r="N1176" s="21">
        <f t="shared" si="137"/>
        <v>0</v>
      </c>
      <c r="O1176">
        <v>0</v>
      </c>
      <c r="P1176">
        <v>0</v>
      </c>
      <c r="Q1176" s="21">
        <f t="shared" si="131"/>
        <v>0</v>
      </c>
      <c r="R1176">
        <v>0</v>
      </c>
      <c r="S1176">
        <v>0</v>
      </c>
      <c r="T1176" s="21">
        <f t="shared" si="132"/>
        <v>0</v>
      </c>
      <c r="U1176">
        <v>4000</v>
      </c>
      <c r="V1176">
        <v>1</v>
      </c>
      <c r="W1176" s="21">
        <f t="shared" si="133"/>
        <v>857160</v>
      </c>
      <c r="X1176">
        <v>0</v>
      </c>
      <c r="Y1176">
        <v>0</v>
      </c>
      <c r="Z1176" s="21">
        <f t="shared" si="134"/>
        <v>0</v>
      </c>
      <c r="AA1176">
        <v>0</v>
      </c>
      <c r="AB1176">
        <v>0</v>
      </c>
      <c r="AC1176" s="21">
        <f t="shared" si="135"/>
        <v>0</v>
      </c>
      <c r="AD1176">
        <v>0</v>
      </c>
      <c r="AE1176">
        <v>0</v>
      </c>
      <c r="AF1176" s="21">
        <f t="shared" si="138"/>
        <v>0</v>
      </c>
    </row>
    <row r="1177" spans="1:32" ht="15" customHeight="1" x14ac:dyDescent="0.3">
      <c r="A1177">
        <v>3</v>
      </c>
      <c r="B1177" s="2" t="s">
        <v>696</v>
      </c>
      <c r="C1177" s="4" t="s">
        <v>689</v>
      </c>
      <c r="D1177" s="3" t="s">
        <v>646</v>
      </c>
      <c r="E1177" s="6" t="s">
        <v>5</v>
      </c>
      <c r="F1177" s="6" t="s">
        <v>153</v>
      </c>
      <c r="G1177" s="6" t="s">
        <v>709</v>
      </c>
      <c r="H1177" s="23">
        <v>28000</v>
      </c>
      <c r="I1177">
        <v>0</v>
      </c>
      <c r="J1177">
        <v>0</v>
      </c>
      <c r="K1177" s="20">
        <f t="shared" si="136"/>
        <v>0</v>
      </c>
      <c r="L1177">
        <v>0</v>
      </c>
      <c r="M1177">
        <v>0</v>
      </c>
      <c r="N1177" s="21">
        <f t="shared" si="137"/>
        <v>0</v>
      </c>
      <c r="O1177">
        <v>0</v>
      </c>
      <c r="P1177">
        <v>0</v>
      </c>
      <c r="Q1177" s="21">
        <f t="shared" si="131"/>
        <v>0</v>
      </c>
      <c r="R1177">
        <v>0</v>
      </c>
      <c r="S1177">
        <v>0</v>
      </c>
      <c r="T1177" s="21">
        <f t="shared" si="132"/>
        <v>0</v>
      </c>
      <c r="U1177">
        <v>15</v>
      </c>
      <c r="V1177">
        <v>5</v>
      </c>
      <c r="W1177" s="21">
        <f t="shared" si="133"/>
        <v>2100000</v>
      </c>
      <c r="X1177">
        <v>0</v>
      </c>
      <c r="Y1177">
        <v>0</v>
      </c>
      <c r="Z1177" s="21">
        <f t="shared" si="134"/>
        <v>0</v>
      </c>
      <c r="AA1177">
        <v>0</v>
      </c>
      <c r="AB1177">
        <v>0</v>
      </c>
      <c r="AC1177" s="21">
        <f t="shared" si="135"/>
        <v>0</v>
      </c>
      <c r="AD1177">
        <v>0</v>
      </c>
      <c r="AE1177">
        <v>0</v>
      </c>
      <c r="AF1177" s="21">
        <f t="shared" si="138"/>
        <v>0</v>
      </c>
    </row>
    <row r="1178" spans="1:32" ht="15" customHeight="1" x14ac:dyDescent="0.3">
      <c r="A1178">
        <v>3</v>
      </c>
      <c r="B1178" s="2" t="s">
        <v>696</v>
      </c>
      <c r="C1178" s="4" t="s">
        <v>689</v>
      </c>
      <c r="D1178" s="3" t="s">
        <v>646</v>
      </c>
      <c r="E1178" s="6" t="s">
        <v>5</v>
      </c>
      <c r="F1178" s="6" t="s">
        <v>153</v>
      </c>
      <c r="G1178" s="6" t="s">
        <v>716</v>
      </c>
      <c r="H1178" s="15">
        <v>39000</v>
      </c>
      <c r="I1178">
        <v>0</v>
      </c>
      <c r="J1178">
        <v>0</v>
      </c>
      <c r="K1178" s="20">
        <f t="shared" si="136"/>
        <v>0</v>
      </c>
      <c r="L1178">
        <v>0</v>
      </c>
      <c r="M1178">
        <v>0</v>
      </c>
      <c r="N1178" s="21">
        <f t="shared" si="137"/>
        <v>0</v>
      </c>
      <c r="O1178">
        <v>0</v>
      </c>
      <c r="P1178">
        <v>0</v>
      </c>
      <c r="Q1178" s="21">
        <f t="shared" si="131"/>
        <v>0</v>
      </c>
      <c r="R1178">
        <v>0</v>
      </c>
      <c r="S1178">
        <v>0</v>
      </c>
      <c r="T1178" s="21">
        <f t="shared" si="132"/>
        <v>0</v>
      </c>
      <c r="U1178">
        <v>15</v>
      </c>
      <c r="V1178">
        <v>5</v>
      </c>
      <c r="W1178" s="21">
        <f t="shared" si="133"/>
        <v>2925000</v>
      </c>
      <c r="X1178">
        <v>0</v>
      </c>
      <c r="Y1178">
        <v>0</v>
      </c>
      <c r="Z1178" s="21">
        <f t="shared" si="134"/>
        <v>0</v>
      </c>
      <c r="AA1178">
        <v>0</v>
      </c>
      <c r="AB1178">
        <v>0</v>
      </c>
      <c r="AC1178" s="21">
        <f t="shared" si="135"/>
        <v>0</v>
      </c>
      <c r="AD1178">
        <v>0</v>
      </c>
      <c r="AE1178">
        <v>0</v>
      </c>
      <c r="AF1178" s="21">
        <f t="shared" si="138"/>
        <v>0</v>
      </c>
    </row>
    <row r="1179" spans="1:32" ht="15" customHeight="1" x14ac:dyDescent="0.3">
      <c r="A1179">
        <v>3</v>
      </c>
      <c r="B1179" s="2" t="s">
        <v>696</v>
      </c>
      <c r="C1179" s="4" t="s">
        <v>689</v>
      </c>
      <c r="D1179" s="3" t="s">
        <v>646</v>
      </c>
      <c r="E1179" s="6" t="s">
        <v>5</v>
      </c>
      <c r="F1179" s="6" t="s">
        <v>153</v>
      </c>
      <c r="G1179" s="6" t="s">
        <v>712</v>
      </c>
      <c r="H1179" s="23">
        <v>214.29</v>
      </c>
      <c r="I1179">
        <v>0</v>
      </c>
      <c r="J1179">
        <v>0</v>
      </c>
      <c r="K1179" s="20">
        <f t="shared" si="136"/>
        <v>0</v>
      </c>
      <c r="L1179">
        <v>0</v>
      </c>
      <c r="M1179">
        <v>0</v>
      </c>
      <c r="N1179" s="21">
        <f t="shared" si="137"/>
        <v>0</v>
      </c>
      <c r="O1179">
        <v>0</v>
      </c>
      <c r="P1179">
        <v>0</v>
      </c>
      <c r="Q1179" s="21">
        <f t="shared" si="131"/>
        <v>0</v>
      </c>
      <c r="R1179">
        <v>0</v>
      </c>
      <c r="S1179">
        <v>0</v>
      </c>
      <c r="T1179" s="21">
        <f t="shared" si="132"/>
        <v>0</v>
      </c>
      <c r="U1179">
        <v>4000</v>
      </c>
      <c r="V1179">
        <v>1</v>
      </c>
      <c r="W1179" s="21">
        <f t="shared" si="133"/>
        <v>857160</v>
      </c>
      <c r="X1179">
        <v>0</v>
      </c>
      <c r="Y1179">
        <v>0</v>
      </c>
      <c r="Z1179" s="21">
        <f t="shared" si="134"/>
        <v>0</v>
      </c>
      <c r="AA1179">
        <v>0</v>
      </c>
      <c r="AB1179">
        <v>0</v>
      </c>
      <c r="AC1179" s="21">
        <f t="shared" si="135"/>
        <v>0</v>
      </c>
      <c r="AD1179">
        <v>0</v>
      </c>
      <c r="AE1179">
        <v>0</v>
      </c>
      <c r="AF1179" s="21">
        <f t="shared" si="138"/>
        <v>0</v>
      </c>
    </row>
    <row r="1180" spans="1:32" ht="15" customHeight="1" x14ac:dyDescent="0.3">
      <c r="A1180">
        <v>3</v>
      </c>
      <c r="B1180" s="2" t="s">
        <v>696</v>
      </c>
      <c r="C1180" s="4" t="s">
        <v>689</v>
      </c>
      <c r="D1180" s="3" t="s">
        <v>646</v>
      </c>
      <c r="E1180" s="6" t="s">
        <v>5</v>
      </c>
      <c r="F1180" s="6" t="s">
        <v>177</v>
      </c>
      <c r="G1180" s="6" t="s">
        <v>716</v>
      </c>
      <c r="H1180" s="15">
        <v>39000</v>
      </c>
      <c r="I1180">
        <v>0</v>
      </c>
      <c r="J1180">
        <v>0</v>
      </c>
      <c r="K1180" s="20">
        <f t="shared" si="136"/>
        <v>0</v>
      </c>
      <c r="L1180">
        <v>0</v>
      </c>
      <c r="M1180">
        <v>0</v>
      </c>
      <c r="N1180" s="21">
        <f t="shared" si="137"/>
        <v>0</v>
      </c>
      <c r="O1180">
        <v>0</v>
      </c>
      <c r="P1180">
        <v>0</v>
      </c>
      <c r="Q1180" s="21">
        <f t="shared" si="131"/>
        <v>0</v>
      </c>
      <c r="R1180">
        <v>0</v>
      </c>
      <c r="S1180">
        <v>0</v>
      </c>
      <c r="T1180" s="21">
        <f t="shared" si="132"/>
        <v>0</v>
      </c>
      <c r="U1180">
        <v>10</v>
      </c>
      <c r="V1180">
        <v>1</v>
      </c>
      <c r="W1180" s="21">
        <f t="shared" si="133"/>
        <v>390000</v>
      </c>
      <c r="X1180">
        <v>0</v>
      </c>
      <c r="Y1180">
        <v>0</v>
      </c>
      <c r="Z1180" s="21">
        <f t="shared" si="134"/>
        <v>0</v>
      </c>
      <c r="AA1180">
        <v>0</v>
      </c>
      <c r="AB1180">
        <v>0</v>
      </c>
      <c r="AC1180" s="21">
        <f t="shared" si="135"/>
        <v>0</v>
      </c>
      <c r="AD1180">
        <v>0</v>
      </c>
      <c r="AE1180">
        <v>0</v>
      </c>
      <c r="AF1180" s="21">
        <f t="shared" si="138"/>
        <v>0</v>
      </c>
    </row>
    <row r="1181" spans="1:32" ht="15" customHeight="1" x14ac:dyDescent="0.3">
      <c r="A1181">
        <v>3</v>
      </c>
      <c r="B1181" s="2" t="s">
        <v>696</v>
      </c>
      <c r="C1181" s="4" t="s">
        <v>689</v>
      </c>
      <c r="D1181" s="3" t="s">
        <v>646</v>
      </c>
      <c r="E1181" s="6" t="s">
        <v>5</v>
      </c>
      <c r="F1181" s="6" t="s">
        <v>177</v>
      </c>
      <c r="G1181" s="6" t="s">
        <v>709</v>
      </c>
      <c r="H1181" s="23">
        <v>28000</v>
      </c>
      <c r="I1181">
        <v>0</v>
      </c>
      <c r="J1181">
        <v>0</v>
      </c>
      <c r="K1181" s="20">
        <f t="shared" si="136"/>
        <v>0</v>
      </c>
      <c r="L1181">
        <v>0</v>
      </c>
      <c r="M1181">
        <v>0</v>
      </c>
      <c r="N1181" s="21">
        <f t="shared" si="137"/>
        <v>0</v>
      </c>
      <c r="O1181">
        <v>0</v>
      </c>
      <c r="P1181">
        <v>0</v>
      </c>
      <c r="Q1181" s="21">
        <f t="shared" si="131"/>
        <v>0</v>
      </c>
      <c r="R1181">
        <v>0</v>
      </c>
      <c r="S1181">
        <v>0</v>
      </c>
      <c r="T1181" s="21">
        <f t="shared" si="132"/>
        <v>0</v>
      </c>
      <c r="U1181">
        <v>30</v>
      </c>
      <c r="V1181">
        <v>1</v>
      </c>
      <c r="W1181" s="21">
        <f t="shared" si="133"/>
        <v>840000</v>
      </c>
      <c r="X1181">
        <v>0</v>
      </c>
      <c r="Y1181">
        <v>0</v>
      </c>
      <c r="Z1181" s="21">
        <f t="shared" si="134"/>
        <v>0</v>
      </c>
      <c r="AA1181">
        <v>0</v>
      </c>
      <c r="AB1181">
        <v>0</v>
      </c>
      <c r="AC1181" s="21">
        <f t="shared" si="135"/>
        <v>0</v>
      </c>
      <c r="AD1181">
        <v>0</v>
      </c>
      <c r="AE1181">
        <v>0</v>
      </c>
      <c r="AF1181" s="21">
        <f t="shared" si="138"/>
        <v>0</v>
      </c>
    </row>
    <row r="1182" spans="1:32" ht="15" customHeight="1" x14ac:dyDescent="0.3">
      <c r="A1182">
        <v>3</v>
      </c>
      <c r="B1182" s="2" t="s">
        <v>696</v>
      </c>
      <c r="C1182" s="4" t="s">
        <v>689</v>
      </c>
      <c r="D1182" s="3" t="s">
        <v>646</v>
      </c>
      <c r="E1182" s="6" t="s">
        <v>5</v>
      </c>
      <c r="F1182" s="6" t="s">
        <v>177</v>
      </c>
      <c r="G1182" s="6" t="s">
        <v>712</v>
      </c>
      <c r="H1182" s="23">
        <v>214.29</v>
      </c>
      <c r="I1182">
        <v>0</v>
      </c>
      <c r="J1182">
        <v>0</v>
      </c>
      <c r="K1182" s="20">
        <f t="shared" si="136"/>
        <v>0</v>
      </c>
      <c r="L1182">
        <v>0</v>
      </c>
      <c r="M1182">
        <v>0</v>
      </c>
      <c r="N1182" s="21">
        <f t="shared" si="137"/>
        <v>0</v>
      </c>
      <c r="O1182">
        <v>0</v>
      </c>
      <c r="P1182">
        <v>0</v>
      </c>
      <c r="Q1182" s="21">
        <f t="shared" si="131"/>
        <v>0</v>
      </c>
      <c r="R1182">
        <v>0</v>
      </c>
      <c r="S1182">
        <v>0</v>
      </c>
      <c r="T1182" s="21">
        <f t="shared" si="132"/>
        <v>0</v>
      </c>
      <c r="U1182">
        <v>8000</v>
      </c>
      <c r="V1182">
        <v>1</v>
      </c>
      <c r="W1182" s="21">
        <f t="shared" si="133"/>
        <v>1714320</v>
      </c>
      <c r="X1182">
        <v>0</v>
      </c>
      <c r="Y1182">
        <v>0</v>
      </c>
      <c r="Z1182" s="21">
        <f t="shared" si="134"/>
        <v>0</v>
      </c>
      <c r="AA1182">
        <v>0</v>
      </c>
      <c r="AB1182">
        <v>0</v>
      </c>
      <c r="AC1182" s="21">
        <f t="shared" si="135"/>
        <v>0</v>
      </c>
      <c r="AD1182">
        <v>0</v>
      </c>
      <c r="AE1182">
        <v>0</v>
      </c>
      <c r="AF1182" s="21">
        <f t="shared" si="138"/>
        <v>0</v>
      </c>
    </row>
    <row r="1183" spans="1:32" ht="15" customHeight="1" x14ac:dyDescent="0.3">
      <c r="A1183">
        <v>3</v>
      </c>
      <c r="B1183" s="2" t="s">
        <v>696</v>
      </c>
      <c r="C1183" s="4" t="s">
        <v>689</v>
      </c>
      <c r="D1183" s="3" t="s">
        <v>646</v>
      </c>
      <c r="E1183" s="6" t="s">
        <v>5</v>
      </c>
      <c r="F1183" s="6" t="s">
        <v>204</v>
      </c>
      <c r="G1183" s="6" t="s">
        <v>709</v>
      </c>
      <c r="H1183" s="23">
        <v>28000</v>
      </c>
      <c r="I1183">
        <v>0</v>
      </c>
      <c r="J1183">
        <v>0</v>
      </c>
      <c r="K1183" s="20">
        <f t="shared" si="136"/>
        <v>0</v>
      </c>
      <c r="L1183">
        <v>0</v>
      </c>
      <c r="M1183">
        <v>0</v>
      </c>
      <c r="N1183" s="21">
        <f t="shared" si="137"/>
        <v>0</v>
      </c>
      <c r="O1183">
        <v>0</v>
      </c>
      <c r="P1183">
        <v>0</v>
      </c>
      <c r="Q1183" s="21">
        <f t="shared" si="131"/>
        <v>0</v>
      </c>
      <c r="R1183">
        <v>0</v>
      </c>
      <c r="S1183">
        <v>0</v>
      </c>
      <c r="T1183" s="21">
        <f t="shared" si="132"/>
        <v>0</v>
      </c>
      <c r="U1183">
        <v>30</v>
      </c>
      <c r="V1183">
        <v>1</v>
      </c>
      <c r="W1183" s="21">
        <f t="shared" si="133"/>
        <v>840000</v>
      </c>
      <c r="X1183">
        <v>0</v>
      </c>
      <c r="Y1183">
        <v>0</v>
      </c>
      <c r="Z1183" s="21">
        <f t="shared" si="134"/>
        <v>0</v>
      </c>
      <c r="AA1183">
        <v>0</v>
      </c>
      <c r="AB1183">
        <v>0</v>
      </c>
      <c r="AC1183" s="21">
        <f t="shared" si="135"/>
        <v>0</v>
      </c>
      <c r="AD1183">
        <v>0</v>
      </c>
      <c r="AE1183">
        <v>0</v>
      </c>
      <c r="AF1183" s="21">
        <f t="shared" si="138"/>
        <v>0</v>
      </c>
    </row>
    <row r="1184" spans="1:32" ht="15" customHeight="1" x14ac:dyDescent="0.3">
      <c r="A1184">
        <v>3</v>
      </c>
      <c r="B1184" s="2" t="s">
        <v>696</v>
      </c>
      <c r="C1184" s="4" t="s">
        <v>689</v>
      </c>
      <c r="D1184" s="3" t="s">
        <v>646</v>
      </c>
      <c r="E1184" s="6" t="s">
        <v>5</v>
      </c>
      <c r="F1184" s="6" t="s">
        <v>205</v>
      </c>
      <c r="G1184" s="6" t="s">
        <v>718</v>
      </c>
      <c r="H1184" s="23">
        <v>0</v>
      </c>
      <c r="I1184">
        <v>0</v>
      </c>
      <c r="J1184">
        <v>0</v>
      </c>
      <c r="K1184" s="20">
        <f t="shared" si="136"/>
        <v>0</v>
      </c>
      <c r="L1184">
        <v>0</v>
      </c>
      <c r="M1184">
        <v>0</v>
      </c>
      <c r="N1184" s="21">
        <f t="shared" si="137"/>
        <v>0</v>
      </c>
      <c r="O1184">
        <v>0</v>
      </c>
      <c r="P1184">
        <v>0</v>
      </c>
      <c r="Q1184" s="21">
        <f t="shared" si="131"/>
        <v>0</v>
      </c>
      <c r="R1184">
        <v>0</v>
      </c>
      <c r="S1184">
        <v>0</v>
      </c>
      <c r="T1184" s="21">
        <f t="shared" si="132"/>
        <v>0</v>
      </c>
      <c r="U1184">
        <v>20</v>
      </c>
      <c r="V1184">
        <v>1</v>
      </c>
      <c r="W1184" s="21">
        <f t="shared" si="133"/>
        <v>0</v>
      </c>
      <c r="X1184">
        <v>0</v>
      </c>
      <c r="Y1184">
        <v>0</v>
      </c>
      <c r="Z1184" s="21">
        <f t="shared" si="134"/>
        <v>0</v>
      </c>
      <c r="AA1184">
        <v>0</v>
      </c>
      <c r="AB1184">
        <v>0</v>
      </c>
      <c r="AC1184" s="21">
        <f t="shared" si="135"/>
        <v>0</v>
      </c>
      <c r="AD1184">
        <v>0</v>
      </c>
      <c r="AE1184">
        <v>0</v>
      </c>
      <c r="AF1184" s="21">
        <f t="shared" si="138"/>
        <v>0</v>
      </c>
    </row>
    <row r="1185" spans="1:32" ht="15" customHeight="1" x14ac:dyDescent="0.3">
      <c r="A1185">
        <v>3</v>
      </c>
      <c r="B1185" s="2" t="s">
        <v>696</v>
      </c>
      <c r="C1185" s="4" t="s">
        <v>689</v>
      </c>
      <c r="D1185" s="3" t="s">
        <v>646</v>
      </c>
      <c r="E1185" s="6" t="s">
        <v>5</v>
      </c>
      <c r="F1185" s="6" t="s">
        <v>220</v>
      </c>
      <c r="G1185" s="6" t="s">
        <v>711</v>
      </c>
      <c r="H1185" s="23">
        <v>70</v>
      </c>
      <c r="I1185">
        <v>0</v>
      </c>
      <c r="J1185">
        <v>0</v>
      </c>
      <c r="K1185" s="20">
        <f t="shared" si="136"/>
        <v>0</v>
      </c>
      <c r="L1185">
        <v>0</v>
      </c>
      <c r="M1185">
        <v>0</v>
      </c>
      <c r="N1185" s="21">
        <f t="shared" si="137"/>
        <v>0</v>
      </c>
      <c r="O1185">
        <v>0</v>
      </c>
      <c r="P1185">
        <v>0</v>
      </c>
      <c r="Q1185" s="21">
        <f t="shared" si="131"/>
        <v>0</v>
      </c>
      <c r="R1185">
        <v>0</v>
      </c>
      <c r="S1185">
        <v>0</v>
      </c>
      <c r="T1185" s="21">
        <f t="shared" si="132"/>
        <v>0</v>
      </c>
      <c r="U1185">
        <v>50000</v>
      </c>
      <c r="V1185">
        <v>1</v>
      </c>
      <c r="W1185" s="21">
        <f t="shared" si="133"/>
        <v>3500000</v>
      </c>
      <c r="X1185">
        <v>0</v>
      </c>
      <c r="Y1185">
        <v>0</v>
      </c>
      <c r="Z1185" s="21">
        <f t="shared" si="134"/>
        <v>0</v>
      </c>
      <c r="AA1185">
        <v>0</v>
      </c>
      <c r="AB1185">
        <v>0</v>
      </c>
      <c r="AC1185" s="21">
        <f t="shared" si="135"/>
        <v>0</v>
      </c>
      <c r="AD1185">
        <v>0</v>
      </c>
      <c r="AE1185">
        <v>0</v>
      </c>
      <c r="AF1185" s="21">
        <f t="shared" si="138"/>
        <v>0</v>
      </c>
    </row>
    <row r="1186" spans="1:32" ht="15" customHeight="1" x14ac:dyDescent="0.3">
      <c r="A1186">
        <v>3</v>
      </c>
      <c r="B1186" s="2" t="s">
        <v>696</v>
      </c>
      <c r="C1186" s="4" t="s">
        <v>689</v>
      </c>
      <c r="D1186" s="3" t="s">
        <v>646</v>
      </c>
      <c r="E1186" s="6" t="s">
        <v>5</v>
      </c>
      <c r="F1186" s="6" t="s">
        <v>220</v>
      </c>
      <c r="G1186" s="6" t="s">
        <v>710</v>
      </c>
      <c r="H1186" s="23">
        <v>104850</v>
      </c>
      <c r="I1186">
        <v>0</v>
      </c>
      <c r="J1186">
        <v>0</v>
      </c>
      <c r="K1186" s="20">
        <f t="shared" si="136"/>
        <v>0</v>
      </c>
      <c r="L1186">
        <v>0</v>
      </c>
      <c r="M1186">
        <v>0</v>
      </c>
      <c r="N1186" s="21">
        <f t="shared" si="137"/>
        <v>0</v>
      </c>
      <c r="O1186">
        <v>0</v>
      </c>
      <c r="P1186">
        <v>0</v>
      </c>
      <c r="Q1186" s="21">
        <f t="shared" si="131"/>
        <v>0</v>
      </c>
      <c r="R1186">
        <v>0</v>
      </c>
      <c r="S1186">
        <v>0</v>
      </c>
      <c r="T1186" s="21">
        <f t="shared" si="132"/>
        <v>0</v>
      </c>
      <c r="U1186">
        <v>5</v>
      </c>
      <c r="V1186">
        <v>1</v>
      </c>
      <c r="W1186" s="21">
        <f t="shared" si="133"/>
        <v>524250</v>
      </c>
      <c r="X1186">
        <v>0</v>
      </c>
      <c r="Y1186">
        <v>0</v>
      </c>
      <c r="Z1186" s="21">
        <f t="shared" si="134"/>
        <v>0</v>
      </c>
      <c r="AA1186">
        <v>0</v>
      </c>
      <c r="AB1186">
        <v>0</v>
      </c>
      <c r="AC1186" s="21">
        <f t="shared" si="135"/>
        <v>0</v>
      </c>
      <c r="AD1186">
        <v>0</v>
      </c>
      <c r="AE1186">
        <v>0</v>
      </c>
      <c r="AF1186" s="21">
        <f t="shared" si="138"/>
        <v>0</v>
      </c>
    </row>
    <row r="1187" spans="1:32" ht="15" customHeight="1" x14ac:dyDescent="0.3">
      <c r="A1187">
        <v>3</v>
      </c>
      <c r="B1187" s="2" t="s">
        <v>696</v>
      </c>
      <c r="C1187" s="4" t="s">
        <v>689</v>
      </c>
      <c r="D1187" s="3" t="s">
        <v>646</v>
      </c>
      <c r="E1187" s="6" t="s">
        <v>5</v>
      </c>
      <c r="F1187" s="6" t="s">
        <v>221</v>
      </c>
      <c r="G1187" s="6" t="s">
        <v>716</v>
      </c>
      <c r="H1187" s="15">
        <v>39000</v>
      </c>
      <c r="I1187">
        <v>0</v>
      </c>
      <c r="J1187">
        <v>0</v>
      </c>
      <c r="K1187" s="20">
        <f t="shared" si="136"/>
        <v>0</v>
      </c>
      <c r="L1187">
        <v>0</v>
      </c>
      <c r="M1187">
        <v>0</v>
      </c>
      <c r="N1187" s="21">
        <f t="shared" si="137"/>
        <v>0</v>
      </c>
      <c r="O1187">
        <v>0</v>
      </c>
      <c r="P1187">
        <v>0</v>
      </c>
      <c r="Q1187" s="21">
        <f t="shared" si="131"/>
        <v>0</v>
      </c>
      <c r="R1187">
        <v>0</v>
      </c>
      <c r="S1187">
        <v>0</v>
      </c>
      <c r="T1187" s="21">
        <f t="shared" si="132"/>
        <v>0</v>
      </c>
      <c r="U1187">
        <v>300</v>
      </c>
      <c r="V1187">
        <v>10</v>
      </c>
      <c r="W1187" s="21">
        <f t="shared" si="133"/>
        <v>117000000</v>
      </c>
      <c r="X1187">
        <v>0</v>
      </c>
      <c r="Y1187">
        <v>0</v>
      </c>
      <c r="Z1187" s="21">
        <f t="shared" si="134"/>
        <v>0</v>
      </c>
      <c r="AA1187">
        <v>0</v>
      </c>
      <c r="AB1187">
        <v>0</v>
      </c>
      <c r="AC1187" s="21">
        <f t="shared" si="135"/>
        <v>0</v>
      </c>
      <c r="AD1187">
        <v>0</v>
      </c>
      <c r="AE1187">
        <v>0</v>
      </c>
      <c r="AF1187" s="21">
        <f t="shared" si="138"/>
        <v>0</v>
      </c>
    </row>
    <row r="1188" spans="1:32" ht="15" customHeight="1" x14ac:dyDescent="0.3">
      <c r="A1188">
        <v>3</v>
      </c>
      <c r="B1188" s="2" t="s">
        <v>696</v>
      </c>
      <c r="C1188" s="4" t="s">
        <v>689</v>
      </c>
      <c r="D1188" s="3" t="s">
        <v>646</v>
      </c>
      <c r="E1188" s="6" t="s">
        <v>5</v>
      </c>
      <c r="F1188" s="6" t="s">
        <v>221</v>
      </c>
      <c r="G1188" s="6" t="s">
        <v>709</v>
      </c>
      <c r="H1188" s="23">
        <v>28000</v>
      </c>
      <c r="I1188">
        <v>0</v>
      </c>
      <c r="J1188">
        <v>0</v>
      </c>
      <c r="K1188" s="20">
        <f t="shared" si="136"/>
        <v>0</v>
      </c>
      <c r="L1188">
        <v>0</v>
      </c>
      <c r="M1188">
        <v>0</v>
      </c>
      <c r="N1188" s="21">
        <f t="shared" si="137"/>
        <v>0</v>
      </c>
      <c r="O1188">
        <v>0</v>
      </c>
      <c r="P1188">
        <v>0</v>
      </c>
      <c r="Q1188" s="21">
        <f t="shared" si="131"/>
        <v>0</v>
      </c>
      <c r="R1188">
        <v>0</v>
      </c>
      <c r="S1188">
        <v>0</v>
      </c>
      <c r="T1188" s="21">
        <f t="shared" si="132"/>
        <v>0</v>
      </c>
      <c r="U1188">
        <v>300</v>
      </c>
      <c r="V1188">
        <v>10</v>
      </c>
      <c r="W1188" s="21">
        <f t="shared" si="133"/>
        <v>84000000</v>
      </c>
      <c r="X1188">
        <v>0</v>
      </c>
      <c r="Y1188">
        <v>0</v>
      </c>
      <c r="Z1188" s="21">
        <f t="shared" si="134"/>
        <v>0</v>
      </c>
      <c r="AA1188">
        <v>0</v>
      </c>
      <c r="AB1188">
        <v>0</v>
      </c>
      <c r="AC1188" s="21">
        <f t="shared" si="135"/>
        <v>0</v>
      </c>
      <c r="AD1188">
        <v>0</v>
      </c>
      <c r="AE1188">
        <v>0</v>
      </c>
      <c r="AF1188" s="21">
        <f t="shared" si="138"/>
        <v>0</v>
      </c>
    </row>
    <row r="1189" spans="1:32" ht="15" customHeight="1" x14ac:dyDescent="0.3">
      <c r="A1189">
        <v>3</v>
      </c>
      <c r="B1189" s="2" t="s">
        <v>696</v>
      </c>
      <c r="C1189" s="4" t="s">
        <v>689</v>
      </c>
      <c r="D1189" s="3" t="s">
        <v>646</v>
      </c>
      <c r="E1189" s="6" t="s">
        <v>5</v>
      </c>
      <c r="F1189" s="6" t="s">
        <v>221</v>
      </c>
      <c r="G1189" s="6" t="s">
        <v>712</v>
      </c>
      <c r="H1189" s="23">
        <v>214.29</v>
      </c>
      <c r="I1189">
        <v>0</v>
      </c>
      <c r="J1189">
        <v>0</v>
      </c>
      <c r="K1189" s="20">
        <f t="shared" si="136"/>
        <v>0</v>
      </c>
      <c r="L1189">
        <v>0</v>
      </c>
      <c r="M1189">
        <v>0</v>
      </c>
      <c r="N1189" s="21">
        <f t="shared" si="137"/>
        <v>0</v>
      </c>
      <c r="O1189">
        <v>0</v>
      </c>
      <c r="P1189">
        <v>0</v>
      </c>
      <c r="Q1189" s="21">
        <f t="shared" si="131"/>
        <v>0</v>
      </c>
      <c r="R1189">
        <v>0</v>
      </c>
      <c r="S1189">
        <v>0</v>
      </c>
      <c r="T1189" s="21">
        <f t="shared" si="132"/>
        <v>0</v>
      </c>
      <c r="U1189">
        <v>60000</v>
      </c>
      <c r="V1189">
        <v>1</v>
      </c>
      <c r="W1189" s="21">
        <f t="shared" si="133"/>
        <v>12857400</v>
      </c>
      <c r="X1189">
        <v>0</v>
      </c>
      <c r="Y1189">
        <v>0</v>
      </c>
      <c r="Z1189" s="21">
        <f t="shared" si="134"/>
        <v>0</v>
      </c>
      <c r="AA1189">
        <v>0</v>
      </c>
      <c r="AB1189">
        <v>0</v>
      </c>
      <c r="AC1189" s="21">
        <f t="shared" si="135"/>
        <v>0</v>
      </c>
      <c r="AD1189">
        <v>0</v>
      </c>
      <c r="AE1189">
        <v>0</v>
      </c>
      <c r="AF1189" s="21">
        <f t="shared" si="138"/>
        <v>0</v>
      </c>
    </row>
    <row r="1190" spans="1:32" ht="15" customHeight="1" x14ac:dyDescent="0.3">
      <c r="A1190">
        <v>3</v>
      </c>
      <c r="B1190" s="2" t="s">
        <v>696</v>
      </c>
      <c r="C1190" s="4" t="s">
        <v>689</v>
      </c>
      <c r="D1190" s="3" t="s">
        <v>646</v>
      </c>
      <c r="E1190" s="6" t="s">
        <v>5</v>
      </c>
      <c r="F1190" s="6" t="s">
        <v>210</v>
      </c>
      <c r="G1190" s="6" t="s">
        <v>709</v>
      </c>
      <c r="H1190" s="23">
        <v>28000</v>
      </c>
      <c r="I1190">
        <v>0</v>
      </c>
      <c r="J1190">
        <v>0</v>
      </c>
      <c r="K1190" s="20">
        <f t="shared" si="136"/>
        <v>0</v>
      </c>
      <c r="L1190">
        <v>0</v>
      </c>
      <c r="M1190">
        <v>0</v>
      </c>
      <c r="N1190" s="21">
        <f t="shared" si="137"/>
        <v>0</v>
      </c>
      <c r="O1190">
        <v>0</v>
      </c>
      <c r="P1190">
        <v>0</v>
      </c>
      <c r="Q1190" s="21">
        <f t="shared" si="131"/>
        <v>0</v>
      </c>
      <c r="R1190">
        <v>0</v>
      </c>
      <c r="S1190">
        <v>0</v>
      </c>
      <c r="T1190" s="21">
        <f t="shared" si="132"/>
        <v>0</v>
      </c>
      <c r="U1190">
        <v>40</v>
      </c>
      <c r="V1190">
        <v>5</v>
      </c>
      <c r="W1190" s="21">
        <f t="shared" si="133"/>
        <v>5600000</v>
      </c>
      <c r="X1190">
        <v>0</v>
      </c>
      <c r="Y1190">
        <v>0</v>
      </c>
      <c r="Z1190" s="21">
        <f t="shared" si="134"/>
        <v>0</v>
      </c>
      <c r="AA1190">
        <v>0</v>
      </c>
      <c r="AB1190">
        <v>0</v>
      </c>
      <c r="AC1190" s="21">
        <f t="shared" si="135"/>
        <v>0</v>
      </c>
      <c r="AD1190">
        <v>0</v>
      </c>
      <c r="AE1190">
        <v>0</v>
      </c>
      <c r="AF1190" s="21">
        <f t="shared" si="138"/>
        <v>0</v>
      </c>
    </row>
    <row r="1191" spans="1:32" ht="15" customHeight="1" x14ac:dyDescent="0.3">
      <c r="A1191">
        <v>3</v>
      </c>
      <c r="B1191" s="2" t="s">
        <v>696</v>
      </c>
      <c r="C1191" s="4" t="s">
        <v>689</v>
      </c>
      <c r="D1191" s="3" t="s">
        <v>646</v>
      </c>
      <c r="E1191" s="6" t="s">
        <v>5</v>
      </c>
      <c r="F1191" s="6" t="s">
        <v>210</v>
      </c>
      <c r="G1191" s="6" t="s">
        <v>716</v>
      </c>
      <c r="H1191" s="15">
        <v>39000</v>
      </c>
      <c r="I1191">
        <v>0</v>
      </c>
      <c r="J1191">
        <v>0</v>
      </c>
      <c r="K1191" s="20">
        <f t="shared" si="136"/>
        <v>0</v>
      </c>
      <c r="L1191">
        <v>0</v>
      </c>
      <c r="M1191">
        <v>0</v>
      </c>
      <c r="N1191" s="21">
        <f t="shared" si="137"/>
        <v>0</v>
      </c>
      <c r="O1191">
        <v>0</v>
      </c>
      <c r="P1191">
        <v>0</v>
      </c>
      <c r="Q1191" s="21">
        <f t="shared" si="131"/>
        <v>0</v>
      </c>
      <c r="R1191">
        <v>0</v>
      </c>
      <c r="S1191">
        <v>0</v>
      </c>
      <c r="T1191" s="21">
        <f t="shared" si="132"/>
        <v>0</v>
      </c>
      <c r="U1191">
        <v>40</v>
      </c>
      <c r="V1191">
        <v>5</v>
      </c>
      <c r="W1191" s="21">
        <f t="shared" si="133"/>
        <v>7800000</v>
      </c>
      <c r="X1191">
        <v>0</v>
      </c>
      <c r="Y1191">
        <v>0</v>
      </c>
      <c r="Z1191" s="21">
        <f t="shared" si="134"/>
        <v>0</v>
      </c>
      <c r="AA1191">
        <v>0</v>
      </c>
      <c r="AB1191">
        <v>0</v>
      </c>
      <c r="AC1191" s="21">
        <f t="shared" si="135"/>
        <v>0</v>
      </c>
      <c r="AD1191">
        <v>0</v>
      </c>
      <c r="AE1191">
        <v>0</v>
      </c>
      <c r="AF1191" s="21">
        <f t="shared" si="138"/>
        <v>0</v>
      </c>
    </row>
    <row r="1192" spans="1:32" ht="15" customHeight="1" x14ac:dyDescent="0.3">
      <c r="A1192">
        <v>3</v>
      </c>
      <c r="B1192" s="2" t="s">
        <v>696</v>
      </c>
      <c r="C1192" s="4" t="s">
        <v>689</v>
      </c>
      <c r="D1192" s="3" t="s">
        <v>647</v>
      </c>
      <c r="E1192" s="6" t="s">
        <v>5</v>
      </c>
      <c r="F1192" s="6" t="s">
        <v>210</v>
      </c>
      <c r="G1192" s="6" t="s">
        <v>712</v>
      </c>
      <c r="H1192" s="23">
        <v>214.29</v>
      </c>
      <c r="I1192">
        <v>0</v>
      </c>
      <c r="J1192">
        <v>0</v>
      </c>
      <c r="K1192" s="20">
        <f t="shared" si="136"/>
        <v>0</v>
      </c>
      <c r="L1192">
        <v>0</v>
      </c>
      <c r="M1192">
        <v>0</v>
      </c>
      <c r="N1192" s="21">
        <f t="shared" si="137"/>
        <v>0</v>
      </c>
      <c r="O1192">
        <v>0</v>
      </c>
      <c r="P1192">
        <v>0</v>
      </c>
      <c r="Q1192" s="21">
        <f t="shared" si="131"/>
        <v>0</v>
      </c>
      <c r="R1192">
        <v>0</v>
      </c>
      <c r="S1192">
        <v>0</v>
      </c>
      <c r="T1192" s="21">
        <f t="shared" si="132"/>
        <v>0</v>
      </c>
      <c r="U1192">
        <v>8000</v>
      </c>
      <c r="V1192">
        <v>1</v>
      </c>
      <c r="W1192" s="21">
        <f t="shared" si="133"/>
        <v>1714320</v>
      </c>
      <c r="X1192">
        <v>0</v>
      </c>
      <c r="Y1192">
        <v>0</v>
      </c>
      <c r="Z1192" s="21">
        <f t="shared" si="134"/>
        <v>0</v>
      </c>
      <c r="AA1192">
        <v>0</v>
      </c>
      <c r="AB1192">
        <v>0</v>
      </c>
      <c r="AC1192" s="21">
        <f t="shared" si="135"/>
        <v>0</v>
      </c>
      <c r="AD1192">
        <v>0</v>
      </c>
      <c r="AE1192">
        <v>0</v>
      </c>
      <c r="AF1192" s="21">
        <f t="shared" si="138"/>
        <v>0</v>
      </c>
    </row>
    <row r="1193" spans="1:32" ht="15" customHeight="1" x14ac:dyDescent="0.3">
      <c r="A1193">
        <v>3</v>
      </c>
      <c r="B1193" s="2" t="s">
        <v>696</v>
      </c>
      <c r="C1193" s="4" t="s">
        <v>689</v>
      </c>
      <c r="D1193" s="3" t="s">
        <v>647</v>
      </c>
      <c r="E1193" s="6" t="s">
        <v>5</v>
      </c>
      <c r="F1193" s="6" t="s">
        <v>222</v>
      </c>
      <c r="G1193" s="6" t="s">
        <v>716</v>
      </c>
      <c r="H1193" s="15">
        <v>39000</v>
      </c>
      <c r="I1193">
        <v>0</v>
      </c>
      <c r="J1193">
        <v>0</v>
      </c>
      <c r="K1193" s="20">
        <f t="shared" si="136"/>
        <v>0</v>
      </c>
      <c r="L1193">
        <v>0</v>
      </c>
      <c r="M1193">
        <v>0</v>
      </c>
      <c r="N1193" s="21">
        <f t="shared" si="137"/>
        <v>0</v>
      </c>
      <c r="O1193">
        <v>0</v>
      </c>
      <c r="P1193">
        <v>0</v>
      </c>
      <c r="Q1193" s="21">
        <f t="shared" si="131"/>
        <v>0</v>
      </c>
      <c r="R1193">
        <v>0</v>
      </c>
      <c r="S1193">
        <v>0</v>
      </c>
      <c r="T1193" s="21">
        <f t="shared" si="132"/>
        <v>0</v>
      </c>
      <c r="U1193">
        <v>20</v>
      </c>
      <c r="V1193">
        <v>3</v>
      </c>
      <c r="W1193" s="21">
        <f t="shared" si="133"/>
        <v>2340000</v>
      </c>
      <c r="X1193">
        <v>0</v>
      </c>
      <c r="Y1193">
        <v>0</v>
      </c>
      <c r="Z1193" s="21">
        <f t="shared" si="134"/>
        <v>0</v>
      </c>
      <c r="AA1193">
        <v>0</v>
      </c>
      <c r="AB1193">
        <v>0</v>
      </c>
      <c r="AC1193" s="21">
        <f t="shared" si="135"/>
        <v>0</v>
      </c>
      <c r="AD1193">
        <v>0</v>
      </c>
      <c r="AE1193">
        <v>0</v>
      </c>
      <c r="AF1193" s="21">
        <f t="shared" si="138"/>
        <v>0</v>
      </c>
    </row>
    <row r="1194" spans="1:32" ht="15" customHeight="1" x14ac:dyDescent="0.3">
      <c r="A1194">
        <v>3</v>
      </c>
      <c r="B1194" s="2" t="s">
        <v>696</v>
      </c>
      <c r="C1194" s="4" t="s">
        <v>689</v>
      </c>
      <c r="D1194" s="3" t="s">
        <v>647</v>
      </c>
      <c r="E1194" s="6" t="s">
        <v>5</v>
      </c>
      <c r="F1194" s="6" t="s">
        <v>222</v>
      </c>
      <c r="G1194" s="6" t="s">
        <v>709</v>
      </c>
      <c r="H1194" s="23">
        <v>28000</v>
      </c>
      <c r="I1194">
        <v>0</v>
      </c>
      <c r="J1194">
        <v>0</v>
      </c>
      <c r="K1194" s="20">
        <f t="shared" si="136"/>
        <v>0</v>
      </c>
      <c r="L1194">
        <v>0</v>
      </c>
      <c r="M1194">
        <v>0</v>
      </c>
      <c r="N1194" s="21">
        <f t="shared" si="137"/>
        <v>0</v>
      </c>
      <c r="O1194">
        <v>0</v>
      </c>
      <c r="P1194">
        <v>0</v>
      </c>
      <c r="Q1194" s="21">
        <f t="shared" si="131"/>
        <v>0</v>
      </c>
      <c r="R1194">
        <v>0</v>
      </c>
      <c r="S1194">
        <v>0</v>
      </c>
      <c r="T1194" s="21">
        <f t="shared" si="132"/>
        <v>0</v>
      </c>
      <c r="U1194">
        <v>40</v>
      </c>
      <c r="V1194">
        <v>3</v>
      </c>
      <c r="W1194" s="21">
        <f t="shared" si="133"/>
        <v>3360000</v>
      </c>
      <c r="X1194">
        <v>0</v>
      </c>
      <c r="Y1194">
        <v>0</v>
      </c>
      <c r="Z1194" s="21">
        <f t="shared" si="134"/>
        <v>0</v>
      </c>
      <c r="AA1194">
        <v>0</v>
      </c>
      <c r="AB1194">
        <v>0</v>
      </c>
      <c r="AC1194" s="21">
        <f t="shared" si="135"/>
        <v>0</v>
      </c>
      <c r="AD1194">
        <v>0</v>
      </c>
      <c r="AE1194">
        <v>0</v>
      </c>
      <c r="AF1194" s="21">
        <f t="shared" si="138"/>
        <v>0</v>
      </c>
    </row>
    <row r="1195" spans="1:32" ht="15" customHeight="1" x14ac:dyDescent="0.3">
      <c r="A1195">
        <v>3</v>
      </c>
      <c r="B1195" s="2" t="s">
        <v>696</v>
      </c>
      <c r="C1195" s="4" t="s">
        <v>689</v>
      </c>
      <c r="D1195" s="3" t="s">
        <v>647</v>
      </c>
      <c r="E1195" s="6" t="s">
        <v>5</v>
      </c>
      <c r="F1195" s="6" t="s">
        <v>222</v>
      </c>
      <c r="G1195" s="6" t="s">
        <v>712</v>
      </c>
      <c r="H1195" s="23">
        <v>214.29</v>
      </c>
      <c r="I1195">
        <v>0</v>
      </c>
      <c r="J1195">
        <v>0</v>
      </c>
      <c r="K1195" s="20">
        <f t="shared" si="136"/>
        <v>0</v>
      </c>
      <c r="L1195">
        <v>0</v>
      </c>
      <c r="M1195">
        <v>0</v>
      </c>
      <c r="N1195" s="21">
        <f t="shared" si="137"/>
        <v>0</v>
      </c>
      <c r="O1195">
        <v>0</v>
      </c>
      <c r="P1195">
        <v>0</v>
      </c>
      <c r="Q1195" s="21">
        <f t="shared" si="131"/>
        <v>0</v>
      </c>
      <c r="R1195">
        <v>0</v>
      </c>
      <c r="S1195">
        <v>0</v>
      </c>
      <c r="T1195" s="21">
        <f t="shared" si="132"/>
        <v>0</v>
      </c>
      <c r="U1195">
        <v>8000</v>
      </c>
      <c r="V1195">
        <v>1</v>
      </c>
      <c r="W1195" s="21">
        <f t="shared" si="133"/>
        <v>1714320</v>
      </c>
      <c r="X1195">
        <v>0</v>
      </c>
      <c r="Y1195">
        <v>0</v>
      </c>
      <c r="Z1195" s="21">
        <f t="shared" si="134"/>
        <v>0</v>
      </c>
      <c r="AA1195">
        <v>0</v>
      </c>
      <c r="AB1195">
        <v>0</v>
      </c>
      <c r="AC1195" s="21">
        <f t="shared" si="135"/>
        <v>0</v>
      </c>
      <c r="AD1195">
        <v>0</v>
      </c>
      <c r="AE1195">
        <v>0</v>
      </c>
      <c r="AF1195" s="21">
        <f t="shared" si="138"/>
        <v>0</v>
      </c>
    </row>
    <row r="1196" spans="1:32" ht="15" customHeight="1" x14ac:dyDescent="0.3">
      <c r="A1196">
        <v>3</v>
      </c>
      <c r="B1196" s="2" t="s">
        <v>696</v>
      </c>
      <c r="C1196" s="4" t="s">
        <v>689</v>
      </c>
      <c r="D1196" s="3" t="s">
        <v>647</v>
      </c>
      <c r="E1196" s="6" t="s">
        <v>5</v>
      </c>
      <c r="F1196" s="6" t="s">
        <v>211</v>
      </c>
      <c r="G1196" s="6" t="s">
        <v>713</v>
      </c>
      <c r="H1196" s="23">
        <v>45000</v>
      </c>
      <c r="I1196">
        <v>0</v>
      </c>
      <c r="J1196">
        <v>0</v>
      </c>
      <c r="K1196" s="20">
        <f t="shared" si="136"/>
        <v>0</v>
      </c>
      <c r="L1196">
        <v>0</v>
      </c>
      <c r="M1196">
        <v>0</v>
      </c>
      <c r="N1196" s="21">
        <f t="shared" si="137"/>
        <v>0</v>
      </c>
      <c r="O1196">
        <v>0</v>
      </c>
      <c r="P1196">
        <v>0</v>
      </c>
      <c r="Q1196" s="21">
        <f t="shared" si="131"/>
        <v>0</v>
      </c>
      <c r="R1196">
        <v>0</v>
      </c>
      <c r="S1196">
        <v>0</v>
      </c>
      <c r="T1196" s="21">
        <f t="shared" si="132"/>
        <v>0</v>
      </c>
      <c r="U1196">
        <v>20</v>
      </c>
      <c r="V1196">
        <v>3</v>
      </c>
      <c r="W1196" s="21">
        <f t="shared" si="133"/>
        <v>2700000</v>
      </c>
      <c r="X1196">
        <v>0</v>
      </c>
      <c r="Y1196">
        <v>0</v>
      </c>
      <c r="Z1196" s="21">
        <f t="shared" si="134"/>
        <v>0</v>
      </c>
      <c r="AA1196">
        <v>0</v>
      </c>
      <c r="AB1196">
        <v>0</v>
      </c>
      <c r="AC1196" s="21">
        <f t="shared" si="135"/>
        <v>0</v>
      </c>
      <c r="AD1196">
        <v>0</v>
      </c>
      <c r="AE1196">
        <v>0</v>
      </c>
      <c r="AF1196" s="21">
        <f t="shared" si="138"/>
        <v>0</v>
      </c>
    </row>
    <row r="1197" spans="1:32" ht="15" customHeight="1" x14ac:dyDescent="0.3">
      <c r="A1197">
        <v>3</v>
      </c>
      <c r="B1197" s="2" t="s">
        <v>696</v>
      </c>
      <c r="C1197" s="4" t="s">
        <v>689</v>
      </c>
      <c r="D1197" s="3" t="s">
        <v>647</v>
      </c>
      <c r="E1197" s="6" t="s">
        <v>5</v>
      </c>
      <c r="F1197" s="6" t="s">
        <v>211</v>
      </c>
      <c r="G1197" s="6" t="s">
        <v>712</v>
      </c>
      <c r="H1197" s="23">
        <v>214.29</v>
      </c>
      <c r="I1197">
        <v>0</v>
      </c>
      <c r="J1197">
        <v>0</v>
      </c>
      <c r="K1197" s="20">
        <f t="shared" si="136"/>
        <v>0</v>
      </c>
      <c r="L1197">
        <v>0</v>
      </c>
      <c r="M1197">
        <v>0</v>
      </c>
      <c r="N1197" s="21">
        <f t="shared" si="137"/>
        <v>0</v>
      </c>
      <c r="O1197">
        <v>0</v>
      </c>
      <c r="P1197">
        <v>0</v>
      </c>
      <c r="Q1197" s="21">
        <f t="shared" si="131"/>
        <v>0</v>
      </c>
      <c r="R1197">
        <v>0</v>
      </c>
      <c r="S1197">
        <v>0</v>
      </c>
      <c r="T1197" s="21">
        <f t="shared" si="132"/>
        <v>0</v>
      </c>
      <c r="U1197">
        <v>8000</v>
      </c>
      <c r="V1197">
        <v>1</v>
      </c>
      <c r="W1197" s="21">
        <f t="shared" si="133"/>
        <v>1714320</v>
      </c>
      <c r="X1197">
        <v>0</v>
      </c>
      <c r="Y1197">
        <v>0</v>
      </c>
      <c r="Z1197" s="21">
        <f t="shared" si="134"/>
        <v>0</v>
      </c>
      <c r="AA1197">
        <v>0</v>
      </c>
      <c r="AB1197">
        <v>0</v>
      </c>
      <c r="AC1197" s="21">
        <f t="shared" si="135"/>
        <v>0</v>
      </c>
      <c r="AD1197">
        <v>0</v>
      </c>
      <c r="AE1197">
        <v>0</v>
      </c>
      <c r="AF1197" s="21">
        <f t="shared" si="138"/>
        <v>0</v>
      </c>
    </row>
    <row r="1198" spans="1:32" ht="15" customHeight="1" x14ac:dyDescent="0.3">
      <c r="A1198">
        <v>3</v>
      </c>
      <c r="B1198" s="2" t="s">
        <v>696</v>
      </c>
      <c r="C1198" s="4" t="s">
        <v>689</v>
      </c>
      <c r="D1198" s="3" t="s">
        <v>647</v>
      </c>
      <c r="E1198" s="6" t="s">
        <v>11</v>
      </c>
      <c r="F1198" s="6" t="s">
        <v>223</v>
      </c>
      <c r="G1198" s="6" t="s">
        <v>718</v>
      </c>
      <c r="H1198" s="23">
        <v>0</v>
      </c>
      <c r="I1198">
        <v>0</v>
      </c>
      <c r="J1198">
        <v>0</v>
      </c>
      <c r="K1198" s="20">
        <f t="shared" si="136"/>
        <v>0</v>
      </c>
      <c r="L1198">
        <v>0</v>
      </c>
      <c r="M1198">
        <v>0</v>
      </c>
      <c r="N1198" s="21">
        <f t="shared" si="137"/>
        <v>0</v>
      </c>
      <c r="O1198">
        <v>0</v>
      </c>
      <c r="P1198">
        <v>0</v>
      </c>
      <c r="Q1198" s="21">
        <f t="shared" si="131"/>
        <v>0</v>
      </c>
      <c r="R1198">
        <v>0</v>
      </c>
      <c r="S1198">
        <v>0</v>
      </c>
      <c r="T1198" s="21">
        <f t="shared" si="132"/>
        <v>0</v>
      </c>
      <c r="U1198">
        <v>0</v>
      </c>
      <c r="V1198">
        <v>0</v>
      </c>
      <c r="W1198" s="21">
        <f t="shared" si="133"/>
        <v>0</v>
      </c>
      <c r="X1198">
        <v>0</v>
      </c>
      <c r="Y1198">
        <v>0</v>
      </c>
      <c r="Z1198" s="21">
        <f t="shared" si="134"/>
        <v>0</v>
      </c>
      <c r="AA1198">
        <v>0</v>
      </c>
      <c r="AB1198">
        <v>0</v>
      </c>
      <c r="AC1198" s="21">
        <f t="shared" si="135"/>
        <v>0</v>
      </c>
      <c r="AD1198">
        <v>0</v>
      </c>
      <c r="AE1198">
        <v>0</v>
      </c>
      <c r="AF1198" s="21">
        <f t="shared" si="138"/>
        <v>0</v>
      </c>
    </row>
    <row r="1199" spans="1:32" ht="15" customHeight="1" x14ac:dyDescent="0.3">
      <c r="A1199">
        <v>3</v>
      </c>
      <c r="B1199" s="2" t="s">
        <v>696</v>
      </c>
      <c r="C1199" s="4" t="s">
        <v>689</v>
      </c>
      <c r="D1199" s="3" t="s">
        <v>647</v>
      </c>
      <c r="E1199" s="6" t="s">
        <v>11</v>
      </c>
      <c r="F1199" s="6" t="s">
        <v>224</v>
      </c>
      <c r="G1199" s="6" t="s">
        <v>718</v>
      </c>
      <c r="H1199" s="23">
        <v>0</v>
      </c>
      <c r="I1199">
        <v>0</v>
      </c>
      <c r="J1199">
        <v>0</v>
      </c>
      <c r="K1199" s="20">
        <f t="shared" si="136"/>
        <v>0</v>
      </c>
      <c r="L1199">
        <v>0</v>
      </c>
      <c r="M1199">
        <v>0</v>
      </c>
      <c r="N1199" s="21">
        <f t="shared" si="137"/>
        <v>0</v>
      </c>
      <c r="O1199">
        <v>0</v>
      </c>
      <c r="P1199">
        <v>0</v>
      </c>
      <c r="Q1199" s="21">
        <f t="shared" si="131"/>
        <v>0</v>
      </c>
      <c r="R1199">
        <v>0</v>
      </c>
      <c r="S1199">
        <v>0</v>
      </c>
      <c r="T1199" s="21">
        <f t="shared" si="132"/>
        <v>0</v>
      </c>
      <c r="U1199">
        <v>0</v>
      </c>
      <c r="V1199">
        <v>0</v>
      </c>
      <c r="W1199" s="21">
        <f t="shared" si="133"/>
        <v>0</v>
      </c>
      <c r="X1199">
        <v>0</v>
      </c>
      <c r="Y1199">
        <v>0</v>
      </c>
      <c r="Z1199" s="21">
        <f t="shared" si="134"/>
        <v>0</v>
      </c>
      <c r="AA1199">
        <v>0</v>
      </c>
      <c r="AB1199">
        <v>0</v>
      </c>
      <c r="AC1199" s="21">
        <f t="shared" si="135"/>
        <v>0</v>
      </c>
      <c r="AD1199">
        <v>0</v>
      </c>
      <c r="AE1199">
        <v>0</v>
      </c>
      <c r="AF1199" s="21">
        <f t="shared" si="138"/>
        <v>0</v>
      </c>
    </row>
    <row r="1200" spans="1:32" ht="15" customHeight="1" x14ac:dyDescent="0.3">
      <c r="A1200">
        <v>3</v>
      </c>
      <c r="B1200" s="2" t="s">
        <v>696</v>
      </c>
      <c r="C1200" s="4" t="s">
        <v>689</v>
      </c>
      <c r="D1200" s="3" t="s">
        <v>647</v>
      </c>
      <c r="E1200" s="6" t="s">
        <v>12</v>
      </c>
      <c r="F1200" s="6" t="s">
        <v>225</v>
      </c>
      <c r="G1200" s="6" t="s">
        <v>716</v>
      </c>
      <c r="H1200" s="15">
        <v>39000</v>
      </c>
      <c r="I1200">
        <v>0</v>
      </c>
      <c r="J1200">
        <v>0</v>
      </c>
      <c r="K1200" s="20">
        <f t="shared" si="136"/>
        <v>0</v>
      </c>
      <c r="L1200">
        <v>0</v>
      </c>
      <c r="M1200">
        <v>0</v>
      </c>
      <c r="N1200" s="21">
        <f t="shared" si="137"/>
        <v>0</v>
      </c>
      <c r="O1200">
        <v>0</v>
      </c>
      <c r="P1200">
        <v>0</v>
      </c>
      <c r="Q1200" s="21">
        <f t="shared" si="131"/>
        <v>0</v>
      </c>
      <c r="R1200">
        <v>0</v>
      </c>
      <c r="S1200">
        <v>0</v>
      </c>
      <c r="T1200" s="21">
        <f t="shared" si="132"/>
        <v>0</v>
      </c>
      <c r="U1200">
        <v>40</v>
      </c>
      <c r="V1200">
        <v>10</v>
      </c>
      <c r="W1200" s="21">
        <f t="shared" si="133"/>
        <v>15600000</v>
      </c>
      <c r="X1200">
        <v>0</v>
      </c>
      <c r="Y1200">
        <v>0</v>
      </c>
      <c r="Z1200" s="21">
        <f t="shared" si="134"/>
        <v>0</v>
      </c>
      <c r="AA1200">
        <v>0</v>
      </c>
      <c r="AB1200">
        <v>0</v>
      </c>
      <c r="AC1200" s="21">
        <f t="shared" si="135"/>
        <v>0</v>
      </c>
      <c r="AD1200">
        <v>0</v>
      </c>
      <c r="AE1200">
        <v>0</v>
      </c>
      <c r="AF1200" s="21">
        <f t="shared" si="138"/>
        <v>0</v>
      </c>
    </row>
    <row r="1201" spans="1:32" ht="15" customHeight="1" x14ac:dyDescent="0.3">
      <c r="A1201">
        <v>3</v>
      </c>
      <c r="B1201" s="2" t="s">
        <v>696</v>
      </c>
      <c r="C1201" s="4" t="s">
        <v>689</v>
      </c>
      <c r="D1201" s="3" t="s">
        <v>647</v>
      </c>
      <c r="E1201" s="6" t="s">
        <v>12</v>
      </c>
      <c r="F1201" s="6" t="s">
        <v>225</v>
      </c>
      <c r="G1201" s="6" t="s">
        <v>709</v>
      </c>
      <c r="H1201" s="23">
        <v>28000</v>
      </c>
      <c r="I1201">
        <v>0</v>
      </c>
      <c r="J1201">
        <v>0</v>
      </c>
      <c r="K1201" s="20">
        <f t="shared" si="136"/>
        <v>0</v>
      </c>
      <c r="L1201">
        <v>0</v>
      </c>
      <c r="M1201">
        <v>0</v>
      </c>
      <c r="N1201" s="21">
        <f t="shared" si="137"/>
        <v>0</v>
      </c>
      <c r="O1201">
        <v>0</v>
      </c>
      <c r="P1201">
        <v>0</v>
      </c>
      <c r="Q1201" s="21">
        <f t="shared" si="131"/>
        <v>0</v>
      </c>
      <c r="R1201">
        <v>0</v>
      </c>
      <c r="S1201">
        <v>0</v>
      </c>
      <c r="T1201" s="21">
        <f t="shared" si="132"/>
        <v>0</v>
      </c>
      <c r="U1201">
        <v>40</v>
      </c>
      <c r="V1201">
        <v>10</v>
      </c>
      <c r="W1201" s="21">
        <f t="shared" si="133"/>
        <v>11200000</v>
      </c>
      <c r="X1201">
        <v>0</v>
      </c>
      <c r="Y1201">
        <v>0</v>
      </c>
      <c r="Z1201" s="21">
        <f t="shared" si="134"/>
        <v>0</v>
      </c>
      <c r="AA1201">
        <v>0</v>
      </c>
      <c r="AB1201">
        <v>0</v>
      </c>
      <c r="AC1201" s="21">
        <f t="shared" si="135"/>
        <v>0</v>
      </c>
      <c r="AD1201">
        <v>0</v>
      </c>
      <c r="AE1201">
        <v>0</v>
      </c>
      <c r="AF1201" s="21">
        <f t="shared" si="138"/>
        <v>0</v>
      </c>
    </row>
    <row r="1202" spans="1:32" ht="15" customHeight="1" x14ac:dyDescent="0.3">
      <c r="A1202">
        <v>3</v>
      </c>
      <c r="B1202" s="2" t="s">
        <v>696</v>
      </c>
      <c r="C1202" s="4" t="s">
        <v>689</v>
      </c>
      <c r="D1202" s="3" t="s">
        <v>647</v>
      </c>
      <c r="E1202" s="6" t="s">
        <v>12</v>
      </c>
      <c r="F1202" s="6" t="s">
        <v>225</v>
      </c>
      <c r="G1202" s="6" t="s">
        <v>712</v>
      </c>
      <c r="H1202" s="23">
        <v>214.29</v>
      </c>
      <c r="I1202">
        <v>0</v>
      </c>
      <c r="J1202">
        <v>0</v>
      </c>
      <c r="K1202" s="20">
        <f t="shared" si="136"/>
        <v>0</v>
      </c>
      <c r="L1202">
        <v>0</v>
      </c>
      <c r="M1202">
        <v>0</v>
      </c>
      <c r="N1202" s="21">
        <f t="shared" si="137"/>
        <v>0</v>
      </c>
      <c r="O1202">
        <v>0</v>
      </c>
      <c r="P1202">
        <v>0</v>
      </c>
      <c r="Q1202" s="21">
        <f t="shared" si="131"/>
        <v>0</v>
      </c>
      <c r="R1202">
        <v>0</v>
      </c>
      <c r="S1202">
        <v>0</v>
      </c>
      <c r="T1202" s="21">
        <f t="shared" si="132"/>
        <v>0</v>
      </c>
      <c r="U1202">
        <v>8000</v>
      </c>
      <c r="V1202">
        <v>1</v>
      </c>
      <c r="W1202" s="21">
        <f t="shared" si="133"/>
        <v>1714320</v>
      </c>
      <c r="X1202">
        <v>0</v>
      </c>
      <c r="Y1202">
        <v>0</v>
      </c>
      <c r="Z1202" s="21">
        <f t="shared" si="134"/>
        <v>0</v>
      </c>
      <c r="AA1202">
        <v>0</v>
      </c>
      <c r="AB1202">
        <v>0</v>
      </c>
      <c r="AC1202" s="21">
        <f t="shared" si="135"/>
        <v>0</v>
      </c>
      <c r="AD1202">
        <v>0</v>
      </c>
      <c r="AE1202">
        <v>0</v>
      </c>
      <c r="AF1202" s="21">
        <f t="shared" si="138"/>
        <v>0</v>
      </c>
    </row>
    <row r="1203" spans="1:32" ht="15" customHeight="1" x14ac:dyDescent="0.3">
      <c r="A1203">
        <v>3</v>
      </c>
      <c r="B1203" s="2" t="s">
        <v>696</v>
      </c>
      <c r="C1203" s="4" t="s">
        <v>689</v>
      </c>
      <c r="D1203" s="3" t="s">
        <v>647</v>
      </c>
      <c r="E1203" s="6" t="s">
        <v>12</v>
      </c>
      <c r="F1203" s="6" t="s">
        <v>226</v>
      </c>
      <c r="G1203" s="6" t="s">
        <v>716</v>
      </c>
      <c r="H1203" s="15">
        <v>39000</v>
      </c>
      <c r="I1203">
        <v>0</v>
      </c>
      <c r="J1203">
        <v>0</v>
      </c>
      <c r="K1203" s="20">
        <f t="shared" si="136"/>
        <v>0</v>
      </c>
      <c r="L1203">
        <v>0</v>
      </c>
      <c r="M1203">
        <v>0</v>
      </c>
      <c r="N1203" s="21">
        <f t="shared" si="137"/>
        <v>0</v>
      </c>
      <c r="O1203">
        <v>0</v>
      </c>
      <c r="P1203">
        <v>0</v>
      </c>
      <c r="Q1203" s="21">
        <f t="shared" si="131"/>
        <v>0</v>
      </c>
      <c r="R1203">
        <v>0</v>
      </c>
      <c r="S1203">
        <v>0</v>
      </c>
      <c r="T1203" s="21">
        <f t="shared" si="132"/>
        <v>0</v>
      </c>
      <c r="U1203">
        <v>40</v>
      </c>
      <c r="V1203">
        <v>3</v>
      </c>
      <c r="W1203" s="21">
        <f t="shared" si="133"/>
        <v>4680000</v>
      </c>
      <c r="X1203">
        <v>0</v>
      </c>
      <c r="Y1203">
        <v>0</v>
      </c>
      <c r="Z1203" s="21">
        <f t="shared" si="134"/>
        <v>0</v>
      </c>
      <c r="AA1203">
        <v>0</v>
      </c>
      <c r="AB1203">
        <v>0</v>
      </c>
      <c r="AC1203" s="21">
        <f t="shared" si="135"/>
        <v>0</v>
      </c>
      <c r="AD1203">
        <v>0</v>
      </c>
      <c r="AE1203">
        <v>0</v>
      </c>
      <c r="AF1203" s="21">
        <f t="shared" si="138"/>
        <v>0</v>
      </c>
    </row>
    <row r="1204" spans="1:32" ht="15" customHeight="1" x14ac:dyDescent="0.3">
      <c r="A1204">
        <v>3</v>
      </c>
      <c r="B1204" s="2" t="s">
        <v>696</v>
      </c>
      <c r="C1204" s="4" t="s">
        <v>689</v>
      </c>
      <c r="D1204" s="3" t="s">
        <v>647</v>
      </c>
      <c r="E1204" s="6" t="s">
        <v>12</v>
      </c>
      <c r="F1204" s="6" t="s">
        <v>226</v>
      </c>
      <c r="G1204" s="6" t="s">
        <v>709</v>
      </c>
      <c r="H1204" s="23">
        <v>28000</v>
      </c>
      <c r="I1204">
        <v>0</v>
      </c>
      <c r="J1204">
        <v>0</v>
      </c>
      <c r="K1204" s="20">
        <f t="shared" si="136"/>
        <v>0</v>
      </c>
      <c r="L1204">
        <v>0</v>
      </c>
      <c r="M1204">
        <v>0</v>
      </c>
      <c r="N1204" s="21">
        <f t="shared" si="137"/>
        <v>0</v>
      </c>
      <c r="O1204">
        <v>0</v>
      </c>
      <c r="P1204">
        <v>0</v>
      </c>
      <c r="Q1204" s="21">
        <f t="shared" si="131"/>
        <v>0</v>
      </c>
      <c r="R1204">
        <v>0</v>
      </c>
      <c r="S1204">
        <v>0</v>
      </c>
      <c r="T1204" s="21">
        <f t="shared" si="132"/>
        <v>0</v>
      </c>
      <c r="U1204">
        <v>40</v>
      </c>
      <c r="V1204">
        <v>3</v>
      </c>
      <c r="W1204" s="21">
        <f t="shared" si="133"/>
        <v>3360000</v>
      </c>
      <c r="X1204">
        <v>0</v>
      </c>
      <c r="Y1204">
        <v>0</v>
      </c>
      <c r="Z1204" s="21">
        <f t="shared" si="134"/>
        <v>0</v>
      </c>
      <c r="AA1204">
        <v>0</v>
      </c>
      <c r="AB1204">
        <v>0</v>
      </c>
      <c r="AC1204" s="21">
        <f t="shared" si="135"/>
        <v>0</v>
      </c>
      <c r="AD1204">
        <v>0</v>
      </c>
      <c r="AE1204">
        <v>0</v>
      </c>
      <c r="AF1204" s="21">
        <f t="shared" si="138"/>
        <v>0</v>
      </c>
    </row>
    <row r="1205" spans="1:32" ht="15" customHeight="1" x14ac:dyDescent="0.3">
      <c r="A1205">
        <v>3</v>
      </c>
      <c r="B1205" s="2" t="s">
        <v>696</v>
      </c>
      <c r="C1205" s="4" t="s">
        <v>689</v>
      </c>
      <c r="D1205" s="3" t="s">
        <v>647</v>
      </c>
      <c r="E1205" s="6" t="s">
        <v>12</v>
      </c>
      <c r="F1205" s="6" t="s">
        <v>226</v>
      </c>
      <c r="G1205" s="6" t="s">
        <v>712</v>
      </c>
      <c r="H1205" s="23">
        <v>214.29</v>
      </c>
      <c r="I1205">
        <v>0</v>
      </c>
      <c r="J1205">
        <v>0</v>
      </c>
      <c r="K1205" s="20">
        <f t="shared" si="136"/>
        <v>0</v>
      </c>
      <c r="L1205">
        <v>0</v>
      </c>
      <c r="M1205">
        <v>0</v>
      </c>
      <c r="N1205" s="21">
        <f t="shared" si="137"/>
        <v>0</v>
      </c>
      <c r="O1205">
        <v>0</v>
      </c>
      <c r="P1205">
        <v>0</v>
      </c>
      <c r="Q1205" s="21">
        <f t="shared" si="131"/>
        <v>0</v>
      </c>
      <c r="R1205">
        <v>0</v>
      </c>
      <c r="S1205">
        <v>0</v>
      </c>
      <c r="T1205" s="21">
        <f t="shared" si="132"/>
        <v>0</v>
      </c>
      <c r="U1205">
        <v>8000</v>
      </c>
      <c r="V1205">
        <v>1</v>
      </c>
      <c r="W1205" s="21">
        <f t="shared" si="133"/>
        <v>1714320</v>
      </c>
      <c r="X1205">
        <v>0</v>
      </c>
      <c r="Y1205">
        <v>0</v>
      </c>
      <c r="Z1205" s="21">
        <f t="shared" si="134"/>
        <v>0</v>
      </c>
      <c r="AA1205">
        <v>0</v>
      </c>
      <c r="AB1205">
        <v>0</v>
      </c>
      <c r="AC1205" s="21">
        <f t="shared" si="135"/>
        <v>0</v>
      </c>
      <c r="AD1205">
        <v>0</v>
      </c>
      <c r="AE1205">
        <v>0</v>
      </c>
      <c r="AF1205" s="21">
        <f t="shared" si="138"/>
        <v>0</v>
      </c>
    </row>
    <row r="1206" spans="1:32" ht="15" customHeight="1" x14ac:dyDescent="0.3">
      <c r="A1206">
        <v>3</v>
      </c>
      <c r="B1206" s="2" t="s">
        <v>696</v>
      </c>
      <c r="C1206" s="4" t="s">
        <v>689</v>
      </c>
      <c r="D1206" s="3" t="s">
        <v>647</v>
      </c>
      <c r="E1206" s="6" t="s">
        <v>12</v>
      </c>
      <c r="F1206" s="6" t="s">
        <v>227</v>
      </c>
      <c r="G1206" s="6" t="s">
        <v>716</v>
      </c>
      <c r="H1206" s="15">
        <v>39000</v>
      </c>
      <c r="I1206">
        <v>0</v>
      </c>
      <c r="J1206">
        <v>0</v>
      </c>
      <c r="K1206" s="20">
        <f t="shared" si="136"/>
        <v>0</v>
      </c>
      <c r="L1206">
        <v>0</v>
      </c>
      <c r="M1206">
        <v>0</v>
      </c>
      <c r="N1206" s="21">
        <f t="shared" si="137"/>
        <v>0</v>
      </c>
      <c r="O1206">
        <v>0</v>
      </c>
      <c r="P1206">
        <v>0</v>
      </c>
      <c r="Q1206" s="21">
        <f t="shared" si="131"/>
        <v>0</v>
      </c>
      <c r="R1206">
        <v>0</v>
      </c>
      <c r="S1206">
        <v>0</v>
      </c>
      <c r="T1206" s="21">
        <f t="shared" si="132"/>
        <v>0</v>
      </c>
      <c r="U1206">
        <v>40</v>
      </c>
      <c r="V1206">
        <v>3</v>
      </c>
      <c r="W1206" s="21">
        <f t="shared" si="133"/>
        <v>4680000</v>
      </c>
      <c r="X1206">
        <v>0</v>
      </c>
      <c r="Y1206">
        <v>0</v>
      </c>
      <c r="Z1206" s="21">
        <f t="shared" si="134"/>
        <v>0</v>
      </c>
      <c r="AA1206">
        <v>0</v>
      </c>
      <c r="AB1206">
        <v>0</v>
      </c>
      <c r="AC1206" s="21">
        <f t="shared" si="135"/>
        <v>0</v>
      </c>
      <c r="AD1206">
        <v>0</v>
      </c>
      <c r="AE1206">
        <v>0</v>
      </c>
      <c r="AF1206" s="21">
        <f t="shared" si="138"/>
        <v>0</v>
      </c>
    </row>
    <row r="1207" spans="1:32" ht="15" customHeight="1" x14ac:dyDescent="0.3">
      <c r="A1207">
        <v>3</v>
      </c>
      <c r="B1207" s="2" t="s">
        <v>696</v>
      </c>
      <c r="C1207" s="4" t="s">
        <v>689</v>
      </c>
      <c r="D1207" s="3" t="s">
        <v>647</v>
      </c>
      <c r="E1207" s="6" t="s">
        <v>12</v>
      </c>
      <c r="F1207" s="6" t="s">
        <v>227</v>
      </c>
      <c r="G1207" s="6" t="s">
        <v>709</v>
      </c>
      <c r="H1207" s="23">
        <v>28000</v>
      </c>
      <c r="I1207">
        <v>0</v>
      </c>
      <c r="J1207">
        <v>0</v>
      </c>
      <c r="K1207" s="20">
        <f t="shared" si="136"/>
        <v>0</v>
      </c>
      <c r="L1207">
        <v>0</v>
      </c>
      <c r="M1207">
        <v>0</v>
      </c>
      <c r="N1207" s="21">
        <f t="shared" si="137"/>
        <v>0</v>
      </c>
      <c r="O1207">
        <v>0</v>
      </c>
      <c r="P1207">
        <v>0</v>
      </c>
      <c r="Q1207" s="21">
        <f t="shared" si="131"/>
        <v>0</v>
      </c>
      <c r="R1207">
        <v>0</v>
      </c>
      <c r="S1207">
        <v>0</v>
      </c>
      <c r="T1207" s="21">
        <f t="shared" si="132"/>
        <v>0</v>
      </c>
      <c r="U1207">
        <v>40</v>
      </c>
      <c r="V1207">
        <v>3</v>
      </c>
      <c r="W1207" s="21">
        <f t="shared" si="133"/>
        <v>3360000</v>
      </c>
      <c r="X1207">
        <v>0</v>
      </c>
      <c r="Y1207">
        <v>0</v>
      </c>
      <c r="Z1207" s="21">
        <f t="shared" si="134"/>
        <v>0</v>
      </c>
      <c r="AA1207">
        <v>0</v>
      </c>
      <c r="AB1207">
        <v>0</v>
      </c>
      <c r="AC1207" s="21">
        <f t="shared" si="135"/>
        <v>0</v>
      </c>
      <c r="AD1207">
        <v>0</v>
      </c>
      <c r="AE1207">
        <v>0</v>
      </c>
      <c r="AF1207" s="21">
        <f t="shared" si="138"/>
        <v>0</v>
      </c>
    </row>
    <row r="1208" spans="1:32" ht="15" customHeight="1" x14ac:dyDescent="0.3">
      <c r="A1208">
        <v>3</v>
      </c>
      <c r="B1208" s="2" t="s">
        <v>696</v>
      </c>
      <c r="C1208" s="4" t="s">
        <v>689</v>
      </c>
      <c r="D1208" s="3" t="s">
        <v>647</v>
      </c>
      <c r="E1208" s="6" t="s">
        <v>12</v>
      </c>
      <c r="F1208" s="6" t="s">
        <v>227</v>
      </c>
      <c r="G1208" s="6" t="s">
        <v>712</v>
      </c>
      <c r="H1208" s="23">
        <v>214.29</v>
      </c>
      <c r="I1208">
        <v>0</v>
      </c>
      <c r="J1208">
        <v>0</v>
      </c>
      <c r="K1208" s="20">
        <f t="shared" si="136"/>
        <v>0</v>
      </c>
      <c r="L1208">
        <v>0</v>
      </c>
      <c r="M1208">
        <v>0</v>
      </c>
      <c r="N1208" s="21">
        <f t="shared" si="137"/>
        <v>0</v>
      </c>
      <c r="O1208">
        <v>0</v>
      </c>
      <c r="P1208">
        <v>0</v>
      </c>
      <c r="Q1208" s="21">
        <f t="shared" si="131"/>
        <v>0</v>
      </c>
      <c r="R1208">
        <v>0</v>
      </c>
      <c r="S1208">
        <v>0</v>
      </c>
      <c r="T1208" s="21">
        <f t="shared" si="132"/>
        <v>0</v>
      </c>
      <c r="U1208">
        <v>8000</v>
      </c>
      <c r="V1208">
        <v>1</v>
      </c>
      <c r="W1208" s="21">
        <f t="shared" si="133"/>
        <v>1714320</v>
      </c>
      <c r="X1208">
        <v>0</v>
      </c>
      <c r="Y1208">
        <v>0</v>
      </c>
      <c r="Z1208" s="21">
        <f t="shared" si="134"/>
        <v>0</v>
      </c>
      <c r="AA1208">
        <v>0</v>
      </c>
      <c r="AB1208">
        <v>0</v>
      </c>
      <c r="AC1208" s="21">
        <f t="shared" si="135"/>
        <v>0</v>
      </c>
      <c r="AD1208">
        <v>0</v>
      </c>
      <c r="AE1208">
        <v>0</v>
      </c>
      <c r="AF1208" s="21">
        <f t="shared" si="138"/>
        <v>0</v>
      </c>
    </row>
    <row r="1209" spans="1:32" ht="15" customHeight="1" x14ac:dyDescent="0.3">
      <c r="A1209">
        <v>3</v>
      </c>
      <c r="B1209" s="2" t="s">
        <v>696</v>
      </c>
      <c r="C1209" s="4" t="s">
        <v>689</v>
      </c>
      <c r="D1209" s="3" t="s">
        <v>647</v>
      </c>
      <c r="E1209" s="6" t="s">
        <v>13</v>
      </c>
      <c r="F1209" s="6" t="s">
        <v>196</v>
      </c>
      <c r="G1209" s="6" t="s">
        <v>718</v>
      </c>
      <c r="H1209" s="23">
        <v>0</v>
      </c>
      <c r="I1209">
        <v>0</v>
      </c>
      <c r="J1209">
        <v>0</v>
      </c>
      <c r="K1209" s="20">
        <f t="shared" si="136"/>
        <v>0</v>
      </c>
      <c r="L1209">
        <v>0</v>
      </c>
      <c r="M1209">
        <v>0</v>
      </c>
      <c r="N1209" s="21">
        <f t="shared" si="137"/>
        <v>0</v>
      </c>
      <c r="O1209">
        <v>0</v>
      </c>
      <c r="P1209">
        <v>0</v>
      </c>
      <c r="Q1209" s="21">
        <f t="shared" si="131"/>
        <v>0</v>
      </c>
      <c r="R1209">
        <v>0</v>
      </c>
      <c r="S1209">
        <v>0</v>
      </c>
      <c r="T1209" s="21">
        <f t="shared" si="132"/>
        <v>0</v>
      </c>
      <c r="U1209">
        <v>0</v>
      </c>
      <c r="V1209">
        <v>0</v>
      </c>
      <c r="W1209" s="21">
        <f t="shared" si="133"/>
        <v>0</v>
      </c>
      <c r="X1209">
        <v>0</v>
      </c>
      <c r="Y1209">
        <v>0</v>
      </c>
      <c r="Z1209" s="21">
        <f t="shared" si="134"/>
        <v>0</v>
      </c>
      <c r="AA1209">
        <v>0</v>
      </c>
      <c r="AB1209">
        <v>0</v>
      </c>
      <c r="AC1209" s="21">
        <f t="shared" si="135"/>
        <v>0</v>
      </c>
      <c r="AD1209">
        <v>0</v>
      </c>
      <c r="AE1209">
        <v>0</v>
      </c>
      <c r="AF1209" s="21">
        <f t="shared" si="138"/>
        <v>0</v>
      </c>
    </row>
    <row r="1210" spans="1:32" ht="15" customHeight="1" x14ac:dyDescent="0.3">
      <c r="A1210">
        <v>3</v>
      </c>
      <c r="B1210" s="2" t="s">
        <v>696</v>
      </c>
      <c r="C1210" s="4" t="s">
        <v>689</v>
      </c>
      <c r="D1210" s="3" t="s">
        <v>647</v>
      </c>
      <c r="E1210" s="6" t="s">
        <v>13</v>
      </c>
      <c r="F1210" s="6" t="s">
        <v>197</v>
      </c>
      <c r="G1210" s="6" t="s">
        <v>718</v>
      </c>
      <c r="H1210" s="23">
        <v>0</v>
      </c>
      <c r="I1210">
        <v>0</v>
      </c>
      <c r="J1210">
        <v>0</v>
      </c>
      <c r="K1210" s="20">
        <f t="shared" si="136"/>
        <v>0</v>
      </c>
      <c r="L1210">
        <v>0</v>
      </c>
      <c r="M1210">
        <v>0</v>
      </c>
      <c r="N1210" s="21">
        <f t="shared" si="137"/>
        <v>0</v>
      </c>
      <c r="O1210">
        <v>0</v>
      </c>
      <c r="P1210">
        <v>0</v>
      </c>
      <c r="Q1210" s="21">
        <f t="shared" si="131"/>
        <v>0</v>
      </c>
      <c r="R1210">
        <v>0</v>
      </c>
      <c r="S1210">
        <v>0</v>
      </c>
      <c r="T1210" s="21">
        <f t="shared" si="132"/>
        <v>0</v>
      </c>
      <c r="U1210">
        <v>0</v>
      </c>
      <c r="V1210">
        <v>0</v>
      </c>
      <c r="W1210" s="21">
        <f t="shared" si="133"/>
        <v>0</v>
      </c>
      <c r="X1210">
        <v>0</v>
      </c>
      <c r="Y1210">
        <v>0</v>
      </c>
      <c r="Z1210" s="21">
        <f t="shared" si="134"/>
        <v>0</v>
      </c>
      <c r="AA1210">
        <v>0</v>
      </c>
      <c r="AB1210">
        <v>0</v>
      </c>
      <c r="AC1210" s="21">
        <f t="shared" si="135"/>
        <v>0</v>
      </c>
      <c r="AD1210">
        <v>0</v>
      </c>
      <c r="AE1210">
        <v>0</v>
      </c>
      <c r="AF1210" s="21">
        <f t="shared" si="138"/>
        <v>0</v>
      </c>
    </row>
    <row r="1211" spans="1:32" ht="15" customHeight="1" x14ac:dyDescent="0.3">
      <c r="A1211">
        <v>3</v>
      </c>
      <c r="B1211" s="2" t="s">
        <v>696</v>
      </c>
      <c r="C1211" s="4" t="s">
        <v>689</v>
      </c>
      <c r="D1211" s="3" t="s">
        <v>647</v>
      </c>
      <c r="E1211" s="6" t="s">
        <v>13</v>
      </c>
      <c r="F1211" s="6" t="s">
        <v>198</v>
      </c>
      <c r="G1211" s="6" t="s">
        <v>718</v>
      </c>
      <c r="H1211" s="23">
        <v>0</v>
      </c>
      <c r="I1211">
        <v>0</v>
      </c>
      <c r="J1211">
        <v>0</v>
      </c>
      <c r="K1211" s="20">
        <f t="shared" si="136"/>
        <v>0</v>
      </c>
      <c r="L1211">
        <v>0</v>
      </c>
      <c r="M1211">
        <v>0</v>
      </c>
      <c r="N1211" s="21">
        <f t="shared" si="137"/>
        <v>0</v>
      </c>
      <c r="O1211">
        <v>0</v>
      </c>
      <c r="P1211">
        <v>0</v>
      </c>
      <c r="Q1211" s="21">
        <f t="shared" si="131"/>
        <v>0</v>
      </c>
      <c r="R1211">
        <v>0</v>
      </c>
      <c r="S1211">
        <v>0</v>
      </c>
      <c r="T1211" s="21">
        <f t="shared" si="132"/>
        <v>0</v>
      </c>
      <c r="U1211">
        <v>0</v>
      </c>
      <c r="V1211">
        <v>0</v>
      </c>
      <c r="W1211" s="21">
        <f t="shared" si="133"/>
        <v>0</v>
      </c>
      <c r="X1211">
        <v>0</v>
      </c>
      <c r="Y1211">
        <v>0</v>
      </c>
      <c r="Z1211" s="21">
        <f t="shared" si="134"/>
        <v>0</v>
      </c>
      <c r="AA1211">
        <v>0</v>
      </c>
      <c r="AB1211">
        <v>0</v>
      </c>
      <c r="AC1211" s="21">
        <f t="shared" si="135"/>
        <v>0</v>
      </c>
      <c r="AD1211">
        <v>0</v>
      </c>
      <c r="AE1211">
        <v>0</v>
      </c>
      <c r="AF1211" s="21">
        <f t="shared" si="138"/>
        <v>0</v>
      </c>
    </row>
    <row r="1212" spans="1:32" ht="15" customHeight="1" x14ac:dyDescent="0.3">
      <c r="A1212">
        <v>3</v>
      </c>
      <c r="B1212" s="2" t="s">
        <v>696</v>
      </c>
      <c r="C1212" s="4" t="s">
        <v>689</v>
      </c>
      <c r="D1212" s="3" t="s">
        <v>647</v>
      </c>
      <c r="E1212" s="6" t="s">
        <v>13</v>
      </c>
      <c r="F1212" s="6" t="s">
        <v>199</v>
      </c>
      <c r="G1212" s="6" t="s">
        <v>718</v>
      </c>
      <c r="H1212" s="23">
        <v>0</v>
      </c>
      <c r="I1212">
        <v>0</v>
      </c>
      <c r="J1212">
        <v>0</v>
      </c>
      <c r="K1212" s="20">
        <f t="shared" si="136"/>
        <v>0</v>
      </c>
      <c r="L1212">
        <v>0</v>
      </c>
      <c r="M1212">
        <v>0</v>
      </c>
      <c r="N1212" s="21">
        <f t="shared" si="137"/>
        <v>0</v>
      </c>
      <c r="O1212">
        <v>0</v>
      </c>
      <c r="P1212">
        <v>0</v>
      </c>
      <c r="Q1212" s="21">
        <f t="shared" si="131"/>
        <v>0</v>
      </c>
      <c r="R1212">
        <v>0</v>
      </c>
      <c r="S1212">
        <v>0</v>
      </c>
      <c r="T1212" s="21">
        <f t="shared" si="132"/>
        <v>0</v>
      </c>
      <c r="U1212">
        <v>0</v>
      </c>
      <c r="V1212">
        <v>0</v>
      </c>
      <c r="W1212" s="21">
        <f t="shared" si="133"/>
        <v>0</v>
      </c>
      <c r="X1212">
        <v>0</v>
      </c>
      <c r="Y1212">
        <v>0</v>
      </c>
      <c r="Z1212" s="21">
        <f t="shared" si="134"/>
        <v>0</v>
      </c>
      <c r="AA1212">
        <v>0</v>
      </c>
      <c r="AB1212">
        <v>0</v>
      </c>
      <c r="AC1212" s="21">
        <f t="shared" si="135"/>
        <v>0</v>
      </c>
      <c r="AD1212">
        <v>0</v>
      </c>
      <c r="AE1212">
        <v>0</v>
      </c>
      <c r="AF1212" s="21">
        <f t="shared" si="138"/>
        <v>0</v>
      </c>
    </row>
    <row r="1213" spans="1:32" ht="15" customHeight="1" x14ac:dyDescent="0.3">
      <c r="A1213">
        <v>3</v>
      </c>
      <c r="B1213" s="2" t="s">
        <v>696</v>
      </c>
      <c r="C1213" s="4" t="s">
        <v>689</v>
      </c>
      <c r="D1213" s="3" t="s">
        <v>648</v>
      </c>
      <c r="E1213" s="6" t="s">
        <v>13</v>
      </c>
      <c r="F1213" s="6" t="s">
        <v>200</v>
      </c>
      <c r="G1213" s="6" t="s">
        <v>713</v>
      </c>
      <c r="H1213" s="23">
        <v>45000</v>
      </c>
      <c r="I1213">
        <v>0</v>
      </c>
      <c r="J1213">
        <v>0</v>
      </c>
      <c r="K1213" s="20">
        <f t="shared" si="136"/>
        <v>0</v>
      </c>
      <c r="L1213">
        <v>0</v>
      </c>
      <c r="M1213">
        <v>0</v>
      </c>
      <c r="N1213" s="21">
        <f t="shared" si="137"/>
        <v>0</v>
      </c>
      <c r="O1213">
        <v>0</v>
      </c>
      <c r="P1213">
        <v>0</v>
      </c>
      <c r="Q1213" s="21">
        <f t="shared" ref="Q1213:Q1276" si="139">H1213*O1213*P1213</f>
        <v>0</v>
      </c>
      <c r="R1213">
        <v>0</v>
      </c>
      <c r="S1213">
        <v>0</v>
      </c>
      <c r="T1213" s="21">
        <f t="shared" ref="T1213:T1276" si="140">H1213*R1213*S1213</f>
        <v>0</v>
      </c>
      <c r="U1213">
        <v>15</v>
      </c>
      <c r="V1213">
        <v>10</v>
      </c>
      <c r="W1213" s="21">
        <f t="shared" ref="W1213:W1276" si="141">H1213*U1213*V1213</f>
        <v>6750000</v>
      </c>
      <c r="X1213">
        <v>0</v>
      </c>
      <c r="Y1213">
        <v>0</v>
      </c>
      <c r="Z1213" s="21">
        <f t="shared" ref="Z1213:Z1276" si="142">H1213*X1213*Y1213</f>
        <v>0</v>
      </c>
      <c r="AA1213">
        <v>0</v>
      </c>
      <c r="AB1213">
        <v>0</v>
      </c>
      <c r="AC1213" s="21">
        <f t="shared" ref="AC1213:AC1276" si="143">H1213*AA1213*AB1213</f>
        <v>0</v>
      </c>
      <c r="AD1213">
        <v>0</v>
      </c>
      <c r="AE1213">
        <v>0</v>
      </c>
      <c r="AF1213" s="21">
        <f t="shared" si="138"/>
        <v>0</v>
      </c>
    </row>
    <row r="1214" spans="1:32" ht="15" customHeight="1" x14ac:dyDescent="0.3">
      <c r="A1214">
        <v>3</v>
      </c>
      <c r="B1214" s="2" t="s">
        <v>696</v>
      </c>
      <c r="C1214" s="4" t="s">
        <v>689</v>
      </c>
      <c r="D1214" s="3" t="s">
        <v>648</v>
      </c>
      <c r="E1214" s="6" t="s">
        <v>13</v>
      </c>
      <c r="F1214" s="6" t="s">
        <v>200</v>
      </c>
      <c r="G1214" s="6" t="s">
        <v>712</v>
      </c>
      <c r="H1214" s="23">
        <v>214.29</v>
      </c>
      <c r="I1214">
        <v>0</v>
      </c>
      <c r="J1214">
        <v>0</v>
      </c>
      <c r="K1214" s="20">
        <f t="shared" si="136"/>
        <v>0</v>
      </c>
      <c r="L1214">
        <v>0</v>
      </c>
      <c r="M1214">
        <v>0</v>
      </c>
      <c r="N1214" s="21">
        <f t="shared" si="137"/>
        <v>0</v>
      </c>
      <c r="O1214">
        <v>0</v>
      </c>
      <c r="P1214">
        <v>0</v>
      </c>
      <c r="Q1214" s="21">
        <f t="shared" si="139"/>
        <v>0</v>
      </c>
      <c r="R1214">
        <v>0</v>
      </c>
      <c r="S1214">
        <v>0</v>
      </c>
      <c r="T1214" s="21">
        <f t="shared" si="140"/>
        <v>0</v>
      </c>
      <c r="U1214">
        <v>20000</v>
      </c>
      <c r="V1214">
        <v>1</v>
      </c>
      <c r="W1214" s="21">
        <f t="shared" si="141"/>
        <v>4285800</v>
      </c>
      <c r="X1214">
        <v>0</v>
      </c>
      <c r="Y1214">
        <v>0</v>
      </c>
      <c r="Z1214" s="21">
        <f t="shared" si="142"/>
        <v>0</v>
      </c>
      <c r="AA1214">
        <v>0</v>
      </c>
      <c r="AB1214">
        <v>0</v>
      </c>
      <c r="AC1214" s="21">
        <f t="shared" si="143"/>
        <v>0</v>
      </c>
      <c r="AD1214">
        <v>0</v>
      </c>
      <c r="AE1214">
        <v>0</v>
      </c>
      <c r="AF1214" s="21">
        <f t="shared" si="138"/>
        <v>0</v>
      </c>
    </row>
    <row r="1215" spans="1:32" ht="15" customHeight="1" x14ac:dyDescent="0.3">
      <c r="A1215">
        <v>3</v>
      </c>
      <c r="B1215" s="2" t="s">
        <v>696</v>
      </c>
      <c r="C1215" s="4" t="s">
        <v>689</v>
      </c>
      <c r="D1215" s="3" t="s">
        <v>648</v>
      </c>
      <c r="E1215" s="6" t="s">
        <v>13</v>
      </c>
      <c r="F1215" s="6" t="s">
        <v>200</v>
      </c>
      <c r="G1215" s="6" t="s">
        <v>715</v>
      </c>
      <c r="H1215" s="23">
        <v>302000</v>
      </c>
      <c r="I1215">
        <v>0</v>
      </c>
      <c r="J1215">
        <v>0</v>
      </c>
      <c r="K1215" s="20">
        <f t="shared" si="136"/>
        <v>0</v>
      </c>
      <c r="L1215">
        <v>0</v>
      </c>
      <c r="M1215">
        <v>0</v>
      </c>
      <c r="N1215" s="21">
        <f t="shared" si="137"/>
        <v>0</v>
      </c>
      <c r="O1215">
        <v>0</v>
      </c>
      <c r="P1215">
        <v>0</v>
      </c>
      <c r="Q1215" s="21">
        <f t="shared" si="139"/>
        <v>0</v>
      </c>
      <c r="R1215">
        <v>0</v>
      </c>
      <c r="S1215">
        <v>0</v>
      </c>
      <c r="T1215" s="21">
        <f t="shared" si="140"/>
        <v>0</v>
      </c>
      <c r="U1215">
        <v>20</v>
      </c>
      <c r="V1215">
        <v>1</v>
      </c>
      <c r="W1215" s="21">
        <f t="shared" si="141"/>
        <v>6040000</v>
      </c>
      <c r="X1215">
        <v>0</v>
      </c>
      <c r="Y1215">
        <v>0</v>
      </c>
      <c r="Z1215" s="21">
        <f t="shared" si="142"/>
        <v>0</v>
      </c>
      <c r="AA1215">
        <v>0</v>
      </c>
      <c r="AB1215">
        <v>0</v>
      </c>
      <c r="AC1215" s="21">
        <f t="shared" si="143"/>
        <v>0</v>
      </c>
      <c r="AD1215">
        <v>0</v>
      </c>
      <c r="AE1215">
        <v>0</v>
      </c>
      <c r="AF1215" s="21">
        <f t="shared" si="138"/>
        <v>0</v>
      </c>
    </row>
    <row r="1216" spans="1:32" ht="15" customHeight="1" x14ac:dyDescent="0.3">
      <c r="A1216">
        <v>3</v>
      </c>
      <c r="B1216" s="2" t="s">
        <v>696</v>
      </c>
      <c r="C1216" s="4" t="s">
        <v>689</v>
      </c>
      <c r="D1216" s="3" t="s">
        <v>648</v>
      </c>
      <c r="E1216" s="6" t="s">
        <v>13</v>
      </c>
      <c r="F1216" s="6" t="s">
        <v>152</v>
      </c>
      <c r="G1216" s="6" t="s">
        <v>716</v>
      </c>
      <c r="H1216" s="15">
        <v>39000</v>
      </c>
      <c r="I1216">
        <v>0</v>
      </c>
      <c r="J1216">
        <v>0</v>
      </c>
      <c r="K1216" s="20">
        <f t="shared" si="136"/>
        <v>0</v>
      </c>
      <c r="L1216">
        <v>0</v>
      </c>
      <c r="M1216">
        <v>0</v>
      </c>
      <c r="N1216" s="21">
        <f t="shared" si="137"/>
        <v>0</v>
      </c>
      <c r="O1216">
        <v>0</v>
      </c>
      <c r="P1216">
        <v>0</v>
      </c>
      <c r="Q1216" s="21">
        <f t="shared" si="139"/>
        <v>0</v>
      </c>
      <c r="R1216">
        <v>0</v>
      </c>
      <c r="S1216">
        <v>0</v>
      </c>
      <c r="T1216" s="21">
        <f t="shared" si="140"/>
        <v>0</v>
      </c>
      <c r="U1216">
        <v>15</v>
      </c>
      <c r="V1216">
        <v>5</v>
      </c>
      <c r="W1216" s="21">
        <f t="shared" si="141"/>
        <v>2925000</v>
      </c>
      <c r="X1216">
        <v>0</v>
      </c>
      <c r="Y1216">
        <v>0</v>
      </c>
      <c r="Z1216" s="21">
        <f t="shared" si="142"/>
        <v>0</v>
      </c>
      <c r="AA1216">
        <v>0</v>
      </c>
      <c r="AB1216">
        <v>0</v>
      </c>
      <c r="AC1216" s="21">
        <f t="shared" si="143"/>
        <v>0</v>
      </c>
      <c r="AD1216">
        <v>0</v>
      </c>
      <c r="AE1216">
        <v>0</v>
      </c>
      <c r="AF1216" s="21">
        <f t="shared" si="138"/>
        <v>0</v>
      </c>
    </row>
    <row r="1217" spans="1:32" ht="15" customHeight="1" x14ac:dyDescent="0.3">
      <c r="A1217">
        <v>3</v>
      </c>
      <c r="B1217" s="2" t="s">
        <v>696</v>
      </c>
      <c r="C1217" s="4" t="s">
        <v>689</v>
      </c>
      <c r="D1217" s="3" t="s">
        <v>648</v>
      </c>
      <c r="E1217" s="6" t="s">
        <v>13</v>
      </c>
      <c r="F1217" s="6" t="s">
        <v>152</v>
      </c>
      <c r="G1217" s="6" t="s">
        <v>712</v>
      </c>
      <c r="H1217" s="23">
        <v>214.29</v>
      </c>
      <c r="I1217">
        <v>0</v>
      </c>
      <c r="J1217">
        <v>0</v>
      </c>
      <c r="K1217" s="20">
        <f t="shared" si="136"/>
        <v>0</v>
      </c>
      <c r="L1217">
        <v>0</v>
      </c>
      <c r="M1217">
        <v>0</v>
      </c>
      <c r="N1217" s="21">
        <f t="shared" si="137"/>
        <v>0</v>
      </c>
      <c r="O1217">
        <v>0</v>
      </c>
      <c r="P1217">
        <v>0</v>
      </c>
      <c r="Q1217" s="21">
        <f t="shared" si="139"/>
        <v>0</v>
      </c>
      <c r="R1217">
        <v>0</v>
      </c>
      <c r="S1217">
        <v>0</v>
      </c>
      <c r="T1217" s="21">
        <f t="shared" si="140"/>
        <v>0</v>
      </c>
      <c r="U1217">
        <v>4000</v>
      </c>
      <c r="V1217">
        <v>1</v>
      </c>
      <c r="W1217" s="21">
        <f t="shared" si="141"/>
        <v>857160</v>
      </c>
      <c r="X1217">
        <v>0</v>
      </c>
      <c r="Y1217">
        <v>0</v>
      </c>
      <c r="Z1217" s="21">
        <f t="shared" si="142"/>
        <v>0</v>
      </c>
      <c r="AA1217">
        <v>0</v>
      </c>
      <c r="AB1217">
        <v>0</v>
      </c>
      <c r="AC1217" s="21">
        <f t="shared" si="143"/>
        <v>0</v>
      </c>
      <c r="AD1217">
        <v>0</v>
      </c>
      <c r="AE1217">
        <v>0</v>
      </c>
      <c r="AF1217" s="21">
        <f t="shared" si="138"/>
        <v>0</v>
      </c>
    </row>
    <row r="1218" spans="1:32" ht="15" customHeight="1" x14ac:dyDescent="0.3">
      <c r="A1218">
        <v>3</v>
      </c>
      <c r="B1218" s="2" t="s">
        <v>696</v>
      </c>
      <c r="C1218" s="4" t="s">
        <v>689</v>
      </c>
      <c r="D1218" s="3" t="s">
        <v>648</v>
      </c>
      <c r="E1218" s="6" t="s">
        <v>13</v>
      </c>
      <c r="F1218" s="6" t="s">
        <v>152</v>
      </c>
      <c r="G1218" s="6" t="s">
        <v>709</v>
      </c>
      <c r="H1218" s="23">
        <v>28000</v>
      </c>
      <c r="I1218">
        <v>0</v>
      </c>
      <c r="J1218">
        <v>0</v>
      </c>
      <c r="K1218" s="20">
        <f t="shared" si="136"/>
        <v>0</v>
      </c>
      <c r="L1218">
        <v>0</v>
      </c>
      <c r="M1218">
        <v>0</v>
      </c>
      <c r="N1218" s="21">
        <f t="shared" si="137"/>
        <v>0</v>
      </c>
      <c r="O1218">
        <v>0</v>
      </c>
      <c r="P1218">
        <v>0</v>
      </c>
      <c r="Q1218" s="21">
        <f t="shared" si="139"/>
        <v>0</v>
      </c>
      <c r="R1218">
        <v>0</v>
      </c>
      <c r="S1218">
        <v>0</v>
      </c>
      <c r="T1218" s="21">
        <f t="shared" si="140"/>
        <v>0</v>
      </c>
      <c r="U1218">
        <v>15</v>
      </c>
      <c r="V1218">
        <v>1</v>
      </c>
      <c r="W1218" s="21">
        <f t="shared" si="141"/>
        <v>420000</v>
      </c>
      <c r="X1218">
        <v>0</v>
      </c>
      <c r="Y1218">
        <v>0</v>
      </c>
      <c r="Z1218" s="21">
        <f t="shared" si="142"/>
        <v>0</v>
      </c>
      <c r="AA1218">
        <v>0</v>
      </c>
      <c r="AB1218">
        <v>0</v>
      </c>
      <c r="AC1218" s="21">
        <f t="shared" si="143"/>
        <v>0</v>
      </c>
      <c r="AD1218">
        <v>0</v>
      </c>
      <c r="AE1218">
        <v>0</v>
      </c>
      <c r="AF1218" s="21">
        <f t="shared" si="138"/>
        <v>0</v>
      </c>
    </row>
    <row r="1219" spans="1:32" ht="15" customHeight="1" x14ac:dyDescent="0.3">
      <c r="A1219">
        <v>3</v>
      </c>
      <c r="B1219" s="2" t="s">
        <v>696</v>
      </c>
      <c r="C1219" s="4" t="s">
        <v>689</v>
      </c>
      <c r="D1219" s="3" t="s">
        <v>648</v>
      </c>
      <c r="E1219" s="6" t="s">
        <v>13</v>
      </c>
      <c r="F1219" s="6" t="s">
        <v>153</v>
      </c>
      <c r="G1219" s="6" t="s">
        <v>709</v>
      </c>
      <c r="H1219" s="23">
        <v>28000</v>
      </c>
      <c r="I1219">
        <v>0</v>
      </c>
      <c r="J1219">
        <v>0</v>
      </c>
      <c r="K1219" s="20">
        <f t="shared" si="136"/>
        <v>0</v>
      </c>
      <c r="L1219">
        <v>0</v>
      </c>
      <c r="M1219">
        <v>0</v>
      </c>
      <c r="N1219" s="21">
        <f t="shared" si="137"/>
        <v>0</v>
      </c>
      <c r="O1219">
        <v>0</v>
      </c>
      <c r="P1219">
        <v>0</v>
      </c>
      <c r="Q1219" s="21">
        <f t="shared" si="139"/>
        <v>0</v>
      </c>
      <c r="R1219">
        <v>0</v>
      </c>
      <c r="S1219">
        <v>0</v>
      </c>
      <c r="T1219" s="21">
        <f t="shared" si="140"/>
        <v>0</v>
      </c>
      <c r="U1219">
        <v>15</v>
      </c>
      <c r="V1219">
        <v>5</v>
      </c>
      <c r="W1219" s="21">
        <f t="shared" si="141"/>
        <v>2100000</v>
      </c>
      <c r="X1219">
        <v>0</v>
      </c>
      <c r="Y1219">
        <v>0</v>
      </c>
      <c r="Z1219" s="21">
        <f t="shared" si="142"/>
        <v>0</v>
      </c>
      <c r="AA1219">
        <v>0</v>
      </c>
      <c r="AB1219">
        <v>0</v>
      </c>
      <c r="AC1219" s="21">
        <f t="shared" si="143"/>
        <v>0</v>
      </c>
      <c r="AD1219">
        <v>0</v>
      </c>
      <c r="AE1219">
        <v>0</v>
      </c>
      <c r="AF1219" s="21">
        <f t="shared" si="138"/>
        <v>0</v>
      </c>
    </row>
    <row r="1220" spans="1:32" ht="15" customHeight="1" x14ac:dyDescent="0.3">
      <c r="A1220">
        <v>3</v>
      </c>
      <c r="B1220" s="2" t="s">
        <v>696</v>
      </c>
      <c r="C1220" s="4" t="s">
        <v>689</v>
      </c>
      <c r="D1220" s="3" t="s">
        <v>649</v>
      </c>
      <c r="E1220" s="6" t="s">
        <v>13</v>
      </c>
      <c r="F1220" s="6" t="s">
        <v>153</v>
      </c>
      <c r="G1220" s="6" t="s">
        <v>716</v>
      </c>
      <c r="H1220" s="15">
        <v>39000</v>
      </c>
      <c r="I1220">
        <v>0</v>
      </c>
      <c r="J1220">
        <v>0</v>
      </c>
      <c r="K1220" s="20">
        <f t="shared" si="136"/>
        <v>0</v>
      </c>
      <c r="L1220">
        <v>0</v>
      </c>
      <c r="M1220">
        <v>0</v>
      </c>
      <c r="N1220" s="21">
        <f t="shared" si="137"/>
        <v>0</v>
      </c>
      <c r="O1220">
        <v>0</v>
      </c>
      <c r="P1220">
        <v>0</v>
      </c>
      <c r="Q1220" s="21">
        <f t="shared" si="139"/>
        <v>0</v>
      </c>
      <c r="R1220">
        <v>0</v>
      </c>
      <c r="S1220">
        <v>0</v>
      </c>
      <c r="T1220" s="21">
        <f t="shared" si="140"/>
        <v>0</v>
      </c>
      <c r="U1220">
        <v>15</v>
      </c>
      <c r="V1220">
        <v>5</v>
      </c>
      <c r="W1220" s="21">
        <f t="shared" si="141"/>
        <v>2925000</v>
      </c>
      <c r="X1220">
        <v>0</v>
      </c>
      <c r="Y1220">
        <v>0</v>
      </c>
      <c r="Z1220" s="21">
        <f t="shared" si="142"/>
        <v>0</v>
      </c>
      <c r="AA1220">
        <v>0</v>
      </c>
      <c r="AB1220">
        <v>0</v>
      </c>
      <c r="AC1220" s="21">
        <f t="shared" si="143"/>
        <v>0</v>
      </c>
      <c r="AD1220">
        <v>0</v>
      </c>
      <c r="AE1220">
        <v>0</v>
      </c>
      <c r="AF1220" s="21">
        <f t="shared" si="138"/>
        <v>0</v>
      </c>
    </row>
    <row r="1221" spans="1:32" ht="15" customHeight="1" x14ac:dyDescent="0.3">
      <c r="A1221">
        <v>3</v>
      </c>
      <c r="B1221" s="2" t="s">
        <v>696</v>
      </c>
      <c r="C1221" s="4" t="s">
        <v>689</v>
      </c>
      <c r="D1221" s="3" t="s">
        <v>649</v>
      </c>
      <c r="E1221" s="6" t="s">
        <v>13</v>
      </c>
      <c r="F1221" s="6" t="s">
        <v>153</v>
      </c>
      <c r="G1221" s="6" t="s">
        <v>712</v>
      </c>
      <c r="H1221" s="23">
        <v>214.29</v>
      </c>
      <c r="I1221">
        <v>0</v>
      </c>
      <c r="J1221">
        <v>0</v>
      </c>
      <c r="K1221" s="20">
        <f t="shared" si="136"/>
        <v>0</v>
      </c>
      <c r="L1221">
        <v>0</v>
      </c>
      <c r="M1221">
        <v>0</v>
      </c>
      <c r="N1221" s="21">
        <f t="shared" si="137"/>
        <v>0</v>
      </c>
      <c r="O1221">
        <v>0</v>
      </c>
      <c r="P1221">
        <v>0</v>
      </c>
      <c r="Q1221" s="21">
        <f t="shared" si="139"/>
        <v>0</v>
      </c>
      <c r="R1221">
        <v>0</v>
      </c>
      <c r="S1221">
        <v>0</v>
      </c>
      <c r="T1221" s="21">
        <f t="shared" si="140"/>
        <v>0</v>
      </c>
      <c r="U1221">
        <v>4000</v>
      </c>
      <c r="V1221">
        <v>1</v>
      </c>
      <c r="W1221" s="21">
        <f t="shared" si="141"/>
        <v>857160</v>
      </c>
      <c r="X1221">
        <v>0</v>
      </c>
      <c r="Y1221">
        <v>0</v>
      </c>
      <c r="Z1221" s="21">
        <f t="shared" si="142"/>
        <v>0</v>
      </c>
      <c r="AA1221">
        <v>0</v>
      </c>
      <c r="AB1221">
        <v>0</v>
      </c>
      <c r="AC1221" s="21">
        <f t="shared" si="143"/>
        <v>0</v>
      </c>
      <c r="AD1221">
        <v>0</v>
      </c>
      <c r="AE1221">
        <v>0</v>
      </c>
      <c r="AF1221" s="21">
        <f t="shared" si="138"/>
        <v>0</v>
      </c>
    </row>
    <row r="1222" spans="1:32" ht="15" customHeight="1" x14ac:dyDescent="0.3">
      <c r="A1222">
        <v>3</v>
      </c>
      <c r="B1222" s="2" t="s">
        <v>696</v>
      </c>
      <c r="C1222" s="4" t="s">
        <v>689</v>
      </c>
      <c r="D1222" s="3" t="s">
        <v>649</v>
      </c>
      <c r="E1222" s="6" t="s">
        <v>13</v>
      </c>
      <c r="F1222" s="6" t="s">
        <v>177</v>
      </c>
      <c r="G1222" s="6" t="s">
        <v>716</v>
      </c>
      <c r="H1222" s="15">
        <v>39000</v>
      </c>
      <c r="I1222">
        <v>0</v>
      </c>
      <c r="J1222">
        <v>0</v>
      </c>
      <c r="K1222" s="20">
        <f t="shared" ref="K1222:K1285" si="144">H1222*I1222*J1222</f>
        <v>0</v>
      </c>
      <c r="L1222">
        <v>0</v>
      </c>
      <c r="M1222">
        <v>0</v>
      </c>
      <c r="N1222" s="21">
        <f t="shared" ref="N1222:N1285" si="145">H1222*L1222*M1222</f>
        <v>0</v>
      </c>
      <c r="O1222">
        <v>0</v>
      </c>
      <c r="P1222">
        <v>0</v>
      </c>
      <c r="Q1222" s="21">
        <f t="shared" si="139"/>
        <v>0</v>
      </c>
      <c r="R1222">
        <v>0</v>
      </c>
      <c r="S1222">
        <v>0</v>
      </c>
      <c r="T1222" s="21">
        <f t="shared" si="140"/>
        <v>0</v>
      </c>
      <c r="U1222">
        <v>15</v>
      </c>
      <c r="V1222">
        <v>5</v>
      </c>
      <c r="W1222" s="21">
        <f t="shared" si="141"/>
        <v>2925000</v>
      </c>
      <c r="X1222">
        <v>0</v>
      </c>
      <c r="Y1222">
        <v>0</v>
      </c>
      <c r="Z1222" s="21">
        <f t="shared" si="142"/>
        <v>0</v>
      </c>
      <c r="AA1222">
        <v>0</v>
      </c>
      <c r="AB1222">
        <v>0</v>
      </c>
      <c r="AC1222" s="21">
        <f t="shared" si="143"/>
        <v>0</v>
      </c>
      <c r="AD1222">
        <v>0</v>
      </c>
      <c r="AE1222">
        <v>0</v>
      </c>
      <c r="AF1222" s="21">
        <f t="shared" ref="AF1222:AF1285" si="146">H1222*AD1222*AE1222</f>
        <v>0</v>
      </c>
    </row>
    <row r="1223" spans="1:32" ht="15" customHeight="1" x14ac:dyDescent="0.3">
      <c r="A1223">
        <v>3</v>
      </c>
      <c r="B1223" s="2" t="s">
        <v>696</v>
      </c>
      <c r="C1223" s="4" t="s">
        <v>689</v>
      </c>
      <c r="D1223" s="3" t="s">
        <v>649</v>
      </c>
      <c r="E1223" s="6" t="s">
        <v>13</v>
      </c>
      <c r="F1223" s="6" t="s">
        <v>177</v>
      </c>
      <c r="G1223" s="6" t="s">
        <v>709</v>
      </c>
      <c r="H1223" s="23">
        <v>28000</v>
      </c>
      <c r="I1223">
        <v>0</v>
      </c>
      <c r="J1223">
        <v>0</v>
      </c>
      <c r="K1223" s="20">
        <f t="shared" si="144"/>
        <v>0</v>
      </c>
      <c r="L1223">
        <v>0</v>
      </c>
      <c r="M1223">
        <v>0</v>
      </c>
      <c r="N1223" s="21">
        <f t="shared" si="145"/>
        <v>0</v>
      </c>
      <c r="O1223">
        <v>0</v>
      </c>
      <c r="P1223">
        <v>0</v>
      </c>
      <c r="Q1223" s="21">
        <f t="shared" si="139"/>
        <v>0</v>
      </c>
      <c r="R1223">
        <v>0</v>
      </c>
      <c r="S1223">
        <v>0</v>
      </c>
      <c r="T1223" s="21">
        <f t="shared" si="140"/>
        <v>0</v>
      </c>
      <c r="U1223">
        <v>30</v>
      </c>
      <c r="V1223">
        <v>5</v>
      </c>
      <c r="W1223" s="21">
        <f t="shared" si="141"/>
        <v>4200000</v>
      </c>
      <c r="X1223">
        <v>0</v>
      </c>
      <c r="Y1223">
        <v>0</v>
      </c>
      <c r="Z1223" s="21">
        <f t="shared" si="142"/>
        <v>0</v>
      </c>
      <c r="AA1223">
        <v>0</v>
      </c>
      <c r="AB1223">
        <v>0</v>
      </c>
      <c r="AC1223" s="21">
        <f t="shared" si="143"/>
        <v>0</v>
      </c>
      <c r="AD1223">
        <v>0</v>
      </c>
      <c r="AE1223">
        <v>0</v>
      </c>
      <c r="AF1223" s="21">
        <f t="shared" si="146"/>
        <v>0</v>
      </c>
    </row>
    <row r="1224" spans="1:32" ht="15" customHeight="1" x14ac:dyDescent="0.3">
      <c r="A1224">
        <v>3</v>
      </c>
      <c r="B1224" s="2" t="s">
        <v>696</v>
      </c>
      <c r="C1224" s="4" t="s">
        <v>689</v>
      </c>
      <c r="D1224" s="3" t="s">
        <v>649</v>
      </c>
      <c r="E1224" s="6" t="s">
        <v>13</v>
      </c>
      <c r="F1224" s="6" t="s">
        <v>177</v>
      </c>
      <c r="G1224" s="6" t="s">
        <v>712</v>
      </c>
      <c r="H1224" s="23">
        <v>214.29</v>
      </c>
      <c r="I1224">
        <v>0</v>
      </c>
      <c r="J1224">
        <v>0</v>
      </c>
      <c r="K1224" s="20">
        <f t="shared" si="144"/>
        <v>0</v>
      </c>
      <c r="L1224">
        <v>0</v>
      </c>
      <c r="M1224">
        <v>0</v>
      </c>
      <c r="N1224" s="21">
        <f t="shared" si="145"/>
        <v>0</v>
      </c>
      <c r="O1224">
        <v>0</v>
      </c>
      <c r="P1224">
        <v>0</v>
      </c>
      <c r="Q1224" s="21">
        <f t="shared" si="139"/>
        <v>0</v>
      </c>
      <c r="R1224">
        <v>0</v>
      </c>
      <c r="S1224">
        <v>0</v>
      </c>
      <c r="T1224" s="21">
        <f t="shared" si="140"/>
        <v>0</v>
      </c>
      <c r="U1224">
        <v>8000</v>
      </c>
      <c r="V1224">
        <v>1</v>
      </c>
      <c r="W1224" s="21">
        <f t="shared" si="141"/>
        <v>1714320</v>
      </c>
      <c r="X1224">
        <v>0</v>
      </c>
      <c r="Y1224">
        <v>0</v>
      </c>
      <c r="Z1224" s="21">
        <f t="shared" si="142"/>
        <v>0</v>
      </c>
      <c r="AA1224">
        <v>0</v>
      </c>
      <c r="AB1224">
        <v>0</v>
      </c>
      <c r="AC1224" s="21">
        <f t="shared" si="143"/>
        <v>0</v>
      </c>
      <c r="AD1224">
        <v>0</v>
      </c>
      <c r="AE1224">
        <v>0</v>
      </c>
      <c r="AF1224" s="21">
        <f t="shared" si="146"/>
        <v>0</v>
      </c>
    </row>
    <row r="1225" spans="1:32" ht="15" customHeight="1" x14ac:dyDescent="0.3">
      <c r="A1225">
        <v>3</v>
      </c>
      <c r="B1225" s="2" t="s">
        <v>696</v>
      </c>
      <c r="C1225" s="4" t="s">
        <v>689</v>
      </c>
      <c r="D1225" s="3" t="s">
        <v>649</v>
      </c>
      <c r="E1225" s="6" t="s">
        <v>13</v>
      </c>
      <c r="F1225" s="6" t="s">
        <v>204</v>
      </c>
      <c r="G1225" s="6" t="s">
        <v>709</v>
      </c>
      <c r="H1225" s="23">
        <v>28000</v>
      </c>
      <c r="I1225">
        <v>0</v>
      </c>
      <c r="J1225">
        <v>0</v>
      </c>
      <c r="K1225" s="20">
        <f t="shared" si="144"/>
        <v>0</v>
      </c>
      <c r="L1225">
        <v>0</v>
      </c>
      <c r="M1225">
        <v>0</v>
      </c>
      <c r="N1225" s="21">
        <f t="shared" si="145"/>
        <v>0</v>
      </c>
      <c r="O1225">
        <v>0</v>
      </c>
      <c r="P1225">
        <v>0</v>
      </c>
      <c r="Q1225" s="21">
        <f t="shared" si="139"/>
        <v>0</v>
      </c>
      <c r="R1225">
        <v>0</v>
      </c>
      <c r="S1225">
        <v>0</v>
      </c>
      <c r="T1225" s="21">
        <f t="shared" si="140"/>
        <v>0</v>
      </c>
      <c r="U1225">
        <v>30</v>
      </c>
      <c r="V1225">
        <v>1</v>
      </c>
      <c r="W1225" s="21">
        <f t="shared" si="141"/>
        <v>840000</v>
      </c>
      <c r="X1225">
        <v>0</v>
      </c>
      <c r="Y1225">
        <v>0</v>
      </c>
      <c r="Z1225" s="21">
        <f t="shared" si="142"/>
        <v>0</v>
      </c>
      <c r="AA1225">
        <v>0</v>
      </c>
      <c r="AB1225">
        <v>0</v>
      </c>
      <c r="AC1225" s="21">
        <f t="shared" si="143"/>
        <v>0</v>
      </c>
      <c r="AD1225">
        <v>0</v>
      </c>
      <c r="AE1225">
        <v>0</v>
      </c>
      <c r="AF1225" s="21">
        <f t="shared" si="146"/>
        <v>0</v>
      </c>
    </row>
    <row r="1226" spans="1:32" ht="15" customHeight="1" x14ac:dyDescent="0.3">
      <c r="A1226">
        <v>3</v>
      </c>
      <c r="B1226" s="2" t="s">
        <v>696</v>
      </c>
      <c r="C1226" s="4" t="s">
        <v>689</v>
      </c>
      <c r="D1226" s="3" t="s">
        <v>649</v>
      </c>
      <c r="E1226" s="6" t="s">
        <v>13</v>
      </c>
      <c r="F1226" s="6" t="s">
        <v>205</v>
      </c>
      <c r="G1226" s="6" t="s">
        <v>718</v>
      </c>
      <c r="H1226" s="23">
        <v>0</v>
      </c>
      <c r="I1226">
        <v>0</v>
      </c>
      <c r="J1226">
        <v>0</v>
      </c>
      <c r="K1226" s="20">
        <f t="shared" si="144"/>
        <v>0</v>
      </c>
      <c r="L1226">
        <v>0</v>
      </c>
      <c r="M1226">
        <v>0</v>
      </c>
      <c r="N1226" s="21">
        <f t="shared" si="145"/>
        <v>0</v>
      </c>
      <c r="O1226">
        <v>0</v>
      </c>
      <c r="P1226">
        <v>0</v>
      </c>
      <c r="Q1226" s="21">
        <f t="shared" si="139"/>
        <v>0</v>
      </c>
      <c r="R1226">
        <v>0</v>
      </c>
      <c r="S1226">
        <v>0</v>
      </c>
      <c r="T1226" s="21">
        <f t="shared" si="140"/>
        <v>0</v>
      </c>
      <c r="U1226">
        <v>20</v>
      </c>
      <c r="V1226">
        <v>1</v>
      </c>
      <c r="W1226" s="21">
        <f t="shared" si="141"/>
        <v>0</v>
      </c>
      <c r="X1226">
        <v>0</v>
      </c>
      <c r="Y1226">
        <v>0</v>
      </c>
      <c r="Z1226" s="21">
        <f t="shared" si="142"/>
        <v>0</v>
      </c>
      <c r="AA1226">
        <v>0</v>
      </c>
      <c r="AB1226">
        <v>0</v>
      </c>
      <c r="AC1226" s="21">
        <f t="shared" si="143"/>
        <v>0</v>
      </c>
      <c r="AD1226">
        <v>0</v>
      </c>
      <c r="AE1226">
        <v>0</v>
      </c>
      <c r="AF1226" s="21">
        <f t="shared" si="146"/>
        <v>0</v>
      </c>
    </row>
    <row r="1227" spans="1:32" ht="15" customHeight="1" x14ac:dyDescent="0.3">
      <c r="A1227">
        <v>3</v>
      </c>
      <c r="B1227" s="2" t="s">
        <v>696</v>
      </c>
      <c r="C1227" s="4" t="s">
        <v>689</v>
      </c>
      <c r="D1227" s="3" t="s">
        <v>649</v>
      </c>
      <c r="E1227" s="6" t="s">
        <v>13</v>
      </c>
      <c r="F1227" s="6" t="s">
        <v>228</v>
      </c>
      <c r="G1227" s="6" t="s">
        <v>711</v>
      </c>
      <c r="H1227" s="23">
        <v>70</v>
      </c>
      <c r="I1227">
        <v>0</v>
      </c>
      <c r="J1227">
        <v>0</v>
      </c>
      <c r="K1227" s="20">
        <f t="shared" si="144"/>
        <v>0</v>
      </c>
      <c r="L1227">
        <v>0</v>
      </c>
      <c r="M1227">
        <v>0</v>
      </c>
      <c r="N1227" s="21">
        <f t="shared" si="145"/>
        <v>0</v>
      </c>
      <c r="O1227">
        <v>0</v>
      </c>
      <c r="P1227">
        <v>0</v>
      </c>
      <c r="Q1227" s="21">
        <f t="shared" si="139"/>
        <v>0</v>
      </c>
      <c r="R1227">
        <v>0</v>
      </c>
      <c r="S1227">
        <v>0</v>
      </c>
      <c r="T1227" s="21">
        <f t="shared" si="140"/>
        <v>0</v>
      </c>
      <c r="U1227">
        <v>50000</v>
      </c>
      <c r="V1227">
        <v>1</v>
      </c>
      <c r="W1227" s="21">
        <f t="shared" si="141"/>
        <v>3500000</v>
      </c>
      <c r="X1227">
        <v>0</v>
      </c>
      <c r="Y1227">
        <v>0</v>
      </c>
      <c r="Z1227" s="21">
        <f t="shared" si="142"/>
        <v>0</v>
      </c>
      <c r="AA1227">
        <v>0</v>
      </c>
      <c r="AB1227">
        <v>0</v>
      </c>
      <c r="AC1227" s="21">
        <f t="shared" si="143"/>
        <v>0</v>
      </c>
      <c r="AD1227">
        <v>0</v>
      </c>
      <c r="AE1227">
        <v>0</v>
      </c>
      <c r="AF1227" s="21">
        <f t="shared" si="146"/>
        <v>0</v>
      </c>
    </row>
    <row r="1228" spans="1:32" ht="15" customHeight="1" x14ac:dyDescent="0.3">
      <c r="A1228">
        <v>3</v>
      </c>
      <c r="B1228" s="2" t="s">
        <v>696</v>
      </c>
      <c r="C1228" s="4" t="s">
        <v>689</v>
      </c>
      <c r="D1228" s="3" t="s">
        <v>649</v>
      </c>
      <c r="E1228" s="6" t="s">
        <v>13</v>
      </c>
      <c r="F1228" s="6" t="s">
        <v>228</v>
      </c>
      <c r="G1228" s="6" t="s">
        <v>710</v>
      </c>
      <c r="H1228" s="23">
        <v>104850</v>
      </c>
      <c r="I1228">
        <v>0</v>
      </c>
      <c r="J1228">
        <v>0</v>
      </c>
      <c r="K1228" s="20">
        <f t="shared" si="144"/>
        <v>0</v>
      </c>
      <c r="L1228">
        <v>0</v>
      </c>
      <c r="M1228">
        <v>0</v>
      </c>
      <c r="N1228" s="21">
        <f t="shared" si="145"/>
        <v>0</v>
      </c>
      <c r="O1228">
        <v>0</v>
      </c>
      <c r="P1228">
        <v>0</v>
      </c>
      <c r="Q1228" s="21">
        <f t="shared" si="139"/>
        <v>0</v>
      </c>
      <c r="R1228">
        <v>0</v>
      </c>
      <c r="S1228">
        <v>0</v>
      </c>
      <c r="T1228" s="21">
        <f t="shared" si="140"/>
        <v>0</v>
      </c>
      <c r="U1228">
        <v>5</v>
      </c>
      <c r="V1228">
        <v>1</v>
      </c>
      <c r="W1228" s="21">
        <f t="shared" si="141"/>
        <v>524250</v>
      </c>
      <c r="X1228">
        <v>0</v>
      </c>
      <c r="Y1228">
        <v>0</v>
      </c>
      <c r="Z1228" s="21">
        <f t="shared" si="142"/>
        <v>0</v>
      </c>
      <c r="AA1228">
        <v>0</v>
      </c>
      <c r="AB1228">
        <v>0</v>
      </c>
      <c r="AC1228" s="21">
        <f t="shared" si="143"/>
        <v>0</v>
      </c>
      <c r="AD1228">
        <v>0</v>
      </c>
      <c r="AE1228">
        <v>0</v>
      </c>
      <c r="AF1228" s="21">
        <f t="shared" si="146"/>
        <v>0</v>
      </c>
    </row>
    <row r="1229" spans="1:32" ht="15" customHeight="1" x14ac:dyDescent="0.3">
      <c r="A1229">
        <v>3</v>
      </c>
      <c r="B1229" s="2" t="s">
        <v>696</v>
      </c>
      <c r="C1229" s="4" t="s">
        <v>689</v>
      </c>
      <c r="D1229" s="3" t="s">
        <v>649</v>
      </c>
      <c r="E1229" s="6" t="s">
        <v>13</v>
      </c>
      <c r="F1229" s="6" t="s">
        <v>209</v>
      </c>
      <c r="G1229" s="6" t="s">
        <v>709</v>
      </c>
      <c r="H1229" s="23">
        <v>28000</v>
      </c>
      <c r="I1229">
        <v>0</v>
      </c>
      <c r="J1229">
        <v>0</v>
      </c>
      <c r="K1229" s="20">
        <f t="shared" si="144"/>
        <v>0</v>
      </c>
      <c r="L1229">
        <v>0</v>
      </c>
      <c r="M1229">
        <v>0</v>
      </c>
      <c r="N1229" s="21">
        <f t="shared" si="145"/>
        <v>0</v>
      </c>
      <c r="O1229">
        <v>0</v>
      </c>
      <c r="P1229">
        <v>0</v>
      </c>
      <c r="Q1229" s="21">
        <f t="shared" si="139"/>
        <v>0</v>
      </c>
      <c r="R1229">
        <v>0</v>
      </c>
      <c r="S1229">
        <v>0</v>
      </c>
      <c r="T1229" s="21">
        <f t="shared" si="140"/>
        <v>0</v>
      </c>
      <c r="U1229">
        <v>300</v>
      </c>
      <c r="V1229">
        <v>10</v>
      </c>
      <c r="W1229" s="21">
        <f t="shared" si="141"/>
        <v>84000000</v>
      </c>
      <c r="X1229">
        <v>0</v>
      </c>
      <c r="Y1229">
        <v>0</v>
      </c>
      <c r="Z1229" s="21">
        <f t="shared" si="142"/>
        <v>0</v>
      </c>
      <c r="AA1229">
        <v>0</v>
      </c>
      <c r="AB1229">
        <v>0</v>
      </c>
      <c r="AC1229" s="21">
        <f t="shared" si="143"/>
        <v>0</v>
      </c>
      <c r="AD1229">
        <v>0</v>
      </c>
      <c r="AE1229">
        <v>0</v>
      </c>
      <c r="AF1229" s="21">
        <f t="shared" si="146"/>
        <v>0</v>
      </c>
    </row>
    <row r="1230" spans="1:32" ht="15" customHeight="1" x14ac:dyDescent="0.3">
      <c r="A1230">
        <v>3</v>
      </c>
      <c r="B1230" s="2" t="s">
        <v>696</v>
      </c>
      <c r="C1230" s="4" t="s">
        <v>689</v>
      </c>
      <c r="D1230" s="3" t="s">
        <v>649</v>
      </c>
      <c r="E1230" s="6" t="s">
        <v>13</v>
      </c>
      <c r="F1230" s="6" t="s">
        <v>209</v>
      </c>
      <c r="G1230" s="6" t="s">
        <v>716</v>
      </c>
      <c r="H1230" s="15">
        <v>39000</v>
      </c>
      <c r="I1230">
        <v>0</v>
      </c>
      <c r="J1230">
        <v>0</v>
      </c>
      <c r="K1230" s="20">
        <f t="shared" si="144"/>
        <v>0</v>
      </c>
      <c r="L1230">
        <v>0</v>
      </c>
      <c r="M1230">
        <v>0</v>
      </c>
      <c r="N1230" s="21">
        <f t="shared" si="145"/>
        <v>0</v>
      </c>
      <c r="O1230">
        <v>0</v>
      </c>
      <c r="P1230">
        <v>0</v>
      </c>
      <c r="Q1230" s="21">
        <f t="shared" si="139"/>
        <v>0</v>
      </c>
      <c r="R1230">
        <v>0</v>
      </c>
      <c r="S1230">
        <v>0</v>
      </c>
      <c r="T1230" s="21">
        <f t="shared" si="140"/>
        <v>0</v>
      </c>
      <c r="U1230">
        <v>300</v>
      </c>
      <c r="V1230">
        <v>10</v>
      </c>
      <c r="W1230" s="21">
        <f t="shared" si="141"/>
        <v>117000000</v>
      </c>
      <c r="X1230">
        <v>0</v>
      </c>
      <c r="Y1230">
        <v>0</v>
      </c>
      <c r="Z1230" s="21">
        <f t="shared" si="142"/>
        <v>0</v>
      </c>
      <c r="AA1230">
        <v>0</v>
      </c>
      <c r="AB1230">
        <v>0</v>
      </c>
      <c r="AC1230" s="21">
        <f t="shared" si="143"/>
        <v>0</v>
      </c>
      <c r="AD1230">
        <v>0</v>
      </c>
      <c r="AE1230">
        <v>0</v>
      </c>
      <c r="AF1230" s="21">
        <f t="shared" si="146"/>
        <v>0</v>
      </c>
    </row>
    <row r="1231" spans="1:32" ht="15" customHeight="1" x14ac:dyDescent="0.3">
      <c r="A1231">
        <v>3</v>
      </c>
      <c r="B1231" s="2" t="s">
        <v>696</v>
      </c>
      <c r="C1231" s="4" t="s">
        <v>689</v>
      </c>
      <c r="D1231" s="3" t="s">
        <v>649</v>
      </c>
      <c r="E1231" s="6" t="s">
        <v>13</v>
      </c>
      <c r="F1231" s="6" t="s">
        <v>209</v>
      </c>
      <c r="G1231" s="6" t="s">
        <v>712</v>
      </c>
      <c r="H1231" s="23">
        <v>214.29</v>
      </c>
      <c r="I1231">
        <v>0</v>
      </c>
      <c r="J1231">
        <v>0</v>
      </c>
      <c r="K1231" s="20">
        <f t="shared" si="144"/>
        <v>0</v>
      </c>
      <c r="L1231">
        <v>0</v>
      </c>
      <c r="M1231">
        <v>0</v>
      </c>
      <c r="N1231" s="21">
        <f t="shared" si="145"/>
        <v>0</v>
      </c>
      <c r="O1231">
        <v>0</v>
      </c>
      <c r="P1231">
        <v>0</v>
      </c>
      <c r="Q1231" s="21">
        <f t="shared" si="139"/>
        <v>0</v>
      </c>
      <c r="R1231">
        <v>0</v>
      </c>
      <c r="S1231">
        <v>0</v>
      </c>
      <c r="T1231" s="21">
        <f t="shared" si="140"/>
        <v>0</v>
      </c>
      <c r="U1231">
        <v>60000</v>
      </c>
      <c r="V1231">
        <v>1</v>
      </c>
      <c r="W1231" s="21">
        <f t="shared" si="141"/>
        <v>12857400</v>
      </c>
      <c r="X1231">
        <v>0</v>
      </c>
      <c r="Y1231">
        <v>0</v>
      </c>
      <c r="Z1231" s="21">
        <f t="shared" si="142"/>
        <v>0</v>
      </c>
      <c r="AA1231">
        <v>0</v>
      </c>
      <c r="AB1231">
        <v>0</v>
      </c>
      <c r="AC1231" s="21">
        <f t="shared" si="143"/>
        <v>0</v>
      </c>
      <c r="AD1231">
        <v>0</v>
      </c>
      <c r="AE1231">
        <v>0</v>
      </c>
      <c r="AF1231" s="21">
        <f t="shared" si="146"/>
        <v>0</v>
      </c>
    </row>
    <row r="1232" spans="1:32" ht="15" customHeight="1" x14ac:dyDescent="0.3">
      <c r="A1232">
        <v>3</v>
      </c>
      <c r="B1232" s="2" t="s">
        <v>696</v>
      </c>
      <c r="C1232" s="4" t="s">
        <v>689</v>
      </c>
      <c r="D1232" s="3" t="s">
        <v>649</v>
      </c>
      <c r="E1232" s="6" t="s">
        <v>13</v>
      </c>
      <c r="F1232" s="6" t="s">
        <v>229</v>
      </c>
      <c r="G1232" s="6" t="s">
        <v>716</v>
      </c>
      <c r="H1232" s="15">
        <v>39000</v>
      </c>
      <c r="I1232">
        <v>0</v>
      </c>
      <c r="J1232">
        <v>0</v>
      </c>
      <c r="K1232" s="20">
        <f t="shared" si="144"/>
        <v>0</v>
      </c>
      <c r="L1232">
        <v>0</v>
      </c>
      <c r="M1232">
        <v>0</v>
      </c>
      <c r="N1232" s="21">
        <f t="shared" si="145"/>
        <v>0</v>
      </c>
      <c r="O1232">
        <v>0</v>
      </c>
      <c r="P1232">
        <v>0</v>
      </c>
      <c r="Q1232" s="21">
        <f t="shared" si="139"/>
        <v>0</v>
      </c>
      <c r="R1232">
        <v>0</v>
      </c>
      <c r="S1232">
        <v>0</v>
      </c>
      <c r="T1232" s="21">
        <f t="shared" si="140"/>
        <v>0</v>
      </c>
      <c r="U1232">
        <v>40</v>
      </c>
      <c r="V1232">
        <v>5</v>
      </c>
      <c r="W1232" s="21">
        <f t="shared" si="141"/>
        <v>7800000</v>
      </c>
      <c r="X1232">
        <v>0</v>
      </c>
      <c r="Y1232">
        <v>0</v>
      </c>
      <c r="Z1232" s="21">
        <f t="shared" si="142"/>
        <v>0</v>
      </c>
      <c r="AA1232">
        <v>0</v>
      </c>
      <c r="AB1232">
        <v>0</v>
      </c>
      <c r="AC1232" s="21">
        <f t="shared" si="143"/>
        <v>0</v>
      </c>
      <c r="AD1232">
        <v>0</v>
      </c>
      <c r="AE1232">
        <v>0</v>
      </c>
      <c r="AF1232" s="21">
        <f t="shared" si="146"/>
        <v>0</v>
      </c>
    </row>
    <row r="1233" spans="1:32" ht="15" customHeight="1" x14ac:dyDescent="0.3">
      <c r="A1233">
        <v>3</v>
      </c>
      <c r="B1233" s="2" t="s">
        <v>696</v>
      </c>
      <c r="C1233" s="4" t="s">
        <v>689</v>
      </c>
      <c r="D1233" s="3" t="s">
        <v>649</v>
      </c>
      <c r="E1233" s="6" t="s">
        <v>13</v>
      </c>
      <c r="F1233" s="6" t="s">
        <v>229</v>
      </c>
      <c r="G1233" s="6" t="s">
        <v>709</v>
      </c>
      <c r="H1233" s="23">
        <v>28000</v>
      </c>
      <c r="I1233">
        <v>0</v>
      </c>
      <c r="J1233">
        <v>0</v>
      </c>
      <c r="K1233" s="20">
        <f t="shared" si="144"/>
        <v>0</v>
      </c>
      <c r="L1233">
        <v>0</v>
      </c>
      <c r="M1233">
        <v>0</v>
      </c>
      <c r="N1233" s="21">
        <f t="shared" si="145"/>
        <v>0</v>
      </c>
      <c r="O1233">
        <v>0</v>
      </c>
      <c r="P1233">
        <v>0</v>
      </c>
      <c r="Q1233" s="21">
        <f t="shared" si="139"/>
        <v>0</v>
      </c>
      <c r="R1233">
        <v>0</v>
      </c>
      <c r="S1233">
        <v>0</v>
      </c>
      <c r="T1233" s="21">
        <f t="shared" si="140"/>
        <v>0</v>
      </c>
      <c r="U1233">
        <v>40</v>
      </c>
      <c r="V1233">
        <v>5</v>
      </c>
      <c r="W1233" s="21">
        <f t="shared" si="141"/>
        <v>5600000</v>
      </c>
      <c r="X1233">
        <v>0</v>
      </c>
      <c r="Y1233">
        <v>0</v>
      </c>
      <c r="Z1233" s="21">
        <f t="shared" si="142"/>
        <v>0</v>
      </c>
      <c r="AA1233">
        <v>0</v>
      </c>
      <c r="AB1233">
        <v>0</v>
      </c>
      <c r="AC1233" s="21">
        <f t="shared" si="143"/>
        <v>0</v>
      </c>
      <c r="AD1233">
        <v>0</v>
      </c>
      <c r="AE1233">
        <v>0</v>
      </c>
      <c r="AF1233" s="21">
        <f t="shared" si="146"/>
        <v>0</v>
      </c>
    </row>
    <row r="1234" spans="1:32" ht="15" customHeight="1" x14ac:dyDescent="0.3">
      <c r="A1234">
        <v>3</v>
      </c>
      <c r="B1234" s="2" t="s">
        <v>696</v>
      </c>
      <c r="C1234" s="4" t="s">
        <v>689</v>
      </c>
      <c r="D1234" s="3" t="s">
        <v>649</v>
      </c>
      <c r="E1234" s="6" t="s">
        <v>13</v>
      </c>
      <c r="F1234" s="6" t="s">
        <v>229</v>
      </c>
      <c r="G1234" s="6" t="s">
        <v>712</v>
      </c>
      <c r="H1234" s="23">
        <v>214.29</v>
      </c>
      <c r="I1234">
        <v>0</v>
      </c>
      <c r="J1234">
        <v>0</v>
      </c>
      <c r="K1234" s="20">
        <f t="shared" si="144"/>
        <v>0</v>
      </c>
      <c r="L1234">
        <v>0</v>
      </c>
      <c r="M1234">
        <v>0</v>
      </c>
      <c r="N1234" s="21">
        <f t="shared" si="145"/>
        <v>0</v>
      </c>
      <c r="O1234">
        <v>0</v>
      </c>
      <c r="P1234">
        <v>0</v>
      </c>
      <c r="Q1234" s="21">
        <f t="shared" si="139"/>
        <v>0</v>
      </c>
      <c r="R1234">
        <v>0</v>
      </c>
      <c r="S1234">
        <v>0</v>
      </c>
      <c r="T1234" s="21">
        <f t="shared" si="140"/>
        <v>0</v>
      </c>
      <c r="U1234">
        <v>20000</v>
      </c>
      <c r="V1234">
        <v>1</v>
      </c>
      <c r="W1234" s="21">
        <f t="shared" si="141"/>
        <v>4285800</v>
      </c>
      <c r="X1234">
        <v>0</v>
      </c>
      <c r="Y1234">
        <v>0</v>
      </c>
      <c r="Z1234" s="21">
        <f t="shared" si="142"/>
        <v>0</v>
      </c>
      <c r="AA1234">
        <v>0</v>
      </c>
      <c r="AB1234">
        <v>0</v>
      </c>
      <c r="AC1234" s="21">
        <f t="shared" si="143"/>
        <v>0</v>
      </c>
      <c r="AD1234">
        <v>0</v>
      </c>
      <c r="AE1234">
        <v>0</v>
      </c>
      <c r="AF1234" s="21">
        <f t="shared" si="146"/>
        <v>0</v>
      </c>
    </row>
    <row r="1235" spans="1:32" ht="15" customHeight="1" x14ac:dyDescent="0.3">
      <c r="A1235">
        <v>3</v>
      </c>
      <c r="B1235" s="2" t="s">
        <v>696</v>
      </c>
      <c r="C1235" s="4" t="s">
        <v>689</v>
      </c>
      <c r="D1235" s="3" t="s">
        <v>649</v>
      </c>
      <c r="E1235" s="6" t="s">
        <v>14</v>
      </c>
      <c r="F1235" s="6" t="s">
        <v>214</v>
      </c>
      <c r="G1235" s="6" t="s">
        <v>718</v>
      </c>
      <c r="H1235" s="23">
        <v>0</v>
      </c>
      <c r="I1235">
        <v>0</v>
      </c>
      <c r="J1235">
        <v>0</v>
      </c>
      <c r="K1235" s="20">
        <f t="shared" si="144"/>
        <v>0</v>
      </c>
      <c r="L1235">
        <v>0</v>
      </c>
      <c r="M1235">
        <v>0</v>
      </c>
      <c r="N1235" s="21">
        <f t="shared" si="145"/>
        <v>0</v>
      </c>
      <c r="O1235">
        <v>0</v>
      </c>
      <c r="P1235">
        <v>0</v>
      </c>
      <c r="Q1235" s="21">
        <f t="shared" si="139"/>
        <v>0</v>
      </c>
      <c r="R1235">
        <v>0</v>
      </c>
      <c r="S1235">
        <v>0</v>
      </c>
      <c r="T1235" s="21">
        <f t="shared" si="140"/>
        <v>0</v>
      </c>
      <c r="U1235">
        <v>0</v>
      </c>
      <c r="V1235">
        <v>0</v>
      </c>
      <c r="W1235" s="21">
        <f t="shared" si="141"/>
        <v>0</v>
      </c>
      <c r="X1235">
        <v>0</v>
      </c>
      <c r="Y1235">
        <v>0</v>
      </c>
      <c r="Z1235" s="21">
        <f t="shared" si="142"/>
        <v>0</v>
      </c>
      <c r="AA1235">
        <v>0</v>
      </c>
      <c r="AB1235">
        <v>0</v>
      </c>
      <c r="AC1235" s="21">
        <f t="shared" si="143"/>
        <v>0</v>
      </c>
      <c r="AD1235">
        <v>0</v>
      </c>
      <c r="AE1235">
        <v>0</v>
      </c>
      <c r="AF1235" s="21">
        <f t="shared" si="146"/>
        <v>0</v>
      </c>
    </row>
    <row r="1236" spans="1:32" ht="15" customHeight="1" x14ac:dyDescent="0.3">
      <c r="A1236">
        <v>3</v>
      </c>
      <c r="B1236" s="2" t="s">
        <v>696</v>
      </c>
      <c r="C1236" s="4" t="s">
        <v>689</v>
      </c>
      <c r="D1236" s="3" t="s">
        <v>649</v>
      </c>
      <c r="E1236" s="6" t="s">
        <v>14</v>
      </c>
      <c r="F1236" s="6" t="s">
        <v>215</v>
      </c>
      <c r="G1236" s="6" t="s">
        <v>718</v>
      </c>
      <c r="H1236" s="23">
        <v>0</v>
      </c>
      <c r="I1236">
        <v>0</v>
      </c>
      <c r="J1236">
        <v>0</v>
      </c>
      <c r="K1236" s="20">
        <f t="shared" si="144"/>
        <v>0</v>
      </c>
      <c r="L1236">
        <v>0</v>
      </c>
      <c r="M1236">
        <v>0</v>
      </c>
      <c r="N1236" s="21">
        <f t="shared" si="145"/>
        <v>0</v>
      </c>
      <c r="O1236">
        <v>0</v>
      </c>
      <c r="P1236">
        <v>0</v>
      </c>
      <c r="Q1236" s="21">
        <f t="shared" si="139"/>
        <v>0</v>
      </c>
      <c r="R1236">
        <v>0</v>
      </c>
      <c r="S1236">
        <v>0</v>
      </c>
      <c r="T1236" s="21">
        <f t="shared" si="140"/>
        <v>0</v>
      </c>
      <c r="U1236">
        <v>0</v>
      </c>
      <c r="V1236">
        <v>0</v>
      </c>
      <c r="W1236" s="21">
        <f t="shared" si="141"/>
        <v>0</v>
      </c>
      <c r="X1236">
        <v>0</v>
      </c>
      <c r="Y1236">
        <v>0</v>
      </c>
      <c r="Z1236" s="21">
        <f t="shared" si="142"/>
        <v>0</v>
      </c>
      <c r="AA1236">
        <v>0</v>
      </c>
      <c r="AB1236">
        <v>0</v>
      </c>
      <c r="AC1236" s="21">
        <f t="shared" si="143"/>
        <v>0</v>
      </c>
      <c r="AD1236">
        <v>0</v>
      </c>
      <c r="AE1236">
        <v>0</v>
      </c>
      <c r="AF1236" s="21">
        <f t="shared" si="146"/>
        <v>0</v>
      </c>
    </row>
    <row r="1237" spans="1:32" ht="15" customHeight="1" x14ac:dyDescent="0.3">
      <c r="A1237">
        <v>3</v>
      </c>
      <c r="B1237" s="2" t="s">
        <v>696</v>
      </c>
      <c r="C1237" s="4" t="s">
        <v>689</v>
      </c>
      <c r="D1237" s="3" t="s">
        <v>649</v>
      </c>
      <c r="E1237" s="6" t="s">
        <v>14</v>
      </c>
      <c r="F1237" s="6" t="s">
        <v>149</v>
      </c>
      <c r="G1237" s="6" t="s">
        <v>707</v>
      </c>
      <c r="H1237" s="23">
        <v>391991.03749999998</v>
      </c>
      <c r="I1237">
        <v>1</v>
      </c>
      <c r="J1237">
        <v>4</v>
      </c>
      <c r="K1237" s="20">
        <f t="shared" si="144"/>
        <v>1567964.15</v>
      </c>
      <c r="L1237">
        <v>0</v>
      </c>
      <c r="M1237">
        <v>0</v>
      </c>
      <c r="N1237" s="21">
        <f t="shared" si="145"/>
        <v>0</v>
      </c>
      <c r="O1237">
        <v>0</v>
      </c>
      <c r="P1237">
        <v>0</v>
      </c>
      <c r="Q1237" s="21">
        <f t="shared" si="139"/>
        <v>0</v>
      </c>
      <c r="R1237">
        <v>0</v>
      </c>
      <c r="S1237">
        <v>0</v>
      </c>
      <c r="T1237" s="21">
        <f t="shared" si="140"/>
        <v>0</v>
      </c>
      <c r="U1237">
        <v>0</v>
      </c>
      <c r="V1237">
        <v>0</v>
      </c>
      <c r="W1237" s="21">
        <f t="shared" si="141"/>
        <v>0</v>
      </c>
      <c r="X1237">
        <v>0</v>
      </c>
      <c r="Y1237">
        <v>0</v>
      </c>
      <c r="Z1237" s="21">
        <f t="shared" si="142"/>
        <v>0</v>
      </c>
      <c r="AA1237">
        <v>0</v>
      </c>
      <c r="AB1237">
        <v>0</v>
      </c>
      <c r="AC1237" s="21">
        <f t="shared" si="143"/>
        <v>0</v>
      </c>
      <c r="AD1237">
        <v>0</v>
      </c>
      <c r="AE1237">
        <v>0</v>
      </c>
      <c r="AF1237" s="21">
        <f t="shared" si="146"/>
        <v>0</v>
      </c>
    </row>
    <row r="1238" spans="1:32" ht="15" customHeight="1" x14ac:dyDescent="0.3">
      <c r="A1238">
        <v>3</v>
      </c>
      <c r="B1238" s="2" t="s">
        <v>696</v>
      </c>
      <c r="C1238" s="4" t="s">
        <v>689</v>
      </c>
      <c r="D1238" s="3" t="s">
        <v>649</v>
      </c>
      <c r="E1238" s="6" t="s">
        <v>14</v>
      </c>
      <c r="F1238" s="6" t="s">
        <v>149</v>
      </c>
      <c r="G1238" s="6" t="s">
        <v>708</v>
      </c>
      <c r="H1238" s="23">
        <v>468000</v>
      </c>
      <c r="I1238">
        <v>1</v>
      </c>
      <c r="J1238">
        <v>40</v>
      </c>
      <c r="K1238" s="20">
        <f t="shared" si="144"/>
        <v>18720000</v>
      </c>
      <c r="L1238">
        <v>0</v>
      </c>
      <c r="M1238">
        <v>0</v>
      </c>
      <c r="N1238" s="21">
        <f t="shared" si="145"/>
        <v>0</v>
      </c>
      <c r="O1238">
        <v>0</v>
      </c>
      <c r="P1238">
        <v>0</v>
      </c>
      <c r="Q1238" s="21">
        <f t="shared" si="139"/>
        <v>0</v>
      </c>
      <c r="R1238">
        <v>0</v>
      </c>
      <c r="S1238">
        <v>0</v>
      </c>
      <c r="T1238" s="21">
        <f t="shared" si="140"/>
        <v>0</v>
      </c>
      <c r="U1238">
        <v>0</v>
      </c>
      <c r="V1238">
        <v>0</v>
      </c>
      <c r="W1238" s="21">
        <f t="shared" si="141"/>
        <v>0</v>
      </c>
      <c r="X1238">
        <v>0</v>
      </c>
      <c r="Y1238">
        <v>0</v>
      </c>
      <c r="Z1238" s="21">
        <f t="shared" si="142"/>
        <v>0</v>
      </c>
      <c r="AA1238">
        <v>0</v>
      </c>
      <c r="AB1238">
        <v>0</v>
      </c>
      <c r="AC1238" s="21">
        <f t="shared" si="143"/>
        <v>0</v>
      </c>
      <c r="AD1238">
        <v>0</v>
      </c>
      <c r="AE1238">
        <v>0</v>
      </c>
      <c r="AF1238" s="21">
        <f t="shared" si="146"/>
        <v>0</v>
      </c>
    </row>
    <row r="1239" spans="1:32" ht="15" customHeight="1" x14ac:dyDescent="0.3">
      <c r="A1239">
        <v>3</v>
      </c>
      <c r="B1239" s="2" t="s">
        <v>696</v>
      </c>
      <c r="C1239" s="4" t="s">
        <v>689</v>
      </c>
      <c r="D1239" s="3" t="s">
        <v>649</v>
      </c>
      <c r="E1239" s="6" t="s">
        <v>14</v>
      </c>
      <c r="F1239" s="6" t="s">
        <v>174</v>
      </c>
      <c r="G1239" s="6" t="s">
        <v>718</v>
      </c>
      <c r="H1239" s="23">
        <v>0</v>
      </c>
      <c r="I1239">
        <v>0</v>
      </c>
      <c r="J1239">
        <v>0</v>
      </c>
      <c r="K1239" s="20">
        <f t="shared" si="144"/>
        <v>0</v>
      </c>
      <c r="L1239">
        <v>0</v>
      </c>
      <c r="M1239">
        <v>0</v>
      </c>
      <c r="N1239" s="21">
        <f t="shared" si="145"/>
        <v>0</v>
      </c>
      <c r="O1239">
        <v>0</v>
      </c>
      <c r="P1239">
        <v>0</v>
      </c>
      <c r="Q1239" s="21">
        <f t="shared" si="139"/>
        <v>0</v>
      </c>
      <c r="R1239">
        <v>0</v>
      </c>
      <c r="S1239">
        <v>0</v>
      </c>
      <c r="T1239" s="21">
        <f t="shared" si="140"/>
        <v>0</v>
      </c>
      <c r="U1239">
        <v>0</v>
      </c>
      <c r="V1239">
        <v>0</v>
      </c>
      <c r="W1239" s="21">
        <f t="shared" si="141"/>
        <v>0</v>
      </c>
      <c r="X1239">
        <v>0</v>
      </c>
      <c r="Y1239">
        <v>0</v>
      </c>
      <c r="Z1239" s="21">
        <f t="shared" si="142"/>
        <v>0</v>
      </c>
      <c r="AA1239">
        <v>0</v>
      </c>
      <c r="AB1239">
        <v>0</v>
      </c>
      <c r="AC1239" s="21">
        <f t="shared" si="143"/>
        <v>0</v>
      </c>
      <c r="AD1239">
        <v>0</v>
      </c>
      <c r="AE1239">
        <v>0</v>
      </c>
      <c r="AF1239" s="21">
        <f t="shared" si="146"/>
        <v>0</v>
      </c>
    </row>
    <row r="1240" spans="1:32" ht="15" customHeight="1" x14ac:dyDescent="0.3">
      <c r="A1240">
        <v>3</v>
      </c>
      <c r="B1240" s="2" t="s">
        <v>696</v>
      </c>
      <c r="C1240" s="4" t="s">
        <v>689</v>
      </c>
      <c r="D1240" s="3" t="s">
        <v>649</v>
      </c>
      <c r="E1240" s="6" t="s">
        <v>14</v>
      </c>
      <c r="F1240" s="6" t="s">
        <v>230</v>
      </c>
      <c r="G1240" s="6" t="s">
        <v>718</v>
      </c>
      <c r="H1240" s="23">
        <v>0</v>
      </c>
      <c r="I1240">
        <v>0</v>
      </c>
      <c r="J1240">
        <v>0</v>
      </c>
      <c r="K1240" s="20">
        <f t="shared" si="144"/>
        <v>0</v>
      </c>
      <c r="L1240">
        <v>0</v>
      </c>
      <c r="M1240">
        <v>0</v>
      </c>
      <c r="N1240" s="21">
        <f t="shared" si="145"/>
        <v>0</v>
      </c>
      <c r="O1240">
        <v>0</v>
      </c>
      <c r="P1240">
        <v>0</v>
      </c>
      <c r="Q1240" s="21">
        <f t="shared" si="139"/>
        <v>0</v>
      </c>
      <c r="R1240">
        <v>0</v>
      </c>
      <c r="S1240">
        <v>0</v>
      </c>
      <c r="T1240" s="21">
        <f t="shared" si="140"/>
        <v>0</v>
      </c>
      <c r="U1240">
        <v>0</v>
      </c>
      <c r="V1240">
        <v>0</v>
      </c>
      <c r="W1240" s="21">
        <f t="shared" si="141"/>
        <v>0</v>
      </c>
      <c r="X1240">
        <v>0</v>
      </c>
      <c r="Y1240">
        <v>0</v>
      </c>
      <c r="Z1240" s="21">
        <f t="shared" si="142"/>
        <v>0</v>
      </c>
      <c r="AA1240">
        <v>0</v>
      </c>
      <c r="AB1240">
        <v>0</v>
      </c>
      <c r="AC1240" s="21">
        <f t="shared" si="143"/>
        <v>0</v>
      </c>
      <c r="AD1240">
        <v>0</v>
      </c>
      <c r="AE1240">
        <v>0</v>
      </c>
      <c r="AF1240" s="21">
        <f t="shared" si="146"/>
        <v>0</v>
      </c>
    </row>
    <row r="1241" spans="1:32" ht="15" customHeight="1" x14ac:dyDescent="0.3">
      <c r="A1241">
        <v>3</v>
      </c>
      <c r="B1241" s="2" t="s">
        <v>696</v>
      </c>
      <c r="C1241" s="4" t="s">
        <v>689</v>
      </c>
      <c r="D1241" s="3" t="s">
        <v>649</v>
      </c>
      <c r="E1241" s="6" t="s">
        <v>14</v>
      </c>
      <c r="F1241" s="6" t="s">
        <v>231</v>
      </c>
      <c r="G1241" s="6" t="s">
        <v>709</v>
      </c>
      <c r="H1241" s="23">
        <v>28000</v>
      </c>
      <c r="I1241">
        <v>15</v>
      </c>
      <c r="J1241">
        <v>3</v>
      </c>
      <c r="K1241" s="20">
        <f t="shared" si="144"/>
        <v>1260000</v>
      </c>
      <c r="L1241">
        <v>0</v>
      </c>
      <c r="M1241">
        <v>0</v>
      </c>
      <c r="N1241" s="21">
        <f t="shared" si="145"/>
        <v>0</v>
      </c>
      <c r="O1241">
        <v>0</v>
      </c>
      <c r="P1241">
        <v>0</v>
      </c>
      <c r="Q1241" s="21">
        <f t="shared" si="139"/>
        <v>0</v>
      </c>
      <c r="R1241">
        <v>0</v>
      </c>
      <c r="S1241">
        <v>0</v>
      </c>
      <c r="T1241" s="21">
        <f t="shared" si="140"/>
        <v>0</v>
      </c>
      <c r="U1241">
        <v>0</v>
      </c>
      <c r="V1241">
        <v>0</v>
      </c>
      <c r="W1241" s="21">
        <f t="shared" si="141"/>
        <v>0</v>
      </c>
      <c r="X1241">
        <v>0</v>
      </c>
      <c r="Y1241">
        <v>0</v>
      </c>
      <c r="Z1241" s="21">
        <f t="shared" si="142"/>
        <v>0</v>
      </c>
      <c r="AA1241">
        <v>0</v>
      </c>
      <c r="AB1241">
        <v>0</v>
      </c>
      <c r="AC1241" s="21">
        <f t="shared" si="143"/>
        <v>0</v>
      </c>
      <c r="AD1241">
        <v>0</v>
      </c>
      <c r="AE1241">
        <v>0</v>
      </c>
      <c r="AF1241" s="21">
        <f t="shared" si="146"/>
        <v>0</v>
      </c>
    </row>
    <row r="1242" spans="1:32" ht="15" customHeight="1" x14ac:dyDescent="0.3">
      <c r="A1242">
        <v>3</v>
      </c>
      <c r="B1242" s="2" t="s">
        <v>696</v>
      </c>
      <c r="C1242" s="4" t="s">
        <v>689</v>
      </c>
      <c r="D1242" s="3" t="s">
        <v>649</v>
      </c>
      <c r="E1242" s="6" t="s">
        <v>14</v>
      </c>
      <c r="F1242" s="6" t="s">
        <v>231</v>
      </c>
      <c r="G1242" s="6" t="s">
        <v>710</v>
      </c>
      <c r="H1242" s="23">
        <v>104850</v>
      </c>
      <c r="I1242">
        <v>1</v>
      </c>
      <c r="J1242">
        <v>1</v>
      </c>
      <c r="K1242" s="20">
        <f t="shared" si="144"/>
        <v>104850</v>
      </c>
      <c r="L1242">
        <v>0</v>
      </c>
      <c r="M1242">
        <v>0</v>
      </c>
      <c r="N1242" s="21">
        <f t="shared" si="145"/>
        <v>0</v>
      </c>
      <c r="O1242">
        <v>0</v>
      </c>
      <c r="P1242">
        <v>0</v>
      </c>
      <c r="Q1242" s="21">
        <f t="shared" si="139"/>
        <v>0</v>
      </c>
      <c r="R1242">
        <v>0</v>
      </c>
      <c r="S1242">
        <v>0</v>
      </c>
      <c r="T1242" s="21">
        <f t="shared" si="140"/>
        <v>0</v>
      </c>
      <c r="U1242">
        <v>0</v>
      </c>
      <c r="V1242">
        <v>0</v>
      </c>
      <c r="W1242" s="21">
        <f t="shared" si="141"/>
        <v>0</v>
      </c>
      <c r="X1242">
        <v>0</v>
      </c>
      <c r="Y1242">
        <v>0</v>
      </c>
      <c r="Z1242" s="21">
        <f t="shared" si="142"/>
        <v>0</v>
      </c>
      <c r="AA1242">
        <v>0</v>
      </c>
      <c r="AB1242">
        <v>0</v>
      </c>
      <c r="AC1242" s="21">
        <f t="shared" si="143"/>
        <v>0</v>
      </c>
      <c r="AD1242">
        <v>0</v>
      </c>
      <c r="AE1242">
        <v>0</v>
      </c>
      <c r="AF1242" s="21">
        <f t="shared" si="146"/>
        <v>0</v>
      </c>
    </row>
    <row r="1243" spans="1:32" ht="15" customHeight="1" x14ac:dyDescent="0.3">
      <c r="A1243">
        <v>3</v>
      </c>
      <c r="B1243" s="2" t="s">
        <v>696</v>
      </c>
      <c r="C1243" s="4" t="s">
        <v>689</v>
      </c>
      <c r="D1243" s="3" t="s">
        <v>649</v>
      </c>
      <c r="E1243" s="6" t="s">
        <v>14</v>
      </c>
      <c r="F1243" s="6" t="s">
        <v>231</v>
      </c>
      <c r="G1243" s="6" t="s">
        <v>711</v>
      </c>
      <c r="H1243" s="23">
        <v>70</v>
      </c>
      <c r="I1243">
        <v>5000</v>
      </c>
      <c r="J1243">
        <v>1</v>
      </c>
      <c r="K1243" s="20">
        <f t="shared" si="144"/>
        <v>350000</v>
      </c>
      <c r="L1243">
        <v>0</v>
      </c>
      <c r="M1243">
        <v>0</v>
      </c>
      <c r="N1243" s="21">
        <f t="shared" si="145"/>
        <v>0</v>
      </c>
      <c r="O1243">
        <v>0</v>
      </c>
      <c r="P1243">
        <v>0</v>
      </c>
      <c r="Q1243" s="21">
        <f t="shared" si="139"/>
        <v>0</v>
      </c>
      <c r="R1243">
        <v>0</v>
      </c>
      <c r="S1243">
        <v>0</v>
      </c>
      <c r="T1243" s="21">
        <f t="shared" si="140"/>
        <v>0</v>
      </c>
      <c r="U1243">
        <v>0</v>
      </c>
      <c r="V1243">
        <v>0</v>
      </c>
      <c r="W1243" s="21">
        <f t="shared" si="141"/>
        <v>0</v>
      </c>
      <c r="X1243">
        <v>0</v>
      </c>
      <c r="Y1243">
        <v>0</v>
      </c>
      <c r="Z1243" s="21">
        <f t="shared" si="142"/>
        <v>0</v>
      </c>
      <c r="AA1243">
        <v>0</v>
      </c>
      <c r="AB1243">
        <v>0</v>
      </c>
      <c r="AC1243" s="21">
        <f t="shared" si="143"/>
        <v>0</v>
      </c>
      <c r="AD1243">
        <v>0</v>
      </c>
      <c r="AE1243">
        <v>0</v>
      </c>
      <c r="AF1243" s="21">
        <f t="shared" si="146"/>
        <v>0</v>
      </c>
    </row>
    <row r="1244" spans="1:32" ht="15" customHeight="1" x14ac:dyDescent="0.3">
      <c r="A1244">
        <v>3</v>
      </c>
      <c r="B1244" s="2" t="s">
        <v>696</v>
      </c>
      <c r="C1244" s="4" t="s">
        <v>689</v>
      </c>
      <c r="D1244" s="3" t="s">
        <v>649</v>
      </c>
      <c r="E1244" s="6" t="s">
        <v>14</v>
      </c>
      <c r="F1244" s="6" t="s">
        <v>163</v>
      </c>
      <c r="G1244" s="6" t="s">
        <v>713</v>
      </c>
      <c r="H1244" s="23">
        <v>45000</v>
      </c>
      <c r="I1244">
        <v>15</v>
      </c>
      <c r="J1244">
        <v>1</v>
      </c>
      <c r="K1244" s="20">
        <f t="shared" si="144"/>
        <v>675000</v>
      </c>
      <c r="L1244">
        <v>0</v>
      </c>
      <c r="M1244">
        <v>0</v>
      </c>
      <c r="N1244" s="21">
        <f t="shared" si="145"/>
        <v>0</v>
      </c>
      <c r="O1244">
        <v>0</v>
      </c>
      <c r="P1244">
        <v>0</v>
      </c>
      <c r="Q1244" s="21">
        <f t="shared" si="139"/>
        <v>0</v>
      </c>
      <c r="R1244">
        <v>0</v>
      </c>
      <c r="S1244">
        <v>0</v>
      </c>
      <c r="T1244" s="21">
        <f t="shared" si="140"/>
        <v>0</v>
      </c>
      <c r="U1244">
        <v>0</v>
      </c>
      <c r="V1244">
        <v>0</v>
      </c>
      <c r="W1244" s="21">
        <f t="shared" si="141"/>
        <v>0</v>
      </c>
      <c r="X1244">
        <v>0</v>
      </c>
      <c r="Y1244">
        <v>0</v>
      </c>
      <c r="Z1244" s="21">
        <f t="shared" si="142"/>
        <v>0</v>
      </c>
      <c r="AA1244">
        <v>0</v>
      </c>
      <c r="AB1244">
        <v>0</v>
      </c>
      <c r="AC1244" s="21">
        <f t="shared" si="143"/>
        <v>0</v>
      </c>
      <c r="AD1244">
        <v>0</v>
      </c>
      <c r="AE1244">
        <v>0</v>
      </c>
      <c r="AF1244" s="21">
        <f t="shared" si="146"/>
        <v>0</v>
      </c>
    </row>
    <row r="1245" spans="1:32" ht="15" customHeight="1" x14ac:dyDescent="0.3">
      <c r="A1245">
        <v>3</v>
      </c>
      <c r="B1245" s="2" t="s">
        <v>696</v>
      </c>
      <c r="C1245" s="4" t="s">
        <v>689</v>
      </c>
      <c r="D1245" s="3" t="s">
        <v>649</v>
      </c>
      <c r="E1245" s="6" t="s">
        <v>14</v>
      </c>
      <c r="F1245" s="6" t="s">
        <v>163</v>
      </c>
      <c r="G1245" s="6" t="s">
        <v>712</v>
      </c>
      <c r="H1245" s="23">
        <v>214.29</v>
      </c>
      <c r="I1245">
        <v>4000</v>
      </c>
      <c r="J1245">
        <v>1</v>
      </c>
      <c r="K1245" s="20">
        <f t="shared" si="144"/>
        <v>857160</v>
      </c>
      <c r="L1245">
        <v>0</v>
      </c>
      <c r="M1245">
        <v>0</v>
      </c>
      <c r="N1245" s="21">
        <f t="shared" si="145"/>
        <v>0</v>
      </c>
      <c r="O1245">
        <v>0</v>
      </c>
      <c r="P1245">
        <v>0</v>
      </c>
      <c r="Q1245" s="21">
        <f t="shared" si="139"/>
        <v>0</v>
      </c>
      <c r="R1245">
        <v>0</v>
      </c>
      <c r="S1245">
        <v>0</v>
      </c>
      <c r="T1245" s="21">
        <f t="shared" si="140"/>
        <v>0</v>
      </c>
      <c r="U1245">
        <v>0</v>
      </c>
      <c r="V1245">
        <v>0</v>
      </c>
      <c r="W1245" s="21">
        <f t="shared" si="141"/>
        <v>0</v>
      </c>
      <c r="X1245">
        <v>0</v>
      </c>
      <c r="Y1245">
        <v>0</v>
      </c>
      <c r="Z1245" s="21">
        <f t="shared" si="142"/>
        <v>0</v>
      </c>
      <c r="AA1245">
        <v>0</v>
      </c>
      <c r="AB1245">
        <v>0</v>
      </c>
      <c r="AC1245" s="21">
        <f t="shared" si="143"/>
        <v>0</v>
      </c>
      <c r="AD1245">
        <v>0</v>
      </c>
      <c r="AE1245">
        <v>0</v>
      </c>
      <c r="AF1245" s="21">
        <f t="shared" si="146"/>
        <v>0</v>
      </c>
    </row>
    <row r="1246" spans="1:32" ht="15" customHeight="1" x14ac:dyDescent="0.3">
      <c r="A1246">
        <v>3</v>
      </c>
      <c r="B1246" s="2" t="s">
        <v>696</v>
      </c>
      <c r="C1246" s="4" t="s">
        <v>689</v>
      </c>
      <c r="D1246" s="3" t="s">
        <v>649</v>
      </c>
      <c r="E1246" s="6" t="s">
        <v>14</v>
      </c>
      <c r="F1246" s="6" t="s">
        <v>232</v>
      </c>
      <c r="G1246" s="6" t="s">
        <v>709</v>
      </c>
      <c r="H1246" s="23">
        <v>391991.03749999998</v>
      </c>
      <c r="I1246">
        <v>15</v>
      </c>
      <c r="J1246">
        <v>1</v>
      </c>
      <c r="K1246" s="20">
        <f t="shared" si="144"/>
        <v>5879865.5625</v>
      </c>
      <c r="L1246">
        <v>0</v>
      </c>
      <c r="M1246">
        <v>0</v>
      </c>
      <c r="N1246" s="21">
        <f t="shared" si="145"/>
        <v>0</v>
      </c>
      <c r="O1246">
        <v>0</v>
      </c>
      <c r="P1246">
        <v>0</v>
      </c>
      <c r="Q1246" s="21">
        <f t="shared" si="139"/>
        <v>0</v>
      </c>
      <c r="R1246">
        <v>0</v>
      </c>
      <c r="S1246">
        <v>0</v>
      </c>
      <c r="T1246" s="21">
        <f t="shared" si="140"/>
        <v>0</v>
      </c>
      <c r="U1246">
        <v>0</v>
      </c>
      <c r="V1246">
        <v>0</v>
      </c>
      <c r="W1246" s="21">
        <f t="shared" si="141"/>
        <v>0</v>
      </c>
      <c r="X1246">
        <v>0</v>
      </c>
      <c r="Y1246">
        <v>0</v>
      </c>
      <c r="Z1246" s="21">
        <f t="shared" si="142"/>
        <v>0</v>
      </c>
      <c r="AA1246">
        <v>0</v>
      </c>
      <c r="AB1246">
        <v>0</v>
      </c>
      <c r="AC1246" s="21">
        <f t="shared" si="143"/>
        <v>0</v>
      </c>
      <c r="AD1246">
        <v>0</v>
      </c>
      <c r="AE1246">
        <v>0</v>
      </c>
      <c r="AF1246" s="21">
        <f t="shared" si="146"/>
        <v>0</v>
      </c>
    </row>
    <row r="1247" spans="1:32" ht="15" customHeight="1" x14ac:dyDescent="0.3">
      <c r="A1247">
        <v>3</v>
      </c>
      <c r="B1247" s="2" t="s">
        <v>696</v>
      </c>
      <c r="C1247" s="4" t="s">
        <v>689</v>
      </c>
      <c r="D1247" s="3" t="s">
        <v>649</v>
      </c>
      <c r="E1247" s="6" t="s">
        <v>14</v>
      </c>
      <c r="F1247" s="6" t="s">
        <v>200</v>
      </c>
      <c r="G1247" s="6" t="s">
        <v>713</v>
      </c>
      <c r="H1247" s="23">
        <v>45000</v>
      </c>
      <c r="I1247">
        <v>15</v>
      </c>
      <c r="J1247">
        <v>10</v>
      </c>
      <c r="K1247" s="20">
        <f t="shared" si="144"/>
        <v>6750000</v>
      </c>
      <c r="L1247">
        <v>0</v>
      </c>
      <c r="M1247">
        <v>0</v>
      </c>
      <c r="N1247" s="21">
        <f t="shared" si="145"/>
        <v>0</v>
      </c>
      <c r="O1247">
        <v>0</v>
      </c>
      <c r="P1247">
        <v>0</v>
      </c>
      <c r="Q1247" s="21">
        <f t="shared" si="139"/>
        <v>0</v>
      </c>
      <c r="R1247">
        <v>0</v>
      </c>
      <c r="S1247">
        <v>0</v>
      </c>
      <c r="T1247" s="21">
        <f t="shared" si="140"/>
        <v>0</v>
      </c>
      <c r="U1247">
        <v>0</v>
      </c>
      <c r="V1247">
        <v>0</v>
      </c>
      <c r="W1247" s="21">
        <f t="shared" si="141"/>
        <v>0</v>
      </c>
      <c r="X1247">
        <v>0</v>
      </c>
      <c r="Y1247">
        <v>0</v>
      </c>
      <c r="Z1247" s="21">
        <f t="shared" si="142"/>
        <v>0</v>
      </c>
      <c r="AA1247">
        <v>0</v>
      </c>
      <c r="AB1247">
        <v>0</v>
      </c>
      <c r="AC1247" s="21">
        <f t="shared" si="143"/>
        <v>0</v>
      </c>
      <c r="AD1247">
        <v>0</v>
      </c>
      <c r="AE1247">
        <v>0</v>
      </c>
      <c r="AF1247" s="21">
        <f t="shared" si="146"/>
        <v>0</v>
      </c>
    </row>
    <row r="1248" spans="1:32" ht="15" customHeight="1" x14ac:dyDescent="0.3">
      <c r="A1248">
        <v>3</v>
      </c>
      <c r="B1248" s="2" t="s">
        <v>696</v>
      </c>
      <c r="C1248" s="4" t="s">
        <v>689</v>
      </c>
      <c r="D1248" s="3" t="s">
        <v>649</v>
      </c>
      <c r="E1248" s="6" t="s">
        <v>14</v>
      </c>
      <c r="F1248" s="6" t="s">
        <v>200</v>
      </c>
      <c r="G1248" s="6" t="s">
        <v>714</v>
      </c>
      <c r="H1248" s="23">
        <v>10000</v>
      </c>
      <c r="I1248">
        <v>15</v>
      </c>
      <c r="J1248">
        <v>1</v>
      </c>
      <c r="K1248" s="20">
        <f t="shared" si="144"/>
        <v>150000</v>
      </c>
      <c r="L1248">
        <v>0</v>
      </c>
      <c r="M1248">
        <v>0</v>
      </c>
      <c r="N1248" s="21">
        <f t="shared" si="145"/>
        <v>0</v>
      </c>
      <c r="O1248">
        <v>0</v>
      </c>
      <c r="P1248">
        <v>0</v>
      </c>
      <c r="Q1248" s="21">
        <f t="shared" si="139"/>
        <v>0</v>
      </c>
      <c r="R1248">
        <v>0</v>
      </c>
      <c r="S1248">
        <v>0</v>
      </c>
      <c r="T1248" s="21">
        <f t="shared" si="140"/>
        <v>0</v>
      </c>
      <c r="U1248">
        <v>0</v>
      </c>
      <c r="V1248">
        <v>0</v>
      </c>
      <c r="W1248" s="21">
        <f t="shared" si="141"/>
        <v>0</v>
      </c>
      <c r="X1248">
        <v>0</v>
      </c>
      <c r="Y1248">
        <v>0</v>
      </c>
      <c r="Z1248" s="21">
        <f t="shared" si="142"/>
        <v>0</v>
      </c>
      <c r="AA1248">
        <v>0</v>
      </c>
      <c r="AB1248">
        <v>0</v>
      </c>
      <c r="AC1248" s="21">
        <f t="shared" si="143"/>
        <v>0</v>
      </c>
      <c r="AD1248">
        <v>0</v>
      </c>
      <c r="AE1248">
        <v>0</v>
      </c>
      <c r="AF1248" s="21">
        <f t="shared" si="146"/>
        <v>0</v>
      </c>
    </row>
    <row r="1249" spans="1:32" ht="15" customHeight="1" x14ac:dyDescent="0.3">
      <c r="A1249">
        <v>3</v>
      </c>
      <c r="B1249" s="2" t="s">
        <v>696</v>
      </c>
      <c r="C1249" s="4" t="s">
        <v>689</v>
      </c>
      <c r="D1249" s="3" t="s">
        <v>649</v>
      </c>
      <c r="E1249" s="6" t="s">
        <v>14</v>
      </c>
      <c r="F1249" s="6" t="s">
        <v>200</v>
      </c>
      <c r="G1249" s="6" t="s">
        <v>712</v>
      </c>
      <c r="H1249" s="23">
        <v>214.29</v>
      </c>
      <c r="I1249">
        <v>20000</v>
      </c>
      <c r="J1249">
        <v>1</v>
      </c>
      <c r="K1249" s="20">
        <f t="shared" si="144"/>
        <v>4285800</v>
      </c>
      <c r="L1249">
        <v>0</v>
      </c>
      <c r="M1249">
        <v>0</v>
      </c>
      <c r="N1249" s="21">
        <f t="shared" si="145"/>
        <v>0</v>
      </c>
      <c r="O1249">
        <v>0</v>
      </c>
      <c r="P1249">
        <v>0</v>
      </c>
      <c r="Q1249" s="21">
        <f t="shared" si="139"/>
        <v>0</v>
      </c>
      <c r="R1249">
        <v>0</v>
      </c>
      <c r="S1249">
        <v>0</v>
      </c>
      <c r="T1249" s="21">
        <f t="shared" si="140"/>
        <v>0</v>
      </c>
      <c r="U1249">
        <v>0</v>
      </c>
      <c r="V1249">
        <v>0</v>
      </c>
      <c r="W1249" s="21">
        <f t="shared" si="141"/>
        <v>0</v>
      </c>
      <c r="X1249">
        <v>0</v>
      </c>
      <c r="Y1249">
        <v>0</v>
      </c>
      <c r="Z1249" s="21">
        <f t="shared" si="142"/>
        <v>0</v>
      </c>
      <c r="AA1249">
        <v>0</v>
      </c>
      <c r="AB1249">
        <v>0</v>
      </c>
      <c r="AC1249" s="21">
        <f t="shared" si="143"/>
        <v>0</v>
      </c>
      <c r="AD1249">
        <v>0</v>
      </c>
      <c r="AE1249">
        <v>0</v>
      </c>
      <c r="AF1249" s="21">
        <f t="shared" si="146"/>
        <v>0</v>
      </c>
    </row>
    <row r="1250" spans="1:32" ht="15" customHeight="1" x14ac:dyDescent="0.3">
      <c r="A1250">
        <v>3</v>
      </c>
      <c r="B1250" s="2" t="s">
        <v>696</v>
      </c>
      <c r="C1250" s="4" t="s">
        <v>689</v>
      </c>
      <c r="D1250" s="3" t="s">
        <v>649</v>
      </c>
      <c r="E1250" s="6" t="s">
        <v>14</v>
      </c>
      <c r="F1250" s="6" t="s">
        <v>200</v>
      </c>
      <c r="G1250" s="6" t="s">
        <v>715</v>
      </c>
      <c r="H1250" s="23">
        <v>302000</v>
      </c>
      <c r="I1250">
        <v>20</v>
      </c>
      <c r="J1250">
        <v>1</v>
      </c>
      <c r="K1250" s="20">
        <f t="shared" si="144"/>
        <v>6040000</v>
      </c>
      <c r="L1250">
        <v>0</v>
      </c>
      <c r="M1250">
        <v>0</v>
      </c>
      <c r="N1250" s="21">
        <f t="shared" si="145"/>
        <v>0</v>
      </c>
      <c r="O1250">
        <v>0</v>
      </c>
      <c r="P1250">
        <v>0</v>
      </c>
      <c r="Q1250" s="21">
        <f t="shared" si="139"/>
        <v>0</v>
      </c>
      <c r="R1250">
        <v>0</v>
      </c>
      <c r="S1250">
        <v>0</v>
      </c>
      <c r="T1250" s="21">
        <f t="shared" si="140"/>
        <v>0</v>
      </c>
      <c r="U1250">
        <v>0</v>
      </c>
      <c r="V1250">
        <v>0</v>
      </c>
      <c r="W1250" s="21">
        <f t="shared" si="141"/>
        <v>0</v>
      </c>
      <c r="X1250">
        <v>0</v>
      </c>
      <c r="Y1250">
        <v>0</v>
      </c>
      <c r="Z1250" s="21">
        <f t="shared" si="142"/>
        <v>0</v>
      </c>
      <c r="AA1250">
        <v>0</v>
      </c>
      <c r="AB1250">
        <v>0</v>
      </c>
      <c r="AC1250" s="21">
        <f t="shared" si="143"/>
        <v>0</v>
      </c>
      <c r="AD1250">
        <v>0</v>
      </c>
      <c r="AE1250">
        <v>0</v>
      </c>
      <c r="AF1250" s="21">
        <f t="shared" si="146"/>
        <v>0</v>
      </c>
    </row>
    <row r="1251" spans="1:32" ht="15" customHeight="1" x14ac:dyDescent="0.3">
      <c r="A1251">
        <v>3</v>
      </c>
      <c r="B1251" s="2" t="s">
        <v>696</v>
      </c>
      <c r="C1251" s="4" t="s">
        <v>689</v>
      </c>
      <c r="D1251" s="3" t="s">
        <v>649</v>
      </c>
      <c r="E1251" s="6" t="s">
        <v>14</v>
      </c>
      <c r="F1251" s="6" t="s">
        <v>152</v>
      </c>
      <c r="G1251" s="6" t="s">
        <v>716</v>
      </c>
      <c r="H1251" s="15">
        <v>39000</v>
      </c>
      <c r="I1251">
        <v>15</v>
      </c>
      <c r="J1251">
        <v>5</v>
      </c>
      <c r="K1251" s="20">
        <f t="shared" si="144"/>
        <v>2925000</v>
      </c>
      <c r="L1251">
        <v>0</v>
      </c>
      <c r="M1251">
        <v>0</v>
      </c>
      <c r="N1251" s="21">
        <f t="shared" si="145"/>
        <v>0</v>
      </c>
      <c r="O1251">
        <v>0</v>
      </c>
      <c r="P1251">
        <v>0</v>
      </c>
      <c r="Q1251" s="21">
        <f t="shared" si="139"/>
        <v>0</v>
      </c>
      <c r="R1251">
        <v>0</v>
      </c>
      <c r="S1251">
        <v>0</v>
      </c>
      <c r="T1251" s="21">
        <f t="shared" si="140"/>
        <v>0</v>
      </c>
      <c r="U1251">
        <v>0</v>
      </c>
      <c r="V1251">
        <v>0</v>
      </c>
      <c r="W1251" s="21">
        <f t="shared" si="141"/>
        <v>0</v>
      </c>
      <c r="X1251">
        <v>0</v>
      </c>
      <c r="Y1251">
        <v>0</v>
      </c>
      <c r="Z1251" s="21">
        <f t="shared" si="142"/>
        <v>0</v>
      </c>
      <c r="AA1251">
        <v>0</v>
      </c>
      <c r="AB1251">
        <v>0</v>
      </c>
      <c r="AC1251" s="21">
        <f t="shared" si="143"/>
        <v>0</v>
      </c>
      <c r="AD1251">
        <v>0</v>
      </c>
      <c r="AE1251">
        <v>0</v>
      </c>
      <c r="AF1251" s="21">
        <f t="shared" si="146"/>
        <v>0</v>
      </c>
    </row>
    <row r="1252" spans="1:32" ht="15" customHeight="1" x14ac:dyDescent="0.3">
      <c r="A1252">
        <v>3</v>
      </c>
      <c r="B1252" s="2" t="s">
        <v>696</v>
      </c>
      <c r="C1252" s="4" t="s">
        <v>689</v>
      </c>
      <c r="D1252" s="3" t="s">
        <v>649</v>
      </c>
      <c r="E1252" s="6" t="s">
        <v>14</v>
      </c>
      <c r="F1252" s="6" t="s">
        <v>152</v>
      </c>
      <c r="G1252" s="6" t="s">
        <v>709</v>
      </c>
      <c r="H1252" s="23">
        <v>28000</v>
      </c>
      <c r="I1252">
        <v>15</v>
      </c>
      <c r="J1252">
        <v>5</v>
      </c>
      <c r="K1252" s="20">
        <f t="shared" si="144"/>
        <v>2100000</v>
      </c>
      <c r="L1252">
        <v>0</v>
      </c>
      <c r="M1252">
        <v>0</v>
      </c>
      <c r="N1252" s="21">
        <f t="shared" si="145"/>
        <v>0</v>
      </c>
      <c r="O1252">
        <v>0</v>
      </c>
      <c r="P1252">
        <v>0</v>
      </c>
      <c r="Q1252" s="21">
        <f t="shared" si="139"/>
        <v>0</v>
      </c>
      <c r="R1252">
        <v>0</v>
      </c>
      <c r="S1252">
        <v>0</v>
      </c>
      <c r="T1252" s="21">
        <f t="shared" si="140"/>
        <v>0</v>
      </c>
      <c r="U1252">
        <v>0</v>
      </c>
      <c r="V1252">
        <v>0</v>
      </c>
      <c r="W1252" s="21">
        <f t="shared" si="141"/>
        <v>0</v>
      </c>
      <c r="X1252">
        <v>0</v>
      </c>
      <c r="Y1252">
        <v>0</v>
      </c>
      <c r="Z1252" s="21">
        <f t="shared" si="142"/>
        <v>0</v>
      </c>
      <c r="AA1252">
        <v>0</v>
      </c>
      <c r="AB1252">
        <v>0</v>
      </c>
      <c r="AC1252" s="21">
        <f t="shared" si="143"/>
        <v>0</v>
      </c>
      <c r="AD1252">
        <v>0</v>
      </c>
      <c r="AE1252">
        <v>0</v>
      </c>
      <c r="AF1252" s="21">
        <f t="shared" si="146"/>
        <v>0</v>
      </c>
    </row>
    <row r="1253" spans="1:32" ht="15" customHeight="1" x14ac:dyDescent="0.3">
      <c r="A1253">
        <v>3</v>
      </c>
      <c r="B1253" s="2" t="s">
        <v>696</v>
      </c>
      <c r="C1253" s="4" t="s">
        <v>689</v>
      </c>
      <c r="D1253" s="3" t="s">
        <v>649</v>
      </c>
      <c r="E1253" s="6" t="s">
        <v>14</v>
      </c>
      <c r="F1253" s="6" t="s">
        <v>152</v>
      </c>
      <c r="G1253" s="6" t="s">
        <v>712</v>
      </c>
      <c r="H1253" s="23">
        <v>214.29</v>
      </c>
      <c r="I1253">
        <v>4000</v>
      </c>
      <c r="J1253">
        <v>1</v>
      </c>
      <c r="K1253" s="20">
        <f t="shared" si="144"/>
        <v>857160</v>
      </c>
      <c r="L1253">
        <v>0</v>
      </c>
      <c r="M1253">
        <v>0</v>
      </c>
      <c r="N1253" s="21">
        <f t="shared" si="145"/>
        <v>0</v>
      </c>
      <c r="O1253">
        <v>0</v>
      </c>
      <c r="P1253">
        <v>0</v>
      </c>
      <c r="Q1253" s="21">
        <f t="shared" si="139"/>
        <v>0</v>
      </c>
      <c r="R1253">
        <v>0</v>
      </c>
      <c r="S1253">
        <v>0</v>
      </c>
      <c r="T1253" s="21">
        <f t="shared" si="140"/>
        <v>0</v>
      </c>
      <c r="U1253">
        <v>0</v>
      </c>
      <c r="V1253">
        <v>0</v>
      </c>
      <c r="W1253" s="21">
        <f t="shared" si="141"/>
        <v>0</v>
      </c>
      <c r="X1253">
        <v>0</v>
      </c>
      <c r="Y1253">
        <v>0</v>
      </c>
      <c r="Z1253" s="21">
        <f t="shared" si="142"/>
        <v>0</v>
      </c>
      <c r="AA1253">
        <v>0</v>
      </c>
      <c r="AB1253">
        <v>0</v>
      </c>
      <c r="AC1253" s="21">
        <f t="shared" si="143"/>
        <v>0</v>
      </c>
      <c r="AD1253">
        <v>0</v>
      </c>
      <c r="AE1253">
        <v>0</v>
      </c>
      <c r="AF1253" s="21">
        <f t="shared" si="146"/>
        <v>0</v>
      </c>
    </row>
    <row r="1254" spans="1:32" ht="15" customHeight="1" x14ac:dyDescent="0.3">
      <c r="A1254">
        <v>3</v>
      </c>
      <c r="B1254" s="2" t="s">
        <v>696</v>
      </c>
      <c r="C1254" s="4" t="s">
        <v>689</v>
      </c>
      <c r="D1254" s="3" t="s">
        <v>649</v>
      </c>
      <c r="E1254" s="6" t="s">
        <v>14</v>
      </c>
      <c r="F1254" s="6" t="s">
        <v>153</v>
      </c>
      <c r="G1254" s="6" t="s">
        <v>716</v>
      </c>
      <c r="H1254" s="15">
        <v>26000</v>
      </c>
      <c r="I1254">
        <v>15</v>
      </c>
      <c r="J1254">
        <v>5</v>
      </c>
      <c r="K1254" s="20">
        <f t="shared" si="144"/>
        <v>1950000</v>
      </c>
      <c r="L1254">
        <v>0</v>
      </c>
      <c r="M1254">
        <v>0</v>
      </c>
      <c r="N1254" s="21">
        <f t="shared" si="145"/>
        <v>0</v>
      </c>
      <c r="O1254">
        <v>0</v>
      </c>
      <c r="P1254">
        <v>0</v>
      </c>
      <c r="Q1254" s="21">
        <f t="shared" si="139"/>
        <v>0</v>
      </c>
      <c r="R1254">
        <v>0</v>
      </c>
      <c r="S1254">
        <v>0</v>
      </c>
      <c r="T1254" s="21">
        <f t="shared" si="140"/>
        <v>0</v>
      </c>
      <c r="U1254">
        <v>0</v>
      </c>
      <c r="V1254">
        <v>0</v>
      </c>
      <c r="W1254" s="21">
        <f t="shared" si="141"/>
        <v>0</v>
      </c>
      <c r="X1254">
        <v>0</v>
      </c>
      <c r="Y1254">
        <v>0</v>
      </c>
      <c r="Z1254" s="21">
        <f t="shared" si="142"/>
        <v>0</v>
      </c>
      <c r="AA1254">
        <v>0</v>
      </c>
      <c r="AB1254">
        <v>0</v>
      </c>
      <c r="AC1254" s="21">
        <f t="shared" si="143"/>
        <v>0</v>
      </c>
      <c r="AD1254">
        <v>0</v>
      </c>
      <c r="AE1254">
        <v>0</v>
      </c>
      <c r="AF1254" s="21">
        <f t="shared" si="146"/>
        <v>0</v>
      </c>
    </row>
    <row r="1255" spans="1:32" ht="15" customHeight="1" x14ac:dyDescent="0.3">
      <c r="A1255">
        <v>3</v>
      </c>
      <c r="B1255" s="2" t="s">
        <v>696</v>
      </c>
      <c r="C1255" s="4" t="s">
        <v>689</v>
      </c>
      <c r="D1255" s="3" t="s">
        <v>649</v>
      </c>
      <c r="E1255" s="6" t="s">
        <v>14</v>
      </c>
      <c r="F1255" s="6" t="s">
        <v>153</v>
      </c>
      <c r="G1255" s="6" t="s">
        <v>709</v>
      </c>
      <c r="H1255" s="23">
        <v>28000</v>
      </c>
      <c r="I1255">
        <v>15</v>
      </c>
      <c r="J1255">
        <v>5</v>
      </c>
      <c r="K1255" s="20">
        <f t="shared" si="144"/>
        <v>2100000</v>
      </c>
      <c r="L1255">
        <v>0</v>
      </c>
      <c r="M1255">
        <v>0</v>
      </c>
      <c r="N1255" s="21">
        <f t="shared" si="145"/>
        <v>0</v>
      </c>
      <c r="O1255">
        <v>0</v>
      </c>
      <c r="P1255">
        <v>0</v>
      </c>
      <c r="Q1255" s="21">
        <f t="shared" si="139"/>
        <v>0</v>
      </c>
      <c r="R1255">
        <v>0</v>
      </c>
      <c r="S1255">
        <v>0</v>
      </c>
      <c r="T1255" s="21">
        <f t="shared" si="140"/>
        <v>0</v>
      </c>
      <c r="U1255">
        <v>0</v>
      </c>
      <c r="V1255">
        <v>0</v>
      </c>
      <c r="W1255" s="21">
        <f t="shared" si="141"/>
        <v>0</v>
      </c>
      <c r="X1255">
        <v>0</v>
      </c>
      <c r="Y1255">
        <v>0</v>
      </c>
      <c r="Z1255" s="21">
        <f t="shared" si="142"/>
        <v>0</v>
      </c>
      <c r="AA1255">
        <v>0</v>
      </c>
      <c r="AB1255">
        <v>0</v>
      </c>
      <c r="AC1255" s="21">
        <f t="shared" si="143"/>
        <v>0</v>
      </c>
      <c r="AD1255">
        <v>0</v>
      </c>
      <c r="AE1255">
        <v>0</v>
      </c>
      <c r="AF1255" s="21">
        <f t="shared" si="146"/>
        <v>0</v>
      </c>
    </row>
    <row r="1256" spans="1:32" ht="15" customHeight="1" x14ac:dyDescent="0.3">
      <c r="A1256">
        <v>3</v>
      </c>
      <c r="B1256" s="2" t="s">
        <v>696</v>
      </c>
      <c r="C1256" s="4" t="s">
        <v>689</v>
      </c>
      <c r="D1256" s="3" t="s">
        <v>649</v>
      </c>
      <c r="E1256" s="6" t="s">
        <v>14</v>
      </c>
      <c r="F1256" s="6" t="s">
        <v>153</v>
      </c>
      <c r="G1256" s="6" t="s">
        <v>712</v>
      </c>
      <c r="H1256" s="23">
        <v>214.29</v>
      </c>
      <c r="I1256">
        <v>4000</v>
      </c>
      <c r="J1256">
        <v>1</v>
      </c>
      <c r="K1256" s="20">
        <f t="shared" si="144"/>
        <v>857160</v>
      </c>
      <c r="L1256">
        <v>0</v>
      </c>
      <c r="M1256">
        <v>0</v>
      </c>
      <c r="N1256" s="21">
        <f t="shared" si="145"/>
        <v>0</v>
      </c>
      <c r="O1256">
        <v>0</v>
      </c>
      <c r="P1256">
        <v>0</v>
      </c>
      <c r="Q1256" s="21">
        <f t="shared" si="139"/>
        <v>0</v>
      </c>
      <c r="R1256">
        <v>0</v>
      </c>
      <c r="S1256">
        <v>0</v>
      </c>
      <c r="T1256" s="21">
        <f t="shared" si="140"/>
        <v>0</v>
      </c>
      <c r="U1256">
        <v>0</v>
      </c>
      <c r="V1256">
        <v>0</v>
      </c>
      <c r="W1256" s="21">
        <f t="shared" si="141"/>
        <v>0</v>
      </c>
      <c r="X1256">
        <v>0</v>
      </c>
      <c r="Y1256">
        <v>0</v>
      </c>
      <c r="Z1256" s="21">
        <f t="shared" si="142"/>
        <v>0</v>
      </c>
      <c r="AA1256">
        <v>0</v>
      </c>
      <c r="AB1256">
        <v>0</v>
      </c>
      <c r="AC1256" s="21">
        <f t="shared" si="143"/>
        <v>0</v>
      </c>
      <c r="AD1256">
        <v>0</v>
      </c>
      <c r="AE1256">
        <v>0</v>
      </c>
      <c r="AF1256" s="21">
        <f t="shared" si="146"/>
        <v>0</v>
      </c>
    </row>
    <row r="1257" spans="1:32" ht="15" customHeight="1" x14ac:dyDescent="0.3">
      <c r="A1257">
        <v>3</v>
      </c>
      <c r="B1257" s="2" t="s">
        <v>696</v>
      </c>
      <c r="C1257" s="4" t="s">
        <v>689</v>
      </c>
      <c r="D1257" s="3" t="s">
        <v>649</v>
      </c>
      <c r="E1257" s="6" t="s">
        <v>14</v>
      </c>
      <c r="F1257" s="6" t="s">
        <v>233</v>
      </c>
      <c r="G1257" s="6" t="s">
        <v>716</v>
      </c>
      <c r="H1257" s="15">
        <v>39000</v>
      </c>
      <c r="I1257">
        <v>15</v>
      </c>
      <c r="J1257">
        <v>1</v>
      </c>
      <c r="K1257" s="20">
        <f t="shared" si="144"/>
        <v>585000</v>
      </c>
      <c r="L1257">
        <v>0</v>
      </c>
      <c r="M1257">
        <v>0</v>
      </c>
      <c r="N1257" s="21">
        <f t="shared" si="145"/>
        <v>0</v>
      </c>
      <c r="O1257">
        <v>0</v>
      </c>
      <c r="P1257">
        <v>0</v>
      </c>
      <c r="Q1257" s="21">
        <f t="shared" si="139"/>
        <v>0</v>
      </c>
      <c r="R1257">
        <v>0</v>
      </c>
      <c r="S1257">
        <v>0</v>
      </c>
      <c r="T1257" s="21">
        <f t="shared" si="140"/>
        <v>0</v>
      </c>
      <c r="U1257">
        <v>0</v>
      </c>
      <c r="V1257">
        <v>0</v>
      </c>
      <c r="W1257" s="21">
        <f t="shared" si="141"/>
        <v>0</v>
      </c>
      <c r="X1257">
        <v>0</v>
      </c>
      <c r="Y1257">
        <v>0</v>
      </c>
      <c r="Z1257" s="21">
        <f t="shared" si="142"/>
        <v>0</v>
      </c>
      <c r="AA1257">
        <v>0</v>
      </c>
      <c r="AB1257">
        <v>0</v>
      </c>
      <c r="AC1257" s="21">
        <f t="shared" si="143"/>
        <v>0</v>
      </c>
      <c r="AD1257">
        <v>0</v>
      </c>
      <c r="AE1257">
        <v>0</v>
      </c>
      <c r="AF1257" s="21">
        <f t="shared" si="146"/>
        <v>0</v>
      </c>
    </row>
    <row r="1258" spans="1:32" ht="15" customHeight="1" x14ac:dyDescent="0.3">
      <c r="A1258">
        <v>3</v>
      </c>
      <c r="B1258" s="2" t="s">
        <v>696</v>
      </c>
      <c r="C1258" s="4" t="s">
        <v>689</v>
      </c>
      <c r="D1258" s="3" t="s">
        <v>649</v>
      </c>
      <c r="E1258" s="6" t="s">
        <v>14</v>
      </c>
      <c r="F1258" s="6" t="s">
        <v>233</v>
      </c>
      <c r="G1258" s="6" t="s">
        <v>709</v>
      </c>
      <c r="H1258" s="23">
        <v>28000</v>
      </c>
      <c r="I1258">
        <v>30</v>
      </c>
      <c r="J1258">
        <v>1</v>
      </c>
      <c r="K1258" s="20">
        <f t="shared" si="144"/>
        <v>840000</v>
      </c>
      <c r="L1258">
        <v>0</v>
      </c>
      <c r="M1258">
        <v>0</v>
      </c>
      <c r="N1258" s="21">
        <f t="shared" si="145"/>
        <v>0</v>
      </c>
      <c r="O1258">
        <v>0</v>
      </c>
      <c r="P1258">
        <v>0</v>
      </c>
      <c r="Q1258" s="21">
        <f t="shared" si="139"/>
        <v>0</v>
      </c>
      <c r="R1258">
        <v>0</v>
      </c>
      <c r="S1258">
        <v>0</v>
      </c>
      <c r="T1258" s="21">
        <f t="shared" si="140"/>
        <v>0</v>
      </c>
      <c r="U1258">
        <v>0</v>
      </c>
      <c r="V1258">
        <v>0</v>
      </c>
      <c r="W1258" s="21">
        <f t="shared" si="141"/>
        <v>0</v>
      </c>
      <c r="X1258">
        <v>0</v>
      </c>
      <c r="Y1258">
        <v>0</v>
      </c>
      <c r="Z1258" s="21">
        <f t="shared" si="142"/>
        <v>0</v>
      </c>
      <c r="AA1258">
        <v>0</v>
      </c>
      <c r="AB1258">
        <v>0</v>
      </c>
      <c r="AC1258" s="21">
        <f t="shared" si="143"/>
        <v>0</v>
      </c>
      <c r="AD1258">
        <v>0</v>
      </c>
      <c r="AE1258">
        <v>0</v>
      </c>
      <c r="AF1258" s="21">
        <f t="shared" si="146"/>
        <v>0</v>
      </c>
    </row>
    <row r="1259" spans="1:32" ht="15" customHeight="1" x14ac:dyDescent="0.3">
      <c r="A1259">
        <v>3</v>
      </c>
      <c r="B1259" s="2" t="s">
        <v>696</v>
      </c>
      <c r="C1259" s="4" t="s">
        <v>689</v>
      </c>
      <c r="D1259" s="3" t="s">
        <v>649</v>
      </c>
      <c r="E1259" s="6" t="s">
        <v>14</v>
      </c>
      <c r="F1259" s="6" t="s">
        <v>233</v>
      </c>
      <c r="G1259" s="6" t="s">
        <v>712</v>
      </c>
      <c r="H1259" s="23">
        <v>214.29</v>
      </c>
      <c r="I1259">
        <v>4000</v>
      </c>
      <c r="J1259">
        <v>1</v>
      </c>
      <c r="K1259" s="20">
        <f t="shared" si="144"/>
        <v>857160</v>
      </c>
      <c r="L1259">
        <v>0</v>
      </c>
      <c r="M1259">
        <v>0</v>
      </c>
      <c r="N1259" s="21">
        <f t="shared" si="145"/>
        <v>0</v>
      </c>
      <c r="O1259">
        <v>0</v>
      </c>
      <c r="P1259">
        <v>0</v>
      </c>
      <c r="Q1259" s="21">
        <f t="shared" si="139"/>
        <v>0</v>
      </c>
      <c r="R1259">
        <v>0</v>
      </c>
      <c r="S1259">
        <v>0</v>
      </c>
      <c r="T1259" s="21">
        <f t="shared" si="140"/>
        <v>0</v>
      </c>
      <c r="U1259">
        <v>0</v>
      </c>
      <c r="V1259">
        <v>0</v>
      </c>
      <c r="W1259" s="21">
        <f t="shared" si="141"/>
        <v>0</v>
      </c>
      <c r="X1259">
        <v>0</v>
      </c>
      <c r="Y1259">
        <v>0</v>
      </c>
      <c r="Z1259" s="21">
        <f t="shared" si="142"/>
        <v>0</v>
      </c>
      <c r="AA1259">
        <v>0</v>
      </c>
      <c r="AB1259">
        <v>0</v>
      </c>
      <c r="AC1259" s="21">
        <f t="shared" si="143"/>
        <v>0</v>
      </c>
      <c r="AD1259">
        <v>0</v>
      </c>
      <c r="AE1259">
        <v>0</v>
      </c>
      <c r="AF1259" s="21">
        <f t="shared" si="146"/>
        <v>0</v>
      </c>
    </row>
    <row r="1260" spans="1:32" ht="15" customHeight="1" x14ac:dyDescent="0.3">
      <c r="A1260">
        <v>3</v>
      </c>
      <c r="B1260" s="2" t="s">
        <v>696</v>
      </c>
      <c r="C1260" s="4" t="s">
        <v>689</v>
      </c>
      <c r="D1260" s="3" t="s">
        <v>649</v>
      </c>
      <c r="E1260" s="6" t="s">
        <v>14</v>
      </c>
      <c r="F1260" s="6" t="s">
        <v>171</v>
      </c>
      <c r="G1260" s="6" t="s">
        <v>711</v>
      </c>
      <c r="H1260" s="23">
        <v>70</v>
      </c>
      <c r="I1260">
        <v>50000</v>
      </c>
      <c r="J1260">
        <v>1</v>
      </c>
      <c r="K1260" s="20">
        <f t="shared" si="144"/>
        <v>3500000</v>
      </c>
      <c r="L1260">
        <v>0</v>
      </c>
      <c r="M1260">
        <v>0</v>
      </c>
      <c r="N1260" s="21">
        <f t="shared" si="145"/>
        <v>0</v>
      </c>
      <c r="O1260">
        <v>0</v>
      </c>
      <c r="P1260">
        <v>0</v>
      </c>
      <c r="Q1260" s="21">
        <f t="shared" si="139"/>
        <v>0</v>
      </c>
      <c r="R1260">
        <v>0</v>
      </c>
      <c r="S1260">
        <v>0</v>
      </c>
      <c r="T1260" s="21">
        <f t="shared" si="140"/>
        <v>0</v>
      </c>
      <c r="U1260">
        <v>0</v>
      </c>
      <c r="V1260">
        <v>0</v>
      </c>
      <c r="W1260" s="21">
        <f t="shared" si="141"/>
        <v>0</v>
      </c>
      <c r="X1260">
        <v>0</v>
      </c>
      <c r="Y1260">
        <v>0</v>
      </c>
      <c r="Z1260" s="21">
        <f t="shared" si="142"/>
        <v>0</v>
      </c>
      <c r="AA1260">
        <v>0</v>
      </c>
      <c r="AB1260">
        <v>0</v>
      </c>
      <c r="AC1260" s="21">
        <f t="shared" si="143"/>
        <v>0</v>
      </c>
      <c r="AD1260">
        <v>0</v>
      </c>
      <c r="AE1260">
        <v>0</v>
      </c>
      <c r="AF1260" s="21">
        <f t="shared" si="146"/>
        <v>0</v>
      </c>
    </row>
    <row r="1261" spans="1:32" ht="15" customHeight="1" x14ac:dyDescent="0.3">
      <c r="A1261">
        <v>3</v>
      </c>
      <c r="B1261" s="2" t="s">
        <v>696</v>
      </c>
      <c r="C1261" s="4" t="s">
        <v>689</v>
      </c>
      <c r="D1261" s="3" t="s">
        <v>649</v>
      </c>
      <c r="E1261" s="6" t="s">
        <v>14</v>
      </c>
      <c r="F1261" s="6" t="s">
        <v>171</v>
      </c>
      <c r="G1261" s="6" t="s">
        <v>717</v>
      </c>
      <c r="H1261" s="23">
        <v>104850</v>
      </c>
      <c r="I1261">
        <v>5</v>
      </c>
      <c r="J1261">
        <v>1</v>
      </c>
      <c r="K1261" s="20">
        <f t="shared" si="144"/>
        <v>524250</v>
      </c>
      <c r="L1261">
        <v>0</v>
      </c>
      <c r="M1261">
        <v>0</v>
      </c>
      <c r="N1261" s="21">
        <f t="shared" si="145"/>
        <v>0</v>
      </c>
      <c r="O1261">
        <v>0</v>
      </c>
      <c r="P1261">
        <v>0</v>
      </c>
      <c r="Q1261" s="21">
        <f t="shared" si="139"/>
        <v>0</v>
      </c>
      <c r="R1261">
        <v>0</v>
      </c>
      <c r="S1261">
        <v>0</v>
      </c>
      <c r="T1261" s="21">
        <f t="shared" si="140"/>
        <v>0</v>
      </c>
      <c r="U1261">
        <v>0</v>
      </c>
      <c r="V1261">
        <v>0</v>
      </c>
      <c r="W1261" s="21">
        <f t="shared" si="141"/>
        <v>0</v>
      </c>
      <c r="X1261">
        <v>0</v>
      </c>
      <c r="Y1261">
        <v>0</v>
      </c>
      <c r="Z1261" s="21">
        <f t="shared" si="142"/>
        <v>0</v>
      </c>
      <c r="AA1261">
        <v>0</v>
      </c>
      <c r="AB1261">
        <v>0</v>
      </c>
      <c r="AC1261" s="21">
        <f t="shared" si="143"/>
        <v>0</v>
      </c>
      <c r="AD1261">
        <v>0</v>
      </c>
      <c r="AE1261">
        <v>0</v>
      </c>
      <c r="AF1261" s="21">
        <f t="shared" si="146"/>
        <v>0</v>
      </c>
    </row>
    <row r="1262" spans="1:32" ht="15" customHeight="1" x14ac:dyDescent="0.3">
      <c r="A1262">
        <v>3</v>
      </c>
      <c r="B1262" s="2" t="s">
        <v>696</v>
      </c>
      <c r="C1262" s="4" t="s">
        <v>689</v>
      </c>
      <c r="D1262" s="3" t="s">
        <v>649</v>
      </c>
      <c r="E1262" s="6" t="s">
        <v>15</v>
      </c>
      <c r="F1262" s="6" t="s">
        <v>214</v>
      </c>
      <c r="G1262" s="6" t="s">
        <v>718</v>
      </c>
      <c r="H1262" s="23">
        <v>0</v>
      </c>
      <c r="I1262">
        <v>0</v>
      </c>
      <c r="J1262">
        <v>0</v>
      </c>
      <c r="K1262" s="20">
        <f t="shared" si="144"/>
        <v>0</v>
      </c>
      <c r="L1262">
        <v>0</v>
      </c>
      <c r="M1262">
        <v>0</v>
      </c>
      <c r="N1262" s="21">
        <f t="shared" si="145"/>
        <v>0</v>
      </c>
      <c r="O1262">
        <v>0</v>
      </c>
      <c r="P1262">
        <v>0</v>
      </c>
      <c r="Q1262" s="21">
        <f t="shared" si="139"/>
        <v>0</v>
      </c>
      <c r="R1262">
        <v>0</v>
      </c>
      <c r="S1262">
        <v>0</v>
      </c>
      <c r="T1262" s="21">
        <f t="shared" si="140"/>
        <v>0</v>
      </c>
      <c r="U1262">
        <v>0</v>
      </c>
      <c r="V1262">
        <v>0</v>
      </c>
      <c r="W1262" s="21">
        <f t="shared" si="141"/>
        <v>0</v>
      </c>
      <c r="X1262">
        <v>0</v>
      </c>
      <c r="Y1262">
        <v>0</v>
      </c>
      <c r="Z1262" s="21">
        <f t="shared" si="142"/>
        <v>0</v>
      </c>
      <c r="AA1262">
        <v>0</v>
      </c>
      <c r="AB1262">
        <v>0</v>
      </c>
      <c r="AC1262" s="21">
        <f t="shared" si="143"/>
        <v>0</v>
      </c>
      <c r="AD1262">
        <v>0</v>
      </c>
      <c r="AE1262">
        <v>0</v>
      </c>
      <c r="AF1262" s="21">
        <f t="shared" si="146"/>
        <v>0</v>
      </c>
    </row>
    <row r="1263" spans="1:32" ht="15" customHeight="1" x14ac:dyDescent="0.3">
      <c r="A1263">
        <v>3</v>
      </c>
      <c r="B1263" s="2" t="s">
        <v>696</v>
      </c>
      <c r="C1263" s="4" t="s">
        <v>689</v>
      </c>
      <c r="D1263" s="3" t="s">
        <v>649</v>
      </c>
      <c r="E1263" s="6" t="s">
        <v>15</v>
      </c>
      <c r="F1263" s="6" t="s">
        <v>234</v>
      </c>
      <c r="G1263" s="6" t="s">
        <v>718</v>
      </c>
      <c r="H1263" s="23">
        <v>0</v>
      </c>
      <c r="I1263">
        <v>0</v>
      </c>
      <c r="J1263">
        <v>0</v>
      </c>
      <c r="K1263" s="20">
        <f t="shared" si="144"/>
        <v>0</v>
      </c>
      <c r="L1263">
        <v>0</v>
      </c>
      <c r="M1263">
        <v>0</v>
      </c>
      <c r="N1263" s="21">
        <f t="shared" si="145"/>
        <v>0</v>
      </c>
      <c r="O1263">
        <v>0</v>
      </c>
      <c r="P1263">
        <v>0</v>
      </c>
      <c r="Q1263" s="21">
        <f t="shared" si="139"/>
        <v>0</v>
      </c>
      <c r="R1263">
        <v>0</v>
      </c>
      <c r="S1263">
        <v>0</v>
      </c>
      <c r="T1263" s="21">
        <f t="shared" si="140"/>
        <v>0</v>
      </c>
      <c r="U1263">
        <v>0</v>
      </c>
      <c r="V1263">
        <v>0</v>
      </c>
      <c r="W1263" s="21">
        <f t="shared" si="141"/>
        <v>0</v>
      </c>
      <c r="X1263">
        <v>0</v>
      </c>
      <c r="Y1263">
        <v>0</v>
      </c>
      <c r="Z1263" s="21">
        <f t="shared" si="142"/>
        <v>0</v>
      </c>
      <c r="AA1263">
        <v>0</v>
      </c>
      <c r="AB1263">
        <v>0</v>
      </c>
      <c r="AC1263" s="21">
        <f t="shared" si="143"/>
        <v>0</v>
      </c>
      <c r="AD1263">
        <v>0</v>
      </c>
      <c r="AE1263">
        <v>0</v>
      </c>
      <c r="AF1263" s="21">
        <f t="shared" si="146"/>
        <v>0</v>
      </c>
    </row>
    <row r="1264" spans="1:32" ht="15" customHeight="1" x14ac:dyDescent="0.3">
      <c r="A1264">
        <v>3</v>
      </c>
      <c r="B1264" s="2" t="s">
        <v>696</v>
      </c>
      <c r="C1264" s="4" t="s">
        <v>689</v>
      </c>
      <c r="D1264" s="3" t="s">
        <v>649</v>
      </c>
      <c r="E1264" s="6" t="s">
        <v>15</v>
      </c>
      <c r="F1264" s="6" t="s">
        <v>149</v>
      </c>
      <c r="G1264" s="6" t="s">
        <v>707</v>
      </c>
      <c r="H1264" s="23">
        <v>391991.03749999998</v>
      </c>
      <c r="I1264">
        <v>1</v>
      </c>
      <c r="J1264">
        <v>4</v>
      </c>
      <c r="K1264" s="20">
        <f t="shared" si="144"/>
        <v>1567964.15</v>
      </c>
      <c r="L1264">
        <v>0</v>
      </c>
      <c r="M1264">
        <v>0</v>
      </c>
      <c r="N1264" s="21">
        <f t="shared" si="145"/>
        <v>0</v>
      </c>
      <c r="O1264">
        <v>0</v>
      </c>
      <c r="P1264">
        <v>0</v>
      </c>
      <c r="Q1264" s="21">
        <f t="shared" si="139"/>
        <v>0</v>
      </c>
      <c r="R1264">
        <v>0</v>
      </c>
      <c r="S1264">
        <v>0</v>
      </c>
      <c r="T1264" s="21">
        <f t="shared" si="140"/>
        <v>0</v>
      </c>
      <c r="U1264">
        <v>0</v>
      </c>
      <c r="V1264">
        <v>0</v>
      </c>
      <c r="W1264" s="21">
        <f t="shared" si="141"/>
        <v>0</v>
      </c>
      <c r="X1264">
        <v>0</v>
      </c>
      <c r="Y1264">
        <v>0</v>
      </c>
      <c r="Z1264" s="21">
        <f t="shared" si="142"/>
        <v>0</v>
      </c>
      <c r="AA1264">
        <v>0</v>
      </c>
      <c r="AB1264">
        <v>0</v>
      </c>
      <c r="AC1264" s="21">
        <f t="shared" si="143"/>
        <v>0</v>
      </c>
      <c r="AD1264">
        <v>0</v>
      </c>
      <c r="AE1264">
        <v>0</v>
      </c>
      <c r="AF1264" s="21">
        <f t="shared" si="146"/>
        <v>0</v>
      </c>
    </row>
    <row r="1265" spans="1:32" ht="15" customHeight="1" x14ac:dyDescent="0.3">
      <c r="A1265">
        <v>3</v>
      </c>
      <c r="B1265" s="2" t="s">
        <v>696</v>
      </c>
      <c r="C1265" s="4" t="s">
        <v>689</v>
      </c>
      <c r="D1265" s="3" t="s">
        <v>649</v>
      </c>
      <c r="E1265" s="6" t="s">
        <v>15</v>
      </c>
      <c r="F1265" s="6" t="s">
        <v>149</v>
      </c>
      <c r="G1265" s="6" t="s">
        <v>708</v>
      </c>
      <c r="H1265" s="23">
        <v>468000</v>
      </c>
      <c r="I1265">
        <v>1</v>
      </c>
      <c r="J1265">
        <v>40</v>
      </c>
      <c r="K1265" s="20">
        <f t="shared" si="144"/>
        <v>18720000</v>
      </c>
      <c r="L1265">
        <v>0</v>
      </c>
      <c r="M1265">
        <v>0</v>
      </c>
      <c r="N1265" s="21">
        <f t="shared" si="145"/>
        <v>0</v>
      </c>
      <c r="O1265">
        <v>0</v>
      </c>
      <c r="P1265">
        <v>0</v>
      </c>
      <c r="Q1265" s="21">
        <f t="shared" si="139"/>
        <v>0</v>
      </c>
      <c r="R1265">
        <v>0</v>
      </c>
      <c r="S1265">
        <v>0</v>
      </c>
      <c r="T1265" s="21">
        <f t="shared" si="140"/>
        <v>0</v>
      </c>
      <c r="U1265">
        <v>0</v>
      </c>
      <c r="V1265">
        <v>0</v>
      </c>
      <c r="W1265" s="21">
        <f t="shared" si="141"/>
        <v>0</v>
      </c>
      <c r="X1265">
        <v>0</v>
      </c>
      <c r="Y1265">
        <v>0</v>
      </c>
      <c r="Z1265" s="21">
        <f t="shared" si="142"/>
        <v>0</v>
      </c>
      <c r="AA1265">
        <v>0</v>
      </c>
      <c r="AB1265">
        <v>0</v>
      </c>
      <c r="AC1265" s="21">
        <f t="shared" si="143"/>
        <v>0</v>
      </c>
      <c r="AD1265">
        <v>0</v>
      </c>
      <c r="AE1265">
        <v>0</v>
      </c>
      <c r="AF1265" s="21">
        <f t="shared" si="146"/>
        <v>0</v>
      </c>
    </row>
    <row r="1266" spans="1:32" ht="15" customHeight="1" x14ac:dyDescent="0.3">
      <c r="A1266">
        <v>3</v>
      </c>
      <c r="B1266" s="2" t="s">
        <v>696</v>
      </c>
      <c r="C1266" s="4" t="s">
        <v>689</v>
      </c>
      <c r="D1266" s="3" t="s">
        <v>649</v>
      </c>
      <c r="E1266" s="6" t="s">
        <v>15</v>
      </c>
      <c r="F1266" s="6" t="s">
        <v>235</v>
      </c>
      <c r="G1266" s="6" t="s">
        <v>716</v>
      </c>
      <c r="H1266" s="15">
        <v>39000</v>
      </c>
      <c r="I1266">
        <v>50</v>
      </c>
      <c r="J1266">
        <v>15</v>
      </c>
      <c r="K1266" s="20">
        <f t="shared" si="144"/>
        <v>29250000</v>
      </c>
      <c r="L1266">
        <v>0</v>
      </c>
      <c r="M1266">
        <v>0</v>
      </c>
      <c r="N1266" s="21">
        <f t="shared" si="145"/>
        <v>0</v>
      </c>
      <c r="O1266">
        <v>0</v>
      </c>
      <c r="P1266">
        <v>0</v>
      </c>
      <c r="Q1266" s="21">
        <f t="shared" si="139"/>
        <v>0</v>
      </c>
      <c r="R1266">
        <v>0</v>
      </c>
      <c r="S1266">
        <v>0</v>
      </c>
      <c r="T1266" s="21">
        <f t="shared" si="140"/>
        <v>0</v>
      </c>
      <c r="U1266">
        <v>0</v>
      </c>
      <c r="V1266">
        <v>0</v>
      </c>
      <c r="W1266" s="21">
        <f t="shared" si="141"/>
        <v>0</v>
      </c>
      <c r="X1266">
        <v>0</v>
      </c>
      <c r="Y1266">
        <v>0</v>
      </c>
      <c r="Z1266" s="21">
        <f t="shared" si="142"/>
        <v>0</v>
      </c>
      <c r="AA1266">
        <v>0</v>
      </c>
      <c r="AB1266">
        <v>0</v>
      </c>
      <c r="AC1266" s="21">
        <f t="shared" si="143"/>
        <v>0</v>
      </c>
      <c r="AD1266">
        <v>0</v>
      </c>
      <c r="AE1266">
        <v>0</v>
      </c>
      <c r="AF1266" s="21">
        <f t="shared" si="146"/>
        <v>0</v>
      </c>
    </row>
    <row r="1267" spans="1:32" ht="15" customHeight="1" x14ac:dyDescent="0.3">
      <c r="A1267">
        <v>3</v>
      </c>
      <c r="B1267" s="2" t="s">
        <v>696</v>
      </c>
      <c r="C1267" s="4" t="s">
        <v>689</v>
      </c>
      <c r="D1267" s="3" t="s">
        <v>649</v>
      </c>
      <c r="E1267" s="6" t="s">
        <v>15</v>
      </c>
      <c r="F1267" s="6" t="s">
        <v>235</v>
      </c>
      <c r="G1267" s="6" t="s">
        <v>709</v>
      </c>
      <c r="H1267" s="23">
        <v>28000</v>
      </c>
      <c r="I1267">
        <v>50</v>
      </c>
      <c r="J1267">
        <v>15</v>
      </c>
      <c r="K1267" s="20">
        <f t="shared" si="144"/>
        <v>21000000</v>
      </c>
      <c r="L1267">
        <v>0</v>
      </c>
      <c r="M1267">
        <v>0</v>
      </c>
      <c r="N1267" s="21">
        <f t="shared" si="145"/>
        <v>0</v>
      </c>
      <c r="O1267">
        <v>0</v>
      </c>
      <c r="P1267">
        <v>0</v>
      </c>
      <c r="Q1267" s="21">
        <f t="shared" si="139"/>
        <v>0</v>
      </c>
      <c r="R1267">
        <v>0</v>
      </c>
      <c r="S1267">
        <v>0</v>
      </c>
      <c r="T1267" s="21">
        <f t="shared" si="140"/>
        <v>0</v>
      </c>
      <c r="U1267">
        <v>0</v>
      </c>
      <c r="V1267">
        <v>0</v>
      </c>
      <c r="W1267" s="21">
        <f t="shared" si="141"/>
        <v>0</v>
      </c>
      <c r="X1267">
        <v>0</v>
      </c>
      <c r="Y1267">
        <v>0</v>
      </c>
      <c r="Z1267" s="21">
        <f t="shared" si="142"/>
        <v>0</v>
      </c>
      <c r="AA1267">
        <v>0</v>
      </c>
      <c r="AB1267">
        <v>0</v>
      </c>
      <c r="AC1267" s="21">
        <f t="shared" si="143"/>
        <v>0</v>
      </c>
      <c r="AD1267">
        <v>0</v>
      </c>
      <c r="AE1267">
        <v>0</v>
      </c>
      <c r="AF1267" s="21">
        <f t="shared" si="146"/>
        <v>0</v>
      </c>
    </row>
    <row r="1268" spans="1:32" ht="15" customHeight="1" x14ac:dyDescent="0.3">
      <c r="A1268">
        <v>3</v>
      </c>
      <c r="B1268" s="2" t="s">
        <v>696</v>
      </c>
      <c r="C1268" s="4" t="s">
        <v>689</v>
      </c>
      <c r="D1268" s="3" t="s">
        <v>649</v>
      </c>
      <c r="E1268" s="6" t="s">
        <v>15</v>
      </c>
      <c r="F1268" s="6" t="s">
        <v>235</v>
      </c>
      <c r="G1268" s="6" t="s">
        <v>712</v>
      </c>
      <c r="H1268" s="23">
        <v>214.29</v>
      </c>
      <c r="I1268">
        <v>20000</v>
      </c>
      <c r="J1268">
        <v>1</v>
      </c>
      <c r="K1268" s="20">
        <f t="shared" si="144"/>
        <v>4285800</v>
      </c>
      <c r="L1268">
        <v>0</v>
      </c>
      <c r="M1268">
        <v>0</v>
      </c>
      <c r="N1268" s="21">
        <f t="shared" si="145"/>
        <v>0</v>
      </c>
      <c r="O1268">
        <v>0</v>
      </c>
      <c r="P1268">
        <v>0</v>
      </c>
      <c r="Q1268" s="21">
        <f t="shared" si="139"/>
        <v>0</v>
      </c>
      <c r="R1268">
        <v>0</v>
      </c>
      <c r="S1268">
        <v>0</v>
      </c>
      <c r="T1268" s="21">
        <f t="shared" si="140"/>
        <v>0</v>
      </c>
      <c r="U1268">
        <v>0</v>
      </c>
      <c r="V1268">
        <v>0</v>
      </c>
      <c r="W1268" s="21">
        <f t="shared" si="141"/>
        <v>0</v>
      </c>
      <c r="X1268">
        <v>0</v>
      </c>
      <c r="Y1268">
        <v>0</v>
      </c>
      <c r="Z1268" s="21">
        <f t="shared" si="142"/>
        <v>0</v>
      </c>
      <c r="AA1268">
        <v>0</v>
      </c>
      <c r="AB1268">
        <v>0</v>
      </c>
      <c r="AC1268" s="21">
        <f t="shared" si="143"/>
        <v>0</v>
      </c>
      <c r="AD1268">
        <v>0</v>
      </c>
      <c r="AE1268">
        <v>0</v>
      </c>
      <c r="AF1268" s="21">
        <f t="shared" si="146"/>
        <v>0</v>
      </c>
    </row>
    <row r="1269" spans="1:32" ht="15" customHeight="1" x14ac:dyDescent="0.3">
      <c r="A1269">
        <v>3</v>
      </c>
      <c r="B1269" s="2" t="s">
        <v>696</v>
      </c>
      <c r="C1269" s="4" t="s">
        <v>689</v>
      </c>
      <c r="D1269" s="3" t="s">
        <v>649</v>
      </c>
      <c r="E1269" s="6" t="s">
        <v>15</v>
      </c>
      <c r="F1269" s="6" t="s">
        <v>236</v>
      </c>
      <c r="G1269" s="6" t="s">
        <v>716</v>
      </c>
      <c r="H1269" s="15">
        <v>39000</v>
      </c>
      <c r="I1269">
        <v>25</v>
      </c>
      <c r="J1269">
        <v>6</v>
      </c>
      <c r="K1269" s="20">
        <f t="shared" si="144"/>
        <v>5850000</v>
      </c>
      <c r="L1269">
        <v>0</v>
      </c>
      <c r="M1269">
        <v>0</v>
      </c>
      <c r="N1269" s="21">
        <f t="shared" si="145"/>
        <v>0</v>
      </c>
      <c r="O1269">
        <v>0</v>
      </c>
      <c r="P1269">
        <v>0</v>
      </c>
      <c r="Q1269" s="21">
        <f t="shared" si="139"/>
        <v>0</v>
      </c>
      <c r="R1269">
        <v>0</v>
      </c>
      <c r="S1269">
        <v>0</v>
      </c>
      <c r="T1269" s="21">
        <f t="shared" si="140"/>
        <v>0</v>
      </c>
      <c r="U1269">
        <v>0</v>
      </c>
      <c r="V1269">
        <v>0</v>
      </c>
      <c r="W1269" s="21">
        <f t="shared" si="141"/>
        <v>0</v>
      </c>
      <c r="X1269">
        <v>0</v>
      </c>
      <c r="Y1269">
        <v>0</v>
      </c>
      <c r="Z1269" s="21">
        <f t="shared" si="142"/>
        <v>0</v>
      </c>
      <c r="AA1269">
        <v>0</v>
      </c>
      <c r="AB1269">
        <v>0</v>
      </c>
      <c r="AC1269" s="21">
        <f t="shared" si="143"/>
        <v>0</v>
      </c>
      <c r="AD1269">
        <v>0</v>
      </c>
      <c r="AE1269">
        <v>0</v>
      </c>
      <c r="AF1269" s="21">
        <f t="shared" si="146"/>
        <v>0</v>
      </c>
    </row>
    <row r="1270" spans="1:32" ht="15" customHeight="1" x14ac:dyDescent="0.3">
      <c r="A1270">
        <v>3</v>
      </c>
      <c r="B1270" s="2" t="s">
        <v>696</v>
      </c>
      <c r="C1270" s="4" t="s">
        <v>689</v>
      </c>
      <c r="D1270" s="3" t="s">
        <v>649</v>
      </c>
      <c r="E1270" s="6" t="s">
        <v>15</v>
      </c>
      <c r="F1270" s="6" t="s">
        <v>236</v>
      </c>
      <c r="G1270" s="6" t="s">
        <v>709</v>
      </c>
      <c r="H1270" s="23">
        <v>28000</v>
      </c>
      <c r="I1270">
        <v>25</v>
      </c>
      <c r="J1270">
        <v>6</v>
      </c>
      <c r="K1270" s="20">
        <f t="shared" si="144"/>
        <v>4200000</v>
      </c>
      <c r="L1270">
        <v>0</v>
      </c>
      <c r="M1270">
        <v>0</v>
      </c>
      <c r="N1270" s="21">
        <f t="shared" si="145"/>
        <v>0</v>
      </c>
      <c r="O1270">
        <v>0</v>
      </c>
      <c r="P1270">
        <v>0</v>
      </c>
      <c r="Q1270" s="21">
        <f t="shared" si="139"/>
        <v>0</v>
      </c>
      <c r="R1270">
        <v>0</v>
      </c>
      <c r="S1270">
        <v>0</v>
      </c>
      <c r="T1270" s="21">
        <f t="shared" si="140"/>
        <v>0</v>
      </c>
      <c r="U1270">
        <v>0</v>
      </c>
      <c r="V1270">
        <v>0</v>
      </c>
      <c r="W1270" s="21">
        <f t="shared" si="141"/>
        <v>0</v>
      </c>
      <c r="X1270">
        <v>0</v>
      </c>
      <c r="Y1270">
        <v>0</v>
      </c>
      <c r="Z1270" s="21">
        <f t="shared" si="142"/>
        <v>0</v>
      </c>
      <c r="AA1270">
        <v>0</v>
      </c>
      <c r="AB1270">
        <v>0</v>
      </c>
      <c r="AC1270" s="21">
        <f t="shared" si="143"/>
        <v>0</v>
      </c>
      <c r="AD1270">
        <v>0</v>
      </c>
      <c r="AE1270">
        <v>0</v>
      </c>
      <c r="AF1270" s="21">
        <f t="shared" si="146"/>
        <v>0</v>
      </c>
    </row>
    <row r="1271" spans="1:32" ht="15" customHeight="1" x14ac:dyDescent="0.3">
      <c r="A1271">
        <v>3</v>
      </c>
      <c r="B1271" s="2" t="s">
        <v>696</v>
      </c>
      <c r="C1271" s="4" t="s">
        <v>689</v>
      </c>
      <c r="D1271" s="3" t="s">
        <v>649</v>
      </c>
      <c r="E1271" s="6" t="s">
        <v>15</v>
      </c>
      <c r="F1271" s="6" t="s">
        <v>236</v>
      </c>
      <c r="G1271" s="6" t="s">
        <v>712</v>
      </c>
      <c r="H1271" s="23">
        <v>214.29</v>
      </c>
      <c r="I1271">
        <v>8000</v>
      </c>
      <c r="J1271">
        <v>1</v>
      </c>
      <c r="K1271" s="20">
        <f t="shared" si="144"/>
        <v>1714320</v>
      </c>
      <c r="L1271">
        <v>0</v>
      </c>
      <c r="M1271">
        <v>0</v>
      </c>
      <c r="N1271" s="21">
        <f t="shared" si="145"/>
        <v>0</v>
      </c>
      <c r="O1271">
        <v>0</v>
      </c>
      <c r="P1271">
        <v>0</v>
      </c>
      <c r="Q1271" s="21">
        <f t="shared" si="139"/>
        <v>0</v>
      </c>
      <c r="R1271">
        <v>0</v>
      </c>
      <c r="S1271">
        <v>0</v>
      </c>
      <c r="T1271" s="21">
        <f t="shared" si="140"/>
        <v>0</v>
      </c>
      <c r="U1271">
        <v>0</v>
      </c>
      <c r="V1271">
        <v>0</v>
      </c>
      <c r="W1271" s="21">
        <f t="shared" si="141"/>
        <v>0</v>
      </c>
      <c r="X1271">
        <v>0</v>
      </c>
      <c r="Y1271">
        <v>0</v>
      </c>
      <c r="Z1271" s="21">
        <f t="shared" si="142"/>
        <v>0</v>
      </c>
      <c r="AA1271">
        <v>0</v>
      </c>
      <c r="AB1271">
        <v>0</v>
      </c>
      <c r="AC1271" s="21">
        <f t="shared" si="143"/>
        <v>0</v>
      </c>
      <c r="AD1271">
        <v>0</v>
      </c>
      <c r="AE1271">
        <v>0</v>
      </c>
      <c r="AF1271" s="21">
        <f t="shared" si="146"/>
        <v>0</v>
      </c>
    </row>
    <row r="1272" spans="1:32" ht="15" customHeight="1" x14ac:dyDescent="0.3">
      <c r="A1272">
        <v>3</v>
      </c>
      <c r="B1272" s="2" t="s">
        <v>696</v>
      </c>
      <c r="C1272" s="4" t="s">
        <v>689</v>
      </c>
      <c r="D1272" s="3" t="s">
        <v>649</v>
      </c>
      <c r="E1272" s="6" t="s">
        <v>15</v>
      </c>
      <c r="F1272" s="6" t="s">
        <v>237</v>
      </c>
      <c r="G1272" s="6" t="s">
        <v>709</v>
      </c>
      <c r="H1272" s="23">
        <v>28000</v>
      </c>
      <c r="I1272">
        <v>30</v>
      </c>
      <c r="J1272">
        <v>1</v>
      </c>
      <c r="K1272" s="20">
        <f t="shared" si="144"/>
        <v>840000</v>
      </c>
      <c r="L1272">
        <v>0</v>
      </c>
      <c r="M1272">
        <v>0</v>
      </c>
      <c r="N1272" s="21">
        <f t="shared" si="145"/>
        <v>0</v>
      </c>
      <c r="O1272">
        <v>0</v>
      </c>
      <c r="P1272">
        <v>0</v>
      </c>
      <c r="Q1272" s="21">
        <f t="shared" si="139"/>
        <v>0</v>
      </c>
      <c r="R1272">
        <v>0</v>
      </c>
      <c r="S1272">
        <v>0</v>
      </c>
      <c r="T1272" s="21">
        <f t="shared" si="140"/>
        <v>0</v>
      </c>
      <c r="U1272">
        <v>0</v>
      </c>
      <c r="V1272">
        <v>0</v>
      </c>
      <c r="W1272" s="21">
        <f t="shared" si="141"/>
        <v>0</v>
      </c>
      <c r="X1272">
        <v>0</v>
      </c>
      <c r="Y1272">
        <v>0</v>
      </c>
      <c r="Z1272" s="21">
        <f t="shared" si="142"/>
        <v>0</v>
      </c>
      <c r="AA1272">
        <v>0</v>
      </c>
      <c r="AB1272">
        <v>0</v>
      </c>
      <c r="AC1272" s="21">
        <f t="shared" si="143"/>
        <v>0</v>
      </c>
      <c r="AD1272">
        <v>0</v>
      </c>
      <c r="AE1272">
        <v>0</v>
      </c>
      <c r="AF1272" s="21">
        <f t="shared" si="146"/>
        <v>0</v>
      </c>
    </row>
    <row r="1273" spans="1:32" ht="15" customHeight="1" x14ac:dyDescent="0.3">
      <c r="A1273">
        <v>3</v>
      </c>
      <c r="B1273" s="2" t="s">
        <v>696</v>
      </c>
      <c r="C1273" s="4" t="s">
        <v>689</v>
      </c>
      <c r="D1273" s="3" t="s">
        <v>649</v>
      </c>
      <c r="E1273" s="6" t="s">
        <v>15</v>
      </c>
      <c r="F1273" s="6" t="s">
        <v>238</v>
      </c>
      <c r="G1273" s="6" t="s">
        <v>718</v>
      </c>
      <c r="H1273" s="23">
        <v>0</v>
      </c>
      <c r="K1273" s="20">
        <f t="shared" si="144"/>
        <v>0</v>
      </c>
      <c r="L1273">
        <v>0</v>
      </c>
      <c r="M1273">
        <v>0</v>
      </c>
      <c r="N1273" s="21">
        <f t="shared" si="145"/>
        <v>0</v>
      </c>
      <c r="O1273">
        <v>0</v>
      </c>
      <c r="P1273">
        <v>0</v>
      </c>
      <c r="Q1273" s="21">
        <f t="shared" si="139"/>
        <v>0</v>
      </c>
      <c r="R1273">
        <v>0</v>
      </c>
      <c r="S1273">
        <v>0</v>
      </c>
      <c r="T1273" s="21">
        <f t="shared" si="140"/>
        <v>0</v>
      </c>
      <c r="U1273">
        <v>0</v>
      </c>
      <c r="V1273">
        <v>0</v>
      </c>
      <c r="W1273" s="21">
        <f t="shared" si="141"/>
        <v>0</v>
      </c>
      <c r="X1273">
        <v>0</v>
      </c>
      <c r="Y1273">
        <v>0</v>
      </c>
      <c r="Z1273" s="21">
        <f t="shared" si="142"/>
        <v>0</v>
      </c>
      <c r="AA1273">
        <v>0</v>
      </c>
      <c r="AB1273">
        <v>0</v>
      </c>
      <c r="AC1273" s="21">
        <f t="shared" si="143"/>
        <v>0</v>
      </c>
      <c r="AD1273">
        <v>0</v>
      </c>
      <c r="AE1273">
        <v>0</v>
      </c>
      <c r="AF1273" s="21">
        <f t="shared" si="146"/>
        <v>0</v>
      </c>
    </row>
    <row r="1274" spans="1:32" ht="15" customHeight="1" x14ac:dyDescent="0.3">
      <c r="A1274">
        <v>3</v>
      </c>
      <c r="B1274" s="2" t="s">
        <v>696</v>
      </c>
      <c r="C1274" s="4" t="s">
        <v>689</v>
      </c>
      <c r="D1274" s="3" t="s">
        <v>649</v>
      </c>
      <c r="E1274" s="6" t="s">
        <v>15</v>
      </c>
      <c r="F1274" s="6" t="s">
        <v>183</v>
      </c>
      <c r="G1274" s="6" t="s">
        <v>716</v>
      </c>
      <c r="H1274" s="15">
        <v>39000</v>
      </c>
      <c r="I1274">
        <v>300</v>
      </c>
      <c r="J1274">
        <v>10</v>
      </c>
      <c r="K1274" s="20">
        <f t="shared" si="144"/>
        <v>117000000</v>
      </c>
      <c r="L1274">
        <v>0</v>
      </c>
      <c r="M1274">
        <v>0</v>
      </c>
      <c r="N1274" s="21">
        <f t="shared" si="145"/>
        <v>0</v>
      </c>
      <c r="O1274">
        <v>0</v>
      </c>
      <c r="P1274">
        <v>0</v>
      </c>
      <c r="Q1274" s="21">
        <f t="shared" si="139"/>
        <v>0</v>
      </c>
      <c r="R1274">
        <v>0</v>
      </c>
      <c r="S1274">
        <v>0</v>
      </c>
      <c r="T1274" s="21">
        <f t="shared" si="140"/>
        <v>0</v>
      </c>
      <c r="U1274">
        <v>0</v>
      </c>
      <c r="V1274">
        <v>0</v>
      </c>
      <c r="W1274" s="21">
        <f t="shared" si="141"/>
        <v>0</v>
      </c>
      <c r="X1274">
        <v>0</v>
      </c>
      <c r="Y1274">
        <v>0</v>
      </c>
      <c r="Z1274" s="21">
        <f t="shared" si="142"/>
        <v>0</v>
      </c>
      <c r="AA1274">
        <v>0</v>
      </c>
      <c r="AB1274">
        <v>0</v>
      </c>
      <c r="AC1274" s="21">
        <f t="shared" si="143"/>
        <v>0</v>
      </c>
      <c r="AD1274">
        <v>0</v>
      </c>
      <c r="AE1274">
        <v>0</v>
      </c>
      <c r="AF1274" s="21">
        <f t="shared" si="146"/>
        <v>0</v>
      </c>
    </row>
    <row r="1275" spans="1:32" ht="15" customHeight="1" x14ac:dyDescent="0.3">
      <c r="A1275">
        <v>3</v>
      </c>
      <c r="B1275" s="2" t="s">
        <v>696</v>
      </c>
      <c r="C1275" s="4" t="s">
        <v>689</v>
      </c>
      <c r="D1275" s="3" t="s">
        <v>649</v>
      </c>
      <c r="E1275" s="6" t="s">
        <v>15</v>
      </c>
      <c r="F1275" s="6" t="s">
        <v>183</v>
      </c>
      <c r="G1275" s="6" t="s">
        <v>709</v>
      </c>
      <c r="H1275" s="23">
        <v>28000</v>
      </c>
      <c r="I1275">
        <v>300</v>
      </c>
      <c r="J1275">
        <v>10</v>
      </c>
      <c r="K1275" s="20">
        <f t="shared" si="144"/>
        <v>84000000</v>
      </c>
      <c r="L1275">
        <v>0</v>
      </c>
      <c r="M1275">
        <v>0</v>
      </c>
      <c r="N1275" s="21">
        <f t="shared" si="145"/>
        <v>0</v>
      </c>
      <c r="O1275">
        <v>0</v>
      </c>
      <c r="P1275">
        <v>0</v>
      </c>
      <c r="Q1275" s="21">
        <f t="shared" si="139"/>
        <v>0</v>
      </c>
      <c r="R1275">
        <v>0</v>
      </c>
      <c r="S1275">
        <v>0</v>
      </c>
      <c r="T1275" s="21">
        <f t="shared" si="140"/>
        <v>0</v>
      </c>
      <c r="U1275">
        <v>0</v>
      </c>
      <c r="V1275">
        <v>0</v>
      </c>
      <c r="W1275" s="21">
        <f t="shared" si="141"/>
        <v>0</v>
      </c>
      <c r="X1275">
        <v>0</v>
      </c>
      <c r="Y1275">
        <v>0</v>
      </c>
      <c r="Z1275" s="21">
        <f t="shared" si="142"/>
        <v>0</v>
      </c>
      <c r="AA1275">
        <v>0</v>
      </c>
      <c r="AB1275">
        <v>0</v>
      </c>
      <c r="AC1275" s="21">
        <f t="shared" si="143"/>
        <v>0</v>
      </c>
      <c r="AD1275">
        <v>0</v>
      </c>
      <c r="AE1275">
        <v>0</v>
      </c>
      <c r="AF1275" s="21">
        <f t="shared" si="146"/>
        <v>0</v>
      </c>
    </row>
    <row r="1276" spans="1:32" ht="15" customHeight="1" x14ac:dyDescent="0.3">
      <c r="A1276">
        <v>3</v>
      </c>
      <c r="B1276" s="2" t="s">
        <v>696</v>
      </c>
      <c r="C1276" s="4" t="s">
        <v>689</v>
      </c>
      <c r="D1276" s="3" t="s">
        <v>649</v>
      </c>
      <c r="E1276" s="6" t="s">
        <v>15</v>
      </c>
      <c r="F1276" s="6" t="s">
        <v>183</v>
      </c>
      <c r="G1276" s="6" t="s">
        <v>712</v>
      </c>
      <c r="H1276" s="23">
        <v>214.29</v>
      </c>
      <c r="I1276">
        <v>60000</v>
      </c>
      <c r="J1276">
        <v>1</v>
      </c>
      <c r="K1276" s="20">
        <f t="shared" si="144"/>
        <v>12857400</v>
      </c>
      <c r="L1276">
        <v>0</v>
      </c>
      <c r="M1276">
        <v>0</v>
      </c>
      <c r="N1276" s="21">
        <f t="shared" si="145"/>
        <v>0</v>
      </c>
      <c r="O1276">
        <v>0</v>
      </c>
      <c r="P1276">
        <v>0</v>
      </c>
      <c r="Q1276" s="21">
        <f t="shared" si="139"/>
        <v>0</v>
      </c>
      <c r="R1276">
        <v>0</v>
      </c>
      <c r="S1276">
        <v>0</v>
      </c>
      <c r="T1276" s="21">
        <f t="shared" si="140"/>
        <v>0</v>
      </c>
      <c r="U1276">
        <v>0</v>
      </c>
      <c r="V1276">
        <v>0</v>
      </c>
      <c r="W1276" s="21">
        <f t="shared" si="141"/>
        <v>0</v>
      </c>
      <c r="X1276">
        <v>0</v>
      </c>
      <c r="Y1276">
        <v>0</v>
      </c>
      <c r="Z1276" s="21">
        <f t="shared" si="142"/>
        <v>0</v>
      </c>
      <c r="AA1276">
        <v>0</v>
      </c>
      <c r="AB1276">
        <v>0</v>
      </c>
      <c r="AC1276" s="21">
        <f t="shared" si="143"/>
        <v>0</v>
      </c>
      <c r="AD1276">
        <v>0</v>
      </c>
      <c r="AE1276">
        <v>0</v>
      </c>
      <c r="AF1276" s="21">
        <f t="shared" si="146"/>
        <v>0</v>
      </c>
    </row>
    <row r="1277" spans="1:32" ht="15" customHeight="1" x14ac:dyDescent="0.3">
      <c r="A1277">
        <v>3</v>
      </c>
      <c r="B1277" s="2" t="s">
        <v>696</v>
      </c>
      <c r="C1277" s="4" t="s">
        <v>689</v>
      </c>
      <c r="D1277" s="3" t="s">
        <v>649</v>
      </c>
      <c r="E1277" s="6" t="s">
        <v>16</v>
      </c>
      <c r="F1277" s="6" t="s">
        <v>239</v>
      </c>
      <c r="G1277" s="6" t="s">
        <v>716</v>
      </c>
      <c r="H1277" s="15">
        <v>39000</v>
      </c>
      <c r="I1277">
        <v>16</v>
      </c>
      <c r="J1277">
        <v>3</v>
      </c>
      <c r="K1277" s="20">
        <f t="shared" si="144"/>
        <v>1872000</v>
      </c>
      <c r="L1277">
        <v>0</v>
      </c>
      <c r="M1277">
        <v>0</v>
      </c>
      <c r="N1277" s="21">
        <f t="shared" si="145"/>
        <v>0</v>
      </c>
      <c r="O1277">
        <v>0</v>
      </c>
      <c r="P1277">
        <v>0</v>
      </c>
      <c r="Q1277" s="21">
        <f t="shared" ref="Q1277:Q1340" si="147">H1277*O1277*P1277</f>
        <v>0</v>
      </c>
      <c r="R1277">
        <v>0</v>
      </c>
      <c r="S1277">
        <v>0</v>
      </c>
      <c r="T1277" s="21">
        <f t="shared" ref="T1277:T1340" si="148">H1277*R1277*S1277</f>
        <v>0</v>
      </c>
      <c r="U1277">
        <v>0</v>
      </c>
      <c r="V1277">
        <v>0</v>
      </c>
      <c r="W1277" s="21">
        <f t="shared" ref="W1277:W1340" si="149">H1277*U1277*V1277</f>
        <v>0</v>
      </c>
      <c r="X1277">
        <v>0</v>
      </c>
      <c r="Y1277">
        <v>0</v>
      </c>
      <c r="Z1277" s="21">
        <f t="shared" ref="Z1277:Z1340" si="150">H1277*X1277*Y1277</f>
        <v>0</v>
      </c>
      <c r="AA1277">
        <v>0</v>
      </c>
      <c r="AB1277">
        <v>0</v>
      </c>
      <c r="AC1277" s="21">
        <f t="shared" ref="AC1277:AC1340" si="151">H1277*AA1277*AB1277</f>
        <v>0</v>
      </c>
      <c r="AD1277">
        <v>0</v>
      </c>
      <c r="AE1277">
        <v>0</v>
      </c>
      <c r="AF1277" s="21">
        <f t="shared" si="146"/>
        <v>0</v>
      </c>
    </row>
    <row r="1278" spans="1:32" ht="15" customHeight="1" x14ac:dyDescent="0.3">
      <c r="A1278">
        <v>3</v>
      </c>
      <c r="B1278" s="2" t="s">
        <v>696</v>
      </c>
      <c r="C1278" s="4" t="s">
        <v>689</v>
      </c>
      <c r="D1278" s="3" t="s">
        <v>649</v>
      </c>
      <c r="E1278" s="6" t="s">
        <v>16</v>
      </c>
      <c r="F1278" s="6" t="s">
        <v>239</v>
      </c>
      <c r="G1278" s="6" t="s">
        <v>709</v>
      </c>
      <c r="H1278" s="23">
        <v>28000</v>
      </c>
      <c r="I1278">
        <v>16</v>
      </c>
      <c r="J1278">
        <v>3</v>
      </c>
      <c r="K1278" s="20">
        <f t="shared" si="144"/>
        <v>1344000</v>
      </c>
      <c r="L1278">
        <v>0</v>
      </c>
      <c r="M1278">
        <v>0</v>
      </c>
      <c r="N1278" s="21">
        <f t="shared" si="145"/>
        <v>0</v>
      </c>
      <c r="O1278">
        <v>0</v>
      </c>
      <c r="P1278">
        <v>0</v>
      </c>
      <c r="Q1278" s="21">
        <f t="shared" si="147"/>
        <v>0</v>
      </c>
      <c r="R1278">
        <v>0</v>
      </c>
      <c r="S1278">
        <v>0</v>
      </c>
      <c r="T1278" s="21">
        <f t="shared" si="148"/>
        <v>0</v>
      </c>
      <c r="U1278">
        <v>0</v>
      </c>
      <c r="V1278">
        <v>0</v>
      </c>
      <c r="W1278" s="21">
        <f t="shared" si="149"/>
        <v>0</v>
      </c>
      <c r="X1278">
        <v>0</v>
      </c>
      <c r="Y1278">
        <v>0</v>
      </c>
      <c r="Z1278" s="21">
        <f t="shared" si="150"/>
        <v>0</v>
      </c>
      <c r="AA1278">
        <v>0</v>
      </c>
      <c r="AB1278">
        <v>0</v>
      </c>
      <c r="AC1278" s="21">
        <f t="shared" si="151"/>
        <v>0</v>
      </c>
      <c r="AD1278">
        <v>0</v>
      </c>
      <c r="AE1278">
        <v>0</v>
      </c>
      <c r="AF1278" s="21">
        <f t="shared" si="146"/>
        <v>0</v>
      </c>
    </row>
    <row r="1279" spans="1:32" ht="15" customHeight="1" x14ac:dyDescent="0.3">
      <c r="A1279">
        <v>3</v>
      </c>
      <c r="B1279" s="2" t="s">
        <v>696</v>
      </c>
      <c r="C1279" s="4" t="s">
        <v>689</v>
      </c>
      <c r="D1279" s="3" t="s">
        <v>649</v>
      </c>
      <c r="E1279" s="6" t="s">
        <v>16</v>
      </c>
      <c r="F1279" s="6" t="s">
        <v>239</v>
      </c>
      <c r="G1279" s="6" t="s">
        <v>712</v>
      </c>
      <c r="H1279" s="23">
        <v>214.29</v>
      </c>
      <c r="I1279">
        <v>4000</v>
      </c>
      <c r="J1279">
        <v>1</v>
      </c>
      <c r="K1279" s="20">
        <f t="shared" si="144"/>
        <v>857160</v>
      </c>
      <c r="L1279">
        <v>0</v>
      </c>
      <c r="M1279">
        <v>0</v>
      </c>
      <c r="N1279" s="21">
        <f t="shared" si="145"/>
        <v>0</v>
      </c>
      <c r="O1279">
        <v>0</v>
      </c>
      <c r="P1279">
        <v>0</v>
      </c>
      <c r="Q1279" s="21">
        <f t="shared" si="147"/>
        <v>0</v>
      </c>
      <c r="R1279">
        <v>0</v>
      </c>
      <c r="S1279">
        <v>0</v>
      </c>
      <c r="T1279" s="21">
        <f t="shared" si="148"/>
        <v>0</v>
      </c>
      <c r="U1279">
        <v>0</v>
      </c>
      <c r="V1279">
        <v>0</v>
      </c>
      <c r="W1279" s="21">
        <f t="shared" si="149"/>
        <v>0</v>
      </c>
      <c r="X1279">
        <v>0</v>
      </c>
      <c r="Y1279">
        <v>0</v>
      </c>
      <c r="Z1279" s="21">
        <f t="shared" si="150"/>
        <v>0</v>
      </c>
      <c r="AA1279">
        <v>0</v>
      </c>
      <c r="AB1279">
        <v>0</v>
      </c>
      <c r="AC1279" s="21">
        <f t="shared" si="151"/>
        <v>0</v>
      </c>
      <c r="AD1279">
        <v>0</v>
      </c>
      <c r="AE1279">
        <v>0</v>
      </c>
      <c r="AF1279" s="21">
        <f t="shared" si="146"/>
        <v>0</v>
      </c>
    </row>
    <row r="1280" spans="1:32" ht="15" customHeight="1" x14ac:dyDescent="0.3">
      <c r="A1280">
        <v>3</v>
      </c>
      <c r="B1280" s="2" t="s">
        <v>696</v>
      </c>
      <c r="C1280" s="4" t="s">
        <v>689</v>
      </c>
      <c r="D1280" s="3" t="s">
        <v>649</v>
      </c>
      <c r="E1280" s="6" t="s">
        <v>16</v>
      </c>
      <c r="F1280" s="6" t="s">
        <v>240</v>
      </c>
      <c r="G1280" s="6" t="s">
        <v>716</v>
      </c>
      <c r="H1280" s="15">
        <v>26000</v>
      </c>
      <c r="I1280">
        <v>60</v>
      </c>
      <c r="J1280">
        <v>15</v>
      </c>
      <c r="K1280" s="20">
        <f t="shared" si="144"/>
        <v>23400000</v>
      </c>
      <c r="L1280">
        <v>0</v>
      </c>
      <c r="M1280">
        <v>0</v>
      </c>
      <c r="N1280" s="21">
        <f t="shared" si="145"/>
        <v>0</v>
      </c>
      <c r="O1280">
        <v>0</v>
      </c>
      <c r="P1280">
        <v>0</v>
      </c>
      <c r="Q1280" s="21">
        <f t="shared" si="147"/>
        <v>0</v>
      </c>
      <c r="R1280">
        <v>0</v>
      </c>
      <c r="S1280">
        <v>0</v>
      </c>
      <c r="T1280" s="21">
        <f t="shared" si="148"/>
        <v>0</v>
      </c>
      <c r="U1280">
        <v>0</v>
      </c>
      <c r="V1280">
        <v>0</v>
      </c>
      <c r="W1280" s="21">
        <f t="shared" si="149"/>
        <v>0</v>
      </c>
      <c r="X1280">
        <v>0</v>
      </c>
      <c r="Y1280">
        <v>0</v>
      </c>
      <c r="Z1280" s="21">
        <f t="shared" si="150"/>
        <v>0</v>
      </c>
      <c r="AA1280">
        <v>0</v>
      </c>
      <c r="AB1280">
        <v>0</v>
      </c>
      <c r="AC1280" s="21">
        <f t="shared" si="151"/>
        <v>0</v>
      </c>
      <c r="AD1280">
        <v>0</v>
      </c>
      <c r="AE1280">
        <v>0</v>
      </c>
      <c r="AF1280" s="21">
        <f t="shared" si="146"/>
        <v>0</v>
      </c>
    </row>
    <row r="1281" spans="1:32" ht="15" customHeight="1" x14ac:dyDescent="0.3">
      <c r="A1281">
        <v>3</v>
      </c>
      <c r="B1281" s="2" t="s">
        <v>696</v>
      </c>
      <c r="C1281" s="4" t="s">
        <v>689</v>
      </c>
      <c r="D1281" s="3" t="s">
        <v>649</v>
      </c>
      <c r="E1281" s="6" t="s">
        <v>16</v>
      </c>
      <c r="F1281" s="6" t="s">
        <v>240</v>
      </c>
      <c r="G1281" s="6" t="s">
        <v>709</v>
      </c>
      <c r="H1281" s="23">
        <v>28000</v>
      </c>
      <c r="I1281">
        <v>60</v>
      </c>
      <c r="J1281">
        <v>15</v>
      </c>
      <c r="K1281" s="20">
        <f t="shared" si="144"/>
        <v>25200000</v>
      </c>
      <c r="L1281">
        <v>0</v>
      </c>
      <c r="M1281">
        <v>0</v>
      </c>
      <c r="N1281" s="21">
        <f t="shared" si="145"/>
        <v>0</v>
      </c>
      <c r="O1281">
        <v>0</v>
      </c>
      <c r="P1281">
        <v>0</v>
      </c>
      <c r="Q1281" s="21">
        <f t="shared" si="147"/>
        <v>0</v>
      </c>
      <c r="R1281">
        <v>0</v>
      </c>
      <c r="S1281">
        <v>0</v>
      </c>
      <c r="T1281" s="21">
        <f t="shared" si="148"/>
        <v>0</v>
      </c>
      <c r="U1281">
        <v>0</v>
      </c>
      <c r="V1281">
        <v>0</v>
      </c>
      <c r="W1281" s="21">
        <f t="shared" si="149"/>
        <v>0</v>
      </c>
      <c r="X1281">
        <v>0</v>
      </c>
      <c r="Y1281">
        <v>0</v>
      </c>
      <c r="Z1281" s="21">
        <f t="shared" si="150"/>
        <v>0</v>
      </c>
      <c r="AA1281">
        <v>0</v>
      </c>
      <c r="AB1281">
        <v>0</v>
      </c>
      <c r="AC1281" s="21">
        <f t="shared" si="151"/>
        <v>0</v>
      </c>
      <c r="AD1281">
        <v>0</v>
      </c>
      <c r="AE1281">
        <v>0</v>
      </c>
      <c r="AF1281" s="21">
        <f t="shared" si="146"/>
        <v>0</v>
      </c>
    </row>
    <row r="1282" spans="1:32" ht="15" customHeight="1" x14ac:dyDescent="0.3">
      <c r="A1282">
        <v>3</v>
      </c>
      <c r="B1282" s="2" t="s">
        <v>696</v>
      </c>
      <c r="C1282" s="4" t="s">
        <v>689</v>
      </c>
      <c r="D1282" s="3" t="s">
        <v>649</v>
      </c>
      <c r="E1282" s="6" t="s">
        <v>16</v>
      </c>
      <c r="F1282" s="6" t="s">
        <v>240</v>
      </c>
      <c r="G1282" s="6" t="s">
        <v>712</v>
      </c>
      <c r="H1282" s="23">
        <v>214.29</v>
      </c>
      <c r="I1282">
        <v>8000</v>
      </c>
      <c r="J1282">
        <v>1</v>
      </c>
      <c r="K1282" s="20">
        <f t="shared" si="144"/>
        <v>1714320</v>
      </c>
      <c r="L1282">
        <v>0</v>
      </c>
      <c r="M1282">
        <v>0</v>
      </c>
      <c r="N1282" s="21">
        <f t="shared" si="145"/>
        <v>0</v>
      </c>
      <c r="O1282">
        <v>0</v>
      </c>
      <c r="P1282">
        <v>0</v>
      </c>
      <c r="Q1282" s="21">
        <f t="shared" si="147"/>
        <v>0</v>
      </c>
      <c r="R1282">
        <v>0</v>
      </c>
      <c r="S1282">
        <v>0</v>
      </c>
      <c r="T1282" s="21">
        <f t="shared" si="148"/>
        <v>0</v>
      </c>
      <c r="U1282">
        <v>0</v>
      </c>
      <c r="V1282">
        <v>0</v>
      </c>
      <c r="W1282" s="21">
        <f t="shared" si="149"/>
        <v>0</v>
      </c>
      <c r="X1282">
        <v>0</v>
      </c>
      <c r="Y1282">
        <v>0</v>
      </c>
      <c r="Z1282" s="21">
        <f t="shared" si="150"/>
        <v>0</v>
      </c>
      <c r="AA1282">
        <v>0</v>
      </c>
      <c r="AB1282">
        <v>0</v>
      </c>
      <c r="AC1282" s="21">
        <f t="shared" si="151"/>
        <v>0</v>
      </c>
      <c r="AD1282">
        <v>0</v>
      </c>
      <c r="AE1282">
        <v>0</v>
      </c>
      <c r="AF1282" s="21">
        <f t="shared" si="146"/>
        <v>0</v>
      </c>
    </row>
    <row r="1283" spans="1:32" ht="15" customHeight="1" x14ac:dyDescent="0.3">
      <c r="A1283">
        <v>3</v>
      </c>
      <c r="B1283" s="2" t="s">
        <v>696</v>
      </c>
      <c r="C1283" s="4" t="s">
        <v>689</v>
      </c>
      <c r="D1283" s="3" t="s">
        <v>649</v>
      </c>
      <c r="E1283" s="6" t="s">
        <v>16</v>
      </c>
      <c r="F1283" s="6" t="s">
        <v>241</v>
      </c>
      <c r="G1283" s="6" t="s">
        <v>716</v>
      </c>
      <c r="H1283" s="15">
        <v>39000</v>
      </c>
      <c r="I1283">
        <v>25</v>
      </c>
      <c r="J1283">
        <v>6</v>
      </c>
      <c r="K1283" s="20">
        <f t="shared" si="144"/>
        <v>5850000</v>
      </c>
      <c r="L1283">
        <v>0</v>
      </c>
      <c r="M1283">
        <v>0</v>
      </c>
      <c r="N1283" s="21">
        <f t="shared" si="145"/>
        <v>0</v>
      </c>
      <c r="O1283">
        <v>0</v>
      </c>
      <c r="P1283">
        <v>0</v>
      </c>
      <c r="Q1283" s="21">
        <f t="shared" si="147"/>
        <v>0</v>
      </c>
      <c r="R1283">
        <v>0</v>
      </c>
      <c r="S1283">
        <v>0</v>
      </c>
      <c r="T1283" s="21">
        <f t="shared" si="148"/>
        <v>0</v>
      </c>
      <c r="U1283">
        <v>0</v>
      </c>
      <c r="V1283">
        <v>0</v>
      </c>
      <c r="W1283" s="21">
        <f t="shared" si="149"/>
        <v>0</v>
      </c>
      <c r="X1283">
        <v>0</v>
      </c>
      <c r="Y1283">
        <v>0</v>
      </c>
      <c r="Z1283" s="21">
        <f t="shared" si="150"/>
        <v>0</v>
      </c>
      <c r="AA1283">
        <v>0</v>
      </c>
      <c r="AB1283">
        <v>0</v>
      </c>
      <c r="AC1283" s="21">
        <f t="shared" si="151"/>
        <v>0</v>
      </c>
      <c r="AD1283">
        <v>0</v>
      </c>
      <c r="AE1283">
        <v>0</v>
      </c>
      <c r="AF1283" s="21">
        <f t="shared" si="146"/>
        <v>0</v>
      </c>
    </row>
    <row r="1284" spans="1:32" ht="15" customHeight="1" x14ac:dyDescent="0.3">
      <c r="A1284">
        <v>3</v>
      </c>
      <c r="B1284" s="2" t="s">
        <v>696</v>
      </c>
      <c r="C1284" s="4" t="s">
        <v>689</v>
      </c>
      <c r="D1284" s="3" t="s">
        <v>649</v>
      </c>
      <c r="E1284" s="6" t="s">
        <v>16</v>
      </c>
      <c r="F1284" s="6" t="s">
        <v>241</v>
      </c>
      <c r="G1284" s="6" t="s">
        <v>709</v>
      </c>
      <c r="H1284" s="23">
        <v>28000</v>
      </c>
      <c r="I1284">
        <v>25</v>
      </c>
      <c r="J1284">
        <v>6</v>
      </c>
      <c r="K1284" s="20">
        <f t="shared" si="144"/>
        <v>4200000</v>
      </c>
      <c r="L1284">
        <v>0</v>
      </c>
      <c r="M1284">
        <v>0</v>
      </c>
      <c r="N1284" s="21">
        <f t="shared" si="145"/>
        <v>0</v>
      </c>
      <c r="O1284">
        <v>0</v>
      </c>
      <c r="P1284">
        <v>0</v>
      </c>
      <c r="Q1284" s="21">
        <f t="shared" si="147"/>
        <v>0</v>
      </c>
      <c r="R1284">
        <v>0</v>
      </c>
      <c r="S1284">
        <v>0</v>
      </c>
      <c r="T1284" s="21">
        <f t="shared" si="148"/>
        <v>0</v>
      </c>
      <c r="U1284">
        <v>0</v>
      </c>
      <c r="V1284">
        <v>0</v>
      </c>
      <c r="W1284" s="21">
        <f t="shared" si="149"/>
        <v>0</v>
      </c>
      <c r="X1284">
        <v>0</v>
      </c>
      <c r="Y1284">
        <v>0</v>
      </c>
      <c r="Z1284" s="21">
        <f t="shared" si="150"/>
        <v>0</v>
      </c>
      <c r="AA1284">
        <v>0</v>
      </c>
      <c r="AB1284">
        <v>0</v>
      </c>
      <c r="AC1284" s="21">
        <f t="shared" si="151"/>
        <v>0</v>
      </c>
      <c r="AD1284">
        <v>0</v>
      </c>
      <c r="AE1284">
        <v>0</v>
      </c>
      <c r="AF1284" s="21">
        <f t="shared" si="146"/>
        <v>0</v>
      </c>
    </row>
    <row r="1285" spans="1:32" ht="15" customHeight="1" x14ac:dyDescent="0.3">
      <c r="A1285">
        <v>3</v>
      </c>
      <c r="B1285" s="2" t="s">
        <v>696</v>
      </c>
      <c r="C1285" s="4" t="s">
        <v>689</v>
      </c>
      <c r="D1285" s="3" t="s">
        <v>649</v>
      </c>
      <c r="E1285" s="6" t="s">
        <v>16</v>
      </c>
      <c r="F1285" s="6" t="s">
        <v>241</v>
      </c>
      <c r="G1285" s="6" t="s">
        <v>712</v>
      </c>
      <c r="H1285" s="23">
        <v>214.29</v>
      </c>
      <c r="I1285">
        <v>4000</v>
      </c>
      <c r="J1285">
        <v>1</v>
      </c>
      <c r="K1285" s="20">
        <f t="shared" si="144"/>
        <v>857160</v>
      </c>
      <c r="L1285">
        <v>0</v>
      </c>
      <c r="M1285">
        <v>0</v>
      </c>
      <c r="N1285" s="21">
        <f t="shared" si="145"/>
        <v>0</v>
      </c>
      <c r="O1285">
        <v>0</v>
      </c>
      <c r="P1285">
        <v>0</v>
      </c>
      <c r="Q1285" s="21">
        <f t="shared" si="147"/>
        <v>0</v>
      </c>
      <c r="R1285">
        <v>0</v>
      </c>
      <c r="S1285">
        <v>0</v>
      </c>
      <c r="T1285" s="21">
        <f t="shared" si="148"/>
        <v>0</v>
      </c>
      <c r="U1285">
        <v>0</v>
      </c>
      <c r="V1285">
        <v>0</v>
      </c>
      <c r="W1285" s="21">
        <f t="shared" si="149"/>
        <v>0</v>
      </c>
      <c r="X1285">
        <v>0</v>
      </c>
      <c r="Y1285">
        <v>0</v>
      </c>
      <c r="Z1285" s="21">
        <f t="shared" si="150"/>
        <v>0</v>
      </c>
      <c r="AA1285">
        <v>0</v>
      </c>
      <c r="AB1285">
        <v>0</v>
      </c>
      <c r="AC1285" s="21">
        <f t="shared" si="151"/>
        <v>0</v>
      </c>
      <c r="AD1285">
        <v>0</v>
      </c>
      <c r="AE1285">
        <v>0</v>
      </c>
      <c r="AF1285" s="21">
        <f t="shared" si="146"/>
        <v>0</v>
      </c>
    </row>
    <row r="1286" spans="1:32" ht="15" customHeight="1" x14ac:dyDescent="0.3">
      <c r="A1286">
        <v>3</v>
      </c>
      <c r="B1286" s="2" t="s">
        <v>696</v>
      </c>
      <c r="C1286" s="4" t="s">
        <v>689</v>
      </c>
      <c r="D1286" s="3" t="s">
        <v>649</v>
      </c>
      <c r="E1286" s="6" t="s">
        <v>16</v>
      </c>
      <c r="F1286" s="6" t="s">
        <v>166</v>
      </c>
      <c r="G1286" s="6" t="s">
        <v>709</v>
      </c>
      <c r="H1286" s="23">
        <v>28000</v>
      </c>
      <c r="I1286">
        <v>30</v>
      </c>
      <c r="J1286">
        <v>1</v>
      </c>
      <c r="K1286" s="20">
        <f t="shared" ref="K1286:K1349" si="152">H1286*I1286*J1286</f>
        <v>840000</v>
      </c>
      <c r="L1286">
        <v>0</v>
      </c>
      <c r="M1286">
        <v>0</v>
      </c>
      <c r="N1286" s="21">
        <f t="shared" ref="N1286:N1349" si="153">H1286*L1286*M1286</f>
        <v>0</v>
      </c>
      <c r="O1286">
        <v>0</v>
      </c>
      <c r="P1286">
        <v>0</v>
      </c>
      <c r="Q1286" s="21">
        <f t="shared" si="147"/>
        <v>0</v>
      </c>
      <c r="R1286">
        <v>0</v>
      </c>
      <c r="S1286">
        <v>0</v>
      </c>
      <c r="T1286" s="21">
        <f t="shared" si="148"/>
        <v>0</v>
      </c>
      <c r="U1286">
        <v>0</v>
      </c>
      <c r="V1286">
        <v>0</v>
      </c>
      <c r="W1286" s="21">
        <f t="shared" si="149"/>
        <v>0</v>
      </c>
      <c r="X1286">
        <v>0</v>
      </c>
      <c r="Y1286">
        <v>0</v>
      </c>
      <c r="Z1286" s="21">
        <f t="shared" si="150"/>
        <v>0</v>
      </c>
      <c r="AA1286">
        <v>0</v>
      </c>
      <c r="AB1286">
        <v>0</v>
      </c>
      <c r="AC1286" s="21">
        <f t="shared" si="151"/>
        <v>0</v>
      </c>
      <c r="AD1286">
        <v>0</v>
      </c>
      <c r="AE1286">
        <v>0</v>
      </c>
      <c r="AF1286" s="21">
        <f t="shared" ref="AF1286:AF1349" si="154">H1286*AD1286*AE1286</f>
        <v>0</v>
      </c>
    </row>
    <row r="1287" spans="1:32" ht="15" customHeight="1" x14ac:dyDescent="0.3">
      <c r="A1287">
        <v>3</v>
      </c>
      <c r="B1287" s="2" t="s">
        <v>696</v>
      </c>
      <c r="C1287" s="4" t="s">
        <v>689</v>
      </c>
      <c r="D1287" s="3" t="s">
        <v>649</v>
      </c>
      <c r="E1287" s="6" t="s">
        <v>16</v>
      </c>
      <c r="F1287" s="6" t="s">
        <v>242</v>
      </c>
      <c r="G1287" s="6" t="s">
        <v>718</v>
      </c>
      <c r="H1287" s="23">
        <v>0</v>
      </c>
      <c r="I1287">
        <v>0</v>
      </c>
      <c r="J1287">
        <v>0</v>
      </c>
      <c r="K1287" s="20">
        <f t="shared" si="152"/>
        <v>0</v>
      </c>
      <c r="L1287">
        <v>0</v>
      </c>
      <c r="M1287">
        <v>0</v>
      </c>
      <c r="N1287" s="21">
        <f t="shared" si="153"/>
        <v>0</v>
      </c>
      <c r="O1287">
        <v>0</v>
      </c>
      <c r="P1287">
        <v>0</v>
      </c>
      <c r="Q1287" s="21">
        <f t="shared" si="147"/>
        <v>0</v>
      </c>
      <c r="R1287">
        <v>0</v>
      </c>
      <c r="S1287">
        <v>0</v>
      </c>
      <c r="T1287" s="21">
        <f t="shared" si="148"/>
        <v>0</v>
      </c>
      <c r="U1287">
        <v>0</v>
      </c>
      <c r="V1287">
        <v>0</v>
      </c>
      <c r="W1287" s="21">
        <f t="shared" si="149"/>
        <v>0</v>
      </c>
      <c r="X1287">
        <v>0</v>
      </c>
      <c r="Y1287">
        <v>0</v>
      </c>
      <c r="Z1287" s="21">
        <f t="shared" si="150"/>
        <v>0</v>
      </c>
      <c r="AA1287">
        <v>0</v>
      </c>
      <c r="AB1287">
        <v>0</v>
      </c>
      <c r="AC1287" s="21">
        <f t="shared" si="151"/>
        <v>0</v>
      </c>
      <c r="AD1287">
        <v>0</v>
      </c>
      <c r="AE1287">
        <v>0</v>
      </c>
      <c r="AF1287" s="21">
        <f t="shared" si="154"/>
        <v>0</v>
      </c>
    </row>
    <row r="1288" spans="1:32" ht="15" customHeight="1" x14ac:dyDescent="0.3">
      <c r="A1288">
        <v>3</v>
      </c>
      <c r="B1288" s="2" t="s">
        <v>696</v>
      </c>
      <c r="C1288" s="4" t="s">
        <v>689</v>
      </c>
      <c r="D1288" s="3" t="s">
        <v>649</v>
      </c>
      <c r="E1288" s="6" t="s">
        <v>16</v>
      </c>
      <c r="F1288" s="6" t="s">
        <v>243</v>
      </c>
      <c r="G1288" s="6" t="s">
        <v>716</v>
      </c>
      <c r="H1288" s="15">
        <v>39000</v>
      </c>
      <c r="I1288">
        <v>30</v>
      </c>
      <c r="J1288">
        <v>10</v>
      </c>
      <c r="K1288" s="20">
        <f t="shared" si="152"/>
        <v>11700000</v>
      </c>
      <c r="L1288">
        <v>0</v>
      </c>
      <c r="M1288">
        <v>0</v>
      </c>
      <c r="N1288" s="21">
        <f t="shared" si="153"/>
        <v>0</v>
      </c>
      <c r="O1288">
        <v>0</v>
      </c>
      <c r="P1288">
        <v>0</v>
      </c>
      <c r="Q1288" s="21">
        <f t="shared" si="147"/>
        <v>0</v>
      </c>
      <c r="R1288">
        <v>0</v>
      </c>
      <c r="S1288">
        <v>0</v>
      </c>
      <c r="T1288" s="21">
        <f t="shared" si="148"/>
        <v>0</v>
      </c>
      <c r="U1288">
        <v>0</v>
      </c>
      <c r="V1288">
        <v>0</v>
      </c>
      <c r="W1288" s="21">
        <f t="shared" si="149"/>
        <v>0</v>
      </c>
      <c r="X1288">
        <v>0</v>
      </c>
      <c r="Y1288">
        <v>0</v>
      </c>
      <c r="Z1288" s="21">
        <f t="shared" si="150"/>
        <v>0</v>
      </c>
      <c r="AA1288">
        <v>0</v>
      </c>
      <c r="AB1288">
        <v>0</v>
      </c>
      <c r="AC1288" s="21">
        <f t="shared" si="151"/>
        <v>0</v>
      </c>
      <c r="AD1288">
        <v>0</v>
      </c>
      <c r="AE1288">
        <v>0</v>
      </c>
      <c r="AF1288" s="21">
        <f t="shared" si="154"/>
        <v>0</v>
      </c>
    </row>
    <row r="1289" spans="1:32" ht="15" customHeight="1" x14ac:dyDescent="0.3">
      <c r="A1289">
        <v>3</v>
      </c>
      <c r="B1289" s="2" t="s">
        <v>696</v>
      </c>
      <c r="C1289" s="4" t="s">
        <v>689</v>
      </c>
      <c r="D1289" s="3" t="s">
        <v>649</v>
      </c>
      <c r="E1289" s="6" t="s">
        <v>16</v>
      </c>
      <c r="F1289" s="6" t="s">
        <v>243</v>
      </c>
      <c r="G1289" s="6" t="s">
        <v>709</v>
      </c>
      <c r="H1289" s="23">
        <v>28000</v>
      </c>
      <c r="I1289">
        <v>60</v>
      </c>
      <c r="J1289">
        <v>10</v>
      </c>
      <c r="K1289" s="20">
        <f t="shared" si="152"/>
        <v>16800000</v>
      </c>
      <c r="L1289">
        <v>0</v>
      </c>
      <c r="M1289">
        <v>0</v>
      </c>
      <c r="N1289" s="21">
        <f t="shared" si="153"/>
        <v>0</v>
      </c>
      <c r="O1289">
        <v>0</v>
      </c>
      <c r="P1289">
        <v>0</v>
      </c>
      <c r="Q1289" s="21">
        <f t="shared" si="147"/>
        <v>0</v>
      </c>
      <c r="R1289">
        <v>0</v>
      </c>
      <c r="S1289">
        <v>0</v>
      </c>
      <c r="T1289" s="21">
        <f t="shared" si="148"/>
        <v>0</v>
      </c>
      <c r="U1289">
        <v>0</v>
      </c>
      <c r="V1289">
        <v>0</v>
      </c>
      <c r="W1289" s="21">
        <f t="shared" si="149"/>
        <v>0</v>
      </c>
      <c r="X1289">
        <v>0</v>
      </c>
      <c r="Y1289">
        <v>0</v>
      </c>
      <c r="Z1289" s="21">
        <f t="shared" si="150"/>
        <v>0</v>
      </c>
      <c r="AA1289">
        <v>0</v>
      </c>
      <c r="AB1289">
        <v>0</v>
      </c>
      <c r="AC1289" s="21">
        <f t="shared" si="151"/>
        <v>0</v>
      </c>
      <c r="AD1289">
        <v>0</v>
      </c>
      <c r="AE1289">
        <v>0</v>
      </c>
      <c r="AF1289" s="21">
        <f t="shared" si="154"/>
        <v>0</v>
      </c>
    </row>
    <row r="1290" spans="1:32" ht="15" customHeight="1" x14ac:dyDescent="0.3">
      <c r="A1290">
        <v>3</v>
      </c>
      <c r="B1290" s="2" t="s">
        <v>696</v>
      </c>
      <c r="C1290" s="4" t="s">
        <v>689</v>
      </c>
      <c r="D1290" s="3" t="s">
        <v>649</v>
      </c>
      <c r="E1290" s="6" t="s">
        <v>16</v>
      </c>
      <c r="F1290" s="6" t="s">
        <v>243</v>
      </c>
      <c r="G1290" s="6" t="s">
        <v>712</v>
      </c>
      <c r="H1290" s="23">
        <v>214.29</v>
      </c>
      <c r="I1290">
        <v>8000</v>
      </c>
      <c r="J1290">
        <v>1</v>
      </c>
      <c r="K1290" s="20">
        <f t="shared" si="152"/>
        <v>1714320</v>
      </c>
      <c r="L1290">
        <v>0</v>
      </c>
      <c r="M1290">
        <v>0</v>
      </c>
      <c r="N1290" s="21">
        <f t="shared" si="153"/>
        <v>0</v>
      </c>
      <c r="O1290">
        <v>0</v>
      </c>
      <c r="P1290">
        <v>0</v>
      </c>
      <c r="Q1290" s="21">
        <f t="shared" si="147"/>
        <v>0</v>
      </c>
      <c r="R1290">
        <v>0</v>
      </c>
      <c r="S1290">
        <v>0</v>
      </c>
      <c r="T1290" s="21">
        <f t="shared" si="148"/>
        <v>0</v>
      </c>
      <c r="U1290">
        <v>0</v>
      </c>
      <c r="V1290">
        <v>0</v>
      </c>
      <c r="W1290" s="21">
        <f t="shared" si="149"/>
        <v>0</v>
      </c>
      <c r="X1290">
        <v>0</v>
      </c>
      <c r="Y1290">
        <v>0</v>
      </c>
      <c r="Z1290" s="21">
        <f t="shared" si="150"/>
        <v>0</v>
      </c>
      <c r="AA1290">
        <v>0</v>
      </c>
      <c r="AB1290">
        <v>0</v>
      </c>
      <c r="AC1290" s="21">
        <f t="shared" si="151"/>
        <v>0</v>
      </c>
      <c r="AD1290">
        <v>0</v>
      </c>
      <c r="AE1290">
        <v>0</v>
      </c>
      <c r="AF1290" s="21">
        <f t="shared" si="154"/>
        <v>0</v>
      </c>
    </row>
    <row r="1291" spans="1:32" ht="15" customHeight="1" x14ac:dyDescent="0.3">
      <c r="A1291">
        <v>3</v>
      </c>
      <c r="B1291" s="2" t="s">
        <v>696</v>
      </c>
      <c r="C1291" s="4" t="s">
        <v>689</v>
      </c>
      <c r="D1291" s="3" t="s">
        <v>649</v>
      </c>
      <c r="E1291" s="6" t="s">
        <v>16</v>
      </c>
      <c r="F1291" s="6" t="s">
        <v>244</v>
      </c>
      <c r="G1291" s="6" t="s">
        <v>716</v>
      </c>
      <c r="H1291" s="15">
        <v>39000</v>
      </c>
      <c r="I1291">
        <v>10</v>
      </c>
      <c r="J1291">
        <v>3</v>
      </c>
      <c r="K1291" s="20">
        <f t="shared" si="152"/>
        <v>1170000</v>
      </c>
      <c r="L1291">
        <v>0</v>
      </c>
      <c r="M1291">
        <v>0</v>
      </c>
      <c r="N1291" s="21">
        <f t="shared" si="153"/>
        <v>0</v>
      </c>
      <c r="O1291">
        <v>0</v>
      </c>
      <c r="P1291">
        <v>0</v>
      </c>
      <c r="Q1291" s="21">
        <f t="shared" si="147"/>
        <v>0</v>
      </c>
      <c r="R1291">
        <v>0</v>
      </c>
      <c r="S1291">
        <v>0</v>
      </c>
      <c r="T1291" s="21">
        <f t="shared" si="148"/>
        <v>0</v>
      </c>
      <c r="U1291">
        <v>0</v>
      </c>
      <c r="V1291">
        <v>0</v>
      </c>
      <c r="W1291" s="21">
        <f t="shared" si="149"/>
        <v>0</v>
      </c>
      <c r="X1291">
        <v>0</v>
      </c>
      <c r="Y1291">
        <v>0</v>
      </c>
      <c r="Z1291" s="21">
        <f t="shared" si="150"/>
        <v>0</v>
      </c>
      <c r="AA1291">
        <v>0</v>
      </c>
      <c r="AB1291">
        <v>0</v>
      </c>
      <c r="AC1291" s="21">
        <f t="shared" si="151"/>
        <v>0</v>
      </c>
      <c r="AD1291">
        <v>0</v>
      </c>
      <c r="AE1291">
        <v>0</v>
      </c>
      <c r="AF1291" s="21">
        <f t="shared" si="154"/>
        <v>0</v>
      </c>
    </row>
    <row r="1292" spans="1:32" ht="15" customHeight="1" x14ac:dyDescent="0.3">
      <c r="A1292">
        <v>3</v>
      </c>
      <c r="B1292" s="2" t="s">
        <v>696</v>
      </c>
      <c r="C1292" s="4" t="s">
        <v>689</v>
      </c>
      <c r="D1292" s="3" t="s">
        <v>649</v>
      </c>
      <c r="E1292" s="6" t="s">
        <v>16</v>
      </c>
      <c r="F1292" s="6" t="s">
        <v>244</v>
      </c>
      <c r="G1292" s="6" t="s">
        <v>709</v>
      </c>
      <c r="H1292" s="23">
        <v>28000</v>
      </c>
      <c r="I1292">
        <v>30</v>
      </c>
      <c r="J1292">
        <v>3</v>
      </c>
      <c r="K1292" s="20">
        <f t="shared" si="152"/>
        <v>2520000</v>
      </c>
      <c r="L1292">
        <v>0</v>
      </c>
      <c r="M1292">
        <v>0</v>
      </c>
      <c r="N1292" s="21">
        <f t="shared" si="153"/>
        <v>0</v>
      </c>
      <c r="O1292">
        <v>0</v>
      </c>
      <c r="P1292">
        <v>0</v>
      </c>
      <c r="Q1292" s="21">
        <f t="shared" si="147"/>
        <v>0</v>
      </c>
      <c r="R1292">
        <v>0</v>
      </c>
      <c r="S1292">
        <v>0</v>
      </c>
      <c r="T1292" s="21">
        <f t="shared" si="148"/>
        <v>0</v>
      </c>
      <c r="U1292">
        <v>0</v>
      </c>
      <c r="V1292">
        <v>0</v>
      </c>
      <c r="W1292" s="21">
        <f t="shared" si="149"/>
        <v>0</v>
      </c>
      <c r="X1292">
        <v>0</v>
      </c>
      <c r="Y1292">
        <v>0</v>
      </c>
      <c r="Z1292" s="21">
        <f t="shared" si="150"/>
        <v>0</v>
      </c>
      <c r="AA1292">
        <v>0</v>
      </c>
      <c r="AB1292">
        <v>0</v>
      </c>
      <c r="AC1292" s="21">
        <f t="shared" si="151"/>
        <v>0</v>
      </c>
      <c r="AD1292">
        <v>0</v>
      </c>
      <c r="AE1292">
        <v>0</v>
      </c>
      <c r="AF1292" s="21">
        <f t="shared" si="154"/>
        <v>0</v>
      </c>
    </row>
    <row r="1293" spans="1:32" ht="15" customHeight="1" x14ac:dyDescent="0.3">
      <c r="A1293">
        <v>3</v>
      </c>
      <c r="B1293" s="2" t="s">
        <v>696</v>
      </c>
      <c r="C1293" s="4" t="s">
        <v>689</v>
      </c>
      <c r="D1293" s="3" t="s">
        <v>649</v>
      </c>
      <c r="E1293" s="6" t="s">
        <v>16</v>
      </c>
      <c r="F1293" s="6" t="s">
        <v>244</v>
      </c>
      <c r="G1293" s="6" t="s">
        <v>712</v>
      </c>
      <c r="H1293" s="23">
        <v>214.29</v>
      </c>
      <c r="I1293">
        <v>8000</v>
      </c>
      <c r="J1293">
        <v>1</v>
      </c>
      <c r="K1293" s="20">
        <f t="shared" si="152"/>
        <v>1714320</v>
      </c>
      <c r="L1293">
        <v>0</v>
      </c>
      <c r="M1293">
        <v>0</v>
      </c>
      <c r="N1293" s="21">
        <f t="shared" si="153"/>
        <v>0</v>
      </c>
      <c r="O1293">
        <v>0</v>
      </c>
      <c r="P1293">
        <v>0</v>
      </c>
      <c r="Q1293" s="21">
        <f t="shared" si="147"/>
        <v>0</v>
      </c>
      <c r="R1293">
        <v>0</v>
      </c>
      <c r="S1293">
        <v>0</v>
      </c>
      <c r="T1293" s="21">
        <f t="shared" si="148"/>
        <v>0</v>
      </c>
      <c r="U1293">
        <v>0</v>
      </c>
      <c r="V1293">
        <v>0</v>
      </c>
      <c r="W1293" s="21">
        <f t="shared" si="149"/>
        <v>0</v>
      </c>
      <c r="X1293">
        <v>0</v>
      </c>
      <c r="Y1293">
        <v>0</v>
      </c>
      <c r="Z1293" s="21">
        <f t="shared" si="150"/>
        <v>0</v>
      </c>
      <c r="AA1293">
        <v>0</v>
      </c>
      <c r="AB1293">
        <v>0</v>
      </c>
      <c r="AC1293" s="21">
        <f t="shared" si="151"/>
        <v>0</v>
      </c>
      <c r="AD1293">
        <v>0</v>
      </c>
      <c r="AE1293">
        <v>0</v>
      </c>
      <c r="AF1293" s="21">
        <f t="shared" si="154"/>
        <v>0</v>
      </c>
    </row>
    <row r="1294" spans="1:32" ht="15" customHeight="1" x14ac:dyDescent="0.3">
      <c r="A1294">
        <v>3</v>
      </c>
      <c r="B1294" s="2" t="s">
        <v>696</v>
      </c>
      <c r="C1294" s="4" t="s">
        <v>689</v>
      </c>
      <c r="D1294" s="3" t="s">
        <v>649</v>
      </c>
      <c r="E1294" s="6" t="s">
        <v>17</v>
      </c>
      <c r="F1294" s="6" t="s">
        <v>245</v>
      </c>
      <c r="G1294" s="6" t="s">
        <v>716</v>
      </c>
      <c r="H1294" s="15">
        <v>39000</v>
      </c>
      <c r="I1294">
        <v>372</v>
      </c>
      <c r="J1294">
        <v>12</v>
      </c>
      <c r="K1294" s="20">
        <f t="shared" si="152"/>
        <v>174096000</v>
      </c>
      <c r="L1294">
        <v>372</v>
      </c>
      <c r="M1294">
        <v>12</v>
      </c>
      <c r="N1294" s="21">
        <f t="shared" si="153"/>
        <v>174096000</v>
      </c>
      <c r="O1294">
        <v>372</v>
      </c>
      <c r="P1294">
        <v>12</v>
      </c>
      <c r="Q1294" s="21">
        <f t="shared" si="147"/>
        <v>174096000</v>
      </c>
      <c r="R1294">
        <v>372</v>
      </c>
      <c r="S1294">
        <v>12</v>
      </c>
      <c r="T1294" s="21">
        <f t="shared" si="148"/>
        <v>174096000</v>
      </c>
      <c r="U1294">
        <v>372</v>
      </c>
      <c r="V1294">
        <v>12</v>
      </c>
      <c r="W1294" s="21">
        <f t="shared" si="149"/>
        <v>174096000</v>
      </c>
      <c r="X1294">
        <v>0</v>
      </c>
      <c r="Y1294">
        <v>0</v>
      </c>
      <c r="Z1294" s="21">
        <f t="shared" si="150"/>
        <v>0</v>
      </c>
      <c r="AA1294">
        <v>0</v>
      </c>
      <c r="AB1294">
        <v>0</v>
      </c>
      <c r="AC1294" s="21">
        <f t="shared" si="151"/>
        <v>0</v>
      </c>
      <c r="AD1294">
        <v>0</v>
      </c>
      <c r="AE1294">
        <v>0</v>
      </c>
      <c r="AF1294" s="21">
        <f t="shared" si="154"/>
        <v>0</v>
      </c>
    </row>
    <row r="1295" spans="1:32" ht="15" customHeight="1" x14ac:dyDescent="0.3">
      <c r="A1295">
        <v>3</v>
      </c>
      <c r="B1295" s="2" t="s">
        <v>696</v>
      </c>
      <c r="C1295" s="4" t="s">
        <v>689</v>
      </c>
      <c r="D1295" s="3" t="s">
        <v>649</v>
      </c>
      <c r="E1295" s="6" t="s">
        <v>17</v>
      </c>
      <c r="F1295" s="6" t="s">
        <v>245</v>
      </c>
      <c r="G1295" s="6" t="s">
        <v>709</v>
      </c>
      <c r="H1295" s="23">
        <v>28000</v>
      </c>
      <c r="I1295">
        <v>372</v>
      </c>
      <c r="J1295">
        <v>12</v>
      </c>
      <c r="K1295" s="20">
        <f t="shared" si="152"/>
        <v>124992000</v>
      </c>
      <c r="L1295">
        <v>372</v>
      </c>
      <c r="M1295">
        <v>12</v>
      </c>
      <c r="N1295" s="21">
        <f t="shared" si="153"/>
        <v>124992000</v>
      </c>
      <c r="O1295">
        <v>372</v>
      </c>
      <c r="P1295">
        <v>12</v>
      </c>
      <c r="Q1295" s="21">
        <f t="shared" si="147"/>
        <v>124992000</v>
      </c>
      <c r="R1295">
        <v>372</v>
      </c>
      <c r="S1295">
        <v>12</v>
      </c>
      <c r="T1295" s="21">
        <f t="shared" si="148"/>
        <v>124992000</v>
      </c>
      <c r="U1295">
        <v>372</v>
      </c>
      <c r="V1295">
        <v>12</v>
      </c>
      <c r="W1295" s="21">
        <f t="shared" si="149"/>
        <v>124992000</v>
      </c>
      <c r="X1295">
        <v>0</v>
      </c>
      <c r="Y1295">
        <v>0</v>
      </c>
      <c r="Z1295" s="21">
        <f t="shared" si="150"/>
        <v>0</v>
      </c>
      <c r="AA1295">
        <v>0</v>
      </c>
      <c r="AB1295">
        <v>0</v>
      </c>
      <c r="AC1295" s="21">
        <f t="shared" si="151"/>
        <v>0</v>
      </c>
      <c r="AD1295">
        <v>0</v>
      </c>
      <c r="AE1295">
        <v>0</v>
      </c>
      <c r="AF1295" s="21">
        <f t="shared" si="154"/>
        <v>0</v>
      </c>
    </row>
    <row r="1296" spans="1:32" ht="15" customHeight="1" x14ac:dyDescent="0.3">
      <c r="A1296">
        <v>3</v>
      </c>
      <c r="B1296" s="2" t="s">
        <v>696</v>
      </c>
      <c r="C1296" s="4" t="s">
        <v>689</v>
      </c>
      <c r="D1296" s="3" t="s">
        <v>649</v>
      </c>
      <c r="E1296" s="6" t="s">
        <v>17</v>
      </c>
      <c r="F1296" s="6" t="s">
        <v>245</v>
      </c>
      <c r="G1296" s="6" t="s">
        <v>712</v>
      </c>
      <c r="H1296" s="23">
        <v>214.29</v>
      </c>
      <c r="I1296">
        <v>60000</v>
      </c>
      <c r="J1296">
        <v>1</v>
      </c>
      <c r="K1296" s="20">
        <f t="shared" si="152"/>
        <v>12857400</v>
      </c>
      <c r="L1296">
        <v>60000</v>
      </c>
      <c r="M1296">
        <v>1</v>
      </c>
      <c r="N1296" s="21">
        <f t="shared" si="153"/>
        <v>12857400</v>
      </c>
      <c r="O1296">
        <v>60000</v>
      </c>
      <c r="P1296">
        <v>1</v>
      </c>
      <c r="Q1296" s="21">
        <f t="shared" si="147"/>
        <v>12857400</v>
      </c>
      <c r="R1296">
        <v>60000</v>
      </c>
      <c r="S1296">
        <v>1</v>
      </c>
      <c r="T1296" s="21">
        <f t="shared" si="148"/>
        <v>12857400</v>
      </c>
      <c r="U1296">
        <v>60000</v>
      </c>
      <c r="V1296">
        <v>1</v>
      </c>
      <c r="W1296" s="21">
        <f t="shared" si="149"/>
        <v>12857400</v>
      </c>
      <c r="X1296">
        <v>0</v>
      </c>
      <c r="Y1296">
        <v>0</v>
      </c>
      <c r="Z1296" s="21">
        <f t="shared" si="150"/>
        <v>0</v>
      </c>
      <c r="AA1296">
        <v>0</v>
      </c>
      <c r="AB1296">
        <v>0</v>
      </c>
      <c r="AC1296" s="21">
        <f t="shared" si="151"/>
        <v>0</v>
      </c>
      <c r="AD1296">
        <v>0</v>
      </c>
      <c r="AE1296">
        <v>0</v>
      </c>
      <c r="AF1296" s="21">
        <f t="shared" si="154"/>
        <v>0</v>
      </c>
    </row>
    <row r="1297" spans="1:32" ht="15" customHeight="1" x14ac:dyDescent="0.3">
      <c r="A1297">
        <v>3</v>
      </c>
      <c r="B1297" s="2" t="s">
        <v>696</v>
      </c>
      <c r="C1297" s="4" t="s">
        <v>689</v>
      </c>
      <c r="D1297" s="3" t="s">
        <v>649</v>
      </c>
      <c r="E1297" s="6" t="s">
        <v>17</v>
      </c>
      <c r="F1297" s="6" t="s">
        <v>246</v>
      </c>
      <c r="G1297" s="6" t="s">
        <v>716</v>
      </c>
      <c r="H1297" s="15">
        <v>39000</v>
      </c>
      <c r="I1297">
        <v>300</v>
      </c>
      <c r="J1297">
        <v>2</v>
      </c>
      <c r="K1297" s="20">
        <f t="shared" si="152"/>
        <v>23400000</v>
      </c>
      <c r="L1297">
        <v>300</v>
      </c>
      <c r="M1297">
        <v>2</v>
      </c>
      <c r="N1297" s="21">
        <f t="shared" si="153"/>
        <v>23400000</v>
      </c>
      <c r="O1297">
        <v>300</v>
      </c>
      <c r="P1297">
        <v>2</v>
      </c>
      <c r="Q1297" s="21">
        <f t="shared" si="147"/>
        <v>23400000</v>
      </c>
      <c r="R1297">
        <v>300</v>
      </c>
      <c r="S1297">
        <v>2</v>
      </c>
      <c r="T1297" s="21">
        <f t="shared" si="148"/>
        <v>23400000</v>
      </c>
      <c r="U1297">
        <v>300</v>
      </c>
      <c r="V1297">
        <v>2</v>
      </c>
      <c r="W1297" s="21">
        <f t="shared" si="149"/>
        <v>23400000</v>
      </c>
      <c r="X1297">
        <v>0</v>
      </c>
      <c r="Y1297">
        <v>0</v>
      </c>
      <c r="Z1297" s="21">
        <f t="shared" si="150"/>
        <v>0</v>
      </c>
      <c r="AA1297">
        <v>0</v>
      </c>
      <c r="AB1297">
        <v>0</v>
      </c>
      <c r="AC1297" s="21">
        <f t="shared" si="151"/>
        <v>0</v>
      </c>
      <c r="AD1297">
        <v>0</v>
      </c>
      <c r="AE1297">
        <v>0</v>
      </c>
      <c r="AF1297" s="21">
        <f t="shared" si="154"/>
        <v>0</v>
      </c>
    </row>
    <row r="1298" spans="1:32" ht="15" customHeight="1" x14ac:dyDescent="0.3">
      <c r="A1298">
        <v>3</v>
      </c>
      <c r="B1298" s="2" t="s">
        <v>696</v>
      </c>
      <c r="C1298" s="4" t="s">
        <v>689</v>
      </c>
      <c r="D1298" s="3" t="s">
        <v>649</v>
      </c>
      <c r="E1298" s="6" t="s">
        <v>17</v>
      </c>
      <c r="F1298" s="6" t="s">
        <v>246</v>
      </c>
      <c r="G1298" s="6" t="s">
        <v>709</v>
      </c>
      <c r="H1298" s="23">
        <v>28000</v>
      </c>
      <c r="I1298">
        <v>300</v>
      </c>
      <c r="J1298">
        <v>2</v>
      </c>
      <c r="K1298" s="20">
        <f t="shared" si="152"/>
        <v>16800000</v>
      </c>
      <c r="L1298">
        <v>300</v>
      </c>
      <c r="M1298">
        <v>2</v>
      </c>
      <c r="N1298" s="21">
        <f t="shared" si="153"/>
        <v>16800000</v>
      </c>
      <c r="O1298">
        <v>300</v>
      </c>
      <c r="P1298">
        <v>2</v>
      </c>
      <c r="Q1298" s="21">
        <f t="shared" si="147"/>
        <v>16800000</v>
      </c>
      <c r="R1298">
        <v>300</v>
      </c>
      <c r="S1298">
        <v>2</v>
      </c>
      <c r="T1298" s="21">
        <f t="shared" si="148"/>
        <v>16800000</v>
      </c>
      <c r="U1298">
        <v>300</v>
      </c>
      <c r="V1298">
        <v>2</v>
      </c>
      <c r="W1298" s="21">
        <f t="shared" si="149"/>
        <v>16800000</v>
      </c>
      <c r="X1298">
        <v>0</v>
      </c>
      <c r="Y1298">
        <v>0</v>
      </c>
      <c r="Z1298" s="21">
        <f t="shared" si="150"/>
        <v>0</v>
      </c>
      <c r="AA1298">
        <v>0</v>
      </c>
      <c r="AB1298">
        <v>0</v>
      </c>
      <c r="AC1298" s="21">
        <f t="shared" si="151"/>
        <v>0</v>
      </c>
      <c r="AD1298">
        <v>0</v>
      </c>
      <c r="AE1298">
        <v>0</v>
      </c>
      <c r="AF1298" s="21">
        <f t="shared" si="154"/>
        <v>0</v>
      </c>
    </row>
    <row r="1299" spans="1:32" ht="15" customHeight="1" x14ac:dyDescent="0.3">
      <c r="A1299">
        <v>3</v>
      </c>
      <c r="B1299" s="2" t="s">
        <v>696</v>
      </c>
      <c r="C1299" s="4" t="s">
        <v>689</v>
      </c>
      <c r="D1299" s="3" t="s">
        <v>649</v>
      </c>
      <c r="E1299" s="6" t="s">
        <v>17</v>
      </c>
      <c r="F1299" s="6" t="s">
        <v>246</v>
      </c>
      <c r="G1299" s="6" t="s">
        <v>712</v>
      </c>
      <c r="H1299" s="23">
        <v>214.29</v>
      </c>
      <c r="I1299">
        <v>60000</v>
      </c>
      <c r="J1299">
        <v>1</v>
      </c>
      <c r="K1299" s="20">
        <f t="shared" si="152"/>
        <v>12857400</v>
      </c>
      <c r="L1299">
        <v>60000</v>
      </c>
      <c r="M1299">
        <v>1</v>
      </c>
      <c r="N1299" s="21">
        <f t="shared" si="153"/>
        <v>12857400</v>
      </c>
      <c r="O1299">
        <v>60000</v>
      </c>
      <c r="P1299">
        <v>1</v>
      </c>
      <c r="Q1299" s="21">
        <f t="shared" si="147"/>
        <v>12857400</v>
      </c>
      <c r="R1299">
        <v>60000</v>
      </c>
      <c r="S1299">
        <v>1</v>
      </c>
      <c r="T1299" s="21">
        <f t="shared" si="148"/>
        <v>12857400</v>
      </c>
      <c r="U1299">
        <v>60000</v>
      </c>
      <c r="V1299">
        <v>1</v>
      </c>
      <c r="W1299" s="21">
        <f t="shared" si="149"/>
        <v>12857400</v>
      </c>
      <c r="X1299">
        <v>0</v>
      </c>
      <c r="Y1299">
        <v>0</v>
      </c>
      <c r="Z1299" s="21">
        <f t="shared" si="150"/>
        <v>0</v>
      </c>
      <c r="AA1299">
        <v>0</v>
      </c>
      <c r="AB1299">
        <v>0</v>
      </c>
      <c r="AC1299" s="21">
        <f t="shared" si="151"/>
        <v>0</v>
      </c>
      <c r="AD1299">
        <v>0</v>
      </c>
      <c r="AE1299">
        <v>0</v>
      </c>
      <c r="AF1299" s="21">
        <f t="shared" si="154"/>
        <v>0</v>
      </c>
    </row>
    <row r="1300" spans="1:32" ht="15" customHeight="1" x14ac:dyDescent="0.3">
      <c r="A1300">
        <v>3</v>
      </c>
      <c r="B1300" s="2" t="s">
        <v>696</v>
      </c>
      <c r="C1300" s="4" t="s">
        <v>690</v>
      </c>
      <c r="D1300" s="3" t="s">
        <v>650</v>
      </c>
      <c r="E1300" s="6" t="s">
        <v>18</v>
      </c>
      <c r="F1300" s="6" t="s">
        <v>247</v>
      </c>
      <c r="G1300" s="6" t="s">
        <v>709</v>
      </c>
      <c r="H1300" s="23">
        <v>28000</v>
      </c>
      <c r="I1300">
        <v>0</v>
      </c>
      <c r="J1300">
        <v>0</v>
      </c>
      <c r="K1300" s="20">
        <f t="shared" si="152"/>
        <v>0</v>
      </c>
      <c r="L1300">
        <v>0</v>
      </c>
      <c r="M1300">
        <v>0</v>
      </c>
      <c r="N1300" s="21">
        <f t="shared" si="153"/>
        <v>0</v>
      </c>
      <c r="O1300">
        <v>0</v>
      </c>
      <c r="P1300">
        <v>0</v>
      </c>
      <c r="Q1300" s="21">
        <f t="shared" si="147"/>
        <v>0</v>
      </c>
      <c r="R1300">
        <v>0</v>
      </c>
      <c r="S1300">
        <v>0</v>
      </c>
      <c r="T1300" s="21">
        <f t="shared" si="148"/>
        <v>0</v>
      </c>
      <c r="U1300">
        <v>13</v>
      </c>
      <c r="V1300">
        <v>1</v>
      </c>
      <c r="W1300" s="21">
        <f t="shared" si="149"/>
        <v>364000</v>
      </c>
      <c r="X1300">
        <v>0</v>
      </c>
      <c r="Y1300">
        <v>0</v>
      </c>
      <c r="Z1300" s="21">
        <f t="shared" si="150"/>
        <v>0</v>
      </c>
      <c r="AA1300">
        <v>0</v>
      </c>
      <c r="AB1300">
        <v>0</v>
      </c>
      <c r="AC1300" s="21">
        <f t="shared" si="151"/>
        <v>0</v>
      </c>
      <c r="AD1300">
        <v>0</v>
      </c>
      <c r="AE1300">
        <v>0</v>
      </c>
      <c r="AF1300" s="21">
        <f t="shared" si="154"/>
        <v>0</v>
      </c>
    </row>
    <row r="1301" spans="1:32" ht="15" customHeight="1" x14ac:dyDescent="0.3">
      <c r="A1301">
        <v>3</v>
      </c>
      <c r="B1301" s="2" t="s">
        <v>696</v>
      </c>
      <c r="C1301" s="4" t="s">
        <v>690</v>
      </c>
      <c r="D1301" s="3" t="s">
        <v>650</v>
      </c>
      <c r="E1301" s="6" t="s">
        <v>19</v>
      </c>
      <c r="F1301" s="6" t="s">
        <v>248</v>
      </c>
      <c r="G1301" s="6" t="s">
        <v>709</v>
      </c>
      <c r="H1301" s="23">
        <v>28000</v>
      </c>
      <c r="I1301">
        <v>0</v>
      </c>
      <c r="J1301">
        <v>0</v>
      </c>
      <c r="K1301" s="20">
        <f t="shared" si="152"/>
        <v>0</v>
      </c>
      <c r="L1301">
        <v>0</v>
      </c>
      <c r="M1301">
        <v>0</v>
      </c>
      <c r="N1301" s="21">
        <f t="shared" si="153"/>
        <v>0</v>
      </c>
      <c r="O1301">
        <v>0</v>
      </c>
      <c r="P1301">
        <v>0</v>
      </c>
      <c r="Q1301" s="21">
        <f t="shared" si="147"/>
        <v>0</v>
      </c>
      <c r="R1301">
        <v>0</v>
      </c>
      <c r="S1301">
        <v>0</v>
      </c>
      <c r="T1301" s="21">
        <f t="shared" si="148"/>
        <v>0</v>
      </c>
      <c r="U1301">
        <v>25</v>
      </c>
      <c r="V1301">
        <v>1</v>
      </c>
      <c r="W1301" s="21">
        <f t="shared" si="149"/>
        <v>700000</v>
      </c>
      <c r="X1301">
        <v>0</v>
      </c>
      <c r="Y1301">
        <v>0</v>
      </c>
      <c r="Z1301" s="21">
        <f t="shared" si="150"/>
        <v>0</v>
      </c>
      <c r="AA1301">
        <v>0</v>
      </c>
      <c r="AB1301">
        <v>0</v>
      </c>
      <c r="AC1301" s="21">
        <f t="shared" si="151"/>
        <v>0</v>
      </c>
      <c r="AD1301">
        <v>0</v>
      </c>
      <c r="AE1301">
        <v>0</v>
      </c>
      <c r="AF1301" s="21">
        <f t="shared" si="154"/>
        <v>0</v>
      </c>
    </row>
    <row r="1302" spans="1:32" ht="15" customHeight="1" x14ac:dyDescent="0.3">
      <c r="A1302">
        <v>3</v>
      </c>
      <c r="B1302" s="2" t="s">
        <v>696</v>
      </c>
      <c r="C1302" s="4" t="s">
        <v>690</v>
      </c>
      <c r="D1302" s="3" t="s">
        <v>650</v>
      </c>
      <c r="E1302" s="6" t="s">
        <v>20</v>
      </c>
      <c r="F1302" s="6" t="s">
        <v>727</v>
      </c>
      <c r="G1302" s="6" t="s">
        <v>709</v>
      </c>
      <c r="H1302" s="23">
        <v>28000</v>
      </c>
      <c r="I1302">
        <v>0</v>
      </c>
      <c r="J1302">
        <v>0</v>
      </c>
      <c r="K1302" s="20">
        <f t="shared" si="152"/>
        <v>0</v>
      </c>
      <c r="L1302">
        <v>0</v>
      </c>
      <c r="M1302">
        <v>0</v>
      </c>
      <c r="N1302" s="21">
        <f t="shared" si="153"/>
        <v>0</v>
      </c>
      <c r="O1302">
        <v>0</v>
      </c>
      <c r="P1302">
        <v>0</v>
      </c>
      <c r="Q1302" s="21">
        <f t="shared" si="147"/>
        <v>0</v>
      </c>
      <c r="R1302">
        <v>0</v>
      </c>
      <c r="S1302">
        <v>0</v>
      </c>
      <c r="T1302" s="21">
        <f t="shared" si="148"/>
        <v>0</v>
      </c>
      <c r="U1302">
        <v>50</v>
      </c>
      <c r="V1302">
        <v>8</v>
      </c>
      <c r="W1302" s="21">
        <f t="shared" si="149"/>
        <v>11200000</v>
      </c>
      <c r="X1302">
        <v>0</v>
      </c>
      <c r="Y1302">
        <v>0</v>
      </c>
      <c r="Z1302" s="21">
        <f t="shared" si="150"/>
        <v>0</v>
      </c>
      <c r="AA1302">
        <v>0</v>
      </c>
      <c r="AB1302">
        <v>0</v>
      </c>
      <c r="AC1302" s="21">
        <f t="shared" si="151"/>
        <v>0</v>
      </c>
      <c r="AD1302">
        <v>0</v>
      </c>
      <c r="AE1302">
        <v>0</v>
      </c>
      <c r="AF1302" s="21">
        <f t="shared" si="154"/>
        <v>0</v>
      </c>
    </row>
    <row r="1303" spans="1:32" ht="15" customHeight="1" x14ac:dyDescent="0.3">
      <c r="A1303">
        <v>3</v>
      </c>
      <c r="B1303" s="2" t="s">
        <v>696</v>
      </c>
      <c r="C1303" s="4" t="s">
        <v>690</v>
      </c>
      <c r="D1303" s="3" t="s">
        <v>650</v>
      </c>
      <c r="E1303" s="6" t="s">
        <v>20</v>
      </c>
      <c r="F1303" s="6" t="s">
        <v>727</v>
      </c>
      <c r="G1303" s="6" t="s">
        <v>712</v>
      </c>
      <c r="H1303" s="23">
        <v>214.29</v>
      </c>
      <c r="I1303">
        <v>0</v>
      </c>
      <c r="J1303">
        <v>0</v>
      </c>
      <c r="K1303" s="20">
        <f t="shared" si="152"/>
        <v>0</v>
      </c>
      <c r="L1303">
        <v>0</v>
      </c>
      <c r="M1303">
        <v>0</v>
      </c>
      <c r="N1303" s="21">
        <f t="shared" si="153"/>
        <v>0</v>
      </c>
      <c r="O1303">
        <v>0</v>
      </c>
      <c r="P1303">
        <v>0</v>
      </c>
      <c r="Q1303" s="21">
        <f t="shared" si="147"/>
        <v>0</v>
      </c>
      <c r="R1303">
        <v>0</v>
      </c>
      <c r="S1303">
        <v>0</v>
      </c>
      <c r="T1303" s="21">
        <f t="shared" si="148"/>
        <v>0</v>
      </c>
      <c r="U1303">
        <v>4000</v>
      </c>
      <c r="V1303">
        <v>1</v>
      </c>
      <c r="W1303" s="21">
        <f t="shared" si="149"/>
        <v>857160</v>
      </c>
      <c r="X1303">
        <v>0</v>
      </c>
      <c r="Y1303">
        <v>0</v>
      </c>
      <c r="Z1303" s="21">
        <f t="shared" si="150"/>
        <v>0</v>
      </c>
      <c r="AA1303">
        <v>0</v>
      </c>
      <c r="AB1303">
        <v>0</v>
      </c>
      <c r="AC1303" s="21">
        <f t="shared" si="151"/>
        <v>0</v>
      </c>
      <c r="AD1303">
        <v>0</v>
      </c>
      <c r="AE1303">
        <v>0</v>
      </c>
      <c r="AF1303" s="21">
        <f t="shared" si="154"/>
        <v>0</v>
      </c>
    </row>
    <row r="1304" spans="1:32" ht="15" customHeight="1" x14ac:dyDescent="0.3">
      <c r="A1304">
        <v>3</v>
      </c>
      <c r="B1304" s="2" t="s">
        <v>696</v>
      </c>
      <c r="C1304" s="4" t="s">
        <v>690</v>
      </c>
      <c r="D1304" s="3" t="s">
        <v>650</v>
      </c>
      <c r="E1304" s="6" t="s">
        <v>20</v>
      </c>
      <c r="F1304" s="6" t="s">
        <v>727</v>
      </c>
      <c r="G1304" s="6" t="s">
        <v>716</v>
      </c>
      <c r="H1304" s="15">
        <v>39000</v>
      </c>
      <c r="I1304">
        <v>0</v>
      </c>
      <c r="J1304">
        <v>0</v>
      </c>
      <c r="K1304" s="20">
        <f t="shared" si="152"/>
        <v>0</v>
      </c>
      <c r="L1304">
        <v>0</v>
      </c>
      <c r="M1304">
        <v>0</v>
      </c>
      <c r="N1304" s="21">
        <f t="shared" si="153"/>
        <v>0</v>
      </c>
      <c r="O1304">
        <v>0</v>
      </c>
      <c r="P1304">
        <v>0</v>
      </c>
      <c r="Q1304" s="21">
        <f t="shared" si="147"/>
        <v>0</v>
      </c>
      <c r="R1304">
        <v>0</v>
      </c>
      <c r="S1304">
        <v>0</v>
      </c>
      <c r="T1304" s="21">
        <f t="shared" si="148"/>
        <v>0</v>
      </c>
      <c r="U1304">
        <v>50</v>
      </c>
      <c r="V1304">
        <v>8</v>
      </c>
      <c r="W1304" s="21">
        <f t="shared" si="149"/>
        <v>15600000</v>
      </c>
      <c r="X1304">
        <v>0</v>
      </c>
      <c r="Y1304">
        <v>0</v>
      </c>
      <c r="Z1304" s="21">
        <f t="shared" si="150"/>
        <v>0</v>
      </c>
      <c r="AA1304">
        <v>0</v>
      </c>
      <c r="AB1304">
        <v>0</v>
      </c>
      <c r="AC1304" s="21">
        <f t="shared" si="151"/>
        <v>0</v>
      </c>
      <c r="AD1304">
        <v>0</v>
      </c>
      <c r="AE1304">
        <v>0</v>
      </c>
      <c r="AF1304" s="21">
        <f t="shared" si="154"/>
        <v>0</v>
      </c>
    </row>
    <row r="1305" spans="1:32" ht="15" customHeight="1" x14ac:dyDescent="0.3">
      <c r="A1305">
        <v>3</v>
      </c>
      <c r="B1305" s="2" t="s">
        <v>696</v>
      </c>
      <c r="C1305" s="4" t="s">
        <v>690</v>
      </c>
      <c r="D1305" s="3" t="s">
        <v>650</v>
      </c>
      <c r="E1305" s="6" t="s">
        <v>21</v>
      </c>
      <c r="F1305" s="6" t="s">
        <v>728</v>
      </c>
      <c r="G1305" s="6" t="s">
        <v>709</v>
      </c>
      <c r="H1305" s="23">
        <v>28000</v>
      </c>
      <c r="I1305">
        <v>0</v>
      </c>
      <c r="J1305">
        <v>0</v>
      </c>
      <c r="K1305" s="20">
        <f t="shared" si="152"/>
        <v>0</v>
      </c>
      <c r="L1305">
        <v>0</v>
      </c>
      <c r="M1305">
        <v>0</v>
      </c>
      <c r="N1305" s="21">
        <f t="shared" si="153"/>
        <v>0</v>
      </c>
      <c r="O1305">
        <v>0</v>
      </c>
      <c r="P1305">
        <v>0</v>
      </c>
      <c r="Q1305" s="21">
        <f t="shared" si="147"/>
        <v>0</v>
      </c>
      <c r="R1305">
        <v>0</v>
      </c>
      <c r="S1305">
        <v>0</v>
      </c>
      <c r="T1305" s="21">
        <f t="shared" si="148"/>
        <v>0</v>
      </c>
      <c r="U1305">
        <v>13</v>
      </c>
      <c r="V1305">
        <v>1</v>
      </c>
      <c r="W1305" s="21">
        <f t="shared" si="149"/>
        <v>364000</v>
      </c>
      <c r="X1305">
        <v>0</v>
      </c>
      <c r="Y1305">
        <v>0</v>
      </c>
      <c r="Z1305" s="21">
        <f t="shared" si="150"/>
        <v>0</v>
      </c>
      <c r="AA1305">
        <v>0</v>
      </c>
      <c r="AB1305">
        <v>0</v>
      </c>
      <c r="AC1305" s="21">
        <f t="shared" si="151"/>
        <v>0</v>
      </c>
      <c r="AD1305">
        <v>0</v>
      </c>
      <c r="AE1305">
        <v>0</v>
      </c>
      <c r="AF1305" s="21">
        <f t="shared" si="154"/>
        <v>0</v>
      </c>
    </row>
    <row r="1306" spans="1:32" ht="15" customHeight="1" x14ac:dyDescent="0.3">
      <c r="A1306">
        <v>3</v>
      </c>
      <c r="B1306" s="2" t="s">
        <v>696</v>
      </c>
      <c r="C1306" s="4" t="s">
        <v>690</v>
      </c>
      <c r="D1306" s="3" t="s">
        <v>650</v>
      </c>
      <c r="E1306" s="6" t="s">
        <v>22</v>
      </c>
      <c r="F1306" s="6" t="s">
        <v>251</v>
      </c>
      <c r="G1306" s="6" t="s">
        <v>709</v>
      </c>
      <c r="H1306" s="23">
        <v>28000</v>
      </c>
      <c r="I1306">
        <v>15</v>
      </c>
      <c r="J1306">
        <v>8</v>
      </c>
      <c r="K1306" s="20">
        <f t="shared" si="152"/>
        <v>3360000</v>
      </c>
      <c r="L1306">
        <v>15</v>
      </c>
      <c r="M1306">
        <v>8</v>
      </c>
      <c r="N1306" s="21">
        <f t="shared" si="153"/>
        <v>3360000</v>
      </c>
      <c r="O1306">
        <v>15</v>
      </c>
      <c r="P1306">
        <v>8</v>
      </c>
      <c r="Q1306" s="21">
        <f t="shared" si="147"/>
        <v>3360000</v>
      </c>
      <c r="R1306">
        <v>15</v>
      </c>
      <c r="S1306">
        <v>8</v>
      </c>
      <c r="T1306" s="21">
        <f t="shared" si="148"/>
        <v>3360000</v>
      </c>
      <c r="U1306">
        <v>15</v>
      </c>
      <c r="V1306">
        <v>8</v>
      </c>
      <c r="W1306" s="21">
        <f t="shared" si="149"/>
        <v>3360000</v>
      </c>
      <c r="X1306">
        <v>0</v>
      </c>
      <c r="Y1306">
        <v>0</v>
      </c>
      <c r="Z1306" s="21">
        <f t="shared" si="150"/>
        <v>0</v>
      </c>
      <c r="AA1306">
        <v>0</v>
      </c>
      <c r="AB1306">
        <v>0</v>
      </c>
      <c r="AC1306" s="21">
        <f t="shared" si="151"/>
        <v>0</v>
      </c>
      <c r="AD1306">
        <v>0</v>
      </c>
      <c r="AE1306">
        <v>0</v>
      </c>
      <c r="AF1306" s="21">
        <f t="shared" si="154"/>
        <v>0</v>
      </c>
    </row>
    <row r="1307" spans="1:32" ht="15" customHeight="1" x14ac:dyDescent="0.3">
      <c r="A1307">
        <v>3</v>
      </c>
      <c r="B1307" s="2" t="s">
        <v>696</v>
      </c>
      <c r="C1307" s="4" t="s">
        <v>690</v>
      </c>
      <c r="D1307" s="3" t="s">
        <v>650</v>
      </c>
      <c r="E1307" s="6" t="s">
        <v>22</v>
      </c>
      <c r="F1307" s="6" t="s">
        <v>251</v>
      </c>
      <c r="G1307" s="6" t="s">
        <v>716</v>
      </c>
      <c r="H1307" s="15">
        <v>39000</v>
      </c>
      <c r="I1307">
        <v>15</v>
      </c>
      <c r="J1307">
        <v>8</v>
      </c>
      <c r="K1307" s="20">
        <f t="shared" si="152"/>
        <v>4680000</v>
      </c>
      <c r="L1307">
        <v>15</v>
      </c>
      <c r="M1307">
        <v>8</v>
      </c>
      <c r="N1307" s="21">
        <f t="shared" si="153"/>
        <v>4680000</v>
      </c>
      <c r="O1307">
        <v>15</v>
      </c>
      <c r="P1307">
        <v>8</v>
      </c>
      <c r="Q1307" s="21">
        <f t="shared" si="147"/>
        <v>4680000</v>
      </c>
      <c r="R1307">
        <v>15</v>
      </c>
      <c r="S1307">
        <v>8</v>
      </c>
      <c r="T1307" s="21">
        <f t="shared" si="148"/>
        <v>4680000</v>
      </c>
      <c r="U1307">
        <v>15</v>
      </c>
      <c r="V1307">
        <v>8</v>
      </c>
      <c r="W1307" s="21">
        <f t="shared" si="149"/>
        <v>4680000</v>
      </c>
      <c r="X1307">
        <v>0</v>
      </c>
      <c r="Y1307">
        <v>0</v>
      </c>
      <c r="Z1307" s="21">
        <f t="shared" si="150"/>
        <v>0</v>
      </c>
      <c r="AA1307">
        <v>0</v>
      </c>
      <c r="AB1307">
        <v>0</v>
      </c>
      <c r="AC1307" s="21">
        <f t="shared" si="151"/>
        <v>0</v>
      </c>
      <c r="AD1307">
        <v>0</v>
      </c>
      <c r="AE1307">
        <v>0</v>
      </c>
      <c r="AF1307" s="21">
        <f t="shared" si="154"/>
        <v>0</v>
      </c>
    </row>
    <row r="1308" spans="1:32" ht="15" customHeight="1" x14ac:dyDescent="0.3">
      <c r="A1308">
        <v>3</v>
      </c>
      <c r="B1308" s="2" t="s">
        <v>696</v>
      </c>
      <c r="C1308" s="4" t="s">
        <v>690</v>
      </c>
      <c r="D1308" s="3" t="s">
        <v>650</v>
      </c>
      <c r="E1308" s="6" t="s">
        <v>22</v>
      </c>
      <c r="F1308" s="6" t="s">
        <v>251</v>
      </c>
      <c r="G1308" s="6" t="s">
        <v>712</v>
      </c>
      <c r="H1308" s="23">
        <v>214.29</v>
      </c>
      <c r="I1308">
        <v>4000</v>
      </c>
      <c r="J1308">
        <v>1</v>
      </c>
      <c r="K1308" s="20">
        <f t="shared" si="152"/>
        <v>857160</v>
      </c>
      <c r="L1308">
        <v>4000</v>
      </c>
      <c r="M1308">
        <v>1</v>
      </c>
      <c r="N1308" s="21">
        <f t="shared" si="153"/>
        <v>857160</v>
      </c>
      <c r="O1308">
        <v>4000</v>
      </c>
      <c r="P1308">
        <v>1</v>
      </c>
      <c r="Q1308" s="21">
        <f t="shared" si="147"/>
        <v>857160</v>
      </c>
      <c r="R1308">
        <v>4000</v>
      </c>
      <c r="S1308">
        <v>1</v>
      </c>
      <c r="T1308" s="21">
        <f t="shared" si="148"/>
        <v>857160</v>
      </c>
      <c r="U1308">
        <v>4000</v>
      </c>
      <c r="V1308">
        <v>1</v>
      </c>
      <c r="W1308" s="21">
        <f t="shared" si="149"/>
        <v>857160</v>
      </c>
      <c r="X1308">
        <v>0</v>
      </c>
      <c r="Y1308">
        <v>0</v>
      </c>
      <c r="Z1308" s="21">
        <f t="shared" si="150"/>
        <v>0</v>
      </c>
      <c r="AA1308">
        <v>0</v>
      </c>
      <c r="AB1308">
        <v>0</v>
      </c>
      <c r="AC1308" s="21">
        <f t="shared" si="151"/>
        <v>0</v>
      </c>
      <c r="AD1308">
        <v>0</v>
      </c>
      <c r="AE1308">
        <v>0</v>
      </c>
      <c r="AF1308" s="21">
        <f t="shared" si="154"/>
        <v>0</v>
      </c>
    </row>
    <row r="1309" spans="1:32" ht="15" customHeight="1" x14ac:dyDescent="0.3">
      <c r="A1309">
        <v>3</v>
      </c>
      <c r="B1309" s="2" t="s">
        <v>696</v>
      </c>
      <c r="C1309" s="4" t="s">
        <v>690</v>
      </c>
      <c r="D1309" s="3" t="s">
        <v>650</v>
      </c>
      <c r="E1309" s="6" t="s">
        <v>22</v>
      </c>
      <c r="F1309" s="6" t="s">
        <v>252</v>
      </c>
      <c r="G1309" s="6" t="s">
        <v>716</v>
      </c>
      <c r="H1309" s="15">
        <v>39000</v>
      </c>
      <c r="I1309">
        <v>50</v>
      </c>
      <c r="J1309">
        <v>3</v>
      </c>
      <c r="K1309" s="20">
        <f t="shared" si="152"/>
        <v>5850000</v>
      </c>
      <c r="L1309">
        <v>50</v>
      </c>
      <c r="M1309">
        <v>3</v>
      </c>
      <c r="N1309" s="21">
        <f t="shared" si="153"/>
        <v>5850000</v>
      </c>
      <c r="O1309">
        <v>50</v>
      </c>
      <c r="P1309">
        <v>3</v>
      </c>
      <c r="Q1309" s="21">
        <f t="shared" si="147"/>
        <v>5850000</v>
      </c>
      <c r="R1309">
        <v>50</v>
      </c>
      <c r="S1309">
        <v>3</v>
      </c>
      <c r="T1309" s="21">
        <f t="shared" si="148"/>
        <v>5850000</v>
      </c>
      <c r="U1309">
        <v>50</v>
      </c>
      <c r="V1309">
        <v>3</v>
      </c>
      <c r="W1309" s="21">
        <f t="shared" si="149"/>
        <v>5850000</v>
      </c>
      <c r="X1309">
        <v>0</v>
      </c>
      <c r="Y1309">
        <v>0</v>
      </c>
      <c r="Z1309" s="21">
        <f t="shared" si="150"/>
        <v>0</v>
      </c>
      <c r="AA1309">
        <v>0</v>
      </c>
      <c r="AB1309">
        <v>0</v>
      </c>
      <c r="AC1309" s="21">
        <f t="shared" si="151"/>
        <v>0</v>
      </c>
      <c r="AD1309">
        <v>0</v>
      </c>
      <c r="AE1309">
        <v>0</v>
      </c>
      <c r="AF1309" s="21">
        <f t="shared" si="154"/>
        <v>0</v>
      </c>
    </row>
    <row r="1310" spans="1:32" ht="15" customHeight="1" x14ac:dyDescent="0.3">
      <c r="A1310">
        <v>3</v>
      </c>
      <c r="B1310" s="2" t="s">
        <v>696</v>
      </c>
      <c r="C1310" s="4" t="s">
        <v>690</v>
      </c>
      <c r="D1310" s="3" t="s">
        <v>650</v>
      </c>
      <c r="E1310" s="6" t="s">
        <v>22</v>
      </c>
      <c r="F1310" s="6" t="s">
        <v>252</v>
      </c>
      <c r="G1310" s="6" t="s">
        <v>712</v>
      </c>
      <c r="H1310" s="23">
        <v>214.29</v>
      </c>
      <c r="I1310">
        <v>8000</v>
      </c>
      <c r="J1310">
        <v>1</v>
      </c>
      <c r="K1310" s="20">
        <f t="shared" si="152"/>
        <v>1714320</v>
      </c>
      <c r="L1310">
        <v>8000</v>
      </c>
      <c r="M1310">
        <v>1</v>
      </c>
      <c r="N1310" s="21">
        <f t="shared" si="153"/>
        <v>1714320</v>
      </c>
      <c r="O1310">
        <v>8000</v>
      </c>
      <c r="P1310">
        <v>1</v>
      </c>
      <c r="Q1310" s="21">
        <f t="shared" si="147"/>
        <v>1714320</v>
      </c>
      <c r="R1310">
        <v>8000</v>
      </c>
      <c r="S1310">
        <v>1</v>
      </c>
      <c r="T1310" s="21">
        <f t="shared" si="148"/>
        <v>1714320</v>
      </c>
      <c r="U1310">
        <v>8000</v>
      </c>
      <c r="V1310">
        <v>1</v>
      </c>
      <c r="W1310" s="21">
        <f t="shared" si="149"/>
        <v>1714320</v>
      </c>
      <c r="X1310">
        <v>0</v>
      </c>
      <c r="Y1310">
        <v>0</v>
      </c>
      <c r="Z1310" s="21">
        <f t="shared" si="150"/>
        <v>0</v>
      </c>
      <c r="AA1310">
        <v>0</v>
      </c>
      <c r="AB1310">
        <v>0</v>
      </c>
      <c r="AC1310" s="21">
        <f t="shared" si="151"/>
        <v>0</v>
      </c>
      <c r="AD1310">
        <v>0</v>
      </c>
      <c r="AE1310">
        <v>0</v>
      </c>
      <c r="AF1310" s="21">
        <f t="shared" si="154"/>
        <v>0</v>
      </c>
    </row>
    <row r="1311" spans="1:32" ht="15" customHeight="1" x14ac:dyDescent="0.3">
      <c r="A1311">
        <v>3</v>
      </c>
      <c r="B1311" s="2" t="s">
        <v>696</v>
      </c>
      <c r="C1311" s="4" t="s">
        <v>690</v>
      </c>
      <c r="D1311" s="3" t="s">
        <v>650</v>
      </c>
      <c r="E1311" s="6" t="s">
        <v>22</v>
      </c>
      <c r="F1311" s="6" t="s">
        <v>252</v>
      </c>
      <c r="G1311" s="6" t="s">
        <v>709</v>
      </c>
      <c r="H1311" s="23">
        <v>28000</v>
      </c>
      <c r="I1311">
        <v>50</v>
      </c>
      <c r="J1311">
        <v>3</v>
      </c>
      <c r="K1311" s="20">
        <f t="shared" si="152"/>
        <v>4200000</v>
      </c>
      <c r="L1311">
        <v>50</v>
      </c>
      <c r="M1311">
        <v>3</v>
      </c>
      <c r="N1311" s="21">
        <f t="shared" si="153"/>
        <v>4200000</v>
      </c>
      <c r="O1311">
        <v>50</v>
      </c>
      <c r="P1311">
        <v>3</v>
      </c>
      <c r="Q1311" s="21">
        <f t="shared" si="147"/>
        <v>4200000</v>
      </c>
      <c r="R1311">
        <v>50</v>
      </c>
      <c r="S1311">
        <v>3</v>
      </c>
      <c r="T1311" s="21">
        <f t="shared" si="148"/>
        <v>4200000</v>
      </c>
      <c r="U1311">
        <v>50</v>
      </c>
      <c r="V1311">
        <v>3</v>
      </c>
      <c r="W1311" s="21">
        <f t="shared" si="149"/>
        <v>4200000</v>
      </c>
      <c r="X1311">
        <v>0</v>
      </c>
      <c r="Y1311">
        <v>0</v>
      </c>
      <c r="Z1311" s="21">
        <f t="shared" si="150"/>
        <v>0</v>
      </c>
      <c r="AA1311">
        <v>0</v>
      </c>
      <c r="AB1311">
        <v>0</v>
      </c>
      <c r="AC1311" s="21">
        <f t="shared" si="151"/>
        <v>0</v>
      </c>
      <c r="AD1311">
        <v>0</v>
      </c>
      <c r="AE1311">
        <v>0</v>
      </c>
      <c r="AF1311" s="21">
        <f t="shared" si="154"/>
        <v>0</v>
      </c>
    </row>
    <row r="1312" spans="1:32" ht="15" customHeight="1" x14ac:dyDescent="0.3">
      <c r="A1312">
        <v>3</v>
      </c>
      <c r="B1312" s="2" t="s">
        <v>696</v>
      </c>
      <c r="C1312" s="4" t="s">
        <v>690</v>
      </c>
      <c r="D1312" s="3" t="s">
        <v>651</v>
      </c>
      <c r="E1312" s="6" t="s">
        <v>23</v>
      </c>
      <c r="F1312" s="6" t="s">
        <v>253</v>
      </c>
      <c r="G1312" s="6" t="s">
        <v>718</v>
      </c>
      <c r="H1312" s="23">
        <v>0</v>
      </c>
      <c r="I1312">
        <v>0</v>
      </c>
      <c r="J1312">
        <v>0</v>
      </c>
      <c r="K1312" s="20">
        <f t="shared" si="152"/>
        <v>0</v>
      </c>
      <c r="L1312">
        <v>0</v>
      </c>
      <c r="M1312">
        <v>0</v>
      </c>
      <c r="N1312" s="21">
        <f t="shared" si="153"/>
        <v>0</v>
      </c>
      <c r="O1312">
        <v>0</v>
      </c>
      <c r="P1312">
        <v>0</v>
      </c>
      <c r="Q1312" s="21">
        <f t="shared" si="147"/>
        <v>0</v>
      </c>
      <c r="R1312">
        <v>0</v>
      </c>
      <c r="S1312">
        <v>0</v>
      </c>
      <c r="T1312" s="21">
        <f t="shared" si="148"/>
        <v>0</v>
      </c>
      <c r="U1312">
        <v>0</v>
      </c>
      <c r="V1312">
        <v>0</v>
      </c>
      <c r="W1312" s="21">
        <f t="shared" si="149"/>
        <v>0</v>
      </c>
      <c r="X1312">
        <v>0</v>
      </c>
      <c r="Y1312">
        <v>0</v>
      </c>
      <c r="Z1312" s="21">
        <f t="shared" si="150"/>
        <v>0</v>
      </c>
      <c r="AA1312">
        <v>0</v>
      </c>
      <c r="AB1312">
        <v>0</v>
      </c>
      <c r="AC1312" s="21">
        <f t="shared" si="151"/>
        <v>0</v>
      </c>
      <c r="AD1312">
        <v>0</v>
      </c>
      <c r="AE1312">
        <v>0</v>
      </c>
      <c r="AF1312" s="21">
        <f t="shared" si="154"/>
        <v>0</v>
      </c>
    </row>
    <row r="1313" spans="1:32" ht="15" customHeight="1" x14ac:dyDescent="0.3">
      <c r="A1313">
        <v>3</v>
      </c>
      <c r="B1313" s="2" t="s">
        <v>696</v>
      </c>
      <c r="C1313" s="4" t="s">
        <v>690</v>
      </c>
      <c r="D1313" s="3" t="s">
        <v>651</v>
      </c>
      <c r="E1313" s="6" t="s">
        <v>23</v>
      </c>
      <c r="F1313" s="6" t="s">
        <v>214</v>
      </c>
      <c r="G1313" s="6" t="s">
        <v>718</v>
      </c>
      <c r="H1313" s="23">
        <v>0</v>
      </c>
      <c r="I1313">
        <v>0</v>
      </c>
      <c r="J1313">
        <v>0</v>
      </c>
      <c r="K1313" s="20">
        <f t="shared" si="152"/>
        <v>0</v>
      </c>
      <c r="L1313">
        <v>0</v>
      </c>
      <c r="M1313">
        <v>0</v>
      </c>
      <c r="N1313" s="21">
        <f t="shared" si="153"/>
        <v>0</v>
      </c>
      <c r="O1313">
        <v>0</v>
      </c>
      <c r="P1313">
        <v>0</v>
      </c>
      <c r="Q1313" s="21">
        <f t="shared" si="147"/>
        <v>0</v>
      </c>
      <c r="R1313">
        <v>0</v>
      </c>
      <c r="S1313">
        <v>0</v>
      </c>
      <c r="T1313" s="21">
        <f t="shared" si="148"/>
        <v>0</v>
      </c>
      <c r="U1313">
        <v>0</v>
      </c>
      <c r="V1313">
        <v>0</v>
      </c>
      <c r="W1313" s="21">
        <f t="shared" si="149"/>
        <v>0</v>
      </c>
      <c r="X1313">
        <v>0</v>
      </c>
      <c r="Y1313">
        <v>0</v>
      </c>
      <c r="Z1313" s="21">
        <f t="shared" si="150"/>
        <v>0</v>
      </c>
      <c r="AA1313">
        <v>0</v>
      </c>
      <c r="AB1313">
        <v>0</v>
      </c>
      <c r="AC1313" s="21">
        <f t="shared" si="151"/>
        <v>0</v>
      </c>
      <c r="AD1313">
        <v>0</v>
      </c>
      <c r="AE1313">
        <v>0</v>
      </c>
      <c r="AF1313" s="21">
        <f t="shared" si="154"/>
        <v>0</v>
      </c>
    </row>
    <row r="1314" spans="1:32" ht="15" customHeight="1" x14ac:dyDescent="0.3">
      <c r="A1314">
        <v>3</v>
      </c>
      <c r="B1314" s="2" t="s">
        <v>696</v>
      </c>
      <c r="C1314" s="4" t="s">
        <v>690</v>
      </c>
      <c r="D1314" s="3" t="s">
        <v>651</v>
      </c>
      <c r="E1314" s="6" t="s">
        <v>23</v>
      </c>
      <c r="F1314" s="6" t="s">
        <v>254</v>
      </c>
      <c r="G1314" s="6" t="s">
        <v>716</v>
      </c>
      <c r="H1314" s="15">
        <v>39000</v>
      </c>
      <c r="I1314">
        <v>20</v>
      </c>
      <c r="J1314">
        <v>3</v>
      </c>
      <c r="K1314" s="20">
        <f t="shared" si="152"/>
        <v>2340000</v>
      </c>
      <c r="L1314">
        <v>0</v>
      </c>
      <c r="M1314">
        <v>0</v>
      </c>
      <c r="N1314" s="21">
        <f t="shared" si="153"/>
        <v>0</v>
      </c>
      <c r="O1314">
        <v>0</v>
      </c>
      <c r="P1314">
        <v>0</v>
      </c>
      <c r="Q1314" s="21">
        <f t="shared" si="147"/>
        <v>0</v>
      </c>
      <c r="R1314">
        <v>0</v>
      </c>
      <c r="S1314">
        <v>0</v>
      </c>
      <c r="T1314" s="21">
        <f t="shared" si="148"/>
        <v>0</v>
      </c>
      <c r="U1314">
        <v>0</v>
      </c>
      <c r="V1314">
        <v>0</v>
      </c>
      <c r="W1314" s="21">
        <f t="shared" si="149"/>
        <v>0</v>
      </c>
      <c r="X1314">
        <v>0</v>
      </c>
      <c r="Y1314">
        <v>0</v>
      </c>
      <c r="Z1314" s="21">
        <f t="shared" si="150"/>
        <v>0</v>
      </c>
      <c r="AA1314">
        <v>0</v>
      </c>
      <c r="AB1314">
        <v>0</v>
      </c>
      <c r="AC1314" s="21">
        <f t="shared" si="151"/>
        <v>0</v>
      </c>
      <c r="AD1314">
        <v>0</v>
      </c>
      <c r="AE1314">
        <v>0</v>
      </c>
      <c r="AF1314" s="21">
        <f t="shared" si="154"/>
        <v>0</v>
      </c>
    </row>
    <row r="1315" spans="1:32" ht="15" customHeight="1" x14ac:dyDescent="0.3">
      <c r="A1315">
        <v>3</v>
      </c>
      <c r="B1315" s="2" t="s">
        <v>696</v>
      </c>
      <c r="C1315" s="4" t="s">
        <v>690</v>
      </c>
      <c r="D1315" s="3" t="s">
        <v>651</v>
      </c>
      <c r="E1315" s="6" t="s">
        <v>23</v>
      </c>
      <c r="F1315" s="6" t="s">
        <v>254</v>
      </c>
      <c r="G1315" s="6" t="s">
        <v>709</v>
      </c>
      <c r="H1315" s="23">
        <v>28000</v>
      </c>
      <c r="I1315">
        <v>20</v>
      </c>
      <c r="J1315">
        <v>3</v>
      </c>
      <c r="K1315" s="20">
        <f t="shared" si="152"/>
        <v>1680000</v>
      </c>
      <c r="L1315">
        <v>0</v>
      </c>
      <c r="M1315">
        <v>0</v>
      </c>
      <c r="N1315" s="21">
        <f t="shared" si="153"/>
        <v>0</v>
      </c>
      <c r="O1315">
        <v>0</v>
      </c>
      <c r="P1315">
        <v>0</v>
      </c>
      <c r="Q1315" s="21">
        <f t="shared" si="147"/>
        <v>0</v>
      </c>
      <c r="R1315">
        <v>0</v>
      </c>
      <c r="S1315">
        <v>0</v>
      </c>
      <c r="T1315" s="21">
        <f t="shared" si="148"/>
        <v>0</v>
      </c>
      <c r="U1315">
        <v>0</v>
      </c>
      <c r="V1315">
        <v>0</v>
      </c>
      <c r="W1315" s="21">
        <f t="shared" si="149"/>
        <v>0</v>
      </c>
      <c r="X1315">
        <v>0</v>
      </c>
      <c r="Y1315">
        <v>0</v>
      </c>
      <c r="Z1315" s="21">
        <f t="shared" si="150"/>
        <v>0</v>
      </c>
      <c r="AA1315">
        <v>0</v>
      </c>
      <c r="AB1315">
        <v>0</v>
      </c>
      <c r="AC1315" s="21">
        <f t="shared" si="151"/>
        <v>0</v>
      </c>
      <c r="AD1315">
        <v>0</v>
      </c>
      <c r="AE1315">
        <v>0</v>
      </c>
      <c r="AF1315" s="21">
        <f t="shared" si="154"/>
        <v>0</v>
      </c>
    </row>
    <row r="1316" spans="1:32" ht="15" customHeight="1" x14ac:dyDescent="0.3">
      <c r="A1316">
        <v>3</v>
      </c>
      <c r="B1316" s="2" t="s">
        <v>696</v>
      </c>
      <c r="C1316" s="4" t="s">
        <v>690</v>
      </c>
      <c r="D1316" s="3" t="s">
        <v>651</v>
      </c>
      <c r="E1316" s="6" t="s">
        <v>23</v>
      </c>
      <c r="F1316" s="6" t="s">
        <v>254</v>
      </c>
      <c r="G1316" s="6" t="s">
        <v>712</v>
      </c>
      <c r="H1316" s="23">
        <v>214.29</v>
      </c>
      <c r="I1316">
        <v>4000</v>
      </c>
      <c r="J1316">
        <v>1</v>
      </c>
      <c r="K1316" s="20">
        <f t="shared" si="152"/>
        <v>857160</v>
      </c>
      <c r="L1316">
        <v>0</v>
      </c>
      <c r="M1316">
        <v>0</v>
      </c>
      <c r="N1316" s="21">
        <f t="shared" si="153"/>
        <v>0</v>
      </c>
      <c r="O1316">
        <v>0</v>
      </c>
      <c r="P1316">
        <v>0</v>
      </c>
      <c r="Q1316" s="21">
        <f t="shared" si="147"/>
        <v>0</v>
      </c>
      <c r="R1316">
        <v>0</v>
      </c>
      <c r="S1316">
        <v>0</v>
      </c>
      <c r="T1316" s="21">
        <f t="shared" si="148"/>
        <v>0</v>
      </c>
      <c r="U1316">
        <v>0</v>
      </c>
      <c r="V1316">
        <v>0</v>
      </c>
      <c r="W1316" s="21">
        <f t="shared" si="149"/>
        <v>0</v>
      </c>
      <c r="X1316">
        <v>0</v>
      </c>
      <c r="Y1316">
        <v>0</v>
      </c>
      <c r="Z1316" s="21">
        <f t="shared" si="150"/>
        <v>0</v>
      </c>
      <c r="AA1316">
        <v>0</v>
      </c>
      <c r="AB1316">
        <v>0</v>
      </c>
      <c r="AC1316" s="21">
        <f t="shared" si="151"/>
        <v>0</v>
      </c>
      <c r="AD1316">
        <v>0</v>
      </c>
      <c r="AE1316">
        <v>0</v>
      </c>
      <c r="AF1316" s="21">
        <f t="shared" si="154"/>
        <v>0</v>
      </c>
    </row>
    <row r="1317" spans="1:32" ht="15" customHeight="1" x14ac:dyDescent="0.3">
      <c r="A1317">
        <v>3</v>
      </c>
      <c r="B1317" s="2" t="s">
        <v>696</v>
      </c>
      <c r="C1317" s="4" t="s">
        <v>690</v>
      </c>
      <c r="D1317" s="3" t="s">
        <v>651</v>
      </c>
      <c r="E1317" s="6" t="s">
        <v>23</v>
      </c>
      <c r="F1317" s="6" t="s">
        <v>255</v>
      </c>
      <c r="G1317" s="6" t="s">
        <v>716</v>
      </c>
      <c r="H1317" s="15">
        <v>39000</v>
      </c>
      <c r="I1317">
        <v>20</v>
      </c>
      <c r="J1317">
        <v>3</v>
      </c>
      <c r="K1317" s="20">
        <f t="shared" si="152"/>
        <v>2340000</v>
      </c>
      <c r="L1317">
        <v>0</v>
      </c>
      <c r="M1317">
        <v>0</v>
      </c>
      <c r="N1317" s="21">
        <f t="shared" si="153"/>
        <v>0</v>
      </c>
      <c r="O1317">
        <v>0</v>
      </c>
      <c r="P1317">
        <v>0</v>
      </c>
      <c r="Q1317" s="21">
        <f t="shared" si="147"/>
        <v>0</v>
      </c>
      <c r="R1317">
        <v>0</v>
      </c>
      <c r="S1317">
        <v>0</v>
      </c>
      <c r="T1317" s="21">
        <f t="shared" si="148"/>
        <v>0</v>
      </c>
      <c r="U1317">
        <v>0</v>
      </c>
      <c r="V1317">
        <v>0</v>
      </c>
      <c r="W1317" s="21">
        <f t="shared" si="149"/>
        <v>0</v>
      </c>
      <c r="X1317">
        <v>0</v>
      </c>
      <c r="Y1317">
        <v>0</v>
      </c>
      <c r="Z1317" s="21">
        <f t="shared" si="150"/>
        <v>0</v>
      </c>
      <c r="AA1317">
        <v>0</v>
      </c>
      <c r="AB1317">
        <v>0</v>
      </c>
      <c r="AC1317" s="21">
        <f t="shared" si="151"/>
        <v>0</v>
      </c>
      <c r="AD1317">
        <v>0</v>
      </c>
      <c r="AE1317">
        <v>0</v>
      </c>
      <c r="AF1317" s="21">
        <f t="shared" si="154"/>
        <v>0</v>
      </c>
    </row>
    <row r="1318" spans="1:32" ht="15" customHeight="1" x14ac:dyDescent="0.3">
      <c r="A1318">
        <v>3</v>
      </c>
      <c r="B1318" s="2" t="s">
        <v>696</v>
      </c>
      <c r="C1318" s="4" t="s">
        <v>690</v>
      </c>
      <c r="D1318" s="3" t="s">
        <v>651</v>
      </c>
      <c r="E1318" s="6" t="s">
        <v>23</v>
      </c>
      <c r="F1318" s="6" t="s">
        <v>255</v>
      </c>
      <c r="G1318" s="6" t="s">
        <v>709</v>
      </c>
      <c r="H1318" s="23">
        <v>28000</v>
      </c>
      <c r="I1318">
        <v>20</v>
      </c>
      <c r="J1318">
        <v>3</v>
      </c>
      <c r="K1318" s="20">
        <f t="shared" si="152"/>
        <v>1680000</v>
      </c>
      <c r="L1318">
        <v>0</v>
      </c>
      <c r="M1318">
        <v>0</v>
      </c>
      <c r="N1318" s="21">
        <f t="shared" si="153"/>
        <v>0</v>
      </c>
      <c r="O1318">
        <v>0</v>
      </c>
      <c r="P1318">
        <v>0</v>
      </c>
      <c r="Q1318" s="21">
        <f t="shared" si="147"/>
        <v>0</v>
      </c>
      <c r="R1318">
        <v>0</v>
      </c>
      <c r="S1318">
        <v>0</v>
      </c>
      <c r="T1318" s="21">
        <f t="shared" si="148"/>
        <v>0</v>
      </c>
      <c r="U1318">
        <v>0</v>
      </c>
      <c r="V1318">
        <v>0</v>
      </c>
      <c r="W1318" s="21">
        <f t="shared" si="149"/>
        <v>0</v>
      </c>
      <c r="X1318">
        <v>0</v>
      </c>
      <c r="Y1318">
        <v>0</v>
      </c>
      <c r="Z1318" s="21">
        <f t="shared" si="150"/>
        <v>0</v>
      </c>
      <c r="AA1318">
        <v>0</v>
      </c>
      <c r="AB1318">
        <v>0</v>
      </c>
      <c r="AC1318" s="21">
        <f t="shared" si="151"/>
        <v>0</v>
      </c>
      <c r="AD1318">
        <v>0</v>
      </c>
      <c r="AE1318">
        <v>0</v>
      </c>
      <c r="AF1318" s="21">
        <f t="shared" si="154"/>
        <v>0</v>
      </c>
    </row>
    <row r="1319" spans="1:32" ht="15" customHeight="1" x14ac:dyDescent="0.3">
      <c r="A1319">
        <v>3</v>
      </c>
      <c r="B1319" s="2" t="s">
        <v>696</v>
      </c>
      <c r="C1319" s="4" t="s">
        <v>690</v>
      </c>
      <c r="D1319" s="3" t="s">
        <v>651</v>
      </c>
      <c r="E1319" s="6" t="s">
        <v>23</v>
      </c>
      <c r="F1319" s="6" t="s">
        <v>255</v>
      </c>
      <c r="G1319" s="6" t="s">
        <v>712</v>
      </c>
      <c r="H1319" s="23">
        <v>214.29</v>
      </c>
      <c r="I1319">
        <v>4000</v>
      </c>
      <c r="J1319">
        <v>1</v>
      </c>
      <c r="K1319" s="20">
        <f t="shared" si="152"/>
        <v>857160</v>
      </c>
      <c r="L1319">
        <v>0</v>
      </c>
      <c r="M1319">
        <v>0</v>
      </c>
      <c r="N1319" s="21">
        <f t="shared" si="153"/>
        <v>0</v>
      </c>
      <c r="O1319">
        <v>0</v>
      </c>
      <c r="P1319">
        <v>0</v>
      </c>
      <c r="Q1319" s="21">
        <f t="shared" si="147"/>
        <v>0</v>
      </c>
      <c r="R1319">
        <v>0</v>
      </c>
      <c r="S1319">
        <v>0</v>
      </c>
      <c r="T1319" s="21">
        <f t="shared" si="148"/>
        <v>0</v>
      </c>
      <c r="U1319">
        <v>0</v>
      </c>
      <c r="V1319">
        <v>0</v>
      </c>
      <c r="W1319" s="21">
        <f t="shared" si="149"/>
        <v>0</v>
      </c>
      <c r="X1319">
        <v>0</v>
      </c>
      <c r="Y1319">
        <v>0</v>
      </c>
      <c r="Z1319" s="21">
        <f t="shared" si="150"/>
        <v>0</v>
      </c>
      <c r="AA1319">
        <v>0</v>
      </c>
      <c r="AB1319">
        <v>0</v>
      </c>
      <c r="AC1319" s="21">
        <f t="shared" si="151"/>
        <v>0</v>
      </c>
      <c r="AD1319">
        <v>0</v>
      </c>
      <c r="AE1319">
        <v>0</v>
      </c>
      <c r="AF1319" s="21">
        <f t="shared" si="154"/>
        <v>0</v>
      </c>
    </row>
    <row r="1320" spans="1:32" ht="15" customHeight="1" x14ac:dyDescent="0.3">
      <c r="A1320">
        <v>3</v>
      </c>
      <c r="B1320" s="2" t="s">
        <v>696</v>
      </c>
      <c r="C1320" s="4" t="s">
        <v>690</v>
      </c>
      <c r="D1320" s="3" t="s">
        <v>651</v>
      </c>
      <c r="E1320" s="6" t="s">
        <v>23</v>
      </c>
      <c r="F1320" s="6" t="s">
        <v>256</v>
      </c>
      <c r="G1320" s="6" t="s">
        <v>716</v>
      </c>
      <c r="H1320" s="15">
        <v>39000</v>
      </c>
      <c r="I1320">
        <v>45</v>
      </c>
      <c r="J1320">
        <v>3</v>
      </c>
      <c r="K1320" s="20">
        <f t="shared" si="152"/>
        <v>5265000</v>
      </c>
      <c r="L1320">
        <v>0</v>
      </c>
      <c r="M1320">
        <v>0</v>
      </c>
      <c r="N1320" s="21">
        <f t="shared" si="153"/>
        <v>0</v>
      </c>
      <c r="O1320">
        <v>0</v>
      </c>
      <c r="P1320">
        <v>0</v>
      </c>
      <c r="Q1320" s="21">
        <f t="shared" si="147"/>
        <v>0</v>
      </c>
      <c r="R1320">
        <v>0</v>
      </c>
      <c r="S1320">
        <v>0</v>
      </c>
      <c r="T1320" s="21">
        <f t="shared" si="148"/>
        <v>0</v>
      </c>
      <c r="U1320">
        <v>0</v>
      </c>
      <c r="V1320">
        <v>0</v>
      </c>
      <c r="W1320" s="21">
        <f t="shared" si="149"/>
        <v>0</v>
      </c>
      <c r="X1320">
        <v>0</v>
      </c>
      <c r="Y1320">
        <v>0</v>
      </c>
      <c r="Z1320" s="21">
        <f t="shared" si="150"/>
        <v>0</v>
      </c>
      <c r="AA1320">
        <v>0</v>
      </c>
      <c r="AB1320">
        <v>0</v>
      </c>
      <c r="AC1320" s="21">
        <f t="shared" si="151"/>
        <v>0</v>
      </c>
      <c r="AD1320">
        <v>0</v>
      </c>
      <c r="AE1320">
        <v>0</v>
      </c>
      <c r="AF1320" s="21">
        <f t="shared" si="154"/>
        <v>0</v>
      </c>
    </row>
    <row r="1321" spans="1:32" ht="15" customHeight="1" x14ac:dyDescent="0.3">
      <c r="A1321">
        <v>3</v>
      </c>
      <c r="B1321" s="2" t="s">
        <v>696</v>
      </c>
      <c r="C1321" s="4" t="s">
        <v>690</v>
      </c>
      <c r="D1321" s="3" t="s">
        <v>651</v>
      </c>
      <c r="E1321" s="6" t="s">
        <v>23</v>
      </c>
      <c r="F1321" s="6" t="s">
        <v>256</v>
      </c>
      <c r="G1321" s="6" t="s">
        <v>709</v>
      </c>
      <c r="H1321" s="23">
        <v>28000</v>
      </c>
      <c r="I1321">
        <v>45</v>
      </c>
      <c r="J1321">
        <v>3</v>
      </c>
      <c r="K1321" s="20">
        <f t="shared" si="152"/>
        <v>3780000</v>
      </c>
      <c r="L1321">
        <v>0</v>
      </c>
      <c r="M1321">
        <v>0</v>
      </c>
      <c r="N1321" s="21">
        <f t="shared" si="153"/>
        <v>0</v>
      </c>
      <c r="O1321">
        <v>0</v>
      </c>
      <c r="P1321">
        <v>0</v>
      </c>
      <c r="Q1321" s="21">
        <f t="shared" si="147"/>
        <v>0</v>
      </c>
      <c r="R1321">
        <v>0</v>
      </c>
      <c r="S1321">
        <v>0</v>
      </c>
      <c r="T1321" s="21">
        <f t="shared" si="148"/>
        <v>0</v>
      </c>
      <c r="U1321">
        <v>0</v>
      </c>
      <c r="V1321">
        <v>0</v>
      </c>
      <c r="W1321" s="21">
        <f t="shared" si="149"/>
        <v>0</v>
      </c>
      <c r="X1321">
        <v>0</v>
      </c>
      <c r="Y1321">
        <v>0</v>
      </c>
      <c r="Z1321" s="21">
        <f t="shared" si="150"/>
        <v>0</v>
      </c>
      <c r="AA1321">
        <v>0</v>
      </c>
      <c r="AB1321">
        <v>0</v>
      </c>
      <c r="AC1321" s="21">
        <f t="shared" si="151"/>
        <v>0</v>
      </c>
      <c r="AD1321">
        <v>0</v>
      </c>
      <c r="AE1321">
        <v>0</v>
      </c>
      <c r="AF1321" s="21">
        <f t="shared" si="154"/>
        <v>0</v>
      </c>
    </row>
    <row r="1322" spans="1:32" ht="15" customHeight="1" x14ac:dyDescent="0.3">
      <c r="A1322">
        <v>3</v>
      </c>
      <c r="B1322" s="2" t="s">
        <v>696</v>
      </c>
      <c r="C1322" s="4" t="s">
        <v>690</v>
      </c>
      <c r="D1322" s="3" t="s">
        <v>651</v>
      </c>
      <c r="E1322" s="6" t="s">
        <v>23</v>
      </c>
      <c r="F1322" s="6" t="s">
        <v>256</v>
      </c>
      <c r="G1322" s="6" t="s">
        <v>712</v>
      </c>
      <c r="H1322" s="23">
        <v>214.29</v>
      </c>
      <c r="I1322">
        <v>8000</v>
      </c>
      <c r="J1322">
        <v>1</v>
      </c>
      <c r="K1322" s="20">
        <f t="shared" si="152"/>
        <v>1714320</v>
      </c>
      <c r="L1322">
        <v>0</v>
      </c>
      <c r="M1322">
        <v>0</v>
      </c>
      <c r="N1322" s="21">
        <f t="shared" si="153"/>
        <v>0</v>
      </c>
      <c r="O1322">
        <v>0</v>
      </c>
      <c r="P1322">
        <v>0</v>
      </c>
      <c r="Q1322" s="21">
        <f t="shared" si="147"/>
        <v>0</v>
      </c>
      <c r="R1322">
        <v>0</v>
      </c>
      <c r="S1322">
        <v>0</v>
      </c>
      <c r="T1322" s="21">
        <f t="shared" si="148"/>
        <v>0</v>
      </c>
      <c r="U1322">
        <v>0</v>
      </c>
      <c r="V1322">
        <v>0</v>
      </c>
      <c r="W1322" s="21">
        <f t="shared" si="149"/>
        <v>0</v>
      </c>
      <c r="X1322">
        <v>0</v>
      </c>
      <c r="Y1322">
        <v>0</v>
      </c>
      <c r="Z1322" s="21">
        <f t="shared" si="150"/>
        <v>0</v>
      </c>
      <c r="AA1322">
        <v>0</v>
      </c>
      <c r="AB1322">
        <v>0</v>
      </c>
      <c r="AC1322" s="21">
        <f t="shared" si="151"/>
        <v>0</v>
      </c>
      <c r="AD1322">
        <v>0</v>
      </c>
      <c r="AE1322">
        <v>0</v>
      </c>
      <c r="AF1322" s="21">
        <f t="shared" si="154"/>
        <v>0</v>
      </c>
    </row>
    <row r="1323" spans="1:32" ht="15" customHeight="1" x14ac:dyDescent="0.3">
      <c r="A1323">
        <v>3</v>
      </c>
      <c r="B1323" s="2" t="s">
        <v>696</v>
      </c>
      <c r="C1323" s="4" t="s">
        <v>690</v>
      </c>
      <c r="D1323" s="3" t="s">
        <v>651</v>
      </c>
      <c r="E1323" s="6" t="s">
        <v>23</v>
      </c>
      <c r="F1323" s="6" t="s">
        <v>257</v>
      </c>
      <c r="G1323" s="6" t="s">
        <v>716</v>
      </c>
      <c r="H1323" s="15">
        <v>39000</v>
      </c>
      <c r="I1323">
        <v>25</v>
      </c>
      <c r="J1323">
        <v>3</v>
      </c>
      <c r="K1323" s="20">
        <f t="shared" si="152"/>
        <v>2925000</v>
      </c>
      <c r="L1323">
        <v>0</v>
      </c>
      <c r="M1323">
        <v>0</v>
      </c>
      <c r="N1323" s="21">
        <f t="shared" si="153"/>
        <v>0</v>
      </c>
      <c r="O1323">
        <v>0</v>
      </c>
      <c r="P1323">
        <v>0</v>
      </c>
      <c r="Q1323" s="21">
        <f t="shared" si="147"/>
        <v>0</v>
      </c>
      <c r="R1323">
        <v>0</v>
      </c>
      <c r="S1323">
        <v>0</v>
      </c>
      <c r="T1323" s="21">
        <f t="shared" si="148"/>
        <v>0</v>
      </c>
      <c r="U1323">
        <v>0</v>
      </c>
      <c r="V1323">
        <v>0</v>
      </c>
      <c r="W1323" s="21">
        <f t="shared" si="149"/>
        <v>0</v>
      </c>
      <c r="X1323">
        <v>0</v>
      </c>
      <c r="Y1323">
        <v>0</v>
      </c>
      <c r="Z1323" s="21">
        <f t="shared" si="150"/>
        <v>0</v>
      </c>
      <c r="AA1323">
        <v>0</v>
      </c>
      <c r="AB1323">
        <v>0</v>
      </c>
      <c r="AC1323" s="21">
        <f t="shared" si="151"/>
        <v>0</v>
      </c>
      <c r="AD1323">
        <v>0</v>
      </c>
      <c r="AE1323">
        <v>0</v>
      </c>
      <c r="AF1323" s="21">
        <f t="shared" si="154"/>
        <v>0</v>
      </c>
    </row>
    <row r="1324" spans="1:32" ht="15" customHeight="1" x14ac:dyDescent="0.3">
      <c r="A1324">
        <v>3</v>
      </c>
      <c r="B1324" s="2" t="s">
        <v>696</v>
      </c>
      <c r="C1324" s="4" t="s">
        <v>690</v>
      </c>
      <c r="D1324" s="3" t="s">
        <v>651</v>
      </c>
      <c r="E1324" s="6" t="s">
        <v>23</v>
      </c>
      <c r="F1324" s="6" t="s">
        <v>257</v>
      </c>
      <c r="G1324" s="6" t="s">
        <v>709</v>
      </c>
      <c r="H1324" s="23">
        <v>28000</v>
      </c>
      <c r="I1324">
        <v>25</v>
      </c>
      <c r="J1324">
        <v>3</v>
      </c>
      <c r="K1324" s="20">
        <f t="shared" si="152"/>
        <v>2100000</v>
      </c>
      <c r="L1324">
        <v>0</v>
      </c>
      <c r="M1324">
        <v>0</v>
      </c>
      <c r="N1324" s="21">
        <f t="shared" si="153"/>
        <v>0</v>
      </c>
      <c r="O1324">
        <v>0</v>
      </c>
      <c r="P1324">
        <v>0</v>
      </c>
      <c r="Q1324" s="21">
        <f t="shared" si="147"/>
        <v>0</v>
      </c>
      <c r="R1324">
        <v>0</v>
      </c>
      <c r="S1324">
        <v>0</v>
      </c>
      <c r="T1324" s="21">
        <f t="shared" si="148"/>
        <v>0</v>
      </c>
      <c r="U1324">
        <v>0</v>
      </c>
      <c r="V1324">
        <v>0</v>
      </c>
      <c r="W1324" s="21">
        <f t="shared" si="149"/>
        <v>0</v>
      </c>
      <c r="X1324">
        <v>0</v>
      </c>
      <c r="Y1324">
        <v>0</v>
      </c>
      <c r="Z1324" s="21">
        <f t="shared" si="150"/>
        <v>0</v>
      </c>
      <c r="AA1324">
        <v>0</v>
      </c>
      <c r="AB1324">
        <v>0</v>
      </c>
      <c r="AC1324" s="21">
        <f t="shared" si="151"/>
        <v>0</v>
      </c>
      <c r="AD1324">
        <v>0</v>
      </c>
      <c r="AE1324">
        <v>0</v>
      </c>
      <c r="AF1324" s="21">
        <f t="shared" si="154"/>
        <v>0</v>
      </c>
    </row>
    <row r="1325" spans="1:32" ht="15" customHeight="1" x14ac:dyDescent="0.3">
      <c r="A1325">
        <v>3</v>
      </c>
      <c r="B1325" s="2" t="s">
        <v>696</v>
      </c>
      <c r="C1325" s="4" t="s">
        <v>690</v>
      </c>
      <c r="D1325" s="3" t="s">
        <v>651</v>
      </c>
      <c r="E1325" s="6" t="s">
        <v>23</v>
      </c>
      <c r="F1325" s="6" t="s">
        <v>257</v>
      </c>
      <c r="G1325" s="6" t="s">
        <v>712</v>
      </c>
      <c r="H1325" s="23">
        <v>214.29</v>
      </c>
      <c r="I1325">
        <v>4000</v>
      </c>
      <c r="J1325">
        <v>1</v>
      </c>
      <c r="K1325" s="20">
        <f t="shared" si="152"/>
        <v>857160</v>
      </c>
      <c r="L1325">
        <v>0</v>
      </c>
      <c r="M1325">
        <v>0</v>
      </c>
      <c r="N1325" s="21">
        <f t="shared" si="153"/>
        <v>0</v>
      </c>
      <c r="O1325">
        <v>0</v>
      </c>
      <c r="P1325">
        <v>0</v>
      </c>
      <c r="Q1325" s="21">
        <f t="shared" si="147"/>
        <v>0</v>
      </c>
      <c r="R1325">
        <v>0</v>
      </c>
      <c r="S1325">
        <v>0</v>
      </c>
      <c r="T1325" s="21">
        <f t="shared" si="148"/>
        <v>0</v>
      </c>
      <c r="U1325">
        <v>0</v>
      </c>
      <c r="V1325">
        <v>0</v>
      </c>
      <c r="W1325" s="21">
        <f t="shared" si="149"/>
        <v>0</v>
      </c>
      <c r="X1325">
        <v>0</v>
      </c>
      <c r="Y1325">
        <v>0</v>
      </c>
      <c r="Z1325" s="21">
        <f t="shared" si="150"/>
        <v>0</v>
      </c>
      <c r="AA1325">
        <v>0</v>
      </c>
      <c r="AB1325">
        <v>0</v>
      </c>
      <c r="AC1325" s="21">
        <f t="shared" si="151"/>
        <v>0</v>
      </c>
      <c r="AD1325">
        <v>0</v>
      </c>
      <c r="AE1325">
        <v>0</v>
      </c>
      <c r="AF1325" s="21">
        <f t="shared" si="154"/>
        <v>0</v>
      </c>
    </row>
    <row r="1326" spans="1:32" ht="15" customHeight="1" x14ac:dyDescent="0.3">
      <c r="A1326">
        <v>3</v>
      </c>
      <c r="B1326" s="2" t="s">
        <v>696</v>
      </c>
      <c r="C1326" s="4" t="s">
        <v>690</v>
      </c>
      <c r="D1326" s="3" t="s">
        <v>651</v>
      </c>
      <c r="E1326" s="6" t="s">
        <v>23</v>
      </c>
      <c r="F1326" s="6" t="s">
        <v>258</v>
      </c>
      <c r="G1326" s="6" t="s">
        <v>709</v>
      </c>
      <c r="H1326" s="23">
        <v>28000</v>
      </c>
      <c r="I1326">
        <v>20</v>
      </c>
      <c r="J1326">
        <v>1</v>
      </c>
      <c r="K1326" s="20">
        <f t="shared" si="152"/>
        <v>560000</v>
      </c>
      <c r="L1326">
        <v>0</v>
      </c>
      <c r="M1326">
        <v>0</v>
      </c>
      <c r="N1326" s="21">
        <f t="shared" si="153"/>
        <v>0</v>
      </c>
      <c r="O1326">
        <v>0</v>
      </c>
      <c r="P1326">
        <v>0</v>
      </c>
      <c r="Q1326" s="21">
        <f t="shared" si="147"/>
        <v>0</v>
      </c>
      <c r="R1326">
        <v>0</v>
      </c>
      <c r="S1326">
        <v>0</v>
      </c>
      <c r="T1326" s="21">
        <f t="shared" si="148"/>
        <v>0</v>
      </c>
      <c r="U1326">
        <v>0</v>
      </c>
      <c r="V1326">
        <v>0</v>
      </c>
      <c r="W1326" s="21">
        <f t="shared" si="149"/>
        <v>0</v>
      </c>
      <c r="X1326">
        <v>0</v>
      </c>
      <c r="Y1326">
        <v>0</v>
      </c>
      <c r="Z1326" s="21">
        <f t="shared" si="150"/>
        <v>0</v>
      </c>
      <c r="AA1326">
        <v>0</v>
      </c>
      <c r="AB1326">
        <v>0</v>
      </c>
      <c r="AC1326" s="21">
        <f t="shared" si="151"/>
        <v>0</v>
      </c>
      <c r="AD1326">
        <v>0</v>
      </c>
      <c r="AE1326">
        <v>0</v>
      </c>
      <c r="AF1326" s="21">
        <f t="shared" si="154"/>
        <v>0</v>
      </c>
    </row>
    <row r="1327" spans="1:32" ht="15" customHeight="1" x14ac:dyDescent="0.3">
      <c r="A1327">
        <v>3</v>
      </c>
      <c r="B1327" s="2" t="s">
        <v>696</v>
      </c>
      <c r="C1327" s="4" t="s">
        <v>690</v>
      </c>
      <c r="D1327" s="3" t="s">
        <v>651</v>
      </c>
      <c r="E1327" s="6" t="s">
        <v>23</v>
      </c>
      <c r="F1327" s="6" t="s">
        <v>259</v>
      </c>
      <c r="G1327" s="6" t="s">
        <v>718</v>
      </c>
      <c r="H1327" s="23">
        <v>0</v>
      </c>
      <c r="I1327">
        <v>0</v>
      </c>
      <c r="J1327">
        <v>0</v>
      </c>
      <c r="K1327" s="20">
        <f t="shared" si="152"/>
        <v>0</v>
      </c>
      <c r="L1327">
        <v>0</v>
      </c>
      <c r="M1327">
        <v>0</v>
      </c>
      <c r="N1327" s="21">
        <f t="shared" si="153"/>
        <v>0</v>
      </c>
      <c r="O1327">
        <v>0</v>
      </c>
      <c r="P1327">
        <v>0</v>
      </c>
      <c r="Q1327" s="21">
        <f t="shared" si="147"/>
        <v>0</v>
      </c>
      <c r="R1327">
        <v>0</v>
      </c>
      <c r="S1327">
        <v>0</v>
      </c>
      <c r="T1327" s="21">
        <f t="shared" si="148"/>
        <v>0</v>
      </c>
      <c r="U1327">
        <v>0</v>
      </c>
      <c r="V1327">
        <v>0</v>
      </c>
      <c r="W1327" s="21">
        <f t="shared" si="149"/>
        <v>0</v>
      </c>
      <c r="X1327">
        <v>0</v>
      </c>
      <c r="Y1327">
        <v>0</v>
      </c>
      <c r="Z1327" s="21">
        <f t="shared" si="150"/>
        <v>0</v>
      </c>
      <c r="AA1327">
        <v>0</v>
      </c>
      <c r="AB1327">
        <v>0</v>
      </c>
      <c r="AC1327" s="21">
        <f t="shared" si="151"/>
        <v>0</v>
      </c>
      <c r="AD1327">
        <v>0</v>
      </c>
      <c r="AE1327">
        <v>0</v>
      </c>
      <c r="AF1327" s="21">
        <f t="shared" si="154"/>
        <v>0</v>
      </c>
    </row>
    <row r="1328" spans="1:32" ht="15" customHeight="1" x14ac:dyDescent="0.3">
      <c r="A1328">
        <v>3</v>
      </c>
      <c r="B1328" s="2" t="s">
        <v>696</v>
      </c>
      <c r="C1328" s="4" t="s">
        <v>690</v>
      </c>
      <c r="D1328" s="3" t="s">
        <v>651</v>
      </c>
      <c r="E1328" s="6" t="s">
        <v>23</v>
      </c>
      <c r="F1328" s="6" t="s">
        <v>260</v>
      </c>
      <c r="G1328" s="6" t="s">
        <v>718</v>
      </c>
      <c r="H1328" s="23">
        <v>0</v>
      </c>
      <c r="I1328">
        <v>0</v>
      </c>
      <c r="J1328">
        <v>0</v>
      </c>
      <c r="K1328" s="20">
        <f t="shared" si="152"/>
        <v>0</v>
      </c>
      <c r="L1328">
        <v>0</v>
      </c>
      <c r="M1328">
        <v>0</v>
      </c>
      <c r="N1328" s="21">
        <f t="shared" si="153"/>
        <v>0</v>
      </c>
      <c r="O1328">
        <v>0</v>
      </c>
      <c r="P1328">
        <v>0</v>
      </c>
      <c r="Q1328" s="21">
        <f t="shared" si="147"/>
        <v>0</v>
      </c>
      <c r="R1328">
        <v>0</v>
      </c>
      <c r="S1328">
        <v>0</v>
      </c>
      <c r="T1328" s="21">
        <f t="shared" si="148"/>
        <v>0</v>
      </c>
      <c r="U1328">
        <v>0</v>
      </c>
      <c r="V1328">
        <v>0</v>
      </c>
      <c r="W1328" s="21">
        <f t="shared" si="149"/>
        <v>0</v>
      </c>
      <c r="X1328">
        <v>0</v>
      </c>
      <c r="Y1328">
        <v>0</v>
      </c>
      <c r="Z1328" s="21">
        <f t="shared" si="150"/>
        <v>0</v>
      </c>
      <c r="AA1328">
        <v>0</v>
      </c>
      <c r="AB1328">
        <v>0</v>
      </c>
      <c r="AC1328" s="21">
        <f t="shared" si="151"/>
        <v>0</v>
      </c>
      <c r="AD1328">
        <v>0</v>
      </c>
      <c r="AE1328">
        <v>0</v>
      </c>
      <c r="AF1328" s="21">
        <f t="shared" si="154"/>
        <v>0</v>
      </c>
    </row>
    <row r="1329" spans="1:32" ht="15" customHeight="1" x14ac:dyDescent="0.3">
      <c r="A1329">
        <v>3</v>
      </c>
      <c r="B1329" s="2" t="s">
        <v>696</v>
      </c>
      <c r="C1329" s="4" t="s">
        <v>690</v>
      </c>
      <c r="D1329" s="3" t="s">
        <v>651</v>
      </c>
      <c r="E1329" s="6" t="s">
        <v>23</v>
      </c>
      <c r="F1329" s="6" t="s">
        <v>261</v>
      </c>
      <c r="G1329" s="6" t="s">
        <v>716</v>
      </c>
      <c r="H1329" s="15">
        <v>39000</v>
      </c>
      <c r="I1329">
        <v>45</v>
      </c>
      <c r="J1329">
        <v>3</v>
      </c>
      <c r="K1329" s="20">
        <f t="shared" si="152"/>
        <v>5265000</v>
      </c>
      <c r="L1329">
        <v>0</v>
      </c>
      <c r="M1329">
        <v>0</v>
      </c>
      <c r="N1329" s="21">
        <f t="shared" si="153"/>
        <v>0</v>
      </c>
      <c r="O1329">
        <v>0</v>
      </c>
      <c r="P1329">
        <v>0</v>
      </c>
      <c r="Q1329" s="21">
        <f t="shared" si="147"/>
        <v>0</v>
      </c>
      <c r="R1329">
        <v>0</v>
      </c>
      <c r="S1329">
        <v>0</v>
      </c>
      <c r="T1329" s="21">
        <f t="shared" si="148"/>
        <v>0</v>
      </c>
      <c r="U1329">
        <v>0</v>
      </c>
      <c r="V1329">
        <v>0</v>
      </c>
      <c r="W1329" s="21">
        <f t="shared" si="149"/>
        <v>0</v>
      </c>
      <c r="X1329">
        <v>0</v>
      </c>
      <c r="Y1329">
        <v>0</v>
      </c>
      <c r="Z1329" s="21">
        <f t="shared" si="150"/>
        <v>0</v>
      </c>
      <c r="AA1329">
        <v>0</v>
      </c>
      <c r="AB1329">
        <v>0</v>
      </c>
      <c r="AC1329" s="21">
        <f t="shared" si="151"/>
        <v>0</v>
      </c>
      <c r="AD1329">
        <v>0</v>
      </c>
      <c r="AE1329">
        <v>0</v>
      </c>
      <c r="AF1329" s="21">
        <f t="shared" si="154"/>
        <v>0</v>
      </c>
    </row>
    <row r="1330" spans="1:32" ht="15" customHeight="1" x14ac:dyDescent="0.3">
      <c r="A1330">
        <v>3</v>
      </c>
      <c r="B1330" s="2" t="s">
        <v>696</v>
      </c>
      <c r="C1330" s="4" t="s">
        <v>690</v>
      </c>
      <c r="D1330" s="3" t="s">
        <v>651</v>
      </c>
      <c r="E1330" s="6" t="s">
        <v>23</v>
      </c>
      <c r="F1330" s="6" t="s">
        <v>261</v>
      </c>
      <c r="G1330" s="6" t="s">
        <v>709</v>
      </c>
      <c r="H1330" s="23">
        <v>28000</v>
      </c>
      <c r="I1330">
        <v>45</v>
      </c>
      <c r="J1330">
        <v>3</v>
      </c>
      <c r="K1330" s="20">
        <f t="shared" si="152"/>
        <v>3780000</v>
      </c>
      <c r="L1330">
        <v>0</v>
      </c>
      <c r="M1330">
        <v>0</v>
      </c>
      <c r="N1330" s="21">
        <f t="shared" si="153"/>
        <v>0</v>
      </c>
      <c r="O1330">
        <v>0</v>
      </c>
      <c r="P1330">
        <v>0</v>
      </c>
      <c r="Q1330" s="21">
        <f t="shared" si="147"/>
        <v>0</v>
      </c>
      <c r="R1330">
        <v>0</v>
      </c>
      <c r="S1330">
        <v>0</v>
      </c>
      <c r="T1330" s="21">
        <f t="shared" si="148"/>
        <v>0</v>
      </c>
      <c r="U1330">
        <v>0</v>
      </c>
      <c r="V1330">
        <v>0</v>
      </c>
      <c r="W1330" s="21">
        <f t="shared" si="149"/>
        <v>0</v>
      </c>
      <c r="X1330">
        <v>0</v>
      </c>
      <c r="Y1330">
        <v>0</v>
      </c>
      <c r="Z1330" s="21">
        <f t="shared" si="150"/>
        <v>0</v>
      </c>
      <c r="AA1330">
        <v>0</v>
      </c>
      <c r="AB1330">
        <v>0</v>
      </c>
      <c r="AC1330" s="21">
        <f t="shared" si="151"/>
        <v>0</v>
      </c>
      <c r="AD1330">
        <v>0</v>
      </c>
      <c r="AE1330">
        <v>0</v>
      </c>
      <c r="AF1330" s="21">
        <f t="shared" si="154"/>
        <v>0</v>
      </c>
    </row>
    <row r="1331" spans="1:32" ht="15" customHeight="1" x14ac:dyDescent="0.3">
      <c r="A1331">
        <v>3</v>
      </c>
      <c r="B1331" s="2" t="s">
        <v>696</v>
      </c>
      <c r="C1331" s="4" t="s">
        <v>690</v>
      </c>
      <c r="D1331" s="3" t="s">
        <v>651</v>
      </c>
      <c r="E1331" s="6" t="s">
        <v>23</v>
      </c>
      <c r="F1331" s="6" t="s">
        <v>261</v>
      </c>
      <c r="G1331" s="6" t="s">
        <v>712</v>
      </c>
      <c r="H1331" s="23">
        <v>214.29</v>
      </c>
      <c r="I1331">
        <v>8000</v>
      </c>
      <c r="J1331">
        <v>1</v>
      </c>
      <c r="K1331" s="20">
        <f t="shared" si="152"/>
        <v>1714320</v>
      </c>
      <c r="L1331">
        <v>0</v>
      </c>
      <c r="M1331">
        <v>0</v>
      </c>
      <c r="N1331" s="21">
        <f t="shared" si="153"/>
        <v>0</v>
      </c>
      <c r="O1331">
        <v>0</v>
      </c>
      <c r="P1331">
        <v>0</v>
      </c>
      <c r="Q1331" s="21">
        <f t="shared" si="147"/>
        <v>0</v>
      </c>
      <c r="R1331">
        <v>0</v>
      </c>
      <c r="S1331">
        <v>0</v>
      </c>
      <c r="T1331" s="21">
        <f t="shared" si="148"/>
        <v>0</v>
      </c>
      <c r="U1331">
        <v>0</v>
      </c>
      <c r="V1331">
        <v>0</v>
      </c>
      <c r="W1331" s="21">
        <f t="shared" si="149"/>
        <v>0</v>
      </c>
      <c r="X1331">
        <v>0</v>
      </c>
      <c r="Y1331">
        <v>0</v>
      </c>
      <c r="Z1331" s="21">
        <f t="shared" si="150"/>
        <v>0</v>
      </c>
      <c r="AA1331">
        <v>0</v>
      </c>
      <c r="AB1331">
        <v>0</v>
      </c>
      <c r="AC1331" s="21">
        <f t="shared" si="151"/>
        <v>0</v>
      </c>
      <c r="AD1331">
        <v>0</v>
      </c>
      <c r="AE1331">
        <v>0</v>
      </c>
      <c r="AF1331" s="21">
        <f t="shared" si="154"/>
        <v>0</v>
      </c>
    </row>
    <row r="1332" spans="1:32" ht="15" customHeight="1" x14ac:dyDescent="0.3">
      <c r="A1332">
        <v>3</v>
      </c>
      <c r="B1332" s="2" t="s">
        <v>696</v>
      </c>
      <c r="C1332" s="4" t="s">
        <v>690</v>
      </c>
      <c r="D1332" s="3" t="s">
        <v>652</v>
      </c>
      <c r="E1332" s="6" t="s">
        <v>24</v>
      </c>
      <c r="F1332" s="6" t="s">
        <v>262</v>
      </c>
      <c r="G1332" s="6" t="s">
        <v>718</v>
      </c>
      <c r="H1332" s="23">
        <v>0</v>
      </c>
      <c r="I1332">
        <v>0</v>
      </c>
      <c r="J1332">
        <v>0</v>
      </c>
      <c r="K1332" s="20">
        <f t="shared" si="152"/>
        <v>0</v>
      </c>
      <c r="L1332">
        <v>0</v>
      </c>
      <c r="M1332">
        <v>0</v>
      </c>
      <c r="N1332" s="21">
        <f t="shared" si="153"/>
        <v>0</v>
      </c>
      <c r="O1332">
        <v>0</v>
      </c>
      <c r="P1332">
        <v>0</v>
      </c>
      <c r="Q1332" s="21">
        <f t="shared" si="147"/>
        <v>0</v>
      </c>
      <c r="R1332">
        <v>0</v>
      </c>
      <c r="S1332">
        <v>0</v>
      </c>
      <c r="T1332" s="21">
        <f t="shared" si="148"/>
        <v>0</v>
      </c>
      <c r="U1332">
        <v>0</v>
      </c>
      <c r="V1332">
        <v>0</v>
      </c>
      <c r="W1332" s="21">
        <f t="shared" si="149"/>
        <v>0</v>
      </c>
      <c r="X1332">
        <v>0</v>
      </c>
      <c r="Y1332">
        <v>0</v>
      </c>
      <c r="Z1332" s="21">
        <f t="shared" si="150"/>
        <v>0</v>
      </c>
      <c r="AA1332">
        <v>0</v>
      </c>
      <c r="AB1332">
        <v>0</v>
      </c>
      <c r="AC1332" s="21">
        <f t="shared" si="151"/>
        <v>0</v>
      </c>
      <c r="AD1332">
        <v>0</v>
      </c>
      <c r="AE1332">
        <v>0</v>
      </c>
      <c r="AF1332" s="21">
        <f t="shared" si="154"/>
        <v>0</v>
      </c>
    </row>
    <row r="1333" spans="1:32" ht="15" customHeight="1" x14ac:dyDescent="0.3">
      <c r="A1333">
        <v>3</v>
      </c>
      <c r="B1333" s="2" t="s">
        <v>696</v>
      </c>
      <c r="C1333" s="4" t="s">
        <v>690</v>
      </c>
      <c r="D1333" s="3" t="s">
        <v>652</v>
      </c>
      <c r="E1333" s="6" t="s">
        <v>24</v>
      </c>
      <c r="F1333" s="6" t="s">
        <v>263</v>
      </c>
      <c r="G1333" s="6" t="s">
        <v>718</v>
      </c>
      <c r="H1333" s="23">
        <v>0</v>
      </c>
      <c r="I1333">
        <v>0</v>
      </c>
      <c r="J1333">
        <v>0</v>
      </c>
      <c r="K1333" s="20">
        <f t="shared" si="152"/>
        <v>0</v>
      </c>
      <c r="L1333">
        <v>0</v>
      </c>
      <c r="M1333">
        <v>0</v>
      </c>
      <c r="N1333" s="21">
        <f t="shared" si="153"/>
        <v>0</v>
      </c>
      <c r="O1333">
        <v>0</v>
      </c>
      <c r="P1333">
        <v>0</v>
      </c>
      <c r="Q1333" s="21">
        <f t="shared" si="147"/>
        <v>0</v>
      </c>
      <c r="R1333">
        <v>0</v>
      </c>
      <c r="S1333">
        <v>0</v>
      </c>
      <c r="T1333" s="21">
        <f t="shared" si="148"/>
        <v>0</v>
      </c>
      <c r="U1333">
        <v>0</v>
      </c>
      <c r="V1333">
        <v>0</v>
      </c>
      <c r="W1333" s="21">
        <f t="shared" si="149"/>
        <v>0</v>
      </c>
      <c r="X1333">
        <v>0</v>
      </c>
      <c r="Y1333">
        <v>0</v>
      </c>
      <c r="Z1333" s="21">
        <f t="shared" si="150"/>
        <v>0</v>
      </c>
      <c r="AA1333">
        <v>0</v>
      </c>
      <c r="AB1333">
        <v>0</v>
      </c>
      <c r="AC1333" s="21">
        <f t="shared" si="151"/>
        <v>0</v>
      </c>
      <c r="AD1333">
        <v>0</v>
      </c>
      <c r="AE1333">
        <v>0</v>
      </c>
      <c r="AF1333" s="21">
        <f t="shared" si="154"/>
        <v>0</v>
      </c>
    </row>
    <row r="1334" spans="1:32" ht="15" customHeight="1" x14ac:dyDescent="0.3">
      <c r="A1334">
        <v>3</v>
      </c>
      <c r="B1334" s="2" t="s">
        <v>696</v>
      </c>
      <c r="C1334" s="4" t="s">
        <v>690</v>
      </c>
      <c r="D1334" s="3" t="s">
        <v>652</v>
      </c>
      <c r="E1334" s="6" t="s">
        <v>24</v>
      </c>
      <c r="F1334" s="6" t="s">
        <v>264</v>
      </c>
      <c r="G1334" s="6" t="s">
        <v>716</v>
      </c>
      <c r="H1334" s="15">
        <v>39000</v>
      </c>
      <c r="I1334">
        <v>0</v>
      </c>
      <c r="J1334">
        <v>0</v>
      </c>
      <c r="K1334" s="20">
        <f t="shared" si="152"/>
        <v>0</v>
      </c>
      <c r="L1334">
        <v>30</v>
      </c>
      <c r="M1334">
        <v>3</v>
      </c>
      <c r="N1334" s="21">
        <f t="shared" si="153"/>
        <v>3510000</v>
      </c>
      <c r="O1334">
        <v>0</v>
      </c>
      <c r="P1334">
        <v>0</v>
      </c>
      <c r="Q1334" s="21">
        <f t="shared" si="147"/>
        <v>0</v>
      </c>
      <c r="R1334">
        <v>0</v>
      </c>
      <c r="S1334">
        <v>0</v>
      </c>
      <c r="T1334" s="21">
        <f t="shared" si="148"/>
        <v>0</v>
      </c>
      <c r="U1334">
        <v>0</v>
      </c>
      <c r="V1334">
        <v>0</v>
      </c>
      <c r="W1334" s="21">
        <f t="shared" si="149"/>
        <v>0</v>
      </c>
      <c r="X1334">
        <v>0</v>
      </c>
      <c r="Y1334">
        <v>0</v>
      </c>
      <c r="Z1334" s="21">
        <f t="shared" si="150"/>
        <v>0</v>
      </c>
      <c r="AA1334">
        <v>0</v>
      </c>
      <c r="AB1334">
        <v>0</v>
      </c>
      <c r="AC1334" s="21">
        <f t="shared" si="151"/>
        <v>0</v>
      </c>
      <c r="AD1334">
        <v>0</v>
      </c>
      <c r="AE1334">
        <v>0</v>
      </c>
      <c r="AF1334" s="21">
        <f t="shared" si="154"/>
        <v>0</v>
      </c>
    </row>
    <row r="1335" spans="1:32" ht="15" customHeight="1" x14ac:dyDescent="0.3">
      <c r="A1335">
        <v>3</v>
      </c>
      <c r="B1335" s="2" t="s">
        <v>696</v>
      </c>
      <c r="C1335" s="4" t="s">
        <v>690</v>
      </c>
      <c r="D1335" s="3" t="s">
        <v>652</v>
      </c>
      <c r="E1335" s="6" t="s">
        <v>24</v>
      </c>
      <c r="F1335" s="6" t="s">
        <v>264</v>
      </c>
      <c r="G1335" s="6" t="s">
        <v>709</v>
      </c>
      <c r="H1335" s="23">
        <v>28000</v>
      </c>
      <c r="I1335">
        <v>0</v>
      </c>
      <c r="J1335">
        <v>0</v>
      </c>
      <c r="K1335" s="20">
        <f t="shared" si="152"/>
        <v>0</v>
      </c>
      <c r="L1335">
        <v>30</v>
      </c>
      <c r="M1335">
        <v>3</v>
      </c>
      <c r="N1335" s="21">
        <f t="shared" si="153"/>
        <v>2520000</v>
      </c>
      <c r="O1335">
        <v>0</v>
      </c>
      <c r="P1335">
        <v>0</v>
      </c>
      <c r="Q1335" s="21">
        <f t="shared" si="147"/>
        <v>0</v>
      </c>
      <c r="R1335">
        <v>0</v>
      </c>
      <c r="S1335">
        <v>0</v>
      </c>
      <c r="T1335" s="21">
        <f t="shared" si="148"/>
        <v>0</v>
      </c>
      <c r="U1335">
        <v>0</v>
      </c>
      <c r="V1335">
        <v>0</v>
      </c>
      <c r="W1335" s="21">
        <f t="shared" si="149"/>
        <v>0</v>
      </c>
      <c r="X1335">
        <v>0</v>
      </c>
      <c r="Y1335">
        <v>0</v>
      </c>
      <c r="Z1335" s="21">
        <f t="shared" si="150"/>
        <v>0</v>
      </c>
      <c r="AA1335">
        <v>0</v>
      </c>
      <c r="AB1335">
        <v>0</v>
      </c>
      <c r="AC1335" s="21">
        <f t="shared" si="151"/>
        <v>0</v>
      </c>
      <c r="AD1335">
        <v>0</v>
      </c>
      <c r="AE1335">
        <v>0</v>
      </c>
      <c r="AF1335" s="21">
        <f t="shared" si="154"/>
        <v>0</v>
      </c>
    </row>
    <row r="1336" spans="1:32" ht="15" customHeight="1" x14ac:dyDescent="0.3">
      <c r="A1336">
        <v>3</v>
      </c>
      <c r="B1336" s="2" t="s">
        <v>696</v>
      </c>
      <c r="C1336" s="4" t="s">
        <v>690</v>
      </c>
      <c r="D1336" s="3" t="s">
        <v>652</v>
      </c>
      <c r="E1336" s="6" t="s">
        <v>24</v>
      </c>
      <c r="F1336" s="6" t="s">
        <v>264</v>
      </c>
      <c r="G1336" s="6" t="s">
        <v>712</v>
      </c>
      <c r="H1336" s="23">
        <v>214.29</v>
      </c>
      <c r="I1336">
        <v>0</v>
      </c>
      <c r="J1336">
        <v>0</v>
      </c>
      <c r="K1336" s="20">
        <f t="shared" si="152"/>
        <v>0</v>
      </c>
      <c r="L1336">
        <v>4000</v>
      </c>
      <c r="M1336">
        <v>1</v>
      </c>
      <c r="N1336" s="21">
        <f t="shared" si="153"/>
        <v>857160</v>
      </c>
      <c r="O1336">
        <v>0</v>
      </c>
      <c r="P1336">
        <v>0</v>
      </c>
      <c r="Q1336" s="21">
        <f t="shared" si="147"/>
        <v>0</v>
      </c>
      <c r="R1336">
        <v>0</v>
      </c>
      <c r="S1336">
        <v>0</v>
      </c>
      <c r="T1336" s="21">
        <f t="shared" si="148"/>
        <v>0</v>
      </c>
      <c r="U1336">
        <v>0</v>
      </c>
      <c r="V1336">
        <v>0</v>
      </c>
      <c r="W1336" s="21">
        <f t="shared" si="149"/>
        <v>0</v>
      </c>
      <c r="X1336">
        <v>0</v>
      </c>
      <c r="Y1336">
        <v>0</v>
      </c>
      <c r="Z1336" s="21">
        <f t="shared" si="150"/>
        <v>0</v>
      </c>
      <c r="AA1336">
        <v>0</v>
      </c>
      <c r="AB1336">
        <v>0</v>
      </c>
      <c r="AC1336" s="21">
        <f t="shared" si="151"/>
        <v>0</v>
      </c>
      <c r="AD1336">
        <v>0</v>
      </c>
      <c r="AE1336">
        <v>0</v>
      </c>
      <c r="AF1336" s="21">
        <f t="shared" si="154"/>
        <v>0</v>
      </c>
    </row>
    <row r="1337" spans="1:32" ht="15" customHeight="1" x14ac:dyDescent="0.3">
      <c r="A1337">
        <v>3</v>
      </c>
      <c r="B1337" s="2" t="s">
        <v>696</v>
      </c>
      <c r="C1337" s="4" t="s">
        <v>690</v>
      </c>
      <c r="D1337" s="3" t="s">
        <v>652</v>
      </c>
      <c r="E1337" s="6" t="s">
        <v>24</v>
      </c>
      <c r="F1337" s="6" t="s">
        <v>177</v>
      </c>
      <c r="G1337" s="6" t="s">
        <v>716</v>
      </c>
      <c r="H1337" s="15">
        <v>39000</v>
      </c>
      <c r="I1337">
        <v>0</v>
      </c>
      <c r="J1337">
        <v>0</v>
      </c>
      <c r="K1337" s="20">
        <f t="shared" si="152"/>
        <v>0</v>
      </c>
      <c r="L1337">
        <v>20</v>
      </c>
      <c r="M1337">
        <v>2</v>
      </c>
      <c r="N1337" s="21">
        <f t="shared" si="153"/>
        <v>1560000</v>
      </c>
      <c r="O1337">
        <v>0</v>
      </c>
      <c r="P1337">
        <v>0</v>
      </c>
      <c r="Q1337" s="21">
        <f t="shared" si="147"/>
        <v>0</v>
      </c>
      <c r="R1337">
        <v>0</v>
      </c>
      <c r="S1337">
        <v>0</v>
      </c>
      <c r="T1337" s="21">
        <f t="shared" si="148"/>
        <v>0</v>
      </c>
      <c r="U1337">
        <v>0</v>
      </c>
      <c r="V1337">
        <v>0</v>
      </c>
      <c r="W1337" s="21">
        <f t="shared" si="149"/>
        <v>0</v>
      </c>
      <c r="X1337">
        <v>0</v>
      </c>
      <c r="Y1337">
        <v>0</v>
      </c>
      <c r="Z1337" s="21">
        <f t="shared" si="150"/>
        <v>0</v>
      </c>
      <c r="AA1337">
        <v>0</v>
      </c>
      <c r="AB1337">
        <v>0</v>
      </c>
      <c r="AC1337" s="21">
        <f t="shared" si="151"/>
        <v>0</v>
      </c>
      <c r="AD1337">
        <v>0</v>
      </c>
      <c r="AE1337">
        <v>0</v>
      </c>
      <c r="AF1337" s="21">
        <f t="shared" si="154"/>
        <v>0</v>
      </c>
    </row>
    <row r="1338" spans="1:32" ht="15" customHeight="1" x14ac:dyDescent="0.3">
      <c r="A1338">
        <v>3</v>
      </c>
      <c r="B1338" s="2" t="s">
        <v>696</v>
      </c>
      <c r="C1338" s="4" t="s">
        <v>690</v>
      </c>
      <c r="D1338" s="3" t="s">
        <v>652</v>
      </c>
      <c r="E1338" s="6" t="s">
        <v>24</v>
      </c>
      <c r="F1338" s="6" t="s">
        <v>177</v>
      </c>
      <c r="G1338" s="6" t="s">
        <v>709</v>
      </c>
      <c r="H1338" s="23">
        <v>28000</v>
      </c>
      <c r="I1338">
        <v>0</v>
      </c>
      <c r="J1338">
        <v>0</v>
      </c>
      <c r="K1338" s="20">
        <f t="shared" si="152"/>
        <v>0</v>
      </c>
      <c r="L1338">
        <v>40</v>
      </c>
      <c r="M1338">
        <v>2</v>
      </c>
      <c r="N1338" s="21">
        <f t="shared" si="153"/>
        <v>2240000</v>
      </c>
      <c r="O1338">
        <v>0</v>
      </c>
      <c r="P1338">
        <v>0</v>
      </c>
      <c r="Q1338" s="21">
        <f t="shared" si="147"/>
        <v>0</v>
      </c>
      <c r="R1338">
        <v>0</v>
      </c>
      <c r="S1338">
        <v>0</v>
      </c>
      <c r="T1338" s="21">
        <f t="shared" si="148"/>
        <v>0</v>
      </c>
      <c r="U1338">
        <v>0</v>
      </c>
      <c r="V1338">
        <v>0</v>
      </c>
      <c r="W1338" s="21">
        <f t="shared" si="149"/>
        <v>0</v>
      </c>
      <c r="X1338">
        <v>0</v>
      </c>
      <c r="Y1338">
        <v>0</v>
      </c>
      <c r="Z1338" s="21">
        <f t="shared" si="150"/>
        <v>0</v>
      </c>
      <c r="AA1338">
        <v>0</v>
      </c>
      <c r="AB1338">
        <v>0</v>
      </c>
      <c r="AC1338" s="21">
        <f t="shared" si="151"/>
        <v>0</v>
      </c>
      <c r="AD1338">
        <v>0</v>
      </c>
      <c r="AE1338">
        <v>0</v>
      </c>
      <c r="AF1338" s="21">
        <f t="shared" si="154"/>
        <v>0</v>
      </c>
    </row>
    <row r="1339" spans="1:32" ht="15" customHeight="1" x14ac:dyDescent="0.3">
      <c r="A1339">
        <v>3</v>
      </c>
      <c r="B1339" s="2" t="s">
        <v>696</v>
      </c>
      <c r="C1339" s="4" t="s">
        <v>690</v>
      </c>
      <c r="D1339" s="3" t="s">
        <v>652</v>
      </c>
      <c r="E1339" s="6" t="s">
        <v>24</v>
      </c>
      <c r="F1339" s="6" t="s">
        <v>177</v>
      </c>
      <c r="G1339" s="6" t="s">
        <v>712</v>
      </c>
      <c r="H1339" s="23">
        <v>214.29</v>
      </c>
      <c r="I1339">
        <v>0</v>
      </c>
      <c r="J1339">
        <v>0</v>
      </c>
      <c r="K1339" s="20">
        <f t="shared" si="152"/>
        <v>0</v>
      </c>
      <c r="L1339">
        <v>8000</v>
      </c>
      <c r="M1339">
        <v>1</v>
      </c>
      <c r="N1339" s="21">
        <f t="shared" si="153"/>
        <v>1714320</v>
      </c>
      <c r="O1339">
        <v>0</v>
      </c>
      <c r="P1339">
        <v>0</v>
      </c>
      <c r="Q1339" s="21">
        <f t="shared" si="147"/>
        <v>0</v>
      </c>
      <c r="R1339">
        <v>0</v>
      </c>
      <c r="S1339">
        <v>0</v>
      </c>
      <c r="T1339" s="21">
        <f t="shared" si="148"/>
        <v>0</v>
      </c>
      <c r="U1339">
        <v>0</v>
      </c>
      <c r="V1339">
        <v>0</v>
      </c>
      <c r="W1339" s="21">
        <f t="shared" si="149"/>
        <v>0</v>
      </c>
      <c r="X1339">
        <v>0</v>
      </c>
      <c r="Y1339">
        <v>0</v>
      </c>
      <c r="Z1339" s="21">
        <f t="shared" si="150"/>
        <v>0</v>
      </c>
      <c r="AA1339">
        <v>0</v>
      </c>
      <c r="AB1339">
        <v>0</v>
      </c>
      <c r="AC1339" s="21">
        <f t="shared" si="151"/>
        <v>0</v>
      </c>
      <c r="AD1339">
        <v>0</v>
      </c>
      <c r="AE1339">
        <v>0</v>
      </c>
      <c r="AF1339" s="21">
        <f t="shared" si="154"/>
        <v>0</v>
      </c>
    </row>
    <row r="1340" spans="1:32" ht="15" customHeight="1" x14ac:dyDescent="0.3">
      <c r="A1340">
        <v>3</v>
      </c>
      <c r="B1340" s="2" t="s">
        <v>696</v>
      </c>
      <c r="C1340" s="4" t="s">
        <v>690</v>
      </c>
      <c r="D1340" s="3" t="s">
        <v>652</v>
      </c>
      <c r="E1340" s="6" t="s">
        <v>24</v>
      </c>
      <c r="F1340" s="6" t="s">
        <v>265</v>
      </c>
      <c r="G1340" s="6" t="s">
        <v>709</v>
      </c>
      <c r="H1340" s="23">
        <v>28000</v>
      </c>
      <c r="I1340">
        <v>0</v>
      </c>
      <c r="J1340">
        <v>0</v>
      </c>
      <c r="K1340" s="20">
        <f t="shared" si="152"/>
        <v>0</v>
      </c>
      <c r="L1340">
        <v>30</v>
      </c>
      <c r="M1340">
        <v>1</v>
      </c>
      <c r="N1340" s="21">
        <f t="shared" si="153"/>
        <v>840000</v>
      </c>
      <c r="O1340">
        <v>0</v>
      </c>
      <c r="P1340">
        <v>0</v>
      </c>
      <c r="Q1340" s="21">
        <f t="shared" si="147"/>
        <v>0</v>
      </c>
      <c r="R1340">
        <v>0</v>
      </c>
      <c r="S1340">
        <v>0</v>
      </c>
      <c r="T1340" s="21">
        <f t="shared" si="148"/>
        <v>0</v>
      </c>
      <c r="U1340">
        <v>0</v>
      </c>
      <c r="V1340">
        <v>0</v>
      </c>
      <c r="W1340" s="21">
        <f t="shared" si="149"/>
        <v>0</v>
      </c>
      <c r="X1340">
        <v>0</v>
      </c>
      <c r="Y1340">
        <v>0</v>
      </c>
      <c r="Z1340" s="21">
        <f t="shared" si="150"/>
        <v>0</v>
      </c>
      <c r="AA1340">
        <v>0</v>
      </c>
      <c r="AB1340">
        <v>0</v>
      </c>
      <c r="AC1340" s="21">
        <f t="shared" si="151"/>
        <v>0</v>
      </c>
      <c r="AD1340">
        <v>0</v>
      </c>
      <c r="AE1340">
        <v>0</v>
      </c>
      <c r="AF1340" s="21">
        <f t="shared" si="154"/>
        <v>0</v>
      </c>
    </row>
    <row r="1341" spans="1:32" ht="15" customHeight="1" x14ac:dyDescent="0.3">
      <c r="A1341">
        <v>3</v>
      </c>
      <c r="B1341" s="2" t="s">
        <v>696</v>
      </c>
      <c r="C1341" s="4" t="s">
        <v>690</v>
      </c>
      <c r="D1341" s="3" t="s">
        <v>652</v>
      </c>
      <c r="E1341" s="6" t="s">
        <v>24</v>
      </c>
      <c r="F1341" s="6" t="s">
        <v>266</v>
      </c>
      <c r="G1341" s="6" t="s">
        <v>718</v>
      </c>
      <c r="H1341" s="23">
        <v>0</v>
      </c>
      <c r="I1341">
        <v>0</v>
      </c>
      <c r="J1341">
        <v>0</v>
      </c>
      <c r="K1341" s="20">
        <f t="shared" si="152"/>
        <v>0</v>
      </c>
      <c r="L1341">
        <v>0</v>
      </c>
      <c r="M1341">
        <v>0</v>
      </c>
      <c r="N1341" s="21">
        <f t="shared" si="153"/>
        <v>0</v>
      </c>
      <c r="O1341">
        <v>0</v>
      </c>
      <c r="P1341">
        <v>0</v>
      </c>
      <c r="Q1341" s="21">
        <f t="shared" ref="Q1341:Q1404" si="155">H1341*O1341*P1341</f>
        <v>0</v>
      </c>
      <c r="R1341">
        <v>0</v>
      </c>
      <c r="S1341">
        <v>0</v>
      </c>
      <c r="T1341" s="21">
        <f t="shared" ref="T1341:T1404" si="156">H1341*R1341*S1341</f>
        <v>0</v>
      </c>
      <c r="U1341">
        <v>0</v>
      </c>
      <c r="V1341">
        <v>0</v>
      </c>
      <c r="W1341" s="21">
        <f t="shared" ref="W1341:W1404" si="157">H1341*U1341*V1341</f>
        <v>0</v>
      </c>
      <c r="X1341">
        <v>0</v>
      </c>
      <c r="Y1341">
        <v>0</v>
      </c>
      <c r="Z1341" s="21">
        <f t="shared" ref="Z1341:Z1404" si="158">H1341*X1341*Y1341</f>
        <v>0</v>
      </c>
      <c r="AA1341">
        <v>0</v>
      </c>
      <c r="AB1341">
        <v>0</v>
      </c>
      <c r="AC1341" s="21">
        <f t="shared" ref="AC1341:AC1404" si="159">H1341*AA1341*AB1341</f>
        <v>0</v>
      </c>
      <c r="AD1341">
        <v>0</v>
      </c>
      <c r="AE1341">
        <v>0</v>
      </c>
      <c r="AF1341" s="21">
        <f t="shared" si="154"/>
        <v>0</v>
      </c>
    </row>
    <row r="1342" spans="1:32" ht="15" customHeight="1" x14ac:dyDescent="0.3">
      <c r="A1342">
        <v>3</v>
      </c>
      <c r="B1342" s="2" t="s">
        <v>696</v>
      </c>
      <c r="C1342" s="4" t="s">
        <v>690</v>
      </c>
      <c r="D1342" s="3" t="s">
        <v>652</v>
      </c>
      <c r="E1342" s="6" t="s">
        <v>22</v>
      </c>
      <c r="F1342" s="6" t="s">
        <v>251</v>
      </c>
      <c r="G1342" s="6" t="s">
        <v>709</v>
      </c>
      <c r="H1342" s="23">
        <v>28000</v>
      </c>
      <c r="I1342">
        <v>0</v>
      </c>
      <c r="J1342">
        <v>0</v>
      </c>
      <c r="K1342" s="20">
        <f t="shared" si="152"/>
        <v>0</v>
      </c>
      <c r="L1342">
        <v>25</v>
      </c>
      <c r="M1342">
        <v>4</v>
      </c>
      <c r="N1342" s="21">
        <f t="shared" si="153"/>
        <v>2800000</v>
      </c>
      <c r="O1342">
        <v>25</v>
      </c>
      <c r="P1342">
        <v>4</v>
      </c>
      <c r="Q1342" s="21">
        <f t="shared" si="155"/>
        <v>2800000</v>
      </c>
      <c r="R1342">
        <v>25</v>
      </c>
      <c r="S1342">
        <v>4</v>
      </c>
      <c r="T1342" s="21">
        <f t="shared" si="156"/>
        <v>2800000</v>
      </c>
      <c r="U1342">
        <v>25</v>
      </c>
      <c r="V1342">
        <v>4</v>
      </c>
      <c r="W1342" s="21">
        <f t="shared" si="157"/>
        <v>2800000</v>
      </c>
      <c r="X1342">
        <v>0</v>
      </c>
      <c r="Y1342">
        <v>0</v>
      </c>
      <c r="Z1342" s="21">
        <f t="shared" si="158"/>
        <v>0</v>
      </c>
      <c r="AA1342">
        <v>0</v>
      </c>
      <c r="AB1342">
        <v>0</v>
      </c>
      <c r="AC1342" s="21">
        <f t="shared" si="159"/>
        <v>0</v>
      </c>
      <c r="AD1342">
        <v>0</v>
      </c>
      <c r="AE1342">
        <v>0</v>
      </c>
      <c r="AF1342" s="21">
        <f t="shared" si="154"/>
        <v>0</v>
      </c>
    </row>
    <row r="1343" spans="1:32" ht="15" customHeight="1" x14ac:dyDescent="0.3">
      <c r="A1343">
        <v>3</v>
      </c>
      <c r="B1343" s="2" t="s">
        <v>696</v>
      </c>
      <c r="C1343" s="4" t="s">
        <v>690</v>
      </c>
      <c r="D1343" s="3" t="s">
        <v>652</v>
      </c>
      <c r="E1343" s="6" t="s">
        <v>22</v>
      </c>
      <c r="F1343" s="6" t="s">
        <v>252</v>
      </c>
      <c r="G1343" s="6" t="s">
        <v>709</v>
      </c>
      <c r="H1343" s="23">
        <v>28000</v>
      </c>
      <c r="I1343">
        <v>0</v>
      </c>
      <c r="J1343">
        <v>0</v>
      </c>
      <c r="K1343" s="20">
        <f t="shared" si="152"/>
        <v>0</v>
      </c>
      <c r="L1343">
        <v>40</v>
      </c>
      <c r="M1343">
        <v>1</v>
      </c>
      <c r="N1343" s="21">
        <f t="shared" si="153"/>
        <v>1120000</v>
      </c>
      <c r="O1343">
        <v>40</v>
      </c>
      <c r="P1343">
        <v>1</v>
      </c>
      <c r="Q1343" s="21">
        <f t="shared" si="155"/>
        <v>1120000</v>
      </c>
      <c r="R1343">
        <v>40</v>
      </c>
      <c r="S1343">
        <v>1</v>
      </c>
      <c r="T1343" s="21">
        <f t="shared" si="156"/>
        <v>1120000</v>
      </c>
      <c r="U1343">
        <v>40</v>
      </c>
      <c r="V1343">
        <v>1</v>
      </c>
      <c r="W1343" s="21">
        <f t="shared" si="157"/>
        <v>1120000</v>
      </c>
      <c r="X1343">
        <v>0</v>
      </c>
      <c r="Y1343">
        <v>0</v>
      </c>
      <c r="Z1343" s="21">
        <f t="shared" si="158"/>
        <v>0</v>
      </c>
      <c r="AA1343">
        <v>0</v>
      </c>
      <c r="AB1343">
        <v>0</v>
      </c>
      <c r="AC1343" s="21">
        <f t="shared" si="159"/>
        <v>0</v>
      </c>
      <c r="AD1343">
        <v>0</v>
      </c>
      <c r="AE1343">
        <v>0</v>
      </c>
      <c r="AF1343" s="21">
        <f t="shared" si="154"/>
        <v>0</v>
      </c>
    </row>
    <row r="1344" spans="1:32" ht="15" customHeight="1" x14ac:dyDescent="0.3">
      <c r="A1344">
        <v>3</v>
      </c>
      <c r="B1344" s="2" t="s">
        <v>696</v>
      </c>
      <c r="C1344" s="4" t="s">
        <v>690</v>
      </c>
      <c r="D1344" s="3" t="s">
        <v>652</v>
      </c>
      <c r="E1344" s="6" t="s">
        <v>22</v>
      </c>
      <c r="F1344" s="6" t="s">
        <v>252</v>
      </c>
      <c r="G1344" s="6" t="s">
        <v>716</v>
      </c>
      <c r="H1344" s="15">
        <v>39000</v>
      </c>
      <c r="I1344">
        <v>0</v>
      </c>
      <c r="J1344">
        <v>0</v>
      </c>
      <c r="K1344" s="20">
        <f t="shared" si="152"/>
        <v>0</v>
      </c>
      <c r="L1344">
        <v>20</v>
      </c>
      <c r="M1344">
        <v>1</v>
      </c>
      <c r="N1344" s="21">
        <f t="shared" si="153"/>
        <v>780000</v>
      </c>
      <c r="O1344">
        <v>20</v>
      </c>
      <c r="P1344">
        <v>1</v>
      </c>
      <c r="Q1344" s="21">
        <f t="shared" si="155"/>
        <v>780000</v>
      </c>
      <c r="R1344">
        <v>20</v>
      </c>
      <c r="S1344">
        <v>1</v>
      </c>
      <c r="T1344" s="21">
        <f t="shared" si="156"/>
        <v>780000</v>
      </c>
      <c r="U1344">
        <v>20</v>
      </c>
      <c r="V1344">
        <v>1</v>
      </c>
      <c r="W1344" s="21">
        <f t="shared" si="157"/>
        <v>780000</v>
      </c>
      <c r="X1344">
        <v>0</v>
      </c>
      <c r="Y1344">
        <v>0</v>
      </c>
      <c r="Z1344" s="21">
        <f t="shared" si="158"/>
        <v>0</v>
      </c>
      <c r="AA1344">
        <v>0</v>
      </c>
      <c r="AB1344">
        <v>0</v>
      </c>
      <c r="AC1344" s="21">
        <f t="shared" si="159"/>
        <v>0</v>
      </c>
      <c r="AD1344">
        <v>0</v>
      </c>
      <c r="AE1344">
        <v>0</v>
      </c>
      <c r="AF1344" s="21">
        <f t="shared" si="154"/>
        <v>0</v>
      </c>
    </row>
    <row r="1345" spans="1:32" ht="15" customHeight="1" x14ac:dyDescent="0.3">
      <c r="A1345">
        <v>3</v>
      </c>
      <c r="B1345" s="2" t="s">
        <v>696</v>
      </c>
      <c r="C1345" s="4" t="s">
        <v>690</v>
      </c>
      <c r="D1345" s="3" t="s">
        <v>653</v>
      </c>
      <c r="E1345" s="6" t="s">
        <v>26</v>
      </c>
      <c r="F1345" s="6" t="s">
        <v>729</v>
      </c>
      <c r="G1345" s="6" t="s">
        <v>718</v>
      </c>
      <c r="H1345" s="23">
        <v>0</v>
      </c>
      <c r="I1345">
        <v>0</v>
      </c>
      <c r="J1345">
        <v>0</v>
      </c>
      <c r="K1345" s="20">
        <f t="shared" si="152"/>
        <v>0</v>
      </c>
      <c r="L1345">
        <v>0</v>
      </c>
      <c r="M1345">
        <v>0</v>
      </c>
      <c r="N1345" s="21">
        <f t="shared" si="153"/>
        <v>0</v>
      </c>
      <c r="O1345">
        <v>0</v>
      </c>
      <c r="P1345">
        <v>0</v>
      </c>
      <c r="Q1345" s="21">
        <f t="shared" si="155"/>
        <v>0</v>
      </c>
      <c r="R1345">
        <v>0</v>
      </c>
      <c r="S1345">
        <v>0</v>
      </c>
      <c r="T1345" s="21">
        <f t="shared" si="156"/>
        <v>0</v>
      </c>
      <c r="U1345">
        <v>0</v>
      </c>
      <c r="V1345">
        <v>0</v>
      </c>
      <c r="W1345" s="21">
        <f t="shared" si="157"/>
        <v>0</v>
      </c>
      <c r="X1345">
        <v>0</v>
      </c>
      <c r="Y1345">
        <v>0</v>
      </c>
      <c r="Z1345" s="21">
        <f t="shared" si="158"/>
        <v>0</v>
      </c>
      <c r="AA1345">
        <v>0</v>
      </c>
      <c r="AB1345">
        <v>0</v>
      </c>
      <c r="AC1345" s="21">
        <f t="shared" si="159"/>
        <v>0</v>
      </c>
      <c r="AD1345">
        <v>0</v>
      </c>
      <c r="AE1345">
        <v>0</v>
      </c>
      <c r="AF1345" s="21">
        <f t="shared" si="154"/>
        <v>0</v>
      </c>
    </row>
    <row r="1346" spans="1:32" ht="15" customHeight="1" x14ac:dyDescent="0.3">
      <c r="A1346">
        <v>3</v>
      </c>
      <c r="B1346" s="2" t="s">
        <v>696</v>
      </c>
      <c r="C1346" s="4" t="s">
        <v>690</v>
      </c>
      <c r="D1346" s="3" t="s">
        <v>653</v>
      </c>
      <c r="E1346" s="6" t="s">
        <v>26</v>
      </c>
      <c r="F1346" s="6" t="s">
        <v>730</v>
      </c>
      <c r="G1346" s="6" t="s">
        <v>718</v>
      </c>
      <c r="H1346" s="23">
        <v>0</v>
      </c>
      <c r="I1346">
        <v>0</v>
      </c>
      <c r="J1346">
        <v>0</v>
      </c>
      <c r="K1346" s="20">
        <f t="shared" si="152"/>
        <v>0</v>
      </c>
      <c r="L1346">
        <v>0</v>
      </c>
      <c r="M1346">
        <v>0</v>
      </c>
      <c r="N1346" s="21">
        <f t="shared" si="153"/>
        <v>0</v>
      </c>
      <c r="O1346">
        <v>0</v>
      </c>
      <c r="P1346">
        <v>0</v>
      </c>
      <c r="Q1346" s="21">
        <f t="shared" si="155"/>
        <v>0</v>
      </c>
      <c r="R1346">
        <v>0</v>
      </c>
      <c r="S1346">
        <v>0</v>
      </c>
      <c r="T1346" s="21">
        <f t="shared" si="156"/>
        <v>0</v>
      </c>
      <c r="U1346">
        <v>0</v>
      </c>
      <c r="V1346">
        <v>0</v>
      </c>
      <c r="W1346" s="21">
        <f t="shared" si="157"/>
        <v>0</v>
      </c>
      <c r="X1346">
        <v>0</v>
      </c>
      <c r="Y1346">
        <v>0</v>
      </c>
      <c r="Z1346" s="21">
        <f t="shared" si="158"/>
        <v>0</v>
      </c>
      <c r="AA1346">
        <v>0</v>
      </c>
      <c r="AB1346">
        <v>0</v>
      </c>
      <c r="AC1346" s="21">
        <f t="shared" si="159"/>
        <v>0</v>
      </c>
      <c r="AD1346">
        <v>0</v>
      </c>
      <c r="AE1346">
        <v>0</v>
      </c>
      <c r="AF1346" s="21">
        <f t="shared" si="154"/>
        <v>0</v>
      </c>
    </row>
    <row r="1347" spans="1:32" ht="15" customHeight="1" x14ac:dyDescent="0.3">
      <c r="A1347">
        <v>3</v>
      </c>
      <c r="B1347" s="2" t="s">
        <v>696</v>
      </c>
      <c r="C1347" s="4" t="s">
        <v>690</v>
      </c>
      <c r="D1347" s="3" t="s">
        <v>653</v>
      </c>
      <c r="E1347" s="6" t="s">
        <v>26</v>
      </c>
      <c r="F1347" s="6" t="s">
        <v>731</v>
      </c>
      <c r="G1347" s="6" t="s">
        <v>709</v>
      </c>
      <c r="H1347" s="23">
        <v>28000</v>
      </c>
      <c r="I1347">
        <v>0</v>
      </c>
      <c r="J1347">
        <v>0</v>
      </c>
      <c r="K1347" s="20">
        <f t="shared" si="152"/>
        <v>0</v>
      </c>
      <c r="L1347">
        <v>20</v>
      </c>
      <c r="M1347">
        <v>1</v>
      </c>
      <c r="N1347" s="21">
        <f t="shared" si="153"/>
        <v>560000</v>
      </c>
      <c r="O1347">
        <v>0</v>
      </c>
      <c r="P1347">
        <v>0</v>
      </c>
      <c r="Q1347" s="21">
        <f t="shared" si="155"/>
        <v>0</v>
      </c>
      <c r="R1347">
        <v>0</v>
      </c>
      <c r="S1347">
        <v>0</v>
      </c>
      <c r="T1347" s="21">
        <f t="shared" si="156"/>
        <v>0</v>
      </c>
      <c r="U1347">
        <v>0</v>
      </c>
      <c r="V1347">
        <v>0</v>
      </c>
      <c r="W1347" s="21">
        <f t="shared" si="157"/>
        <v>0</v>
      </c>
      <c r="X1347">
        <v>0</v>
      </c>
      <c r="Y1347">
        <v>0</v>
      </c>
      <c r="Z1347" s="21">
        <f t="shared" si="158"/>
        <v>0</v>
      </c>
      <c r="AA1347">
        <v>0</v>
      </c>
      <c r="AB1347">
        <v>0</v>
      </c>
      <c r="AC1347" s="21">
        <f t="shared" si="159"/>
        <v>0</v>
      </c>
      <c r="AD1347">
        <v>0</v>
      </c>
      <c r="AE1347">
        <v>0</v>
      </c>
      <c r="AF1347" s="21">
        <f t="shared" si="154"/>
        <v>0</v>
      </c>
    </row>
    <row r="1348" spans="1:32" ht="15" customHeight="1" x14ac:dyDescent="0.3">
      <c r="A1348">
        <v>3</v>
      </c>
      <c r="B1348" s="2" t="s">
        <v>696</v>
      </c>
      <c r="C1348" s="4" t="s">
        <v>690</v>
      </c>
      <c r="D1348" s="3" t="s">
        <v>653</v>
      </c>
      <c r="E1348" s="6" t="s">
        <v>26</v>
      </c>
      <c r="F1348" s="6" t="s">
        <v>732</v>
      </c>
      <c r="G1348" s="6" t="s">
        <v>709</v>
      </c>
      <c r="H1348" s="23">
        <v>28000</v>
      </c>
      <c r="I1348">
        <v>0</v>
      </c>
      <c r="J1348">
        <v>0</v>
      </c>
      <c r="K1348" s="20">
        <f t="shared" si="152"/>
        <v>0</v>
      </c>
      <c r="L1348">
        <v>15</v>
      </c>
      <c r="M1348">
        <v>5</v>
      </c>
      <c r="N1348" s="21">
        <f t="shared" si="153"/>
        <v>2100000</v>
      </c>
      <c r="O1348">
        <v>0</v>
      </c>
      <c r="P1348">
        <v>0</v>
      </c>
      <c r="Q1348" s="21">
        <f t="shared" si="155"/>
        <v>0</v>
      </c>
      <c r="R1348">
        <v>0</v>
      </c>
      <c r="S1348">
        <v>0</v>
      </c>
      <c r="T1348" s="21">
        <f t="shared" si="156"/>
        <v>0</v>
      </c>
      <c r="U1348">
        <v>0</v>
      </c>
      <c r="V1348">
        <v>0</v>
      </c>
      <c r="W1348" s="21">
        <f t="shared" si="157"/>
        <v>0</v>
      </c>
      <c r="X1348">
        <v>0</v>
      </c>
      <c r="Y1348">
        <v>0</v>
      </c>
      <c r="Z1348" s="21">
        <f t="shared" si="158"/>
        <v>0</v>
      </c>
      <c r="AA1348">
        <v>0</v>
      </c>
      <c r="AB1348">
        <v>0</v>
      </c>
      <c r="AC1348" s="21">
        <f t="shared" si="159"/>
        <v>0</v>
      </c>
      <c r="AD1348">
        <v>0</v>
      </c>
      <c r="AE1348">
        <v>0</v>
      </c>
      <c r="AF1348" s="21">
        <f t="shared" si="154"/>
        <v>0</v>
      </c>
    </row>
    <row r="1349" spans="1:32" ht="15" customHeight="1" x14ac:dyDescent="0.3">
      <c r="A1349">
        <v>3</v>
      </c>
      <c r="B1349" s="2" t="s">
        <v>696</v>
      </c>
      <c r="C1349" s="4" t="s">
        <v>690</v>
      </c>
      <c r="D1349" s="3" t="s">
        <v>653</v>
      </c>
      <c r="E1349" s="6" t="s">
        <v>26</v>
      </c>
      <c r="F1349" s="6" t="s">
        <v>732</v>
      </c>
      <c r="G1349" s="6" t="s">
        <v>716</v>
      </c>
      <c r="H1349" s="15">
        <v>39000</v>
      </c>
      <c r="I1349">
        <v>0</v>
      </c>
      <c r="J1349">
        <v>0</v>
      </c>
      <c r="K1349" s="20">
        <f t="shared" si="152"/>
        <v>0</v>
      </c>
      <c r="L1349">
        <v>15</v>
      </c>
      <c r="M1349">
        <v>5</v>
      </c>
      <c r="N1349" s="21">
        <f t="shared" si="153"/>
        <v>2925000</v>
      </c>
      <c r="O1349">
        <v>0</v>
      </c>
      <c r="P1349">
        <v>0</v>
      </c>
      <c r="Q1349" s="21">
        <f t="shared" si="155"/>
        <v>0</v>
      </c>
      <c r="R1349">
        <v>0</v>
      </c>
      <c r="S1349">
        <v>0</v>
      </c>
      <c r="T1349" s="21">
        <f t="shared" si="156"/>
        <v>0</v>
      </c>
      <c r="U1349">
        <v>0</v>
      </c>
      <c r="V1349">
        <v>0</v>
      </c>
      <c r="W1349" s="21">
        <f t="shared" si="157"/>
        <v>0</v>
      </c>
      <c r="X1349">
        <v>0</v>
      </c>
      <c r="Y1349">
        <v>0</v>
      </c>
      <c r="Z1349" s="21">
        <f t="shared" si="158"/>
        <v>0</v>
      </c>
      <c r="AA1349">
        <v>0</v>
      </c>
      <c r="AB1349">
        <v>0</v>
      </c>
      <c r="AC1349" s="21">
        <f t="shared" si="159"/>
        <v>0</v>
      </c>
      <c r="AD1349">
        <v>0</v>
      </c>
      <c r="AE1349">
        <v>0</v>
      </c>
      <c r="AF1349" s="21">
        <f t="shared" si="154"/>
        <v>0</v>
      </c>
    </row>
    <row r="1350" spans="1:32" ht="15" customHeight="1" x14ac:dyDescent="0.3">
      <c r="A1350">
        <v>3</v>
      </c>
      <c r="B1350" s="2" t="s">
        <v>696</v>
      </c>
      <c r="C1350" s="4" t="s">
        <v>690</v>
      </c>
      <c r="D1350" s="3" t="s">
        <v>653</v>
      </c>
      <c r="E1350" s="6" t="s">
        <v>26</v>
      </c>
      <c r="F1350" s="6" t="s">
        <v>732</v>
      </c>
      <c r="G1350" s="6" t="s">
        <v>712</v>
      </c>
      <c r="H1350" s="23">
        <v>214.29</v>
      </c>
      <c r="I1350">
        <v>0</v>
      </c>
      <c r="J1350">
        <v>0</v>
      </c>
      <c r="K1350" s="20">
        <f t="shared" ref="K1350:K1413" si="160">H1350*I1350*J1350</f>
        <v>0</v>
      </c>
      <c r="L1350">
        <v>8000</v>
      </c>
      <c r="M1350">
        <v>1</v>
      </c>
      <c r="N1350" s="21">
        <f t="shared" ref="N1350:N1413" si="161">H1350*L1350*M1350</f>
        <v>1714320</v>
      </c>
      <c r="O1350">
        <v>0</v>
      </c>
      <c r="P1350">
        <v>0</v>
      </c>
      <c r="Q1350" s="21">
        <f t="shared" si="155"/>
        <v>0</v>
      </c>
      <c r="R1350">
        <v>0</v>
      </c>
      <c r="S1350">
        <v>0</v>
      </c>
      <c r="T1350" s="21">
        <f t="shared" si="156"/>
        <v>0</v>
      </c>
      <c r="U1350">
        <v>0</v>
      </c>
      <c r="V1350">
        <v>0</v>
      </c>
      <c r="W1350" s="21">
        <f t="shared" si="157"/>
        <v>0</v>
      </c>
      <c r="X1350">
        <v>0</v>
      </c>
      <c r="Y1350">
        <v>0</v>
      </c>
      <c r="Z1350" s="21">
        <f t="shared" si="158"/>
        <v>0</v>
      </c>
      <c r="AA1350">
        <v>0</v>
      </c>
      <c r="AB1350">
        <v>0</v>
      </c>
      <c r="AC1350" s="21">
        <f t="shared" si="159"/>
        <v>0</v>
      </c>
      <c r="AD1350">
        <v>0</v>
      </c>
      <c r="AE1350">
        <v>0</v>
      </c>
      <c r="AF1350" s="21">
        <f t="shared" ref="AF1350:AF1413" si="162">H1350*AD1350*AE1350</f>
        <v>0</v>
      </c>
    </row>
    <row r="1351" spans="1:32" ht="15" customHeight="1" x14ac:dyDescent="0.3">
      <c r="A1351">
        <v>3</v>
      </c>
      <c r="B1351" s="2" t="s">
        <v>696</v>
      </c>
      <c r="C1351" s="4" t="s">
        <v>690</v>
      </c>
      <c r="D1351" s="3" t="s">
        <v>653</v>
      </c>
      <c r="E1351" s="6" t="s">
        <v>26</v>
      </c>
      <c r="F1351" s="6" t="s">
        <v>733</v>
      </c>
      <c r="G1351" s="6" t="s">
        <v>709</v>
      </c>
      <c r="H1351" s="23">
        <v>28000</v>
      </c>
      <c r="I1351">
        <v>0</v>
      </c>
      <c r="J1351">
        <v>0</v>
      </c>
      <c r="K1351" s="20">
        <f t="shared" si="160"/>
        <v>0</v>
      </c>
      <c r="L1351">
        <v>15</v>
      </c>
      <c r="M1351">
        <v>5</v>
      </c>
      <c r="N1351" s="21">
        <f t="shared" si="161"/>
        <v>2100000</v>
      </c>
      <c r="O1351">
        <v>0</v>
      </c>
      <c r="P1351">
        <v>0</v>
      </c>
      <c r="Q1351" s="21">
        <f t="shared" si="155"/>
        <v>0</v>
      </c>
      <c r="R1351">
        <v>0</v>
      </c>
      <c r="S1351">
        <v>0</v>
      </c>
      <c r="T1351" s="21">
        <f t="shared" si="156"/>
        <v>0</v>
      </c>
      <c r="U1351">
        <v>0</v>
      </c>
      <c r="V1351">
        <v>0</v>
      </c>
      <c r="W1351" s="21">
        <f t="shared" si="157"/>
        <v>0</v>
      </c>
      <c r="X1351">
        <v>0</v>
      </c>
      <c r="Y1351">
        <v>0</v>
      </c>
      <c r="Z1351" s="21">
        <f t="shared" si="158"/>
        <v>0</v>
      </c>
      <c r="AA1351">
        <v>0</v>
      </c>
      <c r="AB1351">
        <v>0</v>
      </c>
      <c r="AC1351" s="21">
        <f t="shared" si="159"/>
        <v>0</v>
      </c>
      <c r="AD1351">
        <v>0</v>
      </c>
      <c r="AE1351">
        <v>0</v>
      </c>
      <c r="AF1351" s="21">
        <f t="shared" si="162"/>
        <v>0</v>
      </c>
    </row>
    <row r="1352" spans="1:32" ht="15" customHeight="1" x14ac:dyDescent="0.3">
      <c r="A1352">
        <v>3</v>
      </c>
      <c r="B1352" s="2" t="s">
        <v>696</v>
      </c>
      <c r="C1352" s="4" t="s">
        <v>690</v>
      </c>
      <c r="D1352" s="3" t="s">
        <v>653</v>
      </c>
      <c r="E1352" s="6" t="s">
        <v>26</v>
      </c>
      <c r="F1352" s="6" t="s">
        <v>733</v>
      </c>
      <c r="G1352" s="6" t="s">
        <v>716</v>
      </c>
      <c r="H1352" s="15">
        <v>39000</v>
      </c>
      <c r="I1352">
        <v>0</v>
      </c>
      <c r="J1352">
        <v>0</v>
      </c>
      <c r="K1352" s="20">
        <f t="shared" si="160"/>
        <v>0</v>
      </c>
      <c r="L1352">
        <v>15</v>
      </c>
      <c r="M1352">
        <v>5</v>
      </c>
      <c r="N1352" s="21">
        <f t="shared" si="161"/>
        <v>2925000</v>
      </c>
      <c r="O1352">
        <v>0</v>
      </c>
      <c r="P1352">
        <v>0</v>
      </c>
      <c r="Q1352" s="21">
        <f t="shared" si="155"/>
        <v>0</v>
      </c>
      <c r="R1352">
        <v>0</v>
      </c>
      <c r="S1352">
        <v>0</v>
      </c>
      <c r="T1352" s="21">
        <f t="shared" si="156"/>
        <v>0</v>
      </c>
      <c r="U1352">
        <v>0</v>
      </c>
      <c r="V1352">
        <v>0</v>
      </c>
      <c r="W1352" s="21">
        <f t="shared" si="157"/>
        <v>0</v>
      </c>
      <c r="X1352">
        <v>0</v>
      </c>
      <c r="Y1352">
        <v>0</v>
      </c>
      <c r="Z1352" s="21">
        <f t="shared" si="158"/>
        <v>0</v>
      </c>
      <c r="AA1352">
        <v>0</v>
      </c>
      <c r="AB1352">
        <v>0</v>
      </c>
      <c r="AC1352" s="21">
        <f t="shared" si="159"/>
        <v>0</v>
      </c>
      <c r="AD1352">
        <v>0</v>
      </c>
      <c r="AE1352">
        <v>0</v>
      </c>
      <c r="AF1352" s="21">
        <f t="shared" si="162"/>
        <v>0</v>
      </c>
    </row>
    <row r="1353" spans="1:32" ht="15" customHeight="1" x14ac:dyDescent="0.3">
      <c r="A1353">
        <v>3</v>
      </c>
      <c r="B1353" s="2" t="s">
        <v>696</v>
      </c>
      <c r="C1353" s="4" t="s">
        <v>690</v>
      </c>
      <c r="D1353" s="3" t="s">
        <v>653</v>
      </c>
      <c r="E1353" s="6" t="s">
        <v>26</v>
      </c>
      <c r="F1353" s="6" t="s">
        <v>733</v>
      </c>
      <c r="G1353" s="6" t="s">
        <v>712</v>
      </c>
      <c r="H1353" s="23">
        <v>214.29</v>
      </c>
      <c r="I1353">
        <v>0</v>
      </c>
      <c r="J1353">
        <v>0</v>
      </c>
      <c r="K1353" s="20">
        <f t="shared" si="160"/>
        <v>0</v>
      </c>
      <c r="L1353">
        <v>4000</v>
      </c>
      <c r="M1353">
        <v>1</v>
      </c>
      <c r="N1353" s="21">
        <f t="shared" si="161"/>
        <v>857160</v>
      </c>
      <c r="O1353">
        <v>0</v>
      </c>
      <c r="P1353">
        <v>0</v>
      </c>
      <c r="Q1353" s="21">
        <f t="shared" si="155"/>
        <v>0</v>
      </c>
      <c r="R1353">
        <v>0</v>
      </c>
      <c r="S1353">
        <v>0</v>
      </c>
      <c r="T1353" s="21">
        <f t="shared" si="156"/>
        <v>0</v>
      </c>
      <c r="U1353">
        <v>0</v>
      </c>
      <c r="V1353">
        <v>0</v>
      </c>
      <c r="W1353" s="21">
        <f t="shared" si="157"/>
        <v>0</v>
      </c>
      <c r="X1353">
        <v>0</v>
      </c>
      <c r="Y1353">
        <v>0</v>
      </c>
      <c r="Z1353" s="21">
        <f t="shared" si="158"/>
        <v>0</v>
      </c>
      <c r="AA1353">
        <v>0</v>
      </c>
      <c r="AB1353">
        <v>0</v>
      </c>
      <c r="AC1353" s="21">
        <f t="shared" si="159"/>
        <v>0</v>
      </c>
      <c r="AD1353">
        <v>0</v>
      </c>
      <c r="AE1353">
        <v>0</v>
      </c>
      <c r="AF1353" s="21">
        <f t="shared" si="162"/>
        <v>0</v>
      </c>
    </row>
    <row r="1354" spans="1:32" ht="15" customHeight="1" x14ac:dyDescent="0.3">
      <c r="A1354">
        <v>3</v>
      </c>
      <c r="B1354" s="2" t="s">
        <v>696</v>
      </c>
      <c r="C1354" s="4" t="s">
        <v>690</v>
      </c>
      <c r="D1354" s="3" t="s">
        <v>653</v>
      </c>
      <c r="E1354" s="6" t="s">
        <v>26</v>
      </c>
      <c r="F1354" s="6" t="s">
        <v>272</v>
      </c>
      <c r="G1354" s="6" t="s">
        <v>709</v>
      </c>
      <c r="H1354" s="23">
        <v>28000</v>
      </c>
      <c r="I1354">
        <v>0</v>
      </c>
      <c r="J1354">
        <v>0</v>
      </c>
      <c r="K1354" s="20">
        <f t="shared" si="160"/>
        <v>0</v>
      </c>
      <c r="L1354">
        <v>30</v>
      </c>
      <c r="M1354">
        <v>5</v>
      </c>
      <c r="N1354" s="21">
        <f t="shared" si="161"/>
        <v>4200000</v>
      </c>
      <c r="O1354">
        <v>0</v>
      </c>
      <c r="P1354">
        <v>0</v>
      </c>
      <c r="Q1354" s="21">
        <f t="shared" si="155"/>
        <v>0</v>
      </c>
      <c r="R1354">
        <v>0</v>
      </c>
      <c r="S1354">
        <v>0</v>
      </c>
      <c r="T1354" s="21">
        <f t="shared" si="156"/>
        <v>0</v>
      </c>
      <c r="U1354">
        <v>0</v>
      </c>
      <c r="V1354">
        <v>0</v>
      </c>
      <c r="W1354" s="21">
        <f t="shared" si="157"/>
        <v>0</v>
      </c>
      <c r="X1354">
        <v>0</v>
      </c>
      <c r="Y1354">
        <v>0</v>
      </c>
      <c r="Z1354" s="21">
        <f t="shared" si="158"/>
        <v>0</v>
      </c>
      <c r="AA1354">
        <v>0</v>
      </c>
      <c r="AB1354">
        <v>0</v>
      </c>
      <c r="AC1354" s="21">
        <f t="shared" si="159"/>
        <v>0</v>
      </c>
      <c r="AD1354">
        <v>0</v>
      </c>
      <c r="AE1354">
        <v>0</v>
      </c>
      <c r="AF1354" s="21">
        <f t="shared" si="162"/>
        <v>0</v>
      </c>
    </row>
    <row r="1355" spans="1:32" ht="15" customHeight="1" x14ac:dyDescent="0.3">
      <c r="A1355">
        <v>3</v>
      </c>
      <c r="B1355" s="2" t="s">
        <v>696</v>
      </c>
      <c r="C1355" s="4" t="s">
        <v>690</v>
      </c>
      <c r="D1355" s="3" t="s">
        <v>653</v>
      </c>
      <c r="E1355" s="6" t="s">
        <v>26</v>
      </c>
      <c r="F1355" s="6" t="s">
        <v>272</v>
      </c>
      <c r="G1355" s="6" t="s">
        <v>716</v>
      </c>
      <c r="H1355" s="15">
        <v>39000</v>
      </c>
      <c r="I1355">
        <v>0</v>
      </c>
      <c r="J1355">
        <v>0</v>
      </c>
      <c r="K1355" s="20">
        <f t="shared" si="160"/>
        <v>0</v>
      </c>
      <c r="L1355">
        <v>30</v>
      </c>
      <c r="M1355">
        <v>5</v>
      </c>
      <c r="N1355" s="21">
        <f t="shared" si="161"/>
        <v>5850000</v>
      </c>
      <c r="O1355">
        <v>0</v>
      </c>
      <c r="P1355">
        <v>0</v>
      </c>
      <c r="Q1355" s="21">
        <f t="shared" si="155"/>
        <v>0</v>
      </c>
      <c r="R1355">
        <v>0</v>
      </c>
      <c r="S1355">
        <v>0</v>
      </c>
      <c r="T1355" s="21">
        <f t="shared" si="156"/>
        <v>0</v>
      </c>
      <c r="U1355">
        <v>0</v>
      </c>
      <c r="V1355">
        <v>0</v>
      </c>
      <c r="W1355" s="21">
        <f t="shared" si="157"/>
        <v>0</v>
      </c>
      <c r="X1355">
        <v>0</v>
      </c>
      <c r="Y1355">
        <v>0</v>
      </c>
      <c r="Z1355" s="21">
        <f t="shared" si="158"/>
        <v>0</v>
      </c>
      <c r="AA1355">
        <v>0</v>
      </c>
      <c r="AB1355">
        <v>0</v>
      </c>
      <c r="AC1355" s="21">
        <f t="shared" si="159"/>
        <v>0</v>
      </c>
      <c r="AD1355">
        <v>0</v>
      </c>
      <c r="AE1355">
        <v>0</v>
      </c>
      <c r="AF1355" s="21">
        <f t="shared" si="162"/>
        <v>0</v>
      </c>
    </row>
    <row r="1356" spans="1:32" ht="15" customHeight="1" x14ac:dyDescent="0.3">
      <c r="A1356">
        <v>3</v>
      </c>
      <c r="B1356" s="2" t="s">
        <v>696</v>
      </c>
      <c r="C1356" s="4" t="s">
        <v>690</v>
      </c>
      <c r="D1356" s="3" t="s">
        <v>653</v>
      </c>
      <c r="E1356" s="6" t="s">
        <v>26</v>
      </c>
      <c r="F1356" s="6" t="s">
        <v>272</v>
      </c>
      <c r="G1356" s="6" t="s">
        <v>712</v>
      </c>
      <c r="H1356" s="23">
        <v>214.29</v>
      </c>
      <c r="I1356">
        <v>0</v>
      </c>
      <c r="J1356">
        <v>0</v>
      </c>
      <c r="K1356" s="20">
        <f t="shared" si="160"/>
        <v>0</v>
      </c>
      <c r="L1356">
        <v>8000</v>
      </c>
      <c r="M1356">
        <v>1</v>
      </c>
      <c r="N1356" s="21">
        <f t="shared" si="161"/>
        <v>1714320</v>
      </c>
      <c r="O1356">
        <v>0</v>
      </c>
      <c r="P1356">
        <v>0</v>
      </c>
      <c r="Q1356" s="21">
        <f t="shared" si="155"/>
        <v>0</v>
      </c>
      <c r="R1356">
        <v>0</v>
      </c>
      <c r="S1356">
        <v>0</v>
      </c>
      <c r="T1356" s="21">
        <f t="shared" si="156"/>
        <v>0</v>
      </c>
      <c r="U1356">
        <v>0</v>
      </c>
      <c r="V1356">
        <v>0</v>
      </c>
      <c r="W1356" s="21">
        <f t="shared" si="157"/>
        <v>0</v>
      </c>
      <c r="X1356">
        <v>0</v>
      </c>
      <c r="Y1356">
        <v>0</v>
      </c>
      <c r="Z1356" s="21">
        <f t="shared" si="158"/>
        <v>0</v>
      </c>
      <c r="AA1356">
        <v>0</v>
      </c>
      <c r="AB1356">
        <v>0</v>
      </c>
      <c r="AC1356" s="21">
        <f t="shared" si="159"/>
        <v>0</v>
      </c>
      <c r="AD1356">
        <v>0</v>
      </c>
      <c r="AE1356">
        <v>0</v>
      </c>
      <c r="AF1356" s="21">
        <f t="shared" si="162"/>
        <v>0</v>
      </c>
    </row>
    <row r="1357" spans="1:32" ht="15" customHeight="1" x14ac:dyDescent="0.3">
      <c r="A1357">
        <v>3</v>
      </c>
      <c r="B1357" s="2" t="s">
        <v>696</v>
      </c>
      <c r="C1357" s="4" t="s">
        <v>690</v>
      </c>
      <c r="D1357" s="3" t="s">
        <v>653</v>
      </c>
      <c r="E1357" s="6" t="s">
        <v>26</v>
      </c>
      <c r="F1357" s="6" t="s">
        <v>734</v>
      </c>
      <c r="G1357" s="6" t="s">
        <v>709</v>
      </c>
      <c r="H1357" s="23">
        <v>28000</v>
      </c>
      <c r="I1357">
        <v>0</v>
      </c>
      <c r="J1357">
        <v>0</v>
      </c>
      <c r="K1357" s="20">
        <f t="shared" si="160"/>
        <v>0</v>
      </c>
      <c r="L1357">
        <v>30</v>
      </c>
      <c r="M1357">
        <v>1</v>
      </c>
      <c r="N1357" s="21">
        <f t="shared" si="161"/>
        <v>840000</v>
      </c>
      <c r="O1357">
        <v>0</v>
      </c>
      <c r="P1357">
        <v>0</v>
      </c>
      <c r="Q1357" s="21">
        <f t="shared" si="155"/>
        <v>0</v>
      </c>
      <c r="R1357">
        <v>0</v>
      </c>
      <c r="S1357">
        <v>0</v>
      </c>
      <c r="T1357" s="21">
        <f t="shared" si="156"/>
        <v>0</v>
      </c>
      <c r="U1357">
        <v>0</v>
      </c>
      <c r="V1357">
        <v>0</v>
      </c>
      <c r="W1357" s="21">
        <f t="shared" si="157"/>
        <v>0</v>
      </c>
      <c r="X1357">
        <v>0</v>
      </c>
      <c r="Y1357">
        <v>0</v>
      </c>
      <c r="Z1357" s="21">
        <f t="shared" si="158"/>
        <v>0</v>
      </c>
      <c r="AA1357">
        <v>0</v>
      </c>
      <c r="AB1357">
        <v>0</v>
      </c>
      <c r="AC1357" s="21">
        <f t="shared" si="159"/>
        <v>0</v>
      </c>
      <c r="AD1357">
        <v>0</v>
      </c>
      <c r="AE1357">
        <v>0</v>
      </c>
      <c r="AF1357" s="21">
        <f t="shared" si="162"/>
        <v>0</v>
      </c>
    </row>
    <row r="1358" spans="1:32" ht="15" customHeight="1" x14ac:dyDescent="0.3">
      <c r="A1358">
        <v>3</v>
      </c>
      <c r="B1358" s="2" t="s">
        <v>696</v>
      </c>
      <c r="C1358" s="4" t="s">
        <v>690</v>
      </c>
      <c r="D1358" s="3" t="s">
        <v>653</v>
      </c>
      <c r="E1358" s="6" t="s">
        <v>26</v>
      </c>
      <c r="F1358" s="6" t="s">
        <v>734</v>
      </c>
      <c r="G1358" s="6" t="s">
        <v>716</v>
      </c>
      <c r="H1358" s="15">
        <v>39000</v>
      </c>
      <c r="I1358">
        <v>0</v>
      </c>
      <c r="J1358">
        <v>0</v>
      </c>
      <c r="K1358" s="20">
        <f t="shared" si="160"/>
        <v>0</v>
      </c>
      <c r="L1358">
        <v>10</v>
      </c>
      <c r="M1358">
        <v>1</v>
      </c>
      <c r="N1358" s="21">
        <f t="shared" si="161"/>
        <v>390000</v>
      </c>
      <c r="O1358">
        <v>0</v>
      </c>
      <c r="P1358">
        <v>0</v>
      </c>
      <c r="Q1358" s="21">
        <f t="shared" si="155"/>
        <v>0</v>
      </c>
      <c r="R1358">
        <v>0</v>
      </c>
      <c r="S1358">
        <v>0</v>
      </c>
      <c r="T1358" s="21">
        <f t="shared" si="156"/>
        <v>0</v>
      </c>
      <c r="U1358">
        <v>0</v>
      </c>
      <c r="V1358">
        <v>0</v>
      </c>
      <c r="W1358" s="21">
        <f t="shared" si="157"/>
        <v>0</v>
      </c>
      <c r="X1358">
        <v>0</v>
      </c>
      <c r="Y1358">
        <v>0</v>
      </c>
      <c r="Z1358" s="21">
        <f t="shared" si="158"/>
        <v>0</v>
      </c>
      <c r="AA1358">
        <v>0</v>
      </c>
      <c r="AB1358">
        <v>0</v>
      </c>
      <c r="AC1358" s="21">
        <f t="shared" si="159"/>
        <v>0</v>
      </c>
      <c r="AD1358">
        <v>0</v>
      </c>
      <c r="AE1358">
        <v>0</v>
      </c>
      <c r="AF1358" s="21">
        <f t="shared" si="162"/>
        <v>0</v>
      </c>
    </row>
    <row r="1359" spans="1:32" ht="15" customHeight="1" x14ac:dyDescent="0.3">
      <c r="A1359">
        <v>3</v>
      </c>
      <c r="B1359" s="2" t="s">
        <v>696</v>
      </c>
      <c r="C1359" s="4" t="s">
        <v>690</v>
      </c>
      <c r="D1359" s="3" t="s">
        <v>653</v>
      </c>
      <c r="E1359" s="6" t="s">
        <v>26</v>
      </c>
      <c r="F1359" s="6" t="s">
        <v>734</v>
      </c>
      <c r="G1359" s="6" t="s">
        <v>712</v>
      </c>
      <c r="H1359" s="23">
        <v>214.29</v>
      </c>
      <c r="I1359">
        <v>0</v>
      </c>
      <c r="J1359">
        <v>0</v>
      </c>
      <c r="K1359" s="20">
        <f t="shared" si="160"/>
        <v>0</v>
      </c>
      <c r="L1359">
        <v>8000</v>
      </c>
      <c r="M1359">
        <v>1</v>
      </c>
      <c r="N1359" s="21">
        <f t="shared" si="161"/>
        <v>1714320</v>
      </c>
      <c r="O1359">
        <v>0</v>
      </c>
      <c r="P1359">
        <v>0</v>
      </c>
      <c r="Q1359" s="21">
        <f t="shared" si="155"/>
        <v>0</v>
      </c>
      <c r="R1359">
        <v>0</v>
      </c>
      <c r="S1359">
        <v>0</v>
      </c>
      <c r="T1359" s="21">
        <f t="shared" si="156"/>
        <v>0</v>
      </c>
      <c r="U1359">
        <v>0</v>
      </c>
      <c r="V1359">
        <v>0</v>
      </c>
      <c r="W1359" s="21">
        <f t="shared" si="157"/>
        <v>0</v>
      </c>
      <c r="X1359">
        <v>0</v>
      </c>
      <c r="Y1359">
        <v>0</v>
      </c>
      <c r="Z1359" s="21">
        <f t="shared" si="158"/>
        <v>0</v>
      </c>
      <c r="AA1359">
        <v>0</v>
      </c>
      <c r="AB1359">
        <v>0</v>
      </c>
      <c r="AC1359" s="21">
        <f t="shared" si="159"/>
        <v>0</v>
      </c>
      <c r="AD1359">
        <v>0</v>
      </c>
      <c r="AE1359">
        <v>0</v>
      </c>
      <c r="AF1359" s="21">
        <f t="shared" si="162"/>
        <v>0</v>
      </c>
    </row>
    <row r="1360" spans="1:32" ht="15" customHeight="1" x14ac:dyDescent="0.3">
      <c r="A1360">
        <v>3</v>
      </c>
      <c r="B1360" s="2" t="s">
        <v>696</v>
      </c>
      <c r="C1360" s="4" t="s">
        <v>690</v>
      </c>
      <c r="D1360" s="3" t="s">
        <v>653</v>
      </c>
      <c r="E1360" s="6" t="s">
        <v>26</v>
      </c>
      <c r="F1360" s="6" t="s">
        <v>274</v>
      </c>
      <c r="G1360" s="6" t="s">
        <v>709</v>
      </c>
      <c r="H1360" s="23">
        <v>28000</v>
      </c>
      <c r="I1360">
        <v>0</v>
      </c>
      <c r="J1360">
        <v>0</v>
      </c>
      <c r="K1360" s="20">
        <f t="shared" si="160"/>
        <v>0</v>
      </c>
      <c r="L1360">
        <v>20</v>
      </c>
      <c r="M1360">
        <v>1</v>
      </c>
      <c r="N1360" s="21">
        <f t="shared" si="161"/>
        <v>560000</v>
      </c>
      <c r="O1360">
        <v>0</v>
      </c>
      <c r="P1360">
        <v>0</v>
      </c>
      <c r="Q1360" s="21">
        <f t="shared" si="155"/>
        <v>0</v>
      </c>
      <c r="R1360">
        <v>0</v>
      </c>
      <c r="S1360">
        <v>0</v>
      </c>
      <c r="T1360" s="21">
        <f t="shared" si="156"/>
        <v>0</v>
      </c>
      <c r="U1360">
        <v>0</v>
      </c>
      <c r="V1360">
        <v>0</v>
      </c>
      <c r="W1360" s="21">
        <f t="shared" si="157"/>
        <v>0</v>
      </c>
      <c r="X1360">
        <v>0</v>
      </c>
      <c r="Y1360">
        <v>0</v>
      </c>
      <c r="Z1360" s="21">
        <f t="shared" si="158"/>
        <v>0</v>
      </c>
      <c r="AA1360">
        <v>0</v>
      </c>
      <c r="AB1360">
        <v>0</v>
      </c>
      <c r="AC1360" s="21">
        <f t="shared" si="159"/>
        <v>0</v>
      </c>
      <c r="AD1360">
        <v>0</v>
      </c>
      <c r="AE1360">
        <v>0</v>
      </c>
      <c r="AF1360" s="21">
        <f t="shared" si="162"/>
        <v>0</v>
      </c>
    </row>
    <row r="1361" spans="1:32" ht="15" customHeight="1" x14ac:dyDescent="0.3">
      <c r="A1361">
        <v>3</v>
      </c>
      <c r="B1361" s="2" t="s">
        <v>696</v>
      </c>
      <c r="C1361" s="4" t="s">
        <v>690</v>
      </c>
      <c r="D1361" s="3" t="s">
        <v>653</v>
      </c>
      <c r="E1361" s="6" t="s">
        <v>26</v>
      </c>
      <c r="F1361" s="6" t="s">
        <v>275</v>
      </c>
      <c r="G1361" s="6" t="s">
        <v>709</v>
      </c>
      <c r="H1361" s="23">
        <v>28000</v>
      </c>
      <c r="I1361">
        <v>0</v>
      </c>
      <c r="J1361">
        <v>0</v>
      </c>
      <c r="K1361" s="20">
        <f t="shared" si="160"/>
        <v>0</v>
      </c>
      <c r="L1361">
        <v>20</v>
      </c>
      <c r="M1361">
        <v>1</v>
      </c>
      <c r="N1361" s="21">
        <f t="shared" si="161"/>
        <v>560000</v>
      </c>
      <c r="O1361">
        <v>0</v>
      </c>
      <c r="P1361">
        <v>0</v>
      </c>
      <c r="Q1361" s="21">
        <f t="shared" si="155"/>
        <v>0</v>
      </c>
      <c r="R1361">
        <v>0</v>
      </c>
      <c r="S1361">
        <v>0</v>
      </c>
      <c r="T1361" s="21">
        <f t="shared" si="156"/>
        <v>0</v>
      </c>
      <c r="U1361">
        <v>0</v>
      </c>
      <c r="V1361">
        <v>0</v>
      </c>
      <c r="W1361" s="21">
        <f t="shared" si="157"/>
        <v>0</v>
      </c>
      <c r="X1361">
        <v>0</v>
      </c>
      <c r="Y1361">
        <v>0</v>
      </c>
      <c r="Z1361" s="21">
        <f t="shared" si="158"/>
        <v>0</v>
      </c>
      <c r="AA1361">
        <v>0</v>
      </c>
      <c r="AB1361">
        <v>0</v>
      </c>
      <c r="AC1361" s="21">
        <f t="shared" si="159"/>
        <v>0</v>
      </c>
      <c r="AD1361">
        <v>0</v>
      </c>
      <c r="AE1361">
        <v>0</v>
      </c>
      <c r="AF1361" s="21">
        <f t="shared" si="162"/>
        <v>0</v>
      </c>
    </row>
    <row r="1362" spans="1:32" ht="15" customHeight="1" x14ac:dyDescent="0.3">
      <c r="A1362">
        <v>3</v>
      </c>
      <c r="B1362" s="2" t="s">
        <v>696</v>
      </c>
      <c r="C1362" s="4" t="s">
        <v>690</v>
      </c>
      <c r="D1362" s="3" t="s">
        <v>653</v>
      </c>
      <c r="E1362" s="6" t="s">
        <v>26</v>
      </c>
      <c r="F1362" s="6" t="s">
        <v>276</v>
      </c>
      <c r="G1362" s="6" t="s">
        <v>709</v>
      </c>
      <c r="H1362" s="23">
        <v>28000</v>
      </c>
      <c r="I1362">
        <v>0</v>
      </c>
      <c r="J1362">
        <v>0</v>
      </c>
      <c r="K1362" s="20">
        <f t="shared" si="160"/>
        <v>0</v>
      </c>
      <c r="L1362">
        <v>20</v>
      </c>
      <c r="M1362">
        <v>1</v>
      </c>
      <c r="N1362" s="21">
        <f t="shared" si="161"/>
        <v>560000</v>
      </c>
      <c r="O1362">
        <v>0</v>
      </c>
      <c r="P1362">
        <v>0</v>
      </c>
      <c r="Q1362" s="21">
        <f t="shared" si="155"/>
        <v>0</v>
      </c>
      <c r="R1362">
        <v>0</v>
      </c>
      <c r="S1362">
        <v>0</v>
      </c>
      <c r="T1362" s="21">
        <f t="shared" si="156"/>
        <v>0</v>
      </c>
      <c r="U1362">
        <v>0</v>
      </c>
      <c r="V1362">
        <v>0</v>
      </c>
      <c r="W1362" s="21">
        <f t="shared" si="157"/>
        <v>0</v>
      </c>
      <c r="X1362">
        <v>0</v>
      </c>
      <c r="Y1362">
        <v>0</v>
      </c>
      <c r="Z1362" s="21">
        <f t="shared" si="158"/>
        <v>0</v>
      </c>
      <c r="AA1362">
        <v>0</v>
      </c>
      <c r="AB1362">
        <v>0</v>
      </c>
      <c r="AC1362" s="21">
        <f t="shared" si="159"/>
        <v>0</v>
      </c>
      <c r="AD1362">
        <v>0</v>
      </c>
      <c r="AE1362">
        <v>0</v>
      </c>
      <c r="AF1362" s="21">
        <f t="shared" si="162"/>
        <v>0</v>
      </c>
    </row>
    <row r="1363" spans="1:32" ht="15" customHeight="1" x14ac:dyDescent="0.3">
      <c r="A1363">
        <v>3</v>
      </c>
      <c r="B1363" s="2" t="s">
        <v>696</v>
      </c>
      <c r="C1363" s="4" t="s">
        <v>690</v>
      </c>
      <c r="D1363" s="3" t="s">
        <v>653</v>
      </c>
      <c r="E1363" s="6" t="s">
        <v>26</v>
      </c>
      <c r="F1363" s="6" t="s">
        <v>735</v>
      </c>
      <c r="G1363" s="6" t="s">
        <v>716</v>
      </c>
      <c r="H1363" s="15">
        <v>39000</v>
      </c>
      <c r="I1363">
        <v>0</v>
      </c>
      <c r="J1363">
        <v>0</v>
      </c>
      <c r="K1363" s="20">
        <f t="shared" si="160"/>
        <v>0</v>
      </c>
      <c r="L1363">
        <v>15</v>
      </c>
      <c r="M1363">
        <v>1</v>
      </c>
      <c r="N1363" s="21">
        <f t="shared" si="161"/>
        <v>585000</v>
      </c>
      <c r="O1363">
        <v>0</v>
      </c>
      <c r="P1363">
        <v>0</v>
      </c>
      <c r="Q1363" s="21">
        <f t="shared" si="155"/>
        <v>0</v>
      </c>
      <c r="R1363">
        <v>0</v>
      </c>
      <c r="S1363">
        <v>0</v>
      </c>
      <c r="T1363" s="21">
        <f t="shared" si="156"/>
        <v>0</v>
      </c>
      <c r="U1363">
        <v>0</v>
      </c>
      <c r="V1363">
        <v>0</v>
      </c>
      <c r="W1363" s="21">
        <f t="shared" si="157"/>
        <v>0</v>
      </c>
      <c r="X1363">
        <v>0</v>
      </c>
      <c r="Y1363">
        <v>0</v>
      </c>
      <c r="Z1363" s="21">
        <f t="shared" si="158"/>
        <v>0</v>
      </c>
      <c r="AA1363">
        <v>0</v>
      </c>
      <c r="AB1363">
        <v>0</v>
      </c>
      <c r="AC1363" s="21">
        <f t="shared" si="159"/>
        <v>0</v>
      </c>
      <c r="AD1363">
        <v>0</v>
      </c>
      <c r="AE1363">
        <v>0</v>
      </c>
      <c r="AF1363" s="21">
        <f t="shared" si="162"/>
        <v>0</v>
      </c>
    </row>
    <row r="1364" spans="1:32" ht="15" customHeight="1" x14ac:dyDescent="0.3">
      <c r="A1364">
        <v>3</v>
      </c>
      <c r="B1364" s="2" t="s">
        <v>696</v>
      </c>
      <c r="C1364" s="4" t="s">
        <v>690</v>
      </c>
      <c r="D1364" s="3" t="s">
        <v>653</v>
      </c>
      <c r="E1364" s="6" t="s">
        <v>26</v>
      </c>
      <c r="F1364" s="6" t="s">
        <v>735</v>
      </c>
      <c r="G1364" s="6" t="s">
        <v>709</v>
      </c>
      <c r="H1364" s="23">
        <v>28000</v>
      </c>
      <c r="I1364">
        <v>0</v>
      </c>
      <c r="J1364">
        <v>0</v>
      </c>
      <c r="K1364" s="20">
        <f t="shared" si="160"/>
        <v>0</v>
      </c>
      <c r="L1364">
        <v>40</v>
      </c>
      <c r="M1364">
        <v>1</v>
      </c>
      <c r="N1364" s="21">
        <f t="shared" si="161"/>
        <v>1120000</v>
      </c>
      <c r="O1364">
        <v>0</v>
      </c>
      <c r="P1364">
        <v>0</v>
      </c>
      <c r="Q1364" s="21">
        <f t="shared" si="155"/>
        <v>0</v>
      </c>
      <c r="R1364">
        <v>0</v>
      </c>
      <c r="S1364">
        <v>0</v>
      </c>
      <c r="T1364" s="21">
        <f t="shared" si="156"/>
        <v>0</v>
      </c>
      <c r="U1364">
        <v>0</v>
      </c>
      <c r="V1364">
        <v>0</v>
      </c>
      <c r="W1364" s="21">
        <f t="shared" si="157"/>
        <v>0</v>
      </c>
      <c r="X1364">
        <v>0</v>
      </c>
      <c r="Y1364">
        <v>0</v>
      </c>
      <c r="Z1364" s="21">
        <f t="shared" si="158"/>
        <v>0</v>
      </c>
      <c r="AA1364">
        <v>0</v>
      </c>
      <c r="AB1364">
        <v>0</v>
      </c>
      <c r="AC1364" s="21">
        <f t="shared" si="159"/>
        <v>0</v>
      </c>
      <c r="AD1364">
        <v>0</v>
      </c>
      <c r="AE1364">
        <v>0</v>
      </c>
      <c r="AF1364" s="21">
        <f t="shared" si="162"/>
        <v>0</v>
      </c>
    </row>
    <row r="1365" spans="1:32" ht="15" customHeight="1" x14ac:dyDescent="0.3">
      <c r="A1365">
        <v>3</v>
      </c>
      <c r="B1365" s="2" t="s">
        <v>696</v>
      </c>
      <c r="C1365" s="4" t="s">
        <v>690</v>
      </c>
      <c r="D1365" s="3" t="s">
        <v>653</v>
      </c>
      <c r="E1365" s="6" t="s">
        <v>26</v>
      </c>
      <c r="F1365" s="6" t="s">
        <v>735</v>
      </c>
      <c r="G1365" s="6" t="s">
        <v>712</v>
      </c>
      <c r="H1365" s="23">
        <v>214.29</v>
      </c>
      <c r="I1365">
        <v>0</v>
      </c>
      <c r="J1365">
        <v>0</v>
      </c>
      <c r="K1365" s="20">
        <f t="shared" si="160"/>
        <v>0</v>
      </c>
      <c r="L1365">
        <v>8000</v>
      </c>
      <c r="M1365">
        <v>1</v>
      </c>
      <c r="N1365" s="21">
        <f t="shared" si="161"/>
        <v>1714320</v>
      </c>
      <c r="O1365">
        <v>0</v>
      </c>
      <c r="P1365">
        <v>0</v>
      </c>
      <c r="Q1365" s="21">
        <f t="shared" si="155"/>
        <v>0</v>
      </c>
      <c r="R1365">
        <v>0</v>
      </c>
      <c r="S1365">
        <v>0</v>
      </c>
      <c r="T1365" s="21">
        <f t="shared" si="156"/>
        <v>0</v>
      </c>
      <c r="U1365">
        <v>0</v>
      </c>
      <c r="V1365">
        <v>0</v>
      </c>
      <c r="W1365" s="21">
        <f t="shared" si="157"/>
        <v>0</v>
      </c>
      <c r="X1365">
        <v>0</v>
      </c>
      <c r="Y1365">
        <v>0</v>
      </c>
      <c r="Z1365" s="21">
        <f t="shared" si="158"/>
        <v>0</v>
      </c>
      <c r="AA1365">
        <v>0</v>
      </c>
      <c r="AB1365">
        <v>0</v>
      </c>
      <c r="AC1365" s="21">
        <f t="shared" si="159"/>
        <v>0</v>
      </c>
      <c r="AD1365">
        <v>0</v>
      </c>
      <c r="AE1365">
        <v>0</v>
      </c>
      <c r="AF1365" s="21">
        <f t="shared" si="162"/>
        <v>0</v>
      </c>
    </row>
    <row r="1366" spans="1:32" ht="15" customHeight="1" x14ac:dyDescent="0.3">
      <c r="A1366">
        <v>3</v>
      </c>
      <c r="B1366" s="2" t="s">
        <v>696</v>
      </c>
      <c r="C1366" s="4" t="s">
        <v>690</v>
      </c>
      <c r="D1366" s="3" t="s">
        <v>654</v>
      </c>
      <c r="E1366" s="6" t="s">
        <v>27</v>
      </c>
      <c r="F1366" s="6" t="s">
        <v>482</v>
      </c>
      <c r="G1366" s="6" t="s">
        <v>718</v>
      </c>
      <c r="H1366" s="23">
        <v>0</v>
      </c>
      <c r="I1366">
        <v>0</v>
      </c>
      <c r="J1366">
        <v>0</v>
      </c>
      <c r="K1366" s="20">
        <f t="shared" si="160"/>
        <v>0</v>
      </c>
      <c r="L1366">
        <v>0</v>
      </c>
      <c r="M1366">
        <v>0</v>
      </c>
      <c r="N1366" s="21">
        <f t="shared" si="161"/>
        <v>0</v>
      </c>
      <c r="O1366">
        <v>0</v>
      </c>
      <c r="P1366">
        <v>0</v>
      </c>
      <c r="Q1366" s="21">
        <f t="shared" si="155"/>
        <v>0</v>
      </c>
      <c r="R1366">
        <v>0</v>
      </c>
      <c r="S1366">
        <v>0</v>
      </c>
      <c r="T1366" s="21">
        <f t="shared" si="156"/>
        <v>0</v>
      </c>
      <c r="U1366">
        <v>0</v>
      </c>
      <c r="V1366">
        <v>0</v>
      </c>
      <c r="W1366" s="21">
        <f t="shared" si="157"/>
        <v>0</v>
      </c>
      <c r="X1366">
        <v>0</v>
      </c>
      <c r="Y1366">
        <v>0</v>
      </c>
      <c r="Z1366" s="21">
        <f t="shared" si="158"/>
        <v>0</v>
      </c>
      <c r="AA1366">
        <v>0</v>
      </c>
      <c r="AB1366">
        <v>0</v>
      </c>
      <c r="AC1366" s="21">
        <f t="shared" si="159"/>
        <v>0</v>
      </c>
      <c r="AD1366">
        <v>0</v>
      </c>
      <c r="AE1366">
        <v>0</v>
      </c>
      <c r="AF1366" s="21">
        <f t="shared" si="162"/>
        <v>0</v>
      </c>
    </row>
    <row r="1367" spans="1:32" ht="15" customHeight="1" x14ac:dyDescent="0.3">
      <c r="A1367">
        <v>3</v>
      </c>
      <c r="B1367" s="2" t="s">
        <v>696</v>
      </c>
      <c r="C1367" s="4" t="s">
        <v>690</v>
      </c>
      <c r="D1367" s="3" t="s">
        <v>654</v>
      </c>
      <c r="E1367" s="6" t="s">
        <v>27</v>
      </c>
      <c r="F1367" s="6" t="s">
        <v>573</v>
      </c>
      <c r="G1367" s="6" t="s">
        <v>707</v>
      </c>
      <c r="H1367" s="23">
        <v>391991.03749999998</v>
      </c>
      <c r="I1367">
        <v>0</v>
      </c>
      <c r="J1367">
        <v>0</v>
      </c>
      <c r="K1367" s="20">
        <f t="shared" si="160"/>
        <v>0</v>
      </c>
      <c r="L1367">
        <v>0</v>
      </c>
      <c r="M1367">
        <v>0</v>
      </c>
      <c r="N1367" s="21">
        <f t="shared" si="161"/>
        <v>0</v>
      </c>
      <c r="O1367">
        <v>1</v>
      </c>
      <c r="P1367">
        <v>4</v>
      </c>
      <c r="Q1367" s="21">
        <f t="shared" si="155"/>
        <v>1567964.15</v>
      </c>
      <c r="R1367">
        <v>0</v>
      </c>
      <c r="S1367">
        <v>0</v>
      </c>
      <c r="T1367" s="21">
        <f t="shared" si="156"/>
        <v>0</v>
      </c>
      <c r="U1367">
        <v>0</v>
      </c>
      <c r="V1367">
        <v>0</v>
      </c>
      <c r="W1367" s="21">
        <f t="shared" si="157"/>
        <v>0</v>
      </c>
      <c r="X1367">
        <v>0</v>
      </c>
      <c r="Y1367">
        <v>0</v>
      </c>
      <c r="Z1367" s="21">
        <f t="shared" si="158"/>
        <v>0</v>
      </c>
      <c r="AA1367">
        <v>0</v>
      </c>
      <c r="AB1367">
        <v>0</v>
      </c>
      <c r="AC1367" s="21">
        <f t="shared" si="159"/>
        <v>0</v>
      </c>
      <c r="AD1367">
        <v>0</v>
      </c>
      <c r="AE1367">
        <v>0</v>
      </c>
      <c r="AF1367" s="21">
        <f t="shared" si="162"/>
        <v>0</v>
      </c>
    </row>
    <row r="1368" spans="1:32" ht="15" customHeight="1" x14ac:dyDescent="0.3">
      <c r="A1368">
        <v>3</v>
      </c>
      <c r="B1368" s="2" t="s">
        <v>696</v>
      </c>
      <c r="C1368" s="4" t="s">
        <v>690</v>
      </c>
      <c r="D1368" s="3" t="s">
        <v>654</v>
      </c>
      <c r="E1368" s="6" t="s">
        <v>27</v>
      </c>
      <c r="F1368" s="6" t="s">
        <v>573</v>
      </c>
      <c r="G1368" s="6" t="s">
        <v>708</v>
      </c>
      <c r="H1368" s="23">
        <v>468000</v>
      </c>
      <c r="I1368">
        <v>0</v>
      </c>
      <c r="J1368">
        <v>0</v>
      </c>
      <c r="K1368" s="20">
        <f t="shared" si="160"/>
        <v>0</v>
      </c>
      <c r="L1368">
        <v>0</v>
      </c>
      <c r="M1368">
        <v>0</v>
      </c>
      <c r="N1368" s="21">
        <f t="shared" si="161"/>
        <v>0</v>
      </c>
      <c r="O1368">
        <v>1</v>
      </c>
      <c r="P1368">
        <v>40</v>
      </c>
      <c r="Q1368" s="21">
        <f t="shared" si="155"/>
        <v>18720000</v>
      </c>
      <c r="R1368">
        <v>0</v>
      </c>
      <c r="S1368">
        <v>0</v>
      </c>
      <c r="T1368" s="21">
        <f t="shared" si="156"/>
        <v>0</v>
      </c>
      <c r="U1368">
        <v>0</v>
      </c>
      <c r="V1368">
        <v>0</v>
      </c>
      <c r="W1368" s="21">
        <f t="shared" si="157"/>
        <v>0</v>
      </c>
      <c r="X1368">
        <v>0</v>
      </c>
      <c r="Y1368">
        <v>0</v>
      </c>
      <c r="Z1368" s="21">
        <f t="shared" si="158"/>
        <v>0</v>
      </c>
      <c r="AA1368">
        <v>0</v>
      </c>
      <c r="AB1368">
        <v>0</v>
      </c>
      <c r="AC1368" s="21">
        <f t="shared" si="159"/>
        <v>0</v>
      </c>
      <c r="AD1368">
        <v>0</v>
      </c>
      <c r="AE1368">
        <v>0</v>
      </c>
      <c r="AF1368" s="21">
        <f t="shared" si="162"/>
        <v>0</v>
      </c>
    </row>
    <row r="1369" spans="1:32" ht="15" customHeight="1" x14ac:dyDescent="0.3">
      <c r="A1369">
        <v>3</v>
      </c>
      <c r="B1369" s="2" t="s">
        <v>696</v>
      </c>
      <c r="C1369" s="4" t="s">
        <v>690</v>
      </c>
      <c r="D1369" s="3" t="s">
        <v>654</v>
      </c>
      <c r="E1369" s="6" t="s">
        <v>27</v>
      </c>
      <c r="F1369" s="6" t="s">
        <v>179</v>
      </c>
      <c r="G1369" s="6" t="s">
        <v>713</v>
      </c>
      <c r="H1369" s="23">
        <v>45000</v>
      </c>
      <c r="I1369">
        <v>0</v>
      </c>
      <c r="J1369">
        <v>0</v>
      </c>
      <c r="K1369" s="20">
        <f t="shared" si="160"/>
        <v>0</v>
      </c>
      <c r="L1369">
        <v>0</v>
      </c>
      <c r="M1369">
        <v>0</v>
      </c>
      <c r="N1369" s="21">
        <f t="shared" si="161"/>
        <v>0</v>
      </c>
      <c r="O1369">
        <v>20</v>
      </c>
      <c r="P1369">
        <v>10</v>
      </c>
      <c r="Q1369" s="21">
        <f t="shared" si="155"/>
        <v>9000000</v>
      </c>
      <c r="R1369">
        <v>0</v>
      </c>
      <c r="S1369">
        <v>0</v>
      </c>
      <c r="T1369" s="21">
        <f t="shared" si="156"/>
        <v>0</v>
      </c>
      <c r="U1369">
        <v>0</v>
      </c>
      <c r="V1369">
        <v>0</v>
      </c>
      <c r="W1369" s="21">
        <f t="shared" si="157"/>
        <v>0</v>
      </c>
      <c r="X1369">
        <v>0</v>
      </c>
      <c r="Y1369">
        <v>0</v>
      </c>
      <c r="Z1369" s="21">
        <f t="shared" si="158"/>
        <v>0</v>
      </c>
      <c r="AA1369">
        <v>0</v>
      </c>
      <c r="AB1369">
        <v>0</v>
      </c>
      <c r="AC1369" s="21">
        <f t="shared" si="159"/>
        <v>0</v>
      </c>
      <c r="AD1369">
        <v>0</v>
      </c>
      <c r="AE1369">
        <v>0</v>
      </c>
      <c r="AF1369" s="21">
        <f t="shared" si="162"/>
        <v>0</v>
      </c>
    </row>
    <row r="1370" spans="1:32" ht="15" customHeight="1" x14ac:dyDescent="0.3">
      <c r="A1370">
        <v>3</v>
      </c>
      <c r="B1370" s="2" t="s">
        <v>696</v>
      </c>
      <c r="C1370" s="4" t="s">
        <v>690</v>
      </c>
      <c r="D1370" s="3" t="s">
        <v>654</v>
      </c>
      <c r="E1370" s="6" t="s">
        <v>27</v>
      </c>
      <c r="F1370" s="6" t="s">
        <v>179</v>
      </c>
      <c r="G1370" s="6" t="s">
        <v>711</v>
      </c>
      <c r="H1370" s="23">
        <v>70</v>
      </c>
      <c r="I1370">
        <v>0</v>
      </c>
      <c r="J1370">
        <v>0</v>
      </c>
      <c r="K1370" s="20">
        <f t="shared" si="160"/>
        <v>0</v>
      </c>
      <c r="L1370">
        <v>0</v>
      </c>
      <c r="M1370">
        <v>0</v>
      </c>
      <c r="N1370" s="21">
        <f t="shared" si="161"/>
        <v>0</v>
      </c>
      <c r="O1370">
        <v>5000</v>
      </c>
      <c r="P1370">
        <v>1</v>
      </c>
      <c r="Q1370" s="21">
        <f t="shared" si="155"/>
        <v>350000</v>
      </c>
      <c r="R1370">
        <v>0</v>
      </c>
      <c r="S1370">
        <v>0</v>
      </c>
      <c r="T1370" s="21">
        <f t="shared" si="156"/>
        <v>0</v>
      </c>
      <c r="U1370">
        <v>0</v>
      </c>
      <c r="V1370">
        <v>0</v>
      </c>
      <c r="W1370" s="21">
        <f t="shared" si="157"/>
        <v>0</v>
      </c>
      <c r="X1370">
        <v>0</v>
      </c>
      <c r="Y1370">
        <v>0</v>
      </c>
      <c r="Z1370" s="21">
        <f t="shared" si="158"/>
        <v>0</v>
      </c>
      <c r="AA1370">
        <v>0</v>
      </c>
      <c r="AB1370">
        <v>0</v>
      </c>
      <c r="AC1370" s="21">
        <f t="shared" si="159"/>
        <v>0</v>
      </c>
      <c r="AD1370">
        <v>0</v>
      </c>
      <c r="AE1370">
        <v>0</v>
      </c>
      <c r="AF1370" s="21">
        <f t="shared" si="162"/>
        <v>0</v>
      </c>
    </row>
    <row r="1371" spans="1:32" ht="15" customHeight="1" x14ac:dyDescent="0.3">
      <c r="A1371">
        <v>3</v>
      </c>
      <c r="B1371" s="2" t="s">
        <v>696</v>
      </c>
      <c r="C1371" s="4" t="s">
        <v>690</v>
      </c>
      <c r="D1371" s="3" t="s">
        <v>654</v>
      </c>
      <c r="E1371" s="6" t="s">
        <v>27</v>
      </c>
      <c r="F1371" s="6" t="s">
        <v>179</v>
      </c>
      <c r="G1371" s="6" t="s">
        <v>710</v>
      </c>
      <c r="H1371" s="23">
        <v>104850</v>
      </c>
      <c r="I1371">
        <v>0</v>
      </c>
      <c r="J1371">
        <v>0</v>
      </c>
      <c r="K1371" s="20">
        <f t="shared" si="160"/>
        <v>0</v>
      </c>
      <c r="L1371">
        <v>0</v>
      </c>
      <c r="M1371">
        <v>0</v>
      </c>
      <c r="N1371" s="21">
        <f t="shared" si="161"/>
        <v>0</v>
      </c>
      <c r="O1371">
        <v>2</v>
      </c>
      <c r="P1371">
        <v>2</v>
      </c>
      <c r="Q1371" s="21">
        <f t="shared" si="155"/>
        <v>419400</v>
      </c>
      <c r="R1371">
        <v>0</v>
      </c>
      <c r="S1371">
        <v>0</v>
      </c>
      <c r="T1371" s="21">
        <f t="shared" si="156"/>
        <v>0</v>
      </c>
      <c r="U1371">
        <v>0</v>
      </c>
      <c r="V1371">
        <v>0</v>
      </c>
      <c r="W1371" s="21">
        <f t="shared" si="157"/>
        <v>0</v>
      </c>
      <c r="X1371">
        <v>0</v>
      </c>
      <c r="Y1371">
        <v>0</v>
      </c>
      <c r="Z1371" s="21">
        <f t="shared" si="158"/>
        <v>0</v>
      </c>
      <c r="AA1371">
        <v>0</v>
      </c>
      <c r="AB1371">
        <v>0</v>
      </c>
      <c r="AC1371" s="21">
        <f t="shared" si="159"/>
        <v>0</v>
      </c>
      <c r="AD1371">
        <v>0</v>
      </c>
      <c r="AE1371">
        <v>0</v>
      </c>
      <c r="AF1371" s="21">
        <f t="shared" si="162"/>
        <v>0</v>
      </c>
    </row>
    <row r="1372" spans="1:32" ht="15" customHeight="1" x14ac:dyDescent="0.3">
      <c r="A1372">
        <v>3</v>
      </c>
      <c r="B1372" s="2" t="s">
        <v>696</v>
      </c>
      <c r="C1372" s="4" t="s">
        <v>690</v>
      </c>
      <c r="D1372" s="3" t="s">
        <v>654</v>
      </c>
      <c r="E1372" s="6" t="s">
        <v>27</v>
      </c>
      <c r="F1372" s="6" t="s">
        <v>179</v>
      </c>
      <c r="G1372" s="6" t="s">
        <v>736</v>
      </c>
      <c r="H1372" s="23">
        <v>11067.5</v>
      </c>
      <c r="I1372">
        <v>0</v>
      </c>
      <c r="J1372">
        <v>0</v>
      </c>
      <c r="K1372" s="20">
        <f t="shared" si="160"/>
        <v>0</v>
      </c>
      <c r="L1372">
        <v>0</v>
      </c>
      <c r="M1372">
        <v>0</v>
      </c>
      <c r="N1372" s="21">
        <f t="shared" si="161"/>
        <v>0</v>
      </c>
      <c r="O1372">
        <v>1</v>
      </c>
      <c r="P1372">
        <v>1</v>
      </c>
      <c r="Q1372" s="21">
        <f t="shared" si="155"/>
        <v>11067.5</v>
      </c>
      <c r="R1372">
        <v>0</v>
      </c>
      <c r="S1372">
        <v>0</v>
      </c>
      <c r="T1372" s="21">
        <f t="shared" si="156"/>
        <v>0</v>
      </c>
      <c r="U1372">
        <v>0</v>
      </c>
      <c r="V1372">
        <v>0</v>
      </c>
      <c r="W1372" s="21">
        <f t="shared" si="157"/>
        <v>0</v>
      </c>
      <c r="X1372">
        <v>0</v>
      </c>
      <c r="Y1372">
        <v>0</v>
      </c>
      <c r="Z1372" s="21">
        <f t="shared" si="158"/>
        <v>0</v>
      </c>
      <c r="AA1372">
        <v>0</v>
      </c>
      <c r="AB1372">
        <v>0</v>
      </c>
      <c r="AC1372" s="21">
        <f t="shared" si="159"/>
        <v>0</v>
      </c>
      <c r="AD1372">
        <v>0</v>
      </c>
      <c r="AE1372">
        <v>0</v>
      </c>
      <c r="AF1372" s="21">
        <f t="shared" si="162"/>
        <v>0</v>
      </c>
    </row>
    <row r="1373" spans="1:32" ht="15" customHeight="1" x14ac:dyDescent="0.3">
      <c r="A1373">
        <v>3</v>
      </c>
      <c r="B1373" s="2" t="s">
        <v>696</v>
      </c>
      <c r="C1373" s="4" t="s">
        <v>690</v>
      </c>
      <c r="D1373" s="3" t="s">
        <v>654</v>
      </c>
      <c r="E1373" s="6" t="s">
        <v>27</v>
      </c>
      <c r="F1373" s="6" t="s">
        <v>179</v>
      </c>
      <c r="G1373" s="6" t="s">
        <v>712</v>
      </c>
      <c r="H1373" s="23">
        <v>214.29</v>
      </c>
      <c r="I1373">
        <v>0</v>
      </c>
      <c r="J1373">
        <v>0</v>
      </c>
      <c r="K1373" s="20">
        <f t="shared" si="160"/>
        <v>0</v>
      </c>
      <c r="L1373">
        <v>0</v>
      </c>
      <c r="M1373">
        <v>0</v>
      </c>
      <c r="N1373" s="21">
        <f t="shared" si="161"/>
        <v>0</v>
      </c>
      <c r="O1373">
        <v>20000</v>
      </c>
      <c r="P1373">
        <v>1</v>
      </c>
      <c r="Q1373" s="21">
        <f t="shared" si="155"/>
        <v>4285800</v>
      </c>
      <c r="R1373">
        <v>0</v>
      </c>
      <c r="S1373">
        <v>0</v>
      </c>
      <c r="T1373" s="21">
        <f t="shared" si="156"/>
        <v>0</v>
      </c>
      <c r="U1373">
        <v>0</v>
      </c>
      <c r="V1373">
        <v>0</v>
      </c>
      <c r="W1373" s="21">
        <f t="shared" si="157"/>
        <v>0</v>
      </c>
      <c r="X1373">
        <v>0</v>
      </c>
      <c r="Y1373">
        <v>0</v>
      </c>
      <c r="Z1373" s="21">
        <f t="shared" si="158"/>
        <v>0</v>
      </c>
      <c r="AA1373">
        <v>0</v>
      </c>
      <c r="AB1373">
        <v>0</v>
      </c>
      <c r="AC1373" s="21">
        <f t="shared" si="159"/>
        <v>0</v>
      </c>
      <c r="AD1373">
        <v>0</v>
      </c>
      <c r="AE1373">
        <v>0</v>
      </c>
      <c r="AF1373" s="21">
        <f t="shared" si="162"/>
        <v>0</v>
      </c>
    </row>
    <row r="1374" spans="1:32" ht="15" customHeight="1" x14ac:dyDescent="0.3">
      <c r="A1374">
        <v>3</v>
      </c>
      <c r="B1374" s="2" t="s">
        <v>696</v>
      </c>
      <c r="C1374" s="4" t="s">
        <v>690</v>
      </c>
      <c r="D1374" s="3" t="s">
        <v>654</v>
      </c>
      <c r="E1374" s="6" t="s">
        <v>27</v>
      </c>
      <c r="F1374" s="6" t="s">
        <v>179</v>
      </c>
      <c r="G1374" s="6" t="s">
        <v>714</v>
      </c>
      <c r="H1374" s="23">
        <v>10000</v>
      </c>
      <c r="I1374">
        <v>0</v>
      </c>
      <c r="J1374">
        <v>0</v>
      </c>
      <c r="K1374" s="20">
        <f t="shared" si="160"/>
        <v>0</v>
      </c>
      <c r="L1374">
        <v>0</v>
      </c>
      <c r="M1374">
        <v>0</v>
      </c>
      <c r="N1374" s="21">
        <f t="shared" si="161"/>
        <v>0</v>
      </c>
      <c r="O1374">
        <v>15</v>
      </c>
      <c r="P1374">
        <v>1</v>
      </c>
      <c r="Q1374" s="21">
        <f t="shared" si="155"/>
        <v>150000</v>
      </c>
      <c r="R1374">
        <v>0</v>
      </c>
      <c r="S1374">
        <v>0</v>
      </c>
      <c r="T1374" s="21">
        <f t="shared" si="156"/>
        <v>0</v>
      </c>
      <c r="U1374">
        <v>0</v>
      </c>
      <c r="V1374">
        <v>0</v>
      </c>
      <c r="W1374" s="21">
        <f t="shared" si="157"/>
        <v>0</v>
      </c>
      <c r="X1374">
        <v>0</v>
      </c>
      <c r="Y1374">
        <v>0</v>
      </c>
      <c r="Z1374" s="21">
        <f t="shared" si="158"/>
        <v>0</v>
      </c>
      <c r="AA1374">
        <v>0</v>
      </c>
      <c r="AB1374">
        <v>0</v>
      </c>
      <c r="AC1374" s="21">
        <f t="shared" si="159"/>
        <v>0</v>
      </c>
      <c r="AD1374">
        <v>0</v>
      </c>
      <c r="AE1374">
        <v>0</v>
      </c>
      <c r="AF1374" s="21">
        <f t="shared" si="162"/>
        <v>0</v>
      </c>
    </row>
    <row r="1375" spans="1:32" ht="15" customHeight="1" x14ac:dyDescent="0.3">
      <c r="A1375">
        <v>3</v>
      </c>
      <c r="B1375" s="2" t="s">
        <v>696</v>
      </c>
      <c r="C1375" s="4" t="s">
        <v>690</v>
      </c>
      <c r="D1375" s="3" t="s">
        <v>654</v>
      </c>
      <c r="E1375" s="6" t="s">
        <v>27</v>
      </c>
      <c r="F1375" s="6" t="s">
        <v>179</v>
      </c>
      <c r="G1375" s="6" t="s">
        <v>715</v>
      </c>
      <c r="H1375" s="23">
        <v>302000</v>
      </c>
      <c r="I1375">
        <v>0</v>
      </c>
      <c r="J1375">
        <v>0</v>
      </c>
      <c r="K1375" s="20">
        <f t="shared" si="160"/>
        <v>0</v>
      </c>
      <c r="L1375">
        <v>0</v>
      </c>
      <c r="M1375">
        <v>0</v>
      </c>
      <c r="N1375" s="21">
        <f t="shared" si="161"/>
        <v>0</v>
      </c>
      <c r="O1375">
        <v>20</v>
      </c>
      <c r="P1375">
        <v>1</v>
      </c>
      <c r="Q1375" s="21">
        <f t="shared" si="155"/>
        <v>6040000</v>
      </c>
      <c r="R1375">
        <v>0</v>
      </c>
      <c r="S1375">
        <v>0</v>
      </c>
      <c r="T1375" s="21">
        <f t="shared" si="156"/>
        <v>0</v>
      </c>
      <c r="U1375">
        <v>0</v>
      </c>
      <c r="V1375">
        <v>0</v>
      </c>
      <c r="W1375" s="21">
        <f t="shared" si="157"/>
        <v>0</v>
      </c>
      <c r="X1375">
        <v>0</v>
      </c>
      <c r="Y1375">
        <v>0</v>
      </c>
      <c r="Z1375" s="21">
        <f t="shared" si="158"/>
        <v>0</v>
      </c>
      <c r="AA1375">
        <v>0</v>
      </c>
      <c r="AB1375">
        <v>0</v>
      </c>
      <c r="AC1375" s="21">
        <f t="shared" si="159"/>
        <v>0</v>
      </c>
      <c r="AD1375">
        <v>0</v>
      </c>
      <c r="AE1375">
        <v>0</v>
      </c>
      <c r="AF1375" s="21">
        <f t="shared" si="162"/>
        <v>0</v>
      </c>
    </row>
    <row r="1376" spans="1:32" ht="15" customHeight="1" x14ac:dyDescent="0.3">
      <c r="A1376">
        <v>3</v>
      </c>
      <c r="B1376" s="2" t="s">
        <v>696</v>
      </c>
      <c r="C1376" s="4" t="s">
        <v>690</v>
      </c>
      <c r="D1376" s="3" t="s">
        <v>654</v>
      </c>
      <c r="E1376" s="6" t="s">
        <v>27</v>
      </c>
      <c r="F1376" s="6" t="s">
        <v>159</v>
      </c>
      <c r="G1376" s="6" t="s">
        <v>716</v>
      </c>
      <c r="H1376" s="15">
        <v>39000</v>
      </c>
      <c r="I1376">
        <v>0</v>
      </c>
      <c r="J1376">
        <v>0</v>
      </c>
      <c r="K1376" s="20">
        <f t="shared" si="160"/>
        <v>0</v>
      </c>
      <c r="L1376">
        <v>0</v>
      </c>
      <c r="M1376">
        <v>0</v>
      </c>
      <c r="N1376" s="21">
        <f t="shared" si="161"/>
        <v>0</v>
      </c>
      <c r="O1376">
        <v>15</v>
      </c>
      <c r="P1376">
        <v>5</v>
      </c>
      <c r="Q1376" s="21">
        <f t="shared" si="155"/>
        <v>2925000</v>
      </c>
      <c r="R1376">
        <v>0</v>
      </c>
      <c r="S1376">
        <v>0</v>
      </c>
      <c r="T1376" s="21">
        <f t="shared" si="156"/>
        <v>0</v>
      </c>
      <c r="U1376">
        <v>0</v>
      </c>
      <c r="V1376">
        <v>0</v>
      </c>
      <c r="W1376" s="21">
        <f t="shared" si="157"/>
        <v>0</v>
      </c>
      <c r="X1376">
        <v>0</v>
      </c>
      <c r="Y1376">
        <v>0</v>
      </c>
      <c r="Z1376" s="21">
        <f t="shared" si="158"/>
        <v>0</v>
      </c>
      <c r="AA1376">
        <v>0</v>
      </c>
      <c r="AB1376">
        <v>0</v>
      </c>
      <c r="AC1376" s="21">
        <f t="shared" si="159"/>
        <v>0</v>
      </c>
      <c r="AD1376">
        <v>0</v>
      </c>
      <c r="AE1376">
        <v>0</v>
      </c>
      <c r="AF1376" s="21">
        <f t="shared" si="162"/>
        <v>0</v>
      </c>
    </row>
    <row r="1377" spans="1:32" ht="15" customHeight="1" x14ac:dyDescent="0.3">
      <c r="A1377">
        <v>3</v>
      </c>
      <c r="B1377" s="2" t="s">
        <v>696</v>
      </c>
      <c r="C1377" s="4" t="s">
        <v>690</v>
      </c>
      <c r="D1377" s="3" t="s">
        <v>654</v>
      </c>
      <c r="E1377" s="6" t="s">
        <v>27</v>
      </c>
      <c r="F1377" s="6" t="s">
        <v>159</v>
      </c>
      <c r="G1377" s="6" t="s">
        <v>709</v>
      </c>
      <c r="H1377" s="23">
        <v>28000</v>
      </c>
      <c r="I1377">
        <v>0</v>
      </c>
      <c r="J1377">
        <v>0</v>
      </c>
      <c r="K1377" s="20">
        <f t="shared" si="160"/>
        <v>0</v>
      </c>
      <c r="L1377">
        <v>0</v>
      </c>
      <c r="M1377">
        <v>0</v>
      </c>
      <c r="N1377" s="21">
        <f t="shared" si="161"/>
        <v>0</v>
      </c>
      <c r="O1377">
        <v>15</v>
      </c>
      <c r="P1377">
        <v>5</v>
      </c>
      <c r="Q1377" s="21">
        <f t="shared" si="155"/>
        <v>2100000</v>
      </c>
      <c r="R1377">
        <v>0</v>
      </c>
      <c r="S1377">
        <v>0</v>
      </c>
      <c r="T1377" s="21">
        <f t="shared" si="156"/>
        <v>0</v>
      </c>
      <c r="U1377">
        <v>0</v>
      </c>
      <c r="V1377">
        <v>0</v>
      </c>
      <c r="W1377" s="21">
        <f t="shared" si="157"/>
        <v>0</v>
      </c>
      <c r="X1377">
        <v>0</v>
      </c>
      <c r="Y1377">
        <v>0</v>
      </c>
      <c r="Z1377" s="21">
        <f t="shared" si="158"/>
        <v>0</v>
      </c>
      <c r="AA1377">
        <v>0</v>
      </c>
      <c r="AB1377">
        <v>0</v>
      </c>
      <c r="AC1377" s="21">
        <f t="shared" si="159"/>
        <v>0</v>
      </c>
      <c r="AD1377">
        <v>0</v>
      </c>
      <c r="AE1377">
        <v>0</v>
      </c>
      <c r="AF1377" s="21">
        <f t="shared" si="162"/>
        <v>0</v>
      </c>
    </row>
    <row r="1378" spans="1:32" ht="15" customHeight="1" x14ac:dyDescent="0.3">
      <c r="A1378">
        <v>3</v>
      </c>
      <c r="B1378" s="2" t="s">
        <v>696</v>
      </c>
      <c r="C1378" s="4" t="s">
        <v>690</v>
      </c>
      <c r="D1378" s="3" t="s">
        <v>654</v>
      </c>
      <c r="E1378" s="6" t="s">
        <v>27</v>
      </c>
      <c r="F1378" s="6" t="s">
        <v>159</v>
      </c>
      <c r="G1378" s="6" t="s">
        <v>712</v>
      </c>
      <c r="H1378" s="23">
        <v>214.29</v>
      </c>
      <c r="I1378">
        <v>0</v>
      </c>
      <c r="J1378">
        <v>0</v>
      </c>
      <c r="K1378" s="20">
        <f t="shared" si="160"/>
        <v>0</v>
      </c>
      <c r="L1378">
        <v>0</v>
      </c>
      <c r="M1378">
        <v>0</v>
      </c>
      <c r="N1378" s="21">
        <f t="shared" si="161"/>
        <v>0</v>
      </c>
      <c r="O1378">
        <v>4000</v>
      </c>
      <c r="P1378">
        <v>1</v>
      </c>
      <c r="Q1378" s="21">
        <f t="shared" si="155"/>
        <v>857160</v>
      </c>
      <c r="R1378">
        <v>0</v>
      </c>
      <c r="S1378">
        <v>0</v>
      </c>
      <c r="T1378" s="21">
        <f t="shared" si="156"/>
        <v>0</v>
      </c>
      <c r="U1378">
        <v>0</v>
      </c>
      <c r="V1378">
        <v>0</v>
      </c>
      <c r="W1378" s="21">
        <f t="shared" si="157"/>
        <v>0</v>
      </c>
      <c r="X1378">
        <v>0</v>
      </c>
      <c r="Y1378">
        <v>0</v>
      </c>
      <c r="Z1378" s="21">
        <f t="shared" si="158"/>
        <v>0</v>
      </c>
      <c r="AA1378">
        <v>0</v>
      </c>
      <c r="AB1378">
        <v>0</v>
      </c>
      <c r="AC1378" s="21">
        <f t="shared" si="159"/>
        <v>0</v>
      </c>
      <c r="AD1378">
        <v>0</v>
      </c>
      <c r="AE1378">
        <v>0</v>
      </c>
      <c r="AF1378" s="21">
        <f t="shared" si="162"/>
        <v>0</v>
      </c>
    </row>
    <row r="1379" spans="1:32" ht="15" customHeight="1" x14ac:dyDescent="0.3">
      <c r="A1379">
        <v>3</v>
      </c>
      <c r="B1379" s="2" t="s">
        <v>696</v>
      </c>
      <c r="C1379" s="4" t="s">
        <v>690</v>
      </c>
      <c r="D1379" s="3" t="s">
        <v>654</v>
      </c>
      <c r="E1379" s="6" t="s">
        <v>27</v>
      </c>
      <c r="F1379" s="6" t="s">
        <v>180</v>
      </c>
      <c r="G1379" s="6" t="s">
        <v>716</v>
      </c>
      <c r="H1379" s="15">
        <v>39000</v>
      </c>
      <c r="I1379">
        <v>0</v>
      </c>
      <c r="J1379">
        <v>0</v>
      </c>
      <c r="K1379" s="20">
        <f t="shared" si="160"/>
        <v>0</v>
      </c>
      <c r="L1379">
        <v>0</v>
      </c>
      <c r="M1379">
        <v>0</v>
      </c>
      <c r="N1379" s="21">
        <f t="shared" si="161"/>
        <v>0</v>
      </c>
      <c r="O1379">
        <v>15</v>
      </c>
      <c r="P1379">
        <v>5</v>
      </c>
      <c r="Q1379" s="21">
        <f t="shared" si="155"/>
        <v>2925000</v>
      </c>
      <c r="R1379">
        <v>0</v>
      </c>
      <c r="S1379">
        <v>0</v>
      </c>
      <c r="T1379" s="21">
        <f t="shared" si="156"/>
        <v>0</v>
      </c>
      <c r="U1379">
        <v>0</v>
      </c>
      <c r="V1379">
        <v>0</v>
      </c>
      <c r="W1379" s="21">
        <f t="shared" si="157"/>
        <v>0</v>
      </c>
      <c r="X1379">
        <v>0</v>
      </c>
      <c r="Y1379">
        <v>0</v>
      </c>
      <c r="Z1379" s="21">
        <f t="shared" si="158"/>
        <v>0</v>
      </c>
      <c r="AA1379">
        <v>0</v>
      </c>
      <c r="AB1379">
        <v>0</v>
      </c>
      <c r="AC1379" s="21">
        <f t="shared" si="159"/>
        <v>0</v>
      </c>
      <c r="AD1379">
        <v>0</v>
      </c>
      <c r="AE1379">
        <v>0</v>
      </c>
      <c r="AF1379" s="21">
        <f t="shared" si="162"/>
        <v>0</v>
      </c>
    </row>
    <row r="1380" spans="1:32" ht="15" customHeight="1" x14ac:dyDescent="0.3">
      <c r="A1380">
        <v>3</v>
      </c>
      <c r="B1380" s="2" t="s">
        <v>696</v>
      </c>
      <c r="C1380" s="4" t="s">
        <v>690</v>
      </c>
      <c r="D1380" s="3" t="s">
        <v>654</v>
      </c>
      <c r="E1380" s="6" t="s">
        <v>27</v>
      </c>
      <c r="F1380" s="6" t="s">
        <v>180</v>
      </c>
      <c r="G1380" s="6" t="s">
        <v>709</v>
      </c>
      <c r="H1380" s="23">
        <v>28000</v>
      </c>
      <c r="I1380">
        <v>0</v>
      </c>
      <c r="J1380">
        <v>0</v>
      </c>
      <c r="K1380" s="20">
        <f t="shared" si="160"/>
        <v>0</v>
      </c>
      <c r="L1380">
        <v>0</v>
      </c>
      <c r="M1380">
        <v>0</v>
      </c>
      <c r="N1380" s="21">
        <f t="shared" si="161"/>
        <v>0</v>
      </c>
      <c r="O1380">
        <v>15</v>
      </c>
      <c r="P1380">
        <v>5</v>
      </c>
      <c r="Q1380" s="21">
        <f t="shared" si="155"/>
        <v>2100000</v>
      </c>
      <c r="R1380">
        <v>0</v>
      </c>
      <c r="S1380">
        <v>0</v>
      </c>
      <c r="T1380" s="21">
        <f t="shared" si="156"/>
        <v>0</v>
      </c>
      <c r="U1380">
        <v>0</v>
      </c>
      <c r="V1380">
        <v>0</v>
      </c>
      <c r="W1380" s="21">
        <f t="shared" si="157"/>
        <v>0</v>
      </c>
      <c r="X1380">
        <v>0</v>
      </c>
      <c r="Y1380">
        <v>0</v>
      </c>
      <c r="Z1380" s="21">
        <f t="shared" si="158"/>
        <v>0</v>
      </c>
      <c r="AA1380">
        <v>0</v>
      </c>
      <c r="AB1380">
        <v>0</v>
      </c>
      <c r="AC1380" s="21">
        <f t="shared" si="159"/>
        <v>0</v>
      </c>
      <c r="AD1380">
        <v>0</v>
      </c>
      <c r="AE1380">
        <v>0</v>
      </c>
      <c r="AF1380" s="21">
        <f t="shared" si="162"/>
        <v>0</v>
      </c>
    </row>
    <row r="1381" spans="1:32" ht="15" customHeight="1" x14ac:dyDescent="0.3">
      <c r="A1381">
        <v>3</v>
      </c>
      <c r="B1381" s="2" t="s">
        <v>696</v>
      </c>
      <c r="C1381" s="4" t="s">
        <v>690</v>
      </c>
      <c r="D1381" s="3" t="s">
        <v>654</v>
      </c>
      <c r="E1381" s="6" t="s">
        <v>27</v>
      </c>
      <c r="F1381" s="6" t="s">
        <v>180</v>
      </c>
      <c r="G1381" s="6" t="s">
        <v>712</v>
      </c>
      <c r="H1381" s="23">
        <v>214.29</v>
      </c>
      <c r="I1381">
        <v>0</v>
      </c>
      <c r="J1381">
        <v>0</v>
      </c>
      <c r="K1381" s="20">
        <f t="shared" si="160"/>
        <v>0</v>
      </c>
      <c r="L1381">
        <v>0</v>
      </c>
      <c r="M1381">
        <v>0</v>
      </c>
      <c r="N1381" s="21">
        <f t="shared" si="161"/>
        <v>0</v>
      </c>
      <c r="O1381">
        <v>4000</v>
      </c>
      <c r="P1381">
        <v>1</v>
      </c>
      <c r="Q1381" s="21">
        <f t="shared" si="155"/>
        <v>857160</v>
      </c>
      <c r="R1381">
        <v>0</v>
      </c>
      <c r="S1381">
        <v>0</v>
      </c>
      <c r="T1381" s="21">
        <f t="shared" si="156"/>
        <v>0</v>
      </c>
      <c r="U1381">
        <v>0</v>
      </c>
      <c r="V1381">
        <v>0</v>
      </c>
      <c r="W1381" s="21">
        <f t="shared" si="157"/>
        <v>0</v>
      </c>
      <c r="X1381">
        <v>0</v>
      </c>
      <c r="Y1381">
        <v>0</v>
      </c>
      <c r="Z1381" s="21">
        <f t="shared" si="158"/>
        <v>0</v>
      </c>
      <c r="AA1381">
        <v>0</v>
      </c>
      <c r="AB1381">
        <v>0</v>
      </c>
      <c r="AC1381" s="21">
        <f t="shared" si="159"/>
        <v>0</v>
      </c>
      <c r="AD1381">
        <v>0</v>
      </c>
      <c r="AE1381">
        <v>0</v>
      </c>
      <c r="AF1381" s="21">
        <f t="shared" si="162"/>
        <v>0</v>
      </c>
    </row>
    <row r="1382" spans="1:32" ht="15" customHeight="1" x14ac:dyDescent="0.3">
      <c r="A1382">
        <v>3</v>
      </c>
      <c r="B1382" s="2" t="s">
        <v>696</v>
      </c>
      <c r="C1382" s="4" t="s">
        <v>690</v>
      </c>
      <c r="D1382" s="3" t="s">
        <v>654</v>
      </c>
      <c r="E1382" s="6" t="s">
        <v>27</v>
      </c>
      <c r="F1382" s="6" t="s">
        <v>180</v>
      </c>
      <c r="G1382" s="6" t="s">
        <v>711</v>
      </c>
      <c r="H1382" s="23">
        <v>70</v>
      </c>
      <c r="I1382">
        <v>0</v>
      </c>
      <c r="J1382">
        <v>0</v>
      </c>
      <c r="K1382" s="20">
        <f t="shared" si="160"/>
        <v>0</v>
      </c>
      <c r="L1382">
        <v>0</v>
      </c>
      <c r="M1382">
        <v>0</v>
      </c>
      <c r="N1382" s="21">
        <f t="shared" si="161"/>
        <v>0</v>
      </c>
      <c r="O1382">
        <v>20000</v>
      </c>
      <c r="P1382">
        <v>1</v>
      </c>
      <c r="Q1382" s="21">
        <f t="shared" si="155"/>
        <v>1400000</v>
      </c>
      <c r="R1382">
        <v>0</v>
      </c>
      <c r="S1382">
        <v>0</v>
      </c>
      <c r="T1382" s="21">
        <f t="shared" si="156"/>
        <v>0</v>
      </c>
      <c r="U1382">
        <v>0</v>
      </c>
      <c r="V1382">
        <v>0</v>
      </c>
      <c r="W1382" s="21">
        <f t="shared" si="157"/>
        <v>0</v>
      </c>
      <c r="X1382">
        <v>0</v>
      </c>
      <c r="Y1382">
        <v>0</v>
      </c>
      <c r="Z1382" s="21">
        <f t="shared" si="158"/>
        <v>0</v>
      </c>
      <c r="AA1382">
        <v>0</v>
      </c>
      <c r="AB1382">
        <v>0</v>
      </c>
      <c r="AC1382" s="21">
        <f t="shared" si="159"/>
        <v>0</v>
      </c>
      <c r="AD1382">
        <v>0</v>
      </c>
      <c r="AE1382">
        <v>0</v>
      </c>
      <c r="AF1382" s="21">
        <f t="shared" si="162"/>
        <v>0</v>
      </c>
    </row>
    <row r="1383" spans="1:32" ht="15" customHeight="1" x14ac:dyDescent="0.3">
      <c r="A1383">
        <v>3</v>
      </c>
      <c r="B1383" s="2" t="s">
        <v>696</v>
      </c>
      <c r="C1383" s="4" t="s">
        <v>690</v>
      </c>
      <c r="D1383" s="3" t="s">
        <v>654</v>
      </c>
      <c r="E1383" s="6" t="s">
        <v>27</v>
      </c>
      <c r="F1383" s="6" t="s">
        <v>180</v>
      </c>
      <c r="G1383" s="6" t="s">
        <v>717</v>
      </c>
      <c r="H1383" s="23">
        <v>104850</v>
      </c>
      <c r="I1383">
        <v>0</v>
      </c>
      <c r="J1383">
        <v>0</v>
      </c>
      <c r="K1383" s="20">
        <f t="shared" si="160"/>
        <v>0</v>
      </c>
      <c r="L1383">
        <v>0</v>
      </c>
      <c r="M1383">
        <v>0</v>
      </c>
      <c r="N1383" s="21">
        <f t="shared" si="161"/>
        <v>0</v>
      </c>
      <c r="O1383">
        <v>2</v>
      </c>
      <c r="P1383">
        <v>1</v>
      </c>
      <c r="Q1383" s="21">
        <f t="shared" si="155"/>
        <v>209700</v>
      </c>
      <c r="R1383">
        <v>0</v>
      </c>
      <c r="S1383">
        <v>0</v>
      </c>
      <c r="T1383" s="21">
        <f t="shared" si="156"/>
        <v>0</v>
      </c>
      <c r="U1383">
        <v>0</v>
      </c>
      <c r="V1383">
        <v>0</v>
      </c>
      <c r="W1383" s="21">
        <f t="shared" si="157"/>
        <v>0</v>
      </c>
      <c r="X1383">
        <v>0</v>
      </c>
      <c r="Y1383">
        <v>0</v>
      </c>
      <c r="Z1383" s="21">
        <f t="shared" si="158"/>
        <v>0</v>
      </c>
      <c r="AA1383">
        <v>0</v>
      </c>
      <c r="AB1383">
        <v>0</v>
      </c>
      <c r="AC1383" s="21">
        <f t="shared" si="159"/>
        <v>0</v>
      </c>
      <c r="AD1383">
        <v>0</v>
      </c>
      <c r="AE1383">
        <v>0</v>
      </c>
      <c r="AF1383" s="21">
        <f t="shared" si="162"/>
        <v>0</v>
      </c>
    </row>
    <row r="1384" spans="1:32" ht="15" customHeight="1" x14ac:dyDescent="0.3">
      <c r="A1384">
        <v>3</v>
      </c>
      <c r="B1384" s="2" t="s">
        <v>696</v>
      </c>
      <c r="C1384" s="4" t="s">
        <v>690</v>
      </c>
      <c r="D1384" s="3" t="s">
        <v>654</v>
      </c>
      <c r="E1384" s="6" t="s">
        <v>27</v>
      </c>
      <c r="F1384" s="6" t="s">
        <v>280</v>
      </c>
      <c r="G1384" s="6" t="s">
        <v>709</v>
      </c>
      <c r="H1384" s="23">
        <v>28000</v>
      </c>
      <c r="I1384">
        <v>0</v>
      </c>
      <c r="J1384">
        <v>0</v>
      </c>
      <c r="K1384" s="20">
        <f t="shared" si="160"/>
        <v>0</v>
      </c>
      <c r="L1384">
        <v>0</v>
      </c>
      <c r="M1384">
        <v>0</v>
      </c>
      <c r="N1384" s="21">
        <f t="shared" si="161"/>
        <v>0</v>
      </c>
      <c r="O1384">
        <v>40</v>
      </c>
      <c r="P1384">
        <v>1</v>
      </c>
      <c r="Q1384" s="21">
        <f t="shared" si="155"/>
        <v>1120000</v>
      </c>
      <c r="R1384">
        <v>0</v>
      </c>
      <c r="S1384">
        <v>0</v>
      </c>
      <c r="T1384" s="21">
        <f t="shared" si="156"/>
        <v>0</v>
      </c>
      <c r="U1384">
        <v>0</v>
      </c>
      <c r="V1384">
        <v>0</v>
      </c>
      <c r="W1384" s="21">
        <f t="shared" si="157"/>
        <v>0</v>
      </c>
      <c r="X1384">
        <v>0</v>
      </c>
      <c r="Y1384">
        <v>0</v>
      </c>
      <c r="Z1384" s="21">
        <f t="shared" si="158"/>
        <v>0</v>
      </c>
      <c r="AA1384">
        <v>0</v>
      </c>
      <c r="AB1384">
        <v>0</v>
      </c>
      <c r="AC1384" s="21">
        <f t="shared" si="159"/>
        <v>0</v>
      </c>
      <c r="AD1384">
        <v>0</v>
      </c>
      <c r="AE1384">
        <v>0</v>
      </c>
      <c r="AF1384" s="21">
        <f t="shared" si="162"/>
        <v>0</v>
      </c>
    </row>
    <row r="1385" spans="1:32" ht="15" customHeight="1" x14ac:dyDescent="0.3">
      <c r="A1385">
        <v>3</v>
      </c>
      <c r="B1385" s="2" t="s">
        <v>696</v>
      </c>
      <c r="C1385" s="4" t="s">
        <v>690</v>
      </c>
      <c r="D1385" s="3" t="s">
        <v>654</v>
      </c>
      <c r="E1385" s="6" t="s">
        <v>27</v>
      </c>
      <c r="F1385" s="6" t="s">
        <v>280</v>
      </c>
      <c r="G1385" s="6" t="s">
        <v>716</v>
      </c>
      <c r="H1385" s="15">
        <v>39000</v>
      </c>
      <c r="I1385">
        <v>0</v>
      </c>
      <c r="J1385">
        <v>0</v>
      </c>
      <c r="K1385" s="20">
        <f t="shared" si="160"/>
        <v>0</v>
      </c>
      <c r="L1385">
        <v>0</v>
      </c>
      <c r="M1385">
        <v>0</v>
      </c>
      <c r="N1385" s="21">
        <f t="shared" si="161"/>
        <v>0</v>
      </c>
      <c r="O1385">
        <v>15</v>
      </c>
      <c r="P1385">
        <v>1</v>
      </c>
      <c r="Q1385" s="21">
        <f t="shared" si="155"/>
        <v>585000</v>
      </c>
      <c r="R1385">
        <v>0</v>
      </c>
      <c r="S1385">
        <v>0</v>
      </c>
      <c r="T1385" s="21">
        <f t="shared" si="156"/>
        <v>0</v>
      </c>
      <c r="U1385">
        <v>0</v>
      </c>
      <c r="V1385">
        <v>0</v>
      </c>
      <c r="W1385" s="21">
        <f t="shared" si="157"/>
        <v>0</v>
      </c>
      <c r="X1385">
        <v>0</v>
      </c>
      <c r="Y1385">
        <v>0</v>
      </c>
      <c r="Z1385" s="21">
        <f t="shared" si="158"/>
        <v>0</v>
      </c>
      <c r="AA1385">
        <v>0</v>
      </c>
      <c r="AB1385">
        <v>0</v>
      </c>
      <c r="AC1385" s="21">
        <f t="shared" si="159"/>
        <v>0</v>
      </c>
      <c r="AD1385">
        <v>0</v>
      </c>
      <c r="AE1385">
        <v>0</v>
      </c>
      <c r="AF1385" s="21">
        <f t="shared" si="162"/>
        <v>0</v>
      </c>
    </row>
    <row r="1386" spans="1:32" ht="15" customHeight="1" x14ac:dyDescent="0.3">
      <c r="A1386">
        <v>3</v>
      </c>
      <c r="B1386" s="2" t="s">
        <v>696</v>
      </c>
      <c r="C1386" s="4" t="s">
        <v>690</v>
      </c>
      <c r="D1386" s="3" t="s">
        <v>654</v>
      </c>
      <c r="E1386" s="6" t="s">
        <v>27</v>
      </c>
      <c r="F1386" s="6" t="s">
        <v>280</v>
      </c>
      <c r="G1386" s="6" t="s">
        <v>712</v>
      </c>
      <c r="H1386" s="23">
        <v>214.29</v>
      </c>
      <c r="I1386">
        <v>0</v>
      </c>
      <c r="J1386">
        <v>0</v>
      </c>
      <c r="K1386" s="20">
        <f t="shared" si="160"/>
        <v>0</v>
      </c>
      <c r="L1386">
        <v>0</v>
      </c>
      <c r="M1386">
        <v>0</v>
      </c>
      <c r="N1386" s="21">
        <f t="shared" si="161"/>
        <v>0</v>
      </c>
      <c r="O1386">
        <v>4000</v>
      </c>
      <c r="P1386">
        <v>1</v>
      </c>
      <c r="Q1386" s="21">
        <f t="shared" si="155"/>
        <v>857160</v>
      </c>
      <c r="R1386">
        <v>0</v>
      </c>
      <c r="S1386">
        <v>0</v>
      </c>
      <c r="T1386" s="21">
        <f t="shared" si="156"/>
        <v>0</v>
      </c>
      <c r="U1386">
        <v>0</v>
      </c>
      <c r="V1386">
        <v>0</v>
      </c>
      <c r="W1386" s="21">
        <f t="shared" si="157"/>
        <v>0</v>
      </c>
      <c r="X1386">
        <v>0</v>
      </c>
      <c r="Y1386">
        <v>0</v>
      </c>
      <c r="Z1386" s="21">
        <f t="shared" si="158"/>
        <v>0</v>
      </c>
      <c r="AA1386">
        <v>0</v>
      </c>
      <c r="AB1386">
        <v>0</v>
      </c>
      <c r="AC1386" s="21">
        <f t="shared" si="159"/>
        <v>0</v>
      </c>
      <c r="AD1386">
        <v>0</v>
      </c>
      <c r="AE1386">
        <v>0</v>
      </c>
      <c r="AF1386" s="21">
        <f t="shared" si="162"/>
        <v>0</v>
      </c>
    </row>
    <row r="1387" spans="1:32" ht="15" customHeight="1" x14ac:dyDescent="0.3">
      <c r="A1387">
        <v>3</v>
      </c>
      <c r="B1387" s="2" t="s">
        <v>696</v>
      </c>
      <c r="C1387" s="4" t="s">
        <v>690</v>
      </c>
      <c r="D1387" s="3" t="s">
        <v>654</v>
      </c>
      <c r="E1387" s="6" t="s">
        <v>27</v>
      </c>
      <c r="F1387" s="6" t="s">
        <v>171</v>
      </c>
      <c r="G1387" s="6" t="s">
        <v>718</v>
      </c>
      <c r="H1387" s="23">
        <v>0</v>
      </c>
      <c r="I1387">
        <v>0</v>
      </c>
      <c r="J1387">
        <v>0</v>
      </c>
      <c r="K1387" s="20">
        <f t="shared" si="160"/>
        <v>0</v>
      </c>
      <c r="L1387">
        <v>0</v>
      </c>
      <c r="M1387">
        <v>0</v>
      </c>
      <c r="N1387" s="21">
        <f t="shared" si="161"/>
        <v>0</v>
      </c>
      <c r="O1387">
        <v>0</v>
      </c>
      <c r="P1387">
        <v>0</v>
      </c>
      <c r="Q1387" s="21">
        <f t="shared" si="155"/>
        <v>0</v>
      </c>
      <c r="R1387">
        <v>0</v>
      </c>
      <c r="S1387">
        <v>0</v>
      </c>
      <c r="T1387" s="21">
        <f t="shared" si="156"/>
        <v>0</v>
      </c>
      <c r="U1387">
        <v>0</v>
      </c>
      <c r="V1387">
        <v>0</v>
      </c>
      <c r="W1387" s="21">
        <f t="shared" si="157"/>
        <v>0</v>
      </c>
      <c r="X1387">
        <v>0</v>
      </c>
      <c r="Y1387">
        <v>0</v>
      </c>
      <c r="Z1387" s="21">
        <f t="shared" si="158"/>
        <v>0</v>
      </c>
      <c r="AA1387">
        <v>0</v>
      </c>
      <c r="AB1387">
        <v>0</v>
      </c>
      <c r="AC1387" s="21">
        <f t="shared" si="159"/>
        <v>0</v>
      </c>
      <c r="AD1387">
        <v>0</v>
      </c>
      <c r="AE1387">
        <v>0</v>
      </c>
      <c r="AF1387" s="21">
        <f t="shared" si="162"/>
        <v>0</v>
      </c>
    </row>
    <row r="1388" spans="1:32" ht="15" customHeight="1" x14ac:dyDescent="0.3">
      <c r="A1388">
        <v>3</v>
      </c>
      <c r="B1388" s="2" t="s">
        <v>696</v>
      </c>
      <c r="C1388" s="4" t="s">
        <v>690</v>
      </c>
      <c r="D1388" s="3" t="s">
        <v>654</v>
      </c>
      <c r="E1388" s="6" t="s">
        <v>27</v>
      </c>
      <c r="F1388" s="6" t="s">
        <v>281</v>
      </c>
      <c r="G1388" s="6" t="s">
        <v>711</v>
      </c>
      <c r="H1388" s="23">
        <v>70</v>
      </c>
      <c r="I1388">
        <v>0</v>
      </c>
      <c r="J1388">
        <v>0</v>
      </c>
      <c r="K1388" s="20">
        <f t="shared" si="160"/>
        <v>0</v>
      </c>
      <c r="L1388">
        <v>0</v>
      </c>
      <c r="M1388">
        <v>0</v>
      </c>
      <c r="N1388" s="21">
        <f t="shared" si="161"/>
        <v>0</v>
      </c>
      <c r="O1388">
        <v>50000</v>
      </c>
      <c r="P1388">
        <v>1</v>
      </c>
      <c r="Q1388" s="21">
        <f t="shared" si="155"/>
        <v>3500000</v>
      </c>
      <c r="R1388">
        <v>0</v>
      </c>
      <c r="S1388">
        <v>0</v>
      </c>
      <c r="T1388" s="21">
        <f t="shared" si="156"/>
        <v>0</v>
      </c>
      <c r="U1388">
        <v>0</v>
      </c>
      <c r="V1388">
        <v>0</v>
      </c>
      <c r="W1388" s="21">
        <f t="shared" si="157"/>
        <v>0</v>
      </c>
      <c r="X1388">
        <v>0</v>
      </c>
      <c r="Y1388">
        <v>0</v>
      </c>
      <c r="Z1388" s="21">
        <f t="shared" si="158"/>
        <v>0</v>
      </c>
      <c r="AA1388">
        <v>0</v>
      </c>
      <c r="AB1388">
        <v>0</v>
      </c>
      <c r="AC1388" s="21">
        <f t="shared" si="159"/>
        <v>0</v>
      </c>
      <c r="AD1388">
        <v>0</v>
      </c>
      <c r="AE1388">
        <v>0</v>
      </c>
      <c r="AF1388" s="21">
        <f t="shared" si="162"/>
        <v>0</v>
      </c>
    </row>
    <row r="1389" spans="1:32" ht="15" customHeight="1" x14ac:dyDescent="0.3">
      <c r="A1389">
        <v>3</v>
      </c>
      <c r="B1389" s="2" t="s">
        <v>696</v>
      </c>
      <c r="C1389" s="4" t="s">
        <v>690</v>
      </c>
      <c r="D1389" s="3" t="s">
        <v>654</v>
      </c>
      <c r="E1389" s="6" t="s">
        <v>27</v>
      </c>
      <c r="F1389" s="6" t="s">
        <v>281</v>
      </c>
      <c r="G1389" s="6" t="s">
        <v>710</v>
      </c>
      <c r="H1389" s="23">
        <v>104850</v>
      </c>
      <c r="I1389">
        <v>0</v>
      </c>
      <c r="J1389">
        <v>0</v>
      </c>
      <c r="K1389" s="20">
        <f t="shared" si="160"/>
        <v>0</v>
      </c>
      <c r="L1389">
        <v>0</v>
      </c>
      <c r="M1389">
        <v>0</v>
      </c>
      <c r="N1389" s="21">
        <f t="shared" si="161"/>
        <v>0</v>
      </c>
      <c r="O1389">
        <v>5</v>
      </c>
      <c r="P1389">
        <v>1</v>
      </c>
      <c r="Q1389" s="21">
        <f t="shared" si="155"/>
        <v>524250</v>
      </c>
      <c r="R1389">
        <v>0</v>
      </c>
      <c r="S1389">
        <v>0</v>
      </c>
      <c r="T1389" s="21">
        <f t="shared" si="156"/>
        <v>0</v>
      </c>
      <c r="U1389">
        <v>0</v>
      </c>
      <c r="V1389">
        <v>0</v>
      </c>
      <c r="W1389" s="21">
        <f t="shared" si="157"/>
        <v>0</v>
      </c>
      <c r="X1389">
        <v>0</v>
      </c>
      <c r="Y1389">
        <v>0</v>
      </c>
      <c r="Z1389" s="21">
        <f t="shared" si="158"/>
        <v>0</v>
      </c>
      <c r="AA1389">
        <v>0</v>
      </c>
      <c r="AB1389">
        <v>0</v>
      </c>
      <c r="AC1389" s="21">
        <f t="shared" si="159"/>
        <v>0</v>
      </c>
      <c r="AD1389">
        <v>0</v>
      </c>
      <c r="AE1389">
        <v>0</v>
      </c>
      <c r="AF1389" s="21">
        <f t="shared" si="162"/>
        <v>0</v>
      </c>
    </row>
    <row r="1390" spans="1:32" ht="15" customHeight="1" x14ac:dyDescent="0.3">
      <c r="A1390">
        <v>3</v>
      </c>
      <c r="B1390" s="2" t="s">
        <v>696</v>
      </c>
      <c r="C1390" s="4" t="s">
        <v>690</v>
      </c>
      <c r="D1390" s="3" t="s">
        <v>654</v>
      </c>
      <c r="E1390" s="6" t="s">
        <v>27</v>
      </c>
      <c r="F1390" s="6" t="s">
        <v>162</v>
      </c>
      <c r="G1390" s="6" t="s">
        <v>716</v>
      </c>
      <c r="H1390" s="23">
        <v>26000</v>
      </c>
      <c r="I1390">
        <v>0</v>
      </c>
      <c r="J1390">
        <v>0</v>
      </c>
      <c r="K1390" s="20">
        <f t="shared" si="160"/>
        <v>0</v>
      </c>
      <c r="L1390">
        <v>0</v>
      </c>
      <c r="M1390">
        <v>0</v>
      </c>
      <c r="N1390" s="21">
        <f t="shared" si="161"/>
        <v>0</v>
      </c>
      <c r="O1390">
        <v>20</v>
      </c>
      <c r="P1390">
        <v>5</v>
      </c>
      <c r="Q1390" s="21">
        <f t="shared" si="155"/>
        <v>2600000</v>
      </c>
      <c r="R1390">
        <v>0</v>
      </c>
      <c r="S1390">
        <v>0</v>
      </c>
      <c r="T1390" s="21">
        <f t="shared" si="156"/>
        <v>0</v>
      </c>
      <c r="U1390">
        <v>0</v>
      </c>
      <c r="V1390">
        <v>0</v>
      </c>
      <c r="W1390" s="21">
        <f t="shared" si="157"/>
        <v>0</v>
      </c>
      <c r="X1390">
        <v>0</v>
      </c>
      <c r="Y1390">
        <v>0</v>
      </c>
      <c r="Z1390" s="21">
        <f t="shared" si="158"/>
        <v>0</v>
      </c>
      <c r="AA1390">
        <v>0</v>
      </c>
      <c r="AB1390">
        <v>0</v>
      </c>
      <c r="AC1390" s="21">
        <f t="shared" si="159"/>
        <v>0</v>
      </c>
      <c r="AD1390">
        <v>0</v>
      </c>
      <c r="AE1390">
        <v>0</v>
      </c>
      <c r="AF1390" s="21">
        <f t="shared" si="162"/>
        <v>0</v>
      </c>
    </row>
    <row r="1391" spans="1:32" ht="15" customHeight="1" x14ac:dyDescent="0.3">
      <c r="A1391">
        <v>3</v>
      </c>
      <c r="B1391" s="2" t="s">
        <v>696</v>
      </c>
      <c r="C1391" s="4" t="s">
        <v>690</v>
      </c>
      <c r="D1391" s="3" t="s">
        <v>654</v>
      </c>
      <c r="E1391" s="6" t="s">
        <v>27</v>
      </c>
      <c r="F1391" s="6" t="s">
        <v>162</v>
      </c>
      <c r="G1391" s="6" t="s">
        <v>709</v>
      </c>
      <c r="H1391" s="23">
        <v>28000</v>
      </c>
      <c r="I1391">
        <v>0</v>
      </c>
      <c r="J1391">
        <v>0</v>
      </c>
      <c r="K1391" s="20">
        <f t="shared" si="160"/>
        <v>0</v>
      </c>
      <c r="L1391">
        <v>0</v>
      </c>
      <c r="M1391">
        <v>0</v>
      </c>
      <c r="N1391" s="21">
        <f t="shared" si="161"/>
        <v>0</v>
      </c>
      <c r="O1391">
        <v>20</v>
      </c>
      <c r="P1391">
        <v>5</v>
      </c>
      <c r="Q1391" s="21">
        <f t="shared" si="155"/>
        <v>2800000</v>
      </c>
      <c r="R1391">
        <v>0</v>
      </c>
      <c r="S1391">
        <v>0</v>
      </c>
      <c r="T1391" s="21">
        <f t="shared" si="156"/>
        <v>0</v>
      </c>
      <c r="U1391">
        <v>0</v>
      </c>
      <c r="V1391">
        <v>0</v>
      </c>
      <c r="W1391" s="21">
        <f t="shared" si="157"/>
        <v>0</v>
      </c>
      <c r="X1391">
        <v>0</v>
      </c>
      <c r="Y1391">
        <v>0</v>
      </c>
      <c r="Z1391" s="21">
        <f t="shared" si="158"/>
        <v>0</v>
      </c>
      <c r="AA1391">
        <v>0</v>
      </c>
      <c r="AB1391">
        <v>0</v>
      </c>
      <c r="AC1391" s="21">
        <f t="shared" si="159"/>
        <v>0</v>
      </c>
      <c r="AD1391">
        <v>0</v>
      </c>
      <c r="AE1391">
        <v>0</v>
      </c>
      <c r="AF1391" s="21">
        <f t="shared" si="162"/>
        <v>0</v>
      </c>
    </row>
    <row r="1392" spans="1:32" ht="15" customHeight="1" x14ac:dyDescent="0.3">
      <c r="A1392">
        <v>3</v>
      </c>
      <c r="B1392" s="2" t="s">
        <v>696</v>
      </c>
      <c r="C1392" s="4" t="s">
        <v>690</v>
      </c>
      <c r="D1392" s="3" t="s">
        <v>654</v>
      </c>
      <c r="E1392" s="6" t="s">
        <v>27</v>
      </c>
      <c r="F1392" s="6" t="s">
        <v>162</v>
      </c>
      <c r="G1392" s="6" t="s">
        <v>712</v>
      </c>
      <c r="H1392" s="23">
        <v>214.29</v>
      </c>
      <c r="I1392">
        <v>0</v>
      </c>
      <c r="J1392">
        <v>0</v>
      </c>
      <c r="K1392" s="20">
        <f t="shared" si="160"/>
        <v>0</v>
      </c>
      <c r="L1392">
        <v>0</v>
      </c>
      <c r="M1392">
        <v>0</v>
      </c>
      <c r="N1392" s="21">
        <f t="shared" si="161"/>
        <v>0</v>
      </c>
      <c r="O1392">
        <v>8000</v>
      </c>
      <c r="P1392">
        <v>1</v>
      </c>
      <c r="Q1392" s="21">
        <f t="shared" si="155"/>
        <v>1714320</v>
      </c>
      <c r="R1392">
        <v>0</v>
      </c>
      <c r="S1392">
        <v>0</v>
      </c>
      <c r="T1392" s="21">
        <f t="shared" si="156"/>
        <v>0</v>
      </c>
      <c r="U1392">
        <v>0</v>
      </c>
      <c r="V1392">
        <v>0</v>
      </c>
      <c r="W1392" s="21">
        <f t="shared" si="157"/>
        <v>0</v>
      </c>
      <c r="X1392">
        <v>0</v>
      </c>
      <c r="Y1392">
        <v>0</v>
      </c>
      <c r="Z1392" s="21">
        <f t="shared" si="158"/>
        <v>0</v>
      </c>
      <c r="AA1392">
        <v>0</v>
      </c>
      <c r="AB1392">
        <v>0</v>
      </c>
      <c r="AC1392" s="21">
        <f t="shared" si="159"/>
        <v>0</v>
      </c>
      <c r="AD1392">
        <v>0</v>
      </c>
      <c r="AE1392">
        <v>0</v>
      </c>
      <c r="AF1392" s="21">
        <f t="shared" si="162"/>
        <v>0</v>
      </c>
    </row>
    <row r="1393" spans="1:32" ht="15" customHeight="1" x14ac:dyDescent="0.3">
      <c r="A1393">
        <v>3</v>
      </c>
      <c r="B1393" s="2" t="s">
        <v>696</v>
      </c>
      <c r="C1393" s="4" t="s">
        <v>690</v>
      </c>
      <c r="D1393" s="3" t="s">
        <v>655</v>
      </c>
      <c r="E1393" s="6" t="s">
        <v>28</v>
      </c>
      <c r="F1393" s="6" t="s">
        <v>283</v>
      </c>
      <c r="G1393" s="6" t="s">
        <v>718</v>
      </c>
      <c r="H1393" s="23">
        <v>0</v>
      </c>
      <c r="I1393">
        <v>0</v>
      </c>
      <c r="J1393">
        <v>0</v>
      </c>
      <c r="K1393" s="20">
        <f t="shared" si="160"/>
        <v>0</v>
      </c>
      <c r="L1393">
        <v>0</v>
      </c>
      <c r="M1393">
        <v>0</v>
      </c>
      <c r="N1393" s="21">
        <f t="shared" si="161"/>
        <v>0</v>
      </c>
      <c r="O1393">
        <v>0</v>
      </c>
      <c r="P1393">
        <v>0</v>
      </c>
      <c r="Q1393" s="21">
        <f t="shared" si="155"/>
        <v>0</v>
      </c>
      <c r="R1393">
        <v>0</v>
      </c>
      <c r="S1393">
        <v>0</v>
      </c>
      <c r="T1393" s="21">
        <f t="shared" si="156"/>
        <v>0</v>
      </c>
      <c r="U1393">
        <v>0</v>
      </c>
      <c r="V1393">
        <v>0</v>
      </c>
      <c r="W1393" s="21">
        <f t="shared" si="157"/>
        <v>0</v>
      </c>
      <c r="X1393">
        <v>0</v>
      </c>
      <c r="Y1393">
        <v>0</v>
      </c>
      <c r="Z1393" s="21">
        <f t="shared" si="158"/>
        <v>0</v>
      </c>
      <c r="AA1393">
        <v>0</v>
      </c>
      <c r="AB1393">
        <v>0</v>
      </c>
      <c r="AC1393" s="21">
        <f t="shared" si="159"/>
        <v>0</v>
      </c>
      <c r="AD1393">
        <v>0</v>
      </c>
      <c r="AE1393">
        <v>0</v>
      </c>
      <c r="AF1393" s="21">
        <f t="shared" si="162"/>
        <v>0</v>
      </c>
    </row>
    <row r="1394" spans="1:32" ht="15" customHeight="1" x14ac:dyDescent="0.3">
      <c r="A1394">
        <v>3</v>
      </c>
      <c r="B1394" s="2" t="s">
        <v>696</v>
      </c>
      <c r="C1394" s="4" t="s">
        <v>690</v>
      </c>
      <c r="D1394" s="3" t="s">
        <v>655</v>
      </c>
      <c r="E1394" s="6" t="s">
        <v>28</v>
      </c>
      <c r="F1394" s="6" t="s">
        <v>284</v>
      </c>
      <c r="G1394" s="6" t="s">
        <v>708</v>
      </c>
      <c r="H1394" s="23">
        <v>468000</v>
      </c>
      <c r="I1394">
        <v>0</v>
      </c>
      <c r="J1394">
        <v>0</v>
      </c>
      <c r="K1394" s="20">
        <f t="shared" si="160"/>
        <v>0</v>
      </c>
      <c r="L1394">
        <v>1</v>
      </c>
      <c r="M1394">
        <v>40</v>
      </c>
      <c r="N1394" s="21">
        <f t="shared" si="161"/>
        <v>18720000</v>
      </c>
      <c r="O1394">
        <v>0</v>
      </c>
      <c r="P1394">
        <v>0</v>
      </c>
      <c r="Q1394" s="21">
        <f t="shared" si="155"/>
        <v>0</v>
      </c>
      <c r="R1394">
        <v>0</v>
      </c>
      <c r="S1394">
        <v>0</v>
      </c>
      <c r="T1394" s="21">
        <f t="shared" si="156"/>
        <v>0</v>
      </c>
      <c r="U1394">
        <v>0</v>
      </c>
      <c r="V1394">
        <v>0</v>
      </c>
      <c r="W1394" s="21">
        <f t="shared" si="157"/>
        <v>0</v>
      </c>
      <c r="X1394">
        <v>0</v>
      </c>
      <c r="Y1394">
        <v>0</v>
      </c>
      <c r="Z1394" s="21">
        <f t="shared" si="158"/>
        <v>0</v>
      </c>
      <c r="AA1394">
        <v>0</v>
      </c>
      <c r="AB1394">
        <v>0</v>
      </c>
      <c r="AC1394" s="21">
        <f t="shared" si="159"/>
        <v>0</v>
      </c>
      <c r="AD1394">
        <v>0</v>
      </c>
      <c r="AE1394">
        <v>0</v>
      </c>
      <c r="AF1394" s="21">
        <f t="shared" si="162"/>
        <v>0</v>
      </c>
    </row>
    <row r="1395" spans="1:32" ht="15" customHeight="1" x14ac:dyDescent="0.3">
      <c r="A1395">
        <v>3</v>
      </c>
      <c r="B1395" s="2" t="s">
        <v>696</v>
      </c>
      <c r="C1395" s="4" t="s">
        <v>690</v>
      </c>
      <c r="D1395" s="3" t="s">
        <v>655</v>
      </c>
      <c r="E1395" s="6" t="s">
        <v>28</v>
      </c>
      <c r="F1395" s="6" t="s">
        <v>284</v>
      </c>
      <c r="G1395" s="6" t="s">
        <v>707</v>
      </c>
      <c r="H1395" s="23">
        <v>391991.03749999998</v>
      </c>
      <c r="I1395">
        <v>0</v>
      </c>
      <c r="J1395">
        <v>0</v>
      </c>
      <c r="K1395" s="20">
        <f t="shared" si="160"/>
        <v>0</v>
      </c>
      <c r="L1395">
        <v>1</v>
      </c>
      <c r="M1395">
        <v>4</v>
      </c>
      <c r="N1395" s="21">
        <f t="shared" si="161"/>
        <v>1567964.15</v>
      </c>
      <c r="O1395">
        <v>0</v>
      </c>
      <c r="P1395">
        <v>0</v>
      </c>
      <c r="Q1395" s="21">
        <f t="shared" si="155"/>
        <v>0</v>
      </c>
      <c r="R1395">
        <v>0</v>
      </c>
      <c r="S1395">
        <v>0</v>
      </c>
      <c r="T1395" s="21">
        <f t="shared" si="156"/>
        <v>0</v>
      </c>
      <c r="U1395">
        <v>0</v>
      </c>
      <c r="V1395">
        <v>0</v>
      </c>
      <c r="W1395" s="21">
        <f t="shared" si="157"/>
        <v>0</v>
      </c>
      <c r="X1395">
        <v>0</v>
      </c>
      <c r="Y1395">
        <v>0</v>
      </c>
      <c r="Z1395" s="21">
        <f t="shared" si="158"/>
        <v>0</v>
      </c>
      <c r="AA1395">
        <v>0</v>
      </c>
      <c r="AB1395">
        <v>0</v>
      </c>
      <c r="AC1395" s="21">
        <f t="shared" si="159"/>
        <v>0</v>
      </c>
      <c r="AD1395">
        <v>0</v>
      </c>
      <c r="AE1395">
        <v>0</v>
      </c>
      <c r="AF1395" s="21">
        <f t="shared" si="162"/>
        <v>0</v>
      </c>
    </row>
    <row r="1396" spans="1:32" ht="15" customHeight="1" x14ac:dyDescent="0.3">
      <c r="A1396">
        <v>3</v>
      </c>
      <c r="B1396" s="2" t="s">
        <v>696</v>
      </c>
      <c r="C1396" s="4" t="s">
        <v>690</v>
      </c>
      <c r="D1396" s="3" t="s">
        <v>655</v>
      </c>
      <c r="E1396" s="6" t="s">
        <v>28</v>
      </c>
      <c r="F1396" s="6" t="s">
        <v>285</v>
      </c>
      <c r="G1396" s="6" t="s">
        <v>716</v>
      </c>
      <c r="H1396" s="23">
        <v>39000</v>
      </c>
      <c r="I1396">
        <v>0</v>
      </c>
      <c r="J1396">
        <v>0</v>
      </c>
      <c r="K1396" s="20">
        <f t="shared" si="160"/>
        <v>0</v>
      </c>
      <c r="L1396">
        <v>20</v>
      </c>
      <c r="M1396">
        <v>5</v>
      </c>
      <c r="N1396" s="21">
        <f t="shared" si="161"/>
        <v>3900000</v>
      </c>
      <c r="O1396">
        <v>0</v>
      </c>
      <c r="P1396">
        <v>0</v>
      </c>
      <c r="Q1396" s="21">
        <f t="shared" si="155"/>
        <v>0</v>
      </c>
      <c r="R1396">
        <v>0</v>
      </c>
      <c r="S1396">
        <v>0</v>
      </c>
      <c r="T1396" s="21">
        <f t="shared" si="156"/>
        <v>0</v>
      </c>
      <c r="U1396">
        <v>0</v>
      </c>
      <c r="V1396">
        <v>0</v>
      </c>
      <c r="W1396" s="21">
        <f t="shared" si="157"/>
        <v>0</v>
      </c>
      <c r="X1396">
        <v>0</v>
      </c>
      <c r="Y1396">
        <v>0</v>
      </c>
      <c r="Z1396" s="21">
        <f t="shared" si="158"/>
        <v>0</v>
      </c>
      <c r="AA1396">
        <v>0</v>
      </c>
      <c r="AB1396">
        <v>0</v>
      </c>
      <c r="AC1396" s="21">
        <f t="shared" si="159"/>
        <v>0</v>
      </c>
      <c r="AD1396">
        <v>0</v>
      </c>
      <c r="AE1396">
        <v>0</v>
      </c>
      <c r="AF1396" s="21">
        <f t="shared" si="162"/>
        <v>0</v>
      </c>
    </row>
    <row r="1397" spans="1:32" ht="15" customHeight="1" x14ac:dyDescent="0.3">
      <c r="A1397">
        <v>3</v>
      </c>
      <c r="B1397" s="2" t="s">
        <v>696</v>
      </c>
      <c r="C1397" s="4" t="s">
        <v>690</v>
      </c>
      <c r="D1397" s="3" t="s">
        <v>655</v>
      </c>
      <c r="E1397" s="6" t="s">
        <v>28</v>
      </c>
      <c r="F1397" s="6" t="s">
        <v>285</v>
      </c>
      <c r="G1397" s="6" t="s">
        <v>712</v>
      </c>
      <c r="H1397" s="23">
        <v>214.29</v>
      </c>
      <c r="I1397">
        <v>0</v>
      </c>
      <c r="J1397">
        <v>0</v>
      </c>
      <c r="K1397" s="20">
        <f t="shared" si="160"/>
        <v>0</v>
      </c>
      <c r="L1397">
        <v>4000</v>
      </c>
      <c r="M1397">
        <v>1</v>
      </c>
      <c r="N1397" s="21">
        <f t="shared" si="161"/>
        <v>857160</v>
      </c>
      <c r="O1397">
        <v>0</v>
      </c>
      <c r="P1397">
        <v>0</v>
      </c>
      <c r="Q1397" s="21">
        <f t="shared" si="155"/>
        <v>0</v>
      </c>
      <c r="R1397">
        <v>0</v>
      </c>
      <c r="S1397">
        <v>0</v>
      </c>
      <c r="T1397" s="21">
        <f t="shared" si="156"/>
        <v>0</v>
      </c>
      <c r="U1397">
        <v>0</v>
      </c>
      <c r="V1397">
        <v>0</v>
      </c>
      <c r="W1397" s="21">
        <f t="shared" si="157"/>
        <v>0</v>
      </c>
      <c r="X1397">
        <v>0</v>
      </c>
      <c r="Y1397">
        <v>0</v>
      </c>
      <c r="Z1397" s="21">
        <f t="shared" si="158"/>
        <v>0</v>
      </c>
      <c r="AA1397">
        <v>0</v>
      </c>
      <c r="AB1397">
        <v>0</v>
      </c>
      <c r="AC1397" s="21">
        <f t="shared" si="159"/>
        <v>0</v>
      </c>
      <c r="AD1397">
        <v>0</v>
      </c>
      <c r="AE1397">
        <v>0</v>
      </c>
      <c r="AF1397" s="21">
        <f t="shared" si="162"/>
        <v>0</v>
      </c>
    </row>
    <row r="1398" spans="1:32" ht="15" customHeight="1" x14ac:dyDescent="0.3">
      <c r="A1398">
        <v>3</v>
      </c>
      <c r="B1398" s="2" t="s">
        <v>696</v>
      </c>
      <c r="C1398" s="4" t="s">
        <v>690</v>
      </c>
      <c r="D1398" s="3" t="s">
        <v>655</v>
      </c>
      <c r="E1398" s="6" t="s">
        <v>28</v>
      </c>
      <c r="F1398" s="6" t="s">
        <v>285</v>
      </c>
      <c r="G1398" s="6" t="s">
        <v>709</v>
      </c>
      <c r="H1398" s="23">
        <v>28000</v>
      </c>
      <c r="I1398">
        <v>0</v>
      </c>
      <c r="J1398">
        <v>0</v>
      </c>
      <c r="K1398" s="20">
        <f t="shared" si="160"/>
        <v>0</v>
      </c>
      <c r="L1398">
        <v>20</v>
      </c>
      <c r="M1398">
        <v>1</v>
      </c>
      <c r="N1398" s="21">
        <f t="shared" si="161"/>
        <v>560000</v>
      </c>
      <c r="O1398">
        <v>0</v>
      </c>
      <c r="P1398">
        <v>0</v>
      </c>
      <c r="Q1398" s="21">
        <f t="shared" si="155"/>
        <v>0</v>
      </c>
      <c r="R1398">
        <v>0</v>
      </c>
      <c r="S1398">
        <v>0</v>
      </c>
      <c r="T1398" s="21">
        <f t="shared" si="156"/>
        <v>0</v>
      </c>
      <c r="U1398">
        <v>0</v>
      </c>
      <c r="V1398">
        <v>0</v>
      </c>
      <c r="W1398" s="21">
        <f t="shared" si="157"/>
        <v>0</v>
      </c>
      <c r="X1398">
        <v>0</v>
      </c>
      <c r="Y1398">
        <v>0</v>
      </c>
      <c r="Z1398" s="21">
        <f t="shared" si="158"/>
        <v>0</v>
      </c>
      <c r="AA1398">
        <v>0</v>
      </c>
      <c r="AB1398">
        <v>0</v>
      </c>
      <c r="AC1398" s="21">
        <f t="shared" si="159"/>
        <v>0</v>
      </c>
      <c r="AD1398">
        <v>0</v>
      </c>
      <c r="AE1398">
        <v>0</v>
      </c>
      <c r="AF1398" s="21">
        <f t="shared" si="162"/>
        <v>0</v>
      </c>
    </row>
    <row r="1399" spans="1:32" ht="15" customHeight="1" x14ac:dyDescent="0.3">
      <c r="A1399">
        <v>3</v>
      </c>
      <c r="B1399" s="2" t="s">
        <v>696</v>
      </c>
      <c r="C1399" s="4" t="s">
        <v>690</v>
      </c>
      <c r="D1399" s="3" t="s">
        <v>655</v>
      </c>
      <c r="E1399" s="6" t="s">
        <v>28</v>
      </c>
      <c r="F1399" s="6" t="s">
        <v>286</v>
      </c>
      <c r="G1399" s="6" t="s">
        <v>709</v>
      </c>
      <c r="H1399" s="23">
        <v>28000</v>
      </c>
      <c r="I1399">
        <v>0</v>
      </c>
      <c r="J1399">
        <v>0</v>
      </c>
      <c r="K1399" s="20">
        <f t="shared" si="160"/>
        <v>0</v>
      </c>
      <c r="L1399">
        <v>40</v>
      </c>
      <c r="M1399">
        <v>1</v>
      </c>
      <c r="N1399" s="21">
        <f t="shared" si="161"/>
        <v>1120000</v>
      </c>
      <c r="O1399">
        <v>0</v>
      </c>
      <c r="P1399">
        <v>0</v>
      </c>
      <c r="Q1399" s="21">
        <f t="shared" si="155"/>
        <v>0</v>
      </c>
      <c r="R1399">
        <v>0</v>
      </c>
      <c r="S1399">
        <v>0</v>
      </c>
      <c r="T1399" s="21">
        <f t="shared" si="156"/>
        <v>0</v>
      </c>
      <c r="U1399">
        <v>0</v>
      </c>
      <c r="V1399">
        <v>0</v>
      </c>
      <c r="W1399" s="21">
        <f t="shared" si="157"/>
        <v>0</v>
      </c>
      <c r="X1399">
        <v>0</v>
      </c>
      <c r="Y1399">
        <v>0</v>
      </c>
      <c r="Z1399" s="21">
        <f t="shared" si="158"/>
        <v>0</v>
      </c>
      <c r="AA1399">
        <v>0</v>
      </c>
      <c r="AB1399">
        <v>0</v>
      </c>
      <c r="AC1399" s="21">
        <f t="shared" si="159"/>
        <v>0</v>
      </c>
      <c r="AD1399">
        <v>0</v>
      </c>
      <c r="AE1399">
        <v>0</v>
      </c>
      <c r="AF1399" s="21">
        <f t="shared" si="162"/>
        <v>0</v>
      </c>
    </row>
    <row r="1400" spans="1:32" ht="15" customHeight="1" x14ac:dyDescent="0.3">
      <c r="A1400">
        <v>3</v>
      </c>
      <c r="B1400" s="2" t="s">
        <v>696</v>
      </c>
      <c r="C1400" s="4" t="s">
        <v>690</v>
      </c>
      <c r="D1400" s="3" t="s">
        <v>655</v>
      </c>
      <c r="E1400" s="6" t="s">
        <v>28</v>
      </c>
      <c r="F1400" s="6" t="s">
        <v>286</v>
      </c>
      <c r="G1400" s="6" t="s">
        <v>716</v>
      </c>
      <c r="H1400" s="23">
        <v>26000</v>
      </c>
      <c r="I1400">
        <v>0</v>
      </c>
      <c r="J1400">
        <v>0</v>
      </c>
      <c r="K1400" s="20">
        <f t="shared" si="160"/>
        <v>0</v>
      </c>
      <c r="L1400">
        <v>10</v>
      </c>
      <c r="M1400">
        <v>1</v>
      </c>
      <c r="N1400" s="21">
        <f t="shared" si="161"/>
        <v>260000</v>
      </c>
      <c r="O1400">
        <v>0</v>
      </c>
      <c r="P1400">
        <v>0</v>
      </c>
      <c r="Q1400" s="21">
        <f t="shared" si="155"/>
        <v>0</v>
      </c>
      <c r="R1400">
        <v>0</v>
      </c>
      <c r="S1400">
        <v>0</v>
      </c>
      <c r="T1400" s="21">
        <f t="shared" si="156"/>
        <v>0</v>
      </c>
      <c r="U1400">
        <v>0</v>
      </c>
      <c r="V1400">
        <v>0</v>
      </c>
      <c r="W1400" s="21">
        <f t="shared" si="157"/>
        <v>0</v>
      </c>
      <c r="X1400">
        <v>0</v>
      </c>
      <c r="Y1400">
        <v>0</v>
      </c>
      <c r="Z1400" s="21">
        <f t="shared" si="158"/>
        <v>0</v>
      </c>
      <c r="AA1400">
        <v>0</v>
      </c>
      <c r="AB1400">
        <v>0</v>
      </c>
      <c r="AC1400" s="21">
        <f t="shared" si="159"/>
        <v>0</v>
      </c>
      <c r="AD1400">
        <v>0</v>
      </c>
      <c r="AE1400">
        <v>0</v>
      </c>
      <c r="AF1400" s="21">
        <f t="shared" si="162"/>
        <v>0</v>
      </c>
    </row>
    <row r="1401" spans="1:32" ht="15" customHeight="1" x14ac:dyDescent="0.3">
      <c r="A1401">
        <v>3</v>
      </c>
      <c r="B1401" s="2" t="s">
        <v>696</v>
      </c>
      <c r="C1401" s="4" t="s">
        <v>690</v>
      </c>
      <c r="D1401" s="3" t="s">
        <v>655</v>
      </c>
      <c r="E1401" s="6" t="s">
        <v>28</v>
      </c>
      <c r="F1401" s="6" t="s">
        <v>286</v>
      </c>
      <c r="G1401" s="6" t="s">
        <v>712</v>
      </c>
      <c r="H1401" s="23">
        <v>214.29</v>
      </c>
      <c r="I1401">
        <v>0</v>
      </c>
      <c r="J1401">
        <v>0</v>
      </c>
      <c r="K1401" s="20">
        <f t="shared" si="160"/>
        <v>0</v>
      </c>
      <c r="L1401">
        <v>4000</v>
      </c>
      <c r="M1401">
        <v>1</v>
      </c>
      <c r="N1401" s="21">
        <f t="shared" si="161"/>
        <v>857160</v>
      </c>
      <c r="O1401">
        <v>0</v>
      </c>
      <c r="P1401">
        <v>0</v>
      </c>
      <c r="Q1401" s="21">
        <f t="shared" si="155"/>
        <v>0</v>
      </c>
      <c r="R1401">
        <v>0</v>
      </c>
      <c r="S1401">
        <v>0</v>
      </c>
      <c r="T1401" s="21">
        <f t="shared" si="156"/>
        <v>0</v>
      </c>
      <c r="U1401">
        <v>0</v>
      </c>
      <c r="V1401">
        <v>0</v>
      </c>
      <c r="W1401" s="21">
        <f t="shared" si="157"/>
        <v>0</v>
      </c>
      <c r="X1401">
        <v>0</v>
      </c>
      <c r="Y1401">
        <v>0</v>
      </c>
      <c r="Z1401" s="21">
        <f t="shared" si="158"/>
        <v>0</v>
      </c>
      <c r="AA1401">
        <v>0</v>
      </c>
      <c r="AB1401">
        <v>0</v>
      </c>
      <c r="AC1401" s="21">
        <f t="shared" si="159"/>
        <v>0</v>
      </c>
      <c r="AD1401">
        <v>0</v>
      </c>
      <c r="AE1401">
        <v>0</v>
      </c>
      <c r="AF1401" s="21">
        <f t="shared" si="162"/>
        <v>0</v>
      </c>
    </row>
    <row r="1402" spans="1:32" ht="15" customHeight="1" x14ac:dyDescent="0.3">
      <c r="A1402">
        <v>3</v>
      </c>
      <c r="B1402" s="2" t="s">
        <v>696</v>
      </c>
      <c r="C1402" s="4" t="s">
        <v>690</v>
      </c>
      <c r="D1402" s="3" t="s">
        <v>655</v>
      </c>
      <c r="E1402" s="6" t="s">
        <v>30</v>
      </c>
      <c r="F1402" s="6" t="s">
        <v>287</v>
      </c>
      <c r="G1402" s="6" t="s">
        <v>718</v>
      </c>
      <c r="H1402" s="23">
        <v>0</v>
      </c>
      <c r="I1402">
        <v>0</v>
      </c>
      <c r="J1402">
        <v>0</v>
      </c>
      <c r="K1402" s="20">
        <f t="shared" si="160"/>
        <v>0</v>
      </c>
      <c r="L1402">
        <v>0</v>
      </c>
      <c r="M1402">
        <v>0</v>
      </c>
      <c r="N1402" s="21">
        <f t="shared" si="161"/>
        <v>0</v>
      </c>
      <c r="O1402">
        <v>0</v>
      </c>
      <c r="P1402">
        <v>0</v>
      </c>
      <c r="Q1402" s="21">
        <f t="shared" si="155"/>
        <v>0</v>
      </c>
      <c r="R1402">
        <v>0</v>
      </c>
      <c r="S1402">
        <v>0</v>
      </c>
      <c r="T1402" s="21">
        <f t="shared" si="156"/>
        <v>0</v>
      </c>
      <c r="U1402">
        <v>0</v>
      </c>
      <c r="V1402">
        <v>0</v>
      </c>
      <c r="W1402" s="21">
        <f t="shared" si="157"/>
        <v>0</v>
      </c>
      <c r="X1402">
        <v>0</v>
      </c>
      <c r="Y1402">
        <v>0</v>
      </c>
      <c r="Z1402" s="21">
        <f t="shared" si="158"/>
        <v>0</v>
      </c>
      <c r="AA1402">
        <v>0</v>
      </c>
      <c r="AB1402">
        <v>0</v>
      </c>
      <c r="AC1402" s="21">
        <f t="shared" si="159"/>
        <v>0</v>
      </c>
      <c r="AD1402">
        <v>0</v>
      </c>
      <c r="AE1402">
        <v>0</v>
      </c>
      <c r="AF1402" s="21">
        <f t="shared" si="162"/>
        <v>0</v>
      </c>
    </row>
    <row r="1403" spans="1:32" ht="15" customHeight="1" x14ac:dyDescent="0.3">
      <c r="A1403">
        <v>3</v>
      </c>
      <c r="B1403" s="2" t="s">
        <v>696</v>
      </c>
      <c r="C1403" s="4" t="s">
        <v>690</v>
      </c>
      <c r="D1403" s="3" t="s">
        <v>655</v>
      </c>
      <c r="E1403" s="6" t="s">
        <v>30</v>
      </c>
      <c r="F1403" s="6" t="s">
        <v>288</v>
      </c>
      <c r="G1403" s="6" t="s">
        <v>718</v>
      </c>
      <c r="H1403" s="23">
        <v>0</v>
      </c>
      <c r="I1403">
        <v>0</v>
      </c>
      <c r="J1403">
        <v>0</v>
      </c>
      <c r="K1403" s="20">
        <f t="shared" si="160"/>
        <v>0</v>
      </c>
      <c r="L1403">
        <v>0</v>
      </c>
      <c r="M1403">
        <v>0</v>
      </c>
      <c r="N1403" s="21">
        <f t="shared" si="161"/>
        <v>0</v>
      </c>
      <c r="O1403">
        <v>0</v>
      </c>
      <c r="P1403">
        <v>0</v>
      </c>
      <c r="Q1403" s="21">
        <f t="shared" si="155"/>
        <v>0</v>
      </c>
      <c r="R1403">
        <v>0</v>
      </c>
      <c r="S1403">
        <v>0</v>
      </c>
      <c r="T1403" s="21">
        <f t="shared" si="156"/>
        <v>0</v>
      </c>
      <c r="U1403">
        <v>0</v>
      </c>
      <c r="V1403">
        <v>0</v>
      </c>
      <c r="W1403" s="21">
        <f t="shared" si="157"/>
        <v>0</v>
      </c>
      <c r="X1403">
        <v>0</v>
      </c>
      <c r="Y1403">
        <v>0</v>
      </c>
      <c r="Z1403" s="21">
        <f t="shared" si="158"/>
        <v>0</v>
      </c>
      <c r="AA1403">
        <v>0</v>
      </c>
      <c r="AB1403">
        <v>0</v>
      </c>
      <c r="AC1403" s="21">
        <f t="shared" si="159"/>
        <v>0</v>
      </c>
      <c r="AD1403">
        <v>0</v>
      </c>
      <c r="AE1403">
        <v>0</v>
      </c>
      <c r="AF1403" s="21">
        <f t="shared" si="162"/>
        <v>0</v>
      </c>
    </row>
    <row r="1404" spans="1:32" ht="15" customHeight="1" x14ac:dyDescent="0.3">
      <c r="A1404">
        <v>3</v>
      </c>
      <c r="B1404" s="2" t="s">
        <v>696</v>
      </c>
      <c r="C1404" s="4" t="s">
        <v>690</v>
      </c>
      <c r="D1404" s="3" t="s">
        <v>655</v>
      </c>
      <c r="E1404" s="6" t="s">
        <v>30</v>
      </c>
      <c r="F1404" s="6" t="s">
        <v>289</v>
      </c>
      <c r="G1404" s="6" t="s">
        <v>709</v>
      </c>
      <c r="H1404" s="23">
        <v>28000</v>
      </c>
      <c r="I1404">
        <v>0</v>
      </c>
      <c r="J1404">
        <v>0</v>
      </c>
      <c r="K1404" s="20">
        <f t="shared" si="160"/>
        <v>0</v>
      </c>
      <c r="L1404">
        <v>0</v>
      </c>
      <c r="M1404">
        <v>0</v>
      </c>
      <c r="N1404" s="21">
        <f t="shared" si="161"/>
        <v>0</v>
      </c>
      <c r="O1404">
        <v>40</v>
      </c>
      <c r="P1404">
        <v>5</v>
      </c>
      <c r="Q1404" s="21">
        <f t="shared" si="155"/>
        <v>5600000</v>
      </c>
      <c r="R1404">
        <v>40</v>
      </c>
      <c r="S1404">
        <v>5</v>
      </c>
      <c r="T1404" s="21">
        <f t="shared" si="156"/>
        <v>5600000</v>
      </c>
      <c r="U1404">
        <v>40</v>
      </c>
      <c r="V1404">
        <v>5</v>
      </c>
      <c r="W1404" s="21">
        <f t="shared" si="157"/>
        <v>5600000</v>
      </c>
      <c r="X1404">
        <v>0</v>
      </c>
      <c r="Y1404">
        <v>0</v>
      </c>
      <c r="Z1404" s="21">
        <f t="shared" si="158"/>
        <v>0</v>
      </c>
      <c r="AA1404">
        <v>0</v>
      </c>
      <c r="AB1404">
        <v>0</v>
      </c>
      <c r="AC1404" s="21">
        <f t="shared" si="159"/>
        <v>0</v>
      </c>
      <c r="AD1404">
        <v>0</v>
      </c>
      <c r="AE1404">
        <v>0</v>
      </c>
      <c r="AF1404" s="21">
        <f t="shared" si="162"/>
        <v>0</v>
      </c>
    </row>
    <row r="1405" spans="1:32" ht="15" customHeight="1" x14ac:dyDescent="0.3">
      <c r="A1405">
        <v>3</v>
      </c>
      <c r="B1405" s="2" t="s">
        <v>696</v>
      </c>
      <c r="C1405" s="4" t="s">
        <v>690</v>
      </c>
      <c r="D1405" s="3" t="s">
        <v>655</v>
      </c>
      <c r="E1405" s="6" t="s">
        <v>30</v>
      </c>
      <c r="F1405" s="6" t="s">
        <v>289</v>
      </c>
      <c r="G1405" s="6" t="s">
        <v>716</v>
      </c>
      <c r="H1405" s="23">
        <v>39000</v>
      </c>
      <c r="I1405">
        <v>0</v>
      </c>
      <c r="J1405">
        <v>0</v>
      </c>
      <c r="K1405" s="20">
        <f t="shared" si="160"/>
        <v>0</v>
      </c>
      <c r="L1405">
        <v>0</v>
      </c>
      <c r="M1405">
        <v>0</v>
      </c>
      <c r="N1405" s="21">
        <f t="shared" si="161"/>
        <v>0</v>
      </c>
      <c r="O1405">
        <v>20</v>
      </c>
      <c r="P1405">
        <v>5</v>
      </c>
      <c r="Q1405" s="21">
        <f t="shared" ref="Q1405:Q1468" si="163">H1405*O1405*P1405</f>
        <v>3900000</v>
      </c>
      <c r="R1405">
        <v>20</v>
      </c>
      <c r="S1405">
        <v>5</v>
      </c>
      <c r="T1405" s="21">
        <f t="shared" ref="T1405:T1468" si="164">H1405*R1405*S1405</f>
        <v>3900000</v>
      </c>
      <c r="U1405">
        <v>20</v>
      </c>
      <c r="V1405">
        <v>5</v>
      </c>
      <c r="W1405" s="21">
        <f t="shared" ref="W1405:W1468" si="165">H1405*U1405*V1405</f>
        <v>3900000</v>
      </c>
      <c r="X1405">
        <v>0</v>
      </c>
      <c r="Y1405">
        <v>0</v>
      </c>
      <c r="Z1405" s="21">
        <f t="shared" ref="Z1405:Z1468" si="166">H1405*X1405*Y1405</f>
        <v>0</v>
      </c>
      <c r="AA1405">
        <v>0</v>
      </c>
      <c r="AB1405">
        <v>0</v>
      </c>
      <c r="AC1405" s="21">
        <f t="shared" ref="AC1405:AC1468" si="167">H1405*AA1405*AB1405</f>
        <v>0</v>
      </c>
      <c r="AD1405">
        <v>0</v>
      </c>
      <c r="AE1405">
        <v>0</v>
      </c>
      <c r="AF1405" s="21">
        <f t="shared" si="162"/>
        <v>0</v>
      </c>
    </row>
    <row r="1406" spans="1:32" ht="15" customHeight="1" x14ac:dyDescent="0.3">
      <c r="A1406">
        <v>3</v>
      </c>
      <c r="B1406" s="2" t="s">
        <v>696</v>
      </c>
      <c r="C1406" s="4" t="s">
        <v>690</v>
      </c>
      <c r="D1406" s="3" t="s">
        <v>655</v>
      </c>
      <c r="E1406" s="6" t="s">
        <v>30</v>
      </c>
      <c r="F1406" s="6" t="s">
        <v>289</v>
      </c>
      <c r="G1406" s="6" t="s">
        <v>712</v>
      </c>
      <c r="H1406" s="23">
        <v>214.29</v>
      </c>
      <c r="I1406">
        <v>0</v>
      </c>
      <c r="J1406">
        <v>0</v>
      </c>
      <c r="K1406" s="20">
        <f t="shared" si="160"/>
        <v>0</v>
      </c>
      <c r="L1406">
        <v>0</v>
      </c>
      <c r="M1406">
        <v>0</v>
      </c>
      <c r="N1406" s="21">
        <f t="shared" si="161"/>
        <v>0</v>
      </c>
      <c r="O1406">
        <v>20000</v>
      </c>
      <c r="P1406">
        <v>1</v>
      </c>
      <c r="Q1406" s="21">
        <f t="shared" si="163"/>
        <v>4285800</v>
      </c>
      <c r="R1406">
        <v>20000</v>
      </c>
      <c r="S1406">
        <v>1</v>
      </c>
      <c r="T1406" s="21">
        <f t="shared" si="164"/>
        <v>4285800</v>
      </c>
      <c r="U1406">
        <v>20000</v>
      </c>
      <c r="V1406">
        <v>1</v>
      </c>
      <c r="W1406" s="21">
        <f t="shared" si="165"/>
        <v>4285800</v>
      </c>
      <c r="X1406">
        <v>0</v>
      </c>
      <c r="Y1406">
        <v>0</v>
      </c>
      <c r="Z1406" s="21">
        <f t="shared" si="166"/>
        <v>0</v>
      </c>
      <c r="AA1406">
        <v>0</v>
      </c>
      <c r="AB1406">
        <v>0</v>
      </c>
      <c r="AC1406" s="21">
        <f t="shared" si="167"/>
        <v>0</v>
      </c>
      <c r="AD1406">
        <v>0</v>
      </c>
      <c r="AE1406">
        <v>0</v>
      </c>
      <c r="AF1406" s="21">
        <f t="shared" si="162"/>
        <v>0</v>
      </c>
    </row>
    <row r="1407" spans="1:32" ht="15" customHeight="1" x14ac:dyDescent="0.3">
      <c r="A1407">
        <v>3</v>
      </c>
      <c r="B1407" s="2" t="s">
        <v>696</v>
      </c>
      <c r="C1407" s="4" t="s">
        <v>690</v>
      </c>
      <c r="D1407" s="3" t="s">
        <v>656</v>
      </c>
      <c r="E1407" s="6" t="s">
        <v>31</v>
      </c>
      <c r="F1407" s="6" t="s">
        <v>290</v>
      </c>
      <c r="G1407" s="6" t="s">
        <v>718</v>
      </c>
      <c r="H1407" s="23">
        <v>0</v>
      </c>
      <c r="I1407">
        <v>0</v>
      </c>
      <c r="J1407">
        <v>0</v>
      </c>
      <c r="K1407" s="20">
        <f t="shared" si="160"/>
        <v>0</v>
      </c>
      <c r="L1407">
        <v>0</v>
      </c>
      <c r="M1407">
        <v>0</v>
      </c>
      <c r="N1407" s="21">
        <f t="shared" si="161"/>
        <v>0</v>
      </c>
      <c r="O1407">
        <v>0</v>
      </c>
      <c r="P1407">
        <v>0</v>
      </c>
      <c r="Q1407" s="21">
        <f t="shared" si="163"/>
        <v>0</v>
      </c>
      <c r="R1407">
        <v>0</v>
      </c>
      <c r="S1407">
        <v>0</v>
      </c>
      <c r="T1407" s="21">
        <f t="shared" si="164"/>
        <v>0</v>
      </c>
      <c r="U1407">
        <v>0</v>
      </c>
      <c r="V1407">
        <v>0</v>
      </c>
      <c r="W1407" s="21">
        <f t="shared" si="165"/>
        <v>0</v>
      </c>
      <c r="X1407">
        <v>0</v>
      </c>
      <c r="Y1407">
        <v>0</v>
      </c>
      <c r="Z1407" s="21">
        <f t="shared" si="166"/>
        <v>0</v>
      </c>
      <c r="AA1407">
        <v>0</v>
      </c>
      <c r="AB1407">
        <v>0</v>
      </c>
      <c r="AC1407" s="21">
        <f t="shared" si="167"/>
        <v>0</v>
      </c>
      <c r="AD1407">
        <v>0</v>
      </c>
      <c r="AE1407">
        <v>0</v>
      </c>
      <c r="AF1407" s="21">
        <f t="shared" si="162"/>
        <v>0</v>
      </c>
    </row>
    <row r="1408" spans="1:32" ht="15" customHeight="1" x14ac:dyDescent="0.3">
      <c r="A1408">
        <v>3</v>
      </c>
      <c r="B1408" s="2" t="s">
        <v>696</v>
      </c>
      <c r="C1408" s="4" t="s">
        <v>690</v>
      </c>
      <c r="D1408" s="3" t="s">
        <v>656</v>
      </c>
      <c r="E1408" s="6" t="s">
        <v>31</v>
      </c>
      <c r="F1408" s="6" t="s">
        <v>291</v>
      </c>
      <c r="G1408" s="6" t="s">
        <v>718</v>
      </c>
      <c r="H1408" s="23">
        <v>0</v>
      </c>
      <c r="I1408">
        <v>0</v>
      </c>
      <c r="J1408">
        <v>0</v>
      </c>
      <c r="K1408" s="20">
        <f t="shared" si="160"/>
        <v>0</v>
      </c>
      <c r="L1408">
        <v>0</v>
      </c>
      <c r="M1408">
        <v>0</v>
      </c>
      <c r="N1408" s="21">
        <f t="shared" si="161"/>
        <v>0</v>
      </c>
      <c r="O1408">
        <v>0</v>
      </c>
      <c r="P1408">
        <v>0</v>
      </c>
      <c r="Q1408" s="21">
        <f t="shared" si="163"/>
        <v>0</v>
      </c>
      <c r="R1408">
        <v>0</v>
      </c>
      <c r="S1408">
        <v>0</v>
      </c>
      <c r="T1408" s="21">
        <f t="shared" si="164"/>
        <v>0</v>
      </c>
      <c r="U1408">
        <v>0</v>
      </c>
      <c r="V1408">
        <v>0</v>
      </c>
      <c r="W1408" s="21">
        <f t="shared" si="165"/>
        <v>0</v>
      </c>
      <c r="X1408">
        <v>0</v>
      </c>
      <c r="Y1408">
        <v>0</v>
      </c>
      <c r="Z1408" s="21">
        <f t="shared" si="166"/>
        <v>0</v>
      </c>
      <c r="AA1408">
        <v>0</v>
      </c>
      <c r="AB1408">
        <v>0</v>
      </c>
      <c r="AC1408" s="21">
        <f t="shared" si="167"/>
        <v>0</v>
      </c>
      <c r="AD1408">
        <v>0</v>
      </c>
      <c r="AE1408">
        <v>0</v>
      </c>
      <c r="AF1408" s="21">
        <f t="shared" si="162"/>
        <v>0</v>
      </c>
    </row>
    <row r="1409" spans="1:32" ht="15" customHeight="1" x14ac:dyDescent="0.3">
      <c r="A1409">
        <v>3</v>
      </c>
      <c r="B1409" s="2" t="s">
        <v>696</v>
      </c>
      <c r="C1409" s="4" t="s">
        <v>690</v>
      </c>
      <c r="D1409" s="3" t="s">
        <v>656</v>
      </c>
      <c r="E1409" s="6" t="s">
        <v>31</v>
      </c>
      <c r="F1409" s="6" t="s">
        <v>292</v>
      </c>
      <c r="G1409" s="6" t="s">
        <v>709</v>
      </c>
      <c r="H1409" s="23">
        <v>28000</v>
      </c>
      <c r="I1409">
        <v>0</v>
      </c>
      <c r="J1409">
        <v>0</v>
      </c>
      <c r="K1409" s="20">
        <f t="shared" si="160"/>
        <v>0</v>
      </c>
      <c r="L1409">
        <v>0</v>
      </c>
      <c r="M1409">
        <v>0</v>
      </c>
      <c r="N1409" s="21">
        <f t="shared" si="161"/>
        <v>0</v>
      </c>
      <c r="O1409">
        <v>15</v>
      </c>
      <c r="P1409">
        <v>1</v>
      </c>
      <c r="Q1409" s="21">
        <f t="shared" si="163"/>
        <v>420000</v>
      </c>
      <c r="R1409">
        <v>0</v>
      </c>
      <c r="S1409">
        <v>0</v>
      </c>
      <c r="T1409" s="21">
        <f t="shared" si="164"/>
        <v>0</v>
      </c>
      <c r="U1409">
        <v>0</v>
      </c>
      <c r="V1409">
        <v>0</v>
      </c>
      <c r="W1409" s="21">
        <f t="shared" si="165"/>
        <v>0</v>
      </c>
      <c r="X1409">
        <v>0</v>
      </c>
      <c r="Y1409">
        <v>0</v>
      </c>
      <c r="Z1409" s="21">
        <f t="shared" si="166"/>
        <v>0</v>
      </c>
      <c r="AA1409">
        <v>0</v>
      </c>
      <c r="AB1409">
        <v>0</v>
      </c>
      <c r="AC1409" s="21">
        <f t="shared" si="167"/>
        <v>0</v>
      </c>
      <c r="AD1409">
        <v>0</v>
      </c>
      <c r="AE1409">
        <v>0</v>
      </c>
      <c r="AF1409" s="21">
        <f t="shared" si="162"/>
        <v>0</v>
      </c>
    </row>
    <row r="1410" spans="1:32" ht="15" customHeight="1" x14ac:dyDescent="0.3">
      <c r="A1410">
        <v>3</v>
      </c>
      <c r="B1410" s="2" t="s">
        <v>696</v>
      </c>
      <c r="C1410" s="4" t="s">
        <v>690</v>
      </c>
      <c r="D1410" s="3" t="s">
        <v>656</v>
      </c>
      <c r="E1410" s="6" t="s">
        <v>31</v>
      </c>
      <c r="F1410" s="6" t="s">
        <v>293</v>
      </c>
      <c r="G1410" s="6" t="s">
        <v>709</v>
      </c>
      <c r="H1410" s="23">
        <v>28000</v>
      </c>
      <c r="I1410">
        <v>0</v>
      </c>
      <c r="J1410">
        <v>0</v>
      </c>
      <c r="K1410" s="20">
        <f t="shared" si="160"/>
        <v>0</v>
      </c>
      <c r="L1410">
        <v>0</v>
      </c>
      <c r="M1410">
        <v>0</v>
      </c>
      <c r="N1410" s="21">
        <f t="shared" si="161"/>
        <v>0</v>
      </c>
      <c r="O1410">
        <v>20</v>
      </c>
      <c r="P1410">
        <v>5</v>
      </c>
      <c r="Q1410" s="21">
        <f t="shared" si="163"/>
        <v>2800000</v>
      </c>
      <c r="R1410">
        <v>0</v>
      </c>
      <c r="S1410">
        <v>0</v>
      </c>
      <c r="T1410" s="21">
        <f t="shared" si="164"/>
        <v>0</v>
      </c>
      <c r="U1410">
        <v>0</v>
      </c>
      <c r="V1410">
        <v>0</v>
      </c>
      <c r="W1410" s="21">
        <f t="shared" si="165"/>
        <v>0</v>
      </c>
      <c r="X1410">
        <v>0</v>
      </c>
      <c r="Y1410">
        <v>0</v>
      </c>
      <c r="Z1410" s="21">
        <f t="shared" si="166"/>
        <v>0</v>
      </c>
      <c r="AA1410">
        <v>0</v>
      </c>
      <c r="AB1410">
        <v>0</v>
      </c>
      <c r="AC1410" s="21">
        <f t="shared" si="167"/>
        <v>0</v>
      </c>
      <c r="AD1410">
        <v>0</v>
      </c>
      <c r="AE1410">
        <v>0</v>
      </c>
      <c r="AF1410" s="21">
        <f t="shared" si="162"/>
        <v>0</v>
      </c>
    </row>
    <row r="1411" spans="1:32" ht="15" customHeight="1" x14ac:dyDescent="0.3">
      <c r="A1411">
        <v>3</v>
      </c>
      <c r="B1411" s="2" t="s">
        <v>696</v>
      </c>
      <c r="C1411" s="4" t="s">
        <v>690</v>
      </c>
      <c r="D1411" s="3" t="s">
        <v>656</v>
      </c>
      <c r="E1411" s="6" t="s">
        <v>31</v>
      </c>
      <c r="F1411" s="6" t="s">
        <v>293</v>
      </c>
      <c r="G1411" s="6" t="s">
        <v>716</v>
      </c>
      <c r="H1411" s="23">
        <v>39000</v>
      </c>
      <c r="I1411">
        <v>0</v>
      </c>
      <c r="J1411">
        <v>0</v>
      </c>
      <c r="K1411" s="20">
        <f t="shared" si="160"/>
        <v>0</v>
      </c>
      <c r="L1411">
        <v>0</v>
      </c>
      <c r="M1411">
        <v>0</v>
      </c>
      <c r="N1411" s="21">
        <f t="shared" si="161"/>
        <v>0</v>
      </c>
      <c r="O1411">
        <v>20</v>
      </c>
      <c r="P1411">
        <v>5</v>
      </c>
      <c r="Q1411" s="21">
        <f t="shared" si="163"/>
        <v>3900000</v>
      </c>
      <c r="R1411">
        <v>0</v>
      </c>
      <c r="S1411">
        <v>0</v>
      </c>
      <c r="T1411" s="21">
        <f t="shared" si="164"/>
        <v>0</v>
      </c>
      <c r="U1411">
        <v>0</v>
      </c>
      <c r="V1411">
        <v>0</v>
      </c>
      <c r="W1411" s="21">
        <f t="shared" si="165"/>
        <v>0</v>
      </c>
      <c r="X1411">
        <v>0</v>
      </c>
      <c r="Y1411">
        <v>0</v>
      </c>
      <c r="Z1411" s="21">
        <f t="shared" si="166"/>
        <v>0</v>
      </c>
      <c r="AA1411">
        <v>0</v>
      </c>
      <c r="AB1411">
        <v>0</v>
      </c>
      <c r="AC1411" s="21">
        <f t="shared" si="167"/>
        <v>0</v>
      </c>
      <c r="AD1411">
        <v>0</v>
      </c>
      <c r="AE1411">
        <v>0</v>
      </c>
      <c r="AF1411" s="21">
        <f t="shared" si="162"/>
        <v>0</v>
      </c>
    </row>
    <row r="1412" spans="1:32" ht="15" customHeight="1" x14ac:dyDescent="0.3">
      <c r="A1412">
        <v>3</v>
      </c>
      <c r="B1412" s="2" t="s">
        <v>696</v>
      </c>
      <c r="C1412" s="4" t="s">
        <v>690</v>
      </c>
      <c r="D1412" s="3" t="s">
        <v>656</v>
      </c>
      <c r="E1412" s="6" t="s">
        <v>31</v>
      </c>
      <c r="F1412" s="6" t="s">
        <v>293</v>
      </c>
      <c r="G1412" s="6" t="s">
        <v>712</v>
      </c>
      <c r="H1412" s="23">
        <v>214.29</v>
      </c>
      <c r="I1412">
        <v>0</v>
      </c>
      <c r="J1412">
        <v>0</v>
      </c>
      <c r="K1412" s="20">
        <f t="shared" si="160"/>
        <v>0</v>
      </c>
      <c r="L1412">
        <v>0</v>
      </c>
      <c r="M1412">
        <v>0</v>
      </c>
      <c r="N1412" s="21">
        <f t="shared" si="161"/>
        <v>0</v>
      </c>
      <c r="O1412">
        <v>4000</v>
      </c>
      <c r="P1412">
        <v>1</v>
      </c>
      <c r="Q1412" s="21">
        <f t="shared" si="163"/>
        <v>857160</v>
      </c>
      <c r="R1412">
        <v>0</v>
      </c>
      <c r="S1412">
        <v>0</v>
      </c>
      <c r="T1412" s="21">
        <f t="shared" si="164"/>
        <v>0</v>
      </c>
      <c r="U1412">
        <v>0</v>
      </c>
      <c r="V1412">
        <v>0</v>
      </c>
      <c r="W1412" s="21">
        <f t="shared" si="165"/>
        <v>0</v>
      </c>
      <c r="X1412">
        <v>0</v>
      </c>
      <c r="Y1412">
        <v>0</v>
      </c>
      <c r="Z1412" s="21">
        <f t="shared" si="166"/>
        <v>0</v>
      </c>
      <c r="AA1412">
        <v>0</v>
      </c>
      <c r="AB1412">
        <v>0</v>
      </c>
      <c r="AC1412" s="21">
        <f t="shared" si="167"/>
        <v>0</v>
      </c>
      <c r="AD1412">
        <v>0</v>
      </c>
      <c r="AE1412">
        <v>0</v>
      </c>
      <c r="AF1412" s="21">
        <f t="shared" si="162"/>
        <v>0</v>
      </c>
    </row>
    <row r="1413" spans="1:32" ht="15" customHeight="1" x14ac:dyDescent="0.3">
      <c r="A1413">
        <v>3</v>
      </c>
      <c r="B1413" s="2" t="s">
        <v>696</v>
      </c>
      <c r="C1413" s="4" t="s">
        <v>690</v>
      </c>
      <c r="D1413" s="3" t="s">
        <v>656</v>
      </c>
      <c r="E1413" s="6" t="s">
        <v>32</v>
      </c>
      <c r="F1413" s="6" t="s">
        <v>294</v>
      </c>
      <c r="G1413" s="6" t="s">
        <v>709</v>
      </c>
      <c r="H1413" s="23">
        <v>28000</v>
      </c>
      <c r="I1413">
        <v>0</v>
      </c>
      <c r="J1413">
        <v>0</v>
      </c>
      <c r="K1413" s="20">
        <f t="shared" si="160"/>
        <v>0</v>
      </c>
      <c r="L1413">
        <v>0</v>
      </c>
      <c r="M1413">
        <v>0</v>
      </c>
      <c r="N1413" s="21">
        <f t="shared" si="161"/>
        <v>0</v>
      </c>
      <c r="O1413">
        <v>30</v>
      </c>
      <c r="P1413">
        <v>150</v>
      </c>
      <c r="Q1413" s="21">
        <f t="shared" si="163"/>
        <v>126000000</v>
      </c>
      <c r="R1413">
        <v>0</v>
      </c>
      <c r="S1413">
        <v>0</v>
      </c>
      <c r="T1413" s="21">
        <f t="shared" si="164"/>
        <v>0</v>
      </c>
      <c r="U1413">
        <v>0</v>
      </c>
      <c r="V1413">
        <v>0</v>
      </c>
      <c r="W1413" s="21">
        <f t="shared" si="165"/>
        <v>0</v>
      </c>
      <c r="X1413">
        <v>0</v>
      </c>
      <c r="Y1413">
        <v>0</v>
      </c>
      <c r="Z1413" s="21">
        <f t="shared" si="166"/>
        <v>0</v>
      </c>
      <c r="AA1413">
        <v>0</v>
      </c>
      <c r="AB1413">
        <v>0</v>
      </c>
      <c r="AC1413" s="21">
        <f t="shared" si="167"/>
        <v>0</v>
      </c>
      <c r="AD1413">
        <v>0</v>
      </c>
      <c r="AE1413">
        <v>0</v>
      </c>
      <c r="AF1413" s="21">
        <f t="shared" si="162"/>
        <v>0</v>
      </c>
    </row>
    <row r="1414" spans="1:32" ht="15" customHeight="1" x14ac:dyDescent="0.3">
      <c r="A1414">
        <v>3</v>
      </c>
      <c r="B1414" s="2" t="s">
        <v>696</v>
      </c>
      <c r="C1414" s="4" t="s">
        <v>690</v>
      </c>
      <c r="D1414" s="3" t="s">
        <v>656</v>
      </c>
      <c r="E1414" s="6" t="s">
        <v>32</v>
      </c>
      <c r="F1414" s="6" t="s">
        <v>294</v>
      </c>
      <c r="G1414" s="6" t="s">
        <v>716</v>
      </c>
      <c r="H1414" s="23">
        <v>39000</v>
      </c>
      <c r="I1414">
        <v>0</v>
      </c>
      <c r="J1414">
        <v>0</v>
      </c>
      <c r="K1414" s="20">
        <f t="shared" ref="K1414:K1477" si="168">H1414*I1414*J1414</f>
        <v>0</v>
      </c>
      <c r="L1414">
        <v>0</v>
      </c>
      <c r="M1414">
        <v>0</v>
      </c>
      <c r="N1414" s="21">
        <f t="shared" ref="N1414:N1477" si="169">H1414*L1414*M1414</f>
        <v>0</v>
      </c>
      <c r="O1414">
        <v>30</v>
      </c>
      <c r="P1414">
        <v>150</v>
      </c>
      <c r="Q1414" s="21">
        <f t="shared" si="163"/>
        <v>175500000</v>
      </c>
      <c r="R1414">
        <v>0</v>
      </c>
      <c r="S1414">
        <v>0</v>
      </c>
      <c r="T1414" s="21">
        <f t="shared" si="164"/>
        <v>0</v>
      </c>
      <c r="U1414">
        <v>0</v>
      </c>
      <c r="V1414">
        <v>0</v>
      </c>
      <c r="W1414" s="21">
        <f t="shared" si="165"/>
        <v>0</v>
      </c>
      <c r="X1414">
        <v>0</v>
      </c>
      <c r="Y1414">
        <v>0</v>
      </c>
      <c r="Z1414" s="21">
        <f t="shared" si="166"/>
        <v>0</v>
      </c>
      <c r="AA1414">
        <v>0</v>
      </c>
      <c r="AB1414">
        <v>0</v>
      </c>
      <c r="AC1414" s="21">
        <f t="shared" si="167"/>
        <v>0</v>
      </c>
      <c r="AD1414">
        <v>0</v>
      </c>
      <c r="AE1414">
        <v>0</v>
      </c>
      <c r="AF1414" s="21">
        <f t="shared" ref="AF1414:AF1477" si="170">H1414*AD1414*AE1414</f>
        <v>0</v>
      </c>
    </row>
    <row r="1415" spans="1:32" ht="15" customHeight="1" x14ac:dyDescent="0.3">
      <c r="A1415">
        <v>3</v>
      </c>
      <c r="B1415" s="2" t="s">
        <v>696</v>
      </c>
      <c r="C1415" s="4" t="s">
        <v>690</v>
      </c>
      <c r="D1415" s="3" t="s">
        <v>656</v>
      </c>
      <c r="E1415" s="6" t="s">
        <v>32</v>
      </c>
      <c r="F1415" s="6" t="s">
        <v>294</v>
      </c>
      <c r="G1415" s="6" t="s">
        <v>712</v>
      </c>
      <c r="H1415" s="23">
        <v>214.29</v>
      </c>
      <c r="I1415">
        <v>0</v>
      </c>
      <c r="J1415">
        <v>0</v>
      </c>
      <c r="K1415" s="20">
        <f t="shared" si="168"/>
        <v>0</v>
      </c>
      <c r="L1415">
        <v>0</v>
      </c>
      <c r="M1415">
        <v>0</v>
      </c>
      <c r="N1415" s="21">
        <f t="shared" si="169"/>
        <v>0</v>
      </c>
      <c r="O1415">
        <v>8000</v>
      </c>
      <c r="P1415">
        <v>5</v>
      </c>
      <c r="Q1415" s="21">
        <f t="shared" si="163"/>
        <v>8571600</v>
      </c>
      <c r="R1415">
        <v>0</v>
      </c>
      <c r="S1415">
        <v>0</v>
      </c>
      <c r="T1415" s="21">
        <f t="shared" si="164"/>
        <v>0</v>
      </c>
      <c r="U1415">
        <v>0</v>
      </c>
      <c r="V1415">
        <v>0</v>
      </c>
      <c r="W1415" s="21">
        <f t="shared" si="165"/>
        <v>0</v>
      </c>
      <c r="X1415">
        <v>0</v>
      </c>
      <c r="Y1415">
        <v>0</v>
      </c>
      <c r="Z1415" s="21">
        <f t="shared" si="166"/>
        <v>0</v>
      </c>
      <c r="AA1415">
        <v>0</v>
      </c>
      <c r="AB1415">
        <v>0</v>
      </c>
      <c r="AC1415" s="21">
        <f t="shared" si="167"/>
        <v>0</v>
      </c>
      <c r="AD1415">
        <v>0</v>
      </c>
      <c r="AE1415">
        <v>0</v>
      </c>
      <c r="AF1415" s="21">
        <f t="shared" si="170"/>
        <v>0</v>
      </c>
    </row>
    <row r="1416" spans="1:32" ht="15" customHeight="1" x14ac:dyDescent="0.3">
      <c r="A1416">
        <v>3</v>
      </c>
      <c r="B1416" s="2" t="s">
        <v>696</v>
      </c>
      <c r="C1416" s="4" t="s">
        <v>690</v>
      </c>
      <c r="D1416" s="3" t="s">
        <v>656</v>
      </c>
      <c r="E1416" s="6" t="s">
        <v>32</v>
      </c>
      <c r="F1416" s="6" t="s">
        <v>295</v>
      </c>
      <c r="G1416" s="6" t="s">
        <v>709</v>
      </c>
      <c r="H1416" s="23">
        <v>28000</v>
      </c>
      <c r="I1416">
        <v>0</v>
      </c>
      <c r="J1416">
        <v>0</v>
      </c>
      <c r="K1416" s="20">
        <f t="shared" si="168"/>
        <v>0</v>
      </c>
      <c r="L1416">
        <v>0</v>
      </c>
      <c r="M1416">
        <v>0</v>
      </c>
      <c r="N1416" s="21">
        <f t="shared" si="169"/>
        <v>0</v>
      </c>
      <c r="O1416">
        <v>40</v>
      </c>
      <c r="P1416">
        <v>1</v>
      </c>
      <c r="Q1416" s="21">
        <f t="shared" si="163"/>
        <v>1120000</v>
      </c>
      <c r="R1416">
        <v>0</v>
      </c>
      <c r="S1416">
        <v>0</v>
      </c>
      <c r="T1416" s="21">
        <f t="shared" si="164"/>
        <v>0</v>
      </c>
      <c r="U1416">
        <v>0</v>
      </c>
      <c r="V1416">
        <v>0</v>
      </c>
      <c r="W1416" s="21">
        <f t="shared" si="165"/>
        <v>0</v>
      </c>
      <c r="X1416">
        <v>0</v>
      </c>
      <c r="Y1416">
        <v>0</v>
      </c>
      <c r="Z1416" s="21">
        <f t="shared" si="166"/>
        <v>0</v>
      </c>
      <c r="AA1416">
        <v>0</v>
      </c>
      <c r="AB1416">
        <v>0</v>
      </c>
      <c r="AC1416" s="21">
        <f t="shared" si="167"/>
        <v>0</v>
      </c>
      <c r="AD1416">
        <v>0</v>
      </c>
      <c r="AE1416">
        <v>0</v>
      </c>
      <c r="AF1416" s="21">
        <f t="shared" si="170"/>
        <v>0</v>
      </c>
    </row>
    <row r="1417" spans="1:32" ht="15" customHeight="1" x14ac:dyDescent="0.3">
      <c r="A1417">
        <v>3</v>
      </c>
      <c r="B1417" s="2" t="s">
        <v>696</v>
      </c>
      <c r="C1417" s="4" t="s">
        <v>690</v>
      </c>
      <c r="D1417" s="3" t="s">
        <v>656</v>
      </c>
      <c r="E1417" s="6" t="s">
        <v>32</v>
      </c>
      <c r="F1417" s="6" t="s">
        <v>295</v>
      </c>
      <c r="G1417" s="6" t="s">
        <v>716</v>
      </c>
      <c r="H1417" s="23">
        <v>39000</v>
      </c>
      <c r="I1417">
        <v>0</v>
      </c>
      <c r="J1417">
        <v>0</v>
      </c>
      <c r="K1417" s="20">
        <f t="shared" si="168"/>
        <v>0</v>
      </c>
      <c r="L1417">
        <v>0</v>
      </c>
      <c r="M1417">
        <v>0</v>
      </c>
      <c r="N1417" s="21">
        <f t="shared" si="169"/>
        <v>0</v>
      </c>
      <c r="O1417">
        <v>10</v>
      </c>
      <c r="P1417">
        <v>1</v>
      </c>
      <c r="Q1417" s="21">
        <f t="shared" si="163"/>
        <v>390000</v>
      </c>
      <c r="R1417">
        <v>0</v>
      </c>
      <c r="S1417">
        <v>0</v>
      </c>
      <c r="T1417" s="21">
        <f t="shared" si="164"/>
        <v>0</v>
      </c>
      <c r="U1417">
        <v>0</v>
      </c>
      <c r="V1417">
        <v>0</v>
      </c>
      <c r="W1417" s="21">
        <f t="shared" si="165"/>
        <v>0</v>
      </c>
      <c r="X1417">
        <v>0</v>
      </c>
      <c r="Y1417">
        <v>0</v>
      </c>
      <c r="Z1417" s="21">
        <f t="shared" si="166"/>
        <v>0</v>
      </c>
      <c r="AA1417">
        <v>0</v>
      </c>
      <c r="AB1417">
        <v>0</v>
      </c>
      <c r="AC1417" s="21">
        <f t="shared" si="167"/>
        <v>0</v>
      </c>
      <c r="AD1417">
        <v>0</v>
      </c>
      <c r="AE1417">
        <v>0</v>
      </c>
      <c r="AF1417" s="21">
        <f t="shared" si="170"/>
        <v>0</v>
      </c>
    </row>
    <row r="1418" spans="1:32" ht="15" customHeight="1" x14ac:dyDescent="0.3">
      <c r="A1418">
        <v>3</v>
      </c>
      <c r="B1418" s="2" t="s">
        <v>696</v>
      </c>
      <c r="C1418" s="4" t="s">
        <v>690</v>
      </c>
      <c r="D1418" s="3" t="s">
        <v>656</v>
      </c>
      <c r="E1418" s="6" t="s">
        <v>32</v>
      </c>
      <c r="F1418" s="6" t="s">
        <v>295</v>
      </c>
      <c r="G1418" s="6" t="s">
        <v>712</v>
      </c>
      <c r="H1418" s="23">
        <v>214.29</v>
      </c>
      <c r="I1418">
        <v>0</v>
      </c>
      <c r="J1418">
        <v>0</v>
      </c>
      <c r="K1418" s="20">
        <f t="shared" si="168"/>
        <v>0</v>
      </c>
      <c r="L1418">
        <v>0</v>
      </c>
      <c r="M1418">
        <v>0</v>
      </c>
      <c r="N1418" s="21">
        <f t="shared" si="169"/>
        <v>0</v>
      </c>
      <c r="O1418">
        <v>15000</v>
      </c>
      <c r="P1418">
        <v>1</v>
      </c>
      <c r="Q1418" s="21">
        <f t="shared" si="163"/>
        <v>3214350</v>
      </c>
      <c r="R1418">
        <v>0</v>
      </c>
      <c r="S1418">
        <v>0</v>
      </c>
      <c r="T1418" s="21">
        <f t="shared" si="164"/>
        <v>0</v>
      </c>
      <c r="U1418">
        <v>0</v>
      </c>
      <c r="V1418">
        <v>0</v>
      </c>
      <c r="W1418" s="21">
        <f t="shared" si="165"/>
        <v>0</v>
      </c>
      <c r="X1418">
        <v>0</v>
      </c>
      <c r="Y1418">
        <v>0</v>
      </c>
      <c r="Z1418" s="21">
        <f t="shared" si="166"/>
        <v>0</v>
      </c>
      <c r="AA1418">
        <v>0</v>
      </c>
      <c r="AB1418">
        <v>0</v>
      </c>
      <c r="AC1418" s="21">
        <f t="shared" si="167"/>
        <v>0</v>
      </c>
      <c r="AD1418">
        <v>0</v>
      </c>
      <c r="AE1418">
        <v>0</v>
      </c>
      <c r="AF1418" s="21">
        <f t="shared" si="170"/>
        <v>0</v>
      </c>
    </row>
    <row r="1419" spans="1:32" ht="15" customHeight="1" x14ac:dyDescent="0.3">
      <c r="A1419">
        <v>3</v>
      </c>
      <c r="B1419" s="2" t="s">
        <v>696</v>
      </c>
      <c r="C1419" s="4" t="s">
        <v>690</v>
      </c>
      <c r="D1419" s="3" t="s">
        <v>656</v>
      </c>
      <c r="E1419" s="6" t="s">
        <v>32</v>
      </c>
      <c r="F1419" s="6" t="s">
        <v>166</v>
      </c>
      <c r="G1419" s="6" t="s">
        <v>709</v>
      </c>
      <c r="H1419" s="23">
        <v>28000</v>
      </c>
      <c r="I1419">
        <v>0</v>
      </c>
      <c r="J1419">
        <v>0</v>
      </c>
      <c r="K1419" s="20">
        <f t="shared" si="168"/>
        <v>0</v>
      </c>
      <c r="L1419">
        <v>0</v>
      </c>
      <c r="M1419">
        <v>0</v>
      </c>
      <c r="N1419" s="21">
        <f t="shared" si="169"/>
        <v>0</v>
      </c>
      <c r="O1419">
        <v>20</v>
      </c>
      <c r="P1419">
        <v>1</v>
      </c>
      <c r="Q1419" s="21">
        <f t="shared" si="163"/>
        <v>560000</v>
      </c>
      <c r="R1419">
        <v>0</v>
      </c>
      <c r="S1419">
        <v>0</v>
      </c>
      <c r="T1419" s="21">
        <f t="shared" si="164"/>
        <v>0</v>
      </c>
      <c r="U1419">
        <v>0</v>
      </c>
      <c r="V1419">
        <v>0</v>
      </c>
      <c r="W1419" s="21">
        <f t="shared" si="165"/>
        <v>0</v>
      </c>
      <c r="X1419">
        <v>0</v>
      </c>
      <c r="Y1419">
        <v>0</v>
      </c>
      <c r="Z1419" s="21">
        <f t="shared" si="166"/>
        <v>0</v>
      </c>
      <c r="AA1419">
        <v>0</v>
      </c>
      <c r="AB1419">
        <v>0</v>
      </c>
      <c r="AC1419" s="21">
        <f t="shared" si="167"/>
        <v>0</v>
      </c>
      <c r="AD1419">
        <v>0</v>
      </c>
      <c r="AE1419">
        <v>0</v>
      </c>
      <c r="AF1419" s="21">
        <f t="shared" si="170"/>
        <v>0</v>
      </c>
    </row>
    <row r="1420" spans="1:32" ht="15" customHeight="1" x14ac:dyDescent="0.3">
      <c r="A1420">
        <v>3</v>
      </c>
      <c r="B1420" s="2" t="s">
        <v>696</v>
      </c>
      <c r="C1420" s="4" t="s">
        <v>690</v>
      </c>
      <c r="D1420" s="3" t="s">
        <v>656</v>
      </c>
      <c r="E1420" s="6" t="s">
        <v>32</v>
      </c>
      <c r="F1420" s="6" t="s">
        <v>296</v>
      </c>
      <c r="G1420" s="6" t="s">
        <v>709</v>
      </c>
      <c r="H1420" s="23">
        <v>28000</v>
      </c>
      <c r="I1420">
        <v>0</v>
      </c>
      <c r="J1420">
        <v>0</v>
      </c>
      <c r="K1420" s="20">
        <f t="shared" si="168"/>
        <v>0</v>
      </c>
      <c r="L1420">
        <v>0</v>
      </c>
      <c r="M1420">
        <v>0</v>
      </c>
      <c r="N1420" s="21">
        <f t="shared" si="169"/>
        <v>0</v>
      </c>
      <c r="O1420">
        <v>20</v>
      </c>
      <c r="P1420">
        <v>1</v>
      </c>
      <c r="Q1420" s="21">
        <f t="shared" si="163"/>
        <v>560000</v>
      </c>
      <c r="R1420">
        <v>0</v>
      </c>
      <c r="S1420">
        <v>0</v>
      </c>
      <c r="T1420" s="21">
        <f t="shared" si="164"/>
        <v>0</v>
      </c>
      <c r="U1420">
        <v>0</v>
      </c>
      <c r="V1420">
        <v>0</v>
      </c>
      <c r="W1420" s="21">
        <f t="shared" si="165"/>
        <v>0</v>
      </c>
      <c r="X1420">
        <v>0</v>
      </c>
      <c r="Y1420">
        <v>0</v>
      </c>
      <c r="Z1420" s="21">
        <f t="shared" si="166"/>
        <v>0</v>
      </c>
      <c r="AA1420">
        <v>0</v>
      </c>
      <c r="AB1420">
        <v>0</v>
      </c>
      <c r="AC1420" s="21">
        <f t="shared" si="167"/>
        <v>0</v>
      </c>
      <c r="AD1420">
        <v>0</v>
      </c>
      <c r="AE1420">
        <v>0</v>
      </c>
      <c r="AF1420" s="21">
        <f t="shared" si="170"/>
        <v>0</v>
      </c>
    </row>
    <row r="1421" spans="1:32" ht="15" customHeight="1" x14ac:dyDescent="0.3">
      <c r="A1421">
        <v>3</v>
      </c>
      <c r="B1421" s="2" t="s">
        <v>696</v>
      </c>
      <c r="C1421" s="4" t="s">
        <v>690</v>
      </c>
      <c r="D1421" s="3" t="s">
        <v>656</v>
      </c>
      <c r="E1421" s="6" t="s">
        <v>33</v>
      </c>
      <c r="F1421" s="6" t="s">
        <v>297</v>
      </c>
      <c r="G1421" s="6" t="s">
        <v>718</v>
      </c>
      <c r="H1421" s="23">
        <v>0</v>
      </c>
      <c r="I1421">
        <v>0</v>
      </c>
      <c r="J1421">
        <v>0</v>
      </c>
      <c r="K1421" s="20">
        <f t="shared" si="168"/>
        <v>0</v>
      </c>
      <c r="L1421">
        <v>0</v>
      </c>
      <c r="M1421">
        <v>0</v>
      </c>
      <c r="N1421" s="21">
        <f t="shared" si="169"/>
        <v>0</v>
      </c>
      <c r="O1421">
        <v>0</v>
      </c>
      <c r="P1421">
        <v>0</v>
      </c>
      <c r="Q1421" s="21">
        <f t="shared" si="163"/>
        <v>0</v>
      </c>
      <c r="R1421">
        <v>0</v>
      </c>
      <c r="S1421">
        <v>0</v>
      </c>
      <c r="T1421" s="21">
        <f t="shared" si="164"/>
        <v>0</v>
      </c>
      <c r="U1421">
        <v>0</v>
      </c>
      <c r="V1421">
        <v>0</v>
      </c>
      <c r="W1421" s="21">
        <f t="shared" si="165"/>
        <v>0</v>
      </c>
      <c r="X1421">
        <v>0</v>
      </c>
      <c r="Y1421">
        <v>0</v>
      </c>
      <c r="Z1421" s="21">
        <f t="shared" si="166"/>
        <v>0</v>
      </c>
      <c r="AA1421">
        <v>0</v>
      </c>
      <c r="AB1421">
        <v>0</v>
      </c>
      <c r="AC1421" s="21">
        <f t="shared" si="167"/>
        <v>0</v>
      </c>
      <c r="AD1421">
        <v>0</v>
      </c>
      <c r="AE1421">
        <v>0</v>
      </c>
      <c r="AF1421" s="21">
        <f t="shared" si="170"/>
        <v>0</v>
      </c>
    </row>
    <row r="1422" spans="1:32" ht="15" customHeight="1" x14ac:dyDescent="0.3">
      <c r="A1422">
        <v>3</v>
      </c>
      <c r="B1422" s="2" t="s">
        <v>696</v>
      </c>
      <c r="C1422" s="4" t="s">
        <v>690</v>
      </c>
      <c r="D1422" s="3" t="s">
        <v>656</v>
      </c>
      <c r="E1422" s="6" t="s">
        <v>33</v>
      </c>
      <c r="F1422" s="6" t="s">
        <v>298</v>
      </c>
      <c r="G1422" s="6" t="s">
        <v>718</v>
      </c>
      <c r="H1422" s="23">
        <v>0</v>
      </c>
      <c r="I1422">
        <v>0</v>
      </c>
      <c r="J1422">
        <v>0</v>
      </c>
      <c r="K1422" s="20">
        <f t="shared" si="168"/>
        <v>0</v>
      </c>
      <c r="L1422">
        <v>0</v>
      </c>
      <c r="M1422">
        <v>0</v>
      </c>
      <c r="N1422" s="21">
        <f t="shared" si="169"/>
        <v>0</v>
      </c>
      <c r="O1422">
        <v>0</v>
      </c>
      <c r="P1422">
        <v>0</v>
      </c>
      <c r="Q1422" s="21">
        <f t="shared" si="163"/>
        <v>0</v>
      </c>
      <c r="R1422">
        <v>0</v>
      </c>
      <c r="S1422">
        <v>0</v>
      </c>
      <c r="T1422" s="21">
        <f t="shared" si="164"/>
        <v>0</v>
      </c>
      <c r="U1422">
        <v>0</v>
      </c>
      <c r="V1422">
        <v>0</v>
      </c>
      <c r="W1422" s="21">
        <f t="shared" si="165"/>
        <v>0</v>
      </c>
      <c r="X1422">
        <v>0</v>
      </c>
      <c r="Y1422">
        <v>0</v>
      </c>
      <c r="Z1422" s="21">
        <f t="shared" si="166"/>
        <v>0</v>
      </c>
      <c r="AA1422">
        <v>0</v>
      </c>
      <c r="AB1422">
        <v>0</v>
      </c>
      <c r="AC1422" s="21">
        <f t="shared" si="167"/>
        <v>0</v>
      </c>
      <c r="AD1422">
        <v>0</v>
      </c>
      <c r="AE1422">
        <v>0</v>
      </c>
      <c r="AF1422" s="21">
        <f t="shared" si="170"/>
        <v>0</v>
      </c>
    </row>
    <row r="1423" spans="1:32" ht="15" customHeight="1" x14ac:dyDescent="0.3">
      <c r="A1423">
        <v>3</v>
      </c>
      <c r="B1423" s="2" t="s">
        <v>696</v>
      </c>
      <c r="C1423" s="4" t="s">
        <v>690</v>
      </c>
      <c r="D1423" s="3" t="s">
        <v>656</v>
      </c>
      <c r="E1423" s="6" t="s">
        <v>33</v>
      </c>
      <c r="F1423" s="6" t="s">
        <v>149</v>
      </c>
      <c r="G1423" s="6" t="s">
        <v>707</v>
      </c>
      <c r="H1423" s="23">
        <v>391991.03749999998</v>
      </c>
      <c r="I1423">
        <v>0</v>
      </c>
      <c r="J1423">
        <v>0</v>
      </c>
      <c r="K1423" s="20">
        <f t="shared" si="168"/>
        <v>0</v>
      </c>
      <c r="L1423">
        <v>0</v>
      </c>
      <c r="M1423">
        <v>0</v>
      </c>
      <c r="N1423" s="21">
        <f t="shared" si="169"/>
        <v>0</v>
      </c>
      <c r="O1423">
        <v>0</v>
      </c>
      <c r="P1423">
        <v>0</v>
      </c>
      <c r="Q1423" s="21">
        <f t="shared" si="163"/>
        <v>0</v>
      </c>
      <c r="R1423">
        <v>1</v>
      </c>
      <c r="S1423">
        <v>4</v>
      </c>
      <c r="T1423" s="21">
        <f t="shared" si="164"/>
        <v>1567964.15</v>
      </c>
      <c r="U1423">
        <v>0</v>
      </c>
      <c r="V1423">
        <v>0</v>
      </c>
      <c r="W1423" s="21">
        <f t="shared" si="165"/>
        <v>0</v>
      </c>
      <c r="X1423">
        <v>0</v>
      </c>
      <c r="Y1423">
        <v>0</v>
      </c>
      <c r="Z1423" s="21">
        <f t="shared" si="166"/>
        <v>0</v>
      </c>
      <c r="AA1423">
        <v>0</v>
      </c>
      <c r="AB1423">
        <v>0</v>
      </c>
      <c r="AC1423" s="21">
        <f t="shared" si="167"/>
        <v>0</v>
      </c>
      <c r="AD1423">
        <v>0</v>
      </c>
      <c r="AE1423">
        <v>0</v>
      </c>
      <c r="AF1423" s="21">
        <f t="shared" si="170"/>
        <v>0</v>
      </c>
    </row>
    <row r="1424" spans="1:32" ht="15" customHeight="1" x14ac:dyDescent="0.3">
      <c r="A1424">
        <v>3</v>
      </c>
      <c r="B1424" s="2" t="s">
        <v>696</v>
      </c>
      <c r="C1424" s="4" t="s">
        <v>690</v>
      </c>
      <c r="D1424" s="3" t="s">
        <v>656</v>
      </c>
      <c r="E1424" s="6" t="s">
        <v>33</v>
      </c>
      <c r="F1424" s="6" t="s">
        <v>149</v>
      </c>
      <c r="G1424" s="6" t="s">
        <v>708</v>
      </c>
      <c r="H1424" s="23">
        <v>468000</v>
      </c>
      <c r="I1424">
        <v>0</v>
      </c>
      <c r="J1424">
        <v>0</v>
      </c>
      <c r="K1424" s="20">
        <f t="shared" si="168"/>
        <v>0</v>
      </c>
      <c r="L1424">
        <v>0</v>
      </c>
      <c r="M1424">
        <v>0</v>
      </c>
      <c r="N1424" s="21">
        <f t="shared" si="169"/>
        <v>0</v>
      </c>
      <c r="O1424">
        <v>0</v>
      </c>
      <c r="P1424">
        <v>0</v>
      </c>
      <c r="Q1424" s="21">
        <f t="shared" si="163"/>
        <v>0</v>
      </c>
      <c r="R1424">
        <v>1</v>
      </c>
      <c r="S1424">
        <v>40</v>
      </c>
      <c r="T1424" s="21">
        <f t="shared" si="164"/>
        <v>18720000</v>
      </c>
      <c r="U1424">
        <v>0</v>
      </c>
      <c r="V1424">
        <v>0</v>
      </c>
      <c r="W1424" s="21">
        <f t="shared" si="165"/>
        <v>0</v>
      </c>
      <c r="X1424">
        <v>0</v>
      </c>
      <c r="Y1424">
        <v>0</v>
      </c>
      <c r="Z1424" s="21">
        <f t="shared" si="166"/>
        <v>0</v>
      </c>
      <c r="AA1424">
        <v>0</v>
      </c>
      <c r="AB1424">
        <v>0</v>
      </c>
      <c r="AC1424" s="21">
        <f t="shared" si="167"/>
        <v>0</v>
      </c>
      <c r="AD1424">
        <v>0</v>
      </c>
      <c r="AE1424">
        <v>0</v>
      </c>
      <c r="AF1424" s="21">
        <f t="shared" si="170"/>
        <v>0</v>
      </c>
    </row>
    <row r="1425" spans="1:32" ht="15" customHeight="1" x14ac:dyDescent="0.3">
      <c r="A1425">
        <v>3</v>
      </c>
      <c r="B1425" s="2" t="s">
        <v>696</v>
      </c>
      <c r="C1425" s="4" t="s">
        <v>690</v>
      </c>
      <c r="D1425" s="3" t="s">
        <v>656</v>
      </c>
      <c r="E1425" s="6" t="s">
        <v>33</v>
      </c>
      <c r="F1425" s="6" t="s">
        <v>299</v>
      </c>
      <c r="G1425" s="6" t="s">
        <v>718</v>
      </c>
      <c r="H1425" s="23">
        <v>0</v>
      </c>
      <c r="I1425">
        <v>0</v>
      </c>
      <c r="J1425">
        <v>0</v>
      </c>
      <c r="K1425" s="20">
        <f t="shared" si="168"/>
        <v>0</v>
      </c>
      <c r="L1425">
        <v>0</v>
      </c>
      <c r="M1425">
        <v>0</v>
      </c>
      <c r="N1425" s="21">
        <f t="shared" si="169"/>
        <v>0</v>
      </c>
      <c r="O1425">
        <v>0</v>
      </c>
      <c r="P1425">
        <v>0</v>
      </c>
      <c r="Q1425" s="21">
        <f t="shared" si="163"/>
        <v>0</v>
      </c>
      <c r="R1425">
        <v>0</v>
      </c>
      <c r="S1425">
        <v>0</v>
      </c>
      <c r="T1425" s="21">
        <f t="shared" si="164"/>
        <v>0</v>
      </c>
      <c r="U1425">
        <v>0</v>
      </c>
      <c r="V1425">
        <v>0</v>
      </c>
      <c r="W1425" s="21">
        <f t="shared" si="165"/>
        <v>0</v>
      </c>
      <c r="X1425">
        <v>0</v>
      </c>
      <c r="Y1425">
        <v>0</v>
      </c>
      <c r="Z1425" s="21">
        <f t="shared" si="166"/>
        <v>0</v>
      </c>
      <c r="AA1425">
        <v>0</v>
      </c>
      <c r="AB1425">
        <v>0</v>
      </c>
      <c r="AC1425" s="21">
        <f t="shared" si="167"/>
        <v>0</v>
      </c>
      <c r="AD1425">
        <v>0</v>
      </c>
      <c r="AE1425">
        <v>0</v>
      </c>
      <c r="AF1425" s="21">
        <f t="shared" si="170"/>
        <v>0</v>
      </c>
    </row>
    <row r="1426" spans="1:32" ht="15" customHeight="1" x14ac:dyDescent="0.3">
      <c r="A1426">
        <v>3</v>
      </c>
      <c r="B1426" s="2" t="s">
        <v>696</v>
      </c>
      <c r="C1426" s="4" t="s">
        <v>690</v>
      </c>
      <c r="D1426" s="3" t="s">
        <v>656</v>
      </c>
      <c r="E1426" s="6" t="s">
        <v>33</v>
      </c>
      <c r="F1426" s="6" t="s">
        <v>300</v>
      </c>
      <c r="G1426" s="6" t="s">
        <v>709</v>
      </c>
      <c r="H1426" s="23">
        <v>28000</v>
      </c>
      <c r="I1426">
        <v>0</v>
      </c>
      <c r="J1426">
        <v>0</v>
      </c>
      <c r="K1426" s="20">
        <f t="shared" si="168"/>
        <v>0</v>
      </c>
      <c r="L1426">
        <v>0</v>
      </c>
      <c r="M1426">
        <v>0</v>
      </c>
      <c r="N1426" s="21">
        <f t="shared" si="169"/>
        <v>0</v>
      </c>
      <c r="O1426">
        <v>0</v>
      </c>
      <c r="P1426">
        <v>0</v>
      </c>
      <c r="Q1426" s="21">
        <f t="shared" si="163"/>
        <v>0</v>
      </c>
      <c r="R1426">
        <v>30</v>
      </c>
      <c r="S1426">
        <v>1</v>
      </c>
      <c r="T1426" s="21">
        <f t="shared" si="164"/>
        <v>840000</v>
      </c>
      <c r="U1426">
        <v>0</v>
      </c>
      <c r="V1426">
        <v>0</v>
      </c>
      <c r="W1426" s="21">
        <f t="shared" si="165"/>
        <v>0</v>
      </c>
      <c r="X1426">
        <v>0</v>
      </c>
      <c r="Y1426">
        <v>0</v>
      </c>
      <c r="Z1426" s="21">
        <f t="shared" si="166"/>
        <v>0</v>
      </c>
      <c r="AA1426">
        <v>0</v>
      </c>
      <c r="AB1426">
        <v>0</v>
      </c>
      <c r="AC1426" s="21">
        <f t="shared" si="167"/>
        <v>0</v>
      </c>
      <c r="AD1426">
        <v>0</v>
      </c>
      <c r="AE1426">
        <v>0</v>
      </c>
      <c r="AF1426" s="21">
        <f t="shared" si="170"/>
        <v>0</v>
      </c>
    </row>
    <row r="1427" spans="1:32" ht="15" customHeight="1" x14ac:dyDescent="0.3">
      <c r="A1427">
        <v>3</v>
      </c>
      <c r="B1427" s="2" t="s">
        <v>696</v>
      </c>
      <c r="C1427" s="4" t="s">
        <v>690</v>
      </c>
      <c r="D1427" s="3" t="s">
        <v>656</v>
      </c>
      <c r="E1427" s="6" t="s">
        <v>33</v>
      </c>
      <c r="F1427" s="6" t="s">
        <v>300</v>
      </c>
      <c r="G1427" s="6" t="s">
        <v>716</v>
      </c>
      <c r="H1427" s="23">
        <v>39000</v>
      </c>
      <c r="I1427">
        <v>0</v>
      </c>
      <c r="J1427">
        <v>0</v>
      </c>
      <c r="K1427" s="20">
        <f t="shared" si="168"/>
        <v>0</v>
      </c>
      <c r="L1427">
        <v>0</v>
      </c>
      <c r="M1427">
        <v>0</v>
      </c>
      <c r="N1427" s="21">
        <f t="shared" si="169"/>
        <v>0</v>
      </c>
      <c r="O1427">
        <v>0</v>
      </c>
      <c r="P1427">
        <v>0</v>
      </c>
      <c r="Q1427" s="21">
        <f t="shared" si="163"/>
        <v>0</v>
      </c>
      <c r="R1427">
        <v>10</v>
      </c>
      <c r="S1427">
        <v>1</v>
      </c>
      <c r="T1427" s="21">
        <f t="shared" si="164"/>
        <v>390000</v>
      </c>
      <c r="U1427">
        <v>0</v>
      </c>
      <c r="V1427">
        <v>0</v>
      </c>
      <c r="W1427" s="21">
        <f t="shared" si="165"/>
        <v>0</v>
      </c>
      <c r="X1427">
        <v>0</v>
      </c>
      <c r="Y1427">
        <v>0</v>
      </c>
      <c r="Z1427" s="21">
        <f t="shared" si="166"/>
        <v>0</v>
      </c>
      <c r="AA1427">
        <v>0</v>
      </c>
      <c r="AB1427">
        <v>0</v>
      </c>
      <c r="AC1427" s="21">
        <f t="shared" si="167"/>
        <v>0</v>
      </c>
      <c r="AD1427">
        <v>0</v>
      </c>
      <c r="AE1427">
        <v>0</v>
      </c>
      <c r="AF1427" s="21">
        <f t="shared" si="170"/>
        <v>0</v>
      </c>
    </row>
    <row r="1428" spans="1:32" ht="15" customHeight="1" x14ac:dyDescent="0.3">
      <c r="A1428">
        <v>3</v>
      </c>
      <c r="B1428" s="2" t="s">
        <v>696</v>
      </c>
      <c r="C1428" s="4" t="s">
        <v>690</v>
      </c>
      <c r="D1428" s="3" t="s">
        <v>656</v>
      </c>
      <c r="E1428" s="6" t="s">
        <v>33</v>
      </c>
      <c r="F1428" s="6" t="s">
        <v>300</v>
      </c>
      <c r="G1428" s="6" t="s">
        <v>712</v>
      </c>
      <c r="H1428" s="23">
        <v>214.29</v>
      </c>
      <c r="I1428">
        <v>0</v>
      </c>
      <c r="J1428">
        <v>0</v>
      </c>
      <c r="K1428" s="20">
        <f t="shared" si="168"/>
        <v>0</v>
      </c>
      <c r="L1428">
        <v>0</v>
      </c>
      <c r="M1428">
        <v>0</v>
      </c>
      <c r="N1428" s="21">
        <f t="shared" si="169"/>
        <v>0</v>
      </c>
      <c r="O1428">
        <v>0</v>
      </c>
      <c r="P1428">
        <v>0</v>
      </c>
      <c r="Q1428" s="21">
        <f t="shared" si="163"/>
        <v>0</v>
      </c>
      <c r="R1428">
        <v>4000</v>
      </c>
      <c r="S1428">
        <v>1</v>
      </c>
      <c r="T1428" s="21">
        <f t="shared" si="164"/>
        <v>857160</v>
      </c>
      <c r="U1428">
        <v>0</v>
      </c>
      <c r="V1428">
        <v>0</v>
      </c>
      <c r="W1428" s="21">
        <f t="shared" si="165"/>
        <v>0</v>
      </c>
      <c r="X1428">
        <v>0</v>
      </c>
      <c r="Y1428">
        <v>0</v>
      </c>
      <c r="Z1428" s="21">
        <f t="shared" si="166"/>
        <v>0</v>
      </c>
      <c r="AA1428">
        <v>0</v>
      </c>
      <c r="AB1428">
        <v>0</v>
      </c>
      <c r="AC1428" s="21">
        <f t="shared" si="167"/>
        <v>0</v>
      </c>
      <c r="AD1428">
        <v>0</v>
      </c>
      <c r="AE1428">
        <v>0</v>
      </c>
      <c r="AF1428" s="21">
        <f t="shared" si="170"/>
        <v>0</v>
      </c>
    </row>
    <row r="1429" spans="1:32" ht="15" customHeight="1" x14ac:dyDescent="0.3">
      <c r="A1429">
        <v>3</v>
      </c>
      <c r="B1429" s="2" t="s">
        <v>696</v>
      </c>
      <c r="C1429" s="4" t="s">
        <v>690</v>
      </c>
      <c r="D1429" s="3" t="s">
        <v>656</v>
      </c>
      <c r="E1429" s="6" t="s">
        <v>33</v>
      </c>
      <c r="F1429" s="6" t="s">
        <v>301</v>
      </c>
      <c r="G1429" s="6" t="s">
        <v>709</v>
      </c>
      <c r="H1429" s="23">
        <v>28000</v>
      </c>
      <c r="I1429">
        <v>0</v>
      </c>
      <c r="J1429">
        <v>0</v>
      </c>
      <c r="K1429" s="20">
        <f t="shared" si="168"/>
        <v>0</v>
      </c>
      <c r="L1429">
        <v>0</v>
      </c>
      <c r="M1429">
        <v>0</v>
      </c>
      <c r="N1429" s="21">
        <f t="shared" si="169"/>
        <v>0</v>
      </c>
      <c r="O1429">
        <v>0</v>
      </c>
      <c r="P1429">
        <v>0</v>
      </c>
      <c r="Q1429" s="21">
        <f t="shared" si="163"/>
        <v>0</v>
      </c>
      <c r="R1429">
        <v>40</v>
      </c>
      <c r="S1429">
        <v>5</v>
      </c>
      <c r="T1429" s="21">
        <f t="shared" si="164"/>
        <v>5600000</v>
      </c>
      <c r="U1429">
        <v>0</v>
      </c>
      <c r="V1429">
        <v>0</v>
      </c>
      <c r="W1429" s="21">
        <f t="shared" si="165"/>
        <v>0</v>
      </c>
      <c r="X1429">
        <v>0</v>
      </c>
      <c r="Y1429">
        <v>0</v>
      </c>
      <c r="Z1429" s="21">
        <f t="shared" si="166"/>
        <v>0</v>
      </c>
      <c r="AA1429">
        <v>0</v>
      </c>
      <c r="AB1429">
        <v>0</v>
      </c>
      <c r="AC1429" s="21">
        <f t="shared" si="167"/>
        <v>0</v>
      </c>
      <c r="AD1429">
        <v>0</v>
      </c>
      <c r="AE1429">
        <v>0</v>
      </c>
      <c r="AF1429" s="21">
        <f t="shared" si="170"/>
        <v>0</v>
      </c>
    </row>
    <row r="1430" spans="1:32" ht="15" customHeight="1" x14ac:dyDescent="0.3">
      <c r="A1430">
        <v>3</v>
      </c>
      <c r="B1430" s="2" t="s">
        <v>696</v>
      </c>
      <c r="C1430" s="4" t="s">
        <v>690</v>
      </c>
      <c r="D1430" s="3" t="s">
        <v>656</v>
      </c>
      <c r="E1430" s="6" t="s">
        <v>33</v>
      </c>
      <c r="F1430" s="6" t="s">
        <v>301</v>
      </c>
      <c r="G1430" s="6" t="s">
        <v>716</v>
      </c>
      <c r="H1430" s="23">
        <v>39000</v>
      </c>
      <c r="I1430">
        <v>0</v>
      </c>
      <c r="J1430">
        <v>0</v>
      </c>
      <c r="K1430" s="20">
        <f t="shared" si="168"/>
        <v>0</v>
      </c>
      <c r="L1430">
        <v>0</v>
      </c>
      <c r="M1430">
        <v>0</v>
      </c>
      <c r="N1430" s="21">
        <f t="shared" si="169"/>
        <v>0</v>
      </c>
      <c r="O1430">
        <v>0</v>
      </c>
      <c r="P1430">
        <v>0</v>
      </c>
      <c r="Q1430" s="21">
        <f t="shared" si="163"/>
        <v>0</v>
      </c>
      <c r="R1430">
        <v>40</v>
      </c>
      <c r="S1430">
        <v>5</v>
      </c>
      <c r="T1430" s="21">
        <f t="shared" si="164"/>
        <v>7800000</v>
      </c>
      <c r="U1430">
        <v>0</v>
      </c>
      <c r="V1430">
        <v>0</v>
      </c>
      <c r="W1430" s="21">
        <f t="shared" si="165"/>
        <v>0</v>
      </c>
      <c r="X1430">
        <v>0</v>
      </c>
      <c r="Y1430">
        <v>0</v>
      </c>
      <c r="Z1430" s="21">
        <f t="shared" si="166"/>
        <v>0</v>
      </c>
      <c r="AA1430">
        <v>0</v>
      </c>
      <c r="AB1430">
        <v>0</v>
      </c>
      <c r="AC1430" s="21">
        <f t="shared" si="167"/>
        <v>0</v>
      </c>
      <c r="AD1430">
        <v>0</v>
      </c>
      <c r="AE1430">
        <v>0</v>
      </c>
      <c r="AF1430" s="21">
        <f t="shared" si="170"/>
        <v>0</v>
      </c>
    </row>
    <row r="1431" spans="1:32" ht="15" customHeight="1" x14ac:dyDescent="0.3">
      <c r="A1431">
        <v>3</v>
      </c>
      <c r="B1431" s="2" t="s">
        <v>696</v>
      </c>
      <c r="C1431" s="4" t="s">
        <v>690</v>
      </c>
      <c r="D1431" s="3" t="s">
        <v>656</v>
      </c>
      <c r="E1431" s="6" t="s">
        <v>33</v>
      </c>
      <c r="F1431" s="6" t="s">
        <v>301</v>
      </c>
      <c r="G1431" s="6" t="s">
        <v>712</v>
      </c>
      <c r="H1431" s="23">
        <v>214.29</v>
      </c>
      <c r="I1431">
        <v>0</v>
      </c>
      <c r="J1431">
        <v>0</v>
      </c>
      <c r="K1431" s="20">
        <f t="shared" si="168"/>
        <v>0</v>
      </c>
      <c r="L1431">
        <v>0</v>
      </c>
      <c r="M1431">
        <v>0</v>
      </c>
      <c r="N1431" s="21">
        <f t="shared" si="169"/>
        <v>0</v>
      </c>
      <c r="O1431">
        <v>0</v>
      </c>
      <c r="P1431">
        <v>0</v>
      </c>
      <c r="Q1431" s="21">
        <f t="shared" si="163"/>
        <v>0</v>
      </c>
      <c r="R1431">
        <v>8000</v>
      </c>
      <c r="S1431">
        <v>1</v>
      </c>
      <c r="T1431" s="21">
        <f t="shared" si="164"/>
        <v>1714320</v>
      </c>
      <c r="U1431">
        <v>0</v>
      </c>
      <c r="V1431">
        <v>0</v>
      </c>
      <c r="W1431" s="21">
        <f t="shared" si="165"/>
        <v>0</v>
      </c>
      <c r="X1431">
        <v>0</v>
      </c>
      <c r="Y1431">
        <v>0</v>
      </c>
      <c r="Z1431" s="21">
        <f t="shared" si="166"/>
        <v>0</v>
      </c>
      <c r="AA1431">
        <v>0</v>
      </c>
      <c r="AB1431">
        <v>0</v>
      </c>
      <c r="AC1431" s="21">
        <f t="shared" si="167"/>
        <v>0</v>
      </c>
      <c r="AD1431">
        <v>0</v>
      </c>
      <c r="AE1431">
        <v>0</v>
      </c>
      <c r="AF1431" s="21">
        <f t="shared" si="170"/>
        <v>0</v>
      </c>
    </row>
    <row r="1432" spans="1:32" ht="15" customHeight="1" x14ac:dyDescent="0.3">
      <c r="A1432">
        <v>3</v>
      </c>
      <c r="B1432" s="2" t="s">
        <v>696</v>
      </c>
      <c r="C1432" s="4" t="s">
        <v>690</v>
      </c>
      <c r="D1432" s="3" t="s">
        <v>656</v>
      </c>
      <c r="E1432" s="6" t="s">
        <v>33</v>
      </c>
      <c r="F1432" s="6" t="s">
        <v>302</v>
      </c>
      <c r="G1432" s="6" t="s">
        <v>718</v>
      </c>
      <c r="H1432" s="23">
        <v>0</v>
      </c>
      <c r="I1432">
        <v>0</v>
      </c>
      <c r="J1432">
        <v>0</v>
      </c>
      <c r="K1432" s="20">
        <f t="shared" si="168"/>
        <v>0</v>
      </c>
      <c r="L1432">
        <v>0</v>
      </c>
      <c r="M1432">
        <v>0</v>
      </c>
      <c r="N1432" s="21">
        <f t="shared" si="169"/>
        <v>0</v>
      </c>
      <c r="O1432">
        <v>0</v>
      </c>
      <c r="P1432">
        <v>0</v>
      </c>
      <c r="Q1432" s="21">
        <f t="shared" si="163"/>
        <v>0</v>
      </c>
      <c r="R1432">
        <v>0</v>
      </c>
      <c r="S1432">
        <v>0</v>
      </c>
      <c r="T1432" s="21">
        <f t="shared" si="164"/>
        <v>0</v>
      </c>
      <c r="U1432">
        <v>0</v>
      </c>
      <c r="V1432">
        <v>0</v>
      </c>
      <c r="W1432" s="21">
        <f t="shared" si="165"/>
        <v>0</v>
      </c>
      <c r="X1432">
        <v>0</v>
      </c>
      <c r="Y1432">
        <v>0</v>
      </c>
      <c r="Z1432" s="21">
        <f t="shared" si="166"/>
        <v>0</v>
      </c>
      <c r="AA1432">
        <v>0</v>
      </c>
      <c r="AB1432">
        <v>0</v>
      </c>
      <c r="AC1432" s="21">
        <f t="shared" si="167"/>
        <v>0</v>
      </c>
      <c r="AD1432">
        <v>0</v>
      </c>
      <c r="AE1432">
        <v>0</v>
      </c>
      <c r="AF1432" s="21">
        <f t="shared" si="170"/>
        <v>0</v>
      </c>
    </row>
    <row r="1433" spans="1:32" ht="15" customHeight="1" x14ac:dyDescent="0.3">
      <c r="A1433">
        <v>3</v>
      </c>
      <c r="B1433" s="2" t="s">
        <v>696</v>
      </c>
      <c r="C1433" s="4" t="s">
        <v>690</v>
      </c>
      <c r="D1433" s="3" t="s">
        <v>656</v>
      </c>
      <c r="E1433" s="6" t="s">
        <v>33</v>
      </c>
      <c r="F1433" s="6" t="s">
        <v>303</v>
      </c>
      <c r="G1433" s="6" t="s">
        <v>718</v>
      </c>
      <c r="H1433" s="23">
        <v>0</v>
      </c>
      <c r="I1433">
        <v>0</v>
      </c>
      <c r="J1433">
        <v>0</v>
      </c>
      <c r="K1433" s="20">
        <f t="shared" si="168"/>
        <v>0</v>
      </c>
      <c r="L1433">
        <v>0</v>
      </c>
      <c r="M1433">
        <v>0</v>
      </c>
      <c r="N1433" s="21">
        <f t="shared" si="169"/>
        <v>0</v>
      </c>
      <c r="O1433">
        <v>0</v>
      </c>
      <c r="P1433">
        <v>0</v>
      </c>
      <c r="Q1433" s="21">
        <f t="shared" si="163"/>
        <v>0</v>
      </c>
      <c r="R1433">
        <v>0</v>
      </c>
      <c r="S1433">
        <v>0</v>
      </c>
      <c r="T1433" s="21">
        <f t="shared" si="164"/>
        <v>0</v>
      </c>
      <c r="U1433">
        <v>0</v>
      </c>
      <c r="V1433">
        <v>0</v>
      </c>
      <c r="W1433" s="21">
        <f t="shared" si="165"/>
        <v>0</v>
      </c>
      <c r="X1433">
        <v>0</v>
      </c>
      <c r="Y1433">
        <v>0</v>
      </c>
      <c r="Z1433" s="21">
        <f t="shared" si="166"/>
        <v>0</v>
      </c>
      <c r="AA1433">
        <v>0</v>
      </c>
      <c r="AB1433">
        <v>0</v>
      </c>
      <c r="AC1433" s="21">
        <f t="shared" si="167"/>
        <v>0</v>
      </c>
      <c r="AD1433">
        <v>0</v>
      </c>
      <c r="AE1433">
        <v>0</v>
      </c>
      <c r="AF1433" s="21">
        <f t="shared" si="170"/>
        <v>0</v>
      </c>
    </row>
    <row r="1434" spans="1:32" ht="15" customHeight="1" x14ac:dyDescent="0.3">
      <c r="A1434">
        <v>3</v>
      </c>
      <c r="B1434" s="2" t="s">
        <v>696</v>
      </c>
      <c r="C1434" s="4" t="s">
        <v>691</v>
      </c>
      <c r="D1434" s="3" t="s">
        <v>657</v>
      </c>
      <c r="E1434" s="6" t="s">
        <v>34</v>
      </c>
      <c r="F1434" s="6" t="s">
        <v>304</v>
      </c>
      <c r="G1434" s="6" t="s">
        <v>707</v>
      </c>
      <c r="H1434" s="23">
        <v>391991.03749999998</v>
      </c>
      <c r="I1434">
        <v>0</v>
      </c>
      <c r="J1434">
        <v>0</v>
      </c>
      <c r="K1434" s="20">
        <f t="shared" si="168"/>
        <v>0</v>
      </c>
      <c r="L1434">
        <v>1</v>
      </c>
      <c r="M1434">
        <v>4</v>
      </c>
      <c r="N1434" s="21">
        <f t="shared" si="169"/>
        <v>1567964.15</v>
      </c>
      <c r="O1434">
        <v>0</v>
      </c>
      <c r="P1434">
        <v>0</v>
      </c>
      <c r="Q1434" s="21">
        <f t="shared" si="163"/>
        <v>0</v>
      </c>
      <c r="R1434">
        <v>0</v>
      </c>
      <c r="S1434">
        <v>0</v>
      </c>
      <c r="T1434" s="21">
        <f t="shared" si="164"/>
        <v>0</v>
      </c>
      <c r="U1434">
        <v>0</v>
      </c>
      <c r="V1434">
        <v>0</v>
      </c>
      <c r="W1434" s="21">
        <f t="shared" si="165"/>
        <v>0</v>
      </c>
      <c r="X1434">
        <v>0</v>
      </c>
      <c r="Y1434">
        <v>0</v>
      </c>
      <c r="Z1434" s="21">
        <f t="shared" si="166"/>
        <v>0</v>
      </c>
      <c r="AA1434">
        <v>0</v>
      </c>
      <c r="AB1434">
        <v>0</v>
      </c>
      <c r="AC1434" s="21">
        <f t="shared" si="167"/>
        <v>0</v>
      </c>
      <c r="AD1434">
        <v>0</v>
      </c>
      <c r="AE1434">
        <v>0</v>
      </c>
      <c r="AF1434" s="21">
        <f t="shared" si="170"/>
        <v>0</v>
      </c>
    </row>
    <row r="1435" spans="1:32" ht="15" customHeight="1" x14ac:dyDescent="0.3">
      <c r="A1435">
        <v>3</v>
      </c>
      <c r="B1435" s="2" t="s">
        <v>696</v>
      </c>
      <c r="C1435" s="4" t="s">
        <v>691</v>
      </c>
      <c r="D1435" s="3" t="s">
        <v>657</v>
      </c>
      <c r="E1435" s="6" t="s">
        <v>34</v>
      </c>
      <c r="F1435" s="6" t="s">
        <v>304</v>
      </c>
      <c r="G1435" s="6" t="s">
        <v>708</v>
      </c>
      <c r="H1435" s="23">
        <v>425000</v>
      </c>
      <c r="I1435">
        <v>0</v>
      </c>
      <c r="J1435">
        <v>0</v>
      </c>
      <c r="K1435" s="20">
        <f t="shared" si="168"/>
        <v>0</v>
      </c>
      <c r="L1435">
        <v>1</v>
      </c>
      <c r="M1435">
        <v>40</v>
      </c>
      <c r="N1435" s="21">
        <f t="shared" si="169"/>
        <v>17000000</v>
      </c>
      <c r="O1435">
        <v>0</v>
      </c>
      <c r="P1435">
        <v>0</v>
      </c>
      <c r="Q1435" s="21">
        <f t="shared" si="163"/>
        <v>0</v>
      </c>
      <c r="R1435">
        <v>0</v>
      </c>
      <c r="S1435">
        <v>0</v>
      </c>
      <c r="T1435" s="21">
        <f t="shared" si="164"/>
        <v>0</v>
      </c>
      <c r="U1435">
        <v>0</v>
      </c>
      <c r="V1435">
        <v>0</v>
      </c>
      <c r="W1435" s="21">
        <f t="shared" si="165"/>
        <v>0</v>
      </c>
      <c r="X1435">
        <v>0</v>
      </c>
      <c r="Y1435">
        <v>0</v>
      </c>
      <c r="Z1435" s="21">
        <f t="shared" si="166"/>
        <v>0</v>
      </c>
      <c r="AA1435">
        <v>0</v>
      </c>
      <c r="AB1435">
        <v>0</v>
      </c>
      <c r="AC1435" s="21">
        <f t="shared" si="167"/>
        <v>0</v>
      </c>
      <c r="AD1435">
        <v>0</v>
      </c>
      <c r="AE1435">
        <v>0</v>
      </c>
      <c r="AF1435" s="21">
        <f t="shared" si="170"/>
        <v>0</v>
      </c>
    </row>
    <row r="1436" spans="1:32" ht="15" customHeight="1" x14ac:dyDescent="0.3">
      <c r="A1436">
        <v>3</v>
      </c>
      <c r="B1436" s="2" t="s">
        <v>696</v>
      </c>
      <c r="C1436" s="4" t="s">
        <v>691</v>
      </c>
      <c r="D1436" s="3" t="s">
        <v>657</v>
      </c>
      <c r="E1436" s="6" t="s">
        <v>34</v>
      </c>
      <c r="F1436" s="6" t="s">
        <v>305</v>
      </c>
      <c r="G1436" s="6" t="s">
        <v>716</v>
      </c>
      <c r="H1436" s="23">
        <v>39000</v>
      </c>
      <c r="I1436">
        <v>0</v>
      </c>
      <c r="J1436">
        <v>0</v>
      </c>
      <c r="K1436" s="20">
        <f t="shared" si="168"/>
        <v>0</v>
      </c>
      <c r="L1436">
        <v>15</v>
      </c>
      <c r="M1436">
        <v>15</v>
      </c>
      <c r="N1436" s="21">
        <f t="shared" si="169"/>
        <v>8775000</v>
      </c>
      <c r="O1436">
        <v>15</v>
      </c>
      <c r="P1436">
        <v>15</v>
      </c>
      <c r="Q1436" s="21">
        <f t="shared" si="163"/>
        <v>8775000</v>
      </c>
      <c r="R1436">
        <v>15</v>
      </c>
      <c r="S1436">
        <v>15</v>
      </c>
      <c r="T1436" s="21">
        <f t="shared" si="164"/>
        <v>8775000</v>
      </c>
      <c r="U1436">
        <v>15</v>
      </c>
      <c r="V1436">
        <v>15</v>
      </c>
      <c r="W1436" s="21">
        <f t="shared" si="165"/>
        <v>8775000</v>
      </c>
      <c r="X1436">
        <v>0</v>
      </c>
      <c r="Y1436">
        <v>0</v>
      </c>
      <c r="Z1436" s="21">
        <f t="shared" si="166"/>
        <v>0</v>
      </c>
      <c r="AA1436">
        <v>0</v>
      </c>
      <c r="AB1436">
        <v>0</v>
      </c>
      <c r="AC1436" s="21">
        <f t="shared" si="167"/>
        <v>0</v>
      </c>
      <c r="AD1436">
        <v>0</v>
      </c>
      <c r="AE1436">
        <v>0</v>
      </c>
      <c r="AF1436" s="21">
        <f t="shared" si="170"/>
        <v>0</v>
      </c>
    </row>
    <row r="1437" spans="1:32" ht="15" customHeight="1" x14ac:dyDescent="0.3">
      <c r="A1437">
        <v>3</v>
      </c>
      <c r="B1437" s="2" t="s">
        <v>696</v>
      </c>
      <c r="C1437" s="4" t="s">
        <v>691</v>
      </c>
      <c r="D1437" s="3" t="s">
        <v>657</v>
      </c>
      <c r="E1437" s="6" t="s">
        <v>34</v>
      </c>
      <c r="F1437" s="6" t="s">
        <v>305</v>
      </c>
      <c r="G1437" s="6" t="s">
        <v>709</v>
      </c>
      <c r="H1437" s="23">
        <v>28000</v>
      </c>
      <c r="I1437">
        <v>0</v>
      </c>
      <c r="J1437">
        <v>0</v>
      </c>
      <c r="K1437" s="20">
        <f t="shared" si="168"/>
        <v>0</v>
      </c>
      <c r="L1437">
        <v>20</v>
      </c>
      <c r="M1437">
        <v>15</v>
      </c>
      <c r="N1437" s="21">
        <f t="shared" si="169"/>
        <v>8400000</v>
      </c>
      <c r="O1437">
        <v>20</v>
      </c>
      <c r="P1437">
        <v>15</v>
      </c>
      <c r="Q1437" s="21">
        <f t="shared" si="163"/>
        <v>8400000</v>
      </c>
      <c r="R1437">
        <v>20</v>
      </c>
      <c r="S1437">
        <v>15</v>
      </c>
      <c r="T1437" s="21">
        <f t="shared" si="164"/>
        <v>8400000</v>
      </c>
      <c r="U1437">
        <v>20</v>
      </c>
      <c r="V1437">
        <v>15</v>
      </c>
      <c r="W1437" s="21">
        <f t="shared" si="165"/>
        <v>8400000</v>
      </c>
      <c r="X1437">
        <v>0</v>
      </c>
      <c r="Y1437">
        <v>0</v>
      </c>
      <c r="Z1437" s="21">
        <f t="shared" si="166"/>
        <v>0</v>
      </c>
      <c r="AA1437">
        <v>0</v>
      </c>
      <c r="AB1437">
        <v>0</v>
      </c>
      <c r="AC1437" s="21">
        <f t="shared" si="167"/>
        <v>0</v>
      </c>
      <c r="AD1437">
        <v>0</v>
      </c>
      <c r="AE1437">
        <v>0</v>
      </c>
      <c r="AF1437" s="21">
        <f t="shared" si="170"/>
        <v>0</v>
      </c>
    </row>
    <row r="1438" spans="1:32" ht="15" customHeight="1" x14ac:dyDescent="0.3">
      <c r="A1438">
        <v>3</v>
      </c>
      <c r="B1438" s="2" t="s">
        <v>696</v>
      </c>
      <c r="C1438" s="4" t="s">
        <v>691</v>
      </c>
      <c r="D1438" s="3" t="s">
        <v>657</v>
      </c>
      <c r="E1438" s="6" t="s">
        <v>34</v>
      </c>
      <c r="F1438" s="6" t="s">
        <v>305</v>
      </c>
      <c r="G1438" s="6" t="s">
        <v>712</v>
      </c>
      <c r="H1438" s="23">
        <v>214.29</v>
      </c>
      <c r="I1438">
        <v>0</v>
      </c>
      <c r="J1438">
        <v>0</v>
      </c>
      <c r="K1438" s="20">
        <f t="shared" si="168"/>
        <v>0</v>
      </c>
      <c r="L1438">
        <v>4000</v>
      </c>
      <c r="M1438">
        <v>1</v>
      </c>
      <c r="N1438" s="21">
        <f t="shared" si="169"/>
        <v>857160</v>
      </c>
      <c r="O1438">
        <v>4000</v>
      </c>
      <c r="P1438">
        <v>1</v>
      </c>
      <c r="Q1438" s="21">
        <f t="shared" si="163"/>
        <v>857160</v>
      </c>
      <c r="R1438">
        <v>4000</v>
      </c>
      <c r="S1438">
        <v>1</v>
      </c>
      <c r="T1438" s="21">
        <f t="shared" si="164"/>
        <v>857160</v>
      </c>
      <c r="U1438">
        <v>4000</v>
      </c>
      <c r="V1438">
        <v>1</v>
      </c>
      <c r="W1438" s="21">
        <f t="shared" si="165"/>
        <v>857160</v>
      </c>
      <c r="X1438">
        <v>0</v>
      </c>
      <c r="Y1438">
        <v>0</v>
      </c>
      <c r="Z1438" s="21">
        <f t="shared" si="166"/>
        <v>0</v>
      </c>
      <c r="AA1438">
        <v>0</v>
      </c>
      <c r="AB1438">
        <v>0</v>
      </c>
      <c r="AC1438" s="21">
        <f t="shared" si="167"/>
        <v>0</v>
      </c>
      <c r="AD1438">
        <v>0</v>
      </c>
      <c r="AE1438">
        <v>0</v>
      </c>
      <c r="AF1438" s="21">
        <f t="shared" si="170"/>
        <v>0</v>
      </c>
    </row>
    <row r="1439" spans="1:32" ht="15" customHeight="1" x14ac:dyDescent="0.3">
      <c r="A1439">
        <v>3</v>
      </c>
      <c r="B1439" s="2" t="s">
        <v>696</v>
      </c>
      <c r="C1439" s="4" t="s">
        <v>691</v>
      </c>
      <c r="D1439" s="3" t="s">
        <v>657</v>
      </c>
      <c r="E1439" s="6" t="s">
        <v>34</v>
      </c>
      <c r="F1439" s="6" t="s">
        <v>150</v>
      </c>
      <c r="G1439" s="6" t="s">
        <v>718</v>
      </c>
      <c r="H1439" s="23">
        <v>0</v>
      </c>
      <c r="I1439">
        <v>0</v>
      </c>
      <c r="J1439">
        <v>0</v>
      </c>
      <c r="K1439" s="20">
        <f t="shared" si="168"/>
        <v>0</v>
      </c>
      <c r="L1439">
        <v>0</v>
      </c>
      <c r="M1439">
        <v>0</v>
      </c>
      <c r="N1439" s="21">
        <f t="shared" si="169"/>
        <v>0</v>
      </c>
      <c r="O1439">
        <v>0</v>
      </c>
      <c r="P1439">
        <v>0</v>
      </c>
      <c r="Q1439" s="21">
        <f t="shared" si="163"/>
        <v>0</v>
      </c>
      <c r="R1439">
        <v>0</v>
      </c>
      <c r="S1439">
        <v>0</v>
      </c>
      <c r="T1439" s="21">
        <f t="shared" si="164"/>
        <v>0</v>
      </c>
      <c r="U1439">
        <v>0</v>
      </c>
      <c r="V1439">
        <v>0</v>
      </c>
      <c r="W1439" s="21">
        <f t="shared" si="165"/>
        <v>0</v>
      </c>
      <c r="X1439">
        <v>0</v>
      </c>
      <c r="Y1439">
        <v>0</v>
      </c>
      <c r="Z1439" s="21">
        <f t="shared" si="166"/>
        <v>0</v>
      </c>
      <c r="AA1439">
        <v>0</v>
      </c>
      <c r="AB1439">
        <v>0</v>
      </c>
      <c r="AC1439" s="21">
        <f t="shared" si="167"/>
        <v>0</v>
      </c>
      <c r="AD1439">
        <v>0</v>
      </c>
      <c r="AE1439">
        <v>0</v>
      </c>
      <c r="AF1439" s="21">
        <f t="shared" si="170"/>
        <v>0</v>
      </c>
    </row>
    <row r="1440" spans="1:32" ht="15" customHeight="1" x14ac:dyDescent="0.3">
      <c r="A1440">
        <v>3</v>
      </c>
      <c r="B1440" s="2" t="s">
        <v>696</v>
      </c>
      <c r="C1440" s="4" t="s">
        <v>691</v>
      </c>
      <c r="D1440" s="3" t="s">
        <v>657</v>
      </c>
      <c r="E1440" s="6" t="s">
        <v>34</v>
      </c>
      <c r="F1440" s="6" t="s">
        <v>198</v>
      </c>
      <c r="G1440" s="6" t="s">
        <v>718</v>
      </c>
      <c r="H1440" s="23">
        <v>0</v>
      </c>
      <c r="I1440">
        <v>0</v>
      </c>
      <c r="J1440">
        <v>0</v>
      </c>
      <c r="K1440" s="20">
        <f t="shared" si="168"/>
        <v>0</v>
      </c>
      <c r="L1440">
        <v>0</v>
      </c>
      <c r="M1440">
        <v>0</v>
      </c>
      <c r="N1440" s="21">
        <f t="shared" si="169"/>
        <v>0</v>
      </c>
      <c r="O1440">
        <v>0</v>
      </c>
      <c r="P1440">
        <v>0</v>
      </c>
      <c r="Q1440" s="21">
        <f t="shared" si="163"/>
        <v>0</v>
      </c>
      <c r="R1440">
        <v>0</v>
      </c>
      <c r="S1440">
        <v>0</v>
      </c>
      <c r="T1440" s="21">
        <f t="shared" si="164"/>
        <v>0</v>
      </c>
      <c r="U1440">
        <v>0</v>
      </c>
      <c r="V1440">
        <v>0</v>
      </c>
      <c r="W1440" s="21">
        <f t="shared" si="165"/>
        <v>0</v>
      </c>
      <c r="X1440">
        <v>0</v>
      </c>
      <c r="Y1440">
        <v>0</v>
      </c>
      <c r="Z1440" s="21">
        <f t="shared" si="166"/>
        <v>0</v>
      </c>
      <c r="AA1440">
        <v>0</v>
      </c>
      <c r="AB1440">
        <v>0</v>
      </c>
      <c r="AC1440" s="21">
        <f t="shared" si="167"/>
        <v>0</v>
      </c>
      <c r="AD1440">
        <v>0</v>
      </c>
      <c r="AE1440">
        <v>0</v>
      </c>
      <c r="AF1440" s="21">
        <f t="shared" si="170"/>
        <v>0</v>
      </c>
    </row>
    <row r="1441" spans="1:32" ht="15" customHeight="1" x14ac:dyDescent="0.3">
      <c r="A1441">
        <v>3</v>
      </c>
      <c r="B1441" s="2" t="s">
        <v>696</v>
      </c>
      <c r="C1441" s="4" t="s">
        <v>691</v>
      </c>
      <c r="D1441" s="3" t="s">
        <v>657</v>
      </c>
      <c r="E1441" s="6" t="s">
        <v>34</v>
      </c>
      <c r="F1441" s="6" t="s">
        <v>151</v>
      </c>
      <c r="G1441" s="6" t="s">
        <v>713</v>
      </c>
      <c r="H1441" s="23">
        <v>45000</v>
      </c>
      <c r="I1441">
        <v>0</v>
      </c>
      <c r="J1441">
        <v>0</v>
      </c>
      <c r="K1441" s="20">
        <f t="shared" si="168"/>
        <v>0</v>
      </c>
      <c r="L1441">
        <v>15</v>
      </c>
      <c r="M1441">
        <v>10</v>
      </c>
      <c r="N1441" s="21">
        <f t="shared" si="169"/>
        <v>6750000</v>
      </c>
      <c r="O1441">
        <v>15</v>
      </c>
      <c r="P1441">
        <v>10</v>
      </c>
      <c r="Q1441" s="21">
        <f t="shared" si="163"/>
        <v>6750000</v>
      </c>
      <c r="R1441">
        <v>15</v>
      </c>
      <c r="S1441">
        <v>10</v>
      </c>
      <c r="T1441" s="21">
        <f t="shared" si="164"/>
        <v>6750000</v>
      </c>
      <c r="U1441">
        <v>15</v>
      </c>
      <c r="V1441">
        <v>10</v>
      </c>
      <c r="W1441" s="21">
        <f t="shared" si="165"/>
        <v>6750000</v>
      </c>
      <c r="X1441">
        <v>0</v>
      </c>
      <c r="Y1441">
        <v>0</v>
      </c>
      <c r="Z1441" s="21">
        <f t="shared" si="166"/>
        <v>0</v>
      </c>
      <c r="AA1441">
        <v>0</v>
      </c>
      <c r="AB1441">
        <v>0</v>
      </c>
      <c r="AC1441" s="21">
        <f t="shared" si="167"/>
        <v>0</v>
      </c>
      <c r="AD1441">
        <v>0</v>
      </c>
      <c r="AE1441">
        <v>0</v>
      </c>
      <c r="AF1441" s="21">
        <f t="shared" si="170"/>
        <v>0</v>
      </c>
    </row>
    <row r="1442" spans="1:32" ht="15" customHeight="1" x14ac:dyDescent="0.3">
      <c r="A1442">
        <v>3</v>
      </c>
      <c r="B1442" s="2" t="s">
        <v>696</v>
      </c>
      <c r="C1442" s="4" t="s">
        <v>691</v>
      </c>
      <c r="D1442" s="3" t="s">
        <v>657</v>
      </c>
      <c r="E1442" s="6" t="s">
        <v>34</v>
      </c>
      <c r="F1442" s="6" t="s">
        <v>151</v>
      </c>
      <c r="G1442" s="6" t="s">
        <v>712</v>
      </c>
      <c r="H1442" s="23">
        <v>214.29</v>
      </c>
      <c r="I1442">
        <v>0</v>
      </c>
      <c r="J1442">
        <v>0</v>
      </c>
      <c r="K1442" s="20">
        <f t="shared" si="168"/>
        <v>0</v>
      </c>
      <c r="L1442">
        <v>8000</v>
      </c>
      <c r="M1442">
        <v>1</v>
      </c>
      <c r="N1442" s="21">
        <f t="shared" si="169"/>
        <v>1714320</v>
      </c>
      <c r="O1442">
        <v>8000</v>
      </c>
      <c r="P1442">
        <v>1</v>
      </c>
      <c r="Q1442" s="21">
        <f t="shared" si="163"/>
        <v>1714320</v>
      </c>
      <c r="R1442">
        <v>8000</v>
      </c>
      <c r="S1442">
        <v>1</v>
      </c>
      <c r="T1442" s="21">
        <f t="shared" si="164"/>
        <v>1714320</v>
      </c>
      <c r="U1442">
        <v>8000</v>
      </c>
      <c r="V1442">
        <v>1</v>
      </c>
      <c r="W1442" s="21">
        <f t="shared" si="165"/>
        <v>1714320</v>
      </c>
      <c r="X1442">
        <v>0</v>
      </c>
      <c r="Y1442">
        <v>0</v>
      </c>
      <c r="Z1442" s="21">
        <f t="shared" si="166"/>
        <v>0</v>
      </c>
      <c r="AA1442">
        <v>0</v>
      </c>
      <c r="AB1442">
        <v>0</v>
      </c>
      <c r="AC1442" s="21">
        <f t="shared" si="167"/>
        <v>0</v>
      </c>
      <c r="AD1442">
        <v>0</v>
      </c>
      <c r="AE1442">
        <v>0</v>
      </c>
      <c r="AF1442" s="21">
        <f t="shared" si="170"/>
        <v>0</v>
      </c>
    </row>
    <row r="1443" spans="1:32" ht="15" customHeight="1" x14ac:dyDescent="0.3">
      <c r="A1443">
        <v>3</v>
      </c>
      <c r="B1443" s="2" t="s">
        <v>696</v>
      </c>
      <c r="C1443" s="4" t="s">
        <v>691</v>
      </c>
      <c r="D1443" s="3" t="s">
        <v>657</v>
      </c>
      <c r="E1443" s="6" t="s">
        <v>34</v>
      </c>
      <c r="F1443" s="6" t="s">
        <v>151</v>
      </c>
      <c r="G1443" s="6" t="s">
        <v>714</v>
      </c>
      <c r="H1443" s="23">
        <v>10000</v>
      </c>
      <c r="I1443">
        <v>0</v>
      </c>
      <c r="J1443">
        <v>0</v>
      </c>
      <c r="K1443" s="20">
        <f t="shared" si="168"/>
        <v>0</v>
      </c>
      <c r="L1443">
        <v>15</v>
      </c>
      <c r="M1443">
        <v>1</v>
      </c>
      <c r="N1443" s="21">
        <f t="shared" si="169"/>
        <v>150000</v>
      </c>
      <c r="O1443">
        <v>15</v>
      </c>
      <c r="P1443">
        <v>1</v>
      </c>
      <c r="Q1443" s="21">
        <f t="shared" si="163"/>
        <v>150000</v>
      </c>
      <c r="R1443">
        <v>15</v>
      </c>
      <c r="S1443">
        <v>1</v>
      </c>
      <c r="T1443" s="21">
        <f t="shared" si="164"/>
        <v>150000</v>
      </c>
      <c r="U1443">
        <v>15</v>
      </c>
      <c r="V1443">
        <v>1</v>
      </c>
      <c r="W1443" s="21">
        <f t="shared" si="165"/>
        <v>150000</v>
      </c>
      <c r="X1443">
        <v>0</v>
      </c>
      <c r="Y1443">
        <v>0</v>
      </c>
      <c r="Z1443" s="21">
        <f t="shared" si="166"/>
        <v>0</v>
      </c>
      <c r="AA1443">
        <v>0</v>
      </c>
      <c r="AB1443">
        <v>0</v>
      </c>
      <c r="AC1443" s="21">
        <f t="shared" si="167"/>
        <v>0</v>
      </c>
      <c r="AD1443">
        <v>0</v>
      </c>
      <c r="AE1443">
        <v>0</v>
      </c>
      <c r="AF1443" s="21">
        <f t="shared" si="170"/>
        <v>0</v>
      </c>
    </row>
    <row r="1444" spans="1:32" ht="15" customHeight="1" x14ac:dyDescent="0.3">
      <c r="A1444">
        <v>3</v>
      </c>
      <c r="B1444" s="2" t="s">
        <v>696</v>
      </c>
      <c r="C1444" s="4" t="s">
        <v>691</v>
      </c>
      <c r="D1444" s="3" t="s">
        <v>657</v>
      </c>
      <c r="E1444" s="6" t="s">
        <v>34</v>
      </c>
      <c r="F1444" s="6" t="s">
        <v>151</v>
      </c>
      <c r="G1444" s="6" t="s">
        <v>715</v>
      </c>
      <c r="H1444" s="23">
        <v>302000</v>
      </c>
      <c r="I1444">
        <v>0</v>
      </c>
      <c r="J1444">
        <v>0</v>
      </c>
      <c r="K1444" s="20">
        <f t="shared" si="168"/>
        <v>0</v>
      </c>
      <c r="L1444">
        <v>20</v>
      </c>
      <c r="M1444">
        <v>1</v>
      </c>
      <c r="N1444" s="21">
        <f t="shared" si="169"/>
        <v>6040000</v>
      </c>
      <c r="O1444">
        <v>20</v>
      </c>
      <c r="P1444">
        <v>1</v>
      </c>
      <c r="Q1444" s="21">
        <f t="shared" si="163"/>
        <v>6040000</v>
      </c>
      <c r="R1444">
        <v>20</v>
      </c>
      <c r="S1444">
        <v>1</v>
      </c>
      <c r="T1444" s="21">
        <f t="shared" si="164"/>
        <v>6040000</v>
      </c>
      <c r="U1444">
        <v>20</v>
      </c>
      <c r="V1444">
        <v>1</v>
      </c>
      <c r="W1444" s="21">
        <f t="shared" si="165"/>
        <v>6040000</v>
      </c>
      <c r="X1444">
        <v>0</v>
      </c>
      <c r="Y1444">
        <v>0</v>
      </c>
      <c r="Z1444" s="21">
        <f t="shared" si="166"/>
        <v>0</v>
      </c>
      <c r="AA1444">
        <v>0</v>
      </c>
      <c r="AB1444">
        <v>0</v>
      </c>
      <c r="AC1444" s="21">
        <f t="shared" si="167"/>
        <v>0</v>
      </c>
      <c r="AD1444">
        <v>0</v>
      </c>
      <c r="AE1444">
        <v>0</v>
      </c>
      <c r="AF1444" s="21">
        <f t="shared" si="170"/>
        <v>0</v>
      </c>
    </row>
    <row r="1445" spans="1:32" ht="15" customHeight="1" x14ac:dyDescent="0.3">
      <c r="A1445">
        <v>3</v>
      </c>
      <c r="B1445" s="2" t="s">
        <v>696</v>
      </c>
      <c r="C1445" s="4" t="s">
        <v>691</v>
      </c>
      <c r="D1445" s="3" t="s">
        <v>657</v>
      </c>
      <c r="E1445" s="6" t="s">
        <v>34</v>
      </c>
      <c r="F1445" s="6" t="s">
        <v>159</v>
      </c>
      <c r="G1445" s="6" t="s">
        <v>716</v>
      </c>
      <c r="H1445" s="23">
        <v>39000</v>
      </c>
      <c r="I1445">
        <v>0</v>
      </c>
      <c r="J1445">
        <v>0</v>
      </c>
      <c r="K1445" s="20">
        <f t="shared" si="168"/>
        <v>0</v>
      </c>
      <c r="L1445">
        <v>15</v>
      </c>
      <c r="M1445">
        <v>5</v>
      </c>
      <c r="N1445" s="21">
        <f t="shared" si="169"/>
        <v>2925000</v>
      </c>
      <c r="O1445">
        <v>15</v>
      </c>
      <c r="P1445">
        <v>5</v>
      </c>
      <c r="Q1445" s="21">
        <f t="shared" si="163"/>
        <v>2925000</v>
      </c>
      <c r="R1445">
        <v>15</v>
      </c>
      <c r="S1445">
        <v>5</v>
      </c>
      <c r="T1445" s="21">
        <f t="shared" si="164"/>
        <v>2925000</v>
      </c>
      <c r="U1445">
        <v>15</v>
      </c>
      <c r="V1445">
        <v>5</v>
      </c>
      <c r="W1445" s="21">
        <f t="shared" si="165"/>
        <v>2925000</v>
      </c>
      <c r="X1445">
        <v>0</v>
      </c>
      <c r="Y1445">
        <v>0</v>
      </c>
      <c r="Z1445" s="21">
        <f t="shared" si="166"/>
        <v>0</v>
      </c>
      <c r="AA1445">
        <v>0</v>
      </c>
      <c r="AB1445">
        <v>0</v>
      </c>
      <c r="AC1445" s="21">
        <f t="shared" si="167"/>
        <v>0</v>
      </c>
      <c r="AD1445">
        <v>0</v>
      </c>
      <c r="AE1445">
        <v>0</v>
      </c>
      <c r="AF1445" s="21">
        <f t="shared" si="170"/>
        <v>0</v>
      </c>
    </row>
    <row r="1446" spans="1:32" ht="15" customHeight="1" x14ac:dyDescent="0.3">
      <c r="A1446">
        <v>3</v>
      </c>
      <c r="B1446" s="2" t="s">
        <v>696</v>
      </c>
      <c r="C1446" s="4" t="s">
        <v>691</v>
      </c>
      <c r="D1446" s="3" t="s">
        <v>657</v>
      </c>
      <c r="E1446" s="6" t="s">
        <v>34</v>
      </c>
      <c r="F1446" s="6" t="s">
        <v>159</v>
      </c>
      <c r="G1446" s="6" t="s">
        <v>709</v>
      </c>
      <c r="H1446" s="23">
        <v>28000</v>
      </c>
      <c r="I1446">
        <v>0</v>
      </c>
      <c r="J1446">
        <v>0</v>
      </c>
      <c r="K1446" s="20">
        <f t="shared" si="168"/>
        <v>0</v>
      </c>
      <c r="L1446">
        <v>15</v>
      </c>
      <c r="M1446">
        <v>5</v>
      </c>
      <c r="N1446" s="21">
        <f t="shared" si="169"/>
        <v>2100000</v>
      </c>
      <c r="O1446">
        <v>15</v>
      </c>
      <c r="P1446">
        <v>5</v>
      </c>
      <c r="Q1446" s="21">
        <f t="shared" si="163"/>
        <v>2100000</v>
      </c>
      <c r="R1446">
        <v>15</v>
      </c>
      <c r="S1446">
        <v>5</v>
      </c>
      <c r="T1446" s="21">
        <f t="shared" si="164"/>
        <v>2100000</v>
      </c>
      <c r="U1446">
        <v>15</v>
      </c>
      <c r="V1446">
        <v>5</v>
      </c>
      <c r="W1446" s="21">
        <f t="shared" si="165"/>
        <v>2100000</v>
      </c>
      <c r="X1446">
        <v>0</v>
      </c>
      <c r="Y1446">
        <v>0</v>
      </c>
      <c r="Z1446" s="21">
        <f t="shared" si="166"/>
        <v>0</v>
      </c>
      <c r="AA1446">
        <v>0</v>
      </c>
      <c r="AB1446">
        <v>0</v>
      </c>
      <c r="AC1446" s="21">
        <f t="shared" si="167"/>
        <v>0</v>
      </c>
      <c r="AD1446">
        <v>0</v>
      </c>
      <c r="AE1446">
        <v>0</v>
      </c>
      <c r="AF1446" s="21">
        <f t="shared" si="170"/>
        <v>0</v>
      </c>
    </row>
    <row r="1447" spans="1:32" ht="15" customHeight="1" x14ac:dyDescent="0.3">
      <c r="A1447">
        <v>3</v>
      </c>
      <c r="B1447" s="2" t="s">
        <v>696</v>
      </c>
      <c r="C1447" s="4" t="s">
        <v>691</v>
      </c>
      <c r="D1447" s="3" t="s">
        <v>657</v>
      </c>
      <c r="E1447" s="6" t="s">
        <v>34</v>
      </c>
      <c r="F1447" s="6" t="s">
        <v>159</v>
      </c>
      <c r="G1447" s="6" t="s">
        <v>712</v>
      </c>
      <c r="H1447" s="23">
        <v>214.29</v>
      </c>
      <c r="I1447">
        <v>0</v>
      </c>
      <c r="J1447">
        <v>0</v>
      </c>
      <c r="K1447" s="20">
        <f t="shared" si="168"/>
        <v>0</v>
      </c>
      <c r="L1447">
        <v>4000</v>
      </c>
      <c r="M1447">
        <v>1</v>
      </c>
      <c r="N1447" s="21">
        <f t="shared" si="169"/>
        <v>857160</v>
      </c>
      <c r="O1447">
        <v>4000</v>
      </c>
      <c r="P1447">
        <v>1</v>
      </c>
      <c r="Q1447" s="21">
        <f t="shared" si="163"/>
        <v>857160</v>
      </c>
      <c r="R1447">
        <v>4000</v>
      </c>
      <c r="S1447">
        <v>1</v>
      </c>
      <c r="T1447" s="21">
        <f t="shared" si="164"/>
        <v>857160</v>
      </c>
      <c r="U1447">
        <v>4000</v>
      </c>
      <c r="V1447">
        <v>1</v>
      </c>
      <c r="W1447" s="21">
        <f t="shared" si="165"/>
        <v>857160</v>
      </c>
      <c r="X1447">
        <v>0</v>
      </c>
      <c r="Y1447">
        <v>0</v>
      </c>
      <c r="Z1447" s="21">
        <f t="shared" si="166"/>
        <v>0</v>
      </c>
      <c r="AA1447">
        <v>0</v>
      </c>
      <c r="AB1447">
        <v>0</v>
      </c>
      <c r="AC1447" s="21">
        <f t="shared" si="167"/>
        <v>0</v>
      </c>
      <c r="AD1447">
        <v>0</v>
      </c>
      <c r="AE1447">
        <v>0</v>
      </c>
      <c r="AF1447" s="21">
        <f t="shared" si="170"/>
        <v>0</v>
      </c>
    </row>
    <row r="1448" spans="1:32" ht="15" customHeight="1" x14ac:dyDescent="0.3">
      <c r="A1448">
        <v>3</v>
      </c>
      <c r="B1448" s="2" t="s">
        <v>696</v>
      </c>
      <c r="C1448" s="4" t="s">
        <v>691</v>
      </c>
      <c r="D1448" s="3" t="s">
        <v>657</v>
      </c>
      <c r="E1448" s="6" t="s">
        <v>34</v>
      </c>
      <c r="F1448" s="6" t="s">
        <v>153</v>
      </c>
      <c r="G1448" s="6" t="s">
        <v>716</v>
      </c>
      <c r="H1448" s="23">
        <v>39000</v>
      </c>
      <c r="I1448">
        <v>0</v>
      </c>
      <c r="J1448">
        <v>0</v>
      </c>
      <c r="K1448" s="20">
        <f t="shared" si="168"/>
        <v>0</v>
      </c>
      <c r="L1448">
        <v>15</v>
      </c>
      <c r="M1448">
        <v>5</v>
      </c>
      <c r="N1448" s="21">
        <f t="shared" si="169"/>
        <v>2925000</v>
      </c>
      <c r="O1448">
        <v>15</v>
      </c>
      <c r="P1448">
        <v>5</v>
      </c>
      <c r="Q1448" s="21">
        <f t="shared" si="163"/>
        <v>2925000</v>
      </c>
      <c r="R1448">
        <v>15</v>
      </c>
      <c r="S1448">
        <v>5</v>
      </c>
      <c r="T1448" s="21">
        <f t="shared" si="164"/>
        <v>2925000</v>
      </c>
      <c r="U1448">
        <v>15</v>
      </c>
      <c r="V1448">
        <v>5</v>
      </c>
      <c r="W1448" s="21">
        <f t="shared" si="165"/>
        <v>2925000</v>
      </c>
      <c r="X1448">
        <v>0</v>
      </c>
      <c r="Y1448">
        <v>0</v>
      </c>
      <c r="Z1448" s="21">
        <f t="shared" si="166"/>
        <v>0</v>
      </c>
      <c r="AA1448">
        <v>0</v>
      </c>
      <c r="AB1448">
        <v>0</v>
      </c>
      <c r="AC1448" s="21">
        <f t="shared" si="167"/>
        <v>0</v>
      </c>
      <c r="AD1448">
        <v>0</v>
      </c>
      <c r="AE1448">
        <v>0</v>
      </c>
      <c r="AF1448" s="21">
        <f t="shared" si="170"/>
        <v>0</v>
      </c>
    </row>
    <row r="1449" spans="1:32" ht="15" customHeight="1" x14ac:dyDescent="0.3">
      <c r="A1449">
        <v>3</v>
      </c>
      <c r="B1449" s="2" t="s">
        <v>696</v>
      </c>
      <c r="C1449" s="4" t="s">
        <v>691</v>
      </c>
      <c r="D1449" s="3" t="s">
        <v>657</v>
      </c>
      <c r="E1449" s="6" t="s">
        <v>34</v>
      </c>
      <c r="F1449" s="6" t="s">
        <v>153</v>
      </c>
      <c r="G1449" s="6" t="s">
        <v>709</v>
      </c>
      <c r="H1449" s="23">
        <v>28000</v>
      </c>
      <c r="I1449">
        <v>0</v>
      </c>
      <c r="J1449">
        <v>0</v>
      </c>
      <c r="K1449" s="20">
        <f t="shared" si="168"/>
        <v>0</v>
      </c>
      <c r="L1449">
        <v>15</v>
      </c>
      <c r="M1449">
        <v>5</v>
      </c>
      <c r="N1449" s="21">
        <f t="shared" si="169"/>
        <v>2100000</v>
      </c>
      <c r="O1449">
        <v>15</v>
      </c>
      <c r="P1449">
        <v>5</v>
      </c>
      <c r="Q1449" s="21">
        <f t="shared" si="163"/>
        <v>2100000</v>
      </c>
      <c r="R1449">
        <v>15</v>
      </c>
      <c r="S1449">
        <v>5</v>
      </c>
      <c r="T1449" s="21">
        <f t="shared" si="164"/>
        <v>2100000</v>
      </c>
      <c r="U1449">
        <v>15</v>
      </c>
      <c r="V1449">
        <v>5</v>
      </c>
      <c r="W1449" s="21">
        <f t="shared" si="165"/>
        <v>2100000</v>
      </c>
      <c r="X1449">
        <v>0</v>
      </c>
      <c r="Y1449">
        <v>0</v>
      </c>
      <c r="Z1449" s="21">
        <f t="shared" si="166"/>
        <v>0</v>
      </c>
      <c r="AA1449">
        <v>0</v>
      </c>
      <c r="AB1449">
        <v>0</v>
      </c>
      <c r="AC1449" s="21">
        <f t="shared" si="167"/>
        <v>0</v>
      </c>
      <c r="AD1449">
        <v>0</v>
      </c>
      <c r="AE1449">
        <v>0</v>
      </c>
      <c r="AF1449" s="21">
        <f t="shared" si="170"/>
        <v>0</v>
      </c>
    </row>
    <row r="1450" spans="1:32" ht="15" customHeight="1" x14ac:dyDescent="0.3">
      <c r="A1450">
        <v>3</v>
      </c>
      <c r="B1450" s="2" t="s">
        <v>696</v>
      </c>
      <c r="C1450" s="4" t="s">
        <v>691</v>
      </c>
      <c r="D1450" s="3" t="s">
        <v>657</v>
      </c>
      <c r="E1450" s="6" t="s">
        <v>34</v>
      </c>
      <c r="F1450" s="6" t="s">
        <v>153</v>
      </c>
      <c r="G1450" s="6" t="s">
        <v>712</v>
      </c>
      <c r="H1450" s="23">
        <v>214.29</v>
      </c>
      <c r="I1450">
        <v>0</v>
      </c>
      <c r="J1450">
        <v>0</v>
      </c>
      <c r="K1450" s="20">
        <f t="shared" si="168"/>
        <v>0</v>
      </c>
      <c r="L1450">
        <v>4000</v>
      </c>
      <c r="M1450">
        <v>1</v>
      </c>
      <c r="N1450" s="21">
        <f t="shared" si="169"/>
        <v>857160</v>
      </c>
      <c r="O1450">
        <v>4000</v>
      </c>
      <c r="P1450">
        <v>1</v>
      </c>
      <c r="Q1450" s="21">
        <f t="shared" si="163"/>
        <v>857160</v>
      </c>
      <c r="R1450">
        <v>4000</v>
      </c>
      <c r="S1450">
        <v>1</v>
      </c>
      <c r="T1450" s="21">
        <f t="shared" si="164"/>
        <v>857160</v>
      </c>
      <c r="U1450">
        <v>4000</v>
      </c>
      <c r="V1450">
        <v>1</v>
      </c>
      <c r="W1450" s="21">
        <f t="shared" si="165"/>
        <v>857160</v>
      </c>
      <c r="X1450">
        <v>0</v>
      </c>
      <c r="Y1450">
        <v>0</v>
      </c>
      <c r="Z1450" s="21">
        <f t="shared" si="166"/>
        <v>0</v>
      </c>
      <c r="AA1450">
        <v>0</v>
      </c>
      <c r="AB1450">
        <v>0</v>
      </c>
      <c r="AC1450" s="21">
        <f t="shared" si="167"/>
        <v>0</v>
      </c>
      <c r="AD1450">
        <v>0</v>
      </c>
      <c r="AE1450">
        <v>0</v>
      </c>
      <c r="AF1450" s="21">
        <f t="shared" si="170"/>
        <v>0</v>
      </c>
    </row>
    <row r="1451" spans="1:32" ht="15" customHeight="1" x14ac:dyDescent="0.3">
      <c r="A1451">
        <v>3</v>
      </c>
      <c r="B1451" s="2" t="s">
        <v>696</v>
      </c>
      <c r="C1451" s="4" t="s">
        <v>691</v>
      </c>
      <c r="D1451" s="3" t="s">
        <v>657</v>
      </c>
      <c r="E1451" s="6" t="s">
        <v>34</v>
      </c>
      <c r="F1451" s="6" t="s">
        <v>306</v>
      </c>
      <c r="G1451" s="6" t="s">
        <v>716</v>
      </c>
      <c r="H1451" s="23">
        <v>39000</v>
      </c>
      <c r="I1451">
        <v>0</v>
      </c>
      <c r="J1451">
        <v>0</v>
      </c>
      <c r="K1451" s="20">
        <f t="shared" si="168"/>
        <v>0</v>
      </c>
      <c r="L1451">
        <v>15</v>
      </c>
      <c r="M1451">
        <v>1</v>
      </c>
      <c r="N1451" s="21">
        <f t="shared" si="169"/>
        <v>585000</v>
      </c>
      <c r="O1451">
        <v>15</v>
      </c>
      <c r="P1451">
        <v>1</v>
      </c>
      <c r="Q1451" s="21">
        <f t="shared" si="163"/>
        <v>585000</v>
      </c>
      <c r="R1451">
        <v>15</v>
      </c>
      <c r="S1451">
        <v>1</v>
      </c>
      <c r="T1451" s="21">
        <f t="shared" si="164"/>
        <v>585000</v>
      </c>
      <c r="U1451">
        <v>15</v>
      </c>
      <c r="V1451">
        <v>1</v>
      </c>
      <c r="W1451" s="21">
        <f t="shared" si="165"/>
        <v>585000</v>
      </c>
      <c r="X1451">
        <v>0</v>
      </c>
      <c r="Y1451">
        <v>0</v>
      </c>
      <c r="Z1451" s="21">
        <f t="shared" si="166"/>
        <v>0</v>
      </c>
      <c r="AA1451">
        <v>0</v>
      </c>
      <c r="AB1451">
        <v>0</v>
      </c>
      <c r="AC1451" s="21">
        <f t="shared" si="167"/>
        <v>0</v>
      </c>
      <c r="AD1451">
        <v>0</v>
      </c>
      <c r="AE1451">
        <v>0</v>
      </c>
      <c r="AF1451" s="21">
        <f t="shared" si="170"/>
        <v>0</v>
      </c>
    </row>
    <row r="1452" spans="1:32" ht="15" customHeight="1" x14ac:dyDescent="0.3">
      <c r="A1452">
        <v>3</v>
      </c>
      <c r="B1452" s="2" t="s">
        <v>696</v>
      </c>
      <c r="C1452" s="4" t="s">
        <v>691</v>
      </c>
      <c r="D1452" s="3" t="s">
        <v>657</v>
      </c>
      <c r="E1452" s="6" t="s">
        <v>34</v>
      </c>
      <c r="F1452" s="6" t="s">
        <v>306</v>
      </c>
      <c r="G1452" s="6" t="s">
        <v>709</v>
      </c>
      <c r="H1452" s="23">
        <v>28000</v>
      </c>
      <c r="I1452">
        <v>0</v>
      </c>
      <c r="J1452">
        <v>0</v>
      </c>
      <c r="K1452" s="20">
        <f t="shared" si="168"/>
        <v>0</v>
      </c>
      <c r="L1452">
        <v>30</v>
      </c>
      <c r="M1452">
        <v>1</v>
      </c>
      <c r="N1452" s="21">
        <f t="shared" si="169"/>
        <v>840000</v>
      </c>
      <c r="O1452">
        <v>30</v>
      </c>
      <c r="P1452">
        <v>1</v>
      </c>
      <c r="Q1452" s="21">
        <f t="shared" si="163"/>
        <v>840000</v>
      </c>
      <c r="R1452">
        <v>30</v>
      </c>
      <c r="S1452">
        <v>1</v>
      </c>
      <c r="T1452" s="21">
        <f t="shared" si="164"/>
        <v>840000</v>
      </c>
      <c r="U1452">
        <v>30</v>
      </c>
      <c r="V1452">
        <v>1</v>
      </c>
      <c r="W1452" s="21">
        <f t="shared" si="165"/>
        <v>840000</v>
      </c>
      <c r="X1452">
        <v>0</v>
      </c>
      <c r="Y1452">
        <v>0</v>
      </c>
      <c r="Z1452" s="21">
        <f t="shared" si="166"/>
        <v>0</v>
      </c>
      <c r="AA1452">
        <v>0</v>
      </c>
      <c r="AB1452">
        <v>0</v>
      </c>
      <c r="AC1452" s="21">
        <f t="shared" si="167"/>
        <v>0</v>
      </c>
      <c r="AD1452">
        <v>0</v>
      </c>
      <c r="AE1452">
        <v>0</v>
      </c>
      <c r="AF1452" s="21">
        <f t="shared" si="170"/>
        <v>0</v>
      </c>
    </row>
    <row r="1453" spans="1:32" ht="15" customHeight="1" x14ac:dyDescent="0.3">
      <c r="A1453">
        <v>3</v>
      </c>
      <c r="B1453" s="2" t="s">
        <v>696</v>
      </c>
      <c r="C1453" s="4" t="s">
        <v>691</v>
      </c>
      <c r="D1453" s="3" t="s">
        <v>657</v>
      </c>
      <c r="E1453" s="6" t="s">
        <v>34</v>
      </c>
      <c r="F1453" s="6" t="s">
        <v>306</v>
      </c>
      <c r="G1453" s="6" t="s">
        <v>712</v>
      </c>
      <c r="H1453" s="23">
        <v>214.29</v>
      </c>
      <c r="I1453">
        <v>0</v>
      </c>
      <c r="J1453">
        <v>0</v>
      </c>
      <c r="K1453" s="20">
        <f t="shared" si="168"/>
        <v>0</v>
      </c>
      <c r="L1453">
        <v>4000</v>
      </c>
      <c r="M1453">
        <v>1</v>
      </c>
      <c r="N1453" s="21">
        <f t="shared" si="169"/>
        <v>857160</v>
      </c>
      <c r="O1453">
        <v>4000</v>
      </c>
      <c r="P1453">
        <v>1</v>
      </c>
      <c r="Q1453" s="21">
        <f t="shared" si="163"/>
        <v>857160</v>
      </c>
      <c r="R1453">
        <v>4000</v>
      </c>
      <c r="S1453">
        <v>1</v>
      </c>
      <c r="T1453" s="21">
        <f t="shared" si="164"/>
        <v>857160</v>
      </c>
      <c r="U1453">
        <v>4000</v>
      </c>
      <c r="V1453">
        <v>1</v>
      </c>
      <c r="W1453" s="21">
        <f t="shared" si="165"/>
        <v>857160</v>
      </c>
      <c r="X1453">
        <v>0</v>
      </c>
      <c r="Y1453">
        <v>0</v>
      </c>
      <c r="Z1453" s="21">
        <f t="shared" si="166"/>
        <v>0</v>
      </c>
      <c r="AA1453">
        <v>0</v>
      </c>
      <c r="AB1453">
        <v>0</v>
      </c>
      <c r="AC1453" s="21">
        <f t="shared" si="167"/>
        <v>0</v>
      </c>
      <c r="AD1453">
        <v>0</v>
      </c>
      <c r="AE1453">
        <v>0</v>
      </c>
      <c r="AF1453" s="21">
        <f t="shared" si="170"/>
        <v>0</v>
      </c>
    </row>
    <row r="1454" spans="1:32" ht="15" customHeight="1" x14ac:dyDescent="0.3">
      <c r="A1454">
        <v>3</v>
      </c>
      <c r="B1454" s="2" t="s">
        <v>696</v>
      </c>
      <c r="C1454" s="4" t="s">
        <v>691</v>
      </c>
      <c r="D1454" s="3" t="s">
        <v>657</v>
      </c>
      <c r="E1454" s="6" t="s">
        <v>35</v>
      </c>
      <c r="F1454" s="6" t="s">
        <v>307</v>
      </c>
      <c r="G1454" s="6" t="s">
        <v>716</v>
      </c>
      <c r="H1454" s="23">
        <v>39000</v>
      </c>
      <c r="I1454">
        <v>0</v>
      </c>
      <c r="J1454">
        <v>0</v>
      </c>
      <c r="K1454" s="20">
        <f t="shared" si="168"/>
        <v>0</v>
      </c>
      <c r="L1454">
        <v>30</v>
      </c>
      <c r="M1454">
        <v>25</v>
      </c>
      <c r="N1454" s="21">
        <f t="shared" si="169"/>
        <v>29250000</v>
      </c>
      <c r="O1454">
        <v>0</v>
      </c>
      <c r="P1454">
        <v>0</v>
      </c>
      <c r="Q1454" s="21">
        <f t="shared" si="163"/>
        <v>0</v>
      </c>
      <c r="R1454">
        <v>0</v>
      </c>
      <c r="S1454">
        <v>0</v>
      </c>
      <c r="T1454" s="21">
        <f t="shared" si="164"/>
        <v>0</v>
      </c>
      <c r="U1454">
        <v>0</v>
      </c>
      <c r="V1454">
        <v>0</v>
      </c>
      <c r="W1454" s="21">
        <f t="shared" si="165"/>
        <v>0</v>
      </c>
      <c r="X1454">
        <v>0</v>
      </c>
      <c r="Y1454">
        <v>0</v>
      </c>
      <c r="Z1454" s="21">
        <f t="shared" si="166"/>
        <v>0</v>
      </c>
      <c r="AA1454">
        <v>0</v>
      </c>
      <c r="AB1454">
        <v>0</v>
      </c>
      <c r="AC1454" s="21">
        <f t="shared" si="167"/>
        <v>0</v>
      </c>
      <c r="AD1454">
        <v>0</v>
      </c>
      <c r="AE1454">
        <v>0</v>
      </c>
      <c r="AF1454" s="21">
        <f t="shared" si="170"/>
        <v>0</v>
      </c>
    </row>
    <row r="1455" spans="1:32" ht="15" customHeight="1" x14ac:dyDescent="0.3">
      <c r="A1455">
        <v>3</v>
      </c>
      <c r="B1455" s="2" t="s">
        <v>696</v>
      </c>
      <c r="C1455" s="4" t="s">
        <v>691</v>
      </c>
      <c r="D1455" s="3" t="s">
        <v>657</v>
      </c>
      <c r="E1455" s="6" t="s">
        <v>35</v>
      </c>
      <c r="F1455" s="6" t="s">
        <v>307</v>
      </c>
      <c r="G1455" s="6" t="s">
        <v>709</v>
      </c>
      <c r="H1455" s="23">
        <v>28000</v>
      </c>
      <c r="I1455">
        <v>0</v>
      </c>
      <c r="J1455">
        <v>0</v>
      </c>
      <c r="K1455" s="20">
        <f t="shared" si="168"/>
        <v>0</v>
      </c>
      <c r="L1455">
        <v>40</v>
      </c>
      <c r="M1455">
        <v>5</v>
      </c>
      <c r="N1455" s="21">
        <f t="shared" si="169"/>
        <v>5600000</v>
      </c>
      <c r="O1455">
        <v>0</v>
      </c>
      <c r="P1455">
        <v>0</v>
      </c>
      <c r="Q1455" s="21">
        <f t="shared" si="163"/>
        <v>0</v>
      </c>
      <c r="R1455">
        <v>0</v>
      </c>
      <c r="S1455">
        <v>0</v>
      </c>
      <c r="T1455" s="21">
        <f t="shared" si="164"/>
        <v>0</v>
      </c>
      <c r="U1455">
        <v>0</v>
      </c>
      <c r="V1455">
        <v>0</v>
      </c>
      <c r="W1455" s="21">
        <f t="shared" si="165"/>
        <v>0</v>
      </c>
      <c r="X1455">
        <v>0</v>
      </c>
      <c r="Y1455">
        <v>0</v>
      </c>
      <c r="Z1455" s="21">
        <f t="shared" si="166"/>
        <v>0</v>
      </c>
      <c r="AA1455">
        <v>0</v>
      </c>
      <c r="AB1455">
        <v>0</v>
      </c>
      <c r="AC1455" s="21">
        <f t="shared" si="167"/>
        <v>0</v>
      </c>
      <c r="AD1455">
        <v>0</v>
      </c>
      <c r="AE1455">
        <v>0</v>
      </c>
      <c r="AF1455" s="21">
        <f t="shared" si="170"/>
        <v>0</v>
      </c>
    </row>
    <row r="1456" spans="1:32" ht="15" customHeight="1" x14ac:dyDescent="0.3">
      <c r="A1456">
        <v>3</v>
      </c>
      <c r="B1456" s="2" t="s">
        <v>696</v>
      </c>
      <c r="C1456" s="4" t="s">
        <v>691</v>
      </c>
      <c r="D1456" s="3" t="s">
        <v>657</v>
      </c>
      <c r="E1456" s="6" t="s">
        <v>35</v>
      </c>
      <c r="F1456" s="6" t="s">
        <v>307</v>
      </c>
      <c r="G1456" s="6" t="s">
        <v>712</v>
      </c>
      <c r="H1456" s="23">
        <v>214.29</v>
      </c>
      <c r="I1456">
        <v>0</v>
      </c>
      <c r="J1456">
        <v>0</v>
      </c>
      <c r="K1456" s="20">
        <f t="shared" si="168"/>
        <v>0</v>
      </c>
      <c r="L1456">
        <v>8000</v>
      </c>
      <c r="M1456">
        <v>1</v>
      </c>
      <c r="N1456" s="21">
        <f t="shared" si="169"/>
        <v>1714320</v>
      </c>
      <c r="O1456">
        <v>0</v>
      </c>
      <c r="P1456">
        <v>0</v>
      </c>
      <c r="Q1456" s="21">
        <f t="shared" si="163"/>
        <v>0</v>
      </c>
      <c r="R1456">
        <v>0</v>
      </c>
      <c r="S1456">
        <v>0</v>
      </c>
      <c r="T1456" s="21">
        <f t="shared" si="164"/>
        <v>0</v>
      </c>
      <c r="U1456">
        <v>0</v>
      </c>
      <c r="V1456">
        <v>0</v>
      </c>
      <c r="W1456" s="21">
        <f t="shared" si="165"/>
        <v>0</v>
      </c>
      <c r="X1456">
        <v>0</v>
      </c>
      <c r="Y1456">
        <v>0</v>
      </c>
      <c r="Z1456" s="21">
        <f t="shared" si="166"/>
        <v>0</v>
      </c>
      <c r="AA1456">
        <v>0</v>
      </c>
      <c r="AB1456">
        <v>0</v>
      </c>
      <c r="AC1456" s="21">
        <f t="shared" si="167"/>
        <v>0</v>
      </c>
      <c r="AD1456">
        <v>0</v>
      </c>
      <c r="AE1456">
        <v>0</v>
      </c>
      <c r="AF1456" s="21">
        <f t="shared" si="170"/>
        <v>0</v>
      </c>
    </row>
    <row r="1457" spans="1:32" ht="15" customHeight="1" x14ac:dyDescent="0.3">
      <c r="A1457">
        <v>3</v>
      </c>
      <c r="B1457" s="2" t="s">
        <v>696</v>
      </c>
      <c r="C1457" s="4" t="s">
        <v>691</v>
      </c>
      <c r="D1457" s="3" t="s">
        <v>657</v>
      </c>
      <c r="E1457" s="6" t="s">
        <v>35</v>
      </c>
      <c r="F1457" s="6" t="s">
        <v>308</v>
      </c>
      <c r="G1457" s="6" t="s">
        <v>716</v>
      </c>
      <c r="H1457" s="23">
        <v>39000</v>
      </c>
      <c r="I1457">
        <v>0</v>
      </c>
      <c r="J1457">
        <v>0</v>
      </c>
      <c r="K1457" s="20">
        <f t="shared" si="168"/>
        <v>0</v>
      </c>
      <c r="L1457">
        <v>25</v>
      </c>
      <c r="M1457">
        <v>5</v>
      </c>
      <c r="N1457" s="21">
        <f t="shared" si="169"/>
        <v>4875000</v>
      </c>
      <c r="O1457">
        <v>0</v>
      </c>
      <c r="P1457">
        <v>0</v>
      </c>
      <c r="Q1457" s="21">
        <f t="shared" si="163"/>
        <v>0</v>
      </c>
      <c r="R1457">
        <v>0</v>
      </c>
      <c r="S1457">
        <v>0</v>
      </c>
      <c r="T1457" s="21">
        <f t="shared" si="164"/>
        <v>0</v>
      </c>
      <c r="U1457">
        <v>0</v>
      </c>
      <c r="V1457">
        <v>0</v>
      </c>
      <c r="W1457" s="21">
        <f t="shared" si="165"/>
        <v>0</v>
      </c>
      <c r="X1457">
        <v>0</v>
      </c>
      <c r="Y1457">
        <v>0</v>
      </c>
      <c r="Z1457" s="21">
        <f t="shared" si="166"/>
        <v>0</v>
      </c>
      <c r="AA1457">
        <v>0</v>
      </c>
      <c r="AB1457">
        <v>0</v>
      </c>
      <c r="AC1457" s="21">
        <f t="shared" si="167"/>
        <v>0</v>
      </c>
      <c r="AD1457">
        <v>0</v>
      </c>
      <c r="AE1457">
        <v>0</v>
      </c>
      <c r="AF1457" s="21">
        <f t="shared" si="170"/>
        <v>0</v>
      </c>
    </row>
    <row r="1458" spans="1:32" ht="15" customHeight="1" x14ac:dyDescent="0.3">
      <c r="A1458">
        <v>3</v>
      </c>
      <c r="B1458" s="2" t="s">
        <v>696</v>
      </c>
      <c r="C1458" s="4" t="s">
        <v>691</v>
      </c>
      <c r="D1458" s="3" t="s">
        <v>657</v>
      </c>
      <c r="E1458" s="6" t="s">
        <v>35</v>
      </c>
      <c r="F1458" s="6" t="s">
        <v>737</v>
      </c>
      <c r="G1458" s="6" t="s">
        <v>709</v>
      </c>
      <c r="H1458" s="23">
        <v>28000</v>
      </c>
      <c r="I1458">
        <v>0</v>
      </c>
      <c r="J1458">
        <v>0</v>
      </c>
      <c r="K1458" s="20">
        <f t="shared" si="168"/>
        <v>0</v>
      </c>
      <c r="L1458">
        <v>25</v>
      </c>
      <c r="M1458">
        <v>5</v>
      </c>
      <c r="N1458" s="21">
        <f t="shared" si="169"/>
        <v>3500000</v>
      </c>
      <c r="O1458">
        <v>0</v>
      </c>
      <c r="P1458">
        <v>0</v>
      </c>
      <c r="Q1458" s="21">
        <f t="shared" si="163"/>
        <v>0</v>
      </c>
      <c r="R1458">
        <v>0</v>
      </c>
      <c r="S1458">
        <v>0</v>
      </c>
      <c r="T1458" s="21">
        <f t="shared" si="164"/>
        <v>0</v>
      </c>
      <c r="U1458">
        <v>0</v>
      </c>
      <c r="V1458">
        <v>0</v>
      </c>
      <c r="W1458" s="21">
        <f t="shared" si="165"/>
        <v>0</v>
      </c>
      <c r="X1458">
        <v>0</v>
      </c>
      <c r="Y1458">
        <v>0</v>
      </c>
      <c r="Z1458" s="21">
        <f t="shared" si="166"/>
        <v>0</v>
      </c>
      <c r="AA1458">
        <v>0</v>
      </c>
      <c r="AB1458">
        <v>0</v>
      </c>
      <c r="AC1458" s="21">
        <f t="shared" si="167"/>
        <v>0</v>
      </c>
      <c r="AD1458">
        <v>0</v>
      </c>
      <c r="AE1458">
        <v>0</v>
      </c>
      <c r="AF1458" s="21">
        <f t="shared" si="170"/>
        <v>0</v>
      </c>
    </row>
    <row r="1459" spans="1:32" ht="15" customHeight="1" x14ac:dyDescent="0.3">
      <c r="A1459">
        <v>3</v>
      </c>
      <c r="B1459" s="2" t="s">
        <v>696</v>
      </c>
      <c r="C1459" s="4" t="s">
        <v>691</v>
      </c>
      <c r="D1459" s="3" t="s">
        <v>657</v>
      </c>
      <c r="E1459" s="6" t="s">
        <v>35</v>
      </c>
      <c r="F1459" s="6" t="s">
        <v>738</v>
      </c>
      <c r="G1459" s="6" t="s">
        <v>712</v>
      </c>
      <c r="H1459" s="23">
        <v>214.29</v>
      </c>
      <c r="I1459">
        <v>0</v>
      </c>
      <c r="J1459">
        <v>0</v>
      </c>
      <c r="K1459" s="20">
        <f t="shared" si="168"/>
        <v>0</v>
      </c>
      <c r="L1459">
        <v>8000</v>
      </c>
      <c r="M1459">
        <v>1</v>
      </c>
      <c r="N1459" s="21">
        <f t="shared" si="169"/>
        <v>1714320</v>
      </c>
      <c r="O1459">
        <v>0</v>
      </c>
      <c r="P1459">
        <v>0</v>
      </c>
      <c r="Q1459" s="21">
        <f t="shared" si="163"/>
        <v>0</v>
      </c>
      <c r="R1459">
        <v>0</v>
      </c>
      <c r="S1459">
        <v>0</v>
      </c>
      <c r="T1459" s="21">
        <f t="shared" si="164"/>
        <v>0</v>
      </c>
      <c r="U1459">
        <v>0</v>
      </c>
      <c r="V1459">
        <v>0</v>
      </c>
      <c r="W1459" s="21">
        <f t="shared" si="165"/>
        <v>0</v>
      </c>
      <c r="X1459">
        <v>0</v>
      </c>
      <c r="Y1459">
        <v>0</v>
      </c>
      <c r="Z1459" s="21">
        <f t="shared" si="166"/>
        <v>0</v>
      </c>
      <c r="AA1459">
        <v>0</v>
      </c>
      <c r="AB1459">
        <v>0</v>
      </c>
      <c r="AC1459" s="21">
        <f t="shared" si="167"/>
        <v>0</v>
      </c>
      <c r="AD1459">
        <v>0</v>
      </c>
      <c r="AE1459">
        <v>0</v>
      </c>
      <c r="AF1459" s="21">
        <f t="shared" si="170"/>
        <v>0</v>
      </c>
    </row>
    <row r="1460" spans="1:32" ht="15" customHeight="1" x14ac:dyDescent="0.3">
      <c r="A1460">
        <v>3</v>
      </c>
      <c r="B1460" s="2" t="s">
        <v>696</v>
      </c>
      <c r="C1460" s="4" t="s">
        <v>691</v>
      </c>
      <c r="D1460" s="3" t="s">
        <v>657</v>
      </c>
      <c r="E1460" s="6" t="s">
        <v>35</v>
      </c>
      <c r="F1460" s="6" t="s">
        <v>309</v>
      </c>
      <c r="G1460" s="6" t="s">
        <v>716</v>
      </c>
      <c r="H1460" s="23">
        <v>39000</v>
      </c>
      <c r="I1460">
        <v>0</v>
      </c>
      <c r="J1460">
        <v>0</v>
      </c>
      <c r="K1460" s="20">
        <f t="shared" si="168"/>
        <v>0</v>
      </c>
      <c r="L1460">
        <v>180</v>
      </c>
      <c r="M1460">
        <v>5</v>
      </c>
      <c r="N1460" s="21">
        <f t="shared" si="169"/>
        <v>35100000</v>
      </c>
      <c r="O1460">
        <v>0</v>
      </c>
      <c r="P1460">
        <v>0</v>
      </c>
      <c r="Q1460" s="21">
        <f t="shared" si="163"/>
        <v>0</v>
      </c>
      <c r="R1460">
        <v>0</v>
      </c>
      <c r="S1460">
        <v>0</v>
      </c>
      <c r="T1460" s="21">
        <f t="shared" si="164"/>
        <v>0</v>
      </c>
      <c r="U1460">
        <v>0</v>
      </c>
      <c r="V1460">
        <v>0</v>
      </c>
      <c r="W1460" s="21">
        <f t="shared" si="165"/>
        <v>0</v>
      </c>
      <c r="X1460">
        <v>0</v>
      </c>
      <c r="Y1460">
        <v>0</v>
      </c>
      <c r="Z1460" s="21">
        <f t="shared" si="166"/>
        <v>0</v>
      </c>
      <c r="AA1460">
        <v>0</v>
      </c>
      <c r="AB1460">
        <v>0</v>
      </c>
      <c r="AC1460" s="21">
        <f t="shared" si="167"/>
        <v>0</v>
      </c>
      <c r="AD1460">
        <v>0</v>
      </c>
      <c r="AE1460">
        <v>0</v>
      </c>
      <c r="AF1460" s="21">
        <f t="shared" si="170"/>
        <v>0</v>
      </c>
    </row>
    <row r="1461" spans="1:32" ht="15" customHeight="1" x14ac:dyDescent="0.3">
      <c r="A1461">
        <v>3</v>
      </c>
      <c r="B1461" s="2" t="s">
        <v>696</v>
      </c>
      <c r="C1461" s="4" t="s">
        <v>691</v>
      </c>
      <c r="D1461" s="3" t="s">
        <v>657</v>
      </c>
      <c r="E1461" s="6" t="s">
        <v>35</v>
      </c>
      <c r="F1461" s="6" t="s">
        <v>739</v>
      </c>
      <c r="G1461" s="6" t="s">
        <v>709</v>
      </c>
      <c r="H1461" s="23">
        <v>28000</v>
      </c>
      <c r="I1461">
        <v>0</v>
      </c>
      <c r="J1461">
        <v>0</v>
      </c>
      <c r="K1461" s="20">
        <f t="shared" si="168"/>
        <v>0</v>
      </c>
      <c r="L1461">
        <v>180</v>
      </c>
      <c r="M1461">
        <v>5</v>
      </c>
      <c r="N1461" s="21">
        <f t="shared" si="169"/>
        <v>25200000</v>
      </c>
      <c r="O1461">
        <v>0</v>
      </c>
      <c r="P1461">
        <v>0</v>
      </c>
      <c r="Q1461" s="21">
        <f t="shared" si="163"/>
        <v>0</v>
      </c>
      <c r="R1461">
        <v>0</v>
      </c>
      <c r="S1461">
        <v>0</v>
      </c>
      <c r="T1461" s="21">
        <f t="shared" si="164"/>
        <v>0</v>
      </c>
      <c r="U1461">
        <v>0</v>
      </c>
      <c r="V1461">
        <v>0</v>
      </c>
      <c r="W1461" s="21">
        <f t="shared" si="165"/>
        <v>0</v>
      </c>
      <c r="X1461">
        <v>0</v>
      </c>
      <c r="Y1461">
        <v>0</v>
      </c>
      <c r="Z1461" s="21">
        <f t="shared" si="166"/>
        <v>0</v>
      </c>
      <c r="AA1461">
        <v>0</v>
      </c>
      <c r="AB1461">
        <v>0</v>
      </c>
      <c r="AC1461" s="21">
        <f t="shared" si="167"/>
        <v>0</v>
      </c>
      <c r="AD1461">
        <v>0</v>
      </c>
      <c r="AE1461">
        <v>0</v>
      </c>
      <c r="AF1461" s="21">
        <f t="shared" si="170"/>
        <v>0</v>
      </c>
    </row>
    <row r="1462" spans="1:32" ht="15" customHeight="1" x14ac:dyDescent="0.3">
      <c r="A1462">
        <v>3</v>
      </c>
      <c r="B1462" s="2" t="s">
        <v>696</v>
      </c>
      <c r="C1462" s="4" t="s">
        <v>691</v>
      </c>
      <c r="D1462" s="3" t="s">
        <v>657</v>
      </c>
      <c r="E1462" s="6" t="s">
        <v>35</v>
      </c>
      <c r="F1462" s="6" t="s">
        <v>740</v>
      </c>
      <c r="G1462" s="6" t="s">
        <v>712</v>
      </c>
      <c r="H1462" s="23">
        <v>214.29</v>
      </c>
      <c r="I1462">
        <v>0</v>
      </c>
      <c r="J1462">
        <v>0</v>
      </c>
      <c r="K1462" s="20">
        <f t="shared" si="168"/>
        <v>0</v>
      </c>
      <c r="L1462">
        <v>40000</v>
      </c>
      <c r="M1462">
        <v>1</v>
      </c>
      <c r="N1462" s="21">
        <f t="shared" si="169"/>
        <v>8571600</v>
      </c>
      <c r="O1462">
        <v>0</v>
      </c>
      <c r="P1462">
        <v>0</v>
      </c>
      <c r="Q1462" s="21">
        <f t="shared" si="163"/>
        <v>0</v>
      </c>
      <c r="R1462">
        <v>0</v>
      </c>
      <c r="S1462">
        <v>0</v>
      </c>
      <c r="T1462" s="21">
        <f t="shared" si="164"/>
        <v>0</v>
      </c>
      <c r="U1462">
        <v>0</v>
      </c>
      <c r="V1462">
        <v>0</v>
      </c>
      <c r="W1462" s="21">
        <f t="shared" si="165"/>
        <v>0</v>
      </c>
      <c r="X1462">
        <v>0</v>
      </c>
      <c r="Y1462">
        <v>0</v>
      </c>
      <c r="Z1462" s="21">
        <f t="shared" si="166"/>
        <v>0</v>
      </c>
      <c r="AA1462">
        <v>0</v>
      </c>
      <c r="AB1462">
        <v>0</v>
      </c>
      <c r="AC1462" s="21">
        <f t="shared" si="167"/>
        <v>0</v>
      </c>
      <c r="AD1462">
        <v>0</v>
      </c>
      <c r="AE1462">
        <v>0</v>
      </c>
      <c r="AF1462" s="21">
        <f t="shared" si="170"/>
        <v>0</v>
      </c>
    </row>
    <row r="1463" spans="1:32" ht="15" customHeight="1" x14ac:dyDescent="0.3">
      <c r="A1463">
        <v>3</v>
      </c>
      <c r="B1463" s="2" t="s">
        <v>696</v>
      </c>
      <c r="C1463" s="4" t="s">
        <v>691</v>
      </c>
      <c r="D1463" s="3" t="s">
        <v>657</v>
      </c>
      <c r="E1463" s="6" t="s">
        <v>35</v>
      </c>
      <c r="F1463" s="6" t="s">
        <v>310</v>
      </c>
      <c r="G1463" s="6" t="s">
        <v>709</v>
      </c>
      <c r="H1463" s="23">
        <v>28000</v>
      </c>
      <c r="I1463">
        <v>0</v>
      </c>
      <c r="J1463">
        <v>0</v>
      </c>
      <c r="K1463" s="20">
        <f t="shared" si="168"/>
        <v>0</v>
      </c>
      <c r="L1463">
        <v>50</v>
      </c>
      <c r="M1463">
        <v>1</v>
      </c>
      <c r="N1463" s="21">
        <f t="shared" si="169"/>
        <v>1400000</v>
      </c>
      <c r="O1463">
        <v>0</v>
      </c>
      <c r="P1463">
        <v>0</v>
      </c>
      <c r="Q1463" s="21">
        <f t="shared" si="163"/>
        <v>0</v>
      </c>
      <c r="R1463">
        <v>0</v>
      </c>
      <c r="S1463">
        <v>0</v>
      </c>
      <c r="T1463" s="21">
        <f t="shared" si="164"/>
        <v>0</v>
      </c>
      <c r="U1463">
        <v>0</v>
      </c>
      <c r="V1463">
        <v>0</v>
      </c>
      <c r="W1463" s="21">
        <f t="shared" si="165"/>
        <v>0</v>
      </c>
      <c r="X1463">
        <v>0</v>
      </c>
      <c r="Y1463">
        <v>0</v>
      </c>
      <c r="Z1463" s="21">
        <f t="shared" si="166"/>
        <v>0</v>
      </c>
      <c r="AA1463">
        <v>0</v>
      </c>
      <c r="AB1463">
        <v>0</v>
      </c>
      <c r="AC1463" s="21">
        <f t="shared" si="167"/>
        <v>0</v>
      </c>
      <c r="AD1463">
        <v>0</v>
      </c>
      <c r="AE1463">
        <v>0</v>
      </c>
      <c r="AF1463" s="21">
        <f t="shared" si="170"/>
        <v>0</v>
      </c>
    </row>
    <row r="1464" spans="1:32" ht="15" customHeight="1" x14ac:dyDescent="0.3">
      <c r="A1464">
        <v>3</v>
      </c>
      <c r="B1464" s="2" t="s">
        <v>696</v>
      </c>
      <c r="C1464" s="4" t="s">
        <v>691</v>
      </c>
      <c r="D1464" s="3" t="s">
        <v>657</v>
      </c>
      <c r="E1464" s="6" t="s">
        <v>35</v>
      </c>
      <c r="F1464" s="6" t="s">
        <v>310</v>
      </c>
      <c r="G1464" s="6" t="s">
        <v>716</v>
      </c>
      <c r="H1464" s="23">
        <v>39000</v>
      </c>
      <c r="I1464">
        <v>0</v>
      </c>
      <c r="J1464">
        <v>0</v>
      </c>
      <c r="K1464" s="20">
        <f t="shared" si="168"/>
        <v>0</v>
      </c>
      <c r="L1464">
        <v>30</v>
      </c>
      <c r="M1464">
        <v>1</v>
      </c>
      <c r="N1464" s="21">
        <f t="shared" si="169"/>
        <v>1170000</v>
      </c>
      <c r="O1464">
        <v>0</v>
      </c>
      <c r="P1464">
        <v>0</v>
      </c>
      <c r="Q1464" s="21">
        <f t="shared" si="163"/>
        <v>0</v>
      </c>
      <c r="R1464">
        <v>0</v>
      </c>
      <c r="S1464">
        <v>0</v>
      </c>
      <c r="T1464" s="21">
        <f t="shared" si="164"/>
        <v>0</v>
      </c>
      <c r="U1464">
        <v>0</v>
      </c>
      <c r="V1464">
        <v>0</v>
      </c>
      <c r="W1464" s="21">
        <f t="shared" si="165"/>
        <v>0</v>
      </c>
      <c r="X1464">
        <v>0</v>
      </c>
      <c r="Y1464">
        <v>0</v>
      </c>
      <c r="Z1464" s="21">
        <f t="shared" si="166"/>
        <v>0</v>
      </c>
      <c r="AA1464">
        <v>0</v>
      </c>
      <c r="AB1464">
        <v>0</v>
      </c>
      <c r="AC1464" s="21">
        <f t="shared" si="167"/>
        <v>0</v>
      </c>
      <c r="AD1464">
        <v>0</v>
      </c>
      <c r="AE1464">
        <v>0</v>
      </c>
      <c r="AF1464" s="21">
        <f t="shared" si="170"/>
        <v>0</v>
      </c>
    </row>
    <row r="1465" spans="1:32" ht="15" customHeight="1" x14ac:dyDescent="0.3">
      <c r="A1465">
        <v>3</v>
      </c>
      <c r="B1465" s="2" t="s">
        <v>696</v>
      </c>
      <c r="C1465" s="4" t="s">
        <v>691</v>
      </c>
      <c r="D1465" s="3" t="s">
        <v>657</v>
      </c>
      <c r="E1465" s="6" t="s">
        <v>35</v>
      </c>
      <c r="F1465" s="6" t="s">
        <v>310</v>
      </c>
      <c r="G1465" s="6" t="s">
        <v>712</v>
      </c>
      <c r="H1465" s="23">
        <v>214.29</v>
      </c>
      <c r="I1465">
        <v>0</v>
      </c>
      <c r="J1465">
        <v>0</v>
      </c>
      <c r="K1465" s="20">
        <f t="shared" si="168"/>
        <v>0</v>
      </c>
      <c r="L1465">
        <v>8000</v>
      </c>
      <c r="M1465">
        <v>1</v>
      </c>
      <c r="N1465" s="21">
        <f t="shared" si="169"/>
        <v>1714320</v>
      </c>
      <c r="O1465">
        <v>0</v>
      </c>
      <c r="P1465">
        <v>0</v>
      </c>
      <c r="Q1465" s="21">
        <f t="shared" si="163"/>
        <v>0</v>
      </c>
      <c r="R1465">
        <v>0</v>
      </c>
      <c r="S1465">
        <v>0</v>
      </c>
      <c r="T1465" s="21">
        <f t="shared" si="164"/>
        <v>0</v>
      </c>
      <c r="U1465">
        <v>0</v>
      </c>
      <c r="V1465">
        <v>0</v>
      </c>
      <c r="W1465" s="21">
        <f t="shared" si="165"/>
        <v>0</v>
      </c>
      <c r="X1465">
        <v>0</v>
      </c>
      <c r="Y1465">
        <v>0</v>
      </c>
      <c r="Z1465" s="21">
        <f t="shared" si="166"/>
        <v>0</v>
      </c>
      <c r="AA1465">
        <v>0</v>
      </c>
      <c r="AB1465">
        <v>0</v>
      </c>
      <c r="AC1465" s="21">
        <f t="shared" si="167"/>
        <v>0</v>
      </c>
      <c r="AD1465">
        <v>0</v>
      </c>
      <c r="AE1465">
        <v>0</v>
      </c>
      <c r="AF1465" s="21">
        <f t="shared" si="170"/>
        <v>0</v>
      </c>
    </row>
    <row r="1466" spans="1:32" ht="15" customHeight="1" x14ac:dyDescent="0.3">
      <c r="A1466">
        <v>3</v>
      </c>
      <c r="B1466" s="2" t="s">
        <v>696</v>
      </c>
      <c r="C1466" s="4" t="s">
        <v>691</v>
      </c>
      <c r="D1466" s="3" t="s">
        <v>657</v>
      </c>
      <c r="E1466" s="6" t="s">
        <v>36</v>
      </c>
      <c r="F1466" s="6" t="s">
        <v>311</v>
      </c>
      <c r="G1466" s="16" t="s">
        <v>741</v>
      </c>
      <c r="H1466" s="26">
        <v>34293000</v>
      </c>
      <c r="I1466">
        <v>0</v>
      </c>
      <c r="J1466">
        <v>0</v>
      </c>
      <c r="K1466" s="20">
        <f t="shared" si="168"/>
        <v>0</v>
      </c>
      <c r="L1466">
        <v>0</v>
      </c>
      <c r="M1466">
        <v>0</v>
      </c>
      <c r="N1466" s="21">
        <f t="shared" si="169"/>
        <v>0</v>
      </c>
      <c r="O1466">
        <v>11</v>
      </c>
      <c r="P1466">
        <v>1</v>
      </c>
      <c r="Q1466" s="21">
        <f t="shared" si="163"/>
        <v>377223000</v>
      </c>
      <c r="R1466">
        <v>11</v>
      </c>
      <c r="S1466">
        <v>1</v>
      </c>
      <c r="T1466" s="21">
        <f t="shared" si="164"/>
        <v>377223000</v>
      </c>
      <c r="U1466">
        <v>11</v>
      </c>
      <c r="V1466">
        <v>1</v>
      </c>
      <c r="W1466" s="21">
        <f t="shared" si="165"/>
        <v>377223000</v>
      </c>
      <c r="X1466">
        <v>0</v>
      </c>
      <c r="Y1466">
        <v>0</v>
      </c>
      <c r="Z1466" s="21">
        <f t="shared" si="166"/>
        <v>0</v>
      </c>
      <c r="AA1466">
        <v>0</v>
      </c>
      <c r="AB1466">
        <v>0</v>
      </c>
      <c r="AC1466" s="21">
        <f t="shared" si="167"/>
        <v>0</v>
      </c>
      <c r="AD1466">
        <v>0</v>
      </c>
      <c r="AE1466">
        <v>0</v>
      </c>
      <c r="AF1466" s="21">
        <f t="shared" si="170"/>
        <v>0</v>
      </c>
    </row>
    <row r="1467" spans="1:32" ht="15" customHeight="1" x14ac:dyDescent="0.3">
      <c r="A1467">
        <v>3</v>
      </c>
      <c r="B1467" s="2" t="s">
        <v>696</v>
      </c>
      <c r="C1467" s="4" t="s">
        <v>691</v>
      </c>
      <c r="D1467" s="3" t="s">
        <v>657</v>
      </c>
      <c r="E1467" s="6" t="s">
        <v>36</v>
      </c>
      <c r="F1467" s="6" t="s">
        <v>312</v>
      </c>
      <c r="G1467" s="6" t="s">
        <v>718</v>
      </c>
      <c r="H1467" s="23">
        <v>0</v>
      </c>
      <c r="I1467">
        <v>0</v>
      </c>
      <c r="J1467">
        <v>0</v>
      </c>
      <c r="K1467" s="20">
        <f t="shared" si="168"/>
        <v>0</v>
      </c>
      <c r="L1467">
        <v>0</v>
      </c>
      <c r="M1467">
        <v>0</v>
      </c>
      <c r="N1467" s="21">
        <f t="shared" si="169"/>
        <v>0</v>
      </c>
      <c r="O1467">
        <v>0</v>
      </c>
      <c r="P1467">
        <v>0</v>
      </c>
      <c r="Q1467" s="21">
        <f t="shared" si="163"/>
        <v>0</v>
      </c>
      <c r="R1467">
        <v>0</v>
      </c>
      <c r="S1467">
        <v>0</v>
      </c>
      <c r="T1467" s="21">
        <f t="shared" si="164"/>
        <v>0</v>
      </c>
      <c r="U1467">
        <v>0</v>
      </c>
      <c r="V1467">
        <v>0</v>
      </c>
      <c r="W1467" s="21">
        <f t="shared" si="165"/>
        <v>0</v>
      </c>
      <c r="X1467">
        <v>0</v>
      </c>
      <c r="Y1467">
        <v>0</v>
      </c>
      <c r="Z1467" s="21">
        <f t="shared" si="166"/>
        <v>0</v>
      </c>
      <c r="AA1467">
        <v>0</v>
      </c>
      <c r="AB1467">
        <v>0</v>
      </c>
      <c r="AC1467" s="21">
        <f t="shared" si="167"/>
        <v>0</v>
      </c>
      <c r="AD1467">
        <v>0</v>
      </c>
      <c r="AE1467">
        <v>0</v>
      </c>
      <c r="AF1467" s="21">
        <f t="shared" si="170"/>
        <v>0</v>
      </c>
    </row>
    <row r="1468" spans="1:32" ht="15" customHeight="1" x14ac:dyDescent="0.3">
      <c r="A1468">
        <v>3</v>
      </c>
      <c r="B1468" s="2" t="s">
        <v>696</v>
      </c>
      <c r="C1468" s="4" t="s">
        <v>691</v>
      </c>
      <c r="D1468" s="3" t="s">
        <v>657</v>
      </c>
      <c r="E1468" s="6" t="s">
        <v>36</v>
      </c>
      <c r="F1468" s="6" t="s">
        <v>312</v>
      </c>
      <c r="G1468" s="6" t="s">
        <v>718</v>
      </c>
      <c r="H1468" s="23">
        <v>0</v>
      </c>
      <c r="I1468">
        <v>0</v>
      </c>
      <c r="J1468">
        <v>0</v>
      </c>
      <c r="K1468" s="20">
        <f t="shared" si="168"/>
        <v>0</v>
      </c>
      <c r="L1468">
        <v>0</v>
      </c>
      <c r="M1468">
        <v>0</v>
      </c>
      <c r="N1468" s="21">
        <f t="shared" si="169"/>
        <v>0</v>
      </c>
      <c r="O1468">
        <v>0</v>
      </c>
      <c r="P1468">
        <v>0</v>
      </c>
      <c r="Q1468" s="21">
        <f t="shared" si="163"/>
        <v>0</v>
      </c>
      <c r="R1468">
        <v>0</v>
      </c>
      <c r="S1468">
        <v>0</v>
      </c>
      <c r="T1468" s="21">
        <f t="shared" si="164"/>
        <v>0</v>
      </c>
      <c r="U1468">
        <v>0</v>
      </c>
      <c r="V1468">
        <v>0</v>
      </c>
      <c r="W1468" s="21">
        <f t="shared" si="165"/>
        <v>0</v>
      </c>
      <c r="X1468">
        <v>0</v>
      </c>
      <c r="Y1468">
        <v>0</v>
      </c>
      <c r="Z1468" s="21">
        <f t="shared" si="166"/>
        <v>0</v>
      </c>
      <c r="AA1468">
        <v>0</v>
      </c>
      <c r="AB1468">
        <v>0</v>
      </c>
      <c r="AC1468" s="21">
        <f t="shared" si="167"/>
        <v>0</v>
      </c>
      <c r="AD1468">
        <v>0</v>
      </c>
      <c r="AE1468">
        <v>0</v>
      </c>
      <c r="AF1468" s="21">
        <f t="shared" si="170"/>
        <v>0</v>
      </c>
    </row>
    <row r="1469" spans="1:32" ht="15" customHeight="1" x14ac:dyDescent="0.3">
      <c r="A1469">
        <v>3</v>
      </c>
      <c r="B1469" s="2" t="s">
        <v>696</v>
      </c>
      <c r="C1469" s="4" t="s">
        <v>691</v>
      </c>
      <c r="D1469" s="3" t="s">
        <v>657</v>
      </c>
      <c r="E1469" s="6" t="s">
        <v>36</v>
      </c>
      <c r="F1469" s="6" t="s">
        <v>312</v>
      </c>
      <c r="G1469" s="6" t="s">
        <v>718</v>
      </c>
      <c r="H1469" s="23">
        <v>0</v>
      </c>
      <c r="I1469">
        <v>0</v>
      </c>
      <c r="J1469">
        <v>0</v>
      </c>
      <c r="K1469" s="20">
        <f t="shared" si="168"/>
        <v>0</v>
      </c>
      <c r="L1469">
        <v>0</v>
      </c>
      <c r="M1469">
        <v>0</v>
      </c>
      <c r="N1469" s="21">
        <f t="shared" si="169"/>
        <v>0</v>
      </c>
      <c r="O1469">
        <v>0</v>
      </c>
      <c r="P1469">
        <v>0</v>
      </c>
      <c r="Q1469" s="21">
        <f t="shared" ref="Q1469:Q1532" si="171">H1469*O1469*P1469</f>
        <v>0</v>
      </c>
      <c r="R1469">
        <v>0</v>
      </c>
      <c r="S1469">
        <v>0</v>
      </c>
      <c r="T1469" s="21">
        <f t="shared" ref="T1469:T1532" si="172">H1469*R1469*S1469</f>
        <v>0</v>
      </c>
      <c r="U1469">
        <v>0</v>
      </c>
      <c r="V1469">
        <v>0</v>
      </c>
      <c r="W1469" s="21">
        <f t="shared" ref="W1469:W1532" si="173">H1469*U1469*V1469</f>
        <v>0</v>
      </c>
      <c r="X1469">
        <v>0</v>
      </c>
      <c r="Y1469">
        <v>0</v>
      </c>
      <c r="Z1469" s="21">
        <f t="shared" ref="Z1469:Z1532" si="174">H1469*X1469*Y1469</f>
        <v>0</v>
      </c>
      <c r="AA1469">
        <v>0</v>
      </c>
      <c r="AB1469">
        <v>0</v>
      </c>
      <c r="AC1469" s="21">
        <f t="shared" ref="AC1469:AC1532" si="175">H1469*AA1469*AB1469</f>
        <v>0</v>
      </c>
      <c r="AD1469">
        <v>0</v>
      </c>
      <c r="AE1469">
        <v>0</v>
      </c>
      <c r="AF1469" s="21">
        <f t="shared" si="170"/>
        <v>0</v>
      </c>
    </row>
    <row r="1470" spans="1:32" ht="15" customHeight="1" x14ac:dyDescent="0.3">
      <c r="A1470">
        <v>3</v>
      </c>
      <c r="B1470" s="2" t="s">
        <v>696</v>
      </c>
      <c r="C1470" s="4" t="s">
        <v>691</v>
      </c>
      <c r="D1470" s="3" t="s">
        <v>657</v>
      </c>
      <c r="E1470" s="6" t="s">
        <v>37</v>
      </c>
      <c r="F1470" s="6" t="s">
        <v>313</v>
      </c>
      <c r="G1470" s="6" t="s">
        <v>707</v>
      </c>
      <c r="H1470" s="23">
        <v>391991.03749999998</v>
      </c>
      <c r="I1470">
        <v>0</v>
      </c>
      <c r="J1470">
        <v>0</v>
      </c>
      <c r="K1470" s="20">
        <f t="shared" si="168"/>
        <v>0</v>
      </c>
      <c r="L1470">
        <v>1</v>
      </c>
      <c r="M1470">
        <v>4</v>
      </c>
      <c r="N1470" s="21">
        <f t="shared" si="169"/>
        <v>1567964.15</v>
      </c>
      <c r="O1470">
        <v>0</v>
      </c>
      <c r="P1470">
        <v>0</v>
      </c>
      <c r="Q1470" s="21">
        <f t="shared" si="171"/>
        <v>0</v>
      </c>
      <c r="R1470">
        <v>0</v>
      </c>
      <c r="S1470">
        <v>0</v>
      </c>
      <c r="T1470" s="21">
        <f t="shared" si="172"/>
        <v>0</v>
      </c>
      <c r="U1470">
        <v>0</v>
      </c>
      <c r="V1470">
        <v>0</v>
      </c>
      <c r="W1470" s="21">
        <f t="shared" si="173"/>
        <v>0</v>
      </c>
      <c r="X1470">
        <v>0</v>
      </c>
      <c r="Y1470">
        <v>0</v>
      </c>
      <c r="Z1470" s="21">
        <f t="shared" si="174"/>
        <v>0</v>
      </c>
      <c r="AA1470">
        <v>0</v>
      </c>
      <c r="AB1470">
        <v>0</v>
      </c>
      <c r="AC1470" s="21">
        <f t="shared" si="175"/>
        <v>0</v>
      </c>
      <c r="AD1470">
        <v>0</v>
      </c>
      <c r="AE1470">
        <v>0</v>
      </c>
      <c r="AF1470" s="21">
        <f t="shared" si="170"/>
        <v>0</v>
      </c>
    </row>
    <row r="1471" spans="1:32" ht="15" customHeight="1" x14ac:dyDescent="0.3">
      <c r="A1471">
        <v>3</v>
      </c>
      <c r="B1471" s="2" t="s">
        <v>696</v>
      </c>
      <c r="C1471" s="4" t="s">
        <v>691</v>
      </c>
      <c r="D1471" s="3" t="s">
        <v>657</v>
      </c>
      <c r="E1471" s="6" t="s">
        <v>37</v>
      </c>
      <c r="F1471" s="6" t="s">
        <v>313</v>
      </c>
      <c r="G1471" s="6" t="s">
        <v>708</v>
      </c>
      <c r="H1471" s="23">
        <v>425000</v>
      </c>
      <c r="I1471">
        <v>0</v>
      </c>
      <c r="J1471">
        <v>0</v>
      </c>
      <c r="K1471" s="20">
        <f t="shared" si="168"/>
        <v>0</v>
      </c>
      <c r="L1471">
        <v>1</v>
      </c>
      <c r="M1471">
        <v>40</v>
      </c>
      <c r="N1471" s="21">
        <f t="shared" si="169"/>
        <v>17000000</v>
      </c>
      <c r="O1471">
        <v>0</v>
      </c>
      <c r="P1471">
        <v>0</v>
      </c>
      <c r="Q1471" s="21">
        <f t="shared" si="171"/>
        <v>0</v>
      </c>
      <c r="R1471">
        <v>0</v>
      </c>
      <c r="S1471">
        <v>0</v>
      </c>
      <c r="T1471" s="21">
        <f t="shared" si="172"/>
        <v>0</v>
      </c>
      <c r="U1471">
        <v>0</v>
      </c>
      <c r="V1471">
        <v>0</v>
      </c>
      <c r="W1471" s="21">
        <f t="shared" si="173"/>
        <v>0</v>
      </c>
      <c r="X1471">
        <v>0</v>
      </c>
      <c r="Y1471">
        <v>0</v>
      </c>
      <c r="Z1471" s="21">
        <f t="shared" si="174"/>
        <v>0</v>
      </c>
      <c r="AA1471">
        <v>0</v>
      </c>
      <c r="AB1471">
        <v>0</v>
      </c>
      <c r="AC1471" s="21">
        <f t="shared" si="175"/>
        <v>0</v>
      </c>
      <c r="AD1471">
        <v>0</v>
      </c>
      <c r="AE1471">
        <v>0</v>
      </c>
      <c r="AF1471" s="21">
        <f t="shared" si="170"/>
        <v>0</v>
      </c>
    </row>
    <row r="1472" spans="1:32" ht="15" customHeight="1" x14ac:dyDescent="0.3">
      <c r="A1472">
        <v>3</v>
      </c>
      <c r="B1472" s="2" t="s">
        <v>696</v>
      </c>
      <c r="C1472" s="4" t="s">
        <v>691</v>
      </c>
      <c r="D1472" s="3" t="s">
        <v>657</v>
      </c>
      <c r="E1472" s="6" t="s">
        <v>37</v>
      </c>
      <c r="F1472" s="6" t="s">
        <v>314</v>
      </c>
      <c r="G1472" s="6" t="s">
        <v>716</v>
      </c>
      <c r="H1472" s="23">
        <v>39000</v>
      </c>
      <c r="I1472">
        <v>0</v>
      </c>
      <c r="J1472">
        <v>0</v>
      </c>
      <c r="K1472" s="20">
        <f t="shared" si="168"/>
        <v>0</v>
      </c>
      <c r="L1472">
        <v>40</v>
      </c>
      <c r="M1472">
        <v>20</v>
      </c>
      <c r="N1472" s="21">
        <f t="shared" si="169"/>
        <v>31200000</v>
      </c>
      <c r="O1472">
        <v>0</v>
      </c>
      <c r="P1472">
        <v>0</v>
      </c>
      <c r="Q1472" s="21">
        <f t="shared" si="171"/>
        <v>0</v>
      </c>
      <c r="R1472">
        <v>0</v>
      </c>
      <c r="S1472">
        <v>0</v>
      </c>
      <c r="T1472" s="21">
        <f t="shared" si="172"/>
        <v>0</v>
      </c>
      <c r="U1472">
        <v>0</v>
      </c>
      <c r="V1472">
        <v>0</v>
      </c>
      <c r="W1472" s="21">
        <f t="shared" si="173"/>
        <v>0</v>
      </c>
      <c r="X1472">
        <v>0</v>
      </c>
      <c r="Y1472">
        <v>0</v>
      </c>
      <c r="Z1472" s="21">
        <f t="shared" si="174"/>
        <v>0</v>
      </c>
      <c r="AA1472">
        <v>0</v>
      </c>
      <c r="AB1472">
        <v>0</v>
      </c>
      <c r="AC1472" s="21">
        <f t="shared" si="175"/>
        <v>0</v>
      </c>
      <c r="AD1472">
        <v>0</v>
      </c>
      <c r="AE1472">
        <v>0</v>
      </c>
      <c r="AF1472" s="21">
        <f t="shared" si="170"/>
        <v>0</v>
      </c>
    </row>
    <row r="1473" spans="1:32" ht="15" customHeight="1" x14ac:dyDescent="0.3">
      <c r="A1473">
        <v>3</v>
      </c>
      <c r="B1473" s="2" t="s">
        <v>696</v>
      </c>
      <c r="C1473" s="4" t="s">
        <v>691</v>
      </c>
      <c r="D1473" s="3" t="s">
        <v>657</v>
      </c>
      <c r="E1473" s="6" t="s">
        <v>37</v>
      </c>
      <c r="F1473" s="6" t="s">
        <v>314</v>
      </c>
      <c r="G1473" s="6" t="s">
        <v>709</v>
      </c>
      <c r="H1473" s="23">
        <v>28000</v>
      </c>
      <c r="I1473">
        <v>0</v>
      </c>
      <c r="J1473">
        <v>0</v>
      </c>
      <c r="K1473" s="20">
        <f t="shared" si="168"/>
        <v>0</v>
      </c>
      <c r="L1473">
        <v>50</v>
      </c>
      <c r="M1473">
        <v>20</v>
      </c>
      <c r="N1473" s="21">
        <f t="shared" si="169"/>
        <v>28000000</v>
      </c>
      <c r="O1473">
        <v>0</v>
      </c>
      <c r="P1473">
        <v>0</v>
      </c>
      <c r="Q1473" s="21">
        <f t="shared" si="171"/>
        <v>0</v>
      </c>
      <c r="R1473">
        <v>0</v>
      </c>
      <c r="S1473">
        <v>0</v>
      </c>
      <c r="T1473" s="21">
        <f t="shared" si="172"/>
        <v>0</v>
      </c>
      <c r="U1473">
        <v>0</v>
      </c>
      <c r="V1473">
        <v>0</v>
      </c>
      <c r="W1473" s="21">
        <f t="shared" si="173"/>
        <v>0</v>
      </c>
      <c r="X1473">
        <v>0</v>
      </c>
      <c r="Y1473">
        <v>0</v>
      </c>
      <c r="Z1473" s="21">
        <f t="shared" si="174"/>
        <v>0</v>
      </c>
      <c r="AA1473">
        <v>0</v>
      </c>
      <c r="AB1473">
        <v>0</v>
      </c>
      <c r="AC1473" s="21">
        <f t="shared" si="175"/>
        <v>0</v>
      </c>
      <c r="AD1473">
        <v>0</v>
      </c>
      <c r="AE1473">
        <v>0</v>
      </c>
      <c r="AF1473" s="21">
        <f t="shared" si="170"/>
        <v>0</v>
      </c>
    </row>
    <row r="1474" spans="1:32" ht="15" customHeight="1" x14ac:dyDescent="0.3">
      <c r="A1474">
        <v>3</v>
      </c>
      <c r="B1474" s="2" t="s">
        <v>696</v>
      </c>
      <c r="C1474" s="4" t="s">
        <v>691</v>
      </c>
      <c r="D1474" s="3" t="s">
        <v>657</v>
      </c>
      <c r="E1474" s="6" t="s">
        <v>37</v>
      </c>
      <c r="F1474" s="6" t="s">
        <v>314</v>
      </c>
      <c r="G1474" s="6" t="s">
        <v>712</v>
      </c>
      <c r="H1474" s="23">
        <v>214.29</v>
      </c>
      <c r="I1474">
        <v>0</v>
      </c>
      <c r="J1474">
        <v>0</v>
      </c>
      <c r="K1474" s="20">
        <f t="shared" si="168"/>
        <v>0</v>
      </c>
      <c r="L1474">
        <v>8000</v>
      </c>
      <c r="M1474">
        <v>4</v>
      </c>
      <c r="N1474" s="21">
        <f t="shared" si="169"/>
        <v>6857280</v>
      </c>
      <c r="O1474">
        <v>0</v>
      </c>
      <c r="P1474">
        <v>0</v>
      </c>
      <c r="Q1474" s="21">
        <f t="shared" si="171"/>
        <v>0</v>
      </c>
      <c r="R1474">
        <v>0</v>
      </c>
      <c r="S1474">
        <v>0</v>
      </c>
      <c r="T1474" s="21">
        <f t="shared" si="172"/>
        <v>0</v>
      </c>
      <c r="U1474">
        <v>0</v>
      </c>
      <c r="V1474">
        <v>0</v>
      </c>
      <c r="W1474" s="21">
        <f t="shared" si="173"/>
        <v>0</v>
      </c>
      <c r="X1474">
        <v>0</v>
      </c>
      <c r="Y1474">
        <v>0</v>
      </c>
      <c r="Z1474" s="21">
        <f t="shared" si="174"/>
        <v>0</v>
      </c>
      <c r="AA1474">
        <v>0</v>
      </c>
      <c r="AB1474">
        <v>0</v>
      </c>
      <c r="AC1474" s="21">
        <f t="shared" si="175"/>
        <v>0</v>
      </c>
      <c r="AD1474">
        <v>0</v>
      </c>
      <c r="AE1474">
        <v>0</v>
      </c>
      <c r="AF1474" s="21">
        <f t="shared" si="170"/>
        <v>0</v>
      </c>
    </row>
    <row r="1475" spans="1:32" ht="15" customHeight="1" x14ac:dyDescent="0.3">
      <c r="A1475">
        <v>3</v>
      </c>
      <c r="B1475" s="2" t="s">
        <v>696</v>
      </c>
      <c r="C1475" s="4" t="s">
        <v>691</v>
      </c>
      <c r="D1475" s="3" t="s">
        <v>657</v>
      </c>
      <c r="E1475" s="6" t="s">
        <v>37</v>
      </c>
      <c r="F1475" s="6" t="s">
        <v>315</v>
      </c>
      <c r="G1475" s="6" t="s">
        <v>716</v>
      </c>
      <c r="H1475" s="23">
        <v>39000</v>
      </c>
      <c r="I1475">
        <v>0</v>
      </c>
      <c r="J1475">
        <v>0</v>
      </c>
      <c r="K1475" s="20">
        <f t="shared" si="168"/>
        <v>0</v>
      </c>
      <c r="L1475">
        <v>12</v>
      </c>
      <c r="M1475">
        <v>5</v>
      </c>
      <c r="N1475" s="21">
        <f t="shared" si="169"/>
        <v>2340000</v>
      </c>
      <c r="O1475">
        <v>0</v>
      </c>
      <c r="P1475">
        <v>0</v>
      </c>
      <c r="Q1475" s="21">
        <f t="shared" si="171"/>
        <v>0</v>
      </c>
      <c r="R1475">
        <v>0</v>
      </c>
      <c r="S1475">
        <v>0</v>
      </c>
      <c r="T1475" s="21">
        <f t="shared" si="172"/>
        <v>0</v>
      </c>
      <c r="U1475">
        <v>0</v>
      </c>
      <c r="V1475">
        <v>0</v>
      </c>
      <c r="W1475" s="21">
        <f t="shared" si="173"/>
        <v>0</v>
      </c>
      <c r="X1475">
        <v>0</v>
      </c>
      <c r="Y1475">
        <v>0</v>
      </c>
      <c r="Z1475" s="21">
        <f t="shared" si="174"/>
        <v>0</v>
      </c>
      <c r="AA1475">
        <v>0</v>
      </c>
      <c r="AB1475">
        <v>0</v>
      </c>
      <c r="AC1475" s="21">
        <f t="shared" si="175"/>
        <v>0</v>
      </c>
      <c r="AD1475">
        <v>0</v>
      </c>
      <c r="AE1475">
        <v>0</v>
      </c>
      <c r="AF1475" s="21">
        <f t="shared" si="170"/>
        <v>0</v>
      </c>
    </row>
    <row r="1476" spans="1:32" ht="15" customHeight="1" x14ac:dyDescent="0.3">
      <c r="A1476">
        <v>3</v>
      </c>
      <c r="B1476" s="2" t="s">
        <v>696</v>
      </c>
      <c r="C1476" s="4" t="s">
        <v>691</v>
      </c>
      <c r="D1476" s="3" t="s">
        <v>657</v>
      </c>
      <c r="E1476" s="6" t="s">
        <v>37</v>
      </c>
      <c r="F1476" s="6" t="s">
        <v>742</v>
      </c>
      <c r="G1476" s="6" t="s">
        <v>709</v>
      </c>
      <c r="H1476" s="23">
        <v>28000</v>
      </c>
      <c r="I1476">
        <v>0</v>
      </c>
      <c r="J1476">
        <v>0</v>
      </c>
      <c r="K1476" s="20">
        <f t="shared" si="168"/>
        <v>0</v>
      </c>
      <c r="L1476">
        <v>12</v>
      </c>
      <c r="M1476">
        <v>5</v>
      </c>
      <c r="N1476" s="21">
        <f t="shared" si="169"/>
        <v>1680000</v>
      </c>
      <c r="O1476">
        <v>0</v>
      </c>
      <c r="P1476">
        <v>0</v>
      </c>
      <c r="Q1476" s="21">
        <f t="shared" si="171"/>
        <v>0</v>
      </c>
      <c r="R1476">
        <v>0</v>
      </c>
      <c r="S1476">
        <v>0</v>
      </c>
      <c r="T1476" s="21">
        <f t="shared" si="172"/>
        <v>0</v>
      </c>
      <c r="U1476">
        <v>0</v>
      </c>
      <c r="V1476">
        <v>0</v>
      </c>
      <c r="W1476" s="21">
        <f t="shared" si="173"/>
        <v>0</v>
      </c>
      <c r="X1476">
        <v>0</v>
      </c>
      <c r="Y1476">
        <v>0</v>
      </c>
      <c r="Z1476" s="21">
        <f t="shared" si="174"/>
        <v>0</v>
      </c>
      <c r="AA1476">
        <v>0</v>
      </c>
      <c r="AB1476">
        <v>0</v>
      </c>
      <c r="AC1476" s="21">
        <f t="shared" si="175"/>
        <v>0</v>
      </c>
      <c r="AD1476">
        <v>0</v>
      </c>
      <c r="AE1476">
        <v>0</v>
      </c>
      <c r="AF1476" s="21">
        <f t="shared" si="170"/>
        <v>0</v>
      </c>
    </row>
    <row r="1477" spans="1:32" ht="15" customHeight="1" x14ac:dyDescent="0.3">
      <c r="A1477">
        <v>3</v>
      </c>
      <c r="B1477" s="2" t="s">
        <v>696</v>
      </c>
      <c r="C1477" s="4" t="s">
        <v>691</v>
      </c>
      <c r="D1477" s="3" t="s">
        <v>657</v>
      </c>
      <c r="E1477" s="6" t="s">
        <v>37</v>
      </c>
      <c r="F1477" s="6" t="s">
        <v>743</v>
      </c>
      <c r="G1477" s="6" t="s">
        <v>712</v>
      </c>
      <c r="H1477" s="23">
        <v>214.29</v>
      </c>
      <c r="I1477">
        <v>0</v>
      </c>
      <c r="J1477">
        <v>0</v>
      </c>
      <c r="K1477" s="20">
        <f t="shared" si="168"/>
        <v>0</v>
      </c>
      <c r="L1477">
        <v>4000</v>
      </c>
      <c r="M1477">
        <v>1</v>
      </c>
      <c r="N1477" s="21">
        <f t="shared" si="169"/>
        <v>857160</v>
      </c>
      <c r="O1477">
        <v>0</v>
      </c>
      <c r="P1477">
        <v>0</v>
      </c>
      <c r="Q1477" s="21">
        <f t="shared" si="171"/>
        <v>0</v>
      </c>
      <c r="R1477">
        <v>0</v>
      </c>
      <c r="S1477">
        <v>0</v>
      </c>
      <c r="T1477" s="21">
        <f t="shared" si="172"/>
        <v>0</v>
      </c>
      <c r="U1477">
        <v>0</v>
      </c>
      <c r="V1477">
        <v>0</v>
      </c>
      <c r="W1477" s="21">
        <f t="shared" si="173"/>
        <v>0</v>
      </c>
      <c r="X1477">
        <v>0</v>
      </c>
      <c r="Y1477">
        <v>0</v>
      </c>
      <c r="Z1477" s="21">
        <f t="shared" si="174"/>
        <v>0</v>
      </c>
      <c r="AA1477">
        <v>0</v>
      </c>
      <c r="AB1477">
        <v>0</v>
      </c>
      <c r="AC1477" s="21">
        <f t="shared" si="175"/>
        <v>0</v>
      </c>
      <c r="AD1477">
        <v>0</v>
      </c>
      <c r="AE1477">
        <v>0</v>
      </c>
      <c r="AF1477" s="21">
        <f t="shared" si="170"/>
        <v>0</v>
      </c>
    </row>
    <row r="1478" spans="1:32" ht="15" customHeight="1" x14ac:dyDescent="0.3">
      <c r="A1478">
        <v>3</v>
      </c>
      <c r="B1478" s="2" t="s">
        <v>696</v>
      </c>
      <c r="C1478" s="4" t="s">
        <v>691</v>
      </c>
      <c r="D1478" s="3" t="s">
        <v>657</v>
      </c>
      <c r="E1478" s="6" t="s">
        <v>37</v>
      </c>
      <c r="F1478" s="6" t="s">
        <v>316</v>
      </c>
      <c r="G1478" s="6" t="s">
        <v>716</v>
      </c>
      <c r="H1478" s="23">
        <v>39000</v>
      </c>
      <c r="I1478">
        <v>0</v>
      </c>
      <c r="J1478">
        <v>0</v>
      </c>
      <c r="K1478" s="20">
        <f t="shared" ref="K1478:K1541" si="176">H1478*I1478*J1478</f>
        <v>0</v>
      </c>
      <c r="L1478">
        <v>35</v>
      </c>
      <c r="M1478">
        <v>3</v>
      </c>
      <c r="N1478" s="21">
        <f t="shared" ref="N1478:N1541" si="177">H1478*L1478*M1478</f>
        <v>4095000</v>
      </c>
      <c r="O1478">
        <v>0</v>
      </c>
      <c r="P1478">
        <v>0</v>
      </c>
      <c r="Q1478" s="21">
        <f t="shared" si="171"/>
        <v>0</v>
      </c>
      <c r="R1478">
        <v>0</v>
      </c>
      <c r="S1478">
        <v>0</v>
      </c>
      <c r="T1478" s="21">
        <f t="shared" si="172"/>
        <v>0</v>
      </c>
      <c r="U1478">
        <v>0</v>
      </c>
      <c r="V1478">
        <v>0</v>
      </c>
      <c r="W1478" s="21">
        <f t="shared" si="173"/>
        <v>0</v>
      </c>
      <c r="X1478">
        <v>0</v>
      </c>
      <c r="Y1478">
        <v>0</v>
      </c>
      <c r="Z1478" s="21">
        <f t="shared" si="174"/>
        <v>0</v>
      </c>
      <c r="AA1478">
        <v>0</v>
      </c>
      <c r="AB1478">
        <v>0</v>
      </c>
      <c r="AC1478" s="21">
        <f t="shared" si="175"/>
        <v>0</v>
      </c>
      <c r="AD1478">
        <v>0</v>
      </c>
      <c r="AE1478">
        <v>0</v>
      </c>
      <c r="AF1478" s="21">
        <f t="shared" ref="AF1478:AF1541" si="178">H1478*AD1478*AE1478</f>
        <v>0</v>
      </c>
    </row>
    <row r="1479" spans="1:32" ht="15" customHeight="1" x14ac:dyDescent="0.3">
      <c r="A1479">
        <v>3</v>
      </c>
      <c r="B1479" s="2" t="s">
        <v>696</v>
      </c>
      <c r="C1479" s="4" t="s">
        <v>691</v>
      </c>
      <c r="D1479" s="3" t="s">
        <v>657</v>
      </c>
      <c r="E1479" s="6" t="s">
        <v>37</v>
      </c>
      <c r="F1479" s="6" t="s">
        <v>744</v>
      </c>
      <c r="G1479" s="6" t="s">
        <v>709</v>
      </c>
      <c r="H1479" s="23">
        <v>28000</v>
      </c>
      <c r="I1479">
        <v>0</v>
      </c>
      <c r="J1479">
        <v>0</v>
      </c>
      <c r="K1479" s="20">
        <f t="shared" si="176"/>
        <v>0</v>
      </c>
      <c r="L1479">
        <v>50</v>
      </c>
      <c r="M1479">
        <v>3</v>
      </c>
      <c r="N1479" s="21">
        <f t="shared" si="177"/>
        <v>4200000</v>
      </c>
      <c r="O1479">
        <v>0</v>
      </c>
      <c r="P1479">
        <v>0</v>
      </c>
      <c r="Q1479" s="21">
        <f t="shared" si="171"/>
        <v>0</v>
      </c>
      <c r="R1479">
        <v>0</v>
      </c>
      <c r="S1479">
        <v>0</v>
      </c>
      <c r="T1479" s="21">
        <f t="shared" si="172"/>
        <v>0</v>
      </c>
      <c r="U1479">
        <v>0</v>
      </c>
      <c r="V1479">
        <v>0</v>
      </c>
      <c r="W1479" s="21">
        <f t="shared" si="173"/>
        <v>0</v>
      </c>
      <c r="X1479">
        <v>0</v>
      </c>
      <c r="Y1479">
        <v>0</v>
      </c>
      <c r="Z1479" s="21">
        <f t="shared" si="174"/>
        <v>0</v>
      </c>
      <c r="AA1479">
        <v>0</v>
      </c>
      <c r="AB1479">
        <v>0</v>
      </c>
      <c r="AC1479" s="21">
        <f t="shared" si="175"/>
        <v>0</v>
      </c>
      <c r="AD1479">
        <v>0</v>
      </c>
      <c r="AE1479">
        <v>0</v>
      </c>
      <c r="AF1479" s="21">
        <f t="shared" si="178"/>
        <v>0</v>
      </c>
    </row>
    <row r="1480" spans="1:32" ht="15" customHeight="1" x14ac:dyDescent="0.3">
      <c r="A1480">
        <v>3</v>
      </c>
      <c r="B1480" s="2" t="s">
        <v>696</v>
      </c>
      <c r="C1480" s="4" t="s">
        <v>691</v>
      </c>
      <c r="D1480" s="3" t="s">
        <v>657</v>
      </c>
      <c r="E1480" s="6" t="s">
        <v>37</v>
      </c>
      <c r="F1480" s="6" t="s">
        <v>745</v>
      </c>
      <c r="G1480" s="6" t="s">
        <v>712</v>
      </c>
      <c r="H1480" s="23">
        <v>214.29</v>
      </c>
      <c r="I1480">
        <v>0</v>
      </c>
      <c r="J1480">
        <v>0</v>
      </c>
      <c r="K1480" s="20">
        <f t="shared" si="176"/>
        <v>0</v>
      </c>
      <c r="L1480">
        <v>8000</v>
      </c>
      <c r="M1480">
        <v>1</v>
      </c>
      <c r="N1480" s="21">
        <f t="shared" si="177"/>
        <v>1714320</v>
      </c>
      <c r="O1480">
        <v>0</v>
      </c>
      <c r="P1480">
        <v>0</v>
      </c>
      <c r="Q1480" s="21">
        <f t="shared" si="171"/>
        <v>0</v>
      </c>
      <c r="R1480">
        <v>0</v>
      </c>
      <c r="S1480">
        <v>0</v>
      </c>
      <c r="T1480" s="21">
        <f t="shared" si="172"/>
        <v>0</v>
      </c>
      <c r="U1480">
        <v>0</v>
      </c>
      <c r="V1480">
        <v>0</v>
      </c>
      <c r="W1480" s="21">
        <f t="shared" si="173"/>
        <v>0</v>
      </c>
      <c r="X1480">
        <v>0</v>
      </c>
      <c r="Y1480">
        <v>0</v>
      </c>
      <c r="Z1480" s="21">
        <f t="shared" si="174"/>
        <v>0</v>
      </c>
      <c r="AA1480">
        <v>0</v>
      </c>
      <c r="AB1480">
        <v>0</v>
      </c>
      <c r="AC1480" s="21">
        <f t="shared" si="175"/>
        <v>0</v>
      </c>
      <c r="AD1480">
        <v>0</v>
      </c>
      <c r="AE1480">
        <v>0</v>
      </c>
      <c r="AF1480" s="21">
        <f t="shared" si="178"/>
        <v>0</v>
      </c>
    </row>
    <row r="1481" spans="1:32" ht="15" customHeight="1" x14ac:dyDescent="0.3">
      <c r="A1481">
        <v>3</v>
      </c>
      <c r="B1481" s="2" t="s">
        <v>696</v>
      </c>
      <c r="C1481" s="4" t="s">
        <v>691</v>
      </c>
      <c r="D1481" s="3" t="s">
        <v>657</v>
      </c>
      <c r="E1481" s="6" t="s">
        <v>37</v>
      </c>
      <c r="F1481" s="6" t="s">
        <v>317</v>
      </c>
      <c r="G1481" s="6" t="s">
        <v>718</v>
      </c>
      <c r="H1481" s="23">
        <v>0</v>
      </c>
      <c r="I1481">
        <v>0</v>
      </c>
      <c r="J1481">
        <v>0</v>
      </c>
      <c r="K1481" s="20">
        <f t="shared" si="176"/>
        <v>0</v>
      </c>
      <c r="L1481">
        <v>0</v>
      </c>
      <c r="M1481">
        <v>0</v>
      </c>
      <c r="N1481" s="21">
        <f t="shared" si="177"/>
        <v>0</v>
      </c>
      <c r="O1481">
        <v>0</v>
      </c>
      <c r="P1481">
        <v>0</v>
      </c>
      <c r="Q1481" s="21">
        <f t="shared" si="171"/>
        <v>0</v>
      </c>
      <c r="R1481">
        <v>0</v>
      </c>
      <c r="S1481">
        <v>0</v>
      </c>
      <c r="T1481" s="21">
        <f t="shared" si="172"/>
        <v>0</v>
      </c>
      <c r="U1481">
        <v>0</v>
      </c>
      <c r="V1481">
        <v>0</v>
      </c>
      <c r="W1481" s="21">
        <f t="shared" si="173"/>
        <v>0</v>
      </c>
      <c r="X1481">
        <v>0</v>
      </c>
      <c r="Y1481">
        <v>0</v>
      </c>
      <c r="Z1481" s="21">
        <f t="shared" si="174"/>
        <v>0</v>
      </c>
      <c r="AA1481">
        <v>0</v>
      </c>
      <c r="AB1481">
        <v>0</v>
      </c>
      <c r="AC1481" s="21">
        <f t="shared" si="175"/>
        <v>0</v>
      </c>
      <c r="AD1481">
        <v>0</v>
      </c>
      <c r="AE1481">
        <v>0</v>
      </c>
      <c r="AF1481" s="21">
        <f t="shared" si="178"/>
        <v>0</v>
      </c>
    </row>
    <row r="1482" spans="1:32" ht="15" customHeight="1" x14ac:dyDescent="0.3">
      <c r="A1482">
        <v>3</v>
      </c>
      <c r="B1482" s="2" t="s">
        <v>696</v>
      </c>
      <c r="C1482" s="4" t="s">
        <v>691</v>
      </c>
      <c r="D1482" s="3" t="s">
        <v>657</v>
      </c>
      <c r="E1482" s="6" t="s">
        <v>37</v>
      </c>
      <c r="F1482" s="6" t="s">
        <v>318</v>
      </c>
      <c r="G1482" s="6" t="s">
        <v>716</v>
      </c>
      <c r="H1482" s="23">
        <v>39000</v>
      </c>
      <c r="I1482">
        <v>0</v>
      </c>
      <c r="J1482">
        <v>0</v>
      </c>
      <c r="K1482" s="20">
        <f t="shared" si="176"/>
        <v>0</v>
      </c>
      <c r="L1482">
        <v>50</v>
      </c>
      <c r="M1482">
        <v>5</v>
      </c>
      <c r="N1482" s="21">
        <f t="shared" si="177"/>
        <v>9750000</v>
      </c>
      <c r="O1482">
        <v>0</v>
      </c>
      <c r="P1482">
        <v>0</v>
      </c>
      <c r="Q1482" s="21">
        <f t="shared" si="171"/>
        <v>0</v>
      </c>
      <c r="R1482">
        <v>0</v>
      </c>
      <c r="S1482">
        <v>0</v>
      </c>
      <c r="T1482" s="21">
        <f t="shared" si="172"/>
        <v>0</v>
      </c>
      <c r="U1482">
        <v>0</v>
      </c>
      <c r="V1482">
        <v>0</v>
      </c>
      <c r="W1482" s="21">
        <f t="shared" si="173"/>
        <v>0</v>
      </c>
      <c r="X1482">
        <v>0</v>
      </c>
      <c r="Y1482">
        <v>0</v>
      </c>
      <c r="Z1482" s="21">
        <f t="shared" si="174"/>
        <v>0</v>
      </c>
      <c r="AA1482">
        <v>0</v>
      </c>
      <c r="AB1482">
        <v>0</v>
      </c>
      <c r="AC1482" s="21">
        <f t="shared" si="175"/>
        <v>0</v>
      </c>
      <c r="AD1482">
        <v>0</v>
      </c>
      <c r="AE1482">
        <v>0</v>
      </c>
      <c r="AF1482" s="21">
        <f t="shared" si="178"/>
        <v>0</v>
      </c>
    </row>
    <row r="1483" spans="1:32" ht="15" customHeight="1" x14ac:dyDescent="0.3">
      <c r="A1483">
        <v>3</v>
      </c>
      <c r="B1483" s="2" t="s">
        <v>696</v>
      </c>
      <c r="C1483" s="4" t="s">
        <v>691</v>
      </c>
      <c r="D1483" s="3" t="s">
        <v>657</v>
      </c>
      <c r="E1483" s="6" t="s">
        <v>37</v>
      </c>
      <c r="F1483" s="6" t="s">
        <v>318</v>
      </c>
      <c r="G1483" s="6" t="s">
        <v>709</v>
      </c>
      <c r="H1483" s="23">
        <v>28000</v>
      </c>
      <c r="I1483">
        <v>0</v>
      </c>
      <c r="J1483">
        <v>0</v>
      </c>
      <c r="K1483" s="20">
        <f t="shared" si="176"/>
        <v>0</v>
      </c>
      <c r="L1483">
        <v>50</v>
      </c>
      <c r="M1483">
        <v>5</v>
      </c>
      <c r="N1483" s="21">
        <f t="shared" si="177"/>
        <v>7000000</v>
      </c>
      <c r="O1483">
        <v>0</v>
      </c>
      <c r="P1483">
        <v>0</v>
      </c>
      <c r="Q1483" s="21">
        <f t="shared" si="171"/>
        <v>0</v>
      </c>
      <c r="R1483">
        <v>0</v>
      </c>
      <c r="S1483">
        <v>0</v>
      </c>
      <c r="T1483" s="21">
        <f t="shared" si="172"/>
        <v>0</v>
      </c>
      <c r="U1483">
        <v>0</v>
      </c>
      <c r="V1483">
        <v>0</v>
      </c>
      <c r="W1483" s="21">
        <f t="shared" si="173"/>
        <v>0</v>
      </c>
      <c r="X1483">
        <v>0</v>
      </c>
      <c r="Y1483">
        <v>0</v>
      </c>
      <c r="Z1483" s="21">
        <f t="shared" si="174"/>
        <v>0</v>
      </c>
      <c r="AA1483">
        <v>0</v>
      </c>
      <c r="AB1483">
        <v>0</v>
      </c>
      <c r="AC1483" s="21">
        <f t="shared" si="175"/>
        <v>0</v>
      </c>
      <c r="AD1483">
        <v>0</v>
      </c>
      <c r="AE1483">
        <v>0</v>
      </c>
      <c r="AF1483" s="21">
        <f t="shared" si="178"/>
        <v>0</v>
      </c>
    </row>
    <row r="1484" spans="1:32" ht="15" customHeight="1" x14ac:dyDescent="0.3">
      <c r="A1484">
        <v>3</v>
      </c>
      <c r="B1484" s="2" t="s">
        <v>696</v>
      </c>
      <c r="C1484" s="4" t="s">
        <v>691</v>
      </c>
      <c r="D1484" s="3" t="s">
        <v>657</v>
      </c>
      <c r="E1484" s="6" t="s">
        <v>37</v>
      </c>
      <c r="F1484" s="6" t="s">
        <v>318</v>
      </c>
      <c r="G1484" s="6" t="s">
        <v>712</v>
      </c>
      <c r="H1484" s="23">
        <v>214.29</v>
      </c>
      <c r="I1484">
        <v>0</v>
      </c>
      <c r="J1484">
        <v>0</v>
      </c>
      <c r="K1484" s="20">
        <f t="shared" si="176"/>
        <v>0</v>
      </c>
      <c r="L1484">
        <v>20000</v>
      </c>
      <c r="M1484">
        <v>1</v>
      </c>
      <c r="N1484" s="21">
        <f t="shared" si="177"/>
        <v>4285800</v>
      </c>
      <c r="O1484">
        <v>0</v>
      </c>
      <c r="P1484">
        <v>0</v>
      </c>
      <c r="Q1484" s="21">
        <f t="shared" si="171"/>
        <v>0</v>
      </c>
      <c r="R1484">
        <v>0</v>
      </c>
      <c r="S1484">
        <v>0</v>
      </c>
      <c r="T1484" s="21">
        <f t="shared" si="172"/>
        <v>0</v>
      </c>
      <c r="U1484">
        <v>0</v>
      </c>
      <c r="V1484">
        <v>0</v>
      </c>
      <c r="W1484" s="21">
        <f t="shared" si="173"/>
        <v>0</v>
      </c>
      <c r="X1484">
        <v>0</v>
      </c>
      <c r="Y1484">
        <v>0</v>
      </c>
      <c r="Z1484" s="21">
        <f t="shared" si="174"/>
        <v>0</v>
      </c>
      <c r="AA1484">
        <v>0</v>
      </c>
      <c r="AB1484">
        <v>0</v>
      </c>
      <c r="AC1484" s="21">
        <f t="shared" si="175"/>
        <v>0</v>
      </c>
      <c r="AD1484">
        <v>0</v>
      </c>
      <c r="AE1484">
        <v>0</v>
      </c>
      <c r="AF1484" s="21">
        <f t="shared" si="178"/>
        <v>0</v>
      </c>
    </row>
    <row r="1485" spans="1:32" ht="15" customHeight="1" x14ac:dyDescent="0.3">
      <c r="A1485">
        <v>3</v>
      </c>
      <c r="B1485" s="2" t="s">
        <v>696</v>
      </c>
      <c r="C1485" s="4" t="s">
        <v>691</v>
      </c>
      <c r="D1485" s="3" t="s">
        <v>657</v>
      </c>
      <c r="E1485" s="6" t="s">
        <v>38</v>
      </c>
      <c r="F1485" s="6" t="s">
        <v>319</v>
      </c>
      <c r="G1485" s="6" t="s">
        <v>725</v>
      </c>
      <c r="H1485" s="23">
        <v>25049102.170000002</v>
      </c>
      <c r="I1485">
        <v>0</v>
      </c>
      <c r="J1485">
        <v>0</v>
      </c>
      <c r="K1485" s="20">
        <f t="shared" si="176"/>
        <v>0</v>
      </c>
      <c r="L1485">
        <v>0</v>
      </c>
      <c r="M1485">
        <v>0</v>
      </c>
      <c r="N1485" s="21">
        <f t="shared" si="177"/>
        <v>0</v>
      </c>
      <c r="O1485">
        <v>15</v>
      </c>
      <c r="P1485">
        <v>1</v>
      </c>
      <c r="Q1485" s="21">
        <f t="shared" si="171"/>
        <v>375736532.55000001</v>
      </c>
      <c r="R1485">
        <v>0</v>
      </c>
      <c r="S1485">
        <v>0</v>
      </c>
      <c r="T1485" s="21">
        <f t="shared" si="172"/>
        <v>0</v>
      </c>
      <c r="U1485">
        <v>0</v>
      </c>
      <c r="V1485">
        <v>0</v>
      </c>
      <c r="W1485" s="21">
        <f t="shared" si="173"/>
        <v>0</v>
      </c>
      <c r="X1485">
        <v>0</v>
      </c>
      <c r="Y1485">
        <v>0</v>
      </c>
      <c r="Z1485" s="21">
        <f t="shared" si="174"/>
        <v>0</v>
      </c>
      <c r="AA1485">
        <v>0</v>
      </c>
      <c r="AB1485">
        <v>0</v>
      </c>
      <c r="AC1485" s="21">
        <f t="shared" si="175"/>
        <v>0</v>
      </c>
      <c r="AD1485">
        <v>0</v>
      </c>
      <c r="AE1485">
        <v>0</v>
      </c>
      <c r="AF1485" s="21">
        <f t="shared" si="178"/>
        <v>0</v>
      </c>
    </row>
    <row r="1486" spans="1:32" ht="15" customHeight="1" x14ac:dyDescent="0.3">
      <c r="A1486">
        <v>3</v>
      </c>
      <c r="B1486" s="2" t="s">
        <v>696</v>
      </c>
      <c r="C1486" s="4" t="s">
        <v>691</v>
      </c>
      <c r="D1486" s="3" t="s">
        <v>657</v>
      </c>
      <c r="E1486" s="6" t="s">
        <v>38</v>
      </c>
      <c r="F1486" s="6" t="s">
        <v>320</v>
      </c>
      <c r="G1486" s="6" t="s">
        <v>725</v>
      </c>
      <c r="H1486" s="23">
        <v>25049102.170000002</v>
      </c>
      <c r="I1486">
        <v>0</v>
      </c>
      <c r="J1486">
        <v>0</v>
      </c>
      <c r="K1486" s="20">
        <f t="shared" si="176"/>
        <v>0</v>
      </c>
      <c r="L1486">
        <v>0</v>
      </c>
      <c r="M1486">
        <v>0</v>
      </c>
      <c r="N1486" s="21">
        <f t="shared" si="177"/>
        <v>0</v>
      </c>
      <c r="O1486">
        <v>29</v>
      </c>
      <c r="P1486">
        <v>1</v>
      </c>
      <c r="Q1486" s="21">
        <f t="shared" si="171"/>
        <v>726423962.93000007</v>
      </c>
      <c r="R1486">
        <v>0</v>
      </c>
      <c r="S1486">
        <v>0</v>
      </c>
      <c r="T1486" s="21">
        <f t="shared" si="172"/>
        <v>0</v>
      </c>
      <c r="U1486">
        <v>0</v>
      </c>
      <c r="V1486">
        <v>0</v>
      </c>
      <c r="W1486" s="21">
        <f t="shared" si="173"/>
        <v>0</v>
      </c>
      <c r="X1486">
        <v>0</v>
      </c>
      <c r="Y1486">
        <v>0</v>
      </c>
      <c r="Z1486" s="21">
        <f t="shared" si="174"/>
        <v>0</v>
      </c>
      <c r="AA1486">
        <v>0</v>
      </c>
      <c r="AB1486">
        <v>0</v>
      </c>
      <c r="AC1486" s="21">
        <f t="shared" si="175"/>
        <v>0</v>
      </c>
      <c r="AD1486">
        <v>0</v>
      </c>
      <c r="AE1486">
        <v>0</v>
      </c>
      <c r="AF1486" s="21">
        <f t="shared" si="178"/>
        <v>0</v>
      </c>
    </row>
    <row r="1487" spans="1:32" ht="15" customHeight="1" x14ac:dyDescent="0.3">
      <c r="A1487">
        <v>3</v>
      </c>
      <c r="B1487" s="2" t="s">
        <v>696</v>
      </c>
      <c r="C1487" s="4" t="s">
        <v>691</v>
      </c>
      <c r="D1487" s="3" t="s">
        <v>657</v>
      </c>
      <c r="E1487" s="6" t="s">
        <v>38</v>
      </c>
      <c r="F1487" s="6" t="s">
        <v>321</v>
      </c>
      <c r="G1487" s="6" t="s">
        <v>746</v>
      </c>
      <c r="H1487" s="23">
        <v>1080000</v>
      </c>
      <c r="I1487">
        <v>0</v>
      </c>
      <c r="J1487">
        <v>0</v>
      </c>
      <c r="K1487" s="20">
        <f t="shared" si="176"/>
        <v>0</v>
      </c>
      <c r="L1487">
        <v>0</v>
      </c>
      <c r="M1487">
        <v>0</v>
      </c>
      <c r="N1487" s="21">
        <f t="shared" si="177"/>
        <v>0</v>
      </c>
      <c r="O1487">
        <v>29</v>
      </c>
      <c r="P1487">
        <v>1</v>
      </c>
      <c r="Q1487" s="21">
        <f t="shared" si="171"/>
        <v>31320000</v>
      </c>
      <c r="R1487">
        <v>0</v>
      </c>
      <c r="S1487">
        <v>0</v>
      </c>
      <c r="T1487" s="21">
        <f t="shared" si="172"/>
        <v>0</v>
      </c>
      <c r="U1487">
        <v>0</v>
      </c>
      <c r="V1487">
        <v>0</v>
      </c>
      <c r="W1487" s="21">
        <f t="shared" si="173"/>
        <v>0</v>
      </c>
      <c r="X1487">
        <v>0</v>
      </c>
      <c r="Y1487">
        <v>0</v>
      </c>
      <c r="Z1487" s="21">
        <f t="shared" si="174"/>
        <v>0</v>
      </c>
      <c r="AA1487">
        <v>0</v>
      </c>
      <c r="AB1487">
        <v>0</v>
      </c>
      <c r="AC1487" s="21">
        <f t="shared" si="175"/>
        <v>0</v>
      </c>
      <c r="AD1487">
        <v>0</v>
      </c>
      <c r="AE1487">
        <v>0</v>
      </c>
      <c r="AF1487" s="21">
        <f t="shared" si="178"/>
        <v>0</v>
      </c>
    </row>
    <row r="1488" spans="1:32" ht="15" customHeight="1" x14ac:dyDescent="0.3">
      <c r="A1488">
        <v>3</v>
      </c>
      <c r="B1488" s="2" t="s">
        <v>696</v>
      </c>
      <c r="C1488" s="4" t="s">
        <v>691</v>
      </c>
      <c r="D1488" s="3" t="s">
        <v>657</v>
      </c>
      <c r="E1488" s="6" t="s">
        <v>38</v>
      </c>
      <c r="F1488" s="6" t="s">
        <v>322</v>
      </c>
      <c r="G1488" s="6" t="s">
        <v>718</v>
      </c>
      <c r="H1488" s="23">
        <v>0</v>
      </c>
      <c r="I1488">
        <v>0</v>
      </c>
      <c r="J1488">
        <v>0</v>
      </c>
      <c r="K1488" s="20">
        <f t="shared" si="176"/>
        <v>0</v>
      </c>
      <c r="L1488">
        <v>0</v>
      </c>
      <c r="M1488">
        <v>0</v>
      </c>
      <c r="N1488" s="21">
        <f t="shared" si="177"/>
        <v>0</v>
      </c>
      <c r="O1488">
        <v>0</v>
      </c>
      <c r="P1488">
        <v>0</v>
      </c>
      <c r="Q1488" s="21">
        <f t="shared" si="171"/>
        <v>0</v>
      </c>
      <c r="R1488">
        <v>0</v>
      </c>
      <c r="S1488">
        <v>0</v>
      </c>
      <c r="T1488" s="21">
        <f t="shared" si="172"/>
        <v>0</v>
      </c>
      <c r="U1488">
        <v>0</v>
      </c>
      <c r="V1488">
        <v>0</v>
      </c>
      <c r="W1488" s="21">
        <f t="shared" si="173"/>
        <v>0</v>
      </c>
      <c r="X1488">
        <v>0</v>
      </c>
      <c r="Y1488">
        <v>0</v>
      </c>
      <c r="Z1488" s="21">
        <f t="shared" si="174"/>
        <v>0</v>
      </c>
      <c r="AA1488">
        <v>0</v>
      </c>
      <c r="AB1488">
        <v>0</v>
      </c>
      <c r="AC1488" s="21">
        <f t="shared" si="175"/>
        <v>0</v>
      </c>
      <c r="AD1488">
        <v>0</v>
      </c>
      <c r="AE1488">
        <v>0</v>
      </c>
      <c r="AF1488" s="21">
        <f t="shared" si="178"/>
        <v>0</v>
      </c>
    </row>
    <row r="1489" spans="1:32" ht="15" customHeight="1" x14ac:dyDescent="0.3">
      <c r="A1489">
        <v>3</v>
      </c>
      <c r="B1489" s="2" t="s">
        <v>696</v>
      </c>
      <c r="C1489" s="4" t="s">
        <v>691</v>
      </c>
      <c r="D1489" s="3" t="s">
        <v>657</v>
      </c>
      <c r="E1489" s="6" t="s">
        <v>39</v>
      </c>
      <c r="F1489" s="6" t="s">
        <v>149</v>
      </c>
      <c r="G1489" s="6" t="s">
        <v>707</v>
      </c>
      <c r="H1489" s="23">
        <v>391991.03749999998</v>
      </c>
      <c r="I1489">
        <v>0</v>
      </c>
      <c r="J1489">
        <v>0</v>
      </c>
      <c r="K1489" s="20">
        <f t="shared" si="176"/>
        <v>0</v>
      </c>
      <c r="L1489">
        <v>1</v>
      </c>
      <c r="M1489">
        <v>4</v>
      </c>
      <c r="N1489" s="21">
        <f t="shared" si="177"/>
        <v>1567964.15</v>
      </c>
      <c r="O1489">
        <v>0</v>
      </c>
      <c r="P1489">
        <v>0</v>
      </c>
      <c r="Q1489" s="21">
        <f t="shared" si="171"/>
        <v>0</v>
      </c>
      <c r="R1489">
        <v>0</v>
      </c>
      <c r="S1489">
        <v>0</v>
      </c>
      <c r="T1489" s="21">
        <f t="shared" si="172"/>
        <v>0</v>
      </c>
      <c r="U1489">
        <v>0</v>
      </c>
      <c r="V1489">
        <v>0</v>
      </c>
      <c r="W1489" s="21">
        <f t="shared" si="173"/>
        <v>0</v>
      </c>
      <c r="X1489">
        <v>0</v>
      </c>
      <c r="Y1489">
        <v>0</v>
      </c>
      <c r="Z1489" s="21">
        <f t="shared" si="174"/>
        <v>0</v>
      </c>
      <c r="AA1489">
        <v>0</v>
      </c>
      <c r="AB1489">
        <v>0</v>
      </c>
      <c r="AC1489" s="21">
        <f t="shared" si="175"/>
        <v>0</v>
      </c>
      <c r="AD1489">
        <v>0</v>
      </c>
      <c r="AE1489">
        <v>0</v>
      </c>
      <c r="AF1489" s="21">
        <f t="shared" si="178"/>
        <v>0</v>
      </c>
    </row>
    <row r="1490" spans="1:32" ht="15" customHeight="1" x14ac:dyDescent="0.3">
      <c r="A1490">
        <v>3</v>
      </c>
      <c r="B1490" s="2" t="s">
        <v>696</v>
      </c>
      <c r="C1490" s="4" t="s">
        <v>691</v>
      </c>
      <c r="D1490" s="3" t="s">
        <v>657</v>
      </c>
      <c r="E1490" s="6" t="s">
        <v>39</v>
      </c>
      <c r="F1490" s="6" t="s">
        <v>149</v>
      </c>
      <c r="G1490" s="6" t="s">
        <v>708</v>
      </c>
      <c r="H1490" s="23">
        <v>425000</v>
      </c>
      <c r="I1490">
        <v>0</v>
      </c>
      <c r="J1490">
        <v>0</v>
      </c>
      <c r="K1490" s="20">
        <f t="shared" si="176"/>
        <v>0</v>
      </c>
      <c r="L1490">
        <v>1</v>
      </c>
      <c r="M1490">
        <v>40</v>
      </c>
      <c r="N1490" s="21">
        <f t="shared" si="177"/>
        <v>17000000</v>
      </c>
      <c r="O1490">
        <v>0</v>
      </c>
      <c r="P1490">
        <v>0</v>
      </c>
      <c r="Q1490" s="21">
        <f t="shared" si="171"/>
        <v>0</v>
      </c>
      <c r="R1490">
        <v>0</v>
      </c>
      <c r="S1490">
        <v>0</v>
      </c>
      <c r="T1490" s="21">
        <f t="shared" si="172"/>
        <v>0</v>
      </c>
      <c r="U1490">
        <v>0</v>
      </c>
      <c r="V1490">
        <v>0</v>
      </c>
      <c r="W1490" s="21">
        <f t="shared" si="173"/>
        <v>0</v>
      </c>
      <c r="X1490">
        <v>0</v>
      </c>
      <c r="Y1490">
        <v>0</v>
      </c>
      <c r="Z1490" s="21">
        <f t="shared" si="174"/>
        <v>0</v>
      </c>
      <c r="AA1490">
        <v>0</v>
      </c>
      <c r="AB1490">
        <v>0</v>
      </c>
      <c r="AC1490" s="21">
        <f t="shared" si="175"/>
        <v>0</v>
      </c>
      <c r="AD1490">
        <v>0</v>
      </c>
      <c r="AE1490">
        <v>0</v>
      </c>
      <c r="AF1490" s="21">
        <f t="shared" si="178"/>
        <v>0</v>
      </c>
    </row>
    <row r="1491" spans="1:32" ht="15" customHeight="1" x14ac:dyDescent="0.3">
      <c r="A1491">
        <v>3</v>
      </c>
      <c r="B1491" s="2" t="s">
        <v>696</v>
      </c>
      <c r="C1491" s="4" t="s">
        <v>691</v>
      </c>
      <c r="D1491" s="3" t="s">
        <v>657</v>
      </c>
      <c r="E1491" s="6" t="s">
        <v>39</v>
      </c>
      <c r="F1491" s="6" t="s">
        <v>323</v>
      </c>
      <c r="G1491" s="6" t="s">
        <v>709</v>
      </c>
      <c r="H1491" s="23">
        <v>28000</v>
      </c>
      <c r="I1491">
        <v>0</v>
      </c>
      <c r="J1491">
        <v>0</v>
      </c>
      <c r="K1491" s="20">
        <f t="shared" si="176"/>
        <v>0</v>
      </c>
      <c r="L1491">
        <v>0</v>
      </c>
      <c r="M1491">
        <v>0</v>
      </c>
      <c r="N1491" s="21">
        <f t="shared" si="177"/>
        <v>0</v>
      </c>
      <c r="O1491">
        <v>15</v>
      </c>
      <c r="P1491">
        <v>3</v>
      </c>
      <c r="Q1491" s="21">
        <f t="shared" si="171"/>
        <v>1260000</v>
      </c>
      <c r="R1491">
        <v>0</v>
      </c>
      <c r="S1491">
        <v>0</v>
      </c>
      <c r="T1491" s="21">
        <f t="shared" si="172"/>
        <v>0</v>
      </c>
      <c r="U1491">
        <v>0</v>
      </c>
      <c r="V1491">
        <v>0</v>
      </c>
      <c r="W1491" s="21">
        <f t="shared" si="173"/>
        <v>0</v>
      </c>
      <c r="X1491">
        <v>0</v>
      </c>
      <c r="Y1491">
        <v>0</v>
      </c>
      <c r="Z1491" s="21">
        <f t="shared" si="174"/>
        <v>0</v>
      </c>
      <c r="AA1491">
        <v>0</v>
      </c>
      <c r="AB1491">
        <v>0</v>
      </c>
      <c r="AC1491" s="21">
        <f t="shared" si="175"/>
        <v>0</v>
      </c>
      <c r="AD1491">
        <v>0</v>
      </c>
      <c r="AE1491">
        <v>0</v>
      </c>
      <c r="AF1491" s="21">
        <f t="shared" si="178"/>
        <v>0</v>
      </c>
    </row>
    <row r="1492" spans="1:32" ht="15" customHeight="1" x14ac:dyDescent="0.3">
      <c r="A1492">
        <v>3</v>
      </c>
      <c r="B1492" s="2" t="s">
        <v>696</v>
      </c>
      <c r="C1492" s="4" t="s">
        <v>691</v>
      </c>
      <c r="D1492" s="3" t="s">
        <v>657</v>
      </c>
      <c r="E1492" s="6" t="s">
        <v>39</v>
      </c>
      <c r="F1492" s="6" t="s">
        <v>324</v>
      </c>
      <c r="G1492" s="6" t="s">
        <v>716</v>
      </c>
      <c r="H1492" s="23">
        <v>39000</v>
      </c>
      <c r="I1492">
        <v>0</v>
      </c>
      <c r="J1492">
        <v>0</v>
      </c>
      <c r="K1492" s="20">
        <f t="shared" si="176"/>
        <v>0</v>
      </c>
      <c r="L1492">
        <v>0</v>
      </c>
      <c r="M1492">
        <v>0</v>
      </c>
      <c r="N1492" s="21">
        <f t="shared" si="177"/>
        <v>0</v>
      </c>
      <c r="O1492">
        <v>40</v>
      </c>
      <c r="P1492">
        <v>10</v>
      </c>
      <c r="Q1492" s="21">
        <f t="shared" si="171"/>
        <v>15600000</v>
      </c>
      <c r="R1492">
        <v>0</v>
      </c>
      <c r="S1492">
        <v>0</v>
      </c>
      <c r="T1492" s="21">
        <f t="shared" si="172"/>
        <v>0</v>
      </c>
      <c r="U1492">
        <v>0</v>
      </c>
      <c r="V1492">
        <v>0</v>
      </c>
      <c r="W1492" s="21">
        <f t="shared" si="173"/>
        <v>0</v>
      </c>
      <c r="X1492">
        <v>0</v>
      </c>
      <c r="Y1492">
        <v>0</v>
      </c>
      <c r="Z1492" s="21">
        <f t="shared" si="174"/>
        <v>0</v>
      </c>
      <c r="AA1492">
        <v>0</v>
      </c>
      <c r="AB1492">
        <v>0</v>
      </c>
      <c r="AC1492" s="21">
        <f t="shared" si="175"/>
        <v>0</v>
      </c>
      <c r="AD1492">
        <v>0</v>
      </c>
      <c r="AE1492">
        <v>0</v>
      </c>
      <c r="AF1492" s="21">
        <f t="shared" si="178"/>
        <v>0</v>
      </c>
    </row>
    <row r="1493" spans="1:32" ht="15" customHeight="1" x14ac:dyDescent="0.3">
      <c r="A1493">
        <v>3</v>
      </c>
      <c r="B1493" s="2" t="s">
        <v>696</v>
      </c>
      <c r="C1493" s="4" t="s">
        <v>691</v>
      </c>
      <c r="D1493" s="3" t="s">
        <v>657</v>
      </c>
      <c r="E1493" s="6" t="s">
        <v>39</v>
      </c>
      <c r="F1493" s="6" t="s">
        <v>324</v>
      </c>
      <c r="G1493" s="6" t="s">
        <v>709</v>
      </c>
      <c r="H1493" s="23">
        <v>28000</v>
      </c>
      <c r="I1493">
        <v>0</v>
      </c>
      <c r="J1493">
        <v>0</v>
      </c>
      <c r="K1493" s="20">
        <f t="shared" si="176"/>
        <v>0</v>
      </c>
      <c r="L1493">
        <v>0</v>
      </c>
      <c r="M1493">
        <v>0</v>
      </c>
      <c r="N1493" s="21">
        <f t="shared" si="177"/>
        <v>0</v>
      </c>
      <c r="O1493">
        <v>40</v>
      </c>
      <c r="P1493">
        <v>10</v>
      </c>
      <c r="Q1493" s="21">
        <f t="shared" si="171"/>
        <v>11200000</v>
      </c>
      <c r="R1493">
        <v>0</v>
      </c>
      <c r="S1493">
        <v>0</v>
      </c>
      <c r="T1493" s="21">
        <f t="shared" si="172"/>
        <v>0</v>
      </c>
      <c r="U1493">
        <v>0</v>
      </c>
      <c r="V1493">
        <v>0</v>
      </c>
      <c r="W1493" s="21">
        <f t="shared" si="173"/>
        <v>0</v>
      </c>
      <c r="X1493">
        <v>0</v>
      </c>
      <c r="Y1493">
        <v>0</v>
      </c>
      <c r="Z1493" s="21">
        <f t="shared" si="174"/>
        <v>0</v>
      </c>
      <c r="AA1493">
        <v>0</v>
      </c>
      <c r="AB1493">
        <v>0</v>
      </c>
      <c r="AC1493" s="21">
        <f t="shared" si="175"/>
        <v>0</v>
      </c>
      <c r="AD1493">
        <v>0</v>
      </c>
      <c r="AE1493">
        <v>0</v>
      </c>
      <c r="AF1493" s="21">
        <f t="shared" si="178"/>
        <v>0</v>
      </c>
    </row>
    <row r="1494" spans="1:32" ht="15" customHeight="1" x14ac:dyDescent="0.3">
      <c r="A1494">
        <v>3</v>
      </c>
      <c r="B1494" s="2" t="s">
        <v>696</v>
      </c>
      <c r="C1494" s="4" t="s">
        <v>691</v>
      </c>
      <c r="D1494" s="3" t="s">
        <v>657</v>
      </c>
      <c r="E1494" s="6" t="s">
        <v>39</v>
      </c>
      <c r="F1494" s="6" t="s">
        <v>324</v>
      </c>
      <c r="G1494" s="6" t="s">
        <v>712</v>
      </c>
      <c r="H1494" s="23">
        <v>214.29</v>
      </c>
      <c r="I1494">
        <v>0</v>
      </c>
      <c r="J1494">
        <v>0</v>
      </c>
      <c r="K1494" s="20">
        <f t="shared" si="176"/>
        <v>0</v>
      </c>
      <c r="L1494">
        <v>0</v>
      </c>
      <c r="M1494">
        <v>0</v>
      </c>
      <c r="N1494" s="21">
        <f t="shared" si="177"/>
        <v>0</v>
      </c>
      <c r="O1494">
        <v>8000</v>
      </c>
      <c r="P1494">
        <v>1</v>
      </c>
      <c r="Q1494" s="21">
        <f t="shared" si="171"/>
        <v>1714320</v>
      </c>
      <c r="R1494">
        <v>0</v>
      </c>
      <c r="S1494">
        <v>0</v>
      </c>
      <c r="T1494" s="21">
        <f t="shared" si="172"/>
        <v>0</v>
      </c>
      <c r="U1494">
        <v>0</v>
      </c>
      <c r="V1494">
        <v>0</v>
      </c>
      <c r="W1494" s="21">
        <f t="shared" si="173"/>
        <v>0</v>
      </c>
      <c r="X1494">
        <v>0</v>
      </c>
      <c r="Y1494">
        <v>0</v>
      </c>
      <c r="Z1494" s="21">
        <f t="shared" si="174"/>
        <v>0</v>
      </c>
      <c r="AA1494">
        <v>0</v>
      </c>
      <c r="AB1494">
        <v>0</v>
      </c>
      <c r="AC1494" s="21">
        <f t="shared" si="175"/>
        <v>0</v>
      </c>
      <c r="AD1494">
        <v>0</v>
      </c>
      <c r="AE1494">
        <v>0</v>
      </c>
      <c r="AF1494" s="21">
        <f t="shared" si="178"/>
        <v>0</v>
      </c>
    </row>
    <row r="1495" spans="1:32" ht="15" customHeight="1" x14ac:dyDescent="0.3">
      <c r="A1495">
        <v>3</v>
      </c>
      <c r="B1495" s="2" t="s">
        <v>696</v>
      </c>
      <c r="C1495" s="4" t="s">
        <v>691</v>
      </c>
      <c r="D1495" s="3" t="s">
        <v>657</v>
      </c>
      <c r="E1495" s="6" t="s">
        <v>39</v>
      </c>
      <c r="F1495" s="6" t="s">
        <v>325</v>
      </c>
      <c r="G1495" s="6" t="s">
        <v>709</v>
      </c>
      <c r="H1495" s="23">
        <v>28000</v>
      </c>
      <c r="I1495">
        <v>0</v>
      </c>
      <c r="J1495">
        <v>0</v>
      </c>
      <c r="K1495" s="20">
        <f t="shared" si="176"/>
        <v>0</v>
      </c>
      <c r="L1495">
        <v>0</v>
      </c>
      <c r="M1495">
        <v>0</v>
      </c>
      <c r="N1495" s="21">
        <f t="shared" si="177"/>
        <v>0</v>
      </c>
      <c r="O1495">
        <v>15</v>
      </c>
      <c r="P1495">
        <v>29</v>
      </c>
      <c r="Q1495" s="21">
        <f t="shared" si="171"/>
        <v>12180000</v>
      </c>
      <c r="R1495">
        <v>0</v>
      </c>
      <c r="S1495">
        <v>0</v>
      </c>
      <c r="T1495" s="21">
        <f t="shared" si="172"/>
        <v>0</v>
      </c>
      <c r="U1495">
        <v>0</v>
      </c>
      <c r="V1495">
        <v>0</v>
      </c>
      <c r="W1495" s="21">
        <f t="shared" si="173"/>
        <v>0</v>
      </c>
      <c r="X1495">
        <v>0</v>
      </c>
      <c r="Y1495">
        <v>0</v>
      </c>
      <c r="Z1495" s="21">
        <f t="shared" si="174"/>
        <v>0</v>
      </c>
      <c r="AA1495">
        <v>0</v>
      </c>
      <c r="AB1495">
        <v>0</v>
      </c>
      <c r="AC1495" s="21">
        <f t="shared" si="175"/>
        <v>0</v>
      </c>
      <c r="AD1495">
        <v>0</v>
      </c>
      <c r="AE1495">
        <v>0</v>
      </c>
      <c r="AF1495" s="21">
        <f t="shared" si="178"/>
        <v>0</v>
      </c>
    </row>
    <row r="1496" spans="1:32" ht="15" customHeight="1" x14ac:dyDescent="0.3">
      <c r="A1496">
        <v>3</v>
      </c>
      <c r="B1496" s="2" t="s">
        <v>696</v>
      </c>
      <c r="C1496" s="4" t="s">
        <v>691</v>
      </c>
      <c r="D1496" s="3" t="s">
        <v>657</v>
      </c>
      <c r="E1496" s="6" t="s">
        <v>39</v>
      </c>
      <c r="F1496" s="6" t="s">
        <v>325</v>
      </c>
      <c r="G1496" s="6" t="s">
        <v>712</v>
      </c>
      <c r="H1496" s="23">
        <v>214.29</v>
      </c>
      <c r="I1496">
        <v>0</v>
      </c>
      <c r="J1496">
        <v>0</v>
      </c>
      <c r="K1496" s="20">
        <f t="shared" si="176"/>
        <v>0</v>
      </c>
      <c r="L1496">
        <v>0</v>
      </c>
      <c r="M1496">
        <v>0</v>
      </c>
      <c r="N1496" s="21">
        <f t="shared" si="177"/>
        <v>0</v>
      </c>
      <c r="O1496">
        <v>1000</v>
      </c>
      <c r="P1496">
        <v>29</v>
      </c>
      <c r="Q1496" s="21">
        <f t="shared" si="171"/>
        <v>6214410</v>
      </c>
      <c r="R1496">
        <v>0</v>
      </c>
      <c r="S1496">
        <v>0</v>
      </c>
      <c r="T1496" s="21">
        <f t="shared" si="172"/>
        <v>0</v>
      </c>
      <c r="U1496">
        <v>0</v>
      </c>
      <c r="V1496">
        <v>0</v>
      </c>
      <c r="W1496" s="21">
        <f t="shared" si="173"/>
        <v>0</v>
      </c>
      <c r="X1496">
        <v>0</v>
      </c>
      <c r="Y1496">
        <v>0</v>
      </c>
      <c r="Z1496" s="21">
        <f t="shared" si="174"/>
        <v>0</v>
      </c>
      <c r="AA1496">
        <v>0</v>
      </c>
      <c r="AB1496">
        <v>0</v>
      </c>
      <c r="AC1496" s="21">
        <f t="shared" si="175"/>
        <v>0</v>
      </c>
      <c r="AD1496">
        <v>0</v>
      </c>
      <c r="AE1496">
        <v>0</v>
      </c>
      <c r="AF1496" s="21">
        <f t="shared" si="178"/>
        <v>0</v>
      </c>
    </row>
    <row r="1497" spans="1:32" ht="15" customHeight="1" x14ac:dyDescent="0.3">
      <c r="A1497">
        <v>3</v>
      </c>
      <c r="B1497" s="2" t="s">
        <v>696</v>
      </c>
      <c r="C1497" s="4" t="s">
        <v>691</v>
      </c>
      <c r="D1497" s="3" t="s">
        <v>657</v>
      </c>
      <c r="E1497" s="6" t="s">
        <v>39</v>
      </c>
      <c r="F1497" s="6" t="s">
        <v>747</v>
      </c>
      <c r="G1497" s="6" t="s">
        <v>716</v>
      </c>
      <c r="H1497" s="23">
        <v>39000</v>
      </c>
      <c r="I1497">
        <v>0</v>
      </c>
      <c r="J1497">
        <v>0</v>
      </c>
      <c r="K1497" s="20">
        <f t="shared" si="176"/>
        <v>0</v>
      </c>
      <c r="L1497">
        <v>0</v>
      </c>
      <c r="M1497">
        <v>0</v>
      </c>
      <c r="N1497" s="21">
        <f t="shared" si="177"/>
        <v>0</v>
      </c>
      <c r="O1497">
        <v>50</v>
      </c>
      <c r="P1497">
        <v>1</v>
      </c>
      <c r="Q1497" s="21">
        <f t="shared" si="171"/>
        <v>1950000</v>
      </c>
      <c r="R1497">
        <v>50</v>
      </c>
      <c r="S1497">
        <v>1</v>
      </c>
      <c r="T1497" s="21">
        <f t="shared" si="172"/>
        <v>1950000</v>
      </c>
      <c r="U1497">
        <v>50</v>
      </c>
      <c r="V1497">
        <v>1</v>
      </c>
      <c r="W1497" s="21">
        <f t="shared" si="173"/>
        <v>1950000</v>
      </c>
      <c r="X1497">
        <v>0</v>
      </c>
      <c r="Y1497">
        <v>0</v>
      </c>
      <c r="Z1497" s="21">
        <f t="shared" si="174"/>
        <v>0</v>
      </c>
      <c r="AA1497">
        <v>0</v>
      </c>
      <c r="AB1497">
        <v>0</v>
      </c>
      <c r="AC1497" s="21">
        <f t="shared" si="175"/>
        <v>0</v>
      </c>
      <c r="AD1497">
        <v>0</v>
      </c>
      <c r="AE1497">
        <v>0</v>
      </c>
      <c r="AF1497" s="21">
        <f t="shared" si="178"/>
        <v>0</v>
      </c>
    </row>
    <row r="1498" spans="1:32" ht="15" customHeight="1" x14ac:dyDescent="0.3">
      <c r="A1498">
        <v>3</v>
      </c>
      <c r="B1498" s="2" t="s">
        <v>696</v>
      </c>
      <c r="C1498" s="4" t="s">
        <v>691</v>
      </c>
      <c r="D1498" s="3" t="s">
        <v>657</v>
      </c>
      <c r="E1498" s="6" t="s">
        <v>39</v>
      </c>
      <c r="F1498" s="6" t="s">
        <v>747</v>
      </c>
      <c r="G1498" s="6" t="s">
        <v>709</v>
      </c>
      <c r="H1498" s="23">
        <v>28000</v>
      </c>
      <c r="I1498">
        <v>0</v>
      </c>
      <c r="J1498">
        <v>0</v>
      </c>
      <c r="K1498" s="20">
        <f t="shared" si="176"/>
        <v>0</v>
      </c>
      <c r="L1498">
        <v>0</v>
      </c>
      <c r="M1498">
        <v>0</v>
      </c>
      <c r="N1498" s="21">
        <f t="shared" si="177"/>
        <v>0</v>
      </c>
      <c r="O1498">
        <v>50</v>
      </c>
      <c r="P1498">
        <v>1</v>
      </c>
      <c r="Q1498" s="21">
        <f t="shared" si="171"/>
        <v>1400000</v>
      </c>
      <c r="R1498">
        <v>50</v>
      </c>
      <c r="S1498">
        <v>1</v>
      </c>
      <c r="T1498" s="21">
        <f t="shared" si="172"/>
        <v>1400000</v>
      </c>
      <c r="U1498">
        <v>50</v>
      </c>
      <c r="V1498">
        <v>1</v>
      </c>
      <c r="W1498" s="21">
        <f t="shared" si="173"/>
        <v>1400000</v>
      </c>
      <c r="X1498">
        <v>0</v>
      </c>
      <c r="Y1498">
        <v>0</v>
      </c>
      <c r="Z1498" s="21">
        <f t="shared" si="174"/>
        <v>0</v>
      </c>
      <c r="AA1498">
        <v>0</v>
      </c>
      <c r="AB1498">
        <v>0</v>
      </c>
      <c r="AC1498" s="21">
        <f t="shared" si="175"/>
        <v>0</v>
      </c>
      <c r="AD1498">
        <v>0</v>
      </c>
      <c r="AE1498">
        <v>0</v>
      </c>
      <c r="AF1498" s="21">
        <f t="shared" si="178"/>
        <v>0</v>
      </c>
    </row>
    <row r="1499" spans="1:32" ht="15" customHeight="1" x14ac:dyDescent="0.3">
      <c r="A1499">
        <v>3</v>
      </c>
      <c r="B1499" s="2" t="s">
        <v>696</v>
      </c>
      <c r="C1499" s="4" t="s">
        <v>691</v>
      </c>
      <c r="D1499" s="3" t="s">
        <v>657</v>
      </c>
      <c r="E1499" s="6" t="s">
        <v>39</v>
      </c>
      <c r="F1499" s="6" t="s">
        <v>747</v>
      </c>
      <c r="G1499" s="6" t="s">
        <v>712</v>
      </c>
      <c r="H1499" s="23">
        <v>214.29</v>
      </c>
      <c r="I1499">
        <v>0</v>
      </c>
      <c r="J1499">
        <v>0</v>
      </c>
      <c r="K1499" s="20">
        <f t="shared" si="176"/>
        <v>0</v>
      </c>
      <c r="L1499">
        <v>0</v>
      </c>
      <c r="M1499">
        <v>0</v>
      </c>
      <c r="N1499" s="21">
        <f t="shared" si="177"/>
        <v>0</v>
      </c>
      <c r="O1499">
        <v>15000</v>
      </c>
      <c r="P1499">
        <v>1</v>
      </c>
      <c r="Q1499" s="21">
        <f t="shared" si="171"/>
        <v>3214350</v>
      </c>
      <c r="R1499">
        <v>15000</v>
      </c>
      <c r="S1499">
        <v>1</v>
      </c>
      <c r="T1499" s="21">
        <f t="shared" si="172"/>
        <v>3214350</v>
      </c>
      <c r="U1499">
        <v>15000</v>
      </c>
      <c r="V1499">
        <v>1</v>
      </c>
      <c r="W1499" s="21">
        <f t="shared" si="173"/>
        <v>3214350</v>
      </c>
      <c r="X1499">
        <v>0</v>
      </c>
      <c r="Y1499">
        <v>0</v>
      </c>
      <c r="Z1499" s="21">
        <f t="shared" si="174"/>
        <v>0</v>
      </c>
      <c r="AA1499">
        <v>0</v>
      </c>
      <c r="AB1499">
        <v>0</v>
      </c>
      <c r="AC1499" s="21">
        <f t="shared" si="175"/>
        <v>0</v>
      </c>
      <c r="AD1499">
        <v>0</v>
      </c>
      <c r="AE1499">
        <v>0</v>
      </c>
      <c r="AF1499" s="21">
        <f t="shared" si="178"/>
        <v>0</v>
      </c>
    </row>
    <row r="1500" spans="1:32" ht="15" customHeight="1" x14ac:dyDescent="0.3">
      <c r="A1500">
        <v>3</v>
      </c>
      <c r="B1500" s="2" t="s">
        <v>696</v>
      </c>
      <c r="C1500" s="4" t="s">
        <v>691</v>
      </c>
      <c r="D1500" s="3" t="s">
        <v>657</v>
      </c>
      <c r="E1500" s="6" t="s">
        <v>39</v>
      </c>
      <c r="F1500" s="6" t="s">
        <v>327</v>
      </c>
      <c r="G1500" s="6" t="s">
        <v>708</v>
      </c>
      <c r="H1500" s="23">
        <v>425000</v>
      </c>
      <c r="I1500">
        <v>0</v>
      </c>
      <c r="J1500">
        <v>0</v>
      </c>
      <c r="K1500" s="20">
        <f t="shared" si="176"/>
        <v>0</v>
      </c>
      <c r="L1500">
        <v>0</v>
      </c>
      <c r="M1500">
        <v>0</v>
      </c>
      <c r="N1500" s="21">
        <f t="shared" si="177"/>
        <v>0</v>
      </c>
      <c r="O1500">
        <v>0</v>
      </c>
      <c r="P1500">
        <v>0</v>
      </c>
      <c r="Q1500" s="21">
        <f t="shared" si="171"/>
        <v>0</v>
      </c>
      <c r="R1500">
        <v>0</v>
      </c>
      <c r="S1500">
        <v>0</v>
      </c>
      <c r="T1500" s="21">
        <f t="shared" si="172"/>
        <v>0</v>
      </c>
      <c r="U1500">
        <v>1</v>
      </c>
      <c r="V1500">
        <v>20</v>
      </c>
      <c r="W1500" s="21">
        <f t="shared" si="173"/>
        <v>8500000</v>
      </c>
      <c r="X1500">
        <v>0</v>
      </c>
      <c r="Y1500">
        <v>0</v>
      </c>
      <c r="Z1500" s="21">
        <f t="shared" si="174"/>
        <v>0</v>
      </c>
      <c r="AA1500">
        <v>0</v>
      </c>
      <c r="AB1500">
        <v>0</v>
      </c>
      <c r="AC1500" s="21">
        <f t="shared" si="175"/>
        <v>0</v>
      </c>
      <c r="AD1500">
        <v>0</v>
      </c>
      <c r="AE1500">
        <v>0</v>
      </c>
      <c r="AF1500" s="21">
        <f t="shared" si="178"/>
        <v>0</v>
      </c>
    </row>
    <row r="1501" spans="1:32" ht="15" customHeight="1" x14ac:dyDescent="0.3">
      <c r="A1501">
        <v>3</v>
      </c>
      <c r="B1501" s="2" t="s">
        <v>696</v>
      </c>
      <c r="C1501" s="4" t="s">
        <v>691</v>
      </c>
      <c r="D1501" s="3" t="s">
        <v>657</v>
      </c>
      <c r="E1501" s="6" t="s">
        <v>40</v>
      </c>
      <c r="F1501" s="6" t="s">
        <v>328</v>
      </c>
      <c r="G1501" s="6" t="s">
        <v>707</v>
      </c>
      <c r="H1501" s="23">
        <v>391991.03749999998</v>
      </c>
      <c r="I1501">
        <v>4</v>
      </c>
      <c r="J1501">
        <v>4</v>
      </c>
      <c r="K1501" s="20">
        <f t="shared" si="176"/>
        <v>6271856.5999999996</v>
      </c>
      <c r="L1501">
        <v>0</v>
      </c>
      <c r="M1501">
        <v>0</v>
      </c>
      <c r="N1501" s="21">
        <f t="shared" si="177"/>
        <v>0</v>
      </c>
      <c r="O1501">
        <v>0</v>
      </c>
      <c r="P1501">
        <v>0</v>
      </c>
      <c r="Q1501" s="21">
        <f t="shared" si="171"/>
        <v>0</v>
      </c>
      <c r="R1501">
        <v>0</v>
      </c>
      <c r="S1501">
        <v>0</v>
      </c>
      <c r="T1501" s="21">
        <f t="shared" si="172"/>
        <v>0</v>
      </c>
      <c r="U1501">
        <v>0</v>
      </c>
      <c r="V1501">
        <v>0</v>
      </c>
      <c r="W1501" s="21">
        <f t="shared" si="173"/>
        <v>0</v>
      </c>
      <c r="X1501">
        <v>0</v>
      </c>
      <c r="Y1501">
        <v>0</v>
      </c>
      <c r="Z1501" s="21">
        <f t="shared" si="174"/>
        <v>0</v>
      </c>
      <c r="AA1501">
        <v>0</v>
      </c>
      <c r="AB1501">
        <v>0</v>
      </c>
      <c r="AC1501" s="21">
        <f t="shared" si="175"/>
        <v>0</v>
      </c>
      <c r="AD1501">
        <v>0</v>
      </c>
      <c r="AE1501">
        <v>0</v>
      </c>
      <c r="AF1501" s="21">
        <f t="shared" si="178"/>
        <v>0</v>
      </c>
    </row>
    <row r="1502" spans="1:32" ht="15" customHeight="1" x14ac:dyDescent="0.3">
      <c r="A1502">
        <v>3</v>
      </c>
      <c r="B1502" s="2" t="s">
        <v>696</v>
      </c>
      <c r="C1502" s="4" t="s">
        <v>691</v>
      </c>
      <c r="D1502" s="3" t="s">
        <v>657</v>
      </c>
      <c r="E1502" s="6" t="s">
        <v>40</v>
      </c>
      <c r="F1502" s="6" t="s">
        <v>328</v>
      </c>
      <c r="G1502" s="6" t="s">
        <v>741</v>
      </c>
      <c r="H1502" s="23">
        <v>34293000</v>
      </c>
      <c r="I1502">
        <v>2</v>
      </c>
      <c r="J1502">
        <v>1</v>
      </c>
      <c r="K1502" s="20">
        <f t="shared" si="176"/>
        <v>68586000</v>
      </c>
      <c r="L1502">
        <v>2</v>
      </c>
      <c r="M1502">
        <v>1</v>
      </c>
      <c r="N1502" s="21">
        <f t="shared" si="177"/>
        <v>68586000</v>
      </c>
      <c r="O1502">
        <v>2</v>
      </c>
      <c r="P1502">
        <v>1</v>
      </c>
      <c r="Q1502" s="21">
        <f t="shared" si="171"/>
        <v>68586000</v>
      </c>
      <c r="R1502">
        <v>2</v>
      </c>
      <c r="S1502">
        <v>1</v>
      </c>
      <c r="T1502" s="21">
        <f t="shared" si="172"/>
        <v>68586000</v>
      </c>
      <c r="U1502">
        <v>2</v>
      </c>
      <c r="V1502">
        <v>1</v>
      </c>
      <c r="W1502" s="21">
        <f t="shared" si="173"/>
        <v>68586000</v>
      </c>
      <c r="X1502">
        <v>0</v>
      </c>
      <c r="Y1502">
        <v>0</v>
      </c>
      <c r="Z1502" s="21">
        <f t="shared" si="174"/>
        <v>0</v>
      </c>
      <c r="AA1502">
        <v>0</v>
      </c>
      <c r="AB1502">
        <v>0</v>
      </c>
      <c r="AC1502" s="21">
        <f t="shared" si="175"/>
        <v>0</v>
      </c>
      <c r="AD1502">
        <v>0</v>
      </c>
      <c r="AE1502">
        <v>0</v>
      </c>
      <c r="AF1502" s="21">
        <f t="shared" si="178"/>
        <v>0</v>
      </c>
    </row>
    <row r="1503" spans="1:32" ht="15" customHeight="1" x14ac:dyDescent="0.3">
      <c r="A1503">
        <v>3</v>
      </c>
      <c r="B1503" s="2" t="s">
        <v>696</v>
      </c>
      <c r="C1503" s="4" t="s">
        <v>691</v>
      </c>
      <c r="D1503" s="3" t="s">
        <v>657</v>
      </c>
      <c r="E1503" s="6" t="s">
        <v>40</v>
      </c>
      <c r="F1503" s="6" t="s">
        <v>329</v>
      </c>
      <c r="G1503" s="6" t="s">
        <v>741</v>
      </c>
      <c r="H1503" s="23">
        <v>34293000</v>
      </c>
      <c r="I1503">
        <v>2</v>
      </c>
      <c r="J1503">
        <v>1</v>
      </c>
      <c r="K1503" s="20">
        <f t="shared" si="176"/>
        <v>68586000</v>
      </c>
      <c r="L1503">
        <v>2</v>
      </c>
      <c r="M1503">
        <v>1</v>
      </c>
      <c r="N1503" s="21">
        <f t="shared" si="177"/>
        <v>68586000</v>
      </c>
      <c r="O1503">
        <v>2</v>
      </c>
      <c r="P1503">
        <v>1</v>
      </c>
      <c r="Q1503" s="21">
        <f t="shared" si="171"/>
        <v>68586000</v>
      </c>
      <c r="R1503">
        <v>2</v>
      </c>
      <c r="S1503">
        <v>1</v>
      </c>
      <c r="T1503" s="21">
        <f t="shared" si="172"/>
        <v>68586000</v>
      </c>
      <c r="U1503">
        <v>2</v>
      </c>
      <c r="V1503">
        <v>1</v>
      </c>
      <c r="W1503" s="21">
        <f t="shared" si="173"/>
        <v>68586000</v>
      </c>
      <c r="X1503">
        <v>0</v>
      </c>
      <c r="Y1503">
        <v>0</v>
      </c>
      <c r="Z1503" s="21">
        <f t="shared" si="174"/>
        <v>0</v>
      </c>
      <c r="AA1503">
        <v>0</v>
      </c>
      <c r="AB1503">
        <v>0</v>
      </c>
      <c r="AC1503" s="21">
        <f t="shared" si="175"/>
        <v>0</v>
      </c>
      <c r="AD1503">
        <v>0</v>
      </c>
      <c r="AE1503">
        <v>0</v>
      </c>
      <c r="AF1503" s="21">
        <f t="shared" si="178"/>
        <v>0</v>
      </c>
    </row>
    <row r="1504" spans="1:32" ht="15" customHeight="1" x14ac:dyDescent="0.3">
      <c r="A1504">
        <v>3</v>
      </c>
      <c r="B1504" s="2" t="s">
        <v>696</v>
      </c>
      <c r="C1504" s="4" t="s">
        <v>691</v>
      </c>
      <c r="D1504" s="3" t="s">
        <v>657</v>
      </c>
      <c r="E1504" s="6" t="s">
        <v>40</v>
      </c>
      <c r="F1504" s="6" t="s">
        <v>330</v>
      </c>
      <c r="G1504" s="6" t="s">
        <v>748</v>
      </c>
      <c r="H1504" s="23">
        <v>10000</v>
      </c>
      <c r="I1504">
        <v>100</v>
      </c>
      <c r="J1504">
        <v>1</v>
      </c>
      <c r="K1504" s="20">
        <f t="shared" si="176"/>
        <v>1000000</v>
      </c>
      <c r="L1504">
        <v>200</v>
      </c>
      <c r="M1504">
        <v>1</v>
      </c>
      <c r="N1504" s="21">
        <f t="shared" si="177"/>
        <v>2000000</v>
      </c>
      <c r="O1504">
        <v>200</v>
      </c>
      <c r="P1504">
        <v>1</v>
      </c>
      <c r="Q1504" s="21">
        <f t="shared" si="171"/>
        <v>2000000</v>
      </c>
      <c r="R1504">
        <v>200</v>
      </c>
      <c r="S1504">
        <v>1</v>
      </c>
      <c r="T1504" s="21">
        <f t="shared" si="172"/>
        <v>2000000</v>
      </c>
      <c r="W1504" s="21">
        <f t="shared" si="173"/>
        <v>0</v>
      </c>
      <c r="X1504">
        <v>0</v>
      </c>
      <c r="Y1504">
        <v>0</v>
      </c>
      <c r="Z1504" s="21">
        <f t="shared" si="174"/>
        <v>0</v>
      </c>
      <c r="AA1504">
        <v>0</v>
      </c>
      <c r="AB1504">
        <v>0</v>
      </c>
      <c r="AC1504" s="21">
        <f t="shared" si="175"/>
        <v>0</v>
      </c>
      <c r="AD1504">
        <v>0</v>
      </c>
      <c r="AE1504">
        <v>0</v>
      </c>
      <c r="AF1504" s="21">
        <f t="shared" si="178"/>
        <v>0</v>
      </c>
    </row>
    <row r="1505" spans="1:32" ht="15" customHeight="1" x14ac:dyDescent="0.3">
      <c r="A1505">
        <v>3</v>
      </c>
      <c r="B1505" s="2" t="s">
        <v>696</v>
      </c>
      <c r="C1505" s="4" t="s">
        <v>691</v>
      </c>
      <c r="D1505" s="3" t="s">
        <v>657</v>
      </c>
      <c r="E1505" s="6" t="s">
        <v>40</v>
      </c>
      <c r="F1505" s="6" t="s">
        <v>749</v>
      </c>
      <c r="G1505" s="6" t="s">
        <v>750</v>
      </c>
      <c r="H1505" s="23">
        <v>420000000</v>
      </c>
      <c r="I1505">
        <v>1</v>
      </c>
      <c r="J1505">
        <v>1</v>
      </c>
      <c r="K1505" s="20">
        <f t="shared" si="176"/>
        <v>420000000</v>
      </c>
      <c r="L1505">
        <v>1</v>
      </c>
      <c r="M1505">
        <v>1</v>
      </c>
      <c r="N1505" s="21">
        <f t="shared" si="177"/>
        <v>420000000</v>
      </c>
      <c r="O1505">
        <v>1</v>
      </c>
      <c r="P1505">
        <v>1</v>
      </c>
      <c r="Q1505" s="21">
        <f t="shared" si="171"/>
        <v>420000000</v>
      </c>
      <c r="R1505">
        <v>1</v>
      </c>
      <c r="S1505">
        <v>1</v>
      </c>
      <c r="T1505" s="21">
        <f t="shared" si="172"/>
        <v>420000000</v>
      </c>
      <c r="U1505">
        <v>1</v>
      </c>
      <c r="V1505">
        <v>1</v>
      </c>
      <c r="W1505" s="21">
        <f t="shared" si="173"/>
        <v>420000000</v>
      </c>
      <c r="X1505">
        <v>0</v>
      </c>
      <c r="Y1505">
        <v>0</v>
      </c>
      <c r="Z1505" s="21">
        <f t="shared" si="174"/>
        <v>0</v>
      </c>
      <c r="AA1505">
        <v>0</v>
      </c>
      <c r="AB1505">
        <v>0</v>
      </c>
      <c r="AC1505" s="21">
        <f t="shared" si="175"/>
        <v>0</v>
      </c>
      <c r="AD1505">
        <v>0</v>
      </c>
      <c r="AE1505">
        <v>0</v>
      </c>
      <c r="AF1505" s="21">
        <f t="shared" si="178"/>
        <v>0</v>
      </c>
    </row>
    <row r="1506" spans="1:32" ht="15" customHeight="1" x14ac:dyDescent="0.3">
      <c r="A1506">
        <v>3</v>
      </c>
      <c r="B1506" s="2" t="s">
        <v>696</v>
      </c>
      <c r="C1506" s="4" t="s">
        <v>691</v>
      </c>
      <c r="D1506" s="3" t="s">
        <v>657</v>
      </c>
      <c r="E1506" s="6" t="s">
        <v>40</v>
      </c>
      <c r="F1506" s="6" t="s">
        <v>332</v>
      </c>
      <c r="G1506" s="6" t="s">
        <v>751</v>
      </c>
      <c r="H1506" s="23">
        <v>105000000</v>
      </c>
      <c r="I1506">
        <v>1000</v>
      </c>
      <c r="J1506">
        <v>5</v>
      </c>
      <c r="K1506" s="20">
        <f t="shared" si="176"/>
        <v>525000000000</v>
      </c>
      <c r="L1506">
        <v>0</v>
      </c>
      <c r="M1506">
        <v>0</v>
      </c>
      <c r="N1506" s="21">
        <f t="shared" si="177"/>
        <v>0</v>
      </c>
      <c r="O1506">
        <v>0</v>
      </c>
      <c r="P1506">
        <v>0</v>
      </c>
      <c r="Q1506" s="21">
        <f t="shared" si="171"/>
        <v>0</v>
      </c>
      <c r="R1506">
        <v>0</v>
      </c>
      <c r="S1506">
        <v>0</v>
      </c>
      <c r="T1506" s="21">
        <f t="shared" si="172"/>
        <v>0</v>
      </c>
      <c r="U1506">
        <v>0</v>
      </c>
      <c r="V1506">
        <v>0</v>
      </c>
      <c r="W1506" s="21">
        <f t="shared" si="173"/>
        <v>0</v>
      </c>
      <c r="X1506">
        <v>0</v>
      </c>
      <c r="Y1506">
        <v>0</v>
      </c>
      <c r="Z1506" s="21">
        <f t="shared" si="174"/>
        <v>0</v>
      </c>
      <c r="AA1506">
        <v>0</v>
      </c>
      <c r="AB1506">
        <v>0</v>
      </c>
      <c r="AC1506" s="21">
        <f t="shared" si="175"/>
        <v>0</v>
      </c>
      <c r="AD1506">
        <v>0</v>
      </c>
      <c r="AE1506">
        <v>0</v>
      </c>
      <c r="AF1506" s="21">
        <f t="shared" si="178"/>
        <v>0</v>
      </c>
    </row>
    <row r="1507" spans="1:32" ht="15" customHeight="1" x14ac:dyDescent="0.3">
      <c r="A1507">
        <v>3</v>
      </c>
      <c r="B1507" s="2" t="s">
        <v>696</v>
      </c>
      <c r="C1507" s="4" t="s">
        <v>691</v>
      </c>
      <c r="D1507" s="3" t="s">
        <v>657</v>
      </c>
      <c r="E1507" s="6" t="s">
        <v>40</v>
      </c>
      <c r="F1507" s="6" t="s">
        <v>332</v>
      </c>
      <c r="G1507" s="6" t="s">
        <v>709</v>
      </c>
      <c r="H1507" s="23">
        <v>28000</v>
      </c>
      <c r="I1507">
        <v>1000</v>
      </c>
      <c r="J1507">
        <v>2</v>
      </c>
      <c r="K1507" s="20">
        <f t="shared" si="176"/>
        <v>56000000</v>
      </c>
      <c r="L1507">
        <v>0</v>
      </c>
      <c r="M1507">
        <v>0</v>
      </c>
      <c r="N1507" s="21">
        <f t="shared" si="177"/>
        <v>0</v>
      </c>
      <c r="O1507">
        <v>0</v>
      </c>
      <c r="P1507">
        <v>0</v>
      </c>
      <c r="Q1507" s="21">
        <f t="shared" si="171"/>
        <v>0</v>
      </c>
      <c r="R1507">
        <v>0</v>
      </c>
      <c r="S1507">
        <v>0</v>
      </c>
      <c r="T1507" s="21">
        <f t="shared" si="172"/>
        <v>0</v>
      </c>
      <c r="U1507">
        <v>0</v>
      </c>
      <c r="V1507">
        <v>0</v>
      </c>
      <c r="W1507" s="21">
        <f t="shared" si="173"/>
        <v>0</v>
      </c>
      <c r="X1507">
        <v>0</v>
      </c>
      <c r="Y1507">
        <v>0</v>
      </c>
      <c r="Z1507" s="21">
        <f t="shared" si="174"/>
        <v>0</v>
      </c>
      <c r="AA1507">
        <v>0</v>
      </c>
      <c r="AB1507">
        <v>0</v>
      </c>
      <c r="AC1507" s="21">
        <f t="shared" si="175"/>
        <v>0</v>
      </c>
      <c r="AD1507">
        <v>0</v>
      </c>
      <c r="AE1507">
        <v>0</v>
      </c>
      <c r="AF1507" s="21">
        <f t="shared" si="178"/>
        <v>0</v>
      </c>
    </row>
    <row r="1508" spans="1:32" ht="15" customHeight="1" x14ac:dyDescent="0.3">
      <c r="A1508">
        <v>3</v>
      </c>
      <c r="B1508" s="2" t="s">
        <v>696</v>
      </c>
      <c r="C1508" s="4" t="s">
        <v>691</v>
      </c>
      <c r="D1508" s="3" t="s">
        <v>657</v>
      </c>
      <c r="E1508" s="6" t="s">
        <v>40</v>
      </c>
      <c r="F1508" s="6" t="s">
        <v>332</v>
      </c>
      <c r="G1508" s="6" t="s">
        <v>712</v>
      </c>
      <c r="H1508" s="23">
        <v>214.29</v>
      </c>
      <c r="I1508">
        <v>60000</v>
      </c>
      <c r="J1508">
        <v>1</v>
      </c>
      <c r="K1508" s="20">
        <f t="shared" si="176"/>
        <v>12857400</v>
      </c>
      <c r="L1508">
        <v>0</v>
      </c>
      <c r="M1508">
        <v>0</v>
      </c>
      <c r="N1508" s="21">
        <f t="shared" si="177"/>
        <v>0</v>
      </c>
      <c r="O1508">
        <v>0</v>
      </c>
      <c r="P1508">
        <v>0</v>
      </c>
      <c r="Q1508" s="21">
        <f t="shared" si="171"/>
        <v>0</v>
      </c>
      <c r="R1508">
        <v>0</v>
      </c>
      <c r="S1508">
        <v>0</v>
      </c>
      <c r="T1508" s="21">
        <f t="shared" si="172"/>
        <v>0</v>
      </c>
      <c r="U1508">
        <v>0</v>
      </c>
      <c r="V1508">
        <v>0</v>
      </c>
      <c r="W1508" s="21">
        <f t="shared" si="173"/>
        <v>0</v>
      </c>
      <c r="X1508">
        <v>0</v>
      </c>
      <c r="Y1508">
        <v>0</v>
      </c>
      <c r="Z1508" s="21">
        <f t="shared" si="174"/>
        <v>0</v>
      </c>
      <c r="AA1508">
        <v>0</v>
      </c>
      <c r="AB1508">
        <v>0</v>
      </c>
      <c r="AC1508" s="21">
        <f t="shared" si="175"/>
        <v>0</v>
      </c>
      <c r="AD1508">
        <v>0</v>
      </c>
      <c r="AE1508">
        <v>0</v>
      </c>
      <c r="AF1508" s="21">
        <f t="shared" si="178"/>
        <v>0</v>
      </c>
    </row>
    <row r="1509" spans="1:32" ht="15" customHeight="1" x14ac:dyDescent="0.3">
      <c r="A1509">
        <v>3</v>
      </c>
      <c r="B1509" s="2" t="s">
        <v>696</v>
      </c>
      <c r="C1509" s="4" t="s">
        <v>691</v>
      </c>
      <c r="D1509" s="3" t="s">
        <v>657</v>
      </c>
      <c r="E1509" s="6" t="s">
        <v>40</v>
      </c>
      <c r="F1509" s="6" t="s">
        <v>333</v>
      </c>
      <c r="G1509" s="6" t="s">
        <v>716</v>
      </c>
      <c r="H1509" s="23">
        <v>39000</v>
      </c>
      <c r="I1509">
        <v>30</v>
      </c>
      <c r="J1509">
        <v>12</v>
      </c>
      <c r="K1509" s="20">
        <f t="shared" si="176"/>
        <v>14040000</v>
      </c>
      <c r="L1509">
        <v>30</v>
      </c>
      <c r="M1509">
        <v>12</v>
      </c>
      <c r="N1509" s="21">
        <f t="shared" si="177"/>
        <v>14040000</v>
      </c>
      <c r="O1509">
        <v>30</v>
      </c>
      <c r="P1509">
        <v>12</v>
      </c>
      <c r="Q1509" s="21">
        <f t="shared" si="171"/>
        <v>14040000</v>
      </c>
      <c r="R1509">
        <v>30</v>
      </c>
      <c r="S1509">
        <v>12</v>
      </c>
      <c r="T1509" s="21">
        <f t="shared" si="172"/>
        <v>14040000</v>
      </c>
      <c r="U1509">
        <v>30</v>
      </c>
      <c r="V1509">
        <v>12</v>
      </c>
      <c r="W1509" s="21">
        <f t="shared" si="173"/>
        <v>14040000</v>
      </c>
      <c r="X1509">
        <v>0</v>
      </c>
      <c r="Y1509">
        <v>0</v>
      </c>
      <c r="Z1509" s="21">
        <f t="shared" si="174"/>
        <v>0</v>
      </c>
      <c r="AA1509">
        <v>0</v>
      </c>
      <c r="AB1509">
        <v>0</v>
      </c>
      <c r="AC1509" s="21">
        <f t="shared" si="175"/>
        <v>0</v>
      </c>
      <c r="AD1509">
        <v>0</v>
      </c>
      <c r="AE1509">
        <v>0</v>
      </c>
      <c r="AF1509" s="21">
        <f t="shared" si="178"/>
        <v>0</v>
      </c>
    </row>
    <row r="1510" spans="1:32" ht="15" customHeight="1" x14ac:dyDescent="0.3">
      <c r="A1510">
        <v>3</v>
      </c>
      <c r="B1510" s="2" t="s">
        <v>696</v>
      </c>
      <c r="C1510" s="4" t="s">
        <v>691</v>
      </c>
      <c r="D1510" s="3" t="s">
        <v>657</v>
      </c>
      <c r="E1510" s="6" t="s">
        <v>40</v>
      </c>
      <c r="F1510" s="6" t="s">
        <v>333</v>
      </c>
      <c r="G1510" s="6" t="s">
        <v>709</v>
      </c>
      <c r="H1510" s="23">
        <v>28000</v>
      </c>
      <c r="I1510">
        <v>30</v>
      </c>
      <c r="J1510">
        <v>12</v>
      </c>
      <c r="K1510" s="20">
        <f t="shared" si="176"/>
        <v>10080000</v>
      </c>
      <c r="L1510">
        <v>30</v>
      </c>
      <c r="M1510">
        <v>12</v>
      </c>
      <c r="N1510" s="21">
        <f t="shared" si="177"/>
        <v>10080000</v>
      </c>
      <c r="O1510">
        <v>30</v>
      </c>
      <c r="P1510">
        <v>12</v>
      </c>
      <c r="Q1510" s="21">
        <f t="shared" si="171"/>
        <v>10080000</v>
      </c>
      <c r="R1510">
        <v>30</v>
      </c>
      <c r="S1510">
        <v>12</v>
      </c>
      <c r="T1510" s="21">
        <f t="shared" si="172"/>
        <v>10080000</v>
      </c>
      <c r="U1510">
        <v>30</v>
      </c>
      <c r="V1510">
        <v>12</v>
      </c>
      <c r="W1510" s="21">
        <f t="shared" si="173"/>
        <v>10080000</v>
      </c>
      <c r="X1510">
        <v>0</v>
      </c>
      <c r="Y1510">
        <v>0</v>
      </c>
      <c r="Z1510" s="21">
        <f t="shared" si="174"/>
        <v>0</v>
      </c>
      <c r="AA1510">
        <v>0</v>
      </c>
      <c r="AB1510">
        <v>0</v>
      </c>
      <c r="AC1510" s="21">
        <f t="shared" si="175"/>
        <v>0</v>
      </c>
      <c r="AD1510">
        <v>0</v>
      </c>
      <c r="AE1510">
        <v>0</v>
      </c>
      <c r="AF1510" s="21">
        <f t="shared" si="178"/>
        <v>0</v>
      </c>
    </row>
    <row r="1511" spans="1:32" ht="15" customHeight="1" x14ac:dyDescent="0.3">
      <c r="A1511">
        <v>3</v>
      </c>
      <c r="B1511" s="2" t="s">
        <v>696</v>
      </c>
      <c r="C1511" s="4" t="s">
        <v>691</v>
      </c>
      <c r="D1511" s="3" t="s">
        <v>657</v>
      </c>
      <c r="E1511" s="6" t="s">
        <v>40</v>
      </c>
      <c r="F1511" s="6" t="s">
        <v>333</v>
      </c>
      <c r="G1511" s="6" t="s">
        <v>712</v>
      </c>
      <c r="H1511" s="23">
        <v>214.29</v>
      </c>
      <c r="I1511">
        <v>8000</v>
      </c>
      <c r="J1511">
        <v>4</v>
      </c>
      <c r="K1511" s="20">
        <f t="shared" si="176"/>
        <v>6857280</v>
      </c>
      <c r="L1511">
        <v>8000</v>
      </c>
      <c r="M1511">
        <v>4</v>
      </c>
      <c r="N1511" s="21">
        <f t="shared" si="177"/>
        <v>6857280</v>
      </c>
      <c r="O1511">
        <v>8000</v>
      </c>
      <c r="P1511">
        <v>4</v>
      </c>
      <c r="Q1511" s="21">
        <f t="shared" si="171"/>
        <v>6857280</v>
      </c>
      <c r="R1511">
        <v>8000</v>
      </c>
      <c r="S1511">
        <v>4</v>
      </c>
      <c r="T1511" s="21">
        <f t="shared" si="172"/>
        <v>6857280</v>
      </c>
      <c r="U1511">
        <v>8000</v>
      </c>
      <c r="V1511">
        <v>4</v>
      </c>
      <c r="W1511" s="21">
        <f t="shared" si="173"/>
        <v>6857280</v>
      </c>
      <c r="X1511">
        <v>0</v>
      </c>
      <c r="Y1511">
        <v>0</v>
      </c>
      <c r="Z1511" s="21">
        <f t="shared" si="174"/>
        <v>0</v>
      </c>
      <c r="AA1511">
        <v>0</v>
      </c>
      <c r="AB1511">
        <v>0</v>
      </c>
      <c r="AC1511" s="21">
        <f t="shared" si="175"/>
        <v>0</v>
      </c>
      <c r="AD1511">
        <v>0</v>
      </c>
      <c r="AE1511">
        <v>0</v>
      </c>
      <c r="AF1511" s="21">
        <f t="shared" si="178"/>
        <v>0</v>
      </c>
    </row>
    <row r="1512" spans="1:32" ht="15" customHeight="1" x14ac:dyDescent="0.3">
      <c r="A1512">
        <v>3</v>
      </c>
      <c r="B1512" s="2" t="s">
        <v>696</v>
      </c>
      <c r="C1512" s="4" t="s">
        <v>691</v>
      </c>
      <c r="D1512" s="3" t="s">
        <v>657</v>
      </c>
      <c r="E1512" s="6" t="s">
        <v>40</v>
      </c>
      <c r="F1512" s="6" t="s">
        <v>334</v>
      </c>
      <c r="G1512" s="6" t="s">
        <v>713</v>
      </c>
      <c r="H1512" s="23">
        <v>45000</v>
      </c>
      <c r="I1512">
        <v>20</v>
      </c>
      <c r="J1512">
        <v>10</v>
      </c>
      <c r="K1512" s="20">
        <f t="shared" si="176"/>
        <v>9000000</v>
      </c>
      <c r="L1512">
        <v>20</v>
      </c>
      <c r="M1512">
        <v>10</v>
      </c>
      <c r="N1512" s="21">
        <f t="shared" si="177"/>
        <v>9000000</v>
      </c>
      <c r="O1512">
        <v>20</v>
      </c>
      <c r="P1512">
        <v>10</v>
      </c>
      <c r="Q1512" s="21">
        <f t="shared" si="171"/>
        <v>9000000</v>
      </c>
      <c r="R1512">
        <v>20</v>
      </c>
      <c r="S1512">
        <v>10</v>
      </c>
      <c r="T1512" s="21">
        <f t="shared" si="172"/>
        <v>9000000</v>
      </c>
      <c r="U1512">
        <v>20</v>
      </c>
      <c r="V1512">
        <v>10</v>
      </c>
      <c r="W1512" s="21">
        <f t="shared" si="173"/>
        <v>9000000</v>
      </c>
      <c r="X1512">
        <v>0</v>
      </c>
      <c r="Y1512">
        <v>0</v>
      </c>
      <c r="Z1512" s="21">
        <f t="shared" si="174"/>
        <v>0</v>
      </c>
      <c r="AA1512">
        <v>0</v>
      </c>
      <c r="AB1512">
        <v>0</v>
      </c>
      <c r="AC1512" s="21">
        <f t="shared" si="175"/>
        <v>0</v>
      </c>
      <c r="AD1512">
        <v>0</v>
      </c>
      <c r="AE1512">
        <v>0</v>
      </c>
      <c r="AF1512" s="21">
        <f t="shared" si="178"/>
        <v>0</v>
      </c>
    </row>
    <row r="1513" spans="1:32" ht="15" customHeight="1" x14ac:dyDescent="0.3">
      <c r="A1513">
        <v>3</v>
      </c>
      <c r="B1513" s="2" t="s">
        <v>696</v>
      </c>
      <c r="C1513" s="4" t="s">
        <v>691</v>
      </c>
      <c r="D1513" s="3" t="s">
        <v>657</v>
      </c>
      <c r="E1513" s="6" t="s">
        <v>40</v>
      </c>
      <c r="F1513" s="6" t="s">
        <v>334</v>
      </c>
      <c r="G1513" s="6" t="s">
        <v>712</v>
      </c>
      <c r="H1513" s="23">
        <v>214.29</v>
      </c>
      <c r="I1513">
        <v>8000</v>
      </c>
      <c r="J1513">
        <v>1</v>
      </c>
      <c r="K1513" s="20">
        <f t="shared" si="176"/>
        <v>1714320</v>
      </c>
      <c r="L1513">
        <v>8000</v>
      </c>
      <c r="M1513">
        <v>1</v>
      </c>
      <c r="N1513" s="21">
        <f t="shared" si="177"/>
        <v>1714320</v>
      </c>
      <c r="O1513">
        <v>8000</v>
      </c>
      <c r="P1513">
        <v>1</v>
      </c>
      <c r="Q1513" s="21">
        <f t="shared" si="171"/>
        <v>1714320</v>
      </c>
      <c r="R1513">
        <v>8000</v>
      </c>
      <c r="S1513">
        <v>1</v>
      </c>
      <c r="T1513" s="21">
        <f t="shared" si="172"/>
        <v>1714320</v>
      </c>
      <c r="U1513">
        <v>8000</v>
      </c>
      <c r="V1513">
        <v>1</v>
      </c>
      <c r="W1513" s="21">
        <f t="shared" si="173"/>
        <v>1714320</v>
      </c>
      <c r="X1513">
        <v>0</v>
      </c>
      <c r="Y1513">
        <v>0</v>
      </c>
      <c r="Z1513" s="21">
        <f t="shared" si="174"/>
        <v>0</v>
      </c>
      <c r="AA1513">
        <v>0</v>
      </c>
      <c r="AB1513">
        <v>0</v>
      </c>
      <c r="AC1513" s="21">
        <f t="shared" si="175"/>
        <v>0</v>
      </c>
      <c r="AD1513">
        <v>0</v>
      </c>
      <c r="AE1513">
        <v>0</v>
      </c>
      <c r="AF1513" s="21">
        <f t="shared" si="178"/>
        <v>0</v>
      </c>
    </row>
    <row r="1514" spans="1:32" ht="15" customHeight="1" x14ac:dyDescent="0.3">
      <c r="A1514">
        <v>3</v>
      </c>
      <c r="B1514" s="2" t="s">
        <v>696</v>
      </c>
      <c r="C1514" s="4" t="s">
        <v>691</v>
      </c>
      <c r="D1514" s="3" t="s">
        <v>657</v>
      </c>
      <c r="E1514" s="6" t="s">
        <v>40</v>
      </c>
      <c r="F1514" s="6" t="s">
        <v>335</v>
      </c>
      <c r="G1514" s="6" t="s">
        <v>713</v>
      </c>
      <c r="H1514" s="23">
        <v>45000</v>
      </c>
      <c r="I1514">
        <v>20</v>
      </c>
      <c r="J1514">
        <v>10</v>
      </c>
      <c r="K1514" s="20">
        <f t="shared" si="176"/>
        <v>9000000</v>
      </c>
      <c r="L1514">
        <v>20</v>
      </c>
      <c r="M1514">
        <v>10</v>
      </c>
      <c r="N1514" s="21">
        <f t="shared" si="177"/>
        <v>9000000</v>
      </c>
      <c r="O1514">
        <v>20</v>
      </c>
      <c r="P1514">
        <v>10</v>
      </c>
      <c r="Q1514" s="21">
        <f t="shared" si="171"/>
        <v>9000000</v>
      </c>
      <c r="R1514">
        <v>20</v>
      </c>
      <c r="S1514">
        <v>10</v>
      </c>
      <c r="T1514" s="21">
        <f t="shared" si="172"/>
        <v>9000000</v>
      </c>
      <c r="U1514">
        <v>20</v>
      </c>
      <c r="V1514">
        <v>10</v>
      </c>
      <c r="W1514" s="21">
        <f t="shared" si="173"/>
        <v>9000000</v>
      </c>
      <c r="X1514">
        <v>0</v>
      </c>
      <c r="Y1514">
        <v>0</v>
      </c>
      <c r="Z1514" s="21">
        <f t="shared" si="174"/>
        <v>0</v>
      </c>
      <c r="AA1514">
        <v>0</v>
      </c>
      <c r="AB1514">
        <v>0</v>
      </c>
      <c r="AC1514" s="21">
        <f t="shared" si="175"/>
        <v>0</v>
      </c>
      <c r="AD1514">
        <v>0</v>
      </c>
      <c r="AE1514">
        <v>0</v>
      </c>
      <c r="AF1514" s="21">
        <f t="shared" si="178"/>
        <v>0</v>
      </c>
    </row>
    <row r="1515" spans="1:32" ht="15" customHeight="1" x14ac:dyDescent="0.3">
      <c r="A1515">
        <v>3</v>
      </c>
      <c r="B1515" s="2" t="s">
        <v>696</v>
      </c>
      <c r="C1515" s="4" t="s">
        <v>691</v>
      </c>
      <c r="D1515" s="3" t="s">
        <v>657</v>
      </c>
      <c r="E1515" s="6" t="s">
        <v>40</v>
      </c>
      <c r="F1515" s="6" t="s">
        <v>335</v>
      </c>
      <c r="G1515" s="6" t="s">
        <v>712</v>
      </c>
      <c r="H1515" s="23">
        <v>214.29</v>
      </c>
      <c r="I1515">
        <v>8000</v>
      </c>
      <c r="J1515">
        <v>1</v>
      </c>
      <c r="K1515" s="20">
        <f t="shared" si="176"/>
        <v>1714320</v>
      </c>
      <c r="L1515">
        <v>8000</v>
      </c>
      <c r="M1515">
        <v>1</v>
      </c>
      <c r="N1515" s="21">
        <f t="shared" si="177"/>
        <v>1714320</v>
      </c>
      <c r="O1515">
        <v>8000</v>
      </c>
      <c r="P1515">
        <v>1</v>
      </c>
      <c r="Q1515" s="21">
        <f t="shared" si="171"/>
        <v>1714320</v>
      </c>
      <c r="R1515">
        <v>8000</v>
      </c>
      <c r="S1515">
        <v>1</v>
      </c>
      <c r="T1515" s="21">
        <f t="shared" si="172"/>
        <v>1714320</v>
      </c>
      <c r="U1515">
        <v>8000</v>
      </c>
      <c r="V1515">
        <v>1</v>
      </c>
      <c r="W1515" s="21">
        <f t="shared" si="173"/>
        <v>1714320</v>
      </c>
      <c r="X1515">
        <v>0</v>
      </c>
      <c r="Y1515">
        <v>0</v>
      </c>
      <c r="Z1515" s="21">
        <f t="shared" si="174"/>
        <v>0</v>
      </c>
      <c r="AA1515">
        <v>0</v>
      </c>
      <c r="AB1515">
        <v>0</v>
      </c>
      <c r="AC1515" s="21">
        <f t="shared" si="175"/>
        <v>0</v>
      </c>
      <c r="AD1515">
        <v>0</v>
      </c>
      <c r="AE1515">
        <v>0</v>
      </c>
      <c r="AF1515" s="21">
        <f t="shared" si="178"/>
        <v>0</v>
      </c>
    </row>
    <row r="1516" spans="1:32" ht="15" customHeight="1" x14ac:dyDescent="0.3">
      <c r="A1516">
        <v>3</v>
      </c>
      <c r="B1516" s="2" t="s">
        <v>696</v>
      </c>
      <c r="C1516" s="4" t="s">
        <v>691</v>
      </c>
      <c r="D1516" s="3" t="s">
        <v>657</v>
      </c>
      <c r="E1516" s="6" t="s">
        <v>40</v>
      </c>
      <c r="F1516" s="6" t="s">
        <v>336</v>
      </c>
      <c r="G1516" s="6" t="s">
        <v>713</v>
      </c>
      <c r="H1516" s="23">
        <v>30000</v>
      </c>
      <c r="I1516">
        <v>20</v>
      </c>
      <c r="J1516">
        <v>10</v>
      </c>
      <c r="K1516" s="20">
        <f t="shared" si="176"/>
        <v>6000000</v>
      </c>
      <c r="L1516">
        <v>20</v>
      </c>
      <c r="M1516">
        <v>10</v>
      </c>
      <c r="N1516" s="21">
        <f t="shared" si="177"/>
        <v>6000000</v>
      </c>
      <c r="O1516">
        <v>20</v>
      </c>
      <c r="P1516">
        <v>10</v>
      </c>
      <c r="Q1516" s="21">
        <f t="shared" si="171"/>
        <v>6000000</v>
      </c>
      <c r="R1516">
        <v>20</v>
      </c>
      <c r="S1516">
        <v>10</v>
      </c>
      <c r="T1516" s="21">
        <f t="shared" si="172"/>
        <v>6000000</v>
      </c>
      <c r="U1516">
        <v>20</v>
      </c>
      <c r="V1516">
        <v>10</v>
      </c>
      <c r="W1516" s="21">
        <f t="shared" si="173"/>
        <v>6000000</v>
      </c>
      <c r="X1516">
        <v>0</v>
      </c>
      <c r="Y1516">
        <v>0</v>
      </c>
      <c r="Z1516" s="21">
        <f t="shared" si="174"/>
        <v>0</v>
      </c>
      <c r="AA1516">
        <v>0</v>
      </c>
      <c r="AB1516">
        <v>0</v>
      </c>
      <c r="AC1516" s="21">
        <f t="shared" si="175"/>
        <v>0</v>
      </c>
      <c r="AD1516">
        <v>0</v>
      </c>
      <c r="AE1516">
        <v>0</v>
      </c>
      <c r="AF1516" s="21">
        <f t="shared" si="178"/>
        <v>0</v>
      </c>
    </row>
    <row r="1517" spans="1:32" ht="15" customHeight="1" x14ac:dyDescent="0.3">
      <c r="A1517">
        <v>3</v>
      </c>
      <c r="B1517" s="2" t="s">
        <v>696</v>
      </c>
      <c r="C1517" s="4" t="s">
        <v>691</v>
      </c>
      <c r="D1517" s="3" t="s">
        <v>657</v>
      </c>
      <c r="E1517" s="6" t="s">
        <v>40</v>
      </c>
      <c r="F1517" s="6" t="s">
        <v>336</v>
      </c>
      <c r="G1517" s="6" t="s">
        <v>712</v>
      </c>
      <c r="H1517" s="23">
        <v>214.29</v>
      </c>
      <c r="I1517">
        <v>8000</v>
      </c>
      <c r="J1517">
        <v>1</v>
      </c>
      <c r="K1517" s="20">
        <f t="shared" si="176"/>
        <v>1714320</v>
      </c>
      <c r="L1517">
        <v>8000</v>
      </c>
      <c r="M1517">
        <v>1</v>
      </c>
      <c r="N1517" s="21">
        <f t="shared" si="177"/>
        <v>1714320</v>
      </c>
      <c r="O1517">
        <v>8000</v>
      </c>
      <c r="P1517">
        <v>1</v>
      </c>
      <c r="Q1517" s="21">
        <f t="shared" si="171"/>
        <v>1714320</v>
      </c>
      <c r="R1517">
        <v>8000</v>
      </c>
      <c r="S1517">
        <v>1</v>
      </c>
      <c r="T1517" s="21">
        <f t="shared" si="172"/>
        <v>1714320</v>
      </c>
      <c r="U1517">
        <v>8000</v>
      </c>
      <c r="V1517">
        <v>1</v>
      </c>
      <c r="W1517" s="21">
        <f t="shared" si="173"/>
        <v>1714320</v>
      </c>
      <c r="X1517">
        <v>0</v>
      </c>
      <c r="Y1517">
        <v>0</v>
      </c>
      <c r="Z1517" s="21">
        <f t="shared" si="174"/>
        <v>0</v>
      </c>
      <c r="AA1517">
        <v>0</v>
      </c>
      <c r="AB1517">
        <v>0</v>
      </c>
      <c r="AC1517" s="21">
        <f t="shared" si="175"/>
        <v>0</v>
      </c>
      <c r="AD1517">
        <v>0</v>
      </c>
      <c r="AE1517">
        <v>0</v>
      </c>
      <c r="AF1517" s="21">
        <f t="shared" si="178"/>
        <v>0</v>
      </c>
    </row>
    <row r="1518" spans="1:32" ht="15" customHeight="1" x14ac:dyDescent="0.3">
      <c r="A1518">
        <v>3</v>
      </c>
      <c r="B1518" s="2" t="s">
        <v>696</v>
      </c>
      <c r="C1518" s="4" t="s">
        <v>691</v>
      </c>
      <c r="D1518" s="3" t="s">
        <v>657</v>
      </c>
      <c r="E1518" s="6" t="s">
        <v>40</v>
      </c>
      <c r="F1518" s="6" t="s">
        <v>337</v>
      </c>
      <c r="G1518" s="6" t="s">
        <v>713</v>
      </c>
      <c r="H1518" s="23">
        <v>45000</v>
      </c>
      <c r="I1518">
        <v>20</v>
      </c>
      <c r="J1518">
        <v>10</v>
      </c>
      <c r="K1518" s="20">
        <f t="shared" si="176"/>
        <v>9000000</v>
      </c>
      <c r="L1518">
        <v>20</v>
      </c>
      <c r="M1518">
        <v>10</v>
      </c>
      <c r="N1518" s="21">
        <f t="shared" si="177"/>
        <v>9000000</v>
      </c>
      <c r="O1518">
        <v>20</v>
      </c>
      <c r="P1518">
        <v>10</v>
      </c>
      <c r="Q1518" s="21">
        <f t="shared" si="171"/>
        <v>9000000</v>
      </c>
      <c r="R1518">
        <v>20</v>
      </c>
      <c r="S1518">
        <v>10</v>
      </c>
      <c r="T1518" s="21">
        <f t="shared" si="172"/>
        <v>9000000</v>
      </c>
      <c r="U1518">
        <v>20</v>
      </c>
      <c r="V1518">
        <v>10</v>
      </c>
      <c r="W1518" s="21">
        <f t="shared" si="173"/>
        <v>9000000</v>
      </c>
      <c r="X1518">
        <v>0</v>
      </c>
      <c r="Y1518">
        <v>0</v>
      </c>
      <c r="Z1518" s="21">
        <f t="shared" si="174"/>
        <v>0</v>
      </c>
      <c r="AA1518">
        <v>0</v>
      </c>
      <c r="AB1518">
        <v>0</v>
      </c>
      <c r="AC1518" s="21">
        <f t="shared" si="175"/>
        <v>0</v>
      </c>
      <c r="AD1518">
        <v>0</v>
      </c>
      <c r="AE1518">
        <v>0</v>
      </c>
      <c r="AF1518" s="21">
        <f t="shared" si="178"/>
        <v>0</v>
      </c>
    </row>
    <row r="1519" spans="1:32" ht="15" customHeight="1" x14ac:dyDescent="0.3">
      <c r="A1519">
        <v>3</v>
      </c>
      <c r="B1519" s="2" t="s">
        <v>696</v>
      </c>
      <c r="C1519" s="4" t="s">
        <v>691</v>
      </c>
      <c r="D1519" s="3" t="s">
        <v>657</v>
      </c>
      <c r="E1519" s="6" t="s">
        <v>40</v>
      </c>
      <c r="F1519" s="6" t="s">
        <v>337</v>
      </c>
      <c r="G1519" s="6" t="s">
        <v>712</v>
      </c>
      <c r="H1519" s="23">
        <v>214.29</v>
      </c>
      <c r="I1519">
        <v>8000</v>
      </c>
      <c r="J1519">
        <v>1</v>
      </c>
      <c r="K1519" s="20">
        <f t="shared" si="176"/>
        <v>1714320</v>
      </c>
      <c r="L1519">
        <v>8000</v>
      </c>
      <c r="M1519">
        <v>1</v>
      </c>
      <c r="N1519" s="21">
        <f t="shared" si="177"/>
        <v>1714320</v>
      </c>
      <c r="O1519">
        <v>8000</v>
      </c>
      <c r="P1519">
        <v>1</v>
      </c>
      <c r="Q1519" s="21">
        <f t="shared" si="171"/>
        <v>1714320</v>
      </c>
      <c r="R1519">
        <v>8000</v>
      </c>
      <c r="S1519">
        <v>1</v>
      </c>
      <c r="T1519" s="21">
        <f t="shared" si="172"/>
        <v>1714320</v>
      </c>
      <c r="U1519">
        <v>8000</v>
      </c>
      <c r="V1519">
        <v>1</v>
      </c>
      <c r="W1519" s="21">
        <f t="shared" si="173"/>
        <v>1714320</v>
      </c>
      <c r="X1519">
        <v>0</v>
      </c>
      <c r="Y1519">
        <v>0</v>
      </c>
      <c r="Z1519" s="21">
        <f t="shared" si="174"/>
        <v>0</v>
      </c>
      <c r="AA1519">
        <v>0</v>
      </c>
      <c r="AB1519">
        <v>0</v>
      </c>
      <c r="AC1519" s="21">
        <f t="shared" si="175"/>
        <v>0</v>
      </c>
      <c r="AD1519">
        <v>0</v>
      </c>
      <c r="AE1519">
        <v>0</v>
      </c>
      <c r="AF1519" s="21">
        <f t="shared" si="178"/>
        <v>0</v>
      </c>
    </row>
    <row r="1520" spans="1:32" ht="15" customHeight="1" x14ac:dyDescent="0.3">
      <c r="A1520">
        <v>3</v>
      </c>
      <c r="B1520" s="2" t="s">
        <v>696</v>
      </c>
      <c r="C1520" s="4" t="s">
        <v>691</v>
      </c>
      <c r="D1520" s="3" t="s">
        <v>657</v>
      </c>
      <c r="E1520" s="6" t="s">
        <v>40</v>
      </c>
      <c r="F1520" s="6" t="s">
        <v>752</v>
      </c>
      <c r="G1520" s="17" t="s">
        <v>751</v>
      </c>
      <c r="H1520" s="27">
        <v>105000000</v>
      </c>
      <c r="I1520">
        <v>1</v>
      </c>
      <c r="J1520">
        <v>1</v>
      </c>
      <c r="K1520" s="20">
        <f t="shared" si="176"/>
        <v>105000000</v>
      </c>
      <c r="L1520">
        <v>0</v>
      </c>
      <c r="M1520">
        <v>0</v>
      </c>
      <c r="N1520" s="21">
        <f t="shared" si="177"/>
        <v>0</v>
      </c>
      <c r="O1520">
        <v>0</v>
      </c>
      <c r="P1520">
        <v>0</v>
      </c>
      <c r="Q1520" s="21">
        <f t="shared" si="171"/>
        <v>0</v>
      </c>
      <c r="R1520">
        <v>0</v>
      </c>
      <c r="S1520">
        <v>0</v>
      </c>
      <c r="T1520" s="21">
        <f t="shared" si="172"/>
        <v>0</v>
      </c>
      <c r="U1520">
        <v>0</v>
      </c>
      <c r="V1520">
        <v>0</v>
      </c>
      <c r="W1520" s="21">
        <f t="shared" si="173"/>
        <v>0</v>
      </c>
      <c r="X1520">
        <v>0</v>
      </c>
      <c r="Y1520">
        <v>0</v>
      </c>
      <c r="Z1520" s="21">
        <f t="shared" si="174"/>
        <v>0</v>
      </c>
      <c r="AA1520">
        <v>0</v>
      </c>
      <c r="AB1520">
        <v>0</v>
      </c>
      <c r="AC1520" s="21">
        <f t="shared" si="175"/>
        <v>0</v>
      </c>
      <c r="AD1520">
        <v>0</v>
      </c>
      <c r="AE1520">
        <v>0</v>
      </c>
      <c r="AF1520" s="21">
        <f t="shared" si="178"/>
        <v>0</v>
      </c>
    </row>
    <row r="1521" spans="1:32" ht="15" customHeight="1" x14ac:dyDescent="0.3">
      <c r="A1521">
        <v>3</v>
      </c>
      <c r="B1521" s="2" t="s">
        <v>696</v>
      </c>
      <c r="C1521" s="4" t="s">
        <v>691</v>
      </c>
      <c r="D1521" s="3" t="s">
        <v>657</v>
      </c>
      <c r="E1521" s="6" t="s">
        <v>40</v>
      </c>
      <c r="F1521" s="6" t="s">
        <v>338</v>
      </c>
      <c r="G1521" s="17" t="s">
        <v>753</v>
      </c>
      <c r="H1521" s="27">
        <v>10000000</v>
      </c>
      <c r="I1521">
        <v>1</v>
      </c>
      <c r="J1521">
        <v>1</v>
      </c>
      <c r="K1521" s="20">
        <f t="shared" si="176"/>
        <v>10000000</v>
      </c>
      <c r="L1521">
        <v>1</v>
      </c>
      <c r="M1521">
        <v>1</v>
      </c>
      <c r="N1521" s="21">
        <f t="shared" si="177"/>
        <v>10000000</v>
      </c>
      <c r="O1521">
        <v>1</v>
      </c>
      <c r="P1521">
        <v>1</v>
      </c>
      <c r="Q1521" s="21">
        <f t="shared" si="171"/>
        <v>10000000</v>
      </c>
      <c r="R1521">
        <v>1</v>
      </c>
      <c r="S1521">
        <v>1</v>
      </c>
      <c r="T1521" s="21">
        <f t="shared" si="172"/>
        <v>10000000</v>
      </c>
      <c r="U1521">
        <v>1</v>
      </c>
      <c r="V1521">
        <v>1</v>
      </c>
      <c r="W1521" s="21">
        <f t="shared" si="173"/>
        <v>10000000</v>
      </c>
      <c r="X1521">
        <v>0</v>
      </c>
      <c r="Y1521">
        <v>0</v>
      </c>
      <c r="Z1521" s="21">
        <f t="shared" si="174"/>
        <v>0</v>
      </c>
      <c r="AA1521">
        <v>0</v>
      </c>
      <c r="AB1521">
        <v>0</v>
      </c>
      <c r="AC1521" s="21">
        <f t="shared" si="175"/>
        <v>0</v>
      </c>
      <c r="AD1521">
        <v>0</v>
      </c>
      <c r="AE1521">
        <v>0</v>
      </c>
      <c r="AF1521" s="21">
        <f t="shared" si="178"/>
        <v>0</v>
      </c>
    </row>
    <row r="1522" spans="1:32" ht="15" customHeight="1" x14ac:dyDescent="0.3">
      <c r="A1522">
        <v>3</v>
      </c>
      <c r="B1522" s="2" t="s">
        <v>696</v>
      </c>
      <c r="C1522" s="4" t="s">
        <v>691</v>
      </c>
      <c r="D1522" s="3" t="s">
        <v>657</v>
      </c>
      <c r="E1522" s="6" t="s">
        <v>40</v>
      </c>
      <c r="F1522" s="6" t="s">
        <v>339</v>
      </c>
      <c r="G1522" s="6" t="s">
        <v>754</v>
      </c>
      <c r="H1522" s="23">
        <v>105000000</v>
      </c>
      <c r="I1522">
        <v>1</v>
      </c>
      <c r="J1522">
        <v>1</v>
      </c>
      <c r="K1522" s="20">
        <f t="shared" si="176"/>
        <v>105000000</v>
      </c>
      <c r="L1522">
        <v>1</v>
      </c>
      <c r="M1522">
        <v>1</v>
      </c>
      <c r="N1522" s="21">
        <f t="shared" si="177"/>
        <v>105000000</v>
      </c>
      <c r="O1522">
        <v>1</v>
      </c>
      <c r="P1522">
        <v>1</v>
      </c>
      <c r="Q1522" s="21">
        <f t="shared" si="171"/>
        <v>105000000</v>
      </c>
      <c r="R1522">
        <v>1</v>
      </c>
      <c r="S1522">
        <v>1</v>
      </c>
      <c r="T1522" s="21">
        <f t="shared" si="172"/>
        <v>105000000</v>
      </c>
      <c r="U1522">
        <v>1</v>
      </c>
      <c r="V1522">
        <v>1</v>
      </c>
      <c r="W1522" s="21">
        <f t="shared" si="173"/>
        <v>105000000</v>
      </c>
      <c r="X1522">
        <v>0</v>
      </c>
      <c r="Y1522">
        <v>0</v>
      </c>
      <c r="Z1522" s="21">
        <f t="shared" si="174"/>
        <v>0</v>
      </c>
      <c r="AA1522">
        <v>0</v>
      </c>
      <c r="AB1522">
        <v>0</v>
      </c>
      <c r="AC1522" s="21">
        <f t="shared" si="175"/>
        <v>0</v>
      </c>
      <c r="AD1522">
        <v>0</v>
      </c>
      <c r="AE1522">
        <v>0</v>
      </c>
      <c r="AF1522" s="21">
        <f t="shared" si="178"/>
        <v>0</v>
      </c>
    </row>
    <row r="1523" spans="1:32" ht="15" customHeight="1" x14ac:dyDescent="0.3">
      <c r="A1523">
        <v>3</v>
      </c>
      <c r="B1523" s="2" t="s">
        <v>696</v>
      </c>
      <c r="C1523" s="4" t="s">
        <v>691</v>
      </c>
      <c r="D1523" s="3" t="s">
        <v>657</v>
      </c>
      <c r="E1523" s="6" t="s">
        <v>40</v>
      </c>
      <c r="F1523" s="6" t="s">
        <v>340</v>
      </c>
      <c r="G1523" s="6" t="s">
        <v>755</v>
      </c>
      <c r="H1523" s="23">
        <v>4200000000</v>
      </c>
      <c r="I1523">
        <v>1</v>
      </c>
      <c r="J1523">
        <v>1</v>
      </c>
      <c r="K1523" s="20">
        <f t="shared" si="176"/>
        <v>4200000000</v>
      </c>
      <c r="L1523">
        <v>1</v>
      </c>
      <c r="M1523">
        <v>1</v>
      </c>
      <c r="N1523" s="21">
        <f t="shared" si="177"/>
        <v>4200000000</v>
      </c>
      <c r="O1523">
        <v>1</v>
      </c>
      <c r="P1523">
        <v>1</v>
      </c>
      <c r="Q1523" s="21">
        <f t="shared" si="171"/>
        <v>4200000000</v>
      </c>
      <c r="R1523">
        <v>1</v>
      </c>
      <c r="S1523">
        <v>1</v>
      </c>
      <c r="T1523" s="21">
        <f t="shared" si="172"/>
        <v>4200000000</v>
      </c>
      <c r="U1523">
        <v>1</v>
      </c>
      <c r="V1523">
        <v>1</v>
      </c>
      <c r="W1523" s="21">
        <f t="shared" si="173"/>
        <v>4200000000</v>
      </c>
      <c r="X1523">
        <v>0</v>
      </c>
      <c r="Y1523">
        <v>0</v>
      </c>
      <c r="Z1523" s="21">
        <f t="shared" si="174"/>
        <v>0</v>
      </c>
      <c r="AA1523">
        <v>0</v>
      </c>
      <c r="AB1523">
        <v>0</v>
      </c>
      <c r="AC1523" s="21">
        <f t="shared" si="175"/>
        <v>0</v>
      </c>
      <c r="AD1523">
        <v>0</v>
      </c>
      <c r="AE1523">
        <v>0</v>
      </c>
      <c r="AF1523" s="21">
        <f t="shared" si="178"/>
        <v>0</v>
      </c>
    </row>
    <row r="1524" spans="1:32" ht="15" customHeight="1" x14ac:dyDescent="0.3">
      <c r="A1524">
        <v>3</v>
      </c>
      <c r="B1524" s="2" t="s">
        <v>696</v>
      </c>
      <c r="C1524" s="4" t="s">
        <v>691</v>
      </c>
      <c r="D1524" s="3" t="s">
        <v>658</v>
      </c>
      <c r="E1524" s="6" t="s">
        <v>41</v>
      </c>
      <c r="F1524" s="6" t="s">
        <v>341</v>
      </c>
      <c r="G1524" s="6" t="s">
        <v>718</v>
      </c>
      <c r="H1524" s="23">
        <v>0</v>
      </c>
      <c r="I1524">
        <v>0</v>
      </c>
      <c r="J1524">
        <v>0</v>
      </c>
      <c r="K1524" s="20">
        <f t="shared" si="176"/>
        <v>0</v>
      </c>
      <c r="L1524">
        <v>0</v>
      </c>
      <c r="M1524">
        <v>0</v>
      </c>
      <c r="N1524" s="21">
        <f t="shared" si="177"/>
        <v>0</v>
      </c>
      <c r="O1524">
        <v>0</v>
      </c>
      <c r="P1524">
        <v>0</v>
      </c>
      <c r="Q1524" s="21">
        <f t="shared" si="171"/>
        <v>0</v>
      </c>
      <c r="R1524">
        <v>0</v>
      </c>
      <c r="S1524">
        <v>0</v>
      </c>
      <c r="T1524" s="21">
        <f t="shared" si="172"/>
        <v>0</v>
      </c>
      <c r="U1524">
        <v>0</v>
      </c>
      <c r="V1524">
        <v>0</v>
      </c>
      <c r="W1524" s="21">
        <f t="shared" si="173"/>
        <v>0</v>
      </c>
      <c r="X1524">
        <v>0</v>
      </c>
      <c r="Y1524">
        <v>0</v>
      </c>
      <c r="Z1524" s="21">
        <f t="shared" si="174"/>
        <v>0</v>
      </c>
      <c r="AA1524">
        <v>0</v>
      </c>
      <c r="AB1524">
        <v>0</v>
      </c>
      <c r="AC1524" s="21">
        <f t="shared" si="175"/>
        <v>0</v>
      </c>
      <c r="AD1524">
        <v>0</v>
      </c>
      <c r="AE1524">
        <v>0</v>
      </c>
      <c r="AF1524" s="21">
        <f t="shared" si="178"/>
        <v>0</v>
      </c>
    </row>
    <row r="1525" spans="1:32" ht="15" customHeight="1" x14ac:dyDescent="0.3">
      <c r="A1525">
        <v>3</v>
      </c>
      <c r="B1525" s="2" t="s">
        <v>696</v>
      </c>
      <c r="C1525" s="4" t="s">
        <v>691</v>
      </c>
      <c r="D1525" s="3" t="s">
        <v>658</v>
      </c>
      <c r="E1525" s="6" t="s">
        <v>41</v>
      </c>
      <c r="F1525" s="6" t="s">
        <v>342</v>
      </c>
      <c r="G1525" s="6" t="s">
        <v>716</v>
      </c>
      <c r="H1525" s="23">
        <v>39000</v>
      </c>
      <c r="I1525">
        <v>40</v>
      </c>
      <c r="J1525">
        <v>10</v>
      </c>
      <c r="K1525" s="20">
        <f t="shared" si="176"/>
        <v>15600000</v>
      </c>
      <c r="L1525">
        <v>0</v>
      </c>
      <c r="M1525">
        <v>0</v>
      </c>
      <c r="N1525" s="21">
        <f t="shared" si="177"/>
        <v>0</v>
      </c>
      <c r="O1525">
        <v>0</v>
      </c>
      <c r="P1525">
        <v>0</v>
      </c>
      <c r="Q1525" s="21">
        <f t="shared" si="171"/>
        <v>0</v>
      </c>
      <c r="R1525">
        <v>0</v>
      </c>
      <c r="S1525">
        <v>0</v>
      </c>
      <c r="T1525" s="21">
        <f t="shared" si="172"/>
        <v>0</v>
      </c>
      <c r="U1525">
        <v>40</v>
      </c>
      <c r="V1525">
        <v>10</v>
      </c>
      <c r="W1525" s="21">
        <f t="shared" si="173"/>
        <v>15600000</v>
      </c>
      <c r="X1525">
        <v>0</v>
      </c>
      <c r="Y1525">
        <v>0</v>
      </c>
      <c r="Z1525" s="21">
        <f t="shared" si="174"/>
        <v>0</v>
      </c>
      <c r="AA1525">
        <v>0</v>
      </c>
      <c r="AB1525">
        <v>0</v>
      </c>
      <c r="AC1525" s="21">
        <f t="shared" si="175"/>
        <v>0</v>
      </c>
      <c r="AD1525">
        <v>0</v>
      </c>
      <c r="AE1525">
        <v>0</v>
      </c>
      <c r="AF1525" s="21">
        <f t="shared" si="178"/>
        <v>0</v>
      </c>
    </row>
    <row r="1526" spans="1:32" ht="15" customHeight="1" x14ac:dyDescent="0.3">
      <c r="A1526">
        <v>3</v>
      </c>
      <c r="B1526" s="2" t="s">
        <v>696</v>
      </c>
      <c r="C1526" s="4" t="s">
        <v>691</v>
      </c>
      <c r="D1526" s="3" t="s">
        <v>658</v>
      </c>
      <c r="E1526" s="6" t="s">
        <v>41</v>
      </c>
      <c r="F1526" s="6" t="s">
        <v>342</v>
      </c>
      <c r="G1526" s="6" t="s">
        <v>709</v>
      </c>
      <c r="H1526" s="23">
        <v>28000</v>
      </c>
      <c r="I1526">
        <v>40</v>
      </c>
      <c r="J1526">
        <v>10</v>
      </c>
      <c r="K1526" s="20">
        <f t="shared" si="176"/>
        <v>11200000</v>
      </c>
      <c r="L1526">
        <v>0</v>
      </c>
      <c r="M1526">
        <v>0</v>
      </c>
      <c r="N1526" s="21">
        <f t="shared" si="177"/>
        <v>0</v>
      </c>
      <c r="O1526">
        <v>0</v>
      </c>
      <c r="P1526">
        <v>0</v>
      </c>
      <c r="Q1526" s="21">
        <f t="shared" si="171"/>
        <v>0</v>
      </c>
      <c r="R1526">
        <v>0</v>
      </c>
      <c r="S1526">
        <v>0</v>
      </c>
      <c r="T1526" s="21">
        <f t="shared" si="172"/>
        <v>0</v>
      </c>
      <c r="U1526">
        <v>40</v>
      </c>
      <c r="V1526">
        <v>10</v>
      </c>
      <c r="W1526" s="21">
        <f t="shared" si="173"/>
        <v>11200000</v>
      </c>
      <c r="X1526">
        <v>0</v>
      </c>
      <c r="Y1526">
        <v>0</v>
      </c>
      <c r="Z1526" s="21">
        <f t="shared" si="174"/>
        <v>0</v>
      </c>
      <c r="AA1526">
        <v>0</v>
      </c>
      <c r="AB1526">
        <v>0</v>
      </c>
      <c r="AC1526" s="21">
        <f t="shared" si="175"/>
        <v>0</v>
      </c>
      <c r="AD1526">
        <v>0</v>
      </c>
      <c r="AE1526">
        <v>0</v>
      </c>
      <c r="AF1526" s="21">
        <f t="shared" si="178"/>
        <v>0</v>
      </c>
    </row>
    <row r="1527" spans="1:32" ht="15" customHeight="1" x14ac:dyDescent="0.3">
      <c r="A1527">
        <v>3</v>
      </c>
      <c r="B1527" s="2" t="s">
        <v>696</v>
      </c>
      <c r="C1527" s="4" t="s">
        <v>691</v>
      </c>
      <c r="D1527" s="3" t="s">
        <v>658</v>
      </c>
      <c r="E1527" s="6" t="s">
        <v>41</v>
      </c>
      <c r="F1527" s="6" t="s">
        <v>342</v>
      </c>
      <c r="G1527" s="6" t="s">
        <v>712</v>
      </c>
      <c r="H1527" s="23">
        <v>214.29</v>
      </c>
      <c r="I1527">
        <v>10000</v>
      </c>
      <c r="J1527">
        <v>1</v>
      </c>
      <c r="K1527" s="20">
        <f t="shared" si="176"/>
        <v>2142900</v>
      </c>
      <c r="L1527">
        <v>0</v>
      </c>
      <c r="M1527">
        <v>0</v>
      </c>
      <c r="N1527" s="21">
        <f t="shared" si="177"/>
        <v>0</v>
      </c>
      <c r="O1527">
        <v>0</v>
      </c>
      <c r="P1527">
        <v>0</v>
      </c>
      <c r="Q1527" s="21">
        <f t="shared" si="171"/>
        <v>0</v>
      </c>
      <c r="R1527">
        <v>0</v>
      </c>
      <c r="S1527">
        <v>0</v>
      </c>
      <c r="T1527" s="21">
        <f t="shared" si="172"/>
        <v>0</v>
      </c>
      <c r="U1527">
        <v>10000</v>
      </c>
      <c r="V1527">
        <v>1</v>
      </c>
      <c r="W1527" s="21">
        <f t="shared" si="173"/>
        <v>2142900</v>
      </c>
      <c r="X1527">
        <v>0</v>
      </c>
      <c r="Y1527">
        <v>0</v>
      </c>
      <c r="Z1527" s="21">
        <f t="shared" si="174"/>
        <v>0</v>
      </c>
      <c r="AA1527">
        <v>0</v>
      </c>
      <c r="AB1527">
        <v>0</v>
      </c>
      <c r="AC1527" s="21">
        <f t="shared" si="175"/>
        <v>0</v>
      </c>
      <c r="AD1527">
        <v>0</v>
      </c>
      <c r="AE1527">
        <v>0</v>
      </c>
      <c r="AF1527" s="21">
        <f t="shared" si="178"/>
        <v>0</v>
      </c>
    </row>
    <row r="1528" spans="1:32" ht="15" customHeight="1" x14ac:dyDescent="0.3">
      <c r="A1528">
        <v>3</v>
      </c>
      <c r="B1528" s="2" t="s">
        <v>696</v>
      </c>
      <c r="C1528" s="4" t="s">
        <v>691</v>
      </c>
      <c r="D1528" s="3" t="s">
        <v>658</v>
      </c>
      <c r="E1528" s="6" t="s">
        <v>41</v>
      </c>
      <c r="F1528" s="6" t="s">
        <v>179</v>
      </c>
      <c r="G1528" s="6" t="s">
        <v>713</v>
      </c>
      <c r="H1528" s="23">
        <v>45000</v>
      </c>
      <c r="I1528">
        <v>15</v>
      </c>
      <c r="J1528">
        <v>25</v>
      </c>
      <c r="K1528" s="20">
        <f t="shared" si="176"/>
        <v>16875000</v>
      </c>
      <c r="L1528">
        <v>0</v>
      </c>
      <c r="M1528">
        <v>0</v>
      </c>
      <c r="N1528" s="21">
        <f t="shared" si="177"/>
        <v>0</v>
      </c>
      <c r="O1528">
        <v>0</v>
      </c>
      <c r="P1528">
        <v>0</v>
      </c>
      <c r="Q1528" s="21">
        <f t="shared" si="171"/>
        <v>0</v>
      </c>
      <c r="R1528">
        <v>0</v>
      </c>
      <c r="S1528">
        <v>0</v>
      </c>
      <c r="T1528" s="21">
        <f t="shared" si="172"/>
        <v>0</v>
      </c>
      <c r="U1528">
        <v>15</v>
      </c>
      <c r="V1528">
        <v>25</v>
      </c>
      <c r="W1528" s="21">
        <f t="shared" si="173"/>
        <v>16875000</v>
      </c>
      <c r="X1528">
        <v>0</v>
      </c>
      <c r="Y1528">
        <v>0</v>
      </c>
      <c r="Z1528" s="21">
        <f t="shared" si="174"/>
        <v>0</v>
      </c>
      <c r="AA1528">
        <v>0</v>
      </c>
      <c r="AB1528">
        <v>0</v>
      </c>
      <c r="AC1528" s="21">
        <f t="shared" si="175"/>
        <v>0</v>
      </c>
      <c r="AD1528">
        <v>0</v>
      </c>
      <c r="AE1528">
        <v>0</v>
      </c>
      <c r="AF1528" s="21">
        <f t="shared" si="178"/>
        <v>0</v>
      </c>
    </row>
    <row r="1529" spans="1:32" ht="15" customHeight="1" x14ac:dyDescent="0.3">
      <c r="A1529">
        <v>3</v>
      </c>
      <c r="B1529" s="2" t="s">
        <v>696</v>
      </c>
      <c r="C1529" s="4" t="s">
        <v>691</v>
      </c>
      <c r="D1529" s="3" t="s">
        <v>658</v>
      </c>
      <c r="E1529" s="6" t="s">
        <v>41</v>
      </c>
      <c r="F1529" s="6" t="s">
        <v>179</v>
      </c>
      <c r="G1529" s="6" t="s">
        <v>712</v>
      </c>
      <c r="H1529" s="23">
        <v>214.29</v>
      </c>
      <c r="I1529">
        <v>20000</v>
      </c>
      <c r="J1529">
        <v>1</v>
      </c>
      <c r="K1529" s="20">
        <f t="shared" si="176"/>
        <v>4285800</v>
      </c>
      <c r="L1529">
        <v>0</v>
      </c>
      <c r="M1529">
        <v>0</v>
      </c>
      <c r="N1529" s="21">
        <f t="shared" si="177"/>
        <v>0</v>
      </c>
      <c r="O1529">
        <v>0</v>
      </c>
      <c r="P1529">
        <v>0</v>
      </c>
      <c r="Q1529" s="21">
        <f t="shared" si="171"/>
        <v>0</v>
      </c>
      <c r="R1529">
        <v>0</v>
      </c>
      <c r="S1529">
        <v>0</v>
      </c>
      <c r="T1529" s="21">
        <f t="shared" si="172"/>
        <v>0</v>
      </c>
      <c r="U1529">
        <v>20000</v>
      </c>
      <c r="V1529">
        <v>1</v>
      </c>
      <c r="W1529" s="21">
        <f t="shared" si="173"/>
        <v>4285800</v>
      </c>
      <c r="X1529">
        <v>0</v>
      </c>
      <c r="Y1529">
        <v>0</v>
      </c>
      <c r="Z1529" s="21">
        <f t="shared" si="174"/>
        <v>0</v>
      </c>
      <c r="AA1529">
        <v>0</v>
      </c>
      <c r="AB1529">
        <v>0</v>
      </c>
      <c r="AC1529" s="21">
        <f t="shared" si="175"/>
        <v>0</v>
      </c>
      <c r="AD1529">
        <v>0</v>
      </c>
      <c r="AE1529">
        <v>0</v>
      </c>
      <c r="AF1529" s="21">
        <f t="shared" si="178"/>
        <v>0</v>
      </c>
    </row>
    <row r="1530" spans="1:32" ht="15" customHeight="1" x14ac:dyDescent="0.3">
      <c r="A1530">
        <v>3</v>
      </c>
      <c r="B1530" s="2" t="s">
        <v>696</v>
      </c>
      <c r="C1530" s="4" t="s">
        <v>691</v>
      </c>
      <c r="D1530" s="3" t="s">
        <v>658</v>
      </c>
      <c r="E1530" s="6" t="s">
        <v>41</v>
      </c>
      <c r="F1530" s="6" t="s">
        <v>179</v>
      </c>
      <c r="G1530" s="6" t="s">
        <v>714</v>
      </c>
      <c r="H1530" s="23">
        <v>10000</v>
      </c>
      <c r="I1530">
        <v>15</v>
      </c>
      <c r="J1530">
        <v>1</v>
      </c>
      <c r="K1530" s="20">
        <f t="shared" si="176"/>
        <v>150000</v>
      </c>
      <c r="L1530">
        <v>0</v>
      </c>
      <c r="M1530">
        <v>0</v>
      </c>
      <c r="N1530" s="21">
        <f t="shared" si="177"/>
        <v>0</v>
      </c>
      <c r="O1530">
        <v>0</v>
      </c>
      <c r="P1530">
        <v>0</v>
      </c>
      <c r="Q1530" s="21">
        <f t="shared" si="171"/>
        <v>0</v>
      </c>
      <c r="R1530">
        <v>0</v>
      </c>
      <c r="S1530">
        <v>0</v>
      </c>
      <c r="T1530" s="21">
        <f t="shared" si="172"/>
        <v>0</v>
      </c>
      <c r="U1530">
        <v>15</v>
      </c>
      <c r="V1530">
        <v>1</v>
      </c>
      <c r="W1530" s="21">
        <f t="shared" si="173"/>
        <v>150000</v>
      </c>
      <c r="X1530">
        <v>0</v>
      </c>
      <c r="Y1530">
        <v>0</v>
      </c>
      <c r="Z1530" s="21">
        <f t="shared" si="174"/>
        <v>0</v>
      </c>
      <c r="AA1530">
        <v>0</v>
      </c>
      <c r="AB1530">
        <v>0</v>
      </c>
      <c r="AC1530" s="21">
        <f t="shared" si="175"/>
        <v>0</v>
      </c>
      <c r="AD1530">
        <v>0</v>
      </c>
      <c r="AE1530">
        <v>0</v>
      </c>
      <c r="AF1530" s="21">
        <f t="shared" si="178"/>
        <v>0</v>
      </c>
    </row>
    <row r="1531" spans="1:32" ht="15" customHeight="1" x14ac:dyDescent="0.3">
      <c r="A1531">
        <v>3</v>
      </c>
      <c r="B1531" s="2" t="s">
        <v>696</v>
      </c>
      <c r="C1531" s="4" t="s">
        <v>691</v>
      </c>
      <c r="D1531" s="3" t="s">
        <v>658</v>
      </c>
      <c r="E1531" s="6" t="s">
        <v>41</v>
      </c>
      <c r="F1531" s="6" t="s">
        <v>159</v>
      </c>
      <c r="G1531" s="6" t="s">
        <v>716</v>
      </c>
      <c r="H1531" s="23">
        <v>39000</v>
      </c>
      <c r="I1531">
        <v>20</v>
      </c>
      <c r="J1531">
        <v>5</v>
      </c>
      <c r="K1531" s="20">
        <f t="shared" si="176"/>
        <v>3900000</v>
      </c>
      <c r="L1531">
        <v>0</v>
      </c>
      <c r="M1531">
        <v>0</v>
      </c>
      <c r="N1531" s="21">
        <f t="shared" si="177"/>
        <v>0</v>
      </c>
      <c r="O1531">
        <v>0</v>
      </c>
      <c r="P1531">
        <v>0</v>
      </c>
      <c r="Q1531" s="21">
        <f t="shared" si="171"/>
        <v>0</v>
      </c>
      <c r="R1531">
        <v>0</v>
      </c>
      <c r="S1531">
        <v>0</v>
      </c>
      <c r="T1531" s="21">
        <f t="shared" si="172"/>
        <v>0</v>
      </c>
      <c r="U1531">
        <v>20</v>
      </c>
      <c r="V1531">
        <v>5</v>
      </c>
      <c r="W1531" s="21">
        <f t="shared" si="173"/>
        <v>3900000</v>
      </c>
      <c r="X1531">
        <v>0</v>
      </c>
      <c r="Y1531">
        <v>0</v>
      </c>
      <c r="Z1531" s="21">
        <f t="shared" si="174"/>
        <v>0</v>
      </c>
      <c r="AA1531">
        <v>0</v>
      </c>
      <c r="AB1531">
        <v>0</v>
      </c>
      <c r="AC1531" s="21">
        <f t="shared" si="175"/>
        <v>0</v>
      </c>
      <c r="AD1531">
        <v>0</v>
      </c>
      <c r="AE1531">
        <v>0</v>
      </c>
      <c r="AF1531" s="21">
        <f t="shared" si="178"/>
        <v>0</v>
      </c>
    </row>
    <row r="1532" spans="1:32" ht="15" customHeight="1" x14ac:dyDescent="0.3">
      <c r="A1532">
        <v>3</v>
      </c>
      <c r="B1532" s="2" t="s">
        <v>696</v>
      </c>
      <c r="C1532" s="4" t="s">
        <v>691</v>
      </c>
      <c r="D1532" s="3" t="s">
        <v>658</v>
      </c>
      <c r="E1532" s="6" t="s">
        <v>41</v>
      </c>
      <c r="F1532" s="6" t="s">
        <v>159</v>
      </c>
      <c r="G1532" s="6" t="s">
        <v>709</v>
      </c>
      <c r="H1532" s="23">
        <v>28000</v>
      </c>
      <c r="I1532">
        <v>20</v>
      </c>
      <c r="J1532">
        <v>5</v>
      </c>
      <c r="K1532" s="20">
        <f t="shared" si="176"/>
        <v>2800000</v>
      </c>
      <c r="L1532">
        <v>0</v>
      </c>
      <c r="M1532">
        <v>0</v>
      </c>
      <c r="N1532" s="21">
        <f t="shared" si="177"/>
        <v>0</v>
      </c>
      <c r="O1532">
        <v>0</v>
      </c>
      <c r="P1532">
        <v>0</v>
      </c>
      <c r="Q1532" s="21">
        <f t="shared" si="171"/>
        <v>0</v>
      </c>
      <c r="R1532">
        <v>0</v>
      </c>
      <c r="S1532">
        <v>0</v>
      </c>
      <c r="T1532" s="21">
        <f t="shared" si="172"/>
        <v>0</v>
      </c>
      <c r="U1532">
        <v>20</v>
      </c>
      <c r="V1532">
        <v>5</v>
      </c>
      <c r="W1532" s="21">
        <f t="shared" si="173"/>
        <v>2800000</v>
      </c>
      <c r="X1532">
        <v>0</v>
      </c>
      <c r="Y1532">
        <v>0</v>
      </c>
      <c r="Z1532" s="21">
        <f t="shared" si="174"/>
        <v>0</v>
      </c>
      <c r="AA1532">
        <v>0</v>
      </c>
      <c r="AB1532">
        <v>0</v>
      </c>
      <c r="AC1532" s="21">
        <f t="shared" si="175"/>
        <v>0</v>
      </c>
      <c r="AD1532">
        <v>0</v>
      </c>
      <c r="AE1532">
        <v>0</v>
      </c>
      <c r="AF1532" s="21">
        <f t="shared" si="178"/>
        <v>0</v>
      </c>
    </row>
    <row r="1533" spans="1:32" ht="15" customHeight="1" x14ac:dyDescent="0.3">
      <c r="A1533">
        <v>3</v>
      </c>
      <c r="B1533" s="2" t="s">
        <v>696</v>
      </c>
      <c r="C1533" s="4" t="s">
        <v>691</v>
      </c>
      <c r="D1533" s="3" t="s">
        <v>658</v>
      </c>
      <c r="E1533" s="6" t="s">
        <v>41</v>
      </c>
      <c r="F1533" s="6" t="s">
        <v>159</v>
      </c>
      <c r="G1533" s="6" t="s">
        <v>712</v>
      </c>
      <c r="H1533" s="23">
        <v>214.29</v>
      </c>
      <c r="I1533">
        <v>4000</v>
      </c>
      <c r="J1533">
        <v>1</v>
      </c>
      <c r="K1533" s="20">
        <f t="shared" si="176"/>
        <v>857160</v>
      </c>
      <c r="L1533">
        <v>0</v>
      </c>
      <c r="M1533">
        <v>0</v>
      </c>
      <c r="N1533" s="21">
        <f t="shared" si="177"/>
        <v>0</v>
      </c>
      <c r="O1533">
        <v>0</v>
      </c>
      <c r="P1533">
        <v>0</v>
      </c>
      <c r="Q1533" s="21">
        <f t="shared" ref="Q1533:Q1596" si="179">H1533*O1533*P1533</f>
        <v>0</v>
      </c>
      <c r="R1533">
        <v>0</v>
      </c>
      <c r="S1533">
        <v>0</v>
      </c>
      <c r="T1533" s="21">
        <f t="shared" ref="T1533:T1596" si="180">H1533*R1533*S1533</f>
        <v>0</v>
      </c>
      <c r="U1533">
        <v>4000</v>
      </c>
      <c r="V1533">
        <v>1</v>
      </c>
      <c r="W1533" s="21">
        <f t="shared" ref="W1533:W1596" si="181">H1533*U1533*V1533</f>
        <v>857160</v>
      </c>
      <c r="X1533">
        <v>0</v>
      </c>
      <c r="Y1533">
        <v>0</v>
      </c>
      <c r="Z1533" s="21">
        <f t="shared" ref="Z1533:Z1596" si="182">H1533*X1533*Y1533</f>
        <v>0</v>
      </c>
      <c r="AA1533">
        <v>0</v>
      </c>
      <c r="AB1533">
        <v>0</v>
      </c>
      <c r="AC1533" s="21">
        <f t="shared" ref="AC1533:AC1596" si="183">H1533*AA1533*AB1533</f>
        <v>0</v>
      </c>
      <c r="AD1533">
        <v>0</v>
      </c>
      <c r="AE1533">
        <v>0</v>
      </c>
      <c r="AF1533" s="21">
        <f t="shared" si="178"/>
        <v>0</v>
      </c>
    </row>
    <row r="1534" spans="1:32" ht="15" customHeight="1" x14ac:dyDescent="0.3">
      <c r="A1534">
        <v>3</v>
      </c>
      <c r="B1534" s="2" t="s">
        <v>696</v>
      </c>
      <c r="C1534" s="4" t="s">
        <v>691</v>
      </c>
      <c r="D1534" s="3" t="s">
        <v>658</v>
      </c>
      <c r="E1534" s="6" t="s">
        <v>41</v>
      </c>
      <c r="F1534" s="6" t="s">
        <v>153</v>
      </c>
      <c r="G1534" s="6" t="s">
        <v>716</v>
      </c>
      <c r="H1534" s="23">
        <v>39000</v>
      </c>
      <c r="I1534">
        <v>20</v>
      </c>
      <c r="J1534">
        <v>10</v>
      </c>
      <c r="K1534" s="20">
        <f t="shared" si="176"/>
        <v>7800000</v>
      </c>
      <c r="L1534">
        <v>0</v>
      </c>
      <c r="M1534">
        <v>0</v>
      </c>
      <c r="N1534" s="21">
        <f t="shared" si="177"/>
        <v>0</v>
      </c>
      <c r="O1534">
        <v>0</v>
      </c>
      <c r="P1534">
        <v>0</v>
      </c>
      <c r="Q1534" s="21">
        <f t="shared" si="179"/>
        <v>0</v>
      </c>
      <c r="R1534">
        <v>0</v>
      </c>
      <c r="S1534">
        <v>0</v>
      </c>
      <c r="T1534" s="21">
        <f t="shared" si="180"/>
        <v>0</v>
      </c>
      <c r="U1534">
        <v>20</v>
      </c>
      <c r="V1534">
        <v>10</v>
      </c>
      <c r="W1534" s="21">
        <f t="shared" si="181"/>
        <v>7800000</v>
      </c>
      <c r="X1534">
        <v>0</v>
      </c>
      <c r="Y1534">
        <v>0</v>
      </c>
      <c r="Z1534" s="21">
        <f t="shared" si="182"/>
        <v>0</v>
      </c>
      <c r="AA1534">
        <v>0</v>
      </c>
      <c r="AB1534">
        <v>0</v>
      </c>
      <c r="AC1534" s="21">
        <f t="shared" si="183"/>
        <v>0</v>
      </c>
      <c r="AD1534">
        <v>0</v>
      </c>
      <c r="AE1534">
        <v>0</v>
      </c>
      <c r="AF1534" s="21">
        <f t="shared" si="178"/>
        <v>0</v>
      </c>
    </row>
    <row r="1535" spans="1:32" ht="15" customHeight="1" x14ac:dyDescent="0.3">
      <c r="A1535">
        <v>3</v>
      </c>
      <c r="B1535" s="2" t="s">
        <v>696</v>
      </c>
      <c r="C1535" s="4" t="s">
        <v>691</v>
      </c>
      <c r="D1535" s="3" t="s">
        <v>658</v>
      </c>
      <c r="E1535" s="6" t="s">
        <v>41</v>
      </c>
      <c r="F1535" s="6" t="s">
        <v>153</v>
      </c>
      <c r="G1535" s="6" t="s">
        <v>709</v>
      </c>
      <c r="H1535" s="23">
        <v>28000</v>
      </c>
      <c r="I1535">
        <v>20</v>
      </c>
      <c r="J1535">
        <v>10</v>
      </c>
      <c r="K1535" s="20">
        <f t="shared" si="176"/>
        <v>5600000</v>
      </c>
      <c r="L1535">
        <v>0</v>
      </c>
      <c r="M1535">
        <v>0</v>
      </c>
      <c r="N1535" s="21">
        <f t="shared" si="177"/>
        <v>0</v>
      </c>
      <c r="O1535">
        <v>0</v>
      </c>
      <c r="P1535">
        <v>0</v>
      </c>
      <c r="Q1535" s="21">
        <f t="shared" si="179"/>
        <v>0</v>
      </c>
      <c r="R1535">
        <v>0</v>
      </c>
      <c r="S1535">
        <v>0</v>
      </c>
      <c r="T1535" s="21">
        <f t="shared" si="180"/>
        <v>0</v>
      </c>
      <c r="U1535">
        <v>20</v>
      </c>
      <c r="V1535">
        <v>10</v>
      </c>
      <c r="W1535" s="21">
        <f t="shared" si="181"/>
        <v>5600000</v>
      </c>
      <c r="X1535">
        <v>0</v>
      </c>
      <c r="Y1535">
        <v>0</v>
      </c>
      <c r="Z1535" s="21">
        <f t="shared" si="182"/>
        <v>0</v>
      </c>
      <c r="AA1535">
        <v>0</v>
      </c>
      <c r="AB1535">
        <v>0</v>
      </c>
      <c r="AC1535" s="21">
        <f t="shared" si="183"/>
        <v>0</v>
      </c>
      <c r="AD1535">
        <v>0</v>
      </c>
      <c r="AE1535">
        <v>0</v>
      </c>
      <c r="AF1535" s="21">
        <f t="shared" si="178"/>
        <v>0</v>
      </c>
    </row>
    <row r="1536" spans="1:32" ht="15" customHeight="1" x14ac:dyDescent="0.3">
      <c r="A1536">
        <v>3</v>
      </c>
      <c r="B1536" s="2" t="s">
        <v>696</v>
      </c>
      <c r="C1536" s="4" t="s">
        <v>691</v>
      </c>
      <c r="D1536" s="3" t="s">
        <v>658</v>
      </c>
      <c r="E1536" s="6" t="s">
        <v>41</v>
      </c>
      <c r="F1536" s="6" t="s">
        <v>153</v>
      </c>
      <c r="G1536" s="6" t="s">
        <v>712</v>
      </c>
      <c r="H1536" s="23">
        <v>214.29</v>
      </c>
      <c r="I1536">
        <v>4000</v>
      </c>
      <c r="J1536">
        <v>2</v>
      </c>
      <c r="K1536" s="20">
        <f t="shared" si="176"/>
        <v>1714320</v>
      </c>
      <c r="L1536">
        <v>0</v>
      </c>
      <c r="M1536">
        <v>0</v>
      </c>
      <c r="N1536" s="21">
        <f t="shared" si="177"/>
        <v>0</v>
      </c>
      <c r="O1536">
        <v>0</v>
      </c>
      <c r="P1536">
        <v>0</v>
      </c>
      <c r="Q1536" s="21">
        <f t="shared" si="179"/>
        <v>0</v>
      </c>
      <c r="R1536">
        <v>0</v>
      </c>
      <c r="S1536">
        <v>0</v>
      </c>
      <c r="T1536" s="21">
        <f t="shared" si="180"/>
        <v>0</v>
      </c>
      <c r="U1536">
        <v>4000</v>
      </c>
      <c r="V1536">
        <v>2</v>
      </c>
      <c r="W1536" s="21">
        <f t="shared" si="181"/>
        <v>1714320</v>
      </c>
      <c r="X1536">
        <v>0</v>
      </c>
      <c r="Y1536">
        <v>0</v>
      </c>
      <c r="Z1536" s="21">
        <f t="shared" si="182"/>
        <v>0</v>
      </c>
      <c r="AA1536">
        <v>0</v>
      </c>
      <c r="AB1536">
        <v>0</v>
      </c>
      <c r="AC1536" s="21">
        <f t="shared" si="183"/>
        <v>0</v>
      </c>
      <c r="AD1536">
        <v>0</v>
      </c>
      <c r="AE1536">
        <v>0</v>
      </c>
      <c r="AF1536" s="21">
        <f t="shared" si="178"/>
        <v>0</v>
      </c>
    </row>
    <row r="1537" spans="1:32" ht="15" customHeight="1" x14ac:dyDescent="0.3">
      <c r="A1537">
        <v>3</v>
      </c>
      <c r="B1537" s="2" t="s">
        <v>696</v>
      </c>
      <c r="C1537" s="4" t="s">
        <v>691</v>
      </c>
      <c r="D1537" s="3" t="s">
        <v>658</v>
      </c>
      <c r="E1537" s="6" t="s">
        <v>41</v>
      </c>
      <c r="F1537" s="6" t="s">
        <v>343</v>
      </c>
      <c r="G1537" s="6" t="s">
        <v>716</v>
      </c>
      <c r="H1537" s="23">
        <v>39000</v>
      </c>
      <c r="I1537">
        <v>30</v>
      </c>
      <c r="J1537">
        <v>2</v>
      </c>
      <c r="K1537" s="20">
        <f t="shared" si="176"/>
        <v>2340000</v>
      </c>
      <c r="L1537">
        <v>0</v>
      </c>
      <c r="M1537">
        <v>0</v>
      </c>
      <c r="N1537" s="21">
        <f t="shared" si="177"/>
        <v>0</v>
      </c>
      <c r="O1537">
        <v>0</v>
      </c>
      <c r="P1537">
        <v>0</v>
      </c>
      <c r="Q1537" s="21">
        <f t="shared" si="179"/>
        <v>0</v>
      </c>
      <c r="R1537">
        <v>0</v>
      </c>
      <c r="S1537">
        <v>0</v>
      </c>
      <c r="T1537" s="21">
        <f t="shared" si="180"/>
        <v>0</v>
      </c>
      <c r="U1537">
        <v>30</v>
      </c>
      <c r="V1537">
        <v>2</v>
      </c>
      <c r="W1537" s="21">
        <f t="shared" si="181"/>
        <v>2340000</v>
      </c>
      <c r="X1537">
        <v>0</v>
      </c>
      <c r="Y1537">
        <v>0</v>
      </c>
      <c r="Z1537" s="21">
        <f t="shared" si="182"/>
        <v>0</v>
      </c>
      <c r="AA1537">
        <v>0</v>
      </c>
      <c r="AB1537">
        <v>0</v>
      </c>
      <c r="AC1537" s="21">
        <f t="shared" si="183"/>
        <v>0</v>
      </c>
      <c r="AD1537">
        <v>0</v>
      </c>
      <c r="AE1537">
        <v>0</v>
      </c>
      <c r="AF1537" s="21">
        <f t="shared" si="178"/>
        <v>0</v>
      </c>
    </row>
    <row r="1538" spans="1:32" ht="15" customHeight="1" x14ac:dyDescent="0.3">
      <c r="A1538">
        <v>3</v>
      </c>
      <c r="B1538" s="2" t="s">
        <v>696</v>
      </c>
      <c r="C1538" s="4" t="s">
        <v>691</v>
      </c>
      <c r="D1538" s="3" t="s">
        <v>658</v>
      </c>
      <c r="E1538" s="6" t="s">
        <v>41</v>
      </c>
      <c r="F1538" s="6" t="s">
        <v>343</v>
      </c>
      <c r="G1538" s="6" t="s">
        <v>709</v>
      </c>
      <c r="H1538" s="23">
        <v>28000</v>
      </c>
      <c r="I1538">
        <v>30</v>
      </c>
      <c r="J1538">
        <v>2</v>
      </c>
      <c r="K1538" s="20">
        <f t="shared" si="176"/>
        <v>1680000</v>
      </c>
      <c r="L1538">
        <v>0</v>
      </c>
      <c r="M1538">
        <v>0</v>
      </c>
      <c r="N1538" s="21">
        <f t="shared" si="177"/>
        <v>0</v>
      </c>
      <c r="O1538">
        <v>0</v>
      </c>
      <c r="P1538">
        <v>0</v>
      </c>
      <c r="Q1538" s="21">
        <f t="shared" si="179"/>
        <v>0</v>
      </c>
      <c r="R1538">
        <v>0</v>
      </c>
      <c r="S1538">
        <v>0</v>
      </c>
      <c r="T1538" s="21">
        <f t="shared" si="180"/>
        <v>0</v>
      </c>
      <c r="U1538">
        <v>30</v>
      </c>
      <c r="V1538">
        <v>2</v>
      </c>
      <c r="W1538" s="21">
        <f t="shared" si="181"/>
        <v>1680000</v>
      </c>
      <c r="X1538">
        <v>0</v>
      </c>
      <c r="Y1538">
        <v>0</v>
      </c>
      <c r="Z1538" s="21">
        <f t="shared" si="182"/>
        <v>0</v>
      </c>
      <c r="AA1538">
        <v>0</v>
      </c>
      <c r="AB1538">
        <v>0</v>
      </c>
      <c r="AC1538" s="21">
        <f t="shared" si="183"/>
        <v>0</v>
      </c>
      <c r="AD1538">
        <v>0</v>
      </c>
      <c r="AE1538">
        <v>0</v>
      </c>
      <c r="AF1538" s="21">
        <f t="shared" si="178"/>
        <v>0</v>
      </c>
    </row>
    <row r="1539" spans="1:32" ht="15" customHeight="1" x14ac:dyDescent="0.3">
      <c r="A1539">
        <v>3</v>
      </c>
      <c r="B1539" s="2" t="s">
        <v>696</v>
      </c>
      <c r="C1539" s="4" t="s">
        <v>691</v>
      </c>
      <c r="D1539" s="3" t="s">
        <v>658</v>
      </c>
      <c r="E1539" s="6" t="s">
        <v>41</v>
      </c>
      <c r="F1539" s="6" t="s">
        <v>343</v>
      </c>
      <c r="G1539" s="6" t="s">
        <v>712</v>
      </c>
      <c r="H1539" s="23">
        <v>214.29</v>
      </c>
      <c r="I1539">
        <v>4000</v>
      </c>
      <c r="J1539">
        <v>1</v>
      </c>
      <c r="K1539" s="20">
        <f t="shared" si="176"/>
        <v>857160</v>
      </c>
      <c r="L1539">
        <v>0</v>
      </c>
      <c r="M1539">
        <v>0</v>
      </c>
      <c r="N1539" s="21">
        <f t="shared" si="177"/>
        <v>0</v>
      </c>
      <c r="O1539">
        <v>0</v>
      </c>
      <c r="P1539">
        <v>0</v>
      </c>
      <c r="Q1539" s="21">
        <f t="shared" si="179"/>
        <v>0</v>
      </c>
      <c r="R1539">
        <v>0</v>
      </c>
      <c r="S1539">
        <v>0</v>
      </c>
      <c r="T1539" s="21">
        <f t="shared" si="180"/>
        <v>0</v>
      </c>
      <c r="U1539">
        <v>4000</v>
      </c>
      <c r="V1539">
        <v>1</v>
      </c>
      <c r="W1539" s="21">
        <f t="shared" si="181"/>
        <v>857160</v>
      </c>
      <c r="X1539">
        <v>0</v>
      </c>
      <c r="Y1539">
        <v>0</v>
      </c>
      <c r="Z1539" s="21">
        <f t="shared" si="182"/>
        <v>0</v>
      </c>
      <c r="AA1539">
        <v>0</v>
      </c>
      <c r="AB1539">
        <v>0</v>
      </c>
      <c r="AC1539" s="21">
        <f t="shared" si="183"/>
        <v>0</v>
      </c>
      <c r="AD1539">
        <v>0</v>
      </c>
      <c r="AE1539">
        <v>0</v>
      </c>
      <c r="AF1539" s="21">
        <f t="shared" si="178"/>
        <v>0</v>
      </c>
    </row>
    <row r="1540" spans="1:32" ht="15" customHeight="1" x14ac:dyDescent="0.3">
      <c r="A1540">
        <v>3</v>
      </c>
      <c r="B1540" s="2" t="s">
        <v>696</v>
      </c>
      <c r="C1540" s="4" t="s">
        <v>691</v>
      </c>
      <c r="D1540" s="3" t="s">
        <v>658</v>
      </c>
      <c r="E1540" s="6" t="s">
        <v>41</v>
      </c>
      <c r="F1540" s="6" t="s">
        <v>344</v>
      </c>
      <c r="G1540" s="6" t="s">
        <v>709</v>
      </c>
      <c r="H1540" s="23">
        <v>28000</v>
      </c>
      <c r="I1540">
        <v>30</v>
      </c>
      <c r="J1540">
        <v>1</v>
      </c>
      <c r="K1540" s="20">
        <f t="shared" si="176"/>
        <v>840000</v>
      </c>
      <c r="L1540">
        <v>0</v>
      </c>
      <c r="M1540">
        <v>0</v>
      </c>
      <c r="N1540" s="21">
        <f t="shared" si="177"/>
        <v>0</v>
      </c>
      <c r="O1540">
        <v>0</v>
      </c>
      <c r="P1540">
        <v>0</v>
      </c>
      <c r="Q1540" s="21">
        <f t="shared" si="179"/>
        <v>0</v>
      </c>
      <c r="R1540">
        <v>0</v>
      </c>
      <c r="S1540">
        <v>0</v>
      </c>
      <c r="T1540" s="21">
        <f t="shared" si="180"/>
        <v>0</v>
      </c>
      <c r="U1540">
        <v>30</v>
      </c>
      <c r="V1540">
        <v>1</v>
      </c>
      <c r="W1540" s="21">
        <f t="shared" si="181"/>
        <v>840000</v>
      </c>
      <c r="X1540">
        <v>0</v>
      </c>
      <c r="Y1540">
        <v>0</v>
      </c>
      <c r="Z1540" s="21">
        <f t="shared" si="182"/>
        <v>0</v>
      </c>
      <c r="AA1540">
        <v>0</v>
      </c>
      <c r="AB1540">
        <v>0</v>
      </c>
      <c r="AC1540" s="21">
        <f t="shared" si="183"/>
        <v>0</v>
      </c>
      <c r="AD1540">
        <v>0</v>
      </c>
      <c r="AE1540">
        <v>0</v>
      </c>
      <c r="AF1540" s="21">
        <f t="shared" si="178"/>
        <v>0</v>
      </c>
    </row>
    <row r="1541" spans="1:32" ht="15" customHeight="1" x14ac:dyDescent="0.3">
      <c r="A1541">
        <v>3</v>
      </c>
      <c r="B1541" s="2" t="s">
        <v>696</v>
      </c>
      <c r="C1541" s="4" t="s">
        <v>691</v>
      </c>
      <c r="D1541" s="3" t="s">
        <v>658</v>
      </c>
      <c r="E1541" s="6" t="s">
        <v>41</v>
      </c>
      <c r="F1541" s="6" t="s">
        <v>266</v>
      </c>
      <c r="G1541" s="6" t="s">
        <v>718</v>
      </c>
      <c r="H1541" s="23">
        <v>0</v>
      </c>
      <c r="I1541">
        <v>0</v>
      </c>
      <c r="J1541">
        <v>0</v>
      </c>
      <c r="K1541" s="20">
        <f t="shared" si="176"/>
        <v>0</v>
      </c>
      <c r="L1541">
        <v>0</v>
      </c>
      <c r="M1541">
        <v>0</v>
      </c>
      <c r="N1541" s="21">
        <f t="shared" si="177"/>
        <v>0</v>
      </c>
      <c r="O1541">
        <v>0</v>
      </c>
      <c r="P1541">
        <v>0</v>
      </c>
      <c r="Q1541" s="21">
        <f t="shared" si="179"/>
        <v>0</v>
      </c>
      <c r="R1541">
        <v>0</v>
      </c>
      <c r="S1541">
        <v>0</v>
      </c>
      <c r="T1541" s="21">
        <f t="shared" si="180"/>
        <v>0</v>
      </c>
      <c r="U1541">
        <v>0</v>
      </c>
      <c r="V1541">
        <v>0</v>
      </c>
      <c r="W1541" s="21">
        <f t="shared" si="181"/>
        <v>0</v>
      </c>
      <c r="X1541">
        <v>0</v>
      </c>
      <c r="Y1541">
        <v>0</v>
      </c>
      <c r="Z1541" s="21">
        <f t="shared" si="182"/>
        <v>0</v>
      </c>
      <c r="AA1541">
        <v>0</v>
      </c>
      <c r="AB1541">
        <v>0</v>
      </c>
      <c r="AC1541" s="21">
        <f t="shared" si="183"/>
        <v>0</v>
      </c>
      <c r="AD1541">
        <v>0</v>
      </c>
      <c r="AE1541">
        <v>0</v>
      </c>
      <c r="AF1541" s="21">
        <f t="shared" si="178"/>
        <v>0</v>
      </c>
    </row>
    <row r="1542" spans="1:32" ht="15" customHeight="1" x14ac:dyDescent="0.3">
      <c r="A1542">
        <v>3</v>
      </c>
      <c r="B1542" s="2" t="s">
        <v>696</v>
      </c>
      <c r="C1542" s="4" t="s">
        <v>691</v>
      </c>
      <c r="D1542" s="3" t="s">
        <v>658</v>
      </c>
      <c r="E1542" s="6" t="s">
        <v>42</v>
      </c>
      <c r="F1542" s="6" t="s">
        <v>345</v>
      </c>
      <c r="G1542" s="6" t="s">
        <v>716</v>
      </c>
      <c r="H1542" s="23">
        <v>39000</v>
      </c>
      <c r="I1542">
        <v>0</v>
      </c>
      <c r="J1542">
        <v>0</v>
      </c>
      <c r="K1542" s="20">
        <f t="shared" ref="K1542:K1605" si="184">H1542*I1542*J1542</f>
        <v>0</v>
      </c>
      <c r="L1542">
        <v>30</v>
      </c>
      <c r="M1542">
        <v>5</v>
      </c>
      <c r="N1542" s="21">
        <f t="shared" ref="N1542:N1605" si="185">H1542*L1542*M1542</f>
        <v>5850000</v>
      </c>
      <c r="O1542">
        <v>0</v>
      </c>
      <c r="P1542">
        <v>0</v>
      </c>
      <c r="Q1542" s="21">
        <f t="shared" si="179"/>
        <v>0</v>
      </c>
      <c r="R1542">
        <v>0</v>
      </c>
      <c r="S1542">
        <v>0</v>
      </c>
      <c r="T1542" s="21">
        <f t="shared" si="180"/>
        <v>0</v>
      </c>
      <c r="U1542">
        <v>0</v>
      </c>
      <c r="V1542">
        <v>0</v>
      </c>
      <c r="W1542" s="21">
        <f t="shared" si="181"/>
        <v>0</v>
      </c>
      <c r="X1542">
        <v>0</v>
      </c>
      <c r="Y1542">
        <v>0</v>
      </c>
      <c r="Z1542" s="21">
        <f t="shared" si="182"/>
        <v>0</v>
      </c>
      <c r="AA1542">
        <v>0</v>
      </c>
      <c r="AB1542">
        <v>0</v>
      </c>
      <c r="AC1542" s="21">
        <f t="shared" si="183"/>
        <v>0</v>
      </c>
      <c r="AD1542">
        <v>0</v>
      </c>
      <c r="AE1542">
        <v>0</v>
      </c>
      <c r="AF1542" s="21">
        <f t="shared" ref="AF1542:AF1605" si="186">H1542*AD1542*AE1542</f>
        <v>0</v>
      </c>
    </row>
    <row r="1543" spans="1:32" ht="15" customHeight="1" x14ac:dyDescent="0.3">
      <c r="A1543">
        <v>3</v>
      </c>
      <c r="B1543" s="2" t="s">
        <v>696</v>
      </c>
      <c r="C1543" s="4" t="s">
        <v>691</v>
      </c>
      <c r="D1543" s="3" t="s">
        <v>658</v>
      </c>
      <c r="E1543" s="6" t="s">
        <v>42</v>
      </c>
      <c r="F1543" s="6" t="s">
        <v>345</v>
      </c>
      <c r="G1543" s="6" t="s">
        <v>709</v>
      </c>
      <c r="H1543" s="23">
        <v>28000</v>
      </c>
      <c r="I1543">
        <v>0</v>
      </c>
      <c r="J1543">
        <v>0</v>
      </c>
      <c r="K1543" s="20">
        <f t="shared" si="184"/>
        <v>0</v>
      </c>
      <c r="L1543">
        <v>30</v>
      </c>
      <c r="M1543">
        <v>5</v>
      </c>
      <c r="N1543" s="21">
        <f t="shared" si="185"/>
        <v>4200000</v>
      </c>
      <c r="O1543">
        <v>0</v>
      </c>
      <c r="P1543">
        <v>0</v>
      </c>
      <c r="Q1543" s="21">
        <f t="shared" si="179"/>
        <v>0</v>
      </c>
      <c r="R1543">
        <v>0</v>
      </c>
      <c r="S1543">
        <v>0</v>
      </c>
      <c r="T1543" s="21">
        <f t="shared" si="180"/>
        <v>0</v>
      </c>
      <c r="U1543">
        <v>0</v>
      </c>
      <c r="V1543">
        <v>0</v>
      </c>
      <c r="W1543" s="21">
        <f t="shared" si="181"/>
        <v>0</v>
      </c>
      <c r="X1543">
        <v>0</v>
      </c>
      <c r="Y1543">
        <v>0</v>
      </c>
      <c r="Z1543" s="21">
        <f t="shared" si="182"/>
        <v>0</v>
      </c>
      <c r="AA1543">
        <v>0</v>
      </c>
      <c r="AB1543">
        <v>0</v>
      </c>
      <c r="AC1543" s="21">
        <f t="shared" si="183"/>
        <v>0</v>
      </c>
      <c r="AD1543">
        <v>0</v>
      </c>
      <c r="AE1543">
        <v>0</v>
      </c>
      <c r="AF1543" s="21">
        <f t="shared" si="186"/>
        <v>0</v>
      </c>
    </row>
    <row r="1544" spans="1:32" ht="15" customHeight="1" x14ac:dyDescent="0.3">
      <c r="A1544">
        <v>3</v>
      </c>
      <c r="B1544" s="2" t="s">
        <v>696</v>
      </c>
      <c r="C1544" s="4" t="s">
        <v>691</v>
      </c>
      <c r="D1544" s="3" t="s">
        <v>658</v>
      </c>
      <c r="E1544" s="6" t="s">
        <v>42</v>
      </c>
      <c r="F1544" s="6" t="s">
        <v>345</v>
      </c>
      <c r="G1544" s="6" t="s">
        <v>712</v>
      </c>
      <c r="H1544" s="23">
        <v>214.29</v>
      </c>
      <c r="I1544">
        <v>0</v>
      </c>
      <c r="J1544">
        <v>0</v>
      </c>
      <c r="K1544" s="20">
        <f t="shared" si="184"/>
        <v>0</v>
      </c>
      <c r="L1544">
        <v>8000</v>
      </c>
      <c r="M1544">
        <v>1</v>
      </c>
      <c r="N1544" s="21">
        <f t="shared" si="185"/>
        <v>1714320</v>
      </c>
      <c r="O1544">
        <v>0</v>
      </c>
      <c r="P1544">
        <v>0</v>
      </c>
      <c r="Q1544" s="21">
        <f t="shared" si="179"/>
        <v>0</v>
      </c>
      <c r="R1544">
        <v>0</v>
      </c>
      <c r="S1544">
        <v>0</v>
      </c>
      <c r="T1544" s="21">
        <f t="shared" si="180"/>
        <v>0</v>
      </c>
      <c r="U1544">
        <v>0</v>
      </c>
      <c r="V1544">
        <v>0</v>
      </c>
      <c r="W1544" s="21">
        <f t="shared" si="181"/>
        <v>0</v>
      </c>
      <c r="X1544">
        <v>0</v>
      </c>
      <c r="Y1544">
        <v>0</v>
      </c>
      <c r="Z1544" s="21">
        <f t="shared" si="182"/>
        <v>0</v>
      </c>
      <c r="AA1544">
        <v>0</v>
      </c>
      <c r="AB1544">
        <v>0</v>
      </c>
      <c r="AC1544" s="21">
        <f t="shared" si="183"/>
        <v>0</v>
      </c>
      <c r="AD1544">
        <v>0</v>
      </c>
      <c r="AE1544">
        <v>0</v>
      </c>
      <c r="AF1544" s="21">
        <f t="shared" si="186"/>
        <v>0</v>
      </c>
    </row>
    <row r="1545" spans="1:32" ht="15" customHeight="1" x14ac:dyDescent="0.3">
      <c r="A1545">
        <v>3</v>
      </c>
      <c r="B1545" s="2" t="s">
        <v>696</v>
      </c>
      <c r="C1545" s="4" t="s">
        <v>691</v>
      </c>
      <c r="D1545" s="3" t="s">
        <v>658</v>
      </c>
      <c r="E1545" s="6" t="s">
        <v>43</v>
      </c>
      <c r="F1545" s="6" t="s">
        <v>346</v>
      </c>
      <c r="G1545" s="6" t="s">
        <v>718</v>
      </c>
      <c r="H1545" s="23">
        <v>0</v>
      </c>
      <c r="I1545">
        <v>0</v>
      </c>
      <c r="J1545">
        <v>0</v>
      </c>
      <c r="K1545" s="20">
        <f t="shared" si="184"/>
        <v>0</v>
      </c>
      <c r="L1545">
        <v>0</v>
      </c>
      <c r="M1545">
        <v>0</v>
      </c>
      <c r="N1545" s="21">
        <f t="shared" si="185"/>
        <v>0</v>
      </c>
      <c r="O1545">
        <v>0</v>
      </c>
      <c r="P1545">
        <v>0</v>
      </c>
      <c r="Q1545" s="21">
        <f t="shared" si="179"/>
        <v>0</v>
      </c>
      <c r="R1545">
        <v>0</v>
      </c>
      <c r="S1545">
        <v>0</v>
      </c>
      <c r="T1545" s="21">
        <f t="shared" si="180"/>
        <v>0</v>
      </c>
      <c r="U1545">
        <v>0</v>
      </c>
      <c r="V1545">
        <v>0</v>
      </c>
      <c r="W1545" s="21">
        <f t="shared" si="181"/>
        <v>0</v>
      </c>
      <c r="X1545">
        <v>0</v>
      </c>
      <c r="Y1545">
        <v>0</v>
      </c>
      <c r="Z1545" s="21">
        <f t="shared" si="182"/>
        <v>0</v>
      </c>
      <c r="AA1545">
        <v>0</v>
      </c>
      <c r="AB1545">
        <v>0</v>
      </c>
      <c r="AC1545" s="21">
        <f t="shared" si="183"/>
        <v>0</v>
      </c>
      <c r="AD1545">
        <v>0</v>
      </c>
      <c r="AE1545">
        <v>0</v>
      </c>
      <c r="AF1545" s="21">
        <f t="shared" si="186"/>
        <v>0</v>
      </c>
    </row>
    <row r="1546" spans="1:32" ht="15" customHeight="1" x14ac:dyDescent="0.3">
      <c r="A1546">
        <v>3</v>
      </c>
      <c r="B1546" s="2" t="s">
        <v>696</v>
      </c>
      <c r="C1546" s="4" t="s">
        <v>691</v>
      </c>
      <c r="D1546" s="3" t="s">
        <v>658</v>
      </c>
      <c r="E1546" s="6" t="s">
        <v>43</v>
      </c>
      <c r="F1546" s="6" t="s">
        <v>347</v>
      </c>
      <c r="G1546" s="6" t="s">
        <v>713</v>
      </c>
      <c r="H1546" s="23">
        <v>45000</v>
      </c>
      <c r="I1546">
        <v>15</v>
      </c>
      <c r="J1546">
        <v>10</v>
      </c>
      <c r="K1546" s="20">
        <f t="shared" si="184"/>
        <v>6750000</v>
      </c>
      <c r="L1546">
        <v>0</v>
      </c>
      <c r="M1546">
        <v>0</v>
      </c>
      <c r="N1546" s="21">
        <f t="shared" si="185"/>
        <v>0</v>
      </c>
      <c r="O1546">
        <v>0</v>
      </c>
      <c r="P1546">
        <v>0</v>
      </c>
      <c r="Q1546" s="21">
        <f t="shared" si="179"/>
        <v>0</v>
      </c>
      <c r="R1546">
        <v>0</v>
      </c>
      <c r="S1546">
        <v>0</v>
      </c>
      <c r="T1546" s="21">
        <f t="shared" si="180"/>
        <v>0</v>
      </c>
      <c r="U1546">
        <v>15</v>
      </c>
      <c r="V1546">
        <v>10</v>
      </c>
      <c r="W1546" s="21">
        <f t="shared" si="181"/>
        <v>6750000</v>
      </c>
      <c r="X1546">
        <v>0</v>
      </c>
      <c r="Y1546">
        <v>0</v>
      </c>
      <c r="Z1546" s="21">
        <f t="shared" si="182"/>
        <v>0</v>
      </c>
      <c r="AA1546">
        <v>0</v>
      </c>
      <c r="AB1546">
        <v>0</v>
      </c>
      <c r="AC1546" s="21">
        <f t="shared" si="183"/>
        <v>0</v>
      </c>
      <c r="AD1546">
        <v>0</v>
      </c>
      <c r="AE1546">
        <v>0</v>
      </c>
      <c r="AF1546" s="21">
        <f t="shared" si="186"/>
        <v>0</v>
      </c>
    </row>
    <row r="1547" spans="1:32" ht="15" customHeight="1" x14ac:dyDescent="0.3">
      <c r="A1547">
        <v>3</v>
      </c>
      <c r="B1547" s="2" t="s">
        <v>696</v>
      </c>
      <c r="C1547" s="4" t="s">
        <v>691</v>
      </c>
      <c r="D1547" s="3" t="s">
        <v>658</v>
      </c>
      <c r="E1547" s="6" t="s">
        <v>43</v>
      </c>
      <c r="F1547" s="6" t="s">
        <v>347</v>
      </c>
      <c r="G1547" s="6" t="s">
        <v>712</v>
      </c>
      <c r="H1547" s="23">
        <v>214.29</v>
      </c>
      <c r="I1547">
        <v>8000</v>
      </c>
      <c r="J1547">
        <v>1</v>
      </c>
      <c r="K1547" s="20">
        <f t="shared" si="184"/>
        <v>1714320</v>
      </c>
      <c r="L1547">
        <v>0</v>
      </c>
      <c r="M1547">
        <v>0</v>
      </c>
      <c r="N1547" s="21">
        <f t="shared" si="185"/>
        <v>0</v>
      </c>
      <c r="O1547">
        <v>0</v>
      </c>
      <c r="P1547">
        <v>0</v>
      </c>
      <c r="Q1547" s="21">
        <f t="shared" si="179"/>
        <v>0</v>
      </c>
      <c r="R1547">
        <v>0</v>
      </c>
      <c r="S1547">
        <v>0</v>
      </c>
      <c r="T1547" s="21">
        <f t="shared" si="180"/>
        <v>0</v>
      </c>
      <c r="U1547">
        <v>8000</v>
      </c>
      <c r="V1547">
        <v>1</v>
      </c>
      <c r="W1547" s="21">
        <f t="shared" si="181"/>
        <v>1714320</v>
      </c>
      <c r="X1547">
        <v>0</v>
      </c>
      <c r="Y1547">
        <v>0</v>
      </c>
      <c r="Z1547" s="21">
        <f t="shared" si="182"/>
        <v>0</v>
      </c>
      <c r="AA1547">
        <v>0</v>
      </c>
      <c r="AB1547">
        <v>0</v>
      </c>
      <c r="AC1547" s="21">
        <f t="shared" si="183"/>
        <v>0</v>
      </c>
      <c r="AD1547">
        <v>0</v>
      </c>
      <c r="AE1547">
        <v>0</v>
      </c>
      <c r="AF1547" s="21">
        <f t="shared" si="186"/>
        <v>0</v>
      </c>
    </row>
    <row r="1548" spans="1:32" ht="15" customHeight="1" x14ac:dyDescent="0.3">
      <c r="A1548">
        <v>3</v>
      </c>
      <c r="B1548" s="2" t="s">
        <v>696</v>
      </c>
      <c r="C1548" s="4" t="s">
        <v>691</v>
      </c>
      <c r="D1548" s="3" t="s">
        <v>658</v>
      </c>
      <c r="E1548" s="6" t="s">
        <v>43</v>
      </c>
      <c r="F1548" s="6" t="s">
        <v>348</v>
      </c>
      <c r="G1548" s="6" t="s">
        <v>718</v>
      </c>
      <c r="H1548" s="23">
        <v>0</v>
      </c>
      <c r="I1548">
        <v>0</v>
      </c>
      <c r="J1548">
        <v>0</v>
      </c>
      <c r="K1548" s="20">
        <f t="shared" si="184"/>
        <v>0</v>
      </c>
      <c r="L1548">
        <v>0</v>
      </c>
      <c r="M1548">
        <v>0</v>
      </c>
      <c r="N1548" s="21">
        <f t="shared" si="185"/>
        <v>0</v>
      </c>
      <c r="O1548">
        <v>0</v>
      </c>
      <c r="P1548">
        <v>0</v>
      </c>
      <c r="Q1548" s="21">
        <f t="shared" si="179"/>
        <v>0</v>
      </c>
      <c r="R1548">
        <v>0</v>
      </c>
      <c r="S1548">
        <v>0</v>
      </c>
      <c r="T1548" s="21">
        <f t="shared" si="180"/>
        <v>0</v>
      </c>
      <c r="U1548">
        <v>0</v>
      </c>
      <c r="V1548">
        <v>0</v>
      </c>
      <c r="W1548" s="21">
        <f t="shared" si="181"/>
        <v>0</v>
      </c>
      <c r="X1548">
        <v>0</v>
      </c>
      <c r="Y1548">
        <v>0</v>
      </c>
      <c r="Z1548" s="21">
        <f t="shared" si="182"/>
        <v>0</v>
      </c>
      <c r="AA1548">
        <v>0</v>
      </c>
      <c r="AB1548">
        <v>0</v>
      </c>
      <c r="AC1548" s="21">
        <f t="shared" si="183"/>
        <v>0</v>
      </c>
      <c r="AD1548">
        <v>0</v>
      </c>
      <c r="AE1548">
        <v>0</v>
      </c>
      <c r="AF1548" s="21">
        <f t="shared" si="186"/>
        <v>0</v>
      </c>
    </row>
    <row r="1549" spans="1:32" ht="15" customHeight="1" x14ac:dyDescent="0.3">
      <c r="A1549">
        <v>3</v>
      </c>
      <c r="B1549" s="2" t="s">
        <v>696</v>
      </c>
      <c r="C1549" s="4" t="s">
        <v>691</v>
      </c>
      <c r="D1549" s="3" t="s">
        <v>658</v>
      </c>
      <c r="E1549" s="6" t="s">
        <v>43</v>
      </c>
      <c r="F1549" s="6" t="s">
        <v>349</v>
      </c>
      <c r="G1549" s="6" t="s">
        <v>709</v>
      </c>
      <c r="H1549" s="23">
        <v>28000</v>
      </c>
      <c r="I1549">
        <v>30</v>
      </c>
      <c r="J1549">
        <v>1</v>
      </c>
      <c r="K1549" s="20">
        <f t="shared" si="184"/>
        <v>840000</v>
      </c>
      <c r="L1549">
        <v>0</v>
      </c>
      <c r="M1549">
        <v>0</v>
      </c>
      <c r="N1549" s="21">
        <f t="shared" si="185"/>
        <v>0</v>
      </c>
      <c r="O1549">
        <v>0</v>
      </c>
      <c r="P1549">
        <v>0</v>
      </c>
      <c r="Q1549" s="21">
        <f t="shared" si="179"/>
        <v>0</v>
      </c>
      <c r="R1549">
        <v>0</v>
      </c>
      <c r="S1549">
        <v>0</v>
      </c>
      <c r="T1549" s="21">
        <f t="shared" si="180"/>
        <v>0</v>
      </c>
      <c r="U1549">
        <v>30</v>
      </c>
      <c r="V1549">
        <v>1</v>
      </c>
      <c r="W1549" s="21">
        <f t="shared" si="181"/>
        <v>840000</v>
      </c>
      <c r="X1549">
        <v>0</v>
      </c>
      <c r="Y1549">
        <v>0</v>
      </c>
      <c r="Z1549" s="21">
        <f t="shared" si="182"/>
        <v>0</v>
      </c>
      <c r="AA1549">
        <v>0</v>
      </c>
      <c r="AB1549">
        <v>0</v>
      </c>
      <c r="AC1549" s="21">
        <f t="shared" si="183"/>
        <v>0</v>
      </c>
      <c r="AD1549">
        <v>0</v>
      </c>
      <c r="AE1549">
        <v>0</v>
      </c>
      <c r="AF1549" s="21">
        <f t="shared" si="186"/>
        <v>0</v>
      </c>
    </row>
    <row r="1550" spans="1:32" ht="15" customHeight="1" x14ac:dyDescent="0.3">
      <c r="A1550">
        <v>3</v>
      </c>
      <c r="B1550" s="2" t="s">
        <v>696</v>
      </c>
      <c r="C1550" s="4" t="s">
        <v>691</v>
      </c>
      <c r="D1550" s="3" t="s">
        <v>658</v>
      </c>
      <c r="E1550" s="6" t="s">
        <v>43</v>
      </c>
      <c r="F1550" s="6" t="s">
        <v>350</v>
      </c>
      <c r="G1550" s="6" t="s">
        <v>718</v>
      </c>
      <c r="H1550" s="23">
        <v>0</v>
      </c>
      <c r="I1550">
        <v>0</v>
      </c>
      <c r="J1550">
        <v>0</v>
      </c>
      <c r="K1550" s="20">
        <f t="shared" si="184"/>
        <v>0</v>
      </c>
      <c r="L1550">
        <v>0</v>
      </c>
      <c r="M1550">
        <v>0</v>
      </c>
      <c r="N1550" s="21">
        <f t="shared" si="185"/>
        <v>0</v>
      </c>
      <c r="O1550">
        <v>0</v>
      </c>
      <c r="P1550">
        <v>0</v>
      </c>
      <c r="Q1550" s="21">
        <f t="shared" si="179"/>
        <v>0</v>
      </c>
      <c r="R1550">
        <v>0</v>
      </c>
      <c r="S1550">
        <v>0</v>
      </c>
      <c r="T1550" s="21">
        <f t="shared" si="180"/>
        <v>0</v>
      </c>
      <c r="U1550">
        <v>0</v>
      </c>
      <c r="V1550">
        <v>0</v>
      </c>
      <c r="W1550" s="21">
        <f t="shared" si="181"/>
        <v>0</v>
      </c>
      <c r="X1550">
        <v>0</v>
      </c>
      <c r="Y1550">
        <v>0</v>
      </c>
      <c r="Z1550" s="21">
        <f t="shared" si="182"/>
        <v>0</v>
      </c>
      <c r="AA1550">
        <v>0</v>
      </c>
      <c r="AB1550">
        <v>0</v>
      </c>
      <c r="AC1550" s="21">
        <f t="shared" si="183"/>
        <v>0</v>
      </c>
      <c r="AD1550">
        <v>0</v>
      </c>
      <c r="AE1550">
        <v>0</v>
      </c>
      <c r="AF1550" s="21">
        <f t="shared" si="186"/>
        <v>0</v>
      </c>
    </row>
    <row r="1551" spans="1:32" ht="15" customHeight="1" x14ac:dyDescent="0.3">
      <c r="A1551">
        <v>3</v>
      </c>
      <c r="B1551" s="2" t="s">
        <v>696</v>
      </c>
      <c r="C1551" s="4" t="s">
        <v>691</v>
      </c>
      <c r="D1551" s="3" t="s">
        <v>658</v>
      </c>
      <c r="E1551" s="6" t="s">
        <v>43</v>
      </c>
      <c r="F1551" s="6" t="s">
        <v>347</v>
      </c>
      <c r="G1551" s="6" t="s">
        <v>713</v>
      </c>
      <c r="H1551" s="23">
        <v>45000</v>
      </c>
      <c r="I1551">
        <v>15</v>
      </c>
      <c r="J1551">
        <v>10</v>
      </c>
      <c r="K1551" s="20">
        <f t="shared" si="184"/>
        <v>6750000</v>
      </c>
      <c r="L1551">
        <v>0</v>
      </c>
      <c r="M1551">
        <v>0</v>
      </c>
      <c r="N1551" s="21">
        <f t="shared" si="185"/>
        <v>0</v>
      </c>
      <c r="O1551">
        <v>0</v>
      </c>
      <c r="P1551">
        <v>0</v>
      </c>
      <c r="Q1551" s="21">
        <f t="shared" si="179"/>
        <v>0</v>
      </c>
      <c r="R1551">
        <v>0</v>
      </c>
      <c r="S1551">
        <v>0</v>
      </c>
      <c r="T1551" s="21">
        <f t="shared" si="180"/>
        <v>0</v>
      </c>
      <c r="U1551">
        <v>15</v>
      </c>
      <c r="V1551">
        <v>10</v>
      </c>
      <c r="W1551" s="21">
        <f t="shared" si="181"/>
        <v>6750000</v>
      </c>
      <c r="X1551">
        <v>0</v>
      </c>
      <c r="Y1551">
        <v>0</v>
      </c>
      <c r="Z1551" s="21">
        <f t="shared" si="182"/>
        <v>0</v>
      </c>
      <c r="AA1551">
        <v>0</v>
      </c>
      <c r="AB1551">
        <v>0</v>
      </c>
      <c r="AC1551" s="21">
        <f t="shared" si="183"/>
        <v>0</v>
      </c>
      <c r="AD1551">
        <v>0</v>
      </c>
      <c r="AE1551">
        <v>0</v>
      </c>
      <c r="AF1551" s="21">
        <f t="shared" si="186"/>
        <v>0</v>
      </c>
    </row>
    <row r="1552" spans="1:32" ht="15" customHeight="1" x14ac:dyDescent="0.3">
      <c r="A1552">
        <v>3</v>
      </c>
      <c r="B1552" s="2" t="s">
        <v>696</v>
      </c>
      <c r="C1552" s="4" t="s">
        <v>691</v>
      </c>
      <c r="D1552" s="3" t="s">
        <v>658</v>
      </c>
      <c r="E1552" s="6" t="s">
        <v>43</v>
      </c>
      <c r="F1552" s="6" t="s">
        <v>347</v>
      </c>
      <c r="G1552" s="6" t="s">
        <v>712</v>
      </c>
      <c r="H1552" s="23">
        <v>214.29</v>
      </c>
      <c r="I1552">
        <v>20000</v>
      </c>
      <c r="J1552">
        <v>1</v>
      </c>
      <c r="K1552" s="20">
        <f t="shared" si="184"/>
        <v>4285800</v>
      </c>
      <c r="L1552">
        <v>0</v>
      </c>
      <c r="M1552">
        <v>0</v>
      </c>
      <c r="N1552" s="21">
        <f t="shared" si="185"/>
        <v>0</v>
      </c>
      <c r="O1552">
        <v>0</v>
      </c>
      <c r="P1552">
        <v>0</v>
      </c>
      <c r="Q1552" s="21">
        <f t="shared" si="179"/>
        <v>0</v>
      </c>
      <c r="R1552">
        <v>0</v>
      </c>
      <c r="S1552">
        <v>0</v>
      </c>
      <c r="T1552" s="21">
        <f t="shared" si="180"/>
        <v>0</v>
      </c>
      <c r="U1552">
        <v>20000</v>
      </c>
      <c r="V1552">
        <v>1</v>
      </c>
      <c r="W1552" s="21">
        <f t="shared" si="181"/>
        <v>4285800</v>
      </c>
      <c r="X1552">
        <v>0</v>
      </c>
      <c r="Y1552">
        <v>0</v>
      </c>
      <c r="Z1552" s="21">
        <f t="shared" si="182"/>
        <v>0</v>
      </c>
      <c r="AA1552">
        <v>0</v>
      </c>
      <c r="AB1552">
        <v>0</v>
      </c>
      <c r="AC1552" s="21">
        <f t="shared" si="183"/>
        <v>0</v>
      </c>
      <c r="AD1552">
        <v>0</v>
      </c>
      <c r="AE1552">
        <v>0</v>
      </c>
      <c r="AF1552" s="21">
        <f t="shared" si="186"/>
        <v>0</v>
      </c>
    </row>
    <row r="1553" spans="1:32" ht="15" customHeight="1" x14ac:dyDescent="0.3">
      <c r="A1553">
        <v>3</v>
      </c>
      <c r="B1553" s="2" t="s">
        <v>696</v>
      </c>
      <c r="C1553" s="4" t="s">
        <v>691</v>
      </c>
      <c r="D1553" s="3" t="s">
        <v>658</v>
      </c>
      <c r="E1553" s="6" t="s">
        <v>43</v>
      </c>
      <c r="F1553" s="6" t="s">
        <v>348</v>
      </c>
      <c r="G1553" s="6" t="s">
        <v>709</v>
      </c>
      <c r="H1553" s="23">
        <v>28000</v>
      </c>
      <c r="I1553">
        <v>30</v>
      </c>
      <c r="J1553">
        <v>1</v>
      </c>
      <c r="K1553" s="20">
        <f t="shared" si="184"/>
        <v>840000</v>
      </c>
      <c r="L1553">
        <v>0</v>
      </c>
      <c r="M1553">
        <v>0</v>
      </c>
      <c r="N1553" s="21">
        <f t="shared" si="185"/>
        <v>0</v>
      </c>
      <c r="O1553">
        <v>0</v>
      </c>
      <c r="P1553">
        <v>0</v>
      </c>
      <c r="Q1553" s="21">
        <f t="shared" si="179"/>
        <v>0</v>
      </c>
      <c r="R1553">
        <v>0</v>
      </c>
      <c r="S1553">
        <v>0</v>
      </c>
      <c r="T1553" s="21">
        <f t="shared" si="180"/>
        <v>0</v>
      </c>
      <c r="U1553">
        <v>30</v>
      </c>
      <c r="V1553">
        <v>1</v>
      </c>
      <c r="W1553" s="21">
        <f t="shared" si="181"/>
        <v>840000</v>
      </c>
      <c r="X1553">
        <v>0</v>
      </c>
      <c r="Y1553">
        <v>0</v>
      </c>
      <c r="Z1553" s="21">
        <f t="shared" si="182"/>
        <v>0</v>
      </c>
      <c r="AA1553">
        <v>0</v>
      </c>
      <c r="AB1553">
        <v>0</v>
      </c>
      <c r="AC1553" s="21">
        <f t="shared" si="183"/>
        <v>0</v>
      </c>
      <c r="AD1553">
        <v>0</v>
      </c>
      <c r="AE1553">
        <v>0</v>
      </c>
      <c r="AF1553" s="21">
        <f t="shared" si="186"/>
        <v>0</v>
      </c>
    </row>
    <row r="1554" spans="1:32" ht="15" customHeight="1" x14ac:dyDescent="0.3">
      <c r="A1554">
        <v>3</v>
      </c>
      <c r="B1554" s="2" t="s">
        <v>696</v>
      </c>
      <c r="C1554" s="4" t="s">
        <v>691</v>
      </c>
      <c r="D1554" s="3" t="s">
        <v>658</v>
      </c>
      <c r="E1554" s="6" t="s">
        <v>43</v>
      </c>
      <c r="F1554" s="6" t="s">
        <v>351</v>
      </c>
      <c r="G1554" s="6" t="s">
        <v>709</v>
      </c>
      <c r="H1554" s="23">
        <v>28000</v>
      </c>
      <c r="I1554">
        <v>30</v>
      </c>
      <c r="J1554">
        <v>2</v>
      </c>
      <c r="K1554" s="20">
        <f t="shared" si="184"/>
        <v>1680000</v>
      </c>
      <c r="L1554">
        <v>0</v>
      </c>
      <c r="M1554">
        <v>0</v>
      </c>
      <c r="N1554" s="21">
        <f t="shared" si="185"/>
        <v>0</v>
      </c>
      <c r="O1554">
        <v>0</v>
      </c>
      <c r="P1554">
        <v>0</v>
      </c>
      <c r="Q1554" s="21">
        <f t="shared" si="179"/>
        <v>0</v>
      </c>
      <c r="R1554">
        <v>0</v>
      </c>
      <c r="S1554">
        <v>0</v>
      </c>
      <c r="T1554" s="21">
        <f t="shared" si="180"/>
        <v>0</v>
      </c>
      <c r="U1554">
        <v>30</v>
      </c>
      <c r="V1554">
        <v>2</v>
      </c>
      <c r="W1554" s="21">
        <f t="shared" si="181"/>
        <v>1680000</v>
      </c>
      <c r="X1554">
        <v>0</v>
      </c>
      <c r="Y1554">
        <v>0</v>
      </c>
      <c r="Z1554" s="21">
        <f t="shared" si="182"/>
        <v>0</v>
      </c>
      <c r="AA1554">
        <v>0</v>
      </c>
      <c r="AB1554">
        <v>0</v>
      </c>
      <c r="AC1554" s="21">
        <f t="shared" si="183"/>
        <v>0</v>
      </c>
      <c r="AD1554">
        <v>0</v>
      </c>
      <c r="AE1554">
        <v>0</v>
      </c>
      <c r="AF1554" s="21">
        <f t="shared" si="186"/>
        <v>0</v>
      </c>
    </row>
    <row r="1555" spans="1:32" ht="15" customHeight="1" x14ac:dyDescent="0.3">
      <c r="A1555">
        <v>3</v>
      </c>
      <c r="B1555" s="2" t="s">
        <v>696</v>
      </c>
      <c r="C1555" s="4" t="s">
        <v>691</v>
      </c>
      <c r="D1555" s="3" t="s">
        <v>658</v>
      </c>
      <c r="E1555" s="6" t="s">
        <v>43</v>
      </c>
      <c r="F1555" s="6" t="s">
        <v>352</v>
      </c>
      <c r="G1555" s="6" t="s">
        <v>709</v>
      </c>
      <c r="H1555" s="23">
        <v>28000</v>
      </c>
      <c r="I1555">
        <v>40</v>
      </c>
      <c r="J1555">
        <v>4</v>
      </c>
      <c r="K1555" s="20">
        <f t="shared" si="184"/>
        <v>4480000</v>
      </c>
      <c r="L1555">
        <v>0</v>
      </c>
      <c r="M1555">
        <v>0</v>
      </c>
      <c r="N1555" s="21">
        <f t="shared" si="185"/>
        <v>0</v>
      </c>
      <c r="O1555">
        <v>0</v>
      </c>
      <c r="P1555">
        <v>0</v>
      </c>
      <c r="Q1555" s="21">
        <f t="shared" si="179"/>
        <v>0</v>
      </c>
      <c r="R1555">
        <v>0</v>
      </c>
      <c r="S1555">
        <v>0</v>
      </c>
      <c r="T1555" s="21">
        <f t="shared" si="180"/>
        <v>0</v>
      </c>
      <c r="U1555">
        <v>40</v>
      </c>
      <c r="V1555">
        <v>4</v>
      </c>
      <c r="W1555" s="21">
        <f t="shared" si="181"/>
        <v>4480000</v>
      </c>
      <c r="X1555">
        <v>0</v>
      </c>
      <c r="Y1555">
        <v>0</v>
      </c>
      <c r="Z1555" s="21">
        <f t="shared" si="182"/>
        <v>0</v>
      </c>
      <c r="AA1555">
        <v>0</v>
      </c>
      <c r="AB1555">
        <v>0</v>
      </c>
      <c r="AC1555" s="21">
        <f t="shared" si="183"/>
        <v>0</v>
      </c>
      <c r="AD1555">
        <v>0</v>
      </c>
      <c r="AE1555">
        <v>0</v>
      </c>
      <c r="AF1555" s="21">
        <f t="shared" si="186"/>
        <v>0</v>
      </c>
    </row>
    <row r="1556" spans="1:32" ht="15" customHeight="1" x14ac:dyDescent="0.3">
      <c r="A1556">
        <v>3</v>
      </c>
      <c r="B1556" s="2" t="s">
        <v>696</v>
      </c>
      <c r="C1556" s="4" t="s">
        <v>691</v>
      </c>
      <c r="D1556" s="3" t="s">
        <v>658</v>
      </c>
      <c r="E1556" s="6" t="s">
        <v>43</v>
      </c>
      <c r="F1556" s="6" t="s">
        <v>352</v>
      </c>
      <c r="G1556" s="6" t="s">
        <v>716</v>
      </c>
      <c r="H1556" s="23">
        <v>39000</v>
      </c>
      <c r="I1556">
        <v>40</v>
      </c>
      <c r="J1556">
        <v>4</v>
      </c>
      <c r="K1556" s="20">
        <f t="shared" si="184"/>
        <v>6240000</v>
      </c>
      <c r="L1556">
        <v>0</v>
      </c>
      <c r="M1556">
        <v>0</v>
      </c>
      <c r="N1556" s="21">
        <f t="shared" si="185"/>
        <v>0</v>
      </c>
      <c r="O1556">
        <v>0</v>
      </c>
      <c r="P1556">
        <v>0</v>
      </c>
      <c r="Q1556" s="21">
        <f t="shared" si="179"/>
        <v>0</v>
      </c>
      <c r="R1556">
        <v>0</v>
      </c>
      <c r="S1556">
        <v>0</v>
      </c>
      <c r="T1556" s="21">
        <f t="shared" si="180"/>
        <v>0</v>
      </c>
      <c r="U1556">
        <v>40</v>
      </c>
      <c r="V1556">
        <v>4</v>
      </c>
      <c r="W1556" s="21">
        <f t="shared" si="181"/>
        <v>6240000</v>
      </c>
      <c r="X1556">
        <v>0</v>
      </c>
      <c r="Y1556">
        <v>0</v>
      </c>
      <c r="Z1556" s="21">
        <f t="shared" si="182"/>
        <v>0</v>
      </c>
      <c r="AA1556">
        <v>0</v>
      </c>
      <c r="AB1556">
        <v>0</v>
      </c>
      <c r="AC1556" s="21">
        <f t="shared" si="183"/>
        <v>0</v>
      </c>
      <c r="AD1556">
        <v>0</v>
      </c>
      <c r="AE1556">
        <v>0</v>
      </c>
      <c r="AF1556" s="21">
        <f t="shared" si="186"/>
        <v>0</v>
      </c>
    </row>
    <row r="1557" spans="1:32" ht="15" customHeight="1" x14ac:dyDescent="0.3">
      <c r="A1557">
        <v>3</v>
      </c>
      <c r="B1557" s="2" t="s">
        <v>696</v>
      </c>
      <c r="C1557" s="4" t="s">
        <v>691</v>
      </c>
      <c r="D1557" s="3" t="s">
        <v>658</v>
      </c>
      <c r="E1557" s="6" t="s">
        <v>43</v>
      </c>
      <c r="F1557" s="6" t="s">
        <v>352</v>
      </c>
      <c r="G1557" s="6" t="s">
        <v>712</v>
      </c>
      <c r="H1557" s="23">
        <v>214.29</v>
      </c>
      <c r="I1557">
        <v>8000</v>
      </c>
      <c r="J1557">
        <v>1</v>
      </c>
      <c r="K1557" s="20">
        <f t="shared" si="184"/>
        <v>1714320</v>
      </c>
      <c r="L1557">
        <v>0</v>
      </c>
      <c r="M1557">
        <v>0</v>
      </c>
      <c r="N1557" s="21">
        <f t="shared" si="185"/>
        <v>0</v>
      </c>
      <c r="O1557">
        <v>0</v>
      </c>
      <c r="P1557">
        <v>0</v>
      </c>
      <c r="Q1557" s="21">
        <f t="shared" si="179"/>
        <v>0</v>
      </c>
      <c r="R1557">
        <v>0</v>
      </c>
      <c r="S1557">
        <v>0</v>
      </c>
      <c r="T1557" s="21">
        <f t="shared" si="180"/>
        <v>0</v>
      </c>
      <c r="U1557">
        <v>8000</v>
      </c>
      <c r="V1557">
        <v>1</v>
      </c>
      <c r="W1557" s="21">
        <f t="shared" si="181"/>
        <v>1714320</v>
      </c>
      <c r="X1557">
        <v>0</v>
      </c>
      <c r="Y1557">
        <v>0</v>
      </c>
      <c r="Z1557" s="21">
        <f t="shared" si="182"/>
        <v>0</v>
      </c>
      <c r="AA1557">
        <v>0</v>
      </c>
      <c r="AB1557">
        <v>0</v>
      </c>
      <c r="AC1557" s="21">
        <f t="shared" si="183"/>
        <v>0</v>
      </c>
      <c r="AD1557">
        <v>0</v>
      </c>
      <c r="AE1557">
        <v>0</v>
      </c>
      <c r="AF1557" s="21">
        <f t="shared" si="186"/>
        <v>0</v>
      </c>
    </row>
    <row r="1558" spans="1:32" ht="15" customHeight="1" x14ac:dyDescent="0.3">
      <c r="A1558">
        <v>3</v>
      </c>
      <c r="B1558" s="2" t="s">
        <v>696</v>
      </c>
      <c r="C1558" s="4" t="s">
        <v>691</v>
      </c>
      <c r="D1558" s="3" t="s">
        <v>658</v>
      </c>
      <c r="E1558" s="6" t="s">
        <v>44</v>
      </c>
      <c r="F1558" s="6" t="s">
        <v>353</v>
      </c>
      <c r="G1558" s="6" t="s">
        <v>716</v>
      </c>
      <c r="H1558" s="23">
        <v>39000</v>
      </c>
      <c r="I1558">
        <v>0</v>
      </c>
      <c r="J1558">
        <v>0</v>
      </c>
      <c r="K1558" s="20">
        <f t="shared" si="184"/>
        <v>0</v>
      </c>
      <c r="L1558">
        <v>200</v>
      </c>
      <c r="M1558">
        <v>3</v>
      </c>
      <c r="N1558" s="21">
        <f t="shared" si="185"/>
        <v>23400000</v>
      </c>
      <c r="O1558">
        <v>200</v>
      </c>
      <c r="P1558">
        <v>3</v>
      </c>
      <c r="Q1558" s="21">
        <f t="shared" si="179"/>
        <v>23400000</v>
      </c>
      <c r="R1558">
        <v>200</v>
      </c>
      <c r="S1558">
        <v>3</v>
      </c>
      <c r="T1558" s="21">
        <f t="shared" si="180"/>
        <v>23400000</v>
      </c>
      <c r="U1558">
        <v>200</v>
      </c>
      <c r="V1558">
        <v>3</v>
      </c>
      <c r="W1558" s="21">
        <f t="shared" si="181"/>
        <v>23400000</v>
      </c>
      <c r="X1558">
        <v>0</v>
      </c>
      <c r="Y1558">
        <v>0</v>
      </c>
      <c r="Z1558" s="21">
        <f t="shared" si="182"/>
        <v>0</v>
      </c>
      <c r="AA1558">
        <v>0</v>
      </c>
      <c r="AB1558">
        <v>0</v>
      </c>
      <c r="AC1558" s="21">
        <f t="shared" si="183"/>
        <v>0</v>
      </c>
      <c r="AD1558">
        <v>0</v>
      </c>
      <c r="AE1558">
        <v>0</v>
      </c>
      <c r="AF1558" s="21">
        <f t="shared" si="186"/>
        <v>0</v>
      </c>
    </row>
    <row r="1559" spans="1:32" ht="15" customHeight="1" x14ac:dyDescent="0.3">
      <c r="A1559">
        <v>3</v>
      </c>
      <c r="B1559" s="2" t="s">
        <v>696</v>
      </c>
      <c r="C1559" s="4" t="s">
        <v>691</v>
      </c>
      <c r="D1559" s="3" t="s">
        <v>658</v>
      </c>
      <c r="E1559" s="6" t="s">
        <v>44</v>
      </c>
      <c r="F1559" s="6" t="s">
        <v>353</v>
      </c>
      <c r="G1559" s="6" t="s">
        <v>709</v>
      </c>
      <c r="H1559" s="23">
        <v>28000</v>
      </c>
      <c r="I1559">
        <v>0</v>
      </c>
      <c r="J1559">
        <v>0</v>
      </c>
      <c r="K1559" s="20">
        <f t="shared" si="184"/>
        <v>0</v>
      </c>
      <c r="L1559">
        <v>200</v>
      </c>
      <c r="M1559">
        <v>3</v>
      </c>
      <c r="N1559" s="21">
        <f t="shared" si="185"/>
        <v>16800000</v>
      </c>
      <c r="O1559">
        <v>200</v>
      </c>
      <c r="P1559">
        <v>3</v>
      </c>
      <c r="Q1559" s="21">
        <f t="shared" si="179"/>
        <v>16800000</v>
      </c>
      <c r="R1559">
        <v>200</v>
      </c>
      <c r="S1559">
        <v>3</v>
      </c>
      <c r="T1559" s="21">
        <f t="shared" si="180"/>
        <v>16800000</v>
      </c>
      <c r="U1559">
        <v>200</v>
      </c>
      <c r="V1559">
        <v>3</v>
      </c>
      <c r="W1559" s="21">
        <f t="shared" si="181"/>
        <v>16800000</v>
      </c>
      <c r="X1559">
        <v>0</v>
      </c>
      <c r="Y1559">
        <v>0</v>
      </c>
      <c r="Z1559" s="21">
        <f t="shared" si="182"/>
        <v>0</v>
      </c>
      <c r="AA1559">
        <v>0</v>
      </c>
      <c r="AB1559">
        <v>0</v>
      </c>
      <c r="AC1559" s="21">
        <f t="shared" si="183"/>
        <v>0</v>
      </c>
      <c r="AD1559">
        <v>0</v>
      </c>
      <c r="AE1559">
        <v>0</v>
      </c>
      <c r="AF1559" s="21">
        <f t="shared" si="186"/>
        <v>0</v>
      </c>
    </row>
    <row r="1560" spans="1:32" ht="15" customHeight="1" x14ac:dyDescent="0.3">
      <c r="A1560">
        <v>3</v>
      </c>
      <c r="B1560" s="2" t="s">
        <v>696</v>
      </c>
      <c r="C1560" s="4" t="s">
        <v>691</v>
      </c>
      <c r="D1560" s="3" t="s">
        <v>658</v>
      </c>
      <c r="E1560" s="6" t="s">
        <v>44</v>
      </c>
      <c r="F1560" s="6" t="s">
        <v>353</v>
      </c>
      <c r="G1560" s="6" t="s">
        <v>712</v>
      </c>
      <c r="H1560" s="23">
        <v>214.29</v>
      </c>
      <c r="I1560">
        <v>0</v>
      </c>
      <c r="J1560">
        <v>0</v>
      </c>
      <c r="K1560" s="20">
        <f t="shared" si="184"/>
        <v>0</v>
      </c>
      <c r="L1560">
        <v>60000</v>
      </c>
      <c r="M1560">
        <v>1</v>
      </c>
      <c r="N1560" s="21">
        <f t="shared" si="185"/>
        <v>12857400</v>
      </c>
      <c r="O1560">
        <v>60000</v>
      </c>
      <c r="P1560">
        <v>1</v>
      </c>
      <c r="Q1560" s="21">
        <f t="shared" si="179"/>
        <v>12857400</v>
      </c>
      <c r="R1560">
        <v>60000</v>
      </c>
      <c r="S1560">
        <v>1</v>
      </c>
      <c r="T1560" s="21">
        <f t="shared" si="180"/>
        <v>12857400</v>
      </c>
      <c r="U1560">
        <v>60000</v>
      </c>
      <c r="V1560">
        <v>1</v>
      </c>
      <c r="W1560" s="21">
        <f t="shared" si="181"/>
        <v>12857400</v>
      </c>
      <c r="X1560">
        <v>0</v>
      </c>
      <c r="Y1560">
        <v>0</v>
      </c>
      <c r="Z1560" s="21">
        <f t="shared" si="182"/>
        <v>0</v>
      </c>
      <c r="AA1560">
        <v>0</v>
      </c>
      <c r="AB1560">
        <v>0</v>
      </c>
      <c r="AC1560" s="21">
        <f t="shared" si="183"/>
        <v>0</v>
      </c>
      <c r="AD1560">
        <v>0</v>
      </c>
      <c r="AE1560">
        <v>0</v>
      </c>
      <c r="AF1560" s="21">
        <f t="shared" si="186"/>
        <v>0</v>
      </c>
    </row>
    <row r="1561" spans="1:32" ht="15" customHeight="1" x14ac:dyDescent="0.3">
      <c r="A1561">
        <v>3</v>
      </c>
      <c r="B1561" s="2" t="s">
        <v>696</v>
      </c>
      <c r="C1561" s="4" t="s">
        <v>691</v>
      </c>
      <c r="D1561" s="3" t="s">
        <v>658</v>
      </c>
      <c r="E1561" s="6" t="s">
        <v>45</v>
      </c>
      <c r="F1561" s="6" t="s">
        <v>354</v>
      </c>
      <c r="G1561" s="6" t="s">
        <v>718</v>
      </c>
      <c r="H1561" s="23">
        <v>0</v>
      </c>
      <c r="I1561">
        <v>0</v>
      </c>
      <c r="J1561">
        <v>0</v>
      </c>
      <c r="K1561" s="20">
        <f t="shared" si="184"/>
        <v>0</v>
      </c>
      <c r="L1561">
        <v>0</v>
      </c>
      <c r="M1561">
        <v>0</v>
      </c>
      <c r="N1561" s="21">
        <f t="shared" si="185"/>
        <v>0</v>
      </c>
      <c r="O1561">
        <v>0</v>
      </c>
      <c r="P1561">
        <v>0</v>
      </c>
      <c r="Q1561" s="21">
        <f t="shared" si="179"/>
        <v>0</v>
      </c>
      <c r="R1561">
        <v>0</v>
      </c>
      <c r="S1561">
        <v>0</v>
      </c>
      <c r="T1561" s="21">
        <f t="shared" si="180"/>
        <v>0</v>
      </c>
      <c r="U1561">
        <v>0</v>
      </c>
      <c r="V1561">
        <v>0</v>
      </c>
      <c r="W1561" s="21">
        <f t="shared" si="181"/>
        <v>0</v>
      </c>
      <c r="X1561">
        <v>0</v>
      </c>
      <c r="Y1561">
        <v>0</v>
      </c>
      <c r="Z1561" s="21">
        <f t="shared" si="182"/>
        <v>0</v>
      </c>
      <c r="AA1561">
        <v>0</v>
      </c>
      <c r="AB1561">
        <v>0</v>
      </c>
      <c r="AC1561" s="21">
        <f t="shared" si="183"/>
        <v>0</v>
      </c>
      <c r="AD1561">
        <v>0</v>
      </c>
      <c r="AE1561">
        <v>0</v>
      </c>
      <c r="AF1561" s="21">
        <f t="shared" si="186"/>
        <v>0</v>
      </c>
    </row>
    <row r="1562" spans="1:32" ht="15" customHeight="1" x14ac:dyDescent="0.3">
      <c r="A1562">
        <v>3</v>
      </c>
      <c r="B1562" s="2" t="s">
        <v>696</v>
      </c>
      <c r="C1562" s="4" t="s">
        <v>691</v>
      </c>
      <c r="D1562" s="3" t="s">
        <v>658</v>
      </c>
      <c r="E1562" s="6" t="s">
        <v>45</v>
      </c>
      <c r="F1562" s="6" t="s">
        <v>355</v>
      </c>
      <c r="G1562" s="6" t="s">
        <v>718</v>
      </c>
      <c r="H1562" s="23">
        <v>0</v>
      </c>
      <c r="I1562">
        <v>0</v>
      </c>
      <c r="J1562">
        <v>0</v>
      </c>
      <c r="K1562" s="20">
        <f t="shared" si="184"/>
        <v>0</v>
      </c>
      <c r="L1562">
        <v>0</v>
      </c>
      <c r="M1562">
        <v>0</v>
      </c>
      <c r="N1562" s="21">
        <f t="shared" si="185"/>
        <v>0</v>
      </c>
      <c r="O1562">
        <v>0</v>
      </c>
      <c r="P1562">
        <v>0</v>
      </c>
      <c r="Q1562" s="21">
        <f t="shared" si="179"/>
        <v>0</v>
      </c>
      <c r="R1562">
        <v>0</v>
      </c>
      <c r="S1562">
        <v>0</v>
      </c>
      <c r="T1562" s="21">
        <f t="shared" si="180"/>
        <v>0</v>
      </c>
      <c r="U1562">
        <v>0</v>
      </c>
      <c r="V1562">
        <v>0</v>
      </c>
      <c r="W1562" s="21">
        <f t="shared" si="181"/>
        <v>0</v>
      </c>
      <c r="X1562">
        <v>0</v>
      </c>
      <c r="Y1562">
        <v>0</v>
      </c>
      <c r="Z1562" s="21">
        <f t="shared" si="182"/>
        <v>0</v>
      </c>
      <c r="AA1562">
        <v>0</v>
      </c>
      <c r="AB1562">
        <v>0</v>
      </c>
      <c r="AC1562" s="21">
        <f t="shared" si="183"/>
        <v>0</v>
      </c>
      <c r="AD1562">
        <v>0</v>
      </c>
      <c r="AE1562">
        <v>0</v>
      </c>
      <c r="AF1562" s="21">
        <f t="shared" si="186"/>
        <v>0</v>
      </c>
    </row>
    <row r="1563" spans="1:32" ht="15" customHeight="1" x14ac:dyDescent="0.3">
      <c r="A1563">
        <v>3</v>
      </c>
      <c r="B1563" s="2" t="s">
        <v>696</v>
      </c>
      <c r="C1563" s="4" t="s">
        <v>691</v>
      </c>
      <c r="D1563" s="3" t="s">
        <v>658</v>
      </c>
      <c r="E1563" s="6" t="s">
        <v>45</v>
      </c>
      <c r="F1563" s="6" t="s">
        <v>356</v>
      </c>
      <c r="G1563" s="6" t="s">
        <v>707</v>
      </c>
      <c r="H1563" s="23">
        <v>391991.03749999998</v>
      </c>
      <c r="I1563">
        <v>0</v>
      </c>
      <c r="J1563">
        <v>0</v>
      </c>
      <c r="K1563" s="20">
        <f t="shared" si="184"/>
        <v>0</v>
      </c>
      <c r="L1563">
        <v>1</v>
      </c>
      <c r="M1563">
        <v>4</v>
      </c>
      <c r="N1563" s="21">
        <f t="shared" si="185"/>
        <v>1567964.15</v>
      </c>
      <c r="O1563">
        <v>0</v>
      </c>
      <c r="P1563">
        <v>0</v>
      </c>
      <c r="Q1563" s="21">
        <f t="shared" si="179"/>
        <v>0</v>
      </c>
      <c r="R1563">
        <v>0</v>
      </c>
      <c r="S1563">
        <v>0</v>
      </c>
      <c r="T1563" s="21">
        <f t="shared" si="180"/>
        <v>0</v>
      </c>
      <c r="U1563">
        <v>0</v>
      </c>
      <c r="V1563">
        <v>0</v>
      </c>
      <c r="W1563" s="21">
        <f t="shared" si="181"/>
        <v>0</v>
      </c>
      <c r="X1563">
        <v>0</v>
      </c>
      <c r="Y1563">
        <v>0</v>
      </c>
      <c r="Z1563" s="21">
        <f t="shared" si="182"/>
        <v>0</v>
      </c>
      <c r="AA1563">
        <v>0</v>
      </c>
      <c r="AB1563">
        <v>0</v>
      </c>
      <c r="AC1563" s="21">
        <f t="shared" si="183"/>
        <v>0</v>
      </c>
      <c r="AD1563">
        <v>0</v>
      </c>
      <c r="AE1563">
        <v>0</v>
      </c>
      <c r="AF1563" s="21">
        <f t="shared" si="186"/>
        <v>0</v>
      </c>
    </row>
    <row r="1564" spans="1:32" ht="15" customHeight="1" x14ac:dyDescent="0.3">
      <c r="A1564">
        <v>3</v>
      </c>
      <c r="B1564" s="2" t="s">
        <v>696</v>
      </c>
      <c r="C1564" s="4" t="s">
        <v>691</v>
      </c>
      <c r="D1564" s="3" t="s">
        <v>658</v>
      </c>
      <c r="E1564" s="6" t="s">
        <v>45</v>
      </c>
      <c r="F1564" s="6" t="s">
        <v>356</v>
      </c>
      <c r="G1564" s="6" t="s">
        <v>708</v>
      </c>
      <c r="H1564" s="23">
        <v>425000</v>
      </c>
      <c r="I1564">
        <v>0</v>
      </c>
      <c r="J1564">
        <v>0</v>
      </c>
      <c r="K1564" s="20">
        <f t="shared" si="184"/>
        <v>0</v>
      </c>
      <c r="L1564">
        <v>1</v>
      </c>
      <c r="M1564">
        <v>40</v>
      </c>
      <c r="N1564" s="21">
        <f t="shared" si="185"/>
        <v>17000000</v>
      </c>
      <c r="O1564">
        <v>0</v>
      </c>
      <c r="P1564">
        <v>0</v>
      </c>
      <c r="Q1564" s="21">
        <f t="shared" si="179"/>
        <v>0</v>
      </c>
      <c r="R1564">
        <v>0</v>
      </c>
      <c r="S1564">
        <v>0</v>
      </c>
      <c r="T1564" s="21">
        <f t="shared" si="180"/>
        <v>0</v>
      </c>
      <c r="U1564">
        <v>0</v>
      </c>
      <c r="V1564">
        <v>0</v>
      </c>
      <c r="W1564" s="21">
        <f t="shared" si="181"/>
        <v>0</v>
      </c>
      <c r="X1564">
        <v>0</v>
      </c>
      <c r="Y1564">
        <v>0</v>
      </c>
      <c r="Z1564" s="21">
        <f t="shared" si="182"/>
        <v>0</v>
      </c>
      <c r="AA1564">
        <v>0</v>
      </c>
      <c r="AB1564">
        <v>0</v>
      </c>
      <c r="AC1564" s="21">
        <f t="shared" si="183"/>
        <v>0</v>
      </c>
      <c r="AD1564">
        <v>0</v>
      </c>
      <c r="AE1564">
        <v>0</v>
      </c>
      <c r="AF1564" s="21">
        <f t="shared" si="186"/>
        <v>0</v>
      </c>
    </row>
    <row r="1565" spans="1:32" ht="15" customHeight="1" x14ac:dyDescent="0.3">
      <c r="A1565">
        <v>3</v>
      </c>
      <c r="B1565" s="2" t="s">
        <v>696</v>
      </c>
      <c r="C1565" s="4" t="s">
        <v>691</v>
      </c>
      <c r="D1565" s="3" t="s">
        <v>658</v>
      </c>
      <c r="E1565" s="6" t="s">
        <v>45</v>
      </c>
      <c r="F1565" s="6" t="s">
        <v>357</v>
      </c>
      <c r="G1565" s="6" t="s">
        <v>709</v>
      </c>
      <c r="H1565" s="23">
        <v>28000</v>
      </c>
      <c r="I1565">
        <v>0</v>
      </c>
      <c r="J1565">
        <v>0</v>
      </c>
      <c r="K1565" s="20">
        <f t="shared" si="184"/>
        <v>0</v>
      </c>
      <c r="L1565">
        <v>15</v>
      </c>
      <c r="M1565">
        <v>1</v>
      </c>
      <c r="N1565" s="21">
        <f t="shared" si="185"/>
        <v>420000</v>
      </c>
      <c r="O1565">
        <v>0</v>
      </c>
      <c r="P1565">
        <v>0</v>
      </c>
      <c r="Q1565" s="21">
        <f t="shared" si="179"/>
        <v>0</v>
      </c>
      <c r="R1565">
        <v>0</v>
      </c>
      <c r="S1565">
        <v>0</v>
      </c>
      <c r="T1565" s="21">
        <f t="shared" si="180"/>
        <v>0</v>
      </c>
      <c r="U1565">
        <v>0</v>
      </c>
      <c r="V1565">
        <v>0</v>
      </c>
      <c r="W1565" s="21">
        <f t="shared" si="181"/>
        <v>0</v>
      </c>
      <c r="X1565">
        <v>0</v>
      </c>
      <c r="Y1565">
        <v>0</v>
      </c>
      <c r="Z1565" s="21">
        <f t="shared" si="182"/>
        <v>0</v>
      </c>
      <c r="AA1565">
        <v>0</v>
      </c>
      <c r="AB1565">
        <v>0</v>
      </c>
      <c r="AC1565" s="21">
        <f t="shared" si="183"/>
        <v>0</v>
      </c>
      <c r="AD1565">
        <v>0</v>
      </c>
      <c r="AE1565">
        <v>0</v>
      </c>
      <c r="AF1565" s="21">
        <f t="shared" si="186"/>
        <v>0</v>
      </c>
    </row>
    <row r="1566" spans="1:32" ht="15" customHeight="1" x14ac:dyDescent="0.3">
      <c r="A1566">
        <v>3</v>
      </c>
      <c r="B1566" s="2" t="s">
        <v>696</v>
      </c>
      <c r="C1566" s="4" t="s">
        <v>691</v>
      </c>
      <c r="D1566" s="3" t="s">
        <v>658</v>
      </c>
      <c r="E1566" s="6" t="s">
        <v>45</v>
      </c>
      <c r="F1566" s="6" t="s">
        <v>756</v>
      </c>
      <c r="G1566" s="6" t="s">
        <v>712</v>
      </c>
      <c r="H1566" s="23">
        <v>214.29</v>
      </c>
      <c r="I1566">
        <v>0</v>
      </c>
      <c r="J1566">
        <v>0</v>
      </c>
      <c r="K1566" s="20">
        <f t="shared" si="184"/>
        <v>0</v>
      </c>
      <c r="L1566">
        <v>500</v>
      </c>
      <c r="M1566">
        <v>1</v>
      </c>
      <c r="N1566" s="21">
        <f t="shared" si="185"/>
        <v>107145</v>
      </c>
      <c r="O1566">
        <v>0</v>
      </c>
      <c r="P1566">
        <v>0</v>
      </c>
      <c r="Q1566" s="21">
        <f t="shared" si="179"/>
        <v>0</v>
      </c>
      <c r="R1566">
        <v>0</v>
      </c>
      <c r="S1566">
        <v>0</v>
      </c>
      <c r="T1566" s="21">
        <f t="shared" si="180"/>
        <v>0</v>
      </c>
      <c r="U1566">
        <v>0</v>
      </c>
      <c r="V1566">
        <v>0</v>
      </c>
      <c r="W1566" s="21">
        <f t="shared" si="181"/>
        <v>0</v>
      </c>
      <c r="X1566">
        <v>0</v>
      </c>
      <c r="Y1566">
        <v>0</v>
      </c>
      <c r="Z1566" s="21">
        <f t="shared" si="182"/>
        <v>0</v>
      </c>
      <c r="AA1566">
        <v>0</v>
      </c>
      <c r="AB1566">
        <v>0</v>
      </c>
      <c r="AC1566" s="21">
        <f t="shared" si="183"/>
        <v>0</v>
      </c>
      <c r="AD1566">
        <v>0</v>
      </c>
      <c r="AE1566">
        <v>0</v>
      </c>
      <c r="AF1566" s="21">
        <f t="shared" si="186"/>
        <v>0</v>
      </c>
    </row>
    <row r="1567" spans="1:32" ht="15" customHeight="1" x14ac:dyDescent="0.3">
      <c r="A1567">
        <v>3</v>
      </c>
      <c r="B1567" s="2" t="s">
        <v>696</v>
      </c>
      <c r="C1567" s="4" t="s">
        <v>691</v>
      </c>
      <c r="D1567" s="3" t="s">
        <v>658</v>
      </c>
      <c r="E1567" s="6" t="s">
        <v>45</v>
      </c>
      <c r="F1567" s="6" t="s">
        <v>358</v>
      </c>
      <c r="G1567" s="6" t="s">
        <v>709</v>
      </c>
      <c r="H1567" s="23">
        <v>28000</v>
      </c>
      <c r="I1567">
        <v>0</v>
      </c>
      <c r="J1567">
        <v>0</v>
      </c>
      <c r="K1567" s="20">
        <f t="shared" si="184"/>
        <v>0</v>
      </c>
      <c r="L1567">
        <v>15</v>
      </c>
      <c r="M1567">
        <v>2</v>
      </c>
      <c r="N1567" s="21">
        <f t="shared" si="185"/>
        <v>840000</v>
      </c>
      <c r="O1567">
        <v>0</v>
      </c>
      <c r="P1567">
        <v>0</v>
      </c>
      <c r="Q1567" s="21">
        <f t="shared" si="179"/>
        <v>0</v>
      </c>
      <c r="R1567">
        <v>0</v>
      </c>
      <c r="S1567">
        <v>0</v>
      </c>
      <c r="T1567" s="21">
        <f t="shared" si="180"/>
        <v>0</v>
      </c>
      <c r="U1567">
        <v>0</v>
      </c>
      <c r="V1567">
        <v>0</v>
      </c>
      <c r="W1567" s="21">
        <f t="shared" si="181"/>
        <v>0</v>
      </c>
      <c r="X1567">
        <v>0</v>
      </c>
      <c r="Y1567">
        <v>0</v>
      </c>
      <c r="Z1567" s="21">
        <f t="shared" si="182"/>
        <v>0</v>
      </c>
      <c r="AA1567">
        <v>0</v>
      </c>
      <c r="AB1567">
        <v>0</v>
      </c>
      <c r="AC1567" s="21">
        <f t="shared" si="183"/>
        <v>0</v>
      </c>
      <c r="AD1567">
        <v>0</v>
      </c>
      <c r="AE1567">
        <v>0</v>
      </c>
      <c r="AF1567" s="21">
        <f t="shared" si="186"/>
        <v>0</v>
      </c>
    </row>
    <row r="1568" spans="1:32" ht="15" customHeight="1" x14ac:dyDescent="0.3">
      <c r="A1568">
        <v>3</v>
      </c>
      <c r="B1568" s="2" t="s">
        <v>696</v>
      </c>
      <c r="C1568" s="4" t="s">
        <v>691</v>
      </c>
      <c r="D1568" s="3" t="s">
        <v>658</v>
      </c>
      <c r="E1568" s="6" t="s">
        <v>45</v>
      </c>
      <c r="F1568" s="6" t="s">
        <v>358</v>
      </c>
      <c r="G1568" s="6" t="s">
        <v>712</v>
      </c>
      <c r="H1568" s="23">
        <v>214.29</v>
      </c>
      <c r="I1568">
        <v>0</v>
      </c>
      <c r="J1568">
        <v>0</v>
      </c>
      <c r="K1568" s="20">
        <f t="shared" si="184"/>
        <v>0</v>
      </c>
      <c r="L1568">
        <v>500</v>
      </c>
      <c r="M1568">
        <v>1</v>
      </c>
      <c r="N1568" s="21">
        <f t="shared" si="185"/>
        <v>107145</v>
      </c>
      <c r="O1568">
        <v>0</v>
      </c>
      <c r="P1568">
        <v>0</v>
      </c>
      <c r="Q1568" s="21">
        <f t="shared" si="179"/>
        <v>0</v>
      </c>
      <c r="R1568">
        <v>0</v>
      </c>
      <c r="S1568">
        <v>0</v>
      </c>
      <c r="T1568" s="21">
        <f t="shared" si="180"/>
        <v>0</v>
      </c>
      <c r="U1568">
        <v>0</v>
      </c>
      <c r="V1568">
        <v>0</v>
      </c>
      <c r="W1568" s="21">
        <f t="shared" si="181"/>
        <v>0</v>
      </c>
      <c r="X1568">
        <v>0</v>
      </c>
      <c r="Y1568">
        <v>0</v>
      </c>
      <c r="Z1568" s="21">
        <f t="shared" si="182"/>
        <v>0</v>
      </c>
      <c r="AA1568">
        <v>0</v>
      </c>
      <c r="AB1568">
        <v>0</v>
      </c>
      <c r="AC1568" s="21">
        <f t="shared" si="183"/>
        <v>0</v>
      </c>
      <c r="AD1568">
        <v>0</v>
      </c>
      <c r="AE1568">
        <v>0</v>
      </c>
      <c r="AF1568" s="21">
        <f t="shared" si="186"/>
        <v>0</v>
      </c>
    </row>
    <row r="1569" spans="1:32" ht="15" customHeight="1" x14ac:dyDescent="0.3">
      <c r="A1569">
        <v>3</v>
      </c>
      <c r="B1569" s="2" t="s">
        <v>696</v>
      </c>
      <c r="C1569" s="4" t="s">
        <v>691</v>
      </c>
      <c r="D1569" s="3" t="s">
        <v>658</v>
      </c>
      <c r="E1569" s="6" t="s">
        <v>45</v>
      </c>
      <c r="F1569" s="6" t="s">
        <v>359</v>
      </c>
      <c r="G1569" s="6" t="s">
        <v>716</v>
      </c>
      <c r="H1569" s="23">
        <v>39000</v>
      </c>
      <c r="I1569">
        <v>0</v>
      </c>
      <c r="J1569">
        <v>0</v>
      </c>
      <c r="K1569" s="20">
        <f t="shared" si="184"/>
        <v>0</v>
      </c>
      <c r="L1569">
        <v>80</v>
      </c>
      <c r="M1569">
        <v>5</v>
      </c>
      <c r="N1569" s="21">
        <f t="shared" si="185"/>
        <v>15600000</v>
      </c>
      <c r="O1569">
        <v>0</v>
      </c>
      <c r="P1569">
        <v>0</v>
      </c>
      <c r="Q1569" s="21">
        <f t="shared" si="179"/>
        <v>0</v>
      </c>
      <c r="R1569">
        <v>0</v>
      </c>
      <c r="S1569">
        <v>0</v>
      </c>
      <c r="T1569" s="21">
        <f t="shared" si="180"/>
        <v>0</v>
      </c>
      <c r="U1569">
        <v>0</v>
      </c>
      <c r="V1569">
        <v>0</v>
      </c>
      <c r="W1569" s="21">
        <f t="shared" si="181"/>
        <v>0</v>
      </c>
      <c r="X1569">
        <v>0</v>
      </c>
      <c r="Y1569">
        <v>0</v>
      </c>
      <c r="Z1569" s="21">
        <f t="shared" si="182"/>
        <v>0</v>
      </c>
      <c r="AA1569">
        <v>0</v>
      </c>
      <c r="AB1569">
        <v>0</v>
      </c>
      <c r="AC1569" s="21">
        <f t="shared" si="183"/>
        <v>0</v>
      </c>
      <c r="AD1569">
        <v>0</v>
      </c>
      <c r="AE1569">
        <v>0</v>
      </c>
      <c r="AF1569" s="21">
        <f t="shared" si="186"/>
        <v>0</v>
      </c>
    </row>
    <row r="1570" spans="1:32" ht="15" customHeight="1" x14ac:dyDescent="0.3">
      <c r="A1570">
        <v>3</v>
      </c>
      <c r="B1570" s="2" t="s">
        <v>696</v>
      </c>
      <c r="C1570" s="4" t="s">
        <v>691</v>
      </c>
      <c r="D1570" s="3" t="s">
        <v>658</v>
      </c>
      <c r="E1570" s="6" t="s">
        <v>45</v>
      </c>
      <c r="F1570" s="6" t="s">
        <v>757</v>
      </c>
      <c r="G1570" s="6" t="s">
        <v>709</v>
      </c>
      <c r="H1570" s="23">
        <v>28000</v>
      </c>
      <c r="I1570">
        <v>0</v>
      </c>
      <c r="J1570">
        <v>0</v>
      </c>
      <c r="K1570" s="20">
        <f t="shared" si="184"/>
        <v>0</v>
      </c>
      <c r="L1570">
        <v>80</v>
      </c>
      <c r="M1570">
        <v>5</v>
      </c>
      <c r="N1570" s="21">
        <f t="shared" si="185"/>
        <v>11200000</v>
      </c>
      <c r="O1570">
        <v>0</v>
      </c>
      <c r="P1570">
        <v>0</v>
      </c>
      <c r="Q1570" s="21">
        <f t="shared" si="179"/>
        <v>0</v>
      </c>
      <c r="R1570">
        <v>0</v>
      </c>
      <c r="S1570">
        <v>0</v>
      </c>
      <c r="T1570" s="21">
        <f t="shared" si="180"/>
        <v>0</v>
      </c>
      <c r="U1570">
        <v>0</v>
      </c>
      <c r="V1570">
        <v>0</v>
      </c>
      <c r="W1570" s="21">
        <f t="shared" si="181"/>
        <v>0</v>
      </c>
      <c r="X1570">
        <v>0</v>
      </c>
      <c r="Y1570">
        <v>0</v>
      </c>
      <c r="Z1570" s="21">
        <f t="shared" si="182"/>
        <v>0</v>
      </c>
      <c r="AA1570">
        <v>0</v>
      </c>
      <c r="AB1570">
        <v>0</v>
      </c>
      <c r="AC1570" s="21">
        <f t="shared" si="183"/>
        <v>0</v>
      </c>
      <c r="AD1570">
        <v>0</v>
      </c>
      <c r="AE1570">
        <v>0</v>
      </c>
      <c r="AF1570" s="21">
        <f t="shared" si="186"/>
        <v>0</v>
      </c>
    </row>
    <row r="1571" spans="1:32" ht="15" customHeight="1" x14ac:dyDescent="0.3">
      <c r="A1571">
        <v>3</v>
      </c>
      <c r="B1571" s="2" t="s">
        <v>696</v>
      </c>
      <c r="C1571" s="4" t="s">
        <v>691</v>
      </c>
      <c r="D1571" s="3" t="s">
        <v>658</v>
      </c>
      <c r="E1571" s="6" t="s">
        <v>45</v>
      </c>
      <c r="F1571" s="6" t="s">
        <v>758</v>
      </c>
      <c r="G1571" s="6" t="s">
        <v>712</v>
      </c>
      <c r="H1571" s="23">
        <v>214.29</v>
      </c>
      <c r="I1571">
        <v>0</v>
      </c>
      <c r="J1571">
        <v>0</v>
      </c>
      <c r="K1571" s="20">
        <f t="shared" si="184"/>
        <v>0</v>
      </c>
      <c r="L1571">
        <v>15000</v>
      </c>
      <c r="M1571">
        <v>1</v>
      </c>
      <c r="N1571" s="21">
        <f t="shared" si="185"/>
        <v>3214350</v>
      </c>
      <c r="O1571">
        <v>0</v>
      </c>
      <c r="P1571">
        <v>0</v>
      </c>
      <c r="Q1571" s="21">
        <f t="shared" si="179"/>
        <v>0</v>
      </c>
      <c r="R1571">
        <v>0</v>
      </c>
      <c r="S1571">
        <v>0</v>
      </c>
      <c r="T1571" s="21">
        <f t="shared" si="180"/>
        <v>0</v>
      </c>
      <c r="U1571">
        <v>0</v>
      </c>
      <c r="V1571">
        <v>0</v>
      </c>
      <c r="W1571" s="21">
        <f t="shared" si="181"/>
        <v>0</v>
      </c>
      <c r="X1571">
        <v>0</v>
      </c>
      <c r="Y1571">
        <v>0</v>
      </c>
      <c r="Z1571" s="21">
        <f t="shared" si="182"/>
        <v>0</v>
      </c>
      <c r="AA1571">
        <v>0</v>
      </c>
      <c r="AB1571">
        <v>0</v>
      </c>
      <c r="AC1571" s="21">
        <f t="shared" si="183"/>
        <v>0</v>
      </c>
      <c r="AD1571">
        <v>0</v>
      </c>
      <c r="AE1571">
        <v>0</v>
      </c>
      <c r="AF1571" s="21">
        <f t="shared" si="186"/>
        <v>0</v>
      </c>
    </row>
    <row r="1572" spans="1:32" ht="15" customHeight="1" x14ac:dyDescent="0.3">
      <c r="A1572">
        <v>3</v>
      </c>
      <c r="B1572" s="2" t="s">
        <v>696</v>
      </c>
      <c r="C1572" s="4" t="s">
        <v>691</v>
      </c>
      <c r="D1572" s="3" t="s">
        <v>658</v>
      </c>
      <c r="E1572" s="6" t="s">
        <v>45</v>
      </c>
      <c r="F1572" s="6" t="s">
        <v>360</v>
      </c>
      <c r="G1572" s="6" t="s">
        <v>709</v>
      </c>
      <c r="H1572" s="23">
        <v>28000</v>
      </c>
      <c r="I1572">
        <v>0</v>
      </c>
      <c r="J1572">
        <v>0</v>
      </c>
      <c r="K1572" s="20">
        <f t="shared" si="184"/>
        <v>0</v>
      </c>
      <c r="L1572">
        <v>80</v>
      </c>
      <c r="M1572">
        <v>1</v>
      </c>
      <c r="N1572" s="21">
        <f t="shared" si="185"/>
        <v>2240000</v>
      </c>
      <c r="O1572">
        <v>0</v>
      </c>
      <c r="P1572">
        <v>0</v>
      </c>
      <c r="Q1572" s="21">
        <f t="shared" si="179"/>
        <v>0</v>
      </c>
      <c r="R1572">
        <v>0</v>
      </c>
      <c r="S1572">
        <v>0</v>
      </c>
      <c r="T1572" s="21">
        <f t="shared" si="180"/>
        <v>0</v>
      </c>
      <c r="U1572">
        <v>0</v>
      </c>
      <c r="V1572">
        <v>0</v>
      </c>
      <c r="W1572" s="21">
        <f t="shared" si="181"/>
        <v>0</v>
      </c>
      <c r="X1572">
        <v>0</v>
      </c>
      <c r="Y1572">
        <v>0</v>
      </c>
      <c r="Z1572" s="21">
        <f t="shared" si="182"/>
        <v>0</v>
      </c>
      <c r="AA1572">
        <v>0</v>
      </c>
      <c r="AB1572">
        <v>0</v>
      </c>
      <c r="AC1572" s="21">
        <f t="shared" si="183"/>
        <v>0</v>
      </c>
      <c r="AD1572">
        <v>0</v>
      </c>
      <c r="AE1572">
        <v>0</v>
      </c>
      <c r="AF1572" s="21">
        <f t="shared" si="186"/>
        <v>0</v>
      </c>
    </row>
    <row r="1573" spans="1:32" ht="15" customHeight="1" x14ac:dyDescent="0.3">
      <c r="A1573">
        <v>3</v>
      </c>
      <c r="B1573" s="2" t="s">
        <v>696</v>
      </c>
      <c r="C1573" s="4" t="s">
        <v>691</v>
      </c>
      <c r="D1573" s="3" t="s">
        <v>658</v>
      </c>
      <c r="E1573" s="6" t="s">
        <v>45</v>
      </c>
      <c r="F1573" s="6" t="s">
        <v>360</v>
      </c>
      <c r="G1573" s="6" t="s">
        <v>716</v>
      </c>
      <c r="H1573" s="23">
        <v>39000</v>
      </c>
      <c r="I1573">
        <v>0</v>
      </c>
      <c r="J1573">
        <v>0</v>
      </c>
      <c r="K1573" s="20">
        <f t="shared" si="184"/>
        <v>0</v>
      </c>
      <c r="L1573">
        <v>50</v>
      </c>
      <c r="M1573">
        <v>1</v>
      </c>
      <c r="N1573" s="21">
        <f t="shared" si="185"/>
        <v>1950000</v>
      </c>
      <c r="O1573">
        <v>0</v>
      </c>
      <c r="P1573">
        <v>0</v>
      </c>
      <c r="Q1573" s="21">
        <f t="shared" si="179"/>
        <v>0</v>
      </c>
      <c r="R1573">
        <v>0</v>
      </c>
      <c r="S1573">
        <v>0</v>
      </c>
      <c r="T1573" s="21">
        <f t="shared" si="180"/>
        <v>0</v>
      </c>
      <c r="U1573">
        <v>0</v>
      </c>
      <c r="V1573">
        <v>0</v>
      </c>
      <c r="W1573" s="21">
        <f t="shared" si="181"/>
        <v>0</v>
      </c>
      <c r="X1573">
        <v>0</v>
      </c>
      <c r="Y1573">
        <v>0</v>
      </c>
      <c r="Z1573" s="21">
        <f t="shared" si="182"/>
        <v>0</v>
      </c>
      <c r="AA1573">
        <v>0</v>
      </c>
      <c r="AB1573">
        <v>0</v>
      </c>
      <c r="AC1573" s="21">
        <f t="shared" si="183"/>
        <v>0</v>
      </c>
      <c r="AD1573">
        <v>0</v>
      </c>
      <c r="AE1573">
        <v>0</v>
      </c>
      <c r="AF1573" s="21">
        <f t="shared" si="186"/>
        <v>0</v>
      </c>
    </row>
    <row r="1574" spans="1:32" ht="15" customHeight="1" x14ac:dyDescent="0.3">
      <c r="A1574">
        <v>3</v>
      </c>
      <c r="B1574" s="2" t="s">
        <v>696</v>
      </c>
      <c r="C1574" s="4" t="s">
        <v>691</v>
      </c>
      <c r="D1574" s="3" t="s">
        <v>658</v>
      </c>
      <c r="E1574" s="6" t="s">
        <v>45</v>
      </c>
      <c r="F1574" s="6" t="s">
        <v>360</v>
      </c>
      <c r="G1574" s="6" t="s">
        <v>712</v>
      </c>
      <c r="H1574" s="23">
        <v>214.29</v>
      </c>
      <c r="I1574">
        <v>0</v>
      </c>
      <c r="J1574">
        <v>0</v>
      </c>
      <c r="K1574" s="20">
        <f t="shared" si="184"/>
        <v>0</v>
      </c>
      <c r="L1574">
        <v>15000</v>
      </c>
      <c r="M1574">
        <v>1</v>
      </c>
      <c r="N1574" s="21">
        <f t="shared" si="185"/>
        <v>3214350</v>
      </c>
      <c r="O1574">
        <v>0</v>
      </c>
      <c r="P1574">
        <v>0</v>
      </c>
      <c r="Q1574" s="21">
        <f t="shared" si="179"/>
        <v>0</v>
      </c>
      <c r="R1574">
        <v>0</v>
      </c>
      <c r="S1574">
        <v>0</v>
      </c>
      <c r="T1574" s="21">
        <f t="shared" si="180"/>
        <v>0</v>
      </c>
      <c r="U1574">
        <v>0</v>
      </c>
      <c r="V1574">
        <v>0</v>
      </c>
      <c r="W1574" s="21">
        <f t="shared" si="181"/>
        <v>0</v>
      </c>
      <c r="X1574">
        <v>0</v>
      </c>
      <c r="Y1574">
        <v>0</v>
      </c>
      <c r="Z1574" s="21">
        <f t="shared" si="182"/>
        <v>0</v>
      </c>
      <c r="AA1574">
        <v>0</v>
      </c>
      <c r="AB1574">
        <v>0</v>
      </c>
      <c r="AC1574" s="21">
        <f t="shared" si="183"/>
        <v>0</v>
      </c>
      <c r="AD1574">
        <v>0</v>
      </c>
      <c r="AE1574">
        <v>0</v>
      </c>
      <c r="AF1574" s="21">
        <f t="shared" si="186"/>
        <v>0</v>
      </c>
    </row>
    <row r="1575" spans="1:32" ht="15" customHeight="1" x14ac:dyDescent="0.3">
      <c r="A1575">
        <v>3</v>
      </c>
      <c r="B1575" s="2" t="s">
        <v>696</v>
      </c>
      <c r="C1575" s="4" t="s">
        <v>691</v>
      </c>
      <c r="D1575" s="3" t="s">
        <v>658</v>
      </c>
      <c r="E1575" s="6" t="s">
        <v>45</v>
      </c>
      <c r="F1575" s="6" t="s">
        <v>361</v>
      </c>
      <c r="G1575" s="6" t="s">
        <v>716</v>
      </c>
      <c r="H1575" s="23">
        <v>39000</v>
      </c>
      <c r="I1575">
        <v>0</v>
      </c>
      <c r="J1575">
        <v>0</v>
      </c>
      <c r="K1575" s="20">
        <f t="shared" si="184"/>
        <v>0</v>
      </c>
      <c r="L1575">
        <v>30</v>
      </c>
      <c r="M1575">
        <v>2</v>
      </c>
      <c r="N1575" s="21">
        <f t="shared" si="185"/>
        <v>2340000</v>
      </c>
      <c r="O1575">
        <v>0</v>
      </c>
      <c r="P1575">
        <v>0</v>
      </c>
      <c r="Q1575" s="21">
        <f t="shared" si="179"/>
        <v>0</v>
      </c>
      <c r="R1575">
        <v>0</v>
      </c>
      <c r="S1575">
        <v>0</v>
      </c>
      <c r="T1575" s="21">
        <f t="shared" si="180"/>
        <v>0</v>
      </c>
      <c r="U1575">
        <v>0</v>
      </c>
      <c r="V1575">
        <v>0</v>
      </c>
      <c r="W1575" s="21">
        <f t="shared" si="181"/>
        <v>0</v>
      </c>
      <c r="X1575">
        <v>0</v>
      </c>
      <c r="Y1575">
        <v>0</v>
      </c>
      <c r="Z1575" s="21">
        <f t="shared" si="182"/>
        <v>0</v>
      </c>
      <c r="AA1575">
        <v>0</v>
      </c>
      <c r="AB1575">
        <v>0</v>
      </c>
      <c r="AC1575" s="21">
        <f t="shared" si="183"/>
        <v>0</v>
      </c>
      <c r="AD1575">
        <v>0</v>
      </c>
      <c r="AE1575">
        <v>0</v>
      </c>
      <c r="AF1575" s="21">
        <f t="shared" si="186"/>
        <v>0</v>
      </c>
    </row>
    <row r="1576" spans="1:32" ht="15" customHeight="1" x14ac:dyDescent="0.3">
      <c r="A1576">
        <v>3</v>
      </c>
      <c r="B1576" s="2" t="s">
        <v>696</v>
      </c>
      <c r="C1576" s="4" t="s">
        <v>691</v>
      </c>
      <c r="D1576" s="3" t="s">
        <v>658</v>
      </c>
      <c r="E1576" s="6" t="s">
        <v>45</v>
      </c>
      <c r="F1576" s="6" t="s">
        <v>361</v>
      </c>
      <c r="G1576" s="6" t="s">
        <v>709</v>
      </c>
      <c r="H1576" s="23">
        <v>28000</v>
      </c>
      <c r="I1576">
        <v>0</v>
      </c>
      <c r="J1576">
        <v>0</v>
      </c>
      <c r="K1576" s="20">
        <f t="shared" si="184"/>
        <v>0</v>
      </c>
      <c r="L1576">
        <v>50</v>
      </c>
      <c r="M1576">
        <v>2</v>
      </c>
      <c r="N1576" s="21">
        <f t="shared" si="185"/>
        <v>2800000</v>
      </c>
      <c r="O1576">
        <v>0</v>
      </c>
      <c r="P1576">
        <v>0</v>
      </c>
      <c r="Q1576" s="21">
        <f t="shared" si="179"/>
        <v>0</v>
      </c>
      <c r="R1576">
        <v>0</v>
      </c>
      <c r="S1576">
        <v>0</v>
      </c>
      <c r="T1576" s="21">
        <f t="shared" si="180"/>
        <v>0</v>
      </c>
      <c r="U1576">
        <v>0</v>
      </c>
      <c r="V1576">
        <v>0</v>
      </c>
      <c r="W1576" s="21">
        <f t="shared" si="181"/>
        <v>0</v>
      </c>
      <c r="X1576">
        <v>0</v>
      </c>
      <c r="Y1576">
        <v>0</v>
      </c>
      <c r="Z1576" s="21">
        <f t="shared" si="182"/>
        <v>0</v>
      </c>
      <c r="AA1576">
        <v>0</v>
      </c>
      <c r="AB1576">
        <v>0</v>
      </c>
      <c r="AC1576" s="21">
        <f t="shared" si="183"/>
        <v>0</v>
      </c>
      <c r="AD1576">
        <v>0</v>
      </c>
      <c r="AE1576">
        <v>0</v>
      </c>
      <c r="AF1576" s="21">
        <f t="shared" si="186"/>
        <v>0</v>
      </c>
    </row>
    <row r="1577" spans="1:32" ht="15" customHeight="1" x14ac:dyDescent="0.3">
      <c r="A1577">
        <v>3</v>
      </c>
      <c r="B1577" s="2" t="s">
        <v>696</v>
      </c>
      <c r="C1577" s="4" t="s">
        <v>691</v>
      </c>
      <c r="D1577" s="3" t="s">
        <v>658</v>
      </c>
      <c r="E1577" s="6" t="s">
        <v>45</v>
      </c>
      <c r="F1577" s="6" t="s">
        <v>361</v>
      </c>
      <c r="G1577" s="6" t="s">
        <v>712</v>
      </c>
      <c r="H1577" s="23">
        <v>214.29</v>
      </c>
      <c r="I1577">
        <v>0</v>
      </c>
      <c r="J1577">
        <v>0</v>
      </c>
      <c r="K1577" s="20">
        <f t="shared" si="184"/>
        <v>0</v>
      </c>
      <c r="L1577">
        <v>8000</v>
      </c>
      <c r="M1577">
        <v>1</v>
      </c>
      <c r="N1577" s="21">
        <f t="shared" si="185"/>
        <v>1714320</v>
      </c>
      <c r="O1577">
        <v>0</v>
      </c>
      <c r="P1577">
        <v>0</v>
      </c>
      <c r="Q1577" s="21">
        <f t="shared" si="179"/>
        <v>0</v>
      </c>
      <c r="R1577">
        <v>0</v>
      </c>
      <c r="S1577">
        <v>0</v>
      </c>
      <c r="T1577" s="21">
        <f t="shared" si="180"/>
        <v>0</v>
      </c>
      <c r="U1577">
        <v>0</v>
      </c>
      <c r="V1577">
        <v>0</v>
      </c>
      <c r="W1577" s="21">
        <f t="shared" si="181"/>
        <v>0</v>
      </c>
      <c r="X1577">
        <v>0</v>
      </c>
      <c r="Y1577">
        <v>0</v>
      </c>
      <c r="Z1577" s="21">
        <f t="shared" si="182"/>
        <v>0</v>
      </c>
      <c r="AA1577">
        <v>0</v>
      </c>
      <c r="AB1577">
        <v>0</v>
      </c>
      <c r="AC1577" s="21">
        <f t="shared" si="183"/>
        <v>0</v>
      </c>
      <c r="AD1577">
        <v>0</v>
      </c>
      <c r="AE1577">
        <v>0</v>
      </c>
      <c r="AF1577" s="21">
        <f t="shared" si="186"/>
        <v>0</v>
      </c>
    </row>
    <row r="1578" spans="1:32" ht="15" customHeight="1" x14ac:dyDescent="0.3">
      <c r="B1578" s="2" t="s">
        <v>696</v>
      </c>
      <c r="C1578" s="4" t="s">
        <v>691</v>
      </c>
      <c r="D1578" s="3" t="s">
        <v>658</v>
      </c>
      <c r="E1578" s="6" t="s">
        <v>45</v>
      </c>
      <c r="F1578" s="6" t="s">
        <v>166</v>
      </c>
      <c r="G1578" s="6" t="s">
        <v>709</v>
      </c>
      <c r="H1578" s="23">
        <v>28000</v>
      </c>
      <c r="I1578">
        <v>0</v>
      </c>
      <c r="J1578">
        <v>0</v>
      </c>
      <c r="K1578" s="20">
        <f t="shared" si="184"/>
        <v>0</v>
      </c>
      <c r="L1578">
        <v>30</v>
      </c>
      <c r="M1578">
        <v>1</v>
      </c>
      <c r="N1578" s="21">
        <f t="shared" si="185"/>
        <v>840000</v>
      </c>
      <c r="O1578">
        <v>0</v>
      </c>
      <c r="P1578">
        <v>0</v>
      </c>
      <c r="Q1578" s="21">
        <f t="shared" si="179"/>
        <v>0</v>
      </c>
      <c r="R1578">
        <v>0</v>
      </c>
      <c r="S1578">
        <v>0</v>
      </c>
      <c r="T1578" s="21">
        <f t="shared" si="180"/>
        <v>0</v>
      </c>
      <c r="U1578">
        <v>0</v>
      </c>
      <c r="V1578">
        <v>0</v>
      </c>
      <c r="W1578" s="21">
        <f t="shared" si="181"/>
        <v>0</v>
      </c>
      <c r="X1578">
        <v>0</v>
      </c>
      <c r="Y1578">
        <v>0</v>
      </c>
      <c r="Z1578" s="21">
        <f t="shared" si="182"/>
        <v>0</v>
      </c>
      <c r="AA1578">
        <v>0</v>
      </c>
      <c r="AB1578">
        <v>0</v>
      </c>
      <c r="AC1578" s="21">
        <f t="shared" si="183"/>
        <v>0</v>
      </c>
      <c r="AD1578">
        <v>0</v>
      </c>
      <c r="AE1578">
        <v>0</v>
      </c>
      <c r="AF1578" s="21">
        <f t="shared" si="186"/>
        <v>0</v>
      </c>
    </row>
    <row r="1579" spans="1:32" ht="15" customHeight="1" x14ac:dyDescent="0.3">
      <c r="B1579" s="2" t="s">
        <v>696</v>
      </c>
      <c r="C1579" s="4" t="s">
        <v>691</v>
      </c>
      <c r="D1579" s="3" t="s">
        <v>658</v>
      </c>
      <c r="E1579" s="6" t="s">
        <v>45</v>
      </c>
      <c r="F1579" s="6" t="s">
        <v>296</v>
      </c>
      <c r="G1579" s="6" t="s">
        <v>718</v>
      </c>
      <c r="H1579" s="23">
        <v>0</v>
      </c>
      <c r="I1579">
        <v>0</v>
      </c>
      <c r="J1579">
        <v>0</v>
      </c>
      <c r="K1579" s="20">
        <f t="shared" si="184"/>
        <v>0</v>
      </c>
      <c r="L1579">
        <v>0</v>
      </c>
      <c r="M1579">
        <v>0</v>
      </c>
      <c r="N1579" s="21">
        <f t="shared" si="185"/>
        <v>0</v>
      </c>
      <c r="O1579">
        <v>0</v>
      </c>
      <c r="P1579">
        <v>0</v>
      </c>
      <c r="Q1579" s="21">
        <f t="shared" si="179"/>
        <v>0</v>
      </c>
      <c r="R1579">
        <v>0</v>
      </c>
      <c r="S1579">
        <v>0</v>
      </c>
      <c r="T1579" s="21">
        <f t="shared" si="180"/>
        <v>0</v>
      </c>
      <c r="U1579">
        <v>0</v>
      </c>
      <c r="V1579">
        <v>0</v>
      </c>
      <c r="W1579" s="21">
        <f t="shared" si="181"/>
        <v>0</v>
      </c>
      <c r="X1579">
        <v>0</v>
      </c>
      <c r="Y1579">
        <v>0</v>
      </c>
      <c r="Z1579" s="21">
        <f t="shared" si="182"/>
        <v>0</v>
      </c>
      <c r="AA1579">
        <v>0</v>
      </c>
      <c r="AB1579">
        <v>0</v>
      </c>
      <c r="AC1579" s="21">
        <f t="shared" si="183"/>
        <v>0</v>
      </c>
      <c r="AD1579">
        <v>0</v>
      </c>
      <c r="AE1579">
        <v>0</v>
      </c>
      <c r="AF1579" s="21">
        <f t="shared" si="186"/>
        <v>0</v>
      </c>
    </row>
    <row r="1580" spans="1:32" ht="15" customHeight="1" x14ac:dyDescent="0.3">
      <c r="B1580" s="2" t="s">
        <v>696</v>
      </c>
      <c r="C1580" s="4" t="s">
        <v>691</v>
      </c>
      <c r="D1580" s="3" t="s">
        <v>658</v>
      </c>
      <c r="E1580" s="6" t="s">
        <v>45</v>
      </c>
      <c r="F1580" s="6" t="s">
        <v>362</v>
      </c>
      <c r="G1580" s="6" t="s">
        <v>709</v>
      </c>
      <c r="H1580" s="23">
        <v>28000</v>
      </c>
      <c r="I1580">
        <v>0</v>
      </c>
      <c r="J1580">
        <v>0</v>
      </c>
      <c r="K1580" s="20">
        <f t="shared" si="184"/>
        <v>0</v>
      </c>
      <c r="L1580">
        <v>20</v>
      </c>
      <c r="M1580">
        <v>1</v>
      </c>
      <c r="N1580" s="21">
        <f t="shared" si="185"/>
        <v>560000</v>
      </c>
      <c r="O1580">
        <v>0</v>
      </c>
      <c r="P1580">
        <v>0</v>
      </c>
      <c r="Q1580" s="21">
        <f t="shared" si="179"/>
        <v>0</v>
      </c>
      <c r="R1580">
        <v>0</v>
      </c>
      <c r="S1580">
        <v>0</v>
      </c>
      <c r="T1580" s="21">
        <f t="shared" si="180"/>
        <v>0</v>
      </c>
      <c r="U1580">
        <v>0</v>
      </c>
      <c r="V1580">
        <v>0</v>
      </c>
      <c r="W1580" s="21">
        <f t="shared" si="181"/>
        <v>0</v>
      </c>
      <c r="X1580">
        <v>0</v>
      </c>
      <c r="Y1580">
        <v>0</v>
      </c>
      <c r="Z1580" s="21">
        <f t="shared" si="182"/>
        <v>0</v>
      </c>
      <c r="AA1580">
        <v>0</v>
      </c>
      <c r="AB1580">
        <v>0</v>
      </c>
      <c r="AC1580" s="21">
        <f t="shared" si="183"/>
        <v>0</v>
      </c>
      <c r="AD1580">
        <v>0</v>
      </c>
      <c r="AE1580">
        <v>0</v>
      </c>
      <c r="AF1580" s="21">
        <f t="shared" si="186"/>
        <v>0</v>
      </c>
    </row>
    <row r="1581" spans="1:32" ht="15" customHeight="1" x14ac:dyDescent="0.3">
      <c r="B1581" s="2" t="s">
        <v>696</v>
      </c>
      <c r="C1581" s="4" t="s">
        <v>691</v>
      </c>
      <c r="D1581" s="3" t="s">
        <v>658</v>
      </c>
      <c r="E1581" s="6" t="s">
        <v>45</v>
      </c>
      <c r="F1581" s="6" t="s">
        <v>363</v>
      </c>
      <c r="G1581" s="6" t="s">
        <v>718</v>
      </c>
      <c r="H1581" s="23">
        <v>0</v>
      </c>
      <c r="I1581">
        <v>0</v>
      </c>
      <c r="J1581">
        <v>0</v>
      </c>
      <c r="K1581" s="20">
        <f t="shared" si="184"/>
        <v>0</v>
      </c>
      <c r="L1581">
        <v>0</v>
      </c>
      <c r="M1581">
        <v>0</v>
      </c>
      <c r="N1581" s="21">
        <f t="shared" si="185"/>
        <v>0</v>
      </c>
      <c r="O1581">
        <v>0</v>
      </c>
      <c r="P1581">
        <v>0</v>
      </c>
      <c r="Q1581" s="21">
        <f t="shared" si="179"/>
        <v>0</v>
      </c>
      <c r="R1581">
        <v>0</v>
      </c>
      <c r="S1581">
        <v>0</v>
      </c>
      <c r="T1581" s="21">
        <f t="shared" si="180"/>
        <v>0</v>
      </c>
      <c r="U1581">
        <v>0</v>
      </c>
      <c r="V1581">
        <v>0</v>
      </c>
      <c r="W1581" s="21">
        <f t="shared" si="181"/>
        <v>0</v>
      </c>
      <c r="X1581">
        <v>0</v>
      </c>
      <c r="Y1581">
        <v>0</v>
      </c>
      <c r="Z1581" s="21">
        <f t="shared" si="182"/>
        <v>0</v>
      </c>
      <c r="AA1581">
        <v>0</v>
      </c>
      <c r="AB1581">
        <v>0</v>
      </c>
      <c r="AC1581" s="21">
        <f t="shared" si="183"/>
        <v>0</v>
      </c>
      <c r="AD1581">
        <v>0</v>
      </c>
      <c r="AE1581">
        <v>0</v>
      </c>
      <c r="AF1581" s="21">
        <f t="shared" si="186"/>
        <v>0</v>
      </c>
    </row>
    <row r="1582" spans="1:32" ht="15" customHeight="1" x14ac:dyDescent="0.3">
      <c r="B1582" s="2" t="s">
        <v>696</v>
      </c>
      <c r="C1582" s="4" t="s">
        <v>691</v>
      </c>
      <c r="D1582" s="3" t="s">
        <v>658</v>
      </c>
      <c r="E1582" s="6" t="s">
        <v>45</v>
      </c>
      <c r="F1582" s="6" t="s">
        <v>364</v>
      </c>
      <c r="G1582" s="6" t="s">
        <v>713</v>
      </c>
      <c r="H1582" s="23">
        <v>45000</v>
      </c>
      <c r="I1582">
        <v>0</v>
      </c>
      <c r="J1582">
        <v>0</v>
      </c>
      <c r="K1582" s="20">
        <f t="shared" si="184"/>
        <v>0</v>
      </c>
      <c r="L1582">
        <v>15</v>
      </c>
      <c r="M1582">
        <v>10</v>
      </c>
      <c r="N1582" s="21">
        <f t="shared" si="185"/>
        <v>6750000</v>
      </c>
      <c r="O1582">
        <v>0</v>
      </c>
      <c r="P1582">
        <v>0</v>
      </c>
      <c r="Q1582" s="21">
        <f t="shared" si="179"/>
        <v>0</v>
      </c>
      <c r="R1582">
        <v>0</v>
      </c>
      <c r="S1582">
        <v>0</v>
      </c>
      <c r="T1582" s="21">
        <f t="shared" si="180"/>
        <v>0</v>
      </c>
      <c r="U1582">
        <v>0</v>
      </c>
      <c r="V1582">
        <v>0</v>
      </c>
      <c r="W1582" s="21">
        <f t="shared" si="181"/>
        <v>0</v>
      </c>
      <c r="X1582">
        <v>0</v>
      </c>
      <c r="Y1582">
        <v>0</v>
      </c>
      <c r="Z1582" s="21">
        <f t="shared" si="182"/>
        <v>0</v>
      </c>
      <c r="AA1582">
        <v>0</v>
      </c>
      <c r="AB1582">
        <v>0</v>
      </c>
      <c r="AC1582" s="21">
        <f t="shared" si="183"/>
        <v>0</v>
      </c>
      <c r="AD1582">
        <v>0</v>
      </c>
      <c r="AE1582">
        <v>0</v>
      </c>
      <c r="AF1582" s="21">
        <f t="shared" si="186"/>
        <v>0</v>
      </c>
    </row>
    <row r="1583" spans="1:32" ht="15" customHeight="1" x14ac:dyDescent="0.3">
      <c r="B1583" s="2" t="s">
        <v>696</v>
      </c>
      <c r="C1583" s="4" t="s">
        <v>691</v>
      </c>
      <c r="D1583" s="3" t="s">
        <v>658</v>
      </c>
      <c r="E1583" s="6" t="s">
        <v>45</v>
      </c>
      <c r="F1583" s="6" t="s">
        <v>364</v>
      </c>
      <c r="G1583" s="6" t="s">
        <v>712</v>
      </c>
      <c r="H1583" s="23">
        <v>214.29</v>
      </c>
      <c r="I1583">
        <v>0</v>
      </c>
      <c r="J1583">
        <v>0</v>
      </c>
      <c r="K1583" s="20">
        <f t="shared" si="184"/>
        <v>0</v>
      </c>
      <c r="L1583">
        <v>2000</v>
      </c>
      <c r="M1583">
        <v>1</v>
      </c>
      <c r="N1583" s="21">
        <f t="shared" si="185"/>
        <v>428580</v>
      </c>
      <c r="O1583">
        <v>0</v>
      </c>
      <c r="P1583">
        <v>0</v>
      </c>
      <c r="Q1583" s="21">
        <f t="shared" si="179"/>
        <v>0</v>
      </c>
      <c r="R1583">
        <v>0</v>
      </c>
      <c r="S1583">
        <v>0</v>
      </c>
      <c r="T1583" s="21">
        <f t="shared" si="180"/>
        <v>0</v>
      </c>
      <c r="U1583">
        <v>0</v>
      </c>
      <c r="V1583">
        <v>0</v>
      </c>
      <c r="W1583" s="21">
        <f t="shared" si="181"/>
        <v>0</v>
      </c>
      <c r="X1583">
        <v>0</v>
      </c>
      <c r="Y1583">
        <v>0</v>
      </c>
      <c r="Z1583" s="21">
        <f t="shared" si="182"/>
        <v>0</v>
      </c>
      <c r="AA1583">
        <v>0</v>
      </c>
      <c r="AB1583">
        <v>0</v>
      </c>
      <c r="AC1583" s="21">
        <f t="shared" si="183"/>
        <v>0</v>
      </c>
      <c r="AD1583">
        <v>0</v>
      </c>
      <c r="AE1583">
        <v>0</v>
      </c>
      <c r="AF1583" s="21">
        <f t="shared" si="186"/>
        <v>0</v>
      </c>
    </row>
    <row r="1584" spans="1:32" ht="15" customHeight="1" x14ac:dyDescent="0.3">
      <c r="B1584" s="2" t="s">
        <v>696</v>
      </c>
      <c r="C1584" s="4" t="s">
        <v>691</v>
      </c>
      <c r="D1584" s="3" t="s">
        <v>658</v>
      </c>
      <c r="E1584" s="6" t="s">
        <v>45</v>
      </c>
      <c r="F1584" s="6" t="s">
        <v>365</v>
      </c>
      <c r="G1584" s="6" t="s">
        <v>713</v>
      </c>
      <c r="H1584" s="23">
        <v>45000</v>
      </c>
      <c r="I1584">
        <v>0</v>
      </c>
      <c r="J1584">
        <v>0</v>
      </c>
      <c r="K1584" s="20">
        <f t="shared" si="184"/>
        <v>0</v>
      </c>
      <c r="L1584">
        <v>20</v>
      </c>
      <c r="M1584">
        <v>10</v>
      </c>
      <c r="N1584" s="21">
        <f t="shared" si="185"/>
        <v>9000000</v>
      </c>
      <c r="O1584">
        <v>0</v>
      </c>
      <c r="P1584">
        <v>0</v>
      </c>
      <c r="Q1584" s="21">
        <f t="shared" si="179"/>
        <v>0</v>
      </c>
      <c r="R1584">
        <v>0</v>
      </c>
      <c r="S1584">
        <v>0</v>
      </c>
      <c r="T1584" s="21">
        <f t="shared" si="180"/>
        <v>0</v>
      </c>
      <c r="U1584">
        <v>0</v>
      </c>
      <c r="V1584">
        <v>0</v>
      </c>
      <c r="W1584" s="21">
        <f t="shared" si="181"/>
        <v>0</v>
      </c>
      <c r="X1584">
        <v>0</v>
      </c>
      <c r="Y1584">
        <v>0</v>
      </c>
      <c r="Z1584" s="21">
        <f t="shared" si="182"/>
        <v>0</v>
      </c>
      <c r="AA1584">
        <v>0</v>
      </c>
      <c r="AB1584">
        <v>0</v>
      </c>
      <c r="AC1584" s="21">
        <f t="shared" si="183"/>
        <v>0</v>
      </c>
      <c r="AD1584">
        <v>0</v>
      </c>
      <c r="AE1584">
        <v>0</v>
      </c>
      <c r="AF1584" s="21">
        <f t="shared" si="186"/>
        <v>0</v>
      </c>
    </row>
    <row r="1585" spans="2:32" ht="15" customHeight="1" x14ac:dyDescent="0.3">
      <c r="B1585" s="2" t="s">
        <v>696</v>
      </c>
      <c r="C1585" s="4" t="s">
        <v>691</v>
      </c>
      <c r="D1585" s="3" t="s">
        <v>658</v>
      </c>
      <c r="E1585" s="6" t="s">
        <v>45</v>
      </c>
      <c r="F1585" s="6" t="s">
        <v>365</v>
      </c>
      <c r="G1585" s="6" t="s">
        <v>712</v>
      </c>
      <c r="H1585" s="23">
        <v>214.29</v>
      </c>
      <c r="I1585">
        <v>0</v>
      </c>
      <c r="J1585">
        <v>0</v>
      </c>
      <c r="K1585" s="20">
        <f t="shared" si="184"/>
        <v>0</v>
      </c>
      <c r="L1585">
        <v>20000</v>
      </c>
      <c r="M1585">
        <v>1</v>
      </c>
      <c r="N1585" s="21">
        <f t="shared" si="185"/>
        <v>4285800</v>
      </c>
      <c r="O1585">
        <v>0</v>
      </c>
      <c r="P1585">
        <v>0</v>
      </c>
      <c r="Q1585" s="21">
        <f t="shared" si="179"/>
        <v>0</v>
      </c>
      <c r="R1585">
        <v>0</v>
      </c>
      <c r="S1585">
        <v>0</v>
      </c>
      <c r="T1585" s="21">
        <f t="shared" si="180"/>
        <v>0</v>
      </c>
      <c r="U1585">
        <v>0</v>
      </c>
      <c r="V1585">
        <v>0</v>
      </c>
      <c r="W1585" s="21">
        <f t="shared" si="181"/>
        <v>0</v>
      </c>
      <c r="X1585">
        <v>0</v>
      </c>
      <c r="Y1585">
        <v>0</v>
      </c>
      <c r="Z1585" s="21">
        <f t="shared" si="182"/>
        <v>0</v>
      </c>
      <c r="AA1585">
        <v>0</v>
      </c>
      <c r="AB1585">
        <v>0</v>
      </c>
      <c r="AC1585" s="21">
        <f t="shared" si="183"/>
        <v>0</v>
      </c>
      <c r="AD1585">
        <v>0</v>
      </c>
      <c r="AE1585">
        <v>0</v>
      </c>
      <c r="AF1585" s="21">
        <f t="shared" si="186"/>
        <v>0</v>
      </c>
    </row>
    <row r="1586" spans="2:32" ht="15" customHeight="1" x14ac:dyDescent="0.3">
      <c r="B1586" s="2" t="s">
        <v>696</v>
      </c>
      <c r="C1586" s="4" t="s">
        <v>691</v>
      </c>
      <c r="D1586" s="3" t="s">
        <v>658</v>
      </c>
      <c r="E1586" s="6" t="s">
        <v>45</v>
      </c>
      <c r="F1586" s="6" t="s">
        <v>366</v>
      </c>
      <c r="G1586" s="6" t="s">
        <v>716</v>
      </c>
      <c r="H1586" s="23">
        <v>39000</v>
      </c>
      <c r="I1586">
        <v>0</v>
      </c>
      <c r="J1586">
        <v>0</v>
      </c>
      <c r="K1586" s="20">
        <f t="shared" si="184"/>
        <v>0</v>
      </c>
      <c r="L1586">
        <v>600</v>
      </c>
      <c r="M1586">
        <v>2</v>
      </c>
      <c r="N1586" s="21">
        <f t="shared" si="185"/>
        <v>46800000</v>
      </c>
      <c r="O1586">
        <v>0</v>
      </c>
      <c r="P1586">
        <v>0</v>
      </c>
      <c r="Q1586" s="21">
        <f t="shared" si="179"/>
        <v>0</v>
      </c>
      <c r="R1586">
        <v>0</v>
      </c>
      <c r="S1586">
        <v>0</v>
      </c>
      <c r="T1586" s="21">
        <f t="shared" si="180"/>
        <v>0</v>
      </c>
      <c r="U1586">
        <v>0</v>
      </c>
      <c r="V1586">
        <v>0</v>
      </c>
      <c r="W1586" s="21">
        <f t="shared" si="181"/>
        <v>0</v>
      </c>
      <c r="X1586">
        <v>0</v>
      </c>
      <c r="Y1586">
        <v>0</v>
      </c>
      <c r="Z1586" s="21">
        <f t="shared" si="182"/>
        <v>0</v>
      </c>
      <c r="AA1586">
        <v>0</v>
      </c>
      <c r="AB1586">
        <v>0</v>
      </c>
      <c r="AC1586" s="21">
        <f t="shared" si="183"/>
        <v>0</v>
      </c>
      <c r="AD1586">
        <v>0</v>
      </c>
      <c r="AE1586">
        <v>0</v>
      </c>
      <c r="AF1586" s="21">
        <f t="shared" si="186"/>
        <v>0</v>
      </c>
    </row>
    <row r="1587" spans="2:32" ht="15" customHeight="1" x14ac:dyDescent="0.3">
      <c r="B1587" s="2" t="s">
        <v>696</v>
      </c>
      <c r="C1587" s="4" t="s">
        <v>691</v>
      </c>
      <c r="D1587" s="3" t="s">
        <v>658</v>
      </c>
      <c r="E1587" s="6" t="s">
        <v>45</v>
      </c>
      <c r="F1587" s="6" t="s">
        <v>366</v>
      </c>
      <c r="G1587" s="6" t="s">
        <v>709</v>
      </c>
      <c r="H1587" s="23">
        <v>28000</v>
      </c>
      <c r="I1587">
        <v>0</v>
      </c>
      <c r="J1587">
        <v>0</v>
      </c>
      <c r="K1587" s="20">
        <f t="shared" si="184"/>
        <v>0</v>
      </c>
      <c r="L1587">
        <v>600</v>
      </c>
      <c r="M1587">
        <v>2</v>
      </c>
      <c r="N1587" s="21">
        <f t="shared" si="185"/>
        <v>33600000</v>
      </c>
      <c r="O1587">
        <v>0</v>
      </c>
      <c r="P1587">
        <v>0</v>
      </c>
      <c r="Q1587" s="21">
        <f t="shared" si="179"/>
        <v>0</v>
      </c>
      <c r="R1587">
        <v>0</v>
      </c>
      <c r="S1587">
        <v>0</v>
      </c>
      <c r="T1587" s="21">
        <f t="shared" si="180"/>
        <v>0</v>
      </c>
      <c r="U1587">
        <v>0</v>
      </c>
      <c r="V1587">
        <v>0</v>
      </c>
      <c r="W1587" s="21">
        <f t="shared" si="181"/>
        <v>0</v>
      </c>
      <c r="X1587">
        <v>0</v>
      </c>
      <c r="Y1587">
        <v>0</v>
      </c>
      <c r="Z1587" s="21">
        <f t="shared" si="182"/>
        <v>0</v>
      </c>
      <c r="AA1587">
        <v>0</v>
      </c>
      <c r="AB1587">
        <v>0</v>
      </c>
      <c r="AC1587" s="21">
        <f t="shared" si="183"/>
        <v>0</v>
      </c>
      <c r="AD1587">
        <v>0</v>
      </c>
      <c r="AE1587">
        <v>0</v>
      </c>
      <c r="AF1587" s="21">
        <f t="shared" si="186"/>
        <v>0</v>
      </c>
    </row>
    <row r="1588" spans="2:32" ht="15" customHeight="1" x14ac:dyDescent="0.3">
      <c r="B1588" s="2" t="s">
        <v>696</v>
      </c>
      <c r="C1588" s="4" t="s">
        <v>691</v>
      </c>
      <c r="D1588" s="3" t="s">
        <v>658</v>
      </c>
      <c r="E1588" s="6" t="s">
        <v>45</v>
      </c>
      <c r="F1588" s="6" t="s">
        <v>366</v>
      </c>
      <c r="G1588" s="6" t="s">
        <v>712</v>
      </c>
      <c r="H1588" s="23">
        <v>214.29</v>
      </c>
      <c r="I1588">
        <v>0</v>
      </c>
      <c r="J1588">
        <v>0</v>
      </c>
      <c r="K1588" s="20">
        <f t="shared" si="184"/>
        <v>0</v>
      </c>
      <c r="L1588">
        <v>80000</v>
      </c>
      <c r="M1588">
        <v>1</v>
      </c>
      <c r="N1588" s="21">
        <f t="shared" si="185"/>
        <v>17143200</v>
      </c>
      <c r="O1588">
        <v>0</v>
      </c>
      <c r="P1588">
        <v>0</v>
      </c>
      <c r="Q1588" s="21">
        <f t="shared" si="179"/>
        <v>0</v>
      </c>
      <c r="R1588">
        <v>0</v>
      </c>
      <c r="S1588">
        <v>0</v>
      </c>
      <c r="T1588" s="21">
        <f t="shared" si="180"/>
        <v>0</v>
      </c>
      <c r="U1588">
        <v>0</v>
      </c>
      <c r="V1588">
        <v>0</v>
      </c>
      <c r="W1588" s="21">
        <f t="shared" si="181"/>
        <v>0</v>
      </c>
      <c r="X1588">
        <v>0</v>
      </c>
      <c r="Y1588">
        <v>0</v>
      </c>
      <c r="Z1588" s="21">
        <f t="shared" si="182"/>
        <v>0</v>
      </c>
      <c r="AA1588">
        <v>0</v>
      </c>
      <c r="AB1588">
        <v>0</v>
      </c>
      <c r="AC1588" s="21">
        <f t="shared" si="183"/>
        <v>0</v>
      </c>
      <c r="AD1588">
        <v>0</v>
      </c>
      <c r="AE1588">
        <v>0</v>
      </c>
      <c r="AF1588" s="21">
        <f t="shared" si="186"/>
        <v>0</v>
      </c>
    </row>
    <row r="1589" spans="2:32" ht="15" customHeight="1" x14ac:dyDescent="0.3">
      <c r="B1589" s="2" t="s">
        <v>696</v>
      </c>
      <c r="C1589" s="4" t="s">
        <v>691</v>
      </c>
      <c r="D1589" s="3" t="s">
        <v>658</v>
      </c>
      <c r="E1589" s="6" t="s">
        <v>45</v>
      </c>
      <c r="F1589" s="6" t="s">
        <v>367</v>
      </c>
      <c r="G1589" s="6" t="s">
        <v>716</v>
      </c>
      <c r="H1589" s="23">
        <v>39000</v>
      </c>
      <c r="I1589">
        <v>0</v>
      </c>
      <c r="J1589">
        <v>0</v>
      </c>
      <c r="K1589" s="20">
        <f t="shared" si="184"/>
        <v>0</v>
      </c>
      <c r="L1589">
        <v>30</v>
      </c>
      <c r="M1589">
        <v>20</v>
      </c>
      <c r="N1589" s="21">
        <f t="shared" si="185"/>
        <v>23400000</v>
      </c>
      <c r="O1589">
        <v>0</v>
      </c>
      <c r="P1589">
        <v>0</v>
      </c>
      <c r="Q1589" s="21">
        <f t="shared" si="179"/>
        <v>0</v>
      </c>
      <c r="R1589">
        <v>0</v>
      </c>
      <c r="S1589">
        <v>0</v>
      </c>
      <c r="T1589" s="21">
        <f t="shared" si="180"/>
        <v>0</v>
      </c>
      <c r="U1589">
        <v>0</v>
      </c>
      <c r="V1589">
        <v>0</v>
      </c>
      <c r="W1589" s="21">
        <f t="shared" si="181"/>
        <v>0</v>
      </c>
      <c r="X1589">
        <v>0</v>
      </c>
      <c r="Y1589">
        <v>0</v>
      </c>
      <c r="Z1589" s="21">
        <f t="shared" si="182"/>
        <v>0</v>
      </c>
      <c r="AA1589">
        <v>0</v>
      </c>
      <c r="AB1589">
        <v>0</v>
      </c>
      <c r="AC1589" s="21">
        <f t="shared" si="183"/>
        <v>0</v>
      </c>
      <c r="AD1589">
        <v>0</v>
      </c>
      <c r="AE1589">
        <v>0</v>
      </c>
      <c r="AF1589" s="21">
        <f t="shared" si="186"/>
        <v>0</v>
      </c>
    </row>
    <row r="1590" spans="2:32" ht="15" customHeight="1" x14ac:dyDescent="0.3">
      <c r="B1590" s="2" t="s">
        <v>696</v>
      </c>
      <c r="C1590" s="4" t="s">
        <v>691</v>
      </c>
      <c r="D1590" s="3" t="s">
        <v>658</v>
      </c>
      <c r="E1590" s="6" t="s">
        <v>46</v>
      </c>
      <c r="F1590" s="6" t="s">
        <v>368</v>
      </c>
      <c r="G1590" s="6" t="s">
        <v>707</v>
      </c>
      <c r="H1590" s="23">
        <v>391991.03749999998</v>
      </c>
      <c r="I1590">
        <v>0</v>
      </c>
      <c r="J1590">
        <v>0</v>
      </c>
      <c r="K1590" s="20">
        <f t="shared" si="184"/>
        <v>0</v>
      </c>
      <c r="L1590">
        <v>0</v>
      </c>
      <c r="M1590">
        <v>0</v>
      </c>
      <c r="N1590" s="21">
        <f t="shared" si="185"/>
        <v>0</v>
      </c>
      <c r="O1590">
        <v>5</v>
      </c>
      <c r="P1590">
        <v>4</v>
      </c>
      <c r="Q1590" s="21">
        <f t="shared" si="179"/>
        <v>7839820.75</v>
      </c>
      <c r="R1590">
        <v>0</v>
      </c>
      <c r="S1590">
        <v>0</v>
      </c>
      <c r="T1590" s="21">
        <f t="shared" si="180"/>
        <v>0</v>
      </c>
      <c r="U1590">
        <v>0</v>
      </c>
      <c r="V1590">
        <v>0</v>
      </c>
      <c r="W1590" s="21">
        <f t="shared" si="181"/>
        <v>0</v>
      </c>
      <c r="X1590">
        <v>0</v>
      </c>
      <c r="Y1590">
        <v>0</v>
      </c>
      <c r="Z1590" s="21">
        <f t="shared" si="182"/>
        <v>0</v>
      </c>
      <c r="AA1590">
        <v>0</v>
      </c>
      <c r="AB1590">
        <v>0</v>
      </c>
      <c r="AC1590" s="21">
        <f t="shared" si="183"/>
        <v>0</v>
      </c>
      <c r="AD1590">
        <v>0</v>
      </c>
      <c r="AE1590">
        <v>0</v>
      </c>
      <c r="AF1590" s="21">
        <f t="shared" si="186"/>
        <v>0</v>
      </c>
    </row>
    <row r="1591" spans="2:32" ht="15" customHeight="1" x14ac:dyDescent="0.3">
      <c r="B1591" s="2" t="s">
        <v>696</v>
      </c>
      <c r="C1591" s="4" t="s">
        <v>691</v>
      </c>
      <c r="D1591" s="3" t="s">
        <v>658</v>
      </c>
      <c r="E1591" s="6" t="s">
        <v>46</v>
      </c>
      <c r="F1591" s="6" t="s">
        <v>368</v>
      </c>
      <c r="G1591" s="6" t="s">
        <v>741</v>
      </c>
      <c r="H1591" s="23">
        <v>34293000</v>
      </c>
      <c r="I1591">
        <v>0</v>
      </c>
      <c r="J1591">
        <v>0</v>
      </c>
      <c r="K1591" s="20">
        <f t="shared" si="184"/>
        <v>0</v>
      </c>
      <c r="L1591">
        <v>0</v>
      </c>
      <c r="M1591">
        <v>0</v>
      </c>
      <c r="N1591" s="21">
        <f t="shared" si="185"/>
        <v>0</v>
      </c>
      <c r="O1591">
        <v>5</v>
      </c>
      <c r="P1591">
        <v>1</v>
      </c>
      <c r="Q1591" s="21">
        <f t="shared" si="179"/>
        <v>171465000</v>
      </c>
      <c r="R1591">
        <v>5</v>
      </c>
      <c r="S1591">
        <v>1</v>
      </c>
      <c r="T1591" s="21">
        <f t="shared" si="180"/>
        <v>171465000</v>
      </c>
      <c r="U1591">
        <v>0</v>
      </c>
      <c r="V1591">
        <v>0</v>
      </c>
      <c r="W1591" s="21">
        <f t="shared" si="181"/>
        <v>0</v>
      </c>
      <c r="X1591">
        <v>0</v>
      </c>
      <c r="Y1591">
        <v>0</v>
      </c>
      <c r="Z1591" s="21">
        <f t="shared" si="182"/>
        <v>0</v>
      </c>
      <c r="AA1591">
        <v>0</v>
      </c>
      <c r="AB1591">
        <v>0</v>
      </c>
      <c r="AC1591" s="21">
        <f t="shared" si="183"/>
        <v>0</v>
      </c>
      <c r="AD1591">
        <v>0</v>
      </c>
      <c r="AE1591">
        <v>0</v>
      </c>
      <c r="AF1591" s="21">
        <f t="shared" si="186"/>
        <v>0</v>
      </c>
    </row>
    <row r="1592" spans="2:32" ht="15" customHeight="1" x14ac:dyDescent="0.3">
      <c r="B1592" s="2" t="s">
        <v>696</v>
      </c>
      <c r="C1592" s="4" t="s">
        <v>691</v>
      </c>
      <c r="D1592" s="3" t="s">
        <v>658</v>
      </c>
      <c r="E1592" s="6" t="s">
        <v>46</v>
      </c>
      <c r="F1592" s="6" t="s">
        <v>369</v>
      </c>
      <c r="G1592" s="6" t="s">
        <v>746</v>
      </c>
      <c r="H1592" s="23">
        <v>1080000</v>
      </c>
      <c r="I1592">
        <v>0</v>
      </c>
      <c r="J1592">
        <v>0</v>
      </c>
      <c r="K1592" s="20">
        <f t="shared" si="184"/>
        <v>0</v>
      </c>
      <c r="L1592">
        <v>0</v>
      </c>
      <c r="M1592">
        <v>0</v>
      </c>
      <c r="N1592" s="21">
        <f t="shared" si="185"/>
        <v>0</v>
      </c>
      <c r="O1592">
        <v>10</v>
      </c>
      <c r="P1592">
        <v>1</v>
      </c>
      <c r="Q1592" s="21">
        <f t="shared" si="179"/>
        <v>10800000</v>
      </c>
      <c r="R1592">
        <v>0</v>
      </c>
      <c r="S1592">
        <v>0</v>
      </c>
      <c r="T1592" s="21">
        <f t="shared" si="180"/>
        <v>0</v>
      </c>
      <c r="U1592">
        <v>0</v>
      </c>
      <c r="V1592">
        <v>0</v>
      </c>
      <c r="W1592" s="21">
        <f t="shared" si="181"/>
        <v>0</v>
      </c>
      <c r="X1592">
        <v>0</v>
      </c>
      <c r="Y1592">
        <v>0</v>
      </c>
      <c r="Z1592" s="21">
        <f t="shared" si="182"/>
        <v>0</v>
      </c>
      <c r="AA1592">
        <v>0</v>
      </c>
      <c r="AB1592">
        <v>0</v>
      </c>
      <c r="AC1592" s="21">
        <f t="shared" si="183"/>
        <v>0</v>
      </c>
      <c r="AD1592">
        <v>0</v>
      </c>
      <c r="AE1592">
        <v>0</v>
      </c>
      <c r="AF1592" s="21">
        <f t="shared" si="186"/>
        <v>0</v>
      </c>
    </row>
    <row r="1593" spans="2:32" ht="15" customHeight="1" x14ac:dyDescent="0.3">
      <c r="B1593" s="2" t="s">
        <v>696</v>
      </c>
      <c r="C1593" s="4" t="s">
        <v>691</v>
      </c>
      <c r="D1593" s="3" t="s">
        <v>658</v>
      </c>
      <c r="E1593" s="6" t="s">
        <v>45</v>
      </c>
      <c r="F1593" s="6" t="s">
        <v>367</v>
      </c>
      <c r="G1593" s="6" t="s">
        <v>709</v>
      </c>
      <c r="H1593" s="23">
        <v>28000</v>
      </c>
      <c r="I1593">
        <v>30</v>
      </c>
      <c r="J1593">
        <v>20</v>
      </c>
      <c r="K1593" s="20">
        <f t="shared" si="184"/>
        <v>16800000</v>
      </c>
      <c r="L1593">
        <v>0</v>
      </c>
      <c r="M1593">
        <v>0</v>
      </c>
      <c r="N1593" s="21">
        <f t="shared" si="185"/>
        <v>0</v>
      </c>
      <c r="O1593">
        <v>0</v>
      </c>
      <c r="P1593">
        <v>0</v>
      </c>
      <c r="Q1593" s="21">
        <f t="shared" si="179"/>
        <v>0</v>
      </c>
      <c r="R1593">
        <v>0</v>
      </c>
      <c r="S1593">
        <v>0</v>
      </c>
      <c r="T1593" s="21">
        <f t="shared" si="180"/>
        <v>0</v>
      </c>
      <c r="U1593">
        <v>0</v>
      </c>
      <c r="V1593">
        <v>0</v>
      </c>
      <c r="W1593" s="21">
        <f t="shared" si="181"/>
        <v>0</v>
      </c>
      <c r="X1593">
        <v>0</v>
      </c>
      <c r="Y1593">
        <v>0</v>
      </c>
      <c r="Z1593" s="21">
        <f t="shared" si="182"/>
        <v>0</v>
      </c>
      <c r="AA1593">
        <v>0</v>
      </c>
      <c r="AB1593">
        <v>0</v>
      </c>
      <c r="AC1593" s="21">
        <f t="shared" si="183"/>
        <v>0</v>
      </c>
      <c r="AD1593">
        <v>0</v>
      </c>
      <c r="AE1593">
        <v>0</v>
      </c>
      <c r="AF1593" s="21">
        <f t="shared" si="186"/>
        <v>0</v>
      </c>
    </row>
    <row r="1594" spans="2:32" ht="15" customHeight="1" x14ac:dyDescent="0.3">
      <c r="B1594" s="2" t="s">
        <v>696</v>
      </c>
      <c r="C1594" s="4" t="s">
        <v>691</v>
      </c>
      <c r="D1594" s="3" t="s">
        <v>658</v>
      </c>
      <c r="E1594" s="6" t="s">
        <v>45</v>
      </c>
      <c r="F1594" s="6" t="s">
        <v>367</v>
      </c>
      <c r="G1594" s="6" t="s">
        <v>712</v>
      </c>
      <c r="H1594" s="23">
        <v>214.29</v>
      </c>
      <c r="I1594">
        <v>10000</v>
      </c>
      <c r="J1594">
        <v>4</v>
      </c>
      <c r="K1594" s="20">
        <f t="shared" si="184"/>
        <v>8571600</v>
      </c>
      <c r="L1594">
        <v>0</v>
      </c>
      <c r="M1594">
        <v>0</v>
      </c>
      <c r="N1594" s="21">
        <f t="shared" si="185"/>
        <v>0</v>
      </c>
      <c r="O1594">
        <v>0</v>
      </c>
      <c r="P1594">
        <v>0</v>
      </c>
      <c r="Q1594" s="21">
        <f t="shared" si="179"/>
        <v>0</v>
      </c>
      <c r="R1594">
        <v>0</v>
      </c>
      <c r="S1594">
        <v>0</v>
      </c>
      <c r="T1594" s="21">
        <f t="shared" si="180"/>
        <v>0</v>
      </c>
      <c r="U1594">
        <v>0</v>
      </c>
      <c r="V1594">
        <v>0</v>
      </c>
      <c r="W1594" s="21">
        <f t="shared" si="181"/>
        <v>0</v>
      </c>
      <c r="X1594">
        <v>0</v>
      </c>
      <c r="Y1594">
        <v>0</v>
      </c>
      <c r="Z1594" s="21">
        <f t="shared" si="182"/>
        <v>0</v>
      </c>
      <c r="AA1594">
        <v>0</v>
      </c>
      <c r="AB1594">
        <v>0</v>
      </c>
      <c r="AC1594" s="21">
        <f t="shared" si="183"/>
        <v>0</v>
      </c>
      <c r="AD1594">
        <v>0</v>
      </c>
      <c r="AE1594">
        <v>0</v>
      </c>
      <c r="AF1594" s="21">
        <f t="shared" si="186"/>
        <v>0</v>
      </c>
    </row>
    <row r="1595" spans="2:32" ht="15" customHeight="1" x14ac:dyDescent="0.3">
      <c r="B1595" s="2" t="s">
        <v>696</v>
      </c>
      <c r="C1595" s="4" t="s">
        <v>691</v>
      </c>
      <c r="D1595" s="3" t="s">
        <v>658</v>
      </c>
      <c r="E1595" s="6" t="s">
        <v>46</v>
      </c>
      <c r="F1595" s="6" t="s">
        <v>759</v>
      </c>
      <c r="G1595" s="6" t="s">
        <v>760</v>
      </c>
      <c r="H1595" s="23">
        <v>1500000</v>
      </c>
      <c r="I1595">
        <v>1</v>
      </c>
      <c r="J1595">
        <v>12</v>
      </c>
      <c r="K1595" s="20">
        <f t="shared" si="184"/>
        <v>18000000</v>
      </c>
      <c r="L1595">
        <v>1</v>
      </c>
      <c r="M1595">
        <v>12</v>
      </c>
      <c r="N1595" s="21">
        <f t="shared" si="185"/>
        <v>18000000</v>
      </c>
      <c r="O1595">
        <v>1</v>
      </c>
      <c r="P1595">
        <v>12</v>
      </c>
      <c r="Q1595" s="21">
        <f t="shared" si="179"/>
        <v>18000000</v>
      </c>
      <c r="R1595">
        <v>1</v>
      </c>
      <c r="S1595">
        <v>12</v>
      </c>
      <c r="T1595" s="21">
        <f t="shared" si="180"/>
        <v>18000000</v>
      </c>
      <c r="U1595">
        <v>1</v>
      </c>
      <c r="V1595">
        <v>12</v>
      </c>
      <c r="W1595" s="21">
        <f t="shared" si="181"/>
        <v>18000000</v>
      </c>
      <c r="X1595">
        <v>0</v>
      </c>
      <c r="Y1595">
        <v>0</v>
      </c>
      <c r="Z1595" s="21">
        <f t="shared" si="182"/>
        <v>0</v>
      </c>
      <c r="AA1595">
        <v>0</v>
      </c>
      <c r="AB1595">
        <v>0</v>
      </c>
      <c r="AC1595" s="21">
        <f t="shared" si="183"/>
        <v>0</v>
      </c>
      <c r="AD1595">
        <v>0</v>
      </c>
      <c r="AE1595">
        <v>0</v>
      </c>
      <c r="AF1595" s="21">
        <f t="shared" si="186"/>
        <v>0</v>
      </c>
    </row>
    <row r="1596" spans="2:32" ht="15" customHeight="1" x14ac:dyDescent="0.3">
      <c r="B1596" s="2" t="s">
        <v>696</v>
      </c>
      <c r="C1596" s="4" t="s">
        <v>691</v>
      </c>
      <c r="D1596" s="3" t="s">
        <v>658</v>
      </c>
      <c r="E1596" s="6" t="s">
        <v>46</v>
      </c>
      <c r="F1596" s="6" t="s">
        <v>761</v>
      </c>
      <c r="G1596" s="6" t="s">
        <v>716</v>
      </c>
      <c r="H1596" s="23">
        <v>39000</v>
      </c>
      <c r="I1596">
        <v>0</v>
      </c>
      <c r="J1596">
        <v>0</v>
      </c>
      <c r="K1596" s="20">
        <f t="shared" si="184"/>
        <v>0</v>
      </c>
      <c r="L1596">
        <v>0</v>
      </c>
      <c r="M1596">
        <v>0</v>
      </c>
      <c r="N1596" s="21">
        <f t="shared" si="185"/>
        <v>0</v>
      </c>
      <c r="O1596">
        <v>60</v>
      </c>
      <c r="P1596">
        <v>3</v>
      </c>
      <c r="Q1596" s="21">
        <f t="shared" si="179"/>
        <v>7020000</v>
      </c>
      <c r="R1596">
        <v>60</v>
      </c>
      <c r="S1596">
        <v>3</v>
      </c>
      <c r="T1596" s="21">
        <f t="shared" si="180"/>
        <v>7020000</v>
      </c>
      <c r="U1596">
        <v>60</v>
      </c>
      <c r="V1596">
        <v>3</v>
      </c>
      <c r="W1596" s="21">
        <f t="shared" si="181"/>
        <v>7020000</v>
      </c>
      <c r="X1596">
        <v>0</v>
      </c>
      <c r="Y1596">
        <v>0</v>
      </c>
      <c r="Z1596" s="21">
        <f t="shared" si="182"/>
        <v>0</v>
      </c>
      <c r="AA1596">
        <v>0</v>
      </c>
      <c r="AB1596">
        <v>0</v>
      </c>
      <c r="AC1596" s="21">
        <f t="shared" si="183"/>
        <v>0</v>
      </c>
      <c r="AD1596">
        <v>0</v>
      </c>
      <c r="AE1596">
        <v>0</v>
      </c>
      <c r="AF1596" s="21">
        <f t="shared" si="186"/>
        <v>0</v>
      </c>
    </row>
    <row r="1597" spans="2:32" ht="15" customHeight="1" x14ac:dyDescent="0.3">
      <c r="B1597" s="2" t="s">
        <v>696</v>
      </c>
      <c r="C1597" s="4" t="s">
        <v>691</v>
      </c>
      <c r="D1597" s="3" t="s">
        <v>658</v>
      </c>
      <c r="E1597" s="6" t="s">
        <v>46</v>
      </c>
      <c r="F1597" s="6" t="s">
        <v>761</v>
      </c>
      <c r="G1597" s="6" t="s">
        <v>709</v>
      </c>
      <c r="H1597" s="23">
        <v>28000</v>
      </c>
      <c r="I1597">
        <v>0</v>
      </c>
      <c r="J1597">
        <v>0</v>
      </c>
      <c r="K1597" s="20">
        <f t="shared" si="184"/>
        <v>0</v>
      </c>
      <c r="L1597">
        <v>0</v>
      </c>
      <c r="M1597">
        <v>0</v>
      </c>
      <c r="N1597" s="21">
        <f t="shared" si="185"/>
        <v>0</v>
      </c>
      <c r="O1597">
        <v>60</v>
      </c>
      <c r="P1597">
        <v>3</v>
      </c>
      <c r="Q1597" s="21">
        <f t="shared" ref="Q1597:Q1660" si="187">H1597*O1597*P1597</f>
        <v>5040000</v>
      </c>
      <c r="R1597">
        <v>60</v>
      </c>
      <c r="S1597">
        <v>3</v>
      </c>
      <c r="T1597" s="21">
        <f t="shared" ref="T1597:T1660" si="188">H1597*R1597*S1597</f>
        <v>5040000</v>
      </c>
      <c r="U1597">
        <v>60</v>
      </c>
      <c r="V1597">
        <v>3</v>
      </c>
      <c r="W1597" s="21">
        <f t="shared" ref="W1597:W1660" si="189">H1597*U1597*V1597</f>
        <v>5040000</v>
      </c>
      <c r="X1597">
        <v>0</v>
      </c>
      <c r="Y1597">
        <v>0</v>
      </c>
      <c r="Z1597" s="21">
        <f t="shared" ref="Z1597:Z1660" si="190">H1597*X1597*Y1597</f>
        <v>0</v>
      </c>
      <c r="AA1597">
        <v>0</v>
      </c>
      <c r="AB1597">
        <v>0</v>
      </c>
      <c r="AC1597" s="21">
        <f t="shared" ref="AC1597:AC1660" si="191">H1597*AA1597*AB1597</f>
        <v>0</v>
      </c>
      <c r="AD1597">
        <v>0</v>
      </c>
      <c r="AE1597">
        <v>0</v>
      </c>
      <c r="AF1597" s="21">
        <f t="shared" si="186"/>
        <v>0</v>
      </c>
    </row>
    <row r="1598" spans="2:32" ht="15" customHeight="1" x14ac:dyDescent="0.3">
      <c r="B1598" s="2" t="s">
        <v>696</v>
      </c>
      <c r="C1598" s="4" t="s">
        <v>691</v>
      </c>
      <c r="D1598" s="3" t="s">
        <v>658</v>
      </c>
      <c r="E1598" s="6" t="s">
        <v>46</v>
      </c>
      <c r="F1598" s="6" t="s">
        <v>761</v>
      </c>
      <c r="G1598" s="6" t="s">
        <v>712</v>
      </c>
      <c r="H1598" s="23">
        <v>214.29</v>
      </c>
      <c r="I1598">
        <v>0</v>
      </c>
      <c r="J1598">
        <v>0</v>
      </c>
      <c r="K1598" s="20">
        <f t="shared" si="184"/>
        <v>0</v>
      </c>
      <c r="L1598">
        <v>0</v>
      </c>
      <c r="M1598">
        <v>0</v>
      </c>
      <c r="N1598" s="21">
        <f t="shared" si="185"/>
        <v>0</v>
      </c>
      <c r="O1598">
        <v>20000</v>
      </c>
      <c r="P1598">
        <v>1</v>
      </c>
      <c r="Q1598" s="21">
        <f t="shared" si="187"/>
        <v>4285800</v>
      </c>
      <c r="R1598">
        <v>20000</v>
      </c>
      <c r="S1598">
        <v>1</v>
      </c>
      <c r="T1598" s="21">
        <f t="shared" si="188"/>
        <v>4285800</v>
      </c>
      <c r="U1598">
        <v>20000</v>
      </c>
      <c r="V1598">
        <v>1</v>
      </c>
      <c r="W1598" s="21">
        <f t="shared" si="189"/>
        <v>4285800</v>
      </c>
      <c r="X1598">
        <v>0</v>
      </c>
      <c r="Y1598">
        <v>0</v>
      </c>
      <c r="Z1598" s="21">
        <f t="shared" si="190"/>
        <v>0</v>
      </c>
      <c r="AA1598">
        <v>0</v>
      </c>
      <c r="AB1598">
        <v>0</v>
      </c>
      <c r="AC1598" s="21">
        <f t="shared" si="191"/>
        <v>0</v>
      </c>
      <c r="AD1598">
        <v>0</v>
      </c>
      <c r="AE1598">
        <v>0</v>
      </c>
      <c r="AF1598" s="21">
        <f t="shared" si="186"/>
        <v>0</v>
      </c>
    </row>
    <row r="1599" spans="2:32" ht="15" customHeight="1" x14ac:dyDescent="0.3">
      <c r="B1599" s="2" t="s">
        <v>696</v>
      </c>
      <c r="C1599" s="4" t="s">
        <v>691</v>
      </c>
      <c r="D1599" s="3" t="s">
        <v>658</v>
      </c>
      <c r="E1599" s="6" t="s">
        <v>46</v>
      </c>
      <c r="F1599" s="6" t="s">
        <v>372</v>
      </c>
      <c r="G1599" s="6" t="s">
        <v>716</v>
      </c>
      <c r="H1599" s="23">
        <v>39000</v>
      </c>
      <c r="I1599">
        <v>0</v>
      </c>
      <c r="J1599">
        <v>0</v>
      </c>
      <c r="K1599" s="20">
        <f t="shared" si="184"/>
        <v>0</v>
      </c>
      <c r="L1599">
        <v>0</v>
      </c>
      <c r="M1599">
        <v>0</v>
      </c>
      <c r="N1599" s="21">
        <f t="shared" si="185"/>
        <v>0</v>
      </c>
      <c r="O1599">
        <v>15</v>
      </c>
      <c r="P1599">
        <v>10</v>
      </c>
      <c r="Q1599" s="21">
        <f t="shared" si="187"/>
        <v>5850000</v>
      </c>
      <c r="R1599">
        <v>15</v>
      </c>
      <c r="S1599">
        <v>10</v>
      </c>
      <c r="T1599" s="21">
        <f t="shared" si="188"/>
        <v>5850000</v>
      </c>
      <c r="U1599">
        <v>15</v>
      </c>
      <c r="V1599">
        <v>10</v>
      </c>
      <c r="W1599" s="21">
        <f t="shared" si="189"/>
        <v>5850000</v>
      </c>
      <c r="X1599">
        <v>0</v>
      </c>
      <c r="Y1599">
        <v>0</v>
      </c>
      <c r="Z1599" s="21">
        <f t="shared" si="190"/>
        <v>0</v>
      </c>
      <c r="AA1599">
        <v>0</v>
      </c>
      <c r="AB1599">
        <v>0</v>
      </c>
      <c r="AC1599" s="21">
        <f t="shared" si="191"/>
        <v>0</v>
      </c>
      <c r="AD1599">
        <v>0</v>
      </c>
      <c r="AE1599">
        <v>0</v>
      </c>
      <c r="AF1599" s="21">
        <f t="shared" si="186"/>
        <v>0</v>
      </c>
    </row>
    <row r="1600" spans="2:32" ht="15" customHeight="1" x14ac:dyDescent="0.3">
      <c r="B1600" s="2" t="s">
        <v>696</v>
      </c>
      <c r="C1600" s="4" t="s">
        <v>691</v>
      </c>
      <c r="D1600" s="3" t="s">
        <v>658</v>
      </c>
      <c r="E1600" s="6" t="s">
        <v>46</v>
      </c>
      <c r="F1600" s="6" t="s">
        <v>372</v>
      </c>
      <c r="G1600" s="6" t="s">
        <v>712</v>
      </c>
      <c r="H1600" s="23">
        <v>214.29</v>
      </c>
      <c r="I1600">
        <v>0</v>
      </c>
      <c r="J1600">
        <v>0</v>
      </c>
      <c r="K1600" s="20">
        <f t="shared" si="184"/>
        <v>0</v>
      </c>
      <c r="L1600">
        <v>0</v>
      </c>
      <c r="M1600">
        <v>0</v>
      </c>
      <c r="N1600" s="21">
        <f t="shared" si="185"/>
        <v>0</v>
      </c>
      <c r="O1600">
        <v>20000</v>
      </c>
      <c r="P1600">
        <v>1</v>
      </c>
      <c r="Q1600" s="21">
        <f t="shared" si="187"/>
        <v>4285800</v>
      </c>
      <c r="R1600">
        <v>20000</v>
      </c>
      <c r="S1600">
        <v>1</v>
      </c>
      <c r="T1600" s="21">
        <f t="shared" si="188"/>
        <v>4285800</v>
      </c>
      <c r="U1600">
        <v>20000</v>
      </c>
      <c r="V1600">
        <v>1</v>
      </c>
      <c r="W1600" s="21">
        <f t="shared" si="189"/>
        <v>4285800</v>
      </c>
      <c r="X1600">
        <v>0</v>
      </c>
      <c r="Y1600">
        <v>0</v>
      </c>
      <c r="Z1600" s="21">
        <f t="shared" si="190"/>
        <v>0</v>
      </c>
      <c r="AA1600">
        <v>0</v>
      </c>
      <c r="AB1600">
        <v>0</v>
      </c>
      <c r="AC1600" s="21">
        <f t="shared" si="191"/>
        <v>0</v>
      </c>
      <c r="AD1600">
        <v>0</v>
      </c>
      <c r="AE1600">
        <v>0</v>
      </c>
      <c r="AF1600" s="21">
        <f t="shared" si="186"/>
        <v>0</v>
      </c>
    </row>
    <row r="1601" spans="2:32" ht="15" customHeight="1" x14ac:dyDescent="0.3">
      <c r="B1601" s="2" t="s">
        <v>696</v>
      </c>
      <c r="C1601" s="4" t="s">
        <v>691</v>
      </c>
      <c r="D1601" s="3" t="s">
        <v>658</v>
      </c>
      <c r="E1601" s="6" t="s">
        <v>47</v>
      </c>
      <c r="F1601" s="6" t="s">
        <v>373</v>
      </c>
      <c r="G1601" s="6" t="s">
        <v>716</v>
      </c>
      <c r="H1601" s="23">
        <v>39000</v>
      </c>
      <c r="I1601">
        <v>0</v>
      </c>
      <c r="J1601">
        <v>0</v>
      </c>
      <c r="K1601" s="20">
        <f t="shared" si="184"/>
        <v>0</v>
      </c>
      <c r="L1601">
        <v>0</v>
      </c>
      <c r="M1601">
        <v>0</v>
      </c>
      <c r="N1601" s="21">
        <f t="shared" si="185"/>
        <v>0</v>
      </c>
      <c r="O1601">
        <v>0</v>
      </c>
      <c r="P1601">
        <v>0</v>
      </c>
      <c r="Q1601" s="21">
        <f t="shared" si="187"/>
        <v>0</v>
      </c>
      <c r="R1601">
        <v>80</v>
      </c>
      <c r="S1601">
        <v>5</v>
      </c>
      <c r="T1601" s="21">
        <f t="shared" si="188"/>
        <v>15600000</v>
      </c>
      <c r="U1601">
        <v>0</v>
      </c>
      <c r="V1601">
        <v>0</v>
      </c>
      <c r="W1601" s="21">
        <f t="shared" si="189"/>
        <v>0</v>
      </c>
      <c r="X1601">
        <v>0</v>
      </c>
      <c r="Y1601">
        <v>0</v>
      </c>
      <c r="Z1601" s="21">
        <f t="shared" si="190"/>
        <v>0</v>
      </c>
      <c r="AA1601">
        <v>0</v>
      </c>
      <c r="AB1601">
        <v>0</v>
      </c>
      <c r="AC1601" s="21">
        <f t="shared" si="191"/>
        <v>0</v>
      </c>
      <c r="AD1601">
        <v>0</v>
      </c>
      <c r="AE1601">
        <v>0</v>
      </c>
      <c r="AF1601" s="21">
        <f t="shared" si="186"/>
        <v>0</v>
      </c>
    </row>
    <row r="1602" spans="2:32" ht="15" customHeight="1" x14ac:dyDescent="0.3">
      <c r="B1602" s="2" t="s">
        <v>696</v>
      </c>
      <c r="C1602" s="4" t="s">
        <v>691</v>
      </c>
      <c r="D1602" s="3" t="s">
        <v>658</v>
      </c>
      <c r="E1602" s="6" t="s">
        <v>47</v>
      </c>
      <c r="F1602" s="6" t="s">
        <v>762</v>
      </c>
      <c r="G1602" s="6" t="s">
        <v>709</v>
      </c>
      <c r="H1602" s="23">
        <v>28000</v>
      </c>
      <c r="I1602">
        <v>0</v>
      </c>
      <c r="J1602">
        <v>0</v>
      </c>
      <c r="K1602" s="20">
        <f t="shared" si="184"/>
        <v>0</v>
      </c>
      <c r="L1602">
        <v>0</v>
      </c>
      <c r="M1602">
        <v>0</v>
      </c>
      <c r="N1602" s="21">
        <f t="shared" si="185"/>
        <v>0</v>
      </c>
      <c r="O1602">
        <v>0</v>
      </c>
      <c r="P1602">
        <v>0</v>
      </c>
      <c r="Q1602" s="21">
        <f t="shared" si="187"/>
        <v>0</v>
      </c>
      <c r="R1602">
        <v>80</v>
      </c>
      <c r="S1602">
        <v>5</v>
      </c>
      <c r="T1602" s="21">
        <f t="shared" si="188"/>
        <v>11200000</v>
      </c>
      <c r="U1602">
        <v>0</v>
      </c>
      <c r="V1602">
        <v>0</v>
      </c>
      <c r="W1602" s="21">
        <f t="shared" si="189"/>
        <v>0</v>
      </c>
      <c r="X1602">
        <v>0</v>
      </c>
      <c r="Y1602">
        <v>0</v>
      </c>
      <c r="Z1602" s="21">
        <f t="shared" si="190"/>
        <v>0</v>
      </c>
      <c r="AA1602">
        <v>0</v>
      </c>
      <c r="AB1602">
        <v>0</v>
      </c>
      <c r="AC1602" s="21">
        <f t="shared" si="191"/>
        <v>0</v>
      </c>
      <c r="AD1602">
        <v>0</v>
      </c>
      <c r="AE1602">
        <v>0</v>
      </c>
      <c r="AF1602" s="21">
        <f t="shared" si="186"/>
        <v>0</v>
      </c>
    </row>
    <row r="1603" spans="2:32" ht="15" customHeight="1" x14ac:dyDescent="0.3">
      <c r="B1603" s="2" t="s">
        <v>696</v>
      </c>
      <c r="C1603" s="4" t="s">
        <v>691</v>
      </c>
      <c r="D1603" s="3" t="s">
        <v>658</v>
      </c>
      <c r="E1603" s="6" t="s">
        <v>47</v>
      </c>
      <c r="F1603" s="6" t="s">
        <v>763</v>
      </c>
      <c r="G1603" s="6" t="s">
        <v>712</v>
      </c>
      <c r="H1603" s="23">
        <v>214.29</v>
      </c>
      <c r="I1603">
        <v>0</v>
      </c>
      <c r="J1603">
        <v>0</v>
      </c>
      <c r="K1603" s="20">
        <f t="shared" si="184"/>
        <v>0</v>
      </c>
      <c r="L1603">
        <v>0</v>
      </c>
      <c r="M1603">
        <v>0</v>
      </c>
      <c r="N1603" s="21">
        <f t="shared" si="185"/>
        <v>0</v>
      </c>
      <c r="O1603">
        <v>0</v>
      </c>
      <c r="P1603">
        <v>0</v>
      </c>
      <c r="Q1603" s="21">
        <f t="shared" si="187"/>
        <v>0</v>
      </c>
      <c r="R1603">
        <v>20000</v>
      </c>
      <c r="S1603">
        <v>1</v>
      </c>
      <c r="T1603" s="21">
        <f t="shared" si="188"/>
        <v>4285800</v>
      </c>
      <c r="U1603">
        <v>0</v>
      </c>
      <c r="V1603">
        <v>0</v>
      </c>
      <c r="W1603" s="21">
        <f t="shared" si="189"/>
        <v>0</v>
      </c>
      <c r="X1603">
        <v>0</v>
      </c>
      <c r="Y1603">
        <v>0</v>
      </c>
      <c r="Z1603" s="21">
        <f t="shared" si="190"/>
        <v>0</v>
      </c>
      <c r="AA1603">
        <v>0</v>
      </c>
      <c r="AB1603">
        <v>0</v>
      </c>
      <c r="AC1603" s="21">
        <f t="shared" si="191"/>
        <v>0</v>
      </c>
      <c r="AD1603">
        <v>0</v>
      </c>
      <c r="AE1603">
        <v>0</v>
      </c>
      <c r="AF1603" s="21">
        <f t="shared" si="186"/>
        <v>0</v>
      </c>
    </row>
    <row r="1604" spans="2:32" ht="15" customHeight="1" x14ac:dyDescent="0.3">
      <c r="B1604" s="2" t="s">
        <v>696</v>
      </c>
      <c r="C1604" s="4" t="s">
        <v>691</v>
      </c>
      <c r="D1604" s="3" t="s">
        <v>658</v>
      </c>
      <c r="E1604" s="6" t="s">
        <v>47</v>
      </c>
      <c r="F1604" s="6" t="s">
        <v>374</v>
      </c>
      <c r="G1604" s="6" t="s">
        <v>713</v>
      </c>
      <c r="H1604" s="23">
        <v>45000</v>
      </c>
      <c r="I1604">
        <v>0</v>
      </c>
      <c r="J1604">
        <v>0</v>
      </c>
      <c r="K1604" s="20">
        <f t="shared" si="184"/>
        <v>0</v>
      </c>
      <c r="L1604">
        <v>0</v>
      </c>
      <c r="M1604">
        <v>0</v>
      </c>
      <c r="N1604" s="21">
        <f t="shared" si="185"/>
        <v>0</v>
      </c>
      <c r="O1604">
        <v>0</v>
      </c>
      <c r="P1604">
        <v>0</v>
      </c>
      <c r="Q1604" s="21">
        <f t="shared" si="187"/>
        <v>0</v>
      </c>
      <c r="R1604">
        <v>15</v>
      </c>
      <c r="S1604">
        <v>40</v>
      </c>
      <c r="T1604" s="21">
        <f t="shared" si="188"/>
        <v>27000000</v>
      </c>
      <c r="U1604">
        <v>15</v>
      </c>
      <c r="V1604">
        <v>40</v>
      </c>
      <c r="W1604" s="21">
        <f t="shared" si="189"/>
        <v>27000000</v>
      </c>
      <c r="X1604">
        <v>0</v>
      </c>
      <c r="Y1604">
        <v>0</v>
      </c>
      <c r="Z1604" s="21">
        <f t="shared" si="190"/>
        <v>0</v>
      </c>
      <c r="AA1604">
        <v>0</v>
      </c>
      <c r="AB1604">
        <v>0</v>
      </c>
      <c r="AC1604" s="21">
        <f t="shared" si="191"/>
        <v>0</v>
      </c>
      <c r="AD1604">
        <v>0</v>
      </c>
      <c r="AE1604">
        <v>0</v>
      </c>
      <c r="AF1604" s="21">
        <f t="shared" si="186"/>
        <v>0</v>
      </c>
    </row>
    <row r="1605" spans="2:32" ht="15" customHeight="1" x14ac:dyDescent="0.3">
      <c r="B1605" s="2" t="s">
        <v>696</v>
      </c>
      <c r="C1605" s="4" t="s">
        <v>691</v>
      </c>
      <c r="D1605" s="3" t="s">
        <v>658</v>
      </c>
      <c r="E1605" s="6" t="s">
        <v>47</v>
      </c>
      <c r="F1605" s="6" t="s">
        <v>374</v>
      </c>
      <c r="G1605" s="6" t="s">
        <v>712</v>
      </c>
      <c r="H1605" s="23">
        <v>214.29</v>
      </c>
      <c r="I1605">
        <v>0</v>
      </c>
      <c r="J1605">
        <v>0</v>
      </c>
      <c r="K1605" s="20">
        <f t="shared" si="184"/>
        <v>0</v>
      </c>
      <c r="L1605">
        <v>0</v>
      </c>
      <c r="M1605">
        <v>0</v>
      </c>
      <c r="N1605" s="21">
        <f t="shared" si="185"/>
        <v>0</v>
      </c>
      <c r="O1605">
        <v>0</v>
      </c>
      <c r="P1605">
        <v>0</v>
      </c>
      <c r="Q1605" s="21">
        <f t="shared" si="187"/>
        <v>0</v>
      </c>
      <c r="R1605">
        <v>20000</v>
      </c>
      <c r="S1605">
        <v>4</v>
      </c>
      <c r="T1605" s="21">
        <f t="shared" si="188"/>
        <v>17143200</v>
      </c>
      <c r="U1605">
        <v>20000</v>
      </c>
      <c r="V1605">
        <v>4</v>
      </c>
      <c r="W1605" s="21">
        <f t="shared" si="189"/>
        <v>17143200</v>
      </c>
      <c r="X1605">
        <v>0</v>
      </c>
      <c r="Y1605">
        <v>0</v>
      </c>
      <c r="Z1605" s="21">
        <f t="shared" si="190"/>
        <v>0</v>
      </c>
      <c r="AA1605">
        <v>0</v>
      </c>
      <c r="AB1605">
        <v>0</v>
      </c>
      <c r="AC1605" s="21">
        <f t="shared" si="191"/>
        <v>0</v>
      </c>
      <c r="AD1605">
        <v>0</v>
      </c>
      <c r="AE1605">
        <v>0</v>
      </c>
      <c r="AF1605" s="21">
        <f t="shared" si="186"/>
        <v>0</v>
      </c>
    </row>
    <row r="1606" spans="2:32" ht="15" customHeight="1" x14ac:dyDescent="0.3">
      <c r="B1606" s="2" t="s">
        <v>696</v>
      </c>
      <c r="C1606" s="4" t="s">
        <v>691</v>
      </c>
      <c r="D1606" s="3" t="s">
        <v>658</v>
      </c>
      <c r="E1606" s="6" t="s">
        <v>47</v>
      </c>
      <c r="F1606" s="6" t="s">
        <v>375</v>
      </c>
      <c r="G1606" s="6" t="s">
        <v>713</v>
      </c>
      <c r="H1606" s="23">
        <v>45000</v>
      </c>
      <c r="I1606">
        <v>0</v>
      </c>
      <c r="J1606">
        <v>0</v>
      </c>
      <c r="K1606" s="20">
        <f t="shared" ref="K1606:K1669" si="192">H1606*I1606*J1606</f>
        <v>0</v>
      </c>
      <c r="L1606">
        <v>0</v>
      </c>
      <c r="M1606">
        <v>0</v>
      </c>
      <c r="N1606" s="21">
        <f t="shared" ref="N1606:N1669" si="193">H1606*L1606*M1606</f>
        <v>0</v>
      </c>
      <c r="O1606">
        <v>0</v>
      </c>
      <c r="P1606">
        <v>0</v>
      </c>
      <c r="Q1606" s="21">
        <f t="shared" si="187"/>
        <v>0</v>
      </c>
      <c r="R1606">
        <v>15</v>
      </c>
      <c r="S1606">
        <v>40</v>
      </c>
      <c r="T1606" s="21">
        <f t="shared" si="188"/>
        <v>27000000</v>
      </c>
      <c r="U1606">
        <v>15</v>
      </c>
      <c r="V1606">
        <v>40</v>
      </c>
      <c r="W1606" s="21">
        <f t="shared" si="189"/>
        <v>27000000</v>
      </c>
      <c r="X1606">
        <v>0</v>
      </c>
      <c r="Y1606">
        <v>0</v>
      </c>
      <c r="Z1606" s="21">
        <f t="shared" si="190"/>
        <v>0</v>
      </c>
      <c r="AA1606">
        <v>0</v>
      </c>
      <c r="AB1606">
        <v>0</v>
      </c>
      <c r="AC1606" s="21">
        <f t="shared" si="191"/>
        <v>0</v>
      </c>
      <c r="AD1606">
        <v>0</v>
      </c>
      <c r="AE1606">
        <v>0</v>
      </c>
      <c r="AF1606" s="21">
        <f t="shared" ref="AF1606:AF1669" si="194">H1606*AD1606*AE1606</f>
        <v>0</v>
      </c>
    </row>
    <row r="1607" spans="2:32" ht="15" customHeight="1" x14ac:dyDescent="0.3">
      <c r="B1607" s="2" t="s">
        <v>696</v>
      </c>
      <c r="C1607" s="4" t="s">
        <v>691</v>
      </c>
      <c r="D1607" s="3" t="s">
        <v>658</v>
      </c>
      <c r="E1607" s="6" t="s">
        <v>47</v>
      </c>
      <c r="F1607" s="6" t="s">
        <v>375</v>
      </c>
      <c r="G1607" s="6" t="s">
        <v>712</v>
      </c>
      <c r="H1607" s="23">
        <v>214.29</v>
      </c>
      <c r="I1607">
        <v>0</v>
      </c>
      <c r="J1607">
        <v>0</v>
      </c>
      <c r="K1607" s="20">
        <f t="shared" si="192"/>
        <v>0</v>
      </c>
      <c r="L1607">
        <v>0</v>
      </c>
      <c r="M1607">
        <v>0</v>
      </c>
      <c r="N1607" s="21">
        <f t="shared" si="193"/>
        <v>0</v>
      </c>
      <c r="O1607">
        <v>0</v>
      </c>
      <c r="P1607">
        <v>0</v>
      </c>
      <c r="Q1607" s="21">
        <f t="shared" si="187"/>
        <v>0</v>
      </c>
      <c r="R1607">
        <v>20000</v>
      </c>
      <c r="S1607">
        <v>4</v>
      </c>
      <c r="T1607" s="21">
        <f t="shared" si="188"/>
        <v>17143200</v>
      </c>
      <c r="U1607">
        <v>20000</v>
      </c>
      <c r="V1607">
        <v>4</v>
      </c>
      <c r="W1607" s="21">
        <f t="shared" si="189"/>
        <v>17143200</v>
      </c>
      <c r="X1607">
        <v>0</v>
      </c>
      <c r="Y1607">
        <v>0</v>
      </c>
      <c r="Z1607" s="21">
        <f t="shared" si="190"/>
        <v>0</v>
      </c>
      <c r="AA1607">
        <v>0</v>
      </c>
      <c r="AB1607">
        <v>0</v>
      </c>
      <c r="AC1607" s="21">
        <f t="shared" si="191"/>
        <v>0</v>
      </c>
      <c r="AD1607">
        <v>0</v>
      </c>
      <c r="AE1607">
        <v>0</v>
      </c>
      <c r="AF1607" s="21">
        <f t="shared" si="194"/>
        <v>0</v>
      </c>
    </row>
    <row r="1608" spans="2:32" ht="15" customHeight="1" x14ac:dyDescent="0.3">
      <c r="B1608" s="2" t="s">
        <v>696</v>
      </c>
      <c r="C1608" s="4" t="s">
        <v>691</v>
      </c>
      <c r="D1608" s="3" t="s">
        <v>658</v>
      </c>
      <c r="E1608" s="6" t="s">
        <v>47</v>
      </c>
      <c r="F1608" s="6" t="s">
        <v>376</v>
      </c>
      <c r="G1608" s="6" t="s">
        <v>713</v>
      </c>
      <c r="H1608" s="23">
        <v>45000</v>
      </c>
      <c r="I1608">
        <v>0</v>
      </c>
      <c r="J1608">
        <v>0</v>
      </c>
      <c r="K1608" s="20">
        <f t="shared" si="192"/>
        <v>0</v>
      </c>
      <c r="L1608">
        <v>0</v>
      </c>
      <c r="M1608">
        <v>0</v>
      </c>
      <c r="N1608" s="21">
        <f t="shared" si="193"/>
        <v>0</v>
      </c>
      <c r="O1608">
        <v>0</v>
      </c>
      <c r="P1608">
        <v>0</v>
      </c>
      <c r="Q1608" s="21">
        <f t="shared" si="187"/>
        <v>0</v>
      </c>
      <c r="R1608">
        <v>15</v>
      </c>
      <c r="S1608">
        <v>40</v>
      </c>
      <c r="T1608" s="21">
        <f t="shared" si="188"/>
        <v>27000000</v>
      </c>
      <c r="U1608">
        <v>15</v>
      </c>
      <c r="V1608">
        <v>40</v>
      </c>
      <c r="W1608" s="21">
        <f t="shared" si="189"/>
        <v>27000000</v>
      </c>
      <c r="X1608">
        <v>0</v>
      </c>
      <c r="Y1608">
        <v>0</v>
      </c>
      <c r="Z1608" s="21">
        <f t="shared" si="190"/>
        <v>0</v>
      </c>
      <c r="AA1608">
        <v>0</v>
      </c>
      <c r="AB1608">
        <v>0</v>
      </c>
      <c r="AC1608" s="21">
        <f t="shared" si="191"/>
        <v>0</v>
      </c>
      <c r="AD1608">
        <v>0</v>
      </c>
      <c r="AE1608">
        <v>0</v>
      </c>
      <c r="AF1608" s="21">
        <f t="shared" si="194"/>
        <v>0</v>
      </c>
    </row>
    <row r="1609" spans="2:32" ht="15" customHeight="1" x14ac:dyDescent="0.3">
      <c r="B1609" s="2" t="s">
        <v>696</v>
      </c>
      <c r="C1609" s="4" t="s">
        <v>691</v>
      </c>
      <c r="D1609" s="3" t="s">
        <v>658</v>
      </c>
      <c r="E1609" s="6" t="s">
        <v>47</v>
      </c>
      <c r="F1609" s="6" t="s">
        <v>376</v>
      </c>
      <c r="G1609" s="6" t="s">
        <v>712</v>
      </c>
      <c r="H1609" s="23">
        <v>214.29</v>
      </c>
      <c r="I1609">
        <v>0</v>
      </c>
      <c r="J1609">
        <v>0</v>
      </c>
      <c r="K1609" s="20">
        <f t="shared" si="192"/>
        <v>0</v>
      </c>
      <c r="L1609">
        <v>0</v>
      </c>
      <c r="M1609">
        <v>0</v>
      </c>
      <c r="N1609" s="21">
        <f t="shared" si="193"/>
        <v>0</v>
      </c>
      <c r="O1609">
        <v>0</v>
      </c>
      <c r="P1609">
        <v>0</v>
      </c>
      <c r="Q1609" s="21">
        <f t="shared" si="187"/>
        <v>0</v>
      </c>
      <c r="R1609">
        <v>20000</v>
      </c>
      <c r="S1609">
        <v>4</v>
      </c>
      <c r="T1609" s="21">
        <f t="shared" si="188"/>
        <v>17143200</v>
      </c>
      <c r="U1609">
        <v>20000</v>
      </c>
      <c r="V1609">
        <v>4</v>
      </c>
      <c r="W1609" s="21">
        <f t="shared" si="189"/>
        <v>17143200</v>
      </c>
      <c r="X1609">
        <v>0</v>
      </c>
      <c r="Y1609">
        <v>0</v>
      </c>
      <c r="Z1609" s="21">
        <f t="shared" si="190"/>
        <v>0</v>
      </c>
      <c r="AA1609">
        <v>0</v>
      </c>
      <c r="AB1609">
        <v>0</v>
      </c>
      <c r="AC1609" s="21">
        <f t="shared" si="191"/>
        <v>0</v>
      </c>
      <c r="AD1609">
        <v>0</v>
      </c>
      <c r="AE1609">
        <v>0</v>
      </c>
      <c r="AF1609" s="21">
        <f t="shared" si="194"/>
        <v>0</v>
      </c>
    </row>
    <row r="1610" spans="2:32" ht="15" customHeight="1" x14ac:dyDescent="0.3">
      <c r="B1610" s="2" t="s">
        <v>696</v>
      </c>
      <c r="C1610" s="4" t="s">
        <v>691</v>
      </c>
      <c r="D1610" s="3" t="s">
        <v>658</v>
      </c>
      <c r="E1610" s="6" t="s">
        <v>47</v>
      </c>
      <c r="F1610" s="6" t="s">
        <v>377</v>
      </c>
      <c r="G1610" s="6" t="s">
        <v>718</v>
      </c>
      <c r="H1610" s="23">
        <v>0</v>
      </c>
      <c r="I1610">
        <v>0</v>
      </c>
      <c r="J1610">
        <v>0</v>
      </c>
      <c r="K1610" s="20">
        <f t="shared" si="192"/>
        <v>0</v>
      </c>
      <c r="L1610">
        <v>0</v>
      </c>
      <c r="M1610">
        <v>0</v>
      </c>
      <c r="N1610" s="21">
        <f t="shared" si="193"/>
        <v>0</v>
      </c>
      <c r="O1610">
        <v>0</v>
      </c>
      <c r="P1610">
        <v>0</v>
      </c>
      <c r="Q1610" s="21">
        <f t="shared" si="187"/>
        <v>0</v>
      </c>
      <c r="R1610">
        <v>0</v>
      </c>
      <c r="S1610">
        <v>0</v>
      </c>
      <c r="T1610" s="21">
        <f t="shared" si="188"/>
        <v>0</v>
      </c>
      <c r="U1610">
        <v>0</v>
      </c>
      <c r="V1610">
        <v>0</v>
      </c>
      <c r="W1610" s="21">
        <f t="shared" si="189"/>
        <v>0</v>
      </c>
      <c r="X1610">
        <v>0</v>
      </c>
      <c r="Y1610">
        <v>0</v>
      </c>
      <c r="Z1610" s="21">
        <f t="shared" si="190"/>
        <v>0</v>
      </c>
      <c r="AA1610">
        <v>0</v>
      </c>
      <c r="AB1610">
        <v>0</v>
      </c>
      <c r="AC1610" s="21">
        <f t="shared" si="191"/>
        <v>0</v>
      </c>
      <c r="AD1610">
        <v>0</v>
      </c>
      <c r="AE1610">
        <v>0</v>
      </c>
      <c r="AF1610" s="21">
        <f t="shared" si="194"/>
        <v>0</v>
      </c>
    </row>
    <row r="1611" spans="2:32" ht="15" customHeight="1" x14ac:dyDescent="0.3">
      <c r="B1611" s="2" t="s">
        <v>696</v>
      </c>
      <c r="C1611" s="4" t="s">
        <v>691</v>
      </c>
      <c r="D1611" s="3" t="s">
        <v>658</v>
      </c>
      <c r="E1611" s="6" t="s">
        <v>47</v>
      </c>
      <c r="F1611" s="6" t="s">
        <v>378</v>
      </c>
      <c r="G1611" s="6" t="s">
        <v>713</v>
      </c>
      <c r="H1611" s="23">
        <v>45000</v>
      </c>
      <c r="I1611">
        <v>0</v>
      </c>
      <c r="J1611">
        <v>0</v>
      </c>
      <c r="K1611" s="20">
        <f t="shared" si="192"/>
        <v>0</v>
      </c>
      <c r="L1611">
        <v>0</v>
      </c>
      <c r="M1611">
        <v>0</v>
      </c>
      <c r="N1611" s="21">
        <f t="shared" si="193"/>
        <v>0</v>
      </c>
      <c r="O1611">
        <v>0</v>
      </c>
      <c r="P1611">
        <v>0</v>
      </c>
      <c r="Q1611" s="21">
        <f t="shared" si="187"/>
        <v>0</v>
      </c>
      <c r="R1611">
        <v>15</v>
      </c>
      <c r="S1611">
        <v>40</v>
      </c>
      <c r="T1611" s="21">
        <f t="shared" si="188"/>
        <v>27000000</v>
      </c>
      <c r="U1611">
        <v>15</v>
      </c>
      <c r="V1611">
        <v>40</v>
      </c>
      <c r="W1611" s="21">
        <f t="shared" si="189"/>
        <v>27000000</v>
      </c>
      <c r="X1611">
        <v>0</v>
      </c>
      <c r="Y1611">
        <v>0</v>
      </c>
      <c r="Z1611" s="21">
        <f t="shared" si="190"/>
        <v>0</v>
      </c>
      <c r="AA1611">
        <v>0</v>
      </c>
      <c r="AB1611">
        <v>0</v>
      </c>
      <c r="AC1611" s="21">
        <f t="shared" si="191"/>
        <v>0</v>
      </c>
      <c r="AD1611">
        <v>0</v>
      </c>
      <c r="AE1611">
        <v>0</v>
      </c>
      <c r="AF1611" s="21">
        <f t="shared" si="194"/>
        <v>0</v>
      </c>
    </row>
    <row r="1612" spans="2:32" ht="15" customHeight="1" x14ac:dyDescent="0.3">
      <c r="B1612" s="2" t="s">
        <v>696</v>
      </c>
      <c r="C1612" s="4" t="s">
        <v>691</v>
      </c>
      <c r="D1612" s="3" t="s">
        <v>658</v>
      </c>
      <c r="E1612" s="6" t="s">
        <v>47</v>
      </c>
      <c r="F1612" s="6" t="s">
        <v>378</v>
      </c>
      <c r="G1612" s="6" t="s">
        <v>712</v>
      </c>
      <c r="H1612" s="23">
        <v>214.29</v>
      </c>
      <c r="I1612">
        <v>0</v>
      </c>
      <c r="J1612">
        <v>0</v>
      </c>
      <c r="K1612" s="20">
        <f t="shared" si="192"/>
        <v>0</v>
      </c>
      <c r="L1612">
        <v>0</v>
      </c>
      <c r="M1612">
        <v>0</v>
      </c>
      <c r="N1612" s="21">
        <f t="shared" si="193"/>
        <v>0</v>
      </c>
      <c r="O1612">
        <v>0</v>
      </c>
      <c r="P1612">
        <v>0</v>
      </c>
      <c r="Q1612" s="21">
        <f t="shared" si="187"/>
        <v>0</v>
      </c>
      <c r="R1612">
        <v>20000</v>
      </c>
      <c r="S1612">
        <v>4</v>
      </c>
      <c r="T1612" s="21">
        <f t="shared" si="188"/>
        <v>17143200</v>
      </c>
      <c r="U1612">
        <v>20000</v>
      </c>
      <c r="V1612">
        <v>4</v>
      </c>
      <c r="W1612" s="21">
        <f t="shared" si="189"/>
        <v>17143200</v>
      </c>
      <c r="X1612">
        <v>0</v>
      </c>
      <c r="Y1612">
        <v>0</v>
      </c>
      <c r="Z1612" s="21">
        <f t="shared" si="190"/>
        <v>0</v>
      </c>
      <c r="AA1612">
        <v>0</v>
      </c>
      <c r="AB1612">
        <v>0</v>
      </c>
      <c r="AC1612" s="21">
        <f t="shared" si="191"/>
        <v>0</v>
      </c>
      <c r="AD1612">
        <v>0</v>
      </c>
      <c r="AE1612">
        <v>0</v>
      </c>
      <c r="AF1612" s="21">
        <f t="shared" si="194"/>
        <v>0</v>
      </c>
    </row>
    <row r="1613" spans="2:32" ht="15" customHeight="1" x14ac:dyDescent="0.3">
      <c r="B1613" s="2" t="s">
        <v>696</v>
      </c>
      <c r="C1613" s="4" t="s">
        <v>691</v>
      </c>
      <c r="D1613" s="3" t="s">
        <v>658</v>
      </c>
      <c r="E1613" s="6" t="s">
        <v>47</v>
      </c>
      <c r="F1613" s="16" t="s">
        <v>338</v>
      </c>
      <c r="G1613" s="16" t="s">
        <v>753</v>
      </c>
      <c r="H1613" s="23">
        <v>10000000</v>
      </c>
      <c r="I1613">
        <v>0</v>
      </c>
      <c r="J1613">
        <v>0</v>
      </c>
      <c r="K1613" s="20">
        <f t="shared" si="192"/>
        <v>0</v>
      </c>
      <c r="L1613">
        <v>0</v>
      </c>
      <c r="M1613">
        <v>0</v>
      </c>
      <c r="N1613" s="21">
        <f t="shared" si="193"/>
        <v>0</v>
      </c>
      <c r="O1613">
        <v>0</v>
      </c>
      <c r="P1613">
        <v>0</v>
      </c>
      <c r="Q1613" s="21">
        <f t="shared" si="187"/>
        <v>0</v>
      </c>
      <c r="R1613">
        <v>1</v>
      </c>
      <c r="S1613">
        <v>1</v>
      </c>
      <c r="T1613" s="21">
        <f t="shared" si="188"/>
        <v>10000000</v>
      </c>
      <c r="U1613">
        <v>1</v>
      </c>
      <c r="V1613">
        <v>1</v>
      </c>
      <c r="W1613" s="21">
        <f t="shared" si="189"/>
        <v>10000000</v>
      </c>
      <c r="X1613">
        <v>0</v>
      </c>
      <c r="Y1613">
        <v>0</v>
      </c>
      <c r="Z1613" s="21">
        <f t="shared" si="190"/>
        <v>0</v>
      </c>
      <c r="AA1613">
        <v>0</v>
      </c>
      <c r="AB1613">
        <v>0</v>
      </c>
      <c r="AC1613" s="21">
        <f t="shared" si="191"/>
        <v>0</v>
      </c>
      <c r="AD1613">
        <v>0</v>
      </c>
      <c r="AE1613">
        <v>0</v>
      </c>
      <c r="AF1613" s="21">
        <f t="shared" si="194"/>
        <v>0</v>
      </c>
    </row>
    <row r="1614" spans="2:32" ht="15" customHeight="1" x14ac:dyDescent="0.3">
      <c r="B1614" s="2" t="s">
        <v>696</v>
      </c>
      <c r="C1614" s="4" t="s">
        <v>691</v>
      </c>
      <c r="D1614" s="3" t="s">
        <v>658</v>
      </c>
      <c r="E1614" s="6" t="s">
        <v>47</v>
      </c>
      <c r="F1614" s="6" t="s">
        <v>339</v>
      </c>
      <c r="G1614" s="6" t="s">
        <v>754</v>
      </c>
      <c r="H1614" s="23">
        <v>105000000</v>
      </c>
      <c r="I1614">
        <v>0</v>
      </c>
      <c r="J1614">
        <v>0</v>
      </c>
      <c r="K1614" s="20">
        <f t="shared" si="192"/>
        <v>0</v>
      </c>
      <c r="L1614">
        <v>0</v>
      </c>
      <c r="M1614">
        <v>0</v>
      </c>
      <c r="N1614" s="21">
        <f t="shared" si="193"/>
        <v>0</v>
      </c>
      <c r="O1614">
        <v>0</v>
      </c>
      <c r="P1614">
        <v>0</v>
      </c>
      <c r="Q1614" s="21">
        <f t="shared" si="187"/>
        <v>0</v>
      </c>
      <c r="R1614">
        <v>1</v>
      </c>
      <c r="S1614">
        <v>1</v>
      </c>
      <c r="T1614" s="21">
        <f t="shared" si="188"/>
        <v>105000000</v>
      </c>
      <c r="U1614">
        <v>1</v>
      </c>
      <c r="V1614">
        <v>1</v>
      </c>
      <c r="W1614" s="21">
        <f t="shared" si="189"/>
        <v>105000000</v>
      </c>
      <c r="X1614">
        <v>0</v>
      </c>
      <c r="Y1614">
        <v>0</v>
      </c>
      <c r="Z1614" s="21">
        <f t="shared" si="190"/>
        <v>0</v>
      </c>
      <c r="AA1614">
        <v>0</v>
      </c>
      <c r="AB1614">
        <v>0</v>
      </c>
      <c r="AC1614" s="21">
        <f t="shared" si="191"/>
        <v>0</v>
      </c>
      <c r="AD1614">
        <v>0</v>
      </c>
      <c r="AE1614">
        <v>0</v>
      </c>
      <c r="AF1614" s="21">
        <f t="shared" si="194"/>
        <v>0</v>
      </c>
    </row>
    <row r="1615" spans="2:32" ht="15" customHeight="1" x14ac:dyDescent="0.3">
      <c r="B1615" s="2" t="s">
        <v>696</v>
      </c>
      <c r="C1615" s="4" t="s">
        <v>691</v>
      </c>
      <c r="D1615" s="3" t="s">
        <v>658</v>
      </c>
      <c r="E1615" s="6" t="s">
        <v>48</v>
      </c>
      <c r="F1615" s="6" t="s">
        <v>379</v>
      </c>
      <c r="G1615" s="6" t="s">
        <v>707</v>
      </c>
      <c r="H1615" s="23">
        <v>391991.03749999998</v>
      </c>
      <c r="I1615">
        <v>0</v>
      </c>
      <c r="J1615">
        <v>0</v>
      </c>
      <c r="K1615" s="20">
        <f t="shared" si="192"/>
        <v>0</v>
      </c>
      <c r="L1615">
        <v>0</v>
      </c>
      <c r="M1615">
        <v>0</v>
      </c>
      <c r="N1615" s="21">
        <f t="shared" si="193"/>
        <v>0</v>
      </c>
      <c r="O1615">
        <v>1</v>
      </c>
      <c r="P1615">
        <v>4</v>
      </c>
      <c r="Q1615" s="21">
        <f t="shared" si="187"/>
        <v>1567964.15</v>
      </c>
      <c r="R1615">
        <v>0</v>
      </c>
      <c r="S1615">
        <v>0</v>
      </c>
      <c r="T1615" s="21">
        <f t="shared" si="188"/>
        <v>0</v>
      </c>
      <c r="U1615">
        <v>0</v>
      </c>
      <c r="V1615">
        <v>0</v>
      </c>
      <c r="W1615" s="21">
        <f t="shared" si="189"/>
        <v>0</v>
      </c>
      <c r="X1615">
        <v>0</v>
      </c>
      <c r="Y1615">
        <v>0</v>
      </c>
      <c r="Z1615" s="21">
        <f t="shared" si="190"/>
        <v>0</v>
      </c>
      <c r="AA1615">
        <v>0</v>
      </c>
      <c r="AB1615">
        <v>0</v>
      </c>
      <c r="AC1615" s="21">
        <f t="shared" si="191"/>
        <v>0</v>
      </c>
      <c r="AD1615">
        <v>0</v>
      </c>
      <c r="AE1615">
        <v>0</v>
      </c>
      <c r="AF1615" s="21">
        <f t="shared" si="194"/>
        <v>0</v>
      </c>
    </row>
    <row r="1616" spans="2:32" ht="15" customHeight="1" x14ac:dyDescent="0.3">
      <c r="B1616" s="2" t="s">
        <v>696</v>
      </c>
      <c r="C1616" s="4" t="s">
        <v>691</v>
      </c>
      <c r="D1616" s="3" t="s">
        <v>658</v>
      </c>
      <c r="E1616" s="6" t="s">
        <v>48</v>
      </c>
      <c r="F1616" s="6" t="s">
        <v>379</v>
      </c>
      <c r="G1616" s="6" t="s">
        <v>708</v>
      </c>
      <c r="H1616" s="23">
        <v>425000</v>
      </c>
      <c r="I1616">
        <v>0</v>
      </c>
      <c r="J1616">
        <v>0</v>
      </c>
      <c r="K1616" s="20">
        <f t="shared" si="192"/>
        <v>0</v>
      </c>
      <c r="L1616">
        <v>0</v>
      </c>
      <c r="M1616">
        <v>0</v>
      </c>
      <c r="N1616" s="21">
        <f t="shared" si="193"/>
        <v>0</v>
      </c>
      <c r="O1616">
        <v>1</v>
      </c>
      <c r="P1616">
        <v>30</v>
      </c>
      <c r="Q1616" s="21">
        <f t="shared" si="187"/>
        <v>12750000</v>
      </c>
      <c r="R1616">
        <v>0</v>
      </c>
      <c r="S1616">
        <v>0</v>
      </c>
      <c r="T1616" s="21">
        <f t="shared" si="188"/>
        <v>0</v>
      </c>
      <c r="U1616">
        <v>0</v>
      </c>
      <c r="V1616">
        <v>0</v>
      </c>
      <c r="W1616" s="21">
        <f t="shared" si="189"/>
        <v>0</v>
      </c>
      <c r="X1616">
        <v>0</v>
      </c>
      <c r="Y1616">
        <v>0</v>
      </c>
      <c r="Z1616" s="21">
        <f t="shared" si="190"/>
        <v>0</v>
      </c>
      <c r="AA1616">
        <v>0</v>
      </c>
      <c r="AB1616">
        <v>0</v>
      </c>
      <c r="AC1616" s="21">
        <f t="shared" si="191"/>
        <v>0</v>
      </c>
      <c r="AD1616">
        <v>0</v>
      </c>
      <c r="AE1616">
        <v>0</v>
      </c>
      <c r="AF1616" s="21">
        <f t="shared" si="194"/>
        <v>0</v>
      </c>
    </row>
    <row r="1617" spans="1:32" ht="15" customHeight="1" x14ac:dyDescent="0.3">
      <c r="B1617" s="2" t="s">
        <v>696</v>
      </c>
      <c r="C1617" s="4" t="s">
        <v>691</v>
      </c>
      <c r="D1617" s="3" t="s">
        <v>658</v>
      </c>
      <c r="E1617" s="6" t="s">
        <v>48</v>
      </c>
      <c r="F1617" s="6" t="s">
        <v>380</v>
      </c>
      <c r="G1617" s="6" t="s">
        <v>718</v>
      </c>
      <c r="H1617" s="23">
        <v>0</v>
      </c>
      <c r="I1617">
        <v>0</v>
      </c>
      <c r="J1617">
        <v>0</v>
      </c>
      <c r="K1617" s="20">
        <f t="shared" si="192"/>
        <v>0</v>
      </c>
      <c r="L1617">
        <v>0</v>
      </c>
      <c r="M1617">
        <v>0</v>
      </c>
      <c r="N1617" s="21">
        <f t="shared" si="193"/>
        <v>0</v>
      </c>
      <c r="O1617">
        <v>0</v>
      </c>
      <c r="P1617">
        <v>0</v>
      </c>
      <c r="Q1617" s="21">
        <f t="shared" si="187"/>
        <v>0</v>
      </c>
      <c r="R1617">
        <v>0</v>
      </c>
      <c r="S1617">
        <v>0</v>
      </c>
      <c r="T1617" s="21">
        <f t="shared" si="188"/>
        <v>0</v>
      </c>
      <c r="U1617">
        <v>0</v>
      </c>
      <c r="V1617">
        <v>0</v>
      </c>
      <c r="W1617" s="21">
        <f t="shared" si="189"/>
        <v>0</v>
      </c>
      <c r="X1617">
        <v>0</v>
      </c>
      <c r="Y1617">
        <v>0</v>
      </c>
      <c r="Z1617" s="21">
        <f t="shared" si="190"/>
        <v>0</v>
      </c>
      <c r="AA1617">
        <v>0</v>
      </c>
      <c r="AB1617">
        <v>0</v>
      </c>
      <c r="AC1617" s="21">
        <f t="shared" si="191"/>
        <v>0</v>
      </c>
      <c r="AD1617">
        <v>0</v>
      </c>
      <c r="AE1617">
        <v>0</v>
      </c>
      <c r="AF1617" s="21">
        <f t="shared" si="194"/>
        <v>0</v>
      </c>
    </row>
    <row r="1618" spans="1:32" ht="15" customHeight="1" x14ac:dyDescent="0.3">
      <c r="B1618" s="2" t="s">
        <v>696</v>
      </c>
      <c r="C1618" s="4" t="s">
        <v>691</v>
      </c>
      <c r="D1618" s="3" t="s">
        <v>658</v>
      </c>
      <c r="E1618" s="6" t="s">
        <v>49</v>
      </c>
      <c r="F1618" s="6" t="s">
        <v>381</v>
      </c>
      <c r="G1618" s="6" t="s">
        <v>713</v>
      </c>
      <c r="H1618" s="23">
        <v>45000</v>
      </c>
      <c r="I1618">
        <v>0</v>
      </c>
      <c r="J1618">
        <v>0</v>
      </c>
      <c r="K1618" s="20">
        <f t="shared" si="192"/>
        <v>0</v>
      </c>
      <c r="L1618">
        <v>0</v>
      </c>
      <c r="M1618">
        <v>0</v>
      </c>
      <c r="N1618" s="21">
        <f t="shared" si="193"/>
        <v>0</v>
      </c>
      <c r="O1618">
        <v>0</v>
      </c>
      <c r="P1618">
        <v>0</v>
      </c>
      <c r="Q1618" s="21">
        <f t="shared" si="187"/>
        <v>0</v>
      </c>
      <c r="R1618">
        <v>15</v>
      </c>
      <c r="S1618">
        <v>10</v>
      </c>
      <c r="T1618" s="21">
        <f t="shared" si="188"/>
        <v>6750000</v>
      </c>
      <c r="U1618">
        <v>15</v>
      </c>
      <c r="V1618">
        <v>10</v>
      </c>
      <c r="W1618" s="21">
        <f t="shared" si="189"/>
        <v>6750000</v>
      </c>
      <c r="X1618">
        <v>0</v>
      </c>
      <c r="Y1618">
        <v>0</v>
      </c>
      <c r="Z1618" s="21">
        <f t="shared" si="190"/>
        <v>0</v>
      </c>
      <c r="AA1618">
        <v>0</v>
      </c>
      <c r="AB1618">
        <v>0</v>
      </c>
      <c r="AC1618" s="21">
        <f t="shared" si="191"/>
        <v>0</v>
      </c>
      <c r="AD1618">
        <v>0</v>
      </c>
      <c r="AE1618">
        <v>0</v>
      </c>
      <c r="AF1618" s="21">
        <f t="shared" si="194"/>
        <v>0</v>
      </c>
    </row>
    <row r="1619" spans="1:32" ht="15" customHeight="1" x14ac:dyDescent="0.3">
      <c r="B1619" s="2" t="s">
        <v>696</v>
      </c>
      <c r="C1619" s="4" t="s">
        <v>691</v>
      </c>
      <c r="D1619" s="3" t="s">
        <v>658</v>
      </c>
      <c r="E1619" s="6" t="s">
        <v>49</v>
      </c>
      <c r="F1619" s="6" t="s">
        <v>381</v>
      </c>
      <c r="G1619" s="6" t="s">
        <v>712</v>
      </c>
      <c r="H1619" s="23">
        <v>214.29</v>
      </c>
      <c r="I1619">
        <v>0</v>
      </c>
      <c r="J1619">
        <v>0</v>
      </c>
      <c r="K1619" s="20">
        <f t="shared" si="192"/>
        <v>0</v>
      </c>
      <c r="L1619">
        <v>0</v>
      </c>
      <c r="M1619">
        <v>0</v>
      </c>
      <c r="N1619" s="21">
        <f t="shared" si="193"/>
        <v>0</v>
      </c>
      <c r="O1619">
        <v>0</v>
      </c>
      <c r="P1619">
        <v>0</v>
      </c>
      <c r="Q1619" s="21">
        <f t="shared" si="187"/>
        <v>0</v>
      </c>
      <c r="R1619">
        <v>20000</v>
      </c>
      <c r="S1619">
        <v>1</v>
      </c>
      <c r="T1619" s="21">
        <f t="shared" si="188"/>
        <v>4285800</v>
      </c>
      <c r="U1619">
        <v>20000</v>
      </c>
      <c r="V1619">
        <v>1</v>
      </c>
      <c r="W1619" s="21">
        <f t="shared" si="189"/>
        <v>4285800</v>
      </c>
      <c r="X1619">
        <v>0</v>
      </c>
      <c r="Y1619">
        <v>0</v>
      </c>
      <c r="Z1619" s="21">
        <f t="shared" si="190"/>
        <v>0</v>
      </c>
      <c r="AA1619">
        <v>0</v>
      </c>
      <c r="AB1619">
        <v>0</v>
      </c>
      <c r="AC1619" s="21">
        <f t="shared" si="191"/>
        <v>0</v>
      </c>
      <c r="AD1619">
        <v>0</v>
      </c>
      <c r="AE1619">
        <v>0</v>
      </c>
      <c r="AF1619" s="21">
        <f t="shared" si="194"/>
        <v>0</v>
      </c>
    </row>
    <row r="1620" spans="1:32" ht="15" customHeight="1" x14ac:dyDescent="0.3">
      <c r="B1620" s="2" t="s">
        <v>696</v>
      </c>
      <c r="C1620" s="4" t="s">
        <v>691</v>
      </c>
      <c r="D1620" s="3" t="s">
        <v>658</v>
      </c>
      <c r="E1620" s="6" t="s">
        <v>49</v>
      </c>
      <c r="F1620" s="6" t="s">
        <v>377</v>
      </c>
      <c r="G1620" s="6" t="s">
        <v>718</v>
      </c>
      <c r="H1620" s="23">
        <v>0</v>
      </c>
      <c r="I1620">
        <v>0</v>
      </c>
      <c r="J1620">
        <v>0</v>
      </c>
      <c r="K1620" s="20">
        <f t="shared" si="192"/>
        <v>0</v>
      </c>
      <c r="L1620">
        <v>0</v>
      </c>
      <c r="M1620">
        <v>0</v>
      </c>
      <c r="N1620" s="21">
        <f t="shared" si="193"/>
        <v>0</v>
      </c>
      <c r="O1620">
        <v>0</v>
      </c>
      <c r="P1620">
        <v>0</v>
      </c>
      <c r="Q1620" s="21">
        <f t="shared" si="187"/>
        <v>0</v>
      </c>
      <c r="R1620">
        <v>0</v>
      </c>
      <c r="S1620">
        <v>0</v>
      </c>
      <c r="T1620" s="21">
        <f t="shared" si="188"/>
        <v>0</v>
      </c>
      <c r="U1620">
        <v>0</v>
      </c>
      <c r="V1620">
        <v>0</v>
      </c>
      <c r="W1620" s="21">
        <f t="shared" si="189"/>
        <v>0</v>
      </c>
      <c r="X1620">
        <v>0</v>
      </c>
      <c r="Y1620">
        <v>0</v>
      </c>
      <c r="Z1620" s="21">
        <f t="shared" si="190"/>
        <v>0</v>
      </c>
      <c r="AA1620">
        <v>0</v>
      </c>
      <c r="AB1620">
        <v>0</v>
      </c>
      <c r="AC1620" s="21">
        <f t="shared" si="191"/>
        <v>0</v>
      </c>
      <c r="AD1620">
        <v>0</v>
      </c>
      <c r="AE1620">
        <v>0</v>
      </c>
      <c r="AF1620" s="21">
        <f t="shared" si="194"/>
        <v>0</v>
      </c>
    </row>
    <row r="1621" spans="1:32" ht="15" customHeight="1" x14ac:dyDescent="0.3">
      <c r="B1621" s="2" t="s">
        <v>696</v>
      </c>
      <c r="C1621" s="4" t="s">
        <v>691</v>
      </c>
      <c r="D1621" s="3" t="s">
        <v>658</v>
      </c>
      <c r="E1621" s="6" t="s">
        <v>49</v>
      </c>
      <c r="F1621" s="6" t="s">
        <v>338</v>
      </c>
      <c r="G1621" s="6" t="s">
        <v>753</v>
      </c>
      <c r="H1621" s="23">
        <v>10000000</v>
      </c>
      <c r="I1621">
        <v>0</v>
      </c>
      <c r="J1621">
        <v>0</v>
      </c>
      <c r="K1621" s="20">
        <f t="shared" si="192"/>
        <v>0</v>
      </c>
      <c r="L1621">
        <v>0</v>
      </c>
      <c r="M1621">
        <v>0</v>
      </c>
      <c r="N1621" s="21">
        <f t="shared" si="193"/>
        <v>0</v>
      </c>
      <c r="O1621">
        <v>0</v>
      </c>
      <c r="P1621">
        <v>0</v>
      </c>
      <c r="Q1621" s="21">
        <f t="shared" si="187"/>
        <v>0</v>
      </c>
      <c r="R1621">
        <v>1</v>
      </c>
      <c r="S1621">
        <v>1</v>
      </c>
      <c r="T1621" s="21">
        <f t="shared" si="188"/>
        <v>10000000</v>
      </c>
      <c r="U1621">
        <v>1</v>
      </c>
      <c r="V1621">
        <v>1</v>
      </c>
      <c r="W1621" s="21">
        <f t="shared" si="189"/>
        <v>10000000</v>
      </c>
      <c r="X1621">
        <v>0</v>
      </c>
      <c r="Y1621">
        <v>0</v>
      </c>
      <c r="Z1621" s="21">
        <f t="shared" si="190"/>
        <v>0</v>
      </c>
      <c r="AA1621">
        <v>0</v>
      </c>
      <c r="AB1621">
        <v>0</v>
      </c>
      <c r="AC1621" s="21">
        <f t="shared" si="191"/>
        <v>0</v>
      </c>
      <c r="AD1621">
        <v>0</v>
      </c>
      <c r="AE1621">
        <v>0</v>
      </c>
      <c r="AF1621" s="21">
        <f t="shared" si="194"/>
        <v>0</v>
      </c>
    </row>
    <row r="1622" spans="1:32" ht="15" customHeight="1" x14ac:dyDescent="0.3">
      <c r="B1622" s="2" t="s">
        <v>696</v>
      </c>
      <c r="C1622" s="4" t="s">
        <v>691</v>
      </c>
      <c r="D1622" s="3" t="s">
        <v>658</v>
      </c>
      <c r="E1622" s="6" t="s">
        <v>49</v>
      </c>
      <c r="F1622" s="6" t="s">
        <v>382</v>
      </c>
      <c r="G1622" s="6" t="s">
        <v>718</v>
      </c>
      <c r="H1622" s="23">
        <v>0</v>
      </c>
      <c r="I1622">
        <v>0</v>
      </c>
      <c r="J1622">
        <v>0</v>
      </c>
      <c r="K1622" s="20">
        <f t="shared" si="192"/>
        <v>0</v>
      </c>
      <c r="L1622">
        <v>0</v>
      </c>
      <c r="M1622">
        <v>0</v>
      </c>
      <c r="N1622" s="21">
        <f t="shared" si="193"/>
        <v>0</v>
      </c>
      <c r="O1622">
        <v>0</v>
      </c>
      <c r="P1622">
        <v>0</v>
      </c>
      <c r="Q1622" s="21">
        <f t="shared" si="187"/>
        <v>0</v>
      </c>
      <c r="R1622">
        <v>0</v>
      </c>
      <c r="S1622">
        <v>0</v>
      </c>
      <c r="T1622" s="21">
        <f t="shared" si="188"/>
        <v>0</v>
      </c>
      <c r="U1622">
        <v>0</v>
      </c>
      <c r="V1622">
        <v>0</v>
      </c>
      <c r="W1622" s="21">
        <f t="shared" si="189"/>
        <v>0</v>
      </c>
      <c r="X1622">
        <v>0</v>
      </c>
      <c r="Y1622">
        <v>0</v>
      </c>
      <c r="Z1622" s="21">
        <f t="shared" si="190"/>
        <v>0</v>
      </c>
      <c r="AA1622">
        <v>0</v>
      </c>
      <c r="AB1622">
        <v>0</v>
      </c>
      <c r="AC1622" s="21">
        <f t="shared" si="191"/>
        <v>0</v>
      </c>
      <c r="AD1622">
        <v>0</v>
      </c>
      <c r="AE1622">
        <v>0</v>
      </c>
      <c r="AF1622" s="21">
        <f t="shared" si="194"/>
        <v>0</v>
      </c>
    </row>
    <row r="1623" spans="1:32" ht="15" customHeight="1" x14ac:dyDescent="0.3">
      <c r="A1623">
        <v>3</v>
      </c>
      <c r="B1623" s="2" t="s">
        <v>696</v>
      </c>
      <c r="C1623" s="4" t="s">
        <v>691</v>
      </c>
      <c r="D1623" s="3" t="s">
        <v>659</v>
      </c>
      <c r="E1623" s="6" t="s">
        <v>50</v>
      </c>
      <c r="F1623" s="6" t="s">
        <v>383</v>
      </c>
      <c r="G1623" s="6" t="s">
        <v>709</v>
      </c>
      <c r="H1623" s="23">
        <v>28000</v>
      </c>
      <c r="I1623">
        <v>0</v>
      </c>
      <c r="J1623">
        <v>0</v>
      </c>
      <c r="K1623" s="20">
        <f t="shared" si="192"/>
        <v>0</v>
      </c>
      <c r="L1623">
        <v>0</v>
      </c>
      <c r="M1623">
        <v>0</v>
      </c>
      <c r="N1623" s="21">
        <f t="shared" si="193"/>
        <v>0</v>
      </c>
      <c r="O1623">
        <v>20</v>
      </c>
      <c r="P1623">
        <v>1</v>
      </c>
      <c r="Q1623" s="21">
        <f t="shared" si="187"/>
        <v>560000</v>
      </c>
      <c r="R1623">
        <v>0</v>
      </c>
      <c r="S1623">
        <v>0</v>
      </c>
      <c r="T1623" s="21">
        <f t="shared" si="188"/>
        <v>0</v>
      </c>
      <c r="U1623">
        <v>0</v>
      </c>
      <c r="V1623">
        <v>0</v>
      </c>
      <c r="W1623" s="21">
        <f t="shared" si="189"/>
        <v>0</v>
      </c>
      <c r="X1623">
        <v>0</v>
      </c>
      <c r="Y1623">
        <v>0</v>
      </c>
      <c r="Z1623" s="21">
        <f t="shared" si="190"/>
        <v>0</v>
      </c>
      <c r="AA1623">
        <v>0</v>
      </c>
      <c r="AB1623">
        <v>0</v>
      </c>
      <c r="AC1623" s="21">
        <f t="shared" si="191"/>
        <v>0</v>
      </c>
      <c r="AD1623">
        <v>0</v>
      </c>
      <c r="AE1623">
        <v>0</v>
      </c>
      <c r="AF1623" s="21">
        <f t="shared" si="194"/>
        <v>0</v>
      </c>
    </row>
    <row r="1624" spans="1:32" ht="15" customHeight="1" x14ac:dyDescent="0.3">
      <c r="A1624">
        <v>3</v>
      </c>
      <c r="B1624" s="2" t="s">
        <v>696</v>
      </c>
      <c r="C1624" s="4" t="s">
        <v>691</v>
      </c>
      <c r="D1624" s="3" t="s">
        <v>659</v>
      </c>
      <c r="E1624" s="6" t="s">
        <v>51</v>
      </c>
      <c r="F1624" s="6" t="s">
        <v>155</v>
      </c>
      <c r="G1624" s="6" t="s">
        <v>718</v>
      </c>
      <c r="H1624" s="23">
        <v>0</v>
      </c>
      <c r="I1624">
        <v>0</v>
      </c>
      <c r="J1624">
        <v>0</v>
      </c>
      <c r="K1624" s="20">
        <f t="shared" si="192"/>
        <v>0</v>
      </c>
      <c r="L1624">
        <v>0</v>
      </c>
      <c r="M1624">
        <v>0</v>
      </c>
      <c r="N1624" s="21">
        <f t="shared" si="193"/>
        <v>0</v>
      </c>
      <c r="O1624">
        <v>0</v>
      </c>
      <c r="P1624">
        <v>0</v>
      </c>
      <c r="Q1624" s="21">
        <f t="shared" si="187"/>
        <v>0</v>
      </c>
      <c r="R1624">
        <v>0</v>
      </c>
      <c r="S1624">
        <v>0</v>
      </c>
      <c r="T1624" s="21">
        <f t="shared" si="188"/>
        <v>0</v>
      </c>
      <c r="U1624">
        <v>0</v>
      </c>
      <c r="V1624">
        <v>0</v>
      </c>
      <c r="W1624" s="21">
        <f t="shared" si="189"/>
        <v>0</v>
      </c>
      <c r="X1624">
        <v>0</v>
      </c>
      <c r="Y1624">
        <v>0</v>
      </c>
      <c r="Z1624" s="21">
        <f t="shared" si="190"/>
        <v>0</v>
      </c>
      <c r="AA1624">
        <v>0</v>
      </c>
      <c r="AB1624">
        <v>0</v>
      </c>
      <c r="AC1624" s="21">
        <f t="shared" si="191"/>
        <v>0</v>
      </c>
      <c r="AD1624">
        <v>0</v>
      </c>
      <c r="AE1624">
        <v>0</v>
      </c>
      <c r="AF1624" s="21">
        <f t="shared" si="194"/>
        <v>0</v>
      </c>
    </row>
    <row r="1625" spans="1:32" ht="15" customHeight="1" x14ac:dyDescent="0.3">
      <c r="A1625">
        <v>3</v>
      </c>
      <c r="B1625" s="2" t="s">
        <v>696</v>
      </c>
      <c r="C1625" s="4" t="s">
        <v>691</v>
      </c>
      <c r="D1625" s="3" t="s">
        <v>659</v>
      </c>
      <c r="E1625" s="6" t="s">
        <v>51</v>
      </c>
      <c r="F1625" s="6" t="s">
        <v>169</v>
      </c>
      <c r="G1625" s="6" t="s">
        <v>718</v>
      </c>
      <c r="H1625" s="23">
        <v>0</v>
      </c>
      <c r="I1625">
        <v>0</v>
      </c>
      <c r="J1625">
        <v>0</v>
      </c>
      <c r="K1625" s="20">
        <f t="shared" si="192"/>
        <v>0</v>
      </c>
      <c r="L1625">
        <v>0</v>
      </c>
      <c r="M1625">
        <v>0</v>
      </c>
      <c r="N1625" s="21">
        <f t="shared" si="193"/>
        <v>0</v>
      </c>
      <c r="O1625">
        <v>0</v>
      </c>
      <c r="P1625">
        <v>0</v>
      </c>
      <c r="Q1625" s="21">
        <f t="shared" si="187"/>
        <v>0</v>
      </c>
      <c r="R1625">
        <v>0</v>
      </c>
      <c r="S1625">
        <v>0</v>
      </c>
      <c r="T1625" s="21">
        <f t="shared" si="188"/>
        <v>0</v>
      </c>
      <c r="U1625">
        <v>0</v>
      </c>
      <c r="V1625">
        <v>0</v>
      </c>
      <c r="W1625" s="21">
        <f t="shared" si="189"/>
        <v>0</v>
      </c>
      <c r="X1625">
        <v>0</v>
      </c>
      <c r="Y1625">
        <v>0</v>
      </c>
      <c r="Z1625" s="21">
        <f t="shared" si="190"/>
        <v>0</v>
      </c>
      <c r="AA1625">
        <v>0</v>
      </c>
      <c r="AB1625">
        <v>0</v>
      </c>
      <c r="AC1625" s="21">
        <f t="shared" si="191"/>
        <v>0</v>
      </c>
      <c r="AD1625">
        <v>0</v>
      </c>
      <c r="AE1625">
        <v>0</v>
      </c>
      <c r="AF1625" s="21">
        <f t="shared" si="194"/>
        <v>0</v>
      </c>
    </row>
    <row r="1626" spans="1:32" ht="15" customHeight="1" x14ac:dyDescent="0.3">
      <c r="A1626">
        <v>3</v>
      </c>
      <c r="B1626" s="2" t="s">
        <v>696</v>
      </c>
      <c r="C1626" s="4" t="s">
        <v>691</v>
      </c>
      <c r="D1626" s="3" t="s">
        <v>659</v>
      </c>
      <c r="E1626" s="6" t="s">
        <v>51</v>
      </c>
      <c r="F1626" s="6" t="s">
        <v>384</v>
      </c>
      <c r="G1626" s="6" t="s">
        <v>707</v>
      </c>
      <c r="H1626" s="23">
        <v>391991.03749999998</v>
      </c>
      <c r="I1626">
        <v>0</v>
      </c>
      <c r="J1626">
        <v>0</v>
      </c>
      <c r="K1626" s="20">
        <f t="shared" si="192"/>
        <v>0</v>
      </c>
      <c r="L1626">
        <v>0</v>
      </c>
      <c r="M1626">
        <v>0</v>
      </c>
      <c r="N1626" s="21">
        <f t="shared" si="193"/>
        <v>0</v>
      </c>
      <c r="O1626">
        <v>1</v>
      </c>
      <c r="P1626">
        <v>6</v>
      </c>
      <c r="Q1626" s="21">
        <f t="shared" si="187"/>
        <v>2351946.2249999996</v>
      </c>
      <c r="R1626">
        <v>0</v>
      </c>
      <c r="S1626">
        <v>0</v>
      </c>
      <c r="T1626" s="21">
        <f t="shared" si="188"/>
        <v>0</v>
      </c>
      <c r="U1626">
        <v>0</v>
      </c>
      <c r="V1626">
        <v>0</v>
      </c>
      <c r="W1626" s="21">
        <f t="shared" si="189"/>
        <v>0</v>
      </c>
      <c r="X1626">
        <v>0</v>
      </c>
      <c r="Y1626">
        <v>0</v>
      </c>
      <c r="Z1626" s="21">
        <f t="shared" si="190"/>
        <v>0</v>
      </c>
      <c r="AA1626">
        <v>0</v>
      </c>
      <c r="AB1626">
        <v>0</v>
      </c>
      <c r="AC1626" s="21">
        <f t="shared" si="191"/>
        <v>0</v>
      </c>
      <c r="AD1626">
        <v>0</v>
      </c>
      <c r="AE1626">
        <v>0</v>
      </c>
      <c r="AF1626" s="21">
        <f t="shared" si="194"/>
        <v>0</v>
      </c>
    </row>
    <row r="1627" spans="1:32" ht="15" customHeight="1" x14ac:dyDescent="0.3">
      <c r="A1627">
        <v>3</v>
      </c>
      <c r="B1627" s="2" t="s">
        <v>696</v>
      </c>
      <c r="C1627" s="4" t="s">
        <v>691</v>
      </c>
      <c r="D1627" s="3" t="s">
        <v>659</v>
      </c>
      <c r="E1627" s="6" t="s">
        <v>51</v>
      </c>
      <c r="F1627" s="6" t="s">
        <v>384</v>
      </c>
      <c r="G1627" s="6" t="s">
        <v>708</v>
      </c>
      <c r="H1627" s="23">
        <v>425000</v>
      </c>
      <c r="I1627">
        <v>0</v>
      </c>
      <c r="J1627">
        <v>0</v>
      </c>
      <c r="K1627" s="20">
        <f t="shared" si="192"/>
        <v>0</v>
      </c>
      <c r="L1627">
        <v>0</v>
      </c>
      <c r="M1627">
        <v>0</v>
      </c>
      <c r="N1627" s="21">
        <f t="shared" si="193"/>
        <v>0</v>
      </c>
      <c r="O1627">
        <v>1</v>
      </c>
      <c r="P1627">
        <v>40</v>
      </c>
      <c r="Q1627" s="21">
        <f t="shared" si="187"/>
        <v>17000000</v>
      </c>
      <c r="R1627">
        <v>0</v>
      </c>
      <c r="S1627">
        <v>0</v>
      </c>
      <c r="T1627" s="21">
        <f t="shared" si="188"/>
        <v>0</v>
      </c>
      <c r="U1627">
        <v>0</v>
      </c>
      <c r="V1627">
        <v>0</v>
      </c>
      <c r="W1627" s="21">
        <f t="shared" si="189"/>
        <v>0</v>
      </c>
      <c r="X1627">
        <v>0</v>
      </c>
      <c r="Y1627">
        <v>0</v>
      </c>
      <c r="Z1627" s="21">
        <f t="shared" si="190"/>
        <v>0</v>
      </c>
      <c r="AA1627">
        <v>0</v>
      </c>
      <c r="AB1627">
        <v>0</v>
      </c>
      <c r="AC1627" s="21">
        <f t="shared" si="191"/>
        <v>0</v>
      </c>
      <c r="AD1627">
        <v>0</v>
      </c>
      <c r="AE1627">
        <v>0</v>
      </c>
      <c r="AF1627" s="21">
        <f t="shared" si="194"/>
        <v>0</v>
      </c>
    </row>
    <row r="1628" spans="1:32" ht="15" customHeight="1" x14ac:dyDescent="0.3">
      <c r="A1628">
        <v>3</v>
      </c>
      <c r="B1628" s="2" t="s">
        <v>696</v>
      </c>
      <c r="C1628" s="4" t="s">
        <v>691</v>
      </c>
      <c r="D1628" s="3" t="s">
        <v>659</v>
      </c>
      <c r="E1628" s="6" t="s">
        <v>51</v>
      </c>
      <c r="F1628" s="6" t="s">
        <v>151</v>
      </c>
      <c r="G1628" s="6" t="s">
        <v>713</v>
      </c>
      <c r="H1628" s="23">
        <v>45000</v>
      </c>
      <c r="I1628">
        <v>0</v>
      </c>
      <c r="J1628">
        <v>0</v>
      </c>
      <c r="K1628" s="20">
        <f t="shared" si="192"/>
        <v>0</v>
      </c>
      <c r="L1628">
        <v>0</v>
      </c>
      <c r="M1628">
        <v>0</v>
      </c>
      <c r="N1628" s="21">
        <f t="shared" si="193"/>
        <v>0</v>
      </c>
      <c r="O1628">
        <v>15</v>
      </c>
      <c r="P1628">
        <v>10</v>
      </c>
      <c r="Q1628" s="21">
        <f t="shared" si="187"/>
        <v>6750000</v>
      </c>
      <c r="R1628">
        <v>0</v>
      </c>
      <c r="S1628">
        <v>0</v>
      </c>
      <c r="T1628" s="21">
        <f t="shared" si="188"/>
        <v>0</v>
      </c>
      <c r="U1628">
        <v>0</v>
      </c>
      <c r="V1628">
        <v>0</v>
      </c>
      <c r="W1628" s="21">
        <f t="shared" si="189"/>
        <v>0</v>
      </c>
      <c r="X1628">
        <v>0</v>
      </c>
      <c r="Y1628">
        <v>0</v>
      </c>
      <c r="Z1628" s="21">
        <f t="shared" si="190"/>
        <v>0</v>
      </c>
      <c r="AA1628">
        <v>0</v>
      </c>
      <c r="AB1628">
        <v>0</v>
      </c>
      <c r="AC1628" s="21">
        <f t="shared" si="191"/>
        <v>0</v>
      </c>
      <c r="AD1628">
        <v>0</v>
      </c>
      <c r="AE1628">
        <v>0</v>
      </c>
      <c r="AF1628" s="21">
        <f t="shared" si="194"/>
        <v>0</v>
      </c>
    </row>
    <row r="1629" spans="1:32" ht="15" customHeight="1" x14ac:dyDescent="0.3">
      <c r="A1629">
        <v>3</v>
      </c>
      <c r="B1629" s="2" t="s">
        <v>696</v>
      </c>
      <c r="C1629" s="4" t="s">
        <v>691</v>
      </c>
      <c r="D1629" s="3" t="s">
        <v>659</v>
      </c>
      <c r="E1629" s="6" t="s">
        <v>51</v>
      </c>
      <c r="F1629" s="6" t="s">
        <v>151</v>
      </c>
      <c r="G1629" s="6" t="s">
        <v>712</v>
      </c>
      <c r="H1629" s="23">
        <v>214.29</v>
      </c>
      <c r="I1629">
        <v>0</v>
      </c>
      <c r="J1629">
        <v>0</v>
      </c>
      <c r="K1629" s="20">
        <f t="shared" si="192"/>
        <v>0</v>
      </c>
      <c r="L1629">
        <v>0</v>
      </c>
      <c r="M1629">
        <v>0</v>
      </c>
      <c r="N1629" s="21">
        <f t="shared" si="193"/>
        <v>0</v>
      </c>
      <c r="O1629">
        <v>20000</v>
      </c>
      <c r="P1629">
        <v>1</v>
      </c>
      <c r="Q1629" s="21">
        <f t="shared" si="187"/>
        <v>4285800</v>
      </c>
      <c r="R1629">
        <v>0</v>
      </c>
      <c r="S1629">
        <v>0</v>
      </c>
      <c r="T1629" s="21">
        <f t="shared" si="188"/>
        <v>0</v>
      </c>
      <c r="U1629">
        <v>0</v>
      </c>
      <c r="V1629">
        <v>0</v>
      </c>
      <c r="W1629" s="21">
        <f t="shared" si="189"/>
        <v>0</v>
      </c>
      <c r="X1629">
        <v>0</v>
      </c>
      <c r="Y1629">
        <v>0</v>
      </c>
      <c r="Z1629" s="21">
        <f t="shared" si="190"/>
        <v>0</v>
      </c>
      <c r="AA1629">
        <v>0</v>
      </c>
      <c r="AB1629">
        <v>0</v>
      </c>
      <c r="AC1629" s="21">
        <f t="shared" si="191"/>
        <v>0</v>
      </c>
      <c r="AD1629">
        <v>0</v>
      </c>
      <c r="AE1629">
        <v>0</v>
      </c>
      <c r="AF1629" s="21">
        <f t="shared" si="194"/>
        <v>0</v>
      </c>
    </row>
    <row r="1630" spans="1:32" ht="15" customHeight="1" x14ac:dyDescent="0.3">
      <c r="A1630">
        <v>3</v>
      </c>
      <c r="B1630" s="2" t="s">
        <v>696</v>
      </c>
      <c r="C1630" s="4" t="s">
        <v>691</v>
      </c>
      <c r="D1630" s="3" t="s">
        <v>659</v>
      </c>
      <c r="E1630" s="6" t="s">
        <v>51</v>
      </c>
      <c r="F1630" s="6" t="s">
        <v>151</v>
      </c>
      <c r="G1630" s="6" t="s">
        <v>715</v>
      </c>
      <c r="H1630" s="23">
        <v>302000</v>
      </c>
      <c r="I1630">
        <v>0</v>
      </c>
      <c r="J1630">
        <v>0</v>
      </c>
      <c r="K1630" s="20">
        <f t="shared" si="192"/>
        <v>0</v>
      </c>
      <c r="L1630">
        <v>0</v>
      </c>
      <c r="M1630">
        <v>0</v>
      </c>
      <c r="N1630" s="21">
        <f t="shared" si="193"/>
        <v>0</v>
      </c>
      <c r="O1630">
        <v>20</v>
      </c>
      <c r="P1630">
        <v>1</v>
      </c>
      <c r="Q1630" s="21">
        <f t="shared" si="187"/>
        <v>6040000</v>
      </c>
      <c r="R1630">
        <v>0</v>
      </c>
      <c r="S1630">
        <v>0</v>
      </c>
      <c r="T1630" s="21">
        <f t="shared" si="188"/>
        <v>0</v>
      </c>
      <c r="U1630">
        <v>0</v>
      </c>
      <c r="V1630">
        <v>0</v>
      </c>
      <c r="W1630" s="21">
        <f t="shared" si="189"/>
        <v>0</v>
      </c>
      <c r="X1630">
        <v>0</v>
      </c>
      <c r="Y1630">
        <v>0</v>
      </c>
      <c r="Z1630" s="21">
        <f t="shared" si="190"/>
        <v>0</v>
      </c>
      <c r="AA1630">
        <v>0</v>
      </c>
      <c r="AB1630">
        <v>0</v>
      </c>
      <c r="AC1630" s="21">
        <f t="shared" si="191"/>
        <v>0</v>
      </c>
      <c r="AD1630">
        <v>0</v>
      </c>
      <c r="AE1630">
        <v>0</v>
      </c>
      <c r="AF1630" s="21">
        <f t="shared" si="194"/>
        <v>0</v>
      </c>
    </row>
    <row r="1631" spans="1:32" ht="15" customHeight="1" x14ac:dyDescent="0.3">
      <c r="A1631">
        <v>3</v>
      </c>
      <c r="B1631" s="2" t="s">
        <v>696</v>
      </c>
      <c r="C1631" s="4" t="s">
        <v>691</v>
      </c>
      <c r="D1631" s="3" t="s">
        <v>659</v>
      </c>
      <c r="E1631" s="6" t="s">
        <v>51</v>
      </c>
      <c r="F1631" s="6" t="s">
        <v>151</v>
      </c>
      <c r="G1631" s="6" t="s">
        <v>714</v>
      </c>
      <c r="H1631" s="23">
        <v>10000</v>
      </c>
      <c r="I1631">
        <v>0</v>
      </c>
      <c r="J1631">
        <v>0</v>
      </c>
      <c r="K1631" s="20">
        <f t="shared" si="192"/>
        <v>0</v>
      </c>
      <c r="L1631">
        <v>0</v>
      </c>
      <c r="M1631">
        <v>0</v>
      </c>
      <c r="N1631" s="21">
        <f t="shared" si="193"/>
        <v>0</v>
      </c>
      <c r="O1631">
        <v>15</v>
      </c>
      <c r="P1631">
        <v>1</v>
      </c>
      <c r="Q1631" s="21">
        <f t="shared" si="187"/>
        <v>150000</v>
      </c>
      <c r="R1631">
        <v>0</v>
      </c>
      <c r="S1631">
        <v>0</v>
      </c>
      <c r="T1631" s="21">
        <f t="shared" si="188"/>
        <v>0</v>
      </c>
      <c r="U1631">
        <v>0</v>
      </c>
      <c r="V1631">
        <v>0</v>
      </c>
      <c r="W1631" s="21">
        <f t="shared" si="189"/>
        <v>0</v>
      </c>
      <c r="X1631">
        <v>0</v>
      </c>
      <c r="Y1631">
        <v>0</v>
      </c>
      <c r="Z1631" s="21">
        <f t="shared" si="190"/>
        <v>0</v>
      </c>
      <c r="AA1631">
        <v>0</v>
      </c>
      <c r="AB1631">
        <v>0</v>
      </c>
      <c r="AC1631" s="21">
        <f t="shared" si="191"/>
        <v>0</v>
      </c>
      <c r="AD1631">
        <v>0</v>
      </c>
      <c r="AE1631">
        <v>0</v>
      </c>
      <c r="AF1631" s="21">
        <f t="shared" si="194"/>
        <v>0</v>
      </c>
    </row>
    <row r="1632" spans="1:32" ht="15" customHeight="1" x14ac:dyDescent="0.3">
      <c r="A1632">
        <v>3</v>
      </c>
      <c r="B1632" s="2" t="s">
        <v>696</v>
      </c>
      <c r="C1632" s="4" t="s">
        <v>691</v>
      </c>
      <c r="D1632" s="3" t="s">
        <v>659</v>
      </c>
      <c r="E1632" s="6" t="s">
        <v>51</v>
      </c>
      <c r="F1632" s="6" t="s">
        <v>152</v>
      </c>
      <c r="G1632" s="6" t="s">
        <v>716</v>
      </c>
      <c r="H1632" s="23">
        <v>39000</v>
      </c>
      <c r="I1632">
        <v>0</v>
      </c>
      <c r="J1632">
        <v>0</v>
      </c>
      <c r="K1632" s="20">
        <f t="shared" si="192"/>
        <v>0</v>
      </c>
      <c r="L1632">
        <v>0</v>
      </c>
      <c r="M1632">
        <v>0</v>
      </c>
      <c r="N1632" s="21">
        <f t="shared" si="193"/>
        <v>0</v>
      </c>
      <c r="O1632">
        <v>20</v>
      </c>
      <c r="P1632">
        <v>5</v>
      </c>
      <c r="Q1632" s="21">
        <f t="shared" si="187"/>
        <v>3900000</v>
      </c>
      <c r="R1632">
        <v>0</v>
      </c>
      <c r="S1632">
        <v>0</v>
      </c>
      <c r="T1632" s="21">
        <f t="shared" si="188"/>
        <v>0</v>
      </c>
      <c r="U1632">
        <v>0</v>
      </c>
      <c r="V1632">
        <v>0</v>
      </c>
      <c r="W1632" s="21">
        <f t="shared" si="189"/>
        <v>0</v>
      </c>
      <c r="X1632">
        <v>0</v>
      </c>
      <c r="Y1632">
        <v>0</v>
      </c>
      <c r="Z1632" s="21">
        <f t="shared" si="190"/>
        <v>0</v>
      </c>
      <c r="AA1632">
        <v>0</v>
      </c>
      <c r="AB1632">
        <v>0</v>
      </c>
      <c r="AC1632" s="21">
        <f t="shared" si="191"/>
        <v>0</v>
      </c>
      <c r="AD1632">
        <v>0</v>
      </c>
      <c r="AE1632">
        <v>0</v>
      </c>
      <c r="AF1632" s="21">
        <f t="shared" si="194"/>
        <v>0</v>
      </c>
    </row>
    <row r="1633" spans="1:32" ht="15" customHeight="1" x14ac:dyDescent="0.3">
      <c r="A1633">
        <v>3</v>
      </c>
      <c r="B1633" s="2" t="s">
        <v>696</v>
      </c>
      <c r="C1633" s="4" t="s">
        <v>691</v>
      </c>
      <c r="D1633" s="3" t="s">
        <v>659</v>
      </c>
      <c r="E1633" s="6" t="s">
        <v>51</v>
      </c>
      <c r="F1633" s="6" t="s">
        <v>152</v>
      </c>
      <c r="G1633" s="6" t="s">
        <v>709</v>
      </c>
      <c r="H1633" s="23">
        <v>28000</v>
      </c>
      <c r="I1633">
        <v>0</v>
      </c>
      <c r="J1633">
        <v>0</v>
      </c>
      <c r="K1633" s="20">
        <f t="shared" si="192"/>
        <v>0</v>
      </c>
      <c r="L1633">
        <v>0</v>
      </c>
      <c r="M1633">
        <v>0</v>
      </c>
      <c r="N1633" s="21">
        <f t="shared" si="193"/>
        <v>0</v>
      </c>
      <c r="O1633">
        <v>20</v>
      </c>
      <c r="P1633">
        <v>5</v>
      </c>
      <c r="Q1633" s="21">
        <f t="shared" si="187"/>
        <v>2800000</v>
      </c>
      <c r="R1633">
        <v>0</v>
      </c>
      <c r="S1633">
        <v>0</v>
      </c>
      <c r="T1633" s="21">
        <f t="shared" si="188"/>
        <v>0</v>
      </c>
      <c r="U1633">
        <v>0</v>
      </c>
      <c r="V1633">
        <v>0</v>
      </c>
      <c r="W1633" s="21">
        <f t="shared" si="189"/>
        <v>0</v>
      </c>
      <c r="X1633">
        <v>0</v>
      </c>
      <c r="Y1633">
        <v>0</v>
      </c>
      <c r="Z1633" s="21">
        <f t="shared" si="190"/>
        <v>0</v>
      </c>
      <c r="AA1633">
        <v>0</v>
      </c>
      <c r="AB1633">
        <v>0</v>
      </c>
      <c r="AC1633" s="21">
        <f t="shared" si="191"/>
        <v>0</v>
      </c>
      <c r="AD1633">
        <v>0</v>
      </c>
      <c r="AE1633">
        <v>0</v>
      </c>
      <c r="AF1633" s="21">
        <f t="shared" si="194"/>
        <v>0</v>
      </c>
    </row>
    <row r="1634" spans="1:32" ht="15" customHeight="1" x14ac:dyDescent="0.3">
      <c r="A1634">
        <v>3</v>
      </c>
      <c r="B1634" s="2" t="s">
        <v>696</v>
      </c>
      <c r="C1634" s="4" t="s">
        <v>691</v>
      </c>
      <c r="D1634" s="3" t="s">
        <v>659</v>
      </c>
      <c r="E1634" s="6" t="s">
        <v>51</v>
      </c>
      <c r="F1634" s="6" t="s">
        <v>152</v>
      </c>
      <c r="G1634" s="6" t="s">
        <v>712</v>
      </c>
      <c r="H1634" s="23">
        <v>214.29</v>
      </c>
      <c r="I1634">
        <v>0</v>
      </c>
      <c r="J1634">
        <v>0</v>
      </c>
      <c r="K1634" s="20">
        <f t="shared" si="192"/>
        <v>0</v>
      </c>
      <c r="L1634">
        <v>0</v>
      </c>
      <c r="M1634">
        <v>0</v>
      </c>
      <c r="N1634" s="21">
        <f t="shared" si="193"/>
        <v>0</v>
      </c>
      <c r="O1634">
        <v>4000</v>
      </c>
      <c r="P1634">
        <v>1</v>
      </c>
      <c r="Q1634" s="21">
        <f t="shared" si="187"/>
        <v>857160</v>
      </c>
      <c r="R1634">
        <v>0</v>
      </c>
      <c r="S1634">
        <v>0</v>
      </c>
      <c r="T1634" s="21">
        <f t="shared" si="188"/>
        <v>0</v>
      </c>
      <c r="U1634">
        <v>0</v>
      </c>
      <c r="V1634">
        <v>0</v>
      </c>
      <c r="W1634" s="21">
        <f t="shared" si="189"/>
        <v>0</v>
      </c>
      <c r="X1634">
        <v>0</v>
      </c>
      <c r="Y1634">
        <v>0</v>
      </c>
      <c r="Z1634" s="21">
        <f t="shared" si="190"/>
        <v>0</v>
      </c>
      <c r="AA1634">
        <v>0</v>
      </c>
      <c r="AB1634">
        <v>0</v>
      </c>
      <c r="AC1634" s="21">
        <f t="shared" si="191"/>
        <v>0</v>
      </c>
      <c r="AD1634">
        <v>0</v>
      </c>
      <c r="AE1634">
        <v>0</v>
      </c>
      <c r="AF1634" s="21">
        <f t="shared" si="194"/>
        <v>0</v>
      </c>
    </row>
    <row r="1635" spans="1:32" ht="15" customHeight="1" x14ac:dyDescent="0.3">
      <c r="A1635">
        <v>3</v>
      </c>
      <c r="B1635" s="2" t="s">
        <v>696</v>
      </c>
      <c r="C1635" s="4" t="s">
        <v>691</v>
      </c>
      <c r="D1635" s="3" t="s">
        <v>659</v>
      </c>
      <c r="E1635" s="6" t="s">
        <v>51</v>
      </c>
      <c r="F1635" s="6" t="s">
        <v>153</v>
      </c>
      <c r="G1635" s="6" t="s">
        <v>716</v>
      </c>
      <c r="H1635" s="23">
        <v>39000</v>
      </c>
      <c r="I1635">
        <v>0</v>
      </c>
      <c r="J1635">
        <v>0</v>
      </c>
      <c r="K1635" s="20">
        <f t="shared" si="192"/>
        <v>0</v>
      </c>
      <c r="L1635">
        <v>0</v>
      </c>
      <c r="M1635">
        <v>0</v>
      </c>
      <c r="N1635" s="21">
        <f t="shared" si="193"/>
        <v>0</v>
      </c>
      <c r="O1635">
        <v>20</v>
      </c>
      <c r="P1635">
        <v>5</v>
      </c>
      <c r="Q1635" s="21">
        <f t="shared" si="187"/>
        <v>3900000</v>
      </c>
      <c r="R1635">
        <v>0</v>
      </c>
      <c r="S1635">
        <v>0</v>
      </c>
      <c r="T1635" s="21">
        <f t="shared" si="188"/>
        <v>0</v>
      </c>
      <c r="U1635">
        <v>0</v>
      </c>
      <c r="V1635">
        <v>0</v>
      </c>
      <c r="W1635" s="21">
        <f t="shared" si="189"/>
        <v>0</v>
      </c>
      <c r="X1635">
        <v>0</v>
      </c>
      <c r="Y1635">
        <v>0</v>
      </c>
      <c r="Z1635" s="21">
        <f t="shared" si="190"/>
        <v>0</v>
      </c>
      <c r="AA1635">
        <v>0</v>
      </c>
      <c r="AB1635">
        <v>0</v>
      </c>
      <c r="AC1635" s="21">
        <f t="shared" si="191"/>
        <v>0</v>
      </c>
      <c r="AD1635">
        <v>0</v>
      </c>
      <c r="AE1635">
        <v>0</v>
      </c>
      <c r="AF1635" s="21">
        <f t="shared" si="194"/>
        <v>0</v>
      </c>
    </row>
    <row r="1636" spans="1:32" ht="15" customHeight="1" x14ac:dyDescent="0.3">
      <c r="A1636">
        <v>3</v>
      </c>
      <c r="B1636" s="2" t="s">
        <v>696</v>
      </c>
      <c r="C1636" s="4" t="s">
        <v>691</v>
      </c>
      <c r="D1636" s="3" t="s">
        <v>659</v>
      </c>
      <c r="E1636" s="6" t="s">
        <v>51</v>
      </c>
      <c r="F1636" s="6" t="s">
        <v>153</v>
      </c>
      <c r="G1636" s="6" t="s">
        <v>709</v>
      </c>
      <c r="H1636" s="23">
        <v>28000</v>
      </c>
      <c r="I1636">
        <v>0</v>
      </c>
      <c r="J1636">
        <v>0</v>
      </c>
      <c r="K1636" s="20">
        <f t="shared" si="192"/>
        <v>0</v>
      </c>
      <c r="L1636">
        <v>0</v>
      </c>
      <c r="M1636">
        <v>0</v>
      </c>
      <c r="N1636" s="21">
        <f t="shared" si="193"/>
        <v>0</v>
      </c>
      <c r="O1636">
        <v>20</v>
      </c>
      <c r="P1636">
        <v>5</v>
      </c>
      <c r="Q1636" s="21">
        <f t="shared" si="187"/>
        <v>2800000</v>
      </c>
      <c r="R1636">
        <v>0</v>
      </c>
      <c r="S1636">
        <v>0</v>
      </c>
      <c r="T1636" s="21">
        <f t="shared" si="188"/>
        <v>0</v>
      </c>
      <c r="U1636">
        <v>0</v>
      </c>
      <c r="V1636">
        <v>0</v>
      </c>
      <c r="W1636" s="21">
        <f t="shared" si="189"/>
        <v>0</v>
      </c>
      <c r="X1636">
        <v>0</v>
      </c>
      <c r="Y1636">
        <v>0</v>
      </c>
      <c r="Z1636" s="21">
        <f t="shared" si="190"/>
        <v>0</v>
      </c>
      <c r="AA1636">
        <v>0</v>
      </c>
      <c r="AB1636">
        <v>0</v>
      </c>
      <c r="AC1636" s="21">
        <f t="shared" si="191"/>
        <v>0</v>
      </c>
      <c r="AD1636">
        <v>0</v>
      </c>
      <c r="AE1636">
        <v>0</v>
      </c>
      <c r="AF1636" s="21">
        <f t="shared" si="194"/>
        <v>0</v>
      </c>
    </row>
    <row r="1637" spans="1:32" ht="15" customHeight="1" x14ac:dyDescent="0.3">
      <c r="A1637">
        <v>3</v>
      </c>
      <c r="B1637" s="2" t="s">
        <v>696</v>
      </c>
      <c r="C1637" s="4" t="s">
        <v>691</v>
      </c>
      <c r="D1637" s="3" t="s">
        <v>659</v>
      </c>
      <c r="E1637" s="6" t="s">
        <v>51</v>
      </c>
      <c r="F1637" s="6" t="s">
        <v>153</v>
      </c>
      <c r="G1637" s="6" t="s">
        <v>712</v>
      </c>
      <c r="H1637" s="23">
        <v>214.29</v>
      </c>
      <c r="I1637">
        <v>0</v>
      </c>
      <c r="J1637">
        <v>0</v>
      </c>
      <c r="K1637" s="20">
        <f t="shared" si="192"/>
        <v>0</v>
      </c>
      <c r="L1637">
        <v>0</v>
      </c>
      <c r="M1637">
        <v>0</v>
      </c>
      <c r="N1637" s="21">
        <f t="shared" si="193"/>
        <v>0</v>
      </c>
      <c r="O1637">
        <v>4000</v>
      </c>
      <c r="P1637">
        <v>1</v>
      </c>
      <c r="Q1637" s="21">
        <f t="shared" si="187"/>
        <v>857160</v>
      </c>
      <c r="R1637">
        <v>0</v>
      </c>
      <c r="S1637">
        <v>0</v>
      </c>
      <c r="T1637" s="21">
        <f t="shared" si="188"/>
        <v>0</v>
      </c>
      <c r="U1637">
        <v>0</v>
      </c>
      <c r="V1637">
        <v>0</v>
      </c>
      <c r="W1637" s="21">
        <f t="shared" si="189"/>
        <v>0</v>
      </c>
      <c r="X1637">
        <v>0</v>
      </c>
      <c r="Y1637">
        <v>0</v>
      </c>
      <c r="Z1637" s="21">
        <f t="shared" si="190"/>
        <v>0</v>
      </c>
      <c r="AA1637">
        <v>0</v>
      </c>
      <c r="AB1637">
        <v>0</v>
      </c>
      <c r="AC1637" s="21">
        <f t="shared" si="191"/>
        <v>0</v>
      </c>
      <c r="AD1637">
        <v>0</v>
      </c>
      <c r="AE1637">
        <v>0</v>
      </c>
      <c r="AF1637" s="21">
        <f t="shared" si="194"/>
        <v>0</v>
      </c>
    </row>
    <row r="1638" spans="1:32" ht="15" customHeight="1" x14ac:dyDescent="0.3">
      <c r="A1638">
        <v>3</v>
      </c>
      <c r="B1638" s="2" t="s">
        <v>696</v>
      </c>
      <c r="C1638" s="4" t="s">
        <v>691</v>
      </c>
      <c r="D1638" s="3" t="s">
        <v>659</v>
      </c>
      <c r="E1638" s="6" t="s">
        <v>51</v>
      </c>
      <c r="F1638" s="6" t="s">
        <v>156</v>
      </c>
      <c r="G1638" s="6" t="s">
        <v>709</v>
      </c>
      <c r="H1638" s="23">
        <v>28000</v>
      </c>
      <c r="I1638">
        <v>0</v>
      </c>
      <c r="J1638">
        <v>0</v>
      </c>
      <c r="K1638" s="20">
        <f t="shared" si="192"/>
        <v>0</v>
      </c>
      <c r="L1638">
        <v>0</v>
      </c>
      <c r="M1638">
        <v>0</v>
      </c>
      <c r="N1638" s="21">
        <f t="shared" si="193"/>
        <v>0</v>
      </c>
      <c r="O1638">
        <v>50</v>
      </c>
      <c r="P1638">
        <v>1</v>
      </c>
      <c r="Q1638" s="21">
        <f t="shared" si="187"/>
        <v>1400000</v>
      </c>
      <c r="R1638">
        <v>0</v>
      </c>
      <c r="S1638">
        <v>0</v>
      </c>
      <c r="T1638" s="21">
        <f t="shared" si="188"/>
        <v>0</v>
      </c>
      <c r="U1638">
        <v>0</v>
      </c>
      <c r="V1638">
        <v>0</v>
      </c>
      <c r="W1638" s="21">
        <f t="shared" si="189"/>
        <v>0</v>
      </c>
      <c r="X1638">
        <v>0</v>
      </c>
      <c r="Y1638">
        <v>0</v>
      </c>
      <c r="Z1638" s="21">
        <f t="shared" si="190"/>
        <v>0</v>
      </c>
      <c r="AA1638">
        <v>0</v>
      </c>
      <c r="AB1638">
        <v>0</v>
      </c>
      <c r="AC1638" s="21">
        <f t="shared" si="191"/>
        <v>0</v>
      </c>
      <c r="AD1638">
        <v>0</v>
      </c>
      <c r="AE1638">
        <v>0</v>
      </c>
      <c r="AF1638" s="21">
        <f t="shared" si="194"/>
        <v>0</v>
      </c>
    </row>
    <row r="1639" spans="1:32" ht="15" customHeight="1" x14ac:dyDescent="0.3">
      <c r="A1639">
        <v>3</v>
      </c>
      <c r="B1639" s="2" t="s">
        <v>696</v>
      </c>
      <c r="C1639" s="4" t="s">
        <v>691</v>
      </c>
      <c r="D1639" s="3" t="s">
        <v>659</v>
      </c>
      <c r="E1639" s="6" t="s">
        <v>51</v>
      </c>
      <c r="F1639" s="6" t="s">
        <v>156</v>
      </c>
      <c r="G1639" s="6" t="s">
        <v>711</v>
      </c>
      <c r="H1639" s="23">
        <v>70</v>
      </c>
      <c r="I1639">
        <v>0</v>
      </c>
      <c r="J1639">
        <v>0</v>
      </c>
      <c r="K1639" s="20">
        <f t="shared" si="192"/>
        <v>0</v>
      </c>
      <c r="L1639">
        <v>0</v>
      </c>
      <c r="M1639">
        <v>0</v>
      </c>
      <c r="N1639" s="21">
        <f t="shared" si="193"/>
        <v>0</v>
      </c>
      <c r="O1639">
        <v>10000</v>
      </c>
      <c r="P1639">
        <v>1</v>
      </c>
      <c r="Q1639" s="21">
        <f t="shared" si="187"/>
        <v>700000</v>
      </c>
      <c r="R1639">
        <v>0</v>
      </c>
      <c r="S1639">
        <v>0</v>
      </c>
      <c r="T1639" s="21">
        <f t="shared" si="188"/>
        <v>0</v>
      </c>
      <c r="U1639">
        <v>0</v>
      </c>
      <c r="V1639">
        <v>0</v>
      </c>
      <c r="W1639" s="21">
        <f t="shared" si="189"/>
        <v>0</v>
      </c>
      <c r="X1639">
        <v>0</v>
      </c>
      <c r="Y1639">
        <v>0</v>
      </c>
      <c r="Z1639" s="21">
        <f t="shared" si="190"/>
        <v>0</v>
      </c>
      <c r="AA1639">
        <v>0</v>
      </c>
      <c r="AB1639">
        <v>0</v>
      </c>
      <c r="AC1639" s="21">
        <f t="shared" si="191"/>
        <v>0</v>
      </c>
      <c r="AD1639">
        <v>0</v>
      </c>
      <c r="AE1639">
        <v>0</v>
      </c>
      <c r="AF1639" s="21">
        <f t="shared" si="194"/>
        <v>0</v>
      </c>
    </row>
    <row r="1640" spans="1:32" ht="15" customHeight="1" x14ac:dyDescent="0.3">
      <c r="A1640">
        <v>3</v>
      </c>
      <c r="B1640" s="2" t="s">
        <v>696</v>
      </c>
      <c r="C1640" s="4" t="s">
        <v>691</v>
      </c>
      <c r="D1640" s="3" t="s">
        <v>659</v>
      </c>
      <c r="E1640" s="6" t="s">
        <v>51</v>
      </c>
      <c r="F1640" s="6" t="s">
        <v>156</v>
      </c>
      <c r="G1640" s="6" t="s">
        <v>717</v>
      </c>
      <c r="H1640" s="23">
        <v>104850</v>
      </c>
      <c r="I1640">
        <v>0</v>
      </c>
      <c r="J1640">
        <v>0</v>
      </c>
      <c r="K1640" s="20">
        <f t="shared" si="192"/>
        <v>0</v>
      </c>
      <c r="L1640">
        <v>0</v>
      </c>
      <c r="M1640">
        <v>0</v>
      </c>
      <c r="N1640" s="21">
        <f t="shared" si="193"/>
        <v>0</v>
      </c>
      <c r="O1640">
        <v>2</v>
      </c>
      <c r="P1640">
        <v>1</v>
      </c>
      <c r="Q1640" s="21">
        <f t="shared" si="187"/>
        <v>209700</v>
      </c>
      <c r="R1640">
        <v>0</v>
      </c>
      <c r="S1640">
        <v>0</v>
      </c>
      <c r="T1640" s="21">
        <f t="shared" si="188"/>
        <v>0</v>
      </c>
      <c r="U1640">
        <v>0</v>
      </c>
      <c r="V1640">
        <v>0</v>
      </c>
      <c r="W1640" s="21">
        <f t="shared" si="189"/>
        <v>0</v>
      </c>
      <c r="X1640">
        <v>0</v>
      </c>
      <c r="Y1640">
        <v>0</v>
      </c>
      <c r="Z1640" s="21">
        <f t="shared" si="190"/>
        <v>0</v>
      </c>
      <c r="AA1640">
        <v>0</v>
      </c>
      <c r="AB1640">
        <v>0</v>
      </c>
      <c r="AC1640" s="21">
        <f t="shared" si="191"/>
        <v>0</v>
      </c>
      <c r="AD1640">
        <v>0</v>
      </c>
      <c r="AE1640">
        <v>0</v>
      </c>
      <c r="AF1640" s="21">
        <f t="shared" si="194"/>
        <v>0</v>
      </c>
    </row>
    <row r="1641" spans="1:32" ht="15" customHeight="1" x14ac:dyDescent="0.3">
      <c r="A1641">
        <v>3</v>
      </c>
      <c r="B1641" s="2" t="s">
        <v>696</v>
      </c>
      <c r="C1641" s="4" t="s">
        <v>691</v>
      </c>
      <c r="D1641" s="3" t="s">
        <v>659</v>
      </c>
      <c r="E1641" s="6" t="s">
        <v>52</v>
      </c>
      <c r="F1641" s="6" t="s">
        <v>764</v>
      </c>
      <c r="G1641" s="6" t="s">
        <v>709</v>
      </c>
      <c r="H1641" s="23">
        <v>28000</v>
      </c>
      <c r="I1641">
        <v>0</v>
      </c>
      <c r="J1641">
        <v>0</v>
      </c>
      <c r="K1641" s="20">
        <f t="shared" si="192"/>
        <v>0</v>
      </c>
      <c r="L1641">
        <v>0</v>
      </c>
      <c r="M1641">
        <v>0</v>
      </c>
      <c r="N1641" s="21">
        <f t="shared" si="193"/>
        <v>0</v>
      </c>
      <c r="O1641">
        <v>0</v>
      </c>
      <c r="P1641">
        <v>0</v>
      </c>
      <c r="Q1641" s="21">
        <f t="shared" si="187"/>
        <v>0</v>
      </c>
      <c r="R1641">
        <v>30</v>
      </c>
      <c r="S1641">
        <v>2</v>
      </c>
      <c r="T1641" s="21">
        <f t="shared" si="188"/>
        <v>1680000</v>
      </c>
      <c r="U1641">
        <v>0</v>
      </c>
      <c r="V1641">
        <v>0</v>
      </c>
      <c r="W1641" s="21">
        <f t="shared" si="189"/>
        <v>0</v>
      </c>
      <c r="X1641">
        <v>0</v>
      </c>
      <c r="Y1641">
        <v>0</v>
      </c>
      <c r="Z1641" s="21">
        <f t="shared" si="190"/>
        <v>0</v>
      </c>
      <c r="AA1641">
        <v>0</v>
      </c>
      <c r="AB1641">
        <v>0</v>
      </c>
      <c r="AC1641" s="21">
        <f t="shared" si="191"/>
        <v>0</v>
      </c>
      <c r="AD1641">
        <v>0</v>
      </c>
      <c r="AE1641">
        <v>0</v>
      </c>
      <c r="AF1641" s="21">
        <f t="shared" si="194"/>
        <v>0</v>
      </c>
    </row>
    <row r="1642" spans="1:32" ht="15" customHeight="1" x14ac:dyDescent="0.3">
      <c r="A1642">
        <v>3</v>
      </c>
      <c r="B1642" s="2" t="s">
        <v>696</v>
      </c>
      <c r="C1642" s="4" t="s">
        <v>691</v>
      </c>
      <c r="D1642" s="3" t="s">
        <v>659</v>
      </c>
      <c r="E1642" s="6" t="s">
        <v>53</v>
      </c>
      <c r="F1642" s="6" t="s">
        <v>764</v>
      </c>
      <c r="G1642" s="6" t="s">
        <v>716</v>
      </c>
      <c r="H1642" s="23">
        <v>39000</v>
      </c>
      <c r="I1642">
        <v>0</v>
      </c>
      <c r="J1642">
        <v>0</v>
      </c>
      <c r="K1642" s="20">
        <f t="shared" si="192"/>
        <v>0</v>
      </c>
      <c r="L1642">
        <v>0</v>
      </c>
      <c r="M1642">
        <v>0</v>
      </c>
      <c r="N1642" s="21">
        <f t="shared" si="193"/>
        <v>0</v>
      </c>
      <c r="O1642">
        <v>0</v>
      </c>
      <c r="P1642">
        <v>0</v>
      </c>
      <c r="Q1642" s="21">
        <f t="shared" si="187"/>
        <v>0</v>
      </c>
      <c r="R1642">
        <v>30</v>
      </c>
      <c r="S1642">
        <v>2</v>
      </c>
      <c r="T1642" s="21">
        <f t="shared" si="188"/>
        <v>2340000</v>
      </c>
      <c r="U1642">
        <v>0</v>
      </c>
      <c r="V1642">
        <v>0</v>
      </c>
      <c r="W1642" s="21">
        <f t="shared" si="189"/>
        <v>0</v>
      </c>
      <c r="X1642">
        <v>0</v>
      </c>
      <c r="Y1642">
        <v>0</v>
      </c>
      <c r="Z1642" s="21">
        <f t="shared" si="190"/>
        <v>0</v>
      </c>
      <c r="AA1642">
        <v>0</v>
      </c>
      <c r="AB1642">
        <v>0</v>
      </c>
      <c r="AC1642" s="21">
        <f t="shared" si="191"/>
        <v>0</v>
      </c>
      <c r="AD1642">
        <v>0</v>
      </c>
      <c r="AE1642">
        <v>0</v>
      </c>
      <c r="AF1642" s="21">
        <f t="shared" si="194"/>
        <v>0</v>
      </c>
    </row>
    <row r="1643" spans="1:32" ht="15" customHeight="1" x14ac:dyDescent="0.3">
      <c r="A1643">
        <v>3</v>
      </c>
      <c r="B1643" s="2" t="s">
        <v>696</v>
      </c>
      <c r="C1643" s="4" t="s">
        <v>691</v>
      </c>
      <c r="D1643" s="3" t="s">
        <v>659</v>
      </c>
      <c r="E1643" s="6" t="s">
        <v>54</v>
      </c>
      <c r="F1643" s="6" t="s">
        <v>764</v>
      </c>
      <c r="G1643" s="6" t="s">
        <v>712</v>
      </c>
      <c r="H1643" s="23">
        <v>214.29</v>
      </c>
      <c r="I1643">
        <v>0</v>
      </c>
      <c r="J1643">
        <v>0</v>
      </c>
      <c r="K1643" s="20">
        <f t="shared" si="192"/>
        <v>0</v>
      </c>
      <c r="L1643">
        <v>0</v>
      </c>
      <c r="M1643">
        <v>0</v>
      </c>
      <c r="N1643" s="21">
        <f t="shared" si="193"/>
        <v>0</v>
      </c>
      <c r="O1643">
        <v>0</v>
      </c>
      <c r="P1643">
        <v>0</v>
      </c>
      <c r="Q1643" s="21">
        <f t="shared" si="187"/>
        <v>0</v>
      </c>
      <c r="R1643">
        <v>10000</v>
      </c>
      <c r="S1643">
        <v>2</v>
      </c>
      <c r="T1643" s="21">
        <f t="shared" si="188"/>
        <v>4285800</v>
      </c>
      <c r="U1643">
        <v>0</v>
      </c>
      <c r="V1643">
        <v>0</v>
      </c>
      <c r="W1643" s="21">
        <f t="shared" si="189"/>
        <v>0</v>
      </c>
      <c r="X1643">
        <v>0</v>
      </c>
      <c r="Y1643">
        <v>0</v>
      </c>
      <c r="Z1643" s="21">
        <f t="shared" si="190"/>
        <v>0</v>
      </c>
      <c r="AA1643">
        <v>0</v>
      </c>
      <c r="AB1643">
        <v>0</v>
      </c>
      <c r="AC1643" s="21">
        <f t="shared" si="191"/>
        <v>0</v>
      </c>
      <c r="AD1643">
        <v>0</v>
      </c>
      <c r="AE1643">
        <v>0</v>
      </c>
      <c r="AF1643" s="21">
        <f t="shared" si="194"/>
        <v>0</v>
      </c>
    </row>
    <row r="1644" spans="1:32" ht="15" customHeight="1" x14ac:dyDescent="0.3">
      <c r="A1644">
        <v>3</v>
      </c>
      <c r="B1644" s="2" t="s">
        <v>696</v>
      </c>
      <c r="C1644" s="4" t="s">
        <v>691</v>
      </c>
      <c r="D1644" s="3" t="s">
        <v>659</v>
      </c>
      <c r="E1644" s="6" t="s">
        <v>55</v>
      </c>
      <c r="F1644" s="6" t="s">
        <v>387</v>
      </c>
      <c r="G1644" s="6" t="s">
        <v>718</v>
      </c>
      <c r="H1644" s="23">
        <v>0</v>
      </c>
      <c r="I1644">
        <v>0</v>
      </c>
      <c r="J1644">
        <v>0</v>
      </c>
      <c r="K1644" s="20">
        <f t="shared" si="192"/>
        <v>0</v>
      </c>
      <c r="L1644">
        <v>0</v>
      </c>
      <c r="M1644">
        <v>0</v>
      </c>
      <c r="N1644" s="21">
        <f t="shared" si="193"/>
        <v>0</v>
      </c>
      <c r="O1644">
        <v>0</v>
      </c>
      <c r="P1644">
        <v>0</v>
      </c>
      <c r="Q1644" s="21">
        <f t="shared" si="187"/>
        <v>0</v>
      </c>
      <c r="R1644">
        <v>0</v>
      </c>
      <c r="S1644">
        <v>0</v>
      </c>
      <c r="T1644" s="21">
        <f t="shared" si="188"/>
        <v>0</v>
      </c>
      <c r="U1644">
        <v>0</v>
      </c>
      <c r="V1644">
        <v>0</v>
      </c>
      <c r="W1644" s="21">
        <f t="shared" si="189"/>
        <v>0</v>
      </c>
      <c r="X1644">
        <v>0</v>
      </c>
      <c r="Y1644">
        <v>0</v>
      </c>
      <c r="Z1644" s="21">
        <f t="shared" si="190"/>
        <v>0</v>
      </c>
      <c r="AA1644">
        <v>0</v>
      </c>
      <c r="AB1644">
        <v>0</v>
      </c>
      <c r="AC1644" s="21">
        <f t="shared" si="191"/>
        <v>0</v>
      </c>
      <c r="AD1644">
        <v>0</v>
      </c>
      <c r="AE1644">
        <v>0</v>
      </c>
      <c r="AF1644" s="21">
        <f t="shared" si="194"/>
        <v>0</v>
      </c>
    </row>
    <row r="1645" spans="1:32" ht="15" customHeight="1" x14ac:dyDescent="0.3">
      <c r="A1645">
        <v>3</v>
      </c>
      <c r="B1645" s="2" t="s">
        <v>696</v>
      </c>
      <c r="C1645" s="4" t="s">
        <v>691</v>
      </c>
      <c r="D1645" s="3" t="s">
        <v>659</v>
      </c>
      <c r="E1645" s="6" t="s">
        <v>56</v>
      </c>
      <c r="F1645" s="6" t="s">
        <v>764</v>
      </c>
      <c r="G1645" s="6" t="s">
        <v>709</v>
      </c>
      <c r="H1645" s="23">
        <v>28000</v>
      </c>
      <c r="I1645">
        <v>0</v>
      </c>
      <c r="J1645">
        <v>0</v>
      </c>
      <c r="K1645" s="20">
        <f t="shared" si="192"/>
        <v>0</v>
      </c>
      <c r="L1645">
        <v>0</v>
      </c>
      <c r="M1645">
        <v>0</v>
      </c>
      <c r="N1645" s="21">
        <f t="shared" si="193"/>
        <v>0</v>
      </c>
      <c r="O1645">
        <v>0</v>
      </c>
      <c r="P1645">
        <v>0</v>
      </c>
      <c r="Q1645" s="21">
        <f t="shared" si="187"/>
        <v>0</v>
      </c>
      <c r="R1645">
        <v>0</v>
      </c>
      <c r="S1645">
        <v>0</v>
      </c>
      <c r="T1645" s="21">
        <f t="shared" si="188"/>
        <v>0</v>
      </c>
      <c r="U1645">
        <v>20</v>
      </c>
      <c r="V1645">
        <v>2</v>
      </c>
      <c r="W1645" s="21">
        <f t="shared" si="189"/>
        <v>1120000</v>
      </c>
      <c r="X1645">
        <v>0</v>
      </c>
      <c r="Y1645">
        <v>0</v>
      </c>
      <c r="Z1645" s="21">
        <f t="shared" si="190"/>
        <v>0</v>
      </c>
      <c r="AA1645">
        <v>0</v>
      </c>
      <c r="AB1645">
        <v>0</v>
      </c>
      <c r="AC1645" s="21">
        <f t="shared" si="191"/>
        <v>0</v>
      </c>
      <c r="AD1645">
        <v>0</v>
      </c>
      <c r="AE1645">
        <v>0</v>
      </c>
      <c r="AF1645" s="21">
        <f t="shared" si="194"/>
        <v>0</v>
      </c>
    </row>
    <row r="1646" spans="1:32" ht="15" customHeight="1" x14ac:dyDescent="0.3">
      <c r="A1646">
        <v>3</v>
      </c>
      <c r="B1646" s="2" t="s">
        <v>696</v>
      </c>
      <c r="C1646" s="4" t="s">
        <v>691</v>
      </c>
      <c r="D1646" s="3" t="s">
        <v>659</v>
      </c>
      <c r="E1646" s="6" t="s">
        <v>57</v>
      </c>
      <c r="F1646" s="6" t="s">
        <v>765</v>
      </c>
      <c r="G1646" s="6" t="s">
        <v>707</v>
      </c>
      <c r="H1646" s="23">
        <v>391991.03749999998</v>
      </c>
      <c r="I1646">
        <v>0</v>
      </c>
      <c r="J1646">
        <v>0</v>
      </c>
      <c r="K1646" s="20">
        <f t="shared" si="192"/>
        <v>0</v>
      </c>
      <c r="L1646">
        <v>0</v>
      </c>
      <c r="M1646">
        <v>0</v>
      </c>
      <c r="N1646" s="21">
        <f t="shared" si="193"/>
        <v>0</v>
      </c>
      <c r="O1646">
        <v>0</v>
      </c>
      <c r="P1646">
        <v>0</v>
      </c>
      <c r="Q1646" s="21">
        <f t="shared" si="187"/>
        <v>0</v>
      </c>
      <c r="R1646">
        <v>0</v>
      </c>
      <c r="S1646">
        <v>0</v>
      </c>
      <c r="T1646" s="21">
        <f t="shared" si="188"/>
        <v>0</v>
      </c>
      <c r="U1646">
        <v>5</v>
      </c>
      <c r="V1646">
        <v>4</v>
      </c>
      <c r="W1646" s="21">
        <f t="shared" si="189"/>
        <v>7839820.75</v>
      </c>
      <c r="X1646">
        <v>0</v>
      </c>
      <c r="Y1646">
        <v>0</v>
      </c>
      <c r="Z1646" s="21">
        <f t="shared" si="190"/>
        <v>0</v>
      </c>
      <c r="AA1646">
        <v>0</v>
      </c>
      <c r="AB1646">
        <v>0</v>
      </c>
      <c r="AC1646" s="21">
        <f t="shared" si="191"/>
        <v>0</v>
      </c>
      <c r="AD1646">
        <v>0</v>
      </c>
      <c r="AE1646">
        <v>0</v>
      </c>
      <c r="AF1646" s="21">
        <f t="shared" si="194"/>
        <v>0</v>
      </c>
    </row>
    <row r="1647" spans="1:32" ht="15" customHeight="1" x14ac:dyDescent="0.3">
      <c r="A1647">
        <v>3</v>
      </c>
      <c r="B1647" s="2" t="s">
        <v>696</v>
      </c>
      <c r="C1647" s="4" t="s">
        <v>691</v>
      </c>
      <c r="D1647" s="3" t="s">
        <v>659</v>
      </c>
      <c r="E1647" s="6" t="s">
        <v>58</v>
      </c>
      <c r="F1647" s="6" t="s">
        <v>389</v>
      </c>
      <c r="G1647" s="6" t="s">
        <v>719</v>
      </c>
      <c r="H1647" s="23">
        <v>286576.3</v>
      </c>
      <c r="I1647">
        <v>0</v>
      </c>
      <c r="J1647">
        <v>0</v>
      </c>
      <c r="K1647" s="20">
        <f t="shared" si="192"/>
        <v>0</v>
      </c>
      <c r="L1647">
        <v>0</v>
      </c>
      <c r="M1647">
        <v>0</v>
      </c>
      <c r="N1647" s="21">
        <f t="shared" si="193"/>
        <v>0</v>
      </c>
      <c r="O1647">
        <v>0</v>
      </c>
      <c r="P1647">
        <v>0</v>
      </c>
      <c r="Q1647" s="21">
        <f t="shared" si="187"/>
        <v>0</v>
      </c>
      <c r="R1647">
        <v>0</v>
      </c>
      <c r="S1647">
        <v>0</v>
      </c>
      <c r="T1647" s="21">
        <f t="shared" si="188"/>
        <v>0</v>
      </c>
      <c r="U1647">
        <v>10</v>
      </c>
      <c r="V1647">
        <v>15</v>
      </c>
      <c r="W1647" s="21">
        <f t="shared" si="189"/>
        <v>42986445</v>
      </c>
      <c r="X1647">
        <v>0</v>
      </c>
      <c r="Y1647">
        <v>0</v>
      </c>
      <c r="Z1647" s="21">
        <f t="shared" si="190"/>
        <v>0</v>
      </c>
      <c r="AA1647">
        <v>0</v>
      </c>
      <c r="AB1647">
        <v>0</v>
      </c>
      <c r="AC1647" s="21">
        <f t="shared" si="191"/>
        <v>0</v>
      </c>
      <c r="AD1647">
        <v>0</v>
      </c>
      <c r="AE1647">
        <v>0</v>
      </c>
      <c r="AF1647" s="21">
        <f t="shared" si="194"/>
        <v>0</v>
      </c>
    </row>
    <row r="1648" spans="1:32" ht="15" customHeight="1" x14ac:dyDescent="0.3">
      <c r="A1648">
        <v>3</v>
      </c>
      <c r="B1648" s="2" t="s">
        <v>696</v>
      </c>
      <c r="C1648" s="4" t="s">
        <v>691</v>
      </c>
      <c r="D1648" s="3" t="s">
        <v>659</v>
      </c>
      <c r="E1648" s="6" t="s">
        <v>0</v>
      </c>
      <c r="F1648" s="6" t="s">
        <v>390</v>
      </c>
      <c r="G1648" s="6" t="s">
        <v>718</v>
      </c>
      <c r="H1648" s="23">
        <v>0</v>
      </c>
      <c r="I1648">
        <v>0</v>
      </c>
      <c r="J1648">
        <v>0</v>
      </c>
      <c r="K1648" s="20">
        <f t="shared" si="192"/>
        <v>0</v>
      </c>
      <c r="L1648">
        <v>0</v>
      </c>
      <c r="M1648">
        <v>0</v>
      </c>
      <c r="N1648" s="21">
        <f t="shared" si="193"/>
        <v>0</v>
      </c>
      <c r="O1648">
        <v>0</v>
      </c>
      <c r="P1648">
        <v>0</v>
      </c>
      <c r="Q1648" s="21">
        <f t="shared" si="187"/>
        <v>0</v>
      </c>
      <c r="R1648">
        <v>0</v>
      </c>
      <c r="S1648">
        <v>0</v>
      </c>
      <c r="T1648" s="21">
        <f t="shared" si="188"/>
        <v>0</v>
      </c>
      <c r="U1648">
        <v>0</v>
      </c>
      <c r="V1648">
        <v>0</v>
      </c>
      <c r="W1648" s="21">
        <f t="shared" si="189"/>
        <v>0</v>
      </c>
      <c r="X1648">
        <v>0</v>
      </c>
      <c r="Y1648">
        <v>0</v>
      </c>
      <c r="Z1648" s="21">
        <f t="shared" si="190"/>
        <v>0</v>
      </c>
      <c r="AA1648">
        <v>0</v>
      </c>
      <c r="AB1648">
        <v>0</v>
      </c>
      <c r="AC1648" s="21">
        <f t="shared" si="191"/>
        <v>0</v>
      </c>
      <c r="AD1648">
        <v>0</v>
      </c>
      <c r="AE1648">
        <v>0</v>
      </c>
      <c r="AF1648" s="21">
        <f t="shared" si="194"/>
        <v>0</v>
      </c>
    </row>
    <row r="1649" spans="1:32" ht="15" customHeight="1" x14ac:dyDescent="0.3">
      <c r="A1649">
        <v>3</v>
      </c>
      <c r="B1649" s="2" t="s">
        <v>696</v>
      </c>
      <c r="C1649" s="4" t="s">
        <v>691</v>
      </c>
      <c r="D1649" s="3" t="s">
        <v>660</v>
      </c>
      <c r="E1649" s="6" t="s">
        <v>59</v>
      </c>
      <c r="F1649" s="6" t="s">
        <v>391</v>
      </c>
      <c r="G1649" s="6" t="s">
        <v>718</v>
      </c>
      <c r="H1649" s="23">
        <v>0</v>
      </c>
      <c r="I1649">
        <v>0</v>
      </c>
      <c r="J1649">
        <v>0</v>
      </c>
      <c r="K1649" s="20">
        <f t="shared" si="192"/>
        <v>0</v>
      </c>
      <c r="L1649">
        <v>0</v>
      </c>
      <c r="M1649">
        <v>0</v>
      </c>
      <c r="N1649" s="21">
        <f t="shared" si="193"/>
        <v>0</v>
      </c>
      <c r="O1649">
        <v>0</v>
      </c>
      <c r="P1649">
        <v>0</v>
      </c>
      <c r="Q1649" s="21">
        <f t="shared" si="187"/>
        <v>0</v>
      </c>
      <c r="R1649">
        <v>0</v>
      </c>
      <c r="S1649">
        <v>0</v>
      </c>
      <c r="T1649" s="21">
        <f t="shared" si="188"/>
        <v>0</v>
      </c>
      <c r="U1649">
        <v>0</v>
      </c>
      <c r="V1649">
        <v>0</v>
      </c>
      <c r="W1649" s="21">
        <f t="shared" si="189"/>
        <v>0</v>
      </c>
      <c r="X1649">
        <v>0</v>
      </c>
      <c r="Y1649">
        <v>0</v>
      </c>
      <c r="Z1649" s="21">
        <f t="shared" si="190"/>
        <v>0</v>
      </c>
      <c r="AA1649">
        <v>0</v>
      </c>
      <c r="AB1649">
        <v>0</v>
      </c>
      <c r="AC1649" s="21">
        <f t="shared" si="191"/>
        <v>0</v>
      </c>
      <c r="AD1649">
        <v>0</v>
      </c>
      <c r="AE1649">
        <v>0</v>
      </c>
      <c r="AF1649" s="21">
        <f t="shared" si="194"/>
        <v>0</v>
      </c>
    </row>
    <row r="1650" spans="1:32" ht="15" customHeight="1" x14ac:dyDescent="0.3">
      <c r="A1650">
        <v>3</v>
      </c>
      <c r="B1650" s="2" t="s">
        <v>696</v>
      </c>
      <c r="C1650" s="4" t="s">
        <v>691</v>
      </c>
      <c r="D1650" s="3" t="s">
        <v>660</v>
      </c>
      <c r="E1650" s="6" t="s">
        <v>59</v>
      </c>
      <c r="F1650" s="6" t="s">
        <v>392</v>
      </c>
      <c r="G1650" s="6" t="s">
        <v>713</v>
      </c>
      <c r="H1650" s="23">
        <v>45000</v>
      </c>
      <c r="I1650">
        <v>0</v>
      </c>
      <c r="J1650">
        <v>0</v>
      </c>
      <c r="K1650" s="20">
        <f t="shared" si="192"/>
        <v>0</v>
      </c>
      <c r="L1650">
        <v>20</v>
      </c>
      <c r="M1650">
        <v>10</v>
      </c>
      <c r="N1650" s="21">
        <f t="shared" si="193"/>
        <v>9000000</v>
      </c>
      <c r="O1650">
        <v>0</v>
      </c>
      <c r="P1650">
        <v>0</v>
      </c>
      <c r="Q1650" s="21">
        <f t="shared" si="187"/>
        <v>0</v>
      </c>
      <c r="R1650">
        <v>0</v>
      </c>
      <c r="S1650">
        <v>0</v>
      </c>
      <c r="T1650" s="21">
        <f t="shared" si="188"/>
        <v>0</v>
      </c>
      <c r="U1650">
        <v>0</v>
      </c>
      <c r="V1650">
        <v>0</v>
      </c>
      <c r="W1650" s="21">
        <f t="shared" si="189"/>
        <v>0</v>
      </c>
      <c r="X1650">
        <v>0</v>
      </c>
      <c r="Y1650">
        <v>0</v>
      </c>
      <c r="Z1650" s="21">
        <f t="shared" si="190"/>
        <v>0</v>
      </c>
      <c r="AA1650">
        <v>0</v>
      </c>
      <c r="AB1650">
        <v>0</v>
      </c>
      <c r="AC1650" s="21">
        <f t="shared" si="191"/>
        <v>0</v>
      </c>
      <c r="AD1650">
        <v>0</v>
      </c>
      <c r="AE1650">
        <v>0</v>
      </c>
      <c r="AF1650" s="21">
        <f t="shared" si="194"/>
        <v>0</v>
      </c>
    </row>
    <row r="1651" spans="1:32" ht="15" customHeight="1" x14ac:dyDescent="0.3">
      <c r="A1651">
        <v>3</v>
      </c>
      <c r="B1651" s="2" t="s">
        <v>696</v>
      </c>
      <c r="C1651" s="4" t="s">
        <v>691</v>
      </c>
      <c r="D1651" s="3" t="s">
        <v>660</v>
      </c>
      <c r="E1651" s="6" t="s">
        <v>59</v>
      </c>
      <c r="F1651" s="6" t="s">
        <v>392</v>
      </c>
      <c r="G1651" s="6" t="s">
        <v>712</v>
      </c>
      <c r="H1651" s="23">
        <v>214.29</v>
      </c>
      <c r="I1651">
        <v>0</v>
      </c>
      <c r="J1651">
        <v>0</v>
      </c>
      <c r="K1651" s="20">
        <f t="shared" si="192"/>
        <v>0</v>
      </c>
      <c r="L1651">
        <v>15000</v>
      </c>
      <c r="M1651">
        <v>1</v>
      </c>
      <c r="N1651" s="21">
        <f t="shared" si="193"/>
        <v>3214350</v>
      </c>
      <c r="O1651">
        <v>0</v>
      </c>
      <c r="P1651">
        <v>0</v>
      </c>
      <c r="Q1651" s="21">
        <f t="shared" si="187"/>
        <v>0</v>
      </c>
      <c r="R1651">
        <v>0</v>
      </c>
      <c r="S1651">
        <v>0</v>
      </c>
      <c r="T1651" s="21">
        <f t="shared" si="188"/>
        <v>0</v>
      </c>
      <c r="U1651">
        <v>0</v>
      </c>
      <c r="V1651">
        <v>0</v>
      </c>
      <c r="W1651" s="21">
        <f t="shared" si="189"/>
        <v>0</v>
      </c>
      <c r="X1651">
        <v>0</v>
      </c>
      <c r="Y1651">
        <v>0</v>
      </c>
      <c r="Z1651" s="21">
        <f t="shared" si="190"/>
        <v>0</v>
      </c>
      <c r="AA1651">
        <v>0</v>
      </c>
      <c r="AB1651">
        <v>0</v>
      </c>
      <c r="AC1651" s="21">
        <f t="shared" si="191"/>
        <v>0</v>
      </c>
      <c r="AD1651">
        <v>0</v>
      </c>
      <c r="AE1651">
        <v>0</v>
      </c>
      <c r="AF1651" s="21">
        <f t="shared" si="194"/>
        <v>0</v>
      </c>
    </row>
    <row r="1652" spans="1:32" ht="15" customHeight="1" x14ac:dyDescent="0.3">
      <c r="A1652">
        <v>3</v>
      </c>
      <c r="B1652" s="2" t="s">
        <v>696</v>
      </c>
      <c r="C1652" s="4" t="s">
        <v>691</v>
      </c>
      <c r="D1652" s="3" t="s">
        <v>660</v>
      </c>
      <c r="E1652" s="6" t="s">
        <v>60</v>
      </c>
      <c r="F1652" s="6" t="s">
        <v>764</v>
      </c>
      <c r="G1652" s="6" t="s">
        <v>716</v>
      </c>
      <c r="H1652" s="23">
        <v>39000</v>
      </c>
      <c r="I1652">
        <v>0</v>
      </c>
      <c r="J1652">
        <v>0</v>
      </c>
      <c r="K1652" s="20">
        <f t="shared" si="192"/>
        <v>0</v>
      </c>
      <c r="L1652">
        <v>100</v>
      </c>
      <c r="M1652">
        <v>2</v>
      </c>
      <c r="N1652" s="21">
        <f t="shared" si="193"/>
        <v>7800000</v>
      </c>
      <c r="O1652">
        <v>0</v>
      </c>
      <c r="P1652">
        <v>0</v>
      </c>
      <c r="Q1652" s="21">
        <f t="shared" si="187"/>
        <v>0</v>
      </c>
      <c r="R1652">
        <v>0</v>
      </c>
      <c r="S1652">
        <v>0</v>
      </c>
      <c r="T1652" s="21">
        <f t="shared" si="188"/>
        <v>0</v>
      </c>
      <c r="U1652">
        <v>0</v>
      </c>
      <c r="V1652">
        <v>0</v>
      </c>
      <c r="W1652" s="21">
        <f t="shared" si="189"/>
        <v>0</v>
      </c>
      <c r="X1652">
        <v>0</v>
      </c>
      <c r="Y1652">
        <v>0</v>
      </c>
      <c r="Z1652" s="21">
        <f t="shared" si="190"/>
        <v>0</v>
      </c>
      <c r="AA1652">
        <v>0</v>
      </c>
      <c r="AB1652">
        <v>0</v>
      </c>
      <c r="AC1652" s="21">
        <f t="shared" si="191"/>
        <v>0</v>
      </c>
      <c r="AD1652">
        <v>0</v>
      </c>
      <c r="AE1652">
        <v>0</v>
      </c>
      <c r="AF1652" s="21">
        <f t="shared" si="194"/>
        <v>0</v>
      </c>
    </row>
    <row r="1653" spans="1:32" ht="15" customHeight="1" x14ac:dyDescent="0.3">
      <c r="A1653">
        <v>3</v>
      </c>
      <c r="B1653" s="2" t="s">
        <v>696</v>
      </c>
      <c r="C1653" s="4" t="s">
        <v>691</v>
      </c>
      <c r="D1653" s="3" t="s">
        <v>660</v>
      </c>
      <c r="E1653" s="6" t="s">
        <v>60</v>
      </c>
      <c r="F1653" s="6" t="s">
        <v>764</v>
      </c>
      <c r="G1653" s="6" t="s">
        <v>712</v>
      </c>
      <c r="H1653" s="23">
        <v>214.29</v>
      </c>
      <c r="I1653">
        <v>0</v>
      </c>
      <c r="J1653">
        <v>0</v>
      </c>
      <c r="K1653" s="20">
        <f t="shared" si="192"/>
        <v>0</v>
      </c>
      <c r="L1653">
        <v>24000</v>
      </c>
      <c r="M1653">
        <v>1</v>
      </c>
      <c r="N1653" s="21">
        <f t="shared" si="193"/>
        <v>5142960</v>
      </c>
      <c r="O1653">
        <v>0</v>
      </c>
      <c r="P1653">
        <v>0</v>
      </c>
      <c r="Q1653" s="21">
        <f t="shared" si="187"/>
        <v>0</v>
      </c>
      <c r="R1653">
        <v>0</v>
      </c>
      <c r="S1653">
        <v>0</v>
      </c>
      <c r="T1653" s="21">
        <f t="shared" si="188"/>
        <v>0</v>
      </c>
      <c r="U1653">
        <v>0</v>
      </c>
      <c r="V1653">
        <v>0</v>
      </c>
      <c r="W1653" s="21">
        <f t="shared" si="189"/>
        <v>0</v>
      </c>
      <c r="X1653">
        <v>0</v>
      </c>
      <c r="Y1653">
        <v>0</v>
      </c>
      <c r="Z1653" s="21">
        <f t="shared" si="190"/>
        <v>0</v>
      </c>
      <c r="AA1653">
        <v>0</v>
      </c>
      <c r="AB1653">
        <v>0</v>
      </c>
      <c r="AC1653" s="21">
        <f t="shared" si="191"/>
        <v>0</v>
      </c>
      <c r="AD1653">
        <v>0</v>
      </c>
      <c r="AE1653">
        <v>0</v>
      </c>
      <c r="AF1653" s="21">
        <f t="shared" si="194"/>
        <v>0</v>
      </c>
    </row>
    <row r="1654" spans="1:32" ht="15" customHeight="1" x14ac:dyDescent="0.3">
      <c r="A1654">
        <v>3</v>
      </c>
      <c r="B1654" s="2" t="s">
        <v>696</v>
      </c>
      <c r="C1654" s="4" t="s">
        <v>691</v>
      </c>
      <c r="D1654" s="3" t="s">
        <v>660</v>
      </c>
      <c r="E1654" s="6" t="s">
        <v>60</v>
      </c>
      <c r="F1654" s="6" t="s">
        <v>764</v>
      </c>
      <c r="G1654" s="6" t="s">
        <v>709</v>
      </c>
      <c r="H1654" s="23">
        <v>28000</v>
      </c>
      <c r="I1654">
        <v>0</v>
      </c>
      <c r="J1654">
        <v>0</v>
      </c>
      <c r="K1654" s="20">
        <f t="shared" si="192"/>
        <v>0</v>
      </c>
      <c r="L1654">
        <v>100</v>
      </c>
      <c r="M1654">
        <v>2</v>
      </c>
      <c r="N1654" s="21">
        <f t="shared" si="193"/>
        <v>5600000</v>
      </c>
      <c r="O1654">
        <v>0</v>
      </c>
      <c r="P1654">
        <v>0</v>
      </c>
      <c r="Q1654" s="21">
        <f t="shared" si="187"/>
        <v>0</v>
      </c>
      <c r="R1654">
        <v>0</v>
      </c>
      <c r="S1654">
        <v>0</v>
      </c>
      <c r="T1654" s="21">
        <f t="shared" si="188"/>
        <v>0</v>
      </c>
      <c r="U1654">
        <v>0</v>
      </c>
      <c r="V1654">
        <v>0</v>
      </c>
      <c r="W1654" s="21">
        <f t="shared" si="189"/>
        <v>0</v>
      </c>
      <c r="X1654">
        <v>0</v>
      </c>
      <c r="Y1654">
        <v>0</v>
      </c>
      <c r="Z1654" s="21">
        <f t="shared" si="190"/>
        <v>0</v>
      </c>
      <c r="AA1654">
        <v>0</v>
      </c>
      <c r="AB1654">
        <v>0</v>
      </c>
      <c r="AC1654" s="21">
        <f t="shared" si="191"/>
        <v>0</v>
      </c>
      <c r="AD1654">
        <v>0</v>
      </c>
      <c r="AE1654">
        <v>0</v>
      </c>
      <c r="AF1654" s="21">
        <f t="shared" si="194"/>
        <v>0</v>
      </c>
    </row>
    <row r="1655" spans="1:32" ht="15" customHeight="1" x14ac:dyDescent="0.3">
      <c r="A1655">
        <v>3</v>
      </c>
      <c r="B1655" s="2" t="s">
        <v>696</v>
      </c>
      <c r="C1655" s="4" t="s">
        <v>691</v>
      </c>
      <c r="D1655" s="3" t="s">
        <v>660</v>
      </c>
      <c r="E1655" s="6" t="s">
        <v>61</v>
      </c>
      <c r="F1655" s="6" t="s">
        <v>394</v>
      </c>
      <c r="G1655" s="6" t="s">
        <v>716</v>
      </c>
      <c r="H1655" s="23">
        <v>39000</v>
      </c>
      <c r="I1655">
        <v>0</v>
      </c>
      <c r="J1655">
        <v>0</v>
      </c>
      <c r="K1655" s="20">
        <f t="shared" si="192"/>
        <v>0</v>
      </c>
      <c r="L1655">
        <v>0</v>
      </c>
      <c r="M1655">
        <v>0</v>
      </c>
      <c r="N1655" s="21">
        <f t="shared" si="193"/>
        <v>0</v>
      </c>
      <c r="O1655">
        <v>120</v>
      </c>
      <c r="P1655">
        <v>5</v>
      </c>
      <c r="Q1655" s="21">
        <f t="shared" si="187"/>
        <v>23400000</v>
      </c>
      <c r="R1655">
        <v>0</v>
      </c>
      <c r="S1655">
        <v>0</v>
      </c>
      <c r="T1655" s="21">
        <f t="shared" si="188"/>
        <v>0</v>
      </c>
      <c r="U1655">
        <v>0</v>
      </c>
      <c r="V1655">
        <v>0</v>
      </c>
      <c r="W1655" s="21">
        <f t="shared" si="189"/>
        <v>0</v>
      </c>
      <c r="X1655">
        <v>0</v>
      </c>
      <c r="Y1655">
        <v>0</v>
      </c>
      <c r="Z1655" s="21">
        <f t="shared" si="190"/>
        <v>0</v>
      </c>
      <c r="AA1655">
        <v>0</v>
      </c>
      <c r="AB1655">
        <v>0</v>
      </c>
      <c r="AC1655" s="21">
        <f t="shared" si="191"/>
        <v>0</v>
      </c>
      <c r="AD1655">
        <v>0</v>
      </c>
      <c r="AE1655">
        <v>0</v>
      </c>
      <c r="AF1655" s="21">
        <f t="shared" si="194"/>
        <v>0</v>
      </c>
    </row>
    <row r="1656" spans="1:32" ht="15" customHeight="1" x14ac:dyDescent="0.3">
      <c r="A1656">
        <v>3</v>
      </c>
      <c r="B1656" s="2" t="s">
        <v>696</v>
      </c>
      <c r="C1656" s="4" t="s">
        <v>691</v>
      </c>
      <c r="D1656" s="3" t="s">
        <v>660</v>
      </c>
      <c r="E1656" s="6" t="s">
        <v>61</v>
      </c>
      <c r="F1656" s="6" t="s">
        <v>394</v>
      </c>
      <c r="G1656" s="6" t="s">
        <v>709</v>
      </c>
      <c r="H1656" s="23">
        <v>28000</v>
      </c>
      <c r="I1656">
        <v>0</v>
      </c>
      <c r="J1656">
        <v>0</v>
      </c>
      <c r="K1656" s="20">
        <f t="shared" si="192"/>
        <v>0</v>
      </c>
      <c r="L1656">
        <v>0</v>
      </c>
      <c r="M1656">
        <v>0</v>
      </c>
      <c r="N1656" s="21">
        <f t="shared" si="193"/>
        <v>0</v>
      </c>
      <c r="O1656">
        <v>120</v>
      </c>
      <c r="P1656">
        <v>5</v>
      </c>
      <c r="Q1656" s="21">
        <f t="shared" si="187"/>
        <v>16800000</v>
      </c>
      <c r="R1656">
        <v>0</v>
      </c>
      <c r="S1656">
        <v>0</v>
      </c>
      <c r="T1656" s="21">
        <f t="shared" si="188"/>
        <v>0</v>
      </c>
      <c r="U1656">
        <v>0</v>
      </c>
      <c r="V1656">
        <v>0</v>
      </c>
      <c r="W1656" s="21">
        <f t="shared" si="189"/>
        <v>0</v>
      </c>
      <c r="X1656">
        <v>0</v>
      </c>
      <c r="Y1656">
        <v>0</v>
      </c>
      <c r="Z1656" s="21">
        <f t="shared" si="190"/>
        <v>0</v>
      </c>
      <c r="AA1656">
        <v>0</v>
      </c>
      <c r="AB1656">
        <v>0</v>
      </c>
      <c r="AC1656" s="21">
        <f t="shared" si="191"/>
        <v>0</v>
      </c>
      <c r="AD1656">
        <v>0</v>
      </c>
      <c r="AE1656">
        <v>0</v>
      </c>
      <c r="AF1656" s="21">
        <f t="shared" si="194"/>
        <v>0</v>
      </c>
    </row>
    <row r="1657" spans="1:32" ht="15" customHeight="1" x14ac:dyDescent="0.3">
      <c r="A1657">
        <v>3</v>
      </c>
      <c r="B1657" s="2" t="s">
        <v>696</v>
      </c>
      <c r="C1657" s="4" t="s">
        <v>691</v>
      </c>
      <c r="D1657" s="3" t="s">
        <v>660</v>
      </c>
      <c r="E1657" s="6" t="s">
        <v>61</v>
      </c>
      <c r="F1657" s="6" t="s">
        <v>394</v>
      </c>
      <c r="G1657" s="6" t="s">
        <v>712</v>
      </c>
      <c r="H1657" s="23">
        <v>214.29</v>
      </c>
      <c r="I1657">
        <v>0</v>
      </c>
      <c r="J1657">
        <v>0</v>
      </c>
      <c r="K1657" s="20">
        <f t="shared" si="192"/>
        <v>0</v>
      </c>
      <c r="L1657">
        <v>0</v>
      </c>
      <c r="M1657">
        <v>0</v>
      </c>
      <c r="N1657" s="21">
        <f t="shared" si="193"/>
        <v>0</v>
      </c>
      <c r="O1657">
        <v>28000</v>
      </c>
      <c r="P1657">
        <v>1</v>
      </c>
      <c r="Q1657" s="21">
        <f t="shared" si="187"/>
        <v>6000120</v>
      </c>
      <c r="R1657">
        <v>0</v>
      </c>
      <c r="S1657">
        <v>0</v>
      </c>
      <c r="T1657" s="21">
        <f t="shared" si="188"/>
        <v>0</v>
      </c>
      <c r="U1657">
        <v>0</v>
      </c>
      <c r="V1657">
        <v>0</v>
      </c>
      <c r="W1657" s="21">
        <f t="shared" si="189"/>
        <v>0</v>
      </c>
      <c r="X1657">
        <v>0</v>
      </c>
      <c r="Y1657">
        <v>0</v>
      </c>
      <c r="Z1657" s="21">
        <f t="shared" si="190"/>
        <v>0</v>
      </c>
      <c r="AA1657">
        <v>0</v>
      </c>
      <c r="AB1657">
        <v>0</v>
      </c>
      <c r="AC1657" s="21">
        <f t="shared" si="191"/>
        <v>0</v>
      </c>
      <c r="AD1657">
        <v>0</v>
      </c>
      <c r="AE1657">
        <v>0</v>
      </c>
      <c r="AF1657" s="21">
        <f t="shared" si="194"/>
        <v>0</v>
      </c>
    </row>
    <row r="1658" spans="1:32" ht="15" customHeight="1" x14ac:dyDescent="0.3">
      <c r="A1658">
        <v>3</v>
      </c>
      <c r="B1658" s="2" t="s">
        <v>696</v>
      </c>
      <c r="C1658" s="4" t="s">
        <v>691</v>
      </c>
      <c r="D1658" s="3" t="s">
        <v>660</v>
      </c>
      <c r="E1658" s="6" t="s">
        <v>61</v>
      </c>
      <c r="F1658" s="6" t="s">
        <v>395</v>
      </c>
      <c r="G1658" s="6" t="s">
        <v>716</v>
      </c>
      <c r="H1658" s="23">
        <v>39000</v>
      </c>
      <c r="I1658">
        <v>0</v>
      </c>
      <c r="J1658">
        <v>0</v>
      </c>
      <c r="K1658" s="20">
        <f t="shared" si="192"/>
        <v>0</v>
      </c>
      <c r="L1658">
        <v>0</v>
      </c>
      <c r="M1658">
        <v>0</v>
      </c>
      <c r="N1658" s="21">
        <f t="shared" si="193"/>
        <v>0</v>
      </c>
      <c r="O1658">
        <v>1100</v>
      </c>
      <c r="P1658">
        <v>5</v>
      </c>
      <c r="Q1658" s="21">
        <f t="shared" si="187"/>
        <v>214500000</v>
      </c>
      <c r="R1658">
        <v>0</v>
      </c>
      <c r="S1658">
        <v>0</v>
      </c>
      <c r="T1658" s="21">
        <f t="shared" si="188"/>
        <v>0</v>
      </c>
      <c r="U1658">
        <v>0</v>
      </c>
      <c r="V1658">
        <v>0</v>
      </c>
      <c r="W1658" s="21">
        <f t="shared" si="189"/>
        <v>0</v>
      </c>
      <c r="X1658">
        <v>0</v>
      </c>
      <c r="Y1658">
        <v>0</v>
      </c>
      <c r="Z1658" s="21">
        <f t="shared" si="190"/>
        <v>0</v>
      </c>
      <c r="AA1658">
        <v>0</v>
      </c>
      <c r="AB1658">
        <v>0</v>
      </c>
      <c r="AC1658" s="21">
        <f t="shared" si="191"/>
        <v>0</v>
      </c>
      <c r="AD1658">
        <v>0</v>
      </c>
      <c r="AE1658">
        <v>0</v>
      </c>
      <c r="AF1658" s="21">
        <f t="shared" si="194"/>
        <v>0</v>
      </c>
    </row>
    <row r="1659" spans="1:32" ht="15" customHeight="1" x14ac:dyDescent="0.3">
      <c r="A1659">
        <v>3</v>
      </c>
      <c r="B1659" s="2" t="s">
        <v>696</v>
      </c>
      <c r="C1659" s="4" t="s">
        <v>691</v>
      </c>
      <c r="D1659" s="3" t="s">
        <v>660</v>
      </c>
      <c r="E1659" s="6" t="s">
        <v>61</v>
      </c>
      <c r="F1659" s="6" t="s">
        <v>395</v>
      </c>
      <c r="G1659" s="6" t="s">
        <v>709</v>
      </c>
      <c r="H1659" s="23">
        <v>28000</v>
      </c>
      <c r="I1659">
        <v>0</v>
      </c>
      <c r="J1659">
        <v>0</v>
      </c>
      <c r="K1659" s="20">
        <f t="shared" si="192"/>
        <v>0</v>
      </c>
      <c r="L1659">
        <v>0</v>
      </c>
      <c r="M1659">
        <v>0</v>
      </c>
      <c r="N1659" s="21">
        <f t="shared" si="193"/>
        <v>0</v>
      </c>
      <c r="O1659">
        <v>1100</v>
      </c>
      <c r="P1659">
        <v>5</v>
      </c>
      <c r="Q1659" s="21">
        <f t="shared" si="187"/>
        <v>154000000</v>
      </c>
      <c r="R1659">
        <v>0</v>
      </c>
      <c r="S1659">
        <v>0</v>
      </c>
      <c r="T1659" s="21">
        <f t="shared" si="188"/>
        <v>0</v>
      </c>
      <c r="U1659">
        <v>0</v>
      </c>
      <c r="V1659">
        <v>0</v>
      </c>
      <c r="W1659" s="21">
        <f t="shared" si="189"/>
        <v>0</v>
      </c>
      <c r="X1659">
        <v>0</v>
      </c>
      <c r="Y1659">
        <v>0</v>
      </c>
      <c r="Z1659" s="21">
        <f t="shared" si="190"/>
        <v>0</v>
      </c>
      <c r="AA1659">
        <v>0</v>
      </c>
      <c r="AB1659">
        <v>0</v>
      </c>
      <c r="AC1659" s="21">
        <f t="shared" si="191"/>
        <v>0</v>
      </c>
      <c r="AD1659">
        <v>0</v>
      </c>
      <c r="AE1659">
        <v>0</v>
      </c>
      <c r="AF1659" s="21">
        <f t="shared" si="194"/>
        <v>0</v>
      </c>
    </row>
    <row r="1660" spans="1:32" ht="15" customHeight="1" x14ac:dyDescent="0.3">
      <c r="A1660">
        <v>3</v>
      </c>
      <c r="B1660" s="2" t="s">
        <v>696</v>
      </c>
      <c r="C1660" s="4" t="s">
        <v>691</v>
      </c>
      <c r="D1660" s="3" t="s">
        <v>660</v>
      </c>
      <c r="E1660" s="6" t="s">
        <v>61</v>
      </c>
      <c r="F1660" s="6" t="s">
        <v>395</v>
      </c>
      <c r="G1660" s="6" t="s">
        <v>712</v>
      </c>
      <c r="H1660" s="23">
        <v>214.29</v>
      </c>
      <c r="I1660">
        <v>0</v>
      </c>
      <c r="J1660">
        <v>0</v>
      </c>
      <c r="K1660" s="20">
        <f t="shared" si="192"/>
        <v>0</v>
      </c>
      <c r="L1660">
        <v>0</v>
      </c>
      <c r="M1660">
        <v>0</v>
      </c>
      <c r="N1660" s="21">
        <f t="shared" si="193"/>
        <v>0</v>
      </c>
      <c r="O1660">
        <v>100000</v>
      </c>
      <c r="P1660">
        <v>1</v>
      </c>
      <c r="Q1660" s="21">
        <f t="shared" si="187"/>
        <v>21429000</v>
      </c>
      <c r="R1660">
        <v>0</v>
      </c>
      <c r="S1660">
        <v>0</v>
      </c>
      <c r="T1660" s="21">
        <f t="shared" si="188"/>
        <v>0</v>
      </c>
      <c r="U1660">
        <v>0</v>
      </c>
      <c r="V1660">
        <v>0</v>
      </c>
      <c r="W1660" s="21">
        <f t="shared" si="189"/>
        <v>0</v>
      </c>
      <c r="X1660">
        <v>0</v>
      </c>
      <c r="Y1660">
        <v>0</v>
      </c>
      <c r="Z1660" s="21">
        <f t="shared" si="190"/>
        <v>0</v>
      </c>
      <c r="AA1660">
        <v>0</v>
      </c>
      <c r="AB1660">
        <v>0</v>
      </c>
      <c r="AC1660" s="21">
        <f t="shared" si="191"/>
        <v>0</v>
      </c>
      <c r="AD1660">
        <v>0</v>
      </c>
      <c r="AE1660">
        <v>0</v>
      </c>
      <c r="AF1660" s="21">
        <f t="shared" si="194"/>
        <v>0</v>
      </c>
    </row>
    <row r="1661" spans="1:32" ht="15" customHeight="1" x14ac:dyDescent="0.3">
      <c r="A1661">
        <v>3</v>
      </c>
      <c r="B1661" s="2" t="s">
        <v>696</v>
      </c>
      <c r="C1661" s="4" t="s">
        <v>691</v>
      </c>
      <c r="D1661" s="3" t="s">
        <v>660</v>
      </c>
      <c r="E1661" s="6" t="s">
        <v>62</v>
      </c>
      <c r="F1661" s="6" t="s">
        <v>764</v>
      </c>
      <c r="G1661" s="6" t="s">
        <v>716</v>
      </c>
      <c r="H1661" s="23">
        <v>39000</v>
      </c>
      <c r="I1661">
        <v>0</v>
      </c>
      <c r="J1661">
        <v>0</v>
      </c>
      <c r="K1661" s="20">
        <f t="shared" si="192"/>
        <v>0</v>
      </c>
      <c r="L1661">
        <v>80</v>
      </c>
      <c r="M1661">
        <v>3</v>
      </c>
      <c r="N1661" s="21">
        <f t="shared" si="193"/>
        <v>9360000</v>
      </c>
      <c r="O1661">
        <v>0</v>
      </c>
      <c r="P1661">
        <v>0</v>
      </c>
      <c r="Q1661" s="21">
        <f t="shared" ref="Q1661:Q1724" si="195">H1661*O1661*P1661</f>
        <v>0</v>
      </c>
      <c r="R1661">
        <v>0</v>
      </c>
      <c r="S1661">
        <v>0</v>
      </c>
      <c r="T1661" s="21">
        <f t="shared" ref="T1661:T1724" si="196">H1661*R1661*S1661</f>
        <v>0</v>
      </c>
      <c r="U1661">
        <v>0</v>
      </c>
      <c r="V1661">
        <v>0</v>
      </c>
      <c r="W1661" s="21">
        <f t="shared" ref="W1661:W1724" si="197">H1661*U1661*V1661</f>
        <v>0</v>
      </c>
      <c r="X1661">
        <v>0</v>
      </c>
      <c r="Y1661">
        <v>0</v>
      </c>
      <c r="Z1661" s="21">
        <f t="shared" ref="Z1661:Z1724" si="198">H1661*X1661*Y1661</f>
        <v>0</v>
      </c>
      <c r="AA1661">
        <v>0</v>
      </c>
      <c r="AB1661">
        <v>0</v>
      </c>
      <c r="AC1661" s="21">
        <f t="shared" ref="AC1661:AC1724" si="199">H1661*AA1661*AB1661</f>
        <v>0</v>
      </c>
      <c r="AD1661">
        <v>0</v>
      </c>
      <c r="AE1661">
        <v>0</v>
      </c>
      <c r="AF1661" s="21">
        <f t="shared" si="194"/>
        <v>0</v>
      </c>
    </row>
    <row r="1662" spans="1:32" ht="15" customHeight="1" x14ac:dyDescent="0.3">
      <c r="A1662">
        <v>3</v>
      </c>
      <c r="B1662" s="2" t="s">
        <v>696</v>
      </c>
      <c r="C1662" s="4" t="s">
        <v>691</v>
      </c>
      <c r="D1662" s="3" t="s">
        <v>660</v>
      </c>
      <c r="E1662" s="6" t="s">
        <v>62</v>
      </c>
      <c r="F1662" s="6" t="s">
        <v>764</v>
      </c>
      <c r="G1662" s="6" t="s">
        <v>709</v>
      </c>
      <c r="H1662" s="23">
        <v>28000</v>
      </c>
      <c r="I1662">
        <v>0</v>
      </c>
      <c r="J1662">
        <v>0</v>
      </c>
      <c r="K1662" s="20">
        <f t="shared" si="192"/>
        <v>0</v>
      </c>
      <c r="L1662">
        <v>80</v>
      </c>
      <c r="M1662">
        <v>3</v>
      </c>
      <c r="N1662" s="21">
        <f t="shared" si="193"/>
        <v>6720000</v>
      </c>
      <c r="O1662">
        <v>0</v>
      </c>
      <c r="P1662">
        <v>0</v>
      </c>
      <c r="Q1662" s="21">
        <f t="shared" si="195"/>
        <v>0</v>
      </c>
      <c r="R1662">
        <v>0</v>
      </c>
      <c r="S1662">
        <v>0</v>
      </c>
      <c r="T1662" s="21">
        <f t="shared" si="196"/>
        <v>0</v>
      </c>
      <c r="U1662">
        <v>0</v>
      </c>
      <c r="V1662">
        <v>0</v>
      </c>
      <c r="W1662" s="21">
        <f t="shared" si="197"/>
        <v>0</v>
      </c>
      <c r="X1662">
        <v>0</v>
      </c>
      <c r="Y1662">
        <v>0</v>
      </c>
      <c r="Z1662" s="21">
        <f t="shared" si="198"/>
        <v>0</v>
      </c>
      <c r="AA1662">
        <v>0</v>
      </c>
      <c r="AB1662">
        <v>0</v>
      </c>
      <c r="AC1662" s="21">
        <f t="shared" si="199"/>
        <v>0</v>
      </c>
      <c r="AD1662">
        <v>0</v>
      </c>
      <c r="AE1662">
        <v>0</v>
      </c>
      <c r="AF1662" s="21">
        <f t="shared" si="194"/>
        <v>0</v>
      </c>
    </row>
    <row r="1663" spans="1:32" ht="15" customHeight="1" x14ac:dyDescent="0.3">
      <c r="A1663">
        <v>3</v>
      </c>
      <c r="B1663" s="2" t="s">
        <v>696</v>
      </c>
      <c r="C1663" s="4" t="s">
        <v>691</v>
      </c>
      <c r="D1663" s="3" t="s">
        <v>660</v>
      </c>
      <c r="E1663" s="6" t="s">
        <v>62</v>
      </c>
      <c r="F1663" s="6" t="s">
        <v>764</v>
      </c>
      <c r="G1663" s="6" t="s">
        <v>712</v>
      </c>
      <c r="H1663" s="23">
        <v>214.29</v>
      </c>
      <c r="I1663">
        <v>0</v>
      </c>
      <c r="J1663">
        <v>0</v>
      </c>
      <c r="K1663" s="20">
        <f t="shared" si="192"/>
        <v>0</v>
      </c>
      <c r="L1663">
        <v>24000</v>
      </c>
      <c r="M1663">
        <v>1</v>
      </c>
      <c r="N1663" s="21">
        <f t="shared" si="193"/>
        <v>5142960</v>
      </c>
      <c r="O1663">
        <v>0</v>
      </c>
      <c r="P1663">
        <v>0</v>
      </c>
      <c r="Q1663" s="21">
        <f t="shared" si="195"/>
        <v>0</v>
      </c>
      <c r="R1663">
        <v>0</v>
      </c>
      <c r="S1663">
        <v>0</v>
      </c>
      <c r="T1663" s="21">
        <f t="shared" si="196"/>
        <v>0</v>
      </c>
      <c r="U1663">
        <v>0</v>
      </c>
      <c r="V1663">
        <v>0</v>
      </c>
      <c r="W1663" s="21">
        <f t="shared" si="197"/>
        <v>0</v>
      </c>
      <c r="X1663">
        <v>0</v>
      </c>
      <c r="Y1663">
        <v>0</v>
      </c>
      <c r="Z1663" s="21">
        <f t="shared" si="198"/>
        <v>0</v>
      </c>
      <c r="AA1663">
        <v>0</v>
      </c>
      <c r="AB1663">
        <v>0</v>
      </c>
      <c r="AC1663" s="21">
        <f t="shared" si="199"/>
        <v>0</v>
      </c>
      <c r="AD1663">
        <v>0</v>
      </c>
      <c r="AE1663">
        <v>0</v>
      </c>
      <c r="AF1663" s="21">
        <f t="shared" si="194"/>
        <v>0</v>
      </c>
    </row>
    <row r="1664" spans="1:32" ht="15" customHeight="1" x14ac:dyDescent="0.3">
      <c r="A1664">
        <v>3</v>
      </c>
      <c r="B1664" s="2" t="s">
        <v>696</v>
      </c>
      <c r="C1664" s="4" t="s">
        <v>691</v>
      </c>
      <c r="D1664" s="3" t="s">
        <v>660</v>
      </c>
      <c r="E1664" s="6" t="s">
        <v>63</v>
      </c>
      <c r="F1664" s="6" t="s">
        <v>397</v>
      </c>
      <c r="G1664" s="6" t="s">
        <v>746</v>
      </c>
      <c r="H1664" s="23">
        <v>1080000</v>
      </c>
      <c r="I1664">
        <v>0</v>
      </c>
      <c r="J1664">
        <v>0</v>
      </c>
      <c r="K1664" s="20">
        <f t="shared" si="192"/>
        <v>0</v>
      </c>
      <c r="L1664">
        <v>0</v>
      </c>
      <c r="M1664">
        <v>0</v>
      </c>
      <c r="N1664" s="21">
        <f t="shared" si="193"/>
        <v>0</v>
      </c>
      <c r="O1664">
        <v>58</v>
      </c>
      <c r="P1664">
        <v>1</v>
      </c>
      <c r="Q1664" s="21">
        <f t="shared" si="195"/>
        <v>62640000</v>
      </c>
      <c r="R1664">
        <v>0</v>
      </c>
      <c r="S1664">
        <v>0</v>
      </c>
      <c r="T1664" s="21">
        <f t="shared" si="196"/>
        <v>0</v>
      </c>
      <c r="U1664">
        <v>0</v>
      </c>
      <c r="V1664">
        <v>0</v>
      </c>
      <c r="W1664" s="21">
        <f t="shared" si="197"/>
        <v>0</v>
      </c>
      <c r="X1664">
        <v>0</v>
      </c>
      <c r="Y1664">
        <v>0</v>
      </c>
      <c r="Z1664" s="21">
        <f t="shared" si="198"/>
        <v>0</v>
      </c>
      <c r="AA1664">
        <v>0</v>
      </c>
      <c r="AB1664">
        <v>0</v>
      </c>
      <c r="AC1664" s="21">
        <f t="shared" si="199"/>
        <v>0</v>
      </c>
      <c r="AD1664">
        <v>0</v>
      </c>
      <c r="AE1664">
        <v>0</v>
      </c>
      <c r="AF1664" s="21">
        <f t="shared" si="194"/>
        <v>0</v>
      </c>
    </row>
    <row r="1665" spans="1:32" ht="15" customHeight="1" x14ac:dyDescent="0.3">
      <c r="A1665">
        <v>3</v>
      </c>
      <c r="B1665" s="2" t="s">
        <v>696</v>
      </c>
      <c r="C1665" s="4" t="s">
        <v>691</v>
      </c>
      <c r="D1665" s="3" t="s">
        <v>660</v>
      </c>
      <c r="E1665" s="6" t="s">
        <v>63</v>
      </c>
      <c r="F1665" s="6" t="s">
        <v>397</v>
      </c>
      <c r="G1665" s="6" t="s">
        <v>766</v>
      </c>
      <c r="H1665" s="23">
        <v>0</v>
      </c>
      <c r="I1665">
        <v>0</v>
      </c>
      <c r="J1665">
        <v>0</v>
      </c>
      <c r="K1665" s="20">
        <f t="shared" si="192"/>
        <v>0</v>
      </c>
      <c r="L1665">
        <v>0</v>
      </c>
      <c r="M1665">
        <v>0</v>
      </c>
      <c r="N1665" s="21">
        <f t="shared" si="193"/>
        <v>0</v>
      </c>
      <c r="O1665">
        <v>1</v>
      </c>
      <c r="P1665">
        <v>1</v>
      </c>
      <c r="Q1665" s="21">
        <f t="shared" si="195"/>
        <v>0</v>
      </c>
      <c r="R1665">
        <v>0</v>
      </c>
      <c r="S1665">
        <v>0</v>
      </c>
      <c r="T1665" s="21">
        <f t="shared" si="196"/>
        <v>0</v>
      </c>
      <c r="U1665">
        <v>0</v>
      </c>
      <c r="V1665">
        <v>0</v>
      </c>
      <c r="W1665" s="21">
        <f t="shared" si="197"/>
        <v>0</v>
      </c>
      <c r="X1665">
        <v>0</v>
      </c>
      <c r="Y1665">
        <v>0</v>
      </c>
      <c r="Z1665" s="21">
        <f t="shared" si="198"/>
        <v>0</v>
      </c>
      <c r="AA1665">
        <v>0</v>
      </c>
      <c r="AB1665">
        <v>0</v>
      </c>
      <c r="AC1665" s="21">
        <f t="shared" si="199"/>
        <v>0</v>
      </c>
      <c r="AD1665">
        <v>0</v>
      </c>
      <c r="AE1665">
        <v>0</v>
      </c>
      <c r="AF1665" s="21">
        <f t="shared" si="194"/>
        <v>0</v>
      </c>
    </row>
    <row r="1666" spans="1:32" ht="15" customHeight="1" x14ac:dyDescent="0.3">
      <c r="A1666">
        <v>3</v>
      </c>
      <c r="B1666" s="2" t="s">
        <v>696</v>
      </c>
      <c r="C1666" s="4" t="s">
        <v>691</v>
      </c>
      <c r="D1666" s="3" t="s">
        <v>660</v>
      </c>
      <c r="E1666" s="6" t="s">
        <v>63</v>
      </c>
      <c r="F1666" s="6" t="s">
        <v>398</v>
      </c>
      <c r="G1666" s="6" t="s">
        <v>716</v>
      </c>
      <c r="H1666" s="23">
        <v>39000</v>
      </c>
      <c r="I1666">
        <v>0</v>
      </c>
      <c r="J1666">
        <v>0</v>
      </c>
      <c r="K1666" s="20">
        <f t="shared" si="192"/>
        <v>0</v>
      </c>
      <c r="L1666">
        <v>0</v>
      </c>
      <c r="M1666">
        <v>0</v>
      </c>
      <c r="N1666" s="21">
        <f t="shared" si="193"/>
        <v>0</v>
      </c>
      <c r="O1666">
        <v>120</v>
      </c>
      <c r="P1666">
        <v>7</v>
      </c>
      <c r="Q1666" s="21">
        <f t="shared" si="195"/>
        <v>32760000</v>
      </c>
      <c r="R1666">
        <v>0</v>
      </c>
      <c r="S1666">
        <v>0</v>
      </c>
      <c r="T1666" s="21">
        <f t="shared" si="196"/>
        <v>0</v>
      </c>
      <c r="U1666">
        <v>0</v>
      </c>
      <c r="V1666">
        <v>0</v>
      </c>
      <c r="W1666" s="21">
        <f t="shared" si="197"/>
        <v>0</v>
      </c>
      <c r="X1666">
        <v>0</v>
      </c>
      <c r="Y1666">
        <v>0</v>
      </c>
      <c r="Z1666" s="21">
        <f t="shared" si="198"/>
        <v>0</v>
      </c>
      <c r="AA1666">
        <v>0</v>
      </c>
      <c r="AB1666">
        <v>0</v>
      </c>
      <c r="AC1666" s="21">
        <f t="shared" si="199"/>
        <v>0</v>
      </c>
      <c r="AD1666">
        <v>0</v>
      </c>
      <c r="AE1666">
        <v>0</v>
      </c>
      <c r="AF1666" s="21">
        <f t="shared" si="194"/>
        <v>0</v>
      </c>
    </row>
    <row r="1667" spans="1:32" ht="15" customHeight="1" x14ac:dyDescent="0.3">
      <c r="A1667">
        <v>3</v>
      </c>
      <c r="B1667" s="2" t="s">
        <v>696</v>
      </c>
      <c r="C1667" s="4" t="s">
        <v>691</v>
      </c>
      <c r="D1667" s="3" t="s">
        <v>660</v>
      </c>
      <c r="E1667" s="6" t="s">
        <v>63</v>
      </c>
      <c r="F1667" s="6" t="s">
        <v>398</v>
      </c>
      <c r="G1667" s="6" t="s">
        <v>709</v>
      </c>
      <c r="H1667" s="23">
        <v>28000</v>
      </c>
      <c r="I1667">
        <v>0</v>
      </c>
      <c r="J1667">
        <v>0</v>
      </c>
      <c r="K1667" s="20">
        <f t="shared" si="192"/>
        <v>0</v>
      </c>
      <c r="L1667">
        <v>0</v>
      </c>
      <c r="M1667">
        <v>0</v>
      </c>
      <c r="N1667" s="21">
        <f t="shared" si="193"/>
        <v>0</v>
      </c>
      <c r="O1667">
        <v>120</v>
      </c>
      <c r="P1667">
        <v>7</v>
      </c>
      <c r="Q1667" s="21">
        <f t="shared" si="195"/>
        <v>23520000</v>
      </c>
      <c r="R1667">
        <v>0</v>
      </c>
      <c r="S1667">
        <v>0</v>
      </c>
      <c r="T1667" s="21">
        <f t="shared" si="196"/>
        <v>0</v>
      </c>
      <c r="U1667">
        <v>0</v>
      </c>
      <c r="V1667">
        <v>0</v>
      </c>
      <c r="W1667" s="21">
        <f t="shared" si="197"/>
        <v>0</v>
      </c>
      <c r="X1667">
        <v>0</v>
      </c>
      <c r="Y1667">
        <v>0</v>
      </c>
      <c r="Z1667" s="21">
        <f t="shared" si="198"/>
        <v>0</v>
      </c>
      <c r="AA1667">
        <v>0</v>
      </c>
      <c r="AB1667">
        <v>0</v>
      </c>
      <c r="AC1667" s="21">
        <f t="shared" si="199"/>
        <v>0</v>
      </c>
      <c r="AD1667">
        <v>0</v>
      </c>
      <c r="AE1667">
        <v>0</v>
      </c>
      <c r="AF1667" s="21">
        <f t="shared" si="194"/>
        <v>0</v>
      </c>
    </row>
    <row r="1668" spans="1:32" ht="15" customHeight="1" x14ac:dyDescent="0.3">
      <c r="A1668">
        <v>3</v>
      </c>
      <c r="B1668" s="2" t="s">
        <v>696</v>
      </c>
      <c r="C1668" s="4" t="s">
        <v>691</v>
      </c>
      <c r="D1668" s="3" t="s">
        <v>660</v>
      </c>
      <c r="E1668" s="6" t="s">
        <v>63</v>
      </c>
      <c r="F1668" s="6" t="s">
        <v>398</v>
      </c>
      <c r="G1668" s="6" t="s">
        <v>712</v>
      </c>
      <c r="H1668" s="23">
        <v>214.29</v>
      </c>
      <c r="I1668">
        <v>0</v>
      </c>
      <c r="J1668">
        <v>0</v>
      </c>
      <c r="K1668" s="20">
        <f t="shared" si="192"/>
        <v>0</v>
      </c>
      <c r="L1668">
        <v>0</v>
      </c>
      <c r="M1668">
        <v>0</v>
      </c>
      <c r="N1668" s="21">
        <f t="shared" si="193"/>
        <v>0</v>
      </c>
      <c r="O1668">
        <v>20000</v>
      </c>
      <c r="P1668">
        <v>1</v>
      </c>
      <c r="Q1668" s="21">
        <f t="shared" si="195"/>
        <v>4285800</v>
      </c>
      <c r="R1668">
        <v>0</v>
      </c>
      <c r="S1668">
        <v>0</v>
      </c>
      <c r="T1668" s="21">
        <f t="shared" si="196"/>
        <v>0</v>
      </c>
      <c r="U1668">
        <v>0</v>
      </c>
      <c r="V1668">
        <v>0</v>
      </c>
      <c r="W1668" s="21">
        <f t="shared" si="197"/>
        <v>0</v>
      </c>
      <c r="X1668">
        <v>0</v>
      </c>
      <c r="Y1668">
        <v>0</v>
      </c>
      <c r="Z1668" s="21">
        <f t="shared" si="198"/>
        <v>0</v>
      </c>
      <c r="AA1668">
        <v>0</v>
      </c>
      <c r="AB1668">
        <v>0</v>
      </c>
      <c r="AC1668" s="21">
        <f t="shared" si="199"/>
        <v>0</v>
      </c>
      <c r="AD1668">
        <v>0</v>
      </c>
      <c r="AE1668">
        <v>0</v>
      </c>
      <c r="AF1668" s="21">
        <f t="shared" si="194"/>
        <v>0</v>
      </c>
    </row>
    <row r="1669" spans="1:32" ht="15" customHeight="1" x14ac:dyDescent="0.3">
      <c r="B1669" s="2" t="s">
        <v>696</v>
      </c>
      <c r="C1669" s="4" t="s">
        <v>691</v>
      </c>
      <c r="D1669" s="3" t="s">
        <v>660</v>
      </c>
      <c r="E1669" s="6" t="s">
        <v>63</v>
      </c>
      <c r="F1669" s="6" t="s">
        <v>399</v>
      </c>
      <c r="G1669" s="6" t="s">
        <v>718</v>
      </c>
      <c r="H1669" s="23">
        <v>0</v>
      </c>
      <c r="I1669">
        <v>0</v>
      </c>
      <c r="J1669">
        <v>0</v>
      </c>
      <c r="K1669" s="20">
        <f t="shared" si="192"/>
        <v>0</v>
      </c>
      <c r="L1669">
        <v>0</v>
      </c>
      <c r="M1669">
        <v>0</v>
      </c>
      <c r="N1669" s="21">
        <f t="shared" si="193"/>
        <v>0</v>
      </c>
      <c r="O1669">
        <v>0</v>
      </c>
      <c r="P1669">
        <v>0</v>
      </c>
      <c r="Q1669" s="21">
        <f t="shared" si="195"/>
        <v>0</v>
      </c>
      <c r="R1669">
        <v>0</v>
      </c>
      <c r="S1669">
        <v>0</v>
      </c>
      <c r="T1669" s="21">
        <f t="shared" si="196"/>
        <v>0</v>
      </c>
      <c r="U1669">
        <v>0</v>
      </c>
      <c r="V1669">
        <v>0</v>
      </c>
      <c r="W1669" s="21">
        <f t="shared" si="197"/>
        <v>0</v>
      </c>
      <c r="X1669">
        <v>0</v>
      </c>
      <c r="Y1669">
        <v>0</v>
      </c>
      <c r="Z1669" s="21">
        <f t="shared" si="198"/>
        <v>0</v>
      </c>
      <c r="AA1669">
        <v>0</v>
      </c>
      <c r="AB1669">
        <v>0</v>
      </c>
      <c r="AC1669" s="21">
        <f t="shared" si="199"/>
        <v>0</v>
      </c>
      <c r="AD1669">
        <v>0</v>
      </c>
      <c r="AE1669">
        <v>0</v>
      </c>
      <c r="AF1669" s="21">
        <f t="shared" si="194"/>
        <v>0</v>
      </c>
    </row>
    <row r="1670" spans="1:32" ht="15" customHeight="1" x14ac:dyDescent="0.3">
      <c r="B1670" s="2" t="s">
        <v>696</v>
      </c>
      <c r="C1670" s="4" t="s">
        <v>691</v>
      </c>
      <c r="D1670" s="3" t="s">
        <v>660</v>
      </c>
      <c r="E1670" s="6" t="s">
        <v>63</v>
      </c>
      <c r="F1670" s="6" t="s">
        <v>400</v>
      </c>
      <c r="G1670" s="6" t="s">
        <v>716</v>
      </c>
      <c r="H1670" s="23">
        <v>39000</v>
      </c>
      <c r="I1670">
        <v>0</v>
      </c>
      <c r="J1670">
        <v>0</v>
      </c>
      <c r="K1670" s="20">
        <f t="shared" ref="K1670:K1733" si="200">H1670*I1670*J1670</f>
        <v>0</v>
      </c>
      <c r="L1670">
        <v>0</v>
      </c>
      <c r="M1670">
        <v>0</v>
      </c>
      <c r="N1670" s="21">
        <f t="shared" ref="N1670:N1733" si="201">H1670*L1670*M1670</f>
        <v>0</v>
      </c>
      <c r="O1670">
        <v>200</v>
      </c>
      <c r="P1670">
        <v>3</v>
      </c>
      <c r="Q1670" s="21">
        <f t="shared" si="195"/>
        <v>23400000</v>
      </c>
      <c r="R1670">
        <v>0</v>
      </c>
      <c r="S1670">
        <v>0</v>
      </c>
      <c r="T1670" s="21">
        <f t="shared" si="196"/>
        <v>0</v>
      </c>
      <c r="U1670">
        <v>0</v>
      </c>
      <c r="V1670">
        <v>0</v>
      </c>
      <c r="W1670" s="21">
        <f t="shared" si="197"/>
        <v>0</v>
      </c>
      <c r="X1670">
        <v>0</v>
      </c>
      <c r="Y1670">
        <v>0</v>
      </c>
      <c r="Z1670" s="21">
        <f t="shared" si="198"/>
        <v>0</v>
      </c>
      <c r="AA1670">
        <v>0</v>
      </c>
      <c r="AB1670">
        <v>0</v>
      </c>
      <c r="AC1670" s="21">
        <f t="shared" si="199"/>
        <v>0</v>
      </c>
      <c r="AD1670">
        <v>0</v>
      </c>
      <c r="AE1670">
        <v>0</v>
      </c>
      <c r="AF1670" s="21">
        <f t="shared" ref="AF1670:AF1733" si="202">H1670*AD1670*AE1670</f>
        <v>0</v>
      </c>
    </row>
    <row r="1671" spans="1:32" ht="15" customHeight="1" x14ac:dyDescent="0.3">
      <c r="B1671" s="2" t="s">
        <v>696</v>
      </c>
      <c r="C1671" s="4" t="s">
        <v>691</v>
      </c>
      <c r="D1671" s="3" t="s">
        <v>660</v>
      </c>
      <c r="E1671" s="6" t="s">
        <v>63</v>
      </c>
      <c r="F1671" s="6" t="s">
        <v>400</v>
      </c>
      <c r="G1671" s="6" t="s">
        <v>709</v>
      </c>
      <c r="H1671" s="23">
        <v>28000</v>
      </c>
      <c r="I1671">
        <v>0</v>
      </c>
      <c r="J1671">
        <v>0</v>
      </c>
      <c r="K1671" s="20">
        <f t="shared" si="200"/>
        <v>0</v>
      </c>
      <c r="L1671">
        <v>0</v>
      </c>
      <c r="M1671">
        <v>0</v>
      </c>
      <c r="N1671" s="21">
        <f t="shared" si="201"/>
        <v>0</v>
      </c>
      <c r="O1671">
        <v>200</v>
      </c>
      <c r="P1671">
        <v>3</v>
      </c>
      <c r="Q1671" s="21">
        <f t="shared" si="195"/>
        <v>16800000</v>
      </c>
      <c r="R1671">
        <v>0</v>
      </c>
      <c r="S1671">
        <v>0</v>
      </c>
      <c r="T1671" s="21">
        <f t="shared" si="196"/>
        <v>0</v>
      </c>
      <c r="U1671">
        <v>0</v>
      </c>
      <c r="V1671">
        <v>0</v>
      </c>
      <c r="W1671" s="21">
        <f t="shared" si="197"/>
        <v>0</v>
      </c>
      <c r="X1671">
        <v>0</v>
      </c>
      <c r="Y1671">
        <v>0</v>
      </c>
      <c r="Z1671" s="21">
        <f t="shared" si="198"/>
        <v>0</v>
      </c>
      <c r="AA1671">
        <v>0</v>
      </c>
      <c r="AB1671">
        <v>0</v>
      </c>
      <c r="AC1671" s="21">
        <f t="shared" si="199"/>
        <v>0</v>
      </c>
      <c r="AD1671">
        <v>0</v>
      </c>
      <c r="AE1671">
        <v>0</v>
      </c>
      <c r="AF1671" s="21">
        <f t="shared" si="202"/>
        <v>0</v>
      </c>
    </row>
    <row r="1672" spans="1:32" ht="15" customHeight="1" x14ac:dyDescent="0.3">
      <c r="B1672" s="2" t="s">
        <v>696</v>
      </c>
      <c r="C1672" s="4" t="s">
        <v>691</v>
      </c>
      <c r="D1672" s="3" t="s">
        <v>660</v>
      </c>
      <c r="E1672" s="6" t="s">
        <v>63</v>
      </c>
      <c r="F1672" s="6" t="s">
        <v>400</v>
      </c>
      <c r="G1672" s="6" t="s">
        <v>712</v>
      </c>
      <c r="H1672" s="23">
        <v>214.29</v>
      </c>
      <c r="I1672">
        <v>0</v>
      </c>
      <c r="J1672">
        <v>0</v>
      </c>
      <c r="K1672" s="20">
        <f t="shared" si="200"/>
        <v>0</v>
      </c>
      <c r="L1672">
        <v>0</v>
      </c>
      <c r="M1672">
        <v>0</v>
      </c>
      <c r="N1672" s="21">
        <f t="shared" si="201"/>
        <v>0</v>
      </c>
      <c r="O1672">
        <v>28000</v>
      </c>
      <c r="P1672">
        <v>1</v>
      </c>
      <c r="Q1672" s="21">
        <f t="shared" si="195"/>
        <v>6000120</v>
      </c>
      <c r="R1672">
        <v>0</v>
      </c>
      <c r="S1672">
        <v>0</v>
      </c>
      <c r="T1672" s="21">
        <f t="shared" si="196"/>
        <v>0</v>
      </c>
      <c r="U1672">
        <v>0</v>
      </c>
      <c r="V1672">
        <v>0</v>
      </c>
      <c r="W1672" s="21">
        <f t="shared" si="197"/>
        <v>0</v>
      </c>
      <c r="X1672">
        <v>0</v>
      </c>
      <c r="Y1672">
        <v>0</v>
      </c>
      <c r="Z1672" s="21">
        <f t="shared" si="198"/>
        <v>0</v>
      </c>
      <c r="AA1672">
        <v>0</v>
      </c>
      <c r="AB1672">
        <v>0</v>
      </c>
      <c r="AC1672" s="21">
        <f t="shared" si="199"/>
        <v>0</v>
      </c>
      <c r="AD1672">
        <v>0</v>
      </c>
      <c r="AE1672">
        <v>0</v>
      </c>
      <c r="AF1672" s="21">
        <f t="shared" si="202"/>
        <v>0</v>
      </c>
    </row>
    <row r="1673" spans="1:32" ht="15" customHeight="1" x14ac:dyDescent="0.3">
      <c r="B1673" s="2" t="s">
        <v>696</v>
      </c>
      <c r="C1673" s="4" t="s">
        <v>691</v>
      </c>
      <c r="D1673" s="3" t="s">
        <v>660</v>
      </c>
      <c r="E1673" s="6" t="s">
        <v>64</v>
      </c>
      <c r="F1673" s="6" t="s">
        <v>764</v>
      </c>
      <c r="G1673" s="6" t="s">
        <v>709</v>
      </c>
      <c r="H1673" s="23">
        <v>28000</v>
      </c>
      <c r="I1673">
        <v>0</v>
      </c>
      <c r="J1673">
        <v>0</v>
      </c>
      <c r="K1673" s="20">
        <f t="shared" si="200"/>
        <v>0</v>
      </c>
      <c r="L1673">
        <v>0</v>
      </c>
      <c r="M1673">
        <v>0</v>
      </c>
      <c r="N1673" s="21">
        <f t="shared" si="201"/>
        <v>0</v>
      </c>
      <c r="O1673">
        <v>0</v>
      </c>
      <c r="P1673">
        <v>0</v>
      </c>
      <c r="Q1673" s="21">
        <f t="shared" si="195"/>
        <v>0</v>
      </c>
      <c r="R1673">
        <v>20</v>
      </c>
      <c r="S1673">
        <v>2</v>
      </c>
      <c r="T1673" s="21">
        <f t="shared" si="196"/>
        <v>1120000</v>
      </c>
      <c r="U1673">
        <v>0</v>
      </c>
      <c r="V1673">
        <v>0</v>
      </c>
      <c r="W1673" s="21">
        <f t="shared" si="197"/>
        <v>0</v>
      </c>
      <c r="X1673">
        <v>0</v>
      </c>
      <c r="Y1673">
        <v>0</v>
      </c>
      <c r="Z1673" s="21">
        <f t="shared" si="198"/>
        <v>0</v>
      </c>
      <c r="AA1673">
        <v>0</v>
      </c>
      <c r="AB1673">
        <v>0</v>
      </c>
      <c r="AC1673" s="21">
        <f t="shared" si="199"/>
        <v>0</v>
      </c>
      <c r="AD1673">
        <v>0</v>
      </c>
      <c r="AE1673">
        <v>0</v>
      </c>
      <c r="AF1673" s="21">
        <f t="shared" si="202"/>
        <v>0</v>
      </c>
    </row>
    <row r="1674" spans="1:32" ht="15" customHeight="1" x14ac:dyDescent="0.3">
      <c r="B1674" s="2" t="s">
        <v>696</v>
      </c>
      <c r="C1674" s="4" t="s">
        <v>691</v>
      </c>
      <c r="D1674" s="3" t="s">
        <v>660</v>
      </c>
      <c r="E1674" s="6" t="s">
        <v>65</v>
      </c>
      <c r="F1674" s="6" t="s">
        <v>764</v>
      </c>
      <c r="G1674" s="6" t="s">
        <v>709</v>
      </c>
      <c r="H1674" s="23">
        <v>28000</v>
      </c>
      <c r="I1674">
        <v>0</v>
      </c>
      <c r="J1674">
        <v>0</v>
      </c>
      <c r="K1674" s="20">
        <f t="shared" si="200"/>
        <v>0</v>
      </c>
      <c r="L1674">
        <v>0</v>
      </c>
      <c r="M1674">
        <v>0</v>
      </c>
      <c r="N1674" s="21">
        <f t="shared" si="201"/>
        <v>0</v>
      </c>
      <c r="O1674">
        <v>0</v>
      </c>
      <c r="P1674">
        <v>0</v>
      </c>
      <c r="Q1674" s="21">
        <f t="shared" si="195"/>
        <v>0</v>
      </c>
      <c r="R1674">
        <v>20</v>
      </c>
      <c r="S1674">
        <v>2</v>
      </c>
      <c r="T1674" s="21">
        <f t="shared" si="196"/>
        <v>1120000</v>
      </c>
      <c r="U1674">
        <v>0</v>
      </c>
      <c r="V1674">
        <v>0</v>
      </c>
      <c r="W1674" s="21">
        <f t="shared" si="197"/>
        <v>0</v>
      </c>
      <c r="X1674">
        <v>0</v>
      </c>
      <c r="Y1674">
        <v>0</v>
      </c>
      <c r="Z1674" s="21">
        <f t="shared" si="198"/>
        <v>0</v>
      </c>
      <c r="AA1674">
        <v>0</v>
      </c>
      <c r="AB1674">
        <v>0</v>
      </c>
      <c r="AC1674" s="21">
        <f t="shared" si="199"/>
        <v>0</v>
      </c>
      <c r="AD1674">
        <v>0</v>
      </c>
      <c r="AE1674">
        <v>0</v>
      </c>
      <c r="AF1674" s="21">
        <f t="shared" si="202"/>
        <v>0</v>
      </c>
    </row>
    <row r="1675" spans="1:32" ht="15" customHeight="1" x14ac:dyDescent="0.3">
      <c r="B1675" s="2" t="s">
        <v>696</v>
      </c>
      <c r="C1675" s="4" t="s">
        <v>691</v>
      </c>
      <c r="D1675" s="3" t="s">
        <v>660</v>
      </c>
      <c r="E1675" s="6" t="s">
        <v>66</v>
      </c>
      <c r="F1675" s="6" t="s">
        <v>764</v>
      </c>
      <c r="G1675" s="6" t="s">
        <v>709</v>
      </c>
      <c r="H1675" s="23">
        <v>28000</v>
      </c>
      <c r="I1675">
        <v>20</v>
      </c>
      <c r="J1675">
        <v>2</v>
      </c>
      <c r="K1675" s="20">
        <f t="shared" si="200"/>
        <v>1120000</v>
      </c>
      <c r="L1675">
        <v>0</v>
      </c>
      <c r="M1675">
        <v>0</v>
      </c>
      <c r="N1675" s="21">
        <f t="shared" si="201"/>
        <v>0</v>
      </c>
      <c r="O1675">
        <v>0</v>
      </c>
      <c r="P1675">
        <v>0</v>
      </c>
      <c r="Q1675" s="21">
        <f t="shared" si="195"/>
        <v>0</v>
      </c>
      <c r="R1675">
        <v>0</v>
      </c>
      <c r="S1675">
        <v>0</v>
      </c>
      <c r="T1675" s="21">
        <f t="shared" si="196"/>
        <v>0</v>
      </c>
      <c r="U1675">
        <v>0</v>
      </c>
      <c r="V1675">
        <v>0</v>
      </c>
      <c r="W1675" s="21">
        <f t="shared" si="197"/>
        <v>0</v>
      </c>
      <c r="X1675">
        <v>0</v>
      </c>
      <c r="Y1675">
        <v>0</v>
      </c>
      <c r="Z1675" s="21">
        <f t="shared" si="198"/>
        <v>0</v>
      </c>
      <c r="AA1675">
        <v>0</v>
      </c>
      <c r="AB1675">
        <v>0</v>
      </c>
      <c r="AC1675" s="21">
        <f t="shared" si="199"/>
        <v>0</v>
      </c>
      <c r="AD1675">
        <v>0</v>
      </c>
      <c r="AE1675">
        <v>0</v>
      </c>
      <c r="AF1675" s="21">
        <f t="shared" si="202"/>
        <v>0</v>
      </c>
    </row>
    <row r="1676" spans="1:32" ht="15" customHeight="1" x14ac:dyDescent="0.3">
      <c r="B1676" s="2" t="s">
        <v>696</v>
      </c>
      <c r="C1676" s="4" t="s">
        <v>691</v>
      </c>
      <c r="D1676" s="3" t="s">
        <v>660</v>
      </c>
      <c r="E1676" s="6" t="s">
        <v>66</v>
      </c>
      <c r="F1676" s="6" t="s">
        <v>393</v>
      </c>
      <c r="G1676" s="6" t="s">
        <v>709</v>
      </c>
      <c r="H1676" s="23">
        <v>28000</v>
      </c>
      <c r="I1676">
        <v>15</v>
      </c>
      <c r="J1676">
        <v>2</v>
      </c>
      <c r="K1676" s="20">
        <f t="shared" si="200"/>
        <v>840000</v>
      </c>
      <c r="L1676">
        <v>0</v>
      </c>
      <c r="M1676">
        <v>0</v>
      </c>
      <c r="N1676" s="21">
        <f t="shared" si="201"/>
        <v>0</v>
      </c>
      <c r="O1676">
        <v>0</v>
      </c>
      <c r="P1676">
        <v>0</v>
      </c>
      <c r="Q1676" s="21">
        <f t="shared" si="195"/>
        <v>0</v>
      </c>
      <c r="R1676">
        <v>0</v>
      </c>
      <c r="S1676">
        <v>0</v>
      </c>
      <c r="T1676" s="21">
        <f t="shared" si="196"/>
        <v>0</v>
      </c>
      <c r="U1676">
        <v>0</v>
      </c>
      <c r="V1676">
        <v>0</v>
      </c>
      <c r="W1676" s="21">
        <f t="shared" si="197"/>
        <v>0</v>
      </c>
      <c r="X1676">
        <v>0</v>
      </c>
      <c r="Y1676">
        <v>0</v>
      </c>
      <c r="Z1676" s="21">
        <f t="shared" si="198"/>
        <v>0</v>
      </c>
      <c r="AA1676">
        <v>0</v>
      </c>
      <c r="AB1676">
        <v>0</v>
      </c>
      <c r="AC1676" s="21">
        <f t="shared" si="199"/>
        <v>0</v>
      </c>
      <c r="AD1676">
        <v>0</v>
      </c>
      <c r="AE1676">
        <v>0</v>
      </c>
      <c r="AF1676" s="21">
        <f t="shared" si="202"/>
        <v>0</v>
      </c>
    </row>
    <row r="1677" spans="1:32" ht="15" customHeight="1" x14ac:dyDescent="0.3">
      <c r="B1677" s="2" t="s">
        <v>696</v>
      </c>
      <c r="C1677" s="4" t="s">
        <v>691</v>
      </c>
      <c r="D1677" s="3" t="s">
        <v>660</v>
      </c>
      <c r="E1677" s="6" t="s">
        <v>66</v>
      </c>
      <c r="F1677" s="6" t="s">
        <v>401</v>
      </c>
      <c r="G1677" s="6" t="s">
        <v>709</v>
      </c>
      <c r="H1677" s="23">
        <v>28000</v>
      </c>
      <c r="I1677">
        <v>70</v>
      </c>
      <c r="J1677">
        <v>2</v>
      </c>
      <c r="K1677" s="20">
        <f t="shared" si="200"/>
        <v>3920000</v>
      </c>
      <c r="L1677">
        <v>0</v>
      </c>
      <c r="M1677">
        <v>0</v>
      </c>
      <c r="N1677" s="21">
        <f t="shared" si="201"/>
        <v>0</v>
      </c>
      <c r="O1677">
        <v>0</v>
      </c>
      <c r="P1677">
        <v>0</v>
      </c>
      <c r="Q1677" s="21">
        <f t="shared" si="195"/>
        <v>0</v>
      </c>
      <c r="R1677">
        <v>0</v>
      </c>
      <c r="S1677">
        <v>0</v>
      </c>
      <c r="T1677" s="21">
        <f t="shared" si="196"/>
        <v>0</v>
      </c>
      <c r="U1677">
        <v>0</v>
      </c>
      <c r="V1677">
        <v>0</v>
      </c>
      <c r="W1677" s="21">
        <f t="shared" si="197"/>
        <v>0</v>
      </c>
      <c r="X1677">
        <v>0</v>
      </c>
      <c r="Y1677">
        <v>0</v>
      </c>
      <c r="Z1677" s="21">
        <f t="shared" si="198"/>
        <v>0</v>
      </c>
      <c r="AA1677">
        <v>0</v>
      </c>
      <c r="AB1677">
        <v>0</v>
      </c>
      <c r="AC1677" s="21">
        <f t="shared" si="199"/>
        <v>0</v>
      </c>
      <c r="AD1677">
        <v>0</v>
      </c>
      <c r="AE1677">
        <v>0</v>
      </c>
      <c r="AF1677" s="21">
        <f t="shared" si="202"/>
        <v>0</v>
      </c>
    </row>
    <row r="1678" spans="1:32" ht="15" customHeight="1" x14ac:dyDescent="0.3">
      <c r="B1678" s="2" t="s">
        <v>696</v>
      </c>
      <c r="C1678" s="4" t="s">
        <v>691</v>
      </c>
      <c r="D1678" s="3" t="s">
        <v>660</v>
      </c>
      <c r="E1678" s="6" t="s">
        <v>66</v>
      </c>
      <c r="F1678" s="6" t="s">
        <v>401</v>
      </c>
      <c r="G1678" s="6" t="s">
        <v>709</v>
      </c>
      <c r="H1678" s="23">
        <v>28000</v>
      </c>
      <c r="I1678">
        <v>120</v>
      </c>
      <c r="J1678">
        <v>2</v>
      </c>
      <c r="K1678" s="20">
        <f t="shared" si="200"/>
        <v>6720000</v>
      </c>
      <c r="L1678">
        <v>0</v>
      </c>
      <c r="M1678">
        <v>0</v>
      </c>
      <c r="N1678" s="21">
        <f t="shared" si="201"/>
        <v>0</v>
      </c>
      <c r="O1678">
        <v>0</v>
      </c>
      <c r="P1678">
        <v>0</v>
      </c>
      <c r="Q1678" s="21">
        <f t="shared" si="195"/>
        <v>0</v>
      </c>
      <c r="R1678">
        <v>0</v>
      </c>
      <c r="S1678">
        <v>0</v>
      </c>
      <c r="T1678" s="21">
        <f t="shared" si="196"/>
        <v>0</v>
      </c>
      <c r="U1678">
        <v>0</v>
      </c>
      <c r="V1678">
        <v>0</v>
      </c>
      <c r="W1678" s="21">
        <f t="shared" si="197"/>
        <v>0</v>
      </c>
      <c r="X1678">
        <v>0</v>
      </c>
      <c r="Y1678">
        <v>0</v>
      </c>
      <c r="Z1678" s="21">
        <f t="shared" si="198"/>
        <v>0</v>
      </c>
      <c r="AA1678">
        <v>0</v>
      </c>
      <c r="AB1678">
        <v>0</v>
      </c>
      <c r="AC1678" s="21">
        <f t="shared" si="199"/>
        <v>0</v>
      </c>
      <c r="AD1678">
        <v>0</v>
      </c>
      <c r="AE1678">
        <v>0</v>
      </c>
      <c r="AF1678" s="21">
        <f t="shared" si="202"/>
        <v>0</v>
      </c>
    </row>
    <row r="1679" spans="1:32" ht="15" customHeight="1" x14ac:dyDescent="0.3">
      <c r="B1679" s="2" t="s">
        <v>696</v>
      </c>
      <c r="C1679" s="4" t="s">
        <v>691</v>
      </c>
      <c r="D1679" s="3" t="s">
        <v>660</v>
      </c>
      <c r="E1679" s="6" t="s">
        <v>66</v>
      </c>
      <c r="F1679" s="6" t="s">
        <v>401</v>
      </c>
      <c r="G1679" s="6" t="s">
        <v>716</v>
      </c>
      <c r="H1679" s="23">
        <v>39000</v>
      </c>
      <c r="I1679">
        <v>120</v>
      </c>
      <c r="J1679">
        <v>2</v>
      </c>
      <c r="K1679" s="20">
        <f t="shared" si="200"/>
        <v>9360000</v>
      </c>
      <c r="L1679">
        <v>0</v>
      </c>
      <c r="M1679">
        <v>0</v>
      </c>
      <c r="N1679" s="21">
        <f t="shared" si="201"/>
        <v>0</v>
      </c>
      <c r="O1679">
        <v>0</v>
      </c>
      <c r="P1679">
        <v>0</v>
      </c>
      <c r="Q1679" s="21">
        <f t="shared" si="195"/>
        <v>0</v>
      </c>
      <c r="R1679">
        <v>0</v>
      </c>
      <c r="S1679">
        <v>0</v>
      </c>
      <c r="T1679" s="21">
        <f t="shared" si="196"/>
        <v>0</v>
      </c>
      <c r="U1679">
        <v>0</v>
      </c>
      <c r="V1679">
        <v>0</v>
      </c>
      <c r="W1679" s="21">
        <f t="shared" si="197"/>
        <v>0</v>
      </c>
      <c r="X1679">
        <v>0</v>
      </c>
      <c r="Y1679">
        <v>0</v>
      </c>
      <c r="Z1679" s="21">
        <f t="shared" si="198"/>
        <v>0</v>
      </c>
      <c r="AA1679">
        <v>0</v>
      </c>
      <c r="AB1679">
        <v>0</v>
      </c>
      <c r="AC1679" s="21">
        <f t="shared" si="199"/>
        <v>0</v>
      </c>
      <c r="AD1679">
        <v>0</v>
      </c>
      <c r="AE1679">
        <v>0</v>
      </c>
      <c r="AF1679" s="21">
        <f t="shared" si="202"/>
        <v>0</v>
      </c>
    </row>
    <row r="1680" spans="1:32" ht="15" customHeight="1" x14ac:dyDescent="0.3">
      <c r="B1680" s="2" t="s">
        <v>696</v>
      </c>
      <c r="C1680" s="4" t="s">
        <v>691</v>
      </c>
      <c r="D1680" s="3" t="s">
        <v>660</v>
      </c>
      <c r="E1680" s="6" t="s">
        <v>66</v>
      </c>
      <c r="F1680" s="6" t="s">
        <v>401</v>
      </c>
      <c r="G1680" s="6" t="s">
        <v>712</v>
      </c>
      <c r="H1680" s="23">
        <v>214.29</v>
      </c>
      <c r="I1680">
        <v>28000</v>
      </c>
      <c r="J1680">
        <v>1</v>
      </c>
      <c r="K1680" s="20">
        <f t="shared" si="200"/>
        <v>6000120</v>
      </c>
      <c r="L1680">
        <v>0</v>
      </c>
      <c r="M1680">
        <v>0</v>
      </c>
      <c r="N1680" s="21">
        <f t="shared" si="201"/>
        <v>0</v>
      </c>
      <c r="O1680">
        <v>0</v>
      </c>
      <c r="P1680">
        <v>0</v>
      </c>
      <c r="Q1680" s="21">
        <f t="shared" si="195"/>
        <v>0</v>
      </c>
      <c r="R1680">
        <v>0</v>
      </c>
      <c r="S1680">
        <v>0</v>
      </c>
      <c r="T1680" s="21">
        <f t="shared" si="196"/>
        <v>0</v>
      </c>
      <c r="U1680">
        <v>0</v>
      </c>
      <c r="V1680">
        <v>0</v>
      </c>
      <c r="W1680" s="21">
        <f t="shared" si="197"/>
        <v>0</v>
      </c>
      <c r="X1680">
        <v>0</v>
      </c>
      <c r="Y1680">
        <v>0</v>
      </c>
      <c r="Z1680" s="21">
        <f t="shared" si="198"/>
        <v>0</v>
      </c>
      <c r="AA1680">
        <v>0</v>
      </c>
      <c r="AB1680">
        <v>0</v>
      </c>
      <c r="AC1680" s="21">
        <f t="shared" si="199"/>
        <v>0</v>
      </c>
      <c r="AD1680">
        <v>0</v>
      </c>
      <c r="AE1680">
        <v>0</v>
      </c>
      <c r="AF1680" s="21">
        <f t="shared" si="202"/>
        <v>0</v>
      </c>
    </row>
    <row r="1681" spans="1:32" ht="15" customHeight="1" x14ac:dyDescent="0.3">
      <c r="B1681" s="2" t="s">
        <v>696</v>
      </c>
      <c r="C1681" s="4" t="s">
        <v>691</v>
      </c>
      <c r="D1681" s="3" t="s">
        <v>660</v>
      </c>
      <c r="E1681" s="6" t="s">
        <v>66</v>
      </c>
      <c r="F1681" s="6" t="s">
        <v>402</v>
      </c>
      <c r="G1681" s="6" t="s">
        <v>718</v>
      </c>
      <c r="H1681" s="23">
        <v>0</v>
      </c>
      <c r="I1681">
        <v>0</v>
      </c>
      <c r="J1681">
        <v>0</v>
      </c>
      <c r="K1681" s="20">
        <f t="shared" si="200"/>
        <v>0</v>
      </c>
      <c r="L1681">
        <v>0</v>
      </c>
      <c r="M1681">
        <v>0</v>
      </c>
      <c r="N1681" s="21">
        <f t="shared" si="201"/>
        <v>0</v>
      </c>
      <c r="O1681">
        <v>0</v>
      </c>
      <c r="P1681">
        <v>0</v>
      </c>
      <c r="Q1681" s="21">
        <f t="shared" si="195"/>
        <v>0</v>
      </c>
      <c r="R1681">
        <v>0</v>
      </c>
      <c r="S1681">
        <v>0</v>
      </c>
      <c r="T1681" s="21">
        <f t="shared" si="196"/>
        <v>0</v>
      </c>
      <c r="U1681">
        <v>0</v>
      </c>
      <c r="V1681">
        <v>0</v>
      </c>
      <c r="W1681" s="21">
        <f t="shared" si="197"/>
        <v>0</v>
      </c>
      <c r="X1681">
        <v>0</v>
      </c>
      <c r="Y1681">
        <v>0</v>
      </c>
      <c r="Z1681" s="21">
        <f t="shared" si="198"/>
        <v>0</v>
      </c>
      <c r="AA1681">
        <v>0</v>
      </c>
      <c r="AB1681">
        <v>0</v>
      </c>
      <c r="AC1681" s="21">
        <f t="shared" si="199"/>
        <v>0</v>
      </c>
      <c r="AD1681">
        <v>0</v>
      </c>
      <c r="AE1681">
        <v>0</v>
      </c>
      <c r="AF1681" s="21">
        <f t="shared" si="202"/>
        <v>0</v>
      </c>
    </row>
    <row r="1682" spans="1:32" ht="15" customHeight="1" x14ac:dyDescent="0.3">
      <c r="B1682" s="2" t="s">
        <v>696</v>
      </c>
      <c r="C1682" s="4" t="s">
        <v>691</v>
      </c>
      <c r="D1682" s="3" t="s">
        <v>660</v>
      </c>
      <c r="E1682" s="6" t="s">
        <v>67</v>
      </c>
      <c r="F1682" s="6" t="s">
        <v>403</v>
      </c>
      <c r="G1682" s="6" t="s">
        <v>716</v>
      </c>
      <c r="H1682" s="23">
        <v>39000</v>
      </c>
      <c r="I1682">
        <v>0</v>
      </c>
      <c r="J1682">
        <v>0</v>
      </c>
      <c r="K1682" s="20">
        <f t="shared" si="200"/>
        <v>0</v>
      </c>
      <c r="L1682">
        <v>100</v>
      </c>
      <c r="M1682">
        <v>2</v>
      </c>
      <c r="N1682" s="21">
        <f t="shared" si="201"/>
        <v>7800000</v>
      </c>
      <c r="O1682">
        <v>0</v>
      </c>
      <c r="P1682">
        <v>0</v>
      </c>
      <c r="Q1682" s="21">
        <f t="shared" si="195"/>
        <v>0</v>
      </c>
      <c r="R1682">
        <v>0</v>
      </c>
      <c r="S1682">
        <v>0</v>
      </c>
      <c r="T1682" s="21">
        <f t="shared" si="196"/>
        <v>0</v>
      </c>
      <c r="U1682">
        <v>0</v>
      </c>
      <c r="V1682">
        <v>0</v>
      </c>
      <c r="W1682" s="21">
        <f t="shared" si="197"/>
        <v>0</v>
      </c>
      <c r="X1682">
        <v>0</v>
      </c>
      <c r="Y1682">
        <v>0</v>
      </c>
      <c r="Z1682" s="21">
        <f t="shared" si="198"/>
        <v>0</v>
      </c>
      <c r="AA1682">
        <v>0</v>
      </c>
      <c r="AB1682">
        <v>0</v>
      </c>
      <c r="AC1682" s="21">
        <f t="shared" si="199"/>
        <v>0</v>
      </c>
      <c r="AD1682">
        <v>0</v>
      </c>
      <c r="AE1682">
        <v>0</v>
      </c>
      <c r="AF1682" s="21">
        <f t="shared" si="202"/>
        <v>0</v>
      </c>
    </row>
    <row r="1683" spans="1:32" ht="15" customHeight="1" x14ac:dyDescent="0.3">
      <c r="B1683" s="2" t="s">
        <v>696</v>
      </c>
      <c r="C1683" s="4" t="s">
        <v>691</v>
      </c>
      <c r="D1683" s="3" t="s">
        <v>660</v>
      </c>
      <c r="E1683" s="6" t="s">
        <v>67</v>
      </c>
      <c r="F1683" s="6" t="s">
        <v>403</v>
      </c>
      <c r="G1683" s="6" t="s">
        <v>709</v>
      </c>
      <c r="H1683" s="23">
        <v>28000</v>
      </c>
      <c r="I1683">
        <v>0</v>
      </c>
      <c r="J1683">
        <v>0</v>
      </c>
      <c r="K1683" s="20">
        <f t="shared" si="200"/>
        <v>0</v>
      </c>
      <c r="L1683">
        <v>100</v>
      </c>
      <c r="M1683">
        <v>2</v>
      </c>
      <c r="N1683" s="21">
        <f t="shared" si="201"/>
        <v>5600000</v>
      </c>
      <c r="O1683">
        <v>0</v>
      </c>
      <c r="P1683">
        <v>0</v>
      </c>
      <c r="Q1683" s="21">
        <f t="shared" si="195"/>
        <v>0</v>
      </c>
      <c r="R1683">
        <v>0</v>
      </c>
      <c r="S1683">
        <v>0</v>
      </c>
      <c r="T1683" s="21">
        <f t="shared" si="196"/>
        <v>0</v>
      </c>
      <c r="U1683">
        <v>0</v>
      </c>
      <c r="V1683">
        <v>0</v>
      </c>
      <c r="W1683" s="21">
        <f t="shared" si="197"/>
        <v>0</v>
      </c>
      <c r="X1683">
        <v>0</v>
      </c>
      <c r="Y1683">
        <v>0</v>
      </c>
      <c r="Z1683" s="21">
        <f t="shared" si="198"/>
        <v>0</v>
      </c>
      <c r="AA1683">
        <v>0</v>
      </c>
      <c r="AB1683">
        <v>0</v>
      </c>
      <c r="AC1683" s="21">
        <f t="shared" si="199"/>
        <v>0</v>
      </c>
      <c r="AD1683">
        <v>0</v>
      </c>
      <c r="AE1683">
        <v>0</v>
      </c>
      <c r="AF1683" s="21">
        <f t="shared" si="202"/>
        <v>0</v>
      </c>
    </row>
    <row r="1684" spans="1:32" ht="15" customHeight="1" x14ac:dyDescent="0.3">
      <c r="B1684" s="2" t="s">
        <v>696</v>
      </c>
      <c r="C1684" s="4" t="s">
        <v>691</v>
      </c>
      <c r="D1684" s="3" t="s">
        <v>660</v>
      </c>
      <c r="E1684" s="6" t="s">
        <v>67</v>
      </c>
      <c r="F1684" s="6" t="s">
        <v>403</v>
      </c>
      <c r="G1684" s="6" t="s">
        <v>712</v>
      </c>
      <c r="H1684" s="23">
        <v>214.29</v>
      </c>
      <c r="I1684">
        <v>0</v>
      </c>
      <c r="J1684">
        <v>0</v>
      </c>
      <c r="K1684" s="20">
        <f t="shared" si="200"/>
        <v>0</v>
      </c>
      <c r="L1684">
        <v>20000</v>
      </c>
      <c r="M1684">
        <v>1</v>
      </c>
      <c r="N1684" s="21">
        <f t="shared" si="201"/>
        <v>4285800</v>
      </c>
      <c r="O1684">
        <v>0</v>
      </c>
      <c r="P1684">
        <v>0</v>
      </c>
      <c r="Q1684" s="21">
        <f t="shared" si="195"/>
        <v>0</v>
      </c>
      <c r="R1684">
        <v>0</v>
      </c>
      <c r="S1684">
        <v>0</v>
      </c>
      <c r="T1684" s="21">
        <f t="shared" si="196"/>
        <v>0</v>
      </c>
      <c r="U1684">
        <v>0</v>
      </c>
      <c r="V1684">
        <v>0</v>
      </c>
      <c r="W1684" s="21">
        <f t="shared" si="197"/>
        <v>0</v>
      </c>
      <c r="X1684">
        <v>0</v>
      </c>
      <c r="Y1684">
        <v>0</v>
      </c>
      <c r="Z1684" s="21">
        <f t="shared" si="198"/>
        <v>0</v>
      </c>
      <c r="AA1684">
        <v>0</v>
      </c>
      <c r="AB1684">
        <v>0</v>
      </c>
      <c r="AC1684" s="21">
        <f t="shared" si="199"/>
        <v>0</v>
      </c>
      <c r="AD1684">
        <v>0</v>
      </c>
      <c r="AE1684">
        <v>0</v>
      </c>
      <c r="AF1684" s="21">
        <f t="shared" si="202"/>
        <v>0</v>
      </c>
    </row>
    <row r="1685" spans="1:32" ht="15" customHeight="1" x14ac:dyDescent="0.3">
      <c r="B1685" s="2" t="s">
        <v>696</v>
      </c>
      <c r="C1685" s="4" t="s">
        <v>691</v>
      </c>
      <c r="D1685" s="3" t="s">
        <v>660</v>
      </c>
      <c r="E1685" s="6" t="s">
        <v>67</v>
      </c>
      <c r="F1685" s="6" t="s">
        <v>404</v>
      </c>
      <c r="G1685" s="6" t="s">
        <v>718</v>
      </c>
      <c r="H1685" s="23">
        <v>0</v>
      </c>
      <c r="I1685">
        <v>0</v>
      </c>
      <c r="J1685">
        <v>0</v>
      </c>
      <c r="K1685" s="20">
        <f t="shared" si="200"/>
        <v>0</v>
      </c>
      <c r="L1685">
        <v>0</v>
      </c>
      <c r="M1685">
        <v>0</v>
      </c>
      <c r="N1685" s="21">
        <f t="shared" si="201"/>
        <v>0</v>
      </c>
      <c r="O1685">
        <v>0</v>
      </c>
      <c r="P1685">
        <v>0</v>
      </c>
      <c r="Q1685" s="21">
        <f t="shared" si="195"/>
        <v>0</v>
      </c>
      <c r="R1685">
        <v>0</v>
      </c>
      <c r="S1685">
        <v>0</v>
      </c>
      <c r="T1685" s="21">
        <f t="shared" si="196"/>
        <v>0</v>
      </c>
      <c r="U1685">
        <v>0</v>
      </c>
      <c r="V1685">
        <v>0</v>
      </c>
      <c r="W1685" s="21">
        <f t="shared" si="197"/>
        <v>0</v>
      </c>
      <c r="X1685">
        <v>0</v>
      </c>
      <c r="Y1685">
        <v>0</v>
      </c>
      <c r="Z1685" s="21">
        <f t="shared" si="198"/>
        <v>0</v>
      </c>
      <c r="AA1685">
        <v>0</v>
      </c>
      <c r="AB1685">
        <v>0</v>
      </c>
      <c r="AC1685" s="21">
        <f t="shared" si="199"/>
        <v>0</v>
      </c>
      <c r="AD1685">
        <v>0</v>
      </c>
      <c r="AE1685">
        <v>0</v>
      </c>
      <c r="AF1685" s="21">
        <f t="shared" si="202"/>
        <v>0</v>
      </c>
    </row>
    <row r="1686" spans="1:32" ht="15" customHeight="1" x14ac:dyDescent="0.3">
      <c r="B1686" s="2" t="s">
        <v>696</v>
      </c>
      <c r="C1686" s="4" t="s">
        <v>691</v>
      </c>
      <c r="D1686" s="3" t="s">
        <v>660</v>
      </c>
      <c r="E1686" s="6" t="s">
        <v>67</v>
      </c>
      <c r="F1686" s="6" t="s">
        <v>405</v>
      </c>
      <c r="G1686" s="6" t="s">
        <v>716</v>
      </c>
      <c r="H1686" s="23">
        <v>39000</v>
      </c>
      <c r="I1686">
        <v>0</v>
      </c>
      <c r="J1686">
        <v>0</v>
      </c>
      <c r="K1686" s="20">
        <f t="shared" si="200"/>
        <v>0</v>
      </c>
      <c r="L1686">
        <v>200</v>
      </c>
      <c r="M1686">
        <v>5</v>
      </c>
      <c r="N1686" s="21">
        <f t="shared" si="201"/>
        <v>39000000</v>
      </c>
      <c r="O1686">
        <v>0</v>
      </c>
      <c r="P1686">
        <v>0</v>
      </c>
      <c r="Q1686" s="21">
        <f t="shared" si="195"/>
        <v>0</v>
      </c>
      <c r="R1686">
        <v>0</v>
      </c>
      <c r="S1686">
        <v>0</v>
      </c>
      <c r="T1686" s="21">
        <f t="shared" si="196"/>
        <v>0</v>
      </c>
      <c r="U1686">
        <v>0</v>
      </c>
      <c r="V1686">
        <v>0</v>
      </c>
      <c r="W1686" s="21">
        <f t="shared" si="197"/>
        <v>0</v>
      </c>
      <c r="X1686">
        <v>0</v>
      </c>
      <c r="Y1686">
        <v>0</v>
      </c>
      <c r="Z1686" s="21">
        <f t="shared" si="198"/>
        <v>0</v>
      </c>
      <c r="AA1686">
        <v>0</v>
      </c>
      <c r="AB1686">
        <v>0</v>
      </c>
      <c r="AC1686" s="21">
        <f t="shared" si="199"/>
        <v>0</v>
      </c>
      <c r="AD1686">
        <v>0</v>
      </c>
      <c r="AE1686">
        <v>0</v>
      </c>
      <c r="AF1686" s="21">
        <f t="shared" si="202"/>
        <v>0</v>
      </c>
    </row>
    <row r="1687" spans="1:32" ht="15" customHeight="1" x14ac:dyDescent="0.3">
      <c r="B1687" s="2" t="s">
        <v>696</v>
      </c>
      <c r="C1687" s="4" t="s">
        <v>691</v>
      </c>
      <c r="D1687" s="3" t="s">
        <v>660</v>
      </c>
      <c r="E1687" s="6" t="s">
        <v>67</v>
      </c>
      <c r="F1687" s="6" t="s">
        <v>405</v>
      </c>
      <c r="G1687" s="6" t="s">
        <v>709</v>
      </c>
      <c r="H1687" s="23">
        <v>28000</v>
      </c>
      <c r="I1687">
        <v>0</v>
      </c>
      <c r="J1687">
        <v>0</v>
      </c>
      <c r="K1687" s="20">
        <f t="shared" si="200"/>
        <v>0</v>
      </c>
      <c r="L1687">
        <v>200</v>
      </c>
      <c r="M1687">
        <v>5</v>
      </c>
      <c r="N1687" s="21">
        <f t="shared" si="201"/>
        <v>28000000</v>
      </c>
      <c r="O1687">
        <v>0</v>
      </c>
      <c r="P1687">
        <v>0</v>
      </c>
      <c r="Q1687" s="21">
        <f t="shared" si="195"/>
        <v>0</v>
      </c>
      <c r="R1687">
        <v>0</v>
      </c>
      <c r="S1687">
        <v>0</v>
      </c>
      <c r="T1687" s="21">
        <f t="shared" si="196"/>
        <v>0</v>
      </c>
      <c r="U1687">
        <v>0</v>
      </c>
      <c r="V1687">
        <v>0</v>
      </c>
      <c r="W1687" s="21">
        <f t="shared" si="197"/>
        <v>0</v>
      </c>
      <c r="X1687">
        <v>0</v>
      </c>
      <c r="Y1687">
        <v>0</v>
      </c>
      <c r="Z1687" s="21">
        <f t="shared" si="198"/>
        <v>0</v>
      </c>
      <c r="AA1687">
        <v>0</v>
      </c>
      <c r="AB1687">
        <v>0</v>
      </c>
      <c r="AC1687" s="21">
        <f t="shared" si="199"/>
        <v>0</v>
      </c>
      <c r="AD1687">
        <v>0</v>
      </c>
      <c r="AE1687">
        <v>0</v>
      </c>
      <c r="AF1687" s="21">
        <f t="shared" si="202"/>
        <v>0</v>
      </c>
    </row>
    <row r="1688" spans="1:32" ht="15" customHeight="1" x14ac:dyDescent="0.3">
      <c r="B1688" s="2" t="s">
        <v>696</v>
      </c>
      <c r="C1688" s="4" t="s">
        <v>691</v>
      </c>
      <c r="D1688" s="3" t="s">
        <v>660</v>
      </c>
      <c r="E1688" s="6" t="s">
        <v>67</v>
      </c>
      <c r="F1688" s="6" t="s">
        <v>405</v>
      </c>
      <c r="G1688" s="6" t="s">
        <v>712</v>
      </c>
      <c r="H1688" s="23">
        <v>214.29</v>
      </c>
      <c r="I1688">
        <v>0</v>
      </c>
      <c r="J1688">
        <v>0</v>
      </c>
      <c r="K1688" s="20">
        <f t="shared" si="200"/>
        <v>0</v>
      </c>
      <c r="L1688">
        <v>40000</v>
      </c>
      <c r="M1688">
        <v>1</v>
      </c>
      <c r="N1688" s="21">
        <f t="shared" si="201"/>
        <v>8571600</v>
      </c>
      <c r="O1688">
        <v>0</v>
      </c>
      <c r="P1688">
        <v>0</v>
      </c>
      <c r="Q1688" s="21">
        <f t="shared" si="195"/>
        <v>0</v>
      </c>
      <c r="R1688">
        <v>0</v>
      </c>
      <c r="S1688">
        <v>0</v>
      </c>
      <c r="T1688" s="21">
        <f t="shared" si="196"/>
        <v>0</v>
      </c>
      <c r="U1688">
        <v>0</v>
      </c>
      <c r="V1688">
        <v>0</v>
      </c>
      <c r="W1688" s="21">
        <f t="shared" si="197"/>
        <v>0</v>
      </c>
      <c r="X1688">
        <v>0</v>
      </c>
      <c r="Y1688">
        <v>0</v>
      </c>
      <c r="Z1688" s="21">
        <f t="shared" si="198"/>
        <v>0</v>
      </c>
      <c r="AA1688">
        <v>0</v>
      </c>
      <c r="AB1688">
        <v>0</v>
      </c>
      <c r="AC1688" s="21">
        <f t="shared" si="199"/>
        <v>0</v>
      </c>
      <c r="AD1688">
        <v>0</v>
      </c>
      <c r="AE1688">
        <v>0</v>
      </c>
      <c r="AF1688" s="21">
        <f t="shared" si="202"/>
        <v>0</v>
      </c>
    </row>
    <row r="1689" spans="1:32" ht="15" customHeight="1" x14ac:dyDescent="0.3">
      <c r="B1689" s="2" t="s">
        <v>696</v>
      </c>
      <c r="C1689" s="4" t="s">
        <v>691</v>
      </c>
      <c r="D1689" s="3" t="s">
        <v>660</v>
      </c>
      <c r="E1689" s="6" t="s">
        <v>67</v>
      </c>
      <c r="F1689" s="6" t="s">
        <v>406</v>
      </c>
      <c r="G1689" s="6" t="s">
        <v>716</v>
      </c>
      <c r="H1689" s="23">
        <v>39000</v>
      </c>
      <c r="I1689">
        <v>0</v>
      </c>
      <c r="J1689">
        <v>0</v>
      </c>
      <c r="K1689" s="20">
        <f t="shared" si="200"/>
        <v>0</v>
      </c>
      <c r="L1689">
        <v>100</v>
      </c>
      <c r="M1689">
        <v>5</v>
      </c>
      <c r="N1689" s="21">
        <f t="shared" si="201"/>
        <v>19500000</v>
      </c>
      <c r="O1689">
        <v>0</v>
      </c>
      <c r="P1689">
        <v>0</v>
      </c>
      <c r="Q1689" s="21">
        <f t="shared" si="195"/>
        <v>0</v>
      </c>
      <c r="R1689">
        <v>0</v>
      </c>
      <c r="S1689">
        <v>0</v>
      </c>
      <c r="T1689" s="21">
        <f t="shared" si="196"/>
        <v>0</v>
      </c>
      <c r="U1689">
        <v>0</v>
      </c>
      <c r="V1689">
        <v>0</v>
      </c>
      <c r="W1689" s="21">
        <f t="shared" si="197"/>
        <v>0</v>
      </c>
      <c r="X1689">
        <v>0</v>
      </c>
      <c r="Y1689">
        <v>0</v>
      </c>
      <c r="Z1689" s="21">
        <f t="shared" si="198"/>
        <v>0</v>
      </c>
      <c r="AA1689">
        <v>0</v>
      </c>
      <c r="AB1689">
        <v>0</v>
      </c>
      <c r="AC1689" s="21">
        <f t="shared" si="199"/>
        <v>0</v>
      </c>
      <c r="AD1689">
        <v>0</v>
      </c>
      <c r="AE1689">
        <v>0</v>
      </c>
      <c r="AF1689" s="21">
        <f t="shared" si="202"/>
        <v>0</v>
      </c>
    </row>
    <row r="1690" spans="1:32" ht="15" customHeight="1" x14ac:dyDescent="0.3">
      <c r="B1690" s="2" t="s">
        <v>696</v>
      </c>
      <c r="C1690" s="4" t="s">
        <v>691</v>
      </c>
      <c r="D1690" s="3" t="s">
        <v>660</v>
      </c>
      <c r="E1690" s="6" t="s">
        <v>67</v>
      </c>
      <c r="F1690" s="6" t="s">
        <v>406</v>
      </c>
      <c r="G1690" s="6" t="s">
        <v>709</v>
      </c>
      <c r="H1690" s="23">
        <v>28000</v>
      </c>
      <c r="I1690">
        <v>0</v>
      </c>
      <c r="J1690">
        <v>0</v>
      </c>
      <c r="K1690" s="20">
        <f t="shared" si="200"/>
        <v>0</v>
      </c>
      <c r="L1690">
        <v>100</v>
      </c>
      <c r="M1690">
        <v>5</v>
      </c>
      <c r="N1690" s="21">
        <f t="shared" si="201"/>
        <v>14000000</v>
      </c>
      <c r="O1690">
        <v>0</v>
      </c>
      <c r="P1690">
        <v>0</v>
      </c>
      <c r="Q1690" s="21">
        <f t="shared" si="195"/>
        <v>0</v>
      </c>
      <c r="R1690">
        <v>0</v>
      </c>
      <c r="S1690">
        <v>0</v>
      </c>
      <c r="T1690" s="21">
        <f t="shared" si="196"/>
        <v>0</v>
      </c>
      <c r="U1690">
        <v>0</v>
      </c>
      <c r="V1690">
        <v>0</v>
      </c>
      <c r="W1690" s="21">
        <f t="shared" si="197"/>
        <v>0</v>
      </c>
      <c r="X1690">
        <v>0</v>
      </c>
      <c r="Y1690">
        <v>0</v>
      </c>
      <c r="Z1690" s="21">
        <f t="shared" si="198"/>
        <v>0</v>
      </c>
      <c r="AA1690">
        <v>0</v>
      </c>
      <c r="AB1690">
        <v>0</v>
      </c>
      <c r="AC1690" s="21">
        <f t="shared" si="199"/>
        <v>0</v>
      </c>
      <c r="AD1690">
        <v>0</v>
      </c>
      <c r="AE1690">
        <v>0</v>
      </c>
      <c r="AF1690" s="21">
        <f t="shared" si="202"/>
        <v>0</v>
      </c>
    </row>
    <row r="1691" spans="1:32" ht="15" customHeight="1" x14ac:dyDescent="0.3">
      <c r="B1691" s="2" t="s">
        <v>696</v>
      </c>
      <c r="C1691" s="4" t="s">
        <v>691</v>
      </c>
      <c r="D1691" s="3" t="s">
        <v>660</v>
      </c>
      <c r="E1691" s="6" t="s">
        <v>67</v>
      </c>
      <c r="F1691" s="6" t="s">
        <v>406</v>
      </c>
      <c r="G1691" s="6" t="s">
        <v>712</v>
      </c>
      <c r="H1691" s="23">
        <v>214.29</v>
      </c>
      <c r="I1691">
        <v>0</v>
      </c>
      <c r="J1691">
        <v>0</v>
      </c>
      <c r="K1691" s="20">
        <f t="shared" si="200"/>
        <v>0</v>
      </c>
      <c r="L1691">
        <v>20000</v>
      </c>
      <c r="M1691">
        <v>1</v>
      </c>
      <c r="N1691" s="21">
        <f t="shared" si="201"/>
        <v>4285800</v>
      </c>
      <c r="O1691">
        <v>0</v>
      </c>
      <c r="P1691">
        <v>0</v>
      </c>
      <c r="Q1691" s="21">
        <f t="shared" si="195"/>
        <v>0</v>
      </c>
      <c r="R1691">
        <v>0</v>
      </c>
      <c r="S1691">
        <v>0</v>
      </c>
      <c r="T1691" s="21">
        <f t="shared" si="196"/>
        <v>0</v>
      </c>
      <c r="U1691">
        <v>0</v>
      </c>
      <c r="V1691">
        <v>0</v>
      </c>
      <c r="W1691" s="21">
        <f t="shared" si="197"/>
        <v>0</v>
      </c>
      <c r="X1691">
        <v>0</v>
      </c>
      <c r="Y1691">
        <v>0</v>
      </c>
      <c r="Z1691" s="21">
        <f t="shared" si="198"/>
        <v>0</v>
      </c>
      <c r="AA1691">
        <v>0</v>
      </c>
      <c r="AB1691">
        <v>0</v>
      </c>
      <c r="AC1691" s="21">
        <f t="shared" si="199"/>
        <v>0</v>
      </c>
      <c r="AD1691">
        <v>0</v>
      </c>
      <c r="AE1691">
        <v>0</v>
      </c>
      <c r="AF1691" s="21">
        <f t="shared" si="202"/>
        <v>0</v>
      </c>
    </row>
    <row r="1692" spans="1:32" ht="15" customHeight="1" x14ac:dyDescent="0.3">
      <c r="B1692" s="2" t="s">
        <v>696</v>
      </c>
      <c r="C1692" s="4" t="s">
        <v>691</v>
      </c>
      <c r="D1692" s="3" t="s">
        <v>660</v>
      </c>
      <c r="E1692" s="6" t="s">
        <v>67</v>
      </c>
      <c r="F1692" s="6" t="s">
        <v>407</v>
      </c>
      <c r="G1692" s="6" t="s">
        <v>709</v>
      </c>
      <c r="H1692" s="23">
        <v>28000</v>
      </c>
      <c r="I1692">
        <v>0</v>
      </c>
      <c r="J1692">
        <v>0</v>
      </c>
      <c r="K1692" s="20">
        <f t="shared" si="200"/>
        <v>0</v>
      </c>
      <c r="L1692">
        <v>1100</v>
      </c>
      <c r="M1692">
        <v>5</v>
      </c>
      <c r="N1692" s="21">
        <f t="shared" si="201"/>
        <v>154000000</v>
      </c>
      <c r="O1692">
        <v>0</v>
      </c>
      <c r="P1692">
        <v>0</v>
      </c>
      <c r="Q1692" s="21">
        <f t="shared" si="195"/>
        <v>0</v>
      </c>
      <c r="R1692">
        <v>0</v>
      </c>
      <c r="S1692">
        <v>0</v>
      </c>
      <c r="T1692" s="21">
        <f t="shared" si="196"/>
        <v>0</v>
      </c>
      <c r="U1692">
        <v>0</v>
      </c>
      <c r="V1692">
        <v>0</v>
      </c>
      <c r="W1692" s="21">
        <f t="shared" si="197"/>
        <v>0</v>
      </c>
      <c r="X1692">
        <v>0</v>
      </c>
      <c r="Y1692">
        <v>0</v>
      </c>
      <c r="Z1692" s="21">
        <f t="shared" si="198"/>
        <v>0</v>
      </c>
      <c r="AA1692">
        <v>0</v>
      </c>
      <c r="AB1692">
        <v>0</v>
      </c>
      <c r="AC1692" s="21">
        <f t="shared" si="199"/>
        <v>0</v>
      </c>
      <c r="AD1692">
        <v>0</v>
      </c>
      <c r="AE1692">
        <v>0</v>
      </c>
      <c r="AF1692" s="21">
        <f t="shared" si="202"/>
        <v>0</v>
      </c>
    </row>
    <row r="1693" spans="1:32" ht="15" customHeight="1" x14ac:dyDescent="0.3">
      <c r="B1693" s="2" t="s">
        <v>696</v>
      </c>
      <c r="C1693" s="4" t="s">
        <v>691</v>
      </c>
      <c r="D1693" s="3" t="s">
        <v>660</v>
      </c>
      <c r="E1693" s="6" t="s">
        <v>67</v>
      </c>
      <c r="F1693" s="6" t="s">
        <v>407</v>
      </c>
      <c r="G1693" s="6" t="s">
        <v>712</v>
      </c>
      <c r="H1693" s="23">
        <v>214.29</v>
      </c>
      <c r="I1693">
        <v>0</v>
      </c>
      <c r="J1693">
        <v>0</v>
      </c>
      <c r="K1693" s="20">
        <f t="shared" si="200"/>
        <v>0</v>
      </c>
      <c r="L1693">
        <v>100000</v>
      </c>
      <c r="M1693">
        <v>1</v>
      </c>
      <c r="N1693" s="21">
        <f t="shared" si="201"/>
        <v>21429000</v>
      </c>
      <c r="O1693">
        <v>0</v>
      </c>
      <c r="P1693">
        <v>0</v>
      </c>
      <c r="Q1693" s="21">
        <f t="shared" si="195"/>
        <v>0</v>
      </c>
      <c r="R1693">
        <v>0</v>
      </c>
      <c r="S1693">
        <v>0</v>
      </c>
      <c r="T1693" s="21">
        <f t="shared" si="196"/>
        <v>0</v>
      </c>
      <c r="U1693">
        <v>0</v>
      </c>
      <c r="V1693">
        <v>0</v>
      </c>
      <c r="W1693" s="21">
        <f t="shared" si="197"/>
        <v>0</v>
      </c>
      <c r="X1693">
        <v>0</v>
      </c>
      <c r="Y1693">
        <v>0</v>
      </c>
      <c r="Z1693" s="21">
        <f t="shared" si="198"/>
        <v>0</v>
      </c>
      <c r="AA1693">
        <v>0</v>
      </c>
      <c r="AB1693">
        <v>0</v>
      </c>
      <c r="AC1693" s="21">
        <f t="shared" si="199"/>
        <v>0</v>
      </c>
      <c r="AD1693">
        <v>0</v>
      </c>
      <c r="AE1693">
        <v>0</v>
      </c>
      <c r="AF1693" s="21">
        <f t="shared" si="202"/>
        <v>0</v>
      </c>
    </row>
    <row r="1694" spans="1:32" ht="15" customHeight="1" x14ac:dyDescent="0.3">
      <c r="A1694">
        <v>3</v>
      </c>
      <c r="B1694" s="2" t="s">
        <v>696</v>
      </c>
      <c r="C1694" s="4" t="s">
        <v>691</v>
      </c>
      <c r="D1694" s="3" t="s">
        <v>661</v>
      </c>
      <c r="E1694" s="6" t="s">
        <v>68</v>
      </c>
      <c r="F1694" s="6" t="s">
        <v>408</v>
      </c>
      <c r="G1694" s="6" t="s">
        <v>716</v>
      </c>
      <c r="H1694" s="23">
        <v>39000</v>
      </c>
      <c r="I1694">
        <v>0</v>
      </c>
      <c r="J1694">
        <v>0</v>
      </c>
      <c r="K1694" s="20">
        <f t="shared" si="200"/>
        <v>0</v>
      </c>
      <c r="L1694">
        <v>40</v>
      </c>
      <c r="M1694">
        <v>5</v>
      </c>
      <c r="N1694" s="21">
        <f t="shared" si="201"/>
        <v>7800000</v>
      </c>
      <c r="O1694">
        <v>40</v>
      </c>
      <c r="P1694">
        <v>5</v>
      </c>
      <c r="Q1694" s="21">
        <f t="shared" si="195"/>
        <v>7800000</v>
      </c>
      <c r="R1694">
        <v>40</v>
      </c>
      <c r="S1694">
        <v>5</v>
      </c>
      <c r="T1694" s="21">
        <f t="shared" si="196"/>
        <v>7800000</v>
      </c>
      <c r="U1694">
        <v>40</v>
      </c>
      <c r="V1694">
        <v>5</v>
      </c>
      <c r="W1694" s="21">
        <f t="shared" si="197"/>
        <v>7800000</v>
      </c>
      <c r="X1694">
        <v>0</v>
      </c>
      <c r="Y1694">
        <v>0</v>
      </c>
      <c r="Z1694" s="21">
        <f t="shared" si="198"/>
        <v>0</v>
      </c>
      <c r="AA1694">
        <v>0</v>
      </c>
      <c r="AB1694">
        <v>0</v>
      </c>
      <c r="AC1694" s="21">
        <f t="shared" si="199"/>
        <v>0</v>
      </c>
      <c r="AD1694">
        <v>0</v>
      </c>
      <c r="AE1694">
        <v>0</v>
      </c>
      <c r="AF1694" s="21">
        <f t="shared" si="202"/>
        <v>0</v>
      </c>
    </row>
    <row r="1695" spans="1:32" ht="15" customHeight="1" x14ac:dyDescent="0.3">
      <c r="A1695">
        <v>3</v>
      </c>
      <c r="B1695" s="2" t="s">
        <v>696</v>
      </c>
      <c r="C1695" s="4" t="s">
        <v>691</v>
      </c>
      <c r="D1695" s="3" t="s">
        <v>661</v>
      </c>
      <c r="E1695" s="6" t="s">
        <v>68</v>
      </c>
      <c r="F1695" s="6" t="s">
        <v>408</v>
      </c>
      <c r="G1695" s="6" t="s">
        <v>709</v>
      </c>
      <c r="H1695" s="23">
        <v>28000</v>
      </c>
      <c r="I1695">
        <v>0</v>
      </c>
      <c r="J1695">
        <v>0</v>
      </c>
      <c r="K1695" s="20">
        <f t="shared" si="200"/>
        <v>0</v>
      </c>
      <c r="L1695">
        <v>40</v>
      </c>
      <c r="M1695">
        <v>5</v>
      </c>
      <c r="N1695" s="21">
        <f t="shared" si="201"/>
        <v>5600000</v>
      </c>
      <c r="O1695">
        <v>40</v>
      </c>
      <c r="P1695">
        <v>5</v>
      </c>
      <c r="Q1695" s="21">
        <f t="shared" si="195"/>
        <v>5600000</v>
      </c>
      <c r="R1695">
        <v>40</v>
      </c>
      <c r="S1695">
        <v>5</v>
      </c>
      <c r="T1695" s="21">
        <f t="shared" si="196"/>
        <v>5600000</v>
      </c>
      <c r="U1695">
        <v>40</v>
      </c>
      <c r="V1695">
        <v>5</v>
      </c>
      <c r="W1695" s="21">
        <f t="shared" si="197"/>
        <v>5600000</v>
      </c>
      <c r="X1695">
        <v>0</v>
      </c>
      <c r="Y1695">
        <v>0</v>
      </c>
      <c r="Z1695" s="21">
        <f t="shared" si="198"/>
        <v>0</v>
      </c>
      <c r="AA1695">
        <v>0</v>
      </c>
      <c r="AB1695">
        <v>0</v>
      </c>
      <c r="AC1695" s="21">
        <f t="shared" si="199"/>
        <v>0</v>
      </c>
      <c r="AD1695">
        <v>0</v>
      </c>
      <c r="AE1695">
        <v>0</v>
      </c>
      <c r="AF1695" s="21">
        <f t="shared" si="202"/>
        <v>0</v>
      </c>
    </row>
    <row r="1696" spans="1:32" ht="15" customHeight="1" x14ac:dyDescent="0.3">
      <c r="A1696">
        <v>3</v>
      </c>
      <c r="B1696" s="2" t="s">
        <v>696</v>
      </c>
      <c r="C1696" s="4" t="s">
        <v>691</v>
      </c>
      <c r="D1696" s="3" t="s">
        <v>661</v>
      </c>
      <c r="E1696" s="6" t="s">
        <v>68</v>
      </c>
      <c r="F1696" s="6" t="s">
        <v>408</v>
      </c>
      <c r="G1696" s="6" t="s">
        <v>712</v>
      </c>
      <c r="H1696" s="23">
        <v>214.29</v>
      </c>
      <c r="I1696">
        <v>0</v>
      </c>
      <c r="J1696">
        <v>0</v>
      </c>
      <c r="K1696" s="20">
        <f t="shared" si="200"/>
        <v>0</v>
      </c>
      <c r="L1696">
        <v>20000</v>
      </c>
      <c r="M1696">
        <v>1</v>
      </c>
      <c r="N1696" s="21">
        <f t="shared" si="201"/>
        <v>4285800</v>
      </c>
      <c r="O1696">
        <v>20000</v>
      </c>
      <c r="P1696">
        <v>1</v>
      </c>
      <c r="Q1696" s="21">
        <f t="shared" si="195"/>
        <v>4285800</v>
      </c>
      <c r="R1696">
        <v>20000</v>
      </c>
      <c r="S1696">
        <v>1</v>
      </c>
      <c r="T1696" s="21">
        <f t="shared" si="196"/>
        <v>4285800</v>
      </c>
      <c r="U1696">
        <v>20000</v>
      </c>
      <c r="V1696">
        <v>1</v>
      </c>
      <c r="W1696" s="21">
        <f t="shared" si="197"/>
        <v>4285800</v>
      </c>
      <c r="X1696">
        <v>0</v>
      </c>
      <c r="Y1696">
        <v>0</v>
      </c>
      <c r="Z1696" s="21">
        <f t="shared" si="198"/>
        <v>0</v>
      </c>
      <c r="AA1696">
        <v>0</v>
      </c>
      <c r="AB1696">
        <v>0</v>
      </c>
      <c r="AC1696" s="21">
        <f t="shared" si="199"/>
        <v>0</v>
      </c>
      <c r="AD1696">
        <v>0</v>
      </c>
      <c r="AE1696">
        <v>0</v>
      </c>
      <c r="AF1696" s="21">
        <f t="shared" si="202"/>
        <v>0</v>
      </c>
    </row>
    <row r="1697" spans="1:32" ht="15" customHeight="1" x14ac:dyDescent="0.3">
      <c r="A1697">
        <v>3</v>
      </c>
      <c r="B1697" s="2" t="s">
        <v>696</v>
      </c>
      <c r="C1697" s="4" t="s">
        <v>691</v>
      </c>
      <c r="D1697" s="3" t="s">
        <v>661</v>
      </c>
      <c r="E1697" s="6" t="s">
        <v>69</v>
      </c>
      <c r="F1697" s="6" t="s">
        <v>409</v>
      </c>
      <c r="G1697" s="6" t="s">
        <v>767</v>
      </c>
      <c r="H1697" s="23">
        <v>10000000</v>
      </c>
      <c r="I1697">
        <v>0</v>
      </c>
      <c r="J1697">
        <v>0</v>
      </c>
      <c r="K1697" s="20">
        <f t="shared" si="200"/>
        <v>0</v>
      </c>
      <c r="L1697">
        <v>800</v>
      </c>
      <c r="M1697">
        <v>1</v>
      </c>
      <c r="N1697" s="21">
        <f t="shared" si="201"/>
        <v>8000000000</v>
      </c>
      <c r="O1697">
        <v>800</v>
      </c>
      <c r="P1697">
        <v>1</v>
      </c>
      <c r="Q1697" s="21">
        <f t="shared" si="195"/>
        <v>8000000000</v>
      </c>
      <c r="R1697">
        <v>800</v>
      </c>
      <c r="S1697">
        <v>1</v>
      </c>
      <c r="T1697" s="21">
        <f t="shared" si="196"/>
        <v>8000000000</v>
      </c>
      <c r="U1697">
        <v>800</v>
      </c>
      <c r="V1697">
        <v>1</v>
      </c>
      <c r="W1697" s="21">
        <f t="shared" si="197"/>
        <v>8000000000</v>
      </c>
      <c r="X1697">
        <v>0</v>
      </c>
      <c r="Y1697">
        <v>0</v>
      </c>
      <c r="Z1697" s="21">
        <f t="shared" si="198"/>
        <v>0</v>
      </c>
      <c r="AA1697">
        <v>0</v>
      </c>
      <c r="AB1697">
        <v>0</v>
      </c>
      <c r="AC1697" s="21">
        <f t="shared" si="199"/>
        <v>0</v>
      </c>
      <c r="AD1697">
        <v>0</v>
      </c>
      <c r="AE1697">
        <v>0</v>
      </c>
      <c r="AF1697" s="21">
        <f t="shared" si="202"/>
        <v>0</v>
      </c>
    </row>
    <row r="1698" spans="1:32" ht="15" customHeight="1" x14ac:dyDescent="0.3">
      <c r="A1698">
        <v>3</v>
      </c>
      <c r="B1698" s="2" t="s">
        <v>696</v>
      </c>
      <c r="C1698" s="4" t="s">
        <v>691</v>
      </c>
      <c r="D1698" s="3" t="s">
        <v>661</v>
      </c>
      <c r="E1698" s="6" t="s">
        <v>70</v>
      </c>
      <c r="F1698" s="6" t="s">
        <v>410</v>
      </c>
      <c r="G1698" s="6" t="s">
        <v>768</v>
      </c>
      <c r="H1698" s="23">
        <v>800000000</v>
      </c>
      <c r="I1698">
        <v>0</v>
      </c>
      <c r="J1698">
        <v>0</v>
      </c>
      <c r="K1698" s="20">
        <f t="shared" si="200"/>
        <v>0</v>
      </c>
      <c r="L1698">
        <v>1</v>
      </c>
      <c r="M1698">
        <v>1</v>
      </c>
      <c r="N1698" s="21">
        <f t="shared" si="201"/>
        <v>800000000</v>
      </c>
      <c r="O1698">
        <v>1</v>
      </c>
      <c r="P1698">
        <v>1</v>
      </c>
      <c r="Q1698" s="21">
        <f t="shared" si="195"/>
        <v>800000000</v>
      </c>
      <c r="R1698">
        <v>1</v>
      </c>
      <c r="S1698">
        <v>1</v>
      </c>
      <c r="T1698" s="21">
        <f t="shared" si="196"/>
        <v>800000000</v>
      </c>
      <c r="U1698">
        <v>1</v>
      </c>
      <c r="V1698">
        <v>1</v>
      </c>
      <c r="W1698" s="21">
        <f t="shared" si="197"/>
        <v>800000000</v>
      </c>
      <c r="X1698">
        <v>0</v>
      </c>
      <c r="Y1698">
        <v>0</v>
      </c>
      <c r="Z1698" s="21">
        <f t="shared" si="198"/>
        <v>0</v>
      </c>
      <c r="AA1698">
        <v>0</v>
      </c>
      <c r="AB1698">
        <v>0</v>
      </c>
      <c r="AC1698" s="21">
        <f t="shared" si="199"/>
        <v>0</v>
      </c>
      <c r="AD1698">
        <v>0</v>
      </c>
      <c r="AE1698">
        <v>0</v>
      </c>
      <c r="AF1698" s="21">
        <f t="shared" si="202"/>
        <v>0</v>
      </c>
    </row>
    <row r="1699" spans="1:32" ht="15" customHeight="1" x14ac:dyDescent="0.3">
      <c r="A1699">
        <v>4</v>
      </c>
      <c r="B1699" s="2" t="s">
        <v>697</v>
      </c>
      <c r="C1699" s="4" t="s">
        <v>692</v>
      </c>
      <c r="D1699" s="3" t="s">
        <v>662</v>
      </c>
      <c r="E1699" s="6" t="s">
        <v>71</v>
      </c>
      <c r="F1699" s="6" t="s">
        <v>411</v>
      </c>
      <c r="G1699" s="6" t="s">
        <v>718</v>
      </c>
      <c r="H1699" s="23">
        <v>0</v>
      </c>
      <c r="I1699">
        <v>0</v>
      </c>
      <c r="J1699">
        <v>0</v>
      </c>
      <c r="K1699" s="20">
        <f t="shared" si="200"/>
        <v>0</v>
      </c>
      <c r="L1699">
        <v>0</v>
      </c>
      <c r="M1699">
        <v>0</v>
      </c>
      <c r="N1699" s="21">
        <f t="shared" si="201"/>
        <v>0</v>
      </c>
      <c r="O1699">
        <v>0</v>
      </c>
      <c r="P1699">
        <v>0</v>
      </c>
      <c r="Q1699" s="21">
        <f t="shared" si="195"/>
        <v>0</v>
      </c>
      <c r="R1699">
        <v>0</v>
      </c>
      <c r="S1699">
        <v>0</v>
      </c>
      <c r="T1699" s="21">
        <f t="shared" si="196"/>
        <v>0</v>
      </c>
      <c r="U1699">
        <v>0</v>
      </c>
      <c r="V1699">
        <v>0</v>
      </c>
      <c r="W1699" s="21">
        <f t="shared" si="197"/>
        <v>0</v>
      </c>
      <c r="X1699">
        <v>0</v>
      </c>
      <c r="Y1699">
        <v>0</v>
      </c>
      <c r="Z1699" s="21">
        <f t="shared" si="198"/>
        <v>0</v>
      </c>
      <c r="AA1699">
        <v>0</v>
      </c>
      <c r="AB1699">
        <v>0</v>
      </c>
      <c r="AC1699" s="21">
        <f t="shared" si="199"/>
        <v>0</v>
      </c>
      <c r="AD1699">
        <v>0</v>
      </c>
      <c r="AE1699">
        <v>0</v>
      </c>
      <c r="AF1699" s="21">
        <f t="shared" si="202"/>
        <v>0</v>
      </c>
    </row>
    <row r="1700" spans="1:32" ht="15" customHeight="1" x14ac:dyDescent="0.3">
      <c r="A1700">
        <v>4</v>
      </c>
      <c r="B1700" s="2" t="s">
        <v>697</v>
      </c>
      <c r="C1700" s="4" t="s">
        <v>692</v>
      </c>
      <c r="D1700" s="3" t="s">
        <v>662</v>
      </c>
      <c r="E1700" s="6" t="s">
        <v>71</v>
      </c>
      <c r="F1700" s="6" t="s">
        <v>160</v>
      </c>
      <c r="G1700" s="6" t="s">
        <v>707</v>
      </c>
      <c r="H1700" s="23">
        <v>391991.03749999998</v>
      </c>
      <c r="I1700">
        <v>1</v>
      </c>
      <c r="J1700">
        <v>6</v>
      </c>
      <c r="K1700" s="20">
        <f t="shared" si="200"/>
        <v>2351946.2249999996</v>
      </c>
      <c r="L1700">
        <v>0</v>
      </c>
      <c r="M1700">
        <v>0</v>
      </c>
      <c r="N1700" s="21">
        <f t="shared" si="201"/>
        <v>0</v>
      </c>
      <c r="O1700">
        <v>0</v>
      </c>
      <c r="P1700">
        <v>0</v>
      </c>
      <c r="Q1700" s="21">
        <f t="shared" si="195"/>
        <v>0</v>
      </c>
      <c r="R1700">
        <v>0</v>
      </c>
      <c r="S1700">
        <v>0</v>
      </c>
      <c r="T1700" s="21">
        <f t="shared" si="196"/>
        <v>0</v>
      </c>
      <c r="U1700">
        <v>0</v>
      </c>
      <c r="V1700">
        <v>0</v>
      </c>
      <c r="W1700" s="21">
        <f t="shared" si="197"/>
        <v>0</v>
      </c>
      <c r="X1700">
        <v>0</v>
      </c>
      <c r="Y1700">
        <v>0</v>
      </c>
      <c r="Z1700" s="21">
        <f t="shared" si="198"/>
        <v>0</v>
      </c>
      <c r="AA1700">
        <v>0</v>
      </c>
      <c r="AB1700">
        <v>0</v>
      </c>
      <c r="AC1700" s="21">
        <f t="shared" si="199"/>
        <v>0</v>
      </c>
      <c r="AD1700">
        <v>0</v>
      </c>
      <c r="AE1700">
        <v>0</v>
      </c>
      <c r="AF1700" s="21">
        <f t="shared" si="202"/>
        <v>0</v>
      </c>
    </row>
    <row r="1701" spans="1:32" ht="15" customHeight="1" x14ac:dyDescent="0.3">
      <c r="A1701">
        <v>4</v>
      </c>
      <c r="B1701" s="2" t="s">
        <v>697</v>
      </c>
      <c r="C1701" s="4" t="s">
        <v>692</v>
      </c>
      <c r="D1701" s="3" t="s">
        <v>662</v>
      </c>
      <c r="E1701" s="6" t="s">
        <v>71</v>
      </c>
      <c r="F1701" s="6" t="s">
        <v>160</v>
      </c>
      <c r="G1701" s="6" t="s">
        <v>720</v>
      </c>
      <c r="H1701" s="23">
        <v>833000</v>
      </c>
      <c r="I1701">
        <v>1</v>
      </c>
      <c r="J1701">
        <v>40</v>
      </c>
      <c r="K1701" s="20">
        <f t="shared" si="200"/>
        <v>33320000</v>
      </c>
      <c r="L1701">
        <v>0</v>
      </c>
      <c r="M1701">
        <v>0</v>
      </c>
      <c r="N1701" s="21">
        <f t="shared" si="201"/>
        <v>0</v>
      </c>
      <c r="O1701">
        <v>0</v>
      </c>
      <c r="P1701">
        <v>0</v>
      </c>
      <c r="Q1701" s="21">
        <f t="shared" si="195"/>
        <v>0</v>
      </c>
      <c r="R1701">
        <v>0</v>
      </c>
      <c r="S1701">
        <v>0</v>
      </c>
      <c r="T1701" s="21">
        <f t="shared" si="196"/>
        <v>0</v>
      </c>
      <c r="U1701">
        <v>0</v>
      </c>
      <c r="V1701">
        <v>0</v>
      </c>
      <c r="W1701" s="21">
        <f t="shared" si="197"/>
        <v>0</v>
      </c>
      <c r="X1701">
        <v>0</v>
      </c>
      <c r="Y1701">
        <v>0</v>
      </c>
      <c r="Z1701" s="21">
        <f t="shared" si="198"/>
        <v>0</v>
      </c>
      <c r="AA1701">
        <v>0</v>
      </c>
      <c r="AB1701">
        <v>0</v>
      </c>
      <c r="AC1701" s="21">
        <f t="shared" si="199"/>
        <v>0</v>
      </c>
      <c r="AD1701">
        <v>0</v>
      </c>
      <c r="AE1701">
        <v>0</v>
      </c>
      <c r="AF1701" s="21">
        <f t="shared" si="202"/>
        <v>0</v>
      </c>
    </row>
    <row r="1702" spans="1:32" ht="15" customHeight="1" x14ac:dyDescent="0.3">
      <c r="A1702">
        <v>4</v>
      </c>
      <c r="B1702" s="2" t="s">
        <v>697</v>
      </c>
      <c r="C1702" s="4" t="s">
        <v>692</v>
      </c>
      <c r="D1702" s="3" t="s">
        <v>662</v>
      </c>
      <c r="E1702" s="6" t="s">
        <v>71</v>
      </c>
      <c r="F1702" s="6" t="s">
        <v>412</v>
      </c>
      <c r="G1702" s="6" t="s">
        <v>709</v>
      </c>
      <c r="H1702" s="23">
        <v>28000</v>
      </c>
      <c r="I1702">
        <v>35</v>
      </c>
      <c r="J1702">
        <v>3</v>
      </c>
      <c r="K1702" s="20">
        <f t="shared" si="200"/>
        <v>2940000</v>
      </c>
      <c r="L1702">
        <v>0</v>
      </c>
      <c r="M1702">
        <v>0</v>
      </c>
      <c r="N1702" s="21">
        <f t="shared" si="201"/>
        <v>0</v>
      </c>
      <c r="O1702">
        <v>0</v>
      </c>
      <c r="P1702">
        <v>0</v>
      </c>
      <c r="Q1702" s="21">
        <f t="shared" si="195"/>
        <v>0</v>
      </c>
      <c r="R1702">
        <v>0</v>
      </c>
      <c r="S1702">
        <v>0</v>
      </c>
      <c r="T1702" s="21">
        <f t="shared" si="196"/>
        <v>0</v>
      </c>
      <c r="U1702">
        <v>0</v>
      </c>
      <c r="V1702">
        <v>0</v>
      </c>
      <c r="W1702" s="21">
        <f t="shared" si="197"/>
        <v>0</v>
      </c>
      <c r="X1702">
        <v>0</v>
      </c>
      <c r="Y1702">
        <v>0</v>
      </c>
      <c r="Z1702" s="21">
        <f t="shared" si="198"/>
        <v>0</v>
      </c>
      <c r="AA1702">
        <v>0</v>
      </c>
      <c r="AB1702">
        <v>0</v>
      </c>
      <c r="AC1702" s="21">
        <f t="shared" si="199"/>
        <v>0</v>
      </c>
      <c r="AD1702">
        <v>0</v>
      </c>
      <c r="AE1702">
        <v>0</v>
      </c>
      <c r="AF1702" s="21">
        <f t="shared" si="202"/>
        <v>0</v>
      </c>
    </row>
    <row r="1703" spans="1:32" ht="15" customHeight="1" x14ac:dyDescent="0.3">
      <c r="A1703">
        <v>4</v>
      </c>
      <c r="B1703" s="2" t="s">
        <v>697</v>
      </c>
      <c r="C1703" s="4" t="s">
        <v>692</v>
      </c>
      <c r="D1703" s="3" t="s">
        <v>662</v>
      </c>
      <c r="E1703" s="6" t="s">
        <v>71</v>
      </c>
      <c r="F1703" s="6" t="s">
        <v>412</v>
      </c>
      <c r="G1703" s="6" t="s">
        <v>712</v>
      </c>
      <c r="H1703" s="23">
        <v>214.29</v>
      </c>
      <c r="I1703">
        <v>4000</v>
      </c>
      <c r="J1703">
        <v>1</v>
      </c>
      <c r="K1703" s="20">
        <f t="shared" si="200"/>
        <v>857160</v>
      </c>
      <c r="L1703">
        <v>0</v>
      </c>
      <c r="M1703">
        <v>0</v>
      </c>
      <c r="N1703" s="21">
        <f t="shared" si="201"/>
        <v>0</v>
      </c>
      <c r="O1703">
        <v>0</v>
      </c>
      <c r="P1703">
        <v>0</v>
      </c>
      <c r="Q1703" s="21">
        <f t="shared" si="195"/>
        <v>0</v>
      </c>
      <c r="R1703">
        <v>0</v>
      </c>
      <c r="S1703">
        <v>0</v>
      </c>
      <c r="T1703" s="21">
        <f t="shared" si="196"/>
        <v>0</v>
      </c>
      <c r="U1703">
        <v>0</v>
      </c>
      <c r="V1703">
        <v>0</v>
      </c>
      <c r="W1703" s="21">
        <f t="shared" si="197"/>
        <v>0</v>
      </c>
      <c r="X1703">
        <v>0</v>
      </c>
      <c r="Y1703">
        <v>0</v>
      </c>
      <c r="Z1703" s="21">
        <f t="shared" si="198"/>
        <v>0</v>
      </c>
      <c r="AA1703">
        <v>0</v>
      </c>
      <c r="AB1703">
        <v>0</v>
      </c>
      <c r="AC1703" s="21">
        <f t="shared" si="199"/>
        <v>0</v>
      </c>
      <c r="AD1703">
        <v>0</v>
      </c>
      <c r="AE1703">
        <v>0</v>
      </c>
      <c r="AF1703" s="21">
        <f t="shared" si="202"/>
        <v>0</v>
      </c>
    </row>
    <row r="1704" spans="1:32" ht="15" customHeight="1" x14ac:dyDescent="0.3">
      <c r="A1704">
        <v>4</v>
      </c>
      <c r="B1704" s="2" t="s">
        <v>697</v>
      </c>
      <c r="C1704" s="4" t="s">
        <v>692</v>
      </c>
      <c r="D1704" s="3" t="s">
        <v>662</v>
      </c>
      <c r="E1704" s="6" t="s">
        <v>71</v>
      </c>
      <c r="F1704" s="6" t="s">
        <v>413</v>
      </c>
      <c r="G1704" s="6" t="s">
        <v>709</v>
      </c>
      <c r="H1704" s="23">
        <v>28000</v>
      </c>
      <c r="I1704">
        <v>30</v>
      </c>
      <c r="J1704">
        <v>1</v>
      </c>
      <c r="K1704" s="20">
        <f t="shared" si="200"/>
        <v>840000</v>
      </c>
      <c r="L1704">
        <v>0</v>
      </c>
      <c r="M1704">
        <v>0</v>
      </c>
      <c r="N1704" s="21">
        <f t="shared" si="201"/>
        <v>0</v>
      </c>
      <c r="O1704">
        <v>0</v>
      </c>
      <c r="P1704">
        <v>0</v>
      </c>
      <c r="Q1704" s="21">
        <f t="shared" si="195"/>
        <v>0</v>
      </c>
      <c r="R1704">
        <v>0</v>
      </c>
      <c r="S1704">
        <v>0</v>
      </c>
      <c r="T1704" s="21">
        <f t="shared" si="196"/>
        <v>0</v>
      </c>
      <c r="U1704">
        <v>0</v>
      </c>
      <c r="V1704">
        <v>0</v>
      </c>
      <c r="W1704" s="21">
        <f t="shared" si="197"/>
        <v>0</v>
      </c>
      <c r="X1704">
        <v>0</v>
      </c>
      <c r="Y1704">
        <v>0</v>
      </c>
      <c r="Z1704" s="21">
        <f t="shared" si="198"/>
        <v>0</v>
      </c>
      <c r="AA1704">
        <v>0</v>
      </c>
      <c r="AB1704">
        <v>0</v>
      </c>
      <c r="AC1704" s="21">
        <f t="shared" si="199"/>
        <v>0</v>
      </c>
      <c r="AD1704">
        <v>0</v>
      </c>
      <c r="AE1704">
        <v>0</v>
      </c>
      <c r="AF1704" s="21">
        <f t="shared" si="202"/>
        <v>0</v>
      </c>
    </row>
    <row r="1705" spans="1:32" ht="15" customHeight="1" x14ac:dyDescent="0.3">
      <c r="A1705">
        <v>4</v>
      </c>
      <c r="B1705" s="2" t="s">
        <v>697</v>
      </c>
      <c r="C1705" s="4" t="s">
        <v>692</v>
      </c>
      <c r="D1705" s="3" t="s">
        <v>662</v>
      </c>
      <c r="E1705" s="6" t="s">
        <v>71</v>
      </c>
      <c r="F1705" s="6" t="s">
        <v>413</v>
      </c>
      <c r="G1705" s="6" t="s">
        <v>712</v>
      </c>
      <c r="H1705" s="23">
        <v>214.29</v>
      </c>
      <c r="I1705">
        <v>4000</v>
      </c>
      <c r="J1705">
        <v>1</v>
      </c>
      <c r="K1705" s="20">
        <f t="shared" si="200"/>
        <v>857160</v>
      </c>
      <c r="L1705">
        <v>0</v>
      </c>
      <c r="M1705">
        <v>0</v>
      </c>
      <c r="N1705" s="21">
        <f t="shared" si="201"/>
        <v>0</v>
      </c>
      <c r="O1705">
        <v>0</v>
      </c>
      <c r="P1705">
        <v>0</v>
      </c>
      <c r="Q1705" s="21">
        <f t="shared" si="195"/>
        <v>0</v>
      </c>
      <c r="R1705">
        <v>0</v>
      </c>
      <c r="S1705">
        <v>0</v>
      </c>
      <c r="T1705" s="21">
        <f t="shared" si="196"/>
        <v>0</v>
      </c>
      <c r="U1705">
        <v>0</v>
      </c>
      <c r="V1705">
        <v>0</v>
      </c>
      <c r="W1705" s="21">
        <f t="shared" si="197"/>
        <v>0</v>
      </c>
      <c r="X1705">
        <v>0</v>
      </c>
      <c r="Y1705">
        <v>0</v>
      </c>
      <c r="Z1705" s="21">
        <f t="shared" si="198"/>
        <v>0</v>
      </c>
      <c r="AA1705">
        <v>0</v>
      </c>
      <c r="AB1705">
        <v>0</v>
      </c>
      <c r="AC1705" s="21">
        <f t="shared" si="199"/>
        <v>0</v>
      </c>
      <c r="AD1705">
        <v>0</v>
      </c>
      <c r="AE1705">
        <v>0</v>
      </c>
      <c r="AF1705" s="21">
        <f t="shared" si="202"/>
        <v>0</v>
      </c>
    </row>
    <row r="1706" spans="1:32" ht="15" customHeight="1" x14ac:dyDescent="0.3">
      <c r="A1706">
        <v>4</v>
      </c>
      <c r="B1706" s="2" t="s">
        <v>697</v>
      </c>
      <c r="C1706" s="4" t="s">
        <v>692</v>
      </c>
      <c r="D1706" s="3" t="s">
        <v>662</v>
      </c>
      <c r="E1706" s="6" t="s">
        <v>71</v>
      </c>
      <c r="F1706" s="6" t="s">
        <v>414</v>
      </c>
      <c r="G1706" s="6" t="s">
        <v>709</v>
      </c>
      <c r="H1706" s="23">
        <v>28000</v>
      </c>
      <c r="I1706">
        <v>30</v>
      </c>
      <c r="J1706">
        <v>1</v>
      </c>
      <c r="K1706" s="20">
        <f t="shared" si="200"/>
        <v>840000</v>
      </c>
      <c r="L1706">
        <v>0</v>
      </c>
      <c r="M1706">
        <v>0</v>
      </c>
      <c r="N1706" s="21">
        <f t="shared" si="201"/>
        <v>0</v>
      </c>
      <c r="O1706">
        <v>0</v>
      </c>
      <c r="P1706">
        <v>0</v>
      </c>
      <c r="Q1706" s="21">
        <f t="shared" si="195"/>
        <v>0</v>
      </c>
      <c r="R1706">
        <v>0</v>
      </c>
      <c r="S1706">
        <v>0</v>
      </c>
      <c r="T1706" s="21">
        <f t="shared" si="196"/>
        <v>0</v>
      </c>
      <c r="U1706">
        <v>0</v>
      </c>
      <c r="V1706">
        <v>0</v>
      </c>
      <c r="W1706" s="21">
        <f t="shared" si="197"/>
        <v>0</v>
      </c>
      <c r="X1706">
        <v>0</v>
      </c>
      <c r="Y1706">
        <v>0</v>
      </c>
      <c r="Z1706" s="21">
        <f t="shared" si="198"/>
        <v>0</v>
      </c>
      <c r="AA1706">
        <v>0</v>
      </c>
      <c r="AB1706">
        <v>0</v>
      </c>
      <c r="AC1706" s="21">
        <f t="shared" si="199"/>
        <v>0</v>
      </c>
      <c r="AD1706">
        <v>0</v>
      </c>
      <c r="AE1706">
        <v>0</v>
      </c>
      <c r="AF1706" s="21">
        <f t="shared" si="202"/>
        <v>0</v>
      </c>
    </row>
    <row r="1707" spans="1:32" ht="15" customHeight="1" x14ac:dyDescent="0.3">
      <c r="A1707">
        <v>4</v>
      </c>
      <c r="B1707" s="2" t="s">
        <v>697</v>
      </c>
      <c r="C1707" s="4" t="s">
        <v>692</v>
      </c>
      <c r="D1707" s="3" t="s">
        <v>662</v>
      </c>
      <c r="E1707" s="6" t="s">
        <v>71</v>
      </c>
      <c r="F1707" s="6" t="s">
        <v>415</v>
      </c>
      <c r="G1707" s="6" t="s">
        <v>718</v>
      </c>
      <c r="H1707" s="23">
        <v>0</v>
      </c>
      <c r="I1707">
        <v>0</v>
      </c>
      <c r="J1707">
        <v>0</v>
      </c>
      <c r="K1707" s="20">
        <f t="shared" si="200"/>
        <v>0</v>
      </c>
      <c r="L1707">
        <v>0</v>
      </c>
      <c r="M1707">
        <v>0</v>
      </c>
      <c r="N1707" s="21">
        <f t="shared" si="201"/>
        <v>0</v>
      </c>
      <c r="O1707">
        <v>0</v>
      </c>
      <c r="P1707">
        <v>0</v>
      </c>
      <c r="Q1707" s="21">
        <f t="shared" si="195"/>
        <v>0</v>
      </c>
      <c r="R1707">
        <v>0</v>
      </c>
      <c r="S1707">
        <v>0</v>
      </c>
      <c r="T1707" s="21">
        <f t="shared" si="196"/>
        <v>0</v>
      </c>
      <c r="U1707">
        <v>0</v>
      </c>
      <c r="V1707">
        <v>0</v>
      </c>
      <c r="W1707" s="21">
        <f t="shared" si="197"/>
        <v>0</v>
      </c>
      <c r="X1707">
        <v>0</v>
      </c>
      <c r="Y1707">
        <v>0</v>
      </c>
      <c r="Z1707" s="21">
        <f t="shared" si="198"/>
        <v>0</v>
      </c>
      <c r="AA1707">
        <v>0</v>
      </c>
      <c r="AB1707">
        <v>0</v>
      </c>
      <c r="AC1707" s="21">
        <f t="shared" si="199"/>
        <v>0</v>
      </c>
      <c r="AD1707">
        <v>0</v>
      </c>
      <c r="AE1707">
        <v>0</v>
      </c>
      <c r="AF1707" s="21">
        <f t="shared" si="202"/>
        <v>0</v>
      </c>
    </row>
    <row r="1708" spans="1:32" ht="15" customHeight="1" x14ac:dyDescent="0.3">
      <c r="A1708">
        <v>4</v>
      </c>
      <c r="B1708" s="2" t="s">
        <v>697</v>
      </c>
      <c r="C1708" s="4" t="s">
        <v>692</v>
      </c>
      <c r="D1708" s="3" t="s">
        <v>662</v>
      </c>
      <c r="E1708" s="6" t="s">
        <v>71</v>
      </c>
      <c r="F1708" s="6" t="s">
        <v>416</v>
      </c>
      <c r="G1708" s="6" t="s">
        <v>709</v>
      </c>
      <c r="H1708" s="23">
        <v>28000</v>
      </c>
      <c r="I1708">
        <v>15</v>
      </c>
      <c r="J1708">
        <v>3</v>
      </c>
      <c r="K1708" s="20">
        <f t="shared" si="200"/>
        <v>1260000</v>
      </c>
      <c r="L1708">
        <v>0</v>
      </c>
      <c r="M1708">
        <v>0</v>
      </c>
      <c r="N1708" s="21">
        <f t="shared" si="201"/>
        <v>0</v>
      </c>
      <c r="O1708">
        <v>0</v>
      </c>
      <c r="P1708">
        <v>0</v>
      </c>
      <c r="Q1708" s="21">
        <f t="shared" si="195"/>
        <v>0</v>
      </c>
      <c r="R1708">
        <v>0</v>
      </c>
      <c r="S1708">
        <v>0</v>
      </c>
      <c r="T1708" s="21">
        <f t="shared" si="196"/>
        <v>0</v>
      </c>
      <c r="U1708">
        <v>0</v>
      </c>
      <c r="V1708">
        <v>0</v>
      </c>
      <c r="W1708" s="21">
        <f t="shared" si="197"/>
        <v>0</v>
      </c>
      <c r="X1708">
        <v>0</v>
      </c>
      <c r="Y1708">
        <v>0</v>
      </c>
      <c r="Z1708" s="21">
        <f t="shared" si="198"/>
        <v>0</v>
      </c>
      <c r="AA1708">
        <v>0</v>
      </c>
      <c r="AB1708">
        <v>0</v>
      </c>
      <c r="AC1708" s="21">
        <f t="shared" si="199"/>
        <v>0</v>
      </c>
      <c r="AD1708">
        <v>0</v>
      </c>
      <c r="AE1708">
        <v>0</v>
      </c>
      <c r="AF1708" s="21">
        <f t="shared" si="202"/>
        <v>0</v>
      </c>
    </row>
    <row r="1709" spans="1:32" ht="15" customHeight="1" x14ac:dyDescent="0.3">
      <c r="A1709">
        <v>4</v>
      </c>
      <c r="B1709" s="2" t="s">
        <v>697</v>
      </c>
      <c r="C1709" s="4" t="s">
        <v>692</v>
      </c>
      <c r="D1709" s="3" t="s">
        <v>662</v>
      </c>
      <c r="E1709" s="6" t="s">
        <v>72</v>
      </c>
      <c r="F1709" s="6" t="s">
        <v>417</v>
      </c>
      <c r="G1709" s="6" t="s">
        <v>709</v>
      </c>
      <c r="H1709" s="23">
        <v>28000</v>
      </c>
      <c r="I1709">
        <v>0</v>
      </c>
      <c r="J1709">
        <v>0</v>
      </c>
      <c r="K1709" s="20">
        <f t="shared" si="200"/>
        <v>0</v>
      </c>
      <c r="L1709">
        <v>0</v>
      </c>
      <c r="M1709">
        <v>0</v>
      </c>
      <c r="N1709" s="21">
        <f t="shared" si="201"/>
        <v>0</v>
      </c>
      <c r="O1709">
        <v>0</v>
      </c>
      <c r="P1709">
        <v>0</v>
      </c>
      <c r="Q1709" s="21">
        <f t="shared" si="195"/>
        <v>0</v>
      </c>
      <c r="R1709">
        <v>0</v>
      </c>
      <c r="S1709">
        <v>0</v>
      </c>
      <c r="T1709" s="21">
        <f t="shared" si="196"/>
        <v>0</v>
      </c>
      <c r="U1709">
        <v>1200</v>
      </c>
      <c r="V1709">
        <v>5</v>
      </c>
      <c r="W1709" s="21">
        <f t="shared" si="197"/>
        <v>168000000</v>
      </c>
      <c r="X1709">
        <v>0</v>
      </c>
      <c r="Y1709">
        <v>0</v>
      </c>
      <c r="Z1709" s="21">
        <f t="shared" si="198"/>
        <v>0</v>
      </c>
      <c r="AA1709">
        <v>0</v>
      </c>
      <c r="AB1709">
        <v>0</v>
      </c>
      <c r="AC1709" s="21">
        <f t="shared" si="199"/>
        <v>0</v>
      </c>
      <c r="AD1709">
        <v>0</v>
      </c>
      <c r="AE1709">
        <v>0</v>
      </c>
      <c r="AF1709" s="21">
        <f t="shared" si="202"/>
        <v>0</v>
      </c>
    </row>
    <row r="1710" spans="1:32" ht="15" customHeight="1" x14ac:dyDescent="0.3">
      <c r="A1710">
        <v>4</v>
      </c>
      <c r="B1710" s="2" t="s">
        <v>697</v>
      </c>
      <c r="C1710" s="4" t="s">
        <v>692</v>
      </c>
      <c r="D1710" s="3" t="s">
        <v>662</v>
      </c>
      <c r="E1710" s="6" t="s">
        <v>72</v>
      </c>
      <c r="F1710" s="6" t="s">
        <v>769</v>
      </c>
      <c r="G1710" s="6" t="s">
        <v>716</v>
      </c>
      <c r="H1710" s="23">
        <v>39000</v>
      </c>
      <c r="I1710">
        <v>0</v>
      </c>
      <c r="J1710">
        <v>0</v>
      </c>
      <c r="K1710" s="20">
        <f t="shared" si="200"/>
        <v>0</v>
      </c>
      <c r="L1710">
        <v>0</v>
      </c>
      <c r="M1710">
        <v>0</v>
      </c>
      <c r="N1710" s="21">
        <f t="shared" si="201"/>
        <v>0</v>
      </c>
      <c r="O1710">
        <v>0</v>
      </c>
      <c r="P1710">
        <v>0</v>
      </c>
      <c r="Q1710" s="21">
        <f t="shared" si="195"/>
        <v>0</v>
      </c>
      <c r="R1710">
        <v>0</v>
      </c>
      <c r="S1710">
        <v>0</v>
      </c>
      <c r="T1710" s="21">
        <f t="shared" si="196"/>
        <v>0</v>
      </c>
      <c r="U1710">
        <v>1200</v>
      </c>
      <c r="V1710">
        <v>5</v>
      </c>
      <c r="W1710" s="21">
        <f t="shared" si="197"/>
        <v>234000000</v>
      </c>
      <c r="X1710">
        <v>0</v>
      </c>
      <c r="Y1710">
        <v>0</v>
      </c>
      <c r="Z1710" s="21">
        <f t="shared" si="198"/>
        <v>0</v>
      </c>
      <c r="AA1710">
        <v>0</v>
      </c>
      <c r="AB1710">
        <v>0</v>
      </c>
      <c r="AC1710" s="21">
        <f t="shared" si="199"/>
        <v>0</v>
      </c>
      <c r="AD1710">
        <v>0</v>
      </c>
      <c r="AE1710">
        <v>0</v>
      </c>
      <c r="AF1710" s="21">
        <f t="shared" si="202"/>
        <v>0</v>
      </c>
    </row>
    <row r="1711" spans="1:32" ht="15" customHeight="1" x14ac:dyDescent="0.3">
      <c r="A1711">
        <v>4</v>
      </c>
      <c r="B1711" s="2" t="s">
        <v>697</v>
      </c>
      <c r="C1711" s="4" t="s">
        <v>692</v>
      </c>
      <c r="D1711" s="3" t="s">
        <v>662</v>
      </c>
      <c r="E1711" s="6" t="s">
        <v>72</v>
      </c>
      <c r="F1711" s="6" t="s">
        <v>770</v>
      </c>
      <c r="G1711" s="6" t="s">
        <v>712</v>
      </c>
      <c r="H1711" s="23">
        <v>214.29</v>
      </c>
      <c r="I1711">
        <v>0</v>
      </c>
      <c r="J1711">
        <v>0</v>
      </c>
      <c r="K1711" s="20">
        <f t="shared" si="200"/>
        <v>0</v>
      </c>
      <c r="L1711">
        <v>0</v>
      </c>
      <c r="M1711">
        <v>0</v>
      </c>
      <c r="N1711" s="21">
        <f t="shared" si="201"/>
        <v>0</v>
      </c>
      <c r="O1711">
        <v>0</v>
      </c>
      <c r="P1711">
        <v>0</v>
      </c>
      <c r="Q1711" s="21">
        <f t="shared" si="195"/>
        <v>0</v>
      </c>
      <c r="R1711">
        <v>0</v>
      </c>
      <c r="S1711">
        <v>0</v>
      </c>
      <c r="T1711" s="21">
        <f t="shared" si="196"/>
        <v>0</v>
      </c>
      <c r="U1711">
        <v>140000</v>
      </c>
      <c r="V1711">
        <v>1</v>
      </c>
      <c r="W1711" s="21">
        <f t="shared" si="197"/>
        <v>30000600</v>
      </c>
      <c r="X1711">
        <v>0</v>
      </c>
      <c r="Y1711">
        <v>0</v>
      </c>
      <c r="Z1711" s="21">
        <f t="shared" si="198"/>
        <v>0</v>
      </c>
      <c r="AA1711">
        <v>0</v>
      </c>
      <c r="AB1711">
        <v>0</v>
      </c>
      <c r="AC1711" s="21">
        <f t="shared" si="199"/>
        <v>0</v>
      </c>
      <c r="AD1711">
        <v>0</v>
      </c>
      <c r="AE1711">
        <v>0</v>
      </c>
      <c r="AF1711" s="21">
        <f t="shared" si="202"/>
        <v>0</v>
      </c>
    </row>
    <row r="1712" spans="1:32" ht="15" customHeight="1" x14ac:dyDescent="0.3">
      <c r="A1712">
        <v>4</v>
      </c>
      <c r="B1712" s="2" t="s">
        <v>697</v>
      </c>
      <c r="C1712" s="4" t="s">
        <v>692</v>
      </c>
      <c r="D1712" s="3" t="s">
        <v>662</v>
      </c>
      <c r="E1712" s="6" t="s">
        <v>72</v>
      </c>
      <c r="F1712" s="6" t="s">
        <v>418</v>
      </c>
      <c r="G1712" s="6" t="s">
        <v>709</v>
      </c>
      <c r="H1712" s="23">
        <v>28000</v>
      </c>
      <c r="I1712">
        <v>0</v>
      </c>
      <c r="J1712">
        <v>0</v>
      </c>
      <c r="K1712" s="20">
        <f t="shared" si="200"/>
        <v>0</v>
      </c>
      <c r="L1712">
        <v>0</v>
      </c>
      <c r="M1712">
        <v>0</v>
      </c>
      <c r="N1712" s="21">
        <f t="shared" si="201"/>
        <v>0</v>
      </c>
      <c r="O1712">
        <v>0</v>
      </c>
      <c r="P1712">
        <v>0</v>
      </c>
      <c r="Q1712" s="21">
        <f t="shared" si="195"/>
        <v>0</v>
      </c>
      <c r="R1712">
        <v>0</v>
      </c>
      <c r="S1712">
        <v>0</v>
      </c>
      <c r="T1712" s="21">
        <f t="shared" si="196"/>
        <v>0</v>
      </c>
      <c r="U1712">
        <v>190</v>
      </c>
      <c r="V1712">
        <v>5</v>
      </c>
      <c r="W1712" s="21">
        <f t="shared" si="197"/>
        <v>26600000</v>
      </c>
      <c r="X1712">
        <v>0</v>
      </c>
      <c r="Y1712">
        <v>0</v>
      </c>
      <c r="Z1712" s="21">
        <f t="shared" si="198"/>
        <v>0</v>
      </c>
      <c r="AA1712">
        <v>0</v>
      </c>
      <c r="AB1712">
        <v>0</v>
      </c>
      <c r="AC1712" s="21">
        <f t="shared" si="199"/>
        <v>0</v>
      </c>
      <c r="AD1712">
        <v>0</v>
      </c>
      <c r="AE1712">
        <v>0</v>
      </c>
      <c r="AF1712" s="21">
        <f t="shared" si="202"/>
        <v>0</v>
      </c>
    </row>
    <row r="1713" spans="1:32" ht="15" customHeight="1" x14ac:dyDescent="0.3">
      <c r="A1713">
        <v>4</v>
      </c>
      <c r="B1713" s="2" t="s">
        <v>697</v>
      </c>
      <c r="C1713" s="4" t="s">
        <v>692</v>
      </c>
      <c r="D1713" s="3" t="s">
        <v>662</v>
      </c>
      <c r="E1713" s="6" t="s">
        <v>72</v>
      </c>
      <c r="F1713" s="6" t="s">
        <v>418</v>
      </c>
      <c r="G1713" s="6" t="s">
        <v>716</v>
      </c>
      <c r="H1713" s="23">
        <v>39000</v>
      </c>
      <c r="I1713">
        <v>0</v>
      </c>
      <c r="J1713">
        <v>0</v>
      </c>
      <c r="K1713" s="20">
        <f t="shared" si="200"/>
        <v>0</v>
      </c>
      <c r="L1713">
        <v>0</v>
      </c>
      <c r="M1713">
        <v>0</v>
      </c>
      <c r="N1713" s="21">
        <f t="shared" si="201"/>
        <v>0</v>
      </c>
      <c r="O1713">
        <v>0</v>
      </c>
      <c r="P1713">
        <v>0</v>
      </c>
      <c r="Q1713" s="21">
        <f t="shared" si="195"/>
        <v>0</v>
      </c>
      <c r="R1713">
        <v>0</v>
      </c>
      <c r="S1713">
        <v>0</v>
      </c>
      <c r="T1713" s="21">
        <f t="shared" si="196"/>
        <v>0</v>
      </c>
      <c r="U1713">
        <v>190</v>
      </c>
      <c r="V1713">
        <v>5</v>
      </c>
      <c r="W1713" s="21">
        <f t="shared" si="197"/>
        <v>37050000</v>
      </c>
      <c r="X1713">
        <v>0</v>
      </c>
      <c r="Y1713">
        <v>0</v>
      </c>
      <c r="Z1713" s="21">
        <f t="shared" si="198"/>
        <v>0</v>
      </c>
      <c r="AA1713">
        <v>0</v>
      </c>
      <c r="AB1713">
        <v>0</v>
      </c>
      <c r="AC1713" s="21">
        <f t="shared" si="199"/>
        <v>0</v>
      </c>
      <c r="AD1713">
        <v>0</v>
      </c>
      <c r="AE1713">
        <v>0</v>
      </c>
      <c r="AF1713" s="21">
        <f t="shared" si="202"/>
        <v>0</v>
      </c>
    </row>
    <row r="1714" spans="1:32" ht="15" customHeight="1" x14ac:dyDescent="0.3">
      <c r="A1714">
        <v>4</v>
      </c>
      <c r="B1714" s="2" t="s">
        <v>697</v>
      </c>
      <c r="C1714" s="4" t="s">
        <v>692</v>
      </c>
      <c r="D1714" s="3" t="s">
        <v>662</v>
      </c>
      <c r="E1714" s="6" t="s">
        <v>72</v>
      </c>
      <c r="F1714" s="6" t="s">
        <v>418</v>
      </c>
      <c r="G1714" s="6" t="s">
        <v>712</v>
      </c>
      <c r="H1714" s="23">
        <v>214.29</v>
      </c>
      <c r="I1714">
        <v>0</v>
      </c>
      <c r="J1714">
        <v>0</v>
      </c>
      <c r="K1714" s="20">
        <f t="shared" si="200"/>
        <v>0</v>
      </c>
      <c r="L1714">
        <v>0</v>
      </c>
      <c r="M1714">
        <v>0</v>
      </c>
      <c r="N1714" s="21">
        <f t="shared" si="201"/>
        <v>0</v>
      </c>
      <c r="O1714">
        <v>0</v>
      </c>
      <c r="P1714">
        <v>0</v>
      </c>
      <c r="Q1714" s="21">
        <f t="shared" si="195"/>
        <v>0</v>
      </c>
      <c r="R1714">
        <v>0</v>
      </c>
      <c r="S1714">
        <v>0</v>
      </c>
      <c r="T1714" s="21">
        <f t="shared" si="196"/>
        <v>0</v>
      </c>
      <c r="U1714">
        <v>40000</v>
      </c>
      <c r="V1714">
        <v>1</v>
      </c>
      <c r="W1714" s="21">
        <f t="shared" si="197"/>
        <v>8571600</v>
      </c>
      <c r="X1714">
        <v>0</v>
      </c>
      <c r="Y1714">
        <v>0</v>
      </c>
      <c r="Z1714" s="21">
        <f t="shared" si="198"/>
        <v>0</v>
      </c>
      <c r="AA1714">
        <v>0</v>
      </c>
      <c r="AB1714">
        <v>0</v>
      </c>
      <c r="AC1714" s="21">
        <f t="shared" si="199"/>
        <v>0</v>
      </c>
      <c r="AD1714">
        <v>0</v>
      </c>
      <c r="AE1714">
        <v>0</v>
      </c>
      <c r="AF1714" s="21">
        <f t="shared" si="202"/>
        <v>0</v>
      </c>
    </row>
    <row r="1715" spans="1:32" ht="15" customHeight="1" x14ac:dyDescent="0.3">
      <c r="A1715">
        <v>4</v>
      </c>
      <c r="B1715" s="2" t="s">
        <v>697</v>
      </c>
      <c r="C1715" s="4" t="s">
        <v>692</v>
      </c>
      <c r="D1715" s="3" t="s">
        <v>662</v>
      </c>
      <c r="E1715" s="6" t="s">
        <v>73</v>
      </c>
      <c r="F1715" s="6" t="s">
        <v>771</v>
      </c>
      <c r="G1715" s="6" t="s">
        <v>709</v>
      </c>
      <c r="H1715" s="23">
        <v>28000</v>
      </c>
      <c r="I1715">
        <v>0</v>
      </c>
      <c r="J1715">
        <v>0</v>
      </c>
      <c r="K1715" s="20">
        <f t="shared" si="200"/>
        <v>0</v>
      </c>
      <c r="L1715">
        <v>0</v>
      </c>
      <c r="M1715">
        <v>0</v>
      </c>
      <c r="N1715" s="21">
        <f t="shared" si="201"/>
        <v>0</v>
      </c>
      <c r="O1715">
        <v>0</v>
      </c>
      <c r="P1715">
        <v>0</v>
      </c>
      <c r="Q1715" s="21">
        <f t="shared" si="195"/>
        <v>0</v>
      </c>
      <c r="R1715">
        <v>0</v>
      </c>
      <c r="S1715">
        <v>0</v>
      </c>
      <c r="T1715" s="21">
        <f t="shared" si="196"/>
        <v>0</v>
      </c>
      <c r="U1715">
        <v>10</v>
      </c>
      <c r="V1715">
        <v>5</v>
      </c>
      <c r="W1715" s="21">
        <f t="shared" si="197"/>
        <v>1400000</v>
      </c>
      <c r="X1715">
        <v>0</v>
      </c>
      <c r="Y1715">
        <v>0</v>
      </c>
      <c r="Z1715" s="21">
        <f t="shared" si="198"/>
        <v>0</v>
      </c>
      <c r="AA1715">
        <v>0</v>
      </c>
      <c r="AB1715">
        <v>0</v>
      </c>
      <c r="AC1715" s="21">
        <f t="shared" si="199"/>
        <v>0</v>
      </c>
      <c r="AD1715">
        <v>0</v>
      </c>
      <c r="AE1715">
        <v>0</v>
      </c>
      <c r="AF1715" s="21">
        <f t="shared" si="202"/>
        <v>0</v>
      </c>
    </row>
    <row r="1716" spans="1:32" ht="15" customHeight="1" x14ac:dyDescent="0.3">
      <c r="A1716">
        <v>4</v>
      </c>
      <c r="B1716" s="2" t="s">
        <v>697</v>
      </c>
      <c r="C1716" s="4" t="s">
        <v>692</v>
      </c>
      <c r="D1716" s="3" t="s">
        <v>662</v>
      </c>
      <c r="E1716" s="6" t="s">
        <v>73</v>
      </c>
      <c r="F1716" s="6" t="s">
        <v>420</v>
      </c>
      <c r="G1716" s="6" t="s">
        <v>712</v>
      </c>
      <c r="H1716" s="23">
        <v>214.29</v>
      </c>
      <c r="I1716">
        <v>0</v>
      </c>
      <c r="J1716">
        <v>0</v>
      </c>
      <c r="K1716" s="20">
        <f t="shared" si="200"/>
        <v>0</v>
      </c>
      <c r="L1716">
        <v>0</v>
      </c>
      <c r="M1716">
        <v>0</v>
      </c>
      <c r="N1716" s="21">
        <f t="shared" si="201"/>
        <v>0</v>
      </c>
      <c r="O1716">
        <v>0</v>
      </c>
      <c r="P1716">
        <v>0</v>
      </c>
      <c r="Q1716" s="21">
        <f t="shared" si="195"/>
        <v>0</v>
      </c>
      <c r="R1716">
        <v>0</v>
      </c>
      <c r="S1716">
        <v>0</v>
      </c>
      <c r="T1716" s="21">
        <f t="shared" si="196"/>
        <v>0</v>
      </c>
      <c r="U1716">
        <v>4000</v>
      </c>
      <c r="V1716">
        <v>1</v>
      </c>
      <c r="W1716" s="21">
        <f t="shared" si="197"/>
        <v>857160</v>
      </c>
      <c r="X1716">
        <v>0</v>
      </c>
      <c r="Y1716">
        <v>0</v>
      </c>
      <c r="Z1716" s="21">
        <f t="shared" si="198"/>
        <v>0</v>
      </c>
      <c r="AA1716">
        <v>0</v>
      </c>
      <c r="AB1716">
        <v>0</v>
      </c>
      <c r="AC1716" s="21">
        <f t="shared" si="199"/>
        <v>0</v>
      </c>
      <c r="AD1716">
        <v>0</v>
      </c>
      <c r="AE1716">
        <v>0</v>
      </c>
      <c r="AF1716" s="21">
        <f t="shared" si="202"/>
        <v>0</v>
      </c>
    </row>
    <row r="1717" spans="1:32" ht="15" customHeight="1" x14ac:dyDescent="0.3">
      <c r="A1717">
        <v>4</v>
      </c>
      <c r="B1717" s="2" t="s">
        <v>697</v>
      </c>
      <c r="C1717" s="4" t="s">
        <v>692</v>
      </c>
      <c r="D1717" s="3" t="s">
        <v>662</v>
      </c>
      <c r="E1717" s="6" t="s">
        <v>73</v>
      </c>
      <c r="F1717" s="6" t="s">
        <v>420</v>
      </c>
      <c r="G1717" s="6" t="s">
        <v>714</v>
      </c>
      <c r="H1717" s="23">
        <v>10000</v>
      </c>
      <c r="I1717">
        <v>0</v>
      </c>
      <c r="J1717">
        <v>0</v>
      </c>
      <c r="K1717" s="20">
        <f t="shared" si="200"/>
        <v>0</v>
      </c>
      <c r="L1717">
        <v>0</v>
      </c>
      <c r="M1717">
        <v>0</v>
      </c>
      <c r="N1717" s="21">
        <f t="shared" si="201"/>
        <v>0</v>
      </c>
      <c r="O1717">
        <v>0</v>
      </c>
      <c r="P1717">
        <v>0</v>
      </c>
      <c r="Q1717" s="21">
        <f t="shared" si="195"/>
        <v>0</v>
      </c>
      <c r="R1717">
        <v>0</v>
      </c>
      <c r="S1717">
        <v>0</v>
      </c>
      <c r="T1717" s="21">
        <f t="shared" si="196"/>
        <v>0</v>
      </c>
      <c r="U1717">
        <v>10</v>
      </c>
      <c r="V1717">
        <v>1</v>
      </c>
      <c r="W1717" s="21">
        <f t="shared" si="197"/>
        <v>100000</v>
      </c>
      <c r="X1717">
        <v>0</v>
      </c>
      <c r="Y1717">
        <v>0</v>
      </c>
      <c r="Z1717" s="21">
        <f t="shared" si="198"/>
        <v>0</v>
      </c>
      <c r="AA1717">
        <v>0</v>
      </c>
      <c r="AB1717">
        <v>0</v>
      </c>
      <c r="AC1717" s="21">
        <f t="shared" si="199"/>
        <v>0</v>
      </c>
      <c r="AD1717">
        <v>0</v>
      </c>
      <c r="AE1717">
        <v>0</v>
      </c>
      <c r="AF1717" s="21">
        <f t="shared" si="202"/>
        <v>0</v>
      </c>
    </row>
    <row r="1718" spans="1:32" ht="15" customHeight="1" x14ac:dyDescent="0.3">
      <c r="A1718">
        <v>4</v>
      </c>
      <c r="B1718" s="2" t="s">
        <v>697</v>
      </c>
      <c r="C1718" s="4" t="s">
        <v>692</v>
      </c>
      <c r="D1718" s="3" t="s">
        <v>662</v>
      </c>
      <c r="E1718" s="6" t="s">
        <v>74</v>
      </c>
      <c r="F1718" s="6" t="s">
        <v>421</v>
      </c>
      <c r="G1718" s="6" t="s">
        <v>718</v>
      </c>
      <c r="H1718" s="23">
        <v>0</v>
      </c>
      <c r="I1718">
        <v>0</v>
      </c>
      <c r="J1718">
        <v>0</v>
      </c>
      <c r="K1718" s="20">
        <f t="shared" si="200"/>
        <v>0</v>
      </c>
      <c r="L1718">
        <v>0</v>
      </c>
      <c r="M1718">
        <v>0</v>
      </c>
      <c r="N1718" s="21">
        <f t="shared" si="201"/>
        <v>0</v>
      </c>
      <c r="O1718">
        <v>0</v>
      </c>
      <c r="P1718">
        <v>0</v>
      </c>
      <c r="Q1718" s="21">
        <f t="shared" si="195"/>
        <v>0</v>
      </c>
      <c r="R1718">
        <v>0</v>
      </c>
      <c r="S1718">
        <v>0</v>
      </c>
      <c r="T1718" s="21">
        <f t="shared" si="196"/>
        <v>0</v>
      </c>
      <c r="U1718">
        <v>0</v>
      </c>
      <c r="V1718">
        <v>0</v>
      </c>
      <c r="W1718" s="21">
        <f t="shared" si="197"/>
        <v>0</v>
      </c>
      <c r="X1718">
        <v>0</v>
      </c>
      <c r="Y1718">
        <v>0</v>
      </c>
      <c r="Z1718" s="21">
        <f t="shared" si="198"/>
        <v>0</v>
      </c>
      <c r="AA1718">
        <v>0</v>
      </c>
      <c r="AB1718">
        <v>0</v>
      </c>
      <c r="AC1718" s="21">
        <f t="shared" si="199"/>
        <v>0</v>
      </c>
      <c r="AD1718">
        <v>0</v>
      </c>
      <c r="AE1718">
        <v>0</v>
      </c>
      <c r="AF1718" s="21">
        <f t="shared" si="202"/>
        <v>0</v>
      </c>
    </row>
    <row r="1719" spans="1:32" ht="15" customHeight="1" x14ac:dyDescent="0.3">
      <c r="A1719">
        <v>4</v>
      </c>
      <c r="B1719" s="2" t="s">
        <v>697</v>
      </c>
      <c r="C1719" s="4" t="s">
        <v>692</v>
      </c>
      <c r="D1719" s="3" t="s">
        <v>662</v>
      </c>
      <c r="E1719" s="6" t="s">
        <v>74</v>
      </c>
      <c r="F1719" s="6" t="s">
        <v>422</v>
      </c>
      <c r="G1719" s="6" t="s">
        <v>718</v>
      </c>
      <c r="H1719" s="23">
        <v>0</v>
      </c>
      <c r="I1719">
        <v>0</v>
      </c>
      <c r="J1719">
        <v>0</v>
      </c>
      <c r="K1719" s="20">
        <f t="shared" si="200"/>
        <v>0</v>
      </c>
      <c r="L1719">
        <v>0</v>
      </c>
      <c r="M1719">
        <v>0</v>
      </c>
      <c r="N1719" s="21">
        <f t="shared" si="201"/>
        <v>0</v>
      </c>
      <c r="O1719">
        <v>0</v>
      </c>
      <c r="P1719">
        <v>0</v>
      </c>
      <c r="Q1719" s="21">
        <f t="shared" si="195"/>
        <v>0</v>
      </c>
      <c r="R1719">
        <v>0</v>
      </c>
      <c r="S1719">
        <v>0</v>
      </c>
      <c r="T1719" s="21">
        <f t="shared" si="196"/>
        <v>0</v>
      </c>
      <c r="U1719">
        <v>0</v>
      </c>
      <c r="V1719">
        <v>0</v>
      </c>
      <c r="W1719" s="21">
        <f t="shared" si="197"/>
        <v>0</v>
      </c>
      <c r="X1719">
        <v>0</v>
      </c>
      <c r="Y1719">
        <v>0</v>
      </c>
      <c r="Z1719" s="21">
        <f t="shared" si="198"/>
        <v>0</v>
      </c>
      <c r="AA1719">
        <v>0</v>
      </c>
      <c r="AB1719">
        <v>0</v>
      </c>
      <c r="AC1719" s="21">
        <f t="shared" si="199"/>
        <v>0</v>
      </c>
      <c r="AD1719">
        <v>0</v>
      </c>
      <c r="AE1719">
        <v>0</v>
      </c>
      <c r="AF1719" s="21">
        <f t="shared" si="202"/>
        <v>0</v>
      </c>
    </row>
    <row r="1720" spans="1:32" ht="15" customHeight="1" x14ac:dyDescent="0.3">
      <c r="A1720">
        <v>4</v>
      </c>
      <c r="B1720" s="2" t="s">
        <v>697</v>
      </c>
      <c r="C1720" s="4" t="s">
        <v>692</v>
      </c>
      <c r="D1720" s="3" t="s">
        <v>662</v>
      </c>
      <c r="E1720" s="6" t="s">
        <v>74</v>
      </c>
      <c r="F1720" s="6" t="s">
        <v>423</v>
      </c>
      <c r="G1720" s="6" t="s">
        <v>707</v>
      </c>
      <c r="H1720" s="23">
        <v>391991.03749999998</v>
      </c>
      <c r="I1720">
        <v>0</v>
      </c>
      <c r="J1720">
        <v>0</v>
      </c>
      <c r="K1720" s="20">
        <f t="shared" si="200"/>
        <v>0</v>
      </c>
      <c r="L1720">
        <v>0</v>
      </c>
      <c r="M1720">
        <v>0</v>
      </c>
      <c r="N1720" s="21">
        <f t="shared" si="201"/>
        <v>0</v>
      </c>
      <c r="O1720">
        <v>0</v>
      </c>
      <c r="P1720">
        <v>0</v>
      </c>
      <c r="Q1720" s="21">
        <f t="shared" si="195"/>
        <v>0</v>
      </c>
      <c r="R1720">
        <v>1</v>
      </c>
      <c r="S1720">
        <v>6</v>
      </c>
      <c r="T1720" s="21">
        <f t="shared" si="196"/>
        <v>2351946.2249999996</v>
      </c>
      <c r="U1720">
        <v>0</v>
      </c>
      <c r="V1720">
        <v>0</v>
      </c>
      <c r="W1720" s="21">
        <f t="shared" si="197"/>
        <v>0</v>
      </c>
      <c r="X1720">
        <v>0</v>
      </c>
      <c r="Y1720">
        <v>0</v>
      </c>
      <c r="Z1720" s="21">
        <f t="shared" si="198"/>
        <v>0</v>
      </c>
      <c r="AA1720">
        <v>0</v>
      </c>
      <c r="AB1720">
        <v>0</v>
      </c>
      <c r="AC1720" s="21">
        <f t="shared" si="199"/>
        <v>0</v>
      </c>
      <c r="AD1720">
        <v>0</v>
      </c>
      <c r="AE1720">
        <v>0</v>
      </c>
      <c r="AF1720" s="21">
        <f t="shared" si="202"/>
        <v>0</v>
      </c>
    </row>
    <row r="1721" spans="1:32" ht="15" customHeight="1" x14ac:dyDescent="0.3">
      <c r="A1721">
        <v>4</v>
      </c>
      <c r="B1721" s="2" t="s">
        <v>697</v>
      </c>
      <c r="C1721" s="4" t="s">
        <v>692</v>
      </c>
      <c r="D1721" s="3" t="s">
        <v>662</v>
      </c>
      <c r="E1721" s="6" t="s">
        <v>74</v>
      </c>
      <c r="F1721" s="6" t="s">
        <v>423</v>
      </c>
      <c r="G1721" s="6" t="s">
        <v>708</v>
      </c>
      <c r="H1721" s="23">
        <v>425000</v>
      </c>
      <c r="I1721">
        <v>0</v>
      </c>
      <c r="J1721">
        <v>0</v>
      </c>
      <c r="K1721" s="20">
        <f t="shared" si="200"/>
        <v>0</v>
      </c>
      <c r="L1721">
        <v>0</v>
      </c>
      <c r="M1721">
        <v>0</v>
      </c>
      <c r="N1721" s="21">
        <f t="shared" si="201"/>
        <v>0</v>
      </c>
      <c r="O1721">
        <v>0</v>
      </c>
      <c r="P1721">
        <v>0</v>
      </c>
      <c r="Q1721" s="21">
        <f t="shared" si="195"/>
        <v>0</v>
      </c>
      <c r="R1721">
        <v>1</v>
      </c>
      <c r="S1721">
        <v>40</v>
      </c>
      <c r="T1721" s="21">
        <f t="shared" si="196"/>
        <v>17000000</v>
      </c>
      <c r="U1721">
        <v>0</v>
      </c>
      <c r="V1721">
        <v>0</v>
      </c>
      <c r="W1721" s="21">
        <f t="shared" si="197"/>
        <v>0</v>
      </c>
      <c r="X1721">
        <v>0</v>
      </c>
      <c r="Y1721">
        <v>0</v>
      </c>
      <c r="Z1721" s="21">
        <f t="shared" si="198"/>
        <v>0</v>
      </c>
      <c r="AA1721">
        <v>0</v>
      </c>
      <c r="AB1721">
        <v>0</v>
      </c>
      <c r="AC1721" s="21">
        <f t="shared" si="199"/>
        <v>0</v>
      </c>
      <c r="AD1721">
        <v>0</v>
      </c>
      <c r="AE1721">
        <v>0</v>
      </c>
      <c r="AF1721" s="21">
        <f t="shared" si="202"/>
        <v>0</v>
      </c>
    </row>
    <row r="1722" spans="1:32" ht="15" customHeight="1" x14ac:dyDescent="0.3">
      <c r="A1722">
        <v>4</v>
      </c>
      <c r="B1722" s="2" t="s">
        <v>697</v>
      </c>
      <c r="C1722" s="4" t="s">
        <v>692</v>
      </c>
      <c r="D1722" s="3" t="s">
        <v>662</v>
      </c>
      <c r="E1722" s="6" t="s">
        <v>74</v>
      </c>
      <c r="F1722" s="6" t="s">
        <v>424</v>
      </c>
      <c r="G1722" s="6" t="s">
        <v>718</v>
      </c>
      <c r="H1722" s="23">
        <v>0</v>
      </c>
      <c r="I1722">
        <v>0</v>
      </c>
      <c r="J1722">
        <v>0</v>
      </c>
      <c r="K1722" s="20">
        <f t="shared" si="200"/>
        <v>0</v>
      </c>
      <c r="L1722">
        <v>0</v>
      </c>
      <c r="M1722">
        <v>0</v>
      </c>
      <c r="N1722" s="21">
        <f t="shared" si="201"/>
        <v>0</v>
      </c>
      <c r="O1722">
        <v>0</v>
      </c>
      <c r="P1722">
        <v>0</v>
      </c>
      <c r="Q1722" s="21">
        <f t="shared" si="195"/>
        <v>0</v>
      </c>
      <c r="R1722">
        <v>0</v>
      </c>
      <c r="S1722">
        <v>0</v>
      </c>
      <c r="T1722" s="21">
        <f t="shared" si="196"/>
        <v>0</v>
      </c>
      <c r="U1722">
        <v>0</v>
      </c>
      <c r="V1722">
        <v>0</v>
      </c>
      <c r="W1722" s="21">
        <f t="shared" si="197"/>
        <v>0</v>
      </c>
      <c r="X1722">
        <v>0</v>
      </c>
      <c r="Y1722">
        <v>0</v>
      </c>
      <c r="Z1722" s="21">
        <f t="shared" si="198"/>
        <v>0</v>
      </c>
      <c r="AA1722">
        <v>0</v>
      </c>
      <c r="AB1722">
        <v>0</v>
      </c>
      <c r="AC1722" s="21">
        <f t="shared" si="199"/>
        <v>0</v>
      </c>
      <c r="AD1722">
        <v>0</v>
      </c>
      <c r="AE1722">
        <v>0</v>
      </c>
      <c r="AF1722" s="21">
        <f t="shared" si="202"/>
        <v>0</v>
      </c>
    </row>
    <row r="1723" spans="1:32" ht="15" customHeight="1" x14ac:dyDescent="0.3">
      <c r="A1723">
        <v>4</v>
      </c>
      <c r="B1723" s="2" t="s">
        <v>697</v>
      </c>
      <c r="C1723" s="4" t="s">
        <v>692</v>
      </c>
      <c r="D1723" s="3" t="s">
        <v>662</v>
      </c>
      <c r="E1723" s="6" t="s">
        <v>74</v>
      </c>
      <c r="F1723" s="6" t="s">
        <v>425</v>
      </c>
      <c r="G1723" s="6" t="s">
        <v>713</v>
      </c>
      <c r="H1723" s="23">
        <v>45000</v>
      </c>
      <c r="I1723">
        <v>0</v>
      </c>
      <c r="J1723">
        <v>0</v>
      </c>
      <c r="K1723" s="20">
        <f t="shared" si="200"/>
        <v>0</v>
      </c>
      <c r="L1723">
        <v>0</v>
      </c>
      <c r="M1723">
        <v>0</v>
      </c>
      <c r="N1723" s="21">
        <f t="shared" si="201"/>
        <v>0</v>
      </c>
      <c r="O1723">
        <v>0</v>
      </c>
      <c r="P1723">
        <v>0</v>
      </c>
      <c r="Q1723" s="21">
        <f t="shared" si="195"/>
        <v>0</v>
      </c>
      <c r="R1723">
        <v>15</v>
      </c>
      <c r="S1723">
        <v>10</v>
      </c>
      <c r="T1723" s="21">
        <f t="shared" si="196"/>
        <v>6750000</v>
      </c>
      <c r="U1723">
        <v>0</v>
      </c>
      <c r="V1723">
        <v>0</v>
      </c>
      <c r="W1723" s="21">
        <f t="shared" si="197"/>
        <v>0</v>
      </c>
      <c r="X1723">
        <v>0</v>
      </c>
      <c r="Y1723">
        <v>0</v>
      </c>
      <c r="Z1723" s="21">
        <f t="shared" si="198"/>
        <v>0</v>
      </c>
      <c r="AA1723">
        <v>0</v>
      </c>
      <c r="AB1723">
        <v>0</v>
      </c>
      <c r="AC1723" s="21">
        <f t="shared" si="199"/>
        <v>0</v>
      </c>
      <c r="AD1723">
        <v>0</v>
      </c>
      <c r="AE1723">
        <v>0</v>
      </c>
      <c r="AF1723" s="21">
        <f t="shared" si="202"/>
        <v>0</v>
      </c>
    </row>
    <row r="1724" spans="1:32" ht="15" customHeight="1" x14ac:dyDescent="0.3">
      <c r="A1724">
        <v>4</v>
      </c>
      <c r="B1724" s="2" t="s">
        <v>697</v>
      </c>
      <c r="C1724" s="4" t="s">
        <v>692</v>
      </c>
      <c r="D1724" s="3" t="s">
        <v>662</v>
      </c>
      <c r="E1724" s="6" t="s">
        <v>74</v>
      </c>
      <c r="F1724" s="6" t="s">
        <v>425</v>
      </c>
      <c r="G1724" s="6" t="s">
        <v>712</v>
      </c>
      <c r="H1724" s="23">
        <v>214.29</v>
      </c>
      <c r="I1724">
        <v>0</v>
      </c>
      <c r="J1724">
        <v>0</v>
      </c>
      <c r="K1724" s="20">
        <f t="shared" si="200"/>
        <v>0</v>
      </c>
      <c r="L1724">
        <v>0</v>
      </c>
      <c r="M1724">
        <v>0</v>
      </c>
      <c r="N1724" s="21">
        <f t="shared" si="201"/>
        <v>0</v>
      </c>
      <c r="O1724">
        <v>0</v>
      </c>
      <c r="P1724">
        <v>0</v>
      </c>
      <c r="Q1724" s="21">
        <f t="shared" si="195"/>
        <v>0</v>
      </c>
      <c r="R1724">
        <v>20000</v>
      </c>
      <c r="S1724">
        <v>1</v>
      </c>
      <c r="T1724" s="21">
        <f t="shared" si="196"/>
        <v>4285800</v>
      </c>
      <c r="U1724">
        <v>0</v>
      </c>
      <c r="V1724">
        <v>0</v>
      </c>
      <c r="W1724" s="21">
        <f t="shared" si="197"/>
        <v>0</v>
      </c>
      <c r="X1724">
        <v>0</v>
      </c>
      <c r="Y1724">
        <v>0</v>
      </c>
      <c r="Z1724" s="21">
        <f t="shared" si="198"/>
        <v>0</v>
      </c>
      <c r="AA1724">
        <v>0</v>
      </c>
      <c r="AB1724">
        <v>0</v>
      </c>
      <c r="AC1724" s="21">
        <f t="shared" si="199"/>
        <v>0</v>
      </c>
      <c r="AD1724">
        <v>0</v>
      </c>
      <c r="AE1724">
        <v>0</v>
      </c>
      <c r="AF1724" s="21">
        <f t="shared" si="202"/>
        <v>0</v>
      </c>
    </row>
    <row r="1725" spans="1:32" ht="15" customHeight="1" x14ac:dyDescent="0.3">
      <c r="A1725">
        <v>4</v>
      </c>
      <c r="B1725" s="2" t="s">
        <v>697</v>
      </c>
      <c r="C1725" s="4" t="s">
        <v>692</v>
      </c>
      <c r="D1725" s="3" t="s">
        <v>662</v>
      </c>
      <c r="E1725" s="6" t="s">
        <v>74</v>
      </c>
      <c r="F1725" s="6" t="s">
        <v>425</v>
      </c>
      <c r="G1725" s="6" t="s">
        <v>714</v>
      </c>
      <c r="H1725" s="23">
        <v>10000</v>
      </c>
      <c r="I1725">
        <v>0</v>
      </c>
      <c r="J1725">
        <v>0</v>
      </c>
      <c r="K1725" s="20">
        <f t="shared" si="200"/>
        <v>0</v>
      </c>
      <c r="L1725">
        <v>0</v>
      </c>
      <c r="M1725">
        <v>0</v>
      </c>
      <c r="N1725" s="21">
        <f t="shared" si="201"/>
        <v>0</v>
      </c>
      <c r="O1725">
        <v>0</v>
      </c>
      <c r="P1725">
        <v>0</v>
      </c>
      <c r="Q1725" s="21">
        <f t="shared" ref="Q1725:Q1788" si="203">H1725*O1725*P1725</f>
        <v>0</v>
      </c>
      <c r="R1725">
        <v>15</v>
      </c>
      <c r="S1725">
        <v>1</v>
      </c>
      <c r="T1725" s="21">
        <f t="shared" ref="T1725:T1788" si="204">H1725*R1725*S1725</f>
        <v>150000</v>
      </c>
      <c r="U1725">
        <v>0</v>
      </c>
      <c r="V1725">
        <v>0</v>
      </c>
      <c r="W1725" s="21">
        <f t="shared" ref="W1725:W1788" si="205">H1725*U1725*V1725</f>
        <v>0</v>
      </c>
      <c r="X1725">
        <v>0</v>
      </c>
      <c r="Y1725">
        <v>0</v>
      </c>
      <c r="Z1725" s="21">
        <f t="shared" ref="Z1725:Z1788" si="206">H1725*X1725*Y1725</f>
        <v>0</v>
      </c>
      <c r="AA1725">
        <v>0</v>
      </c>
      <c r="AB1725">
        <v>0</v>
      </c>
      <c r="AC1725" s="21">
        <f t="shared" ref="AC1725:AC1788" si="207">H1725*AA1725*AB1725</f>
        <v>0</v>
      </c>
      <c r="AD1725">
        <v>0</v>
      </c>
      <c r="AE1725">
        <v>0</v>
      </c>
      <c r="AF1725" s="21">
        <f t="shared" si="202"/>
        <v>0</v>
      </c>
    </row>
    <row r="1726" spans="1:32" ht="15" customHeight="1" x14ac:dyDescent="0.3">
      <c r="A1726">
        <v>4</v>
      </c>
      <c r="B1726" s="2" t="s">
        <v>697</v>
      </c>
      <c r="C1726" s="4" t="s">
        <v>692</v>
      </c>
      <c r="D1726" s="3" t="s">
        <v>662</v>
      </c>
      <c r="E1726" s="6" t="s">
        <v>74</v>
      </c>
      <c r="F1726" s="6" t="s">
        <v>159</v>
      </c>
      <c r="G1726" s="6" t="s">
        <v>709</v>
      </c>
      <c r="H1726" s="23">
        <v>28000</v>
      </c>
      <c r="I1726">
        <v>0</v>
      </c>
      <c r="J1726">
        <v>0</v>
      </c>
      <c r="K1726" s="20">
        <f t="shared" si="200"/>
        <v>0</v>
      </c>
      <c r="L1726">
        <v>0</v>
      </c>
      <c r="M1726">
        <v>0</v>
      </c>
      <c r="N1726" s="21">
        <f t="shared" si="201"/>
        <v>0</v>
      </c>
      <c r="O1726">
        <v>0</v>
      </c>
      <c r="P1726">
        <v>0</v>
      </c>
      <c r="Q1726" s="21">
        <f t="shared" si="203"/>
        <v>0</v>
      </c>
      <c r="R1726">
        <v>15</v>
      </c>
      <c r="S1726">
        <v>5</v>
      </c>
      <c r="T1726" s="21">
        <f t="shared" si="204"/>
        <v>2100000</v>
      </c>
      <c r="U1726">
        <v>0</v>
      </c>
      <c r="V1726">
        <v>0</v>
      </c>
      <c r="W1726" s="21">
        <f t="shared" si="205"/>
        <v>0</v>
      </c>
      <c r="X1726">
        <v>0</v>
      </c>
      <c r="Y1726">
        <v>0</v>
      </c>
      <c r="Z1726" s="21">
        <f t="shared" si="206"/>
        <v>0</v>
      </c>
      <c r="AA1726">
        <v>0</v>
      </c>
      <c r="AB1726">
        <v>0</v>
      </c>
      <c r="AC1726" s="21">
        <f t="shared" si="207"/>
        <v>0</v>
      </c>
      <c r="AD1726">
        <v>0</v>
      </c>
      <c r="AE1726">
        <v>0</v>
      </c>
      <c r="AF1726" s="21">
        <f t="shared" si="202"/>
        <v>0</v>
      </c>
    </row>
    <row r="1727" spans="1:32" ht="15" customHeight="1" x14ac:dyDescent="0.3">
      <c r="A1727">
        <v>4</v>
      </c>
      <c r="B1727" s="2" t="s">
        <v>697</v>
      </c>
      <c r="C1727" s="4" t="s">
        <v>692</v>
      </c>
      <c r="D1727" s="3" t="s">
        <v>662</v>
      </c>
      <c r="E1727" s="6" t="s">
        <v>74</v>
      </c>
      <c r="F1727" s="6" t="s">
        <v>159</v>
      </c>
      <c r="G1727" s="6" t="s">
        <v>716</v>
      </c>
      <c r="H1727" s="23">
        <v>39000</v>
      </c>
      <c r="I1727">
        <v>0</v>
      </c>
      <c r="J1727">
        <v>0</v>
      </c>
      <c r="K1727" s="20">
        <f t="shared" si="200"/>
        <v>0</v>
      </c>
      <c r="L1727">
        <v>0</v>
      </c>
      <c r="M1727">
        <v>0</v>
      </c>
      <c r="N1727" s="21">
        <f t="shared" si="201"/>
        <v>0</v>
      </c>
      <c r="O1727">
        <v>0</v>
      </c>
      <c r="P1727">
        <v>0</v>
      </c>
      <c r="Q1727" s="21">
        <f t="shared" si="203"/>
        <v>0</v>
      </c>
      <c r="R1727">
        <v>15</v>
      </c>
      <c r="S1727">
        <v>5</v>
      </c>
      <c r="T1727" s="21">
        <f t="shared" si="204"/>
        <v>2925000</v>
      </c>
      <c r="U1727">
        <v>0</v>
      </c>
      <c r="V1727">
        <v>0</v>
      </c>
      <c r="W1727" s="21">
        <f t="shared" si="205"/>
        <v>0</v>
      </c>
      <c r="X1727">
        <v>0</v>
      </c>
      <c r="Y1727">
        <v>0</v>
      </c>
      <c r="Z1727" s="21">
        <f t="shared" si="206"/>
        <v>0</v>
      </c>
      <c r="AA1727">
        <v>0</v>
      </c>
      <c r="AB1727">
        <v>0</v>
      </c>
      <c r="AC1727" s="21">
        <f t="shared" si="207"/>
        <v>0</v>
      </c>
      <c r="AD1727">
        <v>0</v>
      </c>
      <c r="AE1727">
        <v>0</v>
      </c>
      <c r="AF1727" s="21">
        <f t="shared" si="202"/>
        <v>0</v>
      </c>
    </row>
    <row r="1728" spans="1:32" ht="15" customHeight="1" x14ac:dyDescent="0.3">
      <c r="A1728">
        <v>4</v>
      </c>
      <c r="B1728" s="2" t="s">
        <v>697</v>
      </c>
      <c r="C1728" s="4" t="s">
        <v>692</v>
      </c>
      <c r="D1728" s="3" t="s">
        <v>662</v>
      </c>
      <c r="E1728" s="6" t="s">
        <v>74</v>
      </c>
      <c r="F1728" s="6" t="s">
        <v>159</v>
      </c>
      <c r="G1728" s="6" t="s">
        <v>712</v>
      </c>
      <c r="H1728" s="23">
        <v>214.29</v>
      </c>
      <c r="I1728">
        <v>0</v>
      </c>
      <c r="J1728">
        <v>0</v>
      </c>
      <c r="K1728" s="20">
        <f t="shared" si="200"/>
        <v>0</v>
      </c>
      <c r="L1728">
        <v>0</v>
      </c>
      <c r="M1728">
        <v>0</v>
      </c>
      <c r="N1728" s="21">
        <f t="shared" si="201"/>
        <v>0</v>
      </c>
      <c r="O1728">
        <v>0</v>
      </c>
      <c r="P1728">
        <v>0</v>
      </c>
      <c r="Q1728" s="21">
        <f t="shared" si="203"/>
        <v>0</v>
      </c>
      <c r="R1728">
        <v>4000</v>
      </c>
      <c r="S1728">
        <v>1</v>
      </c>
      <c r="T1728" s="21">
        <f t="shared" si="204"/>
        <v>857160</v>
      </c>
      <c r="U1728">
        <v>0</v>
      </c>
      <c r="V1728">
        <v>0</v>
      </c>
      <c r="W1728" s="21">
        <f t="shared" si="205"/>
        <v>0</v>
      </c>
      <c r="X1728">
        <v>0</v>
      </c>
      <c r="Y1728">
        <v>0</v>
      </c>
      <c r="Z1728" s="21">
        <f t="shared" si="206"/>
        <v>0</v>
      </c>
      <c r="AA1728">
        <v>0</v>
      </c>
      <c r="AB1728">
        <v>0</v>
      </c>
      <c r="AC1728" s="21">
        <f t="shared" si="207"/>
        <v>0</v>
      </c>
      <c r="AD1728">
        <v>0</v>
      </c>
      <c r="AE1728">
        <v>0</v>
      </c>
      <c r="AF1728" s="21">
        <f t="shared" si="202"/>
        <v>0</v>
      </c>
    </row>
    <row r="1729" spans="1:32" ht="15" customHeight="1" x14ac:dyDescent="0.3">
      <c r="A1729">
        <v>4</v>
      </c>
      <c r="B1729" s="2" t="s">
        <v>697</v>
      </c>
      <c r="C1729" s="4" t="s">
        <v>692</v>
      </c>
      <c r="D1729" s="3" t="s">
        <v>662</v>
      </c>
      <c r="E1729" s="6" t="s">
        <v>74</v>
      </c>
      <c r="F1729" s="6" t="s">
        <v>153</v>
      </c>
      <c r="G1729" s="6" t="s">
        <v>709</v>
      </c>
      <c r="H1729" s="23">
        <v>28000</v>
      </c>
      <c r="I1729">
        <v>0</v>
      </c>
      <c r="J1729">
        <v>0</v>
      </c>
      <c r="K1729" s="20">
        <f t="shared" si="200"/>
        <v>0</v>
      </c>
      <c r="L1729">
        <v>0</v>
      </c>
      <c r="M1729">
        <v>0</v>
      </c>
      <c r="N1729" s="21">
        <f t="shared" si="201"/>
        <v>0</v>
      </c>
      <c r="O1729">
        <v>0</v>
      </c>
      <c r="P1729">
        <v>0</v>
      </c>
      <c r="Q1729" s="21">
        <f t="shared" si="203"/>
        <v>0</v>
      </c>
      <c r="R1729">
        <v>15</v>
      </c>
      <c r="S1729">
        <v>5</v>
      </c>
      <c r="T1729" s="21">
        <f t="shared" si="204"/>
        <v>2100000</v>
      </c>
      <c r="U1729">
        <v>0</v>
      </c>
      <c r="V1729">
        <v>0</v>
      </c>
      <c r="W1729" s="21">
        <f t="shared" si="205"/>
        <v>0</v>
      </c>
      <c r="X1729">
        <v>0</v>
      </c>
      <c r="Y1729">
        <v>0</v>
      </c>
      <c r="Z1729" s="21">
        <f t="shared" si="206"/>
        <v>0</v>
      </c>
      <c r="AA1729">
        <v>0</v>
      </c>
      <c r="AB1729">
        <v>0</v>
      </c>
      <c r="AC1729" s="21">
        <f t="shared" si="207"/>
        <v>0</v>
      </c>
      <c r="AD1729">
        <v>0</v>
      </c>
      <c r="AE1729">
        <v>0</v>
      </c>
      <c r="AF1729" s="21">
        <f t="shared" si="202"/>
        <v>0</v>
      </c>
    </row>
    <row r="1730" spans="1:32" ht="15" customHeight="1" x14ac:dyDescent="0.3">
      <c r="A1730">
        <v>4</v>
      </c>
      <c r="B1730" s="2" t="s">
        <v>697</v>
      </c>
      <c r="C1730" s="4" t="s">
        <v>692</v>
      </c>
      <c r="D1730" s="3" t="s">
        <v>662</v>
      </c>
      <c r="E1730" s="6" t="s">
        <v>74</v>
      </c>
      <c r="F1730" s="6" t="s">
        <v>153</v>
      </c>
      <c r="G1730" s="6" t="s">
        <v>716</v>
      </c>
      <c r="H1730" s="23">
        <v>39000</v>
      </c>
      <c r="I1730">
        <v>0</v>
      </c>
      <c r="J1730">
        <v>0</v>
      </c>
      <c r="K1730" s="20">
        <f t="shared" si="200"/>
        <v>0</v>
      </c>
      <c r="L1730">
        <v>0</v>
      </c>
      <c r="M1730">
        <v>0</v>
      </c>
      <c r="N1730" s="21">
        <f t="shared" si="201"/>
        <v>0</v>
      </c>
      <c r="O1730">
        <v>0</v>
      </c>
      <c r="P1730">
        <v>0</v>
      </c>
      <c r="Q1730" s="21">
        <f t="shared" si="203"/>
        <v>0</v>
      </c>
      <c r="R1730">
        <v>15</v>
      </c>
      <c r="S1730">
        <v>5</v>
      </c>
      <c r="T1730" s="21">
        <f t="shared" si="204"/>
        <v>2925000</v>
      </c>
      <c r="U1730">
        <v>0</v>
      </c>
      <c r="V1730">
        <v>0</v>
      </c>
      <c r="W1730" s="21">
        <f t="shared" si="205"/>
        <v>0</v>
      </c>
      <c r="X1730">
        <v>0</v>
      </c>
      <c r="Y1730">
        <v>0</v>
      </c>
      <c r="Z1730" s="21">
        <f t="shared" si="206"/>
        <v>0</v>
      </c>
      <c r="AA1730">
        <v>0</v>
      </c>
      <c r="AB1730">
        <v>0</v>
      </c>
      <c r="AC1730" s="21">
        <f t="shared" si="207"/>
        <v>0</v>
      </c>
      <c r="AD1730">
        <v>0</v>
      </c>
      <c r="AE1730">
        <v>0</v>
      </c>
      <c r="AF1730" s="21">
        <f t="shared" si="202"/>
        <v>0</v>
      </c>
    </row>
    <row r="1731" spans="1:32" ht="15" customHeight="1" x14ac:dyDescent="0.3">
      <c r="A1731">
        <v>4</v>
      </c>
      <c r="B1731" s="2" t="s">
        <v>697</v>
      </c>
      <c r="C1731" s="4" t="s">
        <v>692</v>
      </c>
      <c r="D1731" s="3" t="s">
        <v>662</v>
      </c>
      <c r="E1731" s="6" t="s">
        <v>74</v>
      </c>
      <c r="F1731" s="6" t="s">
        <v>153</v>
      </c>
      <c r="G1731" s="6" t="s">
        <v>712</v>
      </c>
      <c r="H1731" s="23">
        <v>214.29</v>
      </c>
      <c r="I1731">
        <v>0</v>
      </c>
      <c r="J1731">
        <v>0</v>
      </c>
      <c r="K1731" s="20">
        <f t="shared" si="200"/>
        <v>0</v>
      </c>
      <c r="L1731">
        <v>0</v>
      </c>
      <c r="M1731">
        <v>0</v>
      </c>
      <c r="N1731" s="21">
        <f t="shared" si="201"/>
        <v>0</v>
      </c>
      <c r="O1731">
        <v>0</v>
      </c>
      <c r="P1731">
        <v>0</v>
      </c>
      <c r="Q1731" s="21">
        <f t="shared" si="203"/>
        <v>0</v>
      </c>
      <c r="R1731">
        <v>4000</v>
      </c>
      <c r="S1731">
        <v>1</v>
      </c>
      <c r="T1731" s="21">
        <f t="shared" si="204"/>
        <v>857160</v>
      </c>
      <c r="U1731">
        <v>0</v>
      </c>
      <c r="V1731">
        <v>0</v>
      </c>
      <c r="W1731" s="21">
        <f t="shared" si="205"/>
        <v>0</v>
      </c>
      <c r="X1731">
        <v>0</v>
      </c>
      <c r="Y1731">
        <v>0</v>
      </c>
      <c r="Z1731" s="21">
        <f t="shared" si="206"/>
        <v>0</v>
      </c>
      <c r="AA1731">
        <v>0</v>
      </c>
      <c r="AB1731">
        <v>0</v>
      </c>
      <c r="AC1731" s="21">
        <f t="shared" si="207"/>
        <v>0</v>
      </c>
      <c r="AD1731">
        <v>0</v>
      </c>
      <c r="AE1731">
        <v>0</v>
      </c>
      <c r="AF1731" s="21">
        <f t="shared" si="202"/>
        <v>0</v>
      </c>
    </row>
    <row r="1732" spans="1:32" ht="15" customHeight="1" x14ac:dyDescent="0.3">
      <c r="A1732">
        <v>4</v>
      </c>
      <c r="B1732" s="2" t="s">
        <v>697</v>
      </c>
      <c r="C1732" s="4" t="s">
        <v>692</v>
      </c>
      <c r="D1732" s="3" t="s">
        <v>662</v>
      </c>
      <c r="E1732" s="6" t="s">
        <v>74</v>
      </c>
      <c r="F1732" s="6" t="s">
        <v>426</v>
      </c>
      <c r="G1732" s="6" t="s">
        <v>709</v>
      </c>
      <c r="H1732" s="23">
        <v>28000</v>
      </c>
      <c r="I1732">
        <v>0</v>
      </c>
      <c r="J1732">
        <v>0</v>
      </c>
      <c r="K1732" s="20">
        <f t="shared" si="200"/>
        <v>0</v>
      </c>
      <c r="L1732">
        <v>0</v>
      </c>
      <c r="M1732">
        <v>0</v>
      </c>
      <c r="N1732" s="21">
        <f t="shared" si="201"/>
        <v>0</v>
      </c>
      <c r="O1732">
        <v>0</v>
      </c>
      <c r="P1732">
        <v>0</v>
      </c>
      <c r="Q1732" s="21">
        <f t="shared" si="203"/>
        <v>0</v>
      </c>
      <c r="R1732">
        <v>30</v>
      </c>
      <c r="S1732">
        <v>1</v>
      </c>
      <c r="T1732" s="21">
        <f t="shared" si="204"/>
        <v>840000</v>
      </c>
      <c r="U1732">
        <v>0</v>
      </c>
      <c r="V1732">
        <v>0</v>
      </c>
      <c r="W1732" s="21">
        <f t="shared" si="205"/>
        <v>0</v>
      </c>
      <c r="X1732">
        <v>0</v>
      </c>
      <c r="Y1732">
        <v>0</v>
      </c>
      <c r="Z1732" s="21">
        <f t="shared" si="206"/>
        <v>0</v>
      </c>
      <c r="AA1732">
        <v>0</v>
      </c>
      <c r="AB1732">
        <v>0</v>
      </c>
      <c r="AC1732" s="21">
        <f t="shared" si="207"/>
        <v>0</v>
      </c>
      <c r="AD1732">
        <v>0</v>
      </c>
      <c r="AE1732">
        <v>0</v>
      </c>
      <c r="AF1732" s="21">
        <f t="shared" si="202"/>
        <v>0</v>
      </c>
    </row>
    <row r="1733" spans="1:32" ht="15" customHeight="1" x14ac:dyDescent="0.3">
      <c r="A1733">
        <v>4</v>
      </c>
      <c r="B1733" s="2" t="s">
        <v>697</v>
      </c>
      <c r="C1733" s="4" t="s">
        <v>692</v>
      </c>
      <c r="D1733" s="3" t="s">
        <v>662</v>
      </c>
      <c r="E1733" s="6" t="s">
        <v>74</v>
      </c>
      <c r="F1733" s="6" t="s">
        <v>427</v>
      </c>
      <c r="G1733" s="6" t="s">
        <v>709</v>
      </c>
      <c r="H1733" s="23">
        <v>28000</v>
      </c>
      <c r="I1733">
        <v>0</v>
      </c>
      <c r="J1733">
        <v>0</v>
      </c>
      <c r="K1733" s="20">
        <f t="shared" si="200"/>
        <v>0</v>
      </c>
      <c r="L1733">
        <v>0</v>
      </c>
      <c r="M1733">
        <v>0</v>
      </c>
      <c r="N1733" s="21">
        <f t="shared" si="201"/>
        <v>0</v>
      </c>
      <c r="O1733">
        <v>0</v>
      </c>
      <c r="P1733">
        <v>0</v>
      </c>
      <c r="Q1733" s="21">
        <f t="shared" si="203"/>
        <v>0</v>
      </c>
      <c r="R1733">
        <v>30</v>
      </c>
      <c r="S1733">
        <v>1</v>
      </c>
      <c r="T1733" s="21">
        <f t="shared" si="204"/>
        <v>840000</v>
      </c>
      <c r="U1733">
        <v>0</v>
      </c>
      <c r="V1733">
        <v>0</v>
      </c>
      <c r="W1733" s="21">
        <f t="shared" si="205"/>
        <v>0</v>
      </c>
      <c r="X1733">
        <v>0</v>
      </c>
      <c r="Y1733">
        <v>0</v>
      </c>
      <c r="Z1733" s="21">
        <f t="shared" si="206"/>
        <v>0</v>
      </c>
      <c r="AA1733">
        <v>0</v>
      </c>
      <c r="AB1733">
        <v>0</v>
      </c>
      <c r="AC1733" s="21">
        <f t="shared" si="207"/>
        <v>0</v>
      </c>
      <c r="AD1733">
        <v>0</v>
      </c>
      <c r="AE1733">
        <v>0</v>
      </c>
      <c r="AF1733" s="21">
        <f t="shared" si="202"/>
        <v>0</v>
      </c>
    </row>
    <row r="1734" spans="1:32" ht="15" customHeight="1" x14ac:dyDescent="0.3">
      <c r="A1734">
        <v>4</v>
      </c>
      <c r="B1734" s="2" t="s">
        <v>697</v>
      </c>
      <c r="C1734" s="4" t="s">
        <v>692</v>
      </c>
      <c r="D1734" s="3" t="s">
        <v>662</v>
      </c>
      <c r="E1734" s="6" t="s">
        <v>74</v>
      </c>
      <c r="F1734" s="6" t="s">
        <v>173</v>
      </c>
      <c r="G1734" s="6" t="s">
        <v>718</v>
      </c>
      <c r="H1734" s="23">
        <v>0</v>
      </c>
      <c r="I1734">
        <v>0</v>
      </c>
      <c r="J1734">
        <v>0</v>
      </c>
      <c r="K1734" s="20">
        <f t="shared" ref="K1734:K1797" si="208">H1734*I1734*J1734</f>
        <v>0</v>
      </c>
      <c r="L1734">
        <v>0</v>
      </c>
      <c r="M1734">
        <v>0</v>
      </c>
      <c r="N1734" s="21">
        <f t="shared" ref="N1734:N1797" si="209">H1734*L1734*M1734</f>
        <v>0</v>
      </c>
      <c r="O1734">
        <v>0</v>
      </c>
      <c r="P1734">
        <v>0</v>
      </c>
      <c r="Q1734" s="21">
        <f t="shared" si="203"/>
        <v>0</v>
      </c>
      <c r="R1734">
        <v>0</v>
      </c>
      <c r="S1734">
        <v>0</v>
      </c>
      <c r="T1734" s="21">
        <f t="shared" si="204"/>
        <v>0</v>
      </c>
      <c r="U1734">
        <v>0</v>
      </c>
      <c r="V1734">
        <v>0</v>
      </c>
      <c r="W1734" s="21">
        <f t="shared" si="205"/>
        <v>0</v>
      </c>
      <c r="X1734">
        <v>0</v>
      </c>
      <c r="Y1734">
        <v>0</v>
      </c>
      <c r="Z1734" s="21">
        <f t="shared" si="206"/>
        <v>0</v>
      </c>
      <c r="AA1734">
        <v>0</v>
      </c>
      <c r="AB1734">
        <v>0</v>
      </c>
      <c r="AC1734" s="21">
        <f t="shared" si="207"/>
        <v>0</v>
      </c>
      <c r="AD1734">
        <v>0</v>
      </c>
      <c r="AE1734">
        <v>0</v>
      </c>
      <c r="AF1734" s="21">
        <f t="shared" ref="AF1734:AF1797" si="210">H1734*AD1734*AE1734</f>
        <v>0</v>
      </c>
    </row>
    <row r="1735" spans="1:32" ht="15" customHeight="1" x14ac:dyDescent="0.3">
      <c r="A1735">
        <v>4</v>
      </c>
      <c r="B1735" s="2" t="s">
        <v>697</v>
      </c>
      <c r="C1735" s="4" t="s">
        <v>692</v>
      </c>
      <c r="D1735" s="3" t="s">
        <v>662</v>
      </c>
      <c r="E1735" s="6" t="s">
        <v>74</v>
      </c>
      <c r="F1735" s="6" t="s">
        <v>156</v>
      </c>
      <c r="G1735" s="6" t="s">
        <v>711</v>
      </c>
      <c r="H1735" s="23">
        <v>70</v>
      </c>
      <c r="I1735">
        <v>0</v>
      </c>
      <c r="J1735">
        <v>0</v>
      </c>
      <c r="K1735" s="20">
        <f t="shared" si="208"/>
        <v>0</v>
      </c>
      <c r="L1735">
        <v>0</v>
      </c>
      <c r="M1735">
        <v>0</v>
      </c>
      <c r="N1735" s="21">
        <f t="shared" si="209"/>
        <v>0</v>
      </c>
      <c r="O1735">
        <v>0</v>
      </c>
      <c r="P1735">
        <v>0</v>
      </c>
      <c r="Q1735" s="21">
        <f t="shared" si="203"/>
        <v>0</v>
      </c>
      <c r="R1735">
        <v>50000</v>
      </c>
      <c r="S1735">
        <v>1</v>
      </c>
      <c r="T1735" s="21">
        <f t="shared" si="204"/>
        <v>3500000</v>
      </c>
      <c r="U1735">
        <v>0</v>
      </c>
      <c r="V1735">
        <v>0</v>
      </c>
      <c r="W1735" s="21">
        <f t="shared" si="205"/>
        <v>0</v>
      </c>
      <c r="X1735">
        <v>0</v>
      </c>
      <c r="Y1735">
        <v>0</v>
      </c>
      <c r="Z1735" s="21">
        <f t="shared" si="206"/>
        <v>0</v>
      </c>
      <c r="AA1735">
        <v>0</v>
      </c>
      <c r="AB1735">
        <v>0</v>
      </c>
      <c r="AC1735" s="21">
        <f t="shared" si="207"/>
        <v>0</v>
      </c>
      <c r="AD1735">
        <v>0</v>
      </c>
      <c r="AE1735">
        <v>0</v>
      </c>
      <c r="AF1735" s="21">
        <f t="shared" si="210"/>
        <v>0</v>
      </c>
    </row>
    <row r="1736" spans="1:32" ht="15" customHeight="1" x14ac:dyDescent="0.3">
      <c r="A1736">
        <v>4</v>
      </c>
      <c r="B1736" s="2" t="s">
        <v>697</v>
      </c>
      <c r="C1736" s="4" t="s">
        <v>692</v>
      </c>
      <c r="D1736" s="3" t="s">
        <v>662</v>
      </c>
      <c r="E1736" s="6" t="s">
        <v>74</v>
      </c>
      <c r="F1736" s="6" t="s">
        <v>156</v>
      </c>
      <c r="G1736" s="6" t="s">
        <v>710</v>
      </c>
      <c r="H1736" s="23">
        <v>104850</v>
      </c>
      <c r="I1736">
        <v>0</v>
      </c>
      <c r="J1736">
        <v>0</v>
      </c>
      <c r="K1736" s="20">
        <f t="shared" si="208"/>
        <v>0</v>
      </c>
      <c r="L1736">
        <v>0</v>
      </c>
      <c r="M1736">
        <v>0</v>
      </c>
      <c r="N1736" s="21">
        <f t="shared" si="209"/>
        <v>0</v>
      </c>
      <c r="O1736">
        <v>0</v>
      </c>
      <c r="P1736">
        <v>0</v>
      </c>
      <c r="Q1736" s="21">
        <f t="shared" si="203"/>
        <v>0</v>
      </c>
      <c r="R1736">
        <v>5</v>
      </c>
      <c r="S1736">
        <v>1</v>
      </c>
      <c r="T1736" s="21">
        <f t="shared" si="204"/>
        <v>524250</v>
      </c>
      <c r="U1736">
        <v>0</v>
      </c>
      <c r="V1736">
        <v>0</v>
      </c>
      <c r="W1736" s="21">
        <f t="shared" si="205"/>
        <v>0</v>
      </c>
      <c r="X1736">
        <v>0</v>
      </c>
      <c r="Y1736">
        <v>0</v>
      </c>
      <c r="Z1736" s="21">
        <f t="shared" si="206"/>
        <v>0</v>
      </c>
      <c r="AA1736">
        <v>0</v>
      </c>
      <c r="AB1736">
        <v>0</v>
      </c>
      <c r="AC1736" s="21">
        <f t="shared" si="207"/>
        <v>0</v>
      </c>
      <c r="AD1736">
        <v>0</v>
      </c>
      <c r="AE1736">
        <v>0</v>
      </c>
      <c r="AF1736" s="21">
        <f t="shared" si="210"/>
        <v>0</v>
      </c>
    </row>
    <row r="1737" spans="1:32" ht="15" customHeight="1" x14ac:dyDescent="0.3">
      <c r="A1737">
        <v>4</v>
      </c>
      <c r="B1737" s="2" t="s">
        <v>697</v>
      </c>
      <c r="C1737" s="4" t="s">
        <v>692</v>
      </c>
      <c r="D1737" s="3" t="s">
        <v>662</v>
      </c>
      <c r="E1737" s="6" t="s">
        <v>75</v>
      </c>
      <c r="F1737" s="6" t="s">
        <v>428</v>
      </c>
      <c r="G1737" s="6" t="s">
        <v>718</v>
      </c>
      <c r="H1737" s="23">
        <v>0</v>
      </c>
      <c r="I1737">
        <v>0</v>
      </c>
      <c r="J1737">
        <v>0</v>
      </c>
      <c r="K1737" s="20">
        <f t="shared" si="208"/>
        <v>0</v>
      </c>
      <c r="L1737">
        <v>0</v>
      </c>
      <c r="M1737">
        <v>0</v>
      </c>
      <c r="N1737" s="21">
        <f t="shared" si="209"/>
        <v>0</v>
      </c>
      <c r="O1737">
        <v>0</v>
      </c>
      <c r="P1737">
        <v>0</v>
      </c>
      <c r="Q1737" s="21">
        <f t="shared" si="203"/>
        <v>0</v>
      </c>
      <c r="R1737">
        <v>0</v>
      </c>
      <c r="S1737">
        <v>0</v>
      </c>
      <c r="T1737" s="21">
        <f t="shared" si="204"/>
        <v>0</v>
      </c>
      <c r="U1737">
        <v>0</v>
      </c>
      <c r="V1737">
        <v>0</v>
      </c>
      <c r="W1737" s="21">
        <f t="shared" si="205"/>
        <v>0</v>
      </c>
      <c r="X1737">
        <v>0</v>
      </c>
      <c r="Y1737">
        <v>0</v>
      </c>
      <c r="Z1737" s="21">
        <f t="shared" si="206"/>
        <v>0</v>
      </c>
      <c r="AA1737">
        <v>0</v>
      </c>
      <c r="AB1737">
        <v>0</v>
      </c>
      <c r="AC1737" s="21">
        <f t="shared" si="207"/>
        <v>0</v>
      </c>
      <c r="AD1737">
        <v>0</v>
      </c>
      <c r="AE1737">
        <v>0</v>
      </c>
      <c r="AF1737" s="21">
        <f t="shared" si="210"/>
        <v>0</v>
      </c>
    </row>
    <row r="1738" spans="1:32" ht="15" customHeight="1" x14ac:dyDescent="0.3">
      <c r="A1738">
        <v>4</v>
      </c>
      <c r="B1738" s="2" t="s">
        <v>697</v>
      </c>
      <c r="C1738" s="4" t="s">
        <v>692</v>
      </c>
      <c r="D1738" s="3" t="s">
        <v>662</v>
      </c>
      <c r="E1738" s="6" t="s">
        <v>75</v>
      </c>
      <c r="F1738" s="6" t="s">
        <v>429</v>
      </c>
      <c r="G1738" s="6" t="s">
        <v>718</v>
      </c>
      <c r="H1738" s="23">
        <v>0</v>
      </c>
      <c r="I1738">
        <v>0</v>
      </c>
      <c r="J1738">
        <v>0</v>
      </c>
      <c r="K1738" s="20">
        <f t="shared" si="208"/>
        <v>0</v>
      </c>
      <c r="L1738">
        <v>0</v>
      </c>
      <c r="M1738">
        <v>0</v>
      </c>
      <c r="N1738" s="21">
        <f t="shared" si="209"/>
        <v>0</v>
      </c>
      <c r="O1738">
        <v>0</v>
      </c>
      <c r="P1738">
        <v>0</v>
      </c>
      <c r="Q1738" s="21">
        <f t="shared" si="203"/>
        <v>0</v>
      </c>
      <c r="R1738">
        <v>0</v>
      </c>
      <c r="S1738">
        <v>0</v>
      </c>
      <c r="T1738" s="21">
        <f t="shared" si="204"/>
        <v>0</v>
      </c>
      <c r="U1738">
        <v>0</v>
      </c>
      <c r="V1738">
        <v>0</v>
      </c>
      <c r="W1738" s="21">
        <f t="shared" si="205"/>
        <v>0</v>
      </c>
      <c r="X1738">
        <v>0</v>
      </c>
      <c r="Y1738">
        <v>0</v>
      </c>
      <c r="Z1738" s="21">
        <f t="shared" si="206"/>
        <v>0</v>
      </c>
      <c r="AA1738">
        <v>0</v>
      </c>
      <c r="AB1738">
        <v>0</v>
      </c>
      <c r="AC1738" s="21">
        <f t="shared" si="207"/>
        <v>0</v>
      </c>
      <c r="AD1738">
        <v>0</v>
      </c>
      <c r="AE1738">
        <v>0</v>
      </c>
      <c r="AF1738" s="21">
        <f t="shared" si="210"/>
        <v>0</v>
      </c>
    </row>
    <row r="1739" spans="1:32" ht="15" customHeight="1" x14ac:dyDescent="0.3">
      <c r="A1739">
        <v>4</v>
      </c>
      <c r="B1739" s="2" t="s">
        <v>697</v>
      </c>
      <c r="C1739" s="4" t="s">
        <v>692</v>
      </c>
      <c r="D1739" s="3" t="s">
        <v>662</v>
      </c>
      <c r="E1739" s="6" t="s">
        <v>75</v>
      </c>
      <c r="F1739" s="6" t="s">
        <v>161</v>
      </c>
      <c r="G1739" s="6" t="s">
        <v>709</v>
      </c>
      <c r="H1739" s="23">
        <v>28000</v>
      </c>
      <c r="I1739">
        <v>0</v>
      </c>
      <c r="J1739">
        <v>0</v>
      </c>
      <c r="K1739" s="20">
        <f t="shared" si="208"/>
        <v>0</v>
      </c>
      <c r="L1739">
        <v>0</v>
      </c>
      <c r="M1739">
        <v>0</v>
      </c>
      <c r="N1739" s="21">
        <f t="shared" si="209"/>
        <v>0</v>
      </c>
      <c r="O1739">
        <v>0</v>
      </c>
      <c r="P1739">
        <v>0</v>
      </c>
      <c r="Q1739" s="21">
        <f t="shared" si="203"/>
        <v>0</v>
      </c>
      <c r="R1739">
        <v>0</v>
      </c>
      <c r="S1739">
        <v>0</v>
      </c>
      <c r="T1739" s="21">
        <f t="shared" si="204"/>
        <v>0</v>
      </c>
      <c r="U1739">
        <v>30</v>
      </c>
      <c r="V1739">
        <v>5</v>
      </c>
      <c r="W1739" s="21">
        <f t="shared" si="205"/>
        <v>4200000</v>
      </c>
      <c r="X1739">
        <v>0</v>
      </c>
      <c r="Y1739">
        <v>0</v>
      </c>
      <c r="Z1739" s="21">
        <f t="shared" si="206"/>
        <v>0</v>
      </c>
      <c r="AA1739">
        <v>0</v>
      </c>
      <c r="AB1739">
        <v>0</v>
      </c>
      <c r="AC1739" s="21">
        <f t="shared" si="207"/>
        <v>0</v>
      </c>
      <c r="AD1739">
        <v>0</v>
      </c>
      <c r="AE1739">
        <v>0</v>
      </c>
      <c r="AF1739" s="21">
        <f t="shared" si="210"/>
        <v>0</v>
      </c>
    </row>
    <row r="1740" spans="1:32" ht="15" customHeight="1" x14ac:dyDescent="0.3">
      <c r="A1740">
        <v>4</v>
      </c>
      <c r="B1740" s="2" t="s">
        <v>697</v>
      </c>
      <c r="C1740" s="4" t="s">
        <v>692</v>
      </c>
      <c r="D1740" s="3" t="s">
        <v>662</v>
      </c>
      <c r="E1740" s="6" t="s">
        <v>75</v>
      </c>
      <c r="F1740" s="6" t="s">
        <v>161</v>
      </c>
      <c r="G1740" s="6" t="s">
        <v>709</v>
      </c>
      <c r="H1740" s="23">
        <v>28000</v>
      </c>
      <c r="I1740">
        <v>0</v>
      </c>
      <c r="J1740">
        <v>0</v>
      </c>
      <c r="K1740" s="20">
        <f t="shared" si="208"/>
        <v>0</v>
      </c>
      <c r="L1740">
        <v>0</v>
      </c>
      <c r="M1740">
        <v>0</v>
      </c>
      <c r="N1740" s="21">
        <f t="shared" si="209"/>
        <v>0</v>
      </c>
      <c r="O1740">
        <v>0</v>
      </c>
      <c r="P1740">
        <v>0</v>
      </c>
      <c r="Q1740" s="21">
        <f t="shared" si="203"/>
        <v>0</v>
      </c>
      <c r="R1740">
        <v>0</v>
      </c>
      <c r="S1740">
        <v>0</v>
      </c>
      <c r="T1740" s="21">
        <f t="shared" si="204"/>
        <v>0</v>
      </c>
      <c r="U1740">
        <v>80</v>
      </c>
      <c r="V1740">
        <v>5</v>
      </c>
      <c r="W1740" s="21">
        <f t="shared" si="205"/>
        <v>11200000</v>
      </c>
      <c r="X1740">
        <v>0</v>
      </c>
      <c r="Y1740">
        <v>0</v>
      </c>
      <c r="Z1740" s="21">
        <f t="shared" si="206"/>
        <v>0</v>
      </c>
      <c r="AA1740">
        <v>0</v>
      </c>
      <c r="AB1740">
        <v>0</v>
      </c>
      <c r="AC1740" s="21">
        <f t="shared" si="207"/>
        <v>0</v>
      </c>
      <c r="AD1740">
        <v>0</v>
      </c>
      <c r="AE1740">
        <v>0</v>
      </c>
      <c r="AF1740" s="21">
        <f t="shared" si="210"/>
        <v>0</v>
      </c>
    </row>
    <row r="1741" spans="1:32" ht="15" customHeight="1" x14ac:dyDescent="0.3">
      <c r="A1741">
        <v>4</v>
      </c>
      <c r="B1741" s="2" t="s">
        <v>697</v>
      </c>
      <c r="C1741" s="4" t="s">
        <v>692</v>
      </c>
      <c r="D1741" s="3" t="s">
        <v>662</v>
      </c>
      <c r="E1741" s="6" t="s">
        <v>75</v>
      </c>
      <c r="F1741" s="6" t="s">
        <v>161</v>
      </c>
      <c r="G1741" s="6" t="s">
        <v>712</v>
      </c>
      <c r="H1741" s="23">
        <v>214.29</v>
      </c>
      <c r="I1741">
        <v>0</v>
      </c>
      <c r="J1741">
        <v>0</v>
      </c>
      <c r="K1741" s="20">
        <f t="shared" si="208"/>
        <v>0</v>
      </c>
      <c r="L1741">
        <v>0</v>
      </c>
      <c r="M1741">
        <v>0</v>
      </c>
      <c r="N1741" s="21">
        <f t="shared" si="209"/>
        <v>0</v>
      </c>
      <c r="O1741">
        <v>0</v>
      </c>
      <c r="P1741">
        <v>0</v>
      </c>
      <c r="Q1741" s="21">
        <f t="shared" si="203"/>
        <v>0</v>
      </c>
      <c r="R1741">
        <v>0</v>
      </c>
      <c r="S1741">
        <v>0</v>
      </c>
      <c r="T1741" s="21">
        <f t="shared" si="204"/>
        <v>0</v>
      </c>
      <c r="U1741">
        <v>20000</v>
      </c>
      <c r="V1741">
        <v>1</v>
      </c>
      <c r="W1741" s="21">
        <f t="shared" si="205"/>
        <v>4285800</v>
      </c>
      <c r="X1741">
        <v>0</v>
      </c>
      <c r="Y1741">
        <v>0</v>
      </c>
      <c r="Z1741" s="21">
        <f t="shared" si="206"/>
        <v>0</v>
      </c>
      <c r="AA1741">
        <v>0</v>
      </c>
      <c r="AB1741">
        <v>0</v>
      </c>
      <c r="AC1741" s="21">
        <f t="shared" si="207"/>
        <v>0</v>
      </c>
      <c r="AD1741">
        <v>0</v>
      </c>
      <c r="AE1741">
        <v>0</v>
      </c>
      <c r="AF1741" s="21">
        <f t="shared" si="210"/>
        <v>0</v>
      </c>
    </row>
    <row r="1742" spans="1:32" ht="15" customHeight="1" x14ac:dyDescent="0.3">
      <c r="A1742">
        <v>4</v>
      </c>
      <c r="B1742" s="2" t="s">
        <v>697</v>
      </c>
      <c r="C1742" s="4" t="s">
        <v>692</v>
      </c>
      <c r="D1742" s="3" t="s">
        <v>662</v>
      </c>
      <c r="E1742" s="6" t="s">
        <v>75</v>
      </c>
      <c r="F1742" s="6" t="s">
        <v>161</v>
      </c>
      <c r="G1742" s="6" t="s">
        <v>716</v>
      </c>
      <c r="H1742" s="23">
        <v>39000</v>
      </c>
      <c r="I1742">
        <v>0</v>
      </c>
      <c r="J1742">
        <v>0</v>
      </c>
      <c r="K1742" s="20">
        <f t="shared" si="208"/>
        <v>0</v>
      </c>
      <c r="L1742">
        <v>0</v>
      </c>
      <c r="M1742">
        <v>0</v>
      </c>
      <c r="N1742" s="21">
        <f t="shared" si="209"/>
        <v>0</v>
      </c>
      <c r="O1742">
        <v>0</v>
      </c>
      <c r="P1742">
        <v>0</v>
      </c>
      <c r="Q1742" s="21">
        <f t="shared" si="203"/>
        <v>0</v>
      </c>
      <c r="R1742">
        <v>0</v>
      </c>
      <c r="S1742">
        <v>0</v>
      </c>
      <c r="T1742" s="21">
        <f t="shared" si="204"/>
        <v>0</v>
      </c>
      <c r="U1742">
        <v>80</v>
      </c>
      <c r="V1742">
        <v>5</v>
      </c>
      <c r="W1742" s="21">
        <f t="shared" si="205"/>
        <v>15600000</v>
      </c>
      <c r="X1742">
        <v>0</v>
      </c>
      <c r="Y1742">
        <v>0</v>
      </c>
      <c r="Z1742" s="21">
        <f t="shared" si="206"/>
        <v>0</v>
      </c>
      <c r="AA1742">
        <v>0</v>
      </c>
      <c r="AB1742">
        <v>0</v>
      </c>
      <c r="AC1742" s="21">
        <f t="shared" si="207"/>
        <v>0</v>
      </c>
      <c r="AD1742">
        <v>0</v>
      </c>
      <c r="AE1742">
        <v>0</v>
      </c>
      <c r="AF1742" s="21">
        <f t="shared" si="210"/>
        <v>0</v>
      </c>
    </row>
    <row r="1743" spans="1:32" ht="15" customHeight="1" x14ac:dyDescent="0.3">
      <c r="A1743">
        <v>4</v>
      </c>
      <c r="B1743" s="2" t="s">
        <v>697</v>
      </c>
      <c r="C1743" s="4" t="s">
        <v>692</v>
      </c>
      <c r="D1743" s="3" t="s">
        <v>662</v>
      </c>
      <c r="E1743" s="6" t="s">
        <v>76</v>
      </c>
      <c r="F1743" s="6" t="s">
        <v>430</v>
      </c>
      <c r="G1743" s="6" t="s">
        <v>718</v>
      </c>
      <c r="H1743" s="23">
        <v>0</v>
      </c>
      <c r="I1743">
        <v>0</v>
      </c>
      <c r="J1743">
        <v>0</v>
      </c>
      <c r="K1743" s="20">
        <f t="shared" si="208"/>
        <v>0</v>
      </c>
      <c r="L1743">
        <v>0</v>
      </c>
      <c r="M1743">
        <v>0</v>
      </c>
      <c r="N1743" s="21">
        <f t="shared" si="209"/>
        <v>0</v>
      </c>
      <c r="O1743">
        <v>0</v>
      </c>
      <c r="P1743">
        <v>0</v>
      </c>
      <c r="Q1743" s="21">
        <f t="shared" si="203"/>
        <v>0</v>
      </c>
      <c r="R1743">
        <v>0</v>
      </c>
      <c r="S1743">
        <v>0</v>
      </c>
      <c r="T1743" s="21">
        <f t="shared" si="204"/>
        <v>0</v>
      </c>
      <c r="U1743">
        <v>0</v>
      </c>
      <c r="V1743">
        <v>0</v>
      </c>
      <c r="W1743" s="21">
        <f t="shared" si="205"/>
        <v>0</v>
      </c>
      <c r="X1743">
        <v>0</v>
      </c>
      <c r="Y1743">
        <v>0</v>
      </c>
      <c r="Z1743" s="21">
        <f t="shared" si="206"/>
        <v>0</v>
      </c>
      <c r="AA1743">
        <v>0</v>
      </c>
      <c r="AB1743">
        <v>0</v>
      </c>
      <c r="AC1743" s="21">
        <f t="shared" si="207"/>
        <v>0</v>
      </c>
      <c r="AD1743">
        <v>0</v>
      </c>
      <c r="AE1743">
        <v>0</v>
      </c>
      <c r="AF1743" s="21">
        <f t="shared" si="210"/>
        <v>0</v>
      </c>
    </row>
    <row r="1744" spans="1:32" ht="15" customHeight="1" x14ac:dyDescent="0.3">
      <c r="A1744">
        <v>4</v>
      </c>
      <c r="B1744" s="2" t="s">
        <v>697</v>
      </c>
      <c r="C1744" s="4" t="s">
        <v>692</v>
      </c>
      <c r="D1744" s="3" t="s">
        <v>662</v>
      </c>
      <c r="E1744" s="6" t="s">
        <v>76</v>
      </c>
      <c r="F1744" s="6" t="s">
        <v>149</v>
      </c>
      <c r="G1744" s="6" t="s">
        <v>707</v>
      </c>
      <c r="H1744" s="23">
        <v>391991.03749999998</v>
      </c>
      <c r="I1744">
        <v>0</v>
      </c>
      <c r="J1744">
        <v>0</v>
      </c>
      <c r="K1744" s="20">
        <f t="shared" si="208"/>
        <v>0</v>
      </c>
      <c r="L1744">
        <v>0</v>
      </c>
      <c r="M1744">
        <v>0</v>
      </c>
      <c r="N1744" s="21">
        <f t="shared" si="209"/>
        <v>0</v>
      </c>
      <c r="O1744">
        <v>0</v>
      </c>
      <c r="P1744">
        <v>0</v>
      </c>
      <c r="Q1744" s="21">
        <f t="shared" si="203"/>
        <v>0</v>
      </c>
      <c r="R1744">
        <v>1</v>
      </c>
      <c r="S1744">
        <v>6</v>
      </c>
      <c r="T1744" s="21">
        <f t="shared" si="204"/>
        <v>2351946.2249999996</v>
      </c>
      <c r="U1744">
        <v>0</v>
      </c>
      <c r="V1744">
        <v>0</v>
      </c>
      <c r="W1744" s="21">
        <f t="shared" si="205"/>
        <v>0</v>
      </c>
      <c r="X1744">
        <v>0</v>
      </c>
      <c r="Y1744">
        <v>0</v>
      </c>
      <c r="Z1744" s="21">
        <f t="shared" si="206"/>
        <v>0</v>
      </c>
      <c r="AA1744">
        <v>0</v>
      </c>
      <c r="AB1744">
        <v>0</v>
      </c>
      <c r="AC1744" s="21">
        <f t="shared" si="207"/>
        <v>0</v>
      </c>
      <c r="AD1744">
        <v>0</v>
      </c>
      <c r="AE1744">
        <v>0</v>
      </c>
      <c r="AF1744" s="21">
        <f t="shared" si="210"/>
        <v>0</v>
      </c>
    </row>
    <row r="1745" spans="1:32" ht="15" customHeight="1" x14ac:dyDescent="0.3">
      <c r="A1745">
        <v>4</v>
      </c>
      <c r="B1745" s="2" t="s">
        <v>697</v>
      </c>
      <c r="C1745" s="4" t="s">
        <v>692</v>
      </c>
      <c r="D1745" s="3" t="s">
        <v>662</v>
      </c>
      <c r="E1745" s="6" t="s">
        <v>76</v>
      </c>
      <c r="F1745" s="6" t="s">
        <v>149</v>
      </c>
      <c r="G1745" s="6" t="s">
        <v>708</v>
      </c>
      <c r="H1745" s="23">
        <v>425000</v>
      </c>
      <c r="I1745">
        <v>0</v>
      </c>
      <c r="J1745">
        <v>0</v>
      </c>
      <c r="K1745" s="20">
        <f t="shared" si="208"/>
        <v>0</v>
      </c>
      <c r="L1745">
        <v>0</v>
      </c>
      <c r="M1745">
        <v>0</v>
      </c>
      <c r="N1745" s="21">
        <f t="shared" si="209"/>
        <v>0</v>
      </c>
      <c r="O1745">
        <v>0</v>
      </c>
      <c r="P1745">
        <v>0</v>
      </c>
      <c r="Q1745" s="21">
        <f t="shared" si="203"/>
        <v>0</v>
      </c>
      <c r="R1745">
        <v>1</v>
      </c>
      <c r="S1745">
        <v>40</v>
      </c>
      <c r="T1745" s="21">
        <f t="shared" si="204"/>
        <v>17000000</v>
      </c>
      <c r="U1745">
        <v>0</v>
      </c>
      <c r="V1745">
        <v>0</v>
      </c>
      <c r="W1745" s="21">
        <f t="shared" si="205"/>
        <v>0</v>
      </c>
      <c r="X1745">
        <v>0</v>
      </c>
      <c r="Y1745">
        <v>0</v>
      </c>
      <c r="Z1745" s="21">
        <f t="shared" si="206"/>
        <v>0</v>
      </c>
      <c r="AA1745">
        <v>0</v>
      </c>
      <c r="AB1745">
        <v>0</v>
      </c>
      <c r="AC1745" s="21">
        <f t="shared" si="207"/>
        <v>0</v>
      </c>
      <c r="AD1745">
        <v>0</v>
      </c>
      <c r="AE1745">
        <v>0</v>
      </c>
      <c r="AF1745" s="21">
        <f t="shared" si="210"/>
        <v>0</v>
      </c>
    </row>
    <row r="1746" spans="1:32" ht="15" customHeight="1" x14ac:dyDescent="0.3">
      <c r="A1746">
        <v>4</v>
      </c>
      <c r="B1746" s="2" t="s">
        <v>697</v>
      </c>
      <c r="C1746" s="4" t="s">
        <v>692</v>
      </c>
      <c r="D1746" s="3" t="s">
        <v>662</v>
      </c>
      <c r="E1746" s="6" t="s">
        <v>76</v>
      </c>
      <c r="F1746" s="6" t="s">
        <v>431</v>
      </c>
      <c r="G1746" s="6" t="s">
        <v>709</v>
      </c>
      <c r="H1746" s="23">
        <v>28000</v>
      </c>
      <c r="I1746">
        <v>0</v>
      </c>
      <c r="J1746">
        <v>0</v>
      </c>
      <c r="K1746" s="20">
        <f t="shared" si="208"/>
        <v>0</v>
      </c>
      <c r="L1746">
        <v>0</v>
      </c>
      <c r="M1746">
        <v>0</v>
      </c>
      <c r="N1746" s="21">
        <f t="shared" si="209"/>
        <v>0</v>
      </c>
      <c r="O1746">
        <v>0</v>
      </c>
      <c r="P1746">
        <v>0</v>
      </c>
      <c r="Q1746" s="21">
        <f t="shared" si="203"/>
        <v>0</v>
      </c>
      <c r="R1746">
        <v>30</v>
      </c>
      <c r="S1746">
        <v>1</v>
      </c>
      <c r="T1746" s="21">
        <f t="shared" si="204"/>
        <v>840000</v>
      </c>
      <c r="U1746">
        <v>0</v>
      </c>
      <c r="V1746">
        <v>0</v>
      </c>
      <c r="W1746" s="21">
        <f t="shared" si="205"/>
        <v>0</v>
      </c>
      <c r="X1746">
        <v>0</v>
      </c>
      <c r="Y1746">
        <v>0</v>
      </c>
      <c r="Z1746" s="21">
        <f t="shared" si="206"/>
        <v>0</v>
      </c>
      <c r="AA1746">
        <v>0</v>
      </c>
      <c r="AB1746">
        <v>0</v>
      </c>
      <c r="AC1746" s="21">
        <f t="shared" si="207"/>
        <v>0</v>
      </c>
      <c r="AD1746">
        <v>0</v>
      </c>
      <c r="AE1746">
        <v>0</v>
      </c>
      <c r="AF1746" s="21">
        <f t="shared" si="210"/>
        <v>0</v>
      </c>
    </row>
    <row r="1747" spans="1:32" ht="15" customHeight="1" x14ac:dyDescent="0.3">
      <c r="A1747">
        <v>4</v>
      </c>
      <c r="B1747" s="2" t="s">
        <v>697</v>
      </c>
      <c r="C1747" s="4" t="s">
        <v>692</v>
      </c>
      <c r="D1747" s="3" t="s">
        <v>662</v>
      </c>
      <c r="E1747" s="6" t="s">
        <v>76</v>
      </c>
      <c r="F1747" s="6" t="s">
        <v>154</v>
      </c>
      <c r="G1747" s="6" t="s">
        <v>709</v>
      </c>
      <c r="H1747" s="23">
        <v>28000</v>
      </c>
      <c r="I1747">
        <v>0</v>
      </c>
      <c r="J1747">
        <v>0</v>
      </c>
      <c r="K1747" s="20">
        <f t="shared" si="208"/>
        <v>0</v>
      </c>
      <c r="L1747">
        <v>0</v>
      </c>
      <c r="M1747">
        <v>0</v>
      </c>
      <c r="N1747" s="21">
        <f t="shared" si="209"/>
        <v>0</v>
      </c>
      <c r="O1747">
        <v>0</v>
      </c>
      <c r="P1747">
        <v>0</v>
      </c>
      <c r="Q1747" s="21">
        <f t="shared" si="203"/>
        <v>0</v>
      </c>
      <c r="R1747">
        <v>80</v>
      </c>
      <c r="S1747">
        <v>1</v>
      </c>
      <c r="T1747" s="21">
        <f t="shared" si="204"/>
        <v>2240000</v>
      </c>
      <c r="U1747">
        <v>0</v>
      </c>
      <c r="V1747">
        <v>0</v>
      </c>
      <c r="W1747" s="21">
        <f t="shared" si="205"/>
        <v>0</v>
      </c>
      <c r="X1747">
        <v>0</v>
      </c>
      <c r="Y1747">
        <v>0</v>
      </c>
      <c r="Z1747" s="21">
        <f t="shared" si="206"/>
        <v>0</v>
      </c>
      <c r="AA1747">
        <v>0</v>
      </c>
      <c r="AB1747">
        <v>0</v>
      </c>
      <c r="AC1747" s="21">
        <f t="shared" si="207"/>
        <v>0</v>
      </c>
      <c r="AD1747">
        <v>0</v>
      </c>
      <c r="AE1747">
        <v>0</v>
      </c>
      <c r="AF1747" s="21">
        <f t="shared" si="210"/>
        <v>0</v>
      </c>
    </row>
    <row r="1748" spans="1:32" ht="15" customHeight="1" x14ac:dyDescent="0.3">
      <c r="A1748">
        <v>4</v>
      </c>
      <c r="B1748" s="2" t="s">
        <v>697</v>
      </c>
      <c r="C1748" s="4" t="s">
        <v>692</v>
      </c>
      <c r="D1748" s="3" t="s">
        <v>662</v>
      </c>
      <c r="E1748" s="6" t="s">
        <v>76</v>
      </c>
      <c r="F1748" s="6" t="s">
        <v>154</v>
      </c>
      <c r="G1748" s="6" t="s">
        <v>716</v>
      </c>
      <c r="H1748" s="23">
        <v>39000</v>
      </c>
      <c r="I1748">
        <v>0</v>
      </c>
      <c r="J1748">
        <v>0</v>
      </c>
      <c r="K1748" s="20">
        <f t="shared" si="208"/>
        <v>0</v>
      </c>
      <c r="L1748">
        <v>0</v>
      </c>
      <c r="M1748">
        <v>0</v>
      </c>
      <c r="N1748" s="21">
        <f t="shared" si="209"/>
        <v>0</v>
      </c>
      <c r="O1748">
        <v>0</v>
      </c>
      <c r="P1748">
        <v>0</v>
      </c>
      <c r="Q1748" s="21">
        <f t="shared" si="203"/>
        <v>0</v>
      </c>
      <c r="R1748">
        <v>40</v>
      </c>
      <c r="S1748">
        <v>1</v>
      </c>
      <c r="T1748" s="21">
        <f t="shared" si="204"/>
        <v>1560000</v>
      </c>
      <c r="U1748">
        <v>0</v>
      </c>
      <c r="V1748">
        <v>0</v>
      </c>
      <c r="W1748" s="21">
        <f t="shared" si="205"/>
        <v>0</v>
      </c>
      <c r="X1748">
        <v>0</v>
      </c>
      <c r="Y1748">
        <v>0</v>
      </c>
      <c r="Z1748" s="21">
        <f t="shared" si="206"/>
        <v>0</v>
      </c>
      <c r="AA1748">
        <v>0</v>
      </c>
      <c r="AB1748">
        <v>0</v>
      </c>
      <c r="AC1748" s="21">
        <f t="shared" si="207"/>
        <v>0</v>
      </c>
      <c r="AD1748">
        <v>0</v>
      </c>
      <c r="AE1748">
        <v>0</v>
      </c>
      <c r="AF1748" s="21">
        <f t="shared" si="210"/>
        <v>0</v>
      </c>
    </row>
    <row r="1749" spans="1:32" ht="15" customHeight="1" x14ac:dyDescent="0.3">
      <c r="A1749">
        <v>4</v>
      </c>
      <c r="B1749" s="2" t="s">
        <v>697</v>
      </c>
      <c r="C1749" s="4" t="s">
        <v>692</v>
      </c>
      <c r="D1749" s="3" t="s">
        <v>662</v>
      </c>
      <c r="E1749" s="6" t="s">
        <v>76</v>
      </c>
      <c r="F1749" s="6" t="s">
        <v>154</v>
      </c>
      <c r="G1749" s="6" t="s">
        <v>712</v>
      </c>
      <c r="H1749" s="23">
        <v>214.29</v>
      </c>
      <c r="I1749">
        <v>0</v>
      </c>
      <c r="J1749">
        <v>0</v>
      </c>
      <c r="K1749" s="20">
        <f t="shared" si="208"/>
        <v>0</v>
      </c>
      <c r="L1749">
        <v>0</v>
      </c>
      <c r="M1749">
        <v>0</v>
      </c>
      <c r="N1749" s="21">
        <f t="shared" si="209"/>
        <v>0</v>
      </c>
      <c r="O1749">
        <v>0</v>
      </c>
      <c r="P1749">
        <v>0</v>
      </c>
      <c r="Q1749" s="21">
        <f t="shared" si="203"/>
        <v>0</v>
      </c>
      <c r="R1749">
        <v>10000</v>
      </c>
      <c r="S1749">
        <v>1</v>
      </c>
      <c r="T1749" s="21">
        <f t="shared" si="204"/>
        <v>2142900</v>
      </c>
      <c r="U1749">
        <v>0</v>
      </c>
      <c r="V1749">
        <v>0</v>
      </c>
      <c r="W1749" s="21">
        <f t="shared" si="205"/>
        <v>0</v>
      </c>
      <c r="X1749">
        <v>0</v>
      </c>
      <c r="Y1749">
        <v>0</v>
      </c>
      <c r="Z1749" s="21">
        <f t="shared" si="206"/>
        <v>0</v>
      </c>
      <c r="AA1749">
        <v>0</v>
      </c>
      <c r="AB1749">
        <v>0</v>
      </c>
      <c r="AC1749" s="21">
        <f t="shared" si="207"/>
        <v>0</v>
      </c>
      <c r="AD1749">
        <v>0</v>
      </c>
      <c r="AE1749">
        <v>0</v>
      </c>
      <c r="AF1749" s="21">
        <f t="shared" si="210"/>
        <v>0</v>
      </c>
    </row>
    <row r="1750" spans="1:32" ht="15" customHeight="1" x14ac:dyDescent="0.3">
      <c r="A1750">
        <v>4</v>
      </c>
      <c r="B1750" s="2" t="s">
        <v>697</v>
      </c>
      <c r="C1750" s="4" t="s">
        <v>692</v>
      </c>
      <c r="D1750" s="3" t="s">
        <v>662</v>
      </c>
      <c r="E1750" s="6" t="s">
        <v>80</v>
      </c>
      <c r="F1750" s="6" t="s">
        <v>432</v>
      </c>
      <c r="G1750" s="6" t="s">
        <v>718</v>
      </c>
      <c r="H1750" s="23">
        <v>0</v>
      </c>
      <c r="I1750">
        <v>0</v>
      </c>
      <c r="J1750">
        <v>0</v>
      </c>
      <c r="K1750" s="20">
        <f t="shared" si="208"/>
        <v>0</v>
      </c>
      <c r="L1750">
        <v>0</v>
      </c>
      <c r="M1750">
        <v>0</v>
      </c>
      <c r="N1750" s="21">
        <f t="shared" si="209"/>
        <v>0</v>
      </c>
      <c r="O1750">
        <v>0</v>
      </c>
      <c r="P1750">
        <v>0</v>
      </c>
      <c r="Q1750" s="21">
        <f t="shared" si="203"/>
        <v>0</v>
      </c>
      <c r="R1750">
        <v>0</v>
      </c>
      <c r="S1750">
        <v>0</v>
      </c>
      <c r="T1750" s="21">
        <f t="shared" si="204"/>
        <v>0</v>
      </c>
      <c r="U1750">
        <v>0</v>
      </c>
      <c r="V1750">
        <v>0</v>
      </c>
      <c r="W1750" s="21">
        <f t="shared" si="205"/>
        <v>0</v>
      </c>
      <c r="X1750">
        <v>0</v>
      </c>
      <c r="Y1750">
        <v>0</v>
      </c>
      <c r="Z1750" s="21">
        <f t="shared" si="206"/>
        <v>0</v>
      </c>
      <c r="AA1750">
        <v>0</v>
      </c>
      <c r="AB1750">
        <v>0</v>
      </c>
      <c r="AC1750" s="21">
        <f t="shared" si="207"/>
        <v>0</v>
      </c>
      <c r="AD1750">
        <v>0</v>
      </c>
      <c r="AE1750">
        <v>0</v>
      </c>
      <c r="AF1750" s="21">
        <f t="shared" si="210"/>
        <v>0</v>
      </c>
    </row>
    <row r="1751" spans="1:32" ht="15" customHeight="1" x14ac:dyDescent="0.3">
      <c r="A1751">
        <v>4</v>
      </c>
      <c r="B1751" s="2" t="s">
        <v>697</v>
      </c>
      <c r="C1751" s="4" t="s">
        <v>692</v>
      </c>
      <c r="D1751" s="3" t="s">
        <v>662</v>
      </c>
      <c r="E1751" s="6" t="s">
        <v>80</v>
      </c>
      <c r="F1751" s="6" t="s">
        <v>149</v>
      </c>
      <c r="G1751" s="6" t="s">
        <v>707</v>
      </c>
      <c r="H1751" s="23">
        <v>391991.03749999998</v>
      </c>
      <c r="I1751">
        <v>0</v>
      </c>
      <c r="J1751">
        <v>0</v>
      </c>
      <c r="K1751" s="20">
        <f t="shared" si="208"/>
        <v>0</v>
      </c>
      <c r="L1751">
        <v>0</v>
      </c>
      <c r="M1751">
        <v>0</v>
      </c>
      <c r="N1751" s="21">
        <f t="shared" si="209"/>
        <v>0</v>
      </c>
      <c r="O1751">
        <v>0</v>
      </c>
      <c r="P1751">
        <v>0</v>
      </c>
      <c r="Q1751" s="21">
        <f t="shared" si="203"/>
        <v>0</v>
      </c>
      <c r="R1751">
        <v>1</v>
      </c>
      <c r="S1751">
        <v>6</v>
      </c>
      <c r="T1751" s="21">
        <f t="shared" si="204"/>
        <v>2351946.2249999996</v>
      </c>
      <c r="U1751">
        <v>0</v>
      </c>
      <c r="V1751">
        <v>0</v>
      </c>
      <c r="W1751" s="21">
        <f t="shared" si="205"/>
        <v>0</v>
      </c>
      <c r="X1751">
        <v>0</v>
      </c>
      <c r="Y1751">
        <v>0</v>
      </c>
      <c r="Z1751" s="21">
        <f t="shared" si="206"/>
        <v>0</v>
      </c>
      <c r="AA1751">
        <v>0</v>
      </c>
      <c r="AB1751">
        <v>0</v>
      </c>
      <c r="AC1751" s="21">
        <f t="shared" si="207"/>
        <v>0</v>
      </c>
      <c r="AD1751">
        <v>0</v>
      </c>
      <c r="AE1751">
        <v>0</v>
      </c>
      <c r="AF1751" s="21">
        <f t="shared" si="210"/>
        <v>0</v>
      </c>
    </row>
    <row r="1752" spans="1:32" ht="15" customHeight="1" x14ac:dyDescent="0.3">
      <c r="A1752">
        <v>4</v>
      </c>
      <c r="B1752" s="2" t="s">
        <v>697</v>
      </c>
      <c r="C1752" s="4" t="s">
        <v>692</v>
      </c>
      <c r="D1752" s="3" t="s">
        <v>662</v>
      </c>
      <c r="E1752" s="6" t="s">
        <v>80</v>
      </c>
      <c r="F1752" s="6" t="s">
        <v>149</v>
      </c>
      <c r="G1752" s="6" t="s">
        <v>708</v>
      </c>
      <c r="H1752" s="23">
        <v>425000</v>
      </c>
      <c r="I1752">
        <v>0</v>
      </c>
      <c r="J1752">
        <v>0</v>
      </c>
      <c r="K1752" s="20">
        <f t="shared" si="208"/>
        <v>0</v>
      </c>
      <c r="L1752">
        <v>0</v>
      </c>
      <c r="M1752">
        <v>0</v>
      </c>
      <c r="N1752" s="21">
        <f t="shared" si="209"/>
        <v>0</v>
      </c>
      <c r="O1752">
        <v>0</v>
      </c>
      <c r="P1752">
        <v>0</v>
      </c>
      <c r="Q1752" s="21">
        <f t="shared" si="203"/>
        <v>0</v>
      </c>
      <c r="R1752">
        <v>1</v>
      </c>
      <c r="S1752">
        <v>40</v>
      </c>
      <c r="T1752" s="21">
        <f t="shared" si="204"/>
        <v>17000000</v>
      </c>
      <c r="U1752">
        <v>0</v>
      </c>
      <c r="V1752">
        <v>0</v>
      </c>
      <c r="W1752" s="21">
        <f t="shared" si="205"/>
        <v>0</v>
      </c>
      <c r="X1752">
        <v>0</v>
      </c>
      <c r="Y1752">
        <v>0</v>
      </c>
      <c r="Z1752" s="21">
        <f t="shared" si="206"/>
        <v>0</v>
      </c>
      <c r="AA1752">
        <v>0</v>
      </c>
      <c r="AB1752">
        <v>0</v>
      </c>
      <c r="AC1752" s="21">
        <f t="shared" si="207"/>
        <v>0</v>
      </c>
      <c r="AD1752">
        <v>0</v>
      </c>
      <c r="AE1752">
        <v>0</v>
      </c>
      <c r="AF1752" s="21">
        <f t="shared" si="210"/>
        <v>0</v>
      </c>
    </row>
    <row r="1753" spans="1:32" ht="15" customHeight="1" x14ac:dyDescent="0.3">
      <c r="A1753">
        <v>4</v>
      </c>
      <c r="B1753" s="2" t="s">
        <v>697</v>
      </c>
      <c r="C1753" s="4" t="s">
        <v>692</v>
      </c>
      <c r="D1753" s="3" t="s">
        <v>662</v>
      </c>
      <c r="E1753" s="6" t="s">
        <v>80</v>
      </c>
      <c r="F1753" s="6" t="s">
        <v>150</v>
      </c>
      <c r="G1753" s="6" t="s">
        <v>718</v>
      </c>
      <c r="H1753" s="23">
        <v>0</v>
      </c>
      <c r="I1753">
        <v>0</v>
      </c>
      <c r="J1753">
        <v>0</v>
      </c>
      <c r="K1753" s="20">
        <f t="shared" si="208"/>
        <v>0</v>
      </c>
      <c r="L1753">
        <v>0</v>
      </c>
      <c r="M1753">
        <v>0</v>
      </c>
      <c r="N1753" s="21">
        <f t="shared" si="209"/>
        <v>0</v>
      </c>
      <c r="O1753">
        <v>0</v>
      </c>
      <c r="P1753">
        <v>0</v>
      </c>
      <c r="Q1753" s="21">
        <f t="shared" si="203"/>
        <v>0</v>
      </c>
      <c r="R1753">
        <v>0</v>
      </c>
      <c r="S1753">
        <v>0</v>
      </c>
      <c r="T1753" s="21">
        <f t="shared" si="204"/>
        <v>0</v>
      </c>
      <c r="U1753">
        <v>0</v>
      </c>
      <c r="V1753">
        <v>0</v>
      </c>
      <c r="W1753" s="21">
        <f t="shared" si="205"/>
        <v>0</v>
      </c>
      <c r="X1753">
        <v>0</v>
      </c>
      <c r="Y1753">
        <v>0</v>
      </c>
      <c r="Z1753" s="21">
        <f t="shared" si="206"/>
        <v>0</v>
      </c>
      <c r="AA1753">
        <v>0</v>
      </c>
      <c r="AB1753">
        <v>0</v>
      </c>
      <c r="AC1753" s="21">
        <f t="shared" si="207"/>
        <v>0</v>
      </c>
      <c r="AD1753">
        <v>0</v>
      </c>
      <c r="AE1753">
        <v>0</v>
      </c>
      <c r="AF1753" s="21">
        <f t="shared" si="210"/>
        <v>0</v>
      </c>
    </row>
    <row r="1754" spans="1:32" ht="15" customHeight="1" x14ac:dyDescent="0.3">
      <c r="A1754">
        <v>4</v>
      </c>
      <c r="B1754" s="2" t="s">
        <v>697</v>
      </c>
      <c r="C1754" s="4" t="s">
        <v>692</v>
      </c>
      <c r="D1754" s="3" t="s">
        <v>662</v>
      </c>
      <c r="E1754" s="6" t="s">
        <v>80</v>
      </c>
      <c r="F1754" s="6" t="s">
        <v>433</v>
      </c>
      <c r="G1754" s="6" t="s">
        <v>709</v>
      </c>
      <c r="H1754" s="23">
        <v>28000</v>
      </c>
      <c r="I1754">
        <v>0</v>
      </c>
      <c r="J1754">
        <v>0</v>
      </c>
      <c r="K1754" s="20">
        <f t="shared" si="208"/>
        <v>0</v>
      </c>
      <c r="L1754">
        <v>0</v>
      </c>
      <c r="M1754">
        <v>0</v>
      </c>
      <c r="N1754" s="21">
        <f t="shared" si="209"/>
        <v>0</v>
      </c>
      <c r="O1754">
        <v>0</v>
      </c>
      <c r="P1754">
        <v>0</v>
      </c>
      <c r="Q1754" s="21">
        <f t="shared" si="203"/>
        <v>0</v>
      </c>
      <c r="R1754">
        <v>15</v>
      </c>
      <c r="S1754">
        <v>3</v>
      </c>
      <c r="T1754" s="21">
        <f t="shared" si="204"/>
        <v>1260000</v>
      </c>
      <c r="U1754">
        <v>0</v>
      </c>
      <c r="V1754">
        <v>0</v>
      </c>
      <c r="W1754" s="21">
        <f t="shared" si="205"/>
        <v>0</v>
      </c>
      <c r="X1754">
        <v>0</v>
      </c>
      <c r="Y1754">
        <v>0</v>
      </c>
      <c r="Z1754" s="21">
        <f t="shared" si="206"/>
        <v>0</v>
      </c>
      <c r="AA1754">
        <v>0</v>
      </c>
      <c r="AB1754">
        <v>0</v>
      </c>
      <c r="AC1754" s="21">
        <f t="shared" si="207"/>
        <v>0</v>
      </c>
      <c r="AD1754">
        <v>0</v>
      </c>
      <c r="AE1754">
        <v>0</v>
      </c>
      <c r="AF1754" s="21">
        <f t="shared" si="210"/>
        <v>0</v>
      </c>
    </row>
    <row r="1755" spans="1:32" ht="15" customHeight="1" x14ac:dyDescent="0.3">
      <c r="A1755">
        <v>4</v>
      </c>
      <c r="B1755" s="2" t="s">
        <v>697</v>
      </c>
      <c r="C1755" s="4" t="s">
        <v>692</v>
      </c>
      <c r="D1755" s="3" t="s">
        <v>662</v>
      </c>
      <c r="E1755" s="6" t="s">
        <v>80</v>
      </c>
      <c r="F1755" s="6" t="s">
        <v>163</v>
      </c>
      <c r="G1755" s="6" t="s">
        <v>713</v>
      </c>
      <c r="H1755" s="23">
        <v>45000</v>
      </c>
      <c r="I1755">
        <v>0</v>
      </c>
      <c r="J1755">
        <v>0</v>
      </c>
      <c r="K1755" s="20">
        <f t="shared" si="208"/>
        <v>0</v>
      </c>
      <c r="L1755">
        <v>0</v>
      </c>
      <c r="M1755">
        <v>0</v>
      </c>
      <c r="N1755" s="21">
        <f t="shared" si="209"/>
        <v>0</v>
      </c>
      <c r="O1755">
        <v>0</v>
      </c>
      <c r="P1755">
        <v>0</v>
      </c>
      <c r="Q1755" s="21">
        <f t="shared" si="203"/>
        <v>0</v>
      </c>
      <c r="R1755">
        <v>15</v>
      </c>
      <c r="S1755">
        <v>1</v>
      </c>
      <c r="T1755" s="21">
        <f t="shared" si="204"/>
        <v>675000</v>
      </c>
      <c r="U1755">
        <v>0</v>
      </c>
      <c r="V1755">
        <v>0</v>
      </c>
      <c r="W1755" s="21">
        <f t="shared" si="205"/>
        <v>0</v>
      </c>
      <c r="X1755">
        <v>0</v>
      </c>
      <c r="Y1755">
        <v>0</v>
      </c>
      <c r="Z1755" s="21">
        <f t="shared" si="206"/>
        <v>0</v>
      </c>
      <c r="AA1755">
        <v>0</v>
      </c>
      <c r="AB1755">
        <v>0</v>
      </c>
      <c r="AC1755" s="21">
        <f t="shared" si="207"/>
        <v>0</v>
      </c>
      <c r="AD1755">
        <v>0</v>
      </c>
      <c r="AE1755">
        <v>0</v>
      </c>
      <c r="AF1755" s="21">
        <f t="shared" si="210"/>
        <v>0</v>
      </c>
    </row>
    <row r="1756" spans="1:32" ht="15" customHeight="1" x14ac:dyDescent="0.3">
      <c r="A1756">
        <v>4</v>
      </c>
      <c r="B1756" s="2" t="s">
        <v>697</v>
      </c>
      <c r="C1756" s="4" t="s">
        <v>692</v>
      </c>
      <c r="D1756" s="3" t="s">
        <v>662</v>
      </c>
      <c r="E1756" s="6" t="s">
        <v>80</v>
      </c>
      <c r="F1756" s="6" t="s">
        <v>163</v>
      </c>
      <c r="G1756" s="6" t="s">
        <v>712</v>
      </c>
      <c r="H1756" s="23">
        <v>214.29</v>
      </c>
      <c r="I1756">
        <v>0</v>
      </c>
      <c r="J1756">
        <v>0</v>
      </c>
      <c r="K1756" s="20">
        <f t="shared" si="208"/>
        <v>0</v>
      </c>
      <c r="L1756">
        <v>0</v>
      </c>
      <c r="M1756">
        <v>0</v>
      </c>
      <c r="N1756" s="21">
        <f t="shared" si="209"/>
        <v>0</v>
      </c>
      <c r="O1756">
        <v>0</v>
      </c>
      <c r="P1756">
        <v>0</v>
      </c>
      <c r="Q1756" s="21">
        <f t="shared" si="203"/>
        <v>0</v>
      </c>
      <c r="R1756">
        <v>4000</v>
      </c>
      <c r="S1756">
        <v>1</v>
      </c>
      <c r="T1756" s="21">
        <f t="shared" si="204"/>
        <v>857160</v>
      </c>
      <c r="U1756">
        <v>0</v>
      </c>
      <c r="V1756">
        <v>0</v>
      </c>
      <c r="W1756" s="21">
        <f t="shared" si="205"/>
        <v>0</v>
      </c>
      <c r="X1756">
        <v>0</v>
      </c>
      <c r="Y1756">
        <v>0</v>
      </c>
      <c r="Z1756" s="21">
        <f t="shared" si="206"/>
        <v>0</v>
      </c>
      <c r="AA1756">
        <v>0</v>
      </c>
      <c r="AB1756">
        <v>0</v>
      </c>
      <c r="AC1756" s="21">
        <f t="shared" si="207"/>
        <v>0</v>
      </c>
      <c r="AD1756">
        <v>0</v>
      </c>
      <c r="AE1756">
        <v>0</v>
      </c>
      <c r="AF1756" s="21">
        <f t="shared" si="210"/>
        <v>0</v>
      </c>
    </row>
    <row r="1757" spans="1:32" ht="15" customHeight="1" x14ac:dyDescent="0.3">
      <c r="A1757">
        <v>4</v>
      </c>
      <c r="B1757" s="2" t="s">
        <v>697</v>
      </c>
      <c r="C1757" s="4" t="s">
        <v>692</v>
      </c>
      <c r="D1757" s="3" t="s">
        <v>662</v>
      </c>
      <c r="E1757" s="6" t="s">
        <v>80</v>
      </c>
      <c r="F1757" s="6" t="s">
        <v>232</v>
      </c>
      <c r="G1757" s="6" t="s">
        <v>718</v>
      </c>
      <c r="H1757" s="23">
        <v>0</v>
      </c>
      <c r="I1757">
        <v>0</v>
      </c>
      <c r="J1757">
        <v>0</v>
      </c>
      <c r="K1757" s="20">
        <f t="shared" si="208"/>
        <v>0</v>
      </c>
      <c r="L1757">
        <v>0</v>
      </c>
      <c r="M1757">
        <v>0</v>
      </c>
      <c r="N1757" s="21">
        <f t="shared" si="209"/>
        <v>0</v>
      </c>
      <c r="O1757">
        <v>0</v>
      </c>
      <c r="P1757">
        <v>0</v>
      </c>
      <c r="Q1757" s="21">
        <f t="shared" si="203"/>
        <v>0</v>
      </c>
      <c r="R1757">
        <v>0</v>
      </c>
      <c r="S1757">
        <v>0</v>
      </c>
      <c r="T1757" s="21">
        <f t="shared" si="204"/>
        <v>0</v>
      </c>
      <c r="U1757">
        <v>0</v>
      </c>
      <c r="V1757">
        <v>0</v>
      </c>
      <c r="W1757" s="21">
        <f t="shared" si="205"/>
        <v>0</v>
      </c>
      <c r="X1757">
        <v>0</v>
      </c>
      <c r="Y1757">
        <v>0</v>
      </c>
      <c r="Z1757" s="21">
        <f t="shared" si="206"/>
        <v>0</v>
      </c>
      <c r="AA1757">
        <v>0</v>
      </c>
      <c r="AB1757">
        <v>0</v>
      </c>
      <c r="AC1757" s="21">
        <f t="shared" si="207"/>
        <v>0</v>
      </c>
      <c r="AD1757">
        <v>0</v>
      </c>
      <c r="AE1757">
        <v>0</v>
      </c>
      <c r="AF1757" s="21">
        <f t="shared" si="210"/>
        <v>0</v>
      </c>
    </row>
    <row r="1758" spans="1:32" ht="15" customHeight="1" x14ac:dyDescent="0.3">
      <c r="A1758">
        <v>4</v>
      </c>
      <c r="B1758" s="2" t="s">
        <v>697</v>
      </c>
      <c r="C1758" s="4" t="s">
        <v>692</v>
      </c>
      <c r="D1758" s="3" t="s">
        <v>662</v>
      </c>
      <c r="E1758" s="6" t="s">
        <v>80</v>
      </c>
      <c r="F1758" s="6" t="s">
        <v>179</v>
      </c>
      <c r="G1758" s="6" t="s">
        <v>713</v>
      </c>
      <c r="H1758" s="23">
        <v>45000</v>
      </c>
      <c r="I1758">
        <v>0</v>
      </c>
      <c r="J1758">
        <v>0</v>
      </c>
      <c r="K1758" s="20">
        <f t="shared" si="208"/>
        <v>0</v>
      </c>
      <c r="L1758">
        <v>0</v>
      </c>
      <c r="M1758">
        <v>0</v>
      </c>
      <c r="N1758" s="21">
        <f t="shared" si="209"/>
        <v>0</v>
      </c>
      <c r="O1758">
        <v>0</v>
      </c>
      <c r="P1758">
        <v>0</v>
      </c>
      <c r="Q1758" s="21">
        <f t="shared" si="203"/>
        <v>0</v>
      </c>
      <c r="R1758">
        <v>15</v>
      </c>
      <c r="S1758">
        <v>10</v>
      </c>
      <c r="T1758" s="21">
        <f t="shared" si="204"/>
        <v>6750000</v>
      </c>
      <c r="U1758">
        <v>0</v>
      </c>
      <c r="V1758">
        <v>0</v>
      </c>
      <c r="W1758" s="21">
        <f t="shared" si="205"/>
        <v>0</v>
      </c>
      <c r="X1758">
        <v>0</v>
      </c>
      <c r="Y1758">
        <v>0</v>
      </c>
      <c r="Z1758" s="21">
        <f t="shared" si="206"/>
        <v>0</v>
      </c>
      <c r="AA1758">
        <v>0</v>
      </c>
      <c r="AB1758">
        <v>0</v>
      </c>
      <c r="AC1758" s="21">
        <f t="shared" si="207"/>
        <v>0</v>
      </c>
      <c r="AD1758">
        <v>0</v>
      </c>
      <c r="AE1758">
        <v>0</v>
      </c>
      <c r="AF1758" s="21">
        <f t="shared" si="210"/>
        <v>0</v>
      </c>
    </row>
    <row r="1759" spans="1:32" ht="15" customHeight="1" x14ac:dyDescent="0.3">
      <c r="A1759">
        <v>4</v>
      </c>
      <c r="B1759" s="2" t="s">
        <v>697</v>
      </c>
      <c r="C1759" s="4" t="s">
        <v>692</v>
      </c>
      <c r="D1759" s="3" t="s">
        <v>662</v>
      </c>
      <c r="E1759" s="6" t="s">
        <v>80</v>
      </c>
      <c r="F1759" s="6" t="s">
        <v>179</v>
      </c>
      <c r="G1759" s="6" t="s">
        <v>715</v>
      </c>
      <c r="H1759" s="23">
        <v>302000</v>
      </c>
      <c r="I1759">
        <v>0</v>
      </c>
      <c r="J1759">
        <v>0</v>
      </c>
      <c r="K1759" s="20">
        <f t="shared" si="208"/>
        <v>0</v>
      </c>
      <c r="L1759">
        <v>0</v>
      </c>
      <c r="M1759">
        <v>0</v>
      </c>
      <c r="N1759" s="21">
        <f t="shared" si="209"/>
        <v>0</v>
      </c>
      <c r="O1759">
        <v>0</v>
      </c>
      <c r="P1759">
        <v>0</v>
      </c>
      <c r="Q1759" s="21">
        <f t="shared" si="203"/>
        <v>0</v>
      </c>
      <c r="R1759">
        <v>20</v>
      </c>
      <c r="S1759">
        <v>1</v>
      </c>
      <c r="T1759" s="21">
        <f t="shared" si="204"/>
        <v>6040000</v>
      </c>
      <c r="U1759">
        <v>0</v>
      </c>
      <c r="V1759">
        <v>0</v>
      </c>
      <c r="W1759" s="21">
        <f t="shared" si="205"/>
        <v>0</v>
      </c>
      <c r="X1759">
        <v>0</v>
      </c>
      <c r="Y1759">
        <v>0</v>
      </c>
      <c r="Z1759" s="21">
        <f t="shared" si="206"/>
        <v>0</v>
      </c>
      <c r="AA1759">
        <v>0</v>
      </c>
      <c r="AB1759">
        <v>0</v>
      </c>
      <c r="AC1759" s="21">
        <f t="shared" si="207"/>
        <v>0</v>
      </c>
      <c r="AD1759">
        <v>0</v>
      </c>
      <c r="AE1759">
        <v>0</v>
      </c>
      <c r="AF1759" s="21">
        <f t="shared" si="210"/>
        <v>0</v>
      </c>
    </row>
    <row r="1760" spans="1:32" ht="15" customHeight="1" x14ac:dyDescent="0.3">
      <c r="A1760">
        <v>4</v>
      </c>
      <c r="B1760" s="2" t="s">
        <v>697</v>
      </c>
      <c r="C1760" s="4" t="s">
        <v>692</v>
      </c>
      <c r="D1760" s="3" t="s">
        <v>662</v>
      </c>
      <c r="E1760" s="6" t="s">
        <v>80</v>
      </c>
      <c r="F1760" s="6" t="s">
        <v>179</v>
      </c>
      <c r="G1760" s="6" t="s">
        <v>712</v>
      </c>
      <c r="H1760" s="23">
        <v>214.29</v>
      </c>
      <c r="I1760">
        <v>0</v>
      </c>
      <c r="J1760">
        <v>0</v>
      </c>
      <c r="K1760" s="20">
        <f t="shared" si="208"/>
        <v>0</v>
      </c>
      <c r="L1760">
        <v>0</v>
      </c>
      <c r="M1760">
        <v>0</v>
      </c>
      <c r="N1760" s="21">
        <f t="shared" si="209"/>
        <v>0</v>
      </c>
      <c r="O1760">
        <v>0</v>
      </c>
      <c r="P1760">
        <v>0</v>
      </c>
      <c r="Q1760" s="21">
        <f t="shared" si="203"/>
        <v>0</v>
      </c>
      <c r="R1760">
        <v>20000</v>
      </c>
      <c r="S1760">
        <v>1</v>
      </c>
      <c r="T1760" s="21">
        <f t="shared" si="204"/>
        <v>4285800</v>
      </c>
      <c r="U1760">
        <v>0</v>
      </c>
      <c r="V1760">
        <v>0</v>
      </c>
      <c r="W1760" s="21">
        <f t="shared" si="205"/>
        <v>0</v>
      </c>
      <c r="X1760">
        <v>0</v>
      </c>
      <c r="Y1760">
        <v>0</v>
      </c>
      <c r="Z1760" s="21">
        <f t="shared" si="206"/>
        <v>0</v>
      </c>
      <c r="AA1760">
        <v>0</v>
      </c>
      <c r="AB1760">
        <v>0</v>
      </c>
      <c r="AC1760" s="21">
        <f t="shared" si="207"/>
        <v>0</v>
      </c>
      <c r="AD1760">
        <v>0</v>
      </c>
      <c r="AE1760">
        <v>0</v>
      </c>
      <c r="AF1760" s="21">
        <f t="shared" si="210"/>
        <v>0</v>
      </c>
    </row>
    <row r="1761" spans="1:32" ht="15" customHeight="1" x14ac:dyDescent="0.3">
      <c r="A1761">
        <v>4</v>
      </c>
      <c r="B1761" s="2" t="s">
        <v>697</v>
      </c>
      <c r="C1761" s="4" t="s">
        <v>692</v>
      </c>
      <c r="D1761" s="3" t="s">
        <v>662</v>
      </c>
      <c r="E1761" s="6" t="s">
        <v>80</v>
      </c>
      <c r="F1761" s="6" t="s">
        <v>179</v>
      </c>
      <c r="G1761" s="6" t="s">
        <v>714</v>
      </c>
      <c r="H1761" s="23">
        <v>10000</v>
      </c>
      <c r="I1761">
        <v>0</v>
      </c>
      <c r="J1761">
        <v>0</v>
      </c>
      <c r="K1761" s="20">
        <f t="shared" si="208"/>
        <v>0</v>
      </c>
      <c r="L1761">
        <v>0</v>
      </c>
      <c r="M1761">
        <v>0</v>
      </c>
      <c r="N1761" s="21">
        <f t="shared" si="209"/>
        <v>0</v>
      </c>
      <c r="O1761">
        <v>0</v>
      </c>
      <c r="P1761">
        <v>0</v>
      </c>
      <c r="Q1761" s="21">
        <f t="shared" si="203"/>
        <v>0</v>
      </c>
      <c r="R1761">
        <v>15</v>
      </c>
      <c r="S1761">
        <v>1</v>
      </c>
      <c r="T1761" s="21">
        <f t="shared" si="204"/>
        <v>150000</v>
      </c>
      <c r="U1761">
        <v>0</v>
      </c>
      <c r="V1761">
        <v>0</v>
      </c>
      <c r="W1761" s="21">
        <f t="shared" si="205"/>
        <v>0</v>
      </c>
      <c r="X1761">
        <v>0</v>
      </c>
      <c r="Y1761">
        <v>0</v>
      </c>
      <c r="Z1761" s="21">
        <f t="shared" si="206"/>
        <v>0</v>
      </c>
      <c r="AA1761">
        <v>0</v>
      </c>
      <c r="AB1761">
        <v>0</v>
      </c>
      <c r="AC1761" s="21">
        <f t="shared" si="207"/>
        <v>0</v>
      </c>
      <c r="AD1761">
        <v>0</v>
      </c>
      <c r="AE1761">
        <v>0</v>
      </c>
      <c r="AF1761" s="21">
        <f t="shared" si="210"/>
        <v>0</v>
      </c>
    </row>
    <row r="1762" spans="1:32" ht="15" customHeight="1" x14ac:dyDescent="0.3">
      <c r="A1762">
        <v>4</v>
      </c>
      <c r="B1762" s="2" t="s">
        <v>697</v>
      </c>
      <c r="C1762" s="4" t="s">
        <v>692</v>
      </c>
      <c r="D1762" s="3" t="s">
        <v>662</v>
      </c>
      <c r="E1762" s="6" t="s">
        <v>80</v>
      </c>
      <c r="F1762" s="6" t="s">
        <v>159</v>
      </c>
      <c r="G1762" s="6" t="s">
        <v>716</v>
      </c>
      <c r="H1762" s="23">
        <v>39000</v>
      </c>
      <c r="I1762">
        <v>0</v>
      </c>
      <c r="J1762">
        <v>0</v>
      </c>
      <c r="K1762" s="20">
        <f t="shared" si="208"/>
        <v>0</v>
      </c>
      <c r="L1762">
        <v>0</v>
      </c>
      <c r="M1762">
        <v>0</v>
      </c>
      <c r="N1762" s="21">
        <f t="shared" si="209"/>
        <v>0</v>
      </c>
      <c r="O1762">
        <v>0</v>
      </c>
      <c r="P1762">
        <v>0</v>
      </c>
      <c r="Q1762" s="21">
        <f t="shared" si="203"/>
        <v>0</v>
      </c>
      <c r="R1762">
        <v>20</v>
      </c>
      <c r="S1762">
        <v>5</v>
      </c>
      <c r="T1762" s="21">
        <f t="shared" si="204"/>
        <v>3900000</v>
      </c>
      <c r="U1762">
        <v>0</v>
      </c>
      <c r="V1762">
        <v>0</v>
      </c>
      <c r="W1762" s="21">
        <f t="shared" si="205"/>
        <v>0</v>
      </c>
      <c r="X1762">
        <v>0</v>
      </c>
      <c r="Y1762">
        <v>0</v>
      </c>
      <c r="Z1762" s="21">
        <f t="shared" si="206"/>
        <v>0</v>
      </c>
      <c r="AA1762">
        <v>0</v>
      </c>
      <c r="AB1762">
        <v>0</v>
      </c>
      <c r="AC1762" s="21">
        <f t="shared" si="207"/>
        <v>0</v>
      </c>
      <c r="AD1762">
        <v>0</v>
      </c>
      <c r="AE1762">
        <v>0</v>
      </c>
      <c r="AF1762" s="21">
        <f t="shared" si="210"/>
        <v>0</v>
      </c>
    </row>
    <row r="1763" spans="1:32" ht="15" customHeight="1" x14ac:dyDescent="0.3">
      <c r="A1763">
        <v>4</v>
      </c>
      <c r="B1763" s="2" t="s">
        <v>697</v>
      </c>
      <c r="C1763" s="4" t="s">
        <v>692</v>
      </c>
      <c r="D1763" s="3" t="s">
        <v>662</v>
      </c>
      <c r="E1763" s="6" t="s">
        <v>80</v>
      </c>
      <c r="F1763" s="6" t="s">
        <v>159</v>
      </c>
      <c r="G1763" s="6" t="s">
        <v>709</v>
      </c>
      <c r="H1763" s="23">
        <v>28000</v>
      </c>
      <c r="I1763">
        <v>0</v>
      </c>
      <c r="J1763">
        <v>0</v>
      </c>
      <c r="K1763" s="20">
        <f t="shared" si="208"/>
        <v>0</v>
      </c>
      <c r="L1763">
        <v>0</v>
      </c>
      <c r="M1763">
        <v>0</v>
      </c>
      <c r="N1763" s="21">
        <f t="shared" si="209"/>
        <v>0</v>
      </c>
      <c r="O1763">
        <v>0</v>
      </c>
      <c r="P1763">
        <v>0</v>
      </c>
      <c r="Q1763" s="21">
        <f t="shared" si="203"/>
        <v>0</v>
      </c>
      <c r="R1763">
        <v>20</v>
      </c>
      <c r="S1763">
        <v>5</v>
      </c>
      <c r="T1763" s="21">
        <f t="shared" si="204"/>
        <v>2800000</v>
      </c>
      <c r="U1763">
        <v>0</v>
      </c>
      <c r="V1763">
        <v>0</v>
      </c>
      <c r="W1763" s="21">
        <f t="shared" si="205"/>
        <v>0</v>
      </c>
      <c r="X1763">
        <v>0</v>
      </c>
      <c r="Y1763">
        <v>0</v>
      </c>
      <c r="Z1763" s="21">
        <f t="shared" si="206"/>
        <v>0</v>
      </c>
      <c r="AA1763">
        <v>0</v>
      </c>
      <c r="AB1763">
        <v>0</v>
      </c>
      <c r="AC1763" s="21">
        <f t="shared" si="207"/>
        <v>0</v>
      </c>
      <c r="AD1763">
        <v>0</v>
      </c>
      <c r="AE1763">
        <v>0</v>
      </c>
      <c r="AF1763" s="21">
        <f t="shared" si="210"/>
        <v>0</v>
      </c>
    </row>
    <row r="1764" spans="1:32" ht="15" customHeight="1" x14ac:dyDescent="0.3">
      <c r="A1764">
        <v>4</v>
      </c>
      <c r="B1764" s="2" t="s">
        <v>697</v>
      </c>
      <c r="C1764" s="4" t="s">
        <v>692</v>
      </c>
      <c r="D1764" s="3" t="s">
        <v>662</v>
      </c>
      <c r="E1764" s="6" t="s">
        <v>80</v>
      </c>
      <c r="F1764" s="6" t="s">
        <v>159</v>
      </c>
      <c r="G1764" s="6" t="s">
        <v>712</v>
      </c>
      <c r="H1764" s="23">
        <v>214.29</v>
      </c>
      <c r="I1764">
        <v>0</v>
      </c>
      <c r="J1764">
        <v>0</v>
      </c>
      <c r="K1764" s="20">
        <f t="shared" si="208"/>
        <v>0</v>
      </c>
      <c r="L1764">
        <v>0</v>
      </c>
      <c r="M1764">
        <v>0</v>
      </c>
      <c r="N1764" s="21">
        <f t="shared" si="209"/>
        <v>0</v>
      </c>
      <c r="O1764">
        <v>0</v>
      </c>
      <c r="P1764">
        <v>0</v>
      </c>
      <c r="Q1764" s="21">
        <f t="shared" si="203"/>
        <v>0</v>
      </c>
      <c r="R1764">
        <v>4000</v>
      </c>
      <c r="S1764">
        <v>1</v>
      </c>
      <c r="T1764" s="21">
        <f t="shared" si="204"/>
        <v>857160</v>
      </c>
      <c r="U1764">
        <v>0</v>
      </c>
      <c r="V1764">
        <v>0</v>
      </c>
      <c r="W1764" s="21">
        <f t="shared" si="205"/>
        <v>0</v>
      </c>
      <c r="X1764">
        <v>0</v>
      </c>
      <c r="Y1764">
        <v>0</v>
      </c>
      <c r="Z1764" s="21">
        <f t="shared" si="206"/>
        <v>0</v>
      </c>
      <c r="AA1764">
        <v>0</v>
      </c>
      <c r="AB1764">
        <v>0</v>
      </c>
      <c r="AC1764" s="21">
        <f t="shared" si="207"/>
        <v>0</v>
      </c>
      <c r="AD1764">
        <v>0</v>
      </c>
      <c r="AE1764">
        <v>0</v>
      </c>
      <c r="AF1764" s="21">
        <f t="shared" si="210"/>
        <v>0</v>
      </c>
    </row>
    <row r="1765" spans="1:32" ht="15" customHeight="1" x14ac:dyDescent="0.3">
      <c r="A1765">
        <v>4</v>
      </c>
      <c r="B1765" s="2" t="s">
        <v>697</v>
      </c>
      <c r="C1765" s="4" t="s">
        <v>692</v>
      </c>
      <c r="D1765" s="3" t="s">
        <v>662</v>
      </c>
      <c r="E1765" s="6" t="s">
        <v>80</v>
      </c>
      <c r="F1765" s="6" t="s">
        <v>153</v>
      </c>
      <c r="G1765" s="6" t="s">
        <v>716</v>
      </c>
      <c r="H1765" s="23">
        <v>39000</v>
      </c>
      <c r="I1765">
        <v>0</v>
      </c>
      <c r="J1765">
        <v>0</v>
      </c>
      <c r="K1765" s="20">
        <f t="shared" si="208"/>
        <v>0</v>
      </c>
      <c r="L1765">
        <v>0</v>
      </c>
      <c r="M1765">
        <v>0</v>
      </c>
      <c r="N1765" s="21">
        <f t="shared" si="209"/>
        <v>0</v>
      </c>
      <c r="O1765">
        <v>0</v>
      </c>
      <c r="P1765">
        <v>0</v>
      </c>
      <c r="Q1765" s="21">
        <f t="shared" si="203"/>
        <v>0</v>
      </c>
      <c r="R1765">
        <v>20</v>
      </c>
      <c r="S1765">
        <v>5</v>
      </c>
      <c r="T1765" s="21">
        <f t="shared" si="204"/>
        <v>3900000</v>
      </c>
      <c r="U1765">
        <v>0</v>
      </c>
      <c r="V1765">
        <v>0</v>
      </c>
      <c r="W1765" s="21">
        <f t="shared" si="205"/>
        <v>0</v>
      </c>
      <c r="X1765">
        <v>0</v>
      </c>
      <c r="Y1765">
        <v>0</v>
      </c>
      <c r="Z1765" s="21">
        <f t="shared" si="206"/>
        <v>0</v>
      </c>
      <c r="AA1765">
        <v>0</v>
      </c>
      <c r="AB1765">
        <v>0</v>
      </c>
      <c r="AC1765" s="21">
        <f t="shared" si="207"/>
        <v>0</v>
      </c>
      <c r="AD1765">
        <v>0</v>
      </c>
      <c r="AE1765">
        <v>0</v>
      </c>
      <c r="AF1765" s="21">
        <f t="shared" si="210"/>
        <v>0</v>
      </c>
    </row>
    <row r="1766" spans="1:32" ht="15" customHeight="1" x14ac:dyDescent="0.3">
      <c r="A1766">
        <v>4</v>
      </c>
      <c r="B1766" s="2" t="s">
        <v>697</v>
      </c>
      <c r="C1766" s="4" t="s">
        <v>692</v>
      </c>
      <c r="D1766" s="3" t="s">
        <v>662</v>
      </c>
      <c r="E1766" s="6" t="s">
        <v>80</v>
      </c>
      <c r="F1766" s="6" t="s">
        <v>153</v>
      </c>
      <c r="G1766" s="6" t="s">
        <v>709</v>
      </c>
      <c r="H1766" s="23">
        <v>28000</v>
      </c>
      <c r="I1766">
        <v>0</v>
      </c>
      <c r="J1766">
        <v>0</v>
      </c>
      <c r="K1766" s="20">
        <f t="shared" si="208"/>
        <v>0</v>
      </c>
      <c r="L1766">
        <v>0</v>
      </c>
      <c r="M1766">
        <v>0</v>
      </c>
      <c r="N1766" s="21">
        <f t="shared" si="209"/>
        <v>0</v>
      </c>
      <c r="O1766">
        <v>0</v>
      </c>
      <c r="P1766">
        <v>0</v>
      </c>
      <c r="Q1766" s="21">
        <f t="shared" si="203"/>
        <v>0</v>
      </c>
      <c r="R1766">
        <v>20</v>
      </c>
      <c r="S1766">
        <v>5</v>
      </c>
      <c r="T1766" s="21">
        <f t="shared" si="204"/>
        <v>2800000</v>
      </c>
      <c r="U1766">
        <v>0</v>
      </c>
      <c r="V1766">
        <v>0</v>
      </c>
      <c r="W1766" s="21">
        <f t="shared" si="205"/>
        <v>0</v>
      </c>
      <c r="X1766">
        <v>0</v>
      </c>
      <c r="Y1766">
        <v>0</v>
      </c>
      <c r="Z1766" s="21">
        <f t="shared" si="206"/>
        <v>0</v>
      </c>
      <c r="AA1766">
        <v>0</v>
      </c>
      <c r="AB1766">
        <v>0</v>
      </c>
      <c r="AC1766" s="21">
        <f t="shared" si="207"/>
        <v>0</v>
      </c>
      <c r="AD1766">
        <v>0</v>
      </c>
      <c r="AE1766">
        <v>0</v>
      </c>
      <c r="AF1766" s="21">
        <f t="shared" si="210"/>
        <v>0</v>
      </c>
    </row>
    <row r="1767" spans="1:32" ht="15" customHeight="1" x14ac:dyDescent="0.3">
      <c r="A1767">
        <v>4</v>
      </c>
      <c r="B1767" s="2" t="s">
        <v>697</v>
      </c>
      <c r="C1767" s="4" t="s">
        <v>692</v>
      </c>
      <c r="D1767" s="3" t="s">
        <v>662</v>
      </c>
      <c r="E1767" s="6" t="s">
        <v>80</v>
      </c>
      <c r="F1767" s="6" t="s">
        <v>153</v>
      </c>
      <c r="G1767" s="6" t="s">
        <v>712</v>
      </c>
      <c r="H1767" s="23">
        <v>214.29</v>
      </c>
      <c r="I1767">
        <v>0</v>
      </c>
      <c r="J1767">
        <v>0</v>
      </c>
      <c r="K1767" s="20">
        <f t="shared" si="208"/>
        <v>0</v>
      </c>
      <c r="L1767">
        <v>0</v>
      </c>
      <c r="M1767">
        <v>0</v>
      </c>
      <c r="N1767" s="21">
        <f t="shared" si="209"/>
        <v>0</v>
      </c>
      <c r="O1767">
        <v>0</v>
      </c>
      <c r="P1767">
        <v>0</v>
      </c>
      <c r="Q1767" s="21">
        <f t="shared" si="203"/>
        <v>0</v>
      </c>
      <c r="R1767">
        <v>4000</v>
      </c>
      <c r="S1767">
        <v>1</v>
      </c>
      <c r="T1767" s="21">
        <f t="shared" si="204"/>
        <v>857160</v>
      </c>
      <c r="U1767">
        <v>0</v>
      </c>
      <c r="V1767">
        <v>0</v>
      </c>
      <c r="W1767" s="21">
        <f t="shared" si="205"/>
        <v>0</v>
      </c>
      <c r="X1767">
        <v>0</v>
      </c>
      <c r="Y1767">
        <v>0</v>
      </c>
      <c r="Z1767" s="21">
        <f t="shared" si="206"/>
        <v>0</v>
      </c>
      <c r="AA1767">
        <v>0</v>
      </c>
      <c r="AB1767">
        <v>0</v>
      </c>
      <c r="AC1767" s="21">
        <f t="shared" si="207"/>
        <v>0</v>
      </c>
      <c r="AD1767">
        <v>0</v>
      </c>
      <c r="AE1767">
        <v>0</v>
      </c>
      <c r="AF1767" s="21">
        <f t="shared" si="210"/>
        <v>0</v>
      </c>
    </row>
    <row r="1768" spans="1:32" ht="15" customHeight="1" x14ac:dyDescent="0.3">
      <c r="A1768">
        <v>4</v>
      </c>
      <c r="B1768" s="2" t="s">
        <v>697</v>
      </c>
      <c r="C1768" s="4" t="s">
        <v>692</v>
      </c>
      <c r="D1768" s="3" t="s">
        <v>662</v>
      </c>
      <c r="E1768" s="6" t="s">
        <v>80</v>
      </c>
      <c r="F1768" s="6" t="s">
        <v>280</v>
      </c>
      <c r="G1768" s="6" t="s">
        <v>709</v>
      </c>
      <c r="H1768" s="23">
        <v>28000</v>
      </c>
      <c r="I1768">
        <v>0</v>
      </c>
      <c r="J1768">
        <v>0</v>
      </c>
      <c r="K1768" s="20">
        <f t="shared" si="208"/>
        <v>0</v>
      </c>
      <c r="L1768">
        <v>0</v>
      </c>
      <c r="M1768">
        <v>0</v>
      </c>
      <c r="N1768" s="21">
        <f t="shared" si="209"/>
        <v>0</v>
      </c>
      <c r="O1768">
        <v>0</v>
      </c>
      <c r="P1768">
        <v>0</v>
      </c>
      <c r="Q1768" s="21">
        <f t="shared" si="203"/>
        <v>0</v>
      </c>
      <c r="R1768">
        <v>30</v>
      </c>
      <c r="S1768">
        <v>1</v>
      </c>
      <c r="T1768" s="21">
        <f t="shared" si="204"/>
        <v>840000</v>
      </c>
      <c r="U1768">
        <v>0</v>
      </c>
      <c r="V1768">
        <v>0</v>
      </c>
      <c r="W1768" s="21">
        <f t="shared" si="205"/>
        <v>0</v>
      </c>
      <c r="X1768">
        <v>0</v>
      </c>
      <c r="Y1768">
        <v>0</v>
      </c>
      <c r="Z1768" s="21">
        <f t="shared" si="206"/>
        <v>0</v>
      </c>
      <c r="AA1768">
        <v>0</v>
      </c>
      <c r="AB1768">
        <v>0</v>
      </c>
      <c r="AC1768" s="21">
        <f t="shared" si="207"/>
        <v>0</v>
      </c>
      <c r="AD1768">
        <v>0</v>
      </c>
      <c r="AE1768">
        <v>0</v>
      </c>
      <c r="AF1768" s="21">
        <f t="shared" si="210"/>
        <v>0</v>
      </c>
    </row>
    <row r="1769" spans="1:32" ht="15" customHeight="1" x14ac:dyDescent="0.3">
      <c r="A1769">
        <v>4</v>
      </c>
      <c r="B1769" s="2" t="s">
        <v>697</v>
      </c>
      <c r="C1769" s="4" t="s">
        <v>692</v>
      </c>
      <c r="D1769" s="3" t="s">
        <v>662</v>
      </c>
      <c r="E1769" s="6" t="s">
        <v>80</v>
      </c>
      <c r="F1769" s="6" t="s">
        <v>434</v>
      </c>
      <c r="G1769" s="6" t="s">
        <v>709</v>
      </c>
      <c r="H1769" s="23">
        <v>28000</v>
      </c>
      <c r="I1769">
        <v>0</v>
      </c>
      <c r="J1769">
        <v>0</v>
      </c>
      <c r="K1769" s="20">
        <f t="shared" si="208"/>
        <v>0</v>
      </c>
      <c r="L1769">
        <v>0</v>
      </c>
      <c r="M1769">
        <v>0</v>
      </c>
      <c r="N1769" s="21">
        <f t="shared" si="209"/>
        <v>0</v>
      </c>
      <c r="O1769">
        <v>0</v>
      </c>
      <c r="P1769">
        <v>0</v>
      </c>
      <c r="Q1769" s="21">
        <f t="shared" si="203"/>
        <v>0</v>
      </c>
      <c r="R1769">
        <v>80</v>
      </c>
      <c r="S1769">
        <v>1</v>
      </c>
      <c r="T1769" s="21">
        <f t="shared" si="204"/>
        <v>2240000</v>
      </c>
      <c r="U1769">
        <v>0</v>
      </c>
      <c r="V1769">
        <v>0</v>
      </c>
      <c r="W1769" s="21">
        <f t="shared" si="205"/>
        <v>0</v>
      </c>
      <c r="X1769">
        <v>0</v>
      </c>
      <c r="Y1769">
        <v>0</v>
      </c>
      <c r="Z1769" s="21">
        <f t="shared" si="206"/>
        <v>0</v>
      </c>
      <c r="AA1769">
        <v>0</v>
      </c>
      <c r="AB1769">
        <v>0</v>
      </c>
      <c r="AC1769" s="21">
        <f t="shared" si="207"/>
        <v>0</v>
      </c>
      <c r="AD1769">
        <v>0</v>
      </c>
      <c r="AE1769">
        <v>0</v>
      </c>
      <c r="AF1769" s="21">
        <f t="shared" si="210"/>
        <v>0</v>
      </c>
    </row>
    <row r="1770" spans="1:32" ht="15" customHeight="1" x14ac:dyDescent="0.3">
      <c r="A1770">
        <v>4</v>
      </c>
      <c r="B1770" s="2" t="s">
        <v>697</v>
      </c>
      <c r="C1770" s="4" t="s">
        <v>692</v>
      </c>
      <c r="D1770" s="3" t="s">
        <v>662</v>
      </c>
      <c r="E1770" s="6" t="s">
        <v>80</v>
      </c>
      <c r="F1770" s="6" t="s">
        <v>434</v>
      </c>
      <c r="G1770" s="6" t="s">
        <v>716</v>
      </c>
      <c r="H1770" s="23">
        <v>39000</v>
      </c>
      <c r="I1770">
        <v>0</v>
      </c>
      <c r="J1770">
        <v>0</v>
      </c>
      <c r="K1770" s="20">
        <f t="shared" si="208"/>
        <v>0</v>
      </c>
      <c r="L1770">
        <v>0</v>
      </c>
      <c r="M1770">
        <v>0</v>
      </c>
      <c r="N1770" s="21">
        <f t="shared" si="209"/>
        <v>0</v>
      </c>
      <c r="O1770">
        <v>0</v>
      </c>
      <c r="P1770">
        <v>0</v>
      </c>
      <c r="Q1770" s="21">
        <f t="shared" si="203"/>
        <v>0</v>
      </c>
      <c r="R1770">
        <v>40</v>
      </c>
      <c r="S1770">
        <v>1</v>
      </c>
      <c r="T1770" s="21">
        <f t="shared" si="204"/>
        <v>1560000</v>
      </c>
      <c r="U1770">
        <v>0</v>
      </c>
      <c r="V1770">
        <v>0</v>
      </c>
      <c r="W1770" s="21">
        <f t="shared" si="205"/>
        <v>0</v>
      </c>
      <c r="X1770">
        <v>0</v>
      </c>
      <c r="Y1770">
        <v>0</v>
      </c>
      <c r="Z1770" s="21">
        <f t="shared" si="206"/>
        <v>0</v>
      </c>
      <c r="AA1770">
        <v>0</v>
      </c>
      <c r="AB1770">
        <v>0</v>
      </c>
      <c r="AC1770" s="21">
        <f t="shared" si="207"/>
        <v>0</v>
      </c>
      <c r="AD1770">
        <v>0</v>
      </c>
      <c r="AE1770">
        <v>0</v>
      </c>
      <c r="AF1770" s="21">
        <f t="shared" si="210"/>
        <v>0</v>
      </c>
    </row>
    <row r="1771" spans="1:32" ht="15" customHeight="1" x14ac:dyDescent="0.3">
      <c r="A1771">
        <v>4</v>
      </c>
      <c r="B1771" s="2" t="s">
        <v>697</v>
      </c>
      <c r="C1771" s="4" t="s">
        <v>692</v>
      </c>
      <c r="D1771" s="3" t="s">
        <v>662</v>
      </c>
      <c r="E1771" s="6" t="s">
        <v>80</v>
      </c>
      <c r="F1771" s="6" t="s">
        <v>434</v>
      </c>
      <c r="G1771" s="6" t="s">
        <v>712</v>
      </c>
      <c r="H1771" s="23">
        <v>214.29</v>
      </c>
      <c r="I1771">
        <v>0</v>
      </c>
      <c r="J1771">
        <v>0</v>
      </c>
      <c r="K1771" s="20">
        <f t="shared" si="208"/>
        <v>0</v>
      </c>
      <c r="L1771">
        <v>0</v>
      </c>
      <c r="M1771">
        <v>0</v>
      </c>
      <c r="N1771" s="21">
        <f t="shared" si="209"/>
        <v>0</v>
      </c>
      <c r="O1771">
        <v>0</v>
      </c>
      <c r="P1771">
        <v>0</v>
      </c>
      <c r="Q1771" s="21">
        <f t="shared" si="203"/>
        <v>0</v>
      </c>
      <c r="R1771">
        <v>10000</v>
      </c>
      <c r="S1771">
        <v>1</v>
      </c>
      <c r="T1771" s="21">
        <f t="shared" si="204"/>
        <v>2142900</v>
      </c>
      <c r="U1771">
        <v>0</v>
      </c>
      <c r="V1771">
        <v>0</v>
      </c>
      <c r="W1771" s="21">
        <f t="shared" si="205"/>
        <v>0</v>
      </c>
      <c r="X1771">
        <v>0</v>
      </c>
      <c r="Y1771">
        <v>0</v>
      </c>
      <c r="Z1771" s="21">
        <f t="shared" si="206"/>
        <v>0</v>
      </c>
      <c r="AA1771">
        <v>0</v>
      </c>
      <c r="AB1771">
        <v>0</v>
      </c>
      <c r="AC1771" s="21">
        <f t="shared" si="207"/>
        <v>0</v>
      </c>
      <c r="AD1771">
        <v>0</v>
      </c>
      <c r="AE1771">
        <v>0</v>
      </c>
      <c r="AF1771" s="21">
        <f t="shared" si="210"/>
        <v>0</v>
      </c>
    </row>
    <row r="1772" spans="1:32" ht="15" customHeight="1" x14ac:dyDescent="0.3">
      <c r="A1772">
        <v>4</v>
      </c>
      <c r="B1772" s="2" t="s">
        <v>697</v>
      </c>
      <c r="C1772" s="4" t="s">
        <v>692</v>
      </c>
      <c r="D1772" s="3" t="s">
        <v>662</v>
      </c>
      <c r="E1772" s="6" t="s">
        <v>80</v>
      </c>
      <c r="F1772" s="6" t="s">
        <v>435</v>
      </c>
      <c r="G1772" s="6" t="s">
        <v>709</v>
      </c>
      <c r="H1772" s="23">
        <v>28000</v>
      </c>
      <c r="I1772">
        <v>0</v>
      </c>
      <c r="J1772">
        <v>0</v>
      </c>
      <c r="K1772" s="20">
        <f t="shared" si="208"/>
        <v>0</v>
      </c>
      <c r="L1772">
        <v>0</v>
      </c>
      <c r="M1772">
        <v>0</v>
      </c>
      <c r="N1772" s="21">
        <f t="shared" si="209"/>
        <v>0</v>
      </c>
      <c r="O1772">
        <v>0</v>
      </c>
      <c r="P1772">
        <v>0</v>
      </c>
      <c r="Q1772" s="21">
        <f t="shared" si="203"/>
        <v>0</v>
      </c>
      <c r="R1772">
        <v>0</v>
      </c>
      <c r="S1772">
        <v>0</v>
      </c>
      <c r="T1772" s="21">
        <f t="shared" si="204"/>
        <v>0</v>
      </c>
      <c r="U1772">
        <v>40</v>
      </c>
      <c r="V1772">
        <v>5</v>
      </c>
      <c r="W1772" s="21">
        <f t="shared" si="205"/>
        <v>5600000</v>
      </c>
      <c r="X1772">
        <v>0</v>
      </c>
      <c r="Y1772">
        <v>0</v>
      </c>
      <c r="Z1772" s="21">
        <f t="shared" si="206"/>
        <v>0</v>
      </c>
      <c r="AA1772">
        <v>0</v>
      </c>
      <c r="AB1772">
        <v>0</v>
      </c>
      <c r="AC1772" s="21">
        <f t="shared" si="207"/>
        <v>0</v>
      </c>
      <c r="AD1772">
        <v>0</v>
      </c>
      <c r="AE1772">
        <v>0</v>
      </c>
      <c r="AF1772" s="21">
        <f t="shared" si="210"/>
        <v>0</v>
      </c>
    </row>
    <row r="1773" spans="1:32" ht="15" customHeight="1" x14ac:dyDescent="0.3">
      <c r="A1773">
        <v>4</v>
      </c>
      <c r="B1773" s="2" t="s">
        <v>697</v>
      </c>
      <c r="C1773" s="4" t="s">
        <v>692</v>
      </c>
      <c r="D1773" s="3" t="s">
        <v>662</v>
      </c>
      <c r="E1773" s="6" t="s">
        <v>80</v>
      </c>
      <c r="F1773" s="6" t="s">
        <v>435</v>
      </c>
      <c r="G1773" s="6" t="s">
        <v>716</v>
      </c>
      <c r="H1773" s="23">
        <v>39000</v>
      </c>
      <c r="I1773">
        <v>0</v>
      </c>
      <c r="J1773">
        <v>0</v>
      </c>
      <c r="K1773" s="20">
        <f t="shared" si="208"/>
        <v>0</v>
      </c>
      <c r="L1773">
        <v>0</v>
      </c>
      <c r="M1773">
        <v>0</v>
      </c>
      <c r="N1773" s="21">
        <f t="shared" si="209"/>
        <v>0</v>
      </c>
      <c r="O1773">
        <v>0</v>
      </c>
      <c r="P1773">
        <v>0</v>
      </c>
      <c r="Q1773" s="21">
        <f t="shared" si="203"/>
        <v>0</v>
      </c>
      <c r="R1773">
        <v>0</v>
      </c>
      <c r="S1773">
        <v>0</v>
      </c>
      <c r="T1773" s="21">
        <f t="shared" si="204"/>
        <v>0</v>
      </c>
      <c r="U1773">
        <v>40</v>
      </c>
      <c r="V1773">
        <v>5</v>
      </c>
      <c r="W1773" s="21">
        <f t="shared" si="205"/>
        <v>7800000</v>
      </c>
      <c r="X1773">
        <v>0</v>
      </c>
      <c r="Y1773">
        <v>0</v>
      </c>
      <c r="Z1773" s="21">
        <f t="shared" si="206"/>
        <v>0</v>
      </c>
      <c r="AA1773">
        <v>0</v>
      </c>
      <c r="AB1773">
        <v>0</v>
      </c>
      <c r="AC1773" s="21">
        <f t="shared" si="207"/>
        <v>0</v>
      </c>
      <c r="AD1773">
        <v>0</v>
      </c>
      <c r="AE1773">
        <v>0</v>
      </c>
      <c r="AF1773" s="21">
        <f t="shared" si="210"/>
        <v>0</v>
      </c>
    </row>
    <row r="1774" spans="1:32" ht="15" customHeight="1" x14ac:dyDescent="0.3">
      <c r="A1774">
        <v>4</v>
      </c>
      <c r="B1774" s="2" t="s">
        <v>697</v>
      </c>
      <c r="C1774" s="4" t="s">
        <v>692</v>
      </c>
      <c r="D1774" s="3" t="s">
        <v>662</v>
      </c>
      <c r="E1774" s="6" t="s">
        <v>80</v>
      </c>
      <c r="F1774" s="6" t="s">
        <v>435</v>
      </c>
      <c r="G1774" s="6" t="s">
        <v>712</v>
      </c>
      <c r="H1774" s="23">
        <v>214.29</v>
      </c>
      <c r="I1774">
        <v>0</v>
      </c>
      <c r="J1774">
        <v>0</v>
      </c>
      <c r="K1774" s="20">
        <f t="shared" si="208"/>
        <v>0</v>
      </c>
      <c r="L1774">
        <v>0</v>
      </c>
      <c r="M1774">
        <v>0</v>
      </c>
      <c r="N1774" s="21">
        <f t="shared" si="209"/>
        <v>0</v>
      </c>
      <c r="O1774">
        <v>0</v>
      </c>
      <c r="P1774">
        <v>0</v>
      </c>
      <c r="Q1774" s="21">
        <f t="shared" si="203"/>
        <v>0</v>
      </c>
      <c r="R1774">
        <v>0</v>
      </c>
      <c r="S1774">
        <v>0</v>
      </c>
      <c r="T1774" s="21">
        <f t="shared" si="204"/>
        <v>0</v>
      </c>
      <c r="U1774">
        <v>8000</v>
      </c>
      <c r="V1774">
        <v>1</v>
      </c>
      <c r="W1774" s="21">
        <f t="shared" si="205"/>
        <v>1714320</v>
      </c>
      <c r="X1774">
        <v>0</v>
      </c>
      <c r="Y1774">
        <v>0</v>
      </c>
      <c r="Z1774" s="21">
        <f t="shared" si="206"/>
        <v>0</v>
      </c>
      <c r="AA1774">
        <v>0</v>
      </c>
      <c r="AB1774">
        <v>0</v>
      </c>
      <c r="AC1774" s="21">
        <f t="shared" si="207"/>
        <v>0</v>
      </c>
      <c r="AD1774">
        <v>0</v>
      </c>
      <c r="AE1774">
        <v>0</v>
      </c>
      <c r="AF1774" s="21">
        <f t="shared" si="210"/>
        <v>0</v>
      </c>
    </row>
    <row r="1775" spans="1:32" ht="15" customHeight="1" x14ac:dyDescent="0.3">
      <c r="A1775">
        <v>4</v>
      </c>
      <c r="B1775" s="2" t="s">
        <v>697</v>
      </c>
      <c r="C1775" s="4" t="s">
        <v>692</v>
      </c>
      <c r="D1775" s="3" t="s">
        <v>662</v>
      </c>
      <c r="E1775" s="6" t="s">
        <v>80</v>
      </c>
      <c r="F1775" s="6" t="s">
        <v>436</v>
      </c>
      <c r="G1775" s="6" t="s">
        <v>709</v>
      </c>
      <c r="H1775" s="23">
        <v>28000</v>
      </c>
      <c r="I1775">
        <v>0</v>
      </c>
      <c r="J1775">
        <v>0</v>
      </c>
      <c r="K1775" s="20">
        <f t="shared" si="208"/>
        <v>0</v>
      </c>
      <c r="L1775">
        <v>0</v>
      </c>
      <c r="M1775">
        <v>0</v>
      </c>
      <c r="N1775" s="21">
        <f t="shared" si="209"/>
        <v>0</v>
      </c>
      <c r="O1775">
        <v>0</v>
      </c>
      <c r="P1775">
        <v>0</v>
      </c>
      <c r="Q1775" s="21">
        <f t="shared" si="203"/>
        <v>0</v>
      </c>
      <c r="R1775">
        <v>0</v>
      </c>
      <c r="S1775">
        <v>0</v>
      </c>
      <c r="T1775" s="21">
        <f t="shared" si="204"/>
        <v>0</v>
      </c>
      <c r="U1775">
        <v>40</v>
      </c>
      <c r="V1775">
        <v>5</v>
      </c>
      <c r="W1775" s="21">
        <f t="shared" si="205"/>
        <v>5600000</v>
      </c>
      <c r="X1775">
        <v>0</v>
      </c>
      <c r="Y1775">
        <v>0</v>
      </c>
      <c r="Z1775" s="21">
        <f t="shared" si="206"/>
        <v>0</v>
      </c>
      <c r="AA1775">
        <v>0</v>
      </c>
      <c r="AB1775">
        <v>0</v>
      </c>
      <c r="AC1775" s="21">
        <f t="shared" si="207"/>
        <v>0</v>
      </c>
      <c r="AD1775">
        <v>0</v>
      </c>
      <c r="AE1775">
        <v>0</v>
      </c>
      <c r="AF1775" s="21">
        <f t="shared" si="210"/>
        <v>0</v>
      </c>
    </row>
    <row r="1776" spans="1:32" ht="15" customHeight="1" x14ac:dyDescent="0.3">
      <c r="A1776">
        <v>4</v>
      </c>
      <c r="B1776" s="2" t="s">
        <v>697</v>
      </c>
      <c r="C1776" s="4" t="s">
        <v>692</v>
      </c>
      <c r="D1776" s="3" t="s">
        <v>662</v>
      </c>
      <c r="E1776" s="6" t="s">
        <v>80</v>
      </c>
      <c r="F1776" s="6" t="s">
        <v>436</v>
      </c>
      <c r="G1776" s="6" t="s">
        <v>716</v>
      </c>
      <c r="H1776" s="23">
        <v>39000</v>
      </c>
      <c r="I1776">
        <v>0</v>
      </c>
      <c r="J1776">
        <v>0</v>
      </c>
      <c r="K1776" s="20">
        <f t="shared" si="208"/>
        <v>0</v>
      </c>
      <c r="L1776">
        <v>0</v>
      </c>
      <c r="M1776">
        <v>0</v>
      </c>
      <c r="N1776" s="21">
        <f t="shared" si="209"/>
        <v>0</v>
      </c>
      <c r="O1776">
        <v>0</v>
      </c>
      <c r="P1776">
        <v>0</v>
      </c>
      <c r="Q1776" s="21">
        <f t="shared" si="203"/>
        <v>0</v>
      </c>
      <c r="R1776">
        <v>0</v>
      </c>
      <c r="S1776">
        <v>0</v>
      </c>
      <c r="T1776" s="21">
        <f t="shared" si="204"/>
        <v>0</v>
      </c>
      <c r="U1776">
        <v>40</v>
      </c>
      <c r="V1776">
        <v>5</v>
      </c>
      <c r="W1776" s="21">
        <f t="shared" si="205"/>
        <v>7800000</v>
      </c>
      <c r="X1776">
        <v>0</v>
      </c>
      <c r="Y1776">
        <v>0</v>
      </c>
      <c r="Z1776" s="21">
        <f t="shared" si="206"/>
        <v>0</v>
      </c>
      <c r="AA1776">
        <v>0</v>
      </c>
      <c r="AB1776">
        <v>0</v>
      </c>
      <c r="AC1776" s="21">
        <f t="shared" si="207"/>
        <v>0</v>
      </c>
      <c r="AD1776">
        <v>0</v>
      </c>
      <c r="AE1776">
        <v>0</v>
      </c>
      <c r="AF1776" s="21">
        <f t="shared" si="210"/>
        <v>0</v>
      </c>
    </row>
    <row r="1777" spans="1:32" ht="15" customHeight="1" x14ac:dyDescent="0.3">
      <c r="A1777">
        <v>4</v>
      </c>
      <c r="B1777" s="2" t="s">
        <v>697</v>
      </c>
      <c r="C1777" s="4" t="s">
        <v>692</v>
      </c>
      <c r="D1777" s="3" t="s">
        <v>662</v>
      </c>
      <c r="E1777" s="6" t="s">
        <v>80</v>
      </c>
      <c r="F1777" s="6" t="s">
        <v>436</v>
      </c>
      <c r="G1777" s="6" t="s">
        <v>712</v>
      </c>
      <c r="H1777" s="23">
        <v>214.29</v>
      </c>
      <c r="I1777">
        <v>0</v>
      </c>
      <c r="J1777">
        <v>0</v>
      </c>
      <c r="K1777" s="20">
        <f t="shared" si="208"/>
        <v>0</v>
      </c>
      <c r="L1777">
        <v>0</v>
      </c>
      <c r="M1777">
        <v>0</v>
      </c>
      <c r="N1777" s="21">
        <f t="shared" si="209"/>
        <v>0</v>
      </c>
      <c r="O1777">
        <v>0</v>
      </c>
      <c r="P1777">
        <v>0</v>
      </c>
      <c r="Q1777" s="21">
        <f t="shared" si="203"/>
        <v>0</v>
      </c>
      <c r="R1777">
        <v>0</v>
      </c>
      <c r="S1777">
        <v>0</v>
      </c>
      <c r="T1777" s="21">
        <f t="shared" si="204"/>
        <v>0</v>
      </c>
      <c r="U1777">
        <v>8000</v>
      </c>
      <c r="V1777">
        <v>1</v>
      </c>
      <c r="W1777" s="21">
        <f t="shared" si="205"/>
        <v>1714320</v>
      </c>
      <c r="X1777">
        <v>0</v>
      </c>
      <c r="Y1777">
        <v>0</v>
      </c>
      <c r="Z1777" s="21">
        <f t="shared" si="206"/>
        <v>0</v>
      </c>
      <c r="AA1777">
        <v>0</v>
      </c>
      <c r="AB1777">
        <v>0</v>
      </c>
      <c r="AC1777" s="21">
        <f t="shared" si="207"/>
        <v>0</v>
      </c>
      <c r="AD1777">
        <v>0</v>
      </c>
      <c r="AE1777">
        <v>0</v>
      </c>
      <c r="AF1777" s="21">
        <f t="shared" si="210"/>
        <v>0</v>
      </c>
    </row>
    <row r="1778" spans="1:32" ht="15" customHeight="1" x14ac:dyDescent="0.3">
      <c r="A1778">
        <v>4</v>
      </c>
      <c r="B1778" s="2" t="s">
        <v>697</v>
      </c>
      <c r="C1778" s="4" t="s">
        <v>692</v>
      </c>
      <c r="D1778" s="3" t="s">
        <v>662</v>
      </c>
      <c r="E1778" s="6" t="s">
        <v>80</v>
      </c>
      <c r="F1778" s="6" t="s">
        <v>437</v>
      </c>
      <c r="G1778" s="6" t="s">
        <v>718</v>
      </c>
      <c r="H1778" s="23">
        <v>0</v>
      </c>
      <c r="I1778">
        <v>0</v>
      </c>
      <c r="J1778">
        <v>0</v>
      </c>
      <c r="K1778" s="20">
        <f t="shared" si="208"/>
        <v>0</v>
      </c>
      <c r="L1778">
        <v>0</v>
      </c>
      <c r="M1778">
        <v>0</v>
      </c>
      <c r="N1778" s="21">
        <f t="shared" si="209"/>
        <v>0</v>
      </c>
      <c r="O1778">
        <v>0</v>
      </c>
      <c r="P1778">
        <v>0</v>
      </c>
      <c r="Q1778" s="21">
        <f t="shared" si="203"/>
        <v>0</v>
      </c>
      <c r="R1778">
        <v>0</v>
      </c>
      <c r="S1778">
        <v>0</v>
      </c>
      <c r="T1778" s="21">
        <f t="shared" si="204"/>
        <v>0</v>
      </c>
      <c r="U1778">
        <v>0</v>
      </c>
      <c r="V1778">
        <v>0</v>
      </c>
      <c r="W1778" s="21">
        <f t="shared" si="205"/>
        <v>0</v>
      </c>
      <c r="X1778">
        <v>0</v>
      </c>
      <c r="Y1778">
        <v>0</v>
      </c>
      <c r="Z1778" s="21">
        <f t="shared" si="206"/>
        <v>0</v>
      </c>
      <c r="AA1778">
        <v>0</v>
      </c>
      <c r="AB1778">
        <v>0</v>
      </c>
      <c r="AC1778" s="21">
        <f t="shared" si="207"/>
        <v>0</v>
      </c>
      <c r="AD1778">
        <v>0</v>
      </c>
      <c r="AE1778">
        <v>0</v>
      </c>
      <c r="AF1778" s="21">
        <f t="shared" si="210"/>
        <v>0</v>
      </c>
    </row>
    <row r="1779" spans="1:32" ht="15" customHeight="1" x14ac:dyDescent="0.3">
      <c r="A1779">
        <v>4</v>
      </c>
      <c r="B1779" s="2" t="s">
        <v>697</v>
      </c>
      <c r="C1779" s="4" t="s">
        <v>692</v>
      </c>
      <c r="D1779" s="3" t="s">
        <v>662</v>
      </c>
      <c r="E1779" s="6" t="s">
        <v>80</v>
      </c>
      <c r="F1779" s="6" t="s">
        <v>438</v>
      </c>
      <c r="G1779" s="6" t="s">
        <v>716</v>
      </c>
      <c r="H1779" s="23">
        <v>39000</v>
      </c>
      <c r="I1779">
        <v>0</v>
      </c>
      <c r="J1779">
        <v>0</v>
      </c>
      <c r="K1779" s="20">
        <f t="shared" si="208"/>
        <v>0</v>
      </c>
      <c r="L1779">
        <v>0</v>
      </c>
      <c r="M1779">
        <v>0</v>
      </c>
      <c r="N1779" s="21">
        <f t="shared" si="209"/>
        <v>0</v>
      </c>
      <c r="O1779">
        <v>0</v>
      </c>
      <c r="P1779">
        <v>0</v>
      </c>
      <c r="Q1779" s="21">
        <f t="shared" si="203"/>
        <v>0</v>
      </c>
      <c r="R1779">
        <v>0</v>
      </c>
      <c r="S1779">
        <v>0</v>
      </c>
      <c r="T1779" s="21">
        <f t="shared" si="204"/>
        <v>0</v>
      </c>
      <c r="U1779">
        <v>150</v>
      </c>
      <c r="V1779">
        <v>3</v>
      </c>
      <c r="W1779" s="21">
        <f t="shared" si="205"/>
        <v>17550000</v>
      </c>
      <c r="X1779">
        <v>0</v>
      </c>
      <c r="Y1779">
        <v>0</v>
      </c>
      <c r="Z1779" s="21">
        <f t="shared" si="206"/>
        <v>0</v>
      </c>
      <c r="AA1779">
        <v>0</v>
      </c>
      <c r="AB1779">
        <v>0</v>
      </c>
      <c r="AC1779" s="21">
        <f t="shared" si="207"/>
        <v>0</v>
      </c>
      <c r="AD1779">
        <v>0</v>
      </c>
      <c r="AE1779">
        <v>0</v>
      </c>
      <c r="AF1779" s="21">
        <f t="shared" si="210"/>
        <v>0</v>
      </c>
    </row>
    <row r="1780" spans="1:32" ht="15" customHeight="1" x14ac:dyDescent="0.3">
      <c r="A1780">
        <v>4</v>
      </c>
      <c r="B1780" s="2" t="s">
        <v>697</v>
      </c>
      <c r="C1780" s="4" t="s">
        <v>692</v>
      </c>
      <c r="D1780" s="3" t="s">
        <v>662</v>
      </c>
      <c r="E1780" s="6" t="s">
        <v>80</v>
      </c>
      <c r="F1780" s="6" t="s">
        <v>438</v>
      </c>
      <c r="G1780" s="6" t="s">
        <v>709</v>
      </c>
      <c r="H1780" s="23">
        <v>28000</v>
      </c>
      <c r="I1780">
        <v>0</v>
      </c>
      <c r="J1780">
        <v>0</v>
      </c>
      <c r="K1780" s="20">
        <f t="shared" si="208"/>
        <v>0</v>
      </c>
      <c r="L1780">
        <v>0</v>
      </c>
      <c r="M1780">
        <v>0</v>
      </c>
      <c r="N1780" s="21">
        <f t="shared" si="209"/>
        <v>0</v>
      </c>
      <c r="O1780">
        <v>0</v>
      </c>
      <c r="P1780">
        <v>0</v>
      </c>
      <c r="Q1780" s="21">
        <f t="shared" si="203"/>
        <v>0</v>
      </c>
      <c r="R1780">
        <v>0</v>
      </c>
      <c r="S1780">
        <v>0</v>
      </c>
      <c r="T1780" s="21">
        <f t="shared" si="204"/>
        <v>0</v>
      </c>
      <c r="U1780">
        <v>150</v>
      </c>
      <c r="V1780">
        <v>3</v>
      </c>
      <c r="W1780" s="21">
        <f t="shared" si="205"/>
        <v>12600000</v>
      </c>
      <c r="X1780">
        <v>0</v>
      </c>
      <c r="Y1780">
        <v>0</v>
      </c>
      <c r="Z1780" s="21">
        <f t="shared" si="206"/>
        <v>0</v>
      </c>
      <c r="AA1780">
        <v>0</v>
      </c>
      <c r="AB1780">
        <v>0</v>
      </c>
      <c r="AC1780" s="21">
        <f t="shared" si="207"/>
        <v>0</v>
      </c>
      <c r="AD1780">
        <v>0</v>
      </c>
      <c r="AE1780">
        <v>0</v>
      </c>
      <c r="AF1780" s="21">
        <f t="shared" si="210"/>
        <v>0</v>
      </c>
    </row>
    <row r="1781" spans="1:32" ht="15" customHeight="1" x14ac:dyDescent="0.3">
      <c r="A1781">
        <v>4</v>
      </c>
      <c r="B1781" s="2" t="s">
        <v>697</v>
      </c>
      <c r="C1781" s="4" t="s">
        <v>692</v>
      </c>
      <c r="D1781" s="3" t="s">
        <v>662</v>
      </c>
      <c r="E1781" s="6" t="s">
        <v>80</v>
      </c>
      <c r="F1781" s="6" t="s">
        <v>438</v>
      </c>
      <c r="G1781" s="6" t="s">
        <v>712</v>
      </c>
      <c r="H1781" s="23">
        <v>214.29</v>
      </c>
      <c r="I1781">
        <v>0</v>
      </c>
      <c r="J1781">
        <v>0</v>
      </c>
      <c r="K1781" s="20">
        <f t="shared" si="208"/>
        <v>0</v>
      </c>
      <c r="L1781">
        <v>0</v>
      </c>
      <c r="M1781">
        <v>0</v>
      </c>
      <c r="N1781" s="21">
        <f t="shared" si="209"/>
        <v>0</v>
      </c>
      <c r="O1781">
        <v>0</v>
      </c>
      <c r="P1781">
        <v>0</v>
      </c>
      <c r="Q1781" s="21">
        <f t="shared" si="203"/>
        <v>0</v>
      </c>
      <c r="R1781">
        <v>0</v>
      </c>
      <c r="S1781">
        <v>0</v>
      </c>
      <c r="T1781" s="21">
        <f t="shared" si="204"/>
        <v>0</v>
      </c>
      <c r="U1781">
        <v>28000</v>
      </c>
      <c r="V1781">
        <v>1</v>
      </c>
      <c r="W1781" s="21">
        <f t="shared" si="205"/>
        <v>6000120</v>
      </c>
      <c r="X1781">
        <v>0</v>
      </c>
      <c r="Y1781">
        <v>0</v>
      </c>
      <c r="Z1781" s="21">
        <f t="shared" si="206"/>
        <v>0</v>
      </c>
      <c r="AA1781">
        <v>0</v>
      </c>
      <c r="AB1781">
        <v>0</v>
      </c>
      <c r="AC1781" s="21">
        <f t="shared" si="207"/>
        <v>0</v>
      </c>
      <c r="AD1781">
        <v>0</v>
      </c>
      <c r="AE1781">
        <v>0</v>
      </c>
      <c r="AF1781" s="21">
        <f t="shared" si="210"/>
        <v>0</v>
      </c>
    </row>
    <row r="1782" spans="1:32" ht="15" customHeight="1" x14ac:dyDescent="0.3">
      <c r="A1782">
        <v>4</v>
      </c>
      <c r="B1782" s="2" t="s">
        <v>697</v>
      </c>
      <c r="C1782" s="4" t="s">
        <v>692</v>
      </c>
      <c r="D1782" s="3" t="s">
        <v>662</v>
      </c>
      <c r="E1782" s="6" t="s">
        <v>80</v>
      </c>
      <c r="F1782" s="6" t="s">
        <v>439</v>
      </c>
      <c r="G1782" s="6" t="s">
        <v>707</v>
      </c>
      <c r="H1782" s="23">
        <v>391991.03749999998</v>
      </c>
      <c r="I1782">
        <v>0</v>
      </c>
      <c r="J1782">
        <v>0</v>
      </c>
      <c r="K1782" s="20">
        <f t="shared" si="208"/>
        <v>0</v>
      </c>
      <c r="L1782">
        <v>0</v>
      </c>
      <c r="M1782">
        <v>0</v>
      </c>
      <c r="N1782" s="21">
        <f t="shared" si="209"/>
        <v>0</v>
      </c>
      <c r="O1782">
        <v>0</v>
      </c>
      <c r="P1782">
        <v>0</v>
      </c>
      <c r="Q1782" s="21">
        <f t="shared" si="203"/>
        <v>0</v>
      </c>
      <c r="R1782">
        <v>0</v>
      </c>
      <c r="S1782">
        <v>0</v>
      </c>
      <c r="T1782" s="21">
        <f t="shared" si="204"/>
        <v>0</v>
      </c>
      <c r="U1782">
        <v>1</v>
      </c>
      <c r="V1782">
        <v>6</v>
      </c>
      <c r="W1782" s="21">
        <f t="shared" si="205"/>
        <v>2351946.2249999996</v>
      </c>
      <c r="X1782">
        <v>0</v>
      </c>
      <c r="Y1782">
        <v>0</v>
      </c>
      <c r="Z1782" s="21">
        <f t="shared" si="206"/>
        <v>0</v>
      </c>
      <c r="AA1782">
        <v>0</v>
      </c>
      <c r="AB1782">
        <v>0</v>
      </c>
      <c r="AC1782" s="21">
        <f t="shared" si="207"/>
        <v>0</v>
      </c>
      <c r="AD1782">
        <v>0</v>
      </c>
      <c r="AE1782">
        <v>0</v>
      </c>
      <c r="AF1782" s="21">
        <f t="shared" si="210"/>
        <v>0</v>
      </c>
    </row>
    <row r="1783" spans="1:32" ht="15" customHeight="1" x14ac:dyDescent="0.3">
      <c r="A1783">
        <v>4</v>
      </c>
      <c r="B1783" s="2" t="s">
        <v>697</v>
      </c>
      <c r="C1783" s="4" t="s">
        <v>692</v>
      </c>
      <c r="D1783" s="3" t="s">
        <v>662</v>
      </c>
      <c r="E1783" s="6" t="s">
        <v>80</v>
      </c>
      <c r="F1783" s="6" t="s">
        <v>439</v>
      </c>
      <c r="G1783" s="6" t="s">
        <v>741</v>
      </c>
      <c r="H1783" s="23">
        <v>34293000</v>
      </c>
      <c r="I1783">
        <v>1</v>
      </c>
      <c r="J1783">
        <v>1</v>
      </c>
      <c r="K1783" s="20">
        <f t="shared" si="208"/>
        <v>34293000</v>
      </c>
      <c r="L1783">
        <v>0</v>
      </c>
      <c r="M1783">
        <v>0</v>
      </c>
      <c r="N1783" s="21">
        <f t="shared" si="209"/>
        <v>0</v>
      </c>
      <c r="O1783">
        <v>0</v>
      </c>
      <c r="P1783">
        <v>0</v>
      </c>
      <c r="Q1783" s="21">
        <f t="shared" si="203"/>
        <v>0</v>
      </c>
      <c r="R1783">
        <v>0</v>
      </c>
      <c r="S1783">
        <v>0</v>
      </c>
      <c r="T1783" s="21">
        <f t="shared" si="204"/>
        <v>0</v>
      </c>
      <c r="U1783">
        <v>1</v>
      </c>
      <c r="V1783">
        <v>1</v>
      </c>
      <c r="W1783" s="21">
        <f t="shared" si="205"/>
        <v>34293000</v>
      </c>
      <c r="X1783">
        <v>0</v>
      </c>
      <c r="Y1783">
        <v>0</v>
      </c>
      <c r="Z1783" s="21">
        <f t="shared" si="206"/>
        <v>0</v>
      </c>
      <c r="AA1783">
        <v>0</v>
      </c>
      <c r="AB1783">
        <v>0</v>
      </c>
      <c r="AC1783" s="21">
        <f t="shared" si="207"/>
        <v>0</v>
      </c>
      <c r="AD1783">
        <v>0</v>
      </c>
      <c r="AE1783">
        <v>0</v>
      </c>
      <c r="AF1783" s="21">
        <f t="shared" si="210"/>
        <v>0</v>
      </c>
    </row>
    <row r="1784" spans="1:32" ht="15" customHeight="1" x14ac:dyDescent="0.3">
      <c r="A1784">
        <v>4</v>
      </c>
      <c r="B1784" s="2" t="s">
        <v>697</v>
      </c>
      <c r="C1784" s="4" t="s">
        <v>692</v>
      </c>
      <c r="D1784" s="3" t="s">
        <v>663</v>
      </c>
      <c r="E1784" s="6" t="s">
        <v>81</v>
      </c>
      <c r="F1784" s="6" t="s">
        <v>440</v>
      </c>
      <c r="G1784" s="6" t="s">
        <v>718</v>
      </c>
      <c r="H1784" s="23">
        <v>0</v>
      </c>
      <c r="I1784">
        <v>0</v>
      </c>
      <c r="J1784">
        <v>0</v>
      </c>
      <c r="K1784" s="20">
        <f t="shared" si="208"/>
        <v>0</v>
      </c>
      <c r="L1784">
        <v>0</v>
      </c>
      <c r="M1784">
        <v>0</v>
      </c>
      <c r="N1784" s="21">
        <f t="shared" si="209"/>
        <v>0</v>
      </c>
      <c r="O1784">
        <v>0</v>
      </c>
      <c r="P1784">
        <v>0</v>
      </c>
      <c r="Q1784" s="21">
        <f t="shared" si="203"/>
        <v>0</v>
      </c>
      <c r="R1784">
        <v>0</v>
      </c>
      <c r="S1784">
        <v>0</v>
      </c>
      <c r="T1784" s="21">
        <f t="shared" si="204"/>
        <v>0</v>
      </c>
      <c r="U1784">
        <v>0</v>
      </c>
      <c r="V1784">
        <v>0</v>
      </c>
      <c r="W1784" s="21">
        <f t="shared" si="205"/>
        <v>0</v>
      </c>
      <c r="X1784">
        <v>0</v>
      </c>
      <c r="Y1784">
        <v>0</v>
      </c>
      <c r="Z1784" s="21">
        <f t="shared" si="206"/>
        <v>0</v>
      </c>
      <c r="AA1784">
        <v>0</v>
      </c>
      <c r="AB1784">
        <v>0</v>
      </c>
      <c r="AC1784" s="21">
        <f t="shared" si="207"/>
        <v>0</v>
      </c>
      <c r="AD1784">
        <v>0</v>
      </c>
      <c r="AE1784">
        <v>0</v>
      </c>
      <c r="AF1784" s="21">
        <f t="shared" si="210"/>
        <v>0</v>
      </c>
    </row>
    <row r="1785" spans="1:32" ht="15" customHeight="1" x14ac:dyDescent="0.3">
      <c r="A1785">
        <v>4</v>
      </c>
      <c r="B1785" s="2" t="s">
        <v>697</v>
      </c>
      <c r="C1785" s="4" t="s">
        <v>692</v>
      </c>
      <c r="D1785" s="3" t="s">
        <v>663</v>
      </c>
      <c r="E1785" s="6" t="s">
        <v>81</v>
      </c>
      <c r="F1785" s="6" t="s">
        <v>441</v>
      </c>
      <c r="G1785" s="6" t="s">
        <v>718</v>
      </c>
      <c r="H1785" s="23">
        <v>0</v>
      </c>
      <c r="I1785">
        <v>0</v>
      </c>
      <c r="J1785">
        <v>0</v>
      </c>
      <c r="K1785" s="20">
        <f t="shared" si="208"/>
        <v>0</v>
      </c>
      <c r="L1785">
        <v>0</v>
      </c>
      <c r="M1785">
        <v>0</v>
      </c>
      <c r="N1785" s="21">
        <f t="shared" si="209"/>
        <v>0</v>
      </c>
      <c r="O1785">
        <v>0</v>
      </c>
      <c r="P1785">
        <v>0</v>
      </c>
      <c r="Q1785" s="21">
        <f t="shared" si="203"/>
        <v>0</v>
      </c>
      <c r="R1785">
        <v>0</v>
      </c>
      <c r="S1785">
        <v>0</v>
      </c>
      <c r="T1785" s="21">
        <f t="shared" si="204"/>
        <v>0</v>
      </c>
      <c r="U1785">
        <v>0</v>
      </c>
      <c r="V1785">
        <v>0</v>
      </c>
      <c r="W1785" s="21">
        <f t="shared" si="205"/>
        <v>0</v>
      </c>
      <c r="X1785">
        <v>0</v>
      </c>
      <c r="Y1785">
        <v>0</v>
      </c>
      <c r="Z1785" s="21">
        <f t="shared" si="206"/>
        <v>0</v>
      </c>
      <c r="AA1785">
        <v>0</v>
      </c>
      <c r="AB1785">
        <v>0</v>
      </c>
      <c r="AC1785" s="21">
        <f t="shared" si="207"/>
        <v>0</v>
      </c>
      <c r="AD1785">
        <v>0</v>
      </c>
      <c r="AE1785">
        <v>0</v>
      </c>
      <c r="AF1785" s="21">
        <f t="shared" si="210"/>
        <v>0</v>
      </c>
    </row>
    <row r="1786" spans="1:32" ht="15" customHeight="1" x14ac:dyDescent="0.3">
      <c r="A1786">
        <v>4</v>
      </c>
      <c r="B1786" s="2" t="s">
        <v>697</v>
      </c>
      <c r="C1786" s="4" t="s">
        <v>692</v>
      </c>
      <c r="D1786" s="3" t="s">
        <v>663</v>
      </c>
      <c r="E1786" s="6" t="s">
        <v>81</v>
      </c>
      <c r="F1786" s="6" t="s">
        <v>149</v>
      </c>
      <c r="G1786" s="6" t="s">
        <v>707</v>
      </c>
      <c r="H1786" s="23">
        <v>391991.03749999998</v>
      </c>
      <c r="I1786">
        <v>1</v>
      </c>
      <c r="J1786">
        <v>6</v>
      </c>
      <c r="K1786" s="20">
        <f t="shared" si="208"/>
        <v>2351946.2249999996</v>
      </c>
      <c r="L1786">
        <v>0</v>
      </c>
      <c r="M1786">
        <v>0</v>
      </c>
      <c r="N1786" s="21">
        <f t="shared" si="209"/>
        <v>0</v>
      </c>
      <c r="O1786">
        <v>0</v>
      </c>
      <c r="P1786">
        <v>0</v>
      </c>
      <c r="Q1786" s="21">
        <f t="shared" si="203"/>
        <v>0</v>
      </c>
      <c r="R1786">
        <v>0</v>
      </c>
      <c r="S1786">
        <v>0</v>
      </c>
      <c r="T1786" s="21">
        <f t="shared" si="204"/>
        <v>0</v>
      </c>
      <c r="U1786">
        <v>0</v>
      </c>
      <c r="V1786">
        <v>0</v>
      </c>
      <c r="W1786" s="21">
        <f t="shared" si="205"/>
        <v>0</v>
      </c>
      <c r="X1786">
        <v>0</v>
      </c>
      <c r="Y1786">
        <v>0</v>
      </c>
      <c r="Z1786" s="21">
        <f t="shared" si="206"/>
        <v>0</v>
      </c>
      <c r="AA1786">
        <v>0</v>
      </c>
      <c r="AB1786">
        <v>0</v>
      </c>
      <c r="AC1786" s="21">
        <f t="shared" si="207"/>
        <v>0</v>
      </c>
      <c r="AD1786">
        <v>0</v>
      </c>
      <c r="AE1786">
        <v>0</v>
      </c>
      <c r="AF1786" s="21">
        <f t="shared" si="210"/>
        <v>0</v>
      </c>
    </row>
    <row r="1787" spans="1:32" ht="15" customHeight="1" x14ac:dyDescent="0.3">
      <c r="A1787">
        <v>4</v>
      </c>
      <c r="B1787" s="2" t="s">
        <v>697</v>
      </c>
      <c r="C1787" s="4" t="s">
        <v>692</v>
      </c>
      <c r="D1787" s="3" t="s">
        <v>663</v>
      </c>
      <c r="E1787" s="6" t="s">
        <v>81</v>
      </c>
      <c r="F1787" s="6" t="s">
        <v>149</v>
      </c>
      <c r="G1787" s="6" t="s">
        <v>708</v>
      </c>
      <c r="H1787" s="23">
        <v>425000</v>
      </c>
      <c r="I1787">
        <v>1</v>
      </c>
      <c r="J1787">
        <v>40</v>
      </c>
      <c r="K1787" s="20">
        <f t="shared" si="208"/>
        <v>17000000</v>
      </c>
      <c r="L1787">
        <v>0</v>
      </c>
      <c r="M1787">
        <v>0</v>
      </c>
      <c r="N1787" s="21">
        <f t="shared" si="209"/>
        <v>0</v>
      </c>
      <c r="O1787">
        <v>0</v>
      </c>
      <c r="P1787">
        <v>0</v>
      </c>
      <c r="Q1787" s="21">
        <f t="shared" si="203"/>
        <v>0</v>
      </c>
      <c r="R1787">
        <v>0</v>
      </c>
      <c r="S1787">
        <v>0</v>
      </c>
      <c r="T1787" s="21">
        <f t="shared" si="204"/>
        <v>0</v>
      </c>
      <c r="U1787">
        <v>0</v>
      </c>
      <c r="V1787">
        <v>0</v>
      </c>
      <c r="W1787" s="21">
        <f t="shared" si="205"/>
        <v>0</v>
      </c>
      <c r="X1787">
        <v>0</v>
      </c>
      <c r="Y1787">
        <v>0</v>
      </c>
      <c r="Z1787" s="21">
        <f t="shared" si="206"/>
        <v>0</v>
      </c>
      <c r="AA1787">
        <v>0</v>
      </c>
      <c r="AB1787">
        <v>0</v>
      </c>
      <c r="AC1787" s="21">
        <f t="shared" si="207"/>
        <v>0</v>
      </c>
      <c r="AD1787">
        <v>0</v>
      </c>
      <c r="AE1787">
        <v>0</v>
      </c>
      <c r="AF1787" s="21">
        <f t="shared" si="210"/>
        <v>0</v>
      </c>
    </row>
    <row r="1788" spans="1:32" ht="15" customHeight="1" x14ac:dyDescent="0.3">
      <c r="A1788">
        <v>4</v>
      </c>
      <c r="B1788" s="2" t="s">
        <v>697</v>
      </c>
      <c r="C1788" s="4" t="s">
        <v>692</v>
      </c>
      <c r="D1788" s="3" t="s">
        <v>663</v>
      </c>
      <c r="E1788" s="6" t="s">
        <v>81</v>
      </c>
      <c r="F1788" s="6" t="s">
        <v>442</v>
      </c>
      <c r="G1788" s="6" t="s">
        <v>709</v>
      </c>
      <c r="H1788" s="23">
        <v>28000</v>
      </c>
      <c r="I1788">
        <v>150</v>
      </c>
      <c r="J1788">
        <v>3</v>
      </c>
      <c r="K1788" s="20">
        <f t="shared" si="208"/>
        <v>12600000</v>
      </c>
      <c r="L1788">
        <v>0</v>
      </c>
      <c r="M1788">
        <v>0</v>
      </c>
      <c r="N1788" s="21">
        <f t="shared" si="209"/>
        <v>0</v>
      </c>
      <c r="O1788">
        <v>0</v>
      </c>
      <c r="P1788">
        <v>0</v>
      </c>
      <c r="Q1788" s="21">
        <f t="shared" si="203"/>
        <v>0</v>
      </c>
      <c r="R1788">
        <v>0</v>
      </c>
      <c r="S1788">
        <v>0</v>
      </c>
      <c r="T1788" s="21">
        <f t="shared" si="204"/>
        <v>0</v>
      </c>
      <c r="U1788">
        <v>0</v>
      </c>
      <c r="V1788">
        <v>0</v>
      </c>
      <c r="W1788" s="21">
        <f t="shared" si="205"/>
        <v>0</v>
      </c>
      <c r="X1788">
        <v>0</v>
      </c>
      <c r="Y1788">
        <v>0</v>
      </c>
      <c r="Z1788" s="21">
        <f t="shared" si="206"/>
        <v>0</v>
      </c>
      <c r="AA1788">
        <v>0</v>
      </c>
      <c r="AB1788">
        <v>0</v>
      </c>
      <c r="AC1788" s="21">
        <f t="shared" si="207"/>
        <v>0</v>
      </c>
      <c r="AD1788">
        <v>0</v>
      </c>
      <c r="AE1788">
        <v>0</v>
      </c>
      <c r="AF1788" s="21">
        <f t="shared" si="210"/>
        <v>0</v>
      </c>
    </row>
    <row r="1789" spans="1:32" ht="15" customHeight="1" x14ac:dyDescent="0.3">
      <c r="A1789">
        <v>4</v>
      </c>
      <c r="B1789" s="2" t="s">
        <v>697</v>
      </c>
      <c r="C1789" s="4" t="s">
        <v>692</v>
      </c>
      <c r="D1789" s="3" t="s">
        <v>663</v>
      </c>
      <c r="E1789" s="6" t="s">
        <v>81</v>
      </c>
      <c r="F1789" s="6" t="s">
        <v>442</v>
      </c>
      <c r="G1789" s="6" t="s">
        <v>716</v>
      </c>
      <c r="H1789" s="23">
        <v>39000</v>
      </c>
      <c r="I1789">
        <v>150</v>
      </c>
      <c r="J1789">
        <v>3</v>
      </c>
      <c r="K1789" s="20">
        <f t="shared" si="208"/>
        <v>17550000</v>
      </c>
      <c r="L1789">
        <v>0</v>
      </c>
      <c r="M1789">
        <v>0</v>
      </c>
      <c r="N1789" s="21">
        <f t="shared" si="209"/>
        <v>0</v>
      </c>
      <c r="O1789">
        <v>0</v>
      </c>
      <c r="P1789">
        <v>0</v>
      </c>
      <c r="Q1789" s="21">
        <f t="shared" ref="Q1789:Q1852" si="211">H1789*O1789*P1789</f>
        <v>0</v>
      </c>
      <c r="R1789">
        <v>0</v>
      </c>
      <c r="S1789">
        <v>0</v>
      </c>
      <c r="T1789" s="21">
        <f t="shared" ref="T1789:T1852" si="212">H1789*R1789*S1789</f>
        <v>0</v>
      </c>
      <c r="U1789">
        <v>0</v>
      </c>
      <c r="V1789">
        <v>0</v>
      </c>
      <c r="W1789" s="21">
        <f t="shared" ref="W1789:W1852" si="213">H1789*U1789*V1789</f>
        <v>0</v>
      </c>
      <c r="X1789">
        <v>0</v>
      </c>
      <c r="Y1789">
        <v>0</v>
      </c>
      <c r="Z1789" s="21">
        <f t="shared" ref="Z1789:Z1852" si="214">H1789*X1789*Y1789</f>
        <v>0</v>
      </c>
      <c r="AA1789">
        <v>0</v>
      </c>
      <c r="AB1789">
        <v>0</v>
      </c>
      <c r="AC1789" s="21">
        <f t="shared" ref="AC1789:AC1852" si="215">H1789*AA1789*AB1789</f>
        <v>0</v>
      </c>
      <c r="AD1789">
        <v>0</v>
      </c>
      <c r="AE1789">
        <v>0</v>
      </c>
      <c r="AF1789" s="21">
        <f t="shared" si="210"/>
        <v>0</v>
      </c>
    </row>
    <row r="1790" spans="1:32" ht="15" customHeight="1" x14ac:dyDescent="0.3">
      <c r="A1790">
        <v>4</v>
      </c>
      <c r="B1790" s="2" t="s">
        <v>697</v>
      </c>
      <c r="C1790" s="4" t="s">
        <v>692</v>
      </c>
      <c r="D1790" s="3" t="s">
        <v>663</v>
      </c>
      <c r="E1790" s="6" t="s">
        <v>81</v>
      </c>
      <c r="F1790" s="6" t="s">
        <v>442</v>
      </c>
      <c r="G1790" s="6" t="s">
        <v>712</v>
      </c>
      <c r="H1790" s="23">
        <v>214.29</v>
      </c>
      <c r="I1790">
        <v>28000</v>
      </c>
      <c r="J1790">
        <v>1</v>
      </c>
      <c r="K1790" s="20">
        <f t="shared" si="208"/>
        <v>6000120</v>
      </c>
      <c r="L1790">
        <v>0</v>
      </c>
      <c r="M1790">
        <v>0</v>
      </c>
      <c r="N1790" s="21">
        <f t="shared" si="209"/>
        <v>0</v>
      </c>
      <c r="O1790">
        <v>0</v>
      </c>
      <c r="P1790">
        <v>0</v>
      </c>
      <c r="Q1790" s="21">
        <f t="shared" si="211"/>
        <v>0</v>
      </c>
      <c r="R1790">
        <v>0</v>
      </c>
      <c r="S1790">
        <v>0</v>
      </c>
      <c r="T1790" s="21">
        <f t="shared" si="212"/>
        <v>0</v>
      </c>
      <c r="U1790">
        <v>0</v>
      </c>
      <c r="V1790">
        <v>0</v>
      </c>
      <c r="W1790" s="21">
        <f t="shared" si="213"/>
        <v>0</v>
      </c>
      <c r="X1790">
        <v>0</v>
      </c>
      <c r="Y1790">
        <v>0</v>
      </c>
      <c r="Z1790" s="21">
        <f t="shared" si="214"/>
        <v>0</v>
      </c>
      <c r="AA1790">
        <v>0</v>
      </c>
      <c r="AB1790">
        <v>0</v>
      </c>
      <c r="AC1790" s="21">
        <f t="shared" si="215"/>
        <v>0</v>
      </c>
      <c r="AD1790">
        <v>0</v>
      </c>
      <c r="AE1790">
        <v>0</v>
      </c>
      <c r="AF1790" s="21">
        <f t="shared" si="210"/>
        <v>0</v>
      </c>
    </row>
    <row r="1791" spans="1:32" ht="15" customHeight="1" x14ac:dyDescent="0.3">
      <c r="A1791">
        <v>4</v>
      </c>
      <c r="B1791" s="2" t="s">
        <v>697</v>
      </c>
      <c r="C1791" s="4" t="s">
        <v>692</v>
      </c>
      <c r="D1791" s="3" t="s">
        <v>663</v>
      </c>
      <c r="E1791" s="6" t="s">
        <v>81</v>
      </c>
      <c r="F1791" s="6" t="s">
        <v>443</v>
      </c>
      <c r="G1791" s="6" t="s">
        <v>716</v>
      </c>
      <c r="H1791" s="23">
        <v>39000</v>
      </c>
      <c r="I1791">
        <v>15</v>
      </c>
      <c r="J1791">
        <v>5</v>
      </c>
      <c r="K1791" s="20">
        <f t="shared" si="208"/>
        <v>2925000</v>
      </c>
      <c r="L1791">
        <v>0</v>
      </c>
      <c r="M1791">
        <v>0</v>
      </c>
      <c r="N1791" s="21">
        <f t="shared" si="209"/>
        <v>0</v>
      </c>
      <c r="O1791">
        <v>0</v>
      </c>
      <c r="P1791">
        <v>0</v>
      </c>
      <c r="Q1791" s="21">
        <f t="shared" si="211"/>
        <v>0</v>
      </c>
      <c r="R1791">
        <v>0</v>
      </c>
      <c r="S1791">
        <v>0</v>
      </c>
      <c r="T1791" s="21">
        <f t="shared" si="212"/>
        <v>0</v>
      </c>
      <c r="U1791">
        <v>0</v>
      </c>
      <c r="V1791">
        <v>0</v>
      </c>
      <c r="W1791" s="21">
        <f t="shared" si="213"/>
        <v>0</v>
      </c>
      <c r="X1791">
        <v>0</v>
      </c>
      <c r="Y1791">
        <v>0</v>
      </c>
      <c r="Z1791" s="21">
        <f t="shared" si="214"/>
        <v>0</v>
      </c>
      <c r="AA1791">
        <v>0</v>
      </c>
      <c r="AB1791">
        <v>0</v>
      </c>
      <c r="AC1791" s="21">
        <f t="shared" si="215"/>
        <v>0</v>
      </c>
      <c r="AD1791">
        <v>0</v>
      </c>
      <c r="AE1791">
        <v>0</v>
      </c>
      <c r="AF1791" s="21">
        <f t="shared" si="210"/>
        <v>0</v>
      </c>
    </row>
    <row r="1792" spans="1:32" ht="15" customHeight="1" x14ac:dyDescent="0.3">
      <c r="A1792">
        <v>4</v>
      </c>
      <c r="B1792" s="2" t="s">
        <v>697</v>
      </c>
      <c r="C1792" s="4" t="s">
        <v>692</v>
      </c>
      <c r="D1792" s="3" t="s">
        <v>663</v>
      </c>
      <c r="E1792" s="6" t="s">
        <v>81</v>
      </c>
      <c r="F1792" s="6" t="s">
        <v>443</v>
      </c>
      <c r="G1792" s="6" t="s">
        <v>709</v>
      </c>
      <c r="H1792" s="23">
        <v>28000</v>
      </c>
      <c r="I1792">
        <v>15</v>
      </c>
      <c r="J1792">
        <v>5</v>
      </c>
      <c r="K1792" s="20">
        <f t="shared" si="208"/>
        <v>2100000</v>
      </c>
      <c r="L1792">
        <v>0</v>
      </c>
      <c r="M1792">
        <v>0</v>
      </c>
      <c r="N1792" s="21">
        <f t="shared" si="209"/>
        <v>0</v>
      </c>
      <c r="O1792">
        <v>0</v>
      </c>
      <c r="P1792">
        <v>0</v>
      </c>
      <c r="Q1792" s="21">
        <f t="shared" si="211"/>
        <v>0</v>
      </c>
      <c r="R1792">
        <v>0</v>
      </c>
      <c r="S1792">
        <v>0</v>
      </c>
      <c r="T1792" s="21">
        <f t="shared" si="212"/>
        <v>0</v>
      </c>
      <c r="U1792">
        <v>0</v>
      </c>
      <c r="V1792">
        <v>0</v>
      </c>
      <c r="W1792" s="21">
        <f t="shared" si="213"/>
        <v>0</v>
      </c>
      <c r="X1792">
        <v>0</v>
      </c>
      <c r="Y1792">
        <v>0</v>
      </c>
      <c r="Z1792" s="21">
        <f t="shared" si="214"/>
        <v>0</v>
      </c>
      <c r="AA1792">
        <v>0</v>
      </c>
      <c r="AB1792">
        <v>0</v>
      </c>
      <c r="AC1792" s="21">
        <f t="shared" si="215"/>
        <v>0</v>
      </c>
      <c r="AD1792">
        <v>0</v>
      </c>
      <c r="AE1792">
        <v>0</v>
      </c>
      <c r="AF1792" s="21">
        <f t="shared" si="210"/>
        <v>0</v>
      </c>
    </row>
    <row r="1793" spans="1:32" ht="15" customHeight="1" x14ac:dyDescent="0.3">
      <c r="A1793">
        <v>4</v>
      </c>
      <c r="B1793" s="2" t="s">
        <v>697</v>
      </c>
      <c r="C1793" s="4" t="s">
        <v>692</v>
      </c>
      <c r="D1793" s="3" t="s">
        <v>663</v>
      </c>
      <c r="E1793" s="6" t="s">
        <v>81</v>
      </c>
      <c r="F1793" s="6" t="s">
        <v>443</v>
      </c>
      <c r="G1793" s="6" t="s">
        <v>712</v>
      </c>
      <c r="H1793" s="23">
        <v>214.29</v>
      </c>
      <c r="I1793">
        <v>4000</v>
      </c>
      <c r="J1793">
        <v>1</v>
      </c>
      <c r="K1793" s="20">
        <f t="shared" si="208"/>
        <v>857160</v>
      </c>
      <c r="L1793">
        <v>0</v>
      </c>
      <c r="M1793">
        <v>0</v>
      </c>
      <c r="N1793" s="21">
        <f t="shared" si="209"/>
        <v>0</v>
      </c>
      <c r="O1793">
        <v>0</v>
      </c>
      <c r="P1793">
        <v>0</v>
      </c>
      <c r="Q1793" s="21">
        <f t="shared" si="211"/>
        <v>0</v>
      </c>
      <c r="R1793">
        <v>0</v>
      </c>
      <c r="S1793">
        <v>0</v>
      </c>
      <c r="T1793" s="21">
        <f t="shared" si="212"/>
        <v>0</v>
      </c>
      <c r="U1793">
        <v>0</v>
      </c>
      <c r="V1793">
        <v>0</v>
      </c>
      <c r="W1793" s="21">
        <f t="shared" si="213"/>
        <v>0</v>
      </c>
      <c r="X1793">
        <v>0</v>
      </c>
      <c r="Y1793">
        <v>0</v>
      </c>
      <c r="Z1793" s="21">
        <f t="shared" si="214"/>
        <v>0</v>
      </c>
      <c r="AA1793">
        <v>0</v>
      </c>
      <c r="AB1793">
        <v>0</v>
      </c>
      <c r="AC1793" s="21">
        <f t="shared" si="215"/>
        <v>0</v>
      </c>
      <c r="AD1793">
        <v>0</v>
      </c>
      <c r="AE1793">
        <v>0</v>
      </c>
      <c r="AF1793" s="21">
        <f t="shared" si="210"/>
        <v>0</v>
      </c>
    </row>
    <row r="1794" spans="1:32" ht="15" customHeight="1" x14ac:dyDescent="0.3">
      <c r="A1794">
        <v>4</v>
      </c>
      <c r="B1794" s="2" t="s">
        <v>697</v>
      </c>
      <c r="C1794" s="4" t="s">
        <v>692</v>
      </c>
      <c r="D1794" s="3" t="s">
        <v>663</v>
      </c>
      <c r="E1794" s="6" t="s">
        <v>81</v>
      </c>
      <c r="F1794" s="6" t="s">
        <v>168</v>
      </c>
      <c r="G1794" s="6" t="s">
        <v>709</v>
      </c>
      <c r="H1794" s="23">
        <v>28000</v>
      </c>
      <c r="I1794">
        <v>40</v>
      </c>
      <c r="J1794">
        <v>3</v>
      </c>
      <c r="K1794" s="20">
        <f t="shared" si="208"/>
        <v>3360000</v>
      </c>
      <c r="L1794">
        <v>0</v>
      </c>
      <c r="M1794">
        <v>0</v>
      </c>
      <c r="N1794" s="21">
        <f t="shared" si="209"/>
        <v>0</v>
      </c>
      <c r="O1794">
        <v>0</v>
      </c>
      <c r="P1794">
        <v>0</v>
      </c>
      <c r="Q1794" s="21">
        <f t="shared" si="211"/>
        <v>0</v>
      </c>
      <c r="R1794">
        <v>0</v>
      </c>
      <c r="S1794">
        <v>0</v>
      </c>
      <c r="T1794" s="21">
        <f t="shared" si="212"/>
        <v>0</v>
      </c>
      <c r="U1794">
        <v>0</v>
      </c>
      <c r="V1794">
        <v>0</v>
      </c>
      <c r="W1794" s="21">
        <f t="shared" si="213"/>
        <v>0</v>
      </c>
      <c r="X1794">
        <v>0</v>
      </c>
      <c r="Y1794">
        <v>0</v>
      </c>
      <c r="Z1794" s="21">
        <f t="shared" si="214"/>
        <v>0</v>
      </c>
      <c r="AA1794">
        <v>0</v>
      </c>
      <c r="AB1794">
        <v>0</v>
      </c>
      <c r="AC1794" s="21">
        <f t="shared" si="215"/>
        <v>0</v>
      </c>
      <c r="AD1794">
        <v>0</v>
      </c>
      <c r="AE1794">
        <v>0</v>
      </c>
      <c r="AF1794" s="21">
        <f t="shared" si="210"/>
        <v>0</v>
      </c>
    </row>
    <row r="1795" spans="1:32" ht="15" customHeight="1" x14ac:dyDescent="0.3">
      <c r="A1795">
        <v>4</v>
      </c>
      <c r="B1795" s="2" t="s">
        <v>697</v>
      </c>
      <c r="C1795" s="4" t="s">
        <v>692</v>
      </c>
      <c r="D1795" s="3" t="s">
        <v>663</v>
      </c>
      <c r="E1795" s="6" t="s">
        <v>81</v>
      </c>
      <c r="F1795" s="6" t="s">
        <v>168</v>
      </c>
      <c r="G1795" s="6" t="s">
        <v>716</v>
      </c>
      <c r="H1795" s="23">
        <v>39000</v>
      </c>
      <c r="I1795">
        <v>40</v>
      </c>
      <c r="J1795">
        <v>3</v>
      </c>
      <c r="K1795" s="20">
        <f t="shared" si="208"/>
        <v>4680000</v>
      </c>
      <c r="L1795">
        <v>0</v>
      </c>
      <c r="M1795">
        <v>0</v>
      </c>
      <c r="N1795" s="21">
        <f t="shared" si="209"/>
        <v>0</v>
      </c>
      <c r="O1795">
        <v>0</v>
      </c>
      <c r="P1795">
        <v>0</v>
      </c>
      <c r="Q1795" s="21">
        <f t="shared" si="211"/>
        <v>0</v>
      </c>
      <c r="R1795">
        <v>0</v>
      </c>
      <c r="S1795">
        <v>0</v>
      </c>
      <c r="T1795" s="21">
        <f t="shared" si="212"/>
        <v>0</v>
      </c>
      <c r="U1795">
        <v>0</v>
      </c>
      <c r="V1795">
        <v>0</v>
      </c>
      <c r="W1795" s="21">
        <f t="shared" si="213"/>
        <v>0</v>
      </c>
      <c r="X1795">
        <v>0</v>
      </c>
      <c r="Y1795">
        <v>0</v>
      </c>
      <c r="Z1795" s="21">
        <f t="shared" si="214"/>
        <v>0</v>
      </c>
      <c r="AA1795">
        <v>0</v>
      </c>
      <c r="AB1795">
        <v>0</v>
      </c>
      <c r="AC1795" s="21">
        <f t="shared" si="215"/>
        <v>0</v>
      </c>
      <c r="AD1795">
        <v>0</v>
      </c>
      <c r="AE1795">
        <v>0</v>
      </c>
      <c r="AF1795" s="21">
        <f t="shared" si="210"/>
        <v>0</v>
      </c>
    </row>
    <row r="1796" spans="1:32" ht="15" customHeight="1" x14ac:dyDescent="0.3">
      <c r="A1796">
        <v>4</v>
      </c>
      <c r="B1796" s="2" t="s">
        <v>697</v>
      </c>
      <c r="C1796" s="4" t="s">
        <v>692</v>
      </c>
      <c r="D1796" s="3" t="s">
        <v>663</v>
      </c>
      <c r="E1796" s="6" t="s">
        <v>81</v>
      </c>
      <c r="F1796" s="6" t="s">
        <v>168</v>
      </c>
      <c r="G1796" s="6" t="s">
        <v>712</v>
      </c>
      <c r="H1796" s="23">
        <v>214.29</v>
      </c>
      <c r="I1796">
        <v>10000</v>
      </c>
      <c r="J1796">
        <v>1</v>
      </c>
      <c r="K1796" s="20">
        <f t="shared" si="208"/>
        <v>2142900</v>
      </c>
      <c r="L1796">
        <v>0</v>
      </c>
      <c r="M1796">
        <v>0</v>
      </c>
      <c r="N1796" s="21">
        <f t="shared" si="209"/>
        <v>0</v>
      </c>
      <c r="O1796">
        <v>0</v>
      </c>
      <c r="P1796">
        <v>0</v>
      </c>
      <c r="Q1796" s="21">
        <f t="shared" si="211"/>
        <v>0</v>
      </c>
      <c r="R1796">
        <v>0</v>
      </c>
      <c r="S1796">
        <v>0</v>
      </c>
      <c r="T1796" s="21">
        <f t="shared" si="212"/>
        <v>0</v>
      </c>
      <c r="U1796">
        <v>0</v>
      </c>
      <c r="V1796">
        <v>0</v>
      </c>
      <c r="W1796" s="21">
        <f t="shared" si="213"/>
        <v>0</v>
      </c>
      <c r="X1796">
        <v>0</v>
      </c>
      <c r="Y1796">
        <v>0</v>
      </c>
      <c r="Z1796" s="21">
        <f t="shared" si="214"/>
        <v>0</v>
      </c>
      <c r="AA1796">
        <v>0</v>
      </c>
      <c r="AB1796">
        <v>0</v>
      </c>
      <c r="AC1796" s="21">
        <f t="shared" si="215"/>
        <v>0</v>
      </c>
      <c r="AD1796">
        <v>0</v>
      </c>
      <c r="AE1796">
        <v>0</v>
      </c>
      <c r="AF1796" s="21">
        <f t="shared" si="210"/>
        <v>0</v>
      </c>
    </row>
    <row r="1797" spans="1:32" ht="15" customHeight="1" x14ac:dyDescent="0.3">
      <c r="A1797">
        <v>4</v>
      </c>
      <c r="B1797" s="2" t="s">
        <v>697</v>
      </c>
      <c r="C1797" s="4" t="s">
        <v>692</v>
      </c>
      <c r="D1797" s="3" t="s">
        <v>663</v>
      </c>
      <c r="E1797" s="6" t="s">
        <v>81</v>
      </c>
      <c r="F1797" s="6" t="s">
        <v>444</v>
      </c>
      <c r="G1797" s="6" t="s">
        <v>709</v>
      </c>
      <c r="H1797" s="23">
        <v>28000</v>
      </c>
      <c r="I1797">
        <v>20</v>
      </c>
      <c r="J1797">
        <v>5</v>
      </c>
      <c r="K1797" s="20">
        <f t="shared" si="208"/>
        <v>2800000</v>
      </c>
      <c r="L1797">
        <v>0</v>
      </c>
      <c r="M1797">
        <v>0</v>
      </c>
      <c r="N1797" s="21">
        <f t="shared" si="209"/>
        <v>0</v>
      </c>
      <c r="O1797">
        <v>0</v>
      </c>
      <c r="P1797">
        <v>0</v>
      </c>
      <c r="Q1797" s="21">
        <f t="shared" si="211"/>
        <v>0</v>
      </c>
      <c r="R1797">
        <v>0</v>
      </c>
      <c r="S1797">
        <v>0</v>
      </c>
      <c r="T1797" s="21">
        <f t="shared" si="212"/>
        <v>0</v>
      </c>
      <c r="U1797">
        <v>0</v>
      </c>
      <c r="V1797">
        <v>0</v>
      </c>
      <c r="W1797" s="21">
        <f t="shared" si="213"/>
        <v>0</v>
      </c>
      <c r="X1797">
        <v>0</v>
      </c>
      <c r="Y1797">
        <v>0</v>
      </c>
      <c r="Z1797" s="21">
        <f t="shared" si="214"/>
        <v>0</v>
      </c>
      <c r="AA1797">
        <v>0</v>
      </c>
      <c r="AB1797">
        <v>0</v>
      </c>
      <c r="AC1797" s="21">
        <f t="shared" si="215"/>
        <v>0</v>
      </c>
      <c r="AD1797">
        <v>0</v>
      </c>
      <c r="AE1797">
        <v>0</v>
      </c>
      <c r="AF1797" s="21">
        <f t="shared" si="210"/>
        <v>0</v>
      </c>
    </row>
    <row r="1798" spans="1:32" ht="15" customHeight="1" x14ac:dyDescent="0.3">
      <c r="A1798">
        <v>4</v>
      </c>
      <c r="B1798" s="2" t="s">
        <v>697</v>
      </c>
      <c r="C1798" s="4" t="s">
        <v>692</v>
      </c>
      <c r="D1798" s="3" t="s">
        <v>663</v>
      </c>
      <c r="E1798" s="6" t="s">
        <v>81</v>
      </c>
      <c r="F1798" s="6" t="s">
        <v>444</v>
      </c>
      <c r="G1798" s="6" t="s">
        <v>716</v>
      </c>
      <c r="H1798" s="23">
        <v>39000</v>
      </c>
      <c r="I1798">
        <v>20</v>
      </c>
      <c r="J1798">
        <v>5</v>
      </c>
      <c r="K1798" s="20">
        <f t="shared" ref="K1798:K1861" si="216">H1798*I1798*J1798</f>
        <v>3900000</v>
      </c>
      <c r="L1798">
        <v>0</v>
      </c>
      <c r="M1798">
        <v>0</v>
      </c>
      <c r="N1798" s="21">
        <f t="shared" ref="N1798:N1861" si="217">H1798*L1798*M1798</f>
        <v>0</v>
      </c>
      <c r="O1798">
        <v>0</v>
      </c>
      <c r="P1798">
        <v>0</v>
      </c>
      <c r="Q1798" s="21">
        <f t="shared" si="211"/>
        <v>0</v>
      </c>
      <c r="R1798">
        <v>0</v>
      </c>
      <c r="S1798">
        <v>0</v>
      </c>
      <c r="T1798" s="21">
        <f t="shared" si="212"/>
        <v>0</v>
      </c>
      <c r="U1798">
        <v>0</v>
      </c>
      <c r="V1798">
        <v>0</v>
      </c>
      <c r="W1798" s="21">
        <f t="shared" si="213"/>
        <v>0</v>
      </c>
      <c r="X1798">
        <v>0</v>
      </c>
      <c r="Y1798">
        <v>0</v>
      </c>
      <c r="Z1798" s="21">
        <f t="shared" si="214"/>
        <v>0</v>
      </c>
      <c r="AA1798">
        <v>0</v>
      </c>
      <c r="AB1798">
        <v>0</v>
      </c>
      <c r="AC1798" s="21">
        <f t="shared" si="215"/>
        <v>0</v>
      </c>
      <c r="AD1798">
        <v>0</v>
      </c>
      <c r="AE1798">
        <v>0</v>
      </c>
      <c r="AF1798" s="21">
        <f t="shared" ref="AF1798:AF1861" si="218">H1798*AD1798*AE1798</f>
        <v>0</v>
      </c>
    </row>
    <row r="1799" spans="1:32" ht="15" customHeight="1" x14ac:dyDescent="0.3">
      <c r="A1799">
        <v>4</v>
      </c>
      <c r="B1799" s="2" t="s">
        <v>697</v>
      </c>
      <c r="C1799" s="4" t="s">
        <v>692</v>
      </c>
      <c r="D1799" s="3" t="s">
        <v>663</v>
      </c>
      <c r="E1799" s="6" t="s">
        <v>81</v>
      </c>
      <c r="F1799" s="6" t="s">
        <v>444</v>
      </c>
      <c r="G1799" s="6" t="s">
        <v>712</v>
      </c>
      <c r="H1799" s="23">
        <v>214.29</v>
      </c>
      <c r="I1799">
        <v>8000</v>
      </c>
      <c r="J1799">
        <v>1</v>
      </c>
      <c r="K1799" s="20">
        <f t="shared" si="216"/>
        <v>1714320</v>
      </c>
      <c r="L1799">
        <v>0</v>
      </c>
      <c r="M1799">
        <v>0</v>
      </c>
      <c r="N1799" s="21">
        <f t="shared" si="217"/>
        <v>0</v>
      </c>
      <c r="O1799">
        <v>0</v>
      </c>
      <c r="P1799">
        <v>0</v>
      </c>
      <c r="Q1799" s="21">
        <f t="shared" si="211"/>
        <v>0</v>
      </c>
      <c r="R1799">
        <v>0</v>
      </c>
      <c r="S1799">
        <v>0</v>
      </c>
      <c r="T1799" s="21">
        <f t="shared" si="212"/>
        <v>0</v>
      </c>
      <c r="U1799">
        <v>0</v>
      </c>
      <c r="V1799">
        <v>0</v>
      </c>
      <c r="W1799" s="21">
        <f t="shared" si="213"/>
        <v>0</v>
      </c>
      <c r="X1799">
        <v>0</v>
      </c>
      <c r="Y1799">
        <v>0</v>
      </c>
      <c r="Z1799" s="21">
        <f t="shared" si="214"/>
        <v>0</v>
      </c>
      <c r="AA1799">
        <v>0</v>
      </c>
      <c r="AB1799">
        <v>0</v>
      </c>
      <c r="AC1799" s="21">
        <f t="shared" si="215"/>
        <v>0</v>
      </c>
      <c r="AD1799">
        <v>0</v>
      </c>
      <c r="AE1799">
        <v>0</v>
      </c>
      <c r="AF1799" s="21">
        <f t="shared" si="218"/>
        <v>0</v>
      </c>
    </row>
    <row r="1800" spans="1:32" ht="15" customHeight="1" x14ac:dyDescent="0.3">
      <c r="A1800">
        <v>4</v>
      </c>
      <c r="B1800" s="2" t="s">
        <v>697</v>
      </c>
      <c r="C1800" s="4" t="s">
        <v>692</v>
      </c>
      <c r="D1800" s="3" t="s">
        <v>664</v>
      </c>
      <c r="E1800" s="6" t="s">
        <v>82</v>
      </c>
      <c r="F1800" s="6" t="s">
        <v>445</v>
      </c>
      <c r="G1800" s="6" t="s">
        <v>707</v>
      </c>
      <c r="H1800" s="23">
        <v>391991.03749999998</v>
      </c>
      <c r="I1800">
        <v>2</v>
      </c>
      <c r="J1800">
        <v>4</v>
      </c>
      <c r="K1800" s="20">
        <f t="shared" si="216"/>
        <v>3135928.3</v>
      </c>
      <c r="L1800">
        <v>0</v>
      </c>
      <c r="M1800">
        <v>0</v>
      </c>
      <c r="N1800" s="21">
        <f t="shared" si="217"/>
        <v>0</v>
      </c>
      <c r="O1800">
        <v>0</v>
      </c>
      <c r="P1800">
        <v>0</v>
      </c>
      <c r="Q1800" s="21">
        <f t="shared" si="211"/>
        <v>0</v>
      </c>
      <c r="R1800">
        <v>0</v>
      </c>
      <c r="S1800">
        <v>0</v>
      </c>
      <c r="T1800" s="21">
        <f t="shared" si="212"/>
        <v>0</v>
      </c>
      <c r="U1800">
        <v>0</v>
      </c>
      <c r="V1800">
        <v>0</v>
      </c>
      <c r="W1800" s="21">
        <f t="shared" si="213"/>
        <v>0</v>
      </c>
      <c r="X1800">
        <v>0</v>
      </c>
      <c r="Y1800">
        <v>0</v>
      </c>
      <c r="Z1800" s="21">
        <f t="shared" si="214"/>
        <v>0</v>
      </c>
      <c r="AA1800">
        <v>0</v>
      </c>
      <c r="AB1800">
        <v>0</v>
      </c>
      <c r="AC1800" s="21">
        <f t="shared" si="215"/>
        <v>0</v>
      </c>
      <c r="AD1800">
        <v>0</v>
      </c>
      <c r="AE1800">
        <v>0</v>
      </c>
      <c r="AF1800" s="21">
        <f t="shared" si="218"/>
        <v>0</v>
      </c>
    </row>
    <row r="1801" spans="1:32" ht="15" customHeight="1" x14ac:dyDescent="0.3">
      <c r="A1801">
        <v>4</v>
      </c>
      <c r="B1801" s="2" t="s">
        <v>697</v>
      </c>
      <c r="C1801" s="4" t="s">
        <v>692</v>
      </c>
      <c r="D1801" s="3" t="s">
        <v>664</v>
      </c>
      <c r="E1801" s="6" t="s">
        <v>82</v>
      </c>
      <c r="F1801" s="6" t="s">
        <v>772</v>
      </c>
      <c r="G1801" s="6" t="s">
        <v>773</v>
      </c>
      <c r="H1801" s="23">
        <v>7200000</v>
      </c>
      <c r="I1801">
        <v>1</v>
      </c>
      <c r="J1801">
        <v>1</v>
      </c>
      <c r="K1801" s="20">
        <f t="shared" si="216"/>
        <v>7200000</v>
      </c>
      <c r="L1801">
        <v>0</v>
      </c>
      <c r="M1801">
        <v>0</v>
      </c>
      <c r="N1801" s="21">
        <f t="shared" si="217"/>
        <v>0</v>
      </c>
      <c r="O1801">
        <v>0</v>
      </c>
      <c r="P1801">
        <v>0</v>
      </c>
      <c r="Q1801" s="21">
        <f t="shared" si="211"/>
        <v>0</v>
      </c>
      <c r="R1801">
        <v>0</v>
      </c>
      <c r="S1801">
        <v>0</v>
      </c>
      <c r="T1801" s="21">
        <f t="shared" si="212"/>
        <v>0</v>
      </c>
      <c r="U1801">
        <v>0</v>
      </c>
      <c r="V1801">
        <v>0</v>
      </c>
      <c r="W1801" s="21">
        <f t="shared" si="213"/>
        <v>0</v>
      </c>
      <c r="X1801">
        <v>0</v>
      </c>
      <c r="Y1801">
        <v>0</v>
      </c>
      <c r="Z1801" s="21">
        <f t="shared" si="214"/>
        <v>0</v>
      </c>
      <c r="AA1801">
        <v>0</v>
      </c>
      <c r="AB1801">
        <v>0</v>
      </c>
      <c r="AC1801" s="21">
        <f t="shared" si="215"/>
        <v>0</v>
      </c>
      <c r="AD1801">
        <v>0</v>
      </c>
      <c r="AE1801">
        <v>0</v>
      </c>
      <c r="AF1801" s="21">
        <f t="shared" si="218"/>
        <v>0</v>
      </c>
    </row>
    <row r="1802" spans="1:32" ht="15" customHeight="1" x14ac:dyDescent="0.3">
      <c r="A1802">
        <v>4</v>
      </c>
      <c r="B1802" s="2" t="s">
        <v>697</v>
      </c>
      <c r="C1802" s="4" t="s">
        <v>692</v>
      </c>
      <c r="D1802" s="3" t="s">
        <v>664</v>
      </c>
      <c r="E1802" s="6" t="s">
        <v>82</v>
      </c>
      <c r="F1802" s="6" t="s">
        <v>774</v>
      </c>
      <c r="G1802" s="6" t="s">
        <v>775</v>
      </c>
      <c r="H1802" s="23">
        <v>6000000</v>
      </c>
      <c r="I1802">
        <v>4</v>
      </c>
      <c r="J1802">
        <v>1</v>
      </c>
      <c r="K1802" s="20">
        <f t="shared" si="216"/>
        <v>24000000</v>
      </c>
      <c r="L1802">
        <v>0</v>
      </c>
      <c r="M1802">
        <v>0</v>
      </c>
      <c r="N1802" s="21">
        <f t="shared" si="217"/>
        <v>0</v>
      </c>
      <c r="O1802">
        <v>0</v>
      </c>
      <c r="P1802">
        <v>0</v>
      </c>
      <c r="Q1802" s="21">
        <f t="shared" si="211"/>
        <v>0</v>
      </c>
      <c r="R1802">
        <v>0</v>
      </c>
      <c r="S1802">
        <v>0</v>
      </c>
      <c r="T1802" s="21">
        <f t="shared" si="212"/>
        <v>0</v>
      </c>
      <c r="U1802">
        <v>0</v>
      </c>
      <c r="V1802">
        <v>0</v>
      </c>
      <c r="W1802" s="21">
        <f t="shared" si="213"/>
        <v>0</v>
      </c>
      <c r="X1802">
        <v>0</v>
      </c>
      <c r="Y1802">
        <v>0</v>
      </c>
      <c r="Z1802" s="21">
        <f t="shared" si="214"/>
        <v>0</v>
      </c>
      <c r="AA1802">
        <v>0</v>
      </c>
      <c r="AB1802">
        <v>0</v>
      </c>
      <c r="AC1802" s="21">
        <f t="shared" si="215"/>
        <v>0</v>
      </c>
      <c r="AD1802">
        <v>0</v>
      </c>
      <c r="AE1802">
        <v>0</v>
      </c>
      <c r="AF1802" s="21">
        <f t="shared" si="218"/>
        <v>0</v>
      </c>
    </row>
    <row r="1803" spans="1:32" ht="15" customHeight="1" x14ac:dyDescent="0.3">
      <c r="A1803">
        <v>4</v>
      </c>
      <c r="B1803" s="2" t="s">
        <v>697</v>
      </c>
      <c r="C1803" s="4" t="s">
        <v>692</v>
      </c>
      <c r="D1803" s="3" t="s">
        <v>664</v>
      </c>
      <c r="E1803" s="6" t="s">
        <v>82</v>
      </c>
      <c r="F1803" s="6" t="s">
        <v>446</v>
      </c>
      <c r="G1803" s="6" t="s">
        <v>725</v>
      </c>
      <c r="H1803" s="23">
        <v>25049102.170000002</v>
      </c>
      <c r="I1803">
        <v>0</v>
      </c>
      <c r="J1803">
        <v>0</v>
      </c>
      <c r="K1803" s="20">
        <f t="shared" si="216"/>
        <v>0</v>
      </c>
      <c r="L1803">
        <v>10</v>
      </c>
      <c r="M1803">
        <v>1</v>
      </c>
      <c r="N1803" s="21">
        <f t="shared" si="217"/>
        <v>250491021.70000002</v>
      </c>
      <c r="O1803">
        <v>10</v>
      </c>
      <c r="P1803">
        <v>1</v>
      </c>
      <c r="Q1803" s="21">
        <f t="shared" si="211"/>
        <v>250491021.70000002</v>
      </c>
      <c r="R1803">
        <v>10</v>
      </c>
      <c r="S1803">
        <v>1</v>
      </c>
      <c r="T1803" s="21">
        <f t="shared" si="212"/>
        <v>250491021.70000002</v>
      </c>
      <c r="U1803">
        <v>4</v>
      </c>
      <c r="V1803">
        <v>1</v>
      </c>
      <c r="W1803" s="21">
        <f t="shared" si="213"/>
        <v>100196408.68000001</v>
      </c>
      <c r="X1803">
        <v>0</v>
      </c>
      <c r="Y1803">
        <v>0</v>
      </c>
      <c r="Z1803" s="21">
        <f t="shared" si="214"/>
        <v>0</v>
      </c>
      <c r="AA1803">
        <v>0</v>
      </c>
      <c r="AB1803">
        <v>0</v>
      </c>
      <c r="AC1803" s="21">
        <f t="shared" si="215"/>
        <v>0</v>
      </c>
      <c r="AD1803">
        <v>0</v>
      </c>
      <c r="AE1803">
        <v>0</v>
      </c>
      <c r="AF1803" s="21">
        <f t="shared" si="218"/>
        <v>0</v>
      </c>
    </row>
    <row r="1804" spans="1:32" ht="15" customHeight="1" x14ac:dyDescent="0.3">
      <c r="A1804">
        <v>4</v>
      </c>
      <c r="B1804" s="2" t="s">
        <v>697</v>
      </c>
      <c r="C1804" s="4" t="s">
        <v>692</v>
      </c>
      <c r="D1804" s="3" t="s">
        <v>664</v>
      </c>
      <c r="E1804" s="6" t="s">
        <v>82</v>
      </c>
      <c r="F1804" s="6" t="s">
        <v>447</v>
      </c>
      <c r="G1804" s="6" t="s">
        <v>776</v>
      </c>
      <c r="H1804" s="23">
        <v>44100963</v>
      </c>
      <c r="I1804">
        <v>0</v>
      </c>
      <c r="J1804">
        <v>0</v>
      </c>
      <c r="K1804" s="20">
        <f t="shared" si="216"/>
        <v>0</v>
      </c>
      <c r="L1804">
        <v>2</v>
      </c>
      <c r="M1804">
        <v>1</v>
      </c>
      <c r="N1804" s="21">
        <f t="shared" si="217"/>
        <v>88201926</v>
      </c>
      <c r="O1804">
        <v>2</v>
      </c>
      <c r="P1804">
        <v>1</v>
      </c>
      <c r="Q1804" s="21">
        <f t="shared" si="211"/>
        <v>88201926</v>
      </c>
      <c r="R1804">
        <v>2</v>
      </c>
      <c r="S1804">
        <v>1</v>
      </c>
      <c r="T1804" s="21">
        <f t="shared" si="212"/>
        <v>88201926</v>
      </c>
      <c r="U1804">
        <v>2</v>
      </c>
      <c r="V1804">
        <v>1</v>
      </c>
      <c r="W1804" s="21">
        <f t="shared" si="213"/>
        <v>88201926</v>
      </c>
      <c r="X1804">
        <v>0</v>
      </c>
      <c r="Y1804">
        <v>0</v>
      </c>
      <c r="Z1804" s="21">
        <f t="shared" si="214"/>
        <v>0</v>
      </c>
      <c r="AA1804">
        <v>0</v>
      </c>
      <c r="AB1804">
        <v>0</v>
      </c>
      <c r="AC1804" s="21">
        <f t="shared" si="215"/>
        <v>0</v>
      </c>
      <c r="AD1804">
        <v>0</v>
      </c>
      <c r="AE1804">
        <v>0</v>
      </c>
      <c r="AF1804" s="21">
        <f t="shared" si="218"/>
        <v>0</v>
      </c>
    </row>
    <row r="1805" spans="1:32" ht="15" customHeight="1" x14ac:dyDescent="0.3">
      <c r="A1805">
        <v>4</v>
      </c>
      <c r="B1805" s="2" t="s">
        <v>697</v>
      </c>
      <c r="C1805" s="4" t="s">
        <v>692</v>
      </c>
      <c r="D1805" s="3" t="s">
        <v>664</v>
      </c>
      <c r="E1805" s="6" t="s">
        <v>82</v>
      </c>
      <c r="F1805" s="6" t="s">
        <v>447</v>
      </c>
      <c r="G1805" s="6" t="s">
        <v>777</v>
      </c>
      <c r="H1805" s="23">
        <v>49001070</v>
      </c>
      <c r="I1805">
        <v>0</v>
      </c>
      <c r="J1805">
        <v>0</v>
      </c>
      <c r="K1805" s="20">
        <f t="shared" si="216"/>
        <v>0</v>
      </c>
      <c r="L1805">
        <v>1</v>
      </c>
      <c r="M1805">
        <v>1</v>
      </c>
      <c r="N1805" s="21">
        <f t="shared" si="217"/>
        <v>49001070</v>
      </c>
      <c r="O1805">
        <v>1</v>
      </c>
      <c r="P1805">
        <v>1</v>
      </c>
      <c r="Q1805" s="21">
        <f t="shared" si="211"/>
        <v>49001070</v>
      </c>
      <c r="R1805">
        <v>1</v>
      </c>
      <c r="S1805">
        <v>1</v>
      </c>
      <c r="T1805" s="21">
        <f t="shared" si="212"/>
        <v>49001070</v>
      </c>
      <c r="U1805">
        <v>1</v>
      </c>
      <c r="V1805">
        <v>1</v>
      </c>
      <c r="W1805" s="21">
        <f t="shared" si="213"/>
        <v>49001070</v>
      </c>
      <c r="X1805">
        <v>0</v>
      </c>
      <c r="Y1805">
        <v>0</v>
      </c>
      <c r="Z1805" s="21">
        <f t="shared" si="214"/>
        <v>0</v>
      </c>
      <c r="AA1805">
        <v>0</v>
      </c>
      <c r="AB1805">
        <v>0</v>
      </c>
      <c r="AC1805" s="21">
        <f t="shared" si="215"/>
        <v>0</v>
      </c>
      <c r="AD1805">
        <v>0</v>
      </c>
      <c r="AE1805">
        <v>0</v>
      </c>
      <c r="AF1805" s="21">
        <f t="shared" si="218"/>
        <v>0</v>
      </c>
    </row>
    <row r="1806" spans="1:32" ht="15" customHeight="1" x14ac:dyDescent="0.3">
      <c r="A1806">
        <v>4</v>
      </c>
      <c r="B1806" s="2" t="s">
        <v>697</v>
      </c>
      <c r="C1806" s="4" t="s">
        <v>692</v>
      </c>
      <c r="D1806" s="3" t="s">
        <v>664</v>
      </c>
      <c r="E1806" s="6" t="s">
        <v>83</v>
      </c>
      <c r="F1806" s="6" t="s">
        <v>448</v>
      </c>
      <c r="G1806" s="6" t="s">
        <v>716</v>
      </c>
      <c r="H1806" s="23">
        <v>39000</v>
      </c>
      <c r="I1806">
        <v>40</v>
      </c>
      <c r="J1806">
        <v>2</v>
      </c>
      <c r="K1806" s="20">
        <f t="shared" si="216"/>
        <v>3120000</v>
      </c>
      <c r="L1806">
        <v>40</v>
      </c>
      <c r="M1806">
        <v>2</v>
      </c>
      <c r="N1806" s="21">
        <f t="shared" si="217"/>
        <v>3120000</v>
      </c>
      <c r="O1806">
        <v>40</v>
      </c>
      <c r="P1806">
        <v>2</v>
      </c>
      <c r="Q1806" s="21">
        <f t="shared" si="211"/>
        <v>3120000</v>
      </c>
      <c r="R1806">
        <v>40</v>
      </c>
      <c r="S1806">
        <v>2</v>
      </c>
      <c r="T1806" s="21">
        <f t="shared" si="212"/>
        <v>3120000</v>
      </c>
      <c r="U1806">
        <v>40</v>
      </c>
      <c r="V1806">
        <v>2</v>
      </c>
      <c r="W1806" s="21">
        <f t="shared" si="213"/>
        <v>3120000</v>
      </c>
      <c r="X1806">
        <v>0</v>
      </c>
      <c r="Y1806">
        <v>0</v>
      </c>
      <c r="Z1806" s="21">
        <f t="shared" si="214"/>
        <v>0</v>
      </c>
      <c r="AA1806">
        <v>0</v>
      </c>
      <c r="AB1806">
        <v>0</v>
      </c>
      <c r="AC1806" s="21">
        <f t="shared" si="215"/>
        <v>0</v>
      </c>
      <c r="AD1806">
        <v>0</v>
      </c>
      <c r="AE1806">
        <v>0</v>
      </c>
      <c r="AF1806" s="21">
        <f t="shared" si="218"/>
        <v>0</v>
      </c>
    </row>
    <row r="1807" spans="1:32" ht="15" customHeight="1" x14ac:dyDescent="0.3">
      <c r="A1807">
        <v>4</v>
      </c>
      <c r="B1807" s="2" t="s">
        <v>697</v>
      </c>
      <c r="C1807" s="4" t="s">
        <v>692</v>
      </c>
      <c r="D1807" s="3" t="s">
        <v>664</v>
      </c>
      <c r="E1807" s="6" t="s">
        <v>83</v>
      </c>
      <c r="F1807" s="6" t="s">
        <v>448</v>
      </c>
      <c r="G1807" s="6" t="s">
        <v>709</v>
      </c>
      <c r="H1807" s="23">
        <v>28000</v>
      </c>
      <c r="I1807">
        <v>40</v>
      </c>
      <c r="J1807">
        <v>2</v>
      </c>
      <c r="K1807" s="20">
        <f t="shared" si="216"/>
        <v>2240000</v>
      </c>
      <c r="L1807">
        <v>40</v>
      </c>
      <c r="M1807">
        <v>2</v>
      </c>
      <c r="N1807" s="21">
        <f t="shared" si="217"/>
        <v>2240000</v>
      </c>
      <c r="O1807">
        <v>40</v>
      </c>
      <c r="P1807">
        <v>2</v>
      </c>
      <c r="Q1807" s="21">
        <f t="shared" si="211"/>
        <v>2240000</v>
      </c>
      <c r="R1807">
        <v>40</v>
      </c>
      <c r="S1807">
        <v>2</v>
      </c>
      <c r="T1807" s="21">
        <f t="shared" si="212"/>
        <v>2240000</v>
      </c>
      <c r="U1807">
        <v>40</v>
      </c>
      <c r="V1807">
        <v>2</v>
      </c>
      <c r="W1807" s="21">
        <f t="shared" si="213"/>
        <v>2240000</v>
      </c>
      <c r="X1807">
        <v>0</v>
      </c>
      <c r="Y1807">
        <v>0</v>
      </c>
      <c r="Z1807" s="21">
        <f t="shared" si="214"/>
        <v>0</v>
      </c>
      <c r="AA1807">
        <v>0</v>
      </c>
      <c r="AB1807">
        <v>0</v>
      </c>
      <c r="AC1807" s="21">
        <f t="shared" si="215"/>
        <v>0</v>
      </c>
      <c r="AD1807">
        <v>0</v>
      </c>
      <c r="AE1807">
        <v>0</v>
      </c>
      <c r="AF1807" s="21">
        <f t="shared" si="218"/>
        <v>0</v>
      </c>
    </row>
    <row r="1808" spans="1:32" ht="15" customHeight="1" x14ac:dyDescent="0.3">
      <c r="A1808">
        <v>4</v>
      </c>
      <c r="B1808" s="2" t="s">
        <v>697</v>
      </c>
      <c r="C1808" s="4" t="s">
        <v>692</v>
      </c>
      <c r="D1808" s="3" t="s">
        <v>664</v>
      </c>
      <c r="E1808" s="6" t="s">
        <v>83</v>
      </c>
      <c r="F1808" s="6" t="s">
        <v>448</v>
      </c>
      <c r="G1808" s="6" t="s">
        <v>712</v>
      </c>
      <c r="H1808" s="23">
        <v>214.29</v>
      </c>
      <c r="I1808">
        <v>10000</v>
      </c>
      <c r="J1808">
        <v>1</v>
      </c>
      <c r="K1808" s="20">
        <f t="shared" si="216"/>
        <v>2142900</v>
      </c>
      <c r="L1808">
        <v>10000</v>
      </c>
      <c r="M1808">
        <v>1</v>
      </c>
      <c r="N1808" s="21">
        <f t="shared" si="217"/>
        <v>2142900</v>
      </c>
      <c r="O1808">
        <v>10000</v>
      </c>
      <c r="P1808">
        <v>1</v>
      </c>
      <c r="Q1808" s="21">
        <f t="shared" si="211"/>
        <v>2142900</v>
      </c>
      <c r="R1808">
        <v>10000</v>
      </c>
      <c r="S1808">
        <v>1</v>
      </c>
      <c r="T1808" s="21">
        <f t="shared" si="212"/>
        <v>2142900</v>
      </c>
      <c r="U1808">
        <v>10000</v>
      </c>
      <c r="V1808">
        <v>1</v>
      </c>
      <c r="W1808" s="21">
        <f t="shared" si="213"/>
        <v>2142900</v>
      </c>
      <c r="X1808">
        <v>0</v>
      </c>
      <c r="Y1808">
        <v>0</v>
      </c>
      <c r="Z1808" s="21">
        <f t="shared" si="214"/>
        <v>0</v>
      </c>
      <c r="AA1808">
        <v>0</v>
      </c>
      <c r="AB1808">
        <v>0</v>
      </c>
      <c r="AC1808" s="21">
        <f t="shared" si="215"/>
        <v>0</v>
      </c>
      <c r="AD1808">
        <v>0</v>
      </c>
      <c r="AE1808">
        <v>0</v>
      </c>
      <c r="AF1808" s="21">
        <f t="shared" si="218"/>
        <v>0</v>
      </c>
    </row>
    <row r="1809" spans="1:32" ht="15" customHeight="1" x14ac:dyDescent="0.3">
      <c r="A1809">
        <v>4</v>
      </c>
      <c r="B1809" s="2" t="s">
        <v>697</v>
      </c>
      <c r="C1809" s="4" t="s">
        <v>692</v>
      </c>
      <c r="D1809" s="3" t="s">
        <v>664</v>
      </c>
      <c r="E1809" s="6" t="s">
        <v>83</v>
      </c>
      <c r="F1809" s="6" t="s">
        <v>280</v>
      </c>
      <c r="G1809" s="6" t="s">
        <v>709</v>
      </c>
      <c r="H1809" s="23">
        <v>28000</v>
      </c>
      <c r="I1809">
        <v>40</v>
      </c>
      <c r="J1809">
        <v>1</v>
      </c>
      <c r="K1809" s="20">
        <f t="shared" si="216"/>
        <v>1120000</v>
      </c>
      <c r="L1809">
        <v>40</v>
      </c>
      <c r="M1809">
        <v>1</v>
      </c>
      <c r="N1809" s="21">
        <f t="shared" si="217"/>
        <v>1120000</v>
      </c>
      <c r="O1809">
        <v>40</v>
      </c>
      <c r="P1809">
        <v>1</v>
      </c>
      <c r="Q1809" s="21">
        <f t="shared" si="211"/>
        <v>1120000</v>
      </c>
      <c r="R1809">
        <v>40</v>
      </c>
      <c r="S1809">
        <v>1</v>
      </c>
      <c r="T1809" s="21">
        <f t="shared" si="212"/>
        <v>1120000</v>
      </c>
      <c r="U1809">
        <v>40</v>
      </c>
      <c r="V1809">
        <v>1</v>
      </c>
      <c r="W1809" s="21">
        <f t="shared" si="213"/>
        <v>1120000</v>
      </c>
      <c r="X1809">
        <v>0</v>
      </c>
      <c r="Y1809">
        <v>0</v>
      </c>
      <c r="Z1809" s="21">
        <f t="shared" si="214"/>
        <v>0</v>
      </c>
      <c r="AA1809">
        <v>0</v>
      </c>
      <c r="AB1809">
        <v>0</v>
      </c>
      <c r="AC1809" s="21">
        <f t="shared" si="215"/>
        <v>0</v>
      </c>
      <c r="AD1809">
        <v>0</v>
      </c>
      <c r="AE1809">
        <v>0</v>
      </c>
      <c r="AF1809" s="21">
        <f t="shared" si="218"/>
        <v>0</v>
      </c>
    </row>
    <row r="1810" spans="1:32" ht="15" customHeight="1" x14ac:dyDescent="0.3">
      <c r="A1810">
        <v>4</v>
      </c>
      <c r="B1810" s="2" t="s">
        <v>697</v>
      </c>
      <c r="C1810" s="4" t="s">
        <v>692</v>
      </c>
      <c r="D1810" s="3" t="s">
        <v>664</v>
      </c>
      <c r="E1810" s="6" t="s">
        <v>83</v>
      </c>
      <c r="F1810" s="6" t="s">
        <v>449</v>
      </c>
      <c r="G1810" s="6" t="s">
        <v>718</v>
      </c>
      <c r="H1810" s="23">
        <v>0</v>
      </c>
      <c r="I1810">
        <v>0</v>
      </c>
      <c r="J1810">
        <v>0</v>
      </c>
      <c r="K1810" s="20">
        <f t="shared" si="216"/>
        <v>0</v>
      </c>
      <c r="L1810">
        <v>0</v>
      </c>
      <c r="M1810">
        <v>0</v>
      </c>
      <c r="N1810" s="21">
        <f t="shared" si="217"/>
        <v>0</v>
      </c>
      <c r="O1810">
        <v>0</v>
      </c>
      <c r="P1810">
        <v>0</v>
      </c>
      <c r="Q1810" s="21">
        <f t="shared" si="211"/>
        <v>0</v>
      </c>
      <c r="R1810">
        <v>0</v>
      </c>
      <c r="S1810">
        <v>0</v>
      </c>
      <c r="T1810" s="21">
        <f t="shared" si="212"/>
        <v>0</v>
      </c>
      <c r="U1810">
        <v>0</v>
      </c>
      <c r="V1810">
        <v>0</v>
      </c>
      <c r="W1810" s="21">
        <f t="shared" si="213"/>
        <v>0</v>
      </c>
      <c r="X1810">
        <v>0</v>
      </c>
      <c r="Y1810">
        <v>0</v>
      </c>
      <c r="Z1810" s="21">
        <f t="shared" si="214"/>
        <v>0</v>
      </c>
      <c r="AA1810">
        <v>0</v>
      </c>
      <c r="AB1810">
        <v>0</v>
      </c>
      <c r="AC1810" s="21">
        <f t="shared" si="215"/>
        <v>0</v>
      </c>
      <c r="AD1810">
        <v>0</v>
      </c>
      <c r="AE1810">
        <v>0</v>
      </c>
      <c r="AF1810" s="21">
        <f t="shared" si="218"/>
        <v>0</v>
      </c>
    </row>
    <row r="1811" spans="1:32" ht="15" customHeight="1" x14ac:dyDescent="0.3">
      <c r="A1811">
        <v>4</v>
      </c>
      <c r="B1811" s="2" t="s">
        <v>697</v>
      </c>
      <c r="C1811" s="4" t="s">
        <v>692</v>
      </c>
      <c r="D1811" s="3" t="s">
        <v>664</v>
      </c>
      <c r="E1811" s="6" t="s">
        <v>83</v>
      </c>
      <c r="F1811" s="6" t="s">
        <v>450</v>
      </c>
      <c r="G1811" s="6" t="s">
        <v>718</v>
      </c>
      <c r="H1811" s="23">
        <v>0</v>
      </c>
      <c r="I1811">
        <v>0</v>
      </c>
      <c r="J1811">
        <v>0</v>
      </c>
      <c r="K1811" s="20">
        <f t="shared" si="216"/>
        <v>0</v>
      </c>
      <c r="L1811">
        <v>0</v>
      </c>
      <c r="M1811">
        <v>0</v>
      </c>
      <c r="N1811" s="21">
        <f t="shared" si="217"/>
        <v>0</v>
      </c>
      <c r="O1811">
        <v>0</v>
      </c>
      <c r="P1811">
        <v>0</v>
      </c>
      <c r="Q1811" s="21">
        <f t="shared" si="211"/>
        <v>0</v>
      </c>
      <c r="R1811">
        <v>0</v>
      </c>
      <c r="S1811">
        <v>0</v>
      </c>
      <c r="T1811" s="21">
        <f t="shared" si="212"/>
        <v>0</v>
      </c>
      <c r="U1811">
        <v>0</v>
      </c>
      <c r="V1811">
        <v>0</v>
      </c>
      <c r="W1811" s="21">
        <f t="shared" si="213"/>
        <v>0</v>
      </c>
      <c r="X1811">
        <v>0</v>
      </c>
      <c r="Y1811">
        <v>0</v>
      </c>
      <c r="Z1811" s="21">
        <f t="shared" si="214"/>
        <v>0</v>
      </c>
      <c r="AA1811">
        <v>0</v>
      </c>
      <c r="AB1811">
        <v>0</v>
      </c>
      <c r="AC1811" s="21">
        <f t="shared" si="215"/>
        <v>0</v>
      </c>
      <c r="AD1811">
        <v>0</v>
      </c>
      <c r="AE1811">
        <v>0</v>
      </c>
      <c r="AF1811" s="21">
        <f t="shared" si="218"/>
        <v>0</v>
      </c>
    </row>
    <row r="1812" spans="1:32" ht="15" customHeight="1" x14ac:dyDescent="0.3">
      <c r="A1812">
        <v>4</v>
      </c>
      <c r="B1812" s="2" t="s">
        <v>697</v>
      </c>
      <c r="C1812" s="4" t="s">
        <v>692</v>
      </c>
      <c r="D1812" s="3" t="s">
        <v>664</v>
      </c>
      <c r="E1812" s="6" t="s">
        <v>84</v>
      </c>
      <c r="F1812" s="6" t="s">
        <v>451</v>
      </c>
      <c r="G1812" s="6" t="s">
        <v>778</v>
      </c>
      <c r="H1812" s="23">
        <v>4083422</v>
      </c>
      <c r="I1812">
        <v>0</v>
      </c>
      <c r="J1812">
        <v>0</v>
      </c>
      <c r="K1812" s="20">
        <f t="shared" si="216"/>
        <v>0</v>
      </c>
      <c r="L1812">
        <v>3</v>
      </c>
      <c r="M1812">
        <v>1</v>
      </c>
      <c r="N1812" s="21">
        <f t="shared" si="217"/>
        <v>12250266</v>
      </c>
      <c r="O1812">
        <v>0</v>
      </c>
      <c r="P1812">
        <v>0</v>
      </c>
      <c r="Q1812" s="21">
        <f t="shared" si="211"/>
        <v>0</v>
      </c>
      <c r="R1812">
        <v>0</v>
      </c>
      <c r="S1812">
        <v>0</v>
      </c>
      <c r="T1812" s="21">
        <f t="shared" si="212"/>
        <v>0</v>
      </c>
      <c r="U1812">
        <v>3</v>
      </c>
      <c r="V1812">
        <v>1</v>
      </c>
      <c r="W1812" s="21">
        <f t="shared" si="213"/>
        <v>12250266</v>
      </c>
      <c r="X1812">
        <v>0</v>
      </c>
      <c r="Y1812">
        <v>0</v>
      </c>
      <c r="Z1812" s="21">
        <f t="shared" si="214"/>
        <v>0</v>
      </c>
      <c r="AA1812">
        <v>0</v>
      </c>
      <c r="AB1812">
        <v>0</v>
      </c>
      <c r="AC1812" s="21">
        <f t="shared" si="215"/>
        <v>0</v>
      </c>
      <c r="AD1812">
        <v>0</v>
      </c>
      <c r="AE1812">
        <v>0</v>
      </c>
      <c r="AF1812" s="21">
        <f t="shared" si="218"/>
        <v>0</v>
      </c>
    </row>
    <row r="1813" spans="1:32" ht="15" customHeight="1" x14ac:dyDescent="0.3">
      <c r="A1813">
        <v>4</v>
      </c>
      <c r="B1813" s="2" t="s">
        <v>697</v>
      </c>
      <c r="C1813" s="4" t="s">
        <v>692</v>
      </c>
      <c r="D1813" s="3" t="s">
        <v>664</v>
      </c>
      <c r="E1813" s="6" t="s">
        <v>84</v>
      </c>
      <c r="F1813" s="6" t="s">
        <v>452</v>
      </c>
      <c r="G1813" s="6" t="s">
        <v>716</v>
      </c>
      <c r="H1813" s="23">
        <v>39000</v>
      </c>
      <c r="I1813">
        <v>0</v>
      </c>
      <c r="J1813">
        <v>0</v>
      </c>
      <c r="K1813" s="20">
        <f t="shared" si="216"/>
        <v>0</v>
      </c>
      <c r="L1813">
        <v>30</v>
      </c>
      <c r="M1813">
        <v>3</v>
      </c>
      <c r="N1813" s="21">
        <f t="shared" si="217"/>
        <v>3510000</v>
      </c>
      <c r="O1813">
        <v>0</v>
      </c>
      <c r="P1813">
        <v>0</v>
      </c>
      <c r="Q1813" s="21">
        <f t="shared" si="211"/>
        <v>0</v>
      </c>
      <c r="R1813">
        <v>0</v>
      </c>
      <c r="S1813">
        <v>0</v>
      </c>
      <c r="T1813" s="21">
        <f t="shared" si="212"/>
        <v>0</v>
      </c>
      <c r="U1813">
        <v>30</v>
      </c>
      <c r="V1813">
        <v>3</v>
      </c>
      <c r="W1813" s="21">
        <f t="shared" si="213"/>
        <v>3510000</v>
      </c>
      <c r="X1813">
        <v>0</v>
      </c>
      <c r="Y1813">
        <v>0</v>
      </c>
      <c r="Z1813" s="21">
        <f t="shared" si="214"/>
        <v>0</v>
      </c>
      <c r="AA1813">
        <v>0</v>
      </c>
      <c r="AB1813">
        <v>0</v>
      </c>
      <c r="AC1813" s="21">
        <f t="shared" si="215"/>
        <v>0</v>
      </c>
      <c r="AD1813">
        <v>0</v>
      </c>
      <c r="AE1813">
        <v>0</v>
      </c>
      <c r="AF1813" s="21">
        <f t="shared" si="218"/>
        <v>0</v>
      </c>
    </row>
    <row r="1814" spans="1:32" ht="15" customHeight="1" x14ac:dyDescent="0.3">
      <c r="A1814">
        <v>4</v>
      </c>
      <c r="B1814" s="2" t="s">
        <v>697</v>
      </c>
      <c r="C1814" s="4" t="s">
        <v>692</v>
      </c>
      <c r="D1814" s="3" t="s">
        <v>664</v>
      </c>
      <c r="E1814" s="6" t="s">
        <v>84</v>
      </c>
      <c r="F1814" s="6" t="s">
        <v>452</v>
      </c>
      <c r="G1814" s="6" t="s">
        <v>709</v>
      </c>
      <c r="H1814" s="23">
        <v>28000</v>
      </c>
      <c r="I1814">
        <v>0</v>
      </c>
      <c r="J1814">
        <v>0</v>
      </c>
      <c r="K1814" s="20">
        <f t="shared" si="216"/>
        <v>0</v>
      </c>
      <c r="L1814">
        <v>30</v>
      </c>
      <c r="M1814">
        <v>2</v>
      </c>
      <c r="N1814" s="21">
        <f t="shared" si="217"/>
        <v>1680000</v>
      </c>
      <c r="O1814">
        <v>0</v>
      </c>
      <c r="P1814">
        <v>0</v>
      </c>
      <c r="Q1814" s="21">
        <f t="shared" si="211"/>
        <v>0</v>
      </c>
      <c r="R1814">
        <v>0</v>
      </c>
      <c r="S1814">
        <v>0</v>
      </c>
      <c r="T1814" s="21">
        <f t="shared" si="212"/>
        <v>0</v>
      </c>
      <c r="U1814">
        <v>30</v>
      </c>
      <c r="V1814">
        <v>2</v>
      </c>
      <c r="W1814" s="21">
        <f t="shared" si="213"/>
        <v>1680000</v>
      </c>
      <c r="X1814">
        <v>0</v>
      </c>
      <c r="Y1814">
        <v>0</v>
      </c>
      <c r="Z1814" s="21">
        <f t="shared" si="214"/>
        <v>0</v>
      </c>
      <c r="AA1814">
        <v>0</v>
      </c>
      <c r="AB1814">
        <v>0</v>
      </c>
      <c r="AC1814" s="21">
        <f t="shared" si="215"/>
        <v>0</v>
      </c>
      <c r="AD1814">
        <v>0</v>
      </c>
      <c r="AE1814">
        <v>0</v>
      </c>
      <c r="AF1814" s="21">
        <f t="shared" si="218"/>
        <v>0</v>
      </c>
    </row>
    <row r="1815" spans="1:32" ht="15" customHeight="1" x14ac:dyDescent="0.3">
      <c r="A1815">
        <v>4</v>
      </c>
      <c r="B1815" s="2" t="s">
        <v>697</v>
      </c>
      <c r="C1815" s="4" t="s">
        <v>692</v>
      </c>
      <c r="D1815" s="3" t="s">
        <v>664</v>
      </c>
      <c r="E1815" s="6" t="s">
        <v>84</v>
      </c>
      <c r="F1815" s="6" t="s">
        <v>452</v>
      </c>
      <c r="G1815" s="6" t="s">
        <v>712</v>
      </c>
      <c r="H1815" s="23">
        <v>214.29</v>
      </c>
      <c r="I1815">
        <v>0</v>
      </c>
      <c r="J1815">
        <v>0</v>
      </c>
      <c r="K1815" s="20">
        <f t="shared" si="216"/>
        <v>0</v>
      </c>
      <c r="L1815">
        <v>8000</v>
      </c>
      <c r="M1815">
        <v>1</v>
      </c>
      <c r="N1815" s="21">
        <f t="shared" si="217"/>
        <v>1714320</v>
      </c>
      <c r="O1815">
        <v>0</v>
      </c>
      <c r="P1815">
        <v>0</v>
      </c>
      <c r="Q1815" s="21">
        <f t="shared" si="211"/>
        <v>0</v>
      </c>
      <c r="R1815">
        <v>0</v>
      </c>
      <c r="S1815">
        <v>0</v>
      </c>
      <c r="T1815" s="21">
        <f t="shared" si="212"/>
        <v>0</v>
      </c>
      <c r="U1815">
        <v>8000</v>
      </c>
      <c r="V1815">
        <v>1</v>
      </c>
      <c r="W1815" s="21">
        <f t="shared" si="213"/>
        <v>1714320</v>
      </c>
      <c r="X1815">
        <v>0</v>
      </c>
      <c r="Y1815">
        <v>0</v>
      </c>
      <c r="Z1815" s="21">
        <f t="shared" si="214"/>
        <v>0</v>
      </c>
      <c r="AA1815">
        <v>0</v>
      </c>
      <c r="AB1815">
        <v>0</v>
      </c>
      <c r="AC1815" s="21">
        <f t="shared" si="215"/>
        <v>0</v>
      </c>
      <c r="AD1815">
        <v>0</v>
      </c>
      <c r="AE1815">
        <v>0</v>
      </c>
      <c r="AF1815" s="21">
        <f t="shared" si="218"/>
        <v>0</v>
      </c>
    </row>
    <row r="1816" spans="1:32" ht="15" customHeight="1" x14ac:dyDescent="0.3">
      <c r="A1816">
        <v>4</v>
      </c>
      <c r="B1816" s="2" t="s">
        <v>697</v>
      </c>
      <c r="C1816" s="4" t="s">
        <v>692</v>
      </c>
      <c r="D1816" s="3" t="s">
        <v>664</v>
      </c>
      <c r="E1816" s="6" t="s">
        <v>85</v>
      </c>
      <c r="F1816" s="6" t="s">
        <v>779</v>
      </c>
      <c r="G1816" s="6" t="s">
        <v>718</v>
      </c>
      <c r="H1816" s="23">
        <v>0</v>
      </c>
      <c r="I1816">
        <v>0</v>
      </c>
      <c r="J1816">
        <v>0</v>
      </c>
      <c r="K1816" s="20">
        <f t="shared" si="216"/>
        <v>0</v>
      </c>
      <c r="L1816">
        <v>0</v>
      </c>
      <c r="M1816">
        <v>0</v>
      </c>
      <c r="N1816" s="21">
        <f t="shared" si="217"/>
        <v>0</v>
      </c>
      <c r="O1816">
        <v>0</v>
      </c>
      <c r="P1816">
        <v>0</v>
      </c>
      <c r="Q1816" s="21">
        <f t="shared" si="211"/>
        <v>0</v>
      </c>
      <c r="R1816">
        <v>0</v>
      </c>
      <c r="S1816">
        <v>0</v>
      </c>
      <c r="T1816" s="21">
        <f t="shared" si="212"/>
        <v>0</v>
      </c>
      <c r="U1816">
        <v>0</v>
      </c>
      <c r="V1816">
        <v>0</v>
      </c>
      <c r="W1816" s="21">
        <f t="shared" si="213"/>
        <v>0</v>
      </c>
      <c r="X1816">
        <v>0</v>
      </c>
      <c r="Y1816">
        <v>0</v>
      </c>
      <c r="Z1816" s="21">
        <f t="shared" si="214"/>
        <v>0</v>
      </c>
      <c r="AA1816">
        <v>0</v>
      </c>
      <c r="AB1816">
        <v>0</v>
      </c>
      <c r="AC1816" s="21">
        <f t="shared" si="215"/>
        <v>0</v>
      </c>
      <c r="AD1816">
        <v>0</v>
      </c>
      <c r="AE1816">
        <v>0</v>
      </c>
      <c r="AF1816" s="21">
        <f t="shared" si="218"/>
        <v>0</v>
      </c>
    </row>
    <row r="1817" spans="1:32" ht="15" customHeight="1" x14ac:dyDescent="0.3">
      <c r="A1817">
        <v>4</v>
      </c>
      <c r="B1817" s="2" t="s">
        <v>697</v>
      </c>
      <c r="C1817" s="4" t="s">
        <v>692</v>
      </c>
      <c r="D1817" s="3" t="s">
        <v>664</v>
      </c>
      <c r="E1817" s="6" t="s">
        <v>85</v>
      </c>
      <c r="F1817" s="6" t="s">
        <v>780</v>
      </c>
      <c r="G1817" s="6" t="s">
        <v>718</v>
      </c>
      <c r="H1817" s="23">
        <v>0</v>
      </c>
      <c r="I1817">
        <v>0</v>
      </c>
      <c r="J1817">
        <v>0</v>
      </c>
      <c r="K1817" s="20">
        <f t="shared" si="216"/>
        <v>0</v>
      </c>
      <c r="L1817">
        <v>0</v>
      </c>
      <c r="M1817">
        <v>0</v>
      </c>
      <c r="N1817" s="21">
        <f t="shared" si="217"/>
        <v>0</v>
      </c>
      <c r="O1817">
        <v>0</v>
      </c>
      <c r="P1817">
        <v>0</v>
      </c>
      <c r="Q1817" s="21">
        <f t="shared" si="211"/>
        <v>0</v>
      </c>
      <c r="R1817">
        <v>0</v>
      </c>
      <c r="S1817">
        <v>0</v>
      </c>
      <c r="T1817" s="21">
        <f t="shared" si="212"/>
        <v>0</v>
      </c>
      <c r="U1817">
        <v>0</v>
      </c>
      <c r="V1817">
        <v>0</v>
      </c>
      <c r="W1817" s="21">
        <f t="shared" si="213"/>
        <v>0</v>
      </c>
      <c r="X1817">
        <v>0</v>
      </c>
      <c r="Y1817">
        <v>0</v>
      </c>
      <c r="Z1817" s="21">
        <f t="shared" si="214"/>
        <v>0</v>
      </c>
      <c r="AA1817">
        <v>0</v>
      </c>
      <c r="AB1817">
        <v>0</v>
      </c>
      <c r="AC1817" s="21">
        <f t="shared" si="215"/>
        <v>0</v>
      </c>
      <c r="AD1817">
        <v>0</v>
      </c>
      <c r="AE1817">
        <v>0</v>
      </c>
      <c r="AF1817" s="21">
        <f t="shared" si="218"/>
        <v>0</v>
      </c>
    </row>
    <row r="1818" spans="1:32" ht="15" customHeight="1" x14ac:dyDescent="0.3">
      <c r="A1818">
        <v>4</v>
      </c>
      <c r="B1818" s="2" t="s">
        <v>697</v>
      </c>
      <c r="C1818" s="4" t="s">
        <v>692</v>
      </c>
      <c r="D1818" s="3" t="s">
        <v>664</v>
      </c>
      <c r="E1818" s="6" t="s">
        <v>85</v>
      </c>
      <c r="F1818" s="6" t="s">
        <v>455</v>
      </c>
      <c r="G1818" s="6" t="s">
        <v>718</v>
      </c>
      <c r="H1818" s="23">
        <v>0</v>
      </c>
      <c r="I1818">
        <v>0</v>
      </c>
      <c r="J1818">
        <v>0</v>
      </c>
      <c r="K1818" s="20">
        <f t="shared" si="216"/>
        <v>0</v>
      </c>
      <c r="L1818">
        <v>0</v>
      </c>
      <c r="M1818">
        <v>0</v>
      </c>
      <c r="N1818" s="21">
        <f t="shared" si="217"/>
        <v>0</v>
      </c>
      <c r="O1818">
        <v>0</v>
      </c>
      <c r="P1818">
        <v>0</v>
      </c>
      <c r="Q1818" s="21">
        <f t="shared" si="211"/>
        <v>0</v>
      </c>
      <c r="R1818">
        <v>0</v>
      </c>
      <c r="S1818">
        <v>0</v>
      </c>
      <c r="T1818" s="21">
        <f t="shared" si="212"/>
        <v>0</v>
      </c>
      <c r="U1818">
        <v>0</v>
      </c>
      <c r="V1818">
        <v>0</v>
      </c>
      <c r="W1818" s="21">
        <f t="shared" si="213"/>
        <v>0</v>
      </c>
      <c r="X1818">
        <v>0</v>
      </c>
      <c r="Y1818">
        <v>0</v>
      </c>
      <c r="Z1818" s="21">
        <f t="shared" si="214"/>
        <v>0</v>
      </c>
      <c r="AA1818">
        <v>0</v>
      </c>
      <c r="AB1818">
        <v>0</v>
      </c>
      <c r="AC1818" s="21">
        <f t="shared" si="215"/>
        <v>0</v>
      </c>
      <c r="AD1818">
        <v>0</v>
      </c>
      <c r="AE1818">
        <v>0</v>
      </c>
      <c r="AF1818" s="21">
        <f t="shared" si="218"/>
        <v>0</v>
      </c>
    </row>
    <row r="1819" spans="1:32" ht="15" customHeight="1" x14ac:dyDescent="0.3">
      <c r="A1819">
        <v>4</v>
      </c>
      <c r="B1819" s="2" t="s">
        <v>697</v>
      </c>
      <c r="C1819" s="4" t="s">
        <v>692</v>
      </c>
      <c r="D1819" s="3" t="s">
        <v>664</v>
      </c>
      <c r="E1819" s="6" t="s">
        <v>86</v>
      </c>
      <c r="F1819" s="6" t="s">
        <v>781</v>
      </c>
      <c r="G1819" s="6" t="s">
        <v>718</v>
      </c>
      <c r="H1819" s="23">
        <v>0</v>
      </c>
      <c r="I1819">
        <v>0</v>
      </c>
      <c r="J1819">
        <v>0</v>
      </c>
      <c r="K1819" s="20">
        <f t="shared" si="216"/>
        <v>0</v>
      </c>
      <c r="L1819">
        <v>0</v>
      </c>
      <c r="M1819">
        <v>0</v>
      </c>
      <c r="N1819" s="21">
        <f t="shared" si="217"/>
        <v>0</v>
      </c>
      <c r="O1819">
        <v>0</v>
      </c>
      <c r="P1819">
        <v>0</v>
      </c>
      <c r="Q1819" s="21">
        <f t="shared" si="211"/>
        <v>0</v>
      </c>
      <c r="R1819">
        <v>0</v>
      </c>
      <c r="S1819">
        <v>0</v>
      </c>
      <c r="T1819" s="21">
        <f t="shared" si="212"/>
        <v>0</v>
      </c>
      <c r="U1819">
        <v>0</v>
      </c>
      <c r="V1819">
        <v>0</v>
      </c>
      <c r="W1819" s="21">
        <f t="shared" si="213"/>
        <v>0</v>
      </c>
      <c r="X1819">
        <v>0</v>
      </c>
      <c r="Y1819">
        <v>0</v>
      </c>
      <c r="Z1819" s="21">
        <f t="shared" si="214"/>
        <v>0</v>
      </c>
      <c r="AA1819">
        <v>0</v>
      </c>
      <c r="AB1819">
        <v>0</v>
      </c>
      <c r="AC1819" s="21">
        <f t="shared" si="215"/>
        <v>0</v>
      </c>
      <c r="AD1819">
        <v>0</v>
      </c>
      <c r="AE1819">
        <v>0</v>
      </c>
      <c r="AF1819" s="21">
        <f t="shared" si="218"/>
        <v>0</v>
      </c>
    </row>
    <row r="1820" spans="1:32" ht="15" customHeight="1" x14ac:dyDescent="0.3">
      <c r="A1820">
        <v>4</v>
      </c>
      <c r="B1820" s="2" t="s">
        <v>697</v>
      </c>
      <c r="C1820" s="4" t="s">
        <v>692</v>
      </c>
      <c r="D1820" s="3" t="s">
        <v>664</v>
      </c>
      <c r="E1820" s="6" t="s">
        <v>86</v>
      </c>
      <c r="F1820" s="6" t="s">
        <v>162</v>
      </c>
      <c r="G1820" s="6" t="s">
        <v>716</v>
      </c>
      <c r="H1820" s="23">
        <v>26000</v>
      </c>
      <c r="I1820">
        <v>0</v>
      </c>
      <c r="J1820">
        <v>0</v>
      </c>
      <c r="K1820" s="20">
        <f t="shared" si="216"/>
        <v>0</v>
      </c>
      <c r="L1820">
        <v>0</v>
      </c>
      <c r="M1820">
        <v>0</v>
      </c>
      <c r="N1820" s="21">
        <f t="shared" si="217"/>
        <v>0</v>
      </c>
      <c r="O1820">
        <v>30</v>
      </c>
      <c r="P1820">
        <v>5</v>
      </c>
      <c r="Q1820" s="21">
        <f t="shared" si="211"/>
        <v>3900000</v>
      </c>
      <c r="R1820">
        <v>0</v>
      </c>
      <c r="S1820">
        <v>0</v>
      </c>
      <c r="T1820" s="21">
        <f t="shared" si="212"/>
        <v>0</v>
      </c>
      <c r="U1820">
        <v>0</v>
      </c>
      <c r="V1820">
        <v>0</v>
      </c>
      <c r="W1820" s="21">
        <f t="shared" si="213"/>
        <v>0</v>
      </c>
      <c r="X1820">
        <v>0</v>
      </c>
      <c r="Y1820">
        <v>0</v>
      </c>
      <c r="Z1820" s="21">
        <f t="shared" si="214"/>
        <v>0</v>
      </c>
      <c r="AA1820">
        <v>0</v>
      </c>
      <c r="AB1820">
        <v>0</v>
      </c>
      <c r="AC1820" s="21">
        <f t="shared" si="215"/>
        <v>0</v>
      </c>
      <c r="AD1820">
        <v>0</v>
      </c>
      <c r="AE1820">
        <v>0</v>
      </c>
      <c r="AF1820" s="21">
        <f t="shared" si="218"/>
        <v>0</v>
      </c>
    </row>
    <row r="1821" spans="1:32" ht="15" customHeight="1" x14ac:dyDescent="0.3">
      <c r="A1821">
        <v>4</v>
      </c>
      <c r="B1821" s="2" t="s">
        <v>697</v>
      </c>
      <c r="C1821" s="4" t="s">
        <v>692</v>
      </c>
      <c r="D1821" s="3" t="s">
        <v>664</v>
      </c>
      <c r="E1821" s="6" t="s">
        <v>86</v>
      </c>
      <c r="F1821" s="6" t="s">
        <v>162</v>
      </c>
      <c r="G1821" s="6" t="s">
        <v>712</v>
      </c>
      <c r="H1821" s="23">
        <v>214.29</v>
      </c>
      <c r="I1821">
        <v>0</v>
      </c>
      <c r="J1821">
        <v>0</v>
      </c>
      <c r="K1821" s="20">
        <f t="shared" si="216"/>
        <v>0</v>
      </c>
      <c r="L1821">
        <v>0</v>
      </c>
      <c r="M1821">
        <v>0</v>
      </c>
      <c r="N1821" s="21">
        <f t="shared" si="217"/>
        <v>0</v>
      </c>
      <c r="O1821">
        <v>8000</v>
      </c>
      <c r="P1821">
        <v>1</v>
      </c>
      <c r="Q1821" s="21">
        <f t="shared" si="211"/>
        <v>1714320</v>
      </c>
      <c r="R1821">
        <v>0</v>
      </c>
      <c r="S1821">
        <v>0</v>
      </c>
      <c r="T1821" s="21">
        <f t="shared" si="212"/>
        <v>0</v>
      </c>
      <c r="U1821">
        <v>0</v>
      </c>
      <c r="V1821">
        <v>0</v>
      </c>
      <c r="W1821" s="21">
        <f t="shared" si="213"/>
        <v>0</v>
      </c>
      <c r="X1821">
        <v>0</v>
      </c>
      <c r="Y1821">
        <v>0</v>
      </c>
      <c r="Z1821" s="21">
        <f t="shared" si="214"/>
        <v>0</v>
      </c>
      <c r="AA1821">
        <v>0</v>
      </c>
      <c r="AB1821">
        <v>0</v>
      </c>
      <c r="AC1821" s="21">
        <f t="shared" si="215"/>
        <v>0</v>
      </c>
      <c r="AD1821">
        <v>0</v>
      </c>
      <c r="AE1821">
        <v>0</v>
      </c>
      <c r="AF1821" s="21">
        <f t="shared" si="218"/>
        <v>0</v>
      </c>
    </row>
    <row r="1822" spans="1:32" ht="15" customHeight="1" x14ac:dyDescent="0.3">
      <c r="A1822">
        <v>4</v>
      </c>
      <c r="B1822" s="2" t="s">
        <v>697</v>
      </c>
      <c r="C1822" s="4" t="s">
        <v>692</v>
      </c>
      <c r="D1822" s="3" t="s">
        <v>664</v>
      </c>
      <c r="E1822" s="6" t="s">
        <v>86</v>
      </c>
      <c r="F1822" s="6" t="s">
        <v>162</v>
      </c>
      <c r="G1822" s="6" t="s">
        <v>717</v>
      </c>
      <c r="H1822" s="23">
        <v>104850</v>
      </c>
      <c r="I1822">
        <v>0</v>
      </c>
      <c r="J1822">
        <v>0</v>
      </c>
      <c r="K1822" s="20">
        <f t="shared" si="216"/>
        <v>0</v>
      </c>
      <c r="L1822">
        <v>0</v>
      </c>
      <c r="M1822">
        <v>0</v>
      </c>
      <c r="N1822" s="21">
        <f t="shared" si="217"/>
        <v>0</v>
      </c>
      <c r="O1822">
        <v>1</v>
      </c>
      <c r="P1822">
        <v>1</v>
      </c>
      <c r="Q1822" s="21">
        <f t="shared" si="211"/>
        <v>104850</v>
      </c>
      <c r="R1822">
        <v>0</v>
      </c>
      <c r="S1822">
        <v>0</v>
      </c>
      <c r="T1822" s="21">
        <f t="shared" si="212"/>
        <v>0</v>
      </c>
      <c r="U1822">
        <v>0</v>
      </c>
      <c r="V1822">
        <v>0</v>
      </c>
      <c r="W1822" s="21">
        <f t="shared" si="213"/>
        <v>0</v>
      </c>
      <c r="X1822">
        <v>0</v>
      </c>
      <c r="Y1822">
        <v>0</v>
      </c>
      <c r="Z1822" s="21">
        <f t="shared" si="214"/>
        <v>0</v>
      </c>
      <c r="AA1822">
        <v>0</v>
      </c>
      <c r="AB1822">
        <v>0</v>
      </c>
      <c r="AC1822" s="21">
        <f t="shared" si="215"/>
        <v>0</v>
      </c>
      <c r="AD1822">
        <v>0</v>
      </c>
      <c r="AE1822">
        <v>0</v>
      </c>
      <c r="AF1822" s="21">
        <f t="shared" si="218"/>
        <v>0</v>
      </c>
    </row>
    <row r="1823" spans="1:32" ht="15" customHeight="1" x14ac:dyDescent="0.3">
      <c r="A1823">
        <v>4</v>
      </c>
      <c r="B1823" s="2" t="s">
        <v>697</v>
      </c>
      <c r="C1823" s="4" t="s">
        <v>692</v>
      </c>
      <c r="D1823" s="3" t="s">
        <v>664</v>
      </c>
      <c r="E1823" s="6" t="s">
        <v>86</v>
      </c>
      <c r="F1823" s="6" t="s">
        <v>162</v>
      </c>
      <c r="G1823" s="6" t="s">
        <v>711</v>
      </c>
      <c r="H1823" s="23">
        <v>70</v>
      </c>
      <c r="I1823">
        <v>0</v>
      </c>
      <c r="J1823">
        <v>0</v>
      </c>
      <c r="K1823" s="20">
        <f t="shared" si="216"/>
        <v>0</v>
      </c>
      <c r="L1823">
        <v>0</v>
      </c>
      <c r="M1823">
        <v>0</v>
      </c>
      <c r="N1823" s="21">
        <f t="shared" si="217"/>
        <v>0</v>
      </c>
      <c r="O1823">
        <v>5000</v>
      </c>
      <c r="P1823">
        <v>1</v>
      </c>
      <c r="Q1823" s="21">
        <f t="shared" si="211"/>
        <v>350000</v>
      </c>
      <c r="R1823">
        <v>0</v>
      </c>
      <c r="S1823">
        <v>0</v>
      </c>
      <c r="T1823" s="21">
        <f t="shared" si="212"/>
        <v>0</v>
      </c>
      <c r="U1823">
        <v>0</v>
      </c>
      <c r="V1823">
        <v>0</v>
      </c>
      <c r="W1823" s="21">
        <f t="shared" si="213"/>
        <v>0</v>
      </c>
      <c r="X1823">
        <v>0</v>
      </c>
      <c r="Y1823">
        <v>0</v>
      </c>
      <c r="Z1823" s="21">
        <f t="shared" si="214"/>
        <v>0</v>
      </c>
      <c r="AA1823">
        <v>0</v>
      </c>
      <c r="AB1823">
        <v>0</v>
      </c>
      <c r="AC1823" s="21">
        <f t="shared" si="215"/>
        <v>0</v>
      </c>
      <c r="AD1823">
        <v>0</v>
      </c>
      <c r="AE1823">
        <v>0</v>
      </c>
      <c r="AF1823" s="21">
        <f t="shared" si="218"/>
        <v>0</v>
      </c>
    </row>
    <row r="1824" spans="1:32" ht="15" customHeight="1" x14ac:dyDescent="0.3">
      <c r="A1824">
        <v>4</v>
      </c>
      <c r="B1824" s="2" t="s">
        <v>697</v>
      </c>
      <c r="C1824" s="4" t="s">
        <v>692</v>
      </c>
      <c r="D1824" s="3" t="s">
        <v>664</v>
      </c>
      <c r="E1824" s="6" t="s">
        <v>87</v>
      </c>
      <c r="F1824" s="6" t="s">
        <v>459</v>
      </c>
      <c r="G1824" s="6" t="s">
        <v>718</v>
      </c>
      <c r="H1824" s="23">
        <v>0</v>
      </c>
      <c r="I1824">
        <v>0</v>
      </c>
      <c r="J1824">
        <v>0</v>
      </c>
      <c r="K1824" s="20">
        <f t="shared" si="216"/>
        <v>0</v>
      </c>
      <c r="L1824">
        <v>0</v>
      </c>
      <c r="M1824">
        <v>0</v>
      </c>
      <c r="N1824" s="21">
        <f t="shared" si="217"/>
        <v>0</v>
      </c>
      <c r="O1824">
        <v>0</v>
      </c>
      <c r="P1824">
        <v>0</v>
      </c>
      <c r="Q1824" s="21">
        <f t="shared" si="211"/>
        <v>0</v>
      </c>
      <c r="R1824">
        <v>0</v>
      </c>
      <c r="S1824">
        <v>0</v>
      </c>
      <c r="T1824" s="21">
        <f t="shared" si="212"/>
        <v>0</v>
      </c>
      <c r="U1824">
        <v>0</v>
      </c>
      <c r="V1824">
        <v>0</v>
      </c>
      <c r="W1824" s="21">
        <f t="shared" si="213"/>
        <v>0</v>
      </c>
      <c r="X1824">
        <v>0</v>
      </c>
      <c r="Y1824">
        <v>0</v>
      </c>
      <c r="Z1824" s="21">
        <f t="shared" si="214"/>
        <v>0</v>
      </c>
      <c r="AA1824">
        <v>0</v>
      </c>
      <c r="AB1824">
        <v>0</v>
      </c>
      <c r="AC1824" s="21">
        <f t="shared" si="215"/>
        <v>0</v>
      </c>
      <c r="AD1824">
        <v>0</v>
      </c>
      <c r="AE1824">
        <v>0</v>
      </c>
      <c r="AF1824" s="21">
        <f t="shared" si="218"/>
        <v>0</v>
      </c>
    </row>
    <row r="1825" spans="1:32" ht="15" customHeight="1" x14ac:dyDescent="0.3">
      <c r="A1825">
        <v>4</v>
      </c>
      <c r="B1825" s="2" t="s">
        <v>697</v>
      </c>
      <c r="C1825" s="4" t="s">
        <v>692</v>
      </c>
      <c r="D1825" s="3" t="s">
        <v>664</v>
      </c>
      <c r="E1825" s="6" t="s">
        <v>87</v>
      </c>
      <c r="F1825" s="6" t="s">
        <v>162</v>
      </c>
      <c r="G1825" s="6" t="s">
        <v>716</v>
      </c>
      <c r="H1825" s="23">
        <v>39000</v>
      </c>
      <c r="I1825">
        <v>0</v>
      </c>
      <c r="J1825">
        <v>0</v>
      </c>
      <c r="K1825" s="20">
        <f t="shared" si="216"/>
        <v>0</v>
      </c>
      <c r="L1825">
        <v>0</v>
      </c>
      <c r="M1825">
        <v>0</v>
      </c>
      <c r="N1825" s="21">
        <f t="shared" si="217"/>
        <v>0</v>
      </c>
      <c r="O1825">
        <v>60</v>
      </c>
      <c r="P1825">
        <v>5</v>
      </c>
      <c r="Q1825" s="21">
        <f t="shared" si="211"/>
        <v>11700000</v>
      </c>
      <c r="R1825">
        <v>0</v>
      </c>
      <c r="S1825">
        <v>0</v>
      </c>
      <c r="T1825" s="21">
        <f t="shared" si="212"/>
        <v>0</v>
      </c>
      <c r="U1825">
        <v>0</v>
      </c>
      <c r="V1825">
        <v>0</v>
      </c>
      <c r="W1825" s="21">
        <f t="shared" si="213"/>
        <v>0</v>
      </c>
      <c r="X1825">
        <v>0</v>
      </c>
      <c r="Y1825">
        <v>0</v>
      </c>
      <c r="Z1825" s="21">
        <f t="shared" si="214"/>
        <v>0</v>
      </c>
      <c r="AA1825">
        <v>0</v>
      </c>
      <c r="AB1825">
        <v>0</v>
      </c>
      <c r="AC1825" s="21">
        <f t="shared" si="215"/>
        <v>0</v>
      </c>
      <c r="AD1825">
        <v>0</v>
      </c>
      <c r="AE1825">
        <v>0</v>
      </c>
      <c r="AF1825" s="21">
        <f t="shared" si="218"/>
        <v>0</v>
      </c>
    </row>
    <row r="1826" spans="1:32" ht="15" customHeight="1" x14ac:dyDescent="0.3">
      <c r="A1826">
        <v>4</v>
      </c>
      <c r="B1826" s="2" t="s">
        <v>697</v>
      </c>
      <c r="C1826" s="4" t="s">
        <v>692</v>
      </c>
      <c r="D1826" s="3" t="s">
        <v>664</v>
      </c>
      <c r="E1826" s="6" t="s">
        <v>87</v>
      </c>
      <c r="F1826" s="6" t="s">
        <v>162</v>
      </c>
      <c r="G1826" s="6" t="s">
        <v>712</v>
      </c>
      <c r="H1826" s="23">
        <v>214.29</v>
      </c>
      <c r="I1826">
        <v>0</v>
      </c>
      <c r="J1826">
        <v>0</v>
      </c>
      <c r="K1826" s="20">
        <f t="shared" si="216"/>
        <v>0</v>
      </c>
      <c r="L1826">
        <v>0</v>
      </c>
      <c r="M1826">
        <v>0</v>
      </c>
      <c r="N1826" s="21">
        <f t="shared" si="217"/>
        <v>0</v>
      </c>
      <c r="O1826">
        <v>8000</v>
      </c>
      <c r="P1826">
        <v>5</v>
      </c>
      <c r="Q1826" s="21">
        <f t="shared" si="211"/>
        <v>8571600</v>
      </c>
      <c r="R1826">
        <v>0</v>
      </c>
      <c r="S1826">
        <v>0</v>
      </c>
      <c r="T1826" s="21">
        <f t="shared" si="212"/>
        <v>0</v>
      </c>
      <c r="U1826">
        <v>0</v>
      </c>
      <c r="V1826">
        <v>0</v>
      </c>
      <c r="W1826" s="21">
        <f t="shared" si="213"/>
        <v>0</v>
      </c>
      <c r="X1826">
        <v>0</v>
      </c>
      <c r="Y1826">
        <v>0</v>
      </c>
      <c r="Z1826" s="21">
        <f t="shared" si="214"/>
        <v>0</v>
      </c>
      <c r="AA1826">
        <v>0</v>
      </c>
      <c r="AB1826">
        <v>0</v>
      </c>
      <c r="AC1826" s="21">
        <f t="shared" si="215"/>
        <v>0</v>
      </c>
      <c r="AD1826">
        <v>0</v>
      </c>
      <c r="AE1826">
        <v>0</v>
      </c>
      <c r="AF1826" s="21">
        <f t="shared" si="218"/>
        <v>0</v>
      </c>
    </row>
    <row r="1827" spans="1:32" ht="15" customHeight="1" x14ac:dyDescent="0.3">
      <c r="A1827">
        <v>4</v>
      </c>
      <c r="B1827" s="2" t="s">
        <v>697</v>
      </c>
      <c r="C1827" s="4" t="s">
        <v>692</v>
      </c>
      <c r="D1827" s="3" t="s">
        <v>664</v>
      </c>
      <c r="E1827" s="6" t="s">
        <v>87</v>
      </c>
      <c r="F1827" s="6" t="s">
        <v>162</v>
      </c>
      <c r="G1827" s="6" t="s">
        <v>709</v>
      </c>
      <c r="H1827" s="23">
        <v>28000</v>
      </c>
      <c r="I1827">
        <v>0</v>
      </c>
      <c r="J1827">
        <v>0</v>
      </c>
      <c r="K1827" s="20">
        <f t="shared" si="216"/>
        <v>0</v>
      </c>
      <c r="L1827">
        <v>0</v>
      </c>
      <c r="M1827">
        <v>0</v>
      </c>
      <c r="N1827" s="21">
        <f t="shared" si="217"/>
        <v>0</v>
      </c>
      <c r="O1827">
        <v>60</v>
      </c>
      <c r="P1827">
        <v>5</v>
      </c>
      <c r="Q1827" s="21">
        <f t="shared" si="211"/>
        <v>8400000</v>
      </c>
      <c r="R1827">
        <v>0</v>
      </c>
      <c r="S1827">
        <v>0</v>
      </c>
      <c r="T1827" s="21">
        <f t="shared" si="212"/>
        <v>0</v>
      </c>
      <c r="U1827">
        <v>0</v>
      </c>
      <c r="V1827">
        <v>0</v>
      </c>
      <c r="W1827" s="21">
        <f t="shared" si="213"/>
        <v>0</v>
      </c>
      <c r="X1827">
        <v>0</v>
      </c>
      <c r="Y1827">
        <v>0</v>
      </c>
      <c r="Z1827" s="21">
        <f t="shared" si="214"/>
        <v>0</v>
      </c>
      <c r="AA1827">
        <v>0</v>
      </c>
      <c r="AB1827">
        <v>0</v>
      </c>
      <c r="AC1827" s="21">
        <f t="shared" si="215"/>
        <v>0</v>
      </c>
      <c r="AD1827">
        <v>0</v>
      </c>
      <c r="AE1827">
        <v>0</v>
      </c>
      <c r="AF1827" s="21">
        <f t="shared" si="218"/>
        <v>0</v>
      </c>
    </row>
    <row r="1828" spans="1:32" ht="15" customHeight="1" x14ac:dyDescent="0.3">
      <c r="A1828">
        <v>4</v>
      </c>
      <c r="B1828" s="2" t="s">
        <v>697</v>
      </c>
      <c r="C1828" s="4" t="s">
        <v>692</v>
      </c>
      <c r="D1828" s="3" t="s">
        <v>664</v>
      </c>
      <c r="E1828" s="6" t="s">
        <v>88</v>
      </c>
      <c r="F1828" s="6" t="s">
        <v>782</v>
      </c>
      <c r="G1828" s="6" t="s">
        <v>718</v>
      </c>
      <c r="H1828" s="23">
        <v>0</v>
      </c>
      <c r="I1828">
        <v>0</v>
      </c>
      <c r="J1828">
        <v>0</v>
      </c>
      <c r="K1828" s="20">
        <f t="shared" si="216"/>
        <v>0</v>
      </c>
      <c r="L1828">
        <v>0</v>
      </c>
      <c r="M1828">
        <v>0</v>
      </c>
      <c r="N1828" s="21">
        <f t="shared" si="217"/>
        <v>0</v>
      </c>
      <c r="O1828">
        <v>0</v>
      </c>
      <c r="P1828">
        <v>0</v>
      </c>
      <c r="Q1828" s="21">
        <f t="shared" si="211"/>
        <v>0</v>
      </c>
      <c r="R1828">
        <v>0</v>
      </c>
      <c r="S1828">
        <v>0</v>
      </c>
      <c r="T1828" s="21">
        <f t="shared" si="212"/>
        <v>0</v>
      </c>
      <c r="U1828">
        <v>0</v>
      </c>
      <c r="V1828">
        <v>0</v>
      </c>
      <c r="W1828" s="21">
        <f t="shared" si="213"/>
        <v>0</v>
      </c>
      <c r="X1828">
        <v>0</v>
      </c>
      <c r="Y1828">
        <v>0</v>
      </c>
      <c r="Z1828" s="21">
        <f t="shared" si="214"/>
        <v>0</v>
      </c>
      <c r="AA1828">
        <v>0</v>
      </c>
      <c r="AB1828">
        <v>0</v>
      </c>
      <c r="AC1828" s="21">
        <f t="shared" si="215"/>
        <v>0</v>
      </c>
      <c r="AD1828">
        <v>0</v>
      </c>
      <c r="AE1828">
        <v>0</v>
      </c>
      <c r="AF1828" s="21">
        <f t="shared" si="218"/>
        <v>0</v>
      </c>
    </row>
    <row r="1829" spans="1:32" ht="15" customHeight="1" x14ac:dyDescent="0.3">
      <c r="A1829">
        <v>4</v>
      </c>
      <c r="B1829" s="2" t="s">
        <v>697</v>
      </c>
      <c r="C1829" s="4" t="s">
        <v>692</v>
      </c>
      <c r="D1829" s="3" t="s">
        <v>664</v>
      </c>
      <c r="E1829" s="6" t="s">
        <v>88</v>
      </c>
      <c r="F1829" s="6" t="s">
        <v>462</v>
      </c>
      <c r="G1829" s="6" t="s">
        <v>716</v>
      </c>
      <c r="H1829" s="23">
        <v>39000</v>
      </c>
      <c r="I1829">
        <v>0</v>
      </c>
      <c r="J1829">
        <v>0</v>
      </c>
      <c r="K1829" s="20">
        <f t="shared" si="216"/>
        <v>0</v>
      </c>
      <c r="L1829">
        <v>0</v>
      </c>
      <c r="M1829">
        <v>0</v>
      </c>
      <c r="N1829" s="21">
        <f t="shared" si="217"/>
        <v>0</v>
      </c>
      <c r="O1829">
        <v>0</v>
      </c>
      <c r="P1829">
        <v>0</v>
      </c>
      <c r="Q1829" s="21">
        <f t="shared" si="211"/>
        <v>0</v>
      </c>
      <c r="R1829">
        <v>30</v>
      </c>
      <c r="S1829">
        <v>3</v>
      </c>
      <c r="T1829" s="21">
        <f t="shared" si="212"/>
        <v>3510000</v>
      </c>
      <c r="U1829">
        <v>0</v>
      </c>
      <c r="V1829">
        <v>0</v>
      </c>
      <c r="W1829" s="21">
        <f t="shared" si="213"/>
        <v>0</v>
      </c>
      <c r="X1829">
        <v>0</v>
      </c>
      <c r="Y1829">
        <v>0</v>
      </c>
      <c r="Z1829" s="21">
        <f t="shared" si="214"/>
        <v>0</v>
      </c>
      <c r="AA1829">
        <v>0</v>
      </c>
      <c r="AB1829">
        <v>0</v>
      </c>
      <c r="AC1829" s="21">
        <f t="shared" si="215"/>
        <v>0</v>
      </c>
      <c r="AD1829">
        <v>0</v>
      </c>
      <c r="AE1829">
        <v>0</v>
      </c>
      <c r="AF1829" s="21">
        <f t="shared" si="218"/>
        <v>0</v>
      </c>
    </row>
    <row r="1830" spans="1:32" ht="15" customHeight="1" x14ac:dyDescent="0.3">
      <c r="A1830">
        <v>4</v>
      </c>
      <c r="B1830" s="2" t="s">
        <v>697</v>
      </c>
      <c r="C1830" s="4" t="s">
        <v>692</v>
      </c>
      <c r="D1830" s="3" t="s">
        <v>664</v>
      </c>
      <c r="E1830" s="6" t="s">
        <v>88</v>
      </c>
      <c r="F1830" s="6" t="s">
        <v>462</v>
      </c>
      <c r="G1830" s="6" t="s">
        <v>712</v>
      </c>
      <c r="H1830" s="23">
        <v>214.29</v>
      </c>
      <c r="I1830">
        <v>0</v>
      </c>
      <c r="J1830">
        <v>0</v>
      </c>
      <c r="K1830" s="20">
        <f t="shared" si="216"/>
        <v>0</v>
      </c>
      <c r="L1830">
        <v>0</v>
      </c>
      <c r="M1830">
        <v>0</v>
      </c>
      <c r="N1830" s="21">
        <f t="shared" si="217"/>
        <v>0</v>
      </c>
      <c r="O1830">
        <v>0</v>
      </c>
      <c r="P1830">
        <v>0</v>
      </c>
      <c r="Q1830" s="21">
        <f t="shared" si="211"/>
        <v>0</v>
      </c>
      <c r="R1830">
        <v>8000</v>
      </c>
      <c r="S1830">
        <v>1</v>
      </c>
      <c r="T1830" s="21">
        <f t="shared" si="212"/>
        <v>1714320</v>
      </c>
      <c r="U1830">
        <v>0</v>
      </c>
      <c r="V1830">
        <v>0</v>
      </c>
      <c r="W1830" s="21">
        <f t="shared" si="213"/>
        <v>0</v>
      </c>
      <c r="X1830">
        <v>0</v>
      </c>
      <c r="Y1830">
        <v>0</v>
      </c>
      <c r="Z1830" s="21">
        <f t="shared" si="214"/>
        <v>0</v>
      </c>
      <c r="AA1830">
        <v>0</v>
      </c>
      <c r="AB1830">
        <v>0</v>
      </c>
      <c r="AC1830" s="21">
        <f t="shared" si="215"/>
        <v>0</v>
      </c>
      <c r="AD1830">
        <v>0</v>
      </c>
      <c r="AE1830">
        <v>0</v>
      </c>
      <c r="AF1830" s="21">
        <f t="shared" si="218"/>
        <v>0</v>
      </c>
    </row>
    <row r="1831" spans="1:32" ht="15" customHeight="1" x14ac:dyDescent="0.3">
      <c r="A1831">
        <v>4</v>
      </c>
      <c r="B1831" s="2" t="s">
        <v>697</v>
      </c>
      <c r="C1831" s="4" t="s">
        <v>692</v>
      </c>
      <c r="D1831" s="3" t="s">
        <v>664</v>
      </c>
      <c r="E1831" s="6" t="s">
        <v>88</v>
      </c>
      <c r="F1831" s="6" t="s">
        <v>462</v>
      </c>
      <c r="G1831" s="6" t="s">
        <v>717</v>
      </c>
      <c r="H1831" s="23">
        <v>104850</v>
      </c>
      <c r="I1831">
        <v>0</v>
      </c>
      <c r="J1831">
        <v>0</v>
      </c>
      <c r="K1831" s="20">
        <f t="shared" si="216"/>
        <v>0</v>
      </c>
      <c r="L1831">
        <v>0</v>
      </c>
      <c r="M1831">
        <v>0</v>
      </c>
      <c r="N1831" s="21">
        <f t="shared" si="217"/>
        <v>0</v>
      </c>
      <c r="O1831">
        <v>0</v>
      </c>
      <c r="P1831">
        <v>0</v>
      </c>
      <c r="Q1831" s="21">
        <f t="shared" si="211"/>
        <v>0</v>
      </c>
      <c r="R1831">
        <v>1</v>
      </c>
      <c r="S1831">
        <v>1</v>
      </c>
      <c r="T1831" s="21">
        <f t="shared" si="212"/>
        <v>104850</v>
      </c>
      <c r="U1831">
        <v>0</v>
      </c>
      <c r="V1831">
        <v>0</v>
      </c>
      <c r="W1831" s="21">
        <f t="shared" si="213"/>
        <v>0</v>
      </c>
      <c r="X1831">
        <v>0</v>
      </c>
      <c r="Y1831">
        <v>0</v>
      </c>
      <c r="Z1831" s="21">
        <f t="shared" si="214"/>
        <v>0</v>
      </c>
      <c r="AA1831">
        <v>0</v>
      </c>
      <c r="AB1831">
        <v>0</v>
      </c>
      <c r="AC1831" s="21">
        <f t="shared" si="215"/>
        <v>0</v>
      </c>
      <c r="AD1831">
        <v>0</v>
      </c>
      <c r="AE1831">
        <v>0</v>
      </c>
      <c r="AF1831" s="21">
        <f t="shared" si="218"/>
        <v>0</v>
      </c>
    </row>
    <row r="1832" spans="1:32" ht="15" customHeight="1" x14ac:dyDescent="0.3">
      <c r="A1832">
        <v>4</v>
      </c>
      <c r="B1832" s="2" t="s">
        <v>697</v>
      </c>
      <c r="C1832" s="4" t="s">
        <v>692</v>
      </c>
      <c r="D1832" s="3" t="s">
        <v>664</v>
      </c>
      <c r="E1832" s="6" t="s">
        <v>88</v>
      </c>
      <c r="F1832" s="6" t="s">
        <v>462</v>
      </c>
      <c r="G1832" s="6" t="s">
        <v>711</v>
      </c>
      <c r="H1832" s="23">
        <v>70</v>
      </c>
      <c r="I1832">
        <v>0</v>
      </c>
      <c r="J1832">
        <v>0</v>
      </c>
      <c r="K1832" s="20">
        <f t="shared" si="216"/>
        <v>0</v>
      </c>
      <c r="L1832">
        <v>0</v>
      </c>
      <c r="M1832">
        <v>0</v>
      </c>
      <c r="N1832" s="21">
        <f t="shared" si="217"/>
        <v>0</v>
      </c>
      <c r="O1832">
        <v>0</v>
      </c>
      <c r="P1832">
        <v>0</v>
      </c>
      <c r="Q1832" s="21">
        <f t="shared" si="211"/>
        <v>0</v>
      </c>
      <c r="R1832">
        <v>5000</v>
      </c>
      <c r="S1832">
        <v>1</v>
      </c>
      <c r="T1832" s="21">
        <f t="shared" si="212"/>
        <v>350000</v>
      </c>
      <c r="U1832">
        <v>0</v>
      </c>
      <c r="V1832">
        <v>0</v>
      </c>
      <c r="W1832" s="21">
        <f t="shared" si="213"/>
        <v>0</v>
      </c>
      <c r="X1832">
        <v>0</v>
      </c>
      <c r="Y1832">
        <v>0</v>
      </c>
      <c r="Z1832" s="21">
        <f t="shared" si="214"/>
        <v>0</v>
      </c>
      <c r="AA1832">
        <v>0</v>
      </c>
      <c r="AB1832">
        <v>0</v>
      </c>
      <c r="AC1832" s="21">
        <f t="shared" si="215"/>
        <v>0</v>
      </c>
      <c r="AD1832">
        <v>0</v>
      </c>
      <c r="AE1832">
        <v>0</v>
      </c>
      <c r="AF1832" s="21">
        <f t="shared" si="218"/>
        <v>0</v>
      </c>
    </row>
    <row r="1833" spans="1:32" ht="15" customHeight="1" x14ac:dyDescent="0.3">
      <c r="A1833">
        <v>4</v>
      </c>
      <c r="B1833" s="2" t="s">
        <v>697</v>
      </c>
      <c r="C1833" s="4" t="s">
        <v>692</v>
      </c>
      <c r="D1833" s="3" t="s">
        <v>664</v>
      </c>
      <c r="E1833" s="6" t="s">
        <v>88</v>
      </c>
      <c r="F1833" s="6" t="s">
        <v>783</v>
      </c>
      <c r="G1833" s="6" t="s">
        <v>778</v>
      </c>
      <c r="H1833" s="23">
        <v>4083422</v>
      </c>
      <c r="I1833">
        <v>0</v>
      </c>
      <c r="J1833">
        <v>0</v>
      </c>
      <c r="K1833" s="20">
        <f t="shared" si="216"/>
        <v>0</v>
      </c>
      <c r="L1833">
        <v>0</v>
      </c>
      <c r="M1833">
        <v>0</v>
      </c>
      <c r="N1833" s="21">
        <f t="shared" si="217"/>
        <v>0</v>
      </c>
      <c r="O1833">
        <v>0</v>
      </c>
      <c r="P1833">
        <v>0</v>
      </c>
      <c r="Q1833" s="21">
        <f t="shared" si="211"/>
        <v>0</v>
      </c>
      <c r="R1833">
        <v>57</v>
      </c>
      <c r="S1833">
        <v>1</v>
      </c>
      <c r="T1833" s="21">
        <f t="shared" si="212"/>
        <v>232755054</v>
      </c>
      <c r="U1833">
        <v>0</v>
      </c>
      <c r="V1833">
        <v>0</v>
      </c>
      <c r="W1833" s="21">
        <f t="shared" si="213"/>
        <v>0</v>
      </c>
      <c r="X1833">
        <v>0</v>
      </c>
      <c r="Y1833">
        <v>0</v>
      </c>
      <c r="Z1833" s="21">
        <f t="shared" si="214"/>
        <v>0</v>
      </c>
      <c r="AA1833">
        <v>0</v>
      </c>
      <c r="AB1833">
        <v>0</v>
      </c>
      <c r="AC1833" s="21">
        <f t="shared" si="215"/>
        <v>0</v>
      </c>
      <c r="AD1833">
        <v>0</v>
      </c>
      <c r="AE1833">
        <v>0</v>
      </c>
      <c r="AF1833" s="21">
        <f t="shared" si="218"/>
        <v>0</v>
      </c>
    </row>
    <row r="1834" spans="1:32" ht="15" customHeight="1" x14ac:dyDescent="0.3">
      <c r="A1834">
        <v>4</v>
      </c>
      <c r="B1834" s="2" t="s">
        <v>697</v>
      </c>
      <c r="C1834" s="4" t="s">
        <v>692</v>
      </c>
      <c r="D1834" s="3" t="s">
        <v>665</v>
      </c>
      <c r="E1834" s="6" t="s">
        <v>89</v>
      </c>
      <c r="F1834" s="6" t="s">
        <v>464</v>
      </c>
      <c r="G1834" s="6" t="s">
        <v>718</v>
      </c>
      <c r="H1834" s="23">
        <v>0</v>
      </c>
      <c r="I1834">
        <v>0</v>
      </c>
      <c r="J1834">
        <v>0</v>
      </c>
      <c r="K1834" s="20">
        <f t="shared" si="216"/>
        <v>0</v>
      </c>
      <c r="L1834">
        <v>0</v>
      </c>
      <c r="M1834">
        <v>0</v>
      </c>
      <c r="N1834" s="21">
        <f t="shared" si="217"/>
        <v>0</v>
      </c>
      <c r="O1834">
        <v>0</v>
      </c>
      <c r="P1834">
        <v>0</v>
      </c>
      <c r="Q1834" s="21">
        <f t="shared" si="211"/>
        <v>0</v>
      </c>
      <c r="R1834">
        <v>0</v>
      </c>
      <c r="S1834">
        <v>0</v>
      </c>
      <c r="T1834" s="21">
        <f t="shared" si="212"/>
        <v>0</v>
      </c>
      <c r="U1834">
        <v>0</v>
      </c>
      <c r="V1834">
        <v>0</v>
      </c>
      <c r="W1834" s="21">
        <f t="shared" si="213"/>
        <v>0</v>
      </c>
      <c r="X1834">
        <v>0</v>
      </c>
      <c r="Y1834">
        <v>0</v>
      </c>
      <c r="Z1834" s="21">
        <f t="shared" si="214"/>
        <v>0</v>
      </c>
      <c r="AA1834">
        <v>0</v>
      </c>
      <c r="AB1834">
        <v>0</v>
      </c>
      <c r="AC1834" s="21">
        <f t="shared" si="215"/>
        <v>0</v>
      </c>
      <c r="AD1834">
        <v>0</v>
      </c>
      <c r="AE1834">
        <v>0</v>
      </c>
      <c r="AF1834" s="21">
        <f t="shared" si="218"/>
        <v>0</v>
      </c>
    </row>
    <row r="1835" spans="1:32" ht="15" customHeight="1" x14ac:dyDescent="0.3">
      <c r="A1835">
        <v>4</v>
      </c>
      <c r="B1835" s="2" t="s">
        <v>697</v>
      </c>
      <c r="C1835" s="4" t="s">
        <v>692</v>
      </c>
      <c r="D1835" s="3" t="s">
        <v>665</v>
      </c>
      <c r="E1835" s="6" t="s">
        <v>89</v>
      </c>
      <c r="F1835" s="6" t="s">
        <v>465</v>
      </c>
      <c r="G1835" s="6" t="s">
        <v>718</v>
      </c>
      <c r="H1835" s="23">
        <v>0</v>
      </c>
      <c r="I1835">
        <v>0</v>
      </c>
      <c r="J1835">
        <v>0</v>
      </c>
      <c r="K1835" s="20">
        <f t="shared" si="216"/>
        <v>0</v>
      </c>
      <c r="L1835">
        <v>0</v>
      </c>
      <c r="M1835">
        <v>0</v>
      </c>
      <c r="N1835" s="21">
        <f t="shared" si="217"/>
        <v>0</v>
      </c>
      <c r="O1835">
        <v>0</v>
      </c>
      <c r="P1835">
        <v>0</v>
      </c>
      <c r="Q1835" s="21">
        <f t="shared" si="211"/>
        <v>0</v>
      </c>
      <c r="R1835">
        <v>0</v>
      </c>
      <c r="S1835">
        <v>0</v>
      </c>
      <c r="T1835" s="21">
        <f t="shared" si="212"/>
        <v>0</v>
      </c>
      <c r="U1835">
        <v>0</v>
      </c>
      <c r="V1835">
        <v>0</v>
      </c>
      <c r="W1835" s="21">
        <f t="shared" si="213"/>
        <v>0</v>
      </c>
      <c r="X1835">
        <v>0</v>
      </c>
      <c r="Y1835">
        <v>0</v>
      </c>
      <c r="Z1835" s="21">
        <f t="shared" si="214"/>
        <v>0</v>
      </c>
      <c r="AA1835">
        <v>0</v>
      </c>
      <c r="AB1835">
        <v>0</v>
      </c>
      <c r="AC1835" s="21">
        <f t="shared" si="215"/>
        <v>0</v>
      </c>
      <c r="AD1835">
        <v>0</v>
      </c>
      <c r="AE1835">
        <v>0</v>
      </c>
      <c r="AF1835" s="21">
        <f t="shared" si="218"/>
        <v>0</v>
      </c>
    </row>
    <row r="1836" spans="1:32" ht="15" customHeight="1" x14ac:dyDescent="0.3">
      <c r="A1836">
        <v>4</v>
      </c>
      <c r="B1836" s="2" t="s">
        <v>697</v>
      </c>
      <c r="C1836" s="4" t="s">
        <v>692</v>
      </c>
      <c r="D1836" s="3" t="s">
        <v>665</v>
      </c>
      <c r="E1836" s="6" t="s">
        <v>89</v>
      </c>
      <c r="F1836" s="6" t="s">
        <v>466</v>
      </c>
      <c r="G1836" s="6" t="s">
        <v>718</v>
      </c>
      <c r="H1836" s="23">
        <v>0</v>
      </c>
      <c r="I1836">
        <v>0</v>
      </c>
      <c r="J1836">
        <v>0</v>
      </c>
      <c r="K1836" s="20">
        <f t="shared" si="216"/>
        <v>0</v>
      </c>
      <c r="L1836">
        <v>0</v>
      </c>
      <c r="M1836">
        <v>0</v>
      </c>
      <c r="N1836" s="21">
        <f t="shared" si="217"/>
        <v>0</v>
      </c>
      <c r="O1836">
        <v>0</v>
      </c>
      <c r="P1836">
        <v>0</v>
      </c>
      <c r="Q1836" s="21">
        <f t="shared" si="211"/>
        <v>0</v>
      </c>
      <c r="R1836">
        <v>0</v>
      </c>
      <c r="S1836">
        <v>0</v>
      </c>
      <c r="T1836" s="21">
        <f t="shared" si="212"/>
        <v>0</v>
      </c>
      <c r="U1836">
        <v>0</v>
      </c>
      <c r="V1836">
        <v>0</v>
      </c>
      <c r="W1836" s="21">
        <f t="shared" si="213"/>
        <v>0</v>
      </c>
      <c r="X1836">
        <v>0</v>
      </c>
      <c r="Y1836">
        <v>0</v>
      </c>
      <c r="Z1836" s="21">
        <f t="shared" si="214"/>
        <v>0</v>
      </c>
      <c r="AA1836">
        <v>0</v>
      </c>
      <c r="AB1836">
        <v>0</v>
      </c>
      <c r="AC1836" s="21">
        <f t="shared" si="215"/>
        <v>0</v>
      </c>
      <c r="AD1836">
        <v>0</v>
      </c>
      <c r="AE1836">
        <v>0</v>
      </c>
      <c r="AF1836" s="21">
        <f t="shared" si="218"/>
        <v>0</v>
      </c>
    </row>
    <row r="1837" spans="1:32" ht="15" customHeight="1" x14ac:dyDescent="0.3">
      <c r="A1837">
        <v>4</v>
      </c>
      <c r="B1837" s="2" t="s">
        <v>697</v>
      </c>
      <c r="C1837" s="4" t="s">
        <v>692</v>
      </c>
      <c r="D1837" s="3" t="s">
        <v>665</v>
      </c>
      <c r="E1837" s="6" t="s">
        <v>89</v>
      </c>
      <c r="F1837" s="6" t="s">
        <v>467</v>
      </c>
      <c r="G1837" s="6" t="s">
        <v>718</v>
      </c>
      <c r="H1837" s="23">
        <v>0</v>
      </c>
      <c r="I1837">
        <v>0</v>
      </c>
      <c r="J1837">
        <v>0</v>
      </c>
      <c r="K1837" s="20">
        <f t="shared" si="216"/>
        <v>0</v>
      </c>
      <c r="L1837">
        <v>0</v>
      </c>
      <c r="M1837">
        <v>0</v>
      </c>
      <c r="N1837" s="21">
        <f t="shared" si="217"/>
        <v>0</v>
      </c>
      <c r="O1837">
        <v>0</v>
      </c>
      <c r="P1837">
        <v>0</v>
      </c>
      <c r="Q1837" s="21">
        <f t="shared" si="211"/>
        <v>0</v>
      </c>
      <c r="R1837">
        <v>0</v>
      </c>
      <c r="S1837">
        <v>0</v>
      </c>
      <c r="T1837" s="21">
        <f t="shared" si="212"/>
        <v>0</v>
      </c>
      <c r="U1837">
        <v>0</v>
      </c>
      <c r="V1837">
        <v>0</v>
      </c>
      <c r="W1837" s="21">
        <f t="shared" si="213"/>
        <v>0</v>
      </c>
      <c r="X1837">
        <v>0</v>
      </c>
      <c r="Y1837">
        <v>0</v>
      </c>
      <c r="Z1837" s="21">
        <f t="shared" si="214"/>
        <v>0</v>
      </c>
      <c r="AA1837">
        <v>0</v>
      </c>
      <c r="AB1837">
        <v>0</v>
      </c>
      <c r="AC1837" s="21">
        <f t="shared" si="215"/>
        <v>0</v>
      </c>
      <c r="AD1837">
        <v>0</v>
      </c>
      <c r="AE1837">
        <v>0</v>
      </c>
      <c r="AF1837" s="21">
        <f t="shared" si="218"/>
        <v>0</v>
      </c>
    </row>
    <row r="1838" spans="1:32" ht="15" customHeight="1" x14ac:dyDescent="0.3">
      <c r="A1838">
        <v>4</v>
      </c>
      <c r="B1838" s="2" t="s">
        <v>697</v>
      </c>
      <c r="C1838" s="4" t="s">
        <v>692</v>
      </c>
      <c r="D1838" s="3" t="s">
        <v>665</v>
      </c>
      <c r="E1838" s="6" t="s">
        <v>89</v>
      </c>
      <c r="F1838" s="6" t="s">
        <v>468</v>
      </c>
      <c r="G1838" s="6" t="s">
        <v>718</v>
      </c>
      <c r="H1838" s="23">
        <v>0</v>
      </c>
      <c r="I1838">
        <v>0</v>
      </c>
      <c r="J1838">
        <v>0</v>
      </c>
      <c r="K1838" s="20">
        <f t="shared" si="216"/>
        <v>0</v>
      </c>
      <c r="L1838">
        <v>0</v>
      </c>
      <c r="M1838">
        <v>0</v>
      </c>
      <c r="N1838" s="21">
        <f t="shared" si="217"/>
        <v>0</v>
      </c>
      <c r="O1838">
        <v>0</v>
      </c>
      <c r="P1838">
        <v>0</v>
      </c>
      <c r="Q1838" s="21">
        <f t="shared" si="211"/>
        <v>0</v>
      </c>
      <c r="R1838">
        <v>0</v>
      </c>
      <c r="S1838">
        <v>0</v>
      </c>
      <c r="T1838" s="21">
        <f t="shared" si="212"/>
        <v>0</v>
      </c>
      <c r="U1838">
        <v>0</v>
      </c>
      <c r="V1838">
        <v>0</v>
      </c>
      <c r="W1838" s="21">
        <f t="shared" si="213"/>
        <v>0</v>
      </c>
      <c r="X1838">
        <v>0</v>
      </c>
      <c r="Y1838">
        <v>0</v>
      </c>
      <c r="Z1838" s="21">
        <f t="shared" si="214"/>
        <v>0</v>
      </c>
      <c r="AA1838">
        <v>0</v>
      </c>
      <c r="AB1838">
        <v>0</v>
      </c>
      <c r="AC1838" s="21">
        <f t="shared" si="215"/>
        <v>0</v>
      </c>
      <c r="AD1838">
        <v>0</v>
      </c>
      <c r="AE1838">
        <v>0</v>
      </c>
      <c r="AF1838" s="21">
        <f t="shared" si="218"/>
        <v>0</v>
      </c>
    </row>
    <row r="1839" spans="1:32" ht="15" customHeight="1" x14ac:dyDescent="0.3">
      <c r="A1839">
        <v>4</v>
      </c>
      <c r="B1839" s="2" t="s">
        <v>697</v>
      </c>
      <c r="C1839" s="4" t="s">
        <v>692</v>
      </c>
      <c r="D1839" s="3" t="s">
        <v>665</v>
      </c>
      <c r="E1839" s="6" t="s">
        <v>89</v>
      </c>
      <c r="F1839" s="6" t="s">
        <v>469</v>
      </c>
      <c r="G1839" s="6" t="s">
        <v>718</v>
      </c>
      <c r="H1839" s="23">
        <v>0</v>
      </c>
      <c r="I1839">
        <v>0</v>
      </c>
      <c r="J1839">
        <v>0</v>
      </c>
      <c r="K1839" s="20">
        <f t="shared" si="216"/>
        <v>0</v>
      </c>
      <c r="L1839">
        <v>0</v>
      </c>
      <c r="M1839">
        <v>0</v>
      </c>
      <c r="N1839" s="21">
        <f t="shared" si="217"/>
        <v>0</v>
      </c>
      <c r="O1839">
        <v>0</v>
      </c>
      <c r="P1839">
        <v>0</v>
      </c>
      <c r="Q1839" s="21">
        <f t="shared" si="211"/>
        <v>0</v>
      </c>
      <c r="R1839">
        <v>0</v>
      </c>
      <c r="S1839">
        <v>0</v>
      </c>
      <c r="T1839" s="21">
        <f t="shared" si="212"/>
        <v>0</v>
      </c>
      <c r="U1839">
        <v>0</v>
      </c>
      <c r="V1839">
        <v>0</v>
      </c>
      <c r="W1839" s="21">
        <f t="shared" si="213"/>
        <v>0</v>
      </c>
      <c r="X1839">
        <v>0</v>
      </c>
      <c r="Y1839">
        <v>0</v>
      </c>
      <c r="Z1839" s="21">
        <f t="shared" si="214"/>
        <v>0</v>
      </c>
      <c r="AA1839">
        <v>0</v>
      </c>
      <c r="AB1839">
        <v>0</v>
      </c>
      <c r="AC1839" s="21">
        <f t="shared" si="215"/>
        <v>0</v>
      </c>
      <c r="AD1839">
        <v>0</v>
      </c>
      <c r="AE1839">
        <v>0</v>
      </c>
      <c r="AF1839" s="21">
        <f t="shared" si="218"/>
        <v>0</v>
      </c>
    </row>
    <row r="1840" spans="1:32" ht="15" customHeight="1" x14ac:dyDescent="0.3">
      <c r="A1840">
        <v>4</v>
      </c>
      <c r="B1840" s="2" t="s">
        <v>697</v>
      </c>
      <c r="C1840" s="4" t="s">
        <v>692</v>
      </c>
      <c r="D1840" s="3" t="s">
        <v>665</v>
      </c>
      <c r="E1840" s="6" t="s">
        <v>89</v>
      </c>
      <c r="F1840" s="6" t="s">
        <v>470</v>
      </c>
      <c r="G1840" s="6" t="s">
        <v>718</v>
      </c>
      <c r="H1840" s="23">
        <v>0</v>
      </c>
      <c r="I1840">
        <v>0</v>
      </c>
      <c r="J1840">
        <v>0</v>
      </c>
      <c r="K1840" s="20">
        <f t="shared" si="216"/>
        <v>0</v>
      </c>
      <c r="L1840">
        <v>0</v>
      </c>
      <c r="M1840">
        <v>0</v>
      </c>
      <c r="N1840" s="21">
        <f t="shared" si="217"/>
        <v>0</v>
      </c>
      <c r="O1840">
        <v>0</v>
      </c>
      <c r="P1840">
        <v>0</v>
      </c>
      <c r="Q1840" s="21">
        <f t="shared" si="211"/>
        <v>0</v>
      </c>
      <c r="R1840">
        <v>0</v>
      </c>
      <c r="S1840">
        <v>0</v>
      </c>
      <c r="T1840" s="21">
        <f t="shared" si="212"/>
        <v>0</v>
      </c>
      <c r="U1840">
        <v>0</v>
      </c>
      <c r="V1840">
        <v>0</v>
      </c>
      <c r="W1840" s="21">
        <f t="shared" si="213"/>
        <v>0</v>
      </c>
      <c r="X1840">
        <v>0</v>
      </c>
      <c r="Y1840">
        <v>0</v>
      </c>
      <c r="Z1840" s="21">
        <f t="shared" si="214"/>
        <v>0</v>
      </c>
      <c r="AA1840">
        <v>0</v>
      </c>
      <c r="AB1840">
        <v>0</v>
      </c>
      <c r="AC1840" s="21">
        <f t="shared" si="215"/>
        <v>0</v>
      </c>
      <c r="AD1840">
        <v>0</v>
      </c>
      <c r="AE1840">
        <v>0</v>
      </c>
      <c r="AF1840" s="21">
        <f t="shared" si="218"/>
        <v>0</v>
      </c>
    </row>
    <row r="1841" spans="1:32" ht="15" customHeight="1" x14ac:dyDescent="0.3">
      <c r="A1841">
        <v>4</v>
      </c>
      <c r="B1841" s="2" t="s">
        <v>697</v>
      </c>
      <c r="C1841" s="4" t="s">
        <v>692</v>
      </c>
      <c r="D1841" s="3" t="s">
        <v>665</v>
      </c>
      <c r="E1841" s="6" t="s">
        <v>89</v>
      </c>
      <c r="F1841" s="6" t="s">
        <v>471</v>
      </c>
      <c r="G1841" s="6" t="s">
        <v>718</v>
      </c>
      <c r="H1841" s="23">
        <v>0</v>
      </c>
      <c r="I1841">
        <v>0</v>
      </c>
      <c r="J1841">
        <v>0</v>
      </c>
      <c r="K1841" s="20">
        <f t="shared" si="216"/>
        <v>0</v>
      </c>
      <c r="L1841">
        <v>0</v>
      </c>
      <c r="M1841">
        <v>0</v>
      </c>
      <c r="N1841" s="21">
        <f t="shared" si="217"/>
        <v>0</v>
      </c>
      <c r="O1841">
        <v>0</v>
      </c>
      <c r="P1841">
        <v>0</v>
      </c>
      <c r="Q1841" s="21">
        <f t="shared" si="211"/>
        <v>0</v>
      </c>
      <c r="R1841">
        <v>0</v>
      </c>
      <c r="S1841">
        <v>0</v>
      </c>
      <c r="T1841" s="21">
        <f t="shared" si="212"/>
        <v>0</v>
      </c>
      <c r="U1841">
        <v>0</v>
      </c>
      <c r="V1841">
        <v>0</v>
      </c>
      <c r="W1841" s="21">
        <f t="shared" si="213"/>
        <v>0</v>
      </c>
      <c r="X1841">
        <v>0</v>
      </c>
      <c r="Y1841">
        <v>0</v>
      </c>
      <c r="Z1841" s="21">
        <f t="shared" si="214"/>
        <v>0</v>
      </c>
      <c r="AA1841">
        <v>0</v>
      </c>
      <c r="AB1841">
        <v>0</v>
      </c>
      <c r="AC1841" s="21">
        <f t="shared" si="215"/>
        <v>0</v>
      </c>
      <c r="AD1841">
        <v>0</v>
      </c>
      <c r="AE1841">
        <v>0</v>
      </c>
      <c r="AF1841" s="21">
        <f t="shared" si="218"/>
        <v>0</v>
      </c>
    </row>
    <row r="1842" spans="1:32" ht="15" customHeight="1" x14ac:dyDescent="0.3">
      <c r="A1842">
        <v>4</v>
      </c>
      <c r="B1842" s="2" t="s">
        <v>697</v>
      </c>
      <c r="C1842" s="4" t="s">
        <v>692</v>
      </c>
      <c r="D1842" s="3" t="s">
        <v>665</v>
      </c>
      <c r="E1842" s="6" t="s">
        <v>89</v>
      </c>
      <c r="F1842" s="6" t="s">
        <v>472</v>
      </c>
      <c r="G1842" s="6" t="s">
        <v>718</v>
      </c>
      <c r="H1842" s="23">
        <v>0</v>
      </c>
      <c r="I1842">
        <v>0</v>
      </c>
      <c r="J1842">
        <v>0</v>
      </c>
      <c r="K1842" s="20">
        <f t="shared" si="216"/>
        <v>0</v>
      </c>
      <c r="L1842">
        <v>0</v>
      </c>
      <c r="M1842">
        <v>0</v>
      </c>
      <c r="N1842" s="21">
        <f t="shared" si="217"/>
        <v>0</v>
      </c>
      <c r="O1842">
        <v>0</v>
      </c>
      <c r="P1842">
        <v>0</v>
      </c>
      <c r="Q1842" s="21">
        <f t="shared" si="211"/>
        <v>0</v>
      </c>
      <c r="R1842">
        <v>0</v>
      </c>
      <c r="S1842">
        <v>0</v>
      </c>
      <c r="T1842" s="21">
        <f t="shared" si="212"/>
        <v>0</v>
      </c>
      <c r="U1842">
        <v>0</v>
      </c>
      <c r="V1842">
        <v>0</v>
      </c>
      <c r="W1842" s="21">
        <f t="shared" si="213"/>
        <v>0</v>
      </c>
      <c r="X1842">
        <v>0</v>
      </c>
      <c r="Y1842">
        <v>0</v>
      </c>
      <c r="Z1842" s="21">
        <f t="shared" si="214"/>
        <v>0</v>
      </c>
      <c r="AA1842">
        <v>0</v>
      </c>
      <c r="AB1842">
        <v>0</v>
      </c>
      <c r="AC1842" s="21">
        <f t="shared" si="215"/>
        <v>0</v>
      </c>
      <c r="AD1842">
        <v>0</v>
      </c>
      <c r="AE1842">
        <v>0</v>
      </c>
      <c r="AF1842" s="21">
        <f t="shared" si="218"/>
        <v>0</v>
      </c>
    </row>
    <row r="1843" spans="1:32" ht="15" customHeight="1" x14ac:dyDescent="0.3">
      <c r="A1843">
        <v>4</v>
      </c>
      <c r="B1843" s="2" t="s">
        <v>697</v>
      </c>
      <c r="C1843" s="4" t="s">
        <v>692</v>
      </c>
      <c r="D1843" s="3" t="s">
        <v>665</v>
      </c>
      <c r="E1843" s="6" t="s">
        <v>89</v>
      </c>
      <c r="F1843" s="6" t="s">
        <v>473</v>
      </c>
      <c r="G1843" s="6" t="s">
        <v>718</v>
      </c>
      <c r="H1843" s="23">
        <v>0</v>
      </c>
      <c r="I1843">
        <v>0</v>
      </c>
      <c r="J1843">
        <v>0</v>
      </c>
      <c r="K1843" s="20">
        <f t="shared" si="216"/>
        <v>0</v>
      </c>
      <c r="L1843">
        <v>0</v>
      </c>
      <c r="M1843">
        <v>0</v>
      </c>
      <c r="N1843" s="21">
        <f t="shared" si="217"/>
        <v>0</v>
      </c>
      <c r="O1843">
        <v>0</v>
      </c>
      <c r="P1843">
        <v>0</v>
      </c>
      <c r="Q1843" s="21">
        <f t="shared" si="211"/>
        <v>0</v>
      </c>
      <c r="R1843">
        <v>0</v>
      </c>
      <c r="S1843">
        <v>0</v>
      </c>
      <c r="T1843" s="21">
        <f t="shared" si="212"/>
        <v>0</v>
      </c>
      <c r="U1843">
        <v>0</v>
      </c>
      <c r="V1843">
        <v>0</v>
      </c>
      <c r="W1843" s="21">
        <f t="shared" si="213"/>
        <v>0</v>
      </c>
      <c r="X1843">
        <v>0</v>
      </c>
      <c r="Y1843">
        <v>0</v>
      </c>
      <c r="Z1843" s="21">
        <f t="shared" si="214"/>
        <v>0</v>
      </c>
      <c r="AA1843">
        <v>0</v>
      </c>
      <c r="AB1843">
        <v>0</v>
      </c>
      <c r="AC1843" s="21">
        <f t="shared" si="215"/>
        <v>0</v>
      </c>
      <c r="AD1843">
        <v>0</v>
      </c>
      <c r="AE1843">
        <v>0</v>
      </c>
      <c r="AF1843" s="21">
        <f t="shared" si="218"/>
        <v>0</v>
      </c>
    </row>
    <row r="1844" spans="1:32" ht="15" customHeight="1" x14ac:dyDescent="0.3">
      <c r="A1844">
        <v>4</v>
      </c>
      <c r="B1844" s="2" t="s">
        <v>697</v>
      </c>
      <c r="C1844" s="4" t="s">
        <v>692</v>
      </c>
      <c r="D1844" s="3" t="s">
        <v>666</v>
      </c>
      <c r="E1844" s="6" t="s">
        <v>90</v>
      </c>
      <c r="F1844" s="6" t="s">
        <v>474</v>
      </c>
      <c r="G1844" s="6" t="s">
        <v>716</v>
      </c>
      <c r="H1844" s="23">
        <v>39000</v>
      </c>
      <c r="I1844">
        <v>0</v>
      </c>
      <c r="J1844">
        <v>0</v>
      </c>
      <c r="K1844" s="20">
        <f t="shared" si="216"/>
        <v>0</v>
      </c>
      <c r="L1844">
        <v>180</v>
      </c>
      <c r="M1844">
        <v>3</v>
      </c>
      <c r="N1844" s="21">
        <f t="shared" si="217"/>
        <v>21060000</v>
      </c>
      <c r="O1844">
        <v>0</v>
      </c>
      <c r="P1844">
        <v>0</v>
      </c>
      <c r="Q1844" s="21">
        <f t="shared" si="211"/>
        <v>0</v>
      </c>
      <c r="R1844">
        <v>0</v>
      </c>
      <c r="S1844">
        <v>0</v>
      </c>
      <c r="T1844" s="21">
        <f t="shared" si="212"/>
        <v>0</v>
      </c>
      <c r="U1844">
        <v>0</v>
      </c>
      <c r="V1844">
        <v>0</v>
      </c>
      <c r="W1844" s="21">
        <f t="shared" si="213"/>
        <v>0</v>
      </c>
      <c r="X1844">
        <v>0</v>
      </c>
      <c r="Y1844">
        <v>0</v>
      </c>
      <c r="Z1844" s="21">
        <f t="shared" si="214"/>
        <v>0</v>
      </c>
      <c r="AA1844">
        <v>0</v>
      </c>
      <c r="AB1844">
        <v>0</v>
      </c>
      <c r="AC1844" s="21">
        <f t="shared" si="215"/>
        <v>0</v>
      </c>
      <c r="AD1844">
        <v>0</v>
      </c>
      <c r="AE1844">
        <v>0</v>
      </c>
      <c r="AF1844" s="21">
        <f t="shared" si="218"/>
        <v>0</v>
      </c>
    </row>
    <row r="1845" spans="1:32" ht="15" customHeight="1" x14ac:dyDescent="0.3">
      <c r="A1845">
        <v>4</v>
      </c>
      <c r="B1845" s="2" t="s">
        <v>697</v>
      </c>
      <c r="C1845" s="4" t="s">
        <v>692</v>
      </c>
      <c r="D1845" s="3" t="s">
        <v>666</v>
      </c>
      <c r="E1845" s="6" t="s">
        <v>90</v>
      </c>
      <c r="F1845" s="6" t="s">
        <v>474</v>
      </c>
      <c r="G1845" s="6" t="s">
        <v>709</v>
      </c>
      <c r="H1845" s="23">
        <v>28000</v>
      </c>
      <c r="I1845">
        <v>0</v>
      </c>
      <c r="J1845">
        <v>0</v>
      </c>
      <c r="K1845" s="20">
        <f t="shared" si="216"/>
        <v>0</v>
      </c>
      <c r="L1845">
        <v>180</v>
      </c>
      <c r="M1845">
        <v>3</v>
      </c>
      <c r="N1845" s="21">
        <f t="shared" si="217"/>
        <v>15120000</v>
      </c>
      <c r="O1845">
        <v>0</v>
      </c>
      <c r="P1845">
        <v>0</v>
      </c>
      <c r="Q1845" s="21">
        <f t="shared" si="211"/>
        <v>0</v>
      </c>
      <c r="R1845">
        <v>0</v>
      </c>
      <c r="S1845">
        <v>0</v>
      </c>
      <c r="T1845" s="21">
        <f t="shared" si="212"/>
        <v>0</v>
      </c>
      <c r="U1845">
        <v>0</v>
      </c>
      <c r="V1845">
        <v>0</v>
      </c>
      <c r="W1845" s="21">
        <f t="shared" si="213"/>
        <v>0</v>
      </c>
      <c r="X1845">
        <v>0</v>
      </c>
      <c r="Y1845">
        <v>0</v>
      </c>
      <c r="Z1845" s="21">
        <f t="shared" si="214"/>
        <v>0</v>
      </c>
      <c r="AA1845">
        <v>0</v>
      </c>
      <c r="AB1845">
        <v>0</v>
      </c>
      <c r="AC1845" s="21">
        <f t="shared" si="215"/>
        <v>0</v>
      </c>
      <c r="AD1845">
        <v>0</v>
      </c>
      <c r="AE1845">
        <v>0</v>
      </c>
      <c r="AF1845" s="21">
        <f t="shared" si="218"/>
        <v>0</v>
      </c>
    </row>
    <row r="1846" spans="1:32" ht="15" customHeight="1" x14ac:dyDescent="0.3">
      <c r="A1846">
        <v>4</v>
      </c>
      <c r="B1846" s="2" t="s">
        <v>697</v>
      </c>
      <c r="C1846" s="4" t="s">
        <v>692</v>
      </c>
      <c r="D1846" s="3" t="s">
        <v>666</v>
      </c>
      <c r="E1846" s="6" t="s">
        <v>90</v>
      </c>
      <c r="F1846" s="6" t="s">
        <v>474</v>
      </c>
      <c r="G1846" s="6" t="s">
        <v>712</v>
      </c>
      <c r="H1846" s="23">
        <v>214.29</v>
      </c>
      <c r="I1846">
        <v>0</v>
      </c>
      <c r="J1846">
        <v>0</v>
      </c>
      <c r="K1846" s="20">
        <f t="shared" si="216"/>
        <v>0</v>
      </c>
      <c r="L1846">
        <v>40000</v>
      </c>
      <c r="M1846">
        <v>1</v>
      </c>
      <c r="N1846" s="21">
        <f t="shared" si="217"/>
        <v>8571600</v>
      </c>
      <c r="O1846">
        <v>0</v>
      </c>
      <c r="P1846">
        <v>0</v>
      </c>
      <c r="Q1846" s="21">
        <f t="shared" si="211"/>
        <v>0</v>
      </c>
      <c r="R1846">
        <v>0</v>
      </c>
      <c r="S1846">
        <v>0</v>
      </c>
      <c r="T1846" s="21">
        <f t="shared" si="212"/>
        <v>0</v>
      </c>
      <c r="U1846">
        <v>0</v>
      </c>
      <c r="V1846">
        <v>0</v>
      </c>
      <c r="W1846" s="21">
        <f t="shared" si="213"/>
        <v>0</v>
      </c>
      <c r="X1846">
        <v>0</v>
      </c>
      <c r="Y1846">
        <v>0</v>
      </c>
      <c r="Z1846" s="21">
        <f t="shared" si="214"/>
        <v>0</v>
      </c>
      <c r="AA1846">
        <v>0</v>
      </c>
      <c r="AB1846">
        <v>0</v>
      </c>
      <c r="AC1846" s="21">
        <f t="shared" si="215"/>
        <v>0</v>
      </c>
      <c r="AD1846">
        <v>0</v>
      </c>
      <c r="AE1846">
        <v>0</v>
      </c>
      <c r="AF1846" s="21">
        <f t="shared" si="218"/>
        <v>0</v>
      </c>
    </row>
    <row r="1847" spans="1:32" ht="15" customHeight="1" x14ac:dyDescent="0.3">
      <c r="A1847">
        <v>4</v>
      </c>
      <c r="B1847" s="2" t="s">
        <v>697</v>
      </c>
      <c r="C1847" s="4" t="s">
        <v>692</v>
      </c>
      <c r="D1847" s="3" t="s">
        <v>666</v>
      </c>
      <c r="E1847" s="6" t="s">
        <v>90</v>
      </c>
      <c r="F1847" s="6" t="s">
        <v>475</v>
      </c>
      <c r="G1847" s="6" t="s">
        <v>709</v>
      </c>
      <c r="H1847" s="23">
        <v>28000</v>
      </c>
      <c r="I1847">
        <v>0</v>
      </c>
      <c r="J1847">
        <v>0</v>
      </c>
      <c r="K1847" s="20">
        <f t="shared" si="216"/>
        <v>0</v>
      </c>
      <c r="L1847">
        <v>90</v>
      </c>
      <c r="M1847">
        <v>3</v>
      </c>
      <c r="N1847" s="21">
        <f t="shared" si="217"/>
        <v>7560000</v>
      </c>
      <c r="O1847">
        <v>0</v>
      </c>
      <c r="P1847">
        <v>0</v>
      </c>
      <c r="Q1847" s="21">
        <f t="shared" si="211"/>
        <v>0</v>
      </c>
      <c r="R1847">
        <v>0</v>
      </c>
      <c r="S1847">
        <v>0</v>
      </c>
      <c r="T1847" s="21">
        <f t="shared" si="212"/>
        <v>0</v>
      </c>
      <c r="U1847">
        <v>0</v>
      </c>
      <c r="V1847">
        <v>0</v>
      </c>
      <c r="W1847" s="21">
        <f t="shared" si="213"/>
        <v>0</v>
      </c>
      <c r="X1847">
        <v>0</v>
      </c>
      <c r="Y1847">
        <v>0</v>
      </c>
      <c r="Z1847" s="21">
        <f t="shared" si="214"/>
        <v>0</v>
      </c>
      <c r="AA1847">
        <v>0</v>
      </c>
      <c r="AB1847">
        <v>0</v>
      </c>
      <c r="AC1847" s="21">
        <f t="shared" si="215"/>
        <v>0</v>
      </c>
      <c r="AD1847">
        <v>0</v>
      </c>
      <c r="AE1847">
        <v>0</v>
      </c>
      <c r="AF1847" s="21">
        <f t="shared" si="218"/>
        <v>0</v>
      </c>
    </row>
    <row r="1848" spans="1:32" ht="15" customHeight="1" x14ac:dyDescent="0.3">
      <c r="A1848">
        <v>4</v>
      </c>
      <c r="B1848" s="2" t="s">
        <v>697</v>
      </c>
      <c r="C1848" s="4" t="s">
        <v>692</v>
      </c>
      <c r="D1848" s="3" t="s">
        <v>666</v>
      </c>
      <c r="E1848" s="6" t="s">
        <v>90</v>
      </c>
      <c r="F1848" s="6" t="s">
        <v>475</v>
      </c>
      <c r="G1848" s="6" t="s">
        <v>716</v>
      </c>
      <c r="H1848" s="23">
        <v>39000</v>
      </c>
      <c r="I1848">
        <v>0</v>
      </c>
      <c r="J1848">
        <v>0</v>
      </c>
      <c r="K1848" s="20">
        <f t="shared" si="216"/>
        <v>0</v>
      </c>
      <c r="L1848">
        <v>90</v>
      </c>
      <c r="M1848">
        <v>3</v>
      </c>
      <c r="N1848" s="21">
        <f t="shared" si="217"/>
        <v>10530000</v>
      </c>
      <c r="O1848">
        <v>0</v>
      </c>
      <c r="P1848">
        <v>0</v>
      </c>
      <c r="Q1848" s="21">
        <f t="shared" si="211"/>
        <v>0</v>
      </c>
      <c r="R1848">
        <v>0</v>
      </c>
      <c r="S1848">
        <v>0</v>
      </c>
      <c r="T1848" s="21">
        <f t="shared" si="212"/>
        <v>0</v>
      </c>
      <c r="U1848">
        <v>0</v>
      </c>
      <c r="V1848">
        <v>0</v>
      </c>
      <c r="W1848" s="21">
        <f t="shared" si="213"/>
        <v>0</v>
      </c>
      <c r="X1848">
        <v>0</v>
      </c>
      <c r="Y1848">
        <v>0</v>
      </c>
      <c r="Z1848" s="21">
        <f t="shared" si="214"/>
        <v>0</v>
      </c>
      <c r="AA1848">
        <v>0</v>
      </c>
      <c r="AB1848">
        <v>0</v>
      </c>
      <c r="AC1848" s="21">
        <f t="shared" si="215"/>
        <v>0</v>
      </c>
      <c r="AD1848">
        <v>0</v>
      </c>
      <c r="AE1848">
        <v>0</v>
      </c>
      <c r="AF1848" s="21">
        <f t="shared" si="218"/>
        <v>0</v>
      </c>
    </row>
    <row r="1849" spans="1:32" ht="15" customHeight="1" x14ac:dyDescent="0.3">
      <c r="A1849">
        <v>4</v>
      </c>
      <c r="B1849" s="2" t="s">
        <v>697</v>
      </c>
      <c r="C1849" s="4" t="s">
        <v>692</v>
      </c>
      <c r="D1849" s="3" t="s">
        <v>666</v>
      </c>
      <c r="E1849" s="6" t="s">
        <v>90</v>
      </c>
      <c r="F1849" s="6" t="s">
        <v>475</v>
      </c>
      <c r="G1849" s="6" t="s">
        <v>712</v>
      </c>
      <c r="H1849" s="23">
        <v>214.29</v>
      </c>
      <c r="I1849">
        <v>0</v>
      </c>
      <c r="J1849">
        <v>0</v>
      </c>
      <c r="K1849" s="20">
        <f t="shared" si="216"/>
        <v>0</v>
      </c>
      <c r="L1849">
        <v>20000</v>
      </c>
      <c r="M1849">
        <v>1</v>
      </c>
      <c r="N1849" s="21">
        <f t="shared" si="217"/>
        <v>4285800</v>
      </c>
      <c r="O1849">
        <v>0</v>
      </c>
      <c r="P1849">
        <v>0</v>
      </c>
      <c r="Q1849" s="21">
        <f t="shared" si="211"/>
        <v>0</v>
      </c>
      <c r="R1849">
        <v>0</v>
      </c>
      <c r="S1849">
        <v>0</v>
      </c>
      <c r="T1849" s="21">
        <f t="shared" si="212"/>
        <v>0</v>
      </c>
      <c r="U1849">
        <v>0</v>
      </c>
      <c r="V1849">
        <v>0</v>
      </c>
      <c r="W1849" s="21">
        <f t="shared" si="213"/>
        <v>0</v>
      </c>
      <c r="X1849">
        <v>0</v>
      </c>
      <c r="Y1849">
        <v>0</v>
      </c>
      <c r="Z1849" s="21">
        <f t="shared" si="214"/>
        <v>0</v>
      </c>
      <c r="AA1849">
        <v>0</v>
      </c>
      <c r="AB1849">
        <v>0</v>
      </c>
      <c r="AC1849" s="21">
        <f t="shared" si="215"/>
        <v>0</v>
      </c>
      <c r="AD1849">
        <v>0</v>
      </c>
      <c r="AE1849">
        <v>0</v>
      </c>
      <c r="AF1849" s="21">
        <f t="shared" si="218"/>
        <v>0</v>
      </c>
    </row>
    <row r="1850" spans="1:32" ht="15" customHeight="1" x14ac:dyDescent="0.3">
      <c r="A1850">
        <v>4</v>
      </c>
      <c r="B1850" s="2" t="s">
        <v>697</v>
      </c>
      <c r="C1850" s="4" t="s">
        <v>692</v>
      </c>
      <c r="D1850" s="3" t="s">
        <v>666</v>
      </c>
      <c r="E1850" s="6" t="s">
        <v>90</v>
      </c>
      <c r="F1850" s="6" t="s">
        <v>476</v>
      </c>
      <c r="G1850" s="6" t="s">
        <v>709</v>
      </c>
      <c r="H1850" s="23">
        <v>28000</v>
      </c>
      <c r="I1850">
        <v>0</v>
      </c>
      <c r="J1850">
        <v>0</v>
      </c>
      <c r="K1850" s="20">
        <f t="shared" si="216"/>
        <v>0</v>
      </c>
      <c r="L1850">
        <v>30</v>
      </c>
      <c r="M1850">
        <v>1</v>
      </c>
      <c r="N1850" s="21">
        <f t="shared" si="217"/>
        <v>840000</v>
      </c>
      <c r="O1850">
        <v>0</v>
      </c>
      <c r="P1850">
        <v>0</v>
      </c>
      <c r="Q1850" s="21">
        <f t="shared" si="211"/>
        <v>0</v>
      </c>
      <c r="R1850">
        <v>0</v>
      </c>
      <c r="S1850">
        <v>0</v>
      </c>
      <c r="T1850" s="21">
        <f t="shared" si="212"/>
        <v>0</v>
      </c>
      <c r="U1850">
        <v>0</v>
      </c>
      <c r="V1850">
        <v>0</v>
      </c>
      <c r="W1850" s="21">
        <f t="shared" si="213"/>
        <v>0</v>
      </c>
      <c r="X1850">
        <v>0</v>
      </c>
      <c r="Y1850">
        <v>0</v>
      </c>
      <c r="Z1850" s="21">
        <f t="shared" si="214"/>
        <v>0</v>
      </c>
      <c r="AA1850">
        <v>0</v>
      </c>
      <c r="AB1850">
        <v>0</v>
      </c>
      <c r="AC1850" s="21">
        <f t="shared" si="215"/>
        <v>0</v>
      </c>
      <c r="AD1850">
        <v>0</v>
      </c>
      <c r="AE1850">
        <v>0</v>
      </c>
      <c r="AF1850" s="21">
        <f t="shared" si="218"/>
        <v>0</v>
      </c>
    </row>
    <row r="1851" spans="1:32" ht="15" customHeight="1" x14ac:dyDescent="0.3">
      <c r="A1851">
        <v>4</v>
      </c>
      <c r="B1851" s="2" t="s">
        <v>697</v>
      </c>
      <c r="C1851" s="4" t="s">
        <v>692</v>
      </c>
      <c r="D1851" s="3" t="s">
        <v>666</v>
      </c>
      <c r="E1851" s="6" t="s">
        <v>90</v>
      </c>
      <c r="F1851" s="6" t="s">
        <v>477</v>
      </c>
      <c r="G1851" s="6" t="s">
        <v>718</v>
      </c>
      <c r="H1851" s="23">
        <v>0</v>
      </c>
      <c r="I1851">
        <v>0</v>
      </c>
      <c r="J1851">
        <v>0</v>
      </c>
      <c r="K1851" s="20">
        <f t="shared" si="216"/>
        <v>0</v>
      </c>
      <c r="L1851">
        <v>0</v>
      </c>
      <c r="M1851">
        <v>0</v>
      </c>
      <c r="N1851" s="21">
        <f t="shared" si="217"/>
        <v>0</v>
      </c>
      <c r="O1851">
        <v>0</v>
      </c>
      <c r="P1851">
        <v>0</v>
      </c>
      <c r="Q1851" s="21">
        <f t="shared" si="211"/>
        <v>0</v>
      </c>
      <c r="R1851">
        <v>0</v>
      </c>
      <c r="S1851">
        <v>0</v>
      </c>
      <c r="T1851" s="21">
        <f t="shared" si="212"/>
        <v>0</v>
      </c>
      <c r="U1851">
        <v>0</v>
      </c>
      <c r="V1851">
        <v>0</v>
      </c>
      <c r="W1851" s="21">
        <f t="shared" si="213"/>
        <v>0</v>
      </c>
      <c r="X1851">
        <v>0</v>
      </c>
      <c r="Y1851">
        <v>0</v>
      </c>
      <c r="Z1851" s="21">
        <f t="shared" si="214"/>
        <v>0</v>
      </c>
      <c r="AA1851">
        <v>0</v>
      </c>
      <c r="AB1851">
        <v>0</v>
      </c>
      <c r="AC1851" s="21">
        <f t="shared" si="215"/>
        <v>0</v>
      </c>
      <c r="AD1851">
        <v>0</v>
      </c>
      <c r="AE1851">
        <v>0</v>
      </c>
      <c r="AF1851" s="21">
        <f t="shared" si="218"/>
        <v>0</v>
      </c>
    </row>
    <row r="1852" spans="1:32" ht="15" customHeight="1" x14ac:dyDescent="0.3">
      <c r="A1852">
        <v>4</v>
      </c>
      <c r="B1852" s="2" t="s">
        <v>697</v>
      </c>
      <c r="C1852" s="4" t="s">
        <v>692</v>
      </c>
      <c r="D1852" s="3" t="s">
        <v>666</v>
      </c>
      <c r="E1852" s="6" t="s">
        <v>90</v>
      </c>
      <c r="F1852" s="6" t="s">
        <v>478</v>
      </c>
      <c r="G1852" s="6" t="s">
        <v>709</v>
      </c>
      <c r="H1852" s="23">
        <v>28000</v>
      </c>
      <c r="I1852">
        <v>0</v>
      </c>
      <c r="J1852">
        <v>0</v>
      </c>
      <c r="K1852" s="20">
        <f t="shared" si="216"/>
        <v>0</v>
      </c>
      <c r="L1852">
        <v>80</v>
      </c>
      <c r="M1852">
        <v>1</v>
      </c>
      <c r="N1852" s="21">
        <f t="shared" si="217"/>
        <v>2240000</v>
      </c>
      <c r="O1852">
        <v>0</v>
      </c>
      <c r="P1852">
        <v>0</v>
      </c>
      <c r="Q1852" s="21">
        <f t="shared" si="211"/>
        <v>0</v>
      </c>
      <c r="R1852">
        <v>0</v>
      </c>
      <c r="S1852">
        <v>0</v>
      </c>
      <c r="T1852" s="21">
        <f t="shared" si="212"/>
        <v>0</v>
      </c>
      <c r="U1852">
        <v>0</v>
      </c>
      <c r="V1852">
        <v>0</v>
      </c>
      <c r="W1852" s="21">
        <f t="shared" si="213"/>
        <v>0</v>
      </c>
      <c r="X1852">
        <v>0</v>
      </c>
      <c r="Y1852">
        <v>0</v>
      </c>
      <c r="Z1852" s="21">
        <f t="shared" si="214"/>
        <v>0</v>
      </c>
      <c r="AA1852">
        <v>0</v>
      </c>
      <c r="AB1852">
        <v>0</v>
      </c>
      <c r="AC1852" s="21">
        <f t="shared" si="215"/>
        <v>0</v>
      </c>
      <c r="AD1852">
        <v>0</v>
      </c>
      <c r="AE1852">
        <v>0</v>
      </c>
      <c r="AF1852" s="21">
        <f t="shared" si="218"/>
        <v>0</v>
      </c>
    </row>
    <row r="1853" spans="1:32" ht="15" customHeight="1" x14ac:dyDescent="0.3">
      <c r="A1853">
        <v>4</v>
      </c>
      <c r="B1853" s="2" t="s">
        <v>697</v>
      </c>
      <c r="C1853" s="4" t="s">
        <v>692</v>
      </c>
      <c r="D1853" s="3" t="s">
        <v>666</v>
      </c>
      <c r="E1853" s="6" t="s">
        <v>90</v>
      </c>
      <c r="F1853" s="6" t="s">
        <v>478</v>
      </c>
      <c r="G1853" s="6" t="s">
        <v>716</v>
      </c>
      <c r="H1853" s="23">
        <v>39000</v>
      </c>
      <c r="I1853">
        <v>0</v>
      </c>
      <c r="J1853">
        <v>0</v>
      </c>
      <c r="K1853" s="20">
        <f t="shared" si="216"/>
        <v>0</v>
      </c>
      <c r="L1853">
        <v>40</v>
      </c>
      <c r="M1853">
        <v>1</v>
      </c>
      <c r="N1853" s="21">
        <f t="shared" si="217"/>
        <v>1560000</v>
      </c>
      <c r="O1853">
        <v>0</v>
      </c>
      <c r="P1853">
        <v>0</v>
      </c>
      <c r="Q1853" s="21">
        <f t="shared" ref="Q1853:Q1916" si="219">H1853*O1853*P1853</f>
        <v>0</v>
      </c>
      <c r="R1853">
        <v>0</v>
      </c>
      <c r="S1853">
        <v>0</v>
      </c>
      <c r="T1853" s="21">
        <f t="shared" ref="T1853:T1916" si="220">H1853*R1853*S1853</f>
        <v>0</v>
      </c>
      <c r="U1853">
        <v>0</v>
      </c>
      <c r="V1853">
        <v>0</v>
      </c>
      <c r="W1853" s="21">
        <f t="shared" ref="W1853:W1916" si="221">H1853*U1853*V1853</f>
        <v>0</v>
      </c>
      <c r="X1853">
        <v>0</v>
      </c>
      <c r="Y1853">
        <v>0</v>
      </c>
      <c r="Z1853" s="21">
        <f t="shared" ref="Z1853:Z1916" si="222">H1853*X1853*Y1853</f>
        <v>0</v>
      </c>
      <c r="AA1853">
        <v>0</v>
      </c>
      <c r="AB1853">
        <v>0</v>
      </c>
      <c r="AC1853" s="21">
        <f t="shared" ref="AC1853:AC1916" si="223">H1853*AA1853*AB1853</f>
        <v>0</v>
      </c>
      <c r="AD1853">
        <v>0</v>
      </c>
      <c r="AE1853">
        <v>0</v>
      </c>
      <c r="AF1853" s="21">
        <f t="shared" si="218"/>
        <v>0</v>
      </c>
    </row>
    <row r="1854" spans="1:32" ht="15" customHeight="1" x14ac:dyDescent="0.3">
      <c r="A1854">
        <v>4</v>
      </c>
      <c r="B1854" s="2" t="s">
        <v>697</v>
      </c>
      <c r="C1854" s="4" t="s">
        <v>692</v>
      </c>
      <c r="D1854" s="3" t="s">
        <v>666</v>
      </c>
      <c r="E1854" s="6" t="s">
        <v>90</v>
      </c>
      <c r="F1854" s="6" t="s">
        <v>478</v>
      </c>
      <c r="G1854" s="6" t="s">
        <v>712</v>
      </c>
      <c r="H1854" s="23">
        <v>214.29</v>
      </c>
      <c r="I1854">
        <v>0</v>
      </c>
      <c r="J1854">
        <v>0</v>
      </c>
      <c r="K1854" s="20">
        <f t="shared" si="216"/>
        <v>0</v>
      </c>
      <c r="L1854">
        <v>8000</v>
      </c>
      <c r="M1854">
        <v>1</v>
      </c>
      <c r="N1854" s="21">
        <f t="shared" si="217"/>
        <v>1714320</v>
      </c>
      <c r="O1854">
        <v>0</v>
      </c>
      <c r="P1854">
        <v>0</v>
      </c>
      <c r="Q1854" s="21">
        <f t="shared" si="219"/>
        <v>0</v>
      </c>
      <c r="R1854">
        <v>0</v>
      </c>
      <c r="S1854">
        <v>0</v>
      </c>
      <c r="T1854" s="21">
        <f t="shared" si="220"/>
        <v>0</v>
      </c>
      <c r="U1854">
        <v>0</v>
      </c>
      <c r="V1854">
        <v>0</v>
      </c>
      <c r="W1854" s="21">
        <f t="shared" si="221"/>
        <v>0</v>
      </c>
      <c r="X1854">
        <v>0</v>
      </c>
      <c r="Y1854">
        <v>0</v>
      </c>
      <c r="Z1854" s="21">
        <f t="shared" si="222"/>
        <v>0</v>
      </c>
      <c r="AA1854">
        <v>0</v>
      </c>
      <c r="AB1854">
        <v>0</v>
      </c>
      <c r="AC1854" s="21">
        <f t="shared" si="223"/>
        <v>0</v>
      </c>
      <c r="AD1854">
        <v>0</v>
      </c>
      <c r="AE1854">
        <v>0</v>
      </c>
      <c r="AF1854" s="21">
        <f t="shared" si="218"/>
        <v>0</v>
      </c>
    </row>
    <row r="1855" spans="1:32" ht="15" customHeight="1" x14ac:dyDescent="0.3">
      <c r="A1855">
        <v>4</v>
      </c>
      <c r="B1855" s="2" t="s">
        <v>697</v>
      </c>
      <c r="C1855" s="4" t="s">
        <v>692</v>
      </c>
      <c r="D1855" s="3" t="s">
        <v>666</v>
      </c>
      <c r="E1855" s="6" t="s">
        <v>91</v>
      </c>
      <c r="F1855" s="6" t="s">
        <v>479</v>
      </c>
      <c r="G1855" s="6" t="s">
        <v>716</v>
      </c>
      <c r="H1855" s="23">
        <v>39000</v>
      </c>
      <c r="I1855">
        <v>20</v>
      </c>
      <c r="J1855">
        <v>5</v>
      </c>
      <c r="K1855" s="20">
        <f t="shared" si="216"/>
        <v>3900000</v>
      </c>
      <c r="L1855">
        <v>0</v>
      </c>
      <c r="M1855">
        <v>0</v>
      </c>
      <c r="N1855" s="21">
        <f t="shared" si="217"/>
        <v>0</v>
      </c>
      <c r="O1855">
        <v>0</v>
      </c>
      <c r="P1855">
        <v>0</v>
      </c>
      <c r="Q1855" s="21">
        <f t="shared" si="219"/>
        <v>0</v>
      </c>
      <c r="R1855">
        <v>0</v>
      </c>
      <c r="S1855">
        <v>0</v>
      </c>
      <c r="T1855" s="21">
        <f t="shared" si="220"/>
        <v>0</v>
      </c>
      <c r="U1855">
        <v>0</v>
      </c>
      <c r="V1855">
        <v>0</v>
      </c>
      <c r="W1855" s="21">
        <f t="shared" si="221"/>
        <v>0</v>
      </c>
      <c r="X1855">
        <v>0</v>
      </c>
      <c r="Y1855">
        <v>0</v>
      </c>
      <c r="Z1855" s="21">
        <f t="shared" si="222"/>
        <v>0</v>
      </c>
      <c r="AA1855">
        <v>0</v>
      </c>
      <c r="AB1855">
        <v>0</v>
      </c>
      <c r="AC1855" s="21">
        <f t="shared" si="223"/>
        <v>0</v>
      </c>
      <c r="AD1855">
        <v>0</v>
      </c>
      <c r="AE1855">
        <v>0</v>
      </c>
      <c r="AF1855" s="21">
        <f t="shared" si="218"/>
        <v>0</v>
      </c>
    </row>
    <row r="1856" spans="1:32" ht="15" customHeight="1" x14ac:dyDescent="0.3">
      <c r="A1856">
        <v>4</v>
      </c>
      <c r="B1856" s="2" t="s">
        <v>697</v>
      </c>
      <c r="C1856" s="4" t="s">
        <v>692</v>
      </c>
      <c r="D1856" s="3" t="s">
        <v>666</v>
      </c>
      <c r="E1856" s="6" t="s">
        <v>91</v>
      </c>
      <c r="F1856" s="6" t="s">
        <v>479</v>
      </c>
      <c r="G1856" s="6" t="s">
        <v>709</v>
      </c>
      <c r="H1856" s="23">
        <v>28000</v>
      </c>
      <c r="I1856">
        <v>20</v>
      </c>
      <c r="J1856">
        <v>5</v>
      </c>
      <c r="K1856" s="20">
        <f t="shared" si="216"/>
        <v>2800000</v>
      </c>
      <c r="L1856">
        <v>0</v>
      </c>
      <c r="M1856">
        <v>0</v>
      </c>
      <c r="N1856" s="21">
        <f t="shared" si="217"/>
        <v>0</v>
      </c>
      <c r="O1856">
        <v>0</v>
      </c>
      <c r="P1856">
        <v>0</v>
      </c>
      <c r="Q1856" s="21">
        <f t="shared" si="219"/>
        <v>0</v>
      </c>
      <c r="R1856">
        <v>0</v>
      </c>
      <c r="S1856">
        <v>0</v>
      </c>
      <c r="T1856" s="21">
        <f t="shared" si="220"/>
        <v>0</v>
      </c>
      <c r="U1856">
        <v>0</v>
      </c>
      <c r="V1856">
        <v>0</v>
      </c>
      <c r="W1856" s="21">
        <f t="shared" si="221"/>
        <v>0</v>
      </c>
      <c r="X1856">
        <v>0</v>
      </c>
      <c r="Y1856">
        <v>0</v>
      </c>
      <c r="Z1856" s="21">
        <f t="shared" si="222"/>
        <v>0</v>
      </c>
      <c r="AA1856">
        <v>0</v>
      </c>
      <c r="AB1856">
        <v>0</v>
      </c>
      <c r="AC1856" s="21">
        <f t="shared" si="223"/>
        <v>0</v>
      </c>
      <c r="AD1856">
        <v>0</v>
      </c>
      <c r="AE1856">
        <v>0</v>
      </c>
      <c r="AF1856" s="21">
        <f t="shared" si="218"/>
        <v>0</v>
      </c>
    </row>
    <row r="1857" spans="1:32" ht="15" customHeight="1" x14ac:dyDescent="0.3">
      <c r="A1857">
        <v>4</v>
      </c>
      <c r="B1857" s="2" t="s">
        <v>697</v>
      </c>
      <c r="C1857" s="4" t="s">
        <v>692</v>
      </c>
      <c r="D1857" s="3" t="s">
        <v>666</v>
      </c>
      <c r="E1857" s="6" t="s">
        <v>91</v>
      </c>
      <c r="F1857" s="6" t="s">
        <v>479</v>
      </c>
      <c r="G1857" s="6" t="s">
        <v>712</v>
      </c>
      <c r="H1857" s="23">
        <v>214.29</v>
      </c>
      <c r="I1857">
        <v>4000</v>
      </c>
      <c r="J1857">
        <v>1</v>
      </c>
      <c r="K1857" s="20">
        <f t="shared" si="216"/>
        <v>857160</v>
      </c>
      <c r="L1857">
        <v>0</v>
      </c>
      <c r="M1857">
        <v>0</v>
      </c>
      <c r="N1857" s="21">
        <f t="shared" si="217"/>
        <v>0</v>
      </c>
      <c r="O1857">
        <v>0</v>
      </c>
      <c r="P1857">
        <v>0</v>
      </c>
      <c r="Q1857" s="21">
        <f t="shared" si="219"/>
        <v>0</v>
      </c>
      <c r="R1857">
        <v>0</v>
      </c>
      <c r="S1857">
        <v>0</v>
      </c>
      <c r="T1857" s="21">
        <f t="shared" si="220"/>
        <v>0</v>
      </c>
      <c r="U1857">
        <v>0</v>
      </c>
      <c r="V1857">
        <v>0</v>
      </c>
      <c r="W1857" s="21">
        <f t="shared" si="221"/>
        <v>0</v>
      </c>
      <c r="X1857">
        <v>0</v>
      </c>
      <c r="Y1857">
        <v>0</v>
      </c>
      <c r="Z1857" s="21">
        <f t="shared" si="222"/>
        <v>0</v>
      </c>
      <c r="AA1857">
        <v>0</v>
      </c>
      <c r="AB1857">
        <v>0</v>
      </c>
      <c r="AC1857" s="21">
        <f t="shared" si="223"/>
        <v>0</v>
      </c>
      <c r="AD1857">
        <v>0</v>
      </c>
      <c r="AE1857">
        <v>0</v>
      </c>
      <c r="AF1857" s="21">
        <f t="shared" si="218"/>
        <v>0</v>
      </c>
    </row>
    <row r="1858" spans="1:32" ht="15" customHeight="1" x14ac:dyDescent="0.3">
      <c r="A1858">
        <v>4</v>
      </c>
      <c r="B1858" s="2" t="s">
        <v>697</v>
      </c>
      <c r="C1858" s="4" t="s">
        <v>692</v>
      </c>
      <c r="D1858" s="3" t="s">
        <v>666</v>
      </c>
      <c r="E1858" s="6" t="s">
        <v>91</v>
      </c>
      <c r="F1858" s="6" t="s">
        <v>480</v>
      </c>
      <c r="G1858" s="6" t="s">
        <v>716</v>
      </c>
      <c r="H1858" s="23">
        <v>39000</v>
      </c>
      <c r="I1858">
        <v>20</v>
      </c>
      <c r="J1858">
        <v>5</v>
      </c>
      <c r="K1858" s="20">
        <f t="shared" si="216"/>
        <v>3900000</v>
      </c>
      <c r="L1858">
        <v>0</v>
      </c>
      <c r="M1858">
        <v>0</v>
      </c>
      <c r="N1858" s="21">
        <f t="shared" si="217"/>
        <v>0</v>
      </c>
      <c r="O1858">
        <v>0</v>
      </c>
      <c r="P1858">
        <v>0</v>
      </c>
      <c r="Q1858" s="21">
        <f t="shared" si="219"/>
        <v>0</v>
      </c>
      <c r="R1858">
        <v>0</v>
      </c>
      <c r="S1858">
        <v>0</v>
      </c>
      <c r="T1858" s="21">
        <f t="shared" si="220"/>
        <v>0</v>
      </c>
      <c r="U1858">
        <v>0</v>
      </c>
      <c r="V1858">
        <v>0</v>
      </c>
      <c r="W1858" s="21">
        <f t="shared" si="221"/>
        <v>0</v>
      </c>
      <c r="X1858">
        <v>0</v>
      </c>
      <c r="Y1858">
        <v>0</v>
      </c>
      <c r="Z1858" s="21">
        <f t="shared" si="222"/>
        <v>0</v>
      </c>
      <c r="AA1858">
        <v>0</v>
      </c>
      <c r="AB1858">
        <v>0</v>
      </c>
      <c r="AC1858" s="21">
        <f t="shared" si="223"/>
        <v>0</v>
      </c>
      <c r="AD1858">
        <v>0</v>
      </c>
      <c r="AE1858">
        <v>0</v>
      </c>
      <c r="AF1858" s="21">
        <f t="shared" si="218"/>
        <v>0</v>
      </c>
    </row>
    <row r="1859" spans="1:32" ht="15" customHeight="1" x14ac:dyDescent="0.3">
      <c r="A1859">
        <v>4</v>
      </c>
      <c r="B1859" s="2" t="s">
        <v>697</v>
      </c>
      <c r="C1859" s="4" t="s">
        <v>692</v>
      </c>
      <c r="D1859" s="3" t="s">
        <v>666</v>
      </c>
      <c r="E1859" s="6" t="s">
        <v>91</v>
      </c>
      <c r="F1859" s="6" t="s">
        <v>480</v>
      </c>
      <c r="G1859" s="6" t="s">
        <v>709</v>
      </c>
      <c r="H1859" s="23">
        <v>28000</v>
      </c>
      <c r="I1859">
        <v>20</v>
      </c>
      <c r="J1859">
        <v>5</v>
      </c>
      <c r="K1859" s="20">
        <f t="shared" si="216"/>
        <v>2800000</v>
      </c>
      <c r="L1859">
        <v>0</v>
      </c>
      <c r="M1859">
        <v>0</v>
      </c>
      <c r="N1859" s="21">
        <f t="shared" si="217"/>
        <v>0</v>
      </c>
      <c r="O1859">
        <v>0</v>
      </c>
      <c r="P1859">
        <v>0</v>
      </c>
      <c r="Q1859" s="21">
        <f t="shared" si="219"/>
        <v>0</v>
      </c>
      <c r="R1859">
        <v>0</v>
      </c>
      <c r="S1859">
        <v>0</v>
      </c>
      <c r="T1859" s="21">
        <f t="shared" si="220"/>
        <v>0</v>
      </c>
      <c r="U1859">
        <v>0</v>
      </c>
      <c r="V1859">
        <v>0</v>
      </c>
      <c r="W1859" s="21">
        <f t="shared" si="221"/>
        <v>0</v>
      </c>
      <c r="X1859">
        <v>0</v>
      </c>
      <c r="Y1859">
        <v>0</v>
      </c>
      <c r="Z1859" s="21">
        <f t="shared" si="222"/>
        <v>0</v>
      </c>
      <c r="AA1859">
        <v>0</v>
      </c>
      <c r="AB1859">
        <v>0</v>
      </c>
      <c r="AC1859" s="21">
        <f t="shared" si="223"/>
        <v>0</v>
      </c>
      <c r="AD1859">
        <v>0</v>
      </c>
      <c r="AE1859">
        <v>0</v>
      </c>
      <c r="AF1859" s="21">
        <f t="shared" si="218"/>
        <v>0</v>
      </c>
    </row>
    <row r="1860" spans="1:32" ht="15" customHeight="1" x14ac:dyDescent="0.3">
      <c r="A1860">
        <v>4</v>
      </c>
      <c r="B1860" s="2" t="s">
        <v>697</v>
      </c>
      <c r="C1860" s="4" t="s">
        <v>692</v>
      </c>
      <c r="D1860" s="3" t="s">
        <v>666</v>
      </c>
      <c r="E1860" s="6" t="s">
        <v>91</v>
      </c>
      <c r="F1860" s="6" t="s">
        <v>480</v>
      </c>
      <c r="G1860" s="6" t="s">
        <v>712</v>
      </c>
      <c r="H1860" s="23">
        <v>214.29</v>
      </c>
      <c r="I1860">
        <v>4000</v>
      </c>
      <c r="J1860">
        <v>1</v>
      </c>
      <c r="K1860" s="20">
        <f t="shared" si="216"/>
        <v>857160</v>
      </c>
      <c r="L1860">
        <v>0</v>
      </c>
      <c r="M1860">
        <v>0</v>
      </c>
      <c r="N1860" s="21">
        <f t="shared" si="217"/>
        <v>0</v>
      </c>
      <c r="O1860">
        <v>0</v>
      </c>
      <c r="P1860">
        <v>0</v>
      </c>
      <c r="Q1860" s="21">
        <f t="shared" si="219"/>
        <v>0</v>
      </c>
      <c r="R1860">
        <v>0</v>
      </c>
      <c r="S1860">
        <v>0</v>
      </c>
      <c r="T1860" s="21">
        <f t="shared" si="220"/>
        <v>0</v>
      </c>
      <c r="U1860">
        <v>0</v>
      </c>
      <c r="V1860">
        <v>0</v>
      </c>
      <c r="W1860" s="21">
        <f t="shared" si="221"/>
        <v>0</v>
      </c>
      <c r="X1860">
        <v>0</v>
      </c>
      <c r="Y1860">
        <v>0</v>
      </c>
      <c r="Z1860" s="21">
        <f t="shared" si="222"/>
        <v>0</v>
      </c>
      <c r="AA1860">
        <v>0</v>
      </c>
      <c r="AB1860">
        <v>0</v>
      </c>
      <c r="AC1860" s="21">
        <f t="shared" si="223"/>
        <v>0</v>
      </c>
      <c r="AD1860">
        <v>0</v>
      </c>
      <c r="AE1860">
        <v>0</v>
      </c>
      <c r="AF1860" s="21">
        <f t="shared" si="218"/>
        <v>0</v>
      </c>
    </row>
    <row r="1861" spans="1:32" ht="15" customHeight="1" x14ac:dyDescent="0.3">
      <c r="A1861">
        <v>4</v>
      </c>
      <c r="B1861" s="2" t="s">
        <v>697</v>
      </c>
      <c r="C1861" s="4" t="s">
        <v>692</v>
      </c>
      <c r="D1861" s="3" t="s">
        <v>666</v>
      </c>
      <c r="E1861" s="6" t="s">
        <v>91</v>
      </c>
      <c r="F1861" s="6" t="s">
        <v>481</v>
      </c>
      <c r="G1861" s="6" t="s">
        <v>718</v>
      </c>
      <c r="H1861" s="23">
        <v>0</v>
      </c>
      <c r="I1861">
        <v>0</v>
      </c>
      <c r="J1861">
        <v>0</v>
      </c>
      <c r="K1861" s="20">
        <f t="shared" si="216"/>
        <v>0</v>
      </c>
      <c r="L1861">
        <v>0</v>
      </c>
      <c r="M1861">
        <v>0</v>
      </c>
      <c r="N1861" s="21">
        <f t="shared" si="217"/>
        <v>0</v>
      </c>
      <c r="O1861">
        <v>0</v>
      </c>
      <c r="P1861">
        <v>0</v>
      </c>
      <c r="Q1861" s="21">
        <f t="shared" si="219"/>
        <v>0</v>
      </c>
      <c r="R1861">
        <v>0</v>
      </c>
      <c r="S1861">
        <v>0</v>
      </c>
      <c r="T1861" s="21">
        <f t="shared" si="220"/>
        <v>0</v>
      </c>
      <c r="U1861">
        <v>0</v>
      </c>
      <c r="V1861">
        <v>0</v>
      </c>
      <c r="W1861" s="21">
        <f t="shared" si="221"/>
        <v>0</v>
      </c>
      <c r="X1861">
        <v>0</v>
      </c>
      <c r="Y1861">
        <v>0</v>
      </c>
      <c r="Z1861" s="21">
        <f t="shared" si="222"/>
        <v>0</v>
      </c>
      <c r="AA1861">
        <v>0</v>
      </c>
      <c r="AB1861">
        <v>0</v>
      </c>
      <c r="AC1861" s="21">
        <f t="shared" si="223"/>
        <v>0</v>
      </c>
      <c r="AD1861">
        <v>0</v>
      </c>
      <c r="AE1861">
        <v>0</v>
      </c>
      <c r="AF1861" s="21">
        <f t="shared" si="218"/>
        <v>0</v>
      </c>
    </row>
    <row r="1862" spans="1:32" ht="15" customHeight="1" x14ac:dyDescent="0.3">
      <c r="A1862">
        <v>4</v>
      </c>
      <c r="B1862" s="2" t="s">
        <v>697</v>
      </c>
      <c r="C1862" s="4" t="s">
        <v>692</v>
      </c>
      <c r="D1862" s="3" t="s">
        <v>667</v>
      </c>
      <c r="E1862" s="6" t="s">
        <v>92</v>
      </c>
      <c r="F1862" s="6" t="s">
        <v>482</v>
      </c>
      <c r="G1862" s="6" t="s">
        <v>718</v>
      </c>
      <c r="H1862" s="23">
        <v>0</v>
      </c>
      <c r="I1862">
        <v>0</v>
      </c>
      <c r="J1862">
        <v>0</v>
      </c>
      <c r="K1862" s="20">
        <f t="shared" ref="K1862:K1925" si="224">H1862*I1862*J1862</f>
        <v>0</v>
      </c>
      <c r="L1862">
        <v>0</v>
      </c>
      <c r="M1862">
        <v>0</v>
      </c>
      <c r="N1862" s="21">
        <f t="shared" ref="N1862:N1925" si="225">H1862*L1862*M1862</f>
        <v>0</v>
      </c>
      <c r="O1862">
        <v>0</v>
      </c>
      <c r="P1862">
        <v>0</v>
      </c>
      <c r="Q1862" s="21">
        <f t="shared" si="219"/>
        <v>0</v>
      </c>
      <c r="R1862">
        <v>0</v>
      </c>
      <c r="S1862">
        <v>0</v>
      </c>
      <c r="T1862" s="21">
        <f t="shared" si="220"/>
        <v>0</v>
      </c>
      <c r="U1862">
        <v>0</v>
      </c>
      <c r="V1862">
        <v>0</v>
      </c>
      <c r="W1862" s="21">
        <f t="shared" si="221"/>
        <v>0</v>
      </c>
      <c r="X1862">
        <v>0</v>
      </c>
      <c r="Y1862">
        <v>0</v>
      </c>
      <c r="Z1862" s="21">
        <f t="shared" si="222"/>
        <v>0</v>
      </c>
      <c r="AA1862">
        <v>0</v>
      </c>
      <c r="AB1862">
        <v>0</v>
      </c>
      <c r="AC1862" s="21">
        <f t="shared" si="223"/>
        <v>0</v>
      </c>
      <c r="AD1862">
        <v>0</v>
      </c>
      <c r="AE1862">
        <v>0</v>
      </c>
      <c r="AF1862" s="21">
        <f t="shared" ref="AF1862:AF1925" si="226">H1862*AD1862*AE1862</f>
        <v>0</v>
      </c>
    </row>
    <row r="1863" spans="1:32" ht="15" customHeight="1" x14ac:dyDescent="0.3">
      <c r="A1863">
        <v>4</v>
      </c>
      <c r="B1863" s="2" t="s">
        <v>697</v>
      </c>
      <c r="C1863" s="4" t="s">
        <v>692</v>
      </c>
      <c r="D1863" s="3" t="s">
        <v>667</v>
      </c>
      <c r="E1863" s="6" t="s">
        <v>92</v>
      </c>
      <c r="F1863" s="6" t="s">
        <v>573</v>
      </c>
      <c r="G1863" s="6" t="s">
        <v>707</v>
      </c>
      <c r="H1863" s="23">
        <v>391991.03749999998</v>
      </c>
      <c r="I1863">
        <v>0</v>
      </c>
      <c r="J1863">
        <v>0</v>
      </c>
      <c r="K1863" s="20">
        <f t="shared" si="224"/>
        <v>0</v>
      </c>
      <c r="L1863">
        <v>1</v>
      </c>
      <c r="M1863">
        <v>4</v>
      </c>
      <c r="N1863" s="21">
        <f t="shared" si="225"/>
        <v>1567964.15</v>
      </c>
      <c r="O1863">
        <v>0</v>
      </c>
      <c r="P1863">
        <v>0</v>
      </c>
      <c r="Q1863" s="21">
        <f t="shared" si="219"/>
        <v>0</v>
      </c>
      <c r="R1863">
        <v>0</v>
      </c>
      <c r="S1863">
        <v>0</v>
      </c>
      <c r="T1863" s="21">
        <f t="shared" si="220"/>
        <v>0</v>
      </c>
      <c r="U1863">
        <v>0</v>
      </c>
      <c r="V1863">
        <v>0</v>
      </c>
      <c r="W1863" s="21">
        <f t="shared" si="221"/>
        <v>0</v>
      </c>
      <c r="X1863">
        <v>0</v>
      </c>
      <c r="Y1863">
        <v>0</v>
      </c>
      <c r="Z1863" s="21">
        <f t="shared" si="222"/>
        <v>0</v>
      </c>
      <c r="AA1863">
        <v>0</v>
      </c>
      <c r="AB1863">
        <v>0</v>
      </c>
      <c r="AC1863" s="21">
        <f t="shared" si="223"/>
        <v>0</v>
      </c>
      <c r="AD1863">
        <v>0</v>
      </c>
      <c r="AE1863">
        <v>0</v>
      </c>
      <c r="AF1863" s="21">
        <f t="shared" si="226"/>
        <v>0</v>
      </c>
    </row>
    <row r="1864" spans="1:32" ht="15" customHeight="1" x14ac:dyDescent="0.3">
      <c r="A1864">
        <v>4</v>
      </c>
      <c r="B1864" s="2" t="s">
        <v>697</v>
      </c>
      <c r="C1864" s="4" t="s">
        <v>692</v>
      </c>
      <c r="D1864" s="3" t="s">
        <v>667</v>
      </c>
      <c r="E1864" s="6" t="s">
        <v>92</v>
      </c>
      <c r="F1864" s="6" t="s">
        <v>573</v>
      </c>
      <c r="G1864" s="6" t="s">
        <v>708</v>
      </c>
      <c r="H1864" s="23">
        <v>425000</v>
      </c>
      <c r="I1864">
        <v>0</v>
      </c>
      <c r="J1864">
        <v>0</v>
      </c>
      <c r="K1864" s="20">
        <f t="shared" si="224"/>
        <v>0</v>
      </c>
      <c r="L1864">
        <v>1</v>
      </c>
      <c r="M1864">
        <v>30</v>
      </c>
      <c r="N1864" s="21">
        <f t="shared" si="225"/>
        <v>12750000</v>
      </c>
      <c r="O1864">
        <v>0</v>
      </c>
      <c r="P1864">
        <v>0</v>
      </c>
      <c r="Q1864" s="21">
        <f t="shared" si="219"/>
        <v>0</v>
      </c>
      <c r="R1864">
        <v>0</v>
      </c>
      <c r="S1864">
        <v>0</v>
      </c>
      <c r="T1864" s="21">
        <f t="shared" si="220"/>
        <v>0</v>
      </c>
      <c r="U1864">
        <v>0</v>
      </c>
      <c r="V1864">
        <v>0</v>
      </c>
      <c r="W1864" s="21">
        <f t="shared" si="221"/>
        <v>0</v>
      </c>
      <c r="X1864">
        <v>0</v>
      </c>
      <c r="Y1864">
        <v>0</v>
      </c>
      <c r="Z1864" s="21">
        <f t="shared" si="222"/>
        <v>0</v>
      </c>
      <c r="AA1864">
        <v>0</v>
      </c>
      <c r="AB1864">
        <v>0</v>
      </c>
      <c r="AC1864" s="21">
        <f t="shared" si="223"/>
        <v>0</v>
      </c>
      <c r="AD1864">
        <v>0</v>
      </c>
      <c r="AE1864">
        <v>0</v>
      </c>
      <c r="AF1864" s="21">
        <f t="shared" si="226"/>
        <v>0</v>
      </c>
    </row>
    <row r="1865" spans="1:32" ht="15" customHeight="1" x14ac:dyDescent="0.3">
      <c r="A1865">
        <v>4</v>
      </c>
      <c r="B1865" s="2" t="s">
        <v>697</v>
      </c>
      <c r="C1865" s="4" t="s">
        <v>692</v>
      </c>
      <c r="D1865" s="3" t="s">
        <v>667</v>
      </c>
      <c r="E1865" s="6" t="s">
        <v>92</v>
      </c>
      <c r="F1865" s="6" t="s">
        <v>280</v>
      </c>
      <c r="G1865" s="6" t="s">
        <v>709</v>
      </c>
      <c r="H1865" s="23">
        <v>28000</v>
      </c>
      <c r="I1865">
        <v>0</v>
      </c>
      <c r="J1865">
        <v>0</v>
      </c>
      <c r="K1865" s="20">
        <f t="shared" si="224"/>
        <v>0</v>
      </c>
      <c r="L1865">
        <v>40</v>
      </c>
      <c r="M1865">
        <v>1</v>
      </c>
      <c r="N1865" s="21">
        <f t="shared" si="225"/>
        <v>1120000</v>
      </c>
      <c r="O1865">
        <v>0</v>
      </c>
      <c r="P1865">
        <v>0</v>
      </c>
      <c r="Q1865" s="21">
        <f t="shared" si="219"/>
        <v>0</v>
      </c>
      <c r="R1865">
        <v>0</v>
      </c>
      <c r="S1865">
        <v>0</v>
      </c>
      <c r="T1865" s="21">
        <f t="shared" si="220"/>
        <v>0</v>
      </c>
      <c r="U1865">
        <v>0</v>
      </c>
      <c r="V1865">
        <v>0</v>
      </c>
      <c r="W1865" s="21">
        <f t="shared" si="221"/>
        <v>0</v>
      </c>
      <c r="X1865">
        <v>0</v>
      </c>
      <c r="Y1865">
        <v>0</v>
      </c>
      <c r="Z1865" s="21">
        <f t="shared" si="222"/>
        <v>0</v>
      </c>
      <c r="AA1865">
        <v>0</v>
      </c>
      <c r="AB1865">
        <v>0</v>
      </c>
      <c r="AC1865" s="21">
        <f t="shared" si="223"/>
        <v>0</v>
      </c>
      <c r="AD1865">
        <v>0</v>
      </c>
      <c r="AE1865">
        <v>0</v>
      </c>
      <c r="AF1865" s="21">
        <f t="shared" si="226"/>
        <v>0</v>
      </c>
    </row>
    <row r="1866" spans="1:32" ht="15" customHeight="1" x14ac:dyDescent="0.3">
      <c r="A1866">
        <v>4</v>
      </c>
      <c r="B1866" s="2" t="s">
        <v>697</v>
      </c>
      <c r="C1866" s="4" t="s">
        <v>692</v>
      </c>
      <c r="D1866" s="3" t="s">
        <v>667</v>
      </c>
      <c r="E1866" s="6" t="s">
        <v>92</v>
      </c>
      <c r="F1866" s="6" t="s">
        <v>575</v>
      </c>
      <c r="G1866" s="6" t="s">
        <v>718</v>
      </c>
      <c r="H1866" s="23">
        <v>0</v>
      </c>
      <c r="I1866">
        <v>0</v>
      </c>
      <c r="J1866">
        <v>0</v>
      </c>
      <c r="K1866" s="20">
        <f t="shared" si="224"/>
        <v>0</v>
      </c>
      <c r="L1866">
        <v>0</v>
      </c>
      <c r="M1866">
        <v>0</v>
      </c>
      <c r="N1866" s="21">
        <f t="shared" si="225"/>
        <v>0</v>
      </c>
      <c r="O1866">
        <v>0</v>
      </c>
      <c r="P1866">
        <v>0</v>
      </c>
      <c r="Q1866" s="21">
        <f t="shared" si="219"/>
        <v>0</v>
      </c>
      <c r="R1866">
        <v>0</v>
      </c>
      <c r="S1866">
        <v>0</v>
      </c>
      <c r="T1866" s="21">
        <f t="shared" si="220"/>
        <v>0</v>
      </c>
      <c r="U1866">
        <v>0</v>
      </c>
      <c r="V1866">
        <v>0</v>
      </c>
      <c r="W1866" s="21">
        <f t="shared" si="221"/>
        <v>0</v>
      </c>
      <c r="X1866">
        <v>0</v>
      </c>
      <c r="Y1866">
        <v>0</v>
      </c>
      <c r="Z1866" s="21">
        <f t="shared" si="222"/>
        <v>0</v>
      </c>
      <c r="AA1866">
        <v>0</v>
      </c>
      <c r="AB1866">
        <v>0</v>
      </c>
      <c r="AC1866" s="21">
        <f t="shared" si="223"/>
        <v>0</v>
      </c>
      <c r="AD1866">
        <v>0</v>
      </c>
      <c r="AE1866">
        <v>0</v>
      </c>
      <c r="AF1866" s="21">
        <f t="shared" si="226"/>
        <v>0</v>
      </c>
    </row>
    <row r="1867" spans="1:32" ht="15" customHeight="1" x14ac:dyDescent="0.3">
      <c r="A1867">
        <v>4</v>
      </c>
      <c r="B1867" s="2" t="s">
        <v>697</v>
      </c>
      <c r="C1867" s="4" t="s">
        <v>692</v>
      </c>
      <c r="D1867" s="3" t="s">
        <v>667</v>
      </c>
      <c r="E1867" s="6" t="s">
        <v>92</v>
      </c>
      <c r="F1867" s="6" t="s">
        <v>484</v>
      </c>
      <c r="G1867" s="6" t="s">
        <v>709</v>
      </c>
      <c r="H1867" s="23">
        <v>28000</v>
      </c>
      <c r="I1867">
        <v>0</v>
      </c>
      <c r="J1867">
        <v>0</v>
      </c>
      <c r="K1867" s="20">
        <f t="shared" si="224"/>
        <v>0</v>
      </c>
      <c r="L1867">
        <v>50</v>
      </c>
      <c r="M1867">
        <v>1</v>
      </c>
      <c r="N1867" s="21">
        <f t="shared" si="225"/>
        <v>1400000</v>
      </c>
      <c r="O1867">
        <v>0</v>
      </c>
      <c r="P1867">
        <v>0</v>
      </c>
      <c r="Q1867" s="21">
        <f t="shared" si="219"/>
        <v>0</v>
      </c>
      <c r="R1867">
        <v>0</v>
      </c>
      <c r="S1867">
        <v>0</v>
      </c>
      <c r="T1867" s="21">
        <f t="shared" si="220"/>
        <v>0</v>
      </c>
      <c r="U1867">
        <v>0</v>
      </c>
      <c r="V1867">
        <v>0</v>
      </c>
      <c r="W1867" s="21">
        <f t="shared" si="221"/>
        <v>0</v>
      </c>
      <c r="X1867">
        <v>0</v>
      </c>
      <c r="Y1867">
        <v>0</v>
      </c>
      <c r="Z1867" s="21">
        <f t="shared" si="222"/>
        <v>0</v>
      </c>
      <c r="AA1867">
        <v>0</v>
      </c>
      <c r="AB1867">
        <v>0</v>
      </c>
      <c r="AC1867" s="21">
        <f t="shared" si="223"/>
        <v>0</v>
      </c>
      <c r="AD1867">
        <v>0</v>
      </c>
      <c r="AE1867">
        <v>0</v>
      </c>
      <c r="AF1867" s="21">
        <f t="shared" si="226"/>
        <v>0</v>
      </c>
    </row>
    <row r="1868" spans="1:32" ht="15" customHeight="1" x14ac:dyDescent="0.3">
      <c r="A1868">
        <v>4</v>
      </c>
      <c r="B1868" s="2" t="s">
        <v>697</v>
      </c>
      <c r="C1868" s="4" t="s">
        <v>692</v>
      </c>
      <c r="D1868" s="3" t="s">
        <v>667</v>
      </c>
      <c r="E1868" s="6" t="s">
        <v>93</v>
      </c>
      <c r="F1868" s="6" t="s">
        <v>485</v>
      </c>
      <c r="G1868" s="6" t="s">
        <v>718</v>
      </c>
      <c r="H1868" s="23">
        <v>0</v>
      </c>
      <c r="I1868">
        <v>0</v>
      </c>
      <c r="J1868">
        <v>0</v>
      </c>
      <c r="K1868" s="20">
        <f t="shared" si="224"/>
        <v>0</v>
      </c>
      <c r="L1868">
        <v>0</v>
      </c>
      <c r="M1868">
        <v>0</v>
      </c>
      <c r="N1868" s="21">
        <f t="shared" si="225"/>
        <v>0</v>
      </c>
      <c r="O1868">
        <v>0</v>
      </c>
      <c r="P1868">
        <v>0</v>
      </c>
      <c r="Q1868" s="21">
        <f t="shared" si="219"/>
        <v>0</v>
      </c>
      <c r="R1868">
        <v>0</v>
      </c>
      <c r="S1868">
        <v>0</v>
      </c>
      <c r="T1868" s="21">
        <f t="shared" si="220"/>
        <v>0</v>
      </c>
      <c r="U1868">
        <v>0</v>
      </c>
      <c r="V1868">
        <v>0</v>
      </c>
      <c r="W1868" s="21">
        <f t="shared" si="221"/>
        <v>0</v>
      </c>
      <c r="X1868">
        <v>0</v>
      </c>
      <c r="Y1868">
        <v>0</v>
      </c>
      <c r="Z1868" s="21">
        <f t="shared" si="222"/>
        <v>0</v>
      </c>
      <c r="AA1868">
        <v>0</v>
      </c>
      <c r="AB1868">
        <v>0</v>
      </c>
      <c r="AC1868" s="21">
        <f t="shared" si="223"/>
        <v>0</v>
      </c>
      <c r="AD1868">
        <v>0</v>
      </c>
      <c r="AE1868">
        <v>0</v>
      </c>
      <c r="AF1868" s="21">
        <f t="shared" si="226"/>
        <v>0</v>
      </c>
    </row>
    <row r="1869" spans="1:32" ht="15" customHeight="1" x14ac:dyDescent="0.3">
      <c r="A1869">
        <v>4</v>
      </c>
      <c r="B1869" s="2" t="s">
        <v>697</v>
      </c>
      <c r="C1869" s="4" t="s">
        <v>692</v>
      </c>
      <c r="D1869" s="3" t="s">
        <v>667</v>
      </c>
      <c r="E1869" s="6" t="s">
        <v>93</v>
      </c>
      <c r="F1869" s="6" t="s">
        <v>486</v>
      </c>
      <c r="G1869" s="6" t="s">
        <v>718</v>
      </c>
      <c r="H1869" s="23">
        <v>0</v>
      </c>
      <c r="I1869">
        <v>0</v>
      </c>
      <c r="J1869">
        <v>0</v>
      </c>
      <c r="K1869" s="20">
        <f t="shared" si="224"/>
        <v>0</v>
      </c>
      <c r="L1869">
        <v>0</v>
      </c>
      <c r="M1869">
        <v>0</v>
      </c>
      <c r="N1869" s="21">
        <f t="shared" si="225"/>
        <v>0</v>
      </c>
      <c r="O1869">
        <v>0</v>
      </c>
      <c r="P1869">
        <v>0</v>
      </c>
      <c r="Q1869" s="21">
        <f t="shared" si="219"/>
        <v>0</v>
      </c>
      <c r="R1869">
        <v>0</v>
      </c>
      <c r="S1869">
        <v>0</v>
      </c>
      <c r="T1869" s="21">
        <f t="shared" si="220"/>
        <v>0</v>
      </c>
      <c r="U1869">
        <v>0</v>
      </c>
      <c r="V1869">
        <v>0</v>
      </c>
      <c r="W1869" s="21">
        <f t="shared" si="221"/>
        <v>0</v>
      </c>
      <c r="X1869">
        <v>0</v>
      </c>
      <c r="Y1869">
        <v>0</v>
      </c>
      <c r="Z1869" s="21">
        <f t="shared" si="222"/>
        <v>0</v>
      </c>
      <c r="AA1869">
        <v>0</v>
      </c>
      <c r="AB1869">
        <v>0</v>
      </c>
      <c r="AC1869" s="21">
        <f t="shared" si="223"/>
        <v>0</v>
      </c>
      <c r="AD1869">
        <v>0</v>
      </c>
      <c r="AE1869">
        <v>0</v>
      </c>
      <c r="AF1869" s="21">
        <f t="shared" si="226"/>
        <v>0</v>
      </c>
    </row>
    <row r="1870" spans="1:32" ht="15" customHeight="1" x14ac:dyDescent="0.3">
      <c r="A1870">
        <v>4</v>
      </c>
      <c r="B1870" s="2" t="s">
        <v>697</v>
      </c>
      <c r="C1870" s="4" t="s">
        <v>692</v>
      </c>
      <c r="D1870" s="3" t="s">
        <v>667</v>
      </c>
      <c r="E1870" s="6" t="s">
        <v>93</v>
      </c>
      <c r="F1870" s="6" t="s">
        <v>487</v>
      </c>
      <c r="G1870" s="6" t="s">
        <v>718</v>
      </c>
      <c r="H1870" s="23">
        <v>0</v>
      </c>
      <c r="I1870">
        <v>0</v>
      </c>
      <c r="J1870">
        <v>0</v>
      </c>
      <c r="K1870" s="20">
        <f t="shared" si="224"/>
        <v>0</v>
      </c>
      <c r="L1870">
        <v>0</v>
      </c>
      <c r="M1870">
        <v>0</v>
      </c>
      <c r="N1870" s="21">
        <f t="shared" si="225"/>
        <v>0</v>
      </c>
      <c r="O1870">
        <v>0</v>
      </c>
      <c r="P1870">
        <v>0</v>
      </c>
      <c r="Q1870" s="21">
        <f t="shared" si="219"/>
        <v>0</v>
      </c>
      <c r="R1870">
        <v>0</v>
      </c>
      <c r="S1870">
        <v>0</v>
      </c>
      <c r="T1870" s="21">
        <f t="shared" si="220"/>
        <v>0</v>
      </c>
      <c r="U1870">
        <v>0</v>
      </c>
      <c r="V1870">
        <v>0</v>
      </c>
      <c r="W1870" s="21">
        <f t="shared" si="221"/>
        <v>0</v>
      </c>
      <c r="X1870">
        <v>0</v>
      </c>
      <c r="Y1870">
        <v>0</v>
      </c>
      <c r="Z1870" s="21">
        <f t="shared" si="222"/>
        <v>0</v>
      </c>
      <c r="AA1870">
        <v>0</v>
      </c>
      <c r="AB1870">
        <v>0</v>
      </c>
      <c r="AC1870" s="21">
        <f t="shared" si="223"/>
        <v>0</v>
      </c>
      <c r="AD1870">
        <v>0</v>
      </c>
      <c r="AE1870">
        <v>0</v>
      </c>
      <c r="AF1870" s="21">
        <f t="shared" si="226"/>
        <v>0</v>
      </c>
    </row>
    <row r="1871" spans="1:32" ht="15" customHeight="1" x14ac:dyDescent="0.3">
      <c r="A1871">
        <v>4</v>
      </c>
      <c r="B1871" s="2" t="s">
        <v>697</v>
      </c>
      <c r="C1871" s="4" t="s">
        <v>692</v>
      </c>
      <c r="D1871" s="3" t="s">
        <v>667</v>
      </c>
      <c r="E1871" s="6" t="s">
        <v>93</v>
      </c>
      <c r="F1871" s="6" t="s">
        <v>488</v>
      </c>
      <c r="G1871" s="6" t="s">
        <v>718</v>
      </c>
      <c r="H1871" s="23">
        <v>0</v>
      </c>
      <c r="I1871">
        <v>0</v>
      </c>
      <c r="J1871">
        <v>0</v>
      </c>
      <c r="K1871" s="20">
        <f t="shared" si="224"/>
        <v>0</v>
      </c>
      <c r="L1871">
        <v>0</v>
      </c>
      <c r="M1871">
        <v>0</v>
      </c>
      <c r="N1871" s="21">
        <f t="shared" si="225"/>
        <v>0</v>
      </c>
      <c r="O1871">
        <v>0</v>
      </c>
      <c r="P1871">
        <v>0</v>
      </c>
      <c r="Q1871" s="21">
        <f t="shared" si="219"/>
        <v>0</v>
      </c>
      <c r="R1871">
        <v>0</v>
      </c>
      <c r="S1871">
        <v>0</v>
      </c>
      <c r="T1871" s="21">
        <f t="shared" si="220"/>
        <v>0</v>
      </c>
      <c r="U1871">
        <v>0</v>
      </c>
      <c r="V1871">
        <v>0</v>
      </c>
      <c r="W1871" s="21">
        <f t="shared" si="221"/>
        <v>0</v>
      </c>
      <c r="X1871">
        <v>0</v>
      </c>
      <c r="Y1871">
        <v>0</v>
      </c>
      <c r="Z1871" s="21">
        <f t="shared" si="222"/>
        <v>0</v>
      </c>
      <c r="AA1871">
        <v>0</v>
      </c>
      <c r="AB1871">
        <v>0</v>
      </c>
      <c r="AC1871" s="21">
        <f t="shared" si="223"/>
        <v>0</v>
      </c>
      <c r="AD1871">
        <v>0</v>
      </c>
      <c r="AE1871">
        <v>0</v>
      </c>
      <c r="AF1871" s="21">
        <f t="shared" si="226"/>
        <v>0</v>
      </c>
    </row>
    <row r="1872" spans="1:32" ht="15" customHeight="1" x14ac:dyDescent="0.3">
      <c r="A1872">
        <v>4</v>
      </c>
      <c r="B1872" s="2" t="s">
        <v>697</v>
      </c>
      <c r="C1872" s="4" t="s">
        <v>692</v>
      </c>
      <c r="D1872" s="3" t="s">
        <v>667</v>
      </c>
      <c r="E1872" s="6" t="s">
        <v>94</v>
      </c>
      <c r="F1872" s="6" t="s">
        <v>489</v>
      </c>
      <c r="G1872" s="6" t="s">
        <v>718</v>
      </c>
      <c r="H1872" s="23">
        <v>0</v>
      </c>
      <c r="I1872">
        <v>0</v>
      </c>
      <c r="J1872">
        <v>0</v>
      </c>
      <c r="K1872" s="20">
        <f t="shared" si="224"/>
        <v>0</v>
      </c>
      <c r="L1872">
        <v>0</v>
      </c>
      <c r="M1872">
        <v>0</v>
      </c>
      <c r="N1872" s="21">
        <f t="shared" si="225"/>
        <v>0</v>
      </c>
      <c r="O1872">
        <v>0</v>
      </c>
      <c r="P1872">
        <v>0</v>
      </c>
      <c r="Q1872" s="21">
        <f t="shared" si="219"/>
        <v>0</v>
      </c>
      <c r="R1872">
        <v>0</v>
      </c>
      <c r="S1872">
        <v>0</v>
      </c>
      <c r="T1872" s="21">
        <f t="shared" si="220"/>
        <v>0</v>
      </c>
      <c r="U1872">
        <v>0</v>
      </c>
      <c r="V1872">
        <v>0</v>
      </c>
      <c r="W1872" s="21">
        <f t="shared" si="221"/>
        <v>0</v>
      </c>
      <c r="X1872">
        <v>0</v>
      </c>
      <c r="Y1872">
        <v>0</v>
      </c>
      <c r="Z1872" s="21">
        <f t="shared" si="222"/>
        <v>0</v>
      </c>
      <c r="AA1872">
        <v>0</v>
      </c>
      <c r="AB1872">
        <v>0</v>
      </c>
      <c r="AC1872" s="21">
        <f t="shared" si="223"/>
        <v>0</v>
      </c>
      <c r="AD1872">
        <v>0</v>
      </c>
      <c r="AE1872">
        <v>0</v>
      </c>
      <c r="AF1872" s="21">
        <f t="shared" si="226"/>
        <v>0</v>
      </c>
    </row>
    <row r="1873" spans="1:32" ht="15" customHeight="1" x14ac:dyDescent="0.3">
      <c r="A1873">
        <v>4</v>
      </c>
      <c r="B1873" s="2" t="s">
        <v>697</v>
      </c>
      <c r="C1873" s="4" t="s">
        <v>692</v>
      </c>
      <c r="D1873" s="3" t="s">
        <v>667</v>
      </c>
      <c r="E1873" s="6" t="s">
        <v>94</v>
      </c>
      <c r="F1873" s="6" t="s">
        <v>490</v>
      </c>
      <c r="G1873" s="6" t="s">
        <v>718</v>
      </c>
      <c r="H1873" s="23">
        <v>0</v>
      </c>
      <c r="I1873">
        <v>0</v>
      </c>
      <c r="J1873">
        <v>0</v>
      </c>
      <c r="K1873" s="20">
        <f t="shared" si="224"/>
        <v>0</v>
      </c>
      <c r="L1873">
        <v>0</v>
      </c>
      <c r="M1873">
        <v>0</v>
      </c>
      <c r="N1873" s="21">
        <f t="shared" si="225"/>
        <v>0</v>
      </c>
      <c r="O1873">
        <v>0</v>
      </c>
      <c r="P1873">
        <v>0</v>
      </c>
      <c r="Q1873" s="21">
        <f t="shared" si="219"/>
        <v>0</v>
      </c>
      <c r="R1873">
        <v>0</v>
      </c>
      <c r="S1873">
        <v>0</v>
      </c>
      <c r="T1873" s="21">
        <f t="shared" si="220"/>
        <v>0</v>
      </c>
      <c r="U1873">
        <v>0</v>
      </c>
      <c r="V1873">
        <v>0</v>
      </c>
      <c r="W1873" s="21">
        <f t="shared" si="221"/>
        <v>0</v>
      </c>
      <c r="X1873">
        <v>0</v>
      </c>
      <c r="Y1873">
        <v>0</v>
      </c>
      <c r="Z1873" s="21">
        <f t="shared" si="222"/>
        <v>0</v>
      </c>
      <c r="AA1873">
        <v>0</v>
      </c>
      <c r="AB1873">
        <v>0</v>
      </c>
      <c r="AC1873" s="21">
        <f t="shared" si="223"/>
        <v>0</v>
      </c>
      <c r="AD1873">
        <v>0</v>
      </c>
      <c r="AE1873">
        <v>0</v>
      </c>
      <c r="AF1873" s="21">
        <f t="shared" si="226"/>
        <v>0</v>
      </c>
    </row>
    <row r="1874" spans="1:32" ht="15" customHeight="1" x14ac:dyDescent="0.3">
      <c r="A1874">
        <v>4</v>
      </c>
      <c r="B1874" s="2" t="s">
        <v>697</v>
      </c>
      <c r="C1874" s="4" t="s">
        <v>692</v>
      </c>
      <c r="D1874" s="3" t="s">
        <v>667</v>
      </c>
      <c r="E1874" s="6" t="s">
        <v>94</v>
      </c>
      <c r="F1874" s="6" t="s">
        <v>487</v>
      </c>
      <c r="G1874" s="6" t="s">
        <v>718</v>
      </c>
      <c r="H1874" s="23">
        <v>0</v>
      </c>
      <c r="I1874">
        <v>0</v>
      </c>
      <c r="J1874">
        <v>0</v>
      </c>
      <c r="K1874" s="20">
        <f t="shared" si="224"/>
        <v>0</v>
      </c>
      <c r="L1874">
        <v>0</v>
      </c>
      <c r="M1874">
        <v>0</v>
      </c>
      <c r="N1874" s="21">
        <f t="shared" si="225"/>
        <v>0</v>
      </c>
      <c r="O1874">
        <v>0</v>
      </c>
      <c r="P1874">
        <v>0</v>
      </c>
      <c r="Q1874" s="21">
        <f t="shared" si="219"/>
        <v>0</v>
      </c>
      <c r="R1874">
        <v>0</v>
      </c>
      <c r="S1874">
        <v>0</v>
      </c>
      <c r="T1874" s="21">
        <f t="shared" si="220"/>
        <v>0</v>
      </c>
      <c r="U1874">
        <v>0</v>
      </c>
      <c r="V1874">
        <v>0</v>
      </c>
      <c r="W1874" s="21">
        <f t="shared" si="221"/>
        <v>0</v>
      </c>
      <c r="X1874">
        <v>0</v>
      </c>
      <c r="Y1874">
        <v>0</v>
      </c>
      <c r="Z1874" s="21">
        <f t="shared" si="222"/>
        <v>0</v>
      </c>
      <c r="AA1874">
        <v>0</v>
      </c>
      <c r="AB1874">
        <v>0</v>
      </c>
      <c r="AC1874" s="21">
        <f t="shared" si="223"/>
        <v>0</v>
      </c>
      <c r="AD1874">
        <v>0</v>
      </c>
      <c r="AE1874">
        <v>0</v>
      </c>
      <c r="AF1874" s="21">
        <f t="shared" si="226"/>
        <v>0</v>
      </c>
    </row>
    <row r="1875" spans="1:32" ht="15" customHeight="1" x14ac:dyDescent="0.3">
      <c r="A1875">
        <v>4</v>
      </c>
      <c r="B1875" s="2" t="s">
        <v>697</v>
      </c>
      <c r="C1875" s="4" t="s">
        <v>692</v>
      </c>
      <c r="D1875" s="3" t="s">
        <v>667</v>
      </c>
      <c r="E1875" s="6" t="s">
        <v>94</v>
      </c>
      <c r="F1875" s="6" t="s">
        <v>488</v>
      </c>
      <c r="G1875" s="6" t="s">
        <v>718</v>
      </c>
      <c r="H1875" s="23">
        <v>0</v>
      </c>
      <c r="I1875">
        <v>0</v>
      </c>
      <c r="J1875">
        <v>0</v>
      </c>
      <c r="K1875" s="20">
        <f t="shared" si="224"/>
        <v>0</v>
      </c>
      <c r="L1875">
        <v>0</v>
      </c>
      <c r="M1875">
        <v>0</v>
      </c>
      <c r="N1875" s="21">
        <f t="shared" si="225"/>
        <v>0</v>
      </c>
      <c r="O1875">
        <v>0</v>
      </c>
      <c r="P1875">
        <v>0</v>
      </c>
      <c r="Q1875" s="21">
        <f t="shared" si="219"/>
        <v>0</v>
      </c>
      <c r="R1875">
        <v>0</v>
      </c>
      <c r="S1875">
        <v>0</v>
      </c>
      <c r="T1875" s="21">
        <f t="shared" si="220"/>
        <v>0</v>
      </c>
      <c r="U1875">
        <v>0</v>
      </c>
      <c r="V1875">
        <v>0</v>
      </c>
      <c r="W1875" s="21">
        <f t="shared" si="221"/>
        <v>0</v>
      </c>
      <c r="X1875">
        <v>0</v>
      </c>
      <c r="Y1875">
        <v>0</v>
      </c>
      <c r="Z1875" s="21">
        <f t="shared" si="222"/>
        <v>0</v>
      </c>
      <c r="AA1875">
        <v>0</v>
      </c>
      <c r="AB1875">
        <v>0</v>
      </c>
      <c r="AC1875" s="21">
        <f t="shared" si="223"/>
        <v>0</v>
      </c>
      <c r="AD1875">
        <v>0</v>
      </c>
      <c r="AE1875">
        <v>0</v>
      </c>
      <c r="AF1875" s="21">
        <f t="shared" si="226"/>
        <v>0</v>
      </c>
    </row>
    <row r="1876" spans="1:32" ht="15" customHeight="1" x14ac:dyDescent="0.3">
      <c r="A1876">
        <v>4</v>
      </c>
      <c r="B1876" s="2" t="s">
        <v>697</v>
      </c>
      <c r="C1876" s="4" t="s">
        <v>692</v>
      </c>
      <c r="D1876" s="3" t="s">
        <v>668</v>
      </c>
      <c r="E1876" s="6" t="s">
        <v>95</v>
      </c>
      <c r="F1876" s="6" t="s">
        <v>214</v>
      </c>
      <c r="G1876" s="6" t="s">
        <v>718</v>
      </c>
      <c r="H1876" s="23">
        <v>0</v>
      </c>
      <c r="I1876">
        <v>0</v>
      </c>
      <c r="J1876">
        <v>0</v>
      </c>
      <c r="K1876" s="20">
        <f t="shared" si="224"/>
        <v>0</v>
      </c>
      <c r="L1876">
        <v>0</v>
      </c>
      <c r="M1876">
        <v>0</v>
      </c>
      <c r="N1876" s="21">
        <f t="shared" si="225"/>
        <v>0</v>
      </c>
      <c r="O1876">
        <v>0</v>
      </c>
      <c r="P1876">
        <v>0</v>
      </c>
      <c r="Q1876" s="21">
        <f t="shared" si="219"/>
        <v>0</v>
      </c>
      <c r="R1876">
        <v>0</v>
      </c>
      <c r="S1876">
        <v>0</v>
      </c>
      <c r="T1876" s="21">
        <f t="shared" si="220"/>
        <v>0</v>
      </c>
      <c r="U1876">
        <v>0</v>
      </c>
      <c r="V1876">
        <v>0</v>
      </c>
      <c r="W1876" s="21">
        <f t="shared" si="221"/>
        <v>0</v>
      </c>
      <c r="X1876">
        <v>0</v>
      </c>
      <c r="Y1876">
        <v>0</v>
      </c>
      <c r="Z1876" s="21">
        <f t="shared" si="222"/>
        <v>0</v>
      </c>
      <c r="AA1876">
        <v>0</v>
      </c>
      <c r="AB1876">
        <v>0</v>
      </c>
      <c r="AC1876" s="21">
        <f t="shared" si="223"/>
        <v>0</v>
      </c>
      <c r="AD1876">
        <v>0</v>
      </c>
      <c r="AE1876">
        <v>0</v>
      </c>
      <c r="AF1876" s="21">
        <f t="shared" si="226"/>
        <v>0</v>
      </c>
    </row>
    <row r="1877" spans="1:32" ht="15" customHeight="1" x14ac:dyDescent="0.3">
      <c r="A1877">
        <v>4</v>
      </c>
      <c r="B1877" s="2" t="s">
        <v>697</v>
      </c>
      <c r="C1877" s="4" t="s">
        <v>692</v>
      </c>
      <c r="D1877" s="3" t="s">
        <v>668</v>
      </c>
      <c r="E1877" s="6" t="s">
        <v>95</v>
      </c>
      <c r="F1877" s="6" t="s">
        <v>234</v>
      </c>
      <c r="G1877" s="6" t="s">
        <v>718</v>
      </c>
      <c r="H1877" s="23">
        <v>0</v>
      </c>
      <c r="I1877">
        <v>0</v>
      </c>
      <c r="J1877">
        <v>0</v>
      </c>
      <c r="K1877" s="20">
        <f t="shared" si="224"/>
        <v>0</v>
      </c>
      <c r="L1877">
        <v>0</v>
      </c>
      <c r="M1877">
        <v>0</v>
      </c>
      <c r="N1877" s="21">
        <f t="shared" si="225"/>
        <v>0</v>
      </c>
      <c r="O1877">
        <v>0</v>
      </c>
      <c r="P1877">
        <v>0</v>
      </c>
      <c r="Q1877" s="21">
        <f t="shared" si="219"/>
        <v>0</v>
      </c>
      <c r="R1877">
        <v>0</v>
      </c>
      <c r="S1877">
        <v>0</v>
      </c>
      <c r="T1877" s="21">
        <f t="shared" si="220"/>
        <v>0</v>
      </c>
      <c r="U1877">
        <v>0</v>
      </c>
      <c r="V1877">
        <v>0</v>
      </c>
      <c r="W1877" s="21">
        <f t="shared" si="221"/>
        <v>0</v>
      </c>
      <c r="X1877">
        <v>0</v>
      </c>
      <c r="Y1877">
        <v>0</v>
      </c>
      <c r="Z1877" s="21">
        <f t="shared" si="222"/>
        <v>0</v>
      </c>
      <c r="AA1877">
        <v>0</v>
      </c>
      <c r="AB1877">
        <v>0</v>
      </c>
      <c r="AC1877" s="21">
        <f t="shared" si="223"/>
        <v>0</v>
      </c>
      <c r="AD1877">
        <v>0</v>
      </c>
      <c r="AE1877">
        <v>0</v>
      </c>
      <c r="AF1877" s="21">
        <f t="shared" si="226"/>
        <v>0</v>
      </c>
    </row>
    <row r="1878" spans="1:32" ht="15" customHeight="1" x14ac:dyDescent="0.3">
      <c r="A1878">
        <v>4</v>
      </c>
      <c r="B1878" s="2" t="s">
        <v>697</v>
      </c>
      <c r="C1878" s="4" t="s">
        <v>692</v>
      </c>
      <c r="D1878" s="3" t="s">
        <v>668</v>
      </c>
      <c r="E1878" s="6" t="s">
        <v>95</v>
      </c>
      <c r="F1878" s="6" t="s">
        <v>149</v>
      </c>
      <c r="G1878" s="6" t="s">
        <v>707</v>
      </c>
      <c r="H1878" s="23">
        <v>391991.03749999998</v>
      </c>
      <c r="I1878">
        <v>1</v>
      </c>
      <c r="J1878">
        <v>6</v>
      </c>
      <c r="K1878" s="20">
        <f t="shared" si="224"/>
        <v>2351946.2249999996</v>
      </c>
      <c r="L1878">
        <v>0</v>
      </c>
      <c r="M1878">
        <v>0</v>
      </c>
      <c r="N1878" s="21">
        <f t="shared" si="225"/>
        <v>0</v>
      </c>
      <c r="O1878">
        <v>0</v>
      </c>
      <c r="P1878">
        <v>0</v>
      </c>
      <c r="Q1878" s="21">
        <f t="shared" si="219"/>
        <v>0</v>
      </c>
      <c r="R1878">
        <v>0</v>
      </c>
      <c r="S1878">
        <v>0</v>
      </c>
      <c r="T1878" s="21">
        <f t="shared" si="220"/>
        <v>0</v>
      </c>
      <c r="U1878">
        <v>0</v>
      </c>
      <c r="V1878">
        <v>0</v>
      </c>
      <c r="W1878" s="21">
        <f t="shared" si="221"/>
        <v>0</v>
      </c>
      <c r="X1878">
        <v>0</v>
      </c>
      <c r="Y1878">
        <v>0</v>
      </c>
      <c r="Z1878" s="21">
        <f t="shared" si="222"/>
        <v>0</v>
      </c>
      <c r="AA1878">
        <v>0</v>
      </c>
      <c r="AB1878">
        <v>0</v>
      </c>
      <c r="AC1878" s="21">
        <f t="shared" si="223"/>
        <v>0</v>
      </c>
      <c r="AD1878">
        <v>0</v>
      </c>
      <c r="AE1878">
        <v>0</v>
      </c>
      <c r="AF1878" s="21">
        <f t="shared" si="226"/>
        <v>0</v>
      </c>
    </row>
    <row r="1879" spans="1:32" ht="15" customHeight="1" x14ac:dyDescent="0.3">
      <c r="A1879">
        <v>4</v>
      </c>
      <c r="B1879" s="2" t="s">
        <v>697</v>
      </c>
      <c r="C1879" s="4" t="s">
        <v>692</v>
      </c>
      <c r="D1879" s="3" t="s">
        <v>668</v>
      </c>
      <c r="E1879" s="6" t="s">
        <v>95</v>
      </c>
      <c r="F1879" s="6" t="s">
        <v>149</v>
      </c>
      <c r="G1879" s="6" t="s">
        <v>708</v>
      </c>
      <c r="H1879" s="23">
        <v>425000</v>
      </c>
      <c r="I1879">
        <v>1</v>
      </c>
      <c r="J1879">
        <v>40</v>
      </c>
      <c r="K1879" s="20">
        <f t="shared" si="224"/>
        <v>17000000</v>
      </c>
      <c r="L1879">
        <v>0</v>
      </c>
      <c r="M1879">
        <v>0</v>
      </c>
      <c r="N1879" s="21">
        <f t="shared" si="225"/>
        <v>0</v>
      </c>
      <c r="O1879">
        <v>0</v>
      </c>
      <c r="P1879">
        <v>0</v>
      </c>
      <c r="Q1879" s="21">
        <f t="shared" si="219"/>
        <v>0</v>
      </c>
      <c r="R1879">
        <v>0</v>
      </c>
      <c r="S1879">
        <v>0</v>
      </c>
      <c r="T1879" s="21">
        <f t="shared" si="220"/>
        <v>0</v>
      </c>
      <c r="U1879">
        <v>0</v>
      </c>
      <c r="V1879">
        <v>0</v>
      </c>
      <c r="W1879" s="21">
        <f t="shared" si="221"/>
        <v>0</v>
      </c>
      <c r="X1879">
        <v>0</v>
      </c>
      <c r="Y1879">
        <v>0</v>
      </c>
      <c r="Z1879" s="21">
        <f t="shared" si="222"/>
        <v>0</v>
      </c>
      <c r="AA1879">
        <v>0</v>
      </c>
      <c r="AB1879">
        <v>0</v>
      </c>
      <c r="AC1879" s="21">
        <f t="shared" si="223"/>
        <v>0</v>
      </c>
      <c r="AD1879">
        <v>0</v>
      </c>
      <c r="AE1879">
        <v>0</v>
      </c>
      <c r="AF1879" s="21">
        <f t="shared" si="226"/>
        <v>0</v>
      </c>
    </row>
    <row r="1880" spans="1:32" ht="15" customHeight="1" x14ac:dyDescent="0.3">
      <c r="A1880">
        <v>4</v>
      </c>
      <c r="B1880" s="2" t="s">
        <v>697</v>
      </c>
      <c r="C1880" s="4" t="s">
        <v>692</v>
      </c>
      <c r="D1880" s="3" t="s">
        <v>668</v>
      </c>
      <c r="E1880" s="6" t="s">
        <v>95</v>
      </c>
      <c r="F1880" s="6" t="s">
        <v>491</v>
      </c>
      <c r="G1880" s="6" t="s">
        <v>718</v>
      </c>
      <c r="H1880" s="23">
        <v>0</v>
      </c>
      <c r="I1880">
        <v>0</v>
      </c>
      <c r="J1880">
        <v>0</v>
      </c>
      <c r="K1880" s="20">
        <f t="shared" si="224"/>
        <v>0</v>
      </c>
      <c r="L1880">
        <v>0</v>
      </c>
      <c r="M1880">
        <v>0</v>
      </c>
      <c r="N1880" s="21">
        <f t="shared" si="225"/>
        <v>0</v>
      </c>
      <c r="O1880">
        <v>0</v>
      </c>
      <c r="P1880">
        <v>0</v>
      </c>
      <c r="Q1880" s="21">
        <f t="shared" si="219"/>
        <v>0</v>
      </c>
      <c r="R1880">
        <v>0</v>
      </c>
      <c r="S1880">
        <v>0</v>
      </c>
      <c r="T1880" s="21">
        <f t="shared" si="220"/>
        <v>0</v>
      </c>
      <c r="U1880">
        <v>0</v>
      </c>
      <c r="V1880">
        <v>0</v>
      </c>
      <c r="W1880" s="21">
        <f t="shared" si="221"/>
        <v>0</v>
      </c>
      <c r="X1880">
        <v>0</v>
      </c>
      <c r="Y1880">
        <v>0</v>
      </c>
      <c r="Z1880" s="21">
        <f t="shared" si="222"/>
        <v>0</v>
      </c>
      <c r="AA1880">
        <v>0</v>
      </c>
      <c r="AB1880">
        <v>0</v>
      </c>
      <c r="AC1880" s="21">
        <f t="shared" si="223"/>
        <v>0</v>
      </c>
      <c r="AD1880">
        <v>0</v>
      </c>
      <c r="AE1880">
        <v>0</v>
      </c>
      <c r="AF1880" s="21">
        <f t="shared" si="226"/>
        <v>0</v>
      </c>
    </row>
    <row r="1881" spans="1:32" ht="15" customHeight="1" x14ac:dyDescent="0.3">
      <c r="A1881">
        <v>4</v>
      </c>
      <c r="B1881" s="2" t="s">
        <v>697</v>
      </c>
      <c r="C1881" s="4" t="s">
        <v>692</v>
      </c>
      <c r="D1881" s="3" t="s">
        <v>668</v>
      </c>
      <c r="E1881" s="6" t="s">
        <v>95</v>
      </c>
      <c r="F1881" s="6" t="s">
        <v>492</v>
      </c>
      <c r="G1881" s="6" t="s">
        <v>709</v>
      </c>
      <c r="H1881" s="23">
        <v>28000</v>
      </c>
      <c r="I1881">
        <v>15</v>
      </c>
      <c r="J1881">
        <v>2</v>
      </c>
      <c r="K1881" s="20">
        <f t="shared" si="224"/>
        <v>840000</v>
      </c>
      <c r="L1881">
        <v>0</v>
      </c>
      <c r="M1881">
        <v>0</v>
      </c>
      <c r="N1881" s="21">
        <f t="shared" si="225"/>
        <v>0</v>
      </c>
      <c r="O1881">
        <v>0</v>
      </c>
      <c r="P1881">
        <v>0</v>
      </c>
      <c r="Q1881" s="21">
        <f t="shared" si="219"/>
        <v>0</v>
      </c>
      <c r="R1881">
        <v>0</v>
      </c>
      <c r="S1881">
        <v>0</v>
      </c>
      <c r="T1881" s="21">
        <f t="shared" si="220"/>
        <v>0</v>
      </c>
      <c r="U1881">
        <v>0</v>
      </c>
      <c r="V1881">
        <v>0</v>
      </c>
      <c r="W1881" s="21">
        <f t="shared" si="221"/>
        <v>0</v>
      </c>
      <c r="X1881">
        <v>0</v>
      </c>
      <c r="Y1881">
        <v>0</v>
      </c>
      <c r="Z1881" s="21">
        <f t="shared" si="222"/>
        <v>0</v>
      </c>
      <c r="AA1881">
        <v>0</v>
      </c>
      <c r="AB1881">
        <v>0</v>
      </c>
      <c r="AC1881" s="21">
        <f t="shared" si="223"/>
        <v>0</v>
      </c>
      <c r="AD1881">
        <v>0</v>
      </c>
      <c r="AE1881">
        <v>0</v>
      </c>
      <c r="AF1881" s="21">
        <f t="shared" si="226"/>
        <v>0</v>
      </c>
    </row>
    <row r="1882" spans="1:32" ht="15" customHeight="1" x14ac:dyDescent="0.3">
      <c r="A1882">
        <v>4</v>
      </c>
      <c r="B1882" s="2" t="s">
        <v>697</v>
      </c>
      <c r="C1882" s="4" t="s">
        <v>692</v>
      </c>
      <c r="D1882" s="3" t="s">
        <v>668</v>
      </c>
      <c r="E1882" s="6" t="s">
        <v>95</v>
      </c>
      <c r="F1882" s="6" t="s">
        <v>493</v>
      </c>
      <c r="G1882" s="6" t="s">
        <v>713</v>
      </c>
      <c r="H1882" s="23">
        <v>45000</v>
      </c>
      <c r="I1882">
        <v>15</v>
      </c>
      <c r="J1882">
        <v>1</v>
      </c>
      <c r="K1882" s="20">
        <f t="shared" si="224"/>
        <v>675000</v>
      </c>
      <c r="L1882">
        <v>0</v>
      </c>
      <c r="M1882">
        <v>0</v>
      </c>
      <c r="N1882" s="21">
        <f t="shared" si="225"/>
        <v>0</v>
      </c>
      <c r="O1882">
        <v>0</v>
      </c>
      <c r="P1882">
        <v>0</v>
      </c>
      <c r="Q1882" s="21">
        <f t="shared" si="219"/>
        <v>0</v>
      </c>
      <c r="R1882">
        <v>0</v>
      </c>
      <c r="S1882">
        <v>0</v>
      </c>
      <c r="T1882" s="21">
        <f t="shared" si="220"/>
        <v>0</v>
      </c>
      <c r="U1882">
        <v>0</v>
      </c>
      <c r="V1882">
        <v>0</v>
      </c>
      <c r="W1882" s="21">
        <f t="shared" si="221"/>
        <v>0</v>
      </c>
      <c r="X1882">
        <v>0</v>
      </c>
      <c r="Y1882">
        <v>0</v>
      </c>
      <c r="Z1882" s="21">
        <f t="shared" si="222"/>
        <v>0</v>
      </c>
      <c r="AA1882">
        <v>0</v>
      </c>
      <c r="AB1882">
        <v>0</v>
      </c>
      <c r="AC1882" s="21">
        <f t="shared" si="223"/>
        <v>0</v>
      </c>
      <c r="AD1882">
        <v>0</v>
      </c>
      <c r="AE1882">
        <v>0</v>
      </c>
      <c r="AF1882" s="21">
        <f t="shared" si="226"/>
        <v>0</v>
      </c>
    </row>
    <row r="1883" spans="1:32" ht="15" customHeight="1" x14ac:dyDescent="0.3">
      <c r="A1883">
        <v>4</v>
      </c>
      <c r="B1883" s="2" t="s">
        <v>697</v>
      </c>
      <c r="C1883" s="4" t="s">
        <v>692</v>
      </c>
      <c r="D1883" s="3" t="s">
        <v>668</v>
      </c>
      <c r="E1883" s="6" t="s">
        <v>95</v>
      </c>
      <c r="F1883" s="6" t="s">
        <v>493</v>
      </c>
      <c r="G1883" s="6" t="s">
        <v>712</v>
      </c>
      <c r="H1883" s="23">
        <v>214.29</v>
      </c>
      <c r="I1883">
        <v>4000</v>
      </c>
      <c r="J1883">
        <v>1</v>
      </c>
      <c r="K1883" s="20">
        <f t="shared" si="224"/>
        <v>857160</v>
      </c>
      <c r="L1883">
        <v>0</v>
      </c>
      <c r="M1883">
        <v>0</v>
      </c>
      <c r="N1883" s="21">
        <f t="shared" si="225"/>
        <v>0</v>
      </c>
      <c r="O1883">
        <v>0</v>
      </c>
      <c r="P1883">
        <v>0</v>
      </c>
      <c r="Q1883" s="21">
        <f t="shared" si="219"/>
        <v>0</v>
      </c>
      <c r="R1883">
        <v>0</v>
      </c>
      <c r="S1883">
        <v>0</v>
      </c>
      <c r="T1883" s="21">
        <f t="shared" si="220"/>
        <v>0</v>
      </c>
      <c r="U1883">
        <v>0</v>
      </c>
      <c r="V1883">
        <v>0</v>
      </c>
      <c r="W1883" s="21">
        <f t="shared" si="221"/>
        <v>0</v>
      </c>
      <c r="X1883">
        <v>0</v>
      </c>
      <c r="Y1883">
        <v>0</v>
      </c>
      <c r="Z1883" s="21">
        <f t="shared" si="222"/>
        <v>0</v>
      </c>
      <c r="AA1883">
        <v>0</v>
      </c>
      <c r="AB1883">
        <v>0</v>
      </c>
      <c r="AC1883" s="21">
        <f t="shared" si="223"/>
        <v>0</v>
      </c>
      <c r="AD1883">
        <v>0</v>
      </c>
      <c r="AE1883">
        <v>0</v>
      </c>
      <c r="AF1883" s="21">
        <f t="shared" si="226"/>
        <v>0</v>
      </c>
    </row>
    <row r="1884" spans="1:32" ht="15" customHeight="1" x14ac:dyDescent="0.3">
      <c r="A1884">
        <v>4</v>
      </c>
      <c r="B1884" s="2" t="s">
        <v>697</v>
      </c>
      <c r="C1884" s="4" t="s">
        <v>692</v>
      </c>
      <c r="D1884" s="3" t="s">
        <v>668</v>
      </c>
      <c r="E1884" s="6" t="s">
        <v>95</v>
      </c>
      <c r="F1884" s="6" t="s">
        <v>232</v>
      </c>
      <c r="G1884" s="6" t="s">
        <v>718</v>
      </c>
      <c r="H1884" s="23">
        <v>0</v>
      </c>
      <c r="I1884">
        <v>0</v>
      </c>
      <c r="J1884">
        <v>0</v>
      </c>
      <c r="K1884" s="20">
        <f t="shared" si="224"/>
        <v>0</v>
      </c>
      <c r="L1884">
        <v>0</v>
      </c>
      <c r="M1884">
        <v>0</v>
      </c>
      <c r="N1884" s="21">
        <f t="shared" si="225"/>
        <v>0</v>
      </c>
      <c r="O1884">
        <v>0</v>
      </c>
      <c r="P1884">
        <v>0</v>
      </c>
      <c r="Q1884" s="21">
        <f t="shared" si="219"/>
        <v>0</v>
      </c>
      <c r="R1884">
        <v>0</v>
      </c>
      <c r="S1884">
        <v>0</v>
      </c>
      <c r="T1884" s="21">
        <f t="shared" si="220"/>
        <v>0</v>
      </c>
      <c r="U1884">
        <v>0</v>
      </c>
      <c r="V1884">
        <v>0</v>
      </c>
      <c r="W1884" s="21">
        <f t="shared" si="221"/>
        <v>0</v>
      </c>
      <c r="X1884">
        <v>0</v>
      </c>
      <c r="Y1884">
        <v>0</v>
      </c>
      <c r="Z1884" s="21">
        <f t="shared" si="222"/>
        <v>0</v>
      </c>
      <c r="AA1884">
        <v>0</v>
      </c>
      <c r="AB1884">
        <v>0</v>
      </c>
      <c r="AC1884" s="21">
        <f t="shared" si="223"/>
        <v>0</v>
      </c>
      <c r="AD1884">
        <v>0</v>
      </c>
      <c r="AE1884">
        <v>0</v>
      </c>
      <c r="AF1884" s="21">
        <f t="shared" si="226"/>
        <v>0</v>
      </c>
    </row>
    <row r="1885" spans="1:32" ht="15" customHeight="1" x14ac:dyDescent="0.3">
      <c r="A1885">
        <v>4</v>
      </c>
      <c r="B1885" s="2" t="s">
        <v>697</v>
      </c>
      <c r="C1885" s="4" t="s">
        <v>692</v>
      </c>
      <c r="D1885" s="3" t="s">
        <v>668</v>
      </c>
      <c r="E1885" s="6" t="s">
        <v>95</v>
      </c>
      <c r="F1885" s="6" t="s">
        <v>179</v>
      </c>
      <c r="G1885" s="6" t="s">
        <v>713</v>
      </c>
      <c r="H1885" s="23">
        <v>45000</v>
      </c>
      <c r="I1885">
        <v>15</v>
      </c>
      <c r="J1885">
        <v>10</v>
      </c>
      <c r="K1885" s="20">
        <f t="shared" si="224"/>
        <v>6750000</v>
      </c>
      <c r="L1885">
        <v>0</v>
      </c>
      <c r="M1885">
        <v>0</v>
      </c>
      <c r="N1885" s="21">
        <f t="shared" si="225"/>
        <v>0</v>
      </c>
      <c r="O1885">
        <v>0</v>
      </c>
      <c r="P1885">
        <v>0</v>
      </c>
      <c r="Q1885" s="21">
        <f t="shared" si="219"/>
        <v>0</v>
      </c>
      <c r="R1885">
        <v>0</v>
      </c>
      <c r="S1885">
        <v>0</v>
      </c>
      <c r="T1885" s="21">
        <f t="shared" si="220"/>
        <v>0</v>
      </c>
      <c r="U1885">
        <v>0</v>
      </c>
      <c r="V1885">
        <v>0</v>
      </c>
      <c r="W1885" s="21">
        <f t="shared" si="221"/>
        <v>0</v>
      </c>
      <c r="X1885">
        <v>0</v>
      </c>
      <c r="Y1885">
        <v>0</v>
      </c>
      <c r="Z1885" s="21">
        <f t="shared" si="222"/>
        <v>0</v>
      </c>
      <c r="AA1885">
        <v>0</v>
      </c>
      <c r="AB1885">
        <v>0</v>
      </c>
      <c r="AC1885" s="21">
        <f t="shared" si="223"/>
        <v>0</v>
      </c>
      <c r="AD1885">
        <v>0</v>
      </c>
      <c r="AE1885">
        <v>0</v>
      </c>
      <c r="AF1885" s="21">
        <f t="shared" si="226"/>
        <v>0</v>
      </c>
    </row>
    <row r="1886" spans="1:32" ht="15" customHeight="1" x14ac:dyDescent="0.3">
      <c r="A1886">
        <v>4</v>
      </c>
      <c r="B1886" s="2" t="s">
        <v>697</v>
      </c>
      <c r="C1886" s="4" t="s">
        <v>692</v>
      </c>
      <c r="D1886" s="3" t="s">
        <v>668</v>
      </c>
      <c r="E1886" s="6" t="s">
        <v>95</v>
      </c>
      <c r="F1886" s="6" t="s">
        <v>179</v>
      </c>
      <c r="G1886" s="6" t="s">
        <v>712</v>
      </c>
      <c r="H1886" s="23">
        <v>214.29</v>
      </c>
      <c r="I1886">
        <v>20000</v>
      </c>
      <c r="J1886">
        <v>1</v>
      </c>
      <c r="K1886" s="20">
        <f t="shared" si="224"/>
        <v>4285800</v>
      </c>
      <c r="L1886">
        <v>0</v>
      </c>
      <c r="M1886">
        <v>0</v>
      </c>
      <c r="N1886" s="21">
        <f t="shared" si="225"/>
        <v>0</v>
      </c>
      <c r="O1886">
        <v>0</v>
      </c>
      <c r="P1886">
        <v>0</v>
      </c>
      <c r="Q1886" s="21">
        <f t="shared" si="219"/>
        <v>0</v>
      </c>
      <c r="R1886">
        <v>0</v>
      </c>
      <c r="S1886">
        <v>0</v>
      </c>
      <c r="T1886" s="21">
        <f t="shared" si="220"/>
        <v>0</v>
      </c>
      <c r="U1886">
        <v>0</v>
      </c>
      <c r="V1886">
        <v>0</v>
      </c>
      <c r="W1886" s="21">
        <f t="shared" si="221"/>
        <v>0</v>
      </c>
      <c r="X1886">
        <v>0</v>
      </c>
      <c r="Y1886">
        <v>0</v>
      </c>
      <c r="Z1886" s="21">
        <f t="shared" si="222"/>
        <v>0</v>
      </c>
      <c r="AA1886">
        <v>0</v>
      </c>
      <c r="AB1886">
        <v>0</v>
      </c>
      <c r="AC1886" s="21">
        <f t="shared" si="223"/>
        <v>0</v>
      </c>
      <c r="AD1886">
        <v>0</v>
      </c>
      <c r="AE1886">
        <v>0</v>
      </c>
      <c r="AF1886" s="21">
        <f t="shared" si="226"/>
        <v>0</v>
      </c>
    </row>
    <row r="1887" spans="1:32" ht="15" customHeight="1" x14ac:dyDescent="0.3">
      <c r="A1887">
        <v>4</v>
      </c>
      <c r="B1887" s="2" t="s">
        <v>697</v>
      </c>
      <c r="C1887" s="4" t="s">
        <v>692</v>
      </c>
      <c r="D1887" s="3" t="s">
        <v>668</v>
      </c>
      <c r="E1887" s="6" t="s">
        <v>95</v>
      </c>
      <c r="F1887" s="6" t="s">
        <v>179</v>
      </c>
      <c r="G1887" s="6" t="s">
        <v>714</v>
      </c>
      <c r="H1887" s="23">
        <v>10000</v>
      </c>
      <c r="I1887">
        <v>15</v>
      </c>
      <c r="J1887">
        <v>1</v>
      </c>
      <c r="K1887" s="20">
        <f t="shared" si="224"/>
        <v>150000</v>
      </c>
      <c r="L1887">
        <v>0</v>
      </c>
      <c r="M1887">
        <v>0</v>
      </c>
      <c r="N1887" s="21">
        <f t="shared" si="225"/>
        <v>0</v>
      </c>
      <c r="O1887">
        <v>0</v>
      </c>
      <c r="P1887">
        <v>0</v>
      </c>
      <c r="Q1887" s="21">
        <f t="shared" si="219"/>
        <v>0</v>
      </c>
      <c r="R1887">
        <v>0</v>
      </c>
      <c r="S1887">
        <v>0</v>
      </c>
      <c r="T1887" s="21">
        <f t="shared" si="220"/>
        <v>0</v>
      </c>
      <c r="U1887">
        <v>0</v>
      </c>
      <c r="V1887">
        <v>0</v>
      </c>
      <c r="W1887" s="21">
        <f t="shared" si="221"/>
        <v>0</v>
      </c>
      <c r="X1887">
        <v>0</v>
      </c>
      <c r="Y1887">
        <v>0</v>
      </c>
      <c r="Z1887" s="21">
        <f t="shared" si="222"/>
        <v>0</v>
      </c>
      <c r="AA1887">
        <v>0</v>
      </c>
      <c r="AB1887">
        <v>0</v>
      </c>
      <c r="AC1887" s="21">
        <f t="shared" si="223"/>
        <v>0</v>
      </c>
      <c r="AD1887">
        <v>0</v>
      </c>
      <c r="AE1887">
        <v>0</v>
      </c>
      <c r="AF1887" s="21">
        <f t="shared" si="226"/>
        <v>0</v>
      </c>
    </row>
    <row r="1888" spans="1:32" ht="15" customHeight="1" x14ac:dyDescent="0.3">
      <c r="A1888">
        <v>4</v>
      </c>
      <c r="B1888" s="2" t="s">
        <v>697</v>
      </c>
      <c r="C1888" s="4" t="s">
        <v>692</v>
      </c>
      <c r="D1888" s="3" t="s">
        <v>668</v>
      </c>
      <c r="E1888" s="6" t="s">
        <v>95</v>
      </c>
      <c r="F1888" s="6" t="s">
        <v>179</v>
      </c>
      <c r="G1888" s="6" t="s">
        <v>715</v>
      </c>
      <c r="H1888" s="23">
        <v>302000</v>
      </c>
      <c r="I1888">
        <v>20</v>
      </c>
      <c r="J1888">
        <v>1</v>
      </c>
      <c r="K1888" s="20">
        <f t="shared" si="224"/>
        <v>6040000</v>
      </c>
      <c r="L1888">
        <v>0</v>
      </c>
      <c r="M1888">
        <v>0</v>
      </c>
      <c r="N1888" s="21">
        <f t="shared" si="225"/>
        <v>0</v>
      </c>
      <c r="O1888">
        <v>0</v>
      </c>
      <c r="P1888">
        <v>0</v>
      </c>
      <c r="Q1888" s="21">
        <f t="shared" si="219"/>
        <v>0</v>
      </c>
      <c r="R1888">
        <v>0</v>
      </c>
      <c r="S1888">
        <v>0</v>
      </c>
      <c r="T1888" s="21">
        <f t="shared" si="220"/>
        <v>0</v>
      </c>
      <c r="U1888">
        <v>0</v>
      </c>
      <c r="V1888">
        <v>0</v>
      </c>
      <c r="W1888" s="21">
        <f t="shared" si="221"/>
        <v>0</v>
      </c>
      <c r="X1888">
        <v>0</v>
      </c>
      <c r="Y1888">
        <v>0</v>
      </c>
      <c r="Z1888" s="21">
        <f t="shared" si="222"/>
        <v>0</v>
      </c>
      <c r="AA1888">
        <v>0</v>
      </c>
      <c r="AB1888">
        <v>0</v>
      </c>
      <c r="AC1888" s="21">
        <f t="shared" si="223"/>
        <v>0</v>
      </c>
      <c r="AD1888">
        <v>0</v>
      </c>
      <c r="AE1888">
        <v>0</v>
      </c>
      <c r="AF1888" s="21">
        <f t="shared" si="226"/>
        <v>0</v>
      </c>
    </row>
    <row r="1889" spans="1:32" ht="15" customHeight="1" x14ac:dyDescent="0.3">
      <c r="A1889">
        <v>4</v>
      </c>
      <c r="B1889" s="2" t="s">
        <v>697</v>
      </c>
      <c r="C1889" s="4" t="s">
        <v>692</v>
      </c>
      <c r="D1889" s="3" t="s">
        <v>668</v>
      </c>
      <c r="E1889" s="6" t="s">
        <v>95</v>
      </c>
      <c r="F1889" s="6" t="s">
        <v>159</v>
      </c>
      <c r="G1889" s="6" t="s">
        <v>716</v>
      </c>
      <c r="H1889" s="23">
        <v>39000</v>
      </c>
      <c r="I1889">
        <v>15</v>
      </c>
      <c r="J1889">
        <v>5</v>
      </c>
      <c r="K1889" s="20">
        <f t="shared" si="224"/>
        <v>2925000</v>
      </c>
      <c r="L1889">
        <v>0</v>
      </c>
      <c r="M1889">
        <v>0</v>
      </c>
      <c r="N1889" s="21">
        <f t="shared" si="225"/>
        <v>0</v>
      </c>
      <c r="O1889">
        <v>0</v>
      </c>
      <c r="P1889">
        <v>0</v>
      </c>
      <c r="Q1889" s="21">
        <f t="shared" si="219"/>
        <v>0</v>
      </c>
      <c r="R1889">
        <v>0</v>
      </c>
      <c r="S1889">
        <v>0</v>
      </c>
      <c r="T1889" s="21">
        <f t="shared" si="220"/>
        <v>0</v>
      </c>
      <c r="U1889">
        <v>0</v>
      </c>
      <c r="V1889">
        <v>0</v>
      </c>
      <c r="W1889" s="21">
        <f t="shared" si="221"/>
        <v>0</v>
      </c>
      <c r="X1889">
        <v>0</v>
      </c>
      <c r="Y1889">
        <v>0</v>
      </c>
      <c r="Z1889" s="21">
        <f t="shared" si="222"/>
        <v>0</v>
      </c>
      <c r="AA1889">
        <v>0</v>
      </c>
      <c r="AB1889">
        <v>0</v>
      </c>
      <c r="AC1889" s="21">
        <f t="shared" si="223"/>
        <v>0</v>
      </c>
      <c r="AD1889">
        <v>0</v>
      </c>
      <c r="AE1889">
        <v>0</v>
      </c>
      <c r="AF1889" s="21">
        <f t="shared" si="226"/>
        <v>0</v>
      </c>
    </row>
    <row r="1890" spans="1:32" ht="15" customHeight="1" x14ac:dyDescent="0.3">
      <c r="A1890">
        <v>4</v>
      </c>
      <c r="B1890" s="2" t="s">
        <v>697</v>
      </c>
      <c r="C1890" s="4" t="s">
        <v>692</v>
      </c>
      <c r="D1890" s="3" t="s">
        <v>668</v>
      </c>
      <c r="E1890" s="6" t="s">
        <v>95</v>
      </c>
      <c r="F1890" s="6" t="s">
        <v>159</v>
      </c>
      <c r="G1890" s="6" t="s">
        <v>709</v>
      </c>
      <c r="H1890" s="23">
        <v>28000</v>
      </c>
      <c r="I1890">
        <v>15</v>
      </c>
      <c r="J1890">
        <v>5</v>
      </c>
      <c r="K1890" s="20">
        <f t="shared" si="224"/>
        <v>2100000</v>
      </c>
      <c r="L1890">
        <v>0</v>
      </c>
      <c r="M1890">
        <v>0</v>
      </c>
      <c r="N1890" s="21">
        <f t="shared" si="225"/>
        <v>0</v>
      </c>
      <c r="O1890">
        <v>0</v>
      </c>
      <c r="P1890">
        <v>0</v>
      </c>
      <c r="Q1890" s="21">
        <f t="shared" si="219"/>
        <v>0</v>
      </c>
      <c r="R1890">
        <v>0</v>
      </c>
      <c r="S1890">
        <v>0</v>
      </c>
      <c r="T1890" s="21">
        <f t="shared" si="220"/>
        <v>0</v>
      </c>
      <c r="U1890">
        <v>0</v>
      </c>
      <c r="V1890">
        <v>0</v>
      </c>
      <c r="W1890" s="21">
        <f t="shared" si="221"/>
        <v>0</v>
      </c>
      <c r="X1890">
        <v>0</v>
      </c>
      <c r="Y1890">
        <v>0</v>
      </c>
      <c r="Z1890" s="21">
        <f t="shared" si="222"/>
        <v>0</v>
      </c>
      <c r="AA1890">
        <v>0</v>
      </c>
      <c r="AB1890">
        <v>0</v>
      </c>
      <c r="AC1890" s="21">
        <f t="shared" si="223"/>
        <v>0</v>
      </c>
      <c r="AD1890">
        <v>0</v>
      </c>
      <c r="AE1890">
        <v>0</v>
      </c>
      <c r="AF1890" s="21">
        <f t="shared" si="226"/>
        <v>0</v>
      </c>
    </row>
    <row r="1891" spans="1:32" ht="15" customHeight="1" x14ac:dyDescent="0.3">
      <c r="A1891">
        <v>4</v>
      </c>
      <c r="B1891" s="2" t="s">
        <v>697</v>
      </c>
      <c r="C1891" s="4" t="s">
        <v>692</v>
      </c>
      <c r="D1891" s="3" t="s">
        <v>668</v>
      </c>
      <c r="E1891" s="6" t="s">
        <v>95</v>
      </c>
      <c r="F1891" s="6" t="s">
        <v>159</v>
      </c>
      <c r="G1891" s="6" t="s">
        <v>712</v>
      </c>
      <c r="H1891" s="23">
        <v>214.29</v>
      </c>
      <c r="I1891">
        <v>4000</v>
      </c>
      <c r="J1891">
        <v>1</v>
      </c>
      <c r="K1891" s="20">
        <f t="shared" si="224"/>
        <v>857160</v>
      </c>
      <c r="L1891">
        <v>0</v>
      </c>
      <c r="M1891">
        <v>0</v>
      </c>
      <c r="N1891" s="21">
        <f t="shared" si="225"/>
        <v>0</v>
      </c>
      <c r="O1891">
        <v>0</v>
      </c>
      <c r="P1891">
        <v>0</v>
      </c>
      <c r="Q1891" s="21">
        <f t="shared" si="219"/>
        <v>0</v>
      </c>
      <c r="R1891">
        <v>0</v>
      </c>
      <c r="S1891">
        <v>0</v>
      </c>
      <c r="T1891" s="21">
        <f t="shared" si="220"/>
        <v>0</v>
      </c>
      <c r="U1891">
        <v>0</v>
      </c>
      <c r="V1891">
        <v>0</v>
      </c>
      <c r="W1891" s="21">
        <f t="shared" si="221"/>
        <v>0</v>
      </c>
      <c r="X1891">
        <v>0</v>
      </c>
      <c r="Y1891">
        <v>0</v>
      </c>
      <c r="Z1891" s="21">
        <f t="shared" si="222"/>
        <v>0</v>
      </c>
      <c r="AA1891">
        <v>0</v>
      </c>
      <c r="AB1891">
        <v>0</v>
      </c>
      <c r="AC1891" s="21">
        <f t="shared" si="223"/>
        <v>0</v>
      </c>
      <c r="AD1891">
        <v>0</v>
      </c>
      <c r="AE1891">
        <v>0</v>
      </c>
      <c r="AF1891" s="21">
        <f t="shared" si="226"/>
        <v>0</v>
      </c>
    </row>
    <row r="1892" spans="1:32" ht="15" customHeight="1" x14ac:dyDescent="0.3">
      <c r="A1892">
        <v>4</v>
      </c>
      <c r="B1892" s="2" t="s">
        <v>697</v>
      </c>
      <c r="C1892" s="4" t="s">
        <v>692</v>
      </c>
      <c r="D1892" s="3" t="s">
        <v>668</v>
      </c>
      <c r="E1892" s="6" t="s">
        <v>95</v>
      </c>
      <c r="F1892" s="6" t="s">
        <v>153</v>
      </c>
      <c r="G1892" s="6" t="s">
        <v>716</v>
      </c>
      <c r="H1892" s="23">
        <v>39000</v>
      </c>
      <c r="I1892">
        <v>15</v>
      </c>
      <c r="J1892">
        <v>5</v>
      </c>
      <c r="K1892" s="20">
        <f t="shared" si="224"/>
        <v>2925000</v>
      </c>
      <c r="L1892">
        <v>0</v>
      </c>
      <c r="M1892">
        <v>0</v>
      </c>
      <c r="N1892" s="21">
        <f t="shared" si="225"/>
        <v>0</v>
      </c>
      <c r="O1892">
        <v>0</v>
      </c>
      <c r="P1892">
        <v>0</v>
      </c>
      <c r="Q1892" s="21">
        <f t="shared" si="219"/>
        <v>0</v>
      </c>
      <c r="R1892">
        <v>0</v>
      </c>
      <c r="S1892">
        <v>0</v>
      </c>
      <c r="T1892" s="21">
        <f t="shared" si="220"/>
        <v>0</v>
      </c>
      <c r="U1892">
        <v>0</v>
      </c>
      <c r="V1892">
        <v>0</v>
      </c>
      <c r="W1892" s="21">
        <f t="shared" si="221"/>
        <v>0</v>
      </c>
      <c r="X1892">
        <v>0</v>
      </c>
      <c r="Y1892">
        <v>0</v>
      </c>
      <c r="Z1892" s="21">
        <f t="shared" si="222"/>
        <v>0</v>
      </c>
      <c r="AA1892">
        <v>0</v>
      </c>
      <c r="AB1892">
        <v>0</v>
      </c>
      <c r="AC1892" s="21">
        <f t="shared" si="223"/>
        <v>0</v>
      </c>
      <c r="AD1892">
        <v>0</v>
      </c>
      <c r="AE1892">
        <v>0</v>
      </c>
      <c r="AF1892" s="21">
        <f t="shared" si="226"/>
        <v>0</v>
      </c>
    </row>
    <row r="1893" spans="1:32" ht="15" customHeight="1" x14ac:dyDescent="0.3">
      <c r="A1893">
        <v>4</v>
      </c>
      <c r="B1893" s="2" t="s">
        <v>697</v>
      </c>
      <c r="C1893" s="4" t="s">
        <v>692</v>
      </c>
      <c r="D1893" s="3" t="s">
        <v>668</v>
      </c>
      <c r="E1893" s="6" t="s">
        <v>95</v>
      </c>
      <c r="F1893" s="6" t="s">
        <v>153</v>
      </c>
      <c r="G1893" s="6" t="s">
        <v>709</v>
      </c>
      <c r="H1893" s="23">
        <v>28000</v>
      </c>
      <c r="I1893">
        <v>15</v>
      </c>
      <c r="J1893">
        <v>5</v>
      </c>
      <c r="K1893" s="20">
        <f t="shared" si="224"/>
        <v>2100000</v>
      </c>
      <c r="L1893">
        <v>0</v>
      </c>
      <c r="M1893">
        <v>0</v>
      </c>
      <c r="N1893" s="21">
        <f t="shared" si="225"/>
        <v>0</v>
      </c>
      <c r="O1893">
        <v>0</v>
      </c>
      <c r="P1893">
        <v>0</v>
      </c>
      <c r="Q1893" s="21">
        <f t="shared" si="219"/>
        <v>0</v>
      </c>
      <c r="R1893">
        <v>0</v>
      </c>
      <c r="S1893">
        <v>0</v>
      </c>
      <c r="T1893" s="21">
        <f t="shared" si="220"/>
        <v>0</v>
      </c>
      <c r="U1893">
        <v>0</v>
      </c>
      <c r="V1893">
        <v>0</v>
      </c>
      <c r="W1893" s="21">
        <f t="shared" si="221"/>
        <v>0</v>
      </c>
      <c r="X1893">
        <v>0</v>
      </c>
      <c r="Y1893">
        <v>0</v>
      </c>
      <c r="Z1893" s="21">
        <f t="shared" si="222"/>
        <v>0</v>
      </c>
      <c r="AA1893">
        <v>0</v>
      </c>
      <c r="AB1893">
        <v>0</v>
      </c>
      <c r="AC1893" s="21">
        <f t="shared" si="223"/>
        <v>0</v>
      </c>
      <c r="AD1893">
        <v>0</v>
      </c>
      <c r="AE1893">
        <v>0</v>
      </c>
      <c r="AF1893" s="21">
        <f t="shared" si="226"/>
        <v>0</v>
      </c>
    </row>
    <row r="1894" spans="1:32" ht="15" customHeight="1" x14ac:dyDescent="0.3">
      <c r="A1894">
        <v>4</v>
      </c>
      <c r="B1894" s="2" t="s">
        <v>697</v>
      </c>
      <c r="C1894" s="4" t="s">
        <v>692</v>
      </c>
      <c r="D1894" s="3" t="s">
        <v>668</v>
      </c>
      <c r="E1894" s="6" t="s">
        <v>95</v>
      </c>
      <c r="F1894" s="6" t="s">
        <v>153</v>
      </c>
      <c r="G1894" s="6" t="s">
        <v>712</v>
      </c>
      <c r="H1894" s="23">
        <v>214.29</v>
      </c>
      <c r="I1894">
        <v>4000</v>
      </c>
      <c r="J1894">
        <v>1</v>
      </c>
      <c r="K1894" s="20">
        <f t="shared" si="224"/>
        <v>857160</v>
      </c>
      <c r="L1894">
        <v>0</v>
      </c>
      <c r="M1894">
        <v>0</v>
      </c>
      <c r="N1894" s="21">
        <f t="shared" si="225"/>
        <v>0</v>
      </c>
      <c r="O1894">
        <v>0</v>
      </c>
      <c r="P1894">
        <v>0</v>
      </c>
      <c r="Q1894" s="21">
        <f t="shared" si="219"/>
        <v>0</v>
      </c>
      <c r="R1894">
        <v>0</v>
      </c>
      <c r="S1894">
        <v>0</v>
      </c>
      <c r="T1894" s="21">
        <f t="shared" si="220"/>
        <v>0</v>
      </c>
      <c r="U1894">
        <v>0</v>
      </c>
      <c r="V1894">
        <v>0</v>
      </c>
      <c r="W1894" s="21">
        <f t="shared" si="221"/>
        <v>0</v>
      </c>
      <c r="X1894">
        <v>0</v>
      </c>
      <c r="Y1894">
        <v>0</v>
      </c>
      <c r="Z1894" s="21">
        <f t="shared" si="222"/>
        <v>0</v>
      </c>
      <c r="AA1894">
        <v>0</v>
      </c>
      <c r="AB1894">
        <v>0</v>
      </c>
      <c r="AC1894" s="21">
        <f t="shared" si="223"/>
        <v>0</v>
      </c>
      <c r="AD1894">
        <v>0</v>
      </c>
      <c r="AE1894">
        <v>0</v>
      </c>
      <c r="AF1894" s="21">
        <f t="shared" si="226"/>
        <v>0</v>
      </c>
    </row>
    <row r="1895" spans="1:32" ht="15" customHeight="1" x14ac:dyDescent="0.3">
      <c r="A1895">
        <v>4</v>
      </c>
      <c r="B1895" s="2" t="s">
        <v>697</v>
      </c>
      <c r="C1895" s="4" t="s">
        <v>692</v>
      </c>
      <c r="D1895" s="3" t="s">
        <v>668</v>
      </c>
      <c r="E1895" s="6" t="s">
        <v>95</v>
      </c>
      <c r="F1895" s="6" t="s">
        <v>494</v>
      </c>
      <c r="G1895" s="6" t="s">
        <v>709</v>
      </c>
      <c r="H1895" s="23">
        <v>28000</v>
      </c>
      <c r="I1895">
        <v>30</v>
      </c>
      <c r="J1895">
        <v>1</v>
      </c>
      <c r="K1895" s="20">
        <f t="shared" si="224"/>
        <v>840000</v>
      </c>
      <c r="L1895">
        <v>0</v>
      </c>
      <c r="M1895">
        <v>0</v>
      </c>
      <c r="N1895" s="21">
        <f t="shared" si="225"/>
        <v>0</v>
      </c>
      <c r="O1895">
        <v>0</v>
      </c>
      <c r="P1895">
        <v>0</v>
      </c>
      <c r="Q1895" s="21">
        <f t="shared" si="219"/>
        <v>0</v>
      </c>
      <c r="R1895">
        <v>0</v>
      </c>
      <c r="S1895">
        <v>0</v>
      </c>
      <c r="T1895" s="21">
        <f t="shared" si="220"/>
        <v>0</v>
      </c>
      <c r="U1895">
        <v>0</v>
      </c>
      <c r="V1895">
        <v>0</v>
      </c>
      <c r="W1895" s="21">
        <f t="shared" si="221"/>
        <v>0</v>
      </c>
      <c r="X1895">
        <v>0</v>
      </c>
      <c r="Y1895">
        <v>0</v>
      </c>
      <c r="Z1895" s="21">
        <f t="shared" si="222"/>
        <v>0</v>
      </c>
      <c r="AA1895">
        <v>0</v>
      </c>
      <c r="AB1895">
        <v>0</v>
      </c>
      <c r="AC1895" s="21">
        <f t="shared" si="223"/>
        <v>0</v>
      </c>
      <c r="AD1895">
        <v>0</v>
      </c>
      <c r="AE1895">
        <v>0</v>
      </c>
      <c r="AF1895" s="21">
        <f t="shared" si="226"/>
        <v>0</v>
      </c>
    </row>
    <row r="1896" spans="1:32" ht="15" customHeight="1" x14ac:dyDescent="0.3">
      <c r="A1896">
        <v>4</v>
      </c>
      <c r="B1896" s="2" t="s">
        <v>697</v>
      </c>
      <c r="C1896" s="4" t="s">
        <v>692</v>
      </c>
      <c r="D1896" s="3" t="s">
        <v>668</v>
      </c>
      <c r="E1896" s="6" t="s">
        <v>95</v>
      </c>
      <c r="F1896" s="6" t="s">
        <v>434</v>
      </c>
      <c r="G1896" s="6" t="s">
        <v>711</v>
      </c>
      <c r="H1896" s="23">
        <v>70</v>
      </c>
      <c r="I1896">
        <v>50000</v>
      </c>
      <c r="J1896">
        <v>1</v>
      </c>
      <c r="K1896" s="20">
        <f t="shared" si="224"/>
        <v>3500000</v>
      </c>
      <c r="L1896">
        <v>0</v>
      </c>
      <c r="M1896">
        <v>0</v>
      </c>
      <c r="N1896" s="21">
        <f t="shared" si="225"/>
        <v>0</v>
      </c>
      <c r="O1896">
        <v>0</v>
      </c>
      <c r="P1896">
        <v>0</v>
      </c>
      <c r="Q1896" s="21">
        <f t="shared" si="219"/>
        <v>0</v>
      </c>
      <c r="R1896">
        <v>0</v>
      </c>
      <c r="S1896">
        <v>0</v>
      </c>
      <c r="T1896" s="21">
        <f t="shared" si="220"/>
        <v>0</v>
      </c>
      <c r="U1896">
        <v>0</v>
      </c>
      <c r="V1896">
        <v>0</v>
      </c>
      <c r="W1896" s="21">
        <f t="shared" si="221"/>
        <v>0</v>
      </c>
      <c r="X1896">
        <v>0</v>
      </c>
      <c r="Y1896">
        <v>0</v>
      </c>
      <c r="Z1896" s="21">
        <f t="shared" si="222"/>
        <v>0</v>
      </c>
      <c r="AA1896">
        <v>0</v>
      </c>
      <c r="AB1896">
        <v>0</v>
      </c>
      <c r="AC1896" s="21">
        <f t="shared" si="223"/>
        <v>0</v>
      </c>
      <c r="AD1896">
        <v>0</v>
      </c>
      <c r="AE1896">
        <v>0</v>
      </c>
      <c r="AF1896" s="21">
        <f t="shared" si="226"/>
        <v>0</v>
      </c>
    </row>
    <row r="1897" spans="1:32" ht="15" customHeight="1" x14ac:dyDescent="0.3">
      <c r="A1897">
        <v>4</v>
      </c>
      <c r="B1897" s="2" t="s">
        <v>697</v>
      </c>
      <c r="C1897" s="4" t="s">
        <v>692</v>
      </c>
      <c r="D1897" s="3" t="s">
        <v>668</v>
      </c>
      <c r="E1897" s="6" t="s">
        <v>95</v>
      </c>
      <c r="F1897" s="6" t="s">
        <v>434</v>
      </c>
      <c r="G1897" s="6" t="s">
        <v>717</v>
      </c>
      <c r="H1897" s="23">
        <v>104850</v>
      </c>
      <c r="I1897">
        <v>5</v>
      </c>
      <c r="J1897">
        <v>1</v>
      </c>
      <c r="K1897" s="20">
        <f t="shared" si="224"/>
        <v>524250</v>
      </c>
      <c r="L1897">
        <v>0</v>
      </c>
      <c r="M1897">
        <v>0</v>
      </c>
      <c r="N1897" s="21">
        <f t="shared" si="225"/>
        <v>0</v>
      </c>
      <c r="O1897">
        <v>0</v>
      </c>
      <c r="P1897">
        <v>0</v>
      </c>
      <c r="Q1897" s="21">
        <f t="shared" si="219"/>
        <v>0</v>
      </c>
      <c r="R1897">
        <v>0</v>
      </c>
      <c r="S1897">
        <v>0</v>
      </c>
      <c r="T1897" s="21">
        <f t="shared" si="220"/>
        <v>0</v>
      </c>
      <c r="U1897">
        <v>0</v>
      </c>
      <c r="V1897">
        <v>0</v>
      </c>
      <c r="W1897" s="21">
        <f t="shared" si="221"/>
        <v>0</v>
      </c>
      <c r="X1897">
        <v>0</v>
      </c>
      <c r="Y1897">
        <v>0</v>
      </c>
      <c r="Z1897" s="21">
        <f t="shared" si="222"/>
        <v>0</v>
      </c>
      <c r="AA1897">
        <v>0</v>
      </c>
      <c r="AB1897">
        <v>0</v>
      </c>
      <c r="AC1897" s="21">
        <f t="shared" si="223"/>
        <v>0</v>
      </c>
      <c r="AD1897">
        <v>0</v>
      </c>
      <c r="AE1897">
        <v>0</v>
      </c>
      <c r="AF1897" s="21">
        <f t="shared" si="226"/>
        <v>0</v>
      </c>
    </row>
    <row r="1898" spans="1:32" ht="15" customHeight="1" x14ac:dyDescent="0.3">
      <c r="A1898">
        <v>4</v>
      </c>
      <c r="B1898" s="2" t="s">
        <v>697</v>
      </c>
      <c r="C1898" s="4" t="s">
        <v>692</v>
      </c>
      <c r="D1898" s="3" t="s">
        <v>668</v>
      </c>
      <c r="E1898" s="6" t="s">
        <v>95</v>
      </c>
      <c r="F1898" s="6" t="s">
        <v>434</v>
      </c>
      <c r="G1898" s="6" t="s">
        <v>709</v>
      </c>
      <c r="H1898" s="23">
        <v>28000</v>
      </c>
      <c r="I1898">
        <v>80</v>
      </c>
      <c r="J1898">
        <v>1</v>
      </c>
      <c r="K1898" s="20">
        <f t="shared" si="224"/>
        <v>2240000</v>
      </c>
      <c r="L1898">
        <v>0</v>
      </c>
      <c r="M1898">
        <v>0</v>
      </c>
      <c r="N1898" s="21">
        <f t="shared" si="225"/>
        <v>0</v>
      </c>
      <c r="O1898">
        <v>0</v>
      </c>
      <c r="P1898">
        <v>0</v>
      </c>
      <c r="Q1898" s="21">
        <f t="shared" si="219"/>
        <v>0</v>
      </c>
      <c r="R1898">
        <v>0</v>
      </c>
      <c r="S1898">
        <v>0</v>
      </c>
      <c r="T1898" s="21">
        <f t="shared" si="220"/>
        <v>0</v>
      </c>
      <c r="U1898">
        <v>0</v>
      </c>
      <c r="V1898">
        <v>0</v>
      </c>
      <c r="W1898" s="21">
        <f t="shared" si="221"/>
        <v>0</v>
      </c>
      <c r="X1898">
        <v>0</v>
      </c>
      <c r="Y1898">
        <v>0</v>
      </c>
      <c r="Z1898" s="21">
        <f t="shared" si="222"/>
        <v>0</v>
      </c>
      <c r="AA1898">
        <v>0</v>
      </c>
      <c r="AB1898">
        <v>0</v>
      </c>
      <c r="AC1898" s="21">
        <f t="shared" si="223"/>
        <v>0</v>
      </c>
      <c r="AD1898">
        <v>0</v>
      </c>
      <c r="AE1898">
        <v>0</v>
      </c>
      <c r="AF1898" s="21">
        <f t="shared" si="226"/>
        <v>0</v>
      </c>
    </row>
    <row r="1899" spans="1:32" ht="15" customHeight="1" x14ac:dyDescent="0.3">
      <c r="A1899">
        <v>4</v>
      </c>
      <c r="B1899" s="2" t="s">
        <v>697</v>
      </c>
      <c r="C1899" s="4" t="s">
        <v>692</v>
      </c>
      <c r="D1899" s="3" t="s">
        <v>668</v>
      </c>
      <c r="E1899" s="6" t="s">
        <v>95</v>
      </c>
      <c r="F1899" s="6" t="s">
        <v>434</v>
      </c>
      <c r="G1899" s="6" t="s">
        <v>716</v>
      </c>
      <c r="H1899" s="23">
        <v>39000</v>
      </c>
      <c r="I1899">
        <v>40</v>
      </c>
      <c r="J1899">
        <v>1</v>
      </c>
      <c r="K1899" s="20">
        <f t="shared" si="224"/>
        <v>1560000</v>
      </c>
      <c r="L1899">
        <v>0</v>
      </c>
      <c r="M1899">
        <v>0</v>
      </c>
      <c r="N1899" s="21">
        <f t="shared" si="225"/>
        <v>0</v>
      </c>
      <c r="O1899">
        <v>0</v>
      </c>
      <c r="P1899">
        <v>0</v>
      </c>
      <c r="Q1899" s="21">
        <f t="shared" si="219"/>
        <v>0</v>
      </c>
      <c r="R1899">
        <v>0</v>
      </c>
      <c r="S1899">
        <v>0</v>
      </c>
      <c r="T1899" s="21">
        <f t="shared" si="220"/>
        <v>0</v>
      </c>
      <c r="U1899">
        <v>0</v>
      </c>
      <c r="V1899">
        <v>0</v>
      </c>
      <c r="W1899" s="21">
        <f t="shared" si="221"/>
        <v>0</v>
      </c>
      <c r="X1899">
        <v>0</v>
      </c>
      <c r="Y1899">
        <v>0</v>
      </c>
      <c r="Z1899" s="21">
        <f t="shared" si="222"/>
        <v>0</v>
      </c>
      <c r="AA1899">
        <v>0</v>
      </c>
      <c r="AB1899">
        <v>0</v>
      </c>
      <c r="AC1899" s="21">
        <f t="shared" si="223"/>
        <v>0</v>
      </c>
      <c r="AD1899">
        <v>0</v>
      </c>
      <c r="AE1899">
        <v>0</v>
      </c>
      <c r="AF1899" s="21">
        <f t="shared" si="226"/>
        <v>0</v>
      </c>
    </row>
    <row r="1900" spans="1:32" ht="15" customHeight="1" x14ac:dyDescent="0.3">
      <c r="A1900">
        <v>4</v>
      </c>
      <c r="B1900" s="2" t="s">
        <v>697</v>
      </c>
      <c r="C1900" s="4" t="s">
        <v>692</v>
      </c>
      <c r="D1900" s="3" t="s">
        <v>668</v>
      </c>
      <c r="E1900" s="6" t="s">
        <v>95</v>
      </c>
      <c r="F1900" s="6" t="s">
        <v>434</v>
      </c>
      <c r="G1900" s="6" t="s">
        <v>712</v>
      </c>
      <c r="H1900" s="23">
        <v>214.29</v>
      </c>
      <c r="I1900">
        <v>20000</v>
      </c>
      <c r="J1900">
        <v>1</v>
      </c>
      <c r="K1900" s="20">
        <f t="shared" si="224"/>
        <v>4285800</v>
      </c>
      <c r="L1900">
        <v>0</v>
      </c>
      <c r="M1900">
        <v>0</v>
      </c>
      <c r="N1900" s="21">
        <f t="shared" si="225"/>
        <v>0</v>
      </c>
      <c r="O1900">
        <v>0</v>
      </c>
      <c r="P1900">
        <v>0</v>
      </c>
      <c r="Q1900" s="21">
        <f t="shared" si="219"/>
        <v>0</v>
      </c>
      <c r="R1900">
        <v>0</v>
      </c>
      <c r="S1900">
        <v>0</v>
      </c>
      <c r="T1900" s="21">
        <f t="shared" si="220"/>
        <v>0</v>
      </c>
      <c r="U1900">
        <v>0</v>
      </c>
      <c r="V1900">
        <v>0</v>
      </c>
      <c r="W1900" s="21">
        <f t="shared" si="221"/>
        <v>0</v>
      </c>
      <c r="X1900">
        <v>0</v>
      </c>
      <c r="Y1900">
        <v>0</v>
      </c>
      <c r="Z1900" s="21">
        <f t="shared" si="222"/>
        <v>0</v>
      </c>
      <c r="AA1900">
        <v>0</v>
      </c>
      <c r="AB1900">
        <v>0</v>
      </c>
      <c r="AC1900" s="21">
        <f t="shared" si="223"/>
        <v>0</v>
      </c>
      <c r="AD1900">
        <v>0</v>
      </c>
      <c r="AE1900">
        <v>0</v>
      </c>
      <c r="AF1900" s="21">
        <f t="shared" si="226"/>
        <v>0</v>
      </c>
    </row>
    <row r="1901" spans="1:32" ht="15" customHeight="1" x14ac:dyDescent="0.3">
      <c r="A1901">
        <v>4</v>
      </c>
      <c r="B1901" s="2" t="s">
        <v>697</v>
      </c>
      <c r="C1901" s="4" t="s">
        <v>693</v>
      </c>
      <c r="D1901" s="3" t="s">
        <v>669</v>
      </c>
      <c r="E1901" s="6" t="s">
        <v>96</v>
      </c>
      <c r="F1901" s="6" t="s">
        <v>234</v>
      </c>
      <c r="G1901" s="6" t="s">
        <v>718</v>
      </c>
      <c r="H1901" s="23">
        <v>0</v>
      </c>
      <c r="I1901">
        <v>0</v>
      </c>
      <c r="J1901">
        <v>0</v>
      </c>
      <c r="K1901" s="20">
        <f t="shared" si="224"/>
        <v>0</v>
      </c>
      <c r="L1901">
        <v>0</v>
      </c>
      <c r="M1901">
        <v>0</v>
      </c>
      <c r="N1901" s="21">
        <f t="shared" si="225"/>
        <v>0</v>
      </c>
      <c r="O1901">
        <v>0</v>
      </c>
      <c r="P1901">
        <v>0</v>
      </c>
      <c r="Q1901" s="21">
        <f t="shared" si="219"/>
        <v>0</v>
      </c>
      <c r="R1901">
        <v>0</v>
      </c>
      <c r="S1901">
        <v>0</v>
      </c>
      <c r="T1901" s="21">
        <f t="shared" si="220"/>
        <v>0</v>
      </c>
      <c r="U1901">
        <v>0</v>
      </c>
      <c r="V1901">
        <v>0</v>
      </c>
      <c r="W1901" s="21">
        <f t="shared" si="221"/>
        <v>0</v>
      </c>
      <c r="X1901">
        <v>0</v>
      </c>
      <c r="Y1901">
        <v>0</v>
      </c>
      <c r="Z1901" s="21">
        <f t="shared" si="222"/>
        <v>0</v>
      </c>
      <c r="AA1901">
        <v>0</v>
      </c>
      <c r="AB1901">
        <v>0</v>
      </c>
      <c r="AC1901" s="21">
        <f t="shared" si="223"/>
        <v>0</v>
      </c>
      <c r="AD1901">
        <v>0</v>
      </c>
      <c r="AE1901">
        <v>0</v>
      </c>
      <c r="AF1901" s="21">
        <f t="shared" si="226"/>
        <v>0</v>
      </c>
    </row>
    <row r="1902" spans="1:32" ht="15" customHeight="1" x14ac:dyDescent="0.3">
      <c r="A1902">
        <v>4</v>
      </c>
      <c r="B1902" s="2" t="s">
        <v>697</v>
      </c>
      <c r="C1902" s="4" t="s">
        <v>693</v>
      </c>
      <c r="D1902" s="3" t="s">
        <v>669</v>
      </c>
      <c r="E1902" s="6" t="s">
        <v>96</v>
      </c>
      <c r="F1902" s="6" t="s">
        <v>149</v>
      </c>
      <c r="G1902" s="6" t="s">
        <v>707</v>
      </c>
      <c r="H1902" s="23">
        <v>391991.03749999998</v>
      </c>
      <c r="I1902">
        <v>0</v>
      </c>
      <c r="J1902">
        <v>0</v>
      </c>
      <c r="K1902" s="20">
        <f t="shared" si="224"/>
        <v>0</v>
      </c>
      <c r="L1902">
        <v>1</v>
      </c>
      <c r="M1902">
        <v>6</v>
      </c>
      <c r="N1902" s="21">
        <f t="shared" si="225"/>
        <v>2351946.2249999996</v>
      </c>
      <c r="O1902">
        <v>0</v>
      </c>
      <c r="P1902">
        <v>0</v>
      </c>
      <c r="Q1902" s="21">
        <f t="shared" si="219"/>
        <v>0</v>
      </c>
      <c r="R1902">
        <v>0</v>
      </c>
      <c r="S1902">
        <v>0</v>
      </c>
      <c r="T1902" s="21">
        <f t="shared" si="220"/>
        <v>0</v>
      </c>
      <c r="U1902">
        <v>0</v>
      </c>
      <c r="V1902">
        <v>0</v>
      </c>
      <c r="W1902" s="21">
        <f t="shared" si="221"/>
        <v>0</v>
      </c>
      <c r="X1902">
        <v>0</v>
      </c>
      <c r="Y1902">
        <v>0</v>
      </c>
      <c r="Z1902" s="21">
        <f t="shared" si="222"/>
        <v>0</v>
      </c>
      <c r="AA1902">
        <v>0</v>
      </c>
      <c r="AB1902">
        <v>0</v>
      </c>
      <c r="AC1902" s="21">
        <f t="shared" si="223"/>
        <v>0</v>
      </c>
      <c r="AD1902">
        <v>0</v>
      </c>
      <c r="AE1902">
        <v>0</v>
      </c>
      <c r="AF1902" s="21">
        <f t="shared" si="226"/>
        <v>0</v>
      </c>
    </row>
    <row r="1903" spans="1:32" ht="15" customHeight="1" x14ac:dyDescent="0.3">
      <c r="A1903">
        <v>4</v>
      </c>
      <c r="B1903" s="2" t="s">
        <v>697</v>
      </c>
      <c r="C1903" s="4" t="s">
        <v>693</v>
      </c>
      <c r="D1903" s="3" t="s">
        <v>669</v>
      </c>
      <c r="E1903" s="6" t="s">
        <v>96</v>
      </c>
      <c r="F1903" s="6" t="s">
        <v>149</v>
      </c>
      <c r="G1903" s="6" t="s">
        <v>708</v>
      </c>
      <c r="H1903" s="23">
        <v>425000</v>
      </c>
      <c r="I1903">
        <v>0</v>
      </c>
      <c r="J1903">
        <v>0</v>
      </c>
      <c r="K1903" s="20">
        <f t="shared" si="224"/>
        <v>0</v>
      </c>
      <c r="L1903">
        <v>1</v>
      </c>
      <c r="M1903">
        <v>40</v>
      </c>
      <c r="N1903" s="21">
        <f t="shared" si="225"/>
        <v>17000000</v>
      </c>
      <c r="O1903">
        <v>0</v>
      </c>
      <c r="P1903">
        <v>0</v>
      </c>
      <c r="Q1903" s="21">
        <f t="shared" si="219"/>
        <v>0</v>
      </c>
      <c r="R1903">
        <v>0</v>
      </c>
      <c r="S1903">
        <v>0</v>
      </c>
      <c r="T1903" s="21">
        <f t="shared" si="220"/>
        <v>0</v>
      </c>
      <c r="U1903">
        <v>0</v>
      </c>
      <c r="V1903">
        <v>0</v>
      </c>
      <c r="W1903" s="21">
        <f t="shared" si="221"/>
        <v>0</v>
      </c>
      <c r="X1903">
        <v>0</v>
      </c>
      <c r="Y1903">
        <v>0</v>
      </c>
      <c r="Z1903" s="21">
        <f t="shared" si="222"/>
        <v>0</v>
      </c>
      <c r="AA1903">
        <v>0</v>
      </c>
      <c r="AB1903">
        <v>0</v>
      </c>
      <c r="AC1903" s="21">
        <f t="shared" si="223"/>
        <v>0</v>
      </c>
      <c r="AD1903">
        <v>0</v>
      </c>
      <c r="AE1903">
        <v>0</v>
      </c>
      <c r="AF1903" s="21">
        <f t="shared" si="226"/>
        <v>0</v>
      </c>
    </row>
    <row r="1904" spans="1:32" ht="15" customHeight="1" x14ac:dyDescent="0.3">
      <c r="A1904">
        <v>4</v>
      </c>
      <c r="B1904" s="2" t="s">
        <v>697</v>
      </c>
      <c r="C1904" s="4" t="s">
        <v>693</v>
      </c>
      <c r="D1904" s="3" t="s">
        <v>669</v>
      </c>
      <c r="E1904" s="6" t="s">
        <v>96</v>
      </c>
      <c r="F1904" s="6" t="s">
        <v>491</v>
      </c>
      <c r="G1904" s="6" t="s">
        <v>718</v>
      </c>
      <c r="H1904" s="23">
        <v>0</v>
      </c>
      <c r="I1904">
        <v>0</v>
      </c>
      <c r="J1904">
        <v>0</v>
      </c>
      <c r="K1904" s="20">
        <f t="shared" si="224"/>
        <v>0</v>
      </c>
      <c r="L1904">
        <v>0</v>
      </c>
      <c r="M1904">
        <v>0</v>
      </c>
      <c r="N1904" s="21">
        <f t="shared" si="225"/>
        <v>0</v>
      </c>
      <c r="O1904">
        <v>0</v>
      </c>
      <c r="P1904">
        <v>0</v>
      </c>
      <c r="Q1904" s="21">
        <f t="shared" si="219"/>
        <v>0</v>
      </c>
      <c r="R1904">
        <v>0</v>
      </c>
      <c r="S1904">
        <v>0</v>
      </c>
      <c r="T1904" s="21">
        <f t="shared" si="220"/>
        <v>0</v>
      </c>
      <c r="U1904">
        <v>0</v>
      </c>
      <c r="V1904">
        <v>0</v>
      </c>
      <c r="W1904" s="21">
        <f t="shared" si="221"/>
        <v>0</v>
      </c>
      <c r="X1904">
        <v>0</v>
      </c>
      <c r="Y1904">
        <v>0</v>
      </c>
      <c r="Z1904" s="21">
        <f t="shared" si="222"/>
        <v>0</v>
      </c>
      <c r="AA1904">
        <v>0</v>
      </c>
      <c r="AB1904">
        <v>0</v>
      </c>
      <c r="AC1904" s="21">
        <f t="shared" si="223"/>
        <v>0</v>
      </c>
      <c r="AD1904">
        <v>0</v>
      </c>
      <c r="AE1904">
        <v>0</v>
      </c>
      <c r="AF1904" s="21">
        <f t="shared" si="226"/>
        <v>0</v>
      </c>
    </row>
    <row r="1905" spans="1:32" ht="15" customHeight="1" x14ac:dyDescent="0.3">
      <c r="A1905">
        <v>4</v>
      </c>
      <c r="B1905" s="2" t="s">
        <v>697</v>
      </c>
      <c r="C1905" s="4" t="s">
        <v>693</v>
      </c>
      <c r="D1905" s="3" t="s">
        <v>669</v>
      </c>
      <c r="E1905" s="6" t="s">
        <v>96</v>
      </c>
      <c r="F1905" s="6" t="s">
        <v>492</v>
      </c>
      <c r="G1905" s="6" t="s">
        <v>709</v>
      </c>
      <c r="H1905" s="23">
        <v>28000</v>
      </c>
      <c r="I1905">
        <v>0</v>
      </c>
      <c r="J1905">
        <v>0</v>
      </c>
      <c r="K1905" s="20">
        <f t="shared" si="224"/>
        <v>0</v>
      </c>
      <c r="L1905">
        <v>15</v>
      </c>
      <c r="M1905">
        <v>2</v>
      </c>
      <c r="N1905" s="21">
        <f t="shared" si="225"/>
        <v>840000</v>
      </c>
      <c r="O1905">
        <v>0</v>
      </c>
      <c r="P1905">
        <v>0</v>
      </c>
      <c r="Q1905" s="21">
        <f t="shared" si="219"/>
        <v>0</v>
      </c>
      <c r="R1905">
        <v>0</v>
      </c>
      <c r="S1905">
        <v>0</v>
      </c>
      <c r="T1905" s="21">
        <f t="shared" si="220"/>
        <v>0</v>
      </c>
      <c r="U1905">
        <v>0</v>
      </c>
      <c r="V1905">
        <v>0</v>
      </c>
      <c r="W1905" s="21">
        <f t="shared" si="221"/>
        <v>0</v>
      </c>
      <c r="X1905">
        <v>0</v>
      </c>
      <c r="Y1905">
        <v>0</v>
      </c>
      <c r="Z1905" s="21">
        <f t="shared" si="222"/>
        <v>0</v>
      </c>
      <c r="AA1905">
        <v>0</v>
      </c>
      <c r="AB1905">
        <v>0</v>
      </c>
      <c r="AC1905" s="21">
        <f t="shared" si="223"/>
        <v>0</v>
      </c>
      <c r="AD1905">
        <v>0</v>
      </c>
      <c r="AE1905">
        <v>0</v>
      </c>
      <c r="AF1905" s="21">
        <f t="shared" si="226"/>
        <v>0</v>
      </c>
    </row>
    <row r="1906" spans="1:32" ht="15" customHeight="1" x14ac:dyDescent="0.3">
      <c r="A1906">
        <v>4</v>
      </c>
      <c r="B1906" s="2" t="s">
        <v>697</v>
      </c>
      <c r="C1906" s="4" t="s">
        <v>693</v>
      </c>
      <c r="D1906" s="3" t="s">
        <v>669</v>
      </c>
      <c r="E1906" s="6" t="s">
        <v>96</v>
      </c>
      <c r="F1906" s="6" t="s">
        <v>493</v>
      </c>
      <c r="G1906" s="6" t="s">
        <v>713</v>
      </c>
      <c r="H1906" s="23">
        <v>45000</v>
      </c>
      <c r="I1906">
        <v>0</v>
      </c>
      <c r="J1906">
        <v>0</v>
      </c>
      <c r="K1906" s="20">
        <f t="shared" si="224"/>
        <v>0</v>
      </c>
      <c r="L1906">
        <v>15</v>
      </c>
      <c r="M1906">
        <v>1</v>
      </c>
      <c r="N1906" s="21">
        <f t="shared" si="225"/>
        <v>675000</v>
      </c>
      <c r="O1906">
        <v>0</v>
      </c>
      <c r="P1906">
        <v>0</v>
      </c>
      <c r="Q1906" s="21">
        <f t="shared" si="219"/>
        <v>0</v>
      </c>
      <c r="R1906">
        <v>0</v>
      </c>
      <c r="S1906">
        <v>0</v>
      </c>
      <c r="T1906" s="21">
        <f t="shared" si="220"/>
        <v>0</v>
      </c>
      <c r="U1906">
        <v>0</v>
      </c>
      <c r="V1906">
        <v>0</v>
      </c>
      <c r="W1906" s="21">
        <f t="shared" si="221"/>
        <v>0</v>
      </c>
      <c r="X1906">
        <v>0</v>
      </c>
      <c r="Y1906">
        <v>0</v>
      </c>
      <c r="Z1906" s="21">
        <f t="shared" si="222"/>
        <v>0</v>
      </c>
      <c r="AA1906">
        <v>0</v>
      </c>
      <c r="AB1906">
        <v>0</v>
      </c>
      <c r="AC1906" s="21">
        <f t="shared" si="223"/>
        <v>0</v>
      </c>
      <c r="AD1906">
        <v>0</v>
      </c>
      <c r="AE1906">
        <v>0</v>
      </c>
      <c r="AF1906" s="21">
        <f t="shared" si="226"/>
        <v>0</v>
      </c>
    </row>
    <row r="1907" spans="1:32" ht="15" customHeight="1" x14ac:dyDescent="0.3">
      <c r="A1907">
        <v>4</v>
      </c>
      <c r="B1907" s="2" t="s">
        <v>697</v>
      </c>
      <c r="C1907" s="4" t="s">
        <v>693</v>
      </c>
      <c r="D1907" s="3" t="s">
        <v>669</v>
      </c>
      <c r="E1907" s="6" t="s">
        <v>96</v>
      </c>
      <c r="F1907" s="6" t="s">
        <v>493</v>
      </c>
      <c r="G1907" s="6" t="s">
        <v>712</v>
      </c>
      <c r="H1907" s="23">
        <v>214.29</v>
      </c>
      <c r="I1907">
        <v>0</v>
      </c>
      <c r="J1907">
        <v>0</v>
      </c>
      <c r="K1907" s="20">
        <f t="shared" si="224"/>
        <v>0</v>
      </c>
      <c r="L1907">
        <v>4000</v>
      </c>
      <c r="M1907">
        <v>1</v>
      </c>
      <c r="N1907" s="21">
        <f t="shared" si="225"/>
        <v>857160</v>
      </c>
      <c r="O1907">
        <v>0</v>
      </c>
      <c r="P1907">
        <v>0</v>
      </c>
      <c r="Q1907" s="21">
        <f t="shared" si="219"/>
        <v>0</v>
      </c>
      <c r="R1907">
        <v>0</v>
      </c>
      <c r="S1907">
        <v>0</v>
      </c>
      <c r="T1907" s="21">
        <f t="shared" si="220"/>
        <v>0</v>
      </c>
      <c r="U1907">
        <v>0</v>
      </c>
      <c r="V1907">
        <v>0</v>
      </c>
      <c r="W1907" s="21">
        <f t="shared" si="221"/>
        <v>0</v>
      </c>
      <c r="X1907">
        <v>0</v>
      </c>
      <c r="Y1907">
        <v>0</v>
      </c>
      <c r="Z1907" s="21">
        <f t="shared" si="222"/>
        <v>0</v>
      </c>
      <c r="AA1907">
        <v>0</v>
      </c>
      <c r="AB1907">
        <v>0</v>
      </c>
      <c r="AC1907" s="21">
        <f t="shared" si="223"/>
        <v>0</v>
      </c>
      <c r="AD1907">
        <v>0</v>
      </c>
      <c r="AE1907">
        <v>0</v>
      </c>
      <c r="AF1907" s="21">
        <f t="shared" si="226"/>
        <v>0</v>
      </c>
    </row>
    <row r="1908" spans="1:32" ht="15" customHeight="1" x14ac:dyDescent="0.3">
      <c r="A1908">
        <v>4</v>
      </c>
      <c r="B1908" s="2" t="s">
        <v>697</v>
      </c>
      <c r="C1908" s="4" t="s">
        <v>693</v>
      </c>
      <c r="D1908" s="3" t="s">
        <v>669</v>
      </c>
      <c r="E1908" s="6" t="s">
        <v>96</v>
      </c>
      <c r="F1908" s="6" t="s">
        <v>232</v>
      </c>
      <c r="G1908" s="6" t="s">
        <v>718</v>
      </c>
      <c r="H1908" s="23">
        <v>0</v>
      </c>
      <c r="I1908">
        <v>0</v>
      </c>
      <c r="J1908">
        <v>0</v>
      </c>
      <c r="K1908" s="20">
        <f t="shared" si="224"/>
        <v>0</v>
      </c>
      <c r="N1908" s="21">
        <f t="shared" si="225"/>
        <v>0</v>
      </c>
      <c r="O1908">
        <v>0</v>
      </c>
      <c r="P1908">
        <v>0</v>
      </c>
      <c r="Q1908" s="21">
        <f t="shared" si="219"/>
        <v>0</v>
      </c>
      <c r="R1908">
        <v>0</v>
      </c>
      <c r="S1908">
        <v>0</v>
      </c>
      <c r="T1908" s="21">
        <f t="shared" si="220"/>
        <v>0</v>
      </c>
      <c r="U1908">
        <v>0</v>
      </c>
      <c r="V1908">
        <v>0</v>
      </c>
      <c r="W1908" s="21">
        <f t="shared" si="221"/>
        <v>0</v>
      </c>
      <c r="X1908">
        <v>0</v>
      </c>
      <c r="Y1908">
        <v>0</v>
      </c>
      <c r="Z1908" s="21">
        <f t="shared" si="222"/>
        <v>0</v>
      </c>
      <c r="AA1908">
        <v>0</v>
      </c>
      <c r="AB1908">
        <v>0</v>
      </c>
      <c r="AC1908" s="21">
        <f t="shared" si="223"/>
        <v>0</v>
      </c>
      <c r="AD1908">
        <v>0</v>
      </c>
      <c r="AE1908">
        <v>0</v>
      </c>
      <c r="AF1908" s="21">
        <f t="shared" si="226"/>
        <v>0</v>
      </c>
    </row>
    <row r="1909" spans="1:32" ht="15" customHeight="1" x14ac:dyDescent="0.3">
      <c r="A1909">
        <v>4</v>
      </c>
      <c r="B1909" s="2" t="s">
        <v>697</v>
      </c>
      <c r="C1909" s="4" t="s">
        <v>693</v>
      </c>
      <c r="D1909" s="3" t="s">
        <v>669</v>
      </c>
      <c r="E1909" s="6" t="s">
        <v>96</v>
      </c>
      <c r="F1909" s="6" t="s">
        <v>179</v>
      </c>
      <c r="G1909" s="6" t="s">
        <v>713</v>
      </c>
      <c r="H1909" s="23">
        <v>45000</v>
      </c>
      <c r="I1909">
        <v>0</v>
      </c>
      <c r="J1909">
        <v>0</v>
      </c>
      <c r="K1909" s="20">
        <f t="shared" si="224"/>
        <v>0</v>
      </c>
      <c r="L1909">
        <v>15</v>
      </c>
      <c r="M1909">
        <v>10</v>
      </c>
      <c r="N1909" s="21">
        <f t="shared" si="225"/>
        <v>6750000</v>
      </c>
      <c r="O1909">
        <v>0</v>
      </c>
      <c r="P1909">
        <v>0</v>
      </c>
      <c r="Q1909" s="21">
        <f t="shared" si="219"/>
        <v>0</v>
      </c>
      <c r="R1909">
        <v>0</v>
      </c>
      <c r="S1909">
        <v>0</v>
      </c>
      <c r="T1909" s="21">
        <f t="shared" si="220"/>
        <v>0</v>
      </c>
      <c r="U1909">
        <v>0</v>
      </c>
      <c r="V1909">
        <v>0</v>
      </c>
      <c r="W1909" s="21">
        <f t="shared" si="221"/>
        <v>0</v>
      </c>
      <c r="X1909">
        <v>0</v>
      </c>
      <c r="Y1909">
        <v>0</v>
      </c>
      <c r="Z1909" s="21">
        <f t="shared" si="222"/>
        <v>0</v>
      </c>
      <c r="AA1909">
        <v>0</v>
      </c>
      <c r="AB1909">
        <v>0</v>
      </c>
      <c r="AC1909" s="21">
        <f t="shared" si="223"/>
        <v>0</v>
      </c>
      <c r="AD1909">
        <v>0</v>
      </c>
      <c r="AE1909">
        <v>0</v>
      </c>
      <c r="AF1909" s="21">
        <f t="shared" si="226"/>
        <v>0</v>
      </c>
    </row>
    <row r="1910" spans="1:32" ht="15" customHeight="1" x14ac:dyDescent="0.3">
      <c r="A1910">
        <v>4</v>
      </c>
      <c r="B1910" s="2" t="s">
        <v>697</v>
      </c>
      <c r="C1910" s="4" t="s">
        <v>693</v>
      </c>
      <c r="D1910" s="3" t="s">
        <v>669</v>
      </c>
      <c r="E1910" s="6" t="s">
        <v>96</v>
      </c>
      <c r="F1910" s="6" t="s">
        <v>179</v>
      </c>
      <c r="G1910" s="6" t="s">
        <v>712</v>
      </c>
      <c r="H1910" s="23">
        <v>214.29</v>
      </c>
      <c r="I1910">
        <v>0</v>
      </c>
      <c r="J1910">
        <v>0</v>
      </c>
      <c r="K1910" s="20">
        <f t="shared" si="224"/>
        <v>0</v>
      </c>
      <c r="L1910">
        <v>20000</v>
      </c>
      <c r="M1910">
        <v>1</v>
      </c>
      <c r="N1910" s="21">
        <f t="shared" si="225"/>
        <v>4285800</v>
      </c>
      <c r="O1910">
        <v>0</v>
      </c>
      <c r="P1910">
        <v>0</v>
      </c>
      <c r="Q1910" s="21">
        <f t="shared" si="219"/>
        <v>0</v>
      </c>
      <c r="R1910">
        <v>0</v>
      </c>
      <c r="S1910">
        <v>0</v>
      </c>
      <c r="T1910" s="21">
        <f t="shared" si="220"/>
        <v>0</v>
      </c>
      <c r="U1910">
        <v>0</v>
      </c>
      <c r="V1910">
        <v>0</v>
      </c>
      <c r="W1910" s="21">
        <f t="shared" si="221"/>
        <v>0</v>
      </c>
      <c r="X1910">
        <v>0</v>
      </c>
      <c r="Y1910">
        <v>0</v>
      </c>
      <c r="Z1910" s="21">
        <f t="shared" si="222"/>
        <v>0</v>
      </c>
      <c r="AA1910">
        <v>0</v>
      </c>
      <c r="AB1910">
        <v>0</v>
      </c>
      <c r="AC1910" s="21">
        <f t="shared" si="223"/>
        <v>0</v>
      </c>
      <c r="AD1910">
        <v>0</v>
      </c>
      <c r="AE1910">
        <v>0</v>
      </c>
      <c r="AF1910" s="21">
        <f t="shared" si="226"/>
        <v>0</v>
      </c>
    </row>
    <row r="1911" spans="1:32" ht="15" customHeight="1" x14ac:dyDescent="0.3">
      <c r="A1911">
        <v>4</v>
      </c>
      <c r="B1911" s="2" t="s">
        <v>697</v>
      </c>
      <c r="C1911" s="4" t="s">
        <v>693</v>
      </c>
      <c r="D1911" s="3" t="s">
        <v>669</v>
      </c>
      <c r="E1911" s="6" t="s">
        <v>96</v>
      </c>
      <c r="F1911" s="6" t="s">
        <v>179</v>
      </c>
      <c r="G1911" s="6" t="s">
        <v>714</v>
      </c>
      <c r="H1911" s="23">
        <v>10000</v>
      </c>
      <c r="I1911">
        <v>0</v>
      </c>
      <c r="J1911">
        <v>0</v>
      </c>
      <c r="K1911" s="20">
        <f t="shared" si="224"/>
        <v>0</v>
      </c>
      <c r="L1911">
        <v>15</v>
      </c>
      <c r="M1911">
        <v>1</v>
      </c>
      <c r="N1911" s="21">
        <f t="shared" si="225"/>
        <v>150000</v>
      </c>
      <c r="O1911">
        <v>0</v>
      </c>
      <c r="P1911">
        <v>0</v>
      </c>
      <c r="Q1911" s="21">
        <f t="shared" si="219"/>
        <v>0</v>
      </c>
      <c r="R1911">
        <v>0</v>
      </c>
      <c r="S1911">
        <v>0</v>
      </c>
      <c r="T1911" s="21">
        <f t="shared" si="220"/>
        <v>0</v>
      </c>
      <c r="U1911">
        <v>0</v>
      </c>
      <c r="V1911">
        <v>0</v>
      </c>
      <c r="W1911" s="21">
        <f t="shared" si="221"/>
        <v>0</v>
      </c>
      <c r="X1911">
        <v>0</v>
      </c>
      <c r="Y1911">
        <v>0</v>
      </c>
      <c r="Z1911" s="21">
        <f t="shared" si="222"/>
        <v>0</v>
      </c>
      <c r="AA1911">
        <v>0</v>
      </c>
      <c r="AB1911">
        <v>0</v>
      </c>
      <c r="AC1911" s="21">
        <f t="shared" si="223"/>
        <v>0</v>
      </c>
      <c r="AD1911">
        <v>0</v>
      </c>
      <c r="AE1911">
        <v>0</v>
      </c>
      <c r="AF1911" s="21">
        <f t="shared" si="226"/>
        <v>0</v>
      </c>
    </row>
    <row r="1912" spans="1:32" ht="15" customHeight="1" x14ac:dyDescent="0.3">
      <c r="A1912">
        <v>4</v>
      </c>
      <c r="B1912" s="2" t="s">
        <v>697</v>
      </c>
      <c r="C1912" s="4" t="s">
        <v>693</v>
      </c>
      <c r="D1912" s="3" t="s">
        <v>669</v>
      </c>
      <c r="E1912" s="6" t="s">
        <v>96</v>
      </c>
      <c r="F1912" s="6" t="s">
        <v>179</v>
      </c>
      <c r="G1912" s="6" t="s">
        <v>715</v>
      </c>
      <c r="H1912" s="23">
        <v>302000</v>
      </c>
      <c r="I1912">
        <v>0</v>
      </c>
      <c r="J1912">
        <v>0</v>
      </c>
      <c r="K1912" s="20">
        <f t="shared" si="224"/>
        <v>0</v>
      </c>
      <c r="L1912">
        <v>20</v>
      </c>
      <c r="M1912">
        <v>1</v>
      </c>
      <c r="N1912" s="21">
        <f t="shared" si="225"/>
        <v>6040000</v>
      </c>
      <c r="O1912">
        <v>0</v>
      </c>
      <c r="P1912">
        <v>0</v>
      </c>
      <c r="Q1912" s="21">
        <f t="shared" si="219"/>
        <v>0</v>
      </c>
      <c r="R1912">
        <v>0</v>
      </c>
      <c r="S1912">
        <v>0</v>
      </c>
      <c r="T1912" s="21">
        <f t="shared" si="220"/>
        <v>0</v>
      </c>
      <c r="U1912">
        <v>0</v>
      </c>
      <c r="V1912">
        <v>0</v>
      </c>
      <c r="W1912" s="21">
        <f t="shared" si="221"/>
        <v>0</v>
      </c>
      <c r="X1912">
        <v>0</v>
      </c>
      <c r="Y1912">
        <v>0</v>
      </c>
      <c r="Z1912" s="21">
        <f t="shared" si="222"/>
        <v>0</v>
      </c>
      <c r="AA1912">
        <v>0</v>
      </c>
      <c r="AB1912">
        <v>0</v>
      </c>
      <c r="AC1912" s="21">
        <f t="shared" si="223"/>
        <v>0</v>
      </c>
      <c r="AD1912">
        <v>0</v>
      </c>
      <c r="AE1912">
        <v>0</v>
      </c>
      <c r="AF1912" s="21">
        <f t="shared" si="226"/>
        <v>0</v>
      </c>
    </row>
    <row r="1913" spans="1:32" ht="15" customHeight="1" x14ac:dyDescent="0.3">
      <c r="A1913">
        <v>4</v>
      </c>
      <c r="B1913" s="2" t="s">
        <v>697</v>
      </c>
      <c r="C1913" s="4" t="s">
        <v>693</v>
      </c>
      <c r="D1913" s="3" t="s">
        <v>669</v>
      </c>
      <c r="E1913" s="6" t="s">
        <v>96</v>
      </c>
      <c r="F1913" s="6" t="s">
        <v>159</v>
      </c>
      <c r="G1913" s="6" t="s">
        <v>716</v>
      </c>
      <c r="H1913" s="23">
        <v>39000</v>
      </c>
      <c r="I1913">
        <v>0</v>
      </c>
      <c r="J1913">
        <v>0</v>
      </c>
      <c r="K1913" s="20">
        <f t="shared" si="224"/>
        <v>0</v>
      </c>
      <c r="L1913">
        <v>15</v>
      </c>
      <c r="M1913">
        <v>5</v>
      </c>
      <c r="N1913" s="21">
        <f t="shared" si="225"/>
        <v>2925000</v>
      </c>
      <c r="O1913">
        <v>0</v>
      </c>
      <c r="P1913">
        <v>0</v>
      </c>
      <c r="Q1913" s="21">
        <f t="shared" si="219"/>
        <v>0</v>
      </c>
      <c r="R1913">
        <v>0</v>
      </c>
      <c r="S1913">
        <v>0</v>
      </c>
      <c r="T1913" s="21">
        <f t="shared" si="220"/>
        <v>0</v>
      </c>
      <c r="U1913">
        <v>0</v>
      </c>
      <c r="V1913">
        <v>0</v>
      </c>
      <c r="W1913" s="21">
        <f t="shared" si="221"/>
        <v>0</v>
      </c>
      <c r="X1913">
        <v>0</v>
      </c>
      <c r="Y1913">
        <v>0</v>
      </c>
      <c r="Z1913" s="21">
        <f t="shared" si="222"/>
        <v>0</v>
      </c>
      <c r="AA1913">
        <v>0</v>
      </c>
      <c r="AB1913">
        <v>0</v>
      </c>
      <c r="AC1913" s="21">
        <f t="shared" si="223"/>
        <v>0</v>
      </c>
      <c r="AD1913">
        <v>0</v>
      </c>
      <c r="AE1913">
        <v>0</v>
      </c>
      <c r="AF1913" s="21">
        <f t="shared" si="226"/>
        <v>0</v>
      </c>
    </row>
    <row r="1914" spans="1:32" ht="15" customHeight="1" x14ac:dyDescent="0.3">
      <c r="A1914">
        <v>4</v>
      </c>
      <c r="B1914" s="2" t="s">
        <v>697</v>
      </c>
      <c r="C1914" s="4" t="s">
        <v>693</v>
      </c>
      <c r="D1914" s="3" t="s">
        <v>669</v>
      </c>
      <c r="E1914" s="6" t="s">
        <v>96</v>
      </c>
      <c r="F1914" s="6" t="s">
        <v>159</v>
      </c>
      <c r="G1914" s="6" t="s">
        <v>709</v>
      </c>
      <c r="H1914" s="23">
        <v>28000</v>
      </c>
      <c r="I1914">
        <v>0</v>
      </c>
      <c r="J1914">
        <v>0</v>
      </c>
      <c r="K1914" s="20">
        <f t="shared" si="224"/>
        <v>0</v>
      </c>
      <c r="L1914">
        <v>15</v>
      </c>
      <c r="M1914">
        <v>5</v>
      </c>
      <c r="N1914" s="21">
        <f t="shared" si="225"/>
        <v>2100000</v>
      </c>
      <c r="O1914">
        <v>0</v>
      </c>
      <c r="P1914">
        <v>0</v>
      </c>
      <c r="Q1914" s="21">
        <f t="shared" si="219"/>
        <v>0</v>
      </c>
      <c r="R1914">
        <v>0</v>
      </c>
      <c r="S1914">
        <v>0</v>
      </c>
      <c r="T1914" s="21">
        <f t="shared" si="220"/>
        <v>0</v>
      </c>
      <c r="U1914">
        <v>0</v>
      </c>
      <c r="V1914">
        <v>0</v>
      </c>
      <c r="W1914" s="21">
        <f t="shared" si="221"/>
        <v>0</v>
      </c>
      <c r="X1914">
        <v>0</v>
      </c>
      <c r="Y1914">
        <v>0</v>
      </c>
      <c r="Z1914" s="21">
        <f t="shared" si="222"/>
        <v>0</v>
      </c>
      <c r="AA1914">
        <v>0</v>
      </c>
      <c r="AB1914">
        <v>0</v>
      </c>
      <c r="AC1914" s="21">
        <f t="shared" si="223"/>
        <v>0</v>
      </c>
      <c r="AD1914">
        <v>0</v>
      </c>
      <c r="AE1914">
        <v>0</v>
      </c>
      <c r="AF1914" s="21">
        <f t="shared" si="226"/>
        <v>0</v>
      </c>
    </row>
    <row r="1915" spans="1:32" ht="15" customHeight="1" x14ac:dyDescent="0.3">
      <c r="A1915">
        <v>4</v>
      </c>
      <c r="B1915" s="2" t="s">
        <v>697</v>
      </c>
      <c r="C1915" s="4" t="s">
        <v>693</v>
      </c>
      <c r="D1915" s="3" t="s">
        <v>669</v>
      </c>
      <c r="E1915" s="6" t="s">
        <v>96</v>
      </c>
      <c r="F1915" s="6" t="s">
        <v>159</v>
      </c>
      <c r="G1915" s="6" t="s">
        <v>712</v>
      </c>
      <c r="H1915" s="23">
        <v>214.29</v>
      </c>
      <c r="I1915">
        <v>0</v>
      </c>
      <c r="J1915">
        <v>0</v>
      </c>
      <c r="K1915" s="20">
        <f t="shared" si="224"/>
        <v>0</v>
      </c>
      <c r="L1915">
        <v>4000</v>
      </c>
      <c r="M1915">
        <v>1</v>
      </c>
      <c r="N1915" s="21">
        <f t="shared" si="225"/>
        <v>857160</v>
      </c>
      <c r="O1915">
        <v>0</v>
      </c>
      <c r="P1915">
        <v>0</v>
      </c>
      <c r="Q1915" s="21">
        <f t="shared" si="219"/>
        <v>0</v>
      </c>
      <c r="R1915">
        <v>0</v>
      </c>
      <c r="S1915">
        <v>0</v>
      </c>
      <c r="T1915" s="21">
        <f t="shared" si="220"/>
        <v>0</v>
      </c>
      <c r="U1915">
        <v>0</v>
      </c>
      <c r="V1915">
        <v>0</v>
      </c>
      <c r="W1915" s="21">
        <f t="shared" si="221"/>
        <v>0</v>
      </c>
      <c r="X1915">
        <v>0</v>
      </c>
      <c r="Y1915">
        <v>0</v>
      </c>
      <c r="Z1915" s="21">
        <f t="shared" si="222"/>
        <v>0</v>
      </c>
      <c r="AA1915">
        <v>0</v>
      </c>
      <c r="AB1915">
        <v>0</v>
      </c>
      <c r="AC1915" s="21">
        <f t="shared" si="223"/>
        <v>0</v>
      </c>
      <c r="AD1915">
        <v>0</v>
      </c>
      <c r="AE1915">
        <v>0</v>
      </c>
      <c r="AF1915" s="21">
        <f t="shared" si="226"/>
        <v>0</v>
      </c>
    </row>
    <row r="1916" spans="1:32" ht="15" customHeight="1" x14ac:dyDescent="0.3">
      <c r="A1916">
        <v>4</v>
      </c>
      <c r="B1916" s="2" t="s">
        <v>697</v>
      </c>
      <c r="C1916" s="4" t="s">
        <v>693</v>
      </c>
      <c r="D1916" s="3" t="s">
        <v>669</v>
      </c>
      <c r="E1916" s="6" t="s">
        <v>96</v>
      </c>
      <c r="F1916" s="6" t="s">
        <v>153</v>
      </c>
      <c r="G1916" s="6" t="s">
        <v>716</v>
      </c>
      <c r="H1916" s="23">
        <v>39000</v>
      </c>
      <c r="I1916">
        <v>0</v>
      </c>
      <c r="J1916">
        <v>0</v>
      </c>
      <c r="K1916" s="20">
        <f t="shared" si="224"/>
        <v>0</v>
      </c>
      <c r="L1916">
        <v>15</v>
      </c>
      <c r="M1916">
        <v>5</v>
      </c>
      <c r="N1916" s="21">
        <f t="shared" si="225"/>
        <v>2925000</v>
      </c>
      <c r="O1916">
        <v>0</v>
      </c>
      <c r="P1916">
        <v>0</v>
      </c>
      <c r="Q1916" s="21">
        <f t="shared" si="219"/>
        <v>0</v>
      </c>
      <c r="R1916">
        <v>0</v>
      </c>
      <c r="S1916">
        <v>0</v>
      </c>
      <c r="T1916" s="21">
        <f t="shared" si="220"/>
        <v>0</v>
      </c>
      <c r="U1916">
        <v>0</v>
      </c>
      <c r="V1916">
        <v>0</v>
      </c>
      <c r="W1916" s="21">
        <f t="shared" si="221"/>
        <v>0</v>
      </c>
      <c r="X1916">
        <v>0</v>
      </c>
      <c r="Y1916">
        <v>0</v>
      </c>
      <c r="Z1916" s="21">
        <f t="shared" si="222"/>
        <v>0</v>
      </c>
      <c r="AA1916">
        <v>0</v>
      </c>
      <c r="AB1916">
        <v>0</v>
      </c>
      <c r="AC1916" s="21">
        <f t="shared" si="223"/>
        <v>0</v>
      </c>
      <c r="AD1916">
        <v>0</v>
      </c>
      <c r="AE1916">
        <v>0</v>
      </c>
      <c r="AF1916" s="21">
        <f t="shared" si="226"/>
        <v>0</v>
      </c>
    </row>
    <row r="1917" spans="1:32" ht="15" customHeight="1" x14ac:dyDescent="0.3">
      <c r="A1917">
        <v>4</v>
      </c>
      <c r="B1917" s="2" t="s">
        <v>697</v>
      </c>
      <c r="C1917" s="4" t="s">
        <v>693</v>
      </c>
      <c r="D1917" s="3" t="s">
        <v>669</v>
      </c>
      <c r="E1917" s="6" t="s">
        <v>96</v>
      </c>
      <c r="F1917" s="6" t="s">
        <v>153</v>
      </c>
      <c r="G1917" s="6" t="s">
        <v>709</v>
      </c>
      <c r="H1917" s="23">
        <v>28000</v>
      </c>
      <c r="I1917">
        <v>0</v>
      </c>
      <c r="J1917">
        <v>0</v>
      </c>
      <c r="K1917" s="20">
        <f t="shared" si="224"/>
        <v>0</v>
      </c>
      <c r="L1917">
        <v>15</v>
      </c>
      <c r="M1917">
        <v>5</v>
      </c>
      <c r="N1917" s="21">
        <f t="shared" si="225"/>
        <v>2100000</v>
      </c>
      <c r="O1917">
        <v>0</v>
      </c>
      <c r="P1917">
        <v>0</v>
      </c>
      <c r="Q1917" s="21">
        <f t="shared" ref="Q1917:Q1980" si="227">H1917*O1917*P1917</f>
        <v>0</v>
      </c>
      <c r="R1917">
        <v>0</v>
      </c>
      <c r="S1917">
        <v>0</v>
      </c>
      <c r="T1917" s="21">
        <f t="shared" ref="T1917:T1980" si="228">H1917*R1917*S1917</f>
        <v>0</v>
      </c>
      <c r="U1917">
        <v>0</v>
      </c>
      <c r="V1917">
        <v>0</v>
      </c>
      <c r="W1917" s="21">
        <f t="shared" ref="W1917:W1980" si="229">H1917*U1917*V1917</f>
        <v>0</v>
      </c>
      <c r="X1917">
        <v>0</v>
      </c>
      <c r="Y1917">
        <v>0</v>
      </c>
      <c r="Z1917" s="21">
        <f t="shared" ref="Z1917:Z1980" si="230">H1917*X1917*Y1917</f>
        <v>0</v>
      </c>
      <c r="AA1917">
        <v>0</v>
      </c>
      <c r="AB1917">
        <v>0</v>
      </c>
      <c r="AC1917" s="21">
        <f t="shared" ref="AC1917:AC1980" si="231">H1917*AA1917*AB1917</f>
        <v>0</v>
      </c>
      <c r="AD1917">
        <v>0</v>
      </c>
      <c r="AE1917">
        <v>0</v>
      </c>
      <c r="AF1917" s="21">
        <f t="shared" si="226"/>
        <v>0</v>
      </c>
    </row>
    <row r="1918" spans="1:32" ht="15" customHeight="1" x14ac:dyDescent="0.3">
      <c r="A1918">
        <v>4</v>
      </c>
      <c r="B1918" s="2" t="s">
        <v>697</v>
      </c>
      <c r="C1918" s="4" t="s">
        <v>693</v>
      </c>
      <c r="D1918" s="3" t="s">
        <v>669</v>
      </c>
      <c r="E1918" s="6" t="s">
        <v>96</v>
      </c>
      <c r="F1918" s="6" t="s">
        <v>153</v>
      </c>
      <c r="G1918" s="6" t="s">
        <v>712</v>
      </c>
      <c r="H1918" s="23">
        <v>214.29</v>
      </c>
      <c r="I1918">
        <v>0</v>
      </c>
      <c r="J1918">
        <v>0</v>
      </c>
      <c r="K1918" s="20">
        <f t="shared" si="224"/>
        <v>0</v>
      </c>
      <c r="L1918">
        <v>4000</v>
      </c>
      <c r="M1918">
        <v>1</v>
      </c>
      <c r="N1918" s="21">
        <f t="shared" si="225"/>
        <v>857160</v>
      </c>
      <c r="O1918">
        <v>0</v>
      </c>
      <c r="P1918">
        <v>0</v>
      </c>
      <c r="Q1918" s="21">
        <f t="shared" si="227"/>
        <v>0</v>
      </c>
      <c r="R1918">
        <v>0</v>
      </c>
      <c r="S1918">
        <v>0</v>
      </c>
      <c r="T1918" s="21">
        <f t="shared" si="228"/>
        <v>0</v>
      </c>
      <c r="U1918">
        <v>0</v>
      </c>
      <c r="V1918">
        <v>0</v>
      </c>
      <c r="W1918" s="21">
        <f t="shared" si="229"/>
        <v>0</v>
      </c>
      <c r="X1918">
        <v>0</v>
      </c>
      <c r="Y1918">
        <v>0</v>
      </c>
      <c r="Z1918" s="21">
        <f t="shared" si="230"/>
        <v>0</v>
      </c>
      <c r="AA1918">
        <v>0</v>
      </c>
      <c r="AB1918">
        <v>0</v>
      </c>
      <c r="AC1918" s="21">
        <f t="shared" si="231"/>
        <v>0</v>
      </c>
      <c r="AD1918">
        <v>0</v>
      </c>
      <c r="AE1918">
        <v>0</v>
      </c>
      <c r="AF1918" s="21">
        <f t="shared" si="226"/>
        <v>0</v>
      </c>
    </row>
    <row r="1919" spans="1:32" ht="15" customHeight="1" x14ac:dyDescent="0.3">
      <c r="A1919">
        <v>4</v>
      </c>
      <c r="B1919" s="2" t="s">
        <v>697</v>
      </c>
      <c r="C1919" s="4" t="s">
        <v>693</v>
      </c>
      <c r="D1919" s="3" t="s">
        <v>669</v>
      </c>
      <c r="E1919" s="6" t="s">
        <v>96</v>
      </c>
      <c r="F1919" s="6" t="s">
        <v>494</v>
      </c>
      <c r="G1919" s="6" t="s">
        <v>709</v>
      </c>
      <c r="H1919" s="23">
        <v>28000</v>
      </c>
      <c r="I1919">
        <v>0</v>
      </c>
      <c r="J1919">
        <v>0</v>
      </c>
      <c r="K1919" s="20">
        <f t="shared" si="224"/>
        <v>0</v>
      </c>
      <c r="L1919">
        <v>30</v>
      </c>
      <c r="M1919">
        <v>1</v>
      </c>
      <c r="N1919" s="21">
        <f t="shared" si="225"/>
        <v>840000</v>
      </c>
      <c r="O1919">
        <v>0</v>
      </c>
      <c r="P1919">
        <v>0</v>
      </c>
      <c r="Q1919" s="21">
        <f t="shared" si="227"/>
        <v>0</v>
      </c>
      <c r="R1919">
        <v>0</v>
      </c>
      <c r="S1919">
        <v>0</v>
      </c>
      <c r="T1919" s="21">
        <f t="shared" si="228"/>
        <v>0</v>
      </c>
      <c r="U1919">
        <v>0</v>
      </c>
      <c r="V1919">
        <v>0</v>
      </c>
      <c r="W1919" s="21">
        <f t="shared" si="229"/>
        <v>0</v>
      </c>
      <c r="X1919">
        <v>0</v>
      </c>
      <c r="Y1919">
        <v>0</v>
      </c>
      <c r="Z1919" s="21">
        <f t="shared" si="230"/>
        <v>0</v>
      </c>
      <c r="AA1919">
        <v>0</v>
      </c>
      <c r="AB1919">
        <v>0</v>
      </c>
      <c r="AC1919" s="21">
        <f t="shared" si="231"/>
        <v>0</v>
      </c>
      <c r="AD1919">
        <v>0</v>
      </c>
      <c r="AE1919">
        <v>0</v>
      </c>
      <c r="AF1919" s="21">
        <f t="shared" si="226"/>
        <v>0</v>
      </c>
    </row>
    <row r="1920" spans="1:32" ht="15" customHeight="1" x14ac:dyDescent="0.3">
      <c r="A1920">
        <v>4</v>
      </c>
      <c r="B1920" s="2" t="s">
        <v>697</v>
      </c>
      <c r="C1920" s="4" t="s">
        <v>693</v>
      </c>
      <c r="D1920" s="3" t="s">
        <v>669</v>
      </c>
      <c r="E1920" s="6" t="s">
        <v>96</v>
      </c>
      <c r="F1920" s="6" t="s">
        <v>434</v>
      </c>
      <c r="G1920" s="6" t="s">
        <v>711</v>
      </c>
      <c r="H1920" s="23">
        <v>70</v>
      </c>
      <c r="I1920">
        <v>0</v>
      </c>
      <c r="J1920">
        <v>0</v>
      </c>
      <c r="K1920" s="20">
        <f t="shared" si="224"/>
        <v>0</v>
      </c>
      <c r="L1920">
        <v>50000</v>
      </c>
      <c r="M1920">
        <v>1</v>
      </c>
      <c r="N1920" s="21">
        <f t="shared" si="225"/>
        <v>3500000</v>
      </c>
      <c r="O1920">
        <v>0</v>
      </c>
      <c r="P1920">
        <v>0</v>
      </c>
      <c r="Q1920" s="21">
        <f t="shared" si="227"/>
        <v>0</v>
      </c>
      <c r="R1920">
        <v>0</v>
      </c>
      <c r="S1920">
        <v>0</v>
      </c>
      <c r="T1920" s="21">
        <f t="shared" si="228"/>
        <v>0</v>
      </c>
      <c r="U1920">
        <v>0</v>
      </c>
      <c r="V1920">
        <v>0</v>
      </c>
      <c r="W1920" s="21">
        <f t="shared" si="229"/>
        <v>0</v>
      </c>
      <c r="X1920">
        <v>0</v>
      </c>
      <c r="Y1920">
        <v>0</v>
      </c>
      <c r="Z1920" s="21">
        <f t="shared" si="230"/>
        <v>0</v>
      </c>
      <c r="AA1920">
        <v>0</v>
      </c>
      <c r="AB1920">
        <v>0</v>
      </c>
      <c r="AC1920" s="21">
        <f t="shared" si="231"/>
        <v>0</v>
      </c>
      <c r="AD1920">
        <v>0</v>
      </c>
      <c r="AE1920">
        <v>0</v>
      </c>
      <c r="AF1920" s="21">
        <f t="shared" si="226"/>
        <v>0</v>
      </c>
    </row>
    <row r="1921" spans="1:32" ht="15" customHeight="1" x14ac:dyDescent="0.3">
      <c r="A1921">
        <v>4</v>
      </c>
      <c r="B1921" s="2" t="s">
        <v>697</v>
      </c>
      <c r="C1921" s="4" t="s">
        <v>693</v>
      </c>
      <c r="D1921" s="3" t="s">
        <v>669</v>
      </c>
      <c r="E1921" s="6" t="s">
        <v>96</v>
      </c>
      <c r="F1921" s="6" t="s">
        <v>434</v>
      </c>
      <c r="G1921" s="6" t="s">
        <v>717</v>
      </c>
      <c r="H1921" s="23">
        <v>104850</v>
      </c>
      <c r="I1921">
        <v>0</v>
      </c>
      <c r="J1921">
        <v>0</v>
      </c>
      <c r="K1921" s="20">
        <f t="shared" si="224"/>
        <v>0</v>
      </c>
      <c r="L1921">
        <v>5</v>
      </c>
      <c r="M1921">
        <v>1</v>
      </c>
      <c r="N1921" s="21">
        <f t="shared" si="225"/>
        <v>524250</v>
      </c>
      <c r="O1921">
        <v>0</v>
      </c>
      <c r="P1921">
        <v>0</v>
      </c>
      <c r="Q1921" s="21">
        <f t="shared" si="227"/>
        <v>0</v>
      </c>
      <c r="R1921">
        <v>0</v>
      </c>
      <c r="S1921">
        <v>0</v>
      </c>
      <c r="T1921" s="21">
        <f t="shared" si="228"/>
        <v>0</v>
      </c>
      <c r="U1921">
        <v>0</v>
      </c>
      <c r="V1921">
        <v>0</v>
      </c>
      <c r="W1921" s="21">
        <f t="shared" si="229"/>
        <v>0</v>
      </c>
      <c r="X1921">
        <v>0</v>
      </c>
      <c r="Y1921">
        <v>0</v>
      </c>
      <c r="Z1921" s="21">
        <f t="shared" si="230"/>
        <v>0</v>
      </c>
      <c r="AA1921">
        <v>0</v>
      </c>
      <c r="AB1921">
        <v>0</v>
      </c>
      <c r="AC1921" s="21">
        <f t="shared" si="231"/>
        <v>0</v>
      </c>
      <c r="AD1921">
        <v>0</v>
      </c>
      <c r="AE1921">
        <v>0</v>
      </c>
      <c r="AF1921" s="21">
        <f t="shared" si="226"/>
        <v>0</v>
      </c>
    </row>
    <row r="1922" spans="1:32" ht="15" customHeight="1" x14ac:dyDescent="0.3">
      <c r="A1922">
        <v>4</v>
      </c>
      <c r="B1922" s="2" t="s">
        <v>697</v>
      </c>
      <c r="C1922" s="4" t="s">
        <v>693</v>
      </c>
      <c r="D1922" s="3" t="s">
        <v>669</v>
      </c>
      <c r="E1922" s="6" t="s">
        <v>96</v>
      </c>
      <c r="F1922" s="6" t="s">
        <v>434</v>
      </c>
      <c r="G1922" s="6" t="s">
        <v>709</v>
      </c>
      <c r="H1922" s="23">
        <v>28000</v>
      </c>
      <c r="I1922">
        <v>0</v>
      </c>
      <c r="J1922">
        <v>0</v>
      </c>
      <c r="K1922" s="20">
        <f t="shared" si="224"/>
        <v>0</v>
      </c>
      <c r="L1922">
        <v>80</v>
      </c>
      <c r="M1922">
        <v>1</v>
      </c>
      <c r="N1922" s="21">
        <f t="shared" si="225"/>
        <v>2240000</v>
      </c>
      <c r="O1922">
        <v>0</v>
      </c>
      <c r="P1922">
        <v>0</v>
      </c>
      <c r="Q1922" s="21">
        <f t="shared" si="227"/>
        <v>0</v>
      </c>
      <c r="R1922">
        <v>0</v>
      </c>
      <c r="S1922">
        <v>0</v>
      </c>
      <c r="T1922" s="21">
        <f t="shared" si="228"/>
        <v>0</v>
      </c>
      <c r="U1922">
        <v>0</v>
      </c>
      <c r="V1922">
        <v>0</v>
      </c>
      <c r="W1922" s="21">
        <f t="shared" si="229"/>
        <v>0</v>
      </c>
      <c r="X1922">
        <v>0</v>
      </c>
      <c r="Y1922">
        <v>0</v>
      </c>
      <c r="Z1922" s="21">
        <f t="shared" si="230"/>
        <v>0</v>
      </c>
      <c r="AA1922">
        <v>0</v>
      </c>
      <c r="AB1922">
        <v>0</v>
      </c>
      <c r="AC1922" s="21">
        <f t="shared" si="231"/>
        <v>0</v>
      </c>
      <c r="AD1922">
        <v>0</v>
      </c>
      <c r="AE1922">
        <v>0</v>
      </c>
      <c r="AF1922" s="21">
        <f t="shared" si="226"/>
        <v>0</v>
      </c>
    </row>
    <row r="1923" spans="1:32" ht="15" customHeight="1" x14ac:dyDescent="0.3">
      <c r="A1923">
        <v>4</v>
      </c>
      <c r="B1923" s="2" t="s">
        <v>697</v>
      </c>
      <c r="C1923" s="4" t="s">
        <v>693</v>
      </c>
      <c r="D1923" s="3" t="s">
        <v>669</v>
      </c>
      <c r="E1923" s="6" t="s">
        <v>96</v>
      </c>
      <c r="F1923" s="6" t="s">
        <v>434</v>
      </c>
      <c r="G1923" s="6" t="s">
        <v>716</v>
      </c>
      <c r="H1923" s="23">
        <v>39000</v>
      </c>
      <c r="I1923">
        <v>0</v>
      </c>
      <c r="J1923">
        <v>0</v>
      </c>
      <c r="K1923" s="20">
        <f t="shared" si="224"/>
        <v>0</v>
      </c>
      <c r="L1923">
        <v>40</v>
      </c>
      <c r="M1923">
        <v>1</v>
      </c>
      <c r="N1923" s="21">
        <f t="shared" si="225"/>
        <v>1560000</v>
      </c>
      <c r="O1923">
        <v>0</v>
      </c>
      <c r="P1923">
        <v>0</v>
      </c>
      <c r="Q1923" s="21">
        <f t="shared" si="227"/>
        <v>0</v>
      </c>
      <c r="R1923">
        <v>0</v>
      </c>
      <c r="S1923">
        <v>0</v>
      </c>
      <c r="T1923" s="21">
        <f t="shared" si="228"/>
        <v>0</v>
      </c>
      <c r="U1923">
        <v>0</v>
      </c>
      <c r="V1923">
        <v>0</v>
      </c>
      <c r="W1923" s="21">
        <f t="shared" si="229"/>
        <v>0</v>
      </c>
      <c r="X1923">
        <v>0</v>
      </c>
      <c r="Y1923">
        <v>0</v>
      </c>
      <c r="Z1923" s="21">
        <f t="shared" si="230"/>
        <v>0</v>
      </c>
      <c r="AA1923">
        <v>0</v>
      </c>
      <c r="AB1923">
        <v>0</v>
      </c>
      <c r="AC1923" s="21">
        <f t="shared" si="231"/>
        <v>0</v>
      </c>
      <c r="AD1923">
        <v>0</v>
      </c>
      <c r="AE1923">
        <v>0</v>
      </c>
      <c r="AF1923" s="21">
        <f t="shared" si="226"/>
        <v>0</v>
      </c>
    </row>
    <row r="1924" spans="1:32" ht="15" customHeight="1" x14ac:dyDescent="0.3">
      <c r="A1924">
        <v>4</v>
      </c>
      <c r="B1924" s="2" t="s">
        <v>697</v>
      </c>
      <c r="C1924" s="4" t="s">
        <v>693</v>
      </c>
      <c r="D1924" s="3" t="s">
        <v>669</v>
      </c>
      <c r="E1924" s="6" t="s">
        <v>96</v>
      </c>
      <c r="F1924" s="6" t="s">
        <v>434</v>
      </c>
      <c r="G1924" s="6" t="s">
        <v>712</v>
      </c>
      <c r="H1924" s="23">
        <v>214.29</v>
      </c>
      <c r="I1924">
        <v>0</v>
      </c>
      <c r="J1924">
        <v>0</v>
      </c>
      <c r="K1924" s="20">
        <f t="shared" si="224"/>
        <v>0</v>
      </c>
      <c r="L1924">
        <v>20000</v>
      </c>
      <c r="M1924">
        <v>1</v>
      </c>
      <c r="N1924" s="21">
        <f t="shared" si="225"/>
        <v>4285800</v>
      </c>
      <c r="O1924">
        <v>0</v>
      </c>
      <c r="P1924">
        <v>0</v>
      </c>
      <c r="Q1924" s="21">
        <f t="shared" si="227"/>
        <v>0</v>
      </c>
      <c r="R1924">
        <v>0</v>
      </c>
      <c r="S1924">
        <v>0</v>
      </c>
      <c r="T1924" s="21">
        <f t="shared" si="228"/>
        <v>0</v>
      </c>
      <c r="U1924">
        <v>0</v>
      </c>
      <c r="V1924">
        <v>0</v>
      </c>
      <c r="W1924" s="21">
        <f t="shared" si="229"/>
        <v>0</v>
      </c>
      <c r="X1924">
        <v>0</v>
      </c>
      <c r="Y1924">
        <v>0</v>
      </c>
      <c r="Z1924" s="21">
        <f t="shared" si="230"/>
        <v>0</v>
      </c>
      <c r="AA1924">
        <v>0</v>
      </c>
      <c r="AB1924">
        <v>0</v>
      </c>
      <c r="AC1924" s="21">
        <f t="shared" si="231"/>
        <v>0</v>
      </c>
      <c r="AD1924">
        <v>0</v>
      </c>
      <c r="AE1924">
        <v>0</v>
      </c>
      <c r="AF1924" s="21">
        <f t="shared" si="226"/>
        <v>0</v>
      </c>
    </row>
    <row r="1925" spans="1:32" ht="15" customHeight="1" x14ac:dyDescent="0.3">
      <c r="A1925">
        <v>4</v>
      </c>
      <c r="B1925" s="2" t="s">
        <v>697</v>
      </c>
      <c r="C1925" s="4" t="s">
        <v>693</v>
      </c>
      <c r="D1925" s="3" t="s">
        <v>669</v>
      </c>
      <c r="E1925" s="6" t="s">
        <v>97</v>
      </c>
      <c r="F1925" s="6" t="s">
        <v>496</v>
      </c>
      <c r="G1925" s="6" t="s">
        <v>709</v>
      </c>
      <c r="H1925" s="23">
        <v>28000</v>
      </c>
      <c r="I1925">
        <v>0</v>
      </c>
      <c r="J1925">
        <v>0</v>
      </c>
      <c r="K1925" s="20">
        <f t="shared" si="224"/>
        <v>0</v>
      </c>
      <c r="L1925">
        <v>0</v>
      </c>
      <c r="M1925">
        <v>0</v>
      </c>
      <c r="N1925" s="21">
        <f t="shared" si="225"/>
        <v>0</v>
      </c>
      <c r="O1925">
        <v>20</v>
      </c>
      <c r="P1925">
        <v>20</v>
      </c>
      <c r="Q1925" s="21">
        <f t="shared" si="227"/>
        <v>11200000</v>
      </c>
      <c r="R1925">
        <v>0</v>
      </c>
      <c r="S1925">
        <v>0</v>
      </c>
      <c r="T1925" s="21">
        <f t="shared" si="228"/>
        <v>0</v>
      </c>
      <c r="U1925">
        <v>0</v>
      </c>
      <c r="V1925">
        <v>0</v>
      </c>
      <c r="W1925" s="21">
        <f t="shared" si="229"/>
        <v>0</v>
      </c>
      <c r="X1925">
        <v>0</v>
      </c>
      <c r="Y1925">
        <v>0</v>
      </c>
      <c r="Z1925" s="21">
        <f t="shared" si="230"/>
        <v>0</v>
      </c>
      <c r="AA1925">
        <v>0</v>
      </c>
      <c r="AB1925">
        <v>0</v>
      </c>
      <c r="AC1925" s="21">
        <f t="shared" si="231"/>
        <v>0</v>
      </c>
      <c r="AD1925">
        <v>0</v>
      </c>
      <c r="AE1925">
        <v>0</v>
      </c>
      <c r="AF1925" s="21">
        <f t="shared" si="226"/>
        <v>0</v>
      </c>
    </row>
    <row r="1926" spans="1:32" ht="15" customHeight="1" x14ac:dyDescent="0.3">
      <c r="A1926">
        <v>4</v>
      </c>
      <c r="B1926" s="2" t="s">
        <v>697</v>
      </c>
      <c r="C1926" s="4" t="s">
        <v>693</v>
      </c>
      <c r="D1926" s="3" t="s">
        <v>669</v>
      </c>
      <c r="E1926" s="6" t="s">
        <v>97</v>
      </c>
      <c r="F1926" s="6" t="s">
        <v>496</v>
      </c>
      <c r="G1926" s="6" t="s">
        <v>716</v>
      </c>
      <c r="H1926" s="23">
        <v>39000</v>
      </c>
      <c r="I1926">
        <v>0</v>
      </c>
      <c r="J1926">
        <v>0</v>
      </c>
      <c r="K1926" s="20">
        <f t="shared" ref="K1926:K1989" si="232">H1926*I1926*J1926</f>
        <v>0</v>
      </c>
      <c r="L1926">
        <v>0</v>
      </c>
      <c r="M1926">
        <v>0</v>
      </c>
      <c r="N1926" s="21">
        <f t="shared" ref="N1926:N1989" si="233">H1926*L1926*M1926</f>
        <v>0</v>
      </c>
      <c r="O1926">
        <v>20</v>
      </c>
      <c r="P1926">
        <v>20</v>
      </c>
      <c r="Q1926" s="21">
        <f t="shared" si="227"/>
        <v>15600000</v>
      </c>
      <c r="R1926">
        <v>0</v>
      </c>
      <c r="S1926">
        <v>0</v>
      </c>
      <c r="T1926" s="21">
        <f t="shared" si="228"/>
        <v>0</v>
      </c>
      <c r="U1926">
        <v>0</v>
      </c>
      <c r="V1926">
        <v>0</v>
      </c>
      <c r="W1926" s="21">
        <f t="shared" si="229"/>
        <v>0</v>
      </c>
      <c r="X1926">
        <v>0</v>
      </c>
      <c r="Y1926">
        <v>0</v>
      </c>
      <c r="Z1926" s="21">
        <f t="shared" si="230"/>
        <v>0</v>
      </c>
      <c r="AA1926">
        <v>0</v>
      </c>
      <c r="AB1926">
        <v>0</v>
      </c>
      <c r="AC1926" s="21">
        <f t="shared" si="231"/>
        <v>0</v>
      </c>
      <c r="AD1926">
        <v>0</v>
      </c>
      <c r="AE1926">
        <v>0</v>
      </c>
      <c r="AF1926" s="21">
        <f t="shared" ref="AF1926:AF1989" si="234">H1926*AD1926*AE1926</f>
        <v>0</v>
      </c>
    </row>
    <row r="1927" spans="1:32" ht="15" customHeight="1" x14ac:dyDescent="0.3">
      <c r="A1927">
        <v>4</v>
      </c>
      <c r="B1927" s="2" t="s">
        <v>697</v>
      </c>
      <c r="C1927" s="4" t="s">
        <v>693</v>
      </c>
      <c r="D1927" s="3" t="s">
        <v>669</v>
      </c>
      <c r="E1927" s="6" t="s">
        <v>97</v>
      </c>
      <c r="F1927" s="6" t="s">
        <v>496</v>
      </c>
      <c r="G1927" s="6" t="s">
        <v>712</v>
      </c>
      <c r="H1927" s="23">
        <v>214.29</v>
      </c>
      <c r="I1927">
        <v>0</v>
      </c>
      <c r="J1927">
        <v>0</v>
      </c>
      <c r="K1927" s="20">
        <f t="shared" si="232"/>
        <v>0</v>
      </c>
      <c r="L1927">
        <v>0</v>
      </c>
      <c r="M1927">
        <v>0</v>
      </c>
      <c r="N1927" s="21">
        <f t="shared" si="233"/>
        <v>0</v>
      </c>
      <c r="O1927">
        <v>20000</v>
      </c>
      <c r="P1927">
        <v>1</v>
      </c>
      <c r="Q1927" s="21">
        <f t="shared" si="227"/>
        <v>4285800</v>
      </c>
      <c r="R1927">
        <v>0</v>
      </c>
      <c r="S1927">
        <v>0</v>
      </c>
      <c r="T1927" s="21">
        <f t="shared" si="228"/>
        <v>0</v>
      </c>
      <c r="U1927">
        <v>0</v>
      </c>
      <c r="V1927">
        <v>0</v>
      </c>
      <c r="W1927" s="21">
        <f t="shared" si="229"/>
        <v>0</v>
      </c>
      <c r="X1927">
        <v>0</v>
      </c>
      <c r="Y1927">
        <v>0</v>
      </c>
      <c r="Z1927" s="21">
        <f t="shared" si="230"/>
        <v>0</v>
      </c>
      <c r="AA1927">
        <v>0</v>
      </c>
      <c r="AB1927">
        <v>0</v>
      </c>
      <c r="AC1927" s="21">
        <f t="shared" si="231"/>
        <v>0</v>
      </c>
      <c r="AD1927">
        <v>0</v>
      </c>
      <c r="AE1927">
        <v>0</v>
      </c>
      <c r="AF1927" s="21">
        <f t="shared" si="234"/>
        <v>0</v>
      </c>
    </row>
    <row r="1928" spans="1:32" ht="15" customHeight="1" x14ac:dyDescent="0.3">
      <c r="A1928">
        <v>4</v>
      </c>
      <c r="B1928" s="2" t="s">
        <v>697</v>
      </c>
      <c r="C1928" s="4" t="s">
        <v>693</v>
      </c>
      <c r="D1928" s="3" t="s">
        <v>669</v>
      </c>
      <c r="E1928" s="6" t="s">
        <v>97</v>
      </c>
      <c r="F1928" s="6" t="s">
        <v>497</v>
      </c>
      <c r="G1928" s="6" t="s">
        <v>709</v>
      </c>
      <c r="H1928" s="23">
        <v>28000</v>
      </c>
      <c r="I1928">
        <v>0</v>
      </c>
      <c r="J1928">
        <v>0</v>
      </c>
      <c r="K1928" s="20">
        <f t="shared" si="232"/>
        <v>0</v>
      </c>
      <c r="L1928">
        <v>0</v>
      </c>
      <c r="M1928">
        <v>0</v>
      </c>
      <c r="N1928" s="21">
        <f t="shared" si="233"/>
        <v>0</v>
      </c>
      <c r="O1928">
        <v>580</v>
      </c>
      <c r="P1928">
        <v>20</v>
      </c>
      <c r="Q1928" s="21">
        <f t="shared" si="227"/>
        <v>324800000</v>
      </c>
      <c r="R1928">
        <v>0</v>
      </c>
      <c r="S1928">
        <v>0</v>
      </c>
      <c r="T1928" s="21">
        <f t="shared" si="228"/>
        <v>0</v>
      </c>
      <c r="U1928">
        <v>0</v>
      </c>
      <c r="V1928">
        <v>0</v>
      </c>
      <c r="W1928" s="21">
        <f t="shared" si="229"/>
        <v>0</v>
      </c>
      <c r="X1928">
        <v>0</v>
      </c>
      <c r="Y1928">
        <v>0</v>
      </c>
      <c r="Z1928" s="21">
        <f t="shared" si="230"/>
        <v>0</v>
      </c>
      <c r="AA1928">
        <v>0</v>
      </c>
      <c r="AB1928">
        <v>0</v>
      </c>
      <c r="AC1928" s="21">
        <f t="shared" si="231"/>
        <v>0</v>
      </c>
      <c r="AD1928">
        <v>0</v>
      </c>
      <c r="AE1928">
        <v>0</v>
      </c>
      <c r="AF1928" s="21">
        <f t="shared" si="234"/>
        <v>0</v>
      </c>
    </row>
    <row r="1929" spans="1:32" ht="15" customHeight="1" x14ac:dyDescent="0.3">
      <c r="A1929">
        <v>4</v>
      </c>
      <c r="B1929" s="2" t="s">
        <v>697</v>
      </c>
      <c r="C1929" s="4" t="s">
        <v>693</v>
      </c>
      <c r="D1929" s="3" t="s">
        <v>669</v>
      </c>
      <c r="E1929" s="6" t="s">
        <v>97</v>
      </c>
      <c r="F1929" s="6" t="s">
        <v>497</v>
      </c>
      <c r="G1929" s="6" t="s">
        <v>716</v>
      </c>
      <c r="H1929" s="23">
        <v>39000</v>
      </c>
      <c r="I1929">
        <v>0</v>
      </c>
      <c r="J1929">
        <v>0</v>
      </c>
      <c r="K1929" s="20">
        <f t="shared" si="232"/>
        <v>0</v>
      </c>
      <c r="L1929">
        <v>0</v>
      </c>
      <c r="M1929">
        <v>0</v>
      </c>
      <c r="N1929" s="21">
        <f t="shared" si="233"/>
        <v>0</v>
      </c>
      <c r="O1929">
        <v>580</v>
      </c>
      <c r="P1929">
        <v>20</v>
      </c>
      <c r="Q1929" s="21">
        <f t="shared" si="227"/>
        <v>452400000</v>
      </c>
      <c r="R1929">
        <v>0</v>
      </c>
      <c r="S1929">
        <v>0</v>
      </c>
      <c r="T1929" s="21">
        <f t="shared" si="228"/>
        <v>0</v>
      </c>
      <c r="U1929">
        <v>0</v>
      </c>
      <c r="V1929">
        <v>0</v>
      </c>
      <c r="W1929" s="21">
        <f t="shared" si="229"/>
        <v>0</v>
      </c>
      <c r="X1929">
        <v>0</v>
      </c>
      <c r="Y1929">
        <v>0</v>
      </c>
      <c r="Z1929" s="21">
        <f t="shared" si="230"/>
        <v>0</v>
      </c>
      <c r="AA1929">
        <v>0</v>
      </c>
      <c r="AB1929">
        <v>0</v>
      </c>
      <c r="AC1929" s="21">
        <f t="shared" si="231"/>
        <v>0</v>
      </c>
      <c r="AD1929">
        <v>0</v>
      </c>
      <c r="AE1929">
        <v>0</v>
      </c>
      <c r="AF1929" s="21">
        <f t="shared" si="234"/>
        <v>0</v>
      </c>
    </row>
    <row r="1930" spans="1:32" ht="15" customHeight="1" x14ac:dyDescent="0.3">
      <c r="A1930">
        <v>4</v>
      </c>
      <c r="B1930" s="2" t="s">
        <v>697</v>
      </c>
      <c r="C1930" s="4" t="s">
        <v>693</v>
      </c>
      <c r="D1930" s="3" t="s">
        <v>669</v>
      </c>
      <c r="E1930" s="6" t="s">
        <v>97</v>
      </c>
      <c r="F1930" s="6" t="s">
        <v>497</v>
      </c>
      <c r="G1930" s="6" t="s">
        <v>712</v>
      </c>
      <c r="H1930" s="23">
        <v>214.29</v>
      </c>
      <c r="I1930">
        <v>0</v>
      </c>
      <c r="J1930">
        <v>0</v>
      </c>
      <c r="K1930" s="20">
        <f t="shared" si="232"/>
        <v>0</v>
      </c>
      <c r="L1930">
        <v>0</v>
      </c>
      <c r="M1930">
        <v>0</v>
      </c>
      <c r="N1930" s="21">
        <f t="shared" si="233"/>
        <v>0</v>
      </c>
      <c r="O1930">
        <v>100000</v>
      </c>
      <c r="P1930">
        <v>1</v>
      </c>
      <c r="Q1930" s="21">
        <f t="shared" si="227"/>
        <v>21429000</v>
      </c>
      <c r="R1930">
        <v>0</v>
      </c>
      <c r="S1930">
        <v>0</v>
      </c>
      <c r="T1930" s="21">
        <f t="shared" si="228"/>
        <v>0</v>
      </c>
      <c r="U1930">
        <v>0</v>
      </c>
      <c r="V1930">
        <v>0</v>
      </c>
      <c r="W1930" s="21">
        <f t="shared" si="229"/>
        <v>0</v>
      </c>
      <c r="X1930">
        <v>0</v>
      </c>
      <c r="Y1930">
        <v>0</v>
      </c>
      <c r="Z1930" s="21">
        <f t="shared" si="230"/>
        <v>0</v>
      </c>
      <c r="AA1930">
        <v>0</v>
      </c>
      <c r="AB1930">
        <v>0</v>
      </c>
      <c r="AC1930" s="21">
        <f t="shared" si="231"/>
        <v>0</v>
      </c>
      <c r="AD1930">
        <v>0</v>
      </c>
      <c r="AE1930">
        <v>0</v>
      </c>
      <c r="AF1930" s="21">
        <f t="shared" si="234"/>
        <v>0</v>
      </c>
    </row>
    <row r="1931" spans="1:32" ht="15" customHeight="1" x14ac:dyDescent="0.3">
      <c r="A1931">
        <v>4</v>
      </c>
      <c r="B1931" s="2" t="s">
        <v>697</v>
      </c>
      <c r="C1931" s="4" t="s">
        <v>693</v>
      </c>
      <c r="D1931" s="3" t="s">
        <v>669</v>
      </c>
      <c r="E1931" s="6" t="s">
        <v>97</v>
      </c>
      <c r="F1931" s="6" t="s">
        <v>498</v>
      </c>
      <c r="G1931" s="6" t="s">
        <v>709</v>
      </c>
      <c r="H1931" s="23">
        <v>28000</v>
      </c>
      <c r="I1931">
        <v>0</v>
      </c>
      <c r="J1931">
        <v>0</v>
      </c>
      <c r="K1931" s="20">
        <f t="shared" si="232"/>
        <v>0</v>
      </c>
      <c r="L1931">
        <v>0</v>
      </c>
      <c r="M1931">
        <v>0</v>
      </c>
      <c r="N1931" s="21">
        <f t="shared" si="233"/>
        <v>0</v>
      </c>
      <c r="O1931">
        <v>580</v>
      </c>
      <c r="P1931">
        <v>20</v>
      </c>
      <c r="Q1931" s="21">
        <f t="shared" si="227"/>
        <v>324800000</v>
      </c>
      <c r="R1931">
        <v>0</v>
      </c>
      <c r="S1931">
        <v>0</v>
      </c>
      <c r="T1931" s="21">
        <f t="shared" si="228"/>
        <v>0</v>
      </c>
      <c r="U1931">
        <v>0</v>
      </c>
      <c r="V1931">
        <v>0</v>
      </c>
      <c r="W1931" s="21">
        <f t="shared" si="229"/>
        <v>0</v>
      </c>
      <c r="X1931">
        <v>0</v>
      </c>
      <c r="Y1931">
        <v>0</v>
      </c>
      <c r="Z1931" s="21">
        <f t="shared" si="230"/>
        <v>0</v>
      </c>
      <c r="AA1931">
        <v>0</v>
      </c>
      <c r="AB1931">
        <v>0</v>
      </c>
      <c r="AC1931" s="21">
        <f t="shared" si="231"/>
        <v>0</v>
      </c>
      <c r="AD1931">
        <v>0</v>
      </c>
      <c r="AE1931">
        <v>0</v>
      </c>
      <c r="AF1931" s="21">
        <f t="shared" si="234"/>
        <v>0</v>
      </c>
    </row>
    <row r="1932" spans="1:32" ht="15" customHeight="1" x14ac:dyDescent="0.3">
      <c r="A1932">
        <v>4</v>
      </c>
      <c r="B1932" s="2" t="s">
        <v>697</v>
      </c>
      <c r="C1932" s="4" t="s">
        <v>693</v>
      </c>
      <c r="D1932" s="3" t="s">
        <v>669</v>
      </c>
      <c r="E1932" s="6" t="s">
        <v>97</v>
      </c>
      <c r="F1932" s="6" t="s">
        <v>498</v>
      </c>
      <c r="G1932" s="6" t="s">
        <v>716</v>
      </c>
      <c r="H1932" s="23">
        <v>39000</v>
      </c>
      <c r="I1932">
        <v>0</v>
      </c>
      <c r="J1932">
        <v>0</v>
      </c>
      <c r="K1932" s="20">
        <f t="shared" si="232"/>
        <v>0</v>
      </c>
      <c r="L1932">
        <v>0</v>
      </c>
      <c r="M1932">
        <v>0</v>
      </c>
      <c r="N1932" s="21">
        <f t="shared" si="233"/>
        <v>0</v>
      </c>
      <c r="O1932">
        <v>580</v>
      </c>
      <c r="P1932">
        <v>20</v>
      </c>
      <c r="Q1932" s="21">
        <f t="shared" si="227"/>
        <v>452400000</v>
      </c>
      <c r="R1932">
        <v>0</v>
      </c>
      <c r="S1932">
        <v>0</v>
      </c>
      <c r="T1932" s="21">
        <f t="shared" si="228"/>
        <v>0</v>
      </c>
      <c r="U1932">
        <v>0</v>
      </c>
      <c r="V1932">
        <v>0</v>
      </c>
      <c r="W1932" s="21">
        <f t="shared" si="229"/>
        <v>0</v>
      </c>
      <c r="X1932">
        <v>0</v>
      </c>
      <c r="Y1932">
        <v>0</v>
      </c>
      <c r="Z1932" s="21">
        <f t="shared" si="230"/>
        <v>0</v>
      </c>
      <c r="AA1932">
        <v>0</v>
      </c>
      <c r="AB1932">
        <v>0</v>
      </c>
      <c r="AC1932" s="21">
        <f t="shared" si="231"/>
        <v>0</v>
      </c>
      <c r="AD1932">
        <v>0</v>
      </c>
      <c r="AE1932">
        <v>0</v>
      </c>
      <c r="AF1932" s="21">
        <f t="shared" si="234"/>
        <v>0</v>
      </c>
    </row>
    <row r="1933" spans="1:32" ht="15" customHeight="1" x14ac:dyDescent="0.3">
      <c r="A1933">
        <v>4</v>
      </c>
      <c r="B1933" s="2" t="s">
        <v>697</v>
      </c>
      <c r="C1933" s="4" t="s">
        <v>693</v>
      </c>
      <c r="D1933" s="3" t="s">
        <v>669</v>
      </c>
      <c r="E1933" s="6" t="s">
        <v>97</v>
      </c>
      <c r="F1933" s="6" t="s">
        <v>498</v>
      </c>
      <c r="G1933" s="6" t="s">
        <v>712</v>
      </c>
      <c r="H1933" s="23">
        <v>214.29</v>
      </c>
      <c r="I1933">
        <v>0</v>
      </c>
      <c r="J1933">
        <v>0</v>
      </c>
      <c r="K1933" s="20">
        <f t="shared" si="232"/>
        <v>0</v>
      </c>
      <c r="L1933">
        <v>0</v>
      </c>
      <c r="M1933">
        <v>0</v>
      </c>
      <c r="N1933" s="21">
        <f t="shared" si="233"/>
        <v>0</v>
      </c>
      <c r="O1933">
        <v>100000</v>
      </c>
      <c r="P1933">
        <v>1</v>
      </c>
      <c r="Q1933" s="21">
        <f t="shared" si="227"/>
        <v>21429000</v>
      </c>
      <c r="R1933">
        <v>0</v>
      </c>
      <c r="S1933">
        <v>0</v>
      </c>
      <c r="T1933" s="21">
        <f t="shared" si="228"/>
        <v>0</v>
      </c>
      <c r="U1933">
        <v>0</v>
      </c>
      <c r="V1933">
        <v>0</v>
      </c>
      <c r="W1933" s="21">
        <f t="shared" si="229"/>
        <v>0</v>
      </c>
      <c r="X1933">
        <v>0</v>
      </c>
      <c r="Y1933">
        <v>0</v>
      </c>
      <c r="Z1933" s="21">
        <f t="shared" si="230"/>
        <v>0</v>
      </c>
      <c r="AA1933">
        <v>0</v>
      </c>
      <c r="AB1933">
        <v>0</v>
      </c>
      <c r="AC1933" s="21">
        <f t="shared" si="231"/>
        <v>0</v>
      </c>
      <c r="AD1933">
        <v>0</v>
      </c>
      <c r="AE1933">
        <v>0</v>
      </c>
      <c r="AF1933" s="21">
        <f t="shared" si="234"/>
        <v>0</v>
      </c>
    </row>
    <row r="1934" spans="1:32" ht="15" customHeight="1" x14ac:dyDescent="0.3">
      <c r="A1934">
        <v>4</v>
      </c>
      <c r="B1934" s="2" t="s">
        <v>697</v>
      </c>
      <c r="C1934" s="4" t="s">
        <v>693</v>
      </c>
      <c r="D1934" s="3" t="s">
        <v>669</v>
      </c>
      <c r="E1934" s="6" t="s">
        <v>97</v>
      </c>
      <c r="F1934" s="6" t="s">
        <v>499</v>
      </c>
      <c r="G1934" s="6" t="s">
        <v>719</v>
      </c>
      <c r="H1934" s="23">
        <v>286576.3</v>
      </c>
      <c r="I1934">
        <v>0</v>
      </c>
      <c r="J1934">
        <v>0</v>
      </c>
      <c r="K1934" s="20">
        <f t="shared" si="232"/>
        <v>0</v>
      </c>
      <c r="L1934">
        <v>0</v>
      </c>
      <c r="M1934">
        <v>0</v>
      </c>
      <c r="N1934" s="21">
        <f t="shared" si="233"/>
        <v>0</v>
      </c>
      <c r="O1934">
        <v>20</v>
      </c>
      <c r="P1934">
        <v>21</v>
      </c>
      <c r="Q1934" s="21">
        <f t="shared" si="227"/>
        <v>120362046</v>
      </c>
      <c r="R1934">
        <v>0</v>
      </c>
      <c r="S1934">
        <v>0</v>
      </c>
      <c r="T1934" s="21">
        <f t="shared" si="228"/>
        <v>0</v>
      </c>
      <c r="U1934">
        <v>0</v>
      </c>
      <c r="V1934">
        <v>0</v>
      </c>
      <c r="W1934" s="21">
        <f t="shared" si="229"/>
        <v>0</v>
      </c>
      <c r="X1934">
        <v>0</v>
      </c>
      <c r="Y1934">
        <v>0</v>
      </c>
      <c r="Z1934" s="21">
        <f t="shared" si="230"/>
        <v>0</v>
      </c>
      <c r="AA1934">
        <v>0</v>
      </c>
      <c r="AB1934">
        <v>0</v>
      </c>
      <c r="AC1934" s="21">
        <f t="shared" si="231"/>
        <v>0</v>
      </c>
      <c r="AD1934">
        <v>0</v>
      </c>
      <c r="AE1934">
        <v>0</v>
      </c>
      <c r="AF1934" s="21">
        <f t="shared" si="234"/>
        <v>0</v>
      </c>
    </row>
    <row r="1935" spans="1:32" ht="15" customHeight="1" x14ac:dyDescent="0.3">
      <c r="A1935">
        <v>4</v>
      </c>
      <c r="B1935" s="2" t="s">
        <v>697</v>
      </c>
      <c r="C1935" s="4" t="s">
        <v>693</v>
      </c>
      <c r="D1935" s="3" t="s">
        <v>669</v>
      </c>
      <c r="E1935" s="6" t="s">
        <v>97</v>
      </c>
      <c r="F1935" s="6" t="s">
        <v>499</v>
      </c>
      <c r="G1935" s="6" t="s">
        <v>784</v>
      </c>
      <c r="H1935" s="23">
        <v>8166845</v>
      </c>
      <c r="I1935">
        <v>0</v>
      </c>
      <c r="J1935">
        <v>0</v>
      </c>
      <c r="K1935" s="20">
        <f t="shared" si="232"/>
        <v>0</v>
      </c>
      <c r="L1935">
        <v>0</v>
      </c>
      <c r="M1935">
        <v>0</v>
      </c>
      <c r="N1935" s="21">
        <f t="shared" si="233"/>
        <v>0</v>
      </c>
      <c r="O1935">
        <v>5</v>
      </c>
      <c r="P1935">
        <v>10</v>
      </c>
      <c r="Q1935" s="21">
        <f t="shared" si="227"/>
        <v>408342250</v>
      </c>
      <c r="R1935">
        <v>0</v>
      </c>
      <c r="S1935">
        <v>0</v>
      </c>
      <c r="T1935" s="21">
        <f t="shared" si="228"/>
        <v>0</v>
      </c>
      <c r="U1935">
        <v>0</v>
      </c>
      <c r="V1935">
        <v>0</v>
      </c>
      <c r="W1935" s="21">
        <f t="shared" si="229"/>
        <v>0</v>
      </c>
      <c r="X1935">
        <v>0</v>
      </c>
      <c r="Y1935">
        <v>0</v>
      </c>
      <c r="Z1935" s="21">
        <f t="shared" si="230"/>
        <v>0</v>
      </c>
      <c r="AA1935">
        <v>0</v>
      </c>
      <c r="AB1935">
        <v>0</v>
      </c>
      <c r="AC1935" s="21">
        <f t="shared" si="231"/>
        <v>0</v>
      </c>
      <c r="AD1935">
        <v>0</v>
      </c>
      <c r="AE1935">
        <v>0</v>
      </c>
      <c r="AF1935" s="21">
        <f t="shared" si="234"/>
        <v>0</v>
      </c>
    </row>
    <row r="1936" spans="1:32" ht="15" customHeight="1" x14ac:dyDescent="0.3">
      <c r="A1936">
        <v>4</v>
      </c>
      <c r="B1936" s="2" t="s">
        <v>697</v>
      </c>
      <c r="C1936" s="4" t="s">
        <v>693</v>
      </c>
      <c r="D1936" s="3" t="s">
        <v>669</v>
      </c>
      <c r="E1936" s="6" t="s">
        <v>98</v>
      </c>
      <c r="F1936" s="6" t="s">
        <v>500</v>
      </c>
      <c r="G1936" s="6" t="s">
        <v>718</v>
      </c>
      <c r="H1936" s="23">
        <v>0</v>
      </c>
      <c r="I1936">
        <v>0</v>
      </c>
      <c r="J1936">
        <v>0</v>
      </c>
      <c r="K1936" s="20">
        <f t="shared" si="232"/>
        <v>0</v>
      </c>
      <c r="L1936">
        <v>0</v>
      </c>
      <c r="M1936">
        <v>0</v>
      </c>
      <c r="N1936" s="21">
        <f t="shared" si="233"/>
        <v>0</v>
      </c>
      <c r="O1936">
        <v>0</v>
      </c>
      <c r="P1936">
        <v>0</v>
      </c>
      <c r="Q1936" s="21">
        <f t="shared" si="227"/>
        <v>0</v>
      </c>
      <c r="R1936">
        <v>0</v>
      </c>
      <c r="S1936">
        <v>0</v>
      </c>
      <c r="T1936" s="21">
        <f t="shared" si="228"/>
        <v>0</v>
      </c>
      <c r="U1936">
        <v>0</v>
      </c>
      <c r="V1936">
        <v>0</v>
      </c>
      <c r="W1936" s="21">
        <f t="shared" si="229"/>
        <v>0</v>
      </c>
      <c r="X1936">
        <v>0</v>
      </c>
      <c r="Y1936">
        <v>0</v>
      </c>
      <c r="Z1936" s="21">
        <f t="shared" si="230"/>
        <v>0</v>
      </c>
      <c r="AA1936">
        <v>0</v>
      </c>
      <c r="AB1936">
        <v>0</v>
      </c>
      <c r="AC1936" s="21">
        <f t="shared" si="231"/>
        <v>0</v>
      </c>
      <c r="AD1936">
        <v>0</v>
      </c>
      <c r="AE1936">
        <v>0</v>
      </c>
      <c r="AF1936" s="21">
        <f t="shared" si="234"/>
        <v>0</v>
      </c>
    </row>
    <row r="1937" spans="1:32" ht="15" customHeight="1" x14ac:dyDescent="0.3">
      <c r="A1937">
        <v>4</v>
      </c>
      <c r="B1937" s="2" t="s">
        <v>697</v>
      </c>
      <c r="C1937" s="4" t="s">
        <v>693</v>
      </c>
      <c r="D1937" s="3" t="s">
        <v>669</v>
      </c>
      <c r="E1937" s="6" t="s">
        <v>98</v>
      </c>
      <c r="F1937" s="6" t="s">
        <v>501</v>
      </c>
      <c r="G1937" s="6" t="s">
        <v>718</v>
      </c>
      <c r="H1937" s="23">
        <v>0</v>
      </c>
      <c r="I1937">
        <v>0</v>
      </c>
      <c r="J1937">
        <v>0</v>
      </c>
      <c r="K1937" s="20">
        <f t="shared" si="232"/>
        <v>0</v>
      </c>
      <c r="L1937">
        <v>0</v>
      </c>
      <c r="M1937">
        <v>0</v>
      </c>
      <c r="N1937" s="21">
        <f t="shared" si="233"/>
        <v>0</v>
      </c>
      <c r="O1937">
        <v>0</v>
      </c>
      <c r="P1937">
        <v>0</v>
      </c>
      <c r="Q1937" s="21">
        <f t="shared" si="227"/>
        <v>0</v>
      </c>
      <c r="R1937">
        <v>0</v>
      </c>
      <c r="S1937">
        <v>0</v>
      </c>
      <c r="T1937" s="21">
        <f t="shared" si="228"/>
        <v>0</v>
      </c>
      <c r="U1937">
        <v>0</v>
      </c>
      <c r="V1937">
        <v>0</v>
      </c>
      <c r="W1937" s="21">
        <f t="shared" si="229"/>
        <v>0</v>
      </c>
      <c r="X1937">
        <v>0</v>
      </c>
      <c r="Y1937">
        <v>0</v>
      </c>
      <c r="Z1937" s="21">
        <f t="shared" si="230"/>
        <v>0</v>
      </c>
      <c r="AA1937">
        <v>0</v>
      </c>
      <c r="AB1937">
        <v>0</v>
      </c>
      <c r="AC1937" s="21">
        <f t="shared" si="231"/>
        <v>0</v>
      </c>
      <c r="AD1937">
        <v>0</v>
      </c>
      <c r="AE1937">
        <v>0</v>
      </c>
      <c r="AF1937" s="21">
        <f t="shared" si="234"/>
        <v>0</v>
      </c>
    </row>
    <row r="1938" spans="1:32" ht="15" customHeight="1" x14ac:dyDescent="0.3">
      <c r="A1938">
        <v>4</v>
      </c>
      <c r="B1938" s="2" t="s">
        <v>697</v>
      </c>
      <c r="C1938" s="4" t="s">
        <v>693</v>
      </c>
      <c r="D1938" s="3" t="s">
        <v>669</v>
      </c>
      <c r="E1938" s="6" t="s">
        <v>98</v>
      </c>
      <c r="F1938" s="6" t="s">
        <v>502</v>
      </c>
      <c r="G1938" s="6" t="s">
        <v>724</v>
      </c>
      <c r="H1938" s="23">
        <v>468000</v>
      </c>
      <c r="I1938">
        <v>0</v>
      </c>
      <c r="J1938">
        <v>0</v>
      </c>
      <c r="K1938" s="20">
        <f t="shared" si="232"/>
        <v>0</v>
      </c>
      <c r="L1938">
        <v>10</v>
      </c>
      <c r="M1938">
        <v>1</v>
      </c>
      <c r="N1938" s="21">
        <f t="shared" si="233"/>
        <v>4680000</v>
      </c>
      <c r="O1938">
        <v>5</v>
      </c>
      <c r="P1938">
        <v>1</v>
      </c>
      <c r="Q1938" s="21">
        <f t="shared" si="227"/>
        <v>2340000</v>
      </c>
      <c r="R1938">
        <v>0</v>
      </c>
      <c r="S1938">
        <v>0</v>
      </c>
      <c r="T1938" s="21">
        <f t="shared" si="228"/>
        <v>0</v>
      </c>
      <c r="U1938">
        <v>0</v>
      </c>
      <c r="V1938">
        <v>0</v>
      </c>
      <c r="W1938" s="21">
        <f t="shared" si="229"/>
        <v>0</v>
      </c>
      <c r="X1938">
        <v>0</v>
      </c>
      <c r="Y1938">
        <v>0</v>
      </c>
      <c r="Z1938" s="21">
        <f t="shared" si="230"/>
        <v>0</v>
      </c>
      <c r="AA1938">
        <v>0</v>
      </c>
      <c r="AB1938">
        <v>0</v>
      </c>
      <c r="AC1938" s="21">
        <f t="shared" si="231"/>
        <v>0</v>
      </c>
      <c r="AD1938">
        <v>0</v>
      </c>
      <c r="AE1938">
        <v>0</v>
      </c>
      <c r="AF1938" s="21">
        <f t="shared" si="234"/>
        <v>0</v>
      </c>
    </row>
    <row r="1939" spans="1:32" ht="15" customHeight="1" x14ac:dyDescent="0.3">
      <c r="A1939">
        <v>4</v>
      </c>
      <c r="B1939" s="2" t="s">
        <v>697</v>
      </c>
      <c r="C1939" s="4" t="s">
        <v>693</v>
      </c>
      <c r="D1939" s="3" t="s">
        <v>669</v>
      </c>
      <c r="E1939" s="6" t="s">
        <v>98</v>
      </c>
      <c r="F1939" s="6" t="s">
        <v>503</v>
      </c>
      <c r="G1939" s="6" t="s">
        <v>724</v>
      </c>
      <c r="H1939" s="23">
        <v>468000</v>
      </c>
      <c r="I1939">
        <v>0</v>
      </c>
      <c r="J1939">
        <v>0</v>
      </c>
      <c r="K1939" s="20">
        <f t="shared" si="232"/>
        <v>0</v>
      </c>
      <c r="L1939">
        <v>15</v>
      </c>
      <c r="M1939">
        <v>1</v>
      </c>
      <c r="N1939" s="21">
        <f t="shared" si="233"/>
        <v>7020000</v>
      </c>
      <c r="O1939">
        <v>14</v>
      </c>
      <c r="P1939">
        <v>1</v>
      </c>
      <c r="Q1939" s="21">
        <f t="shared" si="227"/>
        <v>6552000</v>
      </c>
      <c r="R1939">
        <v>0</v>
      </c>
      <c r="S1939">
        <v>0</v>
      </c>
      <c r="T1939" s="21">
        <f t="shared" si="228"/>
        <v>0</v>
      </c>
      <c r="U1939">
        <v>0</v>
      </c>
      <c r="V1939">
        <v>0</v>
      </c>
      <c r="W1939" s="21">
        <f t="shared" si="229"/>
        <v>0</v>
      </c>
      <c r="X1939">
        <v>0</v>
      </c>
      <c r="Y1939">
        <v>0</v>
      </c>
      <c r="Z1939" s="21">
        <f t="shared" si="230"/>
        <v>0</v>
      </c>
      <c r="AA1939">
        <v>0</v>
      </c>
      <c r="AB1939">
        <v>0</v>
      </c>
      <c r="AC1939" s="21">
        <f t="shared" si="231"/>
        <v>0</v>
      </c>
      <c r="AD1939">
        <v>0</v>
      </c>
      <c r="AE1939">
        <v>0</v>
      </c>
      <c r="AF1939" s="21">
        <f t="shared" si="234"/>
        <v>0</v>
      </c>
    </row>
    <row r="1940" spans="1:32" ht="15" customHeight="1" x14ac:dyDescent="0.3">
      <c r="A1940">
        <v>4</v>
      </c>
      <c r="B1940" s="2" t="s">
        <v>697</v>
      </c>
      <c r="C1940" s="4" t="s">
        <v>693</v>
      </c>
      <c r="D1940" s="3" t="s">
        <v>669</v>
      </c>
      <c r="E1940" s="6" t="s">
        <v>98</v>
      </c>
      <c r="F1940" s="6" t="s">
        <v>785</v>
      </c>
      <c r="G1940" s="6" t="s">
        <v>786</v>
      </c>
      <c r="H1940" s="23">
        <v>12247500</v>
      </c>
      <c r="I1940">
        <v>0</v>
      </c>
      <c r="J1940">
        <v>0</v>
      </c>
      <c r="K1940" s="20">
        <f t="shared" si="232"/>
        <v>0</v>
      </c>
      <c r="L1940">
        <v>25</v>
      </c>
      <c r="M1940">
        <v>1</v>
      </c>
      <c r="N1940" s="21">
        <f t="shared" si="233"/>
        <v>306187500</v>
      </c>
      <c r="O1940">
        <v>19</v>
      </c>
      <c r="P1940">
        <v>1</v>
      </c>
      <c r="Q1940" s="21">
        <f t="shared" si="227"/>
        <v>232702500</v>
      </c>
      <c r="R1940">
        <v>0</v>
      </c>
      <c r="S1940">
        <v>0</v>
      </c>
      <c r="T1940" s="21">
        <f t="shared" si="228"/>
        <v>0</v>
      </c>
      <c r="U1940">
        <v>0</v>
      </c>
      <c r="V1940">
        <v>0</v>
      </c>
      <c r="W1940" s="21">
        <f t="shared" si="229"/>
        <v>0</v>
      </c>
      <c r="X1940">
        <v>0</v>
      </c>
      <c r="Y1940">
        <v>0</v>
      </c>
      <c r="Z1940" s="21">
        <f t="shared" si="230"/>
        <v>0</v>
      </c>
      <c r="AA1940">
        <v>0</v>
      </c>
      <c r="AB1940">
        <v>0</v>
      </c>
      <c r="AC1940" s="21">
        <f t="shared" si="231"/>
        <v>0</v>
      </c>
      <c r="AD1940">
        <v>0</v>
      </c>
      <c r="AE1940">
        <v>0</v>
      </c>
      <c r="AF1940" s="21">
        <f t="shared" si="234"/>
        <v>0</v>
      </c>
    </row>
    <row r="1941" spans="1:32" ht="15" customHeight="1" x14ac:dyDescent="0.3">
      <c r="A1941">
        <v>4</v>
      </c>
      <c r="B1941" s="2" t="s">
        <v>697</v>
      </c>
      <c r="C1941" s="4" t="s">
        <v>693</v>
      </c>
      <c r="D1941" s="3" t="s">
        <v>669</v>
      </c>
      <c r="E1941" s="6" t="s">
        <v>98</v>
      </c>
      <c r="F1941" s="6" t="s">
        <v>505</v>
      </c>
      <c r="G1941" s="6" t="s">
        <v>786</v>
      </c>
      <c r="H1941" s="23">
        <v>12247500</v>
      </c>
      <c r="I1941">
        <v>0</v>
      </c>
      <c r="J1941">
        <v>0</v>
      </c>
      <c r="K1941" s="20">
        <f t="shared" si="232"/>
        <v>0</v>
      </c>
      <c r="L1941">
        <v>25</v>
      </c>
      <c r="M1941">
        <v>1</v>
      </c>
      <c r="N1941" s="21">
        <f t="shared" si="233"/>
        <v>306187500</v>
      </c>
      <c r="O1941">
        <v>19</v>
      </c>
      <c r="P1941">
        <v>1</v>
      </c>
      <c r="Q1941" s="21">
        <f t="shared" si="227"/>
        <v>232702500</v>
      </c>
      <c r="R1941">
        <v>0</v>
      </c>
      <c r="S1941">
        <v>0</v>
      </c>
      <c r="T1941" s="21">
        <f t="shared" si="228"/>
        <v>0</v>
      </c>
      <c r="U1941">
        <v>0</v>
      </c>
      <c r="V1941">
        <v>0</v>
      </c>
      <c r="W1941" s="21">
        <f t="shared" si="229"/>
        <v>0</v>
      </c>
      <c r="X1941">
        <v>0</v>
      </c>
      <c r="Y1941">
        <v>0</v>
      </c>
      <c r="Z1941" s="21">
        <f t="shared" si="230"/>
        <v>0</v>
      </c>
      <c r="AA1941">
        <v>0</v>
      </c>
      <c r="AB1941">
        <v>0</v>
      </c>
      <c r="AC1941" s="21">
        <f t="shared" si="231"/>
        <v>0</v>
      </c>
      <c r="AD1941">
        <v>0</v>
      </c>
      <c r="AE1941">
        <v>0</v>
      </c>
      <c r="AF1941" s="21">
        <f t="shared" si="234"/>
        <v>0</v>
      </c>
    </row>
    <row r="1942" spans="1:32" ht="15" customHeight="1" x14ac:dyDescent="0.3">
      <c r="A1942">
        <v>4</v>
      </c>
      <c r="B1942" s="2" t="s">
        <v>697</v>
      </c>
      <c r="C1942" s="4" t="s">
        <v>693</v>
      </c>
      <c r="D1942" s="3" t="s">
        <v>669</v>
      </c>
      <c r="E1942" s="6" t="s">
        <v>98</v>
      </c>
      <c r="F1942" s="6" t="s">
        <v>506</v>
      </c>
      <c r="G1942" s="6" t="s">
        <v>716</v>
      </c>
      <c r="H1942" s="23">
        <v>39000</v>
      </c>
      <c r="I1942">
        <v>0</v>
      </c>
      <c r="J1942">
        <v>0</v>
      </c>
      <c r="K1942" s="20">
        <f t="shared" si="232"/>
        <v>0</v>
      </c>
      <c r="L1942">
        <v>35</v>
      </c>
      <c r="M1942">
        <v>6</v>
      </c>
      <c r="N1942" s="21">
        <f t="shared" si="233"/>
        <v>8190000</v>
      </c>
      <c r="O1942">
        <v>30</v>
      </c>
      <c r="P1942">
        <v>6</v>
      </c>
      <c r="Q1942" s="21">
        <f t="shared" si="227"/>
        <v>7020000</v>
      </c>
      <c r="R1942">
        <v>0</v>
      </c>
      <c r="S1942">
        <v>0</v>
      </c>
      <c r="T1942" s="21">
        <f t="shared" si="228"/>
        <v>0</v>
      </c>
      <c r="U1942">
        <v>0</v>
      </c>
      <c r="V1942">
        <v>0</v>
      </c>
      <c r="W1942" s="21">
        <f t="shared" si="229"/>
        <v>0</v>
      </c>
      <c r="X1942">
        <v>0</v>
      </c>
      <c r="Y1942">
        <v>0</v>
      </c>
      <c r="Z1942" s="21">
        <f t="shared" si="230"/>
        <v>0</v>
      </c>
      <c r="AA1942">
        <v>0</v>
      </c>
      <c r="AB1942">
        <v>0</v>
      </c>
      <c r="AC1942" s="21">
        <f t="shared" si="231"/>
        <v>0</v>
      </c>
      <c r="AD1942">
        <v>0</v>
      </c>
      <c r="AE1942">
        <v>0</v>
      </c>
      <c r="AF1942" s="21">
        <f t="shared" si="234"/>
        <v>0</v>
      </c>
    </row>
    <row r="1943" spans="1:32" ht="15" customHeight="1" x14ac:dyDescent="0.3">
      <c r="A1943">
        <v>4</v>
      </c>
      <c r="B1943" s="2" t="s">
        <v>697</v>
      </c>
      <c r="C1943" s="4" t="s">
        <v>693</v>
      </c>
      <c r="D1943" s="3" t="s">
        <v>669</v>
      </c>
      <c r="E1943" s="6" t="s">
        <v>98</v>
      </c>
      <c r="F1943" s="6" t="s">
        <v>506</v>
      </c>
      <c r="G1943" s="6" t="s">
        <v>709</v>
      </c>
      <c r="H1943" s="23">
        <v>28000</v>
      </c>
      <c r="I1943">
        <v>0</v>
      </c>
      <c r="J1943">
        <v>0</v>
      </c>
      <c r="K1943" s="20">
        <f t="shared" si="232"/>
        <v>0</v>
      </c>
      <c r="L1943">
        <v>35</v>
      </c>
      <c r="M1943">
        <v>6</v>
      </c>
      <c r="N1943" s="21">
        <f t="shared" si="233"/>
        <v>5880000</v>
      </c>
      <c r="O1943">
        <v>30</v>
      </c>
      <c r="P1943">
        <v>6</v>
      </c>
      <c r="Q1943" s="21">
        <f t="shared" si="227"/>
        <v>5040000</v>
      </c>
      <c r="R1943">
        <v>0</v>
      </c>
      <c r="S1943">
        <v>0</v>
      </c>
      <c r="T1943" s="21">
        <f t="shared" si="228"/>
        <v>0</v>
      </c>
      <c r="U1943">
        <v>0</v>
      </c>
      <c r="V1943">
        <v>0</v>
      </c>
      <c r="W1943" s="21">
        <f t="shared" si="229"/>
        <v>0</v>
      </c>
      <c r="X1943">
        <v>0</v>
      </c>
      <c r="Y1943">
        <v>0</v>
      </c>
      <c r="Z1943" s="21">
        <f t="shared" si="230"/>
        <v>0</v>
      </c>
      <c r="AA1943">
        <v>0</v>
      </c>
      <c r="AB1943">
        <v>0</v>
      </c>
      <c r="AC1943" s="21">
        <f t="shared" si="231"/>
        <v>0</v>
      </c>
      <c r="AD1943">
        <v>0</v>
      </c>
      <c r="AE1943">
        <v>0</v>
      </c>
      <c r="AF1943" s="21">
        <f t="shared" si="234"/>
        <v>0</v>
      </c>
    </row>
    <row r="1944" spans="1:32" ht="15" customHeight="1" x14ac:dyDescent="0.3">
      <c r="A1944">
        <v>4</v>
      </c>
      <c r="B1944" s="2" t="s">
        <v>697</v>
      </c>
      <c r="C1944" s="4" t="s">
        <v>693</v>
      </c>
      <c r="D1944" s="3" t="s">
        <v>669</v>
      </c>
      <c r="E1944" s="6" t="s">
        <v>98</v>
      </c>
      <c r="F1944" s="6" t="s">
        <v>506</v>
      </c>
      <c r="G1944" s="6" t="s">
        <v>712</v>
      </c>
      <c r="H1944" s="23">
        <v>214.29</v>
      </c>
      <c r="I1944">
        <v>0</v>
      </c>
      <c r="J1944">
        <v>0</v>
      </c>
      <c r="K1944" s="20">
        <f t="shared" si="232"/>
        <v>0</v>
      </c>
      <c r="L1944">
        <v>4000</v>
      </c>
      <c r="M1944">
        <v>5</v>
      </c>
      <c r="N1944" s="21">
        <f t="shared" si="233"/>
        <v>4285800</v>
      </c>
      <c r="O1944">
        <v>4000</v>
      </c>
      <c r="P1944">
        <v>5</v>
      </c>
      <c r="Q1944" s="21">
        <f t="shared" si="227"/>
        <v>4285800</v>
      </c>
      <c r="R1944">
        <v>0</v>
      </c>
      <c r="S1944">
        <v>0</v>
      </c>
      <c r="T1944" s="21">
        <f t="shared" si="228"/>
        <v>0</v>
      </c>
      <c r="U1944">
        <v>0</v>
      </c>
      <c r="V1944">
        <v>0</v>
      </c>
      <c r="W1944" s="21">
        <f t="shared" si="229"/>
        <v>0</v>
      </c>
      <c r="X1944">
        <v>0</v>
      </c>
      <c r="Y1944">
        <v>0</v>
      </c>
      <c r="Z1944" s="21">
        <f t="shared" si="230"/>
        <v>0</v>
      </c>
      <c r="AA1944">
        <v>0</v>
      </c>
      <c r="AB1944">
        <v>0</v>
      </c>
      <c r="AC1944" s="21">
        <f t="shared" si="231"/>
        <v>0</v>
      </c>
      <c r="AD1944">
        <v>0</v>
      </c>
      <c r="AE1944">
        <v>0</v>
      </c>
      <c r="AF1944" s="21">
        <f t="shared" si="234"/>
        <v>0</v>
      </c>
    </row>
    <row r="1945" spans="1:32" ht="15" customHeight="1" x14ac:dyDescent="0.3">
      <c r="A1945">
        <v>4</v>
      </c>
      <c r="B1945" s="2" t="s">
        <v>697</v>
      </c>
      <c r="C1945" s="4" t="s">
        <v>693</v>
      </c>
      <c r="D1945" s="3" t="s">
        <v>669</v>
      </c>
      <c r="E1945" s="6" t="s">
        <v>99</v>
      </c>
      <c r="F1945" s="6" t="s">
        <v>158</v>
      </c>
      <c r="G1945" s="6" t="s">
        <v>718</v>
      </c>
      <c r="H1945" s="23">
        <v>0</v>
      </c>
      <c r="I1945">
        <v>0</v>
      </c>
      <c r="J1945">
        <v>0</v>
      </c>
      <c r="K1945" s="20">
        <f t="shared" si="232"/>
        <v>0</v>
      </c>
      <c r="L1945">
        <v>0</v>
      </c>
      <c r="M1945">
        <v>0</v>
      </c>
      <c r="N1945" s="21">
        <f t="shared" si="233"/>
        <v>0</v>
      </c>
      <c r="O1945">
        <v>0</v>
      </c>
      <c r="P1945">
        <v>0</v>
      </c>
      <c r="Q1945" s="21">
        <f t="shared" si="227"/>
        <v>0</v>
      </c>
      <c r="R1945">
        <v>0</v>
      </c>
      <c r="S1945">
        <v>0</v>
      </c>
      <c r="T1945" s="21">
        <f t="shared" si="228"/>
        <v>0</v>
      </c>
      <c r="U1945">
        <v>0</v>
      </c>
      <c r="V1945">
        <v>0</v>
      </c>
      <c r="W1945" s="21">
        <f t="shared" si="229"/>
        <v>0</v>
      </c>
      <c r="X1945">
        <v>0</v>
      </c>
      <c r="Y1945">
        <v>0</v>
      </c>
      <c r="Z1945" s="21">
        <f t="shared" si="230"/>
        <v>0</v>
      </c>
      <c r="AA1945">
        <v>0</v>
      </c>
      <c r="AB1945">
        <v>0</v>
      </c>
      <c r="AC1945" s="21">
        <f t="shared" si="231"/>
        <v>0</v>
      </c>
      <c r="AD1945">
        <v>0</v>
      </c>
      <c r="AE1945">
        <v>0</v>
      </c>
      <c r="AF1945" s="21">
        <f t="shared" si="234"/>
        <v>0</v>
      </c>
    </row>
    <row r="1946" spans="1:32" ht="15" customHeight="1" x14ac:dyDescent="0.3">
      <c r="A1946">
        <v>4</v>
      </c>
      <c r="B1946" s="2" t="s">
        <v>697</v>
      </c>
      <c r="C1946" s="4" t="s">
        <v>693</v>
      </c>
      <c r="D1946" s="3" t="s">
        <v>669</v>
      </c>
      <c r="E1946" s="6" t="s">
        <v>99</v>
      </c>
      <c r="F1946" s="6" t="s">
        <v>482</v>
      </c>
      <c r="G1946" s="6" t="s">
        <v>718</v>
      </c>
      <c r="H1946" s="23">
        <v>0</v>
      </c>
      <c r="I1946">
        <v>0</v>
      </c>
      <c r="J1946">
        <v>0</v>
      </c>
      <c r="K1946" s="20">
        <f t="shared" si="232"/>
        <v>0</v>
      </c>
      <c r="L1946">
        <v>0</v>
      </c>
      <c r="M1946">
        <v>0</v>
      </c>
      <c r="N1946" s="21">
        <f t="shared" si="233"/>
        <v>0</v>
      </c>
      <c r="O1946">
        <v>0</v>
      </c>
      <c r="P1946">
        <v>0</v>
      </c>
      <c r="Q1946" s="21">
        <f t="shared" si="227"/>
        <v>0</v>
      </c>
      <c r="R1946">
        <v>0</v>
      </c>
      <c r="S1946">
        <v>0</v>
      </c>
      <c r="T1946" s="21">
        <f t="shared" si="228"/>
        <v>0</v>
      </c>
      <c r="U1946">
        <v>0</v>
      </c>
      <c r="V1946">
        <v>0</v>
      </c>
      <c r="W1946" s="21">
        <f t="shared" si="229"/>
        <v>0</v>
      </c>
      <c r="X1946">
        <v>0</v>
      </c>
      <c r="Y1946">
        <v>0</v>
      </c>
      <c r="Z1946" s="21">
        <f t="shared" si="230"/>
        <v>0</v>
      </c>
      <c r="AA1946">
        <v>0</v>
      </c>
      <c r="AB1946">
        <v>0</v>
      </c>
      <c r="AC1946" s="21">
        <f t="shared" si="231"/>
        <v>0</v>
      </c>
      <c r="AD1946">
        <v>0</v>
      </c>
      <c r="AE1946">
        <v>0</v>
      </c>
      <c r="AF1946" s="21">
        <f t="shared" si="234"/>
        <v>0</v>
      </c>
    </row>
    <row r="1947" spans="1:32" ht="15" customHeight="1" x14ac:dyDescent="0.3">
      <c r="A1947">
        <v>4</v>
      </c>
      <c r="B1947" s="2" t="s">
        <v>697</v>
      </c>
      <c r="C1947" s="4" t="s">
        <v>693</v>
      </c>
      <c r="D1947" s="3" t="s">
        <v>669</v>
      </c>
      <c r="E1947" s="6" t="s">
        <v>99</v>
      </c>
      <c r="F1947" s="6" t="s">
        <v>149</v>
      </c>
      <c r="G1947" s="6" t="s">
        <v>707</v>
      </c>
      <c r="H1947" s="23">
        <v>391991.03749999998</v>
      </c>
      <c r="I1947">
        <v>0</v>
      </c>
      <c r="J1947">
        <v>0</v>
      </c>
      <c r="K1947" s="20">
        <f t="shared" si="232"/>
        <v>0</v>
      </c>
      <c r="L1947">
        <v>1</v>
      </c>
      <c r="M1947">
        <v>4</v>
      </c>
      <c r="N1947" s="21">
        <f t="shared" si="233"/>
        <v>1567964.15</v>
      </c>
      <c r="O1947">
        <v>0</v>
      </c>
      <c r="P1947">
        <v>0</v>
      </c>
      <c r="Q1947" s="21">
        <f t="shared" si="227"/>
        <v>0</v>
      </c>
      <c r="R1947">
        <v>0</v>
      </c>
      <c r="S1947">
        <v>0</v>
      </c>
      <c r="T1947" s="21">
        <f t="shared" si="228"/>
        <v>0</v>
      </c>
      <c r="U1947">
        <v>0</v>
      </c>
      <c r="V1947">
        <v>0</v>
      </c>
      <c r="W1947" s="21">
        <f t="shared" si="229"/>
        <v>0</v>
      </c>
      <c r="X1947">
        <v>0</v>
      </c>
      <c r="Y1947">
        <v>0</v>
      </c>
      <c r="Z1947" s="21">
        <f t="shared" si="230"/>
        <v>0</v>
      </c>
      <c r="AA1947">
        <v>0</v>
      </c>
      <c r="AB1947">
        <v>0</v>
      </c>
      <c r="AC1947" s="21">
        <f t="shared" si="231"/>
        <v>0</v>
      </c>
      <c r="AD1947">
        <v>0</v>
      </c>
      <c r="AE1947">
        <v>0</v>
      </c>
      <c r="AF1947" s="21">
        <f t="shared" si="234"/>
        <v>0</v>
      </c>
    </row>
    <row r="1948" spans="1:32" ht="15" customHeight="1" x14ac:dyDescent="0.3">
      <c r="A1948">
        <v>4</v>
      </c>
      <c r="B1948" s="2" t="s">
        <v>697</v>
      </c>
      <c r="C1948" s="4" t="s">
        <v>693</v>
      </c>
      <c r="D1948" s="3" t="s">
        <v>669</v>
      </c>
      <c r="E1948" s="6" t="s">
        <v>99</v>
      </c>
      <c r="F1948" s="6" t="s">
        <v>149</v>
      </c>
      <c r="G1948" s="6" t="s">
        <v>708</v>
      </c>
      <c r="H1948" s="23">
        <v>425000</v>
      </c>
      <c r="I1948">
        <v>0</v>
      </c>
      <c r="J1948">
        <v>0</v>
      </c>
      <c r="K1948" s="20">
        <f t="shared" si="232"/>
        <v>0</v>
      </c>
      <c r="L1948">
        <v>1</v>
      </c>
      <c r="M1948">
        <v>40</v>
      </c>
      <c r="N1948" s="21">
        <f t="shared" si="233"/>
        <v>17000000</v>
      </c>
      <c r="O1948">
        <v>0</v>
      </c>
      <c r="P1948">
        <v>0</v>
      </c>
      <c r="Q1948" s="21">
        <f t="shared" si="227"/>
        <v>0</v>
      </c>
      <c r="R1948">
        <v>0</v>
      </c>
      <c r="S1948">
        <v>0</v>
      </c>
      <c r="T1948" s="21">
        <f t="shared" si="228"/>
        <v>0</v>
      </c>
      <c r="U1948">
        <v>0</v>
      </c>
      <c r="V1948">
        <v>0</v>
      </c>
      <c r="W1948" s="21">
        <f t="shared" si="229"/>
        <v>0</v>
      </c>
      <c r="X1948">
        <v>0</v>
      </c>
      <c r="Y1948">
        <v>0</v>
      </c>
      <c r="Z1948" s="21">
        <f t="shared" si="230"/>
        <v>0</v>
      </c>
      <c r="AA1948">
        <v>0</v>
      </c>
      <c r="AB1948">
        <v>0</v>
      </c>
      <c r="AC1948" s="21">
        <f t="shared" si="231"/>
        <v>0</v>
      </c>
      <c r="AD1948">
        <v>0</v>
      </c>
      <c r="AE1948">
        <v>0</v>
      </c>
      <c r="AF1948" s="21">
        <f t="shared" si="234"/>
        <v>0</v>
      </c>
    </row>
    <row r="1949" spans="1:32" ht="15" customHeight="1" x14ac:dyDescent="0.3">
      <c r="A1949">
        <v>4</v>
      </c>
      <c r="B1949" s="2" t="s">
        <v>697</v>
      </c>
      <c r="C1949" s="4" t="s">
        <v>693</v>
      </c>
      <c r="D1949" s="3" t="s">
        <v>669</v>
      </c>
      <c r="E1949" s="6" t="s">
        <v>99</v>
      </c>
      <c r="F1949" s="6" t="s">
        <v>507</v>
      </c>
      <c r="G1949" s="6" t="s">
        <v>716</v>
      </c>
      <c r="H1949" s="23">
        <v>39000</v>
      </c>
      <c r="I1949">
        <v>0</v>
      </c>
      <c r="J1949">
        <v>0</v>
      </c>
      <c r="K1949" s="20">
        <f t="shared" si="232"/>
        <v>0</v>
      </c>
      <c r="L1949">
        <v>20</v>
      </c>
      <c r="M1949">
        <v>15</v>
      </c>
      <c r="N1949" s="21">
        <f t="shared" si="233"/>
        <v>11700000</v>
      </c>
      <c r="O1949">
        <v>0</v>
      </c>
      <c r="P1949">
        <v>0</v>
      </c>
      <c r="Q1949" s="21">
        <f t="shared" si="227"/>
        <v>0</v>
      </c>
      <c r="R1949">
        <v>0</v>
      </c>
      <c r="S1949">
        <v>0</v>
      </c>
      <c r="T1949" s="21">
        <f t="shared" si="228"/>
        <v>0</v>
      </c>
      <c r="U1949">
        <v>0</v>
      </c>
      <c r="V1949">
        <v>0</v>
      </c>
      <c r="W1949" s="21">
        <f t="shared" si="229"/>
        <v>0</v>
      </c>
      <c r="X1949">
        <v>0</v>
      </c>
      <c r="Y1949">
        <v>0</v>
      </c>
      <c r="Z1949" s="21">
        <f t="shared" si="230"/>
        <v>0</v>
      </c>
      <c r="AA1949">
        <v>0</v>
      </c>
      <c r="AB1949">
        <v>0</v>
      </c>
      <c r="AC1949" s="21">
        <f t="shared" si="231"/>
        <v>0</v>
      </c>
      <c r="AD1949">
        <v>0</v>
      </c>
      <c r="AE1949">
        <v>0</v>
      </c>
      <c r="AF1949" s="21">
        <f t="shared" si="234"/>
        <v>0</v>
      </c>
    </row>
    <row r="1950" spans="1:32" ht="15" customHeight="1" x14ac:dyDescent="0.3">
      <c r="A1950">
        <v>4</v>
      </c>
      <c r="B1950" s="2" t="s">
        <v>697</v>
      </c>
      <c r="C1950" s="4" t="s">
        <v>693</v>
      </c>
      <c r="D1950" s="3" t="s">
        <v>669</v>
      </c>
      <c r="E1950" s="6" t="s">
        <v>99</v>
      </c>
      <c r="F1950" s="6" t="s">
        <v>507</v>
      </c>
      <c r="G1950" s="6" t="s">
        <v>712</v>
      </c>
      <c r="H1950" s="23">
        <v>214.29</v>
      </c>
      <c r="I1950">
        <v>0</v>
      </c>
      <c r="J1950">
        <v>0</v>
      </c>
      <c r="K1950" s="20">
        <f t="shared" si="232"/>
        <v>0</v>
      </c>
      <c r="L1950">
        <v>20000</v>
      </c>
      <c r="M1950">
        <v>1</v>
      </c>
      <c r="N1950" s="21">
        <f t="shared" si="233"/>
        <v>4285800</v>
      </c>
      <c r="O1950">
        <v>0</v>
      </c>
      <c r="P1950">
        <v>0</v>
      </c>
      <c r="Q1950" s="21">
        <f t="shared" si="227"/>
        <v>0</v>
      </c>
      <c r="R1950">
        <v>0</v>
      </c>
      <c r="S1950">
        <v>0</v>
      </c>
      <c r="T1950" s="21">
        <f t="shared" si="228"/>
        <v>0</v>
      </c>
      <c r="U1950">
        <v>0</v>
      </c>
      <c r="V1950">
        <v>0</v>
      </c>
      <c r="W1950" s="21">
        <f t="shared" si="229"/>
        <v>0</v>
      </c>
      <c r="X1950">
        <v>0</v>
      </c>
      <c r="Y1950">
        <v>0</v>
      </c>
      <c r="Z1950" s="21">
        <f t="shared" si="230"/>
        <v>0</v>
      </c>
      <c r="AA1950">
        <v>0</v>
      </c>
      <c r="AB1950">
        <v>0</v>
      </c>
      <c r="AC1950" s="21">
        <f t="shared" si="231"/>
        <v>0</v>
      </c>
      <c r="AD1950">
        <v>0</v>
      </c>
      <c r="AE1950">
        <v>0</v>
      </c>
      <c r="AF1950" s="21">
        <f t="shared" si="234"/>
        <v>0</v>
      </c>
    </row>
    <row r="1951" spans="1:32" ht="15" customHeight="1" x14ac:dyDescent="0.3">
      <c r="A1951">
        <v>4</v>
      </c>
      <c r="B1951" s="2" t="s">
        <v>697</v>
      </c>
      <c r="C1951" s="4" t="s">
        <v>693</v>
      </c>
      <c r="D1951" s="3" t="s">
        <v>669</v>
      </c>
      <c r="E1951" s="6" t="s">
        <v>99</v>
      </c>
      <c r="F1951" s="6" t="s">
        <v>507</v>
      </c>
      <c r="G1951" s="6" t="s">
        <v>709</v>
      </c>
      <c r="H1951" s="23">
        <v>28000</v>
      </c>
      <c r="I1951">
        <v>0</v>
      </c>
      <c r="J1951">
        <v>0</v>
      </c>
      <c r="K1951" s="20">
        <f t="shared" si="232"/>
        <v>0</v>
      </c>
      <c r="L1951">
        <v>20</v>
      </c>
      <c r="M1951">
        <v>15</v>
      </c>
      <c r="N1951" s="21">
        <f t="shared" si="233"/>
        <v>8400000</v>
      </c>
      <c r="O1951">
        <v>0</v>
      </c>
      <c r="P1951">
        <v>0</v>
      </c>
      <c r="Q1951" s="21">
        <f t="shared" si="227"/>
        <v>0</v>
      </c>
      <c r="R1951">
        <v>0</v>
      </c>
      <c r="S1951">
        <v>0</v>
      </c>
      <c r="T1951" s="21">
        <f t="shared" si="228"/>
        <v>0</v>
      </c>
      <c r="U1951">
        <v>0</v>
      </c>
      <c r="V1951">
        <v>0</v>
      </c>
      <c r="W1951" s="21">
        <f t="shared" si="229"/>
        <v>0</v>
      </c>
      <c r="X1951">
        <v>0</v>
      </c>
      <c r="Y1951">
        <v>0</v>
      </c>
      <c r="Z1951" s="21">
        <f t="shared" si="230"/>
        <v>0</v>
      </c>
      <c r="AA1951">
        <v>0</v>
      </c>
      <c r="AB1951">
        <v>0</v>
      </c>
      <c r="AC1951" s="21">
        <f t="shared" si="231"/>
        <v>0</v>
      </c>
      <c r="AD1951">
        <v>0</v>
      </c>
      <c r="AE1951">
        <v>0</v>
      </c>
      <c r="AF1951" s="21">
        <f t="shared" si="234"/>
        <v>0</v>
      </c>
    </row>
    <row r="1952" spans="1:32" ht="15" customHeight="1" x14ac:dyDescent="0.3">
      <c r="A1952">
        <v>4</v>
      </c>
      <c r="B1952" s="2" t="s">
        <v>697</v>
      </c>
      <c r="C1952" s="4" t="s">
        <v>693</v>
      </c>
      <c r="D1952" s="3" t="s">
        <v>669</v>
      </c>
      <c r="E1952" s="6" t="s">
        <v>99</v>
      </c>
      <c r="F1952" s="6" t="s">
        <v>508</v>
      </c>
      <c r="G1952" s="6" t="s">
        <v>709</v>
      </c>
      <c r="H1952" s="23">
        <v>28000</v>
      </c>
      <c r="I1952">
        <v>0</v>
      </c>
      <c r="J1952">
        <v>0</v>
      </c>
      <c r="K1952" s="20">
        <f t="shared" si="232"/>
        <v>0</v>
      </c>
      <c r="L1952">
        <v>20</v>
      </c>
      <c r="M1952">
        <v>1</v>
      </c>
      <c r="N1952" s="21">
        <f t="shared" si="233"/>
        <v>560000</v>
      </c>
      <c r="O1952">
        <v>0</v>
      </c>
      <c r="P1952">
        <v>0</v>
      </c>
      <c r="Q1952" s="21">
        <f t="shared" si="227"/>
        <v>0</v>
      </c>
      <c r="R1952">
        <v>0</v>
      </c>
      <c r="S1952">
        <v>0</v>
      </c>
      <c r="T1952" s="21">
        <f t="shared" si="228"/>
        <v>0</v>
      </c>
      <c r="U1952">
        <v>0</v>
      </c>
      <c r="V1952">
        <v>0</v>
      </c>
      <c r="W1952" s="21">
        <f t="shared" si="229"/>
        <v>0</v>
      </c>
      <c r="X1952">
        <v>0</v>
      </c>
      <c r="Y1952">
        <v>0</v>
      </c>
      <c r="Z1952" s="21">
        <f t="shared" si="230"/>
        <v>0</v>
      </c>
      <c r="AA1952">
        <v>0</v>
      </c>
      <c r="AB1952">
        <v>0</v>
      </c>
      <c r="AC1952" s="21">
        <f t="shared" si="231"/>
        <v>0</v>
      </c>
      <c r="AD1952">
        <v>0</v>
      </c>
      <c r="AE1952">
        <v>0</v>
      </c>
      <c r="AF1952" s="21">
        <f t="shared" si="234"/>
        <v>0</v>
      </c>
    </row>
    <row r="1953" spans="1:32" ht="15" customHeight="1" x14ac:dyDescent="0.3">
      <c r="A1953">
        <v>4</v>
      </c>
      <c r="B1953" s="2" t="s">
        <v>697</v>
      </c>
      <c r="C1953" s="4" t="s">
        <v>693</v>
      </c>
      <c r="D1953" s="3" t="s">
        <v>669</v>
      </c>
      <c r="E1953" s="6" t="s">
        <v>99</v>
      </c>
      <c r="F1953" s="6" t="s">
        <v>508</v>
      </c>
      <c r="G1953" s="6" t="s">
        <v>716</v>
      </c>
      <c r="H1953" s="23">
        <v>39000</v>
      </c>
      <c r="I1953">
        <v>0</v>
      </c>
      <c r="J1953">
        <v>0</v>
      </c>
      <c r="K1953" s="20">
        <f t="shared" si="232"/>
        <v>0</v>
      </c>
      <c r="L1953">
        <v>20</v>
      </c>
      <c r="M1953">
        <v>1</v>
      </c>
      <c r="N1953" s="21">
        <f t="shared" si="233"/>
        <v>780000</v>
      </c>
      <c r="O1953">
        <v>0</v>
      </c>
      <c r="P1953">
        <v>0</v>
      </c>
      <c r="Q1953" s="21">
        <f t="shared" si="227"/>
        <v>0</v>
      </c>
      <c r="R1953">
        <v>0</v>
      </c>
      <c r="S1953">
        <v>0</v>
      </c>
      <c r="T1953" s="21">
        <f t="shared" si="228"/>
        <v>0</v>
      </c>
      <c r="U1953">
        <v>0</v>
      </c>
      <c r="V1953">
        <v>0</v>
      </c>
      <c r="W1953" s="21">
        <f t="shared" si="229"/>
        <v>0</v>
      </c>
      <c r="X1953">
        <v>0</v>
      </c>
      <c r="Y1953">
        <v>0</v>
      </c>
      <c r="Z1953" s="21">
        <f t="shared" si="230"/>
        <v>0</v>
      </c>
      <c r="AA1953">
        <v>0</v>
      </c>
      <c r="AB1953">
        <v>0</v>
      </c>
      <c r="AC1953" s="21">
        <f t="shared" si="231"/>
        <v>0</v>
      </c>
      <c r="AD1953">
        <v>0</v>
      </c>
      <c r="AE1953">
        <v>0</v>
      </c>
      <c r="AF1953" s="21">
        <f t="shared" si="234"/>
        <v>0</v>
      </c>
    </row>
    <row r="1954" spans="1:32" ht="15" customHeight="1" x14ac:dyDescent="0.3">
      <c r="A1954">
        <v>4</v>
      </c>
      <c r="B1954" s="2" t="s">
        <v>697</v>
      </c>
      <c r="C1954" s="4" t="s">
        <v>693</v>
      </c>
      <c r="D1954" s="3" t="s">
        <v>669</v>
      </c>
      <c r="E1954" s="6" t="s">
        <v>99</v>
      </c>
      <c r="F1954" s="6" t="s">
        <v>508</v>
      </c>
      <c r="G1954" s="6" t="s">
        <v>712</v>
      </c>
      <c r="H1954" s="23">
        <v>214.29</v>
      </c>
      <c r="I1954">
        <v>0</v>
      </c>
      <c r="J1954">
        <v>0</v>
      </c>
      <c r="K1954" s="20">
        <f t="shared" si="232"/>
        <v>0</v>
      </c>
      <c r="L1954">
        <v>4000</v>
      </c>
      <c r="M1954">
        <v>1</v>
      </c>
      <c r="N1954" s="21">
        <f t="shared" si="233"/>
        <v>857160</v>
      </c>
      <c r="O1954">
        <v>0</v>
      </c>
      <c r="P1954">
        <v>0</v>
      </c>
      <c r="Q1954" s="21">
        <f t="shared" si="227"/>
        <v>0</v>
      </c>
      <c r="R1954">
        <v>0</v>
      </c>
      <c r="S1954">
        <v>0</v>
      </c>
      <c r="T1954" s="21">
        <f t="shared" si="228"/>
        <v>0</v>
      </c>
      <c r="U1954">
        <v>0</v>
      </c>
      <c r="V1954">
        <v>0</v>
      </c>
      <c r="W1954" s="21">
        <f t="shared" si="229"/>
        <v>0</v>
      </c>
      <c r="X1954">
        <v>0</v>
      </c>
      <c r="Y1954">
        <v>0</v>
      </c>
      <c r="Z1954" s="21">
        <f t="shared" si="230"/>
        <v>0</v>
      </c>
      <c r="AA1954">
        <v>0</v>
      </c>
      <c r="AB1954">
        <v>0</v>
      </c>
      <c r="AC1954" s="21">
        <f t="shared" si="231"/>
        <v>0</v>
      </c>
      <c r="AD1954">
        <v>0</v>
      </c>
      <c r="AE1954">
        <v>0</v>
      </c>
      <c r="AF1954" s="21">
        <f t="shared" si="234"/>
        <v>0</v>
      </c>
    </row>
    <row r="1955" spans="1:32" ht="15" customHeight="1" x14ac:dyDescent="0.3">
      <c r="A1955">
        <v>4</v>
      </c>
      <c r="B1955" s="2" t="s">
        <v>697</v>
      </c>
      <c r="C1955" s="4" t="s">
        <v>693</v>
      </c>
      <c r="D1955" s="3" t="s">
        <v>669</v>
      </c>
      <c r="E1955" s="6" t="s">
        <v>99</v>
      </c>
      <c r="F1955" s="6" t="s">
        <v>509</v>
      </c>
      <c r="G1955" s="6" t="s">
        <v>709</v>
      </c>
      <c r="H1955" s="23">
        <v>28000</v>
      </c>
      <c r="I1955">
        <v>0</v>
      </c>
      <c r="J1955">
        <v>0</v>
      </c>
      <c r="K1955" s="20">
        <f t="shared" si="232"/>
        <v>0</v>
      </c>
      <c r="L1955">
        <v>30</v>
      </c>
      <c r="M1955">
        <v>1</v>
      </c>
      <c r="N1955" s="21">
        <f t="shared" si="233"/>
        <v>840000</v>
      </c>
      <c r="O1955">
        <v>0</v>
      </c>
      <c r="P1955">
        <v>0</v>
      </c>
      <c r="Q1955" s="21">
        <f t="shared" si="227"/>
        <v>0</v>
      </c>
      <c r="R1955">
        <v>0</v>
      </c>
      <c r="S1955">
        <v>0</v>
      </c>
      <c r="T1955" s="21">
        <f t="shared" si="228"/>
        <v>0</v>
      </c>
      <c r="U1955">
        <v>0</v>
      </c>
      <c r="V1955">
        <v>0</v>
      </c>
      <c r="W1955" s="21">
        <f t="shared" si="229"/>
        <v>0</v>
      </c>
      <c r="X1955">
        <v>0</v>
      </c>
      <c r="Y1955">
        <v>0</v>
      </c>
      <c r="Z1955" s="21">
        <f t="shared" si="230"/>
        <v>0</v>
      </c>
      <c r="AA1955">
        <v>0</v>
      </c>
      <c r="AB1955">
        <v>0</v>
      </c>
      <c r="AC1955" s="21">
        <f t="shared" si="231"/>
        <v>0</v>
      </c>
      <c r="AD1955">
        <v>0</v>
      </c>
      <c r="AE1955">
        <v>0</v>
      </c>
      <c r="AF1955" s="21">
        <f t="shared" si="234"/>
        <v>0</v>
      </c>
    </row>
    <row r="1956" spans="1:32" ht="15" customHeight="1" x14ac:dyDescent="0.3">
      <c r="A1956">
        <v>4</v>
      </c>
      <c r="B1956" s="2" t="s">
        <v>697</v>
      </c>
      <c r="C1956" s="4" t="s">
        <v>693</v>
      </c>
      <c r="D1956" s="3" t="s">
        <v>669</v>
      </c>
      <c r="E1956" s="6" t="s">
        <v>99</v>
      </c>
      <c r="F1956" s="6" t="s">
        <v>510</v>
      </c>
      <c r="G1956" s="6" t="s">
        <v>709</v>
      </c>
      <c r="H1956" s="23">
        <v>28000</v>
      </c>
      <c r="I1956">
        <v>0</v>
      </c>
      <c r="J1956">
        <v>0</v>
      </c>
      <c r="K1956" s="20">
        <f t="shared" si="232"/>
        <v>0</v>
      </c>
      <c r="L1956">
        <v>20</v>
      </c>
      <c r="M1956">
        <v>1</v>
      </c>
      <c r="N1956" s="21">
        <f t="shared" si="233"/>
        <v>560000</v>
      </c>
      <c r="O1956">
        <v>0</v>
      </c>
      <c r="P1956">
        <v>0</v>
      </c>
      <c r="Q1956" s="21">
        <f t="shared" si="227"/>
        <v>0</v>
      </c>
      <c r="R1956">
        <v>0</v>
      </c>
      <c r="S1956">
        <v>0</v>
      </c>
      <c r="T1956" s="21">
        <f t="shared" si="228"/>
        <v>0</v>
      </c>
      <c r="U1956">
        <v>0</v>
      </c>
      <c r="V1956">
        <v>0</v>
      </c>
      <c r="W1956" s="21">
        <f t="shared" si="229"/>
        <v>0</v>
      </c>
      <c r="X1956">
        <v>0</v>
      </c>
      <c r="Y1956">
        <v>0</v>
      </c>
      <c r="Z1956" s="21">
        <f t="shared" si="230"/>
        <v>0</v>
      </c>
      <c r="AA1956">
        <v>0</v>
      </c>
      <c r="AB1956">
        <v>0</v>
      </c>
      <c r="AC1956" s="21">
        <f t="shared" si="231"/>
        <v>0</v>
      </c>
      <c r="AD1956">
        <v>0</v>
      </c>
      <c r="AE1956">
        <v>0</v>
      </c>
      <c r="AF1956" s="21">
        <f t="shared" si="234"/>
        <v>0</v>
      </c>
    </row>
    <row r="1957" spans="1:32" ht="15" customHeight="1" x14ac:dyDescent="0.3">
      <c r="A1957">
        <v>4</v>
      </c>
      <c r="B1957" s="2" t="s">
        <v>697</v>
      </c>
      <c r="C1957" s="4" t="s">
        <v>693</v>
      </c>
      <c r="D1957" s="3" t="s">
        <v>669</v>
      </c>
      <c r="E1957" s="6" t="s">
        <v>99</v>
      </c>
      <c r="F1957" s="6" t="s">
        <v>511</v>
      </c>
      <c r="G1957" s="6" t="s">
        <v>718</v>
      </c>
      <c r="H1957" s="23">
        <v>0</v>
      </c>
      <c r="I1957">
        <v>0</v>
      </c>
      <c r="J1957">
        <v>0</v>
      </c>
      <c r="K1957" s="20">
        <f t="shared" si="232"/>
        <v>0</v>
      </c>
      <c r="L1957">
        <v>0</v>
      </c>
      <c r="M1957">
        <v>0</v>
      </c>
      <c r="N1957" s="21">
        <f t="shared" si="233"/>
        <v>0</v>
      </c>
      <c r="O1957">
        <v>0</v>
      </c>
      <c r="P1957">
        <v>0</v>
      </c>
      <c r="Q1957" s="21">
        <f t="shared" si="227"/>
        <v>0</v>
      </c>
      <c r="R1957">
        <v>0</v>
      </c>
      <c r="S1957">
        <v>0</v>
      </c>
      <c r="T1957" s="21">
        <f t="shared" si="228"/>
        <v>0</v>
      </c>
      <c r="U1957">
        <v>0</v>
      </c>
      <c r="V1957">
        <v>0</v>
      </c>
      <c r="W1957" s="21">
        <f t="shared" si="229"/>
        <v>0</v>
      </c>
      <c r="X1957">
        <v>0</v>
      </c>
      <c r="Y1957">
        <v>0</v>
      </c>
      <c r="Z1957" s="21">
        <f t="shared" si="230"/>
        <v>0</v>
      </c>
      <c r="AA1957">
        <v>0</v>
      </c>
      <c r="AB1957">
        <v>0</v>
      </c>
      <c r="AC1957" s="21">
        <f t="shared" si="231"/>
        <v>0</v>
      </c>
      <c r="AD1957">
        <v>0</v>
      </c>
      <c r="AE1957">
        <v>0</v>
      </c>
      <c r="AF1957" s="21">
        <f t="shared" si="234"/>
        <v>0</v>
      </c>
    </row>
    <row r="1958" spans="1:32" ht="15" customHeight="1" x14ac:dyDescent="0.3">
      <c r="A1958">
        <v>4</v>
      </c>
      <c r="B1958" s="2" t="s">
        <v>697</v>
      </c>
      <c r="C1958" s="4" t="s">
        <v>693</v>
      </c>
      <c r="D1958" s="3" t="s">
        <v>669</v>
      </c>
      <c r="E1958" s="6" t="s">
        <v>100</v>
      </c>
      <c r="F1958" s="6" t="s">
        <v>214</v>
      </c>
      <c r="G1958" s="6" t="s">
        <v>718</v>
      </c>
      <c r="H1958" s="23">
        <v>0</v>
      </c>
      <c r="I1958">
        <v>0</v>
      </c>
      <c r="J1958">
        <v>0</v>
      </c>
      <c r="K1958" s="20">
        <f t="shared" si="232"/>
        <v>0</v>
      </c>
      <c r="L1958">
        <v>0</v>
      </c>
      <c r="M1958">
        <v>0</v>
      </c>
      <c r="N1958" s="21">
        <f t="shared" si="233"/>
        <v>0</v>
      </c>
      <c r="O1958">
        <v>0</v>
      </c>
      <c r="P1958">
        <v>0</v>
      </c>
      <c r="Q1958" s="21">
        <f t="shared" si="227"/>
        <v>0</v>
      </c>
      <c r="R1958">
        <v>0</v>
      </c>
      <c r="S1958">
        <v>0</v>
      </c>
      <c r="T1958" s="21">
        <f t="shared" si="228"/>
        <v>0</v>
      </c>
      <c r="U1958">
        <v>0</v>
      </c>
      <c r="V1958">
        <v>0</v>
      </c>
      <c r="W1958" s="21">
        <f t="shared" si="229"/>
        <v>0</v>
      </c>
      <c r="X1958">
        <v>0</v>
      </c>
      <c r="Y1958">
        <v>0</v>
      </c>
      <c r="Z1958" s="21">
        <f t="shared" si="230"/>
        <v>0</v>
      </c>
      <c r="AA1958">
        <v>0</v>
      </c>
      <c r="AB1958">
        <v>0</v>
      </c>
      <c r="AC1958" s="21">
        <f t="shared" si="231"/>
        <v>0</v>
      </c>
      <c r="AD1958">
        <v>0</v>
      </c>
      <c r="AE1958">
        <v>0</v>
      </c>
      <c r="AF1958" s="21">
        <f t="shared" si="234"/>
        <v>0</v>
      </c>
    </row>
    <row r="1959" spans="1:32" ht="15" customHeight="1" x14ac:dyDescent="0.3">
      <c r="A1959">
        <v>4</v>
      </c>
      <c r="B1959" s="2" t="s">
        <v>697</v>
      </c>
      <c r="C1959" s="4" t="s">
        <v>693</v>
      </c>
      <c r="D1959" s="3" t="s">
        <v>669</v>
      </c>
      <c r="E1959" s="6" t="s">
        <v>100</v>
      </c>
      <c r="F1959" s="6" t="s">
        <v>149</v>
      </c>
      <c r="G1959" s="6" t="s">
        <v>707</v>
      </c>
      <c r="H1959" s="23">
        <v>391991.03749999998</v>
      </c>
      <c r="I1959">
        <v>0</v>
      </c>
      <c r="J1959">
        <v>0</v>
      </c>
      <c r="K1959" s="20">
        <f t="shared" si="232"/>
        <v>0</v>
      </c>
      <c r="L1959">
        <v>1</v>
      </c>
      <c r="M1959">
        <v>4</v>
      </c>
      <c r="N1959" s="21">
        <f t="shared" si="233"/>
        <v>1567964.15</v>
      </c>
      <c r="O1959">
        <v>0</v>
      </c>
      <c r="P1959">
        <v>0</v>
      </c>
      <c r="Q1959" s="21">
        <f t="shared" si="227"/>
        <v>0</v>
      </c>
      <c r="R1959">
        <v>0</v>
      </c>
      <c r="S1959">
        <v>0</v>
      </c>
      <c r="T1959" s="21">
        <f t="shared" si="228"/>
        <v>0</v>
      </c>
      <c r="U1959">
        <v>0</v>
      </c>
      <c r="V1959">
        <v>0</v>
      </c>
      <c r="W1959" s="21">
        <f t="shared" si="229"/>
        <v>0</v>
      </c>
      <c r="X1959">
        <v>0</v>
      </c>
      <c r="Y1959">
        <v>0</v>
      </c>
      <c r="Z1959" s="21">
        <f t="shared" si="230"/>
        <v>0</v>
      </c>
      <c r="AA1959">
        <v>0</v>
      </c>
      <c r="AB1959">
        <v>0</v>
      </c>
      <c r="AC1959" s="21">
        <f t="shared" si="231"/>
        <v>0</v>
      </c>
      <c r="AD1959">
        <v>0</v>
      </c>
      <c r="AE1959">
        <v>0</v>
      </c>
      <c r="AF1959" s="21">
        <f t="shared" si="234"/>
        <v>0</v>
      </c>
    </row>
    <row r="1960" spans="1:32" ht="15" customHeight="1" x14ac:dyDescent="0.3">
      <c r="A1960">
        <v>4</v>
      </c>
      <c r="B1960" s="2" t="s">
        <v>697</v>
      </c>
      <c r="C1960" s="4" t="s">
        <v>693</v>
      </c>
      <c r="D1960" s="3" t="s">
        <v>669</v>
      </c>
      <c r="E1960" s="6" t="s">
        <v>100</v>
      </c>
      <c r="F1960" s="6" t="s">
        <v>149</v>
      </c>
      <c r="G1960" s="6" t="s">
        <v>708</v>
      </c>
      <c r="H1960" s="23">
        <v>425000</v>
      </c>
      <c r="I1960">
        <v>0</v>
      </c>
      <c r="J1960">
        <v>0</v>
      </c>
      <c r="K1960" s="20">
        <f t="shared" si="232"/>
        <v>0</v>
      </c>
      <c r="L1960">
        <v>1</v>
      </c>
      <c r="M1960">
        <v>40</v>
      </c>
      <c r="N1960" s="21">
        <f t="shared" si="233"/>
        <v>17000000</v>
      </c>
      <c r="O1960">
        <v>0</v>
      </c>
      <c r="P1960">
        <v>0</v>
      </c>
      <c r="Q1960" s="21">
        <f t="shared" si="227"/>
        <v>0</v>
      </c>
      <c r="R1960">
        <v>0</v>
      </c>
      <c r="S1960">
        <v>0</v>
      </c>
      <c r="T1960" s="21">
        <f t="shared" si="228"/>
        <v>0</v>
      </c>
      <c r="U1960">
        <v>0</v>
      </c>
      <c r="V1960">
        <v>0</v>
      </c>
      <c r="W1960" s="21">
        <f t="shared" si="229"/>
        <v>0</v>
      </c>
      <c r="X1960">
        <v>0</v>
      </c>
      <c r="Y1960">
        <v>0</v>
      </c>
      <c r="Z1960" s="21">
        <f t="shared" si="230"/>
        <v>0</v>
      </c>
      <c r="AA1960">
        <v>0</v>
      </c>
      <c r="AB1960">
        <v>0</v>
      </c>
      <c r="AC1960" s="21">
        <f t="shared" si="231"/>
        <v>0</v>
      </c>
      <c r="AD1960">
        <v>0</v>
      </c>
      <c r="AE1960">
        <v>0</v>
      </c>
      <c r="AF1960" s="21">
        <f t="shared" si="234"/>
        <v>0</v>
      </c>
    </row>
    <row r="1961" spans="1:32" ht="15" customHeight="1" x14ac:dyDescent="0.3">
      <c r="A1961">
        <v>4</v>
      </c>
      <c r="B1961" s="2" t="s">
        <v>697</v>
      </c>
      <c r="C1961" s="4" t="s">
        <v>693</v>
      </c>
      <c r="D1961" s="3" t="s">
        <v>669</v>
      </c>
      <c r="E1961" s="6" t="s">
        <v>100</v>
      </c>
      <c r="F1961" s="6" t="s">
        <v>512</v>
      </c>
      <c r="G1961" s="6" t="s">
        <v>718</v>
      </c>
      <c r="H1961" s="23">
        <v>0</v>
      </c>
      <c r="I1961">
        <v>0</v>
      </c>
      <c r="J1961">
        <v>0</v>
      </c>
      <c r="K1961" s="20">
        <f t="shared" si="232"/>
        <v>0</v>
      </c>
      <c r="N1961" s="21">
        <f t="shared" si="233"/>
        <v>0</v>
      </c>
      <c r="O1961">
        <v>0</v>
      </c>
      <c r="P1961">
        <v>0</v>
      </c>
      <c r="Q1961" s="21">
        <f t="shared" si="227"/>
        <v>0</v>
      </c>
      <c r="R1961">
        <v>0</v>
      </c>
      <c r="S1961">
        <v>0</v>
      </c>
      <c r="T1961" s="21">
        <f t="shared" si="228"/>
        <v>0</v>
      </c>
      <c r="U1961">
        <v>0</v>
      </c>
      <c r="V1961">
        <v>0</v>
      </c>
      <c r="W1961" s="21">
        <f t="shared" si="229"/>
        <v>0</v>
      </c>
      <c r="X1961">
        <v>0</v>
      </c>
      <c r="Y1961">
        <v>0</v>
      </c>
      <c r="Z1961" s="21">
        <f t="shared" si="230"/>
        <v>0</v>
      </c>
      <c r="AA1961">
        <v>0</v>
      </c>
      <c r="AB1961">
        <v>0</v>
      </c>
      <c r="AC1961" s="21">
        <f t="shared" si="231"/>
        <v>0</v>
      </c>
      <c r="AD1961">
        <v>0</v>
      </c>
      <c r="AE1961">
        <v>0</v>
      </c>
      <c r="AF1961" s="21">
        <f t="shared" si="234"/>
        <v>0</v>
      </c>
    </row>
    <row r="1962" spans="1:32" ht="15" customHeight="1" x14ac:dyDescent="0.3">
      <c r="A1962">
        <v>4</v>
      </c>
      <c r="B1962" s="2" t="s">
        <v>697</v>
      </c>
      <c r="C1962" s="4" t="s">
        <v>693</v>
      </c>
      <c r="D1962" s="3" t="s">
        <v>669</v>
      </c>
      <c r="E1962" s="6" t="s">
        <v>100</v>
      </c>
      <c r="F1962" s="6" t="s">
        <v>513</v>
      </c>
      <c r="G1962" s="6" t="s">
        <v>709</v>
      </c>
      <c r="H1962" s="23">
        <v>28000</v>
      </c>
      <c r="I1962">
        <v>0</v>
      </c>
      <c r="J1962">
        <v>0</v>
      </c>
      <c r="K1962" s="20">
        <f t="shared" si="232"/>
        <v>0</v>
      </c>
      <c r="L1962">
        <v>30</v>
      </c>
      <c r="M1962">
        <v>1</v>
      </c>
      <c r="N1962" s="21">
        <f t="shared" si="233"/>
        <v>840000</v>
      </c>
      <c r="O1962">
        <v>0</v>
      </c>
      <c r="P1962">
        <v>0</v>
      </c>
      <c r="Q1962" s="21">
        <f t="shared" si="227"/>
        <v>0</v>
      </c>
      <c r="R1962">
        <v>0</v>
      </c>
      <c r="S1962">
        <v>0</v>
      </c>
      <c r="T1962" s="21">
        <f t="shared" si="228"/>
        <v>0</v>
      </c>
      <c r="U1962">
        <v>0</v>
      </c>
      <c r="V1962">
        <v>0</v>
      </c>
      <c r="W1962" s="21">
        <f t="shared" si="229"/>
        <v>0</v>
      </c>
      <c r="X1962">
        <v>0</v>
      </c>
      <c r="Y1962">
        <v>0</v>
      </c>
      <c r="Z1962" s="21">
        <f t="shared" si="230"/>
        <v>0</v>
      </c>
      <c r="AA1962">
        <v>0</v>
      </c>
      <c r="AB1962">
        <v>0</v>
      </c>
      <c r="AC1962" s="21">
        <f t="shared" si="231"/>
        <v>0</v>
      </c>
      <c r="AD1962">
        <v>0</v>
      </c>
      <c r="AE1962">
        <v>0</v>
      </c>
      <c r="AF1962" s="21">
        <f t="shared" si="234"/>
        <v>0</v>
      </c>
    </row>
    <row r="1963" spans="1:32" ht="15" customHeight="1" x14ac:dyDescent="0.3">
      <c r="A1963">
        <v>4</v>
      </c>
      <c r="B1963" s="2" t="s">
        <v>697</v>
      </c>
      <c r="C1963" s="4" t="s">
        <v>693</v>
      </c>
      <c r="D1963" s="3" t="s">
        <v>669</v>
      </c>
      <c r="E1963" s="6" t="s">
        <v>100</v>
      </c>
      <c r="F1963" s="6" t="s">
        <v>513</v>
      </c>
      <c r="G1963" s="6" t="s">
        <v>716</v>
      </c>
      <c r="H1963" s="23">
        <v>39000</v>
      </c>
      <c r="I1963">
        <v>0</v>
      </c>
      <c r="J1963">
        <v>0</v>
      </c>
      <c r="K1963" s="20">
        <f t="shared" si="232"/>
        <v>0</v>
      </c>
      <c r="L1963">
        <v>10</v>
      </c>
      <c r="M1963">
        <v>1</v>
      </c>
      <c r="N1963" s="21">
        <f t="shared" si="233"/>
        <v>390000</v>
      </c>
      <c r="O1963">
        <v>0</v>
      </c>
      <c r="P1963">
        <v>0</v>
      </c>
      <c r="Q1963" s="21">
        <f t="shared" si="227"/>
        <v>0</v>
      </c>
      <c r="R1963">
        <v>0</v>
      </c>
      <c r="S1963">
        <v>0</v>
      </c>
      <c r="T1963" s="21">
        <f t="shared" si="228"/>
        <v>0</v>
      </c>
      <c r="U1963">
        <v>0</v>
      </c>
      <c r="V1963">
        <v>0</v>
      </c>
      <c r="W1963" s="21">
        <f t="shared" si="229"/>
        <v>0</v>
      </c>
      <c r="X1963">
        <v>0</v>
      </c>
      <c r="Y1963">
        <v>0</v>
      </c>
      <c r="Z1963" s="21">
        <f t="shared" si="230"/>
        <v>0</v>
      </c>
      <c r="AA1963">
        <v>0</v>
      </c>
      <c r="AB1963">
        <v>0</v>
      </c>
      <c r="AC1963" s="21">
        <f t="shared" si="231"/>
        <v>0</v>
      </c>
      <c r="AD1963">
        <v>0</v>
      </c>
      <c r="AE1963">
        <v>0</v>
      </c>
      <c r="AF1963" s="21">
        <f t="shared" si="234"/>
        <v>0</v>
      </c>
    </row>
    <row r="1964" spans="1:32" ht="15" customHeight="1" x14ac:dyDescent="0.3">
      <c r="A1964">
        <v>4</v>
      </c>
      <c r="B1964" s="2" t="s">
        <v>697</v>
      </c>
      <c r="C1964" s="4" t="s">
        <v>693</v>
      </c>
      <c r="D1964" s="3" t="s">
        <v>669</v>
      </c>
      <c r="E1964" s="6" t="s">
        <v>100</v>
      </c>
      <c r="F1964" s="6" t="s">
        <v>513</v>
      </c>
      <c r="G1964" s="6" t="s">
        <v>712</v>
      </c>
      <c r="H1964" s="23">
        <v>214.29</v>
      </c>
      <c r="I1964">
        <v>0</v>
      </c>
      <c r="J1964">
        <v>0</v>
      </c>
      <c r="K1964" s="20">
        <f t="shared" si="232"/>
        <v>0</v>
      </c>
      <c r="L1964">
        <v>8000</v>
      </c>
      <c r="M1964">
        <v>1</v>
      </c>
      <c r="N1964" s="21">
        <f t="shared" si="233"/>
        <v>1714320</v>
      </c>
      <c r="O1964">
        <v>0</v>
      </c>
      <c r="P1964">
        <v>0</v>
      </c>
      <c r="Q1964" s="21">
        <f t="shared" si="227"/>
        <v>0</v>
      </c>
      <c r="R1964">
        <v>0</v>
      </c>
      <c r="S1964">
        <v>0</v>
      </c>
      <c r="T1964" s="21">
        <f t="shared" si="228"/>
        <v>0</v>
      </c>
      <c r="U1964">
        <v>0</v>
      </c>
      <c r="V1964">
        <v>0</v>
      </c>
      <c r="W1964" s="21">
        <f t="shared" si="229"/>
        <v>0</v>
      </c>
      <c r="X1964">
        <v>0</v>
      </c>
      <c r="Y1964">
        <v>0</v>
      </c>
      <c r="Z1964" s="21">
        <f t="shared" si="230"/>
        <v>0</v>
      </c>
      <c r="AA1964">
        <v>0</v>
      </c>
      <c r="AB1964">
        <v>0</v>
      </c>
      <c r="AC1964" s="21">
        <f t="shared" si="231"/>
        <v>0</v>
      </c>
      <c r="AD1964">
        <v>0</v>
      </c>
      <c r="AE1964">
        <v>0</v>
      </c>
      <c r="AF1964" s="21">
        <f t="shared" si="234"/>
        <v>0</v>
      </c>
    </row>
    <row r="1965" spans="1:32" ht="15" customHeight="1" x14ac:dyDescent="0.3">
      <c r="A1965">
        <v>4</v>
      </c>
      <c r="B1965" s="2" t="s">
        <v>697</v>
      </c>
      <c r="C1965" s="4" t="s">
        <v>693</v>
      </c>
      <c r="D1965" s="3" t="s">
        <v>669</v>
      </c>
      <c r="E1965" s="6" t="s">
        <v>100</v>
      </c>
      <c r="F1965" s="6" t="s">
        <v>514</v>
      </c>
      <c r="G1965" s="6" t="s">
        <v>709</v>
      </c>
      <c r="H1965" s="23">
        <v>28000</v>
      </c>
      <c r="I1965">
        <v>0</v>
      </c>
      <c r="J1965">
        <v>0</v>
      </c>
      <c r="K1965" s="20">
        <f t="shared" si="232"/>
        <v>0</v>
      </c>
      <c r="L1965">
        <v>30</v>
      </c>
      <c r="M1965">
        <v>1</v>
      </c>
      <c r="N1965" s="21">
        <f t="shared" si="233"/>
        <v>840000</v>
      </c>
      <c r="O1965">
        <v>0</v>
      </c>
      <c r="P1965">
        <v>0</v>
      </c>
      <c r="Q1965" s="21">
        <f t="shared" si="227"/>
        <v>0</v>
      </c>
      <c r="R1965">
        <v>0</v>
      </c>
      <c r="S1965">
        <v>0</v>
      </c>
      <c r="T1965" s="21">
        <f t="shared" si="228"/>
        <v>0</v>
      </c>
      <c r="U1965">
        <v>0</v>
      </c>
      <c r="V1965">
        <v>0</v>
      </c>
      <c r="W1965" s="21">
        <f t="shared" si="229"/>
        <v>0</v>
      </c>
      <c r="X1965">
        <v>0</v>
      </c>
      <c r="Y1965">
        <v>0</v>
      </c>
      <c r="Z1965" s="21">
        <f t="shared" si="230"/>
        <v>0</v>
      </c>
      <c r="AA1965">
        <v>0</v>
      </c>
      <c r="AB1965">
        <v>0</v>
      </c>
      <c r="AC1965" s="21">
        <f t="shared" si="231"/>
        <v>0</v>
      </c>
      <c r="AD1965">
        <v>0</v>
      </c>
      <c r="AE1965">
        <v>0</v>
      </c>
      <c r="AF1965" s="21">
        <f t="shared" si="234"/>
        <v>0</v>
      </c>
    </row>
    <row r="1966" spans="1:32" ht="15" customHeight="1" x14ac:dyDescent="0.3">
      <c r="A1966">
        <v>4</v>
      </c>
      <c r="B1966" s="2" t="s">
        <v>697</v>
      </c>
      <c r="C1966" s="4" t="s">
        <v>693</v>
      </c>
      <c r="D1966" s="3" t="s">
        <v>669</v>
      </c>
      <c r="E1966" s="6" t="s">
        <v>100</v>
      </c>
      <c r="F1966" s="6" t="s">
        <v>515</v>
      </c>
      <c r="G1966" s="6" t="s">
        <v>709</v>
      </c>
      <c r="H1966" s="23">
        <v>28000</v>
      </c>
      <c r="I1966">
        <v>0</v>
      </c>
      <c r="J1966">
        <v>0</v>
      </c>
      <c r="K1966" s="20">
        <f t="shared" si="232"/>
        <v>0</v>
      </c>
      <c r="L1966">
        <v>20</v>
      </c>
      <c r="M1966">
        <v>1</v>
      </c>
      <c r="N1966" s="21">
        <f t="shared" si="233"/>
        <v>560000</v>
      </c>
      <c r="O1966">
        <v>0</v>
      </c>
      <c r="P1966">
        <v>0</v>
      </c>
      <c r="Q1966" s="21">
        <f t="shared" si="227"/>
        <v>0</v>
      </c>
      <c r="R1966">
        <v>0</v>
      </c>
      <c r="S1966">
        <v>0</v>
      </c>
      <c r="T1966" s="21">
        <f t="shared" si="228"/>
        <v>0</v>
      </c>
      <c r="U1966">
        <v>0</v>
      </c>
      <c r="V1966">
        <v>0</v>
      </c>
      <c r="W1966" s="21">
        <f t="shared" si="229"/>
        <v>0</v>
      </c>
      <c r="X1966">
        <v>0</v>
      </c>
      <c r="Y1966">
        <v>0</v>
      </c>
      <c r="Z1966" s="21">
        <f t="shared" si="230"/>
        <v>0</v>
      </c>
      <c r="AA1966">
        <v>0</v>
      </c>
      <c r="AB1966">
        <v>0</v>
      </c>
      <c r="AC1966" s="21">
        <f t="shared" si="231"/>
        <v>0</v>
      </c>
      <c r="AD1966">
        <v>0</v>
      </c>
      <c r="AE1966">
        <v>0</v>
      </c>
      <c r="AF1966" s="21">
        <f t="shared" si="234"/>
        <v>0</v>
      </c>
    </row>
    <row r="1967" spans="1:32" ht="15" customHeight="1" x14ac:dyDescent="0.3">
      <c r="A1967">
        <v>4</v>
      </c>
      <c r="B1967" s="2" t="s">
        <v>697</v>
      </c>
      <c r="C1967" s="4" t="s">
        <v>693</v>
      </c>
      <c r="D1967" s="3" t="s">
        <v>669</v>
      </c>
      <c r="E1967" s="6" t="s">
        <v>100</v>
      </c>
      <c r="F1967" s="6" t="s">
        <v>516</v>
      </c>
      <c r="G1967" s="6" t="s">
        <v>718</v>
      </c>
      <c r="H1967" s="23">
        <v>0</v>
      </c>
      <c r="I1967">
        <v>0</v>
      </c>
      <c r="J1967">
        <v>0</v>
      </c>
      <c r="K1967" s="20">
        <f t="shared" si="232"/>
        <v>0</v>
      </c>
      <c r="L1967">
        <v>0</v>
      </c>
      <c r="M1967">
        <v>0</v>
      </c>
      <c r="N1967" s="21">
        <f t="shared" si="233"/>
        <v>0</v>
      </c>
      <c r="O1967">
        <v>0</v>
      </c>
      <c r="P1967">
        <v>0</v>
      </c>
      <c r="Q1967" s="21">
        <f t="shared" si="227"/>
        <v>0</v>
      </c>
      <c r="R1967">
        <v>0</v>
      </c>
      <c r="S1967">
        <v>0</v>
      </c>
      <c r="T1967" s="21">
        <f t="shared" si="228"/>
        <v>0</v>
      </c>
      <c r="U1967">
        <v>0</v>
      </c>
      <c r="V1967">
        <v>0</v>
      </c>
      <c r="W1967" s="21">
        <f t="shared" si="229"/>
        <v>0</v>
      </c>
      <c r="X1967">
        <v>0</v>
      </c>
      <c r="Y1967">
        <v>0</v>
      </c>
      <c r="Z1967" s="21">
        <f t="shared" si="230"/>
        <v>0</v>
      </c>
      <c r="AA1967">
        <v>0</v>
      </c>
      <c r="AB1967">
        <v>0</v>
      </c>
      <c r="AC1967" s="21">
        <f t="shared" si="231"/>
        <v>0</v>
      </c>
      <c r="AD1967">
        <v>0</v>
      </c>
      <c r="AE1967">
        <v>0</v>
      </c>
      <c r="AF1967" s="21">
        <f t="shared" si="234"/>
        <v>0</v>
      </c>
    </row>
    <row r="1968" spans="1:32" ht="15" customHeight="1" x14ac:dyDescent="0.3">
      <c r="A1968">
        <v>4</v>
      </c>
      <c r="B1968" s="2" t="s">
        <v>697</v>
      </c>
      <c r="C1968" s="4" t="s">
        <v>693</v>
      </c>
      <c r="D1968" s="3" t="s">
        <v>669</v>
      </c>
      <c r="E1968" s="6" t="s">
        <v>101</v>
      </c>
      <c r="F1968" s="6" t="s">
        <v>517</v>
      </c>
      <c r="G1968" s="6" t="s">
        <v>718</v>
      </c>
      <c r="H1968" s="23">
        <v>0</v>
      </c>
      <c r="I1968">
        <v>0</v>
      </c>
      <c r="J1968">
        <v>0</v>
      </c>
      <c r="K1968" s="20">
        <f t="shared" si="232"/>
        <v>0</v>
      </c>
      <c r="L1968">
        <v>0</v>
      </c>
      <c r="M1968">
        <v>0</v>
      </c>
      <c r="N1968" s="21">
        <f t="shared" si="233"/>
        <v>0</v>
      </c>
      <c r="O1968">
        <v>0</v>
      </c>
      <c r="P1968">
        <v>0</v>
      </c>
      <c r="Q1968" s="21">
        <f t="shared" si="227"/>
        <v>0</v>
      </c>
      <c r="R1968">
        <v>0</v>
      </c>
      <c r="S1968">
        <v>0</v>
      </c>
      <c r="T1968" s="21">
        <f t="shared" si="228"/>
        <v>0</v>
      </c>
      <c r="U1968">
        <v>0</v>
      </c>
      <c r="V1968">
        <v>0</v>
      </c>
      <c r="W1968" s="21">
        <f t="shared" si="229"/>
        <v>0</v>
      </c>
      <c r="X1968">
        <v>0</v>
      </c>
      <c r="Y1968">
        <v>0</v>
      </c>
      <c r="Z1968" s="21">
        <f t="shared" si="230"/>
        <v>0</v>
      </c>
      <c r="AA1968">
        <v>0</v>
      </c>
      <c r="AB1968">
        <v>0</v>
      </c>
      <c r="AC1968" s="21">
        <f t="shared" si="231"/>
        <v>0</v>
      </c>
      <c r="AD1968">
        <v>0</v>
      </c>
      <c r="AE1968">
        <v>0</v>
      </c>
      <c r="AF1968" s="21">
        <f t="shared" si="234"/>
        <v>0</v>
      </c>
    </row>
    <row r="1969" spans="1:32" ht="15" customHeight="1" x14ac:dyDescent="0.3">
      <c r="A1969">
        <v>4</v>
      </c>
      <c r="B1969" s="2" t="s">
        <v>697</v>
      </c>
      <c r="C1969" s="4" t="s">
        <v>693</v>
      </c>
      <c r="D1969" s="3" t="s">
        <v>669</v>
      </c>
      <c r="E1969" s="6" t="s">
        <v>101</v>
      </c>
      <c r="F1969" s="6" t="s">
        <v>164</v>
      </c>
      <c r="G1969" s="6" t="s">
        <v>718</v>
      </c>
      <c r="H1969" s="23">
        <v>0</v>
      </c>
      <c r="I1969">
        <v>0</v>
      </c>
      <c r="J1969">
        <v>0</v>
      </c>
      <c r="K1969" s="20">
        <f t="shared" si="232"/>
        <v>0</v>
      </c>
      <c r="L1969">
        <v>0</v>
      </c>
      <c r="M1969">
        <v>0</v>
      </c>
      <c r="N1969" s="21">
        <f t="shared" si="233"/>
        <v>0</v>
      </c>
      <c r="O1969">
        <v>0</v>
      </c>
      <c r="P1969">
        <v>0</v>
      </c>
      <c r="Q1969" s="21">
        <f t="shared" si="227"/>
        <v>0</v>
      </c>
      <c r="R1969">
        <v>0</v>
      </c>
      <c r="S1969">
        <v>0</v>
      </c>
      <c r="T1969" s="21">
        <f t="shared" si="228"/>
        <v>0</v>
      </c>
      <c r="U1969">
        <v>0</v>
      </c>
      <c r="V1969">
        <v>0</v>
      </c>
      <c r="W1969" s="21">
        <f t="shared" si="229"/>
        <v>0</v>
      </c>
      <c r="X1969">
        <v>0</v>
      </c>
      <c r="Y1969">
        <v>0</v>
      </c>
      <c r="Z1969" s="21">
        <f t="shared" si="230"/>
        <v>0</v>
      </c>
      <c r="AA1969">
        <v>0</v>
      </c>
      <c r="AB1969">
        <v>0</v>
      </c>
      <c r="AC1969" s="21">
        <f t="shared" si="231"/>
        <v>0</v>
      </c>
      <c r="AD1969">
        <v>0</v>
      </c>
      <c r="AE1969">
        <v>0</v>
      </c>
      <c r="AF1969" s="21">
        <f t="shared" si="234"/>
        <v>0</v>
      </c>
    </row>
    <row r="1970" spans="1:32" ht="15" customHeight="1" x14ac:dyDescent="0.3">
      <c r="A1970">
        <v>4</v>
      </c>
      <c r="B1970" s="2" t="s">
        <v>697</v>
      </c>
      <c r="C1970" s="4" t="s">
        <v>693</v>
      </c>
      <c r="D1970" s="3" t="s">
        <v>669</v>
      </c>
      <c r="E1970" s="6" t="s">
        <v>101</v>
      </c>
      <c r="F1970" s="6" t="s">
        <v>149</v>
      </c>
      <c r="G1970" s="6" t="s">
        <v>707</v>
      </c>
      <c r="H1970" s="23">
        <v>391991.03749999998</v>
      </c>
      <c r="I1970">
        <v>1</v>
      </c>
      <c r="J1970">
        <v>4</v>
      </c>
      <c r="K1970" s="20">
        <f t="shared" si="232"/>
        <v>1567964.15</v>
      </c>
      <c r="L1970">
        <v>1</v>
      </c>
      <c r="M1970">
        <v>4</v>
      </c>
      <c r="N1970" s="21">
        <f t="shared" si="233"/>
        <v>1567964.15</v>
      </c>
      <c r="O1970">
        <v>0</v>
      </c>
      <c r="P1970">
        <v>0</v>
      </c>
      <c r="Q1970" s="21">
        <f t="shared" si="227"/>
        <v>0</v>
      </c>
      <c r="R1970">
        <v>0</v>
      </c>
      <c r="S1970">
        <v>0</v>
      </c>
      <c r="T1970" s="21">
        <f t="shared" si="228"/>
        <v>0</v>
      </c>
      <c r="U1970">
        <v>0</v>
      </c>
      <c r="V1970">
        <v>0</v>
      </c>
      <c r="W1970" s="21">
        <f t="shared" si="229"/>
        <v>0</v>
      </c>
      <c r="X1970">
        <v>0</v>
      </c>
      <c r="Y1970">
        <v>0</v>
      </c>
      <c r="Z1970" s="21">
        <f t="shared" si="230"/>
        <v>0</v>
      </c>
      <c r="AA1970">
        <v>0</v>
      </c>
      <c r="AB1970">
        <v>0</v>
      </c>
      <c r="AC1970" s="21">
        <f t="shared" si="231"/>
        <v>0</v>
      </c>
      <c r="AD1970">
        <v>0</v>
      </c>
      <c r="AE1970">
        <v>0</v>
      </c>
      <c r="AF1970" s="21">
        <f t="shared" si="234"/>
        <v>0</v>
      </c>
    </row>
    <row r="1971" spans="1:32" ht="15" customHeight="1" x14ac:dyDescent="0.3">
      <c r="A1971">
        <v>4</v>
      </c>
      <c r="B1971" s="2" t="s">
        <v>697</v>
      </c>
      <c r="C1971" s="4" t="s">
        <v>693</v>
      </c>
      <c r="D1971" s="3" t="s">
        <v>669</v>
      </c>
      <c r="E1971" s="6" t="s">
        <v>101</v>
      </c>
      <c r="F1971" s="6" t="s">
        <v>149</v>
      </c>
      <c r="G1971" s="6" t="s">
        <v>708</v>
      </c>
      <c r="H1971" s="23">
        <v>425000</v>
      </c>
      <c r="I1971">
        <v>1</v>
      </c>
      <c r="J1971">
        <v>40</v>
      </c>
      <c r="K1971" s="20">
        <f t="shared" si="232"/>
        <v>17000000</v>
      </c>
      <c r="L1971">
        <v>1</v>
      </c>
      <c r="M1971">
        <v>40</v>
      </c>
      <c r="N1971" s="21">
        <f t="shared" si="233"/>
        <v>17000000</v>
      </c>
      <c r="O1971">
        <v>0</v>
      </c>
      <c r="P1971">
        <v>0</v>
      </c>
      <c r="Q1971" s="21">
        <f t="shared" si="227"/>
        <v>0</v>
      </c>
      <c r="R1971">
        <v>0</v>
      </c>
      <c r="S1971">
        <v>0</v>
      </c>
      <c r="T1971" s="21">
        <f t="shared" si="228"/>
        <v>0</v>
      </c>
      <c r="U1971">
        <v>0</v>
      </c>
      <c r="V1971">
        <v>0</v>
      </c>
      <c r="W1971" s="21">
        <f t="shared" si="229"/>
        <v>0</v>
      </c>
      <c r="X1971">
        <v>0</v>
      </c>
      <c r="Y1971">
        <v>0</v>
      </c>
      <c r="Z1971" s="21">
        <f t="shared" si="230"/>
        <v>0</v>
      </c>
      <c r="AA1971">
        <v>0</v>
      </c>
      <c r="AB1971">
        <v>0</v>
      </c>
      <c r="AC1971" s="21">
        <f t="shared" si="231"/>
        <v>0</v>
      </c>
      <c r="AD1971">
        <v>0</v>
      </c>
      <c r="AE1971">
        <v>0</v>
      </c>
      <c r="AF1971" s="21">
        <f t="shared" si="234"/>
        <v>0</v>
      </c>
    </row>
    <row r="1972" spans="1:32" ht="15" customHeight="1" x14ac:dyDescent="0.3">
      <c r="A1972">
        <v>4</v>
      </c>
      <c r="B1972" s="2" t="s">
        <v>697</v>
      </c>
      <c r="C1972" s="4" t="s">
        <v>693</v>
      </c>
      <c r="D1972" s="3" t="s">
        <v>669</v>
      </c>
      <c r="E1972" s="6" t="s">
        <v>101</v>
      </c>
      <c r="F1972" s="6" t="s">
        <v>519</v>
      </c>
      <c r="G1972" s="6" t="s">
        <v>716</v>
      </c>
      <c r="H1972" s="23">
        <v>39000</v>
      </c>
      <c r="I1972">
        <v>20</v>
      </c>
      <c r="J1972">
        <v>5</v>
      </c>
      <c r="K1972" s="20">
        <f t="shared" si="232"/>
        <v>3900000</v>
      </c>
      <c r="L1972">
        <v>20</v>
      </c>
      <c r="M1972">
        <v>5</v>
      </c>
      <c r="N1972" s="21">
        <f t="shared" si="233"/>
        <v>3900000</v>
      </c>
      <c r="O1972">
        <v>0</v>
      </c>
      <c r="P1972">
        <v>0</v>
      </c>
      <c r="Q1972" s="21">
        <f t="shared" si="227"/>
        <v>0</v>
      </c>
      <c r="R1972">
        <v>0</v>
      </c>
      <c r="S1972">
        <v>0</v>
      </c>
      <c r="T1972" s="21">
        <f t="shared" si="228"/>
        <v>0</v>
      </c>
      <c r="U1972">
        <v>0</v>
      </c>
      <c r="V1972">
        <v>0</v>
      </c>
      <c r="W1972" s="21">
        <f t="shared" si="229"/>
        <v>0</v>
      </c>
      <c r="X1972">
        <v>0</v>
      </c>
      <c r="Y1972">
        <v>0</v>
      </c>
      <c r="Z1972" s="21">
        <f t="shared" si="230"/>
        <v>0</v>
      </c>
      <c r="AA1972">
        <v>0</v>
      </c>
      <c r="AB1972">
        <v>0</v>
      </c>
      <c r="AC1972" s="21">
        <f t="shared" si="231"/>
        <v>0</v>
      </c>
      <c r="AD1972">
        <v>0</v>
      </c>
      <c r="AE1972">
        <v>0</v>
      </c>
      <c r="AF1972" s="21">
        <f t="shared" si="234"/>
        <v>0</v>
      </c>
    </row>
    <row r="1973" spans="1:32" ht="15" customHeight="1" x14ac:dyDescent="0.3">
      <c r="A1973">
        <v>4</v>
      </c>
      <c r="B1973" s="2" t="s">
        <v>697</v>
      </c>
      <c r="C1973" s="4" t="s">
        <v>693</v>
      </c>
      <c r="D1973" s="3" t="s">
        <v>669</v>
      </c>
      <c r="E1973" s="6" t="s">
        <v>101</v>
      </c>
      <c r="F1973" s="6" t="s">
        <v>519</v>
      </c>
      <c r="G1973" s="6" t="s">
        <v>709</v>
      </c>
      <c r="H1973" s="23">
        <v>28000</v>
      </c>
      <c r="I1973">
        <v>20</v>
      </c>
      <c r="J1973">
        <v>5</v>
      </c>
      <c r="K1973" s="20">
        <f t="shared" si="232"/>
        <v>2800000</v>
      </c>
      <c r="L1973">
        <v>20</v>
      </c>
      <c r="M1973">
        <v>5</v>
      </c>
      <c r="N1973" s="21">
        <f t="shared" si="233"/>
        <v>2800000</v>
      </c>
      <c r="O1973">
        <v>0</v>
      </c>
      <c r="P1973">
        <v>0</v>
      </c>
      <c r="Q1973" s="21">
        <f t="shared" si="227"/>
        <v>0</v>
      </c>
      <c r="R1973">
        <v>0</v>
      </c>
      <c r="S1973">
        <v>0</v>
      </c>
      <c r="T1973" s="21">
        <f t="shared" si="228"/>
        <v>0</v>
      </c>
      <c r="U1973">
        <v>0</v>
      </c>
      <c r="V1973">
        <v>0</v>
      </c>
      <c r="W1973" s="21">
        <f t="shared" si="229"/>
        <v>0</v>
      </c>
      <c r="X1973">
        <v>0</v>
      </c>
      <c r="Y1973">
        <v>0</v>
      </c>
      <c r="Z1973" s="21">
        <f t="shared" si="230"/>
        <v>0</v>
      </c>
      <c r="AA1973">
        <v>0</v>
      </c>
      <c r="AB1973">
        <v>0</v>
      </c>
      <c r="AC1973" s="21">
        <f t="shared" si="231"/>
        <v>0</v>
      </c>
      <c r="AD1973">
        <v>0</v>
      </c>
      <c r="AE1973">
        <v>0</v>
      </c>
      <c r="AF1973" s="21">
        <f t="shared" si="234"/>
        <v>0</v>
      </c>
    </row>
    <row r="1974" spans="1:32" ht="15" customHeight="1" x14ac:dyDescent="0.3">
      <c r="A1974">
        <v>4</v>
      </c>
      <c r="B1974" s="2" t="s">
        <v>697</v>
      </c>
      <c r="C1974" s="4" t="s">
        <v>693</v>
      </c>
      <c r="D1974" s="3" t="s">
        <v>669</v>
      </c>
      <c r="E1974" s="6" t="s">
        <v>101</v>
      </c>
      <c r="F1974" s="6" t="s">
        <v>519</v>
      </c>
      <c r="G1974" s="6" t="s">
        <v>712</v>
      </c>
      <c r="H1974" s="23">
        <v>214.29</v>
      </c>
      <c r="I1974">
        <v>8000</v>
      </c>
      <c r="J1974">
        <v>1</v>
      </c>
      <c r="K1974" s="20">
        <f t="shared" si="232"/>
        <v>1714320</v>
      </c>
      <c r="L1974">
        <v>8000</v>
      </c>
      <c r="M1974">
        <v>1</v>
      </c>
      <c r="N1974" s="21">
        <f t="shared" si="233"/>
        <v>1714320</v>
      </c>
      <c r="O1974">
        <v>0</v>
      </c>
      <c r="P1974">
        <v>0</v>
      </c>
      <c r="Q1974" s="21">
        <f t="shared" si="227"/>
        <v>0</v>
      </c>
      <c r="R1974">
        <v>0</v>
      </c>
      <c r="S1974">
        <v>0</v>
      </c>
      <c r="T1974" s="21">
        <f t="shared" si="228"/>
        <v>0</v>
      </c>
      <c r="U1974">
        <v>0</v>
      </c>
      <c r="V1974">
        <v>0</v>
      </c>
      <c r="W1974" s="21">
        <f t="shared" si="229"/>
        <v>0</v>
      </c>
      <c r="X1974">
        <v>0</v>
      </c>
      <c r="Y1974">
        <v>0</v>
      </c>
      <c r="Z1974" s="21">
        <f t="shared" si="230"/>
        <v>0</v>
      </c>
      <c r="AA1974">
        <v>0</v>
      </c>
      <c r="AB1974">
        <v>0</v>
      </c>
      <c r="AC1974" s="21">
        <f t="shared" si="231"/>
        <v>0</v>
      </c>
      <c r="AD1974">
        <v>0</v>
      </c>
      <c r="AE1974">
        <v>0</v>
      </c>
      <c r="AF1974" s="21">
        <f t="shared" si="234"/>
        <v>0</v>
      </c>
    </row>
    <row r="1975" spans="1:32" ht="15" customHeight="1" x14ac:dyDescent="0.3">
      <c r="A1975">
        <v>4</v>
      </c>
      <c r="B1975" s="2" t="s">
        <v>697</v>
      </c>
      <c r="C1975" s="4" t="s">
        <v>693</v>
      </c>
      <c r="D1975" s="3" t="s">
        <v>669</v>
      </c>
      <c r="E1975" s="6" t="s">
        <v>101</v>
      </c>
      <c r="F1975" s="6" t="s">
        <v>520</v>
      </c>
      <c r="G1975" s="6" t="s">
        <v>718</v>
      </c>
      <c r="H1975" s="23">
        <v>0</v>
      </c>
      <c r="I1975">
        <v>0</v>
      </c>
      <c r="J1975">
        <v>0</v>
      </c>
      <c r="K1975" s="20">
        <f t="shared" si="232"/>
        <v>0</v>
      </c>
      <c r="L1975">
        <v>0</v>
      </c>
      <c r="M1975">
        <v>0</v>
      </c>
      <c r="N1975" s="21">
        <f t="shared" si="233"/>
        <v>0</v>
      </c>
      <c r="O1975">
        <v>0</v>
      </c>
      <c r="P1975">
        <v>0</v>
      </c>
      <c r="Q1975" s="21">
        <f t="shared" si="227"/>
        <v>0</v>
      </c>
      <c r="R1975">
        <v>0</v>
      </c>
      <c r="S1975">
        <v>0</v>
      </c>
      <c r="T1975" s="21">
        <f t="shared" si="228"/>
        <v>0</v>
      </c>
      <c r="U1975">
        <v>0</v>
      </c>
      <c r="V1975">
        <v>0</v>
      </c>
      <c r="W1975" s="21">
        <f t="shared" si="229"/>
        <v>0</v>
      </c>
      <c r="X1975">
        <v>0</v>
      </c>
      <c r="Y1975">
        <v>0</v>
      </c>
      <c r="Z1975" s="21">
        <f t="shared" si="230"/>
        <v>0</v>
      </c>
      <c r="AA1975">
        <v>0</v>
      </c>
      <c r="AB1975">
        <v>0</v>
      </c>
      <c r="AC1975" s="21">
        <f t="shared" si="231"/>
        <v>0</v>
      </c>
      <c r="AD1975">
        <v>0</v>
      </c>
      <c r="AE1975">
        <v>0</v>
      </c>
      <c r="AF1975" s="21">
        <f t="shared" si="234"/>
        <v>0</v>
      </c>
    </row>
    <row r="1976" spans="1:32" ht="15" customHeight="1" x14ac:dyDescent="0.3">
      <c r="A1976">
        <v>4</v>
      </c>
      <c r="B1976" s="2" t="s">
        <v>697</v>
      </c>
      <c r="C1976" s="4" t="s">
        <v>693</v>
      </c>
      <c r="D1976" s="3" t="s">
        <v>670</v>
      </c>
      <c r="E1976" s="6" t="s">
        <v>102</v>
      </c>
      <c r="F1976" s="6" t="s">
        <v>521</v>
      </c>
      <c r="G1976" s="6" t="s">
        <v>787</v>
      </c>
      <c r="H1976" s="23">
        <v>65334760</v>
      </c>
      <c r="I1976">
        <v>0</v>
      </c>
      <c r="J1976">
        <v>0</v>
      </c>
      <c r="K1976" s="20">
        <f t="shared" si="232"/>
        <v>0</v>
      </c>
      <c r="L1976">
        <v>1</v>
      </c>
      <c r="M1976">
        <v>1</v>
      </c>
      <c r="N1976" s="21">
        <f t="shared" si="233"/>
        <v>65334760</v>
      </c>
      <c r="O1976">
        <v>1</v>
      </c>
      <c r="P1976">
        <v>1</v>
      </c>
      <c r="Q1976" s="21">
        <f t="shared" si="227"/>
        <v>65334760</v>
      </c>
      <c r="R1976">
        <v>1</v>
      </c>
      <c r="S1976">
        <v>1</v>
      </c>
      <c r="T1976" s="21">
        <f t="shared" si="228"/>
        <v>65334760</v>
      </c>
      <c r="U1976">
        <v>1</v>
      </c>
      <c r="V1976">
        <v>1</v>
      </c>
      <c r="W1976" s="21">
        <f t="shared" si="229"/>
        <v>65334760</v>
      </c>
      <c r="X1976">
        <v>0</v>
      </c>
      <c r="Y1976">
        <v>0</v>
      </c>
      <c r="Z1976" s="21">
        <f t="shared" si="230"/>
        <v>0</v>
      </c>
      <c r="AA1976">
        <v>0</v>
      </c>
      <c r="AB1976">
        <v>0</v>
      </c>
      <c r="AC1976" s="21">
        <f t="shared" si="231"/>
        <v>0</v>
      </c>
      <c r="AD1976">
        <v>0</v>
      </c>
      <c r="AE1976">
        <v>0</v>
      </c>
      <c r="AF1976" s="21">
        <f t="shared" si="234"/>
        <v>0</v>
      </c>
    </row>
    <row r="1977" spans="1:32" ht="15" customHeight="1" x14ac:dyDescent="0.3">
      <c r="A1977">
        <v>4</v>
      </c>
      <c r="B1977" s="2" t="s">
        <v>697</v>
      </c>
      <c r="C1977" s="4" t="s">
        <v>693</v>
      </c>
      <c r="D1977" s="3" t="s">
        <v>670</v>
      </c>
      <c r="E1977" s="6" t="s">
        <v>103</v>
      </c>
      <c r="F1977" s="6" t="s">
        <v>522</v>
      </c>
      <c r="G1977" s="6" t="s">
        <v>718</v>
      </c>
      <c r="H1977" s="23">
        <v>0</v>
      </c>
      <c r="I1977">
        <v>0</v>
      </c>
      <c r="J1977">
        <v>0</v>
      </c>
      <c r="K1977" s="20">
        <f t="shared" si="232"/>
        <v>0</v>
      </c>
      <c r="L1977">
        <v>0</v>
      </c>
      <c r="M1977">
        <v>0</v>
      </c>
      <c r="N1977" s="21">
        <f t="shared" si="233"/>
        <v>0</v>
      </c>
      <c r="O1977">
        <v>0</v>
      </c>
      <c r="P1977">
        <v>0</v>
      </c>
      <c r="Q1977" s="21">
        <f t="shared" si="227"/>
        <v>0</v>
      </c>
      <c r="R1977">
        <v>0</v>
      </c>
      <c r="S1977">
        <v>0</v>
      </c>
      <c r="T1977" s="21">
        <f t="shared" si="228"/>
        <v>0</v>
      </c>
      <c r="U1977">
        <v>0</v>
      </c>
      <c r="V1977">
        <v>0</v>
      </c>
      <c r="W1977" s="21">
        <f t="shared" si="229"/>
        <v>0</v>
      </c>
      <c r="X1977">
        <v>0</v>
      </c>
      <c r="Y1977">
        <v>0</v>
      </c>
      <c r="Z1977" s="21">
        <f t="shared" si="230"/>
        <v>0</v>
      </c>
      <c r="AA1977">
        <v>0</v>
      </c>
      <c r="AB1977">
        <v>0</v>
      </c>
      <c r="AC1977" s="21">
        <f t="shared" si="231"/>
        <v>0</v>
      </c>
      <c r="AD1977">
        <v>0</v>
      </c>
      <c r="AE1977">
        <v>0</v>
      </c>
      <c r="AF1977" s="21">
        <f t="shared" si="234"/>
        <v>0</v>
      </c>
    </row>
    <row r="1978" spans="1:32" ht="15" customHeight="1" x14ac:dyDescent="0.3">
      <c r="A1978">
        <v>4</v>
      </c>
      <c r="B1978" s="2" t="s">
        <v>697</v>
      </c>
      <c r="C1978" s="4" t="s">
        <v>693</v>
      </c>
      <c r="D1978" s="3" t="s">
        <v>670</v>
      </c>
      <c r="E1978" s="6" t="s">
        <v>103</v>
      </c>
      <c r="F1978" s="6" t="s">
        <v>523</v>
      </c>
      <c r="G1978" s="6" t="s">
        <v>718</v>
      </c>
      <c r="H1978" s="23">
        <v>0</v>
      </c>
      <c r="I1978">
        <v>0</v>
      </c>
      <c r="J1978">
        <v>0</v>
      </c>
      <c r="K1978" s="20">
        <f t="shared" si="232"/>
        <v>0</v>
      </c>
      <c r="L1978">
        <v>0</v>
      </c>
      <c r="M1978">
        <v>0</v>
      </c>
      <c r="N1978" s="21">
        <f t="shared" si="233"/>
        <v>0</v>
      </c>
      <c r="O1978">
        <v>0</v>
      </c>
      <c r="P1978">
        <v>0</v>
      </c>
      <c r="Q1978" s="21">
        <f t="shared" si="227"/>
        <v>0</v>
      </c>
      <c r="R1978">
        <v>0</v>
      </c>
      <c r="S1978">
        <v>0</v>
      </c>
      <c r="T1978" s="21">
        <f t="shared" si="228"/>
        <v>0</v>
      </c>
      <c r="U1978">
        <v>0</v>
      </c>
      <c r="V1978">
        <v>0</v>
      </c>
      <c r="W1978" s="21">
        <f t="shared" si="229"/>
        <v>0</v>
      </c>
      <c r="X1978">
        <v>0</v>
      </c>
      <c r="Y1978">
        <v>0</v>
      </c>
      <c r="Z1978" s="21">
        <f t="shared" si="230"/>
        <v>0</v>
      </c>
      <c r="AA1978">
        <v>0</v>
      </c>
      <c r="AB1978">
        <v>0</v>
      </c>
      <c r="AC1978" s="21">
        <f t="shared" si="231"/>
        <v>0</v>
      </c>
      <c r="AD1978">
        <v>0</v>
      </c>
      <c r="AE1978">
        <v>0</v>
      </c>
      <c r="AF1978" s="21">
        <f t="shared" si="234"/>
        <v>0</v>
      </c>
    </row>
    <row r="1979" spans="1:32" ht="15" customHeight="1" x14ac:dyDescent="0.3">
      <c r="A1979">
        <v>4</v>
      </c>
      <c r="B1979" s="2" t="s">
        <v>697</v>
      </c>
      <c r="C1979" s="4" t="s">
        <v>693</v>
      </c>
      <c r="D1979" s="3" t="s">
        <v>670</v>
      </c>
      <c r="E1979" s="6" t="s">
        <v>103</v>
      </c>
      <c r="F1979" s="6" t="s">
        <v>524</v>
      </c>
      <c r="G1979" s="6" t="s">
        <v>718</v>
      </c>
      <c r="H1979" s="23">
        <v>0</v>
      </c>
      <c r="I1979">
        <v>0</v>
      </c>
      <c r="J1979">
        <v>0</v>
      </c>
      <c r="K1979" s="20">
        <f t="shared" si="232"/>
        <v>0</v>
      </c>
      <c r="L1979">
        <v>0</v>
      </c>
      <c r="M1979">
        <v>0</v>
      </c>
      <c r="N1979" s="21">
        <f t="shared" si="233"/>
        <v>0</v>
      </c>
      <c r="O1979">
        <v>0</v>
      </c>
      <c r="P1979">
        <v>0</v>
      </c>
      <c r="Q1979" s="21">
        <f t="shared" si="227"/>
        <v>0</v>
      </c>
      <c r="R1979">
        <v>0</v>
      </c>
      <c r="S1979">
        <v>0</v>
      </c>
      <c r="T1979" s="21">
        <f t="shared" si="228"/>
        <v>0</v>
      </c>
      <c r="U1979">
        <v>0</v>
      </c>
      <c r="V1979">
        <v>0</v>
      </c>
      <c r="W1979" s="21">
        <f t="shared" si="229"/>
        <v>0</v>
      </c>
      <c r="X1979">
        <v>0</v>
      </c>
      <c r="Y1979">
        <v>0</v>
      </c>
      <c r="Z1979" s="21">
        <f t="shared" si="230"/>
        <v>0</v>
      </c>
      <c r="AA1979">
        <v>0</v>
      </c>
      <c r="AB1979">
        <v>0</v>
      </c>
      <c r="AC1979" s="21">
        <f t="shared" si="231"/>
        <v>0</v>
      </c>
      <c r="AD1979">
        <v>0</v>
      </c>
      <c r="AE1979">
        <v>0</v>
      </c>
      <c r="AF1979" s="21">
        <f t="shared" si="234"/>
        <v>0</v>
      </c>
    </row>
    <row r="1980" spans="1:32" ht="15" customHeight="1" x14ac:dyDescent="0.3">
      <c r="A1980">
        <v>4</v>
      </c>
      <c r="B1980" s="2" t="s">
        <v>697</v>
      </c>
      <c r="C1980" s="4" t="s">
        <v>693</v>
      </c>
      <c r="D1980" s="3" t="s">
        <v>670</v>
      </c>
      <c r="E1980" s="6" t="s">
        <v>104</v>
      </c>
      <c r="F1980" s="6" t="s">
        <v>525</v>
      </c>
      <c r="G1980" s="6" t="s">
        <v>718</v>
      </c>
      <c r="H1980" s="23">
        <v>0</v>
      </c>
      <c r="I1980">
        <v>0</v>
      </c>
      <c r="J1980">
        <v>0</v>
      </c>
      <c r="K1980" s="20">
        <f t="shared" si="232"/>
        <v>0</v>
      </c>
      <c r="L1980">
        <v>0</v>
      </c>
      <c r="M1980">
        <v>0</v>
      </c>
      <c r="N1980" s="21">
        <f t="shared" si="233"/>
        <v>0</v>
      </c>
      <c r="O1980">
        <v>0</v>
      </c>
      <c r="P1980">
        <v>0</v>
      </c>
      <c r="Q1980" s="21">
        <f t="shared" si="227"/>
        <v>0</v>
      </c>
      <c r="R1980">
        <v>0</v>
      </c>
      <c r="S1980">
        <v>0</v>
      </c>
      <c r="T1980" s="21">
        <f t="shared" si="228"/>
        <v>0</v>
      </c>
      <c r="U1980">
        <v>0</v>
      </c>
      <c r="V1980">
        <v>0</v>
      </c>
      <c r="W1980" s="21">
        <f t="shared" si="229"/>
        <v>0</v>
      </c>
      <c r="X1980">
        <v>0</v>
      </c>
      <c r="Y1980">
        <v>0</v>
      </c>
      <c r="Z1980" s="21">
        <f t="shared" si="230"/>
        <v>0</v>
      </c>
      <c r="AA1980">
        <v>0</v>
      </c>
      <c r="AB1980">
        <v>0</v>
      </c>
      <c r="AC1980" s="21">
        <f t="shared" si="231"/>
        <v>0</v>
      </c>
      <c r="AD1980">
        <v>0</v>
      </c>
      <c r="AE1980">
        <v>0</v>
      </c>
      <c r="AF1980" s="21">
        <f t="shared" si="234"/>
        <v>0</v>
      </c>
    </row>
    <row r="1981" spans="1:32" ht="15" customHeight="1" x14ac:dyDescent="0.3">
      <c r="A1981">
        <v>4</v>
      </c>
      <c r="B1981" s="2" t="s">
        <v>697</v>
      </c>
      <c r="C1981" s="4" t="s">
        <v>693</v>
      </c>
      <c r="D1981" s="3" t="s">
        <v>670</v>
      </c>
      <c r="E1981" s="6" t="s">
        <v>104</v>
      </c>
      <c r="F1981" s="6" t="s">
        <v>526</v>
      </c>
      <c r="G1981" s="6" t="s">
        <v>718</v>
      </c>
      <c r="H1981" s="23">
        <v>0</v>
      </c>
      <c r="I1981">
        <v>0</v>
      </c>
      <c r="J1981">
        <v>0</v>
      </c>
      <c r="K1981" s="20">
        <f t="shared" si="232"/>
        <v>0</v>
      </c>
      <c r="L1981">
        <v>0</v>
      </c>
      <c r="M1981">
        <v>0</v>
      </c>
      <c r="N1981" s="21">
        <f t="shared" si="233"/>
        <v>0</v>
      </c>
      <c r="O1981">
        <v>0</v>
      </c>
      <c r="P1981">
        <v>0</v>
      </c>
      <c r="Q1981" s="21">
        <f t="shared" ref="Q1981:Q2044" si="235">H1981*O1981*P1981</f>
        <v>0</v>
      </c>
      <c r="R1981">
        <v>0</v>
      </c>
      <c r="S1981">
        <v>0</v>
      </c>
      <c r="T1981" s="21">
        <f t="shared" ref="T1981:T2044" si="236">H1981*R1981*S1981</f>
        <v>0</v>
      </c>
      <c r="U1981">
        <v>0</v>
      </c>
      <c r="V1981">
        <v>0</v>
      </c>
      <c r="W1981" s="21">
        <f t="shared" ref="W1981:W2044" si="237">H1981*U1981*V1981</f>
        <v>0</v>
      </c>
      <c r="X1981">
        <v>0</v>
      </c>
      <c r="Y1981">
        <v>0</v>
      </c>
      <c r="Z1981" s="21">
        <f t="shared" ref="Z1981:Z2044" si="238">H1981*X1981*Y1981</f>
        <v>0</v>
      </c>
      <c r="AA1981">
        <v>0</v>
      </c>
      <c r="AB1981">
        <v>0</v>
      </c>
      <c r="AC1981" s="21">
        <f t="shared" ref="AC1981:AC2044" si="239">H1981*AA1981*AB1981</f>
        <v>0</v>
      </c>
      <c r="AD1981">
        <v>0</v>
      </c>
      <c r="AE1981">
        <v>0</v>
      </c>
      <c r="AF1981" s="21">
        <f t="shared" si="234"/>
        <v>0</v>
      </c>
    </row>
    <row r="1982" spans="1:32" ht="15" customHeight="1" x14ac:dyDescent="0.3">
      <c r="A1982">
        <v>4</v>
      </c>
      <c r="B1982" s="2" t="s">
        <v>697</v>
      </c>
      <c r="C1982" s="4" t="s">
        <v>693</v>
      </c>
      <c r="D1982" s="3" t="s">
        <v>670</v>
      </c>
      <c r="E1982" s="6" t="s">
        <v>104</v>
      </c>
      <c r="F1982" s="6" t="s">
        <v>527</v>
      </c>
      <c r="G1982" s="6" t="s">
        <v>718</v>
      </c>
      <c r="H1982" s="23">
        <v>0</v>
      </c>
      <c r="I1982">
        <v>0</v>
      </c>
      <c r="J1982">
        <v>0</v>
      </c>
      <c r="K1982" s="20">
        <f t="shared" si="232"/>
        <v>0</v>
      </c>
      <c r="L1982">
        <v>0</v>
      </c>
      <c r="M1982">
        <v>0</v>
      </c>
      <c r="N1982" s="21">
        <f t="shared" si="233"/>
        <v>0</v>
      </c>
      <c r="O1982">
        <v>0</v>
      </c>
      <c r="P1982">
        <v>0</v>
      </c>
      <c r="Q1982" s="21">
        <f t="shared" si="235"/>
        <v>0</v>
      </c>
      <c r="R1982">
        <v>0</v>
      </c>
      <c r="S1982">
        <v>0</v>
      </c>
      <c r="T1982" s="21">
        <f t="shared" si="236"/>
        <v>0</v>
      </c>
      <c r="U1982">
        <v>0</v>
      </c>
      <c r="V1982">
        <v>0</v>
      </c>
      <c r="W1982" s="21">
        <f t="shared" si="237"/>
        <v>0</v>
      </c>
      <c r="X1982">
        <v>0</v>
      </c>
      <c r="Y1982">
        <v>0</v>
      </c>
      <c r="Z1982" s="21">
        <f t="shared" si="238"/>
        <v>0</v>
      </c>
      <c r="AA1982">
        <v>0</v>
      </c>
      <c r="AB1982">
        <v>0</v>
      </c>
      <c r="AC1982" s="21">
        <f t="shared" si="239"/>
        <v>0</v>
      </c>
      <c r="AD1982">
        <v>0</v>
      </c>
      <c r="AE1982">
        <v>0</v>
      </c>
      <c r="AF1982" s="21">
        <f t="shared" si="234"/>
        <v>0</v>
      </c>
    </row>
    <row r="1983" spans="1:32" ht="15" customHeight="1" x14ac:dyDescent="0.3">
      <c r="A1983">
        <v>4</v>
      </c>
      <c r="B1983" s="2" t="s">
        <v>697</v>
      </c>
      <c r="C1983" s="4" t="s">
        <v>693</v>
      </c>
      <c r="D1983" s="3" t="s">
        <v>670</v>
      </c>
      <c r="E1983" s="6" t="s">
        <v>104</v>
      </c>
      <c r="F1983" s="6" t="s">
        <v>528</v>
      </c>
      <c r="G1983" s="6" t="s">
        <v>707</v>
      </c>
      <c r="H1983" s="23">
        <v>391991.03749999998</v>
      </c>
      <c r="I1983">
        <v>0</v>
      </c>
      <c r="J1983">
        <v>0</v>
      </c>
      <c r="K1983" s="20">
        <f t="shared" si="232"/>
        <v>0</v>
      </c>
      <c r="L1983">
        <v>1</v>
      </c>
      <c r="M1983">
        <v>4</v>
      </c>
      <c r="N1983" s="21">
        <f t="shared" si="233"/>
        <v>1567964.15</v>
      </c>
      <c r="O1983">
        <v>0</v>
      </c>
      <c r="P1983">
        <v>0</v>
      </c>
      <c r="Q1983" s="21">
        <f t="shared" si="235"/>
        <v>0</v>
      </c>
      <c r="R1983">
        <v>0</v>
      </c>
      <c r="S1983">
        <v>0</v>
      </c>
      <c r="T1983" s="21">
        <f t="shared" si="236"/>
        <v>0</v>
      </c>
      <c r="U1983">
        <v>0</v>
      </c>
      <c r="V1983">
        <v>0</v>
      </c>
      <c r="W1983" s="21">
        <f t="shared" si="237"/>
        <v>0</v>
      </c>
      <c r="X1983">
        <v>0</v>
      </c>
      <c r="Y1983">
        <v>0</v>
      </c>
      <c r="Z1983" s="21">
        <f t="shared" si="238"/>
        <v>0</v>
      </c>
      <c r="AA1983">
        <v>0</v>
      </c>
      <c r="AB1983">
        <v>0</v>
      </c>
      <c r="AC1983" s="21">
        <f t="shared" si="239"/>
        <v>0</v>
      </c>
      <c r="AD1983">
        <v>0</v>
      </c>
      <c r="AE1983">
        <v>0</v>
      </c>
      <c r="AF1983" s="21">
        <f t="shared" si="234"/>
        <v>0</v>
      </c>
    </row>
    <row r="1984" spans="1:32" ht="15" customHeight="1" x14ac:dyDescent="0.3">
      <c r="A1984">
        <v>4</v>
      </c>
      <c r="B1984" s="2" t="s">
        <v>697</v>
      </c>
      <c r="C1984" s="4" t="s">
        <v>693</v>
      </c>
      <c r="D1984" s="3" t="s">
        <v>670</v>
      </c>
      <c r="E1984" s="6" t="s">
        <v>104</v>
      </c>
      <c r="F1984" s="6" t="s">
        <v>528</v>
      </c>
      <c r="G1984" s="6" t="s">
        <v>720</v>
      </c>
      <c r="H1984" s="23">
        <v>442020</v>
      </c>
      <c r="I1984">
        <v>0</v>
      </c>
      <c r="J1984">
        <v>0</v>
      </c>
      <c r="K1984" s="20">
        <f t="shared" si="232"/>
        <v>0</v>
      </c>
      <c r="L1984">
        <v>1</v>
      </c>
      <c r="M1984">
        <v>40</v>
      </c>
      <c r="N1984" s="21">
        <f t="shared" si="233"/>
        <v>17680800</v>
      </c>
      <c r="O1984">
        <v>0</v>
      </c>
      <c r="P1984">
        <v>0</v>
      </c>
      <c r="Q1984" s="21">
        <f t="shared" si="235"/>
        <v>0</v>
      </c>
      <c r="R1984">
        <v>0</v>
      </c>
      <c r="S1984">
        <v>0</v>
      </c>
      <c r="T1984" s="21">
        <f t="shared" si="236"/>
        <v>0</v>
      </c>
      <c r="U1984">
        <v>0</v>
      </c>
      <c r="V1984">
        <v>0</v>
      </c>
      <c r="W1984" s="21">
        <f t="shared" si="237"/>
        <v>0</v>
      </c>
      <c r="X1984">
        <v>0</v>
      </c>
      <c r="Y1984">
        <v>0</v>
      </c>
      <c r="Z1984" s="21">
        <f t="shared" si="238"/>
        <v>0</v>
      </c>
      <c r="AA1984">
        <v>0</v>
      </c>
      <c r="AB1984">
        <v>0</v>
      </c>
      <c r="AC1984" s="21">
        <f t="shared" si="239"/>
        <v>0</v>
      </c>
      <c r="AD1984">
        <v>0</v>
      </c>
      <c r="AE1984">
        <v>0</v>
      </c>
      <c r="AF1984" s="21">
        <f t="shared" si="234"/>
        <v>0</v>
      </c>
    </row>
    <row r="1985" spans="1:32" ht="15" customHeight="1" x14ac:dyDescent="0.3">
      <c r="A1985">
        <v>4</v>
      </c>
      <c r="B1985" s="2" t="s">
        <v>697</v>
      </c>
      <c r="C1985" s="4" t="s">
        <v>693</v>
      </c>
      <c r="D1985" s="3" t="s">
        <v>670</v>
      </c>
      <c r="E1985" s="6" t="s">
        <v>104</v>
      </c>
      <c r="F1985" s="6" t="s">
        <v>179</v>
      </c>
      <c r="G1985" s="6" t="s">
        <v>713</v>
      </c>
      <c r="H1985" s="23">
        <v>45000</v>
      </c>
      <c r="I1985">
        <v>0</v>
      </c>
      <c r="J1985">
        <v>0</v>
      </c>
      <c r="K1985" s="20">
        <f t="shared" si="232"/>
        <v>0</v>
      </c>
      <c r="L1985">
        <v>15</v>
      </c>
      <c r="M1985">
        <v>10</v>
      </c>
      <c r="N1985" s="21">
        <f t="shared" si="233"/>
        <v>6750000</v>
      </c>
      <c r="O1985">
        <v>0</v>
      </c>
      <c r="P1985">
        <v>0</v>
      </c>
      <c r="Q1985" s="21">
        <f t="shared" si="235"/>
        <v>0</v>
      </c>
      <c r="R1985">
        <v>0</v>
      </c>
      <c r="S1985">
        <v>0</v>
      </c>
      <c r="T1985" s="21">
        <f t="shared" si="236"/>
        <v>0</v>
      </c>
      <c r="U1985">
        <v>0</v>
      </c>
      <c r="V1985">
        <v>0</v>
      </c>
      <c r="W1985" s="21">
        <f t="shared" si="237"/>
        <v>0</v>
      </c>
      <c r="X1985">
        <v>0</v>
      </c>
      <c r="Y1985">
        <v>0</v>
      </c>
      <c r="Z1985" s="21">
        <f t="shared" si="238"/>
        <v>0</v>
      </c>
      <c r="AA1985">
        <v>0</v>
      </c>
      <c r="AB1985">
        <v>0</v>
      </c>
      <c r="AC1985" s="21">
        <f t="shared" si="239"/>
        <v>0</v>
      </c>
      <c r="AD1985">
        <v>0</v>
      </c>
      <c r="AE1985">
        <v>0</v>
      </c>
      <c r="AF1985" s="21">
        <f t="shared" si="234"/>
        <v>0</v>
      </c>
    </row>
    <row r="1986" spans="1:32" ht="15" customHeight="1" x14ac:dyDescent="0.3">
      <c r="A1986">
        <v>4</v>
      </c>
      <c r="B1986" s="2" t="s">
        <v>697</v>
      </c>
      <c r="C1986" s="4" t="s">
        <v>693</v>
      </c>
      <c r="D1986" s="3" t="s">
        <v>670</v>
      </c>
      <c r="E1986" s="6" t="s">
        <v>104</v>
      </c>
      <c r="F1986" s="6" t="s">
        <v>179</v>
      </c>
      <c r="G1986" s="6" t="s">
        <v>715</v>
      </c>
      <c r="H1986" s="23">
        <v>302000</v>
      </c>
      <c r="I1986">
        <v>0</v>
      </c>
      <c r="J1986">
        <v>0</v>
      </c>
      <c r="K1986" s="20">
        <f t="shared" si="232"/>
        <v>0</v>
      </c>
      <c r="L1986">
        <v>20</v>
      </c>
      <c r="M1986">
        <v>1</v>
      </c>
      <c r="N1986" s="21">
        <f t="shared" si="233"/>
        <v>6040000</v>
      </c>
      <c r="O1986">
        <v>0</v>
      </c>
      <c r="P1986">
        <v>0</v>
      </c>
      <c r="Q1986" s="21">
        <f t="shared" si="235"/>
        <v>0</v>
      </c>
      <c r="R1986">
        <v>0</v>
      </c>
      <c r="S1986">
        <v>0</v>
      </c>
      <c r="T1986" s="21">
        <f t="shared" si="236"/>
        <v>0</v>
      </c>
      <c r="U1986">
        <v>0</v>
      </c>
      <c r="V1986">
        <v>0</v>
      </c>
      <c r="W1986" s="21">
        <f t="shared" si="237"/>
        <v>0</v>
      </c>
      <c r="X1986">
        <v>0</v>
      </c>
      <c r="Y1986">
        <v>0</v>
      </c>
      <c r="Z1986" s="21">
        <f t="shared" si="238"/>
        <v>0</v>
      </c>
      <c r="AA1986">
        <v>0</v>
      </c>
      <c r="AB1986">
        <v>0</v>
      </c>
      <c r="AC1986" s="21">
        <f t="shared" si="239"/>
        <v>0</v>
      </c>
      <c r="AD1986">
        <v>0</v>
      </c>
      <c r="AE1986">
        <v>0</v>
      </c>
      <c r="AF1986" s="21">
        <f t="shared" si="234"/>
        <v>0</v>
      </c>
    </row>
    <row r="1987" spans="1:32" ht="15" customHeight="1" x14ac:dyDescent="0.3">
      <c r="A1987">
        <v>4</v>
      </c>
      <c r="B1987" s="2" t="s">
        <v>697</v>
      </c>
      <c r="C1987" s="4" t="s">
        <v>693</v>
      </c>
      <c r="D1987" s="3" t="s">
        <v>670</v>
      </c>
      <c r="E1987" s="6" t="s">
        <v>104</v>
      </c>
      <c r="F1987" s="6" t="s">
        <v>179</v>
      </c>
      <c r="G1987" s="6" t="s">
        <v>714</v>
      </c>
      <c r="H1987" s="23">
        <v>10000</v>
      </c>
      <c r="I1987">
        <v>0</v>
      </c>
      <c r="J1987">
        <v>0</v>
      </c>
      <c r="K1987" s="20">
        <f t="shared" si="232"/>
        <v>0</v>
      </c>
      <c r="L1987">
        <v>15</v>
      </c>
      <c r="M1987">
        <v>1</v>
      </c>
      <c r="N1987" s="21">
        <f t="shared" si="233"/>
        <v>150000</v>
      </c>
      <c r="O1987">
        <v>0</v>
      </c>
      <c r="P1987">
        <v>0</v>
      </c>
      <c r="Q1987" s="21">
        <f t="shared" si="235"/>
        <v>0</v>
      </c>
      <c r="R1987">
        <v>0</v>
      </c>
      <c r="S1987">
        <v>0</v>
      </c>
      <c r="T1987" s="21">
        <f t="shared" si="236"/>
        <v>0</v>
      </c>
      <c r="U1987">
        <v>0</v>
      </c>
      <c r="V1987">
        <v>0</v>
      </c>
      <c r="W1987" s="21">
        <f t="shared" si="237"/>
        <v>0</v>
      </c>
      <c r="X1987">
        <v>0</v>
      </c>
      <c r="Y1987">
        <v>0</v>
      </c>
      <c r="Z1987" s="21">
        <f t="shared" si="238"/>
        <v>0</v>
      </c>
      <c r="AA1987">
        <v>0</v>
      </c>
      <c r="AB1987">
        <v>0</v>
      </c>
      <c r="AC1987" s="21">
        <f t="shared" si="239"/>
        <v>0</v>
      </c>
      <c r="AD1987">
        <v>0</v>
      </c>
      <c r="AE1987">
        <v>0</v>
      </c>
      <c r="AF1987" s="21">
        <f t="shared" si="234"/>
        <v>0</v>
      </c>
    </row>
    <row r="1988" spans="1:32" ht="15" customHeight="1" x14ac:dyDescent="0.3">
      <c r="A1988">
        <v>4</v>
      </c>
      <c r="B1988" s="2" t="s">
        <v>697</v>
      </c>
      <c r="C1988" s="4" t="s">
        <v>693</v>
      </c>
      <c r="D1988" s="3" t="s">
        <v>670</v>
      </c>
      <c r="E1988" s="6" t="s">
        <v>104</v>
      </c>
      <c r="F1988" s="6" t="s">
        <v>179</v>
      </c>
      <c r="G1988" s="6" t="s">
        <v>712</v>
      </c>
      <c r="H1988" s="23">
        <v>214.29</v>
      </c>
      <c r="I1988">
        <v>0</v>
      </c>
      <c r="J1988">
        <v>0</v>
      </c>
      <c r="K1988" s="20">
        <f t="shared" si="232"/>
        <v>0</v>
      </c>
      <c r="L1988">
        <v>20000</v>
      </c>
      <c r="M1988">
        <v>1</v>
      </c>
      <c r="N1988" s="21">
        <f t="shared" si="233"/>
        <v>4285800</v>
      </c>
      <c r="O1988">
        <v>0</v>
      </c>
      <c r="P1988">
        <v>0</v>
      </c>
      <c r="Q1988" s="21">
        <f t="shared" si="235"/>
        <v>0</v>
      </c>
      <c r="R1988">
        <v>0</v>
      </c>
      <c r="S1988">
        <v>0</v>
      </c>
      <c r="T1988" s="21">
        <f t="shared" si="236"/>
        <v>0</v>
      </c>
      <c r="U1988">
        <v>0</v>
      </c>
      <c r="V1988">
        <v>0</v>
      </c>
      <c r="W1988" s="21">
        <f t="shared" si="237"/>
        <v>0</v>
      </c>
      <c r="X1988">
        <v>0</v>
      </c>
      <c r="Y1988">
        <v>0</v>
      </c>
      <c r="Z1988" s="21">
        <f t="shared" si="238"/>
        <v>0</v>
      </c>
      <c r="AA1988">
        <v>0</v>
      </c>
      <c r="AB1988">
        <v>0</v>
      </c>
      <c r="AC1988" s="21">
        <f t="shared" si="239"/>
        <v>0</v>
      </c>
      <c r="AD1988">
        <v>0</v>
      </c>
      <c r="AE1988">
        <v>0</v>
      </c>
      <c r="AF1988" s="21">
        <f t="shared" si="234"/>
        <v>0</v>
      </c>
    </row>
    <row r="1989" spans="1:32" ht="15" customHeight="1" x14ac:dyDescent="0.3">
      <c r="A1989">
        <v>4</v>
      </c>
      <c r="B1989" s="2" t="s">
        <v>697</v>
      </c>
      <c r="C1989" s="4" t="s">
        <v>693</v>
      </c>
      <c r="D1989" s="3" t="s">
        <v>670</v>
      </c>
      <c r="E1989" s="6" t="s">
        <v>104</v>
      </c>
      <c r="F1989" s="6" t="s">
        <v>159</v>
      </c>
      <c r="G1989" s="6" t="s">
        <v>716</v>
      </c>
      <c r="H1989" s="23">
        <v>39000</v>
      </c>
      <c r="I1989">
        <v>0</v>
      </c>
      <c r="J1989">
        <v>0</v>
      </c>
      <c r="K1989" s="20">
        <f t="shared" si="232"/>
        <v>0</v>
      </c>
      <c r="L1989">
        <v>15</v>
      </c>
      <c r="M1989">
        <v>5</v>
      </c>
      <c r="N1989" s="21">
        <f t="shared" si="233"/>
        <v>2925000</v>
      </c>
      <c r="O1989">
        <v>0</v>
      </c>
      <c r="P1989">
        <v>0</v>
      </c>
      <c r="Q1989" s="21">
        <f t="shared" si="235"/>
        <v>0</v>
      </c>
      <c r="R1989">
        <v>0</v>
      </c>
      <c r="S1989">
        <v>0</v>
      </c>
      <c r="T1989" s="21">
        <f t="shared" si="236"/>
        <v>0</v>
      </c>
      <c r="U1989">
        <v>0</v>
      </c>
      <c r="V1989">
        <v>0</v>
      </c>
      <c r="W1989" s="21">
        <f t="shared" si="237"/>
        <v>0</v>
      </c>
      <c r="X1989">
        <v>0</v>
      </c>
      <c r="Y1989">
        <v>0</v>
      </c>
      <c r="Z1989" s="21">
        <f t="shared" si="238"/>
        <v>0</v>
      </c>
      <c r="AA1989">
        <v>0</v>
      </c>
      <c r="AB1989">
        <v>0</v>
      </c>
      <c r="AC1989" s="21">
        <f t="shared" si="239"/>
        <v>0</v>
      </c>
      <c r="AD1989">
        <v>0</v>
      </c>
      <c r="AE1989">
        <v>0</v>
      </c>
      <c r="AF1989" s="21">
        <f t="shared" si="234"/>
        <v>0</v>
      </c>
    </row>
    <row r="1990" spans="1:32" ht="15" customHeight="1" x14ac:dyDescent="0.3">
      <c r="A1990">
        <v>4</v>
      </c>
      <c r="B1990" s="2" t="s">
        <v>697</v>
      </c>
      <c r="C1990" s="4" t="s">
        <v>693</v>
      </c>
      <c r="D1990" s="3" t="s">
        <v>670</v>
      </c>
      <c r="E1990" s="6" t="s">
        <v>104</v>
      </c>
      <c r="F1990" s="6" t="s">
        <v>159</v>
      </c>
      <c r="G1990" s="6" t="s">
        <v>709</v>
      </c>
      <c r="H1990" s="23">
        <v>28000</v>
      </c>
      <c r="I1990">
        <v>0</v>
      </c>
      <c r="J1990">
        <v>0</v>
      </c>
      <c r="K1990" s="20">
        <f t="shared" ref="K1990:K2053" si="240">H1990*I1990*J1990</f>
        <v>0</v>
      </c>
      <c r="L1990">
        <v>15</v>
      </c>
      <c r="M1990">
        <v>5</v>
      </c>
      <c r="N1990" s="21">
        <f t="shared" ref="N1990:N2053" si="241">H1990*L1990*M1990</f>
        <v>2100000</v>
      </c>
      <c r="O1990">
        <v>0</v>
      </c>
      <c r="P1990">
        <v>0</v>
      </c>
      <c r="Q1990" s="21">
        <f t="shared" si="235"/>
        <v>0</v>
      </c>
      <c r="R1990">
        <v>0</v>
      </c>
      <c r="S1990">
        <v>0</v>
      </c>
      <c r="T1990" s="21">
        <f t="shared" si="236"/>
        <v>0</v>
      </c>
      <c r="U1990">
        <v>0</v>
      </c>
      <c r="V1990">
        <v>0</v>
      </c>
      <c r="W1990" s="21">
        <f t="shared" si="237"/>
        <v>0</v>
      </c>
      <c r="X1990">
        <v>0</v>
      </c>
      <c r="Y1990">
        <v>0</v>
      </c>
      <c r="Z1990" s="21">
        <f t="shared" si="238"/>
        <v>0</v>
      </c>
      <c r="AA1990">
        <v>0</v>
      </c>
      <c r="AB1990">
        <v>0</v>
      </c>
      <c r="AC1990" s="21">
        <f t="shared" si="239"/>
        <v>0</v>
      </c>
      <c r="AD1990">
        <v>0</v>
      </c>
      <c r="AE1990">
        <v>0</v>
      </c>
      <c r="AF1990" s="21">
        <f t="shared" ref="AF1990:AF2053" si="242">H1990*AD1990*AE1990</f>
        <v>0</v>
      </c>
    </row>
    <row r="1991" spans="1:32" ht="15" customHeight="1" x14ac:dyDescent="0.3">
      <c r="A1991">
        <v>4</v>
      </c>
      <c r="B1991" s="2" t="s">
        <v>697</v>
      </c>
      <c r="C1991" s="4" t="s">
        <v>693</v>
      </c>
      <c r="D1991" s="3" t="s">
        <v>670</v>
      </c>
      <c r="E1991" s="6" t="s">
        <v>104</v>
      </c>
      <c r="F1991" s="6" t="s">
        <v>159</v>
      </c>
      <c r="G1991" s="6" t="s">
        <v>712</v>
      </c>
      <c r="H1991" s="23">
        <v>214.29</v>
      </c>
      <c r="I1991">
        <v>0</v>
      </c>
      <c r="J1991">
        <v>0</v>
      </c>
      <c r="K1991" s="20">
        <f t="shared" si="240"/>
        <v>0</v>
      </c>
      <c r="L1991">
        <v>4000</v>
      </c>
      <c r="M1991">
        <v>1</v>
      </c>
      <c r="N1991" s="21">
        <f t="shared" si="241"/>
        <v>857160</v>
      </c>
      <c r="O1991">
        <v>0</v>
      </c>
      <c r="P1991">
        <v>0</v>
      </c>
      <c r="Q1991" s="21">
        <f t="shared" si="235"/>
        <v>0</v>
      </c>
      <c r="R1991">
        <v>0</v>
      </c>
      <c r="S1991">
        <v>0</v>
      </c>
      <c r="T1991" s="21">
        <f t="shared" si="236"/>
        <v>0</v>
      </c>
      <c r="U1991">
        <v>0</v>
      </c>
      <c r="V1991">
        <v>0</v>
      </c>
      <c r="W1991" s="21">
        <f t="shared" si="237"/>
        <v>0</v>
      </c>
      <c r="X1991">
        <v>0</v>
      </c>
      <c r="Y1991">
        <v>0</v>
      </c>
      <c r="Z1991" s="21">
        <f t="shared" si="238"/>
        <v>0</v>
      </c>
      <c r="AA1991">
        <v>0</v>
      </c>
      <c r="AB1991">
        <v>0</v>
      </c>
      <c r="AC1991" s="21">
        <f t="shared" si="239"/>
        <v>0</v>
      </c>
      <c r="AD1991">
        <v>0</v>
      </c>
      <c r="AE1991">
        <v>0</v>
      </c>
      <c r="AF1991" s="21">
        <f t="shared" si="242"/>
        <v>0</v>
      </c>
    </row>
    <row r="1992" spans="1:32" ht="15" customHeight="1" x14ac:dyDescent="0.3">
      <c r="A1992">
        <v>4</v>
      </c>
      <c r="B1992" s="2" t="s">
        <v>697</v>
      </c>
      <c r="C1992" s="4" t="s">
        <v>693</v>
      </c>
      <c r="D1992" s="3" t="s">
        <v>670</v>
      </c>
      <c r="E1992" s="6" t="s">
        <v>104</v>
      </c>
      <c r="F1992" s="6" t="s">
        <v>153</v>
      </c>
      <c r="G1992" s="6" t="s">
        <v>716</v>
      </c>
      <c r="H1992" s="23">
        <v>39000</v>
      </c>
      <c r="I1992">
        <v>0</v>
      </c>
      <c r="J1992">
        <v>0</v>
      </c>
      <c r="K1992" s="20">
        <f t="shared" si="240"/>
        <v>0</v>
      </c>
      <c r="L1992">
        <v>15</v>
      </c>
      <c r="M1992">
        <v>5</v>
      </c>
      <c r="N1992" s="21">
        <f t="shared" si="241"/>
        <v>2925000</v>
      </c>
      <c r="O1992">
        <v>0</v>
      </c>
      <c r="P1992">
        <v>0</v>
      </c>
      <c r="Q1992" s="21">
        <f t="shared" si="235"/>
        <v>0</v>
      </c>
      <c r="R1992">
        <v>0</v>
      </c>
      <c r="S1992">
        <v>0</v>
      </c>
      <c r="T1992" s="21">
        <f t="shared" si="236"/>
        <v>0</v>
      </c>
      <c r="U1992">
        <v>0</v>
      </c>
      <c r="V1992">
        <v>0</v>
      </c>
      <c r="W1992" s="21">
        <f t="shared" si="237"/>
        <v>0</v>
      </c>
      <c r="X1992">
        <v>0</v>
      </c>
      <c r="Y1992">
        <v>0</v>
      </c>
      <c r="Z1992" s="21">
        <f t="shared" si="238"/>
        <v>0</v>
      </c>
      <c r="AA1992">
        <v>0</v>
      </c>
      <c r="AB1992">
        <v>0</v>
      </c>
      <c r="AC1992" s="21">
        <f t="shared" si="239"/>
        <v>0</v>
      </c>
      <c r="AD1992">
        <v>0</v>
      </c>
      <c r="AE1992">
        <v>0</v>
      </c>
      <c r="AF1992" s="21">
        <f t="shared" si="242"/>
        <v>0</v>
      </c>
    </row>
    <row r="1993" spans="1:32" ht="15" customHeight="1" x14ac:dyDescent="0.3">
      <c r="A1993">
        <v>4</v>
      </c>
      <c r="B1993" s="2" t="s">
        <v>697</v>
      </c>
      <c r="C1993" s="4" t="s">
        <v>693</v>
      </c>
      <c r="D1993" s="3" t="s">
        <v>670</v>
      </c>
      <c r="E1993" s="6" t="s">
        <v>104</v>
      </c>
      <c r="F1993" s="6" t="s">
        <v>153</v>
      </c>
      <c r="G1993" s="6" t="s">
        <v>709</v>
      </c>
      <c r="H1993" s="23">
        <v>28000</v>
      </c>
      <c r="I1993">
        <v>0</v>
      </c>
      <c r="J1993">
        <v>0</v>
      </c>
      <c r="K1993" s="20">
        <f t="shared" si="240"/>
        <v>0</v>
      </c>
      <c r="L1993">
        <v>15</v>
      </c>
      <c r="M1993">
        <v>5</v>
      </c>
      <c r="N1993" s="21">
        <f t="shared" si="241"/>
        <v>2100000</v>
      </c>
      <c r="O1993">
        <v>0</v>
      </c>
      <c r="P1993">
        <v>0</v>
      </c>
      <c r="Q1993" s="21">
        <f t="shared" si="235"/>
        <v>0</v>
      </c>
      <c r="R1993">
        <v>0</v>
      </c>
      <c r="S1993">
        <v>0</v>
      </c>
      <c r="T1993" s="21">
        <f t="shared" si="236"/>
        <v>0</v>
      </c>
      <c r="U1993">
        <v>0</v>
      </c>
      <c r="V1993">
        <v>0</v>
      </c>
      <c r="W1993" s="21">
        <f t="shared" si="237"/>
        <v>0</v>
      </c>
      <c r="X1993">
        <v>0</v>
      </c>
      <c r="Y1993">
        <v>0</v>
      </c>
      <c r="Z1993" s="21">
        <f t="shared" si="238"/>
        <v>0</v>
      </c>
      <c r="AA1993">
        <v>0</v>
      </c>
      <c r="AB1993">
        <v>0</v>
      </c>
      <c r="AC1993" s="21">
        <f t="shared" si="239"/>
        <v>0</v>
      </c>
      <c r="AD1993">
        <v>0</v>
      </c>
      <c r="AE1993">
        <v>0</v>
      </c>
      <c r="AF1993" s="21">
        <f t="shared" si="242"/>
        <v>0</v>
      </c>
    </row>
    <row r="1994" spans="1:32" ht="15" customHeight="1" x14ac:dyDescent="0.3">
      <c r="A1994">
        <v>4</v>
      </c>
      <c r="B1994" s="2" t="s">
        <v>697</v>
      </c>
      <c r="C1994" s="4" t="s">
        <v>693</v>
      </c>
      <c r="D1994" s="3" t="s">
        <v>670</v>
      </c>
      <c r="E1994" s="6" t="s">
        <v>104</v>
      </c>
      <c r="F1994" s="6" t="s">
        <v>153</v>
      </c>
      <c r="G1994" s="6" t="s">
        <v>712</v>
      </c>
      <c r="H1994" s="23">
        <v>214.29</v>
      </c>
      <c r="I1994">
        <v>0</v>
      </c>
      <c r="J1994">
        <v>0</v>
      </c>
      <c r="K1994" s="20">
        <f t="shared" si="240"/>
        <v>0</v>
      </c>
      <c r="L1994">
        <v>4000</v>
      </c>
      <c r="M1994">
        <v>1</v>
      </c>
      <c r="N1994" s="21">
        <f t="shared" si="241"/>
        <v>857160</v>
      </c>
      <c r="O1994">
        <v>0</v>
      </c>
      <c r="P1994">
        <v>0</v>
      </c>
      <c r="Q1994" s="21">
        <f t="shared" si="235"/>
        <v>0</v>
      </c>
      <c r="R1994">
        <v>0</v>
      </c>
      <c r="S1994">
        <v>0</v>
      </c>
      <c r="T1994" s="21">
        <f t="shared" si="236"/>
        <v>0</v>
      </c>
      <c r="U1994">
        <v>0</v>
      </c>
      <c r="V1994">
        <v>0</v>
      </c>
      <c r="W1994" s="21">
        <f t="shared" si="237"/>
        <v>0</v>
      </c>
      <c r="X1994">
        <v>0</v>
      </c>
      <c r="Y1994">
        <v>0</v>
      </c>
      <c r="Z1994" s="21">
        <f t="shared" si="238"/>
        <v>0</v>
      </c>
      <c r="AA1994">
        <v>0</v>
      </c>
      <c r="AB1994">
        <v>0</v>
      </c>
      <c r="AC1994" s="21">
        <f t="shared" si="239"/>
        <v>0</v>
      </c>
      <c r="AD1994">
        <v>0</v>
      </c>
      <c r="AE1994">
        <v>0</v>
      </c>
      <c r="AF1994" s="21">
        <f t="shared" si="242"/>
        <v>0</v>
      </c>
    </row>
    <row r="1995" spans="1:32" ht="15" customHeight="1" x14ac:dyDescent="0.3">
      <c r="A1995">
        <v>4</v>
      </c>
      <c r="B1995" s="2" t="s">
        <v>697</v>
      </c>
      <c r="C1995" s="4" t="s">
        <v>693</v>
      </c>
      <c r="D1995" s="3" t="s">
        <v>670</v>
      </c>
      <c r="E1995" s="6" t="s">
        <v>104</v>
      </c>
      <c r="F1995" s="6" t="s">
        <v>280</v>
      </c>
      <c r="G1995" s="6" t="s">
        <v>709</v>
      </c>
      <c r="H1995" s="23">
        <v>28000</v>
      </c>
      <c r="I1995">
        <v>0</v>
      </c>
      <c r="J1995">
        <v>0</v>
      </c>
      <c r="K1995" s="20">
        <f t="shared" si="240"/>
        <v>0</v>
      </c>
      <c r="L1995">
        <v>30</v>
      </c>
      <c r="M1995">
        <v>1</v>
      </c>
      <c r="N1995" s="21">
        <f t="shared" si="241"/>
        <v>840000</v>
      </c>
      <c r="O1995">
        <v>0</v>
      </c>
      <c r="P1995">
        <v>0</v>
      </c>
      <c r="Q1995" s="21">
        <f t="shared" si="235"/>
        <v>0</v>
      </c>
      <c r="R1995">
        <v>0</v>
      </c>
      <c r="S1995">
        <v>0</v>
      </c>
      <c r="T1995" s="21">
        <f t="shared" si="236"/>
        <v>0</v>
      </c>
      <c r="U1995">
        <v>0</v>
      </c>
      <c r="V1995">
        <v>0</v>
      </c>
      <c r="W1995" s="21">
        <f t="shared" si="237"/>
        <v>0</v>
      </c>
      <c r="X1995">
        <v>0</v>
      </c>
      <c r="Y1995">
        <v>0</v>
      </c>
      <c r="Z1995" s="21">
        <f t="shared" si="238"/>
        <v>0</v>
      </c>
      <c r="AA1995">
        <v>0</v>
      </c>
      <c r="AB1995">
        <v>0</v>
      </c>
      <c r="AC1995" s="21">
        <f t="shared" si="239"/>
        <v>0</v>
      </c>
      <c r="AD1995">
        <v>0</v>
      </c>
      <c r="AE1995">
        <v>0</v>
      </c>
      <c r="AF1995" s="21">
        <f t="shared" si="242"/>
        <v>0</v>
      </c>
    </row>
    <row r="1996" spans="1:32" ht="15" customHeight="1" x14ac:dyDescent="0.3">
      <c r="A1996">
        <v>4</v>
      </c>
      <c r="B1996" s="2" t="s">
        <v>697</v>
      </c>
      <c r="C1996" s="4" t="s">
        <v>693</v>
      </c>
      <c r="D1996" s="3" t="s">
        <v>670</v>
      </c>
      <c r="E1996" s="6" t="s">
        <v>104</v>
      </c>
      <c r="F1996" s="6" t="s">
        <v>529</v>
      </c>
      <c r="G1996" s="6" t="s">
        <v>709</v>
      </c>
      <c r="H1996" s="23">
        <v>28000</v>
      </c>
      <c r="I1996">
        <v>0</v>
      </c>
      <c r="J1996">
        <v>0</v>
      </c>
      <c r="K1996" s="20">
        <f t="shared" si="240"/>
        <v>0</v>
      </c>
      <c r="L1996">
        <v>30</v>
      </c>
      <c r="M1996">
        <v>1</v>
      </c>
      <c r="N1996" s="21">
        <f t="shared" si="241"/>
        <v>840000</v>
      </c>
      <c r="O1996">
        <v>0</v>
      </c>
      <c r="P1996">
        <v>0</v>
      </c>
      <c r="Q1996" s="21">
        <f t="shared" si="235"/>
        <v>0</v>
      </c>
      <c r="R1996">
        <v>0</v>
      </c>
      <c r="S1996">
        <v>0</v>
      </c>
      <c r="T1996" s="21">
        <f t="shared" si="236"/>
        <v>0</v>
      </c>
      <c r="U1996">
        <v>0</v>
      </c>
      <c r="V1996">
        <v>0</v>
      </c>
      <c r="W1996" s="21">
        <f t="shared" si="237"/>
        <v>0</v>
      </c>
      <c r="X1996">
        <v>0</v>
      </c>
      <c r="Y1996">
        <v>0</v>
      </c>
      <c r="Z1996" s="21">
        <f t="shared" si="238"/>
        <v>0</v>
      </c>
      <c r="AA1996">
        <v>0</v>
      </c>
      <c r="AB1996">
        <v>0</v>
      </c>
      <c r="AC1996" s="21">
        <f t="shared" si="239"/>
        <v>0</v>
      </c>
      <c r="AD1996">
        <v>0</v>
      </c>
      <c r="AE1996">
        <v>0</v>
      </c>
      <c r="AF1996" s="21">
        <f t="shared" si="242"/>
        <v>0</v>
      </c>
    </row>
    <row r="1997" spans="1:32" ht="15" customHeight="1" x14ac:dyDescent="0.3">
      <c r="A1997">
        <v>4</v>
      </c>
      <c r="B1997" s="2" t="s">
        <v>697</v>
      </c>
      <c r="C1997" s="4" t="s">
        <v>693</v>
      </c>
      <c r="D1997" s="3" t="s">
        <v>670</v>
      </c>
      <c r="E1997" s="6" t="s">
        <v>104</v>
      </c>
      <c r="F1997" s="6" t="s">
        <v>530</v>
      </c>
      <c r="G1997" s="6" t="s">
        <v>718</v>
      </c>
      <c r="H1997" s="23">
        <v>0</v>
      </c>
      <c r="I1997">
        <v>0</v>
      </c>
      <c r="J1997">
        <v>0</v>
      </c>
      <c r="K1997" s="20">
        <f t="shared" si="240"/>
        <v>0</v>
      </c>
      <c r="L1997">
        <v>0</v>
      </c>
      <c r="M1997">
        <v>0</v>
      </c>
      <c r="N1997" s="21">
        <f t="shared" si="241"/>
        <v>0</v>
      </c>
      <c r="O1997">
        <v>0</v>
      </c>
      <c r="P1997">
        <v>0</v>
      </c>
      <c r="Q1997" s="21">
        <f t="shared" si="235"/>
        <v>0</v>
      </c>
      <c r="R1997">
        <v>0</v>
      </c>
      <c r="S1997">
        <v>0</v>
      </c>
      <c r="T1997" s="21">
        <f t="shared" si="236"/>
        <v>0</v>
      </c>
      <c r="U1997">
        <v>0</v>
      </c>
      <c r="V1997">
        <v>0</v>
      </c>
      <c r="W1997" s="21">
        <f t="shared" si="237"/>
        <v>0</v>
      </c>
      <c r="X1997">
        <v>0</v>
      </c>
      <c r="Y1997">
        <v>0</v>
      </c>
      <c r="Z1997" s="21">
        <f t="shared" si="238"/>
        <v>0</v>
      </c>
      <c r="AA1997">
        <v>0</v>
      </c>
      <c r="AB1997">
        <v>0</v>
      </c>
      <c r="AC1997" s="21">
        <f t="shared" si="239"/>
        <v>0</v>
      </c>
      <c r="AD1997">
        <v>0</v>
      </c>
      <c r="AE1997">
        <v>0</v>
      </c>
      <c r="AF1997" s="21">
        <f t="shared" si="242"/>
        <v>0</v>
      </c>
    </row>
    <row r="1998" spans="1:32" ht="15" customHeight="1" x14ac:dyDescent="0.3">
      <c r="A1998">
        <v>4</v>
      </c>
      <c r="B1998" s="2" t="s">
        <v>697</v>
      </c>
      <c r="C1998" s="4" t="s">
        <v>693</v>
      </c>
      <c r="D1998" s="3" t="s">
        <v>670</v>
      </c>
      <c r="E1998" s="6" t="s">
        <v>104</v>
      </c>
      <c r="F1998" s="6" t="s">
        <v>531</v>
      </c>
      <c r="G1998" s="6" t="s">
        <v>707</v>
      </c>
      <c r="H1998" s="23">
        <v>391991.03749999998</v>
      </c>
      <c r="I1998">
        <v>0</v>
      </c>
      <c r="J1998">
        <v>0</v>
      </c>
      <c r="K1998" s="20">
        <f t="shared" si="240"/>
        <v>0</v>
      </c>
      <c r="L1998">
        <v>1</v>
      </c>
      <c r="M1998">
        <v>4</v>
      </c>
      <c r="N1998" s="21">
        <f t="shared" si="241"/>
        <v>1567964.15</v>
      </c>
      <c r="O1998">
        <v>0</v>
      </c>
      <c r="P1998">
        <v>0</v>
      </c>
      <c r="Q1998" s="21">
        <f t="shared" si="235"/>
        <v>0</v>
      </c>
      <c r="R1998">
        <v>0</v>
      </c>
      <c r="S1998">
        <v>0</v>
      </c>
      <c r="T1998" s="21">
        <f t="shared" si="236"/>
        <v>0</v>
      </c>
      <c r="U1998">
        <v>0</v>
      </c>
      <c r="V1998">
        <v>0</v>
      </c>
      <c r="W1998" s="21">
        <f t="shared" si="237"/>
        <v>0</v>
      </c>
      <c r="X1998">
        <v>0</v>
      </c>
      <c r="Y1998">
        <v>0</v>
      </c>
      <c r="Z1998" s="21">
        <f t="shared" si="238"/>
        <v>0</v>
      </c>
      <c r="AA1998">
        <v>0</v>
      </c>
      <c r="AB1998">
        <v>0</v>
      </c>
      <c r="AC1998" s="21">
        <f t="shared" si="239"/>
        <v>0</v>
      </c>
      <c r="AD1998">
        <v>0</v>
      </c>
      <c r="AE1998">
        <v>0</v>
      </c>
      <c r="AF1998" s="21">
        <f t="shared" si="242"/>
        <v>0</v>
      </c>
    </row>
    <row r="1999" spans="1:32" ht="15" customHeight="1" x14ac:dyDescent="0.3">
      <c r="A1999">
        <v>4</v>
      </c>
      <c r="B1999" s="2" t="s">
        <v>697</v>
      </c>
      <c r="C1999" s="4" t="s">
        <v>693</v>
      </c>
      <c r="D1999" s="3" t="s">
        <v>670</v>
      </c>
      <c r="E1999" s="6" t="s">
        <v>104</v>
      </c>
      <c r="F1999" s="6" t="s">
        <v>788</v>
      </c>
      <c r="G1999" s="6" t="s">
        <v>741</v>
      </c>
      <c r="H1999" s="23">
        <v>34293000</v>
      </c>
      <c r="I1999">
        <v>0</v>
      </c>
      <c r="J1999">
        <v>0</v>
      </c>
      <c r="K1999" s="20">
        <f t="shared" si="240"/>
        <v>0</v>
      </c>
      <c r="L1999">
        <v>0</v>
      </c>
      <c r="M1999">
        <v>0</v>
      </c>
      <c r="N1999" s="21">
        <f t="shared" si="241"/>
        <v>0</v>
      </c>
      <c r="O1999">
        <v>1</v>
      </c>
      <c r="P1999">
        <v>1</v>
      </c>
      <c r="Q1999" s="21">
        <f t="shared" si="235"/>
        <v>34293000</v>
      </c>
      <c r="R1999">
        <v>0</v>
      </c>
      <c r="S1999">
        <v>0</v>
      </c>
      <c r="T1999" s="21">
        <f t="shared" si="236"/>
        <v>0</v>
      </c>
      <c r="U1999">
        <v>0</v>
      </c>
      <c r="V1999">
        <v>0</v>
      </c>
      <c r="W1999" s="21">
        <f t="shared" si="237"/>
        <v>0</v>
      </c>
      <c r="X1999">
        <v>0</v>
      </c>
      <c r="Y1999">
        <v>0</v>
      </c>
      <c r="Z1999" s="21">
        <f t="shared" si="238"/>
        <v>0</v>
      </c>
      <c r="AA1999">
        <v>0</v>
      </c>
      <c r="AB1999">
        <v>0</v>
      </c>
      <c r="AC1999" s="21">
        <f t="shared" si="239"/>
        <v>0</v>
      </c>
      <c r="AD1999">
        <v>0</v>
      </c>
      <c r="AE1999">
        <v>0</v>
      </c>
      <c r="AF1999" s="21">
        <f t="shared" si="242"/>
        <v>0</v>
      </c>
    </row>
    <row r="2000" spans="1:32" ht="15" customHeight="1" x14ac:dyDescent="0.3">
      <c r="A2000">
        <v>4</v>
      </c>
      <c r="B2000" s="2" t="s">
        <v>697</v>
      </c>
      <c r="C2000" s="4" t="s">
        <v>693</v>
      </c>
      <c r="D2000" s="3" t="s">
        <v>670</v>
      </c>
      <c r="E2000" s="6" t="s">
        <v>104</v>
      </c>
      <c r="F2000" s="6" t="s">
        <v>532</v>
      </c>
      <c r="G2000" s="6" t="s">
        <v>716</v>
      </c>
      <c r="H2000" s="23">
        <v>39000</v>
      </c>
      <c r="I2000">
        <v>0</v>
      </c>
      <c r="J2000">
        <v>0</v>
      </c>
      <c r="K2000" s="20">
        <f t="shared" si="240"/>
        <v>0</v>
      </c>
      <c r="L2000">
        <v>0</v>
      </c>
      <c r="M2000">
        <v>0</v>
      </c>
      <c r="N2000" s="21">
        <f t="shared" si="241"/>
        <v>0</v>
      </c>
      <c r="O2000">
        <v>30</v>
      </c>
      <c r="P2000">
        <v>5</v>
      </c>
      <c r="Q2000" s="21">
        <f t="shared" si="235"/>
        <v>5850000</v>
      </c>
      <c r="R2000">
        <v>0</v>
      </c>
      <c r="S2000">
        <v>0</v>
      </c>
      <c r="T2000" s="21">
        <f t="shared" si="236"/>
        <v>0</v>
      </c>
      <c r="U2000">
        <v>0</v>
      </c>
      <c r="V2000">
        <v>0</v>
      </c>
      <c r="W2000" s="21">
        <f t="shared" si="237"/>
        <v>0</v>
      </c>
      <c r="X2000">
        <v>0</v>
      </c>
      <c r="Y2000">
        <v>0</v>
      </c>
      <c r="Z2000" s="21">
        <f t="shared" si="238"/>
        <v>0</v>
      </c>
      <c r="AA2000">
        <v>0</v>
      </c>
      <c r="AB2000">
        <v>0</v>
      </c>
      <c r="AC2000" s="21">
        <f t="shared" si="239"/>
        <v>0</v>
      </c>
      <c r="AD2000">
        <v>0</v>
      </c>
      <c r="AE2000">
        <v>0</v>
      </c>
      <c r="AF2000" s="21">
        <f t="shared" si="242"/>
        <v>0</v>
      </c>
    </row>
    <row r="2001" spans="1:32" ht="15" customHeight="1" x14ac:dyDescent="0.3">
      <c r="A2001">
        <v>4</v>
      </c>
      <c r="B2001" s="2" t="s">
        <v>697</v>
      </c>
      <c r="C2001" s="4" t="s">
        <v>693</v>
      </c>
      <c r="D2001" s="3" t="s">
        <v>670</v>
      </c>
      <c r="E2001" s="6" t="s">
        <v>104</v>
      </c>
      <c r="F2001" s="6" t="s">
        <v>532</v>
      </c>
      <c r="G2001" s="6" t="s">
        <v>709</v>
      </c>
      <c r="H2001" s="23">
        <v>28000</v>
      </c>
      <c r="I2001">
        <v>0</v>
      </c>
      <c r="J2001">
        <v>0</v>
      </c>
      <c r="K2001" s="20">
        <f t="shared" si="240"/>
        <v>0</v>
      </c>
      <c r="L2001">
        <v>0</v>
      </c>
      <c r="M2001">
        <v>0</v>
      </c>
      <c r="N2001" s="21">
        <f t="shared" si="241"/>
        <v>0</v>
      </c>
      <c r="O2001">
        <v>30</v>
      </c>
      <c r="P2001">
        <v>5</v>
      </c>
      <c r="Q2001" s="21">
        <f t="shared" si="235"/>
        <v>4200000</v>
      </c>
      <c r="R2001">
        <v>0</v>
      </c>
      <c r="S2001">
        <v>0</v>
      </c>
      <c r="T2001" s="21">
        <f t="shared" si="236"/>
        <v>0</v>
      </c>
      <c r="U2001">
        <v>0</v>
      </c>
      <c r="V2001">
        <v>0</v>
      </c>
      <c r="W2001" s="21">
        <f t="shared" si="237"/>
        <v>0</v>
      </c>
      <c r="X2001">
        <v>0</v>
      </c>
      <c r="Y2001">
        <v>0</v>
      </c>
      <c r="Z2001" s="21">
        <f t="shared" si="238"/>
        <v>0</v>
      </c>
      <c r="AA2001">
        <v>0</v>
      </c>
      <c r="AB2001">
        <v>0</v>
      </c>
      <c r="AC2001" s="21">
        <f t="shared" si="239"/>
        <v>0</v>
      </c>
      <c r="AD2001">
        <v>0</v>
      </c>
      <c r="AE2001">
        <v>0</v>
      </c>
      <c r="AF2001" s="21">
        <f t="shared" si="242"/>
        <v>0</v>
      </c>
    </row>
    <row r="2002" spans="1:32" ht="15" customHeight="1" x14ac:dyDescent="0.3">
      <c r="A2002">
        <v>4</v>
      </c>
      <c r="B2002" s="2" t="s">
        <v>697</v>
      </c>
      <c r="C2002" s="4" t="s">
        <v>693</v>
      </c>
      <c r="D2002" s="3" t="s">
        <v>670</v>
      </c>
      <c r="E2002" s="6" t="s">
        <v>104</v>
      </c>
      <c r="F2002" s="6" t="s">
        <v>532</v>
      </c>
      <c r="G2002" s="6" t="s">
        <v>712</v>
      </c>
      <c r="H2002" s="23">
        <v>214.29</v>
      </c>
      <c r="I2002">
        <v>0</v>
      </c>
      <c r="J2002">
        <v>0</v>
      </c>
      <c r="K2002" s="20">
        <f t="shared" si="240"/>
        <v>0</v>
      </c>
      <c r="L2002">
        <v>0</v>
      </c>
      <c r="M2002">
        <v>0</v>
      </c>
      <c r="N2002" s="21">
        <f t="shared" si="241"/>
        <v>0</v>
      </c>
      <c r="O2002">
        <v>8000</v>
      </c>
      <c r="P2002">
        <v>1</v>
      </c>
      <c r="Q2002" s="21">
        <f t="shared" si="235"/>
        <v>1714320</v>
      </c>
      <c r="R2002">
        <v>0</v>
      </c>
      <c r="S2002">
        <v>0</v>
      </c>
      <c r="T2002" s="21">
        <f t="shared" si="236"/>
        <v>0</v>
      </c>
      <c r="U2002">
        <v>0</v>
      </c>
      <c r="V2002">
        <v>0</v>
      </c>
      <c r="W2002" s="21">
        <f t="shared" si="237"/>
        <v>0</v>
      </c>
      <c r="X2002">
        <v>0</v>
      </c>
      <c r="Y2002">
        <v>0</v>
      </c>
      <c r="Z2002" s="21">
        <f t="shared" si="238"/>
        <v>0</v>
      </c>
      <c r="AA2002">
        <v>0</v>
      </c>
      <c r="AB2002">
        <v>0</v>
      </c>
      <c r="AC2002" s="21">
        <f t="shared" si="239"/>
        <v>0</v>
      </c>
      <c r="AD2002">
        <v>0</v>
      </c>
      <c r="AE2002">
        <v>0</v>
      </c>
      <c r="AF2002" s="21">
        <f t="shared" si="242"/>
        <v>0</v>
      </c>
    </row>
    <row r="2003" spans="1:32" ht="15" customHeight="1" x14ac:dyDescent="0.3">
      <c r="A2003">
        <v>4</v>
      </c>
      <c r="B2003" s="2" t="s">
        <v>697</v>
      </c>
      <c r="C2003" s="4" t="s">
        <v>693</v>
      </c>
      <c r="D2003" s="3" t="s">
        <v>670</v>
      </c>
      <c r="E2003" s="6" t="s">
        <v>104</v>
      </c>
      <c r="F2003" s="6" t="s">
        <v>533</v>
      </c>
      <c r="G2003" s="6" t="s">
        <v>718</v>
      </c>
      <c r="H2003" s="23">
        <v>0</v>
      </c>
      <c r="I2003">
        <v>0</v>
      </c>
      <c r="J2003">
        <v>0</v>
      </c>
      <c r="K2003" s="20">
        <f t="shared" si="240"/>
        <v>0</v>
      </c>
      <c r="L2003">
        <v>0</v>
      </c>
      <c r="M2003">
        <v>0</v>
      </c>
      <c r="N2003" s="21">
        <f t="shared" si="241"/>
        <v>0</v>
      </c>
      <c r="O2003">
        <v>0</v>
      </c>
      <c r="P2003">
        <v>0</v>
      </c>
      <c r="Q2003" s="21">
        <f t="shared" si="235"/>
        <v>0</v>
      </c>
      <c r="R2003">
        <v>0</v>
      </c>
      <c r="S2003">
        <v>0</v>
      </c>
      <c r="T2003" s="21">
        <f t="shared" si="236"/>
        <v>0</v>
      </c>
      <c r="U2003">
        <v>0</v>
      </c>
      <c r="V2003">
        <v>0</v>
      </c>
      <c r="W2003" s="21">
        <f t="shared" si="237"/>
        <v>0</v>
      </c>
      <c r="X2003">
        <v>0</v>
      </c>
      <c r="Y2003">
        <v>0</v>
      </c>
      <c r="Z2003" s="21">
        <f t="shared" si="238"/>
        <v>0</v>
      </c>
      <c r="AA2003">
        <v>0</v>
      </c>
      <c r="AB2003">
        <v>0</v>
      </c>
      <c r="AC2003" s="21">
        <f t="shared" si="239"/>
        <v>0</v>
      </c>
      <c r="AD2003">
        <v>0</v>
      </c>
      <c r="AE2003">
        <v>0</v>
      </c>
      <c r="AF2003" s="21">
        <f t="shared" si="242"/>
        <v>0</v>
      </c>
    </row>
    <row r="2004" spans="1:32" ht="15" customHeight="1" x14ac:dyDescent="0.3">
      <c r="A2004">
        <v>4</v>
      </c>
      <c r="B2004" s="2" t="s">
        <v>697</v>
      </c>
      <c r="C2004" s="4" t="s">
        <v>693</v>
      </c>
      <c r="D2004" s="3" t="s">
        <v>670</v>
      </c>
      <c r="E2004" s="6" t="s">
        <v>105</v>
      </c>
      <c r="F2004" s="6" t="s">
        <v>534</v>
      </c>
      <c r="G2004" s="6" t="s">
        <v>718</v>
      </c>
      <c r="H2004" s="23">
        <v>0</v>
      </c>
      <c r="I2004">
        <v>0</v>
      </c>
      <c r="J2004">
        <v>0</v>
      </c>
      <c r="K2004" s="20">
        <f t="shared" si="240"/>
        <v>0</v>
      </c>
      <c r="L2004">
        <v>0</v>
      </c>
      <c r="M2004">
        <v>0</v>
      </c>
      <c r="N2004" s="21">
        <f t="shared" si="241"/>
        <v>0</v>
      </c>
      <c r="O2004">
        <v>0</v>
      </c>
      <c r="P2004">
        <v>0</v>
      </c>
      <c r="Q2004" s="21">
        <f t="shared" si="235"/>
        <v>0</v>
      </c>
      <c r="R2004">
        <v>0</v>
      </c>
      <c r="S2004">
        <v>0</v>
      </c>
      <c r="T2004" s="21">
        <f t="shared" si="236"/>
        <v>0</v>
      </c>
      <c r="U2004">
        <v>0</v>
      </c>
      <c r="V2004">
        <v>0</v>
      </c>
      <c r="W2004" s="21">
        <f t="shared" si="237"/>
        <v>0</v>
      </c>
      <c r="X2004">
        <v>0</v>
      </c>
      <c r="Y2004">
        <v>0</v>
      </c>
      <c r="Z2004" s="21">
        <f t="shared" si="238"/>
        <v>0</v>
      </c>
      <c r="AA2004">
        <v>0</v>
      </c>
      <c r="AB2004">
        <v>0</v>
      </c>
      <c r="AC2004" s="21">
        <f t="shared" si="239"/>
        <v>0</v>
      </c>
      <c r="AD2004">
        <v>0</v>
      </c>
      <c r="AE2004">
        <v>0</v>
      </c>
      <c r="AF2004" s="21">
        <f t="shared" si="242"/>
        <v>0</v>
      </c>
    </row>
    <row r="2005" spans="1:32" ht="15" customHeight="1" x14ac:dyDescent="0.3">
      <c r="A2005">
        <v>4</v>
      </c>
      <c r="B2005" s="2" t="s">
        <v>697</v>
      </c>
      <c r="C2005" s="4" t="s">
        <v>693</v>
      </c>
      <c r="D2005" s="3" t="s">
        <v>670</v>
      </c>
      <c r="E2005" s="6" t="s">
        <v>105</v>
      </c>
      <c r="F2005" s="6" t="s">
        <v>535</v>
      </c>
      <c r="G2005" s="6" t="s">
        <v>709</v>
      </c>
      <c r="H2005" s="23">
        <v>28000</v>
      </c>
      <c r="I2005">
        <v>40</v>
      </c>
      <c r="J2005">
        <v>2</v>
      </c>
      <c r="K2005" s="20">
        <f t="shared" si="240"/>
        <v>2240000</v>
      </c>
      <c r="L2005">
        <v>40</v>
      </c>
      <c r="M2005">
        <v>2</v>
      </c>
      <c r="N2005" s="21">
        <f t="shared" si="241"/>
        <v>2240000</v>
      </c>
      <c r="O2005">
        <v>40</v>
      </c>
      <c r="P2005">
        <v>2</v>
      </c>
      <c r="Q2005" s="21">
        <f t="shared" si="235"/>
        <v>2240000</v>
      </c>
      <c r="R2005">
        <v>40</v>
      </c>
      <c r="S2005">
        <v>2</v>
      </c>
      <c r="T2005" s="21">
        <f t="shared" si="236"/>
        <v>2240000</v>
      </c>
      <c r="U2005">
        <v>40</v>
      </c>
      <c r="V2005">
        <v>2</v>
      </c>
      <c r="W2005" s="21">
        <f t="shared" si="237"/>
        <v>2240000</v>
      </c>
      <c r="X2005">
        <v>0</v>
      </c>
      <c r="Y2005">
        <v>0</v>
      </c>
      <c r="Z2005" s="21">
        <f t="shared" si="238"/>
        <v>0</v>
      </c>
      <c r="AA2005">
        <v>0</v>
      </c>
      <c r="AB2005">
        <v>0</v>
      </c>
      <c r="AC2005" s="21">
        <f t="shared" si="239"/>
        <v>0</v>
      </c>
      <c r="AD2005">
        <v>0</v>
      </c>
      <c r="AE2005">
        <v>0</v>
      </c>
      <c r="AF2005" s="21">
        <f t="shared" si="242"/>
        <v>0</v>
      </c>
    </row>
    <row r="2006" spans="1:32" ht="15" customHeight="1" x14ac:dyDescent="0.3">
      <c r="A2006">
        <v>4</v>
      </c>
      <c r="B2006" s="2" t="s">
        <v>697</v>
      </c>
      <c r="C2006" s="4" t="s">
        <v>693</v>
      </c>
      <c r="D2006" s="3" t="s">
        <v>670</v>
      </c>
      <c r="E2006" s="6" t="s">
        <v>105</v>
      </c>
      <c r="F2006" s="6" t="s">
        <v>536</v>
      </c>
      <c r="G2006" s="6" t="s">
        <v>709</v>
      </c>
      <c r="H2006" s="23">
        <v>28000</v>
      </c>
      <c r="I2006">
        <v>20</v>
      </c>
      <c r="J2006">
        <v>2</v>
      </c>
      <c r="K2006" s="20">
        <f t="shared" si="240"/>
        <v>1120000</v>
      </c>
      <c r="L2006">
        <v>20</v>
      </c>
      <c r="M2006">
        <v>2</v>
      </c>
      <c r="N2006" s="21">
        <f t="shared" si="241"/>
        <v>1120000</v>
      </c>
      <c r="O2006">
        <v>20</v>
      </c>
      <c r="P2006">
        <v>2</v>
      </c>
      <c r="Q2006" s="21">
        <f t="shared" si="235"/>
        <v>1120000</v>
      </c>
      <c r="R2006">
        <v>20</v>
      </c>
      <c r="S2006">
        <v>2</v>
      </c>
      <c r="T2006" s="21">
        <f t="shared" si="236"/>
        <v>1120000</v>
      </c>
      <c r="U2006">
        <v>20</v>
      </c>
      <c r="V2006">
        <v>2</v>
      </c>
      <c r="W2006" s="21">
        <f t="shared" si="237"/>
        <v>1120000</v>
      </c>
      <c r="X2006">
        <v>0</v>
      </c>
      <c r="Y2006">
        <v>0</v>
      </c>
      <c r="Z2006" s="21">
        <f t="shared" si="238"/>
        <v>0</v>
      </c>
      <c r="AA2006">
        <v>0</v>
      </c>
      <c r="AB2006">
        <v>0</v>
      </c>
      <c r="AC2006" s="21">
        <f t="shared" si="239"/>
        <v>0</v>
      </c>
      <c r="AD2006">
        <v>0</v>
      </c>
      <c r="AE2006">
        <v>0</v>
      </c>
      <c r="AF2006" s="21">
        <f t="shared" si="242"/>
        <v>0</v>
      </c>
    </row>
    <row r="2007" spans="1:32" ht="15" customHeight="1" x14ac:dyDescent="0.3">
      <c r="A2007">
        <v>4</v>
      </c>
      <c r="B2007" s="2" t="s">
        <v>697</v>
      </c>
      <c r="C2007" s="4" t="s">
        <v>693</v>
      </c>
      <c r="D2007" s="3" t="s">
        <v>670</v>
      </c>
      <c r="E2007" s="6" t="s">
        <v>106</v>
      </c>
      <c r="F2007" s="6" t="s">
        <v>537</v>
      </c>
      <c r="G2007" s="6" t="s">
        <v>718</v>
      </c>
      <c r="H2007" s="23">
        <v>0</v>
      </c>
      <c r="I2007">
        <v>0</v>
      </c>
      <c r="J2007">
        <v>0</v>
      </c>
      <c r="K2007" s="20">
        <f t="shared" si="240"/>
        <v>0</v>
      </c>
      <c r="L2007">
        <v>0</v>
      </c>
      <c r="M2007">
        <v>0</v>
      </c>
      <c r="N2007" s="21">
        <f t="shared" si="241"/>
        <v>0</v>
      </c>
      <c r="O2007">
        <v>0</v>
      </c>
      <c r="P2007">
        <v>0</v>
      </c>
      <c r="Q2007" s="21">
        <f t="shared" si="235"/>
        <v>0</v>
      </c>
      <c r="R2007">
        <v>0</v>
      </c>
      <c r="S2007">
        <v>0</v>
      </c>
      <c r="T2007" s="21">
        <f t="shared" si="236"/>
        <v>0</v>
      </c>
      <c r="U2007">
        <v>0</v>
      </c>
      <c r="V2007">
        <v>0</v>
      </c>
      <c r="W2007" s="21">
        <f t="shared" si="237"/>
        <v>0</v>
      </c>
      <c r="X2007">
        <v>0</v>
      </c>
      <c r="Y2007">
        <v>0</v>
      </c>
      <c r="Z2007" s="21">
        <f t="shared" si="238"/>
        <v>0</v>
      </c>
      <c r="AA2007">
        <v>0</v>
      </c>
      <c r="AB2007">
        <v>0</v>
      </c>
      <c r="AC2007" s="21">
        <f t="shared" si="239"/>
        <v>0</v>
      </c>
      <c r="AD2007">
        <v>0</v>
      </c>
      <c r="AE2007">
        <v>0</v>
      </c>
      <c r="AF2007" s="21">
        <f t="shared" si="242"/>
        <v>0</v>
      </c>
    </row>
    <row r="2008" spans="1:32" ht="15" customHeight="1" x14ac:dyDescent="0.3">
      <c r="A2008">
        <v>4</v>
      </c>
      <c r="B2008" s="2" t="s">
        <v>697</v>
      </c>
      <c r="C2008" s="4" t="s">
        <v>693</v>
      </c>
      <c r="D2008" s="3" t="s">
        <v>670</v>
      </c>
      <c r="E2008" s="6" t="s">
        <v>106</v>
      </c>
      <c r="F2008" s="6" t="s">
        <v>184</v>
      </c>
      <c r="G2008" s="6" t="s">
        <v>718</v>
      </c>
      <c r="H2008" s="23">
        <v>0</v>
      </c>
      <c r="I2008">
        <v>0</v>
      </c>
      <c r="J2008">
        <v>0</v>
      </c>
      <c r="K2008" s="20">
        <f t="shared" si="240"/>
        <v>0</v>
      </c>
      <c r="L2008">
        <v>0</v>
      </c>
      <c r="M2008">
        <v>0</v>
      </c>
      <c r="N2008" s="21">
        <f t="shared" si="241"/>
        <v>0</v>
      </c>
      <c r="O2008">
        <v>0</v>
      </c>
      <c r="P2008">
        <v>0</v>
      </c>
      <c r="Q2008" s="21">
        <f t="shared" si="235"/>
        <v>0</v>
      </c>
      <c r="R2008">
        <v>0</v>
      </c>
      <c r="S2008">
        <v>0</v>
      </c>
      <c r="T2008" s="21">
        <f t="shared" si="236"/>
        <v>0</v>
      </c>
      <c r="U2008">
        <v>0</v>
      </c>
      <c r="V2008">
        <v>0</v>
      </c>
      <c r="W2008" s="21">
        <f t="shared" si="237"/>
        <v>0</v>
      </c>
      <c r="X2008">
        <v>0</v>
      </c>
      <c r="Y2008">
        <v>0</v>
      </c>
      <c r="Z2008" s="21">
        <f t="shared" si="238"/>
        <v>0</v>
      </c>
      <c r="AA2008">
        <v>0</v>
      </c>
      <c r="AB2008">
        <v>0</v>
      </c>
      <c r="AC2008" s="21">
        <f t="shared" si="239"/>
        <v>0</v>
      </c>
      <c r="AD2008">
        <v>0</v>
      </c>
      <c r="AE2008">
        <v>0</v>
      </c>
      <c r="AF2008" s="21">
        <f t="shared" si="242"/>
        <v>0</v>
      </c>
    </row>
    <row r="2009" spans="1:32" ht="15" customHeight="1" x14ac:dyDescent="0.3">
      <c r="A2009">
        <v>4</v>
      </c>
      <c r="B2009" s="2" t="s">
        <v>697</v>
      </c>
      <c r="C2009" s="4" t="s">
        <v>693</v>
      </c>
      <c r="D2009" s="3" t="s">
        <v>670</v>
      </c>
      <c r="E2009" s="6" t="s">
        <v>106</v>
      </c>
      <c r="F2009" s="6" t="s">
        <v>538</v>
      </c>
      <c r="G2009" s="6" t="s">
        <v>718</v>
      </c>
      <c r="H2009" s="23">
        <v>0</v>
      </c>
      <c r="I2009">
        <v>0</v>
      </c>
      <c r="J2009">
        <v>0</v>
      </c>
      <c r="K2009" s="20">
        <f t="shared" si="240"/>
        <v>0</v>
      </c>
      <c r="L2009">
        <v>0</v>
      </c>
      <c r="M2009">
        <v>0</v>
      </c>
      <c r="N2009" s="21">
        <f t="shared" si="241"/>
        <v>0</v>
      </c>
      <c r="O2009">
        <v>0</v>
      </c>
      <c r="P2009">
        <v>0</v>
      </c>
      <c r="Q2009" s="21">
        <f t="shared" si="235"/>
        <v>0</v>
      </c>
      <c r="R2009">
        <v>0</v>
      </c>
      <c r="S2009">
        <v>0</v>
      </c>
      <c r="T2009" s="21">
        <f t="shared" si="236"/>
        <v>0</v>
      </c>
      <c r="U2009">
        <v>0</v>
      </c>
      <c r="V2009">
        <v>0</v>
      </c>
      <c r="W2009" s="21">
        <f t="shared" si="237"/>
        <v>0</v>
      </c>
      <c r="X2009">
        <v>0</v>
      </c>
      <c r="Y2009">
        <v>0</v>
      </c>
      <c r="Z2009" s="21">
        <f t="shared" si="238"/>
        <v>0</v>
      </c>
      <c r="AA2009">
        <v>0</v>
      </c>
      <c r="AB2009">
        <v>0</v>
      </c>
      <c r="AC2009" s="21">
        <f t="shared" si="239"/>
        <v>0</v>
      </c>
      <c r="AD2009">
        <v>0</v>
      </c>
      <c r="AE2009">
        <v>0</v>
      </c>
      <c r="AF2009" s="21">
        <f t="shared" si="242"/>
        <v>0</v>
      </c>
    </row>
    <row r="2010" spans="1:32" ht="15" customHeight="1" x14ac:dyDescent="0.3">
      <c r="A2010">
        <v>4</v>
      </c>
      <c r="B2010" s="2" t="s">
        <v>697</v>
      </c>
      <c r="C2010" s="4" t="s">
        <v>693</v>
      </c>
      <c r="D2010" s="3" t="s">
        <v>670</v>
      </c>
      <c r="E2010" s="6" t="s">
        <v>106</v>
      </c>
      <c r="F2010" s="6" t="s">
        <v>539</v>
      </c>
      <c r="G2010" s="6" t="s">
        <v>707</v>
      </c>
      <c r="H2010" s="23">
        <v>391991.03749999998</v>
      </c>
      <c r="I2010">
        <v>0</v>
      </c>
      <c r="J2010">
        <v>0</v>
      </c>
      <c r="K2010" s="20">
        <f t="shared" si="240"/>
        <v>0</v>
      </c>
      <c r="L2010">
        <v>0</v>
      </c>
      <c r="M2010">
        <v>0</v>
      </c>
      <c r="N2010" s="21">
        <f t="shared" si="241"/>
        <v>0</v>
      </c>
      <c r="O2010">
        <v>0</v>
      </c>
      <c r="P2010">
        <v>0</v>
      </c>
      <c r="Q2010" s="21">
        <f t="shared" si="235"/>
        <v>0</v>
      </c>
      <c r="R2010">
        <v>0</v>
      </c>
      <c r="S2010">
        <v>0</v>
      </c>
      <c r="T2010" s="21">
        <f t="shared" si="236"/>
        <v>0</v>
      </c>
      <c r="U2010">
        <v>1</v>
      </c>
      <c r="V2010">
        <v>4</v>
      </c>
      <c r="W2010" s="21">
        <f t="shared" si="237"/>
        <v>1567964.15</v>
      </c>
      <c r="X2010">
        <v>0</v>
      </c>
      <c r="Y2010">
        <v>0</v>
      </c>
      <c r="Z2010" s="21">
        <f t="shared" si="238"/>
        <v>0</v>
      </c>
      <c r="AA2010">
        <v>0</v>
      </c>
      <c r="AB2010">
        <v>0</v>
      </c>
      <c r="AC2010" s="21">
        <f t="shared" si="239"/>
        <v>0</v>
      </c>
      <c r="AD2010">
        <v>0</v>
      </c>
      <c r="AE2010">
        <v>0</v>
      </c>
      <c r="AF2010" s="21">
        <f t="shared" si="242"/>
        <v>0</v>
      </c>
    </row>
    <row r="2011" spans="1:32" ht="15" customHeight="1" x14ac:dyDescent="0.3">
      <c r="A2011">
        <v>4</v>
      </c>
      <c r="B2011" s="2" t="s">
        <v>697</v>
      </c>
      <c r="C2011" s="4" t="s">
        <v>693</v>
      </c>
      <c r="D2011" s="3" t="s">
        <v>670</v>
      </c>
      <c r="E2011" s="6" t="s">
        <v>106</v>
      </c>
      <c r="F2011" s="6" t="s">
        <v>539</v>
      </c>
      <c r="G2011" s="6" t="s">
        <v>708</v>
      </c>
      <c r="H2011" s="23">
        <v>425000</v>
      </c>
      <c r="I2011">
        <v>0</v>
      </c>
      <c r="J2011">
        <v>0</v>
      </c>
      <c r="K2011" s="20">
        <f t="shared" si="240"/>
        <v>0</v>
      </c>
      <c r="L2011">
        <v>0</v>
      </c>
      <c r="M2011">
        <v>0</v>
      </c>
      <c r="N2011" s="21">
        <f t="shared" si="241"/>
        <v>0</v>
      </c>
      <c r="O2011">
        <v>0</v>
      </c>
      <c r="P2011">
        <v>0</v>
      </c>
      <c r="Q2011" s="21">
        <f t="shared" si="235"/>
        <v>0</v>
      </c>
      <c r="R2011">
        <v>0</v>
      </c>
      <c r="S2011">
        <v>0</v>
      </c>
      <c r="T2011" s="21">
        <f t="shared" si="236"/>
        <v>0</v>
      </c>
      <c r="U2011">
        <v>1</v>
      </c>
      <c r="V2011">
        <v>40</v>
      </c>
      <c r="W2011" s="21">
        <f t="shared" si="237"/>
        <v>17000000</v>
      </c>
      <c r="X2011">
        <v>0</v>
      </c>
      <c r="Y2011">
        <v>0</v>
      </c>
      <c r="Z2011" s="21">
        <f t="shared" si="238"/>
        <v>0</v>
      </c>
      <c r="AA2011">
        <v>0</v>
      </c>
      <c r="AB2011">
        <v>0</v>
      </c>
      <c r="AC2011" s="21">
        <f t="shared" si="239"/>
        <v>0</v>
      </c>
      <c r="AD2011">
        <v>0</v>
      </c>
      <c r="AE2011">
        <v>0</v>
      </c>
      <c r="AF2011" s="21">
        <f t="shared" si="242"/>
        <v>0</v>
      </c>
    </row>
    <row r="2012" spans="1:32" ht="15" customHeight="1" x14ac:dyDescent="0.3">
      <c r="A2012">
        <v>4</v>
      </c>
      <c r="B2012" s="2" t="s">
        <v>697</v>
      </c>
      <c r="C2012" s="4" t="s">
        <v>693</v>
      </c>
      <c r="D2012" s="3" t="s">
        <v>670</v>
      </c>
      <c r="E2012" s="6" t="s">
        <v>106</v>
      </c>
      <c r="F2012" s="6" t="s">
        <v>540</v>
      </c>
      <c r="G2012" s="6" t="s">
        <v>789</v>
      </c>
      <c r="H2012" s="23">
        <v>612513375</v>
      </c>
      <c r="I2012">
        <v>0</v>
      </c>
      <c r="J2012">
        <v>0</v>
      </c>
      <c r="K2012" s="20">
        <f t="shared" si="240"/>
        <v>0</v>
      </c>
      <c r="L2012">
        <v>0</v>
      </c>
      <c r="M2012">
        <v>0</v>
      </c>
      <c r="N2012" s="21">
        <f t="shared" si="241"/>
        <v>0</v>
      </c>
      <c r="O2012">
        <v>0</v>
      </c>
      <c r="P2012">
        <v>0</v>
      </c>
      <c r="Q2012" s="21">
        <f t="shared" si="235"/>
        <v>0</v>
      </c>
      <c r="R2012">
        <v>0</v>
      </c>
      <c r="S2012">
        <v>0</v>
      </c>
      <c r="T2012" s="21">
        <f t="shared" si="236"/>
        <v>0</v>
      </c>
      <c r="U2012">
        <v>1</v>
      </c>
      <c r="V2012">
        <v>1</v>
      </c>
      <c r="W2012" s="21">
        <f t="shared" si="237"/>
        <v>612513375</v>
      </c>
      <c r="X2012">
        <v>0</v>
      </c>
      <c r="Y2012">
        <v>0</v>
      </c>
      <c r="Z2012" s="21">
        <f t="shared" si="238"/>
        <v>0</v>
      </c>
      <c r="AA2012">
        <v>0</v>
      </c>
      <c r="AB2012">
        <v>0</v>
      </c>
      <c r="AC2012" s="21">
        <f t="shared" si="239"/>
        <v>0</v>
      </c>
      <c r="AD2012">
        <v>0</v>
      </c>
      <c r="AE2012">
        <v>0</v>
      </c>
      <c r="AF2012" s="21">
        <f t="shared" si="242"/>
        <v>0</v>
      </c>
    </row>
    <row r="2013" spans="1:32" ht="15" customHeight="1" x14ac:dyDescent="0.3">
      <c r="A2013">
        <v>4</v>
      </c>
      <c r="B2013" s="2" t="s">
        <v>697</v>
      </c>
      <c r="C2013" s="4" t="s">
        <v>693</v>
      </c>
      <c r="D2013" s="3" t="s">
        <v>671</v>
      </c>
      <c r="E2013" s="6" t="s">
        <v>107</v>
      </c>
      <c r="F2013" s="6" t="s">
        <v>541</v>
      </c>
      <c r="G2013" s="6" t="s">
        <v>716</v>
      </c>
      <c r="H2013" s="23">
        <v>39000</v>
      </c>
      <c r="I2013">
        <v>0</v>
      </c>
      <c r="J2013">
        <v>0</v>
      </c>
      <c r="K2013" s="20">
        <f t="shared" si="240"/>
        <v>0</v>
      </c>
      <c r="L2013">
        <v>0</v>
      </c>
      <c r="M2013">
        <v>0</v>
      </c>
      <c r="N2013" s="21">
        <f t="shared" si="241"/>
        <v>0</v>
      </c>
      <c r="O2013">
        <v>0</v>
      </c>
      <c r="P2013">
        <v>0</v>
      </c>
      <c r="Q2013" s="21">
        <f t="shared" si="235"/>
        <v>0</v>
      </c>
      <c r="R2013">
        <v>0</v>
      </c>
      <c r="S2013">
        <v>0</v>
      </c>
      <c r="T2013" s="21">
        <f t="shared" si="236"/>
        <v>0</v>
      </c>
      <c r="U2013">
        <v>0</v>
      </c>
      <c r="V2013">
        <v>0</v>
      </c>
      <c r="W2013" s="21">
        <f t="shared" si="237"/>
        <v>0</v>
      </c>
      <c r="X2013">
        <v>0</v>
      </c>
      <c r="Y2013">
        <v>0</v>
      </c>
      <c r="Z2013" s="21">
        <f t="shared" si="238"/>
        <v>0</v>
      </c>
      <c r="AA2013">
        <v>0</v>
      </c>
      <c r="AB2013">
        <v>0</v>
      </c>
      <c r="AC2013" s="21">
        <f t="shared" si="239"/>
        <v>0</v>
      </c>
      <c r="AD2013">
        <v>0</v>
      </c>
      <c r="AE2013">
        <v>0</v>
      </c>
      <c r="AF2013" s="21">
        <f t="shared" si="242"/>
        <v>0</v>
      </c>
    </row>
    <row r="2014" spans="1:32" ht="15" customHeight="1" x14ac:dyDescent="0.3">
      <c r="A2014">
        <v>4</v>
      </c>
      <c r="B2014" s="2" t="s">
        <v>697</v>
      </c>
      <c r="C2014" s="4" t="s">
        <v>693</v>
      </c>
      <c r="D2014" s="3" t="s">
        <v>671</v>
      </c>
      <c r="E2014" s="6" t="s">
        <v>107</v>
      </c>
      <c r="F2014" s="6" t="s">
        <v>541</v>
      </c>
      <c r="G2014" s="6" t="s">
        <v>709</v>
      </c>
      <c r="H2014" s="23">
        <v>28000</v>
      </c>
      <c r="I2014">
        <v>0</v>
      </c>
      <c r="J2014">
        <v>0</v>
      </c>
      <c r="K2014" s="20">
        <f t="shared" si="240"/>
        <v>0</v>
      </c>
      <c r="L2014">
        <v>0</v>
      </c>
      <c r="M2014">
        <v>0</v>
      </c>
      <c r="N2014" s="21">
        <f t="shared" si="241"/>
        <v>0</v>
      </c>
      <c r="O2014">
        <v>0</v>
      </c>
      <c r="P2014">
        <v>0</v>
      </c>
      <c r="Q2014" s="21">
        <f t="shared" si="235"/>
        <v>0</v>
      </c>
      <c r="R2014">
        <v>0</v>
      </c>
      <c r="S2014">
        <v>0</v>
      </c>
      <c r="T2014" s="21">
        <f t="shared" si="236"/>
        <v>0</v>
      </c>
      <c r="U2014">
        <v>0</v>
      </c>
      <c r="V2014">
        <v>0</v>
      </c>
      <c r="W2014" s="21">
        <f t="shared" si="237"/>
        <v>0</v>
      </c>
      <c r="X2014">
        <v>0</v>
      </c>
      <c r="Y2014">
        <v>0</v>
      </c>
      <c r="Z2014" s="21">
        <f t="shared" si="238"/>
        <v>0</v>
      </c>
      <c r="AA2014">
        <v>0</v>
      </c>
      <c r="AB2014">
        <v>0</v>
      </c>
      <c r="AC2014" s="21">
        <f t="shared" si="239"/>
        <v>0</v>
      </c>
      <c r="AD2014">
        <v>0</v>
      </c>
      <c r="AE2014">
        <v>0</v>
      </c>
      <c r="AF2014" s="21">
        <f t="shared" si="242"/>
        <v>0</v>
      </c>
    </row>
    <row r="2015" spans="1:32" ht="15" customHeight="1" x14ac:dyDescent="0.3">
      <c r="A2015">
        <v>4</v>
      </c>
      <c r="B2015" s="2" t="s">
        <v>697</v>
      </c>
      <c r="C2015" s="4" t="s">
        <v>693</v>
      </c>
      <c r="D2015" s="3" t="s">
        <v>671</v>
      </c>
      <c r="E2015" s="6" t="s">
        <v>107</v>
      </c>
      <c r="F2015" s="6" t="s">
        <v>541</v>
      </c>
      <c r="G2015" s="6" t="s">
        <v>712</v>
      </c>
      <c r="H2015" s="23">
        <v>214.29</v>
      </c>
      <c r="I2015">
        <v>0</v>
      </c>
      <c r="J2015">
        <v>0</v>
      </c>
      <c r="K2015" s="20">
        <f t="shared" si="240"/>
        <v>0</v>
      </c>
      <c r="L2015">
        <v>0</v>
      </c>
      <c r="M2015">
        <v>0</v>
      </c>
      <c r="N2015" s="21">
        <f t="shared" si="241"/>
        <v>0</v>
      </c>
      <c r="O2015">
        <v>0</v>
      </c>
      <c r="P2015">
        <v>0</v>
      </c>
      <c r="Q2015" s="21">
        <f t="shared" si="235"/>
        <v>0</v>
      </c>
      <c r="R2015">
        <v>0</v>
      </c>
      <c r="S2015">
        <v>0</v>
      </c>
      <c r="T2015" s="21">
        <f t="shared" si="236"/>
        <v>0</v>
      </c>
      <c r="U2015">
        <v>0</v>
      </c>
      <c r="V2015">
        <v>0</v>
      </c>
      <c r="W2015" s="21">
        <f t="shared" si="237"/>
        <v>0</v>
      </c>
      <c r="X2015">
        <v>0</v>
      </c>
      <c r="Y2015">
        <v>0</v>
      </c>
      <c r="Z2015" s="21">
        <f t="shared" si="238"/>
        <v>0</v>
      </c>
      <c r="AA2015">
        <v>0</v>
      </c>
      <c r="AB2015">
        <v>0</v>
      </c>
      <c r="AC2015" s="21">
        <f t="shared" si="239"/>
        <v>0</v>
      </c>
      <c r="AD2015">
        <v>0</v>
      </c>
      <c r="AE2015">
        <v>0</v>
      </c>
      <c r="AF2015" s="21">
        <f t="shared" si="242"/>
        <v>0</v>
      </c>
    </row>
    <row r="2016" spans="1:32" ht="15" customHeight="1" x14ac:dyDescent="0.3">
      <c r="A2016">
        <v>4</v>
      </c>
      <c r="B2016" s="2" t="s">
        <v>697</v>
      </c>
      <c r="C2016" s="4" t="s">
        <v>693</v>
      </c>
      <c r="D2016" s="3" t="s">
        <v>671</v>
      </c>
      <c r="E2016" s="6" t="s">
        <v>107</v>
      </c>
      <c r="F2016" s="6" t="s">
        <v>542</v>
      </c>
      <c r="G2016" s="6" t="s">
        <v>716</v>
      </c>
      <c r="H2016" s="23">
        <v>39000</v>
      </c>
      <c r="I2016">
        <v>0</v>
      </c>
      <c r="J2016">
        <v>0</v>
      </c>
      <c r="K2016" s="20">
        <f t="shared" si="240"/>
        <v>0</v>
      </c>
      <c r="L2016">
        <v>0</v>
      </c>
      <c r="M2016">
        <v>0</v>
      </c>
      <c r="N2016" s="21">
        <f t="shared" si="241"/>
        <v>0</v>
      </c>
      <c r="O2016">
        <v>0</v>
      </c>
      <c r="P2016">
        <v>0</v>
      </c>
      <c r="Q2016" s="21">
        <f t="shared" si="235"/>
        <v>0</v>
      </c>
      <c r="R2016">
        <v>0</v>
      </c>
      <c r="S2016">
        <v>0</v>
      </c>
      <c r="T2016" s="21">
        <f t="shared" si="236"/>
        <v>0</v>
      </c>
      <c r="U2016">
        <v>0</v>
      </c>
      <c r="V2016">
        <v>0</v>
      </c>
      <c r="W2016" s="21">
        <f t="shared" si="237"/>
        <v>0</v>
      </c>
      <c r="X2016">
        <v>0</v>
      </c>
      <c r="Y2016">
        <v>0</v>
      </c>
      <c r="Z2016" s="21">
        <f t="shared" si="238"/>
        <v>0</v>
      </c>
      <c r="AA2016">
        <v>0</v>
      </c>
      <c r="AB2016">
        <v>0</v>
      </c>
      <c r="AC2016" s="21">
        <f t="shared" si="239"/>
        <v>0</v>
      </c>
      <c r="AD2016">
        <v>0</v>
      </c>
      <c r="AE2016">
        <v>0</v>
      </c>
      <c r="AF2016" s="21">
        <f t="shared" si="242"/>
        <v>0</v>
      </c>
    </row>
    <row r="2017" spans="1:32" ht="15" customHeight="1" x14ac:dyDescent="0.3">
      <c r="A2017">
        <v>4</v>
      </c>
      <c r="B2017" s="2" t="s">
        <v>697</v>
      </c>
      <c r="C2017" s="4" t="s">
        <v>693</v>
      </c>
      <c r="D2017" s="3" t="s">
        <v>671</v>
      </c>
      <c r="E2017" s="6" t="s">
        <v>107</v>
      </c>
      <c r="F2017" s="6" t="s">
        <v>542</v>
      </c>
      <c r="G2017" s="6" t="s">
        <v>709</v>
      </c>
      <c r="H2017" s="23">
        <v>28000</v>
      </c>
      <c r="I2017">
        <v>0</v>
      </c>
      <c r="J2017">
        <v>0</v>
      </c>
      <c r="K2017" s="20">
        <f t="shared" si="240"/>
        <v>0</v>
      </c>
      <c r="L2017">
        <v>0</v>
      </c>
      <c r="M2017">
        <v>0</v>
      </c>
      <c r="N2017" s="21">
        <f t="shared" si="241"/>
        <v>0</v>
      </c>
      <c r="O2017">
        <v>0</v>
      </c>
      <c r="P2017">
        <v>0</v>
      </c>
      <c r="Q2017" s="21">
        <f t="shared" si="235"/>
        <v>0</v>
      </c>
      <c r="R2017">
        <v>0</v>
      </c>
      <c r="S2017">
        <v>0</v>
      </c>
      <c r="T2017" s="21">
        <f t="shared" si="236"/>
        <v>0</v>
      </c>
      <c r="U2017">
        <v>0</v>
      </c>
      <c r="V2017">
        <v>0</v>
      </c>
      <c r="W2017" s="21">
        <f t="shared" si="237"/>
        <v>0</v>
      </c>
      <c r="X2017">
        <v>0</v>
      </c>
      <c r="Y2017">
        <v>0</v>
      </c>
      <c r="Z2017" s="21">
        <f t="shared" si="238"/>
        <v>0</v>
      </c>
      <c r="AA2017">
        <v>0</v>
      </c>
      <c r="AB2017">
        <v>0</v>
      </c>
      <c r="AC2017" s="21">
        <f t="shared" si="239"/>
        <v>0</v>
      </c>
      <c r="AD2017">
        <v>0</v>
      </c>
      <c r="AE2017">
        <v>0</v>
      </c>
      <c r="AF2017" s="21">
        <f t="shared" si="242"/>
        <v>0</v>
      </c>
    </row>
    <row r="2018" spans="1:32" ht="15" customHeight="1" x14ac:dyDescent="0.3">
      <c r="A2018">
        <v>4</v>
      </c>
      <c r="B2018" s="2" t="s">
        <v>697</v>
      </c>
      <c r="C2018" s="4" t="s">
        <v>693</v>
      </c>
      <c r="D2018" s="3" t="s">
        <v>671</v>
      </c>
      <c r="E2018" s="6" t="s">
        <v>107</v>
      </c>
      <c r="F2018" s="6" t="s">
        <v>542</v>
      </c>
      <c r="G2018" s="6" t="s">
        <v>712</v>
      </c>
      <c r="H2018" s="23">
        <v>214.29</v>
      </c>
      <c r="I2018">
        <v>0</v>
      </c>
      <c r="J2018">
        <v>0</v>
      </c>
      <c r="K2018" s="20">
        <f t="shared" si="240"/>
        <v>0</v>
      </c>
      <c r="L2018">
        <v>0</v>
      </c>
      <c r="M2018">
        <v>0</v>
      </c>
      <c r="N2018" s="21">
        <f t="shared" si="241"/>
        <v>0</v>
      </c>
      <c r="O2018">
        <v>0</v>
      </c>
      <c r="P2018">
        <v>0</v>
      </c>
      <c r="Q2018" s="21">
        <f t="shared" si="235"/>
        <v>0</v>
      </c>
      <c r="R2018">
        <v>0</v>
      </c>
      <c r="S2018">
        <v>0</v>
      </c>
      <c r="T2018" s="21">
        <f t="shared" si="236"/>
        <v>0</v>
      </c>
      <c r="U2018">
        <v>0</v>
      </c>
      <c r="V2018">
        <v>0</v>
      </c>
      <c r="W2018" s="21">
        <f t="shared" si="237"/>
        <v>0</v>
      </c>
      <c r="X2018">
        <v>0</v>
      </c>
      <c r="Y2018">
        <v>0</v>
      </c>
      <c r="Z2018" s="21">
        <f t="shared" si="238"/>
        <v>0</v>
      </c>
      <c r="AA2018">
        <v>0</v>
      </c>
      <c r="AB2018">
        <v>0</v>
      </c>
      <c r="AC2018" s="21">
        <f t="shared" si="239"/>
        <v>0</v>
      </c>
      <c r="AD2018">
        <v>0</v>
      </c>
      <c r="AE2018">
        <v>0</v>
      </c>
      <c r="AF2018" s="21">
        <f t="shared" si="242"/>
        <v>0</v>
      </c>
    </row>
    <row r="2019" spans="1:32" ht="15" customHeight="1" x14ac:dyDescent="0.3">
      <c r="A2019">
        <v>4</v>
      </c>
      <c r="B2019" s="2" t="s">
        <v>697</v>
      </c>
      <c r="C2019" s="4" t="s">
        <v>693</v>
      </c>
      <c r="D2019" s="3" t="s">
        <v>672</v>
      </c>
      <c r="E2019" s="6" t="s">
        <v>107</v>
      </c>
      <c r="F2019" s="6" t="s">
        <v>543</v>
      </c>
      <c r="G2019" s="6" t="s">
        <v>709</v>
      </c>
      <c r="H2019" s="23">
        <v>28000</v>
      </c>
      <c r="I2019">
        <v>0</v>
      </c>
      <c r="J2019">
        <v>0</v>
      </c>
      <c r="K2019" s="20">
        <f t="shared" si="240"/>
        <v>0</v>
      </c>
      <c r="L2019">
        <v>0</v>
      </c>
      <c r="M2019">
        <v>0</v>
      </c>
      <c r="N2019" s="21">
        <f t="shared" si="241"/>
        <v>0</v>
      </c>
      <c r="O2019">
        <v>0</v>
      </c>
      <c r="P2019">
        <v>0</v>
      </c>
      <c r="Q2019" s="21">
        <f t="shared" si="235"/>
        <v>0</v>
      </c>
      <c r="R2019">
        <v>0</v>
      </c>
      <c r="S2019">
        <v>0</v>
      </c>
      <c r="T2019" s="21">
        <f t="shared" si="236"/>
        <v>0</v>
      </c>
      <c r="U2019">
        <v>0</v>
      </c>
      <c r="V2019">
        <v>0</v>
      </c>
      <c r="W2019" s="21">
        <f t="shared" si="237"/>
        <v>0</v>
      </c>
      <c r="X2019">
        <v>0</v>
      </c>
      <c r="Y2019">
        <v>0</v>
      </c>
      <c r="Z2019" s="21">
        <f t="shared" si="238"/>
        <v>0</v>
      </c>
      <c r="AA2019">
        <v>0</v>
      </c>
      <c r="AB2019">
        <v>0</v>
      </c>
      <c r="AC2019" s="21">
        <f t="shared" si="239"/>
        <v>0</v>
      </c>
      <c r="AD2019">
        <v>0</v>
      </c>
      <c r="AE2019">
        <v>0</v>
      </c>
      <c r="AF2019" s="21">
        <f t="shared" si="242"/>
        <v>0</v>
      </c>
    </row>
    <row r="2020" spans="1:32" ht="15" customHeight="1" x14ac:dyDescent="0.3">
      <c r="A2020">
        <v>4</v>
      </c>
      <c r="B2020" s="2" t="s">
        <v>697</v>
      </c>
      <c r="C2020" s="4" t="s">
        <v>693</v>
      </c>
      <c r="D2020" s="3" t="s">
        <v>672</v>
      </c>
      <c r="E2020" s="6" t="s">
        <v>107</v>
      </c>
      <c r="F2020" s="6" t="s">
        <v>544</v>
      </c>
      <c r="G2020" s="6" t="s">
        <v>718</v>
      </c>
      <c r="H2020" s="23">
        <v>0</v>
      </c>
      <c r="I2020">
        <v>0</v>
      </c>
      <c r="J2020">
        <v>0</v>
      </c>
      <c r="K2020" s="20">
        <f t="shared" si="240"/>
        <v>0</v>
      </c>
      <c r="L2020">
        <v>0</v>
      </c>
      <c r="M2020">
        <v>0</v>
      </c>
      <c r="N2020" s="21">
        <f t="shared" si="241"/>
        <v>0</v>
      </c>
      <c r="O2020">
        <v>0</v>
      </c>
      <c r="P2020">
        <v>0</v>
      </c>
      <c r="Q2020" s="21">
        <f t="shared" si="235"/>
        <v>0</v>
      </c>
      <c r="R2020">
        <v>0</v>
      </c>
      <c r="S2020">
        <v>0</v>
      </c>
      <c r="T2020" s="21">
        <f t="shared" si="236"/>
        <v>0</v>
      </c>
      <c r="U2020">
        <v>0</v>
      </c>
      <c r="V2020">
        <v>0</v>
      </c>
      <c r="W2020" s="21">
        <f t="shared" si="237"/>
        <v>0</v>
      </c>
      <c r="X2020">
        <v>0</v>
      </c>
      <c r="Y2020">
        <v>0</v>
      </c>
      <c r="Z2020" s="21">
        <f t="shared" si="238"/>
        <v>0</v>
      </c>
      <c r="AA2020">
        <v>0</v>
      </c>
      <c r="AB2020">
        <v>0</v>
      </c>
      <c r="AC2020" s="21">
        <f t="shared" si="239"/>
        <v>0</v>
      </c>
      <c r="AD2020">
        <v>0</v>
      </c>
      <c r="AE2020">
        <v>0</v>
      </c>
      <c r="AF2020" s="21">
        <f t="shared" si="242"/>
        <v>0</v>
      </c>
    </row>
    <row r="2021" spans="1:32" ht="15" customHeight="1" x14ac:dyDescent="0.3">
      <c r="A2021">
        <v>4</v>
      </c>
      <c r="B2021" s="2" t="s">
        <v>697</v>
      </c>
      <c r="C2021" s="4" t="s">
        <v>693</v>
      </c>
      <c r="D2021" s="3" t="s">
        <v>672</v>
      </c>
      <c r="E2021" s="6" t="s">
        <v>107</v>
      </c>
      <c r="F2021" s="6" t="s">
        <v>156</v>
      </c>
      <c r="G2021" s="6" t="s">
        <v>711</v>
      </c>
      <c r="H2021" s="23">
        <v>70</v>
      </c>
      <c r="I2021">
        <v>0</v>
      </c>
      <c r="J2021">
        <v>0</v>
      </c>
      <c r="K2021" s="20">
        <f t="shared" si="240"/>
        <v>0</v>
      </c>
      <c r="L2021">
        <v>0</v>
      </c>
      <c r="M2021">
        <v>0</v>
      </c>
      <c r="N2021" s="21">
        <f t="shared" si="241"/>
        <v>0</v>
      </c>
      <c r="O2021">
        <v>0</v>
      </c>
      <c r="P2021">
        <v>0</v>
      </c>
      <c r="Q2021" s="21">
        <f t="shared" si="235"/>
        <v>0</v>
      </c>
      <c r="R2021">
        <v>0</v>
      </c>
      <c r="S2021">
        <v>0</v>
      </c>
      <c r="T2021" s="21">
        <f t="shared" si="236"/>
        <v>0</v>
      </c>
      <c r="U2021">
        <v>0</v>
      </c>
      <c r="V2021">
        <v>0</v>
      </c>
      <c r="W2021" s="21">
        <f t="shared" si="237"/>
        <v>0</v>
      </c>
      <c r="X2021">
        <v>0</v>
      </c>
      <c r="Y2021">
        <v>0</v>
      </c>
      <c r="Z2021" s="21">
        <f t="shared" si="238"/>
        <v>0</v>
      </c>
      <c r="AA2021">
        <v>0</v>
      </c>
      <c r="AB2021">
        <v>0</v>
      </c>
      <c r="AC2021" s="21">
        <f t="shared" si="239"/>
        <v>0</v>
      </c>
      <c r="AD2021">
        <v>0</v>
      </c>
      <c r="AE2021">
        <v>0</v>
      </c>
      <c r="AF2021" s="21">
        <f t="shared" si="242"/>
        <v>0</v>
      </c>
    </row>
    <row r="2022" spans="1:32" ht="15" customHeight="1" x14ac:dyDescent="0.3">
      <c r="A2022">
        <v>4</v>
      </c>
      <c r="B2022" s="2" t="s">
        <v>697</v>
      </c>
      <c r="C2022" s="4" t="s">
        <v>693</v>
      </c>
      <c r="D2022" s="3" t="s">
        <v>672</v>
      </c>
      <c r="E2022" s="6" t="s">
        <v>107</v>
      </c>
      <c r="F2022" s="6" t="s">
        <v>156</v>
      </c>
      <c r="G2022" s="6" t="s">
        <v>717</v>
      </c>
      <c r="H2022" s="23">
        <v>104850</v>
      </c>
      <c r="I2022">
        <v>0</v>
      </c>
      <c r="J2022">
        <v>0</v>
      </c>
      <c r="K2022" s="20">
        <f t="shared" si="240"/>
        <v>0</v>
      </c>
      <c r="L2022">
        <v>0</v>
      </c>
      <c r="M2022">
        <v>0</v>
      </c>
      <c r="N2022" s="21">
        <f t="shared" si="241"/>
        <v>0</v>
      </c>
      <c r="O2022">
        <v>0</v>
      </c>
      <c r="P2022">
        <v>0</v>
      </c>
      <c r="Q2022" s="21">
        <f t="shared" si="235"/>
        <v>0</v>
      </c>
      <c r="R2022">
        <v>0</v>
      </c>
      <c r="S2022">
        <v>0</v>
      </c>
      <c r="T2022" s="21">
        <f t="shared" si="236"/>
        <v>0</v>
      </c>
      <c r="U2022">
        <v>0</v>
      </c>
      <c r="V2022">
        <v>0</v>
      </c>
      <c r="W2022" s="21">
        <f t="shared" si="237"/>
        <v>0</v>
      </c>
      <c r="X2022">
        <v>0</v>
      </c>
      <c r="Y2022">
        <v>0</v>
      </c>
      <c r="Z2022" s="21">
        <f t="shared" si="238"/>
        <v>0</v>
      </c>
      <c r="AA2022">
        <v>0</v>
      </c>
      <c r="AB2022">
        <v>0</v>
      </c>
      <c r="AC2022" s="21">
        <f t="shared" si="239"/>
        <v>0</v>
      </c>
      <c r="AD2022">
        <v>0</v>
      </c>
      <c r="AE2022">
        <v>0</v>
      </c>
      <c r="AF2022" s="21">
        <f t="shared" si="242"/>
        <v>0</v>
      </c>
    </row>
    <row r="2023" spans="1:32" ht="15" customHeight="1" x14ac:dyDescent="0.3">
      <c r="A2023">
        <v>4</v>
      </c>
      <c r="B2023" s="2" t="s">
        <v>697</v>
      </c>
      <c r="C2023" s="4" t="s">
        <v>693</v>
      </c>
      <c r="D2023" s="3" t="s">
        <v>672</v>
      </c>
      <c r="E2023" s="6" t="s">
        <v>107</v>
      </c>
      <c r="F2023" s="6" t="s">
        <v>545</v>
      </c>
      <c r="G2023" s="6" t="s">
        <v>790</v>
      </c>
      <c r="H2023" s="23">
        <v>371004641.5</v>
      </c>
      <c r="I2023">
        <v>1</v>
      </c>
      <c r="J2023">
        <v>1</v>
      </c>
      <c r="K2023" s="20">
        <f t="shared" si="240"/>
        <v>371004641.5</v>
      </c>
      <c r="L2023">
        <v>0</v>
      </c>
      <c r="M2023">
        <v>0</v>
      </c>
      <c r="N2023" s="21">
        <f t="shared" si="241"/>
        <v>0</v>
      </c>
      <c r="O2023">
        <v>0</v>
      </c>
      <c r="P2023">
        <v>0</v>
      </c>
      <c r="Q2023" s="21">
        <f t="shared" si="235"/>
        <v>0</v>
      </c>
      <c r="R2023">
        <v>0</v>
      </c>
      <c r="S2023">
        <v>0</v>
      </c>
      <c r="T2023" s="21">
        <f t="shared" si="236"/>
        <v>0</v>
      </c>
      <c r="U2023">
        <v>0</v>
      </c>
      <c r="V2023">
        <v>0</v>
      </c>
      <c r="W2023" s="21">
        <f t="shared" si="237"/>
        <v>0</v>
      </c>
      <c r="X2023">
        <v>0</v>
      </c>
      <c r="Y2023">
        <v>0</v>
      </c>
      <c r="Z2023" s="21">
        <f t="shared" si="238"/>
        <v>0</v>
      </c>
      <c r="AA2023">
        <v>0</v>
      </c>
      <c r="AB2023">
        <v>0</v>
      </c>
      <c r="AC2023" s="21">
        <f t="shared" si="239"/>
        <v>0</v>
      </c>
      <c r="AD2023">
        <v>0</v>
      </c>
      <c r="AE2023">
        <v>0</v>
      </c>
      <c r="AF2023" s="21">
        <f t="shared" si="242"/>
        <v>0</v>
      </c>
    </row>
    <row r="2024" spans="1:32" ht="15" customHeight="1" x14ac:dyDescent="0.3">
      <c r="A2024">
        <v>4</v>
      </c>
      <c r="B2024" s="2" t="s">
        <v>697</v>
      </c>
      <c r="C2024" s="4" t="s">
        <v>693</v>
      </c>
      <c r="D2024" s="3" t="s">
        <v>672</v>
      </c>
      <c r="E2024" s="6" t="s">
        <v>107</v>
      </c>
      <c r="F2024" s="6" t="s">
        <v>545</v>
      </c>
      <c r="G2024" s="6" t="s">
        <v>791</v>
      </c>
      <c r="H2024" s="23">
        <v>512243318.44999999</v>
      </c>
      <c r="I2024">
        <v>0</v>
      </c>
      <c r="J2024">
        <v>0</v>
      </c>
      <c r="K2024" s="20">
        <f t="shared" si="240"/>
        <v>0</v>
      </c>
      <c r="L2024">
        <v>1</v>
      </c>
      <c r="M2024">
        <v>1</v>
      </c>
      <c r="N2024" s="21">
        <f t="shared" si="241"/>
        <v>512243318.44999999</v>
      </c>
      <c r="O2024">
        <v>0</v>
      </c>
      <c r="P2024">
        <v>0</v>
      </c>
      <c r="Q2024" s="21">
        <f t="shared" si="235"/>
        <v>0</v>
      </c>
      <c r="R2024">
        <v>0</v>
      </c>
      <c r="S2024">
        <v>0</v>
      </c>
      <c r="T2024" s="21">
        <f t="shared" si="236"/>
        <v>0</v>
      </c>
      <c r="U2024">
        <v>0</v>
      </c>
      <c r="V2024">
        <v>0</v>
      </c>
      <c r="W2024" s="21">
        <f t="shared" si="237"/>
        <v>0</v>
      </c>
      <c r="X2024">
        <v>0</v>
      </c>
      <c r="Y2024">
        <v>0</v>
      </c>
      <c r="Z2024" s="21">
        <f t="shared" si="238"/>
        <v>0</v>
      </c>
      <c r="AA2024">
        <v>0</v>
      </c>
      <c r="AB2024">
        <v>0</v>
      </c>
      <c r="AC2024" s="21">
        <f t="shared" si="239"/>
        <v>0</v>
      </c>
      <c r="AD2024">
        <v>0</v>
      </c>
      <c r="AE2024">
        <v>0</v>
      </c>
      <c r="AF2024" s="21">
        <f t="shared" si="242"/>
        <v>0</v>
      </c>
    </row>
    <row r="2025" spans="1:32" ht="15" customHeight="1" x14ac:dyDescent="0.3">
      <c r="A2025">
        <v>4</v>
      </c>
      <c r="B2025" s="2" t="s">
        <v>697</v>
      </c>
      <c r="C2025" s="4" t="s">
        <v>693</v>
      </c>
      <c r="D2025" s="3" t="s">
        <v>672</v>
      </c>
      <c r="E2025" s="6" t="s">
        <v>107</v>
      </c>
      <c r="F2025" s="6" t="s">
        <v>545</v>
      </c>
      <c r="G2025" s="6" t="s">
        <v>792</v>
      </c>
      <c r="H2025" s="23">
        <v>468848070.75</v>
      </c>
      <c r="I2025">
        <v>0</v>
      </c>
      <c r="J2025">
        <v>0</v>
      </c>
      <c r="K2025" s="20">
        <f t="shared" si="240"/>
        <v>0</v>
      </c>
      <c r="L2025">
        <v>0</v>
      </c>
      <c r="M2025">
        <v>0</v>
      </c>
      <c r="N2025" s="21">
        <f t="shared" si="241"/>
        <v>0</v>
      </c>
      <c r="O2025">
        <v>1</v>
      </c>
      <c r="P2025">
        <v>1</v>
      </c>
      <c r="Q2025" s="21">
        <f t="shared" si="235"/>
        <v>468848070.75</v>
      </c>
      <c r="R2025">
        <v>0</v>
      </c>
      <c r="S2025">
        <v>0</v>
      </c>
      <c r="T2025" s="21">
        <f t="shared" si="236"/>
        <v>0</v>
      </c>
      <c r="U2025">
        <v>0</v>
      </c>
      <c r="V2025">
        <v>0</v>
      </c>
      <c r="W2025" s="21">
        <f t="shared" si="237"/>
        <v>0</v>
      </c>
      <c r="X2025">
        <v>0</v>
      </c>
      <c r="Y2025">
        <v>0</v>
      </c>
      <c r="Z2025" s="21">
        <f t="shared" si="238"/>
        <v>0</v>
      </c>
      <c r="AA2025">
        <v>0</v>
      </c>
      <c r="AB2025">
        <v>0</v>
      </c>
      <c r="AC2025" s="21">
        <f t="shared" si="239"/>
        <v>0</v>
      </c>
      <c r="AD2025">
        <v>0</v>
      </c>
      <c r="AE2025">
        <v>0</v>
      </c>
      <c r="AF2025" s="21">
        <f t="shared" si="242"/>
        <v>0</v>
      </c>
    </row>
    <row r="2026" spans="1:32" ht="15" customHeight="1" x14ac:dyDescent="0.3">
      <c r="A2026">
        <v>4</v>
      </c>
      <c r="B2026" s="2" t="s">
        <v>697</v>
      </c>
      <c r="C2026" s="4" t="s">
        <v>693</v>
      </c>
      <c r="D2026" s="3" t="s">
        <v>672</v>
      </c>
      <c r="E2026" s="6" t="s">
        <v>107</v>
      </c>
      <c r="F2026" s="6" t="s">
        <v>545</v>
      </c>
      <c r="G2026" s="6" t="s">
        <v>793</v>
      </c>
      <c r="H2026" s="23">
        <v>100282000</v>
      </c>
      <c r="I2026">
        <v>0</v>
      </c>
      <c r="J2026">
        <v>0</v>
      </c>
      <c r="K2026" s="20">
        <f t="shared" si="240"/>
        <v>0</v>
      </c>
      <c r="L2026">
        <v>0</v>
      </c>
      <c r="M2026">
        <v>0</v>
      </c>
      <c r="N2026" s="21">
        <f t="shared" si="241"/>
        <v>0</v>
      </c>
      <c r="O2026">
        <v>0</v>
      </c>
      <c r="P2026">
        <v>0</v>
      </c>
      <c r="Q2026" s="21">
        <f t="shared" si="235"/>
        <v>0</v>
      </c>
      <c r="R2026">
        <v>1</v>
      </c>
      <c r="S2026">
        <v>1</v>
      </c>
      <c r="T2026" s="21">
        <f t="shared" si="236"/>
        <v>100282000</v>
      </c>
      <c r="U2026">
        <v>0</v>
      </c>
      <c r="V2026">
        <v>0</v>
      </c>
      <c r="W2026" s="21">
        <f t="shared" si="237"/>
        <v>0</v>
      </c>
      <c r="X2026">
        <v>0</v>
      </c>
      <c r="Y2026">
        <v>0</v>
      </c>
      <c r="Z2026" s="21">
        <f t="shared" si="238"/>
        <v>0</v>
      </c>
      <c r="AA2026">
        <v>0</v>
      </c>
      <c r="AB2026">
        <v>0</v>
      </c>
      <c r="AC2026" s="21">
        <f t="shared" si="239"/>
        <v>0</v>
      </c>
      <c r="AD2026">
        <v>0</v>
      </c>
      <c r="AE2026">
        <v>0</v>
      </c>
      <c r="AF2026" s="21">
        <f t="shared" si="242"/>
        <v>0</v>
      </c>
    </row>
    <row r="2027" spans="1:32" ht="15" customHeight="1" x14ac:dyDescent="0.3">
      <c r="A2027">
        <v>4</v>
      </c>
      <c r="B2027" s="2" t="s">
        <v>697</v>
      </c>
      <c r="C2027" s="4" t="s">
        <v>693</v>
      </c>
      <c r="D2027" s="3" t="s">
        <v>672</v>
      </c>
      <c r="E2027" s="6" t="s">
        <v>107</v>
      </c>
      <c r="F2027" s="6" t="s">
        <v>545</v>
      </c>
      <c r="G2027" s="6" t="s">
        <v>794</v>
      </c>
      <c r="H2027" s="23">
        <v>220346000</v>
      </c>
      <c r="I2027">
        <v>0</v>
      </c>
      <c r="J2027">
        <v>0</v>
      </c>
      <c r="K2027" s="20">
        <f t="shared" si="240"/>
        <v>0</v>
      </c>
      <c r="L2027">
        <v>0</v>
      </c>
      <c r="M2027">
        <v>0</v>
      </c>
      <c r="N2027" s="21">
        <f t="shared" si="241"/>
        <v>0</v>
      </c>
      <c r="O2027">
        <v>0</v>
      </c>
      <c r="P2027">
        <v>0</v>
      </c>
      <c r="Q2027" s="21">
        <f t="shared" si="235"/>
        <v>0</v>
      </c>
      <c r="R2027">
        <v>0</v>
      </c>
      <c r="S2027">
        <v>0</v>
      </c>
      <c r="T2027" s="21">
        <f t="shared" si="236"/>
        <v>0</v>
      </c>
      <c r="U2027">
        <v>1</v>
      </c>
      <c r="V2027">
        <v>1</v>
      </c>
      <c r="W2027" s="21">
        <f t="shared" si="237"/>
        <v>220346000</v>
      </c>
      <c r="X2027">
        <v>0</v>
      </c>
      <c r="Y2027">
        <v>0</v>
      </c>
      <c r="Z2027" s="21">
        <f t="shared" si="238"/>
        <v>0</v>
      </c>
      <c r="AA2027">
        <v>0</v>
      </c>
      <c r="AB2027">
        <v>0</v>
      </c>
      <c r="AC2027" s="21">
        <f t="shared" si="239"/>
        <v>0</v>
      </c>
      <c r="AD2027">
        <v>0</v>
      </c>
      <c r="AE2027">
        <v>0</v>
      </c>
      <c r="AF2027" s="21">
        <f t="shared" si="242"/>
        <v>0</v>
      </c>
    </row>
    <row r="2028" spans="1:32" ht="15" customHeight="1" x14ac:dyDescent="0.3">
      <c r="A2028">
        <v>4</v>
      </c>
      <c r="B2028" s="2" t="s">
        <v>697</v>
      </c>
      <c r="C2028" s="4" t="s">
        <v>693</v>
      </c>
      <c r="D2028" s="3" t="s">
        <v>672</v>
      </c>
      <c r="E2028" s="6" t="s">
        <v>108</v>
      </c>
      <c r="F2028" s="6" t="s">
        <v>546</v>
      </c>
      <c r="G2028" s="6" t="s">
        <v>718</v>
      </c>
      <c r="H2028" s="23">
        <v>0</v>
      </c>
      <c r="I2028">
        <v>0</v>
      </c>
      <c r="J2028">
        <v>0</v>
      </c>
      <c r="K2028" s="20">
        <f t="shared" si="240"/>
        <v>0</v>
      </c>
      <c r="L2028">
        <v>0</v>
      </c>
      <c r="M2028">
        <v>0</v>
      </c>
      <c r="N2028" s="21">
        <f t="shared" si="241"/>
        <v>0</v>
      </c>
      <c r="O2028">
        <v>0</v>
      </c>
      <c r="P2028">
        <v>0</v>
      </c>
      <c r="Q2028" s="21">
        <f t="shared" si="235"/>
        <v>0</v>
      </c>
      <c r="R2028">
        <v>0</v>
      </c>
      <c r="S2028">
        <v>0</v>
      </c>
      <c r="T2028" s="21">
        <f t="shared" si="236"/>
        <v>0</v>
      </c>
      <c r="U2028">
        <v>0</v>
      </c>
      <c r="V2028">
        <v>0</v>
      </c>
      <c r="W2028" s="21">
        <f t="shared" si="237"/>
        <v>0</v>
      </c>
      <c r="X2028">
        <v>0</v>
      </c>
      <c r="Y2028">
        <v>0</v>
      </c>
      <c r="Z2028" s="21">
        <f t="shared" si="238"/>
        <v>0</v>
      </c>
      <c r="AA2028">
        <v>0</v>
      </c>
      <c r="AB2028">
        <v>0</v>
      </c>
      <c r="AC2028" s="21">
        <f t="shared" si="239"/>
        <v>0</v>
      </c>
      <c r="AD2028">
        <v>0</v>
      </c>
      <c r="AE2028">
        <v>0</v>
      </c>
      <c r="AF2028" s="21">
        <f t="shared" si="242"/>
        <v>0</v>
      </c>
    </row>
    <row r="2029" spans="1:32" ht="15" customHeight="1" x14ac:dyDescent="0.3">
      <c r="A2029">
        <v>4</v>
      </c>
      <c r="B2029" s="2" t="s">
        <v>697</v>
      </c>
      <c r="C2029" s="4" t="s">
        <v>693</v>
      </c>
      <c r="D2029" s="3" t="s">
        <v>672</v>
      </c>
      <c r="E2029" s="6" t="s">
        <v>108</v>
      </c>
      <c r="F2029" s="6" t="s">
        <v>165</v>
      </c>
      <c r="G2029" s="6" t="s">
        <v>707</v>
      </c>
      <c r="H2029" s="23">
        <v>391991.03749999998</v>
      </c>
      <c r="I2029">
        <v>0</v>
      </c>
      <c r="J2029">
        <v>0</v>
      </c>
      <c r="K2029" s="20">
        <f t="shared" si="240"/>
        <v>0</v>
      </c>
      <c r="L2029">
        <v>0</v>
      </c>
      <c r="M2029">
        <v>0</v>
      </c>
      <c r="N2029" s="21">
        <f t="shared" si="241"/>
        <v>0</v>
      </c>
      <c r="O2029">
        <v>1</v>
      </c>
      <c r="P2029">
        <v>4</v>
      </c>
      <c r="Q2029" s="21">
        <f t="shared" si="235"/>
        <v>1567964.15</v>
      </c>
      <c r="R2029">
        <v>0</v>
      </c>
      <c r="S2029">
        <v>0</v>
      </c>
      <c r="T2029" s="21">
        <f t="shared" si="236"/>
        <v>0</v>
      </c>
      <c r="U2029">
        <v>0</v>
      </c>
      <c r="V2029">
        <v>0</v>
      </c>
      <c r="W2029" s="21">
        <f t="shared" si="237"/>
        <v>0</v>
      </c>
      <c r="X2029">
        <v>0</v>
      </c>
      <c r="Y2029">
        <v>0</v>
      </c>
      <c r="Z2029" s="21">
        <f t="shared" si="238"/>
        <v>0</v>
      </c>
      <c r="AA2029">
        <v>0</v>
      </c>
      <c r="AB2029">
        <v>0</v>
      </c>
      <c r="AC2029" s="21">
        <f t="shared" si="239"/>
        <v>0</v>
      </c>
      <c r="AD2029">
        <v>0</v>
      </c>
      <c r="AE2029">
        <v>0</v>
      </c>
      <c r="AF2029" s="21">
        <f t="shared" si="242"/>
        <v>0</v>
      </c>
    </row>
    <row r="2030" spans="1:32" ht="15" customHeight="1" x14ac:dyDescent="0.3">
      <c r="A2030">
        <v>4</v>
      </c>
      <c r="B2030" s="2" t="s">
        <v>697</v>
      </c>
      <c r="C2030" s="4" t="s">
        <v>693</v>
      </c>
      <c r="D2030" s="3" t="s">
        <v>672</v>
      </c>
      <c r="E2030" s="6" t="s">
        <v>108</v>
      </c>
      <c r="F2030" s="6" t="s">
        <v>165</v>
      </c>
      <c r="G2030" s="6" t="s">
        <v>708</v>
      </c>
      <c r="H2030" s="23">
        <v>425000</v>
      </c>
      <c r="I2030">
        <v>0</v>
      </c>
      <c r="J2030">
        <v>0</v>
      </c>
      <c r="K2030" s="20">
        <f t="shared" si="240"/>
        <v>0</v>
      </c>
      <c r="L2030">
        <v>0</v>
      </c>
      <c r="M2030">
        <v>0</v>
      </c>
      <c r="N2030" s="21">
        <f t="shared" si="241"/>
        <v>0</v>
      </c>
      <c r="O2030">
        <v>1</v>
      </c>
      <c r="P2030">
        <v>40</v>
      </c>
      <c r="Q2030" s="21">
        <f t="shared" si="235"/>
        <v>17000000</v>
      </c>
      <c r="R2030">
        <v>0</v>
      </c>
      <c r="S2030">
        <v>0</v>
      </c>
      <c r="T2030" s="21">
        <f t="shared" si="236"/>
        <v>0</v>
      </c>
      <c r="U2030">
        <v>0</v>
      </c>
      <c r="V2030">
        <v>0</v>
      </c>
      <c r="W2030" s="21">
        <f t="shared" si="237"/>
        <v>0</v>
      </c>
      <c r="X2030">
        <v>0</v>
      </c>
      <c r="Y2030">
        <v>0</v>
      </c>
      <c r="Z2030" s="21">
        <f t="shared" si="238"/>
        <v>0</v>
      </c>
      <c r="AA2030">
        <v>0</v>
      </c>
      <c r="AB2030">
        <v>0</v>
      </c>
      <c r="AC2030" s="21">
        <f t="shared" si="239"/>
        <v>0</v>
      </c>
      <c r="AD2030">
        <v>0</v>
      </c>
      <c r="AE2030">
        <v>0</v>
      </c>
      <c r="AF2030" s="21">
        <f t="shared" si="242"/>
        <v>0</v>
      </c>
    </row>
    <row r="2031" spans="1:32" ht="15" customHeight="1" x14ac:dyDescent="0.3">
      <c r="A2031">
        <v>4</v>
      </c>
      <c r="B2031" s="2" t="s">
        <v>697</v>
      </c>
      <c r="C2031" s="4" t="s">
        <v>693</v>
      </c>
      <c r="D2031" s="3" t="s">
        <v>672</v>
      </c>
      <c r="E2031" s="6" t="s">
        <v>108</v>
      </c>
      <c r="F2031" s="6" t="s">
        <v>162</v>
      </c>
      <c r="G2031" s="6" t="s">
        <v>716</v>
      </c>
      <c r="H2031" s="23">
        <v>39000</v>
      </c>
      <c r="I2031">
        <v>0</v>
      </c>
      <c r="J2031">
        <v>0</v>
      </c>
      <c r="K2031" s="20">
        <f t="shared" si="240"/>
        <v>0</v>
      </c>
      <c r="L2031">
        <v>0</v>
      </c>
      <c r="M2031">
        <v>0</v>
      </c>
      <c r="N2031" s="21">
        <f t="shared" si="241"/>
        <v>0</v>
      </c>
      <c r="O2031">
        <v>25</v>
      </c>
      <c r="P2031">
        <v>5</v>
      </c>
      <c r="Q2031" s="21">
        <f t="shared" si="235"/>
        <v>4875000</v>
      </c>
      <c r="R2031">
        <v>0</v>
      </c>
      <c r="S2031">
        <v>0</v>
      </c>
      <c r="T2031" s="21">
        <f t="shared" si="236"/>
        <v>0</v>
      </c>
      <c r="U2031">
        <v>0</v>
      </c>
      <c r="V2031">
        <v>0</v>
      </c>
      <c r="W2031" s="21">
        <f t="shared" si="237"/>
        <v>0</v>
      </c>
      <c r="X2031">
        <v>0</v>
      </c>
      <c r="Y2031">
        <v>0</v>
      </c>
      <c r="Z2031" s="21">
        <f t="shared" si="238"/>
        <v>0</v>
      </c>
      <c r="AA2031">
        <v>0</v>
      </c>
      <c r="AB2031">
        <v>0</v>
      </c>
      <c r="AC2031" s="21">
        <f t="shared" si="239"/>
        <v>0</v>
      </c>
      <c r="AD2031">
        <v>0</v>
      </c>
      <c r="AE2031">
        <v>0</v>
      </c>
      <c r="AF2031" s="21">
        <f t="shared" si="242"/>
        <v>0</v>
      </c>
    </row>
    <row r="2032" spans="1:32" ht="15" customHeight="1" x14ac:dyDescent="0.3">
      <c r="A2032">
        <v>4</v>
      </c>
      <c r="B2032" s="2" t="s">
        <v>697</v>
      </c>
      <c r="C2032" s="4" t="s">
        <v>693</v>
      </c>
      <c r="D2032" s="3" t="s">
        <v>672</v>
      </c>
      <c r="E2032" s="6" t="s">
        <v>108</v>
      </c>
      <c r="F2032" s="6" t="s">
        <v>162</v>
      </c>
      <c r="G2032" s="6" t="s">
        <v>709</v>
      </c>
      <c r="H2032" s="23">
        <v>28000</v>
      </c>
      <c r="I2032">
        <v>0</v>
      </c>
      <c r="J2032">
        <v>0</v>
      </c>
      <c r="K2032" s="20">
        <f t="shared" si="240"/>
        <v>0</v>
      </c>
      <c r="L2032">
        <v>0</v>
      </c>
      <c r="M2032">
        <v>0</v>
      </c>
      <c r="N2032" s="21">
        <f t="shared" si="241"/>
        <v>0</v>
      </c>
      <c r="O2032">
        <v>25</v>
      </c>
      <c r="P2032">
        <v>5</v>
      </c>
      <c r="Q2032" s="21">
        <f t="shared" si="235"/>
        <v>3500000</v>
      </c>
      <c r="R2032">
        <v>0</v>
      </c>
      <c r="S2032">
        <v>0</v>
      </c>
      <c r="T2032" s="21">
        <f t="shared" si="236"/>
        <v>0</v>
      </c>
      <c r="U2032">
        <v>0</v>
      </c>
      <c r="V2032">
        <v>0</v>
      </c>
      <c r="W2032" s="21">
        <f t="shared" si="237"/>
        <v>0</v>
      </c>
      <c r="X2032">
        <v>0</v>
      </c>
      <c r="Y2032">
        <v>0</v>
      </c>
      <c r="Z2032" s="21">
        <f t="shared" si="238"/>
        <v>0</v>
      </c>
      <c r="AA2032">
        <v>0</v>
      </c>
      <c r="AB2032">
        <v>0</v>
      </c>
      <c r="AC2032" s="21">
        <f t="shared" si="239"/>
        <v>0</v>
      </c>
      <c r="AD2032">
        <v>0</v>
      </c>
      <c r="AE2032">
        <v>0</v>
      </c>
      <c r="AF2032" s="21">
        <f t="shared" si="242"/>
        <v>0</v>
      </c>
    </row>
    <row r="2033" spans="1:32" ht="15" customHeight="1" x14ac:dyDescent="0.3">
      <c r="A2033">
        <v>4</v>
      </c>
      <c r="B2033" s="2" t="s">
        <v>697</v>
      </c>
      <c r="C2033" s="4" t="s">
        <v>693</v>
      </c>
      <c r="D2033" s="3" t="s">
        <v>672</v>
      </c>
      <c r="E2033" s="6" t="s">
        <v>108</v>
      </c>
      <c r="F2033" s="6" t="s">
        <v>162</v>
      </c>
      <c r="G2033" s="6" t="s">
        <v>712</v>
      </c>
      <c r="H2033" s="23">
        <v>214.29</v>
      </c>
      <c r="I2033">
        <v>0</v>
      </c>
      <c r="J2033">
        <v>0</v>
      </c>
      <c r="K2033" s="20">
        <f t="shared" si="240"/>
        <v>0</v>
      </c>
      <c r="L2033">
        <v>0</v>
      </c>
      <c r="M2033">
        <v>0</v>
      </c>
      <c r="N2033" s="21">
        <f t="shared" si="241"/>
        <v>0</v>
      </c>
      <c r="O2033">
        <v>8000</v>
      </c>
      <c r="P2033">
        <v>5</v>
      </c>
      <c r="Q2033" s="21">
        <f t="shared" si="235"/>
        <v>8571600</v>
      </c>
      <c r="R2033">
        <v>0</v>
      </c>
      <c r="S2033">
        <v>0</v>
      </c>
      <c r="T2033" s="21">
        <f t="shared" si="236"/>
        <v>0</v>
      </c>
      <c r="U2033">
        <v>0</v>
      </c>
      <c r="V2033">
        <v>0</v>
      </c>
      <c r="W2033" s="21">
        <f t="shared" si="237"/>
        <v>0</v>
      </c>
      <c r="X2033">
        <v>0</v>
      </c>
      <c r="Y2033">
        <v>0</v>
      </c>
      <c r="Z2033" s="21">
        <f t="shared" si="238"/>
        <v>0</v>
      </c>
      <c r="AA2033">
        <v>0</v>
      </c>
      <c r="AB2033">
        <v>0</v>
      </c>
      <c r="AC2033" s="21">
        <f t="shared" si="239"/>
        <v>0</v>
      </c>
      <c r="AD2033">
        <v>0</v>
      </c>
      <c r="AE2033">
        <v>0</v>
      </c>
      <c r="AF2033" s="21">
        <f t="shared" si="242"/>
        <v>0</v>
      </c>
    </row>
    <row r="2034" spans="1:32" ht="15" customHeight="1" x14ac:dyDescent="0.3">
      <c r="A2034">
        <v>4</v>
      </c>
      <c r="B2034" s="2" t="s">
        <v>697</v>
      </c>
      <c r="C2034" s="4" t="s">
        <v>693</v>
      </c>
      <c r="D2034" s="3" t="s">
        <v>672</v>
      </c>
      <c r="E2034" s="6" t="s">
        <v>108</v>
      </c>
      <c r="F2034" s="6" t="s">
        <v>795</v>
      </c>
      <c r="G2034" s="6" t="s">
        <v>725</v>
      </c>
      <c r="H2034" s="23">
        <v>25049102.170000002</v>
      </c>
      <c r="I2034">
        <v>0</v>
      </c>
      <c r="J2034">
        <v>0</v>
      </c>
      <c r="K2034" s="20">
        <f t="shared" si="240"/>
        <v>0</v>
      </c>
      <c r="L2034">
        <v>0</v>
      </c>
      <c r="M2034">
        <v>0</v>
      </c>
      <c r="N2034" s="21">
        <f t="shared" si="241"/>
        <v>0</v>
      </c>
      <c r="O2034">
        <v>3</v>
      </c>
      <c r="P2034">
        <v>1</v>
      </c>
      <c r="Q2034" s="21">
        <f t="shared" si="235"/>
        <v>75147306.510000005</v>
      </c>
      <c r="R2034">
        <v>0</v>
      </c>
      <c r="S2034">
        <v>0</v>
      </c>
      <c r="T2034" s="21">
        <f t="shared" si="236"/>
        <v>0</v>
      </c>
      <c r="U2034">
        <v>0</v>
      </c>
      <c r="V2034">
        <v>0</v>
      </c>
      <c r="W2034" s="21">
        <f t="shared" si="237"/>
        <v>0</v>
      </c>
      <c r="X2034">
        <v>0</v>
      </c>
      <c r="Y2034">
        <v>0</v>
      </c>
      <c r="Z2034" s="21">
        <f t="shared" si="238"/>
        <v>0</v>
      </c>
      <c r="AA2034">
        <v>0</v>
      </c>
      <c r="AB2034">
        <v>0</v>
      </c>
      <c r="AC2034" s="21">
        <f t="shared" si="239"/>
        <v>0</v>
      </c>
      <c r="AD2034">
        <v>0</v>
      </c>
      <c r="AE2034">
        <v>0</v>
      </c>
      <c r="AF2034" s="21">
        <f t="shared" si="242"/>
        <v>0</v>
      </c>
    </row>
    <row r="2035" spans="1:32" ht="15" customHeight="1" x14ac:dyDescent="0.3">
      <c r="A2035">
        <v>4</v>
      </c>
      <c r="B2035" s="2" t="s">
        <v>697</v>
      </c>
      <c r="C2035" s="4" t="s">
        <v>693</v>
      </c>
      <c r="D2035" s="3" t="s">
        <v>672</v>
      </c>
      <c r="E2035" s="6" t="s">
        <v>108</v>
      </c>
      <c r="F2035" s="6" t="s">
        <v>796</v>
      </c>
      <c r="G2035" s="6" t="s">
        <v>741</v>
      </c>
      <c r="H2035" s="23">
        <v>34293000</v>
      </c>
      <c r="I2035">
        <v>0</v>
      </c>
      <c r="J2035">
        <v>0</v>
      </c>
      <c r="K2035" s="20">
        <f t="shared" si="240"/>
        <v>0</v>
      </c>
      <c r="L2035">
        <v>0</v>
      </c>
      <c r="M2035">
        <v>0</v>
      </c>
      <c r="N2035" s="21">
        <f t="shared" si="241"/>
        <v>0</v>
      </c>
      <c r="O2035">
        <v>2</v>
      </c>
      <c r="P2035">
        <v>1</v>
      </c>
      <c r="Q2035" s="21">
        <f t="shared" si="235"/>
        <v>68586000</v>
      </c>
      <c r="R2035">
        <v>0</v>
      </c>
      <c r="S2035">
        <v>0</v>
      </c>
      <c r="T2035" s="21">
        <f t="shared" si="236"/>
        <v>0</v>
      </c>
      <c r="U2035">
        <v>0</v>
      </c>
      <c r="V2035">
        <v>0</v>
      </c>
      <c r="W2035" s="21">
        <f t="shared" si="237"/>
        <v>0</v>
      </c>
      <c r="X2035">
        <v>0</v>
      </c>
      <c r="Y2035">
        <v>0</v>
      </c>
      <c r="Z2035" s="21">
        <f t="shared" si="238"/>
        <v>0</v>
      </c>
      <c r="AA2035">
        <v>0</v>
      </c>
      <c r="AB2035">
        <v>0</v>
      </c>
      <c r="AC2035" s="21">
        <f t="shared" si="239"/>
        <v>0</v>
      </c>
      <c r="AD2035">
        <v>0</v>
      </c>
      <c r="AE2035">
        <v>0</v>
      </c>
      <c r="AF2035" s="21">
        <f t="shared" si="242"/>
        <v>0</v>
      </c>
    </row>
    <row r="2036" spans="1:32" ht="15" customHeight="1" x14ac:dyDescent="0.3">
      <c r="A2036">
        <v>4</v>
      </c>
      <c r="B2036" s="2" t="s">
        <v>697</v>
      </c>
      <c r="C2036" s="4" t="s">
        <v>693</v>
      </c>
      <c r="D2036" s="3" t="s">
        <v>672</v>
      </c>
      <c r="E2036" s="6" t="s">
        <v>110</v>
      </c>
      <c r="F2036" s="6" t="s">
        <v>549</v>
      </c>
      <c r="G2036" s="6" t="s">
        <v>718</v>
      </c>
      <c r="H2036" s="23">
        <v>0</v>
      </c>
      <c r="I2036">
        <v>0</v>
      </c>
      <c r="J2036">
        <v>0</v>
      </c>
      <c r="K2036" s="20">
        <f t="shared" si="240"/>
        <v>0</v>
      </c>
      <c r="L2036">
        <v>0</v>
      </c>
      <c r="M2036">
        <v>0</v>
      </c>
      <c r="N2036" s="21">
        <f t="shared" si="241"/>
        <v>0</v>
      </c>
      <c r="O2036">
        <v>0</v>
      </c>
      <c r="P2036">
        <v>0</v>
      </c>
      <c r="Q2036" s="21">
        <f t="shared" si="235"/>
        <v>0</v>
      </c>
      <c r="R2036">
        <v>0</v>
      </c>
      <c r="S2036">
        <v>0</v>
      </c>
      <c r="T2036" s="21">
        <f t="shared" si="236"/>
        <v>0</v>
      </c>
      <c r="U2036">
        <v>0</v>
      </c>
      <c r="V2036">
        <v>0</v>
      </c>
      <c r="W2036" s="21">
        <f t="shared" si="237"/>
        <v>0</v>
      </c>
      <c r="X2036">
        <v>0</v>
      </c>
      <c r="Y2036">
        <v>0</v>
      </c>
      <c r="Z2036" s="21">
        <f t="shared" si="238"/>
        <v>0</v>
      </c>
      <c r="AA2036">
        <v>0</v>
      </c>
      <c r="AB2036">
        <v>0</v>
      </c>
      <c r="AC2036" s="21">
        <f t="shared" si="239"/>
        <v>0</v>
      </c>
      <c r="AD2036">
        <v>0</v>
      </c>
      <c r="AE2036">
        <v>0</v>
      </c>
      <c r="AF2036" s="21">
        <f t="shared" si="242"/>
        <v>0</v>
      </c>
    </row>
    <row r="2037" spans="1:32" ht="15" customHeight="1" x14ac:dyDescent="0.3">
      <c r="A2037">
        <v>4</v>
      </c>
      <c r="B2037" s="2" t="s">
        <v>697</v>
      </c>
      <c r="C2037" s="4" t="s">
        <v>693</v>
      </c>
      <c r="D2037" s="3" t="s">
        <v>672</v>
      </c>
      <c r="E2037" s="6" t="s">
        <v>110</v>
      </c>
      <c r="F2037" s="6" t="s">
        <v>550</v>
      </c>
      <c r="G2037" s="6" t="s">
        <v>718</v>
      </c>
      <c r="H2037" s="23">
        <v>0</v>
      </c>
      <c r="I2037">
        <v>0</v>
      </c>
      <c r="J2037">
        <v>0</v>
      </c>
      <c r="K2037" s="20">
        <f t="shared" si="240"/>
        <v>0</v>
      </c>
      <c r="L2037">
        <v>0</v>
      </c>
      <c r="M2037">
        <v>0</v>
      </c>
      <c r="N2037" s="21">
        <f t="shared" si="241"/>
        <v>0</v>
      </c>
      <c r="O2037">
        <v>0</v>
      </c>
      <c r="P2037">
        <v>0</v>
      </c>
      <c r="Q2037" s="21">
        <f t="shared" si="235"/>
        <v>0</v>
      </c>
      <c r="R2037">
        <v>0</v>
      </c>
      <c r="S2037">
        <v>0</v>
      </c>
      <c r="T2037" s="21">
        <f t="shared" si="236"/>
        <v>0</v>
      </c>
      <c r="U2037">
        <v>0</v>
      </c>
      <c r="V2037">
        <v>0</v>
      </c>
      <c r="W2037" s="21">
        <f t="shared" si="237"/>
        <v>0</v>
      </c>
      <c r="X2037">
        <v>0</v>
      </c>
      <c r="Y2037">
        <v>0</v>
      </c>
      <c r="Z2037" s="21">
        <f t="shared" si="238"/>
        <v>0</v>
      </c>
      <c r="AA2037">
        <v>0</v>
      </c>
      <c r="AB2037">
        <v>0</v>
      </c>
      <c r="AC2037" s="21">
        <f t="shared" si="239"/>
        <v>0</v>
      </c>
      <c r="AD2037">
        <v>0</v>
      </c>
      <c r="AE2037">
        <v>0</v>
      </c>
      <c r="AF2037" s="21">
        <f t="shared" si="242"/>
        <v>0</v>
      </c>
    </row>
    <row r="2038" spans="1:32" ht="15" customHeight="1" x14ac:dyDescent="0.3">
      <c r="A2038">
        <v>4</v>
      </c>
      <c r="B2038" s="2" t="s">
        <v>697</v>
      </c>
      <c r="C2038" s="4" t="s">
        <v>693</v>
      </c>
      <c r="D2038" s="3" t="s">
        <v>672</v>
      </c>
      <c r="E2038" s="6" t="s">
        <v>110</v>
      </c>
      <c r="F2038" s="6" t="s">
        <v>551</v>
      </c>
      <c r="G2038" s="6" t="s">
        <v>713</v>
      </c>
      <c r="H2038" s="23">
        <v>45000</v>
      </c>
      <c r="I2038">
        <v>0</v>
      </c>
      <c r="J2038">
        <v>0</v>
      </c>
      <c r="K2038" s="20">
        <f t="shared" si="240"/>
        <v>0</v>
      </c>
      <c r="L2038">
        <v>0</v>
      </c>
      <c r="M2038">
        <v>0</v>
      </c>
      <c r="N2038" s="21">
        <f t="shared" si="241"/>
        <v>0</v>
      </c>
      <c r="O2038">
        <v>15</v>
      </c>
      <c r="P2038">
        <v>1</v>
      </c>
      <c r="Q2038" s="21">
        <f t="shared" si="235"/>
        <v>675000</v>
      </c>
      <c r="R2038">
        <v>0</v>
      </c>
      <c r="S2038">
        <v>0</v>
      </c>
      <c r="T2038" s="21">
        <f t="shared" si="236"/>
        <v>0</v>
      </c>
      <c r="U2038">
        <v>0</v>
      </c>
      <c r="V2038">
        <v>0</v>
      </c>
      <c r="W2038" s="21">
        <f t="shared" si="237"/>
        <v>0</v>
      </c>
      <c r="X2038">
        <v>0</v>
      </c>
      <c r="Y2038">
        <v>0</v>
      </c>
      <c r="Z2038" s="21">
        <f t="shared" si="238"/>
        <v>0</v>
      </c>
      <c r="AA2038">
        <v>0</v>
      </c>
      <c r="AB2038">
        <v>0</v>
      </c>
      <c r="AC2038" s="21">
        <f t="shared" si="239"/>
        <v>0</v>
      </c>
      <c r="AD2038">
        <v>0</v>
      </c>
      <c r="AE2038">
        <v>0</v>
      </c>
      <c r="AF2038" s="21">
        <f t="shared" si="242"/>
        <v>0</v>
      </c>
    </row>
    <row r="2039" spans="1:32" ht="15" customHeight="1" x14ac:dyDescent="0.3">
      <c r="A2039">
        <v>4</v>
      </c>
      <c r="B2039" s="2" t="s">
        <v>697</v>
      </c>
      <c r="C2039" s="4" t="s">
        <v>693</v>
      </c>
      <c r="D2039" s="3" t="s">
        <v>672</v>
      </c>
      <c r="E2039" s="6" t="s">
        <v>110</v>
      </c>
      <c r="F2039" s="6" t="s">
        <v>551</v>
      </c>
      <c r="G2039" s="6" t="s">
        <v>712</v>
      </c>
      <c r="H2039" s="23">
        <v>214.29</v>
      </c>
      <c r="I2039">
        <v>0</v>
      </c>
      <c r="J2039">
        <v>0</v>
      </c>
      <c r="K2039" s="20">
        <f t="shared" si="240"/>
        <v>0</v>
      </c>
      <c r="L2039">
        <v>0</v>
      </c>
      <c r="M2039">
        <v>0</v>
      </c>
      <c r="N2039" s="21">
        <f t="shared" si="241"/>
        <v>0</v>
      </c>
      <c r="O2039">
        <v>4000</v>
      </c>
      <c r="P2039">
        <v>1</v>
      </c>
      <c r="Q2039" s="21">
        <f t="shared" si="235"/>
        <v>857160</v>
      </c>
      <c r="R2039">
        <v>0</v>
      </c>
      <c r="S2039">
        <v>0</v>
      </c>
      <c r="T2039" s="21">
        <f t="shared" si="236"/>
        <v>0</v>
      </c>
      <c r="U2039">
        <v>0</v>
      </c>
      <c r="V2039">
        <v>0</v>
      </c>
      <c r="W2039" s="21">
        <f t="shared" si="237"/>
        <v>0</v>
      </c>
      <c r="X2039">
        <v>0</v>
      </c>
      <c r="Y2039">
        <v>0</v>
      </c>
      <c r="Z2039" s="21">
        <f t="shared" si="238"/>
        <v>0</v>
      </c>
      <c r="AA2039">
        <v>0</v>
      </c>
      <c r="AB2039">
        <v>0</v>
      </c>
      <c r="AC2039" s="21">
        <f t="shared" si="239"/>
        <v>0</v>
      </c>
      <c r="AD2039">
        <v>0</v>
      </c>
      <c r="AE2039">
        <v>0</v>
      </c>
      <c r="AF2039" s="21">
        <f t="shared" si="242"/>
        <v>0</v>
      </c>
    </row>
    <row r="2040" spans="1:32" ht="15" customHeight="1" x14ac:dyDescent="0.3">
      <c r="A2040">
        <v>4</v>
      </c>
      <c r="B2040" s="2" t="s">
        <v>697</v>
      </c>
      <c r="C2040" s="4" t="s">
        <v>693</v>
      </c>
      <c r="D2040" s="3" t="s">
        <v>672</v>
      </c>
      <c r="E2040" s="6" t="s">
        <v>110</v>
      </c>
      <c r="F2040" s="6" t="s">
        <v>552</v>
      </c>
      <c r="G2040" s="6" t="s">
        <v>709</v>
      </c>
      <c r="H2040" s="23">
        <v>28000</v>
      </c>
      <c r="I2040">
        <v>0</v>
      </c>
      <c r="J2040">
        <v>0</v>
      </c>
      <c r="K2040" s="20">
        <f t="shared" si="240"/>
        <v>0</v>
      </c>
      <c r="L2040">
        <v>0</v>
      </c>
      <c r="M2040">
        <v>0</v>
      </c>
      <c r="N2040" s="21">
        <f t="shared" si="241"/>
        <v>0</v>
      </c>
      <c r="O2040">
        <v>15</v>
      </c>
      <c r="P2040">
        <v>1</v>
      </c>
      <c r="Q2040" s="21">
        <f t="shared" si="235"/>
        <v>420000</v>
      </c>
      <c r="R2040">
        <v>0</v>
      </c>
      <c r="S2040">
        <v>0</v>
      </c>
      <c r="T2040" s="21">
        <f t="shared" si="236"/>
        <v>0</v>
      </c>
      <c r="U2040">
        <v>0</v>
      </c>
      <c r="V2040">
        <v>0</v>
      </c>
      <c r="W2040" s="21">
        <f t="shared" si="237"/>
        <v>0</v>
      </c>
      <c r="X2040">
        <v>0</v>
      </c>
      <c r="Y2040">
        <v>0</v>
      </c>
      <c r="Z2040" s="21">
        <f t="shared" si="238"/>
        <v>0</v>
      </c>
      <c r="AA2040">
        <v>0</v>
      </c>
      <c r="AB2040">
        <v>0</v>
      </c>
      <c r="AC2040" s="21">
        <f t="shared" si="239"/>
        <v>0</v>
      </c>
      <c r="AD2040">
        <v>0</v>
      </c>
      <c r="AE2040">
        <v>0</v>
      </c>
      <c r="AF2040" s="21">
        <f t="shared" si="242"/>
        <v>0</v>
      </c>
    </row>
    <row r="2041" spans="1:32" ht="15" customHeight="1" x14ac:dyDescent="0.3">
      <c r="A2041">
        <v>4</v>
      </c>
      <c r="B2041" s="2" t="s">
        <v>697</v>
      </c>
      <c r="C2041" s="4" t="s">
        <v>693</v>
      </c>
      <c r="D2041" s="3" t="s">
        <v>672</v>
      </c>
      <c r="E2041" s="6" t="s">
        <v>110</v>
      </c>
      <c r="F2041" s="6" t="s">
        <v>151</v>
      </c>
      <c r="G2041" s="6" t="s">
        <v>713</v>
      </c>
      <c r="H2041" s="23">
        <v>45000</v>
      </c>
      <c r="I2041">
        <v>0</v>
      </c>
      <c r="J2041">
        <v>0</v>
      </c>
      <c r="K2041" s="20">
        <f t="shared" si="240"/>
        <v>0</v>
      </c>
      <c r="L2041">
        <v>0</v>
      </c>
      <c r="M2041">
        <v>0</v>
      </c>
      <c r="N2041" s="21">
        <f t="shared" si="241"/>
        <v>0</v>
      </c>
      <c r="O2041">
        <v>15</v>
      </c>
      <c r="P2041">
        <v>10</v>
      </c>
      <c r="Q2041" s="21">
        <f t="shared" si="235"/>
        <v>6750000</v>
      </c>
      <c r="R2041">
        <v>0</v>
      </c>
      <c r="S2041">
        <v>0</v>
      </c>
      <c r="T2041" s="21">
        <f t="shared" si="236"/>
        <v>0</v>
      </c>
      <c r="U2041">
        <v>0</v>
      </c>
      <c r="V2041">
        <v>0</v>
      </c>
      <c r="W2041" s="21">
        <f t="shared" si="237"/>
        <v>0</v>
      </c>
      <c r="X2041">
        <v>0</v>
      </c>
      <c r="Y2041">
        <v>0</v>
      </c>
      <c r="Z2041" s="21">
        <f t="shared" si="238"/>
        <v>0</v>
      </c>
      <c r="AA2041">
        <v>0</v>
      </c>
      <c r="AB2041">
        <v>0</v>
      </c>
      <c r="AC2041" s="21">
        <f t="shared" si="239"/>
        <v>0</v>
      </c>
      <c r="AD2041">
        <v>0</v>
      </c>
      <c r="AE2041">
        <v>0</v>
      </c>
      <c r="AF2041" s="21">
        <f t="shared" si="242"/>
        <v>0</v>
      </c>
    </row>
    <row r="2042" spans="1:32" ht="15" customHeight="1" x14ac:dyDescent="0.3">
      <c r="A2042">
        <v>4</v>
      </c>
      <c r="B2042" s="2" t="s">
        <v>697</v>
      </c>
      <c r="C2042" s="4" t="s">
        <v>693</v>
      </c>
      <c r="D2042" s="3" t="s">
        <v>672</v>
      </c>
      <c r="E2042" s="6" t="s">
        <v>110</v>
      </c>
      <c r="F2042" s="6" t="s">
        <v>151</v>
      </c>
      <c r="G2042" s="6" t="s">
        <v>712</v>
      </c>
      <c r="H2042" s="23">
        <v>214.29</v>
      </c>
      <c r="I2042">
        <v>0</v>
      </c>
      <c r="J2042">
        <v>0</v>
      </c>
      <c r="K2042" s="20">
        <f t="shared" si="240"/>
        <v>0</v>
      </c>
      <c r="L2042">
        <v>0</v>
      </c>
      <c r="M2042">
        <v>0</v>
      </c>
      <c r="N2042" s="21">
        <f t="shared" si="241"/>
        <v>0</v>
      </c>
      <c r="O2042">
        <v>20000</v>
      </c>
      <c r="P2042">
        <v>1</v>
      </c>
      <c r="Q2042" s="21">
        <f t="shared" si="235"/>
        <v>4285800</v>
      </c>
      <c r="R2042">
        <v>0</v>
      </c>
      <c r="S2042">
        <v>0</v>
      </c>
      <c r="T2042" s="21">
        <f t="shared" si="236"/>
        <v>0</v>
      </c>
      <c r="U2042">
        <v>0</v>
      </c>
      <c r="V2042">
        <v>0</v>
      </c>
      <c r="W2042" s="21">
        <f t="shared" si="237"/>
        <v>0</v>
      </c>
      <c r="X2042">
        <v>0</v>
      </c>
      <c r="Y2042">
        <v>0</v>
      </c>
      <c r="Z2042" s="21">
        <f t="shared" si="238"/>
        <v>0</v>
      </c>
      <c r="AA2042">
        <v>0</v>
      </c>
      <c r="AB2042">
        <v>0</v>
      </c>
      <c r="AC2042" s="21">
        <f t="shared" si="239"/>
        <v>0</v>
      </c>
      <c r="AD2042">
        <v>0</v>
      </c>
      <c r="AE2042">
        <v>0</v>
      </c>
      <c r="AF2042" s="21">
        <f t="shared" si="242"/>
        <v>0</v>
      </c>
    </row>
    <row r="2043" spans="1:32" ht="15" customHeight="1" x14ac:dyDescent="0.3">
      <c r="A2043">
        <v>4</v>
      </c>
      <c r="B2043" s="2" t="s">
        <v>697</v>
      </c>
      <c r="C2043" s="4" t="s">
        <v>693</v>
      </c>
      <c r="D2043" s="3" t="s">
        <v>672</v>
      </c>
      <c r="E2043" s="6" t="s">
        <v>110</v>
      </c>
      <c r="F2043" s="6" t="s">
        <v>151</v>
      </c>
      <c r="G2043" s="6" t="s">
        <v>715</v>
      </c>
      <c r="H2043" s="23">
        <v>302000</v>
      </c>
      <c r="I2043">
        <v>0</v>
      </c>
      <c r="J2043">
        <v>0</v>
      </c>
      <c r="K2043" s="20">
        <f t="shared" si="240"/>
        <v>0</v>
      </c>
      <c r="L2043">
        <v>0</v>
      </c>
      <c r="M2043">
        <v>0</v>
      </c>
      <c r="N2043" s="21">
        <f t="shared" si="241"/>
        <v>0</v>
      </c>
      <c r="O2043">
        <v>20</v>
      </c>
      <c r="P2043">
        <v>10</v>
      </c>
      <c r="Q2043" s="21">
        <f t="shared" si="235"/>
        <v>60400000</v>
      </c>
      <c r="R2043">
        <v>0</v>
      </c>
      <c r="S2043">
        <v>0</v>
      </c>
      <c r="T2043" s="21">
        <f t="shared" si="236"/>
        <v>0</v>
      </c>
      <c r="U2043">
        <v>0</v>
      </c>
      <c r="V2043">
        <v>0</v>
      </c>
      <c r="W2043" s="21">
        <f t="shared" si="237"/>
        <v>0</v>
      </c>
      <c r="X2043">
        <v>0</v>
      </c>
      <c r="Y2043">
        <v>0</v>
      </c>
      <c r="Z2043" s="21">
        <f t="shared" si="238"/>
        <v>0</v>
      </c>
      <c r="AA2043">
        <v>0</v>
      </c>
      <c r="AB2043">
        <v>0</v>
      </c>
      <c r="AC2043" s="21">
        <f t="shared" si="239"/>
        <v>0</v>
      </c>
      <c r="AD2043">
        <v>0</v>
      </c>
      <c r="AE2043">
        <v>0</v>
      </c>
      <c r="AF2043" s="21">
        <f t="shared" si="242"/>
        <v>0</v>
      </c>
    </row>
    <row r="2044" spans="1:32" ht="15" customHeight="1" x14ac:dyDescent="0.3">
      <c r="A2044">
        <v>4</v>
      </c>
      <c r="B2044" s="2" t="s">
        <v>697</v>
      </c>
      <c r="C2044" s="4" t="s">
        <v>693</v>
      </c>
      <c r="D2044" s="3" t="s">
        <v>672</v>
      </c>
      <c r="E2044" s="6" t="s">
        <v>110</v>
      </c>
      <c r="F2044" s="6" t="s">
        <v>151</v>
      </c>
      <c r="G2044" s="6" t="s">
        <v>714</v>
      </c>
      <c r="H2044" s="23">
        <v>10000</v>
      </c>
      <c r="I2044">
        <v>0</v>
      </c>
      <c r="J2044">
        <v>0</v>
      </c>
      <c r="K2044" s="20">
        <f t="shared" si="240"/>
        <v>0</v>
      </c>
      <c r="L2044">
        <v>0</v>
      </c>
      <c r="M2044">
        <v>0</v>
      </c>
      <c r="N2044" s="21">
        <f t="shared" si="241"/>
        <v>0</v>
      </c>
      <c r="O2044">
        <v>10</v>
      </c>
      <c r="P2044">
        <v>1</v>
      </c>
      <c r="Q2044" s="21">
        <f t="shared" si="235"/>
        <v>100000</v>
      </c>
      <c r="R2044">
        <v>0</v>
      </c>
      <c r="S2044">
        <v>0</v>
      </c>
      <c r="T2044" s="21">
        <f t="shared" si="236"/>
        <v>0</v>
      </c>
      <c r="U2044">
        <v>0</v>
      </c>
      <c r="V2044">
        <v>0</v>
      </c>
      <c r="W2044" s="21">
        <f t="shared" si="237"/>
        <v>0</v>
      </c>
      <c r="X2044">
        <v>0</v>
      </c>
      <c r="Y2044">
        <v>0</v>
      </c>
      <c r="Z2044" s="21">
        <f t="shared" si="238"/>
        <v>0</v>
      </c>
      <c r="AA2044">
        <v>0</v>
      </c>
      <c r="AB2044">
        <v>0</v>
      </c>
      <c r="AC2044" s="21">
        <f t="shared" si="239"/>
        <v>0</v>
      </c>
      <c r="AD2044">
        <v>0</v>
      </c>
      <c r="AE2044">
        <v>0</v>
      </c>
      <c r="AF2044" s="21">
        <f t="shared" si="242"/>
        <v>0</v>
      </c>
    </row>
    <row r="2045" spans="1:32" ht="15" customHeight="1" x14ac:dyDescent="0.3">
      <c r="A2045">
        <v>4</v>
      </c>
      <c r="B2045" s="2" t="s">
        <v>697</v>
      </c>
      <c r="C2045" s="4" t="s">
        <v>693</v>
      </c>
      <c r="D2045" s="3" t="s">
        <v>672</v>
      </c>
      <c r="E2045" s="6" t="s">
        <v>110</v>
      </c>
      <c r="F2045" s="6" t="s">
        <v>152</v>
      </c>
      <c r="G2045" s="6" t="s">
        <v>716</v>
      </c>
      <c r="H2045" s="23">
        <v>39000</v>
      </c>
      <c r="I2045">
        <v>0</v>
      </c>
      <c r="J2045">
        <v>0</v>
      </c>
      <c r="K2045" s="20">
        <f t="shared" si="240"/>
        <v>0</v>
      </c>
      <c r="L2045">
        <v>0</v>
      </c>
      <c r="M2045">
        <v>0</v>
      </c>
      <c r="N2045" s="21">
        <f t="shared" si="241"/>
        <v>0</v>
      </c>
      <c r="O2045">
        <v>15</v>
      </c>
      <c r="P2045">
        <v>5</v>
      </c>
      <c r="Q2045" s="21">
        <f t="shared" ref="Q2045:Q2108" si="243">H2045*O2045*P2045</f>
        <v>2925000</v>
      </c>
      <c r="R2045">
        <v>0</v>
      </c>
      <c r="S2045">
        <v>0</v>
      </c>
      <c r="T2045" s="21">
        <f t="shared" ref="T2045:T2108" si="244">H2045*R2045*S2045</f>
        <v>0</v>
      </c>
      <c r="U2045">
        <v>0</v>
      </c>
      <c r="V2045">
        <v>0</v>
      </c>
      <c r="W2045" s="21">
        <f t="shared" ref="W2045:W2108" si="245">H2045*U2045*V2045</f>
        <v>0</v>
      </c>
      <c r="X2045">
        <v>0</v>
      </c>
      <c r="Y2045">
        <v>0</v>
      </c>
      <c r="Z2045" s="21">
        <f t="shared" ref="Z2045:Z2108" si="246">H2045*X2045*Y2045</f>
        <v>0</v>
      </c>
      <c r="AA2045">
        <v>0</v>
      </c>
      <c r="AB2045">
        <v>0</v>
      </c>
      <c r="AC2045" s="21">
        <f t="shared" ref="AC2045:AC2108" si="247">H2045*AA2045*AB2045</f>
        <v>0</v>
      </c>
      <c r="AD2045">
        <v>0</v>
      </c>
      <c r="AE2045">
        <v>0</v>
      </c>
      <c r="AF2045" s="21">
        <f t="shared" si="242"/>
        <v>0</v>
      </c>
    </row>
    <row r="2046" spans="1:32" ht="15" customHeight="1" x14ac:dyDescent="0.3">
      <c r="A2046">
        <v>4</v>
      </c>
      <c r="B2046" s="2" t="s">
        <v>697</v>
      </c>
      <c r="C2046" s="4" t="s">
        <v>693</v>
      </c>
      <c r="D2046" s="3" t="s">
        <v>672</v>
      </c>
      <c r="E2046" s="6" t="s">
        <v>110</v>
      </c>
      <c r="F2046" s="6" t="s">
        <v>152</v>
      </c>
      <c r="G2046" s="6" t="s">
        <v>709</v>
      </c>
      <c r="H2046" s="23">
        <v>28000</v>
      </c>
      <c r="I2046">
        <v>0</v>
      </c>
      <c r="J2046">
        <v>0</v>
      </c>
      <c r="K2046" s="20">
        <f t="shared" si="240"/>
        <v>0</v>
      </c>
      <c r="L2046">
        <v>0</v>
      </c>
      <c r="M2046">
        <v>0</v>
      </c>
      <c r="N2046" s="21">
        <f t="shared" si="241"/>
        <v>0</v>
      </c>
      <c r="O2046">
        <v>15</v>
      </c>
      <c r="P2046">
        <v>5</v>
      </c>
      <c r="Q2046" s="21">
        <f t="shared" si="243"/>
        <v>2100000</v>
      </c>
      <c r="R2046">
        <v>0</v>
      </c>
      <c r="S2046">
        <v>0</v>
      </c>
      <c r="T2046" s="21">
        <f t="shared" si="244"/>
        <v>0</v>
      </c>
      <c r="U2046">
        <v>0</v>
      </c>
      <c r="V2046">
        <v>0</v>
      </c>
      <c r="W2046" s="21">
        <f t="shared" si="245"/>
        <v>0</v>
      </c>
      <c r="X2046">
        <v>0</v>
      </c>
      <c r="Y2046">
        <v>0</v>
      </c>
      <c r="Z2046" s="21">
        <f t="shared" si="246"/>
        <v>0</v>
      </c>
      <c r="AA2046">
        <v>0</v>
      </c>
      <c r="AB2046">
        <v>0</v>
      </c>
      <c r="AC2046" s="21">
        <f t="shared" si="247"/>
        <v>0</v>
      </c>
      <c r="AD2046">
        <v>0</v>
      </c>
      <c r="AE2046">
        <v>0</v>
      </c>
      <c r="AF2046" s="21">
        <f t="shared" si="242"/>
        <v>0</v>
      </c>
    </row>
    <row r="2047" spans="1:32" ht="15" customHeight="1" x14ac:dyDescent="0.3">
      <c r="A2047">
        <v>4</v>
      </c>
      <c r="B2047" s="2" t="s">
        <v>697</v>
      </c>
      <c r="C2047" s="4" t="s">
        <v>693</v>
      </c>
      <c r="D2047" s="3" t="s">
        <v>672</v>
      </c>
      <c r="E2047" s="6" t="s">
        <v>110</v>
      </c>
      <c r="F2047" s="6" t="s">
        <v>152</v>
      </c>
      <c r="G2047" s="6" t="s">
        <v>712</v>
      </c>
      <c r="H2047" s="23">
        <v>214.29</v>
      </c>
      <c r="I2047">
        <v>0</v>
      </c>
      <c r="J2047">
        <v>0</v>
      </c>
      <c r="K2047" s="20">
        <f t="shared" si="240"/>
        <v>0</v>
      </c>
      <c r="L2047">
        <v>0</v>
      </c>
      <c r="M2047">
        <v>0</v>
      </c>
      <c r="N2047" s="21">
        <f t="shared" si="241"/>
        <v>0</v>
      </c>
      <c r="O2047">
        <v>4000</v>
      </c>
      <c r="P2047">
        <v>1</v>
      </c>
      <c r="Q2047" s="21">
        <f t="shared" si="243"/>
        <v>857160</v>
      </c>
      <c r="R2047">
        <v>0</v>
      </c>
      <c r="S2047">
        <v>0</v>
      </c>
      <c r="T2047" s="21">
        <f t="shared" si="244"/>
        <v>0</v>
      </c>
      <c r="U2047">
        <v>0</v>
      </c>
      <c r="V2047">
        <v>0</v>
      </c>
      <c r="W2047" s="21">
        <f t="shared" si="245"/>
        <v>0</v>
      </c>
      <c r="X2047">
        <v>0</v>
      </c>
      <c r="Y2047">
        <v>0</v>
      </c>
      <c r="Z2047" s="21">
        <f t="shared" si="246"/>
        <v>0</v>
      </c>
      <c r="AA2047">
        <v>0</v>
      </c>
      <c r="AB2047">
        <v>0</v>
      </c>
      <c r="AC2047" s="21">
        <f t="shared" si="247"/>
        <v>0</v>
      </c>
      <c r="AD2047">
        <v>0</v>
      </c>
      <c r="AE2047">
        <v>0</v>
      </c>
      <c r="AF2047" s="21">
        <f t="shared" si="242"/>
        <v>0</v>
      </c>
    </row>
    <row r="2048" spans="1:32" ht="15" customHeight="1" x14ac:dyDescent="0.3">
      <c r="A2048">
        <v>4</v>
      </c>
      <c r="B2048" s="2" t="s">
        <v>697</v>
      </c>
      <c r="C2048" s="4" t="s">
        <v>693</v>
      </c>
      <c r="D2048" s="3" t="s">
        <v>672</v>
      </c>
      <c r="E2048" s="6" t="s">
        <v>110</v>
      </c>
      <c r="F2048" s="6" t="s">
        <v>180</v>
      </c>
      <c r="G2048" s="6" t="s">
        <v>716</v>
      </c>
      <c r="H2048" s="23">
        <v>39000</v>
      </c>
      <c r="I2048">
        <v>0</v>
      </c>
      <c r="J2048">
        <v>0</v>
      </c>
      <c r="K2048" s="20">
        <f t="shared" si="240"/>
        <v>0</v>
      </c>
      <c r="L2048">
        <v>0</v>
      </c>
      <c r="M2048">
        <v>0</v>
      </c>
      <c r="N2048" s="21">
        <f t="shared" si="241"/>
        <v>0</v>
      </c>
      <c r="O2048">
        <v>15</v>
      </c>
      <c r="P2048">
        <v>5</v>
      </c>
      <c r="Q2048" s="21">
        <f t="shared" si="243"/>
        <v>2925000</v>
      </c>
      <c r="R2048">
        <v>0</v>
      </c>
      <c r="S2048">
        <v>0</v>
      </c>
      <c r="T2048" s="21">
        <f t="shared" si="244"/>
        <v>0</v>
      </c>
      <c r="U2048">
        <v>0</v>
      </c>
      <c r="V2048">
        <v>0</v>
      </c>
      <c r="W2048" s="21">
        <f t="shared" si="245"/>
        <v>0</v>
      </c>
      <c r="X2048">
        <v>0</v>
      </c>
      <c r="Y2048">
        <v>0</v>
      </c>
      <c r="Z2048" s="21">
        <f t="shared" si="246"/>
        <v>0</v>
      </c>
      <c r="AA2048">
        <v>0</v>
      </c>
      <c r="AB2048">
        <v>0</v>
      </c>
      <c r="AC2048" s="21">
        <f t="shared" si="247"/>
        <v>0</v>
      </c>
      <c r="AD2048">
        <v>0</v>
      </c>
      <c r="AE2048">
        <v>0</v>
      </c>
      <c r="AF2048" s="21">
        <f t="shared" si="242"/>
        <v>0</v>
      </c>
    </row>
    <row r="2049" spans="1:32" ht="15" customHeight="1" x14ac:dyDescent="0.3">
      <c r="A2049">
        <v>4</v>
      </c>
      <c r="B2049" s="2" t="s">
        <v>697</v>
      </c>
      <c r="C2049" s="4" t="s">
        <v>693</v>
      </c>
      <c r="D2049" s="3" t="s">
        <v>672</v>
      </c>
      <c r="E2049" s="6" t="s">
        <v>110</v>
      </c>
      <c r="F2049" s="6" t="s">
        <v>180</v>
      </c>
      <c r="G2049" s="6" t="s">
        <v>709</v>
      </c>
      <c r="H2049" s="23">
        <v>28000</v>
      </c>
      <c r="I2049">
        <v>0</v>
      </c>
      <c r="J2049">
        <v>0</v>
      </c>
      <c r="K2049" s="20">
        <f t="shared" si="240"/>
        <v>0</v>
      </c>
      <c r="L2049">
        <v>0</v>
      </c>
      <c r="M2049">
        <v>0</v>
      </c>
      <c r="N2049" s="21">
        <f t="shared" si="241"/>
        <v>0</v>
      </c>
      <c r="O2049">
        <v>15</v>
      </c>
      <c r="P2049">
        <v>5</v>
      </c>
      <c r="Q2049" s="21">
        <f t="shared" si="243"/>
        <v>2100000</v>
      </c>
      <c r="R2049">
        <v>0</v>
      </c>
      <c r="S2049">
        <v>0</v>
      </c>
      <c r="T2049" s="21">
        <f t="shared" si="244"/>
        <v>0</v>
      </c>
      <c r="U2049">
        <v>0</v>
      </c>
      <c r="V2049">
        <v>0</v>
      </c>
      <c r="W2049" s="21">
        <f t="shared" si="245"/>
        <v>0</v>
      </c>
      <c r="X2049">
        <v>0</v>
      </c>
      <c r="Y2049">
        <v>0</v>
      </c>
      <c r="Z2049" s="21">
        <f t="shared" si="246"/>
        <v>0</v>
      </c>
      <c r="AA2049">
        <v>0</v>
      </c>
      <c r="AB2049">
        <v>0</v>
      </c>
      <c r="AC2049" s="21">
        <f t="shared" si="247"/>
        <v>0</v>
      </c>
      <c r="AD2049">
        <v>0</v>
      </c>
      <c r="AE2049">
        <v>0</v>
      </c>
      <c r="AF2049" s="21">
        <f t="shared" si="242"/>
        <v>0</v>
      </c>
    </row>
    <row r="2050" spans="1:32" ht="15" customHeight="1" x14ac:dyDescent="0.3">
      <c r="A2050">
        <v>4</v>
      </c>
      <c r="B2050" s="2" t="s">
        <v>697</v>
      </c>
      <c r="C2050" s="4" t="s">
        <v>693</v>
      </c>
      <c r="D2050" s="3" t="s">
        <v>672</v>
      </c>
      <c r="E2050" s="6" t="s">
        <v>110</v>
      </c>
      <c r="F2050" s="6" t="s">
        <v>180</v>
      </c>
      <c r="G2050" s="6" t="s">
        <v>712</v>
      </c>
      <c r="H2050" s="23">
        <v>214.29</v>
      </c>
      <c r="I2050">
        <v>0</v>
      </c>
      <c r="J2050">
        <v>0</v>
      </c>
      <c r="K2050" s="20">
        <f t="shared" si="240"/>
        <v>0</v>
      </c>
      <c r="L2050">
        <v>0</v>
      </c>
      <c r="M2050">
        <v>0</v>
      </c>
      <c r="N2050" s="21">
        <f t="shared" si="241"/>
        <v>0</v>
      </c>
      <c r="O2050">
        <v>4000</v>
      </c>
      <c r="P2050">
        <v>1</v>
      </c>
      <c r="Q2050" s="21">
        <f t="shared" si="243"/>
        <v>857160</v>
      </c>
      <c r="R2050">
        <v>0</v>
      </c>
      <c r="S2050">
        <v>0</v>
      </c>
      <c r="T2050" s="21">
        <f t="shared" si="244"/>
        <v>0</v>
      </c>
      <c r="U2050">
        <v>0</v>
      </c>
      <c r="V2050">
        <v>0</v>
      </c>
      <c r="W2050" s="21">
        <f t="shared" si="245"/>
        <v>0</v>
      </c>
      <c r="X2050">
        <v>0</v>
      </c>
      <c r="Y2050">
        <v>0</v>
      </c>
      <c r="Z2050" s="21">
        <f t="shared" si="246"/>
        <v>0</v>
      </c>
      <c r="AA2050">
        <v>0</v>
      </c>
      <c r="AB2050">
        <v>0</v>
      </c>
      <c r="AC2050" s="21">
        <f t="shared" si="247"/>
        <v>0</v>
      </c>
      <c r="AD2050">
        <v>0</v>
      </c>
      <c r="AE2050">
        <v>0</v>
      </c>
      <c r="AF2050" s="21">
        <f t="shared" si="242"/>
        <v>0</v>
      </c>
    </row>
    <row r="2051" spans="1:32" ht="15" customHeight="1" x14ac:dyDescent="0.3">
      <c r="A2051">
        <v>4</v>
      </c>
      <c r="B2051" s="2" t="s">
        <v>697</v>
      </c>
      <c r="C2051" s="4" t="s">
        <v>693</v>
      </c>
      <c r="D2051" s="3" t="s">
        <v>672</v>
      </c>
      <c r="E2051" s="6" t="s">
        <v>110</v>
      </c>
      <c r="F2051" s="6" t="s">
        <v>553</v>
      </c>
      <c r="G2051" s="6" t="s">
        <v>716</v>
      </c>
      <c r="H2051" s="23">
        <v>39000</v>
      </c>
      <c r="I2051">
        <v>0</v>
      </c>
      <c r="J2051">
        <v>0</v>
      </c>
      <c r="K2051" s="20">
        <f t="shared" si="240"/>
        <v>0</v>
      </c>
      <c r="L2051">
        <v>0</v>
      </c>
      <c r="M2051">
        <v>0</v>
      </c>
      <c r="N2051" s="21">
        <f t="shared" si="241"/>
        <v>0</v>
      </c>
      <c r="O2051">
        <v>10</v>
      </c>
      <c r="P2051">
        <v>1</v>
      </c>
      <c r="Q2051" s="21">
        <f t="shared" si="243"/>
        <v>390000</v>
      </c>
      <c r="R2051">
        <v>0</v>
      </c>
      <c r="S2051">
        <v>0</v>
      </c>
      <c r="T2051" s="21">
        <f t="shared" si="244"/>
        <v>0</v>
      </c>
      <c r="U2051">
        <v>0</v>
      </c>
      <c r="V2051">
        <v>0</v>
      </c>
      <c r="W2051" s="21">
        <f t="shared" si="245"/>
        <v>0</v>
      </c>
      <c r="X2051">
        <v>0</v>
      </c>
      <c r="Y2051">
        <v>0</v>
      </c>
      <c r="Z2051" s="21">
        <f t="shared" si="246"/>
        <v>0</v>
      </c>
      <c r="AA2051">
        <v>0</v>
      </c>
      <c r="AB2051">
        <v>0</v>
      </c>
      <c r="AC2051" s="21">
        <f t="shared" si="247"/>
        <v>0</v>
      </c>
      <c r="AD2051">
        <v>0</v>
      </c>
      <c r="AE2051">
        <v>0</v>
      </c>
      <c r="AF2051" s="21">
        <f t="shared" si="242"/>
        <v>0</v>
      </c>
    </row>
    <row r="2052" spans="1:32" ht="15" customHeight="1" x14ac:dyDescent="0.3">
      <c r="A2052">
        <v>4</v>
      </c>
      <c r="B2052" s="2" t="s">
        <v>697</v>
      </c>
      <c r="C2052" s="4" t="s">
        <v>693</v>
      </c>
      <c r="D2052" s="3" t="s">
        <v>672</v>
      </c>
      <c r="E2052" s="6" t="s">
        <v>110</v>
      </c>
      <c r="F2052" s="6" t="s">
        <v>553</v>
      </c>
      <c r="G2052" s="6" t="s">
        <v>709</v>
      </c>
      <c r="H2052" s="23">
        <v>28000</v>
      </c>
      <c r="I2052">
        <v>0</v>
      </c>
      <c r="J2052">
        <v>0</v>
      </c>
      <c r="K2052" s="20">
        <f t="shared" si="240"/>
        <v>0</v>
      </c>
      <c r="L2052">
        <v>0</v>
      </c>
      <c r="M2052">
        <v>0</v>
      </c>
      <c r="N2052" s="21">
        <f t="shared" si="241"/>
        <v>0</v>
      </c>
      <c r="O2052">
        <v>30</v>
      </c>
      <c r="P2052">
        <v>1</v>
      </c>
      <c r="Q2052" s="21">
        <f t="shared" si="243"/>
        <v>840000</v>
      </c>
      <c r="R2052">
        <v>0</v>
      </c>
      <c r="S2052">
        <v>0</v>
      </c>
      <c r="T2052" s="21">
        <f t="shared" si="244"/>
        <v>0</v>
      </c>
      <c r="U2052">
        <v>0</v>
      </c>
      <c r="V2052">
        <v>0</v>
      </c>
      <c r="W2052" s="21">
        <f t="shared" si="245"/>
        <v>0</v>
      </c>
      <c r="X2052">
        <v>0</v>
      </c>
      <c r="Y2052">
        <v>0</v>
      </c>
      <c r="Z2052" s="21">
        <f t="shared" si="246"/>
        <v>0</v>
      </c>
      <c r="AA2052">
        <v>0</v>
      </c>
      <c r="AB2052">
        <v>0</v>
      </c>
      <c r="AC2052" s="21">
        <f t="shared" si="247"/>
        <v>0</v>
      </c>
      <c r="AD2052">
        <v>0</v>
      </c>
      <c r="AE2052">
        <v>0</v>
      </c>
      <c r="AF2052" s="21">
        <f t="shared" si="242"/>
        <v>0</v>
      </c>
    </row>
    <row r="2053" spans="1:32" ht="15" customHeight="1" x14ac:dyDescent="0.3">
      <c r="A2053">
        <v>4</v>
      </c>
      <c r="B2053" s="2" t="s">
        <v>697</v>
      </c>
      <c r="C2053" s="4" t="s">
        <v>693</v>
      </c>
      <c r="D2053" s="3" t="s">
        <v>672</v>
      </c>
      <c r="E2053" s="6" t="s">
        <v>110</v>
      </c>
      <c r="F2053" s="6" t="s">
        <v>553</v>
      </c>
      <c r="G2053" s="6" t="s">
        <v>712</v>
      </c>
      <c r="H2053" s="23">
        <v>214.29</v>
      </c>
      <c r="I2053">
        <v>0</v>
      </c>
      <c r="J2053">
        <v>0</v>
      </c>
      <c r="K2053" s="20">
        <f t="shared" si="240"/>
        <v>0</v>
      </c>
      <c r="L2053">
        <v>0</v>
      </c>
      <c r="M2053">
        <v>0</v>
      </c>
      <c r="N2053" s="21">
        <f t="shared" si="241"/>
        <v>0</v>
      </c>
      <c r="O2053">
        <v>8000</v>
      </c>
      <c r="P2053">
        <v>1</v>
      </c>
      <c r="Q2053" s="21">
        <f t="shared" si="243"/>
        <v>1714320</v>
      </c>
      <c r="R2053">
        <v>0</v>
      </c>
      <c r="S2053">
        <v>0</v>
      </c>
      <c r="T2053" s="21">
        <f t="shared" si="244"/>
        <v>0</v>
      </c>
      <c r="U2053">
        <v>0</v>
      </c>
      <c r="V2053">
        <v>0</v>
      </c>
      <c r="W2053" s="21">
        <f t="shared" si="245"/>
        <v>0</v>
      </c>
      <c r="X2053">
        <v>0</v>
      </c>
      <c r="Y2053">
        <v>0</v>
      </c>
      <c r="Z2053" s="21">
        <f t="shared" si="246"/>
        <v>0</v>
      </c>
      <c r="AA2053">
        <v>0</v>
      </c>
      <c r="AB2053">
        <v>0</v>
      </c>
      <c r="AC2053" s="21">
        <f t="shared" si="247"/>
        <v>0</v>
      </c>
      <c r="AD2053">
        <v>0</v>
      </c>
      <c r="AE2053">
        <v>0</v>
      </c>
      <c r="AF2053" s="21">
        <f t="shared" si="242"/>
        <v>0</v>
      </c>
    </row>
    <row r="2054" spans="1:32" ht="15" customHeight="1" x14ac:dyDescent="0.3">
      <c r="A2054">
        <v>4</v>
      </c>
      <c r="B2054" s="2" t="s">
        <v>697</v>
      </c>
      <c r="C2054" s="4" t="s">
        <v>693</v>
      </c>
      <c r="D2054" s="3" t="s">
        <v>672</v>
      </c>
      <c r="E2054" s="6" t="s">
        <v>110</v>
      </c>
      <c r="F2054" s="6" t="s">
        <v>554</v>
      </c>
      <c r="G2054" s="6" t="s">
        <v>709</v>
      </c>
      <c r="H2054" s="23">
        <v>28000</v>
      </c>
      <c r="I2054">
        <v>0</v>
      </c>
      <c r="J2054">
        <v>0</v>
      </c>
      <c r="K2054" s="20">
        <f t="shared" ref="K2054:K2117" si="248">H2054*I2054*J2054</f>
        <v>0</v>
      </c>
      <c r="L2054">
        <v>0</v>
      </c>
      <c r="M2054">
        <v>0</v>
      </c>
      <c r="N2054" s="21">
        <f t="shared" ref="N2054:N2117" si="249">H2054*L2054*M2054</f>
        <v>0</v>
      </c>
      <c r="O2054">
        <v>30</v>
      </c>
      <c r="P2054">
        <v>1</v>
      </c>
      <c r="Q2054" s="21">
        <f t="shared" si="243"/>
        <v>840000</v>
      </c>
      <c r="R2054">
        <v>0</v>
      </c>
      <c r="S2054">
        <v>0</v>
      </c>
      <c r="T2054" s="21">
        <f t="shared" si="244"/>
        <v>0</v>
      </c>
      <c r="U2054">
        <v>0</v>
      </c>
      <c r="V2054">
        <v>0</v>
      </c>
      <c r="W2054" s="21">
        <f t="shared" si="245"/>
        <v>0</v>
      </c>
      <c r="X2054">
        <v>0</v>
      </c>
      <c r="Y2054">
        <v>0</v>
      </c>
      <c r="Z2054" s="21">
        <f t="shared" si="246"/>
        <v>0</v>
      </c>
      <c r="AA2054">
        <v>0</v>
      </c>
      <c r="AB2054">
        <v>0</v>
      </c>
      <c r="AC2054" s="21">
        <f t="shared" si="247"/>
        <v>0</v>
      </c>
      <c r="AD2054">
        <v>0</v>
      </c>
      <c r="AE2054">
        <v>0</v>
      </c>
      <c r="AF2054" s="21">
        <f t="shared" ref="AF2054:AF2117" si="250">H2054*AD2054*AE2054</f>
        <v>0</v>
      </c>
    </row>
    <row r="2055" spans="1:32" ht="15" customHeight="1" x14ac:dyDescent="0.3">
      <c r="A2055">
        <v>4</v>
      </c>
      <c r="B2055" s="2" t="s">
        <v>697</v>
      </c>
      <c r="C2055" s="4" t="s">
        <v>693</v>
      </c>
      <c r="D2055" s="3" t="s">
        <v>672</v>
      </c>
      <c r="E2055" s="6" t="s">
        <v>110</v>
      </c>
      <c r="F2055" s="6" t="s">
        <v>555</v>
      </c>
      <c r="G2055" s="6" t="s">
        <v>709</v>
      </c>
      <c r="H2055" s="23">
        <v>28000</v>
      </c>
      <c r="I2055">
        <v>0</v>
      </c>
      <c r="J2055">
        <v>0</v>
      </c>
      <c r="K2055" s="20">
        <f t="shared" si="248"/>
        <v>0</v>
      </c>
      <c r="L2055">
        <v>0</v>
      </c>
      <c r="M2055">
        <v>0</v>
      </c>
      <c r="N2055" s="21">
        <f t="shared" si="249"/>
        <v>0</v>
      </c>
      <c r="O2055">
        <v>20</v>
      </c>
      <c r="P2055">
        <v>1</v>
      </c>
      <c r="Q2055" s="21">
        <f t="shared" si="243"/>
        <v>560000</v>
      </c>
      <c r="R2055">
        <v>0</v>
      </c>
      <c r="S2055">
        <v>0</v>
      </c>
      <c r="T2055" s="21">
        <f t="shared" si="244"/>
        <v>0</v>
      </c>
      <c r="U2055">
        <v>0</v>
      </c>
      <c r="V2055">
        <v>0</v>
      </c>
      <c r="W2055" s="21">
        <f t="shared" si="245"/>
        <v>0</v>
      </c>
      <c r="X2055">
        <v>0</v>
      </c>
      <c r="Y2055">
        <v>0</v>
      </c>
      <c r="Z2055" s="21">
        <f t="shared" si="246"/>
        <v>0</v>
      </c>
      <c r="AA2055">
        <v>0</v>
      </c>
      <c r="AB2055">
        <v>0</v>
      </c>
      <c r="AC2055" s="21">
        <f t="shared" si="247"/>
        <v>0</v>
      </c>
      <c r="AD2055">
        <v>0</v>
      </c>
      <c r="AE2055">
        <v>0</v>
      </c>
      <c r="AF2055" s="21">
        <f t="shared" si="250"/>
        <v>0</v>
      </c>
    </row>
    <row r="2056" spans="1:32" ht="15" customHeight="1" x14ac:dyDescent="0.3">
      <c r="A2056">
        <v>4</v>
      </c>
      <c r="B2056" s="2" t="s">
        <v>697</v>
      </c>
      <c r="C2056" s="4" t="s">
        <v>693</v>
      </c>
      <c r="D2056" s="3" t="s">
        <v>672</v>
      </c>
      <c r="E2056" s="6" t="s">
        <v>110</v>
      </c>
      <c r="F2056" s="6" t="s">
        <v>797</v>
      </c>
      <c r="G2056" s="6" t="s">
        <v>709</v>
      </c>
      <c r="H2056" s="23">
        <v>28000</v>
      </c>
      <c r="I2056">
        <v>0</v>
      </c>
      <c r="J2056">
        <v>0</v>
      </c>
      <c r="K2056" s="20">
        <f t="shared" si="248"/>
        <v>0</v>
      </c>
      <c r="L2056">
        <v>0</v>
      </c>
      <c r="M2056">
        <v>0</v>
      </c>
      <c r="N2056" s="21">
        <f t="shared" si="249"/>
        <v>0</v>
      </c>
      <c r="O2056">
        <v>40</v>
      </c>
      <c r="P2056">
        <v>1</v>
      </c>
      <c r="Q2056" s="21">
        <f t="shared" si="243"/>
        <v>1120000</v>
      </c>
      <c r="R2056">
        <v>0</v>
      </c>
      <c r="S2056">
        <v>0</v>
      </c>
      <c r="T2056" s="21">
        <f t="shared" si="244"/>
        <v>0</v>
      </c>
      <c r="U2056">
        <v>0</v>
      </c>
      <c r="V2056">
        <v>0</v>
      </c>
      <c r="W2056" s="21">
        <f t="shared" si="245"/>
        <v>0</v>
      </c>
      <c r="X2056">
        <v>0</v>
      </c>
      <c r="Y2056">
        <v>0</v>
      </c>
      <c r="Z2056" s="21">
        <f t="shared" si="246"/>
        <v>0</v>
      </c>
      <c r="AA2056">
        <v>0</v>
      </c>
      <c r="AB2056">
        <v>0</v>
      </c>
      <c r="AC2056" s="21">
        <f t="shared" si="247"/>
        <v>0</v>
      </c>
      <c r="AD2056">
        <v>0</v>
      </c>
      <c r="AE2056">
        <v>0</v>
      </c>
      <c r="AF2056" s="21">
        <f t="shared" si="250"/>
        <v>0</v>
      </c>
    </row>
    <row r="2057" spans="1:32" ht="15" customHeight="1" x14ac:dyDescent="0.3">
      <c r="A2057">
        <v>4</v>
      </c>
      <c r="B2057" s="2" t="s">
        <v>697</v>
      </c>
      <c r="C2057" s="4" t="s">
        <v>693</v>
      </c>
      <c r="D2057" s="3" t="s">
        <v>672</v>
      </c>
      <c r="E2057" s="6" t="s">
        <v>110</v>
      </c>
      <c r="F2057" s="6" t="s">
        <v>797</v>
      </c>
      <c r="G2057" s="6" t="s">
        <v>717</v>
      </c>
      <c r="H2057" s="23">
        <v>104850</v>
      </c>
      <c r="I2057">
        <v>0</v>
      </c>
      <c r="J2057">
        <v>0</v>
      </c>
      <c r="K2057" s="20">
        <f t="shared" si="248"/>
        <v>0</v>
      </c>
      <c r="L2057">
        <v>0</v>
      </c>
      <c r="M2057">
        <v>0</v>
      </c>
      <c r="N2057" s="21">
        <f t="shared" si="249"/>
        <v>0</v>
      </c>
      <c r="O2057">
        <v>3</v>
      </c>
      <c r="P2057">
        <v>1</v>
      </c>
      <c r="Q2057" s="21">
        <f t="shared" si="243"/>
        <v>314550</v>
      </c>
      <c r="R2057">
        <v>0</v>
      </c>
      <c r="S2057">
        <v>0</v>
      </c>
      <c r="T2057" s="21">
        <f t="shared" si="244"/>
        <v>0</v>
      </c>
      <c r="U2057">
        <v>0</v>
      </c>
      <c r="V2057">
        <v>0</v>
      </c>
      <c r="W2057" s="21">
        <f t="shared" si="245"/>
        <v>0</v>
      </c>
      <c r="X2057">
        <v>0</v>
      </c>
      <c r="Y2057">
        <v>0</v>
      </c>
      <c r="Z2057" s="21">
        <f t="shared" si="246"/>
        <v>0</v>
      </c>
      <c r="AA2057">
        <v>0</v>
      </c>
      <c r="AB2057">
        <v>0</v>
      </c>
      <c r="AC2057" s="21">
        <f t="shared" si="247"/>
        <v>0</v>
      </c>
      <c r="AD2057">
        <v>0</v>
      </c>
      <c r="AE2057">
        <v>0</v>
      </c>
      <c r="AF2057" s="21">
        <f t="shared" si="250"/>
        <v>0</v>
      </c>
    </row>
    <row r="2058" spans="1:32" ht="15" customHeight="1" x14ac:dyDescent="0.3">
      <c r="A2058">
        <v>4</v>
      </c>
      <c r="B2058" s="2" t="s">
        <v>697</v>
      </c>
      <c r="C2058" s="4" t="s">
        <v>693</v>
      </c>
      <c r="D2058" s="3" t="s">
        <v>672</v>
      </c>
      <c r="E2058" s="6" t="s">
        <v>110</v>
      </c>
      <c r="F2058" s="6" t="s">
        <v>797</v>
      </c>
      <c r="G2058" s="6" t="s">
        <v>711</v>
      </c>
      <c r="H2058" s="23">
        <v>70</v>
      </c>
      <c r="I2058">
        <v>0</v>
      </c>
      <c r="J2058">
        <v>0</v>
      </c>
      <c r="K2058" s="20">
        <f t="shared" si="248"/>
        <v>0</v>
      </c>
      <c r="L2058">
        <v>0</v>
      </c>
      <c r="M2058">
        <v>0</v>
      </c>
      <c r="N2058" s="21">
        <f t="shared" si="249"/>
        <v>0</v>
      </c>
      <c r="O2058">
        <v>50000</v>
      </c>
      <c r="P2058">
        <v>1</v>
      </c>
      <c r="Q2058" s="21">
        <f t="shared" si="243"/>
        <v>3500000</v>
      </c>
      <c r="R2058">
        <v>0</v>
      </c>
      <c r="S2058">
        <v>0</v>
      </c>
      <c r="T2058" s="21">
        <f t="shared" si="244"/>
        <v>0</v>
      </c>
      <c r="U2058">
        <v>0</v>
      </c>
      <c r="V2058">
        <v>0</v>
      </c>
      <c r="W2058" s="21">
        <f t="shared" si="245"/>
        <v>0</v>
      </c>
      <c r="X2058">
        <v>0</v>
      </c>
      <c r="Y2058">
        <v>0</v>
      </c>
      <c r="Z2058" s="21">
        <f t="shared" si="246"/>
        <v>0</v>
      </c>
      <c r="AA2058">
        <v>0</v>
      </c>
      <c r="AB2058">
        <v>0</v>
      </c>
      <c r="AC2058" s="21">
        <f t="shared" si="247"/>
        <v>0</v>
      </c>
      <c r="AD2058">
        <v>0</v>
      </c>
      <c r="AE2058">
        <v>0</v>
      </c>
      <c r="AF2058" s="21">
        <f t="shared" si="250"/>
        <v>0</v>
      </c>
    </row>
    <row r="2059" spans="1:32" ht="15" customHeight="1" x14ac:dyDescent="0.3">
      <c r="A2059">
        <v>4</v>
      </c>
      <c r="B2059" s="2" t="s">
        <v>697</v>
      </c>
      <c r="C2059" s="4" t="s">
        <v>693</v>
      </c>
      <c r="D2059" s="3" t="s">
        <v>672</v>
      </c>
      <c r="E2059" s="6" t="s">
        <v>109</v>
      </c>
      <c r="F2059" s="6" t="s">
        <v>549</v>
      </c>
      <c r="G2059" s="6" t="s">
        <v>718</v>
      </c>
      <c r="H2059" s="23">
        <v>0</v>
      </c>
      <c r="I2059">
        <v>0</v>
      </c>
      <c r="J2059">
        <v>0</v>
      </c>
      <c r="K2059" s="20">
        <f t="shared" si="248"/>
        <v>0</v>
      </c>
      <c r="L2059">
        <v>0</v>
      </c>
      <c r="M2059">
        <v>0</v>
      </c>
      <c r="N2059" s="21">
        <f t="shared" si="249"/>
        <v>0</v>
      </c>
      <c r="O2059">
        <v>0</v>
      </c>
      <c r="P2059">
        <v>0</v>
      </c>
      <c r="Q2059" s="21">
        <f t="shared" si="243"/>
        <v>0</v>
      </c>
      <c r="R2059">
        <v>0</v>
      </c>
      <c r="S2059">
        <v>0</v>
      </c>
      <c r="T2059" s="21">
        <f t="shared" si="244"/>
        <v>0</v>
      </c>
      <c r="U2059">
        <v>0</v>
      </c>
      <c r="V2059">
        <v>0</v>
      </c>
      <c r="W2059" s="21">
        <f t="shared" si="245"/>
        <v>0</v>
      </c>
      <c r="X2059">
        <v>0</v>
      </c>
      <c r="Y2059">
        <v>0</v>
      </c>
      <c r="Z2059" s="21">
        <f t="shared" si="246"/>
        <v>0</v>
      </c>
      <c r="AA2059">
        <v>0</v>
      </c>
      <c r="AB2059">
        <v>0</v>
      </c>
      <c r="AC2059" s="21">
        <f t="shared" si="247"/>
        <v>0</v>
      </c>
      <c r="AD2059">
        <v>0</v>
      </c>
      <c r="AE2059">
        <v>0</v>
      </c>
      <c r="AF2059" s="21">
        <f t="shared" si="250"/>
        <v>0</v>
      </c>
    </row>
    <row r="2060" spans="1:32" ht="15" customHeight="1" x14ac:dyDescent="0.3">
      <c r="A2060">
        <v>4</v>
      </c>
      <c r="B2060" s="2" t="s">
        <v>697</v>
      </c>
      <c r="C2060" s="4" t="s">
        <v>693</v>
      </c>
      <c r="D2060" s="3" t="s">
        <v>672</v>
      </c>
      <c r="E2060" s="6" t="s">
        <v>109</v>
      </c>
      <c r="F2060" s="6" t="s">
        <v>550</v>
      </c>
      <c r="G2060" s="6" t="s">
        <v>718</v>
      </c>
      <c r="H2060" s="23">
        <v>0</v>
      </c>
      <c r="I2060">
        <v>0</v>
      </c>
      <c r="J2060">
        <v>0</v>
      </c>
      <c r="K2060" s="20">
        <f t="shared" si="248"/>
        <v>0</v>
      </c>
      <c r="L2060">
        <v>0</v>
      </c>
      <c r="M2060">
        <v>0</v>
      </c>
      <c r="N2060" s="21">
        <f t="shared" si="249"/>
        <v>0</v>
      </c>
      <c r="O2060">
        <v>0</v>
      </c>
      <c r="P2060">
        <v>0</v>
      </c>
      <c r="Q2060" s="21">
        <f t="shared" si="243"/>
        <v>0</v>
      </c>
      <c r="R2060">
        <v>0</v>
      </c>
      <c r="S2060">
        <v>0</v>
      </c>
      <c r="T2060" s="21">
        <f t="shared" si="244"/>
        <v>0</v>
      </c>
      <c r="U2060">
        <v>0</v>
      </c>
      <c r="V2060">
        <v>0</v>
      </c>
      <c r="W2060" s="21">
        <f t="shared" si="245"/>
        <v>0</v>
      </c>
      <c r="X2060">
        <v>0</v>
      </c>
      <c r="Y2060">
        <v>0</v>
      </c>
      <c r="Z2060" s="21">
        <f t="shared" si="246"/>
        <v>0</v>
      </c>
      <c r="AA2060">
        <v>0</v>
      </c>
      <c r="AB2060">
        <v>0</v>
      </c>
      <c r="AC2060" s="21">
        <f t="shared" si="247"/>
        <v>0</v>
      </c>
      <c r="AD2060">
        <v>0</v>
      </c>
      <c r="AE2060">
        <v>0</v>
      </c>
      <c r="AF2060" s="21">
        <f t="shared" si="250"/>
        <v>0</v>
      </c>
    </row>
    <row r="2061" spans="1:32" ht="15" customHeight="1" x14ac:dyDescent="0.3">
      <c r="A2061">
        <v>4</v>
      </c>
      <c r="B2061" s="2" t="s">
        <v>697</v>
      </c>
      <c r="C2061" s="4" t="s">
        <v>693</v>
      </c>
      <c r="D2061" s="3" t="s">
        <v>672</v>
      </c>
      <c r="E2061" s="6" t="s">
        <v>109</v>
      </c>
      <c r="F2061" s="6" t="s">
        <v>551</v>
      </c>
      <c r="G2061" s="6" t="s">
        <v>713</v>
      </c>
      <c r="H2061" s="23">
        <v>45000</v>
      </c>
      <c r="I2061">
        <v>0</v>
      </c>
      <c r="J2061">
        <v>0</v>
      </c>
      <c r="K2061" s="20">
        <f t="shared" si="248"/>
        <v>0</v>
      </c>
      <c r="L2061">
        <v>0</v>
      </c>
      <c r="M2061">
        <v>0</v>
      </c>
      <c r="N2061" s="21">
        <f t="shared" si="249"/>
        <v>0</v>
      </c>
      <c r="O2061">
        <v>15</v>
      </c>
      <c r="P2061">
        <v>1</v>
      </c>
      <c r="Q2061" s="21">
        <f t="shared" si="243"/>
        <v>675000</v>
      </c>
      <c r="R2061">
        <v>0</v>
      </c>
      <c r="S2061">
        <v>0</v>
      </c>
      <c r="T2061" s="21">
        <f t="shared" si="244"/>
        <v>0</v>
      </c>
      <c r="U2061">
        <v>0</v>
      </c>
      <c r="V2061">
        <v>0</v>
      </c>
      <c r="W2061" s="21">
        <f t="shared" si="245"/>
        <v>0</v>
      </c>
      <c r="X2061">
        <v>0</v>
      </c>
      <c r="Y2061">
        <v>0</v>
      </c>
      <c r="Z2061" s="21">
        <f t="shared" si="246"/>
        <v>0</v>
      </c>
      <c r="AA2061">
        <v>0</v>
      </c>
      <c r="AB2061">
        <v>0</v>
      </c>
      <c r="AC2061" s="21">
        <f t="shared" si="247"/>
        <v>0</v>
      </c>
      <c r="AD2061">
        <v>0</v>
      </c>
      <c r="AE2061">
        <v>0</v>
      </c>
      <c r="AF2061" s="21">
        <f t="shared" si="250"/>
        <v>0</v>
      </c>
    </row>
    <row r="2062" spans="1:32" ht="15" customHeight="1" x14ac:dyDescent="0.3">
      <c r="A2062">
        <v>4</v>
      </c>
      <c r="B2062" s="2" t="s">
        <v>697</v>
      </c>
      <c r="C2062" s="4" t="s">
        <v>693</v>
      </c>
      <c r="D2062" s="3" t="s">
        <v>672</v>
      </c>
      <c r="E2062" s="6" t="s">
        <v>109</v>
      </c>
      <c r="F2062" s="6" t="s">
        <v>551</v>
      </c>
      <c r="G2062" s="6" t="s">
        <v>712</v>
      </c>
      <c r="H2062" s="23">
        <v>214.29</v>
      </c>
      <c r="I2062">
        <v>0</v>
      </c>
      <c r="J2062">
        <v>0</v>
      </c>
      <c r="K2062" s="20">
        <f t="shared" si="248"/>
        <v>0</v>
      </c>
      <c r="L2062">
        <v>0</v>
      </c>
      <c r="M2062">
        <v>0</v>
      </c>
      <c r="N2062" s="21">
        <f t="shared" si="249"/>
        <v>0</v>
      </c>
      <c r="O2062">
        <v>4000</v>
      </c>
      <c r="P2062">
        <v>1</v>
      </c>
      <c r="Q2062" s="21">
        <f t="shared" si="243"/>
        <v>857160</v>
      </c>
      <c r="R2062">
        <v>0</v>
      </c>
      <c r="S2062">
        <v>0</v>
      </c>
      <c r="T2062" s="21">
        <f t="shared" si="244"/>
        <v>0</v>
      </c>
      <c r="U2062">
        <v>0</v>
      </c>
      <c r="V2062">
        <v>0</v>
      </c>
      <c r="W2062" s="21">
        <f t="shared" si="245"/>
        <v>0</v>
      </c>
      <c r="X2062">
        <v>0</v>
      </c>
      <c r="Y2062">
        <v>0</v>
      </c>
      <c r="Z2062" s="21">
        <f t="shared" si="246"/>
        <v>0</v>
      </c>
      <c r="AA2062">
        <v>0</v>
      </c>
      <c r="AB2062">
        <v>0</v>
      </c>
      <c r="AC2062" s="21">
        <f t="shared" si="247"/>
        <v>0</v>
      </c>
      <c r="AD2062">
        <v>0</v>
      </c>
      <c r="AE2062">
        <v>0</v>
      </c>
      <c r="AF2062" s="21">
        <f t="shared" si="250"/>
        <v>0</v>
      </c>
    </row>
    <row r="2063" spans="1:32" ht="15" customHeight="1" x14ac:dyDescent="0.3">
      <c r="A2063">
        <v>4</v>
      </c>
      <c r="B2063" s="2" t="s">
        <v>697</v>
      </c>
      <c r="C2063" s="4" t="s">
        <v>693</v>
      </c>
      <c r="D2063" s="3" t="s">
        <v>672</v>
      </c>
      <c r="E2063" s="6" t="s">
        <v>109</v>
      </c>
      <c r="F2063" s="6" t="s">
        <v>552</v>
      </c>
      <c r="G2063" s="6" t="s">
        <v>709</v>
      </c>
      <c r="H2063" s="23">
        <v>28000</v>
      </c>
      <c r="I2063">
        <v>0</v>
      </c>
      <c r="J2063">
        <v>0</v>
      </c>
      <c r="K2063" s="20">
        <f t="shared" si="248"/>
        <v>0</v>
      </c>
      <c r="L2063">
        <v>0</v>
      </c>
      <c r="M2063">
        <v>0</v>
      </c>
      <c r="N2063" s="21">
        <f t="shared" si="249"/>
        <v>0</v>
      </c>
      <c r="O2063">
        <v>30</v>
      </c>
      <c r="P2063">
        <v>1</v>
      </c>
      <c r="Q2063" s="21">
        <f t="shared" si="243"/>
        <v>840000</v>
      </c>
      <c r="R2063">
        <v>0</v>
      </c>
      <c r="S2063">
        <v>0</v>
      </c>
      <c r="T2063" s="21">
        <f t="shared" si="244"/>
        <v>0</v>
      </c>
      <c r="U2063">
        <v>0</v>
      </c>
      <c r="V2063">
        <v>0</v>
      </c>
      <c r="W2063" s="21">
        <f t="shared" si="245"/>
        <v>0</v>
      </c>
      <c r="X2063">
        <v>0</v>
      </c>
      <c r="Y2063">
        <v>0</v>
      </c>
      <c r="Z2063" s="21">
        <f t="shared" si="246"/>
        <v>0</v>
      </c>
      <c r="AA2063">
        <v>0</v>
      </c>
      <c r="AB2063">
        <v>0</v>
      </c>
      <c r="AC2063" s="21">
        <f t="shared" si="247"/>
        <v>0</v>
      </c>
      <c r="AD2063">
        <v>0</v>
      </c>
      <c r="AE2063">
        <v>0</v>
      </c>
      <c r="AF2063" s="21">
        <f t="shared" si="250"/>
        <v>0</v>
      </c>
    </row>
    <row r="2064" spans="1:32" ht="15" customHeight="1" x14ac:dyDescent="0.3">
      <c r="A2064">
        <v>4</v>
      </c>
      <c r="B2064" s="2" t="s">
        <v>697</v>
      </c>
      <c r="C2064" s="4" t="s">
        <v>693</v>
      </c>
      <c r="D2064" s="3" t="s">
        <v>672</v>
      </c>
      <c r="E2064" s="6" t="s">
        <v>109</v>
      </c>
      <c r="F2064" s="6" t="s">
        <v>151</v>
      </c>
      <c r="G2064" s="6" t="s">
        <v>713</v>
      </c>
      <c r="H2064" s="23">
        <v>45000</v>
      </c>
      <c r="I2064">
        <v>0</v>
      </c>
      <c r="J2064">
        <v>0</v>
      </c>
      <c r="K2064" s="20">
        <f t="shared" si="248"/>
        <v>0</v>
      </c>
      <c r="L2064">
        <v>0</v>
      </c>
      <c r="M2064">
        <v>0</v>
      </c>
      <c r="N2064" s="21">
        <f t="shared" si="249"/>
        <v>0</v>
      </c>
      <c r="O2064">
        <v>15</v>
      </c>
      <c r="P2064">
        <v>10</v>
      </c>
      <c r="Q2064" s="21">
        <f t="shared" si="243"/>
        <v>6750000</v>
      </c>
      <c r="R2064">
        <v>0</v>
      </c>
      <c r="S2064">
        <v>0</v>
      </c>
      <c r="T2064" s="21">
        <f t="shared" si="244"/>
        <v>0</v>
      </c>
      <c r="U2064">
        <v>0</v>
      </c>
      <c r="V2064">
        <v>0</v>
      </c>
      <c r="W2064" s="21">
        <f t="shared" si="245"/>
        <v>0</v>
      </c>
      <c r="X2064">
        <v>0</v>
      </c>
      <c r="Y2064">
        <v>0</v>
      </c>
      <c r="Z2064" s="21">
        <f t="shared" si="246"/>
        <v>0</v>
      </c>
      <c r="AA2064">
        <v>0</v>
      </c>
      <c r="AB2064">
        <v>0</v>
      </c>
      <c r="AC2064" s="21">
        <f t="shared" si="247"/>
        <v>0</v>
      </c>
      <c r="AD2064">
        <v>0</v>
      </c>
      <c r="AE2064">
        <v>0</v>
      </c>
      <c r="AF2064" s="21">
        <f t="shared" si="250"/>
        <v>0</v>
      </c>
    </row>
    <row r="2065" spans="1:32" ht="15" customHeight="1" x14ac:dyDescent="0.3">
      <c r="A2065">
        <v>4</v>
      </c>
      <c r="B2065" s="2" t="s">
        <v>697</v>
      </c>
      <c r="C2065" s="4" t="s">
        <v>693</v>
      </c>
      <c r="D2065" s="3" t="s">
        <v>672</v>
      </c>
      <c r="E2065" s="6" t="s">
        <v>109</v>
      </c>
      <c r="F2065" s="6" t="s">
        <v>151</v>
      </c>
      <c r="G2065" s="6" t="s">
        <v>712</v>
      </c>
      <c r="H2065" s="23">
        <v>214.29</v>
      </c>
      <c r="I2065">
        <v>0</v>
      </c>
      <c r="J2065">
        <v>0</v>
      </c>
      <c r="K2065" s="20">
        <f t="shared" si="248"/>
        <v>0</v>
      </c>
      <c r="L2065">
        <v>0</v>
      </c>
      <c r="M2065">
        <v>0</v>
      </c>
      <c r="N2065" s="21">
        <f t="shared" si="249"/>
        <v>0</v>
      </c>
      <c r="O2065">
        <v>20000</v>
      </c>
      <c r="P2065">
        <v>1</v>
      </c>
      <c r="Q2065" s="21">
        <f t="shared" si="243"/>
        <v>4285800</v>
      </c>
      <c r="R2065">
        <v>0</v>
      </c>
      <c r="S2065">
        <v>0</v>
      </c>
      <c r="T2065" s="21">
        <f t="shared" si="244"/>
        <v>0</v>
      </c>
      <c r="U2065">
        <v>0</v>
      </c>
      <c r="V2065">
        <v>0</v>
      </c>
      <c r="W2065" s="21">
        <f t="shared" si="245"/>
        <v>0</v>
      </c>
      <c r="X2065">
        <v>0</v>
      </c>
      <c r="Y2065">
        <v>0</v>
      </c>
      <c r="Z2065" s="21">
        <f t="shared" si="246"/>
        <v>0</v>
      </c>
      <c r="AA2065">
        <v>0</v>
      </c>
      <c r="AB2065">
        <v>0</v>
      </c>
      <c r="AC2065" s="21">
        <f t="shared" si="247"/>
        <v>0</v>
      </c>
      <c r="AD2065">
        <v>0</v>
      </c>
      <c r="AE2065">
        <v>0</v>
      </c>
      <c r="AF2065" s="21">
        <f t="shared" si="250"/>
        <v>0</v>
      </c>
    </row>
    <row r="2066" spans="1:32" ht="15" customHeight="1" x14ac:dyDescent="0.3">
      <c r="A2066">
        <v>4</v>
      </c>
      <c r="B2066" s="2" t="s">
        <v>697</v>
      </c>
      <c r="C2066" s="4" t="s">
        <v>693</v>
      </c>
      <c r="D2066" s="3" t="s">
        <v>672</v>
      </c>
      <c r="E2066" s="6" t="s">
        <v>109</v>
      </c>
      <c r="F2066" s="6" t="s">
        <v>151</v>
      </c>
      <c r="G2066" s="6" t="s">
        <v>715</v>
      </c>
      <c r="H2066" s="23">
        <v>302000</v>
      </c>
      <c r="I2066">
        <v>0</v>
      </c>
      <c r="J2066">
        <v>0</v>
      </c>
      <c r="K2066" s="20">
        <f t="shared" si="248"/>
        <v>0</v>
      </c>
      <c r="L2066">
        <v>0</v>
      </c>
      <c r="M2066">
        <v>0</v>
      </c>
      <c r="N2066" s="21">
        <f t="shared" si="249"/>
        <v>0</v>
      </c>
      <c r="O2066">
        <v>20</v>
      </c>
      <c r="P2066">
        <v>1</v>
      </c>
      <c r="Q2066" s="21">
        <f t="shared" si="243"/>
        <v>6040000</v>
      </c>
      <c r="R2066">
        <v>0</v>
      </c>
      <c r="S2066">
        <v>0</v>
      </c>
      <c r="T2066" s="21">
        <f t="shared" si="244"/>
        <v>0</v>
      </c>
      <c r="U2066">
        <v>0</v>
      </c>
      <c r="V2066">
        <v>0</v>
      </c>
      <c r="W2066" s="21">
        <f t="shared" si="245"/>
        <v>0</v>
      </c>
      <c r="X2066">
        <v>0</v>
      </c>
      <c r="Y2066">
        <v>0</v>
      </c>
      <c r="Z2066" s="21">
        <f t="shared" si="246"/>
        <v>0</v>
      </c>
      <c r="AA2066">
        <v>0</v>
      </c>
      <c r="AB2066">
        <v>0</v>
      </c>
      <c r="AC2066" s="21">
        <f t="shared" si="247"/>
        <v>0</v>
      </c>
      <c r="AD2066">
        <v>0</v>
      </c>
      <c r="AE2066">
        <v>0</v>
      </c>
      <c r="AF2066" s="21">
        <f t="shared" si="250"/>
        <v>0</v>
      </c>
    </row>
    <row r="2067" spans="1:32" ht="15" customHeight="1" x14ac:dyDescent="0.3">
      <c r="A2067">
        <v>4</v>
      </c>
      <c r="B2067" s="2" t="s">
        <v>697</v>
      </c>
      <c r="C2067" s="4" t="s">
        <v>693</v>
      </c>
      <c r="D2067" s="3" t="s">
        <v>672</v>
      </c>
      <c r="E2067" s="6" t="s">
        <v>109</v>
      </c>
      <c r="F2067" s="6" t="s">
        <v>151</v>
      </c>
      <c r="G2067" s="6" t="s">
        <v>714</v>
      </c>
      <c r="H2067" s="23">
        <v>10000</v>
      </c>
      <c r="I2067">
        <v>0</v>
      </c>
      <c r="J2067">
        <v>0</v>
      </c>
      <c r="K2067" s="20">
        <f t="shared" si="248"/>
        <v>0</v>
      </c>
      <c r="L2067">
        <v>0</v>
      </c>
      <c r="M2067">
        <v>0</v>
      </c>
      <c r="N2067" s="21">
        <f t="shared" si="249"/>
        <v>0</v>
      </c>
      <c r="O2067">
        <v>10</v>
      </c>
      <c r="P2067">
        <v>1</v>
      </c>
      <c r="Q2067" s="21">
        <f t="shared" si="243"/>
        <v>100000</v>
      </c>
      <c r="R2067">
        <v>0</v>
      </c>
      <c r="S2067">
        <v>0</v>
      </c>
      <c r="T2067" s="21">
        <f t="shared" si="244"/>
        <v>0</v>
      </c>
      <c r="U2067">
        <v>0</v>
      </c>
      <c r="V2067">
        <v>0</v>
      </c>
      <c r="W2067" s="21">
        <f t="shared" si="245"/>
        <v>0</v>
      </c>
      <c r="X2067">
        <v>0</v>
      </c>
      <c r="Y2067">
        <v>0</v>
      </c>
      <c r="Z2067" s="21">
        <f t="shared" si="246"/>
        <v>0</v>
      </c>
      <c r="AA2067">
        <v>0</v>
      </c>
      <c r="AB2067">
        <v>0</v>
      </c>
      <c r="AC2067" s="21">
        <f t="shared" si="247"/>
        <v>0</v>
      </c>
      <c r="AD2067">
        <v>0</v>
      </c>
      <c r="AE2067">
        <v>0</v>
      </c>
      <c r="AF2067" s="21">
        <f t="shared" si="250"/>
        <v>0</v>
      </c>
    </row>
    <row r="2068" spans="1:32" ht="15" customHeight="1" x14ac:dyDescent="0.3">
      <c r="A2068">
        <v>4</v>
      </c>
      <c r="B2068" s="2" t="s">
        <v>697</v>
      </c>
      <c r="C2068" s="4" t="s">
        <v>693</v>
      </c>
      <c r="D2068" s="3" t="s">
        <v>672</v>
      </c>
      <c r="E2068" s="6" t="s">
        <v>109</v>
      </c>
      <c r="F2068" s="6" t="s">
        <v>152</v>
      </c>
      <c r="G2068" s="6" t="s">
        <v>716</v>
      </c>
      <c r="H2068" s="23">
        <v>39000</v>
      </c>
      <c r="I2068">
        <v>0</v>
      </c>
      <c r="J2068">
        <v>0</v>
      </c>
      <c r="K2068" s="20">
        <f t="shared" si="248"/>
        <v>0</v>
      </c>
      <c r="L2068">
        <v>0</v>
      </c>
      <c r="M2068">
        <v>0</v>
      </c>
      <c r="N2068" s="21">
        <f t="shared" si="249"/>
        <v>0</v>
      </c>
      <c r="O2068">
        <v>15</v>
      </c>
      <c r="P2068">
        <v>5</v>
      </c>
      <c r="Q2068" s="21">
        <f t="shared" si="243"/>
        <v>2925000</v>
      </c>
      <c r="R2068">
        <v>0</v>
      </c>
      <c r="S2068">
        <v>0</v>
      </c>
      <c r="T2068" s="21">
        <f t="shared" si="244"/>
        <v>0</v>
      </c>
      <c r="U2068">
        <v>0</v>
      </c>
      <c r="V2068">
        <v>0</v>
      </c>
      <c r="W2068" s="21">
        <f t="shared" si="245"/>
        <v>0</v>
      </c>
      <c r="X2068">
        <v>0</v>
      </c>
      <c r="Y2068">
        <v>0</v>
      </c>
      <c r="Z2068" s="21">
        <f t="shared" si="246"/>
        <v>0</v>
      </c>
      <c r="AA2068">
        <v>0</v>
      </c>
      <c r="AB2068">
        <v>0</v>
      </c>
      <c r="AC2068" s="21">
        <f t="shared" si="247"/>
        <v>0</v>
      </c>
      <c r="AD2068">
        <v>0</v>
      </c>
      <c r="AE2068">
        <v>0</v>
      </c>
      <c r="AF2068" s="21">
        <f t="shared" si="250"/>
        <v>0</v>
      </c>
    </row>
    <row r="2069" spans="1:32" ht="15" customHeight="1" x14ac:dyDescent="0.3">
      <c r="A2069">
        <v>4</v>
      </c>
      <c r="B2069" s="2" t="s">
        <v>697</v>
      </c>
      <c r="C2069" s="4" t="s">
        <v>693</v>
      </c>
      <c r="D2069" s="3" t="s">
        <v>672</v>
      </c>
      <c r="E2069" s="6" t="s">
        <v>109</v>
      </c>
      <c r="F2069" s="6" t="s">
        <v>152</v>
      </c>
      <c r="G2069" s="6" t="s">
        <v>709</v>
      </c>
      <c r="H2069" s="23">
        <v>28000</v>
      </c>
      <c r="I2069">
        <v>0</v>
      </c>
      <c r="J2069">
        <v>0</v>
      </c>
      <c r="K2069" s="20">
        <f t="shared" si="248"/>
        <v>0</v>
      </c>
      <c r="L2069">
        <v>0</v>
      </c>
      <c r="M2069">
        <v>0</v>
      </c>
      <c r="N2069" s="21">
        <f t="shared" si="249"/>
        <v>0</v>
      </c>
      <c r="O2069">
        <v>15</v>
      </c>
      <c r="P2069">
        <v>5</v>
      </c>
      <c r="Q2069" s="21">
        <f t="shared" si="243"/>
        <v>2100000</v>
      </c>
      <c r="R2069">
        <v>0</v>
      </c>
      <c r="S2069">
        <v>0</v>
      </c>
      <c r="T2069" s="21">
        <f t="shared" si="244"/>
        <v>0</v>
      </c>
      <c r="U2069">
        <v>0</v>
      </c>
      <c r="V2069">
        <v>0</v>
      </c>
      <c r="W2069" s="21">
        <f t="shared" si="245"/>
        <v>0</v>
      </c>
      <c r="X2069">
        <v>0</v>
      </c>
      <c r="Y2069">
        <v>0</v>
      </c>
      <c r="Z2069" s="21">
        <f t="shared" si="246"/>
        <v>0</v>
      </c>
      <c r="AA2069">
        <v>0</v>
      </c>
      <c r="AB2069">
        <v>0</v>
      </c>
      <c r="AC2069" s="21">
        <f t="shared" si="247"/>
        <v>0</v>
      </c>
      <c r="AD2069">
        <v>0</v>
      </c>
      <c r="AE2069">
        <v>0</v>
      </c>
      <c r="AF2069" s="21">
        <f t="shared" si="250"/>
        <v>0</v>
      </c>
    </row>
    <row r="2070" spans="1:32" ht="15" customHeight="1" x14ac:dyDescent="0.3">
      <c r="A2070">
        <v>4</v>
      </c>
      <c r="B2070" s="2" t="s">
        <v>697</v>
      </c>
      <c r="C2070" s="4" t="s">
        <v>693</v>
      </c>
      <c r="D2070" s="3" t="s">
        <v>672</v>
      </c>
      <c r="E2070" s="6" t="s">
        <v>109</v>
      </c>
      <c r="F2070" s="6" t="s">
        <v>152</v>
      </c>
      <c r="G2070" s="6" t="s">
        <v>712</v>
      </c>
      <c r="H2070" s="23">
        <v>214.29</v>
      </c>
      <c r="I2070">
        <v>0</v>
      </c>
      <c r="J2070">
        <v>0</v>
      </c>
      <c r="K2070" s="20">
        <f t="shared" si="248"/>
        <v>0</v>
      </c>
      <c r="L2070">
        <v>0</v>
      </c>
      <c r="M2070">
        <v>0</v>
      </c>
      <c r="N2070" s="21">
        <f t="shared" si="249"/>
        <v>0</v>
      </c>
      <c r="O2070">
        <v>4000</v>
      </c>
      <c r="P2070">
        <v>1</v>
      </c>
      <c r="Q2070" s="21">
        <f t="shared" si="243"/>
        <v>857160</v>
      </c>
      <c r="R2070">
        <v>0</v>
      </c>
      <c r="S2070">
        <v>0</v>
      </c>
      <c r="T2070" s="21">
        <f t="shared" si="244"/>
        <v>0</v>
      </c>
      <c r="U2070">
        <v>0</v>
      </c>
      <c r="V2070">
        <v>0</v>
      </c>
      <c r="W2070" s="21">
        <f t="shared" si="245"/>
        <v>0</v>
      </c>
      <c r="X2070">
        <v>0</v>
      </c>
      <c r="Y2070">
        <v>0</v>
      </c>
      <c r="Z2070" s="21">
        <f t="shared" si="246"/>
        <v>0</v>
      </c>
      <c r="AA2070">
        <v>0</v>
      </c>
      <c r="AB2070">
        <v>0</v>
      </c>
      <c r="AC2070" s="21">
        <f t="shared" si="247"/>
        <v>0</v>
      </c>
      <c r="AD2070">
        <v>0</v>
      </c>
      <c r="AE2070">
        <v>0</v>
      </c>
      <c r="AF2070" s="21">
        <f t="shared" si="250"/>
        <v>0</v>
      </c>
    </row>
    <row r="2071" spans="1:32" ht="15" customHeight="1" x14ac:dyDescent="0.3">
      <c r="A2071">
        <v>4</v>
      </c>
      <c r="B2071" s="2" t="s">
        <v>697</v>
      </c>
      <c r="C2071" s="4" t="s">
        <v>693</v>
      </c>
      <c r="D2071" s="3" t="s">
        <v>672</v>
      </c>
      <c r="E2071" s="6" t="s">
        <v>109</v>
      </c>
      <c r="F2071" s="6" t="s">
        <v>180</v>
      </c>
      <c r="G2071" s="6" t="s">
        <v>716</v>
      </c>
      <c r="H2071" s="23">
        <v>39000</v>
      </c>
      <c r="I2071">
        <v>0</v>
      </c>
      <c r="J2071">
        <v>0</v>
      </c>
      <c r="K2071" s="20">
        <f t="shared" si="248"/>
        <v>0</v>
      </c>
      <c r="L2071">
        <v>0</v>
      </c>
      <c r="M2071">
        <v>0</v>
      </c>
      <c r="N2071" s="21">
        <f t="shared" si="249"/>
        <v>0</v>
      </c>
      <c r="O2071">
        <v>15</v>
      </c>
      <c r="P2071">
        <v>5</v>
      </c>
      <c r="Q2071" s="21">
        <f t="shared" si="243"/>
        <v>2925000</v>
      </c>
      <c r="R2071">
        <v>0</v>
      </c>
      <c r="S2071">
        <v>0</v>
      </c>
      <c r="T2071" s="21">
        <f t="shared" si="244"/>
        <v>0</v>
      </c>
      <c r="U2071">
        <v>0</v>
      </c>
      <c r="V2071">
        <v>0</v>
      </c>
      <c r="W2071" s="21">
        <f t="shared" si="245"/>
        <v>0</v>
      </c>
      <c r="X2071">
        <v>0</v>
      </c>
      <c r="Y2071">
        <v>0</v>
      </c>
      <c r="Z2071" s="21">
        <f t="shared" si="246"/>
        <v>0</v>
      </c>
      <c r="AA2071">
        <v>0</v>
      </c>
      <c r="AB2071">
        <v>0</v>
      </c>
      <c r="AC2071" s="21">
        <f t="shared" si="247"/>
        <v>0</v>
      </c>
      <c r="AD2071">
        <v>0</v>
      </c>
      <c r="AE2071">
        <v>0</v>
      </c>
      <c r="AF2071" s="21">
        <f t="shared" si="250"/>
        <v>0</v>
      </c>
    </row>
    <row r="2072" spans="1:32" ht="15" customHeight="1" x14ac:dyDescent="0.3">
      <c r="A2072">
        <v>4</v>
      </c>
      <c r="B2072" s="2" t="s">
        <v>697</v>
      </c>
      <c r="C2072" s="4" t="s">
        <v>693</v>
      </c>
      <c r="D2072" s="3" t="s">
        <v>672</v>
      </c>
      <c r="E2072" s="6" t="s">
        <v>109</v>
      </c>
      <c r="F2072" s="6" t="s">
        <v>180</v>
      </c>
      <c r="G2072" s="6" t="s">
        <v>709</v>
      </c>
      <c r="H2072" s="23">
        <v>28000</v>
      </c>
      <c r="I2072">
        <v>0</v>
      </c>
      <c r="J2072">
        <v>0</v>
      </c>
      <c r="K2072" s="20">
        <f t="shared" si="248"/>
        <v>0</v>
      </c>
      <c r="L2072">
        <v>0</v>
      </c>
      <c r="M2072">
        <v>0</v>
      </c>
      <c r="N2072" s="21">
        <f t="shared" si="249"/>
        <v>0</v>
      </c>
      <c r="O2072">
        <v>15</v>
      </c>
      <c r="P2072">
        <v>5</v>
      </c>
      <c r="Q2072" s="21">
        <f t="shared" si="243"/>
        <v>2100000</v>
      </c>
      <c r="R2072">
        <v>0</v>
      </c>
      <c r="S2072">
        <v>0</v>
      </c>
      <c r="T2072" s="21">
        <f t="shared" si="244"/>
        <v>0</v>
      </c>
      <c r="U2072">
        <v>0</v>
      </c>
      <c r="V2072">
        <v>0</v>
      </c>
      <c r="W2072" s="21">
        <f t="shared" si="245"/>
        <v>0</v>
      </c>
      <c r="X2072">
        <v>0</v>
      </c>
      <c r="Y2072">
        <v>0</v>
      </c>
      <c r="Z2072" s="21">
        <f t="shared" si="246"/>
        <v>0</v>
      </c>
      <c r="AA2072">
        <v>0</v>
      </c>
      <c r="AB2072">
        <v>0</v>
      </c>
      <c r="AC2072" s="21">
        <f t="shared" si="247"/>
        <v>0</v>
      </c>
      <c r="AD2072">
        <v>0</v>
      </c>
      <c r="AE2072">
        <v>0</v>
      </c>
      <c r="AF2072" s="21">
        <f t="shared" si="250"/>
        <v>0</v>
      </c>
    </row>
    <row r="2073" spans="1:32" ht="15" customHeight="1" x14ac:dyDescent="0.3">
      <c r="A2073">
        <v>4</v>
      </c>
      <c r="B2073" s="2" t="s">
        <v>697</v>
      </c>
      <c r="C2073" s="4" t="s">
        <v>693</v>
      </c>
      <c r="D2073" s="3" t="s">
        <v>672</v>
      </c>
      <c r="E2073" s="6" t="s">
        <v>109</v>
      </c>
      <c r="F2073" s="6" t="s">
        <v>180</v>
      </c>
      <c r="G2073" s="6" t="s">
        <v>712</v>
      </c>
      <c r="H2073" s="23">
        <v>214.29</v>
      </c>
      <c r="I2073">
        <v>0</v>
      </c>
      <c r="J2073">
        <v>0</v>
      </c>
      <c r="K2073" s="20">
        <f t="shared" si="248"/>
        <v>0</v>
      </c>
      <c r="L2073">
        <v>0</v>
      </c>
      <c r="M2073">
        <v>0</v>
      </c>
      <c r="N2073" s="21">
        <f t="shared" si="249"/>
        <v>0</v>
      </c>
      <c r="O2073">
        <v>15</v>
      </c>
      <c r="P2073">
        <v>1</v>
      </c>
      <c r="Q2073" s="21">
        <f t="shared" si="243"/>
        <v>3214.35</v>
      </c>
      <c r="R2073">
        <v>0</v>
      </c>
      <c r="S2073">
        <v>0</v>
      </c>
      <c r="T2073" s="21">
        <f t="shared" si="244"/>
        <v>0</v>
      </c>
      <c r="U2073">
        <v>0</v>
      </c>
      <c r="V2073">
        <v>0</v>
      </c>
      <c r="W2073" s="21">
        <f t="shared" si="245"/>
        <v>0</v>
      </c>
      <c r="X2073">
        <v>0</v>
      </c>
      <c r="Y2073">
        <v>0</v>
      </c>
      <c r="Z2073" s="21">
        <f t="shared" si="246"/>
        <v>0</v>
      </c>
      <c r="AA2073">
        <v>0</v>
      </c>
      <c r="AB2073">
        <v>0</v>
      </c>
      <c r="AC2073" s="21">
        <f t="shared" si="247"/>
        <v>0</v>
      </c>
      <c r="AD2073">
        <v>0</v>
      </c>
      <c r="AE2073">
        <v>0</v>
      </c>
      <c r="AF2073" s="21">
        <f t="shared" si="250"/>
        <v>0</v>
      </c>
    </row>
    <row r="2074" spans="1:32" ht="15" customHeight="1" x14ac:dyDescent="0.3">
      <c r="A2074">
        <v>4</v>
      </c>
      <c r="B2074" s="2" t="s">
        <v>697</v>
      </c>
      <c r="C2074" s="4" t="s">
        <v>693</v>
      </c>
      <c r="D2074" s="3" t="s">
        <v>672</v>
      </c>
      <c r="E2074" s="6" t="s">
        <v>109</v>
      </c>
      <c r="F2074" s="6" t="s">
        <v>553</v>
      </c>
      <c r="G2074" s="6" t="s">
        <v>716</v>
      </c>
      <c r="H2074" s="23">
        <v>39000</v>
      </c>
      <c r="I2074">
        <v>0</v>
      </c>
      <c r="J2074">
        <v>0</v>
      </c>
      <c r="K2074" s="20">
        <f t="shared" si="248"/>
        <v>0</v>
      </c>
      <c r="L2074">
        <v>0</v>
      </c>
      <c r="M2074">
        <v>0</v>
      </c>
      <c r="N2074" s="21">
        <f t="shared" si="249"/>
        <v>0</v>
      </c>
      <c r="O2074">
        <v>10</v>
      </c>
      <c r="P2074">
        <v>1</v>
      </c>
      <c r="Q2074" s="21">
        <f t="shared" si="243"/>
        <v>390000</v>
      </c>
      <c r="R2074">
        <v>0</v>
      </c>
      <c r="S2074">
        <v>0</v>
      </c>
      <c r="T2074" s="21">
        <f t="shared" si="244"/>
        <v>0</v>
      </c>
      <c r="U2074">
        <v>0</v>
      </c>
      <c r="V2074">
        <v>0</v>
      </c>
      <c r="W2074" s="21">
        <f t="shared" si="245"/>
        <v>0</v>
      </c>
      <c r="X2074">
        <v>0</v>
      </c>
      <c r="Y2074">
        <v>0</v>
      </c>
      <c r="Z2074" s="21">
        <f t="shared" si="246"/>
        <v>0</v>
      </c>
      <c r="AA2074">
        <v>0</v>
      </c>
      <c r="AB2074">
        <v>0</v>
      </c>
      <c r="AC2074" s="21">
        <f t="shared" si="247"/>
        <v>0</v>
      </c>
      <c r="AD2074">
        <v>0</v>
      </c>
      <c r="AE2074">
        <v>0</v>
      </c>
      <c r="AF2074" s="21">
        <f t="shared" si="250"/>
        <v>0</v>
      </c>
    </row>
    <row r="2075" spans="1:32" ht="15" customHeight="1" x14ac:dyDescent="0.3">
      <c r="A2075">
        <v>4</v>
      </c>
      <c r="B2075" s="2" t="s">
        <v>697</v>
      </c>
      <c r="C2075" s="4" t="s">
        <v>693</v>
      </c>
      <c r="D2075" s="3" t="s">
        <v>672</v>
      </c>
      <c r="E2075" s="6" t="s">
        <v>109</v>
      </c>
      <c r="F2075" s="6" t="s">
        <v>553</v>
      </c>
      <c r="G2075" s="6" t="s">
        <v>709</v>
      </c>
      <c r="H2075" s="23">
        <v>28000</v>
      </c>
      <c r="I2075">
        <v>0</v>
      </c>
      <c r="J2075">
        <v>0</v>
      </c>
      <c r="K2075" s="20">
        <f t="shared" si="248"/>
        <v>0</v>
      </c>
      <c r="L2075">
        <v>0</v>
      </c>
      <c r="M2075">
        <v>0</v>
      </c>
      <c r="N2075" s="21">
        <f t="shared" si="249"/>
        <v>0</v>
      </c>
      <c r="O2075">
        <v>30</v>
      </c>
      <c r="P2075">
        <v>1</v>
      </c>
      <c r="Q2075" s="21">
        <f t="shared" si="243"/>
        <v>840000</v>
      </c>
      <c r="R2075">
        <v>0</v>
      </c>
      <c r="S2075">
        <v>0</v>
      </c>
      <c r="T2075" s="21">
        <f t="shared" si="244"/>
        <v>0</v>
      </c>
      <c r="U2075">
        <v>0</v>
      </c>
      <c r="V2075">
        <v>0</v>
      </c>
      <c r="W2075" s="21">
        <f t="shared" si="245"/>
        <v>0</v>
      </c>
      <c r="X2075">
        <v>0</v>
      </c>
      <c r="Y2075">
        <v>0</v>
      </c>
      <c r="Z2075" s="21">
        <f t="shared" si="246"/>
        <v>0</v>
      </c>
      <c r="AA2075">
        <v>0</v>
      </c>
      <c r="AB2075">
        <v>0</v>
      </c>
      <c r="AC2075" s="21">
        <f t="shared" si="247"/>
        <v>0</v>
      </c>
      <c r="AD2075">
        <v>0</v>
      </c>
      <c r="AE2075">
        <v>0</v>
      </c>
      <c r="AF2075" s="21">
        <f t="shared" si="250"/>
        <v>0</v>
      </c>
    </row>
    <row r="2076" spans="1:32" ht="15" customHeight="1" x14ac:dyDescent="0.3">
      <c r="A2076">
        <v>4</v>
      </c>
      <c r="B2076" s="2" t="s">
        <v>697</v>
      </c>
      <c r="C2076" s="4" t="s">
        <v>693</v>
      </c>
      <c r="D2076" s="3" t="s">
        <v>672</v>
      </c>
      <c r="E2076" s="6" t="s">
        <v>109</v>
      </c>
      <c r="F2076" s="6" t="s">
        <v>553</v>
      </c>
      <c r="G2076" s="6" t="s">
        <v>712</v>
      </c>
      <c r="H2076" s="23">
        <v>214.29</v>
      </c>
      <c r="I2076">
        <v>0</v>
      </c>
      <c r="J2076">
        <v>0</v>
      </c>
      <c r="K2076" s="20">
        <f t="shared" si="248"/>
        <v>0</v>
      </c>
      <c r="L2076">
        <v>0</v>
      </c>
      <c r="M2076">
        <v>0</v>
      </c>
      <c r="N2076" s="21">
        <f t="shared" si="249"/>
        <v>0</v>
      </c>
      <c r="O2076">
        <v>8000</v>
      </c>
      <c r="P2076">
        <v>1</v>
      </c>
      <c r="Q2076" s="21">
        <f t="shared" si="243"/>
        <v>1714320</v>
      </c>
      <c r="R2076">
        <v>0</v>
      </c>
      <c r="S2076">
        <v>0</v>
      </c>
      <c r="T2076" s="21">
        <f t="shared" si="244"/>
        <v>0</v>
      </c>
      <c r="U2076">
        <v>0</v>
      </c>
      <c r="V2076">
        <v>0</v>
      </c>
      <c r="W2076" s="21">
        <f t="shared" si="245"/>
        <v>0</v>
      </c>
      <c r="X2076">
        <v>0</v>
      </c>
      <c r="Y2076">
        <v>0</v>
      </c>
      <c r="Z2076" s="21">
        <f t="shared" si="246"/>
        <v>0</v>
      </c>
      <c r="AA2076">
        <v>0</v>
      </c>
      <c r="AB2076">
        <v>0</v>
      </c>
      <c r="AC2076" s="21">
        <f t="shared" si="247"/>
        <v>0</v>
      </c>
      <c r="AD2076">
        <v>0</v>
      </c>
      <c r="AE2076">
        <v>0</v>
      </c>
      <c r="AF2076" s="21">
        <f t="shared" si="250"/>
        <v>0</v>
      </c>
    </row>
    <row r="2077" spans="1:32" ht="15" customHeight="1" x14ac:dyDescent="0.3">
      <c r="A2077">
        <v>4</v>
      </c>
      <c r="B2077" s="2" t="s">
        <v>697</v>
      </c>
      <c r="C2077" s="4" t="s">
        <v>693</v>
      </c>
      <c r="D2077" s="3" t="s">
        <v>672</v>
      </c>
      <c r="E2077" s="6" t="s">
        <v>109</v>
      </c>
      <c r="F2077" s="6" t="s">
        <v>556</v>
      </c>
      <c r="G2077" s="6" t="s">
        <v>709</v>
      </c>
      <c r="H2077" s="23">
        <v>28000</v>
      </c>
      <c r="I2077">
        <v>0</v>
      </c>
      <c r="J2077">
        <v>0</v>
      </c>
      <c r="K2077" s="20">
        <f t="shared" si="248"/>
        <v>0</v>
      </c>
      <c r="L2077">
        <v>0</v>
      </c>
      <c r="M2077">
        <v>0</v>
      </c>
      <c r="N2077" s="21">
        <f t="shared" si="249"/>
        <v>0</v>
      </c>
      <c r="O2077">
        <v>20</v>
      </c>
      <c r="P2077">
        <v>1</v>
      </c>
      <c r="Q2077" s="21">
        <f t="shared" si="243"/>
        <v>560000</v>
      </c>
      <c r="R2077">
        <v>0</v>
      </c>
      <c r="S2077">
        <v>0</v>
      </c>
      <c r="T2077" s="21">
        <f t="shared" si="244"/>
        <v>0</v>
      </c>
      <c r="U2077">
        <v>0</v>
      </c>
      <c r="V2077">
        <v>0</v>
      </c>
      <c r="W2077" s="21">
        <f t="shared" si="245"/>
        <v>0</v>
      </c>
      <c r="X2077">
        <v>0</v>
      </c>
      <c r="Y2077">
        <v>0</v>
      </c>
      <c r="Z2077" s="21">
        <f t="shared" si="246"/>
        <v>0</v>
      </c>
      <c r="AA2077">
        <v>0</v>
      </c>
      <c r="AB2077">
        <v>0</v>
      </c>
      <c r="AC2077" s="21">
        <f t="shared" si="247"/>
        <v>0</v>
      </c>
      <c r="AD2077">
        <v>0</v>
      </c>
      <c r="AE2077">
        <v>0</v>
      </c>
      <c r="AF2077" s="21">
        <f t="shared" si="250"/>
        <v>0</v>
      </c>
    </row>
    <row r="2078" spans="1:32" ht="15" customHeight="1" x14ac:dyDescent="0.3">
      <c r="A2078">
        <v>4</v>
      </c>
      <c r="B2078" s="2" t="s">
        <v>697</v>
      </c>
      <c r="C2078" s="4" t="s">
        <v>693</v>
      </c>
      <c r="D2078" s="3" t="s">
        <v>672</v>
      </c>
      <c r="E2078" s="6" t="s">
        <v>109</v>
      </c>
      <c r="F2078" s="6" t="s">
        <v>797</v>
      </c>
      <c r="G2078" s="6" t="s">
        <v>709</v>
      </c>
      <c r="H2078" s="23">
        <v>28000</v>
      </c>
      <c r="I2078">
        <v>0</v>
      </c>
      <c r="J2078">
        <v>0</v>
      </c>
      <c r="K2078" s="20">
        <f t="shared" si="248"/>
        <v>0</v>
      </c>
      <c r="L2078">
        <v>0</v>
      </c>
      <c r="M2078">
        <v>0</v>
      </c>
      <c r="N2078" s="21">
        <f t="shared" si="249"/>
        <v>0</v>
      </c>
      <c r="O2078">
        <v>40</v>
      </c>
      <c r="P2078">
        <v>1</v>
      </c>
      <c r="Q2078" s="21">
        <f t="shared" si="243"/>
        <v>1120000</v>
      </c>
      <c r="R2078">
        <v>0</v>
      </c>
      <c r="S2078">
        <v>0</v>
      </c>
      <c r="T2078" s="21">
        <f t="shared" si="244"/>
        <v>0</v>
      </c>
      <c r="U2078">
        <v>0</v>
      </c>
      <c r="V2078">
        <v>0</v>
      </c>
      <c r="W2078" s="21">
        <f t="shared" si="245"/>
        <v>0</v>
      </c>
      <c r="X2078">
        <v>0</v>
      </c>
      <c r="Y2078">
        <v>0</v>
      </c>
      <c r="Z2078" s="21">
        <f t="shared" si="246"/>
        <v>0</v>
      </c>
      <c r="AA2078">
        <v>0</v>
      </c>
      <c r="AB2078">
        <v>0</v>
      </c>
      <c r="AC2078" s="21">
        <f t="shared" si="247"/>
        <v>0</v>
      </c>
      <c r="AD2078">
        <v>0</v>
      </c>
      <c r="AE2078">
        <v>0</v>
      </c>
      <c r="AF2078" s="21">
        <f t="shared" si="250"/>
        <v>0</v>
      </c>
    </row>
    <row r="2079" spans="1:32" ht="15" customHeight="1" x14ac:dyDescent="0.3">
      <c r="A2079">
        <v>4</v>
      </c>
      <c r="B2079" s="2" t="s">
        <v>697</v>
      </c>
      <c r="C2079" s="4" t="s">
        <v>693</v>
      </c>
      <c r="D2079" s="3" t="s">
        <v>672</v>
      </c>
      <c r="E2079" s="6" t="s">
        <v>109</v>
      </c>
      <c r="F2079" s="6" t="s">
        <v>797</v>
      </c>
      <c r="G2079" s="6" t="s">
        <v>717</v>
      </c>
      <c r="H2079" s="23">
        <v>104850</v>
      </c>
      <c r="I2079">
        <v>0</v>
      </c>
      <c r="J2079">
        <v>0</v>
      </c>
      <c r="K2079" s="20">
        <f t="shared" si="248"/>
        <v>0</v>
      </c>
      <c r="L2079">
        <v>0</v>
      </c>
      <c r="M2079">
        <v>0</v>
      </c>
      <c r="N2079" s="21">
        <f t="shared" si="249"/>
        <v>0</v>
      </c>
      <c r="O2079">
        <v>5</v>
      </c>
      <c r="P2079">
        <v>1</v>
      </c>
      <c r="Q2079" s="21">
        <f t="shared" si="243"/>
        <v>524250</v>
      </c>
      <c r="R2079">
        <v>0</v>
      </c>
      <c r="S2079">
        <v>0</v>
      </c>
      <c r="T2079" s="21">
        <f t="shared" si="244"/>
        <v>0</v>
      </c>
      <c r="U2079">
        <v>0</v>
      </c>
      <c r="V2079">
        <v>0</v>
      </c>
      <c r="W2079" s="21">
        <f t="shared" si="245"/>
        <v>0</v>
      </c>
      <c r="X2079">
        <v>0</v>
      </c>
      <c r="Y2079">
        <v>0</v>
      </c>
      <c r="Z2079" s="21">
        <f t="shared" si="246"/>
        <v>0</v>
      </c>
      <c r="AA2079">
        <v>0</v>
      </c>
      <c r="AB2079">
        <v>0</v>
      </c>
      <c r="AC2079" s="21">
        <f t="shared" si="247"/>
        <v>0</v>
      </c>
      <c r="AD2079">
        <v>0</v>
      </c>
      <c r="AE2079">
        <v>0</v>
      </c>
      <c r="AF2079" s="21">
        <f t="shared" si="250"/>
        <v>0</v>
      </c>
    </row>
    <row r="2080" spans="1:32" ht="15" customHeight="1" x14ac:dyDescent="0.3">
      <c r="A2080">
        <v>4</v>
      </c>
      <c r="B2080" s="2" t="s">
        <v>697</v>
      </c>
      <c r="C2080" s="4" t="s">
        <v>693</v>
      </c>
      <c r="D2080" s="3" t="s">
        <v>672</v>
      </c>
      <c r="E2080" s="6" t="s">
        <v>109</v>
      </c>
      <c r="F2080" s="6" t="s">
        <v>797</v>
      </c>
      <c r="G2080" s="6" t="s">
        <v>711</v>
      </c>
      <c r="H2080" s="23">
        <v>70</v>
      </c>
      <c r="I2080">
        <v>0</v>
      </c>
      <c r="J2080">
        <v>0</v>
      </c>
      <c r="K2080" s="20">
        <f t="shared" si="248"/>
        <v>0</v>
      </c>
      <c r="L2080">
        <v>0</v>
      </c>
      <c r="M2080">
        <v>0</v>
      </c>
      <c r="N2080" s="21">
        <f t="shared" si="249"/>
        <v>0</v>
      </c>
      <c r="O2080">
        <v>50000</v>
      </c>
      <c r="P2080">
        <v>1</v>
      </c>
      <c r="Q2080" s="21">
        <f t="shared" si="243"/>
        <v>3500000</v>
      </c>
      <c r="R2080">
        <v>0</v>
      </c>
      <c r="S2080">
        <v>0</v>
      </c>
      <c r="T2080" s="21">
        <f t="shared" si="244"/>
        <v>0</v>
      </c>
      <c r="U2080">
        <v>0</v>
      </c>
      <c r="V2080">
        <v>0</v>
      </c>
      <c r="W2080" s="21">
        <f t="shared" si="245"/>
        <v>0</v>
      </c>
      <c r="X2080">
        <v>0</v>
      </c>
      <c r="Y2080">
        <v>0</v>
      </c>
      <c r="Z2080" s="21">
        <f t="shared" si="246"/>
        <v>0</v>
      </c>
      <c r="AA2080">
        <v>0</v>
      </c>
      <c r="AB2080">
        <v>0</v>
      </c>
      <c r="AC2080" s="21">
        <f t="shared" si="247"/>
        <v>0</v>
      </c>
      <c r="AD2080">
        <v>0</v>
      </c>
      <c r="AE2080">
        <v>0</v>
      </c>
      <c r="AF2080" s="21">
        <f t="shared" si="250"/>
        <v>0</v>
      </c>
    </row>
    <row r="2081" spans="1:32" ht="15" customHeight="1" x14ac:dyDescent="0.3">
      <c r="A2081">
        <v>4</v>
      </c>
      <c r="B2081" s="2" t="s">
        <v>697</v>
      </c>
      <c r="C2081" s="4" t="s">
        <v>693</v>
      </c>
      <c r="D2081" s="3" t="s">
        <v>673</v>
      </c>
      <c r="E2081" s="6" t="s">
        <v>111</v>
      </c>
      <c r="F2081" s="6" t="s">
        <v>557</v>
      </c>
      <c r="G2081" s="6" t="s">
        <v>718</v>
      </c>
      <c r="H2081" s="23">
        <v>0</v>
      </c>
      <c r="I2081">
        <v>0</v>
      </c>
      <c r="J2081">
        <v>0</v>
      </c>
      <c r="K2081" s="20">
        <f t="shared" si="248"/>
        <v>0</v>
      </c>
      <c r="L2081">
        <v>0</v>
      </c>
      <c r="M2081">
        <v>0</v>
      </c>
      <c r="N2081" s="21">
        <f t="shared" si="249"/>
        <v>0</v>
      </c>
      <c r="O2081">
        <v>0</v>
      </c>
      <c r="P2081">
        <v>0</v>
      </c>
      <c r="Q2081" s="21">
        <f t="shared" si="243"/>
        <v>0</v>
      </c>
      <c r="R2081">
        <v>0</v>
      </c>
      <c r="S2081">
        <v>0</v>
      </c>
      <c r="T2081" s="21">
        <f t="shared" si="244"/>
        <v>0</v>
      </c>
      <c r="U2081">
        <v>0</v>
      </c>
      <c r="V2081">
        <v>0</v>
      </c>
      <c r="W2081" s="21">
        <f t="shared" si="245"/>
        <v>0</v>
      </c>
      <c r="X2081">
        <v>0</v>
      </c>
      <c r="Y2081">
        <v>0</v>
      </c>
      <c r="Z2081" s="21">
        <f t="shared" si="246"/>
        <v>0</v>
      </c>
      <c r="AA2081">
        <v>0</v>
      </c>
      <c r="AB2081">
        <v>0</v>
      </c>
      <c r="AC2081" s="21">
        <f t="shared" si="247"/>
        <v>0</v>
      </c>
      <c r="AD2081">
        <v>0</v>
      </c>
      <c r="AE2081">
        <v>0</v>
      </c>
      <c r="AF2081" s="21">
        <f t="shared" si="250"/>
        <v>0</v>
      </c>
    </row>
    <row r="2082" spans="1:32" ht="15" customHeight="1" x14ac:dyDescent="0.3">
      <c r="A2082">
        <v>4</v>
      </c>
      <c r="B2082" s="2" t="s">
        <v>697</v>
      </c>
      <c r="C2082" s="4" t="s">
        <v>693</v>
      </c>
      <c r="D2082" s="3" t="s">
        <v>673</v>
      </c>
      <c r="E2082" s="6" t="s">
        <v>111</v>
      </c>
      <c r="F2082" s="6" t="s">
        <v>149</v>
      </c>
      <c r="G2082" s="6" t="s">
        <v>707</v>
      </c>
      <c r="H2082" s="23">
        <v>391991.03749999998</v>
      </c>
      <c r="I2082">
        <v>0</v>
      </c>
      <c r="J2082">
        <v>0</v>
      </c>
      <c r="K2082" s="20">
        <f t="shared" si="248"/>
        <v>0</v>
      </c>
      <c r="L2082">
        <v>1</v>
      </c>
      <c r="M2082">
        <v>6</v>
      </c>
      <c r="N2082" s="21">
        <f t="shared" si="249"/>
        <v>2351946.2249999996</v>
      </c>
      <c r="O2082">
        <v>0</v>
      </c>
      <c r="P2082">
        <v>0</v>
      </c>
      <c r="Q2082" s="21">
        <f t="shared" si="243"/>
        <v>0</v>
      </c>
      <c r="R2082">
        <v>0</v>
      </c>
      <c r="S2082">
        <v>0</v>
      </c>
      <c r="T2082" s="21">
        <f t="shared" si="244"/>
        <v>0</v>
      </c>
      <c r="U2082">
        <v>0</v>
      </c>
      <c r="V2082">
        <v>0</v>
      </c>
      <c r="W2082" s="21">
        <f t="shared" si="245"/>
        <v>0</v>
      </c>
      <c r="X2082">
        <v>0</v>
      </c>
      <c r="Y2082">
        <v>0</v>
      </c>
      <c r="Z2082" s="21">
        <f t="shared" si="246"/>
        <v>0</v>
      </c>
      <c r="AA2082">
        <v>0</v>
      </c>
      <c r="AB2082">
        <v>0</v>
      </c>
      <c r="AC2082" s="21">
        <f t="shared" si="247"/>
        <v>0</v>
      </c>
      <c r="AD2082">
        <v>0</v>
      </c>
      <c r="AE2082">
        <v>0</v>
      </c>
      <c r="AF2082" s="21">
        <f t="shared" si="250"/>
        <v>0</v>
      </c>
    </row>
    <row r="2083" spans="1:32" ht="15" customHeight="1" x14ac:dyDescent="0.3">
      <c r="A2083">
        <v>4</v>
      </c>
      <c r="B2083" s="2" t="s">
        <v>697</v>
      </c>
      <c r="C2083" s="4" t="s">
        <v>693</v>
      </c>
      <c r="D2083" s="3" t="s">
        <v>673</v>
      </c>
      <c r="E2083" s="6" t="s">
        <v>111</v>
      </c>
      <c r="F2083" s="6" t="s">
        <v>149</v>
      </c>
      <c r="G2083" s="6" t="s">
        <v>708</v>
      </c>
      <c r="H2083" s="23">
        <v>425000</v>
      </c>
      <c r="I2083">
        <v>0</v>
      </c>
      <c r="J2083">
        <v>0</v>
      </c>
      <c r="K2083" s="20">
        <f t="shared" si="248"/>
        <v>0</v>
      </c>
      <c r="L2083">
        <v>1</v>
      </c>
      <c r="M2083">
        <v>20</v>
      </c>
      <c r="N2083" s="21">
        <f t="shared" si="249"/>
        <v>8500000</v>
      </c>
      <c r="O2083">
        <v>0</v>
      </c>
      <c r="P2083">
        <v>0</v>
      </c>
      <c r="Q2083" s="21">
        <f t="shared" si="243"/>
        <v>0</v>
      </c>
      <c r="R2083">
        <v>0</v>
      </c>
      <c r="S2083">
        <v>0</v>
      </c>
      <c r="T2083" s="21">
        <f t="shared" si="244"/>
        <v>0</v>
      </c>
      <c r="U2083">
        <v>0</v>
      </c>
      <c r="V2083">
        <v>0</v>
      </c>
      <c r="W2083" s="21">
        <f t="shared" si="245"/>
        <v>0</v>
      </c>
      <c r="X2083">
        <v>0</v>
      </c>
      <c r="Y2083">
        <v>0</v>
      </c>
      <c r="Z2083" s="21">
        <f t="shared" si="246"/>
        <v>0</v>
      </c>
      <c r="AA2083">
        <v>0</v>
      </c>
      <c r="AB2083">
        <v>0</v>
      </c>
      <c r="AC2083" s="21">
        <f t="shared" si="247"/>
        <v>0</v>
      </c>
      <c r="AD2083">
        <v>0</v>
      </c>
      <c r="AE2083">
        <v>0</v>
      </c>
      <c r="AF2083" s="21">
        <f t="shared" si="250"/>
        <v>0</v>
      </c>
    </row>
    <row r="2084" spans="1:32" ht="15" customHeight="1" x14ac:dyDescent="0.3">
      <c r="A2084">
        <v>4</v>
      </c>
      <c r="B2084" s="2" t="s">
        <v>697</v>
      </c>
      <c r="C2084" s="4" t="s">
        <v>693</v>
      </c>
      <c r="D2084" s="3" t="s">
        <v>673</v>
      </c>
      <c r="E2084" s="6" t="s">
        <v>111</v>
      </c>
      <c r="F2084" s="6" t="s">
        <v>558</v>
      </c>
      <c r="G2084" s="6" t="s">
        <v>716</v>
      </c>
      <c r="H2084" s="23">
        <v>39000</v>
      </c>
      <c r="I2084">
        <v>0</v>
      </c>
      <c r="J2084">
        <v>0</v>
      </c>
      <c r="K2084" s="20">
        <f t="shared" si="248"/>
        <v>0</v>
      </c>
      <c r="L2084">
        <v>20</v>
      </c>
      <c r="M2084">
        <v>5</v>
      </c>
      <c r="N2084" s="21">
        <f t="shared" si="249"/>
        <v>3900000</v>
      </c>
      <c r="O2084">
        <v>0</v>
      </c>
      <c r="P2084">
        <v>0</v>
      </c>
      <c r="Q2084" s="21">
        <f t="shared" si="243"/>
        <v>0</v>
      </c>
      <c r="R2084">
        <v>0</v>
      </c>
      <c r="S2084">
        <v>0</v>
      </c>
      <c r="T2084" s="21">
        <f t="shared" si="244"/>
        <v>0</v>
      </c>
      <c r="U2084">
        <v>0</v>
      </c>
      <c r="V2084">
        <v>0</v>
      </c>
      <c r="W2084" s="21">
        <f t="shared" si="245"/>
        <v>0</v>
      </c>
      <c r="X2084">
        <v>0</v>
      </c>
      <c r="Y2084">
        <v>0</v>
      </c>
      <c r="Z2084" s="21">
        <f t="shared" si="246"/>
        <v>0</v>
      </c>
      <c r="AA2084">
        <v>0</v>
      </c>
      <c r="AB2084">
        <v>0</v>
      </c>
      <c r="AC2084" s="21">
        <f t="shared" si="247"/>
        <v>0</v>
      </c>
      <c r="AD2084">
        <v>0</v>
      </c>
      <c r="AE2084">
        <v>0</v>
      </c>
      <c r="AF2084" s="21">
        <f t="shared" si="250"/>
        <v>0</v>
      </c>
    </row>
    <row r="2085" spans="1:32" ht="15" customHeight="1" x14ac:dyDescent="0.3">
      <c r="A2085">
        <v>4</v>
      </c>
      <c r="B2085" s="2" t="s">
        <v>697</v>
      </c>
      <c r="C2085" s="4" t="s">
        <v>693</v>
      </c>
      <c r="D2085" s="3" t="s">
        <v>673</v>
      </c>
      <c r="E2085" s="6" t="s">
        <v>111</v>
      </c>
      <c r="F2085" s="6" t="s">
        <v>558</v>
      </c>
      <c r="G2085" s="6" t="s">
        <v>709</v>
      </c>
      <c r="H2085" s="23">
        <v>28000</v>
      </c>
      <c r="I2085">
        <v>0</v>
      </c>
      <c r="J2085">
        <v>0</v>
      </c>
      <c r="K2085" s="20">
        <f t="shared" si="248"/>
        <v>0</v>
      </c>
      <c r="L2085">
        <v>20</v>
      </c>
      <c r="M2085">
        <v>5</v>
      </c>
      <c r="N2085" s="21">
        <f t="shared" si="249"/>
        <v>2800000</v>
      </c>
      <c r="O2085">
        <v>0</v>
      </c>
      <c r="P2085">
        <v>0</v>
      </c>
      <c r="Q2085" s="21">
        <f t="shared" si="243"/>
        <v>0</v>
      </c>
      <c r="R2085">
        <v>0</v>
      </c>
      <c r="S2085">
        <v>0</v>
      </c>
      <c r="T2085" s="21">
        <f t="shared" si="244"/>
        <v>0</v>
      </c>
      <c r="U2085">
        <v>0</v>
      </c>
      <c r="V2085">
        <v>0</v>
      </c>
      <c r="W2085" s="21">
        <f t="shared" si="245"/>
        <v>0</v>
      </c>
      <c r="X2085">
        <v>0</v>
      </c>
      <c r="Y2085">
        <v>0</v>
      </c>
      <c r="Z2085" s="21">
        <f t="shared" si="246"/>
        <v>0</v>
      </c>
      <c r="AA2085">
        <v>0</v>
      </c>
      <c r="AB2085">
        <v>0</v>
      </c>
      <c r="AC2085" s="21">
        <f t="shared" si="247"/>
        <v>0</v>
      </c>
      <c r="AD2085">
        <v>0</v>
      </c>
      <c r="AE2085">
        <v>0</v>
      </c>
      <c r="AF2085" s="21">
        <f t="shared" si="250"/>
        <v>0</v>
      </c>
    </row>
    <row r="2086" spans="1:32" ht="15" customHeight="1" x14ac:dyDescent="0.3">
      <c r="A2086">
        <v>4</v>
      </c>
      <c r="B2086" s="2" t="s">
        <v>697</v>
      </c>
      <c r="C2086" s="4" t="s">
        <v>693</v>
      </c>
      <c r="D2086" s="3" t="s">
        <v>673</v>
      </c>
      <c r="E2086" s="6" t="s">
        <v>111</v>
      </c>
      <c r="F2086" s="6" t="s">
        <v>558</v>
      </c>
      <c r="G2086" s="6" t="s">
        <v>712</v>
      </c>
      <c r="H2086" s="23">
        <v>214.29</v>
      </c>
      <c r="I2086">
        <v>0</v>
      </c>
      <c r="J2086">
        <v>0</v>
      </c>
      <c r="K2086" s="20">
        <f t="shared" si="248"/>
        <v>0</v>
      </c>
      <c r="L2086">
        <v>4000</v>
      </c>
      <c r="M2086">
        <v>1</v>
      </c>
      <c r="N2086" s="21">
        <f t="shared" si="249"/>
        <v>857160</v>
      </c>
      <c r="O2086">
        <v>0</v>
      </c>
      <c r="P2086">
        <v>0</v>
      </c>
      <c r="Q2086" s="21">
        <f t="shared" si="243"/>
        <v>0</v>
      </c>
      <c r="R2086">
        <v>0</v>
      </c>
      <c r="S2086">
        <v>0</v>
      </c>
      <c r="T2086" s="21">
        <f t="shared" si="244"/>
        <v>0</v>
      </c>
      <c r="U2086">
        <v>0</v>
      </c>
      <c r="V2086">
        <v>0</v>
      </c>
      <c r="W2086" s="21">
        <f t="shared" si="245"/>
        <v>0</v>
      </c>
      <c r="X2086">
        <v>0</v>
      </c>
      <c r="Y2086">
        <v>0</v>
      </c>
      <c r="Z2086" s="21">
        <f t="shared" si="246"/>
        <v>0</v>
      </c>
      <c r="AA2086">
        <v>0</v>
      </c>
      <c r="AB2086">
        <v>0</v>
      </c>
      <c r="AC2086" s="21">
        <f t="shared" si="247"/>
        <v>0</v>
      </c>
      <c r="AD2086">
        <v>0</v>
      </c>
      <c r="AE2086">
        <v>0</v>
      </c>
      <c r="AF2086" s="21">
        <f t="shared" si="250"/>
        <v>0</v>
      </c>
    </row>
    <row r="2087" spans="1:32" ht="15" customHeight="1" x14ac:dyDescent="0.3">
      <c r="A2087">
        <v>4</v>
      </c>
      <c r="B2087" s="2" t="s">
        <v>697</v>
      </c>
      <c r="C2087" s="4" t="s">
        <v>693</v>
      </c>
      <c r="D2087" s="3" t="s">
        <v>673</v>
      </c>
      <c r="E2087" s="6" t="s">
        <v>111</v>
      </c>
      <c r="F2087" s="6" t="s">
        <v>559</v>
      </c>
      <c r="G2087" s="6" t="s">
        <v>718</v>
      </c>
      <c r="H2087" s="23">
        <v>0</v>
      </c>
      <c r="I2087">
        <v>0</v>
      </c>
      <c r="J2087">
        <v>0</v>
      </c>
      <c r="K2087" s="20">
        <f t="shared" si="248"/>
        <v>0</v>
      </c>
      <c r="L2087">
        <v>0</v>
      </c>
      <c r="M2087">
        <v>0</v>
      </c>
      <c r="N2087" s="21">
        <f t="shared" si="249"/>
        <v>0</v>
      </c>
      <c r="O2087">
        <v>0</v>
      </c>
      <c r="P2087">
        <v>0</v>
      </c>
      <c r="Q2087" s="21">
        <f t="shared" si="243"/>
        <v>0</v>
      </c>
      <c r="R2087">
        <v>0</v>
      </c>
      <c r="S2087">
        <v>0</v>
      </c>
      <c r="T2087" s="21">
        <f t="shared" si="244"/>
        <v>0</v>
      </c>
      <c r="U2087">
        <v>0</v>
      </c>
      <c r="V2087">
        <v>0</v>
      </c>
      <c r="W2087" s="21">
        <f t="shared" si="245"/>
        <v>0</v>
      </c>
      <c r="X2087">
        <v>0</v>
      </c>
      <c r="Y2087">
        <v>0</v>
      </c>
      <c r="Z2087" s="21">
        <f t="shared" si="246"/>
        <v>0</v>
      </c>
      <c r="AA2087">
        <v>0</v>
      </c>
      <c r="AB2087">
        <v>0</v>
      </c>
      <c r="AC2087" s="21">
        <f t="shared" si="247"/>
        <v>0</v>
      </c>
      <c r="AD2087">
        <v>0</v>
      </c>
      <c r="AE2087">
        <v>0</v>
      </c>
      <c r="AF2087" s="21">
        <f t="shared" si="250"/>
        <v>0</v>
      </c>
    </row>
    <row r="2088" spans="1:32" ht="15" customHeight="1" x14ac:dyDescent="0.3">
      <c r="A2088">
        <v>4</v>
      </c>
      <c r="B2088" s="2" t="s">
        <v>697</v>
      </c>
      <c r="C2088" s="4" t="s">
        <v>693</v>
      </c>
      <c r="D2088" s="3" t="s">
        <v>673</v>
      </c>
      <c r="E2088" s="6" t="s">
        <v>112</v>
      </c>
      <c r="F2088" s="6" t="s">
        <v>549</v>
      </c>
      <c r="G2088" s="6" t="s">
        <v>718</v>
      </c>
      <c r="H2088" s="23">
        <v>0</v>
      </c>
      <c r="I2088">
        <v>0</v>
      </c>
      <c r="J2088">
        <v>0</v>
      </c>
      <c r="K2088" s="20">
        <f t="shared" si="248"/>
        <v>0</v>
      </c>
      <c r="L2088">
        <v>0</v>
      </c>
      <c r="M2088">
        <v>0</v>
      </c>
      <c r="N2088" s="21">
        <f t="shared" si="249"/>
        <v>0</v>
      </c>
      <c r="O2088">
        <v>0</v>
      </c>
      <c r="P2088">
        <v>0</v>
      </c>
      <c r="Q2088" s="21">
        <f t="shared" si="243"/>
        <v>0</v>
      </c>
      <c r="R2088">
        <v>0</v>
      </c>
      <c r="S2088">
        <v>0</v>
      </c>
      <c r="T2088" s="21">
        <f t="shared" si="244"/>
        <v>0</v>
      </c>
      <c r="U2088">
        <v>0</v>
      </c>
      <c r="V2088">
        <v>0</v>
      </c>
      <c r="W2088" s="21">
        <f t="shared" si="245"/>
        <v>0</v>
      </c>
      <c r="X2088">
        <v>0</v>
      </c>
      <c r="Y2088">
        <v>0</v>
      </c>
      <c r="Z2088" s="21">
        <f t="shared" si="246"/>
        <v>0</v>
      </c>
      <c r="AA2088">
        <v>0</v>
      </c>
      <c r="AB2088">
        <v>0</v>
      </c>
      <c r="AC2088" s="21">
        <f t="shared" si="247"/>
        <v>0</v>
      </c>
      <c r="AD2088">
        <v>0</v>
      </c>
      <c r="AE2088">
        <v>0</v>
      </c>
      <c r="AF2088" s="21">
        <f t="shared" si="250"/>
        <v>0</v>
      </c>
    </row>
    <row r="2089" spans="1:32" ht="15" customHeight="1" x14ac:dyDescent="0.3">
      <c r="A2089">
        <v>4</v>
      </c>
      <c r="B2089" s="2" t="s">
        <v>697</v>
      </c>
      <c r="C2089" s="4" t="s">
        <v>693</v>
      </c>
      <c r="D2089" s="3" t="s">
        <v>673</v>
      </c>
      <c r="E2089" s="6" t="s">
        <v>112</v>
      </c>
      <c r="F2089" s="6" t="s">
        <v>550</v>
      </c>
      <c r="G2089" s="6" t="s">
        <v>718</v>
      </c>
      <c r="H2089" s="23">
        <v>0</v>
      </c>
      <c r="I2089">
        <v>0</v>
      </c>
      <c r="J2089">
        <v>0</v>
      </c>
      <c r="K2089" s="20">
        <f t="shared" si="248"/>
        <v>0</v>
      </c>
      <c r="L2089">
        <v>0</v>
      </c>
      <c r="M2089">
        <v>0</v>
      </c>
      <c r="N2089" s="21">
        <f t="shared" si="249"/>
        <v>0</v>
      </c>
      <c r="O2089">
        <v>0</v>
      </c>
      <c r="P2089">
        <v>0</v>
      </c>
      <c r="Q2089" s="21">
        <f t="shared" si="243"/>
        <v>0</v>
      </c>
      <c r="R2089">
        <v>0</v>
      </c>
      <c r="S2089">
        <v>0</v>
      </c>
      <c r="T2089" s="21">
        <f t="shared" si="244"/>
        <v>0</v>
      </c>
      <c r="U2089">
        <v>0</v>
      </c>
      <c r="V2089">
        <v>0</v>
      </c>
      <c r="W2089" s="21">
        <f t="shared" si="245"/>
        <v>0</v>
      </c>
      <c r="X2089">
        <v>0</v>
      </c>
      <c r="Y2089">
        <v>0</v>
      </c>
      <c r="Z2089" s="21">
        <f t="shared" si="246"/>
        <v>0</v>
      </c>
      <c r="AA2089">
        <v>0</v>
      </c>
      <c r="AB2089">
        <v>0</v>
      </c>
      <c r="AC2089" s="21">
        <f t="shared" si="247"/>
        <v>0</v>
      </c>
      <c r="AD2089">
        <v>0</v>
      </c>
      <c r="AE2089">
        <v>0</v>
      </c>
      <c r="AF2089" s="21">
        <f t="shared" si="250"/>
        <v>0</v>
      </c>
    </row>
    <row r="2090" spans="1:32" ht="15" customHeight="1" x14ac:dyDescent="0.3">
      <c r="A2090">
        <v>4</v>
      </c>
      <c r="B2090" s="2" t="s">
        <v>697</v>
      </c>
      <c r="C2090" s="4" t="s">
        <v>693</v>
      </c>
      <c r="D2090" s="3" t="s">
        <v>673</v>
      </c>
      <c r="E2090" s="6" t="s">
        <v>112</v>
      </c>
      <c r="F2090" s="6" t="s">
        <v>560</v>
      </c>
      <c r="G2090" s="6" t="s">
        <v>713</v>
      </c>
      <c r="H2090" s="23">
        <v>45000</v>
      </c>
      <c r="I2090">
        <v>0</v>
      </c>
      <c r="J2090">
        <v>0</v>
      </c>
      <c r="K2090" s="20">
        <f t="shared" si="248"/>
        <v>0</v>
      </c>
      <c r="L2090">
        <v>15</v>
      </c>
      <c r="M2090">
        <v>1</v>
      </c>
      <c r="N2090" s="21">
        <f t="shared" si="249"/>
        <v>675000</v>
      </c>
      <c r="O2090">
        <v>15</v>
      </c>
      <c r="P2090">
        <v>1</v>
      </c>
      <c r="Q2090" s="21">
        <f t="shared" si="243"/>
        <v>675000</v>
      </c>
      <c r="R2090">
        <v>15</v>
      </c>
      <c r="S2090">
        <v>1</v>
      </c>
      <c r="T2090" s="21">
        <f t="shared" si="244"/>
        <v>675000</v>
      </c>
      <c r="U2090">
        <v>15</v>
      </c>
      <c r="V2090">
        <v>1</v>
      </c>
      <c r="W2090" s="21">
        <f t="shared" si="245"/>
        <v>675000</v>
      </c>
      <c r="X2090">
        <v>0</v>
      </c>
      <c r="Y2090">
        <v>0</v>
      </c>
      <c r="Z2090" s="21">
        <f t="shared" si="246"/>
        <v>0</v>
      </c>
      <c r="AA2090">
        <v>0</v>
      </c>
      <c r="AB2090">
        <v>0</v>
      </c>
      <c r="AC2090" s="21">
        <f t="shared" si="247"/>
        <v>0</v>
      </c>
      <c r="AD2090">
        <v>0</v>
      </c>
      <c r="AE2090">
        <v>0</v>
      </c>
      <c r="AF2090" s="21">
        <f t="shared" si="250"/>
        <v>0</v>
      </c>
    </row>
    <row r="2091" spans="1:32" ht="15" customHeight="1" x14ac:dyDescent="0.3">
      <c r="A2091">
        <v>4</v>
      </c>
      <c r="B2091" s="2" t="s">
        <v>697</v>
      </c>
      <c r="C2091" s="4" t="s">
        <v>693</v>
      </c>
      <c r="D2091" s="3" t="s">
        <v>673</v>
      </c>
      <c r="E2091" s="6" t="s">
        <v>112</v>
      </c>
      <c r="F2091" s="6" t="s">
        <v>560</v>
      </c>
      <c r="G2091" s="6" t="s">
        <v>712</v>
      </c>
      <c r="H2091" s="23">
        <v>214.29</v>
      </c>
      <c r="I2091">
        <v>0</v>
      </c>
      <c r="J2091">
        <v>0</v>
      </c>
      <c r="K2091" s="20">
        <f t="shared" si="248"/>
        <v>0</v>
      </c>
      <c r="L2091">
        <v>4000</v>
      </c>
      <c r="M2091">
        <v>1</v>
      </c>
      <c r="N2091" s="21">
        <f t="shared" si="249"/>
        <v>857160</v>
      </c>
      <c r="O2091">
        <v>4000</v>
      </c>
      <c r="P2091">
        <v>1</v>
      </c>
      <c r="Q2091" s="21">
        <f t="shared" si="243"/>
        <v>857160</v>
      </c>
      <c r="R2091">
        <v>4000</v>
      </c>
      <c r="S2091">
        <v>1</v>
      </c>
      <c r="T2091" s="21">
        <f t="shared" si="244"/>
        <v>857160</v>
      </c>
      <c r="U2091">
        <v>4000</v>
      </c>
      <c r="V2091">
        <v>1</v>
      </c>
      <c r="W2091" s="21">
        <f t="shared" si="245"/>
        <v>857160</v>
      </c>
      <c r="X2091">
        <v>0</v>
      </c>
      <c r="Y2091">
        <v>0</v>
      </c>
      <c r="Z2091" s="21">
        <f t="shared" si="246"/>
        <v>0</v>
      </c>
      <c r="AA2091">
        <v>0</v>
      </c>
      <c r="AB2091">
        <v>0</v>
      </c>
      <c r="AC2091" s="21">
        <f t="shared" si="247"/>
        <v>0</v>
      </c>
      <c r="AD2091">
        <v>0</v>
      </c>
      <c r="AE2091">
        <v>0</v>
      </c>
      <c r="AF2091" s="21">
        <f t="shared" si="250"/>
        <v>0</v>
      </c>
    </row>
    <row r="2092" spans="1:32" ht="15" customHeight="1" x14ac:dyDescent="0.3">
      <c r="A2092">
        <v>4</v>
      </c>
      <c r="B2092" s="2" t="s">
        <v>697</v>
      </c>
      <c r="C2092" s="4" t="s">
        <v>693</v>
      </c>
      <c r="D2092" s="3" t="s">
        <v>673</v>
      </c>
      <c r="E2092" s="6" t="s">
        <v>112</v>
      </c>
      <c r="F2092" s="6" t="s">
        <v>561</v>
      </c>
      <c r="G2092" s="6" t="s">
        <v>718</v>
      </c>
      <c r="H2092" s="23">
        <v>0</v>
      </c>
      <c r="I2092">
        <v>0</v>
      </c>
      <c r="J2092">
        <v>0</v>
      </c>
      <c r="K2092" s="20">
        <f t="shared" si="248"/>
        <v>0</v>
      </c>
      <c r="L2092">
        <v>0</v>
      </c>
      <c r="M2092">
        <v>0</v>
      </c>
      <c r="N2092" s="21">
        <f t="shared" si="249"/>
        <v>0</v>
      </c>
      <c r="O2092">
        <v>0</v>
      </c>
      <c r="P2092">
        <v>0</v>
      </c>
      <c r="Q2092" s="21">
        <f t="shared" si="243"/>
        <v>0</v>
      </c>
      <c r="R2092">
        <v>0</v>
      </c>
      <c r="S2092">
        <v>0</v>
      </c>
      <c r="T2092" s="21">
        <f t="shared" si="244"/>
        <v>0</v>
      </c>
      <c r="U2092">
        <v>0</v>
      </c>
      <c r="V2092">
        <v>0</v>
      </c>
      <c r="W2092" s="21">
        <f t="shared" si="245"/>
        <v>0</v>
      </c>
      <c r="X2092">
        <v>0</v>
      </c>
      <c r="Y2092">
        <v>0</v>
      </c>
      <c r="Z2092" s="21">
        <f t="shared" si="246"/>
        <v>0</v>
      </c>
      <c r="AA2092">
        <v>0</v>
      </c>
      <c r="AB2092">
        <v>0</v>
      </c>
      <c r="AC2092" s="21">
        <f t="shared" si="247"/>
        <v>0</v>
      </c>
      <c r="AD2092">
        <v>0</v>
      </c>
      <c r="AE2092">
        <v>0</v>
      </c>
      <c r="AF2092" s="21">
        <f t="shared" si="250"/>
        <v>0</v>
      </c>
    </row>
    <row r="2093" spans="1:32" ht="15" customHeight="1" x14ac:dyDescent="0.3">
      <c r="A2093">
        <v>4</v>
      </c>
      <c r="B2093" s="2" t="s">
        <v>697</v>
      </c>
      <c r="C2093" s="4" t="s">
        <v>693</v>
      </c>
      <c r="D2093" s="3" t="s">
        <v>673</v>
      </c>
      <c r="E2093" s="6" t="s">
        <v>112</v>
      </c>
      <c r="F2093" s="6" t="s">
        <v>157</v>
      </c>
      <c r="G2093" s="6" t="s">
        <v>713</v>
      </c>
      <c r="H2093" s="23">
        <v>45000</v>
      </c>
      <c r="I2093">
        <v>0</v>
      </c>
      <c r="J2093">
        <v>0</v>
      </c>
      <c r="K2093" s="20">
        <f t="shared" si="248"/>
        <v>0</v>
      </c>
      <c r="L2093">
        <v>15</v>
      </c>
      <c r="M2093">
        <v>10</v>
      </c>
      <c r="N2093" s="21">
        <f t="shared" si="249"/>
        <v>6750000</v>
      </c>
      <c r="O2093">
        <v>15</v>
      </c>
      <c r="P2093">
        <v>10</v>
      </c>
      <c r="Q2093" s="21">
        <f t="shared" si="243"/>
        <v>6750000</v>
      </c>
      <c r="R2093">
        <v>15</v>
      </c>
      <c r="S2093">
        <v>10</v>
      </c>
      <c r="T2093" s="21">
        <f t="shared" si="244"/>
        <v>6750000</v>
      </c>
      <c r="U2093">
        <v>15</v>
      </c>
      <c r="V2093">
        <v>10</v>
      </c>
      <c r="W2093" s="21">
        <f t="shared" si="245"/>
        <v>6750000</v>
      </c>
      <c r="X2093">
        <v>0</v>
      </c>
      <c r="Y2093">
        <v>0</v>
      </c>
      <c r="Z2093" s="21">
        <f t="shared" si="246"/>
        <v>0</v>
      </c>
      <c r="AA2093">
        <v>0</v>
      </c>
      <c r="AB2093">
        <v>0</v>
      </c>
      <c r="AC2093" s="21">
        <f t="shared" si="247"/>
        <v>0</v>
      </c>
      <c r="AD2093">
        <v>0</v>
      </c>
      <c r="AE2093">
        <v>0</v>
      </c>
      <c r="AF2093" s="21">
        <f t="shared" si="250"/>
        <v>0</v>
      </c>
    </row>
    <row r="2094" spans="1:32" ht="15" customHeight="1" x14ac:dyDescent="0.3">
      <c r="A2094">
        <v>4</v>
      </c>
      <c r="B2094" s="2" t="s">
        <v>697</v>
      </c>
      <c r="C2094" s="4" t="s">
        <v>693</v>
      </c>
      <c r="D2094" s="3" t="s">
        <v>673</v>
      </c>
      <c r="E2094" s="6" t="s">
        <v>112</v>
      </c>
      <c r="F2094" s="6" t="s">
        <v>157</v>
      </c>
      <c r="G2094" s="6" t="s">
        <v>715</v>
      </c>
      <c r="H2094" s="23">
        <v>302000</v>
      </c>
      <c r="I2094">
        <v>0</v>
      </c>
      <c r="J2094">
        <v>0</v>
      </c>
      <c r="K2094" s="20">
        <f t="shared" si="248"/>
        <v>0</v>
      </c>
      <c r="L2094">
        <v>20</v>
      </c>
      <c r="M2094">
        <v>1</v>
      </c>
      <c r="N2094" s="21">
        <f t="shared" si="249"/>
        <v>6040000</v>
      </c>
      <c r="O2094">
        <v>20</v>
      </c>
      <c r="P2094">
        <v>1</v>
      </c>
      <c r="Q2094" s="21">
        <f t="shared" si="243"/>
        <v>6040000</v>
      </c>
      <c r="R2094">
        <v>20</v>
      </c>
      <c r="S2094">
        <v>1</v>
      </c>
      <c r="T2094" s="21">
        <f t="shared" si="244"/>
        <v>6040000</v>
      </c>
      <c r="U2094">
        <v>20</v>
      </c>
      <c r="V2094">
        <v>1</v>
      </c>
      <c r="W2094" s="21">
        <f t="shared" si="245"/>
        <v>6040000</v>
      </c>
      <c r="X2094">
        <v>0</v>
      </c>
      <c r="Y2094">
        <v>0</v>
      </c>
      <c r="Z2094" s="21">
        <f t="shared" si="246"/>
        <v>0</v>
      </c>
      <c r="AA2094">
        <v>0</v>
      </c>
      <c r="AB2094">
        <v>0</v>
      </c>
      <c r="AC2094" s="21">
        <f t="shared" si="247"/>
        <v>0</v>
      </c>
      <c r="AD2094">
        <v>0</v>
      </c>
      <c r="AE2094">
        <v>0</v>
      </c>
      <c r="AF2094" s="21">
        <f t="shared" si="250"/>
        <v>0</v>
      </c>
    </row>
    <row r="2095" spans="1:32" ht="15" customHeight="1" x14ac:dyDescent="0.3">
      <c r="A2095">
        <v>4</v>
      </c>
      <c r="B2095" s="2" t="s">
        <v>697</v>
      </c>
      <c r="C2095" s="4" t="s">
        <v>693</v>
      </c>
      <c r="D2095" s="3" t="s">
        <v>673</v>
      </c>
      <c r="E2095" s="6" t="s">
        <v>112</v>
      </c>
      <c r="F2095" s="6" t="s">
        <v>157</v>
      </c>
      <c r="G2095" s="6" t="s">
        <v>714</v>
      </c>
      <c r="H2095" s="23">
        <v>10000</v>
      </c>
      <c r="I2095">
        <v>0</v>
      </c>
      <c r="J2095">
        <v>0</v>
      </c>
      <c r="K2095" s="20">
        <f t="shared" si="248"/>
        <v>0</v>
      </c>
      <c r="L2095">
        <v>15</v>
      </c>
      <c r="M2095">
        <v>1</v>
      </c>
      <c r="N2095" s="21">
        <f t="shared" si="249"/>
        <v>150000</v>
      </c>
      <c r="O2095">
        <v>15</v>
      </c>
      <c r="P2095">
        <v>1</v>
      </c>
      <c r="Q2095" s="21">
        <f t="shared" si="243"/>
        <v>150000</v>
      </c>
      <c r="R2095">
        <v>15</v>
      </c>
      <c r="S2095">
        <v>1</v>
      </c>
      <c r="T2095" s="21">
        <f t="shared" si="244"/>
        <v>150000</v>
      </c>
      <c r="U2095">
        <v>15</v>
      </c>
      <c r="V2095">
        <v>1</v>
      </c>
      <c r="W2095" s="21">
        <f t="shared" si="245"/>
        <v>150000</v>
      </c>
      <c r="X2095">
        <v>0</v>
      </c>
      <c r="Y2095">
        <v>0</v>
      </c>
      <c r="Z2095" s="21">
        <f t="shared" si="246"/>
        <v>0</v>
      </c>
      <c r="AA2095">
        <v>0</v>
      </c>
      <c r="AB2095">
        <v>0</v>
      </c>
      <c r="AC2095" s="21">
        <f t="shared" si="247"/>
        <v>0</v>
      </c>
      <c r="AD2095">
        <v>0</v>
      </c>
      <c r="AE2095">
        <v>0</v>
      </c>
      <c r="AF2095" s="21">
        <f t="shared" si="250"/>
        <v>0</v>
      </c>
    </row>
    <row r="2096" spans="1:32" ht="15" customHeight="1" x14ac:dyDescent="0.3">
      <c r="A2096">
        <v>4</v>
      </c>
      <c r="B2096" s="2" t="s">
        <v>697</v>
      </c>
      <c r="C2096" s="4" t="s">
        <v>693</v>
      </c>
      <c r="D2096" s="3" t="s">
        <v>673</v>
      </c>
      <c r="E2096" s="6" t="s">
        <v>112</v>
      </c>
      <c r="F2096" s="6" t="s">
        <v>157</v>
      </c>
      <c r="G2096" s="6" t="s">
        <v>712</v>
      </c>
      <c r="H2096" s="23">
        <v>214.29</v>
      </c>
      <c r="I2096">
        <v>0</v>
      </c>
      <c r="J2096">
        <v>0</v>
      </c>
      <c r="K2096" s="20">
        <f t="shared" si="248"/>
        <v>0</v>
      </c>
      <c r="L2096">
        <v>20000</v>
      </c>
      <c r="M2096">
        <v>1</v>
      </c>
      <c r="N2096" s="21">
        <f t="shared" si="249"/>
        <v>4285800</v>
      </c>
      <c r="O2096">
        <v>20000</v>
      </c>
      <c r="P2096">
        <v>1</v>
      </c>
      <c r="Q2096" s="21">
        <f t="shared" si="243"/>
        <v>4285800</v>
      </c>
      <c r="R2096">
        <v>20000</v>
      </c>
      <c r="S2096">
        <v>1</v>
      </c>
      <c r="T2096" s="21">
        <f t="shared" si="244"/>
        <v>4285800</v>
      </c>
      <c r="U2096">
        <v>20000</v>
      </c>
      <c r="V2096">
        <v>1</v>
      </c>
      <c r="W2096" s="21">
        <f t="shared" si="245"/>
        <v>4285800</v>
      </c>
      <c r="X2096">
        <v>0</v>
      </c>
      <c r="Y2096">
        <v>0</v>
      </c>
      <c r="Z2096" s="21">
        <f t="shared" si="246"/>
        <v>0</v>
      </c>
      <c r="AA2096">
        <v>0</v>
      </c>
      <c r="AB2096">
        <v>0</v>
      </c>
      <c r="AC2096" s="21">
        <f t="shared" si="247"/>
        <v>0</v>
      </c>
      <c r="AD2096">
        <v>0</v>
      </c>
      <c r="AE2096">
        <v>0</v>
      </c>
      <c r="AF2096" s="21">
        <f t="shared" si="250"/>
        <v>0</v>
      </c>
    </row>
    <row r="2097" spans="1:32" ht="15" customHeight="1" x14ac:dyDescent="0.3">
      <c r="A2097">
        <v>4</v>
      </c>
      <c r="B2097" s="2" t="s">
        <v>697</v>
      </c>
      <c r="C2097" s="4" t="s">
        <v>693</v>
      </c>
      <c r="D2097" s="3" t="s">
        <v>673</v>
      </c>
      <c r="E2097" s="6" t="s">
        <v>112</v>
      </c>
      <c r="F2097" s="6" t="s">
        <v>152</v>
      </c>
      <c r="G2097" s="6" t="s">
        <v>716</v>
      </c>
      <c r="H2097" s="23">
        <v>39000</v>
      </c>
      <c r="I2097">
        <v>0</v>
      </c>
      <c r="J2097">
        <v>0</v>
      </c>
      <c r="K2097" s="20">
        <f t="shared" si="248"/>
        <v>0</v>
      </c>
      <c r="L2097">
        <v>15</v>
      </c>
      <c r="M2097">
        <v>5</v>
      </c>
      <c r="N2097" s="21">
        <f t="shared" si="249"/>
        <v>2925000</v>
      </c>
      <c r="O2097">
        <v>15</v>
      </c>
      <c r="P2097">
        <v>5</v>
      </c>
      <c r="Q2097" s="21">
        <f t="shared" si="243"/>
        <v>2925000</v>
      </c>
      <c r="R2097">
        <v>15</v>
      </c>
      <c r="S2097">
        <v>5</v>
      </c>
      <c r="T2097" s="21">
        <f t="shared" si="244"/>
        <v>2925000</v>
      </c>
      <c r="U2097">
        <v>15</v>
      </c>
      <c r="V2097">
        <v>5</v>
      </c>
      <c r="W2097" s="21">
        <f t="shared" si="245"/>
        <v>2925000</v>
      </c>
      <c r="X2097">
        <v>0</v>
      </c>
      <c r="Y2097">
        <v>0</v>
      </c>
      <c r="Z2097" s="21">
        <f t="shared" si="246"/>
        <v>0</v>
      </c>
      <c r="AA2097">
        <v>0</v>
      </c>
      <c r="AB2097">
        <v>0</v>
      </c>
      <c r="AC2097" s="21">
        <f t="shared" si="247"/>
        <v>0</v>
      </c>
      <c r="AD2097">
        <v>0</v>
      </c>
      <c r="AE2097">
        <v>0</v>
      </c>
      <c r="AF2097" s="21">
        <f t="shared" si="250"/>
        <v>0</v>
      </c>
    </row>
    <row r="2098" spans="1:32" ht="15" customHeight="1" x14ac:dyDescent="0.3">
      <c r="A2098">
        <v>4</v>
      </c>
      <c r="B2098" s="2" t="s">
        <v>697</v>
      </c>
      <c r="C2098" s="4" t="s">
        <v>693</v>
      </c>
      <c r="D2098" s="3" t="s">
        <v>673</v>
      </c>
      <c r="E2098" s="6" t="s">
        <v>112</v>
      </c>
      <c r="F2098" s="6" t="s">
        <v>152</v>
      </c>
      <c r="G2098" s="6" t="s">
        <v>709</v>
      </c>
      <c r="H2098" s="23">
        <v>28000</v>
      </c>
      <c r="I2098">
        <v>0</v>
      </c>
      <c r="J2098">
        <v>0</v>
      </c>
      <c r="K2098" s="20">
        <f t="shared" si="248"/>
        <v>0</v>
      </c>
      <c r="L2098">
        <v>15</v>
      </c>
      <c r="M2098">
        <v>5</v>
      </c>
      <c r="N2098" s="21">
        <f t="shared" si="249"/>
        <v>2100000</v>
      </c>
      <c r="O2098">
        <v>15</v>
      </c>
      <c r="P2098">
        <v>5</v>
      </c>
      <c r="Q2098" s="21">
        <f t="shared" si="243"/>
        <v>2100000</v>
      </c>
      <c r="R2098">
        <v>15</v>
      </c>
      <c r="S2098">
        <v>5</v>
      </c>
      <c r="T2098" s="21">
        <f t="shared" si="244"/>
        <v>2100000</v>
      </c>
      <c r="U2098">
        <v>15</v>
      </c>
      <c r="V2098">
        <v>5</v>
      </c>
      <c r="W2098" s="21">
        <f t="shared" si="245"/>
        <v>2100000</v>
      </c>
      <c r="X2098">
        <v>0</v>
      </c>
      <c r="Y2098">
        <v>0</v>
      </c>
      <c r="Z2098" s="21">
        <f t="shared" si="246"/>
        <v>0</v>
      </c>
      <c r="AA2098">
        <v>0</v>
      </c>
      <c r="AB2098">
        <v>0</v>
      </c>
      <c r="AC2098" s="21">
        <f t="shared" si="247"/>
        <v>0</v>
      </c>
      <c r="AD2098">
        <v>0</v>
      </c>
      <c r="AE2098">
        <v>0</v>
      </c>
      <c r="AF2098" s="21">
        <f t="shared" si="250"/>
        <v>0</v>
      </c>
    </row>
    <row r="2099" spans="1:32" ht="15" customHeight="1" x14ac:dyDescent="0.3">
      <c r="A2099">
        <v>4</v>
      </c>
      <c r="B2099" s="2" t="s">
        <v>697</v>
      </c>
      <c r="C2099" s="4" t="s">
        <v>693</v>
      </c>
      <c r="D2099" s="3" t="s">
        <v>673</v>
      </c>
      <c r="E2099" s="6" t="s">
        <v>112</v>
      </c>
      <c r="F2099" s="6" t="s">
        <v>152</v>
      </c>
      <c r="G2099" s="6" t="s">
        <v>712</v>
      </c>
      <c r="H2099" s="23">
        <v>214.29</v>
      </c>
      <c r="I2099">
        <v>0</v>
      </c>
      <c r="J2099">
        <v>0</v>
      </c>
      <c r="K2099" s="20">
        <f t="shared" si="248"/>
        <v>0</v>
      </c>
      <c r="L2099">
        <v>4000</v>
      </c>
      <c r="M2099">
        <v>1</v>
      </c>
      <c r="N2099" s="21">
        <f t="shared" si="249"/>
        <v>857160</v>
      </c>
      <c r="O2099">
        <v>4000</v>
      </c>
      <c r="P2099">
        <v>1</v>
      </c>
      <c r="Q2099" s="21">
        <f t="shared" si="243"/>
        <v>857160</v>
      </c>
      <c r="R2099">
        <v>4000</v>
      </c>
      <c r="S2099">
        <v>1</v>
      </c>
      <c r="T2099" s="21">
        <f t="shared" si="244"/>
        <v>857160</v>
      </c>
      <c r="U2099">
        <v>4000</v>
      </c>
      <c r="V2099">
        <v>1</v>
      </c>
      <c r="W2099" s="21">
        <f t="shared" si="245"/>
        <v>857160</v>
      </c>
      <c r="X2099">
        <v>0</v>
      </c>
      <c r="Y2099">
        <v>0</v>
      </c>
      <c r="Z2099" s="21">
        <f t="shared" si="246"/>
        <v>0</v>
      </c>
      <c r="AA2099">
        <v>0</v>
      </c>
      <c r="AB2099">
        <v>0</v>
      </c>
      <c r="AC2099" s="21">
        <f t="shared" si="247"/>
        <v>0</v>
      </c>
      <c r="AD2099">
        <v>0</v>
      </c>
      <c r="AE2099">
        <v>0</v>
      </c>
      <c r="AF2099" s="21">
        <f t="shared" si="250"/>
        <v>0</v>
      </c>
    </row>
    <row r="2100" spans="1:32" ht="15" customHeight="1" x14ac:dyDescent="0.3">
      <c r="A2100">
        <v>4</v>
      </c>
      <c r="B2100" s="2" t="s">
        <v>697</v>
      </c>
      <c r="C2100" s="4" t="s">
        <v>693</v>
      </c>
      <c r="D2100" s="3" t="s">
        <v>673</v>
      </c>
      <c r="E2100" s="6" t="s">
        <v>112</v>
      </c>
      <c r="F2100" s="6" t="s">
        <v>180</v>
      </c>
      <c r="G2100" s="6" t="s">
        <v>716</v>
      </c>
      <c r="H2100" s="23">
        <v>39000</v>
      </c>
      <c r="I2100">
        <v>0</v>
      </c>
      <c r="J2100">
        <v>0</v>
      </c>
      <c r="K2100" s="20">
        <f t="shared" si="248"/>
        <v>0</v>
      </c>
      <c r="L2100">
        <v>15</v>
      </c>
      <c r="M2100">
        <v>5</v>
      </c>
      <c r="N2100" s="21">
        <f t="shared" si="249"/>
        <v>2925000</v>
      </c>
      <c r="O2100">
        <v>15</v>
      </c>
      <c r="P2100">
        <v>5</v>
      </c>
      <c r="Q2100" s="21">
        <f t="shared" si="243"/>
        <v>2925000</v>
      </c>
      <c r="R2100">
        <v>15</v>
      </c>
      <c r="S2100">
        <v>5</v>
      </c>
      <c r="T2100" s="21">
        <f t="shared" si="244"/>
        <v>2925000</v>
      </c>
      <c r="U2100">
        <v>15</v>
      </c>
      <c r="V2100">
        <v>5</v>
      </c>
      <c r="W2100" s="21">
        <f t="shared" si="245"/>
        <v>2925000</v>
      </c>
      <c r="X2100">
        <v>0</v>
      </c>
      <c r="Y2100">
        <v>0</v>
      </c>
      <c r="Z2100" s="21">
        <f t="shared" si="246"/>
        <v>0</v>
      </c>
      <c r="AA2100">
        <v>0</v>
      </c>
      <c r="AB2100">
        <v>0</v>
      </c>
      <c r="AC2100" s="21">
        <f t="shared" si="247"/>
        <v>0</v>
      </c>
      <c r="AD2100">
        <v>0</v>
      </c>
      <c r="AE2100">
        <v>0</v>
      </c>
      <c r="AF2100" s="21">
        <f t="shared" si="250"/>
        <v>0</v>
      </c>
    </row>
    <row r="2101" spans="1:32" ht="15" customHeight="1" x14ac:dyDescent="0.3">
      <c r="A2101">
        <v>4</v>
      </c>
      <c r="B2101" s="2" t="s">
        <v>697</v>
      </c>
      <c r="C2101" s="4" t="s">
        <v>693</v>
      </c>
      <c r="D2101" s="3" t="s">
        <v>673</v>
      </c>
      <c r="E2101" s="6" t="s">
        <v>112</v>
      </c>
      <c r="F2101" s="6" t="s">
        <v>180</v>
      </c>
      <c r="G2101" s="6" t="s">
        <v>709</v>
      </c>
      <c r="H2101" s="23">
        <v>28000</v>
      </c>
      <c r="I2101">
        <v>0</v>
      </c>
      <c r="J2101">
        <v>0</v>
      </c>
      <c r="K2101" s="20">
        <f t="shared" si="248"/>
        <v>0</v>
      </c>
      <c r="L2101">
        <v>15</v>
      </c>
      <c r="M2101">
        <v>5</v>
      </c>
      <c r="N2101" s="21">
        <f t="shared" si="249"/>
        <v>2100000</v>
      </c>
      <c r="O2101">
        <v>15</v>
      </c>
      <c r="P2101">
        <v>5</v>
      </c>
      <c r="Q2101" s="21">
        <f t="shared" si="243"/>
        <v>2100000</v>
      </c>
      <c r="R2101">
        <v>15</v>
      </c>
      <c r="S2101">
        <v>5</v>
      </c>
      <c r="T2101" s="21">
        <f t="shared" si="244"/>
        <v>2100000</v>
      </c>
      <c r="U2101">
        <v>15</v>
      </c>
      <c r="V2101">
        <v>5</v>
      </c>
      <c r="W2101" s="21">
        <f t="shared" si="245"/>
        <v>2100000</v>
      </c>
      <c r="X2101">
        <v>0</v>
      </c>
      <c r="Y2101">
        <v>0</v>
      </c>
      <c r="Z2101" s="21">
        <f t="shared" si="246"/>
        <v>0</v>
      </c>
      <c r="AA2101">
        <v>0</v>
      </c>
      <c r="AB2101">
        <v>0</v>
      </c>
      <c r="AC2101" s="21">
        <f t="shared" si="247"/>
        <v>0</v>
      </c>
      <c r="AD2101">
        <v>0</v>
      </c>
      <c r="AE2101">
        <v>0</v>
      </c>
      <c r="AF2101" s="21">
        <f t="shared" si="250"/>
        <v>0</v>
      </c>
    </row>
    <row r="2102" spans="1:32" ht="15" customHeight="1" x14ac:dyDescent="0.3">
      <c r="A2102">
        <v>4</v>
      </c>
      <c r="B2102" s="2" t="s">
        <v>697</v>
      </c>
      <c r="C2102" s="4" t="s">
        <v>693</v>
      </c>
      <c r="D2102" s="3" t="s">
        <v>673</v>
      </c>
      <c r="E2102" s="6" t="s">
        <v>112</v>
      </c>
      <c r="F2102" s="6" t="s">
        <v>180</v>
      </c>
      <c r="G2102" s="6" t="s">
        <v>712</v>
      </c>
      <c r="H2102" s="23">
        <v>214.29</v>
      </c>
      <c r="I2102">
        <v>0</v>
      </c>
      <c r="J2102">
        <v>0</v>
      </c>
      <c r="K2102" s="20">
        <f t="shared" si="248"/>
        <v>0</v>
      </c>
      <c r="L2102">
        <v>4000</v>
      </c>
      <c r="M2102">
        <v>1</v>
      </c>
      <c r="N2102" s="21">
        <f t="shared" si="249"/>
        <v>857160</v>
      </c>
      <c r="O2102">
        <v>4000</v>
      </c>
      <c r="P2102">
        <v>1</v>
      </c>
      <c r="Q2102" s="21">
        <f t="shared" si="243"/>
        <v>857160</v>
      </c>
      <c r="R2102">
        <v>4000</v>
      </c>
      <c r="S2102">
        <v>1</v>
      </c>
      <c r="T2102" s="21">
        <f t="shared" si="244"/>
        <v>857160</v>
      </c>
      <c r="U2102">
        <v>4000</v>
      </c>
      <c r="V2102">
        <v>1</v>
      </c>
      <c r="W2102" s="21">
        <f t="shared" si="245"/>
        <v>857160</v>
      </c>
      <c r="X2102">
        <v>0</v>
      </c>
      <c r="Y2102">
        <v>0</v>
      </c>
      <c r="Z2102" s="21">
        <f t="shared" si="246"/>
        <v>0</v>
      </c>
      <c r="AA2102">
        <v>0</v>
      </c>
      <c r="AB2102">
        <v>0</v>
      </c>
      <c r="AC2102" s="21">
        <f t="shared" si="247"/>
        <v>0</v>
      </c>
      <c r="AD2102">
        <v>0</v>
      </c>
      <c r="AE2102">
        <v>0</v>
      </c>
      <c r="AF2102" s="21">
        <f t="shared" si="250"/>
        <v>0</v>
      </c>
    </row>
    <row r="2103" spans="1:32" ht="15" customHeight="1" x14ac:dyDescent="0.3">
      <c r="A2103">
        <v>4</v>
      </c>
      <c r="B2103" s="2" t="s">
        <v>697</v>
      </c>
      <c r="C2103" s="4" t="s">
        <v>693</v>
      </c>
      <c r="D2103" s="3" t="s">
        <v>673</v>
      </c>
      <c r="E2103" s="6" t="s">
        <v>112</v>
      </c>
      <c r="F2103" s="6" t="s">
        <v>170</v>
      </c>
      <c r="G2103" s="6" t="s">
        <v>709</v>
      </c>
      <c r="H2103" s="23">
        <v>28000</v>
      </c>
      <c r="I2103">
        <v>0</v>
      </c>
      <c r="J2103">
        <v>0</v>
      </c>
      <c r="K2103" s="20">
        <f t="shared" si="248"/>
        <v>0</v>
      </c>
      <c r="L2103">
        <v>30</v>
      </c>
      <c r="M2103">
        <v>3</v>
      </c>
      <c r="N2103" s="21">
        <f t="shared" si="249"/>
        <v>2520000</v>
      </c>
      <c r="O2103">
        <v>30</v>
      </c>
      <c r="P2103">
        <v>3</v>
      </c>
      <c r="Q2103" s="21">
        <f t="shared" si="243"/>
        <v>2520000</v>
      </c>
      <c r="R2103">
        <v>30</v>
      </c>
      <c r="S2103">
        <v>3</v>
      </c>
      <c r="T2103" s="21">
        <f t="shared" si="244"/>
        <v>2520000</v>
      </c>
      <c r="U2103">
        <v>30</v>
      </c>
      <c r="V2103">
        <v>3</v>
      </c>
      <c r="W2103" s="21">
        <f t="shared" si="245"/>
        <v>2520000</v>
      </c>
      <c r="X2103">
        <v>0</v>
      </c>
      <c r="Y2103">
        <v>0</v>
      </c>
      <c r="Z2103" s="21">
        <f t="shared" si="246"/>
        <v>0</v>
      </c>
      <c r="AA2103">
        <v>0</v>
      </c>
      <c r="AB2103">
        <v>0</v>
      </c>
      <c r="AC2103" s="21">
        <f t="shared" si="247"/>
        <v>0</v>
      </c>
      <c r="AD2103">
        <v>0</v>
      </c>
      <c r="AE2103">
        <v>0</v>
      </c>
      <c r="AF2103" s="21">
        <f t="shared" si="250"/>
        <v>0</v>
      </c>
    </row>
    <row r="2104" spans="1:32" ht="15" customHeight="1" x14ac:dyDescent="0.3">
      <c r="A2104">
        <v>4</v>
      </c>
      <c r="B2104" s="2" t="s">
        <v>697</v>
      </c>
      <c r="C2104" s="4" t="s">
        <v>693</v>
      </c>
      <c r="D2104" s="3" t="s">
        <v>673</v>
      </c>
      <c r="E2104" s="6" t="s">
        <v>112</v>
      </c>
      <c r="F2104" s="6" t="s">
        <v>554</v>
      </c>
      <c r="G2104" s="6" t="s">
        <v>709</v>
      </c>
      <c r="H2104" s="23">
        <v>28000</v>
      </c>
      <c r="I2104">
        <v>0</v>
      </c>
      <c r="J2104">
        <v>0</v>
      </c>
      <c r="K2104" s="20">
        <f t="shared" si="248"/>
        <v>0</v>
      </c>
      <c r="L2104">
        <v>30</v>
      </c>
      <c r="M2104">
        <v>1</v>
      </c>
      <c r="N2104" s="21">
        <f t="shared" si="249"/>
        <v>840000</v>
      </c>
      <c r="O2104">
        <v>30</v>
      </c>
      <c r="P2104">
        <v>1</v>
      </c>
      <c r="Q2104" s="21">
        <f t="shared" si="243"/>
        <v>840000</v>
      </c>
      <c r="R2104">
        <v>30</v>
      </c>
      <c r="S2104">
        <v>1</v>
      </c>
      <c r="T2104" s="21">
        <f t="shared" si="244"/>
        <v>840000</v>
      </c>
      <c r="U2104">
        <v>30</v>
      </c>
      <c r="V2104">
        <v>1</v>
      </c>
      <c r="W2104" s="21">
        <f t="shared" si="245"/>
        <v>840000</v>
      </c>
      <c r="X2104">
        <v>0</v>
      </c>
      <c r="Y2104">
        <v>0</v>
      </c>
      <c r="Z2104" s="21">
        <f t="shared" si="246"/>
        <v>0</v>
      </c>
      <c r="AA2104">
        <v>0</v>
      </c>
      <c r="AB2104">
        <v>0</v>
      </c>
      <c r="AC2104" s="21">
        <f t="shared" si="247"/>
        <v>0</v>
      </c>
      <c r="AD2104">
        <v>0</v>
      </c>
      <c r="AE2104">
        <v>0</v>
      </c>
      <c r="AF2104" s="21">
        <f t="shared" si="250"/>
        <v>0</v>
      </c>
    </row>
    <row r="2105" spans="1:32" ht="15" customHeight="1" x14ac:dyDescent="0.3">
      <c r="A2105">
        <v>4</v>
      </c>
      <c r="B2105" s="2" t="s">
        <v>697</v>
      </c>
      <c r="C2105" s="4" t="s">
        <v>693</v>
      </c>
      <c r="D2105" s="3" t="s">
        <v>673</v>
      </c>
      <c r="E2105" s="6" t="s">
        <v>112</v>
      </c>
      <c r="F2105" s="6" t="s">
        <v>562</v>
      </c>
      <c r="G2105" s="6" t="s">
        <v>718</v>
      </c>
      <c r="H2105" s="23">
        <v>0</v>
      </c>
      <c r="I2105">
        <v>0</v>
      </c>
      <c r="J2105">
        <v>0</v>
      </c>
      <c r="K2105" s="20">
        <f t="shared" si="248"/>
        <v>0</v>
      </c>
      <c r="L2105">
        <v>0</v>
      </c>
      <c r="M2105">
        <v>0</v>
      </c>
      <c r="N2105" s="21">
        <f t="shared" si="249"/>
        <v>0</v>
      </c>
      <c r="O2105">
        <v>0</v>
      </c>
      <c r="P2105">
        <v>0</v>
      </c>
      <c r="Q2105" s="21">
        <f t="shared" si="243"/>
        <v>0</v>
      </c>
      <c r="R2105">
        <v>0</v>
      </c>
      <c r="S2105">
        <v>0</v>
      </c>
      <c r="T2105" s="21">
        <f t="shared" si="244"/>
        <v>0</v>
      </c>
      <c r="U2105">
        <v>0</v>
      </c>
      <c r="V2105">
        <v>0</v>
      </c>
      <c r="W2105" s="21">
        <f t="shared" si="245"/>
        <v>0</v>
      </c>
      <c r="X2105">
        <v>0</v>
      </c>
      <c r="Y2105">
        <v>0</v>
      </c>
      <c r="Z2105" s="21">
        <f t="shared" si="246"/>
        <v>0</v>
      </c>
      <c r="AA2105">
        <v>0</v>
      </c>
      <c r="AB2105">
        <v>0</v>
      </c>
      <c r="AC2105" s="21">
        <f t="shared" si="247"/>
        <v>0</v>
      </c>
      <c r="AD2105">
        <v>0</v>
      </c>
      <c r="AE2105">
        <v>0</v>
      </c>
      <c r="AF2105" s="21">
        <f t="shared" si="250"/>
        <v>0</v>
      </c>
    </row>
    <row r="2106" spans="1:32" ht="15" customHeight="1" x14ac:dyDescent="0.3">
      <c r="A2106">
        <v>4</v>
      </c>
      <c r="B2106" s="2" t="s">
        <v>697</v>
      </c>
      <c r="C2106" s="4" t="s">
        <v>693</v>
      </c>
      <c r="D2106" s="3" t="s">
        <v>673</v>
      </c>
      <c r="E2106" s="6" t="s">
        <v>112</v>
      </c>
      <c r="F2106" s="6" t="s">
        <v>183</v>
      </c>
      <c r="G2106" s="6" t="s">
        <v>711</v>
      </c>
      <c r="H2106" s="23">
        <v>70</v>
      </c>
      <c r="I2106">
        <v>0</v>
      </c>
      <c r="J2106">
        <v>0</v>
      </c>
      <c r="K2106" s="20">
        <f t="shared" si="248"/>
        <v>0</v>
      </c>
      <c r="L2106">
        <v>50000</v>
      </c>
      <c r="M2106">
        <v>1</v>
      </c>
      <c r="N2106" s="21">
        <f t="shared" si="249"/>
        <v>3500000</v>
      </c>
      <c r="O2106">
        <v>50000</v>
      </c>
      <c r="P2106">
        <v>1</v>
      </c>
      <c r="Q2106" s="21">
        <f t="shared" si="243"/>
        <v>3500000</v>
      </c>
      <c r="R2106">
        <v>50000</v>
      </c>
      <c r="S2106">
        <v>1</v>
      </c>
      <c r="T2106" s="21">
        <f t="shared" si="244"/>
        <v>3500000</v>
      </c>
      <c r="U2106">
        <v>50000</v>
      </c>
      <c r="V2106">
        <v>1</v>
      </c>
      <c r="W2106" s="21">
        <f t="shared" si="245"/>
        <v>3500000</v>
      </c>
      <c r="X2106">
        <v>0</v>
      </c>
      <c r="Y2106">
        <v>0</v>
      </c>
      <c r="Z2106" s="21">
        <f t="shared" si="246"/>
        <v>0</v>
      </c>
      <c r="AA2106">
        <v>0</v>
      </c>
      <c r="AB2106">
        <v>0</v>
      </c>
      <c r="AC2106" s="21">
        <f t="shared" si="247"/>
        <v>0</v>
      </c>
      <c r="AD2106">
        <v>0</v>
      </c>
      <c r="AE2106">
        <v>0</v>
      </c>
      <c r="AF2106" s="21">
        <f t="shared" si="250"/>
        <v>0</v>
      </c>
    </row>
    <row r="2107" spans="1:32" ht="15" customHeight="1" x14ac:dyDescent="0.3">
      <c r="A2107">
        <v>4</v>
      </c>
      <c r="B2107" s="2" t="s">
        <v>697</v>
      </c>
      <c r="C2107" s="4" t="s">
        <v>693</v>
      </c>
      <c r="D2107" s="3" t="s">
        <v>673</v>
      </c>
      <c r="E2107" s="6" t="s">
        <v>112</v>
      </c>
      <c r="F2107" s="6" t="s">
        <v>183</v>
      </c>
      <c r="G2107" s="6" t="s">
        <v>717</v>
      </c>
      <c r="H2107" s="23">
        <v>104850</v>
      </c>
      <c r="I2107">
        <v>0</v>
      </c>
      <c r="J2107">
        <v>0</v>
      </c>
      <c r="K2107" s="20">
        <f t="shared" si="248"/>
        <v>0</v>
      </c>
      <c r="L2107">
        <v>5</v>
      </c>
      <c r="M2107">
        <v>1</v>
      </c>
      <c r="N2107" s="21">
        <f t="shared" si="249"/>
        <v>524250</v>
      </c>
      <c r="O2107">
        <v>5</v>
      </c>
      <c r="P2107">
        <v>1</v>
      </c>
      <c r="Q2107" s="21">
        <f t="shared" si="243"/>
        <v>524250</v>
      </c>
      <c r="R2107">
        <v>5</v>
      </c>
      <c r="S2107">
        <v>1</v>
      </c>
      <c r="T2107" s="21">
        <f t="shared" si="244"/>
        <v>524250</v>
      </c>
      <c r="U2107">
        <v>5</v>
      </c>
      <c r="V2107">
        <v>1</v>
      </c>
      <c r="W2107" s="21">
        <f t="shared" si="245"/>
        <v>524250</v>
      </c>
      <c r="X2107">
        <v>0</v>
      </c>
      <c r="Y2107">
        <v>0</v>
      </c>
      <c r="Z2107" s="21">
        <f t="shared" si="246"/>
        <v>0</v>
      </c>
      <c r="AA2107">
        <v>0</v>
      </c>
      <c r="AB2107">
        <v>0</v>
      </c>
      <c r="AC2107" s="21">
        <f t="shared" si="247"/>
        <v>0</v>
      </c>
      <c r="AD2107">
        <v>0</v>
      </c>
      <c r="AE2107">
        <v>0</v>
      </c>
      <c r="AF2107" s="21">
        <f t="shared" si="250"/>
        <v>0</v>
      </c>
    </row>
    <row r="2108" spans="1:32" ht="15" customHeight="1" x14ac:dyDescent="0.3">
      <c r="A2108">
        <v>4</v>
      </c>
      <c r="B2108" s="2" t="s">
        <v>697</v>
      </c>
      <c r="C2108" s="4" t="s">
        <v>693</v>
      </c>
      <c r="D2108" s="3" t="s">
        <v>673</v>
      </c>
      <c r="E2108" s="6" t="s">
        <v>112</v>
      </c>
      <c r="F2108" s="6" t="s">
        <v>183</v>
      </c>
      <c r="G2108" s="6" t="s">
        <v>709</v>
      </c>
      <c r="H2108" s="23">
        <v>28000</v>
      </c>
      <c r="I2108">
        <v>0</v>
      </c>
      <c r="J2108">
        <v>0</v>
      </c>
      <c r="K2108" s="20">
        <f t="shared" si="248"/>
        <v>0</v>
      </c>
      <c r="L2108">
        <v>40</v>
      </c>
      <c r="M2108">
        <v>1</v>
      </c>
      <c r="N2108" s="21">
        <f t="shared" si="249"/>
        <v>1120000</v>
      </c>
      <c r="O2108">
        <v>40</v>
      </c>
      <c r="P2108">
        <v>1</v>
      </c>
      <c r="Q2108" s="21">
        <f t="shared" si="243"/>
        <v>1120000</v>
      </c>
      <c r="R2108">
        <v>40</v>
      </c>
      <c r="S2108">
        <v>1</v>
      </c>
      <c r="T2108" s="21">
        <f t="shared" si="244"/>
        <v>1120000</v>
      </c>
      <c r="U2108">
        <v>40</v>
      </c>
      <c r="V2108">
        <v>1</v>
      </c>
      <c r="W2108" s="21">
        <f t="shared" si="245"/>
        <v>1120000</v>
      </c>
      <c r="X2108">
        <v>0</v>
      </c>
      <c r="Y2108">
        <v>0</v>
      </c>
      <c r="Z2108" s="21">
        <f t="shared" si="246"/>
        <v>0</v>
      </c>
      <c r="AA2108">
        <v>0</v>
      </c>
      <c r="AB2108">
        <v>0</v>
      </c>
      <c r="AC2108" s="21">
        <f t="shared" si="247"/>
        <v>0</v>
      </c>
      <c r="AD2108">
        <v>0</v>
      </c>
      <c r="AE2108">
        <v>0</v>
      </c>
      <c r="AF2108" s="21">
        <f t="shared" si="250"/>
        <v>0</v>
      </c>
    </row>
    <row r="2109" spans="1:32" ht="15" customHeight="1" x14ac:dyDescent="0.3">
      <c r="A2109">
        <v>4</v>
      </c>
      <c r="B2109" s="2" t="s">
        <v>697</v>
      </c>
      <c r="C2109" s="4" t="s">
        <v>693</v>
      </c>
      <c r="D2109" s="3" t="s">
        <v>673</v>
      </c>
      <c r="E2109" s="6" t="s">
        <v>113</v>
      </c>
      <c r="F2109" s="6" t="s">
        <v>563</v>
      </c>
      <c r="G2109" s="6" t="s">
        <v>718</v>
      </c>
      <c r="H2109" s="23">
        <v>0</v>
      </c>
      <c r="I2109">
        <v>0</v>
      </c>
      <c r="J2109">
        <v>0</v>
      </c>
      <c r="K2109" s="20">
        <f t="shared" si="248"/>
        <v>0</v>
      </c>
      <c r="L2109">
        <v>0</v>
      </c>
      <c r="M2109">
        <v>0</v>
      </c>
      <c r="N2109" s="21">
        <f t="shared" si="249"/>
        <v>0</v>
      </c>
      <c r="O2109">
        <v>0</v>
      </c>
      <c r="P2109">
        <v>0</v>
      </c>
      <c r="Q2109" s="21">
        <f t="shared" ref="Q2109:Q2172" si="251">H2109*O2109*P2109</f>
        <v>0</v>
      </c>
      <c r="R2109">
        <v>0</v>
      </c>
      <c r="S2109">
        <v>0</v>
      </c>
      <c r="T2109" s="21">
        <f t="shared" ref="T2109:T2172" si="252">H2109*R2109*S2109</f>
        <v>0</v>
      </c>
      <c r="U2109">
        <v>0</v>
      </c>
      <c r="V2109">
        <v>0</v>
      </c>
      <c r="W2109" s="21">
        <f t="shared" ref="W2109:W2172" si="253">H2109*U2109*V2109</f>
        <v>0</v>
      </c>
      <c r="X2109">
        <v>0</v>
      </c>
      <c r="Y2109">
        <v>0</v>
      </c>
      <c r="Z2109" s="21">
        <f t="shared" ref="Z2109:Z2172" si="254">H2109*X2109*Y2109</f>
        <v>0</v>
      </c>
      <c r="AA2109">
        <v>0</v>
      </c>
      <c r="AB2109">
        <v>0</v>
      </c>
      <c r="AC2109" s="21">
        <f t="shared" ref="AC2109:AC2172" si="255">H2109*AA2109*AB2109</f>
        <v>0</v>
      </c>
      <c r="AD2109">
        <v>0</v>
      </c>
      <c r="AE2109">
        <v>0</v>
      </c>
      <c r="AF2109" s="21">
        <f t="shared" si="250"/>
        <v>0</v>
      </c>
    </row>
    <row r="2110" spans="1:32" ht="15" customHeight="1" x14ac:dyDescent="0.3">
      <c r="A2110">
        <v>4</v>
      </c>
      <c r="B2110" s="2" t="s">
        <v>697</v>
      </c>
      <c r="C2110" s="4" t="s">
        <v>693</v>
      </c>
      <c r="D2110" s="3" t="s">
        <v>673</v>
      </c>
      <c r="E2110" s="6" t="s">
        <v>113</v>
      </c>
      <c r="F2110" s="6" t="s">
        <v>149</v>
      </c>
      <c r="G2110" s="6" t="s">
        <v>707</v>
      </c>
      <c r="H2110" s="23">
        <v>391991.03749999998</v>
      </c>
      <c r="I2110">
        <v>0</v>
      </c>
      <c r="J2110">
        <v>0</v>
      </c>
      <c r="K2110" s="20">
        <f t="shared" si="248"/>
        <v>0</v>
      </c>
      <c r="L2110">
        <v>1</v>
      </c>
      <c r="M2110">
        <v>6</v>
      </c>
      <c r="N2110" s="21">
        <f t="shared" si="249"/>
        <v>2351946.2249999996</v>
      </c>
      <c r="O2110">
        <v>1</v>
      </c>
      <c r="P2110">
        <v>6</v>
      </c>
      <c r="Q2110" s="21">
        <f t="shared" si="251"/>
        <v>2351946.2249999996</v>
      </c>
      <c r="R2110">
        <v>0</v>
      </c>
      <c r="S2110">
        <v>0</v>
      </c>
      <c r="T2110" s="21">
        <f t="shared" si="252"/>
        <v>0</v>
      </c>
      <c r="U2110">
        <v>0</v>
      </c>
      <c r="V2110">
        <v>0</v>
      </c>
      <c r="W2110" s="21">
        <f t="shared" si="253"/>
        <v>0</v>
      </c>
      <c r="X2110">
        <v>0</v>
      </c>
      <c r="Y2110">
        <v>0</v>
      </c>
      <c r="Z2110" s="21">
        <f t="shared" si="254"/>
        <v>0</v>
      </c>
      <c r="AA2110">
        <v>0</v>
      </c>
      <c r="AB2110">
        <v>0</v>
      </c>
      <c r="AC2110" s="21">
        <f t="shared" si="255"/>
        <v>0</v>
      </c>
      <c r="AD2110">
        <v>0</v>
      </c>
      <c r="AE2110">
        <v>0</v>
      </c>
      <c r="AF2110" s="21">
        <f t="shared" si="250"/>
        <v>0</v>
      </c>
    </row>
    <row r="2111" spans="1:32" ht="15" customHeight="1" x14ac:dyDescent="0.3">
      <c r="A2111">
        <v>4</v>
      </c>
      <c r="B2111" s="2" t="s">
        <v>697</v>
      </c>
      <c r="C2111" s="4" t="s">
        <v>693</v>
      </c>
      <c r="D2111" s="3" t="s">
        <v>673</v>
      </c>
      <c r="E2111" s="6" t="s">
        <v>113</v>
      </c>
      <c r="F2111" s="6" t="s">
        <v>149</v>
      </c>
      <c r="G2111" s="6" t="s">
        <v>720</v>
      </c>
      <c r="H2111" s="23">
        <v>425000</v>
      </c>
      <c r="I2111">
        <v>0</v>
      </c>
      <c r="J2111">
        <v>0</v>
      </c>
      <c r="K2111" s="20">
        <f t="shared" si="248"/>
        <v>0</v>
      </c>
      <c r="L2111">
        <v>1</v>
      </c>
      <c r="M2111">
        <v>40</v>
      </c>
      <c r="N2111" s="21">
        <f t="shared" si="249"/>
        <v>17000000</v>
      </c>
      <c r="O2111">
        <v>1</v>
      </c>
      <c r="P2111">
        <v>40</v>
      </c>
      <c r="Q2111" s="21">
        <f t="shared" si="251"/>
        <v>17000000</v>
      </c>
      <c r="R2111">
        <v>0</v>
      </c>
      <c r="S2111">
        <v>0</v>
      </c>
      <c r="T2111" s="21">
        <f t="shared" si="252"/>
        <v>0</v>
      </c>
      <c r="U2111">
        <v>0</v>
      </c>
      <c r="V2111">
        <v>0</v>
      </c>
      <c r="W2111" s="21">
        <f t="shared" si="253"/>
        <v>0</v>
      </c>
      <c r="X2111">
        <v>0</v>
      </c>
      <c r="Y2111">
        <v>0</v>
      </c>
      <c r="Z2111" s="21">
        <f t="shared" si="254"/>
        <v>0</v>
      </c>
      <c r="AA2111">
        <v>0</v>
      </c>
      <c r="AB2111">
        <v>0</v>
      </c>
      <c r="AC2111" s="21">
        <f t="shared" si="255"/>
        <v>0</v>
      </c>
      <c r="AD2111">
        <v>0</v>
      </c>
      <c r="AE2111">
        <v>0</v>
      </c>
      <c r="AF2111" s="21">
        <f t="shared" si="250"/>
        <v>0</v>
      </c>
    </row>
    <row r="2112" spans="1:32" ht="15" customHeight="1" x14ac:dyDescent="0.3">
      <c r="A2112">
        <v>4</v>
      </c>
      <c r="B2112" s="2" t="s">
        <v>697</v>
      </c>
      <c r="C2112" s="4" t="s">
        <v>693</v>
      </c>
      <c r="D2112" s="3" t="s">
        <v>673</v>
      </c>
      <c r="E2112" s="6" t="s">
        <v>113</v>
      </c>
      <c r="F2112" s="6" t="s">
        <v>558</v>
      </c>
      <c r="G2112" s="6" t="s">
        <v>716</v>
      </c>
      <c r="H2112" s="23">
        <v>39000</v>
      </c>
      <c r="I2112">
        <v>0</v>
      </c>
      <c r="J2112">
        <v>0</v>
      </c>
      <c r="K2112" s="20">
        <f t="shared" si="248"/>
        <v>0</v>
      </c>
      <c r="L2112">
        <v>20</v>
      </c>
      <c r="M2112">
        <v>10</v>
      </c>
      <c r="N2112" s="21">
        <f t="shared" si="249"/>
        <v>7800000</v>
      </c>
      <c r="O2112">
        <v>20</v>
      </c>
      <c r="P2112">
        <v>10</v>
      </c>
      <c r="Q2112" s="21">
        <f t="shared" si="251"/>
        <v>7800000</v>
      </c>
      <c r="R2112">
        <v>0</v>
      </c>
      <c r="S2112">
        <v>0</v>
      </c>
      <c r="T2112" s="21">
        <f t="shared" si="252"/>
        <v>0</v>
      </c>
      <c r="U2112">
        <v>0</v>
      </c>
      <c r="V2112">
        <v>0</v>
      </c>
      <c r="W2112" s="21">
        <f t="shared" si="253"/>
        <v>0</v>
      </c>
      <c r="X2112">
        <v>0</v>
      </c>
      <c r="Y2112">
        <v>0</v>
      </c>
      <c r="Z2112" s="21">
        <f t="shared" si="254"/>
        <v>0</v>
      </c>
      <c r="AA2112">
        <v>0</v>
      </c>
      <c r="AB2112">
        <v>0</v>
      </c>
      <c r="AC2112" s="21">
        <f t="shared" si="255"/>
        <v>0</v>
      </c>
      <c r="AD2112">
        <v>0</v>
      </c>
      <c r="AE2112">
        <v>0</v>
      </c>
      <c r="AF2112" s="21">
        <f t="shared" si="250"/>
        <v>0</v>
      </c>
    </row>
    <row r="2113" spans="1:32" ht="15" customHeight="1" x14ac:dyDescent="0.3">
      <c r="A2113">
        <v>4</v>
      </c>
      <c r="B2113" s="2" t="s">
        <v>697</v>
      </c>
      <c r="C2113" s="4" t="s">
        <v>693</v>
      </c>
      <c r="D2113" s="3" t="s">
        <v>673</v>
      </c>
      <c r="E2113" s="6" t="s">
        <v>113</v>
      </c>
      <c r="F2113" s="6" t="s">
        <v>558</v>
      </c>
      <c r="G2113" s="6" t="s">
        <v>709</v>
      </c>
      <c r="H2113" s="23">
        <v>28000</v>
      </c>
      <c r="I2113">
        <v>0</v>
      </c>
      <c r="J2113">
        <v>0</v>
      </c>
      <c r="K2113" s="20">
        <f t="shared" si="248"/>
        <v>0</v>
      </c>
      <c r="L2113">
        <v>20</v>
      </c>
      <c r="M2113">
        <v>10</v>
      </c>
      <c r="N2113" s="21">
        <f t="shared" si="249"/>
        <v>5600000</v>
      </c>
      <c r="O2113">
        <v>20</v>
      </c>
      <c r="P2113">
        <v>10</v>
      </c>
      <c r="Q2113" s="21">
        <f t="shared" si="251"/>
        <v>5600000</v>
      </c>
      <c r="R2113">
        <v>0</v>
      </c>
      <c r="S2113">
        <v>0</v>
      </c>
      <c r="T2113" s="21">
        <f t="shared" si="252"/>
        <v>0</v>
      </c>
      <c r="U2113">
        <v>0</v>
      </c>
      <c r="V2113">
        <v>0</v>
      </c>
      <c r="W2113" s="21">
        <f t="shared" si="253"/>
        <v>0</v>
      </c>
      <c r="X2113">
        <v>0</v>
      </c>
      <c r="Y2113">
        <v>0</v>
      </c>
      <c r="Z2113" s="21">
        <f t="shared" si="254"/>
        <v>0</v>
      </c>
      <c r="AA2113">
        <v>0</v>
      </c>
      <c r="AB2113">
        <v>0</v>
      </c>
      <c r="AC2113" s="21">
        <f t="shared" si="255"/>
        <v>0</v>
      </c>
      <c r="AD2113">
        <v>0</v>
      </c>
      <c r="AE2113">
        <v>0</v>
      </c>
      <c r="AF2113" s="21">
        <f t="shared" si="250"/>
        <v>0</v>
      </c>
    </row>
    <row r="2114" spans="1:32" ht="15" customHeight="1" x14ac:dyDescent="0.3">
      <c r="A2114">
        <v>4</v>
      </c>
      <c r="B2114" s="2" t="s">
        <v>697</v>
      </c>
      <c r="C2114" s="4" t="s">
        <v>693</v>
      </c>
      <c r="D2114" s="3" t="s">
        <v>673</v>
      </c>
      <c r="E2114" s="6" t="s">
        <v>113</v>
      </c>
      <c r="F2114" s="6" t="s">
        <v>558</v>
      </c>
      <c r="G2114" s="6" t="s">
        <v>712</v>
      </c>
      <c r="H2114" s="23">
        <v>214.29</v>
      </c>
      <c r="I2114">
        <v>0</v>
      </c>
      <c r="J2114">
        <v>0</v>
      </c>
      <c r="K2114" s="20">
        <f t="shared" si="248"/>
        <v>0</v>
      </c>
      <c r="L2114">
        <v>4000</v>
      </c>
      <c r="M2114">
        <v>1</v>
      </c>
      <c r="N2114" s="21">
        <f t="shared" si="249"/>
        <v>857160</v>
      </c>
      <c r="O2114">
        <v>4000</v>
      </c>
      <c r="P2114">
        <v>1</v>
      </c>
      <c r="Q2114" s="21">
        <f t="shared" si="251"/>
        <v>857160</v>
      </c>
      <c r="R2114">
        <v>0</v>
      </c>
      <c r="S2114">
        <v>0</v>
      </c>
      <c r="T2114" s="21">
        <f t="shared" si="252"/>
        <v>0</v>
      </c>
      <c r="U2114">
        <v>0</v>
      </c>
      <c r="V2114">
        <v>0</v>
      </c>
      <c r="W2114" s="21">
        <f t="shared" si="253"/>
        <v>0</v>
      </c>
      <c r="X2114">
        <v>0</v>
      </c>
      <c r="Y2114">
        <v>0</v>
      </c>
      <c r="Z2114" s="21">
        <f t="shared" si="254"/>
        <v>0</v>
      </c>
      <c r="AA2114">
        <v>0</v>
      </c>
      <c r="AB2114">
        <v>0</v>
      </c>
      <c r="AC2114" s="21">
        <f t="shared" si="255"/>
        <v>0</v>
      </c>
      <c r="AD2114">
        <v>0</v>
      </c>
      <c r="AE2114">
        <v>0</v>
      </c>
      <c r="AF2114" s="21">
        <f t="shared" si="250"/>
        <v>0</v>
      </c>
    </row>
    <row r="2115" spans="1:32" ht="15" customHeight="1" x14ac:dyDescent="0.3">
      <c r="A2115">
        <v>4</v>
      </c>
      <c r="B2115" s="2" t="s">
        <v>697</v>
      </c>
      <c r="C2115" s="4" t="s">
        <v>693</v>
      </c>
      <c r="D2115" s="3" t="s">
        <v>673</v>
      </c>
      <c r="E2115" s="6" t="s">
        <v>113</v>
      </c>
      <c r="F2115" s="6" t="s">
        <v>559</v>
      </c>
      <c r="G2115" s="6" t="s">
        <v>718</v>
      </c>
      <c r="H2115" s="23">
        <v>0</v>
      </c>
      <c r="I2115">
        <v>0</v>
      </c>
      <c r="J2115">
        <v>0</v>
      </c>
      <c r="K2115" s="20">
        <f t="shared" si="248"/>
        <v>0</v>
      </c>
      <c r="L2115">
        <v>0</v>
      </c>
      <c r="M2115">
        <v>0</v>
      </c>
      <c r="N2115" s="21">
        <f t="shared" si="249"/>
        <v>0</v>
      </c>
      <c r="O2115">
        <v>0</v>
      </c>
      <c r="P2115">
        <v>0</v>
      </c>
      <c r="Q2115" s="21">
        <f t="shared" si="251"/>
        <v>0</v>
      </c>
      <c r="R2115">
        <v>0</v>
      </c>
      <c r="S2115">
        <v>0</v>
      </c>
      <c r="T2115" s="21">
        <f t="shared" si="252"/>
        <v>0</v>
      </c>
      <c r="U2115">
        <v>0</v>
      </c>
      <c r="V2115">
        <v>0</v>
      </c>
      <c r="W2115" s="21">
        <f t="shared" si="253"/>
        <v>0</v>
      </c>
      <c r="X2115">
        <v>0</v>
      </c>
      <c r="Y2115">
        <v>0</v>
      </c>
      <c r="Z2115" s="21">
        <f t="shared" si="254"/>
        <v>0</v>
      </c>
      <c r="AA2115">
        <v>0</v>
      </c>
      <c r="AB2115">
        <v>0</v>
      </c>
      <c r="AC2115" s="21">
        <f t="shared" si="255"/>
        <v>0</v>
      </c>
      <c r="AD2115">
        <v>0</v>
      </c>
      <c r="AE2115">
        <v>0</v>
      </c>
      <c r="AF2115" s="21">
        <f t="shared" si="250"/>
        <v>0</v>
      </c>
    </row>
    <row r="2116" spans="1:32" ht="15" customHeight="1" x14ac:dyDescent="0.3">
      <c r="A2116">
        <v>4</v>
      </c>
      <c r="B2116" s="2" t="s">
        <v>697</v>
      </c>
      <c r="C2116" s="4" t="s">
        <v>693</v>
      </c>
      <c r="D2116" s="3" t="s">
        <v>673</v>
      </c>
      <c r="E2116" s="6" t="s">
        <v>114</v>
      </c>
      <c r="F2116" s="6" t="s">
        <v>549</v>
      </c>
      <c r="G2116" s="6" t="s">
        <v>718</v>
      </c>
      <c r="H2116" s="23">
        <v>0</v>
      </c>
      <c r="I2116">
        <v>0</v>
      </c>
      <c r="J2116">
        <v>0</v>
      </c>
      <c r="K2116" s="20">
        <f t="shared" si="248"/>
        <v>0</v>
      </c>
      <c r="L2116">
        <v>0</v>
      </c>
      <c r="M2116">
        <v>0</v>
      </c>
      <c r="N2116" s="21">
        <f t="shared" si="249"/>
        <v>0</v>
      </c>
      <c r="O2116">
        <v>0</v>
      </c>
      <c r="P2116">
        <v>0</v>
      </c>
      <c r="Q2116" s="21">
        <f t="shared" si="251"/>
        <v>0</v>
      </c>
      <c r="R2116">
        <v>0</v>
      </c>
      <c r="S2116">
        <v>0</v>
      </c>
      <c r="T2116" s="21">
        <f t="shared" si="252"/>
        <v>0</v>
      </c>
      <c r="U2116">
        <v>0</v>
      </c>
      <c r="V2116">
        <v>0</v>
      </c>
      <c r="W2116" s="21">
        <f t="shared" si="253"/>
        <v>0</v>
      </c>
      <c r="X2116">
        <v>0</v>
      </c>
      <c r="Y2116">
        <v>0</v>
      </c>
      <c r="Z2116" s="21">
        <f t="shared" si="254"/>
        <v>0</v>
      </c>
      <c r="AA2116">
        <v>0</v>
      </c>
      <c r="AB2116">
        <v>0</v>
      </c>
      <c r="AC2116" s="21">
        <f t="shared" si="255"/>
        <v>0</v>
      </c>
      <c r="AD2116">
        <v>0</v>
      </c>
      <c r="AE2116">
        <v>0</v>
      </c>
      <c r="AF2116" s="21">
        <f t="shared" si="250"/>
        <v>0</v>
      </c>
    </row>
    <row r="2117" spans="1:32" ht="15" customHeight="1" x14ac:dyDescent="0.3">
      <c r="A2117">
        <v>4</v>
      </c>
      <c r="B2117" s="2" t="s">
        <v>697</v>
      </c>
      <c r="C2117" s="4" t="s">
        <v>693</v>
      </c>
      <c r="D2117" s="3" t="s">
        <v>673</v>
      </c>
      <c r="E2117" s="6" t="s">
        <v>114</v>
      </c>
      <c r="F2117" s="6" t="s">
        <v>550</v>
      </c>
      <c r="G2117" s="6" t="s">
        <v>718</v>
      </c>
      <c r="H2117" s="23">
        <v>0</v>
      </c>
      <c r="I2117">
        <v>0</v>
      </c>
      <c r="J2117">
        <v>0</v>
      </c>
      <c r="K2117" s="20">
        <f t="shared" si="248"/>
        <v>0</v>
      </c>
      <c r="L2117">
        <v>0</v>
      </c>
      <c r="M2117">
        <v>0</v>
      </c>
      <c r="N2117" s="21">
        <f t="shared" si="249"/>
        <v>0</v>
      </c>
      <c r="O2117">
        <v>0</v>
      </c>
      <c r="P2117">
        <v>0</v>
      </c>
      <c r="Q2117" s="21">
        <f t="shared" si="251"/>
        <v>0</v>
      </c>
      <c r="R2117">
        <v>0</v>
      </c>
      <c r="S2117">
        <v>0</v>
      </c>
      <c r="T2117" s="21">
        <f t="shared" si="252"/>
        <v>0</v>
      </c>
      <c r="U2117">
        <v>0</v>
      </c>
      <c r="V2117">
        <v>0</v>
      </c>
      <c r="W2117" s="21">
        <f t="shared" si="253"/>
        <v>0</v>
      </c>
      <c r="X2117">
        <v>0</v>
      </c>
      <c r="Y2117">
        <v>0</v>
      </c>
      <c r="Z2117" s="21">
        <f t="shared" si="254"/>
        <v>0</v>
      </c>
      <c r="AA2117">
        <v>0</v>
      </c>
      <c r="AB2117">
        <v>0</v>
      </c>
      <c r="AC2117" s="21">
        <f t="shared" si="255"/>
        <v>0</v>
      </c>
      <c r="AD2117">
        <v>0</v>
      </c>
      <c r="AE2117">
        <v>0</v>
      </c>
      <c r="AF2117" s="21">
        <f t="shared" si="250"/>
        <v>0</v>
      </c>
    </row>
    <row r="2118" spans="1:32" ht="15" customHeight="1" x14ac:dyDescent="0.3">
      <c r="A2118">
        <v>4</v>
      </c>
      <c r="B2118" s="2" t="s">
        <v>697</v>
      </c>
      <c r="C2118" s="4" t="s">
        <v>693</v>
      </c>
      <c r="D2118" s="3" t="s">
        <v>673</v>
      </c>
      <c r="E2118" s="6" t="s">
        <v>114</v>
      </c>
      <c r="F2118" s="6" t="s">
        <v>560</v>
      </c>
      <c r="G2118" s="6" t="s">
        <v>713</v>
      </c>
      <c r="H2118" s="23">
        <v>45000</v>
      </c>
      <c r="I2118">
        <v>0</v>
      </c>
      <c r="J2118">
        <v>0</v>
      </c>
      <c r="K2118" s="20">
        <f t="shared" ref="K2118:K2181" si="256">H2118*I2118*J2118</f>
        <v>0</v>
      </c>
      <c r="L2118">
        <v>15</v>
      </c>
      <c r="M2118">
        <v>1</v>
      </c>
      <c r="N2118" s="21">
        <f t="shared" ref="N2118:N2181" si="257">H2118*L2118*M2118</f>
        <v>675000</v>
      </c>
      <c r="O2118">
        <v>15</v>
      </c>
      <c r="P2118">
        <v>1</v>
      </c>
      <c r="Q2118" s="21">
        <f t="shared" si="251"/>
        <v>675000</v>
      </c>
      <c r="R2118">
        <v>15</v>
      </c>
      <c r="S2118">
        <v>1</v>
      </c>
      <c r="T2118" s="21">
        <f t="shared" si="252"/>
        <v>675000</v>
      </c>
      <c r="U2118">
        <v>15</v>
      </c>
      <c r="V2118">
        <v>1</v>
      </c>
      <c r="W2118" s="21">
        <f t="shared" si="253"/>
        <v>675000</v>
      </c>
      <c r="X2118">
        <v>0</v>
      </c>
      <c r="Y2118">
        <v>0</v>
      </c>
      <c r="Z2118" s="21">
        <f t="shared" si="254"/>
        <v>0</v>
      </c>
      <c r="AA2118">
        <v>0</v>
      </c>
      <c r="AB2118">
        <v>0</v>
      </c>
      <c r="AC2118" s="21">
        <f t="shared" si="255"/>
        <v>0</v>
      </c>
      <c r="AD2118">
        <v>0</v>
      </c>
      <c r="AE2118">
        <v>0</v>
      </c>
      <c r="AF2118" s="21">
        <f t="shared" ref="AF2118:AF2181" si="258">H2118*AD2118*AE2118</f>
        <v>0</v>
      </c>
    </row>
    <row r="2119" spans="1:32" ht="15" customHeight="1" x14ac:dyDescent="0.3">
      <c r="A2119">
        <v>4</v>
      </c>
      <c r="B2119" s="2" t="s">
        <v>697</v>
      </c>
      <c r="C2119" s="4" t="s">
        <v>693</v>
      </c>
      <c r="D2119" s="3" t="s">
        <v>673</v>
      </c>
      <c r="E2119" s="6" t="s">
        <v>114</v>
      </c>
      <c r="F2119" s="6" t="s">
        <v>560</v>
      </c>
      <c r="G2119" s="6" t="s">
        <v>712</v>
      </c>
      <c r="H2119" s="29">
        <v>214.29</v>
      </c>
      <c r="I2119">
        <v>0</v>
      </c>
      <c r="J2119">
        <v>0</v>
      </c>
      <c r="K2119" s="20">
        <f t="shared" si="256"/>
        <v>0</v>
      </c>
      <c r="L2119">
        <v>4000</v>
      </c>
      <c r="M2119">
        <v>1</v>
      </c>
      <c r="N2119" s="21">
        <f t="shared" si="257"/>
        <v>857160</v>
      </c>
      <c r="O2119">
        <v>4000</v>
      </c>
      <c r="P2119">
        <v>1</v>
      </c>
      <c r="Q2119" s="21">
        <f t="shared" si="251"/>
        <v>857160</v>
      </c>
      <c r="R2119">
        <v>4000</v>
      </c>
      <c r="S2119">
        <v>1</v>
      </c>
      <c r="T2119" s="21">
        <f t="shared" si="252"/>
        <v>857160</v>
      </c>
      <c r="U2119">
        <v>4000</v>
      </c>
      <c r="V2119">
        <v>1</v>
      </c>
      <c r="W2119" s="21">
        <f t="shared" si="253"/>
        <v>857160</v>
      </c>
      <c r="X2119">
        <v>0</v>
      </c>
      <c r="Y2119">
        <v>0</v>
      </c>
      <c r="Z2119" s="21">
        <f t="shared" si="254"/>
        <v>0</v>
      </c>
      <c r="AA2119">
        <v>0</v>
      </c>
      <c r="AB2119">
        <v>0</v>
      </c>
      <c r="AC2119" s="21">
        <f t="shared" si="255"/>
        <v>0</v>
      </c>
      <c r="AD2119">
        <v>0</v>
      </c>
      <c r="AE2119">
        <v>0</v>
      </c>
      <c r="AF2119" s="21">
        <f t="shared" si="258"/>
        <v>0</v>
      </c>
    </row>
    <row r="2120" spans="1:32" ht="15" customHeight="1" x14ac:dyDescent="0.3">
      <c r="A2120">
        <v>4</v>
      </c>
      <c r="B2120" s="2" t="s">
        <v>697</v>
      </c>
      <c r="C2120" s="4" t="s">
        <v>693</v>
      </c>
      <c r="D2120" s="3" t="s">
        <v>673</v>
      </c>
      <c r="E2120" s="6" t="s">
        <v>114</v>
      </c>
      <c r="F2120" s="6" t="s">
        <v>561</v>
      </c>
      <c r="G2120" s="6" t="s">
        <v>709</v>
      </c>
      <c r="H2120" s="23">
        <v>28000</v>
      </c>
      <c r="I2120">
        <v>0</v>
      </c>
      <c r="J2120">
        <v>0</v>
      </c>
      <c r="K2120" s="20">
        <f t="shared" si="256"/>
        <v>0</v>
      </c>
      <c r="L2120">
        <v>20</v>
      </c>
      <c r="M2120">
        <v>1</v>
      </c>
      <c r="N2120" s="21">
        <f t="shared" si="257"/>
        <v>560000</v>
      </c>
      <c r="O2120">
        <v>20</v>
      </c>
      <c r="P2120">
        <v>1</v>
      </c>
      <c r="Q2120" s="21">
        <f t="shared" si="251"/>
        <v>560000</v>
      </c>
      <c r="R2120">
        <v>20</v>
      </c>
      <c r="S2120">
        <v>1</v>
      </c>
      <c r="T2120" s="21">
        <f t="shared" si="252"/>
        <v>560000</v>
      </c>
      <c r="U2120">
        <v>20</v>
      </c>
      <c r="V2120">
        <v>1</v>
      </c>
      <c r="W2120" s="21">
        <f t="shared" si="253"/>
        <v>560000</v>
      </c>
      <c r="X2120">
        <v>0</v>
      </c>
      <c r="Y2120">
        <v>0</v>
      </c>
      <c r="Z2120" s="21">
        <f t="shared" si="254"/>
        <v>0</v>
      </c>
      <c r="AA2120">
        <v>0</v>
      </c>
      <c r="AB2120">
        <v>0</v>
      </c>
      <c r="AC2120" s="21">
        <f t="shared" si="255"/>
        <v>0</v>
      </c>
      <c r="AD2120">
        <v>0</v>
      </c>
      <c r="AE2120">
        <v>0</v>
      </c>
      <c r="AF2120" s="21">
        <f t="shared" si="258"/>
        <v>0</v>
      </c>
    </row>
    <row r="2121" spans="1:32" ht="15" customHeight="1" x14ac:dyDescent="0.3">
      <c r="A2121">
        <v>4</v>
      </c>
      <c r="B2121" s="2" t="s">
        <v>697</v>
      </c>
      <c r="C2121" s="4" t="s">
        <v>693</v>
      </c>
      <c r="D2121" s="3" t="s">
        <v>673</v>
      </c>
      <c r="E2121" s="6" t="s">
        <v>114</v>
      </c>
      <c r="F2121" s="6" t="s">
        <v>157</v>
      </c>
      <c r="G2121" s="6" t="s">
        <v>713</v>
      </c>
      <c r="H2121" s="23">
        <v>45000</v>
      </c>
      <c r="I2121">
        <v>0</v>
      </c>
      <c r="J2121">
        <v>0</v>
      </c>
      <c r="K2121" s="20">
        <f t="shared" si="256"/>
        <v>0</v>
      </c>
      <c r="L2121">
        <v>15</v>
      </c>
      <c r="M2121">
        <v>10</v>
      </c>
      <c r="N2121" s="21">
        <f t="shared" si="257"/>
        <v>6750000</v>
      </c>
      <c r="O2121">
        <v>15</v>
      </c>
      <c r="P2121">
        <v>10</v>
      </c>
      <c r="Q2121" s="21">
        <f t="shared" si="251"/>
        <v>6750000</v>
      </c>
      <c r="R2121">
        <v>15</v>
      </c>
      <c r="S2121">
        <v>10</v>
      </c>
      <c r="T2121" s="21">
        <f t="shared" si="252"/>
        <v>6750000</v>
      </c>
      <c r="U2121">
        <v>15</v>
      </c>
      <c r="V2121">
        <v>10</v>
      </c>
      <c r="W2121" s="21">
        <f t="shared" si="253"/>
        <v>6750000</v>
      </c>
      <c r="X2121">
        <v>0</v>
      </c>
      <c r="Y2121">
        <v>0</v>
      </c>
      <c r="Z2121" s="21">
        <f t="shared" si="254"/>
        <v>0</v>
      </c>
      <c r="AA2121">
        <v>0</v>
      </c>
      <c r="AB2121">
        <v>0</v>
      </c>
      <c r="AC2121" s="21">
        <f t="shared" si="255"/>
        <v>0</v>
      </c>
      <c r="AD2121">
        <v>0</v>
      </c>
      <c r="AE2121">
        <v>0</v>
      </c>
      <c r="AF2121" s="21">
        <f t="shared" si="258"/>
        <v>0</v>
      </c>
    </row>
    <row r="2122" spans="1:32" ht="15" customHeight="1" x14ac:dyDescent="0.3">
      <c r="A2122">
        <v>4</v>
      </c>
      <c r="B2122" s="2" t="s">
        <v>697</v>
      </c>
      <c r="C2122" s="4" t="s">
        <v>693</v>
      </c>
      <c r="D2122" s="3" t="s">
        <v>673</v>
      </c>
      <c r="E2122" s="6" t="s">
        <v>114</v>
      </c>
      <c r="F2122" s="6" t="s">
        <v>157</v>
      </c>
      <c r="G2122" s="6" t="s">
        <v>715</v>
      </c>
      <c r="H2122" s="23">
        <v>302000</v>
      </c>
      <c r="I2122">
        <v>0</v>
      </c>
      <c r="J2122">
        <v>0</v>
      </c>
      <c r="K2122" s="20">
        <f t="shared" si="256"/>
        <v>0</v>
      </c>
      <c r="L2122">
        <v>20</v>
      </c>
      <c r="M2122">
        <v>1</v>
      </c>
      <c r="N2122" s="21">
        <f t="shared" si="257"/>
        <v>6040000</v>
      </c>
      <c r="O2122">
        <v>20</v>
      </c>
      <c r="P2122">
        <v>1</v>
      </c>
      <c r="Q2122" s="21">
        <f t="shared" si="251"/>
        <v>6040000</v>
      </c>
      <c r="R2122">
        <v>20</v>
      </c>
      <c r="S2122">
        <v>1</v>
      </c>
      <c r="T2122" s="21">
        <f t="shared" si="252"/>
        <v>6040000</v>
      </c>
      <c r="U2122">
        <v>20</v>
      </c>
      <c r="V2122">
        <v>1</v>
      </c>
      <c r="W2122" s="21">
        <f t="shared" si="253"/>
        <v>6040000</v>
      </c>
      <c r="X2122">
        <v>0</v>
      </c>
      <c r="Y2122">
        <v>0</v>
      </c>
      <c r="Z2122" s="21">
        <f t="shared" si="254"/>
        <v>0</v>
      </c>
      <c r="AA2122">
        <v>0</v>
      </c>
      <c r="AB2122">
        <v>0</v>
      </c>
      <c r="AC2122" s="21">
        <f t="shared" si="255"/>
        <v>0</v>
      </c>
      <c r="AD2122">
        <v>0</v>
      </c>
      <c r="AE2122">
        <v>0</v>
      </c>
      <c r="AF2122" s="21">
        <f t="shared" si="258"/>
        <v>0</v>
      </c>
    </row>
    <row r="2123" spans="1:32" ht="15" customHeight="1" x14ac:dyDescent="0.3">
      <c r="A2123">
        <v>4</v>
      </c>
      <c r="B2123" s="2" t="s">
        <v>697</v>
      </c>
      <c r="C2123" s="4" t="s">
        <v>693</v>
      </c>
      <c r="D2123" s="3" t="s">
        <v>673</v>
      </c>
      <c r="E2123" s="6" t="s">
        <v>114</v>
      </c>
      <c r="F2123" s="6" t="s">
        <v>157</v>
      </c>
      <c r="G2123" s="6" t="s">
        <v>714</v>
      </c>
      <c r="H2123" s="23">
        <v>10000</v>
      </c>
      <c r="I2123">
        <v>0</v>
      </c>
      <c r="J2123">
        <v>0</v>
      </c>
      <c r="K2123" s="20">
        <f t="shared" si="256"/>
        <v>0</v>
      </c>
      <c r="L2123">
        <v>15</v>
      </c>
      <c r="M2123">
        <v>1</v>
      </c>
      <c r="N2123" s="21">
        <f t="shared" si="257"/>
        <v>150000</v>
      </c>
      <c r="O2123">
        <v>15</v>
      </c>
      <c r="P2123">
        <v>1</v>
      </c>
      <c r="Q2123" s="21">
        <f t="shared" si="251"/>
        <v>150000</v>
      </c>
      <c r="R2123">
        <v>15</v>
      </c>
      <c r="S2123">
        <v>1</v>
      </c>
      <c r="T2123" s="21">
        <f t="shared" si="252"/>
        <v>150000</v>
      </c>
      <c r="U2123">
        <v>15</v>
      </c>
      <c r="V2123">
        <v>1</v>
      </c>
      <c r="W2123" s="21">
        <f t="shared" si="253"/>
        <v>150000</v>
      </c>
      <c r="X2123">
        <v>0</v>
      </c>
      <c r="Y2123">
        <v>0</v>
      </c>
      <c r="Z2123" s="21">
        <f t="shared" si="254"/>
        <v>0</v>
      </c>
      <c r="AA2123">
        <v>0</v>
      </c>
      <c r="AB2123">
        <v>0</v>
      </c>
      <c r="AC2123" s="21">
        <f t="shared" si="255"/>
        <v>0</v>
      </c>
      <c r="AD2123">
        <v>0</v>
      </c>
      <c r="AE2123">
        <v>0</v>
      </c>
      <c r="AF2123" s="21">
        <f t="shared" si="258"/>
        <v>0</v>
      </c>
    </row>
    <row r="2124" spans="1:32" ht="15" customHeight="1" x14ac:dyDescent="0.3">
      <c r="A2124">
        <v>4</v>
      </c>
      <c r="B2124" s="2" t="s">
        <v>697</v>
      </c>
      <c r="C2124" s="4" t="s">
        <v>693</v>
      </c>
      <c r="D2124" s="3" t="s">
        <v>673</v>
      </c>
      <c r="E2124" s="6" t="s">
        <v>114</v>
      </c>
      <c r="F2124" s="6" t="s">
        <v>157</v>
      </c>
      <c r="G2124" s="6" t="s">
        <v>712</v>
      </c>
      <c r="H2124" s="23">
        <v>214.29</v>
      </c>
      <c r="I2124">
        <v>0</v>
      </c>
      <c r="J2124">
        <v>0</v>
      </c>
      <c r="K2124" s="20">
        <f t="shared" si="256"/>
        <v>0</v>
      </c>
      <c r="L2124">
        <v>20000</v>
      </c>
      <c r="M2124">
        <v>1</v>
      </c>
      <c r="N2124" s="21">
        <f t="shared" si="257"/>
        <v>4285800</v>
      </c>
      <c r="O2124">
        <v>20000</v>
      </c>
      <c r="P2124">
        <v>1</v>
      </c>
      <c r="Q2124" s="21">
        <f t="shared" si="251"/>
        <v>4285800</v>
      </c>
      <c r="R2124">
        <v>20000</v>
      </c>
      <c r="S2124">
        <v>1</v>
      </c>
      <c r="T2124" s="21">
        <f t="shared" si="252"/>
        <v>4285800</v>
      </c>
      <c r="U2124">
        <v>20000</v>
      </c>
      <c r="V2124">
        <v>1</v>
      </c>
      <c r="W2124" s="21">
        <f t="shared" si="253"/>
        <v>4285800</v>
      </c>
      <c r="X2124">
        <v>0</v>
      </c>
      <c r="Y2124">
        <v>0</v>
      </c>
      <c r="Z2124" s="21">
        <f t="shared" si="254"/>
        <v>0</v>
      </c>
      <c r="AA2124">
        <v>0</v>
      </c>
      <c r="AB2124">
        <v>0</v>
      </c>
      <c r="AC2124" s="21">
        <f t="shared" si="255"/>
        <v>0</v>
      </c>
      <c r="AD2124">
        <v>0</v>
      </c>
      <c r="AE2124">
        <v>0</v>
      </c>
      <c r="AF2124" s="21">
        <f t="shared" si="258"/>
        <v>0</v>
      </c>
    </row>
    <row r="2125" spans="1:32" ht="15" customHeight="1" x14ac:dyDescent="0.3">
      <c r="A2125">
        <v>4</v>
      </c>
      <c r="B2125" s="2" t="s">
        <v>697</v>
      </c>
      <c r="C2125" s="4" t="s">
        <v>693</v>
      </c>
      <c r="D2125" s="3" t="s">
        <v>673</v>
      </c>
      <c r="E2125" s="6" t="s">
        <v>114</v>
      </c>
      <c r="F2125" s="6" t="s">
        <v>152</v>
      </c>
      <c r="G2125" s="6" t="s">
        <v>716</v>
      </c>
      <c r="H2125" s="23">
        <v>39000</v>
      </c>
      <c r="I2125">
        <v>0</v>
      </c>
      <c r="J2125">
        <v>0</v>
      </c>
      <c r="K2125" s="20">
        <f t="shared" si="256"/>
        <v>0</v>
      </c>
      <c r="L2125">
        <v>15</v>
      </c>
      <c r="M2125">
        <v>5</v>
      </c>
      <c r="N2125" s="21">
        <f t="shared" si="257"/>
        <v>2925000</v>
      </c>
      <c r="O2125">
        <v>15</v>
      </c>
      <c r="P2125">
        <v>5</v>
      </c>
      <c r="Q2125" s="21">
        <f t="shared" si="251"/>
        <v>2925000</v>
      </c>
      <c r="R2125">
        <v>15</v>
      </c>
      <c r="S2125">
        <v>5</v>
      </c>
      <c r="T2125" s="21">
        <f t="shared" si="252"/>
        <v>2925000</v>
      </c>
      <c r="U2125">
        <v>15</v>
      </c>
      <c r="V2125">
        <v>5</v>
      </c>
      <c r="W2125" s="21">
        <f t="shared" si="253"/>
        <v>2925000</v>
      </c>
      <c r="X2125">
        <v>0</v>
      </c>
      <c r="Y2125">
        <v>0</v>
      </c>
      <c r="Z2125" s="21">
        <f t="shared" si="254"/>
        <v>0</v>
      </c>
      <c r="AA2125">
        <v>0</v>
      </c>
      <c r="AB2125">
        <v>0</v>
      </c>
      <c r="AC2125" s="21">
        <f t="shared" si="255"/>
        <v>0</v>
      </c>
      <c r="AD2125">
        <v>0</v>
      </c>
      <c r="AE2125">
        <v>0</v>
      </c>
      <c r="AF2125" s="21">
        <f t="shared" si="258"/>
        <v>0</v>
      </c>
    </row>
    <row r="2126" spans="1:32" ht="15" customHeight="1" x14ac:dyDescent="0.3">
      <c r="A2126">
        <v>4</v>
      </c>
      <c r="B2126" s="2" t="s">
        <v>697</v>
      </c>
      <c r="C2126" s="4" t="s">
        <v>693</v>
      </c>
      <c r="D2126" s="3" t="s">
        <v>673</v>
      </c>
      <c r="E2126" s="6" t="s">
        <v>114</v>
      </c>
      <c r="F2126" s="6" t="s">
        <v>152</v>
      </c>
      <c r="G2126" s="6" t="s">
        <v>709</v>
      </c>
      <c r="H2126" s="23">
        <v>28000</v>
      </c>
      <c r="I2126">
        <v>0</v>
      </c>
      <c r="J2126">
        <v>0</v>
      </c>
      <c r="K2126" s="20">
        <f t="shared" si="256"/>
        <v>0</v>
      </c>
      <c r="L2126">
        <v>15</v>
      </c>
      <c r="M2126">
        <v>5</v>
      </c>
      <c r="N2126" s="21">
        <f t="shared" si="257"/>
        <v>2100000</v>
      </c>
      <c r="O2126">
        <v>15</v>
      </c>
      <c r="P2126">
        <v>5</v>
      </c>
      <c r="Q2126" s="21">
        <f t="shared" si="251"/>
        <v>2100000</v>
      </c>
      <c r="R2126">
        <v>15</v>
      </c>
      <c r="S2126">
        <v>5</v>
      </c>
      <c r="T2126" s="21">
        <f t="shared" si="252"/>
        <v>2100000</v>
      </c>
      <c r="U2126">
        <v>15</v>
      </c>
      <c r="V2126">
        <v>5</v>
      </c>
      <c r="W2126" s="21">
        <f t="shared" si="253"/>
        <v>2100000</v>
      </c>
      <c r="X2126">
        <v>0</v>
      </c>
      <c r="Y2126">
        <v>0</v>
      </c>
      <c r="Z2126" s="21">
        <f t="shared" si="254"/>
        <v>0</v>
      </c>
      <c r="AA2126">
        <v>0</v>
      </c>
      <c r="AB2126">
        <v>0</v>
      </c>
      <c r="AC2126" s="21">
        <f t="shared" si="255"/>
        <v>0</v>
      </c>
      <c r="AD2126">
        <v>0</v>
      </c>
      <c r="AE2126">
        <v>0</v>
      </c>
      <c r="AF2126" s="21">
        <f t="shared" si="258"/>
        <v>0</v>
      </c>
    </row>
    <row r="2127" spans="1:32" ht="15" customHeight="1" x14ac:dyDescent="0.3">
      <c r="A2127">
        <v>4</v>
      </c>
      <c r="B2127" s="2" t="s">
        <v>697</v>
      </c>
      <c r="C2127" s="4" t="s">
        <v>693</v>
      </c>
      <c r="D2127" s="3" t="s">
        <v>673</v>
      </c>
      <c r="E2127" s="6" t="s">
        <v>114</v>
      </c>
      <c r="F2127" s="6" t="s">
        <v>152</v>
      </c>
      <c r="G2127" s="6" t="s">
        <v>712</v>
      </c>
      <c r="H2127" s="23">
        <v>214.29</v>
      </c>
      <c r="I2127">
        <v>0</v>
      </c>
      <c r="J2127">
        <v>0</v>
      </c>
      <c r="K2127" s="20">
        <f t="shared" si="256"/>
        <v>0</v>
      </c>
      <c r="L2127">
        <v>4000</v>
      </c>
      <c r="M2127">
        <v>1</v>
      </c>
      <c r="N2127" s="21">
        <f t="shared" si="257"/>
        <v>857160</v>
      </c>
      <c r="O2127">
        <v>4000</v>
      </c>
      <c r="P2127">
        <v>1</v>
      </c>
      <c r="Q2127" s="21">
        <f t="shared" si="251"/>
        <v>857160</v>
      </c>
      <c r="R2127">
        <v>4000</v>
      </c>
      <c r="S2127">
        <v>1</v>
      </c>
      <c r="T2127" s="21">
        <f t="shared" si="252"/>
        <v>857160</v>
      </c>
      <c r="U2127">
        <v>4000</v>
      </c>
      <c r="V2127">
        <v>1</v>
      </c>
      <c r="W2127" s="21">
        <f t="shared" si="253"/>
        <v>857160</v>
      </c>
      <c r="X2127">
        <v>0</v>
      </c>
      <c r="Y2127">
        <v>0</v>
      </c>
      <c r="Z2127" s="21">
        <f t="shared" si="254"/>
        <v>0</v>
      </c>
      <c r="AA2127">
        <v>0</v>
      </c>
      <c r="AB2127">
        <v>0</v>
      </c>
      <c r="AC2127" s="21">
        <f t="shared" si="255"/>
        <v>0</v>
      </c>
      <c r="AD2127">
        <v>0</v>
      </c>
      <c r="AE2127">
        <v>0</v>
      </c>
      <c r="AF2127" s="21">
        <f t="shared" si="258"/>
        <v>0</v>
      </c>
    </row>
    <row r="2128" spans="1:32" ht="15" customHeight="1" x14ac:dyDescent="0.3">
      <c r="A2128">
        <v>4</v>
      </c>
      <c r="B2128" s="2" t="s">
        <v>697</v>
      </c>
      <c r="C2128" s="4" t="s">
        <v>693</v>
      </c>
      <c r="D2128" s="3" t="s">
        <v>673</v>
      </c>
      <c r="E2128" s="6" t="s">
        <v>114</v>
      </c>
      <c r="F2128" s="6" t="s">
        <v>180</v>
      </c>
      <c r="G2128" s="6" t="s">
        <v>716</v>
      </c>
      <c r="H2128" s="23">
        <v>39000</v>
      </c>
      <c r="I2128">
        <v>0</v>
      </c>
      <c r="J2128">
        <v>0</v>
      </c>
      <c r="K2128" s="20">
        <f t="shared" si="256"/>
        <v>0</v>
      </c>
      <c r="L2128">
        <v>15</v>
      </c>
      <c r="M2128">
        <v>5</v>
      </c>
      <c r="N2128" s="21">
        <f t="shared" si="257"/>
        <v>2925000</v>
      </c>
      <c r="O2128">
        <v>15</v>
      </c>
      <c r="P2128">
        <v>5</v>
      </c>
      <c r="Q2128" s="21">
        <f t="shared" si="251"/>
        <v>2925000</v>
      </c>
      <c r="R2128">
        <v>15</v>
      </c>
      <c r="S2128">
        <v>5</v>
      </c>
      <c r="T2128" s="21">
        <f t="shared" si="252"/>
        <v>2925000</v>
      </c>
      <c r="U2128">
        <v>15</v>
      </c>
      <c r="V2128">
        <v>5</v>
      </c>
      <c r="W2128" s="21">
        <f t="shared" si="253"/>
        <v>2925000</v>
      </c>
      <c r="X2128">
        <v>0</v>
      </c>
      <c r="Y2128">
        <v>0</v>
      </c>
      <c r="Z2128" s="21">
        <f t="shared" si="254"/>
        <v>0</v>
      </c>
      <c r="AA2128">
        <v>0</v>
      </c>
      <c r="AB2128">
        <v>0</v>
      </c>
      <c r="AC2128" s="21">
        <f t="shared" si="255"/>
        <v>0</v>
      </c>
      <c r="AD2128">
        <v>0</v>
      </c>
      <c r="AE2128">
        <v>0</v>
      </c>
      <c r="AF2128" s="21">
        <f t="shared" si="258"/>
        <v>0</v>
      </c>
    </row>
    <row r="2129" spans="1:32" ht="15" customHeight="1" x14ac:dyDescent="0.3">
      <c r="A2129">
        <v>4</v>
      </c>
      <c r="B2129" s="2" t="s">
        <v>697</v>
      </c>
      <c r="C2129" s="4" t="s">
        <v>693</v>
      </c>
      <c r="D2129" s="3" t="s">
        <v>673</v>
      </c>
      <c r="E2129" s="6" t="s">
        <v>114</v>
      </c>
      <c r="F2129" s="6" t="s">
        <v>180</v>
      </c>
      <c r="G2129" s="6" t="s">
        <v>709</v>
      </c>
      <c r="H2129" s="23">
        <v>28000</v>
      </c>
      <c r="I2129">
        <v>0</v>
      </c>
      <c r="J2129">
        <v>0</v>
      </c>
      <c r="K2129" s="20">
        <f t="shared" si="256"/>
        <v>0</v>
      </c>
      <c r="L2129">
        <v>15</v>
      </c>
      <c r="M2129">
        <v>5</v>
      </c>
      <c r="N2129" s="21">
        <f t="shared" si="257"/>
        <v>2100000</v>
      </c>
      <c r="O2129">
        <v>15</v>
      </c>
      <c r="P2129">
        <v>5</v>
      </c>
      <c r="Q2129" s="21">
        <f t="shared" si="251"/>
        <v>2100000</v>
      </c>
      <c r="R2129">
        <v>15</v>
      </c>
      <c r="S2129">
        <v>5</v>
      </c>
      <c r="T2129" s="21">
        <f t="shared" si="252"/>
        <v>2100000</v>
      </c>
      <c r="U2129">
        <v>15</v>
      </c>
      <c r="V2129">
        <v>5</v>
      </c>
      <c r="W2129" s="21">
        <f t="shared" si="253"/>
        <v>2100000</v>
      </c>
      <c r="X2129">
        <v>0</v>
      </c>
      <c r="Y2129">
        <v>0</v>
      </c>
      <c r="Z2129" s="21">
        <f t="shared" si="254"/>
        <v>0</v>
      </c>
      <c r="AA2129">
        <v>0</v>
      </c>
      <c r="AB2129">
        <v>0</v>
      </c>
      <c r="AC2129" s="21">
        <f t="shared" si="255"/>
        <v>0</v>
      </c>
      <c r="AD2129">
        <v>0</v>
      </c>
      <c r="AE2129">
        <v>0</v>
      </c>
      <c r="AF2129" s="21">
        <f t="shared" si="258"/>
        <v>0</v>
      </c>
    </row>
    <row r="2130" spans="1:32" ht="15" customHeight="1" x14ac:dyDescent="0.3">
      <c r="A2130">
        <v>4</v>
      </c>
      <c r="B2130" s="2" t="s">
        <v>697</v>
      </c>
      <c r="C2130" s="4" t="s">
        <v>693</v>
      </c>
      <c r="D2130" s="3" t="s">
        <v>673</v>
      </c>
      <c r="E2130" s="6" t="s">
        <v>114</v>
      </c>
      <c r="F2130" s="6" t="s">
        <v>180</v>
      </c>
      <c r="G2130" s="6" t="s">
        <v>712</v>
      </c>
      <c r="H2130" s="23">
        <v>214.29</v>
      </c>
      <c r="I2130">
        <v>0</v>
      </c>
      <c r="J2130">
        <v>0</v>
      </c>
      <c r="K2130" s="20">
        <f t="shared" si="256"/>
        <v>0</v>
      </c>
      <c r="L2130">
        <v>4000</v>
      </c>
      <c r="M2130">
        <v>1</v>
      </c>
      <c r="N2130" s="21">
        <f t="shared" si="257"/>
        <v>857160</v>
      </c>
      <c r="O2130">
        <v>4000</v>
      </c>
      <c r="P2130">
        <v>1</v>
      </c>
      <c r="Q2130" s="21">
        <f t="shared" si="251"/>
        <v>857160</v>
      </c>
      <c r="R2130">
        <v>4000</v>
      </c>
      <c r="S2130">
        <v>1</v>
      </c>
      <c r="T2130" s="21">
        <f t="shared" si="252"/>
        <v>857160</v>
      </c>
      <c r="U2130">
        <v>4000</v>
      </c>
      <c r="V2130">
        <v>1</v>
      </c>
      <c r="W2130" s="21">
        <f t="shared" si="253"/>
        <v>857160</v>
      </c>
      <c r="X2130">
        <v>0</v>
      </c>
      <c r="Y2130">
        <v>0</v>
      </c>
      <c r="Z2130" s="21">
        <f t="shared" si="254"/>
        <v>0</v>
      </c>
      <c r="AA2130">
        <v>0</v>
      </c>
      <c r="AB2130">
        <v>0</v>
      </c>
      <c r="AC2130" s="21">
        <f t="shared" si="255"/>
        <v>0</v>
      </c>
      <c r="AD2130">
        <v>0</v>
      </c>
      <c r="AE2130">
        <v>0</v>
      </c>
      <c r="AF2130" s="21">
        <f t="shared" si="258"/>
        <v>0</v>
      </c>
    </row>
    <row r="2131" spans="1:32" ht="15" customHeight="1" x14ac:dyDescent="0.3">
      <c r="A2131">
        <v>4</v>
      </c>
      <c r="B2131" s="2" t="s">
        <v>697</v>
      </c>
      <c r="C2131" s="4" t="s">
        <v>693</v>
      </c>
      <c r="D2131" s="3" t="s">
        <v>673</v>
      </c>
      <c r="E2131" s="6" t="s">
        <v>114</v>
      </c>
      <c r="F2131" s="6" t="s">
        <v>175</v>
      </c>
      <c r="G2131" s="6" t="s">
        <v>709</v>
      </c>
      <c r="H2131" s="23">
        <v>28000</v>
      </c>
      <c r="I2131">
        <v>0</v>
      </c>
      <c r="J2131">
        <v>0</v>
      </c>
      <c r="K2131" s="20">
        <f t="shared" si="256"/>
        <v>0</v>
      </c>
      <c r="L2131">
        <v>40</v>
      </c>
      <c r="M2131">
        <v>1</v>
      </c>
      <c r="N2131" s="21">
        <f t="shared" si="257"/>
        <v>1120000</v>
      </c>
      <c r="O2131">
        <v>40</v>
      </c>
      <c r="P2131">
        <v>1</v>
      </c>
      <c r="Q2131" s="21">
        <f t="shared" si="251"/>
        <v>1120000</v>
      </c>
      <c r="R2131">
        <v>40</v>
      </c>
      <c r="S2131">
        <v>1</v>
      </c>
      <c r="T2131" s="21">
        <f t="shared" si="252"/>
        <v>1120000</v>
      </c>
      <c r="U2131">
        <v>40</v>
      </c>
      <c r="V2131">
        <v>1</v>
      </c>
      <c r="W2131" s="21">
        <f t="shared" si="253"/>
        <v>1120000</v>
      </c>
      <c r="X2131">
        <v>0</v>
      </c>
      <c r="Y2131">
        <v>0</v>
      </c>
      <c r="Z2131" s="21">
        <f t="shared" si="254"/>
        <v>0</v>
      </c>
      <c r="AA2131">
        <v>0</v>
      </c>
      <c r="AB2131">
        <v>0</v>
      </c>
      <c r="AC2131" s="21">
        <f t="shared" si="255"/>
        <v>0</v>
      </c>
      <c r="AD2131">
        <v>0</v>
      </c>
      <c r="AE2131">
        <v>0</v>
      </c>
      <c r="AF2131" s="21">
        <f t="shared" si="258"/>
        <v>0</v>
      </c>
    </row>
    <row r="2132" spans="1:32" ht="15" customHeight="1" x14ac:dyDescent="0.3">
      <c r="A2132">
        <v>4</v>
      </c>
      <c r="B2132" s="2" t="s">
        <v>697</v>
      </c>
      <c r="C2132" s="4" t="s">
        <v>693</v>
      </c>
      <c r="D2132" s="3" t="s">
        <v>673</v>
      </c>
      <c r="E2132" s="6" t="s">
        <v>114</v>
      </c>
      <c r="F2132" s="6" t="s">
        <v>554</v>
      </c>
      <c r="G2132" s="6" t="s">
        <v>709</v>
      </c>
      <c r="H2132" s="23">
        <v>28000</v>
      </c>
      <c r="I2132">
        <v>0</v>
      </c>
      <c r="J2132">
        <v>0</v>
      </c>
      <c r="K2132" s="20">
        <f t="shared" si="256"/>
        <v>0</v>
      </c>
      <c r="L2132">
        <v>30</v>
      </c>
      <c r="M2132">
        <v>1</v>
      </c>
      <c r="N2132" s="21">
        <f t="shared" si="257"/>
        <v>840000</v>
      </c>
      <c r="O2132">
        <v>30</v>
      </c>
      <c r="P2132">
        <v>1</v>
      </c>
      <c r="Q2132" s="21">
        <f t="shared" si="251"/>
        <v>840000</v>
      </c>
      <c r="R2132">
        <v>30</v>
      </c>
      <c r="S2132">
        <v>1</v>
      </c>
      <c r="T2132" s="21">
        <f t="shared" si="252"/>
        <v>840000</v>
      </c>
      <c r="U2132">
        <v>30</v>
      </c>
      <c r="V2132">
        <v>1</v>
      </c>
      <c r="W2132" s="21">
        <f t="shared" si="253"/>
        <v>840000</v>
      </c>
      <c r="X2132">
        <v>0</v>
      </c>
      <c r="Y2132">
        <v>0</v>
      </c>
      <c r="Z2132" s="21">
        <f t="shared" si="254"/>
        <v>0</v>
      </c>
      <c r="AA2132">
        <v>0</v>
      </c>
      <c r="AB2132">
        <v>0</v>
      </c>
      <c r="AC2132" s="21">
        <f t="shared" si="255"/>
        <v>0</v>
      </c>
      <c r="AD2132">
        <v>0</v>
      </c>
      <c r="AE2132">
        <v>0</v>
      </c>
      <c r="AF2132" s="21">
        <f t="shared" si="258"/>
        <v>0</v>
      </c>
    </row>
    <row r="2133" spans="1:32" ht="15" customHeight="1" x14ac:dyDescent="0.3">
      <c r="A2133">
        <v>4</v>
      </c>
      <c r="B2133" s="2" t="s">
        <v>697</v>
      </c>
      <c r="C2133" s="4" t="s">
        <v>693</v>
      </c>
      <c r="D2133" s="3" t="s">
        <v>673</v>
      </c>
      <c r="E2133" s="6" t="s">
        <v>114</v>
      </c>
      <c r="F2133" s="6" t="s">
        <v>562</v>
      </c>
      <c r="G2133" s="6" t="s">
        <v>718</v>
      </c>
      <c r="H2133" s="23">
        <v>0</v>
      </c>
      <c r="I2133">
        <v>0</v>
      </c>
      <c r="J2133">
        <v>0</v>
      </c>
      <c r="K2133" s="20">
        <f t="shared" si="256"/>
        <v>0</v>
      </c>
      <c r="L2133">
        <v>0</v>
      </c>
      <c r="M2133">
        <v>0</v>
      </c>
      <c r="N2133" s="21">
        <f t="shared" si="257"/>
        <v>0</v>
      </c>
      <c r="O2133">
        <v>0</v>
      </c>
      <c r="P2133">
        <v>0</v>
      </c>
      <c r="Q2133" s="21">
        <f t="shared" si="251"/>
        <v>0</v>
      </c>
      <c r="R2133">
        <v>0</v>
      </c>
      <c r="S2133">
        <v>0</v>
      </c>
      <c r="T2133" s="21">
        <f t="shared" si="252"/>
        <v>0</v>
      </c>
      <c r="U2133">
        <v>0</v>
      </c>
      <c r="V2133">
        <v>0</v>
      </c>
      <c r="W2133" s="21">
        <f t="shared" si="253"/>
        <v>0</v>
      </c>
      <c r="X2133">
        <v>0</v>
      </c>
      <c r="Y2133">
        <v>0</v>
      </c>
      <c r="Z2133" s="21">
        <f t="shared" si="254"/>
        <v>0</v>
      </c>
      <c r="AA2133">
        <v>0</v>
      </c>
      <c r="AB2133">
        <v>0</v>
      </c>
      <c r="AC2133" s="21">
        <f t="shared" si="255"/>
        <v>0</v>
      </c>
      <c r="AD2133">
        <v>0</v>
      </c>
      <c r="AE2133">
        <v>0</v>
      </c>
      <c r="AF2133" s="21">
        <f t="shared" si="258"/>
        <v>0</v>
      </c>
    </row>
    <row r="2134" spans="1:32" ht="15" customHeight="1" x14ac:dyDescent="0.3">
      <c r="A2134">
        <v>4</v>
      </c>
      <c r="B2134" s="2" t="s">
        <v>697</v>
      </c>
      <c r="C2134" s="4" t="s">
        <v>693</v>
      </c>
      <c r="D2134" s="3" t="s">
        <v>673</v>
      </c>
      <c r="E2134" s="6" t="s">
        <v>114</v>
      </c>
      <c r="F2134" s="6" t="s">
        <v>183</v>
      </c>
      <c r="G2134" s="6" t="s">
        <v>711</v>
      </c>
      <c r="H2134" s="23">
        <v>70</v>
      </c>
      <c r="I2134">
        <v>0</v>
      </c>
      <c r="J2134">
        <v>0</v>
      </c>
      <c r="K2134" s="20">
        <f t="shared" si="256"/>
        <v>0</v>
      </c>
      <c r="L2134">
        <v>50000</v>
      </c>
      <c r="M2134">
        <v>1</v>
      </c>
      <c r="N2134" s="21">
        <f t="shared" si="257"/>
        <v>3500000</v>
      </c>
      <c r="O2134">
        <v>50000</v>
      </c>
      <c r="P2134">
        <v>1</v>
      </c>
      <c r="Q2134" s="21">
        <f t="shared" si="251"/>
        <v>3500000</v>
      </c>
      <c r="R2134">
        <v>50000</v>
      </c>
      <c r="S2134">
        <v>1</v>
      </c>
      <c r="T2134" s="21">
        <f t="shared" si="252"/>
        <v>3500000</v>
      </c>
      <c r="U2134">
        <v>50000</v>
      </c>
      <c r="V2134">
        <v>1</v>
      </c>
      <c r="W2134" s="21">
        <f t="shared" si="253"/>
        <v>3500000</v>
      </c>
      <c r="X2134">
        <v>0</v>
      </c>
      <c r="Y2134">
        <v>0</v>
      </c>
      <c r="Z2134" s="21">
        <f t="shared" si="254"/>
        <v>0</v>
      </c>
      <c r="AA2134">
        <v>0</v>
      </c>
      <c r="AB2134">
        <v>0</v>
      </c>
      <c r="AC2134" s="21">
        <f t="shared" si="255"/>
        <v>0</v>
      </c>
      <c r="AD2134">
        <v>0</v>
      </c>
      <c r="AE2134">
        <v>0</v>
      </c>
      <c r="AF2134" s="21">
        <f t="shared" si="258"/>
        <v>0</v>
      </c>
    </row>
    <row r="2135" spans="1:32" ht="15" customHeight="1" x14ac:dyDescent="0.3">
      <c r="A2135">
        <v>4</v>
      </c>
      <c r="B2135" s="2" t="s">
        <v>697</v>
      </c>
      <c r="C2135" s="4" t="s">
        <v>693</v>
      </c>
      <c r="D2135" s="3" t="s">
        <v>673</v>
      </c>
      <c r="E2135" s="6" t="s">
        <v>114</v>
      </c>
      <c r="F2135" s="6" t="s">
        <v>183</v>
      </c>
      <c r="G2135" s="6" t="s">
        <v>717</v>
      </c>
      <c r="H2135" s="23">
        <v>104850</v>
      </c>
      <c r="I2135">
        <v>0</v>
      </c>
      <c r="J2135">
        <v>0</v>
      </c>
      <c r="K2135" s="20">
        <f t="shared" si="256"/>
        <v>0</v>
      </c>
      <c r="L2135">
        <v>5</v>
      </c>
      <c r="M2135">
        <v>1</v>
      </c>
      <c r="N2135" s="21">
        <f t="shared" si="257"/>
        <v>524250</v>
      </c>
      <c r="O2135">
        <v>5</v>
      </c>
      <c r="P2135">
        <v>1</v>
      </c>
      <c r="Q2135" s="21">
        <f t="shared" si="251"/>
        <v>524250</v>
      </c>
      <c r="R2135">
        <v>5</v>
      </c>
      <c r="S2135">
        <v>1</v>
      </c>
      <c r="T2135" s="21">
        <f t="shared" si="252"/>
        <v>524250</v>
      </c>
      <c r="U2135">
        <v>5</v>
      </c>
      <c r="V2135">
        <v>1</v>
      </c>
      <c r="W2135" s="21">
        <f t="shared" si="253"/>
        <v>524250</v>
      </c>
      <c r="X2135">
        <v>0</v>
      </c>
      <c r="Y2135">
        <v>0</v>
      </c>
      <c r="Z2135" s="21">
        <f t="shared" si="254"/>
        <v>0</v>
      </c>
      <c r="AA2135">
        <v>0</v>
      </c>
      <c r="AB2135">
        <v>0</v>
      </c>
      <c r="AC2135" s="21">
        <f t="shared" si="255"/>
        <v>0</v>
      </c>
      <c r="AD2135">
        <v>0</v>
      </c>
      <c r="AE2135">
        <v>0</v>
      </c>
      <c r="AF2135" s="21">
        <f t="shared" si="258"/>
        <v>0</v>
      </c>
    </row>
    <row r="2136" spans="1:32" ht="15" customHeight="1" x14ac:dyDescent="0.3">
      <c r="A2136">
        <v>4</v>
      </c>
      <c r="B2136" s="2" t="s">
        <v>697</v>
      </c>
      <c r="C2136" s="4" t="s">
        <v>693</v>
      </c>
      <c r="D2136" s="3" t="s">
        <v>673</v>
      </c>
      <c r="E2136" s="6" t="s">
        <v>114</v>
      </c>
      <c r="F2136" s="6" t="s">
        <v>183</v>
      </c>
      <c r="G2136" s="6" t="s">
        <v>709</v>
      </c>
      <c r="H2136" s="23">
        <v>28000</v>
      </c>
      <c r="I2136">
        <v>0</v>
      </c>
      <c r="J2136">
        <v>0</v>
      </c>
      <c r="K2136" s="20">
        <f t="shared" si="256"/>
        <v>0</v>
      </c>
      <c r="L2136">
        <v>50</v>
      </c>
      <c r="M2136">
        <v>1</v>
      </c>
      <c r="N2136" s="21">
        <f t="shared" si="257"/>
        <v>1400000</v>
      </c>
      <c r="O2136">
        <v>50</v>
      </c>
      <c r="P2136">
        <v>1</v>
      </c>
      <c r="Q2136" s="21">
        <f t="shared" si="251"/>
        <v>1400000</v>
      </c>
      <c r="R2136">
        <v>50</v>
      </c>
      <c r="S2136">
        <v>1</v>
      </c>
      <c r="T2136" s="21">
        <f t="shared" si="252"/>
        <v>1400000</v>
      </c>
      <c r="U2136">
        <v>50</v>
      </c>
      <c r="V2136">
        <v>1</v>
      </c>
      <c r="W2136" s="21">
        <f t="shared" si="253"/>
        <v>1400000</v>
      </c>
      <c r="X2136">
        <v>0</v>
      </c>
      <c r="Y2136">
        <v>0</v>
      </c>
      <c r="Z2136" s="21">
        <f t="shared" si="254"/>
        <v>0</v>
      </c>
      <c r="AA2136">
        <v>0</v>
      </c>
      <c r="AB2136">
        <v>0</v>
      </c>
      <c r="AC2136" s="21">
        <f t="shared" si="255"/>
        <v>0</v>
      </c>
      <c r="AD2136">
        <v>0</v>
      </c>
      <c r="AE2136">
        <v>0</v>
      </c>
      <c r="AF2136" s="21">
        <f t="shared" si="258"/>
        <v>0</v>
      </c>
    </row>
    <row r="2137" spans="1:32" ht="15" customHeight="1" x14ac:dyDescent="0.3">
      <c r="A2137">
        <v>4</v>
      </c>
      <c r="B2137" s="2" t="s">
        <v>697</v>
      </c>
      <c r="C2137" s="4" t="s">
        <v>693</v>
      </c>
      <c r="D2137" s="3" t="s">
        <v>673</v>
      </c>
      <c r="E2137" s="6" t="s">
        <v>115</v>
      </c>
      <c r="F2137" s="6" t="s">
        <v>564</v>
      </c>
      <c r="G2137" s="6" t="s">
        <v>718</v>
      </c>
      <c r="H2137" s="23">
        <v>0</v>
      </c>
      <c r="I2137">
        <v>0</v>
      </c>
      <c r="J2137">
        <v>0</v>
      </c>
      <c r="K2137" s="20">
        <f t="shared" si="256"/>
        <v>0</v>
      </c>
      <c r="L2137">
        <v>0</v>
      </c>
      <c r="M2137">
        <v>0</v>
      </c>
      <c r="N2137" s="21">
        <f t="shared" si="257"/>
        <v>0</v>
      </c>
      <c r="O2137">
        <v>0</v>
      </c>
      <c r="P2137">
        <v>0</v>
      </c>
      <c r="Q2137" s="21">
        <f t="shared" si="251"/>
        <v>0</v>
      </c>
      <c r="R2137">
        <v>0</v>
      </c>
      <c r="S2137">
        <v>0</v>
      </c>
      <c r="T2137" s="21">
        <f t="shared" si="252"/>
        <v>0</v>
      </c>
      <c r="U2137">
        <v>0</v>
      </c>
      <c r="V2137">
        <v>0</v>
      </c>
      <c r="W2137" s="21">
        <f t="shared" si="253"/>
        <v>0</v>
      </c>
      <c r="X2137">
        <v>0</v>
      </c>
      <c r="Y2137">
        <v>0</v>
      </c>
      <c r="Z2137" s="21">
        <f t="shared" si="254"/>
        <v>0</v>
      </c>
      <c r="AA2137">
        <v>0</v>
      </c>
      <c r="AB2137">
        <v>0</v>
      </c>
      <c r="AC2137" s="21">
        <f t="shared" si="255"/>
        <v>0</v>
      </c>
      <c r="AD2137">
        <v>0</v>
      </c>
      <c r="AE2137">
        <v>0</v>
      </c>
      <c r="AF2137" s="21">
        <f t="shared" si="258"/>
        <v>0</v>
      </c>
    </row>
    <row r="2138" spans="1:32" ht="15" customHeight="1" x14ac:dyDescent="0.3">
      <c r="A2138">
        <v>4</v>
      </c>
      <c r="B2138" s="2" t="s">
        <v>697</v>
      </c>
      <c r="C2138" s="4" t="s">
        <v>693</v>
      </c>
      <c r="D2138" s="3" t="s">
        <v>673</v>
      </c>
      <c r="E2138" s="6" t="s">
        <v>115</v>
      </c>
      <c r="F2138" s="6" t="s">
        <v>149</v>
      </c>
      <c r="G2138" s="6" t="s">
        <v>707</v>
      </c>
      <c r="H2138" s="23">
        <v>391991.03749999998</v>
      </c>
      <c r="I2138">
        <v>0</v>
      </c>
      <c r="J2138">
        <v>0</v>
      </c>
      <c r="K2138" s="20">
        <f t="shared" si="256"/>
        <v>0</v>
      </c>
      <c r="L2138">
        <v>0</v>
      </c>
      <c r="M2138">
        <v>0</v>
      </c>
      <c r="N2138" s="21">
        <f t="shared" si="257"/>
        <v>0</v>
      </c>
      <c r="O2138">
        <v>1</v>
      </c>
      <c r="P2138">
        <v>6</v>
      </c>
      <c r="Q2138" s="21">
        <f t="shared" si="251"/>
        <v>2351946.2249999996</v>
      </c>
      <c r="R2138">
        <v>1</v>
      </c>
      <c r="S2138">
        <v>6</v>
      </c>
      <c r="T2138" s="21">
        <f t="shared" si="252"/>
        <v>2351946.2249999996</v>
      </c>
      <c r="U2138">
        <v>0</v>
      </c>
      <c r="V2138">
        <v>0</v>
      </c>
      <c r="W2138" s="21">
        <f t="shared" si="253"/>
        <v>0</v>
      </c>
      <c r="X2138">
        <v>0</v>
      </c>
      <c r="Y2138">
        <v>0</v>
      </c>
      <c r="Z2138" s="21">
        <f t="shared" si="254"/>
        <v>0</v>
      </c>
      <c r="AA2138">
        <v>0</v>
      </c>
      <c r="AB2138">
        <v>0</v>
      </c>
      <c r="AC2138" s="21">
        <f t="shared" si="255"/>
        <v>0</v>
      </c>
      <c r="AD2138">
        <v>0</v>
      </c>
      <c r="AE2138">
        <v>0</v>
      </c>
      <c r="AF2138" s="21">
        <f t="shared" si="258"/>
        <v>0</v>
      </c>
    </row>
    <row r="2139" spans="1:32" ht="15" customHeight="1" x14ac:dyDescent="0.3">
      <c r="A2139">
        <v>4</v>
      </c>
      <c r="B2139" s="2" t="s">
        <v>697</v>
      </c>
      <c r="C2139" s="4" t="s">
        <v>693</v>
      </c>
      <c r="D2139" s="3" t="s">
        <v>673</v>
      </c>
      <c r="E2139" s="6" t="s">
        <v>115</v>
      </c>
      <c r="F2139" s="6" t="s">
        <v>149</v>
      </c>
      <c r="G2139" s="6" t="s">
        <v>708</v>
      </c>
      <c r="H2139" s="23">
        <v>425000</v>
      </c>
      <c r="I2139">
        <v>0</v>
      </c>
      <c r="J2139">
        <v>0</v>
      </c>
      <c r="K2139" s="20">
        <f t="shared" si="256"/>
        <v>0</v>
      </c>
      <c r="L2139">
        <v>0</v>
      </c>
      <c r="M2139">
        <v>0</v>
      </c>
      <c r="N2139" s="21">
        <f t="shared" si="257"/>
        <v>0</v>
      </c>
      <c r="O2139">
        <v>1</v>
      </c>
      <c r="P2139">
        <v>40</v>
      </c>
      <c r="Q2139" s="21">
        <f t="shared" si="251"/>
        <v>17000000</v>
      </c>
      <c r="R2139">
        <v>1</v>
      </c>
      <c r="S2139">
        <v>40</v>
      </c>
      <c r="T2139" s="21">
        <f t="shared" si="252"/>
        <v>17000000</v>
      </c>
      <c r="U2139">
        <v>0</v>
      </c>
      <c r="V2139">
        <v>0</v>
      </c>
      <c r="W2139" s="21">
        <f t="shared" si="253"/>
        <v>0</v>
      </c>
      <c r="X2139">
        <v>0</v>
      </c>
      <c r="Y2139">
        <v>0</v>
      </c>
      <c r="Z2139" s="21">
        <f t="shared" si="254"/>
        <v>0</v>
      </c>
      <c r="AA2139">
        <v>0</v>
      </c>
      <c r="AB2139">
        <v>0</v>
      </c>
      <c r="AC2139" s="21">
        <f t="shared" si="255"/>
        <v>0</v>
      </c>
      <c r="AD2139">
        <v>0</v>
      </c>
      <c r="AE2139">
        <v>0</v>
      </c>
      <c r="AF2139" s="21">
        <f t="shared" si="258"/>
        <v>0</v>
      </c>
    </row>
    <row r="2140" spans="1:32" ht="15" customHeight="1" x14ac:dyDescent="0.3">
      <c r="A2140">
        <v>4</v>
      </c>
      <c r="B2140" s="2" t="s">
        <v>697</v>
      </c>
      <c r="C2140" s="4" t="s">
        <v>693</v>
      </c>
      <c r="D2140" s="3" t="s">
        <v>673</v>
      </c>
      <c r="E2140" s="6" t="s">
        <v>115</v>
      </c>
      <c r="F2140" s="6" t="s">
        <v>565</v>
      </c>
      <c r="G2140" s="6" t="s">
        <v>716</v>
      </c>
      <c r="H2140" s="23">
        <v>39000</v>
      </c>
      <c r="I2140">
        <v>0</v>
      </c>
      <c r="J2140">
        <v>0</v>
      </c>
      <c r="K2140" s="20">
        <f t="shared" si="256"/>
        <v>0</v>
      </c>
      <c r="L2140">
        <v>0</v>
      </c>
      <c r="M2140">
        <v>0</v>
      </c>
      <c r="N2140" s="21">
        <f t="shared" si="257"/>
        <v>0</v>
      </c>
      <c r="O2140">
        <v>20</v>
      </c>
      <c r="P2140">
        <v>10</v>
      </c>
      <c r="Q2140" s="21">
        <f t="shared" si="251"/>
        <v>7800000</v>
      </c>
      <c r="R2140">
        <v>20</v>
      </c>
      <c r="S2140">
        <v>10</v>
      </c>
      <c r="T2140" s="21">
        <f t="shared" si="252"/>
        <v>7800000</v>
      </c>
      <c r="U2140">
        <v>0</v>
      </c>
      <c r="V2140">
        <v>0</v>
      </c>
      <c r="W2140" s="21">
        <f t="shared" si="253"/>
        <v>0</v>
      </c>
      <c r="X2140">
        <v>0</v>
      </c>
      <c r="Y2140">
        <v>0</v>
      </c>
      <c r="Z2140" s="21">
        <f t="shared" si="254"/>
        <v>0</v>
      </c>
      <c r="AA2140">
        <v>0</v>
      </c>
      <c r="AB2140">
        <v>0</v>
      </c>
      <c r="AC2140" s="21">
        <f t="shared" si="255"/>
        <v>0</v>
      </c>
      <c r="AD2140">
        <v>0</v>
      </c>
      <c r="AE2140">
        <v>0</v>
      </c>
      <c r="AF2140" s="21">
        <f t="shared" si="258"/>
        <v>0</v>
      </c>
    </row>
    <row r="2141" spans="1:32" ht="15" customHeight="1" x14ac:dyDescent="0.3">
      <c r="A2141">
        <v>4</v>
      </c>
      <c r="B2141" s="2" t="s">
        <v>697</v>
      </c>
      <c r="C2141" s="4" t="s">
        <v>693</v>
      </c>
      <c r="D2141" s="3" t="s">
        <v>673</v>
      </c>
      <c r="E2141" s="6" t="s">
        <v>115</v>
      </c>
      <c r="F2141" s="6" t="s">
        <v>565</v>
      </c>
      <c r="G2141" s="6" t="s">
        <v>709</v>
      </c>
      <c r="H2141" s="23">
        <v>28000</v>
      </c>
      <c r="I2141">
        <v>0</v>
      </c>
      <c r="J2141">
        <v>0</v>
      </c>
      <c r="K2141" s="20">
        <f t="shared" si="256"/>
        <v>0</v>
      </c>
      <c r="L2141">
        <v>0</v>
      </c>
      <c r="M2141">
        <v>0</v>
      </c>
      <c r="N2141" s="21">
        <f t="shared" si="257"/>
        <v>0</v>
      </c>
      <c r="O2141">
        <v>20</v>
      </c>
      <c r="P2141">
        <v>10</v>
      </c>
      <c r="Q2141" s="21">
        <f t="shared" si="251"/>
        <v>5600000</v>
      </c>
      <c r="R2141">
        <v>20</v>
      </c>
      <c r="S2141">
        <v>10</v>
      </c>
      <c r="T2141" s="21">
        <f t="shared" si="252"/>
        <v>5600000</v>
      </c>
      <c r="U2141">
        <v>0</v>
      </c>
      <c r="V2141">
        <v>0</v>
      </c>
      <c r="W2141" s="21">
        <f t="shared" si="253"/>
        <v>0</v>
      </c>
      <c r="X2141">
        <v>0</v>
      </c>
      <c r="Y2141">
        <v>0</v>
      </c>
      <c r="Z2141" s="21">
        <f t="shared" si="254"/>
        <v>0</v>
      </c>
      <c r="AA2141">
        <v>0</v>
      </c>
      <c r="AB2141">
        <v>0</v>
      </c>
      <c r="AC2141" s="21">
        <f t="shared" si="255"/>
        <v>0</v>
      </c>
      <c r="AD2141">
        <v>0</v>
      </c>
      <c r="AE2141">
        <v>0</v>
      </c>
      <c r="AF2141" s="21">
        <f t="shared" si="258"/>
        <v>0</v>
      </c>
    </row>
    <row r="2142" spans="1:32" ht="15" customHeight="1" x14ac:dyDescent="0.3">
      <c r="A2142">
        <v>4</v>
      </c>
      <c r="B2142" s="2" t="s">
        <v>697</v>
      </c>
      <c r="C2142" s="4" t="s">
        <v>693</v>
      </c>
      <c r="D2142" s="3" t="s">
        <v>673</v>
      </c>
      <c r="E2142" s="6" t="s">
        <v>115</v>
      </c>
      <c r="F2142" s="6" t="s">
        <v>565</v>
      </c>
      <c r="G2142" s="6" t="s">
        <v>712</v>
      </c>
      <c r="H2142" s="23">
        <v>214.29</v>
      </c>
      <c r="I2142">
        <v>0</v>
      </c>
      <c r="J2142">
        <v>0</v>
      </c>
      <c r="K2142" s="20">
        <f t="shared" si="256"/>
        <v>0</v>
      </c>
      <c r="L2142">
        <v>0</v>
      </c>
      <c r="M2142">
        <v>0</v>
      </c>
      <c r="N2142" s="21">
        <f t="shared" si="257"/>
        <v>0</v>
      </c>
      <c r="O2142">
        <v>4000</v>
      </c>
      <c r="P2142">
        <v>1</v>
      </c>
      <c r="Q2142" s="21">
        <f t="shared" si="251"/>
        <v>857160</v>
      </c>
      <c r="R2142">
        <v>4000</v>
      </c>
      <c r="S2142">
        <v>1</v>
      </c>
      <c r="T2142" s="21">
        <f t="shared" si="252"/>
        <v>857160</v>
      </c>
      <c r="U2142">
        <v>0</v>
      </c>
      <c r="V2142">
        <v>0</v>
      </c>
      <c r="W2142" s="21">
        <f t="shared" si="253"/>
        <v>0</v>
      </c>
      <c r="X2142">
        <v>0</v>
      </c>
      <c r="Y2142">
        <v>0</v>
      </c>
      <c r="Z2142" s="21">
        <f t="shared" si="254"/>
        <v>0</v>
      </c>
      <c r="AA2142">
        <v>0</v>
      </c>
      <c r="AB2142">
        <v>0</v>
      </c>
      <c r="AC2142" s="21">
        <f t="shared" si="255"/>
        <v>0</v>
      </c>
      <c r="AD2142">
        <v>0</v>
      </c>
      <c r="AE2142">
        <v>0</v>
      </c>
      <c r="AF2142" s="21">
        <f t="shared" si="258"/>
        <v>0</v>
      </c>
    </row>
    <row r="2143" spans="1:32" ht="15" customHeight="1" x14ac:dyDescent="0.3">
      <c r="A2143">
        <v>4</v>
      </c>
      <c r="B2143" s="2" t="s">
        <v>697</v>
      </c>
      <c r="C2143" s="4" t="s">
        <v>693</v>
      </c>
      <c r="D2143" s="3" t="s">
        <v>673</v>
      </c>
      <c r="E2143" s="6" t="s">
        <v>115</v>
      </c>
      <c r="F2143" s="6" t="s">
        <v>559</v>
      </c>
      <c r="G2143" s="6" t="s">
        <v>718</v>
      </c>
      <c r="H2143" s="23">
        <v>0</v>
      </c>
      <c r="I2143">
        <v>0</v>
      </c>
      <c r="J2143">
        <v>0</v>
      </c>
      <c r="K2143" s="20">
        <f t="shared" si="256"/>
        <v>0</v>
      </c>
      <c r="L2143">
        <v>0</v>
      </c>
      <c r="M2143">
        <v>0</v>
      </c>
      <c r="N2143" s="21">
        <f t="shared" si="257"/>
        <v>0</v>
      </c>
      <c r="O2143">
        <v>0</v>
      </c>
      <c r="P2143">
        <v>0</v>
      </c>
      <c r="Q2143" s="21">
        <f t="shared" si="251"/>
        <v>0</v>
      </c>
      <c r="R2143">
        <v>0</v>
      </c>
      <c r="S2143">
        <v>0</v>
      </c>
      <c r="T2143" s="21">
        <f t="shared" si="252"/>
        <v>0</v>
      </c>
      <c r="U2143">
        <v>0</v>
      </c>
      <c r="V2143">
        <v>0</v>
      </c>
      <c r="W2143" s="21">
        <f t="shared" si="253"/>
        <v>0</v>
      </c>
      <c r="X2143">
        <v>0</v>
      </c>
      <c r="Y2143">
        <v>0</v>
      </c>
      <c r="Z2143" s="21">
        <f t="shared" si="254"/>
        <v>0</v>
      </c>
      <c r="AA2143">
        <v>0</v>
      </c>
      <c r="AB2143">
        <v>0</v>
      </c>
      <c r="AC2143" s="21">
        <f t="shared" si="255"/>
        <v>0</v>
      </c>
      <c r="AD2143">
        <v>0</v>
      </c>
      <c r="AE2143">
        <v>0</v>
      </c>
      <c r="AF2143" s="21">
        <f t="shared" si="258"/>
        <v>0</v>
      </c>
    </row>
    <row r="2144" spans="1:32" ht="15" customHeight="1" x14ac:dyDescent="0.3">
      <c r="A2144">
        <v>4</v>
      </c>
      <c r="B2144" s="2" t="s">
        <v>697</v>
      </c>
      <c r="C2144" s="4" t="s">
        <v>693</v>
      </c>
      <c r="D2144" s="3" t="s">
        <v>673</v>
      </c>
      <c r="E2144" s="6" t="s">
        <v>116</v>
      </c>
      <c r="F2144" s="6" t="s">
        <v>549</v>
      </c>
      <c r="G2144" s="6" t="s">
        <v>718</v>
      </c>
      <c r="H2144" s="23">
        <v>0</v>
      </c>
      <c r="I2144">
        <v>0</v>
      </c>
      <c r="J2144">
        <v>0</v>
      </c>
      <c r="K2144" s="20">
        <f t="shared" si="256"/>
        <v>0</v>
      </c>
      <c r="L2144">
        <v>0</v>
      </c>
      <c r="M2144">
        <v>0</v>
      </c>
      <c r="N2144" s="21">
        <f t="shared" si="257"/>
        <v>0</v>
      </c>
      <c r="O2144">
        <v>0</v>
      </c>
      <c r="P2144">
        <v>0</v>
      </c>
      <c r="Q2144" s="21">
        <f t="shared" si="251"/>
        <v>0</v>
      </c>
      <c r="R2144">
        <v>0</v>
      </c>
      <c r="S2144">
        <v>0</v>
      </c>
      <c r="T2144" s="21">
        <f t="shared" si="252"/>
        <v>0</v>
      </c>
      <c r="U2144">
        <v>0</v>
      </c>
      <c r="V2144">
        <v>0</v>
      </c>
      <c r="W2144" s="21">
        <f t="shared" si="253"/>
        <v>0</v>
      </c>
      <c r="X2144">
        <v>0</v>
      </c>
      <c r="Y2144">
        <v>0</v>
      </c>
      <c r="Z2144" s="21">
        <f t="shared" si="254"/>
        <v>0</v>
      </c>
      <c r="AA2144">
        <v>0</v>
      </c>
      <c r="AB2144">
        <v>0</v>
      </c>
      <c r="AC2144" s="21">
        <f t="shared" si="255"/>
        <v>0</v>
      </c>
      <c r="AD2144">
        <v>0</v>
      </c>
      <c r="AE2144">
        <v>0</v>
      </c>
      <c r="AF2144" s="21">
        <f t="shared" si="258"/>
        <v>0</v>
      </c>
    </row>
    <row r="2145" spans="1:32" ht="15" customHeight="1" x14ac:dyDescent="0.3">
      <c r="A2145">
        <v>4</v>
      </c>
      <c r="B2145" s="2" t="s">
        <v>697</v>
      </c>
      <c r="C2145" s="4" t="s">
        <v>693</v>
      </c>
      <c r="D2145" s="3" t="s">
        <v>673</v>
      </c>
      <c r="E2145" s="6" t="s">
        <v>116</v>
      </c>
      <c r="F2145" s="6" t="s">
        <v>560</v>
      </c>
      <c r="G2145" s="6" t="s">
        <v>713</v>
      </c>
      <c r="H2145" s="23">
        <v>45000</v>
      </c>
      <c r="I2145">
        <v>0</v>
      </c>
      <c r="J2145">
        <v>0</v>
      </c>
      <c r="K2145" s="20">
        <f t="shared" si="256"/>
        <v>0</v>
      </c>
      <c r="L2145">
        <v>0</v>
      </c>
      <c r="M2145">
        <v>0</v>
      </c>
      <c r="N2145" s="21">
        <f t="shared" si="257"/>
        <v>0</v>
      </c>
      <c r="O2145">
        <v>15</v>
      </c>
      <c r="P2145">
        <v>1</v>
      </c>
      <c r="Q2145" s="21">
        <f t="shared" si="251"/>
        <v>675000</v>
      </c>
      <c r="R2145">
        <v>15</v>
      </c>
      <c r="S2145">
        <v>1</v>
      </c>
      <c r="T2145" s="21">
        <f t="shared" si="252"/>
        <v>675000</v>
      </c>
      <c r="U2145">
        <v>15</v>
      </c>
      <c r="V2145">
        <v>1</v>
      </c>
      <c r="W2145" s="21">
        <f t="shared" si="253"/>
        <v>675000</v>
      </c>
      <c r="X2145">
        <v>0</v>
      </c>
      <c r="Y2145">
        <v>0</v>
      </c>
      <c r="Z2145" s="21">
        <f t="shared" si="254"/>
        <v>0</v>
      </c>
      <c r="AA2145">
        <v>0</v>
      </c>
      <c r="AB2145">
        <v>0</v>
      </c>
      <c r="AC2145" s="21">
        <f t="shared" si="255"/>
        <v>0</v>
      </c>
      <c r="AD2145">
        <v>0</v>
      </c>
      <c r="AE2145">
        <v>0</v>
      </c>
      <c r="AF2145" s="21">
        <f t="shared" si="258"/>
        <v>0</v>
      </c>
    </row>
    <row r="2146" spans="1:32" ht="15" customHeight="1" x14ac:dyDescent="0.3">
      <c r="A2146">
        <v>4</v>
      </c>
      <c r="B2146" s="2" t="s">
        <v>697</v>
      </c>
      <c r="C2146" s="4" t="s">
        <v>693</v>
      </c>
      <c r="D2146" s="3" t="s">
        <v>673</v>
      </c>
      <c r="E2146" s="6" t="s">
        <v>116</v>
      </c>
      <c r="F2146" s="6" t="s">
        <v>560</v>
      </c>
      <c r="G2146" s="6" t="s">
        <v>712</v>
      </c>
      <c r="H2146" s="23">
        <v>214.29</v>
      </c>
      <c r="I2146">
        <v>0</v>
      </c>
      <c r="J2146">
        <v>0</v>
      </c>
      <c r="K2146" s="20">
        <f t="shared" si="256"/>
        <v>0</v>
      </c>
      <c r="L2146">
        <v>0</v>
      </c>
      <c r="M2146">
        <v>0</v>
      </c>
      <c r="N2146" s="21">
        <f t="shared" si="257"/>
        <v>0</v>
      </c>
      <c r="O2146">
        <v>4000</v>
      </c>
      <c r="P2146">
        <v>1</v>
      </c>
      <c r="Q2146" s="21">
        <f t="shared" si="251"/>
        <v>857160</v>
      </c>
      <c r="R2146">
        <v>4000</v>
      </c>
      <c r="S2146">
        <v>1</v>
      </c>
      <c r="T2146" s="21">
        <f t="shared" si="252"/>
        <v>857160</v>
      </c>
      <c r="U2146">
        <v>4000</v>
      </c>
      <c r="V2146">
        <v>1</v>
      </c>
      <c r="W2146" s="21">
        <f t="shared" si="253"/>
        <v>857160</v>
      </c>
      <c r="X2146">
        <v>0</v>
      </c>
      <c r="Y2146">
        <v>0</v>
      </c>
      <c r="Z2146" s="21">
        <f t="shared" si="254"/>
        <v>0</v>
      </c>
      <c r="AA2146">
        <v>0</v>
      </c>
      <c r="AB2146">
        <v>0</v>
      </c>
      <c r="AC2146" s="21">
        <f t="shared" si="255"/>
        <v>0</v>
      </c>
      <c r="AD2146">
        <v>0</v>
      </c>
      <c r="AE2146">
        <v>0</v>
      </c>
      <c r="AF2146" s="21">
        <f t="shared" si="258"/>
        <v>0</v>
      </c>
    </row>
    <row r="2147" spans="1:32" ht="15" customHeight="1" x14ac:dyDescent="0.3">
      <c r="A2147">
        <v>4</v>
      </c>
      <c r="B2147" s="2" t="s">
        <v>697</v>
      </c>
      <c r="C2147" s="4" t="s">
        <v>693</v>
      </c>
      <c r="D2147" s="3" t="s">
        <v>673</v>
      </c>
      <c r="E2147" s="6" t="s">
        <v>116</v>
      </c>
      <c r="F2147" s="6" t="s">
        <v>151</v>
      </c>
      <c r="G2147" s="6" t="s">
        <v>713</v>
      </c>
      <c r="H2147" s="23">
        <v>45000</v>
      </c>
      <c r="I2147">
        <v>0</v>
      </c>
      <c r="J2147">
        <v>0</v>
      </c>
      <c r="K2147" s="20">
        <f t="shared" si="256"/>
        <v>0</v>
      </c>
      <c r="L2147">
        <v>0</v>
      </c>
      <c r="M2147">
        <v>0</v>
      </c>
      <c r="N2147" s="21">
        <f t="shared" si="257"/>
        <v>0</v>
      </c>
      <c r="O2147">
        <v>15</v>
      </c>
      <c r="P2147">
        <v>10</v>
      </c>
      <c r="Q2147" s="21">
        <f t="shared" si="251"/>
        <v>6750000</v>
      </c>
      <c r="R2147">
        <v>15</v>
      </c>
      <c r="S2147">
        <v>10</v>
      </c>
      <c r="T2147" s="21">
        <f t="shared" si="252"/>
        <v>6750000</v>
      </c>
      <c r="U2147">
        <v>15</v>
      </c>
      <c r="V2147">
        <v>10</v>
      </c>
      <c r="W2147" s="21">
        <f t="shared" si="253"/>
        <v>6750000</v>
      </c>
      <c r="X2147">
        <v>0</v>
      </c>
      <c r="Y2147">
        <v>0</v>
      </c>
      <c r="Z2147" s="21">
        <f t="shared" si="254"/>
        <v>0</v>
      </c>
      <c r="AA2147">
        <v>0</v>
      </c>
      <c r="AB2147">
        <v>0</v>
      </c>
      <c r="AC2147" s="21">
        <f t="shared" si="255"/>
        <v>0</v>
      </c>
      <c r="AD2147">
        <v>0</v>
      </c>
      <c r="AE2147">
        <v>0</v>
      </c>
      <c r="AF2147" s="21">
        <f t="shared" si="258"/>
        <v>0</v>
      </c>
    </row>
    <row r="2148" spans="1:32" ht="15" customHeight="1" x14ac:dyDescent="0.3">
      <c r="A2148">
        <v>4</v>
      </c>
      <c r="B2148" s="2" t="s">
        <v>697</v>
      </c>
      <c r="C2148" s="4" t="s">
        <v>693</v>
      </c>
      <c r="D2148" s="3" t="s">
        <v>673</v>
      </c>
      <c r="E2148" s="6" t="s">
        <v>116</v>
      </c>
      <c r="F2148" s="6" t="s">
        <v>151</v>
      </c>
      <c r="G2148" s="6" t="s">
        <v>712</v>
      </c>
      <c r="H2148" s="23">
        <v>214.29</v>
      </c>
      <c r="I2148">
        <v>0</v>
      </c>
      <c r="J2148">
        <v>0</v>
      </c>
      <c r="K2148" s="20">
        <f t="shared" si="256"/>
        <v>0</v>
      </c>
      <c r="L2148">
        <v>0</v>
      </c>
      <c r="M2148">
        <v>0</v>
      </c>
      <c r="N2148" s="21">
        <f t="shared" si="257"/>
        <v>0</v>
      </c>
      <c r="O2148">
        <v>20000</v>
      </c>
      <c r="P2148">
        <v>1</v>
      </c>
      <c r="Q2148" s="21">
        <f t="shared" si="251"/>
        <v>4285800</v>
      </c>
      <c r="R2148">
        <v>20000</v>
      </c>
      <c r="S2148">
        <v>1</v>
      </c>
      <c r="T2148" s="21">
        <f t="shared" si="252"/>
        <v>4285800</v>
      </c>
      <c r="U2148">
        <v>20000</v>
      </c>
      <c r="V2148">
        <v>1</v>
      </c>
      <c r="W2148" s="21">
        <f t="shared" si="253"/>
        <v>4285800</v>
      </c>
      <c r="X2148">
        <v>0</v>
      </c>
      <c r="Y2148">
        <v>0</v>
      </c>
      <c r="Z2148" s="21">
        <f t="shared" si="254"/>
        <v>0</v>
      </c>
      <c r="AA2148">
        <v>0</v>
      </c>
      <c r="AB2148">
        <v>0</v>
      </c>
      <c r="AC2148" s="21">
        <f t="shared" si="255"/>
        <v>0</v>
      </c>
      <c r="AD2148">
        <v>0</v>
      </c>
      <c r="AE2148">
        <v>0</v>
      </c>
      <c r="AF2148" s="21">
        <f t="shared" si="258"/>
        <v>0</v>
      </c>
    </row>
    <row r="2149" spans="1:32" ht="15" customHeight="1" x14ac:dyDescent="0.3">
      <c r="A2149">
        <v>4</v>
      </c>
      <c r="B2149" s="2" t="s">
        <v>697</v>
      </c>
      <c r="C2149" s="4" t="s">
        <v>693</v>
      </c>
      <c r="D2149" s="3" t="s">
        <v>673</v>
      </c>
      <c r="E2149" s="6" t="s">
        <v>116</v>
      </c>
      <c r="F2149" s="6" t="s">
        <v>151</v>
      </c>
      <c r="G2149" s="6" t="s">
        <v>714</v>
      </c>
      <c r="H2149" s="23">
        <v>10000</v>
      </c>
      <c r="I2149">
        <v>0</v>
      </c>
      <c r="J2149">
        <v>0</v>
      </c>
      <c r="K2149" s="20">
        <f t="shared" si="256"/>
        <v>0</v>
      </c>
      <c r="L2149">
        <v>0</v>
      </c>
      <c r="M2149">
        <v>0</v>
      </c>
      <c r="N2149" s="21">
        <f t="shared" si="257"/>
        <v>0</v>
      </c>
      <c r="O2149">
        <v>15</v>
      </c>
      <c r="P2149">
        <v>1</v>
      </c>
      <c r="Q2149" s="21">
        <f t="shared" si="251"/>
        <v>150000</v>
      </c>
      <c r="R2149">
        <v>15</v>
      </c>
      <c r="S2149">
        <v>1</v>
      </c>
      <c r="T2149" s="21">
        <f t="shared" si="252"/>
        <v>150000</v>
      </c>
      <c r="U2149">
        <v>15</v>
      </c>
      <c r="V2149">
        <v>1</v>
      </c>
      <c r="W2149" s="21">
        <f t="shared" si="253"/>
        <v>150000</v>
      </c>
      <c r="X2149">
        <v>0</v>
      </c>
      <c r="Y2149">
        <v>0</v>
      </c>
      <c r="Z2149" s="21">
        <f t="shared" si="254"/>
        <v>0</v>
      </c>
      <c r="AA2149">
        <v>0</v>
      </c>
      <c r="AB2149">
        <v>0</v>
      </c>
      <c r="AC2149" s="21">
        <f t="shared" si="255"/>
        <v>0</v>
      </c>
      <c r="AD2149">
        <v>0</v>
      </c>
      <c r="AE2149">
        <v>0</v>
      </c>
      <c r="AF2149" s="21">
        <f t="shared" si="258"/>
        <v>0</v>
      </c>
    </row>
    <row r="2150" spans="1:32" ht="15" customHeight="1" x14ac:dyDescent="0.3">
      <c r="A2150">
        <v>4</v>
      </c>
      <c r="B2150" s="2" t="s">
        <v>697</v>
      </c>
      <c r="C2150" s="4" t="s">
        <v>693</v>
      </c>
      <c r="D2150" s="3" t="s">
        <v>673</v>
      </c>
      <c r="E2150" s="6" t="s">
        <v>116</v>
      </c>
      <c r="F2150" s="6" t="s">
        <v>152</v>
      </c>
      <c r="G2150" s="6" t="s">
        <v>716</v>
      </c>
      <c r="H2150" s="23">
        <v>39000</v>
      </c>
      <c r="I2150">
        <v>0</v>
      </c>
      <c r="J2150">
        <v>0</v>
      </c>
      <c r="K2150" s="20">
        <f t="shared" si="256"/>
        <v>0</v>
      </c>
      <c r="L2150">
        <v>0</v>
      </c>
      <c r="M2150">
        <v>0</v>
      </c>
      <c r="N2150" s="21">
        <f t="shared" si="257"/>
        <v>0</v>
      </c>
      <c r="O2150">
        <v>15</v>
      </c>
      <c r="P2150">
        <v>5</v>
      </c>
      <c r="Q2150" s="21">
        <f t="shared" si="251"/>
        <v>2925000</v>
      </c>
      <c r="R2150">
        <v>15</v>
      </c>
      <c r="S2150">
        <v>5</v>
      </c>
      <c r="T2150" s="21">
        <f t="shared" si="252"/>
        <v>2925000</v>
      </c>
      <c r="U2150">
        <v>15</v>
      </c>
      <c r="V2150">
        <v>5</v>
      </c>
      <c r="W2150" s="21">
        <f t="shared" si="253"/>
        <v>2925000</v>
      </c>
      <c r="X2150">
        <v>0</v>
      </c>
      <c r="Y2150">
        <v>0</v>
      </c>
      <c r="Z2150" s="21">
        <f t="shared" si="254"/>
        <v>0</v>
      </c>
      <c r="AA2150">
        <v>0</v>
      </c>
      <c r="AB2150">
        <v>0</v>
      </c>
      <c r="AC2150" s="21">
        <f t="shared" si="255"/>
        <v>0</v>
      </c>
      <c r="AD2150">
        <v>0</v>
      </c>
      <c r="AE2150">
        <v>0</v>
      </c>
      <c r="AF2150" s="21">
        <f t="shared" si="258"/>
        <v>0</v>
      </c>
    </row>
    <row r="2151" spans="1:32" ht="15" customHeight="1" x14ac:dyDescent="0.3">
      <c r="A2151">
        <v>4</v>
      </c>
      <c r="B2151" s="2" t="s">
        <v>697</v>
      </c>
      <c r="C2151" s="4" t="s">
        <v>693</v>
      </c>
      <c r="D2151" s="3" t="s">
        <v>673</v>
      </c>
      <c r="E2151" s="6" t="s">
        <v>116</v>
      </c>
      <c r="F2151" s="6" t="s">
        <v>152</v>
      </c>
      <c r="G2151" s="6" t="s">
        <v>709</v>
      </c>
      <c r="H2151" s="23">
        <v>28000</v>
      </c>
      <c r="I2151">
        <v>0</v>
      </c>
      <c r="J2151">
        <v>0</v>
      </c>
      <c r="K2151" s="20">
        <f t="shared" si="256"/>
        <v>0</v>
      </c>
      <c r="L2151">
        <v>0</v>
      </c>
      <c r="M2151">
        <v>0</v>
      </c>
      <c r="N2151" s="21">
        <f t="shared" si="257"/>
        <v>0</v>
      </c>
      <c r="O2151">
        <v>15</v>
      </c>
      <c r="P2151">
        <v>5</v>
      </c>
      <c r="Q2151" s="21">
        <f t="shared" si="251"/>
        <v>2100000</v>
      </c>
      <c r="R2151">
        <v>15</v>
      </c>
      <c r="S2151">
        <v>5</v>
      </c>
      <c r="T2151" s="21">
        <f t="shared" si="252"/>
        <v>2100000</v>
      </c>
      <c r="U2151">
        <v>15</v>
      </c>
      <c r="V2151">
        <v>5</v>
      </c>
      <c r="W2151" s="21">
        <f t="shared" si="253"/>
        <v>2100000</v>
      </c>
      <c r="X2151">
        <v>0</v>
      </c>
      <c r="Y2151">
        <v>0</v>
      </c>
      <c r="Z2151" s="21">
        <f t="shared" si="254"/>
        <v>0</v>
      </c>
      <c r="AA2151">
        <v>0</v>
      </c>
      <c r="AB2151">
        <v>0</v>
      </c>
      <c r="AC2151" s="21">
        <f t="shared" si="255"/>
        <v>0</v>
      </c>
      <c r="AD2151">
        <v>0</v>
      </c>
      <c r="AE2151">
        <v>0</v>
      </c>
      <c r="AF2151" s="21">
        <f t="shared" si="258"/>
        <v>0</v>
      </c>
    </row>
    <row r="2152" spans="1:32" ht="15" customHeight="1" x14ac:dyDescent="0.3">
      <c r="A2152">
        <v>4</v>
      </c>
      <c r="B2152" s="2" t="s">
        <v>697</v>
      </c>
      <c r="C2152" s="4" t="s">
        <v>693</v>
      </c>
      <c r="D2152" s="3" t="s">
        <v>673</v>
      </c>
      <c r="E2152" s="6" t="s">
        <v>116</v>
      </c>
      <c r="F2152" s="6" t="s">
        <v>152</v>
      </c>
      <c r="G2152" s="6" t="s">
        <v>712</v>
      </c>
      <c r="H2152" s="23">
        <v>214.29</v>
      </c>
      <c r="I2152">
        <v>0</v>
      </c>
      <c r="J2152">
        <v>0</v>
      </c>
      <c r="K2152" s="20">
        <f t="shared" si="256"/>
        <v>0</v>
      </c>
      <c r="L2152">
        <v>0</v>
      </c>
      <c r="M2152">
        <v>0</v>
      </c>
      <c r="N2152" s="21">
        <f t="shared" si="257"/>
        <v>0</v>
      </c>
      <c r="O2152">
        <v>4000</v>
      </c>
      <c r="P2152">
        <v>1</v>
      </c>
      <c r="Q2152" s="21">
        <f t="shared" si="251"/>
        <v>857160</v>
      </c>
      <c r="R2152">
        <v>4000</v>
      </c>
      <c r="S2152">
        <v>1</v>
      </c>
      <c r="T2152" s="21">
        <f t="shared" si="252"/>
        <v>857160</v>
      </c>
      <c r="U2152">
        <v>4000</v>
      </c>
      <c r="V2152">
        <v>1</v>
      </c>
      <c r="W2152" s="21">
        <f t="shared" si="253"/>
        <v>857160</v>
      </c>
      <c r="X2152">
        <v>0</v>
      </c>
      <c r="Y2152">
        <v>0</v>
      </c>
      <c r="Z2152" s="21">
        <f t="shared" si="254"/>
        <v>0</v>
      </c>
      <c r="AA2152">
        <v>0</v>
      </c>
      <c r="AB2152">
        <v>0</v>
      </c>
      <c r="AC2152" s="21">
        <f t="shared" si="255"/>
        <v>0</v>
      </c>
      <c r="AD2152">
        <v>0</v>
      </c>
      <c r="AE2152">
        <v>0</v>
      </c>
      <c r="AF2152" s="21">
        <f t="shared" si="258"/>
        <v>0</v>
      </c>
    </row>
    <row r="2153" spans="1:32" ht="15" customHeight="1" x14ac:dyDescent="0.3">
      <c r="A2153">
        <v>4</v>
      </c>
      <c r="B2153" s="2" t="s">
        <v>697</v>
      </c>
      <c r="C2153" s="4" t="s">
        <v>693</v>
      </c>
      <c r="D2153" s="3" t="s">
        <v>673</v>
      </c>
      <c r="E2153" s="6" t="s">
        <v>116</v>
      </c>
      <c r="F2153" s="6" t="s">
        <v>180</v>
      </c>
      <c r="G2153" s="6" t="s">
        <v>716</v>
      </c>
      <c r="H2153" s="23">
        <v>39000</v>
      </c>
      <c r="I2153">
        <v>0</v>
      </c>
      <c r="J2153">
        <v>0</v>
      </c>
      <c r="K2153" s="20">
        <f t="shared" si="256"/>
        <v>0</v>
      </c>
      <c r="L2153">
        <v>0</v>
      </c>
      <c r="M2153">
        <v>0</v>
      </c>
      <c r="N2153" s="21">
        <f t="shared" si="257"/>
        <v>0</v>
      </c>
      <c r="O2153">
        <v>15</v>
      </c>
      <c r="P2153">
        <v>5</v>
      </c>
      <c r="Q2153" s="21">
        <f t="shared" si="251"/>
        <v>2925000</v>
      </c>
      <c r="R2153">
        <v>15</v>
      </c>
      <c r="S2153">
        <v>5</v>
      </c>
      <c r="T2153" s="21">
        <f t="shared" si="252"/>
        <v>2925000</v>
      </c>
      <c r="U2153">
        <v>15</v>
      </c>
      <c r="V2153">
        <v>5</v>
      </c>
      <c r="W2153" s="21">
        <f t="shared" si="253"/>
        <v>2925000</v>
      </c>
      <c r="X2153">
        <v>0</v>
      </c>
      <c r="Y2153">
        <v>0</v>
      </c>
      <c r="Z2153" s="21">
        <f t="shared" si="254"/>
        <v>0</v>
      </c>
      <c r="AA2153">
        <v>0</v>
      </c>
      <c r="AB2153">
        <v>0</v>
      </c>
      <c r="AC2153" s="21">
        <f t="shared" si="255"/>
        <v>0</v>
      </c>
      <c r="AD2153">
        <v>0</v>
      </c>
      <c r="AE2153">
        <v>0</v>
      </c>
      <c r="AF2153" s="21">
        <f t="shared" si="258"/>
        <v>0</v>
      </c>
    </row>
    <row r="2154" spans="1:32" ht="15" customHeight="1" x14ac:dyDescent="0.3">
      <c r="A2154">
        <v>4</v>
      </c>
      <c r="B2154" s="2" t="s">
        <v>697</v>
      </c>
      <c r="C2154" s="4" t="s">
        <v>693</v>
      </c>
      <c r="D2154" s="3" t="s">
        <v>673</v>
      </c>
      <c r="E2154" s="6" t="s">
        <v>116</v>
      </c>
      <c r="F2154" s="6" t="s">
        <v>180</v>
      </c>
      <c r="G2154" s="6" t="s">
        <v>709</v>
      </c>
      <c r="H2154" s="23">
        <v>28000</v>
      </c>
      <c r="I2154">
        <v>0</v>
      </c>
      <c r="J2154">
        <v>0</v>
      </c>
      <c r="K2154" s="20">
        <f t="shared" si="256"/>
        <v>0</v>
      </c>
      <c r="L2154">
        <v>0</v>
      </c>
      <c r="M2154">
        <v>0</v>
      </c>
      <c r="N2154" s="21">
        <f t="shared" si="257"/>
        <v>0</v>
      </c>
      <c r="O2154">
        <v>15</v>
      </c>
      <c r="P2154">
        <v>5</v>
      </c>
      <c r="Q2154" s="21">
        <f t="shared" si="251"/>
        <v>2100000</v>
      </c>
      <c r="R2154">
        <v>15</v>
      </c>
      <c r="S2154">
        <v>5</v>
      </c>
      <c r="T2154" s="21">
        <f t="shared" si="252"/>
        <v>2100000</v>
      </c>
      <c r="U2154">
        <v>15</v>
      </c>
      <c r="V2154">
        <v>5</v>
      </c>
      <c r="W2154" s="21">
        <f t="shared" si="253"/>
        <v>2100000</v>
      </c>
      <c r="X2154">
        <v>0</v>
      </c>
      <c r="Y2154">
        <v>0</v>
      </c>
      <c r="Z2154" s="21">
        <f t="shared" si="254"/>
        <v>0</v>
      </c>
      <c r="AA2154">
        <v>0</v>
      </c>
      <c r="AB2154">
        <v>0</v>
      </c>
      <c r="AC2154" s="21">
        <f t="shared" si="255"/>
        <v>0</v>
      </c>
      <c r="AD2154">
        <v>0</v>
      </c>
      <c r="AE2154">
        <v>0</v>
      </c>
      <c r="AF2154" s="21">
        <f t="shared" si="258"/>
        <v>0</v>
      </c>
    </row>
    <row r="2155" spans="1:32" ht="15" customHeight="1" x14ac:dyDescent="0.3">
      <c r="A2155">
        <v>4</v>
      </c>
      <c r="B2155" s="2" t="s">
        <v>697</v>
      </c>
      <c r="C2155" s="4" t="s">
        <v>693</v>
      </c>
      <c r="D2155" s="3" t="s">
        <v>673</v>
      </c>
      <c r="E2155" s="6" t="s">
        <v>116</v>
      </c>
      <c r="F2155" s="6" t="s">
        <v>180</v>
      </c>
      <c r="G2155" s="6" t="s">
        <v>712</v>
      </c>
      <c r="H2155" s="23">
        <v>214.29</v>
      </c>
      <c r="I2155">
        <v>0</v>
      </c>
      <c r="J2155">
        <v>0</v>
      </c>
      <c r="K2155" s="20">
        <f t="shared" si="256"/>
        <v>0</v>
      </c>
      <c r="L2155">
        <v>0</v>
      </c>
      <c r="M2155">
        <v>0</v>
      </c>
      <c r="N2155" s="21">
        <f t="shared" si="257"/>
        <v>0</v>
      </c>
      <c r="O2155">
        <v>4000</v>
      </c>
      <c r="P2155">
        <v>1</v>
      </c>
      <c r="Q2155" s="21">
        <f t="shared" si="251"/>
        <v>857160</v>
      </c>
      <c r="R2155">
        <v>4000</v>
      </c>
      <c r="S2155">
        <v>1</v>
      </c>
      <c r="T2155" s="21">
        <f t="shared" si="252"/>
        <v>857160</v>
      </c>
      <c r="U2155">
        <v>4000</v>
      </c>
      <c r="V2155">
        <v>1</v>
      </c>
      <c r="W2155" s="21">
        <f t="shared" si="253"/>
        <v>857160</v>
      </c>
      <c r="X2155">
        <v>0</v>
      </c>
      <c r="Y2155">
        <v>0</v>
      </c>
      <c r="Z2155" s="21">
        <f t="shared" si="254"/>
        <v>0</v>
      </c>
      <c r="AA2155">
        <v>0</v>
      </c>
      <c r="AB2155">
        <v>0</v>
      </c>
      <c r="AC2155" s="21">
        <f t="shared" si="255"/>
        <v>0</v>
      </c>
      <c r="AD2155">
        <v>0</v>
      </c>
      <c r="AE2155">
        <v>0</v>
      </c>
      <c r="AF2155" s="21">
        <f t="shared" si="258"/>
        <v>0</v>
      </c>
    </row>
    <row r="2156" spans="1:32" ht="15" customHeight="1" x14ac:dyDescent="0.3">
      <c r="A2156">
        <v>4</v>
      </c>
      <c r="B2156" s="2" t="s">
        <v>697</v>
      </c>
      <c r="C2156" s="4" t="s">
        <v>693</v>
      </c>
      <c r="D2156" s="3" t="s">
        <v>673</v>
      </c>
      <c r="E2156" s="6" t="s">
        <v>116</v>
      </c>
      <c r="F2156" s="6" t="s">
        <v>175</v>
      </c>
      <c r="G2156" s="6" t="s">
        <v>709</v>
      </c>
      <c r="H2156" s="23">
        <v>28000</v>
      </c>
      <c r="I2156">
        <v>0</v>
      </c>
      <c r="J2156">
        <v>0</v>
      </c>
      <c r="K2156" s="20">
        <f t="shared" si="256"/>
        <v>0</v>
      </c>
      <c r="L2156">
        <v>0</v>
      </c>
      <c r="M2156">
        <v>0</v>
      </c>
      <c r="N2156" s="21">
        <f t="shared" si="257"/>
        <v>0</v>
      </c>
      <c r="O2156">
        <v>30</v>
      </c>
      <c r="P2156">
        <v>1</v>
      </c>
      <c r="Q2156" s="21">
        <f t="shared" si="251"/>
        <v>840000</v>
      </c>
      <c r="R2156">
        <v>30</v>
      </c>
      <c r="S2156">
        <v>1</v>
      </c>
      <c r="T2156" s="21">
        <f t="shared" si="252"/>
        <v>840000</v>
      </c>
      <c r="U2156">
        <v>30</v>
      </c>
      <c r="V2156">
        <v>1</v>
      </c>
      <c r="W2156" s="21">
        <f t="shared" si="253"/>
        <v>840000</v>
      </c>
      <c r="X2156">
        <v>0</v>
      </c>
      <c r="Y2156">
        <v>0</v>
      </c>
      <c r="Z2156" s="21">
        <f t="shared" si="254"/>
        <v>0</v>
      </c>
      <c r="AA2156">
        <v>0</v>
      </c>
      <c r="AB2156">
        <v>0</v>
      </c>
      <c r="AC2156" s="21">
        <f t="shared" si="255"/>
        <v>0</v>
      </c>
      <c r="AD2156">
        <v>0</v>
      </c>
      <c r="AE2156">
        <v>0</v>
      </c>
      <c r="AF2156" s="21">
        <f t="shared" si="258"/>
        <v>0</v>
      </c>
    </row>
    <row r="2157" spans="1:32" ht="15" customHeight="1" x14ac:dyDescent="0.3">
      <c r="A2157">
        <v>4</v>
      </c>
      <c r="B2157" s="2" t="s">
        <v>697</v>
      </c>
      <c r="C2157" s="4" t="s">
        <v>693</v>
      </c>
      <c r="D2157" s="3" t="s">
        <v>673</v>
      </c>
      <c r="E2157" s="6" t="s">
        <v>116</v>
      </c>
      <c r="F2157" s="6" t="s">
        <v>566</v>
      </c>
      <c r="G2157" s="6" t="s">
        <v>709</v>
      </c>
      <c r="H2157" s="23">
        <v>28000</v>
      </c>
      <c r="I2157">
        <v>0</v>
      </c>
      <c r="J2157">
        <v>0</v>
      </c>
      <c r="K2157" s="20">
        <f t="shared" si="256"/>
        <v>0</v>
      </c>
      <c r="L2157">
        <v>0</v>
      </c>
      <c r="M2157">
        <v>0</v>
      </c>
      <c r="N2157" s="21">
        <f t="shared" si="257"/>
        <v>0</v>
      </c>
      <c r="O2157">
        <v>30</v>
      </c>
      <c r="P2157">
        <v>1</v>
      </c>
      <c r="Q2157" s="21">
        <f t="shared" si="251"/>
        <v>840000</v>
      </c>
      <c r="R2157">
        <v>30</v>
      </c>
      <c r="S2157">
        <v>1</v>
      </c>
      <c r="T2157" s="21">
        <f t="shared" si="252"/>
        <v>840000</v>
      </c>
      <c r="U2157">
        <v>30</v>
      </c>
      <c r="V2157">
        <v>1</v>
      </c>
      <c r="W2157" s="21">
        <f t="shared" si="253"/>
        <v>840000</v>
      </c>
      <c r="X2157">
        <v>0</v>
      </c>
      <c r="Y2157">
        <v>0</v>
      </c>
      <c r="Z2157" s="21">
        <f t="shared" si="254"/>
        <v>0</v>
      </c>
      <c r="AA2157">
        <v>0</v>
      </c>
      <c r="AB2157">
        <v>0</v>
      </c>
      <c r="AC2157" s="21">
        <f t="shared" si="255"/>
        <v>0</v>
      </c>
      <c r="AD2157">
        <v>0</v>
      </c>
      <c r="AE2157">
        <v>0</v>
      </c>
      <c r="AF2157" s="21">
        <f t="shared" si="258"/>
        <v>0</v>
      </c>
    </row>
    <row r="2158" spans="1:32" ht="15" customHeight="1" x14ac:dyDescent="0.3">
      <c r="A2158">
        <v>4</v>
      </c>
      <c r="B2158" s="2" t="s">
        <v>697</v>
      </c>
      <c r="C2158" s="4" t="s">
        <v>693</v>
      </c>
      <c r="D2158" s="3" t="s">
        <v>673</v>
      </c>
      <c r="E2158" s="6" t="s">
        <v>116</v>
      </c>
      <c r="F2158" s="6" t="s">
        <v>562</v>
      </c>
      <c r="G2158" s="6" t="s">
        <v>718</v>
      </c>
      <c r="H2158" s="23">
        <v>0</v>
      </c>
      <c r="I2158">
        <v>0</v>
      </c>
      <c r="J2158">
        <v>0</v>
      </c>
      <c r="K2158" s="20">
        <f t="shared" si="256"/>
        <v>0</v>
      </c>
      <c r="L2158">
        <v>0</v>
      </c>
      <c r="M2158">
        <v>0</v>
      </c>
      <c r="N2158" s="21">
        <f t="shared" si="257"/>
        <v>0</v>
      </c>
      <c r="O2158">
        <v>0</v>
      </c>
      <c r="P2158">
        <v>0</v>
      </c>
      <c r="Q2158" s="21">
        <f t="shared" si="251"/>
        <v>0</v>
      </c>
      <c r="R2158">
        <v>0</v>
      </c>
      <c r="S2158">
        <v>0</v>
      </c>
      <c r="T2158" s="21">
        <f t="shared" si="252"/>
        <v>0</v>
      </c>
      <c r="U2158">
        <v>0</v>
      </c>
      <c r="V2158">
        <v>0</v>
      </c>
      <c r="W2158" s="21">
        <f t="shared" si="253"/>
        <v>0</v>
      </c>
      <c r="X2158">
        <v>0</v>
      </c>
      <c r="Y2158">
        <v>0</v>
      </c>
      <c r="Z2158" s="21">
        <f t="shared" si="254"/>
        <v>0</v>
      </c>
      <c r="AA2158">
        <v>0</v>
      </c>
      <c r="AB2158">
        <v>0</v>
      </c>
      <c r="AC2158" s="21">
        <f t="shared" si="255"/>
        <v>0</v>
      </c>
      <c r="AD2158">
        <v>0</v>
      </c>
      <c r="AE2158">
        <v>0</v>
      </c>
      <c r="AF2158" s="21">
        <f t="shared" si="258"/>
        <v>0</v>
      </c>
    </row>
    <row r="2159" spans="1:32" ht="15" customHeight="1" x14ac:dyDescent="0.3">
      <c r="A2159">
        <v>4</v>
      </c>
      <c r="B2159" s="2" t="s">
        <v>697</v>
      </c>
      <c r="C2159" s="4" t="s">
        <v>693</v>
      </c>
      <c r="D2159" s="3" t="s">
        <v>673</v>
      </c>
      <c r="E2159" s="6" t="s">
        <v>116</v>
      </c>
      <c r="F2159" s="6" t="s">
        <v>178</v>
      </c>
      <c r="G2159" s="6" t="s">
        <v>711</v>
      </c>
      <c r="H2159" s="23">
        <v>70</v>
      </c>
      <c r="I2159">
        <v>0</v>
      </c>
      <c r="J2159">
        <v>0</v>
      </c>
      <c r="K2159" s="20">
        <f t="shared" si="256"/>
        <v>0</v>
      </c>
      <c r="L2159">
        <v>0</v>
      </c>
      <c r="M2159">
        <v>0</v>
      </c>
      <c r="N2159" s="21">
        <f t="shared" si="257"/>
        <v>0</v>
      </c>
      <c r="O2159">
        <v>50000</v>
      </c>
      <c r="P2159">
        <v>1</v>
      </c>
      <c r="Q2159" s="21">
        <f t="shared" si="251"/>
        <v>3500000</v>
      </c>
      <c r="R2159">
        <v>50000</v>
      </c>
      <c r="S2159">
        <v>1</v>
      </c>
      <c r="T2159" s="21">
        <f t="shared" si="252"/>
        <v>3500000</v>
      </c>
      <c r="U2159">
        <v>50000</v>
      </c>
      <c r="V2159">
        <v>1</v>
      </c>
      <c r="W2159" s="21">
        <f t="shared" si="253"/>
        <v>3500000</v>
      </c>
      <c r="X2159">
        <v>0</v>
      </c>
      <c r="Y2159">
        <v>0</v>
      </c>
      <c r="Z2159" s="21">
        <f t="shared" si="254"/>
        <v>0</v>
      </c>
      <c r="AA2159">
        <v>0</v>
      </c>
      <c r="AB2159">
        <v>0</v>
      </c>
      <c r="AC2159" s="21">
        <f t="shared" si="255"/>
        <v>0</v>
      </c>
      <c r="AD2159">
        <v>0</v>
      </c>
      <c r="AE2159">
        <v>0</v>
      </c>
      <c r="AF2159" s="21">
        <f t="shared" si="258"/>
        <v>0</v>
      </c>
    </row>
    <row r="2160" spans="1:32" ht="15" customHeight="1" x14ac:dyDescent="0.3">
      <c r="A2160">
        <v>4</v>
      </c>
      <c r="B2160" s="2" t="s">
        <v>697</v>
      </c>
      <c r="C2160" s="4" t="s">
        <v>693</v>
      </c>
      <c r="D2160" s="3" t="s">
        <v>673</v>
      </c>
      <c r="E2160" s="6" t="s">
        <v>116</v>
      </c>
      <c r="F2160" s="6" t="s">
        <v>178</v>
      </c>
      <c r="G2160" s="6" t="s">
        <v>717</v>
      </c>
      <c r="H2160" s="23">
        <v>104850</v>
      </c>
      <c r="I2160">
        <v>0</v>
      </c>
      <c r="J2160">
        <v>0</v>
      </c>
      <c r="K2160" s="20">
        <f t="shared" si="256"/>
        <v>0</v>
      </c>
      <c r="L2160">
        <v>0</v>
      </c>
      <c r="M2160">
        <v>0</v>
      </c>
      <c r="N2160" s="21">
        <f t="shared" si="257"/>
        <v>0</v>
      </c>
      <c r="O2160">
        <v>5</v>
      </c>
      <c r="P2160">
        <v>1</v>
      </c>
      <c r="Q2160" s="21">
        <f t="shared" si="251"/>
        <v>524250</v>
      </c>
      <c r="R2160">
        <v>5</v>
      </c>
      <c r="S2160">
        <v>1</v>
      </c>
      <c r="T2160" s="21">
        <f t="shared" si="252"/>
        <v>524250</v>
      </c>
      <c r="U2160">
        <v>5</v>
      </c>
      <c r="V2160">
        <v>1</v>
      </c>
      <c r="W2160" s="21">
        <f t="shared" si="253"/>
        <v>524250</v>
      </c>
      <c r="X2160">
        <v>0</v>
      </c>
      <c r="Y2160">
        <v>0</v>
      </c>
      <c r="Z2160" s="21">
        <f t="shared" si="254"/>
        <v>0</v>
      </c>
      <c r="AA2160">
        <v>0</v>
      </c>
      <c r="AB2160">
        <v>0</v>
      </c>
      <c r="AC2160" s="21">
        <f t="shared" si="255"/>
        <v>0</v>
      </c>
      <c r="AD2160">
        <v>0</v>
      </c>
      <c r="AE2160">
        <v>0</v>
      </c>
      <c r="AF2160" s="21">
        <f t="shared" si="258"/>
        <v>0</v>
      </c>
    </row>
    <row r="2161" spans="1:32" ht="15" customHeight="1" x14ac:dyDescent="0.3">
      <c r="A2161">
        <v>4</v>
      </c>
      <c r="B2161" s="2" t="s">
        <v>697</v>
      </c>
      <c r="C2161" s="4" t="s">
        <v>693</v>
      </c>
      <c r="D2161" s="3" t="s">
        <v>673</v>
      </c>
      <c r="E2161" s="6" t="s">
        <v>116</v>
      </c>
      <c r="F2161" s="6" t="s">
        <v>178</v>
      </c>
      <c r="G2161" s="6" t="s">
        <v>709</v>
      </c>
      <c r="H2161" s="23">
        <v>28000</v>
      </c>
      <c r="I2161">
        <v>0</v>
      </c>
      <c r="J2161">
        <v>0</v>
      </c>
      <c r="K2161" s="20">
        <f t="shared" si="256"/>
        <v>0</v>
      </c>
      <c r="L2161">
        <v>0</v>
      </c>
      <c r="M2161">
        <v>0</v>
      </c>
      <c r="N2161" s="21">
        <f t="shared" si="257"/>
        <v>0</v>
      </c>
      <c r="O2161">
        <v>50</v>
      </c>
      <c r="P2161">
        <v>1</v>
      </c>
      <c r="Q2161" s="21">
        <f t="shared" si="251"/>
        <v>1400000</v>
      </c>
      <c r="R2161">
        <v>50</v>
      </c>
      <c r="S2161">
        <v>1</v>
      </c>
      <c r="T2161" s="21">
        <f t="shared" si="252"/>
        <v>1400000</v>
      </c>
      <c r="U2161">
        <v>50</v>
      </c>
      <c r="V2161">
        <v>1</v>
      </c>
      <c r="W2161" s="21">
        <f t="shared" si="253"/>
        <v>1400000</v>
      </c>
      <c r="X2161">
        <v>0</v>
      </c>
      <c r="Y2161">
        <v>0</v>
      </c>
      <c r="Z2161" s="21">
        <f t="shared" si="254"/>
        <v>0</v>
      </c>
      <c r="AA2161">
        <v>0</v>
      </c>
      <c r="AB2161">
        <v>0</v>
      </c>
      <c r="AC2161" s="21">
        <f t="shared" si="255"/>
        <v>0</v>
      </c>
      <c r="AD2161">
        <v>0</v>
      </c>
      <c r="AE2161">
        <v>0</v>
      </c>
      <c r="AF2161" s="21">
        <f t="shared" si="258"/>
        <v>0</v>
      </c>
    </row>
    <row r="2162" spans="1:32" ht="15" customHeight="1" x14ac:dyDescent="0.3">
      <c r="A2162">
        <v>4</v>
      </c>
      <c r="B2162" s="2" t="s">
        <v>697</v>
      </c>
      <c r="C2162" s="4" t="s">
        <v>693</v>
      </c>
      <c r="D2162" s="3" t="s">
        <v>674</v>
      </c>
      <c r="E2162" s="6" t="s">
        <v>117</v>
      </c>
      <c r="F2162" s="6" t="s">
        <v>567</v>
      </c>
      <c r="G2162" s="6" t="s">
        <v>718</v>
      </c>
      <c r="H2162" s="23">
        <v>0</v>
      </c>
      <c r="I2162">
        <v>0</v>
      </c>
      <c r="J2162">
        <v>0</v>
      </c>
      <c r="K2162" s="20">
        <f t="shared" si="256"/>
        <v>0</v>
      </c>
      <c r="L2162">
        <v>0</v>
      </c>
      <c r="M2162">
        <v>0</v>
      </c>
      <c r="N2162" s="21">
        <f t="shared" si="257"/>
        <v>0</v>
      </c>
      <c r="O2162">
        <v>0</v>
      </c>
      <c r="P2162">
        <v>0</v>
      </c>
      <c r="Q2162" s="21">
        <f t="shared" si="251"/>
        <v>0</v>
      </c>
      <c r="R2162">
        <v>0</v>
      </c>
      <c r="S2162">
        <v>0</v>
      </c>
      <c r="T2162" s="21">
        <f t="shared" si="252"/>
        <v>0</v>
      </c>
      <c r="U2162">
        <v>0</v>
      </c>
      <c r="V2162">
        <v>0</v>
      </c>
      <c r="W2162" s="21">
        <f t="shared" si="253"/>
        <v>0</v>
      </c>
      <c r="X2162">
        <v>0</v>
      </c>
      <c r="Y2162">
        <v>0</v>
      </c>
      <c r="Z2162" s="21">
        <f t="shared" si="254"/>
        <v>0</v>
      </c>
      <c r="AA2162">
        <v>0</v>
      </c>
      <c r="AB2162">
        <v>0</v>
      </c>
      <c r="AC2162" s="21">
        <f t="shared" si="255"/>
        <v>0</v>
      </c>
      <c r="AD2162">
        <v>0</v>
      </c>
      <c r="AE2162">
        <v>0</v>
      </c>
      <c r="AF2162" s="21">
        <f t="shared" si="258"/>
        <v>0</v>
      </c>
    </row>
    <row r="2163" spans="1:32" ht="15" customHeight="1" x14ac:dyDescent="0.3">
      <c r="A2163">
        <v>4</v>
      </c>
      <c r="B2163" s="2" t="s">
        <v>697</v>
      </c>
      <c r="C2163" s="4" t="s">
        <v>693</v>
      </c>
      <c r="D2163" s="3" t="s">
        <v>674</v>
      </c>
      <c r="E2163" s="6" t="s">
        <v>117</v>
      </c>
      <c r="F2163" s="6" t="s">
        <v>149</v>
      </c>
      <c r="G2163" s="6" t="s">
        <v>707</v>
      </c>
      <c r="H2163" s="23">
        <v>391991.03749999998</v>
      </c>
      <c r="I2163">
        <v>1</v>
      </c>
      <c r="J2163">
        <v>6</v>
      </c>
      <c r="K2163" s="20">
        <f t="shared" si="256"/>
        <v>2351946.2249999996</v>
      </c>
      <c r="L2163">
        <v>0</v>
      </c>
      <c r="M2163">
        <v>0</v>
      </c>
      <c r="N2163" s="21">
        <f t="shared" si="257"/>
        <v>0</v>
      </c>
      <c r="O2163">
        <v>0</v>
      </c>
      <c r="P2163">
        <v>0</v>
      </c>
      <c r="Q2163" s="21">
        <f t="shared" si="251"/>
        <v>0</v>
      </c>
      <c r="R2163">
        <v>0</v>
      </c>
      <c r="S2163">
        <v>0</v>
      </c>
      <c r="T2163" s="21">
        <f t="shared" si="252"/>
        <v>0</v>
      </c>
      <c r="U2163">
        <v>1</v>
      </c>
      <c r="V2163">
        <v>6</v>
      </c>
      <c r="W2163" s="21">
        <f t="shared" si="253"/>
        <v>2351946.2249999996</v>
      </c>
      <c r="X2163">
        <v>0</v>
      </c>
      <c r="Y2163">
        <v>0</v>
      </c>
      <c r="Z2163" s="21">
        <f t="shared" si="254"/>
        <v>0</v>
      </c>
      <c r="AA2163">
        <v>0</v>
      </c>
      <c r="AB2163">
        <v>0</v>
      </c>
      <c r="AC2163" s="21">
        <f t="shared" si="255"/>
        <v>0</v>
      </c>
      <c r="AD2163">
        <v>0</v>
      </c>
      <c r="AE2163">
        <v>0</v>
      </c>
      <c r="AF2163" s="21">
        <f t="shared" si="258"/>
        <v>0</v>
      </c>
    </row>
    <row r="2164" spans="1:32" ht="15" customHeight="1" x14ac:dyDescent="0.3">
      <c r="A2164">
        <v>4</v>
      </c>
      <c r="B2164" s="2" t="s">
        <v>697</v>
      </c>
      <c r="C2164" s="4" t="s">
        <v>693</v>
      </c>
      <c r="D2164" s="3" t="s">
        <v>674</v>
      </c>
      <c r="E2164" s="6" t="s">
        <v>117</v>
      </c>
      <c r="F2164" s="6" t="s">
        <v>149</v>
      </c>
      <c r="G2164" s="6" t="s">
        <v>708</v>
      </c>
      <c r="H2164" s="23">
        <v>425000</v>
      </c>
      <c r="I2164">
        <v>1</v>
      </c>
      <c r="J2164">
        <v>40</v>
      </c>
      <c r="K2164" s="20">
        <f t="shared" si="256"/>
        <v>17000000</v>
      </c>
      <c r="L2164">
        <v>0</v>
      </c>
      <c r="M2164">
        <v>0</v>
      </c>
      <c r="N2164" s="21">
        <f t="shared" si="257"/>
        <v>0</v>
      </c>
      <c r="O2164">
        <v>0</v>
      </c>
      <c r="P2164">
        <v>0</v>
      </c>
      <c r="Q2164" s="21">
        <f t="shared" si="251"/>
        <v>0</v>
      </c>
      <c r="R2164">
        <v>0</v>
      </c>
      <c r="S2164">
        <v>0</v>
      </c>
      <c r="T2164" s="21">
        <f t="shared" si="252"/>
        <v>0</v>
      </c>
      <c r="U2164">
        <v>1</v>
      </c>
      <c r="V2164">
        <v>40</v>
      </c>
      <c r="W2164" s="21">
        <f t="shared" si="253"/>
        <v>17000000</v>
      </c>
      <c r="X2164">
        <v>0</v>
      </c>
      <c r="Y2164">
        <v>0</v>
      </c>
      <c r="Z2164" s="21">
        <f t="shared" si="254"/>
        <v>0</v>
      </c>
      <c r="AA2164">
        <v>0</v>
      </c>
      <c r="AB2164">
        <v>0</v>
      </c>
      <c r="AC2164" s="21">
        <f t="shared" si="255"/>
        <v>0</v>
      </c>
      <c r="AD2164">
        <v>0</v>
      </c>
      <c r="AE2164">
        <v>0</v>
      </c>
      <c r="AF2164" s="21">
        <f t="shared" si="258"/>
        <v>0</v>
      </c>
    </row>
    <row r="2165" spans="1:32" ht="15" customHeight="1" x14ac:dyDescent="0.3">
      <c r="A2165">
        <v>4</v>
      </c>
      <c r="B2165" s="2" t="s">
        <v>697</v>
      </c>
      <c r="C2165" s="4" t="s">
        <v>693</v>
      </c>
      <c r="D2165" s="3" t="s">
        <v>674</v>
      </c>
      <c r="E2165" s="6" t="s">
        <v>117</v>
      </c>
      <c r="F2165" s="6" t="s">
        <v>565</v>
      </c>
      <c r="G2165" s="6" t="s">
        <v>716</v>
      </c>
      <c r="H2165" s="23">
        <v>39000</v>
      </c>
      <c r="I2165">
        <v>50</v>
      </c>
      <c r="J2165">
        <v>5</v>
      </c>
      <c r="K2165" s="20">
        <f t="shared" si="256"/>
        <v>9750000</v>
      </c>
      <c r="L2165">
        <v>0</v>
      </c>
      <c r="M2165">
        <v>0</v>
      </c>
      <c r="N2165" s="21">
        <f t="shared" si="257"/>
        <v>0</v>
      </c>
      <c r="O2165">
        <v>0</v>
      </c>
      <c r="P2165">
        <v>0</v>
      </c>
      <c r="Q2165" s="21">
        <f t="shared" si="251"/>
        <v>0</v>
      </c>
      <c r="R2165">
        <v>0</v>
      </c>
      <c r="S2165">
        <v>0</v>
      </c>
      <c r="T2165" s="21">
        <f t="shared" si="252"/>
        <v>0</v>
      </c>
      <c r="U2165">
        <v>50</v>
      </c>
      <c r="V2165">
        <v>5</v>
      </c>
      <c r="W2165" s="21">
        <f t="shared" si="253"/>
        <v>9750000</v>
      </c>
      <c r="X2165">
        <v>0</v>
      </c>
      <c r="Y2165">
        <v>0</v>
      </c>
      <c r="Z2165" s="21">
        <f t="shared" si="254"/>
        <v>0</v>
      </c>
      <c r="AA2165">
        <v>0</v>
      </c>
      <c r="AB2165">
        <v>0</v>
      </c>
      <c r="AC2165" s="21">
        <f t="shared" si="255"/>
        <v>0</v>
      </c>
      <c r="AD2165">
        <v>0</v>
      </c>
      <c r="AE2165">
        <v>0</v>
      </c>
      <c r="AF2165" s="21">
        <f t="shared" si="258"/>
        <v>0</v>
      </c>
    </row>
    <row r="2166" spans="1:32" ht="15" customHeight="1" x14ac:dyDescent="0.3">
      <c r="A2166">
        <v>4</v>
      </c>
      <c r="B2166" s="2" t="s">
        <v>697</v>
      </c>
      <c r="C2166" s="4" t="s">
        <v>693</v>
      </c>
      <c r="D2166" s="3" t="s">
        <v>674</v>
      </c>
      <c r="E2166" s="6" t="s">
        <v>117</v>
      </c>
      <c r="F2166" s="6" t="s">
        <v>565</v>
      </c>
      <c r="G2166" s="6" t="s">
        <v>709</v>
      </c>
      <c r="H2166" s="23">
        <v>28000</v>
      </c>
      <c r="I2166">
        <v>50</v>
      </c>
      <c r="J2166">
        <v>5</v>
      </c>
      <c r="K2166" s="20">
        <f t="shared" si="256"/>
        <v>7000000</v>
      </c>
      <c r="L2166">
        <v>0</v>
      </c>
      <c r="M2166">
        <v>0</v>
      </c>
      <c r="N2166" s="21">
        <f t="shared" si="257"/>
        <v>0</v>
      </c>
      <c r="O2166">
        <v>0</v>
      </c>
      <c r="P2166">
        <v>0</v>
      </c>
      <c r="Q2166" s="21">
        <f t="shared" si="251"/>
        <v>0</v>
      </c>
      <c r="R2166">
        <v>0</v>
      </c>
      <c r="S2166">
        <v>0</v>
      </c>
      <c r="T2166" s="21">
        <f t="shared" si="252"/>
        <v>0</v>
      </c>
      <c r="U2166">
        <v>50</v>
      </c>
      <c r="V2166">
        <v>5</v>
      </c>
      <c r="W2166" s="21">
        <f t="shared" si="253"/>
        <v>7000000</v>
      </c>
      <c r="X2166">
        <v>0</v>
      </c>
      <c r="Y2166">
        <v>0</v>
      </c>
      <c r="Z2166" s="21">
        <f t="shared" si="254"/>
        <v>0</v>
      </c>
      <c r="AA2166">
        <v>0</v>
      </c>
      <c r="AB2166">
        <v>0</v>
      </c>
      <c r="AC2166" s="21">
        <f t="shared" si="255"/>
        <v>0</v>
      </c>
      <c r="AD2166">
        <v>0</v>
      </c>
      <c r="AE2166">
        <v>0</v>
      </c>
      <c r="AF2166" s="21">
        <f t="shared" si="258"/>
        <v>0</v>
      </c>
    </row>
    <row r="2167" spans="1:32" ht="15" customHeight="1" x14ac:dyDescent="0.3">
      <c r="A2167">
        <v>4</v>
      </c>
      <c r="B2167" s="2" t="s">
        <v>697</v>
      </c>
      <c r="C2167" s="4" t="s">
        <v>693</v>
      </c>
      <c r="D2167" s="3" t="s">
        <v>674</v>
      </c>
      <c r="E2167" s="6" t="s">
        <v>117</v>
      </c>
      <c r="F2167" s="6" t="s">
        <v>565</v>
      </c>
      <c r="G2167" s="6" t="s">
        <v>712</v>
      </c>
      <c r="H2167" s="23">
        <v>214.29</v>
      </c>
      <c r="I2167">
        <v>8000</v>
      </c>
      <c r="J2167">
        <v>1</v>
      </c>
      <c r="K2167" s="20">
        <f t="shared" si="256"/>
        <v>1714320</v>
      </c>
      <c r="L2167">
        <v>0</v>
      </c>
      <c r="M2167">
        <v>0</v>
      </c>
      <c r="N2167" s="21">
        <f t="shared" si="257"/>
        <v>0</v>
      </c>
      <c r="O2167">
        <v>0</v>
      </c>
      <c r="P2167">
        <v>0</v>
      </c>
      <c r="Q2167" s="21">
        <f t="shared" si="251"/>
        <v>0</v>
      </c>
      <c r="R2167">
        <v>0</v>
      </c>
      <c r="S2167">
        <v>0</v>
      </c>
      <c r="T2167" s="21">
        <f t="shared" si="252"/>
        <v>0</v>
      </c>
      <c r="U2167">
        <v>8000</v>
      </c>
      <c r="V2167">
        <v>1</v>
      </c>
      <c r="W2167" s="21">
        <f t="shared" si="253"/>
        <v>1714320</v>
      </c>
      <c r="X2167">
        <v>0</v>
      </c>
      <c r="Y2167">
        <v>0</v>
      </c>
      <c r="Z2167" s="21">
        <f t="shared" si="254"/>
        <v>0</v>
      </c>
      <c r="AA2167">
        <v>0</v>
      </c>
      <c r="AB2167">
        <v>0</v>
      </c>
      <c r="AC2167" s="21">
        <f t="shared" si="255"/>
        <v>0</v>
      </c>
      <c r="AD2167">
        <v>0</v>
      </c>
      <c r="AE2167">
        <v>0</v>
      </c>
      <c r="AF2167" s="21">
        <f t="shared" si="258"/>
        <v>0</v>
      </c>
    </row>
    <row r="2168" spans="1:32" ht="15" customHeight="1" x14ac:dyDescent="0.3">
      <c r="A2168">
        <v>4</v>
      </c>
      <c r="B2168" s="2" t="s">
        <v>697</v>
      </c>
      <c r="C2168" s="4" t="s">
        <v>693</v>
      </c>
      <c r="D2168" s="3" t="s">
        <v>674</v>
      </c>
      <c r="E2168" s="6" t="s">
        <v>118</v>
      </c>
      <c r="F2168" s="6" t="s">
        <v>568</v>
      </c>
      <c r="G2168" s="6" t="s">
        <v>798</v>
      </c>
      <c r="H2168" s="23">
        <v>8166845</v>
      </c>
      <c r="I2168">
        <v>5</v>
      </c>
      <c r="J2168">
        <v>1</v>
      </c>
      <c r="K2168" s="20">
        <f t="shared" si="256"/>
        <v>40834225</v>
      </c>
      <c r="L2168">
        <v>5</v>
      </c>
      <c r="M2168">
        <v>1</v>
      </c>
      <c r="N2168" s="21">
        <f t="shared" si="257"/>
        <v>40834225</v>
      </c>
      <c r="O2168">
        <v>5</v>
      </c>
      <c r="P2168">
        <v>1</v>
      </c>
      <c r="Q2168" s="21">
        <f t="shared" si="251"/>
        <v>40834225</v>
      </c>
      <c r="R2168">
        <v>5</v>
      </c>
      <c r="S2168">
        <v>1</v>
      </c>
      <c r="T2168" s="21">
        <f t="shared" si="252"/>
        <v>40834225</v>
      </c>
      <c r="U2168">
        <v>5</v>
      </c>
      <c r="V2168">
        <v>1</v>
      </c>
      <c r="W2168" s="21">
        <f t="shared" si="253"/>
        <v>40834225</v>
      </c>
      <c r="X2168">
        <v>0</v>
      </c>
      <c r="Y2168">
        <v>0</v>
      </c>
      <c r="Z2168" s="21">
        <f t="shared" si="254"/>
        <v>0</v>
      </c>
      <c r="AA2168">
        <v>0</v>
      </c>
      <c r="AB2168">
        <v>0</v>
      </c>
      <c r="AC2168" s="21">
        <f t="shared" si="255"/>
        <v>0</v>
      </c>
      <c r="AD2168">
        <v>0</v>
      </c>
      <c r="AE2168">
        <v>0</v>
      </c>
      <c r="AF2168" s="21">
        <f t="shared" si="258"/>
        <v>0</v>
      </c>
    </row>
    <row r="2169" spans="1:32" ht="15" customHeight="1" x14ac:dyDescent="0.3">
      <c r="A2169">
        <v>4</v>
      </c>
      <c r="B2169" s="2" t="s">
        <v>697</v>
      </c>
      <c r="C2169" s="4" t="s">
        <v>694</v>
      </c>
      <c r="D2169" s="3" t="s">
        <v>675</v>
      </c>
      <c r="E2169" s="6" t="s">
        <v>119</v>
      </c>
      <c r="F2169" s="6" t="s">
        <v>569</v>
      </c>
      <c r="G2169" s="6" t="s">
        <v>718</v>
      </c>
      <c r="H2169" s="23">
        <v>0</v>
      </c>
      <c r="I2169">
        <v>0</v>
      </c>
      <c r="J2169">
        <v>0</v>
      </c>
      <c r="K2169" s="20">
        <f t="shared" si="256"/>
        <v>0</v>
      </c>
      <c r="L2169">
        <v>0</v>
      </c>
      <c r="M2169">
        <v>0</v>
      </c>
      <c r="N2169" s="21">
        <f t="shared" si="257"/>
        <v>0</v>
      </c>
      <c r="O2169">
        <v>0</v>
      </c>
      <c r="P2169">
        <v>0</v>
      </c>
      <c r="Q2169" s="21">
        <f t="shared" si="251"/>
        <v>0</v>
      </c>
      <c r="R2169">
        <v>0</v>
      </c>
      <c r="S2169">
        <v>0</v>
      </c>
      <c r="T2169" s="21">
        <f t="shared" si="252"/>
        <v>0</v>
      </c>
      <c r="U2169">
        <v>0</v>
      </c>
      <c r="V2169">
        <v>0</v>
      </c>
      <c r="W2169" s="21">
        <f t="shared" si="253"/>
        <v>0</v>
      </c>
      <c r="X2169">
        <v>0</v>
      </c>
      <c r="Y2169">
        <v>0</v>
      </c>
      <c r="Z2169" s="21">
        <f t="shared" si="254"/>
        <v>0</v>
      </c>
      <c r="AA2169">
        <v>0</v>
      </c>
      <c r="AB2169">
        <v>0</v>
      </c>
      <c r="AC2169" s="21">
        <f t="shared" si="255"/>
        <v>0</v>
      </c>
      <c r="AD2169">
        <v>0</v>
      </c>
      <c r="AE2169">
        <v>0</v>
      </c>
      <c r="AF2169" s="21">
        <f t="shared" si="258"/>
        <v>0</v>
      </c>
    </row>
    <row r="2170" spans="1:32" ht="15" customHeight="1" x14ac:dyDescent="0.3">
      <c r="A2170">
        <v>4</v>
      </c>
      <c r="B2170" s="2" t="s">
        <v>697</v>
      </c>
      <c r="C2170" s="4" t="s">
        <v>694</v>
      </c>
      <c r="D2170" s="3" t="s">
        <v>675</v>
      </c>
      <c r="E2170" s="6" t="s">
        <v>119</v>
      </c>
      <c r="F2170" s="6" t="s">
        <v>570</v>
      </c>
      <c r="G2170" s="6" t="s">
        <v>718</v>
      </c>
      <c r="H2170" s="23">
        <v>0</v>
      </c>
      <c r="I2170">
        <v>0</v>
      </c>
      <c r="J2170">
        <v>0</v>
      </c>
      <c r="K2170" s="20">
        <f t="shared" si="256"/>
        <v>0</v>
      </c>
      <c r="L2170">
        <v>0</v>
      </c>
      <c r="M2170">
        <v>0</v>
      </c>
      <c r="N2170" s="21">
        <f t="shared" si="257"/>
        <v>0</v>
      </c>
      <c r="O2170">
        <v>0</v>
      </c>
      <c r="P2170">
        <v>0</v>
      </c>
      <c r="Q2170" s="21">
        <f t="shared" si="251"/>
        <v>0</v>
      </c>
      <c r="R2170">
        <v>0</v>
      </c>
      <c r="S2170">
        <v>0</v>
      </c>
      <c r="T2170" s="21">
        <f t="shared" si="252"/>
        <v>0</v>
      </c>
      <c r="U2170">
        <v>0</v>
      </c>
      <c r="V2170">
        <v>0</v>
      </c>
      <c r="W2170" s="21">
        <f t="shared" si="253"/>
        <v>0</v>
      </c>
      <c r="X2170">
        <v>0</v>
      </c>
      <c r="Y2170">
        <v>0</v>
      </c>
      <c r="Z2170" s="21">
        <f t="shared" si="254"/>
        <v>0</v>
      </c>
      <c r="AA2170">
        <v>0</v>
      </c>
      <c r="AB2170">
        <v>0</v>
      </c>
      <c r="AC2170" s="21">
        <f t="shared" si="255"/>
        <v>0</v>
      </c>
      <c r="AD2170">
        <v>0</v>
      </c>
      <c r="AE2170">
        <v>0</v>
      </c>
      <c r="AF2170" s="21">
        <f t="shared" si="258"/>
        <v>0</v>
      </c>
    </row>
    <row r="2171" spans="1:32" ht="15" customHeight="1" x14ac:dyDescent="0.3">
      <c r="A2171">
        <v>4</v>
      </c>
      <c r="B2171" s="2" t="s">
        <v>697</v>
      </c>
      <c r="C2171" s="4" t="s">
        <v>694</v>
      </c>
      <c r="D2171" s="3" t="s">
        <v>675</v>
      </c>
      <c r="E2171" s="6" t="s">
        <v>119</v>
      </c>
      <c r="F2171" s="6" t="s">
        <v>571</v>
      </c>
      <c r="G2171" s="6" t="s">
        <v>718</v>
      </c>
      <c r="H2171" s="23">
        <v>0</v>
      </c>
      <c r="I2171">
        <v>0</v>
      </c>
      <c r="J2171">
        <v>0</v>
      </c>
      <c r="K2171" s="20">
        <f t="shared" si="256"/>
        <v>0</v>
      </c>
      <c r="L2171">
        <v>0</v>
      </c>
      <c r="M2171">
        <v>0</v>
      </c>
      <c r="N2171" s="21">
        <f t="shared" si="257"/>
        <v>0</v>
      </c>
      <c r="O2171">
        <v>0</v>
      </c>
      <c r="P2171">
        <v>0</v>
      </c>
      <c r="Q2171" s="21">
        <f t="shared" si="251"/>
        <v>0</v>
      </c>
      <c r="R2171">
        <v>0</v>
      </c>
      <c r="S2171">
        <v>0</v>
      </c>
      <c r="T2171" s="21">
        <f t="shared" si="252"/>
        <v>0</v>
      </c>
      <c r="U2171">
        <v>0</v>
      </c>
      <c r="V2171">
        <v>0</v>
      </c>
      <c r="W2171" s="21">
        <f t="shared" si="253"/>
        <v>0</v>
      </c>
      <c r="X2171">
        <v>0</v>
      </c>
      <c r="Y2171">
        <v>0</v>
      </c>
      <c r="Z2171" s="21">
        <f t="shared" si="254"/>
        <v>0</v>
      </c>
      <c r="AA2171">
        <v>0</v>
      </c>
      <c r="AB2171">
        <v>0</v>
      </c>
      <c r="AC2171" s="21">
        <f t="shared" si="255"/>
        <v>0</v>
      </c>
      <c r="AD2171">
        <v>0</v>
      </c>
      <c r="AE2171">
        <v>0</v>
      </c>
      <c r="AF2171" s="21">
        <f t="shared" si="258"/>
        <v>0</v>
      </c>
    </row>
    <row r="2172" spans="1:32" ht="15" customHeight="1" x14ac:dyDescent="0.3">
      <c r="A2172">
        <v>4</v>
      </c>
      <c r="B2172" s="2" t="s">
        <v>697</v>
      </c>
      <c r="C2172" s="4" t="s">
        <v>694</v>
      </c>
      <c r="D2172" s="3" t="s">
        <v>675</v>
      </c>
      <c r="E2172" s="6" t="s">
        <v>119</v>
      </c>
      <c r="F2172" s="6" t="s">
        <v>572</v>
      </c>
      <c r="G2172" s="6" t="s">
        <v>709</v>
      </c>
      <c r="H2172" s="23">
        <v>28000</v>
      </c>
      <c r="I2172">
        <v>0</v>
      </c>
      <c r="J2172">
        <v>0</v>
      </c>
      <c r="K2172" s="20">
        <f t="shared" si="256"/>
        <v>0</v>
      </c>
      <c r="L2172">
        <v>15</v>
      </c>
      <c r="M2172">
        <v>1</v>
      </c>
      <c r="N2172" s="21">
        <f t="shared" si="257"/>
        <v>420000</v>
      </c>
      <c r="O2172">
        <v>0</v>
      </c>
      <c r="P2172">
        <v>0</v>
      </c>
      <c r="Q2172" s="21">
        <f t="shared" si="251"/>
        <v>0</v>
      </c>
      <c r="R2172">
        <v>0</v>
      </c>
      <c r="S2172">
        <v>0</v>
      </c>
      <c r="T2172" s="21">
        <f t="shared" si="252"/>
        <v>0</v>
      </c>
      <c r="U2172">
        <v>0</v>
      </c>
      <c r="V2172">
        <v>0</v>
      </c>
      <c r="W2172" s="21">
        <f t="shared" si="253"/>
        <v>0</v>
      </c>
      <c r="X2172">
        <v>0</v>
      </c>
      <c r="Y2172">
        <v>0</v>
      </c>
      <c r="Z2172" s="21">
        <f t="shared" si="254"/>
        <v>0</v>
      </c>
      <c r="AA2172">
        <v>0</v>
      </c>
      <c r="AB2172">
        <v>0</v>
      </c>
      <c r="AC2172" s="21">
        <f t="shared" si="255"/>
        <v>0</v>
      </c>
      <c r="AD2172">
        <v>0</v>
      </c>
      <c r="AE2172">
        <v>0</v>
      </c>
      <c r="AF2172" s="21">
        <f t="shared" si="258"/>
        <v>0</v>
      </c>
    </row>
    <row r="2173" spans="1:32" ht="15" customHeight="1" x14ac:dyDescent="0.3">
      <c r="A2173">
        <v>4</v>
      </c>
      <c r="B2173" s="2" t="s">
        <v>697</v>
      </c>
      <c r="C2173" s="4" t="s">
        <v>694</v>
      </c>
      <c r="D2173" s="3" t="s">
        <v>675</v>
      </c>
      <c r="E2173" s="6" t="s">
        <v>120</v>
      </c>
      <c r="F2173" s="6" t="s">
        <v>482</v>
      </c>
      <c r="G2173" s="6" t="s">
        <v>718</v>
      </c>
      <c r="H2173" s="23">
        <v>0</v>
      </c>
      <c r="I2173">
        <v>0</v>
      </c>
      <c r="J2173">
        <v>0</v>
      </c>
      <c r="K2173" s="20">
        <f t="shared" si="256"/>
        <v>0</v>
      </c>
      <c r="L2173">
        <v>0</v>
      </c>
      <c r="M2173">
        <v>0</v>
      </c>
      <c r="N2173" s="21">
        <f t="shared" si="257"/>
        <v>0</v>
      </c>
      <c r="O2173">
        <v>0</v>
      </c>
      <c r="P2173">
        <v>0</v>
      </c>
      <c r="Q2173" s="21">
        <f t="shared" ref="Q2173:Q2236" si="259">H2173*O2173*P2173</f>
        <v>0</v>
      </c>
      <c r="R2173">
        <v>0</v>
      </c>
      <c r="S2173">
        <v>0</v>
      </c>
      <c r="T2173" s="21">
        <f t="shared" ref="T2173:T2236" si="260">H2173*R2173*S2173</f>
        <v>0</v>
      </c>
      <c r="U2173">
        <v>0</v>
      </c>
      <c r="V2173">
        <v>0</v>
      </c>
      <c r="W2173" s="21">
        <f t="shared" ref="W2173:W2236" si="261">H2173*U2173*V2173</f>
        <v>0</v>
      </c>
      <c r="X2173">
        <v>0</v>
      </c>
      <c r="Y2173">
        <v>0</v>
      </c>
      <c r="Z2173" s="21">
        <f t="shared" ref="Z2173:Z2236" si="262">H2173*X2173*Y2173</f>
        <v>0</v>
      </c>
      <c r="AA2173">
        <v>0</v>
      </c>
      <c r="AB2173">
        <v>0</v>
      </c>
      <c r="AC2173" s="21">
        <f t="shared" ref="AC2173:AC2236" si="263">H2173*AA2173*AB2173</f>
        <v>0</v>
      </c>
      <c r="AD2173">
        <v>0</v>
      </c>
      <c r="AE2173">
        <v>0</v>
      </c>
      <c r="AF2173" s="21">
        <f t="shared" si="258"/>
        <v>0</v>
      </c>
    </row>
    <row r="2174" spans="1:32" ht="15" customHeight="1" x14ac:dyDescent="0.3">
      <c r="A2174">
        <v>4</v>
      </c>
      <c r="B2174" s="2" t="s">
        <v>697</v>
      </c>
      <c r="C2174" s="4" t="s">
        <v>694</v>
      </c>
      <c r="D2174" s="3" t="s">
        <v>675</v>
      </c>
      <c r="E2174" s="6" t="s">
        <v>120</v>
      </c>
      <c r="F2174" s="6" t="s">
        <v>573</v>
      </c>
      <c r="G2174" s="6" t="s">
        <v>707</v>
      </c>
      <c r="H2174" s="23">
        <v>391991.03749999998</v>
      </c>
      <c r="I2174">
        <v>0</v>
      </c>
      <c r="J2174">
        <v>0</v>
      </c>
      <c r="K2174" s="20">
        <f t="shared" si="256"/>
        <v>0</v>
      </c>
      <c r="L2174">
        <v>1</v>
      </c>
      <c r="M2174">
        <v>4</v>
      </c>
      <c r="N2174" s="21">
        <f t="shared" si="257"/>
        <v>1567964.15</v>
      </c>
      <c r="O2174">
        <v>0</v>
      </c>
      <c r="P2174">
        <v>0</v>
      </c>
      <c r="Q2174" s="21">
        <f t="shared" si="259"/>
        <v>0</v>
      </c>
      <c r="R2174">
        <v>0</v>
      </c>
      <c r="S2174">
        <v>0</v>
      </c>
      <c r="T2174" s="21">
        <f t="shared" si="260"/>
        <v>0</v>
      </c>
      <c r="U2174">
        <v>0</v>
      </c>
      <c r="V2174">
        <v>0</v>
      </c>
      <c r="W2174" s="21">
        <f t="shared" si="261"/>
        <v>0</v>
      </c>
      <c r="X2174">
        <v>0</v>
      </c>
      <c r="Y2174">
        <v>0</v>
      </c>
      <c r="Z2174" s="21">
        <f t="shared" si="262"/>
        <v>0</v>
      </c>
      <c r="AA2174">
        <v>0</v>
      </c>
      <c r="AB2174">
        <v>0</v>
      </c>
      <c r="AC2174" s="21">
        <f t="shared" si="263"/>
        <v>0</v>
      </c>
      <c r="AD2174">
        <v>0</v>
      </c>
      <c r="AE2174">
        <v>0</v>
      </c>
      <c r="AF2174" s="21">
        <f t="shared" si="258"/>
        <v>0</v>
      </c>
    </row>
    <row r="2175" spans="1:32" ht="15" customHeight="1" x14ac:dyDescent="0.3">
      <c r="A2175">
        <v>4</v>
      </c>
      <c r="B2175" s="2" t="s">
        <v>697</v>
      </c>
      <c r="C2175" s="4" t="s">
        <v>694</v>
      </c>
      <c r="D2175" s="3" t="s">
        <v>675</v>
      </c>
      <c r="E2175" s="6" t="s">
        <v>120</v>
      </c>
      <c r="F2175" s="6" t="s">
        <v>573</v>
      </c>
      <c r="G2175" s="6" t="s">
        <v>708</v>
      </c>
      <c r="H2175" s="23">
        <v>425000</v>
      </c>
      <c r="I2175">
        <v>0</v>
      </c>
      <c r="J2175">
        <v>0</v>
      </c>
      <c r="K2175" s="20">
        <f t="shared" si="256"/>
        <v>0</v>
      </c>
      <c r="L2175">
        <v>1</v>
      </c>
      <c r="M2175">
        <v>40</v>
      </c>
      <c r="N2175" s="21">
        <f t="shared" si="257"/>
        <v>17000000</v>
      </c>
      <c r="O2175">
        <v>0</v>
      </c>
      <c r="P2175">
        <v>0</v>
      </c>
      <c r="Q2175" s="21">
        <f t="shared" si="259"/>
        <v>0</v>
      </c>
      <c r="R2175">
        <v>0</v>
      </c>
      <c r="S2175">
        <v>0</v>
      </c>
      <c r="T2175" s="21">
        <f t="shared" si="260"/>
        <v>0</v>
      </c>
      <c r="U2175">
        <v>0</v>
      </c>
      <c r="V2175">
        <v>0</v>
      </c>
      <c r="W2175" s="21">
        <f t="shared" si="261"/>
        <v>0</v>
      </c>
      <c r="X2175">
        <v>0</v>
      </c>
      <c r="Y2175">
        <v>0</v>
      </c>
      <c r="Z2175" s="21">
        <f t="shared" si="262"/>
        <v>0</v>
      </c>
      <c r="AA2175">
        <v>0</v>
      </c>
      <c r="AB2175">
        <v>0</v>
      </c>
      <c r="AC2175" s="21">
        <f t="shared" si="263"/>
        <v>0</v>
      </c>
      <c r="AD2175">
        <v>0</v>
      </c>
      <c r="AE2175">
        <v>0</v>
      </c>
      <c r="AF2175" s="21">
        <f t="shared" si="258"/>
        <v>0</v>
      </c>
    </row>
    <row r="2176" spans="1:32" ht="15" customHeight="1" x14ac:dyDescent="0.3">
      <c r="A2176">
        <v>4</v>
      </c>
      <c r="B2176" s="2" t="s">
        <v>697</v>
      </c>
      <c r="C2176" s="4" t="s">
        <v>694</v>
      </c>
      <c r="D2176" s="3" t="s">
        <v>675</v>
      </c>
      <c r="E2176" s="6" t="s">
        <v>120</v>
      </c>
      <c r="F2176" s="6" t="s">
        <v>151</v>
      </c>
      <c r="G2176" s="6" t="s">
        <v>713</v>
      </c>
      <c r="H2176" s="23">
        <v>45000</v>
      </c>
      <c r="I2176">
        <v>0</v>
      </c>
      <c r="J2176">
        <v>0</v>
      </c>
      <c r="K2176" s="20">
        <f t="shared" si="256"/>
        <v>0</v>
      </c>
      <c r="L2176">
        <v>15</v>
      </c>
      <c r="M2176">
        <v>10</v>
      </c>
      <c r="N2176" s="21">
        <f t="shared" si="257"/>
        <v>6750000</v>
      </c>
      <c r="O2176">
        <v>0</v>
      </c>
      <c r="P2176">
        <v>0</v>
      </c>
      <c r="Q2176" s="21">
        <f t="shared" si="259"/>
        <v>0</v>
      </c>
      <c r="R2176">
        <v>0</v>
      </c>
      <c r="S2176">
        <v>0</v>
      </c>
      <c r="T2176" s="21">
        <f t="shared" si="260"/>
        <v>0</v>
      </c>
      <c r="U2176">
        <v>0</v>
      </c>
      <c r="V2176">
        <v>0</v>
      </c>
      <c r="W2176" s="21">
        <f t="shared" si="261"/>
        <v>0</v>
      </c>
      <c r="X2176">
        <v>0</v>
      </c>
      <c r="Y2176">
        <v>0</v>
      </c>
      <c r="Z2176" s="21">
        <f t="shared" si="262"/>
        <v>0</v>
      </c>
      <c r="AA2176">
        <v>0</v>
      </c>
      <c r="AB2176">
        <v>0</v>
      </c>
      <c r="AC2176" s="21">
        <f t="shared" si="263"/>
        <v>0</v>
      </c>
      <c r="AD2176">
        <v>0</v>
      </c>
      <c r="AE2176">
        <v>0</v>
      </c>
      <c r="AF2176" s="21">
        <f t="shared" si="258"/>
        <v>0</v>
      </c>
    </row>
    <row r="2177" spans="1:32" ht="15" customHeight="1" x14ac:dyDescent="0.3">
      <c r="A2177">
        <v>4</v>
      </c>
      <c r="B2177" s="2" t="s">
        <v>697</v>
      </c>
      <c r="C2177" s="4" t="s">
        <v>694</v>
      </c>
      <c r="D2177" s="3" t="s">
        <v>675</v>
      </c>
      <c r="E2177" s="6" t="s">
        <v>120</v>
      </c>
      <c r="F2177" s="6" t="s">
        <v>151</v>
      </c>
      <c r="G2177" s="6" t="s">
        <v>712</v>
      </c>
      <c r="H2177" s="23">
        <v>214.29</v>
      </c>
      <c r="I2177">
        <v>0</v>
      </c>
      <c r="J2177">
        <v>0</v>
      </c>
      <c r="K2177" s="20">
        <f t="shared" si="256"/>
        <v>0</v>
      </c>
      <c r="L2177">
        <v>20000</v>
      </c>
      <c r="M2177">
        <v>1</v>
      </c>
      <c r="N2177" s="21">
        <f t="shared" si="257"/>
        <v>4285800</v>
      </c>
      <c r="O2177">
        <v>0</v>
      </c>
      <c r="P2177">
        <v>0</v>
      </c>
      <c r="Q2177" s="21">
        <f t="shared" si="259"/>
        <v>0</v>
      </c>
      <c r="R2177">
        <v>0</v>
      </c>
      <c r="S2177">
        <v>0</v>
      </c>
      <c r="T2177" s="21">
        <f t="shared" si="260"/>
        <v>0</v>
      </c>
      <c r="U2177">
        <v>0</v>
      </c>
      <c r="V2177">
        <v>0</v>
      </c>
      <c r="W2177" s="21">
        <f t="shared" si="261"/>
        <v>0</v>
      </c>
      <c r="X2177">
        <v>0</v>
      </c>
      <c r="Y2177">
        <v>0</v>
      </c>
      <c r="Z2177" s="21">
        <f t="shared" si="262"/>
        <v>0</v>
      </c>
      <c r="AA2177">
        <v>0</v>
      </c>
      <c r="AB2177">
        <v>0</v>
      </c>
      <c r="AC2177" s="21">
        <f t="shared" si="263"/>
        <v>0</v>
      </c>
      <c r="AD2177">
        <v>0</v>
      </c>
      <c r="AE2177">
        <v>0</v>
      </c>
      <c r="AF2177" s="21">
        <f t="shared" si="258"/>
        <v>0</v>
      </c>
    </row>
    <row r="2178" spans="1:32" ht="15" customHeight="1" x14ac:dyDescent="0.3">
      <c r="A2178">
        <v>4</v>
      </c>
      <c r="B2178" s="2" t="s">
        <v>697</v>
      </c>
      <c r="C2178" s="4" t="s">
        <v>694</v>
      </c>
      <c r="D2178" s="3" t="s">
        <v>675</v>
      </c>
      <c r="E2178" s="6" t="s">
        <v>120</v>
      </c>
      <c r="F2178" s="6" t="s">
        <v>151</v>
      </c>
      <c r="G2178" s="6" t="s">
        <v>715</v>
      </c>
      <c r="H2178" s="23">
        <v>302000</v>
      </c>
      <c r="I2178">
        <v>0</v>
      </c>
      <c r="J2178">
        <v>0</v>
      </c>
      <c r="K2178" s="20">
        <f t="shared" si="256"/>
        <v>0</v>
      </c>
      <c r="L2178">
        <v>20</v>
      </c>
      <c r="M2178">
        <v>1</v>
      </c>
      <c r="N2178" s="21">
        <f t="shared" si="257"/>
        <v>6040000</v>
      </c>
      <c r="O2178">
        <v>0</v>
      </c>
      <c r="P2178">
        <v>0</v>
      </c>
      <c r="Q2178" s="21">
        <f t="shared" si="259"/>
        <v>0</v>
      </c>
      <c r="R2178">
        <v>0</v>
      </c>
      <c r="S2178">
        <v>0</v>
      </c>
      <c r="T2178" s="21">
        <f t="shared" si="260"/>
        <v>0</v>
      </c>
      <c r="U2178">
        <v>0</v>
      </c>
      <c r="V2178">
        <v>0</v>
      </c>
      <c r="W2178" s="21">
        <f t="shared" si="261"/>
        <v>0</v>
      </c>
      <c r="X2178">
        <v>0</v>
      </c>
      <c r="Y2178">
        <v>0</v>
      </c>
      <c r="Z2178" s="21">
        <f t="shared" si="262"/>
        <v>0</v>
      </c>
      <c r="AA2178">
        <v>0</v>
      </c>
      <c r="AB2178">
        <v>0</v>
      </c>
      <c r="AC2178" s="21">
        <f t="shared" si="263"/>
        <v>0</v>
      </c>
      <c r="AD2178">
        <v>0</v>
      </c>
      <c r="AE2178">
        <v>0</v>
      </c>
      <c r="AF2178" s="21">
        <f t="shared" si="258"/>
        <v>0</v>
      </c>
    </row>
    <row r="2179" spans="1:32" ht="15" customHeight="1" x14ac:dyDescent="0.3">
      <c r="A2179">
        <v>4</v>
      </c>
      <c r="B2179" s="2" t="s">
        <v>697</v>
      </c>
      <c r="C2179" s="4" t="s">
        <v>694</v>
      </c>
      <c r="D2179" s="3" t="s">
        <v>675</v>
      </c>
      <c r="E2179" s="6" t="s">
        <v>120</v>
      </c>
      <c r="F2179" s="6" t="s">
        <v>151</v>
      </c>
      <c r="G2179" s="6" t="s">
        <v>714</v>
      </c>
      <c r="H2179" s="23">
        <v>10000</v>
      </c>
      <c r="I2179">
        <v>0</v>
      </c>
      <c r="J2179">
        <v>0</v>
      </c>
      <c r="K2179" s="20">
        <f t="shared" si="256"/>
        <v>0</v>
      </c>
      <c r="L2179">
        <v>15</v>
      </c>
      <c r="M2179">
        <v>1</v>
      </c>
      <c r="N2179" s="21">
        <f t="shared" si="257"/>
        <v>150000</v>
      </c>
      <c r="O2179">
        <v>0</v>
      </c>
      <c r="P2179">
        <v>0</v>
      </c>
      <c r="Q2179" s="21">
        <f t="shared" si="259"/>
        <v>0</v>
      </c>
      <c r="R2179">
        <v>0</v>
      </c>
      <c r="S2179">
        <v>0</v>
      </c>
      <c r="T2179" s="21">
        <f t="shared" si="260"/>
        <v>0</v>
      </c>
      <c r="U2179">
        <v>0</v>
      </c>
      <c r="V2179">
        <v>0</v>
      </c>
      <c r="W2179" s="21">
        <f t="shared" si="261"/>
        <v>0</v>
      </c>
      <c r="X2179">
        <v>0</v>
      </c>
      <c r="Y2179">
        <v>0</v>
      </c>
      <c r="Z2179" s="21">
        <f t="shared" si="262"/>
        <v>0</v>
      </c>
      <c r="AA2179">
        <v>0</v>
      </c>
      <c r="AB2179">
        <v>0</v>
      </c>
      <c r="AC2179" s="21">
        <f t="shared" si="263"/>
        <v>0</v>
      </c>
      <c r="AD2179">
        <v>0</v>
      </c>
      <c r="AE2179">
        <v>0</v>
      </c>
      <c r="AF2179" s="21">
        <f t="shared" si="258"/>
        <v>0</v>
      </c>
    </row>
    <row r="2180" spans="1:32" ht="15" customHeight="1" x14ac:dyDescent="0.3">
      <c r="A2180">
        <v>4</v>
      </c>
      <c r="B2180" s="2" t="s">
        <v>697</v>
      </c>
      <c r="C2180" s="4" t="s">
        <v>694</v>
      </c>
      <c r="D2180" s="3" t="s">
        <v>675</v>
      </c>
      <c r="E2180" s="6" t="s">
        <v>120</v>
      </c>
      <c r="F2180" s="6" t="s">
        <v>152</v>
      </c>
      <c r="G2180" s="6" t="s">
        <v>716</v>
      </c>
      <c r="H2180" s="23">
        <v>39000</v>
      </c>
      <c r="I2180">
        <v>0</v>
      </c>
      <c r="J2180">
        <v>0</v>
      </c>
      <c r="K2180" s="20">
        <f t="shared" si="256"/>
        <v>0</v>
      </c>
      <c r="L2180">
        <v>15</v>
      </c>
      <c r="M2180">
        <v>5</v>
      </c>
      <c r="N2180" s="21">
        <f t="shared" si="257"/>
        <v>2925000</v>
      </c>
      <c r="O2180">
        <v>0</v>
      </c>
      <c r="P2180">
        <v>0</v>
      </c>
      <c r="Q2180" s="21">
        <f t="shared" si="259"/>
        <v>0</v>
      </c>
      <c r="R2180">
        <v>0</v>
      </c>
      <c r="S2180">
        <v>0</v>
      </c>
      <c r="T2180" s="21">
        <f t="shared" si="260"/>
        <v>0</v>
      </c>
      <c r="U2180">
        <v>0</v>
      </c>
      <c r="V2180">
        <v>0</v>
      </c>
      <c r="W2180" s="21">
        <f t="shared" si="261"/>
        <v>0</v>
      </c>
      <c r="X2180">
        <v>0</v>
      </c>
      <c r="Y2180">
        <v>0</v>
      </c>
      <c r="Z2180" s="21">
        <f t="shared" si="262"/>
        <v>0</v>
      </c>
      <c r="AA2180">
        <v>0</v>
      </c>
      <c r="AB2180">
        <v>0</v>
      </c>
      <c r="AC2180" s="21">
        <f t="shared" si="263"/>
        <v>0</v>
      </c>
      <c r="AD2180">
        <v>0</v>
      </c>
      <c r="AE2180">
        <v>0</v>
      </c>
      <c r="AF2180" s="21">
        <f t="shared" si="258"/>
        <v>0</v>
      </c>
    </row>
    <row r="2181" spans="1:32" ht="15" customHeight="1" x14ac:dyDescent="0.3">
      <c r="A2181">
        <v>4</v>
      </c>
      <c r="B2181" s="2" t="s">
        <v>697</v>
      </c>
      <c r="C2181" s="4" t="s">
        <v>694</v>
      </c>
      <c r="D2181" s="3" t="s">
        <v>675</v>
      </c>
      <c r="E2181" s="6" t="s">
        <v>120</v>
      </c>
      <c r="F2181" s="6" t="s">
        <v>152</v>
      </c>
      <c r="G2181" s="6" t="s">
        <v>709</v>
      </c>
      <c r="H2181" s="23">
        <v>28000</v>
      </c>
      <c r="I2181">
        <v>0</v>
      </c>
      <c r="J2181">
        <v>0</v>
      </c>
      <c r="K2181" s="20">
        <f t="shared" si="256"/>
        <v>0</v>
      </c>
      <c r="L2181">
        <v>15</v>
      </c>
      <c r="M2181">
        <v>5</v>
      </c>
      <c r="N2181" s="21">
        <f t="shared" si="257"/>
        <v>2100000</v>
      </c>
      <c r="O2181">
        <v>0</v>
      </c>
      <c r="P2181">
        <v>0</v>
      </c>
      <c r="Q2181" s="21">
        <f t="shared" si="259"/>
        <v>0</v>
      </c>
      <c r="R2181">
        <v>0</v>
      </c>
      <c r="S2181">
        <v>0</v>
      </c>
      <c r="T2181" s="21">
        <f t="shared" si="260"/>
        <v>0</v>
      </c>
      <c r="U2181">
        <v>0</v>
      </c>
      <c r="V2181">
        <v>0</v>
      </c>
      <c r="W2181" s="21">
        <f t="shared" si="261"/>
        <v>0</v>
      </c>
      <c r="X2181">
        <v>0</v>
      </c>
      <c r="Y2181">
        <v>0</v>
      </c>
      <c r="Z2181" s="21">
        <f t="shared" si="262"/>
        <v>0</v>
      </c>
      <c r="AA2181">
        <v>0</v>
      </c>
      <c r="AB2181">
        <v>0</v>
      </c>
      <c r="AC2181" s="21">
        <f t="shared" si="263"/>
        <v>0</v>
      </c>
      <c r="AD2181">
        <v>0</v>
      </c>
      <c r="AE2181">
        <v>0</v>
      </c>
      <c r="AF2181" s="21">
        <f t="shared" si="258"/>
        <v>0</v>
      </c>
    </row>
    <row r="2182" spans="1:32" ht="15" customHeight="1" x14ac:dyDescent="0.3">
      <c r="A2182">
        <v>4</v>
      </c>
      <c r="B2182" s="2" t="s">
        <v>697</v>
      </c>
      <c r="C2182" s="4" t="s">
        <v>694</v>
      </c>
      <c r="D2182" s="3" t="s">
        <v>675</v>
      </c>
      <c r="E2182" s="6" t="s">
        <v>120</v>
      </c>
      <c r="F2182" s="6" t="s">
        <v>152</v>
      </c>
      <c r="G2182" s="6" t="s">
        <v>712</v>
      </c>
      <c r="H2182" s="23">
        <v>214.29</v>
      </c>
      <c r="I2182">
        <v>0</v>
      </c>
      <c r="J2182">
        <v>0</v>
      </c>
      <c r="K2182" s="20">
        <f t="shared" ref="K2182:K2245" si="264">H2182*I2182*J2182</f>
        <v>0</v>
      </c>
      <c r="L2182">
        <v>4000</v>
      </c>
      <c r="M2182">
        <v>5</v>
      </c>
      <c r="N2182" s="21">
        <f t="shared" ref="N2182:N2245" si="265">H2182*L2182*M2182</f>
        <v>4285800</v>
      </c>
      <c r="O2182">
        <v>0</v>
      </c>
      <c r="P2182">
        <v>0</v>
      </c>
      <c r="Q2182" s="21">
        <f t="shared" si="259"/>
        <v>0</v>
      </c>
      <c r="R2182">
        <v>0</v>
      </c>
      <c r="S2182">
        <v>0</v>
      </c>
      <c r="T2182" s="21">
        <f t="shared" si="260"/>
        <v>0</v>
      </c>
      <c r="U2182">
        <v>0</v>
      </c>
      <c r="V2182">
        <v>0</v>
      </c>
      <c r="W2182" s="21">
        <f t="shared" si="261"/>
        <v>0</v>
      </c>
      <c r="X2182">
        <v>0</v>
      </c>
      <c r="Y2182">
        <v>0</v>
      </c>
      <c r="Z2182" s="21">
        <f t="shared" si="262"/>
        <v>0</v>
      </c>
      <c r="AA2182">
        <v>0</v>
      </c>
      <c r="AB2182">
        <v>0</v>
      </c>
      <c r="AC2182" s="21">
        <f t="shared" si="263"/>
        <v>0</v>
      </c>
      <c r="AD2182">
        <v>0</v>
      </c>
      <c r="AE2182">
        <v>0</v>
      </c>
      <c r="AF2182" s="21">
        <f t="shared" ref="AF2182:AF2245" si="266">H2182*AD2182*AE2182</f>
        <v>0</v>
      </c>
    </row>
    <row r="2183" spans="1:32" ht="15" customHeight="1" x14ac:dyDescent="0.3">
      <c r="A2183">
        <v>4</v>
      </c>
      <c r="B2183" s="2" t="s">
        <v>697</v>
      </c>
      <c r="C2183" s="4" t="s">
        <v>694</v>
      </c>
      <c r="D2183" s="3" t="s">
        <v>675</v>
      </c>
      <c r="E2183" s="6" t="s">
        <v>120</v>
      </c>
      <c r="F2183" s="6" t="s">
        <v>180</v>
      </c>
      <c r="G2183" s="6" t="s">
        <v>716</v>
      </c>
      <c r="H2183" s="23">
        <v>39000</v>
      </c>
      <c r="I2183">
        <v>0</v>
      </c>
      <c r="J2183">
        <v>0</v>
      </c>
      <c r="K2183" s="20">
        <f t="shared" si="264"/>
        <v>0</v>
      </c>
      <c r="L2183">
        <v>15</v>
      </c>
      <c r="M2183">
        <v>5</v>
      </c>
      <c r="N2183" s="21">
        <f t="shared" si="265"/>
        <v>2925000</v>
      </c>
      <c r="O2183">
        <v>0</v>
      </c>
      <c r="P2183">
        <v>0</v>
      </c>
      <c r="Q2183" s="21">
        <f t="shared" si="259"/>
        <v>0</v>
      </c>
      <c r="R2183">
        <v>0</v>
      </c>
      <c r="S2183">
        <v>0</v>
      </c>
      <c r="T2183" s="21">
        <f t="shared" si="260"/>
        <v>0</v>
      </c>
      <c r="U2183">
        <v>0</v>
      </c>
      <c r="V2183">
        <v>0</v>
      </c>
      <c r="W2183" s="21">
        <f t="shared" si="261"/>
        <v>0</v>
      </c>
      <c r="X2183">
        <v>0</v>
      </c>
      <c r="Y2183">
        <v>0</v>
      </c>
      <c r="Z2183" s="21">
        <f t="shared" si="262"/>
        <v>0</v>
      </c>
      <c r="AA2183">
        <v>0</v>
      </c>
      <c r="AB2183">
        <v>0</v>
      </c>
      <c r="AC2183" s="21">
        <f t="shared" si="263"/>
        <v>0</v>
      </c>
      <c r="AD2183">
        <v>0</v>
      </c>
      <c r="AE2183">
        <v>0</v>
      </c>
      <c r="AF2183" s="21">
        <f t="shared" si="266"/>
        <v>0</v>
      </c>
    </row>
    <row r="2184" spans="1:32" ht="15" customHeight="1" x14ac:dyDescent="0.3">
      <c r="A2184">
        <v>4</v>
      </c>
      <c r="B2184" s="2" t="s">
        <v>697</v>
      </c>
      <c r="C2184" s="4" t="s">
        <v>694</v>
      </c>
      <c r="D2184" s="3" t="s">
        <v>675</v>
      </c>
      <c r="E2184" s="6" t="s">
        <v>120</v>
      </c>
      <c r="F2184" s="6" t="s">
        <v>180</v>
      </c>
      <c r="G2184" s="6" t="s">
        <v>709</v>
      </c>
      <c r="H2184" s="23">
        <v>28000</v>
      </c>
      <c r="I2184">
        <v>0</v>
      </c>
      <c r="J2184">
        <v>0</v>
      </c>
      <c r="K2184" s="20">
        <f t="shared" si="264"/>
        <v>0</v>
      </c>
      <c r="L2184">
        <v>15</v>
      </c>
      <c r="M2184">
        <v>5</v>
      </c>
      <c r="N2184" s="21">
        <f t="shared" si="265"/>
        <v>2100000</v>
      </c>
      <c r="O2184">
        <v>0</v>
      </c>
      <c r="P2184">
        <v>0</v>
      </c>
      <c r="Q2184" s="21">
        <f t="shared" si="259"/>
        <v>0</v>
      </c>
      <c r="R2184">
        <v>0</v>
      </c>
      <c r="S2184">
        <v>0</v>
      </c>
      <c r="T2184" s="21">
        <f t="shared" si="260"/>
        <v>0</v>
      </c>
      <c r="U2184">
        <v>0</v>
      </c>
      <c r="V2184">
        <v>0</v>
      </c>
      <c r="W2184" s="21">
        <f t="shared" si="261"/>
        <v>0</v>
      </c>
      <c r="X2184">
        <v>0</v>
      </c>
      <c r="Y2184">
        <v>0</v>
      </c>
      <c r="Z2184" s="21">
        <f t="shared" si="262"/>
        <v>0</v>
      </c>
      <c r="AA2184">
        <v>0</v>
      </c>
      <c r="AB2184">
        <v>0</v>
      </c>
      <c r="AC2184" s="21">
        <f t="shared" si="263"/>
        <v>0</v>
      </c>
      <c r="AD2184">
        <v>0</v>
      </c>
      <c r="AE2184">
        <v>0</v>
      </c>
      <c r="AF2184" s="21">
        <f t="shared" si="266"/>
        <v>0</v>
      </c>
    </row>
    <row r="2185" spans="1:32" ht="15" customHeight="1" x14ac:dyDescent="0.3">
      <c r="A2185">
        <v>4</v>
      </c>
      <c r="B2185" s="2" t="s">
        <v>697</v>
      </c>
      <c r="C2185" s="4" t="s">
        <v>694</v>
      </c>
      <c r="D2185" s="3" t="s">
        <v>675</v>
      </c>
      <c r="E2185" s="6" t="s">
        <v>120</v>
      </c>
      <c r="F2185" s="6" t="s">
        <v>180</v>
      </c>
      <c r="G2185" s="6" t="s">
        <v>712</v>
      </c>
      <c r="H2185" s="23">
        <v>214.29</v>
      </c>
      <c r="I2185">
        <v>0</v>
      </c>
      <c r="J2185">
        <v>0</v>
      </c>
      <c r="K2185" s="20">
        <f t="shared" si="264"/>
        <v>0</v>
      </c>
      <c r="L2185">
        <v>4000</v>
      </c>
      <c r="M2185">
        <v>1</v>
      </c>
      <c r="N2185" s="21">
        <f t="shared" si="265"/>
        <v>857160</v>
      </c>
      <c r="O2185">
        <v>0</v>
      </c>
      <c r="P2185">
        <v>0</v>
      </c>
      <c r="Q2185" s="21">
        <f t="shared" si="259"/>
        <v>0</v>
      </c>
      <c r="R2185">
        <v>0</v>
      </c>
      <c r="S2185">
        <v>0</v>
      </c>
      <c r="T2185" s="21">
        <f t="shared" si="260"/>
        <v>0</v>
      </c>
      <c r="U2185">
        <v>0</v>
      </c>
      <c r="V2185">
        <v>0</v>
      </c>
      <c r="W2185" s="21">
        <f t="shared" si="261"/>
        <v>0</v>
      </c>
      <c r="X2185">
        <v>0</v>
      </c>
      <c r="Y2185">
        <v>0</v>
      </c>
      <c r="Z2185" s="21">
        <f t="shared" si="262"/>
        <v>0</v>
      </c>
      <c r="AA2185">
        <v>0</v>
      </c>
      <c r="AB2185">
        <v>0</v>
      </c>
      <c r="AC2185" s="21">
        <f t="shared" si="263"/>
        <v>0</v>
      </c>
      <c r="AD2185">
        <v>0</v>
      </c>
      <c r="AE2185">
        <v>0</v>
      </c>
      <c r="AF2185" s="21">
        <f t="shared" si="266"/>
        <v>0</v>
      </c>
    </row>
    <row r="2186" spans="1:32" ht="15" customHeight="1" x14ac:dyDescent="0.3">
      <c r="A2186">
        <v>4</v>
      </c>
      <c r="B2186" s="2" t="s">
        <v>697</v>
      </c>
      <c r="C2186" s="4" t="s">
        <v>694</v>
      </c>
      <c r="D2186" s="3" t="s">
        <v>675</v>
      </c>
      <c r="E2186" s="6" t="s">
        <v>121</v>
      </c>
      <c r="F2186" s="6" t="s">
        <v>799</v>
      </c>
      <c r="G2186" s="6" t="s">
        <v>716</v>
      </c>
      <c r="H2186" s="23">
        <v>39000</v>
      </c>
      <c r="I2186">
        <v>0</v>
      </c>
      <c r="J2186">
        <v>0</v>
      </c>
      <c r="K2186" s="20">
        <f t="shared" si="264"/>
        <v>0</v>
      </c>
      <c r="L2186">
        <v>20</v>
      </c>
      <c r="M2186">
        <v>5</v>
      </c>
      <c r="N2186" s="21">
        <f t="shared" si="265"/>
        <v>3900000</v>
      </c>
      <c r="O2186">
        <v>0</v>
      </c>
      <c r="P2186">
        <v>0</v>
      </c>
      <c r="Q2186" s="21">
        <f t="shared" si="259"/>
        <v>0</v>
      </c>
      <c r="R2186">
        <v>0</v>
      </c>
      <c r="S2186">
        <v>0</v>
      </c>
      <c r="T2186" s="21">
        <f t="shared" si="260"/>
        <v>0</v>
      </c>
      <c r="U2186">
        <v>0</v>
      </c>
      <c r="V2186">
        <v>0</v>
      </c>
      <c r="W2186" s="21">
        <f t="shared" si="261"/>
        <v>0</v>
      </c>
      <c r="X2186">
        <v>0</v>
      </c>
      <c r="Y2186">
        <v>0</v>
      </c>
      <c r="Z2186" s="21">
        <f t="shared" si="262"/>
        <v>0</v>
      </c>
      <c r="AA2186">
        <v>0</v>
      </c>
      <c r="AB2186">
        <v>0</v>
      </c>
      <c r="AC2186" s="21">
        <f t="shared" si="263"/>
        <v>0</v>
      </c>
      <c r="AD2186">
        <v>0</v>
      </c>
      <c r="AE2186">
        <v>0</v>
      </c>
      <c r="AF2186" s="21">
        <f t="shared" si="266"/>
        <v>0</v>
      </c>
    </row>
    <row r="2187" spans="1:32" ht="15" customHeight="1" x14ac:dyDescent="0.3">
      <c r="A2187">
        <v>4</v>
      </c>
      <c r="B2187" s="2" t="s">
        <v>697</v>
      </c>
      <c r="C2187" s="4" t="s">
        <v>694</v>
      </c>
      <c r="D2187" s="3" t="s">
        <v>675</v>
      </c>
      <c r="E2187" s="6" t="s">
        <v>121</v>
      </c>
      <c r="F2187" s="6" t="s">
        <v>799</v>
      </c>
      <c r="G2187" s="6" t="s">
        <v>712</v>
      </c>
      <c r="H2187" s="23">
        <v>214.29</v>
      </c>
      <c r="I2187">
        <v>0</v>
      </c>
      <c r="J2187">
        <v>0</v>
      </c>
      <c r="K2187" s="20">
        <f t="shared" si="264"/>
        <v>0</v>
      </c>
      <c r="L2187">
        <v>8000</v>
      </c>
      <c r="M2187">
        <v>5</v>
      </c>
      <c r="N2187" s="21">
        <f t="shared" si="265"/>
        <v>8571600</v>
      </c>
      <c r="O2187">
        <v>0</v>
      </c>
      <c r="P2187">
        <v>0</v>
      </c>
      <c r="Q2187" s="21">
        <f t="shared" si="259"/>
        <v>0</v>
      </c>
      <c r="R2187">
        <v>0</v>
      </c>
      <c r="S2187">
        <v>0</v>
      </c>
      <c r="T2187" s="21">
        <f t="shared" si="260"/>
        <v>0</v>
      </c>
      <c r="U2187">
        <v>0</v>
      </c>
      <c r="V2187">
        <v>0</v>
      </c>
      <c r="W2187" s="21">
        <f t="shared" si="261"/>
        <v>0</v>
      </c>
      <c r="X2187">
        <v>0</v>
      </c>
      <c r="Y2187">
        <v>0</v>
      </c>
      <c r="Z2187" s="21">
        <f t="shared" si="262"/>
        <v>0</v>
      </c>
      <c r="AA2187">
        <v>0</v>
      </c>
      <c r="AB2187">
        <v>0</v>
      </c>
      <c r="AC2187" s="21">
        <f t="shared" si="263"/>
        <v>0</v>
      </c>
      <c r="AD2187">
        <v>0</v>
      </c>
      <c r="AE2187">
        <v>0</v>
      </c>
      <c r="AF2187" s="21">
        <f t="shared" si="266"/>
        <v>0</v>
      </c>
    </row>
    <row r="2188" spans="1:32" ht="15" customHeight="1" x14ac:dyDescent="0.3">
      <c r="A2188">
        <v>4</v>
      </c>
      <c r="B2188" s="2" t="s">
        <v>697</v>
      </c>
      <c r="C2188" s="4" t="s">
        <v>694</v>
      </c>
      <c r="D2188" s="3" t="s">
        <v>675</v>
      </c>
      <c r="E2188" s="6" t="s">
        <v>121</v>
      </c>
      <c r="F2188" s="6" t="s">
        <v>799</v>
      </c>
      <c r="G2188" s="6" t="s">
        <v>709</v>
      </c>
      <c r="H2188" s="23">
        <v>28000</v>
      </c>
      <c r="I2188">
        <v>0</v>
      </c>
      <c r="J2188">
        <v>0</v>
      </c>
      <c r="K2188" s="20">
        <f t="shared" si="264"/>
        <v>0</v>
      </c>
      <c r="L2188">
        <v>40</v>
      </c>
      <c r="M2188">
        <v>5</v>
      </c>
      <c r="N2188" s="21">
        <f t="shared" si="265"/>
        <v>5600000</v>
      </c>
      <c r="O2188">
        <v>0</v>
      </c>
      <c r="P2188">
        <v>0</v>
      </c>
      <c r="Q2188" s="21">
        <f t="shared" si="259"/>
        <v>0</v>
      </c>
      <c r="R2188">
        <v>0</v>
      </c>
      <c r="S2188">
        <v>0</v>
      </c>
      <c r="T2188" s="21">
        <f t="shared" si="260"/>
        <v>0</v>
      </c>
      <c r="U2188">
        <v>0</v>
      </c>
      <c r="V2188">
        <v>0</v>
      </c>
      <c r="W2188" s="21">
        <f t="shared" si="261"/>
        <v>0</v>
      </c>
      <c r="X2188">
        <v>0</v>
      </c>
      <c r="Y2188">
        <v>0</v>
      </c>
      <c r="Z2188" s="21">
        <f t="shared" si="262"/>
        <v>0</v>
      </c>
      <c r="AA2188">
        <v>0</v>
      </c>
      <c r="AB2188">
        <v>0</v>
      </c>
      <c r="AC2188" s="21">
        <f t="shared" si="263"/>
        <v>0</v>
      </c>
      <c r="AD2188">
        <v>0</v>
      </c>
      <c r="AE2188">
        <v>0</v>
      </c>
      <c r="AF2188" s="21">
        <f t="shared" si="266"/>
        <v>0</v>
      </c>
    </row>
    <row r="2189" spans="1:32" ht="15" customHeight="1" x14ac:dyDescent="0.3">
      <c r="A2189">
        <v>4</v>
      </c>
      <c r="B2189" s="2" t="s">
        <v>697</v>
      </c>
      <c r="C2189" s="4" t="s">
        <v>694</v>
      </c>
      <c r="D2189" s="3" t="s">
        <v>675</v>
      </c>
      <c r="E2189" s="6" t="s">
        <v>121</v>
      </c>
      <c r="F2189" s="6" t="s">
        <v>280</v>
      </c>
      <c r="G2189" s="6" t="s">
        <v>716</v>
      </c>
      <c r="H2189" s="23">
        <v>39000</v>
      </c>
      <c r="I2189">
        <v>0</v>
      </c>
      <c r="J2189">
        <v>0</v>
      </c>
      <c r="K2189" s="20">
        <f t="shared" si="264"/>
        <v>0</v>
      </c>
      <c r="L2189">
        <v>10</v>
      </c>
      <c r="M2189">
        <v>1</v>
      </c>
      <c r="N2189" s="21">
        <f t="shared" si="265"/>
        <v>390000</v>
      </c>
      <c r="O2189">
        <v>0</v>
      </c>
      <c r="P2189">
        <v>0</v>
      </c>
      <c r="Q2189" s="21">
        <f t="shared" si="259"/>
        <v>0</v>
      </c>
      <c r="R2189">
        <v>0</v>
      </c>
      <c r="S2189">
        <v>0</v>
      </c>
      <c r="T2189" s="21">
        <f t="shared" si="260"/>
        <v>0</v>
      </c>
      <c r="U2189">
        <v>0</v>
      </c>
      <c r="V2189">
        <v>0</v>
      </c>
      <c r="W2189" s="21">
        <f t="shared" si="261"/>
        <v>0</v>
      </c>
      <c r="X2189">
        <v>0</v>
      </c>
      <c r="Y2189">
        <v>0</v>
      </c>
      <c r="Z2189" s="21">
        <f t="shared" si="262"/>
        <v>0</v>
      </c>
      <c r="AA2189">
        <v>0</v>
      </c>
      <c r="AB2189">
        <v>0</v>
      </c>
      <c r="AC2189" s="21">
        <f t="shared" si="263"/>
        <v>0</v>
      </c>
      <c r="AD2189">
        <v>0</v>
      </c>
      <c r="AE2189">
        <v>0</v>
      </c>
      <c r="AF2189" s="21">
        <f t="shared" si="266"/>
        <v>0</v>
      </c>
    </row>
    <row r="2190" spans="1:32" ht="15" customHeight="1" x14ac:dyDescent="0.3">
      <c r="A2190">
        <v>4</v>
      </c>
      <c r="B2190" s="2" t="s">
        <v>697</v>
      </c>
      <c r="C2190" s="4" t="s">
        <v>694</v>
      </c>
      <c r="D2190" s="3" t="s">
        <v>675</v>
      </c>
      <c r="E2190" s="6" t="s">
        <v>121</v>
      </c>
      <c r="F2190" s="6" t="s">
        <v>280</v>
      </c>
      <c r="G2190" s="6" t="s">
        <v>709</v>
      </c>
      <c r="H2190" s="23">
        <v>28000</v>
      </c>
      <c r="I2190">
        <v>0</v>
      </c>
      <c r="J2190">
        <v>0</v>
      </c>
      <c r="K2190" s="20">
        <f t="shared" si="264"/>
        <v>0</v>
      </c>
      <c r="L2190">
        <v>40</v>
      </c>
      <c r="M2190">
        <v>1</v>
      </c>
      <c r="N2190" s="21">
        <f t="shared" si="265"/>
        <v>1120000</v>
      </c>
      <c r="O2190">
        <v>0</v>
      </c>
      <c r="P2190">
        <v>0</v>
      </c>
      <c r="Q2190" s="21">
        <f t="shared" si="259"/>
        <v>0</v>
      </c>
      <c r="R2190">
        <v>0</v>
      </c>
      <c r="S2190">
        <v>0</v>
      </c>
      <c r="T2190" s="21">
        <f t="shared" si="260"/>
        <v>0</v>
      </c>
      <c r="U2190">
        <v>0</v>
      </c>
      <c r="V2190">
        <v>0</v>
      </c>
      <c r="W2190" s="21">
        <f t="shared" si="261"/>
        <v>0</v>
      </c>
      <c r="X2190">
        <v>0</v>
      </c>
      <c r="Y2190">
        <v>0</v>
      </c>
      <c r="Z2190" s="21">
        <f t="shared" si="262"/>
        <v>0</v>
      </c>
      <c r="AA2190">
        <v>0</v>
      </c>
      <c r="AB2190">
        <v>0</v>
      </c>
      <c r="AC2190" s="21">
        <f t="shared" si="263"/>
        <v>0</v>
      </c>
      <c r="AD2190">
        <v>0</v>
      </c>
      <c r="AE2190">
        <v>0</v>
      </c>
      <c r="AF2190" s="21">
        <f t="shared" si="266"/>
        <v>0</v>
      </c>
    </row>
    <row r="2191" spans="1:32" ht="15" customHeight="1" x14ac:dyDescent="0.3">
      <c r="A2191">
        <v>4</v>
      </c>
      <c r="B2191" s="2" t="s">
        <v>697</v>
      </c>
      <c r="C2191" s="4" t="s">
        <v>694</v>
      </c>
      <c r="D2191" s="3" t="s">
        <v>675</v>
      </c>
      <c r="E2191" s="6" t="s">
        <v>121</v>
      </c>
      <c r="F2191" s="6" t="s">
        <v>280</v>
      </c>
      <c r="G2191" s="6" t="s">
        <v>712</v>
      </c>
      <c r="H2191" s="23">
        <v>214.29</v>
      </c>
      <c r="I2191">
        <v>0</v>
      </c>
      <c r="J2191">
        <v>0</v>
      </c>
      <c r="K2191" s="20">
        <f t="shared" si="264"/>
        <v>0</v>
      </c>
      <c r="L2191">
        <v>4000</v>
      </c>
      <c r="M2191">
        <v>1</v>
      </c>
      <c r="N2191" s="21">
        <f t="shared" si="265"/>
        <v>857160</v>
      </c>
      <c r="O2191">
        <v>0</v>
      </c>
      <c r="P2191">
        <v>0</v>
      </c>
      <c r="Q2191" s="21">
        <f t="shared" si="259"/>
        <v>0</v>
      </c>
      <c r="R2191">
        <v>0</v>
      </c>
      <c r="S2191">
        <v>0</v>
      </c>
      <c r="T2191" s="21">
        <f t="shared" si="260"/>
        <v>0</v>
      </c>
      <c r="U2191">
        <v>0</v>
      </c>
      <c r="V2191">
        <v>0</v>
      </c>
      <c r="W2191" s="21">
        <f t="shared" si="261"/>
        <v>0</v>
      </c>
      <c r="X2191">
        <v>0</v>
      </c>
      <c r="Y2191">
        <v>0</v>
      </c>
      <c r="Z2191" s="21">
        <f t="shared" si="262"/>
        <v>0</v>
      </c>
      <c r="AA2191">
        <v>0</v>
      </c>
      <c r="AB2191">
        <v>0</v>
      </c>
      <c r="AC2191" s="21">
        <f t="shared" si="263"/>
        <v>0</v>
      </c>
      <c r="AD2191">
        <v>0</v>
      </c>
      <c r="AE2191">
        <v>0</v>
      </c>
      <c r="AF2191" s="21">
        <f t="shared" si="266"/>
        <v>0</v>
      </c>
    </row>
    <row r="2192" spans="1:32" ht="15" customHeight="1" x14ac:dyDescent="0.3">
      <c r="A2192">
        <v>4</v>
      </c>
      <c r="B2192" s="2" t="s">
        <v>697</v>
      </c>
      <c r="C2192" s="4" t="s">
        <v>694</v>
      </c>
      <c r="D2192" s="3" t="s">
        <v>675</v>
      </c>
      <c r="E2192" s="6" t="s">
        <v>121</v>
      </c>
      <c r="F2192" s="6" t="s">
        <v>344</v>
      </c>
      <c r="G2192" s="6" t="s">
        <v>709</v>
      </c>
      <c r="H2192" s="23">
        <v>28000</v>
      </c>
      <c r="I2192">
        <v>0</v>
      </c>
      <c r="J2192">
        <v>0</v>
      </c>
      <c r="K2192" s="20">
        <f t="shared" si="264"/>
        <v>0</v>
      </c>
      <c r="L2192">
        <v>20</v>
      </c>
      <c r="M2192">
        <v>1</v>
      </c>
      <c r="N2192" s="21">
        <f t="shared" si="265"/>
        <v>560000</v>
      </c>
      <c r="O2192">
        <v>0</v>
      </c>
      <c r="P2192">
        <v>0</v>
      </c>
      <c r="Q2192" s="21">
        <f t="shared" si="259"/>
        <v>0</v>
      </c>
      <c r="R2192">
        <v>0</v>
      </c>
      <c r="S2192">
        <v>0</v>
      </c>
      <c r="T2192" s="21">
        <f t="shared" si="260"/>
        <v>0</v>
      </c>
      <c r="U2192">
        <v>0</v>
      </c>
      <c r="V2192">
        <v>0</v>
      </c>
      <c r="W2192" s="21">
        <f t="shared" si="261"/>
        <v>0</v>
      </c>
      <c r="X2192">
        <v>0</v>
      </c>
      <c r="Y2192">
        <v>0</v>
      </c>
      <c r="Z2192" s="21">
        <f t="shared" si="262"/>
        <v>0</v>
      </c>
      <c r="AA2192">
        <v>0</v>
      </c>
      <c r="AB2192">
        <v>0</v>
      </c>
      <c r="AC2192" s="21">
        <f t="shared" si="263"/>
        <v>0</v>
      </c>
      <c r="AD2192">
        <v>0</v>
      </c>
      <c r="AE2192">
        <v>0</v>
      </c>
      <c r="AF2192" s="21">
        <f t="shared" si="266"/>
        <v>0</v>
      </c>
    </row>
    <row r="2193" spans="1:32" ht="15" customHeight="1" x14ac:dyDescent="0.3">
      <c r="A2193">
        <v>4</v>
      </c>
      <c r="B2193" s="2" t="s">
        <v>697</v>
      </c>
      <c r="C2193" s="4" t="s">
        <v>694</v>
      </c>
      <c r="D2193" s="3" t="s">
        <v>675</v>
      </c>
      <c r="E2193" s="6" t="s">
        <v>121</v>
      </c>
      <c r="F2193" s="6" t="s">
        <v>575</v>
      </c>
      <c r="G2193" s="6" t="s">
        <v>709</v>
      </c>
      <c r="H2193" s="23">
        <v>28000</v>
      </c>
      <c r="I2193">
        <v>0</v>
      </c>
      <c r="J2193">
        <v>0</v>
      </c>
      <c r="K2193" s="20">
        <f t="shared" si="264"/>
        <v>0</v>
      </c>
      <c r="L2193">
        <v>20</v>
      </c>
      <c r="M2193">
        <v>1</v>
      </c>
      <c r="N2193" s="21">
        <f t="shared" si="265"/>
        <v>560000</v>
      </c>
      <c r="O2193">
        <v>0</v>
      </c>
      <c r="P2193">
        <v>0</v>
      </c>
      <c r="Q2193" s="21">
        <f t="shared" si="259"/>
        <v>0</v>
      </c>
      <c r="R2193">
        <v>0</v>
      </c>
      <c r="S2193">
        <v>0</v>
      </c>
      <c r="T2193" s="21">
        <f t="shared" si="260"/>
        <v>0</v>
      </c>
      <c r="U2193">
        <v>0</v>
      </c>
      <c r="V2193">
        <v>0</v>
      </c>
      <c r="W2193" s="21">
        <f t="shared" si="261"/>
        <v>0</v>
      </c>
      <c r="X2193">
        <v>0</v>
      </c>
      <c r="Y2193">
        <v>0</v>
      </c>
      <c r="Z2193" s="21">
        <f t="shared" si="262"/>
        <v>0</v>
      </c>
      <c r="AA2193">
        <v>0</v>
      </c>
      <c r="AB2193">
        <v>0</v>
      </c>
      <c r="AC2193" s="21">
        <f t="shared" si="263"/>
        <v>0</v>
      </c>
      <c r="AD2193">
        <v>0</v>
      </c>
      <c r="AE2193">
        <v>0</v>
      </c>
      <c r="AF2193" s="21">
        <f t="shared" si="266"/>
        <v>0</v>
      </c>
    </row>
    <row r="2194" spans="1:32" ht="15" customHeight="1" x14ac:dyDescent="0.3">
      <c r="A2194">
        <v>4</v>
      </c>
      <c r="B2194" s="2" t="s">
        <v>697</v>
      </c>
      <c r="C2194" s="4" t="s">
        <v>694</v>
      </c>
      <c r="D2194" s="3" t="s">
        <v>675</v>
      </c>
      <c r="E2194" s="6" t="s">
        <v>121</v>
      </c>
      <c r="F2194" s="6" t="s">
        <v>576</v>
      </c>
      <c r="G2194" s="6" t="s">
        <v>716</v>
      </c>
      <c r="H2194" s="23">
        <v>39000</v>
      </c>
      <c r="I2194">
        <v>0</v>
      </c>
      <c r="J2194">
        <v>0</v>
      </c>
      <c r="K2194" s="20">
        <f t="shared" si="264"/>
        <v>0</v>
      </c>
      <c r="L2194">
        <v>10</v>
      </c>
      <c r="M2194">
        <v>1</v>
      </c>
      <c r="N2194" s="21">
        <f t="shared" si="265"/>
        <v>390000</v>
      </c>
      <c r="O2194">
        <v>0</v>
      </c>
      <c r="P2194">
        <v>0</v>
      </c>
      <c r="Q2194" s="21">
        <f t="shared" si="259"/>
        <v>0</v>
      </c>
      <c r="R2194">
        <v>0</v>
      </c>
      <c r="S2194">
        <v>0</v>
      </c>
      <c r="T2194" s="21">
        <f t="shared" si="260"/>
        <v>0</v>
      </c>
      <c r="U2194">
        <v>0</v>
      </c>
      <c r="V2194">
        <v>0</v>
      </c>
      <c r="W2194" s="21">
        <f t="shared" si="261"/>
        <v>0</v>
      </c>
      <c r="X2194">
        <v>0</v>
      </c>
      <c r="Y2194">
        <v>0</v>
      </c>
      <c r="Z2194" s="21">
        <f t="shared" si="262"/>
        <v>0</v>
      </c>
      <c r="AA2194">
        <v>0</v>
      </c>
      <c r="AB2194">
        <v>0</v>
      </c>
      <c r="AC2194" s="21">
        <f t="shared" si="263"/>
        <v>0</v>
      </c>
      <c r="AD2194">
        <v>0</v>
      </c>
      <c r="AE2194">
        <v>0</v>
      </c>
      <c r="AF2194" s="21">
        <f t="shared" si="266"/>
        <v>0</v>
      </c>
    </row>
    <row r="2195" spans="1:32" ht="15" customHeight="1" x14ac:dyDescent="0.3">
      <c r="A2195">
        <v>4</v>
      </c>
      <c r="B2195" s="2" t="s">
        <v>697</v>
      </c>
      <c r="C2195" s="4" t="s">
        <v>694</v>
      </c>
      <c r="D2195" s="3" t="s">
        <v>675</v>
      </c>
      <c r="E2195" s="6" t="s">
        <v>121</v>
      </c>
      <c r="F2195" s="6" t="s">
        <v>576</v>
      </c>
      <c r="G2195" s="6" t="s">
        <v>709</v>
      </c>
      <c r="H2195" s="23">
        <v>28000</v>
      </c>
      <c r="I2195">
        <v>0</v>
      </c>
      <c r="J2195">
        <v>0</v>
      </c>
      <c r="K2195" s="20">
        <f t="shared" si="264"/>
        <v>0</v>
      </c>
      <c r="L2195">
        <v>20</v>
      </c>
      <c r="M2195">
        <v>1</v>
      </c>
      <c r="N2195" s="21">
        <f t="shared" si="265"/>
        <v>560000</v>
      </c>
      <c r="O2195">
        <v>0</v>
      </c>
      <c r="P2195">
        <v>0</v>
      </c>
      <c r="Q2195" s="21">
        <f t="shared" si="259"/>
        <v>0</v>
      </c>
      <c r="R2195">
        <v>0</v>
      </c>
      <c r="S2195">
        <v>0</v>
      </c>
      <c r="T2195" s="21">
        <f t="shared" si="260"/>
        <v>0</v>
      </c>
      <c r="U2195">
        <v>0</v>
      </c>
      <c r="V2195">
        <v>0</v>
      </c>
      <c r="W2195" s="21">
        <f t="shared" si="261"/>
        <v>0</v>
      </c>
      <c r="X2195">
        <v>0</v>
      </c>
      <c r="Y2195">
        <v>0</v>
      </c>
      <c r="Z2195" s="21">
        <f t="shared" si="262"/>
        <v>0</v>
      </c>
      <c r="AA2195">
        <v>0</v>
      </c>
      <c r="AB2195">
        <v>0</v>
      </c>
      <c r="AC2195" s="21">
        <f t="shared" si="263"/>
        <v>0</v>
      </c>
      <c r="AD2195">
        <v>0</v>
      </c>
      <c r="AE2195">
        <v>0</v>
      </c>
      <c r="AF2195" s="21">
        <f t="shared" si="266"/>
        <v>0</v>
      </c>
    </row>
    <row r="2196" spans="1:32" ht="15" customHeight="1" x14ac:dyDescent="0.3">
      <c r="A2196">
        <v>4</v>
      </c>
      <c r="B2196" s="2" t="s">
        <v>697</v>
      </c>
      <c r="C2196" s="4" t="s">
        <v>694</v>
      </c>
      <c r="D2196" s="3" t="s">
        <v>675</v>
      </c>
      <c r="E2196" s="6" t="s">
        <v>121</v>
      </c>
      <c r="F2196" s="6" t="s">
        <v>576</v>
      </c>
      <c r="G2196" s="6" t="s">
        <v>712</v>
      </c>
      <c r="H2196" s="23">
        <v>214.29</v>
      </c>
      <c r="I2196">
        <v>0</v>
      </c>
      <c r="J2196">
        <v>0</v>
      </c>
      <c r="K2196" s="20">
        <f t="shared" si="264"/>
        <v>0</v>
      </c>
      <c r="L2196">
        <v>20000</v>
      </c>
      <c r="M2196">
        <v>1</v>
      </c>
      <c r="N2196" s="21">
        <f t="shared" si="265"/>
        <v>4285800</v>
      </c>
      <c r="O2196">
        <v>0</v>
      </c>
      <c r="P2196">
        <v>0</v>
      </c>
      <c r="Q2196" s="21">
        <f t="shared" si="259"/>
        <v>0</v>
      </c>
      <c r="R2196">
        <v>0</v>
      </c>
      <c r="S2196">
        <v>0</v>
      </c>
      <c r="T2196" s="21">
        <f t="shared" si="260"/>
        <v>0</v>
      </c>
      <c r="U2196">
        <v>0</v>
      </c>
      <c r="V2196">
        <v>0</v>
      </c>
      <c r="W2196" s="21">
        <f t="shared" si="261"/>
        <v>0</v>
      </c>
      <c r="X2196">
        <v>0</v>
      </c>
      <c r="Y2196">
        <v>0</v>
      </c>
      <c r="Z2196" s="21">
        <f t="shared" si="262"/>
        <v>0</v>
      </c>
      <c r="AA2196">
        <v>0</v>
      </c>
      <c r="AB2196">
        <v>0</v>
      </c>
      <c r="AC2196" s="21">
        <f t="shared" si="263"/>
        <v>0</v>
      </c>
      <c r="AD2196">
        <v>0</v>
      </c>
      <c r="AE2196">
        <v>0</v>
      </c>
      <c r="AF2196" s="21">
        <f t="shared" si="266"/>
        <v>0</v>
      </c>
    </row>
    <row r="2197" spans="1:32" ht="15" customHeight="1" x14ac:dyDescent="0.3">
      <c r="A2197">
        <v>4</v>
      </c>
      <c r="B2197" s="2" t="s">
        <v>697</v>
      </c>
      <c r="C2197" s="4" t="s">
        <v>694</v>
      </c>
      <c r="D2197" s="3" t="s">
        <v>676</v>
      </c>
      <c r="E2197" s="6" t="s">
        <v>122</v>
      </c>
      <c r="F2197" s="6" t="s">
        <v>577</v>
      </c>
      <c r="G2197" s="6" t="s">
        <v>718</v>
      </c>
      <c r="H2197" s="23">
        <v>0</v>
      </c>
      <c r="I2197">
        <v>0</v>
      </c>
      <c r="J2197">
        <v>0</v>
      </c>
      <c r="K2197" s="20">
        <f t="shared" si="264"/>
        <v>0</v>
      </c>
      <c r="L2197">
        <v>0</v>
      </c>
      <c r="M2197">
        <v>0</v>
      </c>
      <c r="N2197" s="21">
        <f t="shared" si="265"/>
        <v>0</v>
      </c>
      <c r="O2197">
        <v>0</v>
      </c>
      <c r="P2197">
        <v>0</v>
      </c>
      <c r="Q2197" s="21">
        <f t="shared" si="259"/>
        <v>0</v>
      </c>
      <c r="R2197">
        <v>0</v>
      </c>
      <c r="S2197">
        <v>0</v>
      </c>
      <c r="T2197" s="21">
        <f t="shared" si="260"/>
        <v>0</v>
      </c>
      <c r="U2197">
        <v>0</v>
      </c>
      <c r="V2197">
        <v>0</v>
      </c>
      <c r="W2197" s="21">
        <f t="shared" si="261"/>
        <v>0</v>
      </c>
      <c r="X2197">
        <v>0</v>
      </c>
      <c r="Y2197">
        <v>0</v>
      </c>
      <c r="Z2197" s="21">
        <f t="shared" si="262"/>
        <v>0</v>
      </c>
      <c r="AA2197">
        <v>0</v>
      </c>
      <c r="AB2197">
        <v>0</v>
      </c>
      <c r="AC2197" s="21">
        <f t="shared" si="263"/>
        <v>0</v>
      </c>
      <c r="AD2197">
        <v>0</v>
      </c>
      <c r="AE2197">
        <v>0</v>
      </c>
      <c r="AF2197" s="21">
        <f t="shared" si="266"/>
        <v>0</v>
      </c>
    </row>
    <row r="2198" spans="1:32" ht="15" customHeight="1" x14ac:dyDescent="0.3">
      <c r="A2198">
        <v>4</v>
      </c>
      <c r="B2198" s="2" t="s">
        <v>697</v>
      </c>
      <c r="C2198" s="4" t="s">
        <v>694</v>
      </c>
      <c r="D2198" s="3" t="s">
        <v>676</v>
      </c>
      <c r="E2198" s="6" t="s">
        <v>122</v>
      </c>
      <c r="F2198" s="6" t="s">
        <v>149</v>
      </c>
      <c r="G2198" s="6" t="s">
        <v>707</v>
      </c>
      <c r="H2198" s="23">
        <v>391991.03749999998</v>
      </c>
      <c r="I2198">
        <v>1</v>
      </c>
      <c r="J2198">
        <v>6</v>
      </c>
      <c r="K2198" s="20">
        <f t="shared" si="264"/>
        <v>2351946.2249999996</v>
      </c>
      <c r="L2198">
        <v>0</v>
      </c>
      <c r="M2198">
        <v>0</v>
      </c>
      <c r="N2198" s="21">
        <f t="shared" si="265"/>
        <v>0</v>
      </c>
      <c r="O2198">
        <v>0</v>
      </c>
      <c r="P2198">
        <v>0</v>
      </c>
      <c r="Q2198" s="21">
        <f t="shared" si="259"/>
        <v>0</v>
      </c>
      <c r="R2198">
        <v>0</v>
      </c>
      <c r="S2198">
        <v>0</v>
      </c>
      <c r="T2198" s="21">
        <f t="shared" si="260"/>
        <v>0</v>
      </c>
      <c r="U2198">
        <v>0</v>
      </c>
      <c r="V2198">
        <v>0</v>
      </c>
      <c r="W2198" s="21">
        <f t="shared" si="261"/>
        <v>0</v>
      </c>
      <c r="X2198">
        <v>0</v>
      </c>
      <c r="Y2198">
        <v>0</v>
      </c>
      <c r="Z2198" s="21">
        <f t="shared" si="262"/>
        <v>0</v>
      </c>
      <c r="AA2198">
        <v>0</v>
      </c>
      <c r="AB2198">
        <v>0</v>
      </c>
      <c r="AC2198" s="21">
        <f t="shared" si="263"/>
        <v>0</v>
      </c>
      <c r="AD2198">
        <v>0</v>
      </c>
      <c r="AE2198">
        <v>0</v>
      </c>
      <c r="AF2198" s="21">
        <f t="shared" si="266"/>
        <v>0</v>
      </c>
    </row>
    <row r="2199" spans="1:32" ht="15" customHeight="1" x14ac:dyDescent="0.3">
      <c r="A2199">
        <v>4</v>
      </c>
      <c r="B2199" s="2" t="s">
        <v>697</v>
      </c>
      <c r="C2199" s="4" t="s">
        <v>694</v>
      </c>
      <c r="D2199" s="3" t="s">
        <v>676</v>
      </c>
      <c r="E2199" s="6" t="s">
        <v>122</v>
      </c>
      <c r="F2199" s="6" t="s">
        <v>149</v>
      </c>
      <c r="G2199" s="6" t="s">
        <v>708</v>
      </c>
      <c r="H2199" s="23">
        <v>425000</v>
      </c>
      <c r="I2199">
        <v>1</v>
      </c>
      <c r="J2199">
        <v>40</v>
      </c>
      <c r="K2199" s="20">
        <f t="shared" si="264"/>
        <v>17000000</v>
      </c>
      <c r="L2199">
        <v>0</v>
      </c>
      <c r="M2199">
        <v>0</v>
      </c>
      <c r="N2199" s="21">
        <f t="shared" si="265"/>
        <v>0</v>
      </c>
      <c r="O2199">
        <v>0</v>
      </c>
      <c r="P2199">
        <v>0</v>
      </c>
      <c r="Q2199" s="21">
        <f t="shared" si="259"/>
        <v>0</v>
      </c>
      <c r="R2199">
        <v>0</v>
      </c>
      <c r="S2199">
        <v>0</v>
      </c>
      <c r="T2199" s="21">
        <f t="shared" si="260"/>
        <v>0</v>
      </c>
      <c r="U2199">
        <v>0</v>
      </c>
      <c r="V2199">
        <v>0</v>
      </c>
      <c r="W2199" s="21">
        <f t="shared" si="261"/>
        <v>0</v>
      </c>
      <c r="X2199">
        <v>0</v>
      </c>
      <c r="Y2199">
        <v>0</v>
      </c>
      <c r="Z2199" s="21">
        <f t="shared" si="262"/>
        <v>0</v>
      </c>
      <c r="AA2199">
        <v>0</v>
      </c>
      <c r="AB2199">
        <v>0</v>
      </c>
      <c r="AC2199" s="21">
        <f t="shared" si="263"/>
        <v>0</v>
      </c>
      <c r="AD2199">
        <v>0</v>
      </c>
      <c r="AE2199">
        <v>0</v>
      </c>
      <c r="AF2199" s="21">
        <f t="shared" si="266"/>
        <v>0</v>
      </c>
    </row>
    <row r="2200" spans="1:32" ht="15" customHeight="1" x14ac:dyDescent="0.3">
      <c r="A2200">
        <v>4</v>
      </c>
      <c r="B2200" s="2" t="s">
        <v>697</v>
      </c>
      <c r="C2200" s="4" t="s">
        <v>694</v>
      </c>
      <c r="D2200" s="3" t="s">
        <v>676</v>
      </c>
      <c r="E2200" s="6" t="s">
        <v>122</v>
      </c>
      <c r="F2200" s="6" t="s">
        <v>578</v>
      </c>
      <c r="G2200" s="6" t="s">
        <v>718</v>
      </c>
      <c r="H2200" s="23">
        <v>0</v>
      </c>
      <c r="K2200" s="20">
        <f t="shared" si="264"/>
        <v>0</v>
      </c>
      <c r="L2200">
        <v>0</v>
      </c>
      <c r="M2200">
        <v>0</v>
      </c>
      <c r="N2200" s="21">
        <f t="shared" si="265"/>
        <v>0</v>
      </c>
      <c r="O2200">
        <v>0</v>
      </c>
      <c r="P2200">
        <v>0</v>
      </c>
      <c r="Q2200" s="21">
        <f t="shared" si="259"/>
        <v>0</v>
      </c>
      <c r="R2200">
        <v>0</v>
      </c>
      <c r="S2200">
        <v>0</v>
      </c>
      <c r="T2200" s="21">
        <f t="shared" si="260"/>
        <v>0</v>
      </c>
      <c r="U2200">
        <v>0</v>
      </c>
      <c r="V2200">
        <v>0</v>
      </c>
      <c r="W2200" s="21">
        <f t="shared" si="261"/>
        <v>0</v>
      </c>
      <c r="X2200">
        <v>0</v>
      </c>
      <c r="Y2200">
        <v>0</v>
      </c>
      <c r="Z2200" s="21">
        <f t="shared" si="262"/>
        <v>0</v>
      </c>
      <c r="AA2200">
        <v>0</v>
      </c>
      <c r="AB2200">
        <v>0</v>
      </c>
      <c r="AC2200" s="21">
        <f t="shared" si="263"/>
        <v>0</v>
      </c>
      <c r="AD2200">
        <v>0</v>
      </c>
      <c r="AE2200">
        <v>0</v>
      </c>
      <c r="AF2200" s="21">
        <f t="shared" si="266"/>
        <v>0</v>
      </c>
    </row>
    <row r="2201" spans="1:32" ht="15" customHeight="1" x14ac:dyDescent="0.3">
      <c r="A2201">
        <v>4</v>
      </c>
      <c r="B2201" s="2" t="s">
        <v>697</v>
      </c>
      <c r="C2201" s="4" t="s">
        <v>694</v>
      </c>
      <c r="D2201" s="3" t="s">
        <v>676</v>
      </c>
      <c r="E2201" s="6" t="s">
        <v>122</v>
      </c>
      <c r="F2201" s="6" t="s">
        <v>179</v>
      </c>
      <c r="G2201" s="6" t="s">
        <v>713</v>
      </c>
      <c r="H2201" s="23">
        <v>45000</v>
      </c>
      <c r="I2201">
        <v>15</v>
      </c>
      <c r="J2201">
        <v>10</v>
      </c>
      <c r="K2201" s="20">
        <f t="shared" si="264"/>
        <v>6750000</v>
      </c>
      <c r="L2201">
        <v>0</v>
      </c>
      <c r="M2201">
        <v>0</v>
      </c>
      <c r="N2201" s="21">
        <f t="shared" si="265"/>
        <v>0</v>
      </c>
      <c r="O2201">
        <v>0</v>
      </c>
      <c r="P2201">
        <v>0</v>
      </c>
      <c r="Q2201" s="21">
        <f t="shared" si="259"/>
        <v>0</v>
      </c>
      <c r="R2201">
        <v>0</v>
      </c>
      <c r="S2201">
        <v>0</v>
      </c>
      <c r="T2201" s="21">
        <f t="shared" si="260"/>
        <v>0</v>
      </c>
      <c r="U2201">
        <v>0</v>
      </c>
      <c r="V2201">
        <v>0</v>
      </c>
      <c r="W2201" s="21">
        <f t="shared" si="261"/>
        <v>0</v>
      </c>
      <c r="X2201">
        <v>0</v>
      </c>
      <c r="Y2201">
        <v>0</v>
      </c>
      <c r="Z2201" s="21">
        <f t="shared" si="262"/>
        <v>0</v>
      </c>
      <c r="AA2201">
        <v>0</v>
      </c>
      <c r="AB2201">
        <v>0</v>
      </c>
      <c r="AC2201" s="21">
        <f t="shared" si="263"/>
        <v>0</v>
      </c>
      <c r="AD2201">
        <v>0</v>
      </c>
      <c r="AE2201">
        <v>0</v>
      </c>
      <c r="AF2201" s="21">
        <f t="shared" si="266"/>
        <v>0</v>
      </c>
    </row>
    <row r="2202" spans="1:32" ht="15" customHeight="1" x14ac:dyDescent="0.3">
      <c r="A2202">
        <v>4</v>
      </c>
      <c r="B2202" s="2" t="s">
        <v>697</v>
      </c>
      <c r="C2202" s="4" t="s">
        <v>694</v>
      </c>
      <c r="D2202" s="3" t="s">
        <v>676</v>
      </c>
      <c r="E2202" s="6" t="s">
        <v>122</v>
      </c>
      <c r="F2202" s="6" t="s">
        <v>179</v>
      </c>
      <c r="G2202" s="6" t="s">
        <v>714</v>
      </c>
      <c r="H2202" s="23">
        <v>10000</v>
      </c>
      <c r="I2202">
        <v>15</v>
      </c>
      <c r="J2202">
        <v>1</v>
      </c>
      <c r="K2202" s="20">
        <f t="shared" si="264"/>
        <v>150000</v>
      </c>
      <c r="L2202">
        <v>0</v>
      </c>
      <c r="M2202">
        <v>0</v>
      </c>
      <c r="N2202" s="21">
        <f t="shared" si="265"/>
        <v>0</v>
      </c>
      <c r="O2202">
        <v>0</v>
      </c>
      <c r="P2202">
        <v>0</v>
      </c>
      <c r="Q2202" s="21">
        <f t="shared" si="259"/>
        <v>0</v>
      </c>
      <c r="R2202">
        <v>0</v>
      </c>
      <c r="S2202">
        <v>0</v>
      </c>
      <c r="T2202" s="21">
        <f t="shared" si="260"/>
        <v>0</v>
      </c>
      <c r="U2202">
        <v>0</v>
      </c>
      <c r="V2202">
        <v>0</v>
      </c>
      <c r="W2202" s="21">
        <f t="shared" si="261"/>
        <v>0</v>
      </c>
      <c r="X2202">
        <v>0</v>
      </c>
      <c r="Y2202">
        <v>0</v>
      </c>
      <c r="Z2202" s="21">
        <f t="shared" si="262"/>
        <v>0</v>
      </c>
      <c r="AA2202">
        <v>0</v>
      </c>
      <c r="AB2202">
        <v>0</v>
      </c>
      <c r="AC2202" s="21">
        <f t="shared" si="263"/>
        <v>0</v>
      </c>
      <c r="AD2202">
        <v>0</v>
      </c>
      <c r="AE2202">
        <v>0</v>
      </c>
      <c r="AF2202" s="21">
        <f t="shared" si="266"/>
        <v>0</v>
      </c>
    </row>
    <row r="2203" spans="1:32" ht="15" customHeight="1" x14ac:dyDescent="0.3">
      <c r="A2203">
        <v>4</v>
      </c>
      <c r="B2203" s="2" t="s">
        <v>697</v>
      </c>
      <c r="C2203" s="4" t="s">
        <v>694</v>
      </c>
      <c r="D2203" s="3" t="s">
        <v>676</v>
      </c>
      <c r="E2203" s="6" t="s">
        <v>122</v>
      </c>
      <c r="F2203" s="6" t="s">
        <v>179</v>
      </c>
      <c r="G2203" s="6" t="s">
        <v>712</v>
      </c>
      <c r="H2203" s="23">
        <v>214.29</v>
      </c>
      <c r="I2203">
        <v>20000</v>
      </c>
      <c r="J2203">
        <v>1</v>
      </c>
      <c r="K2203" s="20">
        <f t="shared" si="264"/>
        <v>4285800</v>
      </c>
      <c r="L2203">
        <v>0</v>
      </c>
      <c r="M2203">
        <v>0</v>
      </c>
      <c r="N2203" s="21">
        <f t="shared" si="265"/>
        <v>0</v>
      </c>
      <c r="O2203">
        <v>0</v>
      </c>
      <c r="P2203">
        <v>0</v>
      </c>
      <c r="Q2203" s="21">
        <f t="shared" si="259"/>
        <v>0</v>
      </c>
      <c r="R2203">
        <v>0</v>
      </c>
      <c r="S2203">
        <v>0</v>
      </c>
      <c r="T2203" s="21">
        <f t="shared" si="260"/>
        <v>0</v>
      </c>
      <c r="U2203">
        <v>0</v>
      </c>
      <c r="V2203">
        <v>0</v>
      </c>
      <c r="W2203" s="21">
        <f t="shared" si="261"/>
        <v>0</v>
      </c>
      <c r="X2203">
        <v>0</v>
      </c>
      <c r="Y2203">
        <v>0</v>
      </c>
      <c r="Z2203" s="21">
        <f t="shared" si="262"/>
        <v>0</v>
      </c>
      <c r="AA2203">
        <v>0</v>
      </c>
      <c r="AB2203">
        <v>0</v>
      </c>
      <c r="AC2203" s="21">
        <f t="shared" si="263"/>
        <v>0</v>
      </c>
      <c r="AD2203">
        <v>0</v>
      </c>
      <c r="AE2203">
        <v>0</v>
      </c>
      <c r="AF2203" s="21">
        <f t="shared" si="266"/>
        <v>0</v>
      </c>
    </row>
    <row r="2204" spans="1:32" ht="15" customHeight="1" x14ac:dyDescent="0.3">
      <c r="A2204">
        <v>4</v>
      </c>
      <c r="B2204" s="2" t="s">
        <v>697</v>
      </c>
      <c r="C2204" s="4" t="s">
        <v>694</v>
      </c>
      <c r="D2204" s="3" t="s">
        <v>676</v>
      </c>
      <c r="E2204" s="6" t="s">
        <v>122</v>
      </c>
      <c r="F2204" s="6" t="s">
        <v>179</v>
      </c>
      <c r="G2204" s="6" t="s">
        <v>715</v>
      </c>
      <c r="H2204" s="23">
        <v>302000</v>
      </c>
      <c r="I2204">
        <v>20</v>
      </c>
      <c r="J2204">
        <v>1</v>
      </c>
      <c r="K2204" s="20">
        <f t="shared" si="264"/>
        <v>6040000</v>
      </c>
      <c r="L2204">
        <v>0</v>
      </c>
      <c r="M2204">
        <v>0</v>
      </c>
      <c r="N2204" s="21">
        <f t="shared" si="265"/>
        <v>0</v>
      </c>
      <c r="O2204">
        <v>0</v>
      </c>
      <c r="P2204">
        <v>0</v>
      </c>
      <c r="Q2204" s="21">
        <f t="shared" si="259"/>
        <v>0</v>
      </c>
      <c r="R2204">
        <v>0</v>
      </c>
      <c r="S2204">
        <v>0</v>
      </c>
      <c r="T2204" s="21">
        <f t="shared" si="260"/>
        <v>0</v>
      </c>
      <c r="U2204">
        <v>0</v>
      </c>
      <c r="V2204">
        <v>0</v>
      </c>
      <c r="W2204" s="21">
        <f t="shared" si="261"/>
        <v>0</v>
      </c>
      <c r="X2204">
        <v>0</v>
      </c>
      <c r="Y2204">
        <v>0</v>
      </c>
      <c r="Z2204" s="21">
        <f t="shared" si="262"/>
        <v>0</v>
      </c>
      <c r="AA2204">
        <v>0</v>
      </c>
      <c r="AB2204">
        <v>0</v>
      </c>
      <c r="AC2204" s="21">
        <f t="shared" si="263"/>
        <v>0</v>
      </c>
      <c r="AD2204">
        <v>0</v>
      </c>
      <c r="AE2204">
        <v>0</v>
      </c>
      <c r="AF2204" s="21">
        <f t="shared" si="266"/>
        <v>0</v>
      </c>
    </row>
    <row r="2205" spans="1:32" ht="15" customHeight="1" x14ac:dyDescent="0.3">
      <c r="A2205">
        <v>4</v>
      </c>
      <c r="B2205" s="2" t="s">
        <v>697</v>
      </c>
      <c r="C2205" s="4" t="s">
        <v>694</v>
      </c>
      <c r="D2205" s="3" t="s">
        <v>676</v>
      </c>
      <c r="E2205" s="6" t="s">
        <v>122</v>
      </c>
      <c r="F2205" s="6" t="s">
        <v>152</v>
      </c>
      <c r="G2205" s="6" t="s">
        <v>716</v>
      </c>
      <c r="H2205" s="23">
        <v>39000</v>
      </c>
      <c r="I2205">
        <v>15</v>
      </c>
      <c r="J2205">
        <v>5</v>
      </c>
      <c r="K2205" s="20">
        <f t="shared" si="264"/>
        <v>2925000</v>
      </c>
      <c r="L2205">
        <v>0</v>
      </c>
      <c r="M2205">
        <v>0</v>
      </c>
      <c r="N2205" s="21">
        <f t="shared" si="265"/>
        <v>0</v>
      </c>
      <c r="O2205">
        <v>0</v>
      </c>
      <c r="P2205">
        <v>0</v>
      </c>
      <c r="Q2205" s="21">
        <f t="shared" si="259"/>
        <v>0</v>
      </c>
      <c r="R2205">
        <v>0</v>
      </c>
      <c r="S2205">
        <v>0</v>
      </c>
      <c r="T2205" s="21">
        <f t="shared" si="260"/>
        <v>0</v>
      </c>
      <c r="U2205">
        <v>0</v>
      </c>
      <c r="V2205">
        <v>0</v>
      </c>
      <c r="W2205" s="21">
        <f t="shared" si="261"/>
        <v>0</v>
      </c>
      <c r="X2205">
        <v>0</v>
      </c>
      <c r="Y2205">
        <v>0</v>
      </c>
      <c r="Z2205" s="21">
        <f t="shared" si="262"/>
        <v>0</v>
      </c>
      <c r="AA2205">
        <v>0</v>
      </c>
      <c r="AB2205">
        <v>0</v>
      </c>
      <c r="AC2205" s="21">
        <f t="shared" si="263"/>
        <v>0</v>
      </c>
      <c r="AD2205">
        <v>0</v>
      </c>
      <c r="AE2205">
        <v>0</v>
      </c>
      <c r="AF2205" s="21">
        <f t="shared" si="266"/>
        <v>0</v>
      </c>
    </row>
    <row r="2206" spans="1:32" ht="15" customHeight="1" x14ac:dyDescent="0.3">
      <c r="A2206">
        <v>4</v>
      </c>
      <c r="B2206" s="2" t="s">
        <v>697</v>
      </c>
      <c r="C2206" s="4" t="s">
        <v>694</v>
      </c>
      <c r="D2206" s="3" t="s">
        <v>676</v>
      </c>
      <c r="E2206" s="6" t="s">
        <v>122</v>
      </c>
      <c r="F2206" s="6" t="s">
        <v>152</v>
      </c>
      <c r="G2206" s="6" t="s">
        <v>709</v>
      </c>
      <c r="H2206" s="23">
        <v>28000</v>
      </c>
      <c r="I2206">
        <v>15</v>
      </c>
      <c r="J2206">
        <v>5</v>
      </c>
      <c r="K2206" s="20">
        <f t="shared" si="264"/>
        <v>2100000</v>
      </c>
      <c r="L2206">
        <v>0</v>
      </c>
      <c r="M2206">
        <v>0</v>
      </c>
      <c r="N2206" s="21">
        <f t="shared" si="265"/>
        <v>0</v>
      </c>
      <c r="O2206">
        <v>0</v>
      </c>
      <c r="P2206">
        <v>0</v>
      </c>
      <c r="Q2206" s="21">
        <f t="shared" si="259"/>
        <v>0</v>
      </c>
      <c r="R2206">
        <v>0</v>
      </c>
      <c r="S2206">
        <v>0</v>
      </c>
      <c r="T2206" s="21">
        <f t="shared" si="260"/>
        <v>0</v>
      </c>
      <c r="U2206">
        <v>0</v>
      </c>
      <c r="V2206">
        <v>0</v>
      </c>
      <c r="W2206" s="21">
        <f t="shared" si="261"/>
        <v>0</v>
      </c>
      <c r="X2206">
        <v>0</v>
      </c>
      <c r="Y2206">
        <v>0</v>
      </c>
      <c r="Z2206" s="21">
        <f t="shared" si="262"/>
        <v>0</v>
      </c>
      <c r="AA2206">
        <v>0</v>
      </c>
      <c r="AB2206">
        <v>0</v>
      </c>
      <c r="AC2206" s="21">
        <f t="shared" si="263"/>
        <v>0</v>
      </c>
      <c r="AD2206">
        <v>0</v>
      </c>
      <c r="AE2206">
        <v>0</v>
      </c>
      <c r="AF2206" s="21">
        <f t="shared" si="266"/>
        <v>0</v>
      </c>
    </row>
    <row r="2207" spans="1:32" ht="15" customHeight="1" x14ac:dyDescent="0.3">
      <c r="A2207">
        <v>4</v>
      </c>
      <c r="B2207" s="2" t="s">
        <v>697</v>
      </c>
      <c r="C2207" s="4" t="s">
        <v>694</v>
      </c>
      <c r="D2207" s="3" t="s">
        <v>676</v>
      </c>
      <c r="E2207" s="6" t="s">
        <v>122</v>
      </c>
      <c r="F2207" s="6" t="s">
        <v>152</v>
      </c>
      <c r="G2207" s="6" t="s">
        <v>712</v>
      </c>
      <c r="H2207" s="23">
        <v>214.29</v>
      </c>
      <c r="I2207">
        <v>4000</v>
      </c>
      <c r="J2207">
        <v>1</v>
      </c>
      <c r="K2207" s="20">
        <f t="shared" si="264"/>
        <v>857160</v>
      </c>
      <c r="L2207">
        <v>0</v>
      </c>
      <c r="M2207">
        <v>0</v>
      </c>
      <c r="N2207" s="21">
        <f t="shared" si="265"/>
        <v>0</v>
      </c>
      <c r="O2207">
        <v>0</v>
      </c>
      <c r="P2207">
        <v>0</v>
      </c>
      <c r="Q2207" s="21">
        <f t="shared" si="259"/>
        <v>0</v>
      </c>
      <c r="R2207">
        <v>0</v>
      </c>
      <c r="S2207">
        <v>0</v>
      </c>
      <c r="T2207" s="21">
        <f t="shared" si="260"/>
        <v>0</v>
      </c>
      <c r="U2207">
        <v>0</v>
      </c>
      <c r="V2207">
        <v>0</v>
      </c>
      <c r="W2207" s="21">
        <f t="shared" si="261"/>
        <v>0</v>
      </c>
      <c r="X2207">
        <v>0</v>
      </c>
      <c r="Y2207">
        <v>0</v>
      </c>
      <c r="Z2207" s="21">
        <f t="shared" si="262"/>
        <v>0</v>
      </c>
      <c r="AA2207">
        <v>0</v>
      </c>
      <c r="AB2207">
        <v>0</v>
      </c>
      <c r="AC2207" s="21">
        <f t="shared" si="263"/>
        <v>0</v>
      </c>
      <c r="AD2207">
        <v>0</v>
      </c>
      <c r="AE2207">
        <v>0</v>
      </c>
      <c r="AF2207" s="21">
        <f t="shared" si="266"/>
        <v>0</v>
      </c>
    </row>
    <row r="2208" spans="1:32" ht="15" customHeight="1" x14ac:dyDescent="0.3">
      <c r="A2208">
        <v>4</v>
      </c>
      <c r="B2208" s="2" t="s">
        <v>697</v>
      </c>
      <c r="C2208" s="4" t="s">
        <v>694</v>
      </c>
      <c r="D2208" s="3" t="s">
        <v>676</v>
      </c>
      <c r="E2208" s="6" t="s">
        <v>122</v>
      </c>
      <c r="F2208" s="6" t="s">
        <v>180</v>
      </c>
      <c r="G2208" s="6" t="s">
        <v>716</v>
      </c>
      <c r="H2208" s="23">
        <v>39000</v>
      </c>
      <c r="I2208">
        <v>15</v>
      </c>
      <c r="J2208">
        <v>5</v>
      </c>
      <c r="K2208" s="20">
        <f t="shared" si="264"/>
        <v>2925000</v>
      </c>
      <c r="L2208">
        <v>0</v>
      </c>
      <c r="M2208">
        <v>0</v>
      </c>
      <c r="N2208" s="21">
        <f t="shared" si="265"/>
        <v>0</v>
      </c>
      <c r="O2208">
        <v>0</v>
      </c>
      <c r="P2208">
        <v>0</v>
      </c>
      <c r="Q2208" s="21">
        <f t="shared" si="259"/>
        <v>0</v>
      </c>
      <c r="R2208">
        <v>0</v>
      </c>
      <c r="S2208">
        <v>0</v>
      </c>
      <c r="T2208" s="21">
        <f t="shared" si="260"/>
        <v>0</v>
      </c>
      <c r="U2208">
        <v>0</v>
      </c>
      <c r="V2208">
        <v>0</v>
      </c>
      <c r="W2208" s="21">
        <f t="shared" si="261"/>
        <v>0</v>
      </c>
      <c r="X2208">
        <v>0</v>
      </c>
      <c r="Y2208">
        <v>0</v>
      </c>
      <c r="Z2208" s="21">
        <f t="shared" si="262"/>
        <v>0</v>
      </c>
      <c r="AA2208">
        <v>0</v>
      </c>
      <c r="AB2208">
        <v>0</v>
      </c>
      <c r="AC2208" s="21">
        <f t="shared" si="263"/>
        <v>0</v>
      </c>
      <c r="AD2208">
        <v>0</v>
      </c>
      <c r="AE2208">
        <v>0</v>
      </c>
      <c r="AF2208" s="21">
        <f t="shared" si="266"/>
        <v>0</v>
      </c>
    </row>
    <row r="2209" spans="1:32" ht="15" customHeight="1" x14ac:dyDescent="0.3">
      <c r="A2209">
        <v>4</v>
      </c>
      <c r="B2209" s="2" t="s">
        <v>697</v>
      </c>
      <c r="C2209" s="4" t="s">
        <v>694</v>
      </c>
      <c r="D2209" s="3" t="s">
        <v>676</v>
      </c>
      <c r="E2209" s="6" t="s">
        <v>122</v>
      </c>
      <c r="F2209" s="6" t="s">
        <v>180</v>
      </c>
      <c r="G2209" s="6" t="s">
        <v>709</v>
      </c>
      <c r="H2209" s="23">
        <v>28000</v>
      </c>
      <c r="I2209">
        <v>15</v>
      </c>
      <c r="J2209">
        <v>5</v>
      </c>
      <c r="K2209" s="20">
        <f t="shared" si="264"/>
        <v>2100000</v>
      </c>
      <c r="L2209">
        <v>0</v>
      </c>
      <c r="M2209">
        <v>0</v>
      </c>
      <c r="N2209" s="21">
        <f t="shared" si="265"/>
        <v>0</v>
      </c>
      <c r="O2209">
        <v>0</v>
      </c>
      <c r="P2209">
        <v>0</v>
      </c>
      <c r="Q2209" s="21">
        <f t="shared" si="259"/>
        <v>0</v>
      </c>
      <c r="R2209">
        <v>0</v>
      </c>
      <c r="S2209">
        <v>0</v>
      </c>
      <c r="T2209" s="21">
        <f t="shared" si="260"/>
        <v>0</v>
      </c>
      <c r="U2209">
        <v>0</v>
      </c>
      <c r="V2209">
        <v>0</v>
      </c>
      <c r="W2209" s="21">
        <f t="shared" si="261"/>
        <v>0</v>
      </c>
      <c r="X2209">
        <v>0</v>
      </c>
      <c r="Y2209">
        <v>0</v>
      </c>
      <c r="Z2209" s="21">
        <f t="shared" si="262"/>
        <v>0</v>
      </c>
      <c r="AA2209">
        <v>0</v>
      </c>
      <c r="AB2209">
        <v>0</v>
      </c>
      <c r="AC2209" s="21">
        <f t="shared" si="263"/>
        <v>0</v>
      </c>
      <c r="AD2209">
        <v>0</v>
      </c>
      <c r="AE2209">
        <v>0</v>
      </c>
      <c r="AF2209" s="21">
        <f t="shared" si="266"/>
        <v>0</v>
      </c>
    </row>
    <row r="2210" spans="1:32" ht="15" customHeight="1" x14ac:dyDescent="0.3">
      <c r="A2210">
        <v>4</v>
      </c>
      <c r="B2210" s="2" t="s">
        <v>697</v>
      </c>
      <c r="C2210" s="4" t="s">
        <v>694</v>
      </c>
      <c r="D2210" s="3" t="s">
        <v>676</v>
      </c>
      <c r="E2210" s="6" t="s">
        <v>122</v>
      </c>
      <c r="F2210" s="6" t="s">
        <v>180</v>
      </c>
      <c r="G2210" s="6" t="s">
        <v>712</v>
      </c>
      <c r="H2210" s="23">
        <v>214.29</v>
      </c>
      <c r="I2210">
        <v>4000</v>
      </c>
      <c r="J2210">
        <v>1</v>
      </c>
      <c r="K2210" s="20">
        <f t="shared" si="264"/>
        <v>857160</v>
      </c>
      <c r="L2210">
        <v>0</v>
      </c>
      <c r="M2210">
        <v>0</v>
      </c>
      <c r="N2210" s="21">
        <f t="shared" si="265"/>
        <v>0</v>
      </c>
      <c r="O2210">
        <v>0</v>
      </c>
      <c r="P2210">
        <v>0</v>
      </c>
      <c r="Q2210" s="21">
        <f t="shared" si="259"/>
        <v>0</v>
      </c>
      <c r="R2210">
        <v>0</v>
      </c>
      <c r="S2210">
        <v>0</v>
      </c>
      <c r="T2210" s="21">
        <f t="shared" si="260"/>
        <v>0</v>
      </c>
      <c r="U2210">
        <v>0</v>
      </c>
      <c r="V2210">
        <v>0</v>
      </c>
      <c r="W2210" s="21">
        <f t="shared" si="261"/>
        <v>0</v>
      </c>
      <c r="X2210">
        <v>0</v>
      </c>
      <c r="Y2210">
        <v>0</v>
      </c>
      <c r="Z2210" s="21">
        <f t="shared" si="262"/>
        <v>0</v>
      </c>
      <c r="AA2210">
        <v>0</v>
      </c>
      <c r="AB2210">
        <v>0</v>
      </c>
      <c r="AC2210" s="21">
        <f t="shared" si="263"/>
        <v>0</v>
      </c>
      <c r="AD2210">
        <v>0</v>
      </c>
      <c r="AE2210">
        <v>0</v>
      </c>
      <c r="AF2210" s="21">
        <f t="shared" si="266"/>
        <v>0</v>
      </c>
    </row>
    <row r="2211" spans="1:32" ht="15" customHeight="1" x14ac:dyDescent="0.3">
      <c r="A2211">
        <v>4</v>
      </c>
      <c r="B2211" s="2" t="s">
        <v>697</v>
      </c>
      <c r="C2211" s="4" t="s">
        <v>694</v>
      </c>
      <c r="D2211" s="3" t="s">
        <v>676</v>
      </c>
      <c r="E2211" s="6" t="s">
        <v>122</v>
      </c>
      <c r="F2211" s="6" t="s">
        <v>181</v>
      </c>
      <c r="G2211" s="6" t="s">
        <v>709</v>
      </c>
      <c r="H2211" s="23">
        <v>28000</v>
      </c>
      <c r="I2211">
        <v>30</v>
      </c>
      <c r="J2211">
        <v>1</v>
      </c>
      <c r="K2211" s="20">
        <f t="shared" si="264"/>
        <v>840000</v>
      </c>
      <c r="L2211">
        <v>0</v>
      </c>
      <c r="M2211">
        <v>0</v>
      </c>
      <c r="N2211" s="21">
        <f t="shared" si="265"/>
        <v>0</v>
      </c>
      <c r="O2211">
        <v>0</v>
      </c>
      <c r="P2211">
        <v>0</v>
      </c>
      <c r="Q2211" s="21">
        <f t="shared" si="259"/>
        <v>0</v>
      </c>
      <c r="R2211">
        <v>0</v>
      </c>
      <c r="S2211">
        <v>0</v>
      </c>
      <c r="T2211" s="21">
        <f t="shared" si="260"/>
        <v>0</v>
      </c>
      <c r="U2211">
        <v>0</v>
      </c>
      <c r="V2211">
        <v>0</v>
      </c>
      <c r="W2211" s="21">
        <f t="shared" si="261"/>
        <v>0</v>
      </c>
      <c r="X2211">
        <v>0</v>
      </c>
      <c r="Y2211">
        <v>0</v>
      </c>
      <c r="Z2211" s="21">
        <f t="shared" si="262"/>
        <v>0</v>
      </c>
      <c r="AA2211">
        <v>0</v>
      </c>
      <c r="AB2211">
        <v>0</v>
      </c>
      <c r="AC2211" s="21">
        <f t="shared" si="263"/>
        <v>0</v>
      </c>
      <c r="AD2211">
        <v>0</v>
      </c>
      <c r="AE2211">
        <v>0</v>
      </c>
      <c r="AF2211" s="21">
        <f t="shared" si="266"/>
        <v>0</v>
      </c>
    </row>
    <row r="2212" spans="1:32" ht="15" customHeight="1" x14ac:dyDescent="0.3">
      <c r="A2212">
        <v>4</v>
      </c>
      <c r="B2212" s="2" t="s">
        <v>697</v>
      </c>
      <c r="C2212" s="4" t="s">
        <v>694</v>
      </c>
      <c r="D2212" s="3" t="s">
        <v>676</v>
      </c>
      <c r="E2212" s="6" t="s">
        <v>122</v>
      </c>
      <c r="F2212" s="6" t="s">
        <v>579</v>
      </c>
      <c r="G2212" s="6" t="s">
        <v>709</v>
      </c>
      <c r="H2212" s="23">
        <v>28000</v>
      </c>
      <c r="I2212">
        <v>50</v>
      </c>
      <c r="J2212">
        <v>1</v>
      </c>
      <c r="K2212" s="20">
        <f t="shared" si="264"/>
        <v>1400000</v>
      </c>
      <c r="L2212">
        <v>0</v>
      </c>
      <c r="M2212">
        <v>0</v>
      </c>
      <c r="N2212" s="21">
        <f t="shared" si="265"/>
        <v>0</v>
      </c>
      <c r="O2212">
        <v>0</v>
      </c>
      <c r="P2212">
        <v>0</v>
      </c>
      <c r="Q2212" s="21">
        <f t="shared" si="259"/>
        <v>0</v>
      </c>
      <c r="R2212">
        <v>0</v>
      </c>
      <c r="S2212">
        <v>0</v>
      </c>
      <c r="T2212" s="21">
        <f t="shared" si="260"/>
        <v>0</v>
      </c>
      <c r="U2212">
        <v>0</v>
      </c>
      <c r="V2212">
        <v>0</v>
      </c>
      <c r="W2212" s="21">
        <f t="shared" si="261"/>
        <v>0</v>
      </c>
      <c r="X2212">
        <v>0</v>
      </c>
      <c r="Y2212">
        <v>0</v>
      </c>
      <c r="Z2212" s="21">
        <f t="shared" si="262"/>
        <v>0</v>
      </c>
      <c r="AA2212">
        <v>0</v>
      </c>
      <c r="AB2212">
        <v>0</v>
      </c>
      <c r="AC2212" s="21">
        <f t="shared" si="263"/>
        <v>0</v>
      </c>
      <c r="AD2212">
        <v>0</v>
      </c>
      <c r="AE2212">
        <v>0</v>
      </c>
      <c r="AF2212" s="21">
        <f t="shared" si="266"/>
        <v>0</v>
      </c>
    </row>
    <row r="2213" spans="1:32" ht="15" customHeight="1" x14ac:dyDescent="0.3">
      <c r="A2213">
        <v>4</v>
      </c>
      <c r="B2213" s="2" t="s">
        <v>697</v>
      </c>
      <c r="C2213" s="4" t="s">
        <v>694</v>
      </c>
      <c r="D2213" s="3" t="s">
        <v>676</v>
      </c>
      <c r="E2213" s="6" t="s">
        <v>122</v>
      </c>
      <c r="F2213" s="6" t="s">
        <v>579</v>
      </c>
      <c r="G2213" s="6" t="s">
        <v>711</v>
      </c>
      <c r="H2213" s="23">
        <v>70</v>
      </c>
      <c r="I2213">
        <v>50000</v>
      </c>
      <c r="J2213">
        <v>1</v>
      </c>
      <c r="K2213" s="20">
        <f t="shared" si="264"/>
        <v>3500000</v>
      </c>
      <c r="L2213">
        <v>0</v>
      </c>
      <c r="M2213">
        <v>0</v>
      </c>
      <c r="N2213" s="21">
        <f t="shared" si="265"/>
        <v>0</v>
      </c>
      <c r="O2213">
        <v>0</v>
      </c>
      <c r="P2213">
        <v>0</v>
      </c>
      <c r="Q2213" s="21">
        <f t="shared" si="259"/>
        <v>0</v>
      </c>
      <c r="R2213">
        <v>0</v>
      </c>
      <c r="S2213">
        <v>0</v>
      </c>
      <c r="T2213" s="21">
        <f t="shared" si="260"/>
        <v>0</v>
      </c>
      <c r="U2213">
        <v>0</v>
      </c>
      <c r="V2213">
        <v>0</v>
      </c>
      <c r="W2213" s="21">
        <f t="shared" si="261"/>
        <v>0</v>
      </c>
      <c r="X2213">
        <v>0</v>
      </c>
      <c r="Y2213">
        <v>0</v>
      </c>
      <c r="Z2213" s="21">
        <f t="shared" si="262"/>
        <v>0</v>
      </c>
      <c r="AA2213">
        <v>0</v>
      </c>
      <c r="AB2213">
        <v>0</v>
      </c>
      <c r="AC2213" s="21">
        <f t="shared" si="263"/>
        <v>0</v>
      </c>
      <c r="AD2213">
        <v>0</v>
      </c>
      <c r="AE2213">
        <v>0</v>
      </c>
      <c r="AF2213" s="21">
        <f t="shared" si="266"/>
        <v>0</v>
      </c>
    </row>
    <row r="2214" spans="1:32" ht="15" customHeight="1" x14ac:dyDescent="0.3">
      <c r="A2214">
        <v>4</v>
      </c>
      <c r="B2214" s="2" t="s">
        <v>697</v>
      </c>
      <c r="C2214" s="4" t="s">
        <v>694</v>
      </c>
      <c r="D2214" s="3" t="s">
        <v>676</v>
      </c>
      <c r="E2214" s="6" t="s">
        <v>122</v>
      </c>
      <c r="F2214" s="6" t="s">
        <v>579</v>
      </c>
      <c r="G2214" s="6" t="s">
        <v>717</v>
      </c>
      <c r="H2214" s="23">
        <v>104850</v>
      </c>
      <c r="I2214">
        <v>5</v>
      </c>
      <c r="J2214">
        <v>1</v>
      </c>
      <c r="K2214" s="20">
        <f t="shared" si="264"/>
        <v>524250</v>
      </c>
      <c r="L2214">
        <v>0</v>
      </c>
      <c r="M2214">
        <v>0</v>
      </c>
      <c r="N2214" s="21">
        <f t="shared" si="265"/>
        <v>0</v>
      </c>
      <c r="O2214">
        <v>0</v>
      </c>
      <c r="P2214">
        <v>0</v>
      </c>
      <c r="Q2214" s="21">
        <f t="shared" si="259"/>
        <v>0</v>
      </c>
      <c r="R2214">
        <v>0</v>
      </c>
      <c r="S2214">
        <v>0</v>
      </c>
      <c r="T2214" s="21">
        <f t="shared" si="260"/>
        <v>0</v>
      </c>
      <c r="U2214">
        <v>0</v>
      </c>
      <c r="V2214">
        <v>0</v>
      </c>
      <c r="W2214" s="21">
        <f t="shared" si="261"/>
        <v>0</v>
      </c>
      <c r="X2214">
        <v>0</v>
      </c>
      <c r="Y2214">
        <v>0</v>
      </c>
      <c r="Z2214" s="21">
        <f t="shared" si="262"/>
        <v>0</v>
      </c>
      <c r="AA2214">
        <v>0</v>
      </c>
      <c r="AB2214">
        <v>0</v>
      </c>
      <c r="AC2214" s="21">
        <f t="shared" si="263"/>
        <v>0</v>
      </c>
      <c r="AD2214">
        <v>0</v>
      </c>
      <c r="AE2214">
        <v>0</v>
      </c>
      <c r="AF2214" s="21">
        <f t="shared" si="266"/>
        <v>0</v>
      </c>
    </row>
    <row r="2215" spans="1:32" ht="15" customHeight="1" x14ac:dyDescent="0.3">
      <c r="A2215">
        <v>4</v>
      </c>
      <c r="B2215" s="2" t="s">
        <v>697</v>
      </c>
      <c r="C2215" s="4" t="s">
        <v>694</v>
      </c>
      <c r="D2215" s="3" t="s">
        <v>676</v>
      </c>
      <c r="E2215" s="6" t="s">
        <v>123</v>
      </c>
      <c r="F2215" s="6" t="s">
        <v>580</v>
      </c>
      <c r="G2215" s="6" t="s">
        <v>718</v>
      </c>
      <c r="H2215" s="23">
        <v>0</v>
      </c>
      <c r="I2215">
        <v>0</v>
      </c>
      <c r="J2215">
        <v>0</v>
      </c>
      <c r="K2215" s="20">
        <f t="shared" si="264"/>
        <v>0</v>
      </c>
      <c r="L2215">
        <v>0</v>
      </c>
      <c r="M2215">
        <v>0</v>
      </c>
      <c r="N2215" s="21">
        <f t="shared" si="265"/>
        <v>0</v>
      </c>
      <c r="O2215">
        <v>0</v>
      </c>
      <c r="P2215">
        <v>0</v>
      </c>
      <c r="Q2215" s="21">
        <f t="shared" si="259"/>
        <v>0</v>
      </c>
      <c r="R2215">
        <v>0</v>
      </c>
      <c r="S2215">
        <v>0</v>
      </c>
      <c r="T2215" s="21">
        <f t="shared" si="260"/>
        <v>0</v>
      </c>
      <c r="U2215">
        <v>0</v>
      </c>
      <c r="V2215">
        <v>0</v>
      </c>
      <c r="W2215" s="21">
        <f t="shared" si="261"/>
        <v>0</v>
      </c>
      <c r="X2215">
        <v>0</v>
      </c>
      <c r="Y2215">
        <v>0</v>
      </c>
      <c r="Z2215" s="21">
        <f t="shared" si="262"/>
        <v>0</v>
      </c>
      <c r="AA2215">
        <v>0</v>
      </c>
      <c r="AB2215">
        <v>0</v>
      </c>
      <c r="AC2215" s="21">
        <f t="shared" si="263"/>
        <v>0</v>
      </c>
      <c r="AD2215">
        <v>0</v>
      </c>
      <c r="AE2215">
        <v>0</v>
      </c>
      <c r="AF2215" s="21">
        <f t="shared" si="266"/>
        <v>0</v>
      </c>
    </row>
    <row r="2216" spans="1:32" ht="15" customHeight="1" x14ac:dyDescent="0.3">
      <c r="A2216">
        <v>4</v>
      </c>
      <c r="B2216" s="2" t="s">
        <v>697</v>
      </c>
      <c r="C2216" s="4" t="s">
        <v>694</v>
      </c>
      <c r="D2216" s="3" t="s">
        <v>676</v>
      </c>
      <c r="E2216" s="6" t="s">
        <v>123</v>
      </c>
      <c r="F2216" s="6" t="s">
        <v>581</v>
      </c>
      <c r="G2216" s="6" t="s">
        <v>718</v>
      </c>
      <c r="H2216" s="23">
        <v>0</v>
      </c>
      <c r="I2216">
        <v>0</v>
      </c>
      <c r="J2216">
        <v>0</v>
      </c>
      <c r="K2216" s="20">
        <f t="shared" si="264"/>
        <v>0</v>
      </c>
      <c r="L2216">
        <v>0</v>
      </c>
      <c r="M2216">
        <v>0</v>
      </c>
      <c r="N2216" s="21">
        <f t="shared" si="265"/>
        <v>0</v>
      </c>
      <c r="O2216">
        <v>0</v>
      </c>
      <c r="P2216">
        <v>0</v>
      </c>
      <c r="Q2216" s="21">
        <f t="shared" si="259"/>
        <v>0</v>
      </c>
      <c r="R2216">
        <v>0</v>
      </c>
      <c r="S2216">
        <v>0</v>
      </c>
      <c r="T2216" s="21">
        <f t="shared" si="260"/>
        <v>0</v>
      </c>
      <c r="U2216">
        <v>0</v>
      </c>
      <c r="V2216">
        <v>0</v>
      </c>
      <c r="W2216" s="21">
        <f t="shared" si="261"/>
        <v>0</v>
      </c>
      <c r="X2216">
        <v>0</v>
      </c>
      <c r="Y2216">
        <v>0</v>
      </c>
      <c r="Z2216" s="21">
        <f t="shared" si="262"/>
        <v>0</v>
      </c>
      <c r="AA2216">
        <v>0</v>
      </c>
      <c r="AB2216">
        <v>0</v>
      </c>
      <c r="AC2216" s="21">
        <f t="shared" si="263"/>
        <v>0</v>
      </c>
      <c r="AD2216">
        <v>0</v>
      </c>
      <c r="AE2216">
        <v>0</v>
      </c>
      <c r="AF2216" s="21">
        <f t="shared" si="266"/>
        <v>0</v>
      </c>
    </row>
    <row r="2217" spans="1:32" ht="15" customHeight="1" x14ac:dyDescent="0.3">
      <c r="A2217">
        <v>4</v>
      </c>
      <c r="B2217" s="2" t="s">
        <v>697</v>
      </c>
      <c r="C2217" s="4" t="s">
        <v>694</v>
      </c>
      <c r="D2217" s="3" t="s">
        <v>676</v>
      </c>
      <c r="E2217" s="6" t="s">
        <v>123</v>
      </c>
      <c r="F2217" s="6" t="s">
        <v>149</v>
      </c>
      <c r="G2217" s="6" t="s">
        <v>707</v>
      </c>
      <c r="H2217" s="23">
        <v>391991.03749999998</v>
      </c>
      <c r="I2217">
        <v>0</v>
      </c>
      <c r="J2217">
        <v>0</v>
      </c>
      <c r="K2217" s="20">
        <f t="shared" si="264"/>
        <v>0</v>
      </c>
      <c r="L2217">
        <v>1</v>
      </c>
      <c r="M2217">
        <v>6</v>
      </c>
      <c r="N2217" s="21">
        <f t="shared" si="265"/>
        <v>2351946.2249999996</v>
      </c>
      <c r="O2217">
        <v>0</v>
      </c>
      <c r="P2217">
        <v>0</v>
      </c>
      <c r="Q2217" s="21">
        <f t="shared" si="259"/>
        <v>0</v>
      </c>
      <c r="R2217">
        <v>0</v>
      </c>
      <c r="S2217">
        <v>0</v>
      </c>
      <c r="T2217" s="21">
        <f t="shared" si="260"/>
        <v>0</v>
      </c>
      <c r="U2217">
        <v>0</v>
      </c>
      <c r="V2217">
        <v>0</v>
      </c>
      <c r="W2217" s="21">
        <f t="shared" si="261"/>
        <v>0</v>
      </c>
      <c r="X2217">
        <v>0</v>
      </c>
      <c r="Y2217">
        <v>0</v>
      </c>
      <c r="Z2217" s="21">
        <f t="shared" si="262"/>
        <v>0</v>
      </c>
      <c r="AA2217">
        <v>0</v>
      </c>
      <c r="AB2217">
        <v>0</v>
      </c>
      <c r="AC2217" s="21">
        <f t="shared" si="263"/>
        <v>0</v>
      </c>
      <c r="AD2217">
        <v>0</v>
      </c>
      <c r="AE2217">
        <v>0</v>
      </c>
      <c r="AF2217" s="21">
        <f t="shared" si="266"/>
        <v>0</v>
      </c>
    </row>
    <row r="2218" spans="1:32" ht="15" customHeight="1" x14ac:dyDescent="0.3">
      <c r="A2218">
        <v>4</v>
      </c>
      <c r="B2218" s="2" t="s">
        <v>697</v>
      </c>
      <c r="C2218" s="4" t="s">
        <v>694</v>
      </c>
      <c r="D2218" s="3" t="s">
        <v>676</v>
      </c>
      <c r="E2218" s="6" t="s">
        <v>123</v>
      </c>
      <c r="F2218" s="6" t="s">
        <v>149</v>
      </c>
      <c r="G2218" s="6" t="s">
        <v>708</v>
      </c>
      <c r="H2218" s="23">
        <v>425000</v>
      </c>
      <c r="I2218">
        <v>0</v>
      </c>
      <c r="J2218">
        <v>0</v>
      </c>
      <c r="K2218" s="20">
        <f t="shared" si="264"/>
        <v>0</v>
      </c>
      <c r="L2218">
        <v>1</v>
      </c>
      <c r="M2218">
        <v>40</v>
      </c>
      <c r="N2218" s="21">
        <f t="shared" si="265"/>
        <v>17000000</v>
      </c>
      <c r="O2218">
        <v>0</v>
      </c>
      <c r="P2218">
        <v>0</v>
      </c>
      <c r="Q2218" s="21">
        <f t="shared" si="259"/>
        <v>0</v>
      </c>
      <c r="R2218">
        <v>0</v>
      </c>
      <c r="S2218">
        <v>0</v>
      </c>
      <c r="T2218" s="21">
        <f t="shared" si="260"/>
        <v>0</v>
      </c>
      <c r="U2218">
        <v>0</v>
      </c>
      <c r="V2218">
        <v>0</v>
      </c>
      <c r="W2218" s="21">
        <f t="shared" si="261"/>
        <v>0</v>
      </c>
      <c r="X2218">
        <v>0</v>
      </c>
      <c r="Y2218">
        <v>0</v>
      </c>
      <c r="Z2218" s="21">
        <f t="shared" si="262"/>
        <v>0</v>
      </c>
      <c r="AA2218">
        <v>0</v>
      </c>
      <c r="AB2218">
        <v>0</v>
      </c>
      <c r="AC2218" s="21">
        <f t="shared" si="263"/>
        <v>0</v>
      </c>
      <c r="AD2218">
        <v>0</v>
      </c>
      <c r="AE2218">
        <v>0</v>
      </c>
      <c r="AF2218" s="21">
        <f t="shared" si="266"/>
        <v>0</v>
      </c>
    </row>
    <row r="2219" spans="1:32" ht="15" customHeight="1" x14ac:dyDescent="0.3">
      <c r="A2219">
        <v>4</v>
      </c>
      <c r="B2219" s="2" t="s">
        <v>697</v>
      </c>
      <c r="C2219" s="4" t="s">
        <v>694</v>
      </c>
      <c r="D2219" s="3" t="s">
        <v>676</v>
      </c>
      <c r="E2219" s="6" t="s">
        <v>123</v>
      </c>
      <c r="F2219" s="6" t="s">
        <v>582</v>
      </c>
      <c r="G2219" s="6" t="s">
        <v>718</v>
      </c>
      <c r="H2219" s="23">
        <v>0</v>
      </c>
      <c r="I2219">
        <v>0</v>
      </c>
      <c r="J2219">
        <v>0</v>
      </c>
      <c r="K2219" s="20">
        <f t="shared" si="264"/>
        <v>0</v>
      </c>
      <c r="L2219">
        <v>0</v>
      </c>
      <c r="M2219">
        <v>0</v>
      </c>
      <c r="N2219" s="21">
        <f t="shared" si="265"/>
        <v>0</v>
      </c>
      <c r="O2219">
        <v>0</v>
      </c>
      <c r="P2219">
        <v>0</v>
      </c>
      <c r="Q2219" s="21">
        <f t="shared" si="259"/>
        <v>0</v>
      </c>
      <c r="R2219">
        <v>0</v>
      </c>
      <c r="S2219">
        <v>0</v>
      </c>
      <c r="T2219" s="21">
        <f t="shared" si="260"/>
        <v>0</v>
      </c>
      <c r="U2219">
        <v>0</v>
      </c>
      <c r="V2219">
        <v>0</v>
      </c>
      <c r="W2219" s="21">
        <f t="shared" si="261"/>
        <v>0</v>
      </c>
      <c r="X2219">
        <v>0</v>
      </c>
      <c r="Y2219">
        <v>0</v>
      </c>
      <c r="Z2219" s="21">
        <f t="shared" si="262"/>
        <v>0</v>
      </c>
      <c r="AA2219">
        <v>0</v>
      </c>
      <c r="AB2219">
        <v>0</v>
      </c>
      <c r="AC2219" s="21">
        <f t="shared" si="263"/>
        <v>0</v>
      </c>
      <c r="AD2219">
        <v>0</v>
      </c>
      <c r="AE2219">
        <v>0</v>
      </c>
      <c r="AF2219" s="21">
        <f t="shared" si="266"/>
        <v>0</v>
      </c>
    </row>
    <row r="2220" spans="1:32" ht="15" customHeight="1" x14ac:dyDescent="0.3">
      <c r="A2220">
        <v>4</v>
      </c>
      <c r="B2220" s="2" t="s">
        <v>697</v>
      </c>
      <c r="C2220" s="4" t="s">
        <v>694</v>
      </c>
      <c r="D2220" s="3" t="s">
        <v>676</v>
      </c>
      <c r="E2220" s="6" t="s">
        <v>123</v>
      </c>
      <c r="F2220" s="6" t="s">
        <v>175</v>
      </c>
      <c r="G2220" s="6" t="s">
        <v>709</v>
      </c>
      <c r="H2220" s="23">
        <v>28000</v>
      </c>
      <c r="I2220">
        <v>0</v>
      </c>
      <c r="J2220">
        <v>0</v>
      </c>
      <c r="K2220" s="20">
        <f t="shared" si="264"/>
        <v>0</v>
      </c>
      <c r="L2220">
        <v>30</v>
      </c>
      <c r="M2220">
        <v>1</v>
      </c>
      <c r="N2220" s="21">
        <f t="shared" si="265"/>
        <v>840000</v>
      </c>
      <c r="O2220">
        <v>0</v>
      </c>
      <c r="P2220">
        <v>0</v>
      </c>
      <c r="Q2220" s="21">
        <f t="shared" si="259"/>
        <v>0</v>
      </c>
      <c r="R2220">
        <v>0</v>
      </c>
      <c r="S2220">
        <v>0</v>
      </c>
      <c r="T2220" s="21">
        <f t="shared" si="260"/>
        <v>0</v>
      </c>
      <c r="U2220">
        <v>0</v>
      </c>
      <c r="V2220">
        <v>0</v>
      </c>
      <c r="W2220" s="21">
        <f t="shared" si="261"/>
        <v>0</v>
      </c>
      <c r="X2220">
        <v>0</v>
      </c>
      <c r="Y2220">
        <v>0</v>
      </c>
      <c r="Z2220" s="21">
        <f t="shared" si="262"/>
        <v>0</v>
      </c>
      <c r="AA2220">
        <v>0</v>
      </c>
      <c r="AB2220">
        <v>0</v>
      </c>
      <c r="AC2220" s="21">
        <f t="shared" si="263"/>
        <v>0</v>
      </c>
      <c r="AD2220">
        <v>0</v>
      </c>
      <c r="AE2220">
        <v>0</v>
      </c>
      <c r="AF2220" s="21">
        <f t="shared" si="266"/>
        <v>0</v>
      </c>
    </row>
    <row r="2221" spans="1:32" ht="15" customHeight="1" x14ac:dyDescent="0.3">
      <c r="A2221">
        <v>4</v>
      </c>
      <c r="B2221" s="2" t="s">
        <v>697</v>
      </c>
      <c r="C2221" s="4" t="s">
        <v>694</v>
      </c>
      <c r="D2221" s="3" t="s">
        <v>676</v>
      </c>
      <c r="E2221" s="6" t="s">
        <v>124</v>
      </c>
      <c r="F2221" s="6" t="s">
        <v>583</v>
      </c>
      <c r="G2221" s="6" t="s">
        <v>709</v>
      </c>
      <c r="H2221" s="23">
        <v>28000</v>
      </c>
      <c r="I2221">
        <v>0</v>
      </c>
      <c r="J2221">
        <v>0</v>
      </c>
      <c r="K2221" s="20">
        <f t="shared" si="264"/>
        <v>0</v>
      </c>
      <c r="L2221">
        <v>15</v>
      </c>
      <c r="M2221">
        <v>5</v>
      </c>
      <c r="N2221" s="21">
        <f t="shared" si="265"/>
        <v>2100000</v>
      </c>
      <c r="O2221">
        <v>0</v>
      </c>
      <c r="P2221">
        <v>0</v>
      </c>
      <c r="Q2221" s="21">
        <f t="shared" si="259"/>
        <v>0</v>
      </c>
      <c r="R2221">
        <v>0</v>
      </c>
      <c r="S2221">
        <v>0</v>
      </c>
      <c r="T2221" s="21">
        <f t="shared" si="260"/>
        <v>0</v>
      </c>
      <c r="U2221">
        <v>15</v>
      </c>
      <c r="V2221">
        <v>5</v>
      </c>
      <c r="W2221" s="21">
        <f t="shared" si="261"/>
        <v>2100000</v>
      </c>
      <c r="X2221">
        <v>0</v>
      </c>
      <c r="Y2221">
        <v>0</v>
      </c>
      <c r="Z2221" s="21">
        <f t="shared" si="262"/>
        <v>0</v>
      </c>
      <c r="AA2221">
        <v>0</v>
      </c>
      <c r="AB2221">
        <v>0</v>
      </c>
      <c r="AC2221" s="21">
        <f t="shared" si="263"/>
        <v>0</v>
      </c>
      <c r="AD2221">
        <v>0</v>
      </c>
      <c r="AE2221">
        <v>0</v>
      </c>
      <c r="AF2221" s="21">
        <f t="shared" si="266"/>
        <v>0</v>
      </c>
    </row>
    <row r="2222" spans="1:32" ht="15" customHeight="1" x14ac:dyDescent="0.3">
      <c r="A2222">
        <v>4</v>
      </c>
      <c r="B2222" s="2" t="s">
        <v>697</v>
      </c>
      <c r="C2222" s="4" t="s">
        <v>694</v>
      </c>
      <c r="D2222" s="3" t="s">
        <v>676</v>
      </c>
      <c r="E2222" s="6" t="s">
        <v>124</v>
      </c>
      <c r="F2222" s="6" t="s">
        <v>800</v>
      </c>
      <c r="G2222" s="6" t="s">
        <v>716</v>
      </c>
      <c r="H2222" s="23">
        <v>39000</v>
      </c>
      <c r="I2222">
        <v>0</v>
      </c>
      <c r="J2222">
        <v>0</v>
      </c>
      <c r="K2222" s="20">
        <f t="shared" si="264"/>
        <v>0</v>
      </c>
      <c r="L2222">
        <v>15</v>
      </c>
      <c r="M2222">
        <v>5</v>
      </c>
      <c r="N2222" s="21">
        <f t="shared" si="265"/>
        <v>2925000</v>
      </c>
      <c r="O2222">
        <v>0</v>
      </c>
      <c r="P2222">
        <v>0</v>
      </c>
      <c r="Q2222" s="21">
        <f t="shared" si="259"/>
        <v>0</v>
      </c>
      <c r="R2222">
        <v>0</v>
      </c>
      <c r="S2222">
        <v>0</v>
      </c>
      <c r="T2222" s="21">
        <f t="shared" si="260"/>
        <v>0</v>
      </c>
      <c r="U2222">
        <v>15</v>
      </c>
      <c r="V2222">
        <v>5</v>
      </c>
      <c r="W2222" s="21">
        <f t="shared" si="261"/>
        <v>2925000</v>
      </c>
      <c r="X2222">
        <v>0</v>
      </c>
      <c r="Y2222">
        <v>0</v>
      </c>
      <c r="Z2222" s="21">
        <f t="shared" si="262"/>
        <v>0</v>
      </c>
      <c r="AA2222">
        <v>0</v>
      </c>
      <c r="AB2222">
        <v>0</v>
      </c>
      <c r="AC2222" s="21">
        <f t="shared" si="263"/>
        <v>0</v>
      </c>
      <c r="AD2222">
        <v>0</v>
      </c>
      <c r="AE2222">
        <v>0</v>
      </c>
      <c r="AF2222" s="21">
        <f t="shared" si="266"/>
        <v>0</v>
      </c>
    </row>
    <row r="2223" spans="1:32" ht="15" customHeight="1" x14ac:dyDescent="0.3">
      <c r="A2223">
        <v>4</v>
      </c>
      <c r="B2223" s="2" t="s">
        <v>697</v>
      </c>
      <c r="C2223" s="4" t="s">
        <v>694</v>
      </c>
      <c r="D2223" s="3" t="s">
        <v>676</v>
      </c>
      <c r="E2223" s="6" t="s">
        <v>124</v>
      </c>
      <c r="F2223" s="6" t="s">
        <v>801</v>
      </c>
      <c r="G2223" s="6" t="s">
        <v>712</v>
      </c>
      <c r="H2223" s="23">
        <v>214.29</v>
      </c>
      <c r="I2223">
        <v>0</v>
      </c>
      <c r="J2223">
        <v>0</v>
      </c>
      <c r="K2223" s="20">
        <f t="shared" si="264"/>
        <v>0</v>
      </c>
      <c r="L2223">
        <v>4000</v>
      </c>
      <c r="M2223">
        <v>1</v>
      </c>
      <c r="N2223" s="21">
        <f t="shared" si="265"/>
        <v>857160</v>
      </c>
      <c r="O2223">
        <v>0</v>
      </c>
      <c r="P2223">
        <v>0</v>
      </c>
      <c r="Q2223" s="21">
        <f t="shared" si="259"/>
        <v>0</v>
      </c>
      <c r="R2223">
        <v>0</v>
      </c>
      <c r="S2223">
        <v>0</v>
      </c>
      <c r="T2223" s="21">
        <f t="shared" si="260"/>
        <v>0</v>
      </c>
      <c r="U2223">
        <v>4000</v>
      </c>
      <c r="V2223">
        <v>1</v>
      </c>
      <c r="W2223" s="21">
        <f t="shared" si="261"/>
        <v>857160</v>
      </c>
      <c r="X2223">
        <v>0</v>
      </c>
      <c r="Y2223">
        <v>0</v>
      </c>
      <c r="Z2223" s="21">
        <f t="shared" si="262"/>
        <v>0</v>
      </c>
      <c r="AA2223">
        <v>0</v>
      </c>
      <c r="AB2223">
        <v>0</v>
      </c>
      <c r="AC2223" s="21">
        <f t="shared" si="263"/>
        <v>0</v>
      </c>
      <c r="AD2223">
        <v>0</v>
      </c>
      <c r="AE2223">
        <v>0</v>
      </c>
      <c r="AF2223" s="21">
        <f t="shared" si="266"/>
        <v>0</v>
      </c>
    </row>
    <row r="2224" spans="1:32" ht="15" customHeight="1" x14ac:dyDescent="0.3">
      <c r="A2224">
        <v>4</v>
      </c>
      <c r="B2224" s="2" t="s">
        <v>697</v>
      </c>
      <c r="C2224" s="4" t="s">
        <v>694</v>
      </c>
      <c r="D2224" s="3" t="s">
        <v>676</v>
      </c>
      <c r="E2224" s="6" t="s">
        <v>124</v>
      </c>
      <c r="F2224" s="6" t="s">
        <v>584</v>
      </c>
      <c r="G2224" s="6" t="s">
        <v>716</v>
      </c>
      <c r="H2224" s="23">
        <v>39000</v>
      </c>
      <c r="I2224">
        <v>0</v>
      </c>
      <c r="J2224">
        <v>0</v>
      </c>
      <c r="K2224" s="20">
        <f t="shared" si="264"/>
        <v>0</v>
      </c>
      <c r="L2224">
        <v>20</v>
      </c>
      <c r="M2224">
        <v>5</v>
      </c>
      <c r="N2224" s="21">
        <f t="shared" si="265"/>
        <v>3900000</v>
      </c>
      <c r="O2224">
        <v>0</v>
      </c>
      <c r="P2224">
        <v>0</v>
      </c>
      <c r="Q2224" s="21">
        <f t="shared" si="259"/>
        <v>0</v>
      </c>
      <c r="R2224">
        <v>0</v>
      </c>
      <c r="S2224">
        <v>0</v>
      </c>
      <c r="T2224" s="21">
        <f t="shared" si="260"/>
        <v>0</v>
      </c>
      <c r="U2224">
        <v>20</v>
      </c>
      <c r="V2224">
        <v>5</v>
      </c>
      <c r="W2224" s="21">
        <f t="shared" si="261"/>
        <v>3900000</v>
      </c>
      <c r="X2224">
        <v>0</v>
      </c>
      <c r="Y2224">
        <v>0</v>
      </c>
      <c r="Z2224" s="21">
        <f t="shared" si="262"/>
        <v>0</v>
      </c>
      <c r="AA2224">
        <v>0</v>
      </c>
      <c r="AB2224">
        <v>0</v>
      </c>
      <c r="AC2224" s="21">
        <f t="shared" si="263"/>
        <v>0</v>
      </c>
      <c r="AD2224">
        <v>0</v>
      </c>
      <c r="AE2224">
        <v>0</v>
      </c>
      <c r="AF2224" s="21">
        <f t="shared" si="266"/>
        <v>0</v>
      </c>
    </row>
    <row r="2225" spans="1:32" ht="15" customHeight="1" x14ac:dyDescent="0.3">
      <c r="A2225">
        <v>4</v>
      </c>
      <c r="B2225" s="2" t="s">
        <v>697</v>
      </c>
      <c r="C2225" s="4" t="s">
        <v>694</v>
      </c>
      <c r="D2225" s="3" t="s">
        <v>676</v>
      </c>
      <c r="E2225" s="6" t="s">
        <v>124</v>
      </c>
      <c r="F2225" s="6" t="s">
        <v>802</v>
      </c>
      <c r="G2225" s="6" t="s">
        <v>709</v>
      </c>
      <c r="H2225" s="23">
        <v>28000</v>
      </c>
      <c r="I2225">
        <v>0</v>
      </c>
      <c r="J2225">
        <v>0</v>
      </c>
      <c r="K2225" s="20">
        <f t="shared" si="264"/>
        <v>0</v>
      </c>
      <c r="L2225">
        <v>20</v>
      </c>
      <c r="M2225">
        <v>5</v>
      </c>
      <c r="N2225" s="21">
        <f t="shared" si="265"/>
        <v>2800000</v>
      </c>
      <c r="O2225">
        <v>0</v>
      </c>
      <c r="P2225">
        <v>0</v>
      </c>
      <c r="Q2225" s="21">
        <f t="shared" si="259"/>
        <v>0</v>
      </c>
      <c r="R2225">
        <v>0</v>
      </c>
      <c r="S2225">
        <v>0</v>
      </c>
      <c r="T2225" s="21">
        <f t="shared" si="260"/>
        <v>0</v>
      </c>
      <c r="U2225">
        <v>20</v>
      </c>
      <c r="V2225">
        <v>5</v>
      </c>
      <c r="W2225" s="21">
        <f t="shared" si="261"/>
        <v>2800000</v>
      </c>
      <c r="X2225">
        <v>0</v>
      </c>
      <c r="Y2225">
        <v>0</v>
      </c>
      <c r="Z2225" s="21">
        <f t="shared" si="262"/>
        <v>0</v>
      </c>
      <c r="AA2225">
        <v>0</v>
      </c>
      <c r="AB2225">
        <v>0</v>
      </c>
      <c r="AC2225" s="21">
        <f t="shared" si="263"/>
        <v>0</v>
      </c>
      <c r="AD2225">
        <v>0</v>
      </c>
      <c r="AE2225">
        <v>0</v>
      </c>
      <c r="AF2225" s="21">
        <f t="shared" si="266"/>
        <v>0</v>
      </c>
    </row>
    <row r="2226" spans="1:32" ht="15" customHeight="1" x14ac:dyDescent="0.3">
      <c r="A2226">
        <v>4</v>
      </c>
      <c r="B2226" s="2" t="s">
        <v>697</v>
      </c>
      <c r="C2226" s="4" t="s">
        <v>694</v>
      </c>
      <c r="D2226" s="3" t="s">
        <v>676</v>
      </c>
      <c r="E2226" s="6" t="s">
        <v>124</v>
      </c>
      <c r="F2226" s="6" t="s">
        <v>803</v>
      </c>
      <c r="G2226" s="6" t="s">
        <v>712</v>
      </c>
      <c r="H2226" s="23">
        <v>214.29</v>
      </c>
      <c r="I2226">
        <v>0</v>
      </c>
      <c r="J2226">
        <v>0</v>
      </c>
      <c r="K2226" s="20">
        <f t="shared" si="264"/>
        <v>0</v>
      </c>
      <c r="L2226">
        <v>8000</v>
      </c>
      <c r="M2226">
        <v>1</v>
      </c>
      <c r="N2226" s="21">
        <f t="shared" si="265"/>
        <v>1714320</v>
      </c>
      <c r="O2226">
        <v>0</v>
      </c>
      <c r="P2226">
        <v>0</v>
      </c>
      <c r="Q2226" s="21">
        <f t="shared" si="259"/>
        <v>0</v>
      </c>
      <c r="R2226">
        <v>0</v>
      </c>
      <c r="S2226">
        <v>0</v>
      </c>
      <c r="T2226" s="21">
        <f t="shared" si="260"/>
        <v>0</v>
      </c>
      <c r="U2226">
        <v>8000</v>
      </c>
      <c r="V2226">
        <v>1</v>
      </c>
      <c r="W2226" s="21">
        <f t="shared" si="261"/>
        <v>1714320</v>
      </c>
      <c r="X2226">
        <v>0</v>
      </c>
      <c r="Y2226">
        <v>0</v>
      </c>
      <c r="Z2226" s="21">
        <f t="shared" si="262"/>
        <v>0</v>
      </c>
      <c r="AA2226">
        <v>0</v>
      </c>
      <c r="AB2226">
        <v>0</v>
      </c>
      <c r="AC2226" s="21">
        <f t="shared" si="263"/>
        <v>0</v>
      </c>
      <c r="AD2226">
        <v>0</v>
      </c>
      <c r="AE2226">
        <v>0</v>
      </c>
      <c r="AF2226" s="21">
        <f t="shared" si="266"/>
        <v>0</v>
      </c>
    </row>
    <row r="2227" spans="1:32" ht="15" customHeight="1" x14ac:dyDescent="0.3">
      <c r="A2227">
        <v>4</v>
      </c>
      <c r="B2227" s="2" t="s">
        <v>697</v>
      </c>
      <c r="C2227" s="4" t="s">
        <v>694</v>
      </c>
      <c r="D2227" s="3" t="s">
        <v>676</v>
      </c>
      <c r="E2227" s="6" t="s">
        <v>125</v>
      </c>
      <c r="F2227" s="6" t="s">
        <v>585</v>
      </c>
      <c r="G2227" s="6" t="s">
        <v>709</v>
      </c>
      <c r="H2227" s="23">
        <v>28000</v>
      </c>
      <c r="I2227">
        <v>0</v>
      </c>
      <c r="J2227">
        <v>0</v>
      </c>
      <c r="K2227" s="20">
        <f t="shared" si="264"/>
        <v>0</v>
      </c>
      <c r="L2227">
        <v>0</v>
      </c>
      <c r="M2227">
        <v>0</v>
      </c>
      <c r="N2227" s="21">
        <f t="shared" si="265"/>
        <v>0</v>
      </c>
      <c r="O2227">
        <v>60</v>
      </c>
      <c r="P2227">
        <v>5</v>
      </c>
      <c r="Q2227" s="21">
        <f t="shared" si="259"/>
        <v>8400000</v>
      </c>
      <c r="R2227">
        <v>60</v>
      </c>
      <c r="S2227">
        <v>5</v>
      </c>
      <c r="T2227" s="21">
        <f t="shared" si="260"/>
        <v>8400000</v>
      </c>
      <c r="U2227">
        <v>60</v>
      </c>
      <c r="V2227">
        <v>5</v>
      </c>
      <c r="W2227" s="21">
        <f t="shared" si="261"/>
        <v>8400000</v>
      </c>
      <c r="X2227">
        <v>0</v>
      </c>
      <c r="Y2227">
        <v>0</v>
      </c>
      <c r="Z2227" s="21">
        <f t="shared" si="262"/>
        <v>0</v>
      </c>
      <c r="AA2227">
        <v>0</v>
      </c>
      <c r="AB2227">
        <v>0</v>
      </c>
      <c r="AC2227" s="21">
        <f t="shared" si="263"/>
        <v>0</v>
      </c>
      <c r="AD2227">
        <v>0</v>
      </c>
      <c r="AE2227">
        <v>0</v>
      </c>
      <c r="AF2227" s="21">
        <f t="shared" si="266"/>
        <v>0</v>
      </c>
    </row>
    <row r="2228" spans="1:32" ht="15" customHeight="1" x14ac:dyDescent="0.3">
      <c r="A2228">
        <v>4</v>
      </c>
      <c r="B2228" s="2" t="s">
        <v>697</v>
      </c>
      <c r="C2228" s="4" t="s">
        <v>694</v>
      </c>
      <c r="D2228" s="3" t="s">
        <v>676</v>
      </c>
      <c r="E2228" s="6" t="s">
        <v>125</v>
      </c>
      <c r="F2228" s="6" t="s">
        <v>586</v>
      </c>
      <c r="G2228" s="6" t="s">
        <v>716</v>
      </c>
      <c r="H2228" s="23">
        <v>39000</v>
      </c>
      <c r="I2228">
        <v>0</v>
      </c>
      <c r="J2228">
        <v>0</v>
      </c>
      <c r="K2228" s="20">
        <f t="shared" si="264"/>
        <v>0</v>
      </c>
      <c r="L2228">
        <v>0</v>
      </c>
      <c r="M2228">
        <v>0</v>
      </c>
      <c r="N2228" s="21">
        <f t="shared" si="265"/>
        <v>0</v>
      </c>
      <c r="O2228">
        <v>40</v>
      </c>
      <c r="P2228">
        <v>5</v>
      </c>
      <c r="Q2228" s="21">
        <f t="shared" si="259"/>
        <v>7800000</v>
      </c>
      <c r="R2228">
        <v>40</v>
      </c>
      <c r="S2228">
        <v>5</v>
      </c>
      <c r="T2228" s="21">
        <f t="shared" si="260"/>
        <v>7800000</v>
      </c>
      <c r="U2228">
        <v>40</v>
      </c>
      <c r="V2228">
        <v>5</v>
      </c>
      <c r="W2228" s="21">
        <f t="shared" si="261"/>
        <v>7800000</v>
      </c>
      <c r="X2228">
        <v>0</v>
      </c>
      <c r="Y2228">
        <v>0</v>
      </c>
      <c r="Z2228" s="21">
        <f t="shared" si="262"/>
        <v>0</v>
      </c>
      <c r="AA2228">
        <v>0</v>
      </c>
      <c r="AB2228">
        <v>0</v>
      </c>
      <c r="AC2228" s="21">
        <f t="shared" si="263"/>
        <v>0</v>
      </c>
      <c r="AD2228">
        <v>0</v>
      </c>
      <c r="AE2228">
        <v>0</v>
      </c>
      <c r="AF2228" s="21">
        <f t="shared" si="266"/>
        <v>0</v>
      </c>
    </row>
    <row r="2229" spans="1:32" ht="15" customHeight="1" x14ac:dyDescent="0.3">
      <c r="A2229">
        <v>4</v>
      </c>
      <c r="B2229" s="2" t="s">
        <v>697</v>
      </c>
      <c r="C2229" s="4" t="s">
        <v>694</v>
      </c>
      <c r="D2229" s="3" t="s">
        <v>676</v>
      </c>
      <c r="E2229" s="6" t="s">
        <v>125</v>
      </c>
      <c r="F2229" s="6" t="s">
        <v>804</v>
      </c>
      <c r="G2229" s="6" t="s">
        <v>709</v>
      </c>
      <c r="H2229" s="23">
        <v>28000</v>
      </c>
      <c r="I2229">
        <v>0</v>
      </c>
      <c r="J2229">
        <v>0</v>
      </c>
      <c r="K2229" s="20">
        <f t="shared" si="264"/>
        <v>0</v>
      </c>
      <c r="L2229">
        <v>0</v>
      </c>
      <c r="M2229">
        <v>0</v>
      </c>
      <c r="N2229" s="21">
        <f t="shared" si="265"/>
        <v>0</v>
      </c>
      <c r="O2229">
        <v>40</v>
      </c>
      <c r="P2229">
        <v>5</v>
      </c>
      <c r="Q2229" s="21">
        <f t="shared" si="259"/>
        <v>5600000</v>
      </c>
      <c r="R2229">
        <v>40</v>
      </c>
      <c r="S2229">
        <v>5</v>
      </c>
      <c r="T2229" s="21">
        <f t="shared" si="260"/>
        <v>5600000</v>
      </c>
      <c r="U2229">
        <v>40</v>
      </c>
      <c r="V2229">
        <v>5</v>
      </c>
      <c r="W2229" s="21">
        <f t="shared" si="261"/>
        <v>5600000</v>
      </c>
      <c r="X2229">
        <v>0</v>
      </c>
      <c r="Y2229">
        <v>0</v>
      </c>
      <c r="Z2229" s="21">
        <f t="shared" si="262"/>
        <v>0</v>
      </c>
      <c r="AA2229">
        <v>0</v>
      </c>
      <c r="AB2229">
        <v>0</v>
      </c>
      <c r="AC2229" s="21">
        <f t="shared" si="263"/>
        <v>0</v>
      </c>
      <c r="AD2229">
        <v>0</v>
      </c>
      <c r="AE2229">
        <v>0</v>
      </c>
      <c r="AF2229" s="21">
        <f t="shared" si="266"/>
        <v>0</v>
      </c>
    </row>
    <row r="2230" spans="1:32" ht="15" customHeight="1" x14ac:dyDescent="0.3">
      <c r="A2230">
        <v>4</v>
      </c>
      <c r="B2230" s="2" t="s">
        <v>697</v>
      </c>
      <c r="C2230" s="4" t="s">
        <v>694</v>
      </c>
      <c r="D2230" s="3" t="s">
        <v>676</v>
      </c>
      <c r="E2230" s="6" t="s">
        <v>125</v>
      </c>
      <c r="F2230" s="6" t="s">
        <v>805</v>
      </c>
      <c r="G2230" s="6" t="s">
        <v>712</v>
      </c>
      <c r="H2230" s="23">
        <v>214.29</v>
      </c>
      <c r="I2230">
        <v>0</v>
      </c>
      <c r="J2230">
        <v>0</v>
      </c>
      <c r="K2230" s="20">
        <f t="shared" si="264"/>
        <v>0</v>
      </c>
      <c r="L2230">
        <v>0</v>
      </c>
      <c r="M2230">
        <v>0</v>
      </c>
      <c r="N2230" s="21">
        <f t="shared" si="265"/>
        <v>0</v>
      </c>
      <c r="O2230">
        <v>10000</v>
      </c>
      <c r="P2230">
        <v>1</v>
      </c>
      <c r="Q2230" s="21">
        <f t="shared" si="259"/>
        <v>2142900</v>
      </c>
      <c r="R2230">
        <v>10000</v>
      </c>
      <c r="S2230">
        <v>1</v>
      </c>
      <c r="T2230" s="21">
        <f t="shared" si="260"/>
        <v>2142900</v>
      </c>
      <c r="U2230">
        <v>10000</v>
      </c>
      <c r="V2230">
        <v>1</v>
      </c>
      <c r="W2230" s="21">
        <f t="shared" si="261"/>
        <v>2142900</v>
      </c>
      <c r="X2230">
        <v>0</v>
      </c>
      <c r="Y2230">
        <v>0</v>
      </c>
      <c r="Z2230" s="21">
        <f t="shared" si="262"/>
        <v>0</v>
      </c>
      <c r="AA2230">
        <v>0</v>
      </c>
      <c r="AB2230">
        <v>0</v>
      </c>
      <c r="AC2230" s="21">
        <f t="shared" si="263"/>
        <v>0</v>
      </c>
      <c r="AD2230">
        <v>0</v>
      </c>
      <c r="AE2230">
        <v>0</v>
      </c>
      <c r="AF2230" s="21">
        <f t="shared" si="266"/>
        <v>0</v>
      </c>
    </row>
    <row r="2231" spans="1:32" ht="15" customHeight="1" x14ac:dyDescent="0.3">
      <c r="A2231">
        <v>4</v>
      </c>
      <c r="B2231" s="2" t="s">
        <v>697</v>
      </c>
      <c r="C2231" s="4" t="s">
        <v>694</v>
      </c>
      <c r="D2231" s="3" t="s">
        <v>677</v>
      </c>
      <c r="E2231" s="6" t="s">
        <v>126</v>
      </c>
      <c r="F2231" s="6" t="s">
        <v>466</v>
      </c>
      <c r="G2231" s="6" t="s">
        <v>718</v>
      </c>
      <c r="H2231" s="23">
        <v>0</v>
      </c>
      <c r="I2231">
        <v>0</v>
      </c>
      <c r="J2231">
        <v>0</v>
      </c>
      <c r="K2231" s="20">
        <f t="shared" si="264"/>
        <v>0</v>
      </c>
      <c r="L2231">
        <v>0</v>
      </c>
      <c r="M2231">
        <v>0</v>
      </c>
      <c r="N2231" s="21">
        <f t="shared" si="265"/>
        <v>0</v>
      </c>
      <c r="O2231">
        <v>0</v>
      </c>
      <c r="P2231">
        <v>0</v>
      </c>
      <c r="Q2231" s="21">
        <f t="shared" si="259"/>
        <v>0</v>
      </c>
      <c r="R2231">
        <v>0</v>
      </c>
      <c r="S2231">
        <v>0</v>
      </c>
      <c r="T2231" s="21">
        <f t="shared" si="260"/>
        <v>0</v>
      </c>
      <c r="U2231">
        <v>0</v>
      </c>
      <c r="V2231">
        <v>0</v>
      </c>
      <c r="W2231" s="21">
        <f t="shared" si="261"/>
        <v>0</v>
      </c>
      <c r="X2231">
        <v>0</v>
      </c>
      <c r="Y2231">
        <v>0</v>
      </c>
      <c r="Z2231" s="21">
        <f t="shared" si="262"/>
        <v>0</v>
      </c>
      <c r="AA2231">
        <v>0</v>
      </c>
      <c r="AB2231">
        <v>0</v>
      </c>
      <c r="AC2231" s="21">
        <f t="shared" si="263"/>
        <v>0</v>
      </c>
      <c r="AD2231">
        <v>0</v>
      </c>
      <c r="AE2231">
        <v>0</v>
      </c>
      <c r="AF2231" s="21">
        <f t="shared" si="266"/>
        <v>0</v>
      </c>
    </row>
    <row r="2232" spans="1:32" ht="15" customHeight="1" x14ac:dyDescent="0.3">
      <c r="A2232">
        <v>4</v>
      </c>
      <c r="B2232" s="2" t="s">
        <v>697</v>
      </c>
      <c r="C2232" s="4" t="s">
        <v>694</v>
      </c>
      <c r="D2232" s="3" t="s">
        <v>677</v>
      </c>
      <c r="E2232" s="6" t="s">
        <v>126</v>
      </c>
      <c r="F2232" s="6" t="s">
        <v>467</v>
      </c>
      <c r="G2232" s="6" t="s">
        <v>718</v>
      </c>
      <c r="H2232" s="23">
        <v>0</v>
      </c>
      <c r="I2232">
        <v>0</v>
      </c>
      <c r="J2232">
        <v>0</v>
      </c>
      <c r="K2232" s="20">
        <f t="shared" si="264"/>
        <v>0</v>
      </c>
      <c r="L2232">
        <v>0</v>
      </c>
      <c r="M2232">
        <v>0</v>
      </c>
      <c r="N2232" s="21">
        <f t="shared" si="265"/>
        <v>0</v>
      </c>
      <c r="O2232">
        <v>0</v>
      </c>
      <c r="P2232">
        <v>0</v>
      </c>
      <c r="Q2232" s="21">
        <f t="shared" si="259"/>
        <v>0</v>
      </c>
      <c r="R2232">
        <v>0</v>
      </c>
      <c r="S2232">
        <v>0</v>
      </c>
      <c r="T2232" s="21">
        <f t="shared" si="260"/>
        <v>0</v>
      </c>
      <c r="U2232">
        <v>0</v>
      </c>
      <c r="V2232">
        <v>0</v>
      </c>
      <c r="W2232" s="21">
        <f t="shared" si="261"/>
        <v>0</v>
      </c>
      <c r="X2232">
        <v>0</v>
      </c>
      <c r="Y2232">
        <v>0</v>
      </c>
      <c r="Z2232" s="21">
        <f t="shared" si="262"/>
        <v>0</v>
      </c>
      <c r="AA2232">
        <v>0</v>
      </c>
      <c r="AB2232">
        <v>0</v>
      </c>
      <c r="AC2232" s="21">
        <f t="shared" si="263"/>
        <v>0</v>
      </c>
      <c r="AD2232">
        <v>0</v>
      </c>
      <c r="AE2232">
        <v>0</v>
      </c>
      <c r="AF2232" s="21">
        <f t="shared" si="266"/>
        <v>0</v>
      </c>
    </row>
    <row r="2233" spans="1:32" ht="15" customHeight="1" x14ac:dyDescent="0.3">
      <c r="A2233">
        <v>4</v>
      </c>
      <c r="B2233" s="2" t="s">
        <v>697</v>
      </c>
      <c r="C2233" s="4" t="s">
        <v>694</v>
      </c>
      <c r="D2233" s="3" t="s">
        <v>677</v>
      </c>
      <c r="E2233" s="6" t="s">
        <v>126</v>
      </c>
      <c r="F2233" s="6" t="s">
        <v>468</v>
      </c>
      <c r="G2233" s="6" t="s">
        <v>718</v>
      </c>
      <c r="H2233" s="23">
        <v>0</v>
      </c>
      <c r="I2233">
        <v>0</v>
      </c>
      <c r="J2233">
        <v>0</v>
      </c>
      <c r="K2233" s="20">
        <f t="shared" si="264"/>
        <v>0</v>
      </c>
      <c r="L2233">
        <v>0</v>
      </c>
      <c r="M2233">
        <v>0</v>
      </c>
      <c r="N2233" s="21">
        <f t="shared" si="265"/>
        <v>0</v>
      </c>
      <c r="O2233">
        <v>0</v>
      </c>
      <c r="P2233">
        <v>0</v>
      </c>
      <c r="Q2233" s="21">
        <f t="shared" si="259"/>
        <v>0</v>
      </c>
      <c r="R2233">
        <v>0</v>
      </c>
      <c r="S2233">
        <v>0</v>
      </c>
      <c r="T2233" s="21">
        <f t="shared" si="260"/>
        <v>0</v>
      </c>
      <c r="U2233">
        <v>0</v>
      </c>
      <c r="V2233">
        <v>0</v>
      </c>
      <c r="W2233" s="21">
        <f t="shared" si="261"/>
        <v>0</v>
      </c>
      <c r="X2233">
        <v>0</v>
      </c>
      <c r="Y2233">
        <v>0</v>
      </c>
      <c r="Z2233" s="21">
        <f t="shared" si="262"/>
        <v>0</v>
      </c>
      <c r="AA2233">
        <v>0</v>
      </c>
      <c r="AB2233">
        <v>0</v>
      </c>
      <c r="AC2233" s="21">
        <f t="shared" si="263"/>
        <v>0</v>
      </c>
      <c r="AD2233">
        <v>0</v>
      </c>
      <c r="AE2233">
        <v>0</v>
      </c>
      <c r="AF2233" s="21">
        <f t="shared" si="266"/>
        <v>0</v>
      </c>
    </row>
    <row r="2234" spans="1:32" ht="15" customHeight="1" x14ac:dyDescent="0.3">
      <c r="A2234">
        <v>4</v>
      </c>
      <c r="B2234" s="2" t="s">
        <v>697</v>
      </c>
      <c r="C2234" s="4" t="s">
        <v>694</v>
      </c>
      <c r="D2234" s="3" t="s">
        <v>677</v>
      </c>
      <c r="E2234" s="6" t="s">
        <v>126</v>
      </c>
      <c r="F2234" s="6" t="s">
        <v>469</v>
      </c>
      <c r="G2234" s="6" t="s">
        <v>718</v>
      </c>
      <c r="H2234" s="23">
        <v>0</v>
      </c>
      <c r="I2234">
        <v>0</v>
      </c>
      <c r="J2234">
        <v>0</v>
      </c>
      <c r="K2234" s="20">
        <f t="shared" si="264"/>
        <v>0</v>
      </c>
      <c r="L2234">
        <v>0</v>
      </c>
      <c r="M2234">
        <v>0</v>
      </c>
      <c r="N2234" s="21">
        <f t="shared" si="265"/>
        <v>0</v>
      </c>
      <c r="O2234">
        <v>0</v>
      </c>
      <c r="P2234">
        <v>0</v>
      </c>
      <c r="Q2234" s="21">
        <f t="shared" si="259"/>
        <v>0</v>
      </c>
      <c r="R2234">
        <v>0</v>
      </c>
      <c r="S2234">
        <v>0</v>
      </c>
      <c r="T2234" s="21">
        <f t="shared" si="260"/>
        <v>0</v>
      </c>
      <c r="U2234">
        <v>0</v>
      </c>
      <c r="V2234">
        <v>0</v>
      </c>
      <c r="W2234" s="21">
        <f t="shared" si="261"/>
        <v>0</v>
      </c>
      <c r="X2234">
        <v>0</v>
      </c>
      <c r="Y2234">
        <v>0</v>
      </c>
      <c r="Z2234" s="21">
        <f t="shared" si="262"/>
        <v>0</v>
      </c>
      <c r="AA2234">
        <v>0</v>
      </c>
      <c r="AB2234">
        <v>0</v>
      </c>
      <c r="AC2234" s="21">
        <f t="shared" si="263"/>
        <v>0</v>
      </c>
      <c r="AD2234">
        <v>0</v>
      </c>
      <c r="AE2234">
        <v>0</v>
      </c>
      <c r="AF2234" s="21">
        <f t="shared" si="266"/>
        <v>0</v>
      </c>
    </row>
    <row r="2235" spans="1:32" ht="15" customHeight="1" x14ac:dyDescent="0.3">
      <c r="A2235">
        <v>4</v>
      </c>
      <c r="B2235" s="2" t="s">
        <v>697</v>
      </c>
      <c r="C2235" s="4" t="s">
        <v>694</v>
      </c>
      <c r="D2235" s="3" t="s">
        <v>677</v>
      </c>
      <c r="E2235" s="6" t="s">
        <v>126</v>
      </c>
      <c r="F2235" s="6" t="s">
        <v>470</v>
      </c>
      <c r="G2235" s="6" t="s">
        <v>718</v>
      </c>
      <c r="H2235" s="23">
        <v>0</v>
      </c>
      <c r="I2235">
        <v>0</v>
      </c>
      <c r="J2235">
        <v>0</v>
      </c>
      <c r="K2235" s="20">
        <f t="shared" si="264"/>
        <v>0</v>
      </c>
      <c r="L2235">
        <v>0</v>
      </c>
      <c r="M2235">
        <v>0</v>
      </c>
      <c r="N2235" s="21">
        <f t="shared" si="265"/>
        <v>0</v>
      </c>
      <c r="O2235">
        <v>0</v>
      </c>
      <c r="P2235">
        <v>0</v>
      </c>
      <c r="Q2235" s="21">
        <f t="shared" si="259"/>
        <v>0</v>
      </c>
      <c r="R2235">
        <v>0</v>
      </c>
      <c r="S2235">
        <v>0</v>
      </c>
      <c r="T2235" s="21">
        <f t="shared" si="260"/>
        <v>0</v>
      </c>
      <c r="U2235">
        <v>0</v>
      </c>
      <c r="V2235">
        <v>0</v>
      </c>
      <c r="W2235" s="21">
        <f t="shared" si="261"/>
        <v>0</v>
      </c>
      <c r="X2235">
        <v>0</v>
      </c>
      <c r="Y2235">
        <v>0</v>
      </c>
      <c r="Z2235" s="21">
        <f t="shared" si="262"/>
        <v>0</v>
      </c>
      <c r="AA2235">
        <v>0</v>
      </c>
      <c r="AB2235">
        <v>0</v>
      </c>
      <c r="AC2235" s="21">
        <f t="shared" si="263"/>
        <v>0</v>
      </c>
      <c r="AD2235">
        <v>0</v>
      </c>
      <c r="AE2235">
        <v>0</v>
      </c>
      <c r="AF2235" s="21">
        <f t="shared" si="266"/>
        <v>0</v>
      </c>
    </row>
    <row r="2236" spans="1:32" ht="15" customHeight="1" x14ac:dyDescent="0.3">
      <c r="A2236">
        <v>4</v>
      </c>
      <c r="B2236" s="2" t="s">
        <v>697</v>
      </c>
      <c r="C2236" s="4" t="s">
        <v>694</v>
      </c>
      <c r="D2236" s="3" t="s">
        <v>677</v>
      </c>
      <c r="E2236" s="6" t="s">
        <v>126</v>
      </c>
      <c r="F2236" s="6" t="s">
        <v>471</v>
      </c>
      <c r="G2236" s="6" t="s">
        <v>718</v>
      </c>
      <c r="H2236" s="23">
        <v>0</v>
      </c>
      <c r="I2236">
        <v>0</v>
      </c>
      <c r="J2236">
        <v>0</v>
      </c>
      <c r="K2236" s="20">
        <f t="shared" si="264"/>
        <v>0</v>
      </c>
      <c r="L2236">
        <v>0</v>
      </c>
      <c r="M2236">
        <v>0</v>
      </c>
      <c r="N2236" s="21">
        <f t="shared" si="265"/>
        <v>0</v>
      </c>
      <c r="O2236">
        <v>0</v>
      </c>
      <c r="P2236">
        <v>0</v>
      </c>
      <c r="Q2236" s="21">
        <f t="shared" si="259"/>
        <v>0</v>
      </c>
      <c r="R2236">
        <v>0</v>
      </c>
      <c r="S2236">
        <v>0</v>
      </c>
      <c r="T2236" s="21">
        <f t="shared" si="260"/>
        <v>0</v>
      </c>
      <c r="U2236">
        <v>0</v>
      </c>
      <c r="V2236">
        <v>0</v>
      </c>
      <c r="W2236" s="21">
        <f t="shared" si="261"/>
        <v>0</v>
      </c>
      <c r="X2236">
        <v>0</v>
      </c>
      <c r="Y2236">
        <v>0</v>
      </c>
      <c r="Z2236" s="21">
        <f t="shared" si="262"/>
        <v>0</v>
      </c>
      <c r="AA2236">
        <v>0</v>
      </c>
      <c r="AB2236">
        <v>0</v>
      </c>
      <c r="AC2236" s="21">
        <f t="shared" si="263"/>
        <v>0</v>
      </c>
      <c r="AD2236">
        <v>0</v>
      </c>
      <c r="AE2236">
        <v>0</v>
      </c>
      <c r="AF2236" s="21">
        <f t="shared" si="266"/>
        <v>0</v>
      </c>
    </row>
    <row r="2237" spans="1:32" ht="15" customHeight="1" x14ac:dyDescent="0.3">
      <c r="A2237">
        <v>4</v>
      </c>
      <c r="B2237" s="2" t="s">
        <v>697</v>
      </c>
      <c r="C2237" s="4" t="s">
        <v>694</v>
      </c>
      <c r="D2237" s="3" t="s">
        <v>677</v>
      </c>
      <c r="E2237" s="6" t="s">
        <v>126</v>
      </c>
      <c r="F2237" s="6" t="s">
        <v>472</v>
      </c>
      <c r="G2237" s="6" t="s">
        <v>718</v>
      </c>
      <c r="H2237" s="23">
        <v>0</v>
      </c>
      <c r="I2237">
        <v>0</v>
      </c>
      <c r="J2237">
        <v>0</v>
      </c>
      <c r="K2237" s="20">
        <f t="shared" si="264"/>
        <v>0</v>
      </c>
      <c r="L2237">
        <v>0</v>
      </c>
      <c r="M2237">
        <v>0</v>
      </c>
      <c r="N2237" s="21">
        <f t="shared" si="265"/>
        <v>0</v>
      </c>
      <c r="O2237">
        <v>0</v>
      </c>
      <c r="P2237">
        <v>0</v>
      </c>
      <c r="Q2237" s="21">
        <f t="shared" ref="Q2237:Q2300" si="267">H2237*O2237*P2237</f>
        <v>0</v>
      </c>
      <c r="R2237">
        <v>0</v>
      </c>
      <c r="S2237">
        <v>0</v>
      </c>
      <c r="T2237" s="21">
        <f t="shared" ref="T2237:T2300" si="268">H2237*R2237*S2237</f>
        <v>0</v>
      </c>
      <c r="U2237">
        <v>0</v>
      </c>
      <c r="V2237">
        <v>0</v>
      </c>
      <c r="W2237" s="21">
        <f t="shared" ref="W2237:W2300" si="269">H2237*U2237*V2237</f>
        <v>0</v>
      </c>
      <c r="X2237">
        <v>0</v>
      </c>
      <c r="Y2237">
        <v>0</v>
      </c>
      <c r="Z2237" s="21">
        <f t="shared" ref="Z2237:Z2300" si="270">H2237*X2237*Y2237</f>
        <v>0</v>
      </c>
      <c r="AA2237">
        <v>0</v>
      </c>
      <c r="AB2237">
        <v>0</v>
      </c>
      <c r="AC2237" s="21">
        <f t="shared" ref="AC2237:AC2300" si="271">H2237*AA2237*AB2237</f>
        <v>0</v>
      </c>
      <c r="AD2237">
        <v>0</v>
      </c>
      <c r="AE2237">
        <v>0</v>
      </c>
      <c r="AF2237" s="21">
        <f t="shared" si="266"/>
        <v>0</v>
      </c>
    </row>
    <row r="2238" spans="1:32" ht="15" customHeight="1" x14ac:dyDescent="0.3">
      <c r="A2238">
        <v>4</v>
      </c>
      <c r="B2238" s="2" t="s">
        <v>697</v>
      </c>
      <c r="C2238" s="4" t="s">
        <v>694</v>
      </c>
      <c r="D2238" s="3" t="s">
        <v>677</v>
      </c>
      <c r="E2238" s="6" t="s">
        <v>126</v>
      </c>
      <c r="F2238" s="6" t="s">
        <v>587</v>
      </c>
      <c r="G2238" s="6" t="s">
        <v>718</v>
      </c>
      <c r="H2238" s="23">
        <v>0</v>
      </c>
      <c r="I2238">
        <v>0</v>
      </c>
      <c r="J2238">
        <v>0</v>
      </c>
      <c r="K2238" s="20">
        <f t="shared" si="264"/>
        <v>0</v>
      </c>
      <c r="L2238">
        <v>0</v>
      </c>
      <c r="M2238">
        <v>0</v>
      </c>
      <c r="N2238" s="21">
        <f t="shared" si="265"/>
        <v>0</v>
      </c>
      <c r="O2238">
        <v>0</v>
      </c>
      <c r="P2238">
        <v>0</v>
      </c>
      <c r="Q2238" s="21">
        <f t="shared" si="267"/>
        <v>0</v>
      </c>
      <c r="R2238">
        <v>0</v>
      </c>
      <c r="S2238">
        <v>0</v>
      </c>
      <c r="T2238" s="21">
        <f t="shared" si="268"/>
        <v>0</v>
      </c>
      <c r="U2238">
        <v>0</v>
      </c>
      <c r="V2238">
        <v>0</v>
      </c>
      <c r="W2238" s="21">
        <f t="shared" si="269"/>
        <v>0</v>
      </c>
      <c r="X2238">
        <v>0</v>
      </c>
      <c r="Y2238">
        <v>0</v>
      </c>
      <c r="Z2238" s="21">
        <f t="shared" si="270"/>
        <v>0</v>
      </c>
      <c r="AA2238">
        <v>0</v>
      </c>
      <c r="AB2238">
        <v>0</v>
      </c>
      <c r="AC2238" s="21">
        <f t="shared" si="271"/>
        <v>0</v>
      </c>
      <c r="AD2238">
        <v>0</v>
      </c>
      <c r="AE2238">
        <v>0</v>
      </c>
      <c r="AF2238" s="21">
        <f t="shared" si="266"/>
        <v>0</v>
      </c>
    </row>
    <row r="2239" spans="1:32" ht="15" customHeight="1" x14ac:dyDescent="0.3">
      <c r="A2239">
        <v>4</v>
      </c>
      <c r="B2239" s="2" t="s">
        <v>697</v>
      </c>
      <c r="C2239" s="4" t="s">
        <v>694</v>
      </c>
      <c r="D2239" s="3" t="s">
        <v>677</v>
      </c>
      <c r="E2239" s="6" t="s">
        <v>127</v>
      </c>
      <c r="F2239" s="6" t="s">
        <v>587</v>
      </c>
      <c r="G2239" s="6" t="s">
        <v>718</v>
      </c>
      <c r="H2239" s="23">
        <v>0</v>
      </c>
      <c r="I2239">
        <v>0</v>
      </c>
      <c r="J2239">
        <v>0</v>
      </c>
      <c r="K2239" s="20">
        <f t="shared" si="264"/>
        <v>0</v>
      </c>
      <c r="L2239">
        <v>0</v>
      </c>
      <c r="M2239">
        <v>0</v>
      </c>
      <c r="N2239" s="21">
        <f t="shared" si="265"/>
        <v>0</v>
      </c>
      <c r="O2239">
        <v>0</v>
      </c>
      <c r="P2239">
        <v>0</v>
      </c>
      <c r="Q2239" s="21">
        <f t="shared" si="267"/>
        <v>0</v>
      </c>
      <c r="R2239">
        <v>0</v>
      </c>
      <c r="S2239">
        <v>0</v>
      </c>
      <c r="T2239" s="21">
        <f t="shared" si="268"/>
        <v>0</v>
      </c>
      <c r="U2239">
        <v>0</v>
      </c>
      <c r="V2239">
        <v>0</v>
      </c>
      <c r="W2239" s="21">
        <f t="shared" si="269"/>
        <v>0</v>
      </c>
      <c r="X2239">
        <v>0</v>
      </c>
      <c r="Y2239">
        <v>0</v>
      </c>
      <c r="Z2239" s="21">
        <f t="shared" si="270"/>
        <v>0</v>
      </c>
      <c r="AA2239">
        <v>0</v>
      </c>
      <c r="AB2239">
        <v>0</v>
      </c>
      <c r="AC2239" s="21">
        <f t="shared" si="271"/>
        <v>0</v>
      </c>
      <c r="AD2239">
        <v>0</v>
      </c>
      <c r="AE2239">
        <v>0</v>
      </c>
      <c r="AF2239" s="21">
        <f t="shared" si="266"/>
        <v>0</v>
      </c>
    </row>
    <row r="2240" spans="1:32" ht="15" customHeight="1" x14ac:dyDescent="0.3">
      <c r="A2240">
        <v>4</v>
      </c>
      <c r="B2240" s="2" t="s">
        <v>697</v>
      </c>
      <c r="C2240" s="4" t="s">
        <v>694</v>
      </c>
      <c r="D2240" s="3" t="s">
        <v>677</v>
      </c>
      <c r="E2240" s="6" t="s">
        <v>128</v>
      </c>
      <c r="F2240" s="6" t="s">
        <v>588</v>
      </c>
      <c r="G2240" s="6" t="s">
        <v>718</v>
      </c>
      <c r="H2240" s="23">
        <v>0</v>
      </c>
      <c r="I2240">
        <v>0</v>
      </c>
      <c r="J2240">
        <v>0</v>
      </c>
      <c r="K2240" s="20">
        <f t="shared" si="264"/>
        <v>0</v>
      </c>
      <c r="L2240">
        <v>0</v>
      </c>
      <c r="M2240">
        <v>0</v>
      </c>
      <c r="N2240" s="21">
        <f t="shared" si="265"/>
        <v>0</v>
      </c>
      <c r="O2240">
        <v>0</v>
      </c>
      <c r="P2240">
        <v>0</v>
      </c>
      <c r="Q2240" s="21">
        <f t="shared" si="267"/>
        <v>0</v>
      </c>
      <c r="R2240">
        <v>0</v>
      </c>
      <c r="S2240">
        <v>0</v>
      </c>
      <c r="T2240" s="21">
        <f t="shared" si="268"/>
        <v>0</v>
      </c>
      <c r="U2240">
        <v>0</v>
      </c>
      <c r="V2240">
        <v>0</v>
      </c>
      <c r="W2240" s="21">
        <f t="shared" si="269"/>
        <v>0</v>
      </c>
      <c r="X2240">
        <v>0</v>
      </c>
      <c r="Y2240">
        <v>0</v>
      </c>
      <c r="Z2240" s="21">
        <f t="shared" si="270"/>
        <v>0</v>
      </c>
      <c r="AA2240">
        <v>0</v>
      </c>
      <c r="AB2240">
        <v>0</v>
      </c>
      <c r="AC2240" s="21">
        <f t="shared" si="271"/>
        <v>0</v>
      </c>
      <c r="AD2240">
        <v>0</v>
      </c>
      <c r="AE2240">
        <v>0</v>
      </c>
      <c r="AF2240" s="21">
        <f t="shared" si="266"/>
        <v>0</v>
      </c>
    </row>
    <row r="2241" spans="1:32" ht="15" customHeight="1" x14ac:dyDescent="0.3">
      <c r="A2241">
        <v>4</v>
      </c>
      <c r="B2241" s="2" t="s">
        <v>697</v>
      </c>
      <c r="C2241" s="4" t="s">
        <v>694</v>
      </c>
      <c r="D2241" s="3" t="s">
        <v>677</v>
      </c>
      <c r="E2241" s="6" t="s">
        <v>129</v>
      </c>
      <c r="F2241" s="6" t="s">
        <v>589</v>
      </c>
      <c r="G2241" s="6" t="s">
        <v>718</v>
      </c>
      <c r="H2241" s="23">
        <v>0</v>
      </c>
      <c r="I2241">
        <v>0</v>
      </c>
      <c r="J2241">
        <v>0</v>
      </c>
      <c r="K2241" s="20">
        <f t="shared" si="264"/>
        <v>0</v>
      </c>
      <c r="L2241">
        <v>0</v>
      </c>
      <c r="M2241">
        <v>0</v>
      </c>
      <c r="N2241" s="21">
        <f t="shared" si="265"/>
        <v>0</v>
      </c>
      <c r="O2241">
        <v>0</v>
      </c>
      <c r="P2241">
        <v>0</v>
      </c>
      <c r="Q2241" s="21">
        <f t="shared" si="267"/>
        <v>0</v>
      </c>
      <c r="R2241">
        <v>0</v>
      </c>
      <c r="S2241">
        <v>0</v>
      </c>
      <c r="T2241" s="21">
        <f t="shared" si="268"/>
        <v>0</v>
      </c>
      <c r="U2241">
        <v>0</v>
      </c>
      <c r="V2241">
        <v>0</v>
      </c>
      <c r="W2241" s="21">
        <f t="shared" si="269"/>
        <v>0</v>
      </c>
      <c r="X2241">
        <v>0</v>
      </c>
      <c r="Y2241">
        <v>0</v>
      </c>
      <c r="Z2241" s="21">
        <f t="shared" si="270"/>
        <v>0</v>
      </c>
      <c r="AA2241">
        <v>0</v>
      </c>
      <c r="AB2241">
        <v>0</v>
      </c>
      <c r="AC2241" s="21">
        <f t="shared" si="271"/>
        <v>0</v>
      </c>
      <c r="AD2241">
        <v>0</v>
      </c>
      <c r="AE2241">
        <v>0</v>
      </c>
      <c r="AF2241" s="21">
        <f t="shared" si="266"/>
        <v>0</v>
      </c>
    </row>
    <row r="2242" spans="1:32" ht="15" customHeight="1" x14ac:dyDescent="0.3">
      <c r="A2242">
        <v>4</v>
      </c>
      <c r="B2242" s="2" t="s">
        <v>697</v>
      </c>
      <c r="C2242" s="4" t="s">
        <v>694</v>
      </c>
      <c r="D2242" s="3" t="s">
        <v>677</v>
      </c>
      <c r="E2242" s="6" t="s">
        <v>129</v>
      </c>
      <c r="F2242" s="6" t="s">
        <v>590</v>
      </c>
      <c r="G2242" s="6" t="s">
        <v>716</v>
      </c>
      <c r="H2242" s="23">
        <v>39000</v>
      </c>
      <c r="I2242">
        <v>0</v>
      </c>
      <c r="J2242">
        <v>0</v>
      </c>
      <c r="K2242" s="20">
        <f t="shared" si="264"/>
        <v>0</v>
      </c>
      <c r="L2242">
        <v>0</v>
      </c>
      <c r="M2242">
        <v>0</v>
      </c>
      <c r="N2242" s="21">
        <f t="shared" si="265"/>
        <v>0</v>
      </c>
      <c r="O2242">
        <v>20</v>
      </c>
      <c r="P2242">
        <v>10</v>
      </c>
      <c r="Q2242" s="21">
        <f t="shared" si="267"/>
        <v>7800000</v>
      </c>
      <c r="R2242">
        <v>0</v>
      </c>
      <c r="S2242">
        <v>0</v>
      </c>
      <c r="T2242" s="21">
        <f t="shared" si="268"/>
        <v>0</v>
      </c>
      <c r="U2242">
        <v>0</v>
      </c>
      <c r="V2242">
        <v>0</v>
      </c>
      <c r="W2242" s="21">
        <f t="shared" si="269"/>
        <v>0</v>
      </c>
      <c r="X2242">
        <v>0</v>
      </c>
      <c r="Y2242">
        <v>0</v>
      </c>
      <c r="Z2242" s="21">
        <f t="shared" si="270"/>
        <v>0</v>
      </c>
      <c r="AA2242">
        <v>0</v>
      </c>
      <c r="AB2242">
        <v>0</v>
      </c>
      <c r="AC2242" s="21">
        <f t="shared" si="271"/>
        <v>0</v>
      </c>
      <c r="AD2242">
        <v>0</v>
      </c>
      <c r="AE2242">
        <v>0</v>
      </c>
      <c r="AF2242" s="21">
        <f t="shared" si="266"/>
        <v>0</v>
      </c>
    </row>
    <row r="2243" spans="1:32" ht="15" customHeight="1" x14ac:dyDescent="0.3">
      <c r="A2243">
        <v>4</v>
      </c>
      <c r="B2243" s="2" t="s">
        <v>697</v>
      </c>
      <c r="C2243" s="4" t="s">
        <v>694</v>
      </c>
      <c r="D2243" s="3" t="s">
        <v>677</v>
      </c>
      <c r="E2243" s="6" t="s">
        <v>129</v>
      </c>
      <c r="F2243" s="6" t="s">
        <v>590</v>
      </c>
      <c r="G2243" s="6" t="s">
        <v>709</v>
      </c>
      <c r="H2243" s="23">
        <v>28000</v>
      </c>
      <c r="I2243">
        <v>0</v>
      </c>
      <c r="J2243">
        <v>0</v>
      </c>
      <c r="K2243" s="20">
        <f t="shared" si="264"/>
        <v>0</v>
      </c>
      <c r="L2243">
        <v>0</v>
      </c>
      <c r="M2243">
        <v>0</v>
      </c>
      <c r="N2243" s="21">
        <f t="shared" si="265"/>
        <v>0</v>
      </c>
      <c r="O2243">
        <v>20</v>
      </c>
      <c r="P2243">
        <v>10</v>
      </c>
      <c r="Q2243" s="21">
        <f t="shared" si="267"/>
        <v>5600000</v>
      </c>
      <c r="R2243">
        <v>0</v>
      </c>
      <c r="S2243">
        <v>0</v>
      </c>
      <c r="T2243" s="21">
        <f t="shared" si="268"/>
        <v>0</v>
      </c>
      <c r="U2243">
        <v>0</v>
      </c>
      <c r="V2243">
        <v>0</v>
      </c>
      <c r="W2243" s="21">
        <f t="shared" si="269"/>
        <v>0</v>
      </c>
      <c r="X2243">
        <v>0</v>
      </c>
      <c r="Y2243">
        <v>0</v>
      </c>
      <c r="Z2243" s="21">
        <f t="shared" si="270"/>
        <v>0</v>
      </c>
      <c r="AA2243">
        <v>0</v>
      </c>
      <c r="AB2243">
        <v>0</v>
      </c>
      <c r="AC2243" s="21">
        <f t="shared" si="271"/>
        <v>0</v>
      </c>
      <c r="AD2243">
        <v>0</v>
      </c>
      <c r="AE2243">
        <v>0</v>
      </c>
      <c r="AF2243" s="21">
        <f t="shared" si="266"/>
        <v>0</v>
      </c>
    </row>
    <row r="2244" spans="1:32" ht="15" customHeight="1" x14ac:dyDescent="0.3">
      <c r="A2244">
        <v>4</v>
      </c>
      <c r="B2244" s="2" t="s">
        <v>697</v>
      </c>
      <c r="C2244" s="4" t="s">
        <v>694</v>
      </c>
      <c r="D2244" s="3" t="s">
        <v>677</v>
      </c>
      <c r="E2244" s="6" t="s">
        <v>129</v>
      </c>
      <c r="F2244" s="6" t="s">
        <v>590</v>
      </c>
      <c r="G2244" s="6" t="s">
        <v>712</v>
      </c>
      <c r="H2244" s="23">
        <v>214.29</v>
      </c>
      <c r="I2244">
        <v>0</v>
      </c>
      <c r="J2244">
        <v>0</v>
      </c>
      <c r="K2244" s="20">
        <f t="shared" si="264"/>
        <v>0</v>
      </c>
      <c r="L2244">
        <v>0</v>
      </c>
      <c r="M2244">
        <v>0</v>
      </c>
      <c r="N2244" s="21">
        <f t="shared" si="265"/>
        <v>0</v>
      </c>
      <c r="O2244">
        <v>4000</v>
      </c>
      <c r="P2244">
        <v>1</v>
      </c>
      <c r="Q2244" s="21">
        <f t="shared" si="267"/>
        <v>857160</v>
      </c>
      <c r="R2244">
        <v>0</v>
      </c>
      <c r="S2244">
        <v>0</v>
      </c>
      <c r="T2244" s="21">
        <f t="shared" si="268"/>
        <v>0</v>
      </c>
      <c r="U2244">
        <v>0</v>
      </c>
      <c r="V2244">
        <v>0</v>
      </c>
      <c r="W2244" s="21">
        <f t="shared" si="269"/>
        <v>0</v>
      </c>
      <c r="X2244">
        <v>0</v>
      </c>
      <c r="Y2244">
        <v>0</v>
      </c>
      <c r="Z2244" s="21">
        <f t="shared" si="270"/>
        <v>0</v>
      </c>
      <c r="AA2244">
        <v>0</v>
      </c>
      <c r="AB2244">
        <v>0</v>
      </c>
      <c r="AC2244" s="21">
        <f t="shared" si="271"/>
        <v>0</v>
      </c>
      <c r="AD2244">
        <v>0</v>
      </c>
      <c r="AE2244">
        <v>0</v>
      </c>
      <c r="AF2244" s="21">
        <f t="shared" si="266"/>
        <v>0</v>
      </c>
    </row>
    <row r="2245" spans="1:32" ht="15" customHeight="1" x14ac:dyDescent="0.3">
      <c r="A2245">
        <v>4</v>
      </c>
      <c r="B2245" s="2" t="s">
        <v>697</v>
      </c>
      <c r="C2245" s="4" t="s">
        <v>694</v>
      </c>
      <c r="D2245" s="3" t="s">
        <v>677</v>
      </c>
      <c r="E2245" s="6" t="s">
        <v>129</v>
      </c>
      <c r="F2245" s="6" t="s">
        <v>591</v>
      </c>
      <c r="G2245" s="6" t="s">
        <v>718</v>
      </c>
      <c r="H2245" s="23">
        <v>0</v>
      </c>
      <c r="I2245">
        <v>0</v>
      </c>
      <c r="J2245">
        <v>0</v>
      </c>
      <c r="K2245" s="20">
        <f t="shared" si="264"/>
        <v>0</v>
      </c>
      <c r="L2245">
        <v>0</v>
      </c>
      <c r="M2245">
        <v>0</v>
      </c>
      <c r="N2245" s="21">
        <f t="shared" si="265"/>
        <v>0</v>
      </c>
      <c r="O2245">
        <v>0</v>
      </c>
      <c r="P2245">
        <v>0</v>
      </c>
      <c r="Q2245" s="21">
        <f t="shared" si="267"/>
        <v>0</v>
      </c>
      <c r="R2245">
        <v>0</v>
      </c>
      <c r="S2245">
        <v>0</v>
      </c>
      <c r="T2245" s="21">
        <f t="shared" si="268"/>
        <v>0</v>
      </c>
      <c r="U2245">
        <v>0</v>
      </c>
      <c r="V2245">
        <v>0</v>
      </c>
      <c r="W2245" s="21">
        <f t="shared" si="269"/>
        <v>0</v>
      </c>
      <c r="X2245">
        <v>0</v>
      </c>
      <c r="Y2245">
        <v>0</v>
      </c>
      <c r="Z2245" s="21">
        <f t="shared" si="270"/>
        <v>0</v>
      </c>
      <c r="AA2245">
        <v>0</v>
      </c>
      <c r="AB2245">
        <v>0</v>
      </c>
      <c r="AC2245" s="21">
        <f t="shared" si="271"/>
        <v>0</v>
      </c>
      <c r="AD2245">
        <v>0</v>
      </c>
      <c r="AE2245">
        <v>0</v>
      </c>
      <c r="AF2245" s="21">
        <f t="shared" si="266"/>
        <v>0</v>
      </c>
    </row>
    <row r="2246" spans="1:32" ht="15" customHeight="1" x14ac:dyDescent="0.3">
      <c r="A2246">
        <v>4</v>
      </c>
      <c r="B2246" s="2" t="s">
        <v>697</v>
      </c>
      <c r="C2246" s="4" t="s">
        <v>694</v>
      </c>
      <c r="D2246" s="3" t="s">
        <v>677</v>
      </c>
      <c r="E2246" s="6" t="s">
        <v>129</v>
      </c>
      <c r="F2246" s="6" t="s">
        <v>592</v>
      </c>
      <c r="G2246" s="6" t="s">
        <v>718</v>
      </c>
      <c r="H2246" s="23">
        <v>0</v>
      </c>
      <c r="I2246">
        <v>0</v>
      </c>
      <c r="J2246">
        <v>0</v>
      </c>
      <c r="K2246" s="20">
        <f t="shared" ref="K2246:K2309" si="272">H2246*I2246*J2246</f>
        <v>0</v>
      </c>
      <c r="L2246">
        <v>0</v>
      </c>
      <c r="M2246">
        <v>0</v>
      </c>
      <c r="N2246" s="21">
        <f t="shared" ref="N2246:N2309" si="273">H2246*L2246*M2246</f>
        <v>0</v>
      </c>
      <c r="O2246">
        <v>0</v>
      </c>
      <c r="P2246">
        <v>0</v>
      </c>
      <c r="Q2246" s="21">
        <f t="shared" si="267"/>
        <v>0</v>
      </c>
      <c r="R2246">
        <v>0</v>
      </c>
      <c r="S2246">
        <v>0</v>
      </c>
      <c r="T2246" s="21">
        <f t="shared" si="268"/>
        <v>0</v>
      </c>
      <c r="U2246">
        <v>0</v>
      </c>
      <c r="V2246">
        <v>0</v>
      </c>
      <c r="W2246" s="21">
        <f t="shared" si="269"/>
        <v>0</v>
      </c>
      <c r="X2246">
        <v>0</v>
      </c>
      <c r="Y2246">
        <v>0</v>
      </c>
      <c r="Z2246" s="21">
        <f t="shared" si="270"/>
        <v>0</v>
      </c>
      <c r="AA2246">
        <v>0</v>
      </c>
      <c r="AB2246">
        <v>0</v>
      </c>
      <c r="AC2246" s="21">
        <f t="shared" si="271"/>
        <v>0</v>
      </c>
      <c r="AD2246">
        <v>0</v>
      </c>
      <c r="AE2246">
        <v>0</v>
      </c>
      <c r="AF2246" s="21">
        <f t="shared" ref="AF2246:AF2309" si="274">H2246*AD2246*AE2246</f>
        <v>0</v>
      </c>
    </row>
    <row r="2247" spans="1:32" ht="15" customHeight="1" x14ac:dyDescent="0.3">
      <c r="A2247">
        <v>4</v>
      </c>
      <c r="B2247" s="2" t="s">
        <v>697</v>
      </c>
      <c r="C2247" s="4" t="s">
        <v>694</v>
      </c>
      <c r="D2247" s="3" t="s">
        <v>677</v>
      </c>
      <c r="E2247" s="6" t="s">
        <v>130</v>
      </c>
      <c r="F2247" s="6" t="s">
        <v>593</v>
      </c>
      <c r="G2247" s="6" t="s">
        <v>718</v>
      </c>
      <c r="H2247" s="23">
        <v>0</v>
      </c>
      <c r="I2247">
        <v>0</v>
      </c>
      <c r="J2247">
        <v>0</v>
      </c>
      <c r="K2247" s="20">
        <f t="shared" si="272"/>
        <v>0</v>
      </c>
      <c r="L2247">
        <v>0</v>
      </c>
      <c r="M2247">
        <v>0</v>
      </c>
      <c r="N2247" s="21">
        <f t="shared" si="273"/>
        <v>0</v>
      </c>
      <c r="O2247">
        <v>0</v>
      </c>
      <c r="P2247">
        <v>0</v>
      </c>
      <c r="Q2247" s="21">
        <f t="shared" si="267"/>
        <v>0</v>
      </c>
      <c r="R2247">
        <v>0</v>
      </c>
      <c r="S2247">
        <v>0</v>
      </c>
      <c r="T2247" s="21">
        <f t="shared" si="268"/>
        <v>0</v>
      </c>
      <c r="U2247">
        <v>0</v>
      </c>
      <c r="V2247">
        <v>0</v>
      </c>
      <c r="W2247" s="21">
        <f t="shared" si="269"/>
        <v>0</v>
      </c>
      <c r="X2247">
        <v>0</v>
      </c>
      <c r="Y2247">
        <v>0</v>
      </c>
      <c r="Z2247" s="21">
        <f t="shared" si="270"/>
        <v>0</v>
      </c>
      <c r="AA2247">
        <v>0</v>
      </c>
      <c r="AB2247">
        <v>0</v>
      </c>
      <c r="AC2247" s="21">
        <f t="shared" si="271"/>
        <v>0</v>
      </c>
      <c r="AD2247">
        <v>0</v>
      </c>
      <c r="AE2247">
        <v>0</v>
      </c>
      <c r="AF2247" s="21">
        <f t="shared" si="274"/>
        <v>0</v>
      </c>
    </row>
    <row r="2248" spans="1:32" ht="15" customHeight="1" x14ac:dyDescent="0.3">
      <c r="A2248">
        <v>4</v>
      </c>
      <c r="B2248" s="2" t="s">
        <v>697</v>
      </c>
      <c r="C2248" s="4" t="s">
        <v>694</v>
      </c>
      <c r="D2248" s="3" t="s">
        <v>677</v>
      </c>
      <c r="E2248" s="6" t="s">
        <v>130</v>
      </c>
      <c r="F2248" s="6" t="s">
        <v>149</v>
      </c>
      <c r="G2248" s="6" t="s">
        <v>707</v>
      </c>
      <c r="H2248" s="23">
        <v>391991.03749999998</v>
      </c>
      <c r="I2248">
        <v>0</v>
      </c>
      <c r="J2248">
        <v>0</v>
      </c>
      <c r="K2248" s="20">
        <f t="shared" si="272"/>
        <v>0</v>
      </c>
      <c r="L2248">
        <v>0</v>
      </c>
      <c r="M2248">
        <v>0</v>
      </c>
      <c r="N2248" s="21">
        <f t="shared" si="273"/>
        <v>0</v>
      </c>
      <c r="O2248">
        <v>0</v>
      </c>
      <c r="P2248">
        <v>0</v>
      </c>
      <c r="Q2248" s="21">
        <f t="shared" si="267"/>
        <v>0</v>
      </c>
      <c r="R2248">
        <v>1</v>
      </c>
      <c r="S2248">
        <v>4</v>
      </c>
      <c r="T2248" s="21">
        <f t="shared" si="268"/>
        <v>1567964.15</v>
      </c>
      <c r="U2248">
        <v>0</v>
      </c>
      <c r="V2248">
        <v>0</v>
      </c>
      <c r="W2248" s="21">
        <f t="shared" si="269"/>
        <v>0</v>
      </c>
      <c r="X2248">
        <v>0</v>
      </c>
      <c r="Y2248">
        <v>0</v>
      </c>
      <c r="Z2248" s="21">
        <f t="shared" si="270"/>
        <v>0</v>
      </c>
      <c r="AA2248">
        <v>0</v>
      </c>
      <c r="AB2248">
        <v>0</v>
      </c>
      <c r="AC2248" s="21">
        <f t="shared" si="271"/>
        <v>0</v>
      </c>
      <c r="AD2248">
        <v>0</v>
      </c>
      <c r="AE2248">
        <v>0</v>
      </c>
      <c r="AF2248" s="21">
        <f t="shared" si="274"/>
        <v>0</v>
      </c>
    </row>
    <row r="2249" spans="1:32" ht="15" customHeight="1" x14ac:dyDescent="0.3">
      <c r="A2249">
        <v>4</v>
      </c>
      <c r="B2249" s="2" t="s">
        <v>697</v>
      </c>
      <c r="C2249" s="4" t="s">
        <v>694</v>
      </c>
      <c r="D2249" s="3" t="s">
        <v>677</v>
      </c>
      <c r="E2249" s="6" t="s">
        <v>130</v>
      </c>
      <c r="F2249" s="6" t="s">
        <v>149</v>
      </c>
      <c r="G2249" s="6" t="s">
        <v>708</v>
      </c>
      <c r="H2249" s="23">
        <v>425000</v>
      </c>
      <c r="I2249">
        <v>0</v>
      </c>
      <c r="J2249">
        <v>0</v>
      </c>
      <c r="K2249" s="20">
        <f t="shared" si="272"/>
        <v>0</v>
      </c>
      <c r="L2249">
        <v>0</v>
      </c>
      <c r="M2249">
        <v>0</v>
      </c>
      <c r="N2249" s="21">
        <f t="shared" si="273"/>
        <v>0</v>
      </c>
      <c r="O2249">
        <v>0</v>
      </c>
      <c r="P2249">
        <v>0</v>
      </c>
      <c r="Q2249" s="21">
        <f t="shared" si="267"/>
        <v>0</v>
      </c>
      <c r="R2249">
        <v>1</v>
      </c>
      <c r="S2249">
        <v>40</v>
      </c>
      <c r="T2249" s="21">
        <f t="shared" si="268"/>
        <v>17000000</v>
      </c>
      <c r="U2249">
        <v>0</v>
      </c>
      <c r="V2249">
        <v>0</v>
      </c>
      <c r="W2249" s="21">
        <f t="shared" si="269"/>
        <v>0</v>
      </c>
      <c r="X2249">
        <v>0</v>
      </c>
      <c r="Y2249">
        <v>0</v>
      </c>
      <c r="Z2249" s="21">
        <f t="shared" si="270"/>
        <v>0</v>
      </c>
      <c r="AA2249">
        <v>0</v>
      </c>
      <c r="AB2249">
        <v>0</v>
      </c>
      <c r="AC2249" s="21">
        <f t="shared" si="271"/>
        <v>0</v>
      </c>
      <c r="AD2249">
        <v>0</v>
      </c>
      <c r="AE2249">
        <v>0</v>
      </c>
      <c r="AF2249" s="21">
        <f t="shared" si="274"/>
        <v>0</v>
      </c>
    </row>
    <row r="2250" spans="1:32" ht="15" customHeight="1" x14ac:dyDescent="0.3">
      <c r="A2250">
        <v>4</v>
      </c>
      <c r="B2250" s="2" t="s">
        <v>697</v>
      </c>
      <c r="C2250" s="4" t="s">
        <v>694</v>
      </c>
      <c r="D2250" s="3" t="s">
        <v>677</v>
      </c>
      <c r="E2250" s="6" t="s">
        <v>130</v>
      </c>
      <c r="F2250" s="6" t="s">
        <v>424</v>
      </c>
      <c r="G2250" s="6" t="s">
        <v>718</v>
      </c>
      <c r="H2250" s="23">
        <v>0</v>
      </c>
      <c r="I2250">
        <v>0</v>
      </c>
      <c r="J2250">
        <v>0</v>
      </c>
      <c r="K2250" s="20">
        <f t="shared" si="272"/>
        <v>0</v>
      </c>
      <c r="L2250">
        <v>0</v>
      </c>
      <c r="M2250">
        <v>0</v>
      </c>
      <c r="N2250" s="21">
        <f t="shared" si="273"/>
        <v>0</v>
      </c>
      <c r="O2250">
        <v>0</v>
      </c>
      <c r="P2250">
        <v>0</v>
      </c>
      <c r="Q2250" s="21">
        <f t="shared" si="267"/>
        <v>0</v>
      </c>
      <c r="R2250">
        <v>0</v>
      </c>
      <c r="S2250">
        <v>0</v>
      </c>
      <c r="T2250" s="21">
        <f t="shared" si="268"/>
        <v>0</v>
      </c>
      <c r="U2250">
        <v>0</v>
      </c>
      <c r="V2250">
        <v>0</v>
      </c>
      <c r="W2250" s="21">
        <f t="shared" si="269"/>
        <v>0</v>
      </c>
      <c r="X2250">
        <v>0</v>
      </c>
      <c r="Y2250">
        <v>0</v>
      </c>
      <c r="Z2250" s="21">
        <f t="shared" si="270"/>
        <v>0</v>
      </c>
      <c r="AA2250">
        <v>0</v>
      </c>
      <c r="AB2250">
        <v>0</v>
      </c>
      <c r="AC2250" s="21">
        <f t="shared" si="271"/>
        <v>0</v>
      </c>
      <c r="AD2250">
        <v>0</v>
      </c>
      <c r="AE2250">
        <v>0</v>
      </c>
      <c r="AF2250" s="21">
        <f t="shared" si="274"/>
        <v>0</v>
      </c>
    </row>
    <row r="2251" spans="1:32" ht="15" customHeight="1" x14ac:dyDescent="0.3">
      <c r="A2251">
        <v>4</v>
      </c>
      <c r="B2251" s="2" t="s">
        <v>697</v>
      </c>
      <c r="C2251" s="4" t="s">
        <v>694</v>
      </c>
      <c r="D2251" s="3" t="s">
        <v>677</v>
      </c>
      <c r="E2251" s="6" t="s">
        <v>130</v>
      </c>
      <c r="F2251" s="6" t="s">
        <v>594</v>
      </c>
      <c r="G2251" s="6" t="s">
        <v>713</v>
      </c>
      <c r="H2251" s="23">
        <v>45000</v>
      </c>
      <c r="I2251">
        <v>0</v>
      </c>
      <c r="J2251">
        <v>0</v>
      </c>
      <c r="K2251" s="20">
        <f t="shared" si="272"/>
        <v>0</v>
      </c>
      <c r="L2251">
        <v>0</v>
      </c>
      <c r="M2251">
        <v>0</v>
      </c>
      <c r="N2251" s="21">
        <f t="shared" si="273"/>
        <v>0</v>
      </c>
      <c r="O2251">
        <v>0</v>
      </c>
      <c r="P2251">
        <v>0</v>
      </c>
      <c r="Q2251" s="21">
        <f t="shared" si="267"/>
        <v>0</v>
      </c>
      <c r="R2251">
        <v>15</v>
      </c>
      <c r="S2251">
        <v>1</v>
      </c>
      <c r="T2251" s="21">
        <f t="shared" si="268"/>
        <v>675000</v>
      </c>
      <c r="U2251">
        <v>0</v>
      </c>
      <c r="V2251">
        <v>0</v>
      </c>
      <c r="W2251" s="21">
        <f t="shared" si="269"/>
        <v>0</v>
      </c>
      <c r="X2251">
        <v>0</v>
      </c>
      <c r="Y2251">
        <v>0</v>
      </c>
      <c r="Z2251" s="21">
        <f t="shared" si="270"/>
        <v>0</v>
      </c>
      <c r="AA2251">
        <v>0</v>
      </c>
      <c r="AB2251">
        <v>0</v>
      </c>
      <c r="AC2251" s="21">
        <f t="shared" si="271"/>
        <v>0</v>
      </c>
      <c r="AD2251">
        <v>0</v>
      </c>
      <c r="AE2251">
        <v>0</v>
      </c>
      <c r="AF2251" s="21">
        <f t="shared" si="274"/>
        <v>0</v>
      </c>
    </row>
    <row r="2252" spans="1:32" ht="15" customHeight="1" x14ac:dyDescent="0.3">
      <c r="A2252">
        <v>4</v>
      </c>
      <c r="B2252" s="2" t="s">
        <v>697</v>
      </c>
      <c r="C2252" s="4" t="s">
        <v>694</v>
      </c>
      <c r="D2252" s="3" t="s">
        <v>677</v>
      </c>
      <c r="E2252" s="6" t="s">
        <v>130</v>
      </c>
      <c r="F2252" s="6" t="s">
        <v>594</v>
      </c>
      <c r="G2252" s="6" t="s">
        <v>712</v>
      </c>
      <c r="H2252" s="23">
        <v>214.29</v>
      </c>
      <c r="I2252">
        <v>0</v>
      </c>
      <c r="J2252">
        <v>0</v>
      </c>
      <c r="K2252" s="20">
        <f t="shared" si="272"/>
        <v>0</v>
      </c>
      <c r="L2252">
        <v>0</v>
      </c>
      <c r="M2252">
        <v>0</v>
      </c>
      <c r="N2252" s="21">
        <f t="shared" si="273"/>
        <v>0</v>
      </c>
      <c r="O2252">
        <v>0</v>
      </c>
      <c r="P2252">
        <v>0</v>
      </c>
      <c r="Q2252" s="21">
        <f t="shared" si="267"/>
        <v>0</v>
      </c>
      <c r="R2252">
        <v>4000</v>
      </c>
      <c r="S2252">
        <v>1</v>
      </c>
      <c r="T2252" s="21">
        <f t="shared" si="268"/>
        <v>857160</v>
      </c>
      <c r="U2252">
        <v>0</v>
      </c>
      <c r="V2252">
        <v>0</v>
      </c>
      <c r="W2252" s="21">
        <f t="shared" si="269"/>
        <v>0</v>
      </c>
      <c r="X2252">
        <v>0</v>
      </c>
      <c r="Y2252">
        <v>0</v>
      </c>
      <c r="Z2252" s="21">
        <f t="shared" si="270"/>
        <v>0</v>
      </c>
      <c r="AA2252">
        <v>0</v>
      </c>
      <c r="AB2252">
        <v>0</v>
      </c>
      <c r="AC2252" s="21">
        <f t="shared" si="271"/>
        <v>0</v>
      </c>
      <c r="AD2252">
        <v>0</v>
      </c>
      <c r="AE2252">
        <v>0</v>
      </c>
      <c r="AF2252" s="21">
        <f t="shared" si="274"/>
        <v>0</v>
      </c>
    </row>
    <row r="2253" spans="1:32" ht="15" customHeight="1" x14ac:dyDescent="0.3">
      <c r="A2253">
        <v>4</v>
      </c>
      <c r="B2253" s="2" t="s">
        <v>697</v>
      </c>
      <c r="C2253" s="4" t="s">
        <v>694</v>
      </c>
      <c r="D2253" s="3" t="s">
        <v>677</v>
      </c>
      <c r="E2253" s="6" t="s">
        <v>130</v>
      </c>
      <c r="F2253" s="6" t="s">
        <v>167</v>
      </c>
      <c r="G2253" s="6" t="s">
        <v>718</v>
      </c>
      <c r="H2253" s="23">
        <v>0</v>
      </c>
      <c r="I2253">
        <v>0</v>
      </c>
      <c r="J2253">
        <v>0</v>
      </c>
      <c r="K2253" s="20">
        <f t="shared" si="272"/>
        <v>0</v>
      </c>
      <c r="L2253">
        <v>0</v>
      </c>
      <c r="M2253">
        <v>0</v>
      </c>
      <c r="N2253" s="21">
        <f t="shared" si="273"/>
        <v>0</v>
      </c>
      <c r="O2253">
        <v>0</v>
      </c>
      <c r="P2253">
        <v>0</v>
      </c>
      <c r="Q2253" s="21">
        <f t="shared" si="267"/>
        <v>0</v>
      </c>
      <c r="T2253" s="21">
        <f t="shared" si="268"/>
        <v>0</v>
      </c>
      <c r="U2253">
        <v>0</v>
      </c>
      <c r="V2253">
        <v>0</v>
      </c>
      <c r="W2253" s="21">
        <f t="shared" si="269"/>
        <v>0</v>
      </c>
      <c r="X2253">
        <v>0</v>
      </c>
      <c r="Y2253">
        <v>0</v>
      </c>
      <c r="Z2253" s="21">
        <f t="shared" si="270"/>
        <v>0</v>
      </c>
      <c r="AA2253">
        <v>0</v>
      </c>
      <c r="AB2253">
        <v>0</v>
      </c>
      <c r="AC2253" s="21">
        <f t="shared" si="271"/>
        <v>0</v>
      </c>
      <c r="AD2253">
        <v>0</v>
      </c>
      <c r="AE2253">
        <v>0</v>
      </c>
      <c r="AF2253" s="21">
        <f t="shared" si="274"/>
        <v>0</v>
      </c>
    </row>
    <row r="2254" spans="1:32" ht="15" customHeight="1" x14ac:dyDescent="0.3">
      <c r="A2254">
        <v>4</v>
      </c>
      <c r="B2254" s="2" t="s">
        <v>697</v>
      </c>
      <c r="C2254" s="4" t="s">
        <v>694</v>
      </c>
      <c r="D2254" s="3" t="s">
        <v>677</v>
      </c>
      <c r="E2254" s="6" t="s">
        <v>130</v>
      </c>
      <c r="F2254" s="6" t="s">
        <v>157</v>
      </c>
      <c r="G2254" s="6" t="s">
        <v>713</v>
      </c>
      <c r="H2254" s="23">
        <v>45000</v>
      </c>
      <c r="I2254">
        <v>0</v>
      </c>
      <c r="J2254">
        <v>0</v>
      </c>
      <c r="K2254" s="20">
        <f t="shared" si="272"/>
        <v>0</v>
      </c>
      <c r="L2254">
        <v>0</v>
      </c>
      <c r="M2254">
        <v>0</v>
      </c>
      <c r="N2254" s="21">
        <f t="shared" si="273"/>
        <v>0</v>
      </c>
      <c r="O2254">
        <v>0</v>
      </c>
      <c r="P2254">
        <v>0</v>
      </c>
      <c r="Q2254" s="21">
        <f t="shared" si="267"/>
        <v>0</v>
      </c>
      <c r="R2254">
        <v>15</v>
      </c>
      <c r="S2254">
        <v>10</v>
      </c>
      <c r="T2254" s="21">
        <f t="shared" si="268"/>
        <v>6750000</v>
      </c>
      <c r="U2254">
        <v>0</v>
      </c>
      <c r="V2254">
        <v>0</v>
      </c>
      <c r="W2254" s="21">
        <f t="shared" si="269"/>
        <v>0</v>
      </c>
      <c r="X2254">
        <v>0</v>
      </c>
      <c r="Y2254">
        <v>0</v>
      </c>
      <c r="Z2254" s="21">
        <f t="shared" si="270"/>
        <v>0</v>
      </c>
      <c r="AA2254">
        <v>0</v>
      </c>
      <c r="AB2254">
        <v>0</v>
      </c>
      <c r="AC2254" s="21">
        <f t="shared" si="271"/>
        <v>0</v>
      </c>
      <c r="AD2254">
        <v>0</v>
      </c>
      <c r="AE2254">
        <v>0</v>
      </c>
      <c r="AF2254" s="21">
        <f t="shared" si="274"/>
        <v>0</v>
      </c>
    </row>
    <row r="2255" spans="1:32" ht="15" customHeight="1" x14ac:dyDescent="0.3">
      <c r="A2255">
        <v>4</v>
      </c>
      <c r="B2255" s="2" t="s">
        <v>697</v>
      </c>
      <c r="C2255" s="4" t="s">
        <v>694</v>
      </c>
      <c r="D2255" s="3" t="s">
        <v>677</v>
      </c>
      <c r="E2255" s="6" t="s">
        <v>130</v>
      </c>
      <c r="F2255" s="6" t="s">
        <v>157</v>
      </c>
      <c r="G2255" s="6" t="s">
        <v>715</v>
      </c>
      <c r="H2255" s="23">
        <v>302000</v>
      </c>
      <c r="I2255">
        <v>0</v>
      </c>
      <c r="J2255">
        <v>0</v>
      </c>
      <c r="K2255" s="20">
        <f t="shared" si="272"/>
        <v>0</v>
      </c>
      <c r="L2255">
        <v>0</v>
      </c>
      <c r="M2255">
        <v>0</v>
      </c>
      <c r="N2255" s="21">
        <f t="shared" si="273"/>
        <v>0</v>
      </c>
      <c r="O2255">
        <v>0</v>
      </c>
      <c r="P2255">
        <v>0</v>
      </c>
      <c r="Q2255" s="21">
        <f t="shared" si="267"/>
        <v>0</v>
      </c>
      <c r="R2255">
        <v>20</v>
      </c>
      <c r="S2255">
        <v>1</v>
      </c>
      <c r="T2255" s="21">
        <f t="shared" si="268"/>
        <v>6040000</v>
      </c>
      <c r="U2255">
        <v>0</v>
      </c>
      <c r="V2255">
        <v>0</v>
      </c>
      <c r="W2255" s="21">
        <f t="shared" si="269"/>
        <v>0</v>
      </c>
      <c r="X2255">
        <v>0</v>
      </c>
      <c r="Y2255">
        <v>0</v>
      </c>
      <c r="Z2255" s="21">
        <f t="shared" si="270"/>
        <v>0</v>
      </c>
      <c r="AA2255">
        <v>0</v>
      </c>
      <c r="AB2255">
        <v>0</v>
      </c>
      <c r="AC2255" s="21">
        <f t="shared" si="271"/>
        <v>0</v>
      </c>
      <c r="AD2255">
        <v>0</v>
      </c>
      <c r="AE2255">
        <v>0</v>
      </c>
      <c r="AF2255" s="21">
        <f t="shared" si="274"/>
        <v>0</v>
      </c>
    </row>
    <row r="2256" spans="1:32" ht="15" customHeight="1" x14ac:dyDescent="0.3">
      <c r="A2256">
        <v>4</v>
      </c>
      <c r="B2256" s="2" t="s">
        <v>697</v>
      </c>
      <c r="C2256" s="4" t="s">
        <v>694</v>
      </c>
      <c r="D2256" s="3" t="s">
        <v>677</v>
      </c>
      <c r="E2256" s="6" t="s">
        <v>130</v>
      </c>
      <c r="F2256" s="6" t="s">
        <v>157</v>
      </c>
      <c r="G2256" s="6" t="s">
        <v>712</v>
      </c>
      <c r="H2256" s="23">
        <v>214.29</v>
      </c>
      <c r="I2256">
        <v>0</v>
      </c>
      <c r="J2256">
        <v>0</v>
      </c>
      <c r="K2256" s="20">
        <f t="shared" si="272"/>
        <v>0</v>
      </c>
      <c r="L2256">
        <v>0</v>
      </c>
      <c r="M2256">
        <v>0</v>
      </c>
      <c r="N2256" s="21">
        <f t="shared" si="273"/>
        <v>0</v>
      </c>
      <c r="O2256">
        <v>0</v>
      </c>
      <c r="P2256">
        <v>0</v>
      </c>
      <c r="Q2256" s="21">
        <f t="shared" si="267"/>
        <v>0</v>
      </c>
      <c r="R2256">
        <v>20000</v>
      </c>
      <c r="S2256">
        <v>1</v>
      </c>
      <c r="T2256" s="21">
        <f t="shared" si="268"/>
        <v>4285800</v>
      </c>
      <c r="U2256">
        <v>0</v>
      </c>
      <c r="V2256">
        <v>0</v>
      </c>
      <c r="W2256" s="21">
        <f t="shared" si="269"/>
        <v>0</v>
      </c>
      <c r="X2256">
        <v>0</v>
      </c>
      <c r="Y2256">
        <v>0</v>
      </c>
      <c r="Z2256" s="21">
        <f t="shared" si="270"/>
        <v>0</v>
      </c>
      <c r="AA2256">
        <v>0</v>
      </c>
      <c r="AB2256">
        <v>0</v>
      </c>
      <c r="AC2256" s="21">
        <f t="shared" si="271"/>
        <v>0</v>
      </c>
      <c r="AD2256">
        <v>0</v>
      </c>
      <c r="AE2256">
        <v>0</v>
      </c>
      <c r="AF2256" s="21">
        <f t="shared" si="274"/>
        <v>0</v>
      </c>
    </row>
    <row r="2257" spans="1:32" ht="15" customHeight="1" x14ac:dyDescent="0.3">
      <c r="A2257">
        <v>4</v>
      </c>
      <c r="B2257" s="2" t="s">
        <v>697</v>
      </c>
      <c r="C2257" s="4" t="s">
        <v>694</v>
      </c>
      <c r="D2257" s="3" t="s">
        <v>677</v>
      </c>
      <c r="E2257" s="6" t="s">
        <v>130</v>
      </c>
      <c r="F2257" s="6" t="s">
        <v>157</v>
      </c>
      <c r="G2257" s="6" t="s">
        <v>714</v>
      </c>
      <c r="H2257" s="23">
        <v>10000</v>
      </c>
      <c r="I2257">
        <v>0</v>
      </c>
      <c r="J2257">
        <v>0</v>
      </c>
      <c r="K2257" s="20">
        <f t="shared" si="272"/>
        <v>0</v>
      </c>
      <c r="L2257">
        <v>0</v>
      </c>
      <c r="M2257">
        <v>0</v>
      </c>
      <c r="N2257" s="21">
        <f t="shared" si="273"/>
        <v>0</v>
      </c>
      <c r="O2257">
        <v>0</v>
      </c>
      <c r="P2257">
        <v>0</v>
      </c>
      <c r="Q2257" s="21">
        <f t="shared" si="267"/>
        <v>0</v>
      </c>
      <c r="R2257">
        <v>15</v>
      </c>
      <c r="S2257">
        <v>1</v>
      </c>
      <c r="T2257" s="21">
        <f t="shared" si="268"/>
        <v>150000</v>
      </c>
      <c r="U2257">
        <v>0</v>
      </c>
      <c r="V2257">
        <v>0</v>
      </c>
      <c r="W2257" s="21">
        <f t="shared" si="269"/>
        <v>0</v>
      </c>
      <c r="X2257">
        <v>0</v>
      </c>
      <c r="Y2257">
        <v>0</v>
      </c>
      <c r="Z2257" s="21">
        <f t="shared" si="270"/>
        <v>0</v>
      </c>
      <c r="AA2257">
        <v>0</v>
      </c>
      <c r="AB2257">
        <v>0</v>
      </c>
      <c r="AC2257" s="21">
        <f t="shared" si="271"/>
        <v>0</v>
      </c>
      <c r="AD2257">
        <v>0</v>
      </c>
      <c r="AE2257">
        <v>0</v>
      </c>
      <c r="AF2257" s="21">
        <f t="shared" si="274"/>
        <v>0</v>
      </c>
    </row>
    <row r="2258" spans="1:32" ht="15" customHeight="1" x14ac:dyDescent="0.3">
      <c r="A2258">
        <v>4</v>
      </c>
      <c r="B2258" s="2" t="s">
        <v>697</v>
      </c>
      <c r="C2258" s="4" t="s">
        <v>694</v>
      </c>
      <c r="D2258" s="3" t="s">
        <v>677</v>
      </c>
      <c r="E2258" s="6" t="s">
        <v>130</v>
      </c>
      <c r="F2258" s="6" t="s">
        <v>152</v>
      </c>
      <c r="G2258" s="6" t="s">
        <v>716</v>
      </c>
      <c r="H2258" s="23">
        <v>39000</v>
      </c>
      <c r="I2258">
        <v>0</v>
      </c>
      <c r="J2258">
        <v>0</v>
      </c>
      <c r="K2258" s="20">
        <f t="shared" si="272"/>
        <v>0</v>
      </c>
      <c r="L2258">
        <v>0</v>
      </c>
      <c r="M2258">
        <v>0</v>
      </c>
      <c r="N2258" s="21">
        <f t="shared" si="273"/>
        <v>0</v>
      </c>
      <c r="O2258">
        <v>0</v>
      </c>
      <c r="P2258">
        <v>0</v>
      </c>
      <c r="Q2258" s="21">
        <f t="shared" si="267"/>
        <v>0</v>
      </c>
      <c r="R2258">
        <v>15</v>
      </c>
      <c r="S2258">
        <v>5</v>
      </c>
      <c r="T2258" s="21">
        <f t="shared" si="268"/>
        <v>2925000</v>
      </c>
      <c r="U2258">
        <v>0</v>
      </c>
      <c r="V2258">
        <v>0</v>
      </c>
      <c r="W2258" s="21">
        <f t="shared" si="269"/>
        <v>0</v>
      </c>
      <c r="X2258">
        <v>0</v>
      </c>
      <c r="Y2258">
        <v>0</v>
      </c>
      <c r="Z2258" s="21">
        <f t="shared" si="270"/>
        <v>0</v>
      </c>
      <c r="AA2258">
        <v>0</v>
      </c>
      <c r="AB2258">
        <v>0</v>
      </c>
      <c r="AC2258" s="21">
        <f t="shared" si="271"/>
        <v>0</v>
      </c>
      <c r="AD2258">
        <v>0</v>
      </c>
      <c r="AE2258">
        <v>0</v>
      </c>
      <c r="AF2258" s="21">
        <f t="shared" si="274"/>
        <v>0</v>
      </c>
    </row>
    <row r="2259" spans="1:32" ht="15" customHeight="1" x14ac:dyDescent="0.3">
      <c r="A2259">
        <v>4</v>
      </c>
      <c r="B2259" s="2" t="s">
        <v>697</v>
      </c>
      <c r="C2259" s="4" t="s">
        <v>694</v>
      </c>
      <c r="D2259" s="3" t="s">
        <v>677</v>
      </c>
      <c r="E2259" s="6" t="s">
        <v>130</v>
      </c>
      <c r="F2259" s="6" t="s">
        <v>152</v>
      </c>
      <c r="G2259" s="6" t="s">
        <v>709</v>
      </c>
      <c r="H2259" s="23">
        <v>28000</v>
      </c>
      <c r="I2259">
        <v>0</v>
      </c>
      <c r="J2259">
        <v>0</v>
      </c>
      <c r="K2259" s="20">
        <f t="shared" si="272"/>
        <v>0</v>
      </c>
      <c r="L2259">
        <v>0</v>
      </c>
      <c r="M2259">
        <v>0</v>
      </c>
      <c r="N2259" s="21">
        <f t="shared" si="273"/>
        <v>0</v>
      </c>
      <c r="O2259">
        <v>0</v>
      </c>
      <c r="P2259">
        <v>0</v>
      </c>
      <c r="Q2259" s="21">
        <f t="shared" si="267"/>
        <v>0</v>
      </c>
      <c r="R2259">
        <v>15</v>
      </c>
      <c r="S2259">
        <v>5</v>
      </c>
      <c r="T2259" s="21">
        <f t="shared" si="268"/>
        <v>2100000</v>
      </c>
      <c r="U2259">
        <v>0</v>
      </c>
      <c r="V2259">
        <v>0</v>
      </c>
      <c r="W2259" s="21">
        <f t="shared" si="269"/>
        <v>0</v>
      </c>
      <c r="X2259">
        <v>0</v>
      </c>
      <c r="Y2259">
        <v>0</v>
      </c>
      <c r="Z2259" s="21">
        <f t="shared" si="270"/>
        <v>0</v>
      </c>
      <c r="AA2259">
        <v>0</v>
      </c>
      <c r="AB2259">
        <v>0</v>
      </c>
      <c r="AC2259" s="21">
        <f t="shared" si="271"/>
        <v>0</v>
      </c>
      <c r="AD2259">
        <v>0</v>
      </c>
      <c r="AE2259">
        <v>0</v>
      </c>
      <c r="AF2259" s="21">
        <f t="shared" si="274"/>
        <v>0</v>
      </c>
    </row>
    <row r="2260" spans="1:32" ht="15" customHeight="1" x14ac:dyDescent="0.3">
      <c r="A2260">
        <v>4</v>
      </c>
      <c r="B2260" s="2" t="s">
        <v>697</v>
      </c>
      <c r="C2260" s="4" t="s">
        <v>694</v>
      </c>
      <c r="D2260" s="3" t="s">
        <v>677</v>
      </c>
      <c r="E2260" s="6" t="s">
        <v>130</v>
      </c>
      <c r="F2260" s="6" t="s">
        <v>152</v>
      </c>
      <c r="G2260" s="6" t="s">
        <v>712</v>
      </c>
      <c r="H2260" s="23">
        <v>214.29</v>
      </c>
      <c r="I2260">
        <v>0</v>
      </c>
      <c r="J2260">
        <v>0</v>
      </c>
      <c r="K2260" s="20">
        <f t="shared" si="272"/>
        <v>0</v>
      </c>
      <c r="L2260">
        <v>0</v>
      </c>
      <c r="M2260">
        <v>0</v>
      </c>
      <c r="N2260" s="21">
        <f t="shared" si="273"/>
        <v>0</v>
      </c>
      <c r="O2260">
        <v>0</v>
      </c>
      <c r="P2260">
        <v>0</v>
      </c>
      <c r="Q2260" s="21">
        <f t="shared" si="267"/>
        <v>0</v>
      </c>
      <c r="R2260">
        <v>4000</v>
      </c>
      <c r="S2260">
        <v>1</v>
      </c>
      <c r="T2260" s="21">
        <f t="shared" si="268"/>
        <v>857160</v>
      </c>
      <c r="U2260">
        <v>0</v>
      </c>
      <c r="V2260">
        <v>0</v>
      </c>
      <c r="W2260" s="21">
        <f t="shared" si="269"/>
        <v>0</v>
      </c>
      <c r="X2260">
        <v>0</v>
      </c>
      <c r="Y2260">
        <v>0</v>
      </c>
      <c r="Z2260" s="21">
        <f t="shared" si="270"/>
        <v>0</v>
      </c>
      <c r="AA2260">
        <v>0</v>
      </c>
      <c r="AB2260">
        <v>0</v>
      </c>
      <c r="AC2260" s="21">
        <f t="shared" si="271"/>
        <v>0</v>
      </c>
      <c r="AD2260">
        <v>0</v>
      </c>
      <c r="AE2260">
        <v>0</v>
      </c>
      <c r="AF2260" s="21">
        <f t="shared" si="274"/>
        <v>0</v>
      </c>
    </row>
    <row r="2261" spans="1:32" ht="15" customHeight="1" x14ac:dyDescent="0.3">
      <c r="A2261">
        <v>4</v>
      </c>
      <c r="B2261" s="2" t="s">
        <v>697</v>
      </c>
      <c r="C2261" s="4" t="s">
        <v>694</v>
      </c>
      <c r="D2261" s="3" t="s">
        <v>677</v>
      </c>
      <c r="E2261" s="6" t="s">
        <v>130</v>
      </c>
      <c r="F2261" s="6" t="s">
        <v>180</v>
      </c>
      <c r="G2261" s="6" t="s">
        <v>716</v>
      </c>
      <c r="H2261" s="23">
        <v>39000</v>
      </c>
      <c r="I2261">
        <v>0</v>
      </c>
      <c r="J2261">
        <v>0</v>
      </c>
      <c r="K2261" s="20">
        <f t="shared" si="272"/>
        <v>0</v>
      </c>
      <c r="L2261">
        <v>0</v>
      </c>
      <c r="M2261">
        <v>0</v>
      </c>
      <c r="N2261" s="21">
        <f t="shared" si="273"/>
        <v>0</v>
      </c>
      <c r="O2261">
        <v>0</v>
      </c>
      <c r="P2261">
        <v>0</v>
      </c>
      <c r="Q2261" s="21">
        <f t="shared" si="267"/>
        <v>0</v>
      </c>
      <c r="R2261">
        <v>15</v>
      </c>
      <c r="S2261">
        <v>5</v>
      </c>
      <c r="T2261" s="21">
        <f t="shared" si="268"/>
        <v>2925000</v>
      </c>
      <c r="U2261">
        <v>0</v>
      </c>
      <c r="V2261">
        <v>0</v>
      </c>
      <c r="W2261" s="21">
        <f t="shared" si="269"/>
        <v>0</v>
      </c>
      <c r="X2261">
        <v>0</v>
      </c>
      <c r="Y2261">
        <v>0</v>
      </c>
      <c r="Z2261" s="21">
        <f t="shared" si="270"/>
        <v>0</v>
      </c>
      <c r="AA2261">
        <v>0</v>
      </c>
      <c r="AB2261">
        <v>0</v>
      </c>
      <c r="AC2261" s="21">
        <f t="shared" si="271"/>
        <v>0</v>
      </c>
      <c r="AD2261">
        <v>0</v>
      </c>
      <c r="AE2261">
        <v>0</v>
      </c>
      <c r="AF2261" s="21">
        <f t="shared" si="274"/>
        <v>0</v>
      </c>
    </row>
    <row r="2262" spans="1:32" ht="15" customHeight="1" x14ac:dyDescent="0.3">
      <c r="A2262">
        <v>4</v>
      </c>
      <c r="B2262" s="2" t="s">
        <v>697</v>
      </c>
      <c r="C2262" s="4" t="s">
        <v>694</v>
      </c>
      <c r="D2262" s="3" t="s">
        <v>677</v>
      </c>
      <c r="E2262" s="6" t="s">
        <v>130</v>
      </c>
      <c r="F2262" s="6" t="s">
        <v>180</v>
      </c>
      <c r="G2262" s="6" t="s">
        <v>709</v>
      </c>
      <c r="H2262" s="23">
        <v>28000</v>
      </c>
      <c r="I2262">
        <v>0</v>
      </c>
      <c r="J2262">
        <v>0</v>
      </c>
      <c r="K2262" s="20">
        <f t="shared" si="272"/>
        <v>0</v>
      </c>
      <c r="L2262">
        <v>0</v>
      </c>
      <c r="M2262">
        <v>0</v>
      </c>
      <c r="N2262" s="21">
        <f t="shared" si="273"/>
        <v>0</v>
      </c>
      <c r="O2262">
        <v>0</v>
      </c>
      <c r="P2262">
        <v>0</v>
      </c>
      <c r="Q2262" s="21">
        <f t="shared" si="267"/>
        <v>0</v>
      </c>
      <c r="R2262">
        <v>15</v>
      </c>
      <c r="S2262">
        <v>5</v>
      </c>
      <c r="T2262" s="21">
        <f t="shared" si="268"/>
        <v>2100000</v>
      </c>
      <c r="U2262">
        <v>0</v>
      </c>
      <c r="V2262">
        <v>0</v>
      </c>
      <c r="W2262" s="21">
        <f t="shared" si="269"/>
        <v>0</v>
      </c>
      <c r="X2262">
        <v>0</v>
      </c>
      <c r="Y2262">
        <v>0</v>
      </c>
      <c r="Z2262" s="21">
        <f t="shared" si="270"/>
        <v>0</v>
      </c>
      <c r="AA2262">
        <v>0</v>
      </c>
      <c r="AB2262">
        <v>0</v>
      </c>
      <c r="AC2262" s="21">
        <f t="shared" si="271"/>
        <v>0</v>
      </c>
      <c r="AD2262">
        <v>0</v>
      </c>
      <c r="AE2262">
        <v>0</v>
      </c>
      <c r="AF2262" s="21">
        <f t="shared" si="274"/>
        <v>0</v>
      </c>
    </row>
    <row r="2263" spans="1:32" ht="15" customHeight="1" x14ac:dyDescent="0.3">
      <c r="A2263">
        <v>4</v>
      </c>
      <c r="B2263" s="2" t="s">
        <v>697</v>
      </c>
      <c r="C2263" s="4" t="s">
        <v>694</v>
      </c>
      <c r="D2263" s="3" t="s">
        <v>677</v>
      </c>
      <c r="E2263" s="6" t="s">
        <v>130</v>
      </c>
      <c r="F2263" s="6" t="s">
        <v>180</v>
      </c>
      <c r="G2263" s="6" t="s">
        <v>712</v>
      </c>
      <c r="H2263" s="23">
        <v>214.29</v>
      </c>
      <c r="I2263">
        <v>0</v>
      </c>
      <c r="J2263">
        <v>0</v>
      </c>
      <c r="K2263" s="20">
        <f t="shared" si="272"/>
        <v>0</v>
      </c>
      <c r="L2263">
        <v>0</v>
      </c>
      <c r="M2263">
        <v>0</v>
      </c>
      <c r="N2263" s="21">
        <f t="shared" si="273"/>
        <v>0</v>
      </c>
      <c r="O2263">
        <v>0</v>
      </c>
      <c r="P2263">
        <v>0</v>
      </c>
      <c r="Q2263" s="21">
        <f t="shared" si="267"/>
        <v>0</v>
      </c>
      <c r="R2263">
        <v>4000</v>
      </c>
      <c r="S2263">
        <v>1</v>
      </c>
      <c r="T2263" s="21">
        <f t="shared" si="268"/>
        <v>857160</v>
      </c>
      <c r="U2263">
        <v>0</v>
      </c>
      <c r="V2263">
        <v>0</v>
      </c>
      <c r="W2263" s="21">
        <f t="shared" si="269"/>
        <v>0</v>
      </c>
      <c r="X2263">
        <v>0</v>
      </c>
      <c r="Y2263">
        <v>0</v>
      </c>
      <c r="Z2263" s="21">
        <f t="shared" si="270"/>
        <v>0</v>
      </c>
      <c r="AA2263">
        <v>0</v>
      </c>
      <c r="AB2263">
        <v>0</v>
      </c>
      <c r="AC2263" s="21">
        <f t="shared" si="271"/>
        <v>0</v>
      </c>
      <c r="AD2263">
        <v>0</v>
      </c>
      <c r="AE2263">
        <v>0</v>
      </c>
      <c r="AF2263" s="21">
        <f t="shared" si="274"/>
        <v>0</v>
      </c>
    </row>
    <row r="2264" spans="1:32" ht="15" customHeight="1" x14ac:dyDescent="0.3">
      <c r="A2264">
        <v>4</v>
      </c>
      <c r="B2264" s="2" t="s">
        <v>697</v>
      </c>
      <c r="C2264" s="4" t="s">
        <v>694</v>
      </c>
      <c r="D2264" s="3" t="s">
        <v>677</v>
      </c>
      <c r="E2264" s="6" t="s">
        <v>130</v>
      </c>
      <c r="F2264" s="6" t="s">
        <v>595</v>
      </c>
      <c r="G2264" s="6" t="s">
        <v>718</v>
      </c>
      <c r="H2264" s="23">
        <v>0</v>
      </c>
      <c r="I2264">
        <v>0</v>
      </c>
      <c r="J2264">
        <v>0</v>
      </c>
      <c r="K2264" s="20">
        <f t="shared" si="272"/>
        <v>0</v>
      </c>
      <c r="L2264">
        <v>0</v>
      </c>
      <c r="M2264">
        <v>0</v>
      </c>
      <c r="N2264" s="21">
        <f t="shared" si="273"/>
        <v>0</v>
      </c>
      <c r="O2264">
        <v>0</v>
      </c>
      <c r="P2264">
        <v>0</v>
      </c>
      <c r="Q2264" s="21">
        <f t="shared" si="267"/>
        <v>0</v>
      </c>
      <c r="R2264">
        <v>0</v>
      </c>
      <c r="S2264">
        <v>0</v>
      </c>
      <c r="T2264" s="21">
        <f t="shared" si="268"/>
        <v>0</v>
      </c>
      <c r="U2264">
        <v>0</v>
      </c>
      <c r="V2264">
        <v>0</v>
      </c>
      <c r="W2264" s="21">
        <f t="shared" si="269"/>
        <v>0</v>
      </c>
      <c r="X2264">
        <v>0</v>
      </c>
      <c r="Y2264">
        <v>0</v>
      </c>
      <c r="Z2264" s="21">
        <f t="shared" si="270"/>
        <v>0</v>
      </c>
      <c r="AA2264">
        <v>0</v>
      </c>
      <c r="AB2264">
        <v>0</v>
      </c>
      <c r="AC2264" s="21">
        <f t="shared" si="271"/>
        <v>0</v>
      </c>
      <c r="AD2264">
        <v>0</v>
      </c>
      <c r="AE2264">
        <v>0</v>
      </c>
      <c r="AF2264" s="21">
        <f t="shared" si="274"/>
        <v>0</v>
      </c>
    </row>
    <row r="2265" spans="1:32" ht="15" customHeight="1" x14ac:dyDescent="0.3">
      <c r="A2265">
        <v>4</v>
      </c>
      <c r="B2265" s="2" t="s">
        <v>697</v>
      </c>
      <c r="C2265" s="4" t="s">
        <v>694</v>
      </c>
      <c r="D2265" s="3" t="s">
        <v>677</v>
      </c>
      <c r="E2265" s="6" t="s">
        <v>130</v>
      </c>
      <c r="F2265" s="6" t="s">
        <v>175</v>
      </c>
      <c r="G2265" s="6" t="s">
        <v>709</v>
      </c>
      <c r="H2265" s="23">
        <v>28000</v>
      </c>
      <c r="I2265">
        <v>0</v>
      </c>
      <c r="J2265">
        <v>0</v>
      </c>
      <c r="K2265" s="20">
        <f t="shared" si="272"/>
        <v>0</v>
      </c>
      <c r="L2265">
        <v>0</v>
      </c>
      <c r="M2265">
        <v>0</v>
      </c>
      <c r="N2265" s="21">
        <f t="shared" si="273"/>
        <v>0</v>
      </c>
      <c r="O2265">
        <v>0</v>
      </c>
      <c r="P2265">
        <v>0</v>
      </c>
      <c r="Q2265" s="21">
        <f t="shared" si="267"/>
        <v>0</v>
      </c>
      <c r="R2265">
        <v>30</v>
      </c>
      <c r="S2265">
        <v>1</v>
      </c>
      <c r="T2265" s="21">
        <f t="shared" si="268"/>
        <v>840000</v>
      </c>
      <c r="U2265">
        <v>0</v>
      </c>
      <c r="V2265">
        <v>0</v>
      </c>
      <c r="W2265" s="21">
        <f t="shared" si="269"/>
        <v>0</v>
      </c>
      <c r="X2265">
        <v>0</v>
      </c>
      <c r="Y2265">
        <v>0</v>
      </c>
      <c r="Z2265" s="21">
        <f t="shared" si="270"/>
        <v>0</v>
      </c>
      <c r="AA2265">
        <v>0</v>
      </c>
      <c r="AB2265">
        <v>0</v>
      </c>
      <c r="AC2265" s="21">
        <f t="shared" si="271"/>
        <v>0</v>
      </c>
      <c r="AD2265">
        <v>0</v>
      </c>
      <c r="AE2265">
        <v>0</v>
      </c>
      <c r="AF2265" s="21">
        <f t="shared" si="274"/>
        <v>0</v>
      </c>
    </row>
    <row r="2266" spans="1:32" ht="15" customHeight="1" x14ac:dyDescent="0.3">
      <c r="A2266">
        <v>4</v>
      </c>
      <c r="B2266" s="2" t="s">
        <v>697</v>
      </c>
      <c r="C2266" s="4" t="s">
        <v>694</v>
      </c>
      <c r="D2266" s="3" t="s">
        <v>677</v>
      </c>
      <c r="E2266" s="6" t="s">
        <v>130</v>
      </c>
      <c r="F2266" s="6" t="s">
        <v>596</v>
      </c>
      <c r="G2266" s="6" t="s">
        <v>709</v>
      </c>
      <c r="H2266" s="23">
        <v>28000</v>
      </c>
      <c r="I2266">
        <v>0</v>
      </c>
      <c r="J2266">
        <v>0</v>
      </c>
      <c r="K2266" s="20">
        <f t="shared" si="272"/>
        <v>0</v>
      </c>
      <c r="L2266">
        <v>0</v>
      </c>
      <c r="M2266">
        <v>0</v>
      </c>
      <c r="N2266" s="21">
        <f t="shared" si="273"/>
        <v>0</v>
      </c>
      <c r="O2266">
        <v>0</v>
      </c>
      <c r="P2266">
        <v>0</v>
      </c>
      <c r="Q2266" s="21">
        <f t="shared" si="267"/>
        <v>0</v>
      </c>
      <c r="R2266">
        <v>50</v>
      </c>
      <c r="S2266">
        <v>1</v>
      </c>
      <c r="T2266" s="21">
        <f t="shared" si="268"/>
        <v>1400000</v>
      </c>
      <c r="U2266">
        <v>0</v>
      </c>
      <c r="V2266">
        <v>0</v>
      </c>
      <c r="W2266" s="21">
        <f t="shared" si="269"/>
        <v>0</v>
      </c>
      <c r="X2266">
        <v>0</v>
      </c>
      <c r="Y2266">
        <v>0</v>
      </c>
      <c r="Z2266" s="21">
        <f t="shared" si="270"/>
        <v>0</v>
      </c>
      <c r="AA2266">
        <v>0</v>
      </c>
      <c r="AB2266">
        <v>0</v>
      </c>
      <c r="AC2266" s="21">
        <f t="shared" si="271"/>
        <v>0</v>
      </c>
      <c r="AD2266">
        <v>0</v>
      </c>
      <c r="AE2266">
        <v>0</v>
      </c>
      <c r="AF2266" s="21">
        <f t="shared" si="274"/>
        <v>0</v>
      </c>
    </row>
    <row r="2267" spans="1:32" ht="15" customHeight="1" x14ac:dyDescent="0.3">
      <c r="A2267">
        <v>4</v>
      </c>
      <c r="B2267" s="2" t="s">
        <v>697</v>
      </c>
      <c r="C2267" s="4" t="s">
        <v>694</v>
      </c>
      <c r="D2267" s="3" t="s">
        <v>677</v>
      </c>
      <c r="E2267" s="6" t="s">
        <v>130</v>
      </c>
      <c r="F2267" s="6" t="s">
        <v>596</v>
      </c>
      <c r="G2267" s="6" t="s">
        <v>711</v>
      </c>
      <c r="H2267" s="23">
        <v>70</v>
      </c>
      <c r="I2267">
        <v>0</v>
      </c>
      <c r="J2267">
        <v>0</v>
      </c>
      <c r="K2267" s="20">
        <f t="shared" si="272"/>
        <v>0</v>
      </c>
      <c r="L2267">
        <v>0</v>
      </c>
      <c r="M2267">
        <v>0</v>
      </c>
      <c r="N2267" s="21">
        <f t="shared" si="273"/>
        <v>0</v>
      </c>
      <c r="O2267">
        <v>0</v>
      </c>
      <c r="P2267">
        <v>0</v>
      </c>
      <c r="Q2267" s="21">
        <f t="shared" si="267"/>
        <v>0</v>
      </c>
      <c r="R2267">
        <v>50000</v>
      </c>
      <c r="S2267">
        <v>1</v>
      </c>
      <c r="T2267" s="21">
        <f t="shared" si="268"/>
        <v>3500000</v>
      </c>
      <c r="U2267">
        <v>0</v>
      </c>
      <c r="V2267">
        <v>0</v>
      </c>
      <c r="W2267" s="21">
        <f t="shared" si="269"/>
        <v>0</v>
      </c>
      <c r="X2267">
        <v>0</v>
      </c>
      <c r="Y2267">
        <v>0</v>
      </c>
      <c r="Z2267" s="21">
        <f t="shared" si="270"/>
        <v>0</v>
      </c>
      <c r="AA2267">
        <v>0</v>
      </c>
      <c r="AB2267">
        <v>0</v>
      </c>
      <c r="AC2267" s="21">
        <f t="shared" si="271"/>
        <v>0</v>
      </c>
      <c r="AD2267">
        <v>0</v>
      </c>
      <c r="AE2267">
        <v>0</v>
      </c>
      <c r="AF2267" s="21">
        <f t="shared" si="274"/>
        <v>0</v>
      </c>
    </row>
    <row r="2268" spans="1:32" ht="15" customHeight="1" x14ac:dyDescent="0.3">
      <c r="A2268">
        <v>4</v>
      </c>
      <c r="B2268" s="2" t="s">
        <v>697</v>
      </c>
      <c r="C2268" s="4" t="s">
        <v>694</v>
      </c>
      <c r="D2268" s="3" t="s">
        <v>677</v>
      </c>
      <c r="E2268" s="6" t="s">
        <v>130</v>
      </c>
      <c r="F2268" s="6" t="s">
        <v>596</v>
      </c>
      <c r="G2268" s="6" t="s">
        <v>717</v>
      </c>
      <c r="H2268" s="23">
        <v>104850</v>
      </c>
      <c r="I2268">
        <v>0</v>
      </c>
      <c r="J2268">
        <v>0</v>
      </c>
      <c r="K2268" s="20">
        <f t="shared" si="272"/>
        <v>0</v>
      </c>
      <c r="L2268">
        <v>0</v>
      </c>
      <c r="M2268">
        <v>0</v>
      </c>
      <c r="N2268" s="21">
        <f t="shared" si="273"/>
        <v>0</v>
      </c>
      <c r="O2268">
        <v>0</v>
      </c>
      <c r="P2268">
        <v>0</v>
      </c>
      <c r="Q2268" s="21">
        <f t="shared" si="267"/>
        <v>0</v>
      </c>
      <c r="R2268">
        <v>5</v>
      </c>
      <c r="S2268">
        <v>1</v>
      </c>
      <c r="T2268" s="21">
        <f t="shared" si="268"/>
        <v>524250</v>
      </c>
      <c r="U2268">
        <v>0</v>
      </c>
      <c r="V2268">
        <v>0</v>
      </c>
      <c r="W2268" s="21">
        <f t="shared" si="269"/>
        <v>0</v>
      </c>
      <c r="X2268">
        <v>0</v>
      </c>
      <c r="Y2268">
        <v>0</v>
      </c>
      <c r="Z2268" s="21">
        <f t="shared" si="270"/>
        <v>0</v>
      </c>
      <c r="AA2268">
        <v>0</v>
      </c>
      <c r="AB2268">
        <v>0</v>
      </c>
      <c r="AC2268" s="21">
        <f t="shared" si="271"/>
        <v>0</v>
      </c>
      <c r="AD2268">
        <v>0</v>
      </c>
      <c r="AE2268">
        <v>0</v>
      </c>
      <c r="AF2268" s="21">
        <f t="shared" si="274"/>
        <v>0</v>
      </c>
    </row>
    <row r="2269" spans="1:32" ht="15" customHeight="1" x14ac:dyDescent="0.3">
      <c r="A2269">
        <v>4</v>
      </c>
      <c r="B2269" s="2" t="s">
        <v>697</v>
      </c>
      <c r="C2269" s="4" t="s">
        <v>694</v>
      </c>
      <c r="D2269" s="3" t="s">
        <v>677</v>
      </c>
      <c r="E2269" s="6" t="s">
        <v>131</v>
      </c>
      <c r="F2269" s="6" t="s">
        <v>806</v>
      </c>
      <c r="G2269" s="6" t="s">
        <v>718</v>
      </c>
      <c r="H2269" s="23">
        <v>0</v>
      </c>
      <c r="I2269">
        <v>0</v>
      </c>
      <c r="J2269">
        <v>0</v>
      </c>
      <c r="K2269" s="20">
        <f t="shared" si="272"/>
        <v>0</v>
      </c>
      <c r="L2269">
        <v>0</v>
      </c>
      <c r="M2269">
        <v>0</v>
      </c>
      <c r="N2269" s="21">
        <f t="shared" si="273"/>
        <v>0</v>
      </c>
      <c r="O2269">
        <v>0</v>
      </c>
      <c r="P2269">
        <v>0</v>
      </c>
      <c r="Q2269" s="21">
        <f t="shared" si="267"/>
        <v>0</v>
      </c>
      <c r="R2269">
        <v>0</v>
      </c>
      <c r="S2269">
        <v>0</v>
      </c>
      <c r="T2269" s="21">
        <f t="shared" si="268"/>
        <v>0</v>
      </c>
      <c r="U2269">
        <v>0</v>
      </c>
      <c r="V2269">
        <v>0</v>
      </c>
      <c r="W2269" s="21">
        <f t="shared" si="269"/>
        <v>0</v>
      </c>
      <c r="X2269">
        <v>0</v>
      </c>
      <c r="Y2269">
        <v>0</v>
      </c>
      <c r="Z2269" s="21">
        <f t="shared" si="270"/>
        <v>0</v>
      </c>
      <c r="AA2269">
        <v>0</v>
      </c>
      <c r="AB2269">
        <v>0</v>
      </c>
      <c r="AC2269" s="21">
        <f t="shared" si="271"/>
        <v>0</v>
      </c>
      <c r="AD2269">
        <v>0</v>
      </c>
      <c r="AE2269">
        <v>0</v>
      </c>
      <c r="AF2269" s="21">
        <f t="shared" si="274"/>
        <v>0</v>
      </c>
    </row>
    <row r="2270" spans="1:32" ht="15" customHeight="1" x14ac:dyDescent="0.3">
      <c r="A2270">
        <v>4</v>
      </c>
      <c r="B2270" s="2" t="s">
        <v>697</v>
      </c>
      <c r="C2270" s="4" t="s">
        <v>694</v>
      </c>
      <c r="D2270" s="3" t="s">
        <v>678</v>
      </c>
      <c r="E2270" s="6" t="s">
        <v>132</v>
      </c>
      <c r="F2270" s="6" t="s">
        <v>598</v>
      </c>
      <c r="G2270" s="6" t="s">
        <v>718</v>
      </c>
      <c r="H2270" s="23">
        <v>0</v>
      </c>
      <c r="I2270">
        <v>0</v>
      </c>
      <c r="J2270">
        <v>0</v>
      </c>
      <c r="K2270" s="20">
        <f t="shared" si="272"/>
        <v>0</v>
      </c>
      <c r="L2270">
        <v>0</v>
      </c>
      <c r="M2270">
        <v>0</v>
      </c>
      <c r="N2270" s="21">
        <f t="shared" si="273"/>
        <v>0</v>
      </c>
      <c r="O2270">
        <v>0</v>
      </c>
      <c r="P2270">
        <v>0</v>
      </c>
      <c r="Q2270" s="21">
        <f t="shared" si="267"/>
        <v>0</v>
      </c>
      <c r="R2270">
        <v>0</v>
      </c>
      <c r="S2270">
        <v>0</v>
      </c>
      <c r="T2270" s="21">
        <f t="shared" si="268"/>
        <v>0</v>
      </c>
      <c r="U2270">
        <v>0</v>
      </c>
      <c r="V2270">
        <v>0</v>
      </c>
      <c r="W2270" s="21">
        <f t="shared" si="269"/>
        <v>0</v>
      </c>
      <c r="X2270">
        <v>0</v>
      </c>
      <c r="Y2270">
        <v>0</v>
      </c>
      <c r="Z2270" s="21">
        <f t="shared" si="270"/>
        <v>0</v>
      </c>
      <c r="AA2270">
        <v>0</v>
      </c>
      <c r="AB2270">
        <v>0</v>
      </c>
      <c r="AC2270" s="21">
        <f t="shared" si="271"/>
        <v>0</v>
      </c>
      <c r="AD2270">
        <v>0</v>
      </c>
      <c r="AE2270">
        <v>0</v>
      </c>
      <c r="AF2270" s="21">
        <f t="shared" si="274"/>
        <v>0</v>
      </c>
    </row>
    <row r="2271" spans="1:32" ht="15" customHeight="1" x14ac:dyDescent="0.3">
      <c r="A2271">
        <v>4</v>
      </c>
      <c r="B2271" s="2" t="s">
        <v>697</v>
      </c>
      <c r="C2271" s="4" t="s">
        <v>694</v>
      </c>
      <c r="D2271" s="3" t="s">
        <v>678</v>
      </c>
      <c r="E2271" s="6" t="s">
        <v>132</v>
      </c>
      <c r="F2271" s="6" t="s">
        <v>149</v>
      </c>
      <c r="G2271" s="6" t="s">
        <v>707</v>
      </c>
      <c r="H2271" s="23">
        <v>391991.03749999998</v>
      </c>
      <c r="I2271">
        <v>0</v>
      </c>
      <c r="J2271">
        <v>0</v>
      </c>
      <c r="K2271" s="20">
        <f t="shared" si="272"/>
        <v>0</v>
      </c>
      <c r="L2271">
        <v>0</v>
      </c>
      <c r="M2271">
        <v>0</v>
      </c>
      <c r="N2271" s="21">
        <f t="shared" si="273"/>
        <v>0</v>
      </c>
      <c r="O2271">
        <v>1</v>
      </c>
      <c r="P2271">
        <v>4</v>
      </c>
      <c r="Q2271" s="21">
        <f t="shared" si="267"/>
        <v>1567964.15</v>
      </c>
      <c r="R2271">
        <v>0</v>
      </c>
      <c r="S2271">
        <v>0</v>
      </c>
      <c r="T2271" s="21">
        <f t="shared" si="268"/>
        <v>0</v>
      </c>
      <c r="U2271">
        <v>0</v>
      </c>
      <c r="V2271">
        <v>0</v>
      </c>
      <c r="W2271" s="21">
        <f t="shared" si="269"/>
        <v>0</v>
      </c>
      <c r="X2271">
        <v>0</v>
      </c>
      <c r="Y2271">
        <v>0</v>
      </c>
      <c r="Z2271" s="21">
        <f t="shared" si="270"/>
        <v>0</v>
      </c>
      <c r="AA2271">
        <v>0</v>
      </c>
      <c r="AB2271">
        <v>0</v>
      </c>
      <c r="AC2271" s="21">
        <f t="shared" si="271"/>
        <v>0</v>
      </c>
      <c r="AD2271">
        <v>0</v>
      </c>
      <c r="AE2271">
        <v>0</v>
      </c>
      <c r="AF2271" s="21">
        <f t="shared" si="274"/>
        <v>0</v>
      </c>
    </row>
    <row r="2272" spans="1:32" ht="15" customHeight="1" x14ac:dyDescent="0.3">
      <c r="A2272">
        <v>4</v>
      </c>
      <c r="B2272" s="2" t="s">
        <v>697</v>
      </c>
      <c r="C2272" s="4" t="s">
        <v>694</v>
      </c>
      <c r="D2272" s="3" t="s">
        <v>678</v>
      </c>
      <c r="E2272" s="6" t="s">
        <v>132</v>
      </c>
      <c r="F2272" s="6" t="s">
        <v>149</v>
      </c>
      <c r="G2272" s="6" t="s">
        <v>708</v>
      </c>
      <c r="H2272" s="23">
        <v>425000</v>
      </c>
      <c r="I2272">
        <v>0</v>
      </c>
      <c r="J2272">
        <v>0</v>
      </c>
      <c r="K2272" s="20">
        <f t="shared" si="272"/>
        <v>0</v>
      </c>
      <c r="L2272">
        <v>0</v>
      </c>
      <c r="M2272">
        <v>0</v>
      </c>
      <c r="N2272" s="21">
        <f t="shared" si="273"/>
        <v>0</v>
      </c>
      <c r="O2272">
        <v>1</v>
      </c>
      <c r="P2272">
        <v>40</v>
      </c>
      <c r="Q2272" s="21">
        <f t="shared" si="267"/>
        <v>17000000</v>
      </c>
      <c r="R2272">
        <v>0</v>
      </c>
      <c r="S2272">
        <v>0</v>
      </c>
      <c r="T2272" s="21">
        <f t="shared" si="268"/>
        <v>0</v>
      </c>
      <c r="U2272">
        <v>0</v>
      </c>
      <c r="V2272">
        <v>0</v>
      </c>
      <c r="W2272" s="21">
        <f t="shared" si="269"/>
        <v>0</v>
      </c>
      <c r="X2272">
        <v>0</v>
      </c>
      <c r="Y2272">
        <v>0</v>
      </c>
      <c r="Z2272" s="21">
        <f t="shared" si="270"/>
        <v>0</v>
      </c>
      <c r="AA2272">
        <v>0</v>
      </c>
      <c r="AB2272">
        <v>0</v>
      </c>
      <c r="AC2272" s="21">
        <f t="shared" si="271"/>
        <v>0</v>
      </c>
      <c r="AD2272">
        <v>0</v>
      </c>
      <c r="AE2272">
        <v>0</v>
      </c>
      <c r="AF2272" s="21">
        <f t="shared" si="274"/>
        <v>0</v>
      </c>
    </row>
    <row r="2273" spans="1:32" ht="15" customHeight="1" x14ac:dyDescent="0.3">
      <c r="A2273">
        <v>4</v>
      </c>
      <c r="B2273" s="2" t="s">
        <v>697</v>
      </c>
      <c r="C2273" s="4" t="s">
        <v>694</v>
      </c>
      <c r="D2273" s="3" t="s">
        <v>678</v>
      </c>
      <c r="E2273" s="6" t="s">
        <v>132</v>
      </c>
      <c r="F2273" s="6" t="s">
        <v>599</v>
      </c>
      <c r="G2273" s="6" t="s">
        <v>716</v>
      </c>
      <c r="H2273" s="23">
        <v>39000</v>
      </c>
      <c r="I2273">
        <v>0</v>
      </c>
      <c r="J2273">
        <v>0</v>
      </c>
      <c r="K2273" s="20">
        <f t="shared" si="272"/>
        <v>0</v>
      </c>
      <c r="L2273">
        <v>0</v>
      </c>
      <c r="M2273">
        <v>0</v>
      </c>
      <c r="N2273" s="21">
        <f t="shared" si="273"/>
        <v>0</v>
      </c>
      <c r="O2273">
        <v>40</v>
      </c>
      <c r="P2273">
        <v>5</v>
      </c>
      <c r="Q2273" s="21">
        <f t="shared" si="267"/>
        <v>7800000</v>
      </c>
      <c r="R2273">
        <v>0</v>
      </c>
      <c r="S2273">
        <v>0</v>
      </c>
      <c r="T2273" s="21">
        <f t="shared" si="268"/>
        <v>0</v>
      </c>
      <c r="U2273">
        <v>0</v>
      </c>
      <c r="V2273">
        <v>0</v>
      </c>
      <c r="W2273" s="21">
        <f t="shared" si="269"/>
        <v>0</v>
      </c>
      <c r="X2273">
        <v>0</v>
      </c>
      <c r="Y2273">
        <v>0</v>
      </c>
      <c r="Z2273" s="21">
        <f t="shared" si="270"/>
        <v>0</v>
      </c>
      <c r="AA2273">
        <v>0</v>
      </c>
      <c r="AB2273">
        <v>0</v>
      </c>
      <c r="AC2273" s="21">
        <f t="shared" si="271"/>
        <v>0</v>
      </c>
      <c r="AD2273">
        <v>0</v>
      </c>
      <c r="AE2273">
        <v>0</v>
      </c>
      <c r="AF2273" s="21">
        <f t="shared" si="274"/>
        <v>0</v>
      </c>
    </row>
    <row r="2274" spans="1:32" ht="15" customHeight="1" x14ac:dyDescent="0.3">
      <c r="A2274">
        <v>4</v>
      </c>
      <c r="B2274" s="2" t="s">
        <v>697</v>
      </c>
      <c r="C2274" s="4" t="s">
        <v>694</v>
      </c>
      <c r="D2274" s="3" t="s">
        <v>678</v>
      </c>
      <c r="E2274" s="6" t="s">
        <v>132</v>
      </c>
      <c r="F2274" s="6" t="s">
        <v>599</v>
      </c>
      <c r="G2274" s="6" t="s">
        <v>709</v>
      </c>
      <c r="H2274" s="23">
        <v>28000</v>
      </c>
      <c r="I2274">
        <v>0</v>
      </c>
      <c r="J2274">
        <v>0</v>
      </c>
      <c r="K2274" s="20">
        <f t="shared" si="272"/>
        <v>0</v>
      </c>
      <c r="L2274">
        <v>0</v>
      </c>
      <c r="M2274">
        <v>0</v>
      </c>
      <c r="N2274" s="21">
        <f t="shared" si="273"/>
        <v>0</v>
      </c>
      <c r="O2274">
        <v>40</v>
      </c>
      <c r="P2274">
        <v>5</v>
      </c>
      <c r="Q2274" s="21">
        <f t="shared" si="267"/>
        <v>5600000</v>
      </c>
      <c r="R2274">
        <v>0</v>
      </c>
      <c r="S2274">
        <v>0</v>
      </c>
      <c r="T2274" s="21">
        <f t="shared" si="268"/>
        <v>0</v>
      </c>
      <c r="U2274">
        <v>0</v>
      </c>
      <c r="V2274">
        <v>0</v>
      </c>
      <c r="W2274" s="21">
        <f t="shared" si="269"/>
        <v>0</v>
      </c>
      <c r="X2274">
        <v>0</v>
      </c>
      <c r="Y2274">
        <v>0</v>
      </c>
      <c r="Z2274" s="21">
        <f t="shared" si="270"/>
        <v>0</v>
      </c>
      <c r="AA2274">
        <v>0</v>
      </c>
      <c r="AB2274">
        <v>0</v>
      </c>
      <c r="AC2274" s="21">
        <f t="shared" si="271"/>
        <v>0</v>
      </c>
      <c r="AD2274">
        <v>0</v>
      </c>
      <c r="AE2274">
        <v>0</v>
      </c>
      <c r="AF2274" s="21">
        <f t="shared" si="274"/>
        <v>0</v>
      </c>
    </row>
    <row r="2275" spans="1:32" ht="15" customHeight="1" x14ac:dyDescent="0.3">
      <c r="A2275">
        <v>4</v>
      </c>
      <c r="B2275" s="2" t="s">
        <v>697</v>
      </c>
      <c r="C2275" s="4" t="s">
        <v>694</v>
      </c>
      <c r="D2275" s="3" t="s">
        <v>678</v>
      </c>
      <c r="E2275" s="6" t="s">
        <v>132</v>
      </c>
      <c r="F2275" s="6" t="s">
        <v>599</v>
      </c>
      <c r="G2275" s="6" t="s">
        <v>712</v>
      </c>
      <c r="H2275" s="23">
        <v>214.29</v>
      </c>
      <c r="I2275">
        <v>0</v>
      </c>
      <c r="J2275">
        <v>0</v>
      </c>
      <c r="K2275" s="20">
        <f t="shared" si="272"/>
        <v>0</v>
      </c>
      <c r="L2275">
        <v>0</v>
      </c>
      <c r="M2275">
        <v>0</v>
      </c>
      <c r="N2275" s="21">
        <f t="shared" si="273"/>
        <v>0</v>
      </c>
      <c r="O2275">
        <v>8000</v>
      </c>
      <c r="P2275">
        <v>1</v>
      </c>
      <c r="Q2275" s="21">
        <f t="shared" si="267"/>
        <v>1714320</v>
      </c>
      <c r="R2275">
        <v>0</v>
      </c>
      <c r="S2275">
        <v>0</v>
      </c>
      <c r="T2275" s="21">
        <f t="shared" si="268"/>
        <v>0</v>
      </c>
      <c r="U2275">
        <v>0</v>
      </c>
      <c r="V2275">
        <v>0</v>
      </c>
      <c r="W2275" s="21">
        <f t="shared" si="269"/>
        <v>0</v>
      </c>
      <c r="X2275">
        <v>0</v>
      </c>
      <c r="Y2275">
        <v>0</v>
      </c>
      <c r="Z2275" s="21">
        <f t="shared" si="270"/>
        <v>0</v>
      </c>
      <c r="AA2275">
        <v>0</v>
      </c>
      <c r="AB2275">
        <v>0</v>
      </c>
      <c r="AC2275" s="21">
        <f t="shared" si="271"/>
        <v>0</v>
      </c>
      <c r="AD2275">
        <v>0</v>
      </c>
      <c r="AE2275">
        <v>0</v>
      </c>
      <c r="AF2275" s="21">
        <f t="shared" si="274"/>
        <v>0</v>
      </c>
    </row>
    <row r="2276" spans="1:32" ht="15" customHeight="1" x14ac:dyDescent="0.3">
      <c r="A2276">
        <v>4</v>
      </c>
      <c r="B2276" s="2" t="s">
        <v>697</v>
      </c>
      <c r="C2276" s="4" t="s">
        <v>694</v>
      </c>
      <c r="D2276" s="3" t="s">
        <v>678</v>
      </c>
      <c r="E2276" s="6" t="s">
        <v>133</v>
      </c>
      <c r="F2276" s="6" t="s">
        <v>182</v>
      </c>
      <c r="G2276" s="6" t="s">
        <v>718</v>
      </c>
      <c r="H2276" s="23">
        <v>0</v>
      </c>
      <c r="I2276">
        <v>0</v>
      </c>
      <c r="J2276">
        <v>0</v>
      </c>
      <c r="K2276" s="20">
        <f t="shared" si="272"/>
        <v>0</v>
      </c>
      <c r="L2276">
        <v>0</v>
      </c>
      <c r="M2276">
        <v>0</v>
      </c>
      <c r="N2276" s="21">
        <f t="shared" si="273"/>
        <v>0</v>
      </c>
      <c r="O2276">
        <v>0</v>
      </c>
      <c r="P2276">
        <v>0</v>
      </c>
      <c r="Q2276" s="21">
        <f t="shared" si="267"/>
        <v>0</v>
      </c>
      <c r="R2276">
        <v>0</v>
      </c>
      <c r="S2276">
        <v>0</v>
      </c>
      <c r="T2276" s="21">
        <f t="shared" si="268"/>
        <v>0</v>
      </c>
      <c r="U2276">
        <v>0</v>
      </c>
      <c r="V2276">
        <v>0</v>
      </c>
      <c r="W2276" s="21">
        <f t="shared" si="269"/>
        <v>0</v>
      </c>
      <c r="X2276">
        <v>0</v>
      </c>
      <c r="Y2276">
        <v>0</v>
      </c>
      <c r="Z2276" s="21">
        <f t="shared" si="270"/>
        <v>0</v>
      </c>
      <c r="AA2276">
        <v>0</v>
      </c>
      <c r="AB2276">
        <v>0</v>
      </c>
      <c r="AC2276" s="21">
        <f t="shared" si="271"/>
        <v>0</v>
      </c>
      <c r="AD2276">
        <v>0</v>
      </c>
      <c r="AE2276">
        <v>0</v>
      </c>
      <c r="AF2276" s="21">
        <f t="shared" si="274"/>
        <v>0</v>
      </c>
    </row>
    <row r="2277" spans="1:32" ht="15" customHeight="1" x14ac:dyDescent="0.3">
      <c r="A2277">
        <v>4</v>
      </c>
      <c r="B2277" s="2" t="s">
        <v>697</v>
      </c>
      <c r="C2277" s="4" t="s">
        <v>694</v>
      </c>
      <c r="D2277" s="3" t="s">
        <v>678</v>
      </c>
      <c r="E2277" s="6" t="s">
        <v>133</v>
      </c>
      <c r="F2277" s="6" t="s">
        <v>600</v>
      </c>
      <c r="G2277" s="6" t="s">
        <v>707</v>
      </c>
      <c r="H2277" s="23">
        <v>391991.03749999998</v>
      </c>
      <c r="I2277">
        <v>0</v>
      </c>
      <c r="J2277">
        <v>0</v>
      </c>
      <c r="K2277" s="20">
        <f t="shared" si="272"/>
        <v>0</v>
      </c>
      <c r="L2277">
        <v>0</v>
      </c>
      <c r="M2277">
        <v>0</v>
      </c>
      <c r="N2277" s="21">
        <f t="shared" si="273"/>
        <v>0</v>
      </c>
      <c r="O2277">
        <v>1</v>
      </c>
      <c r="P2277">
        <v>4</v>
      </c>
      <c r="Q2277" s="21">
        <f t="shared" si="267"/>
        <v>1567964.15</v>
      </c>
      <c r="R2277">
        <v>0</v>
      </c>
      <c r="S2277">
        <v>0</v>
      </c>
      <c r="T2277" s="21">
        <f t="shared" si="268"/>
        <v>0</v>
      </c>
      <c r="U2277">
        <v>0</v>
      </c>
      <c r="V2277">
        <v>0</v>
      </c>
      <c r="W2277" s="21">
        <f t="shared" si="269"/>
        <v>0</v>
      </c>
      <c r="X2277">
        <v>0</v>
      </c>
      <c r="Y2277">
        <v>0</v>
      </c>
      <c r="Z2277" s="21">
        <f t="shared" si="270"/>
        <v>0</v>
      </c>
      <c r="AA2277">
        <v>0</v>
      </c>
      <c r="AB2277">
        <v>0</v>
      </c>
      <c r="AC2277" s="21">
        <f t="shared" si="271"/>
        <v>0</v>
      </c>
      <c r="AD2277">
        <v>0</v>
      </c>
      <c r="AE2277">
        <v>0</v>
      </c>
      <c r="AF2277" s="21">
        <f t="shared" si="274"/>
        <v>0</v>
      </c>
    </row>
    <row r="2278" spans="1:32" ht="15" customHeight="1" x14ac:dyDescent="0.3">
      <c r="A2278">
        <v>4</v>
      </c>
      <c r="B2278" s="2" t="s">
        <v>697</v>
      </c>
      <c r="C2278" s="4" t="s">
        <v>694</v>
      </c>
      <c r="D2278" s="3" t="s">
        <v>678</v>
      </c>
      <c r="E2278" s="6" t="s">
        <v>133</v>
      </c>
      <c r="F2278" s="6" t="s">
        <v>600</v>
      </c>
      <c r="G2278" s="6" t="s">
        <v>741</v>
      </c>
      <c r="H2278" s="23">
        <v>34293000</v>
      </c>
      <c r="I2278">
        <v>0</v>
      </c>
      <c r="J2278">
        <v>0</v>
      </c>
      <c r="K2278" s="20">
        <f t="shared" si="272"/>
        <v>0</v>
      </c>
      <c r="L2278">
        <v>0</v>
      </c>
      <c r="M2278">
        <v>0</v>
      </c>
      <c r="N2278" s="21">
        <f t="shared" si="273"/>
        <v>0</v>
      </c>
      <c r="O2278">
        <v>1</v>
      </c>
      <c r="P2278">
        <v>1</v>
      </c>
      <c r="Q2278" s="21">
        <f t="shared" si="267"/>
        <v>34293000</v>
      </c>
      <c r="R2278">
        <v>1</v>
      </c>
      <c r="S2278">
        <v>1</v>
      </c>
      <c r="T2278" s="21">
        <f t="shared" si="268"/>
        <v>34293000</v>
      </c>
      <c r="U2278">
        <v>1</v>
      </c>
      <c r="V2278">
        <v>1</v>
      </c>
      <c r="W2278" s="21">
        <f t="shared" si="269"/>
        <v>34293000</v>
      </c>
      <c r="X2278">
        <v>0</v>
      </c>
      <c r="Y2278">
        <v>0</v>
      </c>
      <c r="Z2278" s="21">
        <f t="shared" si="270"/>
        <v>0</v>
      </c>
      <c r="AA2278">
        <v>0</v>
      </c>
      <c r="AB2278">
        <v>0</v>
      </c>
      <c r="AC2278" s="21">
        <f t="shared" si="271"/>
        <v>0</v>
      </c>
      <c r="AD2278">
        <v>0</v>
      </c>
      <c r="AE2278">
        <v>0</v>
      </c>
      <c r="AF2278" s="21">
        <f t="shared" si="274"/>
        <v>0</v>
      </c>
    </row>
    <row r="2279" spans="1:32" ht="15" customHeight="1" x14ac:dyDescent="0.3">
      <c r="A2279">
        <v>4</v>
      </c>
      <c r="B2279" s="2" t="s">
        <v>697</v>
      </c>
      <c r="C2279" s="4" t="s">
        <v>694</v>
      </c>
      <c r="D2279" s="3" t="s">
        <v>679</v>
      </c>
      <c r="E2279" s="6" t="s">
        <v>134</v>
      </c>
      <c r="F2279" s="6" t="s">
        <v>601</v>
      </c>
      <c r="G2279" s="6" t="s">
        <v>718</v>
      </c>
      <c r="H2279" s="23">
        <v>0</v>
      </c>
      <c r="I2279">
        <v>0</v>
      </c>
      <c r="J2279">
        <v>0</v>
      </c>
      <c r="K2279" s="20">
        <f t="shared" si="272"/>
        <v>0</v>
      </c>
      <c r="L2279">
        <v>0</v>
      </c>
      <c r="M2279">
        <v>0</v>
      </c>
      <c r="N2279" s="21">
        <f t="shared" si="273"/>
        <v>0</v>
      </c>
      <c r="O2279">
        <v>0</v>
      </c>
      <c r="P2279">
        <v>0</v>
      </c>
      <c r="Q2279" s="21">
        <f t="shared" si="267"/>
        <v>0</v>
      </c>
      <c r="R2279">
        <v>0</v>
      </c>
      <c r="S2279">
        <v>0</v>
      </c>
      <c r="T2279" s="21">
        <f t="shared" si="268"/>
        <v>0</v>
      </c>
      <c r="U2279">
        <v>0</v>
      </c>
      <c r="V2279">
        <v>0</v>
      </c>
      <c r="W2279" s="21">
        <f t="shared" si="269"/>
        <v>0</v>
      </c>
      <c r="X2279">
        <v>0</v>
      </c>
      <c r="Y2279">
        <v>0</v>
      </c>
      <c r="Z2279" s="21">
        <f t="shared" si="270"/>
        <v>0</v>
      </c>
      <c r="AA2279">
        <v>0</v>
      </c>
      <c r="AB2279">
        <v>0</v>
      </c>
      <c r="AC2279" s="21">
        <f t="shared" si="271"/>
        <v>0</v>
      </c>
      <c r="AD2279">
        <v>0</v>
      </c>
      <c r="AE2279">
        <v>0</v>
      </c>
      <c r="AF2279" s="21">
        <f t="shared" si="274"/>
        <v>0</v>
      </c>
    </row>
    <row r="2280" spans="1:32" ht="15" customHeight="1" x14ac:dyDescent="0.3">
      <c r="A2280">
        <v>4</v>
      </c>
      <c r="B2280" s="2" t="s">
        <v>697</v>
      </c>
      <c r="C2280" s="4" t="s">
        <v>694</v>
      </c>
      <c r="D2280" s="3" t="s">
        <v>679</v>
      </c>
      <c r="E2280" s="6" t="s">
        <v>134</v>
      </c>
      <c r="F2280" s="6" t="s">
        <v>602</v>
      </c>
      <c r="G2280" s="6" t="s">
        <v>709</v>
      </c>
      <c r="H2280" s="23">
        <v>28000</v>
      </c>
      <c r="I2280">
        <v>120</v>
      </c>
      <c r="J2280">
        <v>3</v>
      </c>
      <c r="K2280" s="20">
        <f t="shared" si="272"/>
        <v>10080000</v>
      </c>
      <c r="L2280">
        <v>0</v>
      </c>
      <c r="M2280">
        <v>0</v>
      </c>
      <c r="N2280" s="21">
        <f t="shared" si="273"/>
        <v>0</v>
      </c>
      <c r="O2280">
        <v>0</v>
      </c>
      <c r="P2280">
        <v>0</v>
      </c>
      <c r="Q2280" s="21">
        <f t="shared" si="267"/>
        <v>0</v>
      </c>
      <c r="R2280">
        <v>0</v>
      </c>
      <c r="S2280">
        <v>0</v>
      </c>
      <c r="T2280" s="21">
        <f t="shared" si="268"/>
        <v>0</v>
      </c>
      <c r="U2280">
        <v>0</v>
      </c>
      <c r="V2280">
        <v>0</v>
      </c>
      <c r="W2280" s="21">
        <f t="shared" si="269"/>
        <v>0</v>
      </c>
      <c r="X2280">
        <v>0</v>
      </c>
      <c r="Y2280">
        <v>0</v>
      </c>
      <c r="Z2280" s="21">
        <f t="shared" si="270"/>
        <v>0</v>
      </c>
      <c r="AA2280">
        <v>0</v>
      </c>
      <c r="AB2280">
        <v>0</v>
      </c>
      <c r="AC2280" s="21">
        <f t="shared" si="271"/>
        <v>0</v>
      </c>
      <c r="AD2280">
        <v>0</v>
      </c>
      <c r="AE2280">
        <v>0</v>
      </c>
      <c r="AF2280" s="21">
        <f t="shared" si="274"/>
        <v>0</v>
      </c>
    </row>
    <row r="2281" spans="1:32" ht="15" customHeight="1" x14ac:dyDescent="0.3">
      <c r="A2281">
        <v>4</v>
      </c>
      <c r="B2281" s="2" t="s">
        <v>697</v>
      </c>
      <c r="C2281" s="4" t="s">
        <v>694</v>
      </c>
      <c r="D2281" s="3" t="s">
        <v>679</v>
      </c>
      <c r="E2281" s="6" t="s">
        <v>134</v>
      </c>
      <c r="F2281" s="6" t="s">
        <v>603</v>
      </c>
      <c r="G2281" s="6" t="s">
        <v>718</v>
      </c>
      <c r="H2281" s="23">
        <v>0</v>
      </c>
      <c r="I2281">
        <v>0</v>
      </c>
      <c r="J2281">
        <v>0</v>
      </c>
      <c r="K2281" s="20">
        <f t="shared" si="272"/>
        <v>0</v>
      </c>
      <c r="L2281">
        <v>0</v>
      </c>
      <c r="M2281">
        <v>0</v>
      </c>
      <c r="N2281" s="21">
        <f t="shared" si="273"/>
        <v>0</v>
      </c>
      <c r="O2281">
        <v>0</v>
      </c>
      <c r="P2281">
        <v>0</v>
      </c>
      <c r="Q2281" s="21">
        <f t="shared" si="267"/>
        <v>0</v>
      </c>
      <c r="R2281">
        <v>0</v>
      </c>
      <c r="S2281">
        <v>0</v>
      </c>
      <c r="T2281" s="21">
        <f t="shared" si="268"/>
        <v>0</v>
      </c>
      <c r="U2281">
        <v>0</v>
      </c>
      <c r="V2281">
        <v>0</v>
      </c>
      <c r="W2281" s="21">
        <f t="shared" si="269"/>
        <v>0</v>
      </c>
      <c r="X2281">
        <v>0</v>
      </c>
      <c r="Y2281">
        <v>0</v>
      </c>
      <c r="Z2281" s="21">
        <f t="shared" si="270"/>
        <v>0</v>
      </c>
      <c r="AA2281">
        <v>0</v>
      </c>
      <c r="AB2281">
        <v>0</v>
      </c>
      <c r="AC2281" s="21">
        <f t="shared" si="271"/>
        <v>0</v>
      </c>
      <c r="AD2281">
        <v>0</v>
      </c>
      <c r="AE2281">
        <v>0</v>
      </c>
      <c r="AF2281" s="21">
        <f t="shared" si="274"/>
        <v>0</v>
      </c>
    </row>
    <row r="2282" spans="1:32" ht="15" customHeight="1" x14ac:dyDescent="0.3">
      <c r="A2282">
        <v>4</v>
      </c>
      <c r="B2282" s="2" t="s">
        <v>697</v>
      </c>
      <c r="C2282" s="4" t="s">
        <v>694</v>
      </c>
      <c r="D2282" s="3" t="s">
        <v>679</v>
      </c>
      <c r="E2282" s="6" t="s">
        <v>134</v>
      </c>
      <c r="F2282" s="6" t="s">
        <v>604</v>
      </c>
      <c r="G2282" s="6" t="s">
        <v>709</v>
      </c>
      <c r="H2282" s="23">
        <v>28000</v>
      </c>
      <c r="I2282">
        <v>50</v>
      </c>
      <c r="J2282">
        <v>1</v>
      </c>
      <c r="K2282" s="20">
        <f t="shared" si="272"/>
        <v>1400000</v>
      </c>
      <c r="L2282">
        <v>0</v>
      </c>
      <c r="M2282">
        <v>0</v>
      </c>
      <c r="N2282" s="21">
        <f t="shared" si="273"/>
        <v>0</v>
      </c>
      <c r="O2282">
        <v>0</v>
      </c>
      <c r="P2282">
        <v>0</v>
      </c>
      <c r="Q2282" s="21">
        <f t="shared" si="267"/>
        <v>0</v>
      </c>
      <c r="R2282">
        <v>0</v>
      </c>
      <c r="S2282">
        <v>0</v>
      </c>
      <c r="T2282" s="21">
        <f t="shared" si="268"/>
        <v>0</v>
      </c>
      <c r="U2282">
        <v>0</v>
      </c>
      <c r="V2282">
        <v>0</v>
      </c>
      <c r="W2282" s="21">
        <f t="shared" si="269"/>
        <v>0</v>
      </c>
      <c r="X2282">
        <v>0</v>
      </c>
      <c r="Y2282">
        <v>0</v>
      </c>
      <c r="Z2282" s="21">
        <f t="shared" si="270"/>
        <v>0</v>
      </c>
      <c r="AA2282">
        <v>0</v>
      </c>
      <c r="AB2282">
        <v>0</v>
      </c>
      <c r="AC2282" s="21">
        <f t="shared" si="271"/>
        <v>0</v>
      </c>
      <c r="AD2282">
        <v>0</v>
      </c>
      <c r="AE2282">
        <v>0</v>
      </c>
      <c r="AF2282" s="21">
        <f t="shared" si="274"/>
        <v>0</v>
      </c>
    </row>
    <row r="2283" spans="1:32" ht="15" customHeight="1" x14ac:dyDescent="0.3">
      <c r="A2283">
        <v>4</v>
      </c>
      <c r="B2283" s="2" t="s">
        <v>697</v>
      </c>
      <c r="C2283" s="4" t="s">
        <v>694</v>
      </c>
      <c r="D2283" s="3" t="s">
        <v>679</v>
      </c>
      <c r="E2283" s="6" t="s">
        <v>134</v>
      </c>
      <c r="F2283" s="6" t="s">
        <v>605</v>
      </c>
      <c r="G2283" s="6" t="s">
        <v>709</v>
      </c>
      <c r="H2283" s="23">
        <v>28000</v>
      </c>
      <c r="I2283">
        <v>50</v>
      </c>
      <c r="J2283">
        <v>1</v>
      </c>
      <c r="K2283" s="20">
        <f t="shared" si="272"/>
        <v>1400000</v>
      </c>
      <c r="L2283">
        <v>0</v>
      </c>
      <c r="M2283">
        <v>0</v>
      </c>
      <c r="N2283" s="21">
        <f t="shared" si="273"/>
        <v>0</v>
      </c>
      <c r="O2283">
        <v>0</v>
      </c>
      <c r="P2283">
        <v>0</v>
      </c>
      <c r="Q2283" s="21">
        <f t="shared" si="267"/>
        <v>0</v>
      </c>
      <c r="R2283">
        <v>0</v>
      </c>
      <c r="S2283">
        <v>0</v>
      </c>
      <c r="T2283" s="21">
        <f t="shared" si="268"/>
        <v>0</v>
      </c>
      <c r="U2283">
        <v>0</v>
      </c>
      <c r="V2283">
        <v>0</v>
      </c>
      <c r="W2283" s="21">
        <f t="shared" si="269"/>
        <v>0</v>
      </c>
      <c r="X2283">
        <v>0</v>
      </c>
      <c r="Y2283">
        <v>0</v>
      </c>
      <c r="Z2283" s="21">
        <f t="shared" si="270"/>
        <v>0</v>
      </c>
      <c r="AA2283">
        <v>0</v>
      </c>
      <c r="AB2283">
        <v>0</v>
      </c>
      <c r="AC2283" s="21">
        <f t="shared" si="271"/>
        <v>0</v>
      </c>
      <c r="AD2283">
        <v>0</v>
      </c>
      <c r="AE2283">
        <v>0</v>
      </c>
      <c r="AF2283" s="21">
        <f t="shared" si="274"/>
        <v>0</v>
      </c>
    </row>
    <row r="2284" spans="1:32" ht="15" customHeight="1" x14ac:dyDescent="0.3">
      <c r="A2284">
        <v>4</v>
      </c>
      <c r="B2284" s="2" t="s">
        <v>697</v>
      </c>
      <c r="C2284" s="4" t="s">
        <v>694</v>
      </c>
      <c r="D2284" s="3" t="s">
        <v>679</v>
      </c>
      <c r="E2284" s="6" t="s">
        <v>134</v>
      </c>
      <c r="F2284" s="6" t="s">
        <v>606</v>
      </c>
      <c r="G2284" s="6" t="s">
        <v>709</v>
      </c>
      <c r="H2284" s="23">
        <v>28000</v>
      </c>
      <c r="I2284">
        <v>35</v>
      </c>
      <c r="J2284">
        <v>1</v>
      </c>
      <c r="K2284" s="20">
        <f t="shared" si="272"/>
        <v>980000</v>
      </c>
      <c r="L2284">
        <v>0</v>
      </c>
      <c r="M2284">
        <v>0</v>
      </c>
      <c r="N2284" s="21">
        <f t="shared" si="273"/>
        <v>0</v>
      </c>
      <c r="O2284">
        <v>0</v>
      </c>
      <c r="P2284">
        <v>0</v>
      </c>
      <c r="Q2284" s="21">
        <f t="shared" si="267"/>
        <v>0</v>
      </c>
      <c r="R2284">
        <v>0</v>
      </c>
      <c r="S2284">
        <v>0</v>
      </c>
      <c r="T2284" s="21">
        <f t="shared" si="268"/>
        <v>0</v>
      </c>
      <c r="U2284">
        <v>0</v>
      </c>
      <c r="V2284">
        <v>0</v>
      </c>
      <c r="W2284" s="21">
        <f t="shared" si="269"/>
        <v>0</v>
      </c>
      <c r="X2284">
        <v>0</v>
      </c>
      <c r="Y2284">
        <v>0</v>
      </c>
      <c r="Z2284" s="21">
        <f t="shared" si="270"/>
        <v>0</v>
      </c>
      <c r="AA2284">
        <v>0</v>
      </c>
      <c r="AB2284">
        <v>0</v>
      </c>
      <c r="AC2284" s="21">
        <f t="shared" si="271"/>
        <v>0</v>
      </c>
      <c r="AD2284">
        <v>0</v>
      </c>
      <c r="AE2284">
        <v>0</v>
      </c>
      <c r="AF2284" s="21">
        <f t="shared" si="274"/>
        <v>0</v>
      </c>
    </row>
    <row r="2285" spans="1:32" ht="15" customHeight="1" x14ac:dyDescent="0.3">
      <c r="A2285">
        <v>4</v>
      </c>
      <c r="B2285" s="2" t="s">
        <v>697</v>
      </c>
      <c r="C2285" s="4" t="s">
        <v>694</v>
      </c>
      <c r="D2285" s="3" t="s">
        <v>679</v>
      </c>
      <c r="E2285" s="6" t="s">
        <v>134</v>
      </c>
      <c r="F2285" s="6" t="s">
        <v>607</v>
      </c>
      <c r="G2285" s="6" t="s">
        <v>718</v>
      </c>
      <c r="H2285" s="23">
        <v>0</v>
      </c>
      <c r="I2285">
        <v>0</v>
      </c>
      <c r="J2285">
        <v>0</v>
      </c>
      <c r="K2285" s="20">
        <f t="shared" si="272"/>
        <v>0</v>
      </c>
      <c r="L2285">
        <v>0</v>
      </c>
      <c r="M2285">
        <v>0</v>
      </c>
      <c r="N2285" s="21">
        <f t="shared" si="273"/>
        <v>0</v>
      </c>
      <c r="O2285">
        <v>0</v>
      </c>
      <c r="P2285">
        <v>0</v>
      </c>
      <c r="Q2285" s="21">
        <f t="shared" si="267"/>
        <v>0</v>
      </c>
      <c r="R2285">
        <v>0</v>
      </c>
      <c r="S2285">
        <v>0</v>
      </c>
      <c r="T2285" s="21">
        <f t="shared" si="268"/>
        <v>0</v>
      </c>
      <c r="U2285">
        <v>0</v>
      </c>
      <c r="V2285">
        <v>0</v>
      </c>
      <c r="W2285" s="21">
        <f t="shared" si="269"/>
        <v>0</v>
      </c>
      <c r="X2285">
        <v>0</v>
      </c>
      <c r="Y2285">
        <v>0</v>
      </c>
      <c r="Z2285" s="21">
        <f t="shared" si="270"/>
        <v>0</v>
      </c>
      <c r="AA2285">
        <v>0</v>
      </c>
      <c r="AB2285">
        <v>0</v>
      </c>
      <c r="AC2285" s="21">
        <f t="shared" si="271"/>
        <v>0</v>
      </c>
      <c r="AD2285">
        <v>0</v>
      </c>
      <c r="AE2285">
        <v>0</v>
      </c>
      <c r="AF2285" s="21">
        <f t="shared" si="274"/>
        <v>0</v>
      </c>
    </row>
    <row r="2286" spans="1:32" ht="15" customHeight="1" x14ac:dyDescent="0.3">
      <c r="A2286">
        <v>4</v>
      </c>
      <c r="B2286" s="2" t="s">
        <v>697</v>
      </c>
      <c r="C2286" s="4" t="s">
        <v>694</v>
      </c>
      <c r="D2286" s="3" t="s">
        <v>679</v>
      </c>
      <c r="E2286" s="6" t="s">
        <v>134</v>
      </c>
      <c r="F2286" s="6" t="s">
        <v>608</v>
      </c>
      <c r="G2286" s="6" t="s">
        <v>718</v>
      </c>
      <c r="H2286" s="23">
        <v>0</v>
      </c>
      <c r="I2286">
        <v>0</v>
      </c>
      <c r="J2286">
        <v>0</v>
      </c>
      <c r="K2286" s="20">
        <f t="shared" si="272"/>
        <v>0</v>
      </c>
      <c r="L2286">
        <v>0</v>
      </c>
      <c r="M2286">
        <v>0</v>
      </c>
      <c r="N2286" s="21">
        <f t="shared" si="273"/>
        <v>0</v>
      </c>
      <c r="O2286">
        <v>0</v>
      </c>
      <c r="P2286">
        <v>0</v>
      </c>
      <c r="Q2286" s="21">
        <f t="shared" si="267"/>
        <v>0</v>
      </c>
      <c r="R2286">
        <v>0</v>
      </c>
      <c r="S2286">
        <v>0</v>
      </c>
      <c r="T2286" s="21">
        <f t="shared" si="268"/>
        <v>0</v>
      </c>
      <c r="U2286">
        <v>0</v>
      </c>
      <c r="V2286">
        <v>0</v>
      </c>
      <c r="W2286" s="21">
        <f t="shared" si="269"/>
        <v>0</v>
      </c>
      <c r="X2286">
        <v>0</v>
      </c>
      <c r="Y2286">
        <v>0</v>
      </c>
      <c r="Z2286" s="21">
        <f t="shared" si="270"/>
        <v>0</v>
      </c>
      <c r="AA2286">
        <v>0</v>
      </c>
      <c r="AB2286">
        <v>0</v>
      </c>
      <c r="AC2286" s="21">
        <f t="shared" si="271"/>
        <v>0</v>
      </c>
      <c r="AD2286">
        <v>0</v>
      </c>
      <c r="AE2286">
        <v>0</v>
      </c>
      <c r="AF2286" s="21">
        <f t="shared" si="274"/>
        <v>0</v>
      </c>
    </row>
    <row r="2287" spans="1:32" ht="15" customHeight="1" x14ac:dyDescent="0.3">
      <c r="A2287">
        <v>4</v>
      </c>
      <c r="B2287" s="2" t="s">
        <v>697</v>
      </c>
      <c r="C2287" s="4" t="s">
        <v>694</v>
      </c>
      <c r="D2287" s="3" t="s">
        <v>679</v>
      </c>
      <c r="E2287" s="6" t="s">
        <v>134</v>
      </c>
      <c r="F2287" s="6" t="s">
        <v>609</v>
      </c>
      <c r="G2287" s="6" t="s">
        <v>718</v>
      </c>
      <c r="H2287" s="23">
        <v>0</v>
      </c>
      <c r="I2287">
        <v>0</v>
      </c>
      <c r="J2287">
        <v>0</v>
      </c>
      <c r="K2287" s="20">
        <f t="shared" si="272"/>
        <v>0</v>
      </c>
      <c r="L2287">
        <v>0</v>
      </c>
      <c r="M2287">
        <v>0</v>
      </c>
      <c r="N2287" s="21">
        <f t="shared" si="273"/>
        <v>0</v>
      </c>
      <c r="O2287">
        <v>0</v>
      </c>
      <c r="P2287">
        <v>0</v>
      </c>
      <c r="Q2287" s="21">
        <f t="shared" si="267"/>
        <v>0</v>
      </c>
      <c r="R2287">
        <v>0</v>
      </c>
      <c r="S2287">
        <v>0</v>
      </c>
      <c r="T2287" s="21">
        <f t="shared" si="268"/>
        <v>0</v>
      </c>
      <c r="U2287">
        <v>0</v>
      </c>
      <c r="V2287">
        <v>0</v>
      </c>
      <c r="W2287" s="21">
        <f t="shared" si="269"/>
        <v>0</v>
      </c>
      <c r="X2287">
        <v>0</v>
      </c>
      <c r="Y2287">
        <v>0</v>
      </c>
      <c r="Z2287" s="21">
        <f t="shared" si="270"/>
        <v>0</v>
      </c>
      <c r="AA2287">
        <v>0</v>
      </c>
      <c r="AB2287">
        <v>0</v>
      </c>
      <c r="AC2287" s="21">
        <f t="shared" si="271"/>
        <v>0</v>
      </c>
      <c r="AD2287">
        <v>0</v>
      </c>
      <c r="AE2287">
        <v>0</v>
      </c>
      <c r="AF2287" s="21">
        <f t="shared" si="274"/>
        <v>0</v>
      </c>
    </row>
    <row r="2288" spans="1:32" ht="15" customHeight="1" x14ac:dyDescent="0.3">
      <c r="A2288">
        <v>4</v>
      </c>
      <c r="B2288" s="2" t="s">
        <v>697</v>
      </c>
      <c r="C2288" s="4" t="s">
        <v>694</v>
      </c>
      <c r="D2288" s="3" t="s">
        <v>679</v>
      </c>
      <c r="E2288" s="6" t="s">
        <v>134</v>
      </c>
      <c r="F2288" s="6" t="s">
        <v>610</v>
      </c>
      <c r="G2288" s="6" t="s">
        <v>709</v>
      </c>
      <c r="H2288" s="23">
        <v>28000</v>
      </c>
      <c r="I2288">
        <v>0</v>
      </c>
      <c r="J2288">
        <v>0</v>
      </c>
      <c r="K2288" s="20">
        <f t="shared" si="272"/>
        <v>0</v>
      </c>
      <c r="L2288">
        <v>0</v>
      </c>
      <c r="M2288">
        <v>0</v>
      </c>
      <c r="N2288" s="21">
        <f t="shared" si="273"/>
        <v>0</v>
      </c>
      <c r="O2288">
        <v>0</v>
      </c>
      <c r="P2288">
        <v>0</v>
      </c>
      <c r="Q2288" s="21">
        <f t="shared" si="267"/>
        <v>0</v>
      </c>
      <c r="R2288">
        <v>0</v>
      </c>
      <c r="S2288">
        <v>0</v>
      </c>
      <c r="T2288" s="21">
        <f t="shared" si="268"/>
        <v>0</v>
      </c>
      <c r="U2288">
        <v>0</v>
      </c>
      <c r="V2288">
        <v>0</v>
      </c>
      <c r="W2288" s="21">
        <f t="shared" si="269"/>
        <v>0</v>
      </c>
      <c r="X2288">
        <v>0</v>
      </c>
      <c r="Y2288">
        <v>0</v>
      </c>
      <c r="Z2288" s="21">
        <f t="shared" si="270"/>
        <v>0</v>
      </c>
      <c r="AA2288">
        <v>0</v>
      </c>
      <c r="AB2288">
        <v>0</v>
      </c>
      <c r="AC2288" s="21">
        <f t="shared" si="271"/>
        <v>0</v>
      </c>
      <c r="AD2288">
        <v>0</v>
      </c>
      <c r="AE2288">
        <v>0</v>
      </c>
      <c r="AF2288" s="21">
        <f t="shared" si="274"/>
        <v>0</v>
      </c>
    </row>
    <row r="2289" spans="1:32" ht="15" customHeight="1" x14ac:dyDescent="0.3">
      <c r="A2289">
        <v>4</v>
      </c>
      <c r="B2289" s="2" t="s">
        <v>697</v>
      </c>
      <c r="C2289" s="4" t="s">
        <v>694</v>
      </c>
      <c r="D2289" s="3" t="s">
        <v>679</v>
      </c>
      <c r="E2289" s="6" t="s">
        <v>135</v>
      </c>
      <c r="F2289" s="6" t="s">
        <v>611</v>
      </c>
      <c r="G2289" s="6" t="s">
        <v>709</v>
      </c>
      <c r="H2289" s="23">
        <v>28000</v>
      </c>
      <c r="I2289">
        <v>0</v>
      </c>
      <c r="J2289">
        <v>0</v>
      </c>
      <c r="K2289" s="20">
        <f t="shared" si="272"/>
        <v>0</v>
      </c>
      <c r="L2289">
        <v>20</v>
      </c>
      <c r="M2289">
        <v>10</v>
      </c>
      <c r="N2289" s="21">
        <f t="shared" si="273"/>
        <v>5600000</v>
      </c>
      <c r="O2289">
        <v>0</v>
      </c>
      <c r="P2289">
        <v>0</v>
      </c>
      <c r="Q2289" s="21">
        <f t="shared" si="267"/>
        <v>0</v>
      </c>
      <c r="R2289">
        <v>0</v>
      </c>
      <c r="S2289">
        <v>0</v>
      </c>
      <c r="T2289" s="21">
        <f t="shared" si="268"/>
        <v>0</v>
      </c>
      <c r="U2289">
        <v>0</v>
      </c>
      <c r="V2289">
        <v>0</v>
      </c>
      <c r="W2289" s="21">
        <f t="shared" si="269"/>
        <v>0</v>
      </c>
      <c r="X2289">
        <v>0</v>
      </c>
      <c r="Y2289">
        <v>0</v>
      </c>
      <c r="Z2289" s="21">
        <f t="shared" si="270"/>
        <v>0</v>
      </c>
      <c r="AA2289">
        <v>0</v>
      </c>
      <c r="AB2289">
        <v>0</v>
      </c>
      <c r="AC2289" s="21">
        <f t="shared" si="271"/>
        <v>0</v>
      </c>
      <c r="AD2289">
        <v>0</v>
      </c>
      <c r="AE2289">
        <v>0</v>
      </c>
      <c r="AF2289" s="21">
        <f t="shared" si="274"/>
        <v>0</v>
      </c>
    </row>
    <row r="2290" spans="1:32" ht="15" customHeight="1" x14ac:dyDescent="0.3">
      <c r="A2290">
        <v>4</v>
      </c>
      <c r="B2290" s="2" t="s">
        <v>697</v>
      </c>
      <c r="C2290" s="4" t="s">
        <v>694</v>
      </c>
      <c r="D2290" s="3" t="s">
        <v>679</v>
      </c>
      <c r="E2290" s="6" t="s">
        <v>135</v>
      </c>
      <c r="F2290" s="6" t="s">
        <v>611</v>
      </c>
      <c r="G2290" s="6" t="s">
        <v>716</v>
      </c>
      <c r="H2290" s="23">
        <v>39000</v>
      </c>
      <c r="I2290">
        <v>0</v>
      </c>
      <c r="J2290">
        <v>0</v>
      </c>
      <c r="K2290" s="20">
        <f t="shared" si="272"/>
        <v>0</v>
      </c>
      <c r="L2290">
        <v>30</v>
      </c>
      <c r="M2290">
        <v>10</v>
      </c>
      <c r="N2290" s="21">
        <f t="shared" si="273"/>
        <v>11700000</v>
      </c>
      <c r="O2290">
        <v>0</v>
      </c>
      <c r="P2290">
        <v>0</v>
      </c>
      <c r="Q2290" s="21">
        <f t="shared" si="267"/>
        <v>0</v>
      </c>
      <c r="R2290">
        <v>0</v>
      </c>
      <c r="S2290">
        <v>0</v>
      </c>
      <c r="T2290" s="21">
        <f t="shared" si="268"/>
        <v>0</v>
      </c>
      <c r="U2290">
        <v>0</v>
      </c>
      <c r="V2290">
        <v>0</v>
      </c>
      <c r="W2290" s="21">
        <f t="shared" si="269"/>
        <v>0</v>
      </c>
      <c r="X2290">
        <v>0</v>
      </c>
      <c r="Y2290">
        <v>0</v>
      </c>
      <c r="Z2290" s="21">
        <f t="shared" si="270"/>
        <v>0</v>
      </c>
      <c r="AA2290">
        <v>0</v>
      </c>
      <c r="AB2290">
        <v>0</v>
      </c>
      <c r="AC2290" s="21">
        <f t="shared" si="271"/>
        <v>0</v>
      </c>
      <c r="AD2290">
        <v>0</v>
      </c>
      <c r="AE2290">
        <v>0</v>
      </c>
      <c r="AF2290" s="21">
        <f t="shared" si="274"/>
        <v>0</v>
      </c>
    </row>
    <row r="2291" spans="1:32" ht="15" customHeight="1" x14ac:dyDescent="0.3">
      <c r="A2291">
        <v>4</v>
      </c>
      <c r="B2291" s="2" t="s">
        <v>697</v>
      </c>
      <c r="C2291" s="4" t="s">
        <v>694</v>
      </c>
      <c r="D2291" s="3" t="s">
        <v>679</v>
      </c>
      <c r="E2291" s="6" t="s">
        <v>135</v>
      </c>
      <c r="F2291" s="6" t="s">
        <v>611</v>
      </c>
      <c r="G2291" s="6" t="s">
        <v>712</v>
      </c>
      <c r="H2291" s="23">
        <v>214.29</v>
      </c>
      <c r="I2291">
        <v>0</v>
      </c>
      <c r="J2291">
        <v>0</v>
      </c>
      <c r="K2291" s="20">
        <f t="shared" si="272"/>
        <v>0</v>
      </c>
      <c r="L2291">
        <v>4000</v>
      </c>
      <c r="M2291">
        <v>1</v>
      </c>
      <c r="N2291" s="21">
        <f t="shared" si="273"/>
        <v>857160</v>
      </c>
      <c r="O2291">
        <v>0</v>
      </c>
      <c r="P2291">
        <v>0</v>
      </c>
      <c r="Q2291" s="21">
        <f t="shared" si="267"/>
        <v>0</v>
      </c>
      <c r="R2291">
        <v>0</v>
      </c>
      <c r="S2291">
        <v>0</v>
      </c>
      <c r="T2291" s="21">
        <f t="shared" si="268"/>
        <v>0</v>
      </c>
      <c r="U2291">
        <v>0</v>
      </c>
      <c r="V2291">
        <v>0</v>
      </c>
      <c r="W2291" s="21">
        <f t="shared" si="269"/>
        <v>0</v>
      </c>
      <c r="X2291">
        <v>0</v>
      </c>
      <c r="Y2291">
        <v>0</v>
      </c>
      <c r="Z2291" s="21">
        <f t="shared" si="270"/>
        <v>0</v>
      </c>
      <c r="AA2291">
        <v>0</v>
      </c>
      <c r="AB2291">
        <v>0</v>
      </c>
      <c r="AC2291" s="21">
        <f t="shared" si="271"/>
        <v>0</v>
      </c>
      <c r="AD2291">
        <v>0</v>
      </c>
      <c r="AE2291">
        <v>0</v>
      </c>
      <c r="AF2291" s="21">
        <f t="shared" si="274"/>
        <v>0</v>
      </c>
    </row>
    <row r="2292" spans="1:32" ht="15" customHeight="1" x14ac:dyDescent="0.3">
      <c r="A2292">
        <v>4</v>
      </c>
      <c r="B2292" s="2" t="s">
        <v>697</v>
      </c>
      <c r="C2292" s="4" t="s">
        <v>694</v>
      </c>
      <c r="D2292" s="3" t="s">
        <v>679</v>
      </c>
      <c r="E2292" s="6" t="s">
        <v>135</v>
      </c>
      <c r="F2292" s="6" t="s">
        <v>612</v>
      </c>
      <c r="G2292" s="6" t="s">
        <v>709</v>
      </c>
      <c r="H2292" s="23">
        <v>28000</v>
      </c>
      <c r="I2292">
        <v>0</v>
      </c>
      <c r="J2292">
        <v>0</v>
      </c>
      <c r="K2292" s="20">
        <f t="shared" si="272"/>
        <v>0</v>
      </c>
      <c r="L2292">
        <v>30</v>
      </c>
      <c r="M2292">
        <v>1</v>
      </c>
      <c r="N2292" s="21">
        <f t="shared" si="273"/>
        <v>840000</v>
      </c>
      <c r="O2292">
        <v>0</v>
      </c>
      <c r="P2292">
        <v>0</v>
      </c>
      <c r="Q2292" s="21">
        <f t="shared" si="267"/>
        <v>0</v>
      </c>
      <c r="R2292">
        <v>0</v>
      </c>
      <c r="S2292">
        <v>0</v>
      </c>
      <c r="T2292" s="21">
        <f t="shared" si="268"/>
        <v>0</v>
      </c>
      <c r="U2292">
        <v>0</v>
      </c>
      <c r="V2292">
        <v>0</v>
      </c>
      <c r="W2292" s="21">
        <f t="shared" si="269"/>
        <v>0</v>
      </c>
      <c r="X2292">
        <v>0</v>
      </c>
      <c r="Y2292">
        <v>0</v>
      </c>
      <c r="Z2292" s="21">
        <f t="shared" si="270"/>
        <v>0</v>
      </c>
      <c r="AA2292">
        <v>0</v>
      </c>
      <c r="AB2292">
        <v>0</v>
      </c>
      <c r="AC2292" s="21">
        <f t="shared" si="271"/>
        <v>0</v>
      </c>
      <c r="AD2292">
        <v>0</v>
      </c>
      <c r="AE2292">
        <v>0</v>
      </c>
      <c r="AF2292" s="21">
        <f t="shared" si="274"/>
        <v>0</v>
      </c>
    </row>
    <row r="2293" spans="1:32" ht="15" customHeight="1" x14ac:dyDescent="0.3">
      <c r="A2293">
        <v>4</v>
      </c>
      <c r="B2293" s="2" t="s">
        <v>697</v>
      </c>
      <c r="C2293" s="4" t="s">
        <v>694</v>
      </c>
      <c r="D2293" s="3" t="s">
        <v>679</v>
      </c>
      <c r="E2293" s="6" t="s">
        <v>135</v>
      </c>
      <c r="F2293" s="6" t="s">
        <v>613</v>
      </c>
      <c r="G2293" s="6" t="s">
        <v>709</v>
      </c>
      <c r="H2293" s="23">
        <v>28000</v>
      </c>
      <c r="I2293">
        <v>0</v>
      </c>
      <c r="J2293">
        <v>0</v>
      </c>
      <c r="K2293" s="20">
        <f t="shared" si="272"/>
        <v>0</v>
      </c>
      <c r="L2293">
        <v>30</v>
      </c>
      <c r="M2293">
        <v>1</v>
      </c>
      <c r="N2293" s="21">
        <f t="shared" si="273"/>
        <v>840000</v>
      </c>
      <c r="O2293">
        <v>0</v>
      </c>
      <c r="P2293">
        <v>0</v>
      </c>
      <c r="Q2293" s="21">
        <f t="shared" si="267"/>
        <v>0</v>
      </c>
      <c r="R2293">
        <v>0</v>
      </c>
      <c r="S2293">
        <v>0</v>
      </c>
      <c r="T2293" s="21">
        <f t="shared" si="268"/>
        <v>0</v>
      </c>
      <c r="U2293">
        <v>0</v>
      </c>
      <c r="V2293">
        <v>0</v>
      </c>
      <c r="W2293" s="21">
        <f t="shared" si="269"/>
        <v>0</v>
      </c>
      <c r="X2293">
        <v>0</v>
      </c>
      <c r="Y2293">
        <v>0</v>
      </c>
      <c r="Z2293" s="21">
        <f t="shared" si="270"/>
        <v>0</v>
      </c>
      <c r="AA2293">
        <v>0</v>
      </c>
      <c r="AB2293">
        <v>0</v>
      </c>
      <c r="AC2293" s="21">
        <f t="shared" si="271"/>
        <v>0</v>
      </c>
      <c r="AD2293">
        <v>0</v>
      </c>
      <c r="AE2293">
        <v>0</v>
      </c>
      <c r="AF2293" s="21">
        <f t="shared" si="274"/>
        <v>0</v>
      </c>
    </row>
    <row r="2294" spans="1:32" ht="15" customHeight="1" x14ac:dyDescent="0.3">
      <c r="A2294">
        <v>4</v>
      </c>
      <c r="B2294" s="2" t="s">
        <v>697</v>
      </c>
      <c r="C2294" s="4" t="s">
        <v>694</v>
      </c>
      <c r="D2294" s="3" t="s">
        <v>679</v>
      </c>
      <c r="E2294" s="6" t="s">
        <v>135</v>
      </c>
      <c r="F2294" s="6" t="s">
        <v>614</v>
      </c>
      <c r="G2294" s="6" t="s">
        <v>718</v>
      </c>
      <c r="H2294" s="23">
        <v>0</v>
      </c>
      <c r="I2294">
        <v>0</v>
      </c>
      <c r="J2294">
        <v>0</v>
      </c>
      <c r="K2294" s="20">
        <f t="shared" si="272"/>
        <v>0</v>
      </c>
      <c r="L2294">
        <v>0</v>
      </c>
      <c r="M2294">
        <v>0</v>
      </c>
      <c r="N2294" s="21">
        <f t="shared" si="273"/>
        <v>0</v>
      </c>
      <c r="O2294">
        <v>0</v>
      </c>
      <c r="P2294">
        <v>0</v>
      </c>
      <c r="Q2294" s="21">
        <f t="shared" si="267"/>
        <v>0</v>
      </c>
      <c r="R2294">
        <v>0</v>
      </c>
      <c r="S2294">
        <v>0</v>
      </c>
      <c r="T2294" s="21">
        <f t="shared" si="268"/>
        <v>0</v>
      </c>
      <c r="U2294">
        <v>0</v>
      </c>
      <c r="V2294">
        <v>0</v>
      </c>
      <c r="W2294" s="21">
        <f t="shared" si="269"/>
        <v>0</v>
      </c>
      <c r="X2294">
        <v>0</v>
      </c>
      <c r="Y2294">
        <v>0</v>
      </c>
      <c r="Z2294" s="21">
        <f t="shared" si="270"/>
        <v>0</v>
      </c>
      <c r="AA2294">
        <v>0</v>
      </c>
      <c r="AB2294">
        <v>0</v>
      </c>
      <c r="AC2294" s="21">
        <f t="shared" si="271"/>
        <v>0</v>
      </c>
      <c r="AD2294">
        <v>0</v>
      </c>
      <c r="AE2294">
        <v>0</v>
      </c>
      <c r="AF2294" s="21">
        <f t="shared" si="274"/>
        <v>0</v>
      </c>
    </row>
    <row r="2295" spans="1:32" ht="15" customHeight="1" x14ac:dyDescent="0.3">
      <c r="A2295">
        <v>4</v>
      </c>
      <c r="B2295" s="2" t="s">
        <v>697</v>
      </c>
      <c r="C2295" s="4" t="s">
        <v>694</v>
      </c>
      <c r="D2295" s="3" t="s">
        <v>679</v>
      </c>
      <c r="E2295" s="6" t="s">
        <v>135</v>
      </c>
      <c r="F2295" s="6" t="s">
        <v>807</v>
      </c>
      <c r="G2295" s="6" t="s">
        <v>709</v>
      </c>
      <c r="H2295" s="23">
        <v>28000</v>
      </c>
      <c r="I2295">
        <v>0</v>
      </c>
      <c r="J2295">
        <v>0</v>
      </c>
      <c r="K2295" s="20">
        <f t="shared" si="272"/>
        <v>0</v>
      </c>
      <c r="L2295">
        <v>100</v>
      </c>
      <c r="M2295">
        <v>1</v>
      </c>
      <c r="N2295" s="21">
        <f t="shared" si="273"/>
        <v>2800000</v>
      </c>
      <c r="O2295">
        <v>0</v>
      </c>
      <c r="P2295">
        <v>0</v>
      </c>
      <c r="Q2295" s="21">
        <f t="shared" si="267"/>
        <v>0</v>
      </c>
      <c r="R2295">
        <v>0</v>
      </c>
      <c r="S2295">
        <v>0</v>
      </c>
      <c r="T2295" s="21">
        <f t="shared" si="268"/>
        <v>0</v>
      </c>
      <c r="U2295">
        <v>0</v>
      </c>
      <c r="V2295">
        <v>0</v>
      </c>
      <c r="W2295" s="21">
        <f t="shared" si="269"/>
        <v>0</v>
      </c>
      <c r="X2295">
        <v>0</v>
      </c>
      <c r="Y2295">
        <v>0</v>
      </c>
      <c r="Z2295" s="21">
        <f t="shared" si="270"/>
        <v>0</v>
      </c>
      <c r="AA2295">
        <v>0</v>
      </c>
      <c r="AB2295">
        <v>0</v>
      </c>
      <c r="AC2295" s="21">
        <f t="shared" si="271"/>
        <v>0</v>
      </c>
      <c r="AD2295">
        <v>0</v>
      </c>
      <c r="AE2295">
        <v>0</v>
      </c>
      <c r="AF2295" s="21">
        <f t="shared" si="274"/>
        <v>0</v>
      </c>
    </row>
    <row r="2296" spans="1:32" ht="15" customHeight="1" x14ac:dyDescent="0.3">
      <c r="A2296">
        <v>4</v>
      </c>
      <c r="B2296" s="2" t="s">
        <v>697</v>
      </c>
      <c r="C2296" s="4" t="s">
        <v>694</v>
      </c>
      <c r="D2296" s="3" t="s">
        <v>679</v>
      </c>
      <c r="E2296" s="6" t="s">
        <v>135</v>
      </c>
      <c r="F2296" s="6" t="s">
        <v>807</v>
      </c>
      <c r="G2296" s="6" t="s">
        <v>711</v>
      </c>
      <c r="H2296" s="23">
        <v>70</v>
      </c>
      <c r="I2296">
        <v>0</v>
      </c>
      <c r="J2296">
        <v>0</v>
      </c>
      <c r="K2296" s="20">
        <f t="shared" si="272"/>
        <v>0</v>
      </c>
      <c r="L2296">
        <v>50000</v>
      </c>
      <c r="M2296">
        <v>1</v>
      </c>
      <c r="N2296" s="21">
        <f t="shared" si="273"/>
        <v>3500000</v>
      </c>
      <c r="O2296">
        <v>0</v>
      </c>
      <c r="P2296">
        <v>0</v>
      </c>
      <c r="Q2296" s="21">
        <f t="shared" si="267"/>
        <v>0</v>
      </c>
      <c r="R2296">
        <v>0</v>
      </c>
      <c r="S2296">
        <v>0</v>
      </c>
      <c r="T2296" s="21">
        <f t="shared" si="268"/>
        <v>0</v>
      </c>
      <c r="U2296">
        <v>0</v>
      </c>
      <c r="V2296">
        <v>0</v>
      </c>
      <c r="W2296" s="21">
        <f t="shared" si="269"/>
        <v>0</v>
      </c>
      <c r="X2296">
        <v>0</v>
      </c>
      <c r="Y2296">
        <v>0</v>
      </c>
      <c r="Z2296" s="21">
        <f t="shared" si="270"/>
        <v>0</v>
      </c>
      <c r="AA2296">
        <v>0</v>
      </c>
      <c r="AB2296">
        <v>0</v>
      </c>
      <c r="AC2296" s="21">
        <f t="shared" si="271"/>
        <v>0</v>
      </c>
      <c r="AD2296">
        <v>0</v>
      </c>
      <c r="AE2296">
        <v>0</v>
      </c>
      <c r="AF2296" s="21">
        <f t="shared" si="274"/>
        <v>0</v>
      </c>
    </row>
    <row r="2297" spans="1:32" ht="15" customHeight="1" x14ac:dyDescent="0.3">
      <c r="A2297">
        <v>4</v>
      </c>
      <c r="B2297" s="2" t="s">
        <v>697</v>
      </c>
      <c r="C2297" s="4" t="s">
        <v>694</v>
      </c>
      <c r="D2297" s="3" t="s">
        <v>679</v>
      </c>
      <c r="E2297" s="6" t="s">
        <v>135</v>
      </c>
      <c r="F2297" s="6" t="s">
        <v>807</v>
      </c>
      <c r="G2297" s="6" t="s">
        <v>717</v>
      </c>
      <c r="H2297" s="23">
        <v>104850</v>
      </c>
      <c r="I2297">
        <v>0</v>
      </c>
      <c r="J2297">
        <v>0</v>
      </c>
      <c r="K2297" s="20">
        <f t="shared" si="272"/>
        <v>0</v>
      </c>
      <c r="L2297">
        <v>5</v>
      </c>
      <c r="M2297">
        <v>1</v>
      </c>
      <c r="N2297" s="21">
        <f t="shared" si="273"/>
        <v>524250</v>
      </c>
      <c r="O2297">
        <v>0</v>
      </c>
      <c r="P2297">
        <v>0</v>
      </c>
      <c r="Q2297" s="21">
        <f t="shared" si="267"/>
        <v>0</v>
      </c>
      <c r="R2297">
        <v>0</v>
      </c>
      <c r="S2297">
        <v>0</v>
      </c>
      <c r="T2297" s="21">
        <f t="shared" si="268"/>
        <v>0</v>
      </c>
      <c r="U2297">
        <v>0</v>
      </c>
      <c r="V2297">
        <v>0</v>
      </c>
      <c r="W2297" s="21">
        <f t="shared" si="269"/>
        <v>0</v>
      </c>
      <c r="X2297">
        <v>0</v>
      </c>
      <c r="Y2297">
        <v>0</v>
      </c>
      <c r="Z2297" s="21">
        <f t="shared" si="270"/>
        <v>0</v>
      </c>
      <c r="AA2297">
        <v>0</v>
      </c>
      <c r="AB2297">
        <v>0</v>
      </c>
      <c r="AC2297" s="21">
        <f t="shared" si="271"/>
        <v>0</v>
      </c>
      <c r="AD2297">
        <v>0</v>
      </c>
      <c r="AE2297">
        <v>0</v>
      </c>
      <c r="AF2297" s="21">
        <f t="shared" si="274"/>
        <v>0</v>
      </c>
    </row>
    <row r="2298" spans="1:32" ht="15" customHeight="1" x14ac:dyDescent="0.3">
      <c r="A2298">
        <v>4</v>
      </c>
      <c r="B2298" s="2" t="s">
        <v>697</v>
      </c>
      <c r="C2298" s="4" t="s">
        <v>694</v>
      </c>
      <c r="D2298" s="3" t="s">
        <v>679</v>
      </c>
      <c r="E2298" s="6"/>
      <c r="F2298" s="6" t="s">
        <v>616</v>
      </c>
      <c r="G2298" s="6" t="s">
        <v>709</v>
      </c>
      <c r="H2298" s="23">
        <v>28000</v>
      </c>
      <c r="I2298">
        <v>100</v>
      </c>
      <c r="J2298">
        <v>2</v>
      </c>
      <c r="K2298" s="20">
        <f t="shared" si="272"/>
        <v>5600000</v>
      </c>
      <c r="L2298">
        <v>100</v>
      </c>
      <c r="M2298">
        <v>2</v>
      </c>
      <c r="N2298" s="21">
        <f t="shared" si="273"/>
        <v>5600000</v>
      </c>
      <c r="Q2298" s="21">
        <f t="shared" si="267"/>
        <v>0</v>
      </c>
      <c r="T2298" s="21">
        <f t="shared" si="268"/>
        <v>0</v>
      </c>
      <c r="W2298" s="21">
        <f t="shared" si="269"/>
        <v>0</v>
      </c>
      <c r="X2298">
        <v>0</v>
      </c>
      <c r="Y2298">
        <v>0</v>
      </c>
      <c r="Z2298" s="21">
        <f t="shared" si="270"/>
        <v>0</v>
      </c>
      <c r="AA2298">
        <v>0</v>
      </c>
      <c r="AB2298">
        <v>0</v>
      </c>
      <c r="AC2298" s="21">
        <f t="shared" si="271"/>
        <v>0</v>
      </c>
      <c r="AD2298">
        <v>0</v>
      </c>
      <c r="AE2298">
        <v>0</v>
      </c>
      <c r="AF2298" s="21">
        <f t="shared" si="274"/>
        <v>0</v>
      </c>
    </row>
    <row r="2299" spans="1:32" ht="15" customHeight="1" x14ac:dyDescent="0.3">
      <c r="A2299">
        <v>4</v>
      </c>
      <c r="B2299" s="2" t="s">
        <v>697</v>
      </c>
      <c r="C2299" s="4" t="s">
        <v>694</v>
      </c>
      <c r="D2299" s="3" t="s">
        <v>679</v>
      </c>
      <c r="E2299" s="6" t="s">
        <v>135</v>
      </c>
      <c r="F2299" s="6" t="s">
        <v>616</v>
      </c>
      <c r="G2299" s="6" t="s">
        <v>716</v>
      </c>
      <c r="H2299" s="23">
        <v>39000</v>
      </c>
      <c r="I2299">
        <v>50</v>
      </c>
      <c r="J2299">
        <v>2</v>
      </c>
      <c r="K2299" s="20">
        <f t="shared" si="272"/>
        <v>3900000</v>
      </c>
      <c r="N2299" s="21">
        <f t="shared" si="273"/>
        <v>0</v>
      </c>
      <c r="Q2299" s="21">
        <f t="shared" si="267"/>
        <v>0</v>
      </c>
      <c r="T2299" s="21">
        <f t="shared" si="268"/>
        <v>0</v>
      </c>
      <c r="W2299" s="21">
        <f t="shared" si="269"/>
        <v>0</v>
      </c>
      <c r="X2299">
        <v>0</v>
      </c>
      <c r="Y2299">
        <v>0</v>
      </c>
      <c r="Z2299" s="21">
        <f t="shared" si="270"/>
        <v>0</v>
      </c>
      <c r="AA2299">
        <v>0</v>
      </c>
      <c r="AB2299">
        <v>0</v>
      </c>
      <c r="AC2299" s="21">
        <f t="shared" si="271"/>
        <v>0</v>
      </c>
      <c r="AD2299">
        <v>0</v>
      </c>
      <c r="AE2299">
        <v>0</v>
      </c>
      <c r="AF2299" s="21">
        <f t="shared" si="274"/>
        <v>0</v>
      </c>
    </row>
    <row r="2300" spans="1:32" ht="15" customHeight="1" x14ac:dyDescent="0.3">
      <c r="A2300">
        <v>4</v>
      </c>
      <c r="B2300" s="2" t="s">
        <v>697</v>
      </c>
      <c r="C2300" s="4" t="s">
        <v>694</v>
      </c>
      <c r="D2300" s="3" t="s">
        <v>679</v>
      </c>
      <c r="E2300" s="6" t="s">
        <v>135</v>
      </c>
      <c r="F2300" s="6" t="s">
        <v>616</v>
      </c>
      <c r="G2300" s="6" t="s">
        <v>712</v>
      </c>
      <c r="H2300" s="23">
        <v>214.29</v>
      </c>
      <c r="I2300">
        <v>20000</v>
      </c>
      <c r="J2300">
        <v>1</v>
      </c>
      <c r="K2300" s="20">
        <f t="shared" si="272"/>
        <v>4285800</v>
      </c>
      <c r="N2300" s="21">
        <f t="shared" si="273"/>
        <v>0</v>
      </c>
      <c r="Q2300" s="21">
        <f t="shared" si="267"/>
        <v>0</v>
      </c>
      <c r="T2300" s="21">
        <f t="shared" si="268"/>
        <v>0</v>
      </c>
      <c r="W2300" s="21">
        <f t="shared" si="269"/>
        <v>0</v>
      </c>
      <c r="X2300">
        <v>0</v>
      </c>
      <c r="Y2300">
        <v>0</v>
      </c>
      <c r="Z2300" s="21">
        <f t="shared" si="270"/>
        <v>0</v>
      </c>
      <c r="AA2300">
        <v>0</v>
      </c>
      <c r="AB2300">
        <v>0</v>
      </c>
      <c r="AC2300" s="21">
        <f t="shared" si="271"/>
        <v>0</v>
      </c>
      <c r="AD2300">
        <v>0</v>
      </c>
      <c r="AE2300">
        <v>0</v>
      </c>
      <c r="AF2300" s="21">
        <f t="shared" si="274"/>
        <v>0</v>
      </c>
    </row>
    <row r="2301" spans="1:32" ht="15" customHeight="1" x14ac:dyDescent="0.3">
      <c r="A2301">
        <v>4</v>
      </c>
      <c r="B2301" s="2" t="s">
        <v>697</v>
      </c>
      <c r="C2301" s="4" t="s">
        <v>695</v>
      </c>
      <c r="D2301" s="3" t="s">
        <v>680</v>
      </c>
      <c r="E2301" s="6" t="s">
        <v>136</v>
      </c>
      <c r="F2301" s="6" t="s">
        <v>808</v>
      </c>
      <c r="G2301" s="6" t="s">
        <v>718</v>
      </c>
      <c r="H2301" s="23">
        <v>0</v>
      </c>
      <c r="I2301">
        <v>20</v>
      </c>
      <c r="J2301">
        <v>5</v>
      </c>
      <c r="K2301" s="20">
        <f t="shared" si="272"/>
        <v>0</v>
      </c>
      <c r="L2301">
        <v>0</v>
      </c>
      <c r="M2301">
        <v>0</v>
      </c>
      <c r="N2301" s="21">
        <f t="shared" si="273"/>
        <v>0</v>
      </c>
      <c r="O2301">
        <v>0</v>
      </c>
      <c r="P2301">
        <v>0</v>
      </c>
      <c r="Q2301" s="21">
        <f t="shared" ref="Q2301:Q2364" si="275">H2301*O2301*P2301</f>
        <v>0</v>
      </c>
      <c r="R2301">
        <v>0</v>
      </c>
      <c r="S2301">
        <v>0</v>
      </c>
      <c r="T2301" s="21">
        <f t="shared" ref="T2301:T2364" si="276">H2301*R2301*S2301</f>
        <v>0</v>
      </c>
      <c r="U2301">
        <v>0</v>
      </c>
      <c r="V2301">
        <v>0</v>
      </c>
      <c r="W2301" s="21">
        <f t="shared" ref="W2301:W2364" si="277">H2301*U2301*V2301</f>
        <v>0</v>
      </c>
      <c r="X2301">
        <v>0</v>
      </c>
      <c r="Y2301">
        <v>0</v>
      </c>
      <c r="Z2301" s="21">
        <f t="shared" ref="Z2301:Z2364" si="278">H2301*X2301*Y2301</f>
        <v>0</v>
      </c>
      <c r="AA2301">
        <v>0</v>
      </c>
      <c r="AB2301">
        <v>0</v>
      </c>
      <c r="AC2301" s="21">
        <f t="shared" ref="AC2301:AC2364" si="279">H2301*AA2301*AB2301</f>
        <v>0</v>
      </c>
      <c r="AD2301">
        <v>0</v>
      </c>
      <c r="AE2301">
        <v>0</v>
      </c>
      <c r="AF2301" s="21">
        <f t="shared" si="274"/>
        <v>0</v>
      </c>
    </row>
    <row r="2302" spans="1:32" ht="15" customHeight="1" x14ac:dyDescent="0.3">
      <c r="A2302">
        <v>4</v>
      </c>
      <c r="B2302" s="2" t="s">
        <v>697</v>
      </c>
      <c r="C2302" s="4" t="s">
        <v>695</v>
      </c>
      <c r="D2302" s="3" t="s">
        <v>680</v>
      </c>
      <c r="E2302" s="6" t="s">
        <v>137</v>
      </c>
      <c r="F2302" s="6" t="s">
        <v>176</v>
      </c>
      <c r="G2302" s="6" t="s">
        <v>718</v>
      </c>
      <c r="H2302" s="23">
        <v>0</v>
      </c>
      <c r="I2302">
        <v>0</v>
      </c>
      <c r="J2302">
        <v>0</v>
      </c>
      <c r="K2302" s="20">
        <f t="shared" si="272"/>
        <v>0</v>
      </c>
      <c r="L2302">
        <v>0</v>
      </c>
      <c r="M2302">
        <v>0</v>
      </c>
      <c r="N2302" s="21">
        <f t="shared" si="273"/>
        <v>0</v>
      </c>
      <c r="O2302">
        <v>0</v>
      </c>
      <c r="P2302">
        <v>0</v>
      </c>
      <c r="Q2302" s="21">
        <f t="shared" si="275"/>
        <v>0</v>
      </c>
      <c r="R2302">
        <v>0</v>
      </c>
      <c r="S2302">
        <v>0</v>
      </c>
      <c r="T2302" s="21">
        <f t="shared" si="276"/>
        <v>0</v>
      </c>
      <c r="U2302">
        <v>0</v>
      </c>
      <c r="V2302">
        <v>0</v>
      </c>
      <c r="W2302" s="21">
        <f t="shared" si="277"/>
        <v>0</v>
      </c>
      <c r="X2302">
        <v>0</v>
      </c>
      <c r="Y2302">
        <v>0</v>
      </c>
      <c r="Z2302" s="21">
        <f t="shared" si="278"/>
        <v>0</v>
      </c>
      <c r="AA2302">
        <v>0</v>
      </c>
      <c r="AB2302">
        <v>0</v>
      </c>
      <c r="AC2302" s="21">
        <f t="shared" si="279"/>
        <v>0</v>
      </c>
      <c r="AD2302">
        <v>0</v>
      </c>
      <c r="AE2302">
        <v>0</v>
      </c>
      <c r="AF2302" s="21">
        <f t="shared" si="274"/>
        <v>0</v>
      </c>
    </row>
    <row r="2303" spans="1:32" ht="15" customHeight="1" x14ac:dyDescent="0.3">
      <c r="A2303">
        <v>4</v>
      </c>
      <c r="B2303" s="2" t="s">
        <v>697</v>
      </c>
      <c r="C2303" s="4" t="s">
        <v>695</v>
      </c>
      <c r="D2303" s="3" t="s">
        <v>680</v>
      </c>
      <c r="E2303" s="6" t="s">
        <v>137</v>
      </c>
      <c r="F2303" s="6" t="s">
        <v>158</v>
      </c>
      <c r="G2303" s="6" t="s">
        <v>718</v>
      </c>
      <c r="H2303" s="23">
        <v>0</v>
      </c>
      <c r="I2303">
        <v>0</v>
      </c>
      <c r="J2303">
        <v>0</v>
      </c>
      <c r="K2303" s="20">
        <f t="shared" si="272"/>
        <v>0</v>
      </c>
      <c r="L2303">
        <v>0</v>
      </c>
      <c r="M2303">
        <v>0</v>
      </c>
      <c r="N2303" s="21">
        <f t="shared" si="273"/>
        <v>0</v>
      </c>
      <c r="O2303">
        <v>0</v>
      </c>
      <c r="P2303">
        <v>0</v>
      </c>
      <c r="Q2303" s="21">
        <f t="shared" si="275"/>
        <v>0</v>
      </c>
      <c r="R2303">
        <v>0</v>
      </c>
      <c r="S2303">
        <v>0</v>
      </c>
      <c r="T2303" s="21">
        <f t="shared" si="276"/>
        <v>0</v>
      </c>
      <c r="U2303">
        <v>0</v>
      </c>
      <c r="V2303">
        <v>0</v>
      </c>
      <c r="W2303" s="21">
        <f t="shared" si="277"/>
        <v>0</v>
      </c>
      <c r="X2303">
        <v>0</v>
      </c>
      <c r="Y2303">
        <v>0</v>
      </c>
      <c r="Z2303" s="21">
        <f t="shared" si="278"/>
        <v>0</v>
      </c>
      <c r="AA2303">
        <v>0</v>
      </c>
      <c r="AB2303">
        <v>0</v>
      </c>
      <c r="AC2303" s="21">
        <f t="shared" si="279"/>
        <v>0</v>
      </c>
      <c r="AD2303">
        <v>0</v>
      </c>
      <c r="AE2303">
        <v>0</v>
      </c>
      <c r="AF2303" s="21">
        <f t="shared" si="274"/>
        <v>0</v>
      </c>
    </row>
    <row r="2304" spans="1:32" ht="15" customHeight="1" x14ac:dyDescent="0.3">
      <c r="A2304">
        <v>4</v>
      </c>
      <c r="B2304" s="2" t="s">
        <v>697</v>
      </c>
      <c r="C2304" s="4" t="s">
        <v>695</v>
      </c>
      <c r="D2304" s="3" t="s">
        <v>680</v>
      </c>
      <c r="E2304" s="6" t="s">
        <v>137</v>
      </c>
      <c r="F2304" s="6" t="s">
        <v>618</v>
      </c>
      <c r="G2304" s="6" t="s">
        <v>709</v>
      </c>
      <c r="H2304" s="23">
        <v>28000</v>
      </c>
      <c r="I2304">
        <v>0</v>
      </c>
      <c r="J2304">
        <v>0</v>
      </c>
      <c r="K2304" s="20">
        <f t="shared" si="272"/>
        <v>0</v>
      </c>
      <c r="L2304">
        <v>40</v>
      </c>
      <c r="M2304">
        <v>25</v>
      </c>
      <c r="N2304" s="21">
        <f t="shared" si="273"/>
        <v>28000000</v>
      </c>
      <c r="O2304">
        <v>0</v>
      </c>
      <c r="P2304">
        <v>0</v>
      </c>
      <c r="Q2304" s="21">
        <f t="shared" si="275"/>
        <v>0</v>
      </c>
      <c r="R2304">
        <v>0</v>
      </c>
      <c r="S2304">
        <v>0</v>
      </c>
      <c r="T2304" s="21">
        <f t="shared" si="276"/>
        <v>0</v>
      </c>
      <c r="U2304">
        <v>0</v>
      </c>
      <c r="V2304">
        <v>0</v>
      </c>
      <c r="W2304" s="21">
        <f t="shared" si="277"/>
        <v>0</v>
      </c>
      <c r="X2304">
        <v>0</v>
      </c>
      <c r="Y2304">
        <v>0</v>
      </c>
      <c r="Z2304" s="21">
        <f t="shared" si="278"/>
        <v>0</v>
      </c>
      <c r="AA2304">
        <v>0</v>
      </c>
      <c r="AB2304">
        <v>0</v>
      </c>
      <c r="AC2304" s="21">
        <f t="shared" si="279"/>
        <v>0</v>
      </c>
      <c r="AD2304">
        <v>0</v>
      </c>
      <c r="AE2304">
        <v>0</v>
      </c>
      <c r="AF2304" s="21">
        <f t="shared" si="274"/>
        <v>0</v>
      </c>
    </row>
    <row r="2305" spans="1:32" ht="15" customHeight="1" x14ac:dyDescent="0.3">
      <c r="A2305">
        <v>4</v>
      </c>
      <c r="B2305" s="2" t="s">
        <v>697</v>
      </c>
      <c r="C2305" s="4" t="s">
        <v>695</v>
      </c>
      <c r="D2305" s="3" t="s">
        <v>680</v>
      </c>
      <c r="E2305" s="6" t="s">
        <v>137</v>
      </c>
      <c r="F2305" s="6" t="s">
        <v>618</v>
      </c>
      <c r="G2305" s="6" t="s">
        <v>712</v>
      </c>
      <c r="H2305" s="23">
        <v>214.29</v>
      </c>
      <c r="I2305">
        <v>0</v>
      </c>
      <c r="J2305">
        <v>0</v>
      </c>
      <c r="K2305" s="20">
        <f t="shared" si="272"/>
        <v>0</v>
      </c>
      <c r="L2305">
        <v>4000</v>
      </c>
      <c r="M2305">
        <v>5</v>
      </c>
      <c r="N2305" s="21">
        <f t="shared" si="273"/>
        <v>4285800</v>
      </c>
      <c r="O2305">
        <v>0</v>
      </c>
      <c r="P2305">
        <v>0</v>
      </c>
      <c r="Q2305" s="21">
        <f t="shared" si="275"/>
        <v>0</v>
      </c>
      <c r="R2305">
        <v>0</v>
      </c>
      <c r="S2305">
        <v>0</v>
      </c>
      <c r="T2305" s="21">
        <f t="shared" si="276"/>
        <v>0</v>
      </c>
      <c r="U2305">
        <v>0</v>
      </c>
      <c r="V2305">
        <v>0</v>
      </c>
      <c r="W2305" s="21">
        <f t="shared" si="277"/>
        <v>0</v>
      </c>
      <c r="X2305">
        <v>0</v>
      </c>
      <c r="Y2305">
        <v>0</v>
      </c>
      <c r="Z2305" s="21">
        <f t="shared" si="278"/>
        <v>0</v>
      </c>
      <c r="AA2305">
        <v>0</v>
      </c>
      <c r="AB2305">
        <v>0</v>
      </c>
      <c r="AC2305" s="21">
        <f t="shared" si="279"/>
        <v>0</v>
      </c>
      <c r="AD2305">
        <v>0</v>
      </c>
      <c r="AE2305">
        <v>0</v>
      </c>
      <c r="AF2305" s="21">
        <f t="shared" si="274"/>
        <v>0</v>
      </c>
    </row>
    <row r="2306" spans="1:32" ht="15" customHeight="1" x14ac:dyDescent="0.3">
      <c r="A2306">
        <v>4</v>
      </c>
      <c r="B2306" s="2" t="s">
        <v>697</v>
      </c>
      <c r="C2306" s="4" t="s">
        <v>695</v>
      </c>
      <c r="D2306" s="3" t="s">
        <v>680</v>
      </c>
      <c r="E2306" s="6" t="s">
        <v>137</v>
      </c>
      <c r="F2306" s="6" t="s">
        <v>618</v>
      </c>
      <c r="G2306" s="6" t="s">
        <v>716</v>
      </c>
      <c r="H2306" s="23">
        <v>39000</v>
      </c>
      <c r="I2306">
        <v>0</v>
      </c>
      <c r="J2306">
        <v>0</v>
      </c>
      <c r="K2306" s="20">
        <f t="shared" si="272"/>
        <v>0</v>
      </c>
      <c r="L2306">
        <v>20</v>
      </c>
      <c r="M2306">
        <v>25</v>
      </c>
      <c r="N2306" s="21">
        <f t="shared" si="273"/>
        <v>19500000</v>
      </c>
      <c r="O2306">
        <v>0</v>
      </c>
      <c r="P2306">
        <v>0</v>
      </c>
      <c r="Q2306" s="21">
        <f t="shared" si="275"/>
        <v>0</v>
      </c>
      <c r="R2306">
        <v>0</v>
      </c>
      <c r="S2306">
        <v>0</v>
      </c>
      <c r="T2306" s="21">
        <f t="shared" si="276"/>
        <v>0</v>
      </c>
      <c r="U2306">
        <v>0</v>
      </c>
      <c r="V2306">
        <v>0</v>
      </c>
      <c r="W2306" s="21">
        <f t="shared" si="277"/>
        <v>0</v>
      </c>
      <c r="X2306">
        <v>0</v>
      </c>
      <c r="Y2306">
        <v>0</v>
      </c>
      <c r="Z2306" s="21">
        <f t="shared" si="278"/>
        <v>0</v>
      </c>
      <c r="AA2306">
        <v>0</v>
      </c>
      <c r="AB2306">
        <v>0</v>
      </c>
      <c r="AC2306" s="21">
        <f t="shared" si="279"/>
        <v>0</v>
      </c>
      <c r="AD2306">
        <v>0</v>
      </c>
      <c r="AE2306">
        <v>0</v>
      </c>
      <c r="AF2306" s="21">
        <f t="shared" si="274"/>
        <v>0</v>
      </c>
    </row>
    <row r="2307" spans="1:32" ht="15" customHeight="1" x14ac:dyDescent="0.3">
      <c r="A2307">
        <v>4</v>
      </c>
      <c r="B2307" s="2" t="s">
        <v>697</v>
      </c>
      <c r="C2307" s="4" t="s">
        <v>695</v>
      </c>
      <c r="D2307" s="3" t="s">
        <v>680</v>
      </c>
      <c r="E2307" s="6" t="s">
        <v>137</v>
      </c>
      <c r="F2307" s="6" t="s">
        <v>166</v>
      </c>
      <c r="G2307" s="6" t="s">
        <v>709</v>
      </c>
      <c r="H2307" s="23">
        <v>28000</v>
      </c>
      <c r="I2307">
        <v>0</v>
      </c>
      <c r="J2307">
        <v>0</v>
      </c>
      <c r="K2307" s="20">
        <f t="shared" si="272"/>
        <v>0</v>
      </c>
      <c r="L2307">
        <v>40</v>
      </c>
      <c r="M2307">
        <v>1</v>
      </c>
      <c r="N2307" s="21">
        <f t="shared" si="273"/>
        <v>1120000</v>
      </c>
      <c r="O2307">
        <v>0</v>
      </c>
      <c r="P2307">
        <v>0</v>
      </c>
      <c r="Q2307" s="21">
        <f t="shared" si="275"/>
        <v>0</v>
      </c>
      <c r="R2307">
        <v>0</v>
      </c>
      <c r="S2307">
        <v>0</v>
      </c>
      <c r="T2307" s="21">
        <f t="shared" si="276"/>
        <v>0</v>
      </c>
      <c r="U2307">
        <v>0</v>
      </c>
      <c r="V2307">
        <v>0</v>
      </c>
      <c r="W2307" s="21">
        <f t="shared" si="277"/>
        <v>0</v>
      </c>
      <c r="X2307">
        <v>0</v>
      </c>
      <c r="Y2307">
        <v>0</v>
      </c>
      <c r="Z2307" s="21">
        <f t="shared" si="278"/>
        <v>0</v>
      </c>
      <c r="AA2307">
        <v>0</v>
      </c>
      <c r="AB2307">
        <v>0</v>
      </c>
      <c r="AC2307" s="21">
        <f t="shared" si="279"/>
        <v>0</v>
      </c>
      <c r="AD2307">
        <v>0</v>
      </c>
      <c r="AE2307">
        <v>0</v>
      </c>
      <c r="AF2307" s="21">
        <f t="shared" si="274"/>
        <v>0</v>
      </c>
    </row>
    <row r="2308" spans="1:32" ht="15" customHeight="1" x14ac:dyDescent="0.3">
      <c r="A2308">
        <v>4</v>
      </c>
      <c r="B2308" s="2" t="s">
        <v>697</v>
      </c>
      <c r="C2308" s="4" t="s">
        <v>695</v>
      </c>
      <c r="D2308" s="3" t="s">
        <v>680</v>
      </c>
      <c r="E2308" s="6" t="s">
        <v>137</v>
      </c>
      <c r="F2308" s="6" t="s">
        <v>296</v>
      </c>
      <c r="G2308" s="6" t="s">
        <v>718</v>
      </c>
      <c r="H2308" s="23">
        <v>0</v>
      </c>
      <c r="I2308">
        <v>0</v>
      </c>
      <c r="J2308">
        <v>0</v>
      </c>
      <c r="K2308" s="20">
        <f t="shared" si="272"/>
        <v>0</v>
      </c>
      <c r="L2308">
        <v>0</v>
      </c>
      <c r="M2308">
        <v>0</v>
      </c>
      <c r="N2308" s="21">
        <f t="shared" si="273"/>
        <v>0</v>
      </c>
      <c r="O2308">
        <v>0</v>
      </c>
      <c r="P2308">
        <v>0</v>
      </c>
      <c r="Q2308" s="21">
        <f t="shared" si="275"/>
        <v>0</v>
      </c>
      <c r="R2308">
        <v>0</v>
      </c>
      <c r="S2308">
        <v>0</v>
      </c>
      <c r="T2308" s="21">
        <f t="shared" si="276"/>
        <v>0</v>
      </c>
      <c r="U2308">
        <v>0</v>
      </c>
      <c r="V2308">
        <v>0</v>
      </c>
      <c r="W2308" s="21">
        <f t="shared" si="277"/>
        <v>0</v>
      </c>
      <c r="X2308">
        <v>0</v>
      </c>
      <c r="Y2308">
        <v>0</v>
      </c>
      <c r="Z2308" s="21">
        <f t="shared" si="278"/>
        <v>0</v>
      </c>
      <c r="AA2308">
        <v>0</v>
      </c>
      <c r="AB2308">
        <v>0</v>
      </c>
      <c r="AC2308" s="21">
        <f t="shared" si="279"/>
        <v>0</v>
      </c>
      <c r="AD2308">
        <v>0</v>
      </c>
      <c r="AE2308">
        <v>0</v>
      </c>
      <c r="AF2308" s="21">
        <f t="shared" si="274"/>
        <v>0</v>
      </c>
    </row>
    <row r="2309" spans="1:32" ht="15" customHeight="1" x14ac:dyDescent="0.3">
      <c r="A2309">
        <v>4</v>
      </c>
      <c r="B2309" s="2" t="s">
        <v>697</v>
      </c>
      <c r="C2309" s="4" t="s">
        <v>695</v>
      </c>
      <c r="D2309" s="3" t="s">
        <v>680</v>
      </c>
      <c r="E2309" s="6" t="s">
        <v>137</v>
      </c>
      <c r="F2309" s="6" t="s">
        <v>156</v>
      </c>
      <c r="G2309" s="6" t="s">
        <v>709</v>
      </c>
      <c r="H2309" s="23">
        <v>28000</v>
      </c>
      <c r="I2309">
        <v>0</v>
      </c>
      <c r="J2309">
        <v>0</v>
      </c>
      <c r="K2309" s="20">
        <f t="shared" si="272"/>
        <v>0</v>
      </c>
      <c r="L2309">
        <v>100</v>
      </c>
      <c r="M2309">
        <v>1</v>
      </c>
      <c r="N2309" s="21">
        <f t="shared" si="273"/>
        <v>2800000</v>
      </c>
      <c r="O2309">
        <v>0</v>
      </c>
      <c r="P2309">
        <v>0</v>
      </c>
      <c r="Q2309" s="21">
        <f t="shared" si="275"/>
        <v>0</v>
      </c>
      <c r="R2309">
        <v>0</v>
      </c>
      <c r="S2309">
        <v>0</v>
      </c>
      <c r="T2309" s="21">
        <f t="shared" si="276"/>
        <v>0</v>
      </c>
      <c r="U2309">
        <v>0</v>
      </c>
      <c r="V2309">
        <v>0</v>
      </c>
      <c r="W2309" s="21">
        <f t="shared" si="277"/>
        <v>0</v>
      </c>
      <c r="X2309">
        <v>0</v>
      </c>
      <c r="Y2309">
        <v>0</v>
      </c>
      <c r="Z2309" s="21">
        <f t="shared" si="278"/>
        <v>0</v>
      </c>
      <c r="AA2309">
        <v>0</v>
      </c>
      <c r="AB2309">
        <v>0</v>
      </c>
      <c r="AC2309" s="21">
        <f t="shared" si="279"/>
        <v>0</v>
      </c>
      <c r="AD2309">
        <v>0</v>
      </c>
      <c r="AE2309">
        <v>0</v>
      </c>
      <c r="AF2309" s="21">
        <f t="shared" si="274"/>
        <v>0</v>
      </c>
    </row>
    <row r="2310" spans="1:32" ht="15" customHeight="1" x14ac:dyDescent="0.3">
      <c r="A2310">
        <v>4</v>
      </c>
      <c r="B2310" s="2" t="s">
        <v>697</v>
      </c>
      <c r="C2310" s="4" t="s">
        <v>695</v>
      </c>
      <c r="D2310" s="3" t="s">
        <v>680</v>
      </c>
      <c r="E2310" s="6" t="s">
        <v>137</v>
      </c>
      <c r="F2310" s="6" t="s">
        <v>156</v>
      </c>
      <c r="G2310" s="6" t="s">
        <v>711</v>
      </c>
      <c r="H2310" s="23">
        <v>70</v>
      </c>
      <c r="I2310">
        <v>0</v>
      </c>
      <c r="J2310">
        <v>0</v>
      </c>
      <c r="K2310" s="20">
        <f t="shared" ref="K2310:K2373" si="280">H2310*I2310*J2310</f>
        <v>0</v>
      </c>
      <c r="L2310">
        <v>50000</v>
      </c>
      <c r="M2310">
        <v>1</v>
      </c>
      <c r="N2310" s="21">
        <f t="shared" ref="N2310:N2373" si="281">H2310*L2310*M2310</f>
        <v>3500000</v>
      </c>
      <c r="O2310">
        <v>0</v>
      </c>
      <c r="P2310">
        <v>0</v>
      </c>
      <c r="Q2310" s="21">
        <f t="shared" si="275"/>
        <v>0</v>
      </c>
      <c r="R2310">
        <v>0</v>
      </c>
      <c r="S2310">
        <v>0</v>
      </c>
      <c r="T2310" s="21">
        <f t="shared" si="276"/>
        <v>0</v>
      </c>
      <c r="U2310">
        <v>0</v>
      </c>
      <c r="V2310">
        <v>0</v>
      </c>
      <c r="W2310" s="21">
        <f t="shared" si="277"/>
        <v>0</v>
      </c>
      <c r="X2310">
        <v>0</v>
      </c>
      <c r="Y2310">
        <v>0</v>
      </c>
      <c r="Z2310" s="21">
        <f t="shared" si="278"/>
        <v>0</v>
      </c>
      <c r="AA2310">
        <v>0</v>
      </c>
      <c r="AB2310">
        <v>0</v>
      </c>
      <c r="AC2310" s="21">
        <f t="shared" si="279"/>
        <v>0</v>
      </c>
      <c r="AD2310">
        <v>0</v>
      </c>
      <c r="AE2310">
        <v>0</v>
      </c>
      <c r="AF2310" s="21">
        <f t="shared" ref="AF2310:AF2373" si="282">H2310*AD2310*AE2310</f>
        <v>0</v>
      </c>
    </row>
    <row r="2311" spans="1:32" ht="15" customHeight="1" x14ac:dyDescent="0.3">
      <c r="A2311">
        <v>4</v>
      </c>
      <c r="B2311" s="2" t="s">
        <v>697</v>
      </c>
      <c r="C2311" s="4" t="s">
        <v>695</v>
      </c>
      <c r="D2311" s="3" t="s">
        <v>680</v>
      </c>
      <c r="E2311" s="6" t="s">
        <v>137</v>
      </c>
      <c r="F2311" s="6" t="s">
        <v>156</v>
      </c>
      <c r="G2311" s="6" t="s">
        <v>717</v>
      </c>
      <c r="H2311" s="23">
        <v>104850</v>
      </c>
      <c r="I2311">
        <v>5</v>
      </c>
      <c r="J2311">
        <v>1</v>
      </c>
      <c r="K2311" s="20">
        <f t="shared" si="280"/>
        <v>524250</v>
      </c>
      <c r="L2311">
        <v>5</v>
      </c>
      <c r="M2311">
        <v>1</v>
      </c>
      <c r="N2311" s="21">
        <f t="shared" si="281"/>
        <v>524250</v>
      </c>
      <c r="O2311">
        <v>0</v>
      </c>
      <c r="P2311">
        <v>0</v>
      </c>
      <c r="Q2311" s="21">
        <f t="shared" si="275"/>
        <v>0</v>
      </c>
      <c r="R2311">
        <v>0</v>
      </c>
      <c r="S2311">
        <v>0</v>
      </c>
      <c r="T2311" s="21">
        <f t="shared" si="276"/>
        <v>0</v>
      </c>
      <c r="U2311">
        <v>0</v>
      </c>
      <c r="V2311">
        <v>0</v>
      </c>
      <c r="W2311" s="21">
        <f t="shared" si="277"/>
        <v>0</v>
      </c>
      <c r="X2311">
        <v>0</v>
      </c>
      <c r="Y2311">
        <v>0</v>
      </c>
      <c r="Z2311" s="21">
        <f t="shared" si="278"/>
        <v>0</v>
      </c>
      <c r="AA2311">
        <v>0</v>
      </c>
      <c r="AB2311">
        <v>0</v>
      </c>
      <c r="AC2311" s="21">
        <f t="shared" si="279"/>
        <v>0</v>
      </c>
      <c r="AD2311">
        <v>0</v>
      </c>
      <c r="AE2311">
        <v>0</v>
      </c>
      <c r="AF2311" s="21">
        <f t="shared" si="282"/>
        <v>0</v>
      </c>
    </row>
    <row r="2312" spans="1:32" ht="15" customHeight="1" x14ac:dyDescent="0.3">
      <c r="A2312">
        <v>4</v>
      </c>
      <c r="B2312" s="2" t="s">
        <v>697</v>
      </c>
      <c r="C2312" s="4" t="s">
        <v>695</v>
      </c>
      <c r="D2312" s="3" t="s">
        <v>681</v>
      </c>
      <c r="E2312" s="6" t="s">
        <v>138</v>
      </c>
      <c r="F2312" s="6" t="s">
        <v>155</v>
      </c>
      <c r="G2312" s="6" t="s">
        <v>718</v>
      </c>
      <c r="H2312" s="23">
        <v>0</v>
      </c>
      <c r="I2312">
        <v>0</v>
      </c>
      <c r="J2312">
        <v>0</v>
      </c>
      <c r="K2312" s="20">
        <f t="shared" si="280"/>
        <v>0</v>
      </c>
      <c r="L2312">
        <v>0</v>
      </c>
      <c r="M2312">
        <v>0</v>
      </c>
      <c r="N2312" s="21">
        <f t="shared" si="281"/>
        <v>0</v>
      </c>
      <c r="O2312">
        <v>0</v>
      </c>
      <c r="P2312">
        <v>0</v>
      </c>
      <c r="Q2312" s="21">
        <f t="shared" si="275"/>
        <v>0</v>
      </c>
      <c r="R2312">
        <v>0</v>
      </c>
      <c r="S2312">
        <v>0</v>
      </c>
      <c r="T2312" s="21">
        <f t="shared" si="276"/>
        <v>0</v>
      </c>
      <c r="U2312">
        <v>0</v>
      </c>
      <c r="V2312">
        <v>0</v>
      </c>
      <c r="W2312" s="21">
        <f t="shared" si="277"/>
        <v>0</v>
      </c>
      <c r="X2312">
        <v>0</v>
      </c>
      <c r="Y2312">
        <v>0</v>
      </c>
      <c r="Z2312" s="21">
        <f t="shared" si="278"/>
        <v>0</v>
      </c>
      <c r="AA2312">
        <v>0</v>
      </c>
      <c r="AB2312">
        <v>0</v>
      </c>
      <c r="AC2312" s="21">
        <f t="shared" si="279"/>
        <v>0</v>
      </c>
      <c r="AD2312">
        <v>0</v>
      </c>
      <c r="AE2312">
        <v>0</v>
      </c>
      <c r="AF2312" s="21">
        <f t="shared" si="282"/>
        <v>0</v>
      </c>
    </row>
    <row r="2313" spans="1:32" ht="15" customHeight="1" x14ac:dyDescent="0.3">
      <c r="A2313">
        <v>4</v>
      </c>
      <c r="B2313" s="2" t="s">
        <v>697</v>
      </c>
      <c r="C2313" s="4" t="s">
        <v>695</v>
      </c>
      <c r="D2313" s="3" t="s">
        <v>681</v>
      </c>
      <c r="E2313" s="6" t="s">
        <v>138</v>
      </c>
      <c r="F2313" s="6" t="s">
        <v>158</v>
      </c>
      <c r="G2313" s="6" t="s">
        <v>718</v>
      </c>
      <c r="H2313" s="23">
        <v>0</v>
      </c>
      <c r="I2313">
        <v>0</v>
      </c>
      <c r="J2313">
        <v>0</v>
      </c>
      <c r="K2313" s="20">
        <f t="shared" si="280"/>
        <v>0</v>
      </c>
      <c r="L2313">
        <v>0</v>
      </c>
      <c r="M2313">
        <v>0</v>
      </c>
      <c r="N2313" s="21">
        <f t="shared" si="281"/>
        <v>0</v>
      </c>
      <c r="O2313">
        <v>0</v>
      </c>
      <c r="P2313">
        <v>0</v>
      </c>
      <c r="Q2313" s="21">
        <f t="shared" si="275"/>
        <v>0</v>
      </c>
      <c r="R2313">
        <v>0</v>
      </c>
      <c r="S2313">
        <v>0</v>
      </c>
      <c r="T2313" s="21">
        <f t="shared" si="276"/>
        <v>0</v>
      </c>
      <c r="U2313">
        <v>0</v>
      </c>
      <c r="V2313">
        <v>0</v>
      </c>
      <c r="W2313" s="21">
        <f t="shared" si="277"/>
        <v>0</v>
      </c>
      <c r="X2313">
        <v>0</v>
      </c>
      <c r="Y2313">
        <v>0</v>
      </c>
      <c r="Z2313" s="21">
        <f t="shared" si="278"/>
        <v>0</v>
      </c>
      <c r="AA2313">
        <v>0</v>
      </c>
      <c r="AB2313">
        <v>0</v>
      </c>
      <c r="AC2313" s="21">
        <f t="shared" si="279"/>
        <v>0</v>
      </c>
      <c r="AD2313">
        <v>0</v>
      </c>
      <c r="AE2313">
        <v>0</v>
      </c>
      <c r="AF2313" s="21">
        <f t="shared" si="282"/>
        <v>0</v>
      </c>
    </row>
    <row r="2314" spans="1:32" ht="15" customHeight="1" x14ac:dyDescent="0.3">
      <c r="A2314">
        <v>4</v>
      </c>
      <c r="B2314" s="2" t="s">
        <v>697</v>
      </c>
      <c r="C2314" s="4" t="s">
        <v>695</v>
      </c>
      <c r="D2314" s="3" t="s">
        <v>681</v>
      </c>
      <c r="E2314" s="6" t="s">
        <v>138</v>
      </c>
      <c r="F2314" s="6" t="s">
        <v>619</v>
      </c>
      <c r="G2314" s="6" t="s">
        <v>707</v>
      </c>
      <c r="H2314" s="23">
        <v>391991.03749999998</v>
      </c>
      <c r="I2314">
        <v>0</v>
      </c>
      <c r="J2314">
        <v>0</v>
      </c>
      <c r="K2314" s="20">
        <f t="shared" si="280"/>
        <v>0</v>
      </c>
      <c r="L2314">
        <v>1</v>
      </c>
      <c r="M2314">
        <v>6</v>
      </c>
      <c r="N2314" s="21">
        <f t="shared" si="281"/>
        <v>2351946.2249999996</v>
      </c>
      <c r="O2314">
        <v>0</v>
      </c>
      <c r="P2314">
        <v>0</v>
      </c>
      <c r="Q2314" s="21">
        <f t="shared" si="275"/>
        <v>0</v>
      </c>
      <c r="R2314">
        <v>0</v>
      </c>
      <c r="S2314">
        <v>0</v>
      </c>
      <c r="T2314" s="21">
        <f t="shared" si="276"/>
        <v>0</v>
      </c>
      <c r="U2314">
        <v>0</v>
      </c>
      <c r="V2314">
        <v>0</v>
      </c>
      <c r="W2314" s="21">
        <f t="shared" si="277"/>
        <v>0</v>
      </c>
      <c r="X2314">
        <v>0</v>
      </c>
      <c r="Y2314">
        <v>0</v>
      </c>
      <c r="Z2314" s="21">
        <f t="shared" si="278"/>
        <v>0</v>
      </c>
      <c r="AA2314">
        <v>0</v>
      </c>
      <c r="AB2314">
        <v>0</v>
      </c>
      <c r="AC2314" s="21">
        <f t="shared" si="279"/>
        <v>0</v>
      </c>
      <c r="AD2314">
        <v>0</v>
      </c>
      <c r="AE2314">
        <v>0</v>
      </c>
      <c r="AF2314" s="21">
        <f t="shared" si="282"/>
        <v>0</v>
      </c>
    </row>
    <row r="2315" spans="1:32" ht="15" customHeight="1" x14ac:dyDescent="0.3">
      <c r="A2315">
        <v>4</v>
      </c>
      <c r="B2315" s="2" t="s">
        <v>697</v>
      </c>
      <c r="C2315" s="4" t="s">
        <v>695</v>
      </c>
      <c r="D2315" s="3" t="s">
        <v>681</v>
      </c>
      <c r="E2315" s="6" t="s">
        <v>138</v>
      </c>
      <c r="F2315" s="6" t="s">
        <v>619</v>
      </c>
      <c r="G2315" s="6" t="s">
        <v>708</v>
      </c>
      <c r="H2315" s="23">
        <v>468000</v>
      </c>
      <c r="I2315">
        <v>0</v>
      </c>
      <c r="J2315">
        <v>0</v>
      </c>
      <c r="K2315" s="20">
        <f t="shared" si="280"/>
        <v>0</v>
      </c>
      <c r="L2315">
        <v>1</v>
      </c>
      <c r="M2315">
        <v>40</v>
      </c>
      <c r="N2315" s="21">
        <f t="shared" si="281"/>
        <v>18720000</v>
      </c>
      <c r="O2315">
        <v>0</v>
      </c>
      <c r="P2315">
        <v>0</v>
      </c>
      <c r="Q2315" s="21">
        <f t="shared" si="275"/>
        <v>0</v>
      </c>
      <c r="R2315">
        <v>0</v>
      </c>
      <c r="S2315">
        <v>0</v>
      </c>
      <c r="T2315" s="21">
        <f t="shared" si="276"/>
        <v>0</v>
      </c>
      <c r="U2315">
        <v>0</v>
      </c>
      <c r="V2315">
        <v>0</v>
      </c>
      <c r="W2315" s="21">
        <f t="shared" si="277"/>
        <v>0</v>
      </c>
      <c r="X2315">
        <v>0</v>
      </c>
      <c r="Y2315">
        <v>0</v>
      </c>
      <c r="Z2315" s="21">
        <f t="shared" si="278"/>
        <v>0</v>
      </c>
      <c r="AA2315">
        <v>0</v>
      </c>
      <c r="AB2315">
        <v>0</v>
      </c>
      <c r="AC2315" s="21">
        <f t="shared" si="279"/>
        <v>0</v>
      </c>
      <c r="AD2315">
        <v>0</v>
      </c>
      <c r="AE2315">
        <v>0</v>
      </c>
      <c r="AF2315" s="21">
        <f t="shared" si="282"/>
        <v>0</v>
      </c>
    </row>
    <row r="2316" spans="1:32" ht="15" customHeight="1" x14ac:dyDescent="0.3">
      <c r="A2316">
        <v>4</v>
      </c>
      <c r="B2316" s="2" t="s">
        <v>697</v>
      </c>
      <c r="C2316" s="4" t="s">
        <v>695</v>
      </c>
      <c r="D2316" s="3" t="s">
        <v>681</v>
      </c>
      <c r="E2316" s="6" t="s">
        <v>138</v>
      </c>
      <c r="F2316" s="6" t="s">
        <v>618</v>
      </c>
      <c r="G2316" s="6" t="s">
        <v>716</v>
      </c>
      <c r="H2316" s="23">
        <v>39000</v>
      </c>
      <c r="I2316">
        <v>0</v>
      </c>
      <c r="J2316">
        <v>0</v>
      </c>
      <c r="K2316" s="20">
        <f t="shared" si="280"/>
        <v>0</v>
      </c>
      <c r="L2316">
        <v>20</v>
      </c>
      <c r="M2316">
        <v>25</v>
      </c>
      <c r="N2316" s="21">
        <f t="shared" si="281"/>
        <v>19500000</v>
      </c>
      <c r="O2316">
        <v>0</v>
      </c>
      <c r="P2316">
        <v>0</v>
      </c>
      <c r="Q2316" s="21">
        <f t="shared" si="275"/>
        <v>0</v>
      </c>
      <c r="R2316">
        <v>0</v>
      </c>
      <c r="S2316">
        <v>0</v>
      </c>
      <c r="T2316" s="21">
        <f t="shared" si="276"/>
        <v>0</v>
      </c>
      <c r="U2316">
        <v>0</v>
      </c>
      <c r="V2316">
        <v>0</v>
      </c>
      <c r="W2316" s="21">
        <f t="shared" si="277"/>
        <v>0</v>
      </c>
      <c r="X2316">
        <v>0</v>
      </c>
      <c r="Y2316">
        <v>0</v>
      </c>
      <c r="Z2316" s="21">
        <f t="shared" si="278"/>
        <v>0</v>
      </c>
      <c r="AA2316">
        <v>0</v>
      </c>
      <c r="AB2316">
        <v>0</v>
      </c>
      <c r="AC2316" s="21">
        <f t="shared" si="279"/>
        <v>0</v>
      </c>
      <c r="AD2316">
        <v>0</v>
      </c>
      <c r="AE2316">
        <v>0</v>
      </c>
      <c r="AF2316" s="21">
        <f t="shared" si="282"/>
        <v>0</v>
      </c>
    </row>
    <row r="2317" spans="1:32" ht="15" customHeight="1" x14ac:dyDescent="0.3">
      <c r="A2317">
        <v>4</v>
      </c>
      <c r="B2317" s="2" t="s">
        <v>697</v>
      </c>
      <c r="C2317" s="4" t="s">
        <v>695</v>
      </c>
      <c r="D2317" s="3" t="s">
        <v>681</v>
      </c>
      <c r="E2317" s="6" t="s">
        <v>138</v>
      </c>
      <c r="F2317" s="6" t="s">
        <v>618</v>
      </c>
      <c r="G2317" s="6" t="s">
        <v>709</v>
      </c>
      <c r="H2317" s="23">
        <v>28000</v>
      </c>
      <c r="I2317">
        <v>0</v>
      </c>
      <c r="J2317">
        <v>0</v>
      </c>
      <c r="K2317" s="20">
        <f t="shared" si="280"/>
        <v>0</v>
      </c>
      <c r="L2317">
        <v>20</v>
      </c>
      <c r="M2317">
        <v>25</v>
      </c>
      <c r="N2317" s="21">
        <f t="shared" si="281"/>
        <v>14000000</v>
      </c>
      <c r="O2317">
        <v>0</v>
      </c>
      <c r="P2317">
        <v>0</v>
      </c>
      <c r="Q2317" s="21">
        <f t="shared" si="275"/>
        <v>0</v>
      </c>
      <c r="R2317">
        <v>0</v>
      </c>
      <c r="S2317">
        <v>0</v>
      </c>
      <c r="T2317" s="21">
        <f t="shared" si="276"/>
        <v>0</v>
      </c>
      <c r="U2317">
        <v>0</v>
      </c>
      <c r="V2317">
        <v>0</v>
      </c>
      <c r="W2317" s="21">
        <f t="shared" si="277"/>
        <v>0</v>
      </c>
      <c r="X2317">
        <v>0</v>
      </c>
      <c r="Y2317">
        <v>0</v>
      </c>
      <c r="Z2317" s="21">
        <f t="shared" si="278"/>
        <v>0</v>
      </c>
      <c r="AA2317">
        <v>0</v>
      </c>
      <c r="AB2317">
        <v>0</v>
      </c>
      <c r="AC2317" s="21">
        <f t="shared" si="279"/>
        <v>0</v>
      </c>
      <c r="AD2317">
        <v>0</v>
      </c>
      <c r="AE2317">
        <v>0</v>
      </c>
      <c r="AF2317" s="21">
        <f t="shared" si="282"/>
        <v>0</v>
      </c>
    </row>
    <row r="2318" spans="1:32" ht="15" customHeight="1" x14ac:dyDescent="0.3">
      <c r="A2318">
        <v>4</v>
      </c>
      <c r="B2318" s="2" t="s">
        <v>697</v>
      </c>
      <c r="C2318" s="4" t="s">
        <v>695</v>
      </c>
      <c r="D2318" s="3" t="s">
        <v>681</v>
      </c>
      <c r="E2318" s="6" t="s">
        <v>138</v>
      </c>
      <c r="F2318" s="6" t="s">
        <v>618</v>
      </c>
      <c r="G2318" s="6" t="s">
        <v>712</v>
      </c>
      <c r="H2318" s="23">
        <v>214.29</v>
      </c>
      <c r="I2318">
        <v>0</v>
      </c>
      <c r="J2318">
        <v>0</v>
      </c>
      <c r="K2318" s="20">
        <f t="shared" si="280"/>
        <v>0</v>
      </c>
      <c r="L2318">
        <v>4000</v>
      </c>
      <c r="M2318">
        <v>5</v>
      </c>
      <c r="N2318" s="21">
        <f t="shared" si="281"/>
        <v>4285800</v>
      </c>
      <c r="O2318">
        <v>0</v>
      </c>
      <c r="P2318">
        <v>0</v>
      </c>
      <c r="Q2318" s="21">
        <f t="shared" si="275"/>
        <v>0</v>
      </c>
      <c r="R2318">
        <v>0</v>
      </c>
      <c r="S2318">
        <v>0</v>
      </c>
      <c r="T2318" s="21">
        <f t="shared" si="276"/>
        <v>0</v>
      </c>
      <c r="U2318">
        <v>0</v>
      </c>
      <c r="V2318">
        <v>0</v>
      </c>
      <c r="W2318" s="21">
        <f t="shared" si="277"/>
        <v>0</v>
      </c>
      <c r="X2318">
        <v>0</v>
      </c>
      <c r="Y2318">
        <v>0</v>
      </c>
      <c r="Z2318" s="21">
        <f t="shared" si="278"/>
        <v>0</v>
      </c>
      <c r="AA2318">
        <v>0</v>
      </c>
      <c r="AB2318">
        <v>0</v>
      </c>
      <c r="AC2318" s="21">
        <f t="shared" si="279"/>
        <v>0</v>
      </c>
      <c r="AD2318">
        <v>0</v>
      </c>
      <c r="AE2318">
        <v>0</v>
      </c>
      <c r="AF2318" s="21">
        <f t="shared" si="282"/>
        <v>0</v>
      </c>
    </row>
    <row r="2319" spans="1:32" ht="15" customHeight="1" x14ac:dyDescent="0.3">
      <c r="A2319">
        <v>4</v>
      </c>
      <c r="B2319" s="2" t="s">
        <v>697</v>
      </c>
      <c r="C2319" s="4" t="s">
        <v>695</v>
      </c>
      <c r="D2319" s="3" t="s">
        <v>681</v>
      </c>
      <c r="E2319" s="6" t="s">
        <v>138</v>
      </c>
      <c r="F2319" s="6" t="s">
        <v>265</v>
      </c>
      <c r="G2319" s="6" t="s">
        <v>709</v>
      </c>
      <c r="H2319" s="23">
        <v>28000</v>
      </c>
      <c r="I2319">
        <v>0</v>
      </c>
      <c r="J2319">
        <v>0</v>
      </c>
      <c r="K2319" s="20">
        <f t="shared" si="280"/>
        <v>0</v>
      </c>
      <c r="L2319">
        <v>40</v>
      </c>
      <c r="M2319">
        <v>1</v>
      </c>
      <c r="N2319" s="21">
        <f t="shared" si="281"/>
        <v>1120000</v>
      </c>
      <c r="O2319">
        <v>0</v>
      </c>
      <c r="P2319">
        <v>0</v>
      </c>
      <c r="Q2319" s="21">
        <f t="shared" si="275"/>
        <v>0</v>
      </c>
      <c r="R2319">
        <v>0</v>
      </c>
      <c r="S2319">
        <v>0</v>
      </c>
      <c r="T2319" s="21">
        <f t="shared" si="276"/>
        <v>0</v>
      </c>
      <c r="U2319">
        <v>0</v>
      </c>
      <c r="V2319">
        <v>0</v>
      </c>
      <c r="W2319" s="21">
        <f t="shared" si="277"/>
        <v>0</v>
      </c>
      <c r="X2319">
        <v>0</v>
      </c>
      <c r="Y2319">
        <v>0</v>
      </c>
      <c r="Z2319" s="21">
        <f t="shared" si="278"/>
        <v>0</v>
      </c>
      <c r="AA2319">
        <v>0</v>
      </c>
      <c r="AB2319">
        <v>0</v>
      </c>
      <c r="AC2319" s="21">
        <f t="shared" si="279"/>
        <v>0</v>
      </c>
      <c r="AD2319">
        <v>0</v>
      </c>
      <c r="AE2319">
        <v>0</v>
      </c>
      <c r="AF2319" s="21">
        <f t="shared" si="282"/>
        <v>0</v>
      </c>
    </row>
    <row r="2320" spans="1:32" ht="15" customHeight="1" x14ac:dyDescent="0.3">
      <c r="A2320">
        <v>4</v>
      </c>
      <c r="B2320" s="2" t="s">
        <v>697</v>
      </c>
      <c r="C2320" s="4" t="s">
        <v>695</v>
      </c>
      <c r="D2320" s="3" t="s">
        <v>681</v>
      </c>
      <c r="E2320" s="6" t="s">
        <v>138</v>
      </c>
      <c r="F2320" s="6" t="s">
        <v>562</v>
      </c>
      <c r="G2320" s="6" t="s">
        <v>718</v>
      </c>
      <c r="H2320" s="23">
        <v>0</v>
      </c>
      <c r="I2320">
        <v>0</v>
      </c>
      <c r="J2320">
        <v>0</v>
      </c>
      <c r="K2320" s="20">
        <f t="shared" si="280"/>
        <v>0</v>
      </c>
      <c r="L2320">
        <v>0</v>
      </c>
      <c r="M2320">
        <v>0</v>
      </c>
      <c r="N2320" s="21">
        <f t="shared" si="281"/>
        <v>0</v>
      </c>
      <c r="O2320">
        <v>0</v>
      </c>
      <c r="P2320">
        <v>0</v>
      </c>
      <c r="Q2320" s="21">
        <f t="shared" si="275"/>
        <v>0</v>
      </c>
      <c r="R2320">
        <v>0</v>
      </c>
      <c r="S2320">
        <v>0</v>
      </c>
      <c r="T2320" s="21">
        <f t="shared" si="276"/>
        <v>0</v>
      </c>
      <c r="U2320">
        <v>0</v>
      </c>
      <c r="V2320">
        <v>0</v>
      </c>
      <c r="W2320" s="21">
        <f t="shared" si="277"/>
        <v>0</v>
      </c>
      <c r="X2320">
        <v>0</v>
      </c>
      <c r="Y2320">
        <v>0</v>
      </c>
      <c r="Z2320" s="21">
        <f t="shared" si="278"/>
        <v>0</v>
      </c>
      <c r="AA2320">
        <v>0</v>
      </c>
      <c r="AB2320">
        <v>0</v>
      </c>
      <c r="AC2320" s="21">
        <f t="shared" si="279"/>
        <v>0</v>
      </c>
      <c r="AD2320">
        <v>0</v>
      </c>
      <c r="AE2320">
        <v>0</v>
      </c>
      <c r="AF2320" s="21">
        <f t="shared" si="282"/>
        <v>0</v>
      </c>
    </row>
    <row r="2321" spans="1:32" ht="15" customHeight="1" x14ac:dyDescent="0.3">
      <c r="A2321">
        <v>4</v>
      </c>
      <c r="B2321" s="2" t="s">
        <v>697</v>
      </c>
      <c r="C2321" s="4" t="s">
        <v>695</v>
      </c>
      <c r="D2321" s="3" t="s">
        <v>681</v>
      </c>
      <c r="E2321" s="6" t="s">
        <v>138</v>
      </c>
      <c r="F2321" s="6" t="s">
        <v>156</v>
      </c>
      <c r="G2321" s="6" t="s">
        <v>709</v>
      </c>
      <c r="H2321" s="23">
        <v>28000</v>
      </c>
      <c r="I2321">
        <v>0</v>
      </c>
      <c r="J2321">
        <v>0</v>
      </c>
      <c r="K2321" s="20">
        <f t="shared" si="280"/>
        <v>0</v>
      </c>
      <c r="L2321">
        <v>100</v>
      </c>
      <c r="M2321">
        <v>1</v>
      </c>
      <c r="N2321" s="21">
        <f t="shared" si="281"/>
        <v>2800000</v>
      </c>
      <c r="O2321">
        <v>0</v>
      </c>
      <c r="P2321">
        <v>0</v>
      </c>
      <c r="Q2321" s="21">
        <f t="shared" si="275"/>
        <v>0</v>
      </c>
      <c r="R2321">
        <v>0</v>
      </c>
      <c r="S2321">
        <v>0</v>
      </c>
      <c r="T2321" s="21">
        <f t="shared" si="276"/>
        <v>0</v>
      </c>
      <c r="U2321">
        <v>0</v>
      </c>
      <c r="V2321">
        <v>0</v>
      </c>
      <c r="W2321" s="21">
        <f t="shared" si="277"/>
        <v>0</v>
      </c>
      <c r="X2321">
        <v>0</v>
      </c>
      <c r="Y2321">
        <v>0</v>
      </c>
      <c r="Z2321" s="21">
        <f t="shared" si="278"/>
        <v>0</v>
      </c>
      <c r="AA2321">
        <v>0</v>
      </c>
      <c r="AB2321">
        <v>0</v>
      </c>
      <c r="AC2321" s="21">
        <f t="shared" si="279"/>
        <v>0</v>
      </c>
      <c r="AD2321">
        <v>0</v>
      </c>
      <c r="AE2321">
        <v>0</v>
      </c>
      <c r="AF2321" s="21">
        <f t="shared" si="282"/>
        <v>0</v>
      </c>
    </row>
    <row r="2322" spans="1:32" ht="15" customHeight="1" x14ac:dyDescent="0.3">
      <c r="A2322">
        <v>4</v>
      </c>
      <c r="B2322" s="2" t="s">
        <v>697</v>
      </c>
      <c r="C2322" s="4" t="s">
        <v>695</v>
      </c>
      <c r="D2322" s="3" t="s">
        <v>681</v>
      </c>
      <c r="E2322" s="6" t="s">
        <v>138</v>
      </c>
      <c r="F2322" s="6" t="s">
        <v>156</v>
      </c>
      <c r="G2322" s="6" t="s">
        <v>711</v>
      </c>
      <c r="H2322" s="23">
        <v>70</v>
      </c>
      <c r="I2322">
        <v>0</v>
      </c>
      <c r="J2322">
        <v>0</v>
      </c>
      <c r="K2322" s="20">
        <f t="shared" si="280"/>
        <v>0</v>
      </c>
      <c r="L2322">
        <v>50000</v>
      </c>
      <c r="M2322">
        <v>1</v>
      </c>
      <c r="N2322" s="21">
        <f t="shared" si="281"/>
        <v>3500000</v>
      </c>
      <c r="O2322">
        <v>0</v>
      </c>
      <c r="P2322">
        <v>0</v>
      </c>
      <c r="Q2322" s="21">
        <f t="shared" si="275"/>
        <v>0</v>
      </c>
      <c r="R2322">
        <v>0</v>
      </c>
      <c r="S2322">
        <v>0</v>
      </c>
      <c r="T2322" s="21">
        <f t="shared" si="276"/>
        <v>0</v>
      </c>
      <c r="U2322">
        <v>0</v>
      </c>
      <c r="V2322">
        <v>0</v>
      </c>
      <c r="W2322" s="21">
        <f t="shared" si="277"/>
        <v>0</v>
      </c>
      <c r="X2322">
        <v>0</v>
      </c>
      <c r="Y2322">
        <v>0</v>
      </c>
      <c r="Z2322" s="21">
        <f t="shared" si="278"/>
        <v>0</v>
      </c>
      <c r="AA2322">
        <v>0</v>
      </c>
      <c r="AB2322">
        <v>0</v>
      </c>
      <c r="AC2322" s="21">
        <f t="shared" si="279"/>
        <v>0</v>
      </c>
      <c r="AD2322">
        <v>0</v>
      </c>
      <c r="AE2322">
        <v>0</v>
      </c>
      <c r="AF2322" s="21">
        <f t="shared" si="282"/>
        <v>0</v>
      </c>
    </row>
    <row r="2323" spans="1:32" ht="15" customHeight="1" x14ac:dyDescent="0.3">
      <c r="A2323">
        <v>4</v>
      </c>
      <c r="B2323" s="2" t="s">
        <v>697</v>
      </c>
      <c r="C2323" s="4" t="s">
        <v>695</v>
      </c>
      <c r="D2323" s="3" t="s">
        <v>681</v>
      </c>
      <c r="E2323" s="6" t="s">
        <v>138</v>
      </c>
      <c r="F2323" s="6" t="s">
        <v>156</v>
      </c>
      <c r="G2323" s="6" t="s">
        <v>717</v>
      </c>
      <c r="H2323" s="23">
        <v>104850</v>
      </c>
      <c r="I2323">
        <v>0</v>
      </c>
      <c r="J2323">
        <v>0</v>
      </c>
      <c r="K2323" s="20">
        <f t="shared" si="280"/>
        <v>0</v>
      </c>
      <c r="L2323">
        <v>15</v>
      </c>
      <c r="M2323">
        <v>1</v>
      </c>
      <c r="N2323" s="21">
        <f t="shared" si="281"/>
        <v>1572750</v>
      </c>
      <c r="O2323">
        <v>0</v>
      </c>
      <c r="P2323">
        <v>0</v>
      </c>
      <c r="Q2323" s="21">
        <f t="shared" si="275"/>
        <v>0</v>
      </c>
      <c r="R2323">
        <v>0</v>
      </c>
      <c r="S2323">
        <v>0</v>
      </c>
      <c r="T2323" s="21">
        <f t="shared" si="276"/>
        <v>0</v>
      </c>
      <c r="U2323">
        <v>0</v>
      </c>
      <c r="V2323">
        <v>0</v>
      </c>
      <c r="W2323" s="21">
        <f t="shared" si="277"/>
        <v>0</v>
      </c>
      <c r="X2323">
        <v>0</v>
      </c>
      <c r="Y2323">
        <v>0</v>
      </c>
      <c r="Z2323" s="21">
        <f t="shared" si="278"/>
        <v>0</v>
      </c>
      <c r="AA2323">
        <v>0</v>
      </c>
      <c r="AB2323">
        <v>0</v>
      </c>
      <c r="AC2323" s="21">
        <f t="shared" si="279"/>
        <v>0</v>
      </c>
      <c r="AD2323">
        <v>0</v>
      </c>
      <c r="AE2323">
        <v>0</v>
      </c>
      <c r="AF2323" s="21">
        <f t="shared" si="282"/>
        <v>0</v>
      </c>
    </row>
    <row r="2324" spans="1:32" ht="15" customHeight="1" x14ac:dyDescent="0.3">
      <c r="A2324">
        <v>4</v>
      </c>
      <c r="B2324" s="2" t="s">
        <v>697</v>
      </c>
      <c r="C2324" s="4" t="s">
        <v>695</v>
      </c>
      <c r="D2324" s="3" t="s">
        <v>682</v>
      </c>
      <c r="E2324" s="6" t="s">
        <v>139</v>
      </c>
      <c r="F2324" s="6" t="s">
        <v>158</v>
      </c>
      <c r="G2324" s="6" t="s">
        <v>718</v>
      </c>
      <c r="H2324" s="23">
        <v>0</v>
      </c>
      <c r="I2324">
        <v>0</v>
      </c>
      <c r="J2324">
        <v>0</v>
      </c>
      <c r="K2324" s="20">
        <f t="shared" si="280"/>
        <v>0</v>
      </c>
      <c r="L2324">
        <v>0</v>
      </c>
      <c r="M2324">
        <v>0</v>
      </c>
      <c r="N2324" s="21">
        <f t="shared" si="281"/>
        <v>0</v>
      </c>
      <c r="O2324">
        <v>0</v>
      </c>
      <c r="P2324">
        <v>0</v>
      </c>
      <c r="Q2324" s="21">
        <f t="shared" si="275"/>
        <v>0</v>
      </c>
      <c r="R2324">
        <v>0</v>
      </c>
      <c r="S2324">
        <v>0</v>
      </c>
      <c r="T2324" s="21">
        <f t="shared" si="276"/>
        <v>0</v>
      </c>
      <c r="U2324">
        <v>0</v>
      </c>
      <c r="V2324">
        <v>0</v>
      </c>
      <c r="W2324" s="21">
        <f t="shared" si="277"/>
        <v>0</v>
      </c>
      <c r="X2324">
        <v>0</v>
      </c>
      <c r="Y2324">
        <v>0</v>
      </c>
      <c r="Z2324" s="21">
        <f t="shared" si="278"/>
        <v>0</v>
      </c>
      <c r="AA2324">
        <v>0</v>
      </c>
      <c r="AB2324">
        <v>0</v>
      </c>
      <c r="AC2324" s="21">
        <f t="shared" si="279"/>
        <v>0</v>
      </c>
      <c r="AD2324">
        <v>0</v>
      </c>
      <c r="AE2324">
        <v>0</v>
      </c>
      <c r="AF2324" s="21">
        <f t="shared" si="282"/>
        <v>0</v>
      </c>
    </row>
    <row r="2325" spans="1:32" ht="15" customHeight="1" x14ac:dyDescent="0.3">
      <c r="A2325">
        <v>4</v>
      </c>
      <c r="B2325" s="2" t="s">
        <v>697</v>
      </c>
      <c r="C2325" s="4" t="s">
        <v>695</v>
      </c>
      <c r="D2325" s="3" t="s">
        <v>682</v>
      </c>
      <c r="E2325" s="6" t="s">
        <v>139</v>
      </c>
      <c r="F2325" s="6" t="s">
        <v>620</v>
      </c>
      <c r="G2325" s="6" t="s">
        <v>709</v>
      </c>
      <c r="H2325" s="23">
        <v>28000</v>
      </c>
      <c r="I2325">
        <v>50</v>
      </c>
      <c r="J2325">
        <v>15</v>
      </c>
      <c r="K2325" s="20">
        <f t="shared" si="280"/>
        <v>21000000</v>
      </c>
      <c r="L2325">
        <v>0</v>
      </c>
      <c r="M2325">
        <v>0</v>
      </c>
      <c r="N2325" s="21">
        <f t="shared" si="281"/>
        <v>0</v>
      </c>
      <c r="O2325">
        <v>0</v>
      </c>
      <c r="P2325">
        <v>0</v>
      </c>
      <c r="Q2325" s="21">
        <f t="shared" si="275"/>
        <v>0</v>
      </c>
      <c r="R2325">
        <v>0</v>
      </c>
      <c r="S2325">
        <v>0</v>
      </c>
      <c r="T2325" s="21">
        <f t="shared" si="276"/>
        <v>0</v>
      </c>
      <c r="U2325">
        <v>0</v>
      </c>
      <c r="V2325">
        <v>0</v>
      </c>
      <c r="W2325" s="21">
        <f t="shared" si="277"/>
        <v>0</v>
      </c>
      <c r="X2325">
        <v>0</v>
      </c>
      <c r="Y2325">
        <v>0</v>
      </c>
      <c r="Z2325" s="21">
        <f t="shared" si="278"/>
        <v>0</v>
      </c>
      <c r="AA2325">
        <v>0</v>
      </c>
      <c r="AB2325">
        <v>0</v>
      </c>
      <c r="AC2325" s="21">
        <f t="shared" si="279"/>
        <v>0</v>
      </c>
      <c r="AD2325">
        <v>0</v>
      </c>
      <c r="AE2325">
        <v>0</v>
      </c>
      <c r="AF2325" s="21">
        <f t="shared" si="282"/>
        <v>0</v>
      </c>
    </row>
    <row r="2326" spans="1:32" ht="15" customHeight="1" x14ac:dyDescent="0.3">
      <c r="A2326">
        <v>4</v>
      </c>
      <c r="B2326" s="2" t="s">
        <v>697</v>
      </c>
      <c r="C2326" s="4" t="s">
        <v>695</v>
      </c>
      <c r="D2326" s="3" t="s">
        <v>682</v>
      </c>
      <c r="E2326" s="6" t="s">
        <v>139</v>
      </c>
      <c r="F2326" s="6" t="s">
        <v>620</v>
      </c>
      <c r="G2326" s="6" t="s">
        <v>716</v>
      </c>
      <c r="H2326" s="23">
        <v>39000</v>
      </c>
      <c r="I2326">
        <v>50</v>
      </c>
      <c r="J2326">
        <v>15</v>
      </c>
      <c r="K2326" s="20">
        <f t="shared" si="280"/>
        <v>29250000</v>
      </c>
      <c r="L2326">
        <v>0</v>
      </c>
      <c r="M2326">
        <v>0</v>
      </c>
      <c r="N2326" s="21">
        <f t="shared" si="281"/>
        <v>0</v>
      </c>
      <c r="O2326">
        <v>0</v>
      </c>
      <c r="P2326">
        <v>0</v>
      </c>
      <c r="Q2326" s="21">
        <f t="shared" si="275"/>
        <v>0</v>
      </c>
      <c r="R2326">
        <v>0</v>
      </c>
      <c r="S2326">
        <v>0</v>
      </c>
      <c r="T2326" s="21">
        <f t="shared" si="276"/>
        <v>0</v>
      </c>
      <c r="U2326">
        <v>0</v>
      </c>
      <c r="V2326">
        <v>0</v>
      </c>
      <c r="W2326" s="21">
        <f t="shared" si="277"/>
        <v>0</v>
      </c>
      <c r="X2326">
        <v>0</v>
      </c>
      <c r="Y2326">
        <v>0</v>
      </c>
      <c r="Z2326" s="21">
        <f t="shared" si="278"/>
        <v>0</v>
      </c>
      <c r="AA2326">
        <v>0</v>
      </c>
      <c r="AB2326">
        <v>0</v>
      </c>
      <c r="AC2326" s="21">
        <f t="shared" si="279"/>
        <v>0</v>
      </c>
      <c r="AD2326">
        <v>0</v>
      </c>
      <c r="AE2326">
        <v>0</v>
      </c>
      <c r="AF2326" s="21">
        <f t="shared" si="282"/>
        <v>0</v>
      </c>
    </row>
    <row r="2327" spans="1:32" ht="15" customHeight="1" x14ac:dyDescent="0.3">
      <c r="A2327">
        <v>4</v>
      </c>
      <c r="B2327" s="2" t="s">
        <v>697</v>
      </c>
      <c r="C2327" s="4" t="s">
        <v>695</v>
      </c>
      <c r="D2327" s="3" t="s">
        <v>682</v>
      </c>
      <c r="E2327" s="6" t="s">
        <v>139</v>
      </c>
      <c r="F2327" s="6" t="s">
        <v>620</v>
      </c>
      <c r="G2327" s="6" t="s">
        <v>712</v>
      </c>
      <c r="H2327" s="23">
        <v>214.29</v>
      </c>
      <c r="I2327">
        <v>8000</v>
      </c>
      <c r="J2327">
        <v>3</v>
      </c>
      <c r="K2327" s="20">
        <f t="shared" si="280"/>
        <v>5142960</v>
      </c>
      <c r="L2327">
        <v>0</v>
      </c>
      <c r="M2327">
        <v>0</v>
      </c>
      <c r="N2327" s="21">
        <f t="shared" si="281"/>
        <v>0</v>
      </c>
      <c r="O2327">
        <v>0</v>
      </c>
      <c r="P2327">
        <v>0</v>
      </c>
      <c r="Q2327" s="21">
        <f t="shared" si="275"/>
        <v>0</v>
      </c>
      <c r="R2327">
        <v>0</v>
      </c>
      <c r="S2327">
        <v>0</v>
      </c>
      <c r="T2327" s="21">
        <f t="shared" si="276"/>
        <v>0</v>
      </c>
      <c r="U2327">
        <v>0</v>
      </c>
      <c r="V2327">
        <v>0</v>
      </c>
      <c r="W2327" s="21">
        <f t="shared" si="277"/>
        <v>0</v>
      </c>
      <c r="X2327">
        <v>0</v>
      </c>
      <c r="Y2327">
        <v>0</v>
      </c>
      <c r="Z2327" s="21">
        <f t="shared" si="278"/>
        <v>0</v>
      </c>
      <c r="AA2327">
        <v>0</v>
      </c>
      <c r="AB2327">
        <v>0</v>
      </c>
      <c r="AC2327" s="21">
        <f t="shared" si="279"/>
        <v>0</v>
      </c>
      <c r="AD2327">
        <v>0</v>
      </c>
      <c r="AE2327">
        <v>0</v>
      </c>
      <c r="AF2327" s="21">
        <f t="shared" si="282"/>
        <v>0</v>
      </c>
    </row>
    <row r="2328" spans="1:32" ht="15" customHeight="1" x14ac:dyDescent="0.3">
      <c r="A2328">
        <v>4</v>
      </c>
      <c r="B2328" s="2" t="s">
        <v>697</v>
      </c>
      <c r="C2328" s="4" t="s">
        <v>695</v>
      </c>
      <c r="D2328" s="3" t="s">
        <v>682</v>
      </c>
      <c r="E2328" s="6" t="s">
        <v>139</v>
      </c>
      <c r="F2328" s="6" t="s">
        <v>166</v>
      </c>
      <c r="G2328" s="6" t="s">
        <v>709</v>
      </c>
      <c r="H2328" s="23">
        <v>28000</v>
      </c>
      <c r="I2328">
        <v>40</v>
      </c>
      <c r="J2328">
        <v>1</v>
      </c>
      <c r="K2328" s="20">
        <f t="shared" si="280"/>
        <v>1120000</v>
      </c>
      <c r="L2328">
        <v>0</v>
      </c>
      <c r="M2328">
        <v>0</v>
      </c>
      <c r="N2328" s="21">
        <f t="shared" si="281"/>
        <v>0</v>
      </c>
      <c r="O2328">
        <v>0</v>
      </c>
      <c r="P2328">
        <v>0</v>
      </c>
      <c r="Q2328" s="21">
        <f t="shared" si="275"/>
        <v>0</v>
      </c>
      <c r="R2328">
        <v>0</v>
      </c>
      <c r="S2328">
        <v>0</v>
      </c>
      <c r="T2328" s="21">
        <f t="shared" si="276"/>
        <v>0</v>
      </c>
      <c r="U2328">
        <v>0</v>
      </c>
      <c r="V2328">
        <v>0</v>
      </c>
      <c r="W2328" s="21">
        <f t="shared" si="277"/>
        <v>0</v>
      </c>
      <c r="X2328">
        <v>0</v>
      </c>
      <c r="Y2328">
        <v>0</v>
      </c>
      <c r="Z2328" s="21">
        <f t="shared" si="278"/>
        <v>0</v>
      </c>
      <c r="AA2328">
        <v>0</v>
      </c>
      <c r="AB2328">
        <v>0</v>
      </c>
      <c r="AC2328" s="21">
        <f t="shared" si="279"/>
        <v>0</v>
      </c>
      <c r="AD2328">
        <v>0</v>
      </c>
      <c r="AE2328">
        <v>0</v>
      </c>
      <c r="AF2328" s="21">
        <f t="shared" si="282"/>
        <v>0</v>
      </c>
    </row>
    <row r="2329" spans="1:32" ht="15" customHeight="1" x14ac:dyDescent="0.3">
      <c r="A2329">
        <v>4</v>
      </c>
      <c r="B2329" s="2" t="s">
        <v>697</v>
      </c>
      <c r="C2329" s="4" t="s">
        <v>695</v>
      </c>
      <c r="D2329" s="3" t="s">
        <v>682</v>
      </c>
      <c r="E2329" s="6" t="s">
        <v>139</v>
      </c>
      <c r="F2329" s="6" t="s">
        <v>296</v>
      </c>
      <c r="G2329" s="6" t="s">
        <v>718</v>
      </c>
      <c r="H2329" s="23">
        <v>0</v>
      </c>
      <c r="I2329">
        <v>0</v>
      </c>
      <c r="J2329">
        <v>0</v>
      </c>
      <c r="K2329" s="20">
        <f t="shared" si="280"/>
        <v>0</v>
      </c>
      <c r="L2329">
        <v>0</v>
      </c>
      <c r="M2329">
        <v>0</v>
      </c>
      <c r="N2329" s="21">
        <f t="shared" si="281"/>
        <v>0</v>
      </c>
      <c r="O2329">
        <v>0</v>
      </c>
      <c r="P2329">
        <v>0</v>
      </c>
      <c r="Q2329" s="21">
        <f t="shared" si="275"/>
        <v>0</v>
      </c>
      <c r="R2329">
        <v>0</v>
      </c>
      <c r="S2329">
        <v>0</v>
      </c>
      <c r="T2329" s="21">
        <f t="shared" si="276"/>
        <v>0</v>
      </c>
      <c r="U2329">
        <v>0</v>
      </c>
      <c r="V2329">
        <v>0</v>
      </c>
      <c r="W2329" s="21">
        <f t="shared" si="277"/>
        <v>0</v>
      </c>
      <c r="X2329">
        <v>0</v>
      </c>
      <c r="Y2329">
        <v>0</v>
      </c>
      <c r="Z2329" s="21">
        <f t="shared" si="278"/>
        <v>0</v>
      </c>
      <c r="AA2329">
        <v>0</v>
      </c>
      <c r="AB2329">
        <v>0</v>
      </c>
      <c r="AC2329" s="21">
        <f t="shared" si="279"/>
        <v>0</v>
      </c>
      <c r="AD2329">
        <v>0</v>
      </c>
      <c r="AE2329">
        <v>0</v>
      </c>
      <c r="AF2329" s="21">
        <f t="shared" si="282"/>
        <v>0</v>
      </c>
    </row>
    <row r="2330" spans="1:32" ht="15" customHeight="1" x14ac:dyDescent="0.3">
      <c r="A2330">
        <v>4</v>
      </c>
      <c r="B2330" s="2" t="s">
        <v>697</v>
      </c>
      <c r="C2330" s="4" t="s">
        <v>695</v>
      </c>
      <c r="D2330" s="3" t="s">
        <v>682</v>
      </c>
      <c r="E2330" s="6" t="s">
        <v>139</v>
      </c>
      <c r="F2330" s="6" t="s">
        <v>156</v>
      </c>
      <c r="G2330" s="6" t="s">
        <v>709</v>
      </c>
      <c r="H2330" s="23">
        <v>28000</v>
      </c>
      <c r="I2330">
        <v>100</v>
      </c>
      <c r="J2330">
        <v>1</v>
      </c>
      <c r="K2330" s="20">
        <f t="shared" si="280"/>
        <v>2800000</v>
      </c>
      <c r="L2330">
        <v>0</v>
      </c>
      <c r="M2330">
        <v>0</v>
      </c>
      <c r="N2330" s="21">
        <f t="shared" si="281"/>
        <v>0</v>
      </c>
      <c r="O2330">
        <v>0</v>
      </c>
      <c r="P2330">
        <v>0</v>
      </c>
      <c r="Q2330" s="21">
        <f t="shared" si="275"/>
        <v>0</v>
      </c>
      <c r="R2330">
        <v>0</v>
      </c>
      <c r="S2330">
        <v>0</v>
      </c>
      <c r="T2330" s="21">
        <f t="shared" si="276"/>
        <v>0</v>
      </c>
      <c r="U2330">
        <v>0</v>
      </c>
      <c r="V2330">
        <v>0</v>
      </c>
      <c r="W2330" s="21">
        <f t="shared" si="277"/>
        <v>0</v>
      </c>
      <c r="X2330">
        <v>0</v>
      </c>
      <c r="Y2330">
        <v>0</v>
      </c>
      <c r="Z2330" s="21">
        <f t="shared" si="278"/>
        <v>0</v>
      </c>
      <c r="AA2330">
        <v>0</v>
      </c>
      <c r="AB2330">
        <v>0</v>
      </c>
      <c r="AC2330" s="21">
        <f t="shared" si="279"/>
        <v>0</v>
      </c>
      <c r="AD2330">
        <v>0</v>
      </c>
      <c r="AE2330">
        <v>0</v>
      </c>
      <c r="AF2330" s="21">
        <f t="shared" si="282"/>
        <v>0</v>
      </c>
    </row>
    <row r="2331" spans="1:32" ht="15" customHeight="1" x14ac:dyDescent="0.3">
      <c r="A2331">
        <v>4</v>
      </c>
      <c r="B2331" s="2" t="s">
        <v>697</v>
      </c>
      <c r="C2331" s="4" t="s">
        <v>695</v>
      </c>
      <c r="D2331" s="3" t="s">
        <v>682</v>
      </c>
      <c r="E2331" s="6" t="s">
        <v>139</v>
      </c>
      <c r="F2331" s="6" t="s">
        <v>156</v>
      </c>
      <c r="G2331" s="6" t="s">
        <v>711</v>
      </c>
      <c r="H2331" s="23">
        <v>70</v>
      </c>
      <c r="I2331">
        <v>50000</v>
      </c>
      <c r="J2331">
        <v>1</v>
      </c>
      <c r="K2331" s="20">
        <f t="shared" si="280"/>
        <v>3500000</v>
      </c>
      <c r="L2331">
        <v>0</v>
      </c>
      <c r="M2331">
        <v>0</v>
      </c>
      <c r="N2331" s="21">
        <f t="shared" si="281"/>
        <v>0</v>
      </c>
      <c r="O2331">
        <v>0</v>
      </c>
      <c r="P2331">
        <v>0</v>
      </c>
      <c r="Q2331" s="21">
        <f t="shared" si="275"/>
        <v>0</v>
      </c>
      <c r="R2331">
        <v>0</v>
      </c>
      <c r="S2331">
        <v>0</v>
      </c>
      <c r="T2331" s="21">
        <f t="shared" si="276"/>
        <v>0</v>
      </c>
      <c r="U2331">
        <v>0</v>
      </c>
      <c r="V2331">
        <v>0</v>
      </c>
      <c r="W2331" s="21">
        <f t="shared" si="277"/>
        <v>0</v>
      </c>
      <c r="X2331">
        <v>0</v>
      </c>
      <c r="Y2331">
        <v>0</v>
      </c>
      <c r="Z2331" s="21">
        <f t="shared" si="278"/>
        <v>0</v>
      </c>
      <c r="AA2331">
        <v>0</v>
      </c>
      <c r="AB2331">
        <v>0</v>
      </c>
      <c r="AC2331" s="21">
        <f t="shared" si="279"/>
        <v>0</v>
      </c>
      <c r="AD2331">
        <v>0</v>
      </c>
      <c r="AE2331">
        <v>0</v>
      </c>
      <c r="AF2331" s="21">
        <f t="shared" si="282"/>
        <v>0</v>
      </c>
    </row>
    <row r="2332" spans="1:32" ht="15" customHeight="1" x14ac:dyDescent="0.3">
      <c r="A2332">
        <v>4</v>
      </c>
      <c r="B2332" s="2" t="s">
        <v>697</v>
      </c>
      <c r="C2332" s="4" t="s">
        <v>695</v>
      </c>
      <c r="D2332" s="3" t="s">
        <v>682</v>
      </c>
      <c r="E2332" s="6" t="s">
        <v>139</v>
      </c>
      <c r="F2332" s="6" t="s">
        <v>156</v>
      </c>
      <c r="G2332" s="6" t="s">
        <v>717</v>
      </c>
      <c r="H2332" s="23">
        <v>104850</v>
      </c>
      <c r="I2332">
        <v>5</v>
      </c>
      <c r="J2332">
        <v>1</v>
      </c>
      <c r="K2332" s="20">
        <f t="shared" si="280"/>
        <v>524250</v>
      </c>
      <c r="L2332">
        <v>0</v>
      </c>
      <c r="M2332">
        <v>0</v>
      </c>
      <c r="N2332" s="21">
        <f t="shared" si="281"/>
        <v>0</v>
      </c>
      <c r="O2332">
        <v>0</v>
      </c>
      <c r="P2332">
        <v>0</v>
      </c>
      <c r="Q2332" s="21">
        <f t="shared" si="275"/>
        <v>0</v>
      </c>
      <c r="R2332">
        <v>0</v>
      </c>
      <c r="S2332">
        <v>0</v>
      </c>
      <c r="T2332" s="21">
        <f t="shared" si="276"/>
        <v>0</v>
      </c>
      <c r="U2332">
        <v>0</v>
      </c>
      <c r="V2332">
        <v>0</v>
      </c>
      <c r="W2332" s="21">
        <f t="shared" si="277"/>
        <v>0</v>
      </c>
      <c r="X2332">
        <v>0</v>
      </c>
      <c r="Y2332">
        <v>0</v>
      </c>
      <c r="Z2332" s="21">
        <f t="shared" si="278"/>
        <v>0</v>
      </c>
      <c r="AA2332">
        <v>0</v>
      </c>
      <c r="AB2332">
        <v>0</v>
      </c>
      <c r="AC2332" s="21">
        <f t="shared" si="279"/>
        <v>0</v>
      </c>
      <c r="AD2332">
        <v>0</v>
      </c>
      <c r="AE2332">
        <v>0</v>
      </c>
      <c r="AF2332" s="21">
        <f t="shared" si="282"/>
        <v>0</v>
      </c>
    </row>
    <row r="2333" spans="1:32" ht="15" customHeight="1" x14ac:dyDescent="0.3">
      <c r="A2333">
        <v>4</v>
      </c>
      <c r="B2333" s="2" t="s">
        <v>697</v>
      </c>
      <c r="C2333" s="4" t="s">
        <v>695</v>
      </c>
      <c r="D2333" s="3" t="s">
        <v>682</v>
      </c>
      <c r="E2333" s="6" t="s">
        <v>140</v>
      </c>
      <c r="F2333" s="6" t="s">
        <v>621</v>
      </c>
      <c r="G2333" s="6" t="s">
        <v>718</v>
      </c>
      <c r="H2333" s="23">
        <v>0</v>
      </c>
      <c r="I2333">
        <v>0</v>
      </c>
      <c r="J2333">
        <v>0</v>
      </c>
      <c r="K2333" s="20">
        <f t="shared" si="280"/>
        <v>0</v>
      </c>
      <c r="L2333">
        <v>0</v>
      </c>
      <c r="M2333">
        <v>0</v>
      </c>
      <c r="N2333" s="21">
        <f t="shared" si="281"/>
        <v>0</v>
      </c>
      <c r="O2333">
        <v>0</v>
      </c>
      <c r="P2333">
        <v>0</v>
      </c>
      <c r="Q2333" s="21">
        <f t="shared" si="275"/>
        <v>0</v>
      </c>
      <c r="R2333">
        <v>0</v>
      </c>
      <c r="S2333">
        <v>0</v>
      </c>
      <c r="T2333" s="21">
        <f t="shared" si="276"/>
        <v>0</v>
      </c>
      <c r="U2333">
        <v>0</v>
      </c>
      <c r="V2333">
        <v>0</v>
      </c>
      <c r="W2333" s="21">
        <f t="shared" si="277"/>
        <v>0</v>
      </c>
      <c r="X2333">
        <v>0</v>
      </c>
      <c r="Y2333">
        <v>0</v>
      </c>
      <c r="Z2333" s="21">
        <f t="shared" si="278"/>
        <v>0</v>
      </c>
      <c r="AA2333">
        <v>0</v>
      </c>
      <c r="AB2333">
        <v>0</v>
      </c>
      <c r="AC2333" s="21">
        <f t="shared" si="279"/>
        <v>0</v>
      </c>
      <c r="AD2333">
        <v>0</v>
      </c>
      <c r="AE2333">
        <v>0</v>
      </c>
      <c r="AF2333" s="21">
        <f t="shared" si="282"/>
        <v>0</v>
      </c>
    </row>
    <row r="2334" spans="1:32" ht="15" customHeight="1" x14ac:dyDescent="0.3">
      <c r="A2334">
        <v>4</v>
      </c>
      <c r="B2334" s="2" t="s">
        <v>697</v>
      </c>
      <c r="C2334" s="4" t="s">
        <v>695</v>
      </c>
      <c r="D2334" s="3" t="s">
        <v>683</v>
      </c>
      <c r="E2334" s="6" t="s">
        <v>141</v>
      </c>
      <c r="F2334" s="6" t="s">
        <v>155</v>
      </c>
      <c r="G2334" s="6" t="s">
        <v>718</v>
      </c>
      <c r="H2334" s="23">
        <v>0</v>
      </c>
      <c r="I2334">
        <v>0</v>
      </c>
      <c r="J2334">
        <v>0</v>
      </c>
      <c r="K2334" s="20">
        <f t="shared" si="280"/>
        <v>0</v>
      </c>
      <c r="L2334">
        <v>0</v>
      </c>
      <c r="M2334">
        <v>0</v>
      </c>
      <c r="N2334" s="21">
        <f t="shared" si="281"/>
        <v>0</v>
      </c>
      <c r="O2334">
        <v>0</v>
      </c>
      <c r="P2334">
        <v>0</v>
      </c>
      <c r="Q2334" s="21">
        <f t="shared" si="275"/>
        <v>0</v>
      </c>
      <c r="R2334">
        <v>0</v>
      </c>
      <c r="S2334">
        <v>0</v>
      </c>
      <c r="T2334" s="21">
        <f t="shared" si="276"/>
        <v>0</v>
      </c>
      <c r="U2334">
        <v>0</v>
      </c>
      <c r="V2334">
        <v>0</v>
      </c>
      <c r="W2334" s="21">
        <f t="shared" si="277"/>
        <v>0</v>
      </c>
      <c r="X2334">
        <v>0</v>
      </c>
      <c r="Y2334">
        <v>0</v>
      </c>
      <c r="Z2334" s="21">
        <f t="shared" si="278"/>
        <v>0</v>
      </c>
      <c r="AA2334">
        <v>0</v>
      </c>
      <c r="AB2334">
        <v>0</v>
      </c>
      <c r="AC2334" s="21">
        <f t="shared" si="279"/>
        <v>0</v>
      </c>
      <c r="AD2334">
        <v>0</v>
      </c>
      <c r="AE2334">
        <v>0</v>
      </c>
      <c r="AF2334" s="21">
        <f t="shared" si="282"/>
        <v>0</v>
      </c>
    </row>
    <row r="2335" spans="1:32" ht="15" customHeight="1" x14ac:dyDescent="0.3">
      <c r="A2335">
        <v>4</v>
      </c>
      <c r="B2335" s="2" t="s">
        <v>697</v>
      </c>
      <c r="C2335" s="4" t="s">
        <v>695</v>
      </c>
      <c r="D2335" s="3" t="s">
        <v>683</v>
      </c>
      <c r="E2335" s="6" t="s">
        <v>141</v>
      </c>
      <c r="F2335" s="6" t="s">
        <v>622</v>
      </c>
      <c r="G2335" s="6" t="s">
        <v>709</v>
      </c>
      <c r="H2335" s="23">
        <v>28000</v>
      </c>
      <c r="I2335">
        <v>0</v>
      </c>
      <c r="J2335">
        <v>0</v>
      </c>
      <c r="K2335" s="20">
        <f t="shared" si="280"/>
        <v>0</v>
      </c>
      <c r="L2335">
        <v>0</v>
      </c>
      <c r="M2335">
        <v>0</v>
      </c>
      <c r="N2335" s="21">
        <f t="shared" si="281"/>
        <v>0</v>
      </c>
      <c r="O2335">
        <v>0</v>
      </c>
      <c r="P2335">
        <v>0</v>
      </c>
      <c r="Q2335" s="21">
        <f t="shared" si="275"/>
        <v>0</v>
      </c>
      <c r="R2335">
        <v>20</v>
      </c>
      <c r="S2335">
        <v>30</v>
      </c>
      <c r="T2335" s="21">
        <f t="shared" si="276"/>
        <v>16800000</v>
      </c>
      <c r="U2335">
        <v>0</v>
      </c>
      <c r="V2335">
        <v>0</v>
      </c>
      <c r="W2335" s="21">
        <f t="shared" si="277"/>
        <v>0</v>
      </c>
      <c r="X2335">
        <v>0</v>
      </c>
      <c r="Y2335">
        <v>0</v>
      </c>
      <c r="Z2335" s="21">
        <f t="shared" si="278"/>
        <v>0</v>
      </c>
      <c r="AA2335">
        <v>0</v>
      </c>
      <c r="AB2335">
        <v>0</v>
      </c>
      <c r="AC2335" s="21">
        <f t="shared" si="279"/>
        <v>0</v>
      </c>
      <c r="AD2335">
        <v>0</v>
      </c>
      <c r="AE2335">
        <v>0</v>
      </c>
      <c r="AF2335" s="21">
        <f t="shared" si="282"/>
        <v>0</v>
      </c>
    </row>
    <row r="2336" spans="1:32" ht="15" customHeight="1" x14ac:dyDescent="0.3">
      <c r="A2336">
        <v>4</v>
      </c>
      <c r="B2336" s="2" t="s">
        <v>697</v>
      </c>
      <c r="C2336" s="4" t="s">
        <v>695</v>
      </c>
      <c r="D2336" s="3" t="s">
        <v>683</v>
      </c>
      <c r="E2336" s="6" t="s">
        <v>141</v>
      </c>
      <c r="F2336" s="6" t="s">
        <v>622</v>
      </c>
      <c r="G2336" s="6" t="s">
        <v>716</v>
      </c>
      <c r="H2336" s="23">
        <v>39000</v>
      </c>
      <c r="I2336">
        <v>0</v>
      </c>
      <c r="J2336">
        <v>0</v>
      </c>
      <c r="K2336" s="20">
        <f t="shared" si="280"/>
        <v>0</v>
      </c>
      <c r="L2336">
        <v>0</v>
      </c>
      <c r="M2336">
        <v>0</v>
      </c>
      <c r="N2336" s="21">
        <f t="shared" si="281"/>
        <v>0</v>
      </c>
      <c r="O2336">
        <v>0</v>
      </c>
      <c r="P2336">
        <v>0</v>
      </c>
      <c r="Q2336" s="21">
        <f t="shared" si="275"/>
        <v>0</v>
      </c>
      <c r="R2336">
        <v>20</v>
      </c>
      <c r="S2336">
        <v>30</v>
      </c>
      <c r="T2336" s="21">
        <f t="shared" si="276"/>
        <v>23400000</v>
      </c>
      <c r="U2336">
        <v>0</v>
      </c>
      <c r="V2336">
        <v>0</v>
      </c>
      <c r="W2336" s="21">
        <f t="shared" si="277"/>
        <v>0</v>
      </c>
      <c r="X2336">
        <v>0</v>
      </c>
      <c r="Y2336">
        <v>0</v>
      </c>
      <c r="Z2336" s="21">
        <f t="shared" si="278"/>
        <v>0</v>
      </c>
      <c r="AA2336">
        <v>0</v>
      </c>
      <c r="AB2336">
        <v>0</v>
      </c>
      <c r="AC2336" s="21">
        <f t="shared" si="279"/>
        <v>0</v>
      </c>
      <c r="AD2336">
        <v>0</v>
      </c>
      <c r="AE2336">
        <v>0</v>
      </c>
      <c r="AF2336" s="21">
        <f t="shared" si="282"/>
        <v>0</v>
      </c>
    </row>
    <row r="2337" spans="1:32" ht="15" customHeight="1" x14ac:dyDescent="0.3">
      <c r="A2337">
        <v>4</v>
      </c>
      <c r="B2337" s="2" t="s">
        <v>697</v>
      </c>
      <c r="C2337" s="4" t="s">
        <v>695</v>
      </c>
      <c r="D2337" s="3" t="s">
        <v>683</v>
      </c>
      <c r="E2337" s="6" t="s">
        <v>141</v>
      </c>
      <c r="F2337" s="6" t="s">
        <v>622</v>
      </c>
      <c r="G2337" s="6" t="s">
        <v>712</v>
      </c>
      <c r="H2337" s="23">
        <v>214.29</v>
      </c>
      <c r="I2337">
        <v>0</v>
      </c>
      <c r="J2337">
        <v>0</v>
      </c>
      <c r="K2337" s="20">
        <f t="shared" si="280"/>
        <v>0</v>
      </c>
      <c r="L2337">
        <v>0</v>
      </c>
      <c r="M2337">
        <v>0</v>
      </c>
      <c r="N2337" s="21">
        <f t="shared" si="281"/>
        <v>0</v>
      </c>
      <c r="O2337">
        <v>0</v>
      </c>
      <c r="P2337">
        <v>0</v>
      </c>
      <c r="Q2337" s="21">
        <f t="shared" si="275"/>
        <v>0</v>
      </c>
      <c r="R2337">
        <v>4000</v>
      </c>
      <c r="S2337">
        <v>6</v>
      </c>
      <c r="T2337" s="21">
        <f t="shared" si="276"/>
        <v>5142960</v>
      </c>
      <c r="U2337">
        <v>0</v>
      </c>
      <c r="V2337">
        <v>0</v>
      </c>
      <c r="W2337" s="21">
        <f t="shared" si="277"/>
        <v>0</v>
      </c>
      <c r="X2337">
        <v>0</v>
      </c>
      <c r="Y2337">
        <v>0</v>
      </c>
      <c r="Z2337" s="21">
        <f t="shared" si="278"/>
        <v>0</v>
      </c>
      <c r="AA2337">
        <v>0</v>
      </c>
      <c r="AB2337">
        <v>0</v>
      </c>
      <c r="AC2337" s="21">
        <f t="shared" si="279"/>
        <v>0</v>
      </c>
      <c r="AD2337">
        <v>0</v>
      </c>
      <c r="AE2337">
        <v>0</v>
      </c>
      <c r="AF2337" s="21">
        <f t="shared" si="282"/>
        <v>0</v>
      </c>
    </row>
    <row r="2338" spans="1:32" ht="15" customHeight="1" x14ac:dyDescent="0.3">
      <c r="A2338">
        <v>4</v>
      </c>
      <c r="B2338" s="2" t="s">
        <v>697</v>
      </c>
      <c r="C2338" s="4" t="s">
        <v>695</v>
      </c>
      <c r="D2338" s="3" t="s">
        <v>683</v>
      </c>
      <c r="E2338" s="6" t="s">
        <v>141</v>
      </c>
      <c r="F2338" s="6" t="s">
        <v>166</v>
      </c>
      <c r="G2338" s="6" t="s">
        <v>709</v>
      </c>
      <c r="H2338" s="23">
        <v>28000</v>
      </c>
      <c r="I2338">
        <v>0</v>
      </c>
      <c r="J2338">
        <v>0</v>
      </c>
      <c r="K2338" s="20">
        <f t="shared" si="280"/>
        <v>0</v>
      </c>
      <c r="L2338">
        <v>0</v>
      </c>
      <c r="M2338">
        <v>0</v>
      </c>
      <c r="N2338" s="21">
        <f t="shared" si="281"/>
        <v>0</v>
      </c>
      <c r="O2338">
        <v>0</v>
      </c>
      <c r="P2338">
        <v>0</v>
      </c>
      <c r="Q2338" s="21">
        <f t="shared" si="275"/>
        <v>0</v>
      </c>
      <c r="R2338">
        <v>40</v>
      </c>
      <c r="S2338">
        <v>1</v>
      </c>
      <c r="T2338" s="21">
        <f t="shared" si="276"/>
        <v>1120000</v>
      </c>
      <c r="U2338">
        <v>0</v>
      </c>
      <c r="V2338">
        <v>0</v>
      </c>
      <c r="W2338" s="21">
        <f t="shared" si="277"/>
        <v>0</v>
      </c>
      <c r="X2338">
        <v>0</v>
      </c>
      <c r="Y2338">
        <v>0</v>
      </c>
      <c r="Z2338" s="21">
        <f t="shared" si="278"/>
        <v>0</v>
      </c>
      <c r="AA2338">
        <v>0</v>
      </c>
      <c r="AB2338">
        <v>0</v>
      </c>
      <c r="AC2338" s="21">
        <f t="shared" si="279"/>
        <v>0</v>
      </c>
      <c r="AD2338">
        <v>0</v>
      </c>
      <c r="AE2338">
        <v>0</v>
      </c>
      <c r="AF2338" s="21">
        <f t="shared" si="282"/>
        <v>0</v>
      </c>
    </row>
    <row r="2339" spans="1:32" ht="15" customHeight="1" x14ac:dyDescent="0.3">
      <c r="A2339">
        <v>4</v>
      </c>
      <c r="B2339" s="2" t="s">
        <v>697</v>
      </c>
      <c r="C2339" s="4" t="s">
        <v>695</v>
      </c>
      <c r="D2339" s="3" t="s">
        <v>683</v>
      </c>
      <c r="E2339" s="6" t="s">
        <v>141</v>
      </c>
      <c r="F2339" s="6" t="s">
        <v>623</v>
      </c>
      <c r="G2339" s="6" t="s">
        <v>718</v>
      </c>
      <c r="H2339" s="23">
        <v>0</v>
      </c>
      <c r="I2339">
        <v>0</v>
      </c>
      <c r="J2339">
        <v>0</v>
      </c>
      <c r="K2339" s="20">
        <f t="shared" si="280"/>
        <v>0</v>
      </c>
      <c r="L2339">
        <v>0</v>
      </c>
      <c r="M2339">
        <v>0</v>
      </c>
      <c r="N2339" s="21">
        <f t="shared" si="281"/>
        <v>0</v>
      </c>
      <c r="O2339">
        <v>0</v>
      </c>
      <c r="P2339">
        <v>0</v>
      </c>
      <c r="Q2339" s="21">
        <f t="shared" si="275"/>
        <v>0</v>
      </c>
      <c r="R2339">
        <v>0</v>
      </c>
      <c r="S2339">
        <v>0</v>
      </c>
      <c r="T2339" s="21">
        <f t="shared" si="276"/>
        <v>0</v>
      </c>
      <c r="U2339">
        <v>0</v>
      </c>
      <c r="V2339">
        <v>0</v>
      </c>
      <c r="W2339" s="21">
        <f t="shared" si="277"/>
        <v>0</v>
      </c>
      <c r="X2339">
        <v>0</v>
      </c>
      <c r="Y2339">
        <v>0</v>
      </c>
      <c r="Z2339" s="21">
        <f t="shared" si="278"/>
        <v>0</v>
      </c>
      <c r="AA2339">
        <v>0</v>
      </c>
      <c r="AB2339">
        <v>0</v>
      </c>
      <c r="AC2339" s="21">
        <f t="shared" si="279"/>
        <v>0</v>
      </c>
      <c r="AD2339">
        <v>0</v>
      </c>
      <c r="AE2339">
        <v>0</v>
      </c>
      <c r="AF2339" s="21">
        <f t="shared" si="282"/>
        <v>0</v>
      </c>
    </row>
    <row r="2340" spans="1:32" ht="15" customHeight="1" x14ac:dyDescent="0.3">
      <c r="A2340">
        <v>4</v>
      </c>
      <c r="B2340" s="2" t="s">
        <v>697</v>
      </c>
      <c r="C2340" s="4" t="s">
        <v>695</v>
      </c>
      <c r="D2340" s="3" t="s">
        <v>683</v>
      </c>
      <c r="E2340" s="6" t="s">
        <v>141</v>
      </c>
      <c r="F2340" s="6" t="s">
        <v>624</v>
      </c>
      <c r="G2340" s="6" t="s">
        <v>709</v>
      </c>
      <c r="H2340" s="23">
        <v>28000</v>
      </c>
      <c r="I2340">
        <v>0</v>
      </c>
      <c r="J2340">
        <v>0</v>
      </c>
      <c r="K2340" s="20">
        <f t="shared" si="280"/>
        <v>0</v>
      </c>
      <c r="L2340">
        <v>0</v>
      </c>
      <c r="M2340">
        <v>0</v>
      </c>
      <c r="N2340" s="21">
        <f t="shared" si="281"/>
        <v>0</v>
      </c>
      <c r="O2340">
        <v>0</v>
      </c>
      <c r="P2340">
        <v>0</v>
      </c>
      <c r="Q2340" s="21">
        <f t="shared" si="275"/>
        <v>0</v>
      </c>
      <c r="R2340">
        <v>60</v>
      </c>
      <c r="S2340">
        <v>2</v>
      </c>
      <c r="T2340" s="21">
        <f t="shared" si="276"/>
        <v>3360000</v>
      </c>
      <c r="U2340">
        <v>0</v>
      </c>
      <c r="V2340">
        <v>0</v>
      </c>
      <c r="W2340" s="21">
        <f t="shared" si="277"/>
        <v>0</v>
      </c>
      <c r="X2340">
        <v>0</v>
      </c>
      <c r="Y2340">
        <v>0</v>
      </c>
      <c r="Z2340" s="21">
        <f t="shared" si="278"/>
        <v>0</v>
      </c>
      <c r="AA2340">
        <v>0</v>
      </c>
      <c r="AB2340">
        <v>0</v>
      </c>
      <c r="AC2340" s="21">
        <f t="shared" si="279"/>
        <v>0</v>
      </c>
      <c r="AD2340">
        <v>0</v>
      </c>
      <c r="AE2340">
        <v>0</v>
      </c>
      <c r="AF2340" s="21">
        <f t="shared" si="282"/>
        <v>0</v>
      </c>
    </row>
    <row r="2341" spans="1:32" ht="15" customHeight="1" x14ac:dyDescent="0.3">
      <c r="A2341">
        <v>4</v>
      </c>
      <c r="B2341" s="2" t="s">
        <v>697</v>
      </c>
      <c r="C2341" s="4" t="s">
        <v>695</v>
      </c>
      <c r="D2341" s="3" t="s">
        <v>683</v>
      </c>
      <c r="E2341" s="6" t="s">
        <v>141</v>
      </c>
      <c r="F2341" s="6" t="s">
        <v>624</v>
      </c>
      <c r="G2341" s="6" t="s">
        <v>716</v>
      </c>
      <c r="H2341" s="23">
        <v>39000</v>
      </c>
      <c r="I2341">
        <v>0</v>
      </c>
      <c r="J2341">
        <v>0</v>
      </c>
      <c r="K2341" s="20">
        <f t="shared" si="280"/>
        <v>0</v>
      </c>
      <c r="L2341">
        <v>0</v>
      </c>
      <c r="M2341">
        <v>0</v>
      </c>
      <c r="N2341" s="21">
        <f t="shared" si="281"/>
        <v>0</v>
      </c>
      <c r="O2341">
        <v>0</v>
      </c>
      <c r="P2341">
        <v>0</v>
      </c>
      <c r="Q2341" s="21">
        <f t="shared" si="275"/>
        <v>0</v>
      </c>
      <c r="R2341">
        <v>60</v>
      </c>
      <c r="S2341">
        <v>2</v>
      </c>
      <c r="T2341" s="21">
        <f t="shared" si="276"/>
        <v>4680000</v>
      </c>
      <c r="U2341">
        <v>0</v>
      </c>
      <c r="V2341">
        <v>0</v>
      </c>
      <c r="W2341" s="21">
        <f t="shared" si="277"/>
        <v>0</v>
      </c>
      <c r="X2341">
        <v>0</v>
      </c>
      <c r="Y2341">
        <v>0</v>
      </c>
      <c r="Z2341" s="21">
        <f t="shared" si="278"/>
        <v>0</v>
      </c>
      <c r="AA2341">
        <v>0</v>
      </c>
      <c r="AB2341">
        <v>0</v>
      </c>
      <c r="AC2341" s="21">
        <f t="shared" si="279"/>
        <v>0</v>
      </c>
      <c r="AD2341">
        <v>0</v>
      </c>
      <c r="AE2341">
        <v>0</v>
      </c>
      <c r="AF2341" s="21">
        <f t="shared" si="282"/>
        <v>0</v>
      </c>
    </row>
    <row r="2342" spans="1:32" ht="15" customHeight="1" x14ac:dyDescent="0.3">
      <c r="A2342">
        <v>4</v>
      </c>
      <c r="B2342" s="2" t="s">
        <v>697</v>
      </c>
      <c r="C2342" s="4" t="s">
        <v>695</v>
      </c>
      <c r="D2342" s="3" t="s">
        <v>683</v>
      </c>
      <c r="E2342" s="6" t="s">
        <v>141</v>
      </c>
      <c r="F2342" s="6" t="s">
        <v>624</v>
      </c>
      <c r="G2342" s="6" t="s">
        <v>712</v>
      </c>
      <c r="H2342" s="23">
        <v>214.29</v>
      </c>
      <c r="I2342">
        <v>0</v>
      </c>
      <c r="J2342">
        <v>0</v>
      </c>
      <c r="K2342" s="20">
        <f t="shared" si="280"/>
        <v>0</v>
      </c>
      <c r="L2342">
        <v>0</v>
      </c>
      <c r="M2342">
        <v>0</v>
      </c>
      <c r="N2342" s="21">
        <f t="shared" si="281"/>
        <v>0</v>
      </c>
      <c r="O2342">
        <v>0</v>
      </c>
      <c r="P2342">
        <v>0</v>
      </c>
      <c r="Q2342" s="21">
        <f t="shared" si="275"/>
        <v>0</v>
      </c>
      <c r="R2342">
        <v>20000</v>
      </c>
      <c r="S2342">
        <v>1</v>
      </c>
      <c r="T2342" s="21">
        <f t="shared" si="276"/>
        <v>4285800</v>
      </c>
      <c r="U2342">
        <v>0</v>
      </c>
      <c r="V2342">
        <v>0</v>
      </c>
      <c r="W2342" s="21">
        <f t="shared" si="277"/>
        <v>0</v>
      </c>
      <c r="X2342">
        <v>0</v>
      </c>
      <c r="Y2342">
        <v>0</v>
      </c>
      <c r="Z2342" s="21">
        <f t="shared" si="278"/>
        <v>0</v>
      </c>
      <c r="AA2342">
        <v>0</v>
      </c>
      <c r="AB2342">
        <v>0</v>
      </c>
      <c r="AC2342" s="21">
        <f t="shared" si="279"/>
        <v>0</v>
      </c>
      <c r="AD2342">
        <v>0</v>
      </c>
      <c r="AE2342">
        <v>0</v>
      </c>
      <c r="AF2342" s="21">
        <f t="shared" si="282"/>
        <v>0</v>
      </c>
    </row>
    <row r="2343" spans="1:32" ht="15" customHeight="1" x14ac:dyDescent="0.3">
      <c r="A2343">
        <v>4</v>
      </c>
      <c r="B2343" s="2" t="s">
        <v>697</v>
      </c>
      <c r="C2343" s="4" t="s">
        <v>695</v>
      </c>
      <c r="D2343" s="3" t="s">
        <v>683</v>
      </c>
      <c r="E2343" s="6" t="s">
        <v>141</v>
      </c>
      <c r="F2343" s="6" t="s">
        <v>625</v>
      </c>
      <c r="G2343" s="6" t="s">
        <v>709</v>
      </c>
      <c r="H2343" s="23">
        <v>28000</v>
      </c>
      <c r="I2343">
        <v>0</v>
      </c>
      <c r="J2343">
        <v>0</v>
      </c>
      <c r="K2343" s="20">
        <f t="shared" si="280"/>
        <v>0</v>
      </c>
      <c r="L2343">
        <v>0</v>
      </c>
      <c r="M2343">
        <v>0</v>
      </c>
      <c r="N2343" s="21">
        <f t="shared" si="281"/>
        <v>0</v>
      </c>
      <c r="O2343">
        <v>0</v>
      </c>
      <c r="P2343">
        <v>0</v>
      </c>
      <c r="Q2343" s="21">
        <f t="shared" si="275"/>
        <v>0</v>
      </c>
      <c r="R2343">
        <v>50</v>
      </c>
      <c r="S2343">
        <v>1</v>
      </c>
      <c r="T2343" s="21">
        <f t="shared" si="276"/>
        <v>1400000</v>
      </c>
      <c r="U2343">
        <v>0</v>
      </c>
      <c r="V2343">
        <v>0</v>
      </c>
      <c r="W2343" s="21">
        <f t="shared" si="277"/>
        <v>0</v>
      </c>
      <c r="X2343">
        <v>0</v>
      </c>
      <c r="Y2343">
        <v>0</v>
      </c>
      <c r="Z2343" s="21">
        <f t="shared" si="278"/>
        <v>0</v>
      </c>
      <c r="AA2343">
        <v>0</v>
      </c>
      <c r="AB2343">
        <v>0</v>
      </c>
      <c r="AC2343" s="21">
        <f t="shared" si="279"/>
        <v>0</v>
      </c>
      <c r="AD2343">
        <v>0</v>
      </c>
      <c r="AE2343">
        <v>0</v>
      </c>
      <c r="AF2343" s="21">
        <f t="shared" si="282"/>
        <v>0</v>
      </c>
    </row>
    <row r="2344" spans="1:32" ht="15" customHeight="1" x14ac:dyDescent="0.3">
      <c r="A2344">
        <v>4</v>
      </c>
      <c r="B2344" s="2" t="s">
        <v>697</v>
      </c>
      <c r="C2344" s="4" t="s">
        <v>695</v>
      </c>
      <c r="D2344" s="3" t="s">
        <v>683</v>
      </c>
      <c r="E2344" s="6" t="s">
        <v>141</v>
      </c>
      <c r="F2344" s="6" t="s">
        <v>626</v>
      </c>
      <c r="G2344" s="6" t="s">
        <v>721</v>
      </c>
      <c r="H2344" s="23">
        <v>80000</v>
      </c>
      <c r="I2344">
        <v>0</v>
      </c>
      <c r="J2344">
        <v>0</v>
      </c>
      <c r="K2344" s="20">
        <f t="shared" si="280"/>
        <v>0</v>
      </c>
      <c r="L2344">
        <v>0</v>
      </c>
      <c r="M2344">
        <v>0</v>
      </c>
      <c r="N2344" s="21">
        <f t="shared" si="281"/>
        <v>0</v>
      </c>
      <c r="O2344">
        <v>0</v>
      </c>
      <c r="P2344">
        <v>0</v>
      </c>
      <c r="Q2344" s="21">
        <f t="shared" si="275"/>
        <v>0</v>
      </c>
      <c r="R2344">
        <v>15</v>
      </c>
      <c r="S2344">
        <v>2</v>
      </c>
      <c r="T2344" s="21">
        <f t="shared" si="276"/>
        <v>2400000</v>
      </c>
      <c r="U2344">
        <v>0</v>
      </c>
      <c r="V2344">
        <v>0</v>
      </c>
      <c r="W2344" s="21">
        <f t="shared" si="277"/>
        <v>0</v>
      </c>
      <c r="X2344">
        <v>0</v>
      </c>
      <c r="Y2344">
        <v>0</v>
      </c>
      <c r="Z2344" s="21">
        <f t="shared" si="278"/>
        <v>0</v>
      </c>
      <c r="AA2344">
        <v>0</v>
      </c>
      <c r="AB2344">
        <v>0</v>
      </c>
      <c r="AC2344" s="21">
        <f t="shared" si="279"/>
        <v>0</v>
      </c>
      <c r="AD2344">
        <v>0</v>
      </c>
      <c r="AE2344">
        <v>0</v>
      </c>
      <c r="AF2344" s="21">
        <f t="shared" si="282"/>
        <v>0</v>
      </c>
    </row>
    <row r="2345" spans="1:32" ht="15" customHeight="1" x14ac:dyDescent="0.3">
      <c r="A2345">
        <v>4</v>
      </c>
      <c r="B2345" s="2" t="s">
        <v>697</v>
      </c>
      <c r="C2345" s="4" t="s">
        <v>695</v>
      </c>
      <c r="D2345" s="3" t="s">
        <v>683</v>
      </c>
      <c r="E2345" s="6" t="s">
        <v>141</v>
      </c>
      <c r="F2345" s="6" t="s">
        <v>626</v>
      </c>
      <c r="G2345" s="6" t="s">
        <v>716</v>
      </c>
      <c r="H2345" s="23">
        <v>45000</v>
      </c>
      <c r="I2345">
        <v>0</v>
      </c>
      <c r="J2345">
        <v>0</v>
      </c>
      <c r="K2345" s="20">
        <f t="shared" si="280"/>
        <v>0</v>
      </c>
      <c r="L2345">
        <v>0</v>
      </c>
      <c r="M2345">
        <v>0</v>
      </c>
      <c r="N2345" s="21">
        <f t="shared" si="281"/>
        <v>0</v>
      </c>
      <c r="O2345">
        <v>0</v>
      </c>
      <c r="P2345">
        <v>0</v>
      </c>
      <c r="Q2345" s="21">
        <f t="shared" si="275"/>
        <v>0</v>
      </c>
      <c r="R2345">
        <v>20</v>
      </c>
      <c r="S2345">
        <v>2</v>
      </c>
      <c r="T2345" s="21">
        <f t="shared" si="276"/>
        <v>1800000</v>
      </c>
      <c r="U2345">
        <v>0</v>
      </c>
      <c r="V2345">
        <v>0</v>
      </c>
      <c r="W2345" s="21">
        <f t="shared" si="277"/>
        <v>0</v>
      </c>
      <c r="X2345">
        <v>0</v>
      </c>
      <c r="Y2345">
        <v>0</v>
      </c>
      <c r="Z2345" s="21">
        <f t="shared" si="278"/>
        <v>0</v>
      </c>
      <c r="AA2345">
        <v>0</v>
      </c>
      <c r="AB2345">
        <v>0</v>
      </c>
      <c r="AC2345" s="21">
        <f t="shared" si="279"/>
        <v>0</v>
      </c>
      <c r="AD2345">
        <v>0</v>
      </c>
      <c r="AE2345">
        <v>0</v>
      </c>
      <c r="AF2345" s="21">
        <f t="shared" si="282"/>
        <v>0</v>
      </c>
    </row>
    <row r="2346" spans="1:32" ht="15" customHeight="1" x14ac:dyDescent="0.3">
      <c r="A2346">
        <v>4</v>
      </c>
      <c r="B2346" s="2" t="s">
        <v>697</v>
      </c>
      <c r="C2346" s="4" t="s">
        <v>695</v>
      </c>
      <c r="D2346" s="3" t="s">
        <v>683</v>
      </c>
      <c r="E2346" s="6" t="s">
        <v>141</v>
      </c>
      <c r="F2346" s="6" t="s">
        <v>626</v>
      </c>
      <c r="G2346" s="6" t="s">
        <v>712</v>
      </c>
      <c r="H2346" s="23">
        <v>214.29</v>
      </c>
      <c r="I2346">
        <v>0</v>
      </c>
      <c r="J2346">
        <v>0</v>
      </c>
      <c r="K2346" s="20">
        <f t="shared" si="280"/>
        <v>0</v>
      </c>
      <c r="L2346">
        <v>0</v>
      </c>
      <c r="M2346">
        <v>0</v>
      </c>
      <c r="N2346" s="21">
        <f t="shared" si="281"/>
        <v>0</v>
      </c>
      <c r="O2346">
        <v>0</v>
      </c>
      <c r="P2346">
        <v>0</v>
      </c>
      <c r="Q2346" s="21">
        <f t="shared" si="275"/>
        <v>0</v>
      </c>
      <c r="R2346">
        <v>20000</v>
      </c>
      <c r="S2346">
        <v>1</v>
      </c>
      <c r="T2346" s="21">
        <f t="shared" si="276"/>
        <v>4285800</v>
      </c>
      <c r="U2346">
        <v>0</v>
      </c>
      <c r="V2346">
        <v>0</v>
      </c>
      <c r="W2346" s="21">
        <f t="shared" si="277"/>
        <v>0</v>
      </c>
      <c r="X2346">
        <v>0</v>
      </c>
      <c r="Y2346">
        <v>0</v>
      </c>
      <c r="Z2346" s="21">
        <f t="shared" si="278"/>
        <v>0</v>
      </c>
      <c r="AA2346">
        <v>0</v>
      </c>
      <c r="AB2346">
        <v>0</v>
      </c>
      <c r="AC2346" s="21">
        <f t="shared" si="279"/>
        <v>0</v>
      </c>
      <c r="AD2346">
        <v>0</v>
      </c>
      <c r="AE2346">
        <v>0</v>
      </c>
      <c r="AF2346" s="21">
        <f t="shared" si="282"/>
        <v>0</v>
      </c>
    </row>
    <row r="2347" spans="1:32" ht="15" customHeight="1" x14ac:dyDescent="0.3">
      <c r="A2347">
        <v>4</v>
      </c>
      <c r="B2347" s="2" t="s">
        <v>697</v>
      </c>
      <c r="C2347" s="4" t="s">
        <v>695</v>
      </c>
      <c r="D2347" s="3" t="s">
        <v>683</v>
      </c>
      <c r="E2347" s="6" t="s">
        <v>141</v>
      </c>
      <c r="F2347" s="6" t="s">
        <v>626</v>
      </c>
      <c r="G2347" s="6" t="s">
        <v>709</v>
      </c>
      <c r="H2347" s="23">
        <v>28000</v>
      </c>
      <c r="I2347">
        <v>0</v>
      </c>
      <c r="J2347">
        <v>0</v>
      </c>
      <c r="K2347" s="20">
        <f t="shared" si="280"/>
        <v>0</v>
      </c>
      <c r="L2347">
        <v>0</v>
      </c>
      <c r="M2347">
        <v>0</v>
      </c>
      <c r="N2347" s="21">
        <f t="shared" si="281"/>
        <v>0</v>
      </c>
      <c r="O2347">
        <v>0</v>
      </c>
      <c r="P2347">
        <v>0</v>
      </c>
      <c r="Q2347" s="21">
        <f t="shared" si="275"/>
        <v>0</v>
      </c>
      <c r="R2347">
        <v>45</v>
      </c>
      <c r="S2347">
        <v>2</v>
      </c>
      <c r="T2347" s="21">
        <f t="shared" si="276"/>
        <v>2520000</v>
      </c>
      <c r="U2347">
        <v>0</v>
      </c>
      <c r="V2347">
        <v>0</v>
      </c>
      <c r="W2347" s="21">
        <f t="shared" si="277"/>
        <v>0</v>
      </c>
      <c r="X2347">
        <v>0</v>
      </c>
      <c r="Y2347">
        <v>0</v>
      </c>
      <c r="Z2347" s="21">
        <f t="shared" si="278"/>
        <v>0</v>
      </c>
      <c r="AA2347">
        <v>0</v>
      </c>
      <c r="AB2347">
        <v>0</v>
      </c>
      <c r="AC2347" s="21">
        <f t="shared" si="279"/>
        <v>0</v>
      </c>
      <c r="AD2347">
        <v>0</v>
      </c>
      <c r="AE2347">
        <v>0</v>
      </c>
      <c r="AF2347" s="21">
        <f t="shared" si="282"/>
        <v>0</v>
      </c>
    </row>
    <row r="2348" spans="1:32" ht="15" customHeight="1" x14ac:dyDescent="0.3">
      <c r="A2348">
        <v>4</v>
      </c>
      <c r="B2348" s="2" t="s">
        <v>697</v>
      </c>
      <c r="C2348" s="4" t="s">
        <v>695</v>
      </c>
      <c r="D2348" s="3" t="s">
        <v>683</v>
      </c>
      <c r="E2348" s="6" t="s">
        <v>141</v>
      </c>
      <c r="F2348" s="6" t="s">
        <v>627</v>
      </c>
      <c r="G2348" s="6" t="s">
        <v>718</v>
      </c>
      <c r="H2348" s="23">
        <v>0</v>
      </c>
      <c r="I2348">
        <v>0</v>
      </c>
      <c r="J2348">
        <v>0</v>
      </c>
      <c r="K2348" s="20">
        <f t="shared" si="280"/>
        <v>0</v>
      </c>
      <c r="L2348">
        <v>0</v>
      </c>
      <c r="M2348">
        <v>0</v>
      </c>
      <c r="N2348" s="21">
        <f t="shared" si="281"/>
        <v>0</v>
      </c>
      <c r="O2348">
        <v>0</v>
      </c>
      <c r="P2348">
        <v>0</v>
      </c>
      <c r="Q2348" s="21">
        <f t="shared" si="275"/>
        <v>0</v>
      </c>
      <c r="R2348">
        <v>0</v>
      </c>
      <c r="S2348">
        <v>0</v>
      </c>
      <c r="T2348" s="21">
        <f t="shared" si="276"/>
        <v>0</v>
      </c>
      <c r="U2348">
        <v>0</v>
      </c>
      <c r="V2348">
        <v>0</v>
      </c>
      <c r="W2348" s="21">
        <f t="shared" si="277"/>
        <v>0</v>
      </c>
      <c r="X2348">
        <v>0</v>
      </c>
      <c r="Y2348">
        <v>0</v>
      </c>
      <c r="Z2348" s="21">
        <f t="shared" si="278"/>
        <v>0</v>
      </c>
      <c r="AA2348">
        <v>0</v>
      </c>
      <c r="AB2348">
        <v>0</v>
      </c>
      <c r="AC2348" s="21">
        <f t="shared" si="279"/>
        <v>0</v>
      </c>
      <c r="AD2348">
        <v>0</v>
      </c>
      <c r="AE2348">
        <v>0</v>
      </c>
      <c r="AF2348" s="21">
        <f t="shared" si="282"/>
        <v>0</v>
      </c>
    </row>
    <row r="2349" spans="1:32" ht="15" customHeight="1" x14ac:dyDescent="0.3">
      <c r="A2349">
        <v>4</v>
      </c>
      <c r="B2349" s="2" t="s">
        <v>697</v>
      </c>
      <c r="C2349" s="4" t="s">
        <v>695</v>
      </c>
      <c r="D2349" s="3" t="s">
        <v>683</v>
      </c>
      <c r="E2349" s="6" t="s">
        <v>141</v>
      </c>
      <c r="F2349" s="6" t="s">
        <v>628</v>
      </c>
      <c r="G2349" s="6" t="s">
        <v>718</v>
      </c>
      <c r="H2349" s="23">
        <v>0</v>
      </c>
      <c r="I2349">
        <v>0</v>
      </c>
      <c r="J2349">
        <v>0</v>
      </c>
      <c r="K2349" s="20">
        <f t="shared" si="280"/>
        <v>0</v>
      </c>
      <c r="L2349">
        <v>0</v>
      </c>
      <c r="M2349">
        <v>0</v>
      </c>
      <c r="N2349" s="21">
        <f t="shared" si="281"/>
        <v>0</v>
      </c>
      <c r="O2349">
        <v>0</v>
      </c>
      <c r="P2349">
        <v>0</v>
      </c>
      <c r="Q2349" s="21">
        <f t="shared" si="275"/>
        <v>0</v>
      </c>
      <c r="R2349">
        <v>0</v>
      </c>
      <c r="S2349">
        <v>0</v>
      </c>
      <c r="T2349" s="21">
        <f t="shared" si="276"/>
        <v>0</v>
      </c>
      <c r="U2349">
        <v>0</v>
      </c>
      <c r="V2349">
        <v>0</v>
      </c>
      <c r="W2349" s="21">
        <f t="shared" si="277"/>
        <v>0</v>
      </c>
      <c r="X2349">
        <v>0</v>
      </c>
      <c r="Y2349">
        <v>0</v>
      </c>
      <c r="Z2349" s="21">
        <f t="shared" si="278"/>
        <v>0</v>
      </c>
      <c r="AA2349">
        <v>0</v>
      </c>
      <c r="AB2349">
        <v>0</v>
      </c>
      <c r="AC2349" s="21">
        <f t="shared" si="279"/>
        <v>0</v>
      </c>
      <c r="AD2349">
        <v>0</v>
      </c>
      <c r="AE2349">
        <v>0</v>
      </c>
      <c r="AF2349" s="21">
        <f t="shared" si="282"/>
        <v>0</v>
      </c>
    </row>
    <row r="2350" spans="1:32" ht="15" customHeight="1" x14ac:dyDescent="0.3">
      <c r="A2350">
        <v>4</v>
      </c>
      <c r="B2350" s="2" t="s">
        <v>697</v>
      </c>
      <c r="C2350" s="4" t="s">
        <v>695</v>
      </c>
      <c r="D2350" s="3" t="s">
        <v>683</v>
      </c>
      <c r="E2350" s="6" t="s">
        <v>141</v>
      </c>
      <c r="F2350" s="6" t="s">
        <v>629</v>
      </c>
      <c r="G2350" s="6" t="s">
        <v>718</v>
      </c>
      <c r="H2350" s="23">
        <v>0</v>
      </c>
      <c r="I2350">
        <v>0</v>
      </c>
      <c r="J2350">
        <v>0</v>
      </c>
      <c r="K2350" s="20">
        <f t="shared" si="280"/>
        <v>0</v>
      </c>
      <c r="L2350">
        <v>0</v>
      </c>
      <c r="M2350">
        <v>0</v>
      </c>
      <c r="N2350" s="21">
        <f t="shared" si="281"/>
        <v>0</v>
      </c>
      <c r="O2350">
        <v>0</v>
      </c>
      <c r="P2350">
        <v>0</v>
      </c>
      <c r="Q2350" s="21">
        <f t="shared" si="275"/>
        <v>0</v>
      </c>
      <c r="R2350">
        <v>0</v>
      </c>
      <c r="S2350">
        <v>0</v>
      </c>
      <c r="T2350" s="21">
        <f t="shared" si="276"/>
        <v>0</v>
      </c>
      <c r="U2350">
        <v>0</v>
      </c>
      <c r="V2350">
        <v>0</v>
      </c>
      <c r="W2350" s="21">
        <f t="shared" si="277"/>
        <v>0</v>
      </c>
      <c r="X2350">
        <v>0</v>
      </c>
      <c r="Y2350">
        <v>0</v>
      </c>
      <c r="Z2350" s="21">
        <f t="shared" si="278"/>
        <v>0</v>
      </c>
      <c r="AA2350">
        <v>0</v>
      </c>
      <c r="AB2350">
        <v>0</v>
      </c>
      <c r="AC2350" s="21">
        <f t="shared" si="279"/>
        <v>0</v>
      </c>
      <c r="AD2350">
        <v>0</v>
      </c>
      <c r="AE2350">
        <v>0</v>
      </c>
      <c r="AF2350" s="21">
        <f t="shared" si="282"/>
        <v>0</v>
      </c>
    </row>
    <row r="2351" spans="1:32" ht="15" customHeight="1" x14ac:dyDescent="0.3">
      <c r="A2351">
        <v>4</v>
      </c>
      <c r="B2351" s="2" t="s">
        <v>697</v>
      </c>
      <c r="C2351" s="4" t="s">
        <v>695</v>
      </c>
      <c r="D2351" s="3" t="s">
        <v>684</v>
      </c>
      <c r="E2351" s="6" t="s">
        <v>142</v>
      </c>
      <c r="F2351" s="6" t="s">
        <v>155</v>
      </c>
      <c r="G2351" s="6" t="s">
        <v>718</v>
      </c>
      <c r="H2351" s="23">
        <v>0</v>
      </c>
      <c r="I2351">
        <v>0</v>
      </c>
      <c r="J2351">
        <v>0</v>
      </c>
      <c r="K2351" s="20">
        <f t="shared" si="280"/>
        <v>0</v>
      </c>
      <c r="L2351">
        <v>0</v>
      </c>
      <c r="M2351">
        <v>0</v>
      </c>
      <c r="N2351" s="21">
        <f t="shared" si="281"/>
        <v>0</v>
      </c>
      <c r="O2351">
        <v>0</v>
      </c>
      <c r="P2351">
        <v>0</v>
      </c>
      <c r="Q2351" s="21">
        <f t="shared" si="275"/>
        <v>0</v>
      </c>
      <c r="R2351">
        <v>0</v>
      </c>
      <c r="S2351">
        <v>0</v>
      </c>
      <c r="T2351" s="21">
        <f t="shared" si="276"/>
        <v>0</v>
      </c>
      <c r="U2351">
        <v>0</v>
      </c>
      <c r="V2351">
        <v>0</v>
      </c>
      <c r="W2351" s="21">
        <f t="shared" si="277"/>
        <v>0</v>
      </c>
      <c r="X2351">
        <v>0</v>
      </c>
      <c r="Y2351">
        <v>0</v>
      </c>
      <c r="Z2351" s="21">
        <f t="shared" si="278"/>
        <v>0</v>
      </c>
      <c r="AA2351">
        <v>0</v>
      </c>
      <c r="AB2351">
        <v>0</v>
      </c>
      <c r="AC2351" s="21">
        <f t="shared" si="279"/>
        <v>0</v>
      </c>
      <c r="AD2351">
        <v>0</v>
      </c>
      <c r="AE2351">
        <v>0</v>
      </c>
      <c r="AF2351" s="21">
        <f t="shared" si="282"/>
        <v>0</v>
      </c>
    </row>
    <row r="2352" spans="1:32" ht="15" customHeight="1" x14ac:dyDescent="0.3">
      <c r="A2352">
        <v>4</v>
      </c>
      <c r="B2352" s="2" t="s">
        <v>697</v>
      </c>
      <c r="C2352" s="4" t="s">
        <v>695</v>
      </c>
      <c r="D2352" s="3" t="s">
        <v>684</v>
      </c>
      <c r="E2352" s="6" t="s">
        <v>142</v>
      </c>
      <c r="F2352" s="6" t="s">
        <v>158</v>
      </c>
      <c r="G2352" s="6" t="s">
        <v>718</v>
      </c>
      <c r="H2352" s="23">
        <v>0</v>
      </c>
      <c r="I2352">
        <v>0</v>
      </c>
      <c r="J2352">
        <v>0</v>
      </c>
      <c r="K2352" s="20">
        <f t="shared" si="280"/>
        <v>0</v>
      </c>
      <c r="L2352">
        <v>0</v>
      </c>
      <c r="M2352">
        <v>0</v>
      </c>
      <c r="N2352" s="21">
        <f t="shared" si="281"/>
        <v>0</v>
      </c>
      <c r="O2352">
        <v>0</v>
      </c>
      <c r="P2352">
        <v>0</v>
      </c>
      <c r="Q2352" s="21">
        <f t="shared" si="275"/>
        <v>0</v>
      </c>
      <c r="R2352">
        <v>0</v>
      </c>
      <c r="S2352">
        <v>0</v>
      </c>
      <c r="T2352" s="21">
        <f t="shared" si="276"/>
        <v>0</v>
      </c>
      <c r="U2352">
        <v>0</v>
      </c>
      <c r="V2352">
        <v>0</v>
      </c>
      <c r="W2352" s="21">
        <f t="shared" si="277"/>
        <v>0</v>
      </c>
      <c r="X2352">
        <v>0</v>
      </c>
      <c r="Y2352">
        <v>0</v>
      </c>
      <c r="Z2352" s="21">
        <f t="shared" si="278"/>
        <v>0</v>
      </c>
      <c r="AA2352">
        <v>0</v>
      </c>
      <c r="AB2352">
        <v>0</v>
      </c>
      <c r="AC2352" s="21">
        <f t="shared" si="279"/>
        <v>0</v>
      </c>
      <c r="AD2352">
        <v>0</v>
      </c>
      <c r="AE2352">
        <v>0</v>
      </c>
      <c r="AF2352" s="21">
        <f t="shared" si="282"/>
        <v>0</v>
      </c>
    </row>
    <row r="2353" spans="1:32" ht="15" customHeight="1" x14ac:dyDescent="0.3">
      <c r="A2353">
        <v>4</v>
      </c>
      <c r="B2353" s="2" t="s">
        <v>697</v>
      </c>
      <c r="C2353" s="4" t="s">
        <v>695</v>
      </c>
      <c r="D2353" s="3" t="s">
        <v>684</v>
      </c>
      <c r="E2353" s="6" t="s">
        <v>142</v>
      </c>
      <c r="F2353" s="6" t="s">
        <v>630</v>
      </c>
      <c r="G2353" s="6" t="s">
        <v>707</v>
      </c>
      <c r="H2353" s="23">
        <v>391991.03749999998</v>
      </c>
      <c r="I2353">
        <v>0</v>
      </c>
      <c r="J2353">
        <v>0</v>
      </c>
      <c r="K2353" s="20">
        <f t="shared" si="280"/>
        <v>0</v>
      </c>
      <c r="L2353">
        <v>1</v>
      </c>
      <c r="M2353">
        <v>6</v>
      </c>
      <c r="N2353" s="21">
        <f t="shared" si="281"/>
        <v>2351946.2249999996</v>
      </c>
      <c r="O2353">
        <v>0</v>
      </c>
      <c r="P2353">
        <v>0</v>
      </c>
      <c r="Q2353" s="21">
        <f t="shared" si="275"/>
        <v>0</v>
      </c>
      <c r="R2353">
        <v>0</v>
      </c>
      <c r="S2353">
        <v>0</v>
      </c>
      <c r="T2353" s="21">
        <f t="shared" si="276"/>
        <v>0</v>
      </c>
      <c r="U2353">
        <v>0</v>
      </c>
      <c r="V2353">
        <v>0</v>
      </c>
      <c r="W2353" s="21">
        <f t="shared" si="277"/>
        <v>0</v>
      </c>
      <c r="X2353">
        <v>0</v>
      </c>
      <c r="Y2353">
        <v>0</v>
      </c>
      <c r="Z2353" s="21">
        <f t="shared" si="278"/>
        <v>0</v>
      </c>
      <c r="AA2353">
        <v>0</v>
      </c>
      <c r="AB2353">
        <v>0</v>
      </c>
      <c r="AC2353" s="21">
        <f t="shared" si="279"/>
        <v>0</v>
      </c>
      <c r="AD2353">
        <v>0</v>
      </c>
      <c r="AE2353">
        <v>0</v>
      </c>
      <c r="AF2353" s="21">
        <f t="shared" si="282"/>
        <v>0</v>
      </c>
    </row>
    <row r="2354" spans="1:32" ht="15" customHeight="1" x14ac:dyDescent="0.3">
      <c r="A2354">
        <v>4</v>
      </c>
      <c r="B2354" s="2" t="s">
        <v>697</v>
      </c>
      <c r="C2354" s="4" t="s">
        <v>695</v>
      </c>
      <c r="D2354" s="3" t="s">
        <v>684</v>
      </c>
      <c r="E2354" s="6" t="s">
        <v>142</v>
      </c>
      <c r="F2354" s="6" t="s">
        <v>630</v>
      </c>
      <c r="G2354" s="6" t="s">
        <v>708</v>
      </c>
      <c r="H2354" s="23">
        <v>425000</v>
      </c>
      <c r="I2354">
        <v>0</v>
      </c>
      <c r="J2354">
        <v>0</v>
      </c>
      <c r="K2354" s="20">
        <f t="shared" si="280"/>
        <v>0</v>
      </c>
      <c r="L2354">
        <v>1</v>
      </c>
      <c r="M2354">
        <v>40</v>
      </c>
      <c r="N2354" s="21">
        <f t="shared" si="281"/>
        <v>17000000</v>
      </c>
      <c r="O2354">
        <v>0</v>
      </c>
      <c r="P2354">
        <v>0</v>
      </c>
      <c r="Q2354" s="21">
        <f t="shared" si="275"/>
        <v>0</v>
      </c>
      <c r="R2354">
        <v>0</v>
      </c>
      <c r="S2354">
        <v>0</v>
      </c>
      <c r="T2354" s="21">
        <f t="shared" si="276"/>
        <v>0</v>
      </c>
      <c r="U2354">
        <v>0</v>
      </c>
      <c r="V2354">
        <v>0</v>
      </c>
      <c r="W2354" s="21">
        <f t="shared" si="277"/>
        <v>0</v>
      </c>
      <c r="X2354">
        <v>0</v>
      </c>
      <c r="Y2354">
        <v>0</v>
      </c>
      <c r="Z2354" s="21">
        <f t="shared" si="278"/>
        <v>0</v>
      </c>
      <c r="AA2354">
        <v>0</v>
      </c>
      <c r="AB2354">
        <v>0</v>
      </c>
      <c r="AC2354" s="21">
        <f t="shared" si="279"/>
        <v>0</v>
      </c>
      <c r="AD2354">
        <v>0</v>
      </c>
      <c r="AE2354">
        <v>0</v>
      </c>
      <c r="AF2354" s="21">
        <f t="shared" si="282"/>
        <v>0</v>
      </c>
    </row>
    <row r="2355" spans="1:32" ht="15" customHeight="1" x14ac:dyDescent="0.3">
      <c r="A2355">
        <v>4</v>
      </c>
      <c r="B2355" s="2" t="s">
        <v>697</v>
      </c>
      <c r="C2355" s="4" t="s">
        <v>695</v>
      </c>
      <c r="D2355" s="3" t="s">
        <v>684</v>
      </c>
      <c r="E2355" s="6" t="s">
        <v>142</v>
      </c>
      <c r="F2355" s="6" t="s">
        <v>631</v>
      </c>
      <c r="G2355" s="6" t="s">
        <v>709</v>
      </c>
      <c r="H2355" s="23">
        <v>28000</v>
      </c>
      <c r="I2355">
        <v>0</v>
      </c>
      <c r="J2355">
        <v>0</v>
      </c>
      <c r="K2355" s="20">
        <f t="shared" si="280"/>
        <v>0</v>
      </c>
      <c r="L2355">
        <v>30</v>
      </c>
      <c r="M2355">
        <v>15</v>
      </c>
      <c r="N2355" s="21">
        <f t="shared" si="281"/>
        <v>12600000</v>
      </c>
      <c r="O2355">
        <v>0</v>
      </c>
      <c r="P2355">
        <v>0</v>
      </c>
      <c r="Q2355" s="21">
        <f t="shared" si="275"/>
        <v>0</v>
      </c>
      <c r="R2355">
        <v>0</v>
      </c>
      <c r="S2355">
        <v>0</v>
      </c>
      <c r="T2355" s="21">
        <f t="shared" si="276"/>
        <v>0</v>
      </c>
      <c r="U2355">
        <v>0</v>
      </c>
      <c r="V2355">
        <v>0</v>
      </c>
      <c r="W2355" s="21">
        <f t="shared" si="277"/>
        <v>0</v>
      </c>
      <c r="X2355">
        <v>0</v>
      </c>
      <c r="Y2355">
        <v>0</v>
      </c>
      <c r="Z2355" s="21">
        <f t="shared" si="278"/>
        <v>0</v>
      </c>
      <c r="AA2355">
        <v>0</v>
      </c>
      <c r="AB2355">
        <v>0</v>
      </c>
      <c r="AC2355" s="21">
        <f t="shared" si="279"/>
        <v>0</v>
      </c>
      <c r="AD2355">
        <v>0</v>
      </c>
      <c r="AE2355">
        <v>0</v>
      </c>
      <c r="AF2355" s="21">
        <f t="shared" si="282"/>
        <v>0</v>
      </c>
    </row>
    <row r="2356" spans="1:32" ht="15" customHeight="1" x14ac:dyDescent="0.3">
      <c r="A2356">
        <v>4</v>
      </c>
      <c r="B2356" s="2" t="s">
        <v>697</v>
      </c>
      <c r="C2356" s="4" t="s">
        <v>695</v>
      </c>
      <c r="D2356" s="3" t="s">
        <v>684</v>
      </c>
      <c r="E2356" s="6" t="s">
        <v>142</v>
      </c>
      <c r="F2356" s="6" t="s">
        <v>631</v>
      </c>
      <c r="G2356" s="6" t="s">
        <v>716</v>
      </c>
      <c r="H2356" s="23">
        <v>39000</v>
      </c>
      <c r="I2356">
        <v>0</v>
      </c>
      <c r="J2356">
        <v>0</v>
      </c>
      <c r="K2356" s="20">
        <f t="shared" si="280"/>
        <v>0</v>
      </c>
      <c r="L2356">
        <v>30</v>
      </c>
      <c r="M2356">
        <v>15</v>
      </c>
      <c r="N2356" s="21">
        <f t="shared" si="281"/>
        <v>17550000</v>
      </c>
      <c r="O2356">
        <v>0</v>
      </c>
      <c r="P2356">
        <v>0</v>
      </c>
      <c r="Q2356" s="21">
        <f t="shared" si="275"/>
        <v>0</v>
      </c>
      <c r="R2356">
        <v>0</v>
      </c>
      <c r="S2356">
        <v>0</v>
      </c>
      <c r="T2356" s="21">
        <f t="shared" si="276"/>
        <v>0</v>
      </c>
      <c r="U2356">
        <v>0</v>
      </c>
      <c r="V2356">
        <v>0</v>
      </c>
      <c r="W2356" s="21">
        <f t="shared" si="277"/>
        <v>0</v>
      </c>
      <c r="X2356">
        <v>0</v>
      </c>
      <c r="Y2356">
        <v>0</v>
      </c>
      <c r="Z2356" s="21">
        <f t="shared" si="278"/>
        <v>0</v>
      </c>
      <c r="AA2356">
        <v>0</v>
      </c>
      <c r="AB2356">
        <v>0</v>
      </c>
      <c r="AC2356" s="21">
        <f t="shared" si="279"/>
        <v>0</v>
      </c>
      <c r="AD2356">
        <v>0</v>
      </c>
      <c r="AE2356">
        <v>0</v>
      </c>
      <c r="AF2356" s="21">
        <f t="shared" si="282"/>
        <v>0</v>
      </c>
    </row>
    <row r="2357" spans="1:32" ht="15" customHeight="1" x14ac:dyDescent="0.3">
      <c r="A2357">
        <v>4</v>
      </c>
      <c r="B2357" s="2" t="s">
        <v>697</v>
      </c>
      <c r="C2357" s="4" t="s">
        <v>695</v>
      </c>
      <c r="D2357" s="3" t="s">
        <v>684</v>
      </c>
      <c r="E2357" s="6" t="s">
        <v>142</v>
      </c>
      <c r="F2357" s="6" t="s">
        <v>631</v>
      </c>
      <c r="G2357" s="6" t="s">
        <v>712</v>
      </c>
      <c r="H2357" s="23">
        <v>214.29</v>
      </c>
      <c r="I2357">
        <v>0</v>
      </c>
      <c r="J2357">
        <v>0</v>
      </c>
      <c r="K2357" s="20">
        <f t="shared" si="280"/>
        <v>0</v>
      </c>
      <c r="L2357">
        <v>8000</v>
      </c>
      <c r="M2357">
        <v>3</v>
      </c>
      <c r="N2357" s="21">
        <f t="shared" si="281"/>
        <v>5142960</v>
      </c>
      <c r="O2357">
        <v>0</v>
      </c>
      <c r="P2357">
        <v>0</v>
      </c>
      <c r="Q2357" s="21">
        <f t="shared" si="275"/>
        <v>0</v>
      </c>
      <c r="R2357">
        <v>0</v>
      </c>
      <c r="S2357">
        <v>0</v>
      </c>
      <c r="T2357" s="21">
        <f t="shared" si="276"/>
        <v>0</v>
      </c>
      <c r="U2357">
        <v>0</v>
      </c>
      <c r="V2357">
        <v>0</v>
      </c>
      <c r="W2357" s="21">
        <f t="shared" si="277"/>
        <v>0</v>
      </c>
      <c r="X2357">
        <v>0</v>
      </c>
      <c r="Y2357">
        <v>0</v>
      </c>
      <c r="Z2357" s="21">
        <f t="shared" si="278"/>
        <v>0</v>
      </c>
      <c r="AA2357">
        <v>0</v>
      </c>
      <c r="AB2357">
        <v>0</v>
      </c>
      <c r="AC2357" s="21">
        <f t="shared" si="279"/>
        <v>0</v>
      </c>
      <c r="AD2357">
        <v>0</v>
      </c>
      <c r="AE2357">
        <v>0</v>
      </c>
      <c r="AF2357" s="21">
        <f t="shared" si="282"/>
        <v>0</v>
      </c>
    </row>
    <row r="2358" spans="1:32" ht="15" customHeight="1" x14ac:dyDescent="0.3">
      <c r="A2358">
        <v>4</v>
      </c>
      <c r="B2358" s="2" t="s">
        <v>697</v>
      </c>
      <c r="C2358" s="4" t="s">
        <v>695</v>
      </c>
      <c r="D2358" s="3" t="s">
        <v>684</v>
      </c>
      <c r="E2358" s="6" t="s">
        <v>142</v>
      </c>
      <c r="F2358" s="6" t="s">
        <v>265</v>
      </c>
      <c r="G2358" s="6" t="s">
        <v>709</v>
      </c>
      <c r="H2358" s="23">
        <v>28000</v>
      </c>
      <c r="I2358">
        <v>0</v>
      </c>
      <c r="J2358">
        <v>0</v>
      </c>
      <c r="K2358" s="20">
        <f t="shared" si="280"/>
        <v>0</v>
      </c>
      <c r="L2358">
        <v>40</v>
      </c>
      <c r="M2358">
        <v>1</v>
      </c>
      <c r="N2358" s="21">
        <f t="shared" si="281"/>
        <v>1120000</v>
      </c>
      <c r="O2358">
        <v>0</v>
      </c>
      <c r="P2358">
        <v>0</v>
      </c>
      <c r="Q2358" s="21">
        <f t="shared" si="275"/>
        <v>0</v>
      </c>
      <c r="R2358">
        <v>0</v>
      </c>
      <c r="S2358">
        <v>0</v>
      </c>
      <c r="T2358" s="21">
        <f t="shared" si="276"/>
        <v>0</v>
      </c>
      <c r="U2358">
        <v>0</v>
      </c>
      <c r="V2358">
        <v>0</v>
      </c>
      <c r="W2358" s="21">
        <f t="shared" si="277"/>
        <v>0</v>
      </c>
      <c r="X2358">
        <v>0</v>
      </c>
      <c r="Y2358">
        <v>0</v>
      </c>
      <c r="Z2358" s="21">
        <f t="shared" si="278"/>
        <v>0</v>
      </c>
      <c r="AA2358">
        <v>0</v>
      </c>
      <c r="AB2358">
        <v>0</v>
      </c>
      <c r="AC2358" s="21">
        <f t="shared" si="279"/>
        <v>0</v>
      </c>
      <c r="AD2358">
        <v>0</v>
      </c>
      <c r="AE2358">
        <v>0</v>
      </c>
      <c r="AF2358" s="21">
        <f t="shared" si="282"/>
        <v>0</v>
      </c>
    </row>
    <row r="2359" spans="1:32" ht="15" customHeight="1" x14ac:dyDescent="0.3">
      <c r="A2359">
        <v>4</v>
      </c>
      <c r="B2359" s="2" t="s">
        <v>697</v>
      </c>
      <c r="C2359" s="4" t="s">
        <v>695</v>
      </c>
      <c r="D2359" s="3" t="s">
        <v>684</v>
      </c>
      <c r="E2359" s="6" t="s">
        <v>142</v>
      </c>
      <c r="F2359" s="6" t="s">
        <v>562</v>
      </c>
      <c r="G2359" s="6" t="s">
        <v>718</v>
      </c>
      <c r="H2359" s="23">
        <v>0</v>
      </c>
      <c r="I2359">
        <v>0</v>
      </c>
      <c r="J2359">
        <v>0</v>
      </c>
      <c r="K2359" s="20">
        <f t="shared" si="280"/>
        <v>0</v>
      </c>
      <c r="L2359">
        <v>0</v>
      </c>
      <c r="M2359">
        <v>0</v>
      </c>
      <c r="N2359" s="21">
        <f t="shared" si="281"/>
        <v>0</v>
      </c>
      <c r="O2359">
        <v>0</v>
      </c>
      <c r="P2359">
        <v>0</v>
      </c>
      <c r="Q2359" s="21">
        <f t="shared" si="275"/>
        <v>0</v>
      </c>
      <c r="R2359">
        <v>0</v>
      </c>
      <c r="S2359">
        <v>0</v>
      </c>
      <c r="T2359" s="21">
        <f t="shared" si="276"/>
        <v>0</v>
      </c>
      <c r="U2359">
        <v>0</v>
      </c>
      <c r="V2359">
        <v>0</v>
      </c>
      <c r="W2359" s="21">
        <f t="shared" si="277"/>
        <v>0</v>
      </c>
      <c r="X2359">
        <v>0</v>
      </c>
      <c r="Y2359">
        <v>0</v>
      </c>
      <c r="Z2359" s="21">
        <f t="shared" si="278"/>
        <v>0</v>
      </c>
      <c r="AA2359">
        <v>0</v>
      </c>
      <c r="AB2359">
        <v>0</v>
      </c>
      <c r="AC2359" s="21">
        <f t="shared" si="279"/>
        <v>0</v>
      </c>
      <c r="AD2359">
        <v>0</v>
      </c>
      <c r="AE2359">
        <v>0</v>
      </c>
      <c r="AF2359" s="21">
        <f t="shared" si="282"/>
        <v>0</v>
      </c>
    </row>
    <row r="2360" spans="1:32" ht="15" customHeight="1" x14ac:dyDescent="0.3">
      <c r="A2360">
        <v>4</v>
      </c>
      <c r="B2360" s="2" t="s">
        <v>697</v>
      </c>
      <c r="C2360" s="4" t="s">
        <v>695</v>
      </c>
      <c r="D2360" s="3" t="s">
        <v>684</v>
      </c>
      <c r="E2360" s="6" t="s">
        <v>142</v>
      </c>
      <c r="F2360" s="6" t="s">
        <v>156</v>
      </c>
      <c r="G2360" s="6" t="s">
        <v>709</v>
      </c>
      <c r="H2360" s="23">
        <v>28000</v>
      </c>
      <c r="I2360">
        <v>0</v>
      </c>
      <c r="J2360">
        <v>0</v>
      </c>
      <c r="K2360" s="20">
        <f t="shared" si="280"/>
        <v>0</v>
      </c>
      <c r="L2360">
        <v>100</v>
      </c>
      <c r="M2360">
        <v>1</v>
      </c>
      <c r="N2360" s="21">
        <f t="shared" si="281"/>
        <v>2800000</v>
      </c>
      <c r="O2360">
        <v>0</v>
      </c>
      <c r="P2360">
        <v>0</v>
      </c>
      <c r="Q2360" s="21">
        <f t="shared" si="275"/>
        <v>0</v>
      </c>
      <c r="R2360">
        <v>0</v>
      </c>
      <c r="S2360">
        <v>0</v>
      </c>
      <c r="T2360" s="21">
        <f t="shared" si="276"/>
        <v>0</v>
      </c>
      <c r="U2360">
        <v>0</v>
      </c>
      <c r="V2360">
        <v>0</v>
      </c>
      <c r="W2360" s="21">
        <f t="shared" si="277"/>
        <v>0</v>
      </c>
      <c r="X2360">
        <v>0</v>
      </c>
      <c r="Y2360">
        <v>0</v>
      </c>
      <c r="Z2360" s="21">
        <f t="shared" si="278"/>
        <v>0</v>
      </c>
      <c r="AA2360">
        <v>0</v>
      </c>
      <c r="AB2360">
        <v>0</v>
      </c>
      <c r="AC2360" s="21">
        <f t="shared" si="279"/>
        <v>0</v>
      </c>
      <c r="AD2360">
        <v>0</v>
      </c>
      <c r="AE2360">
        <v>0</v>
      </c>
      <c r="AF2360" s="21">
        <f t="shared" si="282"/>
        <v>0</v>
      </c>
    </row>
    <row r="2361" spans="1:32" ht="15" customHeight="1" x14ac:dyDescent="0.3">
      <c r="A2361">
        <v>4</v>
      </c>
      <c r="B2361" s="2" t="s">
        <v>697</v>
      </c>
      <c r="C2361" s="4" t="s">
        <v>695</v>
      </c>
      <c r="D2361" s="3" t="s">
        <v>684</v>
      </c>
      <c r="E2361" s="6" t="s">
        <v>142</v>
      </c>
      <c r="F2361" s="6" t="s">
        <v>156</v>
      </c>
      <c r="G2361" s="6" t="s">
        <v>711</v>
      </c>
      <c r="H2361" s="23">
        <v>70</v>
      </c>
      <c r="I2361">
        <v>0</v>
      </c>
      <c r="J2361">
        <v>0</v>
      </c>
      <c r="K2361" s="20">
        <f t="shared" si="280"/>
        <v>0</v>
      </c>
      <c r="L2361">
        <v>50000</v>
      </c>
      <c r="M2361">
        <v>1</v>
      </c>
      <c r="N2361" s="21">
        <f t="shared" si="281"/>
        <v>3500000</v>
      </c>
      <c r="O2361">
        <v>0</v>
      </c>
      <c r="P2361">
        <v>0</v>
      </c>
      <c r="Q2361" s="21">
        <f t="shared" si="275"/>
        <v>0</v>
      </c>
      <c r="R2361">
        <v>0</v>
      </c>
      <c r="S2361">
        <v>0</v>
      </c>
      <c r="T2361" s="21">
        <f t="shared" si="276"/>
        <v>0</v>
      </c>
      <c r="U2361">
        <v>0</v>
      </c>
      <c r="V2361">
        <v>0</v>
      </c>
      <c r="W2361" s="21">
        <f t="shared" si="277"/>
        <v>0</v>
      </c>
      <c r="X2361">
        <v>0</v>
      </c>
      <c r="Y2361">
        <v>0</v>
      </c>
      <c r="Z2361" s="21">
        <f t="shared" si="278"/>
        <v>0</v>
      </c>
      <c r="AA2361">
        <v>0</v>
      </c>
      <c r="AB2361">
        <v>0</v>
      </c>
      <c r="AC2361" s="21">
        <f t="shared" si="279"/>
        <v>0</v>
      </c>
      <c r="AD2361">
        <v>0</v>
      </c>
      <c r="AE2361">
        <v>0</v>
      </c>
      <c r="AF2361" s="21">
        <f t="shared" si="282"/>
        <v>0</v>
      </c>
    </row>
    <row r="2362" spans="1:32" ht="15" customHeight="1" x14ac:dyDescent="0.3">
      <c r="A2362">
        <v>4</v>
      </c>
      <c r="B2362" s="2" t="s">
        <v>697</v>
      </c>
      <c r="C2362" s="4" t="s">
        <v>695</v>
      </c>
      <c r="D2362" s="3" t="s">
        <v>684</v>
      </c>
      <c r="E2362" s="6" t="s">
        <v>142</v>
      </c>
      <c r="F2362" s="6" t="s">
        <v>156</v>
      </c>
      <c r="G2362" s="6" t="s">
        <v>717</v>
      </c>
      <c r="H2362" s="23">
        <v>104850</v>
      </c>
      <c r="I2362">
        <v>0</v>
      </c>
      <c r="J2362">
        <v>0</v>
      </c>
      <c r="K2362" s="20">
        <f t="shared" si="280"/>
        <v>0</v>
      </c>
      <c r="L2362">
        <v>5</v>
      </c>
      <c r="M2362">
        <v>1</v>
      </c>
      <c r="N2362" s="21">
        <f t="shared" si="281"/>
        <v>524250</v>
      </c>
      <c r="O2362">
        <v>0</v>
      </c>
      <c r="P2362">
        <v>0</v>
      </c>
      <c r="Q2362" s="21">
        <f t="shared" si="275"/>
        <v>0</v>
      </c>
      <c r="R2362">
        <v>0</v>
      </c>
      <c r="S2362">
        <v>0</v>
      </c>
      <c r="T2362" s="21">
        <f t="shared" si="276"/>
        <v>0</v>
      </c>
      <c r="U2362">
        <v>0</v>
      </c>
      <c r="V2362">
        <v>0</v>
      </c>
      <c r="W2362" s="21">
        <f t="shared" si="277"/>
        <v>0</v>
      </c>
      <c r="X2362">
        <v>0</v>
      </c>
      <c r="Y2362">
        <v>0</v>
      </c>
      <c r="Z2362" s="21">
        <f t="shared" si="278"/>
        <v>0</v>
      </c>
      <c r="AA2362">
        <v>0</v>
      </c>
      <c r="AB2362">
        <v>0</v>
      </c>
      <c r="AC2362" s="21">
        <f t="shared" si="279"/>
        <v>0</v>
      </c>
      <c r="AD2362">
        <v>0</v>
      </c>
      <c r="AE2362">
        <v>0</v>
      </c>
      <c r="AF2362" s="21">
        <f t="shared" si="282"/>
        <v>0</v>
      </c>
    </row>
    <row r="2363" spans="1:32" ht="15" customHeight="1" x14ac:dyDescent="0.3">
      <c r="A2363">
        <v>4</v>
      </c>
      <c r="B2363" s="2" t="s">
        <v>697</v>
      </c>
      <c r="C2363" s="4" t="s">
        <v>695</v>
      </c>
      <c r="D2363" s="3" t="s">
        <v>685</v>
      </c>
      <c r="E2363" s="6" t="s">
        <v>143</v>
      </c>
      <c r="F2363" s="6" t="s">
        <v>387</v>
      </c>
      <c r="G2363" s="6" t="s">
        <v>718</v>
      </c>
      <c r="H2363" s="23">
        <v>0</v>
      </c>
      <c r="I2363">
        <v>0</v>
      </c>
      <c r="J2363">
        <v>0</v>
      </c>
      <c r="K2363" s="20">
        <f t="shared" si="280"/>
        <v>0</v>
      </c>
      <c r="L2363">
        <v>0</v>
      </c>
      <c r="M2363">
        <v>0</v>
      </c>
      <c r="N2363" s="21">
        <f t="shared" si="281"/>
        <v>0</v>
      </c>
      <c r="O2363">
        <v>0</v>
      </c>
      <c r="P2363">
        <v>0</v>
      </c>
      <c r="Q2363" s="21">
        <f t="shared" si="275"/>
        <v>0</v>
      </c>
      <c r="R2363">
        <v>0</v>
      </c>
      <c r="S2363">
        <v>0</v>
      </c>
      <c r="T2363" s="21">
        <f t="shared" si="276"/>
        <v>0</v>
      </c>
      <c r="U2363">
        <v>0</v>
      </c>
      <c r="V2363">
        <v>0</v>
      </c>
      <c r="W2363" s="21">
        <f t="shared" si="277"/>
        <v>0</v>
      </c>
      <c r="X2363">
        <v>0</v>
      </c>
      <c r="Y2363">
        <v>0</v>
      </c>
      <c r="Z2363" s="21">
        <f t="shared" si="278"/>
        <v>0</v>
      </c>
      <c r="AA2363">
        <v>0</v>
      </c>
      <c r="AB2363">
        <v>0</v>
      </c>
      <c r="AC2363" s="21">
        <f t="shared" si="279"/>
        <v>0</v>
      </c>
      <c r="AD2363">
        <v>0</v>
      </c>
      <c r="AE2363">
        <v>0</v>
      </c>
      <c r="AF2363" s="21">
        <f t="shared" si="282"/>
        <v>0</v>
      </c>
    </row>
    <row r="2364" spans="1:32" ht="15" customHeight="1" x14ac:dyDescent="0.3">
      <c r="A2364">
        <v>4</v>
      </c>
      <c r="B2364" s="2" t="s">
        <v>697</v>
      </c>
      <c r="C2364" s="4" t="s">
        <v>695</v>
      </c>
      <c r="D2364" s="3" t="s">
        <v>686</v>
      </c>
      <c r="E2364" s="6" t="s">
        <v>144</v>
      </c>
      <c r="F2364" s="6" t="s">
        <v>155</v>
      </c>
      <c r="G2364" s="6" t="s">
        <v>718</v>
      </c>
      <c r="H2364" s="23">
        <v>0</v>
      </c>
      <c r="I2364">
        <v>0</v>
      </c>
      <c r="J2364">
        <v>0</v>
      </c>
      <c r="K2364" s="20">
        <f t="shared" si="280"/>
        <v>0</v>
      </c>
      <c r="L2364">
        <v>0</v>
      </c>
      <c r="M2364">
        <v>0</v>
      </c>
      <c r="N2364" s="21">
        <f t="shared" si="281"/>
        <v>0</v>
      </c>
      <c r="O2364">
        <v>0</v>
      </c>
      <c r="P2364">
        <v>0</v>
      </c>
      <c r="Q2364" s="21">
        <f t="shared" si="275"/>
        <v>0</v>
      </c>
      <c r="R2364">
        <v>0</v>
      </c>
      <c r="S2364">
        <v>0</v>
      </c>
      <c r="T2364" s="21">
        <f t="shared" si="276"/>
        <v>0</v>
      </c>
      <c r="U2364">
        <v>0</v>
      </c>
      <c r="V2364">
        <v>0</v>
      </c>
      <c r="W2364" s="21">
        <f t="shared" si="277"/>
        <v>0</v>
      </c>
      <c r="X2364">
        <v>0</v>
      </c>
      <c r="Y2364">
        <v>0</v>
      </c>
      <c r="Z2364" s="21">
        <f t="shared" si="278"/>
        <v>0</v>
      </c>
      <c r="AA2364">
        <v>0</v>
      </c>
      <c r="AB2364">
        <v>0</v>
      </c>
      <c r="AC2364" s="21">
        <f t="shared" si="279"/>
        <v>0</v>
      </c>
      <c r="AD2364">
        <v>0</v>
      </c>
      <c r="AE2364">
        <v>0</v>
      </c>
      <c r="AF2364" s="21">
        <f t="shared" si="282"/>
        <v>0</v>
      </c>
    </row>
    <row r="2365" spans="1:32" ht="15" customHeight="1" x14ac:dyDescent="0.3">
      <c r="A2365">
        <v>4</v>
      </c>
      <c r="B2365" s="2" t="s">
        <v>697</v>
      </c>
      <c r="C2365" s="4" t="s">
        <v>695</v>
      </c>
      <c r="D2365" s="3" t="s">
        <v>686</v>
      </c>
      <c r="E2365" s="6" t="s">
        <v>144</v>
      </c>
      <c r="F2365" s="6" t="s">
        <v>632</v>
      </c>
      <c r="G2365" s="6" t="s">
        <v>709</v>
      </c>
      <c r="H2365" s="23">
        <v>28000</v>
      </c>
      <c r="I2365">
        <v>30</v>
      </c>
      <c r="J2365">
        <v>5</v>
      </c>
      <c r="K2365" s="20">
        <f t="shared" si="280"/>
        <v>4200000</v>
      </c>
      <c r="L2365">
        <v>0</v>
      </c>
      <c r="M2365">
        <v>0</v>
      </c>
      <c r="N2365" s="21">
        <f t="shared" si="281"/>
        <v>0</v>
      </c>
      <c r="O2365">
        <v>0</v>
      </c>
      <c r="P2365">
        <v>0</v>
      </c>
      <c r="Q2365" s="21">
        <f t="shared" ref="Q2365:Q2415" si="283">H2365*O2365*P2365</f>
        <v>0</v>
      </c>
      <c r="R2365">
        <v>0</v>
      </c>
      <c r="S2365">
        <v>0</v>
      </c>
      <c r="T2365" s="21">
        <f t="shared" ref="T2365:T2415" si="284">H2365*R2365*S2365</f>
        <v>0</v>
      </c>
      <c r="U2365">
        <v>0</v>
      </c>
      <c r="V2365">
        <v>0</v>
      </c>
      <c r="W2365" s="21">
        <f t="shared" ref="W2365:W2415" si="285">H2365*U2365*V2365</f>
        <v>0</v>
      </c>
      <c r="X2365">
        <v>0</v>
      </c>
      <c r="Y2365">
        <v>0</v>
      </c>
      <c r="Z2365" s="21">
        <f t="shared" ref="Z2365:Z2415" si="286">H2365*X2365*Y2365</f>
        <v>0</v>
      </c>
      <c r="AA2365">
        <v>0</v>
      </c>
      <c r="AB2365">
        <v>0</v>
      </c>
      <c r="AC2365" s="21">
        <f t="shared" ref="AC2365:AC2415" si="287">H2365*AA2365*AB2365</f>
        <v>0</v>
      </c>
      <c r="AD2365">
        <v>0</v>
      </c>
      <c r="AE2365">
        <v>0</v>
      </c>
      <c r="AF2365" s="21">
        <f t="shared" si="282"/>
        <v>0</v>
      </c>
    </row>
    <row r="2366" spans="1:32" ht="15" customHeight="1" x14ac:dyDescent="0.3">
      <c r="A2366">
        <v>4</v>
      </c>
      <c r="B2366" s="2" t="s">
        <v>697</v>
      </c>
      <c r="C2366" s="4" t="s">
        <v>695</v>
      </c>
      <c r="D2366" s="3" t="s">
        <v>686</v>
      </c>
      <c r="E2366" s="6" t="s">
        <v>144</v>
      </c>
      <c r="F2366" s="6" t="s">
        <v>632</v>
      </c>
      <c r="G2366" s="6" t="s">
        <v>716</v>
      </c>
      <c r="H2366" s="23">
        <v>39000</v>
      </c>
      <c r="I2366">
        <v>30</v>
      </c>
      <c r="J2366">
        <v>5</v>
      </c>
      <c r="K2366" s="20">
        <f t="shared" si="280"/>
        <v>5850000</v>
      </c>
      <c r="L2366">
        <v>0</v>
      </c>
      <c r="M2366">
        <v>0</v>
      </c>
      <c r="N2366" s="21">
        <f t="shared" si="281"/>
        <v>0</v>
      </c>
      <c r="O2366">
        <v>0</v>
      </c>
      <c r="P2366">
        <v>0</v>
      </c>
      <c r="Q2366" s="21">
        <f t="shared" si="283"/>
        <v>0</v>
      </c>
      <c r="R2366">
        <v>0</v>
      </c>
      <c r="S2366">
        <v>0</v>
      </c>
      <c r="T2366" s="21">
        <f t="shared" si="284"/>
        <v>0</v>
      </c>
      <c r="U2366">
        <v>0</v>
      </c>
      <c r="V2366">
        <v>0</v>
      </c>
      <c r="W2366" s="21">
        <f t="shared" si="285"/>
        <v>0</v>
      </c>
      <c r="X2366">
        <v>0</v>
      </c>
      <c r="Y2366">
        <v>0</v>
      </c>
      <c r="Z2366" s="21">
        <f t="shared" si="286"/>
        <v>0</v>
      </c>
      <c r="AA2366">
        <v>0</v>
      </c>
      <c r="AB2366">
        <v>0</v>
      </c>
      <c r="AC2366" s="21">
        <f t="shared" si="287"/>
        <v>0</v>
      </c>
      <c r="AD2366">
        <v>0</v>
      </c>
      <c r="AE2366">
        <v>0</v>
      </c>
      <c r="AF2366" s="21">
        <f t="shared" si="282"/>
        <v>0</v>
      </c>
    </row>
    <row r="2367" spans="1:32" ht="15" customHeight="1" x14ac:dyDescent="0.3">
      <c r="A2367">
        <v>4</v>
      </c>
      <c r="B2367" s="2" t="s">
        <v>697</v>
      </c>
      <c r="C2367" s="4" t="s">
        <v>695</v>
      </c>
      <c r="D2367" s="3" t="s">
        <v>686</v>
      </c>
      <c r="E2367" s="6" t="s">
        <v>144</v>
      </c>
      <c r="F2367" s="6" t="s">
        <v>632</v>
      </c>
      <c r="G2367" s="6" t="s">
        <v>712</v>
      </c>
      <c r="H2367" s="23">
        <v>214.29</v>
      </c>
      <c r="I2367">
        <v>8000</v>
      </c>
      <c r="J2367">
        <v>1</v>
      </c>
      <c r="K2367" s="20">
        <f t="shared" si="280"/>
        <v>1714320</v>
      </c>
      <c r="L2367">
        <v>0</v>
      </c>
      <c r="M2367">
        <v>0</v>
      </c>
      <c r="N2367" s="21">
        <f t="shared" si="281"/>
        <v>0</v>
      </c>
      <c r="O2367">
        <v>0</v>
      </c>
      <c r="P2367">
        <v>0</v>
      </c>
      <c r="Q2367" s="21">
        <f t="shared" si="283"/>
        <v>0</v>
      </c>
      <c r="R2367">
        <v>0</v>
      </c>
      <c r="S2367">
        <v>0</v>
      </c>
      <c r="T2367" s="21">
        <f t="shared" si="284"/>
        <v>0</v>
      </c>
      <c r="U2367">
        <v>0</v>
      </c>
      <c r="V2367">
        <v>0</v>
      </c>
      <c r="W2367" s="21">
        <f t="shared" si="285"/>
        <v>0</v>
      </c>
      <c r="X2367">
        <v>0</v>
      </c>
      <c r="Y2367">
        <v>0</v>
      </c>
      <c r="Z2367" s="21">
        <f t="shared" si="286"/>
        <v>0</v>
      </c>
      <c r="AA2367">
        <v>0</v>
      </c>
      <c r="AB2367">
        <v>0</v>
      </c>
      <c r="AC2367" s="21">
        <f t="shared" si="287"/>
        <v>0</v>
      </c>
      <c r="AD2367">
        <v>0</v>
      </c>
      <c r="AE2367">
        <v>0</v>
      </c>
      <c r="AF2367" s="21">
        <f t="shared" si="282"/>
        <v>0</v>
      </c>
    </row>
    <row r="2368" spans="1:32" ht="15" customHeight="1" x14ac:dyDescent="0.3">
      <c r="A2368">
        <v>4</v>
      </c>
      <c r="B2368" s="2" t="s">
        <v>697</v>
      </c>
      <c r="C2368" s="4" t="s">
        <v>695</v>
      </c>
      <c r="D2368" s="3" t="s">
        <v>686</v>
      </c>
      <c r="E2368" s="6" t="s">
        <v>144</v>
      </c>
      <c r="F2368" s="6" t="s">
        <v>151</v>
      </c>
      <c r="G2368" s="6" t="s">
        <v>713</v>
      </c>
      <c r="H2368" s="23">
        <v>45000</v>
      </c>
      <c r="I2368">
        <v>15</v>
      </c>
      <c r="J2368">
        <v>10</v>
      </c>
      <c r="K2368" s="20">
        <f t="shared" si="280"/>
        <v>6750000</v>
      </c>
      <c r="L2368">
        <v>0</v>
      </c>
      <c r="M2368">
        <v>0</v>
      </c>
      <c r="N2368" s="21">
        <f t="shared" si="281"/>
        <v>0</v>
      </c>
      <c r="O2368">
        <v>0</v>
      </c>
      <c r="P2368">
        <v>0</v>
      </c>
      <c r="Q2368" s="21">
        <f t="shared" si="283"/>
        <v>0</v>
      </c>
      <c r="R2368">
        <v>0</v>
      </c>
      <c r="S2368">
        <v>0</v>
      </c>
      <c r="T2368" s="21">
        <f t="shared" si="284"/>
        <v>0</v>
      </c>
      <c r="U2368">
        <v>0</v>
      </c>
      <c r="V2368">
        <v>0</v>
      </c>
      <c r="W2368" s="21">
        <f t="shared" si="285"/>
        <v>0</v>
      </c>
      <c r="X2368">
        <v>0</v>
      </c>
      <c r="Y2368">
        <v>0</v>
      </c>
      <c r="Z2368" s="21">
        <f t="shared" si="286"/>
        <v>0</v>
      </c>
      <c r="AA2368">
        <v>0</v>
      </c>
      <c r="AB2368">
        <v>0</v>
      </c>
      <c r="AC2368" s="21">
        <f t="shared" si="287"/>
        <v>0</v>
      </c>
      <c r="AD2368">
        <v>0</v>
      </c>
      <c r="AE2368">
        <v>0</v>
      </c>
      <c r="AF2368" s="21">
        <f t="shared" si="282"/>
        <v>0</v>
      </c>
    </row>
    <row r="2369" spans="1:32" ht="15" customHeight="1" x14ac:dyDescent="0.3">
      <c r="A2369">
        <v>4</v>
      </c>
      <c r="B2369" s="2" t="s">
        <v>697</v>
      </c>
      <c r="C2369" s="4" t="s">
        <v>695</v>
      </c>
      <c r="D2369" s="3" t="s">
        <v>686</v>
      </c>
      <c r="E2369" s="6" t="s">
        <v>144</v>
      </c>
      <c r="F2369" s="6" t="s">
        <v>151</v>
      </c>
      <c r="G2369" s="6" t="s">
        <v>712</v>
      </c>
      <c r="H2369" s="23">
        <v>214.29</v>
      </c>
      <c r="I2369">
        <v>20000</v>
      </c>
      <c r="J2369">
        <v>1</v>
      </c>
      <c r="K2369" s="20">
        <f t="shared" si="280"/>
        <v>4285800</v>
      </c>
      <c r="L2369">
        <v>0</v>
      </c>
      <c r="M2369">
        <v>0</v>
      </c>
      <c r="N2369" s="21">
        <f t="shared" si="281"/>
        <v>0</v>
      </c>
      <c r="O2369">
        <v>0</v>
      </c>
      <c r="P2369">
        <v>0</v>
      </c>
      <c r="Q2369" s="21">
        <f t="shared" si="283"/>
        <v>0</v>
      </c>
      <c r="R2369">
        <v>0</v>
      </c>
      <c r="S2369">
        <v>0</v>
      </c>
      <c r="T2369" s="21">
        <f t="shared" si="284"/>
        <v>0</v>
      </c>
      <c r="U2369">
        <v>0</v>
      </c>
      <c r="V2369">
        <v>0</v>
      </c>
      <c r="W2369" s="21">
        <f t="shared" si="285"/>
        <v>0</v>
      </c>
      <c r="X2369">
        <v>0</v>
      </c>
      <c r="Y2369">
        <v>0</v>
      </c>
      <c r="Z2369" s="21">
        <f t="shared" si="286"/>
        <v>0</v>
      </c>
      <c r="AA2369">
        <v>0</v>
      </c>
      <c r="AB2369">
        <v>0</v>
      </c>
      <c r="AC2369" s="21">
        <f t="shared" si="287"/>
        <v>0</v>
      </c>
      <c r="AD2369">
        <v>0</v>
      </c>
      <c r="AE2369">
        <v>0</v>
      </c>
      <c r="AF2369" s="21">
        <f t="shared" si="282"/>
        <v>0</v>
      </c>
    </row>
    <row r="2370" spans="1:32" ht="15" customHeight="1" x14ac:dyDescent="0.3">
      <c r="A2370">
        <v>4</v>
      </c>
      <c r="B2370" s="2" t="s">
        <v>697</v>
      </c>
      <c r="C2370" s="4" t="s">
        <v>695</v>
      </c>
      <c r="D2370" s="3" t="s">
        <v>686</v>
      </c>
      <c r="E2370" s="6" t="s">
        <v>144</v>
      </c>
      <c r="F2370" s="6" t="s">
        <v>151</v>
      </c>
      <c r="G2370" s="6" t="s">
        <v>715</v>
      </c>
      <c r="H2370" s="23">
        <v>302000</v>
      </c>
      <c r="I2370">
        <v>20</v>
      </c>
      <c r="J2370">
        <v>1</v>
      </c>
      <c r="K2370" s="20">
        <f t="shared" si="280"/>
        <v>6040000</v>
      </c>
      <c r="L2370">
        <v>0</v>
      </c>
      <c r="M2370">
        <v>0</v>
      </c>
      <c r="N2370" s="21">
        <f t="shared" si="281"/>
        <v>0</v>
      </c>
      <c r="O2370">
        <v>0</v>
      </c>
      <c r="P2370">
        <v>0</v>
      </c>
      <c r="Q2370" s="21">
        <f t="shared" si="283"/>
        <v>0</v>
      </c>
      <c r="R2370">
        <v>0</v>
      </c>
      <c r="S2370">
        <v>0</v>
      </c>
      <c r="T2370" s="21">
        <f t="shared" si="284"/>
        <v>0</v>
      </c>
      <c r="U2370">
        <v>0</v>
      </c>
      <c r="V2370">
        <v>0</v>
      </c>
      <c r="W2370" s="21">
        <f t="shared" si="285"/>
        <v>0</v>
      </c>
      <c r="X2370">
        <v>0</v>
      </c>
      <c r="Y2370">
        <v>0</v>
      </c>
      <c r="Z2370" s="21">
        <f t="shared" si="286"/>
        <v>0</v>
      </c>
      <c r="AA2370">
        <v>0</v>
      </c>
      <c r="AB2370">
        <v>0</v>
      </c>
      <c r="AC2370" s="21">
        <f t="shared" si="287"/>
        <v>0</v>
      </c>
      <c r="AD2370">
        <v>0</v>
      </c>
      <c r="AE2370">
        <v>0</v>
      </c>
      <c r="AF2370" s="21">
        <f t="shared" si="282"/>
        <v>0</v>
      </c>
    </row>
    <row r="2371" spans="1:32" ht="15" customHeight="1" x14ac:dyDescent="0.3">
      <c r="A2371">
        <v>4</v>
      </c>
      <c r="B2371" s="2" t="s">
        <v>697</v>
      </c>
      <c r="C2371" s="4" t="s">
        <v>695</v>
      </c>
      <c r="D2371" s="3" t="s">
        <v>686</v>
      </c>
      <c r="E2371" s="6" t="s">
        <v>144</v>
      </c>
      <c r="F2371" s="6" t="s">
        <v>151</v>
      </c>
      <c r="G2371" s="6" t="s">
        <v>714</v>
      </c>
      <c r="H2371" s="23">
        <v>10000</v>
      </c>
      <c r="I2371">
        <v>15</v>
      </c>
      <c r="J2371">
        <v>1</v>
      </c>
      <c r="K2371" s="20">
        <f t="shared" si="280"/>
        <v>150000</v>
      </c>
      <c r="L2371">
        <v>0</v>
      </c>
      <c r="M2371">
        <v>0</v>
      </c>
      <c r="N2371" s="21">
        <f t="shared" si="281"/>
        <v>0</v>
      </c>
      <c r="O2371">
        <v>0</v>
      </c>
      <c r="P2371">
        <v>0</v>
      </c>
      <c r="Q2371" s="21">
        <f t="shared" si="283"/>
        <v>0</v>
      </c>
      <c r="R2371">
        <v>0</v>
      </c>
      <c r="S2371">
        <v>0</v>
      </c>
      <c r="T2371" s="21">
        <f t="shared" si="284"/>
        <v>0</v>
      </c>
      <c r="U2371">
        <v>0</v>
      </c>
      <c r="V2371">
        <v>0</v>
      </c>
      <c r="W2371" s="21">
        <f t="shared" si="285"/>
        <v>0</v>
      </c>
      <c r="X2371">
        <v>0</v>
      </c>
      <c r="Y2371">
        <v>0</v>
      </c>
      <c r="Z2371" s="21">
        <f t="shared" si="286"/>
        <v>0</v>
      </c>
      <c r="AA2371">
        <v>0</v>
      </c>
      <c r="AB2371">
        <v>0</v>
      </c>
      <c r="AC2371" s="21">
        <f t="shared" si="287"/>
        <v>0</v>
      </c>
      <c r="AD2371">
        <v>0</v>
      </c>
      <c r="AE2371">
        <v>0</v>
      </c>
      <c r="AF2371" s="21">
        <f t="shared" si="282"/>
        <v>0</v>
      </c>
    </row>
    <row r="2372" spans="1:32" ht="15" customHeight="1" x14ac:dyDescent="0.3">
      <c r="A2372">
        <v>4</v>
      </c>
      <c r="B2372" s="2" t="s">
        <v>697</v>
      </c>
      <c r="C2372" s="4" t="s">
        <v>695</v>
      </c>
      <c r="D2372" s="3" t="s">
        <v>686</v>
      </c>
      <c r="E2372" s="6" t="s">
        <v>144</v>
      </c>
      <c r="F2372" s="6" t="s">
        <v>152</v>
      </c>
      <c r="G2372" s="6" t="s">
        <v>709</v>
      </c>
      <c r="H2372" s="23">
        <v>28000</v>
      </c>
      <c r="I2372">
        <v>20</v>
      </c>
      <c r="J2372">
        <v>5</v>
      </c>
      <c r="K2372" s="20">
        <f t="shared" si="280"/>
        <v>2800000</v>
      </c>
      <c r="L2372">
        <v>0</v>
      </c>
      <c r="M2372">
        <v>0</v>
      </c>
      <c r="N2372" s="21">
        <f t="shared" si="281"/>
        <v>0</v>
      </c>
      <c r="O2372">
        <v>0</v>
      </c>
      <c r="P2372">
        <v>0</v>
      </c>
      <c r="Q2372" s="21">
        <f t="shared" si="283"/>
        <v>0</v>
      </c>
      <c r="R2372">
        <v>0</v>
      </c>
      <c r="S2372">
        <v>0</v>
      </c>
      <c r="T2372" s="21">
        <f t="shared" si="284"/>
        <v>0</v>
      </c>
      <c r="U2372">
        <v>0</v>
      </c>
      <c r="V2372">
        <v>0</v>
      </c>
      <c r="W2372" s="21">
        <f t="shared" si="285"/>
        <v>0</v>
      </c>
      <c r="X2372">
        <v>0</v>
      </c>
      <c r="Y2372">
        <v>0</v>
      </c>
      <c r="Z2372" s="21">
        <f t="shared" si="286"/>
        <v>0</v>
      </c>
      <c r="AA2372">
        <v>0</v>
      </c>
      <c r="AB2372">
        <v>0</v>
      </c>
      <c r="AC2372" s="21">
        <f t="shared" si="287"/>
        <v>0</v>
      </c>
      <c r="AD2372">
        <v>0</v>
      </c>
      <c r="AE2372">
        <v>0</v>
      </c>
      <c r="AF2372" s="21">
        <f t="shared" si="282"/>
        <v>0</v>
      </c>
    </row>
    <row r="2373" spans="1:32" ht="15" customHeight="1" x14ac:dyDescent="0.3">
      <c r="A2373">
        <v>4</v>
      </c>
      <c r="B2373" s="2" t="s">
        <v>697</v>
      </c>
      <c r="C2373" s="4" t="s">
        <v>695</v>
      </c>
      <c r="D2373" s="3" t="s">
        <v>686</v>
      </c>
      <c r="E2373" s="6" t="s">
        <v>144</v>
      </c>
      <c r="F2373" s="6" t="s">
        <v>152</v>
      </c>
      <c r="G2373" s="6" t="s">
        <v>716</v>
      </c>
      <c r="H2373" s="23">
        <v>39000</v>
      </c>
      <c r="I2373">
        <v>20</v>
      </c>
      <c r="J2373">
        <v>5</v>
      </c>
      <c r="K2373" s="20">
        <f t="shared" si="280"/>
        <v>3900000</v>
      </c>
      <c r="L2373">
        <v>0</v>
      </c>
      <c r="M2373">
        <v>0</v>
      </c>
      <c r="N2373" s="21">
        <f t="shared" si="281"/>
        <v>0</v>
      </c>
      <c r="O2373">
        <v>0</v>
      </c>
      <c r="P2373">
        <v>0</v>
      </c>
      <c r="Q2373" s="21">
        <f t="shared" si="283"/>
        <v>0</v>
      </c>
      <c r="R2373">
        <v>0</v>
      </c>
      <c r="S2373">
        <v>0</v>
      </c>
      <c r="T2373" s="21">
        <f t="shared" si="284"/>
        <v>0</v>
      </c>
      <c r="U2373">
        <v>0</v>
      </c>
      <c r="V2373">
        <v>0</v>
      </c>
      <c r="W2373" s="21">
        <f t="shared" si="285"/>
        <v>0</v>
      </c>
      <c r="X2373">
        <v>0</v>
      </c>
      <c r="Y2373">
        <v>0</v>
      </c>
      <c r="Z2373" s="21">
        <f t="shared" si="286"/>
        <v>0</v>
      </c>
      <c r="AA2373">
        <v>0</v>
      </c>
      <c r="AB2373">
        <v>0</v>
      </c>
      <c r="AC2373" s="21">
        <f t="shared" si="287"/>
        <v>0</v>
      </c>
      <c r="AD2373">
        <v>0</v>
      </c>
      <c r="AE2373">
        <v>0</v>
      </c>
      <c r="AF2373" s="21">
        <f t="shared" si="282"/>
        <v>0</v>
      </c>
    </row>
    <row r="2374" spans="1:32" ht="15" customHeight="1" x14ac:dyDescent="0.3">
      <c r="A2374">
        <v>4</v>
      </c>
      <c r="B2374" s="2" t="s">
        <v>697</v>
      </c>
      <c r="C2374" s="4" t="s">
        <v>695</v>
      </c>
      <c r="D2374" s="3" t="s">
        <v>686</v>
      </c>
      <c r="E2374" s="6" t="s">
        <v>144</v>
      </c>
      <c r="F2374" s="6" t="s">
        <v>152</v>
      </c>
      <c r="G2374" s="6" t="s">
        <v>712</v>
      </c>
      <c r="H2374" s="23">
        <v>214.29</v>
      </c>
      <c r="I2374">
        <v>4000</v>
      </c>
      <c r="J2374">
        <v>1</v>
      </c>
      <c r="K2374" s="20">
        <f t="shared" ref="K2374:K2415" si="288">H2374*I2374*J2374</f>
        <v>857160</v>
      </c>
      <c r="L2374">
        <v>0</v>
      </c>
      <c r="M2374">
        <v>0</v>
      </c>
      <c r="N2374" s="21">
        <f t="shared" ref="N2374:N2415" si="289">H2374*L2374*M2374</f>
        <v>0</v>
      </c>
      <c r="O2374">
        <v>0</v>
      </c>
      <c r="P2374">
        <v>0</v>
      </c>
      <c r="Q2374" s="21">
        <f t="shared" si="283"/>
        <v>0</v>
      </c>
      <c r="R2374">
        <v>0</v>
      </c>
      <c r="S2374">
        <v>0</v>
      </c>
      <c r="T2374" s="21">
        <f t="shared" si="284"/>
        <v>0</v>
      </c>
      <c r="U2374">
        <v>0</v>
      </c>
      <c r="V2374">
        <v>0</v>
      </c>
      <c r="W2374" s="21">
        <f t="shared" si="285"/>
        <v>0</v>
      </c>
      <c r="X2374">
        <v>0</v>
      </c>
      <c r="Y2374">
        <v>0</v>
      </c>
      <c r="Z2374" s="21">
        <f t="shared" si="286"/>
        <v>0</v>
      </c>
      <c r="AA2374">
        <v>0</v>
      </c>
      <c r="AB2374">
        <v>0</v>
      </c>
      <c r="AC2374" s="21">
        <f t="shared" si="287"/>
        <v>0</v>
      </c>
      <c r="AD2374">
        <v>0</v>
      </c>
      <c r="AE2374">
        <v>0</v>
      </c>
      <c r="AF2374" s="21">
        <f t="shared" ref="AF2374:AF2415" si="290">H2374*AD2374*AE2374</f>
        <v>0</v>
      </c>
    </row>
    <row r="2375" spans="1:32" ht="15" customHeight="1" x14ac:dyDescent="0.3">
      <c r="A2375">
        <v>4</v>
      </c>
      <c r="B2375" s="2" t="s">
        <v>697</v>
      </c>
      <c r="C2375" s="4" t="s">
        <v>695</v>
      </c>
      <c r="D2375" s="3" t="s">
        <v>686</v>
      </c>
      <c r="E2375" s="6" t="s">
        <v>144</v>
      </c>
      <c r="F2375" s="6" t="s">
        <v>153</v>
      </c>
      <c r="G2375" s="6" t="s">
        <v>709</v>
      </c>
      <c r="H2375" s="23">
        <v>28000</v>
      </c>
      <c r="I2375">
        <v>20</v>
      </c>
      <c r="J2375">
        <v>5</v>
      </c>
      <c r="K2375" s="20">
        <f t="shared" si="288"/>
        <v>2800000</v>
      </c>
      <c r="L2375">
        <v>0</v>
      </c>
      <c r="M2375">
        <v>0</v>
      </c>
      <c r="N2375" s="21">
        <f t="shared" si="289"/>
        <v>0</v>
      </c>
      <c r="O2375">
        <v>0</v>
      </c>
      <c r="P2375">
        <v>0</v>
      </c>
      <c r="Q2375" s="21">
        <f t="shared" si="283"/>
        <v>0</v>
      </c>
      <c r="R2375">
        <v>0</v>
      </c>
      <c r="S2375">
        <v>0</v>
      </c>
      <c r="T2375" s="21">
        <f t="shared" si="284"/>
        <v>0</v>
      </c>
      <c r="U2375">
        <v>0</v>
      </c>
      <c r="V2375">
        <v>0</v>
      </c>
      <c r="W2375" s="21">
        <f t="shared" si="285"/>
        <v>0</v>
      </c>
      <c r="X2375">
        <v>0</v>
      </c>
      <c r="Y2375">
        <v>0</v>
      </c>
      <c r="Z2375" s="21">
        <f t="shared" si="286"/>
        <v>0</v>
      </c>
      <c r="AA2375">
        <v>0</v>
      </c>
      <c r="AB2375">
        <v>0</v>
      </c>
      <c r="AC2375" s="21">
        <f t="shared" si="287"/>
        <v>0</v>
      </c>
      <c r="AD2375">
        <v>0</v>
      </c>
      <c r="AE2375">
        <v>0</v>
      </c>
      <c r="AF2375" s="21">
        <f t="shared" si="290"/>
        <v>0</v>
      </c>
    </row>
    <row r="2376" spans="1:32" ht="15" customHeight="1" x14ac:dyDescent="0.3">
      <c r="A2376">
        <v>4</v>
      </c>
      <c r="B2376" s="2" t="s">
        <v>697</v>
      </c>
      <c r="C2376" s="4" t="s">
        <v>695</v>
      </c>
      <c r="D2376" s="3" t="s">
        <v>686</v>
      </c>
      <c r="E2376" s="6" t="s">
        <v>144</v>
      </c>
      <c r="F2376" s="6" t="s">
        <v>153</v>
      </c>
      <c r="G2376" s="6" t="s">
        <v>716</v>
      </c>
      <c r="H2376" s="23">
        <v>39000</v>
      </c>
      <c r="I2376">
        <v>20</v>
      </c>
      <c r="J2376">
        <v>5</v>
      </c>
      <c r="K2376" s="20">
        <f t="shared" si="288"/>
        <v>3900000</v>
      </c>
      <c r="L2376">
        <v>0</v>
      </c>
      <c r="M2376">
        <v>0</v>
      </c>
      <c r="N2376" s="21">
        <f t="shared" si="289"/>
        <v>0</v>
      </c>
      <c r="O2376">
        <v>0</v>
      </c>
      <c r="P2376">
        <v>0</v>
      </c>
      <c r="Q2376" s="21">
        <f t="shared" si="283"/>
        <v>0</v>
      </c>
      <c r="R2376">
        <v>0</v>
      </c>
      <c r="S2376">
        <v>0</v>
      </c>
      <c r="T2376" s="21">
        <f t="shared" si="284"/>
        <v>0</v>
      </c>
      <c r="U2376">
        <v>0</v>
      </c>
      <c r="V2376">
        <v>0</v>
      </c>
      <c r="W2376" s="21">
        <f t="shared" si="285"/>
        <v>0</v>
      </c>
      <c r="X2376">
        <v>0</v>
      </c>
      <c r="Y2376">
        <v>0</v>
      </c>
      <c r="Z2376" s="21">
        <f t="shared" si="286"/>
        <v>0</v>
      </c>
      <c r="AA2376">
        <v>0</v>
      </c>
      <c r="AB2376">
        <v>0</v>
      </c>
      <c r="AC2376" s="21">
        <f t="shared" si="287"/>
        <v>0</v>
      </c>
      <c r="AD2376">
        <v>0</v>
      </c>
      <c r="AE2376">
        <v>0</v>
      </c>
      <c r="AF2376" s="21">
        <f t="shared" si="290"/>
        <v>0</v>
      </c>
    </row>
    <row r="2377" spans="1:32" ht="15" customHeight="1" x14ac:dyDescent="0.3">
      <c r="A2377">
        <v>4</v>
      </c>
      <c r="B2377" s="2" t="s">
        <v>697</v>
      </c>
      <c r="C2377" s="4" t="s">
        <v>695</v>
      </c>
      <c r="D2377" s="3" t="s">
        <v>686</v>
      </c>
      <c r="E2377" s="6" t="s">
        <v>144</v>
      </c>
      <c r="F2377" s="6" t="s">
        <v>153</v>
      </c>
      <c r="G2377" s="6" t="s">
        <v>712</v>
      </c>
      <c r="H2377" s="23">
        <v>214.29</v>
      </c>
      <c r="I2377">
        <v>4000</v>
      </c>
      <c r="J2377">
        <v>1</v>
      </c>
      <c r="K2377" s="20">
        <f t="shared" si="288"/>
        <v>857160</v>
      </c>
      <c r="L2377">
        <v>0</v>
      </c>
      <c r="M2377">
        <v>0</v>
      </c>
      <c r="N2377" s="21">
        <f t="shared" si="289"/>
        <v>0</v>
      </c>
      <c r="O2377">
        <v>0</v>
      </c>
      <c r="P2377">
        <v>0</v>
      </c>
      <c r="Q2377" s="21">
        <f t="shared" si="283"/>
        <v>0</v>
      </c>
      <c r="R2377">
        <v>0</v>
      </c>
      <c r="S2377">
        <v>0</v>
      </c>
      <c r="T2377" s="21">
        <f t="shared" si="284"/>
        <v>0</v>
      </c>
      <c r="U2377">
        <v>0</v>
      </c>
      <c r="V2377">
        <v>0</v>
      </c>
      <c r="W2377" s="21">
        <f t="shared" si="285"/>
        <v>0</v>
      </c>
      <c r="X2377">
        <v>0</v>
      </c>
      <c r="Y2377">
        <v>0</v>
      </c>
      <c r="Z2377" s="21">
        <f t="shared" si="286"/>
        <v>0</v>
      </c>
      <c r="AA2377">
        <v>0</v>
      </c>
      <c r="AB2377">
        <v>0</v>
      </c>
      <c r="AC2377" s="21">
        <f t="shared" si="287"/>
        <v>0</v>
      </c>
      <c r="AD2377">
        <v>0</v>
      </c>
      <c r="AE2377">
        <v>0</v>
      </c>
      <c r="AF2377" s="21">
        <f t="shared" si="290"/>
        <v>0</v>
      </c>
    </row>
    <row r="2378" spans="1:32" ht="15" customHeight="1" x14ac:dyDescent="0.3">
      <c r="A2378">
        <v>4</v>
      </c>
      <c r="B2378" s="2" t="s">
        <v>697</v>
      </c>
      <c r="C2378" s="4" t="s">
        <v>695</v>
      </c>
      <c r="D2378" s="3" t="s">
        <v>686</v>
      </c>
      <c r="E2378" s="6" t="s">
        <v>144</v>
      </c>
      <c r="F2378" s="6" t="s">
        <v>172</v>
      </c>
      <c r="G2378" s="6" t="s">
        <v>709</v>
      </c>
      <c r="H2378" s="23">
        <v>28000</v>
      </c>
      <c r="I2378">
        <v>40</v>
      </c>
      <c r="J2378">
        <v>1</v>
      </c>
      <c r="K2378" s="20">
        <f t="shared" si="288"/>
        <v>1120000</v>
      </c>
      <c r="L2378">
        <v>0</v>
      </c>
      <c r="M2378">
        <v>0</v>
      </c>
      <c r="N2378" s="21">
        <f t="shared" si="289"/>
        <v>0</v>
      </c>
      <c r="O2378">
        <v>0</v>
      </c>
      <c r="P2378">
        <v>0</v>
      </c>
      <c r="Q2378" s="21">
        <f t="shared" si="283"/>
        <v>0</v>
      </c>
      <c r="R2378">
        <v>0</v>
      </c>
      <c r="S2378">
        <v>0</v>
      </c>
      <c r="T2378" s="21">
        <f t="shared" si="284"/>
        <v>0</v>
      </c>
      <c r="U2378">
        <v>0</v>
      </c>
      <c r="V2378">
        <v>0</v>
      </c>
      <c r="W2378" s="21">
        <f t="shared" si="285"/>
        <v>0</v>
      </c>
      <c r="X2378">
        <v>0</v>
      </c>
      <c r="Y2378">
        <v>0</v>
      </c>
      <c r="Z2378" s="21">
        <f t="shared" si="286"/>
        <v>0</v>
      </c>
      <c r="AA2378">
        <v>0</v>
      </c>
      <c r="AB2378">
        <v>0</v>
      </c>
      <c r="AC2378" s="21">
        <f t="shared" si="287"/>
        <v>0</v>
      </c>
      <c r="AD2378">
        <v>0</v>
      </c>
      <c r="AE2378">
        <v>0</v>
      </c>
      <c r="AF2378" s="21">
        <f t="shared" si="290"/>
        <v>0</v>
      </c>
    </row>
    <row r="2379" spans="1:32" ht="15" customHeight="1" x14ac:dyDescent="0.3">
      <c r="A2379">
        <v>4</v>
      </c>
      <c r="B2379" s="2" t="s">
        <v>697</v>
      </c>
      <c r="C2379" s="4" t="s">
        <v>695</v>
      </c>
      <c r="D2379" s="3" t="s">
        <v>686</v>
      </c>
      <c r="E2379" s="6" t="s">
        <v>144</v>
      </c>
      <c r="F2379" s="6" t="s">
        <v>562</v>
      </c>
      <c r="G2379" s="6" t="s">
        <v>718</v>
      </c>
      <c r="H2379" s="23">
        <v>0</v>
      </c>
      <c r="I2379">
        <v>0</v>
      </c>
      <c r="J2379">
        <v>0</v>
      </c>
      <c r="K2379" s="20">
        <f t="shared" si="288"/>
        <v>0</v>
      </c>
      <c r="L2379">
        <v>0</v>
      </c>
      <c r="M2379">
        <v>0</v>
      </c>
      <c r="N2379" s="21">
        <f t="shared" si="289"/>
        <v>0</v>
      </c>
      <c r="O2379">
        <v>0</v>
      </c>
      <c r="P2379">
        <v>0</v>
      </c>
      <c r="Q2379" s="21">
        <f t="shared" si="283"/>
        <v>0</v>
      </c>
      <c r="R2379">
        <v>0</v>
      </c>
      <c r="S2379">
        <v>0</v>
      </c>
      <c r="T2379" s="21">
        <f t="shared" si="284"/>
        <v>0</v>
      </c>
      <c r="U2379">
        <v>0</v>
      </c>
      <c r="V2379">
        <v>0</v>
      </c>
      <c r="W2379" s="21">
        <f t="shared" si="285"/>
        <v>0</v>
      </c>
      <c r="X2379">
        <v>0</v>
      </c>
      <c r="Y2379">
        <v>0</v>
      </c>
      <c r="Z2379" s="21">
        <f t="shared" si="286"/>
        <v>0</v>
      </c>
      <c r="AA2379">
        <v>0</v>
      </c>
      <c r="AB2379">
        <v>0</v>
      </c>
      <c r="AC2379" s="21">
        <f t="shared" si="287"/>
        <v>0</v>
      </c>
      <c r="AD2379">
        <v>0</v>
      </c>
      <c r="AE2379">
        <v>0</v>
      </c>
      <c r="AF2379" s="21">
        <f t="shared" si="290"/>
        <v>0</v>
      </c>
    </row>
    <row r="2380" spans="1:32" ht="15" customHeight="1" x14ac:dyDescent="0.3">
      <c r="A2380">
        <v>4</v>
      </c>
      <c r="B2380" s="2" t="s">
        <v>697</v>
      </c>
      <c r="C2380" s="4" t="s">
        <v>695</v>
      </c>
      <c r="D2380" s="3" t="s">
        <v>686</v>
      </c>
      <c r="E2380" s="6" t="s">
        <v>144</v>
      </c>
      <c r="F2380" s="6" t="s">
        <v>156</v>
      </c>
      <c r="G2380" s="6" t="s">
        <v>709</v>
      </c>
      <c r="H2380" s="23">
        <v>28000</v>
      </c>
      <c r="I2380">
        <v>100</v>
      </c>
      <c r="J2380">
        <v>1</v>
      </c>
      <c r="K2380" s="20">
        <f t="shared" si="288"/>
        <v>2800000</v>
      </c>
      <c r="L2380">
        <v>0</v>
      </c>
      <c r="M2380">
        <v>0</v>
      </c>
      <c r="N2380" s="21">
        <f t="shared" si="289"/>
        <v>0</v>
      </c>
      <c r="O2380">
        <v>0</v>
      </c>
      <c r="P2380">
        <v>0</v>
      </c>
      <c r="Q2380" s="21">
        <f t="shared" si="283"/>
        <v>0</v>
      </c>
      <c r="R2380">
        <v>0</v>
      </c>
      <c r="S2380">
        <v>0</v>
      </c>
      <c r="T2380" s="21">
        <f t="shared" si="284"/>
        <v>0</v>
      </c>
      <c r="U2380">
        <v>0</v>
      </c>
      <c r="V2380">
        <v>0</v>
      </c>
      <c r="W2380" s="21">
        <f t="shared" si="285"/>
        <v>0</v>
      </c>
      <c r="X2380">
        <v>0</v>
      </c>
      <c r="Y2380">
        <v>0</v>
      </c>
      <c r="Z2380" s="21">
        <f t="shared" si="286"/>
        <v>0</v>
      </c>
      <c r="AA2380">
        <v>0</v>
      </c>
      <c r="AB2380">
        <v>0</v>
      </c>
      <c r="AC2380" s="21">
        <f t="shared" si="287"/>
        <v>0</v>
      </c>
      <c r="AD2380">
        <v>0</v>
      </c>
      <c r="AE2380">
        <v>0</v>
      </c>
      <c r="AF2380" s="21">
        <f t="shared" si="290"/>
        <v>0</v>
      </c>
    </row>
    <row r="2381" spans="1:32" ht="15" customHeight="1" x14ac:dyDescent="0.3">
      <c r="A2381">
        <v>4</v>
      </c>
      <c r="B2381" s="2" t="s">
        <v>697</v>
      </c>
      <c r="C2381" s="4" t="s">
        <v>695</v>
      </c>
      <c r="D2381" s="3" t="s">
        <v>686</v>
      </c>
      <c r="E2381" s="6" t="s">
        <v>144</v>
      </c>
      <c r="F2381" s="6" t="s">
        <v>156</v>
      </c>
      <c r="G2381" s="6" t="s">
        <v>711</v>
      </c>
      <c r="H2381" s="23">
        <v>70</v>
      </c>
      <c r="I2381">
        <v>50000</v>
      </c>
      <c r="J2381">
        <v>1</v>
      </c>
      <c r="K2381" s="20">
        <f t="shared" si="288"/>
        <v>3500000</v>
      </c>
      <c r="L2381">
        <v>0</v>
      </c>
      <c r="M2381">
        <v>0</v>
      </c>
      <c r="N2381" s="21">
        <f t="shared" si="289"/>
        <v>0</v>
      </c>
      <c r="O2381">
        <v>0</v>
      </c>
      <c r="P2381">
        <v>0</v>
      </c>
      <c r="Q2381" s="21">
        <f t="shared" si="283"/>
        <v>0</v>
      </c>
      <c r="R2381">
        <v>0</v>
      </c>
      <c r="S2381">
        <v>0</v>
      </c>
      <c r="T2381" s="21">
        <f t="shared" si="284"/>
        <v>0</v>
      </c>
      <c r="U2381">
        <v>0</v>
      </c>
      <c r="V2381">
        <v>0</v>
      </c>
      <c r="W2381" s="21">
        <f t="shared" si="285"/>
        <v>0</v>
      </c>
      <c r="X2381">
        <v>0</v>
      </c>
      <c r="Y2381">
        <v>0</v>
      </c>
      <c r="Z2381" s="21">
        <f t="shared" si="286"/>
        <v>0</v>
      </c>
      <c r="AA2381">
        <v>0</v>
      </c>
      <c r="AB2381">
        <v>0</v>
      </c>
      <c r="AC2381" s="21">
        <f t="shared" si="287"/>
        <v>0</v>
      </c>
      <c r="AD2381">
        <v>0</v>
      </c>
      <c r="AE2381">
        <v>0</v>
      </c>
      <c r="AF2381" s="21">
        <f t="shared" si="290"/>
        <v>0</v>
      </c>
    </row>
    <row r="2382" spans="1:32" ht="15" customHeight="1" x14ac:dyDescent="0.3">
      <c r="A2382">
        <v>4</v>
      </c>
      <c r="B2382" s="2" t="s">
        <v>697</v>
      </c>
      <c r="C2382" s="4" t="s">
        <v>695</v>
      </c>
      <c r="D2382" s="3" t="s">
        <v>686</v>
      </c>
      <c r="E2382" s="6" t="s">
        <v>144</v>
      </c>
      <c r="F2382" s="6" t="s">
        <v>156</v>
      </c>
      <c r="G2382" s="6" t="s">
        <v>717</v>
      </c>
      <c r="H2382" s="23">
        <v>104850</v>
      </c>
      <c r="I2382">
        <v>5</v>
      </c>
      <c r="J2382">
        <v>1</v>
      </c>
      <c r="K2382" s="20">
        <f t="shared" si="288"/>
        <v>524250</v>
      </c>
      <c r="L2382">
        <v>0</v>
      </c>
      <c r="M2382">
        <v>0</v>
      </c>
      <c r="N2382" s="21">
        <f t="shared" si="289"/>
        <v>0</v>
      </c>
      <c r="O2382">
        <v>0</v>
      </c>
      <c r="P2382">
        <v>0</v>
      </c>
      <c r="Q2382" s="21">
        <f t="shared" si="283"/>
        <v>0</v>
      </c>
      <c r="R2382">
        <v>0</v>
      </c>
      <c r="S2382">
        <v>0</v>
      </c>
      <c r="T2382" s="21">
        <f t="shared" si="284"/>
        <v>0</v>
      </c>
      <c r="U2382">
        <v>0</v>
      </c>
      <c r="V2382">
        <v>0</v>
      </c>
      <c r="W2382" s="21">
        <f t="shared" si="285"/>
        <v>0</v>
      </c>
      <c r="X2382">
        <v>0</v>
      </c>
      <c r="Y2382">
        <v>0</v>
      </c>
      <c r="Z2382" s="21">
        <f t="shared" si="286"/>
        <v>0</v>
      </c>
      <c r="AA2382">
        <v>0</v>
      </c>
      <c r="AB2382">
        <v>0</v>
      </c>
      <c r="AC2382" s="21">
        <f t="shared" si="287"/>
        <v>0</v>
      </c>
      <c r="AD2382">
        <v>0</v>
      </c>
      <c r="AE2382">
        <v>0</v>
      </c>
      <c r="AF2382" s="21">
        <f t="shared" si="290"/>
        <v>0</v>
      </c>
    </row>
    <row r="2383" spans="1:32" ht="15" customHeight="1" x14ac:dyDescent="0.3">
      <c r="A2383">
        <v>4</v>
      </c>
      <c r="B2383" s="2" t="s">
        <v>697</v>
      </c>
      <c r="C2383" s="4" t="s">
        <v>695</v>
      </c>
      <c r="D2383" s="3" t="s">
        <v>686</v>
      </c>
      <c r="E2383" s="6" t="s">
        <v>144</v>
      </c>
      <c r="F2383" s="6" t="s">
        <v>156</v>
      </c>
      <c r="G2383" s="6" t="s">
        <v>716</v>
      </c>
      <c r="H2383" s="23">
        <v>39000</v>
      </c>
      <c r="I2383">
        <v>50</v>
      </c>
      <c r="J2383">
        <v>1</v>
      </c>
      <c r="K2383" s="20">
        <f t="shared" si="288"/>
        <v>1950000</v>
      </c>
      <c r="L2383">
        <v>0</v>
      </c>
      <c r="M2383">
        <v>0</v>
      </c>
      <c r="N2383" s="21">
        <f t="shared" si="289"/>
        <v>0</v>
      </c>
      <c r="O2383">
        <v>0</v>
      </c>
      <c r="P2383">
        <v>0</v>
      </c>
      <c r="Q2383" s="21">
        <f t="shared" si="283"/>
        <v>0</v>
      </c>
      <c r="R2383">
        <v>0</v>
      </c>
      <c r="S2383">
        <v>0</v>
      </c>
      <c r="T2383" s="21">
        <f t="shared" si="284"/>
        <v>0</v>
      </c>
      <c r="U2383">
        <v>0</v>
      </c>
      <c r="V2383">
        <v>0</v>
      </c>
      <c r="W2383" s="21">
        <f t="shared" si="285"/>
        <v>0</v>
      </c>
      <c r="X2383">
        <v>0</v>
      </c>
      <c r="Y2383">
        <v>0</v>
      </c>
      <c r="Z2383" s="21">
        <f t="shared" si="286"/>
        <v>0</v>
      </c>
      <c r="AA2383">
        <v>0</v>
      </c>
      <c r="AB2383">
        <v>0</v>
      </c>
      <c r="AC2383" s="21">
        <f t="shared" si="287"/>
        <v>0</v>
      </c>
      <c r="AD2383">
        <v>0</v>
      </c>
      <c r="AE2383">
        <v>0</v>
      </c>
      <c r="AF2383" s="21">
        <f t="shared" si="290"/>
        <v>0</v>
      </c>
    </row>
    <row r="2384" spans="1:32" ht="15" customHeight="1" x14ac:dyDescent="0.3">
      <c r="A2384">
        <v>4</v>
      </c>
      <c r="B2384" s="2" t="s">
        <v>697</v>
      </c>
      <c r="C2384" s="4" t="s">
        <v>695</v>
      </c>
      <c r="D2384" s="3" t="s">
        <v>686</v>
      </c>
      <c r="E2384" s="6" t="s">
        <v>145</v>
      </c>
      <c r="F2384" s="6" t="s">
        <v>155</v>
      </c>
      <c r="G2384" s="6" t="s">
        <v>718</v>
      </c>
      <c r="H2384" s="23">
        <v>0</v>
      </c>
      <c r="I2384">
        <v>0</v>
      </c>
      <c r="J2384">
        <v>0</v>
      </c>
      <c r="K2384" s="20">
        <f t="shared" si="288"/>
        <v>0</v>
      </c>
      <c r="L2384">
        <v>0</v>
      </c>
      <c r="M2384">
        <v>0</v>
      </c>
      <c r="N2384" s="21">
        <f t="shared" si="289"/>
        <v>0</v>
      </c>
      <c r="O2384">
        <v>0</v>
      </c>
      <c r="P2384">
        <v>0</v>
      </c>
      <c r="Q2384" s="21">
        <f t="shared" si="283"/>
        <v>0</v>
      </c>
      <c r="R2384">
        <v>0</v>
      </c>
      <c r="S2384">
        <v>0</v>
      </c>
      <c r="T2384" s="21">
        <f t="shared" si="284"/>
        <v>0</v>
      </c>
      <c r="U2384">
        <v>0</v>
      </c>
      <c r="V2384">
        <v>0</v>
      </c>
      <c r="W2384" s="21">
        <f t="shared" si="285"/>
        <v>0</v>
      </c>
      <c r="X2384">
        <v>0</v>
      </c>
      <c r="Y2384">
        <v>0</v>
      </c>
      <c r="Z2384" s="21">
        <f t="shared" si="286"/>
        <v>0</v>
      </c>
      <c r="AA2384">
        <v>0</v>
      </c>
      <c r="AB2384">
        <v>0</v>
      </c>
      <c r="AC2384" s="21">
        <f t="shared" si="287"/>
        <v>0</v>
      </c>
      <c r="AD2384">
        <v>0</v>
      </c>
      <c r="AE2384">
        <v>0</v>
      </c>
      <c r="AF2384" s="21">
        <f t="shared" si="290"/>
        <v>0</v>
      </c>
    </row>
    <row r="2385" spans="1:32" ht="15" customHeight="1" x14ac:dyDescent="0.3">
      <c r="A2385">
        <v>4</v>
      </c>
      <c r="B2385" s="2" t="s">
        <v>697</v>
      </c>
      <c r="C2385" s="4" t="s">
        <v>695</v>
      </c>
      <c r="D2385" s="3" t="s">
        <v>686</v>
      </c>
      <c r="E2385" s="6" t="s">
        <v>145</v>
      </c>
      <c r="F2385" s="6" t="s">
        <v>622</v>
      </c>
      <c r="G2385" s="6" t="s">
        <v>709</v>
      </c>
      <c r="H2385" s="23">
        <v>28000</v>
      </c>
      <c r="I2385">
        <v>20</v>
      </c>
      <c r="J2385">
        <v>30</v>
      </c>
      <c r="K2385" s="20">
        <f t="shared" si="288"/>
        <v>16800000</v>
      </c>
      <c r="L2385">
        <v>0</v>
      </c>
      <c r="M2385">
        <v>0</v>
      </c>
      <c r="N2385" s="21">
        <f t="shared" si="289"/>
        <v>0</v>
      </c>
      <c r="O2385">
        <v>0</v>
      </c>
      <c r="P2385">
        <v>0</v>
      </c>
      <c r="Q2385" s="21">
        <f t="shared" si="283"/>
        <v>0</v>
      </c>
      <c r="R2385">
        <v>0</v>
      </c>
      <c r="S2385">
        <v>0</v>
      </c>
      <c r="T2385" s="21">
        <f t="shared" si="284"/>
        <v>0</v>
      </c>
      <c r="U2385">
        <v>0</v>
      </c>
      <c r="V2385">
        <v>0</v>
      </c>
      <c r="W2385" s="21">
        <f t="shared" si="285"/>
        <v>0</v>
      </c>
      <c r="X2385">
        <v>0</v>
      </c>
      <c r="Y2385">
        <v>0</v>
      </c>
      <c r="Z2385" s="21">
        <f t="shared" si="286"/>
        <v>0</v>
      </c>
      <c r="AA2385">
        <v>0</v>
      </c>
      <c r="AB2385">
        <v>0</v>
      </c>
      <c r="AC2385" s="21">
        <f t="shared" si="287"/>
        <v>0</v>
      </c>
      <c r="AD2385">
        <v>0</v>
      </c>
      <c r="AE2385">
        <v>0</v>
      </c>
      <c r="AF2385" s="21">
        <f t="shared" si="290"/>
        <v>0</v>
      </c>
    </row>
    <row r="2386" spans="1:32" ht="15" customHeight="1" x14ac:dyDescent="0.3">
      <c r="A2386">
        <v>4</v>
      </c>
      <c r="B2386" s="2" t="s">
        <v>697</v>
      </c>
      <c r="C2386" s="4" t="s">
        <v>695</v>
      </c>
      <c r="D2386" s="3" t="s">
        <v>686</v>
      </c>
      <c r="E2386" s="6" t="s">
        <v>145</v>
      </c>
      <c r="F2386" s="6" t="s">
        <v>622</v>
      </c>
      <c r="G2386" s="6" t="s">
        <v>716</v>
      </c>
      <c r="H2386" s="23">
        <v>39000</v>
      </c>
      <c r="I2386">
        <v>20</v>
      </c>
      <c r="J2386">
        <v>30</v>
      </c>
      <c r="K2386" s="20">
        <f t="shared" si="288"/>
        <v>23400000</v>
      </c>
      <c r="L2386">
        <v>0</v>
      </c>
      <c r="M2386">
        <v>0</v>
      </c>
      <c r="N2386" s="21">
        <f t="shared" si="289"/>
        <v>0</v>
      </c>
      <c r="O2386">
        <v>0</v>
      </c>
      <c r="P2386">
        <v>0</v>
      </c>
      <c r="Q2386" s="21">
        <f t="shared" si="283"/>
        <v>0</v>
      </c>
      <c r="R2386">
        <v>0</v>
      </c>
      <c r="S2386">
        <v>0</v>
      </c>
      <c r="T2386" s="21">
        <f t="shared" si="284"/>
        <v>0</v>
      </c>
      <c r="U2386">
        <v>0</v>
      </c>
      <c r="V2386">
        <v>0</v>
      </c>
      <c r="W2386" s="21">
        <f t="shared" si="285"/>
        <v>0</v>
      </c>
      <c r="X2386">
        <v>0</v>
      </c>
      <c r="Y2386">
        <v>0</v>
      </c>
      <c r="Z2386" s="21">
        <f t="shared" si="286"/>
        <v>0</v>
      </c>
      <c r="AA2386">
        <v>0</v>
      </c>
      <c r="AB2386">
        <v>0</v>
      </c>
      <c r="AC2386" s="21">
        <f t="shared" si="287"/>
        <v>0</v>
      </c>
      <c r="AD2386">
        <v>0</v>
      </c>
      <c r="AE2386">
        <v>0</v>
      </c>
      <c r="AF2386" s="21">
        <f t="shared" si="290"/>
        <v>0</v>
      </c>
    </row>
    <row r="2387" spans="1:32" ht="15" customHeight="1" x14ac:dyDescent="0.3">
      <c r="A2387">
        <v>4</v>
      </c>
      <c r="B2387" s="2" t="s">
        <v>697</v>
      </c>
      <c r="C2387" s="4" t="s">
        <v>695</v>
      </c>
      <c r="D2387" s="3" t="s">
        <v>686</v>
      </c>
      <c r="E2387" s="6" t="s">
        <v>145</v>
      </c>
      <c r="F2387" s="6" t="s">
        <v>622</v>
      </c>
      <c r="G2387" s="6" t="s">
        <v>712</v>
      </c>
      <c r="H2387" s="23">
        <v>214.29</v>
      </c>
      <c r="I2387">
        <v>4000</v>
      </c>
      <c r="J2387">
        <v>6</v>
      </c>
      <c r="K2387" s="20">
        <f t="shared" si="288"/>
        <v>5142960</v>
      </c>
      <c r="L2387">
        <v>0</v>
      </c>
      <c r="M2387">
        <v>0</v>
      </c>
      <c r="N2387" s="21">
        <f t="shared" si="289"/>
        <v>0</v>
      </c>
      <c r="O2387">
        <v>0</v>
      </c>
      <c r="P2387">
        <v>0</v>
      </c>
      <c r="Q2387" s="21">
        <f t="shared" si="283"/>
        <v>0</v>
      </c>
      <c r="R2387">
        <v>0</v>
      </c>
      <c r="S2387">
        <v>0</v>
      </c>
      <c r="T2387" s="21">
        <f t="shared" si="284"/>
        <v>0</v>
      </c>
      <c r="U2387">
        <v>0</v>
      </c>
      <c r="V2387">
        <v>0</v>
      </c>
      <c r="W2387" s="21">
        <f t="shared" si="285"/>
        <v>0</v>
      </c>
      <c r="X2387">
        <v>0</v>
      </c>
      <c r="Y2387">
        <v>0</v>
      </c>
      <c r="Z2387" s="21">
        <f t="shared" si="286"/>
        <v>0</v>
      </c>
      <c r="AA2387">
        <v>0</v>
      </c>
      <c r="AB2387">
        <v>0</v>
      </c>
      <c r="AC2387" s="21">
        <f t="shared" si="287"/>
        <v>0</v>
      </c>
      <c r="AD2387">
        <v>0</v>
      </c>
      <c r="AE2387">
        <v>0</v>
      </c>
      <c r="AF2387" s="21">
        <f t="shared" si="290"/>
        <v>0</v>
      </c>
    </row>
    <row r="2388" spans="1:32" ht="15" customHeight="1" x14ac:dyDescent="0.3">
      <c r="A2388">
        <v>4</v>
      </c>
      <c r="B2388" s="2" t="s">
        <v>697</v>
      </c>
      <c r="C2388" s="4" t="s">
        <v>695</v>
      </c>
      <c r="D2388" s="3" t="s">
        <v>686</v>
      </c>
      <c r="E2388" s="6" t="s">
        <v>145</v>
      </c>
      <c r="F2388" s="6" t="s">
        <v>166</v>
      </c>
      <c r="G2388" s="6" t="s">
        <v>709</v>
      </c>
      <c r="H2388" s="23">
        <v>28000</v>
      </c>
      <c r="I2388">
        <v>40</v>
      </c>
      <c r="J2388">
        <v>1</v>
      </c>
      <c r="K2388" s="20">
        <f t="shared" si="288"/>
        <v>1120000</v>
      </c>
      <c r="L2388">
        <v>0</v>
      </c>
      <c r="M2388">
        <v>0</v>
      </c>
      <c r="N2388" s="21">
        <f t="shared" si="289"/>
        <v>0</v>
      </c>
      <c r="O2388">
        <v>0</v>
      </c>
      <c r="P2388">
        <v>0</v>
      </c>
      <c r="Q2388" s="21">
        <f t="shared" si="283"/>
        <v>0</v>
      </c>
      <c r="R2388">
        <v>0</v>
      </c>
      <c r="S2388">
        <v>0</v>
      </c>
      <c r="T2388" s="21">
        <f t="shared" si="284"/>
        <v>0</v>
      </c>
      <c r="U2388">
        <v>0</v>
      </c>
      <c r="V2388">
        <v>0</v>
      </c>
      <c r="W2388" s="21">
        <f t="shared" si="285"/>
        <v>0</v>
      </c>
      <c r="X2388">
        <v>0</v>
      </c>
      <c r="Y2388">
        <v>0</v>
      </c>
      <c r="Z2388" s="21">
        <f t="shared" si="286"/>
        <v>0</v>
      </c>
      <c r="AA2388">
        <v>0</v>
      </c>
      <c r="AB2388">
        <v>0</v>
      </c>
      <c r="AC2388" s="21">
        <f t="shared" si="287"/>
        <v>0</v>
      </c>
      <c r="AD2388">
        <v>0</v>
      </c>
      <c r="AE2388">
        <v>0</v>
      </c>
      <c r="AF2388" s="21">
        <f t="shared" si="290"/>
        <v>0</v>
      </c>
    </row>
    <row r="2389" spans="1:32" ht="15" customHeight="1" x14ac:dyDescent="0.3">
      <c r="A2389">
        <v>4</v>
      </c>
      <c r="B2389" s="2" t="s">
        <v>697</v>
      </c>
      <c r="C2389" s="4" t="s">
        <v>695</v>
      </c>
      <c r="D2389" s="3" t="s">
        <v>686</v>
      </c>
      <c r="E2389" s="6" t="s">
        <v>145</v>
      </c>
      <c r="F2389" s="6" t="s">
        <v>623</v>
      </c>
      <c r="G2389" s="6" t="s">
        <v>718</v>
      </c>
      <c r="H2389" s="23">
        <v>0</v>
      </c>
      <c r="I2389">
        <v>0</v>
      </c>
      <c r="J2389">
        <v>0</v>
      </c>
      <c r="K2389" s="20">
        <f t="shared" si="288"/>
        <v>0</v>
      </c>
      <c r="L2389">
        <v>0</v>
      </c>
      <c r="M2389">
        <v>0</v>
      </c>
      <c r="N2389" s="21">
        <f t="shared" si="289"/>
        <v>0</v>
      </c>
      <c r="O2389">
        <v>0</v>
      </c>
      <c r="P2389">
        <v>0</v>
      </c>
      <c r="Q2389" s="21">
        <f t="shared" si="283"/>
        <v>0</v>
      </c>
      <c r="R2389">
        <v>0</v>
      </c>
      <c r="S2389">
        <v>0</v>
      </c>
      <c r="T2389" s="21">
        <f t="shared" si="284"/>
        <v>0</v>
      </c>
      <c r="U2389">
        <v>0</v>
      </c>
      <c r="V2389">
        <v>0</v>
      </c>
      <c r="W2389" s="21">
        <f t="shared" si="285"/>
        <v>0</v>
      </c>
      <c r="X2389">
        <v>0</v>
      </c>
      <c r="Y2389">
        <v>0</v>
      </c>
      <c r="Z2389" s="21">
        <f t="shared" si="286"/>
        <v>0</v>
      </c>
      <c r="AA2389">
        <v>0</v>
      </c>
      <c r="AB2389">
        <v>0</v>
      </c>
      <c r="AC2389" s="21">
        <f t="shared" si="287"/>
        <v>0</v>
      </c>
      <c r="AD2389">
        <v>0</v>
      </c>
      <c r="AE2389">
        <v>0</v>
      </c>
      <c r="AF2389" s="21">
        <f t="shared" si="290"/>
        <v>0</v>
      </c>
    </row>
    <row r="2390" spans="1:32" ht="15" customHeight="1" x14ac:dyDescent="0.3">
      <c r="A2390">
        <v>4</v>
      </c>
      <c r="B2390" s="2" t="s">
        <v>697</v>
      </c>
      <c r="C2390" s="4" t="s">
        <v>695</v>
      </c>
      <c r="D2390" s="3" t="s">
        <v>686</v>
      </c>
      <c r="E2390" s="6" t="s">
        <v>145</v>
      </c>
      <c r="F2390" s="6" t="s">
        <v>624</v>
      </c>
      <c r="G2390" s="6" t="s">
        <v>709</v>
      </c>
      <c r="H2390" s="23">
        <v>28000</v>
      </c>
      <c r="I2390">
        <v>60</v>
      </c>
      <c r="J2390">
        <v>2</v>
      </c>
      <c r="K2390" s="20">
        <f t="shared" si="288"/>
        <v>3360000</v>
      </c>
      <c r="L2390">
        <v>0</v>
      </c>
      <c r="M2390">
        <v>0</v>
      </c>
      <c r="N2390" s="21">
        <f t="shared" si="289"/>
        <v>0</v>
      </c>
      <c r="O2390">
        <v>0</v>
      </c>
      <c r="P2390">
        <v>0</v>
      </c>
      <c r="Q2390" s="21">
        <f t="shared" si="283"/>
        <v>0</v>
      </c>
      <c r="R2390">
        <v>0</v>
      </c>
      <c r="S2390">
        <v>0</v>
      </c>
      <c r="T2390" s="21">
        <f t="shared" si="284"/>
        <v>0</v>
      </c>
      <c r="U2390">
        <v>0</v>
      </c>
      <c r="V2390">
        <v>0</v>
      </c>
      <c r="W2390" s="21">
        <f t="shared" si="285"/>
        <v>0</v>
      </c>
      <c r="X2390">
        <v>0</v>
      </c>
      <c r="Y2390">
        <v>0</v>
      </c>
      <c r="Z2390" s="21">
        <f t="shared" si="286"/>
        <v>0</v>
      </c>
      <c r="AA2390">
        <v>0</v>
      </c>
      <c r="AB2390">
        <v>0</v>
      </c>
      <c r="AC2390" s="21">
        <f t="shared" si="287"/>
        <v>0</v>
      </c>
      <c r="AD2390">
        <v>0</v>
      </c>
      <c r="AE2390">
        <v>0</v>
      </c>
      <c r="AF2390" s="21">
        <f t="shared" si="290"/>
        <v>0</v>
      </c>
    </row>
    <row r="2391" spans="1:32" ht="15" customHeight="1" x14ac:dyDescent="0.3">
      <c r="A2391">
        <v>4</v>
      </c>
      <c r="B2391" s="2" t="s">
        <v>697</v>
      </c>
      <c r="C2391" s="4" t="s">
        <v>695</v>
      </c>
      <c r="D2391" s="3" t="s">
        <v>686</v>
      </c>
      <c r="E2391" s="6" t="s">
        <v>145</v>
      </c>
      <c r="F2391" s="6" t="s">
        <v>624</v>
      </c>
      <c r="G2391" s="6" t="s">
        <v>716</v>
      </c>
      <c r="H2391" s="23">
        <v>39000</v>
      </c>
      <c r="I2391">
        <v>60</v>
      </c>
      <c r="J2391">
        <v>2</v>
      </c>
      <c r="K2391" s="20">
        <f t="shared" si="288"/>
        <v>4680000</v>
      </c>
      <c r="L2391">
        <v>0</v>
      </c>
      <c r="M2391">
        <v>0</v>
      </c>
      <c r="N2391" s="21">
        <f t="shared" si="289"/>
        <v>0</v>
      </c>
      <c r="O2391">
        <v>0</v>
      </c>
      <c r="P2391">
        <v>0</v>
      </c>
      <c r="Q2391" s="21">
        <f t="shared" si="283"/>
        <v>0</v>
      </c>
      <c r="R2391">
        <v>0</v>
      </c>
      <c r="S2391">
        <v>0</v>
      </c>
      <c r="T2391" s="21">
        <f t="shared" si="284"/>
        <v>0</v>
      </c>
      <c r="U2391">
        <v>0</v>
      </c>
      <c r="V2391">
        <v>0</v>
      </c>
      <c r="W2391" s="21">
        <f t="shared" si="285"/>
        <v>0</v>
      </c>
      <c r="X2391">
        <v>0</v>
      </c>
      <c r="Y2391">
        <v>0</v>
      </c>
      <c r="Z2391" s="21">
        <f t="shared" si="286"/>
        <v>0</v>
      </c>
      <c r="AA2391">
        <v>0</v>
      </c>
      <c r="AB2391">
        <v>0</v>
      </c>
      <c r="AC2391" s="21">
        <f t="shared" si="287"/>
        <v>0</v>
      </c>
      <c r="AD2391">
        <v>0</v>
      </c>
      <c r="AE2391">
        <v>0</v>
      </c>
      <c r="AF2391" s="21">
        <f t="shared" si="290"/>
        <v>0</v>
      </c>
    </row>
    <row r="2392" spans="1:32" ht="15" customHeight="1" x14ac:dyDescent="0.3">
      <c r="A2392">
        <v>4</v>
      </c>
      <c r="B2392" s="2" t="s">
        <v>697</v>
      </c>
      <c r="C2392" s="4" t="s">
        <v>695</v>
      </c>
      <c r="D2392" s="3" t="s">
        <v>686</v>
      </c>
      <c r="E2392" s="6" t="s">
        <v>145</v>
      </c>
      <c r="F2392" s="6" t="s">
        <v>624</v>
      </c>
      <c r="G2392" s="6" t="s">
        <v>712</v>
      </c>
      <c r="H2392" s="23">
        <v>214.29</v>
      </c>
      <c r="I2392">
        <v>20000</v>
      </c>
      <c r="J2392">
        <v>1</v>
      </c>
      <c r="K2392" s="20">
        <f t="shared" si="288"/>
        <v>4285800</v>
      </c>
      <c r="L2392">
        <v>0</v>
      </c>
      <c r="M2392">
        <v>0</v>
      </c>
      <c r="N2392" s="21">
        <f t="shared" si="289"/>
        <v>0</v>
      </c>
      <c r="O2392">
        <v>0</v>
      </c>
      <c r="P2392">
        <v>0</v>
      </c>
      <c r="Q2392" s="21">
        <f t="shared" si="283"/>
        <v>0</v>
      </c>
      <c r="R2392">
        <v>0</v>
      </c>
      <c r="S2392">
        <v>0</v>
      </c>
      <c r="T2392" s="21">
        <f t="shared" si="284"/>
        <v>0</v>
      </c>
      <c r="U2392">
        <v>0</v>
      </c>
      <c r="V2392">
        <v>0</v>
      </c>
      <c r="W2392" s="21">
        <f t="shared" si="285"/>
        <v>0</v>
      </c>
      <c r="X2392">
        <v>0</v>
      </c>
      <c r="Y2392">
        <v>0</v>
      </c>
      <c r="Z2392" s="21">
        <f t="shared" si="286"/>
        <v>0</v>
      </c>
      <c r="AA2392">
        <v>0</v>
      </c>
      <c r="AB2392">
        <v>0</v>
      </c>
      <c r="AC2392" s="21">
        <f t="shared" si="287"/>
        <v>0</v>
      </c>
      <c r="AD2392">
        <v>0</v>
      </c>
      <c r="AE2392">
        <v>0</v>
      </c>
      <c r="AF2392" s="21">
        <f t="shared" si="290"/>
        <v>0</v>
      </c>
    </row>
    <row r="2393" spans="1:32" ht="15" customHeight="1" x14ac:dyDescent="0.3">
      <c r="A2393">
        <v>4</v>
      </c>
      <c r="B2393" s="2" t="s">
        <v>697</v>
      </c>
      <c r="C2393" s="4" t="s">
        <v>695</v>
      </c>
      <c r="D2393" s="3" t="s">
        <v>686</v>
      </c>
      <c r="E2393" s="6" t="s">
        <v>145</v>
      </c>
      <c r="F2393" s="6" t="s">
        <v>625</v>
      </c>
      <c r="G2393" s="6" t="s">
        <v>709</v>
      </c>
      <c r="H2393" s="23">
        <v>28000</v>
      </c>
      <c r="I2393">
        <v>50</v>
      </c>
      <c r="J2393">
        <v>1</v>
      </c>
      <c r="K2393" s="20">
        <f t="shared" si="288"/>
        <v>1400000</v>
      </c>
      <c r="L2393">
        <v>0</v>
      </c>
      <c r="M2393">
        <v>0</v>
      </c>
      <c r="N2393" s="21">
        <f t="shared" si="289"/>
        <v>0</v>
      </c>
      <c r="O2393">
        <v>0</v>
      </c>
      <c r="P2393">
        <v>0</v>
      </c>
      <c r="Q2393" s="21">
        <f t="shared" si="283"/>
        <v>0</v>
      </c>
      <c r="R2393">
        <v>0</v>
      </c>
      <c r="S2393">
        <v>0</v>
      </c>
      <c r="T2393" s="21">
        <f t="shared" si="284"/>
        <v>0</v>
      </c>
      <c r="U2393">
        <v>0</v>
      </c>
      <c r="V2393">
        <v>0</v>
      </c>
      <c r="W2393" s="21">
        <f t="shared" si="285"/>
        <v>0</v>
      </c>
      <c r="X2393">
        <v>0</v>
      </c>
      <c r="Y2393">
        <v>0</v>
      </c>
      <c r="Z2393" s="21">
        <f t="shared" si="286"/>
        <v>0</v>
      </c>
      <c r="AA2393">
        <v>0</v>
      </c>
      <c r="AB2393">
        <v>0</v>
      </c>
      <c r="AC2393" s="21">
        <f t="shared" si="287"/>
        <v>0</v>
      </c>
      <c r="AD2393">
        <v>0</v>
      </c>
      <c r="AE2393">
        <v>0</v>
      </c>
      <c r="AF2393" s="21">
        <f t="shared" si="290"/>
        <v>0</v>
      </c>
    </row>
    <row r="2394" spans="1:32" ht="15" customHeight="1" x14ac:dyDescent="0.3">
      <c r="A2394">
        <v>4</v>
      </c>
      <c r="B2394" s="2" t="s">
        <v>697</v>
      </c>
      <c r="C2394" s="4" t="s">
        <v>695</v>
      </c>
      <c r="D2394" s="3" t="s">
        <v>686</v>
      </c>
      <c r="E2394" s="6" t="s">
        <v>145</v>
      </c>
      <c r="F2394" s="6" t="s">
        <v>626</v>
      </c>
      <c r="G2394" s="6" t="s">
        <v>721</v>
      </c>
      <c r="H2394" s="23">
        <v>80000</v>
      </c>
      <c r="I2394">
        <v>15</v>
      </c>
      <c r="J2394">
        <v>2</v>
      </c>
      <c r="K2394" s="20">
        <f t="shared" si="288"/>
        <v>2400000</v>
      </c>
      <c r="L2394">
        <v>0</v>
      </c>
      <c r="M2394">
        <v>0</v>
      </c>
      <c r="N2394" s="21">
        <f t="shared" si="289"/>
        <v>0</v>
      </c>
      <c r="O2394">
        <v>0</v>
      </c>
      <c r="P2394">
        <v>0</v>
      </c>
      <c r="Q2394" s="21">
        <f t="shared" si="283"/>
        <v>0</v>
      </c>
      <c r="R2394">
        <v>0</v>
      </c>
      <c r="S2394">
        <v>0</v>
      </c>
      <c r="T2394" s="21">
        <f t="shared" si="284"/>
        <v>0</v>
      </c>
      <c r="U2394">
        <v>0</v>
      </c>
      <c r="V2394">
        <v>0</v>
      </c>
      <c r="W2394" s="21">
        <f t="shared" si="285"/>
        <v>0</v>
      </c>
      <c r="X2394">
        <v>0</v>
      </c>
      <c r="Y2394">
        <v>0</v>
      </c>
      <c r="Z2394" s="21">
        <f t="shared" si="286"/>
        <v>0</v>
      </c>
      <c r="AA2394">
        <v>0</v>
      </c>
      <c r="AB2394">
        <v>0</v>
      </c>
      <c r="AC2394" s="21">
        <f t="shared" si="287"/>
        <v>0</v>
      </c>
      <c r="AD2394">
        <v>0</v>
      </c>
      <c r="AE2394">
        <v>0</v>
      </c>
      <c r="AF2394" s="21">
        <f t="shared" si="290"/>
        <v>0</v>
      </c>
    </row>
    <row r="2395" spans="1:32" ht="15" customHeight="1" x14ac:dyDescent="0.3">
      <c r="A2395">
        <v>4</v>
      </c>
      <c r="B2395" s="2" t="s">
        <v>697</v>
      </c>
      <c r="C2395" s="4" t="s">
        <v>695</v>
      </c>
      <c r="D2395" s="3" t="s">
        <v>686</v>
      </c>
      <c r="E2395" s="6" t="s">
        <v>145</v>
      </c>
      <c r="F2395" s="6" t="s">
        <v>634</v>
      </c>
      <c r="G2395" s="6" t="s">
        <v>718</v>
      </c>
      <c r="H2395" s="23">
        <v>0</v>
      </c>
      <c r="I2395">
        <v>0</v>
      </c>
      <c r="J2395">
        <v>0</v>
      </c>
      <c r="K2395" s="20">
        <f t="shared" si="288"/>
        <v>0</v>
      </c>
      <c r="L2395">
        <v>0</v>
      </c>
      <c r="M2395">
        <v>0</v>
      </c>
      <c r="N2395" s="21">
        <f t="shared" si="289"/>
        <v>0</v>
      </c>
      <c r="O2395">
        <v>0</v>
      </c>
      <c r="P2395">
        <v>0</v>
      </c>
      <c r="Q2395" s="21">
        <f t="shared" si="283"/>
        <v>0</v>
      </c>
      <c r="R2395">
        <v>0</v>
      </c>
      <c r="S2395">
        <v>0</v>
      </c>
      <c r="T2395" s="21">
        <f t="shared" si="284"/>
        <v>0</v>
      </c>
      <c r="U2395">
        <v>0</v>
      </c>
      <c r="V2395">
        <v>0</v>
      </c>
      <c r="W2395" s="21">
        <f t="shared" si="285"/>
        <v>0</v>
      </c>
      <c r="X2395">
        <v>0</v>
      </c>
      <c r="Y2395">
        <v>0</v>
      </c>
      <c r="Z2395" s="21">
        <f t="shared" si="286"/>
        <v>0</v>
      </c>
      <c r="AA2395">
        <v>0</v>
      </c>
      <c r="AB2395">
        <v>0</v>
      </c>
      <c r="AC2395" s="21">
        <f t="shared" si="287"/>
        <v>0</v>
      </c>
      <c r="AD2395">
        <v>0</v>
      </c>
      <c r="AE2395">
        <v>0</v>
      </c>
      <c r="AF2395" s="21">
        <f t="shared" si="290"/>
        <v>0</v>
      </c>
    </row>
    <row r="2396" spans="1:32" ht="15" customHeight="1" x14ac:dyDescent="0.3">
      <c r="A2396">
        <v>4</v>
      </c>
      <c r="B2396" s="2" t="s">
        <v>697</v>
      </c>
      <c r="C2396" s="4" t="s">
        <v>695</v>
      </c>
      <c r="D2396" s="3" t="s">
        <v>687</v>
      </c>
      <c r="E2396" s="6" t="s">
        <v>146</v>
      </c>
      <c r="F2396" s="6" t="s">
        <v>155</v>
      </c>
      <c r="G2396" s="6" t="s">
        <v>718</v>
      </c>
      <c r="H2396" s="23">
        <v>0</v>
      </c>
      <c r="I2396">
        <v>0</v>
      </c>
      <c r="J2396">
        <v>0</v>
      </c>
      <c r="K2396" s="20">
        <f t="shared" si="288"/>
        <v>0</v>
      </c>
      <c r="L2396">
        <v>0</v>
      </c>
      <c r="M2396">
        <v>0</v>
      </c>
      <c r="N2396" s="21">
        <f t="shared" si="289"/>
        <v>0</v>
      </c>
      <c r="O2396">
        <v>0</v>
      </c>
      <c r="P2396">
        <v>0</v>
      </c>
      <c r="Q2396" s="21">
        <f t="shared" si="283"/>
        <v>0</v>
      </c>
      <c r="R2396">
        <v>0</v>
      </c>
      <c r="S2396">
        <v>0</v>
      </c>
      <c r="T2396" s="21">
        <f t="shared" si="284"/>
        <v>0</v>
      </c>
      <c r="U2396">
        <v>0</v>
      </c>
      <c r="V2396">
        <v>0</v>
      </c>
      <c r="W2396" s="21">
        <f t="shared" si="285"/>
        <v>0</v>
      </c>
      <c r="X2396">
        <v>0</v>
      </c>
      <c r="Y2396">
        <v>0</v>
      </c>
      <c r="Z2396" s="21">
        <f t="shared" si="286"/>
        <v>0</v>
      </c>
      <c r="AA2396">
        <v>0</v>
      </c>
      <c r="AB2396">
        <v>0</v>
      </c>
      <c r="AC2396" s="21">
        <f t="shared" si="287"/>
        <v>0</v>
      </c>
      <c r="AD2396">
        <v>0</v>
      </c>
      <c r="AE2396">
        <v>0</v>
      </c>
      <c r="AF2396" s="21">
        <f t="shared" si="290"/>
        <v>0</v>
      </c>
    </row>
    <row r="2397" spans="1:32" ht="15" customHeight="1" x14ac:dyDescent="0.3">
      <c r="A2397">
        <v>4</v>
      </c>
      <c r="B2397" s="2" t="s">
        <v>697</v>
      </c>
      <c r="C2397" s="4" t="s">
        <v>695</v>
      </c>
      <c r="D2397" s="3" t="s">
        <v>687</v>
      </c>
      <c r="E2397" s="6" t="s">
        <v>146</v>
      </c>
      <c r="F2397" s="6" t="s">
        <v>635</v>
      </c>
      <c r="G2397" s="6" t="s">
        <v>709</v>
      </c>
      <c r="H2397" s="23">
        <v>28000</v>
      </c>
      <c r="I2397">
        <v>30</v>
      </c>
      <c r="J2397">
        <v>15</v>
      </c>
      <c r="K2397" s="20">
        <f t="shared" si="288"/>
        <v>12600000</v>
      </c>
      <c r="L2397">
        <v>0</v>
      </c>
      <c r="M2397">
        <v>0</v>
      </c>
      <c r="N2397" s="21">
        <f t="shared" si="289"/>
        <v>0</v>
      </c>
      <c r="O2397">
        <v>0</v>
      </c>
      <c r="P2397">
        <v>0</v>
      </c>
      <c r="Q2397" s="21">
        <f t="shared" si="283"/>
        <v>0</v>
      </c>
      <c r="R2397">
        <v>0</v>
      </c>
      <c r="S2397">
        <v>0</v>
      </c>
      <c r="T2397" s="21">
        <f t="shared" si="284"/>
        <v>0</v>
      </c>
      <c r="U2397">
        <v>0</v>
      </c>
      <c r="V2397">
        <v>0</v>
      </c>
      <c r="W2397" s="21">
        <f t="shared" si="285"/>
        <v>0</v>
      </c>
      <c r="X2397">
        <v>0</v>
      </c>
      <c r="Y2397">
        <v>0</v>
      </c>
      <c r="Z2397" s="21">
        <f t="shared" si="286"/>
        <v>0</v>
      </c>
      <c r="AA2397">
        <v>0</v>
      </c>
      <c r="AB2397">
        <v>0</v>
      </c>
      <c r="AC2397" s="21">
        <f t="shared" si="287"/>
        <v>0</v>
      </c>
      <c r="AD2397">
        <v>0</v>
      </c>
      <c r="AE2397">
        <v>0</v>
      </c>
      <c r="AF2397" s="21">
        <f t="shared" si="290"/>
        <v>0</v>
      </c>
    </row>
    <row r="2398" spans="1:32" ht="15" customHeight="1" x14ac:dyDescent="0.3">
      <c r="A2398">
        <v>4</v>
      </c>
      <c r="B2398" s="2" t="s">
        <v>697</v>
      </c>
      <c r="C2398" s="4" t="s">
        <v>695</v>
      </c>
      <c r="D2398" s="3" t="s">
        <v>687</v>
      </c>
      <c r="E2398" s="6" t="s">
        <v>146</v>
      </c>
      <c r="F2398" s="6" t="s">
        <v>635</v>
      </c>
      <c r="G2398" s="6" t="s">
        <v>716</v>
      </c>
      <c r="H2398" s="23">
        <v>39000</v>
      </c>
      <c r="I2398">
        <v>30</v>
      </c>
      <c r="J2398">
        <v>15</v>
      </c>
      <c r="K2398" s="20">
        <f t="shared" si="288"/>
        <v>17550000</v>
      </c>
      <c r="L2398">
        <v>0</v>
      </c>
      <c r="M2398">
        <v>0</v>
      </c>
      <c r="N2398" s="21">
        <f t="shared" si="289"/>
        <v>0</v>
      </c>
      <c r="O2398">
        <v>0</v>
      </c>
      <c r="P2398">
        <v>0</v>
      </c>
      <c r="Q2398" s="21">
        <f t="shared" si="283"/>
        <v>0</v>
      </c>
      <c r="R2398">
        <v>0</v>
      </c>
      <c r="S2398">
        <v>0</v>
      </c>
      <c r="T2398" s="21">
        <f t="shared" si="284"/>
        <v>0</v>
      </c>
      <c r="U2398">
        <v>0</v>
      </c>
      <c r="V2398">
        <v>0</v>
      </c>
      <c r="W2398" s="21">
        <f t="shared" si="285"/>
        <v>0</v>
      </c>
      <c r="X2398">
        <v>0</v>
      </c>
      <c r="Y2398">
        <v>0</v>
      </c>
      <c r="Z2398" s="21">
        <f t="shared" si="286"/>
        <v>0</v>
      </c>
      <c r="AA2398">
        <v>0</v>
      </c>
      <c r="AB2398">
        <v>0</v>
      </c>
      <c r="AC2398" s="21">
        <f t="shared" si="287"/>
        <v>0</v>
      </c>
      <c r="AD2398">
        <v>0</v>
      </c>
      <c r="AE2398">
        <v>0</v>
      </c>
      <c r="AF2398" s="21">
        <f t="shared" si="290"/>
        <v>0</v>
      </c>
    </row>
    <row r="2399" spans="1:32" ht="15" customHeight="1" x14ac:dyDescent="0.3">
      <c r="A2399">
        <v>4</v>
      </c>
      <c r="B2399" s="2" t="s">
        <v>697</v>
      </c>
      <c r="C2399" s="4" t="s">
        <v>695</v>
      </c>
      <c r="D2399" s="3" t="s">
        <v>687</v>
      </c>
      <c r="E2399" s="6" t="s">
        <v>146</v>
      </c>
      <c r="F2399" s="6" t="s">
        <v>635</v>
      </c>
      <c r="G2399" s="6" t="s">
        <v>712</v>
      </c>
      <c r="H2399" s="23">
        <v>214.29</v>
      </c>
      <c r="I2399">
        <v>8000</v>
      </c>
      <c r="J2399">
        <v>3</v>
      </c>
      <c r="K2399" s="20">
        <f t="shared" si="288"/>
        <v>5142960</v>
      </c>
      <c r="L2399">
        <v>0</v>
      </c>
      <c r="M2399">
        <v>0</v>
      </c>
      <c r="N2399" s="21">
        <f t="shared" si="289"/>
        <v>0</v>
      </c>
      <c r="O2399">
        <v>0</v>
      </c>
      <c r="P2399">
        <v>0</v>
      </c>
      <c r="Q2399" s="21">
        <f t="shared" si="283"/>
        <v>0</v>
      </c>
      <c r="R2399">
        <v>0</v>
      </c>
      <c r="S2399">
        <v>0</v>
      </c>
      <c r="T2399" s="21">
        <f t="shared" si="284"/>
        <v>0</v>
      </c>
      <c r="U2399">
        <v>0</v>
      </c>
      <c r="V2399">
        <v>0</v>
      </c>
      <c r="W2399" s="21">
        <f t="shared" si="285"/>
        <v>0</v>
      </c>
      <c r="X2399">
        <v>0</v>
      </c>
      <c r="Y2399">
        <v>0</v>
      </c>
      <c r="Z2399" s="21">
        <f t="shared" si="286"/>
        <v>0</v>
      </c>
      <c r="AA2399">
        <v>0</v>
      </c>
      <c r="AB2399">
        <v>0</v>
      </c>
      <c r="AC2399" s="21">
        <f t="shared" si="287"/>
        <v>0</v>
      </c>
      <c r="AD2399">
        <v>0</v>
      </c>
      <c r="AE2399">
        <v>0</v>
      </c>
      <c r="AF2399" s="21">
        <f t="shared" si="290"/>
        <v>0</v>
      </c>
    </row>
    <row r="2400" spans="1:32" ht="15" customHeight="1" x14ac:dyDescent="0.3">
      <c r="A2400">
        <v>4</v>
      </c>
      <c r="B2400" s="2" t="s">
        <v>697</v>
      </c>
      <c r="C2400" s="4" t="s">
        <v>695</v>
      </c>
      <c r="D2400" s="3" t="s">
        <v>687</v>
      </c>
      <c r="E2400" s="6" t="s">
        <v>146</v>
      </c>
      <c r="F2400" s="6" t="s">
        <v>636</v>
      </c>
      <c r="G2400" s="6" t="s">
        <v>718</v>
      </c>
      <c r="H2400" s="23">
        <v>0</v>
      </c>
      <c r="I2400">
        <v>0</v>
      </c>
      <c r="J2400">
        <v>0</v>
      </c>
      <c r="K2400" s="20">
        <f t="shared" si="288"/>
        <v>0</v>
      </c>
      <c r="L2400">
        <v>0</v>
      </c>
      <c r="M2400">
        <v>0</v>
      </c>
      <c r="N2400" s="21">
        <f t="shared" si="289"/>
        <v>0</v>
      </c>
      <c r="O2400">
        <v>0</v>
      </c>
      <c r="P2400">
        <v>0</v>
      </c>
      <c r="Q2400" s="21">
        <f t="shared" si="283"/>
        <v>0</v>
      </c>
      <c r="R2400">
        <v>0</v>
      </c>
      <c r="S2400">
        <v>0</v>
      </c>
      <c r="T2400" s="21">
        <f t="shared" si="284"/>
        <v>0</v>
      </c>
      <c r="U2400">
        <v>0</v>
      </c>
      <c r="V2400">
        <v>0</v>
      </c>
      <c r="W2400" s="21">
        <f t="shared" si="285"/>
        <v>0</v>
      </c>
      <c r="X2400">
        <v>0</v>
      </c>
      <c r="Y2400">
        <v>0</v>
      </c>
      <c r="Z2400" s="21">
        <f t="shared" si="286"/>
        <v>0</v>
      </c>
      <c r="AA2400">
        <v>0</v>
      </c>
      <c r="AB2400">
        <v>0</v>
      </c>
      <c r="AC2400" s="21">
        <f t="shared" si="287"/>
        <v>0</v>
      </c>
      <c r="AD2400">
        <v>0</v>
      </c>
      <c r="AE2400">
        <v>0</v>
      </c>
      <c r="AF2400" s="21">
        <f t="shared" si="290"/>
        <v>0</v>
      </c>
    </row>
    <row r="2401" spans="1:32" ht="15" customHeight="1" x14ac:dyDescent="0.3">
      <c r="A2401">
        <v>4</v>
      </c>
      <c r="B2401" s="2" t="s">
        <v>697</v>
      </c>
      <c r="C2401" s="4" t="s">
        <v>695</v>
      </c>
      <c r="D2401" s="3" t="s">
        <v>687</v>
      </c>
      <c r="E2401" s="6" t="s">
        <v>146</v>
      </c>
      <c r="F2401" s="6" t="s">
        <v>637</v>
      </c>
      <c r="G2401" s="6" t="s">
        <v>718</v>
      </c>
      <c r="H2401" s="23">
        <v>0</v>
      </c>
      <c r="I2401">
        <v>0</v>
      </c>
      <c r="J2401">
        <v>0</v>
      </c>
      <c r="K2401" s="20">
        <f t="shared" si="288"/>
        <v>0</v>
      </c>
      <c r="L2401">
        <v>0</v>
      </c>
      <c r="M2401">
        <v>0</v>
      </c>
      <c r="N2401" s="21">
        <f t="shared" si="289"/>
        <v>0</v>
      </c>
      <c r="O2401">
        <v>0</v>
      </c>
      <c r="P2401">
        <v>0</v>
      </c>
      <c r="Q2401" s="21">
        <f t="shared" si="283"/>
        <v>0</v>
      </c>
      <c r="R2401">
        <v>0</v>
      </c>
      <c r="S2401">
        <v>0</v>
      </c>
      <c r="T2401" s="21">
        <f t="shared" si="284"/>
        <v>0</v>
      </c>
      <c r="U2401">
        <v>0</v>
      </c>
      <c r="V2401">
        <v>0</v>
      </c>
      <c r="W2401" s="21">
        <f t="shared" si="285"/>
        <v>0</v>
      </c>
      <c r="X2401">
        <v>0</v>
      </c>
      <c r="Y2401">
        <v>0</v>
      </c>
      <c r="Z2401" s="21">
        <f t="shared" si="286"/>
        <v>0</v>
      </c>
      <c r="AA2401">
        <v>0</v>
      </c>
      <c r="AB2401">
        <v>0</v>
      </c>
      <c r="AC2401" s="21">
        <f t="shared" si="287"/>
        <v>0</v>
      </c>
      <c r="AD2401">
        <v>0</v>
      </c>
      <c r="AE2401">
        <v>0</v>
      </c>
      <c r="AF2401" s="21">
        <f t="shared" si="290"/>
        <v>0</v>
      </c>
    </row>
    <row r="2402" spans="1:32" ht="15" customHeight="1" x14ac:dyDescent="0.3">
      <c r="A2402">
        <v>4</v>
      </c>
      <c r="B2402" s="2" t="s">
        <v>697</v>
      </c>
      <c r="C2402" s="4" t="s">
        <v>695</v>
      </c>
      <c r="D2402" s="3" t="s">
        <v>687</v>
      </c>
      <c r="E2402" s="6" t="s">
        <v>147</v>
      </c>
      <c r="F2402" s="6" t="s">
        <v>155</v>
      </c>
      <c r="G2402" s="6" t="s">
        <v>718</v>
      </c>
      <c r="H2402" s="23">
        <v>0</v>
      </c>
      <c r="I2402">
        <v>0</v>
      </c>
      <c r="J2402">
        <v>0</v>
      </c>
      <c r="K2402" s="20">
        <f t="shared" si="288"/>
        <v>0</v>
      </c>
      <c r="L2402">
        <v>0</v>
      </c>
      <c r="M2402">
        <v>0</v>
      </c>
      <c r="N2402" s="21">
        <f t="shared" si="289"/>
        <v>0</v>
      </c>
      <c r="O2402">
        <v>0</v>
      </c>
      <c r="P2402">
        <v>0</v>
      </c>
      <c r="Q2402" s="21">
        <f t="shared" si="283"/>
        <v>0</v>
      </c>
      <c r="R2402">
        <v>0</v>
      </c>
      <c r="S2402">
        <v>0</v>
      </c>
      <c r="T2402" s="21">
        <f t="shared" si="284"/>
        <v>0</v>
      </c>
      <c r="U2402">
        <v>0</v>
      </c>
      <c r="V2402">
        <v>0</v>
      </c>
      <c r="W2402" s="21">
        <f t="shared" si="285"/>
        <v>0</v>
      </c>
      <c r="X2402">
        <v>0</v>
      </c>
      <c r="Y2402">
        <v>0</v>
      </c>
      <c r="Z2402" s="21">
        <f t="shared" si="286"/>
        <v>0</v>
      </c>
      <c r="AA2402">
        <v>0</v>
      </c>
      <c r="AB2402">
        <v>0</v>
      </c>
      <c r="AC2402" s="21">
        <f t="shared" si="287"/>
        <v>0</v>
      </c>
      <c r="AD2402">
        <v>0</v>
      </c>
      <c r="AE2402">
        <v>0</v>
      </c>
      <c r="AF2402" s="21">
        <f t="shared" si="290"/>
        <v>0</v>
      </c>
    </row>
    <row r="2403" spans="1:32" ht="15" customHeight="1" x14ac:dyDescent="0.3">
      <c r="A2403">
        <v>4</v>
      </c>
      <c r="B2403" s="2" t="s">
        <v>697</v>
      </c>
      <c r="C2403" s="4" t="s">
        <v>695</v>
      </c>
      <c r="D2403" s="3" t="s">
        <v>687</v>
      </c>
      <c r="E2403" s="6" t="s">
        <v>147</v>
      </c>
      <c r="F2403" s="6" t="s">
        <v>158</v>
      </c>
      <c r="G2403" s="6" t="s">
        <v>718</v>
      </c>
      <c r="H2403" s="23">
        <v>0</v>
      </c>
      <c r="I2403">
        <v>0</v>
      </c>
      <c r="J2403">
        <v>0</v>
      </c>
      <c r="K2403" s="20">
        <f t="shared" si="288"/>
        <v>0</v>
      </c>
      <c r="L2403">
        <v>0</v>
      </c>
      <c r="M2403">
        <v>0</v>
      </c>
      <c r="N2403" s="21">
        <f t="shared" si="289"/>
        <v>0</v>
      </c>
      <c r="O2403">
        <v>0</v>
      </c>
      <c r="P2403">
        <v>0</v>
      </c>
      <c r="Q2403" s="21">
        <f t="shared" si="283"/>
        <v>0</v>
      </c>
      <c r="R2403">
        <v>0</v>
      </c>
      <c r="S2403">
        <v>0</v>
      </c>
      <c r="T2403" s="21">
        <f t="shared" si="284"/>
        <v>0</v>
      </c>
      <c r="U2403">
        <v>0</v>
      </c>
      <c r="V2403">
        <v>0</v>
      </c>
      <c r="W2403" s="21">
        <f t="shared" si="285"/>
        <v>0</v>
      </c>
      <c r="X2403">
        <v>0</v>
      </c>
      <c r="Y2403">
        <v>0</v>
      </c>
      <c r="Z2403" s="21">
        <f t="shared" si="286"/>
        <v>0</v>
      </c>
      <c r="AA2403">
        <v>0</v>
      </c>
      <c r="AB2403">
        <v>0</v>
      </c>
      <c r="AC2403" s="21">
        <f t="shared" si="287"/>
        <v>0</v>
      </c>
      <c r="AD2403">
        <v>0</v>
      </c>
      <c r="AE2403">
        <v>0</v>
      </c>
      <c r="AF2403" s="21">
        <f t="shared" si="290"/>
        <v>0</v>
      </c>
    </row>
    <row r="2404" spans="1:32" ht="15" customHeight="1" x14ac:dyDescent="0.3">
      <c r="A2404">
        <v>4</v>
      </c>
      <c r="B2404" s="2" t="s">
        <v>697</v>
      </c>
      <c r="C2404" s="4" t="s">
        <v>695</v>
      </c>
      <c r="D2404" s="3" t="s">
        <v>687</v>
      </c>
      <c r="E2404" s="6" t="s">
        <v>147</v>
      </c>
      <c r="F2404" s="6" t="s">
        <v>638</v>
      </c>
      <c r="G2404" s="6" t="s">
        <v>709</v>
      </c>
      <c r="H2404" s="23">
        <v>28000</v>
      </c>
      <c r="I2404">
        <v>0</v>
      </c>
      <c r="J2404">
        <v>0</v>
      </c>
      <c r="K2404" s="20">
        <f t="shared" si="288"/>
        <v>0</v>
      </c>
      <c r="L2404">
        <v>40</v>
      </c>
      <c r="M2404">
        <v>15</v>
      </c>
      <c r="N2404" s="21">
        <f t="shared" si="289"/>
        <v>16800000</v>
      </c>
      <c r="O2404">
        <v>0</v>
      </c>
      <c r="P2404">
        <v>0</v>
      </c>
      <c r="Q2404" s="21">
        <f t="shared" si="283"/>
        <v>0</v>
      </c>
      <c r="R2404">
        <v>0</v>
      </c>
      <c r="S2404">
        <v>0</v>
      </c>
      <c r="T2404" s="21">
        <f t="shared" si="284"/>
        <v>0</v>
      </c>
      <c r="U2404">
        <v>0</v>
      </c>
      <c r="V2404">
        <v>0</v>
      </c>
      <c r="W2404" s="21">
        <f t="shared" si="285"/>
        <v>0</v>
      </c>
      <c r="X2404">
        <v>0</v>
      </c>
      <c r="Y2404">
        <v>0</v>
      </c>
      <c r="Z2404" s="21">
        <f t="shared" si="286"/>
        <v>0</v>
      </c>
      <c r="AA2404">
        <v>0</v>
      </c>
      <c r="AB2404">
        <v>0</v>
      </c>
      <c r="AC2404" s="21">
        <f t="shared" si="287"/>
        <v>0</v>
      </c>
      <c r="AD2404">
        <v>0</v>
      </c>
      <c r="AE2404">
        <v>0</v>
      </c>
      <c r="AF2404" s="21">
        <f t="shared" si="290"/>
        <v>0</v>
      </c>
    </row>
    <row r="2405" spans="1:32" ht="15" customHeight="1" x14ac:dyDescent="0.3">
      <c r="A2405">
        <v>4</v>
      </c>
      <c r="B2405" s="2" t="s">
        <v>697</v>
      </c>
      <c r="C2405" s="4" t="s">
        <v>695</v>
      </c>
      <c r="D2405" s="3" t="s">
        <v>687</v>
      </c>
      <c r="E2405" s="6" t="s">
        <v>147</v>
      </c>
      <c r="F2405" s="6" t="s">
        <v>638</v>
      </c>
      <c r="G2405" s="6" t="s">
        <v>716</v>
      </c>
      <c r="H2405" s="23">
        <v>39000</v>
      </c>
      <c r="I2405">
        <v>0</v>
      </c>
      <c r="J2405">
        <v>0</v>
      </c>
      <c r="K2405" s="20">
        <f t="shared" si="288"/>
        <v>0</v>
      </c>
      <c r="L2405">
        <v>40</v>
      </c>
      <c r="M2405">
        <v>15</v>
      </c>
      <c r="N2405" s="21">
        <f t="shared" si="289"/>
        <v>23400000</v>
      </c>
      <c r="O2405">
        <v>0</v>
      </c>
      <c r="P2405">
        <v>0</v>
      </c>
      <c r="Q2405" s="21">
        <f t="shared" si="283"/>
        <v>0</v>
      </c>
      <c r="R2405">
        <v>0</v>
      </c>
      <c r="S2405">
        <v>0</v>
      </c>
      <c r="T2405" s="21">
        <f t="shared" si="284"/>
        <v>0</v>
      </c>
      <c r="U2405">
        <v>0</v>
      </c>
      <c r="V2405">
        <v>0</v>
      </c>
      <c r="W2405" s="21">
        <f t="shared" si="285"/>
        <v>0</v>
      </c>
      <c r="X2405">
        <v>0</v>
      </c>
      <c r="Y2405">
        <v>0</v>
      </c>
      <c r="Z2405" s="21">
        <f t="shared" si="286"/>
        <v>0</v>
      </c>
      <c r="AA2405">
        <v>0</v>
      </c>
      <c r="AB2405">
        <v>0</v>
      </c>
      <c r="AC2405" s="21">
        <f t="shared" si="287"/>
        <v>0</v>
      </c>
      <c r="AD2405">
        <v>0</v>
      </c>
      <c r="AE2405">
        <v>0</v>
      </c>
      <c r="AF2405" s="21">
        <f t="shared" si="290"/>
        <v>0</v>
      </c>
    </row>
    <row r="2406" spans="1:32" ht="15" customHeight="1" x14ac:dyDescent="0.3">
      <c r="A2406">
        <v>4</v>
      </c>
      <c r="B2406" s="2" t="s">
        <v>697</v>
      </c>
      <c r="C2406" s="4" t="s">
        <v>695</v>
      </c>
      <c r="D2406" s="3" t="s">
        <v>687</v>
      </c>
      <c r="E2406" s="6" t="s">
        <v>147</v>
      </c>
      <c r="F2406" s="6" t="s">
        <v>638</v>
      </c>
      <c r="G2406" s="6" t="s">
        <v>712</v>
      </c>
      <c r="H2406" s="23">
        <v>214.29</v>
      </c>
      <c r="I2406">
        <v>0</v>
      </c>
      <c r="J2406">
        <v>0</v>
      </c>
      <c r="K2406" s="20">
        <f t="shared" si="288"/>
        <v>0</v>
      </c>
      <c r="L2406">
        <v>10000</v>
      </c>
      <c r="M2406">
        <v>3</v>
      </c>
      <c r="N2406" s="21">
        <f t="shared" si="289"/>
        <v>6428700</v>
      </c>
      <c r="O2406">
        <v>0</v>
      </c>
      <c r="P2406">
        <v>0</v>
      </c>
      <c r="Q2406" s="21">
        <f t="shared" si="283"/>
        <v>0</v>
      </c>
      <c r="R2406">
        <v>0</v>
      </c>
      <c r="S2406">
        <v>0</v>
      </c>
      <c r="T2406" s="21">
        <f t="shared" si="284"/>
        <v>0</v>
      </c>
      <c r="U2406">
        <v>0</v>
      </c>
      <c r="V2406">
        <v>0</v>
      </c>
      <c r="W2406" s="21">
        <f t="shared" si="285"/>
        <v>0</v>
      </c>
      <c r="X2406">
        <v>0</v>
      </c>
      <c r="Y2406">
        <v>0</v>
      </c>
      <c r="Z2406" s="21">
        <f t="shared" si="286"/>
        <v>0</v>
      </c>
      <c r="AA2406">
        <v>0</v>
      </c>
      <c r="AB2406">
        <v>0</v>
      </c>
      <c r="AC2406" s="21">
        <f t="shared" si="287"/>
        <v>0</v>
      </c>
      <c r="AD2406">
        <v>0</v>
      </c>
      <c r="AE2406">
        <v>0</v>
      </c>
      <c r="AF2406" s="21">
        <f t="shared" si="290"/>
        <v>0</v>
      </c>
    </row>
    <row r="2407" spans="1:32" ht="15" customHeight="1" x14ac:dyDescent="0.3">
      <c r="A2407">
        <v>4</v>
      </c>
      <c r="B2407" s="2" t="s">
        <v>697</v>
      </c>
      <c r="C2407" s="4" t="s">
        <v>695</v>
      </c>
      <c r="D2407" s="3" t="s">
        <v>687</v>
      </c>
      <c r="E2407" s="6" t="s">
        <v>147</v>
      </c>
      <c r="F2407" s="6" t="s">
        <v>265</v>
      </c>
      <c r="G2407" s="6" t="s">
        <v>709</v>
      </c>
      <c r="H2407" s="23">
        <v>28000</v>
      </c>
      <c r="I2407">
        <v>0</v>
      </c>
      <c r="J2407">
        <v>0</v>
      </c>
      <c r="K2407" s="20">
        <f t="shared" si="288"/>
        <v>0</v>
      </c>
      <c r="L2407">
        <v>40</v>
      </c>
      <c r="N2407" s="21">
        <f t="shared" si="289"/>
        <v>0</v>
      </c>
      <c r="O2407">
        <v>0</v>
      </c>
      <c r="P2407">
        <v>0</v>
      </c>
      <c r="Q2407" s="21">
        <f t="shared" si="283"/>
        <v>0</v>
      </c>
      <c r="R2407">
        <v>0</v>
      </c>
      <c r="S2407">
        <v>0</v>
      </c>
      <c r="T2407" s="21">
        <f t="shared" si="284"/>
        <v>0</v>
      </c>
      <c r="U2407">
        <v>0</v>
      </c>
      <c r="V2407">
        <v>0</v>
      </c>
      <c r="W2407" s="21">
        <f t="shared" si="285"/>
        <v>0</v>
      </c>
      <c r="X2407">
        <v>0</v>
      </c>
      <c r="Y2407">
        <v>0</v>
      </c>
      <c r="Z2407" s="21">
        <f t="shared" si="286"/>
        <v>0</v>
      </c>
      <c r="AA2407">
        <v>0</v>
      </c>
      <c r="AB2407">
        <v>0</v>
      </c>
      <c r="AC2407" s="21">
        <f t="shared" si="287"/>
        <v>0</v>
      </c>
      <c r="AD2407">
        <v>0</v>
      </c>
      <c r="AE2407">
        <v>0</v>
      </c>
      <c r="AF2407" s="21">
        <f t="shared" si="290"/>
        <v>0</v>
      </c>
    </row>
    <row r="2408" spans="1:32" ht="15" customHeight="1" x14ac:dyDescent="0.3">
      <c r="A2408">
        <v>4</v>
      </c>
      <c r="B2408" s="2" t="s">
        <v>697</v>
      </c>
      <c r="C2408" s="4" t="s">
        <v>695</v>
      </c>
      <c r="D2408" s="3" t="s">
        <v>687</v>
      </c>
      <c r="E2408" s="6" t="s">
        <v>147</v>
      </c>
      <c r="F2408" s="6" t="s">
        <v>562</v>
      </c>
      <c r="G2408" s="6" t="s">
        <v>718</v>
      </c>
      <c r="H2408" s="23">
        <v>0</v>
      </c>
      <c r="I2408">
        <v>0</v>
      </c>
      <c r="J2408">
        <v>0</v>
      </c>
      <c r="K2408" s="20">
        <f t="shared" si="288"/>
        <v>0</v>
      </c>
      <c r="L2408">
        <v>0</v>
      </c>
      <c r="M2408">
        <v>0</v>
      </c>
      <c r="N2408" s="21">
        <f t="shared" si="289"/>
        <v>0</v>
      </c>
      <c r="O2408">
        <v>0</v>
      </c>
      <c r="P2408">
        <v>0</v>
      </c>
      <c r="Q2408" s="21">
        <f t="shared" si="283"/>
        <v>0</v>
      </c>
      <c r="R2408">
        <v>0</v>
      </c>
      <c r="S2408">
        <v>0</v>
      </c>
      <c r="T2408" s="21">
        <f t="shared" si="284"/>
        <v>0</v>
      </c>
      <c r="U2408">
        <v>0</v>
      </c>
      <c r="V2408">
        <v>0</v>
      </c>
      <c r="W2408" s="21">
        <f t="shared" si="285"/>
        <v>0</v>
      </c>
      <c r="X2408">
        <v>0</v>
      </c>
      <c r="Y2408">
        <v>0</v>
      </c>
      <c r="Z2408" s="21">
        <f t="shared" si="286"/>
        <v>0</v>
      </c>
      <c r="AA2408">
        <v>0</v>
      </c>
      <c r="AB2408">
        <v>0</v>
      </c>
      <c r="AC2408" s="21">
        <f t="shared" si="287"/>
        <v>0</v>
      </c>
      <c r="AD2408">
        <v>0</v>
      </c>
      <c r="AE2408">
        <v>0</v>
      </c>
      <c r="AF2408" s="21">
        <f t="shared" si="290"/>
        <v>0</v>
      </c>
    </row>
    <row r="2409" spans="1:32" ht="15" customHeight="1" x14ac:dyDescent="0.3">
      <c r="A2409">
        <v>4</v>
      </c>
      <c r="B2409" s="2" t="s">
        <v>697</v>
      </c>
      <c r="C2409" s="4" t="s">
        <v>695</v>
      </c>
      <c r="D2409" s="3" t="s">
        <v>687</v>
      </c>
      <c r="E2409" s="6" t="s">
        <v>147</v>
      </c>
      <c r="F2409" s="6" t="s">
        <v>156</v>
      </c>
      <c r="G2409" s="6" t="s">
        <v>709</v>
      </c>
      <c r="H2409" s="23">
        <v>28000</v>
      </c>
      <c r="I2409">
        <v>0</v>
      </c>
      <c r="J2409">
        <v>0</v>
      </c>
      <c r="K2409" s="20">
        <f t="shared" si="288"/>
        <v>0</v>
      </c>
      <c r="L2409">
        <v>100</v>
      </c>
      <c r="M2409">
        <v>1</v>
      </c>
      <c r="N2409" s="21">
        <f t="shared" si="289"/>
        <v>2800000</v>
      </c>
      <c r="O2409">
        <v>0</v>
      </c>
      <c r="P2409">
        <v>0</v>
      </c>
      <c r="Q2409" s="21">
        <f t="shared" si="283"/>
        <v>0</v>
      </c>
      <c r="R2409">
        <v>0</v>
      </c>
      <c r="S2409">
        <v>0</v>
      </c>
      <c r="T2409" s="21">
        <f t="shared" si="284"/>
        <v>0</v>
      </c>
      <c r="U2409">
        <v>0</v>
      </c>
      <c r="V2409">
        <v>0</v>
      </c>
      <c r="W2409" s="21">
        <f t="shared" si="285"/>
        <v>0</v>
      </c>
      <c r="X2409">
        <v>0</v>
      </c>
      <c r="Y2409">
        <v>0</v>
      </c>
      <c r="Z2409" s="21">
        <f t="shared" si="286"/>
        <v>0</v>
      </c>
      <c r="AA2409">
        <v>0</v>
      </c>
      <c r="AB2409">
        <v>0</v>
      </c>
      <c r="AC2409" s="21">
        <f t="shared" si="287"/>
        <v>0</v>
      </c>
      <c r="AD2409">
        <v>0</v>
      </c>
      <c r="AE2409">
        <v>0</v>
      </c>
      <c r="AF2409" s="21">
        <f t="shared" si="290"/>
        <v>0</v>
      </c>
    </row>
    <row r="2410" spans="1:32" ht="15" customHeight="1" x14ac:dyDescent="0.3">
      <c r="A2410">
        <v>4</v>
      </c>
      <c r="B2410" s="2" t="s">
        <v>697</v>
      </c>
      <c r="C2410" s="4" t="s">
        <v>695</v>
      </c>
      <c r="D2410" s="3" t="s">
        <v>687</v>
      </c>
      <c r="E2410" s="6" t="s">
        <v>147</v>
      </c>
      <c r="F2410" s="6" t="s">
        <v>156</v>
      </c>
      <c r="G2410" s="6" t="s">
        <v>711</v>
      </c>
      <c r="H2410" s="23">
        <v>70</v>
      </c>
      <c r="I2410">
        <v>0</v>
      </c>
      <c r="J2410">
        <v>0</v>
      </c>
      <c r="K2410" s="20">
        <f t="shared" si="288"/>
        <v>0</v>
      </c>
      <c r="L2410">
        <v>50000</v>
      </c>
      <c r="M2410">
        <v>1</v>
      </c>
      <c r="N2410" s="21">
        <f t="shared" si="289"/>
        <v>3500000</v>
      </c>
      <c r="O2410">
        <v>0</v>
      </c>
      <c r="P2410">
        <v>0</v>
      </c>
      <c r="Q2410" s="21">
        <f t="shared" si="283"/>
        <v>0</v>
      </c>
      <c r="R2410">
        <v>0</v>
      </c>
      <c r="S2410">
        <v>0</v>
      </c>
      <c r="T2410" s="21">
        <f t="shared" si="284"/>
        <v>0</v>
      </c>
      <c r="U2410">
        <v>0</v>
      </c>
      <c r="V2410">
        <v>0</v>
      </c>
      <c r="W2410" s="21">
        <f t="shared" si="285"/>
        <v>0</v>
      </c>
      <c r="X2410">
        <v>0</v>
      </c>
      <c r="Y2410">
        <v>0</v>
      </c>
      <c r="Z2410" s="21">
        <f t="shared" si="286"/>
        <v>0</v>
      </c>
      <c r="AA2410">
        <v>0</v>
      </c>
      <c r="AB2410">
        <v>0</v>
      </c>
      <c r="AC2410" s="21">
        <f t="shared" si="287"/>
        <v>0</v>
      </c>
      <c r="AD2410">
        <v>0</v>
      </c>
      <c r="AE2410">
        <v>0</v>
      </c>
      <c r="AF2410" s="21">
        <f t="shared" si="290"/>
        <v>0</v>
      </c>
    </row>
    <row r="2411" spans="1:32" ht="15" customHeight="1" x14ac:dyDescent="0.3">
      <c r="A2411">
        <v>4</v>
      </c>
      <c r="B2411" s="2" t="s">
        <v>697</v>
      </c>
      <c r="C2411" s="4" t="s">
        <v>695</v>
      </c>
      <c r="D2411" s="3" t="s">
        <v>687</v>
      </c>
      <c r="E2411" s="6" t="s">
        <v>147</v>
      </c>
      <c r="F2411" s="6" t="s">
        <v>156</v>
      </c>
      <c r="G2411" s="6" t="s">
        <v>717</v>
      </c>
      <c r="H2411" s="23">
        <v>104850</v>
      </c>
      <c r="I2411">
        <v>0</v>
      </c>
      <c r="J2411">
        <v>0</v>
      </c>
      <c r="K2411" s="20">
        <f t="shared" si="288"/>
        <v>0</v>
      </c>
      <c r="L2411">
        <v>5</v>
      </c>
      <c r="M2411">
        <v>1</v>
      </c>
      <c r="N2411" s="21">
        <f t="shared" si="289"/>
        <v>524250</v>
      </c>
      <c r="O2411">
        <v>0</v>
      </c>
      <c r="P2411">
        <v>0</v>
      </c>
      <c r="Q2411" s="21">
        <f t="shared" si="283"/>
        <v>0</v>
      </c>
      <c r="R2411">
        <v>0</v>
      </c>
      <c r="S2411">
        <v>0</v>
      </c>
      <c r="T2411" s="21">
        <f t="shared" si="284"/>
        <v>0</v>
      </c>
      <c r="U2411">
        <v>0</v>
      </c>
      <c r="V2411">
        <v>0</v>
      </c>
      <c r="W2411" s="21">
        <f t="shared" si="285"/>
        <v>0</v>
      </c>
      <c r="X2411">
        <v>0</v>
      </c>
      <c r="Y2411">
        <v>0</v>
      </c>
      <c r="Z2411" s="21">
        <f t="shared" si="286"/>
        <v>0</v>
      </c>
      <c r="AA2411">
        <v>0</v>
      </c>
      <c r="AB2411">
        <v>0</v>
      </c>
      <c r="AC2411" s="21">
        <f t="shared" si="287"/>
        <v>0</v>
      </c>
      <c r="AD2411">
        <v>0</v>
      </c>
      <c r="AE2411">
        <v>0</v>
      </c>
      <c r="AF2411" s="21">
        <f t="shared" si="290"/>
        <v>0</v>
      </c>
    </row>
    <row r="2412" spans="1:32" ht="15" customHeight="1" x14ac:dyDescent="0.3">
      <c r="A2412">
        <v>4</v>
      </c>
      <c r="B2412" s="2" t="s">
        <v>697</v>
      </c>
      <c r="C2412" s="4" t="s">
        <v>695</v>
      </c>
      <c r="D2412" s="3" t="s">
        <v>687</v>
      </c>
      <c r="E2412" s="6" t="s">
        <v>147</v>
      </c>
      <c r="F2412" s="6" t="s">
        <v>156</v>
      </c>
      <c r="G2412" s="6" t="s">
        <v>716</v>
      </c>
      <c r="H2412" s="23">
        <v>39000</v>
      </c>
      <c r="I2412">
        <v>0</v>
      </c>
      <c r="J2412">
        <v>0</v>
      </c>
      <c r="K2412" s="20">
        <f t="shared" si="288"/>
        <v>0</v>
      </c>
      <c r="L2412">
        <v>40</v>
      </c>
      <c r="M2412">
        <v>2</v>
      </c>
      <c r="N2412" s="21">
        <f t="shared" si="289"/>
        <v>3120000</v>
      </c>
      <c r="O2412">
        <v>0</v>
      </c>
      <c r="P2412">
        <v>0</v>
      </c>
      <c r="Q2412" s="21">
        <f t="shared" si="283"/>
        <v>0</v>
      </c>
      <c r="R2412">
        <v>0</v>
      </c>
      <c r="S2412">
        <v>0</v>
      </c>
      <c r="T2412" s="21">
        <f t="shared" si="284"/>
        <v>0</v>
      </c>
      <c r="U2412">
        <v>0</v>
      </c>
      <c r="V2412">
        <v>0</v>
      </c>
      <c r="W2412" s="21">
        <f t="shared" si="285"/>
        <v>0</v>
      </c>
      <c r="X2412">
        <v>0</v>
      </c>
      <c r="Y2412">
        <v>0</v>
      </c>
      <c r="Z2412" s="21">
        <f t="shared" si="286"/>
        <v>0</v>
      </c>
      <c r="AA2412">
        <v>0</v>
      </c>
      <c r="AB2412">
        <v>0</v>
      </c>
      <c r="AC2412" s="21">
        <f t="shared" si="287"/>
        <v>0</v>
      </c>
      <c r="AD2412">
        <v>0</v>
      </c>
      <c r="AE2412">
        <v>0</v>
      </c>
      <c r="AF2412" s="21">
        <f t="shared" si="290"/>
        <v>0</v>
      </c>
    </row>
    <row r="2413" spans="1:32" ht="15" customHeight="1" x14ac:dyDescent="0.3">
      <c r="A2413">
        <v>4</v>
      </c>
      <c r="B2413" s="2" t="s">
        <v>697</v>
      </c>
      <c r="C2413" s="4" t="s">
        <v>695</v>
      </c>
      <c r="D2413" s="3" t="s">
        <v>688</v>
      </c>
      <c r="E2413" s="6" t="s">
        <v>148</v>
      </c>
      <c r="F2413" s="6" t="s">
        <v>809</v>
      </c>
      <c r="G2413" s="6" t="s">
        <v>716</v>
      </c>
      <c r="H2413" s="23">
        <v>39000</v>
      </c>
      <c r="I2413">
        <v>0</v>
      </c>
      <c r="J2413">
        <v>0</v>
      </c>
      <c r="K2413" s="20">
        <f t="shared" si="288"/>
        <v>0</v>
      </c>
      <c r="L2413">
        <v>100</v>
      </c>
      <c r="M2413">
        <v>2</v>
      </c>
      <c r="N2413" s="21">
        <f t="shared" si="289"/>
        <v>7800000</v>
      </c>
      <c r="O2413">
        <v>100</v>
      </c>
      <c r="P2413">
        <v>2</v>
      </c>
      <c r="Q2413" s="21">
        <f t="shared" si="283"/>
        <v>7800000</v>
      </c>
      <c r="R2413">
        <v>100</v>
      </c>
      <c r="S2413">
        <v>2</v>
      </c>
      <c r="T2413" s="21">
        <f t="shared" si="284"/>
        <v>7800000</v>
      </c>
      <c r="U2413">
        <v>100</v>
      </c>
      <c r="V2413">
        <v>2</v>
      </c>
      <c r="W2413" s="21">
        <f t="shared" si="285"/>
        <v>7800000</v>
      </c>
      <c r="X2413">
        <v>0</v>
      </c>
      <c r="Y2413">
        <v>0</v>
      </c>
      <c r="Z2413" s="21">
        <f t="shared" si="286"/>
        <v>0</v>
      </c>
      <c r="AA2413">
        <v>0</v>
      </c>
      <c r="AB2413">
        <v>0</v>
      </c>
      <c r="AC2413" s="21">
        <f t="shared" si="287"/>
        <v>0</v>
      </c>
      <c r="AD2413">
        <v>0</v>
      </c>
      <c r="AE2413">
        <v>0</v>
      </c>
      <c r="AF2413" s="21">
        <f t="shared" si="290"/>
        <v>0</v>
      </c>
    </row>
    <row r="2414" spans="1:32" ht="15" customHeight="1" x14ac:dyDescent="0.3">
      <c r="A2414">
        <v>4</v>
      </c>
      <c r="B2414" s="2" t="s">
        <v>697</v>
      </c>
      <c r="C2414" s="4" t="s">
        <v>695</v>
      </c>
      <c r="D2414" s="3" t="s">
        <v>688</v>
      </c>
      <c r="E2414" s="6" t="s">
        <v>148</v>
      </c>
      <c r="F2414" s="6" t="s">
        <v>809</v>
      </c>
      <c r="G2414" s="6" t="s">
        <v>709</v>
      </c>
      <c r="H2414" s="23">
        <v>28000</v>
      </c>
      <c r="I2414">
        <v>0</v>
      </c>
      <c r="J2414">
        <v>0</v>
      </c>
      <c r="K2414" s="20">
        <f t="shared" si="288"/>
        <v>0</v>
      </c>
      <c r="L2414">
        <v>100</v>
      </c>
      <c r="M2414">
        <v>2</v>
      </c>
      <c r="N2414" s="21">
        <f t="shared" si="289"/>
        <v>5600000</v>
      </c>
      <c r="O2414">
        <v>100</v>
      </c>
      <c r="P2414">
        <v>2</v>
      </c>
      <c r="Q2414" s="21">
        <f t="shared" si="283"/>
        <v>5600000</v>
      </c>
      <c r="R2414">
        <v>100</v>
      </c>
      <c r="S2414">
        <v>2</v>
      </c>
      <c r="T2414" s="21">
        <f t="shared" si="284"/>
        <v>5600000</v>
      </c>
      <c r="U2414">
        <v>100</v>
      </c>
      <c r="V2414">
        <v>2</v>
      </c>
      <c r="W2414" s="21">
        <f t="shared" si="285"/>
        <v>5600000</v>
      </c>
      <c r="X2414">
        <v>0</v>
      </c>
      <c r="Y2414">
        <v>0</v>
      </c>
      <c r="Z2414" s="21">
        <f t="shared" si="286"/>
        <v>0</v>
      </c>
      <c r="AA2414">
        <v>0</v>
      </c>
      <c r="AB2414">
        <v>0</v>
      </c>
      <c r="AC2414" s="21">
        <f t="shared" si="287"/>
        <v>0</v>
      </c>
      <c r="AD2414">
        <v>0</v>
      </c>
      <c r="AE2414">
        <v>0</v>
      </c>
      <c r="AF2414" s="21">
        <f t="shared" si="290"/>
        <v>0</v>
      </c>
    </row>
    <row r="2415" spans="1:32" ht="15" customHeight="1" x14ac:dyDescent="0.3">
      <c r="A2415">
        <v>4</v>
      </c>
      <c r="B2415" s="2" t="s">
        <v>697</v>
      </c>
      <c r="C2415" s="4" t="s">
        <v>695</v>
      </c>
      <c r="D2415" s="3" t="s">
        <v>688</v>
      </c>
      <c r="E2415" s="6" t="s">
        <v>148</v>
      </c>
      <c r="F2415" s="6" t="s">
        <v>809</v>
      </c>
      <c r="G2415" s="6" t="s">
        <v>712</v>
      </c>
      <c r="H2415" s="23">
        <v>214.29</v>
      </c>
      <c r="I2415">
        <v>0</v>
      </c>
      <c r="J2415">
        <v>0</v>
      </c>
      <c r="K2415" s="20">
        <f t="shared" si="288"/>
        <v>0</v>
      </c>
      <c r="L2415">
        <v>40000</v>
      </c>
      <c r="M2415">
        <v>1</v>
      </c>
      <c r="N2415" s="21">
        <f t="shared" si="289"/>
        <v>8571600</v>
      </c>
      <c r="O2415">
        <v>40000</v>
      </c>
      <c r="P2415">
        <v>1</v>
      </c>
      <c r="Q2415" s="21">
        <f t="shared" si="283"/>
        <v>8571600</v>
      </c>
      <c r="R2415">
        <v>40000</v>
      </c>
      <c r="S2415">
        <v>1</v>
      </c>
      <c r="T2415" s="21">
        <f t="shared" si="284"/>
        <v>8571600</v>
      </c>
      <c r="U2415">
        <v>40000</v>
      </c>
      <c r="V2415">
        <v>1</v>
      </c>
      <c r="W2415" s="21">
        <f t="shared" si="285"/>
        <v>8571600</v>
      </c>
      <c r="X2415">
        <v>0</v>
      </c>
      <c r="Y2415">
        <v>0</v>
      </c>
      <c r="Z2415" s="21">
        <f t="shared" si="286"/>
        <v>0</v>
      </c>
      <c r="AA2415">
        <v>0</v>
      </c>
      <c r="AB2415">
        <v>0</v>
      </c>
      <c r="AC2415" s="21">
        <f t="shared" si="287"/>
        <v>0</v>
      </c>
      <c r="AD2415">
        <v>0</v>
      </c>
      <c r="AE2415">
        <v>0</v>
      </c>
      <c r="AF2415" s="21">
        <f t="shared" si="290"/>
        <v>0</v>
      </c>
    </row>
    <row r="2417" spans="4:32" ht="15" customHeight="1" x14ac:dyDescent="0.3">
      <c r="K2417" s="30">
        <f>SUM(K2:K2415)</f>
        <v>580703375339.16248</v>
      </c>
      <c r="L2417" s="31"/>
      <c r="M2417" s="31"/>
      <c r="N2417" s="30">
        <f>SUM(N2:N2415)</f>
        <v>2081714625854.1868</v>
      </c>
      <c r="O2417" s="31"/>
      <c r="P2417" s="31"/>
      <c r="Q2417" s="30">
        <f>SUM(Q2:Q2415)</f>
        <v>1022692901670.0399</v>
      </c>
      <c r="R2417" s="31"/>
      <c r="S2417" s="31"/>
      <c r="T2417" s="30">
        <f>SUM(T2:T2415)</f>
        <v>964726167009.67224</v>
      </c>
      <c r="U2417" s="31"/>
      <c r="V2417" s="31"/>
      <c r="W2417" s="30">
        <f>SUM(W2:W2415)</f>
        <v>74168182481.014984</v>
      </c>
      <c r="X2417" s="31"/>
      <c r="Y2417" s="31"/>
      <c r="Z2417" s="30">
        <f>SUM(Z2:Z2415)</f>
        <v>0</v>
      </c>
      <c r="AA2417" s="31"/>
      <c r="AB2417" s="31"/>
      <c r="AC2417" s="30">
        <f>SUM(AC2:AC2415)</f>
        <v>0</v>
      </c>
      <c r="AD2417" s="31"/>
      <c r="AE2417" s="31"/>
      <c r="AF2417" s="30">
        <f>SUM(AF2:AF2415)</f>
        <v>0</v>
      </c>
    </row>
    <row r="2420" spans="4:32" ht="15" customHeight="1" x14ac:dyDescent="0.3">
      <c r="D2420" s="5" t="s">
        <v>1294</v>
      </c>
      <c r="E2420" s="28">
        <f>K2417+N2417+Q2417+T2417+W2417+Z2417+AC2417+AF2417</f>
        <v>4724005252354.0762</v>
      </c>
    </row>
  </sheetData>
  <dataValidations count="8">
    <dataValidation type="list" allowBlank="1" showInputMessage="1" showErrorMessage="1" sqref="B1084:B1344" xr:uid="{00000000-0002-0000-0100-000000000000}">
      <formula1>OFFSET(structuredd_anchor,1,MATCH(#REF!,structuredd_lookupRow,0)-1,COUNTA(OFFSET(structuredd_anchor,1,MATCH(#REF!,structuredd_lookupRow,0)-1,500,1)),1)</formula1>
    </dataValidation>
    <dataValidation type="list" allowBlank="1" showInputMessage="1" showErrorMessage="1" sqref="D1084:D2415" xr:uid="{00000000-0002-0000-0100-000001000000}">
      <formula1>INDIRECT($AI1084)</formula1>
    </dataValidation>
    <dataValidation type="list" allowBlank="1" showInputMessage="1" showErrorMessage="1" sqref="B1345:B2415" xr:uid="{00000000-0002-0000-0100-000002000000}">
      <formula1>OFFSET(structuredd_anchor,1,MATCH(#REF!,structuredd_lookupRow,0)-1,COUNTA(OFFSET(structuredd_anchor,1,MATCH(#REF!,structuredd_lookupRow,0)-1,500,1)),1)</formula1>
    </dataValidation>
    <dataValidation type="list" allowBlank="1" showInputMessage="1" showErrorMessage="1" sqref="D292:D303" xr:uid="{00000000-0002-0000-0100-000003000000}">
      <formula1>INDIRECT($AG291)</formula1>
    </dataValidation>
    <dataValidation type="list" allowBlank="1" showInputMessage="1" showErrorMessage="1" sqref="D304:D950 D2:D290" xr:uid="{00000000-0002-0000-0100-000004000000}">
      <formula1>INDIRECT($AG2)</formula1>
    </dataValidation>
    <dataValidation type="list" allowBlank="1" showInputMessage="1" showErrorMessage="1" sqref="B292:B950 B2:B290" xr:uid="{00000000-0002-0000-0100-000005000000}">
      <formula1>OFFSET(structuredd_anchor,1,MATCH(B$2,structuredd_lookupRow,0)-1,COUNTA(OFFSET(structuredd_anchor,1,MATCH(B$2,structuredd_lookupRow,0)-1,500,1)),1)</formula1>
    </dataValidation>
    <dataValidation type="list" allowBlank="1" showInputMessage="1" showErrorMessage="1" sqref="F201:F205 F563:F574 F199" xr:uid="{00000000-0002-0000-0100-000006000000}">
      <formula1>OFFSET(costItem_anchor,1,MATCH(E199,costItem_lookupRow,0)-1,COUNTA(OFFSET(costItem_anchor,1,MATCH(E199,costItem_lookupRow,0)-1,500,1)),1)</formula1>
    </dataValidation>
    <dataValidation type="list" allowBlank="1" showInputMessage="1" showErrorMessage="1" sqref="F482:F483 F198 F523:F525 F200 F195:F196" xr:uid="{00000000-0002-0000-0100-000007000000}">
      <formula1>OFFSET(subactivitydd_anchor,1,0,COUNTA(subactivitydd_count)-1,1)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8000000}">
          <x14:formula1>
            <xm:f>INDIRECT(INDEX('C:\Users\Pius\Library\Containers\com.microsoft.Excel\Data\Documents\C:\Users\USER\Desktop\HEALTH FINANCING STRATEGY DOCUMENTS SALIMA 3RD SEPTEMBER 2021\[LINDE HFS.xlsm]dd_lists'!#REF!,MATCH($C1084,'C:\Users\Pius\Library\Containers\com.microsoft.Excel\Data\Documents\C:\Users\USER\Desktop\HEALTH FINANCING STRATEGY DOCUMENTS SALIMA 3RD SEPTEMBER 2021\[LINDE HFS.xlsm]dd_lists'!#REF!,0)))</xm:f>
          </x14:formula1>
          <xm:sqref>C1084:C1344</xm:sqref>
        </x14:dataValidation>
        <x14:dataValidation type="list" allowBlank="1" showInputMessage="1" showErrorMessage="1" xr:uid="{00000000-0002-0000-0100-000009000000}">
          <x14:formula1>
            <xm:f>INDIRECT(INDEX('C:\Users\Pius\Library\Containers\com.microsoft.Excel\Data\Documents\C:\Users\USER\Desktop\HEALTH FINANCING STRATEGY DOCUMENTS SALIMA 3RD SEPTEMBER 2021\[LINDE HFS.xlsm]dd_lists'!#REF!,MATCH($C1345,'C:\Users\Pius\Library\Containers\com.microsoft.Excel\Data\Documents\C:\Users\USER\Desktop\HEALTH FINANCING STRATEGY DOCUMENTS SALIMA 3RD SEPTEMBER 2021\[LINDE HFS.xlsm]dd_lists'!#REF!,0)))</xm:f>
          </x14:formula1>
          <xm:sqref>C1345:C2415</xm:sqref>
        </x14:dataValidation>
        <x14:dataValidation type="list" allowBlank="1" showInputMessage="1" showErrorMessage="1" xr:uid="{00000000-0002-0000-0100-00000A000000}">
          <x14:formula1>
            <xm:f>INDIRECT(INDEX('C:\Users\Pius\Library\Containers\com.microsoft.Excel\Data\Documents\C:\Users\USER\Desktop\HEALTH FINANCING STRATEGY DOCUMENTS SALIMA 3RD SEPTEMBER 2021\[LINDE HFS.xlsm]dd_lists'!#REF!,MATCH($B2,'C:\Users\Pius\Library\Containers\com.microsoft.Excel\Data\Documents\C:\Users\USER\Desktop\HEALTH FINANCING STRATEGY DOCUMENTS SALIMA 3RD SEPTEMBER 2021\[LINDE HFS.xlsm]dd_lists'!#REF!,0)))</xm:f>
          </x14:formula1>
          <xm:sqref>C292:C950 C2:C290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N315"/>
  <sheetViews>
    <sheetView topLeftCell="A294" zoomScale="85" zoomScaleNormal="85" workbookViewId="0">
      <selection activeCell="E95" sqref="E95"/>
    </sheetView>
  </sheetViews>
  <sheetFormatPr defaultColWidth="8.88671875" defaultRowHeight="14.4" x14ac:dyDescent="0.3"/>
  <cols>
    <col min="1" max="33" width="35.664062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57.6" x14ac:dyDescent="0.3">
      <c r="A2" s="41" t="s">
        <v>697</v>
      </c>
      <c r="B2" s="41" t="s">
        <v>693</v>
      </c>
      <c r="C2" s="41" t="s">
        <v>669</v>
      </c>
      <c r="D2" s="41" t="s">
        <v>96</v>
      </c>
      <c r="E2" s="41" t="s">
        <v>234</v>
      </c>
      <c r="F2" s="41" t="s">
        <v>718</v>
      </c>
      <c r="G2" s="83">
        <v>0</v>
      </c>
      <c r="H2" s="41">
        <v>0</v>
      </c>
      <c r="I2" s="41">
        <v>0</v>
      </c>
      <c r="J2" s="83">
        <f>H2*I2*G2</f>
        <v>0</v>
      </c>
      <c r="K2" s="41">
        <v>0</v>
      </c>
      <c r="L2" s="41">
        <v>0</v>
      </c>
      <c r="M2" s="70">
        <f>($G2*1.1^1)*K2*L2</f>
        <v>0</v>
      </c>
      <c r="N2" s="41">
        <v>0</v>
      </c>
      <c r="O2" s="41">
        <v>0</v>
      </c>
      <c r="P2" s="70">
        <f>($G2*1.1^2)*N2*O2</f>
        <v>0</v>
      </c>
      <c r="Q2" s="41">
        <v>0</v>
      </c>
      <c r="R2" s="41">
        <v>0</v>
      </c>
      <c r="S2" s="70">
        <f>($G2*1.1^3)*Q2*R2</f>
        <v>0</v>
      </c>
      <c r="T2" s="41">
        <v>0</v>
      </c>
      <c r="U2" s="41">
        <v>0</v>
      </c>
      <c r="V2" s="70">
        <f>($G2*1.1^4)*T2*U2</f>
        <v>0</v>
      </c>
      <c r="W2" s="41">
        <v>0</v>
      </c>
      <c r="X2" s="41">
        <v>0</v>
      </c>
      <c r="Y2" s="70">
        <f>($G2*1.1^5)*W2*X2</f>
        <v>0</v>
      </c>
      <c r="Z2" s="41">
        <v>0</v>
      </c>
      <c r="AA2" s="41">
        <v>0</v>
      </c>
      <c r="AB2" s="70">
        <f>($G2*1.1^6)*Z2*AA2</f>
        <v>0</v>
      </c>
      <c r="AC2" s="41">
        <v>0</v>
      </c>
      <c r="AD2" s="41">
        <v>0</v>
      </c>
      <c r="AE2" s="70">
        <f>($G2*1.1^7)*AC2*AD2</f>
        <v>0</v>
      </c>
      <c r="AF2" s="28">
        <f>J2+M2+P2+S2+V2+Y2+AB2+AE2</f>
        <v>0</v>
      </c>
      <c r="AG2" s="28">
        <f t="shared" ref="AG2:AG66" si="0">AF2/$AL$2</f>
        <v>0</v>
      </c>
      <c r="AL2">
        <v>1030</v>
      </c>
    </row>
    <row r="3" spans="1:38" ht="57.6" x14ac:dyDescent="0.3">
      <c r="A3" s="41" t="s">
        <v>697</v>
      </c>
      <c r="B3" s="41" t="s">
        <v>693</v>
      </c>
      <c r="C3" s="41" t="s">
        <v>669</v>
      </c>
      <c r="D3" s="41" t="s">
        <v>96</v>
      </c>
      <c r="E3" s="41" t="s">
        <v>149</v>
      </c>
      <c r="F3" s="41" t="s">
        <v>707</v>
      </c>
      <c r="G3" s="83">
        <v>391991.03749999998</v>
      </c>
      <c r="H3" s="41">
        <v>2</v>
      </c>
      <c r="I3" s="41">
        <v>2</v>
      </c>
      <c r="J3" s="83">
        <f t="shared" ref="J3:J75" si="1">H3*I3*G3</f>
        <v>1567964.15</v>
      </c>
      <c r="M3" s="70">
        <f t="shared" ref="M3:M66" si="2">($G3*1.1^1)*K3*L3</f>
        <v>0</v>
      </c>
      <c r="N3" s="41">
        <v>0</v>
      </c>
      <c r="O3" s="41">
        <v>0</v>
      </c>
      <c r="P3" s="70">
        <f t="shared" ref="P3:P66" si="3">($G3*1.1^2)*N3*O3</f>
        <v>0</v>
      </c>
      <c r="Q3" s="41">
        <v>0</v>
      </c>
      <c r="R3" s="41">
        <v>0</v>
      </c>
      <c r="S3" s="70">
        <f t="shared" ref="S3:S66" si="4">($G3*1.1^3)*Q3*R3</f>
        <v>0</v>
      </c>
      <c r="T3" s="41">
        <v>0</v>
      </c>
      <c r="U3" s="41">
        <v>0</v>
      </c>
      <c r="V3" s="70">
        <f t="shared" ref="V3:V66" si="5">($G3*1.1^4)*T3*U3</f>
        <v>0</v>
      </c>
      <c r="W3" s="41">
        <v>2</v>
      </c>
      <c r="X3" s="41">
        <v>2</v>
      </c>
      <c r="Y3" s="70">
        <f t="shared" ref="Y3:Y66" si="6">($G3*1.1^5)*W3*X3</f>
        <v>2525221.9432165008</v>
      </c>
      <c r="Z3" s="41">
        <v>0</v>
      </c>
      <c r="AA3" s="41">
        <v>0</v>
      </c>
      <c r="AB3" s="70">
        <f t="shared" ref="AB3:AB66" si="7">($G3*1.1^6)*Z3*AA3</f>
        <v>0</v>
      </c>
      <c r="AC3" s="41">
        <v>0</v>
      </c>
      <c r="AD3" s="41">
        <v>0</v>
      </c>
      <c r="AE3" s="70">
        <f t="shared" ref="AE3:AE66" si="8">($G3*1.1^7)*AC3*AD3</f>
        <v>0</v>
      </c>
      <c r="AF3" s="28">
        <f t="shared" ref="AF3:AF66" si="9">J3+M3+P3+S3+V3+Y3+AB3+AE3</f>
        <v>4093186.0932165007</v>
      </c>
      <c r="AG3" s="28">
        <f t="shared" si="0"/>
        <v>3973.9670807927191</v>
      </c>
    </row>
    <row r="4" spans="1:38" ht="57.6" x14ac:dyDescent="0.3">
      <c r="A4" s="41" t="s">
        <v>697</v>
      </c>
      <c r="B4" s="41" t="s">
        <v>693</v>
      </c>
      <c r="C4" s="41" t="s">
        <v>669</v>
      </c>
      <c r="D4" s="41" t="s">
        <v>96</v>
      </c>
      <c r="E4" s="41" t="s">
        <v>149</v>
      </c>
      <c r="F4" s="41" t="s">
        <v>708</v>
      </c>
      <c r="G4" s="83">
        <f>500*1030</f>
        <v>515000</v>
      </c>
      <c r="H4" s="41">
        <v>1</v>
      </c>
      <c r="I4" s="41">
        <v>25</v>
      </c>
      <c r="J4" s="83">
        <f t="shared" si="1"/>
        <v>12875000</v>
      </c>
      <c r="K4" s="41"/>
      <c r="L4" s="41"/>
      <c r="M4" s="70">
        <f t="shared" si="2"/>
        <v>0</v>
      </c>
      <c r="N4" s="41">
        <v>0</v>
      </c>
      <c r="O4" s="41">
        <v>0</v>
      </c>
      <c r="P4" s="70">
        <f t="shared" si="3"/>
        <v>0</v>
      </c>
      <c r="Q4" s="41">
        <v>0</v>
      </c>
      <c r="R4" s="41">
        <v>0</v>
      </c>
      <c r="S4" s="70">
        <f t="shared" si="4"/>
        <v>0</v>
      </c>
      <c r="T4" s="41">
        <v>0</v>
      </c>
      <c r="U4" s="41">
        <v>0</v>
      </c>
      <c r="V4" s="70">
        <f t="shared" si="5"/>
        <v>0</v>
      </c>
      <c r="W4" s="41">
        <v>1</v>
      </c>
      <c r="X4" s="41">
        <v>25</v>
      </c>
      <c r="Y4" s="70">
        <f t="shared" si="6"/>
        <v>20735316.250000007</v>
      </c>
      <c r="Z4" s="41">
        <v>0</v>
      </c>
      <c r="AA4" s="41">
        <v>0</v>
      </c>
      <c r="AB4" s="70">
        <f t="shared" si="7"/>
        <v>0</v>
      </c>
      <c r="AC4" s="41">
        <v>0</v>
      </c>
      <c r="AD4" s="41">
        <v>0</v>
      </c>
      <c r="AE4" s="70">
        <f t="shared" si="8"/>
        <v>0</v>
      </c>
      <c r="AF4" s="28">
        <f t="shared" si="9"/>
        <v>33610316.250000007</v>
      </c>
      <c r="AG4" s="28">
        <f t="shared" si="0"/>
        <v>32631.375000000007</v>
      </c>
    </row>
    <row r="5" spans="1:38" ht="57.6" x14ac:dyDescent="0.3">
      <c r="A5" s="41" t="s">
        <v>697</v>
      </c>
      <c r="B5" s="41" t="s">
        <v>693</v>
      </c>
      <c r="C5" s="41" t="s">
        <v>669</v>
      </c>
      <c r="D5" s="41" t="s">
        <v>96</v>
      </c>
      <c r="E5" s="41" t="s">
        <v>491</v>
      </c>
      <c r="F5" s="41" t="s">
        <v>718</v>
      </c>
      <c r="G5" s="83">
        <v>0</v>
      </c>
      <c r="H5" s="41">
        <v>0</v>
      </c>
      <c r="I5" s="41">
        <v>0</v>
      </c>
      <c r="J5" s="83">
        <f t="shared" si="1"/>
        <v>0</v>
      </c>
      <c r="K5" s="41"/>
      <c r="L5" s="41"/>
      <c r="M5" s="70">
        <f t="shared" si="2"/>
        <v>0</v>
      </c>
      <c r="N5" s="41">
        <v>0</v>
      </c>
      <c r="O5" s="41">
        <v>0</v>
      </c>
      <c r="P5" s="70">
        <f t="shared" si="3"/>
        <v>0</v>
      </c>
      <c r="Q5" s="41">
        <v>0</v>
      </c>
      <c r="R5" s="41">
        <v>0</v>
      </c>
      <c r="S5" s="70">
        <f t="shared" si="4"/>
        <v>0</v>
      </c>
      <c r="T5" s="41">
        <v>0</v>
      </c>
      <c r="U5" s="41">
        <v>0</v>
      </c>
      <c r="V5" s="70">
        <f t="shared" si="5"/>
        <v>0</v>
      </c>
      <c r="W5" s="41">
        <v>0</v>
      </c>
      <c r="X5" s="41">
        <v>0</v>
      </c>
      <c r="Y5" s="70">
        <f t="shared" si="6"/>
        <v>0</v>
      </c>
      <c r="Z5" s="41">
        <v>0</v>
      </c>
      <c r="AA5" s="41">
        <v>0</v>
      </c>
      <c r="AB5" s="70">
        <f t="shared" si="7"/>
        <v>0</v>
      </c>
      <c r="AC5" s="41">
        <v>0</v>
      </c>
      <c r="AD5" s="41">
        <v>0</v>
      </c>
      <c r="AE5" s="70">
        <f t="shared" si="8"/>
        <v>0</v>
      </c>
      <c r="AF5" s="28">
        <f t="shared" si="9"/>
        <v>0</v>
      </c>
      <c r="AG5" s="28">
        <f t="shared" si="0"/>
        <v>0</v>
      </c>
    </row>
    <row r="6" spans="1:38" ht="57.6" x14ac:dyDescent="0.3">
      <c r="A6" s="41" t="s">
        <v>697</v>
      </c>
      <c r="B6" s="41" t="s">
        <v>693</v>
      </c>
      <c r="C6" s="41" t="s">
        <v>669</v>
      </c>
      <c r="D6" s="41" t="s">
        <v>96</v>
      </c>
      <c r="E6" s="41" t="s">
        <v>492</v>
      </c>
      <c r="F6" s="41" t="s">
        <v>709</v>
      </c>
      <c r="G6" s="83">
        <v>35000</v>
      </c>
      <c r="H6" s="41">
        <v>25</v>
      </c>
      <c r="I6" s="41">
        <v>5</v>
      </c>
      <c r="J6" s="83">
        <f t="shared" si="1"/>
        <v>4375000</v>
      </c>
      <c r="K6" s="41"/>
      <c r="L6" s="41"/>
      <c r="M6" s="70">
        <f t="shared" si="2"/>
        <v>0</v>
      </c>
      <c r="N6" s="41">
        <v>0</v>
      </c>
      <c r="O6" s="41">
        <v>0</v>
      </c>
      <c r="P6" s="70">
        <f t="shared" si="3"/>
        <v>0</v>
      </c>
      <c r="Q6" s="41">
        <v>0</v>
      </c>
      <c r="R6" s="41">
        <v>0</v>
      </c>
      <c r="S6" s="70">
        <f t="shared" si="4"/>
        <v>0</v>
      </c>
      <c r="T6" s="41">
        <v>0</v>
      </c>
      <c r="U6" s="41">
        <v>0</v>
      </c>
      <c r="V6" s="70">
        <f t="shared" si="5"/>
        <v>0</v>
      </c>
      <c r="W6" s="41">
        <v>25</v>
      </c>
      <c r="X6" s="41">
        <v>5</v>
      </c>
      <c r="Y6" s="70">
        <f t="shared" si="6"/>
        <v>7045981.2500000019</v>
      </c>
      <c r="Z6" s="41">
        <v>0</v>
      </c>
      <c r="AA6" s="41">
        <v>0</v>
      </c>
      <c r="AB6" s="70">
        <f t="shared" si="7"/>
        <v>0</v>
      </c>
      <c r="AC6" s="41">
        <v>0</v>
      </c>
      <c r="AD6" s="41">
        <v>0</v>
      </c>
      <c r="AE6" s="70">
        <f t="shared" si="8"/>
        <v>0</v>
      </c>
      <c r="AF6" s="28">
        <f t="shared" si="9"/>
        <v>11420981.250000002</v>
      </c>
      <c r="AG6" s="28">
        <f t="shared" si="0"/>
        <v>11088.331310679614</v>
      </c>
    </row>
    <row r="7" spans="1:38" ht="57.6" x14ac:dyDescent="0.3">
      <c r="A7" s="41" t="s">
        <v>697</v>
      </c>
      <c r="B7" s="41" t="s">
        <v>693</v>
      </c>
      <c r="C7" s="41" t="s">
        <v>669</v>
      </c>
      <c r="D7" s="41" t="s">
        <v>96</v>
      </c>
      <c r="E7" s="41" t="s">
        <v>492</v>
      </c>
      <c r="F7" s="41" t="s">
        <v>716</v>
      </c>
      <c r="G7" s="83">
        <v>45000</v>
      </c>
      <c r="H7" s="41">
        <v>25</v>
      </c>
      <c r="I7" s="41">
        <v>6</v>
      </c>
      <c r="J7" s="83">
        <f t="shared" si="1"/>
        <v>6750000</v>
      </c>
      <c r="K7" s="41"/>
      <c r="L7" s="41"/>
      <c r="M7" s="70">
        <f t="shared" si="2"/>
        <v>0</v>
      </c>
      <c r="N7" s="41"/>
      <c r="O7" s="41"/>
      <c r="P7" s="70">
        <f t="shared" si="3"/>
        <v>0</v>
      </c>
      <c r="Q7" s="41"/>
      <c r="R7" s="41"/>
      <c r="S7" s="70">
        <f t="shared" si="4"/>
        <v>0</v>
      </c>
      <c r="T7" s="41"/>
      <c r="U7" s="41"/>
      <c r="V7" s="70">
        <f t="shared" si="5"/>
        <v>0</v>
      </c>
      <c r="W7" s="41">
        <v>25</v>
      </c>
      <c r="X7" s="41">
        <v>6</v>
      </c>
      <c r="Y7" s="70">
        <f t="shared" si="6"/>
        <v>10870942.500000004</v>
      </c>
      <c r="Z7" s="41"/>
      <c r="AA7" s="41"/>
      <c r="AB7" s="70">
        <f t="shared" si="7"/>
        <v>0</v>
      </c>
      <c r="AC7" s="41"/>
      <c r="AD7" s="41"/>
      <c r="AE7" s="70">
        <f t="shared" si="8"/>
        <v>0</v>
      </c>
      <c r="AF7" s="28">
        <f t="shared" si="9"/>
        <v>17620942.500000004</v>
      </c>
      <c r="AG7" s="28">
        <f t="shared" si="0"/>
        <v>17107.711165048546</v>
      </c>
    </row>
    <row r="8" spans="1:38" ht="57.6" x14ac:dyDescent="0.3">
      <c r="A8" s="41" t="s">
        <v>697</v>
      </c>
      <c r="B8" s="41" t="s">
        <v>693</v>
      </c>
      <c r="C8" s="41" t="s">
        <v>669</v>
      </c>
      <c r="D8" s="41" t="s">
        <v>96</v>
      </c>
      <c r="E8" s="41" t="s">
        <v>492</v>
      </c>
      <c r="F8" s="41" t="s">
        <v>712</v>
      </c>
      <c r="G8" s="83">
        <f>1999.2/7</f>
        <v>285.60000000000002</v>
      </c>
      <c r="H8" s="41">
        <f>25*2*9</f>
        <v>450</v>
      </c>
      <c r="I8" s="41">
        <v>5</v>
      </c>
      <c r="J8" s="83">
        <f t="shared" si="1"/>
        <v>642600</v>
      </c>
      <c r="K8" s="41"/>
      <c r="L8" s="41"/>
      <c r="M8" s="70">
        <f t="shared" si="2"/>
        <v>0</v>
      </c>
      <c r="N8" s="41"/>
      <c r="O8" s="41"/>
      <c r="P8" s="70">
        <f t="shared" si="3"/>
        <v>0</v>
      </c>
      <c r="Q8" s="41"/>
      <c r="R8" s="41"/>
      <c r="S8" s="70">
        <f t="shared" si="4"/>
        <v>0</v>
      </c>
      <c r="T8" s="41"/>
      <c r="U8" s="41"/>
      <c r="V8" s="70">
        <f t="shared" si="5"/>
        <v>0</v>
      </c>
      <c r="W8" s="41">
        <f>25*2*9</f>
        <v>450</v>
      </c>
      <c r="X8" s="41">
        <v>5</v>
      </c>
      <c r="Y8" s="70">
        <f t="shared" si="6"/>
        <v>1034913.7260000005</v>
      </c>
      <c r="Z8" s="41"/>
      <c r="AA8" s="41"/>
      <c r="AB8" s="70">
        <f t="shared" si="7"/>
        <v>0</v>
      </c>
      <c r="AC8" s="41"/>
      <c r="AD8" s="41"/>
      <c r="AE8" s="70">
        <f t="shared" si="8"/>
        <v>0</v>
      </c>
      <c r="AF8" s="28">
        <f t="shared" si="9"/>
        <v>1677513.7260000005</v>
      </c>
      <c r="AG8" s="28">
        <f t="shared" si="0"/>
        <v>1628.6541029126217</v>
      </c>
    </row>
    <row r="9" spans="1:38" ht="57.6" x14ac:dyDescent="0.3">
      <c r="A9" s="41" t="s">
        <v>697</v>
      </c>
      <c r="B9" s="41" t="s">
        <v>693</v>
      </c>
      <c r="C9" s="41" t="s">
        <v>669</v>
      </c>
      <c r="D9" s="41" t="s">
        <v>96</v>
      </c>
      <c r="E9" s="41" t="s">
        <v>492</v>
      </c>
      <c r="F9" s="41" t="s">
        <v>1350</v>
      </c>
      <c r="G9" s="83">
        <f>1999.2/7</f>
        <v>285.60000000000002</v>
      </c>
      <c r="H9" s="41">
        <f>135*2*9</f>
        <v>2430</v>
      </c>
      <c r="I9" s="41">
        <v>1</v>
      </c>
      <c r="J9" s="83">
        <f t="shared" si="1"/>
        <v>694008</v>
      </c>
      <c r="K9" s="41"/>
      <c r="L9" s="41"/>
      <c r="M9" s="70">
        <f t="shared" si="2"/>
        <v>0</v>
      </c>
      <c r="N9" s="41"/>
      <c r="O9" s="41"/>
      <c r="P9" s="70">
        <f t="shared" si="3"/>
        <v>0</v>
      </c>
      <c r="Q9" s="41"/>
      <c r="R9" s="41"/>
      <c r="S9" s="70">
        <f t="shared" si="4"/>
        <v>0</v>
      </c>
      <c r="T9" s="41"/>
      <c r="U9" s="41"/>
      <c r="V9" s="70">
        <f t="shared" si="5"/>
        <v>0</v>
      </c>
      <c r="W9" s="41">
        <f>135*2*9</f>
        <v>2430</v>
      </c>
      <c r="X9" s="41">
        <v>1</v>
      </c>
      <c r="Y9" s="70">
        <f t="shared" si="6"/>
        <v>1117706.8240800004</v>
      </c>
      <c r="Z9" s="41"/>
      <c r="AA9" s="41"/>
      <c r="AB9" s="70">
        <f t="shared" si="7"/>
        <v>0</v>
      </c>
      <c r="AC9" s="41"/>
      <c r="AD9" s="41"/>
      <c r="AE9" s="70">
        <f t="shared" si="8"/>
        <v>0</v>
      </c>
      <c r="AF9" s="28">
        <f t="shared" si="9"/>
        <v>1811714.8240800004</v>
      </c>
      <c r="AG9" s="28">
        <f t="shared" si="0"/>
        <v>1758.9464311456315</v>
      </c>
    </row>
    <row r="10" spans="1:38" ht="57.6" x14ac:dyDescent="0.3">
      <c r="A10" s="41" t="s">
        <v>697</v>
      </c>
      <c r="B10" s="41" t="s">
        <v>693</v>
      </c>
      <c r="C10" s="41" t="s">
        <v>669</v>
      </c>
      <c r="D10" s="41" t="s">
        <v>96</v>
      </c>
      <c r="E10" s="41" t="s">
        <v>493</v>
      </c>
      <c r="F10" s="41" t="s">
        <v>713</v>
      </c>
      <c r="G10" s="83">
        <v>45000</v>
      </c>
      <c r="H10" s="41">
        <v>25</v>
      </c>
      <c r="I10" s="41">
        <v>1</v>
      </c>
      <c r="J10" s="83">
        <f t="shared" si="1"/>
        <v>1125000</v>
      </c>
      <c r="K10" s="41"/>
      <c r="L10" s="41"/>
      <c r="M10" s="70">
        <f t="shared" si="2"/>
        <v>0</v>
      </c>
      <c r="N10" s="41">
        <v>0</v>
      </c>
      <c r="O10" s="41">
        <v>0</v>
      </c>
      <c r="P10" s="70">
        <f t="shared" si="3"/>
        <v>0</v>
      </c>
      <c r="Q10" s="41">
        <v>0</v>
      </c>
      <c r="R10" s="41">
        <v>0</v>
      </c>
      <c r="S10" s="70">
        <f t="shared" si="4"/>
        <v>0</v>
      </c>
      <c r="T10" s="41">
        <v>0</v>
      </c>
      <c r="U10" s="41">
        <v>0</v>
      </c>
      <c r="V10" s="70">
        <f t="shared" si="5"/>
        <v>0</v>
      </c>
      <c r="W10" s="41">
        <v>25</v>
      </c>
      <c r="X10" s="41">
        <v>1</v>
      </c>
      <c r="Y10" s="70">
        <f t="shared" si="6"/>
        <v>1811823.7500000007</v>
      </c>
      <c r="Z10" s="41">
        <v>0</v>
      </c>
      <c r="AA10" s="41">
        <v>0</v>
      </c>
      <c r="AB10" s="70">
        <f t="shared" si="7"/>
        <v>0</v>
      </c>
      <c r="AC10" s="41">
        <v>0</v>
      </c>
      <c r="AD10" s="41">
        <v>0</v>
      </c>
      <c r="AE10" s="70">
        <f t="shared" si="8"/>
        <v>0</v>
      </c>
      <c r="AF10" s="28">
        <f t="shared" si="9"/>
        <v>2936823.7500000009</v>
      </c>
      <c r="AG10" s="28">
        <f t="shared" si="0"/>
        <v>2851.2851941747581</v>
      </c>
    </row>
    <row r="11" spans="1:38" ht="57.6" x14ac:dyDescent="0.3">
      <c r="A11" s="41" t="s">
        <v>697</v>
      </c>
      <c r="B11" s="41" t="s">
        <v>693</v>
      </c>
      <c r="C11" s="41" t="s">
        <v>669</v>
      </c>
      <c r="D11" s="41" t="s">
        <v>96</v>
      </c>
      <c r="E11" s="41" t="s">
        <v>493</v>
      </c>
      <c r="F11" s="41" t="s">
        <v>712</v>
      </c>
      <c r="G11" s="83">
        <f>1999.2/7</f>
        <v>285.60000000000002</v>
      </c>
      <c r="H11" s="41">
        <f>25*2*9</f>
        <v>450</v>
      </c>
      <c r="I11" s="41">
        <v>1</v>
      </c>
      <c r="J11" s="83">
        <f>H11*I11*G11</f>
        <v>128520.00000000001</v>
      </c>
      <c r="K11" s="41"/>
      <c r="L11" s="41"/>
      <c r="M11" s="70">
        <f t="shared" si="2"/>
        <v>0</v>
      </c>
      <c r="N11" s="41">
        <v>0</v>
      </c>
      <c r="O11" s="41">
        <v>0</v>
      </c>
      <c r="P11" s="70">
        <f t="shared" si="3"/>
        <v>0</v>
      </c>
      <c r="Q11" s="41">
        <v>0</v>
      </c>
      <c r="R11" s="41">
        <v>0</v>
      </c>
      <c r="S11" s="70">
        <f t="shared" si="4"/>
        <v>0</v>
      </c>
      <c r="T11" s="41">
        <v>0</v>
      </c>
      <c r="U11" s="41">
        <v>0</v>
      </c>
      <c r="V11" s="70">
        <f t="shared" si="5"/>
        <v>0</v>
      </c>
      <c r="W11" s="41">
        <f>25*2*9</f>
        <v>450</v>
      </c>
      <c r="X11" s="41">
        <v>1</v>
      </c>
      <c r="Y11" s="70">
        <f t="shared" si="6"/>
        <v>206982.74520000009</v>
      </c>
      <c r="Z11" s="41">
        <v>0</v>
      </c>
      <c r="AA11" s="41">
        <v>0</v>
      </c>
      <c r="AB11" s="70">
        <f t="shared" si="7"/>
        <v>0</v>
      </c>
      <c r="AC11" s="41">
        <v>0</v>
      </c>
      <c r="AD11" s="41">
        <v>0</v>
      </c>
      <c r="AE11" s="70">
        <f t="shared" si="8"/>
        <v>0</v>
      </c>
      <c r="AF11" s="28">
        <f t="shared" si="9"/>
        <v>335502.74520000012</v>
      </c>
      <c r="AG11" s="28">
        <f t="shared" si="0"/>
        <v>325.73082058252442</v>
      </c>
    </row>
    <row r="12" spans="1:38" ht="57.6" x14ac:dyDescent="0.3">
      <c r="A12" s="41" t="s">
        <v>697</v>
      </c>
      <c r="B12" s="41" t="s">
        <v>693</v>
      </c>
      <c r="C12" s="41" t="s">
        <v>669</v>
      </c>
      <c r="D12" s="41" t="s">
        <v>96</v>
      </c>
      <c r="E12" s="41" t="s">
        <v>493</v>
      </c>
      <c r="F12" s="41" t="s">
        <v>1350</v>
      </c>
      <c r="G12" s="83">
        <f>1999.2/7</f>
        <v>285.60000000000002</v>
      </c>
      <c r="H12" s="41">
        <f>135*2*9</f>
        <v>2430</v>
      </c>
      <c r="I12" s="41">
        <v>1</v>
      </c>
      <c r="J12" s="83">
        <f t="shared" si="1"/>
        <v>694008</v>
      </c>
      <c r="K12" s="41"/>
      <c r="L12" s="41"/>
      <c r="M12" s="70">
        <f t="shared" si="2"/>
        <v>0</v>
      </c>
      <c r="N12" s="41">
        <v>0</v>
      </c>
      <c r="O12" s="41">
        <v>0</v>
      </c>
      <c r="P12" s="70">
        <f t="shared" si="3"/>
        <v>0</v>
      </c>
      <c r="Q12" s="41">
        <v>0</v>
      </c>
      <c r="R12" s="41">
        <v>0</v>
      </c>
      <c r="S12" s="70">
        <f t="shared" si="4"/>
        <v>0</v>
      </c>
      <c r="T12" s="41">
        <v>0</v>
      </c>
      <c r="U12" s="41">
        <v>0</v>
      </c>
      <c r="V12" s="70">
        <f t="shared" si="5"/>
        <v>0</v>
      </c>
      <c r="W12" s="41">
        <f>135*2*9</f>
        <v>2430</v>
      </c>
      <c r="X12" s="41">
        <v>1</v>
      </c>
      <c r="Y12" s="70">
        <f t="shared" si="6"/>
        <v>1117706.8240800004</v>
      </c>
      <c r="Z12" s="41">
        <v>0</v>
      </c>
      <c r="AA12" s="41">
        <v>0</v>
      </c>
      <c r="AB12" s="70">
        <f t="shared" si="7"/>
        <v>0</v>
      </c>
      <c r="AC12" s="41">
        <v>0</v>
      </c>
      <c r="AD12" s="41">
        <v>0</v>
      </c>
      <c r="AE12" s="70">
        <f t="shared" si="8"/>
        <v>0</v>
      </c>
      <c r="AF12" s="28">
        <f t="shared" si="9"/>
        <v>1811714.8240800004</v>
      </c>
      <c r="AG12" s="28">
        <f t="shared" si="0"/>
        <v>1758.9464311456315</v>
      </c>
    </row>
    <row r="13" spans="1:38" ht="57.6" x14ac:dyDescent="0.3">
      <c r="A13" s="41" t="s">
        <v>697</v>
      </c>
      <c r="B13" s="41" t="s">
        <v>693</v>
      </c>
      <c r="C13" s="41" t="s">
        <v>669</v>
      </c>
      <c r="D13" s="41" t="s">
        <v>96</v>
      </c>
      <c r="E13" s="41" t="s">
        <v>232</v>
      </c>
      <c r="F13" s="41" t="s">
        <v>718</v>
      </c>
      <c r="G13" s="83">
        <v>0</v>
      </c>
      <c r="H13" s="41">
        <v>0</v>
      </c>
      <c r="I13" s="41">
        <v>0</v>
      </c>
      <c r="J13" s="83">
        <f t="shared" si="1"/>
        <v>0</v>
      </c>
      <c r="K13" s="41"/>
      <c r="L13" s="41"/>
      <c r="M13" s="70">
        <f t="shared" si="2"/>
        <v>0</v>
      </c>
      <c r="N13" s="41">
        <v>0</v>
      </c>
      <c r="O13" s="41">
        <v>0</v>
      </c>
      <c r="P13" s="70">
        <f t="shared" si="3"/>
        <v>0</v>
      </c>
      <c r="Q13" s="41">
        <v>0</v>
      </c>
      <c r="R13" s="41">
        <v>0</v>
      </c>
      <c r="S13" s="70">
        <f t="shared" si="4"/>
        <v>0</v>
      </c>
      <c r="T13" s="41">
        <v>0</v>
      </c>
      <c r="U13" s="41">
        <v>0</v>
      </c>
      <c r="V13" s="70">
        <f t="shared" si="5"/>
        <v>0</v>
      </c>
      <c r="W13" s="41">
        <v>0</v>
      </c>
      <c r="X13" s="41">
        <v>0</v>
      </c>
      <c r="Y13" s="70">
        <f t="shared" si="6"/>
        <v>0</v>
      </c>
      <c r="Z13" s="41">
        <v>0</v>
      </c>
      <c r="AA13" s="41">
        <v>0</v>
      </c>
      <c r="AB13" s="70">
        <f t="shared" si="7"/>
        <v>0</v>
      </c>
      <c r="AC13" s="41">
        <v>0</v>
      </c>
      <c r="AD13" s="41">
        <v>0</v>
      </c>
      <c r="AE13" s="70">
        <f t="shared" si="8"/>
        <v>0</v>
      </c>
      <c r="AF13" s="28">
        <f t="shared" si="9"/>
        <v>0</v>
      </c>
      <c r="AG13" s="28">
        <f t="shared" si="0"/>
        <v>0</v>
      </c>
    </row>
    <row r="14" spans="1:38" ht="57.6" x14ac:dyDescent="0.3">
      <c r="A14" s="41" t="s">
        <v>697</v>
      </c>
      <c r="B14" s="41" t="s">
        <v>693</v>
      </c>
      <c r="C14" s="41" t="s">
        <v>669</v>
      </c>
      <c r="D14" s="41" t="s">
        <v>96</v>
      </c>
      <c r="E14" s="41" t="s">
        <v>179</v>
      </c>
      <c r="F14" s="41" t="s">
        <v>713</v>
      </c>
      <c r="G14" s="83">
        <v>45000</v>
      </c>
      <c r="H14" s="41">
        <v>25</v>
      </c>
      <c r="I14" s="41">
        <v>5</v>
      </c>
      <c r="J14" s="83">
        <f t="shared" si="1"/>
        <v>5625000</v>
      </c>
      <c r="K14" s="41"/>
      <c r="L14" s="41"/>
      <c r="M14" s="70">
        <f t="shared" si="2"/>
        <v>0</v>
      </c>
      <c r="N14" s="41">
        <v>0</v>
      </c>
      <c r="O14" s="41">
        <v>0</v>
      </c>
      <c r="P14" s="70">
        <f t="shared" si="3"/>
        <v>0</v>
      </c>
      <c r="Q14" s="41">
        <v>0</v>
      </c>
      <c r="R14" s="41">
        <v>0</v>
      </c>
      <c r="S14" s="70">
        <f t="shared" si="4"/>
        <v>0</v>
      </c>
      <c r="T14" s="41">
        <v>0</v>
      </c>
      <c r="U14" s="41">
        <v>0</v>
      </c>
      <c r="V14" s="70">
        <f t="shared" si="5"/>
        <v>0</v>
      </c>
      <c r="W14" s="41">
        <v>25</v>
      </c>
      <c r="X14" s="41">
        <v>5</v>
      </c>
      <c r="Y14" s="70">
        <f t="shared" si="6"/>
        <v>9059118.7500000037</v>
      </c>
      <c r="Z14" s="41">
        <v>0</v>
      </c>
      <c r="AA14" s="41">
        <v>0</v>
      </c>
      <c r="AB14" s="70">
        <f t="shared" si="7"/>
        <v>0</v>
      </c>
      <c r="AC14" s="41">
        <v>0</v>
      </c>
      <c r="AD14" s="41">
        <v>0</v>
      </c>
      <c r="AE14" s="70">
        <f t="shared" si="8"/>
        <v>0</v>
      </c>
      <c r="AF14" s="28">
        <f t="shared" si="9"/>
        <v>14684118.750000004</v>
      </c>
      <c r="AG14" s="28">
        <f t="shared" si="0"/>
        <v>14256.42597087379</v>
      </c>
    </row>
    <row r="15" spans="1:38" ht="57.6" x14ac:dyDescent="0.3">
      <c r="A15" s="41" t="s">
        <v>697</v>
      </c>
      <c r="B15" s="41" t="s">
        <v>693</v>
      </c>
      <c r="C15" s="41" t="s">
        <v>669</v>
      </c>
      <c r="D15" s="41" t="s">
        <v>96</v>
      </c>
      <c r="E15" s="41" t="s">
        <v>179</v>
      </c>
      <c r="F15" s="41" t="s">
        <v>712</v>
      </c>
      <c r="G15" s="83">
        <f>1999.2/7</f>
        <v>285.60000000000002</v>
      </c>
      <c r="H15" s="41">
        <f>25*2*9</f>
        <v>450</v>
      </c>
      <c r="I15" s="41">
        <v>5</v>
      </c>
      <c r="J15" s="83">
        <f t="shared" si="1"/>
        <v>642600</v>
      </c>
      <c r="K15" s="41"/>
      <c r="L15" s="41"/>
      <c r="M15" s="70">
        <f t="shared" si="2"/>
        <v>0</v>
      </c>
      <c r="N15" s="41">
        <v>0</v>
      </c>
      <c r="O15" s="41">
        <v>0</v>
      </c>
      <c r="P15" s="70">
        <f t="shared" si="3"/>
        <v>0</v>
      </c>
      <c r="Q15" s="41">
        <v>0</v>
      </c>
      <c r="R15" s="41">
        <v>0</v>
      </c>
      <c r="S15" s="70">
        <f t="shared" si="4"/>
        <v>0</v>
      </c>
      <c r="T15" s="41">
        <v>0</v>
      </c>
      <c r="U15" s="41">
        <v>0</v>
      </c>
      <c r="V15" s="70">
        <f t="shared" si="5"/>
        <v>0</v>
      </c>
      <c r="W15" s="41">
        <f>25*2*9</f>
        <v>450</v>
      </c>
      <c r="X15" s="41">
        <v>5</v>
      </c>
      <c r="Y15" s="70">
        <f t="shared" si="6"/>
        <v>1034913.7260000005</v>
      </c>
      <c r="Z15" s="41">
        <v>0</v>
      </c>
      <c r="AA15" s="41">
        <v>0</v>
      </c>
      <c r="AB15" s="70">
        <f t="shared" si="7"/>
        <v>0</v>
      </c>
      <c r="AC15" s="41">
        <v>0</v>
      </c>
      <c r="AD15" s="41">
        <v>0</v>
      </c>
      <c r="AE15" s="70">
        <f t="shared" si="8"/>
        <v>0</v>
      </c>
      <c r="AF15" s="28">
        <f t="shared" si="9"/>
        <v>1677513.7260000005</v>
      </c>
      <c r="AG15" s="28">
        <f t="shared" si="0"/>
        <v>1628.6541029126217</v>
      </c>
    </row>
    <row r="16" spans="1:38" ht="57.6" x14ac:dyDescent="0.3">
      <c r="A16" s="41" t="s">
        <v>697</v>
      </c>
      <c r="B16" s="41" t="s">
        <v>693</v>
      </c>
      <c r="C16" s="41" t="s">
        <v>669</v>
      </c>
      <c r="D16" s="41" t="s">
        <v>96</v>
      </c>
      <c r="E16" s="41" t="s">
        <v>179</v>
      </c>
      <c r="F16" s="41" t="s">
        <v>1350</v>
      </c>
      <c r="G16" s="83">
        <f>1999.2/7</f>
        <v>285.60000000000002</v>
      </c>
      <c r="H16" s="41">
        <f>135*2*9</f>
        <v>2430</v>
      </c>
      <c r="I16" s="41">
        <v>1</v>
      </c>
      <c r="J16" s="83">
        <f>H16*I16*G16</f>
        <v>694008</v>
      </c>
      <c r="K16" s="41"/>
      <c r="L16" s="41"/>
      <c r="M16" s="70">
        <f t="shared" si="2"/>
        <v>0</v>
      </c>
      <c r="N16" s="41">
        <v>0</v>
      </c>
      <c r="O16" s="41">
        <v>0</v>
      </c>
      <c r="P16" s="70">
        <f t="shared" si="3"/>
        <v>0</v>
      </c>
      <c r="Q16" s="41">
        <v>0</v>
      </c>
      <c r="R16" s="41">
        <v>0</v>
      </c>
      <c r="S16" s="70">
        <f t="shared" si="4"/>
        <v>0</v>
      </c>
      <c r="T16" s="41">
        <v>0</v>
      </c>
      <c r="U16" s="41">
        <v>0</v>
      </c>
      <c r="V16" s="70">
        <f t="shared" si="5"/>
        <v>0</v>
      </c>
      <c r="W16" s="41">
        <f>135*2*9</f>
        <v>2430</v>
      </c>
      <c r="X16" s="41">
        <v>1</v>
      </c>
      <c r="Y16" s="70">
        <f t="shared" si="6"/>
        <v>1117706.8240800004</v>
      </c>
      <c r="Z16" s="41">
        <v>0</v>
      </c>
      <c r="AA16" s="41">
        <v>0</v>
      </c>
      <c r="AB16" s="70">
        <f t="shared" si="7"/>
        <v>0</v>
      </c>
      <c r="AC16" s="41">
        <v>0</v>
      </c>
      <c r="AD16" s="41">
        <v>0</v>
      </c>
      <c r="AE16" s="70">
        <f t="shared" si="8"/>
        <v>0</v>
      </c>
      <c r="AF16" s="28">
        <f t="shared" si="9"/>
        <v>1811714.8240800004</v>
      </c>
      <c r="AG16" s="28">
        <f t="shared" si="0"/>
        <v>1758.9464311456315</v>
      </c>
    </row>
    <row r="17" spans="1:33" ht="57.6" x14ac:dyDescent="0.3">
      <c r="A17" s="41" t="s">
        <v>697</v>
      </c>
      <c r="B17" s="41" t="s">
        <v>693</v>
      </c>
      <c r="C17" s="41" t="s">
        <v>669</v>
      </c>
      <c r="D17" s="41" t="s">
        <v>96</v>
      </c>
      <c r="E17" s="41" t="s">
        <v>179</v>
      </c>
      <c r="F17" s="41" t="s">
        <v>714</v>
      </c>
      <c r="G17" s="83">
        <v>10000</v>
      </c>
      <c r="H17" s="41">
        <v>15</v>
      </c>
      <c r="I17" s="41">
        <v>1</v>
      </c>
      <c r="J17" s="83">
        <f t="shared" si="1"/>
        <v>150000</v>
      </c>
      <c r="K17" s="41"/>
      <c r="L17" s="41"/>
      <c r="M17" s="70">
        <f t="shared" si="2"/>
        <v>0</v>
      </c>
      <c r="N17" s="41">
        <v>0</v>
      </c>
      <c r="O17" s="41">
        <v>0</v>
      </c>
      <c r="P17" s="70">
        <f t="shared" si="3"/>
        <v>0</v>
      </c>
      <c r="Q17" s="41">
        <v>0</v>
      </c>
      <c r="R17" s="41">
        <v>0</v>
      </c>
      <c r="S17" s="70">
        <f t="shared" si="4"/>
        <v>0</v>
      </c>
      <c r="T17" s="41">
        <v>0</v>
      </c>
      <c r="U17" s="41">
        <v>0</v>
      </c>
      <c r="V17" s="70">
        <f t="shared" si="5"/>
        <v>0</v>
      </c>
      <c r="W17" s="41">
        <v>15</v>
      </c>
      <c r="X17" s="41">
        <v>1</v>
      </c>
      <c r="Y17" s="70">
        <f t="shared" si="6"/>
        <v>241576.50000000009</v>
      </c>
      <c r="Z17" s="41">
        <v>0</v>
      </c>
      <c r="AA17" s="41">
        <v>0</v>
      </c>
      <c r="AB17" s="70">
        <f t="shared" si="7"/>
        <v>0</v>
      </c>
      <c r="AC17" s="41">
        <v>0</v>
      </c>
      <c r="AD17" s="41">
        <v>0</v>
      </c>
      <c r="AE17" s="70">
        <f t="shared" si="8"/>
        <v>0</v>
      </c>
      <c r="AF17" s="28">
        <f t="shared" si="9"/>
        <v>391576.50000000012</v>
      </c>
      <c r="AG17" s="28">
        <f t="shared" si="0"/>
        <v>380.17135922330107</v>
      </c>
    </row>
    <row r="18" spans="1:33" ht="57.6" x14ac:dyDescent="0.3">
      <c r="A18" s="41" t="s">
        <v>697</v>
      </c>
      <c r="B18" s="41" t="s">
        <v>693</v>
      </c>
      <c r="C18" s="41" t="s">
        <v>669</v>
      </c>
      <c r="D18" s="41" t="s">
        <v>96</v>
      </c>
      <c r="E18" s="41" t="s">
        <v>179</v>
      </c>
      <c r="F18" s="41" t="s">
        <v>715</v>
      </c>
      <c r="G18" s="83">
        <v>302000</v>
      </c>
      <c r="H18" s="41">
        <v>1</v>
      </c>
      <c r="I18" s="41">
        <v>1</v>
      </c>
      <c r="J18" s="83">
        <f t="shared" si="1"/>
        <v>302000</v>
      </c>
      <c r="K18" s="41"/>
      <c r="L18" s="41"/>
      <c r="M18" s="70">
        <f t="shared" si="2"/>
        <v>0</v>
      </c>
      <c r="N18" s="41">
        <v>0</v>
      </c>
      <c r="O18" s="41">
        <v>0</v>
      </c>
      <c r="P18" s="70">
        <f t="shared" si="3"/>
        <v>0</v>
      </c>
      <c r="Q18" s="41">
        <v>0</v>
      </c>
      <c r="R18" s="41">
        <v>0</v>
      </c>
      <c r="S18" s="70">
        <f t="shared" si="4"/>
        <v>0</v>
      </c>
      <c r="T18" s="41">
        <v>0</v>
      </c>
      <c r="U18" s="41">
        <v>0</v>
      </c>
      <c r="V18" s="70">
        <f t="shared" si="5"/>
        <v>0</v>
      </c>
      <c r="W18" s="41">
        <v>1</v>
      </c>
      <c r="X18" s="41">
        <v>1</v>
      </c>
      <c r="Y18" s="70">
        <f t="shared" si="6"/>
        <v>486374.02000000019</v>
      </c>
      <c r="Z18" s="41">
        <v>0</v>
      </c>
      <c r="AA18" s="41">
        <v>0</v>
      </c>
      <c r="AB18" s="70">
        <f t="shared" si="7"/>
        <v>0</v>
      </c>
      <c r="AC18" s="41">
        <v>0</v>
      </c>
      <c r="AD18" s="41">
        <v>0</v>
      </c>
      <c r="AE18" s="70">
        <f t="shared" si="8"/>
        <v>0</v>
      </c>
      <c r="AF18" s="28">
        <f t="shared" si="9"/>
        <v>788374.02000000025</v>
      </c>
      <c r="AG18" s="28">
        <f t="shared" si="0"/>
        <v>765.41166990291288</v>
      </c>
    </row>
    <row r="19" spans="1:33" ht="57.6" x14ac:dyDescent="0.3">
      <c r="A19" s="41" t="s">
        <v>697</v>
      </c>
      <c r="B19" s="41" t="s">
        <v>693</v>
      </c>
      <c r="C19" s="41" t="s">
        <v>669</v>
      </c>
      <c r="D19" s="41" t="s">
        <v>96</v>
      </c>
      <c r="E19" s="41" t="s">
        <v>159</v>
      </c>
      <c r="F19" s="41" t="s">
        <v>716</v>
      </c>
      <c r="G19" s="83">
        <v>39000</v>
      </c>
      <c r="H19" s="41">
        <v>25</v>
      </c>
      <c r="I19" s="41">
        <v>6</v>
      </c>
      <c r="J19" s="83">
        <f t="shared" si="1"/>
        <v>5850000</v>
      </c>
      <c r="K19" s="41"/>
      <c r="L19" s="41"/>
      <c r="M19" s="70">
        <f t="shared" si="2"/>
        <v>0</v>
      </c>
      <c r="N19" s="41">
        <v>0</v>
      </c>
      <c r="O19" s="41">
        <v>0</v>
      </c>
      <c r="P19" s="70">
        <f t="shared" si="3"/>
        <v>0</v>
      </c>
      <c r="Q19" s="41">
        <v>0</v>
      </c>
      <c r="R19" s="41">
        <v>0</v>
      </c>
      <c r="S19" s="70">
        <f t="shared" si="4"/>
        <v>0</v>
      </c>
      <c r="T19" s="41">
        <v>0</v>
      </c>
      <c r="U19" s="41">
        <v>0</v>
      </c>
      <c r="V19" s="70">
        <f t="shared" si="5"/>
        <v>0</v>
      </c>
      <c r="W19" s="41">
        <v>25</v>
      </c>
      <c r="X19" s="41">
        <v>6</v>
      </c>
      <c r="Y19" s="70">
        <f t="shared" si="6"/>
        <v>9421483.5000000037</v>
      </c>
      <c r="Z19" s="41">
        <v>0</v>
      </c>
      <c r="AA19" s="41">
        <v>0</v>
      </c>
      <c r="AB19" s="70">
        <f t="shared" si="7"/>
        <v>0</v>
      </c>
      <c r="AC19" s="41">
        <v>0</v>
      </c>
      <c r="AD19" s="41">
        <v>0</v>
      </c>
      <c r="AE19" s="70">
        <f t="shared" si="8"/>
        <v>0</v>
      </c>
      <c r="AF19" s="28">
        <f t="shared" si="9"/>
        <v>15271483.500000004</v>
      </c>
      <c r="AG19" s="28">
        <f t="shared" si="0"/>
        <v>14826.683009708742</v>
      </c>
    </row>
    <row r="20" spans="1:33" ht="57.6" x14ac:dyDescent="0.3">
      <c r="A20" s="41" t="s">
        <v>697</v>
      </c>
      <c r="B20" s="41" t="s">
        <v>693</v>
      </c>
      <c r="C20" s="41" t="s">
        <v>669</v>
      </c>
      <c r="D20" s="41" t="s">
        <v>96</v>
      </c>
      <c r="E20" s="41" t="s">
        <v>159</v>
      </c>
      <c r="F20" s="41" t="s">
        <v>709</v>
      </c>
      <c r="G20" s="83">
        <v>35000</v>
      </c>
      <c r="H20" s="41">
        <v>25</v>
      </c>
      <c r="I20" s="41">
        <v>5</v>
      </c>
      <c r="J20" s="83">
        <f t="shared" si="1"/>
        <v>4375000</v>
      </c>
      <c r="K20" s="41"/>
      <c r="L20" s="41"/>
      <c r="M20" s="70">
        <f t="shared" si="2"/>
        <v>0</v>
      </c>
      <c r="N20" s="41">
        <v>0</v>
      </c>
      <c r="O20" s="41">
        <v>0</v>
      </c>
      <c r="P20" s="70">
        <f t="shared" si="3"/>
        <v>0</v>
      </c>
      <c r="Q20" s="41">
        <v>0</v>
      </c>
      <c r="R20" s="41">
        <v>0</v>
      </c>
      <c r="S20" s="70">
        <f t="shared" si="4"/>
        <v>0</v>
      </c>
      <c r="T20" s="41">
        <v>0</v>
      </c>
      <c r="U20" s="41">
        <v>0</v>
      </c>
      <c r="V20" s="70">
        <f t="shared" si="5"/>
        <v>0</v>
      </c>
      <c r="W20" s="41">
        <v>25</v>
      </c>
      <c r="X20" s="41">
        <v>5</v>
      </c>
      <c r="Y20" s="70">
        <f t="shared" si="6"/>
        <v>7045981.2500000019</v>
      </c>
      <c r="Z20" s="41">
        <v>0</v>
      </c>
      <c r="AA20" s="41">
        <v>0</v>
      </c>
      <c r="AB20" s="70">
        <f t="shared" si="7"/>
        <v>0</v>
      </c>
      <c r="AC20" s="41">
        <v>0</v>
      </c>
      <c r="AD20" s="41">
        <v>0</v>
      </c>
      <c r="AE20" s="70">
        <f t="shared" si="8"/>
        <v>0</v>
      </c>
      <c r="AF20" s="28">
        <f t="shared" si="9"/>
        <v>11420981.250000002</v>
      </c>
      <c r="AG20" s="28">
        <f t="shared" si="0"/>
        <v>11088.331310679614</v>
      </c>
    </row>
    <row r="21" spans="1:33" ht="57.6" x14ac:dyDescent="0.3">
      <c r="A21" s="41" t="s">
        <v>697</v>
      </c>
      <c r="B21" s="41" t="s">
        <v>693</v>
      </c>
      <c r="C21" s="41" t="s">
        <v>669</v>
      </c>
      <c r="D21" s="41" t="s">
        <v>96</v>
      </c>
      <c r="E21" s="41" t="s">
        <v>179</v>
      </c>
      <c r="F21" s="41" t="s">
        <v>1350</v>
      </c>
      <c r="G21" s="83">
        <f>1999.2/7</f>
        <v>285.60000000000002</v>
      </c>
      <c r="H21" s="41">
        <f>135*2*9</f>
        <v>2430</v>
      </c>
      <c r="I21" s="41">
        <v>1</v>
      </c>
      <c r="J21" s="83">
        <f t="shared" si="1"/>
        <v>694008</v>
      </c>
      <c r="K21" s="41"/>
      <c r="L21" s="41"/>
      <c r="M21" s="70">
        <f t="shared" si="2"/>
        <v>0</v>
      </c>
      <c r="N21" s="41">
        <v>0</v>
      </c>
      <c r="O21" s="41">
        <v>0</v>
      </c>
      <c r="P21" s="70">
        <f t="shared" si="3"/>
        <v>0</v>
      </c>
      <c r="Q21" s="41">
        <v>0</v>
      </c>
      <c r="R21" s="41">
        <v>0</v>
      </c>
      <c r="S21" s="70">
        <f t="shared" si="4"/>
        <v>0</v>
      </c>
      <c r="T21" s="41">
        <v>0</v>
      </c>
      <c r="U21" s="41">
        <v>0</v>
      </c>
      <c r="V21" s="70">
        <f t="shared" si="5"/>
        <v>0</v>
      </c>
      <c r="W21" s="41">
        <f>135*2*9</f>
        <v>2430</v>
      </c>
      <c r="X21" s="41">
        <v>1</v>
      </c>
      <c r="Y21" s="70">
        <f t="shared" si="6"/>
        <v>1117706.8240800004</v>
      </c>
      <c r="Z21" s="41">
        <v>0</v>
      </c>
      <c r="AA21" s="41">
        <v>0</v>
      </c>
      <c r="AB21" s="70">
        <f t="shared" si="7"/>
        <v>0</v>
      </c>
      <c r="AC21" s="41">
        <v>0</v>
      </c>
      <c r="AD21" s="41">
        <v>0</v>
      </c>
      <c r="AE21" s="70">
        <f t="shared" si="8"/>
        <v>0</v>
      </c>
      <c r="AF21" s="28">
        <f t="shared" si="9"/>
        <v>1811714.8240800004</v>
      </c>
      <c r="AG21" s="28">
        <f t="shared" si="0"/>
        <v>1758.9464311456315</v>
      </c>
    </row>
    <row r="22" spans="1:33" ht="57.6" x14ac:dyDescent="0.3">
      <c r="A22" s="41" t="s">
        <v>697</v>
      </c>
      <c r="B22" s="41" t="s">
        <v>693</v>
      </c>
      <c r="C22" s="41" t="s">
        <v>669</v>
      </c>
      <c r="D22" s="41" t="s">
        <v>96</v>
      </c>
      <c r="E22" s="41" t="s">
        <v>159</v>
      </c>
      <c r="F22" s="41" t="s">
        <v>712</v>
      </c>
      <c r="G22" s="83">
        <f>1999.2/7</f>
        <v>285.60000000000002</v>
      </c>
      <c r="H22" s="41">
        <f>25*2*9</f>
        <v>450</v>
      </c>
      <c r="I22" s="41">
        <v>5</v>
      </c>
      <c r="J22" s="83">
        <f t="shared" si="1"/>
        <v>642600</v>
      </c>
      <c r="K22" s="41"/>
      <c r="L22" s="41"/>
      <c r="M22" s="70">
        <f t="shared" si="2"/>
        <v>0</v>
      </c>
      <c r="N22" s="41">
        <v>0</v>
      </c>
      <c r="O22" s="41">
        <v>0</v>
      </c>
      <c r="P22" s="70">
        <f t="shared" si="3"/>
        <v>0</v>
      </c>
      <c r="Q22" s="41">
        <v>0</v>
      </c>
      <c r="R22" s="41">
        <v>0</v>
      </c>
      <c r="S22" s="70">
        <f t="shared" si="4"/>
        <v>0</v>
      </c>
      <c r="T22" s="41">
        <v>0</v>
      </c>
      <c r="U22" s="41">
        <v>0</v>
      </c>
      <c r="V22" s="70">
        <f t="shared" si="5"/>
        <v>0</v>
      </c>
      <c r="W22" s="41">
        <f>25*2*9</f>
        <v>450</v>
      </c>
      <c r="X22" s="41">
        <v>5</v>
      </c>
      <c r="Y22" s="70">
        <f t="shared" si="6"/>
        <v>1034913.7260000005</v>
      </c>
      <c r="Z22" s="41">
        <v>0</v>
      </c>
      <c r="AA22" s="41">
        <v>0</v>
      </c>
      <c r="AB22" s="70">
        <f t="shared" si="7"/>
        <v>0</v>
      </c>
      <c r="AC22" s="41">
        <v>0</v>
      </c>
      <c r="AD22" s="41">
        <v>0</v>
      </c>
      <c r="AE22" s="70">
        <f t="shared" si="8"/>
        <v>0</v>
      </c>
      <c r="AF22" s="28">
        <f t="shared" si="9"/>
        <v>1677513.7260000005</v>
      </c>
      <c r="AG22" s="28">
        <f t="shared" si="0"/>
        <v>1628.6541029126217</v>
      </c>
    </row>
    <row r="23" spans="1:33" ht="57.6" x14ac:dyDescent="0.3">
      <c r="A23" s="41" t="s">
        <v>697</v>
      </c>
      <c r="B23" s="41" t="s">
        <v>693</v>
      </c>
      <c r="C23" s="41" t="s">
        <v>669</v>
      </c>
      <c r="D23" s="41" t="s">
        <v>96</v>
      </c>
      <c r="E23" s="41" t="s">
        <v>153</v>
      </c>
      <c r="F23" s="41" t="s">
        <v>716</v>
      </c>
      <c r="G23" s="83">
        <v>39000</v>
      </c>
      <c r="H23" s="41">
        <v>25</v>
      </c>
      <c r="I23" s="41">
        <v>5</v>
      </c>
      <c r="J23" s="83">
        <f t="shared" si="1"/>
        <v>4875000</v>
      </c>
      <c r="K23" s="41"/>
      <c r="L23" s="41"/>
      <c r="M23" s="70">
        <f t="shared" si="2"/>
        <v>0</v>
      </c>
      <c r="N23" s="41">
        <v>0</v>
      </c>
      <c r="O23" s="41">
        <v>0</v>
      </c>
      <c r="P23" s="70">
        <f t="shared" si="3"/>
        <v>0</v>
      </c>
      <c r="Q23" s="41">
        <v>0</v>
      </c>
      <c r="R23" s="41">
        <v>0</v>
      </c>
      <c r="S23" s="70">
        <f t="shared" si="4"/>
        <v>0</v>
      </c>
      <c r="T23" s="41">
        <v>0</v>
      </c>
      <c r="U23" s="41">
        <v>0</v>
      </c>
      <c r="V23" s="70">
        <f t="shared" si="5"/>
        <v>0</v>
      </c>
      <c r="W23" s="41">
        <v>25</v>
      </c>
      <c r="X23" s="41">
        <v>5</v>
      </c>
      <c r="Y23" s="70">
        <f t="shared" si="6"/>
        <v>7851236.2500000019</v>
      </c>
      <c r="Z23" s="41">
        <v>0</v>
      </c>
      <c r="AA23" s="41">
        <v>0</v>
      </c>
      <c r="AB23" s="70">
        <f t="shared" si="7"/>
        <v>0</v>
      </c>
      <c r="AC23" s="41">
        <v>0</v>
      </c>
      <c r="AD23" s="41">
        <v>0</v>
      </c>
      <c r="AE23" s="70">
        <f t="shared" si="8"/>
        <v>0</v>
      </c>
      <c r="AF23" s="28">
        <f t="shared" si="9"/>
        <v>12726236.250000002</v>
      </c>
      <c r="AG23" s="28">
        <f t="shared" si="0"/>
        <v>12355.569174757284</v>
      </c>
    </row>
    <row r="24" spans="1:33" ht="57.6" x14ac:dyDescent="0.3">
      <c r="A24" s="41" t="s">
        <v>697</v>
      </c>
      <c r="B24" s="41" t="s">
        <v>693</v>
      </c>
      <c r="C24" s="41" t="s">
        <v>669</v>
      </c>
      <c r="D24" s="41" t="s">
        <v>96</v>
      </c>
      <c r="E24" s="41" t="s">
        <v>153</v>
      </c>
      <c r="F24" s="41" t="s">
        <v>709</v>
      </c>
      <c r="G24" s="83">
        <v>35000</v>
      </c>
      <c r="H24" s="41">
        <v>25</v>
      </c>
      <c r="I24" s="41">
        <v>4</v>
      </c>
      <c r="J24" s="83">
        <f t="shared" si="1"/>
        <v>3500000</v>
      </c>
      <c r="K24" s="41"/>
      <c r="L24" s="41"/>
      <c r="M24" s="70">
        <f t="shared" si="2"/>
        <v>0</v>
      </c>
      <c r="N24" s="41">
        <v>0</v>
      </c>
      <c r="O24" s="41">
        <v>0</v>
      </c>
      <c r="P24" s="70">
        <f t="shared" si="3"/>
        <v>0</v>
      </c>
      <c r="Q24" s="41">
        <v>0</v>
      </c>
      <c r="R24" s="41">
        <v>0</v>
      </c>
      <c r="S24" s="70">
        <f t="shared" si="4"/>
        <v>0</v>
      </c>
      <c r="T24" s="41">
        <v>0</v>
      </c>
      <c r="U24" s="41">
        <v>0</v>
      </c>
      <c r="V24" s="70">
        <f t="shared" si="5"/>
        <v>0</v>
      </c>
      <c r="W24" s="41">
        <v>25</v>
      </c>
      <c r="X24" s="41">
        <v>4</v>
      </c>
      <c r="Y24" s="70">
        <f t="shared" si="6"/>
        <v>5636785.0000000019</v>
      </c>
      <c r="Z24" s="41">
        <v>0</v>
      </c>
      <c r="AA24" s="41">
        <v>0</v>
      </c>
      <c r="AB24" s="70">
        <f t="shared" si="7"/>
        <v>0</v>
      </c>
      <c r="AC24" s="41">
        <v>0</v>
      </c>
      <c r="AD24" s="41">
        <v>0</v>
      </c>
      <c r="AE24" s="70">
        <f t="shared" si="8"/>
        <v>0</v>
      </c>
      <c r="AF24" s="28">
        <f t="shared" si="9"/>
        <v>9136785.0000000019</v>
      </c>
      <c r="AG24" s="28">
        <f t="shared" si="0"/>
        <v>8870.6650485436912</v>
      </c>
    </row>
    <row r="25" spans="1:33" ht="57.6" x14ac:dyDescent="0.3">
      <c r="A25" s="41" t="s">
        <v>697</v>
      </c>
      <c r="B25" s="41" t="s">
        <v>693</v>
      </c>
      <c r="C25" s="41" t="s">
        <v>669</v>
      </c>
      <c r="D25" s="41" t="s">
        <v>96</v>
      </c>
      <c r="E25" s="41" t="s">
        <v>153</v>
      </c>
      <c r="F25" s="41" t="s">
        <v>712</v>
      </c>
      <c r="G25" s="83">
        <f>1999.2/7</f>
        <v>285.60000000000002</v>
      </c>
      <c r="H25" s="41">
        <f>25*2*9</f>
        <v>450</v>
      </c>
      <c r="I25" s="41">
        <v>4</v>
      </c>
      <c r="J25" s="83">
        <f t="shared" si="1"/>
        <v>514080.00000000006</v>
      </c>
      <c r="K25" s="41"/>
      <c r="L25" s="41"/>
      <c r="M25" s="70">
        <f t="shared" si="2"/>
        <v>0</v>
      </c>
      <c r="N25" s="41">
        <v>0</v>
      </c>
      <c r="O25" s="41">
        <v>0</v>
      </c>
      <c r="P25" s="70">
        <f t="shared" si="3"/>
        <v>0</v>
      </c>
      <c r="Q25" s="41">
        <v>0</v>
      </c>
      <c r="R25" s="41">
        <v>0</v>
      </c>
      <c r="S25" s="70">
        <f t="shared" si="4"/>
        <v>0</v>
      </c>
      <c r="T25" s="41">
        <v>0</v>
      </c>
      <c r="U25" s="41">
        <v>0</v>
      </c>
      <c r="V25" s="70">
        <f t="shared" si="5"/>
        <v>0</v>
      </c>
      <c r="W25" s="41">
        <f>25*2*9</f>
        <v>450</v>
      </c>
      <c r="X25" s="41">
        <v>4</v>
      </c>
      <c r="Y25" s="70">
        <f t="shared" si="6"/>
        <v>827930.98080000037</v>
      </c>
      <c r="Z25" s="41">
        <v>0</v>
      </c>
      <c r="AA25" s="41">
        <v>0</v>
      </c>
      <c r="AB25" s="70">
        <f t="shared" si="7"/>
        <v>0</v>
      </c>
      <c r="AC25" s="41">
        <v>0</v>
      </c>
      <c r="AD25" s="41">
        <v>0</v>
      </c>
      <c r="AE25" s="70">
        <f t="shared" si="8"/>
        <v>0</v>
      </c>
      <c r="AF25" s="28">
        <f t="shared" si="9"/>
        <v>1342010.9808000005</v>
      </c>
      <c r="AG25" s="28">
        <f t="shared" si="0"/>
        <v>1302.9232823300977</v>
      </c>
    </row>
    <row r="26" spans="1:33" ht="57.6" x14ac:dyDescent="0.3">
      <c r="A26" s="41" t="s">
        <v>697</v>
      </c>
      <c r="B26" s="41" t="s">
        <v>693</v>
      </c>
      <c r="C26" s="41" t="s">
        <v>669</v>
      </c>
      <c r="D26" s="41" t="s">
        <v>96</v>
      </c>
      <c r="E26" s="41" t="s">
        <v>179</v>
      </c>
      <c r="F26" s="41" t="s">
        <v>1350</v>
      </c>
      <c r="G26" s="83">
        <f>1999.2/7</f>
        <v>285.60000000000002</v>
      </c>
      <c r="H26" s="41">
        <f>135*2*9</f>
        <v>2430</v>
      </c>
      <c r="I26" s="41">
        <v>1</v>
      </c>
      <c r="J26" s="83">
        <f>H26*I26*G26</f>
        <v>694008</v>
      </c>
      <c r="K26" s="41"/>
      <c r="L26" s="41"/>
      <c r="M26" s="70">
        <f t="shared" si="2"/>
        <v>0</v>
      </c>
      <c r="N26" s="41">
        <v>0</v>
      </c>
      <c r="O26" s="41">
        <v>0</v>
      </c>
      <c r="P26" s="70">
        <f t="shared" si="3"/>
        <v>0</v>
      </c>
      <c r="Q26" s="41">
        <v>0</v>
      </c>
      <c r="R26" s="41">
        <v>0</v>
      </c>
      <c r="S26" s="70">
        <f t="shared" si="4"/>
        <v>0</v>
      </c>
      <c r="T26" s="41">
        <v>0</v>
      </c>
      <c r="U26" s="41">
        <v>0</v>
      </c>
      <c r="V26" s="70">
        <f t="shared" si="5"/>
        <v>0</v>
      </c>
      <c r="W26" s="41">
        <f>135*2*9</f>
        <v>2430</v>
      </c>
      <c r="X26" s="41">
        <v>1</v>
      </c>
      <c r="Y26" s="70">
        <f t="shared" si="6"/>
        <v>1117706.8240800004</v>
      </c>
      <c r="Z26" s="41">
        <v>0</v>
      </c>
      <c r="AA26" s="41">
        <v>0</v>
      </c>
      <c r="AB26" s="70">
        <f t="shared" si="7"/>
        <v>0</v>
      </c>
      <c r="AC26" s="41">
        <v>0</v>
      </c>
      <c r="AD26" s="41">
        <v>0</v>
      </c>
      <c r="AE26" s="70">
        <f t="shared" si="8"/>
        <v>0</v>
      </c>
      <c r="AF26" s="28">
        <f t="shared" si="9"/>
        <v>1811714.8240800004</v>
      </c>
      <c r="AG26" s="28">
        <f t="shared" si="0"/>
        <v>1758.9464311456315</v>
      </c>
    </row>
    <row r="27" spans="1:33" ht="57.6" x14ac:dyDescent="0.3">
      <c r="A27" s="41" t="s">
        <v>697</v>
      </c>
      <c r="B27" s="41" t="s">
        <v>693</v>
      </c>
      <c r="C27" s="41" t="s">
        <v>669</v>
      </c>
      <c r="D27" s="41" t="s">
        <v>96</v>
      </c>
      <c r="E27" s="41" t="s">
        <v>494</v>
      </c>
      <c r="F27" s="41" t="s">
        <v>709</v>
      </c>
      <c r="G27" s="83">
        <v>35000</v>
      </c>
      <c r="H27" s="41">
        <v>100</v>
      </c>
      <c r="I27" s="41">
        <v>5</v>
      </c>
      <c r="J27" s="83">
        <f t="shared" si="1"/>
        <v>17500000</v>
      </c>
      <c r="K27" s="41"/>
      <c r="L27" s="41"/>
      <c r="M27" s="70">
        <f t="shared" si="2"/>
        <v>0</v>
      </c>
      <c r="N27" s="41">
        <v>0</v>
      </c>
      <c r="O27" s="41">
        <v>0</v>
      </c>
      <c r="P27" s="70">
        <f t="shared" si="3"/>
        <v>0</v>
      </c>
      <c r="Q27" s="41">
        <v>0</v>
      </c>
      <c r="R27" s="41">
        <v>0</v>
      </c>
      <c r="S27" s="70">
        <f t="shared" si="4"/>
        <v>0</v>
      </c>
      <c r="T27" s="41">
        <v>0</v>
      </c>
      <c r="U27" s="41">
        <v>0</v>
      </c>
      <c r="V27" s="70">
        <f t="shared" si="5"/>
        <v>0</v>
      </c>
      <c r="W27" s="41">
        <v>100</v>
      </c>
      <c r="X27" s="41">
        <v>5</v>
      </c>
      <c r="Y27" s="70">
        <f t="shared" si="6"/>
        <v>28183925.000000007</v>
      </c>
      <c r="Z27" s="41">
        <v>0</v>
      </c>
      <c r="AA27" s="41">
        <v>0</v>
      </c>
      <c r="AB27" s="70">
        <f t="shared" si="7"/>
        <v>0</v>
      </c>
      <c r="AC27" s="41">
        <v>0</v>
      </c>
      <c r="AD27" s="41">
        <v>0</v>
      </c>
      <c r="AE27" s="70">
        <f t="shared" si="8"/>
        <v>0</v>
      </c>
      <c r="AF27" s="28">
        <f t="shared" si="9"/>
        <v>45683925.000000007</v>
      </c>
      <c r="AG27" s="28">
        <f t="shared" si="0"/>
        <v>44353.325242718456</v>
      </c>
    </row>
    <row r="28" spans="1:33" ht="57.6" x14ac:dyDescent="0.3">
      <c r="A28" s="41" t="s">
        <v>697</v>
      </c>
      <c r="B28" s="41" t="s">
        <v>693</v>
      </c>
      <c r="C28" s="41" t="s">
        <v>669</v>
      </c>
      <c r="D28" s="41" t="s">
        <v>96</v>
      </c>
      <c r="E28" s="41" t="s">
        <v>494</v>
      </c>
      <c r="F28" s="41" t="s">
        <v>716</v>
      </c>
      <c r="G28" s="83">
        <v>39000</v>
      </c>
      <c r="H28" s="41">
        <v>58</v>
      </c>
      <c r="I28" s="41">
        <v>6</v>
      </c>
      <c r="J28" s="83">
        <f t="shared" si="1"/>
        <v>13572000</v>
      </c>
      <c r="K28" s="41"/>
      <c r="L28" s="41"/>
      <c r="M28" s="70">
        <f t="shared" si="2"/>
        <v>0</v>
      </c>
      <c r="N28" s="41"/>
      <c r="O28" s="41"/>
      <c r="P28" s="70">
        <f t="shared" si="3"/>
        <v>0</v>
      </c>
      <c r="Q28" s="41"/>
      <c r="R28" s="41"/>
      <c r="S28" s="70">
        <f t="shared" si="4"/>
        <v>0</v>
      </c>
      <c r="T28" s="41"/>
      <c r="U28" s="41"/>
      <c r="V28" s="70">
        <f t="shared" si="5"/>
        <v>0</v>
      </c>
      <c r="W28" s="41">
        <v>58</v>
      </c>
      <c r="X28" s="41">
        <v>6</v>
      </c>
      <c r="Y28" s="70">
        <f t="shared" si="6"/>
        <v>21857841.720000006</v>
      </c>
      <c r="Z28" s="41"/>
      <c r="AA28" s="41"/>
      <c r="AB28" s="70">
        <f t="shared" si="7"/>
        <v>0</v>
      </c>
      <c r="AC28" s="41"/>
      <c r="AD28" s="41"/>
      <c r="AE28" s="70">
        <f t="shared" si="8"/>
        <v>0</v>
      </c>
      <c r="AF28" s="28">
        <f t="shared" si="9"/>
        <v>35429841.720000006</v>
      </c>
      <c r="AG28" s="28">
        <f t="shared" si="0"/>
        <v>34397.904582524279</v>
      </c>
    </row>
    <row r="29" spans="1:33" ht="57.6" x14ac:dyDescent="0.3">
      <c r="A29" s="41" t="s">
        <v>697</v>
      </c>
      <c r="B29" s="41" t="s">
        <v>693</v>
      </c>
      <c r="C29" s="41" t="s">
        <v>669</v>
      </c>
      <c r="D29" s="41" t="s">
        <v>96</v>
      </c>
      <c r="E29" s="41" t="s">
        <v>494</v>
      </c>
      <c r="F29" s="41" t="s">
        <v>712</v>
      </c>
      <c r="G29" s="83">
        <f>1999.2/7</f>
        <v>285.60000000000002</v>
      </c>
      <c r="H29" s="41">
        <f>25*2*29</f>
        <v>1450</v>
      </c>
      <c r="I29" s="41">
        <v>5</v>
      </c>
      <c r="J29" s="83">
        <f t="shared" si="1"/>
        <v>2070600.0000000002</v>
      </c>
      <c r="K29" s="41"/>
      <c r="L29" s="41"/>
      <c r="M29" s="70">
        <f t="shared" si="2"/>
        <v>0</v>
      </c>
      <c r="N29" s="41"/>
      <c r="O29" s="41"/>
      <c r="P29" s="70">
        <f t="shared" si="3"/>
        <v>0</v>
      </c>
      <c r="Q29" s="41"/>
      <c r="R29" s="41"/>
      <c r="S29" s="70">
        <f t="shared" si="4"/>
        <v>0</v>
      </c>
      <c r="T29" s="41"/>
      <c r="U29" s="41"/>
      <c r="V29" s="70">
        <f t="shared" si="5"/>
        <v>0</v>
      </c>
      <c r="W29" s="41">
        <f>25*2*29</f>
        <v>1450</v>
      </c>
      <c r="X29" s="41">
        <v>5</v>
      </c>
      <c r="Y29" s="70">
        <f t="shared" si="6"/>
        <v>3334722.006000001</v>
      </c>
      <c r="Z29" s="41"/>
      <c r="AA29" s="41"/>
      <c r="AB29" s="70">
        <f t="shared" si="7"/>
        <v>0</v>
      </c>
      <c r="AC29" s="41"/>
      <c r="AD29" s="41"/>
      <c r="AE29" s="70">
        <f t="shared" si="8"/>
        <v>0</v>
      </c>
      <c r="AF29" s="28">
        <f t="shared" si="9"/>
        <v>5405322.006000001</v>
      </c>
      <c r="AG29" s="28">
        <f t="shared" si="0"/>
        <v>5247.8854427184478</v>
      </c>
    </row>
    <row r="30" spans="1:33" ht="57.6" x14ac:dyDescent="0.3">
      <c r="A30" s="41" t="s">
        <v>697</v>
      </c>
      <c r="B30" s="41" t="s">
        <v>693</v>
      </c>
      <c r="C30" s="41" t="s">
        <v>669</v>
      </c>
      <c r="D30" s="41" t="s">
        <v>96</v>
      </c>
      <c r="E30" s="41" t="s">
        <v>494</v>
      </c>
      <c r="F30" s="41" t="s">
        <v>1350</v>
      </c>
      <c r="G30" s="83">
        <f>1999.2/7</f>
        <v>285.60000000000002</v>
      </c>
      <c r="H30" s="41">
        <f>135*2*29</f>
        <v>7830</v>
      </c>
      <c r="I30" s="41">
        <v>1</v>
      </c>
      <c r="J30" s="83">
        <f t="shared" si="1"/>
        <v>2236248</v>
      </c>
      <c r="K30" s="41"/>
      <c r="L30" s="41"/>
      <c r="M30" s="70">
        <f t="shared" si="2"/>
        <v>0</v>
      </c>
      <c r="N30" s="41"/>
      <c r="O30" s="41"/>
      <c r="P30" s="70">
        <f t="shared" si="3"/>
        <v>0</v>
      </c>
      <c r="Q30" s="41"/>
      <c r="R30" s="41"/>
      <c r="S30" s="70">
        <f t="shared" si="4"/>
        <v>0</v>
      </c>
      <c r="T30" s="41"/>
      <c r="U30" s="41"/>
      <c r="V30" s="70">
        <f t="shared" si="5"/>
        <v>0</v>
      </c>
      <c r="W30" s="41">
        <f>135*2*29</f>
        <v>7830</v>
      </c>
      <c r="X30" s="41">
        <v>1</v>
      </c>
      <c r="Y30" s="70">
        <f t="shared" si="6"/>
        <v>3601499.7664800012</v>
      </c>
      <c r="Z30" s="41"/>
      <c r="AA30" s="41"/>
      <c r="AB30" s="70">
        <f t="shared" si="7"/>
        <v>0</v>
      </c>
      <c r="AC30" s="41"/>
      <c r="AD30" s="41"/>
      <c r="AE30" s="70">
        <f t="shared" si="8"/>
        <v>0</v>
      </c>
      <c r="AF30" s="28">
        <f t="shared" si="9"/>
        <v>5837747.7664800007</v>
      </c>
      <c r="AG30" s="28">
        <f t="shared" si="0"/>
        <v>5667.7162781359229</v>
      </c>
    </row>
    <row r="31" spans="1:33" ht="57.6" x14ac:dyDescent="0.3">
      <c r="A31" s="41" t="s">
        <v>697</v>
      </c>
      <c r="B31" s="41" t="s">
        <v>693</v>
      </c>
      <c r="C31" s="41" t="s">
        <v>669</v>
      </c>
      <c r="D31" s="41" t="s">
        <v>96</v>
      </c>
      <c r="E31" s="41" t="s">
        <v>434</v>
      </c>
      <c r="F31" s="41" t="s">
        <v>1397</v>
      </c>
      <c r="G31" s="83">
        <v>8000</v>
      </c>
      <c r="H31" s="41">
        <v>5</v>
      </c>
      <c r="I31" s="41">
        <v>1</v>
      </c>
      <c r="J31" s="83">
        <f t="shared" si="1"/>
        <v>40000</v>
      </c>
      <c r="K31" s="41"/>
      <c r="L31" s="41"/>
      <c r="M31" s="70">
        <f t="shared" si="2"/>
        <v>0</v>
      </c>
      <c r="N31" s="41">
        <v>0</v>
      </c>
      <c r="O31" s="41">
        <v>0</v>
      </c>
      <c r="P31" s="70">
        <f t="shared" si="3"/>
        <v>0</v>
      </c>
      <c r="Q31" s="41">
        <v>0</v>
      </c>
      <c r="R31" s="41">
        <v>0</v>
      </c>
      <c r="S31" s="70">
        <f t="shared" si="4"/>
        <v>0</v>
      </c>
      <c r="T31" s="41">
        <v>0</v>
      </c>
      <c r="U31" s="41">
        <v>0</v>
      </c>
      <c r="V31" s="70">
        <f t="shared" si="5"/>
        <v>0</v>
      </c>
      <c r="W31" s="41">
        <v>5</v>
      </c>
      <c r="X31" s="41">
        <v>1</v>
      </c>
      <c r="Y31" s="70">
        <f t="shared" si="6"/>
        <v>64420.400000000016</v>
      </c>
      <c r="Z31" s="41">
        <v>0</v>
      </c>
      <c r="AA31" s="41">
        <v>0</v>
      </c>
      <c r="AB31" s="70">
        <f t="shared" si="7"/>
        <v>0</v>
      </c>
      <c r="AC31" s="41">
        <v>0</v>
      </c>
      <c r="AD31" s="41">
        <v>0</v>
      </c>
      <c r="AE31" s="70">
        <f t="shared" si="8"/>
        <v>0</v>
      </c>
      <c r="AF31" s="28">
        <f t="shared" si="9"/>
        <v>104420.40000000002</v>
      </c>
      <c r="AG31" s="28">
        <f t="shared" si="0"/>
        <v>101.37902912621361</v>
      </c>
    </row>
    <row r="32" spans="1:33" ht="57.6" x14ac:dyDescent="0.3">
      <c r="A32" s="41" t="s">
        <v>697</v>
      </c>
      <c r="B32" s="41" t="s">
        <v>693</v>
      </c>
      <c r="C32" s="41" t="s">
        <v>669</v>
      </c>
      <c r="D32" s="41" t="s">
        <v>96</v>
      </c>
      <c r="E32" s="41" t="s">
        <v>434</v>
      </c>
      <c r="F32" s="41" t="s">
        <v>717</v>
      </c>
      <c r="G32" s="83">
        <v>104850</v>
      </c>
      <c r="H32" s="41">
        <v>1</v>
      </c>
      <c r="I32" s="41">
        <v>1</v>
      </c>
      <c r="J32" s="83">
        <f t="shared" si="1"/>
        <v>104850</v>
      </c>
      <c r="K32" s="41"/>
      <c r="L32" s="41"/>
      <c r="M32" s="70">
        <f t="shared" si="2"/>
        <v>0</v>
      </c>
      <c r="N32" s="41">
        <v>0</v>
      </c>
      <c r="O32" s="41">
        <v>0</v>
      </c>
      <c r="P32" s="70">
        <f t="shared" si="3"/>
        <v>0</v>
      </c>
      <c r="Q32" s="41">
        <v>0</v>
      </c>
      <c r="R32" s="41">
        <v>0</v>
      </c>
      <c r="S32" s="70">
        <f t="shared" si="4"/>
        <v>0</v>
      </c>
      <c r="T32" s="41">
        <v>0</v>
      </c>
      <c r="U32" s="41">
        <v>0</v>
      </c>
      <c r="V32" s="70">
        <f t="shared" si="5"/>
        <v>0</v>
      </c>
      <c r="W32" s="41">
        <v>1</v>
      </c>
      <c r="X32" s="41">
        <v>1</v>
      </c>
      <c r="Y32" s="70">
        <f t="shared" si="6"/>
        <v>168861.97350000005</v>
      </c>
      <c r="Z32" s="41">
        <v>0</v>
      </c>
      <c r="AA32" s="41">
        <v>0</v>
      </c>
      <c r="AB32" s="70">
        <f t="shared" si="7"/>
        <v>0</v>
      </c>
      <c r="AC32" s="41">
        <v>0</v>
      </c>
      <c r="AD32" s="41">
        <v>0</v>
      </c>
      <c r="AE32" s="70">
        <f t="shared" si="8"/>
        <v>0</v>
      </c>
      <c r="AF32" s="28">
        <f t="shared" si="9"/>
        <v>273711.97350000008</v>
      </c>
      <c r="AG32" s="28">
        <f t="shared" si="0"/>
        <v>265.73978009708748</v>
      </c>
    </row>
    <row r="33" spans="1:33" ht="57.6" x14ac:dyDescent="0.3">
      <c r="A33" s="41" t="s">
        <v>697</v>
      </c>
      <c r="B33" s="41" t="s">
        <v>693</v>
      </c>
      <c r="C33" s="41" t="s">
        <v>669</v>
      </c>
      <c r="D33" s="41" t="s">
        <v>96</v>
      </c>
      <c r="E33" s="41" t="s">
        <v>434</v>
      </c>
      <c r="F33" s="41" t="s">
        <v>709</v>
      </c>
      <c r="G33" s="83">
        <v>35000</v>
      </c>
      <c r="H33" s="41">
        <v>100</v>
      </c>
      <c r="I33" s="41">
        <v>1</v>
      </c>
      <c r="J33" s="83">
        <f t="shared" si="1"/>
        <v>3500000</v>
      </c>
      <c r="K33" s="41"/>
      <c r="L33" s="41"/>
      <c r="M33" s="70">
        <f t="shared" si="2"/>
        <v>0</v>
      </c>
      <c r="N33" s="41">
        <v>0</v>
      </c>
      <c r="O33" s="41">
        <v>0</v>
      </c>
      <c r="P33" s="70">
        <f t="shared" si="3"/>
        <v>0</v>
      </c>
      <c r="Q33" s="41">
        <v>0</v>
      </c>
      <c r="R33" s="41">
        <v>0</v>
      </c>
      <c r="S33" s="70">
        <f t="shared" si="4"/>
        <v>0</v>
      </c>
      <c r="T33" s="41">
        <v>0</v>
      </c>
      <c r="U33" s="41">
        <v>0</v>
      </c>
      <c r="V33" s="70">
        <f t="shared" si="5"/>
        <v>0</v>
      </c>
      <c r="W33" s="41">
        <v>100</v>
      </c>
      <c r="X33" s="41">
        <v>1</v>
      </c>
      <c r="Y33" s="70">
        <f t="shared" si="6"/>
        <v>5636785.0000000019</v>
      </c>
      <c r="Z33" s="41">
        <v>0</v>
      </c>
      <c r="AA33" s="41">
        <v>0</v>
      </c>
      <c r="AB33" s="70">
        <f t="shared" si="7"/>
        <v>0</v>
      </c>
      <c r="AC33" s="41">
        <v>0</v>
      </c>
      <c r="AD33" s="41">
        <v>0</v>
      </c>
      <c r="AE33" s="70">
        <f t="shared" si="8"/>
        <v>0</v>
      </c>
      <c r="AF33" s="28">
        <f t="shared" si="9"/>
        <v>9136785.0000000019</v>
      </c>
      <c r="AG33" s="28">
        <f t="shared" si="0"/>
        <v>8870.6650485436912</v>
      </c>
    </row>
    <row r="34" spans="1:33" ht="57.6" x14ac:dyDescent="0.3">
      <c r="A34" s="41" t="s">
        <v>697</v>
      </c>
      <c r="B34" s="41" t="s">
        <v>693</v>
      </c>
      <c r="C34" s="41" t="s">
        <v>669</v>
      </c>
      <c r="D34" s="41" t="s">
        <v>96</v>
      </c>
      <c r="E34" s="41" t="s">
        <v>434</v>
      </c>
      <c r="F34" s="41" t="s">
        <v>716</v>
      </c>
      <c r="G34" s="83">
        <v>39000</v>
      </c>
      <c r="H34" s="41">
        <v>58</v>
      </c>
      <c r="I34" s="41">
        <v>2</v>
      </c>
      <c r="J34" s="83">
        <f t="shared" si="1"/>
        <v>4524000</v>
      </c>
      <c r="K34" s="41"/>
      <c r="L34" s="41"/>
      <c r="M34" s="70">
        <f t="shared" si="2"/>
        <v>0</v>
      </c>
      <c r="N34" s="41">
        <v>0</v>
      </c>
      <c r="O34" s="41">
        <v>0</v>
      </c>
      <c r="P34" s="70">
        <f t="shared" si="3"/>
        <v>0</v>
      </c>
      <c r="Q34" s="41">
        <v>0</v>
      </c>
      <c r="R34" s="41">
        <v>0</v>
      </c>
      <c r="S34" s="70">
        <f t="shared" si="4"/>
        <v>0</v>
      </c>
      <c r="T34" s="41">
        <v>0</v>
      </c>
      <c r="U34" s="41">
        <v>0</v>
      </c>
      <c r="V34" s="70">
        <f t="shared" si="5"/>
        <v>0</v>
      </c>
      <c r="W34" s="41">
        <v>58</v>
      </c>
      <c r="X34" s="41">
        <v>2</v>
      </c>
      <c r="Y34" s="70">
        <f t="shared" si="6"/>
        <v>7285947.2400000021</v>
      </c>
      <c r="Z34" s="41">
        <v>0</v>
      </c>
      <c r="AA34" s="41">
        <v>0</v>
      </c>
      <c r="AB34" s="70">
        <f t="shared" si="7"/>
        <v>0</v>
      </c>
      <c r="AC34" s="41">
        <v>0</v>
      </c>
      <c r="AD34" s="41">
        <v>0</v>
      </c>
      <c r="AE34" s="70">
        <f t="shared" si="8"/>
        <v>0</v>
      </c>
      <c r="AF34" s="28">
        <f t="shared" si="9"/>
        <v>11809947.240000002</v>
      </c>
      <c r="AG34" s="28">
        <f t="shared" si="0"/>
        <v>11465.968194174759</v>
      </c>
    </row>
    <row r="35" spans="1:33" ht="57.6" x14ac:dyDescent="0.3">
      <c r="A35" s="41" t="s">
        <v>697</v>
      </c>
      <c r="B35" s="41" t="s">
        <v>693</v>
      </c>
      <c r="C35" s="41" t="s">
        <v>669</v>
      </c>
      <c r="D35" s="41" t="s">
        <v>96</v>
      </c>
      <c r="E35" s="41" t="s">
        <v>434</v>
      </c>
      <c r="F35" s="41" t="s">
        <v>712</v>
      </c>
      <c r="G35" s="83">
        <f>1999.2/7</f>
        <v>285.60000000000002</v>
      </c>
      <c r="H35" s="41">
        <f>25*2*29</f>
        <v>1450</v>
      </c>
      <c r="I35" s="41">
        <v>1</v>
      </c>
      <c r="J35" s="83">
        <f t="shared" si="1"/>
        <v>414120.00000000006</v>
      </c>
      <c r="K35" s="41"/>
      <c r="L35" s="41"/>
      <c r="M35" s="70">
        <f t="shared" si="2"/>
        <v>0</v>
      </c>
      <c r="N35" s="41">
        <v>0</v>
      </c>
      <c r="O35" s="41">
        <v>0</v>
      </c>
      <c r="P35" s="70">
        <f t="shared" si="3"/>
        <v>0</v>
      </c>
      <c r="Q35" s="41">
        <v>0</v>
      </c>
      <c r="R35" s="41">
        <v>0</v>
      </c>
      <c r="S35" s="70">
        <f t="shared" si="4"/>
        <v>0</v>
      </c>
      <c r="T35" s="41">
        <v>0</v>
      </c>
      <c r="U35" s="41">
        <v>0</v>
      </c>
      <c r="V35" s="70">
        <f t="shared" si="5"/>
        <v>0</v>
      </c>
      <c r="W35" s="41">
        <f>25*2*29</f>
        <v>1450</v>
      </c>
      <c r="X35" s="41">
        <v>1</v>
      </c>
      <c r="Y35" s="70">
        <f t="shared" si="6"/>
        <v>666944.4012000002</v>
      </c>
      <c r="Z35" s="41">
        <v>0</v>
      </c>
      <c r="AA35" s="41">
        <v>0</v>
      </c>
      <c r="AB35" s="70">
        <f t="shared" si="7"/>
        <v>0</v>
      </c>
      <c r="AC35" s="41">
        <v>0</v>
      </c>
      <c r="AD35" s="41">
        <v>0</v>
      </c>
      <c r="AE35" s="70">
        <f t="shared" si="8"/>
        <v>0</v>
      </c>
      <c r="AF35" s="28">
        <f t="shared" si="9"/>
        <v>1081064.4012000002</v>
      </c>
      <c r="AG35" s="28">
        <f t="shared" si="0"/>
        <v>1049.5770885436896</v>
      </c>
    </row>
    <row r="36" spans="1:33" ht="57.6" x14ac:dyDescent="0.3">
      <c r="A36" s="41" t="s">
        <v>697</v>
      </c>
      <c r="B36" s="41" t="s">
        <v>693</v>
      </c>
      <c r="C36" s="41" t="s">
        <v>669</v>
      </c>
      <c r="D36" s="41" t="s">
        <v>96</v>
      </c>
      <c r="E36" s="41" t="s">
        <v>434</v>
      </c>
      <c r="F36" s="41" t="s">
        <v>712</v>
      </c>
      <c r="G36" s="83">
        <f>1999.2/7</f>
        <v>285.60000000000002</v>
      </c>
      <c r="H36" s="41">
        <f>135*2*29</f>
        <v>7830</v>
      </c>
      <c r="I36" s="41">
        <v>2</v>
      </c>
      <c r="J36" s="83">
        <f t="shared" si="1"/>
        <v>4472496</v>
      </c>
      <c r="K36" s="41"/>
      <c r="L36" s="41"/>
      <c r="M36" s="70">
        <f t="shared" si="2"/>
        <v>0</v>
      </c>
      <c r="N36" s="41"/>
      <c r="O36" s="41"/>
      <c r="P36" s="70">
        <f t="shared" si="3"/>
        <v>0</v>
      </c>
      <c r="Q36" s="41"/>
      <c r="R36" s="41"/>
      <c r="S36" s="70">
        <f t="shared" si="4"/>
        <v>0</v>
      </c>
      <c r="T36" s="41"/>
      <c r="U36" s="41"/>
      <c r="V36" s="70">
        <f t="shared" si="5"/>
        <v>0</v>
      </c>
      <c r="W36" s="41">
        <f>135*2*29</f>
        <v>7830</v>
      </c>
      <c r="X36" s="41">
        <v>2</v>
      </c>
      <c r="Y36" s="70">
        <f t="shared" si="6"/>
        <v>7202999.5329600023</v>
      </c>
      <c r="Z36" s="41"/>
      <c r="AA36" s="41"/>
      <c r="AB36" s="70">
        <f t="shared" si="7"/>
        <v>0</v>
      </c>
      <c r="AC36" s="41"/>
      <c r="AD36" s="41"/>
      <c r="AE36" s="70">
        <f t="shared" si="8"/>
        <v>0</v>
      </c>
      <c r="AF36" s="28">
        <f t="shared" si="9"/>
        <v>11675495.532960001</v>
      </c>
      <c r="AG36" s="28">
        <f t="shared" si="0"/>
        <v>11335.432556271846</v>
      </c>
    </row>
    <row r="37" spans="1:33" ht="57.6" x14ac:dyDescent="0.3">
      <c r="A37" s="41" t="s">
        <v>697</v>
      </c>
      <c r="B37" s="41" t="s">
        <v>693</v>
      </c>
      <c r="C37" s="41" t="s">
        <v>669</v>
      </c>
      <c r="D37" s="41" t="s">
        <v>97</v>
      </c>
      <c r="E37" s="41" t="s">
        <v>1398</v>
      </c>
      <c r="F37" s="41" t="s">
        <v>709</v>
      </c>
      <c r="G37" s="83">
        <v>35000</v>
      </c>
      <c r="H37" s="41">
        <v>30</v>
      </c>
      <c r="I37" s="41">
        <v>20</v>
      </c>
      <c r="J37" s="83">
        <f t="shared" si="1"/>
        <v>21000000</v>
      </c>
      <c r="K37" s="41">
        <v>30</v>
      </c>
      <c r="L37" s="41">
        <v>20</v>
      </c>
      <c r="M37" s="70">
        <f t="shared" si="2"/>
        <v>23100000</v>
      </c>
      <c r="N37" s="41">
        <v>30</v>
      </c>
      <c r="O37" s="41">
        <v>20</v>
      </c>
      <c r="P37" s="70">
        <f t="shared" si="3"/>
        <v>25410000.000000004</v>
      </c>
      <c r="Q37" s="41">
        <v>30</v>
      </c>
      <c r="R37" s="41">
        <v>20</v>
      </c>
      <c r="S37" s="70">
        <f t="shared" si="4"/>
        <v>27951000.000000007</v>
      </c>
      <c r="T37" s="41">
        <v>30</v>
      </c>
      <c r="U37" s="41">
        <v>20</v>
      </c>
      <c r="V37" s="70">
        <f t="shared" si="5"/>
        <v>30746100.000000007</v>
      </c>
      <c r="W37" s="41">
        <v>30</v>
      </c>
      <c r="X37" s="41">
        <v>20</v>
      </c>
      <c r="Y37" s="70">
        <f t="shared" si="6"/>
        <v>33820710.000000015</v>
      </c>
      <c r="Z37" s="41">
        <v>30</v>
      </c>
      <c r="AA37" s="41">
        <v>20</v>
      </c>
      <c r="AB37" s="70">
        <f t="shared" si="7"/>
        <v>37202781.000000022</v>
      </c>
      <c r="AC37" s="41">
        <v>30</v>
      </c>
      <c r="AD37" s="41">
        <v>20</v>
      </c>
      <c r="AE37" s="70">
        <f t="shared" si="8"/>
        <v>40923059.100000024</v>
      </c>
      <c r="AF37" s="28">
        <f t="shared" si="9"/>
        <v>240153650.10000005</v>
      </c>
      <c r="AG37" s="28">
        <f t="shared" si="0"/>
        <v>233158.88359223306</v>
      </c>
    </row>
    <row r="38" spans="1:33" ht="57.6" x14ac:dyDescent="0.3">
      <c r="A38" s="41" t="s">
        <v>697</v>
      </c>
      <c r="B38" s="41" t="s">
        <v>693</v>
      </c>
      <c r="C38" s="41" t="s">
        <v>669</v>
      </c>
      <c r="D38" s="41" t="s">
        <v>97</v>
      </c>
      <c r="E38" s="41" t="s">
        <v>496</v>
      </c>
      <c r="F38" s="41" t="s">
        <v>716</v>
      </c>
      <c r="G38" s="83">
        <v>39000</v>
      </c>
      <c r="H38" s="41">
        <v>30</v>
      </c>
      <c r="I38" s="41">
        <v>15</v>
      </c>
      <c r="J38" s="83">
        <f t="shared" si="1"/>
        <v>17550000</v>
      </c>
      <c r="K38" s="41">
        <v>30</v>
      </c>
      <c r="L38" s="41">
        <v>15</v>
      </c>
      <c r="M38" s="70">
        <f t="shared" si="2"/>
        <v>19305000</v>
      </c>
      <c r="N38" s="41">
        <v>30</v>
      </c>
      <c r="O38" s="41">
        <v>15</v>
      </c>
      <c r="P38" s="70">
        <f t="shared" si="3"/>
        <v>21235500.000000004</v>
      </c>
      <c r="Q38" s="41">
        <v>30</v>
      </c>
      <c r="R38" s="41">
        <v>15</v>
      </c>
      <c r="S38" s="70">
        <f t="shared" si="4"/>
        <v>23359050.000000007</v>
      </c>
      <c r="T38" s="41">
        <v>30</v>
      </c>
      <c r="U38" s="41">
        <v>15</v>
      </c>
      <c r="V38" s="70">
        <f t="shared" si="5"/>
        <v>25694955.000000007</v>
      </c>
      <c r="W38" s="41">
        <v>30</v>
      </c>
      <c r="X38" s="41">
        <v>15</v>
      </c>
      <c r="Y38" s="70">
        <f t="shared" si="6"/>
        <v>28264450.500000011</v>
      </c>
      <c r="Z38" s="41">
        <v>30</v>
      </c>
      <c r="AA38" s="41">
        <v>15</v>
      </c>
      <c r="AB38" s="70">
        <f t="shared" si="7"/>
        <v>31090895.550000012</v>
      </c>
      <c r="AC38" s="41">
        <v>30</v>
      </c>
      <c r="AD38" s="41">
        <v>15</v>
      </c>
      <c r="AE38" s="70">
        <f t="shared" si="8"/>
        <v>34199985.105000019</v>
      </c>
      <c r="AF38" s="28">
        <f t="shared" si="9"/>
        <v>200699836.15500003</v>
      </c>
      <c r="AG38" s="28">
        <f t="shared" si="0"/>
        <v>194854.20985922334</v>
      </c>
    </row>
    <row r="39" spans="1:33" ht="57.6" x14ac:dyDescent="0.3">
      <c r="A39" s="41" t="s">
        <v>697</v>
      </c>
      <c r="B39" s="41" t="s">
        <v>693</v>
      </c>
      <c r="C39" s="41" t="s">
        <v>669</v>
      </c>
      <c r="D39" s="41" t="s">
        <v>97</v>
      </c>
      <c r="E39" s="41" t="s">
        <v>496</v>
      </c>
      <c r="F39" s="41" t="s">
        <v>1350</v>
      </c>
      <c r="G39" s="83">
        <f>1999.2/7</f>
        <v>285.60000000000002</v>
      </c>
      <c r="H39" s="41">
        <f>25*2*10</f>
        <v>500</v>
      </c>
      <c r="I39" s="41">
        <v>1</v>
      </c>
      <c r="J39" s="83">
        <f>H39*I39*G39</f>
        <v>142800</v>
      </c>
      <c r="K39" s="41">
        <f>25*2*10</f>
        <v>500</v>
      </c>
      <c r="L39" s="41">
        <v>1</v>
      </c>
      <c r="M39" s="70">
        <f t="shared" si="2"/>
        <v>157080</v>
      </c>
      <c r="N39" s="41">
        <f>25*2*10</f>
        <v>500</v>
      </c>
      <c r="O39" s="41">
        <v>1</v>
      </c>
      <c r="P39" s="70">
        <f t="shared" si="3"/>
        <v>172788.00000000003</v>
      </c>
      <c r="Q39" s="41">
        <f>25*2*10</f>
        <v>500</v>
      </c>
      <c r="R39" s="41">
        <v>1</v>
      </c>
      <c r="S39" s="70">
        <f t="shared" si="4"/>
        <v>190066.80000000008</v>
      </c>
      <c r="T39" s="41">
        <f>25*2*10</f>
        <v>500</v>
      </c>
      <c r="U39" s="41">
        <v>1</v>
      </c>
      <c r="V39" s="70">
        <f t="shared" si="5"/>
        <v>209073.48000000007</v>
      </c>
      <c r="W39" s="41">
        <f>25*2*10</f>
        <v>500</v>
      </c>
      <c r="X39" s="41">
        <v>1</v>
      </c>
      <c r="Y39" s="70">
        <f t="shared" si="6"/>
        <v>229980.8280000001</v>
      </c>
      <c r="Z39" s="41">
        <f>25*2*10</f>
        <v>500</v>
      </c>
      <c r="AA39" s="41">
        <v>1</v>
      </c>
      <c r="AB39" s="70">
        <f t="shared" si="7"/>
        <v>252978.91080000013</v>
      </c>
      <c r="AC39" s="41">
        <f>25*2*10</f>
        <v>500</v>
      </c>
      <c r="AD39" s="41">
        <v>1</v>
      </c>
      <c r="AE39" s="70">
        <f t="shared" si="8"/>
        <v>278276.80188000022</v>
      </c>
      <c r="AF39" s="28">
        <f t="shared" si="9"/>
        <v>1633044.8206800006</v>
      </c>
      <c r="AG39" s="28">
        <f t="shared" si="0"/>
        <v>1585.480408427185</v>
      </c>
    </row>
    <row r="40" spans="1:33" ht="57.6" x14ac:dyDescent="0.3">
      <c r="A40" s="41" t="s">
        <v>697</v>
      </c>
      <c r="B40" s="41" t="s">
        <v>693</v>
      </c>
      <c r="C40" s="41" t="s">
        <v>669</v>
      </c>
      <c r="D40" s="41" t="s">
        <v>97</v>
      </c>
      <c r="E40" s="41" t="s">
        <v>496</v>
      </c>
      <c r="F40" s="41" t="s">
        <v>712</v>
      </c>
      <c r="G40" s="83">
        <f>1999.2/7</f>
        <v>285.60000000000002</v>
      </c>
      <c r="H40" s="41">
        <f>135*2*10</f>
        <v>2700</v>
      </c>
      <c r="I40" s="41">
        <v>14</v>
      </c>
      <c r="J40" s="83">
        <f t="shared" si="1"/>
        <v>10795680</v>
      </c>
      <c r="K40" s="41">
        <f>135*2*10</f>
        <v>2700</v>
      </c>
      <c r="L40" s="41">
        <v>14</v>
      </c>
      <c r="M40" s="70">
        <f t="shared" si="2"/>
        <v>11875248.000000002</v>
      </c>
      <c r="N40" s="41">
        <f>135*2*10</f>
        <v>2700</v>
      </c>
      <c r="O40" s="41">
        <v>14</v>
      </c>
      <c r="P40" s="70">
        <f t="shared" si="3"/>
        <v>13062772.800000003</v>
      </c>
      <c r="Q40" s="41">
        <f>135*2*10</f>
        <v>2700</v>
      </c>
      <c r="R40" s="41">
        <v>14</v>
      </c>
      <c r="S40" s="70">
        <f t="shared" si="4"/>
        <v>14369050.080000006</v>
      </c>
      <c r="T40" s="41">
        <f>135*2*10</f>
        <v>2700</v>
      </c>
      <c r="U40" s="41">
        <v>14</v>
      </c>
      <c r="V40" s="70">
        <f t="shared" si="5"/>
        <v>15805955.088000005</v>
      </c>
      <c r="W40" s="41">
        <f>135*2*10</f>
        <v>2700</v>
      </c>
      <c r="X40" s="41">
        <v>14</v>
      </c>
      <c r="Y40" s="70">
        <f t="shared" si="6"/>
        <v>17386550.596800007</v>
      </c>
      <c r="Z40" s="41">
        <f>135*2*10</f>
        <v>2700</v>
      </c>
      <c r="AA40" s="41">
        <v>14</v>
      </c>
      <c r="AB40" s="70">
        <f t="shared" si="7"/>
        <v>19125205.656480011</v>
      </c>
      <c r="AC40" s="41">
        <f>135*2*10</f>
        <v>2700</v>
      </c>
      <c r="AD40" s="41">
        <v>14</v>
      </c>
      <c r="AE40" s="70">
        <f t="shared" si="8"/>
        <v>21037726.222128015</v>
      </c>
      <c r="AF40" s="28">
        <f t="shared" si="9"/>
        <v>123458188.44340806</v>
      </c>
      <c r="AG40" s="28">
        <f t="shared" si="0"/>
        <v>119862.3188770952</v>
      </c>
    </row>
    <row r="41" spans="1:33" ht="57.6" x14ac:dyDescent="0.3">
      <c r="A41" s="41" t="s">
        <v>697</v>
      </c>
      <c r="B41" s="41" t="s">
        <v>693</v>
      </c>
      <c r="C41" s="41" t="s">
        <v>669</v>
      </c>
      <c r="D41" s="41" t="s">
        <v>97</v>
      </c>
      <c r="E41" s="41" t="s">
        <v>1399</v>
      </c>
      <c r="F41" s="41" t="s">
        <v>709</v>
      </c>
      <c r="G41" s="83">
        <v>35000</v>
      </c>
      <c r="H41" s="41">
        <v>100</v>
      </c>
      <c r="I41" s="41">
        <v>10</v>
      </c>
      <c r="J41" s="83">
        <f t="shared" si="1"/>
        <v>35000000</v>
      </c>
      <c r="K41" s="41">
        <v>100</v>
      </c>
      <c r="L41" s="41">
        <v>10</v>
      </c>
      <c r="M41" s="70">
        <f t="shared" si="2"/>
        <v>38500000</v>
      </c>
      <c r="N41" s="41">
        <v>100</v>
      </c>
      <c r="O41" s="41">
        <v>10</v>
      </c>
      <c r="P41" s="70">
        <f t="shared" si="3"/>
        <v>42350000.000000007</v>
      </c>
      <c r="Q41" s="41">
        <v>100</v>
      </c>
      <c r="R41" s="41">
        <v>10</v>
      </c>
      <c r="S41" s="70">
        <f t="shared" si="4"/>
        <v>46585000.000000015</v>
      </c>
      <c r="T41" s="41">
        <v>100</v>
      </c>
      <c r="U41" s="41">
        <v>10</v>
      </c>
      <c r="V41" s="70">
        <f t="shared" si="5"/>
        <v>51243500.000000015</v>
      </c>
      <c r="W41" s="41">
        <v>100</v>
      </c>
      <c r="X41" s="41">
        <v>10</v>
      </c>
      <c r="Y41" s="70">
        <f t="shared" si="6"/>
        <v>56367850.000000015</v>
      </c>
      <c r="Z41" s="41">
        <v>100</v>
      </c>
      <c r="AA41" s="41">
        <v>10</v>
      </c>
      <c r="AB41" s="70">
        <f t="shared" si="7"/>
        <v>62004635.00000003</v>
      </c>
      <c r="AC41" s="41">
        <v>100</v>
      </c>
      <c r="AD41" s="41">
        <v>10</v>
      </c>
      <c r="AE41" s="70">
        <f t="shared" si="8"/>
        <v>68205098.50000003</v>
      </c>
      <c r="AF41" s="28">
        <f t="shared" si="9"/>
        <v>400256083.5</v>
      </c>
      <c r="AG41" s="28">
        <f t="shared" si="0"/>
        <v>388598.13932038838</v>
      </c>
    </row>
    <row r="42" spans="1:33" ht="57.6" x14ac:dyDescent="0.3">
      <c r="A42" s="41" t="s">
        <v>697</v>
      </c>
      <c r="B42" s="41" t="s">
        <v>693</v>
      </c>
      <c r="C42" s="41" t="s">
        <v>669</v>
      </c>
      <c r="D42" s="41" t="s">
        <v>97</v>
      </c>
      <c r="E42" s="41" t="s">
        <v>1399</v>
      </c>
      <c r="F42" s="41" t="s">
        <v>716</v>
      </c>
      <c r="G42" s="83">
        <v>39000</v>
      </c>
      <c r="H42" s="41">
        <v>58</v>
      </c>
      <c r="I42" s="41">
        <v>10</v>
      </c>
      <c r="J42" s="83">
        <f t="shared" si="1"/>
        <v>22620000</v>
      </c>
      <c r="K42" s="41">
        <v>58</v>
      </c>
      <c r="L42" s="41">
        <v>10</v>
      </c>
      <c r="M42" s="70">
        <f t="shared" si="2"/>
        <v>24882000</v>
      </c>
      <c r="N42" s="41">
        <v>58</v>
      </c>
      <c r="O42" s="41">
        <v>10</v>
      </c>
      <c r="P42" s="70">
        <f t="shared" si="3"/>
        <v>27370200.000000004</v>
      </c>
      <c r="Q42" s="41">
        <v>58</v>
      </c>
      <c r="R42" s="41">
        <v>10</v>
      </c>
      <c r="S42" s="70">
        <f t="shared" si="4"/>
        <v>30107220.000000007</v>
      </c>
      <c r="T42" s="41">
        <v>58</v>
      </c>
      <c r="U42" s="41">
        <v>10</v>
      </c>
      <c r="V42" s="70">
        <f t="shared" si="5"/>
        <v>33117942.000000011</v>
      </c>
      <c r="W42" s="41">
        <v>58</v>
      </c>
      <c r="X42" s="41">
        <v>10</v>
      </c>
      <c r="Y42" s="70">
        <f t="shared" si="6"/>
        <v>36429736.20000001</v>
      </c>
      <c r="Z42" s="41">
        <v>58</v>
      </c>
      <c r="AA42" s="41">
        <v>10</v>
      </c>
      <c r="AB42" s="70">
        <f t="shared" si="7"/>
        <v>40072709.820000015</v>
      </c>
      <c r="AC42" s="41">
        <v>58</v>
      </c>
      <c r="AD42" s="41">
        <v>10</v>
      </c>
      <c r="AE42" s="70">
        <f t="shared" si="8"/>
        <v>44079980.802000023</v>
      </c>
      <c r="AF42" s="28">
        <f t="shared" si="9"/>
        <v>258679788.82200006</v>
      </c>
      <c r="AG42" s="28">
        <f t="shared" si="0"/>
        <v>251145.42604077674</v>
      </c>
    </row>
    <row r="43" spans="1:33" ht="57.6" x14ac:dyDescent="0.3">
      <c r="A43" s="41" t="s">
        <v>697</v>
      </c>
      <c r="B43" s="41" t="s">
        <v>693</v>
      </c>
      <c r="C43" s="41" t="s">
        <v>669</v>
      </c>
      <c r="D43" s="41" t="s">
        <v>97</v>
      </c>
      <c r="E43" s="41" t="s">
        <v>1399</v>
      </c>
      <c r="F43" s="41" t="s">
        <v>712</v>
      </c>
      <c r="G43" s="83">
        <f>1999.2/7</f>
        <v>285.60000000000002</v>
      </c>
      <c r="H43" s="41">
        <f>25*2*29</f>
        <v>1450</v>
      </c>
      <c r="I43" s="41">
        <v>10</v>
      </c>
      <c r="J43" s="83">
        <f t="shared" si="1"/>
        <v>4141200.0000000005</v>
      </c>
      <c r="K43" s="41">
        <f>25*2*29</f>
        <v>1450</v>
      </c>
      <c r="L43" s="41">
        <v>10</v>
      </c>
      <c r="M43" s="70">
        <f t="shared" si="2"/>
        <v>4555320.0000000009</v>
      </c>
      <c r="N43" s="41">
        <f>25*2*29</f>
        <v>1450</v>
      </c>
      <c r="O43" s="41">
        <v>10</v>
      </c>
      <c r="P43" s="70">
        <f t="shared" si="3"/>
        <v>5010852.0000000009</v>
      </c>
      <c r="Q43" s="41">
        <f>25*2*29</f>
        <v>1450</v>
      </c>
      <c r="R43" s="41">
        <v>10</v>
      </c>
      <c r="S43" s="70">
        <f t="shared" si="4"/>
        <v>5511937.200000002</v>
      </c>
      <c r="T43" s="41">
        <f>25*2*29</f>
        <v>1450</v>
      </c>
      <c r="U43" s="41">
        <v>10</v>
      </c>
      <c r="V43" s="70">
        <f t="shared" si="5"/>
        <v>6063130.9200000018</v>
      </c>
      <c r="W43" s="41">
        <f>25*2*29</f>
        <v>1450</v>
      </c>
      <c r="X43" s="41">
        <v>10</v>
      </c>
      <c r="Y43" s="70">
        <f t="shared" si="6"/>
        <v>6669444.012000002</v>
      </c>
      <c r="Z43" s="41">
        <f>25*2*29</f>
        <v>1450</v>
      </c>
      <c r="AA43" s="41">
        <v>10</v>
      </c>
      <c r="AB43" s="70">
        <f t="shared" si="7"/>
        <v>7336388.413200004</v>
      </c>
      <c r="AC43" s="41">
        <f>25*2*29</f>
        <v>1450</v>
      </c>
      <c r="AD43" s="41">
        <v>10</v>
      </c>
      <c r="AE43" s="70">
        <f t="shared" si="8"/>
        <v>8070027.2545200065</v>
      </c>
      <c r="AF43" s="28">
        <f t="shared" si="9"/>
        <v>47358299.799720019</v>
      </c>
      <c r="AG43" s="28">
        <f t="shared" si="0"/>
        <v>45978.931844388368</v>
      </c>
    </row>
    <row r="44" spans="1:33" ht="57.6" x14ac:dyDescent="0.3">
      <c r="A44" s="41" t="s">
        <v>697</v>
      </c>
      <c r="B44" s="41" t="s">
        <v>693</v>
      </c>
      <c r="C44" s="41" t="s">
        <v>669</v>
      </c>
      <c r="D44" s="41" t="s">
        <v>97</v>
      </c>
      <c r="E44" s="41" t="s">
        <v>1399</v>
      </c>
      <c r="F44" s="41" t="s">
        <v>1350</v>
      </c>
      <c r="G44" s="83">
        <f>1999.2/7</f>
        <v>285.60000000000002</v>
      </c>
      <c r="H44" s="41">
        <f>135*2*29</f>
        <v>7830</v>
      </c>
      <c r="I44" s="41">
        <v>5</v>
      </c>
      <c r="J44" s="83">
        <f>H44*I44*G44</f>
        <v>11181240</v>
      </c>
      <c r="K44" s="41">
        <f>135*2*29</f>
        <v>7830</v>
      </c>
      <c r="L44" s="41">
        <v>5</v>
      </c>
      <c r="M44" s="70">
        <f t="shared" si="2"/>
        <v>12299364.000000002</v>
      </c>
      <c r="N44" s="41">
        <f>135*2*29</f>
        <v>7830</v>
      </c>
      <c r="O44" s="41">
        <v>5</v>
      </c>
      <c r="P44" s="70">
        <f t="shared" si="3"/>
        <v>13529300.400000002</v>
      </c>
      <c r="Q44" s="41">
        <f>135*2*29</f>
        <v>7830</v>
      </c>
      <c r="R44" s="41">
        <v>5</v>
      </c>
      <c r="S44" s="70">
        <f t="shared" si="4"/>
        <v>14882230.440000007</v>
      </c>
      <c r="T44" s="41">
        <f>135*2*29</f>
        <v>7830</v>
      </c>
      <c r="U44" s="41">
        <v>5</v>
      </c>
      <c r="V44" s="70">
        <f t="shared" si="5"/>
        <v>16370453.484000005</v>
      </c>
      <c r="W44" s="41">
        <f>135*2*29</f>
        <v>7830</v>
      </c>
      <c r="X44" s="41">
        <v>5</v>
      </c>
      <c r="Y44" s="70">
        <f t="shared" si="6"/>
        <v>18007498.832400005</v>
      </c>
      <c r="Z44" s="41">
        <f>135*2*29</f>
        <v>7830</v>
      </c>
      <c r="AA44" s="41">
        <v>5</v>
      </c>
      <c r="AB44" s="70">
        <f t="shared" si="7"/>
        <v>19808248.715640012</v>
      </c>
      <c r="AC44" s="41">
        <f>135*2*29</f>
        <v>7830</v>
      </c>
      <c r="AD44" s="41">
        <v>5</v>
      </c>
      <c r="AE44" s="70">
        <f t="shared" si="8"/>
        <v>21789073.587204017</v>
      </c>
      <c r="AF44" s="28">
        <f t="shared" si="9"/>
        <v>127867409.45924404</v>
      </c>
      <c r="AG44" s="28">
        <f t="shared" si="0"/>
        <v>124143.11597984859</v>
      </c>
    </row>
    <row r="45" spans="1:33" ht="57.6" x14ac:dyDescent="0.3">
      <c r="A45" s="41" t="s">
        <v>697</v>
      </c>
      <c r="B45" s="41" t="s">
        <v>693</v>
      </c>
      <c r="C45" s="41" t="s">
        <v>669</v>
      </c>
      <c r="D45" s="41" t="s">
        <v>97</v>
      </c>
      <c r="E45" s="41" t="s">
        <v>499</v>
      </c>
      <c r="F45" s="41" t="s">
        <v>719</v>
      </c>
      <c r="G45" s="83">
        <f>350*1030</f>
        <v>360500</v>
      </c>
      <c r="H45" s="41">
        <v>2</v>
      </c>
      <c r="I45" s="41">
        <v>6</v>
      </c>
      <c r="J45" s="83">
        <f t="shared" si="1"/>
        <v>4326000</v>
      </c>
      <c r="K45" s="41">
        <v>2</v>
      </c>
      <c r="L45" s="41">
        <v>6</v>
      </c>
      <c r="M45" s="70">
        <f t="shared" si="2"/>
        <v>4758600.0000000009</v>
      </c>
      <c r="N45" s="41">
        <v>2</v>
      </c>
      <c r="O45" s="41">
        <v>6</v>
      </c>
      <c r="P45" s="70">
        <f t="shared" si="3"/>
        <v>5234460.0000000009</v>
      </c>
      <c r="Q45" s="41">
        <v>2</v>
      </c>
      <c r="R45" s="41">
        <v>6</v>
      </c>
      <c r="S45" s="70">
        <f t="shared" si="4"/>
        <v>5757906.0000000019</v>
      </c>
      <c r="T45" s="41">
        <v>2</v>
      </c>
      <c r="U45" s="41">
        <v>6</v>
      </c>
      <c r="V45" s="70">
        <f t="shared" si="5"/>
        <v>6333696.6000000015</v>
      </c>
      <c r="W45" s="41">
        <v>2</v>
      </c>
      <c r="X45" s="41">
        <v>6</v>
      </c>
      <c r="Y45" s="70">
        <f t="shared" si="6"/>
        <v>6967066.2600000026</v>
      </c>
      <c r="Z45" s="41">
        <v>2</v>
      </c>
      <c r="AA45" s="41">
        <v>6</v>
      </c>
      <c r="AB45" s="70">
        <f t="shared" si="7"/>
        <v>7663772.8860000037</v>
      </c>
      <c r="AC45" s="41">
        <v>2</v>
      </c>
      <c r="AD45" s="41">
        <v>6</v>
      </c>
      <c r="AE45" s="70">
        <f t="shared" si="8"/>
        <v>8430150.1746000051</v>
      </c>
      <c r="AF45" s="28">
        <f t="shared" si="9"/>
        <v>49471651.920600012</v>
      </c>
      <c r="AG45" s="28">
        <f t="shared" si="0"/>
        <v>48030.73002000001</v>
      </c>
    </row>
    <row r="46" spans="1:33" ht="57.6" x14ac:dyDescent="0.3">
      <c r="A46" s="41" t="s">
        <v>697</v>
      </c>
      <c r="B46" s="41" t="s">
        <v>693</v>
      </c>
      <c r="C46" s="41" t="s">
        <v>669</v>
      </c>
      <c r="D46" s="41" t="s">
        <v>97</v>
      </c>
      <c r="E46" s="41" t="s">
        <v>499</v>
      </c>
      <c r="F46" s="41" t="s">
        <v>784</v>
      </c>
      <c r="G46" s="83">
        <f>10000*1030</f>
        <v>10300000</v>
      </c>
      <c r="H46" s="41">
        <v>2</v>
      </c>
      <c r="I46" s="41">
        <v>1</v>
      </c>
      <c r="J46" s="83">
        <f t="shared" si="1"/>
        <v>20600000</v>
      </c>
      <c r="K46" s="41">
        <v>2</v>
      </c>
      <c r="L46" s="41">
        <v>1</v>
      </c>
      <c r="M46" s="70">
        <f t="shared" si="2"/>
        <v>22660000</v>
      </c>
      <c r="N46" s="41">
        <v>2</v>
      </c>
      <c r="O46" s="41">
        <v>1</v>
      </c>
      <c r="P46" s="70">
        <f t="shared" si="3"/>
        <v>24926000.000000004</v>
      </c>
      <c r="Q46" s="41">
        <v>2</v>
      </c>
      <c r="R46" s="41">
        <v>1</v>
      </c>
      <c r="S46" s="70">
        <f t="shared" si="4"/>
        <v>27418600.000000007</v>
      </c>
      <c r="T46" s="41">
        <v>2</v>
      </c>
      <c r="U46" s="41">
        <v>1</v>
      </c>
      <c r="V46" s="70">
        <f t="shared" si="5"/>
        <v>30160460.000000007</v>
      </c>
      <c r="W46" s="41">
        <v>2</v>
      </c>
      <c r="X46" s="41">
        <v>1</v>
      </c>
      <c r="Y46" s="70">
        <f t="shared" si="6"/>
        <v>33176506.000000011</v>
      </c>
      <c r="Z46" s="41">
        <v>2</v>
      </c>
      <c r="AA46" s="41">
        <v>1</v>
      </c>
      <c r="AB46" s="70">
        <f t="shared" si="7"/>
        <v>36494156.600000016</v>
      </c>
      <c r="AC46" s="41">
        <v>2</v>
      </c>
      <c r="AD46" s="41">
        <v>1</v>
      </c>
      <c r="AE46" s="70">
        <f t="shared" si="8"/>
        <v>40143572.260000028</v>
      </c>
      <c r="AF46" s="28">
        <f t="shared" si="9"/>
        <v>235579294.86000004</v>
      </c>
      <c r="AG46" s="28">
        <f t="shared" si="0"/>
        <v>228717.76200000005</v>
      </c>
    </row>
    <row r="47" spans="1:33" ht="57.6" x14ac:dyDescent="0.3">
      <c r="A47" s="41" t="s">
        <v>697</v>
      </c>
      <c r="B47" s="41" t="s">
        <v>693</v>
      </c>
      <c r="C47" s="41" t="s">
        <v>669</v>
      </c>
      <c r="D47" s="41" t="s">
        <v>98</v>
      </c>
      <c r="E47" s="41" t="s">
        <v>500</v>
      </c>
      <c r="F47" s="41" t="s">
        <v>718</v>
      </c>
      <c r="G47" s="83">
        <v>0</v>
      </c>
      <c r="H47" s="41">
        <v>0</v>
      </c>
      <c r="I47" s="41">
        <v>0</v>
      </c>
      <c r="J47" s="83">
        <f t="shared" si="1"/>
        <v>0</v>
      </c>
      <c r="K47" s="41">
        <v>0</v>
      </c>
      <c r="L47" s="41">
        <v>0</v>
      </c>
      <c r="M47" s="70">
        <f t="shared" si="2"/>
        <v>0</v>
      </c>
      <c r="N47" s="41">
        <v>0</v>
      </c>
      <c r="O47" s="41">
        <v>0</v>
      </c>
      <c r="P47" s="70">
        <f t="shared" si="3"/>
        <v>0</v>
      </c>
      <c r="Q47" s="41">
        <v>0</v>
      </c>
      <c r="R47" s="41">
        <v>0</v>
      </c>
      <c r="S47" s="70">
        <f t="shared" si="4"/>
        <v>0</v>
      </c>
      <c r="T47" s="41">
        <v>0</v>
      </c>
      <c r="U47" s="41">
        <v>0</v>
      </c>
      <c r="V47" s="70">
        <f t="shared" si="5"/>
        <v>0</v>
      </c>
      <c r="W47" s="41">
        <v>0</v>
      </c>
      <c r="X47" s="41">
        <v>0</v>
      </c>
      <c r="Y47" s="70">
        <f t="shared" si="6"/>
        <v>0</v>
      </c>
      <c r="Z47" s="41">
        <v>0</v>
      </c>
      <c r="AA47" s="41">
        <v>0</v>
      </c>
      <c r="AB47" s="70">
        <f t="shared" si="7"/>
        <v>0</v>
      </c>
      <c r="AC47" s="41">
        <v>0</v>
      </c>
      <c r="AD47" s="41">
        <v>0</v>
      </c>
      <c r="AE47" s="70">
        <f t="shared" si="8"/>
        <v>0</v>
      </c>
      <c r="AF47" s="28">
        <f t="shared" si="9"/>
        <v>0</v>
      </c>
      <c r="AG47" s="28">
        <f t="shared" si="0"/>
        <v>0</v>
      </c>
    </row>
    <row r="48" spans="1:33" ht="57.6" x14ac:dyDescent="0.3">
      <c r="A48" s="41" t="s">
        <v>697</v>
      </c>
      <c r="B48" s="41" t="s">
        <v>693</v>
      </c>
      <c r="C48" s="41" t="s">
        <v>669</v>
      </c>
      <c r="D48" s="41" t="s">
        <v>98</v>
      </c>
      <c r="E48" s="41" t="s">
        <v>501</v>
      </c>
      <c r="F48" s="41" t="s">
        <v>718</v>
      </c>
      <c r="G48" s="83">
        <v>0</v>
      </c>
      <c r="H48" s="41">
        <v>0</v>
      </c>
      <c r="I48" s="41">
        <v>0</v>
      </c>
      <c r="J48" s="83">
        <f t="shared" si="1"/>
        <v>0</v>
      </c>
      <c r="K48" s="41">
        <v>0</v>
      </c>
      <c r="L48" s="41">
        <v>0</v>
      </c>
      <c r="M48" s="70">
        <f t="shared" si="2"/>
        <v>0</v>
      </c>
      <c r="N48" s="41">
        <v>0</v>
      </c>
      <c r="O48" s="41">
        <v>0</v>
      </c>
      <c r="P48" s="70">
        <f t="shared" si="3"/>
        <v>0</v>
      </c>
      <c r="Q48" s="41">
        <v>0</v>
      </c>
      <c r="R48" s="41">
        <v>0</v>
      </c>
      <c r="S48" s="70">
        <f t="shared" si="4"/>
        <v>0</v>
      </c>
      <c r="T48" s="41">
        <v>0</v>
      </c>
      <c r="U48" s="41">
        <v>0</v>
      </c>
      <c r="V48" s="70">
        <f t="shared" si="5"/>
        <v>0</v>
      </c>
      <c r="W48" s="41">
        <v>0</v>
      </c>
      <c r="X48" s="41">
        <v>0</v>
      </c>
      <c r="Y48" s="70">
        <f t="shared" si="6"/>
        <v>0</v>
      </c>
      <c r="Z48" s="41">
        <v>0</v>
      </c>
      <c r="AA48" s="41">
        <v>0</v>
      </c>
      <c r="AB48" s="70">
        <f t="shared" si="7"/>
        <v>0</v>
      </c>
      <c r="AC48" s="41">
        <v>0</v>
      </c>
      <c r="AD48" s="41">
        <v>0</v>
      </c>
      <c r="AE48" s="70">
        <f t="shared" si="8"/>
        <v>0</v>
      </c>
      <c r="AF48" s="28">
        <f t="shared" si="9"/>
        <v>0</v>
      </c>
      <c r="AG48" s="28">
        <f t="shared" si="0"/>
        <v>0</v>
      </c>
    </row>
    <row r="49" spans="1:33" ht="57.6" x14ac:dyDescent="0.3">
      <c r="A49" s="41" t="s">
        <v>697</v>
      </c>
      <c r="B49" s="41" t="s">
        <v>693</v>
      </c>
      <c r="C49" s="41" t="s">
        <v>669</v>
      </c>
      <c r="D49" s="41" t="s">
        <v>98</v>
      </c>
      <c r="E49" s="41" t="s">
        <v>502</v>
      </c>
      <c r="F49" s="41" t="s">
        <v>724</v>
      </c>
      <c r="G49" s="83">
        <f>2500*1030</f>
        <v>2575000</v>
      </c>
      <c r="J49" s="84"/>
      <c r="K49" s="41">
        <v>3</v>
      </c>
      <c r="L49" s="41">
        <v>1</v>
      </c>
      <c r="M49" s="70">
        <f t="shared" si="2"/>
        <v>8497500</v>
      </c>
      <c r="N49" s="41">
        <v>3</v>
      </c>
      <c r="O49" s="41">
        <v>1</v>
      </c>
      <c r="P49" s="70">
        <f t="shared" si="3"/>
        <v>9347250.0000000019</v>
      </c>
      <c r="Q49" s="41">
        <v>3</v>
      </c>
      <c r="R49" s="41">
        <v>1</v>
      </c>
      <c r="S49" s="70">
        <f t="shared" si="4"/>
        <v>10281975.000000004</v>
      </c>
      <c r="T49" s="41">
        <v>3</v>
      </c>
      <c r="U49" s="41">
        <v>1</v>
      </c>
      <c r="V49" s="70">
        <f t="shared" si="5"/>
        <v>11310172.500000004</v>
      </c>
      <c r="W49" s="41">
        <v>3</v>
      </c>
      <c r="X49" s="41">
        <v>1</v>
      </c>
      <c r="Y49" s="70">
        <f t="shared" si="6"/>
        <v>12441189.750000004</v>
      </c>
      <c r="Z49" s="41">
        <v>0</v>
      </c>
      <c r="AA49" s="41">
        <v>0</v>
      </c>
      <c r="AB49" s="70">
        <f t="shared" si="7"/>
        <v>0</v>
      </c>
      <c r="AC49" s="41">
        <v>0</v>
      </c>
      <c r="AD49" s="41">
        <v>0</v>
      </c>
      <c r="AE49" s="70">
        <f t="shared" si="8"/>
        <v>0</v>
      </c>
      <c r="AF49" s="28">
        <f t="shared" si="9"/>
        <v>51878087.250000015</v>
      </c>
      <c r="AG49" s="28">
        <f t="shared" si="0"/>
        <v>50367.075000000012</v>
      </c>
    </row>
    <row r="50" spans="1:33" ht="57.6" x14ac:dyDescent="0.3">
      <c r="A50" s="41" t="s">
        <v>697</v>
      </c>
      <c r="B50" s="41" t="s">
        <v>693</v>
      </c>
      <c r="C50" s="41" t="s">
        <v>669</v>
      </c>
      <c r="D50" s="41" t="s">
        <v>98</v>
      </c>
      <c r="E50" s="41" t="s">
        <v>503</v>
      </c>
      <c r="F50" s="41" t="s">
        <v>724</v>
      </c>
      <c r="G50" s="83">
        <f>2500*1030</f>
        <v>2575000</v>
      </c>
      <c r="J50" s="84"/>
      <c r="K50" s="41">
        <v>6</v>
      </c>
      <c r="L50" s="41">
        <v>1</v>
      </c>
      <c r="M50" s="70">
        <f t="shared" si="2"/>
        <v>16995000</v>
      </c>
      <c r="N50" s="41">
        <v>6</v>
      </c>
      <c r="O50" s="41">
        <v>1</v>
      </c>
      <c r="P50" s="70">
        <f t="shared" si="3"/>
        <v>18694500.000000004</v>
      </c>
      <c r="Q50" s="41">
        <v>6</v>
      </c>
      <c r="R50" s="41">
        <v>1</v>
      </c>
      <c r="S50" s="70">
        <f t="shared" si="4"/>
        <v>20563950.000000007</v>
      </c>
      <c r="T50" s="41">
        <v>6</v>
      </c>
      <c r="U50" s="41">
        <v>1</v>
      </c>
      <c r="V50" s="70">
        <f t="shared" si="5"/>
        <v>22620345.000000007</v>
      </c>
      <c r="W50" s="41">
        <v>5</v>
      </c>
      <c r="X50" s="41">
        <v>1</v>
      </c>
      <c r="Y50" s="70">
        <f t="shared" si="6"/>
        <v>20735316.250000007</v>
      </c>
      <c r="Z50" s="41">
        <v>0</v>
      </c>
      <c r="AA50" s="41">
        <v>0</v>
      </c>
      <c r="AB50" s="70">
        <f t="shared" si="7"/>
        <v>0</v>
      </c>
      <c r="AC50" s="41">
        <v>0</v>
      </c>
      <c r="AD50" s="41">
        <v>0</v>
      </c>
      <c r="AE50" s="70">
        <f t="shared" si="8"/>
        <v>0</v>
      </c>
      <c r="AF50" s="28">
        <f t="shared" si="9"/>
        <v>99609111.25000003</v>
      </c>
      <c r="AG50" s="28">
        <f t="shared" si="0"/>
        <v>96707.875000000029</v>
      </c>
    </row>
    <row r="51" spans="1:33" ht="57.6" x14ac:dyDescent="0.3">
      <c r="A51" s="41" t="s">
        <v>697</v>
      </c>
      <c r="B51" s="41" t="s">
        <v>693</v>
      </c>
      <c r="C51" s="41" t="s">
        <v>669</v>
      </c>
      <c r="D51" s="41" t="s">
        <v>98</v>
      </c>
      <c r="E51" s="41" t="s">
        <v>785</v>
      </c>
      <c r="F51" s="41" t="s">
        <v>786</v>
      </c>
      <c r="G51" s="83">
        <f>15000*1030</f>
        <v>15450000</v>
      </c>
      <c r="J51" s="84"/>
      <c r="K51" s="41">
        <v>1</v>
      </c>
      <c r="L51" s="41">
        <v>1</v>
      </c>
      <c r="M51" s="70">
        <f t="shared" si="2"/>
        <v>16995000</v>
      </c>
      <c r="N51" s="41">
        <v>1</v>
      </c>
      <c r="O51" s="41">
        <v>1</v>
      </c>
      <c r="P51" s="70">
        <f t="shared" si="3"/>
        <v>18694500.000000004</v>
      </c>
      <c r="Q51" s="41">
        <v>1</v>
      </c>
      <c r="R51" s="41">
        <v>1</v>
      </c>
      <c r="S51" s="70">
        <f t="shared" si="4"/>
        <v>20563950.000000007</v>
      </c>
      <c r="T51" s="41">
        <v>1</v>
      </c>
      <c r="U51" s="41">
        <v>1</v>
      </c>
      <c r="V51" s="70">
        <f t="shared" si="5"/>
        <v>22620345.000000007</v>
      </c>
      <c r="W51" s="41">
        <v>1</v>
      </c>
      <c r="X51" s="41">
        <v>1</v>
      </c>
      <c r="Y51" s="70">
        <f t="shared" si="6"/>
        <v>24882379.500000007</v>
      </c>
      <c r="Z51" s="41">
        <v>0</v>
      </c>
      <c r="AA51" s="41">
        <v>0</v>
      </c>
      <c r="AB51" s="70">
        <f t="shared" si="7"/>
        <v>0</v>
      </c>
      <c r="AC51" s="41">
        <v>0</v>
      </c>
      <c r="AD51" s="41">
        <v>0</v>
      </c>
      <c r="AE51" s="70">
        <f t="shared" si="8"/>
        <v>0</v>
      </c>
      <c r="AF51" s="28">
        <f t="shared" si="9"/>
        <v>103756174.50000003</v>
      </c>
      <c r="AG51" s="28">
        <f t="shared" si="0"/>
        <v>100734.15000000002</v>
      </c>
    </row>
    <row r="52" spans="1:33" ht="57.6" x14ac:dyDescent="0.3">
      <c r="A52" s="41" t="s">
        <v>697</v>
      </c>
      <c r="B52" s="41" t="s">
        <v>693</v>
      </c>
      <c r="C52" s="41" t="s">
        <v>669</v>
      </c>
      <c r="D52" s="41" t="s">
        <v>98</v>
      </c>
      <c r="E52" s="41" t="s">
        <v>505</v>
      </c>
      <c r="F52" s="41" t="s">
        <v>786</v>
      </c>
      <c r="G52" s="83">
        <f>250*1030</f>
        <v>257500</v>
      </c>
      <c r="J52" s="84"/>
      <c r="K52" s="41">
        <v>1</v>
      </c>
      <c r="L52" s="41">
        <v>44</v>
      </c>
      <c r="M52" s="70">
        <f t="shared" si="2"/>
        <v>12463000</v>
      </c>
      <c r="N52" s="41">
        <v>1</v>
      </c>
      <c r="O52" s="41">
        <v>44</v>
      </c>
      <c r="P52" s="70">
        <f t="shared" si="3"/>
        <v>13709300.000000002</v>
      </c>
      <c r="Q52" s="41">
        <v>1</v>
      </c>
      <c r="R52" s="41">
        <v>44</v>
      </c>
      <c r="S52" s="70">
        <f t="shared" si="4"/>
        <v>15080230.000000006</v>
      </c>
      <c r="T52" s="41">
        <v>1</v>
      </c>
      <c r="U52" s="41">
        <v>44</v>
      </c>
      <c r="V52" s="70">
        <f t="shared" si="5"/>
        <v>16588253.000000006</v>
      </c>
      <c r="W52" s="41">
        <v>1</v>
      </c>
      <c r="X52" s="41">
        <v>44</v>
      </c>
      <c r="Y52" s="70">
        <f t="shared" si="6"/>
        <v>18247078.300000004</v>
      </c>
      <c r="Z52" s="41">
        <v>0</v>
      </c>
      <c r="AA52" s="41">
        <v>0</v>
      </c>
      <c r="AB52" s="70">
        <f t="shared" si="7"/>
        <v>0</v>
      </c>
      <c r="AC52" s="41">
        <v>0</v>
      </c>
      <c r="AD52" s="41">
        <v>0</v>
      </c>
      <c r="AE52" s="70">
        <f t="shared" si="8"/>
        <v>0</v>
      </c>
      <c r="AF52" s="28">
        <f t="shared" si="9"/>
        <v>76087861.300000012</v>
      </c>
      <c r="AG52" s="28">
        <f t="shared" si="0"/>
        <v>73871.710000000006</v>
      </c>
    </row>
    <row r="53" spans="1:33" ht="57.6" x14ac:dyDescent="0.3">
      <c r="A53" s="41" t="s">
        <v>697</v>
      </c>
      <c r="B53" s="41" t="s">
        <v>693</v>
      </c>
      <c r="C53" s="41" t="s">
        <v>669</v>
      </c>
      <c r="D53" s="41" t="s">
        <v>98</v>
      </c>
      <c r="E53" s="41" t="s">
        <v>506</v>
      </c>
      <c r="F53" s="41" t="s">
        <v>716</v>
      </c>
      <c r="G53" s="83">
        <v>39000</v>
      </c>
      <c r="J53" s="84"/>
      <c r="K53" s="41"/>
      <c r="L53" s="41"/>
      <c r="M53" s="70">
        <f t="shared" si="2"/>
        <v>0</v>
      </c>
      <c r="N53" s="41">
        <v>20</v>
      </c>
      <c r="O53" s="41">
        <v>5</v>
      </c>
      <c r="P53" s="70">
        <f t="shared" si="3"/>
        <v>4719000.0000000009</v>
      </c>
      <c r="Q53" s="41">
        <v>0</v>
      </c>
      <c r="R53" s="41">
        <v>0</v>
      </c>
      <c r="S53" s="70">
        <f t="shared" si="4"/>
        <v>0</v>
      </c>
      <c r="T53" s="41">
        <v>0</v>
      </c>
      <c r="U53" s="41">
        <v>0</v>
      </c>
      <c r="V53" s="70">
        <f t="shared" si="5"/>
        <v>0</v>
      </c>
      <c r="W53" s="41">
        <v>0</v>
      </c>
      <c r="X53" s="41">
        <v>0</v>
      </c>
      <c r="Y53" s="70">
        <f t="shared" si="6"/>
        <v>0</v>
      </c>
      <c r="Z53" s="41">
        <v>0</v>
      </c>
      <c r="AA53" s="41">
        <v>0</v>
      </c>
      <c r="AB53" s="70">
        <f t="shared" si="7"/>
        <v>0</v>
      </c>
      <c r="AC53" s="41">
        <v>0</v>
      </c>
      <c r="AD53" s="41">
        <v>0</v>
      </c>
      <c r="AE53" s="70">
        <f t="shared" si="8"/>
        <v>0</v>
      </c>
      <c r="AF53" s="28">
        <f t="shared" si="9"/>
        <v>4719000.0000000009</v>
      </c>
      <c r="AG53" s="28">
        <f t="shared" si="0"/>
        <v>4581.5533980582532</v>
      </c>
    </row>
    <row r="54" spans="1:33" ht="57.6" x14ac:dyDescent="0.3">
      <c r="A54" s="41" t="s">
        <v>697</v>
      </c>
      <c r="B54" s="41" t="s">
        <v>693</v>
      </c>
      <c r="C54" s="41" t="s">
        <v>669</v>
      </c>
      <c r="D54" s="41" t="s">
        <v>98</v>
      </c>
      <c r="E54" s="41" t="s">
        <v>506</v>
      </c>
      <c r="F54" s="41" t="s">
        <v>709</v>
      </c>
      <c r="G54" s="83">
        <v>35000</v>
      </c>
      <c r="J54" s="84"/>
      <c r="K54" s="41"/>
      <c r="L54" s="41"/>
      <c r="M54" s="70">
        <f t="shared" si="2"/>
        <v>0</v>
      </c>
      <c r="N54" s="41">
        <v>20</v>
      </c>
      <c r="O54" s="41">
        <v>5</v>
      </c>
      <c r="P54" s="70">
        <f t="shared" si="3"/>
        <v>4235000.0000000009</v>
      </c>
      <c r="Q54" s="41">
        <v>0</v>
      </c>
      <c r="R54" s="41">
        <v>0</v>
      </c>
      <c r="S54" s="70">
        <f t="shared" si="4"/>
        <v>0</v>
      </c>
      <c r="T54" s="41">
        <v>0</v>
      </c>
      <c r="U54" s="41">
        <v>0</v>
      </c>
      <c r="V54" s="70">
        <f t="shared" si="5"/>
        <v>0</v>
      </c>
      <c r="W54" s="41">
        <v>0</v>
      </c>
      <c r="X54" s="41">
        <v>0</v>
      </c>
      <c r="Y54" s="70">
        <f t="shared" si="6"/>
        <v>0</v>
      </c>
      <c r="Z54" s="41">
        <v>0</v>
      </c>
      <c r="AA54" s="41">
        <v>0</v>
      </c>
      <c r="AB54" s="70">
        <f t="shared" si="7"/>
        <v>0</v>
      </c>
      <c r="AC54" s="41">
        <v>0</v>
      </c>
      <c r="AD54" s="41">
        <v>0</v>
      </c>
      <c r="AE54" s="70">
        <f t="shared" si="8"/>
        <v>0</v>
      </c>
      <c r="AF54" s="28">
        <f t="shared" si="9"/>
        <v>4235000.0000000009</v>
      </c>
      <c r="AG54" s="28">
        <f t="shared" si="0"/>
        <v>4111.6504854368941</v>
      </c>
    </row>
    <row r="55" spans="1:33" ht="57.6" x14ac:dyDescent="0.3">
      <c r="A55" s="41" t="s">
        <v>697</v>
      </c>
      <c r="B55" s="41" t="s">
        <v>693</v>
      </c>
      <c r="C55" s="41" t="s">
        <v>669</v>
      </c>
      <c r="D55" s="41" t="s">
        <v>98</v>
      </c>
      <c r="E55" s="41" t="s">
        <v>506</v>
      </c>
      <c r="F55" s="41" t="s">
        <v>712</v>
      </c>
      <c r="G55" s="83">
        <f>1999.2/7</f>
        <v>285.60000000000002</v>
      </c>
      <c r="J55" s="84"/>
      <c r="K55" s="41"/>
      <c r="L55" s="41"/>
      <c r="M55" s="70">
        <f t="shared" si="2"/>
        <v>0</v>
      </c>
      <c r="N55" s="41">
        <f>25*2*9</f>
        <v>450</v>
      </c>
      <c r="O55" s="41">
        <v>5</v>
      </c>
      <c r="P55" s="70">
        <f t="shared" si="3"/>
        <v>777546.00000000023</v>
      </c>
      <c r="Q55" s="41">
        <v>0</v>
      </c>
      <c r="R55" s="41">
        <v>0</v>
      </c>
      <c r="S55" s="70">
        <f t="shared" si="4"/>
        <v>0</v>
      </c>
      <c r="T55" s="41">
        <v>0</v>
      </c>
      <c r="U55" s="41">
        <v>0</v>
      </c>
      <c r="V55" s="70">
        <f t="shared" si="5"/>
        <v>0</v>
      </c>
      <c r="W55" s="41">
        <v>0</v>
      </c>
      <c r="X55" s="41">
        <v>0</v>
      </c>
      <c r="Y55" s="70">
        <f t="shared" si="6"/>
        <v>0</v>
      </c>
      <c r="Z55" s="41">
        <v>0</v>
      </c>
      <c r="AA55" s="41">
        <v>0</v>
      </c>
      <c r="AB55" s="70">
        <f t="shared" si="7"/>
        <v>0</v>
      </c>
      <c r="AC55" s="41">
        <v>0</v>
      </c>
      <c r="AD55" s="41">
        <v>0</v>
      </c>
      <c r="AE55" s="70">
        <f t="shared" si="8"/>
        <v>0</v>
      </c>
      <c r="AF55" s="28">
        <f t="shared" si="9"/>
        <v>777546.00000000023</v>
      </c>
      <c r="AG55" s="28">
        <f t="shared" si="0"/>
        <v>754.8990291262138</v>
      </c>
    </row>
    <row r="56" spans="1:33" ht="57.6" x14ac:dyDescent="0.3">
      <c r="A56" s="41" t="s">
        <v>697</v>
      </c>
      <c r="B56" s="41" t="s">
        <v>693</v>
      </c>
      <c r="C56" s="41" t="s">
        <v>669</v>
      </c>
      <c r="D56" s="41" t="s">
        <v>98</v>
      </c>
      <c r="E56" s="41" t="s">
        <v>506</v>
      </c>
      <c r="F56" s="41" t="s">
        <v>1350</v>
      </c>
      <c r="G56" s="83">
        <f>1999.2/7</f>
        <v>285.60000000000002</v>
      </c>
      <c r="J56" s="84"/>
      <c r="K56" s="41"/>
      <c r="L56" s="41"/>
      <c r="M56" s="70">
        <f t="shared" si="2"/>
        <v>0</v>
      </c>
      <c r="N56" s="41">
        <f>135*2*9</f>
        <v>2430</v>
      </c>
      <c r="O56" s="41">
        <v>6</v>
      </c>
      <c r="P56" s="70">
        <f t="shared" si="3"/>
        <v>5038498.080000001</v>
      </c>
      <c r="Q56" s="41"/>
      <c r="R56" s="41"/>
      <c r="S56" s="70">
        <f t="shared" si="4"/>
        <v>0</v>
      </c>
      <c r="T56" s="41"/>
      <c r="U56" s="41"/>
      <c r="V56" s="70">
        <f t="shared" si="5"/>
        <v>0</v>
      </c>
      <c r="W56" s="41"/>
      <c r="X56" s="41"/>
      <c r="Y56" s="70">
        <f t="shared" si="6"/>
        <v>0</v>
      </c>
      <c r="Z56" s="41"/>
      <c r="AA56" s="41"/>
      <c r="AB56" s="70">
        <f t="shared" si="7"/>
        <v>0</v>
      </c>
      <c r="AC56" s="41"/>
      <c r="AD56" s="41"/>
      <c r="AE56" s="70">
        <f t="shared" si="8"/>
        <v>0</v>
      </c>
      <c r="AF56" s="28">
        <f t="shared" si="9"/>
        <v>5038498.080000001</v>
      </c>
      <c r="AG56" s="28">
        <f t="shared" si="0"/>
        <v>4891.7457087378652</v>
      </c>
    </row>
    <row r="57" spans="1:33" ht="57.6" x14ac:dyDescent="0.3">
      <c r="A57" s="41" t="s">
        <v>697</v>
      </c>
      <c r="B57" s="41" t="s">
        <v>693</v>
      </c>
      <c r="C57" s="41" t="s">
        <v>669</v>
      </c>
      <c r="D57" s="41" t="s">
        <v>99</v>
      </c>
      <c r="E57" s="41" t="s">
        <v>158</v>
      </c>
      <c r="F57" s="41" t="s">
        <v>718</v>
      </c>
      <c r="G57" s="83">
        <v>0</v>
      </c>
      <c r="H57" s="41">
        <v>0</v>
      </c>
      <c r="I57" s="41">
        <v>0</v>
      </c>
      <c r="J57" s="83">
        <f t="shared" si="1"/>
        <v>0</v>
      </c>
      <c r="K57" s="41">
        <v>0</v>
      </c>
      <c r="L57" s="41">
        <v>0</v>
      </c>
      <c r="M57" s="70">
        <f t="shared" si="2"/>
        <v>0</v>
      </c>
      <c r="N57" s="41">
        <v>0</v>
      </c>
      <c r="O57" s="41">
        <v>0</v>
      </c>
      <c r="P57" s="70">
        <f t="shared" si="3"/>
        <v>0</v>
      </c>
      <c r="Q57" s="41">
        <v>0</v>
      </c>
      <c r="R57" s="41">
        <v>0</v>
      </c>
      <c r="S57" s="70">
        <f t="shared" si="4"/>
        <v>0</v>
      </c>
      <c r="T57" s="41">
        <v>0</v>
      </c>
      <c r="U57" s="41">
        <v>0</v>
      </c>
      <c r="V57" s="70">
        <f t="shared" si="5"/>
        <v>0</v>
      </c>
      <c r="W57" s="41">
        <v>0</v>
      </c>
      <c r="X57" s="41">
        <v>0</v>
      </c>
      <c r="Y57" s="70">
        <f t="shared" si="6"/>
        <v>0</v>
      </c>
      <c r="Z57" s="41">
        <v>0</v>
      </c>
      <c r="AA57" s="41">
        <v>0</v>
      </c>
      <c r="AB57" s="70">
        <f t="shared" si="7"/>
        <v>0</v>
      </c>
      <c r="AC57" s="41">
        <v>0</v>
      </c>
      <c r="AD57" s="41">
        <v>0</v>
      </c>
      <c r="AE57" s="70">
        <f t="shared" si="8"/>
        <v>0</v>
      </c>
      <c r="AF57" s="28">
        <f t="shared" si="9"/>
        <v>0</v>
      </c>
      <c r="AG57" s="28">
        <f t="shared" si="0"/>
        <v>0</v>
      </c>
    </row>
    <row r="58" spans="1:33" ht="57.6" x14ac:dyDescent="0.3">
      <c r="A58" s="41" t="s">
        <v>697</v>
      </c>
      <c r="B58" s="41" t="s">
        <v>693</v>
      </c>
      <c r="C58" s="41" t="s">
        <v>669</v>
      </c>
      <c r="D58" s="41" t="s">
        <v>99</v>
      </c>
      <c r="E58" s="41" t="s">
        <v>482</v>
      </c>
      <c r="F58" s="41" t="s">
        <v>718</v>
      </c>
      <c r="G58" s="83">
        <v>0</v>
      </c>
      <c r="H58" s="41">
        <v>0</v>
      </c>
      <c r="I58" s="41">
        <v>0</v>
      </c>
      <c r="J58" s="83">
        <f t="shared" si="1"/>
        <v>0</v>
      </c>
      <c r="K58" s="41">
        <v>0</v>
      </c>
      <c r="L58" s="41">
        <v>0</v>
      </c>
      <c r="M58" s="70">
        <f t="shared" si="2"/>
        <v>0</v>
      </c>
      <c r="N58" s="41">
        <v>0</v>
      </c>
      <c r="O58" s="41">
        <v>0</v>
      </c>
      <c r="P58" s="70">
        <f t="shared" si="3"/>
        <v>0</v>
      </c>
      <c r="Q58" s="41">
        <v>0</v>
      </c>
      <c r="R58" s="41">
        <v>0</v>
      </c>
      <c r="S58" s="70">
        <f t="shared" si="4"/>
        <v>0</v>
      </c>
      <c r="T58" s="41">
        <v>0</v>
      </c>
      <c r="U58" s="41">
        <v>0</v>
      </c>
      <c r="V58" s="70">
        <f t="shared" si="5"/>
        <v>0</v>
      </c>
      <c r="W58" s="41">
        <v>0</v>
      </c>
      <c r="X58" s="41">
        <v>0</v>
      </c>
      <c r="Y58" s="70">
        <f t="shared" si="6"/>
        <v>0</v>
      </c>
      <c r="Z58" s="41">
        <v>0</v>
      </c>
      <c r="AA58" s="41">
        <v>0</v>
      </c>
      <c r="AB58" s="70">
        <f t="shared" si="7"/>
        <v>0</v>
      </c>
      <c r="AC58" s="41">
        <v>0</v>
      </c>
      <c r="AD58" s="41">
        <v>0</v>
      </c>
      <c r="AE58" s="70">
        <f t="shared" si="8"/>
        <v>0</v>
      </c>
      <c r="AF58" s="28">
        <f t="shared" si="9"/>
        <v>0</v>
      </c>
      <c r="AG58" s="28">
        <f t="shared" si="0"/>
        <v>0</v>
      </c>
    </row>
    <row r="59" spans="1:33" ht="57.6" x14ac:dyDescent="0.3">
      <c r="A59" s="41" t="s">
        <v>697</v>
      </c>
      <c r="B59" s="41" t="s">
        <v>693</v>
      </c>
      <c r="C59" s="41" t="s">
        <v>669</v>
      </c>
      <c r="D59" s="41" t="s">
        <v>99</v>
      </c>
      <c r="E59" s="41" t="s">
        <v>149</v>
      </c>
      <c r="F59" s="41" t="s">
        <v>707</v>
      </c>
      <c r="G59" s="83">
        <v>391991.03749999998</v>
      </c>
      <c r="J59" s="84"/>
      <c r="K59" s="41"/>
      <c r="L59" s="41"/>
      <c r="M59" s="70">
        <f t="shared" si="2"/>
        <v>0</v>
      </c>
      <c r="N59" s="41">
        <v>2</v>
      </c>
      <c r="O59" s="41">
        <v>2</v>
      </c>
      <c r="P59" s="70">
        <f t="shared" si="3"/>
        <v>1897236.6215000001</v>
      </c>
      <c r="Q59" s="41">
        <v>0</v>
      </c>
      <c r="R59" s="41">
        <v>0</v>
      </c>
      <c r="S59" s="70">
        <f t="shared" si="4"/>
        <v>0</v>
      </c>
      <c r="T59" s="41">
        <v>0</v>
      </c>
      <c r="U59" s="41">
        <v>0</v>
      </c>
      <c r="V59" s="70">
        <f t="shared" si="5"/>
        <v>0</v>
      </c>
      <c r="W59" s="41">
        <v>0</v>
      </c>
      <c r="X59" s="41">
        <v>0</v>
      </c>
      <c r="Y59" s="70">
        <f t="shared" si="6"/>
        <v>0</v>
      </c>
      <c r="Z59" s="41">
        <v>0</v>
      </c>
      <c r="AA59" s="41">
        <v>0</v>
      </c>
      <c r="AB59" s="70">
        <f t="shared" si="7"/>
        <v>0</v>
      </c>
      <c r="AC59" s="41">
        <v>0</v>
      </c>
      <c r="AD59" s="41">
        <v>0</v>
      </c>
      <c r="AE59" s="70">
        <f t="shared" si="8"/>
        <v>0</v>
      </c>
      <c r="AF59" s="28">
        <f t="shared" si="9"/>
        <v>1897236.6215000001</v>
      </c>
      <c r="AG59" s="28">
        <f t="shared" si="0"/>
        <v>1841.9773024271847</v>
      </c>
    </row>
    <row r="60" spans="1:33" ht="57.6" x14ac:dyDescent="0.3">
      <c r="A60" s="41" t="s">
        <v>697</v>
      </c>
      <c r="B60" s="41" t="s">
        <v>693</v>
      </c>
      <c r="C60" s="41" t="s">
        <v>669</v>
      </c>
      <c r="D60" s="41" t="s">
        <v>99</v>
      </c>
      <c r="E60" s="41" t="s">
        <v>149</v>
      </c>
      <c r="F60" s="41" t="s">
        <v>708</v>
      </c>
      <c r="G60" s="83">
        <f>500*1030</f>
        <v>515000</v>
      </c>
      <c r="J60" s="84"/>
      <c r="K60" s="41"/>
      <c r="L60" s="41"/>
      <c r="M60" s="70">
        <f t="shared" si="2"/>
        <v>0</v>
      </c>
      <c r="N60" s="41">
        <v>1</v>
      </c>
      <c r="O60" s="41">
        <v>25</v>
      </c>
      <c r="P60" s="70">
        <f t="shared" si="3"/>
        <v>15578750.000000004</v>
      </c>
      <c r="Q60" s="41">
        <v>0</v>
      </c>
      <c r="R60" s="41">
        <v>0</v>
      </c>
      <c r="S60" s="70">
        <f t="shared" si="4"/>
        <v>0</v>
      </c>
      <c r="T60" s="41">
        <v>0</v>
      </c>
      <c r="U60" s="41">
        <v>0</v>
      </c>
      <c r="V60" s="70">
        <f t="shared" si="5"/>
        <v>0</v>
      </c>
      <c r="W60" s="41">
        <v>0</v>
      </c>
      <c r="X60" s="41">
        <v>0</v>
      </c>
      <c r="Y60" s="70">
        <f t="shared" si="6"/>
        <v>0</v>
      </c>
      <c r="Z60" s="41">
        <v>0</v>
      </c>
      <c r="AA60" s="41">
        <v>0</v>
      </c>
      <c r="AB60" s="70">
        <f t="shared" si="7"/>
        <v>0</v>
      </c>
      <c r="AC60" s="41">
        <v>0</v>
      </c>
      <c r="AD60" s="41">
        <v>0</v>
      </c>
      <c r="AE60" s="70">
        <f t="shared" si="8"/>
        <v>0</v>
      </c>
      <c r="AF60" s="28">
        <f t="shared" si="9"/>
        <v>15578750.000000004</v>
      </c>
      <c r="AG60" s="28">
        <f t="shared" si="0"/>
        <v>15125.000000000004</v>
      </c>
    </row>
    <row r="61" spans="1:33" ht="57.6" x14ac:dyDescent="0.3">
      <c r="A61" s="41" t="s">
        <v>697</v>
      </c>
      <c r="B61" s="41" t="s">
        <v>693</v>
      </c>
      <c r="C61" s="41" t="s">
        <v>669</v>
      </c>
      <c r="D61" s="41" t="s">
        <v>99</v>
      </c>
      <c r="E61" s="41" t="s">
        <v>507</v>
      </c>
      <c r="F61" s="41" t="s">
        <v>716</v>
      </c>
      <c r="G61" s="83">
        <v>39000</v>
      </c>
      <c r="J61" s="84"/>
      <c r="K61" s="41"/>
      <c r="L61" s="41"/>
      <c r="M61" s="70">
        <f t="shared" si="2"/>
        <v>0</v>
      </c>
      <c r="N61" s="41">
        <v>60</v>
      </c>
      <c r="O61" s="41">
        <v>15</v>
      </c>
      <c r="P61" s="70">
        <f t="shared" si="3"/>
        <v>42471000.000000007</v>
      </c>
      <c r="Q61" s="41">
        <v>0</v>
      </c>
      <c r="R61" s="41">
        <v>0</v>
      </c>
      <c r="S61" s="70">
        <f t="shared" si="4"/>
        <v>0</v>
      </c>
      <c r="T61" s="41">
        <v>0</v>
      </c>
      <c r="U61" s="41">
        <v>0</v>
      </c>
      <c r="V61" s="70">
        <f t="shared" si="5"/>
        <v>0</v>
      </c>
      <c r="W61" s="41">
        <v>0</v>
      </c>
      <c r="X61" s="41">
        <v>0</v>
      </c>
      <c r="Y61" s="70">
        <f t="shared" si="6"/>
        <v>0</v>
      </c>
      <c r="Z61" s="41">
        <v>0</v>
      </c>
      <c r="AA61" s="41">
        <v>0</v>
      </c>
      <c r="AB61" s="70">
        <f t="shared" si="7"/>
        <v>0</v>
      </c>
      <c r="AC61" s="41">
        <v>0</v>
      </c>
      <c r="AD61" s="41">
        <v>0</v>
      </c>
      <c r="AE61" s="70">
        <f t="shared" si="8"/>
        <v>0</v>
      </c>
      <c r="AF61" s="28">
        <f t="shared" si="9"/>
        <v>42471000.000000007</v>
      </c>
      <c r="AG61" s="28">
        <f t="shared" si="0"/>
        <v>41233.98058252428</v>
      </c>
    </row>
    <row r="62" spans="1:33" ht="57.6" x14ac:dyDescent="0.3">
      <c r="A62" s="41" t="s">
        <v>697</v>
      </c>
      <c r="B62" s="41" t="s">
        <v>693</v>
      </c>
      <c r="C62" s="41" t="s">
        <v>669</v>
      </c>
      <c r="D62" s="41" t="s">
        <v>99</v>
      </c>
      <c r="E62" s="41" t="s">
        <v>507</v>
      </c>
      <c r="F62" s="41" t="s">
        <v>712</v>
      </c>
      <c r="G62" s="83">
        <f>1999.2/7</f>
        <v>285.60000000000002</v>
      </c>
      <c r="J62" s="84"/>
      <c r="K62" s="41"/>
      <c r="L62" s="41"/>
      <c r="M62" s="70">
        <f t="shared" si="2"/>
        <v>0</v>
      </c>
      <c r="N62" s="41">
        <f>25*2*25</f>
        <v>1250</v>
      </c>
      <c r="O62" s="41">
        <v>15</v>
      </c>
      <c r="P62" s="70">
        <f t="shared" si="3"/>
        <v>6479550.0000000019</v>
      </c>
      <c r="Q62" s="41">
        <v>0</v>
      </c>
      <c r="R62" s="41">
        <v>0</v>
      </c>
      <c r="S62" s="70">
        <f t="shared" si="4"/>
        <v>0</v>
      </c>
      <c r="T62" s="41">
        <v>0</v>
      </c>
      <c r="U62" s="41">
        <v>0</v>
      </c>
      <c r="V62" s="70">
        <f t="shared" si="5"/>
        <v>0</v>
      </c>
      <c r="W62" s="41">
        <v>0</v>
      </c>
      <c r="X62" s="41">
        <v>0</v>
      </c>
      <c r="Y62" s="70">
        <f t="shared" si="6"/>
        <v>0</v>
      </c>
      <c r="Z62" s="41">
        <v>0</v>
      </c>
      <c r="AA62" s="41">
        <v>0</v>
      </c>
      <c r="AB62" s="70">
        <f t="shared" si="7"/>
        <v>0</v>
      </c>
      <c r="AC62" s="41">
        <v>0</v>
      </c>
      <c r="AD62" s="41">
        <v>0</v>
      </c>
      <c r="AE62" s="70">
        <f t="shared" si="8"/>
        <v>0</v>
      </c>
      <c r="AF62" s="28">
        <f t="shared" si="9"/>
        <v>6479550.0000000019</v>
      </c>
      <c r="AG62" s="28">
        <f t="shared" si="0"/>
        <v>6290.8252427184489</v>
      </c>
    </row>
    <row r="63" spans="1:33" ht="57.6" x14ac:dyDescent="0.3">
      <c r="A63" s="41" t="s">
        <v>697</v>
      </c>
      <c r="B63" s="41" t="s">
        <v>693</v>
      </c>
      <c r="C63" s="41" t="s">
        <v>669</v>
      </c>
      <c r="D63" s="41" t="s">
        <v>99</v>
      </c>
      <c r="E63" s="41" t="s">
        <v>507</v>
      </c>
      <c r="F63" s="41" t="s">
        <v>1350</v>
      </c>
      <c r="G63" s="83">
        <f>1999.2/7</f>
        <v>285.60000000000002</v>
      </c>
      <c r="J63" s="84"/>
      <c r="K63" s="41"/>
      <c r="L63" s="41"/>
      <c r="M63" s="70">
        <f t="shared" si="2"/>
        <v>0</v>
      </c>
      <c r="N63" s="41">
        <f>135*2*25</f>
        <v>6750</v>
      </c>
      <c r="O63" s="41">
        <v>15</v>
      </c>
      <c r="P63" s="70">
        <f t="shared" si="3"/>
        <v>34989570.000000007</v>
      </c>
      <c r="Q63" s="41">
        <v>0</v>
      </c>
      <c r="R63" s="41">
        <v>0</v>
      </c>
      <c r="S63" s="70">
        <f t="shared" si="4"/>
        <v>0</v>
      </c>
      <c r="T63" s="41">
        <v>0</v>
      </c>
      <c r="U63" s="41">
        <v>0</v>
      </c>
      <c r="V63" s="70">
        <f t="shared" si="5"/>
        <v>0</v>
      </c>
      <c r="W63" s="41">
        <v>0</v>
      </c>
      <c r="X63" s="41">
        <v>0</v>
      </c>
      <c r="Y63" s="70">
        <f t="shared" si="6"/>
        <v>0</v>
      </c>
      <c r="Z63" s="41">
        <v>0</v>
      </c>
      <c r="AA63" s="41">
        <v>0</v>
      </c>
      <c r="AB63" s="70">
        <f t="shared" si="7"/>
        <v>0</v>
      </c>
      <c r="AC63" s="41">
        <v>0</v>
      </c>
      <c r="AD63" s="41">
        <v>0</v>
      </c>
      <c r="AE63" s="70">
        <f t="shared" si="8"/>
        <v>0</v>
      </c>
      <c r="AF63" s="28">
        <f t="shared" si="9"/>
        <v>34989570.000000007</v>
      </c>
      <c r="AG63" s="28">
        <f t="shared" si="0"/>
        <v>33970.456310679619</v>
      </c>
    </row>
    <row r="64" spans="1:33" ht="57.6" x14ac:dyDescent="0.3">
      <c r="A64" s="41" t="s">
        <v>697</v>
      </c>
      <c r="B64" s="41" t="s">
        <v>693</v>
      </c>
      <c r="C64" s="41" t="s">
        <v>669</v>
      </c>
      <c r="D64" s="41" t="s">
        <v>99</v>
      </c>
      <c r="E64" s="41" t="s">
        <v>507</v>
      </c>
      <c r="F64" s="41" t="s">
        <v>709</v>
      </c>
      <c r="G64" s="83">
        <v>35000</v>
      </c>
      <c r="J64" s="84"/>
      <c r="K64" s="41"/>
      <c r="L64" s="41"/>
      <c r="M64" s="70">
        <f t="shared" si="2"/>
        <v>0</v>
      </c>
      <c r="N64" s="41">
        <v>60</v>
      </c>
      <c r="O64" s="41">
        <v>15</v>
      </c>
      <c r="P64" s="70">
        <f t="shared" si="3"/>
        <v>38115000.000000007</v>
      </c>
      <c r="Q64" s="41">
        <v>0</v>
      </c>
      <c r="R64" s="41">
        <v>0</v>
      </c>
      <c r="S64" s="70">
        <f t="shared" si="4"/>
        <v>0</v>
      </c>
      <c r="T64" s="41">
        <v>0</v>
      </c>
      <c r="U64" s="41">
        <v>0</v>
      </c>
      <c r="V64" s="70">
        <f t="shared" si="5"/>
        <v>0</v>
      </c>
      <c r="W64" s="41">
        <v>0</v>
      </c>
      <c r="X64" s="41">
        <v>0</v>
      </c>
      <c r="Y64" s="70">
        <f t="shared" si="6"/>
        <v>0</v>
      </c>
      <c r="Z64" s="41">
        <v>0</v>
      </c>
      <c r="AA64" s="41">
        <v>0</v>
      </c>
      <c r="AB64" s="70">
        <f t="shared" si="7"/>
        <v>0</v>
      </c>
      <c r="AC64" s="41">
        <v>0</v>
      </c>
      <c r="AD64" s="41">
        <v>0</v>
      </c>
      <c r="AE64" s="70">
        <f t="shared" si="8"/>
        <v>0</v>
      </c>
      <c r="AF64" s="28">
        <f t="shared" si="9"/>
        <v>38115000.000000007</v>
      </c>
      <c r="AG64" s="28">
        <f t="shared" si="0"/>
        <v>37004.854368932043</v>
      </c>
    </row>
    <row r="65" spans="1:33" ht="57.6" x14ac:dyDescent="0.3">
      <c r="A65" s="41" t="s">
        <v>697</v>
      </c>
      <c r="B65" s="41" t="s">
        <v>693</v>
      </c>
      <c r="C65" s="41" t="s">
        <v>669</v>
      </c>
      <c r="D65" s="41" t="s">
        <v>99</v>
      </c>
      <c r="E65" s="41" t="s">
        <v>508</v>
      </c>
      <c r="F65" s="41" t="s">
        <v>709</v>
      </c>
      <c r="G65" s="83">
        <v>28000</v>
      </c>
      <c r="J65" s="84"/>
      <c r="K65" s="41"/>
      <c r="L65" s="41"/>
      <c r="M65" s="70">
        <f t="shared" si="2"/>
        <v>0</v>
      </c>
      <c r="N65" s="41">
        <v>0</v>
      </c>
      <c r="O65" s="41">
        <v>0</v>
      </c>
      <c r="P65" s="70">
        <f t="shared" si="3"/>
        <v>0</v>
      </c>
      <c r="Q65" s="41">
        <v>0</v>
      </c>
      <c r="R65" s="41">
        <v>0</v>
      </c>
      <c r="S65" s="70">
        <f t="shared" si="4"/>
        <v>0</v>
      </c>
      <c r="T65" s="41">
        <v>0</v>
      </c>
      <c r="U65" s="41">
        <v>0</v>
      </c>
      <c r="V65" s="70">
        <f t="shared" si="5"/>
        <v>0</v>
      </c>
      <c r="W65" s="41">
        <v>0</v>
      </c>
      <c r="X65" s="41">
        <v>0</v>
      </c>
      <c r="Y65" s="70">
        <f t="shared" si="6"/>
        <v>0</v>
      </c>
      <c r="Z65" s="41">
        <v>0</v>
      </c>
      <c r="AA65" s="41">
        <v>0</v>
      </c>
      <c r="AB65" s="70">
        <f t="shared" si="7"/>
        <v>0</v>
      </c>
      <c r="AC65" s="41">
        <v>0</v>
      </c>
      <c r="AD65" s="41">
        <v>0</v>
      </c>
      <c r="AE65" s="70">
        <f t="shared" si="8"/>
        <v>0</v>
      </c>
      <c r="AF65" s="28">
        <f t="shared" si="9"/>
        <v>0</v>
      </c>
      <c r="AG65" s="28">
        <f t="shared" si="0"/>
        <v>0</v>
      </c>
    </row>
    <row r="66" spans="1:33" ht="57.6" x14ac:dyDescent="0.3">
      <c r="A66" s="41" t="s">
        <v>697</v>
      </c>
      <c r="B66" s="41" t="s">
        <v>693</v>
      </c>
      <c r="C66" s="41" t="s">
        <v>669</v>
      </c>
      <c r="D66" s="41" t="s">
        <v>99</v>
      </c>
      <c r="E66" s="41" t="s">
        <v>508</v>
      </c>
      <c r="F66" s="41" t="s">
        <v>716</v>
      </c>
      <c r="G66" s="83">
        <v>39000</v>
      </c>
      <c r="J66" s="84"/>
      <c r="K66" s="41"/>
      <c r="L66" s="41"/>
      <c r="M66" s="70">
        <f t="shared" si="2"/>
        <v>0</v>
      </c>
      <c r="N66" s="41">
        <v>58</v>
      </c>
      <c r="O66" s="41">
        <v>6</v>
      </c>
      <c r="P66" s="70">
        <f t="shared" si="3"/>
        <v>16422120.000000004</v>
      </c>
      <c r="Q66" s="41">
        <v>0</v>
      </c>
      <c r="R66" s="41">
        <v>0</v>
      </c>
      <c r="S66" s="70">
        <f t="shared" si="4"/>
        <v>0</v>
      </c>
      <c r="T66" s="41">
        <v>0</v>
      </c>
      <c r="U66" s="41">
        <v>0</v>
      </c>
      <c r="V66" s="70">
        <f t="shared" si="5"/>
        <v>0</v>
      </c>
      <c r="W66" s="41">
        <v>0</v>
      </c>
      <c r="X66" s="41">
        <v>0</v>
      </c>
      <c r="Y66" s="70">
        <f t="shared" si="6"/>
        <v>0</v>
      </c>
      <c r="Z66" s="41">
        <v>0</v>
      </c>
      <c r="AA66" s="41">
        <v>0</v>
      </c>
      <c r="AB66" s="70">
        <f t="shared" si="7"/>
        <v>0</v>
      </c>
      <c r="AC66" s="41">
        <v>0</v>
      </c>
      <c r="AD66" s="41">
        <v>0</v>
      </c>
      <c r="AE66" s="70">
        <f t="shared" si="8"/>
        <v>0</v>
      </c>
      <c r="AF66" s="28">
        <f t="shared" si="9"/>
        <v>16422120.000000004</v>
      </c>
      <c r="AG66" s="28">
        <f t="shared" si="0"/>
        <v>15943.805825242722</v>
      </c>
    </row>
    <row r="67" spans="1:33" ht="57.6" x14ac:dyDescent="0.3">
      <c r="A67" s="41" t="s">
        <v>697</v>
      </c>
      <c r="B67" s="41" t="s">
        <v>693</v>
      </c>
      <c r="C67" s="41" t="s">
        <v>669</v>
      </c>
      <c r="D67" s="41" t="s">
        <v>99</v>
      </c>
      <c r="E67" s="41" t="s">
        <v>508</v>
      </c>
      <c r="F67" s="41" t="s">
        <v>712</v>
      </c>
      <c r="G67" s="83">
        <f>1999.2/7</f>
        <v>285.60000000000002</v>
      </c>
      <c r="J67" s="84"/>
      <c r="K67" s="41"/>
      <c r="L67" s="41"/>
      <c r="M67" s="70">
        <f t="shared" ref="M67:M128" si="10">($G67*1.1^1)*K67*L67</f>
        <v>0</v>
      </c>
      <c r="N67" s="41">
        <f>25*2*29</f>
        <v>1450</v>
      </c>
      <c r="O67" s="41">
        <v>5</v>
      </c>
      <c r="P67" s="70">
        <f t="shared" ref="P67:P128" si="11">($G67*1.1^2)*N67*O67</f>
        <v>2505426.0000000005</v>
      </c>
      <c r="Q67" s="41">
        <v>0</v>
      </c>
      <c r="R67" s="41">
        <v>0</v>
      </c>
      <c r="S67" s="70">
        <f t="shared" ref="S67:S128" si="12">($G67*1.1^3)*Q67*R67</f>
        <v>0</v>
      </c>
      <c r="T67" s="41">
        <v>0</v>
      </c>
      <c r="U67" s="41">
        <v>0</v>
      </c>
      <c r="V67" s="70">
        <f t="shared" ref="V67:V128" si="13">($G67*1.1^4)*T67*U67</f>
        <v>0</v>
      </c>
      <c r="W67" s="41">
        <v>0</v>
      </c>
      <c r="X67" s="41">
        <v>0</v>
      </c>
      <c r="Y67" s="70">
        <f t="shared" ref="Y67:Y128" si="14">($G67*1.1^5)*W67*X67</f>
        <v>0</v>
      </c>
      <c r="Z67" s="41">
        <v>0</v>
      </c>
      <c r="AA67" s="41">
        <v>0</v>
      </c>
      <c r="AB67" s="70">
        <f t="shared" ref="AB67:AB128" si="15">($G67*1.1^6)*Z67*AA67</f>
        <v>0</v>
      </c>
      <c r="AC67" s="41">
        <v>0</v>
      </c>
      <c r="AD67" s="41">
        <v>0</v>
      </c>
      <c r="AE67" s="70">
        <f t="shared" ref="AE67:AE128" si="16">($G67*1.1^7)*AC67*AD67</f>
        <v>0</v>
      </c>
      <c r="AF67" s="28">
        <f t="shared" ref="AF67:AF130" si="17">J67+M67+P67+S67+V67+Y67+AB67+AE67</f>
        <v>2505426.0000000005</v>
      </c>
      <c r="AG67" s="28">
        <f t="shared" ref="AG67:AG130" si="18">AF67/$AL$2</f>
        <v>2432.4524271844666</v>
      </c>
    </row>
    <row r="68" spans="1:33" ht="57.6" x14ac:dyDescent="0.3">
      <c r="A68" s="41" t="s">
        <v>697</v>
      </c>
      <c r="B68" s="41" t="s">
        <v>693</v>
      </c>
      <c r="C68" s="41" t="s">
        <v>669</v>
      </c>
      <c r="D68" s="41" t="s">
        <v>99</v>
      </c>
      <c r="E68" s="41" t="s">
        <v>508</v>
      </c>
      <c r="F68" s="41" t="s">
        <v>1350</v>
      </c>
      <c r="G68" s="83">
        <f>1999.2/7</f>
        <v>285.60000000000002</v>
      </c>
      <c r="J68" s="84"/>
      <c r="K68" s="41"/>
      <c r="L68" s="41"/>
      <c r="M68" s="70">
        <f t="shared" si="10"/>
        <v>0</v>
      </c>
      <c r="N68" s="41">
        <v>22500</v>
      </c>
      <c r="O68" s="41">
        <v>1</v>
      </c>
      <c r="P68" s="70">
        <f t="shared" si="11"/>
        <v>7775460.0000000019</v>
      </c>
      <c r="Q68" s="41"/>
      <c r="R68" s="41"/>
      <c r="S68" s="70">
        <f t="shared" si="12"/>
        <v>0</v>
      </c>
      <c r="T68" s="41"/>
      <c r="U68" s="41"/>
      <c r="V68" s="70">
        <f t="shared" si="13"/>
        <v>0</v>
      </c>
      <c r="W68" s="41"/>
      <c r="X68" s="41"/>
      <c r="Y68" s="70">
        <f t="shared" si="14"/>
        <v>0</v>
      </c>
      <c r="Z68" s="41"/>
      <c r="AA68" s="41"/>
      <c r="AB68" s="70">
        <f t="shared" si="15"/>
        <v>0</v>
      </c>
      <c r="AC68" s="41"/>
      <c r="AD68" s="41"/>
      <c r="AE68" s="70">
        <f t="shared" si="16"/>
        <v>0</v>
      </c>
      <c r="AF68" s="28">
        <f t="shared" si="17"/>
        <v>7775460.0000000019</v>
      </c>
      <c r="AG68" s="28">
        <f t="shared" si="18"/>
        <v>7548.9902912621374</v>
      </c>
    </row>
    <row r="69" spans="1:33" ht="57.6" x14ac:dyDescent="0.3">
      <c r="A69" s="41" t="s">
        <v>697</v>
      </c>
      <c r="B69" s="41" t="s">
        <v>693</v>
      </c>
      <c r="C69" s="41" t="s">
        <v>669</v>
      </c>
      <c r="D69" s="41" t="s">
        <v>99</v>
      </c>
      <c r="E69" s="41" t="s">
        <v>509</v>
      </c>
      <c r="F69" s="41" t="s">
        <v>709</v>
      </c>
      <c r="G69" s="83">
        <v>35000</v>
      </c>
      <c r="J69" s="84"/>
      <c r="K69" s="41"/>
      <c r="L69" s="41"/>
      <c r="M69" s="70">
        <f t="shared" si="10"/>
        <v>0</v>
      </c>
      <c r="N69" s="41">
        <v>30</v>
      </c>
      <c r="O69" s="41">
        <v>1</v>
      </c>
      <c r="P69" s="70">
        <f t="shared" si="11"/>
        <v>1270500.0000000002</v>
      </c>
      <c r="Q69" s="41">
        <v>0</v>
      </c>
      <c r="R69" s="41">
        <v>0</v>
      </c>
      <c r="S69" s="70">
        <f t="shared" si="12"/>
        <v>0</v>
      </c>
      <c r="T69" s="41">
        <v>0</v>
      </c>
      <c r="U69" s="41">
        <v>0</v>
      </c>
      <c r="V69" s="70">
        <f t="shared" si="13"/>
        <v>0</v>
      </c>
      <c r="W69" s="41">
        <v>0</v>
      </c>
      <c r="X69" s="41">
        <v>0</v>
      </c>
      <c r="Y69" s="70">
        <f t="shared" si="14"/>
        <v>0</v>
      </c>
      <c r="Z69" s="41">
        <v>0</v>
      </c>
      <c r="AA69" s="41">
        <v>0</v>
      </c>
      <c r="AB69" s="70">
        <f t="shared" si="15"/>
        <v>0</v>
      </c>
      <c r="AC69" s="41">
        <v>0</v>
      </c>
      <c r="AD69" s="41">
        <v>0</v>
      </c>
      <c r="AE69" s="70">
        <f t="shared" si="16"/>
        <v>0</v>
      </c>
      <c r="AF69" s="28">
        <f t="shared" si="17"/>
        <v>1270500.0000000002</v>
      </c>
      <c r="AG69" s="28">
        <f t="shared" si="18"/>
        <v>1233.4951456310682</v>
      </c>
    </row>
    <row r="70" spans="1:33" ht="57.6" x14ac:dyDescent="0.3">
      <c r="A70" s="41" t="s">
        <v>697</v>
      </c>
      <c r="B70" s="41" t="s">
        <v>693</v>
      </c>
      <c r="C70" s="41" t="s">
        <v>669</v>
      </c>
      <c r="D70" s="41" t="s">
        <v>99</v>
      </c>
      <c r="E70" s="41" t="s">
        <v>510</v>
      </c>
      <c r="F70" s="41" t="s">
        <v>709</v>
      </c>
      <c r="G70" s="83">
        <v>35000</v>
      </c>
      <c r="J70" s="84"/>
      <c r="K70" s="41"/>
      <c r="L70" s="41"/>
      <c r="M70" s="70">
        <f t="shared" si="10"/>
        <v>0</v>
      </c>
      <c r="N70" s="41">
        <v>30</v>
      </c>
      <c r="O70" s="41">
        <v>1</v>
      </c>
      <c r="P70" s="70">
        <f t="shared" si="11"/>
        <v>1270500.0000000002</v>
      </c>
      <c r="Q70" s="41">
        <v>0</v>
      </c>
      <c r="R70" s="41">
        <v>0</v>
      </c>
      <c r="S70" s="70">
        <f t="shared" si="12"/>
        <v>0</v>
      </c>
      <c r="T70" s="41">
        <v>0</v>
      </c>
      <c r="U70" s="41">
        <v>0</v>
      </c>
      <c r="V70" s="70">
        <f t="shared" si="13"/>
        <v>0</v>
      </c>
      <c r="W70" s="41">
        <v>0</v>
      </c>
      <c r="X70" s="41">
        <v>0</v>
      </c>
      <c r="Y70" s="70">
        <f t="shared" si="14"/>
        <v>0</v>
      </c>
      <c r="Z70" s="41">
        <v>0</v>
      </c>
      <c r="AA70" s="41">
        <v>0</v>
      </c>
      <c r="AB70" s="70">
        <f t="shared" si="15"/>
        <v>0</v>
      </c>
      <c r="AC70" s="41">
        <v>0</v>
      </c>
      <c r="AD70" s="41">
        <v>0</v>
      </c>
      <c r="AE70" s="70">
        <f t="shared" si="16"/>
        <v>0</v>
      </c>
      <c r="AF70" s="28">
        <f t="shared" si="17"/>
        <v>1270500.0000000002</v>
      </c>
      <c r="AG70" s="28">
        <f t="shared" si="18"/>
        <v>1233.4951456310682</v>
      </c>
    </row>
    <row r="71" spans="1:33" ht="57.6" x14ac:dyDescent="0.3">
      <c r="A71" s="41" t="s">
        <v>697</v>
      </c>
      <c r="B71" s="41" t="s">
        <v>693</v>
      </c>
      <c r="C71" s="41" t="s">
        <v>669</v>
      </c>
      <c r="D71" s="41" t="s">
        <v>99</v>
      </c>
      <c r="E71" s="41" t="s">
        <v>511</v>
      </c>
      <c r="F71" s="41" t="s">
        <v>718</v>
      </c>
      <c r="G71" s="83">
        <v>0</v>
      </c>
      <c r="J71" s="84"/>
      <c r="K71" s="41"/>
      <c r="L71" s="41"/>
      <c r="M71" s="70">
        <f t="shared" si="10"/>
        <v>0</v>
      </c>
      <c r="N71" s="41">
        <v>0</v>
      </c>
      <c r="O71" s="41">
        <v>0</v>
      </c>
      <c r="P71" s="70">
        <f t="shared" si="11"/>
        <v>0</v>
      </c>
      <c r="Q71" s="41">
        <v>0</v>
      </c>
      <c r="R71" s="41">
        <v>0</v>
      </c>
      <c r="S71" s="70">
        <f t="shared" si="12"/>
        <v>0</v>
      </c>
      <c r="T71" s="41">
        <v>0</v>
      </c>
      <c r="U71" s="41">
        <v>0</v>
      </c>
      <c r="V71" s="70">
        <f t="shared" si="13"/>
        <v>0</v>
      </c>
      <c r="W71" s="41">
        <v>0</v>
      </c>
      <c r="X71" s="41">
        <v>0</v>
      </c>
      <c r="Y71" s="70">
        <f t="shared" si="14"/>
        <v>0</v>
      </c>
      <c r="Z71" s="41">
        <v>0</v>
      </c>
      <c r="AA71" s="41">
        <v>0</v>
      </c>
      <c r="AB71" s="70">
        <f t="shared" si="15"/>
        <v>0</v>
      </c>
      <c r="AC71" s="41">
        <v>0</v>
      </c>
      <c r="AD71" s="41">
        <v>0</v>
      </c>
      <c r="AE71" s="70">
        <f t="shared" si="16"/>
        <v>0</v>
      </c>
      <c r="AF71" s="28">
        <f t="shared" si="17"/>
        <v>0</v>
      </c>
      <c r="AG71" s="28">
        <f t="shared" si="18"/>
        <v>0</v>
      </c>
    </row>
    <row r="72" spans="1:33" ht="57.6" x14ac:dyDescent="0.3">
      <c r="A72" s="41" t="s">
        <v>697</v>
      </c>
      <c r="B72" s="41" t="s">
        <v>693</v>
      </c>
      <c r="C72" s="41" t="s">
        <v>669</v>
      </c>
      <c r="D72" s="41" t="s">
        <v>100</v>
      </c>
      <c r="E72" s="41" t="s">
        <v>214</v>
      </c>
      <c r="F72" s="41" t="s">
        <v>718</v>
      </c>
      <c r="G72" s="83">
        <v>0</v>
      </c>
      <c r="J72" s="84"/>
      <c r="K72" s="41">
        <v>0</v>
      </c>
      <c r="L72" s="41">
        <v>0</v>
      </c>
      <c r="M72" s="70">
        <f t="shared" si="10"/>
        <v>0</v>
      </c>
      <c r="N72" s="41">
        <v>0</v>
      </c>
      <c r="O72" s="41">
        <v>0</v>
      </c>
      <c r="P72" s="70">
        <f t="shared" si="11"/>
        <v>0</v>
      </c>
      <c r="Q72" s="41">
        <v>0</v>
      </c>
      <c r="R72" s="41">
        <v>0</v>
      </c>
      <c r="S72" s="70">
        <f t="shared" si="12"/>
        <v>0</v>
      </c>
      <c r="T72" s="41">
        <v>0</v>
      </c>
      <c r="U72" s="41">
        <v>0</v>
      </c>
      <c r="V72" s="70">
        <f t="shared" si="13"/>
        <v>0</v>
      </c>
      <c r="W72" s="41">
        <v>0</v>
      </c>
      <c r="X72" s="41">
        <v>0</v>
      </c>
      <c r="Y72" s="70">
        <f t="shared" si="14"/>
        <v>0</v>
      </c>
      <c r="Z72" s="41">
        <v>0</v>
      </c>
      <c r="AA72" s="41">
        <v>0</v>
      </c>
      <c r="AB72" s="70">
        <f t="shared" si="15"/>
        <v>0</v>
      </c>
      <c r="AC72" s="41">
        <v>0</v>
      </c>
      <c r="AD72" s="41">
        <v>0</v>
      </c>
      <c r="AE72" s="70">
        <f t="shared" si="16"/>
        <v>0</v>
      </c>
      <c r="AF72" s="28">
        <f t="shared" si="17"/>
        <v>0</v>
      </c>
      <c r="AG72" s="28">
        <f t="shared" si="18"/>
        <v>0</v>
      </c>
    </row>
    <row r="73" spans="1:33" ht="57.6" x14ac:dyDescent="0.3">
      <c r="A73" s="41" t="s">
        <v>697</v>
      </c>
      <c r="B73" s="41" t="s">
        <v>693</v>
      </c>
      <c r="C73" s="41" t="s">
        <v>669</v>
      </c>
      <c r="D73" s="41" t="s">
        <v>100</v>
      </c>
      <c r="E73" s="41" t="s">
        <v>149</v>
      </c>
      <c r="F73" s="41" t="s">
        <v>707</v>
      </c>
      <c r="G73" s="83">
        <v>391991.03749999998</v>
      </c>
      <c r="H73" s="41"/>
      <c r="I73" s="41"/>
      <c r="J73" s="83"/>
      <c r="K73" s="41">
        <v>2</v>
      </c>
      <c r="L73" s="41">
        <v>2</v>
      </c>
      <c r="M73" s="70">
        <f t="shared" si="10"/>
        <v>1724760.5649999999</v>
      </c>
      <c r="N73" s="41">
        <v>0</v>
      </c>
      <c r="O73" s="41">
        <v>0</v>
      </c>
      <c r="P73" s="70">
        <f t="shared" si="11"/>
        <v>0</v>
      </c>
      <c r="Q73" s="41">
        <v>0</v>
      </c>
      <c r="R73" s="41">
        <v>0</v>
      </c>
      <c r="S73" s="70">
        <f t="shared" si="12"/>
        <v>0</v>
      </c>
      <c r="T73" s="41">
        <v>0</v>
      </c>
      <c r="U73" s="41">
        <v>0</v>
      </c>
      <c r="V73" s="70">
        <f t="shared" si="13"/>
        <v>0</v>
      </c>
      <c r="W73" s="41">
        <v>0</v>
      </c>
      <c r="X73" s="41">
        <v>0</v>
      </c>
      <c r="Y73" s="70">
        <f t="shared" si="14"/>
        <v>0</v>
      </c>
      <c r="Z73" s="41">
        <v>0</v>
      </c>
      <c r="AA73" s="41">
        <v>0</v>
      </c>
      <c r="AB73" s="70">
        <f t="shared" si="15"/>
        <v>0</v>
      </c>
      <c r="AC73" s="41">
        <v>0</v>
      </c>
      <c r="AD73" s="41">
        <v>0</v>
      </c>
      <c r="AE73" s="70">
        <f t="shared" si="16"/>
        <v>0</v>
      </c>
      <c r="AF73" s="28">
        <f t="shared" si="17"/>
        <v>1724760.5649999999</v>
      </c>
      <c r="AG73" s="28">
        <f t="shared" si="18"/>
        <v>1674.5248203883496</v>
      </c>
    </row>
    <row r="74" spans="1:33" ht="57.6" x14ac:dyDescent="0.3">
      <c r="A74" s="41" t="s">
        <v>697</v>
      </c>
      <c r="B74" s="41" t="s">
        <v>693</v>
      </c>
      <c r="C74" s="41" t="s">
        <v>669</v>
      </c>
      <c r="D74" s="41" t="s">
        <v>100</v>
      </c>
      <c r="E74" s="41" t="s">
        <v>149</v>
      </c>
      <c r="F74" s="41" t="s">
        <v>708</v>
      </c>
      <c r="G74" s="83">
        <f>500*1030</f>
        <v>515000</v>
      </c>
      <c r="H74" s="41"/>
      <c r="I74" s="41"/>
      <c r="J74" s="83"/>
      <c r="K74" s="41">
        <v>1</v>
      </c>
      <c r="L74" s="41">
        <v>25</v>
      </c>
      <c r="M74" s="70">
        <f t="shared" si="10"/>
        <v>14162500</v>
      </c>
      <c r="N74" s="41">
        <v>0</v>
      </c>
      <c r="O74" s="41">
        <v>0</v>
      </c>
      <c r="P74" s="70">
        <f t="shared" si="11"/>
        <v>0</v>
      </c>
      <c r="Q74" s="41">
        <v>0</v>
      </c>
      <c r="R74" s="41">
        <v>0</v>
      </c>
      <c r="S74" s="70">
        <f t="shared" si="12"/>
        <v>0</v>
      </c>
      <c r="T74" s="41">
        <v>0</v>
      </c>
      <c r="U74" s="41">
        <v>0</v>
      </c>
      <c r="V74" s="70">
        <f t="shared" si="13"/>
        <v>0</v>
      </c>
      <c r="W74" s="41">
        <v>0</v>
      </c>
      <c r="X74" s="41">
        <v>0</v>
      </c>
      <c r="Y74" s="70">
        <f t="shared" si="14"/>
        <v>0</v>
      </c>
      <c r="Z74" s="41">
        <v>0</v>
      </c>
      <c r="AA74" s="41">
        <v>0</v>
      </c>
      <c r="AB74" s="70">
        <f t="shared" si="15"/>
        <v>0</v>
      </c>
      <c r="AC74" s="41">
        <v>0</v>
      </c>
      <c r="AD74" s="41">
        <v>0</v>
      </c>
      <c r="AE74" s="70">
        <f t="shared" si="16"/>
        <v>0</v>
      </c>
      <c r="AF74" s="28">
        <f t="shared" si="17"/>
        <v>14162500</v>
      </c>
      <c r="AG74" s="28">
        <f t="shared" si="18"/>
        <v>13750</v>
      </c>
    </row>
    <row r="75" spans="1:33" ht="57.6" x14ac:dyDescent="0.3">
      <c r="A75" s="41" t="s">
        <v>697</v>
      </c>
      <c r="B75" s="41" t="s">
        <v>693</v>
      </c>
      <c r="C75" s="41" t="s">
        <v>669</v>
      </c>
      <c r="D75" s="41" t="s">
        <v>100</v>
      </c>
      <c r="E75" s="41" t="s">
        <v>512</v>
      </c>
      <c r="F75" s="41" t="s">
        <v>718</v>
      </c>
      <c r="G75" s="83">
        <v>0</v>
      </c>
      <c r="H75" s="41">
        <v>0</v>
      </c>
      <c r="I75" s="41">
        <v>0</v>
      </c>
      <c r="J75" s="83">
        <f t="shared" si="1"/>
        <v>0</v>
      </c>
      <c r="K75" s="41"/>
      <c r="L75" s="41"/>
      <c r="M75" s="70">
        <f t="shared" si="10"/>
        <v>0</v>
      </c>
      <c r="N75" s="41">
        <v>0</v>
      </c>
      <c r="O75" s="41">
        <v>0</v>
      </c>
      <c r="P75" s="70">
        <f t="shared" si="11"/>
        <v>0</v>
      </c>
      <c r="Q75" s="41">
        <v>0</v>
      </c>
      <c r="R75" s="41">
        <v>0</v>
      </c>
      <c r="S75" s="70">
        <f t="shared" si="12"/>
        <v>0</v>
      </c>
      <c r="T75" s="41">
        <v>0</v>
      </c>
      <c r="U75" s="41">
        <v>0</v>
      </c>
      <c r="V75" s="70">
        <f t="shared" si="13"/>
        <v>0</v>
      </c>
      <c r="W75" s="41">
        <v>0</v>
      </c>
      <c r="X75" s="41">
        <v>0</v>
      </c>
      <c r="Y75" s="70">
        <f t="shared" si="14"/>
        <v>0</v>
      </c>
      <c r="Z75" s="41">
        <v>0</v>
      </c>
      <c r="AA75" s="41">
        <v>0</v>
      </c>
      <c r="AB75" s="70">
        <f t="shared" si="15"/>
        <v>0</v>
      </c>
      <c r="AC75" s="41">
        <v>0</v>
      </c>
      <c r="AD75" s="41">
        <v>0</v>
      </c>
      <c r="AE75" s="70">
        <f t="shared" si="16"/>
        <v>0</v>
      </c>
      <c r="AF75" s="28">
        <f t="shared" si="17"/>
        <v>0</v>
      </c>
      <c r="AG75" s="28">
        <f t="shared" si="18"/>
        <v>0</v>
      </c>
    </row>
    <row r="76" spans="1:33" ht="57.6" x14ac:dyDescent="0.3">
      <c r="A76" s="41" t="s">
        <v>697</v>
      </c>
      <c r="B76" s="41" t="s">
        <v>693</v>
      </c>
      <c r="C76" s="41" t="s">
        <v>669</v>
      </c>
      <c r="D76" s="41" t="s">
        <v>100</v>
      </c>
      <c r="E76" s="41" t="s">
        <v>513</v>
      </c>
      <c r="F76" s="41" t="s">
        <v>709</v>
      </c>
      <c r="G76" s="83">
        <v>35000</v>
      </c>
      <c r="J76" s="84"/>
      <c r="K76" s="41">
        <v>100</v>
      </c>
      <c r="L76" s="41">
        <v>5</v>
      </c>
      <c r="M76" s="70">
        <f t="shared" si="10"/>
        <v>19250000</v>
      </c>
      <c r="N76" s="41">
        <v>0</v>
      </c>
      <c r="O76" s="41">
        <v>0</v>
      </c>
      <c r="P76" s="70">
        <f t="shared" si="11"/>
        <v>0</v>
      </c>
      <c r="Q76" s="41">
        <v>0</v>
      </c>
      <c r="R76" s="41">
        <v>0</v>
      </c>
      <c r="S76" s="70">
        <f t="shared" si="12"/>
        <v>0</v>
      </c>
      <c r="T76" s="41">
        <v>0</v>
      </c>
      <c r="U76" s="41">
        <v>0</v>
      </c>
      <c r="V76" s="70">
        <f t="shared" si="13"/>
        <v>0</v>
      </c>
      <c r="W76" s="41">
        <v>0</v>
      </c>
      <c r="X76" s="41">
        <v>0</v>
      </c>
      <c r="Y76" s="70">
        <f t="shared" si="14"/>
        <v>0</v>
      </c>
      <c r="Z76" s="41">
        <v>0</v>
      </c>
      <c r="AA76" s="41">
        <v>0</v>
      </c>
      <c r="AB76" s="70">
        <f t="shared" si="15"/>
        <v>0</v>
      </c>
      <c r="AC76" s="41">
        <v>0</v>
      </c>
      <c r="AD76" s="41">
        <v>0</v>
      </c>
      <c r="AE76" s="70">
        <f t="shared" si="16"/>
        <v>0</v>
      </c>
      <c r="AF76" s="28">
        <f t="shared" si="17"/>
        <v>19250000</v>
      </c>
      <c r="AG76" s="28">
        <f t="shared" si="18"/>
        <v>18689.320388349515</v>
      </c>
    </row>
    <row r="77" spans="1:33" ht="57.6" x14ac:dyDescent="0.3">
      <c r="A77" s="41" t="s">
        <v>697</v>
      </c>
      <c r="B77" s="41" t="s">
        <v>693</v>
      </c>
      <c r="C77" s="41" t="s">
        <v>669</v>
      </c>
      <c r="D77" s="41" t="s">
        <v>100</v>
      </c>
      <c r="E77" s="41" t="s">
        <v>513</v>
      </c>
      <c r="F77" s="41" t="s">
        <v>716</v>
      </c>
      <c r="G77" s="83">
        <v>39000</v>
      </c>
      <c r="J77" s="84"/>
      <c r="K77" s="41">
        <v>58</v>
      </c>
      <c r="L77" s="41">
        <v>6</v>
      </c>
      <c r="M77" s="70">
        <f t="shared" si="10"/>
        <v>14929200</v>
      </c>
      <c r="N77" s="41">
        <v>0</v>
      </c>
      <c r="O77" s="41">
        <v>0</v>
      </c>
      <c r="P77" s="70">
        <f t="shared" si="11"/>
        <v>0</v>
      </c>
      <c r="Q77" s="41">
        <v>0</v>
      </c>
      <c r="R77" s="41">
        <v>0</v>
      </c>
      <c r="S77" s="70">
        <f t="shared" si="12"/>
        <v>0</v>
      </c>
      <c r="T77" s="41">
        <v>0</v>
      </c>
      <c r="U77" s="41">
        <v>0</v>
      </c>
      <c r="V77" s="70">
        <f t="shared" si="13"/>
        <v>0</v>
      </c>
      <c r="W77" s="41">
        <v>0</v>
      </c>
      <c r="X77" s="41">
        <v>0</v>
      </c>
      <c r="Y77" s="70">
        <f t="shared" si="14"/>
        <v>0</v>
      </c>
      <c r="Z77" s="41">
        <v>0</v>
      </c>
      <c r="AA77" s="41">
        <v>0</v>
      </c>
      <c r="AB77" s="70">
        <f t="shared" si="15"/>
        <v>0</v>
      </c>
      <c r="AC77" s="41">
        <v>0</v>
      </c>
      <c r="AD77" s="41">
        <v>0</v>
      </c>
      <c r="AE77" s="70">
        <f t="shared" si="16"/>
        <v>0</v>
      </c>
      <c r="AF77" s="28">
        <f t="shared" si="17"/>
        <v>14929200</v>
      </c>
      <c r="AG77" s="28">
        <f t="shared" si="18"/>
        <v>14494.368932038835</v>
      </c>
    </row>
    <row r="78" spans="1:33" ht="57.6" x14ac:dyDescent="0.3">
      <c r="A78" s="41" t="s">
        <v>697</v>
      </c>
      <c r="B78" s="41" t="s">
        <v>693</v>
      </c>
      <c r="C78" s="41" t="s">
        <v>669</v>
      </c>
      <c r="D78" s="41" t="s">
        <v>100</v>
      </c>
      <c r="E78" s="41" t="s">
        <v>513</v>
      </c>
      <c r="F78" s="41" t="s">
        <v>712</v>
      </c>
      <c r="G78" s="83">
        <f>1999.2/7</f>
        <v>285.60000000000002</v>
      </c>
      <c r="J78" s="84"/>
      <c r="K78" s="41">
        <f>25*2*29</f>
        <v>1450</v>
      </c>
      <c r="L78" s="41">
        <v>5</v>
      </c>
      <c r="M78" s="70">
        <f t="shared" si="10"/>
        <v>2277660.0000000005</v>
      </c>
      <c r="N78" s="41">
        <v>0</v>
      </c>
      <c r="O78" s="41">
        <v>0</v>
      </c>
      <c r="P78" s="70">
        <f t="shared" si="11"/>
        <v>0</v>
      </c>
      <c r="Q78" s="41">
        <v>0</v>
      </c>
      <c r="R78" s="41">
        <v>0</v>
      </c>
      <c r="S78" s="70">
        <f t="shared" si="12"/>
        <v>0</v>
      </c>
      <c r="T78" s="41">
        <v>0</v>
      </c>
      <c r="U78" s="41">
        <v>0</v>
      </c>
      <c r="V78" s="70">
        <f t="shared" si="13"/>
        <v>0</v>
      </c>
      <c r="W78" s="41">
        <v>0</v>
      </c>
      <c r="X78" s="41">
        <v>0</v>
      </c>
      <c r="Y78" s="70">
        <f t="shared" si="14"/>
        <v>0</v>
      </c>
      <c r="Z78" s="41">
        <v>0</v>
      </c>
      <c r="AA78" s="41">
        <v>0</v>
      </c>
      <c r="AB78" s="70">
        <f t="shared" si="15"/>
        <v>0</v>
      </c>
      <c r="AC78" s="41">
        <v>0</v>
      </c>
      <c r="AD78" s="41">
        <v>0</v>
      </c>
      <c r="AE78" s="70">
        <f t="shared" si="16"/>
        <v>0</v>
      </c>
      <c r="AF78" s="28">
        <f t="shared" si="17"/>
        <v>2277660.0000000005</v>
      </c>
      <c r="AG78" s="28">
        <f t="shared" si="18"/>
        <v>2211.3203883495148</v>
      </c>
    </row>
    <row r="79" spans="1:33" ht="57.6" x14ac:dyDescent="0.3">
      <c r="A79" s="41" t="s">
        <v>697</v>
      </c>
      <c r="B79" s="41" t="s">
        <v>693</v>
      </c>
      <c r="C79" s="41" t="s">
        <v>669</v>
      </c>
      <c r="D79" s="41" t="s">
        <v>100</v>
      </c>
      <c r="E79" s="41" t="s">
        <v>513</v>
      </c>
      <c r="F79" s="41" t="s">
        <v>1350</v>
      </c>
      <c r="G79" s="83">
        <f>1999.2/7</f>
        <v>285.60000000000002</v>
      </c>
      <c r="J79" s="84"/>
      <c r="K79" s="41">
        <v>22500</v>
      </c>
      <c r="L79" s="41">
        <v>1</v>
      </c>
      <c r="M79" s="70">
        <f t="shared" si="10"/>
        <v>7068600.0000000009</v>
      </c>
      <c r="N79" s="41">
        <v>0</v>
      </c>
      <c r="O79" s="41">
        <v>0</v>
      </c>
      <c r="P79" s="70">
        <f t="shared" si="11"/>
        <v>0</v>
      </c>
      <c r="Q79" s="41">
        <v>0</v>
      </c>
      <c r="R79" s="41">
        <v>0</v>
      </c>
      <c r="S79" s="70">
        <f t="shared" si="12"/>
        <v>0</v>
      </c>
      <c r="T79" s="41">
        <v>0</v>
      </c>
      <c r="U79" s="41">
        <v>0</v>
      </c>
      <c r="V79" s="70">
        <f t="shared" si="13"/>
        <v>0</v>
      </c>
      <c r="W79" s="41">
        <v>0</v>
      </c>
      <c r="X79" s="41">
        <v>0</v>
      </c>
      <c r="Y79" s="70">
        <f t="shared" si="14"/>
        <v>0</v>
      </c>
      <c r="Z79" s="41">
        <v>0</v>
      </c>
      <c r="AA79" s="41">
        <v>0</v>
      </c>
      <c r="AB79" s="70">
        <f t="shared" si="15"/>
        <v>0</v>
      </c>
      <c r="AC79" s="41">
        <v>0</v>
      </c>
      <c r="AD79" s="41">
        <v>0</v>
      </c>
      <c r="AE79" s="70">
        <f t="shared" si="16"/>
        <v>0</v>
      </c>
      <c r="AF79" s="28">
        <f t="shared" si="17"/>
        <v>7068600.0000000009</v>
      </c>
      <c r="AG79" s="28">
        <f t="shared" si="18"/>
        <v>6862.7184466019426</v>
      </c>
    </row>
    <row r="80" spans="1:33" ht="57.6" x14ac:dyDescent="0.3">
      <c r="A80" s="41" t="s">
        <v>697</v>
      </c>
      <c r="B80" s="41" t="s">
        <v>693</v>
      </c>
      <c r="C80" s="41" t="s">
        <v>669</v>
      </c>
      <c r="D80" s="41" t="s">
        <v>100</v>
      </c>
      <c r="E80" s="41" t="s">
        <v>514</v>
      </c>
      <c r="F80" s="41" t="s">
        <v>709</v>
      </c>
      <c r="G80" s="83">
        <v>35000</v>
      </c>
      <c r="J80" s="84"/>
      <c r="K80" s="41">
        <v>30</v>
      </c>
      <c r="L80" s="41">
        <v>1</v>
      </c>
      <c r="M80" s="70">
        <f t="shared" si="10"/>
        <v>1155000</v>
      </c>
      <c r="N80" s="41">
        <v>0</v>
      </c>
      <c r="O80" s="41">
        <v>0</v>
      </c>
      <c r="P80" s="70">
        <f t="shared" si="11"/>
        <v>0</v>
      </c>
      <c r="Q80" s="41">
        <v>0</v>
      </c>
      <c r="R80" s="41">
        <v>0</v>
      </c>
      <c r="S80" s="70">
        <f t="shared" si="12"/>
        <v>0</v>
      </c>
      <c r="T80" s="41">
        <v>0</v>
      </c>
      <c r="U80" s="41">
        <v>0</v>
      </c>
      <c r="V80" s="70">
        <f t="shared" si="13"/>
        <v>0</v>
      </c>
      <c r="W80" s="41">
        <v>0</v>
      </c>
      <c r="X80" s="41">
        <v>0</v>
      </c>
      <c r="Y80" s="70">
        <f t="shared" si="14"/>
        <v>0</v>
      </c>
      <c r="Z80" s="41">
        <v>0</v>
      </c>
      <c r="AA80" s="41">
        <v>0</v>
      </c>
      <c r="AB80" s="70">
        <f t="shared" si="15"/>
        <v>0</v>
      </c>
      <c r="AC80" s="41">
        <v>0</v>
      </c>
      <c r="AD80" s="41">
        <v>0</v>
      </c>
      <c r="AE80" s="70">
        <f t="shared" si="16"/>
        <v>0</v>
      </c>
      <c r="AF80" s="28">
        <f t="shared" si="17"/>
        <v>1155000</v>
      </c>
      <c r="AG80" s="28">
        <f t="shared" si="18"/>
        <v>1121.3592233009708</v>
      </c>
    </row>
    <row r="81" spans="1:37" ht="57.6" x14ac:dyDescent="0.3">
      <c r="A81" s="41" t="s">
        <v>697</v>
      </c>
      <c r="B81" s="41" t="s">
        <v>693</v>
      </c>
      <c r="C81" s="41" t="s">
        <v>669</v>
      </c>
      <c r="D81" s="41" t="s">
        <v>100</v>
      </c>
      <c r="E81" s="41" t="s">
        <v>515</v>
      </c>
      <c r="F81" s="41" t="s">
        <v>709</v>
      </c>
      <c r="G81" s="83">
        <v>35000</v>
      </c>
      <c r="J81" s="84"/>
      <c r="K81" s="41">
        <v>25</v>
      </c>
      <c r="L81" s="41">
        <v>1</v>
      </c>
      <c r="M81" s="70">
        <f t="shared" si="10"/>
        <v>962500</v>
      </c>
      <c r="N81" s="41">
        <v>0</v>
      </c>
      <c r="O81" s="41">
        <v>0</v>
      </c>
      <c r="P81" s="70">
        <f t="shared" si="11"/>
        <v>0</v>
      </c>
      <c r="Q81" s="41">
        <v>0</v>
      </c>
      <c r="R81" s="41">
        <v>0</v>
      </c>
      <c r="S81" s="70">
        <f t="shared" si="12"/>
        <v>0</v>
      </c>
      <c r="T81" s="41">
        <v>0</v>
      </c>
      <c r="U81" s="41">
        <v>0</v>
      </c>
      <c r="V81" s="70">
        <f t="shared" si="13"/>
        <v>0</v>
      </c>
      <c r="W81" s="41">
        <v>0</v>
      </c>
      <c r="X81" s="41">
        <v>0</v>
      </c>
      <c r="Y81" s="70">
        <f t="shared" si="14"/>
        <v>0</v>
      </c>
      <c r="Z81" s="41">
        <v>0</v>
      </c>
      <c r="AA81" s="41">
        <v>0</v>
      </c>
      <c r="AB81" s="70">
        <f t="shared" si="15"/>
        <v>0</v>
      </c>
      <c r="AC81" s="41">
        <v>0</v>
      </c>
      <c r="AD81" s="41">
        <v>0</v>
      </c>
      <c r="AE81" s="70">
        <f t="shared" si="16"/>
        <v>0</v>
      </c>
      <c r="AF81" s="28">
        <f t="shared" si="17"/>
        <v>962500</v>
      </c>
      <c r="AG81" s="28">
        <f t="shared" si="18"/>
        <v>934.46601941747576</v>
      </c>
    </row>
    <row r="82" spans="1:37" ht="57.6" x14ac:dyDescent="0.3">
      <c r="A82" s="41" t="s">
        <v>697</v>
      </c>
      <c r="B82" s="41" t="s">
        <v>693</v>
      </c>
      <c r="C82" s="41" t="s">
        <v>669</v>
      </c>
      <c r="D82" s="41" t="s">
        <v>100</v>
      </c>
      <c r="E82" s="41" t="s">
        <v>516</v>
      </c>
      <c r="F82" s="41" t="s">
        <v>718</v>
      </c>
      <c r="G82" s="83">
        <v>0</v>
      </c>
      <c r="H82" s="41">
        <v>0</v>
      </c>
      <c r="I82" s="41">
        <v>0</v>
      </c>
      <c r="J82" s="83">
        <f>H82*I82*G82</f>
        <v>0</v>
      </c>
      <c r="K82" s="41">
        <v>0</v>
      </c>
      <c r="L82" s="41">
        <v>0</v>
      </c>
      <c r="M82" s="70">
        <f t="shared" si="10"/>
        <v>0</v>
      </c>
      <c r="N82" s="41">
        <v>0</v>
      </c>
      <c r="O82" s="41">
        <v>0</v>
      </c>
      <c r="P82" s="70">
        <f t="shared" si="11"/>
        <v>0</v>
      </c>
      <c r="Q82" s="41">
        <v>0</v>
      </c>
      <c r="R82" s="41">
        <v>0</v>
      </c>
      <c r="S82" s="70">
        <f t="shared" si="12"/>
        <v>0</v>
      </c>
      <c r="T82" s="41">
        <v>0</v>
      </c>
      <c r="U82" s="41">
        <v>0</v>
      </c>
      <c r="V82" s="70">
        <f t="shared" si="13"/>
        <v>0</v>
      </c>
      <c r="W82" s="41">
        <v>0</v>
      </c>
      <c r="X82" s="41">
        <v>0</v>
      </c>
      <c r="Y82" s="70">
        <f t="shared" si="14"/>
        <v>0</v>
      </c>
      <c r="Z82" s="41">
        <v>0</v>
      </c>
      <c r="AA82" s="41">
        <v>0</v>
      </c>
      <c r="AB82" s="70">
        <f t="shared" si="15"/>
        <v>0</v>
      </c>
      <c r="AC82" s="41">
        <v>0</v>
      </c>
      <c r="AD82" s="41">
        <v>0</v>
      </c>
      <c r="AE82" s="70">
        <f t="shared" si="16"/>
        <v>0</v>
      </c>
      <c r="AF82" s="28">
        <f t="shared" si="17"/>
        <v>0</v>
      </c>
      <c r="AG82" s="28">
        <f t="shared" si="18"/>
        <v>0</v>
      </c>
    </row>
    <row r="83" spans="1:37" ht="57.6" x14ac:dyDescent="0.3">
      <c r="A83" s="41" t="s">
        <v>697</v>
      </c>
      <c r="B83" s="41" t="s">
        <v>693</v>
      </c>
      <c r="C83" s="41" t="s">
        <v>669</v>
      </c>
      <c r="D83" s="41" t="s">
        <v>101</v>
      </c>
      <c r="E83" s="41" t="s">
        <v>517</v>
      </c>
      <c r="F83" s="41" t="s">
        <v>718</v>
      </c>
      <c r="G83" s="83">
        <v>0</v>
      </c>
      <c r="H83" s="41">
        <v>0</v>
      </c>
      <c r="I83" s="41">
        <v>0</v>
      </c>
      <c r="J83" s="83">
        <f>H83*I83*G83</f>
        <v>0</v>
      </c>
      <c r="K83" s="41">
        <v>0</v>
      </c>
      <c r="L83" s="41">
        <v>0</v>
      </c>
      <c r="M83" s="70">
        <f t="shared" si="10"/>
        <v>0</v>
      </c>
      <c r="N83" s="41">
        <v>0</v>
      </c>
      <c r="O83" s="41">
        <v>0</v>
      </c>
      <c r="P83" s="70">
        <f t="shared" si="11"/>
        <v>0</v>
      </c>
      <c r="Q83" s="41">
        <v>0</v>
      </c>
      <c r="R83" s="41">
        <v>0</v>
      </c>
      <c r="S83" s="70">
        <f t="shared" si="12"/>
        <v>0</v>
      </c>
      <c r="T83" s="41">
        <v>0</v>
      </c>
      <c r="U83" s="41">
        <v>0</v>
      </c>
      <c r="V83" s="70">
        <f t="shared" si="13"/>
        <v>0</v>
      </c>
      <c r="W83" s="41">
        <v>0</v>
      </c>
      <c r="X83" s="41">
        <v>0</v>
      </c>
      <c r="Y83" s="70">
        <f t="shared" si="14"/>
        <v>0</v>
      </c>
      <c r="Z83" s="41">
        <v>0</v>
      </c>
      <c r="AA83" s="41">
        <v>0</v>
      </c>
      <c r="AB83" s="70">
        <f t="shared" si="15"/>
        <v>0</v>
      </c>
      <c r="AC83" s="41">
        <v>0</v>
      </c>
      <c r="AD83" s="41">
        <v>0</v>
      </c>
      <c r="AE83" s="70">
        <f t="shared" si="16"/>
        <v>0</v>
      </c>
      <c r="AF83" s="28">
        <f t="shared" si="17"/>
        <v>0</v>
      </c>
      <c r="AG83" s="28">
        <f t="shared" si="18"/>
        <v>0</v>
      </c>
    </row>
    <row r="84" spans="1:37" ht="57.6" x14ac:dyDescent="0.3">
      <c r="A84" s="41" t="s">
        <v>697</v>
      </c>
      <c r="B84" s="41" t="s">
        <v>693</v>
      </c>
      <c r="C84" s="41" t="s">
        <v>669</v>
      </c>
      <c r="D84" s="41" t="s">
        <v>101</v>
      </c>
      <c r="E84" s="41" t="s">
        <v>164</v>
      </c>
      <c r="F84" s="41" t="s">
        <v>718</v>
      </c>
      <c r="G84" s="83">
        <v>0</v>
      </c>
      <c r="H84" s="41">
        <v>0</v>
      </c>
      <c r="I84" s="41">
        <v>0</v>
      </c>
      <c r="J84" s="83">
        <f>H84*I84*G84</f>
        <v>0</v>
      </c>
      <c r="K84" s="41">
        <v>0</v>
      </c>
      <c r="L84" s="41">
        <v>0</v>
      </c>
      <c r="M84" s="70">
        <f t="shared" si="10"/>
        <v>0</v>
      </c>
      <c r="N84" s="41">
        <v>0</v>
      </c>
      <c r="O84" s="41">
        <v>0</v>
      </c>
      <c r="P84" s="70">
        <f t="shared" si="11"/>
        <v>0</v>
      </c>
      <c r="Q84" s="41">
        <v>0</v>
      </c>
      <c r="R84" s="41">
        <v>0</v>
      </c>
      <c r="S84" s="70">
        <f t="shared" si="12"/>
        <v>0</v>
      </c>
      <c r="T84" s="41">
        <v>0</v>
      </c>
      <c r="U84" s="41">
        <v>0</v>
      </c>
      <c r="V84" s="70">
        <f t="shared" si="13"/>
        <v>0</v>
      </c>
      <c r="W84" s="41">
        <v>0</v>
      </c>
      <c r="X84" s="41">
        <v>0</v>
      </c>
      <c r="Y84" s="70">
        <f t="shared" si="14"/>
        <v>0</v>
      </c>
      <c r="Z84" s="41">
        <v>0</v>
      </c>
      <c r="AA84" s="41">
        <v>0</v>
      </c>
      <c r="AB84" s="70">
        <f t="shared" si="15"/>
        <v>0</v>
      </c>
      <c r="AC84" s="41">
        <v>0</v>
      </c>
      <c r="AD84" s="41">
        <v>0</v>
      </c>
      <c r="AE84" s="70">
        <f t="shared" si="16"/>
        <v>0</v>
      </c>
      <c r="AF84" s="28">
        <f t="shared" si="17"/>
        <v>0</v>
      </c>
      <c r="AG84" s="28">
        <f t="shared" si="18"/>
        <v>0</v>
      </c>
    </row>
    <row r="85" spans="1:37" ht="57.6" x14ac:dyDescent="0.3">
      <c r="A85" s="41" t="s">
        <v>697</v>
      </c>
      <c r="B85" s="41" t="s">
        <v>693</v>
      </c>
      <c r="C85" s="41" t="s">
        <v>669</v>
      </c>
      <c r="D85" s="41" t="s">
        <v>101</v>
      </c>
      <c r="E85" s="41" t="s">
        <v>149</v>
      </c>
      <c r="F85" s="41" t="s">
        <v>707</v>
      </c>
      <c r="G85" s="83">
        <v>391991.03749999998</v>
      </c>
      <c r="J85" s="84"/>
      <c r="K85" s="41"/>
      <c r="L85" s="41"/>
      <c r="M85" s="70">
        <f t="shared" si="10"/>
        <v>0</v>
      </c>
      <c r="N85" s="41">
        <v>2</v>
      </c>
      <c r="O85" s="41">
        <v>2</v>
      </c>
      <c r="P85" s="70">
        <f t="shared" si="11"/>
        <v>1897236.6215000001</v>
      </c>
      <c r="Q85" s="41">
        <v>0</v>
      </c>
      <c r="R85" s="41">
        <v>0</v>
      </c>
      <c r="S85" s="70">
        <f t="shared" si="12"/>
        <v>0</v>
      </c>
      <c r="T85" s="41">
        <v>0</v>
      </c>
      <c r="U85" s="41">
        <v>0</v>
      </c>
      <c r="V85" s="70">
        <f t="shared" si="13"/>
        <v>0</v>
      </c>
      <c r="W85" s="41">
        <v>0</v>
      </c>
      <c r="X85" s="41">
        <v>0</v>
      </c>
      <c r="Y85" s="70">
        <f t="shared" si="14"/>
        <v>0</v>
      </c>
      <c r="Z85" s="41">
        <v>0</v>
      </c>
      <c r="AA85" s="41">
        <v>0</v>
      </c>
      <c r="AB85" s="70">
        <f t="shared" si="15"/>
        <v>0</v>
      </c>
      <c r="AC85" s="41">
        <v>0</v>
      </c>
      <c r="AD85" s="41">
        <v>0</v>
      </c>
      <c r="AE85" s="70">
        <f t="shared" si="16"/>
        <v>0</v>
      </c>
      <c r="AF85" s="28">
        <f t="shared" si="17"/>
        <v>1897236.6215000001</v>
      </c>
      <c r="AG85" s="28">
        <f t="shared" si="18"/>
        <v>1841.9773024271847</v>
      </c>
    </row>
    <row r="86" spans="1:37" ht="57.6" x14ac:dyDescent="0.3">
      <c r="A86" s="41" t="s">
        <v>697</v>
      </c>
      <c r="B86" s="41" t="s">
        <v>693</v>
      </c>
      <c r="C86" s="41" t="s">
        <v>669</v>
      </c>
      <c r="D86" s="41" t="s">
        <v>101</v>
      </c>
      <c r="E86" s="41" t="s">
        <v>149</v>
      </c>
      <c r="F86" s="41" t="s">
        <v>708</v>
      </c>
      <c r="G86" s="83">
        <f>500*1030</f>
        <v>515000</v>
      </c>
      <c r="J86" s="84"/>
      <c r="K86" s="41"/>
      <c r="L86" s="41"/>
      <c r="M86" s="70">
        <f t="shared" si="10"/>
        <v>0</v>
      </c>
      <c r="N86" s="41">
        <v>1</v>
      </c>
      <c r="O86" s="41">
        <v>25</v>
      </c>
      <c r="P86" s="70">
        <f t="shared" si="11"/>
        <v>15578750.000000004</v>
      </c>
      <c r="Q86" s="41">
        <v>0</v>
      </c>
      <c r="R86" s="41">
        <v>0</v>
      </c>
      <c r="S86" s="70">
        <f t="shared" si="12"/>
        <v>0</v>
      </c>
      <c r="T86" s="41">
        <v>0</v>
      </c>
      <c r="U86" s="41">
        <v>0</v>
      </c>
      <c r="V86" s="70">
        <f t="shared" si="13"/>
        <v>0</v>
      </c>
      <c r="W86" s="41">
        <v>0</v>
      </c>
      <c r="X86" s="41">
        <v>0</v>
      </c>
      <c r="Y86" s="70">
        <f t="shared" si="14"/>
        <v>0</v>
      </c>
      <c r="Z86" s="41">
        <v>0</v>
      </c>
      <c r="AA86" s="41">
        <v>0</v>
      </c>
      <c r="AB86" s="70">
        <f t="shared" si="15"/>
        <v>0</v>
      </c>
      <c r="AC86" s="41">
        <v>0</v>
      </c>
      <c r="AD86" s="41">
        <v>0</v>
      </c>
      <c r="AE86" s="70">
        <f t="shared" si="16"/>
        <v>0</v>
      </c>
      <c r="AF86" s="28">
        <f t="shared" si="17"/>
        <v>15578750.000000004</v>
      </c>
      <c r="AG86" s="28">
        <f t="shared" si="18"/>
        <v>15125.000000000004</v>
      </c>
    </row>
    <row r="87" spans="1:37" ht="57.6" x14ac:dyDescent="0.3">
      <c r="A87" s="41" t="s">
        <v>697</v>
      </c>
      <c r="B87" s="41" t="s">
        <v>693</v>
      </c>
      <c r="C87" s="41" t="s">
        <v>669</v>
      </c>
      <c r="D87" s="41" t="s">
        <v>101</v>
      </c>
      <c r="E87" s="41" t="s">
        <v>519</v>
      </c>
      <c r="F87" s="41" t="s">
        <v>716</v>
      </c>
      <c r="G87" s="83">
        <v>39000</v>
      </c>
      <c r="J87" s="84"/>
      <c r="K87" s="41"/>
      <c r="L87" s="41"/>
      <c r="M87" s="70">
        <f t="shared" si="10"/>
        <v>0</v>
      </c>
      <c r="N87" s="41">
        <v>30</v>
      </c>
      <c r="O87" s="41">
        <v>5</v>
      </c>
      <c r="P87" s="70">
        <f t="shared" si="11"/>
        <v>7078500.0000000009</v>
      </c>
      <c r="Q87" s="41">
        <v>0</v>
      </c>
      <c r="R87" s="41">
        <v>0</v>
      </c>
      <c r="S87" s="70">
        <f t="shared" si="12"/>
        <v>0</v>
      </c>
      <c r="T87" s="41">
        <v>0</v>
      </c>
      <c r="U87" s="41">
        <v>0</v>
      </c>
      <c r="V87" s="70">
        <f t="shared" si="13"/>
        <v>0</v>
      </c>
      <c r="W87" s="41">
        <v>0</v>
      </c>
      <c r="X87" s="41">
        <v>0</v>
      </c>
      <c r="Y87" s="70">
        <f t="shared" si="14"/>
        <v>0</v>
      </c>
      <c r="Z87" s="41">
        <v>0</v>
      </c>
      <c r="AA87" s="41">
        <v>0</v>
      </c>
      <c r="AB87" s="70">
        <f t="shared" si="15"/>
        <v>0</v>
      </c>
      <c r="AC87" s="41">
        <v>0</v>
      </c>
      <c r="AD87" s="41">
        <v>0</v>
      </c>
      <c r="AE87" s="70">
        <f t="shared" si="16"/>
        <v>0</v>
      </c>
      <c r="AF87" s="28">
        <f t="shared" si="17"/>
        <v>7078500.0000000009</v>
      </c>
      <c r="AG87" s="28">
        <f t="shared" si="18"/>
        <v>6872.3300970873797</v>
      </c>
    </row>
    <row r="88" spans="1:37" ht="57.6" x14ac:dyDescent="0.3">
      <c r="A88" s="41" t="s">
        <v>697</v>
      </c>
      <c r="B88" s="41" t="s">
        <v>693</v>
      </c>
      <c r="C88" s="41" t="s">
        <v>669</v>
      </c>
      <c r="D88" s="41" t="s">
        <v>101</v>
      </c>
      <c r="E88" s="41" t="s">
        <v>519</v>
      </c>
      <c r="F88" s="41" t="s">
        <v>709</v>
      </c>
      <c r="G88" s="83">
        <v>35000</v>
      </c>
      <c r="J88" s="84"/>
      <c r="K88" s="41"/>
      <c r="L88" s="41"/>
      <c r="M88" s="70">
        <f t="shared" si="10"/>
        <v>0</v>
      </c>
      <c r="N88" s="41">
        <v>30</v>
      </c>
      <c r="O88" s="41">
        <v>5</v>
      </c>
      <c r="P88" s="70">
        <f t="shared" si="11"/>
        <v>6352500.0000000009</v>
      </c>
      <c r="Q88" s="41">
        <v>0</v>
      </c>
      <c r="R88" s="41">
        <v>0</v>
      </c>
      <c r="S88" s="70">
        <f t="shared" si="12"/>
        <v>0</v>
      </c>
      <c r="T88" s="41">
        <v>0</v>
      </c>
      <c r="U88" s="41">
        <v>0</v>
      </c>
      <c r="V88" s="70">
        <f t="shared" si="13"/>
        <v>0</v>
      </c>
      <c r="W88" s="41">
        <v>0</v>
      </c>
      <c r="X88" s="41">
        <v>0</v>
      </c>
      <c r="Y88" s="70">
        <f t="shared" si="14"/>
        <v>0</v>
      </c>
      <c r="Z88" s="41">
        <v>0</v>
      </c>
      <c r="AA88" s="41">
        <v>0</v>
      </c>
      <c r="AB88" s="70">
        <f t="shared" si="15"/>
        <v>0</v>
      </c>
      <c r="AC88" s="41">
        <v>0</v>
      </c>
      <c r="AD88" s="41">
        <v>0</v>
      </c>
      <c r="AE88" s="70">
        <f t="shared" si="16"/>
        <v>0</v>
      </c>
      <c r="AF88" s="28">
        <f t="shared" si="17"/>
        <v>6352500.0000000009</v>
      </c>
      <c r="AG88" s="28">
        <f t="shared" si="18"/>
        <v>6167.4757281553411</v>
      </c>
    </row>
    <row r="89" spans="1:37" ht="57.6" x14ac:dyDescent="0.3">
      <c r="A89" s="41" t="s">
        <v>697</v>
      </c>
      <c r="B89" s="41" t="s">
        <v>693</v>
      </c>
      <c r="C89" s="41" t="s">
        <v>669</v>
      </c>
      <c r="D89" s="41" t="s">
        <v>101</v>
      </c>
      <c r="E89" s="41" t="s">
        <v>519</v>
      </c>
      <c r="F89" s="41" t="s">
        <v>712</v>
      </c>
      <c r="G89" s="83">
        <f>1999.2/7</f>
        <v>285.60000000000002</v>
      </c>
      <c r="J89" s="84"/>
      <c r="K89" s="41"/>
      <c r="L89" s="41"/>
      <c r="M89" s="70">
        <f t="shared" si="10"/>
        <v>0</v>
      </c>
      <c r="N89" s="41">
        <f>25*2*10</f>
        <v>500</v>
      </c>
      <c r="O89" s="41">
        <v>1</v>
      </c>
      <c r="P89" s="70">
        <f t="shared" si="11"/>
        <v>172788.00000000003</v>
      </c>
      <c r="Q89" s="41">
        <v>0</v>
      </c>
      <c r="R89" s="41">
        <v>0</v>
      </c>
      <c r="S89" s="70">
        <f t="shared" si="12"/>
        <v>0</v>
      </c>
      <c r="T89" s="41">
        <v>0</v>
      </c>
      <c r="U89" s="41">
        <v>0</v>
      </c>
      <c r="V89" s="70">
        <f t="shared" si="13"/>
        <v>0</v>
      </c>
      <c r="W89" s="41">
        <v>0</v>
      </c>
      <c r="X89" s="41">
        <v>0</v>
      </c>
      <c r="Y89" s="70">
        <f t="shared" si="14"/>
        <v>0</v>
      </c>
      <c r="Z89" s="41">
        <v>0</v>
      </c>
      <c r="AA89" s="41">
        <v>0</v>
      </c>
      <c r="AB89" s="70">
        <f t="shared" si="15"/>
        <v>0</v>
      </c>
      <c r="AC89" s="41">
        <v>0</v>
      </c>
      <c r="AD89" s="41">
        <v>0</v>
      </c>
      <c r="AE89" s="70">
        <f t="shared" si="16"/>
        <v>0</v>
      </c>
      <c r="AF89" s="28">
        <f t="shared" si="17"/>
        <v>172788.00000000003</v>
      </c>
      <c r="AG89" s="28">
        <f t="shared" si="18"/>
        <v>167.75533980582526</v>
      </c>
    </row>
    <row r="90" spans="1:37" ht="57.6" x14ac:dyDescent="0.3">
      <c r="A90" s="41" t="s">
        <v>697</v>
      </c>
      <c r="B90" s="41" t="s">
        <v>693</v>
      </c>
      <c r="C90" s="41" t="s">
        <v>669</v>
      </c>
      <c r="D90" s="41" t="s">
        <v>101</v>
      </c>
      <c r="E90" s="41" t="s">
        <v>519</v>
      </c>
      <c r="F90" s="41" t="s">
        <v>1350</v>
      </c>
      <c r="G90" s="83">
        <f>1999.2/7</f>
        <v>285.60000000000002</v>
      </c>
      <c r="J90" s="84"/>
      <c r="K90" s="41"/>
      <c r="L90" s="41"/>
      <c r="M90" s="70">
        <f t="shared" si="10"/>
        <v>0</v>
      </c>
      <c r="N90" s="41">
        <f>135*2*10</f>
        <v>2700</v>
      </c>
      <c r="O90" s="41">
        <v>2</v>
      </c>
      <c r="P90" s="70">
        <f t="shared" si="11"/>
        <v>1866110.4000000004</v>
      </c>
      <c r="Q90" s="41"/>
      <c r="R90" s="41"/>
      <c r="S90" s="70">
        <f t="shared" si="12"/>
        <v>0</v>
      </c>
      <c r="T90" s="41"/>
      <c r="U90" s="41"/>
      <c r="V90" s="70">
        <f t="shared" si="13"/>
        <v>0</v>
      </c>
      <c r="W90" s="41"/>
      <c r="X90" s="41"/>
      <c r="Y90" s="70">
        <f t="shared" si="14"/>
        <v>0</v>
      </c>
      <c r="Z90" s="41"/>
      <c r="AA90" s="41"/>
      <c r="AB90" s="70">
        <f t="shared" si="15"/>
        <v>0</v>
      </c>
      <c r="AC90" s="41"/>
      <c r="AD90" s="41"/>
      <c r="AE90" s="70">
        <f t="shared" si="16"/>
        <v>0</v>
      </c>
      <c r="AF90" s="28">
        <f t="shared" si="17"/>
        <v>1866110.4000000004</v>
      </c>
      <c r="AG90" s="28">
        <f t="shared" si="18"/>
        <v>1811.757669902913</v>
      </c>
    </row>
    <row r="91" spans="1:37" ht="57.6" x14ac:dyDescent="0.3">
      <c r="A91" s="41" t="s">
        <v>697</v>
      </c>
      <c r="B91" s="41" t="s">
        <v>693</v>
      </c>
      <c r="C91" s="41" t="s">
        <v>669</v>
      </c>
      <c r="D91" s="41" t="s">
        <v>101</v>
      </c>
      <c r="E91" s="41" t="s">
        <v>520</v>
      </c>
      <c r="F91" s="41" t="s">
        <v>718</v>
      </c>
      <c r="G91" s="83">
        <v>0</v>
      </c>
      <c r="H91" s="41">
        <v>0</v>
      </c>
      <c r="I91" s="41">
        <v>0</v>
      </c>
      <c r="J91" s="83">
        <f>H91*I91*G91</f>
        <v>0</v>
      </c>
      <c r="K91" s="41">
        <v>0</v>
      </c>
      <c r="L91" s="41">
        <v>0</v>
      </c>
      <c r="M91" s="70">
        <f t="shared" si="10"/>
        <v>0</v>
      </c>
      <c r="N91" s="41">
        <v>0</v>
      </c>
      <c r="O91" s="41">
        <v>0</v>
      </c>
      <c r="P91" s="70">
        <f t="shared" si="11"/>
        <v>0</v>
      </c>
      <c r="Q91" s="41">
        <v>0</v>
      </c>
      <c r="R91" s="41">
        <v>0</v>
      </c>
      <c r="S91" s="70">
        <f t="shared" si="12"/>
        <v>0</v>
      </c>
      <c r="T91" s="41">
        <v>0</v>
      </c>
      <c r="U91" s="41">
        <v>0</v>
      </c>
      <c r="V91" s="70">
        <f t="shared" si="13"/>
        <v>0</v>
      </c>
      <c r="W91" s="41">
        <v>0</v>
      </c>
      <c r="X91" s="41">
        <v>0</v>
      </c>
      <c r="Y91" s="70">
        <f t="shared" si="14"/>
        <v>0</v>
      </c>
      <c r="Z91" s="41">
        <v>0</v>
      </c>
      <c r="AA91" s="41">
        <v>0</v>
      </c>
      <c r="AB91" s="70">
        <f t="shared" si="15"/>
        <v>0</v>
      </c>
      <c r="AC91" s="41">
        <v>0</v>
      </c>
      <c r="AD91" s="41">
        <v>0</v>
      </c>
      <c r="AE91" s="70">
        <f t="shared" si="16"/>
        <v>0</v>
      </c>
      <c r="AF91" s="28">
        <f t="shared" si="17"/>
        <v>0</v>
      </c>
      <c r="AG91" s="28">
        <f t="shared" si="18"/>
        <v>0</v>
      </c>
    </row>
    <row r="92" spans="1:37" x14ac:dyDescent="0.3">
      <c r="A92" s="91" t="s">
        <v>1302</v>
      </c>
      <c r="B92" s="91"/>
      <c r="C92" s="91"/>
      <c r="D92" s="91"/>
      <c r="E92" s="91"/>
      <c r="F92" s="91"/>
      <c r="G92" s="92"/>
      <c r="H92" s="91"/>
      <c r="I92" s="91"/>
      <c r="J92" s="92">
        <f>SUM(J2:J91)</f>
        <v>253201638.15000001</v>
      </c>
      <c r="K92" s="91"/>
      <c r="L92" s="91"/>
      <c r="M92" s="92">
        <f>SUM(M2:M91)</f>
        <v>278573332.565</v>
      </c>
      <c r="N92" s="91"/>
      <c r="O92" s="91"/>
      <c r="P92" s="92">
        <f>SUM(P2:P91)</f>
        <v>455238464.92300004</v>
      </c>
      <c r="Q92" s="91"/>
      <c r="R92" s="91"/>
      <c r="S92" s="92">
        <f>SUM(S2:S91)</f>
        <v>262622165.52000001</v>
      </c>
      <c r="T92" s="91"/>
      <c r="U92" s="91"/>
      <c r="V92" s="92">
        <f>SUM(V2:V91)</f>
        <v>288884382.07200003</v>
      </c>
      <c r="W92" s="91"/>
      <c r="X92" s="91"/>
      <c r="Y92" s="92">
        <f>SUM(Y2:Y91)</f>
        <v>484089734.05695665</v>
      </c>
      <c r="Z92" s="91"/>
      <c r="AA92" s="91"/>
      <c r="AB92" s="92">
        <f>SUM(AB2:AB91)</f>
        <v>261051772.55212012</v>
      </c>
      <c r="AC92" s="91"/>
      <c r="AD92" s="91"/>
      <c r="AE92" s="92">
        <f>SUM(AE2:AE91)</f>
        <v>287156949.80733216</v>
      </c>
      <c r="AF92" s="95">
        <f t="shared" si="17"/>
        <v>2570818439.646409</v>
      </c>
      <c r="AG92" s="95">
        <f t="shared" si="18"/>
        <v>2495940.2326664166</v>
      </c>
      <c r="AH92" s="94"/>
      <c r="AI92" s="94"/>
    </row>
    <row r="93" spans="1:37" x14ac:dyDescent="0.3">
      <c r="A93" s="63" t="s">
        <v>1302</v>
      </c>
      <c r="B93" s="63"/>
      <c r="C93" s="63"/>
      <c r="D93" s="63"/>
      <c r="E93" s="63"/>
      <c r="F93" s="63"/>
      <c r="G93" s="90"/>
      <c r="H93" s="63"/>
      <c r="I93" s="63"/>
      <c r="J93" s="90">
        <f>J92/$AL$2</f>
        <v>245826.83315533982</v>
      </c>
      <c r="K93" s="63"/>
      <c r="L93" s="63"/>
      <c r="M93" s="90">
        <f>M92/$AL$2</f>
        <v>270459.54617961164</v>
      </c>
      <c r="N93" s="63"/>
      <c r="O93" s="63"/>
      <c r="P93" s="90">
        <f>P92/$AL$2</f>
        <v>441979.09215825249</v>
      </c>
      <c r="Q93" s="63"/>
      <c r="R93" s="63"/>
      <c r="S93" s="90">
        <f>S92/$AL$2</f>
        <v>254972.97623300971</v>
      </c>
      <c r="T93" s="63"/>
      <c r="U93" s="63"/>
      <c r="V93" s="90">
        <f>V92/$AL$2</f>
        <v>280470.2738563107</v>
      </c>
      <c r="W93" s="63"/>
      <c r="X93" s="63"/>
      <c r="Y93" s="90">
        <f>Y92/$AL$2</f>
        <v>469990.03306500643</v>
      </c>
      <c r="Z93" s="63"/>
      <c r="AA93" s="63"/>
      <c r="AB93" s="90">
        <f>AB92/$AL$2</f>
        <v>253448.32286613603</v>
      </c>
      <c r="AC93" s="63"/>
      <c r="AD93" s="63"/>
      <c r="AE93" s="90">
        <f>AE92/$AL$2</f>
        <v>278793.15515274968</v>
      </c>
      <c r="AF93" s="20">
        <f t="shared" si="17"/>
        <v>2495940.2326664166</v>
      </c>
      <c r="AG93" s="20">
        <f t="shared" si="18"/>
        <v>2423.2429443363267</v>
      </c>
      <c r="AH93" s="62"/>
      <c r="AI93" s="62"/>
      <c r="AJ93" s="62"/>
      <c r="AK93" s="62"/>
    </row>
    <row r="94" spans="1:37" ht="57.6" x14ac:dyDescent="0.3">
      <c r="A94" s="41" t="s">
        <v>697</v>
      </c>
      <c r="B94" s="41" t="s">
        <v>693</v>
      </c>
      <c r="C94" s="41" t="s">
        <v>670</v>
      </c>
      <c r="D94" s="41" t="s">
        <v>102</v>
      </c>
      <c r="E94" s="41" t="s">
        <v>521</v>
      </c>
      <c r="F94" s="41" t="s">
        <v>787</v>
      </c>
      <c r="G94" s="83">
        <v>65334760</v>
      </c>
      <c r="J94" s="84"/>
      <c r="M94" s="70">
        <f t="shared" si="10"/>
        <v>0</v>
      </c>
      <c r="P94" s="70">
        <f t="shared" si="11"/>
        <v>0</v>
      </c>
      <c r="Q94" s="41">
        <v>1</v>
      </c>
      <c r="R94" s="41">
        <v>1</v>
      </c>
      <c r="S94" s="70">
        <f t="shared" si="12"/>
        <v>86960565.560000032</v>
      </c>
      <c r="T94" s="41">
        <v>1</v>
      </c>
      <c r="U94" s="41">
        <v>1</v>
      </c>
      <c r="V94" s="70">
        <f t="shared" si="13"/>
        <v>95656622.116000026</v>
      </c>
      <c r="W94" s="41">
        <v>1</v>
      </c>
      <c r="X94" s="41">
        <v>1</v>
      </c>
      <c r="Y94" s="70">
        <f t="shared" si="14"/>
        <v>105222284.32760003</v>
      </c>
      <c r="Z94" s="41">
        <v>1</v>
      </c>
      <c r="AA94" s="41">
        <v>1</v>
      </c>
      <c r="AB94" s="70">
        <f t="shared" si="15"/>
        <v>115744512.76036005</v>
      </c>
      <c r="AC94" s="41">
        <v>1</v>
      </c>
      <c r="AD94" s="41">
        <v>1</v>
      </c>
      <c r="AE94" s="70">
        <f t="shared" si="16"/>
        <v>127318964.03639607</v>
      </c>
      <c r="AF94" s="28">
        <f t="shared" si="17"/>
        <v>530902948.80035627</v>
      </c>
      <c r="AG94" s="28">
        <f t="shared" si="18"/>
        <v>515439.75611685077</v>
      </c>
    </row>
    <row r="95" spans="1:37" ht="57.6" x14ac:dyDescent="0.3">
      <c r="A95" s="41" t="s">
        <v>697</v>
      </c>
      <c r="B95" s="41" t="s">
        <v>693</v>
      </c>
      <c r="C95" s="41" t="s">
        <v>670</v>
      </c>
      <c r="D95" s="41" t="s">
        <v>103</v>
      </c>
      <c r="E95" s="41" t="s">
        <v>522</v>
      </c>
      <c r="F95" s="41" t="s">
        <v>718</v>
      </c>
      <c r="G95" s="83">
        <v>0</v>
      </c>
      <c r="H95" s="41">
        <v>0</v>
      </c>
      <c r="I95" s="41">
        <v>0</v>
      </c>
      <c r="J95" s="83">
        <f t="shared" ref="J95:J100" si="19">G95*H95*I95</f>
        <v>0</v>
      </c>
      <c r="K95" s="41">
        <v>0</v>
      </c>
      <c r="L95" s="41">
        <v>0</v>
      </c>
      <c r="M95" s="70">
        <f t="shared" si="10"/>
        <v>0</v>
      </c>
      <c r="N95" s="41">
        <v>0</v>
      </c>
      <c r="O95" s="41">
        <v>0</v>
      </c>
      <c r="P95" s="70">
        <f t="shared" si="11"/>
        <v>0</v>
      </c>
      <c r="Q95" s="41">
        <v>0</v>
      </c>
      <c r="R95" s="41">
        <v>0</v>
      </c>
      <c r="S95" s="70">
        <f t="shared" si="12"/>
        <v>0</v>
      </c>
      <c r="T95" s="41">
        <v>0</v>
      </c>
      <c r="U95" s="41">
        <v>0</v>
      </c>
      <c r="V95" s="70">
        <f t="shared" si="13"/>
        <v>0</v>
      </c>
      <c r="W95" s="41">
        <v>0</v>
      </c>
      <c r="X95" s="41">
        <v>0</v>
      </c>
      <c r="Y95" s="70">
        <f t="shared" si="14"/>
        <v>0</v>
      </c>
      <c r="Z95" s="41">
        <v>0</v>
      </c>
      <c r="AA95" s="41">
        <v>0</v>
      </c>
      <c r="AB95" s="70">
        <f t="shared" si="15"/>
        <v>0</v>
      </c>
      <c r="AC95" s="41">
        <v>0</v>
      </c>
      <c r="AD95" s="41">
        <v>0</v>
      </c>
      <c r="AE95" s="70">
        <f t="shared" si="16"/>
        <v>0</v>
      </c>
      <c r="AF95" s="28">
        <f t="shared" si="17"/>
        <v>0</v>
      </c>
      <c r="AG95" s="28">
        <f t="shared" si="18"/>
        <v>0</v>
      </c>
    </row>
    <row r="96" spans="1:37" ht="57.6" x14ac:dyDescent="0.3">
      <c r="A96" s="41" t="s">
        <v>697</v>
      </c>
      <c r="B96" s="41" t="s">
        <v>693</v>
      </c>
      <c r="C96" s="41" t="s">
        <v>670</v>
      </c>
      <c r="D96" s="41" t="s">
        <v>103</v>
      </c>
      <c r="E96" s="41" t="s">
        <v>523</v>
      </c>
      <c r="F96" s="41" t="s">
        <v>718</v>
      </c>
      <c r="G96" s="83">
        <v>0</v>
      </c>
      <c r="H96" s="41">
        <v>0</v>
      </c>
      <c r="I96" s="41">
        <v>0</v>
      </c>
      <c r="J96" s="83">
        <f t="shared" si="19"/>
        <v>0</v>
      </c>
      <c r="K96" s="41">
        <v>0</v>
      </c>
      <c r="L96" s="41">
        <v>0</v>
      </c>
      <c r="M96" s="70">
        <f t="shared" si="10"/>
        <v>0</v>
      </c>
      <c r="N96" s="41">
        <v>0</v>
      </c>
      <c r="O96" s="41">
        <v>0</v>
      </c>
      <c r="P96" s="70">
        <f t="shared" si="11"/>
        <v>0</v>
      </c>
      <c r="Q96" s="41">
        <v>0</v>
      </c>
      <c r="R96" s="41">
        <v>0</v>
      </c>
      <c r="S96" s="70">
        <f t="shared" si="12"/>
        <v>0</v>
      </c>
      <c r="T96" s="41">
        <v>0</v>
      </c>
      <c r="U96" s="41">
        <v>0</v>
      </c>
      <c r="V96" s="70">
        <f t="shared" si="13"/>
        <v>0</v>
      </c>
      <c r="W96" s="41">
        <v>0</v>
      </c>
      <c r="X96" s="41">
        <v>0</v>
      </c>
      <c r="Y96" s="70">
        <f t="shared" si="14"/>
        <v>0</v>
      </c>
      <c r="Z96" s="41">
        <v>0</v>
      </c>
      <c r="AA96" s="41">
        <v>0</v>
      </c>
      <c r="AB96" s="70">
        <f t="shared" si="15"/>
        <v>0</v>
      </c>
      <c r="AC96" s="41">
        <v>0</v>
      </c>
      <c r="AD96" s="41">
        <v>0</v>
      </c>
      <c r="AE96" s="70">
        <f t="shared" si="16"/>
        <v>0</v>
      </c>
      <c r="AF96" s="28">
        <f t="shared" si="17"/>
        <v>0</v>
      </c>
      <c r="AG96" s="28">
        <f t="shared" si="18"/>
        <v>0</v>
      </c>
    </row>
    <row r="97" spans="1:33" ht="57.6" x14ac:dyDescent="0.3">
      <c r="A97" s="41" t="s">
        <v>697</v>
      </c>
      <c r="B97" s="41" t="s">
        <v>693</v>
      </c>
      <c r="C97" s="41" t="s">
        <v>670</v>
      </c>
      <c r="D97" s="41" t="s">
        <v>103</v>
      </c>
      <c r="E97" s="41" t="s">
        <v>524</v>
      </c>
      <c r="F97" s="41" t="s">
        <v>718</v>
      </c>
      <c r="G97" s="83">
        <v>0</v>
      </c>
      <c r="H97" s="41">
        <v>0</v>
      </c>
      <c r="I97" s="41">
        <v>0</v>
      </c>
      <c r="J97" s="83">
        <f t="shared" si="19"/>
        <v>0</v>
      </c>
      <c r="K97" s="41">
        <v>0</v>
      </c>
      <c r="L97" s="41">
        <v>0</v>
      </c>
      <c r="M97" s="70">
        <f t="shared" si="10"/>
        <v>0</v>
      </c>
      <c r="N97" s="41">
        <v>0</v>
      </c>
      <c r="O97" s="41">
        <v>0</v>
      </c>
      <c r="P97" s="70">
        <f t="shared" si="11"/>
        <v>0</v>
      </c>
      <c r="Q97" s="41">
        <v>0</v>
      </c>
      <c r="R97" s="41">
        <v>0</v>
      </c>
      <c r="S97" s="70">
        <f t="shared" si="12"/>
        <v>0</v>
      </c>
      <c r="T97" s="41">
        <v>0</v>
      </c>
      <c r="U97" s="41">
        <v>0</v>
      </c>
      <c r="V97" s="70">
        <f t="shared" si="13"/>
        <v>0</v>
      </c>
      <c r="W97" s="41">
        <v>0</v>
      </c>
      <c r="X97" s="41">
        <v>0</v>
      </c>
      <c r="Y97" s="70">
        <f t="shared" si="14"/>
        <v>0</v>
      </c>
      <c r="Z97" s="41">
        <v>0</v>
      </c>
      <c r="AA97" s="41">
        <v>0</v>
      </c>
      <c r="AB97" s="70">
        <f t="shared" si="15"/>
        <v>0</v>
      </c>
      <c r="AC97" s="41">
        <v>0</v>
      </c>
      <c r="AD97" s="41">
        <v>0</v>
      </c>
      <c r="AE97" s="70">
        <f t="shared" si="16"/>
        <v>0</v>
      </c>
      <c r="AF97" s="28">
        <f t="shared" si="17"/>
        <v>0</v>
      </c>
      <c r="AG97" s="28">
        <f t="shared" si="18"/>
        <v>0</v>
      </c>
    </row>
    <row r="98" spans="1:33" ht="57.6" x14ac:dyDescent="0.3">
      <c r="A98" s="41" t="s">
        <v>697</v>
      </c>
      <c r="B98" s="41" t="s">
        <v>693</v>
      </c>
      <c r="C98" s="41" t="s">
        <v>670</v>
      </c>
      <c r="D98" s="41" t="s">
        <v>104</v>
      </c>
      <c r="E98" s="41" t="s">
        <v>525</v>
      </c>
      <c r="F98" s="41" t="s">
        <v>718</v>
      </c>
      <c r="G98" s="83">
        <v>0</v>
      </c>
      <c r="H98" s="41">
        <v>0</v>
      </c>
      <c r="I98" s="41">
        <v>0</v>
      </c>
      <c r="J98" s="83">
        <f t="shared" si="19"/>
        <v>0</v>
      </c>
      <c r="K98" s="41">
        <v>0</v>
      </c>
      <c r="L98" s="41">
        <v>0</v>
      </c>
      <c r="M98" s="70">
        <f t="shared" si="10"/>
        <v>0</v>
      </c>
      <c r="N98" s="41">
        <v>0</v>
      </c>
      <c r="O98" s="41">
        <v>0</v>
      </c>
      <c r="P98" s="70">
        <f t="shared" si="11"/>
        <v>0</v>
      </c>
      <c r="Q98" s="41">
        <v>0</v>
      </c>
      <c r="R98" s="41">
        <v>0</v>
      </c>
      <c r="S98" s="70">
        <f t="shared" si="12"/>
        <v>0</v>
      </c>
      <c r="T98" s="41">
        <v>0</v>
      </c>
      <c r="U98" s="41">
        <v>0</v>
      </c>
      <c r="V98" s="70">
        <f t="shared" si="13"/>
        <v>0</v>
      </c>
      <c r="W98" s="41">
        <v>0</v>
      </c>
      <c r="X98" s="41">
        <v>0</v>
      </c>
      <c r="Y98" s="70">
        <f t="shared" si="14"/>
        <v>0</v>
      </c>
      <c r="Z98" s="41">
        <v>0</v>
      </c>
      <c r="AA98" s="41">
        <v>0</v>
      </c>
      <c r="AB98" s="70">
        <f t="shared" si="15"/>
        <v>0</v>
      </c>
      <c r="AC98" s="41">
        <v>0</v>
      </c>
      <c r="AD98" s="41">
        <v>0</v>
      </c>
      <c r="AE98" s="70">
        <f t="shared" si="16"/>
        <v>0</v>
      </c>
      <c r="AF98" s="28">
        <f t="shared" si="17"/>
        <v>0</v>
      </c>
      <c r="AG98" s="28">
        <f t="shared" si="18"/>
        <v>0</v>
      </c>
    </row>
    <row r="99" spans="1:33" ht="57.6" x14ac:dyDescent="0.3">
      <c r="A99" s="41" t="s">
        <v>697</v>
      </c>
      <c r="B99" s="41" t="s">
        <v>693</v>
      </c>
      <c r="C99" s="41" t="s">
        <v>670</v>
      </c>
      <c r="D99" s="41" t="s">
        <v>104</v>
      </c>
      <c r="E99" s="41" t="s">
        <v>526</v>
      </c>
      <c r="F99" s="41" t="s">
        <v>718</v>
      </c>
      <c r="G99" s="83">
        <v>0</v>
      </c>
      <c r="H99" s="41">
        <v>0</v>
      </c>
      <c r="I99" s="41">
        <v>0</v>
      </c>
      <c r="J99" s="83">
        <f t="shared" si="19"/>
        <v>0</v>
      </c>
      <c r="K99" s="41">
        <v>0</v>
      </c>
      <c r="L99" s="41">
        <v>0</v>
      </c>
      <c r="M99" s="70">
        <f t="shared" si="10"/>
        <v>0</v>
      </c>
      <c r="N99" s="41">
        <v>0</v>
      </c>
      <c r="O99" s="41">
        <v>0</v>
      </c>
      <c r="P99" s="70">
        <f t="shared" si="11"/>
        <v>0</v>
      </c>
      <c r="Q99" s="41">
        <v>0</v>
      </c>
      <c r="R99" s="41">
        <v>0</v>
      </c>
      <c r="S99" s="70">
        <f t="shared" si="12"/>
        <v>0</v>
      </c>
      <c r="T99" s="41">
        <v>0</v>
      </c>
      <c r="U99" s="41">
        <v>0</v>
      </c>
      <c r="V99" s="70">
        <f t="shared" si="13"/>
        <v>0</v>
      </c>
      <c r="W99" s="41">
        <v>0</v>
      </c>
      <c r="X99" s="41">
        <v>0</v>
      </c>
      <c r="Y99" s="70">
        <f t="shared" si="14"/>
        <v>0</v>
      </c>
      <c r="Z99" s="41">
        <v>0</v>
      </c>
      <c r="AA99" s="41">
        <v>0</v>
      </c>
      <c r="AB99" s="70">
        <f t="shared" si="15"/>
        <v>0</v>
      </c>
      <c r="AC99" s="41">
        <v>0</v>
      </c>
      <c r="AD99" s="41">
        <v>0</v>
      </c>
      <c r="AE99" s="70">
        <f t="shared" si="16"/>
        <v>0</v>
      </c>
      <c r="AF99" s="28">
        <f t="shared" si="17"/>
        <v>0</v>
      </c>
      <c r="AG99" s="28">
        <f t="shared" si="18"/>
        <v>0</v>
      </c>
    </row>
    <row r="100" spans="1:33" ht="57.6" x14ac:dyDescent="0.3">
      <c r="A100" s="41" t="s">
        <v>697</v>
      </c>
      <c r="B100" s="41" t="s">
        <v>693</v>
      </c>
      <c r="C100" s="41" t="s">
        <v>670</v>
      </c>
      <c r="D100" s="41" t="s">
        <v>104</v>
      </c>
      <c r="E100" s="41" t="s">
        <v>527</v>
      </c>
      <c r="F100" s="41" t="s">
        <v>718</v>
      </c>
      <c r="G100" s="83">
        <v>0</v>
      </c>
      <c r="H100" s="41">
        <v>0</v>
      </c>
      <c r="I100" s="41">
        <v>0</v>
      </c>
      <c r="J100" s="83">
        <f t="shared" si="19"/>
        <v>0</v>
      </c>
      <c r="K100" s="41">
        <v>0</v>
      </c>
      <c r="L100" s="41">
        <v>0</v>
      </c>
      <c r="M100" s="70">
        <f t="shared" si="10"/>
        <v>0</v>
      </c>
      <c r="N100" s="41">
        <v>0</v>
      </c>
      <c r="O100" s="41">
        <v>0</v>
      </c>
      <c r="P100" s="70">
        <f t="shared" si="11"/>
        <v>0</v>
      </c>
      <c r="Q100" s="41">
        <v>0</v>
      </c>
      <c r="R100" s="41">
        <v>0</v>
      </c>
      <c r="S100" s="70">
        <f t="shared" si="12"/>
        <v>0</v>
      </c>
      <c r="T100" s="41">
        <v>0</v>
      </c>
      <c r="U100" s="41">
        <v>0</v>
      </c>
      <c r="V100" s="70">
        <f t="shared" si="13"/>
        <v>0</v>
      </c>
      <c r="W100" s="41">
        <v>0</v>
      </c>
      <c r="X100" s="41">
        <v>0</v>
      </c>
      <c r="Y100" s="70">
        <f t="shared" si="14"/>
        <v>0</v>
      </c>
      <c r="Z100" s="41">
        <v>0</v>
      </c>
      <c r="AA100" s="41">
        <v>0</v>
      </c>
      <c r="AB100" s="70">
        <f t="shared" si="15"/>
        <v>0</v>
      </c>
      <c r="AC100" s="41">
        <v>0</v>
      </c>
      <c r="AD100" s="41">
        <v>0</v>
      </c>
      <c r="AE100" s="70">
        <f t="shared" si="16"/>
        <v>0</v>
      </c>
      <c r="AF100" s="28">
        <f t="shared" si="17"/>
        <v>0</v>
      </c>
      <c r="AG100" s="28">
        <f t="shared" si="18"/>
        <v>0</v>
      </c>
    </row>
    <row r="101" spans="1:33" ht="57.6" x14ac:dyDescent="0.3">
      <c r="A101" s="41" t="s">
        <v>697</v>
      </c>
      <c r="B101" s="41" t="s">
        <v>693</v>
      </c>
      <c r="C101" s="41" t="s">
        <v>670</v>
      </c>
      <c r="D101" s="41" t="s">
        <v>104</v>
      </c>
      <c r="E101" s="41" t="s">
        <v>528</v>
      </c>
      <c r="F101" s="41" t="s">
        <v>707</v>
      </c>
      <c r="G101" s="83">
        <v>391991.03749999998</v>
      </c>
      <c r="J101" s="84"/>
      <c r="K101" s="41"/>
      <c r="L101" s="41"/>
      <c r="M101" s="70">
        <f t="shared" si="10"/>
        <v>0</v>
      </c>
      <c r="N101" s="41">
        <v>2</v>
      </c>
      <c r="O101" s="41">
        <v>2</v>
      </c>
      <c r="P101" s="70">
        <f t="shared" si="11"/>
        <v>1897236.6215000001</v>
      </c>
      <c r="Q101" s="41">
        <v>0</v>
      </c>
      <c r="R101" s="41">
        <v>0</v>
      </c>
      <c r="S101" s="70">
        <f t="shared" si="12"/>
        <v>0</v>
      </c>
      <c r="T101" s="41">
        <v>0</v>
      </c>
      <c r="U101" s="41">
        <v>0</v>
      </c>
      <c r="V101" s="70">
        <f t="shared" si="13"/>
        <v>0</v>
      </c>
      <c r="W101" s="41">
        <v>0</v>
      </c>
      <c r="X101" s="41">
        <v>0</v>
      </c>
      <c r="Y101" s="70">
        <f t="shared" si="14"/>
        <v>0</v>
      </c>
      <c r="Z101" s="41">
        <v>0</v>
      </c>
      <c r="AA101" s="41">
        <v>0</v>
      </c>
      <c r="AB101" s="70">
        <f t="shared" si="15"/>
        <v>0</v>
      </c>
      <c r="AC101" s="41">
        <v>0</v>
      </c>
      <c r="AD101" s="41">
        <v>0</v>
      </c>
      <c r="AE101" s="70">
        <f t="shared" si="16"/>
        <v>0</v>
      </c>
      <c r="AF101" s="28">
        <f t="shared" si="17"/>
        <v>1897236.6215000001</v>
      </c>
      <c r="AG101" s="28">
        <f t="shared" si="18"/>
        <v>1841.9773024271847</v>
      </c>
    </row>
    <row r="102" spans="1:33" ht="57.6" x14ac:dyDescent="0.3">
      <c r="A102" s="41" t="s">
        <v>697</v>
      </c>
      <c r="B102" s="41" t="s">
        <v>693</v>
      </c>
      <c r="C102" s="41" t="s">
        <v>670</v>
      </c>
      <c r="D102" s="41" t="s">
        <v>104</v>
      </c>
      <c r="E102" s="41" t="s">
        <v>528</v>
      </c>
      <c r="F102" s="41" t="s">
        <v>720</v>
      </c>
      <c r="G102" s="83">
        <f>980*1030</f>
        <v>1009400</v>
      </c>
      <c r="J102" s="84"/>
      <c r="K102" s="41"/>
      <c r="L102" s="41"/>
      <c r="M102" s="70">
        <f t="shared" si="10"/>
        <v>0</v>
      </c>
      <c r="N102" s="41">
        <v>1</v>
      </c>
      <c r="O102" s="41">
        <v>25</v>
      </c>
      <c r="P102" s="70">
        <f t="shared" si="11"/>
        <v>30534350.000000007</v>
      </c>
      <c r="Q102" s="41">
        <v>0</v>
      </c>
      <c r="R102" s="41">
        <v>0</v>
      </c>
      <c r="S102" s="70">
        <f t="shared" si="12"/>
        <v>0</v>
      </c>
      <c r="T102" s="41">
        <v>0</v>
      </c>
      <c r="U102" s="41">
        <v>0</v>
      </c>
      <c r="V102" s="70">
        <f t="shared" si="13"/>
        <v>0</v>
      </c>
      <c r="W102" s="41">
        <v>0</v>
      </c>
      <c r="X102" s="41">
        <v>0</v>
      </c>
      <c r="Y102" s="70">
        <f t="shared" si="14"/>
        <v>0</v>
      </c>
      <c r="Z102" s="41">
        <v>0</v>
      </c>
      <c r="AA102" s="41">
        <v>0</v>
      </c>
      <c r="AB102" s="70">
        <f t="shared" si="15"/>
        <v>0</v>
      </c>
      <c r="AC102" s="41">
        <v>0</v>
      </c>
      <c r="AD102" s="41">
        <v>0</v>
      </c>
      <c r="AE102" s="70">
        <f t="shared" si="16"/>
        <v>0</v>
      </c>
      <c r="AF102" s="28">
        <f t="shared" si="17"/>
        <v>30534350.000000007</v>
      </c>
      <c r="AG102" s="28">
        <f t="shared" si="18"/>
        <v>29645.000000000007</v>
      </c>
    </row>
    <row r="103" spans="1:33" ht="57.6" x14ac:dyDescent="0.3">
      <c r="A103" s="41" t="s">
        <v>697</v>
      </c>
      <c r="B103" s="41" t="s">
        <v>693</v>
      </c>
      <c r="C103" s="41" t="s">
        <v>670</v>
      </c>
      <c r="D103" s="41" t="s">
        <v>104</v>
      </c>
      <c r="E103" s="41" t="s">
        <v>153</v>
      </c>
      <c r="F103" s="41" t="s">
        <v>716</v>
      </c>
      <c r="G103" s="83">
        <v>39000</v>
      </c>
      <c r="J103" s="84"/>
      <c r="K103" s="41"/>
      <c r="L103" s="41"/>
      <c r="M103" s="70">
        <f t="shared" si="10"/>
        <v>0</v>
      </c>
      <c r="N103" s="41">
        <v>25</v>
      </c>
      <c r="O103" s="41">
        <v>6</v>
      </c>
      <c r="P103" s="70">
        <f t="shared" si="11"/>
        <v>7078500.0000000019</v>
      </c>
      <c r="Q103" s="41">
        <v>0</v>
      </c>
      <c r="R103" s="41">
        <v>0</v>
      </c>
      <c r="S103" s="70">
        <f t="shared" si="12"/>
        <v>0</v>
      </c>
      <c r="T103" s="41">
        <v>0</v>
      </c>
      <c r="U103" s="41">
        <v>0</v>
      </c>
      <c r="V103" s="70">
        <f t="shared" si="13"/>
        <v>0</v>
      </c>
      <c r="W103" s="41">
        <v>0</v>
      </c>
      <c r="X103" s="41">
        <v>0</v>
      </c>
      <c r="Y103" s="70">
        <f t="shared" si="14"/>
        <v>0</v>
      </c>
      <c r="Z103" s="41">
        <v>0</v>
      </c>
      <c r="AA103" s="41">
        <v>0</v>
      </c>
      <c r="AB103" s="70">
        <f t="shared" si="15"/>
        <v>0</v>
      </c>
      <c r="AC103" s="41">
        <v>0</v>
      </c>
      <c r="AD103" s="41">
        <v>0</v>
      </c>
      <c r="AE103" s="70">
        <f t="shared" si="16"/>
        <v>0</v>
      </c>
      <c r="AF103" s="28">
        <f t="shared" si="17"/>
        <v>7078500.0000000019</v>
      </c>
      <c r="AG103" s="28">
        <f t="shared" si="18"/>
        <v>6872.3300970873806</v>
      </c>
    </row>
    <row r="104" spans="1:33" ht="57.6" x14ac:dyDescent="0.3">
      <c r="A104" s="41" t="s">
        <v>697</v>
      </c>
      <c r="B104" s="41" t="s">
        <v>693</v>
      </c>
      <c r="C104" s="41" t="s">
        <v>670</v>
      </c>
      <c r="D104" s="41" t="s">
        <v>104</v>
      </c>
      <c r="E104" s="41" t="s">
        <v>153</v>
      </c>
      <c r="F104" s="41" t="s">
        <v>709</v>
      </c>
      <c r="G104" s="83">
        <v>35000</v>
      </c>
      <c r="J104" s="84"/>
      <c r="K104" s="41"/>
      <c r="L104" s="41"/>
      <c r="M104" s="70">
        <f t="shared" si="10"/>
        <v>0</v>
      </c>
      <c r="N104" s="41">
        <v>25</v>
      </c>
      <c r="O104" s="41">
        <v>5</v>
      </c>
      <c r="P104" s="70">
        <f t="shared" si="11"/>
        <v>5293750.0000000009</v>
      </c>
      <c r="Q104" s="41">
        <v>0</v>
      </c>
      <c r="R104" s="41">
        <v>0</v>
      </c>
      <c r="S104" s="70">
        <f t="shared" si="12"/>
        <v>0</v>
      </c>
      <c r="T104" s="41">
        <v>0</v>
      </c>
      <c r="U104" s="41">
        <v>0</v>
      </c>
      <c r="V104" s="70">
        <f t="shared" si="13"/>
        <v>0</v>
      </c>
      <c r="W104" s="41">
        <v>0</v>
      </c>
      <c r="X104" s="41">
        <v>0</v>
      </c>
      <c r="Y104" s="70">
        <f t="shared" si="14"/>
        <v>0</v>
      </c>
      <c r="Z104" s="41">
        <v>0</v>
      </c>
      <c r="AA104" s="41">
        <v>0</v>
      </c>
      <c r="AB104" s="70">
        <f t="shared" si="15"/>
        <v>0</v>
      </c>
      <c r="AC104" s="41">
        <v>0</v>
      </c>
      <c r="AD104" s="41">
        <v>0</v>
      </c>
      <c r="AE104" s="70">
        <f t="shared" si="16"/>
        <v>0</v>
      </c>
      <c r="AF104" s="28">
        <f t="shared" si="17"/>
        <v>5293750.0000000009</v>
      </c>
      <c r="AG104" s="28">
        <f t="shared" si="18"/>
        <v>5139.5631067961176</v>
      </c>
    </row>
    <row r="105" spans="1:33" ht="57.6" x14ac:dyDescent="0.3">
      <c r="A105" s="41" t="s">
        <v>697</v>
      </c>
      <c r="B105" s="41" t="s">
        <v>693</v>
      </c>
      <c r="C105" s="41" t="s">
        <v>670</v>
      </c>
      <c r="D105" s="41" t="s">
        <v>104</v>
      </c>
      <c r="E105" s="41" t="s">
        <v>153</v>
      </c>
      <c r="F105" s="41" t="s">
        <v>1303</v>
      </c>
      <c r="G105" s="83">
        <f>1999.2/7</f>
        <v>285.60000000000002</v>
      </c>
      <c r="J105" s="84"/>
      <c r="K105" s="41"/>
      <c r="L105" s="41"/>
      <c r="M105" s="70">
        <f t="shared" si="10"/>
        <v>0</v>
      </c>
      <c r="N105" s="41">
        <f>135*2*9</f>
        <v>2430</v>
      </c>
      <c r="O105" s="41">
        <v>1</v>
      </c>
      <c r="P105" s="70">
        <f t="shared" si="11"/>
        <v>839749.68000000017</v>
      </c>
      <c r="Q105" s="41">
        <v>0</v>
      </c>
      <c r="R105" s="41">
        <v>0</v>
      </c>
      <c r="S105" s="70">
        <f t="shared" si="12"/>
        <v>0</v>
      </c>
      <c r="T105" s="41">
        <v>0</v>
      </c>
      <c r="U105" s="41">
        <v>0</v>
      </c>
      <c r="V105" s="70">
        <f t="shared" si="13"/>
        <v>0</v>
      </c>
      <c r="W105" s="41">
        <v>0</v>
      </c>
      <c r="X105" s="41">
        <v>0</v>
      </c>
      <c r="Y105" s="70">
        <f t="shared" si="14"/>
        <v>0</v>
      </c>
      <c r="Z105" s="41">
        <v>0</v>
      </c>
      <c r="AA105" s="41">
        <v>0</v>
      </c>
      <c r="AB105" s="70">
        <f t="shared" si="15"/>
        <v>0</v>
      </c>
      <c r="AC105" s="41">
        <v>0</v>
      </c>
      <c r="AD105" s="41">
        <v>0</v>
      </c>
      <c r="AE105" s="70">
        <f t="shared" si="16"/>
        <v>0</v>
      </c>
      <c r="AF105" s="28">
        <f t="shared" si="17"/>
        <v>839749.68000000017</v>
      </c>
      <c r="AG105" s="28">
        <f t="shared" si="18"/>
        <v>815.29095145631084</v>
      </c>
    </row>
    <row r="106" spans="1:33" ht="57.6" x14ac:dyDescent="0.3">
      <c r="A106" s="41" t="s">
        <v>697</v>
      </c>
      <c r="B106" s="41" t="s">
        <v>693</v>
      </c>
      <c r="C106" s="41" t="s">
        <v>670</v>
      </c>
      <c r="D106" s="41" t="s">
        <v>104</v>
      </c>
      <c r="E106" s="41" t="s">
        <v>153</v>
      </c>
      <c r="F106" s="41" t="s">
        <v>712</v>
      </c>
      <c r="G106" s="83">
        <f>1999.2/7</f>
        <v>285.60000000000002</v>
      </c>
      <c r="J106" s="84"/>
      <c r="K106" s="41"/>
      <c r="L106" s="41"/>
      <c r="M106" s="70">
        <f t="shared" si="10"/>
        <v>0</v>
      </c>
      <c r="N106" s="41">
        <f>25*2*9</f>
        <v>450</v>
      </c>
      <c r="O106" s="41">
        <v>5</v>
      </c>
      <c r="P106" s="70">
        <f t="shared" si="11"/>
        <v>777546.00000000023</v>
      </c>
      <c r="Q106" s="41">
        <v>0</v>
      </c>
      <c r="R106" s="41">
        <v>0</v>
      </c>
      <c r="S106" s="70">
        <f t="shared" si="12"/>
        <v>0</v>
      </c>
      <c r="T106" s="41">
        <v>0</v>
      </c>
      <c r="U106" s="41">
        <v>0</v>
      </c>
      <c r="V106" s="70">
        <f t="shared" si="13"/>
        <v>0</v>
      </c>
      <c r="W106" s="41">
        <v>0</v>
      </c>
      <c r="X106" s="41">
        <v>0</v>
      </c>
      <c r="Y106" s="70">
        <f t="shared" si="14"/>
        <v>0</v>
      </c>
      <c r="Z106" s="41">
        <v>0</v>
      </c>
      <c r="AA106" s="41">
        <v>0</v>
      </c>
      <c r="AB106" s="70">
        <f t="shared" si="15"/>
        <v>0</v>
      </c>
      <c r="AC106" s="41">
        <v>0</v>
      </c>
      <c r="AD106" s="41">
        <v>0</v>
      </c>
      <c r="AE106" s="70">
        <f t="shared" si="16"/>
        <v>0</v>
      </c>
      <c r="AF106" s="28">
        <f t="shared" si="17"/>
        <v>777546.00000000023</v>
      </c>
      <c r="AG106" s="28">
        <f t="shared" si="18"/>
        <v>754.8990291262138</v>
      </c>
    </row>
    <row r="107" spans="1:33" ht="57.6" x14ac:dyDescent="0.3">
      <c r="A107" s="41" t="s">
        <v>697</v>
      </c>
      <c r="B107" s="41" t="s">
        <v>693</v>
      </c>
      <c r="C107" s="41" t="s">
        <v>670</v>
      </c>
      <c r="D107" s="41" t="s">
        <v>104</v>
      </c>
      <c r="E107" s="41" t="s">
        <v>280</v>
      </c>
      <c r="F107" s="41" t="s">
        <v>709</v>
      </c>
      <c r="G107" s="83">
        <v>35000</v>
      </c>
      <c r="J107" s="84"/>
      <c r="K107" s="41"/>
      <c r="L107" s="41"/>
      <c r="M107" s="70">
        <f t="shared" si="10"/>
        <v>0</v>
      </c>
      <c r="N107" s="41">
        <v>100</v>
      </c>
      <c r="O107" s="41">
        <v>5</v>
      </c>
      <c r="P107" s="70">
        <f t="shared" si="11"/>
        <v>21175000.000000004</v>
      </c>
      <c r="Q107" s="41">
        <v>0</v>
      </c>
      <c r="R107" s="41">
        <v>0</v>
      </c>
      <c r="S107" s="70">
        <f t="shared" si="12"/>
        <v>0</v>
      </c>
      <c r="T107" s="41">
        <v>0</v>
      </c>
      <c r="U107" s="41">
        <v>0</v>
      </c>
      <c r="V107" s="70">
        <f t="shared" si="13"/>
        <v>0</v>
      </c>
      <c r="W107" s="41">
        <v>0</v>
      </c>
      <c r="X107" s="41">
        <v>0</v>
      </c>
      <c r="Y107" s="70">
        <f t="shared" si="14"/>
        <v>0</v>
      </c>
      <c r="Z107" s="41">
        <v>0</v>
      </c>
      <c r="AA107" s="41">
        <v>0</v>
      </c>
      <c r="AB107" s="70">
        <f t="shared" si="15"/>
        <v>0</v>
      </c>
      <c r="AC107" s="41">
        <v>0</v>
      </c>
      <c r="AD107" s="41">
        <v>0</v>
      </c>
      <c r="AE107" s="70">
        <f t="shared" si="16"/>
        <v>0</v>
      </c>
      <c r="AF107" s="28">
        <f t="shared" si="17"/>
        <v>21175000.000000004</v>
      </c>
      <c r="AG107" s="28">
        <f t="shared" si="18"/>
        <v>20558.25242718447</v>
      </c>
    </row>
    <row r="108" spans="1:33" ht="57.6" x14ac:dyDescent="0.3">
      <c r="A108" s="41" t="s">
        <v>697</v>
      </c>
      <c r="B108" s="41" t="s">
        <v>693</v>
      </c>
      <c r="C108" s="41" t="s">
        <v>670</v>
      </c>
      <c r="D108" s="41" t="s">
        <v>104</v>
      </c>
      <c r="E108" s="41" t="s">
        <v>280</v>
      </c>
      <c r="F108" s="41" t="s">
        <v>716</v>
      </c>
      <c r="G108" s="83">
        <v>39000</v>
      </c>
      <c r="J108" s="84"/>
      <c r="K108" s="41"/>
      <c r="L108" s="41"/>
      <c r="M108" s="70">
        <f t="shared" si="10"/>
        <v>0</v>
      </c>
      <c r="N108" s="41">
        <v>58</v>
      </c>
      <c r="O108" s="41">
        <v>6</v>
      </c>
      <c r="P108" s="70">
        <f t="shared" si="11"/>
        <v>16422120.000000004</v>
      </c>
      <c r="Q108" s="41"/>
      <c r="R108" s="41"/>
      <c r="S108" s="70">
        <f t="shared" si="12"/>
        <v>0</v>
      </c>
      <c r="T108" s="41"/>
      <c r="U108" s="41"/>
      <c r="V108" s="70">
        <f t="shared" si="13"/>
        <v>0</v>
      </c>
      <c r="W108" s="41"/>
      <c r="X108" s="41"/>
      <c r="Y108" s="70">
        <f t="shared" si="14"/>
        <v>0</v>
      </c>
      <c r="Z108" s="41"/>
      <c r="AA108" s="41"/>
      <c r="AB108" s="70">
        <f t="shared" si="15"/>
        <v>0</v>
      </c>
      <c r="AC108" s="41"/>
      <c r="AD108" s="41"/>
      <c r="AE108" s="70">
        <f t="shared" si="16"/>
        <v>0</v>
      </c>
      <c r="AF108" s="28">
        <f t="shared" si="17"/>
        <v>16422120.000000004</v>
      </c>
      <c r="AG108" s="28">
        <f t="shared" si="18"/>
        <v>15943.805825242722</v>
      </c>
    </row>
    <row r="109" spans="1:33" ht="57.6" x14ac:dyDescent="0.3">
      <c r="A109" s="41" t="s">
        <v>697</v>
      </c>
      <c r="B109" s="41" t="s">
        <v>693</v>
      </c>
      <c r="C109" s="41" t="s">
        <v>670</v>
      </c>
      <c r="D109" s="41" t="s">
        <v>104</v>
      </c>
      <c r="E109" s="41" t="s">
        <v>280</v>
      </c>
      <c r="F109" s="41" t="s">
        <v>1303</v>
      </c>
      <c r="G109" s="83">
        <f>1999.2/7</f>
        <v>285.60000000000002</v>
      </c>
      <c r="J109" s="84"/>
      <c r="K109" s="41"/>
      <c r="L109" s="41"/>
      <c r="M109" s="70">
        <f t="shared" si="10"/>
        <v>0</v>
      </c>
      <c r="N109" s="41">
        <f>135*2*29</f>
        <v>7830</v>
      </c>
      <c r="O109" s="41">
        <v>1</v>
      </c>
      <c r="P109" s="70">
        <f t="shared" si="11"/>
        <v>2705860.0800000005</v>
      </c>
      <c r="Q109" s="41"/>
      <c r="R109" s="41"/>
      <c r="S109" s="70">
        <f t="shared" si="12"/>
        <v>0</v>
      </c>
      <c r="T109" s="41"/>
      <c r="U109" s="41"/>
      <c r="V109" s="70">
        <f t="shared" si="13"/>
        <v>0</v>
      </c>
      <c r="W109" s="41"/>
      <c r="X109" s="41"/>
      <c r="Y109" s="70">
        <f t="shared" si="14"/>
        <v>0</v>
      </c>
      <c r="Z109" s="41"/>
      <c r="AA109" s="41"/>
      <c r="AB109" s="70">
        <f t="shared" si="15"/>
        <v>0</v>
      </c>
      <c r="AC109" s="41"/>
      <c r="AD109" s="41"/>
      <c r="AE109" s="70">
        <f t="shared" si="16"/>
        <v>0</v>
      </c>
      <c r="AF109" s="28">
        <f t="shared" si="17"/>
        <v>2705860.0800000005</v>
      </c>
      <c r="AG109" s="28">
        <f t="shared" si="18"/>
        <v>2627.0486213592239</v>
      </c>
    </row>
    <row r="110" spans="1:33" ht="57.6" x14ac:dyDescent="0.3">
      <c r="A110" s="41" t="s">
        <v>697</v>
      </c>
      <c r="B110" s="41" t="s">
        <v>693</v>
      </c>
      <c r="C110" s="41" t="s">
        <v>670</v>
      </c>
      <c r="D110" s="41" t="s">
        <v>104</v>
      </c>
      <c r="E110" s="41" t="s">
        <v>280</v>
      </c>
      <c r="F110" s="41" t="s">
        <v>712</v>
      </c>
      <c r="G110" s="83">
        <f>1999.2/7</f>
        <v>285.60000000000002</v>
      </c>
      <c r="J110" s="84"/>
      <c r="K110" s="41"/>
      <c r="L110" s="41"/>
      <c r="M110" s="70">
        <f t="shared" si="10"/>
        <v>0</v>
      </c>
      <c r="N110" s="41">
        <f>25*2*29</f>
        <v>1450</v>
      </c>
      <c r="O110" s="41">
        <v>5</v>
      </c>
      <c r="P110" s="70">
        <f t="shared" si="11"/>
        <v>2505426.0000000005</v>
      </c>
      <c r="Q110" s="41"/>
      <c r="R110" s="41"/>
      <c r="S110" s="70">
        <f t="shared" si="12"/>
        <v>0</v>
      </c>
      <c r="T110" s="41"/>
      <c r="U110" s="41"/>
      <c r="V110" s="70">
        <f t="shared" si="13"/>
        <v>0</v>
      </c>
      <c r="W110" s="41"/>
      <c r="X110" s="41"/>
      <c r="Y110" s="70">
        <f t="shared" si="14"/>
        <v>0</v>
      </c>
      <c r="Z110" s="41"/>
      <c r="AA110" s="41"/>
      <c r="AB110" s="70">
        <f t="shared" si="15"/>
        <v>0</v>
      </c>
      <c r="AC110" s="41"/>
      <c r="AD110" s="41"/>
      <c r="AE110" s="70">
        <f t="shared" si="16"/>
        <v>0</v>
      </c>
      <c r="AF110" s="28">
        <f t="shared" si="17"/>
        <v>2505426.0000000005</v>
      </c>
      <c r="AG110" s="28">
        <f t="shared" si="18"/>
        <v>2432.4524271844666</v>
      </c>
    </row>
    <row r="111" spans="1:33" ht="57.6" x14ac:dyDescent="0.3">
      <c r="A111" s="41" t="s">
        <v>697</v>
      </c>
      <c r="B111" s="41" t="s">
        <v>693</v>
      </c>
      <c r="C111" s="41" t="s">
        <v>670</v>
      </c>
      <c r="D111" s="41" t="s">
        <v>104</v>
      </c>
      <c r="E111" s="41" t="s">
        <v>529</v>
      </c>
      <c r="F111" s="41" t="s">
        <v>709</v>
      </c>
      <c r="G111" s="83">
        <v>35000</v>
      </c>
      <c r="J111" s="84"/>
      <c r="K111" s="41">
        <v>30</v>
      </c>
      <c r="L111" s="41">
        <v>1</v>
      </c>
      <c r="M111" s="70">
        <f t="shared" si="10"/>
        <v>1155000</v>
      </c>
      <c r="N111" s="41">
        <v>30</v>
      </c>
      <c r="O111" s="41">
        <v>1</v>
      </c>
      <c r="P111" s="70">
        <f t="shared" si="11"/>
        <v>1270500.0000000002</v>
      </c>
      <c r="Q111" s="41">
        <v>0</v>
      </c>
      <c r="R111" s="41">
        <v>0</v>
      </c>
      <c r="S111" s="70">
        <f t="shared" si="12"/>
        <v>0</v>
      </c>
      <c r="T111" s="41">
        <v>0</v>
      </c>
      <c r="U111" s="41">
        <v>0</v>
      </c>
      <c r="V111" s="70">
        <f t="shared" si="13"/>
        <v>0</v>
      </c>
      <c r="W111" s="41">
        <v>0</v>
      </c>
      <c r="X111" s="41">
        <v>0</v>
      </c>
      <c r="Y111" s="70">
        <f t="shared" si="14"/>
        <v>0</v>
      </c>
      <c r="Z111" s="41">
        <v>0</v>
      </c>
      <c r="AA111" s="41">
        <v>0</v>
      </c>
      <c r="AB111" s="70">
        <f t="shared" si="15"/>
        <v>0</v>
      </c>
      <c r="AC111" s="41">
        <v>0</v>
      </c>
      <c r="AD111" s="41">
        <v>0</v>
      </c>
      <c r="AE111" s="70">
        <f t="shared" si="16"/>
        <v>0</v>
      </c>
      <c r="AF111" s="28">
        <f t="shared" si="17"/>
        <v>2425500</v>
      </c>
      <c r="AG111" s="28">
        <f t="shared" si="18"/>
        <v>2354.8543689320391</v>
      </c>
    </row>
    <row r="112" spans="1:33" ht="57.6" x14ac:dyDescent="0.3">
      <c r="A112" s="41" t="s">
        <v>697</v>
      </c>
      <c r="B112" s="41" t="s">
        <v>693</v>
      </c>
      <c r="C112" s="41" t="s">
        <v>670</v>
      </c>
      <c r="D112" s="41" t="s">
        <v>104</v>
      </c>
      <c r="E112" s="41" t="s">
        <v>530</v>
      </c>
      <c r="F112" s="41" t="s">
        <v>718</v>
      </c>
      <c r="G112" s="83">
        <v>0</v>
      </c>
      <c r="J112" s="84"/>
      <c r="K112" s="41">
        <v>0</v>
      </c>
      <c r="L112" s="41">
        <v>0</v>
      </c>
      <c r="M112" s="70">
        <f t="shared" si="10"/>
        <v>0</v>
      </c>
      <c r="N112" s="41">
        <v>0</v>
      </c>
      <c r="O112" s="41">
        <v>0</v>
      </c>
      <c r="P112" s="70">
        <f t="shared" si="11"/>
        <v>0</v>
      </c>
      <c r="Q112" s="41">
        <v>0</v>
      </c>
      <c r="R112" s="41">
        <v>0</v>
      </c>
      <c r="S112" s="70">
        <f t="shared" si="12"/>
        <v>0</v>
      </c>
      <c r="T112" s="41">
        <v>0</v>
      </c>
      <c r="U112" s="41">
        <v>0</v>
      </c>
      <c r="V112" s="70">
        <f t="shared" si="13"/>
        <v>0</v>
      </c>
      <c r="W112" s="41">
        <v>0</v>
      </c>
      <c r="X112" s="41">
        <v>0</v>
      </c>
      <c r="Y112" s="70">
        <f t="shared" si="14"/>
        <v>0</v>
      </c>
      <c r="Z112" s="41">
        <v>0</v>
      </c>
      <c r="AA112" s="41">
        <v>0</v>
      </c>
      <c r="AB112" s="70">
        <f t="shared" si="15"/>
        <v>0</v>
      </c>
      <c r="AC112" s="41">
        <v>0</v>
      </c>
      <c r="AD112" s="41">
        <v>0</v>
      </c>
      <c r="AE112" s="70">
        <f t="shared" si="16"/>
        <v>0</v>
      </c>
      <c r="AF112" s="28">
        <f t="shared" si="17"/>
        <v>0</v>
      </c>
      <c r="AG112" s="28">
        <f t="shared" si="18"/>
        <v>0</v>
      </c>
    </row>
    <row r="113" spans="1:33" ht="57.6" x14ac:dyDescent="0.3">
      <c r="A113" s="41" t="s">
        <v>697</v>
      </c>
      <c r="B113" s="41" t="s">
        <v>693</v>
      </c>
      <c r="C113" s="41" t="s">
        <v>670</v>
      </c>
      <c r="D113" s="41" t="s">
        <v>104</v>
      </c>
      <c r="E113" s="41" t="s">
        <v>1400</v>
      </c>
      <c r="F113" s="41" t="s">
        <v>841</v>
      </c>
      <c r="G113" s="83">
        <v>391991.03749999998</v>
      </c>
      <c r="J113" s="84"/>
      <c r="K113" s="41">
        <v>1</v>
      </c>
      <c r="L113" s="41">
        <v>4</v>
      </c>
      <c r="M113" s="70">
        <f t="shared" si="10"/>
        <v>1724760.5649999999</v>
      </c>
      <c r="N113" s="41">
        <v>2</v>
      </c>
      <c r="O113" s="41">
        <v>2</v>
      </c>
      <c r="P113" s="70">
        <f t="shared" si="11"/>
        <v>1897236.6215000001</v>
      </c>
      <c r="Q113" s="41">
        <v>0</v>
      </c>
      <c r="R113" s="41">
        <v>0</v>
      </c>
      <c r="S113" s="70">
        <f t="shared" si="12"/>
        <v>0</v>
      </c>
      <c r="T113" s="41">
        <v>0</v>
      </c>
      <c r="U113" s="41">
        <v>0</v>
      </c>
      <c r="V113" s="70">
        <f t="shared" si="13"/>
        <v>0</v>
      </c>
      <c r="W113" s="41">
        <v>0</v>
      </c>
      <c r="X113" s="41">
        <v>0</v>
      </c>
      <c r="Y113" s="70">
        <f t="shared" si="14"/>
        <v>0</v>
      </c>
      <c r="Z113" s="41">
        <v>0</v>
      </c>
      <c r="AA113" s="41">
        <v>0</v>
      </c>
      <c r="AB113" s="70">
        <f t="shared" si="15"/>
        <v>0</v>
      </c>
      <c r="AC113" s="41">
        <v>0</v>
      </c>
      <c r="AD113" s="41">
        <v>0</v>
      </c>
      <c r="AE113" s="70">
        <f t="shared" si="16"/>
        <v>0</v>
      </c>
      <c r="AF113" s="28">
        <f t="shared" si="17"/>
        <v>3621997.1864999998</v>
      </c>
      <c r="AG113" s="28">
        <f t="shared" si="18"/>
        <v>3516.5021228155338</v>
      </c>
    </row>
    <row r="114" spans="1:33" ht="57.6" x14ac:dyDescent="0.3">
      <c r="A114" s="41" t="s">
        <v>697</v>
      </c>
      <c r="B114" s="41" t="s">
        <v>693</v>
      </c>
      <c r="C114" s="41" t="s">
        <v>670</v>
      </c>
      <c r="D114" s="41" t="s">
        <v>104</v>
      </c>
      <c r="E114" s="41" t="s">
        <v>1400</v>
      </c>
      <c r="F114" s="41" t="s">
        <v>741</v>
      </c>
      <c r="G114" s="83">
        <f>42000*1030</f>
        <v>43260000</v>
      </c>
      <c r="J114" s="84"/>
      <c r="K114" s="41">
        <v>0</v>
      </c>
      <c r="L114" s="41">
        <v>0</v>
      </c>
      <c r="M114" s="70">
        <f t="shared" si="10"/>
        <v>0</v>
      </c>
      <c r="P114" s="70">
        <f t="shared" si="11"/>
        <v>0</v>
      </c>
      <c r="Q114" s="41">
        <v>1</v>
      </c>
      <c r="R114" s="41">
        <v>1</v>
      </c>
      <c r="S114" s="70">
        <f t="shared" si="12"/>
        <v>57579060.000000015</v>
      </c>
      <c r="T114" s="41">
        <v>0</v>
      </c>
      <c r="U114" s="41">
        <v>0</v>
      </c>
      <c r="V114" s="70">
        <f t="shared" si="13"/>
        <v>0</v>
      </c>
      <c r="W114" s="41">
        <v>0</v>
      </c>
      <c r="X114" s="41">
        <v>0</v>
      </c>
      <c r="Y114" s="70">
        <f t="shared" si="14"/>
        <v>0</v>
      </c>
      <c r="Z114" s="41">
        <v>0</v>
      </c>
      <c r="AA114" s="41">
        <v>0</v>
      </c>
      <c r="AB114" s="70">
        <f t="shared" si="15"/>
        <v>0</v>
      </c>
      <c r="AC114" s="41">
        <v>0</v>
      </c>
      <c r="AD114" s="41">
        <v>0</v>
      </c>
      <c r="AE114" s="70">
        <f t="shared" si="16"/>
        <v>0</v>
      </c>
      <c r="AF114" s="28">
        <f t="shared" si="17"/>
        <v>57579060.000000015</v>
      </c>
      <c r="AG114" s="28">
        <f t="shared" si="18"/>
        <v>55902.000000000015</v>
      </c>
    </row>
    <row r="115" spans="1:33" ht="57.6" x14ac:dyDescent="0.3">
      <c r="A115" s="41" t="s">
        <v>697</v>
      </c>
      <c r="B115" s="41" t="s">
        <v>693</v>
      </c>
      <c r="C115" s="41" t="s">
        <v>670</v>
      </c>
      <c r="D115" s="41" t="s">
        <v>104</v>
      </c>
      <c r="E115" s="41" t="s">
        <v>532</v>
      </c>
      <c r="F115" s="41" t="s">
        <v>716</v>
      </c>
      <c r="G115" s="83">
        <v>39000</v>
      </c>
      <c r="J115" s="84"/>
      <c r="K115" s="41">
        <v>0</v>
      </c>
      <c r="L115" s="41">
        <v>0</v>
      </c>
      <c r="M115" s="70">
        <f t="shared" si="10"/>
        <v>0</v>
      </c>
      <c r="P115" s="70">
        <f t="shared" si="11"/>
        <v>0</v>
      </c>
      <c r="Q115" s="41">
        <v>30</v>
      </c>
      <c r="R115" s="41">
        <v>6</v>
      </c>
      <c r="S115" s="70">
        <f t="shared" si="12"/>
        <v>9343620.0000000037</v>
      </c>
      <c r="T115" s="41">
        <v>30</v>
      </c>
      <c r="U115" s="41">
        <v>6</v>
      </c>
      <c r="V115" s="70">
        <f t="shared" si="13"/>
        <v>10277982.000000004</v>
      </c>
      <c r="W115" s="41">
        <v>30</v>
      </c>
      <c r="X115" s="41">
        <v>6</v>
      </c>
      <c r="Y115" s="70">
        <f t="shared" si="14"/>
        <v>11305780.200000003</v>
      </c>
      <c r="Z115" s="41">
        <v>0</v>
      </c>
      <c r="AA115" s="41">
        <v>0</v>
      </c>
      <c r="AB115" s="70">
        <f t="shared" si="15"/>
        <v>0</v>
      </c>
      <c r="AC115" s="41">
        <v>0</v>
      </c>
      <c r="AD115" s="41">
        <v>0</v>
      </c>
      <c r="AE115" s="70">
        <f t="shared" si="16"/>
        <v>0</v>
      </c>
      <c r="AF115" s="28">
        <f t="shared" si="17"/>
        <v>30927382.20000001</v>
      </c>
      <c r="AG115" s="28">
        <f t="shared" si="18"/>
        <v>30026.584660194185</v>
      </c>
    </row>
    <row r="116" spans="1:33" ht="57.6" x14ac:dyDescent="0.3">
      <c r="A116" s="41" t="s">
        <v>697</v>
      </c>
      <c r="B116" s="41" t="s">
        <v>693</v>
      </c>
      <c r="C116" s="41" t="s">
        <v>670</v>
      </c>
      <c r="D116" s="41" t="s">
        <v>104</v>
      </c>
      <c r="E116" s="41" t="s">
        <v>532</v>
      </c>
      <c r="F116" s="41" t="s">
        <v>709</v>
      </c>
      <c r="G116" s="83">
        <v>35000</v>
      </c>
      <c r="J116" s="84"/>
      <c r="K116" s="41">
        <v>0</v>
      </c>
      <c r="L116" s="41">
        <v>0</v>
      </c>
      <c r="M116" s="70">
        <f t="shared" si="10"/>
        <v>0</v>
      </c>
      <c r="P116" s="70">
        <f t="shared" si="11"/>
        <v>0</v>
      </c>
      <c r="Q116" s="41">
        <v>30</v>
      </c>
      <c r="R116" s="41">
        <v>5</v>
      </c>
      <c r="S116" s="70">
        <f t="shared" si="12"/>
        <v>6987750.0000000019</v>
      </c>
      <c r="T116" s="41">
        <v>30</v>
      </c>
      <c r="U116" s="41">
        <v>5</v>
      </c>
      <c r="V116" s="70">
        <f t="shared" si="13"/>
        <v>7686525.0000000019</v>
      </c>
      <c r="W116" s="41">
        <v>30</v>
      </c>
      <c r="X116" s="41">
        <v>5</v>
      </c>
      <c r="Y116" s="70">
        <f t="shared" si="14"/>
        <v>8455177.5000000037</v>
      </c>
      <c r="Z116" s="41">
        <v>0</v>
      </c>
      <c r="AA116" s="41">
        <v>0</v>
      </c>
      <c r="AB116" s="70">
        <f t="shared" si="15"/>
        <v>0</v>
      </c>
      <c r="AC116" s="41">
        <v>0</v>
      </c>
      <c r="AD116" s="41">
        <v>0</v>
      </c>
      <c r="AE116" s="70">
        <f t="shared" si="16"/>
        <v>0</v>
      </c>
      <c r="AF116" s="28">
        <f t="shared" si="17"/>
        <v>23129452.500000007</v>
      </c>
      <c r="AG116" s="28">
        <f t="shared" si="18"/>
        <v>22455.779126213598</v>
      </c>
    </row>
    <row r="117" spans="1:33" ht="57.6" x14ac:dyDescent="0.3">
      <c r="A117" s="41" t="s">
        <v>697</v>
      </c>
      <c r="B117" s="41" t="s">
        <v>693</v>
      </c>
      <c r="C117" s="41" t="s">
        <v>670</v>
      </c>
      <c r="D117" s="41" t="s">
        <v>104</v>
      </c>
      <c r="E117" s="41" t="s">
        <v>532</v>
      </c>
      <c r="F117" s="41" t="s">
        <v>712</v>
      </c>
      <c r="G117" s="83">
        <f>1999.2/7</f>
        <v>285.60000000000002</v>
      </c>
      <c r="J117" s="84"/>
      <c r="K117" s="41">
        <v>0</v>
      </c>
      <c r="L117" s="41">
        <v>0</v>
      </c>
      <c r="M117" s="70">
        <f t="shared" si="10"/>
        <v>0</v>
      </c>
      <c r="P117" s="70">
        <f t="shared" si="11"/>
        <v>0</v>
      </c>
      <c r="Q117" s="41">
        <f>25*2*10</f>
        <v>500</v>
      </c>
      <c r="R117" s="41">
        <v>5</v>
      </c>
      <c r="S117" s="70">
        <f t="shared" si="12"/>
        <v>950334.00000000035</v>
      </c>
      <c r="T117" s="41">
        <f>25*2*10</f>
        <v>500</v>
      </c>
      <c r="U117" s="41">
        <v>5</v>
      </c>
      <c r="V117" s="70">
        <f t="shared" si="13"/>
        <v>1045367.4000000004</v>
      </c>
      <c r="W117" s="41">
        <f>25*2*10</f>
        <v>500</v>
      </c>
      <c r="X117" s="41">
        <v>5</v>
      </c>
      <c r="Y117" s="70">
        <f t="shared" si="14"/>
        <v>1149904.1400000006</v>
      </c>
      <c r="Z117" s="41">
        <v>0</v>
      </c>
      <c r="AA117" s="41">
        <v>0</v>
      </c>
      <c r="AB117" s="70">
        <f t="shared" si="15"/>
        <v>0</v>
      </c>
      <c r="AC117" s="41">
        <v>0</v>
      </c>
      <c r="AD117" s="41">
        <v>0</v>
      </c>
      <c r="AE117" s="70">
        <f t="shared" si="16"/>
        <v>0</v>
      </c>
      <c r="AF117" s="28">
        <f t="shared" si="17"/>
        <v>3145605.5400000014</v>
      </c>
      <c r="AG117" s="28">
        <f t="shared" si="18"/>
        <v>3053.98596116505</v>
      </c>
    </row>
    <row r="118" spans="1:33" ht="57.6" x14ac:dyDescent="0.3">
      <c r="A118" s="41" t="s">
        <v>697</v>
      </c>
      <c r="B118" s="41" t="s">
        <v>693</v>
      </c>
      <c r="C118" s="41" t="s">
        <v>670</v>
      </c>
      <c r="D118" s="41" t="s">
        <v>104</v>
      </c>
      <c r="E118" s="41" t="s">
        <v>532</v>
      </c>
      <c r="F118" s="41" t="s">
        <v>1303</v>
      </c>
      <c r="G118" s="83">
        <f>1999.2/7</f>
        <v>285.60000000000002</v>
      </c>
      <c r="J118" s="84"/>
      <c r="K118" s="41"/>
      <c r="L118" s="41"/>
      <c r="M118" s="70">
        <f t="shared" si="10"/>
        <v>0</v>
      </c>
      <c r="P118" s="70">
        <f t="shared" si="11"/>
        <v>0</v>
      </c>
      <c r="Q118" s="41">
        <f>135*2*10</f>
        <v>2700</v>
      </c>
      <c r="R118" s="41">
        <v>1</v>
      </c>
      <c r="S118" s="70">
        <f t="shared" si="12"/>
        <v>1026360.7200000004</v>
      </c>
      <c r="T118" s="41">
        <f>135*2*10</f>
        <v>2700</v>
      </c>
      <c r="U118" s="41">
        <v>1</v>
      </c>
      <c r="V118" s="70">
        <f t="shared" si="13"/>
        <v>1128996.7920000004</v>
      </c>
      <c r="W118" s="41">
        <f>135*2*10</f>
        <v>2700</v>
      </c>
      <c r="X118" s="41">
        <v>1</v>
      </c>
      <c r="Y118" s="70">
        <f t="shared" si="14"/>
        <v>1241896.4712000005</v>
      </c>
      <c r="Z118" s="41"/>
      <c r="AA118" s="41"/>
      <c r="AB118" s="70">
        <f t="shared" si="15"/>
        <v>0</v>
      </c>
      <c r="AC118" s="41"/>
      <c r="AD118" s="41"/>
      <c r="AE118" s="70">
        <f t="shared" si="16"/>
        <v>0</v>
      </c>
      <c r="AF118" s="28">
        <f t="shared" si="17"/>
        <v>3397253.9832000015</v>
      </c>
      <c r="AG118" s="28">
        <f t="shared" si="18"/>
        <v>3298.3048380582541</v>
      </c>
    </row>
    <row r="119" spans="1:33" ht="57.6" x14ac:dyDescent="0.3">
      <c r="A119" s="41" t="s">
        <v>697</v>
      </c>
      <c r="B119" s="41" t="s">
        <v>693</v>
      </c>
      <c r="C119" s="41" t="s">
        <v>670</v>
      </c>
      <c r="D119" s="41" t="s">
        <v>104</v>
      </c>
      <c r="E119" s="41" t="s">
        <v>533</v>
      </c>
      <c r="F119" s="41" t="s">
        <v>718</v>
      </c>
      <c r="G119" s="83">
        <v>0</v>
      </c>
      <c r="H119" s="41">
        <v>0</v>
      </c>
      <c r="I119" s="41">
        <v>0</v>
      </c>
      <c r="J119" s="83">
        <f t="shared" ref="J119:J125" si="20">G119*H119*I119</f>
        <v>0</v>
      </c>
      <c r="K119" s="41">
        <v>0</v>
      </c>
      <c r="L119" s="41">
        <v>0</v>
      </c>
      <c r="M119" s="70">
        <f t="shared" si="10"/>
        <v>0</v>
      </c>
      <c r="N119" s="41">
        <v>0</v>
      </c>
      <c r="O119" s="41">
        <v>0</v>
      </c>
      <c r="P119" s="70">
        <f t="shared" si="11"/>
        <v>0</v>
      </c>
      <c r="Q119" s="41">
        <v>0</v>
      </c>
      <c r="R119" s="41">
        <v>0</v>
      </c>
      <c r="S119" s="70">
        <f t="shared" si="12"/>
        <v>0</v>
      </c>
      <c r="T119" s="41">
        <v>0</v>
      </c>
      <c r="U119" s="41">
        <v>0</v>
      </c>
      <c r="V119" s="70">
        <f t="shared" si="13"/>
        <v>0</v>
      </c>
      <c r="W119" s="41">
        <v>0</v>
      </c>
      <c r="X119" s="41">
        <v>0</v>
      </c>
      <c r="Y119" s="70">
        <f t="shared" si="14"/>
        <v>0</v>
      </c>
      <c r="Z119" s="41">
        <v>0</v>
      </c>
      <c r="AA119" s="41">
        <v>0</v>
      </c>
      <c r="AB119" s="70">
        <f t="shared" si="15"/>
        <v>0</v>
      </c>
      <c r="AC119" s="41">
        <v>0</v>
      </c>
      <c r="AD119" s="41">
        <v>0</v>
      </c>
      <c r="AE119" s="70">
        <f t="shared" si="16"/>
        <v>0</v>
      </c>
      <c r="AF119" s="28">
        <f t="shared" si="17"/>
        <v>0</v>
      </c>
      <c r="AG119" s="28">
        <f t="shared" si="18"/>
        <v>0</v>
      </c>
    </row>
    <row r="120" spans="1:33" ht="57.6" x14ac:dyDescent="0.3">
      <c r="A120" s="41" t="s">
        <v>697</v>
      </c>
      <c r="B120" s="41" t="s">
        <v>693</v>
      </c>
      <c r="C120" s="41" t="s">
        <v>670</v>
      </c>
      <c r="D120" s="41" t="s">
        <v>105</v>
      </c>
      <c r="E120" s="41" t="s">
        <v>534</v>
      </c>
      <c r="F120" s="41" t="s">
        <v>718</v>
      </c>
      <c r="G120" s="83">
        <v>0</v>
      </c>
      <c r="H120" s="41">
        <v>0</v>
      </c>
      <c r="I120" s="41">
        <v>0</v>
      </c>
      <c r="J120" s="83">
        <f t="shared" si="20"/>
        <v>0</v>
      </c>
      <c r="K120" s="41">
        <v>0</v>
      </c>
      <c r="L120" s="41">
        <v>0</v>
      </c>
      <c r="M120" s="70">
        <f t="shared" si="10"/>
        <v>0</v>
      </c>
      <c r="N120" s="41">
        <v>0</v>
      </c>
      <c r="O120" s="41">
        <v>0</v>
      </c>
      <c r="P120" s="70">
        <f t="shared" si="11"/>
        <v>0</v>
      </c>
      <c r="Q120" s="41">
        <v>0</v>
      </c>
      <c r="R120" s="41">
        <v>0</v>
      </c>
      <c r="S120" s="70">
        <f t="shared" si="12"/>
        <v>0</v>
      </c>
      <c r="T120" s="41">
        <v>0</v>
      </c>
      <c r="U120" s="41">
        <v>0</v>
      </c>
      <c r="V120" s="70">
        <f t="shared" si="13"/>
        <v>0</v>
      </c>
      <c r="W120" s="41">
        <v>0</v>
      </c>
      <c r="X120" s="41">
        <v>0</v>
      </c>
      <c r="Y120" s="70">
        <f t="shared" si="14"/>
        <v>0</v>
      </c>
      <c r="Z120" s="41">
        <v>0</v>
      </c>
      <c r="AA120" s="41">
        <v>0</v>
      </c>
      <c r="AB120" s="70">
        <f t="shared" si="15"/>
        <v>0</v>
      </c>
      <c r="AC120" s="41">
        <v>0</v>
      </c>
      <c r="AD120" s="41">
        <v>0</v>
      </c>
      <c r="AE120" s="70">
        <f t="shared" si="16"/>
        <v>0</v>
      </c>
      <c r="AF120" s="28">
        <f t="shared" si="17"/>
        <v>0</v>
      </c>
      <c r="AG120" s="28">
        <f t="shared" si="18"/>
        <v>0</v>
      </c>
    </row>
    <row r="121" spans="1:33" ht="57.6" x14ac:dyDescent="0.3">
      <c r="A121" s="41" t="s">
        <v>697</v>
      </c>
      <c r="B121" s="41" t="s">
        <v>693</v>
      </c>
      <c r="C121" s="41" t="s">
        <v>670</v>
      </c>
      <c r="D121" s="41" t="s">
        <v>105</v>
      </c>
      <c r="E121" s="41" t="s">
        <v>535</v>
      </c>
      <c r="F121" s="41" t="s">
        <v>709</v>
      </c>
      <c r="G121" s="83">
        <v>35000</v>
      </c>
      <c r="H121" s="41">
        <v>30</v>
      </c>
      <c r="I121" s="41">
        <v>2</v>
      </c>
      <c r="J121" s="83">
        <f t="shared" si="20"/>
        <v>2100000</v>
      </c>
      <c r="K121" s="41">
        <v>30</v>
      </c>
      <c r="L121" s="41">
        <v>2</v>
      </c>
      <c r="M121" s="70">
        <f t="shared" si="10"/>
        <v>2310000</v>
      </c>
      <c r="N121" s="41">
        <v>30</v>
      </c>
      <c r="O121" s="41">
        <v>2</v>
      </c>
      <c r="P121" s="70">
        <f t="shared" si="11"/>
        <v>2541000.0000000005</v>
      </c>
      <c r="Q121" s="41">
        <v>30</v>
      </c>
      <c r="R121" s="41">
        <v>2</v>
      </c>
      <c r="S121" s="70">
        <f t="shared" si="12"/>
        <v>2795100.0000000009</v>
      </c>
      <c r="T121" s="41">
        <v>30</v>
      </c>
      <c r="U121" s="41">
        <v>2</v>
      </c>
      <c r="V121" s="70">
        <f t="shared" si="13"/>
        <v>3074610.0000000009</v>
      </c>
      <c r="W121" s="41">
        <v>30</v>
      </c>
      <c r="X121" s="41">
        <v>2</v>
      </c>
      <c r="Y121" s="70">
        <f t="shared" si="14"/>
        <v>3382071.0000000014</v>
      </c>
      <c r="Z121" s="41">
        <v>30</v>
      </c>
      <c r="AA121" s="41">
        <v>2</v>
      </c>
      <c r="AB121" s="70">
        <f t="shared" si="15"/>
        <v>3720278.100000002</v>
      </c>
      <c r="AC121" s="41">
        <v>30</v>
      </c>
      <c r="AD121" s="41">
        <v>2</v>
      </c>
      <c r="AE121" s="70">
        <f t="shared" si="16"/>
        <v>4092305.910000002</v>
      </c>
      <c r="AF121" s="28">
        <f t="shared" si="17"/>
        <v>24015365.010000005</v>
      </c>
      <c r="AG121" s="28">
        <f t="shared" si="18"/>
        <v>23315.888359223307</v>
      </c>
    </row>
    <row r="122" spans="1:33" ht="57.6" x14ac:dyDescent="0.3">
      <c r="A122" s="41" t="s">
        <v>697</v>
      </c>
      <c r="B122" s="41" t="s">
        <v>693</v>
      </c>
      <c r="C122" s="41" t="s">
        <v>670</v>
      </c>
      <c r="D122" s="41" t="s">
        <v>105</v>
      </c>
      <c r="E122" s="41" t="s">
        <v>536</v>
      </c>
      <c r="F122" s="41" t="s">
        <v>709</v>
      </c>
      <c r="G122" s="83">
        <v>35000</v>
      </c>
      <c r="H122" s="41">
        <v>30</v>
      </c>
      <c r="I122" s="41">
        <v>2</v>
      </c>
      <c r="J122" s="83">
        <f t="shared" si="20"/>
        <v>2100000</v>
      </c>
      <c r="K122" s="41">
        <v>30</v>
      </c>
      <c r="L122" s="41">
        <v>2</v>
      </c>
      <c r="M122" s="70">
        <f t="shared" si="10"/>
        <v>2310000</v>
      </c>
      <c r="N122" s="41">
        <v>30</v>
      </c>
      <c r="O122" s="41">
        <v>2</v>
      </c>
      <c r="P122" s="70">
        <f t="shared" si="11"/>
        <v>2541000.0000000005</v>
      </c>
      <c r="Q122" s="41">
        <v>30</v>
      </c>
      <c r="R122" s="41">
        <v>2</v>
      </c>
      <c r="S122" s="70">
        <f t="shared" si="12"/>
        <v>2795100.0000000009</v>
      </c>
      <c r="T122" s="41">
        <v>30</v>
      </c>
      <c r="U122" s="41">
        <v>2</v>
      </c>
      <c r="V122" s="70">
        <f t="shared" si="13"/>
        <v>3074610.0000000009</v>
      </c>
      <c r="W122" s="41">
        <v>30</v>
      </c>
      <c r="X122" s="41">
        <v>2</v>
      </c>
      <c r="Y122" s="70">
        <f t="shared" si="14"/>
        <v>3382071.0000000014</v>
      </c>
      <c r="Z122" s="41">
        <v>30</v>
      </c>
      <c r="AA122" s="41">
        <v>2</v>
      </c>
      <c r="AB122" s="70">
        <f t="shared" si="15"/>
        <v>3720278.100000002</v>
      </c>
      <c r="AC122" s="41">
        <v>30</v>
      </c>
      <c r="AD122" s="41">
        <v>2</v>
      </c>
      <c r="AE122" s="70">
        <f t="shared" si="16"/>
        <v>4092305.910000002</v>
      </c>
      <c r="AF122" s="28">
        <f t="shared" si="17"/>
        <v>24015365.010000005</v>
      </c>
      <c r="AG122" s="28">
        <f t="shared" si="18"/>
        <v>23315.888359223307</v>
      </c>
    </row>
    <row r="123" spans="1:33" ht="57.6" x14ac:dyDescent="0.3">
      <c r="A123" s="41" t="s">
        <v>697</v>
      </c>
      <c r="B123" s="41" t="s">
        <v>693</v>
      </c>
      <c r="C123" s="41" t="s">
        <v>670</v>
      </c>
      <c r="D123" s="41" t="s">
        <v>106</v>
      </c>
      <c r="E123" s="41" t="s">
        <v>537</v>
      </c>
      <c r="F123" s="41" t="s">
        <v>718</v>
      </c>
      <c r="G123" s="83">
        <v>0</v>
      </c>
      <c r="H123" s="41">
        <v>0</v>
      </c>
      <c r="I123" s="41">
        <v>0</v>
      </c>
      <c r="J123" s="83">
        <f t="shared" si="20"/>
        <v>0</v>
      </c>
      <c r="K123" s="41">
        <v>0</v>
      </c>
      <c r="L123" s="41">
        <v>0</v>
      </c>
      <c r="M123" s="70">
        <f t="shared" si="10"/>
        <v>0</v>
      </c>
      <c r="N123" s="41">
        <v>0</v>
      </c>
      <c r="O123" s="41">
        <v>0</v>
      </c>
      <c r="P123" s="70">
        <f t="shared" si="11"/>
        <v>0</v>
      </c>
      <c r="Q123" s="41">
        <v>0</v>
      </c>
      <c r="R123" s="41">
        <v>0</v>
      </c>
      <c r="S123" s="70">
        <f t="shared" si="12"/>
        <v>0</v>
      </c>
      <c r="T123" s="41">
        <v>0</v>
      </c>
      <c r="U123" s="41">
        <v>0</v>
      </c>
      <c r="V123" s="70">
        <f t="shared" si="13"/>
        <v>0</v>
      </c>
      <c r="W123" s="41">
        <v>0</v>
      </c>
      <c r="X123" s="41">
        <v>0</v>
      </c>
      <c r="Y123" s="70">
        <f t="shared" si="14"/>
        <v>0</v>
      </c>
      <c r="Z123" s="41">
        <v>0</v>
      </c>
      <c r="AA123" s="41">
        <v>0</v>
      </c>
      <c r="AB123" s="70">
        <f t="shared" si="15"/>
        <v>0</v>
      </c>
      <c r="AC123" s="41">
        <v>0</v>
      </c>
      <c r="AD123" s="41">
        <v>0</v>
      </c>
      <c r="AE123" s="70">
        <f t="shared" si="16"/>
        <v>0</v>
      </c>
      <c r="AF123" s="28">
        <f t="shared" si="17"/>
        <v>0</v>
      </c>
      <c r="AG123" s="28">
        <f t="shared" si="18"/>
        <v>0</v>
      </c>
    </row>
    <row r="124" spans="1:33" ht="57.6" x14ac:dyDescent="0.3">
      <c r="A124" s="41" t="s">
        <v>697</v>
      </c>
      <c r="B124" s="41" t="s">
        <v>693</v>
      </c>
      <c r="C124" s="41" t="s">
        <v>670</v>
      </c>
      <c r="D124" s="41" t="s">
        <v>106</v>
      </c>
      <c r="E124" s="41" t="s">
        <v>184</v>
      </c>
      <c r="F124" s="41" t="s">
        <v>718</v>
      </c>
      <c r="G124" s="83">
        <v>0</v>
      </c>
      <c r="H124" s="41">
        <v>0</v>
      </c>
      <c r="I124" s="41">
        <v>0</v>
      </c>
      <c r="J124" s="83">
        <f t="shared" si="20"/>
        <v>0</v>
      </c>
      <c r="K124" s="41">
        <v>0</v>
      </c>
      <c r="L124" s="41">
        <v>0</v>
      </c>
      <c r="M124" s="70">
        <f t="shared" si="10"/>
        <v>0</v>
      </c>
      <c r="N124" s="41">
        <v>0</v>
      </c>
      <c r="O124" s="41">
        <v>0</v>
      </c>
      <c r="P124" s="70">
        <f t="shared" si="11"/>
        <v>0</v>
      </c>
      <c r="Q124" s="41">
        <v>0</v>
      </c>
      <c r="R124" s="41">
        <v>0</v>
      </c>
      <c r="S124" s="70">
        <f t="shared" si="12"/>
        <v>0</v>
      </c>
      <c r="T124" s="41">
        <v>0</v>
      </c>
      <c r="U124" s="41">
        <v>0</v>
      </c>
      <c r="V124" s="70">
        <f t="shared" si="13"/>
        <v>0</v>
      </c>
      <c r="W124" s="41">
        <v>0</v>
      </c>
      <c r="X124" s="41">
        <v>0</v>
      </c>
      <c r="Y124" s="70">
        <f t="shared" si="14"/>
        <v>0</v>
      </c>
      <c r="Z124" s="41">
        <v>0</v>
      </c>
      <c r="AA124" s="41">
        <v>0</v>
      </c>
      <c r="AB124" s="70">
        <f t="shared" si="15"/>
        <v>0</v>
      </c>
      <c r="AC124" s="41">
        <v>0</v>
      </c>
      <c r="AD124" s="41">
        <v>0</v>
      </c>
      <c r="AE124" s="70">
        <f t="shared" si="16"/>
        <v>0</v>
      </c>
      <c r="AF124" s="28">
        <f t="shared" si="17"/>
        <v>0</v>
      </c>
      <c r="AG124" s="28">
        <f t="shared" si="18"/>
        <v>0</v>
      </c>
    </row>
    <row r="125" spans="1:33" ht="57.6" x14ac:dyDescent="0.3">
      <c r="A125" s="41" t="s">
        <v>697</v>
      </c>
      <c r="B125" s="41" t="s">
        <v>693</v>
      </c>
      <c r="C125" s="41" t="s">
        <v>670</v>
      </c>
      <c r="D125" s="41" t="s">
        <v>106</v>
      </c>
      <c r="E125" s="41" t="s">
        <v>538</v>
      </c>
      <c r="F125" s="41" t="s">
        <v>718</v>
      </c>
      <c r="G125" s="83">
        <v>0</v>
      </c>
      <c r="H125" s="41">
        <v>0</v>
      </c>
      <c r="I125" s="41">
        <v>0</v>
      </c>
      <c r="J125" s="83">
        <f t="shared" si="20"/>
        <v>0</v>
      </c>
      <c r="K125" s="41">
        <v>0</v>
      </c>
      <c r="L125" s="41">
        <v>0</v>
      </c>
      <c r="M125" s="70">
        <f t="shared" si="10"/>
        <v>0</v>
      </c>
      <c r="N125" s="41">
        <v>0</v>
      </c>
      <c r="O125" s="41">
        <v>0</v>
      </c>
      <c r="P125" s="70">
        <f t="shared" si="11"/>
        <v>0</v>
      </c>
      <c r="Q125" s="41">
        <v>0</v>
      </c>
      <c r="R125" s="41">
        <v>0</v>
      </c>
      <c r="S125" s="70">
        <f t="shared" si="12"/>
        <v>0</v>
      </c>
      <c r="T125" s="41">
        <v>0</v>
      </c>
      <c r="U125" s="41">
        <v>0</v>
      </c>
      <c r="V125" s="70">
        <f t="shared" si="13"/>
        <v>0</v>
      </c>
      <c r="W125" s="41">
        <v>0</v>
      </c>
      <c r="X125" s="41">
        <v>0</v>
      </c>
      <c r="Y125" s="70">
        <f t="shared" si="14"/>
        <v>0</v>
      </c>
      <c r="Z125" s="41">
        <v>0</v>
      </c>
      <c r="AA125" s="41">
        <v>0</v>
      </c>
      <c r="AB125" s="70">
        <f t="shared" si="15"/>
        <v>0</v>
      </c>
      <c r="AC125" s="41">
        <v>0</v>
      </c>
      <c r="AD125" s="41">
        <v>0</v>
      </c>
      <c r="AE125" s="70">
        <f t="shared" si="16"/>
        <v>0</v>
      </c>
      <c r="AF125" s="28">
        <f t="shared" si="17"/>
        <v>0</v>
      </c>
      <c r="AG125" s="28">
        <f t="shared" si="18"/>
        <v>0</v>
      </c>
    </row>
    <row r="126" spans="1:33" ht="57.6" x14ac:dyDescent="0.3">
      <c r="A126" s="41" t="s">
        <v>697</v>
      </c>
      <c r="B126" s="41" t="s">
        <v>693</v>
      </c>
      <c r="C126" s="41" t="s">
        <v>670</v>
      </c>
      <c r="D126" s="41" t="s">
        <v>106</v>
      </c>
      <c r="E126" s="41" t="s">
        <v>539</v>
      </c>
      <c r="F126" s="41" t="s">
        <v>707</v>
      </c>
      <c r="G126" s="83">
        <v>391991.03749999998</v>
      </c>
      <c r="J126" s="84"/>
      <c r="K126" s="41">
        <v>0</v>
      </c>
      <c r="L126" s="41">
        <v>0</v>
      </c>
      <c r="M126" s="70">
        <f t="shared" si="10"/>
        <v>0</v>
      </c>
      <c r="N126" s="41">
        <v>2</v>
      </c>
      <c r="O126" s="41">
        <v>2</v>
      </c>
      <c r="P126" s="70">
        <f t="shared" si="11"/>
        <v>1897236.6215000001</v>
      </c>
      <c r="Q126" s="41">
        <v>2</v>
      </c>
      <c r="R126" s="41">
        <v>2</v>
      </c>
      <c r="S126" s="70">
        <f t="shared" si="12"/>
        <v>2086960.2836500006</v>
      </c>
      <c r="T126" s="41">
        <v>2</v>
      </c>
      <c r="U126" s="41">
        <v>2</v>
      </c>
      <c r="V126" s="70">
        <f t="shared" si="13"/>
        <v>2295656.3120150003</v>
      </c>
      <c r="W126" s="41">
        <v>0</v>
      </c>
      <c r="X126" s="41">
        <v>0</v>
      </c>
      <c r="Y126" s="70">
        <f t="shared" si="14"/>
        <v>0</v>
      </c>
      <c r="Z126" s="41">
        <v>0</v>
      </c>
      <c r="AA126" s="41">
        <v>0</v>
      </c>
      <c r="AB126" s="70">
        <f t="shared" si="15"/>
        <v>0</v>
      </c>
      <c r="AC126" s="41">
        <v>0</v>
      </c>
      <c r="AD126" s="41">
        <v>0</v>
      </c>
      <c r="AE126" s="70">
        <f t="shared" si="16"/>
        <v>0</v>
      </c>
      <c r="AF126" s="28">
        <f t="shared" si="17"/>
        <v>6279853.2171650007</v>
      </c>
      <c r="AG126" s="28">
        <f t="shared" si="18"/>
        <v>6096.9448710339811</v>
      </c>
    </row>
    <row r="127" spans="1:33" ht="57.6" x14ac:dyDescent="0.3">
      <c r="A127" s="41" t="s">
        <v>697</v>
      </c>
      <c r="B127" s="41" t="s">
        <v>693</v>
      </c>
      <c r="C127" s="41" t="s">
        <v>670</v>
      </c>
      <c r="D127" s="41" t="s">
        <v>106</v>
      </c>
      <c r="E127" s="41" t="s">
        <v>539</v>
      </c>
      <c r="F127" s="41" t="s">
        <v>708</v>
      </c>
      <c r="G127" s="83">
        <f>500*1030</f>
        <v>515000</v>
      </c>
      <c r="J127" s="84"/>
      <c r="K127" s="41">
        <v>0</v>
      </c>
      <c r="L127" s="41">
        <v>0</v>
      </c>
      <c r="M127" s="70">
        <f t="shared" si="10"/>
        <v>0</v>
      </c>
      <c r="N127" s="41">
        <v>1</v>
      </c>
      <c r="O127" s="41">
        <v>25</v>
      </c>
      <c r="P127" s="70">
        <f t="shared" si="11"/>
        <v>15578750.000000004</v>
      </c>
      <c r="Q127" s="41">
        <v>1</v>
      </c>
      <c r="R127" s="41">
        <v>25</v>
      </c>
      <c r="S127" s="70">
        <f t="shared" si="12"/>
        <v>17136625.000000007</v>
      </c>
      <c r="T127" s="41">
        <v>1</v>
      </c>
      <c r="U127" s="41">
        <v>25</v>
      </c>
      <c r="V127" s="70">
        <f t="shared" si="13"/>
        <v>18850287.500000007</v>
      </c>
      <c r="W127" s="41">
        <v>0</v>
      </c>
      <c r="X127" s="41">
        <v>0</v>
      </c>
      <c r="Y127" s="70">
        <f t="shared" si="14"/>
        <v>0</v>
      </c>
      <c r="Z127" s="41">
        <v>0</v>
      </c>
      <c r="AA127" s="41">
        <v>0</v>
      </c>
      <c r="AB127" s="70">
        <f t="shared" si="15"/>
        <v>0</v>
      </c>
      <c r="AC127" s="41">
        <v>0</v>
      </c>
      <c r="AD127" s="41">
        <v>0</v>
      </c>
      <c r="AE127" s="70">
        <f t="shared" si="16"/>
        <v>0</v>
      </c>
      <c r="AF127" s="28">
        <f t="shared" si="17"/>
        <v>51565662.500000015</v>
      </c>
      <c r="AG127" s="28">
        <f t="shared" si="18"/>
        <v>50063.750000000015</v>
      </c>
    </row>
    <row r="128" spans="1:33" ht="57.6" x14ac:dyDescent="0.3">
      <c r="A128" s="41" t="s">
        <v>697</v>
      </c>
      <c r="B128" s="41" t="s">
        <v>693</v>
      </c>
      <c r="C128" s="41" t="s">
        <v>670</v>
      </c>
      <c r="D128" s="41" t="s">
        <v>106</v>
      </c>
      <c r="E128" s="41" t="s">
        <v>540</v>
      </c>
      <c r="F128" s="41" t="s">
        <v>789</v>
      </c>
      <c r="G128" s="83">
        <f>780000*1030</f>
        <v>803400000</v>
      </c>
      <c r="J128" s="84"/>
      <c r="K128" s="41">
        <v>0</v>
      </c>
      <c r="L128" s="41">
        <v>0</v>
      </c>
      <c r="M128" s="70">
        <f t="shared" si="10"/>
        <v>0</v>
      </c>
      <c r="N128" s="41">
        <v>1</v>
      </c>
      <c r="O128" s="41">
        <v>1</v>
      </c>
      <c r="P128" s="70">
        <f t="shared" si="11"/>
        <v>972114000.00000012</v>
      </c>
      <c r="Q128" s="41">
        <v>1</v>
      </c>
      <c r="R128" s="41">
        <v>1</v>
      </c>
      <c r="S128" s="70">
        <f t="shared" si="12"/>
        <v>1069325400.0000004</v>
      </c>
      <c r="T128" s="41">
        <v>1</v>
      </c>
      <c r="U128" s="41">
        <v>1</v>
      </c>
      <c r="V128" s="70">
        <f t="shared" si="13"/>
        <v>1176257940.0000002</v>
      </c>
      <c r="W128" s="41">
        <v>0</v>
      </c>
      <c r="X128" s="41">
        <v>0</v>
      </c>
      <c r="Y128" s="70">
        <f t="shared" si="14"/>
        <v>0</v>
      </c>
      <c r="Z128" s="41">
        <v>0</v>
      </c>
      <c r="AA128" s="41">
        <v>0</v>
      </c>
      <c r="AB128" s="70">
        <f t="shared" si="15"/>
        <v>0</v>
      </c>
      <c r="AC128" s="41">
        <v>0</v>
      </c>
      <c r="AD128" s="41">
        <v>0</v>
      </c>
      <c r="AE128" s="70">
        <f t="shared" si="16"/>
        <v>0</v>
      </c>
      <c r="AF128" s="28">
        <f t="shared" si="17"/>
        <v>3217697340.000001</v>
      </c>
      <c r="AG128" s="28">
        <f t="shared" si="18"/>
        <v>3123978.0000000009</v>
      </c>
    </row>
    <row r="129" spans="1:37" x14ac:dyDescent="0.3">
      <c r="A129" s="91" t="s">
        <v>1302</v>
      </c>
      <c r="B129" s="91"/>
      <c r="C129" s="91"/>
      <c r="D129" s="91"/>
      <c r="E129" s="91"/>
      <c r="F129" s="91"/>
      <c r="G129" s="92"/>
      <c r="H129" s="91"/>
      <c r="I129" s="91"/>
      <c r="J129" s="92">
        <f>SUM(J93:J128)</f>
        <v>4445826.8331553396</v>
      </c>
      <c r="K129" s="91"/>
      <c r="L129" s="91"/>
      <c r="M129" s="92">
        <f>SUM(M93:M128)</f>
        <v>7770220.1111796116</v>
      </c>
      <c r="N129" s="91"/>
      <c r="O129" s="91"/>
      <c r="P129" s="92">
        <f>SUM(P93:P128)</f>
        <v>1087511240.7166584</v>
      </c>
      <c r="Q129" s="91"/>
      <c r="R129" s="91"/>
      <c r="S129" s="92">
        <f>SUM(S93:S128)</f>
        <v>1257241848.5398834</v>
      </c>
      <c r="T129" s="91"/>
      <c r="U129" s="91"/>
      <c r="V129" s="92">
        <f>SUM(V93:V128)</f>
        <v>1319629067.3938715</v>
      </c>
      <c r="W129" s="91"/>
      <c r="X129" s="91"/>
      <c r="Y129" s="92">
        <f>SUM(Y93:Y128)</f>
        <v>134609174.67186505</v>
      </c>
      <c r="Z129" s="91"/>
      <c r="AA129" s="91"/>
      <c r="AB129" s="92">
        <f>SUM(AB93:AB128)</f>
        <v>123438517.28322621</v>
      </c>
      <c r="AC129" s="91"/>
      <c r="AD129" s="91"/>
      <c r="AE129" s="92">
        <f>SUM(AE93:AE128)</f>
        <v>135782369.01154882</v>
      </c>
      <c r="AF129" s="95">
        <f t="shared" si="17"/>
        <v>4070428264.5613885</v>
      </c>
      <c r="AG129" s="95">
        <f t="shared" si="18"/>
        <v>3951872.1015159111</v>
      </c>
      <c r="AH129" s="94"/>
      <c r="AI129" s="94"/>
      <c r="AJ129" s="94"/>
      <c r="AK129" s="94"/>
    </row>
    <row r="130" spans="1:37" x14ac:dyDescent="0.3">
      <c r="A130" s="63" t="s">
        <v>1427</v>
      </c>
      <c r="B130" s="63"/>
      <c r="C130" s="63"/>
      <c r="D130" s="63"/>
      <c r="E130" s="63"/>
      <c r="F130" s="63"/>
      <c r="G130" s="90"/>
      <c r="H130" s="63"/>
      <c r="I130" s="63"/>
      <c r="J130" s="90">
        <f>J129/$AL$2</f>
        <v>4316.3367312187765</v>
      </c>
      <c r="K130" s="63"/>
      <c r="L130" s="63"/>
      <c r="M130" s="90">
        <f>M129/$AL$2</f>
        <v>7543.9030205627296</v>
      </c>
      <c r="N130" s="63"/>
      <c r="O130" s="63"/>
      <c r="P130" s="90">
        <f>P129/$AL$2</f>
        <v>1055836.1560355907</v>
      </c>
      <c r="Q130" s="63"/>
      <c r="R130" s="63"/>
      <c r="S130" s="90">
        <f>S129/$AL$2</f>
        <v>1220623.153922217</v>
      </c>
      <c r="T130" s="63"/>
      <c r="U130" s="63"/>
      <c r="V130" s="90">
        <f>V129/$AL$2</f>
        <v>1281193.2693144383</v>
      </c>
      <c r="W130" s="63"/>
      <c r="X130" s="63"/>
      <c r="Y130" s="90">
        <f>Y129/$AL$2</f>
        <v>130688.5190988981</v>
      </c>
      <c r="Z130" s="63"/>
      <c r="AA130" s="63"/>
      <c r="AB130" s="90">
        <f>AB129/$AL$2</f>
        <v>119843.22066332641</v>
      </c>
      <c r="AC130" s="63"/>
      <c r="AD130" s="63"/>
      <c r="AE130" s="90">
        <f>AE129/$AL$2</f>
        <v>131827.54272965904</v>
      </c>
      <c r="AF130" s="20">
        <f t="shared" si="17"/>
        <v>3951872.1015159106</v>
      </c>
      <c r="AG130" s="20">
        <f t="shared" si="18"/>
        <v>3836.7690305979713</v>
      </c>
      <c r="AH130" s="62"/>
      <c r="AI130" s="62"/>
      <c r="AJ130" s="62"/>
    </row>
    <row r="131" spans="1:37" ht="57.6" x14ac:dyDescent="0.3">
      <c r="A131" s="41" t="s">
        <v>697</v>
      </c>
      <c r="B131" s="41" t="s">
        <v>693</v>
      </c>
      <c r="C131" s="42" t="s">
        <v>671</v>
      </c>
      <c r="D131" s="41" t="s">
        <v>107</v>
      </c>
      <c r="E131" s="41" t="s">
        <v>545</v>
      </c>
      <c r="F131" s="41" t="s">
        <v>790</v>
      </c>
      <c r="G131" s="83">
        <v>371004641.5</v>
      </c>
      <c r="H131" s="41">
        <v>1</v>
      </c>
      <c r="I131" s="41">
        <v>1</v>
      </c>
      <c r="J131" s="83">
        <f t="shared" ref="J131:J151" si="21">G131*H131*I131</f>
        <v>371004641.5</v>
      </c>
      <c r="K131" s="41">
        <v>0</v>
      </c>
      <c r="L131" s="41">
        <v>0</v>
      </c>
      <c r="M131" s="70">
        <f t="shared" ref="M131:M194" si="22">($G131*1.1^1)*K131*L131</f>
        <v>0</v>
      </c>
      <c r="N131" s="41">
        <v>0</v>
      </c>
      <c r="O131" s="41">
        <v>0</v>
      </c>
      <c r="P131" s="70">
        <f t="shared" ref="P131:P194" si="23">($G131*1.1^2)*N131*O131</f>
        <v>0</v>
      </c>
      <c r="Q131" s="41">
        <v>0</v>
      </c>
      <c r="R131" s="41">
        <v>0</v>
      </c>
      <c r="S131" s="70">
        <f t="shared" ref="S131:S194" si="24">($G131*1.1^3)*Q131*R131</f>
        <v>0</v>
      </c>
      <c r="T131" s="41">
        <v>0</v>
      </c>
      <c r="U131" s="41">
        <v>0</v>
      </c>
      <c r="V131" s="70">
        <f t="shared" ref="V131:V194" si="25">($G131*1.1^4)*T131*U131</f>
        <v>0</v>
      </c>
      <c r="W131" s="41">
        <v>0</v>
      </c>
      <c r="X131" s="41">
        <v>0</v>
      </c>
      <c r="Y131" s="70">
        <f t="shared" ref="Y131:Y194" si="26">($G131*1.1^5)*W131*X131</f>
        <v>0</v>
      </c>
      <c r="Z131" s="41">
        <v>0</v>
      </c>
      <c r="AA131" s="41">
        <v>0</v>
      </c>
      <c r="AB131" s="70">
        <f t="shared" ref="AB131:AB194" si="27">($G131*1.1^6)*Z131*AA131</f>
        <v>0</v>
      </c>
      <c r="AC131" s="41">
        <v>0</v>
      </c>
      <c r="AD131" s="41">
        <v>0</v>
      </c>
      <c r="AE131" s="70">
        <f t="shared" ref="AE131:AE194" si="28">($G131*1.1^7)*AC131*AD131</f>
        <v>0</v>
      </c>
      <c r="AF131" s="28">
        <f t="shared" ref="AF131:AF194" si="29">J131+M131+P131+S131+V131+Y131+AB131+AE131</f>
        <v>371004641.5</v>
      </c>
      <c r="AG131" s="28">
        <f t="shared" ref="AG131:AG194" si="30">AF131/$AL$2</f>
        <v>360198.68106796115</v>
      </c>
    </row>
    <row r="132" spans="1:37" ht="57.6" x14ac:dyDescent="0.3">
      <c r="A132" s="41" t="s">
        <v>697</v>
      </c>
      <c r="B132" s="41" t="s">
        <v>693</v>
      </c>
      <c r="C132" s="42" t="s">
        <v>672</v>
      </c>
      <c r="D132" s="41" t="s">
        <v>107</v>
      </c>
      <c r="E132" s="41" t="s">
        <v>545</v>
      </c>
      <c r="F132" s="41" t="s">
        <v>791</v>
      </c>
      <c r="G132" s="83">
        <v>512243318.44999999</v>
      </c>
      <c r="H132" s="41">
        <v>1</v>
      </c>
      <c r="I132" s="41">
        <v>1</v>
      </c>
      <c r="J132" s="83">
        <f t="shared" si="21"/>
        <v>512243318.44999999</v>
      </c>
      <c r="K132" s="41">
        <v>1</v>
      </c>
      <c r="L132" s="41">
        <v>1</v>
      </c>
      <c r="M132" s="70">
        <f t="shared" si="22"/>
        <v>563467650.29500008</v>
      </c>
      <c r="N132" s="41">
        <v>0</v>
      </c>
      <c r="O132" s="41">
        <v>0</v>
      </c>
      <c r="P132" s="70">
        <f t="shared" si="23"/>
        <v>0</v>
      </c>
      <c r="Q132" s="41">
        <v>0</v>
      </c>
      <c r="R132" s="41">
        <v>0</v>
      </c>
      <c r="S132" s="70">
        <f t="shared" si="24"/>
        <v>0</v>
      </c>
      <c r="T132" s="41">
        <v>0</v>
      </c>
      <c r="U132" s="41">
        <v>0</v>
      </c>
      <c r="V132" s="70">
        <f t="shared" si="25"/>
        <v>0</v>
      </c>
      <c r="W132" s="41">
        <v>0</v>
      </c>
      <c r="X132" s="41">
        <v>0</v>
      </c>
      <c r="Y132" s="70">
        <f t="shared" si="26"/>
        <v>0</v>
      </c>
      <c r="Z132" s="41">
        <v>0</v>
      </c>
      <c r="AA132" s="41">
        <v>0</v>
      </c>
      <c r="AB132" s="70">
        <f t="shared" si="27"/>
        <v>0</v>
      </c>
      <c r="AC132" s="41">
        <v>0</v>
      </c>
      <c r="AD132" s="41">
        <v>0</v>
      </c>
      <c r="AE132" s="70">
        <f t="shared" si="28"/>
        <v>0</v>
      </c>
      <c r="AF132" s="28">
        <f t="shared" si="29"/>
        <v>1075710968.7450001</v>
      </c>
      <c r="AG132" s="28">
        <f t="shared" si="30"/>
        <v>1044379.5813058254</v>
      </c>
    </row>
    <row r="133" spans="1:37" ht="57.6" x14ac:dyDescent="0.3">
      <c r="A133" s="41" t="s">
        <v>697</v>
      </c>
      <c r="B133" s="41" t="s">
        <v>693</v>
      </c>
      <c r="C133" s="42" t="s">
        <v>672</v>
      </c>
      <c r="D133" s="41" t="s">
        <v>107</v>
      </c>
      <c r="E133" s="41" t="s">
        <v>545</v>
      </c>
      <c r="F133" s="41" t="s">
        <v>792</v>
      </c>
      <c r="G133" s="83">
        <v>468848070.75</v>
      </c>
      <c r="H133" s="41">
        <v>1</v>
      </c>
      <c r="I133" s="41">
        <v>1</v>
      </c>
      <c r="J133" s="83">
        <f t="shared" si="21"/>
        <v>468848070.75</v>
      </c>
      <c r="K133" s="41">
        <v>0</v>
      </c>
      <c r="L133" s="41">
        <v>0</v>
      </c>
      <c r="M133" s="70">
        <f t="shared" si="22"/>
        <v>0</v>
      </c>
      <c r="N133" s="41">
        <v>1</v>
      </c>
      <c r="O133" s="41">
        <v>1</v>
      </c>
      <c r="P133" s="70">
        <f t="shared" si="23"/>
        <v>567306165.60750008</v>
      </c>
      <c r="Q133" s="41">
        <v>0</v>
      </c>
      <c r="R133" s="41">
        <v>0</v>
      </c>
      <c r="S133" s="70">
        <f t="shared" si="24"/>
        <v>0</v>
      </c>
      <c r="T133" s="41">
        <v>0</v>
      </c>
      <c r="U133" s="41">
        <v>0</v>
      </c>
      <c r="V133" s="70">
        <f t="shared" si="25"/>
        <v>0</v>
      </c>
      <c r="W133" s="41">
        <v>0</v>
      </c>
      <c r="X133" s="41">
        <v>0</v>
      </c>
      <c r="Y133" s="70">
        <f t="shared" si="26"/>
        <v>0</v>
      </c>
      <c r="Z133" s="41">
        <v>0</v>
      </c>
      <c r="AA133" s="41">
        <v>0</v>
      </c>
      <c r="AB133" s="70">
        <f t="shared" si="27"/>
        <v>0</v>
      </c>
      <c r="AC133" s="41">
        <v>0</v>
      </c>
      <c r="AD133" s="41">
        <v>0</v>
      </c>
      <c r="AE133" s="70">
        <f t="shared" si="28"/>
        <v>0</v>
      </c>
      <c r="AF133" s="28">
        <f t="shared" si="29"/>
        <v>1036154236.3575001</v>
      </c>
      <c r="AG133" s="28">
        <f t="shared" si="30"/>
        <v>1005974.9867548544</v>
      </c>
    </row>
    <row r="134" spans="1:37" ht="57.6" x14ac:dyDescent="0.3">
      <c r="A134" s="41" t="s">
        <v>697</v>
      </c>
      <c r="B134" s="41" t="s">
        <v>693</v>
      </c>
      <c r="C134" s="42" t="s">
        <v>672</v>
      </c>
      <c r="D134" s="41" t="s">
        <v>107</v>
      </c>
      <c r="E134" s="41" t="s">
        <v>545</v>
      </c>
      <c r="F134" s="41" t="s">
        <v>793</v>
      </c>
      <c r="G134" s="83">
        <v>100282000</v>
      </c>
      <c r="H134" s="41">
        <v>1</v>
      </c>
      <c r="I134" s="41">
        <v>1</v>
      </c>
      <c r="J134" s="83">
        <f t="shared" si="21"/>
        <v>100282000</v>
      </c>
      <c r="K134" s="41">
        <v>0</v>
      </c>
      <c r="L134" s="41">
        <v>0</v>
      </c>
      <c r="M134" s="70">
        <f t="shared" si="22"/>
        <v>0</v>
      </c>
      <c r="N134" s="41">
        <v>0</v>
      </c>
      <c r="O134" s="41">
        <v>0</v>
      </c>
      <c r="P134" s="70">
        <f t="shared" si="23"/>
        <v>0</v>
      </c>
      <c r="Q134" s="41">
        <v>1</v>
      </c>
      <c r="R134" s="41">
        <v>1</v>
      </c>
      <c r="S134" s="70">
        <f t="shared" si="24"/>
        <v>133475342.00000004</v>
      </c>
      <c r="T134" s="41">
        <v>0</v>
      </c>
      <c r="U134" s="41">
        <v>0</v>
      </c>
      <c r="V134" s="70">
        <f t="shared" si="25"/>
        <v>0</v>
      </c>
      <c r="W134" s="41">
        <v>0</v>
      </c>
      <c r="X134" s="41">
        <v>0</v>
      </c>
      <c r="Y134" s="70">
        <f t="shared" si="26"/>
        <v>0</v>
      </c>
      <c r="Z134" s="41">
        <v>0</v>
      </c>
      <c r="AA134" s="41">
        <v>0</v>
      </c>
      <c r="AB134" s="70">
        <f t="shared" si="27"/>
        <v>0</v>
      </c>
      <c r="AC134" s="41">
        <v>0</v>
      </c>
      <c r="AD134" s="41">
        <v>0</v>
      </c>
      <c r="AE134" s="70">
        <f t="shared" si="28"/>
        <v>0</v>
      </c>
      <c r="AF134" s="28">
        <f t="shared" si="29"/>
        <v>233757342.00000006</v>
      </c>
      <c r="AG134" s="28">
        <f t="shared" si="30"/>
        <v>226948.8757281554</v>
      </c>
    </row>
    <row r="135" spans="1:37" ht="57.6" x14ac:dyDescent="0.3">
      <c r="A135" s="41" t="s">
        <v>697</v>
      </c>
      <c r="B135" s="41" t="s">
        <v>693</v>
      </c>
      <c r="C135" s="42" t="s">
        <v>671</v>
      </c>
      <c r="D135" s="41" t="s">
        <v>107</v>
      </c>
      <c r="E135" s="41" t="s">
        <v>545</v>
      </c>
      <c r="F135" s="41" t="s">
        <v>794</v>
      </c>
      <c r="G135" s="83">
        <v>220346000</v>
      </c>
      <c r="H135" s="41">
        <v>1</v>
      </c>
      <c r="I135" s="41">
        <v>1</v>
      </c>
      <c r="J135" s="83">
        <f t="shared" si="21"/>
        <v>220346000</v>
      </c>
      <c r="K135" s="41">
        <v>0</v>
      </c>
      <c r="L135" s="41">
        <v>0</v>
      </c>
      <c r="M135" s="70">
        <f t="shared" si="22"/>
        <v>0</v>
      </c>
      <c r="N135" s="41">
        <v>0</v>
      </c>
      <c r="O135" s="41">
        <v>0</v>
      </c>
      <c r="P135" s="70">
        <f t="shared" si="23"/>
        <v>0</v>
      </c>
      <c r="Q135" s="41">
        <v>0</v>
      </c>
      <c r="R135" s="41">
        <v>0</v>
      </c>
      <c r="S135" s="70">
        <f t="shared" si="24"/>
        <v>0</v>
      </c>
      <c r="T135" s="41">
        <v>1</v>
      </c>
      <c r="U135" s="41">
        <v>1</v>
      </c>
      <c r="V135" s="70">
        <f t="shared" si="25"/>
        <v>322608578.60000008</v>
      </c>
      <c r="W135" s="41">
        <v>0</v>
      </c>
      <c r="X135" s="41">
        <v>0</v>
      </c>
      <c r="Y135" s="70">
        <f t="shared" si="26"/>
        <v>0</v>
      </c>
      <c r="Z135" s="41">
        <v>0</v>
      </c>
      <c r="AA135" s="41">
        <v>0</v>
      </c>
      <c r="AB135" s="70">
        <f t="shared" si="27"/>
        <v>0</v>
      </c>
      <c r="AC135" s="41">
        <v>0</v>
      </c>
      <c r="AD135" s="41">
        <v>0</v>
      </c>
      <c r="AE135" s="70">
        <f t="shared" si="28"/>
        <v>0</v>
      </c>
      <c r="AF135" s="28">
        <f t="shared" si="29"/>
        <v>542954578.60000014</v>
      </c>
      <c r="AG135" s="28">
        <f t="shared" si="30"/>
        <v>527140.36757281562</v>
      </c>
    </row>
    <row r="136" spans="1:37" ht="57.6" x14ac:dyDescent="0.3">
      <c r="A136" s="41" t="s">
        <v>697</v>
      </c>
      <c r="B136" s="41" t="s">
        <v>693</v>
      </c>
      <c r="C136" s="42" t="s">
        <v>671</v>
      </c>
      <c r="D136" s="41" t="s">
        <v>107</v>
      </c>
      <c r="E136" s="41" t="s">
        <v>545</v>
      </c>
      <c r="F136" s="41" t="s">
        <v>1401</v>
      </c>
      <c r="G136" s="83">
        <f>50000*1030</f>
        <v>51500000</v>
      </c>
      <c r="H136" s="41">
        <v>1</v>
      </c>
      <c r="I136" s="41">
        <v>1</v>
      </c>
      <c r="J136" s="83">
        <f t="shared" si="21"/>
        <v>51500000</v>
      </c>
      <c r="K136" s="41"/>
      <c r="L136" s="41"/>
      <c r="M136" s="70">
        <f t="shared" si="22"/>
        <v>0</v>
      </c>
      <c r="N136" s="41"/>
      <c r="O136" s="41"/>
      <c r="P136" s="70">
        <f t="shared" si="23"/>
        <v>0</v>
      </c>
      <c r="Q136" s="41"/>
      <c r="R136" s="41"/>
      <c r="S136" s="70">
        <f t="shared" si="24"/>
        <v>0</v>
      </c>
      <c r="T136" s="41"/>
      <c r="U136" s="41"/>
      <c r="V136" s="70">
        <f t="shared" si="25"/>
        <v>0</v>
      </c>
      <c r="W136" s="41"/>
      <c r="X136" s="41"/>
      <c r="Y136" s="70">
        <f t="shared" si="26"/>
        <v>0</v>
      </c>
      <c r="Z136" s="41"/>
      <c r="AA136" s="41"/>
      <c r="AB136" s="70">
        <f t="shared" si="27"/>
        <v>0</v>
      </c>
      <c r="AC136" s="41"/>
      <c r="AD136" s="41"/>
      <c r="AE136" s="70">
        <f t="shared" si="28"/>
        <v>0</v>
      </c>
      <c r="AF136" s="28">
        <f t="shared" si="29"/>
        <v>51500000</v>
      </c>
      <c r="AG136" s="28">
        <f t="shared" si="30"/>
        <v>50000</v>
      </c>
    </row>
    <row r="137" spans="1:37" ht="57.6" x14ac:dyDescent="0.3">
      <c r="A137" s="41" t="s">
        <v>697</v>
      </c>
      <c r="B137" s="41" t="s">
        <v>693</v>
      </c>
      <c r="C137" s="42" t="s">
        <v>671</v>
      </c>
      <c r="D137" s="41" t="s">
        <v>107</v>
      </c>
      <c r="E137" s="41" t="s">
        <v>545</v>
      </c>
      <c r="F137" s="41" t="s">
        <v>1402</v>
      </c>
      <c r="G137" s="83">
        <f>50000*1030</f>
        <v>51500000</v>
      </c>
      <c r="H137" s="41">
        <v>1</v>
      </c>
      <c r="I137" s="41">
        <v>1</v>
      </c>
      <c r="J137" s="83">
        <f t="shared" si="21"/>
        <v>51500000</v>
      </c>
      <c r="K137" s="41"/>
      <c r="L137" s="41"/>
      <c r="M137" s="70">
        <f t="shared" si="22"/>
        <v>0</v>
      </c>
      <c r="N137" s="41"/>
      <c r="O137" s="41"/>
      <c r="P137" s="70">
        <f t="shared" si="23"/>
        <v>0</v>
      </c>
      <c r="Q137" s="41"/>
      <c r="R137" s="41"/>
      <c r="S137" s="70">
        <f t="shared" si="24"/>
        <v>0</v>
      </c>
      <c r="T137" s="41"/>
      <c r="U137" s="41"/>
      <c r="V137" s="70">
        <f t="shared" si="25"/>
        <v>0</v>
      </c>
      <c r="W137" s="41"/>
      <c r="X137" s="41"/>
      <c r="Y137" s="70">
        <f t="shared" si="26"/>
        <v>0</v>
      </c>
      <c r="Z137" s="41"/>
      <c r="AA137" s="41"/>
      <c r="AB137" s="70">
        <f t="shared" si="27"/>
        <v>0</v>
      </c>
      <c r="AC137" s="41"/>
      <c r="AD137" s="41"/>
      <c r="AE137" s="70">
        <f t="shared" si="28"/>
        <v>0</v>
      </c>
      <c r="AF137" s="28">
        <f t="shared" si="29"/>
        <v>51500000</v>
      </c>
      <c r="AG137" s="28">
        <f t="shared" si="30"/>
        <v>50000</v>
      </c>
    </row>
    <row r="138" spans="1:37" ht="57.6" x14ac:dyDescent="0.3">
      <c r="A138" s="41" t="s">
        <v>697</v>
      </c>
      <c r="B138" s="41" t="s">
        <v>693</v>
      </c>
      <c r="C138" s="42" t="s">
        <v>671</v>
      </c>
      <c r="D138" s="41" t="s">
        <v>107</v>
      </c>
      <c r="E138" s="41" t="s">
        <v>545</v>
      </c>
      <c r="F138" s="41" t="s">
        <v>1403</v>
      </c>
      <c r="G138" s="83">
        <f>50000*1030</f>
        <v>51500000</v>
      </c>
      <c r="H138" s="41">
        <v>1</v>
      </c>
      <c r="I138" s="41">
        <v>1</v>
      </c>
      <c r="J138" s="83">
        <f t="shared" si="21"/>
        <v>51500000</v>
      </c>
      <c r="K138" s="41"/>
      <c r="L138" s="41"/>
      <c r="M138" s="70">
        <f t="shared" si="22"/>
        <v>0</v>
      </c>
      <c r="N138" s="41"/>
      <c r="O138" s="41"/>
      <c r="P138" s="70">
        <f t="shared" si="23"/>
        <v>0</v>
      </c>
      <c r="Q138" s="41"/>
      <c r="R138" s="41"/>
      <c r="S138" s="70">
        <f t="shared" si="24"/>
        <v>0</v>
      </c>
      <c r="T138" s="41"/>
      <c r="U138" s="41"/>
      <c r="V138" s="70">
        <f t="shared" si="25"/>
        <v>0</v>
      </c>
      <c r="W138" s="41"/>
      <c r="X138" s="41"/>
      <c r="Y138" s="70">
        <f t="shared" si="26"/>
        <v>0</v>
      </c>
      <c r="Z138" s="41"/>
      <c r="AA138" s="41"/>
      <c r="AB138" s="70">
        <f t="shared" si="27"/>
        <v>0</v>
      </c>
      <c r="AC138" s="41"/>
      <c r="AD138" s="41"/>
      <c r="AE138" s="70">
        <f t="shared" si="28"/>
        <v>0</v>
      </c>
      <c r="AF138" s="28">
        <f t="shared" si="29"/>
        <v>51500000</v>
      </c>
      <c r="AG138" s="28">
        <f t="shared" si="30"/>
        <v>50000</v>
      </c>
    </row>
    <row r="139" spans="1:37" x14ac:dyDescent="0.3">
      <c r="A139" s="41"/>
      <c r="B139" s="41"/>
      <c r="C139" s="42"/>
      <c r="D139" s="41"/>
      <c r="E139" s="41"/>
      <c r="F139" s="41"/>
      <c r="G139" s="83"/>
      <c r="H139" s="41"/>
      <c r="I139" s="41"/>
      <c r="J139" s="83"/>
      <c r="K139" s="41"/>
      <c r="L139" s="41"/>
      <c r="M139" s="70">
        <f t="shared" si="22"/>
        <v>0</v>
      </c>
      <c r="N139" s="41"/>
      <c r="O139" s="41"/>
      <c r="P139" s="70">
        <f t="shared" si="23"/>
        <v>0</v>
      </c>
      <c r="Q139" s="41"/>
      <c r="R139" s="41"/>
      <c r="S139" s="70">
        <f t="shared" si="24"/>
        <v>0</v>
      </c>
      <c r="T139" s="41"/>
      <c r="U139" s="41"/>
      <c r="V139" s="70">
        <f t="shared" si="25"/>
        <v>0</v>
      </c>
      <c r="W139" s="41"/>
      <c r="X139" s="41"/>
      <c r="Y139" s="70">
        <f t="shared" si="26"/>
        <v>0</v>
      </c>
      <c r="Z139" s="41"/>
      <c r="AA139" s="41"/>
      <c r="AB139" s="70">
        <f t="shared" si="27"/>
        <v>0</v>
      </c>
      <c r="AC139" s="41"/>
      <c r="AD139" s="41"/>
      <c r="AE139" s="70">
        <f t="shared" si="28"/>
        <v>0</v>
      </c>
      <c r="AF139" s="28">
        <f t="shared" si="29"/>
        <v>0</v>
      </c>
      <c r="AG139" s="28">
        <f t="shared" si="30"/>
        <v>0</v>
      </c>
    </row>
    <row r="140" spans="1:37" x14ac:dyDescent="0.3">
      <c r="A140" s="41"/>
      <c r="B140" s="41"/>
      <c r="C140" s="42"/>
      <c r="D140" s="41"/>
      <c r="E140" s="41"/>
      <c r="F140" s="41"/>
      <c r="G140" s="83"/>
      <c r="H140" s="41"/>
      <c r="I140" s="41"/>
      <c r="J140" s="83"/>
      <c r="K140" s="41"/>
      <c r="L140" s="41"/>
      <c r="M140" s="70">
        <f t="shared" si="22"/>
        <v>0</v>
      </c>
      <c r="N140" s="41"/>
      <c r="O140" s="41"/>
      <c r="P140" s="70">
        <f t="shared" si="23"/>
        <v>0</v>
      </c>
      <c r="Q140" s="41"/>
      <c r="R140" s="41"/>
      <c r="S140" s="70">
        <f t="shared" si="24"/>
        <v>0</v>
      </c>
      <c r="T140" s="41"/>
      <c r="U140" s="41"/>
      <c r="V140" s="70">
        <f t="shared" si="25"/>
        <v>0</v>
      </c>
      <c r="W140" s="41"/>
      <c r="X140" s="41"/>
      <c r="Y140" s="70">
        <f t="shared" si="26"/>
        <v>0</v>
      </c>
      <c r="Z140" s="41"/>
      <c r="AA140" s="41"/>
      <c r="AB140" s="70">
        <f t="shared" si="27"/>
        <v>0</v>
      </c>
      <c r="AC140" s="41"/>
      <c r="AD140" s="41"/>
      <c r="AE140" s="70">
        <f t="shared" si="28"/>
        <v>0</v>
      </c>
      <c r="AF140" s="28">
        <f t="shared" si="29"/>
        <v>0</v>
      </c>
      <c r="AG140" s="28">
        <f t="shared" si="30"/>
        <v>0</v>
      </c>
    </row>
    <row r="141" spans="1:37" ht="57.6" x14ac:dyDescent="0.3">
      <c r="A141" s="41" t="s">
        <v>697</v>
      </c>
      <c r="B141" s="41" t="s">
        <v>693</v>
      </c>
      <c r="C141" s="42" t="s">
        <v>671</v>
      </c>
      <c r="D141" s="41" t="s">
        <v>108</v>
      </c>
      <c r="E141" s="41" t="s">
        <v>546</v>
      </c>
      <c r="F141" s="41" t="s">
        <v>718</v>
      </c>
      <c r="G141" s="83">
        <v>0</v>
      </c>
      <c r="H141" s="41">
        <v>0</v>
      </c>
      <c r="I141" s="41">
        <v>0</v>
      </c>
      <c r="J141" s="83">
        <f t="shared" si="21"/>
        <v>0</v>
      </c>
      <c r="K141" s="41">
        <v>0</v>
      </c>
      <c r="L141" s="41">
        <v>0</v>
      </c>
      <c r="M141" s="70">
        <f t="shared" si="22"/>
        <v>0</v>
      </c>
      <c r="N141" s="41">
        <v>0</v>
      </c>
      <c r="O141" s="41">
        <v>0</v>
      </c>
      <c r="P141" s="70">
        <f t="shared" si="23"/>
        <v>0</v>
      </c>
      <c r="Q141" s="41">
        <v>0</v>
      </c>
      <c r="R141" s="41">
        <v>0</v>
      </c>
      <c r="S141" s="70">
        <f t="shared" si="24"/>
        <v>0</v>
      </c>
      <c r="T141" s="41">
        <v>0</v>
      </c>
      <c r="U141" s="41">
        <v>0</v>
      </c>
      <c r="V141" s="70">
        <f t="shared" si="25"/>
        <v>0</v>
      </c>
      <c r="W141" s="41">
        <v>0</v>
      </c>
      <c r="X141" s="41">
        <v>0</v>
      </c>
      <c r="Y141" s="70">
        <f t="shared" si="26"/>
        <v>0</v>
      </c>
      <c r="Z141" s="41">
        <v>0</v>
      </c>
      <c r="AA141" s="41">
        <v>0</v>
      </c>
      <c r="AB141" s="70">
        <f t="shared" si="27"/>
        <v>0</v>
      </c>
      <c r="AC141" s="41">
        <v>0</v>
      </c>
      <c r="AD141" s="41">
        <v>0</v>
      </c>
      <c r="AE141" s="70">
        <f t="shared" si="28"/>
        <v>0</v>
      </c>
      <c r="AF141" s="28">
        <f t="shared" si="29"/>
        <v>0</v>
      </c>
      <c r="AG141" s="28">
        <f t="shared" si="30"/>
        <v>0</v>
      </c>
    </row>
    <row r="142" spans="1:37" ht="57.6" x14ac:dyDescent="0.3">
      <c r="A142" s="41" t="s">
        <v>697</v>
      </c>
      <c r="B142" s="41" t="s">
        <v>693</v>
      </c>
      <c r="C142" s="42" t="s">
        <v>671</v>
      </c>
      <c r="D142" s="41" t="s">
        <v>108</v>
      </c>
      <c r="E142" s="41" t="s">
        <v>165</v>
      </c>
      <c r="F142" s="41" t="s">
        <v>707</v>
      </c>
      <c r="G142" s="83">
        <v>391991.03749999998</v>
      </c>
      <c r="H142" s="41">
        <v>1</v>
      </c>
      <c r="I142" s="41">
        <v>1</v>
      </c>
      <c r="J142" s="83">
        <f t="shared" si="21"/>
        <v>391991.03749999998</v>
      </c>
      <c r="K142" s="41">
        <v>0</v>
      </c>
      <c r="L142" s="41">
        <v>0</v>
      </c>
      <c r="M142" s="70">
        <f t="shared" si="22"/>
        <v>0</v>
      </c>
      <c r="N142" s="41"/>
      <c r="O142" s="41"/>
      <c r="P142" s="70">
        <f t="shared" si="23"/>
        <v>0</v>
      </c>
      <c r="Q142" s="41">
        <v>0</v>
      </c>
      <c r="R142" s="41">
        <v>0</v>
      </c>
      <c r="S142" s="70">
        <f t="shared" si="24"/>
        <v>0</v>
      </c>
      <c r="T142" s="41">
        <v>0</v>
      </c>
      <c r="U142" s="41">
        <v>0</v>
      </c>
      <c r="V142" s="70">
        <f t="shared" si="25"/>
        <v>0</v>
      </c>
      <c r="W142" s="41">
        <v>0</v>
      </c>
      <c r="X142" s="41">
        <v>0</v>
      </c>
      <c r="Y142" s="70">
        <f t="shared" si="26"/>
        <v>0</v>
      </c>
      <c r="Z142" s="41">
        <v>1</v>
      </c>
      <c r="AA142" s="41">
        <v>1</v>
      </c>
      <c r="AB142" s="70">
        <f t="shared" si="27"/>
        <v>694436.03438453784</v>
      </c>
      <c r="AC142" s="41">
        <v>0</v>
      </c>
      <c r="AD142" s="41">
        <v>0</v>
      </c>
      <c r="AE142" s="70">
        <f t="shared" si="28"/>
        <v>0</v>
      </c>
      <c r="AF142" s="28">
        <f t="shared" si="29"/>
        <v>1086427.0718845378</v>
      </c>
      <c r="AG142" s="28">
        <f t="shared" si="30"/>
        <v>1054.7835649364445</v>
      </c>
    </row>
    <row r="143" spans="1:37" ht="57.6" x14ac:dyDescent="0.3">
      <c r="A143" s="41" t="s">
        <v>697</v>
      </c>
      <c r="B143" s="41" t="s">
        <v>693</v>
      </c>
      <c r="C143" s="42" t="s">
        <v>671</v>
      </c>
      <c r="D143" s="41" t="s">
        <v>108</v>
      </c>
      <c r="E143" s="41" t="s">
        <v>165</v>
      </c>
      <c r="F143" s="41" t="s">
        <v>708</v>
      </c>
      <c r="G143" s="83">
        <f>500*1030</f>
        <v>515000</v>
      </c>
      <c r="H143" s="41">
        <v>1</v>
      </c>
      <c r="I143" s="41">
        <v>25</v>
      </c>
      <c r="J143" s="83">
        <f t="shared" si="21"/>
        <v>12875000</v>
      </c>
      <c r="K143" s="41">
        <v>0</v>
      </c>
      <c r="L143" s="41">
        <v>0</v>
      </c>
      <c r="M143" s="70">
        <f t="shared" si="22"/>
        <v>0</v>
      </c>
      <c r="N143" s="41"/>
      <c r="O143" s="41"/>
      <c r="P143" s="70">
        <f t="shared" si="23"/>
        <v>0</v>
      </c>
      <c r="Q143" s="41">
        <v>0</v>
      </c>
      <c r="R143" s="41">
        <v>0</v>
      </c>
      <c r="S143" s="70">
        <f t="shared" si="24"/>
        <v>0</v>
      </c>
      <c r="T143" s="41">
        <v>0</v>
      </c>
      <c r="U143" s="41">
        <v>0</v>
      </c>
      <c r="V143" s="70">
        <f t="shared" si="25"/>
        <v>0</v>
      </c>
      <c r="W143" s="41">
        <v>0</v>
      </c>
      <c r="X143" s="41">
        <v>0</v>
      </c>
      <c r="Y143" s="70">
        <f t="shared" si="26"/>
        <v>0</v>
      </c>
      <c r="Z143" s="41">
        <v>1</v>
      </c>
      <c r="AA143" s="41">
        <v>25</v>
      </c>
      <c r="AB143" s="70">
        <f t="shared" si="27"/>
        <v>22808847.875000011</v>
      </c>
      <c r="AC143" s="41">
        <v>0</v>
      </c>
      <c r="AD143" s="41">
        <v>0</v>
      </c>
      <c r="AE143" s="70">
        <f t="shared" si="28"/>
        <v>0</v>
      </c>
      <c r="AF143" s="28">
        <f t="shared" si="29"/>
        <v>35683847.875000015</v>
      </c>
      <c r="AG143" s="28">
        <f t="shared" si="30"/>
        <v>34644.512500000012</v>
      </c>
    </row>
    <row r="144" spans="1:37" ht="57.6" x14ac:dyDescent="0.3">
      <c r="A144" s="41" t="s">
        <v>697</v>
      </c>
      <c r="B144" s="41" t="s">
        <v>693</v>
      </c>
      <c r="C144" s="42" t="s">
        <v>671</v>
      </c>
      <c r="D144" s="41" t="s">
        <v>108</v>
      </c>
      <c r="E144" s="41" t="s">
        <v>162</v>
      </c>
      <c r="F144" s="41" t="s">
        <v>716</v>
      </c>
      <c r="G144" s="83">
        <v>39000</v>
      </c>
      <c r="H144" s="41">
        <v>30</v>
      </c>
      <c r="I144" s="41">
        <v>6</v>
      </c>
      <c r="J144" s="83">
        <f t="shared" si="21"/>
        <v>7020000</v>
      </c>
      <c r="K144" s="41">
        <v>0</v>
      </c>
      <c r="L144" s="41">
        <v>0</v>
      </c>
      <c r="M144" s="70">
        <f t="shared" si="22"/>
        <v>0</v>
      </c>
      <c r="N144" s="41"/>
      <c r="O144" s="41"/>
      <c r="P144" s="70">
        <f t="shared" si="23"/>
        <v>0</v>
      </c>
      <c r="Q144" s="41">
        <v>0</v>
      </c>
      <c r="R144" s="41">
        <v>0</v>
      </c>
      <c r="S144" s="70">
        <f t="shared" si="24"/>
        <v>0</v>
      </c>
      <c r="T144" s="41">
        <v>0</v>
      </c>
      <c r="U144" s="41">
        <v>0</v>
      </c>
      <c r="V144" s="70">
        <f t="shared" si="25"/>
        <v>0</v>
      </c>
      <c r="W144" s="41">
        <v>0</v>
      </c>
      <c r="X144" s="41">
        <v>0</v>
      </c>
      <c r="Y144" s="70">
        <f t="shared" si="26"/>
        <v>0</v>
      </c>
      <c r="Z144" s="41">
        <v>30</v>
      </c>
      <c r="AA144" s="41">
        <v>6</v>
      </c>
      <c r="AB144" s="70">
        <f t="shared" si="27"/>
        <v>12436358.220000004</v>
      </c>
      <c r="AC144" s="41">
        <v>0</v>
      </c>
      <c r="AD144" s="41">
        <v>0</v>
      </c>
      <c r="AE144" s="70">
        <f t="shared" si="28"/>
        <v>0</v>
      </c>
      <c r="AF144" s="28">
        <f t="shared" si="29"/>
        <v>19456358.220000006</v>
      </c>
      <c r="AG144" s="28">
        <f t="shared" si="30"/>
        <v>18889.668174757287</v>
      </c>
    </row>
    <row r="145" spans="1:33" ht="57.6" x14ac:dyDescent="0.3">
      <c r="A145" s="41" t="s">
        <v>697</v>
      </c>
      <c r="B145" s="41" t="s">
        <v>693</v>
      </c>
      <c r="C145" s="42" t="s">
        <v>671</v>
      </c>
      <c r="D145" s="41" t="s">
        <v>108</v>
      </c>
      <c r="E145" s="41" t="s">
        <v>162</v>
      </c>
      <c r="F145" s="41" t="s">
        <v>709</v>
      </c>
      <c r="G145" s="83">
        <v>35000</v>
      </c>
      <c r="H145" s="41">
        <v>30</v>
      </c>
      <c r="I145" s="41">
        <v>5</v>
      </c>
      <c r="J145" s="83">
        <f t="shared" si="21"/>
        <v>5250000</v>
      </c>
      <c r="K145" s="41">
        <v>0</v>
      </c>
      <c r="L145" s="41">
        <v>0</v>
      </c>
      <c r="M145" s="70">
        <f t="shared" si="22"/>
        <v>0</v>
      </c>
      <c r="N145" s="41"/>
      <c r="O145" s="41"/>
      <c r="P145" s="70">
        <f t="shared" si="23"/>
        <v>0</v>
      </c>
      <c r="Q145" s="41">
        <v>0</v>
      </c>
      <c r="R145" s="41">
        <v>0</v>
      </c>
      <c r="S145" s="70">
        <f t="shared" si="24"/>
        <v>0</v>
      </c>
      <c r="T145" s="41">
        <v>0</v>
      </c>
      <c r="U145" s="41">
        <v>0</v>
      </c>
      <c r="V145" s="70">
        <f t="shared" si="25"/>
        <v>0</v>
      </c>
      <c r="W145" s="41">
        <v>0</v>
      </c>
      <c r="X145" s="41">
        <v>0</v>
      </c>
      <c r="Y145" s="70">
        <f t="shared" si="26"/>
        <v>0</v>
      </c>
      <c r="Z145" s="41">
        <v>30</v>
      </c>
      <c r="AA145" s="41">
        <v>5</v>
      </c>
      <c r="AB145" s="70">
        <f t="shared" si="27"/>
        <v>9300695.2500000056</v>
      </c>
      <c r="AC145" s="41">
        <v>0</v>
      </c>
      <c r="AD145" s="41">
        <v>0</v>
      </c>
      <c r="AE145" s="70">
        <f t="shared" si="28"/>
        <v>0</v>
      </c>
      <c r="AF145" s="28">
        <f t="shared" si="29"/>
        <v>14550695.250000006</v>
      </c>
      <c r="AG145" s="28">
        <f t="shared" si="30"/>
        <v>14126.888592233016</v>
      </c>
    </row>
    <row r="146" spans="1:33" ht="57.6" x14ac:dyDescent="0.3">
      <c r="A146" s="41" t="s">
        <v>697</v>
      </c>
      <c r="B146" s="41" t="s">
        <v>693</v>
      </c>
      <c r="C146" s="42" t="s">
        <v>671</v>
      </c>
      <c r="D146" s="41" t="s">
        <v>108</v>
      </c>
      <c r="E146" s="41" t="s">
        <v>162</v>
      </c>
      <c r="F146" s="41" t="s">
        <v>712</v>
      </c>
      <c r="G146" s="83">
        <f>1999.2/7</f>
        <v>285.60000000000002</v>
      </c>
      <c r="H146" s="41">
        <f>25*2*10</f>
        <v>500</v>
      </c>
      <c r="I146" s="41">
        <v>5</v>
      </c>
      <c r="J146" s="83">
        <f t="shared" si="21"/>
        <v>714000</v>
      </c>
      <c r="K146" s="41">
        <v>0</v>
      </c>
      <c r="L146" s="41">
        <v>0</v>
      </c>
      <c r="M146" s="70">
        <f t="shared" si="22"/>
        <v>0</v>
      </c>
      <c r="N146" s="41"/>
      <c r="O146" s="41"/>
      <c r="P146" s="70">
        <f t="shared" si="23"/>
        <v>0</v>
      </c>
      <c r="Q146" s="41">
        <v>0</v>
      </c>
      <c r="R146" s="41">
        <v>0</v>
      </c>
      <c r="S146" s="70">
        <f t="shared" si="24"/>
        <v>0</v>
      </c>
      <c r="T146" s="41">
        <v>0</v>
      </c>
      <c r="U146" s="41">
        <v>0</v>
      </c>
      <c r="V146" s="70">
        <f t="shared" si="25"/>
        <v>0</v>
      </c>
      <c r="W146" s="41">
        <v>0</v>
      </c>
      <c r="X146" s="41">
        <v>0</v>
      </c>
      <c r="Y146" s="70">
        <f t="shared" si="26"/>
        <v>0</v>
      </c>
      <c r="Z146" s="41">
        <f>25*2*10</f>
        <v>500</v>
      </c>
      <c r="AA146" s="41">
        <v>5</v>
      </c>
      <c r="AB146" s="70">
        <f t="shared" si="27"/>
        <v>1264894.5540000007</v>
      </c>
      <c r="AC146" s="41">
        <v>0</v>
      </c>
      <c r="AD146" s="41">
        <v>0</v>
      </c>
      <c r="AE146" s="70">
        <f t="shared" si="28"/>
        <v>0</v>
      </c>
      <c r="AF146" s="28">
        <f t="shared" si="29"/>
        <v>1978894.5540000007</v>
      </c>
      <c r="AG146" s="28">
        <f t="shared" si="30"/>
        <v>1921.25684854369</v>
      </c>
    </row>
    <row r="147" spans="1:33" ht="57.6" x14ac:dyDescent="0.3">
      <c r="A147" s="41" t="s">
        <v>697</v>
      </c>
      <c r="B147" s="41" t="s">
        <v>693</v>
      </c>
      <c r="C147" s="42" t="s">
        <v>671</v>
      </c>
      <c r="D147" s="41" t="s">
        <v>108</v>
      </c>
      <c r="E147" s="41" t="s">
        <v>162</v>
      </c>
      <c r="F147" s="41" t="s">
        <v>1350</v>
      </c>
      <c r="G147" s="83">
        <f>1999.2/7</f>
        <v>285.60000000000002</v>
      </c>
      <c r="H147" s="41">
        <f>25*2*10</f>
        <v>500</v>
      </c>
      <c r="I147" s="41">
        <v>5</v>
      </c>
      <c r="J147" s="83">
        <f t="shared" si="21"/>
        <v>714000</v>
      </c>
      <c r="K147" s="41">
        <v>0</v>
      </c>
      <c r="L147" s="41">
        <v>0</v>
      </c>
      <c r="M147" s="70">
        <f t="shared" si="22"/>
        <v>0</v>
      </c>
      <c r="N147" s="41"/>
      <c r="O147" s="41"/>
      <c r="P147" s="70">
        <f t="shared" si="23"/>
        <v>0</v>
      </c>
      <c r="Q147" s="41">
        <v>0</v>
      </c>
      <c r="R147" s="41">
        <v>0</v>
      </c>
      <c r="S147" s="70">
        <f t="shared" si="24"/>
        <v>0</v>
      </c>
      <c r="T147" s="41">
        <v>0</v>
      </c>
      <c r="U147" s="41">
        <v>0</v>
      </c>
      <c r="V147" s="70">
        <f t="shared" si="25"/>
        <v>0</v>
      </c>
      <c r="W147" s="41">
        <v>0</v>
      </c>
      <c r="X147" s="41">
        <v>0</v>
      </c>
      <c r="Y147" s="70">
        <f t="shared" si="26"/>
        <v>0</v>
      </c>
      <c r="Z147" s="41">
        <f>25*2*10</f>
        <v>500</v>
      </c>
      <c r="AA147" s="41">
        <v>5</v>
      </c>
      <c r="AB147" s="70">
        <f t="shared" si="27"/>
        <v>1264894.5540000007</v>
      </c>
      <c r="AC147" s="41">
        <v>0</v>
      </c>
      <c r="AD147" s="41">
        <v>0</v>
      </c>
      <c r="AE147" s="70">
        <f t="shared" si="28"/>
        <v>0</v>
      </c>
      <c r="AF147" s="28">
        <f t="shared" si="29"/>
        <v>1978894.5540000007</v>
      </c>
      <c r="AG147" s="28">
        <f t="shared" si="30"/>
        <v>1921.25684854369</v>
      </c>
    </row>
    <row r="148" spans="1:33" ht="57.6" x14ac:dyDescent="0.3">
      <c r="A148" s="41" t="s">
        <v>697</v>
      </c>
      <c r="B148" s="41" t="s">
        <v>693</v>
      </c>
      <c r="C148" s="42" t="s">
        <v>671</v>
      </c>
      <c r="D148" s="41" t="s">
        <v>108</v>
      </c>
      <c r="E148" s="41" t="s">
        <v>795</v>
      </c>
      <c r="F148" s="41" t="s">
        <v>725</v>
      </c>
      <c r="G148" s="83">
        <f>50000*1030</f>
        <v>51500000</v>
      </c>
      <c r="H148" s="41">
        <v>1</v>
      </c>
      <c r="I148" s="41">
        <v>3</v>
      </c>
      <c r="J148" s="83">
        <f t="shared" si="21"/>
        <v>154500000</v>
      </c>
      <c r="K148" s="41">
        <v>0</v>
      </c>
      <c r="L148" s="41">
        <v>0</v>
      </c>
      <c r="M148" s="70">
        <f t="shared" si="22"/>
        <v>0</v>
      </c>
      <c r="N148" s="41"/>
      <c r="O148" s="41"/>
      <c r="P148" s="70">
        <f t="shared" si="23"/>
        <v>0</v>
      </c>
      <c r="Q148" s="41">
        <v>0</v>
      </c>
      <c r="R148" s="41">
        <v>0</v>
      </c>
      <c r="S148" s="70">
        <f t="shared" si="24"/>
        <v>0</v>
      </c>
      <c r="T148" s="41">
        <v>0</v>
      </c>
      <c r="U148" s="41">
        <v>0</v>
      </c>
      <c r="V148" s="70">
        <f t="shared" si="25"/>
        <v>0</v>
      </c>
      <c r="W148" s="41">
        <v>0</v>
      </c>
      <c r="X148" s="41">
        <v>0</v>
      </c>
      <c r="Y148" s="70">
        <f t="shared" si="26"/>
        <v>0</v>
      </c>
      <c r="Z148" s="41">
        <v>1</v>
      </c>
      <c r="AA148" s="41">
        <v>3</v>
      </c>
      <c r="AB148" s="70">
        <f t="shared" si="27"/>
        <v>273706174.50000012</v>
      </c>
      <c r="AC148" s="41">
        <v>0</v>
      </c>
      <c r="AD148" s="41">
        <v>0</v>
      </c>
      <c r="AE148" s="70">
        <f t="shared" si="28"/>
        <v>0</v>
      </c>
      <c r="AF148" s="28">
        <f t="shared" si="29"/>
        <v>428206174.50000012</v>
      </c>
      <c r="AG148" s="28">
        <f t="shared" si="30"/>
        <v>415734.15000000014</v>
      </c>
    </row>
    <row r="149" spans="1:33" ht="57.6" x14ac:dyDescent="0.3">
      <c r="A149" s="41" t="s">
        <v>697</v>
      </c>
      <c r="B149" s="41" t="s">
        <v>693</v>
      </c>
      <c r="C149" s="42" t="s">
        <v>671</v>
      </c>
      <c r="D149" s="41" t="s">
        <v>108</v>
      </c>
      <c r="E149" s="41" t="s">
        <v>1404</v>
      </c>
      <c r="F149" s="41" t="s">
        <v>741</v>
      </c>
      <c r="G149" s="83">
        <f>42000*1030</f>
        <v>43260000</v>
      </c>
      <c r="H149" s="41">
        <v>1</v>
      </c>
      <c r="I149" s="41">
        <v>1</v>
      </c>
      <c r="J149" s="83">
        <f t="shared" si="21"/>
        <v>43260000</v>
      </c>
      <c r="K149" s="41">
        <v>0</v>
      </c>
      <c r="L149" s="41">
        <v>0</v>
      </c>
      <c r="M149" s="70">
        <f t="shared" si="22"/>
        <v>0</v>
      </c>
      <c r="N149" s="41"/>
      <c r="O149" s="41"/>
      <c r="P149" s="70">
        <f t="shared" si="23"/>
        <v>0</v>
      </c>
      <c r="Q149" s="41">
        <v>0</v>
      </c>
      <c r="R149" s="41">
        <v>0</v>
      </c>
      <c r="S149" s="70">
        <f t="shared" si="24"/>
        <v>0</v>
      </c>
      <c r="T149" s="41">
        <v>0</v>
      </c>
      <c r="U149" s="41">
        <v>0</v>
      </c>
      <c r="V149" s="70">
        <f t="shared" si="25"/>
        <v>0</v>
      </c>
      <c r="W149" s="41">
        <v>0</v>
      </c>
      <c r="X149" s="41">
        <v>0</v>
      </c>
      <c r="Y149" s="70">
        <f t="shared" si="26"/>
        <v>0</v>
      </c>
      <c r="Z149" s="41">
        <v>1</v>
      </c>
      <c r="AA149" s="41">
        <v>1</v>
      </c>
      <c r="AB149" s="70">
        <f t="shared" si="27"/>
        <v>76637728.860000029</v>
      </c>
      <c r="AC149" s="41">
        <v>0</v>
      </c>
      <c r="AD149" s="41">
        <v>0</v>
      </c>
      <c r="AE149" s="70">
        <f t="shared" si="28"/>
        <v>0</v>
      </c>
      <c r="AF149" s="28">
        <f t="shared" si="29"/>
        <v>119897728.86000003</v>
      </c>
      <c r="AG149" s="28">
        <f t="shared" si="30"/>
        <v>116405.56200000003</v>
      </c>
    </row>
    <row r="150" spans="1:33" ht="57.6" x14ac:dyDescent="0.3">
      <c r="A150" s="41" t="s">
        <v>697</v>
      </c>
      <c r="B150" s="41" t="s">
        <v>693</v>
      </c>
      <c r="C150" s="42" t="s">
        <v>671</v>
      </c>
      <c r="D150" s="41" t="s">
        <v>110</v>
      </c>
      <c r="E150" s="41" t="s">
        <v>549</v>
      </c>
      <c r="F150" s="41" t="s">
        <v>718</v>
      </c>
      <c r="G150" s="83">
        <v>0</v>
      </c>
      <c r="H150" s="41">
        <v>0</v>
      </c>
      <c r="I150" s="41">
        <v>0</v>
      </c>
      <c r="J150" s="83">
        <f t="shared" si="21"/>
        <v>0</v>
      </c>
      <c r="K150" s="41">
        <v>0</v>
      </c>
      <c r="L150" s="41">
        <v>0</v>
      </c>
      <c r="M150" s="70">
        <f t="shared" si="22"/>
        <v>0</v>
      </c>
      <c r="N150" s="41">
        <v>0</v>
      </c>
      <c r="O150" s="41">
        <v>0</v>
      </c>
      <c r="P150" s="70">
        <f t="shared" si="23"/>
        <v>0</v>
      </c>
      <c r="Q150" s="41">
        <v>0</v>
      </c>
      <c r="R150" s="41">
        <v>0</v>
      </c>
      <c r="S150" s="70">
        <f t="shared" si="24"/>
        <v>0</v>
      </c>
      <c r="T150" s="41">
        <v>0</v>
      </c>
      <c r="U150" s="41">
        <v>0</v>
      </c>
      <c r="V150" s="70">
        <f t="shared" si="25"/>
        <v>0</v>
      </c>
      <c r="W150" s="41">
        <v>0</v>
      </c>
      <c r="X150" s="41">
        <v>0</v>
      </c>
      <c r="Y150" s="70">
        <f t="shared" si="26"/>
        <v>0</v>
      </c>
      <c r="Z150" s="41">
        <v>0</v>
      </c>
      <c r="AA150" s="41">
        <v>0</v>
      </c>
      <c r="AB150" s="70">
        <f t="shared" si="27"/>
        <v>0</v>
      </c>
      <c r="AC150" s="41">
        <v>0</v>
      </c>
      <c r="AD150" s="41">
        <v>0</v>
      </c>
      <c r="AE150" s="70">
        <f t="shared" si="28"/>
        <v>0</v>
      </c>
      <c r="AF150" s="28">
        <f t="shared" si="29"/>
        <v>0</v>
      </c>
      <c r="AG150" s="28">
        <f t="shared" si="30"/>
        <v>0</v>
      </c>
    </row>
    <row r="151" spans="1:33" ht="57.6" x14ac:dyDescent="0.3">
      <c r="A151" s="41" t="s">
        <v>697</v>
      </c>
      <c r="B151" s="41" t="s">
        <v>693</v>
      </c>
      <c r="C151" s="42" t="s">
        <v>671</v>
      </c>
      <c r="D151" s="41" t="s">
        <v>110</v>
      </c>
      <c r="E151" s="41" t="s">
        <v>550</v>
      </c>
      <c r="F151" s="41" t="s">
        <v>718</v>
      </c>
      <c r="G151" s="83">
        <v>0</v>
      </c>
      <c r="H151" s="41">
        <v>0</v>
      </c>
      <c r="I151" s="41">
        <v>0</v>
      </c>
      <c r="J151" s="83">
        <f t="shared" si="21"/>
        <v>0</v>
      </c>
      <c r="K151" s="41">
        <v>0</v>
      </c>
      <c r="L151" s="41">
        <v>0</v>
      </c>
      <c r="M151" s="70">
        <f t="shared" si="22"/>
        <v>0</v>
      </c>
      <c r="N151" s="41">
        <v>0</v>
      </c>
      <c r="O151" s="41">
        <v>0</v>
      </c>
      <c r="P151" s="70">
        <f t="shared" si="23"/>
        <v>0</v>
      </c>
      <c r="Q151" s="41">
        <v>0</v>
      </c>
      <c r="R151" s="41">
        <v>0</v>
      </c>
      <c r="S151" s="70">
        <f t="shared" si="24"/>
        <v>0</v>
      </c>
      <c r="T151" s="41">
        <v>0</v>
      </c>
      <c r="U151" s="41">
        <v>0</v>
      </c>
      <c r="V151" s="70">
        <f t="shared" si="25"/>
        <v>0</v>
      </c>
      <c r="W151" s="41">
        <v>0</v>
      </c>
      <c r="X151" s="41">
        <v>0</v>
      </c>
      <c r="Y151" s="70">
        <f t="shared" si="26"/>
        <v>0</v>
      </c>
      <c r="Z151" s="41">
        <v>0</v>
      </c>
      <c r="AA151" s="41">
        <v>0</v>
      </c>
      <c r="AB151" s="70">
        <f t="shared" si="27"/>
        <v>0</v>
      </c>
      <c r="AC151" s="41">
        <v>0</v>
      </c>
      <c r="AD151" s="41">
        <v>0</v>
      </c>
      <c r="AE151" s="70">
        <f t="shared" si="28"/>
        <v>0</v>
      </c>
      <c r="AF151" s="28">
        <f t="shared" si="29"/>
        <v>0</v>
      </c>
      <c r="AG151" s="28">
        <f t="shared" si="30"/>
        <v>0</v>
      </c>
    </row>
    <row r="152" spans="1:33" ht="57.6" x14ac:dyDescent="0.3">
      <c r="A152" s="41" t="s">
        <v>697</v>
      </c>
      <c r="B152" s="41" t="s">
        <v>693</v>
      </c>
      <c r="C152" s="42" t="s">
        <v>671</v>
      </c>
      <c r="D152" s="41" t="s">
        <v>110</v>
      </c>
      <c r="E152" s="41" t="s">
        <v>551</v>
      </c>
      <c r="F152" s="41" t="s">
        <v>713</v>
      </c>
      <c r="G152" s="83">
        <v>45000</v>
      </c>
      <c r="J152" s="84"/>
      <c r="K152" s="41">
        <v>25</v>
      </c>
      <c r="L152" s="41">
        <v>2</v>
      </c>
      <c r="M152" s="70">
        <f t="shared" si="22"/>
        <v>2475000.0000000005</v>
      </c>
      <c r="N152" s="41"/>
      <c r="O152" s="41"/>
      <c r="P152" s="70">
        <f t="shared" si="23"/>
        <v>0</v>
      </c>
      <c r="Q152" s="41">
        <v>0</v>
      </c>
      <c r="R152" s="41">
        <v>0</v>
      </c>
      <c r="S152" s="70">
        <f t="shared" si="24"/>
        <v>0</v>
      </c>
      <c r="T152" s="41">
        <v>25</v>
      </c>
      <c r="U152" s="41">
        <v>2</v>
      </c>
      <c r="V152" s="70">
        <f t="shared" si="25"/>
        <v>3294225.0000000009</v>
      </c>
      <c r="W152" s="41">
        <v>0</v>
      </c>
      <c r="X152" s="41">
        <v>0</v>
      </c>
      <c r="Y152" s="70">
        <f t="shared" si="26"/>
        <v>0</v>
      </c>
      <c r="Z152" s="41">
        <v>25</v>
      </c>
      <c r="AA152" s="41">
        <v>2</v>
      </c>
      <c r="AB152" s="70">
        <f t="shared" si="27"/>
        <v>3986012.2500000019</v>
      </c>
      <c r="AC152" s="41">
        <v>0</v>
      </c>
      <c r="AD152" s="41">
        <v>0</v>
      </c>
      <c r="AE152" s="70">
        <f t="shared" si="28"/>
        <v>0</v>
      </c>
      <c r="AF152" s="28">
        <f t="shared" si="29"/>
        <v>9755237.2500000037</v>
      </c>
      <c r="AG152" s="28">
        <f t="shared" si="30"/>
        <v>9471.104126213595</v>
      </c>
    </row>
    <row r="153" spans="1:33" ht="57.6" x14ac:dyDescent="0.3">
      <c r="A153" s="41" t="s">
        <v>697</v>
      </c>
      <c r="B153" s="41" t="s">
        <v>693</v>
      </c>
      <c r="C153" s="42" t="s">
        <v>671</v>
      </c>
      <c r="D153" s="41" t="s">
        <v>110</v>
      </c>
      <c r="E153" s="41" t="s">
        <v>551</v>
      </c>
      <c r="F153" s="41" t="s">
        <v>712</v>
      </c>
      <c r="G153" s="83">
        <f>1999.2/7</f>
        <v>285.60000000000002</v>
      </c>
      <c r="J153" s="84"/>
      <c r="K153" s="41">
        <f>25*2*9</f>
        <v>450</v>
      </c>
      <c r="L153" s="41">
        <v>1</v>
      </c>
      <c r="M153" s="70">
        <f t="shared" si="22"/>
        <v>141372</v>
      </c>
      <c r="N153" s="41"/>
      <c r="O153" s="41"/>
      <c r="P153" s="70">
        <f t="shared" si="23"/>
        <v>0</v>
      </c>
      <c r="Q153" s="41">
        <v>0</v>
      </c>
      <c r="R153" s="41">
        <v>0</v>
      </c>
      <c r="S153" s="70">
        <f t="shared" si="24"/>
        <v>0</v>
      </c>
      <c r="T153" s="41">
        <f>25*2*9</f>
        <v>450</v>
      </c>
      <c r="U153" s="41">
        <v>1</v>
      </c>
      <c r="V153" s="70">
        <f t="shared" si="25"/>
        <v>188166.13200000007</v>
      </c>
      <c r="W153" s="41">
        <v>0</v>
      </c>
      <c r="X153" s="41">
        <v>0</v>
      </c>
      <c r="Y153" s="70">
        <f t="shared" si="26"/>
        <v>0</v>
      </c>
      <c r="Z153" s="41">
        <f>25*2*9</f>
        <v>450</v>
      </c>
      <c r="AA153" s="41">
        <v>1</v>
      </c>
      <c r="AB153" s="70">
        <f t="shared" si="27"/>
        <v>227681.01972000013</v>
      </c>
      <c r="AC153" s="41">
        <v>0</v>
      </c>
      <c r="AD153" s="41">
        <v>0</v>
      </c>
      <c r="AE153" s="70">
        <f t="shared" si="28"/>
        <v>0</v>
      </c>
      <c r="AF153" s="28">
        <f t="shared" si="29"/>
        <v>557219.1517200002</v>
      </c>
      <c r="AG153" s="28">
        <f t="shared" si="30"/>
        <v>540.98946768932058</v>
      </c>
    </row>
    <row r="154" spans="1:33" ht="57.6" x14ac:dyDescent="0.3">
      <c r="A154" s="41" t="s">
        <v>697</v>
      </c>
      <c r="B154" s="41" t="s">
        <v>693</v>
      </c>
      <c r="C154" s="42" t="s">
        <v>671</v>
      </c>
      <c r="D154" s="41" t="s">
        <v>110</v>
      </c>
      <c r="E154" s="41" t="s">
        <v>551</v>
      </c>
      <c r="F154" s="41" t="s">
        <v>1350</v>
      </c>
      <c r="G154" s="83">
        <f>1999.2/7</f>
        <v>285.60000000000002</v>
      </c>
      <c r="J154" s="84"/>
      <c r="K154" s="41">
        <f>135*2*9</f>
        <v>2430</v>
      </c>
      <c r="L154" s="41">
        <v>1</v>
      </c>
      <c r="M154" s="70">
        <f t="shared" si="22"/>
        <v>763408.8</v>
      </c>
      <c r="N154" s="41"/>
      <c r="O154" s="41"/>
      <c r="P154" s="70">
        <f t="shared" si="23"/>
        <v>0</v>
      </c>
      <c r="Q154" s="41"/>
      <c r="R154" s="41"/>
      <c r="S154" s="70">
        <f t="shared" si="24"/>
        <v>0</v>
      </c>
      <c r="T154" s="41">
        <f>135*2*9</f>
        <v>2430</v>
      </c>
      <c r="U154" s="41">
        <v>1</v>
      </c>
      <c r="V154" s="70">
        <f t="shared" si="25"/>
        <v>1016097.1128000004</v>
      </c>
      <c r="W154" s="41"/>
      <c r="X154" s="41"/>
      <c r="Y154" s="70">
        <f t="shared" si="26"/>
        <v>0</v>
      </c>
      <c r="Z154" s="41">
        <f>135*2*9</f>
        <v>2430</v>
      </c>
      <c r="AA154" s="41">
        <v>1</v>
      </c>
      <c r="AB154" s="70">
        <f t="shared" si="27"/>
        <v>1229477.5064880007</v>
      </c>
      <c r="AC154" s="41"/>
      <c r="AD154" s="41"/>
      <c r="AE154" s="70">
        <f t="shared" si="28"/>
        <v>0</v>
      </c>
      <c r="AF154" s="28">
        <f t="shared" si="29"/>
        <v>3008983.419288001</v>
      </c>
      <c r="AG154" s="28">
        <f t="shared" si="30"/>
        <v>2921.3431255223309</v>
      </c>
    </row>
    <row r="155" spans="1:33" ht="57.6" x14ac:dyDescent="0.3">
      <c r="A155" s="41" t="s">
        <v>697</v>
      </c>
      <c r="B155" s="41" t="s">
        <v>693</v>
      </c>
      <c r="C155" s="42" t="s">
        <v>671</v>
      </c>
      <c r="D155" s="41" t="s">
        <v>110</v>
      </c>
      <c r="E155" s="41" t="s">
        <v>552</v>
      </c>
      <c r="F155" s="41" t="s">
        <v>709</v>
      </c>
      <c r="G155" s="83">
        <v>35000</v>
      </c>
      <c r="J155" s="84"/>
      <c r="K155" s="41">
        <v>25</v>
      </c>
      <c r="L155" s="41">
        <v>1</v>
      </c>
      <c r="M155" s="70">
        <f t="shared" si="22"/>
        <v>962500</v>
      </c>
      <c r="N155" s="41"/>
      <c r="O155" s="41"/>
      <c r="P155" s="70">
        <f t="shared" si="23"/>
        <v>0</v>
      </c>
      <c r="Q155" s="41"/>
      <c r="R155" s="41"/>
      <c r="S155" s="70">
        <f t="shared" si="24"/>
        <v>0</v>
      </c>
      <c r="T155" s="41">
        <v>25</v>
      </c>
      <c r="U155" s="41">
        <v>1</v>
      </c>
      <c r="V155" s="70">
        <f t="shared" si="25"/>
        <v>1281087.5000000005</v>
      </c>
      <c r="W155" s="41">
        <v>0</v>
      </c>
      <c r="X155" s="41">
        <v>0</v>
      </c>
      <c r="Y155" s="70">
        <f t="shared" si="26"/>
        <v>0</v>
      </c>
      <c r="Z155" s="41">
        <v>25</v>
      </c>
      <c r="AA155" s="41">
        <v>1</v>
      </c>
      <c r="AB155" s="70">
        <f t="shared" si="27"/>
        <v>1550115.8750000007</v>
      </c>
      <c r="AC155" s="41">
        <v>0</v>
      </c>
      <c r="AD155" s="41">
        <v>0</v>
      </c>
      <c r="AE155" s="70">
        <f t="shared" si="28"/>
        <v>0</v>
      </c>
      <c r="AF155" s="28">
        <f t="shared" si="29"/>
        <v>3793703.3750000009</v>
      </c>
      <c r="AG155" s="28">
        <f t="shared" si="30"/>
        <v>3683.2071601941757</v>
      </c>
    </row>
    <row r="156" spans="1:33" ht="57.6" x14ac:dyDescent="0.3">
      <c r="A156" s="41" t="s">
        <v>697</v>
      </c>
      <c r="B156" s="41" t="s">
        <v>693</v>
      </c>
      <c r="C156" s="42" t="s">
        <v>671</v>
      </c>
      <c r="D156" s="41" t="s">
        <v>110</v>
      </c>
      <c r="E156" s="41" t="s">
        <v>151</v>
      </c>
      <c r="F156" s="41" t="s">
        <v>713</v>
      </c>
      <c r="G156" s="83">
        <v>45000</v>
      </c>
      <c r="J156" s="84"/>
      <c r="K156" s="41">
        <v>25</v>
      </c>
      <c r="L156" s="41">
        <v>6</v>
      </c>
      <c r="M156" s="70">
        <f t="shared" si="22"/>
        <v>7425000.0000000019</v>
      </c>
      <c r="N156" s="41"/>
      <c r="O156" s="41"/>
      <c r="P156" s="70">
        <f t="shared" si="23"/>
        <v>0</v>
      </c>
      <c r="Q156" s="41"/>
      <c r="R156" s="41"/>
      <c r="S156" s="70">
        <f t="shared" si="24"/>
        <v>0</v>
      </c>
      <c r="T156" s="41">
        <v>25</v>
      </c>
      <c r="U156" s="41">
        <v>6</v>
      </c>
      <c r="V156" s="70">
        <f t="shared" si="25"/>
        <v>9882675.0000000037</v>
      </c>
      <c r="W156" s="41">
        <v>0</v>
      </c>
      <c r="X156" s="41">
        <v>0</v>
      </c>
      <c r="Y156" s="70">
        <f t="shared" si="26"/>
        <v>0</v>
      </c>
      <c r="Z156" s="41">
        <v>25</v>
      </c>
      <c r="AA156" s="41">
        <v>6</v>
      </c>
      <c r="AB156" s="70">
        <f t="shared" si="27"/>
        <v>11958036.750000006</v>
      </c>
      <c r="AC156" s="41">
        <v>0</v>
      </c>
      <c r="AD156" s="41">
        <v>0</v>
      </c>
      <c r="AE156" s="70">
        <f t="shared" si="28"/>
        <v>0</v>
      </c>
      <c r="AF156" s="28">
        <f t="shared" si="29"/>
        <v>29265711.750000015</v>
      </c>
      <c r="AG156" s="28">
        <f t="shared" si="30"/>
        <v>28413.312378640792</v>
      </c>
    </row>
    <row r="157" spans="1:33" ht="57.6" x14ac:dyDescent="0.3">
      <c r="A157" s="41" t="s">
        <v>697</v>
      </c>
      <c r="B157" s="41" t="s">
        <v>693</v>
      </c>
      <c r="C157" s="42" t="s">
        <v>671</v>
      </c>
      <c r="D157" s="41" t="s">
        <v>110</v>
      </c>
      <c r="E157" s="41" t="s">
        <v>151</v>
      </c>
      <c r="F157" s="41" t="s">
        <v>1350</v>
      </c>
      <c r="G157" s="83">
        <f>1999.2/7</f>
        <v>285.60000000000002</v>
      </c>
      <c r="J157" s="84"/>
      <c r="K157" s="41">
        <f>135*2*9</f>
        <v>2430</v>
      </c>
      <c r="L157" s="41">
        <v>1</v>
      </c>
      <c r="M157" s="70">
        <f t="shared" si="22"/>
        <v>763408.8</v>
      </c>
      <c r="N157" s="41"/>
      <c r="O157" s="41"/>
      <c r="P157" s="70">
        <f t="shared" si="23"/>
        <v>0</v>
      </c>
      <c r="Q157" s="41"/>
      <c r="R157" s="41"/>
      <c r="S157" s="70">
        <f t="shared" si="24"/>
        <v>0</v>
      </c>
      <c r="T157" s="41">
        <f>135*2*9</f>
        <v>2430</v>
      </c>
      <c r="U157" s="41">
        <v>1</v>
      </c>
      <c r="V157" s="70">
        <f t="shared" si="25"/>
        <v>1016097.1128000004</v>
      </c>
      <c r="W157" s="41"/>
      <c r="X157" s="41"/>
      <c r="Y157" s="70">
        <f t="shared" si="26"/>
        <v>0</v>
      </c>
      <c r="Z157" s="41">
        <f>135*2*9</f>
        <v>2430</v>
      </c>
      <c r="AA157" s="41">
        <v>1</v>
      </c>
      <c r="AB157" s="70">
        <f t="shared" si="27"/>
        <v>1229477.5064880007</v>
      </c>
      <c r="AC157" s="41"/>
      <c r="AD157" s="41"/>
      <c r="AE157" s="70">
        <f t="shared" si="28"/>
        <v>0</v>
      </c>
      <c r="AF157" s="28">
        <f t="shared" si="29"/>
        <v>3008983.419288001</v>
      </c>
      <c r="AG157" s="28">
        <f t="shared" si="30"/>
        <v>2921.3431255223309</v>
      </c>
    </row>
    <row r="158" spans="1:33" ht="57.6" x14ac:dyDescent="0.3">
      <c r="A158" s="41" t="s">
        <v>697</v>
      </c>
      <c r="B158" s="41" t="s">
        <v>693</v>
      </c>
      <c r="C158" s="42" t="s">
        <v>671</v>
      </c>
      <c r="D158" s="41" t="s">
        <v>110</v>
      </c>
      <c r="E158" s="41" t="s">
        <v>151</v>
      </c>
      <c r="F158" s="41" t="s">
        <v>712</v>
      </c>
      <c r="G158" s="83">
        <f>1999.2/7</f>
        <v>285.60000000000002</v>
      </c>
      <c r="J158" s="84"/>
      <c r="K158" s="41">
        <f>25*2*9</f>
        <v>450</v>
      </c>
      <c r="L158" s="41">
        <v>5</v>
      </c>
      <c r="M158" s="70">
        <f t="shared" si="22"/>
        <v>706860</v>
      </c>
      <c r="N158" s="41"/>
      <c r="O158" s="41"/>
      <c r="P158" s="70">
        <f t="shared" si="23"/>
        <v>0</v>
      </c>
      <c r="Q158" s="41"/>
      <c r="R158" s="41"/>
      <c r="S158" s="70">
        <f t="shared" si="24"/>
        <v>0</v>
      </c>
      <c r="T158" s="41">
        <f>25*2*9</f>
        <v>450</v>
      </c>
      <c r="U158" s="41">
        <v>5</v>
      </c>
      <c r="V158" s="70">
        <f t="shared" si="25"/>
        <v>940830.66000000038</v>
      </c>
      <c r="W158" s="41">
        <v>0</v>
      </c>
      <c r="X158" s="41">
        <v>0</v>
      </c>
      <c r="Y158" s="70">
        <f t="shared" si="26"/>
        <v>0</v>
      </c>
      <c r="Z158" s="41">
        <f>25*2*9</f>
        <v>450</v>
      </c>
      <c r="AA158" s="41">
        <v>5</v>
      </c>
      <c r="AB158" s="70">
        <f t="shared" si="27"/>
        <v>1138405.0986000006</v>
      </c>
      <c r="AC158" s="41">
        <v>0</v>
      </c>
      <c r="AD158" s="41">
        <v>0</v>
      </c>
      <c r="AE158" s="70">
        <f t="shared" si="28"/>
        <v>0</v>
      </c>
      <c r="AF158" s="28">
        <f t="shared" si="29"/>
        <v>2786095.7586000012</v>
      </c>
      <c r="AG158" s="28">
        <f t="shared" si="30"/>
        <v>2704.9473384466032</v>
      </c>
    </row>
    <row r="159" spans="1:33" ht="57.6" x14ac:dyDescent="0.3">
      <c r="A159" s="41" t="s">
        <v>697</v>
      </c>
      <c r="B159" s="41" t="s">
        <v>693</v>
      </c>
      <c r="C159" s="42" t="s">
        <v>671</v>
      </c>
      <c r="D159" s="41" t="s">
        <v>110</v>
      </c>
      <c r="E159" s="41" t="s">
        <v>151</v>
      </c>
      <c r="F159" s="41" t="s">
        <v>715</v>
      </c>
      <c r="G159" s="83">
        <v>302000</v>
      </c>
      <c r="J159" s="84"/>
      <c r="K159" s="41">
        <v>25</v>
      </c>
      <c r="L159" s="41">
        <v>1</v>
      </c>
      <c r="M159" s="70">
        <f t="shared" si="22"/>
        <v>8305000</v>
      </c>
      <c r="N159" s="41"/>
      <c r="O159" s="41"/>
      <c r="P159" s="70">
        <f t="shared" si="23"/>
        <v>0</v>
      </c>
      <c r="Q159" s="41"/>
      <c r="R159" s="41"/>
      <c r="S159" s="70">
        <f t="shared" si="24"/>
        <v>0</v>
      </c>
      <c r="T159" s="41">
        <v>25</v>
      </c>
      <c r="U159" s="41">
        <v>1</v>
      </c>
      <c r="V159" s="70">
        <f t="shared" si="25"/>
        <v>11053955.000000004</v>
      </c>
      <c r="W159" s="41">
        <v>0</v>
      </c>
      <c r="X159" s="41">
        <v>0</v>
      </c>
      <c r="Y159" s="70">
        <f t="shared" si="26"/>
        <v>0</v>
      </c>
      <c r="Z159" s="41">
        <v>25</v>
      </c>
      <c r="AA159" s="41">
        <v>1</v>
      </c>
      <c r="AB159" s="70">
        <f t="shared" si="27"/>
        <v>13375285.550000006</v>
      </c>
      <c r="AC159" s="41">
        <v>0</v>
      </c>
      <c r="AD159" s="41">
        <v>0</v>
      </c>
      <c r="AE159" s="70">
        <f t="shared" si="28"/>
        <v>0</v>
      </c>
      <c r="AF159" s="28">
        <f t="shared" si="29"/>
        <v>32734240.550000012</v>
      </c>
      <c r="AG159" s="28">
        <f t="shared" si="30"/>
        <v>31780.816067961176</v>
      </c>
    </row>
    <row r="160" spans="1:33" ht="57.6" x14ac:dyDescent="0.3">
      <c r="A160" s="41" t="s">
        <v>697</v>
      </c>
      <c r="B160" s="41" t="s">
        <v>693</v>
      </c>
      <c r="C160" s="42" t="s">
        <v>671</v>
      </c>
      <c r="D160" s="41" t="s">
        <v>110</v>
      </c>
      <c r="E160" s="41" t="s">
        <v>151</v>
      </c>
      <c r="F160" s="41" t="s">
        <v>714</v>
      </c>
      <c r="G160" s="83">
        <v>10000</v>
      </c>
      <c r="J160" s="84"/>
      <c r="K160" s="41">
        <v>15</v>
      </c>
      <c r="L160" s="41">
        <v>1</v>
      </c>
      <c r="M160" s="70">
        <f t="shared" si="22"/>
        <v>165000</v>
      </c>
      <c r="N160" s="41"/>
      <c r="O160" s="41"/>
      <c r="P160" s="70">
        <f t="shared" si="23"/>
        <v>0</v>
      </c>
      <c r="Q160" s="41"/>
      <c r="R160" s="41"/>
      <c r="S160" s="70">
        <f t="shared" si="24"/>
        <v>0</v>
      </c>
      <c r="T160" s="41">
        <v>15</v>
      </c>
      <c r="U160" s="41">
        <v>1</v>
      </c>
      <c r="V160" s="70">
        <f t="shared" si="25"/>
        <v>219615.00000000006</v>
      </c>
      <c r="W160" s="41">
        <v>0</v>
      </c>
      <c r="X160" s="41">
        <v>0</v>
      </c>
      <c r="Y160" s="70">
        <f t="shared" si="26"/>
        <v>0</v>
      </c>
      <c r="Z160" s="41">
        <v>15</v>
      </c>
      <c r="AA160" s="41">
        <v>1</v>
      </c>
      <c r="AB160" s="70">
        <f t="shared" si="27"/>
        <v>265734.15000000014</v>
      </c>
      <c r="AC160" s="41">
        <v>0</v>
      </c>
      <c r="AD160" s="41">
        <v>0</v>
      </c>
      <c r="AE160" s="70">
        <f t="shared" si="28"/>
        <v>0</v>
      </c>
      <c r="AF160" s="28">
        <f t="shared" si="29"/>
        <v>650349.15000000014</v>
      </c>
      <c r="AG160" s="28">
        <f t="shared" si="30"/>
        <v>631.406941747573</v>
      </c>
    </row>
    <row r="161" spans="1:33" ht="57.6" x14ac:dyDescent="0.3">
      <c r="A161" s="41" t="s">
        <v>697</v>
      </c>
      <c r="B161" s="41" t="s">
        <v>693</v>
      </c>
      <c r="C161" s="42" t="s">
        <v>671</v>
      </c>
      <c r="D161" s="41" t="s">
        <v>110</v>
      </c>
      <c r="E161" s="41" t="s">
        <v>152</v>
      </c>
      <c r="F161" s="41" t="s">
        <v>716</v>
      </c>
      <c r="G161" s="83">
        <v>39000</v>
      </c>
      <c r="J161" s="84"/>
      <c r="K161" s="41">
        <v>25</v>
      </c>
      <c r="L161" s="41">
        <v>6</v>
      </c>
      <c r="M161" s="70">
        <f t="shared" si="22"/>
        <v>6435000</v>
      </c>
      <c r="N161" s="41"/>
      <c r="O161" s="41"/>
      <c r="P161" s="70">
        <f t="shared" si="23"/>
        <v>0</v>
      </c>
      <c r="Q161" s="41"/>
      <c r="R161" s="41"/>
      <c r="S161" s="70">
        <f t="shared" si="24"/>
        <v>0</v>
      </c>
      <c r="T161" s="41">
        <v>25</v>
      </c>
      <c r="U161" s="41">
        <v>6</v>
      </c>
      <c r="V161" s="70">
        <f t="shared" si="25"/>
        <v>8564985.0000000037</v>
      </c>
      <c r="W161" s="41">
        <v>0</v>
      </c>
      <c r="X161" s="41">
        <v>0</v>
      </c>
      <c r="Y161" s="70">
        <f t="shared" si="26"/>
        <v>0</v>
      </c>
      <c r="Z161" s="41">
        <v>25</v>
      </c>
      <c r="AA161" s="41">
        <v>6</v>
      </c>
      <c r="AB161" s="70">
        <f t="shared" si="27"/>
        <v>10363631.850000005</v>
      </c>
      <c r="AC161" s="41">
        <v>0</v>
      </c>
      <c r="AD161" s="41">
        <v>0</v>
      </c>
      <c r="AE161" s="70">
        <f t="shared" si="28"/>
        <v>0</v>
      </c>
      <c r="AF161" s="28">
        <f t="shared" si="29"/>
        <v>25363616.850000009</v>
      </c>
      <c r="AG161" s="28">
        <f t="shared" si="30"/>
        <v>24624.870728155347</v>
      </c>
    </row>
    <row r="162" spans="1:33" ht="57.6" x14ac:dyDescent="0.3">
      <c r="A162" s="41" t="s">
        <v>697</v>
      </c>
      <c r="B162" s="41" t="s">
        <v>693</v>
      </c>
      <c r="C162" s="42" t="s">
        <v>671</v>
      </c>
      <c r="D162" s="41" t="s">
        <v>110</v>
      </c>
      <c r="E162" s="41" t="s">
        <v>152</v>
      </c>
      <c r="F162" s="41" t="s">
        <v>709</v>
      </c>
      <c r="G162" s="83">
        <v>35000</v>
      </c>
      <c r="J162" s="84"/>
      <c r="K162" s="41">
        <v>25</v>
      </c>
      <c r="L162" s="41">
        <v>5</v>
      </c>
      <c r="M162" s="70">
        <f t="shared" si="22"/>
        <v>4812500</v>
      </c>
      <c r="N162" s="41"/>
      <c r="O162" s="41"/>
      <c r="P162" s="70">
        <f t="shared" si="23"/>
        <v>0</v>
      </c>
      <c r="Q162" s="41"/>
      <c r="R162" s="41"/>
      <c r="S162" s="70">
        <f t="shared" si="24"/>
        <v>0</v>
      </c>
      <c r="T162" s="41">
        <v>25</v>
      </c>
      <c r="U162" s="41">
        <v>5</v>
      </c>
      <c r="V162" s="70">
        <f t="shared" si="25"/>
        <v>6405437.5000000019</v>
      </c>
      <c r="W162" s="41">
        <v>0</v>
      </c>
      <c r="X162" s="41">
        <v>0</v>
      </c>
      <c r="Y162" s="70">
        <f t="shared" si="26"/>
        <v>0</v>
      </c>
      <c r="Z162" s="41">
        <v>25</v>
      </c>
      <c r="AA162" s="41">
        <v>5</v>
      </c>
      <c r="AB162" s="70">
        <f t="shared" si="27"/>
        <v>7750579.3750000037</v>
      </c>
      <c r="AC162" s="41">
        <v>0</v>
      </c>
      <c r="AD162" s="41">
        <v>0</v>
      </c>
      <c r="AE162" s="70">
        <f t="shared" si="28"/>
        <v>0</v>
      </c>
      <c r="AF162" s="28">
        <f t="shared" si="29"/>
        <v>18968516.875000007</v>
      </c>
      <c r="AG162" s="28">
        <f t="shared" si="30"/>
        <v>18416.03580097088</v>
      </c>
    </row>
    <row r="163" spans="1:33" ht="57.6" x14ac:dyDescent="0.3">
      <c r="A163" s="41" t="s">
        <v>697</v>
      </c>
      <c r="B163" s="41" t="s">
        <v>693</v>
      </c>
      <c r="C163" s="42" t="s">
        <v>671</v>
      </c>
      <c r="D163" s="41" t="s">
        <v>110</v>
      </c>
      <c r="E163" s="41" t="s">
        <v>152</v>
      </c>
      <c r="F163" s="41" t="s">
        <v>1350</v>
      </c>
      <c r="G163" s="83">
        <f>1999.2/7</f>
        <v>285.60000000000002</v>
      </c>
      <c r="J163" s="84"/>
      <c r="K163" s="41">
        <f>135*2*9</f>
        <v>2430</v>
      </c>
      <c r="L163" s="41">
        <v>1</v>
      </c>
      <c r="M163" s="70">
        <f t="shared" si="22"/>
        <v>763408.8</v>
      </c>
      <c r="N163" s="41"/>
      <c r="O163" s="41"/>
      <c r="P163" s="70">
        <f t="shared" si="23"/>
        <v>0</v>
      </c>
      <c r="Q163" s="41"/>
      <c r="R163" s="41"/>
      <c r="S163" s="70">
        <f t="shared" si="24"/>
        <v>0</v>
      </c>
      <c r="T163" s="41">
        <f>135*2*9</f>
        <v>2430</v>
      </c>
      <c r="U163" s="41">
        <v>1</v>
      </c>
      <c r="V163" s="70">
        <f t="shared" si="25"/>
        <v>1016097.1128000004</v>
      </c>
      <c r="W163" s="41"/>
      <c r="X163" s="41"/>
      <c r="Y163" s="70">
        <f t="shared" si="26"/>
        <v>0</v>
      </c>
      <c r="Z163" s="41">
        <f>135*2*9</f>
        <v>2430</v>
      </c>
      <c r="AA163" s="41">
        <v>1</v>
      </c>
      <c r="AB163" s="70">
        <f t="shared" si="27"/>
        <v>1229477.5064880007</v>
      </c>
      <c r="AC163" s="41"/>
      <c r="AD163" s="41"/>
      <c r="AE163" s="70">
        <f t="shared" si="28"/>
        <v>0</v>
      </c>
      <c r="AF163" s="28">
        <f t="shared" si="29"/>
        <v>3008983.419288001</v>
      </c>
      <c r="AG163" s="28">
        <f t="shared" si="30"/>
        <v>2921.3431255223309</v>
      </c>
    </row>
    <row r="164" spans="1:33" ht="57.6" x14ac:dyDescent="0.3">
      <c r="A164" s="41" t="s">
        <v>697</v>
      </c>
      <c r="B164" s="41" t="s">
        <v>693</v>
      </c>
      <c r="C164" s="42" t="s">
        <v>671</v>
      </c>
      <c r="D164" s="41" t="s">
        <v>110</v>
      </c>
      <c r="E164" s="41" t="s">
        <v>152</v>
      </c>
      <c r="F164" s="41" t="s">
        <v>712</v>
      </c>
      <c r="G164" s="83">
        <f>1999.2/7</f>
        <v>285.60000000000002</v>
      </c>
      <c r="J164" s="84"/>
      <c r="K164" s="41">
        <f>25*2*9</f>
        <v>450</v>
      </c>
      <c r="L164" s="41">
        <v>5</v>
      </c>
      <c r="M164" s="70">
        <f t="shared" si="22"/>
        <v>706860</v>
      </c>
      <c r="N164" s="41"/>
      <c r="O164" s="41"/>
      <c r="P164" s="70">
        <f t="shared" si="23"/>
        <v>0</v>
      </c>
      <c r="Q164" s="41"/>
      <c r="R164" s="41"/>
      <c r="S164" s="70">
        <f t="shared" si="24"/>
        <v>0</v>
      </c>
      <c r="T164" s="41">
        <f>25*2*9</f>
        <v>450</v>
      </c>
      <c r="U164" s="41">
        <v>5</v>
      </c>
      <c r="V164" s="70">
        <f t="shared" si="25"/>
        <v>940830.66000000038</v>
      </c>
      <c r="W164" s="41">
        <v>0</v>
      </c>
      <c r="X164" s="41">
        <v>0</v>
      </c>
      <c r="Y164" s="70">
        <f t="shared" si="26"/>
        <v>0</v>
      </c>
      <c r="Z164" s="41">
        <f>25*2*9</f>
        <v>450</v>
      </c>
      <c r="AA164" s="41">
        <v>5</v>
      </c>
      <c r="AB164" s="70">
        <f t="shared" si="27"/>
        <v>1138405.0986000006</v>
      </c>
      <c r="AC164" s="41">
        <v>0</v>
      </c>
      <c r="AD164" s="41">
        <v>0</v>
      </c>
      <c r="AE164" s="70">
        <f t="shared" si="28"/>
        <v>0</v>
      </c>
      <c r="AF164" s="28">
        <f t="shared" si="29"/>
        <v>2786095.7586000012</v>
      </c>
      <c r="AG164" s="28">
        <f t="shared" si="30"/>
        <v>2704.9473384466032</v>
      </c>
    </row>
    <row r="165" spans="1:33" ht="57.6" x14ac:dyDescent="0.3">
      <c r="A165" s="41" t="s">
        <v>697</v>
      </c>
      <c r="B165" s="41" t="s">
        <v>693</v>
      </c>
      <c r="C165" s="42" t="s">
        <v>671</v>
      </c>
      <c r="D165" s="41" t="s">
        <v>110</v>
      </c>
      <c r="E165" s="41" t="s">
        <v>180</v>
      </c>
      <c r="F165" s="41" t="s">
        <v>716</v>
      </c>
      <c r="G165" s="83">
        <v>39000</v>
      </c>
      <c r="J165" s="84"/>
      <c r="K165" s="41">
        <v>25</v>
      </c>
      <c r="L165" s="41">
        <v>5</v>
      </c>
      <c r="M165" s="70">
        <f t="shared" si="22"/>
        <v>5362500</v>
      </c>
      <c r="N165" s="41"/>
      <c r="O165" s="41"/>
      <c r="P165" s="70">
        <f t="shared" si="23"/>
        <v>0</v>
      </c>
      <c r="Q165" s="41"/>
      <c r="R165" s="41"/>
      <c r="S165" s="70">
        <f t="shared" si="24"/>
        <v>0</v>
      </c>
      <c r="T165" s="41">
        <v>25</v>
      </c>
      <c r="U165" s="41">
        <v>5</v>
      </c>
      <c r="V165" s="70">
        <f t="shared" si="25"/>
        <v>7137487.5000000019</v>
      </c>
      <c r="W165" s="41">
        <v>0</v>
      </c>
      <c r="X165" s="41">
        <v>0</v>
      </c>
      <c r="Y165" s="70">
        <f t="shared" si="26"/>
        <v>0</v>
      </c>
      <c r="Z165" s="41">
        <v>25</v>
      </c>
      <c r="AA165" s="41">
        <v>5</v>
      </c>
      <c r="AB165" s="70">
        <f t="shared" si="27"/>
        <v>8636359.8750000037</v>
      </c>
      <c r="AC165" s="41">
        <v>0</v>
      </c>
      <c r="AD165" s="41">
        <v>0</v>
      </c>
      <c r="AE165" s="70">
        <f t="shared" si="28"/>
        <v>0</v>
      </c>
      <c r="AF165" s="28">
        <f t="shared" si="29"/>
        <v>21136347.375000007</v>
      </c>
      <c r="AG165" s="28">
        <f t="shared" si="30"/>
        <v>20520.725606796124</v>
      </c>
    </row>
    <row r="166" spans="1:33" ht="57.6" x14ac:dyDescent="0.3">
      <c r="A166" s="41" t="s">
        <v>697</v>
      </c>
      <c r="B166" s="41" t="s">
        <v>693</v>
      </c>
      <c r="C166" s="42" t="s">
        <v>671</v>
      </c>
      <c r="D166" s="41" t="s">
        <v>110</v>
      </c>
      <c r="E166" s="41" t="s">
        <v>180</v>
      </c>
      <c r="F166" s="41" t="s">
        <v>709</v>
      </c>
      <c r="G166" s="83">
        <v>35000</v>
      </c>
      <c r="J166" s="84"/>
      <c r="K166" s="41">
        <v>25</v>
      </c>
      <c r="L166" s="41">
        <v>5</v>
      </c>
      <c r="M166" s="70">
        <f t="shared" si="22"/>
        <v>4812500</v>
      </c>
      <c r="N166" s="41"/>
      <c r="O166" s="41"/>
      <c r="P166" s="70">
        <f t="shared" si="23"/>
        <v>0</v>
      </c>
      <c r="Q166" s="41"/>
      <c r="R166" s="41"/>
      <c r="S166" s="70">
        <f t="shared" si="24"/>
        <v>0</v>
      </c>
      <c r="T166" s="41">
        <v>25</v>
      </c>
      <c r="U166" s="41">
        <v>5</v>
      </c>
      <c r="V166" s="70">
        <f t="shared" si="25"/>
        <v>6405437.5000000019</v>
      </c>
      <c r="W166" s="41">
        <v>0</v>
      </c>
      <c r="X166" s="41">
        <v>0</v>
      </c>
      <c r="Y166" s="70">
        <f t="shared" si="26"/>
        <v>0</v>
      </c>
      <c r="Z166" s="41">
        <v>25</v>
      </c>
      <c r="AA166" s="41">
        <v>5</v>
      </c>
      <c r="AB166" s="70">
        <f t="shared" si="27"/>
        <v>7750579.3750000037</v>
      </c>
      <c r="AC166" s="41">
        <v>0</v>
      </c>
      <c r="AD166" s="41">
        <v>0</v>
      </c>
      <c r="AE166" s="70">
        <f t="shared" si="28"/>
        <v>0</v>
      </c>
      <c r="AF166" s="28">
        <f t="shared" si="29"/>
        <v>18968516.875000007</v>
      </c>
      <c r="AG166" s="28">
        <f t="shared" si="30"/>
        <v>18416.03580097088</v>
      </c>
    </row>
    <row r="167" spans="1:33" ht="57.6" x14ac:dyDescent="0.3">
      <c r="A167" s="41" t="s">
        <v>697</v>
      </c>
      <c r="B167" s="41" t="s">
        <v>693</v>
      </c>
      <c r="C167" s="42" t="s">
        <v>671</v>
      </c>
      <c r="D167" s="41" t="s">
        <v>110</v>
      </c>
      <c r="E167" s="41" t="s">
        <v>180</v>
      </c>
      <c r="F167" s="41" t="s">
        <v>1350</v>
      </c>
      <c r="G167" s="83">
        <f>1999.2/7</f>
        <v>285.60000000000002</v>
      </c>
      <c r="J167" s="84"/>
      <c r="K167" s="41">
        <f>135*2*9</f>
        <v>2430</v>
      </c>
      <c r="L167" s="41">
        <v>1</v>
      </c>
      <c r="M167" s="70">
        <f t="shared" si="22"/>
        <v>763408.8</v>
      </c>
      <c r="N167" s="41"/>
      <c r="O167" s="41"/>
      <c r="P167" s="70">
        <f t="shared" si="23"/>
        <v>0</v>
      </c>
      <c r="Q167" s="41"/>
      <c r="R167" s="41"/>
      <c r="S167" s="70">
        <f t="shared" si="24"/>
        <v>0</v>
      </c>
      <c r="T167" s="41">
        <f>135*2*9</f>
        <v>2430</v>
      </c>
      <c r="U167" s="41">
        <v>1</v>
      </c>
      <c r="V167" s="70">
        <f t="shared" si="25"/>
        <v>1016097.1128000004</v>
      </c>
      <c r="W167" s="41"/>
      <c r="X167" s="41"/>
      <c r="Y167" s="70">
        <f t="shared" si="26"/>
        <v>0</v>
      </c>
      <c r="Z167" s="41">
        <f>135*2*9</f>
        <v>2430</v>
      </c>
      <c r="AA167" s="41">
        <v>1</v>
      </c>
      <c r="AB167" s="70">
        <f t="shared" si="27"/>
        <v>1229477.5064880007</v>
      </c>
      <c r="AC167" s="41"/>
      <c r="AD167" s="41"/>
      <c r="AE167" s="70">
        <f t="shared" si="28"/>
        <v>0</v>
      </c>
      <c r="AF167" s="28">
        <f t="shared" si="29"/>
        <v>3008983.419288001</v>
      </c>
      <c r="AG167" s="28">
        <f t="shared" si="30"/>
        <v>2921.3431255223309</v>
      </c>
    </row>
    <row r="168" spans="1:33" ht="57.6" x14ac:dyDescent="0.3">
      <c r="A168" s="41" t="s">
        <v>697</v>
      </c>
      <c r="B168" s="41" t="s">
        <v>693</v>
      </c>
      <c r="C168" s="42" t="s">
        <v>671</v>
      </c>
      <c r="D168" s="41" t="s">
        <v>110</v>
      </c>
      <c r="E168" s="41" t="s">
        <v>180</v>
      </c>
      <c r="F168" s="41" t="s">
        <v>712</v>
      </c>
      <c r="G168" s="83">
        <f>1999.2/7</f>
        <v>285.60000000000002</v>
      </c>
      <c r="J168" s="84"/>
      <c r="K168" s="41">
        <f>25*2*9</f>
        <v>450</v>
      </c>
      <c r="L168" s="41">
        <v>5</v>
      </c>
      <c r="M168" s="70">
        <f t="shared" si="22"/>
        <v>706860</v>
      </c>
      <c r="N168" s="41">
        <v>4000</v>
      </c>
      <c r="O168" s="41">
        <v>1</v>
      </c>
      <c r="P168" s="70">
        <f t="shared" si="23"/>
        <v>1382304.0000000002</v>
      </c>
      <c r="Q168" s="41">
        <v>0</v>
      </c>
      <c r="R168" s="41">
        <v>0</v>
      </c>
      <c r="S168" s="70">
        <f t="shared" si="24"/>
        <v>0</v>
      </c>
      <c r="T168" s="41">
        <f>25*2*9</f>
        <v>450</v>
      </c>
      <c r="U168" s="41">
        <v>5</v>
      </c>
      <c r="V168" s="70">
        <f t="shared" si="25"/>
        <v>940830.66000000038</v>
      </c>
      <c r="W168" s="41">
        <v>0</v>
      </c>
      <c r="X168" s="41">
        <v>0</v>
      </c>
      <c r="Y168" s="70">
        <f t="shared" si="26"/>
        <v>0</v>
      </c>
      <c r="Z168" s="41">
        <f>25*2*9</f>
        <v>450</v>
      </c>
      <c r="AA168" s="41">
        <v>5</v>
      </c>
      <c r="AB168" s="70">
        <f t="shared" si="27"/>
        <v>1138405.0986000006</v>
      </c>
      <c r="AC168" s="41">
        <v>0</v>
      </c>
      <c r="AD168" s="41">
        <v>0</v>
      </c>
      <c r="AE168" s="70">
        <f t="shared" si="28"/>
        <v>0</v>
      </c>
      <c r="AF168" s="28">
        <f t="shared" si="29"/>
        <v>4168399.7586000012</v>
      </c>
      <c r="AG168" s="28">
        <f t="shared" si="30"/>
        <v>4046.9900568932053</v>
      </c>
    </row>
    <row r="169" spans="1:33" ht="57.6" x14ac:dyDescent="0.3">
      <c r="A169" s="41" t="s">
        <v>697</v>
      </c>
      <c r="B169" s="41" t="s">
        <v>693</v>
      </c>
      <c r="C169" s="42" t="s">
        <v>671</v>
      </c>
      <c r="D169" s="41" t="s">
        <v>110</v>
      </c>
      <c r="E169" s="41" t="s">
        <v>553</v>
      </c>
      <c r="F169" s="41" t="s">
        <v>716</v>
      </c>
      <c r="G169" s="83">
        <v>39000</v>
      </c>
      <c r="J169" s="84"/>
      <c r="K169" s="41">
        <v>58</v>
      </c>
      <c r="L169" s="41">
        <v>6</v>
      </c>
      <c r="M169" s="70">
        <f t="shared" si="22"/>
        <v>14929200</v>
      </c>
      <c r="N169" s="41">
        <v>10</v>
      </c>
      <c r="O169" s="41">
        <v>1</v>
      </c>
      <c r="P169" s="70">
        <f t="shared" si="23"/>
        <v>471900.00000000006</v>
      </c>
      <c r="Q169" s="41">
        <v>0</v>
      </c>
      <c r="R169" s="41">
        <v>0</v>
      </c>
      <c r="S169" s="70">
        <f t="shared" si="24"/>
        <v>0</v>
      </c>
      <c r="T169" s="41">
        <v>58</v>
      </c>
      <c r="U169" s="41">
        <v>6</v>
      </c>
      <c r="V169" s="70">
        <f t="shared" si="25"/>
        <v>19870765.200000007</v>
      </c>
      <c r="W169" s="41">
        <v>0</v>
      </c>
      <c r="X169" s="41">
        <v>0</v>
      </c>
      <c r="Y169" s="70">
        <f t="shared" si="26"/>
        <v>0</v>
      </c>
      <c r="Z169" s="41">
        <v>58</v>
      </c>
      <c r="AA169" s="41">
        <v>6</v>
      </c>
      <c r="AB169" s="70">
        <f t="shared" si="27"/>
        <v>24043625.892000012</v>
      </c>
      <c r="AC169" s="41">
        <v>0</v>
      </c>
      <c r="AD169" s="41">
        <v>0</v>
      </c>
      <c r="AE169" s="70">
        <f t="shared" si="28"/>
        <v>0</v>
      </c>
      <c r="AF169" s="28">
        <f t="shared" si="29"/>
        <v>59315491.092000015</v>
      </c>
      <c r="AG169" s="28">
        <f t="shared" si="30"/>
        <v>57587.855429126226</v>
      </c>
    </row>
    <row r="170" spans="1:33" ht="57.6" x14ac:dyDescent="0.3">
      <c r="A170" s="41" t="s">
        <v>697</v>
      </c>
      <c r="B170" s="41" t="s">
        <v>693</v>
      </c>
      <c r="C170" s="42" t="s">
        <v>671</v>
      </c>
      <c r="D170" s="41" t="s">
        <v>110</v>
      </c>
      <c r="E170" s="41" t="s">
        <v>553</v>
      </c>
      <c r="F170" s="41" t="s">
        <v>709</v>
      </c>
      <c r="G170" s="83">
        <v>28000</v>
      </c>
      <c r="J170" s="84"/>
      <c r="K170" s="41">
        <v>100</v>
      </c>
      <c r="L170" s="41">
        <v>5</v>
      </c>
      <c r="M170" s="70">
        <f t="shared" si="22"/>
        <v>15400000.000000002</v>
      </c>
      <c r="N170" s="41">
        <v>30</v>
      </c>
      <c r="O170" s="41">
        <v>1</v>
      </c>
      <c r="P170" s="70">
        <f t="shared" si="23"/>
        <v>1016400.0000000002</v>
      </c>
      <c r="Q170" s="41">
        <v>0</v>
      </c>
      <c r="R170" s="41">
        <v>0</v>
      </c>
      <c r="S170" s="70">
        <f t="shared" si="24"/>
        <v>0</v>
      </c>
      <c r="T170" s="41">
        <v>100</v>
      </c>
      <c r="U170" s="41">
        <v>5</v>
      </c>
      <c r="V170" s="70">
        <f t="shared" si="25"/>
        <v>20497400.000000004</v>
      </c>
      <c r="W170" s="41">
        <v>0</v>
      </c>
      <c r="X170" s="41">
        <v>0</v>
      </c>
      <c r="Y170" s="70">
        <f t="shared" si="26"/>
        <v>0</v>
      </c>
      <c r="Z170" s="41">
        <v>100</v>
      </c>
      <c r="AA170" s="41">
        <v>5</v>
      </c>
      <c r="AB170" s="70">
        <f t="shared" si="27"/>
        <v>24801854.000000007</v>
      </c>
      <c r="AC170" s="41">
        <v>0</v>
      </c>
      <c r="AD170" s="41">
        <v>0</v>
      </c>
      <c r="AE170" s="70">
        <f t="shared" si="28"/>
        <v>0</v>
      </c>
      <c r="AF170" s="28">
        <f t="shared" si="29"/>
        <v>61715654.000000015</v>
      </c>
      <c r="AG170" s="28">
        <f t="shared" si="30"/>
        <v>59918.110679611666</v>
      </c>
    </row>
    <row r="171" spans="1:33" ht="57.6" x14ac:dyDescent="0.3">
      <c r="A171" s="41" t="s">
        <v>697</v>
      </c>
      <c r="B171" s="41" t="s">
        <v>693</v>
      </c>
      <c r="C171" s="42" t="s">
        <v>671</v>
      </c>
      <c r="D171" s="41" t="s">
        <v>110</v>
      </c>
      <c r="E171" s="41" t="s">
        <v>553</v>
      </c>
      <c r="F171" s="41" t="s">
        <v>712</v>
      </c>
      <c r="G171" s="83">
        <f>1999.2/7</f>
        <v>285.60000000000002</v>
      </c>
      <c r="J171" s="84"/>
      <c r="K171" s="41">
        <f>25*2*29</f>
        <v>1450</v>
      </c>
      <c r="L171" s="41">
        <v>5</v>
      </c>
      <c r="M171" s="70">
        <f t="shared" si="22"/>
        <v>2277660.0000000005</v>
      </c>
      <c r="N171" s="41">
        <v>8000</v>
      </c>
      <c r="O171" s="41">
        <v>1</v>
      </c>
      <c r="P171" s="70">
        <f t="shared" si="23"/>
        <v>2764608.0000000005</v>
      </c>
      <c r="Q171" s="41">
        <v>0</v>
      </c>
      <c r="R171" s="41">
        <v>0</v>
      </c>
      <c r="S171" s="70">
        <f t="shared" si="24"/>
        <v>0</v>
      </c>
      <c r="T171" s="41">
        <f>25*2*29</f>
        <v>1450</v>
      </c>
      <c r="U171" s="41">
        <v>5</v>
      </c>
      <c r="V171" s="70">
        <f t="shared" si="25"/>
        <v>3031565.4600000009</v>
      </c>
      <c r="W171" s="41">
        <v>0</v>
      </c>
      <c r="X171" s="41">
        <v>0</v>
      </c>
      <c r="Y171" s="70">
        <f t="shared" si="26"/>
        <v>0</v>
      </c>
      <c r="Z171" s="41">
        <f>25*2*29</f>
        <v>1450</v>
      </c>
      <c r="AA171" s="41">
        <v>5</v>
      </c>
      <c r="AB171" s="70">
        <f t="shared" si="27"/>
        <v>3668194.206600002</v>
      </c>
      <c r="AC171" s="41">
        <v>0</v>
      </c>
      <c r="AD171" s="41">
        <v>0</v>
      </c>
      <c r="AE171" s="70">
        <f t="shared" si="28"/>
        <v>0</v>
      </c>
      <c r="AF171" s="28">
        <f t="shared" si="29"/>
        <v>11742027.666600004</v>
      </c>
      <c r="AG171" s="28">
        <f t="shared" si="30"/>
        <v>11400.026860776703</v>
      </c>
    </row>
    <row r="172" spans="1:33" ht="57.6" x14ac:dyDescent="0.3">
      <c r="A172" s="41" t="s">
        <v>697</v>
      </c>
      <c r="B172" s="41" t="s">
        <v>693</v>
      </c>
      <c r="C172" s="42" t="s">
        <v>671</v>
      </c>
      <c r="D172" s="41" t="s">
        <v>110</v>
      </c>
      <c r="E172" s="41" t="s">
        <v>180</v>
      </c>
      <c r="F172" s="41" t="s">
        <v>1350</v>
      </c>
      <c r="G172" s="83">
        <f>1999.2/7</f>
        <v>285.60000000000002</v>
      </c>
      <c r="J172" s="84"/>
      <c r="K172" s="41">
        <f>135*2*29</f>
        <v>7830</v>
      </c>
      <c r="L172" s="41">
        <v>1</v>
      </c>
      <c r="M172" s="70">
        <f t="shared" si="22"/>
        <v>2459872.8000000003</v>
      </c>
      <c r="N172" s="41"/>
      <c r="O172" s="41"/>
      <c r="P172" s="70">
        <f t="shared" si="23"/>
        <v>0</v>
      </c>
      <c r="Q172" s="41"/>
      <c r="R172" s="41"/>
      <c r="S172" s="70">
        <f t="shared" si="24"/>
        <v>0</v>
      </c>
      <c r="T172" s="41">
        <f>135*2*29</f>
        <v>7830</v>
      </c>
      <c r="U172" s="41">
        <v>1</v>
      </c>
      <c r="V172" s="70">
        <f t="shared" si="25"/>
        <v>3274090.696800001</v>
      </c>
      <c r="W172" s="41"/>
      <c r="X172" s="41"/>
      <c r="Y172" s="70">
        <f t="shared" si="26"/>
        <v>0</v>
      </c>
      <c r="Z172" s="41">
        <f>135*2*29</f>
        <v>7830</v>
      </c>
      <c r="AA172" s="41">
        <v>1</v>
      </c>
      <c r="AB172" s="70">
        <f t="shared" si="27"/>
        <v>3961649.7431280022</v>
      </c>
      <c r="AC172" s="41"/>
      <c r="AD172" s="41"/>
      <c r="AE172" s="70">
        <f t="shared" si="28"/>
        <v>0</v>
      </c>
      <c r="AF172" s="28">
        <f t="shared" si="29"/>
        <v>9695613.2399280034</v>
      </c>
      <c r="AG172" s="28">
        <f t="shared" si="30"/>
        <v>9413.2167377941787</v>
      </c>
    </row>
    <row r="173" spans="1:33" ht="57.6" x14ac:dyDescent="0.3">
      <c r="A173" s="41" t="s">
        <v>697</v>
      </c>
      <c r="B173" s="41" t="s">
        <v>693</v>
      </c>
      <c r="C173" s="42" t="s">
        <v>671</v>
      </c>
      <c r="D173" s="41" t="s">
        <v>110</v>
      </c>
      <c r="E173" s="41" t="s">
        <v>554</v>
      </c>
      <c r="F173" s="41" t="s">
        <v>709</v>
      </c>
      <c r="G173" s="83">
        <v>35000</v>
      </c>
      <c r="J173" s="84"/>
      <c r="K173" s="41">
        <v>30</v>
      </c>
      <c r="L173" s="41">
        <v>1</v>
      </c>
      <c r="M173" s="70">
        <f t="shared" si="22"/>
        <v>1155000</v>
      </c>
      <c r="N173" s="41">
        <v>30</v>
      </c>
      <c r="O173" s="41">
        <v>1</v>
      </c>
      <c r="P173" s="70">
        <f t="shared" si="23"/>
        <v>1270500.0000000002</v>
      </c>
      <c r="Q173" s="41">
        <v>0</v>
      </c>
      <c r="R173" s="41">
        <v>0</v>
      </c>
      <c r="S173" s="70">
        <f t="shared" si="24"/>
        <v>0</v>
      </c>
      <c r="T173" s="41">
        <v>30</v>
      </c>
      <c r="U173" s="41">
        <v>1</v>
      </c>
      <c r="V173" s="70">
        <f t="shared" si="25"/>
        <v>1537305.0000000005</v>
      </c>
      <c r="W173" s="41">
        <v>0</v>
      </c>
      <c r="X173" s="41">
        <v>0</v>
      </c>
      <c r="Y173" s="70">
        <f t="shared" si="26"/>
        <v>0</v>
      </c>
      <c r="Z173" s="41">
        <v>30</v>
      </c>
      <c r="AA173" s="41">
        <v>1</v>
      </c>
      <c r="AB173" s="70">
        <f t="shared" si="27"/>
        <v>1860139.050000001</v>
      </c>
      <c r="AC173" s="41">
        <v>0</v>
      </c>
      <c r="AD173" s="41">
        <v>0</v>
      </c>
      <c r="AE173" s="70">
        <f t="shared" si="28"/>
        <v>0</v>
      </c>
      <c r="AF173" s="28">
        <f t="shared" si="29"/>
        <v>5822944.0500000017</v>
      </c>
      <c r="AG173" s="28">
        <f t="shared" si="30"/>
        <v>5653.3437378640792</v>
      </c>
    </row>
    <row r="174" spans="1:33" ht="57.6" x14ac:dyDescent="0.3">
      <c r="A174" s="41" t="s">
        <v>697</v>
      </c>
      <c r="B174" s="41" t="s">
        <v>693</v>
      </c>
      <c r="C174" s="42" t="s">
        <v>671</v>
      </c>
      <c r="D174" s="41" t="s">
        <v>110</v>
      </c>
      <c r="E174" s="41" t="s">
        <v>555</v>
      </c>
      <c r="F174" s="41" t="s">
        <v>709</v>
      </c>
      <c r="G174" s="83">
        <v>35000</v>
      </c>
      <c r="J174" s="84"/>
      <c r="K174" s="41">
        <v>30</v>
      </c>
      <c r="L174" s="41">
        <v>1</v>
      </c>
      <c r="M174" s="70">
        <f t="shared" si="22"/>
        <v>1155000</v>
      </c>
      <c r="N174" s="41">
        <v>20</v>
      </c>
      <c r="O174" s="41">
        <v>1</v>
      </c>
      <c r="P174" s="70">
        <f t="shared" si="23"/>
        <v>847000.00000000012</v>
      </c>
      <c r="Q174" s="41">
        <v>0</v>
      </c>
      <c r="R174" s="41">
        <v>0</v>
      </c>
      <c r="S174" s="70">
        <f t="shared" si="24"/>
        <v>0</v>
      </c>
      <c r="T174" s="41">
        <v>30</v>
      </c>
      <c r="U174" s="41">
        <v>1</v>
      </c>
      <c r="V174" s="70">
        <f t="shared" si="25"/>
        <v>1537305.0000000005</v>
      </c>
      <c r="W174" s="41">
        <v>0</v>
      </c>
      <c r="X174" s="41">
        <v>0</v>
      </c>
      <c r="Y174" s="70">
        <f t="shared" si="26"/>
        <v>0</v>
      </c>
      <c r="Z174" s="41">
        <v>30</v>
      </c>
      <c r="AA174" s="41">
        <v>1</v>
      </c>
      <c r="AB174" s="70">
        <f t="shared" si="27"/>
        <v>1860139.050000001</v>
      </c>
      <c r="AC174" s="41">
        <v>0</v>
      </c>
      <c r="AD174" s="41">
        <v>0</v>
      </c>
      <c r="AE174" s="70">
        <f t="shared" si="28"/>
        <v>0</v>
      </c>
      <c r="AF174" s="28">
        <f t="shared" si="29"/>
        <v>5399444.0500000017</v>
      </c>
      <c r="AG174" s="28">
        <f t="shared" si="30"/>
        <v>5242.1786893203898</v>
      </c>
    </row>
    <row r="175" spans="1:33" ht="57.6" x14ac:dyDescent="0.3">
      <c r="A175" s="41" t="s">
        <v>697</v>
      </c>
      <c r="B175" s="41" t="s">
        <v>693</v>
      </c>
      <c r="C175" s="42" t="s">
        <v>671</v>
      </c>
      <c r="D175" s="41" t="s">
        <v>110</v>
      </c>
      <c r="E175" s="41" t="s">
        <v>797</v>
      </c>
      <c r="F175" s="41" t="s">
        <v>709</v>
      </c>
      <c r="G175" s="83">
        <v>35000</v>
      </c>
      <c r="J175" s="84"/>
      <c r="K175" s="41">
        <v>100</v>
      </c>
      <c r="L175" s="41">
        <v>1</v>
      </c>
      <c r="M175" s="70">
        <f t="shared" si="22"/>
        <v>3850000</v>
      </c>
      <c r="N175" s="41">
        <v>40</v>
      </c>
      <c r="O175" s="41">
        <v>1</v>
      </c>
      <c r="P175" s="70">
        <f t="shared" si="23"/>
        <v>1694000.0000000002</v>
      </c>
      <c r="Q175" s="41">
        <v>0</v>
      </c>
      <c r="R175" s="41">
        <v>0</v>
      </c>
      <c r="S175" s="70">
        <f t="shared" si="24"/>
        <v>0</v>
      </c>
      <c r="T175" s="41">
        <v>100</v>
      </c>
      <c r="U175" s="41">
        <v>1</v>
      </c>
      <c r="V175" s="70">
        <f t="shared" si="25"/>
        <v>5124350.0000000019</v>
      </c>
      <c r="W175" s="41">
        <v>0</v>
      </c>
      <c r="X175" s="41">
        <v>0</v>
      </c>
      <c r="Y175" s="70">
        <f t="shared" si="26"/>
        <v>0</v>
      </c>
      <c r="Z175" s="41">
        <v>100</v>
      </c>
      <c r="AA175" s="41">
        <v>1</v>
      </c>
      <c r="AB175" s="70">
        <f t="shared" si="27"/>
        <v>6200463.5000000028</v>
      </c>
      <c r="AC175" s="41">
        <v>0</v>
      </c>
      <c r="AD175" s="41">
        <v>0</v>
      </c>
      <c r="AE175" s="70">
        <f t="shared" si="28"/>
        <v>0</v>
      </c>
      <c r="AF175" s="28">
        <f t="shared" si="29"/>
        <v>16868813.500000004</v>
      </c>
      <c r="AG175" s="28">
        <f t="shared" si="30"/>
        <v>16377.48883495146</v>
      </c>
    </row>
    <row r="176" spans="1:33" ht="57.6" x14ac:dyDescent="0.3">
      <c r="A176" s="41" t="s">
        <v>697</v>
      </c>
      <c r="B176" s="41" t="s">
        <v>693</v>
      </c>
      <c r="C176" s="42" t="s">
        <v>671</v>
      </c>
      <c r="D176" s="41" t="s">
        <v>110</v>
      </c>
      <c r="E176" s="41" t="s">
        <v>797</v>
      </c>
      <c r="F176" s="41" t="s">
        <v>717</v>
      </c>
      <c r="G176" s="83">
        <v>104850</v>
      </c>
      <c r="J176" s="84"/>
      <c r="K176" s="41">
        <v>1</v>
      </c>
      <c r="L176" s="41">
        <v>1</v>
      </c>
      <c r="M176" s="70">
        <f t="shared" si="22"/>
        <v>115335.00000000001</v>
      </c>
      <c r="N176" s="41">
        <v>3</v>
      </c>
      <c r="O176" s="41">
        <v>1</v>
      </c>
      <c r="P176" s="70">
        <f t="shared" si="23"/>
        <v>380605.50000000006</v>
      </c>
      <c r="Q176" s="41">
        <v>0</v>
      </c>
      <c r="R176" s="41">
        <v>0</v>
      </c>
      <c r="S176" s="70">
        <f t="shared" si="24"/>
        <v>0</v>
      </c>
      <c r="T176" s="41">
        <v>1</v>
      </c>
      <c r="U176" s="41">
        <v>1</v>
      </c>
      <c r="V176" s="70">
        <f t="shared" si="25"/>
        <v>153510.88500000004</v>
      </c>
      <c r="W176" s="41">
        <v>0</v>
      </c>
      <c r="X176" s="41">
        <v>0</v>
      </c>
      <c r="Y176" s="70">
        <f t="shared" si="26"/>
        <v>0</v>
      </c>
      <c r="Z176" s="41">
        <v>1</v>
      </c>
      <c r="AA176" s="41">
        <v>1</v>
      </c>
      <c r="AB176" s="70">
        <f t="shared" si="27"/>
        <v>185748.17085000008</v>
      </c>
      <c r="AC176" s="41">
        <v>0</v>
      </c>
      <c r="AD176" s="41">
        <v>0</v>
      </c>
      <c r="AE176" s="70">
        <f t="shared" si="28"/>
        <v>0</v>
      </c>
      <c r="AF176" s="28">
        <f t="shared" si="29"/>
        <v>835199.55585000024</v>
      </c>
      <c r="AG176" s="28">
        <f t="shared" si="30"/>
        <v>810.87335519417502</v>
      </c>
    </row>
    <row r="177" spans="1:33" ht="57.6" x14ac:dyDescent="0.3">
      <c r="A177" s="41" t="s">
        <v>697</v>
      </c>
      <c r="B177" s="41" t="s">
        <v>693</v>
      </c>
      <c r="C177" s="42" t="s">
        <v>671</v>
      </c>
      <c r="D177" s="41" t="s">
        <v>110</v>
      </c>
      <c r="E177" s="41" t="s">
        <v>797</v>
      </c>
      <c r="F177" s="41" t="s">
        <v>711</v>
      </c>
      <c r="G177" s="83">
        <v>8000</v>
      </c>
      <c r="J177" s="84"/>
      <c r="K177" s="41">
        <v>5</v>
      </c>
      <c r="L177" s="41">
        <v>1</v>
      </c>
      <c r="M177" s="70">
        <f t="shared" si="22"/>
        <v>44000</v>
      </c>
      <c r="N177" s="41">
        <v>50000</v>
      </c>
      <c r="O177" s="41">
        <v>1</v>
      </c>
      <c r="P177" s="70">
        <f t="shared" si="23"/>
        <v>484000000.00000012</v>
      </c>
      <c r="Q177" s="41">
        <v>0</v>
      </c>
      <c r="R177" s="41">
        <v>0</v>
      </c>
      <c r="S177" s="70">
        <f t="shared" si="24"/>
        <v>0</v>
      </c>
      <c r="T177" s="41">
        <v>5</v>
      </c>
      <c r="U177" s="41">
        <v>1</v>
      </c>
      <c r="V177" s="70">
        <f t="shared" si="25"/>
        <v>58564.000000000015</v>
      </c>
      <c r="W177" s="41">
        <v>0</v>
      </c>
      <c r="X177" s="41">
        <v>0</v>
      </c>
      <c r="Y177" s="70">
        <f t="shared" si="26"/>
        <v>0</v>
      </c>
      <c r="Z177" s="41">
        <v>5</v>
      </c>
      <c r="AA177" s="41">
        <v>1</v>
      </c>
      <c r="AB177" s="70">
        <f t="shared" si="27"/>
        <v>70862.440000000031</v>
      </c>
      <c r="AC177" s="41">
        <v>0</v>
      </c>
      <c r="AD177" s="41">
        <v>0</v>
      </c>
      <c r="AE177" s="70">
        <f t="shared" si="28"/>
        <v>0</v>
      </c>
      <c r="AF177" s="28">
        <f t="shared" si="29"/>
        <v>484173426.44000012</v>
      </c>
      <c r="AG177" s="28">
        <f t="shared" si="30"/>
        <v>470071.28780582536</v>
      </c>
    </row>
    <row r="178" spans="1:33" ht="57.6" x14ac:dyDescent="0.3">
      <c r="A178" s="41" t="s">
        <v>697</v>
      </c>
      <c r="B178" s="41" t="s">
        <v>693</v>
      </c>
      <c r="C178" s="42" t="s">
        <v>671</v>
      </c>
      <c r="D178" s="41" t="s">
        <v>109</v>
      </c>
      <c r="E178" s="41" t="s">
        <v>549</v>
      </c>
      <c r="F178" s="41" t="s">
        <v>718</v>
      </c>
      <c r="G178" s="83">
        <v>0</v>
      </c>
      <c r="H178" s="41">
        <v>0</v>
      </c>
      <c r="I178" s="41">
        <v>0</v>
      </c>
      <c r="J178" s="83">
        <f>G178*H178*I178</f>
        <v>0</v>
      </c>
      <c r="K178" s="41">
        <v>0</v>
      </c>
      <c r="L178" s="41">
        <v>0</v>
      </c>
      <c r="M178" s="70">
        <f t="shared" si="22"/>
        <v>0</v>
      </c>
      <c r="N178" s="41">
        <v>0</v>
      </c>
      <c r="O178" s="41">
        <v>0</v>
      </c>
      <c r="P178" s="70">
        <f t="shared" si="23"/>
        <v>0</v>
      </c>
      <c r="Q178" s="41">
        <v>0</v>
      </c>
      <c r="R178" s="41">
        <v>0</v>
      </c>
      <c r="S178" s="70">
        <f t="shared" si="24"/>
        <v>0</v>
      </c>
      <c r="T178" s="41">
        <v>0</v>
      </c>
      <c r="U178" s="41">
        <v>0</v>
      </c>
      <c r="V178" s="70">
        <f t="shared" si="25"/>
        <v>0</v>
      </c>
      <c r="W178" s="41">
        <v>0</v>
      </c>
      <c r="X178" s="41">
        <v>0</v>
      </c>
      <c r="Y178" s="70">
        <f t="shared" si="26"/>
        <v>0</v>
      </c>
      <c r="Z178" s="41">
        <v>0</v>
      </c>
      <c r="AA178" s="41">
        <v>0</v>
      </c>
      <c r="AB178" s="70">
        <f t="shared" si="27"/>
        <v>0</v>
      </c>
      <c r="AC178" s="41">
        <v>0</v>
      </c>
      <c r="AD178" s="41">
        <v>0</v>
      </c>
      <c r="AE178" s="70">
        <f t="shared" si="28"/>
        <v>0</v>
      </c>
      <c r="AF178" s="28">
        <f t="shared" si="29"/>
        <v>0</v>
      </c>
      <c r="AG178" s="28">
        <f t="shared" si="30"/>
        <v>0</v>
      </c>
    </row>
    <row r="179" spans="1:33" ht="57.6" x14ac:dyDescent="0.3">
      <c r="A179" s="41" t="s">
        <v>697</v>
      </c>
      <c r="B179" s="41" t="s">
        <v>693</v>
      </c>
      <c r="C179" s="42" t="s">
        <v>671</v>
      </c>
      <c r="D179" s="41" t="s">
        <v>109</v>
      </c>
      <c r="E179" s="41" t="s">
        <v>550</v>
      </c>
      <c r="F179" s="41" t="s">
        <v>718</v>
      </c>
      <c r="G179" s="83">
        <v>0</v>
      </c>
      <c r="H179" s="41">
        <v>0</v>
      </c>
      <c r="I179" s="41">
        <v>0</v>
      </c>
      <c r="J179" s="83">
        <f>G179*H179*I179</f>
        <v>0</v>
      </c>
      <c r="K179" s="41">
        <v>0</v>
      </c>
      <c r="L179" s="41">
        <v>0</v>
      </c>
      <c r="M179" s="70">
        <f t="shared" si="22"/>
        <v>0</v>
      </c>
      <c r="N179" s="41">
        <v>0</v>
      </c>
      <c r="O179" s="41">
        <v>0</v>
      </c>
      <c r="P179" s="70">
        <f t="shared" si="23"/>
        <v>0</v>
      </c>
      <c r="Q179" s="41">
        <v>0</v>
      </c>
      <c r="R179" s="41">
        <v>0</v>
      </c>
      <c r="S179" s="70">
        <f t="shared" si="24"/>
        <v>0</v>
      </c>
      <c r="T179" s="41">
        <v>0</v>
      </c>
      <c r="U179" s="41">
        <v>0</v>
      </c>
      <c r="V179" s="70">
        <f t="shared" si="25"/>
        <v>0</v>
      </c>
      <c r="W179" s="41">
        <v>0</v>
      </c>
      <c r="X179" s="41">
        <v>0</v>
      </c>
      <c r="Y179" s="70">
        <f t="shared" si="26"/>
        <v>0</v>
      </c>
      <c r="Z179" s="41">
        <v>0</v>
      </c>
      <c r="AA179" s="41">
        <v>0</v>
      </c>
      <c r="AB179" s="70">
        <f t="shared" si="27"/>
        <v>0</v>
      </c>
      <c r="AC179" s="41">
        <v>0</v>
      </c>
      <c r="AD179" s="41">
        <v>0</v>
      </c>
      <c r="AE179" s="70">
        <f t="shared" si="28"/>
        <v>0</v>
      </c>
      <c r="AF179" s="28">
        <f t="shared" si="29"/>
        <v>0</v>
      </c>
      <c r="AG179" s="28">
        <f t="shared" si="30"/>
        <v>0</v>
      </c>
    </row>
    <row r="180" spans="1:33" ht="57.6" x14ac:dyDescent="0.3">
      <c r="A180" s="41" t="s">
        <v>697</v>
      </c>
      <c r="B180" s="41" t="s">
        <v>693</v>
      </c>
      <c r="C180" s="42" t="s">
        <v>671</v>
      </c>
      <c r="D180" s="41" t="s">
        <v>109</v>
      </c>
      <c r="E180" s="41" t="s">
        <v>551</v>
      </c>
      <c r="F180" s="41" t="s">
        <v>713</v>
      </c>
      <c r="G180" s="83">
        <v>45000</v>
      </c>
      <c r="J180" s="84"/>
      <c r="K180" s="41">
        <v>0</v>
      </c>
      <c r="L180" s="41">
        <v>0</v>
      </c>
      <c r="M180" s="70">
        <f t="shared" si="22"/>
        <v>0</v>
      </c>
      <c r="N180" s="41">
        <v>15</v>
      </c>
      <c r="O180" s="41">
        <v>1</v>
      </c>
      <c r="P180" s="70">
        <f t="shared" si="23"/>
        <v>816750.00000000012</v>
      </c>
      <c r="Q180" s="41">
        <v>25</v>
      </c>
      <c r="R180" s="41">
        <v>1</v>
      </c>
      <c r="S180" s="70">
        <f t="shared" si="24"/>
        <v>1497375.0000000005</v>
      </c>
      <c r="T180" s="41">
        <v>0</v>
      </c>
      <c r="U180" s="41">
        <v>0</v>
      </c>
      <c r="V180" s="70">
        <f t="shared" si="25"/>
        <v>0</v>
      </c>
      <c r="W180" s="41">
        <v>0</v>
      </c>
      <c r="X180" s="41">
        <v>0</v>
      </c>
      <c r="Y180" s="70">
        <f t="shared" si="26"/>
        <v>0</v>
      </c>
      <c r="Z180" s="41">
        <v>25</v>
      </c>
      <c r="AA180" s="41">
        <v>1</v>
      </c>
      <c r="AB180" s="70">
        <f t="shared" si="27"/>
        <v>1993006.1250000009</v>
      </c>
      <c r="AC180" s="41">
        <v>0</v>
      </c>
      <c r="AD180" s="41">
        <v>0</v>
      </c>
      <c r="AE180" s="70">
        <f t="shared" si="28"/>
        <v>0</v>
      </c>
      <c r="AF180" s="28">
        <f t="shared" si="29"/>
        <v>4307131.1250000019</v>
      </c>
      <c r="AG180" s="28">
        <f t="shared" si="30"/>
        <v>4181.6807038834968</v>
      </c>
    </row>
    <row r="181" spans="1:33" ht="57.6" x14ac:dyDescent="0.3">
      <c r="A181" s="41" t="s">
        <v>697</v>
      </c>
      <c r="B181" s="41" t="s">
        <v>693</v>
      </c>
      <c r="C181" s="42" t="s">
        <v>671</v>
      </c>
      <c r="D181" s="41" t="s">
        <v>109</v>
      </c>
      <c r="E181" s="41" t="s">
        <v>551</v>
      </c>
      <c r="F181" s="41" t="s">
        <v>712</v>
      </c>
      <c r="G181" s="83">
        <f>1999.2/7</f>
        <v>285.60000000000002</v>
      </c>
      <c r="J181" s="84"/>
      <c r="K181" s="41">
        <v>0</v>
      </c>
      <c r="L181" s="41">
        <v>0</v>
      </c>
      <c r="M181" s="70">
        <f t="shared" si="22"/>
        <v>0</v>
      </c>
      <c r="N181" s="41">
        <v>4000</v>
      </c>
      <c r="O181" s="41">
        <v>1</v>
      </c>
      <c r="P181" s="70">
        <f t="shared" si="23"/>
        <v>1382304.0000000002</v>
      </c>
      <c r="Q181" s="41">
        <f>25*2*9</f>
        <v>450</v>
      </c>
      <c r="R181" s="41">
        <v>1</v>
      </c>
      <c r="S181" s="70">
        <f t="shared" si="24"/>
        <v>171060.12000000008</v>
      </c>
      <c r="T181" s="41">
        <v>0</v>
      </c>
      <c r="U181" s="41">
        <v>0</v>
      </c>
      <c r="V181" s="70">
        <f t="shared" si="25"/>
        <v>0</v>
      </c>
      <c r="W181" s="41">
        <v>0</v>
      </c>
      <c r="X181" s="41">
        <v>0</v>
      </c>
      <c r="Y181" s="70">
        <f t="shared" si="26"/>
        <v>0</v>
      </c>
      <c r="Z181" s="41">
        <f>25*2*9</f>
        <v>450</v>
      </c>
      <c r="AA181" s="41">
        <v>1</v>
      </c>
      <c r="AB181" s="70">
        <f t="shared" si="27"/>
        <v>227681.01972000013</v>
      </c>
      <c r="AC181" s="41">
        <v>0</v>
      </c>
      <c r="AD181" s="41">
        <v>0</v>
      </c>
      <c r="AE181" s="70">
        <f t="shared" si="28"/>
        <v>0</v>
      </c>
      <c r="AF181" s="28">
        <f t="shared" si="29"/>
        <v>1781045.1397200006</v>
      </c>
      <c r="AG181" s="28">
        <f t="shared" si="30"/>
        <v>1729.1700385631073</v>
      </c>
    </row>
    <row r="182" spans="1:33" ht="57.6" x14ac:dyDescent="0.3">
      <c r="A182" s="41" t="s">
        <v>697</v>
      </c>
      <c r="B182" s="41" t="s">
        <v>693</v>
      </c>
      <c r="C182" s="42" t="s">
        <v>671</v>
      </c>
      <c r="D182" s="41" t="s">
        <v>109</v>
      </c>
      <c r="E182" s="41" t="s">
        <v>551</v>
      </c>
      <c r="F182" s="41" t="s">
        <v>1350</v>
      </c>
      <c r="G182" s="83">
        <f>1999.2/7</f>
        <v>285.60000000000002</v>
      </c>
      <c r="J182" s="84"/>
      <c r="K182" s="41">
        <v>0</v>
      </c>
      <c r="L182" s="41">
        <v>0</v>
      </c>
      <c r="M182" s="70">
        <f t="shared" si="22"/>
        <v>0</v>
      </c>
      <c r="N182" s="41">
        <v>4000</v>
      </c>
      <c r="O182" s="41">
        <v>1</v>
      </c>
      <c r="P182" s="70">
        <f t="shared" si="23"/>
        <v>1382304.0000000002</v>
      </c>
      <c r="Q182" s="41">
        <f>135*2*9</f>
        <v>2430</v>
      </c>
      <c r="R182" s="41">
        <v>1</v>
      </c>
      <c r="S182" s="70">
        <f t="shared" si="24"/>
        <v>923724.64800000039</v>
      </c>
      <c r="T182" s="41">
        <v>0</v>
      </c>
      <c r="U182" s="41">
        <v>0</v>
      </c>
      <c r="V182" s="70">
        <f t="shared" si="25"/>
        <v>0</v>
      </c>
      <c r="W182" s="41">
        <v>0</v>
      </c>
      <c r="X182" s="41">
        <v>0</v>
      </c>
      <c r="Y182" s="70">
        <f t="shared" si="26"/>
        <v>0</v>
      </c>
      <c r="Z182" s="41">
        <f>135*2*9</f>
        <v>2430</v>
      </c>
      <c r="AA182" s="41">
        <v>1</v>
      </c>
      <c r="AB182" s="70">
        <f t="shared" si="27"/>
        <v>1229477.5064880007</v>
      </c>
      <c r="AC182" s="41">
        <v>0</v>
      </c>
      <c r="AD182" s="41">
        <v>0</v>
      </c>
      <c r="AE182" s="70">
        <f t="shared" si="28"/>
        <v>0</v>
      </c>
      <c r="AF182" s="28">
        <f t="shared" si="29"/>
        <v>3535506.154488001</v>
      </c>
      <c r="AG182" s="28">
        <f t="shared" si="30"/>
        <v>3432.5302470757292</v>
      </c>
    </row>
    <row r="183" spans="1:33" ht="57.6" x14ac:dyDescent="0.3">
      <c r="A183" s="41" t="s">
        <v>697</v>
      </c>
      <c r="B183" s="41" t="s">
        <v>693</v>
      </c>
      <c r="C183" s="42" t="s">
        <v>671</v>
      </c>
      <c r="D183" s="41" t="s">
        <v>109</v>
      </c>
      <c r="E183" s="41" t="s">
        <v>552</v>
      </c>
      <c r="F183" s="41" t="s">
        <v>709</v>
      </c>
      <c r="G183" s="83">
        <v>35000</v>
      </c>
      <c r="J183" s="84"/>
      <c r="K183" s="41">
        <v>0</v>
      </c>
      <c r="L183" s="41">
        <v>0</v>
      </c>
      <c r="M183" s="70">
        <f t="shared" si="22"/>
        <v>0</v>
      </c>
      <c r="N183" s="41">
        <v>30</v>
      </c>
      <c r="O183" s="41">
        <v>1</v>
      </c>
      <c r="P183" s="70">
        <f t="shared" si="23"/>
        <v>1270500.0000000002</v>
      </c>
      <c r="Q183" s="41">
        <v>25</v>
      </c>
      <c r="R183" s="41">
        <v>1</v>
      </c>
      <c r="S183" s="70">
        <f t="shared" si="24"/>
        <v>1164625.0000000005</v>
      </c>
      <c r="T183" s="41">
        <v>0</v>
      </c>
      <c r="U183" s="41">
        <v>0</v>
      </c>
      <c r="V183" s="70">
        <f t="shared" si="25"/>
        <v>0</v>
      </c>
      <c r="W183" s="41">
        <v>0</v>
      </c>
      <c r="X183" s="41">
        <v>0</v>
      </c>
      <c r="Y183" s="70">
        <f t="shared" si="26"/>
        <v>0</v>
      </c>
      <c r="Z183" s="41">
        <v>25</v>
      </c>
      <c r="AA183" s="41">
        <v>1</v>
      </c>
      <c r="AB183" s="70">
        <f t="shared" si="27"/>
        <v>1550115.8750000007</v>
      </c>
      <c r="AC183" s="41">
        <v>0</v>
      </c>
      <c r="AD183" s="41">
        <v>0</v>
      </c>
      <c r="AE183" s="70">
        <f t="shared" si="28"/>
        <v>0</v>
      </c>
      <c r="AF183" s="28">
        <f t="shared" si="29"/>
        <v>3985240.8750000019</v>
      </c>
      <c r="AG183" s="28">
        <f t="shared" si="30"/>
        <v>3869.1658980582542</v>
      </c>
    </row>
    <row r="184" spans="1:33" ht="57.6" x14ac:dyDescent="0.3">
      <c r="A184" s="41" t="s">
        <v>697</v>
      </c>
      <c r="B184" s="41" t="s">
        <v>693</v>
      </c>
      <c r="C184" s="42" t="s">
        <v>671</v>
      </c>
      <c r="D184" s="41" t="s">
        <v>109</v>
      </c>
      <c r="E184" s="41" t="s">
        <v>151</v>
      </c>
      <c r="F184" s="41" t="s">
        <v>713</v>
      </c>
      <c r="G184" s="83">
        <v>45000</v>
      </c>
      <c r="J184" s="84"/>
      <c r="K184" s="41">
        <v>0</v>
      </c>
      <c r="L184" s="41">
        <v>0</v>
      </c>
      <c r="M184" s="70">
        <f t="shared" si="22"/>
        <v>0</v>
      </c>
      <c r="N184" s="41">
        <v>15</v>
      </c>
      <c r="O184" s="41">
        <v>10</v>
      </c>
      <c r="P184" s="70">
        <f t="shared" si="23"/>
        <v>8167500.0000000009</v>
      </c>
      <c r="Q184" s="41">
        <v>25</v>
      </c>
      <c r="R184" s="41">
        <v>6</v>
      </c>
      <c r="S184" s="70">
        <f t="shared" si="24"/>
        <v>8984250.0000000037</v>
      </c>
      <c r="T184" s="41">
        <v>0</v>
      </c>
      <c r="U184" s="41">
        <v>0</v>
      </c>
      <c r="V184" s="70">
        <f t="shared" si="25"/>
        <v>0</v>
      </c>
      <c r="W184" s="41">
        <v>0</v>
      </c>
      <c r="X184" s="41">
        <v>0</v>
      </c>
      <c r="Y184" s="70">
        <f t="shared" si="26"/>
        <v>0</v>
      </c>
      <c r="Z184" s="41">
        <v>25</v>
      </c>
      <c r="AA184" s="41">
        <v>6</v>
      </c>
      <c r="AB184" s="70">
        <f t="shared" si="27"/>
        <v>11958036.750000006</v>
      </c>
      <c r="AC184" s="41">
        <v>0</v>
      </c>
      <c r="AD184" s="41">
        <v>0</v>
      </c>
      <c r="AE184" s="70">
        <f t="shared" si="28"/>
        <v>0</v>
      </c>
      <c r="AF184" s="28">
        <f t="shared" si="29"/>
        <v>29109786.750000007</v>
      </c>
      <c r="AG184" s="28">
        <f t="shared" si="30"/>
        <v>28261.928883495151</v>
      </c>
    </row>
    <row r="185" spans="1:33" ht="57.6" x14ac:dyDescent="0.3">
      <c r="A185" s="41" t="s">
        <v>697</v>
      </c>
      <c r="B185" s="41" t="s">
        <v>693</v>
      </c>
      <c r="C185" s="42" t="s">
        <v>671</v>
      </c>
      <c r="D185" s="41" t="s">
        <v>109</v>
      </c>
      <c r="E185" s="41" t="s">
        <v>151</v>
      </c>
      <c r="F185" s="41" t="s">
        <v>1350</v>
      </c>
      <c r="G185" s="83">
        <f>1999.2/7</f>
        <v>285.60000000000002</v>
      </c>
      <c r="J185" s="84"/>
      <c r="K185" s="41">
        <v>0</v>
      </c>
      <c r="L185" s="41">
        <v>0</v>
      </c>
      <c r="M185" s="70">
        <f t="shared" si="22"/>
        <v>0</v>
      </c>
      <c r="N185" s="41">
        <v>4000</v>
      </c>
      <c r="O185" s="41">
        <v>1</v>
      </c>
      <c r="P185" s="70">
        <f t="shared" si="23"/>
        <v>1382304.0000000002</v>
      </c>
      <c r="Q185" s="41">
        <f>135*2*9</f>
        <v>2430</v>
      </c>
      <c r="R185" s="41">
        <v>1</v>
      </c>
      <c r="S185" s="70">
        <f t="shared" si="24"/>
        <v>923724.64800000039</v>
      </c>
      <c r="T185" s="41">
        <v>0</v>
      </c>
      <c r="U185" s="41">
        <v>0</v>
      </c>
      <c r="V185" s="70">
        <f t="shared" si="25"/>
        <v>0</v>
      </c>
      <c r="W185" s="41">
        <v>0</v>
      </c>
      <c r="X185" s="41">
        <v>0</v>
      </c>
      <c r="Y185" s="70">
        <f t="shared" si="26"/>
        <v>0</v>
      </c>
      <c r="Z185" s="41">
        <f>135*2*9</f>
        <v>2430</v>
      </c>
      <c r="AA185" s="41">
        <v>1</v>
      </c>
      <c r="AB185" s="70">
        <f t="shared" si="27"/>
        <v>1229477.5064880007</v>
      </c>
      <c r="AC185" s="41">
        <v>0</v>
      </c>
      <c r="AD185" s="41">
        <v>0</v>
      </c>
      <c r="AE185" s="70">
        <f t="shared" si="28"/>
        <v>0</v>
      </c>
      <c r="AF185" s="28">
        <f t="shared" si="29"/>
        <v>3535506.154488001</v>
      </c>
      <c r="AG185" s="28">
        <f t="shared" si="30"/>
        <v>3432.5302470757292</v>
      </c>
    </row>
    <row r="186" spans="1:33" ht="57.6" x14ac:dyDescent="0.3">
      <c r="A186" s="41" t="s">
        <v>697</v>
      </c>
      <c r="B186" s="41" t="s">
        <v>693</v>
      </c>
      <c r="C186" s="42" t="s">
        <v>671</v>
      </c>
      <c r="D186" s="41" t="s">
        <v>109</v>
      </c>
      <c r="E186" s="41" t="s">
        <v>151</v>
      </c>
      <c r="F186" s="41" t="s">
        <v>712</v>
      </c>
      <c r="G186" s="83">
        <f>1999.2/7</f>
        <v>285.60000000000002</v>
      </c>
      <c r="J186" s="84"/>
      <c r="K186" s="41">
        <v>0</v>
      </c>
      <c r="L186" s="41">
        <v>0</v>
      </c>
      <c r="M186" s="70">
        <f t="shared" si="22"/>
        <v>0</v>
      </c>
      <c r="N186" s="41">
        <v>4000</v>
      </c>
      <c r="O186" s="41">
        <v>1</v>
      </c>
      <c r="P186" s="70">
        <f t="shared" si="23"/>
        <v>1382304.0000000002</v>
      </c>
      <c r="Q186" s="41">
        <f>25*2*9</f>
        <v>450</v>
      </c>
      <c r="R186" s="41">
        <v>5</v>
      </c>
      <c r="S186" s="70">
        <f t="shared" si="24"/>
        <v>855300.60000000044</v>
      </c>
      <c r="T186" s="41">
        <v>0</v>
      </c>
      <c r="U186" s="41">
        <v>0</v>
      </c>
      <c r="V186" s="70">
        <f t="shared" si="25"/>
        <v>0</v>
      </c>
      <c r="W186" s="41">
        <v>0</v>
      </c>
      <c r="X186" s="41">
        <v>0</v>
      </c>
      <c r="Y186" s="70">
        <f t="shared" si="26"/>
        <v>0</v>
      </c>
      <c r="Z186" s="41">
        <f>25*2*9</f>
        <v>450</v>
      </c>
      <c r="AA186" s="41">
        <v>5</v>
      </c>
      <c r="AB186" s="70">
        <f t="shared" si="27"/>
        <v>1138405.0986000006</v>
      </c>
      <c r="AC186" s="41">
        <v>0</v>
      </c>
      <c r="AD186" s="41">
        <v>0</v>
      </c>
      <c r="AE186" s="70">
        <f t="shared" si="28"/>
        <v>0</v>
      </c>
      <c r="AF186" s="28">
        <f t="shared" si="29"/>
        <v>3376009.6986000012</v>
      </c>
      <c r="AG186" s="28">
        <f t="shared" si="30"/>
        <v>3277.6793190291273</v>
      </c>
    </row>
    <row r="187" spans="1:33" ht="57.6" x14ac:dyDescent="0.3">
      <c r="A187" s="41" t="s">
        <v>697</v>
      </c>
      <c r="B187" s="41" t="s">
        <v>693</v>
      </c>
      <c r="C187" s="42" t="s">
        <v>671</v>
      </c>
      <c r="D187" s="41" t="s">
        <v>109</v>
      </c>
      <c r="E187" s="41" t="s">
        <v>151</v>
      </c>
      <c r="F187" s="41" t="s">
        <v>715</v>
      </c>
      <c r="G187" s="83">
        <v>302000</v>
      </c>
      <c r="J187" s="84"/>
      <c r="K187" s="41">
        <v>0</v>
      </c>
      <c r="L187" s="41">
        <v>0</v>
      </c>
      <c r="M187" s="70">
        <f t="shared" si="22"/>
        <v>0</v>
      </c>
      <c r="N187" s="41">
        <v>20</v>
      </c>
      <c r="O187" s="41">
        <v>1</v>
      </c>
      <c r="P187" s="70">
        <f t="shared" si="23"/>
        <v>7308400.0000000009</v>
      </c>
      <c r="Q187" s="41">
        <v>25</v>
      </c>
      <c r="R187" s="41">
        <v>1</v>
      </c>
      <c r="S187" s="70">
        <f t="shared" si="24"/>
        <v>10049050.000000004</v>
      </c>
      <c r="T187" s="41">
        <v>0</v>
      </c>
      <c r="U187" s="41">
        <v>0</v>
      </c>
      <c r="V187" s="70">
        <f t="shared" si="25"/>
        <v>0</v>
      </c>
      <c r="W187" s="41">
        <v>0</v>
      </c>
      <c r="X187" s="41">
        <v>0</v>
      </c>
      <c r="Y187" s="70">
        <f t="shared" si="26"/>
        <v>0</v>
      </c>
      <c r="Z187" s="41">
        <v>25</v>
      </c>
      <c r="AA187" s="41">
        <v>1</v>
      </c>
      <c r="AB187" s="70">
        <f t="shared" si="27"/>
        <v>13375285.550000006</v>
      </c>
      <c r="AC187" s="41">
        <v>0</v>
      </c>
      <c r="AD187" s="41">
        <v>0</v>
      </c>
      <c r="AE187" s="70">
        <f t="shared" si="28"/>
        <v>0</v>
      </c>
      <c r="AF187" s="28">
        <f t="shared" si="29"/>
        <v>30732735.550000012</v>
      </c>
      <c r="AG187" s="28">
        <f t="shared" si="30"/>
        <v>29837.6073300971</v>
      </c>
    </row>
    <row r="188" spans="1:33" ht="57.6" x14ac:dyDescent="0.3">
      <c r="A188" s="41" t="s">
        <v>697</v>
      </c>
      <c r="B188" s="41" t="s">
        <v>693</v>
      </c>
      <c r="C188" s="42" t="s">
        <v>671</v>
      </c>
      <c r="D188" s="41" t="s">
        <v>109</v>
      </c>
      <c r="E188" s="41" t="s">
        <v>151</v>
      </c>
      <c r="F188" s="41" t="s">
        <v>714</v>
      </c>
      <c r="G188" s="83">
        <v>10000</v>
      </c>
      <c r="J188" s="84"/>
      <c r="K188" s="41">
        <v>0</v>
      </c>
      <c r="L188" s="41">
        <v>0</v>
      </c>
      <c r="M188" s="70">
        <f t="shared" si="22"/>
        <v>0</v>
      </c>
      <c r="N188" s="41">
        <v>10</v>
      </c>
      <c r="O188" s="41">
        <v>1</v>
      </c>
      <c r="P188" s="70">
        <f t="shared" si="23"/>
        <v>121000.00000000001</v>
      </c>
      <c r="Q188" s="41">
        <v>15</v>
      </c>
      <c r="R188" s="41">
        <v>1</v>
      </c>
      <c r="S188" s="70">
        <f t="shared" si="24"/>
        <v>199650.00000000006</v>
      </c>
      <c r="T188" s="41">
        <v>0</v>
      </c>
      <c r="U188" s="41">
        <v>0</v>
      </c>
      <c r="V188" s="70">
        <f t="shared" si="25"/>
        <v>0</v>
      </c>
      <c r="W188" s="41">
        <v>0</v>
      </c>
      <c r="X188" s="41">
        <v>0</v>
      </c>
      <c r="Y188" s="70">
        <f t="shared" si="26"/>
        <v>0</v>
      </c>
      <c r="Z188" s="41">
        <v>15</v>
      </c>
      <c r="AA188" s="41">
        <v>1</v>
      </c>
      <c r="AB188" s="70">
        <f t="shared" si="27"/>
        <v>265734.15000000014</v>
      </c>
      <c r="AC188" s="41">
        <v>0</v>
      </c>
      <c r="AD188" s="41">
        <v>0</v>
      </c>
      <c r="AE188" s="70">
        <f t="shared" si="28"/>
        <v>0</v>
      </c>
      <c r="AF188" s="28">
        <f t="shared" si="29"/>
        <v>586384.15000000014</v>
      </c>
      <c r="AG188" s="28">
        <f t="shared" si="30"/>
        <v>569.30500000000018</v>
      </c>
    </row>
    <row r="189" spans="1:33" ht="57.6" x14ac:dyDescent="0.3">
      <c r="A189" s="41" t="s">
        <v>697</v>
      </c>
      <c r="B189" s="41" t="s">
        <v>693</v>
      </c>
      <c r="C189" s="42" t="s">
        <v>671</v>
      </c>
      <c r="D189" s="41" t="s">
        <v>109</v>
      </c>
      <c r="E189" s="41" t="s">
        <v>152</v>
      </c>
      <c r="F189" s="41" t="s">
        <v>716</v>
      </c>
      <c r="G189" s="83">
        <v>39000</v>
      </c>
      <c r="J189" s="84"/>
      <c r="K189" s="41">
        <v>0</v>
      </c>
      <c r="L189" s="41">
        <v>0</v>
      </c>
      <c r="M189" s="70">
        <f t="shared" si="22"/>
        <v>0</v>
      </c>
      <c r="N189" s="41">
        <v>15</v>
      </c>
      <c r="O189" s="41">
        <v>5</v>
      </c>
      <c r="P189" s="70">
        <f t="shared" si="23"/>
        <v>3539250.0000000005</v>
      </c>
      <c r="Q189" s="41">
        <v>25</v>
      </c>
      <c r="R189" s="41">
        <v>6</v>
      </c>
      <c r="S189" s="70">
        <f t="shared" si="24"/>
        <v>7786350.0000000028</v>
      </c>
      <c r="T189" s="41">
        <v>0</v>
      </c>
      <c r="U189" s="41">
        <v>0</v>
      </c>
      <c r="V189" s="70">
        <f t="shared" si="25"/>
        <v>0</v>
      </c>
      <c r="W189" s="41">
        <v>0</v>
      </c>
      <c r="X189" s="41">
        <v>0</v>
      </c>
      <c r="Y189" s="70">
        <f t="shared" si="26"/>
        <v>0</v>
      </c>
      <c r="Z189" s="41">
        <v>25</v>
      </c>
      <c r="AA189" s="41">
        <v>6</v>
      </c>
      <c r="AB189" s="70">
        <f t="shared" si="27"/>
        <v>10363631.850000005</v>
      </c>
      <c r="AC189" s="41">
        <v>0</v>
      </c>
      <c r="AD189" s="41">
        <v>0</v>
      </c>
      <c r="AE189" s="70">
        <f t="shared" si="28"/>
        <v>0</v>
      </c>
      <c r="AF189" s="28">
        <f t="shared" si="29"/>
        <v>21689231.850000009</v>
      </c>
      <c r="AG189" s="28">
        <f t="shared" si="30"/>
        <v>21057.506650485444</v>
      </c>
    </row>
    <row r="190" spans="1:33" ht="57.6" x14ac:dyDescent="0.3">
      <c r="A190" s="41" t="s">
        <v>697</v>
      </c>
      <c r="B190" s="41" t="s">
        <v>693</v>
      </c>
      <c r="C190" s="42" t="s">
        <v>671</v>
      </c>
      <c r="D190" s="41" t="s">
        <v>109</v>
      </c>
      <c r="E190" s="41" t="s">
        <v>152</v>
      </c>
      <c r="F190" s="41" t="s">
        <v>709</v>
      </c>
      <c r="G190" s="83">
        <v>35000</v>
      </c>
      <c r="J190" s="84"/>
      <c r="K190" s="41">
        <v>0</v>
      </c>
      <c r="L190" s="41">
        <v>0</v>
      </c>
      <c r="M190" s="70">
        <f t="shared" si="22"/>
        <v>0</v>
      </c>
      <c r="N190" s="41">
        <v>15</v>
      </c>
      <c r="O190" s="41">
        <v>5</v>
      </c>
      <c r="P190" s="70">
        <f t="shared" si="23"/>
        <v>3176250.0000000005</v>
      </c>
      <c r="Q190" s="41">
        <v>25</v>
      </c>
      <c r="R190" s="41">
        <v>5</v>
      </c>
      <c r="S190" s="70">
        <f t="shared" si="24"/>
        <v>5823125.0000000019</v>
      </c>
      <c r="T190" s="41">
        <v>0</v>
      </c>
      <c r="U190" s="41">
        <v>0</v>
      </c>
      <c r="V190" s="70">
        <f t="shared" si="25"/>
        <v>0</v>
      </c>
      <c r="W190" s="41">
        <v>0</v>
      </c>
      <c r="X190" s="41">
        <v>0</v>
      </c>
      <c r="Y190" s="70">
        <f t="shared" si="26"/>
        <v>0</v>
      </c>
      <c r="Z190" s="41">
        <v>25</v>
      </c>
      <c r="AA190" s="41">
        <v>5</v>
      </c>
      <c r="AB190" s="70">
        <f t="shared" si="27"/>
        <v>7750579.3750000037</v>
      </c>
      <c r="AC190" s="41">
        <v>0</v>
      </c>
      <c r="AD190" s="41">
        <v>0</v>
      </c>
      <c r="AE190" s="70">
        <f t="shared" si="28"/>
        <v>0</v>
      </c>
      <c r="AF190" s="28">
        <f t="shared" si="29"/>
        <v>16749954.375000006</v>
      </c>
      <c r="AG190" s="28">
        <f t="shared" si="30"/>
        <v>16262.091626213598</v>
      </c>
    </row>
    <row r="191" spans="1:33" ht="57.6" x14ac:dyDescent="0.3">
      <c r="A191" s="41" t="s">
        <v>697</v>
      </c>
      <c r="B191" s="41" t="s">
        <v>693</v>
      </c>
      <c r="C191" s="42" t="s">
        <v>671</v>
      </c>
      <c r="D191" s="41" t="s">
        <v>109</v>
      </c>
      <c r="E191" s="41" t="s">
        <v>152</v>
      </c>
      <c r="F191" s="41" t="s">
        <v>712</v>
      </c>
      <c r="G191" s="83">
        <f>1999.2/7</f>
        <v>285.60000000000002</v>
      </c>
      <c r="J191" s="84"/>
      <c r="K191" s="41">
        <v>0</v>
      </c>
      <c r="L191" s="41">
        <v>0</v>
      </c>
      <c r="M191" s="70">
        <f t="shared" si="22"/>
        <v>0</v>
      </c>
      <c r="N191" s="41">
        <v>4000</v>
      </c>
      <c r="O191" s="41">
        <v>1</v>
      </c>
      <c r="P191" s="70">
        <f t="shared" si="23"/>
        <v>1382304.0000000002</v>
      </c>
      <c r="Q191" s="41">
        <f>25*2*9</f>
        <v>450</v>
      </c>
      <c r="R191" s="41">
        <v>5</v>
      </c>
      <c r="S191" s="70">
        <f t="shared" si="24"/>
        <v>855300.60000000044</v>
      </c>
      <c r="T191" s="41">
        <v>0</v>
      </c>
      <c r="U191" s="41">
        <v>0</v>
      </c>
      <c r="V191" s="70">
        <f t="shared" si="25"/>
        <v>0</v>
      </c>
      <c r="W191" s="41">
        <v>0</v>
      </c>
      <c r="X191" s="41">
        <v>0</v>
      </c>
      <c r="Y191" s="70">
        <f t="shared" si="26"/>
        <v>0</v>
      </c>
      <c r="Z191" s="41">
        <f>25*2*9</f>
        <v>450</v>
      </c>
      <c r="AA191" s="41">
        <v>5</v>
      </c>
      <c r="AB191" s="70">
        <f t="shared" si="27"/>
        <v>1138405.0986000006</v>
      </c>
      <c r="AC191" s="41">
        <v>0</v>
      </c>
      <c r="AD191" s="41">
        <v>0</v>
      </c>
      <c r="AE191" s="70">
        <f t="shared" si="28"/>
        <v>0</v>
      </c>
      <c r="AF191" s="28">
        <f t="shared" si="29"/>
        <v>3376009.6986000012</v>
      </c>
      <c r="AG191" s="28">
        <f t="shared" si="30"/>
        <v>3277.6793190291273</v>
      </c>
    </row>
    <row r="192" spans="1:33" ht="57.6" x14ac:dyDescent="0.3">
      <c r="A192" s="41" t="s">
        <v>697</v>
      </c>
      <c r="B192" s="41" t="s">
        <v>693</v>
      </c>
      <c r="C192" s="42" t="s">
        <v>671</v>
      </c>
      <c r="D192" s="41" t="s">
        <v>109</v>
      </c>
      <c r="E192" s="41" t="s">
        <v>152</v>
      </c>
      <c r="F192" s="41" t="s">
        <v>1350</v>
      </c>
      <c r="G192" s="83">
        <f>1999.2/7</f>
        <v>285.60000000000002</v>
      </c>
      <c r="J192" s="84"/>
      <c r="K192" s="41">
        <v>0</v>
      </c>
      <c r="L192" s="41">
        <v>0</v>
      </c>
      <c r="M192" s="70">
        <f t="shared" si="22"/>
        <v>0</v>
      </c>
      <c r="N192" s="41">
        <v>4000</v>
      </c>
      <c r="O192" s="41">
        <v>1</v>
      </c>
      <c r="P192" s="70">
        <f t="shared" si="23"/>
        <v>1382304.0000000002</v>
      </c>
      <c r="Q192" s="41">
        <f>135*2*9</f>
        <v>2430</v>
      </c>
      <c r="R192" s="41">
        <v>1</v>
      </c>
      <c r="S192" s="70">
        <f t="shared" si="24"/>
        <v>923724.64800000039</v>
      </c>
      <c r="T192" s="41">
        <v>0</v>
      </c>
      <c r="U192" s="41">
        <v>0</v>
      </c>
      <c r="V192" s="70">
        <f t="shared" si="25"/>
        <v>0</v>
      </c>
      <c r="W192" s="41">
        <v>0</v>
      </c>
      <c r="X192" s="41">
        <v>0</v>
      </c>
      <c r="Y192" s="70">
        <f t="shared" si="26"/>
        <v>0</v>
      </c>
      <c r="Z192" s="41">
        <f>135*2*9</f>
        <v>2430</v>
      </c>
      <c r="AA192" s="41">
        <v>1</v>
      </c>
      <c r="AB192" s="70">
        <f t="shared" si="27"/>
        <v>1229477.5064880007</v>
      </c>
      <c r="AC192" s="41">
        <v>0</v>
      </c>
      <c r="AD192" s="41">
        <v>0</v>
      </c>
      <c r="AE192" s="70">
        <f t="shared" si="28"/>
        <v>0</v>
      </c>
      <c r="AF192" s="28">
        <f t="shared" si="29"/>
        <v>3535506.154488001</v>
      </c>
      <c r="AG192" s="28">
        <f t="shared" si="30"/>
        <v>3432.5302470757292</v>
      </c>
    </row>
    <row r="193" spans="1:38" ht="57.6" x14ac:dyDescent="0.3">
      <c r="A193" s="41" t="s">
        <v>697</v>
      </c>
      <c r="B193" s="41" t="s">
        <v>693</v>
      </c>
      <c r="C193" s="42" t="s">
        <v>671</v>
      </c>
      <c r="D193" s="41" t="s">
        <v>109</v>
      </c>
      <c r="E193" s="41" t="s">
        <v>180</v>
      </c>
      <c r="F193" s="41" t="s">
        <v>716</v>
      </c>
      <c r="G193" s="83">
        <v>39000</v>
      </c>
      <c r="J193" s="84"/>
      <c r="K193" s="41">
        <v>0</v>
      </c>
      <c r="L193" s="41">
        <v>0</v>
      </c>
      <c r="M193" s="70">
        <f t="shared" si="22"/>
        <v>0</v>
      </c>
      <c r="N193" s="41">
        <v>15</v>
      </c>
      <c r="O193" s="41">
        <v>5</v>
      </c>
      <c r="P193" s="70">
        <f t="shared" si="23"/>
        <v>3539250.0000000005</v>
      </c>
      <c r="Q193" s="41">
        <v>25</v>
      </c>
      <c r="R193" s="41">
        <v>6</v>
      </c>
      <c r="S193" s="70">
        <f t="shared" si="24"/>
        <v>7786350.0000000028</v>
      </c>
      <c r="T193" s="41">
        <v>0</v>
      </c>
      <c r="U193" s="41">
        <v>0</v>
      </c>
      <c r="V193" s="70">
        <f t="shared" si="25"/>
        <v>0</v>
      </c>
      <c r="W193" s="41">
        <v>0</v>
      </c>
      <c r="X193" s="41">
        <v>0</v>
      </c>
      <c r="Y193" s="70">
        <f t="shared" si="26"/>
        <v>0</v>
      </c>
      <c r="Z193" s="41">
        <v>25</v>
      </c>
      <c r="AA193" s="41">
        <v>6</v>
      </c>
      <c r="AB193" s="70">
        <f t="shared" si="27"/>
        <v>10363631.850000005</v>
      </c>
      <c r="AC193" s="41">
        <v>0</v>
      </c>
      <c r="AD193" s="41">
        <v>0</v>
      </c>
      <c r="AE193" s="70">
        <f t="shared" si="28"/>
        <v>0</v>
      </c>
      <c r="AF193" s="28">
        <f t="shared" si="29"/>
        <v>21689231.850000009</v>
      </c>
      <c r="AG193" s="28">
        <f t="shared" si="30"/>
        <v>21057.506650485444</v>
      </c>
    </row>
    <row r="194" spans="1:38" ht="57.6" x14ac:dyDescent="0.3">
      <c r="A194" s="41" t="s">
        <v>697</v>
      </c>
      <c r="B194" s="41" t="s">
        <v>693</v>
      </c>
      <c r="C194" s="42" t="s">
        <v>671</v>
      </c>
      <c r="D194" s="41" t="s">
        <v>109</v>
      </c>
      <c r="E194" s="41" t="s">
        <v>180</v>
      </c>
      <c r="F194" s="41" t="s">
        <v>709</v>
      </c>
      <c r="G194" s="83">
        <v>35000</v>
      </c>
      <c r="J194" s="84"/>
      <c r="K194" s="41">
        <v>0</v>
      </c>
      <c r="L194" s="41">
        <v>0</v>
      </c>
      <c r="M194" s="70">
        <f t="shared" si="22"/>
        <v>0</v>
      </c>
      <c r="N194" s="41">
        <v>15</v>
      </c>
      <c r="O194" s="41">
        <v>5</v>
      </c>
      <c r="P194" s="70">
        <f t="shared" si="23"/>
        <v>3176250.0000000005</v>
      </c>
      <c r="Q194" s="41">
        <v>25</v>
      </c>
      <c r="R194" s="41">
        <v>5</v>
      </c>
      <c r="S194" s="70">
        <f t="shared" si="24"/>
        <v>5823125.0000000019</v>
      </c>
      <c r="T194" s="41">
        <v>0</v>
      </c>
      <c r="U194" s="41">
        <v>0</v>
      </c>
      <c r="V194" s="70">
        <f t="shared" si="25"/>
        <v>0</v>
      </c>
      <c r="W194" s="41">
        <v>0</v>
      </c>
      <c r="X194" s="41">
        <v>0</v>
      </c>
      <c r="Y194" s="70">
        <f t="shared" si="26"/>
        <v>0</v>
      </c>
      <c r="Z194" s="41">
        <v>25</v>
      </c>
      <c r="AA194" s="41">
        <v>5</v>
      </c>
      <c r="AB194" s="70">
        <f t="shared" si="27"/>
        <v>7750579.3750000037</v>
      </c>
      <c r="AC194" s="41">
        <v>0</v>
      </c>
      <c r="AD194" s="41">
        <v>0</v>
      </c>
      <c r="AE194" s="70">
        <f t="shared" si="28"/>
        <v>0</v>
      </c>
      <c r="AF194" s="28">
        <f t="shared" si="29"/>
        <v>16749954.375000006</v>
      </c>
      <c r="AG194" s="28">
        <f t="shared" si="30"/>
        <v>16262.091626213598</v>
      </c>
    </row>
    <row r="195" spans="1:38" ht="57.6" x14ac:dyDescent="0.3">
      <c r="A195" s="41" t="s">
        <v>697</v>
      </c>
      <c r="B195" s="41" t="s">
        <v>693</v>
      </c>
      <c r="C195" s="42" t="s">
        <v>671</v>
      </c>
      <c r="D195" s="41" t="s">
        <v>109</v>
      </c>
      <c r="E195" s="41" t="s">
        <v>180</v>
      </c>
      <c r="F195" s="41" t="s">
        <v>712</v>
      </c>
      <c r="G195" s="83">
        <f>1999.2/7</f>
        <v>285.60000000000002</v>
      </c>
      <c r="J195" s="84"/>
      <c r="K195" s="41">
        <v>0</v>
      </c>
      <c r="L195" s="41">
        <v>0</v>
      </c>
      <c r="M195" s="70">
        <f t="shared" ref="M195:M258" si="31">($G195*1.1^1)*K195*L195</f>
        <v>0</v>
      </c>
      <c r="N195" s="41">
        <v>15</v>
      </c>
      <c r="O195" s="41">
        <v>1</v>
      </c>
      <c r="P195" s="70">
        <f t="shared" ref="P195:P258" si="32">($G195*1.1^2)*N195*O195</f>
        <v>5183.6400000000012</v>
      </c>
      <c r="Q195" s="41">
        <f>25*2*9</f>
        <v>450</v>
      </c>
      <c r="R195" s="41">
        <v>0</v>
      </c>
      <c r="S195" s="70">
        <f t="shared" ref="S195:S258" si="33">($G195*1.1^3)*Q195*R195</f>
        <v>0</v>
      </c>
      <c r="T195" s="41">
        <v>0</v>
      </c>
      <c r="U195" s="41">
        <v>0</v>
      </c>
      <c r="V195" s="70">
        <f t="shared" ref="V195:V258" si="34">($G195*1.1^4)*T195*U195</f>
        <v>0</v>
      </c>
      <c r="W195" s="41">
        <v>0</v>
      </c>
      <c r="X195" s="41">
        <v>0</v>
      </c>
      <c r="Y195" s="70">
        <f t="shared" ref="Y195:Y258" si="35">($G195*1.1^5)*W195*X195</f>
        <v>0</v>
      </c>
      <c r="Z195" s="41">
        <f>25*2*9</f>
        <v>450</v>
      </c>
      <c r="AA195" s="41">
        <v>0</v>
      </c>
      <c r="AB195" s="70">
        <f t="shared" ref="AB195:AB258" si="36">($G195*1.1^6)*Z195*AA195</f>
        <v>0</v>
      </c>
      <c r="AC195" s="41">
        <v>0</v>
      </c>
      <c r="AD195" s="41">
        <v>0</v>
      </c>
      <c r="AE195" s="70">
        <f t="shared" ref="AE195:AE258" si="37">($G195*1.1^7)*AC195*AD195</f>
        <v>0</v>
      </c>
      <c r="AF195" s="28">
        <f t="shared" ref="AF195:AF258" si="38">J195+M195+P195+S195+V195+Y195+AB195+AE195</f>
        <v>5183.6400000000012</v>
      </c>
      <c r="AG195" s="28">
        <f t="shared" ref="AG195:AG258" si="39">AF195/$AL$2</f>
        <v>5.0326601941747588</v>
      </c>
    </row>
    <row r="196" spans="1:38" ht="57.6" x14ac:dyDescent="0.3">
      <c r="A196" s="41" t="s">
        <v>697</v>
      </c>
      <c r="B196" s="41" t="s">
        <v>693</v>
      </c>
      <c r="C196" s="42" t="s">
        <v>671</v>
      </c>
      <c r="D196" s="41" t="s">
        <v>109</v>
      </c>
      <c r="E196" s="41" t="s">
        <v>180</v>
      </c>
      <c r="F196" s="41" t="s">
        <v>1350</v>
      </c>
      <c r="G196" s="83">
        <f>1999.2/7</f>
        <v>285.60000000000002</v>
      </c>
      <c r="J196" s="84"/>
      <c r="K196" s="41">
        <v>0</v>
      </c>
      <c r="L196" s="41">
        <v>0</v>
      </c>
      <c r="M196" s="70">
        <f t="shared" si="31"/>
        <v>0</v>
      </c>
      <c r="N196" s="41">
        <v>4000</v>
      </c>
      <c r="O196" s="41">
        <v>1</v>
      </c>
      <c r="P196" s="70">
        <f t="shared" si="32"/>
        <v>1382304.0000000002</v>
      </c>
      <c r="Q196" s="41">
        <f>135*2*9</f>
        <v>2430</v>
      </c>
      <c r="R196" s="41">
        <v>1</v>
      </c>
      <c r="S196" s="70">
        <f t="shared" si="33"/>
        <v>923724.64800000039</v>
      </c>
      <c r="T196" s="41">
        <v>0</v>
      </c>
      <c r="U196" s="41">
        <v>0</v>
      </c>
      <c r="V196" s="70">
        <f t="shared" si="34"/>
        <v>0</v>
      </c>
      <c r="W196" s="41">
        <v>0</v>
      </c>
      <c r="X196" s="41">
        <v>0</v>
      </c>
      <c r="Y196" s="70">
        <f t="shared" si="35"/>
        <v>0</v>
      </c>
      <c r="Z196" s="41">
        <f>135*2*9</f>
        <v>2430</v>
      </c>
      <c r="AA196" s="41">
        <v>1</v>
      </c>
      <c r="AB196" s="70">
        <f t="shared" si="36"/>
        <v>1229477.5064880007</v>
      </c>
      <c r="AC196" s="41">
        <v>0</v>
      </c>
      <c r="AD196" s="41">
        <v>0</v>
      </c>
      <c r="AE196" s="70">
        <f t="shared" si="37"/>
        <v>0</v>
      </c>
      <c r="AF196" s="28">
        <f t="shared" si="38"/>
        <v>3535506.154488001</v>
      </c>
      <c r="AG196" s="28">
        <f t="shared" si="39"/>
        <v>3432.5302470757292</v>
      </c>
    </row>
    <row r="197" spans="1:38" ht="57.6" x14ac:dyDescent="0.3">
      <c r="A197" s="41" t="s">
        <v>697</v>
      </c>
      <c r="B197" s="41" t="s">
        <v>693</v>
      </c>
      <c r="C197" s="42" t="s">
        <v>671</v>
      </c>
      <c r="D197" s="41" t="s">
        <v>109</v>
      </c>
      <c r="E197" s="41" t="s">
        <v>553</v>
      </c>
      <c r="F197" s="41" t="s">
        <v>716</v>
      </c>
      <c r="G197" s="83">
        <v>39000</v>
      </c>
      <c r="J197" s="84"/>
      <c r="K197" s="41">
        <v>0</v>
      </c>
      <c r="L197" s="41">
        <v>0</v>
      </c>
      <c r="M197" s="70">
        <f t="shared" si="31"/>
        <v>0</v>
      </c>
      <c r="N197" s="41">
        <v>10</v>
      </c>
      <c r="O197" s="41">
        <v>1</v>
      </c>
      <c r="P197" s="70">
        <f t="shared" si="32"/>
        <v>471900.00000000006</v>
      </c>
      <c r="Q197" s="41">
        <v>58</v>
      </c>
      <c r="R197" s="41">
        <v>6</v>
      </c>
      <c r="S197" s="70">
        <f t="shared" si="33"/>
        <v>18064332.000000007</v>
      </c>
      <c r="T197" s="41">
        <v>0</v>
      </c>
      <c r="U197" s="41">
        <v>0</v>
      </c>
      <c r="V197" s="70">
        <f t="shared" si="34"/>
        <v>0</v>
      </c>
      <c r="W197" s="41">
        <v>0</v>
      </c>
      <c r="X197" s="41">
        <v>0</v>
      </c>
      <c r="Y197" s="70">
        <f t="shared" si="35"/>
        <v>0</v>
      </c>
      <c r="Z197" s="41">
        <v>58</v>
      </c>
      <c r="AA197" s="41">
        <v>6</v>
      </c>
      <c r="AB197" s="70">
        <f t="shared" si="36"/>
        <v>24043625.892000012</v>
      </c>
      <c r="AC197" s="41">
        <v>0</v>
      </c>
      <c r="AD197" s="41">
        <v>0</v>
      </c>
      <c r="AE197" s="70">
        <f t="shared" si="37"/>
        <v>0</v>
      </c>
      <c r="AF197" s="28">
        <f t="shared" si="38"/>
        <v>42579857.89200002</v>
      </c>
      <c r="AG197" s="28">
        <f t="shared" si="39"/>
        <v>41339.667856310698</v>
      </c>
    </row>
    <row r="198" spans="1:38" ht="57.6" x14ac:dyDescent="0.3">
      <c r="A198" s="41" t="s">
        <v>697</v>
      </c>
      <c r="B198" s="41" t="s">
        <v>693</v>
      </c>
      <c r="C198" s="42" t="s">
        <v>671</v>
      </c>
      <c r="D198" s="41" t="s">
        <v>109</v>
      </c>
      <c r="E198" s="41" t="s">
        <v>553</v>
      </c>
      <c r="F198" s="41" t="s">
        <v>709</v>
      </c>
      <c r="G198" s="83">
        <v>35000</v>
      </c>
      <c r="J198" s="84"/>
      <c r="K198" s="41">
        <v>0</v>
      </c>
      <c r="L198" s="41">
        <v>0</v>
      </c>
      <c r="M198" s="70">
        <f t="shared" si="31"/>
        <v>0</v>
      </c>
      <c r="N198" s="41">
        <v>30</v>
      </c>
      <c r="O198" s="41">
        <v>1</v>
      </c>
      <c r="P198" s="70">
        <f t="shared" si="32"/>
        <v>1270500.0000000002</v>
      </c>
      <c r="Q198" s="41">
        <v>100</v>
      </c>
      <c r="R198" s="41">
        <v>5</v>
      </c>
      <c r="S198" s="70">
        <f t="shared" si="33"/>
        <v>23292500.000000007</v>
      </c>
      <c r="T198" s="41">
        <v>0</v>
      </c>
      <c r="U198" s="41">
        <v>0</v>
      </c>
      <c r="V198" s="70">
        <f t="shared" si="34"/>
        <v>0</v>
      </c>
      <c r="W198" s="41">
        <v>0</v>
      </c>
      <c r="X198" s="41">
        <v>0</v>
      </c>
      <c r="Y198" s="70">
        <f t="shared" si="35"/>
        <v>0</v>
      </c>
      <c r="Z198" s="41">
        <v>100</v>
      </c>
      <c r="AA198" s="41">
        <v>5</v>
      </c>
      <c r="AB198" s="70">
        <f t="shared" si="36"/>
        <v>31002317.500000015</v>
      </c>
      <c r="AC198" s="41">
        <v>0</v>
      </c>
      <c r="AD198" s="41">
        <v>0</v>
      </c>
      <c r="AE198" s="70">
        <f t="shared" si="37"/>
        <v>0</v>
      </c>
      <c r="AF198" s="28">
        <f t="shared" si="38"/>
        <v>55565317.500000022</v>
      </c>
      <c r="AG198" s="28">
        <f t="shared" si="39"/>
        <v>53946.910194174779</v>
      </c>
    </row>
    <row r="199" spans="1:38" ht="57.6" x14ac:dyDescent="0.3">
      <c r="A199" s="41" t="s">
        <v>697</v>
      </c>
      <c r="B199" s="41" t="s">
        <v>693</v>
      </c>
      <c r="C199" s="42" t="s">
        <v>671</v>
      </c>
      <c r="D199" s="41" t="s">
        <v>109</v>
      </c>
      <c r="E199" s="41" t="s">
        <v>553</v>
      </c>
      <c r="F199" s="41" t="s">
        <v>1350</v>
      </c>
      <c r="G199" s="83">
        <f>1999.2/7</f>
        <v>285.60000000000002</v>
      </c>
      <c r="J199" s="84"/>
      <c r="K199" s="41">
        <v>0</v>
      </c>
      <c r="L199" s="41">
        <v>0</v>
      </c>
      <c r="M199" s="70">
        <f t="shared" si="31"/>
        <v>0</v>
      </c>
      <c r="N199" s="41">
        <v>4000</v>
      </c>
      <c r="O199" s="41">
        <v>1</v>
      </c>
      <c r="P199" s="70">
        <f t="shared" si="32"/>
        <v>1382304.0000000002</v>
      </c>
      <c r="Q199" s="41">
        <f>135*2*29</f>
        <v>7830</v>
      </c>
      <c r="R199" s="41">
        <v>1</v>
      </c>
      <c r="S199" s="70">
        <f t="shared" si="33"/>
        <v>2976446.0880000014</v>
      </c>
      <c r="T199" s="41">
        <v>0</v>
      </c>
      <c r="U199" s="41">
        <v>0</v>
      </c>
      <c r="V199" s="70">
        <f t="shared" si="34"/>
        <v>0</v>
      </c>
      <c r="W199" s="41">
        <v>0</v>
      </c>
      <c r="X199" s="41">
        <v>0</v>
      </c>
      <c r="Y199" s="70">
        <f t="shared" si="35"/>
        <v>0</v>
      </c>
      <c r="Z199" s="41">
        <f>135*2*29</f>
        <v>7830</v>
      </c>
      <c r="AA199" s="41">
        <v>1</v>
      </c>
      <c r="AB199" s="70">
        <f t="shared" si="36"/>
        <v>3961649.7431280022</v>
      </c>
      <c r="AC199" s="41">
        <v>0</v>
      </c>
      <c r="AD199" s="41">
        <v>0</v>
      </c>
      <c r="AE199" s="70">
        <f t="shared" si="37"/>
        <v>0</v>
      </c>
      <c r="AF199" s="28">
        <f t="shared" si="38"/>
        <v>8320399.8311280031</v>
      </c>
      <c r="AG199" s="28">
        <f t="shared" si="39"/>
        <v>8078.0580884737892</v>
      </c>
    </row>
    <row r="200" spans="1:38" ht="57.6" x14ac:dyDescent="0.3">
      <c r="A200" s="41" t="s">
        <v>697</v>
      </c>
      <c r="B200" s="41" t="s">
        <v>693</v>
      </c>
      <c r="C200" s="42" t="s">
        <v>671</v>
      </c>
      <c r="D200" s="41" t="s">
        <v>109</v>
      </c>
      <c r="E200" s="41" t="s">
        <v>553</v>
      </c>
      <c r="F200" s="41" t="s">
        <v>712</v>
      </c>
      <c r="G200" s="83">
        <f>1999.2/7</f>
        <v>285.60000000000002</v>
      </c>
      <c r="J200" s="84"/>
      <c r="K200" s="41">
        <v>0</v>
      </c>
      <c r="L200" s="41">
        <v>0</v>
      </c>
      <c r="M200" s="70">
        <f t="shared" si="31"/>
        <v>0</v>
      </c>
      <c r="N200" s="41">
        <v>8000</v>
      </c>
      <c r="O200" s="41">
        <v>1</v>
      </c>
      <c r="P200" s="70">
        <f t="shared" si="32"/>
        <v>2764608.0000000005</v>
      </c>
      <c r="Q200" s="41">
        <f>25*2*29</f>
        <v>1450</v>
      </c>
      <c r="R200" s="41">
        <v>0</v>
      </c>
      <c r="S200" s="70">
        <f t="shared" si="33"/>
        <v>0</v>
      </c>
      <c r="T200" s="41">
        <v>0</v>
      </c>
      <c r="U200" s="41">
        <v>0</v>
      </c>
      <c r="V200" s="70">
        <f t="shared" si="34"/>
        <v>0</v>
      </c>
      <c r="W200" s="41">
        <v>0</v>
      </c>
      <c r="X200" s="41">
        <v>0</v>
      </c>
      <c r="Y200" s="70">
        <f t="shared" si="35"/>
        <v>0</v>
      </c>
      <c r="Z200" s="41">
        <f>25*2*29</f>
        <v>1450</v>
      </c>
      <c r="AA200" s="41">
        <v>0</v>
      </c>
      <c r="AB200" s="70">
        <f t="shared" si="36"/>
        <v>0</v>
      </c>
      <c r="AC200" s="41">
        <v>0</v>
      </c>
      <c r="AD200" s="41">
        <v>0</v>
      </c>
      <c r="AE200" s="70">
        <f t="shared" si="37"/>
        <v>0</v>
      </c>
      <c r="AF200" s="28">
        <f t="shared" si="38"/>
        <v>2764608.0000000005</v>
      </c>
      <c r="AG200" s="28">
        <f t="shared" si="39"/>
        <v>2684.0854368932041</v>
      </c>
    </row>
    <row r="201" spans="1:38" ht="57.6" x14ac:dyDescent="0.3">
      <c r="A201" s="41" t="s">
        <v>697</v>
      </c>
      <c r="B201" s="41" t="s">
        <v>693</v>
      </c>
      <c r="C201" s="42" t="s">
        <v>671</v>
      </c>
      <c r="D201" s="41" t="s">
        <v>109</v>
      </c>
      <c r="E201" s="41" t="s">
        <v>556</v>
      </c>
      <c r="F201" s="41" t="s">
        <v>709</v>
      </c>
      <c r="G201" s="83">
        <v>35000</v>
      </c>
      <c r="J201" s="84"/>
      <c r="K201" s="41">
        <v>0</v>
      </c>
      <c r="L201" s="41">
        <v>0</v>
      </c>
      <c r="M201" s="70">
        <f t="shared" si="31"/>
        <v>0</v>
      </c>
      <c r="N201" s="41">
        <v>20</v>
      </c>
      <c r="O201" s="41">
        <v>1</v>
      </c>
      <c r="P201" s="70">
        <f t="shared" si="32"/>
        <v>847000.00000000012</v>
      </c>
      <c r="Q201" s="41">
        <v>60</v>
      </c>
      <c r="R201" s="41">
        <v>1</v>
      </c>
      <c r="S201" s="70">
        <f t="shared" si="33"/>
        <v>2795100.0000000009</v>
      </c>
      <c r="T201" s="41">
        <v>0</v>
      </c>
      <c r="U201" s="41">
        <v>0</v>
      </c>
      <c r="V201" s="70">
        <f t="shared" si="34"/>
        <v>0</v>
      </c>
      <c r="W201" s="41">
        <v>0</v>
      </c>
      <c r="X201" s="41">
        <v>0</v>
      </c>
      <c r="Y201" s="70">
        <f t="shared" si="35"/>
        <v>0</v>
      </c>
      <c r="Z201" s="41">
        <v>60</v>
      </c>
      <c r="AA201" s="41">
        <v>1</v>
      </c>
      <c r="AB201" s="70">
        <f t="shared" si="36"/>
        <v>3720278.100000002</v>
      </c>
      <c r="AC201" s="41">
        <v>0</v>
      </c>
      <c r="AD201" s="41">
        <v>0</v>
      </c>
      <c r="AE201" s="70">
        <f t="shared" si="37"/>
        <v>0</v>
      </c>
      <c r="AF201" s="28">
        <f t="shared" si="38"/>
        <v>7362378.1000000034</v>
      </c>
      <c r="AG201" s="28">
        <f t="shared" si="39"/>
        <v>7147.9399029126243</v>
      </c>
    </row>
    <row r="202" spans="1:38" ht="57.6" x14ac:dyDescent="0.3">
      <c r="A202" s="41" t="s">
        <v>697</v>
      </c>
      <c r="B202" s="41" t="s">
        <v>693</v>
      </c>
      <c r="C202" s="42" t="s">
        <v>671</v>
      </c>
      <c r="D202" s="41" t="s">
        <v>109</v>
      </c>
      <c r="E202" s="41" t="s">
        <v>797</v>
      </c>
      <c r="F202" s="41" t="s">
        <v>709</v>
      </c>
      <c r="G202" s="83">
        <v>35000</v>
      </c>
      <c r="J202" s="84"/>
      <c r="K202" s="41">
        <v>0</v>
      </c>
      <c r="L202" s="41">
        <v>0</v>
      </c>
      <c r="M202" s="70">
        <f t="shared" si="31"/>
        <v>0</v>
      </c>
      <c r="N202" s="41">
        <v>40</v>
      </c>
      <c r="O202" s="41">
        <v>1</v>
      </c>
      <c r="P202" s="70">
        <f t="shared" si="32"/>
        <v>1694000.0000000002</v>
      </c>
      <c r="Q202" s="41">
        <v>1</v>
      </c>
      <c r="R202" s="41">
        <v>1</v>
      </c>
      <c r="S202" s="70">
        <f t="shared" si="33"/>
        <v>46585.000000000015</v>
      </c>
      <c r="T202" s="41">
        <v>0</v>
      </c>
      <c r="U202" s="41">
        <v>0</v>
      </c>
      <c r="V202" s="70">
        <f t="shared" si="34"/>
        <v>0</v>
      </c>
      <c r="W202" s="41">
        <v>0</v>
      </c>
      <c r="X202" s="41">
        <v>0</v>
      </c>
      <c r="Y202" s="70">
        <f t="shared" si="35"/>
        <v>0</v>
      </c>
      <c r="Z202" s="41">
        <v>1</v>
      </c>
      <c r="AA202" s="41">
        <v>1</v>
      </c>
      <c r="AB202" s="70">
        <f t="shared" si="36"/>
        <v>62004.635000000031</v>
      </c>
      <c r="AC202" s="41">
        <v>0</v>
      </c>
      <c r="AD202" s="41">
        <v>0</v>
      </c>
      <c r="AE202" s="70">
        <f t="shared" si="37"/>
        <v>0</v>
      </c>
      <c r="AF202" s="28">
        <f t="shared" si="38"/>
        <v>1802589.6350000002</v>
      </c>
      <c r="AG202" s="28">
        <f t="shared" si="39"/>
        <v>1750.0870242718449</v>
      </c>
    </row>
    <row r="203" spans="1:38" ht="57.6" x14ac:dyDescent="0.3">
      <c r="A203" s="41" t="s">
        <v>697</v>
      </c>
      <c r="B203" s="41" t="s">
        <v>693</v>
      </c>
      <c r="C203" s="42" t="s">
        <v>671</v>
      </c>
      <c r="D203" s="41" t="s">
        <v>109</v>
      </c>
      <c r="E203" s="41" t="s">
        <v>797</v>
      </c>
      <c r="F203" s="41" t="s">
        <v>717</v>
      </c>
      <c r="G203" s="83">
        <v>104850</v>
      </c>
      <c r="J203" s="84"/>
      <c r="K203" s="41">
        <v>0</v>
      </c>
      <c r="L203" s="41">
        <v>0</v>
      </c>
      <c r="M203" s="70">
        <f t="shared" si="31"/>
        <v>0</v>
      </c>
      <c r="N203" s="41">
        <v>5</v>
      </c>
      <c r="O203" s="41">
        <v>1</v>
      </c>
      <c r="P203" s="70">
        <f t="shared" si="32"/>
        <v>634342.50000000012</v>
      </c>
      <c r="Q203" s="41">
        <v>1</v>
      </c>
      <c r="R203" s="41">
        <v>1</v>
      </c>
      <c r="S203" s="70">
        <f t="shared" si="33"/>
        <v>139555.35000000003</v>
      </c>
      <c r="T203" s="41">
        <v>0</v>
      </c>
      <c r="U203" s="41">
        <v>0</v>
      </c>
      <c r="V203" s="70">
        <f t="shared" si="34"/>
        <v>0</v>
      </c>
      <c r="W203" s="41">
        <v>0</v>
      </c>
      <c r="X203" s="41">
        <v>0</v>
      </c>
      <c r="Y203" s="70">
        <f t="shared" si="35"/>
        <v>0</v>
      </c>
      <c r="Z203" s="41">
        <v>1</v>
      </c>
      <c r="AA203" s="41">
        <v>1</v>
      </c>
      <c r="AB203" s="70">
        <f t="shared" si="36"/>
        <v>185748.17085000008</v>
      </c>
      <c r="AC203" s="41">
        <v>0</v>
      </c>
      <c r="AD203" s="41">
        <v>0</v>
      </c>
      <c r="AE203" s="70">
        <f t="shared" si="37"/>
        <v>0</v>
      </c>
      <c r="AF203" s="28">
        <f t="shared" si="38"/>
        <v>959646.0208500002</v>
      </c>
      <c r="AG203" s="28">
        <f t="shared" si="39"/>
        <v>931.69516587378655</v>
      </c>
    </row>
    <row r="204" spans="1:38" ht="57.6" x14ac:dyDescent="0.3">
      <c r="A204" s="41" t="s">
        <v>697</v>
      </c>
      <c r="B204" s="41" t="s">
        <v>693</v>
      </c>
      <c r="C204" s="42" t="s">
        <v>671</v>
      </c>
      <c r="D204" s="41" t="s">
        <v>109</v>
      </c>
      <c r="E204" s="41" t="s">
        <v>797</v>
      </c>
      <c r="F204" s="41" t="s">
        <v>1297</v>
      </c>
      <c r="G204" s="83">
        <v>8000</v>
      </c>
      <c r="J204" s="84"/>
      <c r="K204" s="41">
        <v>0</v>
      </c>
      <c r="L204" s="41">
        <v>0</v>
      </c>
      <c r="M204" s="70">
        <f t="shared" si="31"/>
        <v>0</v>
      </c>
      <c r="N204" s="41">
        <v>50000</v>
      </c>
      <c r="O204" s="41">
        <v>1</v>
      </c>
      <c r="P204" s="70">
        <f t="shared" si="32"/>
        <v>484000000.00000012</v>
      </c>
      <c r="Q204" s="41">
        <v>5</v>
      </c>
      <c r="R204" s="41">
        <v>1</v>
      </c>
      <c r="S204" s="70">
        <f t="shared" si="33"/>
        <v>53240.000000000015</v>
      </c>
      <c r="T204" s="41">
        <v>0</v>
      </c>
      <c r="U204" s="41">
        <v>0</v>
      </c>
      <c r="V204" s="70">
        <f t="shared" si="34"/>
        <v>0</v>
      </c>
      <c r="W204" s="41">
        <v>0</v>
      </c>
      <c r="X204" s="41">
        <v>0</v>
      </c>
      <c r="Y204" s="70">
        <f t="shared" si="35"/>
        <v>0</v>
      </c>
      <c r="Z204" s="41">
        <v>5</v>
      </c>
      <c r="AA204" s="41">
        <v>1</v>
      </c>
      <c r="AB204" s="70">
        <f t="shared" si="36"/>
        <v>70862.440000000031</v>
      </c>
      <c r="AC204" s="41">
        <v>0</v>
      </c>
      <c r="AD204" s="41">
        <v>0</v>
      </c>
      <c r="AE204" s="70">
        <f t="shared" si="37"/>
        <v>0</v>
      </c>
      <c r="AF204" s="28">
        <f t="shared" si="38"/>
        <v>484124102.44000012</v>
      </c>
      <c r="AG204" s="28">
        <f t="shared" si="39"/>
        <v>470023.40042718459</v>
      </c>
    </row>
    <row r="205" spans="1:38" x14ac:dyDescent="0.3">
      <c r="A205" s="91" t="s">
        <v>1302</v>
      </c>
      <c r="B205" s="91"/>
      <c r="C205" s="91"/>
      <c r="D205" s="91"/>
      <c r="E205" s="91"/>
      <c r="F205" s="91"/>
      <c r="G205" s="92"/>
      <c r="H205" s="91"/>
      <c r="I205" s="91"/>
      <c r="J205" s="92">
        <f>SUM(J131:J204)</f>
        <v>2051949021.7375</v>
      </c>
      <c r="K205" s="91"/>
      <c r="L205" s="91"/>
      <c r="M205" s="92">
        <f>SUM(M131:M204)</f>
        <v>650924305.29499984</v>
      </c>
      <c r="N205" s="91"/>
      <c r="O205" s="91"/>
      <c r="P205" s="92">
        <f>SUM(P131:P204)</f>
        <v>1594994599.2475004</v>
      </c>
      <c r="Q205" s="91"/>
      <c r="R205" s="91"/>
      <c r="S205" s="92">
        <f>SUM(S131:S204)</f>
        <v>235533560.35000005</v>
      </c>
      <c r="T205" s="91"/>
      <c r="U205" s="91"/>
      <c r="V205" s="92">
        <f>SUM(V131:V204)</f>
        <v>439013386.40500015</v>
      </c>
      <c r="W205" s="91"/>
      <c r="X205" s="91"/>
      <c r="Y205" s="92">
        <f>SUM(Y131:Y204)</f>
        <v>0</v>
      </c>
      <c r="Z205" s="91"/>
      <c r="AA205" s="91"/>
      <c r="AB205" s="92">
        <f>SUM(AB131:AB204)</f>
        <v>674803335.91528511</v>
      </c>
      <c r="AC205" s="91"/>
      <c r="AD205" s="91"/>
      <c r="AE205" s="92">
        <f>SUM(AE131:AE204)</f>
        <v>0</v>
      </c>
      <c r="AF205" s="95">
        <f t="shared" si="38"/>
        <v>5647218208.9502859</v>
      </c>
      <c r="AG205" s="95">
        <f t="shared" si="39"/>
        <v>5482736.1251944527</v>
      </c>
      <c r="AH205" s="94"/>
      <c r="AI205" s="94"/>
      <c r="AJ205" s="94"/>
    </row>
    <row r="206" spans="1:38" x14ac:dyDescent="0.3">
      <c r="A206" s="63" t="s">
        <v>1427</v>
      </c>
      <c r="B206" s="63"/>
      <c r="C206" s="63"/>
      <c r="D206" s="63"/>
      <c r="E206" s="63"/>
      <c r="F206" s="63"/>
      <c r="G206" s="90"/>
      <c r="H206" s="63"/>
      <c r="I206" s="63"/>
      <c r="J206" s="90">
        <f>J205/$AL$2</f>
        <v>1992183.5162499999</v>
      </c>
      <c r="K206" s="63"/>
      <c r="L206" s="63"/>
      <c r="M206" s="90">
        <f>M205/$AL$2</f>
        <v>631965.34494660178</v>
      </c>
      <c r="N206" s="63"/>
      <c r="O206" s="63"/>
      <c r="P206" s="90">
        <f>P205/$AL$2</f>
        <v>1548538.4458713597</v>
      </c>
      <c r="Q206" s="63"/>
      <c r="R206" s="63"/>
      <c r="S206" s="90">
        <f>S205/$AL$2</f>
        <v>228673.35956310685</v>
      </c>
      <c r="T206" s="63"/>
      <c r="U206" s="63"/>
      <c r="V206" s="90">
        <f>V205/$AL$2</f>
        <v>426226.58874271857</v>
      </c>
      <c r="W206" s="63"/>
      <c r="X206" s="63"/>
      <c r="Y206" s="90">
        <f>Y205/$AL$2</f>
        <v>0</v>
      </c>
      <c r="Z206" s="63"/>
      <c r="AA206" s="63"/>
      <c r="AB206" s="90">
        <f>AB205/$AL$2</f>
        <v>655148.8698206651</v>
      </c>
      <c r="AC206" s="63"/>
      <c r="AD206" s="63"/>
      <c r="AE206" s="90">
        <f>AE205/$AL$2</f>
        <v>0</v>
      </c>
      <c r="AF206" s="20">
        <f t="shared" si="38"/>
        <v>5482736.1251944527</v>
      </c>
      <c r="AG206" s="20">
        <f t="shared" si="39"/>
        <v>5323.0447817421873</v>
      </c>
      <c r="AH206" s="62"/>
      <c r="AI206" s="62"/>
      <c r="AJ206" s="62"/>
      <c r="AK206" s="62"/>
      <c r="AL206" s="62"/>
    </row>
    <row r="207" spans="1:38" ht="57.6" x14ac:dyDescent="0.3">
      <c r="A207" s="41" t="s">
        <v>697</v>
      </c>
      <c r="B207" s="41" t="s">
        <v>693</v>
      </c>
      <c r="C207" s="41" t="s">
        <v>673</v>
      </c>
      <c r="D207" s="41" t="s">
        <v>111</v>
      </c>
      <c r="E207" s="41" t="s">
        <v>557</v>
      </c>
      <c r="F207" s="41" t="s">
        <v>718</v>
      </c>
      <c r="G207" s="83">
        <v>0</v>
      </c>
      <c r="H207" s="41">
        <v>0</v>
      </c>
      <c r="I207" s="41">
        <v>0</v>
      </c>
      <c r="J207" s="83">
        <f>G207*H207*I207</f>
        <v>0</v>
      </c>
      <c r="K207" s="41">
        <v>0</v>
      </c>
      <c r="L207" s="41">
        <v>0</v>
      </c>
      <c r="M207" s="70">
        <f t="shared" si="31"/>
        <v>0</v>
      </c>
      <c r="N207" s="41">
        <v>0</v>
      </c>
      <c r="O207" s="41">
        <v>0</v>
      </c>
      <c r="P207" s="70">
        <f t="shared" si="32"/>
        <v>0</v>
      </c>
      <c r="Q207" s="41">
        <v>0</v>
      </c>
      <c r="R207" s="41">
        <v>0</v>
      </c>
      <c r="S207" s="70">
        <f t="shared" si="33"/>
        <v>0</v>
      </c>
      <c r="T207" s="41">
        <v>0</v>
      </c>
      <c r="U207" s="41">
        <v>0</v>
      </c>
      <c r="V207" s="70">
        <f t="shared" si="34"/>
        <v>0</v>
      </c>
      <c r="W207" s="41">
        <v>0</v>
      </c>
      <c r="X207" s="41">
        <v>0</v>
      </c>
      <c r="Y207" s="70">
        <f t="shared" si="35"/>
        <v>0</v>
      </c>
      <c r="Z207" s="41">
        <v>0</v>
      </c>
      <c r="AA207" s="41">
        <v>0</v>
      </c>
      <c r="AB207" s="70">
        <f t="shared" si="36"/>
        <v>0</v>
      </c>
      <c r="AC207" s="41">
        <v>0</v>
      </c>
      <c r="AD207" s="41">
        <v>0</v>
      </c>
      <c r="AE207" s="70">
        <f t="shared" si="37"/>
        <v>0</v>
      </c>
      <c r="AF207" s="28">
        <f t="shared" si="38"/>
        <v>0</v>
      </c>
      <c r="AG207" s="28">
        <f t="shared" si="39"/>
        <v>0</v>
      </c>
    </row>
    <row r="208" spans="1:38" ht="57.6" x14ac:dyDescent="0.3">
      <c r="A208" s="41" t="s">
        <v>697</v>
      </c>
      <c r="B208" s="41" t="s">
        <v>693</v>
      </c>
      <c r="C208" s="41" t="s">
        <v>673</v>
      </c>
      <c r="D208" s="41" t="s">
        <v>111</v>
      </c>
      <c r="E208" s="41" t="s">
        <v>149</v>
      </c>
      <c r="F208" s="41" t="s">
        <v>707</v>
      </c>
      <c r="G208" s="83">
        <v>391991.03749999998</v>
      </c>
      <c r="H208" s="41">
        <v>2</v>
      </c>
      <c r="I208" s="41">
        <v>2</v>
      </c>
      <c r="J208" s="83">
        <f t="shared" ref="J208:J279" si="40">G208*H208*I208</f>
        <v>1567964.15</v>
      </c>
      <c r="K208" s="41"/>
      <c r="L208" s="41"/>
      <c r="M208" s="70">
        <f t="shared" si="31"/>
        <v>0</v>
      </c>
      <c r="N208" s="41">
        <v>0</v>
      </c>
      <c r="O208" s="41">
        <v>0</v>
      </c>
      <c r="P208" s="70">
        <f t="shared" si="32"/>
        <v>0</v>
      </c>
      <c r="Q208" s="41">
        <v>0</v>
      </c>
      <c r="R208" s="41">
        <v>0</v>
      </c>
      <c r="S208" s="70">
        <f t="shared" si="33"/>
        <v>0</v>
      </c>
      <c r="T208" s="41">
        <v>0</v>
      </c>
      <c r="U208" s="41">
        <v>0</v>
      </c>
      <c r="V208" s="70">
        <f t="shared" si="34"/>
        <v>0</v>
      </c>
      <c r="W208" s="41">
        <v>0</v>
      </c>
      <c r="X208" s="41">
        <v>0</v>
      </c>
      <c r="Y208" s="70">
        <f t="shared" si="35"/>
        <v>0</v>
      </c>
      <c r="Z208" s="41">
        <v>0</v>
      </c>
      <c r="AA208" s="41">
        <v>0</v>
      </c>
      <c r="AB208" s="70">
        <f t="shared" si="36"/>
        <v>0</v>
      </c>
      <c r="AC208" s="41">
        <v>0</v>
      </c>
      <c r="AD208" s="41">
        <v>0</v>
      </c>
      <c r="AE208" s="70">
        <f t="shared" si="37"/>
        <v>0</v>
      </c>
      <c r="AF208" s="28">
        <f t="shared" si="38"/>
        <v>1567964.15</v>
      </c>
      <c r="AG208" s="28">
        <f t="shared" si="39"/>
        <v>1522.2952912621358</v>
      </c>
    </row>
    <row r="209" spans="1:33" ht="57.6" x14ac:dyDescent="0.3">
      <c r="A209" s="41" t="s">
        <v>697</v>
      </c>
      <c r="B209" s="41" t="s">
        <v>693</v>
      </c>
      <c r="C209" s="41" t="s">
        <v>673</v>
      </c>
      <c r="D209" s="41" t="s">
        <v>111</v>
      </c>
      <c r="E209" s="41" t="s">
        <v>149</v>
      </c>
      <c r="F209" s="41" t="s">
        <v>708</v>
      </c>
      <c r="G209" s="83">
        <f>500*1030</f>
        <v>515000</v>
      </c>
      <c r="H209" s="41">
        <v>1</v>
      </c>
      <c r="I209" s="41">
        <v>25</v>
      </c>
      <c r="J209" s="83">
        <f t="shared" si="40"/>
        <v>12875000</v>
      </c>
      <c r="K209" s="41"/>
      <c r="L209" s="41"/>
      <c r="M209" s="70">
        <f t="shared" si="31"/>
        <v>0</v>
      </c>
      <c r="N209" s="41">
        <v>0</v>
      </c>
      <c r="O209" s="41">
        <v>0</v>
      </c>
      <c r="P209" s="70">
        <f t="shared" si="32"/>
        <v>0</v>
      </c>
      <c r="Q209" s="41">
        <v>0</v>
      </c>
      <c r="R209" s="41">
        <v>0</v>
      </c>
      <c r="S209" s="70">
        <f t="shared" si="33"/>
        <v>0</v>
      </c>
      <c r="T209" s="41">
        <v>0</v>
      </c>
      <c r="U209" s="41">
        <v>0</v>
      </c>
      <c r="V209" s="70">
        <f t="shared" si="34"/>
        <v>0</v>
      </c>
      <c r="W209" s="41">
        <v>0</v>
      </c>
      <c r="X209" s="41">
        <v>0</v>
      </c>
      <c r="Y209" s="70">
        <f t="shared" si="35"/>
        <v>0</v>
      </c>
      <c r="Z209" s="41">
        <v>0</v>
      </c>
      <c r="AA209" s="41">
        <v>0</v>
      </c>
      <c r="AB209" s="70">
        <f t="shared" si="36"/>
        <v>0</v>
      </c>
      <c r="AC209" s="41">
        <v>0</v>
      </c>
      <c r="AD209" s="41">
        <v>0</v>
      </c>
      <c r="AE209" s="70">
        <f t="shared" si="37"/>
        <v>0</v>
      </c>
      <c r="AF209" s="28">
        <f t="shared" si="38"/>
        <v>12875000</v>
      </c>
      <c r="AG209" s="28">
        <f t="shared" si="39"/>
        <v>12500</v>
      </c>
    </row>
    <row r="210" spans="1:33" ht="57.6" x14ac:dyDescent="0.3">
      <c r="A210" s="41" t="s">
        <v>697</v>
      </c>
      <c r="B210" s="41" t="s">
        <v>693</v>
      </c>
      <c r="C210" s="41" t="s">
        <v>673</v>
      </c>
      <c r="D210" s="41" t="s">
        <v>111</v>
      </c>
      <c r="E210" s="41" t="s">
        <v>558</v>
      </c>
      <c r="F210" s="41" t="s">
        <v>716</v>
      </c>
      <c r="G210" s="83">
        <v>39000</v>
      </c>
      <c r="H210" s="41">
        <v>30</v>
      </c>
      <c r="I210" s="41">
        <v>6</v>
      </c>
      <c r="J210" s="83">
        <f t="shared" si="40"/>
        <v>7020000</v>
      </c>
      <c r="K210" s="41"/>
      <c r="L210" s="41"/>
      <c r="M210" s="70">
        <f t="shared" si="31"/>
        <v>0</v>
      </c>
      <c r="N210" s="41">
        <v>0</v>
      </c>
      <c r="O210" s="41">
        <v>0</v>
      </c>
      <c r="P210" s="70">
        <f t="shared" si="32"/>
        <v>0</v>
      </c>
      <c r="Q210" s="41">
        <v>0</v>
      </c>
      <c r="R210" s="41">
        <v>0</v>
      </c>
      <c r="S210" s="70">
        <f t="shared" si="33"/>
        <v>0</v>
      </c>
      <c r="T210" s="41">
        <v>0</v>
      </c>
      <c r="U210" s="41">
        <v>0</v>
      </c>
      <c r="V210" s="70">
        <f t="shared" si="34"/>
        <v>0</v>
      </c>
      <c r="W210" s="41">
        <v>0</v>
      </c>
      <c r="X210" s="41">
        <v>0</v>
      </c>
      <c r="Y210" s="70">
        <f t="shared" si="35"/>
        <v>0</v>
      </c>
      <c r="Z210" s="41">
        <v>0</v>
      </c>
      <c r="AA210" s="41">
        <v>0</v>
      </c>
      <c r="AB210" s="70">
        <f t="shared" si="36"/>
        <v>0</v>
      </c>
      <c r="AC210" s="41">
        <v>0</v>
      </c>
      <c r="AD210" s="41">
        <v>0</v>
      </c>
      <c r="AE210" s="70">
        <f t="shared" si="37"/>
        <v>0</v>
      </c>
      <c r="AF210" s="28">
        <f t="shared" si="38"/>
        <v>7020000</v>
      </c>
      <c r="AG210" s="28">
        <f t="shared" si="39"/>
        <v>6815.5339805825242</v>
      </c>
    </row>
    <row r="211" spans="1:33" ht="57.6" x14ac:dyDescent="0.3">
      <c r="A211" s="41" t="s">
        <v>697</v>
      </c>
      <c r="B211" s="41" t="s">
        <v>693</v>
      </c>
      <c r="C211" s="41" t="s">
        <v>673</v>
      </c>
      <c r="D211" s="41" t="s">
        <v>111</v>
      </c>
      <c r="E211" s="41" t="s">
        <v>558</v>
      </c>
      <c r="F211" s="41" t="s">
        <v>709</v>
      </c>
      <c r="G211" s="83">
        <v>35000</v>
      </c>
      <c r="H211" s="41">
        <v>30</v>
      </c>
      <c r="I211" s="41">
        <v>5</v>
      </c>
      <c r="J211" s="83">
        <f t="shared" si="40"/>
        <v>5250000</v>
      </c>
      <c r="K211" s="41"/>
      <c r="L211" s="41"/>
      <c r="M211" s="70">
        <f t="shared" si="31"/>
        <v>0</v>
      </c>
      <c r="N211" s="41">
        <v>0</v>
      </c>
      <c r="O211" s="41">
        <v>0</v>
      </c>
      <c r="P211" s="70">
        <f t="shared" si="32"/>
        <v>0</v>
      </c>
      <c r="Q211" s="41">
        <v>0</v>
      </c>
      <c r="R211" s="41">
        <v>0</v>
      </c>
      <c r="S211" s="70">
        <f t="shared" si="33"/>
        <v>0</v>
      </c>
      <c r="T211" s="41">
        <v>0</v>
      </c>
      <c r="U211" s="41">
        <v>0</v>
      </c>
      <c r="V211" s="70">
        <f t="shared" si="34"/>
        <v>0</v>
      </c>
      <c r="W211" s="41">
        <v>0</v>
      </c>
      <c r="X211" s="41">
        <v>0</v>
      </c>
      <c r="Y211" s="70">
        <f t="shared" si="35"/>
        <v>0</v>
      </c>
      <c r="Z211" s="41">
        <v>0</v>
      </c>
      <c r="AA211" s="41">
        <v>0</v>
      </c>
      <c r="AB211" s="70">
        <f t="shared" si="36"/>
        <v>0</v>
      </c>
      <c r="AC211" s="41">
        <v>0</v>
      </c>
      <c r="AD211" s="41">
        <v>0</v>
      </c>
      <c r="AE211" s="70">
        <f t="shared" si="37"/>
        <v>0</v>
      </c>
      <c r="AF211" s="28">
        <f t="shared" si="38"/>
        <v>5250000</v>
      </c>
      <c r="AG211" s="28">
        <f t="shared" si="39"/>
        <v>5097.0873786407765</v>
      </c>
    </row>
    <row r="212" spans="1:33" ht="57.6" x14ac:dyDescent="0.3">
      <c r="A212" s="41" t="s">
        <v>697</v>
      </c>
      <c r="B212" s="41" t="s">
        <v>693</v>
      </c>
      <c r="C212" s="41" t="s">
        <v>673</v>
      </c>
      <c r="D212" s="41" t="s">
        <v>111</v>
      </c>
      <c r="E212" s="41" t="s">
        <v>558</v>
      </c>
      <c r="F212" s="41" t="s">
        <v>712</v>
      </c>
      <c r="G212" s="83">
        <f>1999.2/7</f>
        <v>285.60000000000002</v>
      </c>
      <c r="H212" s="41">
        <f>25*2*10</f>
        <v>500</v>
      </c>
      <c r="I212" s="41">
        <v>5</v>
      </c>
      <c r="J212" s="83">
        <f t="shared" si="40"/>
        <v>714000</v>
      </c>
      <c r="K212" s="41"/>
      <c r="L212" s="41"/>
      <c r="M212" s="70">
        <f t="shared" si="31"/>
        <v>0</v>
      </c>
      <c r="N212" s="41">
        <v>0</v>
      </c>
      <c r="O212" s="41">
        <v>0</v>
      </c>
      <c r="P212" s="70">
        <f t="shared" si="32"/>
        <v>0</v>
      </c>
      <c r="Q212" s="41">
        <v>0</v>
      </c>
      <c r="R212" s="41">
        <v>0</v>
      </c>
      <c r="S212" s="70">
        <f t="shared" si="33"/>
        <v>0</v>
      </c>
      <c r="T212" s="41">
        <v>0</v>
      </c>
      <c r="U212" s="41">
        <v>0</v>
      </c>
      <c r="V212" s="70">
        <f t="shared" si="34"/>
        <v>0</v>
      </c>
      <c r="W212" s="41">
        <v>0</v>
      </c>
      <c r="X212" s="41">
        <v>0</v>
      </c>
      <c r="Y212" s="70">
        <f t="shared" si="35"/>
        <v>0</v>
      </c>
      <c r="Z212" s="41">
        <v>0</v>
      </c>
      <c r="AA212" s="41">
        <v>0</v>
      </c>
      <c r="AB212" s="70">
        <f t="shared" si="36"/>
        <v>0</v>
      </c>
      <c r="AC212" s="41">
        <v>0</v>
      </c>
      <c r="AD212" s="41">
        <v>0</v>
      </c>
      <c r="AE212" s="70">
        <f t="shared" si="37"/>
        <v>0</v>
      </c>
      <c r="AF212" s="28">
        <f t="shared" si="38"/>
        <v>714000</v>
      </c>
      <c r="AG212" s="28">
        <f t="shared" si="39"/>
        <v>693.20388349514565</v>
      </c>
    </row>
    <row r="213" spans="1:33" ht="57.6" x14ac:dyDescent="0.3">
      <c r="A213" s="41" t="s">
        <v>697</v>
      </c>
      <c r="B213" s="41" t="s">
        <v>693</v>
      </c>
      <c r="C213" s="41" t="s">
        <v>673</v>
      </c>
      <c r="D213" s="41" t="s">
        <v>111</v>
      </c>
      <c r="E213" s="41" t="s">
        <v>558</v>
      </c>
      <c r="F213" s="41" t="s">
        <v>1350</v>
      </c>
      <c r="G213" s="83">
        <f>1999.2/7</f>
        <v>285.60000000000002</v>
      </c>
      <c r="H213" s="41">
        <f>135*2*10</f>
        <v>2700</v>
      </c>
      <c r="I213" s="41">
        <v>1</v>
      </c>
      <c r="J213" s="83">
        <f t="shared" si="40"/>
        <v>771120.00000000012</v>
      </c>
      <c r="K213" s="41"/>
      <c r="L213" s="41"/>
      <c r="M213" s="70">
        <f t="shared" si="31"/>
        <v>0</v>
      </c>
      <c r="N213" s="41"/>
      <c r="O213" s="41"/>
      <c r="P213" s="70">
        <f t="shared" si="32"/>
        <v>0</v>
      </c>
      <c r="Q213" s="41"/>
      <c r="R213" s="41"/>
      <c r="S213" s="70">
        <f t="shared" si="33"/>
        <v>0</v>
      </c>
      <c r="T213" s="41"/>
      <c r="U213" s="41"/>
      <c r="V213" s="70">
        <f t="shared" si="34"/>
        <v>0</v>
      </c>
      <c r="W213" s="41"/>
      <c r="X213" s="41"/>
      <c r="Y213" s="70">
        <f t="shared" si="35"/>
        <v>0</v>
      </c>
      <c r="Z213" s="41"/>
      <c r="AA213" s="41"/>
      <c r="AB213" s="70">
        <f t="shared" si="36"/>
        <v>0</v>
      </c>
      <c r="AC213" s="41"/>
      <c r="AD213" s="41"/>
      <c r="AE213" s="70">
        <f t="shared" si="37"/>
        <v>0</v>
      </c>
      <c r="AF213" s="28">
        <f t="shared" si="38"/>
        <v>771120.00000000012</v>
      </c>
      <c r="AG213" s="28">
        <f t="shared" si="39"/>
        <v>748.66019417475741</v>
      </c>
    </row>
    <row r="214" spans="1:33" ht="57.6" x14ac:dyDescent="0.3">
      <c r="A214" s="41" t="s">
        <v>697</v>
      </c>
      <c r="B214" s="41" t="s">
        <v>693</v>
      </c>
      <c r="C214" s="41" t="s">
        <v>673</v>
      </c>
      <c r="D214" s="41" t="s">
        <v>111</v>
      </c>
      <c r="E214" s="41" t="s">
        <v>559</v>
      </c>
      <c r="F214" s="41" t="s">
        <v>718</v>
      </c>
      <c r="G214" s="83">
        <v>0</v>
      </c>
      <c r="H214" s="41">
        <v>0</v>
      </c>
      <c r="I214" s="41">
        <v>0</v>
      </c>
      <c r="J214" s="83">
        <f t="shared" si="40"/>
        <v>0</v>
      </c>
      <c r="K214" s="41">
        <v>0</v>
      </c>
      <c r="L214" s="41">
        <v>0</v>
      </c>
      <c r="M214" s="70">
        <f t="shared" si="31"/>
        <v>0</v>
      </c>
      <c r="N214" s="41">
        <v>0</v>
      </c>
      <c r="O214" s="41">
        <v>0</v>
      </c>
      <c r="P214" s="70">
        <f t="shared" si="32"/>
        <v>0</v>
      </c>
      <c r="Q214" s="41">
        <v>0</v>
      </c>
      <c r="R214" s="41">
        <v>0</v>
      </c>
      <c r="S214" s="70">
        <f t="shared" si="33"/>
        <v>0</v>
      </c>
      <c r="T214" s="41">
        <v>0</v>
      </c>
      <c r="U214" s="41">
        <v>0</v>
      </c>
      <c r="V214" s="70">
        <f t="shared" si="34"/>
        <v>0</v>
      </c>
      <c r="W214" s="41">
        <v>0</v>
      </c>
      <c r="X214" s="41">
        <v>0</v>
      </c>
      <c r="Y214" s="70">
        <f t="shared" si="35"/>
        <v>0</v>
      </c>
      <c r="Z214" s="41">
        <v>0</v>
      </c>
      <c r="AA214" s="41">
        <v>0</v>
      </c>
      <c r="AB214" s="70">
        <f t="shared" si="36"/>
        <v>0</v>
      </c>
      <c r="AC214" s="41">
        <v>0</v>
      </c>
      <c r="AD214" s="41">
        <v>0</v>
      </c>
      <c r="AE214" s="70">
        <f t="shared" si="37"/>
        <v>0</v>
      </c>
      <c r="AF214" s="28">
        <f t="shared" si="38"/>
        <v>0</v>
      </c>
      <c r="AG214" s="28">
        <f t="shared" si="39"/>
        <v>0</v>
      </c>
    </row>
    <row r="215" spans="1:33" ht="57.6" x14ac:dyDescent="0.3">
      <c r="A215" s="41" t="s">
        <v>697</v>
      </c>
      <c r="B215" s="41" t="s">
        <v>693</v>
      </c>
      <c r="C215" s="41" t="s">
        <v>673</v>
      </c>
      <c r="D215" s="41" t="s">
        <v>112</v>
      </c>
      <c r="E215" s="41" t="s">
        <v>549</v>
      </c>
      <c r="F215" s="41" t="s">
        <v>718</v>
      </c>
      <c r="G215" s="83">
        <v>0</v>
      </c>
      <c r="H215" s="41">
        <v>0</v>
      </c>
      <c r="I215" s="41">
        <v>0</v>
      </c>
      <c r="J215" s="83">
        <f t="shared" si="40"/>
        <v>0</v>
      </c>
      <c r="K215" s="41">
        <v>0</v>
      </c>
      <c r="L215" s="41">
        <v>0</v>
      </c>
      <c r="M215" s="70">
        <f t="shared" si="31"/>
        <v>0</v>
      </c>
      <c r="N215" s="41">
        <v>0</v>
      </c>
      <c r="O215" s="41">
        <v>0</v>
      </c>
      <c r="P215" s="70">
        <f t="shared" si="32"/>
        <v>0</v>
      </c>
      <c r="Q215" s="41">
        <v>0</v>
      </c>
      <c r="R215" s="41">
        <v>0</v>
      </c>
      <c r="S215" s="70">
        <f t="shared" si="33"/>
        <v>0</v>
      </c>
      <c r="T215" s="41">
        <v>0</v>
      </c>
      <c r="U215" s="41">
        <v>0</v>
      </c>
      <c r="V215" s="70">
        <f t="shared" si="34"/>
        <v>0</v>
      </c>
      <c r="W215" s="41">
        <v>0</v>
      </c>
      <c r="X215" s="41">
        <v>0</v>
      </c>
      <c r="Y215" s="70">
        <f t="shared" si="35"/>
        <v>0</v>
      </c>
      <c r="Z215" s="41">
        <v>0</v>
      </c>
      <c r="AA215" s="41">
        <v>0</v>
      </c>
      <c r="AB215" s="70">
        <f t="shared" si="36"/>
        <v>0</v>
      </c>
      <c r="AC215" s="41">
        <v>0</v>
      </c>
      <c r="AD215" s="41">
        <v>0</v>
      </c>
      <c r="AE215" s="70">
        <f t="shared" si="37"/>
        <v>0</v>
      </c>
      <c r="AF215" s="28">
        <f t="shared" si="38"/>
        <v>0</v>
      </c>
      <c r="AG215" s="28">
        <f t="shared" si="39"/>
        <v>0</v>
      </c>
    </row>
    <row r="216" spans="1:33" ht="57.6" x14ac:dyDescent="0.3">
      <c r="A216" s="41" t="s">
        <v>697</v>
      </c>
      <c r="B216" s="41" t="s">
        <v>693</v>
      </c>
      <c r="C216" s="41" t="s">
        <v>673</v>
      </c>
      <c r="D216" s="41" t="s">
        <v>112</v>
      </c>
      <c r="E216" s="41" t="s">
        <v>550</v>
      </c>
      <c r="F216" s="41" t="s">
        <v>718</v>
      </c>
      <c r="G216" s="83">
        <v>0</v>
      </c>
      <c r="H216" s="41">
        <v>0</v>
      </c>
      <c r="I216" s="41">
        <v>0</v>
      </c>
      <c r="J216" s="83">
        <f t="shared" si="40"/>
        <v>0</v>
      </c>
      <c r="K216" s="41">
        <v>0</v>
      </c>
      <c r="L216" s="41">
        <v>0</v>
      </c>
      <c r="M216" s="70">
        <f t="shared" si="31"/>
        <v>0</v>
      </c>
      <c r="N216" s="41">
        <v>0</v>
      </c>
      <c r="O216" s="41">
        <v>0</v>
      </c>
      <c r="P216" s="70">
        <f t="shared" si="32"/>
        <v>0</v>
      </c>
      <c r="Q216" s="41">
        <v>0</v>
      </c>
      <c r="R216" s="41">
        <v>0</v>
      </c>
      <c r="S216" s="70">
        <f t="shared" si="33"/>
        <v>0</v>
      </c>
      <c r="T216" s="41">
        <v>0</v>
      </c>
      <c r="U216" s="41">
        <v>0</v>
      </c>
      <c r="V216" s="70">
        <f t="shared" si="34"/>
        <v>0</v>
      </c>
      <c r="W216" s="41">
        <v>0</v>
      </c>
      <c r="X216" s="41">
        <v>0</v>
      </c>
      <c r="Y216" s="70">
        <f t="shared" si="35"/>
        <v>0</v>
      </c>
      <c r="Z216" s="41">
        <v>0</v>
      </c>
      <c r="AA216" s="41">
        <v>0</v>
      </c>
      <c r="AB216" s="70">
        <f t="shared" si="36"/>
        <v>0</v>
      </c>
      <c r="AC216" s="41">
        <v>0</v>
      </c>
      <c r="AD216" s="41">
        <v>0</v>
      </c>
      <c r="AE216" s="70">
        <f t="shared" si="37"/>
        <v>0</v>
      </c>
      <c r="AF216" s="28">
        <f t="shared" si="38"/>
        <v>0</v>
      </c>
      <c r="AG216" s="28">
        <f t="shared" si="39"/>
        <v>0</v>
      </c>
    </row>
    <row r="217" spans="1:33" ht="57.6" x14ac:dyDescent="0.3">
      <c r="A217" s="41" t="s">
        <v>697</v>
      </c>
      <c r="B217" s="41" t="s">
        <v>693</v>
      </c>
      <c r="C217" s="41" t="s">
        <v>673</v>
      </c>
      <c r="D217" s="41" t="s">
        <v>112</v>
      </c>
      <c r="E217" s="41" t="s">
        <v>560</v>
      </c>
      <c r="F217" s="41" t="s">
        <v>713</v>
      </c>
      <c r="G217" s="83">
        <v>45000</v>
      </c>
      <c r="H217" s="41">
        <v>15</v>
      </c>
      <c r="I217" s="41">
        <v>2</v>
      </c>
      <c r="J217" s="83">
        <f t="shared" si="40"/>
        <v>1350000</v>
      </c>
      <c r="K217" s="41">
        <v>15</v>
      </c>
      <c r="L217" s="41">
        <v>2</v>
      </c>
      <c r="M217" s="70">
        <f t="shared" si="31"/>
        <v>1485000.0000000002</v>
      </c>
      <c r="N217" s="41">
        <v>15</v>
      </c>
      <c r="O217" s="41">
        <v>2</v>
      </c>
      <c r="P217" s="70">
        <f t="shared" si="32"/>
        <v>1633500.0000000002</v>
      </c>
      <c r="Q217" s="41">
        <v>15</v>
      </c>
      <c r="R217" s="41">
        <v>2</v>
      </c>
      <c r="S217" s="70">
        <f t="shared" si="33"/>
        <v>1796850.0000000007</v>
      </c>
      <c r="T217" s="41">
        <v>15</v>
      </c>
      <c r="U217" s="41">
        <v>2</v>
      </c>
      <c r="V217" s="70">
        <f t="shared" si="34"/>
        <v>1976535.0000000005</v>
      </c>
      <c r="W217" s="41">
        <v>15</v>
      </c>
      <c r="X217" s="41">
        <v>2</v>
      </c>
      <c r="Y217" s="70">
        <f t="shared" si="35"/>
        <v>2174188.5000000009</v>
      </c>
      <c r="Z217" s="41">
        <v>15</v>
      </c>
      <c r="AA217" s="41">
        <v>2</v>
      </c>
      <c r="AB217" s="70">
        <f t="shared" si="36"/>
        <v>2391607.350000001</v>
      </c>
      <c r="AC217" s="41">
        <v>15</v>
      </c>
      <c r="AD217" s="41">
        <v>2</v>
      </c>
      <c r="AE217" s="70">
        <f t="shared" si="37"/>
        <v>2630768.0850000018</v>
      </c>
      <c r="AF217" s="28">
        <f t="shared" si="38"/>
        <v>15438448.935000006</v>
      </c>
      <c r="AG217" s="28">
        <f t="shared" si="39"/>
        <v>14988.785373786413</v>
      </c>
    </row>
    <row r="218" spans="1:33" ht="57.6" x14ac:dyDescent="0.3">
      <c r="A218" s="41" t="s">
        <v>697</v>
      </c>
      <c r="B218" s="41" t="s">
        <v>693</v>
      </c>
      <c r="C218" s="41" t="s">
        <v>673</v>
      </c>
      <c r="D218" s="41" t="s">
        <v>112</v>
      </c>
      <c r="E218" s="41" t="s">
        <v>560</v>
      </c>
      <c r="F218" s="41" t="s">
        <v>712</v>
      </c>
      <c r="G218" s="83">
        <f>1999.2/7</f>
        <v>285.60000000000002</v>
      </c>
      <c r="H218" s="41">
        <f>25*2*7</f>
        <v>350</v>
      </c>
      <c r="I218" s="41">
        <v>1</v>
      </c>
      <c r="J218" s="83">
        <f t="shared" si="40"/>
        <v>99960.000000000015</v>
      </c>
      <c r="K218" s="41">
        <f>25*2*7</f>
        <v>350</v>
      </c>
      <c r="L218" s="41">
        <v>1</v>
      </c>
      <c r="M218" s="70">
        <f t="shared" si="31"/>
        <v>109956.00000000001</v>
      </c>
      <c r="N218" s="41">
        <f>25*2*7</f>
        <v>350</v>
      </c>
      <c r="O218" s="41">
        <v>1</v>
      </c>
      <c r="P218" s="70">
        <f t="shared" si="32"/>
        <v>120951.60000000002</v>
      </c>
      <c r="Q218" s="41">
        <f>25*2*7</f>
        <v>350</v>
      </c>
      <c r="R218" s="41">
        <v>1</v>
      </c>
      <c r="S218" s="70">
        <f t="shared" si="33"/>
        <v>133046.76000000007</v>
      </c>
      <c r="T218" s="41">
        <f>25*2*7</f>
        <v>350</v>
      </c>
      <c r="U218" s="41">
        <v>1</v>
      </c>
      <c r="V218" s="70">
        <f t="shared" si="34"/>
        <v>146351.43600000005</v>
      </c>
      <c r="W218" s="41">
        <f>25*2*7</f>
        <v>350</v>
      </c>
      <c r="X218" s="41">
        <v>1</v>
      </c>
      <c r="Y218" s="70">
        <f t="shared" si="35"/>
        <v>160986.57960000006</v>
      </c>
      <c r="Z218" s="41">
        <f>25*2*7</f>
        <v>350</v>
      </c>
      <c r="AA218" s="41">
        <v>1</v>
      </c>
      <c r="AB218" s="70">
        <f t="shared" si="36"/>
        <v>177085.2375600001</v>
      </c>
      <c r="AC218" s="41">
        <f>25*2*7</f>
        <v>350</v>
      </c>
      <c r="AD218" s="41">
        <v>1</v>
      </c>
      <c r="AE218" s="70">
        <f t="shared" si="37"/>
        <v>194793.76131600016</v>
      </c>
      <c r="AF218" s="28">
        <f t="shared" si="38"/>
        <v>1143131.3744760004</v>
      </c>
      <c r="AG218" s="28">
        <f t="shared" si="39"/>
        <v>1109.8362858990295</v>
      </c>
    </row>
    <row r="219" spans="1:33" ht="57.6" x14ac:dyDescent="0.3">
      <c r="A219" s="41" t="s">
        <v>697</v>
      </c>
      <c r="B219" s="41" t="s">
        <v>693</v>
      </c>
      <c r="C219" s="41" t="s">
        <v>673</v>
      </c>
      <c r="D219" s="41" t="s">
        <v>112</v>
      </c>
      <c r="E219" s="41" t="s">
        <v>560</v>
      </c>
      <c r="F219" s="41" t="s">
        <v>1350</v>
      </c>
      <c r="G219" s="83">
        <f>1999.2/7</f>
        <v>285.60000000000002</v>
      </c>
      <c r="H219" s="41">
        <f>135*2*7</f>
        <v>1890</v>
      </c>
      <c r="I219" s="41">
        <v>1</v>
      </c>
      <c r="J219" s="83">
        <f t="shared" si="40"/>
        <v>539784</v>
      </c>
      <c r="K219" s="41">
        <f>135*2*7</f>
        <v>1890</v>
      </c>
      <c r="L219" s="41">
        <v>1</v>
      </c>
      <c r="M219" s="70">
        <f t="shared" si="31"/>
        <v>593762.4</v>
      </c>
      <c r="N219" s="41">
        <f>135*2*7</f>
        <v>1890</v>
      </c>
      <c r="O219" s="41">
        <v>1</v>
      </c>
      <c r="P219" s="70">
        <f t="shared" si="32"/>
        <v>653138.64000000013</v>
      </c>
      <c r="Q219" s="41">
        <f>135*2*7</f>
        <v>1890</v>
      </c>
      <c r="R219" s="41">
        <v>1</v>
      </c>
      <c r="S219" s="70">
        <f t="shared" si="33"/>
        <v>718452.50400000031</v>
      </c>
      <c r="T219" s="41">
        <f>135*2*7</f>
        <v>1890</v>
      </c>
      <c r="U219" s="41">
        <v>1</v>
      </c>
      <c r="V219" s="70">
        <f t="shared" si="34"/>
        <v>790297.75440000033</v>
      </c>
      <c r="W219" s="41">
        <f>135*2*7</f>
        <v>1890</v>
      </c>
      <c r="X219" s="41">
        <v>1</v>
      </c>
      <c r="Y219" s="70">
        <f t="shared" si="35"/>
        <v>869327.52984000032</v>
      </c>
      <c r="Z219" s="41">
        <f>135*2*7</f>
        <v>1890</v>
      </c>
      <c r="AA219" s="41">
        <v>1</v>
      </c>
      <c r="AB219" s="70">
        <f t="shared" si="36"/>
        <v>956260.28282400046</v>
      </c>
      <c r="AC219" s="41">
        <f>135*2*7</f>
        <v>1890</v>
      </c>
      <c r="AD219" s="41">
        <v>1</v>
      </c>
      <c r="AE219" s="70">
        <f t="shared" si="37"/>
        <v>1051886.3111064008</v>
      </c>
      <c r="AF219" s="28">
        <f t="shared" si="38"/>
        <v>6172909.4221704025</v>
      </c>
      <c r="AG219" s="28">
        <f t="shared" si="39"/>
        <v>5993.1159438547593</v>
      </c>
    </row>
    <row r="220" spans="1:33" ht="57.6" x14ac:dyDescent="0.3">
      <c r="A220" s="41" t="s">
        <v>697</v>
      </c>
      <c r="B220" s="41" t="s">
        <v>693</v>
      </c>
      <c r="C220" s="41" t="s">
        <v>673</v>
      </c>
      <c r="D220" s="41" t="s">
        <v>112</v>
      </c>
      <c r="E220" s="41" t="s">
        <v>561</v>
      </c>
      <c r="F220" s="41" t="s">
        <v>718</v>
      </c>
      <c r="G220" s="83">
        <v>0</v>
      </c>
      <c r="H220" s="41">
        <v>0</v>
      </c>
      <c r="I220" s="41">
        <v>0</v>
      </c>
      <c r="J220" s="83">
        <f t="shared" si="40"/>
        <v>0</v>
      </c>
      <c r="K220" s="41">
        <v>0</v>
      </c>
      <c r="L220" s="41">
        <v>0</v>
      </c>
      <c r="M220" s="70">
        <f t="shared" si="31"/>
        <v>0</v>
      </c>
      <c r="N220" s="41">
        <v>0</v>
      </c>
      <c r="O220" s="41">
        <v>0</v>
      </c>
      <c r="P220" s="70">
        <f t="shared" si="32"/>
        <v>0</v>
      </c>
      <c r="Q220" s="41">
        <v>0</v>
      </c>
      <c r="R220" s="41">
        <v>0</v>
      </c>
      <c r="S220" s="70">
        <f t="shared" si="33"/>
        <v>0</v>
      </c>
      <c r="T220" s="41">
        <v>0</v>
      </c>
      <c r="U220" s="41">
        <v>0</v>
      </c>
      <c r="V220" s="70">
        <f t="shared" si="34"/>
        <v>0</v>
      </c>
      <c r="W220" s="41">
        <v>0</v>
      </c>
      <c r="X220" s="41">
        <v>0</v>
      </c>
      <c r="Y220" s="70">
        <f t="shared" si="35"/>
        <v>0</v>
      </c>
      <c r="Z220" s="41">
        <v>0</v>
      </c>
      <c r="AA220" s="41">
        <v>0</v>
      </c>
      <c r="AB220" s="70">
        <f t="shared" si="36"/>
        <v>0</v>
      </c>
      <c r="AC220" s="41">
        <v>0</v>
      </c>
      <c r="AD220" s="41">
        <v>0</v>
      </c>
      <c r="AE220" s="70">
        <f t="shared" si="37"/>
        <v>0</v>
      </c>
      <c r="AF220" s="28">
        <f t="shared" si="38"/>
        <v>0</v>
      </c>
      <c r="AG220" s="28">
        <f t="shared" si="39"/>
        <v>0</v>
      </c>
    </row>
    <row r="221" spans="1:33" ht="57.6" x14ac:dyDescent="0.3">
      <c r="A221" s="41" t="s">
        <v>697</v>
      </c>
      <c r="B221" s="41" t="s">
        <v>693</v>
      </c>
      <c r="C221" s="41" t="s">
        <v>673</v>
      </c>
      <c r="D221" s="41" t="s">
        <v>112</v>
      </c>
      <c r="E221" s="41" t="s">
        <v>157</v>
      </c>
      <c r="F221" s="41" t="s">
        <v>713</v>
      </c>
      <c r="G221" s="83">
        <v>45000</v>
      </c>
      <c r="H221" s="41">
        <v>15</v>
      </c>
      <c r="I221" s="41">
        <v>6</v>
      </c>
      <c r="J221" s="83">
        <f t="shared" si="40"/>
        <v>4050000</v>
      </c>
      <c r="K221" s="41">
        <v>15</v>
      </c>
      <c r="L221" s="41">
        <v>6</v>
      </c>
      <c r="M221" s="70">
        <f t="shared" si="31"/>
        <v>4455000.0000000009</v>
      </c>
      <c r="N221" s="41">
        <v>15</v>
      </c>
      <c r="O221" s="41">
        <v>6</v>
      </c>
      <c r="P221" s="70">
        <f t="shared" si="32"/>
        <v>4900500.0000000009</v>
      </c>
      <c r="Q221" s="41">
        <v>15</v>
      </c>
      <c r="R221" s="41">
        <v>6</v>
      </c>
      <c r="S221" s="70">
        <f t="shared" si="33"/>
        <v>5390550.0000000019</v>
      </c>
      <c r="T221" s="41">
        <v>15</v>
      </c>
      <c r="U221" s="41">
        <v>6</v>
      </c>
      <c r="V221" s="70">
        <f t="shared" si="34"/>
        <v>5929605.0000000019</v>
      </c>
      <c r="W221" s="41">
        <v>15</v>
      </c>
      <c r="X221" s="41">
        <v>6</v>
      </c>
      <c r="Y221" s="70">
        <f t="shared" si="35"/>
        <v>6522565.5000000028</v>
      </c>
      <c r="Z221" s="41">
        <v>15</v>
      </c>
      <c r="AA221" s="41">
        <v>6</v>
      </c>
      <c r="AB221" s="70">
        <f t="shared" si="36"/>
        <v>7174822.0500000026</v>
      </c>
      <c r="AC221" s="41">
        <v>15</v>
      </c>
      <c r="AD221" s="41">
        <v>6</v>
      </c>
      <c r="AE221" s="70">
        <f t="shared" si="37"/>
        <v>7892304.2550000055</v>
      </c>
      <c r="AF221" s="28">
        <f t="shared" si="38"/>
        <v>46315346.805000007</v>
      </c>
      <c r="AG221" s="28">
        <f t="shared" si="39"/>
        <v>44966.356121359233</v>
      </c>
    </row>
    <row r="222" spans="1:33" ht="57.6" x14ac:dyDescent="0.3">
      <c r="A222" s="41" t="s">
        <v>697</v>
      </c>
      <c r="B222" s="41" t="s">
        <v>693</v>
      </c>
      <c r="C222" s="41" t="s">
        <v>673</v>
      </c>
      <c r="D222" s="41" t="s">
        <v>112</v>
      </c>
      <c r="E222" s="41" t="s">
        <v>157</v>
      </c>
      <c r="F222" s="41" t="s">
        <v>715</v>
      </c>
      <c r="G222" s="83">
        <v>302000</v>
      </c>
      <c r="H222" s="41">
        <v>15</v>
      </c>
      <c r="I222" s="41">
        <v>1</v>
      </c>
      <c r="J222" s="83">
        <f t="shared" si="40"/>
        <v>4530000</v>
      </c>
      <c r="K222" s="41">
        <v>15</v>
      </c>
      <c r="L222" s="41">
        <v>1</v>
      </c>
      <c r="M222" s="70">
        <f t="shared" si="31"/>
        <v>4983000</v>
      </c>
      <c r="N222" s="41">
        <v>15</v>
      </c>
      <c r="O222" s="41">
        <v>1</v>
      </c>
      <c r="P222" s="70">
        <f t="shared" si="32"/>
        <v>5481300.0000000009</v>
      </c>
      <c r="Q222" s="41">
        <v>15</v>
      </c>
      <c r="R222" s="41">
        <v>1</v>
      </c>
      <c r="S222" s="70">
        <f t="shared" si="33"/>
        <v>6029430.0000000019</v>
      </c>
      <c r="T222" s="41">
        <v>15</v>
      </c>
      <c r="U222" s="41">
        <v>1</v>
      </c>
      <c r="V222" s="70">
        <f t="shared" si="34"/>
        <v>6632373.0000000019</v>
      </c>
      <c r="W222" s="41">
        <v>15</v>
      </c>
      <c r="X222" s="41">
        <v>1</v>
      </c>
      <c r="Y222" s="70">
        <f t="shared" si="35"/>
        <v>7295610.3000000026</v>
      </c>
      <c r="Z222" s="41">
        <v>15</v>
      </c>
      <c r="AA222" s="41">
        <v>1</v>
      </c>
      <c r="AB222" s="70">
        <f t="shared" si="36"/>
        <v>8025171.3300000038</v>
      </c>
      <c r="AC222" s="41">
        <v>15</v>
      </c>
      <c r="AD222" s="41">
        <v>1</v>
      </c>
      <c r="AE222" s="70">
        <f t="shared" si="37"/>
        <v>8827688.4630000051</v>
      </c>
      <c r="AF222" s="28">
        <f t="shared" si="38"/>
        <v>51804573.093000017</v>
      </c>
      <c r="AG222" s="28">
        <f t="shared" si="39"/>
        <v>50295.702032038855</v>
      </c>
    </row>
    <row r="223" spans="1:33" ht="57.6" x14ac:dyDescent="0.3">
      <c r="A223" s="41" t="s">
        <v>697</v>
      </c>
      <c r="B223" s="41" t="s">
        <v>693</v>
      </c>
      <c r="C223" s="41" t="s">
        <v>673</v>
      </c>
      <c r="D223" s="41" t="s">
        <v>112</v>
      </c>
      <c r="E223" s="41" t="s">
        <v>157</v>
      </c>
      <c r="F223" s="41" t="s">
        <v>714</v>
      </c>
      <c r="G223" s="83">
        <v>10000</v>
      </c>
      <c r="H223" s="41">
        <v>15</v>
      </c>
      <c r="I223" s="41">
        <v>1</v>
      </c>
      <c r="J223" s="83">
        <f t="shared" si="40"/>
        <v>150000</v>
      </c>
      <c r="K223" s="41">
        <v>15</v>
      </c>
      <c r="L223" s="41">
        <v>1</v>
      </c>
      <c r="M223" s="70">
        <f t="shared" si="31"/>
        <v>165000</v>
      </c>
      <c r="N223" s="41">
        <v>15</v>
      </c>
      <c r="O223" s="41">
        <v>1</v>
      </c>
      <c r="P223" s="70">
        <f t="shared" si="32"/>
        <v>181500.00000000003</v>
      </c>
      <c r="Q223" s="41">
        <v>15</v>
      </c>
      <c r="R223" s="41">
        <v>1</v>
      </c>
      <c r="S223" s="70">
        <f t="shared" si="33"/>
        <v>199650.00000000006</v>
      </c>
      <c r="T223" s="41">
        <v>15</v>
      </c>
      <c r="U223" s="41">
        <v>1</v>
      </c>
      <c r="V223" s="70">
        <f t="shared" si="34"/>
        <v>219615.00000000006</v>
      </c>
      <c r="W223" s="41">
        <v>15</v>
      </c>
      <c r="X223" s="41">
        <v>1</v>
      </c>
      <c r="Y223" s="70">
        <f t="shared" si="35"/>
        <v>241576.50000000009</v>
      </c>
      <c r="Z223" s="41">
        <v>15</v>
      </c>
      <c r="AA223" s="41">
        <v>1</v>
      </c>
      <c r="AB223" s="70">
        <f t="shared" si="36"/>
        <v>265734.15000000014</v>
      </c>
      <c r="AC223" s="41">
        <v>15</v>
      </c>
      <c r="AD223" s="41">
        <v>1</v>
      </c>
      <c r="AE223" s="70">
        <f t="shared" si="37"/>
        <v>292307.56500000018</v>
      </c>
      <c r="AF223" s="28">
        <f t="shared" si="38"/>
        <v>1715383.2150000003</v>
      </c>
      <c r="AG223" s="28">
        <f t="shared" si="39"/>
        <v>1665.4205970873788</v>
      </c>
    </row>
    <row r="224" spans="1:33" ht="57.6" x14ac:dyDescent="0.3">
      <c r="A224" s="41" t="s">
        <v>697</v>
      </c>
      <c r="B224" s="41" t="s">
        <v>693</v>
      </c>
      <c r="C224" s="41" t="s">
        <v>673</v>
      </c>
      <c r="D224" s="41" t="s">
        <v>112</v>
      </c>
      <c r="E224" s="41" t="s">
        <v>157</v>
      </c>
      <c r="F224" s="41" t="s">
        <v>712</v>
      </c>
      <c r="G224" s="83">
        <f>1999.2/7</f>
        <v>285.60000000000002</v>
      </c>
      <c r="H224" s="41">
        <f>25*2*7</f>
        <v>350</v>
      </c>
      <c r="I224" s="41">
        <v>5</v>
      </c>
      <c r="J224" s="83">
        <f t="shared" si="40"/>
        <v>499800.00000000006</v>
      </c>
      <c r="K224" s="41">
        <f>25*2*7</f>
        <v>350</v>
      </c>
      <c r="L224" s="41">
        <v>5</v>
      </c>
      <c r="M224" s="70">
        <f t="shared" si="31"/>
        <v>549780.00000000012</v>
      </c>
      <c r="N224" s="41">
        <f>25*2*7</f>
        <v>350</v>
      </c>
      <c r="O224" s="41">
        <v>5</v>
      </c>
      <c r="P224" s="70">
        <f t="shared" si="32"/>
        <v>604758.00000000012</v>
      </c>
      <c r="Q224" s="41">
        <f>25*2*7</f>
        <v>350</v>
      </c>
      <c r="R224" s="41">
        <v>5</v>
      </c>
      <c r="S224" s="70">
        <f t="shared" si="33"/>
        <v>665233.80000000028</v>
      </c>
      <c r="T224" s="41">
        <f>25*2*7</f>
        <v>350</v>
      </c>
      <c r="U224" s="41">
        <v>5</v>
      </c>
      <c r="V224" s="70">
        <f t="shared" si="34"/>
        <v>731757.18000000017</v>
      </c>
      <c r="W224" s="41">
        <f>25*2*7</f>
        <v>350</v>
      </c>
      <c r="X224" s="41">
        <v>5</v>
      </c>
      <c r="Y224" s="70">
        <f t="shared" si="35"/>
        <v>804932.89800000028</v>
      </c>
      <c r="Z224" s="41">
        <f>25*2*7</f>
        <v>350</v>
      </c>
      <c r="AA224" s="41">
        <v>5</v>
      </c>
      <c r="AB224" s="70">
        <f t="shared" si="36"/>
        <v>885426.18780000042</v>
      </c>
      <c r="AC224" s="41">
        <f>25*2*7</f>
        <v>350</v>
      </c>
      <c r="AD224" s="41">
        <v>5</v>
      </c>
      <c r="AE224" s="70">
        <f t="shared" si="37"/>
        <v>973968.80658000079</v>
      </c>
      <c r="AF224" s="28">
        <f t="shared" si="38"/>
        <v>5715656.8723800024</v>
      </c>
      <c r="AG224" s="28">
        <f t="shared" si="39"/>
        <v>5549.1814294951482</v>
      </c>
    </row>
    <row r="225" spans="1:33" ht="57.6" x14ac:dyDescent="0.3">
      <c r="A225" s="41" t="s">
        <v>697</v>
      </c>
      <c r="B225" s="41" t="s">
        <v>693</v>
      </c>
      <c r="C225" s="41" t="s">
        <v>673</v>
      </c>
      <c r="D225" s="41" t="s">
        <v>112</v>
      </c>
      <c r="E225" s="41" t="s">
        <v>157</v>
      </c>
      <c r="F225" s="41" t="s">
        <v>1350</v>
      </c>
      <c r="G225" s="83">
        <f>1999.2/7</f>
        <v>285.60000000000002</v>
      </c>
      <c r="H225" s="41">
        <f>135*2*7</f>
        <v>1890</v>
      </c>
      <c r="I225" s="41">
        <v>1</v>
      </c>
      <c r="J225" s="83">
        <f t="shared" si="40"/>
        <v>539784</v>
      </c>
      <c r="K225" s="41">
        <f>135*2*7</f>
        <v>1890</v>
      </c>
      <c r="L225" s="41">
        <v>1</v>
      </c>
      <c r="M225" s="70">
        <f t="shared" si="31"/>
        <v>593762.4</v>
      </c>
      <c r="N225" s="41">
        <f>135*2*7</f>
        <v>1890</v>
      </c>
      <c r="O225" s="41">
        <v>1</v>
      </c>
      <c r="P225" s="70">
        <f t="shared" si="32"/>
        <v>653138.64000000013</v>
      </c>
      <c r="Q225" s="41">
        <f>135*2*7</f>
        <v>1890</v>
      </c>
      <c r="R225" s="41">
        <v>1</v>
      </c>
      <c r="S225" s="70">
        <f t="shared" si="33"/>
        <v>718452.50400000031</v>
      </c>
      <c r="T225" s="41">
        <f>135*2*7</f>
        <v>1890</v>
      </c>
      <c r="U225" s="41">
        <v>1</v>
      </c>
      <c r="V225" s="70">
        <f t="shared" si="34"/>
        <v>790297.75440000033</v>
      </c>
      <c r="W225" s="41">
        <f>135*2*7</f>
        <v>1890</v>
      </c>
      <c r="X225" s="41">
        <v>1</v>
      </c>
      <c r="Y225" s="70">
        <f t="shared" si="35"/>
        <v>869327.52984000032</v>
      </c>
      <c r="Z225" s="41">
        <f>135*2*7</f>
        <v>1890</v>
      </c>
      <c r="AA225" s="41">
        <v>1</v>
      </c>
      <c r="AB225" s="70">
        <f t="shared" si="36"/>
        <v>956260.28282400046</v>
      </c>
      <c r="AC225" s="41">
        <f>135*2*7</f>
        <v>1890</v>
      </c>
      <c r="AD225" s="41">
        <v>1</v>
      </c>
      <c r="AE225" s="70">
        <f t="shared" si="37"/>
        <v>1051886.3111064008</v>
      </c>
      <c r="AF225" s="28">
        <f t="shared" si="38"/>
        <v>6172909.4221704025</v>
      </c>
      <c r="AG225" s="28">
        <f t="shared" si="39"/>
        <v>5993.1159438547593</v>
      </c>
    </row>
    <row r="226" spans="1:33" ht="57.6" x14ac:dyDescent="0.3">
      <c r="A226" s="41" t="s">
        <v>697</v>
      </c>
      <c r="B226" s="41" t="s">
        <v>693</v>
      </c>
      <c r="C226" s="41" t="s">
        <v>673</v>
      </c>
      <c r="D226" s="41" t="s">
        <v>112</v>
      </c>
      <c r="E226" s="41" t="s">
        <v>152</v>
      </c>
      <c r="F226" s="41" t="s">
        <v>716</v>
      </c>
      <c r="G226" s="83">
        <v>39000</v>
      </c>
      <c r="H226" s="41">
        <v>25</v>
      </c>
      <c r="I226" s="41">
        <v>6</v>
      </c>
      <c r="J226" s="83">
        <f t="shared" si="40"/>
        <v>5850000</v>
      </c>
      <c r="K226" s="41">
        <v>25</v>
      </c>
      <c r="L226" s="41">
        <v>6</v>
      </c>
      <c r="M226" s="70">
        <f t="shared" si="31"/>
        <v>6435000</v>
      </c>
      <c r="N226" s="41">
        <v>25</v>
      </c>
      <c r="O226" s="41">
        <v>6</v>
      </c>
      <c r="P226" s="70">
        <f t="shared" si="32"/>
        <v>7078500.0000000019</v>
      </c>
      <c r="Q226" s="41">
        <v>25</v>
      </c>
      <c r="R226" s="41">
        <v>6</v>
      </c>
      <c r="S226" s="70">
        <f t="shared" si="33"/>
        <v>7786350.0000000028</v>
      </c>
      <c r="T226" s="41">
        <v>25</v>
      </c>
      <c r="U226" s="41">
        <v>6</v>
      </c>
      <c r="V226" s="70">
        <f t="shared" si="34"/>
        <v>8564985.0000000037</v>
      </c>
      <c r="W226" s="41">
        <v>25</v>
      </c>
      <c r="X226" s="41">
        <v>6</v>
      </c>
      <c r="Y226" s="70">
        <f t="shared" si="35"/>
        <v>9421483.5000000037</v>
      </c>
      <c r="Z226" s="41">
        <v>25</v>
      </c>
      <c r="AA226" s="41">
        <v>6</v>
      </c>
      <c r="AB226" s="70">
        <f t="shared" si="36"/>
        <v>10363631.850000005</v>
      </c>
      <c r="AC226" s="41">
        <v>25</v>
      </c>
      <c r="AD226" s="41">
        <v>6</v>
      </c>
      <c r="AE226" s="70">
        <f t="shared" si="37"/>
        <v>11399995.035000006</v>
      </c>
      <c r="AF226" s="28">
        <f t="shared" si="38"/>
        <v>66899945.385000028</v>
      </c>
      <c r="AG226" s="28">
        <f t="shared" si="39"/>
        <v>64951.403286407796</v>
      </c>
    </row>
    <row r="227" spans="1:33" ht="57.6" x14ac:dyDescent="0.3">
      <c r="A227" s="41" t="s">
        <v>697</v>
      </c>
      <c r="B227" s="41" t="s">
        <v>693</v>
      </c>
      <c r="C227" s="41" t="s">
        <v>673</v>
      </c>
      <c r="D227" s="41" t="s">
        <v>112</v>
      </c>
      <c r="E227" s="41" t="s">
        <v>152</v>
      </c>
      <c r="F227" s="41" t="s">
        <v>709</v>
      </c>
      <c r="G227" s="83">
        <v>35000</v>
      </c>
      <c r="H227" s="41">
        <v>25</v>
      </c>
      <c r="I227" s="41">
        <v>5</v>
      </c>
      <c r="J227" s="83">
        <f t="shared" si="40"/>
        <v>4375000</v>
      </c>
      <c r="K227" s="41">
        <v>25</v>
      </c>
      <c r="L227" s="41">
        <v>5</v>
      </c>
      <c r="M227" s="70">
        <f t="shared" si="31"/>
        <v>4812500</v>
      </c>
      <c r="N227" s="41">
        <v>25</v>
      </c>
      <c r="O227" s="41">
        <v>5</v>
      </c>
      <c r="P227" s="70">
        <f t="shared" si="32"/>
        <v>5293750.0000000009</v>
      </c>
      <c r="Q227" s="41">
        <v>25</v>
      </c>
      <c r="R227" s="41">
        <v>5</v>
      </c>
      <c r="S227" s="70">
        <f t="shared" si="33"/>
        <v>5823125.0000000019</v>
      </c>
      <c r="T227" s="41">
        <v>25</v>
      </c>
      <c r="U227" s="41">
        <v>5</v>
      </c>
      <c r="V227" s="70">
        <f t="shared" si="34"/>
        <v>6405437.5000000019</v>
      </c>
      <c r="W227" s="41">
        <v>25</v>
      </c>
      <c r="X227" s="41">
        <v>5</v>
      </c>
      <c r="Y227" s="70">
        <f t="shared" si="35"/>
        <v>7045981.2500000019</v>
      </c>
      <c r="Z227" s="41">
        <v>25</v>
      </c>
      <c r="AA227" s="41">
        <v>5</v>
      </c>
      <c r="AB227" s="70">
        <f t="shared" si="36"/>
        <v>7750579.3750000037</v>
      </c>
      <c r="AC227" s="41">
        <v>25</v>
      </c>
      <c r="AD227" s="41">
        <v>5</v>
      </c>
      <c r="AE227" s="70">
        <f t="shared" si="37"/>
        <v>8525637.3125000037</v>
      </c>
      <c r="AF227" s="28">
        <f t="shared" si="38"/>
        <v>50032010.4375</v>
      </c>
      <c r="AG227" s="28">
        <f t="shared" si="39"/>
        <v>48574.767415048547</v>
      </c>
    </row>
    <row r="228" spans="1:33" ht="57.6" x14ac:dyDescent="0.3">
      <c r="A228" s="41" t="s">
        <v>697</v>
      </c>
      <c r="B228" s="41" t="s">
        <v>693</v>
      </c>
      <c r="C228" s="41" t="s">
        <v>673</v>
      </c>
      <c r="D228" s="41" t="s">
        <v>112</v>
      </c>
      <c r="E228" s="41" t="s">
        <v>152</v>
      </c>
      <c r="F228" s="41" t="s">
        <v>712</v>
      </c>
      <c r="G228" s="83">
        <f>1999.2/7</f>
        <v>285.60000000000002</v>
      </c>
      <c r="H228" s="41">
        <f>25*2*9</f>
        <v>450</v>
      </c>
      <c r="I228" s="41">
        <v>5</v>
      </c>
      <c r="J228" s="83">
        <f t="shared" si="40"/>
        <v>642600.00000000012</v>
      </c>
      <c r="K228" s="41">
        <f>25*2*9</f>
        <v>450</v>
      </c>
      <c r="L228" s="41">
        <v>5</v>
      </c>
      <c r="M228" s="70">
        <f t="shared" si="31"/>
        <v>706860</v>
      </c>
      <c r="N228" s="41">
        <f>25*2*9</f>
        <v>450</v>
      </c>
      <c r="O228" s="41">
        <v>5</v>
      </c>
      <c r="P228" s="70">
        <f t="shared" si="32"/>
        <v>777546.00000000023</v>
      </c>
      <c r="Q228" s="41">
        <f>25*2*9</f>
        <v>450</v>
      </c>
      <c r="R228" s="41">
        <v>5</v>
      </c>
      <c r="S228" s="70">
        <f t="shared" si="33"/>
        <v>855300.60000000044</v>
      </c>
      <c r="T228" s="41">
        <f>25*2*9</f>
        <v>450</v>
      </c>
      <c r="U228" s="41">
        <v>5</v>
      </c>
      <c r="V228" s="70">
        <f t="shared" si="34"/>
        <v>940830.66000000038</v>
      </c>
      <c r="W228" s="41">
        <f>25*2*9</f>
        <v>450</v>
      </c>
      <c r="X228" s="41">
        <v>5</v>
      </c>
      <c r="Y228" s="70">
        <f t="shared" si="35"/>
        <v>1034913.7260000005</v>
      </c>
      <c r="Z228" s="41">
        <f>25*2*9</f>
        <v>450</v>
      </c>
      <c r="AA228" s="41">
        <v>5</v>
      </c>
      <c r="AB228" s="70">
        <f t="shared" si="36"/>
        <v>1138405.0986000006</v>
      </c>
      <c r="AC228" s="41">
        <f>25*2*9</f>
        <v>450</v>
      </c>
      <c r="AD228" s="41">
        <v>5</v>
      </c>
      <c r="AE228" s="70">
        <f t="shared" si="37"/>
        <v>1252245.6084600009</v>
      </c>
      <c r="AF228" s="28">
        <f t="shared" si="38"/>
        <v>7348701.6930600023</v>
      </c>
      <c r="AG228" s="28">
        <f t="shared" si="39"/>
        <v>7134.6618379223319</v>
      </c>
    </row>
    <row r="229" spans="1:33" ht="57.6" x14ac:dyDescent="0.3">
      <c r="A229" s="41" t="s">
        <v>697</v>
      </c>
      <c r="B229" s="41" t="s">
        <v>693</v>
      </c>
      <c r="C229" s="41" t="s">
        <v>673</v>
      </c>
      <c r="D229" s="41" t="s">
        <v>112</v>
      </c>
      <c r="E229" s="41" t="s">
        <v>152</v>
      </c>
      <c r="F229" s="41" t="s">
        <v>1350</v>
      </c>
      <c r="G229" s="83">
        <f>1999.2/7</f>
        <v>285.60000000000002</v>
      </c>
      <c r="H229" s="41">
        <f>135*2*9</f>
        <v>2430</v>
      </c>
      <c r="I229" s="41">
        <v>1</v>
      </c>
      <c r="J229" s="83">
        <f>G229*H229*I229</f>
        <v>694008</v>
      </c>
      <c r="K229" s="41">
        <f>135*2*9</f>
        <v>2430</v>
      </c>
      <c r="L229" s="41">
        <v>1</v>
      </c>
      <c r="M229" s="70">
        <f t="shared" si="31"/>
        <v>763408.8</v>
      </c>
      <c r="N229" s="41">
        <f>135*2*9</f>
        <v>2430</v>
      </c>
      <c r="O229" s="41">
        <v>1</v>
      </c>
      <c r="P229" s="70">
        <f t="shared" si="32"/>
        <v>839749.68000000017</v>
      </c>
      <c r="Q229" s="41">
        <f>135*2*9</f>
        <v>2430</v>
      </c>
      <c r="R229" s="41">
        <v>1</v>
      </c>
      <c r="S229" s="70">
        <f t="shared" si="33"/>
        <v>923724.64800000039</v>
      </c>
      <c r="T229" s="41">
        <f>135*2*9</f>
        <v>2430</v>
      </c>
      <c r="U229" s="41">
        <v>1</v>
      </c>
      <c r="V229" s="70">
        <f t="shared" si="34"/>
        <v>1016097.1128000004</v>
      </c>
      <c r="W229" s="41">
        <f>135*2*9</f>
        <v>2430</v>
      </c>
      <c r="X229" s="41">
        <v>1</v>
      </c>
      <c r="Y229" s="70">
        <f t="shared" si="35"/>
        <v>1117706.8240800004</v>
      </c>
      <c r="Z229" s="41">
        <f>135*2*9</f>
        <v>2430</v>
      </c>
      <c r="AA229" s="41">
        <v>1</v>
      </c>
      <c r="AB229" s="70">
        <f t="shared" si="36"/>
        <v>1229477.5064880007</v>
      </c>
      <c r="AC229" s="41">
        <f>135*2*9</f>
        <v>2430</v>
      </c>
      <c r="AD229" s="41">
        <v>1</v>
      </c>
      <c r="AE229" s="70">
        <f t="shared" si="37"/>
        <v>1352425.257136801</v>
      </c>
      <c r="AF229" s="28">
        <f t="shared" si="38"/>
        <v>7936597.8285048045</v>
      </c>
      <c r="AG229" s="28">
        <f t="shared" si="39"/>
        <v>7705.4347849561209</v>
      </c>
    </row>
    <row r="230" spans="1:33" ht="57.6" x14ac:dyDescent="0.3">
      <c r="A230" s="41" t="s">
        <v>697</v>
      </c>
      <c r="B230" s="41" t="s">
        <v>693</v>
      </c>
      <c r="C230" s="41" t="s">
        <v>673</v>
      </c>
      <c r="D230" s="41" t="s">
        <v>112</v>
      </c>
      <c r="E230" s="41" t="s">
        <v>180</v>
      </c>
      <c r="F230" s="41" t="s">
        <v>709</v>
      </c>
      <c r="G230" s="83">
        <v>35000</v>
      </c>
      <c r="H230" s="41">
        <v>25</v>
      </c>
      <c r="I230" s="41">
        <v>5</v>
      </c>
      <c r="J230" s="83">
        <f t="shared" si="40"/>
        <v>4375000</v>
      </c>
      <c r="K230" s="41">
        <v>25</v>
      </c>
      <c r="L230" s="41">
        <v>5</v>
      </c>
      <c r="M230" s="70">
        <f t="shared" si="31"/>
        <v>4812500</v>
      </c>
      <c r="N230" s="41">
        <v>25</v>
      </c>
      <c r="O230" s="41">
        <v>5</v>
      </c>
      <c r="P230" s="70">
        <f t="shared" si="32"/>
        <v>5293750.0000000009</v>
      </c>
      <c r="Q230" s="41">
        <v>25</v>
      </c>
      <c r="R230" s="41">
        <v>5</v>
      </c>
      <c r="S230" s="70">
        <f t="shared" si="33"/>
        <v>5823125.0000000019</v>
      </c>
      <c r="T230" s="41">
        <v>25</v>
      </c>
      <c r="U230" s="41">
        <v>5</v>
      </c>
      <c r="V230" s="70">
        <f t="shared" si="34"/>
        <v>6405437.5000000019</v>
      </c>
      <c r="W230" s="41">
        <v>25</v>
      </c>
      <c r="X230" s="41">
        <v>5</v>
      </c>
      <c r="Y230" s="70">
        <f t="shared" si="35"/>
        <v>7045981.2500000019</v>
      </c>
      <c r="Z230" s="41">
        <v>25</v>
      </c>
      <c r="AA230" s="41">
        <v>5</v>
      </c>
      <c r="AB230" s="70">
        <f t="shared" si="36"/>
        <v>7750579.3750000037</v>
      </c>
      <c r="AC230" s="41">
        <v>25</v>
      </c>
      <c r="AD230" s="41">
        <v>5</v>
      </c>
      <c r="AE230" s="70">
        <f t="shared" si="37"/>
        <v>8525637.3125000037</v>
      </c>
      <c r="AF230" s="28">
        <f t="shared" si="38"/>
        <v>50032010.4375</v>
      </c>
      <c r="AG230" s="28">
        <f t="shared" si="39"/>
        <v>48574.767415048547</v>
      </c>
    </row>
    <row r="231" spans="1:33" ht="57.6" x14ac:dyDescent="0.3">
      <c r="A231" s="41" t="s">
        <v>697</v>
      </c>
      <c r="B231" s="41" t="s">
        <v>693</v>
      </c>
      <c r="C231" s="41" t="s">
        <v>673</v>
      </c>
      <c r="D231" s="41" t="s">
        <v>112</v>
      </c>
      <c r="E231" s="41" t="s">
        <v>180</v>
      </c>
      <c r="F231" s="41" t="s">
        <v>1350</v>
      </c>
      <c r="G231" s="83">
        <f>1999.2/7</f>
        <v>285.60000000000002</v>
      </c>
      <c r="H231" s="41">
        <f>135*2*9</f>
        <v>2430</v>
      </c>
      <c r="I231" s="41">
        <v>1</v>
      </c>
      <c r="J231" s="83">
        <f t="shared" si="40"/>
        <v>694008</v>
      </c>
      <c r="K231" s="41">
        <f>135*2*9</f>
        <v>2430</v>
      </c>
      <c r="L231" s="41">
        <v>1</v>
      </c>
      <c r="M231" s="70">
        <f t="shared" si="31"/>
        <v>763408.8</v>
      </c>
      <c r="N231" s="41">
        <f>135*2*9</f>
        <v>2430</v>
      </c>
      <c r="O231" s="41">
        <v>1</v>
      </c>
      <c r="P231" s="70">
        <f t="shared" si="32"/>
        <v>839749.68000000017</v>
      </c>
      <c r="Q231" s="41">
        <f>135*2*9</f>
        <v>2430</v>
      </c>
      <c r="R231" s="41">
        <v>1</v>
      </c>
      <c r="S231" s="70">
        <f t="shared" si="33"/>
        <v>923724.64800000039</v>
      </c>
      <c r="T231" s="41">
        <f>135*2*9</f>
        <v>2430</v>
      </c>
      <c r="U231" s="41">
        <v>1</v>
      </c>
      <c r="V231" s="70">
        <f t="shared" si="34"/>
        <v>1016097.1128000004</v>
      </c>
      <c r="W231" s="41">
        <f>135*2*9</f>
        <v>2430</v>
      </c>
      <c r="X231" s="41">
        <v>1</v>
      </c>
      <c r="Y231" s="70">
        <f t="shared" si="35"/>
        <v>1117706.8240800004</v>
      </c>
      <c r="Z231" s="41">
        <f>135*2*9</f>
        <v>2430</v>
      </c>
      <c r="AA231" s="41">
        <v>1</v>
      </c>
      <c r="AB231" s="70">
        <f t="shared" si="36"/>
        <v>1229477.5064880007</v>
      </c>
      <c r="AC231" s="41">
        <f>135*2*9</f>
        <v>2430</v>
      </c>
      <c r="AD231" s="41">
        <v>1</v>
      </c>
      <c r="AE231" s="70">
        <f t="shared" si="37"/>
        <v>1352425.257136801</v>
      </c>
      <c r="AF231" s="28">
        <f t="shared" si="38"/>
        <v>7936597.8285048045</v>
      </c>
      <c r="AG231" s="28">
        <f t="shared" si="39"/>
        <v>7705.4347849561209</v>
      </c>
    </row>
    <row r="232" spans="1:33" ht="57.6" x14ac:dyDescent="0.3">
      <c r="A232" s="41" t="s">
        <v>697</v>
      </c>
      <c r="B232" s="41" t="s">
        <v>693</v>
      </c>
      <c r="C232" s="41" t="s">
        <v>673</v>
      </c>
      <c r="D232" s="41" t="s">
        <v>112</v>
      </c>
      <c r="E232" s="41" t="s">
        <v>180</v>
      </c>
      <c r="F232" s="41" t="s">
        <v>712</v>
      </c>
      <c r="G232" s="83">
        <f>1999.2/7</f>
        <v>285.60000000000002</v>
      </c>
      <c r="H232" s="41">
        <f>25*2*9</f>
        <v>450</v>
      </c>
      <c r="I232" s="41">
        <v>5</v>
      </c>
      <c r="J232" s="83">
        <f t="shared" si="40"/>
        <v>642600.00000000012</v>
      </c>
      <c r="K232" s="41">
        <f>25*2*9</f>
        <v>450</v>
      </c>
      <c r="L232" s="41">
        <v>5</v>
      </c>
      <c r="M232" s="70">
        <f t="shared" si="31"/>
        <v>706860</v>
      </c>
      <c r="N232" s="41">
        <f>25*2*9</f>
        <v>450</v>
      </c>
      <c r="O232" s="41">
        <v>5</v>
      </c>
      <c r="P232" s="70">
        <f t="shared" si="32"/>
        <v>777546.00000000023</v>
      </c>
      <c r="Q232" s="41">
        <f>25*2*9</f>
        <v>450</v>
      </c>
      <c r="R232" s="41">
        <v>5</v>
      </c>
      <c r="S232" s="70">
        <f t="shared" si="33"/>
        <v>855300.60000000044</v>
      </c>
      <c r="T232" s="41">
        <f>25*2*9</f>
        <v>450</v>
      </c>
      <c r="U232" s="41">
        <v>5</v>
      </c>
      <c r="V232" s="70">
        <f t="shared" si="34"/>
        <v>940830.66000000038</v>
      </c>
      <c r="W232" s="41">
        <f>25*2*9</f>
        <v>450</v>
      </c>
      <c r="X232" s="41">
        <v>5</v>
      </c>
      <c r="Y232" s="70">
        <f t="shared" si="35"/>
        <v>1034913.7260000005</v>
      </c>
      <c r="Z232" s="41">
        <f>25*2*9</f>
        <v>450</v>
      </c>
      <c r="AA232" s="41">
        <v>5</v>
      </c>
      <c r="AB232" s="70">
        <f t="shared" si="36"/>
        <v>1138405.0986000006</v>
      </c>
      <c r="AC232" s="41">
        <f>25*2*9</f>
        <v>450</v>
      </c>
      <c r="AD232" s="41">
        <v>5</v>
      </c>
      <c r="AE232" s="70">
        <f t="shared" si="37"/>
        <v>1252245.6084600009</v>
      </c>
      <c r="AF232" s="28">
        <f t="shared" si="38"/>
        <v>7348701.6930600023</v>
      </c>
      <c r="AG232" s="28">
        <f t="shared" si="39"/>
        <v>7134.6618379223319</v>
      </c>
    </row>
    <row r="233" spans="1:33" ht="57.6" x14ac:dyDescent="0.3">
      <c r="A233" s="41" t="s">
        <v>697</v>
      </c>
      <c r="B233" s="41" t="s">
        <v>693</v>
      </c>
      <c r="C233" s="41" t="s">
        <v>673</v>
      </c>
      <c r="D233" s="41" t="s">
        <v>112</v>
      </c>
      <c r="E233" s="41" t="s">
        <v>170</v>
      </c>
      <c r="F233" s="41" t="s">
        <v>709</v>
      </c>
      <c r="G233" s="83">
        <v>35000</v>
      </c>
      <c r="H233" s="41">
        <v>30</v>
      </c>
      <c r="I233" s="41">
        <v>1</v>
      </c>
      <c r="J233" s="83">
        <f t="shared" si="40"/>
        <v>1050000</v>
      </c>
      <c r="K233" s="41">
        <v>30</v>
      </c>
      <c r="L233" s="41">
        <v>1</v>
      </c>
      <c r="M233" s="70">
        <f t="shared" si="31"/>
        <v>1155000</v>
      </c>
      <c r="N233" s="41">
        <v>30</v>
      </c>
      <c r="O233" s="41">
        <v>1</v>
      </c>
      <c r="P233" s="70">
        <f t="shared" si="32"/>
        <v>1270500.0000000002</v>
      </c>
      <c r="Q233" s="41">
        <v>30</v>
      </c>
      <c r="R233" s="41">
        <v>1</v>
      </c>
      <c r="S233" s="70">
        <f t="shared" si="33"/>
        <v>1397550.0000000005</v>
      </c>
      <c r="T233" s="41">
        <v>30</v>
      </c>
      <c r="U233" s="41">
        <v>1</v>
      </c>
      <c r="V233" s="70">
        <f t="shared" si="34"/>
        <v>1537305.0000000005</v>
      </c>
      <c r="W233" s="41">
        <v>30</v>
      </c>
      <c r="X233" s="41">
        <v>1</v>
      </c>
      <c r="Y233" s="70">
        <f t="shared" si="35"/>
        <v>1691035.5000000007</v>
      </c>
      <c r="Z233" s="41">
        <v>30</v>
      </c>
      <c r="AA233" s="41">
        <v>1</v>
      </c>
      <c r="AB233" s="70">
        <f t="shared" si="36"/>
        <v>1860139.050000001</v>
      </c>
      <c r="AC233" s="41">
        <v>30</v>
      </c>
      <c r="AD233" s="41">
        <v>1</v>
      </c>
      <c r="AE233" s="70">
        <f t="shared" si="37"/>
        <v>2046152.955000001</v>
      </c>
      <c r="AF233" s="28">
        <f t="shared" si="38"/>
        <v>12007682.505000003</v>
      </c>
      <c r="AG233" s="28">
        <f t="shared" si="39"/>
        <v>11657.944179611653</v>
      </c>
    </row>
    <row r="234" spans="1:33" ht="57.6" x14ac:dyDescent="0.3">
      <c r="A234" s="41" t="s">
        <v>697</v>
      </c>
      <c r="B234" s="41" t="s">
        <v>693</v>
      </c>
      <c r="C234" s="41" t="s">
        <v>673</v>
      </c>
      <c r="D234" s="41" t="s">
        <v>112</v>
      </c>
      <c r="E234" s="41" t="s">
        <v>554</v>
      </c>
      <c r="F234" s="41" t="s">
        <v>709</v>
      </c>
      <c r="G234" s="83">
        <v>35000</v>
      </c>
      <c r="H234" s="41">
        <v>30</v>
      </c>
      <c r="I234" s="41">
        <v>1</v>
      </c>
      <c r="J234" s="83">
        <f t="shared" si="40"/>
        <v>1050000</v>
      </c>
      <c r="K234" s="41">
        <v>30</v>
      </c>
      <c r="L234" s="41">
        <v>1</v>
      </c>
      <c r="M234" s="70">
        <f t="shared" si="31"/>
        <v>1155000</v>
      </c>
      <c r="N234" s="41">
        <v>30</v>
      </c>
      <c r="O234" s="41">
        <v>1</v>
      </c>
      <c r="P234" s="70">
        <f t="shared" si="32"/>
        <v>1270500.0000000002</v>
      </c>
      <c r="Q234" s="41">
        <v>30</v>
      </c>
      <c r="R234" s="41">
        <v>1</v>
      </c>
      <c r="S234" s="70">
        <f t="shared" si="33"/>
        <v>1397550.0000000005</v>
      </c>
      <c r="T234" s="41">
        <v>30</v>
      </c>
      <c r="U234" s="41">
        <v>1</v>
      </c>
      <c r="V234" s="70">
        <f t="shared" si="34"/>
        <v>1537305.0000000005</v>
      </c>
      <c r="W234" s="41">
        <v>30</v>
      </c>
      <c r="X234" s="41">
        <v>1</v>
      </c>
      <c r="Y234" s="70">
        <f t="shared" si="35"/>
        <v>1691035.5000000007</v>
      </c>
      <c r="Z234" s="41">
        <v>30</v>
      </c>
      <c r="AA234" s="41">
        <v>1</v>
      </c>
      <c r="AB234" s="70">
        <f t="shared" si="36"/>
        <v>1860139.050000001</v>
      </c>
      <c r="AC234" s="41">
        <v>30</v>
      </c>
      <c r="AD234" s="41">
        <v>1</v>
      </c>
      <c r="AE234" s="70">
        <f t="shared" si="37"/>
        <v>2046152.955000001</v>
      </c>
      <c r="AF234" s="28">
        <f t="shared" si="38"/>
        <v>12007682.505000003</v>
      </c>
      <c r="AG234" s="28">
        <f t="shared" si="39"/>
        <v>11657.944179611653</v>
      </c>
    </row>
    <row r="235" spans="1:33" ht="57.6" x14ac:dyDescent="0.3">
      <c r="A235" s="41" t="s">
        <v>697</v>
      </c>
      <c r="B235" s="41" t="s">
        <v>693</v>
      </c>
      <c r="C235" s="41" t="s">
        <v>673</v>
      </c>
      <c r="D235" s="41" t="s">
        <v>112</v>
      </c>
      <c r="E235" s="41" t="s">
        <v>562</v>
      </c>
      <c r="F235" s="41" t="s">
        <v>718</v>
      </c>
      <c r="G235" s="83">
        <v>0</v>
      </c>
      <c r="H235" s="41">
        <v>0</v>
      </c>
      <c r="I235" s="41">
        <v>0</v>
      </c>
      <c r="J235" s="83">
        <f t="shared" si="40"/>
        <v>0</v>
      </c>
      <c r="K235" s="41">
        <v>0</v>
      </c>
      <c r="L235" s="41">
        <v>0</v>
      </c>
      <c r="M235" s="70">
        <f t="shared" si="31"/>
        <v>0</v>
      </c>
      <c r="N235" s="41">
        <v>0</v>
      </c>
      <c r="O235" s="41">
        <v>0</v>
      </c>
      <c r="P235" s="70">
        <f t="shared" si="32"/>
        <v>0</v>
      </c>
      <c r="Q235" s="41">
        <v>0</v>
      </c>
      <c r="R235" s="41">
        <v>0</v>
      </c>
      <c r="S235" s="70">
        <f t="shared" si="33"/>
        <v>0</v>
      </c>
      <c r="T235" s="41">
        <v>0</v>
      </c>
      <c r="U235" s="41">
        <v>0</v>
      </c>
      <c r="V235" s="70">
        <f t="shared" si="34"/>
        <v>0</v>
      </c>
      <c r="W235" s="41">
        <v>0</v>
      </c>
      <c r="X235" s="41">
        <v>0</v>
      </c>
      <c r="Y235" s="70">
        <f t="shared" si="35"/>
        <v>0</v>
      </c>
      <c r="Z235" s="41">
        <v>0</v>
      </c>
      <c r="AA235" s="41">
        <v>0</v>
      </c>
      <c r="AB235" s="70">
        <f t="shared" si="36"/>
        <v>0</v>
      </c>
      <c r="AC235" s="41">
        <v>0</v>
      </c>
      <c r="AD235" s="41">
        <v>0</v>
      </c>
      <c r="AE235" s="70">
        <f t="shared" si="37"/>
        <v>0</v>
      </c>
      <c r="AF235" s="28">
        <f t="shared" si="38"/>
        <v>0</v>
      </c>
      <c r="AG235" s="28">
        <f t="shared" si="39"/>
        <v>0</v>
      </c>
    </row>
    <row r="236" spans="1:33" ht="57.6" x14ac:dyDescent="0.3">
      <c r="A236" s="41" t="s">
        <v>697</v>
      </c>
      <c r="B236" s="41" t="s">
        <v>693</v>
      </c>
      <c r="C236" s="41" t="s">
        <v>673</v>
      </c>
      <c r="D236" s="41" t="s">
        <v>112</v>
      </c>
      <c r="E236" s="41" t="s">
        <v>183</v>
      </c>
      <c r="F236" s="41" t="s">
        <v>1297</v>
      </c>
      <c r="G236" s="83">
        <v>8000</v>
      </c>
      <c r="H236" s="41">
        <v>5</v>
      </c>
      <c r="I236" s="41">
        <v>1</v>
      </c>
      <c r="J236" s="83">
        <f t="shared" si="40"/>
        <v>40000</v>
      </c>
      <c r="K236" s="41">
        <v>5</v>
      </c>
      <c r="L236" s="41">
        <v>1</v>
      </c>
      <c r="M236" s="70">
        <f t="shared" si="31"/>
        <v>44000</v>
      </c>
      <c r="N236" s="41">
        <v>5</v>
      </c>
      <c r="O236" s="41">
        <v>1</v>
      </c>
      <c r="P236" s="70">
        <f t="shared" si="32"/>
        <v>48400.000000000007</v>
      </c>
      <c r="Q236" s="41">
        <v>5</v>
      </c>
      <c r="R236" s="41">
        <v>1</v>
      </c>
      <c r="S236" s="70">
        <f t="shared" si="33"/>
        <v>53240.000000000015</v>
      </c>
      <c r="T236" s="41">
        <v>5</v>
      </c>
      <c r="U236" s="41">
        <v>1</v>
      </c>
      <c r="V236" s="70">
        <f t="shared" si="34"/>
        <v>58564.000000000015</v>
      </c>
      <c r="W236" s="41">
        <v>5</v>
      </c>
      <c r="X236" s="41">
        <v>1</v>
      </c>
      <c r="Y236" s="70">
        <f t="shared" si="35"/>
        <v>64420.400000000016</v>
      </c>
      <c r="Z236" s="41">
        <v>5</v>
      </c>
      <c r="AA236" s="41">
        <v>1</v>
      </c>
      <c r="AB236" s="70">
        <f t="shared" si="36"/>
        <v>70862.440000000031</v>
      </c>
      <c r="AC236" s="41">
        <v>5</v>
      </c>
      <c r="AD236" s="41">
        <v>1</v>
      </c>
      <c r="AE236" s="70">
        <f t="shared" si="37"/>
        <v>77948.684000000052</v>
      </c>
      <c r="AF236" s="28">
        <f t="shared" si="38"/>
        <v>457435.52400000015</v>
      </c>
      <c r="AG236" s="28">
        <f t="shared" si="39"/>
        <v>444.11215922330109</v>
      </c>
    </row>
    <row r="237" spans="1:33" ht="57.6" x14ac:dyDescent="0.3">
      <c r="A237" s="41" t="s">
        <v>697</v>
      </c>
      <c r="B237" s="41" t="s">
        <v>693</v>
      </c>
      <c r="C237" s="41" t="s">
        <v>673</v>
      </c>
      <c r="D237" s="41" t="s">
        <v>112</v>
      </c>
      <c r="E237" s="41" t="s">
        <v>183</v>
      </c>
      <c r="F237" s="41" t="s">
        <v>717</v>
      </c>
      <c r="G237" s="83">
        <v>104850</v>
      </c>
      <c r="H237" s="41">
        <v>1</v>
      </c>
      <c r="I237" s="41">
        <v>1</v>
      </c>
      <c r="J237" s="83">
        <f t="shared" si="40"/>
        <v>104850</v>
      </c>
      <c r="K237" s="41">
        <v>1</v>
      </c>
      <c r="L237" s="41">
        <v>1</v>
      </c>
      <c r="M237" s="70">
        <f t="shared" si="31"/>
        <v>115335.00000000001</v>
      </c>
      <c r="N237" s="41">
        <v>1</v>
      </c>
      <c r="O237" s="41">
        <v>1</v>
      </c>
      <c r="P237" s="70">
        <f t="shared" si="32"/>
        <v>126868.50000000001</v>
      </c>
      <c r="Q237" s="41">
        <v>1</v>
      </c>
      <c r="R237" s="41">
        <v>1</v>
      </c>
      <c r="S237" s="70">
        <f t="shared" si="33"/>
        <v>139555.35000000003</v>
      </c>
      <c r="T237" s="41">
        <v>1</v>
      </c>
      <c r="U237" s="41">
        <v>1</v>
      </c>
      <c r="V237" s="70">
        <f t="shared" si="34"/>
        <v>153510.88500000004</v>
      </c>
      <c r="W237" s="41">
        <v>1</v>
      </c>
      <c r="X237" s="41">
        <v>1</v>
      </c>
      <c r="Y237" s="70">
        <f t="shared" si="35"/>
        <v>168861.97350000005</v>
      </c>
      <c r="Z237" s="41">
        <v>1</v>
      </c>
      <c r="AA237" s="41">
        <v>1</v>
      </c>
      <c r="AB237" s="70">
        <f t="shared" si="36"/>
        <v>185748.17085000008</v>
      </c>
      <c r="AC237" s="41">
        <v>1</v>
      </c>
      <c r="AD237" s="41">
        <v>1</v>
      </c>
      <c r="AE237" s="70">
        <f t="shared" si="37"/>
        <v>204322.98793500013</v>
      </c>
      <c r="AF237" s="28">
        <f t="shared" si="38"/>
        <v>1199052.8672850004</v>
      </c>
      <c r="AG237" s="28">
        <f t="shared" si="39"/>
        <v>1164.128997364078</v>
      </c>
    </row>
    <row r="238" spans="1:33" ht="57.6" x14ac:dyDescent="0.3">
      <c r="A238" s="41" t="s">
        <v>697</v>
      </c>
      <c r="B238" s="41" t="s">
        <v>693</v>
      </c>
      <c r="C238" s="41" t="s">
        <v>673</v>
      </c>
      <c r="D238" s="41" t="s">
        <v>112</v>
      </c>
      <c r="E238" s="41" t="s">
        <v>183</v>
      </c>
      <c r="F238" s="41" t="s">
        <v>709</v>
      </c>
      <c r="G238" s="83">
        <v>35000</v>
      </c>
      <c r="H238" s="41">
        <v>30</v>
      </c>
      <c r="I238" s="41">
        <v>1</v>
      </c>
      <c r="J238" s="83">
        <f t="shared" si="40"/>
        <v>1050000</v>
      </c>
      <c r="K238" s="41">
        <v>30</v>
      </c>
      <c r="L238" s="41">
        <v>1</v>
      </c>
      <c r="M238" s="70">
        <f t="shared" si="31"/>
        <v>1155000</v>
      </c>
      <c r="N238" s="41">
        <v>30</v>
      </c>
      <c r="O238" s="41">
        <v>1</v>
      </c>
      <c r="P238" s="70">
        <f t="shared" si="32"/>
        <v>1270500.0000000002</v>
      </c>
      <c r="Q238" s="41">
        <v>30</v>
      </c>
      <c r="R238" s="41">
        <v>1</v>
      </c>
      <c r="S238" s="70">
        <f t="shared" si="33"/>
        <v>1397550.0000000005</v>
      </c>
      <c r="T238" s="41">
        <v>30</v>
      </c>
      <c r="U238" s="41">
        <v>1</v>
      </c>
      <c r="V238" s="70">
        <f t="shared" si="34"/>
        <v>1537305.0000000005</v>
      </c>
      <c r="W238" s="41">
        <v>30</v>
      </c>
      <c r="X238" s="41">
        <v>1</v>
      </c>
      <c r="Y238" s="70">
        <f t="shared" si="35"/>
        <v>1691035.5000000007</v>
      </c>
      <c r="Z238" s="41">
        <v>30</v>
      </c>
      <c r="AA238" s="41">
        <v>1</v>
      </c>
      <c r="AB238" s="70">
        <f t="shared" si="36"/>
        <v>1860139.050000001</v>
      </c>
      <c r="AC238" s="41">
        <v>30</v>
      </c>
      <c r="AD238" s="41">
        <v>1</v>
      </c>
      <c r="AE238" s="70">
        <f t="shared" si="37"/>
        <v>2046152.955000001</v>
      </c>
      <c r="AF238" s="28">
        <f t="shared" si="38"/>
        <v>12007682.505000003</v>
      </c>
      <c r="AG238" s="28">
        <f t="shared" si="39"/>
        <v>11657.944179611653</v>
      </c>
    </row>
    <row r="239" spans="1:33" ht="57.6" x14ac:dyDescent="0.3">
      <c r="A239" s="41" t="s">
        <v>697</v>
      </c>
      <c r="B239" s="41" t="s">
        <v>693</v>
      </c>
      <c r="C239" s="41" t="s">
        <v>673</v>
      </c>
      <c r="D239" s="41" t="s">
        <v>113</v>
      </c>
      <c r="E239" s="41" t="s">
        <v>563</v>
      </c>
      <c r="F239" s="41" t="s">
        <v>718</v>
      </c>
      <c r="G239" s="83">
        <v>0</v>
      </c>
      <c r="H239" s="41">
        <v>0</v>
      </c>
      <c r="I239" s="41">
        <v>0</v>
      </c>
      <c r="J239" s="83">
        <f t="shared" si="40"/>
        <v>0</v>
      </c>
      <c r="K239" s="41">
        <v>0</v>
      </c>
      <c r="L239" s="41">
        <v>0</v>
      </c>
      <c r="M239" s="70">
        <f t="shared" si="31"/>
        <v>0</v>
      </c>
      <c r="N239" s="41">
        <v>0</v>
      </c>
      <c r="O239" s="41">
        <v>0</v>
      </c>
      <c r="P239" s="70">
        <f t="shared" si="32"/>
        <v>0</v>
      </c>
      <c r="Q239" s="41">
        <v>0</v>
      </c>
      <c r="R239" s="41">
        <v>0</v>
      </c>
      <c r="S239" s="70">
        <f t="shared" si="33"/>
        <v>0</v>
      </c>
      <c r="T239" s="41">
        <v>0</v>
      </c>
      <c r="U239" s="41">
        <v>0</v>
      </c>
      <c r="V239" s="70">
        <f t="shared" si="34"/>
        <v>0</v>
      </c>
      <c r="W239" s="41">
        <v>0</v>
      </c>
      <c r="X239" s="41">
        <v>0</v>
      </c>
      <c r="Y239" s="70">
        <f t="shared" si="35"/>
        <v>0</v>
      </c>
      <c r="Z239" s="41">
        <v>0</v>
      </c>
      <c r="AA239" s="41">
        <v>0</v>
      </c>
      <c r="AB239" s="70">
        <f t="shared" si="36"/>
        <v>0</v>
      </c>
      <c r="AC239" s="41">
        <v>0</v>
      </c>
      <c r="AD239" s="41">
        <v>0</v>
      </c>
      <c r="AE239" s="70">
        <f t="shared" si="37"/>
        <v>0</v>
      </c>
      <c r="AF239" s="28">
        <f t="shared" si="38"/>
        <v>0</v>
      </c>
      <c r="AG239" s="28">
        <f t="shared" si="39"/>
        <v>0</v>
      </c>
    </row>
    <row r="240" spans="1:33" ht="57.6" x14ac:dyDescent="0.3">
      <c r="A240" s="41" t="s">
        <v>697</v>
      </c>
      <c r="B240" s="41" t="s">
        <v>693</v>
      </c>
      <c r="C240" s="41" t="s">
        <v>673</v>
      </c>
      <c r="D240" s="41" t="s">
        <v>113</v>
      </c>
      <c r="E240" s="41" t="s">
        <v>149</v>
      </c>
      <c r="F240" s="41" t="s">
        <v>707</v>
      </c>
      <c r="G240" s="83">
        <v>391991.03749999998</v>
      </c>
      <c r="H240" s="41">
        <v>2</v>
      </c>
      <c r="I240" s="41">
        <v>2</v>
      </c>
      <c r="J240" s="83">
        <f t="shared" si="40"/>
        <v>1567964.15</v>
      </c>
      <c r="K240" s="41">
        <v>1</v>
      </c>
      <c r="L240" s="41">
        <v>6</v>
      </c>
      <c r="M240" s="70">
        <f t="shared" si="31"/>
        <v>2587140.8475000001</v>
      </c>
      <c r="N240" s="41">
        <v>1</v>
      </c>
      <c r="O240" s="41">
        <v>6</v>
      </c>
      <c r="P240" s="70">
        <f t="shared" si="32"/>
        <v>2845854.9322500001</v>
      </c>
      <c r="Q240" s="41">
        <v>0</v>
      </c>
      <c r="R240" s="41">
        <v>0</v>
      </c>
      <c r="S240" s="70">
        <f t="shared" si="33"/>
        <v>0</v>
      </c>
      <c r="T240" s="41">
        <v>0</v>
      </c>
      <c r="U240" s="41">
        <v>0</v>
      </c>
      <c r="V240" s="70">
        <f t="shared" si="34"/>
        <v>0</v>
      </c>
      <c r="W240" s="41">
        <v>0</v>
      </c>
      <c r="X240" s="41">
        <v>0</v>
      </c>
      <c r="Y240" s="70">
        <f t="shared" si="35"/>
        <v>0</v>
      </c>
      <c r="Z240" s="41">
        <v>0</v>
      </c>
      <c r="AA240" s="41">
        <v>0</v>
      </c>
      <c r="AB240" s="70">
        <f t="shared" si="36"/>
        <v>0</v>
      </c>
      <c r="AC240" s="41">
        <v>0</v>
      </c>
      <c r="AD240" s="41">
        <v>0</v>
      </c>
      <c r="AE240" s="70">
        <f t="shared" si="37"/>
        <v>0</v>
      </c>
      <c r="AF240" s="28">
        <f t="shared" si="38"/>
        <v>7000959.9297500001</v>
      </c>
      <c r="AG240" s="28">
        <f t="shared" si="39"/>
        <v>6797.0484754854369</v>
      </c>
    </row>
    <row r="241" spans="1:33" ht="57.6" x14ac:dyDescent="0.3">
      <c r="A241" s="41" t="s">
        <v>697</v>
      </c>
      <c r="B241" s="41" t="s">
        <v>693</v>
      </c>
      <c r="C241" s="41" t="s">
        <v>673</v>
      </c>
      <c r="D241" s="41" t="s">
        <v>113</v>
      </c>
      <c r="E241" s="41" t="s">
        <v>149</v>
      </c>
      <c r="F241" s="41" t="s">
        <v>720</v>
      </c>
      <c r="G241" s="83">
        <f>980*1030</f>
        <v>1009400</v>
      </c>
      <c r="H241" s="41">
        <v>1</v>
      </c>
      <c r="I241" s="41">
        <v>25</v>
      </c>
      <c r="J241" s="83">
        <f t="shared" si="40"/>
        <v>25235000</v>
      </c>
      <c r="K241" s="41">
        <v>1</v>
      </c>
      <c r="L241" s="41">
        <v>40</v>
      </c>
      <c r="M241" s="70">
        <f t="shared" si="31"/>
        <v>44413600</v>
      </c>
      <c r="N241" s="41">
        <v>1</v>
      </c>
      <c r="O241" s="41">
        <v>40</v>
      </c>
      <c r="P241" s="70">
        <f t="shared" si="32"/>
        <v>48854960.000000007</v>
      </c>
      <c r="Q241" s="41">
        <v>0</v>
      </c>
      <c r="R241" s="41">
        <v>0</v>
      </c>
      <c r="S241" s="70">
        <f t="shared" si="33"/>
        <v>0</v>
      </c>
      <c r="T241" s="41">
        <v>0</v>
      </c>
      <c r="U241" s="41">
        <v>0</v>
      </c>
      <c r="V241" s="70">
        <f t="shared" si="34"/>
        <v>0</v>
      </c>
      <c r="W241" s="41">
        <v>0</v>
      </c>
      <c r="X241" s="41">
        <v>0</v>
      </c>
      <c r="Y241" s="70">
        <f t="shared" si="35"/>
        <v>0</v>
      </c>
      <c r="Z241" s="41">
        <v>0</v>
      </c>
      <c r="AA241" s="41">
        <v>0</v>
      </c>
      <c r="AB241" s="70">
        <f t="shared" si="36"/>
        <v>0</v>
      </c>
      <c r="AC241" s="41">
        <v>0</v>
      </c>
      <c r="AD241" s="41">
        <v>0</v>
      </c>
      <c r="AE241" s="70">
        <f t="shared" si="37"/>
        <v>0</v>
      </c>
      <c r="AF241" s="28">
        <f t="shared" si="38"/>
        <v>118503560</v>
      </c>
      <c r="AG241" s="28">
        <f t="shared" si="39"/>
        <v>115052</v>
      </c>
    </row>
    <row r="242" spans="1:33" ht="57.6" x14ac:dyDescent="0.3">
      <c r="A242" s="41" t="s">
        <v>697</v>
      </c>
      <c r="B242" s="41" t="s">
        <v>693</v>
      </c>
      <c r="C242" s="41" t="s">
        <v>673</v>
      </c>
      <c r="D242" s="41" t="s">
        <v>113</v>
      </c>
      <c r="E242" s="41" t="s">
        <v>558</v>
      </c>
      <c r="F242" s="41" t="s">
        <v>716</v>
      </c>
      <c r="G242" s="83">
        <v>39000</v>
      </c>
      <c r="H242" s="41">
        <v>30</v>
      </c>
      <c r="I242" s="41">
        <v>6</v>
      </c>
      <c r="J242" s="83">
        <f t="shared" si="40"/>
        <v>7020000</v>
      </c>
      <c r="K242" s="41">
        <v>20</v>
      </c>
      <c r="L242" s="41">
        <v>10</v>
      </c>
      <c r="M242" s="70">
        <f t="shared" si="31"/>
        <v>8580000</v>
      </c>
      <c r="N242" s="41">
        <v>20</v>
      </c>
      <c r="O242" s="41">
        <v>10</v>
      </c>
      <c r="P242" s="70">
        <f t="shared" si="32"/>
        <v>9438000.0000000019</v>
      </c>
      <c r="Q242" s="41">
        <v>0</v>
      </c>
      <c r="R242" s="41">
        <v>0</v>
      </c>
      <c r="S242" s="70">
        <f t="shared" si="33"/>
        <v>0</v>
      </c>
      <c r="T242" s="41">
        <v>0</v>
      </c>
      <c r="U242" s="41">
        <v>0</v>
      </c>
      <c r="V242" s="70">
        <f t="shared" si="34"/>
        <v>0</v>
      </c>
      <c r="W242" s="41">
        <v>0</v>
      </c>
      <c r="X242" s="41">
        <v>0</v>
      </c>
      <c r="Y242" s="70">
        <f t="shared" si="35"/>
        <v>0</v>
      </c>
      <c r="Z242" s="41">
        <v>0</v>
      </c>
      <c r="AA242" s="41">
        <v>0</v>
      </c>
      <c r="AB242" s="70">
        <f t="shared" si="36"/>
        <v>0</v>
      </c>
      <c r="AC242" s="41">
        <v>0</v>
      </c>
      <c r="AD242" s="41">
        <v>0</v>
      </c>
      <c r="AE242" s="70">
        <f t="shared" si="37"/>
        <v>0</v>
      </c>
      <c r="AF242" s="28">
        <f t="shared" si="38"/>
        <v>25038000</v>
      </c>
      <c r="AG242" s="28">
        <f t="shared" si="39"/>
        <v>24308.73786407767</v>
      </c>
    </row>
    <row r="243" spans="1:33" ht="57.6" x14ac:dyDescent="0.3">
      <c r="A243" s="41" t="s">
        <v>697</v>
      </c>
      <c r="B243" s="41" t="s">
        <v>693</v>
      </c>
      <c r="C243" s="41" t="s">
        <v>673</v>
      </c>
      <c r="D243" s="41" t="s">
        <v>113</v>
      </c>
      <c r="E243" s="41" t="s">
        <v>558</v>
      </c>
      <c r="F243" s="41" t="s">
        <v>709</v>
      </c>
      <c r="G243" s="83">
        <v>35000</v>
      </c>
      <c r="H243" s="41">
        <v>30</v>
      </c>
      <c r="I243" s="41">
        <v>5</v>
      </c>
      <c r="J243" s="83">
        <f t="shared" si="40"/>
        <v>5250000</v>
      </c>
      <c r="K243" s="41">
        <v>20</v>
      </c>
      <c r="L243" s="41">
        <v>10</v>
      </c>
      <c r="M243" s="70">
        <f t="shared" si="31"/>
        <v>7700000</v>
      </c>
      <c r="N243" s="41">
        <v>20</v>
      </c>
      <c r="O243" s="41">
        <v>10</v>
      </c>
      <c r="P243" s="70">
        <f t="shared" si="32"/>
        <v>8470000.0000000019</v>
      </c>
      <c r="Q243" s="41">
        <v>0</v>
      </c>
      <c r="R243" s="41">
        <v>0</v>
      </c>
      <c r="S243" s="70">
        <f t="shared" si="33"/>
        <v>0</v>
      </c>
      <c r="T243" s="41">
        <v>0</v>
      </c>
      <c r="U243" s="41">
        <v>0</v>
      </c>
      <c r="V243" s="70">
        <f t="shared" si="34"/>
        <v>0</v>
      </c>
      <c r="W243" s="41">
        <v>0</v>
      </c>
      <c r="X243" s="41">
        <v>0</v>
      </c>
      <c r="Y243" s="70">
        <f t="shared" si="35"/>
        <v>0</v>
      </c>
      <c r="Z243" s="41">
        <v>0</v>
      </c>
      <c r="AA243" s="41">
        <v>0</v>
      </c>
      <c r="AB243" s="70">
        <f t="shared" si="36"/>
        <v>0</v>
      </c>
      <c r="AC243" s="41">
        <v>0</v>
      </c>
      <c r="AD243" s="41">
        <v>0</v>
      </c>
      <c r="AE243" s="70">
        <f t="shared" si="37"/>
        <v>0</v>
      </c>
      <c r="AF243" s="28">
        <f t="shared" si="38"/>
        <v>21420000</v>
      </c>
      <c r="AG243" s="28">
        <f t="shared" si="39"/>
        <v>20796.11650485437</v>
      </c>
    </row>
    <row r="244" spans="1:33" ht="57.6" x14ac:dyDescent="0.3">
      <c r="A244" s="41" t="s">
        <v>697</v>
      </c>
      <c r="B244" s="41" t="s">
        <v>693</v>
      </c>
      <c r="C244" s="41" t="s">
        <v>673</v>
      </c>
      <c r="D244" s="41" t="s">
        <v>113</v>
      </c>
      <c r="E244" s="41" t="s">
        <v>558</v>
      </c>
      <c r="F244" s="41" t="s">
        <v>712</v>
      </c>
      <c r="G244" s="83">
        <f>1999.2/7</f>
        <v>285.60000000000002</v>
      </c>
      <c r="H244" s="41">
        <f>25*2*10</f>
        <v>500</v>
      </c>
      <c r="I244" s="41">
        <v>5</v>
      </c>
      <c r="J244" s="83">
        <f t="shared" si="40"/>
        <v>714000</v>
      </c>
      <c r="K244" s="41">
        <v>4000</v>
      </c>
      <c r="L244" s="41">
        <v>1</v>
      </c>
      <c r="M244" s="70">
        <f t="shared" si="31"/>
        <v>1256640</v>
      </c>
      <c r="N244" s="41">
        <v>4000</v>
      </c>
      <c r="O244" s="41">
        <v>1</v>
      </c>
      <c r="P244" s="70">
        <f t="shared" si="32"/>
        <v>1382304.0000000002</v>
      </c>
      <c r="Q244" s="41">
        <v>0</v>
      </c>
      <c r="R244" s="41">
        <v>0</v>
      </c>
      <c r="S244" s="70">
        <f t="shared" si="33"/>
        <v>0</v>
      </c>
      <c r="T244" s="41">
        <v>0</v>
      </c>
      <c r="U244" s="41">
        <v>0</v>
      </c>
      <c r="V244" s="70">
        <f t="shared" si="34"/>
        <v>0</v>
      </c>
      <c r="W244" s="41">
        <v>0</v>
      </c>
      <c r="X244" s="41">
        <v>0</v>
      </c>
      <c r="Y244" s="70">
        <f t="shared" si="35"/>
        <v>0</v>
      </c>
      <c r="Z244" s="41">
        <v>0</v>
      </c>
      <c r="AA244" s="41">
        <v>0</v>
      </c>
      <c r="AB244" s="70">
        <f t="shared" si="36"/>
        <v>0</v>
      </c>
      <c r="AC244" s="41">
        <v>0</v>
      </c>
      <c r="AD244" s="41">
        <v>0</v>
      </c>
      <c r="AE244" s="70">
        <f t="shared" si="37"/>
        <v>0</v>
      </c>
      <c r="AF244" s="28">
        <f t="shared" si="38"/>
        <v>3352944</v>
      </c>
      <c r="AG244" s="28">
        <f t="shared" si="39"/>
        <v>3255.285436893204</v>
      </c>
    </row>
    <row r="245" spans="1:33" ht="57.6" x14ac:dyDescent="0.3">
      <c r="A245" s="41" t="s">
        <v>697</v>
      </c>
      <c r="B245" s="41" t="s">
        <v>693</v>
      </c>
      <c r="C245" s="41" t="s">
        <v>673</v>
      </c>
      <c r="D245" s="41" t="s">
        <v>113</v>
      </c>
      <c r="E245" s="41" t="s">
        <v>559</v>
      </c>
      <c r="F245" s="41" t="s">
        <v>718</v>
      </c>
      <c r="G245" s="83">
        <v>0</v>
      </c>
      <c r="H245" s="41">
        <v>0</v>
      </c>
      <c r="I245" s="41">
        <v>0</v>
      </c>
      <c r="J245" s="83">
        <f t="shared" si="40"/>
        <v>0</v>
      </c>
      <c r="K245" s="41">
        <v>0</v>
      </c>
      <c r="L245" s="41">
        <v>0</v>
      </c>
      <c r="M245" s="70">
        <f t="shared" si="31"/>
        <v>0</v>
      </c>
      <c r="N245" s="41">
        <v>0</v>
      </c>
      <c r="O245" s="41">
        <v>0</v>
      </c>
      <c r="P245" s="70">
        <f t="shared" si="32"/>
        <v>0</v>
      </c>
      <c r="Q245" s="41">
        <v>0</v>
      </c>
      <c r="R245" s="41">
        <v>0</v>
      </c>
      <c r="S245" s="70">
        <f t="shared" si="33"/>
        <v>0</v>
      </c>
      <c r="T245" s="41">
        <v>0</v>
      </c>
      <c r="U245" s="41">
        <v>0</v>
      </c>
      <c r="V245" s="70">
        <f t="shared" si="34"/>
        <v>0</v>
      </c>
      <c r="W245" s="41">
        <v>0</v>
      </c>
      <c r="X245" s="41">
        <v>0</v>
      </c>
      <c r="Y245" s="70">
        <f t="shared" si="35"/>
        <v>0</v>
      </c>
      <c r="Z245" s="41">
        <v>0</v>
      </c>
      <c r="AA245" s="41">
        <v>0</v>
      </c>
      <c r="AB245" s="70">
        <f t="shared" si="36"/>
        <v>0</v>
      </c>
      <c r="AC245" s="41">
        <v>0</v>
      </c>
      <c r="AD245" s="41">
        <v>0</v>
      </c>
      <c r="AE245" s="70">
        <f t="shared" si="37"/>
        <v>0</v>
      </c>
      <c r="AF245" s="28">
        <f t="shared" si="38"/>
        <v>0</v>
      </c>
      <c r="AG245" s="28">
        <f t="shared" si="39"/>
        <v>0</v>
      </c>
    </row>
    <row r="246" spans="1:33" ht="57.6" x14ac:dyDescent="0.3">
      <c r="A246" s="41" t="s">
        <v>697</v>
      </c>
      <c r="B246" s="41" t="s">
        <v>693</v>
      </c>
      <c r="C246" s="41" t="s">
        <v>673</v>
      </c>
      <c r="D246" s="41" t="s">
        <v>114</v>
      </c>
      <c r="E246" s="41" t="s">
        <v>549</v>
      </c>
      <c r="F246" s="41" t="s">
        <v>718</v>
      </c>
      <c r="G246" s="83">
        <v>0</v>
      </c>
      <c r="H246" s="41">
        <v>0</v>
      </c>
      <c r="I246" s="41">
        <v>0</v>
      </c>
      <c r="J246" s="83">
        <f t="shared" si="40"/>
        <v>0</v>
      </c>
      <c r="K246" s="41">
        <v>0</v>
      </c>
      <c r="L246" s="41">
        <v>0</v>
      </c>
      <c r="M246" s="70">
        <f t="shared" si="31"/>
        <v>0</v>
      </c>
      <c r="N246" s="41">
        <v>0</v>
      </c>
      <c r="O246" s="41">
        <v>0</v>
      </c>
      <c r="P246" s="70">
        <f t="shared" si="32"/>
        <v>0</v>
      </c>
      <c r="Q246" s="41">
        <v>0</v>
      </c>
      <c r="R246" s="41">
        <v>0</v>
      </c>
      <c r="S246" s="70">
        <f t="shared" si="33"/>
        <v>0</v>
      </c>
      <c r="T246" s="41">
        <v>0</v>
      </c>
      <c r="U246" s="41">
        <v>0</v>
      </c>
      <c r="V246" s="70">
        <f t="shared" si="34"/>
        <v>0</v>
      </c>
      <c r="W246" s="41">
        <v>0</v>
      </c>
      <c r="X246" s="41">
        <v>0</v>
      </c>
      <c r="Y246" s="70">
        <f t="shared" si="35"/>
        <v>0</v>
      </c>
      <c r="Z246" s="41">
        <v>0</v>
      </c>
      <c r="AA246" s="41">
        <v>0</v>
      </c>
      <c r="AB246" s="70">
        <f t="shared" si="36"/>
        <v>0</v>
      </c>
      <c r="AC246" s="41">
        <v>0</v>
      </c>
      <c r="AD246" s="41">
        <v>0</v>
      </c>
      <c r="AE246" s="70">
        <f t="shared" si="37"/>
        <v>0</v>
      </c>
      <c r="AF246" s="28">
        <f t="shared" si="38"/>
        <v>0</v>
      </c>
      <c r="AG246" s="28">
        <f t="shared" si="39"/>
        <v>0</v>
      </c>
    </row>
    <row r="247" spans="1:33" ht="57.6" x14ac:dyDescent="0.3">
      <c r="A247" s="41" t="s">
        <v>697</v>
      </c>
      <c r="B247" s="41" t="s">
        <v>693</v>
      </c>
      <c r="C247" s="41" t="s">
        <v>673</v>
      </c>
      <c r="D247" s="41" t="s">
        <v>114</v>
      </c>
      <c r="E247" s="41" t="s">
        <v>550</v>
      </c>
      <c r="F247" s="41" t="s">
        <v>718</v>
      </c>
      <c r="G247" s="83">
        <v>0</v>
      </c>
      <c r="H247" s="41">
        <v>0</v>
      </c>
      <c r="I247" s="41">
        <v>0</v>
      </c>
      <c r="J247" s="83">
        <f t="shared" si="40"/>
        <v>0</v>
      </c>
      <c r="K247" s="41">
        <v>0</v>
      </c>
      <c r="L247" s="41">
        <v>0</v>
      </c>
      <c r="M247" s="70">
        <f t="shared" si="31"/>
        <v>0</v>
      </c>
      <c r="N247" s="41">
        <v>0</v>
      </c>
      <c r="O247" s="41">
        <v>0</v>
      </c>
      <c r="P247" s="70">
        <f t="shared" si="32"/>
        <v>0</v>
      </c>
      <c r="Q247" s="41">
        <v>0</v>
      </c>
      <c r="R247" s="41">
        <v>0</v>
      </c>
      <c r="S247" s="70">
        <f t="shared" si="33"/>
        <v>0</v>
      </c>
      <c r="T247" s="41">
        <v>0</v>
      </c>
      <c r="U247" s="41">
        <v>0</v>
      </c>
      <c r="V247" s="70">
        <f t="shared" si="34"/>
        <v>0</v>
      </c>
      <c r="W247" s="41">
        <v>0</v>
      </c>
      <c r="X247" s="41">
        <v>0</v>
      </c>
      <c r="Y247" s="70">
        <f t="shared" si="35"/>
        <v>0</v>
      </c>
      <c r="Z247" s="41">
        <v>0</v>
      </c>
      <c r="AA247" s="41">
        <v>0</v>
      </c>
      <c r="AB247" s="70">
        <f t="shared" si="36"/>
        <v>0</v>
      </c>
      <c r="AC247" s="41">
        <v>0</v>
      </c>
      <c r="AD247" s="41">
        <v>0</v>
      </c>
      <c r="AE247" s="70">
        <f t="shared" si="37"/>
        <v>0</v>
      </c>
      <c r="AF247" s="28">
        <f t="shared" si="38"/>
        <v>0</v>
      </c>
      <c r="AG247" s="28">
        <f t="shared" si="39"/>
        <v>0</v>
      </c>
    </row>
    <row r="248" spans="1:33" ht="57.6" x14ac:dyDescent="0.3">
      <c r="A248" s="41" t="s">
        <v>697</v>
      </c>
      <c r="B248" s="41" t="s">
        <v>693</v>
      </c>
      <c r="C248" s="41" t="s">
        <v>673</v>
      </c>
      <c r="D248" s="41" t="s">
        <v>114</v>
      </c>
      <c r="E248" s="41" t="s">
        <v>560</v>
      </c>
      <c r="F248" s="41" t="s">
        <v>713</v>
      </c>
      <c r="G248" s="83">
        <v>45000</v>
      </c>
      <c r="J248" s="84"/>
      <c r="K248" s="41"/>
      <c r="L248" s="41"/>
      <c r="M248" s="70">
        <f t="shared" si="31"/>
        <v>0</v>
      </c>
      <c r="N248" s="41">
        <v>25</v>
      </c>
      <c r="O248" s="41">
        <v>6</v>
      </c>
      <c r="P248" s="70">
        <f t="shared" si="32"/>
        <v>8167500.0000000019</v>
      </c>
      <c r="Q248" s="41">
        <v>25</v>
      </c>
      <c r="R248" s="41">
        <v>6</v>
      </c>
      <c r="S248" s="70">
        <f t="shared" si="33"/>
        <v>8984250.0000000037</v>
      </c>
      <c r="T248" s="41">
        <v>25</v>
      </c>
      <c r="U248" s="41">
        <v>6</v>
      </c>
      <c r="V248" s="70">
        <f t="shared" si="34"/>
        <v>9882675.0000000037</v>
      </c>
      <c r="W248" s="41">
        <v>25</v>
      </c>
      <c r="X248" s="41">
        <v>6</v>
      </c>
      <c r="Y248" s="70">
        <f t="shared" si="35"/>
        <v>10870942.500000004</v>
      </c>
      <c r="Z248" s="41">
        <v>25</v>
      </c>
      <c r="AA248" s="41">
        <v>6</v>
      </c>
      <c r="AB248" s="70">
        <f t="shared" si="36"/>
        <v>11958036.750000006</v>
      </c>
      <c r="AC248" s="41">
        <v>25</v>
      </c>
      <c r="AD248" s="41">
        <v>6</v>
      </c>
      <c r="AE248" s="70">
        <f t="shared" si="37"/>
        <v>13153840.425000008</v>
      </c>
      <c r="AF248" s="28">
        <f t="shared" si="38"/>
        <v>63017244.675000027</v>
      </c>
      <c r="AG248" s="28">
        <f t="shared" si="39"/>
        <v>61181.79094660197</v>
      </c>
    </row>
    <row r="249" spans="1:33" ht="57.6" x14ac:dyDescent="0.3">
      <c r="A249" s="41" t="s">
        <v>697</v>
      </c>
      <c r="B249" s="41" t="s">
        <v>693</v>
      </c>
      <c r="C249" s="41" t="s">
        <v>673</v>
      </c>
      <c r="D249" s="41" t="s">
        <v>114</v>
      </c>
      <c r="E249" s="41" t="s">
        <v>560</v>
      </c>
      <c r="F249" s="41" t="s">
        <v>712</v>
      </c>
      <c r="G249" s="83">
        <f>1999.2/7</f>
        <v>285.60000000000002</v>
      </c>
      <c r="J249" s="84"/>
      <c r="K249" s="41"/>
      <c r="L249" s="41"/>
      <c r="M249" s="70">
        <f t="shared" si="31"/>
        <v>0</v>
      </c>
      <c r="N249" s="41">
        <f>25*2*9</f>
        <v>450</v>
      </c>
      <c r="O249" s="41">
        <v>1</v>
      </c>
      <c r="P249" s="70">
        <f t="shared" si="32"/>
        <v>155509.20000000004</v>
      </c>
      <c r="Q249" s="41">
        <v>450</v>
      </c>
      <c r="R249" s="41">
        <v>1</v>
      </c>
      <c r="S249" s="70">
        <f t="shared" si="33"/>
        <v>171060.12000000008</v>
      </c>
      <c r="T249" s="41">
        <v>450</v>
      </c>
      <c r="U249" s="41">
        <v>1</v>
      </c>
      <c r="V249" s="70">
        <f t="shared" si="34"/>
        <v>188166.13200000007</v>
      </c>
      <c r="W249" s="41">
        <v>450</v>
      </c>
      <c r="X249" s="41">
        <v>1</v>
      </c>
      <c r="Y249" s="70">
        <f t="shared" si="35"/>
        <v>206982.74520000009</v>
      </c>
      <c r="Z249" s="41">
        <v>450</v>
      </c>
      <c r="AA249" s="41">
        <v>1</v>
      </c>
      <c r="AB249" s="70">
        <f t="shared" si="36"/>
        <v>227681.01972000013</v>
      </c>
      <c r="AC249" s="41">
        <v>450</v>
      </c>
      <c r="AD249" s="41">
        <v>1</v>
      </c>
      <c r="AE249" s="70">
        <f t="shared" si="37"/>
        <v>250449.12169200019</v>
      </c>
      <c r="AF249" s="28">
        <f t="shared" si="38"/>
        <v>1199848.3386120005</v>
      </c>
      <c r="AG249" s="28">
        <f t="shared" si="39"/>
        <v>1164.9012996233014</v>
      </c>
    </row>
    <row r="250" spans="1:33" ht="57.6" x14ac:dyDescent="0.3">
      <c r="A250" s="41" t="s">
        <v>697</v>
      </c>
      <c r="B250" s="41" t="s">
        <v>693</v>
      </c>
      <c r="C250" s="41" t="s">
        <v>673</v>
      </c>
      <c r="D250" s="41" t="s">
        <v>114</v>
      </c>
      <c r="E250" s="41" t="s">
        <v>560</v>
      </c>
      <c r="F250" s="41" t="s">
        <v>1350</v>
      </c>
      <c r="G250" s="83">
        <f>1999.2/7</f>
        <v>285.60000000000002</v>
      </c>
      <c r="J250" s="84"/>
      <c r="K250" s="41"/>
      <c r="L250" s="41"/>
      <c r="M250" s="70">
        <f t="shared" si="31"/>
        <v>0</v>
      </c>
      <c r="N250" s="41">
        <f>135*2*9</f>
        <v>2430</v>
      </c>
      <c r="O250" s="41">
        <v>1</v>
      </c>
      <c r="P250" s="70">
        <f t="shared" si="32"/>
        <v>839749.68000000017</v>
      </c>
      <c r="Q250" s="41">
        <v>2430</v>
      </c>
      <c r="R250" s="41">
        <v>1</v>
      </c>
      <c r="S250" s="70">
        <f t="shared" si="33"/>
        <v>923724.64800000039</v>
      </c>
      <c r="T250" s="41">
        <v>2430</v>
      </c>
      <c r="U250" s="41">
        <v>1</v>
      </c>
      <c r="V250" s="70">
        <f t="shared" si="34"/>
        <v>1016097.1128000004</v>
      </c>
      <c r="W250" s="41">
        <v>2430</v>
      </c>
      <c r="X250" s="41">
        <v>1</v>
      </c>
      <c r="Y250" s="70">
        <f t="shared" si="35"/>
        <v>1117706.8240800004</v>
      </c>
      <c r="Z250" s="41">
        <v>2430</v>
      </c>
      <c r="AA250" s="41">
        <v>1</v>
      </c>
      <c r="AB250" s="70">
        <f t="shared" si="36"/>
        <v>1229477.5064880007</v>
      </c>
      <c r="AC250" s="41">
        <v>2430</v>
      </c>
      <c r="AD250" s="41">
        <v>1</v>
      </c>
      <c r="AE250" s="70">
        <f t="shared" si="37"/>
        <v>1352425.257136801</v>
      </c>
      <c r="AF250" s="28">
        <f t="shared" si="38"/>
        <v>6479181.0285048038</v>
      </c>
      <c r="AG250" s="28">
        <f t="shared" si="39"/>
        <v>6290.4670179658287</v>
      </c>
    </row>
    <row r="251" spans="1:33" ht="57.6" x14ac:dyDescent="0.3">
      <c r="A251" s="41" t="s">
        <v>697</v>
      </c>
      <c r="B251" s="41" t="s">
        <v>693</v>
      </c>
      <c r="C251" s="41" t="s">
        <v>673</v>
      </c>
      <c r="D251" s="41" t="s">
        <v>114</v>
      </c>
      <c r="E251" s="41" t="s">
        <v>561</v>
      </c>
      <c r="F251" s="41" t="s">
        <v>709</v>
      </c>
      <c r="G251" s="83">
        <v>35000</v>
      </c>
      <c r="J251" s="84"/>
      <c r="K251" s="41"/>
      <c r="L251" s="41"/>
      <c r="M251" s="70">
        <f t="shared" si="31"/>
        <v>0</v>
      </c>
      <c r="N251" s="41">
        <v>100</v>
      </c>
      <c r="O251" s="41">
        <v>1</v>
      </c>
      <c r="P251" s="70">
        <f t="shared" si="32"/>
        <v>4235000.0000000009</v>
      </c>
      <c r="Q251" s="41">
        <v>100</v>
      </c>
      <c r="R251" s="41">
        <v>1</v>
      </c>
      <c r="S251" s="70">
        <f t="shared" si="33"/>
        <v>4658500.0000000019</v>
      </c>
      <c r="T251" s="41">
        <v>100</v>
      </c>
      <c r="U251" s="41">
        <v>1</v>
      </c>
      <c r="V251" s="70">
        <f t="shared" si="34"/>
        <v>5124350.0000000019</v>
      </c>
      <c r="W251" s="41">
        <v>100</v>
      </c>
      <c r="X251" s="41">
        <v>1</v>
      </c>
      <c r="Y251" s="70">
        <f t="shared" si="35"/>
        <v>5636785.0000000019</v>
      </c>
      <c r="Z251" s="41">
        <v>100</v>
      </c>
      <c r="AA251" s="41">
        <v>1</v>
      </c>
      <c r="AB251" s="70">
        <f t="shared" si="36"/>
        <v>6200463.5000000028</v>
      </c>
      <c r="AC251" s="41">
        <v>100</v>
      </c>
      <c r="AD251" s="41">
        <v>1</v>
      </c>
      <c r="AE251" s="70">
        <f t="shared" si="37"/>
        <v>6820509.8500000034</v>
      </c>
      <c r="AF251" s="28">
        <f t="shared" si="38"/>
        <v>32675608.350000016</v>
      </c>
      <c r="AG251" s="28">
        <f t="shared" si="39"/>
        <v>31723.891601941763</v>
      </c>
    </row>
    <row r="252" spans="1:33" ht="57.6" x14ac:dyDescent="0.3">
      <c r="A252" s="41" t="s">
        <v>697</v>
      </c>
      <c r="B252" s="41" t="s">
        <v>693</v>
      </c>
      <c r="C252" s="41" t="s">
        <v>673</v>
      </c>
      <c r="D252" s="41" t="s">
        <v>114</v>
      </c>
      <c r="E252" s="41" t="s">
        <v>157</v>
      </c>
      <c r="F252" s="41" t="s">
        <v>713</v>
      </c>
      <c r="G252" s="83">
        <v>45000</v>
      </c>
      <c r="J252" s="84"/>
      <c r="K252" s="41"/>
      <c r="L252" s="41"/>
      <c r="M252" s="70">
        <f t="shared" si="31"/>
        <v>0</v>
      </c>
      <c r="N252" s="41">
        <v>25</v>
      </c>
      <c r="O252" s="41">
        <v>6</v>
      </c>
      <c r="P252" s="70">
        <f t="shared" si="32"/>
        <v>8167500.0000000019</v>
      </c>
      <c r="Q252" s="41">
        <v>25</v>
      </c>
      <c r="R252" s="41">
        <v>6</v>
      </c>
      <c r="S252" s="70">
        <f t="shared" si="33"/>
        <v>8984250.0000000037</v>
      </c>
      <c r="T252" s="41">
        <v>25</v>
      </c>
      <c r="U252" s="41">
        <v>6</v>
      </c>
      <c r="V252" s="70">
        <f t="shared" si="34"/>
        <v>9882675.0000000037</v>
      </c>
      <c r="W252" s="41">
        <v>25</v>
      </c>
      <c r="X252" s="41">
        <v>6</v>
      </c>
      <c r="Y252" s="70">
        <f t="shared" si="35"/>
        <v>10870942.500000004</v>
      </c>
      <c r="Z252" s="41">
        <v>25</v>
      </c>
      <c r="AA252" s="41">
        <v>6</v>
      </c>
      <c r="AB252" s="70">
        <f t="shared" si="36"/>
        <v>11958036.750000006</v>
      </c>
      <c r="AC252" s="41">
        <v>25</v>
      </c>
      <c r="AD252" s="41">
        <v>6</v>
      </c>
      <c r="AE252" s="70">
        <f t="shared" si="37"/>
        <v>13153840.425000008</v>
      </c>
      <c r="AF252" s="28">
        <f t="shared" si="38"/>
        <v>63017244.675000027</v>
      </c>
      <c r="AG252" s="28">
        <f t="shared" si="39"/>
        <v>61181.79094660197</v>
      </c>
    </row>
    <row r="253" spans="1:33" ht="57.6" x14ac:dyDescent="0.3">
      <c r="A253" s="41" t="s">
        <v>697</v>
      </c>
      <c r="B253" s="41" t="s">
        <v>693</v>
      </c>
      <c r="C253" s="41" t="s">
        <v>673</v>
      </c>
      <c r="D253" s="41" t="s">
        <v>114</v>
      </c>
      <c r="E253" s="41" t="s">
        <v>157</v>
      </c>
      <c r="F253" s="41" t="s">
        <v>715</v>
      </c>
      <c r="G253" s="83">
        <v>302000</v>
      </c>
      <c r="J253" s="84"/>
      <c r="K253" s="41"/>
      <c r="L253" s="41"/>
      <c r="M253" s="70">
        <f t="shared" si="31"/>
        <v>0</v>
      </c>
      <c r="N253" s="41">
        <v>25</v>
      </c>
      <c r="O253" s="41">
        <v>1</v>
      </c>
      <c r="P253" s="70">
        <f t="shared" si="32"/>
        <v>9135500.0000000019</v>
      </c>
      <c r="Q253" s="41">
        <v>25</v>
      </c>
      <c r="R253" s="41">
        <v>1</v>
      </c>
      <c r="S253" s="70">
        <f t="shared" si="33"/>
        <v>10049050.000000004</v>
      </c>
      <c r="T253" s="41">
        <v>25</v>
      </c>
      <c r="U253" s="41">
        <v>1</v>
      </c>
      <c r="V253" s="70">
        <f t="shared" si="34"/>
        <v>11053955.000000004</v>
      </c>
      <c r="W253" s="41">
        <v>25</v>
      </c>
      <c r="X253" s="41">
        <v>1</v>
      </c>
      <c r="Y253" s="70">
        <f t="shared" si="35"/>
        <v>12159350.500000006</v>
      </c>
      <c r="Z253" s="41">
        <v>25</v>
      </c>
      <c r="AA253" s="41">
        <v>1</v>
      </c>
      <c r="AB253" s="70">
        <f t="shared" si="36"/>
        <v>13375285.550000006</v>
      </c>
      <c r="AC253" s="41">
        <v>25</v>
      </c>
      <c r="AD253" s="41">
        <v>1</v>
      </c>
      <c r="AE253" s="70">
        <f t="shared" si="37"/>
        <v>14712814.10500001</v>
      </c>
      <c r="AF253" s="28">
        <f t="shared" si="38"/>
        <v>70485955.155000031</v>
      </c>
      <c r="AG253" s="28">
        <f t="shared" si="39"/>
        <v>68432.966169902938</v>
      </c>
    </row>
    <row r="254" spans="1:33" ht="57.6" x14ac:dyDescent="0.3">
      <c r="A254" s="41" t="s">
        <v>697</v>
      </c>
      <c r="B254" s="41" t="s">
        <v>693</v>
      </c>
      <c r="C254" s="41" t="s">
        <v>673</v>
      </c>
      <c r="D254" s="41" t="s">
        <v>114</v>
      </c>
      <c r="E254" s="41" t="s">
        <v>157</v>
      </c>
      <c r="F254" s="41" t="s">
        <v>714</v>
      </c>
      <c r="G254" s="83">
        <v>10000</v>
      </c>
      <c r="J254" s="84"/>
      <c r="K254" s="41"/>
      <c r="L254" s="41"/>
      <c r="M254" s="70">
        <f t="shared" si="31"/>
        <v>0</v>
      </c>
      <c r="N254" s="41">
        <v>15</v>
      </c>
      <c r="O254" s="41">
        <v>1</v>
      </c>
      <c r="P254" s="70">
        <f t="shared" si="32"/>
        <v>181500.00000000003</v>
      </c>
      <c r="Q254" s="41">
        <v>15</v>
      </c>
      <c r="R254" s="41">
        <v>1</v>
      </c>
      <c r="S254" s="70">
        <f t="shared" si="33"/>
        <v>199650.00000000006</v>
      </c>
      <c r="T254" s="41">
        <v>15</v>
      </c>
      <c r="U254" s="41">
        <v>1</v>
      </c>
      <c r="V254" s="70">
        <f t="shared" si="34"/>
        <v>219615.00000000006</v>
      </c>
      <c r="W254" s="41">
        <v>15</v>
      </c>
      <c r="X254" s="41">
        <v>1</v>
      </c>
      <c r="Y254" s="70">
        <f t="shared" si="35"/>
        <v>241576.50000000009</v>
      </c>
      <c r="Z254" s="41">
        <v>15</v>
      </c>
      <c r="AA254" s="41">
        <v>1</v>
      </c>
      <c r="AB254" s="70">
        <f t="shared" si="36"/>
        <v>265734.15000000014</v>
      </c>
      <c r="AC254" s="41">
        <v>15</v>
      </c>
      <c r="AD254" s="41">
        <v>1</v>
      </c>
      <c r="AE254" s="70">
        <f t="shared" si="37"/>
        <v>292307.56500000018</v>
      </c>
      <c r="AF254" s="28">
        <f t="shared" si="38"/>
        <v>1400383.2150000005</v>
      </c>
      <c r="AG254" s="28">
        <f t="shared" si="39"/>
        <v>1359.5953543689325</v>
      </c>
    </row>
    <row r="255" spans="1:33" ht="57.6" x14ac:dyDescent="0.3">
      <c r="A255" s="41" t="s">
        <v>697</v>
      </c>
      <c r="B255" s="41" t="s">
        <v>693</v>
      </c>
      <c r="C255" s="41" t="s">
        <v>673</v>
      </c>
      <c r="D255" s="41" t="s">
        <v>114</v>
      </c>
      <c r="E255" s="41" t="s">
        <v>157</v>
      </c>
      <c r="F255" s="41" t="s">
        <v>712</v>
      </c>
      <c r="G255" s="83">
        <f>1999.2/7</f>
        <v>285.60000000000002</v>
      </c>
      <c r="J255" s="84"/>
      <c r="K255" s="41"/>
      <c r="L255" s="41"/>
      <c r="M255" s="70">
        <f t="shared" si="31"/>
        <v>0</v>
      </c>
      <c r="N255" s="41">
        <f>25*2*9</f>
        <v>450</v>
      </c>
      <c r="O255" s="41">
        <v>5</v>
      </c>
      <c r="P255" s="70">
        <f t="shared" si="32"/>
        <v>777546.00000000023</v>
      </c>
      <c r="Q255" s="41">
        <v>450</v>
      </c>
      <c r="R255" s="41">
        <v>5</v>
      </c>
      <c r="S255" s="70">
        <f t="shared" si="33"/>
        <v>855300.60000000044</v>
      </c>
      <c r="T255" s="41">
        <v>450</v>
      </c>
      <c r="U255" s="41">
        <v>5</v>
      </c>
      <c r="V255" s="70">
        <f t="shared" si="34"/>
        <v>940830.66000000038</v>
      </c>
      <c r="W255" s="41">
        <v>450</v>
      </c>
      <c r="X255" s="41">
        <v>5</v>
      </c>
      <c r="Y255" s="70">
        <f t="shared" si="35"/>
        <v>1034913.7260000005</v>
      </c>
      <c r="Z255" s="41">
        <v>450</v>
      </c>
      <c r="AA255" s="41">
        <v>5</v>
      </c>
      <c r="AB255" s="70">
        <f t="shared" si="36"/>
        <v>1138405.0986000006</v>
      </c>
      <c r="AC255" s="41">
        <v>450</v>
      </c>
      <c r="AD255" s="41">
        <v>5</v>
      </c>
      <c r="AE255" s="70">
        <f t="shared" si="37"/>
        <v>1252245.6084600009</v>
      </c>
      <c r="AF255" s="28">
        <f t="shared" si="38"/>
        <v>5999241.6930600023</v>
      </c>
      <c r="AG255" s="28">
        <f t="shared" si="39"/>
        <v>5824.5064981165069</v>
      </c>
    </row>
    <row r="256" spans="1:33" ht="57.6" x14ac:dyDescent="0.3">
      <c r="A256" s="41" t="s">
        <v>697</v>
      </c>
      <c r="B256" s="41" t="s">
        <v>693</v>
      </c>
      <c r="C256" s="41" t="s">
        <v>673</v>
      </c>
      <c r="D256" s="41" t="s">
        <v>114</v>
      </c>
      <c r="E256" s="41" t="s">
        <v>157</v>
      </c>
      <c r="F256" s="41" t="s">
        <v>1350</v>
      </c>
      <c r="G256" s="83">
        <f>1999.2/7</f>
        <v>285.60000000000002</v>
      </c>
      <c r="J256" s="84"/>
      <c r="K256" s="41"/>
      <c r="L256" s="41"/>
      <c r="M256" s="70">
        <f t="shared" si="31"/>
        <v>0</v>
      </c>
      <c r="N256" s="41">
        <f>135*2*9</f>
        <v>2430</v>
      </c>
      <c r="O256" s="41">
        <v>1</v>
      </c>
      <c r="P256" s="70">
        <f t="shared" si="32"/>
        <v>839749.68000000017</v>
      </c>
      <c r="Q256" s="41">
        <v>2430</v>
      </c>
      <c r="R256" s="41">
        <v>1</v>
      </c>
      <c r="S256" s="70">
        <f t="shared" si="33"/>
        <v>923724.64800000039</v>
      </c>
      <c r="T256" s="41">
        <v>2430</v>
      </c>
      <c r="U256" s="41">
        <v>1</v>
      </c>
      <c r="V256" s="70">
        <f t="shared" si="34"/>
        <v>1016097.1128000004</v>
      </c>
      <c r="W256" s="41">
        <v>2430</v>
      </c>
      <c r="X256" s="41">
        <v>1</v>
      </c>
      <c r="Y256" s="70">
        <f t="shared" si="35"/>
        <v>1117706.8240800004</v>
      </c>
      <c r="Z256" s="41">
        <v>2430</v>
      </c>
      <c r="AA256" s="41">
        <v>1</v>
      </c>
      <c r="AB256" s="70">
        <f t="shared" si="36"/>
        <v>1229477.5064880007</v>
      </c>
      <c r="AC256" s="41">
        <v>2430</v>
      </c>
      <c r="AD256" s="41">
        <v>1</v>
      </c>
      <c r="AE256" s="70">
        <f t="shared" si="37"/>
        <v>1352425.257136801</v>
      </c>
      <c r="AF256" s="28">
        <f t="shared" si="38"/>
        <v>6479181.0285048038</v>
      </c>
      <c r="AG256" s="28">
        <f t="shared" si="39"/>
        <v>6290.4670179658287</v>
      </c>
    </row>
    <row r="257" spans="1:33" ht="57.6" x14ac:dyDescent="0.3">
      <c r="A257" s="41" t="s">
        <v>697</v>
      </c>
      <c r="B257" s="41" t="s">
        <v>693</v>
      </c>
      <c r="C257" s="41" t="s">
        <v>673</v>
      </c>
      <c r="D257" s="41" t="s">
        <v>114</v>
      </c>
      <c r="E257" s="41" t="s">
        <v>152</v>
      </c>
      <c r="F257" s="41" t="s">
        <v>716</v>
      </c>
      <c r="G257" s="83">
        <v>39000</v>
      </c>
      <c r="J257" s="84"/>
      <c r="K257" s="41"/>
      <c r="L257" s="41"/>
      <c r="M257" s="70">
        <f t="shared" si="31"/>
        <v>0</v>
      </c>
      <c r="N257" s="41">
        <v>25</v>
      </c>
      <c r="O257" s="41">
        <v>6</v>
      </c>
      <c r="P257" s="70">
        <f t="shared" si="32"/>
        <v>7078500.0000000019</v>
      </c>
      <c r="Q257" s="41">
        <v>25</v>
      </c>
      <c r="R257" s="41">
        <v>6</v>
      </c>
      <c r="S257" s="70">
        <f t="shared" si="33"/>
        <v>7786350.0000000028</v>
      </c>
      <c r="T257" s="41">
        <v>25</v>
      </c>
      <c r="U257" s="41">
        <v>6</v>
      </c>
      <c r="V257" s="70">
        <f t="shared" si="34"/>
        <v>8564985.0000000037</v>
      </c>
      <c r="W257" s="41">
        <v>25</v>
      </c>
      <c r="X257" s="41">
        <v>6</v>
      </c>
      <c r="Y257" s="70">
        <f t="shared" si="35"/>
        <v>9421483.5000000037</v>
      </c>
      <c r="Z257" s="41">
        <v>25</v>
      </c>
      <c r="AA257" s="41">
        <v>6</v>
      </c>
      <c r="AB257" s="70">
        <f t="shared" si="36"/>
        <v>10363631.850000005</v>
      </c>
      <c r="AC257" s="41">
        <v>25</v>
      </c>
      <c r="AD257" s="41">
        <v>6</v>
      </c>
      <c r="AE257" s="70">
        <f t="shared" si="37"/>
        <v>11399995.035000006</v>
      </c>
      <c r="AF257" s="28">
        <f t="shared" si="38"/>
        <v>54614945.38500002</v>
      </c>
      <c r="AG257" s="28">
        <f t="shared" si="39"/>
        <v>53024.218820388371</v>
      </c>
    </row>
    <row r="258" spans="1:33" ht="57.6" x14ac:dyDescent="0.3">
      <c r="A258" s="41" t="s">
        <v>697</v>
      </c>
      <c r="B258" s="41" t="s">
        <v>693</v>
      </c>
      <c r="C258" s="41" t="s">
        <v>673</v>
      </c>
      <c r="D258" s="41" t="s">
        <v>114</v>
      </c>
      <c r="E258" s="41" t="s">
        <v>152</v>
      </c>
      <c r="F258" s="41" t="s">
        <v>709</v>
      </c>
      <c r="G258" s="83">
        <v>35000</v>
      </c>
      <c r="J258" s="84"/>
      <c r="K258" s="41"/>
      <c r="L258" s="41"/>
      <c r="M258" s="70">
        <f t="shared" si="31"/>
        <v>0</v>
      </c>
      <c r="N258" s="41">
        <v>25</v>
      </c>
      <c r="O258" s="41">
        <v>5</v>
      </c>
      <c r="P258" s="70">
        <f t="shared" si="32"/>
        <v>5293750.0000000009</v>
      </c>
      <c r="Q258" s="41">
        <v>25</v>
      </c>
      <c r="R258" s="41">
        <v>5</v>
      </c>
      <c r="S258" s="70">
        <f t="shared" si="33"/>
        <v>5823125.0000000019</v>
      </c>
      <c r="T258" s="41">
        <v>25</v>
      </c>
      <c r="U258" s="41">
        <v>5</v>
      </c>
      <c r="V258" s="70">
        <f t="shared" si="34"/>
        <v>6405437.5000000019</v>
      </c>
      <c r="W258" s="41">
        <v>25</v>
      </c>
      <c r="X258" s="41">
        <v>5</v>
      </c>
      <c r="Y258" s="70">
        <f t="shared" si="35"/>
        <v>7045981.2500000019</v>
      </c>
      <c r="Z258" s="41">
        <v>25</v>
      </c>
      <c r="AA258" s="41">
        <v>5</v>
      </c>
      <c r="AB258" s="70">
        <f t="shared" si="36"/>
        <v>7750579.3750000037</v>
      </c>
      <c r="AC258" s="41">
        <v>25</v>
      </c>
      <c r="AD258" s="41">
        <v>5</v>
      </c>
      <c r="AE258" s="70">
        <f t="shared" si="37"/>
        <v>8525637.3125000037</v>
      </c>
      <c r="AF258" s="28">
        <f t="shared" si="38"/>
        <v>40844510.437500015</v>
      </c>
      <c r="AG258" s="28">
        <f t="shared" si="39"/>
        <v>39654.864502427197</v>
      </c>
    </row>
    <row r="259" spans="1:33" ht="57.6" x14ac:dyDescent="0.3">
      <c r="A259" s="41" t="s">
        <v>697</v>
      </c>
      <c r="B259" s="41" t="s">
        <v>693</v>
      </c>
      <c r="C259" s="41" t="s">
        <v>673</v>
      </c>
      <c r="D259" s="41" t="s">
        <v>114</v>
      </c>
      <c r="E259" s="41" t="s">
        <v>152</v>
      </c>
      <c r="F259" s="41" t="s">
        <v>712</v>
      </c>
      <c r="G259" s="83">
        <f>1999.2/7</f>
        <v>285.60000000000002</v>
      </c>
      <c r="J259" s="84"/>
      <c r="K259" s="41"/>
      <c r="L259" s="41"/>
      <c r="M259" s="70">
        <f t="shared" ref="M259:M310" si="41">($G259*1.1^1)*K259*L259</f>
        <v>0</v>
      </c>
      <c r="N259" s="41">
        <f>25*2*9</f>
        <v>450</v>
      </c>
      <c r="O259" s="41">
        <v>5</v>
      </c>
      <c r="P259" s="70">
        <f t="shared" ref="P259:P310" si="42">($G259*1.1^2)*N259*O259</f>
        <v>777546.00000000023</v>
      </c>
      <c r="Q259" s="41">
        <v>450</v>
      </c>
      <c r="R259" s="41">
        <v>5</v>
      </c>
      <c r="S259" s="70">
        <f t="shared" ref="S259:S310" si="43">($G259*1.1^3)*Q259*R259</f>
        <v>855300.60000000044</v>
      </c>
      <c r="T259" s="41">
        <v>450</v>
      </c>
      <c r="U259" s="41">
        <v>5</v>
      </c>
      <c r="V259" s="70">
        <f t="shared" ref="V259:V310" si="44">($G259*1.1^4)*T259*U259</f>
        <v>940830.66000000038</v>
      </c>
      <c r="W259" s="41">
        <v>450</v>
      </c>
      <c r="X259" s="41">
        <v>5</v>
      </c>
      <c r="Y259" s="70">
        <f t="shared" ref="Y259:Y310" si="45">($G259*1.1^5)*W259*X259</f>
        <v>1034913.7260000005</v>
      </c>
      <c r="Z259" s="41">
        <v>450</v>
      </c>
      <c r="AA259" s="41">
        <v>5</v>
      </c>
      <c r="AB259" s="70">
        <f t="shared" ref="AB259:AB310" si="46">($G259*1.1^6)*Z259*AA259</f>
        <v>1138405.0986000006</v>
      </c>
      <c r="AC259" s="41">
        <v>450</v>
      </c>
      <c r="AD259" s="41">
        <v>5</v>
      </c>
      <c r="AE259" s="70">
        <f t="shared" ref="AE259:AE310" si="47">($G259*1.1^7)*AC259*AD259</f>
        <v>1252245.6084600009</v>
      </c>
      <c r="AF259" s="28">
        <f t="shared" ref="AF259:AF312" si="48">J259+M259+P259+S259+V259+Y259+AB259+AE259</f>
        <v>5999241.6930600023</v>
      </c>
      <c r="AG259" s="28">
        <f t="shared" ref="AG259:AG312" si="49">AF259/$AL$2</f>
        <v>5824.5064981165069</v>
      </c>
    </row>
    <row r="260" spans="1:33" ht="57.6" x14ac:dyDescent="0.3">
      <c r="A260" s="41" t="s">
        <v>697</v>
      </c>
      <c r="B260" s="41" t="s">
        <v>693</v>
      </c>
      <c r="C260" s="41" t="s">
        <v>673</v>
      </c>
      <c r="D260" s="41" t="s">
        <v>114</v>
      </c>
      <c r="E260" s="41" t="s">
        <v>152</v>
      </c>
      <c r="F260" s="41" t="s">
        <v>1350</v>
      </c>
      <c r="G260" s="83">
        <f>1999.2/7</f>
        <v>285.60000000000002</v>
      </c>
      <c r="J260" s="84"/>
      <c r="K260" s="41"/>
      <c r="L260" s="41"/>
      <c r="M260" s="70">
        <f t="shared" si="41"/>
        <v>0</v>
      </c>
      <c r="N260" s="41">
        <f>135*2*9</f>
        <v>2430</v>
      </c>
      <c r="O260" s="41">
        <v>1</v>
      </c>
      <c r="P260" s="70">
        <f t="shared" si="42"/>
        <v>839749.68000000017</v>
      </c>
      <c r="Q260" s="41">
        <v>2430</v>
      </c>
      <c r="R260" s="41">
        <v>1</v>
      </c>
      <c r="S260" s="70">
        <f t="shared" si="43"/>
        <v>923724.64800000039</v>
      </c>
      <c r="T260" s="41">
        <v>2430</v>
      </c>
      <c r="U260" s="41">
        <v>1</v>
      </c>
      <c r="V260" s="70">
        <f t="shared" si="44"/>
        <v>1016097.1128000004</v>
      </c>
      <c r="W260" s="41">
        <v>2430</v>
      </c>
      <c r="X260" s="41">
        <v>1</v>
      </c>
      <c r="Y260" s="70">
        <f t="shared" si="45"/>
        <v>1117706.8240800004</v>
      </c>
      <c r="Z260" s="41">
        <v>2430</v>
      </c>
      <c r="AA260" s="41">
        <v>1</v>
      </c>
      <c r="AB260" s="70">
        <f t="shared" si="46"/>
        <v>1229477.5064880007</v>
      </c>
      <c r="AC260" s="41">
        <v>2430</v>
      </c>
      <c r="AD260" s="41">
        <v>1</v>
      </c>
      <c r="AE260" s="70">
        <f t="shared" si="47"/>
        <v>1352425.257136801</v>
      </c>
      <c r="AF260" s="28">
        <f t="shared" si="48"/>
        <v>6479181.0285048038</v>
      </c>
      <c r="AG260" s="28">
        <f t="shared" si="49"/>
        <v>6290.4670179658287</v>
      </c>
    </row>
    <row r="261" spans="1:33" ht="57.6" x14ac:dyDescent="0.3">
      <c r="A261" s="41" t="s">
        <v>697</v>
      </c>
      <c r="B261" s="41" t="s">
        <v>693</v>
      </c>
      <c r="C261" s="41" t="s">
        <v>673</v>
      </c>
      <c r="D261" s="41" t="s">
        <v>114</v>
      </c>
      <c r="E261" s="41" t="s">
        <v>180</v>
      </c>
      <c r="F261" s="41" t="s">
        <v>716</v>
      </c>
      <c r="G261" s="83">
        <v>39000</v>
      </c>
      <c r="J261" s="84"/>
      <c r="K261" s="41"/>
      <c r="L261" s="41"/>
      <c r="M261" s="70">
        <f t="shared" si="41"/>
        <v>0</v>
      </c>
      <c r="N261" s="41">
        <v>25</v>
      </c>
      <c r="O261" s="41">
        <v>5</v>
      </c>
      <c r="P261" s="70">
        <f t="shared" si="42"/>
        <v>5898750.0000000009</v>
      </c>
      <c r="Q261" s="41">
        <v>25</v>
      </c>
      <c r="R261" s="41">
        <v>5</v>
      </c>
      <c r="S261" s="70">
        <f t="shared" si="43"/>
        <v>6488625.0000000019</v>
      </c>
      <c r="T261" s="41">
        <v>25</v>
      </c>
      <c r="U261" s="41">
        <v>5</v>
      </c>
      <c r="V261" s="70">
        <f t="shared" si="44"/>
        <v>7137487.5000000019</v>
      </c>
      <c r="W261" s="41">
        <v>25</v>
      </c>
      <c r="X261" s="41">
        <v>5</v>
      </c>
      <c r="Y261" s="70">
        <f t="shared" si="45"/>
        <v>7851236.2500000019</v>
      </c>
      <c r="Z261" s="41">
        <v>25</v>
      </c>
      <c r="AA261" s="41">
        <v>5</v>
      </c>
      <c r="AB261" s="70">
        <f t="shared" si="46"/>
        <v>8636359.8750000037</v>
      </c>
      <c r="AC261" s="41">
        <v>25</v>
      </c>
      <c r="AD261" s="41">
        <v>5</v>
      </c>
      <c r="AE261" s="70">
        <f t="shared" si="47"/>
        <v>9499995.8625000045</v>
      </c>
      <c r="AF261" s="28">
        <f t="shared" si="48"/>
        <v>45512454.487500019</v>
      </c>
      <c r="AG261" s="28">
        <f t="shared" si="49"/>
        <v>44186.849016990309</v>
      </c>
    </row>
    <row r="262" spans="1:33" ht="57.6" x14ac:dyDescent="0.3">
      <c r="A262" s="41" t="s">
        <v>697</v>
      </c>
      <c r="B262" s="41" t="s">
        <v>693</v>
      </c>
      <c r="C262" s="41" t="s">
        <v>673</v>
      </c>
      <c r="D262" s="41" t="s">
        <v>114</v>
      </c>
      <c r="E262" s="41" t="s">
        <v>180</v>
      </c>
      <c r="F262" s="41" t="s">
        <v>709</v>
      </c>
      <c r="G262" s="83">
        <v>35000</v>
      </c>
      <c r="J262" s="84"/>
      <c r="K262" s="41"/>
      <c r="L262" s="41"/>
      <c r="M262" s="70">
        <f t="shared" si="41"/>
        <v>0</v>
      </c>
      <c r="N262" s="41">
        <v>25</v>
      </c>
      <c r="O262" s="41">
        <v>5</v>
      </c>
      <c r="P262" s="70">
        <f t="shared" si="42"/>
        <v>5293750.0000000009</v>
      </c>
      <c r="Q262" s="41">
        <v>25</v>
      </c>
      <c r="R262" s="41">
        <v>5</v>
      </c>
      <c r="S262" s="70">
        <f t="shared" si="43"/>
        <v>5823125.0000000019</v>
      </c>
      <c r="T262" s="41">
        <v>25</v>
      </c>
      <c r="U262" s="41">
        <v>5</v>
      </c>
      <c r="V262" s="70">
        <f t="shared" si="44"/>
        <v>6405437.5000000019</v>
      </c>
      <c r="W262" s="41">
        <v>25</v>
      </c>
      <c r="X262" s="41">
        <v>5</v>
      </c>
      <c r="Y262" s="70">
        <f t="shared" si="45"/>
        <v>7045981.2500000019</v>
      </c>
      <c r="Z262" s="41">
        <v>25</v>
      </c>
      <c r="AA262" s="41">
        <v>5</v>
      </c>
      <c r="AB262" s="70">
        <f t="shared" si="46"/>
        <v>7750579.3750000037</v>
      </c>
      <c r="AC262" s="41">
        <v>25</v>
      </c>
      <c r="AD262" s="41">
        <v>5</v>
      </c>
      <c r="AE262" s="70">
        <f t="shared" si="47"/>
        <v>8525637.3125000037</v>
      </c>
      <c r="AF262" s="28">
        <f t="shared" si="48"/>
        <v>40844510.437500015</v>
      </c>
      <c r="AG262" s="28">
        <f t="shared" si="49"/>
        <v>39654.864502427197</v>
      </c>
    </row>
    <row r="263" spans="1:33" ht="57.6" x14ac:dyDescent="0.3">
      <c r="A263" s="41" t="s">
        <v>697</v>
      </c>
      <c r="B263" s="41" t="s">
        <v>693</v>
      </c>
      <c r="C263" s="41" t="s">
        <v>673</v>
      </c>
      <c r="D263" s="41" t="s">
        <v>114</v>
      </c>
      <c r="E263" s="41" t="s">
        <v>180</v>
      </c>
      <c r="F263" s="41" t="s">
        <v>1350</v>
      </c>
      <c r="G263" s="83">
        <f>1999.2/7</f>
        <v>285.60000000000002</v>
      </c>
      <c r="J263" s="84"/>
      <c r="K263" s="41"/>
      <c r="L263" s="41"/>
      <c r="M263" s="70">
        <f t="shared" si="41"/>
        <v>0</v>
      </c>
      <c r="N263" s="41">
        <f>135*2*9</f>
        <v>2430</v>
      </c>
      <c r="O263" s="41">
        <v>1</v>
      </c>
      <c r="P263" s="70">
        <f t="shared" si="42"/>
        <v>839749.68000000017</v>
      </c>
      <c r="Q263" s="41">
        <v>2430</v>
      </c>
      <c r="R263" s="41">
        <v>1</v>
      </c>
      <c r="S263" s="70">
        <f t="shared" si="43"/>
        <v>923724.64800000039</v>
      </c>
      <c r="T263" s="41">
        <v>2430</v>
      </c>
      <c r="U263" s="41">
        <v>1</v>
      </c>
      <c r="V263" s="70">
        <f t="shared" si="44"/>
        <v>1016097.1128000004</v>
      </c>
      <c r="W263" s="41">
        <v>2430</v>
      </c>
      <c r="X263" s="41">
        <v>1</v>
      </c>
      <c r="Y263" s="70">
        <f t="shared" si="45"/>
        <v>1117706.8240800004</v>
      </c>
      <c r="Z263" s="41">
        <v>2430</v>
      </c>
      <c r="AA263" s="41">
        <v>1</v>
      </c>
      <c r="AB263" s="70">
        <f t="shared" si="46"/>
        <v>1229477.5064880007</v>
      </c>
      <c r="AC263" s="41">
        <v>2430</v>
      </c>
      <c r="AD263" s="41">
        <v>1</v>
      </c>
      <c r="AE263" s="70">
        <f t="shared" si="47"/>
        <v>1352425.257136801</v>
      </c>
      <c r="AF263" s="28">
        <f t="shared" si="48"/>
        <v>6479181.0285048038</v>
      </c>
      <c r="AG263" s="28">
        <f t="shared" si="49"/>
        <v>6290.4670179658287</v>
      </c>
    </row>
    <row r="264" spans="1:33" ht="57.6" x14ac:dyDescent="0.3">
      <c r="A264" s="41" t="s">
        <v>697</v>
      </c>
      <c r="B264" s="41" t="s">
        <v>693</v>
      </c>
      <c r="C264" s="41" t="s">
        <v>673</v>
      </c>
      <c r="D264" s="41" t="s">
        <v>114</v>
      </c>
      <c r="E264" s="41" t="s">
        <v>180</v>
      </c>
      <c r="F264" s="41" t="s">
        <v>712</v>
      </c>
      <c r="G264" s="83">
        <f>1999.2/7</f>
        <v>285.60000000000002</v>
      </c>
      <c r="J264" s="84"/>
      <c r="K264" s="41"/>
      <c r="L264" s="41"/>
      <c r="M264" s="70">
        <f t="shared" si="41"/>
        <v>0</v>
      </c>
      <c r="N264" s="41">
        <f>25*2*9</f>
        <v>450</v>
      </c>
      <c r="O264" s="41">
        <v>5</v>
      </c>
      <c r="P264" s="70">
        <f t="shared" si="42"/>
        <v>777546.00000000023</v>
      </c>
      <c r="Q264" s="41">
        <v>450</v>
      </c>
      <c r="R264" s="41">
        <v>5</v>
      </c>
      <c r="S264" s="70">
        <f t="shared" si="43"/>
        <v>855300.60000000044</v>
      </c>
      <c r="T264" s="41">
        <v>450</v>
      </c>
      <c r="U264" s="41">
        <v>5</v>
      </c>
      <c r="V264" s="70">
        <f t="shared" si="44"/>
        <v>940830.66000000038</v>
      </c>
      <c r="W264" s="41">
        <v>450</v>
      </c>
      <c r="X264" s="41">
        <v>5</v>
      </c>
      <c r="Y264" s="70">
        <f t="shared" si="45"/>
        <v>1034913.7260000005</v>
      </c>
      <c r="Z264" s="41">
        <v>450</v>
      </c>
      <c r="AA264" s="41">
        <v>5</v>
      </c>
      <c r="AB264" s="70">
        <f t="shared" si="46"/>
        <v>1138405.0986000006</v>
      </c>
      <c r="AC264" s="41">
        <v>450</v>
      </c>
      <c r="AD264" s="41">
        <v>5</v>
      </c>
      <c r="AE264" s="70">
        <f t="shared" si="47"/>
        <v>1252245.6084600009</v>
      </c>
      <c r="AF264" s="28">
        <f t="shared" si="48"/>
        <v>5999241.6930600023</v>
      </c>
      <c r="AG264" s="28">
        <f t="shared" si="49"/>
        <v>5824.5064981165069</v>
      </c>
    </row>
    <row r="265" spans="1:33" ht="57.6" x14ac:dyDescent="0.3">
      <c r="A265" s="41" t="s">
        <v>697</v>
      </c>
      <c r="B265" s="41" t="s">
        <v>693</v>
      </c>
      <c r="C265" s="41" t="s">
        <v>673</v>
      </c>
      <c r="D265" s="41" t="s">
        <v>114</v>
      </c>
      <c r="E265" s="41" t="s">
        <v>175</v>
      </c>
      <c r="F265" s="41" t="s">
        <v>709</v>
      </c>
      <c r="G265" s="83">
        <v>35000</v>
      </c>
      <c r="J265" s="84"/>
      <c r="K265" s="41"/>
      <c r="L265" s="41"/>
      <c r="M265" s="70">
        <f t="shared" si="41"/>
        <v>0</v>
      </c>
      <c r="N265" s="41">
        <v>100</v>
      </c>
      <c r="O265" s="41">
        <v>5</v>
      </c>
      <c r="P265" s="70">
        <f t="shared" si="42"/>
        <v>21175000.000000004</v>
      </c>
      <c r="Q265" s="41">
        <v>100</v>
      </c>
      <c r="R265" s="41">
        <v>5</v>
      </c>
      <c r="S265" s="70">
        <f t="shared" si="43"/>
        <v>23292500.000000007</v>
      </c>
      <c r="T265" s="41">
        <v>100</v>
      </c>
      <c r="U265" s="41">
        <v>5</v>
      </c>
      <c r="V265" s="70">
        <f t="shared" si="44"/>
        <v>25621750.000000007</v>
      </c>
      <c r="W265" s="41">
        <v>100</v>
      </c>
      <c r="X265" s="41">
        <v>5</v>
      </c>
      <c r="Y265" s="70">
        <f t="shared" si="45"/>
        <v>28183925.000000007</v>
      </c>
      <c r="Z265" s="41">
        <v>100</v>
      </c>
      <c r="AA265" s="41">
        <v>5</v>
      </c>
      <c r="AB265" s="70">
        <f t="shared" si="46"/>
        <v>31002317.500000015</v>
      </c>
      <c r="AC265" s="41">
        <v>100</v>
      </c>
      <c r="AD265" s="41">
        <v>5</v>
      </c>
      <c r="AE265" s="70">
        <f t="shared" si="47"/>
        <v>34102549.250000015</v>
      </c>
      <c r="AF265" s="28">
        <f t="shared" si="48"/>
        <v>163378041.75000006</v>
      </c>
      <c r="AG265" s="28">
        <f t="shared" si="49"/>
        <v>158619.45800970879</v>
      </c>
    </row>
    <row r="266" spans="1:33" ht="57.6" x14ac:dyDescent="0.3">
      <c r="A266" s="41" t="s">
        <v>697</v>
      </c>
      <c r="B266" s="41" t="s">
        <v>693</v>
      </c>
      <c r="C266" s="41" t="s">
        <v>673</v>
      </c>
      <c r="D266" s="41" t="s">
        <v>114</v>
      </c>
      <c r="E266" s="41" t="s">
        <v>554</v>
      </c>
      <c r="F266" s="41" t="s">
        <v>709</v>
      </c>
      <c r="G266" s="83">
        <v>35000</v>
      </c>
      <c r="J266" s="84"/>
      <c r="K266" s="41"/>
      <c r="L266" s="41"/>
      <c r="M266" s="70">
        <f t="shared" si="41"/>
        <v>0</v>
      </c>
      <c r="N266" s="41">
        <v>30</v>
      </c>
      <c r="O266" s="41">
        <v>1</v>
      </c>
      <c r="P266" s="70">
        <f t="shared" si="42"/>
        <v>1270500.0000000002</v>
      </c>
      <c r="Q266" s="41">
        <v>30</v>
      </c>
      <c r="R266" s="41">
        <v>1</v>
      </c>
      <c r="S266" s="70">
        <f t="shared" si="43"/>
        <v>1397550.0000000005</v>
      </c>
      <c r="T266" s="41">
        <v>30</v>
      </c>
      <c r="U266" s="41">
        <v>1</v>
      </c>
      <c r="V266" s="70">
        <f t="shared" si="44"/>
        <v>1537305.0000000005</v>
      </c>
      <c r="W266" s="41">
        <v>30</v>
      </c>
      <c r="X266" s="41">
        <v>1</v>
      </c>
      <c r="Y266" s="70">
        <f t="shared" si="45"/>
        <v>1691035.5000000007</v>
      </c>
      <c r="Z266" s="41">
        <v>30</v>
      </c>
      <c r="AA266" s="41">
        <v>1</v>
      </c>
      <c r="AB266" s="70">
        <f t="shared" si="46"/>
        <v>1860139.050000001</v>
      </c>
      <c r="AC266" s="41">
        <v>30</v>
      </c>
      <c r="AD266" s="41">
        <v>1</v>
      </c>
      <c r="AE266" s="70">
        <f t="shared" si="47"/>
        <v>2046152.955000001</v>
      </c>
      <c r="AF266" s="28">
        <f t="shared" si="48"/>
        <v>9802682.5050000045</v>
      </c>
      <c r="AG266" s="28">
        <f t="shared" si="49"/>
        <v>9517.1674805825278</v>
      </c>
    </row>
    <row r="267" spans="1:33" ht="57.6" x14ac:dyDescent="0.3">
      <c r="A267" s="41" t="s">
        <v>697</v>
      </c>
      <c r="B267" s="41" t="s">
        <v>693</v>
      </c>
      <c r="C267" s="41" t="s">
        <v>673</v>
      </c>
      <c r="D267" s="41" t="s">
        <v>114</v>
      </c>
      <c r="E267" s="41" t="s">
        <v>562</v>
      </c>
      <c r="F267" s="41" t="s">
        <v>718</v>
      </c>
      <c r="G267" s="83">
        <v>0</v>
      </c>
      <c r="J267" s="84"/>
      <c r="K267" s="41">
        <v>0</v>
      </c>
      <c r="L267" s="41">
        <v>0</v>
      </c>
      <c r="M267" s="70">
        <f t="shared" si="41"/>
        <v>0</v>
      </c>
      <c r="N267" s="41">
        <v>0</v>
      </c>
      <c r="O267" s="41">
        <v>0</v>
      </c>
      <c r="P267" s="70">
        <f t="shared" si="42"/>
        <v>0</v>
      </c>
      <c r="Q267" s="41">
        <v>0</v>
      </c>
      <c r="R267" s="41">
        <v>0</v>
      </c>
      <c r="S267" s="70">
        <f t="shared" si="43"/>
        <v>0</v>
      </c>
      <c r="T267" s="41">
        <v>0</v>
      </c>
      <c r="U267" s="41">
        <v>0</v>
      </c>
      <c r="V267" s="70">
        <f t="shared" si="44"/>
        <v>0</v>
      </c>
      <c r="W267" s="41">
        <v>0</v>
      </c>
      <c r="X267" s="41">
        <v>0</v>
      </c>
      <c r="Y267" s="70">
        <f t="shared" si="45"/>
        <v>0</v>
      </c>
      <c r="Z267" s="41">
        <v>0</v>
      </c>
      <c r="AA267" s="41">
        <v>0</v>
      </c>
      <c r="AB267" s="70">
        <f t="shared" si="46"/>
        <v>0</v>
      </c>
      <c r="AC267" s="41">
        <v>0</v>
      </c>
      <c r="AD267" s="41">
        <v>0</v>
      </c>
      <c r="AE267" s="70">
        <f t="shared" si="47"/>
        <v>0</v>
      </c>
      <c r="AF267" s="28">
        <f t="shared" si="48"/>
        <v>0</v>
      </c>
      <c r="AG267" s="28">
        <f t="shared" si="49"/>
        <v>0</v>
      </c>
    </row>
    <row r="268" spans="1:33" ht="57.6" x14ac:dyDescent="0.3">
      <c r="A268" s="41" t="s">
        <v>697</v>
      </c>
      <c r="B268" s="41" t="s">
        <v>693</v>
      </c>
      <c r="C268" s="41" t="s">
        <v>673</v>
      </c>
      <c r="D268" s="41" t="s">
        <v>114</v>
      </c>
      <c r="E268" s="41" t="s">
        <v>183</v>
      </c>
      <c r="F268" s="41" t="s">
        <v>1405</v>
      </c>
      <c r="G268" s="83">
        <v>8000</v>
      </c>
      <c r="J268" s="84"/>
      <c r="K268" s="41">
        <v>50000</v>
      </c>
      <c r="L268" s="41">
        <v>1</v>
      </c>
      <c r="M268" s="70">
        <f t="shared" si="41"/>
        <v>440000000</v>
      </c>
      <c r="N268" s="41">
        <v>5</v>
      </c>
      <c r="O268" s="41">
        <v>1</v>
      </c>
      <c r="P268" s="70">
        <f t="shared" si="42"/>
        <v>48400.000000000007</v>
      </c>
      <c r="Q268" s="41">
        <v>5</v>
      </c>
      <c r="R268" s="41">
        <v>1</v>
      </c>
      <c r="S268" s="70">
        <f t="shared" si="43"/>
        <v>53240.000000000015</v>
      </c>
      <c r="T268" s="41">
        <v>5</v>
      </c>
      <c r="U268" s="41">
        <v>1</v>
      </c>
      <c r="V268" s="70">
        <f t="shared" si="44"/>
        <v>58564.000000000015</v>
      </c>
      <c r="W268" s="41">
        <v>5</v>
      </c>
      <c r="X268" s="41">
        <v>1</v>
      </c>
      <c r="Y268" s="70">
        <f t="shared" si="45"/>
        <v>64420.400000000016</v>
      </c>
      <c r="Z268" s="41">
        <v>5</v>
      </c>
      <c r="AA268" s="41">
        <v>1</v>
      </c>
      <c r="AB268" s="70">
        <f t="shared" si="46"/>
        <v>70862.440000000031</v>
      </c>
      <c r="AC268" s="41">
        <v>5</v>
      </c>
      <c r="AD268" s="41">
        <v>1</v>
      </c>
      <c r="AE268" s="70">
        <f t="shared" si="47"/>
        <v>77948.684000000052</v>
      </c>
      <c r="AF268" s="28">
        <f t="shared" si="48"/>
        <v>440373435.52399999</v>
      </c>
      <c r="AG268" s="28">
        <f t="shared" si="49"/>
        <v>427547.02478058252</v>
      </c>
    </row>
    <row r="269" spans="1:33" ht="57.6" x14ac:dyDescent="0.3">
      <c r="A269" s="41" t="s">
        <v>697</v>
      </c>
      <c r="B269" s="41" t="s">
        <v>693</v>
      </c>
      <c r="C269" s="41" t="s">
        <v>673</v>
      </c>
      <c r="D269" s="41" t="s">
        <v>114</v>
      </c>
      <c r="E269" s="41" t="s">
        <v>183</v>
      </c>
      <c r="F269" s="41" t="s">
        <v>717</v>
      </c>
      <c r="G269" s="83">
        <v>104850</v>
      </c>
      <c r="J269" s="84"/>
      <c r="K269" s="41">
        <v>5</v>
      </c>
      <c r="L269" s="41">
        <v>1</v>
      </c>
      <c r="M269" s="70">
        <f t="shared" si="41"/>
        <v>576675.00000000012</v>
      </c>
      <c r="N269" s="41">
        <v>1</v>
      </c>
      <c r="O269" s="41">
        <v>1</v>
      </c>
      <c r="P269" s="70">
        <f t="shared" si="42"/>
        <v>126868.50000000001</v>
      </c>
      <c r="Q269" s="41">
        <v>1</v>
      </c>
      <c r="R269" s="41">
        <v>1</v>
      </c>
      <c r="S269" s="70">
        <f t="shared" si="43"/>
        <v>139555.35000000003</v>
      </c>
      <c r="T269" s="41">
        <v>1</v>
      </c>
      <c r="U269" s="41">
        <v>1</v>
      </c>
      <c r="V269" s="70">
        <f t="shared" si="44"/>
        <v>153510.88500000004</v>
      </c>
      <c r="W269" s="41">
        <v>1</v>
      </c>
      <c r="X269" s="41">
        <v>1</v>
      </c>
      <c r="Y269" s="70">
        <f t="shared" si="45"/>
        <v>168861.97350000005</v>
      </c>
      <c r="Z269" s="41">
        <v>1</v>
      </c>
      <c r="AA269" s="41">
        <v>1</v>
      </c>
      <c r="AB269" s="70">
        <f t="shared" si="46"/>
        <v>185748.17085000008</v>
      </c>
      <c r="AC269" s="41">
        <v>1</v>
      </c>
      <c r="AD269" s="41">
        <v>1</v>
      </c>
      <c r="AE269" s="70">
        <f t="shared" si="47"/>
        <v>204322.98793500013</v>
      </c>
      <c r="AF269" s="28">
        <f t="shared" si="48"/>
        <v>1555542.8672850004</v>
      </c>
      <c r="AG269" s="28">
        <f t="shared" si="49"/>
        <v>1510.235793480583</v>
      </c>
    </row>
    <row r="270" spans="1:33" ht="57.6" x14ac:dyDescent="0.3">
      <c r="A270" s="41" t="s">
        <v>697</v>
      </c>
      <c r="B270" s="41" t="s">
        <v>693</v>
      </c>
      <c r="C270" s="41" t="s">
        <v>673</v>
      </c>
      <c r="D270" s="41" t="s">
        <v>114</v>
      </c>
      <c r="E270" s="41" t="s">
        <v>183</v>
      </c>
      <c r="F270" s="41" t="s">
        <v>709</v>
      </c>
      <c r="G270" s="83">
        <v>35000</v>
      </c>
      <c r="J270" s="84"/>
      <c r="K270" s="41">
        <v>50</v>
      </c>
      <c r="L270" s="41">
        <v>1</v>
      </c>
      <c r="M270" s="70">
        <f t="shared" si="41"/>
        <v>1925000</v>
      </c>
      <c r="N270" s="41">
        <v>100</v>
      </c>
      <c r="O270" s="41">
        <v>1</v>
      </c>
      <c r="P270" s="70">
        <f t="shared" si="42"/>
        <v>4235000.0000000009</v>
      </c>
      <c r="Q270" s="41">
        <v>100</v>
      </c>
      <c r="R270" s="41">
        <v>1</v>
      </c>
      <c r="S270" s="70">
        <f t="shared" si="43"/>
        <v>4658500.0000000019</v>
      </c>
      <c r="T270" s="41">
        <v>100</v>
      </c>
      <c r="U270" s="41">
        <v>1</v>
      </c>
      <c r="V270" s="70">
        <f t="shared" si="44"/>
        <v>5124350.0000000019</v>
      </c>
      <c r="W270" s="41">
        <v>100</v>
      </c>
      <c r="X270" s="41">
        <v>1</v>
      </c>
      <c r="Y270" s="70">
        <f t="shared" si="45"/>
        <v>5636785.0000000019</v>
      </c>
      <c r="Z270" s="41">
        <v>100</v>
      </c>
      <c r="AA270" s="41">
        <v>1</v>
      </c>
      <c r="AB270" s="70">
        <f t="shared" si="46"/>
        <v>6200463.5000000028</v>
      </c>
      <c r="AC270" s="41">
        <v>100</v>
      </c>
      <c r="AD270" s="41">
        <v>1</v>
      </c>
      <c r="AE270" s="70">
        <f t="shared" si="47"/>
        <v>6820509.8500000034</v>
      </c>
      <c r="AF270" s="28">
        <f t="shared" si="48"/>
        <v>34600608.350000016</v>
      </c>
      <c r="AG270" s="28">
        <f t="shared" si="49"/>
        <v>33592.823640776718</v>
      </c>
    </row>
    <row r="271" spans="1:33" ht="57.6" x14ac:dyDescent="0.3">
      <c r="A271" s="41" t="s">
        <v>697</v>
      </c>
      <c r="B271" s="41" t="s">
        <v>693</v>
      </c>
      <c r="C271" s="41" t="s">
        <v>673</v>
      </c>
      <c r="D271" s="41" t="s">
        <v>115</v>
      </c>
      <c r="E271" s="41" t="s">
        <v>564</v>
      </c>
      <c r="F271" s="41" t="s">
        <v>718</v>
      </c>
      <c r="G271" s="83">
        <v>0</v>
      </c>
      <c r="H271" s="41">
        <v>0</v>
      </c>
      <c r="I271" s="41">
        <v>0</v>
      </c>
      <c r="J271" s="83">
        <f t="shared" si="40"/>
        <v>0</v>
      </c>
      <c r="K271" s="41">
        <v>0</v>
      </c>
      <c r="L271" s="41">
        <v>0</v>
      </c>
      <c r="M271" s="70">
        <f t="shared" si="41"/>
        <v>0</v>
      </c>
      <c r="N271" s="41">
        <v>0</v>
      </c>
      <c r="O271" s="41">
        <v>0</v>
      </c>
      <c r="P271" s="70">
        <f t="shared" si="42"/>
        <v>0</v>
      </c>
      <c r="Q271" s="41">
        <v>0</v>
      </c>
      <c r="R271" s="41">
        <v>0</v>
      </c>
      <c r="S271" s="70">
        <f t="shared" si="43"/>
        <v>0</v>
      </c>
      <c r="T271" s="41">
        <v>0</v>
      </c>
      <c r="U271" s="41">
        <v>0</v>
      </c>
      <c r="V271" s="70">
        <f t="shared" si="44"/>
        <v>0</v>
      </c>
      <c r="W271" s="41">
        <v>0</v>
      </c>
      <c r="X271" s="41">
        <v>0</v>
      </c>
      <c r="Y271" s="70">
        <f t="shared" si="45"/>
        <v>0</v>
      </c>
      <c r="Z271" s="41">
        <v>0</v>
      </c>
      <c r="AA271" s="41">
        <v>0</v>
      </c>
      <c r="AB271" s="70">
        <f t="shared" si="46"/>
        <v>0</v>
      </c>
      <c r="AC271" s="41">
        <v>0</v>
      </c>
      <c r="AD271" s="41">
        <v>0</v>
      </c>
      <c r="AE271" s="70">
        <f t="shared" si="47"/>
        <v>0</v>
      </c>
      <c r="AF271" s="28">
        <f t="shared" si="48"/>
        <v>0</v>
      </c>
      <c r="AG271" s="28">
        <f t="shared" si="49"/>
        <v>0</v>
      </c>
    </row>
    <row r="272" spans="1:33" ht="57.6" x14ac:dyDescent="0.3">
      <c r="A272" s="41" t="s">
        <v>697</v>
      </c>
      <c r="B272" s="41" t="s">
        <v>693</v>
      </c>
      <c r="C272" s="41" t="s">
        <v>673</v>
      </c>
      <c r="D272" s="41" t="s">
        <v>115</v>
      </c>
      <c r="E272" s="41" t="s">
        <v>149</v>
      </c>
      <c r="F272" s="41" t="s">
        <v>707</v>
      </c>
      <c r="G272" s="83">
        <v>391991.03749999998</v>
      </c>
      <c r="J272" s="84"/>
      <c r="K272" s="41">
        <v>0</v>
      </c>
      <c r="L272" s="41">
        <v>0</v>
      </c>
      <c r="M272" s="70">
        <f t="shared" si="41"/>
        <v>0</v>
      </c>
      <c r="N272" s="41">
        <v>2</v>
      </c>
      <c r="O272" s="41">
        <v>2</v>
      </c>
      <c r="P272" s="70">
        <f t="shared" si="42"/>
        <v>1897236.6215000001</v>
      </c>
      <c r="Q272" s="41">
        <v>2</v>
      </c>
      <c r="R272" s="41">
        <v>2</v>
      </c>
      <c r="S272" s="70">
        <f t="shared" si="43"/>
        <v>2086960.2836500006</v>
      </c>
      <c r="T272" s="41">
        <v>2</v>
      </c>
      <c r="U272" s="41">
        <v>2</v>
      </c>
      <c r="V272" s="70">
        <f t="shared" si="44"/>
        <v>2295656.3120150003</v>
      </c>
      <c r="W272" s="41">
        <v>2</v>
      </c>
      <c r="X272" s="41">
        <v>2</v>
      </c>
      <c r="Y272" s="70">
        <f t="shared" si="45"/>
        <v>2525221.9432165008</v>
      </c>
      <c r="Z272" s="41">
        <v>2</v>
      </c>
      <c r="AA272" s="41">
        <v>2</v>
      </c>
      <c r="AB272" s="70">
        <f t="shared" si="46"/>
        <v>2777744.1375381513</v>
      </c>
      <c r="AC272" s="41">
        <v>2</v>
      </c>
      <c r="AD272" s="41">
        <v>2</v>
      </c>
      <c r="AE272" s="70">
        <f t="shared" si="47"/>
        <v>3055518.5512919668</v>
      </c>
      <c r="AF272" s="28">
        <f t="shared" si="48"/>
        <v>14638337.84921162</v>
      </c>
      <c r="AG272" s="28">
        <f t="shared" si="49"/>
        <v>14211.978494380213</v>
      </c>
    </row>
    <row r="273" spans="1:33" ht="57.6" x14ac:dyDescent="0.3">
      <c r="A273" s="41" t="s">
        <v>697</v>
      </c>
      <c r="B273" s="41" t="s">
        <v>693</v>
      </c>
      <c r="C273" s="41" t="s">
        <v>673</v>
      </c>
      <c r="D273" s="41" t="s">
        <v>115</v>
      </c>
      <c r="E273" s="41" t="s">
        <v>149</v>
      </c>
      <c r="F273" s="41" t="s">
        <v>720</v>
      </c>
      <c r="G273" s="83">
        <f>980*1030</f>
        <v>1009400</v>
      </c>
      <c r="J273" s="84"/>
      <c r="K273" s="41">
        <v>0</v>
      </c>
      <c r="L273" s="41">
        <v>0</v>
      </c>
      <c r="M273" s="70">
        <f t="shared" si="41"/>
        <v>0</v>
      </c>
      <c r="N273" s="41">
        <v>1</v>
      </c>
      <c r="O273" s="41">
        <v>25</v>
      </c>
      <c r="P273" s="70">
        <f t="shared" si="42"/>
        <v>30534350.000000007</v>
      </c>
      <c r="Q273" s="41">
        <v>1</v>
      </c>
      <c r="R273" s="41">
        <v>25</v>
      </c>
      <c r="S273" s="70">
        <f t="shared" si="43"/>
        <v>33587785.000000007</v>
      </c>
      <c r="T273" s="41">
        <v>1</v>
      </c>
      <c r="U273" s="41">
        <v>25</v>
      </c>
      <c r="V273" s="70">
        <f t="shared" si="44"/>
        <v>36946563.500000015</v>
      </c>
      <c r="W273" s="41">
        <v>1</v>
      </c>
      <c r="X273" s="41">
        <v>25</v>
      </c>
      <c r="Y273" s="70">
        <f t="shared" si="45"/>
        <v>40641219.850000009</v>
      </c>
      <c r="Z273" s="41">
        <v>1</v>
      </c>
      <c r="AA273" s="41">
        <v>25</v>
      </c>
      <c r="AB273" s="70">
        <f t="shared" si="46"/>
        <v>44705341.835000023</v>
      </c>
      <c r="AC273" s="41">
        <v>1</v>
      </c>
      <c r="AD273" s="41">
        <v>25</v>
      </c>
      <c r="AE273" s="70">
        <f t="shared" si="47"/>
        <v>49175876.01850003</v>
      </c>
      <c r="AF273" s="28">
        <f t="shared" si="48"/>
        <v>235591136.20350009</v>
      </c>
      <c r="AG273" s="28">
        <f t="shared" si="49"/>
        <v>228729.25845000008</v>
      </c>
    </row>
    <row r="274" spans="1:33" ht="57.6" x14ac:dyDescent="0.3">
      <c r="A274" s="41" t="s">
        <v>697</v>
      </c>
      <c r="B274" s="41" t="s">
        <v>693</v>
      </c>
      <c r="C274" s="41" t="s">
        <v>673</v>
      </c>
      <c r="D274" s="41" t="s">
        <v>115</v>
      </c>
      <c r="E274" s="41" t="s">
        <v>565</v>
      </c>
      <c r="F274" s="41" t="s">
        <v>716</v>
      </c>
      <c r="G274" s="83">
        <v>39000</v>
      </c>
      <c r="J274" s="84"/>
      <c r="K274" s="41">
        <v>0</v>
      </c>
      <c r="L274" s="41">
        <v>0</v>
      </c>
      <c r="M274" s="70">
        <f t="shared" si="41"/>
        <v>0</v>
      </c>
      <c r="N274" s="41">
        <v>30</v>
      </c>
      <c r="O274" s="41">
        <v>6</v>
      </c>
      <c r="P274" s="70">
        <f t="shared" si="42"/>
        <v>8494200.0000000019</v>
      </c>
      <c r="Q274" s="41">
        <v>30</v>
      </c>
      <c r="R274" s="41">
        <v>6</v>
      </c>
      <c r="S274" s="70">
        <f t="shared" si="43"/>
        <v>9343620.0000000037</v>
      </c>
      <c r="T274" s="41">
        <v>30</v>
      </c>
      <c r="U274" s="41">
        <v>6</v>
      </c>
      <c r="V274" s="70">
        <f t="shared" si="44"/>
        <v>10277982.000000004</v>
      </c>
      <c r="W274" s="41">
        <v>30</v>
      </c>
      <c r="X274" s="41">
        <v>6</v>
      </c>
      <c r="Y274" s="70">
        <f t="shared" si="45"/>
        <v>11305780.200000003</v>
      </c>
      <c r="Z274" s="41">
        <v>30</v>
      </c>
      <c r="AA274" s="41">
        <v>6</v>
      </c>
      <c r="AB274" s="70">
        <f t="shared" si="46"/>
        <v>12436358.220000004</v>
      </c>
      <c r="AC274" s="41">
        <v>30</v>
      </c>
      <c r="AD274" s="41">
        <v>6</v>
      </c>
      <c r="AE274" s="70">
        <f t="shared" si="47"/>
        <v>13679994.042000007</v>
      </c>
      <c r="AF274" s="28">
        <f t="shared" si="48"/>
        <v>65537934.462000027</v>
      </c>
      <c r="AG274" s="28">
        <f t="shared" si="49"/>
        <v>63629.062584466046</v>
      </c>
    </row>
    <row r="275" spans="1:33" ht="57.6" x14ac:dyDescent="0.3">
      <c r="A275" s="41" t="s">
        <v>697</v>
      </c>
      <c r="B275" s="41" t="s">
        <v>693</v>
      </c>
      <c r="C275" s="41" t="s">
        <v>673</v>
      </c>
      <c r="D275" s="41" t="s">
        <v>115</v>
      </c>
      <c r="E275" s="41" t="s">
        <v>565</v>
      </c>
      <c r="F275" s="41" t="s">
        <v>709</v>
      </c>
      <c r="G275" s="83">
        <v>35000</v>
      </c>
      <c r="J275" s="84"/>
      <c r="K275" s="41">
        <v>0</v>
      </c>
      <c r="L275" s="41">
        <v>0</v>
      </c>
      <c r="M275" s="70">
        <f t="shared" si="41"/>
        <v>0</v>
      </c>
      <c r="N275" s="41">
        <v>30</v>
      </c>
      <c r="O275" s="41">
        <v>5</v>
      </c>
      <c r="P275" s="70">
        <f t="shared" si="42"/>
        <v>6352500.0000000009</v>
      </c>
      <c r="Q275" s="41">
        <v>30</v>
      </c>
      <c r="R275" s="41">
        <v>5</v>
      </c>
      <c r="S275" s="70">
        <f t="shared" si="43"/>
        <v>6987750.0000000019</v>
      </c>
      <c r="T275" s="41">
        <v>30</v>
      </c>
      <c r="U275" s="41">
        <v>5</v>
      </c>
      <c r="V275" s="70">
        <f t="shared" si="44"/>
        <v>7686525.0000000019</v>
      </c>
      <c r="W275" s="41">
        <v>30</v>
      </c>
      <c r="X275" s="41">
        <v>5</v>
      </c>
      <c r="Y275" s="70">
        <f t="shared" si="45"/>
        <v>8455177.5000000037</v>
      </c>
      <c r="Z275" s="41">
        <v>30</v>
      </c>
      <c r="AA275" s="41">
        <v>5</v>
      </c>
      <c r="AB275" s="70">
        <f t="shared" si="46"/>
        <v>9300695.2500000056</v>
      </c>
      <c r="AC275" s="41">
        <v>30</v>
      </c>
      <c r="AD275" s="41">
        <v>5</v>
      </c>
      <c r="AE275" s="70">
        <f t="shared" si="47"/>
        <v>10230764.775000006</v>
      </c>
      <c r="AF275" s="28">
        <f t="shared" si="48"/>
        <v>49013412.525000021</v>
      </c>
      <c r="AG275" s="28">
        <f t="shared" si="49"/>
        <v>47585.837402912643</v>
      </c>
    </row>
    <row r="276" spans="1:33" ht="57.6" x14ac:dyDescent="0.3">
      <c r="A276" s="41" t="s">
        <v>697</v>
      </c>
      <c r="B276" s="41" t="s">
        <v>693</v>
      </c>
      <c r="C276" s="41" t="s">
        <v>673</v>
      </c>
      <c r="D276" s="41" t="s">
        <v>115</v>
      </c>
      <c r="E276" s="41" t="s">
        <v>565</v>
      </c>
      <c r="F276" s="41" t="s">
        <v>712</v>
      </c>
      <c r="G276" s="83">
        <f>1999.2/7</f>
        <v>285.60000000000002</v>
      </c>
      <c r="J276" s="84"/>
      <c r="K276" s="41">
        <v>0</v>
      </c>
      <c r="L276" s="41">
        <v>0</v>
      </c>
      <c r="M276" s="70">
        <f t="shared" si="41"/>
        <v>0</v>
      </c>
      <c r="N276" s="41">
        <f>25*2*10</f>
        <v>500</v>
      </c>
      <c r="O276" s="41">
        <v>5</v>
      </c>
      <c r="P276" s="70">
        <f t="shared" si="42"/>
        <v>863940.00000000012</v>
      </c>
      <c r="Q276" s="41">
        <v>500</v>
      </c>
      <c r="R276" s="41">
        <v>5</v>
      </c>
      <c r="S276" s="70">
        <f t="shared" si="43"/>
        <v>950334.00000000035</v>
      </c>
      <c r="T276" s="41">
        <v>500</v>
      </c>
      <c r="U276" s="41">
        <v>5</v>
      </c>
      <c r="V276" s="70">
        <f t="shared" si="44"/>
        <v>1045367.4000000004</v>
      </c>
      <c r="W276" s="41">
        <v>500</v>
      </c>
      <c r="X276" s="41">
        <v>5</v>
      </c>
      <c r="Y276" s="70">
        <f t="shared" si="45"/>
        <v>1149904.1400000006</v>
      </c>
      <c r="Z276" s="41">
        <v>500</v>
      </c>
      <c r="AA276" s="41">
        <v>5</v>
      </c>
      <c r="AB276" s="70">
        <f t="shared" si="46"/>
        <v>1264894.5540000007</v>
      </c>
      <c r="AC276" s="41">
        <v>500</v>
      </c>
      <c r="AD276" s="41">
        <v>5</v>
      </c>
      <c r="AE276" s="70">
        <f t="shared" si="47"/>
        <v>1391384.009400001</v>
      </c>
      <c r="AF276" s="28">
        <f t="shared" si="48"/>
        <v>6665824.1034000032</v>
      </c>
      <c r="AG276" s="28">
        <f t="shared" si="49"/>
        <v>6471.6738867961194</v>
      </c>
    </row>
    <row r="277" spans="1:33" ht="57.6" x14ac:dyDescent="0.3">
      <c r="A277" s="41" t="s">
        <v>697</v>
      </c>
      <c r="B277" s="41" t="s">
        <v>693</v>
      </c>
      <c r="C277" s="41" t="s">
        <v>673</v>
      </c>
      <c r="D277" s="41" t="s">
        <v>115</v>
      </c>
      <c r="E277" s="41" t="s">
        <v>565</v>
      </c>
      <c r="F277" s="41" t="s">
        <v>1350</v>
      </c>
      <c r="G277" s="83">
        <f>1999.2/7</f>
        <v>285.60000000000002</v>
      </c>
      <c r="J277" s="84"/>
      <c r="K277" s="41"/>
      <c r="L277" s="41"/>
      <c r="M277" s="70">
        <f t="shared" si="41"/>
        <v>0</v>
      </c>
      <c r="N277" s="41">
        <f>135*2*10</f>
        <v>2700</v>
      </c>
      <c r="O277" s="41">
        <v>1</v>
      </c>
      <c r="P277" s="70">
        <f t="shared" si="42"/>
        <v>933055.20000000019</v>
      </c>
      <c r="Q277" s="41">
        <v>2700</v>
      </c>
      <c r="R277" s="41">
        <v>1</v>
      </c>
      <c r="S277" s="70">
        <f t="shared" si="43"/>
        <v>1026360.7200000004</v>
      </c>
      <c r="T277" s="41">
        <v>2700</v>
      </c>
      <c r="U277" s="41">
        <v>1</v>
      </c>
      <c r="V277" s="70">
        <f t="shared" si="44"/>
        <v>1128996.7920000004</v>
      </c>
      <c r="W277" s="41">
        <v>2700</v>
      </c>
      <c r="X277" s="41">
        <v>1</v>
      </c>
      <c r="Y277" s="70">
        <f t="shared" si="45"/>
        <v>1241896.4712000005</v>
      </c>
      <c r="Z277" s="41">
        <v>2700</v>
      </c>
      <c r="AA277" s="41">
        <v>1</v>
      </c>
      <c r="AB277" s="70">
        <f t="shared" si="46"/>
        <v>1366086.1183200008</v>
      </c>
      <c r="AC277" s="41">
        <v>2700</v>
      </c>
      <c r="AD277" s="41">
        <v>1</v>
      </c>
      <c r="AE277" s="70">
        <f t="shared" si="47"/>
        <v>1502694.7301520011</v>
      </c>
      <c r="AF277" s="28">
        <f t="shared" si="48"/>
        <v>7199090.0316720046</v>
      </c>
      <c r="AG277" s="28">
        <f t="shared" si="49"/>
        <v>6989.4077977398101</v>
      </c>
    </row>
    <row r="278" spans="1:33" ht="57.6" x14ac:dyDescent="0.3">
      <c r="A278" s="41" t="s">
        <v>697</v>
      </c>
      <c r="B278" s="41" t="s">
        <v>693</v>
      </c>
      <c r="C278" s="41" t="s">
        <v>673</v>
      </c>
      <c r="D278" s="41" t="s">
        <v>115</v>
      </c>
      <c r="E278" s="41" t="s">
        <v>559</v>
      </c>
      <c r="F278" s="41" t="s">
        <v>718</v>
      </c>
      <c r="G278" s="83">
        <v>0</v>
      </c>
      <c r="H278" s="41">
        <v>0</v>
      </c>
      <c r="I278" s="41">
        <v>0</v>
      </c>
      <c r="J278" s="83">
        <f t="shared" si="40"/>
        <v>0</v>
      </c>
      <c r="K278" s="41">
        <v>0</v>
      </c>
      <c r="L278" s="41">
        <v>0</v>
      </c>
      <c r="M278" s="70">
        <f t="shared" si="41"/>
        <v>0</v>
      </c>
      <c r="N278" s="41">
        <v>0</v>
      </c>
      <c r="O278" s="41">
        <v>0</v>
      </c>
      <c r="P278" s="70">
        <f t="shared" si="42"/>
        <v>0</v>
      </c>
      <c r="Q278" s="41">
        <v>0</v>
      </c>
      <c r="R278" s="41">
        <v>0</v>
      </c>
      <c r="S278" s="70">
        <f t="shared" si="43"/>
        <v>0</v>
      </c>
      <c r="T278" s="41">
        <v>0</v>
      </c>
      <c r="U278" s="41">
        <v>0</v>
      </c>
      <c r="V278" s="70">
        <f t="shared" si="44"/>
        <v>0</v>
      </c>
      <c r="W278" s="41">
        <v>0</v>
      </c>
      <c r="X278" s="41">
        <v>0</v>
      </c>
      <c r="Y278" s="70">
        <f t="shared" si="45"/>
        <v>0</v>
      </c>
      <c r="Z278" s="41">
        <v>0</v>
      </c>
      <c r="AA278" s="41">
        <v>0</v>
      </c>
      <c r="AB278" s="70">
        <f t="shared" si="46"/>
        <v>0</v>
      </c>
      <c r="AC278" s="41">
        <v>0</v>
      </c>
      <c r="AD278" s="41">
        <v>0</v>
      </c>
      <c r="AE278" s="70">
        <f t="shared" si="47"/>
        <v>0</v>
      </c>
      <c r="AF278" s="28">
        <f t="shared" si="48"/>
        <v>0</v>
      </c>
      <c r="AG278" s="28">
        <f t="shared" si="49"/>
        <v>0</v>
      </c>
    </row>
    <row r="279" spans="1:33" ht="57.6" x14ac:dyDescent="0.3">
      <c r="A279" s="41" t="s">
        <v>697</v>
      </c>
      <c r="B279" s="41" t="s">
        <v>693</v>
      </c>
      <c r="C279" s="41" t="s">
        <v>673</v>
      </c>
      <c r="D279" s="41" t="s">
        <v>116</v>
      </c>
      <c r="E279" s="41" t="s">
        <v>549</v>
      </c>
      <c r="F279" s="41" t="s">
        <v>718</v>
      </c>
      <c r="G279" s="83">
        <v>0</v>
      </c>
      <c r="H279" s="41">
        <v>0</v>
      </c>
      <c r="I279" s="41">
        <v>0</v>
      </c>
      <c r="J279" s="83">
        <f t="shared" si="40"/>
        <v>0</v>
      </c>
      <c r="K279" s="41">
        <v>0</v>
      </c>
      <c r="L279" s="41">
        <v>0</v>
      </c>
      <c r="M279" s="70">
        <f t="shared" si="41"/>
        <v>0</v>
      </c>
      <c r="N279" s="41">
        <v>0</v>
      </c>
      <c r="O279" s="41">
        <v>0</v>
      </c>
      <c r="P279" s="70">
        <f t="shared" si="42"/>
        <v>0</v>
      </c>
      <c r="Q279" s="41">
        <v>0</v>
      </c>
      <c r="R279" s="41">
        <v>0</v>
      </c>
      <c r="S279" s="70">
        <f t="shared" si="43"/>
        <v>0</v>
      </c>
      <c r="T279" s="41">
        <v>0</v>
      </c>
      <c r="U279" s="41">
        <v>0</v>
      </c>
      <c r="V279" s="70">
        <f t="shared" si="44"/>
        <v>0</v>
      </c>
      <c r="W279" s="41">
        <v>0</v>
      </c>
      <c r="X279" s="41">
        <v>0</v>
      </c>
      <c r="Y279" s="70">
        <f t="shared" si="45"/>
        <v>0</v>
      </c>
      <c r="Z279" s="41">
        <v>0</v>
      </c>
      <c r="AA279" s="41">
        <v>0</v>
      </c>
      <c r="AB279" s="70">
        <f t="shared" si="46"/>
        <v>0</v>
      </c>
      <c r="AC279" s="41">
        <v>0</v>
      </c>
      <c r="AD279" s="41">
        <v>0</v>
      </c>
      <c r="AE279" s="70">
        <f t="shared" si="47"/>
        <v>0</v>
      </c>
      <c r="AF279" s="28">
        <f t="shared" si="48"/>
        <v>0</v>
      </c>
      <c r="AG279" s="28">
        <f t="shared" si="49"/>
        <v>0</v>
      </c>
    </row>
    <row r="280" spans="1:33" ht="57.6" x14ac:dyDescent="0.3">
      <c r="A280" s="41" t="s">
        <v>697</v>
      </c>
      <c r="B280" s="41" t="s">
        <v>693</v>
      </c>
      <c r="C280" s="41" t="s">
        <v>673</v>
      </c>
      <c r="D280" s="41" t="s">
        <v>116</v>
      </c>
      <c r="E280" s="41" t="s">
        <v>560</v>
      </c>
      <c r="F280" s="41" t="s">
        <v>713</v>
      </c>
      <c r="G280" s="83">
        <v>45000</v>
      </c>
      <c r="J280" s="84"/>
      <c r="K280" s="41">
        <v>0</v>
      </c>
      <c r="L280" s="41">
        <v>0</v>
      </c>
      <c r="M280" s="70">
        <f t="shared" si="41"/>
        <v>0</v>
      </c>
      <c r="N280" s="41">
        <v>25</v>
      </c>
      <c r="O280" s="41">
        <v>2</v>
      </c>
      <c r="P280" s="70">
        <f t="shared" si="42"/>
        <v>2722500.0000000005</v>
      </c>
      <c r="Q280" s="41">
        <v>25</v>
      </c>
      <c r="R280" s="41">
        <v>2</v>
      </c>
      <c r="S280" s="70">
        <f t="shared" si="43"/>
        <v>2994750.0000000009</v>
      </c>
      <c r="T280" s="41">
        <v>25</v>
      </c>
      <c r="U280" s="41">
        <v>2</v>
      </c>
      <c r="V280" s="70">
        <f t="shared" si="44"/>
        <v>3294225.0000000009</v>
      </c>
      <c r="W280" s="41">
        <v>25</v>
      </c>
      <c r="X280" s="41">
        <v>2</v>
      </c>
      <c r="Y280" s="70">
        <f t="shared" si="45"/>
        <v>3623647.5000000014</v>
      </c>
      <c r="Z280" s="41">
        <v>25</v>
      </c>
      <c r="AA280" s="41">
        <v>2</v>
      </c>
      <c r="AB280" s="70">
        <f t="shared" si="46"/>
        <v>3986012.2500000019</v>
      </c>
      <c r="AC280" s="41">
        <v>25</v>
      </c>
      <c r="AD280" s="41">
        <v>2</v>
      </c>
      <c r="AE280" s="70">
        <f t="shared" si="47"/>
        <v>4384613.4750000024</v>
      </c>
      <c r="AF280" s="28">
        <f t="shared" si="48"/>
        <v>21005748.225000009</v>
      </c>
      <c r="AG280" s="28">
        <f t="shared" si="49"/>
        <v>20393.930315533988</v>
      </c>
    </row>
    <row r="281" spans="1:33" ht="57.6" x14ac:dyDescent="0.3">
      <c r="A281" s="41" t="s">
        <v>697</v>
      </c>
      <c r="B281" s="41" t="s">
        <v>693</v>
      </c>
      <c r="C281" s="41" t="s">
        <v>673</v>
      </c>
      <c r="D281" s="41" t="s">
        <v>116</v>
      </c>
      <c r="E281" s="41" t="s">
        <v>560</v>
      </c>
      <c r="F281" s="41" t="s">
        <v>712</v>
      </c>
      <c r="G281" s="83">
        <f>1999.2/7</f>
        <v>285.60000000000002</v>
      </c>
      <c r="J281" s="84"/>
      <c r="K281" s="41">
        <v>0</v>
      </c>
      <c r="L281" s="41">
        <v>0</v>
      </c>
      <c r="M281" s="70">
        <f t="shared" si="41"/>
        <v>0</v>
      </c>
      <c r="N281" s="41">
        <f>25*2*9</f>
        <v>450</v>
      </c>
      <c r="O281" s="41">
        <v>1</v>
      </c>
      <c r="P281" s="70">
        <f t="shared" si="42"/>
        <v>155509.20000000004</v>
      </c>
      <c r="Q281" s="41">
        <v>450</v>
      </c>
      <c r="R281" s="41">
        <v>1</v>
      </c>
      <c r="S281" s="70">
        <f t="shared" si="43"/>
        <v>171060.12000000008</v>
      </c>
      <c r="T281" s="41">
        <v>450</v>
      </c>
      <c r="U281" s="41">
        <v>1</v>
      </c>
      <c r="V281" s="70">
        <f t="shared" si="44"/>
        <v>188166.13200000007</v>
      </c>
      <c r="W281" s="41">
        <v>450</v>
      </c>
      <c r="X281" s="41">
        <v>1</v>
      </c>
      <c r="Y281" s="70">
        <f t="shared" si="45"/>
        <v>206982.74520000009</v>
      </c>
      <c r="Z281" s="41">
        <v>450</v>
      </c>
      <c r="AA281" s="41">
        <v>1</v>
      </c>
      <c r="AB281" s="70">
        <f t="shared" si="46"/>
        <v>227681.01972000013</v>
      </c>
      <c r="AC281" s="41">
        <v>450</v>
      </c>
      <c r="AD281" s="41">
        <v>1</v>
      </c>
      <c r="AE281" s="70">
        <f t="shared" si="47"/>
        <v>250449.12169200019</v>
      </c>
      <c r="AF281" s="28">
        <f t="shared" si="48"/>
        <v>1199848.3386120005</v>
      </c>
      <c r="AG281" s="28">
        <f t="shared" si="49"/>
        <v>1164.9012996233014</v>
      </c>
    </row>
    <row r="282" spans="1:33" ht="57.6" x14ac:dyDescent="0.3">
      <c r="A282" s="41" t="s">
        <v>697</v>
      </c>
      <c r="B282" s="41" t="s">
        <v>693</v>
      </c>
      <c r="C282" s="41" t="s">
        <v>673</v>
      </c>
      <c r="D282" s="41" t="s">
        <v>116</v>
      </c>
      <c r="E282" s="41" t="s">
        <v>560</v>
      </c>
      <c r="F282" s="41" t="s">
        <v>1350</v>
      </c>
      <c r="G282" s="83">
        <f>1999.2/7</f>
        <v>285.60000000000002</v>
      </c>
      <c r="J282" s="84"/>
      <c r="K282" s="41"/>
      <c r="L282" s="41"/>
      <c r="M282" s="70">
        <f t="shared" si="41"/>
        <v>0</v>
      </c>
      <c r="N282" s="41">
        <f>135*2*9</f>
        <v>2430</v>
      </c>
      <c r="O282" s="41">
        <v>1</v>
      </c>
      <c r="P282" s="70">
        <f t="shared" si="42"/>
        <v>839749.68000000017</v>
      </c>
      <c r="Q282" s="41">
        <v>2430</v>
      </c>
      <c r="R282" s="41">
        <v>1</v>
      </c>
      <c r="S282" s="70">
        <f t="shared" si="43"/>
        <v>923724.64800000039</v>
      </c>
      <c r="T282" s="41">
        <v>2430</v>
      </c>
      <c r="U282" s="41">
        <v>1</v>
      </c>
      <c r="V282" s="70">
        <f t="shared" si="44"/>
        <v>1016097.1128000004</v>
      </c>
      <c r="W282" s="41">
        <v>2430</v>
      </c>
      <c r="X282" s="41">
        <v>1</v>
      </c>
      <c r="Y282" s="70">
        <f t="shared" si="45"/>
        <v>1117706.8240800004</v>
      </c>
      <c r="Z282" s="41">
        <v>2430</v>
      </c>
      <c r="AA282" s="41">
        <v>1</v>
      </c>
      <c r="AB282" s="70">
        <f t="shared" si="46"/>
        <v>1229477.5064880007</v>
      </c>
      <c r="AC282" s="41">
        <v>2430</v>
      </c>
      <c r="AD282" s="41">
        <v>1</v>
      </c>
      <c r="AE282" s="70">
        <f t="shared" si="47"/>
        <v>1352425.257136801</v>
      </c>
      <c r="AF282" s="28">
        <f t="shared" si="48"/>
        <v>6479181.0285048038</v>
      </c>
      <c r="AG282" s="28">
        <f t="shared" si="49"/>
        <v>6290.4670179658287</v>
      </c>
    </row>
    <row r="283" spans="1:33" ht="57.6" x14ac:dyDescent="0.3">
      <c r="A283" s="41" t="s">
        <v>697</v>
      </c>
      <c r="B283" s="41" t="s">
        <v>693</v>
      </c>
      <c r="C283" s="41" t="s">
        <v>673</v>
      </c>
      <c r="D283" s="41" t="s">
        <v>116</v>
      </c>
      <c r="E283" s="41" t="s">
        <v>151</v>
      </c>
      <c r="F283" s="41" t="s">
        <v>713</v>
      </c>
      <c r="G283" s="83">
        <v>45000</v>
      </c>
      <c r="J283" s="84"/>
      <c r="K283" s="41">
        <v>0</v>
      </c>
      <c r="L283" s="41">
        <v>0</v>
      </c>
      <c r="M283" s="70">
        <f t="shared" si="41"/>
        <v>0</v>
      </c>
      <c r="N283" s="41">
        <v>25</v>
      </c>
      <c r="O283" s="41">
        <v>6</v>
      </c>
      <c r="P283" s="70">
        <f t="shared" si="42"/>
        <v>8167500.0000000019</v>
      </c>
      <c r="Q283" s="41">
        <v>25</v>
      </c>
      <c r="R283" s="41">
        <v>6</v>
      </c>
      <c r="S283" s="70">
        <f t="shared" si="43"/>
        <v>8984250.0000000037</v>
      </c>
      <c r="T283" s="41">
        <v>25</v>
      </c>
      <c r="U283" s="41">
        <v>6</v>
      </c>
      <c r="V283" s="70">
        <f t="shared" si="44"/>
        <v>9882675.0000000037</v>
      </c>
      <c r="W283" s="41">
        <v>25</v>
      </c>
      <c r="X283" s="41">
        <v>6</v>
      </c>
      <c r="Y283" s="70">
        <f t="shared" si="45"/>
        <v>10870942.500000004</v>
      </c>
      <c r="Z283" s="41">
        <v>25</v>
      </c>
      <c r="AA283" s="41">
        <v>6</v>
      </c>
      <c r="AB283" s="70">
        <f t="shared" si="46"/>
        <v>11958036.750000006</v>
      </c>
      <c r="AC283" s="41">
        <v>25</v>
      </c>
      <c r="AD283" s="41">
        <v>6</v>
      </c>
      <c r="AE283" s="70">
        <f t="shared" si="47"/>
        <v>13153840.425000008</v>
      </c>
      <c r="AF283" s="28">
        <f t="shared" si="48"/>
        <v>63017244.675000027</v>
      </c>
      <c r="AG283" s="28">
        <f t="shared" si="49"/>
        <v>61181.79094660197</v>
      </c>
    </row>
    <row r="284" spans="1:33" ht="57.6" x14ac:dyDescent="0.3">
      <c r="A284" s="41" t="s">
        <v>697</v>
      </c>
      <c r="B284" s="41" t="s">
        <v>693</v>
      </c>
      <c r="C284" s="41" t="s">
        <v>673</v>
      </c>
      <c r="D284" s="41" t="s">
        <v>116</v>
      </c>
      <c r="E284" s="41" t="s">
        <v>151</v>
      </c>
      <c r="F284" s="41" t="s">
        <v>712</v>
      </c>
      <c r="G284" s="83">
        <f>1999.2/7</f>
        <v>285.60000000000002</v>
      </c>
      <c r="J284" s="84"/>
      <c r="K284" s="41">
        <v>0</v>
      </c>
      <c r="L284" s="41">
        <v>0</v>
      </c>
      <c r="M284" s="70">
        <f t="shared" si="41"/>
        <v>0</v>
      </c>
      <c r="N284" s="41">
        <f>25*2*9</f>
        <v>450</v>
      </c>
      <c r="O284" s="41">
        <v>5</v>
      </c>
      <c r="P284" s="70">
        <f t="shared" si="42"/>
        <v>777546.00000000023</v>
      </c>
      <c r="Q284" s="41">
        <v>450</v>
      </c>
      <c r="R284" s="41">
        <v>5</v>
      </c>
      <c r="S284" s="70">
        <f t="shared" si="43"/>
        <v>855300.60000000044</v>
      </c>
      <c r="T284" s="41">
        <v>450</v>
      </c>
      <c r="U284" s="41">
        <v>5</v>
      </c>
      <c r="V284" s="70">
        <f t="shared" si="44"/>
        <v>940830.66000000038</v>
      </c>
      <c r="W284" s="41">
        <v>450</v>
      </c>
      <c r="X284" s="41">
        <v>5</v>
      </c>
      <c r="Y284" s="70">
        <f t="shared" si="45"/>
        <v>1034913.7260000005</v>
      </c>
      <c r="Z284" s="41">
        <v>450</v>
      </c>
      <c r="AA284" s="41">
        <v>5</v>
      </c>
      <c r="AB284" s="70">
        <f t="shared" si="46"/>
        <v>1138405.0986000006</v>
      </c>
      <c r="AC284" s="41">
        <v>450</v>
      </c>
      <c r="AD284" s="41">
        <v>5</v>
      </c>
      <c r="AE284" s="70">
        <f t="shared" si="47"/>
        <v>1252245.6084600009</v>
      </c>
      <c r="AF284" s="28">
        <f t="shared" si="48"/>
        <v>5999241.6930600023</v>
      </c>
      <c r="AG284" s="28">
        <f t="shared" si="49"/>
        <v>5824.5064981165069</v>
      </c>
    </row>
    <row r="285" spans="1:33" ht="57.6" x14ac:dyDescent="0.3">
      <c r="A285" s="41" t="s">
        <v>697</v>
      </c>
      <c r="B285" s="41" t="s">
        <v>693</v>
      </c>
      <c r="C285" s="41" t="s">
        <v>673</v>
      </c>
      <c r="D285" s="41" t="s">
        <v>116</v>
      </c>
      <c r="E285" s="41" t="s">
        <v>560</v>
      </c>
      <c r="F285" s="41" t="s">
        <v>1350</v>
      </c>
      <c r="G285" s="83">
        <f>1999.2/7</f>
        <v>285.60000000000002</v>
      </c>
      <c r="J285" s="84"/>
      <c r="K285" s="41"/>
      <c r="L285" s="41"/>
      <c r="M285" s="70">
        <f t="shared" si="41"/>
        <v>0</v>
      </c>
      <c r="N285" s="41">
        <f>135*2*9</f>
        <v>2430</v>
      </c>
      <c r="O285" s="41">
        <v>1</v>
      </c>
      <c r="P285" s="70">
        <f t="shared" si="42"/>
        <v>839749.68000000017</v>
      </c>
      <c r="Q285" s="41">
        <v>2430</v>
      </c>
      <c r="R285" s="41">
        <v>1</v>
      </c>
      <c r="S285" s="70">
        <f t="shared" si="43"/>
        <v>923724.64800000039</v>
      </c>
      <c r="T285" s="41">
        <v>2430</v>
      </c>
      <c r="U285" s="41">
        <v>1</v>
      </c>
      <c r="V285" s="70">
        <f t="shared" si="44"/>
        <v>1016097.1128000004</v>
      </c>
      <c r="W285" s="41">
        <v>2430</v>
      </c>
      <c r="X285" s="41">
        <v>1</v>
      </c>
      <c r="Y285" s="70">
        <f t="shared" si="45"/>
        <v>1117706.8240800004</v>
      </c>
      <c r="Z285" s="41">
        <v>2430</v>
      </c>
      <c r="AA285" s="41">
        <v>1</v>
      </c>
      <c r="AB285" s="70">
        <f t="shared" si="46"/>
        <v>1229477.5064880007</v>
      </c>
      <c r="AC285" s="41">
        <v>2430</v>
      </c>
      <c r="AD285" s="41">
        <v>1</v>
      </c>
      <c r="AE285" s="70">
        <f t="shared" si="47"/>
        <v>1352425.257136801</v>
      </c>
      <c r="AF285" s="28">
        <f t="shared" si="48"/>
        <v>6479181.0285048038</v>
      </c>
      <c r="AG285" s="28">
        <f t="shared" si="49"/>
        <v>6290.4670179658287</v>
      </c>
    </row>
    <row r="286" spans="1:33" ht="57.6" x14ac:dyDescent="0.3">
      <c r="A286" s="41" t="s">
        <v>697</v>
      </c>
      <c r="B286" s="41" t="s">
        <v>693</v>
      </c>
      <c r="C286" s="41" t="s">
        <v>673</v>
      </c>
      <c r="D286" s="41" t="s">
        <v>116</v>
      </c>
      <c r="E286" s="41" t="s">
        <v>152</v>
      </c>
      <c r="F286" s="41" t="s">
        <v>716</v>
      </c>
      <c r="G286" s="83">
        <v>39000</v>
      </c>
      <c r="J286" s="84"/>
      <c r="K286" s="41">
        <v>0</v>
      </c>
      <c r="L286" s="41">
        <v>0</v>
      </c>
      <c r="M286" s="70">
        <f t="shared" si="41"/>
        <v>0</v>
      </c>
      <c r="N286" s="41">
        <v>25</v>
      </c>
      <c r="O286" s="41">
        <v>6</v>
      </c>
      <c r="P286" s="70">
        <f t="shared" si="42"/>
        <v>7078500.0000000019</v>
      </c>
      <c r="Q286" s="41">
        <v>25</v>
      </c>
      <c r="R286" s="41">
        <v>6</v>
      </c>
      <c r="S286" s="70">
        <f t="shared" si="43"/>
        <v>7786350.0000000028</v>
      </c>
      <c r="T286" s="41">
        <v>25</v>
      </c>
      <c r="U286" s="41">
        <v>6</v>
      </c>
      <c r="V286" s="70">
        <f t="shared" si="44"/>
        <v>8564985.0000000037</v>
      </c>
      <c r="W286" s="41">
        <v>25</v>
      </c>
      <c r="X286" s="41">
        <v>6</v>
      </c>
      <c r="Y286" s="70">
        <f t="shared" si="45"/>
        <v>9421483.5000000037</v>
      </c>
      <c r="Z286" s="41">
        <v>25</v>
      </c>
      <c r="AA286" s="41">
        <v>6</v>
      </c>
      <c r="AB286" s="70">
        <f t="shared" si="46"/>
        <v>10363631.850000005</v>
      </c>
      <c r="AC286" s="41">
        <v>25</v>
      </c>
      <c r="AD286" s="41">
        <v>6</v>
      </c>
      <c r="AE286" s="70">
        <f t="shared" si="47"/>
        <v>11399995.035000006</v>
      </c>
      <c r="AF286" s="28">
        <f t="shared" si="48"/>
        <v>54614945.38500002</v>
      </c>
      <c r="AG286" s="28">
        <f t="shared" si="49"/>
        <v>53024.218820388371</v>
      </c>
    </row>
    <row r="287" spans="1:33" ht="57.6" x14ac:dyDescent="0.3">
      <c r="A287" s="41" t="s">
        <v>697</v>
      </c>
      <c r="B287" s="41" t="s">
        <v>693</v>
      </c>
      <c r="C287" s="41" t="s">
        <v>673</v>
      </c>
      <c r="D287" s="41" t="s">
        <v>116</v>
      </c>
      <c r="E287" s="41" t="s">
        <v>152</v>
      </c>
      <c r="F287" s="41" t="s">
        <v>709</v>
      </c>
      <c r="G287" s="83">
        <v>35000</v>
      </c>
      <c r="J287" s="84"/>
      <c r="K287" s="41">
        <v>0</v>
      </c>
      <c r="L287" s="41">
        <v>0</v>
      </c>
      <c r="M287" s="70">
        <f t="shared" si="41"/>
        <v>0</v>
      </c>
      <c r="N287" s="41">
        <v>25</v>
      </c>
      <c r="O287" s="41">
        <v>5</v>
      </c>
      <c r="P287" s="70">
        <f t="shared" si="42"/>
        <v>5293750.0000000009</v>
      </c>
      <c r="Q287" s="41">
        <v>25</v>
      </c>
      <c r="R287" s="41">
        <v>5</v>
      </c>
      <c r="S287" s="70">
        <f t="shared" si="43"/>
        <v>5823125.0000000019</v>
      </c>
      <c r="T287" s="41">
        <v>25</v>
      </c>
      <c r="U287" s="41">
        <v>5</v>
      </c>
      <c r="V287" s="70">
        <f t="shared" si="44"/>
        <v>6405437.5000000019</v>
      </c>
      <c r="W287" s="41">
        <v>25</v>
      </c>
      <c r="X287" s="41">
        <v>5</v>
      </c>
      <c r="Y287" s="70">
        <f t="shared" si="45"/>
        <v>7045981.2500000019</v>
      </c>
      <c r="Z287" s="41">
        <v>25</v>
      </c>
      <c r="AA287" s="41">
        <v>5</v>
      </c>
      <c r="AB287" s="70">
        <f t="shared" si="46"/>
        <v>7750579.3750000037</v>
      </c>
      <c r="AC287" s="41">
        <v>25</v>
      </c>
      <c r="AD287" s="41">
        <v>5</v>
      </c>
      <c r="AE287" s="70">
        <f t="shared" si="47"/>
        <v>8525637.3125000037</v>
      </c>
      <c r="AF287" s="28">
        <f t="shared" si="48"/>
        <v>40844510.437500015</v>
      </c>
      <c r="AG287" s="28">
        <f t="shared" si="49"/>
        <v>39654.864502427197</v>
      </c>
    </row>
    <row r="288" spans="1:33" ht="57.6" x14ac:dyDescent="0.3">
      <c r="A288" s="41" t="s">
        <v>697</v>
      </c>
      <c r="B288" s="41" t="s">
        <v>693</v>
      </c>
      <c r="C288" s="41" t="s">
        <v>673</v>
      </c>
      <c r="D288" s="41" t="s">
        <v>116</v>
      </c>
      <c r="E288" s="41" t="s">
        <v>152</v>
      </c>
      <c r="F288" s="41" t="s">
        <v>712</v>
      </c>
      <c r="G288" s="83">
        <f>1999.2/7</f>
        <v>285.60000000000002</v>
      </c>
      <c r="J288" s="84"/>
      <c r="K288" s="41">
        <v>0</v>
      </c>
      <c r="L288" s="41">
        <v>0</v>
      </c>
      <c r="M288" s="70">
        <f t="shared" si="41"/>
        <v>0</v>
      </c>
      <c r="N288" s="41">
        <f>25*2*9</f>
        <v>450</v>
      </c>
      <c r="O288" s="41">
        <v>5</v>
      </c>
      <c r="P288" s="70">
        <f t="shared" si="42"/>
        <v>777546.00000000023</v>
      </c>
      <c r="Q288" s="41">
        <v>450</v>
      </c>
      <c r="R288" s="41">
        <v>5</v>
      </c>
      <c r="S288" s="70">
        <f t="shared" si="43"/>
        <v>855300.60000000044</v>
      </c>
      <c r="T288" s="41">
        <v>450</v>
      </c>
      <c r="U288" s="41">
        <v>5</v>
      </c>
      <c r="V288" s="70">
        <f t="shared" si="44"/>
        <v>940830.66000000038</v>
      </c>
      <c r="W288" s="41">
        <v>450</v>
      </c>
      <c r="X288" s="41">
        <v>5</v>
      </c>
      <c r="Y288" s="70">
        <f t="shared" si="45"/>
        <v>1034913.7260000005</v>
      </c>
      <c r="Z288" s="41">
        <v>450</v>
      </c>
      <c r="AA288" s="41">
        <v>5</v>
      </c>
      <c r="AB288" s="70">
        <f t="shared" si="46"/>
        <v>1138405.0986000006</v>
      </c>
      <c r="AC288" s="41">
        <v>450</v>
      </c>
      <c r="AD288" s="41">
        <v>5</v>
      </c>
      <c r="AE288" s="70">
        <f t="shared" si="47"/>
        <v>1252245.6084600009</v>
      </c>
      <c r="AF288" s="28">
        <f t="shared" si="48"/>
        <v>5999241.6930600023</v>
      </c>
      <c r="AG288" s="28">
        <f t="shared" si="49"/>
        <v>5824.5064981165069</v>
      </c>
    </row>
    <row r="289" spans="1:40" ht="57.6" x14ac:dyDescent="0.3">
      <c r="A289" s="41" t="s">
        <v>697</v>
      </c>
      <c r="B289" s="41" t="s">
        <v>693</v>
      </c>
      <c r="C289" s="41" t="s">
        <v>673</v>
      </c>
      <c r="D289" s="41" t="s">
        <v>116</v>
      </c>
      <c r="E289" s="41" t="s">
        <v>152</v>
      </c>
      <c r="F289" s="41" t="s">
        <v>1350</v>
      </c>
      <c r="G289" s="83">
        <f>1999.2/7</f>
        <v>285.60000000000002</v>
      </c>
      <c r="J289" s="84"/>
      <c r="K289" s="41"/>
      <c r="L289" s="41"/>
      <c r="M289" s="70">
        <f t="shared" si="41"/>
        <v>0</v>
      </c>
      <c r="N289" s="41">
        <f>135*2*9</f>
        <v>2430</v>
      </c>
      <c r="O289" s="41">
        <v>1</v>
      </c>
      <c r="P289" s="70">
        <f t="shared" si="42"/>
        <v>839749.68000000017</v>
      </c>
      <c r="Q289" s="41">
        <v>2430</v>
      </c>
      <c r="R289" s="41">
        <v>1</v>
      </c>
      <c r="S289" s="70">
        <f t="shared" si="43"/>
        <v>923724.64800000039</v>
      </c>
      <c r="T289" s="41">
        <v>2430</v>
      </c>
      <c r="U289" s="41">
        <v>1</v>
      </c>
      <c r="V289" s="70">
        <f t="shared" si="44"/>
        <v>1016097.1128000004</v>
      </c>
      <c r="W289" s="41">
        <v>2430</v>
      </c>
      <c r="X289" s="41">
        <v>1</v>
      </c>
      <c r="Y289" s="70">
        <f t="shared" si="45"/>
        <v>1117706.8240800004</v>
      </c>
      <c r="Z289" s="41">
        <v>2430</v>
      </c>
      <c r="AA289" s="41">
        <v>1</v>
      </c>
      <c r="AB289" s="70">
        <f t="shared" si="46"/>
        <v>1229477.5064880007</v>
      </c>
      <c r="AC289" s="41">
        <v>2430</v>
      </c>
      <c r="AD289" s="41">
        <v>1</v>
      </c>
      <c r="AE289" s="70">
        <f t="shared" si="47"/>
        <v>1352425.257136801</v>
      </c>
      <c r="AF289" s="28">
        <f t="shared" si="48"/>
        <v>6479181.0285048038</v>
      </c>
      <c r="AG289" s="28">
        <f t="shared" si="49"/>
        <v>6290.4670179658287</v>
      </c>
    </row>
    <row r="290" spans="1:40" ht="57.6" x14ac:dyDescent="0.3">
      <c r="A290" s="41" t="s">
        <v>697</v>
      </c>
      <c r="B290" s="41" t="s">
        <v>693</v>
      </c>
      <c r="C290" s="41" t="s">
        <v>673</v>
      </c>
      <c r="D290" s="41" t="s">
        <v>116</v>
      </c>
      <c r="E290" s="41" t="s">
        <v>180</v>
      </c>
      <c r="F290" s="41" t="s">
        <v>709</v>
      </c>
      <c r="G290" s="83">
        <v>35000</v>
      </c>
      <c r="J290" s="84"/>
      <c r="K290" s="41">
        <v>0</v>
      </c>
      <c r="L290" s="41">
        <v>0</v>
      </c>
      <c r="M290" s="70">
        <f t="shared" si="41"/>
        <v>0</v>
      </c>
      <c r="N290" s="41">
        <v>25</v>
      </c>
      <c r="O290" s="41">
        <v>3</v>
      </c>
      <c r="P290" s="70">
        <f t="shared" si="42"/>
        <v>3176250.0000000009</v>
      </c>
      <c r="Q290" s="41">
        <v>25</v>
      </c>
      <c r="R290" s="41">
        <v>3</v>
      </c>
      <c r="S290" s="70">
        <f t="shared" si="43"/>
        <v>3493875.0000000014</v>
      </c>
      <c r="T290" s="41">
        <v>25</v>
      </c>
      <c r="U290" s="41">
        <v>3</v>
      </c>
      <c r="V290" s="70">
        <f t="shared" si="44"/>
        <v>3843262.5000000014</v>
      </c>
      <c r="W290" s="41">
        <v>25</v>
      </c>
      <c r="X290" s="41">
        <v>3</v>
      </c>
      <c r="Y290" s="70">
        <f t="shared" si="45"/>
        <v>4227588.7500000019</v>
      </c>
      <c r="Z290" s="41">
        <v>25</v>
      </c>
      <c r="AA290" s="41">
        <v>3</v>
      </c>
      <c r="AB290" s="70">
        <f t="shared" si="46"/>
        <v>4650347.6250000019</v>
      </c>
      <c r="AC290" s="41">
        <v>25</v>
      </c>
      <c r="AD290" s="41">
        <v>3</v>
      </c>
      <c r="AE290" s="70">
        <f t="shared" si="47"/>
        <v>5115382.387500003</v>
      </c>
      <c r="AF290" s="28">
        <f t="shared" si="48"/>
        <v>24506706.26250001</v>
      </c>
      <c r="AG290" s="28">
        <f t="shared" si="49"/>
        <v>23792.918701456321</v>
      </c>
    </row>
    <row r="291" spans="1:40" ht="57.6" x14ac:dyDescent="0.3">
      <c r="A291" s="41" t="s">
        <v>697</v>
      </c>
      <c r="B291" s="41" t="s">
        <v>693</v>
      </c>
      <c r="C291" s="41" t="s">
        <v>673</v>
      </c>
      <c r="D291" s="41" t="s">
        <v>116</v>
      </c>
      <c r="E291" s="41" t="s">
        <v>180</v>
      </c>
      <c r="F291" s="41" t="s">
        <v>712</v>
      </c>
      <c r="G291" s="83">
        <f>1999.2/7</f>
        <v>285.60000000000002</v>
      </c>
      <c r="J291" s="84"/>
      <c r="K291" s="41">
        <v>0</v>
      </c>
      <c r="L291" s="41">
        <v>0</v>
      </c>
      <c r="M291" s="70">
        <f t="shared" si="41"/>
        <v>0</v>
      </c>
      <c r="N291" s="41">
        <f>25*2*9</f>
        <v>450</v>
      </c>
      <c r="O291" s="41">
        <v>2</v>
      </c>
      <c r="P291" s="70">
        <f t="shared" si="42"/>
        <v>311018.40000000008</v>
      </c>
      <c r="Q291" s="41">
        <v>450</v>
      </c>
      <c r="R291" s="41">
        <v>2</v>
      </c>
      <c r="S291" s="70">
        <f t="shared" si="43"/>
        <v>342120.24000000017</v>
      </c>
      <c r="T291" s="41">
        <v>450</v>
      </c>
      <c r="U291" s="41">
        <v>2</v>
      </c>
      <c r="V291" s="70">
        <f t="shared" si="44"/>
        <v>376332.26400000014</v>
      </c>
      <c r="W291" s="41">
        <v>450</v>
      </c>
      <c r="X291" s="41">
        <v>2</v>
      </c>
      <c r="Y291" s="70">
        <f t="shared" si="45"/>
        <v>413965.49040000018</v>
      </c>
      <c r="Z291" s="41">
        <v>450</v>
      </c>
      <c r="AA291" s="41">
        <v>2</v>
      </c>
      <c r="AB291" s="70">
        <f t="shared" si="46"/>
        <v>455362.03944000026</v>
      </c>
      <c r="AC291" s="41">
        <v>450</v>
      </c>
      <c r="AD291" s="41">
        <v>2</v>
      </c>
      <c r="AE291" s="70">
        <f t="shared" si="47"/>
        <v>500898.24338400038</v>
      </c>
      <c r="AF291" s="28">
        <f t="shared" si="48"/>
        <v>2399696.6772240009</v>
      </c>
      <c r="AG291" s="28">
        <f t="shared" si="49"/>
        <v>2329.8025992466028</v>
      </c>
    </row>
    <row r="292" spans="1:40" ht="57.6" x14ac:dyDescent="0.3">
      <c r="A292" s="41" t="s">
        <v>697</v>
      </c>
      <c r="B292" s="41" t="s">
        <v>693</v>
      </c>
      <c r="C292" s="41" t="s">
        <v>673</v>
      </c>
      <c r="D292" s="41" t="s">
        <v>116</v>
      </c>
      <c r="E292" s="41" t="s">
        <v>180</v>
      </c>
      <c r="F292" s="41" t="s">
        <v>1350</v>
      </c>
      <c r="G292" s="83">
        <f>1999.2/7</f>
        <v>285.60000000000002</v>
      </c>
      <c r="J292" s="84"/>
      <c r="K292" s="41"/>
      <c r="L292" s="41"/>
      <c r="M292" s="70">
        <f t="shared" si="41"/>
        <v>0</v>
      </c>
      <c r="N292" s="41">
        <f>135*2*9</f>
        <v>2430</v>
      </c>
      <c r="O292" s="41">
        <v>1</v>
      </c>
      <c r="P292" s="70">
        <f t="shared" si="42"/>
        <v>839749.68000000017</v>
      </c>
      <c r="Q292" s="41">
        <v>2430</v>
      </c>
      <c r="R292" s="41">
        <v>1</v>
      </c>
      <c r="S292" s="70">
        <f t="shared" si="43"/>
        <v>923724.64800000039</v>
      </c>
      <c r="T292" s="41">
        <v>2430</v>
      </c>
      <c r="U292" s="41">
        <v>1</v>
      </c>
      <c r="V292" s="70">
        <f t="shared" si="44"/>
        <v>1016097.1128000004</v>
      </c>
      <c r="W292" s="41">
        <v>2430</v>
      </c>
      <c r="X292" s="41">
        <v>1</v>
      </c>
      <c r="Y292" s="70">
        <f t="shared" si="45"/>
        <v>1117706.8240800004</v>
      </c>
      <c r="Z292" s="41">
        <v>2430</v>
      </c>
      <c r="AA292" s="41">
        <v>1</v>
      </c>
      <c r="AB292" s="70">
        <f t="shared" si="46"/>
        <v>1229477.5064880007</v>
      </c>
      <c r="AC292" s="41">
        <v>2430</v>
      </c>
      <c r="AD292" s="41">
        <v>1</v>
      </c>
      <c r="AE292" s="70">
        <f t="shared" si="47"/>
        <v>1352425.257136801</v>
      </c>
      <c r="AF292" s="28">
        <f t="shared" si="48"/>
        <v>6479181.0285048038</v>
      </c>
      <c r="AG292" s="28">
        <f t="shared" si="49"/>
        <v>6290.4670179658287</v>
      </c>
    </row>
    <row r="293" spans="1:40" ht="57.6" x14ac:dyDescent="0.3">
      <c r="A293" s="41" t="s">
        <v>697</v>
      </c>
      <c r="B293" s="41" t="s">
        <v>693</v>
      </c>
      <c r="C293" s="41" t="s">
        <v>673</v>
      </c>
      <c r="D293" s="41" t="s">
        <v>116</v>
      </c>
      <c r="E293" s="41" t="s">
        <v>175</v>
      </c>
      <c r="F293" s="41" t="s">
        <v>709</v>
      </c>
      <c r="G293" s="83">
        <v>35000</v>
      </c>
      <c r="J293" s="84"/>
      <c r="K293" s="41">
        <v>0</v>
      </c>
      <c r="L293" s="41">
        <v>0</v>
      </c>
      <c r="M293" s="70">
        <f t="shared" si="41"/>
        <v>0</v>
      </c>
      <c r="N293" s="41">
        <v>100</v>
      </c>
      <c r="O293" s="41">
        <v>1</v>
      </c>
      <c r="P293" s="70">
        <f t="shared" si="42"/>
        <v>4235000.0000000009</v>
      </c>
      <c r="Q293" s="41">
        <v>100</v>
      </c>
      <c r="R293" s="41">
        <v>1</v>
      </c>
      <c r="S293" s="70">
        <f t="shared" si="43"/>
        <v>4658500.0000000019</v>
      </c>
      <c r="T293" s="41">
        <v>100</v>
      </c>
      <c r="U293" s="41">
        <v>1</v>
      </c>
      <c r="V293" s="70">
        <f t="shared" si="44"/>
        <v>5124350.0000000019</v>
      </c>
      <c r="W293" s="41">
        <v>100</v>
      </c>
      <c r="X293" s="41">
        <v>1</v>
      </c>
      <c r="Y293" s="70">
        <f t="shared" si="45"/>
        <v>5636785.0000000019</v>
      </c>
      <c r="Z293" s="41">
        <v>100</v>
      </c>
      <c r="AA293" s="41">
        <v>1</v>
      </c>
      <c r="AB293" s="70">
        <f t="shared" si="46"/>
        <v>6200463.5000000028</v>
      </c>
      <c r="AC293" s="41">
        <v>100</v>
      </c>
      <c r="AD293" s="41">
        <v>1</v>
      </c>
      <c r="AE293" s="70">
        <f t="shared" si="47"/>
        <v>6820509.8500000034</v>
      </c>
      <c r="AF293" s="28">
        <f t="shared" si="48"/>
        <v>32675608.350000016</v>
      </c>
      <c r="AG293" s="28">
        <f t="shared" si="49"/>
        <v>31723.891601941763</v>
      </c>
    </row>
    <row r="294" spans="1:40" ht="57.6" x14ac:dyDescent="0.3">
      <c r="A294" s="41" t="s">
        <v>697</v>
      </c>
      <c r="B294" s="41" t="s">
        <v>693</v>
      </c>
      <c r="C294" s="41" t="s">
        <v>673</v>
      </c>
      <c r="D294" s="41" t="s">
        <v>116</v>
      </c>
      <c r="E294" s="41" t="s">
        <v>566</v>
      </c>
      <c r="F294" s="41" t="s">
        <v>709</v>
      </c>
      <c r="G294" s="83">
        <v>35000</v>
      </c>
      <c r="J294" s="84"/>
      <c r="K294" s="41">
        <v>0</v>
      </c>
      <c r="L294" s="41">
        <v>0</v>
      </c>
      <c r="M294" s="70">
        <f t="shared" si="41"/>
        <v>0</v>
      </c>
      <c r="N294" s="41">
        <v>30</v>
      </c>
      <c r="O294" s="41">
        <v>1</v>
      </c>
      <c r="P294" s="70">
        <f t="shared" si="42"/>
        <v>1270500.0000000002</v>
      </c>
      <c r="Q294" s="41">
        <v>30</v>
      </c>
      <c r="R294" s="41">
        <v>1</v>
      </c>
      <c r="S294" s="70">
        <f t="shared" si="43"/>
        <v>1397550.0000000005</v>
      </c>
      <c r="T294" s="41">
        <v>30</v>
      </c>
      <c r="U294" s="41">
        <v>1</v>
      </c>
      <c r="V294" s="70">
        <f t="shared" si="44"/>
        <v>1537305.0000000005</v>
      </c>
      <c r="W294" s="41">
        <v>30</v>
      </c>
      <c r="X294" s="41">
        <v>1</v>
      </c>
      <c r="Y294" s="70">
        <f t="shared" si="45"/>
        <v>1691035.5000000007</v>
      </c>
      <c r="Z294" s="41">
        <v>30</v>
      </c>
      <c r="AA294" s="41">
        <v>1</v>
      </c>
      <c r="AB294" s="70">
        <f t="shared" si="46"/>
        <v>1860139.050000001</v>
      </c>
      <c r="AC294" s="41">
        <v>30</v>
      </c>
      <c r="AD294" s="41">
        <v>1</v>
      </c>
      <c r="AE294" s="70">
        <f t="shared" si="47"/>
        <v>2046152.955000001</v>
      </c>
      <c r="AF294" s="28">
        <f t="shared" si="48"/>
        <v>9802682.5050000045</v>
      </c>
      <c r="AG294" s="28">
        <f t="shared" si="49"/>
        <v>9517.1674805825278</v>
      </c>
    </row>
    <row r="295" spans="1:40" ht="57.6" x14ac:dyDescent="0.3">
      <c r="A295" s="41" t="s">
        <v>697</v>
      </c>
      <c r="B295" s="41" t="s">
        <v>693</v>
      </c>
      <c r="C295" s="41" t="s">
        <v>673</v>
      </c>
      <c r="D295" s="41" t="s">
        <v>116</v>
      </c>
      <c r="E295" s="41" t="s">
        <v>562</v>
      </c>
      <c r="F295" s="41" t="s">
        <v>718</v>
      </c>
      <c r="G295" s="83">
        <v>0</v>
      </c>
      <c r="J295" s="84"/>
      <c r="K295" s="41">
        <v>0</v>
      </c>
      <c r="L295" s="41">
        <v>0</v>
      </c>
      <c r="M295" s="70">
        <f t="shared" si="41"/>
        <v>0</v>
      </c>
      <c r="N295" s="41">
        <v>0</v>
      </c>
      <c r="O295" s="41">
        <v>0</v>
      </c>
      <c r="P295" s="70">
        <f t="shared" si="42"/>
        <v>0</v>
      </c>
      <c r="Q295" s="41">
        <v>0</v>
      </c>
      <c r="R295" s="41">
        <v>0</v>
      </c>
      <c r="S295" s="70">
        <f t="shared" si="43"/>
        <v>0</v>
      </c>
      <c r="T295" s="41">
        <v>0</v>
      </c>
      <c r="U295" s="41">
        <v>0</v>
      </c>
      <c r="V295" s="70">
        <f t="shared" si="44"/>
        <v>0</v>
      </c>
      <c r="W295" s="41">
        <v>0</v>
      </c>
      <c r="X295" s="41">
        <v>0</v>
      </c>
      <c r="Y295" s="70">
        <f t="shared" si="45"/>
        <v>0</v>
      </c>
      <c r="Z295" s="41">
        <v>0</v>
      </c>
      <c r="AA295" s="41">
        <v>0</v>
      </c>
      <c r="AB295" s="70">
        <f t="shared" si="46"/>
        <v>0</v>
      </c>
      <c r="AC295" s="41">
        <v>0</v>
      </c>
      <c r="AD295" s="41">
        <v>0</v>
      </c>
      <c r="AE295" s="70">
        <f t="shared" si="47"/>
        <v>0</v>
      </c>
      <c r="AF295" s="28">
        <f t="shared" si="48"/>
        <v>0</v>
      </c>
      <c r="AG295" s="28">
        <f t="shared" si="49"/>
        <v>0</v>
      </c>
    </row>
    <row r="296" spans="1:40" ht="57.6" x14ac:dyDescent="0.3">
      <c r="A296" s="41" t="s">
        <v>697</v>
      </c>
      <c r="B296" s="41" t="s">
        <v>693</v>
      </c>
      <c r="C296" s="41" t="s">
        <v>673</v>
      </c>
      <c r="D296" s="41" t="s">
        <v>116</v>
      </c>
      <c r="E296" s="41" t="s">
        <v>178</v>
      </c>
      <c r="F296" s="41" t="s">
        <v>1297</v>
      </c>
      <c r="G296" s="83">
        <v>8000</v>
      </c>
      <c r="J296" s="84"/>
      <c r="K296" s="41">
        <v>0</v>
      </c>
      <c r="L296" s="41">
        <v>0</v>
      </c>
      <c r="M296" s="70">
        <f t="shared" si="41"/>
        <v>0</v>
      </c>
      <c r="N296" s="41">
        <v>5</v>
      </c>
      <c r="O296" s="41">
        <v>1</v>
      </c>
      <c r="P296" s="70">
        <f t="shared" si="42"/>
        <v>48400.000000000007</v>
      </c>
      <c r="Q296" s="41">
        <v>5</v>
      </c>
      <c r="R296" s="41">
        <v>1</v>
      </c>
      <c r="S296" s="70">
        <f t="shared" si="43"/>
        <v>53240.000000000015</v>
      </c>
      <c r="T296" s="41">
        <v>5</v>
      </c>
      <c r="U296" s="41">
        <v>1</v>
      </c>
      <c r="V296" s="70">
        <f t="shared" si="44"/>
        <v>58564.000000000015</v>
      </c>
      <c r="W296" s="41">
        <v>5</v>
      </c>
      <c r="X296" s="41">
        <v>1</v>
      </c>
      <c r="Y296" s="70">
        <f t="shared" si="45"/>
        <v>64420.400000000016</v>
      </c>
      <c r="Z296" s="41">
        <v>5</v>
      </c>
      <c r="AA296" s="41">
        <v>1</v>
      </c>
      <c r="AB296" s="70">
        <f t="shared" si="46"/>
        <v>70862.440000000031</v>
      </c>
      <c r="AC296" s="41">
        <v>5</v>
      </c>
      <c r="AD296" s="41">
        <v>1</v>
      </c>
      <c r="AE296" s="70">
        <f t="shared" si="47"/>
        <v>77948.684000000052</v>
      </c>
      <c r="AF296" s="28">
        <f t="shared" si="48"/>
        <v>373435.52400000015</v>
      </c>
      <c r="AG296" s="28">
        <f t="shared" si="49"/>
        <v>362.55876116504868</v>
      </c>
    </row>
    <row r="297" spans="1:40" ht="57.6" x14ac:dyDescent="0.3">
      <c r="A297" s="41" t="s">
        <v>697</v>
      </c>
      <c r="B297" s="41" t="s">
        <v>693</v>
      </c>
      <c r="C297" s="41" t="s">
        <v>673</v>
      </c>
      <c r="D297" s="41" t="s">
        <v>116</v>
      </c>
      <c r="E297" s="41" t="s">
        <v>178</v>
      </c>
      <c r="F297" s="41" t="s">
        <v>717</v>
      </c>
      <c r="G297" s="83">
        <v>104850</v>
      </c>
      <c r="J297" s="84"/>
      <c r="K297" s="41">
        <v>0</v>
      </c>
      <c r="L297" s="41">
        <v>0</v>
      </c>
      <c r="M297" s="70">
        <f t="shared" si="41"/>
        <v>0</v>
      </c>
      <c r="N297" s="41">
        <v>1</v>
      </c>
      <c r="O297" s="41">
        <v>1</v>
      </c>
      <c r="P297" s="70">
        <f t="shared" si="42"/>
        <v>126868.50000000001</v>
      </c>
      <c r="Q297" s="41">
        <v>1</v>
      </c>
      <c r="R297" s="41">
        <v>1</v>
      </c>
      <c r="S297" s="70">
        <f t="shared" si="43"/>
        <v>139555.35000000003</v>
      </c>
      <c r="T297" s="41">
        <v>1</v>
      </c>
      <c r="U297" s="41">
        <v>1</v>
      </c>
      <c r="V297" s="70">
        <f t="shared" si="44"/>
        <v>153510.88500000004</v>
      </c>
      <c r="W297" s="41">
        <v>1</v>
      </c>
      <c r="X297" s="41">
        <v>1</v>
      </c>
      <c r="Y297" s="70">
        <f t="shared" si="45"/>
        <v>168861.97350000005</v>
      </c>
      <c r="Z297" s="41">
        <v>1</v>
      </c>
      <c r="AA297" s="41">
        <v>1</v>
      </c>
      <c r="AB297" s="70">
        <f t="shared" si="46"/>
        <v>185748.17085000008</v>
      </c>
      <c r="AC297" s="41">
        <v>1</v>
      </c>
      <c r="AD297" s="41">
        <v>1</v>
      </c>
      <c r="AE297" s="70">
        <f t="shared" si="47"/>
        <v>204322.98793500013</v>
      </c>
      <c r="AF297" s="28">
        <f t="shared" si="48"/>
        <v>978867.86728500039</v>
      </c>
      <c r="AG297" s="28">
        <f t="shared" si="49"/>
        <v>950.35715270388391</v>
      </c>
    </row>
    <row r="298" spans="1:40" ht="57.6" x14ac:dyDescent="0.3">
      <c r="A298" s="41" t="s">
        <v>697</v>
      </c>
      <c r="B298" s="41" t="s">
        <v>693</v>
      </c>
      <c r="C298" s="41" t="s">
        <v>673</v>
      </c>
      <c r="D298" s="41" t="s">
        <v>116</v>
      </c>
      <c r="E298" s="41" t="s">
        <v>178</v>
      </c>
      <c r="F298" s="41" t="s">
        <v>709</v>
      </c>
      <c r="G298" s="83">
        <v>35000</v>
      </c>
      <c r="J298" s="84"/>
      <c r="K298" s="41">
        <v>0</v>
      </c>
      <c r="L298" s="41">
        <v>0</v>
      </c>
      <c r="M298" s="70">
        <f t="shared" si="41"/>
        <v>0</v>
      </c>
      <c r="N298" s="41">
        <v>100</v>
      </c>
      <c r="O298" s="41">
        <v>1</v>
      </c>
      <c r="P298" s="70">
        <f t="shared" si="42"/>
        <v>4235000.0000000009</v>
      </c>
      <c r="Q298" s="41">
        <v>100</v>
      </c>
      <c r="R298" s="41">
        <v>1</v>
      </c>
      <c r="S298" s="70">
        <f t="shared" si="43"/>
        <v>4658500.0000000019</v>
      </c>
      <c r="T298" s="41">
        <v>100</v>
      </c>
      <c r="U298" s="41">
        <v>1</v>
      </c>
      <c r="V298" s="70">
        <f t="shared" si="44"/>
        <v>5124350.0000000019</v>
      </c>
      <c r="W298" s="41">
        <v>100</v>
      </c>
      <c r="X298" s="41">
        <v>1</v>
      </c>
      <c r="Y298" s="70">
        <f t="shared" si="45"/>
        <v>5636785.0000000019</v>
      </c>
      <c r="Z298" s="41">
        <v>100</v>
      </c>
      <c r="AA298" s="41">
        <v>1</v>
      </c>
      <c r="AB298" s="70">
        <f t="shared" si="46"/>
        <v>6200463.5000000028</v>
      </c>
      <c r="AC298" s="41">
        <v>100</v>
      </c>
      <c r="AD298" s="41">
        <v>1</v>
      </c>
      <c r="AE298" s="70">
        <f t="shared" si="47"/>
        <v>6820509.8500000034</v>
      </c>
      <c r="AF298" s="28">
        <f t="shared" si="48"/>
        <v>32675608.350000016</v>
      </c>
      <c r="AG298" s="28">
        <f t="shared" si="49"/>
        <v>31723.891601941763</v>
      </c>
    </row>
    <row r="299" spans="1:40" ht="57.6" x14ac:dyDescent="0.3">
      <c r="A299" s="41" t="s">
        <v>697</v>
      </c>
      <c r="B299" s="41" t="s">
        <v>693</v>
      </c>
      <c r="C299" s="41" t="s">
        <v>673</v>
      </c>
      <c r="D299" s="41" t="s">
        <v>116</v>
      </c>
      <c r="E299" s="41" t="s">
        <v>178</v>
      </c>
      <c r="F299" s="41" t="s">
        <v>712</v>
      </c>
      <c r="G299" s="83">
        <f>1999.2/7</f>
        <v>285.60000000000002</v>
      </c>
      <c r="J299" s="84"/>
      <c r="K299" s="41"/>
      <c r="L299" s="41"/>
      <c r="M299" s="70">
        <f t="shared" si="41"/>
        <v>0</v>
      </c>
      <c r="N299" s="41">
        <f>25*2*29</f>
        <v>1450</v>
      </c>
      <c r="O299" s="41">
        <v>1</v>
      </c>
      <c r="P299" s="70">
        <f t="shared" si="42"/>
        <v>501085.20000000013</v>
      </c>
      <c r="Q299" s="41">
        <v>1450</v>
      </c>
      <c r="R299" s="41">
        <v>1</v>
      </c>
      <c r="S299" s="70">
        <f t="shared" si="43"/>
        <v>551193.7200000002</v>
      </c>
      <c r="T299" s="41">
        <v>1450</v>
      </c>
      <c r="U299" s="41">
        <v>1</v>
      </c>
      <c r="V299" s="70">
        <f t="shared" si="44"/>
        <v>606313.09200000018</v>
      </c>
      <c r="W299" s="41">
        <v>1450</v>
      </c>
      <c r="X299" s="41">
        <v>1</v>
      </c>
      <c r="Y299" s="70">
        <f t="shared" si="45"/>
        <v>666944.4012000002</v>
      </c>
      <c r="Z299" s="41">
        <v>1450</v>
      </c>
      <c r="AA299" s="41">
        <v>1</v>
      </c>
      <c r="AB299" s="70">
        <f t="shared" si="46"/>
        <v>733638.84132000036</v>
      </c>
      <c r="AC299" s="41">
        <v>1450</v>
      </c>
      <c r="AD299" s="41">
        <v>1</v>
      </c>
      <c r="AE299" s="70">
        <f t="shared" si="47"/>
        <v>807002.72545200062</v>
      </c>
      <c r="AF299" s="28">
        <f t="shared" si="48"/>
        <v>3866177.9799720016</v>
      </c>
      <c r="AG299" s="28">
        <f t="shared" si="49"/>
        <v>3753.5708543417491</v>
      </c>
    </row>
    <row r="300" spans="1:40" ht="57.6" x14ac:dyDescent="0.3">
      <c r="A300" s="41" t="s">
        <v>697</v>
      </c>
      <c r="B300" s="41" t="s">
        <v>693</v>
      </c>
      <c r="C300" s="41" t="s">
        <v>673</v>
      </c>
      <c r="D300" s="41" t="s">
        <v>116</v>
      </c>
      <c r="E300" s="41" t="s">
        <v>178</v>
      </c>
      <c r="F300" s="41" t="s">
        <v>716</v>
      </c>
      <c r="G300" s="83">
        <v>39000</v>
      </c>
      <c r="J300" s="84"/>
      <c r="K300" s="41"/>
      <c r="L300" s="41"/>
      <c r="M300" s="70">
        <f t="shared" si="41"/>
        <v>0</v>
      </c>
      <c r="N300" s="41">
        <v>58</v>
      </c>
      <c r="O300" s="41">
        <v>2</v>
      </c>
      <c r="P300" s="70">
        <f t="shared" si="42"/>
        <v>5474040.0000000009</v>
      </c>
      <c r="Q300" s="41">
        <v>58</v>
      </c>
      <c r="R300" s="41">
        <v>2</v>
      </c>
      <c r="S300" s="70">
        <f t="shared" si="43"/>
        <v>6021444.0000000019</v>
      </c>
      <c r="T300" s="41">
        <v>58</v>
      </c>
      <c r="U300" s="41">
        <v>2</v>
      </c>
      <c r="V300" s="70">
        <f t="shared" si="44"/>
        <v>6623588.4000000022</v>
      </c>
      <c r="W300" s="41">
        <v>58</v>
      </c>
      <c r="X300" s="41">
        <v>2</v>
      </c>
      <c r="Y300" s="70">
        <f t="shared" si="45"/>
        <v>7285947.2400000021</v>
      </c>
      <c r="Z300" s="41">
        <v>58</v>
      </c>
      <c r="AA300" s="41">
        <v>2</v>
      </c>
      <c r="AB300" s="70">
        <f t="shared" si="46"/>
        <v>8014541.9640000034</v>
      </c>
      <c r="AC300" s="41">
        <v>58</v>
      </c>
      <c r="AD300" s="41">
        <v>2</v>
      </c>
      <c r="AE300" s="70">
        <f t="shared" si="47"/>
        <v>8815996.1604000051</v>
      </c>
      <c r="AF300" s="28">
        <f t="shared" si="48"/>
        <v>42235557.764400013</v>
      </c>
      <c r="AG300" s="28">
        <f t="shared" si="49"/>
        <v>41005.395887767001</v>
      </c>
    </row>
    <row r="301" spans="1:40" ht="57.6" x14ac:dyDescent="0.3">
      <c r="A301" s="41" t="s">
        <v>697</v>
      </c>
      <c r="B301" s="41" t="s">
        <v>693</v>
      </c>
      <c r="C301" s="41" t="s">
        <v>673</v>
      </c>
      <c r="D301" s="41" t="s">
        <v>116</v>
      </c>
      <c r="E301" s="41" t="s">
        <v>178</v>
      </c>
      <c r="F301" s="41" t="s">
        <v>1350</v>
      </c>
      <c r="G301" s="83">
        <f>1999.2/7</f>
        <v>285.60000000000002</v>
      </c>
      <c r="J301" s="84"/>
      <c r="K301" s="41"/>
      <c r="L301" s="41"/>
      <c r="M301" s="70">
        <f t="shared" si="41"/>
        <v>0</v>
      </c>
      <c r="N301" s="41">
        <f>135*2*29</f>
        <v>7830</v>
      </c>
      <c r="O301" s="41">
        <v>1</v>
      </c>
      <c r="P301" s="70">
        <f t="shared" si="42"/>
        <v>2705860.0800000005</v>
      </c>
      <c r="Q301" s="41">
        <v>7830</v>
      </c>
      <c r="R301" s="41">
        <v>1</v>
      </c>
      <c r="S301" s="70">
        <f t="shared" si="43"/>
        <v>2976446.0880000014</v>
      </c>
      <c r="T301" s="41">
        <v>7830</v>
      </c>
      <c r="U301" s="41">
        <v>1</v>
      </c>
      <c r="V301" s="70">
        <f t="shared" si="44"/>
        <v>3274090.696800001</v>
      </c>
      <c r="W301" s="41">
        <v>7830</v>
      </c>
      <c r="X301" s="41">
        <v>1</v>
      </c>
      <c r="Y301" s="70">
        <f t="shared" si="45"/>
        <v>3601499.7664800012</v>
      </c>
      <c r="Z301" s="41">
        <v>7830</v>
      </c>
      <c r="AA301" s="41">
        <v>1</v>
      </c>
      <c r="AB301" s="70">
        <f t="shared" si="46"/>
        <v>3961649.7431280022</v>
      </c>
      <c r="AC301" s="41">
        <v>7830</v>
      </c>
      <c r="AD301" s="41">
        <v>1</v>
      </c>
      <c r="AE301" s="70">
        <f t="shared" si="47"/>
        <v>4357814.7174408035</v>
      </c>
      <c r="AF301" s="28">
        <f t="shared" si="48"/>
        <v>20877361.091848809</v>
      </c>
      <c r="AG301" s="28">
        <f t="shared" si="49"/>
        <v>20269.282613445444</v>
      </c>
    </row>
    <row r="302" spans="1:40" x14ac:dyDescent="0.3">
      <c r="A302" s="91" t="s">
        <v>1302</v>
      </c>
      <c r="B302" s="91"/>
      <c r="C302" s="91"/>
      <c r="D302" s="91"/>
      <c r="E302" s="91"/>
      <c r="F302" s="91"/>
      <c r="G302" s="92"/>
      <c r="H302" s="91"/>
      <c r="I302" s="91"/>
      <c r="J302" s="92">
        <f>SUM(J207:J301)</f>
        <v>100312442.3</v>
      </c>
      <c r="K302" s="91"/>
      <c r="L302" s="91"/>
      <c r="M302" s="92">
        <f>SUM(M207:M301)</f>
        <v>542599189.24749994</v>
      </c>
      <c r="N302" s="91"/>
      <c r="O302" s="91"/>
      <c r="P302" s="92">
        <f>SUM(P207:P301)</f>
        <v>295753084.01375002</v>
      </c>
      <c r="Q302" s="91"/>
      <c r="R302" s="91"/>
      <c r="S302" s="92">
        <f>SUM(S207:S301)</f>
        <v>247238161.58965003</v>
      </c>
      <c r="T302" s="91"/>
      <c r="U302" s="91"/>
      <c r="V302" s="92">
        <f>SUM(V207:V301)</f>
        <v>271961977.74861497</v>
      </c>
      <c r="W302" s="91"/>
      <c r="X302" s="91"/>
      <c r="Y302" s="92">
        <f>SUM(Y207:Y301)</f>
        <v>299158175.5234766</v>
      </c>
      <c r="Z302" s="91"/>
      <c r="AA302" s="91"/>
      <c r="AB302" s="92">
        <f>SUM(AB207:AB301)</f>
        <v>329073993.07582438</v>
      </c>
      <c r="AC302" s="91"/>
      <c r="AD302" s="91"/>
      <c r="AE302" s="92">
        <f>SUM(AE207:AE301)</f>
        <v>361981392.383407</v>
      </c>
      <c r="AF302" s="95">
        <f t="shared" si="48"/>
        <v>2448078415.8822231</v>
      </c>
      <c r="AG302" s="95">
        <f t="shared" si="49"/>
        <v>2376775.161050702</v>
      </c>
      <c r="AH302" s="94"/>
      <c r="AI302" s="94"/>
      <c r="AJ302" s="94"/>
      <c r="AK302" s="94"/>
      <c r="AL302" s="94"/>
      <c r="AM302" s="94"/>
      <c r="AN302" s="94"/>
    </row>
    <row r="303" spans="1:40" x14ac:dyDescent="0.3">
      <c r="A303" s="63" t="s">
        <v>1427</v>
      </c>
      <c r="B303" s="63"/>
      <c r="C303" s="63"/>
      <c r="D303" s="63"/>
      <c r="E303" s="63"/>
      <c r="F303" s="63"/>
      <c r="G303" s="90"/>
      <c r="H303" s="63"/>
      <c r="I303" s="63"/>
      <c r="J303" s="90">
        <f>J302/$AL$2</f>
        <v>97390.720679611652</v>
      </c>
      <c r="K303" s="63"/>
      <c r="L303" s="63"/>
      <c r="M303" s="90">
        <f>M302/$AL$2</f>
        <v>526795.3293665048</v>
      </c>
      <c r="N303" s="63"/>
      <c r="O303" s="63"/>
      <c r="P303" s="90">
        <f>P302/$AL$2</f>
        <v>287138.91651820391</v>
      </c>
      <c r="Q303" s="63"/>
      <c r="R303" s="63"/>
      <c r="S303" s="90">
        <f>S302/$AL$2</f>
        <v>240037.05008703886</v>
      </c>
      <c r="T303" s="63"/>
      <c r="U303" s="63"/>
      <c r="V303" s="90">
        <f>V302/$AL$2</f>
        <v>264040.7550957427</v>
      </c>
      <c r="W303" s="63"/>
      <c r="X303" s="63"/>
      <c r="Y303" s="90">
        <f>Y302/$AL$2</f>
        <v>290444.83060531708</v>
      </c>
      <c r="Z303" s="63"/>
      <c r="AA303" s="63"/>
      <c r="AB303" s="90">
        <f>AB302/$AL$2</f>
        <v>319489.31366584892</v>
      </c>
      <c r="AC303" s="63"/>
      <c r="AD303" s="63"/>
      <c r="AE303" s="90">
        <f>AE302/$AL$2</f>
        <v>351438.245032434</v>
      </c>
      <c r="AF303" s="20">
        <f t="shared" si="48"/>
        <v>2376775.161050702</v>
      </c>
      <c r="AG303" s="20">
        <f t="shared" si="49"/>
        <v>2307.5487000492253</v>
      </c>
      <c r="AH303" s="62"/>
      <c r="AI303" s="62"/>
      <c r="AJ303" s="62"/>
      <c r="AK303" s="62"/>
    </row>
    <row r="304" spans="1:40" ht="57.6" x14ac:dyDescent="0.3">
      <c r="A304" s="41" t="s">
        <v>697</v>
      </c>
      <c r="B304" s="41" t="s">
        <v>693</v>
      </c>
      <c r="C304" s="43" t="s">
        <v>674</v>
      </c>
      <c r="D304" s="41" t="s">
        <v>117</v>
      </c>
      <c r="E304" s="41" t="s">
        <v>567</v>
      </c>
      <c r="F304" s="41" t="s">
        <v>718</v>
      </c>
      <c r="G304" s="83">
        <v>0</v>
      </c>
      <c r="H304" s="41">
        <v>0</v>
      </c>
      <c r="I304" s="41">
        <v>0</v>
      </c>
      <c r="J304" s="83">
        <f>G304*H304*I304</f>
        <v>0</v>
      </c>
      <c r="K304" s="41"/>
      <c r="L304" s="41">
        <v>0</v>
      </c>
      <c r="M304" s="70">
        <f t="shared" si="41"/>
        <v>0</v>
      </c>
      <c r="N304" s="41">
        <v>0</v>
      </c>
      <c r="O304" s="41">
        <v>0</v>
      </c>
      <c r="P304" s="70">
        <f t="shared" si="42"/>
        <v>0</v>
      </c>
      <c r="Q304" s="41">
        <v>0</v>
      </c>
      <c r="R304" s="41">
        <v>0</v>
      </c>
      <c r="S304" s="70">
        <f t="shared" si="43"/>
        <v>0</v>
      </c>
      <c r="T304" s="41">
        <v>0</v>
      </c>
      <c r="U304" s="41">
        <v>0</v>
      </c>
      <c r="V304" s="70">
        <f t="shared" si="44"/>
        <v>0</v>
      </c>
      <c r="W304" s="41">
        <v>0</v>
      </c>
      <c r="X304" s="41">
        <v>0</v>
      </c>
      <c r="Y304" s="70">
        <f t="shared" si="45"/>
        <v>0</v>
      </c>
      <c r="Z304" s="41">
        <v>0</v>
      </c>
      <c r="AA304" s="41">
        <v>0</v>
      </c>
      <c r="AB304" s="70">
        <f t="shared" si="46"/>
        <v>0</v>
      </c>
      <c r="AC304" s="41">
        <v>0</v>
      </c>
      <c r="AD304" s="41">
        <v>0</v>
      </c>
      <c r="AE304" s="70">
        <f t="shared" si="47"/>
        <v>0</v>
      </c>
      <c r="AF304" s="28">
        <f t="shared" si="48"/>
        <v>0</v>
      </c>
      <c r="AG304" s="28">
        <f t="shared" si="49"/>
        <v>0</v>
      </c>
    </row>
    <row r="305" spans="1:38" ht="57.6" x14ac:dyDescent="0.3">
      <c r="A305" s="41" t="s">
        <v>697</v>
      </c>
      <c r="B305" s="41" t="s">
        <v>693</v>
      </c>
      <c r="C305" s="43" t="s">
        <v>674</v>
      </c>
      <c r="D305" s="41" t="s">
        <v>117</v>
      </c>
      <c r="E305" s="41" t="s">
        <v>149</v>
      </c>
      <c r="F305" s="41" t="s">
        <v>707</v>
      </c>
      <c r="G305" s="83">
        <v>391991.03749999998</v>
      </c>
      <c r="J305" s="84"/>
      <c r="K305" s="41">
        <v>2</v>
      </c>
      <c r="L305" s="41">
        <v>2</v>
      </c>
      <c r="M305" s="70">
        <f t="shared" si="41"/>
        <v>1724760.5649999999</v>
      </c>
      <c r="N305" s="41">
        <v>2</v>
      </c>
      <c r="O305" s="41">
        <v>2</v>
      </c>
      <c r="P305" s="70">
        <f t="shared" si="42"/>
        <v>1897236.6215000001</v>
      </c>
      <c r="Q305" s="41">
        <v>2</v>
      </c>
      <c r="R305" s="41">
        <v>2</v>
      </c>
      <c r="S305" s="70">
        <f t="shared" si="43"/>
        <v>2086960.2836500006</v>
      </c>
      <c r="T305" s="41">
        <v>2</v>
      </c>
      <c r="U305" s="41">
        <v>2</v>
      </c>
      <c r="V305" s="70">
        <f t="shared" si="44"/>
        <v>2295656.3120150003</v>
      </c>
      <c r="W305" s="41">
        <v>2</v>
      </c>
      <c r="X305" s="41">
        <v>2</v>
      </c>
      <c r="Y305" s="70">
        <f t="shared" si="45"/>
        <v>2525221.9432165008</v>
      </c>
      <c r="Z305" s="41">
        <v>0</v>
      </c>
      <c r="AA305" s="41">
        <v>0</v>
      </c>
      <c r="AB305" s="70">
        <f t="shared" si="46"/>
        <v>0</v>
      </c>
      <c r="AC305" s="41">
        <v>0</v>
      </c>
      <c r="AD305" s="41">
        <v>0</v>
      </c>
      <c r="AE305" s="70">
        <f t="shared" si="47"/>
        <v>0</v>
      </c>
      <c r="AF305" s="28">
        <f t="shared" si="48"/>
        <v>10529835.725381501</v>
      </c>
      <c r="AG305" s="28">
        <f t="shared" si="49"/>
        <v>10223.141480952914</v>
      </c>
    </row>
    <row r="306" spans="1:38" ht="57.6" x14ac:dyDescent="0.3">
      <c r="A306" s="41" t="s">
        <v>697</v>
      </c>
      <c r="B306" s="41" t="s">
        <v>693</v>
      </c>
      <c r="C306" s="43" t="s">
        <v>674</v>
      </c>
      <c r="D306" s="41" t="s">
        <v>117</v>
      </c>
      <c r="E306" s="41" t="s">
        <v>149</v>
      </c>
      <c r="F306" s="41" t="s">
        <v>720</v>
      </c>
      <c r="G306" s="83">
        <f>980*1030</f>
        <v>1009400</v>
      </c>
      <c r="J306" s="84"/>
      <c r="K306" s="41">
        <v>1</v>
      </c>
      <c r="L306" s="41">
        <v>25</v>
      </c>
      <c r="M306" s="70">
        <f t="shared" si="41"/>
        <v>27758500</v>
      </c>
      <c r="N306" s="41">
        <v>1</v>
      </c>
      <c r="O306" s="41">
        <v>25</v>
      </c>
      <c r="P306" s="70">
        <f t="shared" si="42"/>
        <v>30534350.000000007</v>
      </c>
      <c r="Q306" s="41">
        <v>1</v>
      </c>
      <c r="R306" s="41">
        <v>25</v>
      </c>
      <c r="S306" s="70">
        <f t="shared" si="43"/>
        <v>33587785.000000007</v>
      </c>
      <c r="T306" s="41">
        <v>1</v>
      </c>
      <c r="U306" s="41">
        <v>25</v>
      </c>
      <c r="V306" s="70">
        <f t="shared" si="44"/>
        <v>36946563.500000015</v>
      </c>
      <c r="W306" s="41">
        <v>1</v>
      </c>
      <c r="X306" s="41">
        <v>25</v>
      </c>
      <c r="Y306" s="70">
        <f t="shared" si="45"/>
        <v>40641219.850000009</v>
      </c>
      <c r="Z306" s="41">
        <v>0</v>
      </c>
      <c r="AA306" s="41">
        <v>0</v>
      </c>
      <c r="AB306" s="70">
        <f t="shared" si="46"/>
        <v>0</v>
      </c>
      <c r="AC306" s="41">
        <v>0</v>
      </c>
      <c r="AD306" s="41">
        <v>0</v>
      </c>
      <c r="AE306" s="70">
        <f t="shared" si="47"/>
        <v>0</v>
      </c>
      <c r="AF306" s="28">
        <f t="shared" si="48"/>
        <v>169468418.35000002</v>
      </c>
      <c r="AG306" s="28">
        <f t="shared" si="49"/>
        <v>164532.44500000004</v>
      </c>
    </row>
    <row r="307" spans="1:38" ht="57.6" x14ac:dyDescent="0.3">
      <c r="A307" s="41" t="s">
        <v>697</v>
      </c>
      <c r="B307" s="41" t="s">
        <v>693</v>
      </c>
      <c r="C307" s="43" t="s">
        <v>674</v>
      </c>
      <c r="D307" s="41" t="s">
        <v>117</v>
      </c>
      <c r="E307" s="41" t="s">
        <v>565</v>
      </c>
      <c r="F307" s="41" t="s">
        <v>716</v>
      </c>
      <c r="G307" s="83">
        <v>39000</v>
      </c>
      <c r="J307" s="84"/>
      <c r="K307" s="41">
        <v>50</v>
      </c>
      <c r="L307" s="41">
        <v>5</v>
      </c>
      <c r="M307" s="70">
        <f t="shared" si="41"/>
        <v>10725000</v>
      </c>
      <c r="N307" s="41">
        <v>50</v>
      </c>
      <c r="O307" s="41">
        <v>5</v>
      </c>
      <c r="P307" s="70">
        <f t="shared" si="42"/>
        <v>11797500.000000002</v>
      </c>
      <c r="Q307" s="41">
        <v>50</v>
      </c>
      <c r="R307" s="41">
        <v>5</v>
      </c>
      <c r="S307" s="70">
        <f t="shared" si="43"/>
        <v>12977250.000000004</v>
      </c>
      <c r="T307" s="41">
        <v>50</v>
      </c>
      <c r="U307" s="41">
        <v>5</v>
      </c>
      <c r="V307" s="70">
        <f t="shared" si="44"/>
        <v>14274975.000000004</v>
      </c>
      <c r="W307" s="41">
        <v>50</v>
      </c>
      <c r="X307" s="41">
        <v>5</v>
      </c>
      <c r="Y307" s="70">
        <f t="shared" si="45"/>
        <v>15702472.500000004</v>
      </c>
      <c r="Z307" s="41">
        <v>0</v>
      </c>
      <c r="AA307" s="41">
        <v>0</v>
      </c>
      <c r="AB307" s="70">
        <f t="shared" si="46"/>
        <v>0</v>
      </c>
      <c r="AC307" s="41">
        <v>0</v>
      </c>
      <c r="AD307" s="41">
        <v>0</v>
      </c>
      <c r="AE307" s="70">
        <f t="shared" si="47"/>
        <v>0</v>
      </c>
      <c r="AF307" s="28">
        <f t="shared" si="48"/>
        <v>65477197.5</v>
      </c>
      <c r="AG307" s="28">
        <f t="shared" si="49"/>
        <v>63570.094660194176</v>
      </c>
    </row>
    <row r="308" spans="1:38" ht="57.6" x14ac:dyDescent="0.3">
      <c r="A308" s="41" t="s">
        <v>697</v>
      </c>
      <c r="B308" s="41" t="s">
        <v>693</v>
      </c>
      <c r="C308" s="43" t="s">
        <v>674</v>
      </c>
      <c r="D308" s="41" t="s">
        <v>117</v>
      </c>
      <c r="E308" s="41" t="s">
        <v>565</v>
      </c>
      <c r="F308" s="41" t="s">
        <v>709</v>
      </c>
      <c r="G308" s="83">
        <v>35000</v>
      </c>
      <c r="J308" s="84"/>
      <c r="K308" s="41">
        <v>50</v>
      </c>
      <c r="L308" s="41">
        <v>5</v>
      </c>
      <c r="M308" s="70">
        <f t="shared" si="41"/>
        <v>9625000</v>
      </c>
      <c r="N308" s="41">
        <v>50</v>
      </c>
      <c r="O308" s="41">
        <v>5</v>
      </c>
      <c r="P308" s="70">
        <f t="shared" si="42"/>
        <v>10587500.000000002</v>
      </c>
      <c r="Q308" s="41">
        <v>50</v>
      </c>
      <c r="R308" s="41">
        <v>5</v>
      </c>
      <c r="S308" s="70">
        <f t="shared" si="43"/>
        <v>11646250.000000004</v>
      </c>
      <c r="T308" s="41">
        <v>50</v>
      </c>
      <c r="U308" s="41">
        <v>5</v>
      </c>
      <c r="V308" s="70">
        <f t="shared" si="44"/>
        <v>12810875.000000004</v>
      </c>
      <c r="W308" s="41">
        <v>50</v>
      </c>
      <c r="X308" s="41">
        <v>5</v>
      </c>
      <c r="Y308" s="70">
        <f t="shared" si="45"/>
        <v>14091962.500000004</v>
      </c>
      <c r="Z308" s="41">
        <v>0</v>
      </c>
      <c r="AA308" s="41">
        <v>0</v>
      </c>
      <c r="AB308" s="70">
        <f t="shared" si="46"/>
        <v>0</v>
      </c>
      <c r="AC308" s="41">
        <v>0</v>
      </c>
      <c r="AD308" s="41">
        <v>0</v>
      </c>
      <c r="AE308" s="70">
        <f t="shared" si="47"/>
        <v>0</v>
      </c>
      <c r="AF308" s="28">
        <f t="shared" si="48"/>
        <v>58761587.500000015</v>
      </c>
      <c r="AG308" s="28">
        <f t="shared" si="49"/>
        <v>57050.084951456323</v>
      </c>
    </row>
    <row r="309" spans="1:38" ht="57.6" x14ac:dyDescent="0.3">
      <c r="A309" s="41" t="s">
        <v>697</v>
      </c>
      <c r="B309" s="41" t="s">
        <v>693</v>
      </c>
      <c r="C309" s="43" t="s">
        <v>674</v>
      </c>
      <c r="D309" s="41" t="s">
        <v>117</v>
      </c>
      <c r="E309" s="41" t="s">
        <v>565</v>
      </c>
      <c r="F309" s="41" t="s">
        <v>712</v>
      </c>
      <c r="G309" s="83">
        <f>1999.2/7</f>
        <v>285.60000000000002</v>
      </c>
      <c r="J309" s="84"/>
      <c r="K309" s="41">
        <f>25*2*20</f>
        <v>1000</v>
      </c>
      <c r="L309" s="41">
        <v>1</v>
      </c>
      <c r="M309" s="70">
        <f t="shared" si="41"/>
        <v>314160</v>
      </c>
      <c r="N309" s="41">
        <v>1000</v>
      </c>
      <c r="O309" s="41">
        <v>1</v>
      </c>
      <c r="P309" s="70">
        <f t="shared" si="42"/>
        <v>345576.00000000006</v>
      </c>
      <c r="Q309" s="41">
        <v>1000</v>
      </c>
      <c r="R309" s="41">
        <v>1</v>
      </c>
      <c r="S309" s="70">
        <f t="shared" si="43"/>
        <v>380133.60000000015</v>
      </c>
      <c r="T309" s="41">
        <v>1000</v>
      </c>
      <c r="U309" s="41">
        <v>1</v>
      </c>
      <c r="V309" s="70">
        <f t="shared" si="44"/>
        <v>418146.96000000014</v>
      </c>
      <c r="W309" s="41">
        <v>1000</v>
      </c>
      <c r="X309" s="41">
        <v>1</v>
      </c>
      <c r="Y309" s="70">
        <f t="shared" si="45"/>
        <v>459961.65600000019</v>
      </c>
      <c r="Z309" s="41">
        <v>0</v>
      </c>
      <c r="AA309" s="41">
        <v>0</v>
      </c>
      <c r="AB309" s="70">
        <f t="shared" si="46"/>
        <v>0</v>
      </c>
      <c r="AC309" s="41">
        <v>0</v>
      </c>
      <c r="AD309" s="41">
        <v>0</v>
      </c>
      <c r="AE309" s="70">
        <f t="shared" si="47"/>
        <v>0</v>
      </c>
      <c r="AF309" s="28">
        <f t="shared" si="48"/>
        <v>1917978.2160000005</v>
      </c>
      <c r="AG309" s="28">
        <f t="shared" si="49"/>
        <v>1862.1147728155345</v>
      </c>
    </row>
    <row r="310" spans="1:38" ht="57.6" x14ac:dyDescent="0.3">
      <c r="A310" s="41" t="s">
        <v>697</v>
      </c>
      <c r="B310" s="41" t="s">
        <v>693</v>
      </c>
      <c r="C310" s="43" t="s">
        <v>674</v>
      </c>
      <c r="D310" s="41" t="s">
        <v>118</v>
      </c>
      <c r="E310" s="41" t="s">
        <v>568</v>
      </c>
      <c r="F310" s="41" t="s">
        <v>798</v>
      </c>
      <c r="G310" s="83">
        <f>10000*1030</f>
        <v>10300000</v>
      </c>
      <c r="H310" s="41">
        <v>1</v>
      </c>
      <c r="I310" s="41">
        <v>1</v>
      </c>
      <c r="J310" s="83">
        <f>G310*H310*I310</f>
        <v>10300000</v>
      </c>
      <c r="K310" s="41">
        <v>1</v>
      </c>
      <c r="L310" s="41">
        <v>1</v>
      </c>
      <c r="M310" s="70">
        <f t="shared" si="41"/>
        <v>11330000</v>
      </c>
      <c r="N310" s="41">
        <v>1</v>
      </c>
      <c r="O310" s="41">
        <v>1</v>
      </c>
      <c r="P310" s="70">
        <f t="shared" si="42"/>
        <v>12463000.000000002</v>
      </c>
      <c r="Q310" s="41">
        <v>1</v>
      </c>
      <c r="R310" s="41">
        <v>1</v>
      </c>
      <c r="S310" s="70">
        <f t="shared" si="43"/>
        <v>13709300.000000004</v>
      </c>
      <c r="T310" s="41">
        <v>1</v>
      </c>
      <c r="U310" s="41">
        <v>1</v>
      </c>
      <c r="V310" s="70">
        <f t="shared" si="44"/>
        <v>15080230.000000004</v>
      </c>
      <c r="W310" s="41">
        <v>1</v>
      </c>
      <c r="X310" s="41">
        <v>1</v>
      </c>
      <c r="Y310" s="70">
        <f t="shared" si="45"/>
        <v>16588253.000000006</v>
      </c>
      <c r="Z310" s="41">
        <v>1</v>
      </c>
      <c r="AA310" s="41">
        <v>1</v>
      </c>
      <c r="AB310" s="70">
        <f t="shared" si="46"/>
        <v>18247078.300000008</v>
      </c>
      <c r="AC310" s="41">
        <v>1</v>
      </c>
      <c r="AD310" s="41">
        <v>1</v>
      </c>
      <c r="AE310" s="70">
        <f t="shared" si="47"/>
        <v>20071786.130000014</v>
      </c>
      <c r="AF310" s="28">
        <f t="shared" si="48"/>
        <v>117789647.43000002</v>
      </c>
      <c r="AG310" s="28">
        <f t="shared" si="49"/>
        <v>114358.88100000002</v>
      </c>
    </row>
    <row r="311" spans="1:38" x14ac:dyDescent="0.3">
      <c r="A311" s="91" t="s">
        <v>1302</v>
      </c>
      <c r="B311" s="94"/>
      <c r="C311" s="94"/>
      <c r="D311" s="94"/>
      <c r="E311" s="94"/>
      <c r="F311" s="94"/>
      <c r="G311" s="96"/>
      <c r="H311" s="94"/>
      <c r="I311" s="94"/>
      <c r="J311" s="96">
        <f>SUM(J304:J310)</f>
        <v>10300000</v>
      </c>
      <c r="K311" s="94"/>
      <c r="L311" s="94"/>
      <c r="M311" s="96">
        <f>SUM(M304:M310)</f>
        <v>61477420.564999998</v>
      </c>
      <c r="N311" s="94"/>
      <c r="O311" s="94"/>
      <c r="P311" s="96">
        <f>SUM(P304:P310)</f>
        <v>67625162.621500015</v>
      </c>
      <c r="Q311" s="94"/>
      <c r="R311" s="94"/>
      <c r="S311" s="96">
        <f>SUM(S304:S310)</f>
        <v>74387678.88365002</v>
      </c>
      <c r="T311" s="94"/>
      <c r="U311" s="94"/>
      <c r="V311" s="96">
        <f>SUM(V304:V310)</f>
        <v>81826446.77201502</v>
      </c>
      <c r="W311" s="94"/>
      <c r="X311" s="94"/>
      <c r="Y311" s="96">
        <f>SUM(Y304:Y310)</f>
        <v>90009091.449216515</v>
      </c>
      <c r="Z311" s="94"/>
      <c r="AA311" s="94"/>
      <c r="AB311" s="96">
        <f>SUM(AB304:AB310)</f>
        <v>18247078.300000008</v>
      </c>
      <c r="AC311" s="94"/>
      <c r="AD311" s="94"/>
      <c r="AE311" s="96">
        <f>SUM(AE304:AE310)</f>
        <v>20071786.130000014</v>
      </c>
      <c r="AF311" s="95">
        <f t="shared" si="48"/>
        <v>423944664.7213816</v>
      </c>
      <c r="AG311" s="95">
        <f t="shared" si="49"/>
        <v>411596.76186541904</v>
      </c>
      <c r="AH311" s="94"/>
      <c r="AI311" s="94"/>
      <c r="AJ311" s="94"/>
    </row>
    <row r="312" spans="1:38" x14ac:dyDescent="0.3">
      <c r="A312" s="97" t="s">
        <v>1411</v>
      </c>
      <c r="B312" s="98"/>
      <c r="C312" s="98"/>
      <c r="D312" s="98"/>
      <c r="E312" s="98"/>
      <c r="F312" s="98"/>
      <c r="G312" s="104"/>
      <c r="H312" s="98"/>
      <c r="I312" s="98"/>
      <c r="J312" s="104">
        <f>SUM(J2:J310)</f>
        <v>4832211748.6149702</v>
      </c>
      <c r="K312" s="98"/>
      <c r="L312" s="98"/>
      <c r="M312" s="104">
        <f>SUM(M2:M310)</f>
        <v>3022377819.5796928</v>
      </c>
      <c r="N312" s="98"/>
      <c r="O312" s="98"/>
      <c r="P312" s="104">
        <f>SUM(P2:P310)</f>
        <v>6937511453.9417458</v>
      </c>
      <c r="Q312" s="98"/>
      <c r="R312" s="98"/>
      <c r="S312" s="104">
        <f>SUM(S2:S310)</f>
        <v>4081348484.4462838</v>
      </c>
      <c r="T312" s="98"/>
      <c r="U312" s="98"/>
      <c r="V312" s="104">
        <f>SUM(V2:V310)</f>
        <v>4722775534.6241388</v>
      </c>
      <c r="W312" s="98"/>
      <c r="X312" s="98"/>
      <c r="Y312" s="104">
        <f>SUM(Y2:Y310)</f>
        <v>1926144393.3035181</v>
      </c>
      <c r="Z312" s="98"/>
      <c r="AA312" s="98"/>
      <c r="AB312" s="104">
        <f>SUM(AB2:AB310)</f>
        <v>2796076797.3570595</v>
      </c>
      <c r="AC312" s="98"/>
      <c r="AD312" s="98"/>
      <c r="AE312" s="104">
        <f>SUM(AE2:AE310)</f>
        <v>1590396474.3223369</v>
      </c>
      <c r="AF312" s="99">
        <f t="shared" si="48"/>
        <v>29908842706.189747</v>
      </c>
      <c r="AG312" s="99">
        <f t="shared" si="49"/>
        <v>29037711.365232766</v>
      </c>
      <c r="AH312" s="98"/>
      <c r="AI312" s="98"/>
      <c r="AJ312" s="98"/>
      <c r="AK312" s="98"/>
    </row>
    <row r="313" spans="1:38" x14ac:dyDescent="0.3">
      <c r="A313" s="63" t="s">
        <v>1428</v>
      </c>
      <c r="B313" s="62"/>
      <c r="C313" s="62"/>
      <c r="D313" s="62"/>
      <c r="E313" s="62"/>
      <c r="F313" s="62"/>
      <c r="G313" s="117"/>
      <c r="H313" s="62"/>
      <c r="I313" s="62"/>
      <c r="J313" s="117">
        <f>J312/$AL$2</f>
        <v>4691467.7171019129</v>
      </c>
      <c r="K313" s="62"/>
      <c r="L313" s="62"/>
      <c r="M313" s="117">
        <f>M312/$AL$2</f>
        <v>2934347.3976501874</v>
      </c>
      <c r="N313" s="62"/>
      <c r="O313" s="62"/>
      <c r="P313" s="117">
        <f>P312/$AL$2</f>
        <v>6735448.0135356756</v>
      </c>
      <c r="Q313" s="62"/>
      <c r="R313" s="62"/>
      <c r="S313" s="117">
        <f>S312/$AL$2</f>
        <v>3962474.2567439647</v>
      </c>
      <c r="T313" s="62"/>
      <c r="U313" s="62"/>
      <c r="V313" s="117">
        <f>V312/$AL$2</f>
        <v>4585218.9656545036</v>
      </c>
      <c r="W313" s="62"/>
      <c r="X313" s="62"/>
      <c r="Y313" s="117">
        <f>Y312/$AL$2</f>
        <v>1870043.1002946778</v>
      </c>
      <c r="Z313" s="62"/>
      <c r="AA313" s="62"/>
      <c r="AB313" s="117">
        <f>AB312/$AL$2</f>
        <v>2714637.667336951</v>
      </c>
      <c r="AC313" s="62"/>
      <c r="AD313" s="62"/>
      <c r="AE313" s="117">
        <f>AE312/$AL$2</f>
        <v>1544074.2469148901</v>
      </c>
      <c r="AF313" s="117">
        <f>AF312/$AL$2</f>
        <v>29037711.365232766</v>
      </c>
      <c r="AG313" s="117">
        <f>AG312/$AL$2</f>
        <v>28191.952781779382</v>
      </c>
      <c r="AH313" s="62"/>
      <c r="AI313" s="62"/>
      <c r="AJ313" s="62"/>
      <c r="AK313" s="62"/>
      <c r="AL313" s="62"/>
    </row>
    <row r="314" spans="1:38" x14ac:dyDescent="0.3">
      <c r="G314" s="84"/>
      <c r="J314" s="84"/>
      <c r="M314" s="84"/>
      <c r="S314" s="28"/>
      <c r="V314" s="28"/>
    </row>
    <row r="315" spans="1:38" x14ac:dyDescent="0.3">
      <c r="G315" s="84"/>
      <c r="J315" s="84"/>
      <c r="M315" s="84"/>
      <c r="S315" s="28"/>
      <c r="V315" s="28"/>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W178"/>
  <sheetViews>
    <sheetView topLeftCell="D40" workbookViewId="0">
      <selection activeCell="E95" sqref="E95"/>
    </sheetView>
  </sheetViews>
  <sheetFormatPr defaultColWidth="8.88671875" defaultRowHeight="14.4" x14ac:dyDescent="0.3"/>
  <cols>
    <col min="1" max="31" width="35.6640625" customWidth="1"/>
    <col min="32" max="33" width="24.8867187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1323</v>
      </c>
      <c r="X1" s="7" t="s">
        <v>826</v>
      </c>
      <c r="Y1" s="18" t="s">
        <v>827</v>
      </c>
      <c r="Z1" s="7" t="s">
        <v>828</v>
      </c>
      <c r="AA1" s="7" t="s">
        <v>829</v>
      </c>
      <c r="AB1" s="18" t="s">
        <v>830</v>
      </c>
      <c r="AC1" s="7" t="s">
        <v>831</v>
      </c>
      <c r="AD1" s="7" t="s">
        <v>832</v>
      </c>
      <c r="AE1" s="18" t="s">
        <v>833</v>
      </c>
      <c r="AF1" s="49" t="s">
        <v>1300</v>
      </c>
      <c r="AG1" s="49" t="s">
        <v>1301</v>
      </c>
      <c r="AH1" s="49"/>
    </row>
    <row r="2" spans="1:38" ht="57.6" x14ac:dyDescent="0.3">
      <c r="A2" s="41" t="s">
        <v>697</v>
      </c>
      <c r="B2" s="41" t="s">
        <v>694</v>
      </c>
      <c r="C2" s="41" t="s">
        <v>675</v>
      </c>
      <c r="D2" s="41" t="s">
        <v>119</v>
      </c>
      <c r="E2" s="41" t="s">
        <v>569</v>
      </c>
      <c r="F2" s="41" t="s">
        <v>718</v>
      </c>
      <c r="G2" s="67">
        <v>0</v>
      </c>
      <c r="H2" s="41">
        <v>0</v>
      </c>
      <c r="I2" s="41">
        <v>0</v>
      </c>
      <c r="J2" s="83">
        <f>H2*I2*G2</f>
        <v>0</v>
      </c>
      <c r="K2" s="41">
        <v>0</v>
      </c>
      <c r="L2" s="41">
        <v>0</v>
      </c>
      <c r="M2" s="70">
        <f>($G2*1.1^1)*K2*L2</f>
        <v>0</v>
      </c>
      <c r="N2" s="41">
        <v>0</v>
      </c>
      <c r="O2" s="41">
        <v>0</v>
      </c>
      <c r="P2" s="70">
        <f>($G2*1.1^2)*N2*O2</f>
        <v>0</v>
      </c>
      <c r="Q2" s="41">
        <v>0</v>
      </c>
      <c r="R2" s="41">
        <v>0</v>
      </c>
      <c r="S2" s="70">
        <f>($G2*1.1^3)*Q2*R2</f>
        <v>0</v>
      </c>
      <c r="T2" s="41">
        <v>0</v>
      </c>
      <c r="U2" s="41">
        <v>0</v>
      </c>
      <c r="V2" s="70">
        <f>($G2*1.1^4)*T2*U2</f>
        <v>0</v>
      </c>
      <c r="W2" s="41">
        <v>0</v>
      </c>
      <c r="X2" s="41">
        <v>0</v>
      </c>
      <c r="Y2" s="70">
        <f>($G2*1.1^5)*W2*X2</f>
        <v>0</v>
      </c>
      <c r="Z2" s="41">
        <v>0</v>
      </c>
      <c r="AA2" s="41">
        <v>0</v>
      </c>
      <c r="AB2" s="70">
        <f>($G2*1.1^6)*Z2*AA2</f>
        <v>0</v>
      </c>
      <c r="AC2" s="41">
        <v>0</v>
      </c>
      <c r="AD2" s="41">
        <v>0</v>
      </c>
      <c r="AE2" s="70">
        <f>($G2*1.1^7)*AC2*AD2</f>
        <v>0</v>
      </c>
      <c r="AF2" s="28">
        <f>J2+M2+P2+S2+V2+Y2+AB2+AE2</f>
        <v>0</v>
      </c>
      <c r="AG2" s="28">
        <f>K2+N2+Q2+T2+W2+Z2+AC2+AF2</f>
        <v>0</v>
      </c>
      <c r="AL2">
        <v>1022</v>
      </c>
    </row>
    <row r="3" spans="1:38" ht="57.6" x14ac:dyDescent="0.3">
      <c r="A3" s="41" t="s">
        <v>697</v>
      </c>
      <c r="B3" s="41" t="s">
        <v>694</v>
      </c>
      <c r="C3" s="41" t="s">
        <v>675</v>
      </c>
      <c r="D3" s="41" t="s">
        <v>119</v>
      </c>
      <c r="E3" s="41" t="s">
        <v>570</v>
      </c>
      <c r="F3" s="41" t="s">
        <v>718</v>
      </c>
      <c r="G3" s="67">
        <v>0</v>
      </c>
      <c r="H3" s="41">
        <v>0</v>
      </c>
      <c r="I3" s="41">
        <v>0</v>
      </c>
      <c r="J3" s="83">
        <f t="shared" ref="J3:J67" si="0">H3*I3*G3</f>
        <v>0</v>
      </c>
      <c r="K3" s="41">
        <v>0</v>
      </c>
      <c r="L3" s="41">
        <v>0</v>
      </c>
      <c r="M3" s="70">
        <f t="shared" ref="M3:M67" si="1">($G3*1.1^1)*K3*L3</f>
        <v>0</v>
      </c>
      <c r="N3" s="41">
        <v>0</v>
      </c>
      <c r="O3" s="41">
        <v>0</v>
      </c>
      <c r="P3" s="70">
        <f t="shared" ref="P3:P67" si="2">($G3*1.1^2)*N3*O3</f>
        <v>0</v>
      </c>
      <c r="Q3" s="41">
        <v>0</v>
      </c>
      <c r="R3" s="41">
        <v>0</v>
      </c>
      <c r="S3" s="70">
        <f t="shared" ref="S3:S67" si="3">($G3*1.1^3)*Q3*R3</f>
        <v>0</v>
      </c>
      <c r="T3" s="41">
        <v>0</v>
      </c>
      <c r="U3" s="41">
        <v>0</v>
      </c>
      <c r="V3" s="70">
        <f t="shared" ref="V3:V67" si="4">($G3*1.1^4)*T3*U3</f>
        <v>0</v>
      </c>
      <c r="W3" s="41">
        <v>0</v>
      </c>
      <c r="X3" s="41">
        <v>0</v>
      </c>
      <c r="Y3" s="70">
        <f t="shared" ref="Y3:Y67" si="5">($G3*1.1^5)*W3*X3</f>
        <v>0</v>
      </c>
      <c r="Z3" s="41">
        <v>0</v>
      </c>
      <c r="AA3" s="41">
        <v>0</v>
      </c>
      <c r="AB3" s="70">
        <f t="shared" ref="AB3:AB67" si="6">($G3*1.1^6)*Z3*AA3</f>
        <v>0</v>
      </c>
      <c r="AC3" s="41">
        <v>0</v>
      </c>
      <c r="AD3" s="41">
        <v>0</v>
      </c>
      <c r="AE3" s="70">
        <f t="shared" ref="AE3:AE67" si="7">($G3*1.1^7)*AC3*AD3</f>
        <v>0</v>
      </c>
      <c r="AF3" s="28">
        <f t="shared" ref="AF3:AF67" si="8">J3+M3+P3+S3+V3+Y3+AB3+AE3</f>
        <v>0</v>
      </c>
      <c r="AG3" s="28">
        <f t="shared" ref="AG3:AG67" si="9">AF3/$AL$2</f>
        <v>0</v>
      </c>
    </row>
    <row r="4" spans="1:38" ht="57.6" x14ac:dyDescent="0.3">
      <c r="A4" s="41" t="s">
        <v>697</v>
      </c>
      <c r="B4" s="41" t="s">
        <v>694</v>
      </c>
      <c r="C4" s="41" t="s">
        <v>675</v>
      </c>
      <c r="D4" s="41" t="s">
        <v>119</v>
      </c>
      <c r="E4" s="41" t="s">
        <v>571</v>
      </c>
      <c r="F4" s="41" t="s">
        <v>718</v>
      </c>
      <c r="G4" s="67">
        <v>0</v>
      </c>
      <c r="H4" s="41">
        <v>0</v>
      </c>
      <c r="I4" s="41">
        <v>0</v>
      </c>
      <c r="J4" s="83">
        <f t="shared" si="0"/>
        <v>0</v>
      </c>
      <c r="K4" s="41">
        <v>0</v>
      </c>
      <c r="L4" s="41">
        <v>0</v>
      </c>
      <c r="M4" s="70">
        <f t="shared" si="1"/>
        <v>0</v>
      </c>
      <c r="N4" s="41">
        <v>0</v>
      </c>
      <c r="O4" s="41">
        <v>0</v>
      </c>
      <c r="P4" s="70">
        <f t="shared" si="2"/>
        <v>0</v>
      </c>
      <c r="Q4" s="41">
        <v>0</v>
      </c>
      <c r="R4" s="41">
        <v>0</v>
      </c>
      <c r="S4" s="70">
        <f t="shared" si="3"/>
        <v>0</v>
      </c>
      <c r="T4" s="41">
        <v>0</v>
      </c>
      <c r="U4" s="41">
        <v>0</v>
      </c>
      <c r="V4" s="70">
        <f t="shared" si="4"/>
        <v>0</v>
      </c>
      <c r="W4" s="41">
        <v>0</v>
      </c>
      <c r="X4" s="41">
        <v>0</v>
      </c>
      <c r="Y4" s="70">
        <f t="shared" si="5"/>
        <v>0</v>
      </c>
      <c r="Z4" s="41">
        <v>0</v>
      </c>
      <c r="AA4" s="41">
        <v>0</v>
      </c>
      <c r="AB4" s="70">
        <f t="shared" si="6"/>
        <v>0</v>
      </c>
      <c r="AC4" s="41">
        <v>0</v>
      </c>
      <c r="AD4" s="41">
        <v>0</v>
      </c>
      <c r="AE4" s="70">
        <f t="shared" si="7"/>
        <v>0</v>
      </c>
      <c r="AF4" s="28">
        <f t="shared" si="8"/>
        <v>0</v>
      </c>
      <c r="AG4" s="28">
        <f t="shared" si="9"/>
        <v>0</v>
      </c>
    </row>
    <row r="5" spans="1:38" ht="57.6" x14ac:dyDescent="0.3">
      <c r="A5" s="41" t="s">
        <v>697</v>
      </c>
      <c r="B5" s="41" t="s">
        <v>694</v>
      </c>
      <c r="C5" s="41" t="s">
        <v>675</v>
      </c>
      <c r="D5" s="41" t="s">
        <v>119</v>
      </c>
      <c r="E5" s="41" t="s">
        <v>572</v>
      </c>
      <c r="F5" s="41" t="s">
        <v>709</v>
      </c>
      <c r="G5" s="67">
        <v>35000</v>
      </c>
      <c r="H5" s="41">
        <v>25</v>
      </c>
      <c r="I5" s="41">
        <v>5</v>
      </c>
      <c r="J5" s="83">
        <f t="shared" si="0"/>
        <v>4375000</v>
      </c>
      <c r="K5" s="41">
        <v>25</v>
      </c>
      <c r="L5" s="41">
        <v>5</v>
      </c>
      <c r="M5" s="70">
        <f t="shared" si="1"/>
        <v>4812500</v>
      </c>
      <c r="N5" s="41">
        <v>0</v>
      </c>
      <c r="O5" s="41">
        <v>0</v>
      </c>
      <c r="P5" s="70">
        <f t="shared" si="2"/>
        <v>0</v>
      </c>
      <c r="Q5" s="41">
        <v>0</v>
      </c>
      <c r="R5" s="41">
        <v>0</v>
      </c>
      <c r="S5" s="70">
        <f t="shared" si="3"/>
        <v>0</v>
      </c>
      <c r="T5" s="41">
        <v>0</v>
      </c>
      <c r="U5" s="41">
        <v>0</v>
      </c>
      <c r="V5" s="70">
        <f t="shared" si="4"/>
        <v>0</v>
      </c>
      <c r="W5" s="41">
        <v>0</v>
      </c>
      <c r="X5" s="41">
        <v>0</v>
      </c>
      <c r="Y5" s="70">
        <f t="shared" si="5"/>
        <v>0</v>
      </c>
      <c r="Z5" s="41">
        <v>0</v>
      </c>
      <c r="AA5" s="41">
        <v>0</v>
      </c>
      <c r="AB5" s="70">
        <f t="shared" si="6"/>
        <v>0</v>
      </c>
      <c r="AC5" s="41">
        <v>25</v>
      </c>
      <c r="AD5" s="41">
        <v>5</v>
      </c>
      <c r="AE5" s="70">
        <f t="shared" si="7"/>
        <v>8525637.3125000037</v>
      </c>
      <c r="AF5" s="28">
        <f t="shared" si="8"/>
        <v>17713137.312500004</v>
      </c>
      <c r="AG5" s="28">
        <f t="shared" si="9"/>
        <v>17331.836900684935</v>
      </c>
    </row>
    <row r="6" spans="1:38" ht="57.6" x14ac:dyDescent="0.3">
      <c r="A6" s="41" t="s">
        <v>697</v>
      </c>
      <c r="B6" s="41" t="s">
        <v>694</v>
      </c>
      <c r="C6" s="41" t="s">
        <v>675</v>
      </c>
      <c r="D6" s="41" t="s">
        <v>119</v>
      </c>
      <c r="E6" s="41" t="s">
        <v>572</v>
      </c>
      <c r="F6" s="41" t="s">
        <v>716</v>
      </c>
      <c r="G6" s="67">
        <v>39000</v>
      </c>
      <c r="H6" s="41">
        <v>25</v>
      </c>
      <c r="I6" s="41">
        <v>6</v>
      </c>
      <c r="J6" s="83">
        <f t="shared" si="0"/>
        <v>5850000</v>
      </c>
      <c r="K6" s="41">
        <v>25</v>
      </c>
      <c r="L6" s="41">
        <v>6</v>
      </c>
      <c r="M6" s="70">
        <f t="shared" si="1"/>
        <v>6435000</v>
      </c>
      <c r="N6" s="41"/>
      <c r="O6" s="41"/>
      <c r="P6" s="70">
        <f t="shared" si="2"/>
        <v>0</v>
      </c>
      <c r="Q6" s="41"/>
      <c r="R6" s="41"/>
      <c r="S6" s="70">
        <f t="shared" si="3"/>
        <v>0</v>
      </c>
      <c r="T6" s="41"/>
      <c r="U6" s="41"/>
      <c r="V6" s="70">
        <f t="shared" si="4"/>
        <v>0</v>
      </c>
      <c r="W6" s="41"/>
      <c r="X6" s="41"/>
      <c r="Y6" s="70">
        <f t="shared" si="5"/>
        <v>0</v>
      </c>
      <c r="Z6" s="41"/>
      <c r="AA6" s="41"/>
      <c r="AB6" s="70">
        <f t="shared" si="6"/>
        <v>0</v>
      </c>
      <c r="AC6" s="41">
        <v>25</v>
      </c>
      <c r="AD6" s="41">
        <v>6</v>
      </c>
      <c r="AE6" s="70">
        <f t="shared" si="7"/>
        <v>11399995.035000006</v>
      </c>
      <c r="AF6" s="28">
        <f t="shared" si="8"/>
        <v>23684995.035000004</v>
      </c>
      <c r="AG6" s="28">
        <f t="shared" si="9"/>
        <v>23175.141912915857</v>
      </c>
    </row>
    <row r="7" spans="1:38" ht="57.6" x14ac:dyDescent="0.3">
      <c r="A7" s="41" t="s">
        <v>697</v>
      </c>
      <c r="B7" s="41" t="s">
        <v>694</v>
      </c>
      <c r="C7" s="41" t="s">
        <v>675</v>
      </c>
      <c r="D7" s="41" t="s">
        <v>119</v>
      </c>
      <c r="E7" s="41" t="s">
        <v>572</v>
      </c>
      <c r="F7" s="41" t="s">
        <v>712</v>
      </c>
      <c r="G7" s="67">
        <v>211.42857142857142</v>
      </c>
      <c r="H7" s="41">
        <v>450</v>
      </c>
      <c r="I7" s="41">
        <v>5</v>
      </c>
      <c r="J7" s="83">
        <f t="shared" si="0"/>
        <v>475714.28571428568</v>
      </c>
      <c r="K7" s="41">
        <v>450</v>
      </c>
      <c r="L7" s="41">
        <v>5</v>
      </c>
      <c r="M7" s="70">
        <f t="shared" si="1"/>
        <v>523285.71428571432</v>
      </c>
      <c r="N7" s="41"/>
      <c r="O7" s="41"/>
      <c r="P7" s="70">
        <f t="shared" si="2"/>
        <v>0</v>
      </c>
      <c r="Q7" s="41"/>
      <c r="R7" s="41"/>
      <c r="S7" s="70">
        <f t="shared" si="3"/>
        <v>0</v>
      </c>
      <c r="T7" s="41"/>
      <c r="U7" s="41"/>
      <c r="V7" s="70">
        <f t="shared" si="4"/>
        <v>0</v>
      </c>
      <c r="W7" s="41"/>
      <c r="X7" s="41"/>
      <c r="Y7" s="70">
        <f t="shared" si="5"/>
        <v>0</v>
      </c>
      <c r="Z7" s="41"/>
      <c r="AA7" s="41"/>
      <c r="AB7" s="70">
        <f t="shared" si="6"/>
        <v>0</v>
      </c>
      <c r="AC7" s="41">
        <v>450</v>
      </c>
      <c r="AD7" s="41">
        <v>5</v>
      </c>
      <c r="AE7" s="70">
        <f t="shared" si="7"/>
        <v>927032.56328571483</v>
      </c>
      <c r="AF7" s="28">
        <f t="shared" si="8"/>
        <v>1926032.5632857149</v>
      </c>
      <c r="AG7" s="28">
        <f t="shared" si="9"/>
        <v>1884.5719797316194</v>
      </c>
    </row>
    <row r="8" spans="1:38" ht="57.6" x14ac:dyDescent="0.3">
      <c r="A8" s="41" t="s">
        <v>697</v>
      </c>
      <c r="B8" s="41" t="s">
        <v>694</v>
      </c>
      <c r="C8" s="41" t="s">
        <v>675</v>
      </c>
      <c r="D8" s="41" t="s">
        <v>119</v>
      </c>
      <c r="E8" s="41" t="s">
        <v>572</v>
      </c>
      <c r="F8" s="41" t="s">
        <v>1299</v>
      </c>
      <c r="G8" s="67">
        <v>211.42857142857142</v>
      </c>
      <c r="H8" s="41">
        <v>2430</v>
      </c>
      <c r="I8" s="41">
        <v>1</v>
      </c>
      <c r="J8" s="83">
        <f t="shared" si="0"/>
        <v>513771.42857142852</v>
      </c>
      <c r="K8" s="41">
        <v>2430</v>
      </c>
      <c r="L8" s="41">
        <v>1</v>
      </c>
      <c r="M8" s="70">
        <f t="shared" si="1"/>
        <v>565148.57142857148</v>
      </c>
      <c r="N8" s="41"/>
      <c r="O8" s="41"/>
      <c r="P8" s="70">
        <f t="shared" si="2"/>
        <v>0</v>
      </c>
      <c r="Q8" s="41"/>
      <c r="R8" s="41"/>
      <c r="S8" s="70">
        <f t="shared" si="3"/>
        <v>0</v>
      </c>
      <c r="T8" s="41"/>
      <c r="U8" s="41"/>
      <c r="V8" s="70">
        <f t="shared" si="4"/>
        <v>0</v>
      </c>
      <c r="W8" s="41"/>
      <c r="X8" s="41"/>
      <c r="Y8" s="70">
        <f t="shared" si="5"/>
        <v>0</v>
      </c>
      <c r="Z8" s="41"/>
      <c r="AA8" s="41"/>
      <c r="AB8" s="70">
        <f t="shared" si="6"/>
        <v>0</v>
      </c>
      <c r="AC8" s="41">
        <v>2430</v>
      </c>
      <c r="AD8" s="41">
        <v>1</v>
      </c>
      <c r="AE8" s="70">
        <f t="shared" si="7"/>
        <v>1001195.1683485721</v>
      </c>
      <c r="AF8" s="28">
        <f t="shared" si="8"/>
        <v>2080115.1683485722</v>
      </c>
      <c r="AG8" s="28">
        <f t="shared" si="9"/>
        <v>2035.3377381101488</v>
      </c>
    </row>
    <row r="9" spans="1:38" ht="57.6" x14ac:dyDescent="0.3">
      <c r="A9" s="41" t="s">
        <v>697</v>
      </c>
      <c r="B9" s="41" t="s">
        <v>694</v>
      </c>
      <c r="C9" s="41" t="s">
        <v>675</v>
      </c>
      <c r="D9" s="41" t="s">
        <v>120</v>
      </c>
      <c r="E9" s="41" t="s">
        <v>482</v>
      </c>
      <c r="F9" s="41" t="s">
        <v>718</v>
      </c>
      <c r="G9" s="67">
        <v>0</v>
      </c>
      <c r="H9" s="41">
        <v>0</v>
      </c>
      <c r="I9" s="41">
        <v>0</v>
      </c>
      <c r="J9" s="83">
        <f t="shared" si="0"/>
        <v>0</v>
      </c>
      <c r="K9" s="41">
        <v>0</v>
      </c>
      <c r="L9" s="41">
        <v>0</v>
      </c>
      <c r="M9" s="70">
        <f t="shared" si="1"/>
        <v>0</v>
      </c>
      <c r="N9" s="41">
        <v>0</v>
      </c>
      <c r="O9" s="41">
        <v>0</v>
      </c>
      <c r="P9" s="70">
        <f t="shared" si="2"/>
        <v>0</v>
      </c>
      <c r="Q9" s="41">
        <v>0</v>
      </c>
      <c r="R9" s="41">
        <v>0</v>
      </c>
      <c r="S9" s="70">
        <f t="shared" si="3"/>
        <v>0</v>
      </c>
      <c r="T9" s="41">
        <v>0</v>
      </c>
      <c r="U9" s="41">
        <v>0</v>
      </c>
      <c r="V9" s="70">
        <f t="shared" si="4"/>
        <v>0</v>
      </c>
      <c r="W9" s="41">
        <v>0</v>
      </c>
      <c r="X9" s="41">
        <v>0</v>
      </c>
      <c r="Y9" s="70">
        <f t="shared" si="5"/>
        <v>0</v>
      </c>
      <c r="Z9" s="41">
        <v>0</v>
      </c>
      <c r="AA9" s="41">
        <v>0</v>
      </c>
      <c r="AB9" s="70">
        <f t="shared" si="6"/>
        <v>0</v>
      </c>
      <c r="AC9" s="41">
        <v>0</v>
      </c>
      <c r="AD9" s="41">
        <v>0</v>
      </c>
      <c r="AE9" s="70">
        <f t="shared" si="7"/>
        <v>0</v>
      </c>
      <c r="AF9" s="28">
        <f t="shared" si="8"/>
        <v>0</v>
      </c>
      <c r="AG9" s="28">
        <f t="shared" si="9"/>
        <v>0</v>
      </c>
    </row>
    <row r="10" spans="1:38" ht="57.6" x14ac:dyDescent="0.3">
      <c r="A10" s="41" t="s">
        <v>697</v>
      </c>
      <c r="B10" s="41" t="s">
        <v>694</v>
      </c>
      <c r="C10" s="41" t="s">
        <v>675</v>
      </c>
      <c r="D10" s="41" t="s">
        <v>120</v>
      </c>
      <c r="E10" s="41" t="s">
        <v>573</v>
      </c>
      <c r="F10" s="41" t="s">
        <v>707</v>
      </c>
      <c r="G10" s="67">
        <v>0</v>
      </c>
      <c r="H10" s="41">
        <v>2</v>
      </c>
      <c r="I10" s="41">
        <v>2</v>
      </c>
      <c r="J10" s="83">
        <f t="shared" si="0"/>
        <v>0</v>
      </c>
      <c r="K10" s="41">
        <v>1</v>
      </c>
      <c r="L10" s="41">
        <v>4</v>
      </c>
      <c r="M10" s="70">
        <f t="shared" si="1"/>
        <v>0</v>
      </c>
      <c r="N10" s="41">
        <v>0</v>
      </c>
      <c r="O10" s="41">
        <v>0</v>
      </c>
      <c r="P10" s="70">
        <f t="shared" si="2"/>
        <v>0</v>
      </c>
      <c r="Q10" s="41">
        <v>0</v>
      </c>
      <c r="R10" s="41">
        <v>0</v>
      </c>
      <c r="S10" s="70">
        <f t="shared" si="3"/>
        <v>0</v>
      </c>
      <c r="T10" s="41">
        <v>0</v>
      </c>
      <c r="U10" s="41">
        <v>0</v>
      </c>
      <c r="V10" s="70">
        <f t="shared" si="4"/>
        <v>0</v>
      </c>
      <c r="W10" s="41">
        <v>0</v>
      </c>
      <c r="X10" s="41">
        <v>0</v>
      </c>
      <c r="Y10" s="70">
        <f t="shared" si="5"/>
        <v>0</v>
      </c>
      <c r="Z10" s="41">
        <v>0</v>
      </c>
      <c r="AA10" s="41">
        <v>0</v>
      </c>
      <c r="AB10" s="70">
        <f t="shared" si="6"/>
        <v>0</v>
      </c>
      <c r="AC10" s="41">
        <v>0</v>
      </c>
      <c r="AD10" s="41">
        <v>0</v>
      </c>
      <c r="AE10" s="70">
        <f t="shared" si="7"/>
        <v>0</v>
      </c>
      <c r="AF10" s="28">
        <f t="shared" si="8"/>
        <v>0</v>
      </c>
      <c r="AG10" s="28">
        <f t="shared" si="9"/>
        <v>0</v>
      </c>
    </row>
    <row r="11" spans="1:38" ht="57.6" x14ac:dyDescent="0.3">
      <c r="A11" s="41" t="s">
        <v>697</v>
      </c>
      <c r="B11" s="41" t="s">
        <v>694</v>
      </c>
      <c r="C11" s="41" t="s">
        <v>675</v>
      </c>
      <c r="D11" s="41" t="s">
        <v>120</v>
      </c>
      <c r="E11" s="41" t="s">
        <v>573</v>
      </c>
      <c r="F11" s="41" t="s">
        <v>708</v>
      </c>
      <c r="G11" s="67">
        <v>511000</v>
      </c>
      <c r="H11" s="41">
        <v>0</v>
      </c>
      <c r="I11" s="41">
        <v>0</v>
      </c>
      <c r="J11" s="83">
        <f t="shared" si="0"/>
        <v>0</v>
      </c>
      <c r="K11" s="41">
        <v>1</v>
      </c>
      <c r="L11" s="41">
        <v>40</v>
      </c>
      <c r="M11" s="70">
        <f t="shared" si="1"/>
        <v>22484000</v>
      </c>
      <c r="N11" s="41">
        <v>0</v>
      </c>
      <c r="O11" s="41">
        <v>0</v>
      </c>
      <c r="P11" s="70">
        <f t="shared" si="2"/>
        <v>0</v>
      </c>
      <c r="Q11" s="41">
        <v>0</v>
      </c>
      <c r="R11" s="41">
        <v>0</v>
      </c>
      <c r="S11" s="70">
        <f t="shared" si="3"/>
        <v>0</v>
      </c>
      <c r="T11" s="41">
        <v>0</v>
      </c>
      <c r="U11" s="41">
        <v>0</v>
      </c>
      <c r="V11" s="70">
        <f t="shared" si="4"/>
        <v>0</v>
      </c>
      <c r="W11" s="41">
        <v>0</v>
      </c>
      <c r="X11" s="41">
        <v>0</v>
      </c>
      <c r="Y11" s="70">
        <f t="shared" si="5"/>
        <v>0</v>
      </c>
      <c r="Z11" s="41">
        <v>0</v>
      </c>
      <c r="AA11" s="41">
        <v>0</v>
      </c>
      <c r="AB11" s="70">
        <f t="shared" si="6"/>
        <v>0</v>
      </c>
      <c r="AC11" s="41">
        <v>0</v>
      </c>
      <c r="AD11" s="41">
        <v>0</v>
      </c>
      <c r="AE11" s="70">
        <f t="shared" si="7"/>
        <v>0</v>
      </c>
      <c r="AF11" s="28">
        <f t="shared" si="8"/>
        <v>22484000</v>
      </c>
      <c r="AG11" s="28">
        <f t="shared" si="9"/>
        <v>22000</v>
      </c>
    </row>
    <row r="12" spans="1:38" ht="57.6" x14ac:dyDescent="0.3">
      <c r="A12" s="41" t="s">
        <v>697</v>
      </c>
      <c r="B12" s="41" t="s">
        <v>694</v>
      </c>
      <c r="C12" s="41" t="s">
        <v>675</v>
      </c>
      <c r="D12" s="41" t="s">
        <v>120</v>
      </c>
      <c r="E12" s="41" t="s">
        <v>151</v>
      </c>
      <c r="F12" s="41" t="s">
        <v>713</v>
      </c>
      <c r="G12" s="67">
        <v>45000</v>
      </c>
      <c r="H12" s="41">
        <v>25</v>
      </c>
      <c r="I12" s="41">
        <v>6</v>
      </c>
      <c r="J12" s="83">
        <f t="shared" si="0"/>
        <v>6750000</v>
      </c>
      <c r="K12" s="41">
        <v>15</v>
      </c>
      <c r="L12" s="41">
        <v>10</v>
      </c>
      <c r="M12" s="70">
        <f t="shared" si="1"/>
        <v>7425000.0000000009</v>
      </c>
      <c r="N12" s="41">
        <v>0</v>
      </c>
      <c r="O12" s="41">
        <v>0</v>
      </c>
      <c r="P12" s="70">
        <f t="shared" si="2"/>
        <v>0</v>
      </c>
      <c r="Q12" s="41">
        <v>0</v>
      </c>
      <c r="R12" s="41">
        <v>0</v>
      </c>
      <c r="S12" s="70">
        <f t="shared" si="3"/>
        <v>0</v>
      </c>
      <c r="T12" s="41">
        <v>0</v>
      </c>
      <c r="U12" s="41">
        <v>0</v>
      </c>
      <c r="V12" s="70">
        <f t="shared" si="4"/>
        <v>0</v>
      </c>
      <c r="W12" s="41">
        <v>0</v>
      </c>
      <c r="X12" s="41">
        <v>0</v>
      </c>
      <c r="Y12" s="70">
        <f t="shared" si="5"/>
        <v>0</v>
      </c>
      <c r="Z12" s="41">
        <v>0</v>
      </c>
      <c r="AA12" s="41">
        <v>0</v>
      </c>
      <c r="AB12" s="70">
        <f t="shared" si="6"/>
        <v>0</v>
      </c>
      <c r="AC12" s="41">
        <v>0</v>
      </c>
      <c r="AD12" s="41">
        <v>0</v>
      </c>
      <c r="AE12" s="70">
        <f t="shared" si="7"/>
        <v>0</v>
      </c>
      <c r="AF12" s="28">
        <f t="shared" si="8"/>
        <v>14175000</v>
      </c>
      <c r="AG12" s="28">
        <f t="shared" si="9"/>
        <v>13869.86301369863</v>
      </c>
    </row>
    <row r="13" spans="1:38" ht="57.6" x14ac:dyDescent="0.3">
      <c r="A13" s="41" t="s">
        <v>697</v>
      </c>
      <c r="B13" s="41" t="s">
        <v>694</v>
      </c>
      <c r="C13" s="41" t="s">
        <v>675</v>
      </c>
      <c r="D13" s="41" t="s">
        <v>120</v>
      </c>
      <c r="E13" s="41" t="s">
        <v>151</v>
      </c>
      <c r="F13" s="41" t="s">
        <v>712</v>
      </c>
      <c r="G13" s="67">
        <v>211.42857142857142</v>
      </c>
      <c r="H13" s="41">
        <v>450</v>
      </c>
      <c r="I13" s="41">
        <v>5</v>
      </c>
      <c r="J13" s="83">
        <f t="shared" si="0"/>
        <v>475714.28571428568</v>
      </c>
      <c r="K13" s="41">
        <v>20000</v>
      </c>
      <c r="L13" s="41">
        <v>1</v>
      </c>
      <c r="M13" s="70">
        <f t="shared" si="1"/>
        <v>4651428.5714285718</v>
      </c>
      <c r="N13" s="41">
        <v>0</v>
      </c>
      <c r="O13" s="41">
        <v>0</v>
      </c>
      <c r="P13" s="70">
        <f t="shared" si="2"/>
        <v>0</v>
      </c>
      <c r="Q13" s="41">
        <v>0</v>
      </c>
      <c r="R13" s="41">
        <v>0</v>
      </c>
      <c r="S13" s="70">
        <f t="shared" si="3"/>
        <v>0</v>
      </c>
      <c r="T13" s="41">
        <v>0</v>
      </c>
      <c r="U13" s="41">
        <v>0</v>
      </c>
      <c r="V13" s="70">
        <f t="shared" si="4"/>
        <v>0</v>
      </c>
      <c r="W13" s="41">
        <v>0</v>
      </c>
      <c r="X13" s="41">
        <v>0</v>
      </c>
      <c r="Y13" s="70">
        <f t="shared" si="5"/>
        <v>0</v>
      </c>
      <c r="Z13" s="41">
        <v>0</v>
      </c>
      <c r="AA13" s="41">
        <v>0</v>
      </c>
      <c r="AB13" s="70">
        <f t="shared" si="6"/>
        <v>0</v>
      </c>
      <c r="AC13" s="41">
        <v>0</v>
      </c>
      <c r="AD13" s="41">
        <v>0</v>
      </c>
      <c r="AE13" s="70">
        <f t="shared" si="7"/>
        <v>0</v>
      </c>
      <c r="AF13" s="28">
        <f t="shared" si="8"/>
        <v>5127142.8571428573</v>
      </c>
      <c r="AG13" s="28">
        <f t="shared" si="9"/>
        <v>5016.7738328207997</v>
      </c>
    </row>
    <row r="14" spans="1:38" ht="57.6" x14ac:dyDescent="0.3">
      <c r="A14" s="41" t="s">
        <v>697</v>
      </c>
      <c r="B14" s="41" t="s">
        <v>694</v>
      </c>
      <c r="C14" s="41" t="s">
        <v>675</v>
      </c>
      <c r="D14" s="41" t="s">
        <v>120</v>
      </c>
      <c r="E14" s="41" t="s">
        <v>151</v>
      </c>
      <c r="F14" s="41" t="s">
        <v>1299</v>
      </c>
      <c r="G14" s="67">
        <v>211.42857142857142</v>
      </c>
      <c r="H14" s="41">
        <v>2430</v>
      </c>
      <c r="I14" s="41">
        <v>1</v>
      </c>
      <c r="J14" s="83">
        <f t="shared" si="0"/>
        <v>513771.42857142852</v>
      </c>
      <c r="K14" s="41"/>
      <c r="L14" s="41"/>
      <c r="M14" s="70">
        <f t="shared" si="1"/>
        <v>0</v>
      </c>
      <c r="N14" s="41"/>
      <c r="O14" s="41"/>
      <c r="P14" s="70">
        <f t="shared" si="2"/>
        <v>0</v>
      </c>
      <c r="Q14" s="41"/>
      <c r="R14" s="41"/>
      <c r="S14" s="70">
        <f t="shared" si="3"/>
        <v>0</v>
      </c>
      <c r="T14" s="41"/>
      <c r="U14" s="41"/>
      <c r="V14" s="70">
        <f t="shared" si="4"/>
        <v>0</v>
      </c>
      <c r="W14" s="41"/>
      <c r="X14" s="41"/>
      <c r="Y14" s="70">
        <f t="shared" si="5"/>
        <v>0</v>
      </c>
      <c r="Z14" s="41"/>
      <c r="AA14" s="41"/>
      <c r="AB14" s="70">
        <f t="shared" si="6"/>
        <v>0</v>
      </c>
      <c r="AC14" s="41"/>
      <c r="AD14" s="41"/>
      <c r="AE14" s="70">
        <f t="shared" si="7"/>
        <v>0</v>
      </c>
      <c r="AF14" s="28">
        <f t="shared" si="8"/>
        <v>513771.42857142852</v>
      </c>
      <c r="AG14" s="28">
        <f t="shared" si="9"/>
        <v>502.71176963936256</v>
      </c>
    </row>
    <row r="15" spans="1:38" ht="57.6" x14ac:dyDescent="0.3">
      <c r="A15" s="41" t="s">
        <v>697</v>
      </c>
      <c r="B15" s="41" t="s">
        <v>694</v>
      </c>
      <c r="C15" s="41" t="s">
        <v>675</v>
      </c>
      <c r="D15" s="41" t="s">
        <v>120</v>
      </c>
      <c r="E15" s="41" t="s">
        <v>151</v>
      </c>
      <c r="F15" s="41" t="s">
        <v>715</v>
      </c>
      <c r="G15" s="67">
        <v>302000</v>
      </c>
      <c r="H15" s="41">
        <v>0</v>
      </c>
      <c r="I15" s="41">
        <v>0</v>
      </c>
      <c r="J15" s="83">
        <f t="shared" si="0"/>
        <v>0</v>
      </c>
      <c r="K15" s="41">
        <v>20</v>
      </c>
      <c r="L15" s="41">
        <v>1</v>
      </c>
      <c r="M15" s="70">
        <f t="shared" si="1"/>
        <v>6644000</v>
      </c>
      <c r="N15" s="41">
        <v>0</v>
      </c>
      <c r="O15" s="41">
        <v>0</v>
      </c>
      <c r="P15" s="70">
        <f t="shared" si="2"/>
        <v>0</v>
      </c>
      <c r="Q15" s="41">
        <v>0</v>
      </c>
      <c r="R15" s="41">
        <v>0</v>
      </c>
      <c r="S15" s="70">
        <f t="shared" si="3"/>
        <v>0</v>
      </c>
      <c r="T15" s="41">
        <v>0</v>
      </c>
      <c r="U15" s="41">
        <v>0</v>
      </c>
      <c r="V15" s="70">
        <f t="shared" si="4"/>
        <v>0</v>
      </c>
      <c r="W15" s="41">
        <v>0</v>
      </c>
      <c r="X15" s="41">
        <v>0</v>
      </c>
      <c r="Y15" s="70">
        <f t="shared" si="5"/>
        <v>0</v>
      </c>
      <c r="Z15" s="41">
        <v>0</v>
      </c>
      <c r="AA15" s="41">
        <v>0</v>
      </c>
      <c r="AB15" s="70">
        <f t="shared" si="6"/>
        <v>0</v>
      </c>
      <c r="AC15" s="41">
        <v>0</v>
      </c>
      <c r="AD15" s="41">
        <v>0</v>
      </c>
      <c r="AE15" s="70">
        <f t="shared" si="7"/>
        <v>0</v>
      </c>
      <c r="AF15" s="28">
        <f t="shared" si="8"/>
        <v>6644000</v>
      </c>
      <c r="AG15" s="28">
        <f t="shared" si="9"/>
        <v>6500.9784735812136</v>
      </c>
    </row>
    <row r="16" spans="1:38" ht="57.6" x14ac:dyDescent="0.3">
      <c r="A16" s="41" t="s">
        <v>697</v>
      </c>
      <c r="B16" s="41" t="s">
        <v>694</v>
      </c>
      <c r="C16" s="41" t="s">
        <v>675</v>
      </c>
      <c r="D16" s="41" t="s">
        <v>120</v>
      </c>
      <c r="E16" s="41" t="s">
        <v>151</v>
      </c>
      <c r="F16" s="41" t="s">
        <v>714</v>
      </c>
      <c r="G16" s="67">
        <v>10000</v>
      </c>
      <c r="H16" s="41">
        <v>15</v>
      </c>
      <c r="I16" s="41">
        <v>0</v>
      </c>
      <c r="J16" s="83">
        <f t="shared" si="0"/>
        <v>0</v>
      </c>
      <c r="K16" s="41">
        <v>15</v>
      </c>
      <c r="L16" s="41">
        <v>1</v>
      </c>
      <c r="M16" s="70">
        <f t="shared" si="1"/>
        <v>165000</v>
      </c>
      <c r="N16" s="41">
        <v>0</v>
      </c>
      <c r="O16" s="41">
        <v>0</v>
      </c>
      <c r="P16" s="70">
        <f t="shared" si="2"/>
        <v>0</v>
      </c>
      <c r="Q16" s="41">
        <v>0</v>
      </c>
      <c r="R16" s="41">
        <v>0</v>
      </c>
      <c r="S16" s="70">
        <f t="shared" si="3"/>
        <v>0</v>
      </c>
      <c r="T16" s="41">
        <v>0</v>
      </c>
      <c r="U16" s="41">
        <v>0</v>
      </c>
      <c r="V16" s="70">
        <f t="shared" si="4"/>
        <v>0</v>
      </c>
      <c r="W16" s="41">
        <v>0</v>
      </c>
      <c r="X16" s="41">
        <v>0</v>
      </c>
      <c r="Y16" s="70">
        <f t="shared" si="5"/>
        <v>0</v>
      </c>
      <c r="Z16" s="41">
        <v>0</v>
      </c>
      <c r="AA16" s="41">
        <v>0</v>
      </c>
      <c r="AB16" s="70">
        <f t="shared" si="6"/>
        <v>0</v>
      </c>
      <c r="AC16" s="41">
        <v>0</v>
      </c>
      <c r="AD16" s="41">
        <v>0</v>
      </c>
      <c r="AE16" s="70">
        <f t="shared" si="7"/>
        <v>0</v>
      </c>
      <c r="AF16" s="28">
        <f t="shared" si="8"/>
        <v>165000</v>
      </c>
      <c r="AG16" s="28">
        <f t="shared" si="9"/>
        <v>161.44814090019568</v>
      </c>
    </row>
    <row r="17" spans="1:33" ht="57.6" x14ac:dyDescent="0.3">
      <c r="A17" s="41" t="s">
        <v>697</v>
      </c>
      <c r="B17" s="41" t="s">
        <v>694</v>
      </c>
      <c r="C17" s="41" t="s">
        <v>675</v>
      </c>
      <c r="D17" s="41" t="s">
        <v>120</v>
      </c>
      <c r="E17" s="41" t="s">
        <v>152</v>
      </c>
      <c r="F17" s="41" t="s">
        <v>716</v>
      </c>
      <c r="G17" s="67">
        <v>39000</v>
      </c>
      <c r="H17" s="41">
        <v>25</v>
      </c>
      <c r="I17" s="41">
        <v>6</v>
      </c>
      <c r="J17" s="83">
        <f t="shared" si="0"/>
        <v>5850000</v>
      </c>
      <c r="K17" s="41">
        <v>15</v>
      </c>
      <c r="L17" s="41">
        <v>5</v>
      </c>
      <c r="M17" s="70">
        <f t="shared" si="1"/>
        <v>3217500</v>
      </c>
      <c r="N17" s="41">
        <v>0</v>
      </c>
      <c r="O17" s="41">
        <v>0</v>
      </c>
      <c r="P17" s="70">
        <f t="shared" si="2"/>
        <v>0</v>
      </c>
      <c r="Q17" s="41">
        <v>0</v>
      </c>
      <c r="R17" s="41">
        <v>0</v>
      </c>
      <c r="S17" s="70">
        <f t="shared" si="3"/>
        <v>0</v>
      </c>
      <c r="T17" s="41">
        <v>0</v>
      </c>
      <c r="U17" s="41">
        <v>0</v>
      </c>
      <c r="V17" s="70">
        <f t="shared" si="4"/>
        <v>0</v>
      </c>
      <c r="W17" s="41">
        <v>0</v>
      </c>
      <c r="X17" s="41">
        <v>0</v>
      </c>
      <c r="Y17" s="70">
        <f t="shared" si="5"/>
        <v>0</v>
      </c>
      <c r="Z17" s="41">
        <v>0</v>
      </c>
      <c r="AA17" s="41">
        <v>0</v>
      </c>
      <c r="AB17" s="70">
        <f t="shared" si="6"/>
        <v>0</v>
      </c>
      <c r="AC17" s="41">
        <v>0</v>
      </c>
      <c r="AD17" s="41">
        <v>0</v>
      </c>
      <c r="AE17" s="70">
        <f t="shared" si="7"/>
        <v>0</v>
      </c>
      <c r="AF17" s="28">
        <f t="shared" si="8"/>
        <v>9067500</v>
      </c>
      <c r="AG17" s="28">
        <f t="shared" si="9"/>
        <v>8872.3091976516625</v>
      </c>
    </row>
    <row r="18" spans="1:33" ht="57.6" x14ac:dyDescent="0.3">
      <c r="A18" s="41" t="s">
        <v>697</v>
      </c>
      <c r="B18" s="41" t="s">
        <v>694</v>
      </c>
      <c r="C18" s="41" t="s">
        <v>675</v>
      </c>
      <c r="D18" s="41" t="s">
        <v>120</v>
      </c>
      <c r="E18" s="41" t="s">
        <v>152</v>
      </c>
      <c r="F18" s="41" t="s">
        <v>709</v>
      </c>
      <c r="G18" s="67">
        <v>35000</v>
      </c>
      <c r="H18" s="41">
        <v>25</v>
      </c>
      <c r="I18" s="41">
        <v>5</v>
      </c>
      <c r="J18" s="83">
        <f t="shared" si="0"/>
        <v>4375000</v>
      </c>
      <c r="K18" s="41">
        <v>15</v>
      </c>
      <c r="L18" s="41">
        <v>5</v>
      </c>
      <c r="M18" s="70">
        <f t="shared" si="1"/>
        <v>2887500</v>
      </c>
      <c r="N18" s="41">
        <v>0</v>
      </c>
      <c r="O18" s="41">
        <v>0</v>
      </c>
      <c r="P18" s="70">
        <f t="shared" si="2"/>
        <v>0</v>
      </c>
      <c r="Q18" s="41">
        <v>0</v>
      </c>
      <c r="R18" s="41">
        <v>0</v>
      </c>
      <c r="S18" s="70">
        <f t="shared" si="3"/>
        <v>0</v>
      </c>
      <c r="T18" s="41">
        <v>0</v>
      </c>
      <c r="U18" s="41">
        <v>0</v>
      </c>
      <c r="V18" s="70">
        <f t="shared" si="4"/>
        <v>0</v>
      </c>
      <c r="W18" s="41">
        <v>0</v>
      </c>
      <c r="X18" s="41">
        <v>0</v>
      </c>
      <c r="Y18" s="70">
        <f t="shared" si="5"/>
        <v>0</v>
      </c>
      <c r="Z18" s="41">
        <v>0</v>
      </c>
      <c r="AA18" s="41">
        <v>0</v>
      </c>
      <c r="AB18" s="70">
        <f t="shared" si="6"/>
        <v>0</v>
      </c>
      <c r="AC18" s="41">
        <v>0</v>
      </c>
      <c r="AD18" s="41">
        <v>0</v>
      </c>
      <c r="AE18" s="70">
        <f t="shared" si="7"/>
        <v>0</v>
      </c>
      <c r="AF18" s="28">
        <f t="shared" si="8"/>
        <v>7262500</v>
      </c>
      <c r="AG18" s="28">
        <f t="shared" si="9"/>
        <v>7106.1643835616442</v>
      </c>
    </row>
    <row r="19" spans="1:33" ht="57.6" x14ac:dyDescent="0.3">
      <c r="A19" s="41" t="s">
        <v>697</v>
      </c>
      <c r="B19" s="41" t="s">
        <v>694</v>
      </c>
      <c r="C19" s="41" t="s">
        <v>675</v>
      </c>
      <c r="D19" s="41" t="s">
        <v>120</v>
      </c>
      <c r="E19" s="41" t="s">
        <v>152</v>
      </c>
      <c r="F19" s="41" t="s">
        <v>712</v>
      </c>
      <c r="G19" s="67">
        <v>211.42857142857142</v>
      </c>
      <c r="H19" s="41">
        <v>450</v>
      </c>
      <c r="I19" s="41">
        <v>5</v>
      </c>
      <c r="J19" s="83">
        <f t="shared" si="0"/>
        <v>475714.28571428568</v>
      </c>
      <c r="K19" s="41">
        <v>4000</v>
      </c>
      <c r="L19" s="41">
        <v>5</v>
      </c>
      <c r="M19" s="70">
        <f t="shared" si="1"/>
        <v>4651428.5714285718</v>
      </c>
      <c r="N19" s="41">
        <v>0</v>
      </c>
      <c r="O19" s="41">
        <v>0</v>
      </c>
      <c r="P19" s="70">
        <f t="shared" si="2"/>
        <v>0</v>
      </c>
      <c r="Q19" s="41">
        <v>0</v>
      </c>
      <c r="R19" s="41">
        <v>0</v>
      </c>
      <c r="S19" s="70">
        <f t="shared" si="3"/>
        <v>0</v>
      </c>
      <c r="T19" s="41">
        <v>0</v>
      </c>
      <c r="U19" s="41">
        <v>0</v>
      </c>
      <c r="V19" s="70">
        <f t="shared" si="4"/>
        <v>0</v>
      </c>
      <c r="W19" s="41">
        <v>0</v>
      </c>
      <c r="X19" s="41">
        <v>0</v>
      </c>
      <c r="Y19" s="70">
        <f t="shared" si="5"/>
        <v>0</v>
      </c>
      <c r="Z19" s="41">
        <v>0</v>
      </c>
      <c r="AA19" s="41">
        <v>0</v>
      </c>
      <c r="AB19" s="70">
        <f t="shared" si="6"/>
        <v>0</v>
      </c>
      <c r="AC19" s="41">
        <v>0</v>
      </c>
      <c r="AD19" s="41">
        <v>0</v>
      </c>
      <c r="AE19" s="70">
        <f t="shared" si="7"/>
        <v>0</v>
      </c>
      <c r="AF19" s="28">
        <f t="shared" si="8"/>
        <v>5127142.8571428573</v>
      </c>
      <c r="AG19" s="28">
        <f t="shared" si="9"/>
        <v>5016.7738328207997</v>
      </c>
    </row>
    <row r="20" spans="1:33" ht="57.6" x14ac:dyDescent="0.3">
      <c r="A20" s="41" t="s">
        <v>697</v>
      </c>
      <c r="B20" s="41" t="s">
        <v>694</v>
      </c>
      <c r="C20" s="41" t="s">
        <v>675</v>
      </c>
      <c r="D20" s="41" t="s">
        <v>120</v>
      </c>
      <c r="E20" s="41" t="s">
        <v>152</v>
      </c>
      <c r="F20" s="41" t="s">
        <v>1299</v>
      </c>
      <c r="G20" s="67">
        <v>211.42857142857142</v>
      </c>
      <c r="H20" s="41">
        <v>2430</v>
      </c>
      <c r="I20" s="41">
        <v>1</v>
      </c>
      <c r="J20" s="83">
        <f t="shared" si="0"/>
        <v>513771.42857142852</v>
      </c>
      <c r="K20" s="41"/>
      <c r="L20" s="41"/>
      <c r="M20" s="70">
        <f t="shared" si="1"/>
        <v>0</v>
      </c>
      <c r="N20" s="41"/>
      <c r="O20" s="41"/>
      <c r="P20" s="70">
        <f t="shared" si="2"/>
        <v>0</v>
      </c>
      <c r="Q20" s="41"/>
      <c r="R20" s="41"/>
      <c r="S20" s="70">
        <f t="shared" si="3"/>
        <v>0</v>
      </c>
      <c r="T20" s="41"/>
      <c r="U20" s="41"/>
      <c r="V20" s="70">
        <f t="shared" si="4"/>
        <v>0</v>
      </c>
      <c r="W20" s="41"/>
      <c r="X20" s="41"/>
      <c r="Y20" s="70">
        <f t="shared" si="5"/>
        <v>0</v>
      </c>
      <c r="Z20" s="41"/>
      <c r="AA20" s="41"/>
      <c r="AB20" s="70">
        <f t="shared" si="6"/>
        <v>0</v>
      </c>
      <c r="AC20" s="41"/>
      <c r="AD20" s="41"/>
      <c r="AE20" s="70">
        <f t="shared" si="7"/>
        <v>0</v>
      </c>
      <c r="AF20" s="28">
        <f t="shared" si="8"/>
        <v>513771.42857142852</v>
      </c>
      <c r="AG20" s="28">
        <f t="shared" si="9"/>
        <v>502.71176963936256</v>
      </c>
    </row>
    <row r="21" spans="1:33" ht="57.6" x14ac:dyDescent="0.3">
      <c r="A21" s="41" t="s">
        <v>697</v>
      </c>
      <c r="B21" s="41" t="s">
        <v>694</v>
      </c>
      <c r="C21" s="41" t="s">
        <v>675</v>
      </c>
      <c r="D21" s="41" t="s">
        <v>120</v>
      </c>
      <c r="E21" s="41" t="s">
        <v>180</v>
      </c>
      <c r="F21" s="41" t="s">
        <v>716</v>
      </c>
      <c r="G21" s="67">
        <v>39000</v>
      </c>
      <c r="H21" s="41">
        <v>25</v>
      </c>
      <c r="I21" s="41">
        <v>6</v>
      </c>
      <c r="J21" s="83">
        <f t="shared" si="0"/>
        <v>5850000</v>
      </c>
      <c r="K21" s="41">
        <v>15</v>
      </c>
      <c r="L21" s="41">
        <v>5</v>
      </c>
      <c r="M21" s="70">
        <f t="shared" si="1"/>
        <v>3217500</v>
      </c>
      <c r="N21" s="41">
        <v>0</v>
      </c>
      <c r="O21" s="41">
        <v>0</v>
      </c>
      <c r="P21" s="70">
        <f t="shared" si="2"/>
        <v>0</v>
      </c>
      <c r="Q21" s="41">
        <v>0</v>
      </c>
      <c r="R21" s="41">
        <v>0</v>
      </c>
      <c r="S21" s="70">
        <f t="shared" si="3"/>
        <v>0</v>
      </c>
      <c r="T21" s="41">
        <v>0</v>
      </c>
      <c r="U21" s="41">
        <v>0</v>
      </c>
      <c r="V21" s="70">
        <f t="shared" si="4"/>
        <v>0</v>
      </c>
      <c r="W21" s="41">
        <v>0</v>
      </c>
      <c r="X21" s="41">
        <v>0</v>
      </c>
      <c r="Y21" s="70">
        <f t="shared" si="5"/>
        <v>0</v>
      </c>
      <c r="Z21" s="41">
        <v>0</v>
      </c>
      <c r="AA21" s="41">
        <v>0</v>
      </c>
      <c r="AB21" s="70">
        <f t="shared" si="6"/>
        <v>0</v>
      </c>
      <c r="AC21" s="41">
        <v>0</v>
      </c>
      <c r="AD21" s="41">
        <v>0</v>
      </c>
      <c r="AE21" s="70">
        <f t="shared" si="7"/>
        <v>0</v>
      </c>
      <c r="AF21" s="28">
        <f t="shared" si="8"/>
        <v>9067500</v>
      </c>
      <c r="AG21" s="28">
        <f t="shared" si="9"/>
        <v>8872.3091976516625</v>
      </c>
    </row>
    <row r="22" spans="1:33" ht="57.6" x14ac:dyDescent="0.3">
      <c r="A22" s="41" t="s">
        <v>697</v>
      </c>
      <c r="B22" s="41" t="s">
        <v>694</v>
      </c>
      <c r="C22" s="41" t="s">
        <v>675</v>
      </c>
      <c r="D22" s="41" t="s">
        <v>120</v>
      </c>
      <c r="E22" s="41" t="s">
        <v>180</v>
      </c>
      <c r="F22" s="41" t="s">
        <v>709</v>
      </c>
      <c r="G22" s="67">
        <v>35000</v>
      </c>
      <c r="H22" s="41">
        <v>25</v>
      </c>
      <c r="I22" s="41">
        <v>5</v>
      </c>
      <c r="J22" s="83">
        <f t="shared" si="0"/>
        <v>4375000</v>
      </c>
      <c r="K22" s="41">
        <v>15</v>
      </c>
      <c r="L22" s="41">
        <v>5</v>
      </c>
      <c r="M22" s="70">
        <f t="shared" si="1"/>
        <v>2887500</v>
      </c>
      <c r="N22" s="41">
        <v>0</v>
      </c>
      <c r="O22" s="41">
        <v>0</v>
      </c>
      <c r="P22" s="70">
        <f t="shared" si="2"/>
        <v>0</v>
      </c>
      <c r="Q22" s="41">
        <v>0</v>
      </c>
      <c r="R22" s="41">
        <v>0</v>
      </c>
      <c r="S22" s="70">
        <f t="shared" si="3"/>
        <v>0</v>
      </c>
      <c r="T22" s="41">
        <v>0</v>
      </c>
      <c r="U22" s="41">
        <v>0</v>
      </c>
      <c r="V22" s="70">
        <f t="shared" si="4"/>
        <v>0</v>
      </c>
      <c r="W22" s="41">
        <v>0</v>
      </c>
      <c r="X22" s="41">
        <v>0</v>
      </c>
      <c r="Y22" s="70">
        <f t="shared" si="5"/>
        <v>0</v>
      </c>
      <c r="Z22" s="41">
        <v>0</v>
      </c>
      <c r="AA22" s="41">
        <v>0</v>
      </c>
      <c r="AB22" s="70">
        <f t="shared" si="6"/>
        <v>0</v>
      </c>
      <c r="AC22" s="41">
        <v>0</v>
      </c>
      <c r="AD22" s="41">
        <v>0</v>
      </c>
      <c r="AE22" s="70">
        <f t="shared" si="7"/>
        <v>0</v>
      </c>
      <c r="AF22" s="28">
        <f t="shared" si="8"/>
        <v>7262500</v>
      </c>
      <c r="AG22" s="28">
        <f t="shared" si="9"/>
        <v>7106.1643835616442</v>
      </c>
    </row>
    <row r="23" spans="1:33" ht="57.6" x14ac:dyDescent="0.3">
      <c r="A23" s="41" t="s">
        <v>697</v>
      </c>
      <c r="B23" s="41" t="s">
        <v>694</v>
      </c>
      <c r="C23" s="41" t="s">
        <v>675</v>
      </c>
      <c r="D23" s="41" t="s">
        <v>120</v>
      </c>
      <c r="E23" s="41" t="s">
        <v>180</v>
      </c>
      <c r="F23" s="41" t="s">
        <v>712</v>
      </c>
      <c r="G23" s="67">
        <v>211.42857142857142</v>
      </c>
      <c r="H23" s="41">
        <v>450</v>
      </c>
      <c r="I23" s="41">
        <v>5</v>
      </c>
      <c r="J23" s="83">
        <f t="shared" si="0"/>
        <v>475714.28571428568</v>
      </c>
      <c r="K23" s="41">
        <v>4000</v>
      </c>
      <c r="L23" s="41">
        <v>1</v>
      </c>
      <c r="M23" s="70">
        <f t="shared" si="1"/>
        <v>930285.71428571432</v>
      </c>
      <c r="N23" s="41">
        <v>0</v>
      </c>
      <c r="O23" s="41">
        <v>0</v>
      </c>
      <c r="P23" s="70">
        <f t="shared" si="2"/>
        <v>0</v>
      </c>
      <c r="Q23" s="41">
        <v>0</v>
      </c>
      <c r="R23" s="41">
        <v>0</v>
      </c>
      <c r="S23" s="70">
        <f t="shared" si="3"/>
        <v>0</v>
      </c>
      <c r="T23" s="41">
        <v>0</v>
      </c>
      <c r="U23" s="41">
        <v>0</v>
      </c>
      <c r="V23" s="70">
        <f t="shared" si="4"/>
        <v>0</v>
      </c>
      <c r="W23" s="41">
        <v>0</v>
      </c>
      <c r="X23" s="41">
        <v>0</v>
      </c>
      <c r="Y23" s="70">
        <f t="shared" si="5"/>
        <v>0</v>
      </c>
      <c r="Z23" s="41">
        <v>0</v>
      </c>
      <c r="AA23" s="41">
        <v>0</v>
      </c>
      <c r="AB23" s="70">
        <f t="shared" si="6"/>
        <v>0</v>
      </c>
      <c r="AC23" s="41">
        <v>0</v>
      </c>
      <c r="AD23" s="41">
        <v>0</v>
      </c>
      <c r="AE23" s="70">
        <f t="shared" si="7"/>
        <v>0</v>
      </c>
      <c r="AF23" s="28">
        <f t="shared" si="8"/>
        <v>1406000</v>
      </c>
      <c r="AG23" s="28">
        <f t="shared" si="9"/>
        <v>1375.73385518591</v>
      </c>
    </row>
    <row r="24" spans="1:33" ht="57.6" x14ac:dyDescent="0.3">
      <c r="A24" s="41" t="s">
        <v>697</v>
      </c>
      <c r="B24" s="41" t="s">
        <v>694</v>
      </c>
      <c r="C24" s="41" t="s">
        <v>675</v>
      </c>
      <c r="D24" s="41" t="s">
        <v>120</v>
      </c>
      <c r="E24" s="41" t="s">
        <v>180</v>
      </c>
      <c r="F24" s="41" t="s">
        <v>1299</v>
      </c>
      <c r="G24" s="67">
        <v>211.42857142857142</v>
      </c>
      <c r="H24" s="41">
        <v>2430</v>
      </c>
      <c r="I24" s="41">
        <v>1</v>
      </c>
      <c r="J24" s="83">
        <f t="shared" si="0"/>
        <v>513771.42857142852</v>
      </c>
      <c r="K24" s="41"/>
      <c r="L24" s="41"/>
      <c r="M24" s="70">
        <f t="shared" si="1"/>
        <v>0</v>
      </c>
      <c r="N24" s="41"/>
      <c r="O24" s="41"/>
      <c r="P24" s="70">
        <f t="shared" si="2"/>
        <v>0</v>
      </c>
      <c r="Q24" s="41"/>
      <c r="R24" s="41"/>
      <c r="S24" s="70">
        <f t="shared" si="3"/>
        <v>0</v>
      </c>
      <c r="T24" s="41"/>
      <c r="U24" s="41"/>
      <c r="V24" s="70">
        <f t="shared" si="4"/>
        <v>0</v>
      </c>
      <c r="W24" s="41"/>
      <c r="X24" s="41"/>
      <c r="Y24" s="70">
        <f t="shared" si="5"/>
        <v>0</v>
      </c>
      <c r="Z24" s="41"/>
      <c r="AA24" s="41"/>
      <c r="AB24" s="70">
        <f t="shared" si="6"/>
        <v>0</v>
      </c>
      <c r="AC24" s="41"/>
      <c r="AD24" s="41"/>
      <c r="AE24" s="70">
        <f t="shared" si="7"/>
        <v>0</v>
      </c>
      <c r="AF24" s="28">
        <f t="shared" si="8"/>
        <v>513771.42857142852</v>
      </c>
      <c r="AG24" s="28">
        <f t="shared" si="9"/>
        <v>502.71176963936256</v>
      </c>
    </row>
    <row r="25" spans="1:33" ht="57.6" x14ac:dyDescent="0.3">
      <c r="A25" s="41" t="s">
        <v>697</v>
      </c>
      <c r="B25" s="41" t="s">
        <v>694</v>
      </c>
      <c r="C25" s="41" t="s">
        <v>675</v>
      </c>
      <c r="D25" s="41" t="s">
        <v>121</v>
      </c>
      <c r="E25" s="41" t="s">
        <v>799</v>
      </c>
      <c r="F25" s="41" t="s">
        <v>716</v>
      </c>
      <c r="G25" s="67">
        <v>39000</v>
      </c>
      <c r="H25" s="41">
        <v>60</v>
      </c>
      <c r="I25" s="41">
        <v>24</v>
      </c>
      <c r="J25" s="83">
        <f t="shared" si="0"/>
        <v>56160000</v>
      </c>
      <c r="K25" s="41">
        <v>20</v>
      </c>
      <c r="L25" s="41">
        <v>5</v>
      </c>
      <c r="M25" s="70">
        <f t="shared" si="1"/>
        <v>4290000</v>
      </c>
      <c r="N25" s="41">
        <v>0</v>
      </c>
      <c r="O25" s="41">
        <v>0</v>
      </c>
      <c r="P25" s="70">
        <f t="shared" si="2"/>
        <v>0</v>
      </c>
      <c r="Q25" s="41">
        <v>0</v>
      </c>
      <c r="R25" s="41">
        <v>0</v>
      </c>
      <c r="S25" s="70">
        <f t="shared" si="3"/>
        <v>0</v>
      </c>
      <c r="T25" s="41">
        <v>0</v>
      </c>
      <c r="U25" s="41">
        <v>0</v>
      </c>
      <c r="V25" s="70">
        <f t="shared" si="4"/>
        <v>0</v>
      </c>
      <c r="W25" s="41">
        <v>0</v>
      </c>
      <c r="X25" s="41">
        <v>0</v>
      </c>
      <c r="Y25" s="70">
        <f t="shared" si="5"/>
        <v>0</v>
      </c>
      <c r="Z25" s="41">
        <v>0</v>
      </c>
      <c r="AA25" s="41">
        <v>0</v>
      </c>
      <c r="AB25" s="70">
        <f t="shared" si="6"/>
        <v>0</v>
      </c>
      <c r="AC25" s="41">
        <v>0</v>
      </c>
      <c r="AD25" s="41">
        <v>0</v>
      </c>
      <c r="AE25" s="70">
        <f t="shared" si="7"/>
        <v>0</v>
      </c>
      <c r="AF25" s="28">
        <f t="shared" si="8"/>
        <v>60450000</v>
      </c>
      <c r="AG25" s="28">
        <f t="shared" si="9"/>
        <v>59148.727984344419</v>
      </c>
    </row>
    <row r="26" spans="1:33" ht="57.6" x14ac:dyDescent="0.3">
      <c r="A26" s="41" t="s">
        <v>697</v>
      </c>
      <c r="B26" s="41" t="s">
        <v>694</v>
      </c>
      <c r="C26" s="41" t="s">
        <v>675</v>
      </c>
      <c r="D26" s="41" t="s">
        <v>121</v>
      </c>
      <c r="E26" s="41" t="s">
        <v>799</v>
      </c>
      <c r="F26" s="41" t="s">
        <v>712</v>
      </c>
      <c r="G26" s="67">
        <v>211.42857142857142</v>
      </c>
      <c r="H26" s="41">
        <v>60</v>
      </c>
      <c r="I26" s="41">
        <v>20</v>
      </c>
      <c r="J26" s="83">
        <f t="shared" si="0"/>
        <v>253714.28571428571</v>
      </c>
      <c r="K26" s="41">
        <v>8000</v>
      </c>
      <c r="L26" s="41">
        <v>5</v>
      </c>
      <c r="M26" s="70">
        <f t="shared" si="1"/>
        <v>9302857.1428571437</v>
      </c>
      <c r="N26" s="41">
        <v>0</v>
      </c>
      <c r="O26" s="41">
        <v>0</v>
      </c>
      <c r="P26" s="70">
        <f t="shared" si="2"/>
        <v>0</v>
      </c>
      <c r="Q26" s="41">
        <v>0</v>
      </c>
      <c r="R26" s="41">
        <v>0</v>
      </c>
      <c r="S26" s="70">
        <f t="shared" si="3"/>
        <v>0</v>
      </c>
      <c r="T26" s="41">
        <v>0</v>
      </c>
      <c r="U26" s="41">
        <v>0</v>
      </c>
      <c r="V26" s="70">
        <f t="shared" si="4"/>
        <v>0</v>
      </c>
      <c r="W26" s="41">
        <v>0</v>
      </c>
      <c r="X26" s="41">
        <v>0</v>
      </c>
      <c r="Y26" s="70">
        <f t="shared" si="5"/>
        <v>0</v>
      </c>
      <c r="Z26" s="41">
        <v>0</v>
      </c>
      <c r="AA26" s="41">
        <v>0</v>
      </c>
      <c r="AB26" s="70">
        <f t="shared" si="6"/>
        <v>0</v>
      </c>
      <c r="AC26" s="41">
        <v>0</v>
      </c>
      <c r="AD26" s="41">
        <v>0</v>
      </c>
      <c r="AE26" s="70">
        <f t="shared" si="7"/>
        <v>0</v>
      </c>
      <c r="AF26" s="28">
        <f t="shared" si="8"/>
        <v>9556571.4285714291</v>
      </c>
      <c r="AG26" s="28">
        <f t="shared" si="9"/>
        <v>9350.8526698350579</v>
      </c>
    </row>
    <row r="27" spans="1:33" ht="57.6" x14ac:dyDescent="0.3">
      <c r="A27" s="41" t="s">
        <v>697</v>
      </c>
      <c r="B27" s="41" t="s">
        <v>694</v>
      </c>
      <c r="C27" s="41" t="s">
        <v>675</v>
      </c>
      <c r="D27" s="41" t="s">
        <v>121</v>
      </c>
      <c r="E27" s="41" t="s">
        <v>799</v>
      </c>
      <c r="F27" s="41" t="s">
        <v>709</v>
      </c>
      <c r="G27" s="67">
        <v>35000</v>
      </c>
      <c r="H27" s="41">
        <v>1000</v>
      </c>
      <c r="I27" s="41">
        <v>20</v>
      </c>
      <c r="J27" s="83">
        <f t="shared" si="0"/>
        <v>700000000</v>
      </c>
      <c r="K27" s="41">
        <v>40</v>
      </c>
      <c r="L27" s="41">
        <v>5</v>
      </c>
      <c r="M27" s="70">
        <f t="shared" si="1"/>
        <v>7700000</v>
      </c>
      <c r="N27" s="41">
        <v>0</v>
      </c>
      <c r="O27" s="41">
        <v>0</v>
      </c>
      <c r="P27" s="70">
        <f t="shared" si="2"/>
        <v>0</v>
      </c>
      <c r="Q27" s="41">
        <v>0</v>
      </c>
      <c r="R27" s="41">
        <v>0</v>
      </c>
      <c r="S27" s="70">
        <f t="shared" si="3"/>
        <v>0</v>
      </c>
      <c r="T27" s="41">
        <v>0</v>
      </c>
      <c r="U27" s="41">
        <v>0</v>
      </c>
      <c r="V27" s="70">
        <f t="shared" si="4"/>
        <v>0</v>
      </c>
      <c r="W27" s="41">
        <v>0</v>
      </c>
      <c r="X27" s="41">
        <v>0</v>
      </c>
      <c r="Y27" s="70">
        <f t="shared" si="5"/>
        <v>0</v>
      </c>
      <c r="Z27" s="41">
        <v>0</v>
      </c>
      <c r="AA27" s="41">
        <v>0</v>
      </c>
      <c r="AB27" s="70">
        <f t="shared" si="6"/>
        <v>0</v>
      </c>
      <c r="AC27" s="41">
        <v>0</v>
      </c>
      <c r="AD27" s="41">
        <v>0</v>
      </c>
      <c r="AE27" s="70">
        <f t="shared" si="7"/>
        <v>0</v>
      </c>
      <c r="AF27" s="28">
        <f t="shared" si="8"/>
        <v>707700000</v>
      </c>
      <c r="AG27" s="28">
        <f t="shared" si="9"/>
        <v>692465.75342465751</v>
      </c>
    </row>
    <row r="28" spans="1:33" ht="57.6" x14ac:dyDescent="0.3">
      <c r="A28" s="41" t="s">
        <v>697</v>
      </c>
      <c r="B28" s="41" t="s">
        <v>694</v>
      </c>
      <c r="C28" s="41" t="s">
        <v>675</v>
      </c>
      <c r="D28" s="41" t="s">
        <v>121</v>
      </c>
      <c r="E28" s="41" t="s">
        <v>799</v>
      </c>
      <c r="F28" s="41" t="s">
        <v>1299</v>
      </c>
      <c r="G28" s="67">
        <v>211.42857142857142</v>
      </c>
      <c r="H28" s="41">
        <v>5400</v>
      </c>
      <c r="I28" s="41">
        <v>4</v>
      </c>
      <c r="J28" s="83">
        <f t="shared" si="0"/>
        <v>4566857.1428571427</v>
      </c>
      <c r="K28" s="41"/>
      <c r="L28" s="41"/>
      <c r="M28" s="70">
        <f t="shared" si="1"/>
        <v>0</v>
      </c>
      <c r="N28" s="41"/>
      <c r="O28" s="41"/>
      <c r="P28" s="70">
        <f t="shared" si="2"/>
        <v>0</v>
      </c>
      <c r="Q28" s="41"/>
      <c r="R28" s="41"/>
      <c r="S28" s="70">
        <f t="shared" si="3"/>
        <v>0</v>
      </c>
      <c r="T28" s="41"/>
      <c r="U28" s="41"/>
      <c r="V28" s="70">
        <f t="shared" si="4"/>
        <v>0</v>
      </c>
      <c r="W28" s="41"/>
      <c r="X28" s="41"/>
      <c r="Y28" s="70">
        <f t="shared" si="5"/>
        <v>0</v>
      </c>
      <c r="Z28" s="41"/>
      <c r="AA28" s="41"/>
      <c r="AB28" s="70">
        <f t="shared" si="6"/>
        <v>0</v>
      </c>
      <c r="AC28" s="41"/>
      <c r="AD28" s="41"/>
      <c r="AE28" s="70">
        <f t="shared" si="7"/>
        <v>0</v>
      </c>
      <c r="AF28" s="28">
        <f t="shared" si="8"/>
        <v>4566857.1428571427</v>
      </c>
      <c r="AG28" s="28">
        <f t="shared" si="9"/>
        <v>4468.5490634610005</v>
      </c>
    </row>
    <row r="29" spans="1:33" ht="57.6" x14ac:dyDescent="0.3">
      <c r="A29" s="41" t="s">
        <v>697</v>
      </c>
      <c r="B29" s="41" t="s">
        <v>694</v>
      </c>
      <c r="C29" s="41" t="s">
        <v>675</v>
      </c>
      <c r="D29" s="41" t="s">
        <v>121</v>
      </c>
      <c r="E29" s="41" t="s">
        <v>280</v>
      </c>
      <c r="F29" s="41" t="s">
        <v>716</v>
      </c>
      <c r="G29" s="67">
        <v>39000</v>
      </c>
      <c r="H29" s="41">
        <v>58</v>
      </c>
      <c r="I29" s="41">
        <v>6</v>
      </c>
      <c r="J29" s="83">
        <f t="shared" si="0"/>
        <v>13572000</v>
      </c>
      <c r="K29" s="41">
        <v>10</v>
      </c>
      <c r="L29" s="41">
        <v>1</v>
      </c>
      <c r="M29" s="70">
        <f t="shared" si="1"/>
        <v>429000</v>
      </c>
      <c r="N29" s="41">
        <v>0</v>
      </c>
      <c r="O29" s="41">
        <v>0</v>
      </c>
      <c r="P29" s="70">
        <f t="shared" si="2"/>
        <v>0</v>
      </c>
      <c r="Q29" s="41">
        <v>0</v>
      </c>
      <c r="R29" s="41">
        <v>0</v>
      </c>
      <c r="S29" s="70">
        <f t="shared" si="3"/>
        <v>0</v>
      </c>
      <c r="T29" s="41">
        <v>0</v>
      </c>
      <c r="U29" s="41">
        <v>0</v>
      </c>
      <c r="V29" s="70">
        <f t="shared" si="4"/>
        <v>0</v>
      </c>
      <c r="W29" s="41">
        <v>0</v>
      </c>
      <c r="X29" s="41">
        <v>0</v>
      </c>
      <c r="Y29" s="70">
        <f t="shared" si="5"/>
        <v>0</v>
      </c>
      <c r="Z29" s="41">
        <v>0</v>
      </c>
      <c r="AA29" s="41">
        <v>0</v>
      </c>
      <c r="AB29" s="70">
        <f t="shared" si="6"/>
        <v>0</v>
      </c>
      <c r="AC29" s="41">
        <v>0</v>
      </c>
      <c r="AD29" s="41">
        <v>0</v>
      </c>
      <c r="AE29" s="70">
        <f t="shared" si="7"/>
        <v>0</v>
      </c>
      <c r="AF29" s="28">
        <f t="shared" si="8"/>
        <v>14001000</v>
      </c>
      <c r="AG29" s="28">
        <f t="shared" si="9"/>
        <v>13699.608610567515</v>
      </c>
    </row>
    <row r="30" spans="1:33" ht="57.6" x14ac:dyDescent="0.3">
      <c r="A30" s="41" t="s">
        <v>697</v>
      </c>
      <c r="B30" s="41" t="s">
        <v>694</v>
      </c>
      <c r="C30" s="41" t="s">
        <v>675</v>
      </c>
      <c r="D30" s="41" t="s">
        <v>121</v>
      </c>
      <c r="E30" s="41" t="s">
        <v>280</v>
      </c>
      <c r="F30" s="41" t="s">
        <v>709</v>
      </c>
      <c r="G30" s="67">
        <v>35000</v>
      </c>
      <c r="H30" s="41">
        <v>100</v>
      </c>
      <c r="I30" s="41">
        <v>5</v>
      </c>
      <c r="J30" s="83">
        <f t="shared" si="0"/>
        <v>17500000</v>
      </c>
      <c r="K30" s="41">
        <v>40</v>
      </c>
      <c r="L30" s="41">
        <v>1</v>
      </c>
      <c r="M30" s="70">
        <f t="shared" si="1"/>
        <v>1540000</v>
      </c>
      <c r="N30" s="41">
        <v>0</v>
      </c>
      <c r="O30" s="41">
        <v>0</v>
      </c>
      <c r="P30" s="70">
        <f t="shared" si="2"/>
        <v>0</v>
      </c>
      <c r="Q30" s="41">
        <v>0</v>
      </c>
      <c r="R30" s="41">
        <v>0</v>
      </c>
      <c r="S30" s="70">
        <f t="shared" si="3"/>
        <v>0</v>
      </c>
      <c r="T30" s="41">
        <v>0</v>
      </c>
      <c r="U30" s="41">
        <v>0</v>
      </c>
      <c r="V30" s="70">
        <f t="shared" si="4"/>
        <v>0</v>
      </c>
      <c r="W30" s="41">
        <v>0</v>
      </c>
      <c r="X30" s="41">
        <v>0</v>
      </c>
      <c r="Y30" s="70">
        <f t="shared" si="5"/>
        <v>0</v>
      </c>
      <c r="Z30" s="41">
        <v>0</v>
      </c>
      <c r="AA30" s="41">
        <v>0</v>
      </c>
      <c r="AB30" s="70">
        <f t="shared" si="6"/>
        <v>0</v>
      </c>
      <c r="AC30" s="41">
        <v>0</v>
      </c>
      <c r="AD30" s="41">
        <v>0</v>
      </c>
      <c r="AE30" s="70">
        <f t="shared" si="7"/>
        <v>0</v>
      </c>
      <c r="AF30" s="28">
        <f t="shared" si="8"/>
        <v>19040000</v>
      </c>
      <c r="AG30" s="28">
        <f t="shared" si="9"/>
        <v>18630.136986301372</v>
      </c>
    </row>
    <row r="31" spans="1:33" ht="57.6" x14ac:dyDescent="0.3">
      <c r="A31" s="41" t="s">
        <v>697</v>
      </c>
      <c r="B31" s="41" t="s">
        <v>694</v>
      </c>
      <c r="C31" s="41" t="s">
        <v>675</v>
      </c>
      <c r="D31" s="41" t="s">
        <v>121</v>
      </c>
      <c r="E31" s="41" t="s">
        <v>280</v>
      </c>
      <c r="F31" s="41" t="s">
        <v>712</v>
      </c>
      <c r="G31" s="67">
        <v>211.42857142857142</v>
      </c>
      <c r="H31" s="41">
        <v>1450</v>
      </c>
      <c r="I31" s="41">
        <v>5</v>
      </c>
      <c r="J31" s="83">
        <f t="shared" si="0"/>
        <v>1532857.1428571427</v>
      </c>
      <c r="K31" s="41">
        <v>4000</v>
      </c>
      <c r="L31" s="41">
        <v>1</v>
      </c>
      <c r="M31" s="70">
        <f t="shared" si="1"/>
        <v>930285.71428571432</v>
      </c>
      <c r="N31" s="41">
        <v>0</v>
      </c>
      <c r="O31" s="41">
        <v>0</v>
      </c>
      <c r="P31" s="70">
        <f t="shared" si="2"/>
        <v>0</v>
      </c>
      <c r="Q31" s="41">
        <v>0</v>
      </c>
      <c r="R31" s="41">
        <v>0</v>
      </c>
      <c r="S31" s="70">
        <f t="shared" si="3"/>
        <v>0</v>
      </c>
      <c r="T31" s="41">
        <v>0</v>
      </c>
      <c r="U31" s="41">
        <v>0</v>
      </c>
      <c r="V31" s="70">
        <f t="shared" si="4"/>
        <v>0</v>
      </c>
      <c r="W31" s="41">
        <v>0</v>
      </c>
      <c r="X31" s="41">
        <v>0</v>
      </c>
      <c r="Y31" s="70">
        <f t="shared" si="5"/>
        <v>0</v>
      </c>
      <c r="Z31" s="41">
        <v>0</v>
      </c>
      <c r="AA31" s="41">
        <v>0</v>
      </c>
      <c r="AB31" s="70">
        <f t="shared" si="6"/>
        <v>0</v>
      </c>
      <c r="AC31" s="41">
        <v>0</v>
      </c>
      <c r="AD31" s="41">
        <v>0</v>
      </c>
      <c r="AE31" s="70">
        <f t="shared" si="7"/>
        <v>0</v>
      </c>
      <c r="AF31" s="28">
        <f t="shared" si="8"/>
        <v>2463142.8571428573</v>
      </c>
      <c r="AG31" s="28">
        <f t="shared" si="9"/>
        <v>2410.1202124685492</v>
      </c>
    </row>
    <row r="32" spans="1:33" ht="57.6" x14ac:dyDescent="0.3">
      <c r="A32" s="41" t="s">
        <v>697</v>
      </c>
      <c r="B32" s="41" t="s">
        <v>694</v>
      </c>
      <c r="C32" s="41" t="s">
        <v>675</v>
      </c>
      <c r="D32" s="41" t="s">
        <v>121</v>
      </c>
      <c r="E32" s="41" t="s">
        <v>280</v>
      </c>
      <c r="F32" s="41" t="s">
        <v>1299</v>
      </c>
      <c r="G32" s="67">
        <v>211.42857142857142</v>
      </c>
      <c r="H32" s="41">
        <v>22500</v>
      </c>
      <c r="I32" s="41">
        <v>1</v>
      </c>
      <c r="J32" s="83">
        <f t="shared" si="0"/>
        <v>4757142.8571428573</v>
      </c>
      <c r="K32" s="41"/>
      <c r="L32" s="41"/>
      <c r="M32" s="70">
        <f t="shared" si="1"/>
        <v>0</v>
      </c>
      <c r="N32" s="41"/>
      <c r="O32" s="41"/>
      <c r="P32" s="70">
        <f t="shared" si="2"/>
        <v>0</v>
      </c>
      <c r="Q32" s="41"/>
      <c r="R32" s="41"/>
      <c r="S32" s="70">
        <f t="shared" si="3"/>
        <v>0</v>
      </c>
      <c r="T32" s="41"/>
      <c r="U32" s="41"/>
      <c r="V32" s="70">
        <f t="shared" si="4"/>
        <v>0</v>
      </c>
      <c r="W32" s="41"/>
      <c r="X32" s="41"/>
      <c r="Y32" s="70">
        <f t="shared" si="5"/>
        <v>0</v>
      </c>
      <c r="Z32" s="41"/>
      <c r="AA32" s="41"/>
      <c r="AB32" s="70">
        <f t="shared" si="6"/>
        <v>0</v>
      </c>
      <c r="AC32" s="41"/>
      <c r="AD32" s="41"/>
      <c r="AE32" s="70">
        <f t="shared" si="7"/>
        <v>0</v>
      </c>
      <c r="AF32" s="28">
        <f t="shared" si="8"/>
        <v>4757142.8571428573</v>
      </c>
      <c r="AG32" s="28">
        <f t="shared" si="9"/>
        <v>4654.7386077718756</v>
      </c>
    </row>
    <row r="33" spans="1:35" ht="57.6" x14ac:dyDescent="0.3">
      <c r="A33" s="41" t="s">
        <v>697</v>
      </c>
      <c r="B33" s="41" t="s">
        <v>694</v>
      </c>
      <c r="C33" s="41" t="s">
        <v>675</v>
      </c>
      <c r="D33" s="41" t="s">
        <v>121</v>
      </c>
      <c r="E33" s="41" t="s">
        <v>344</v>
      </c>
      <c r="F33" s="41" t="s">
        <v>709</v>
      </c>
      <c r="G33" s="67">
        <v>35000</v>
      </c>
      <c r="H33" s="41">
        <v>50</v>
      </c>
      <c r="I33" s="41">
        <v>1</v>
      </c>
      <c r="J33" s="83">
        <f t="shared" si="0"/>
        <v>1750000</v>
      </c>
      <c r="K33" s="41">
        <v>20</v>
      </c>
      <c r="L33" s="41">
        <v>1</v>
      </c>
      <c r="M33" s="70">
        <f t="shared" si="1"/>
        <v>770000</v>
      </c>
      <c r="N33" s="41">
        <v>0</v>
      </c>
      <c r="O33" s="41">
        <v>0</v>
      </c>
      <c r="P33" s="70">
        <f t="shared" si="2"/>
        <v>0</v>
      </c>
      <c r="Q33" s="41">
        <v>0</v>
      </c>
      <c r="R33" s="41">
        <v>0</v>
      </c>
      <c r="S33" s="70">
        <f t="shared" si="3"/>
        <v>0</v>
      </c>
      <c r="T33" s="41">
        <v>0</v>
      </c>
      <c r="U33" s="41">
        <v>0</v>
      </c>
      <c r="V33" s="70">
        <f t="shared" si="4"/>
        <v>0</v>
      </c>
      <c r="W33" s="41">
        <v>0</v>
      </c>
      <c r="X33" s="41">
        <v>0</v>
      </c>
      <c r="Y33" s="70">
        <f t="shared" si="5"/>
        <v>0</v>
      </c>
      <c r="Z33" s="41">
        <v>0</v>
      </c>
      <c r="AA33" s="41">
        <v>0</v>
      </c>
      <c r="AB33" s="70">
        <f t="shared" si="6"/>
        <v>0</v>
      </c>
      <c r="AC33" s="41">
        <v>0</v>
      </c>
      <c r="AD33" s="41">
        <v>0</v>
      </c>
      <c r="AE33" s="70">
        <f t="shared" si="7"/>
        <v>0</v>
      </c>
      <c r="AF33" s="28">
        <f t="shared" si="8"/>
        <v>2520000</v>
      </c>
      <c r="AG33" s="28">
        <f t="shared" si="9"/>
        <v>2465.7534246575342</v>
      </c>
    </row>
    <row r="34" spans="1:35" ht="57.6" x14ac:dyDescent="0.3">
      <c r="A34" s="41" t="s">
        <v>697</v>
      </c>
      <c r="B34" s="41" t="s">
        <v>694</v>
      </c>
      <c r="C34" s="41" t="s">
        <v>675</v>
      </c>
      <c r="D34" s="41" t="s">
        <v>121</v>
      </c>
      <c r="E34" s="41" t="s">
        <v>575</v>
      </c>
      <c r="F34" s="41" t="s">
        <v>709</v>
      </c>
      <c r="G34" s="67">
        <v>0</v>
      </c>
      <c r="H34" s="41">
        <v>0</v>
      </c>
      <c r="I34" s="41">
        <v>0</v>
      </c>
      <c r="J34" s="83">
        <f t="shared" si="0"/>
        <v>0</v>
      </c>
      <c r="K34" s="41">
        <v>20</v>
      </c>
      <c r="L34" s="41">
        <v>1</v>
      </c>
      <c r="M34" s="70">
        <f t="shared" si="1"/>
        <v>0</v>
      </c>
      <c r="N34" s="41">
        <v>0</v>
      </c>
      <c r="O34" s="41">
        <v>0</v>
      </c>
      <c r="P34" s="70">
        <f t="shared" si="2"/>
        <v>0</v>
      </c>
      <c r="Q34" s="41">
        <v>0</v>
      </c>
      <c r="R34" s="41">
        <v>0</v>
      </c>
      <c r="S34" s="70">
        <f t="shared" si="3"/>
        <v>0</v>
      </c>
      <c r="T34" s="41">
        <v>0</v>
      </c>
      <c r="U34" s="41">
        <v>0</v>
      </c>
      <c r="V34" s="70">
        <f t="shared" si="4"/>
        <v>0</v>
      </c>
      <c r="W34" s="41">
        <v>0</v>
      </c>
      <c r="X34" s="41">
        <v>0</v>
      </c>
      <c r="Y34" s="70">
        <f t="shared" si="5"/>
        <v>0</v>
      </c>
      <c r="Z34" s="41">
        <v>0</v>
      </c>
      <c r="AA34" s="41">
        <v>0</v>
      </c>
      <c r="AB34" s="70">
        <f t="shared" si="6"/>
        <v>0</v>
      </c>
      <c r="AC34" s="41">
        <v>0</v>
      </c>
      <c r="AD34" s="41">
        <v>0</v>
      </c>
      <c r="AE34" s="70">
        <f t="shared" si="7"/>
        <v>0</v>
      </c>
      <c r="AF34" s="28">
        <f t="shared" si="8"/>
        <v>0</v>
      </c>
      <c r="AG34" s="28">
        <f t="shared" si="9"/>
        <v>0</v>
      </c>
    </row>
    <row r="35" spans="1:35" ht="57.6" x14ac:dyDescent="0.3">
      <c r="A35" s="41" t="s">
        <v>697</v>
      </c>
      <c r="B35" s="41" t="s">
        <v>694</v>
      </c>
      <c r="C35" s="41" t="s">
        <v>675</v>
      </c>
      <c r="D35" s="41" t="s">
        <v>121</v>
      </c>
      <c r="E35" s="41" t="s">
        <v>1406</v>
      </c>
      <c r="F35" s="41" t="s">
        <v>716</v>
      </c>
      <c r="G35" s="67">
        <v>39000</v>
      </c>
      <c r="H35" s="41">
        <v>58</v>
      </c>
      <c r="I35" s="41">
        <v>1</v>
      </c>
      <c r="J35" s="83">
        <f t="shared" si="0"/>
        <v>2262000</v>
      </c>
      <c r="K35" s="41">
        <v>10</v>
      </c>
      <c r="L35" s="41">
        <v>5</v>
      </c>
      <c r="M35" s="70">
        <f t="shared" si="1"/>
        <v>2145000</v>
      </c>
      <c r="N35" s="41">
        <v>0</v>
      </c>
      <c r="O35" s="41">
        <v>0</v>
      </c>
      <c r="P35" s="70">
        <f t="shared" si="2"/>
        <v>0</v>
      </c>
      <c r="Q35" s="41">
        <v>0</v>
      </c>
      <c r="R35" s="41">
        <v>0</v>
      </c>
      <c r="S35" s="70">
        <f t="shared" si="3"/>
        <v>0</v>
      </c>
      <c r="T35" s="41">
        <v>0</v>
      </c>
      <c r="U35" s="41">
        <v>0</v>
      </c>
      <c r="V35" s="70">
        <f t="shared" si="4"/>
        <v>0</v>
      </c>
      <c r="W35" s="41">
        <v>0</v>
      </c>
      <c r="X35" s="41">
        <v>0</v>
      </c>
      <c r="Y35" s="70">
        <f t="shared" si="5"/>
        <v>0</v>
      </c>
      <c r="Z35" s="41">
        <v>0</v>
      </c>
      <c r="AA35" s="41">
        <v>0</v>
      </c>
      <c r="AB35" s="70">
        <f t="shared" si="6"/>
        <v>0</v>
      </c>
      <c r="AC35" s="41">
        <v>0</v>
      </c>
      <c r="AD35" s="41">
        <v>0</v>
      </c>
      <c r="AE35" s="70">
        <f t="shared" si="7"/>
        <v>0</v>
      </c>
      <c r="AF35" s="28">
        <f t="shared" si="8"/>
        <v>4407000</v>
      </c>
      <c r="AG35" s="28">
        <f t="shared" si="9"/>
        <v>4312.1330724070449</v>
      </c>
    </row>
    <row r="36" spans="1:35" ht="57.6" x14ac:dyDescent="0.3">
      <c r="A36" s="41" t="s">
        <v>697</v>
      </c>
      <c r="B36" s="41" t="s">
        <v>694</v>
      </c>
      <c r="C36" s="41" t="s">
        <v>675</v>
      </c>
      <c r="D36" s="41" t="s">
        <v>121</v>
      </c>
      <c r="E36" s="41" t="s">
        <v>1406</v>
      </c>
      <c r="F36" s="41" t="s">
        <v>709</v>
      </c>
      <c r="G36" s="67">
        <v>35000</v>
      </c>
      <c r="H36" s="41">
        <v>100</v>
      </c>
      <c r="I36" s="41">
        <v>1</v>
      </c>
      <c r="J36" s="83">
        <f t="shared" si="0"/>
        <v>3500000</v>
      </c>
      <c r="K36" s="41">
        <v>20</v>
      </c>
      <c r="L36" s="41">
        <v>1</v>
      </c>
      <c r="M36" s="70">
        <f t="shared" si="1"/>
        <v>770000</v>
      </c>
      <c r="N36" s="41">
        <v>0</v>
      </c>
      <c r="O36" s="41">
        <v>0</v>
      </c>
      <c r="P36" s="70">
        <f t="shared" si="2"/>
        <v>0</v>
      </c>
      <c r="Q36" s="41">
        <v>0</v>
      </c>
      <c r="R36" s="41">
        <v>0</v>
      </c>
      <c r="S36" s="70">
        <f t="shared" si="3"/>
        <v>0</v>
      </c>
      <c r="T36" s="41">
        <v>0</v>
      </c>
      <c r="U36" s="41">
        <v>0</v>
      </c>
      <c r="V36" s="70">
        <f t="shared" si="4"/>
        <v>0</v>
      </c>
      <c r="W36" s="41">
        <v>0</v>
      </c>
      <c r="X36" s="41">
        <v>0</v>
      </c>
      <c r="Y36" s="70">
        <f t="shared" si="5"/>
        <v>0</v>
      </c>
      <c r="Z36" s="41">
        <v>0</v>
      </c>
      <c r="AA36" s="41">
        <v>0</v>
      </c>
      <c r="AB36" s="70">
        <f t="shared" si="6"/>
        <v>0</v>
      </c>
      <c r="AC36" s="41">
        <v>0</v>
      </c>
      <c r="AD36" s="41">
        <v>0</v>
      </c>
      <c r="AE36" s="70">
        <f t="shared" si="7"/>
        <v>0</v>
      </c>
      <c r="AF36" s="28">
        <f t="shared" si="8"/>
        <v>4270000</v>
      </c>
      <c r="AG36" s="28">
        <f t="shared" si="9"/>
        <v>4178.0821917808216</v>
      </c>
    </row>
    <row r="37" spans="1:35" ht="57.6" x14ac:dyDescent="0.3">
      <c r="A37" s="41" t="s">
        <v>697</v>
      </c>
      <c r="B37" s="41" t="s">
        <v>694</v>
      </c>
      <c r="C37" s="41" t="s">
        <v>675</v>
      </c>
      <c r="D37" s="41" t="s">
        <v>121</v>
      </c>
      <c r="E37" s="41" t="s">
        <v>1406</v>
      </c>
      <c r="F37" s="41" t="s">
        <v>712</v>
      </c>
      <c r="G37" s="67">
        <v>211.42857142857142</v>
      </c>
      <c r="H37" s="41">
        <v>1450</v>
      </c>
      <c r="I37" s="41">
        <v>1</v>
      </c>
      <c r="J37" s="83">
        <f t="shared" si="0"/>
        <v>306571.42857142858</v>
      </c>
      <c r="K37" s="41">
        <v>20000</v>
      </c>
      <c r="L37" s="41">
        <v>1</v>
      </c>
      <c r="M37" s="70">
        <f t="shared" si="1"/>
        <v>4651428.5714285718</v>
      </c>
      <c r="N37" s="41">
        <v>0</v>
      </c>
      <c r="O37" s="41">
        <v>0</v>
      </c>
      <c r="P37" s="70">
        <f t="shared" si="2"/>
        <v>0</v>
      </c>
      <c r="Q37" s="41">
        <v>0</v>
      </c>
      <c r="R37" s="41">
        <v>0</v>
      </c>
      <c r="S37" s="70">
        <f t="shared" si="3"/>
        <v>0</v>
      </c>
      <c r="T37" s="41">
        <v>0</v>
      </c>
      <c r="U37" s="41">
        <v>0</v>
      </c>
      <c r="V37" s="70">
        <f t="shared" si="4"/>
        <v>0</v>
      </c>
      <c r="W37" s="41">
        <v>0</v>
      </c>
      <c r="X37" s="41">
        <v>0</v>
      </c>
      <c r="Y37" s="70">
        <f t="shared" si="5"/>
        <v>0</v>
      </c>
      <c r="Z37" s="41">
        <v>0</v>
      </c>
      <c r="AA37" s="41">
        <v>0</v>
      </c>
      <c r="AB37" s="70">
        <f t="shared" si="6"/>
        <v>0</v>
      </c>
      <c r="AC37" s="41">
        <v>0</v>
      </c>
      <c r="AD37" s="41">
        <v>0</v>
      </c>
      <c r="AE37" s="70">
        <f t="shared" si="7"/>
        <v>0</v>
      </c>
      <c r="AF37" s="28">
        <f t="shared" si="8"/>
        <v>4958000</v>
      </c>
      <c r="AG37" s="28">
        <f t="shared" si="9"/>
        <v>4851.272015655577</v>
      </c>
    </row>
    <row r="38" spans="1:35" ht="57.6" x14ac:dyDescent="0.3">
      <c r="A38" s="41" t="s">
        <v>697</v>
      </c>
      <c r="B38" s="41" t="s">
        <v>694</v>
      </c>
      <c r="C38" s="41" t="s">
        <v>675</v>
      </c>
      <c r="D38" s="41" t="s">
        <v>121</v>
      </c>
      <c r="E38" s="41" t="s">
        <v>1406</v>
      </c>
      <c r="F38" s="41" t="s">
        <v>1299</v>
      </c>
      <c r="G38" s="67">
        <v>211.42857142857142</v>
      </c>
      <c r="H38" s="41">
        <v>22500</v>
      </c>
      <c r="I38" s="41">
        <v>1</v>
      </c>
      <c r="J38" s="83">
        <f t="shared" si="0"/>
        <v>4757142.8571428573</v>
      </c>
      <c r="K38" s="41"/>
      <c r="L38" s="41"/>
      <c r="M38" s="70">
        <f t="shared" si="1"/>
        <v>0</v>
      </c>
      <c r="N38" s="41"/>
      <c r="O38" s="41"/>
      <c r="P38" s="70">
        <f t="shared" si="2"/>
        <v>0</v>
      </c>
      <c r="Q38" s="41"/>
      <c r="R38" s="41"/>
      <c r="S38" s="70">
        <f t="shared" si="3"/>
        <v>0</v>
      </c>
      <c r="T38" s="41"/>
      <c r="U38" s="41"/>
      <c r="V38" s="70">
        <f t="shared" si="4"/>
        <v>0</v>
      </c>
      <c r="W38" s="41"/>
      <c r="X38" s="41"/>
      <c r="Y38" s="70">
        <f t="shared" si="5"/>
        <v>0</v>
      </c>
      <c r="Z38" s="41"/>
      <c r="AA38" s="41"/>
      <c r="AB38" s="70">
        <f t="shared" si="6"/>
        <v>0</v>
      </c>
      <c r="AC38" s="41"/>
      <c r="AD38" s="41"/>
      <c r="AE38" s="70">
        <f t="shared" si="7"/>
        <v>0</v>
      </c>
      <c r="AF38" s="28">
        <f t="shared" si="8"/>
        <v>4757142.8571428573</v>
      </c>
      <c r="AG38" s="28">
        <f t="shared" si="9"/>
        <v>4654.7386077718756</v>
      </c>
    </row>
    <row r="39" spans="1:35" x14ac:dyDescent="0.3">
      <c r="A39" s="53" t="s">
        <v>1296</v>
      </c>
      <c r="B39" s="63"/>
      <c r="C39" s="63"/>
      <c r="D39" s="63"/>
      <c r="E39" s="63"/>
      <c r="F39" s="63"/>
      <c r="G39" s="68"/>
      <c r="H39" s="63"/>
      <c r="I39" s="63"/>
      <c r="J39" s="90">
        <f>SUM(J2:J38)</f>
        <v>852301228.57142866</v>
      </c>
      <c r="K39" s="63"/>
      <c r="L39" s="63"/>
      <c r="M39" s="90">
        <f>SUM(M2:M38)</f>
        <v>104025648.57142858</v>
      </c>
      <c r="N39" s="63"/>
      <c r="O39" s="63"/>
      <c r="P39" s="90">
        <f>SUM(P2:P38)</f>
        <v>0</v>
      </c>
      <c r="Q39" s="63"/>
      <c r="R39" s="63"/>
      <c r="S39" s="90">
        <f>SUM(S2:S38)</f>
        <v>0</v>
      </c>
      <c r="T39" s="63"/>
      <c r="U39" s="63"/>
      <c r="V39" s="90">
        <f>SUM(V2:V38)</f>
        <v>0</v>
      </c>
      <c r="W39" s="63"/>
      <c r="X39" s="63"/>
      <c r="Y39" s="90">
        <f>SUM(Y2:Y38)</f>
        <v>0</v>
      </c>
      <c r="Z39" s="63"/>
      <c r="AA39" s="63"/>
      <c r="AB39" s="90">
        <f>SUM(AB2:AB38)</f>
        <v>0</v>
      </c>
      <c r="AC39" s="63"/>
      <c r="AD39" s="63"/>
      <c r="AE39" s="90">
        <f>SUM(AE2:AE38)</f>
        <v>21853860.0791343</v>
      </c>
      <c r="AF39" s="28">
        <f t="shared" si="8"/>
        <v>978180737.22199154</v>
      </c>
      <c r="AG39" s="28">
        <f t="shared" si="9"/>
        <v>957124.00902347511</v>
      </c>
      <c r="AH39" s="62"/>
      <c r="AI39" s="62"/>
    </row>
    <row r="40" spans="1:35" x14ac:dyDescent="0.3">
      <c r="A40" s="53" t="s">
        <v>1432</v>
      </c>
      <c r="B40" s="63"/>
      <c r="C40" s="63"/>
      <c r="D40" s="63"/>
      <c r="E40" s="63"/>
      <c r="F40" s="63"/>
      <c r="G40" s="68"/>
      <c r="H40" s="63"/>
      <c r="I40" s="63"/>
      <c r="J40" s="90">
        <f>J39/$AL$2</f>
        <v>833954.23539278738</v>
      </c>
      <c r="K40" s="63"/>
      <c r="L40" s="63"/>
      <c r="M40" s="90">
        <f>M39/$AL$2</f>
        <v>101786.34889572268</v>
      </c>
      <c r="N40" s="63"/>
      <c r="O40" s="63"/>
      <c r="P40" s="90">
        <f>P39/$AL$2</f>
        <v>0</v>
      </c>
      <c r="Q40" s="63"/>
      <c r="R40" s="63"/>
      <c r="S40" s="90">
        <f>S39/$AL$2</f>
        <v>0</v>
      </c>
      <c r="T40" s="63"/>
      <c r="U40" s="63"/>
      <c r="V40" s="90">
        <f>V39/$AL$2</f>
        <v>0</v>
      </c>
      <c r="W40" s="63"/>
      <c r="X40" s="63"/>
      <c r="Y40" s="90">
        <f>Y39/$AL$2</f>
        <v>0</v>
      </c>
      <c r="Z40" s="63"/>
      <c r="AA40" s="63"/>
      <c r="AB40" s="90">
        <f>AB39/$AL$2</f>
        <v>0</v>
      </c>
      <c r="AC40" s="63"/>
      <c r="AD40" s="63"/>
      <c r="AE40" s="90">
        <f>AE39/$AL$2</f>
        <v>21383.424734965069</v>
      </c>
      <c r="AF40" s="28"/>
      <c r="AG40" s="28"/>
      <c r="AH40" s="90">
        <f>AH39/$AL$2</f>
        <v>0</v>
      </c>
      <c r="AI40" s="62"/>
    </row>
    <row r="41" spans="1:35" ht="57.6" x14ac:dyDescent="0.3">
      <c r="A41" s="41" t="s">
        <v>697</v>
      </c>
      <c r="B41" s="41" t="s">
        <v>694</v>
      </c>
      <c r="C41" s="41" t="s">
        <v>676</v>
      </c>
      <c r="D41" s="41" t="s">
        <v>122</v>
      </c>
      <c r="E41" s="41" t="s">
        <v>577</v>
      </c>
      <c r="F41" s="41" t="s">
        <v>718</v>
      </c>
      <c r="G41" s="67">
        <v>0</v>
      </c>
      <c r="H41" s="41">
        <v>0</v>
      </c>
      <c r="I41" s="41">
        <v>0</v>
      </c>
      <c r="J41" s="83">
        <f t="shared" si="0"/>
        <v>0</v>
      </c>
      <c r="K41" s="41">
        <v>0</v>
      </c>
      <c r="L41" s="41">
        <v>0</v>
      </c>
      <c r="M41" s="70">
        <f t="shared" si="1"/>
        <v>0</v>
      </c>
      <c r="N41" s="41">
        <v>0</v>
      </c>
      <c r="O41" s="41">
        <v>0</v>
      </c>
      <c r="P41" s="70">
        <f t="shared" si="2"/>
        <v>0</v>
      </c>
      <c r="Q41" s="41">
        <v>0</v>
      </c>
      <c r="R41" s="41">
        <v>0</v>
      </c>
      <c r="S41" s="70">
        <f t="shared" si="3"/>
        <v>0</v>
      </c>
      <c r="T41" s="41">
        <v>0</v>
      </c>
      <c r="U41" s="41">
        <v>0</v>
      </c>
      <c r="V41" s="70">
        <f t="shared" si="4"/>
        <v>0</v>
      </c>
      <c r="W41" s="41">
        <v>0</v>
      </c>
      <c r="X41" s="41">
        <v>0</v>
      </c>
      <c r="Y41" s="70">
        <f t="shared" si="5"/>
        <v>0</v>
      </c>
      <c r="Z41" s="41">
        <v>0</v>
      </c>
      <c r="AA41" s="41">
        <v>0</v>
      </c>
      <c r="AB41" s="70">
        <f t="shared" si="6"/>
        <v>0</v>
      </c>
      <c r="AC41" s="41">
        <v>0</v>
      </c>
      <c r="AD41" s="41">
        <v>0</v>
      </c>
      <c r="AE41" s="70">
        <f t="shared" si="7"/>
        <v>0</v>
      </c>
      <c r="AF41" s="28">
        <f t="shared" si="8"/>
        <v>0</v>
      </c>
      <c r="AG41" s="28">
        <f t="shared" si="9"/>
        <v>0</v>
      </c>
    </row>
    <row r="42" spans="1:35" ht="57.6" x14ac:dyDescent="0.3">
      <c r="A42" s="41" t="s">
        <v>697</v>
      </c>
      <c r="B42" s="41" t="s">
        <v>694</v>
      </c>
      <c r="C42" s="41" t="s">
        <v>676</v>
      </c>
      <c r="D42" s="41" t="s">
        <v>122</v>
      </c>
      <c r="E42" s="41" t="s">
        <v>149</v>
      </c>
      <c r="F42" s="41" t="s">
        <v>707</v>
      </c>
      <c r="G42" s="67">
        <v>391991.03749999998</v>
      </c>
      <c r="H42" s="41"/>
      <c r="I42" s="41"/>
      <c r="J42" s="83">
        <f t="shared" si="0"/>
        <v>0</v>
      </c>
      <c r="K42" s="41">
        <v>0</v>
      </c>
      <c r="L42" s="41">
        <v>0</v>
      </c>
      <c r="M42" s="70">
        <f t="shared" si="1"/>
        <v>0</v>
      </c>
      <c r="N42" s="41">
        <v>2</v>
      </c>
      <c r="O42" s="41">
        <v>2</v>
      </c>
      <c r="P42" s="70">
        <f t="shared" si="2"/>
        <v>1897236.6215000001</v>
      </c>
      <c r="Q42" s="41">
        <v>0</v>
      </c>
      <c r="R42" s="41">
        <v>0</v>
      </c>
      <c r="S42" s="70">
        <f t="shared" si="3"/>
        <v>0</v>
      </c>
      <c r="T42" s="41">
        <v>0</v>
      </c>
      <c r="U42" s="41">
        <v>0</v>
      </c>
      <c r="V42" s="70">
        <f t="shared" si="4"/>
        <v>0</v>
      </c>
      <c r="W42" s="41">
        <v>0</v>
      </c>
      <c r="X42" s="41">
        <v>0</v>
      </c>
      <c r="Y42" s="70">
        <f t="shared" si="5"/>
        <v>0</v>
      </c>
      <c r="Z42" s="41">
        <v>0</v>
      </c>
      <c r="AA42" s="41">
        <v>0</v>
      </c>
      <c r="AB42" s="70">
        <f t="shared" si="6"/>
        <v>0</v>
      </c>
      <c r="AC42" s="41">
        <v>2</v>
      </c>
      <c r="AD42" s="41">
        <v>2</v>
      </c>
      <c r="AE42" s="70">
        <f t="shared" si="7"/>
        <v>3055518.5512919668</v>
      </c>
      <c r="AF42" s="28">
        <f t="shared" si="8"/>
        <v>4952755.1727919672</v>
      </c>
      <c r="AG42" s="28">
        <f t="shared" si="9"/>
        <v>4846.1400907944881</v>
      </c>
    </row>
    <row r="43" spans="1:35" ht="57.6" x14ac:dyDescent="0.3">
      <c r="A43" s="41" t="s">
        <v>697</v>
      </c>
      <c r="B43" s="41" t="s">
        <v>694</v>
      </c>
      <c r="C43" s="41" t="s">
        <v>676</v>
      </c>
      <c r="D43" s="41" t="s">
        <v>122</v>
      </c>
      <c r="E43" s="41" t="s">
        <v>149</v>
      </c>
      <c r="F43" s="41" t="s">
        <v>708</v>
      </c>
      <c r="G43" s="67">
        <v>511000</v>
      </c>
      <c r="H43" s="41"/>
      <c r="I43" s="41"/>
      <c r="J43" s="83">
        <f t="shared" si="0"/>
        <v>0</v>
      </c>
      <c r="K43" s="41">
        <v>0</v>
      </c>
      <c r="L43" s="41">
        <v>0</v>
      </c>
      <c r="M43" s="70">
        <f t="shared" si="1"/>
        <v>0</v>
      </c>
      <c r="N43" s="41">
        <v>1</v>
      </c>
      <c r="O43" s="41">
        <v>40</v>
      </c>
      <c r="P43" s="70">
        <f t="shared" si="2"/>
        <v>24732400.000000004</v>
      </c>
      <c r="Q43" s="41">
        <v>0</v>
      </c>
      <c r="R43" s="41">
        <v>0</v>
      </c>
      <c r="S43" s="70">
        <f t="shared" si="3"/>
        <v>0</v>
      </c>
      <c r="T43" s="41">
        <v>0</v>
      </c>
      <c r="U43" s="41">
        <v>0</v>
      </c>
      <c r="V43" s="70">
        <f t="shared" si="4"/>
        <v>0</v>
      </c>
      <c r="W43" s="41">
        <v>0</v>
      </c>
      <c r="X43" s="41">
        <v>0</v>
      </c>
      <c r="Y43" s="70">
        <f t="shared" si="5"/>
        <v>0</v>
      </c>
      <c r="Z43" s="41">
        <v>0</v>
      </c>
      <c r="AA43" s="41">
        <v>0</v>
      </c>
      <c r="AB43" s="70">
        <f t="shared" si="6"/>
        <v>0</v>
      </c>
      <c r="AC43" s="41">
        <v>1</v>
      </c>
      <c r="AD43" s="41">
        <v>40</v>
      </c>
      <c r="AE43" s="70">
        <f t="shared" si="7"/>
        <v>39831777.524000026</v>
      </c>
      <c r="AF43" s="28">
        <f t="shared" si="8"/>
        <v>64564177.524000034</v>
      </c>
      <c r="AG43" s="28">
        <f t="shared" si="9"/>
        <v>63174.342000000033</v>
      </c>
    </row>
    <row r="44" spans="1:35" ht="57.6" x14ac:dyDescent="0.3">
      <c r="A44" s="41" t="s">
        <v>697</v>
      </c>
      <c r="B44" s="41" t="s">
        <v>694</v>
      </c>
      <c r="C44" s="41" t="s">
        <v>676</v>
      </c>
      <c r="D44" s="41" t="s">
        <v>122</v>
      </c>
      <c r="E44" s="41" t="s">
        <v>578</v>
      </c>
      <c r="F44" s="41" t="s">
        <v>718</v>
      </c>
      <c r="G44" s="67">
        <v>0</v>
      </c>
      <c r="H44" s="41"/>
      <c r="I44" s="41"/>
      <c r="J44" s="83">
        <f t="shared" si="0"/>
        <v>0</v>
      </c>
      <c r="K44" s="41">
        <v>0</v>
      </c>
      <c r="L44" s="41">
        <v>0</v>
      </c>
      <c r="M44" s="70">
        <f t="shared" si="1"/>
        <v>0</v>
      </c>
      <c r="N44" s="41"/>
      <c r="O44" s="41"/>
      <c r="P44" s="70">
        <f t="shared" si="2"/>
        <v>0</v>
      </c>
      <c r="Q44" s="41">
        <v>0</v>
      </c>
      <c r="R44" s="41">
        <v>0</v>
      </c>
      <c r="S44" s="70">
        <f t="shared" si="3"/>
        <v>0</v>
      </c>
      <c r="T44" s="41">
        <v>0</v>
      </c>
      <c r="U44" s="41">
        <v>0</v>
      </c>
      <c r="V44" s="70">
        <f t="shared" si="4"/>
        <v>0</v>
      </c>
      <c r="W44" s="41">
        <v>0</v>
      </c>
      <c r="X44" s="41">
        <v>0</v>
      </c>
      <c r="Y44" s="70">
        <f t="shared" si="5"/>
        <v>0</v>
      </c>
      <c r="Z44" s="41">
        <v>0</v>
      </c>
      <c r="AA44" s="41">
        <v>0</v>
      </c>
      <c r="AB44" s="70">
        <f t="shared" si="6"/>
        <v>0</v>
      </c>
      <c r="AC44" s="41"/>
      <c r="AD44" s="41"/>
      <c r="AE44" s="70">
        <f t="shared" si="7"/>
        <v>0</v>
      </c>
      <c r="AF44" s="28">
        <f t="shared" si="8"/>
        <v>0</v>
      </c>
      <c r="AG44" s="28">
        <f t="shared" si="9"/>
        <v>0</v>
      </c>
    </row>
    <row r="45" spans="1:35" ht="57.6" x14ac:dyDescent="0.3">
      <c r="A45" s="41" t="s">
        <v>697</v>
      </c>
      <c r="B45" s="41" t="s">
        <v>694</v>
      </c>
      <c r="C45" s="41" t="s">
        <v>676</v>
      </c>
      <c r="D45" s="41" t="s">
        <v>122</v>
      </c>
      <c r="E45" s="41" t="s">
        <v>179</v>
      </c>
      <c r="F45" s="41" t="s">
        <v>713</v>
      </c>
      <c r="G45" s="67">
        <v>45000</v>
      </c>
      <c r="H45" s="41">
        <v>25</v>
      </c>
      <c r="I45" s="41">
        <v>6</v>
      </c>
      <c r="J45" s="83">
        <f t="shared" si="0"/>
        <v>6750000</v>
      </c>
      <c r="K45" s="41">
        <v>0</v>
      </c>
      <c r="L45" s="41">
        <v>0</v>
      </c>
      <c r="M45" s="70">
        <f t="shared" si="1"/>
        <v>0</v>
      </c>
      <c r="N45" s="41">
        <v>25</v>
      </c>
      <c r="O45" s="41">
        <v>6</v>
      </c>
      <c r="P45" s="70">
        <f t="shared" si="2"/>
        <v>8167500.0000000019</v>
      </c>
      <c r="Q45" s="41">
        <v>0</v>
      </c>
      <c r="R45" s="41">
        <v>0</v>
      </c>
      <c r="S45" s="70">
        <f t="shared" si="3"/>
        <v>0</v>
      </c>
      <c r="T45" s="41">
        <v>0</v>
      </c>
      <c r="U45" s="41">
        <v>0</v>
      </c>
      <c r="V45" s="70">
        <f t="shared" si="4"/>
        <v>0</v>
      </c>
      <c r="W45" s="41">
        <v>0</v>
      </c>
      <c r="X45" s="41">
        <v>0</v>
      </c>
      <c r="Y45" s="70">
        <f t="shared" si="5"/>
        <v>0</v>
      </c>
      <c r="Z45" s="41">
        <v>0</v>
      </c>
      <c r="AA45" s="41">
        <v>0</v>
      </c>
      <c r="AB45" s="70">
        <f t="shared" si="6"/>
        <v>0</v>
      </c>
      <c r="AC45" s="41">
        <v>25</v>
      </c>
      <c r="AD45" s="41">
        <v>6</v>
      </c>
      <c r="AE45" s="70">
        <f t="shared" si="7"/>
        <v>13153840.425000008</v>
      </c>
      <c r="AF45" s="28">
        <f t="shared" si="8"/>
        <v>28071340.425000012</v>
      </c>
      <c r="AG45" s="28">
        <f t="shared" si="9"/>
        <v>27467.064995107645</v>
      </c>
    </row>
    <row r="46" spans="1:35" ht="57.6" x14ac:dyDescent="0.3">
      <c r="A46" s="41" t="s">
        <v>697</v>
      </c>
      <c r="B46" s="41" t="s">
        <v>694</v>
      </c>
      <c r="C46" s="41" t="s">
        <v>676</v>
      </c>
      <c r="D46" s="41" t="s">
        <v>122</v>
      </c>
      <c r="E46" s="41" t="s">
        <v>179</v>
      </c>
      <c r="F46" s="41" t="s">
        <v>712</v>
      </c>
      <c r="G46" s="67">
        <v>211.42857142857142</v>
      </c>
      <c r="H46" s="41">
        <v>450</v>
      </c>
      <c r="I46" s="41">
        <v>5</v>
      </c>
      <c r="J46" s="83">
        <f t="shared" si="0"/>
        <v>475714.28571428568</v>
      </c>
      <c r="K46" s="41"/>
      <c r="L46" s="41"/>
      <c r="M46" s="70">
        <f t="shared" si="1"/>
        <v>0</v>
      </c>
      <c r="N46" s="41">
        <v>450</v>
      </c>
      <c r="O46" s="41">
        <v>5</v>
      </c>
      <c r="P46" s="70">
        <f t="shared" si="2"/>
        <v>575614.2857142858</v>
      </c>
      <c r="Q46" s="41"/>
      <c r="R46" s="41"/>
      <c r="S46" s="70">
        <f t="shared" si="3"/>
        <v>0</v>
      </c>
      <c r="T46" s="41"/>
      <c r="U46" s="41"/>
      <c r="V46" s="70">
        <f t="shared" si="4"/>
        <v>0</v>
      </c>
      <c r="W46" s="41"/>
      <c r="X46" s="41"/>
      <c r="Y46" s="70">
        <f t="shared" si="5"/>
        <v>0</v>
      </c>
      <c r="Z46" s="41"/>
      <c r="AA46" s="41"/>
      <c r="AB46" s="70">
        <f t="shared" si="6"/>
        <v>0</v>
      </c>
      <c r="AC46" s="41">
        <v>450</v>
      </c>
      <c r="AD46" s="41">
        <v>5</v>
      </c>
      <c r="AE46" s="70">
        <f t="shared" si="7"/>
        <v>927032.56328571483</v>
      </c>
      <c r="AF46" s="28">
        <f t="shared" si="8"/>
        <v>1978361.1347142863</v>
      </c>
      <c r="AG46" s="28">
        <f t="shared" si="9"/>
        <v>1935.7741044171098</v>
      </c>
    </row>
    <row r="47" spans="1:35" ht="57.6" x14ac:dyDescent="0.3">
      <c r="A47" s="41" t="s">
        <v>697</v>
      </c>
      <c r="B47" s="41" t="s">
        <v>694</v>
      </c>
      <c r="C47" s="41" t="s">
        <v>676</v>
      </c>
      <c r="D47" s="41" t="s">
        <v>122</v>
      </c>
      <c r="E47" s="41" t="s">
        <v>179</v>
      </c>
      <c r="F47" s="41" t="s">
        <v>1299</v>
      </c>
      <c r="G47" s="67">
        <v>211.42857142857142</v>
      </c>
      <c r="H47" s="41">
        <v>2430</v>
      </c>
      <c r="I47" s="41">
        <v>1</v>
      </c>
      <c r="J47" s="83">
        <f t="shared" si="0"/>
        <v>513771.42857142852</v>
      </c>
      <c r="K47" s="41"/>
      <c r="L47" s="41"/>
      <c r="M47" s="70">
        <f t="shared" si="1"/>
        <v>0</v>
      </c>
      <c r="N47" s="41">
        <v>2430</v>
      </c>
      <c r="O47" s="41">
        <v>1</v>
      </c>
      <c r="P47" s="70">
        <f t="shared" si="2"/>
        <v>621663.42857142864</v>
      </c>
      <c r="Q47" s="41"/>
      <c r="R47" s="41"/>
      <c r="S47" s="70">
        <f t="shared" si="3"/>
        <v>0</v>
      </c>
      <c r="T47" s="41"/>
      <c r="U47" s="41"/>
      <c r="V47" s="70">
        <f t="shared" si="4"/>
        <v>0</v>
      </c>
      <c r="W47" s="41"/>
      <c r="X47" s="41"/>
      <c r="Y47" s="70">
        <f t="shared" si="5"/>
        <v>0</v>
      </c>
      <c r="Z47" s="41"/>
      <c r="AA47" s="41"/>
      <c r="AB47" s="70">
        <f t="shared" si="6"/>
        <v>0</v>
      </c>
      <c r="AC47" s="41">
        <v>2430</v>
      </c>
      <c r="AD47" s="41">
        <v>1</v>
      </c>
      <c r="AE47" s="70">
        <f t="shared" si="7"/>
        <v>1001195.1683485721</v>
      </c>
      <c r="AF47" s="28">
        <f t="shared" si="8"/>
        <v>2136630.0254914295</v>
      </c>
      <c r="AG47" s="28">
        <f t="shared" si="9"/>
        <v>2090.6360327704788</v>
      </c>
    </row>
    <row r="48" spans="1:35" ht="57.6" x14ac:dyDescent="0.3">
      <c r="A48" s="41" t="s">
        <v>697</v>
      </c>
      <c r="B48" s="41" t="s">
        <v>694</v>
      </c>
      <c r="C48" s="41" t="s">
        <v>676</v>
      </c>
      <c r="D48" s="41" t="s">
        <v>122</v>
      </c>
      <c r="E48" s="41" t="s">
        <v>179</v>
      </c>
      <c r="F48" s="41" t="s">
        <v>714</v>
      </c>
      <c r="G48" s="67">
        <v>10000</v>
      </c>
      <c r="H48" s="41">
        <v>25</v>
      </c>
      <c r="I48" s="41">
        <v>5</v>
      </c>
      <c r="J48" s="83">
        <f t="shared" si="0"/>
        <v>1250000</v>
      </c>
      <c r="K48" s="41">
        <v>0</v>
      </c>
      <c r="L48" s="41">
        <v>0</v>
      </c>
      <c r="M48" s="70">
        <f t="shared" si="1"/>
        <v>0</v>
      </c>
      <c r="N48" s="41">
        <v>25</v>
      </c>
      <c r="O48" s="41">
        <v>5</v>
      </c>
      <c r="P48" s="70">
        <f t="shared" si="2"/>
        <v>1512500.0000000002</v>
      </c>
      <c r="Q48" s="41">
        <v>0</v>
      </c>
      <c r="R48" s="41">
        <v>0</v>
      </c>
      <c r="S48" s="70">
        <f t="shared" si="3"/>
        <v>0</v>
      </c>
      <c r="T48" s="41">
        <v>0</v>
      </c>
      <c r="U48" s="41">
        <v>0</v>
      </c>
      <c r="V48" s="70">
        <f t="shared" si="4"/>
        <v>0</v>
      </c>
      <c r="W48" s="41">
        <v>0</v>
      </c>
      <c r="X48" s="41">
        <v>0</v>
      </c>
      <c r="Y48" s="70">
        <f t="shared" si="5"/>
        <v>0</v>
      </c>
      <c r="Z48" s="41">
        <v>0</v>
      </c>
      <c r="AA48" s="41">
        <v>0</v>
      </c>
      <c r="AB48" s="70">
        <f t="shared" si="6"/>
        <v>0</v>
      </c>
      <c r="AC48" s="41">
        <v>25</v>
      </c>
      <c r="AD48" s="41">
        <v>5</v>
      </c>
      <c r="AE48" s="70">
        <f t="shared" si="7"/>
        <v>2435896.3750000014</v>
      </c>
      <c r="AF48" s="28">
        <f t="shared" si="8"/>
        <v>5198396.3750000019</v>
      </c>
      <c r="AG48" s="28">
        <f t="shared" si="9"/>
        <v>5086.4935176125264</v>
      </c>
    </row>
    <row r="49" spans="1:33" ht="57.6" x14ac:dyDescent="0.3">
      <c r="A49" s="41" t="s">
        <v>697</v>
      </c>
      <c r="B49" s="41" t="s">
        <v>694</v>
      </c>
      <c r="C49" s="41" t="s">
        <v>676</v>
      </c>
      <c r="D49" s="41" t="s">
        <v>122</v>
      </c>
      <c r="E49" s="41" t="s">
        <v>179</v>
      </c>
      <c r="F49" s="41" t="s">
        <v>712</v>
      </c>
      <c r="G49" s="67">
        <v>214.29</v>
      </c>
      <c r="H49" s="41">
        <v>20000</v>
      </c>
      <c r="I49" s="41">
        <v>1</v>
      </c>
      <c r="J49" s="83">
        <f t="shared" si="0"/>
        <v>4285800</v>
      </c>
      <c r="K49" s="41">
        <v>0</v>
      </c>
      <c r="L49" s="41">
        <v>0</v>
      </c>
      <c r="M49" s="70">
        <f t="shared" si="1"/>
        <v>0</v>
      </c>
      <c r="N49" s="41">
        <v>20000</v>
      </c>
      <c r="O49" s="41">
        <v>1</v>
      </c>
      <c r="P49" s="70">
        <f t="shared" si="2"/>
        <v>5185818</v>
      </c>
      <c r="Q49" s="41">
        <v>0</v>
      </c>
      <c r="R49" s="41">
        <v>0</v>
      </c>
      <c r="S49" s="70">
        <f t="shared" si="3"/>
        <v>0</v>
      </c>
      <c r="T49" s="41">
        <v>0</v>
      </c>
      <c r="U49" s="41">
        <v>0</v>
      </c>
      <c r="V49" s="70">
        <f t="shared" si="4"/>
        <v>0</v>
      </c>
      <c r="W49" s="41">
        <v>0</v>
      </c>
      <c r="X49" s="41">
        <v>0</v>
      </c>
      <c r="Y49" s="70">
        <f t="shared" si="5"/>
        <v>0</v>
      </c>
      <c r="Z49" s="41">
        <v>0</v>
      </c>
      <c r="AA49" s="41">
        <v>0</v>
      </c>
      <c r="AB49" s="70">
        <f t="shared" si="6"/>
        <v>0</v>
      </c>
      <c r="AC49" s="41">
        <v>20000</v>
      </c>
      <c r="AD49" s="41">
        <v>1</v>
      </c>
      <c r="AE49" s="70">
        <f t="shared" si="7"/>
        <v>8351811.7471800055</v>
      </c>
      <c r="AF49" s="28">
        <f t="shared" si="8"/>
        <v>17823429.747180007</v>
      </c>
      <c r="AG49" s="28">
        <f t="shared" si="9"/>
        <v>17439.755134227013</v>
      </c>
    </row>
    <row r="50" spans="1:33" ht="57.6" x14ac:dyDescent="0.3">
      <c r="A50" s="41" t="s">
        <v>697</v>
      </c>
      <c r="B50" s="41" t="s">
        <v>694</v>
      </c>
      <c r="C50" s="41" t="s">
        <v>676</v>
      </c>
      <c r="D50" s="41" t="s">
        <v>122</v>
      </c>
      <c r="E50" s="41" t="s">
        <v>179</v>
      </c>
      <c r="F50" s="41" t="s">
        <v>715</v>
      </c>
      <c r="G50" s="67">
        <v>302000</v>
      </c>
      <c r="H50" s="41">
        <v>25</v>
      </c>
      <c r="I50" s="41">
        <v>1</v>
      </c>
      <c r="J50" s="83">
        <f t="shared" si="0"/>
        <v>7550000</v>
      </c>
      <c r="K50" s="41">
        <v>0</v>
      </c>
      <c r="L50" s="41">
        <v>0</v>
      </c>
      <c r="M50" s="70">
        <f t="shared" si="1"/>
        <v>0</v>
      </c>
      <c r="N50" s="41">
        <v>25</v>
      </c>
      <c r="O50" s="41">
        <v>1</v>
      </c>
      <c r="P50" s="70">
        <f t="shared" si="2"/>
        <v>9135500.0000000019</v>
      </c>
      <c r="Q50" s="41">
        <v>0</v>
      </c>
      <c r="R50" s="41">
        <v>0</v>
      </c>
      <c r="S50" s="70">
        <f t="shared" si="3"/>
        <v>0</v>
      </c>
      <c r="T50" s="41">
        <v>0</v>
      </c>
      <c r="U50" s="41">
        <v>0</v>
      </c>
      <c r="V50" s="70">
        <f t="shared" si="4"/>
        <v>0</v>
      </c>
      <c r="W50" s="41">
        <v>0</v>
      </c>
      <c r="X50" s="41">
        <v>0</v>
      </c>
      <c r="Y50" s="70">
        <f t="shared" si="5"/>
        <v>0</v>
      </c>
      <c r="Z50" s="41">
        <v>0</v>
      </c>
      <c r="AA50" s="41">
        <v>0</v>
      </c>
      <c r="AB50" s="70">
        <f t="shared" si="6"/>
        <v>0</v>
      </c>
      <c r="AC50" s="41">
        <v>25</v>
      </c>
      <c r="AD50" s="41">
        <v>1</v>
      </c>
      <c r="AE50" s="70">
        <f t="shared" si="7"/>
        <v>14712814.10500001</v>
      </c>
      <c r="AF50" s="28">
        <f t="shared" si="8"/>
        <v>31398314.105000012</v>
      </c>
      <c r="AG50" s="28">
        <f t="shared" si="9"/>
        <v>30722.42084637966</v>
      </c>
    </row>
    <row r="51" spans="1:33" ht="57.6" x14ac:dyDescent="0.3">
      <c r="A51" s="41" t="s">
        <v>697</v>
      </c>
      <c r="B51" s="41" t="s">
        <v>694</v>
      </c>
      <c r="C51" s="41" t="s">
        <v>676</v>
      </c>
      <c r="D51" s="41" t="s">
        <v>122</v>
      </c>
      <c r="E51" s="41" t="s">
        <v>152</v>
      </c>
      <c r="F51" s="41" t="s">
        <v>716</v>
      </c>
      <c r="G51" s="67">
        <v>39000</v>
      </c>
      <c r="H51" s="41">
        <v>25</v>
      </c>
      <c r="I51" s="41">
        <v>6</v>
      </c>
      <c r="J51" s="83">
        <f t="shared" si="0"/>
        <v>5850000</v>
      </c>
      <c r="K51" s="41">
        <v>0</v>
      </c>
      <c r="L51" s="41">
        <v>0</v>
      </c>
      <c r="M51" s="70">
        <f t="shared" si="1"/>
        <v>0</v>
      </c>
      <c r="N51" s="41">
        <v>25</v>
      </c>
      <c r="O51" s="41">
        <v>6</v>
      </c>
      <c r="P51" s="70">
        <f t="shared" si="2"/>
        <v>7078500.0000000019</v>
      </c>
      <c r="Q51" s="41">
        <v>0</v>
      </c>
      <c r="R51" s="41">
        <v>0</v>
      </c>
      <c r="S51" s="70">
        <f t="shared" si="3"/>
        <v>0</v>
      </c>
      <c r="T51" s="41">
        <v>0</v>
      </c>
      <c r="U51" s="41">
        <v>0</v>
      </c>
      <c r="V51" s="70">
        <f t="shared" si="4"/>
        <v>0</v>
      </c>
      <c r="W51" s="41">
        <v>0</v>
      </c>
      <c r="X51" s="41">
        <v>0</v>
      </c>
      <c r="Y51" s="70">
        <f t="shared" si="5"/>
        <v>0</v>
      </c>
      <c r="Z51" s="41">
        <v>0</v>
      </c>
      <c r="AA51" s="41">
        <v>0</v>
      </c>
      <c r="AB51" s="70">
        <f t="shared" si="6"/>
        <v>0</v>
      </c>
      <c r="AC51" s="41">
        <v>25</v>
      </c>
      <c r="AD51" s="41">
        <v>6</v>
      </c>
      <c r="AE51" s="70">
        <f t="shared" si="7"/>
        <v>11399995.035000006</v>
      </c>
      <c r="AF51" s="28">
        <f t="shared" si="8"/>
        <v>24328495.035000008</v>
      </c>
      <c r="AG51" s="28">
        <f t="shared" si="9"/>
        <v>23804.789662426621</v>
      </c>
    </row>
    <row r="52" spans="1:33" ht="57.6" x14ac:dyDescent="0.3">
      <c r="A52" s="41" t="s">
        <v>697</v>
      </c>
      <c r="B52" s="41" t="s">
        <v>694</v>
      </c>
      <c r="C52" s="41" t="s">
        <v>676</v>
      </c>
      <c r="D52" s="41" t="s">
        <v>122</v>
      </c>
      <c r="E52" s="41" t="s">
        <v>152</v>
      </c>
      <c r="F52" s="41" t="s">
        <v>709</v>
      </c>
      <c r="G52" s="67">
        <v>35000</v>
      </c>
      <c r="H52" s="41">
        <v>25</v>
      </c>
      <c r="I52" s="41">
        <v>5</v>
      </c>
      <c r="J52" s="83">
        <f t="shared" si="0"/>
        <v>4375000</v>
      </c>
      <c r="K52" s="41">
        <v>0</v>
      </c>
      <c r="L52" s="41">
        <v>0</v>
      </c>
      <c r="M52" s="70">
        <f t="shared" si="1"/>
        <v>0</v>
      </c>
      <c r="N52" s="41">
        <v>25</v>
      </c>
      <c r="O52" s="41">
        <v>5</v>
      </c>
      <c r="P52" s="70">
        <f t="shared" si="2"/>
        <v>5293750.0000000009</v>
      </c>
      <c r="Q52" s="41">
        <v>0</v>
      </c>
      <c r="R52" s="41">
        <v>0</v>
      </c>
      <c r="S52" s="70">
        <f t="shared" si="3"/>
        <v>0</v>
      </c>
      <c r="T52" s="41">
        <v>0</v>
      </c>
      <c r="U52" s="41">
        <v>0</v>
      </c>
      <c r="V52" s="70">
        <f t="shared" si="4"/>
        <v>0</v>
      </c>
      <c r="W52" s="41">
        <v>0</v>
      </c>
      <c r="X52" s="41">
        <v>0</v>
      </c>
      <c r="Y52" s="70">
        <f t="shared" si="5"/>
        <v>0</v>
      </c>
      <c r="Z52" s="41">
        <v>0</v>
      </c>
      <c r="AA52" s="41">
        <v>0</v>
      </c>
      <c r="AB52" s="70">
        <f t="shared" si="6"/>
        <v>0</v>
      </c>
      <c r="AC52" s="41">
        <v>25</v>
      </c>
      <c r="AD52" s="41">
        <v>5</v>
      </c>
      <c r="AE52" s="70">
        <f t="shared" si="7"/>
        <v>8525637.3125000037</v>
      </c>
      <c r="AF52" s="28">
        <f t="shared" si="8"/>
        <v>18194387.312500004</v>
      </c>
      <c r="AG52" s="28">
        <f t="shared" si="9"/>
        <v>17802.727311643841</v>
      </c>
    </row>
    <row r="53" spans="1:33" ht="57.6" x14ac:dyDescent="0.3">
      <c r="A53" s="41" t="s">
        <v>697</v>
      </c>
      <c r="B53" s="41" t="s">
        <v>694</v>
      </c>
      <c r="C53" s="41" t="s">
        <v>676</v>
      </c>
      <c r="D53" s="41" t="s">
        <v>122</v>
      </c>
      <c r="E53" s="41" t="s">
        <v>152</v>
      </c>
      <c r="F53" s="41" t="s">
        <v>712</v>
      </c>
      <c r="G53" s="67">
        <v>211.42857142857142</v>
      </c>
      <c r="H53" s="41">
        <v>450</v>
      </c>
      <c r="I53" s="41">
        <v>5</v>
      </c>
      <c r="J53" s="83">
        <f t="shared" si="0"/>
        <v>475714.28571428568</v>
      </c>
      <c r="K53" s="41">
        <v>0</v>
      </c>
      <c r="L53" s="41">
        <v>0</v>
      </c>
      <c r="M53" s="70">
        <f t="shared" si="1"/>
        <v>0</v>
      </c>
      <c r="N53" s="41">
        <v>450</v>
      </c>
      <c r="O53" s="41">
        <v>5</v>
      </c>
      <c r="P53" s="70">
        <f t="shared" si="2"/>
        <v>575614.2857142858</v>
      </c>
      <c r="Q53" s="41">
        <v>0</v>
      </c>
      <c r="R53" s="41">
        <v>0</v>
      </c>
      <c r="S53" s="70">
        <f t="shared" si="3"/>
        <v>0</v>
      </c>
      <c r="T53" s="41">
        <v>0</v>
      </c>
      <c r="U53" s="41">
        <v>0</v>
      </c>
      <c r="V53" s="70">
        <f t="shared" si="4"/>
        <v>0</v>
      </c>
      <c r="W53" s="41">
        <v>0</v>
      </c>
      <c r="X53" s="41">
        <v>0</v>
      </c>
      <c r="Y53" s="70">
        <f t="shared" si="5"/>
        <v>0</v>
      </c>
      <c r="Z53" s="41">
        <v>0</v>
      </c>
      <c r="AA53" s="41">
        <v>0</v>
      </c>
      <c r="AB53" s="70">
        <f t="shared" si="6"/>
        <v>0</v>
      </c>
      <c r="AC53" s="41">
        <v>450</v>
      </c>
      <c r="AD53" s="41">
        <v>5</v>
      </c>
      <c r="AE53" s="70">
        <f t="shared" si="7"/>
        <v>927032.56328571483</v>
      </c>
      <c r="AF53" s="28">
        <f t="shared" si="8"/>
        <v>1978361.1347142863</v>
      </c>
      <c r="AG53" s="28">
        <f t="shared" si="9"/>
        <v>1935.7741044171098</v>
      </c>
    </row>
    <row r="54" spans="1:33" ht="57.6" x14ac:dyDescent="0.3">
      <c r="A54" s="41" t="s">
        <v>697</v>
      </c>
      <c r="B54" s="41" t="s">
        <v>694</v>
      </c>
      <c r="C54" s="41" t="s">
        <v>676</v>
      </c>
      <c r="D54" s="41" t="s">
        <v>122</v>
      </c>
      <c r="E54" s="41" t="s">
        <v>152</v>
      </c>
      <c r="F54" s="41" t="s">
        <v>1299</v>
      </c>
      <c r="G54" s="67">
        <v>211.42857142857142</v>
      </c>
      <c r="H54" s="41">
        <v>2430</v>
      </c>
      <c r="I54" s="41">
        <v>1</v>
      </c>
      <c r="J54" s="83">
        <f t="shared" si="0"/>
        <v>513771.42857142852</v>
      </c>
      <c r="K54" s="41"/>
      <c r="L54" s="41"/>
      <c r="M54" s="70">
        <f t="shared" si="1"/>
        <v>0</v>
      </c>
      <c r="N54" s="41">
        <v>2430</v>
      </c>
      <c r="O54" s="41">
        <v>1</v>
      </c>
      <c r="P54" s="70">
        <f t="shared" si="2"/>
        <v>621663.42857142864</v>
      </c>
      <c r="Q54" s="41"/>
      <c r="R54" s="41"/>
      <c r="S54" s="70">
        <f t="shared" si="3"/>
        <v>0</v>
      </c>
      <c r="T54" s="41"/>
      <c r="U54" s="41"/>
      <c r="V54" s="70">
        <f t="shared" si="4"/>
        <v>0</v>
      </c>
      <c r="W54" s="41"/>
      <c r="X54" s="41"/>
      <c r="Y54" s="70">
        <f t="shared" si="5"/>
        <v>0</v>
      </c>
      <c r="Z54" s="41"/>
      <c r="AA54" s="41"/>
      <c r="AB54" s="70">
        <f t="shared" si="6"/>
        <v>0</v>
      </c>
      <c r="AC54" s="41">
        <v>2430</v>
      </c>
      <c r="AD54" s="41">
        <v>1</v>
      </c>
      <c r="AE54" s="70">
        <f t="shared" si="7"/>
        <v>1001195.1683485721</v>
      </c>
      <c r="AF54" s="28">
        <f t="shared" si="8"/>
        <v>2136630.0254914295</v>
      </c>
      <c r="AG54" s="28">
        <f t="shared" si="9"/>
        <v>2090.6360327704788</v>
      </c>
    </row>
    <row r="55" spans="1:33" ht="57.6" x14ac:dyDescent="0.3">
      <c r="A55" s="41" t="s">
        <v>697</v>
      </c>
      <c r="B55" s="41" t="s">
        <v>694</v>
      </c>
      <c r="C55" s="41" t="s">
        <v>676</v>
      </c>
      <c r="D55" s="41" t="s">
        <v>122</v>
      </c>
      <c r="E55" s="41" t="s">
        <v>180</v>
      </c>
      <c r="F55" s="41" t="s">
        <v>716</v>
      </c>
      <c r="G55" s="67">
        <v>39000</v>
      </c>
      <c r="H55" s="41">
        <v>25</v>
      </c>
      <c r="I55" s="41">
        <v>6</v>
      </c>
      <c r="J55" s="83">
        <f t="shared" si="0"/>
        <v>5850000</v>
      </c>
      <c r="K55" s="41">
        <v>0</v>
      </c>
      <c r="L55" s="41">
        <v>0</v>
      </c>
      <c r="M55" s="70">
        <f t="shared" si="1"/>
        <v>0</v>
      </c>
      <c r="N55" s="41">
        <v>25</v>
      </c>
      <c r="O55" s="41">
        <v>6</v>
      </c>
      <c r="P55" s="70">
        <f t="shared" si="2"/>
        <v>7078500.0000000019</v>
      </c>
      <c r="Q55" s="41">
        <v>0</v>
      </c>
      <c r="R55" s="41">
        <v>0</v>
      </c>
      <c r="S55" s="70">
        <f t="shared" si="3"/>
        <v>0</v>
      </c>
      <c r="T55" s="41">
        <v>0</v>
      </c>
      <c r="U55" s="41">
        <v>0</v>
      </c>
      <c r="V55" s="70">
        <f t="shared" si="4"/>
        <v>0</v>
      </c>
      <c r="W55" s="41">
        <v>0</v>
      </c>
      <c r="X55" s="41">
        <v>0</v>
      </c>
      <c r="Y55" s="70">
        <f t="shared" si="5"/>
        <v>0</v>
      </c>
      <c r="Z55" s="41">
        <v>0</v>
      </c>
      <c r="AA55" s="41">
        <v>0</v>
      </c>
      <c r="AB55" s="70">
        <f t="shared" si="6"/>
        <v>0</v>
      </c>
      <c r="AC55" s="41">
        <v>25</v>
      </c>
      <c r="AD55" s="41">
        <v>6</v>
      </c>
      <c r="AE55" s="70">
        <f t="shared" si="7"/>
        <v>11399995.035000006</v>
      </c>
      <c r="AF55" s="28">
        <f t="shared" si="8"/>
        <v>24328495.035000008</v>
      </c>
      <c r="AG55" s="28">
        <f t="shared" si="9"/>
        <v>23804.789662426621</v>
      </c>
    </row>
    <row r="56" spans="1:33" ht="57.6" x14ac:dyDescent="0.3">
      <c r="A56" s="41" t="s">
        <v>697</v>
      </c>
      <c r="B56" s="41" t="s">
        <v>694</v>
      </c>
      <c r="C56" s="41" t="s">
        <v>676</v>
      </c>
      <c r="D56" s="41" t="s">
        <v>122</v>
      </c>
      <c r="E56" s="41" t="s">
        <v>180</v>
      </c>
      <c r="F56" s="41" t="s">
        <v>709</v>
      </c>
      <c r="G56" s="67">
        <v>35000</v>
      </c>
      <c r="H56" s="41">
        <v>25</v>
      </c>
      <c r="I56" s="41">
        <v>5</v>
      </c>
      <c r="J56" s="83">
        <f t="shared" si="0"/>
        <v>4375000</v>
      </c>
      <c r="K56" s="41">
        <v>0</v>
      </c>
      <c r="L56" s="41">
        <v>0</v>
      </c>
      <c r="M56" s="70">
        <f t="shared" si="1"/>
        <v>0</v>
      </c>
      <c r="N56" s="41">
        <v>25</v>
      </c>
      <c r="O56" s="41">
        <v>5</v>
      </c>
      <c r="P56" s="70">
        <f t="shared" si="2"/>
        <v>5293750.0000000009</v>
      </c>
      <c r="Q56" s="41">
        <v>0</v>
      </c>
      <c r="R56" s="41">
        <v>0</v>
      </c>
      <c r="S56" s="70">
        <f t="shared" si="3"/>
        <v>0</v>
      </c>
      <c r="T56" s="41">
        <v>0</v>
      </c>
      <c r="U56" s="41">
        <v>0</v>
      </c>
      <c r="V56" s="70">
        <f t="shared" si="4"/>
        <v>0</v>
      </c>
      <c r="W56" s="41">
        <v>0</v>
      </c>
      <c r="X56" s="41">
        <v>0</v>
      </c>
      <c r="Y56" s="70">
        <f t="shared" si="5"/>
        <v>0</v>
      </c>
      <c r="Z56" s="41">
        <v>0</v>
      </c>
      <c r="AA56" s="41">
        <v>0</v>
      </c>
      <c r="AB56" s="70">
        <f t="shared" si="6"/>
        <v>0</v>
      </c>
      <c r="AC56" s="41">
        <v>25</v>
      </c>
      <c r="AD56" s="41">
        <v>5</v>
      </c>
      <c r="AE56" s="70">
        <f t="shared" si="7"/>
        <v>8525637.3125000037</v>
      </c>
      <c r="AF56" s="28">
        <f t="shared" si="8"/>
        <v>18194387.312500004</v>
      </c>
      <c r="AG56" s="28">
        <f t="shared" si="9"/>
        <v>17802.727311643841</v>
      </c>
    </row>
    <row r="57" spans="1:33" ht="57.6" x14ac:dyDescent="0.3">
      <c r="A57" s="41" t="s">
        <v>697</v>
      </c>
      <c r="B57" s="41" t="s">
        <v>694</v>
      </c>
      <c r="C57" s="41" t="s">
        <v>676</v>
      </c>
      <c r="D57" s="41" t="s">
        <v>122</v>
      </c>
      <c r="E57" s="41" t="s">
        <v>180</v>
      </c>
      <c r="F57" s="41" t="s">
        <v>712</v>
      </c>
      <c r="G57" s="67">
        <v>211.42857142857142</v>
      </c>
      <c r="H57" s="41">
        <v>450</v>
      </c>
      <c r="I57" s="41">
        <v>5</v>
      </c>
      <c r="J57" s="83">
        <f t="shared" si="0"/>
        <v>475714.28571428568</v>
      </c>
      <c r="K57" s="41">
        <v>0</v>
      </c>
      <c r="L57" s="41">
        <v>0</v>
      </c>
      <c r="M57" s="70">
        <f t="shared" si="1"/>
        <v>0</v>
      </c>
      <c r="N57" s="41">
        <v>450</v>
      </c>
      <c r="O57" s="41">
        <v>5</v>
      </c>
      <c r="P57" s="70">
        <f t="shared" si="2"/>
        <v>575614.2857142858</v>
      </c>
      <c r="Q57" s="41">
        <v>0</v>
      </c>
      <c r="R57" s="41">
        <v>0</v>
      </c>
      <c r="S57" s="70">
        <f t="shared" si="3"/>
        <v>0</v>
      </c>
      <c r="T57" s="41">
        <v>0</v>
      </c>
      <c r="U57" s="41">
        <v>0</v>
      </c>
      <c r="V57" s="70">
        <f t="shared" si="4"/>
        <v>0</v>
      </c>
      <c r="W57" s="41">
        <v>0</v>
      </c>
      <c r="X57" s="41">
        <v>0</v>
      </c>
      <c r="Y57" s="70">
        <f t="shared" si="5"/>
        <v>0</v>
      </c>
      <c r="Z57" s="41">
        <v>0</v>
      </c>
      <c r="AA57" s="41">
        <v>0</v>
      </c>
      <c r="AB57" s="70">
        <f t="shared" si="6"/>
        <v>0</v>
      </c>
      <c r="AC57" s="41">
        <v>450</v>
      </c>
      <c r="AD57" s="41">
        <v>5</v>
      </c>
      <c r="AE57" s="70">
        <f t="shared" si="7"/>
        <v>927032.56328571483</v>
      </c>
      <c r="AF57" s="28">
        <f t="shared" si="8"/>
        <v>1978361.1347142863</v>
      </c>
      <c r="AG57" s="28">
        <f t="shared" si="9"/>
        <v>1935.7741044171098</v>
      </c>
    </row>
    <row r="58" spans="1:33" ht="57.6" x14ac:dyDescent="0.3">
      <c r="A58" s="41" t="s">
        <v>697</v>
      </c>
      <c r="B58" s="41" t="s">
        <v>694</v>
      </c>
      <c r="C58" s="41" t="s">
        <v>676</v>
      </c>
      <c r="D58" s="41" t="s">
        <v>122</v>
      </c>
      <c r="E58" s="41" t="s">
        <v>180</v>
      </c>
      <c r="F58" s="41" t="s">
        <v>1299</v>
      </c>
      <c r="G58" s="67">
        <v>211.42857142857142</v>
      </c>
      <c r="H58" s="41">
        <v>2430</v>
      </c>
      <c r="I58" s="41">
        <v>1</v>
      </c>
      <c r="J58" s="83">
        <f t="shared" si="0"/>
        <v>513771.42857142852</v>
      </c>
      <c r="K58" s="41"/>
      <c r="L58" s="41"/>
      <c r="M58" s="70">
        <f t="shared" si="1"/>
        <v>0</v>
      </c>
      <c r="N58" s="41">
        <v>2430</v>
      </c>
      <c r="O58" s="41">
        <v>1</v>
      </c>
      <c r="P58" s="70">
        <f t="shared" si="2"/>
        <v>621663.42857142864</v>
      </c>
      <c r="Q58" s="41"/>
      <c r="R58" s="41"/>
      <c r="S58" s="70">
        <f t="shared" si="3"/>
        <v>0</v>
      </c>
      <c r="T58" s="41"/>
      <c r="U58" s="41"/>
      <c r="V58" s="70">
        <f t="shared" si="4"/>
        <v>0</v>
      </c>
      <c r="W58" s="41"/>
      <c r="X58" s="41"/>
      <c r="Y58" s="70">
        <f t="shared" si="5"/>
        <v>0</v>
      </c>
      <c r="Z58" s="41"/>
      <c r="AA58" s="41"/>
      <c r="AB58" s="70">
        <f t="shared" si="6"/>
        <v>0</v>
      </c>
      <c r="AC58" s="41">
        <v>2430</v>
      </c>
      <c r="AD58" s="41">
        <v>1</v>
      </c>
      <c r="AE58" s="70">
        <f t="shared" si="7"/>
        <v>1001195.1683485721</v>
      </c>
      <c r="AF58" s="28">
        <f t="shared" si="8"/>
        <v>2136630.0254914295</v>
      </c>
      <c r="AG58" s="28">
        <f t="shared" si="9"/>
        <v>2090.6360327704788</v>
      </c>
    </row>
    <row r="59" spans="1:33" ht="57.6" x14ac:dyDescent="0.3">
      <c r="A59" s="41" t="s">
        <v>697</v>
      </c>
      <c r="B59" s="41" t="s">
        <v>694</v>
      </c>
      <c r="C59" s="41" t="s">
        <v>676</v>
      </c>
      <c r="D59" s="41" t="s">
        <v>122</v>
      </c>
      <c r="E59" s="41" t="s">
        <v>181</v>
      </c>
      <c r="F59" s="41" t="s">
        <v>709</v>
      </c>
      <c r="G59" s="67">
        <v>35000</v>
      </c>
      <c r="H59" s="41">
        <v>100</v>
      </c>
      <c r="I59" s="41">
        <v>5</v>
      </c>
      <c r="J59" s="83">
        <f t="shared" si="0"/>
        <v>17500000</v>
      </c>
      <c r="K59" s="41">
        <v>0</v>
      </c>
      <c r="L59" s="41">
        <v>0</v>
      </c>
      <c r="M59" s="70">
        <f t="shared" si="1"/>
        <v>0</v>
      </c>
      <c r="N59" s="41">
        <v>100</v>
      </c>
      <c r="O59" s="41">
        <v>5</v>
      </c>
      <c r="P59" s="70">
        <f t="shared" si="2"/>
        <v>21175000.000000004</v>
      </c>
      <c r="Q59" s="41">
        <v>0</v>
      </c>
      <c r="R59" s="41">
        <v>0</v>
      </c>
      <c r="S59" s="70">
        <f t="shared" si="3"/>
        <v>0</v>
      </c>
      <c r="T59" s="41">
        <v>0</v>
      </c>
      <c r="U59" s="41">
        <v>0</v>
      </c>
      <c r="V59" s="70">
        <f t="shared" si="4"/>
        <v>0</v>
      </c>
      <c r="W59" s="41">
        <v>0</v>
      </c>
      <c r="X59" s="41">
        <v>0</v>
      </c>
      <c r="Y59" s="70">
        <f t="shared" si="5"/>
        <v>0</v>
      </c>
      <c r="Z59" s="41">
        <v>0</v>
      </c>
      <c r="AA59" s="41">
        <v>0</v>
      </c>
      <c r="AB59" s="70">
        <f t="shared" si="6"/>
        <v>0</v>
      </c>
      <c r="AC59" s="41">
        <v>100</v>
      </c>
      <c r="AD59" s="41">
        <v>5</v>
      </c>
      <c r="AE59" s="70">
        <f t="shared" si="7"/>
        <v>34102549.250000015</v>
      </c>
      <c r="AF59" s="28">
        <f t="shared" si="8"/>
        <v>72777549.250000015</v>
      </c>
      <c r="AG59" s="28">
        <f t="shared" si="9"/>
        <v>71210.909246575364</v>
      </c>
    </row>
    <row r="60" spans="1:33" ht="57.6" x14ac:dyDescent="0.3">
      <c r="A60" s="41" t="s">
        <v>697</v>
      </c>
      <c r="B60" s="41" t="s">
        <v>694</v>
      </c>
      <c r="C60" s="41" t="s">
        <v>676</v>
      </c>
      <c r="D60" s="41" t="s">
        <v>122</v>
      </c>
      <c r="E60" s="41" t="s">
        <v>181</v>
      </c>
      <c r="F60" s="41" t="s">
        <v>716</v>
      </c>
      <c r="G60" s="67">
        <v>39000</v>
      </c>
      <c r="H60" s="41">
        <v>58</v>
      </c>
      <c r="I60" s="41">
        <v>6</v>
      </c>
      <c r="J60" s="83">
        <f t="shared" si="0"/>
        <v>13572000</v>
      </c>
      <c r="K60" s="41"/>
      <c r="L60" s="41"/>
      <c r="M60" s="70">
        <f t="shared" si="1"/>
        <v>0</v>
      </c>
      <c r="N60" s="41">
        <v>58</v>
      </c>
      <c r="O60" s="41">
        <v>6</v>
      </c>
      <c r="P60" s="70">
        <f t="shared" si="2"/>
        <v>16422120.000000004</v>
      </c>
      <c r="Q60" s="41"/>
      <c r="R60" s="41"/>
      <c r="S60" s="70">
        <f t="shared" si="3"/>
        <v>0</v>
      </c>
      <c r="T60" s="41"/>
      <c r="U60" s="41"/>
      <c r="V60" s="70">
        <f t="shared" si="4"/>
        <v>0</v>
      </c>
      <c r="W60" s="41"/>
      <c r="X60" s="41"/>
      <c r="Y60" s="70">
        <f t="shared" si="5"/>
        <v>0</v>
      </c>
      <c r="Z60" s="41"/>
      <c r="AA60" s="41"/>
      <c r="AB60" s="70">
        <f t="shared" si="6"/>
        <v>0</v>
      </c>
      <c r="AC60" s="41">
        <v>58</v>
      </c>
      <c r="AD60" s="41">
        <v>6</v>
      </c>
      <c r="AE60" s="70">
        <f t="shared" si="7"/>
        <v>26447988.481200017</v>
      </c>
      <c r="AF60" s="28">
        <f t="shared" si="8"/>
        <v>56442108.481200024</v>
      </c>
      <c r="AG60" s="28">
        <f t="shared" si="9"/>
        <v>55227.112016829771</v>
      </c>
    </row>
    <row r="61" spans="1:33" ht="57.6" x14ac:dyDescent="0.3">
      <c r="A61" s="41" t="s">
        <v>697</v>
      </c>
      <c r="B61" s="41" t="s">
        <v>694</v>
      </c>
      <c r="C61" s="41" t="s">
        <v>676</v>
      </c>
      <c r="D61" s="41" t="s">
        <v>122</v>
      </c>
      <c r="E61" s="41" t="s">
        <v>181</v>
      </c>
      <c r="F61" s="41" t="s">
        <v>712</v>
      </c>
      <c r="G61" s="67">
        <v>211.42857142857142</v>
      </c>
      <c r="H61" s="41">
        <v>1450</v>
      </c>
      <c r="I61" s="41">
        <v>5</v>
      </c>
      <c r="J61" s="83">
        <f t="shared" si="0"/>
        <v>1532857.1428571427</v>
      </c>
      <c r="K61" s="41"/>
      <c r="L61" s="41"/>
      <c r="M61" s="70">
        <f t="shared" si="1"/>
        <v>0</v>
      </c>
      <c r="N61" s="41">
        <v>1450</v>
      </c>
      <c r="O61" s="41">
        <v>5</v>
      </c>
      <c r="P61" s="70">
        <f t="shared" si="2"/>
        <v>1854757.142857143</v>
      </c>
      <c r="Q61" s="41"/>
      <c r="R61" s="41"/>
      <c r="S61" s="70">
        <f t="shared" si="3"/>
        <v>0</v>
      </c>
      <c r="T61" s="41"/>
      <c r="U61" s="41"/>
      <c r="V61" s="70">
        <f t="shared" si="4"/>
        <v>0</v>
      </c>
      <c r="W61" s="41"/>
      <c r="X61" s="41"/>
      <c r="Y61" s="70">
        <f t="shared" si="5"/>
        <v>0</v>
      </c>
      <c r="Z61" s="41"/>
      <c r="AA61" s="41"/>
      <c r="AB61" s="70">
        <f t="shared" si="6"/>
        <v>0</v>
      </c>
      <c r="AC61" s="41">
        <v>1450</v>
      </c>
      <c r="AD61" s="41">
        <v>5</v>
      </c>
      <c r="AE61" s="70">
        <f t="shared" si="7"/>
        <v>2987104.9261428593</v>
      </c>
      <c r="AF61" s="28">
        <f t="shared" si="8"/>
        <v>6374719.2118571447</v>
      </c>
      <c r="AG61" s="28">
        <f t="shared" si="9"/>
        <v>6237.4943364551318</v>
      </c>
    </row>
    <row r="62" spans="1:33" ht="57.6" x14ac:dyDescent="0.3">
      <c r="A62" s="41" t="s">
        <v>697</v>
      </c>
      <c r="B62" s="41" t="s">
        <v>694</v>
      </c>
      <c r="C62" s="41" t="s">
        <v>676</v>
      </c>
      <c r="D62" s="41" t="s">
        <v>122</v>
      </c>
      <c r="E62" s="41" t="s">
        <v>181</v>
      </c>
      <c r="F62" s="41" t="s">
        <v>1299</v>
      </c>
      <c r="G62" s="67">
        <v>211.42857142857142</v>
      </c>
      <c r="H62" s="41">
        <v>22500</v>
      </c>
      <c r="I62" s="41">
        <v>1</v>
      </c>
      <c r="J62" s="83">
        <f t="shared" si="0"/>
        <v>4757142.8571428573</v>
      </c>
      <c r="K62" s="41"/>
      <c r="L62" s="41"/>
      <c r="M62" s="70">
        <f t="shared" si="1"/>
        <v>0</v>
      </c>
      <c r="N62" s="41">
        <v>22500</v>
      </c>
      <c r="O62" s="41">
        <v>1</v>
      </c>
      <c r="P62" s="70">
        <f t="shared" si="2"/>
        <v>5756142.8571428573</v>
      </c>
      <c r="Q62" s="41"/>
      <c r="R62" s="41"/>
      <c r="S62" s="70">
        <f t="shared" si="3"/>
        <v>0</v>
      </c>
      <c r="T62" s="41"/>
      <c r="U62" s="41"/>
      <c r="V62" s="70">
        <f t="shared" si="4"/>
        <v>0</v>
      </c>
      <c r="W62" s="41"/>
      <c r="X62" s="41"/>
      <c r="Y62" s="70">
        <f t="shared" si="5"/>
        <v>0</v>
      </c>
      <c r="Z62" s="41"/>
      <c r="AA62" s="41"/>
      <c r="AB62" s="70">
        <f t="shared" si="6"/>
        <v>0</v>
      </c>
      <c r="AC62" s="41">
        <v>22500</v>
      </c>
      <c r="AD62" s="41">
        <v>1</v>
      </c>
      <c r="AE62" s="70">
        <f t="shared" si="7"/>
        <v>9270325.6328571495</v>
      </c>
      <c r="AF62" s="28">
        <f t="shared" si="8"/>
        <v>19783611.347142864</v>
      </c>
      <c r="AG62" s="28">
        <f t="shared" si="9"/>
        <v>19357.7410441711</v>
      </c>
    </row>
    <row r="63" spans="1:33" ht="57.6" x14ac:dyDescent="0.3">
      <c r="A63" s="41" t="s">
        <v>697</v>
      </c>
      <c r="B63" s="41" t="s">
        <v>694</v>
      </c>
      <c r="C63" s="41" t="s">
        <v>676</v>
      </c>
      <c r="D63" s="41" t="s">
        <v>122</v>
      </c>
      <c r="E63" s="41" t="s">
        <v>579</v>
      </c>
      <c r="F63" s="41" t="s">
        <v>709</v>
      </c>
      <c r="G63" s="67">
        <v>35000</v>
      </c>
      <c r="H63" s="41">
        <v>50</v>
      </c>
      <c r="I63" s="41">
        <v>1</v>
      </c>
      <c r="J63" s="83">
        <f t="shared" si="0"/>
        <v>1750000</v>
      </c>
      <c r="K63" s="41">
        <v>0</v>
      </c>
      <c r="L63" s="41">
        <v>0</v>
      </c>
      <c r="M63" s="70">
        <f t="shared" si="1"/>
        <v>0</v>
      </c>
      <c r="N63" s="41">
        <v>50</v>
      </c>
      <c r="O63" s="41">
        <v>1</v>
      </c>
      <c r="P63" s="70">
        <f t="shared" si="2"/>
        <v>2117500.0000000005</v>
      </c>
      <c r="Q63" s="41">
        <v>0</v>
      </c>
      <c r="R63" s="41">
        <v>0</v>
      </c>
      <c r="S63" s="70">
        <f t="shared" si="3"/>
        <v>0</v>
      </c>
      <c r="T63" s="41">
        <v>0</v>
      </c>
      <c r="U63" s="41">
        <v>0</v>
      </c>
      <c r="V63" s="70">
        <f t="shared" si="4"/>
        <v>0</v>
      </c>
      <c r="W63" s="41">
        <v>0</v>
      </c>
      <c r="X63" s="41">
        <v>0</v>
      </c>
      <c r="Y63" s="70">
        <f t="shared" si="5"/>
        <v>0</v>
      </c>
      <c r="Z63" s="41">
        <v>0</v>
      </c>
      <c r="AA63" s="41">
        <v>0</v>
      </c>
      <c r="AB63" s="70">
        <f t="shared" si="6"/>
        <v>0</v>
      </c>
      <c r="AC63" s="41">
        <v>50</v>
      </c>
      <c r="AD63" s="41">
        <v>1</v>
      </c>
      <c r="AE63" s="70">
        <f t="shared" si="7"/>
        <v>3410254.9250000017</v>
      </c>
      <c r="AF63" s="28">
        <f t="shared" si="8"/>
        <v>7277754.9250000026</v>
      </c>
      <c r="AG63" s="28">
        <f t="shared" si="9"/>
        <v>7121.0909246575366</v>
      </c>
    </row>
    <row r="64" spans="1:33" ht="57.6" x14ac:dyDescent="0.3">
      <c r="A64" s="41" t="s">
        <v>697</v>
      </c>
      <c r="B64" s="41" t="s">
        <v>694</v>
      </c>
      <c r="C64" s="41" t="s">
        <v>676</v>
      </c>
      <c r="D64" s="41" t="s">
        <v>122</v>
      </c>
      <c r="E64" s="41" t="s">
        <v>579</v>
      </c>
      <c r="F64" s="41" t="s">
        <v>1318</v>
      </c>
      <c r="G64" s="67">
        <v>8000</v>
      </c>
      <c r="H64" s="41">
        <v>50000</v>
      </c>
      <c r="I64" s="41">
        <v>1</v>
      </c>
      <c r="J64" s="83">
        <f t="shared" si="0"/>
        <v>400000000</v>
      </c>
      <c r="K64" s="41">
        <v>0</v>
      </c>
      <c r="L64" s="41">
        <v>0</v>
      </c>
      <c r="M64" s="70">
        <f t="shared" si="1"/>
        <v>0</v>
      </c>
      <c r="N64" s="41">
        <v>50000</v>
      </c>
      <c r="O64" s="41">
        <v>1</v>
      </c>
      <c r="P64" s="70">
        <f t="shared" si="2"/>
        <v>484000000.00000012</v>
      </c>
      <c r="Q64" s="41">
        <v>0</v>
      </c>
      <c r="R64" s="41">
        <v>0</v>
      </c>
      <c r="S64" s="70">
        <f t="shared" si="3"/>
        <v>0</v>
      </c>
      <c r="T64" s="41">
        <v>0</v>
      </c>
      <c r="U64" s="41">
        <v>0</v>
      </c>
      <c r="V64" s="70">
        <f t="shared" si="4"/>
        <v>0</v>
      </c>
      <c r="W64" s="41">
        <v>0</v>
      </c>
      <c r="X64" s="41">
        <v>0</v>
      </c>
      <c r="Y64" s="70">
        <f t="shared" si="5"/>
        <v>0</v>
      </c>
      <c r="Z64" s="41">
        <v>0</v>
      </c>
      <c r="AA64" s="41">
        <v>0</v>
      </c>
      <c r="AB64" s="70">
        <f t="shared" si="6"/>
        <v>0</v>
      </c>
      <c r="AC64" s="41">
        <v>50000</v>
      </c>
      <c r="AD64" s="41">
        <v>1</v>
      </c>
      <c r="AE64" s="70">
        <f t="shared" si="7"/>
        <v>779486840.00000048</v>
      </c>
      <c r="AF64" s="28">
        <f t="shared" si="8"/>
        <v>1663486840.0000005</v>
      </c>
      <c r="AG64" s="28">
        <f t="shared" si="9"/>
        <v>1627677.9256360084</v>
      </c>
    </row>
    <row r="65" spans="1:33" ht="57.6" x14ac:dyDescent="0.3">
      <c r="A65" s="41" t="s">
        <v>697</v>
      </c>
      <c r="B65" s="41" t="s">
        <v>694</v>
      </c>
      <c r="C65" s="41" t="s">
        <v>676</v>
      </c>
      <c r="D65" s="41" t="s">
        <v>122</v>
      </c>
      <c r="E65" s="41" t="s">
        <v>579</v>
      </c>
      <c r="F65" s="41" t="s">
        <v>717</v>
      </c>
      <c r="G65" s="67">
        <v>104850</v>
      </c>
      <c r="H65" s="41">
        <v>1</v>
      </c>
      <c r="I65" s="41">
        <v>1</v>
      </c>
      <c r="J65" s="83">
        <f t="shared" si="0"/>
        <v>104850</v>
      </c>
      <c r="K65" s="41">
        <v>0</v>
      </c>
      <c r="L65" s="41">
        <v>0</v>
      </c>
      <c r="M65" s="70">
        <f t="shared" si="1"/>
        <v>0</v>
      </c>
      <c r="N65" s="41">
        <v>1</v>
      </c>
      <c r="O65" s="41">
        <v>1</v>
      </c>
      <c r="P65" s="70">
        <f t="shared" si="2"/>
        <v>126868.50000000001</v>
      </c>
      <c r="Q65" s="41">
        <v>0</v>
      </c>
      <c r="R65" s="41">
        <v>0</v>
      </c>
      <c r="S65" s="70">
        <f t="shared" si="3"/>
        <v>0</v>
      </c>
      <c r="T65" s="41">
        <v>0</v>
      </c>
      <c r="U65" s="41">
        <v>0</v>
      </c>
      <c r="V65" s="70">
        <f t="shared" si="4"/>
        <v>0</v>
      </c>
      <c r="W65" s="41">
        <v>0</v>
      </c>
      <c r="X65" s="41">
        <v>0</v>
      </c>
      <c r="Y65" s="70">
        <f t="shared" si="5"/>
        <v>0</v>
      </c>
      <c r="Z65" s="41">
        <v>0</v>
      </c>
      <c r="AA65" s="41">
        <v>0</v>
      </c>
      <c r="AB65" s="70">
        <f t="shared" si="6"/>
        <v>0</v>
      </c>
      <c r="AC65" s="41">
        <v>1</v>
      </c>
      <c r="AD65" s="41">
        <v>1</v>
      </c>
      <c r="AE65" s="70">
        <f t="shared" si="7"/>
        <v>204322.98793500013</v>
      </c>
      <c r="AF65" s="28">
        <f t="shared" si="8"/>
        <v>436041.4879350001</v>
      </c>
      <c r="AG65" s="28">
        <f t="shared" si="9"/>
        <v>426.65507625733864</v>
      </c>
    </row>
    <row r="66" spans="1:33" ht="57.6" x14ac:dyDescent="0.3">
      <c r="A66" s="41" t="s">
        <v>697</v>
      </c>
      <c r="B66" s="41" t="s">
        <v>694</v>
      </c>
      <c r="C66" s="41" t="s">
        <v>676</v>
      </c>
      <c r="D66" s="41" t="s">
        <v>123</v>
      </c>
      <c r="E66" s="41" t="s">
        <v>580</v>
      </c>
      <c r="F66" s="41" t="s">
        <v>718</v>
      </c>
      <c r="G66" s="67">
        <v>0</v>
      </c>
      <c r="H66" s="41"/>
      <c r="I66" s="41"/>
      <c r="J66" s="83">
        <f t="shared" si="0"/>
        <v>0</v>
      </c>
      <c r="K66" s="41">
        <v>0</v>
      </c>
      <c r="L66" s="41">
        <v>0</v>
      </c>
      <c r="M66" s="70">
        <f t="shared" si="1"/>
        <v>0</v>
      </c>
      <c r="N66" s="41">
        <v>0</v>
      </c>
      <c r="O66" s="41">
        <v>0</v>
      </c>
      <c r="P66" s="70">
        <f t="shared" si="2"/>
        <v>0</v>
      </c>
      <c r="Q66" s="41">
        <v>0</v>
      </c>
      <c r="R66" s="41">
        <v>0</v>
      </c>
      <c r="S66" s="70">
        <f t="shared" si="3"/>
        <v>0</v>
      </c>
      <c r="T66" s="41">
        <v>0</v>
      </c>
      <c r="U66" s="41">
        <v>0</v>
      </c>
      <c r="V66" s="70">
        <f t="shared" si="4"/>
        <v>0</v>
      </c>
      <c r="W66" s="41">
        <v>0</v>
      </c>
      <c r="X66" s="41">
        <v>0</v>
      </c>
      <c r="Y66" s="70">
        <f t="shared" si="5"/>
        <v>0</v>
      </c>
      <c r="Z66" s="41">
        <v>0</v>
      </c>
      <c r="AA66" s="41">
        <v>0</v>
      </c>
      <c r="AB66" s="70">
        <f t="shared" si="6"/>
        <v>0</v>
      </c>
      <c r="AC66" s="41">
        <v>0</v>
      </c>
      <c r="AD66" s="41">
        <v>0</v>
      </c>
      <c r="AE66" s="70">
        <f t="shared" si="7"/>
        <v>0</v>
      </c>
      <c r="AF66" s="28">
        <f t="shared" si="8"/>
        <v>0</v>
      </c>
      <c r="AG66" s="28">
        <f t="shared" si="9"/>
        <v>0</v>
      </c>
    </row>
    <row r="67" spans="1:33" ht="57.6" x14ac:dyDescent="0.3">
      <c r="A67" s="41" t="s">
        <v>697</v>
      </c>
      <c r="B67" s="41" t="s">
        <v>694</v>
      </c>
      <c r="C67" s="41" t="s">
        <v>676</v>
      </c>
      <c r="D67" s="41" t="s">
        <v>123</v>
      </c>
      <c r="E67" s="41" t="s">
        <v>581</v>
      </c>
      <c r="F67" s="41" t="s">
        <v>718</v>
      </c>
      <c r="G67" s="67">
        <v>0</v>
      </c>
      <c r="H67" s="41"/>
      <c r="I67" s="41"/>
      <c r="J67" s="83">
        <f t="shared" si="0"/>
        <v>0</v>
      </c>
      <c r="K67" s="41">
        <v>0</v>
      </c>
      <c r="L67" s="41">
        <v>0</v>
      </c>
      <c r="M67" s="70">
        <f t="shared" si="1"/>
        <v>0</v>
      </c>
      <c r="N67" s="41">
        <v>0</v>
      </c>
      <c r="O67" s="41">
        <v>0</v>
      </c>
      <c r="P67" s="70">
        <f t="shared" si="2"/>
        <v>0</v>
      </c>
      <c r="Q67" s="41">
        <v>0</v>
      </c>
      <c r="R67" s="41">
        <v>0</v>
      </c>
      <c r="S67" s="70">
        <f t="shared" si="3"/>
        <v>0</v>
      </c>
      <c r="T67" s="41">
        <v>0</v>
      </c>
      <c r="U67" s="41">
        <v>0</v>
      </c>
      <c r="V67" s="70">
        <f t="shared" si="4"/>
        <v>0</v>
      </c>
      <c r="W67" s="41">
        <v>0</v>
      </c>
      <c r="X67" s="41">
        <v>0</v>
      </c>
      <c r="Y67" s="70">
        <f t="shared" si="5"/>
        <v>0</v>
      </c>
      <c r="Z67" s="41">
        <v>0</v>
      </c>
      <c r="AA67" s="41">
        <v>0</v>
      </c>
      <c r="AB67" s="70">
        <f t="shared" si="6"/>
        <v>0</v>
      </c>
      <c r="AC67" s="41">
        <v>0</v>
      </c>
      <c r="AD67" s="41">
        <v>0</v>
      </c>
      <c r="AE67" s="70">
        <f t="shared" si="7"/>
        <v>0</v>
      </c>
      <c r="AF67" s="28">
        <f t="shared" si="8"/>
        <v>0</v>
      </c>
      <c r="AG67" s="28">
        <f t="shared" si="9"/>
        <v>0</v>
      </c>
    </row>
    <row r="68" spans="1:33" ht="57.6" x14ac:dyDescent="0.3">
      <c r="A68" s="41" t="s">
        <v>697</v>
      </c>
      <c r="B68" s="41" t="s">
        <v>694</v>
      </c>
      <c r="C68" s="41" t="s">
        <v>676</v>
      </c>
      <c r="D68" s="41" t="s">
        <v>123</v>
      </c>
      <c r="E68" s="41" t="s">
        <v>149</v>
      </c>
      <c r="F68" s="41" t="s">
        <v>707</v>
      </c>
      <c r="G68" s="67">
        <v>391991.03749999998</v>
      </c>
      <c r="H68" s="41"/>
      <c r="I68" s="41"/>
      <c r="J68" s="83">
        <f t="shared" ref="J68:J132" si="10">H68*I68*G68</f>
        <v>0</v>
      </c>
      <c r="K68" s="41">
        <v>1</v>
      </c>
      <c r="L68" s="41">
        <v>6</v>
      </c>
      <c r="M68" s="70">
        <f t="shared" ref="M68:M132" si="11">($G68*1.1^1)*K68*L68</f>
        <v>2587140.8475000001</v>
      </c>
      <c r="N68" s="41">
        <v>2</v>
      </c>
      <c r="O68" s="41">
        <v>2</v>
      </c>
      <c r="P68" s="70">
        <f t="shared" ref="P68:P132" si="12">($G68*1.1^2)*N68*O68</f>
        <v>1897236.6215000001</v>
      </c>
      <c r="Q68" s="41">
        <v>0</v>
      </c>
      <c r="R68" s="41">
        <v>0</v>
      </c>
      <c r="S68" s="70">
        <f t="shared" ref="S68:S132" si="13">($G68*1.1^3)*Q68*R68</f>
        <v>0</v>
      </c>
      <c r="T68" s="41">
        <v>2</v>
      </c>
      <c r="U68" s="41">
        <v>2</v>
      </c>
      <c r="V68" s="70">
        <f t="shared" ref="V68:V132" si="14">($G68*1.1^4)*T68*U68</f>
        <v>2295656.3120150003</v>
      </c>
      <c r="W68" s="41">
        <v>0</v>
      </c>
      <c r="X68" s="41">
        <v>0</v>
      </c>
      <c r="Y68" s="70">
        <f t="shared" ref="Y68:Y132" si="15">($G68*1.1^5)*W68*X68</f>
        <v>0</v>
      </c>
      <c r="Z68" s="41">
        <v>0</v>
      </c>
      <c r="AA68" s="41">
        <v>0</v>
      </c>
      <c r="AB68" s="70">
        <f t="shared" ref="AB68:AB132" si="16">($G68*1.1^6)*Z68*AA68</f>
        <v>0</v>
      </c>
      <c r="AC68" s="41">
        <v>2</v>
      </c>
      <c r="AD68" s="41">
        <v>2</v>
      </c>
      <c r="AE68" s="70">
        <f t="shared" ref="AE68:AE132" si="17">($G68*1.1^7)*AC68*AD68</f>
        <v>3055518.5512919668</v>
      </c>
      <c r="AF68" s="28">
        <f t="shared" ref="AF68:AF132" si="18">J68+M68+P68+S68+V68+Y68+AB68+AE68</f>
        <v>9835552.332306968</v>
      </c>
      <c r="AG68" s="28">
        <f t="shared" ref="AG68:AG132" si="19">AF68/$AL$2</f>
        <v>9623.8281138032962</v>
      </c>
    </row>
    <row r="69" spans="1:33" ht="57.6" x14ac:dyDescent="0.3">
      <c r="A69" s="41" t="s">
        <v>697</v>
      </c>
      <c r="B69" s="41" t="s">
        <v>694</v>
      </c>
      <c r="C69" s="41" t="s">
        <v>676</v>
      </c>
      <c r="D69" s="41" t="s">
        <v>123</v>
      </c>
      <c r="E69" s="41" t="s">
        <v>149</v>
      </c>
      <c r="F69" s="41" t="s">
        <v>708</v>
      </c>
      <c r="G69" s="67">
        <v>511000</v>
      </c>
      <c r="H69" s="41"/>
      <c r="I69" s="41"/>
      <c r="J69" s="83">
        <f t="shared" si="10"/>
        <v>0</v>
      </c>
      <c r="K69" s="41">
        <v>1</v>
      </c>
      <c r="L69" s="41">
        <v>40</v>
      </c>
      <c r="M69" s="70">
        <f t="shared" si="11"/>
        <v>22484000</v>
      </c>
      <c r="N69" s="41">
        <v>0</v>
      </c>
      <c r="O69" s="41">
        <v>0</v>
      </c>
      <c r="P69" s="70">
        <f t="shared" si="12"/>
        <v>0</v>
      </c>
      <c r="Q69" s="41">
        <v>0</v>
      </c>
      <c r="R69" s="41">
        <v>0</v>
      </c>
      <c r="S69" s="70">
        <f t="shared" si="13"/>
        <v>0</v>
      </c>
      <c r="T69" s="41">
        <v>0</v>
      </c>
      <c r="U69" s="41">
        <v>0</v>
      </c>
      <c r="V69" s="70">
        <f t="shared" si="14"/>
        <v>0</v>
      </c>
      <c r="W69" s="41">
        <v>0</v>
      </c>
      <c r="X69" s="41">
        <v>0</v>
      </c>
      <c r="Y69" s="70">
        <f t="shared" si="15"/>
        <v>0</v>
      </c>
      <c r="Z69" s="41">
        <v>0</v>
      </c>
      <c r="AA69" s="41">
        <v>0</v>
      </c>
      <c r="AB69" s="70">
        <f t="shared" si="16"/>
        <v>0</v>
      </c>
      <c r="AC69" s="41">
        <v>0</v>
      </c>
      <c r="AD69" s="41">
        <v>0</v>
      </c>
      <c r="AE69" s="70">
        <f t="shared" si="17"/>
        <v>0</v>
      </c>
      <c r="AF69" s="28">
        <f t="shared" si="18"/>
        <v>22484000</v>
      </c>
      <c r="AG69" s="28">
        <f t="shared" si="19"/>
        <v>22000</v>
      </c>
    </row>
    <row r="70" spans="1:33" ht="57.6" x14ac:dyDescent="0.3">
      <c r="A70" s="41" t="s">
        <v>697</v>
      </c>
      <c r="B70" s="41" t="s">
        <v>694</v>
      </c>
      <c r="C70" s="41" t="s">
        <v>676</v>
      </c>
      <c r="D70" s="41" t="s">
        <v>123</v>
      </c>
      <c r="E70" s="41" t="s">
        <v>582</v>
      </c>
      <c r="F70" s="41" t="s">
        <v>718</v>
      </c>
      <c r="G70" s="67">
        <v>0</v>
      </c>
      <c r="H70" s="41"/>
      <c r="I70" s="41"/>
      <c r="J70" s="83">
        <f t="shared" si="10"/>
        <v>0</v>
      </c>
      <c r="K70" s="41">
        <v>0</v>
      </c>
      <c r="L70" s="41">
        <v>0</v>
      </c>
      <c r="M70" s="70">
        <f t="shared" si="11"/>
        <v>0</v>
      </c>
      <c r="N70" s="41">
        <v>0</v>
      </c>
      <c r="O70" s="41">
        <v>0</v>
      </c>
      <c r="P70" s="70">
        <f t="shared" si="12"/>
        <v>0</v>
      </c>
      <c r="Q70" s="41">
        <v>0</v>
      </c>
      <c r="R70" s="41">
        <v>0</v>
      </c>
      <c r="S70" s="70">
        <f t="shared" si="13"/>
        <v>0</v>
      </c>
      <c r="T70" s="41">
        <v>0</v>
      </c>
      <c r="U70" s="41">
        <v>0</v>
      </c>
      <c r="V70" s="70">
        <f t="shared" si="14"/>
        <v>0</v>
      </c>
      <c r="W70" s="41">
        <v>0</v>
      </c>
      <c r="X70" s="41">
        <v>0</v>
      </c>
      <c r="Y70" s="70">
        <f t="shared" si="15"/>
        <v>0</v>
      </c>
      <c r="Z70" s="41">
        <v>0</v>
      </c>
      <c r="AA70" s="41">
        <v>0</v>
      </c>
      <c r="AB70" s="70">
        <f t="shared" si="16"/>
        <v>0</v>
      </c>
      <c r="AC70" s="41">
        <v>0</v>
      </c>
      <c r="AD70" s="41">
        <v>0</v>
      </c>
      <c r="AE70" s="70">
        <f t="shared" si="17"/>
        <v>0</v>
      </c>
      <c r="AF70" s="28">
        <f t="shared" si="18"/>
        <v>0</v>
      </c>
      <c r="AG70" s="28">
        <f t="shared" si="19"/>
        <v>0</v>
      </c>
    </row>
    <row r="71" spans="1:33" ht="57.6" x14ac:dyDescent="0.3">
      <c r="A71" s="41" t="s">
        <v>697</v>
      </c>
      <c r="B71" s="41" t="s">
        <v>694</v>
      </c>
      <c r="C71" s="41" t="s">
        <v>676</v>
      </c>
      <c r="D71" s="41" t="s">
        <v>123</v>
      </c>
      <c r="E71" s="41" t="s">
        <v>175</v>
      </c>
      <c r="F71" s="41" t="s">
        <v>709</v>
      </c>
      <c r="G71" s="67">
        <v>35000</v>
      </c>
      <c r="H71" s="41"/>
      <c r="I71" s="41"/>
      <c r="J71" s="83">
        <f t="shared" si="10"/>
        <v>0</v>
      </c>
      <c r="K71" s="41">
        <v>30</v>
      </c>
      <c r="L71" s="41">
        <v>1</v>
      </c>
      <c r="M71" s="70">
        <f t="shared" si="11"/>
        <v>1155000</v>
      </c>
      <c r="N71" s="41">
        <v>100</v>
      </c>
      <c r="O71" s="41">
        <v>5</v>
      </c>
      <c r="P71" s="70">
        <f t="shared" si="12"/>
        <v>21175000.000000004</v>
      </c>
      <c r="Q71" s="41">
        <v>0</v>
      </c>
      <c r="R71" s="41">
        <v>0</v>
      </c>
      <c r="S71" s="70">
        <f t="shared" si="13"/>
        <v>0</v>
      </c>
      <c r="T71" s="41">
        <v>100</v>
      </c>
      <c r="U71" s="41">
        <v>5</v>
      </c>
      <c r="V71" s="70">
        <f t="shared" si="14"/>
        <v>25621750.000000007</v>
      </c>
      <c r="W71" s="41">
        <v>0</v>
      </c>
      <c r="X71" s="41">
        <v>0</v>
      </c>
      <c r="Y71" s="70">
        <f t="shared" si="15"/>
        <v>0</v>
      </c>
      <c r="Z71" s="41">
        <v>0</v>
      </c>
      <c r="AA71" s="41">
        <v>0</v>
      </c>
      <c r="AB71" s="70">
        <f t="shared" si="16"/>
        <v>0</v>
      </c>
      <c r="AC71" s="41">
        <v>100</v>
      </c>
      <c r="AD71" s="41">
        <v>5</v>
      </c>
      <c r="AE71" s="70">
        <f t="shared" si="17"/>
        <v>34102549.250000015</v>
      </c>
      <c r="AF71" s="28">
        <f t="shared" si="18"/>
        <v>82054299.25000003</v>
      </c>
      <c r="AG71" s="28">
        <f t="shared" si="19"/>
        <v>80287.964041095925</v>
      </c>
    </row>
    <row r="72" spans="1:33" ht="57.6" x14ac:dyDescent="0.3">
      <c r="A72" s="41" t="s">
        <v>697</v>
      </c>
      <c r="B72" s="41" t="s">
        <v>694</v>
      </c>
      <c r="C72" s="41" t="s">
        <v>676</v>
      </c>
      <c r="D72" s="41" t="s">
        <v>123</v>
      </c>
      <c r="E72" s="41" t="s">
        <v>175</v>
      </c>
      <c r="F72" s="41" t="s">
        <v>716</v>
      </c>
      <c r="G72" s="67">
        <v>39000</v>
      </c>
      <c r="H72" s="41"/>
      <c r="I72" s="41"/>
      <c r="J72" s="83">
        <f t="shared" si="10"/>
        <v>0</v>
      </c>
      <c r="K72" s="41"/>
      <c r="L72" s="41"/>
      <c r="M72" s="70">
        <f t="shared" si="11"/>
        <v>0</v>
      </c>
      <c r="N72" s="41">
        <v>58</v>
      </c>
      <c r="O72" s="41">
        <v>6</v>
      </c>
      <c r="P72" s="70">
        <f t="shared" si="12"/>
        <v>16422120.000000004</v>
      </c>
      <c r="Q72" s="41"/>
      <c r="R72" s="41"/>
      <c r="S72" s="70">
        <f t="shared" si="13"/>
        <v>0</v>
      </c>
      <c r="T72" s="41">
        <v>58</v>
      </c>
      <c r="U72" s="41">
        <v>6</v>
      </c>
      <c r="V72" s="70">
        <f t="shared" si="14"/>
        <v>19870765.200000007</v>
      </c>
      <c r="W72" s="41"/>
      <c r="X72" s="41"/>
      <c r="Y72" s="70">
        <f t="shared" si="15"/>
        <v>0</v>
      </c>
      <c r="Z72" s="41"/>
      <c r="AA72" s="41"/>
      <c r="AB72" s="70">
        <f t="shared" si="16"/>
        <v>0</v>
      </c>
      <c r="AC72" s="41">
        <v>58</v>
      </c>
      <c r="AD72" s="41">
        <v>6</v>
      </c>
      <c r="AE72" s="70">
        <f t="shared" si="17"/>
        <v>26447988.481200017</v>
      </c>
      <c r="AF72" s="28">
        <f t="shared" si="18"/>
        <v>62740873.681200027</v>
      </c>
      <c r="AG72" s="28">
        <f t="shared" si="19"/>
        <v>61390.287359295529</v>
      </c>
    </row>
    <row r="73" spans="1:33" ht="57.6" x14ac:dyDescent="0.3">
      <c r="A73" s="41" t="s">
        <v>697</v>
      </c>
      <c r="B73" s="41" t="s">
        <v>694</v>
      </c>
      <c r="C73" s="41" t="s">
        <v>676</v>
      </c>
      <c r="D73" s="41" t="s">
        <v>123</v>
      </c>
      <c r="E73" s="41" t="s">
        <v>175</v>
      </c>
      <c r="F73" s="41" t="s">
        <v>712</v>
      </c>
      <c r="G73" s="67">
        <v>211.42857142857142</v>
      </c>
      <c r="H73" s="41"/>
      <c r="I73" s="41"/>
      <c r="J73" s="83">
        <f t="shared" si="10"/>
        <v>0</v>
      </c>
      <c r="K73" s="41"/>
      <c r="L73" s="41"/>
      <c r="M73" s="70">
        <f t="shared" si="11"/>
        <v>0</v>
      </c>
      <c r="N73" s="41">
        <v>1450</v>
      </c>
      <c r="O73" s="41">
        <v>5</v>
      </c>
      <c r="P73" s="70">
        <f t="shared" si="12"/>
        <v>1854757.142857143</v>
      </c>
      <c r="Q73" s="41"/>
      <c r="R73" s="41"/>
      <c r="S73" s="70">
        <f t="shared" si="13"/>
        <v>0</v>
      </c>
      <c r="T73" s="41">
        <v>1450</v>
      </c>
      <c r="U73" s="41">
        <v>5</v>
      </c>
      <c r="V73" s="70">
        <f t="shared" si="14"/>
        <v>2244256.1428571432</v>
      </c>
      <c r="W73" s="41"/>
      <c r="X73" s="41"/>
      <c r="Y73" s="70">
        <f t="shared" si="15"/>
        <v>0</v>
      </c>
      <c r="Z73" s="41"/>
      <c r="AA73" s="41"/>
      <c r="AB73" s="70">
        <f t="shared" si="16"/>
        <v>0</v>
      </c>
      <c r="AC73" s="41">
        <v>1450</v>
      </c>
      <c r="AD73" s="41">
        <v>5</v>
      </c>
      <c r="AE73" s="70">
        <f t="shared" si="17"/>
        <v>2987104.9261428593</v>
      </c>
      <c r="AF73" s="28">
        <f t="shared" si="18"/>
        <v>7086118.2118571457</v>
      </c>
      <c r="AG73" s="28">
        <f t="shared" si="19"/>
        <v>6933.579463656698</v>
      </c>
    </row>
    <row r="74" spans="1:33" ht="57.6" x14ac:dyDescent="0.3">
      <c r="A74" s="41" t="s">
        <v>697</v>
      </c>
      <c r="B74" s="41" t="s">
        <v>694</v>
      </c>
      <c r="C74" s="41" t="s">
        <v>676</v>
      </c>
      <c r="D74" s="41" t="s">
        <v>123</v>
      </c>
      <c r="E74" s="41" t="s">
        <v>175</v>
      </c>
      <c r="F74" s="41" t="s">
        <v>1299</v>
      </c>
      <c r="G74" s="67">
        <v>211.42857142857142</v>
      </c>
      <c r="H74" s="41"/>
      <c r="I74" s="41"/>
      <c r="J74" s="83">
        <f t="shared" si="10"/>
        <v>0</v>
      </c>
      <c r="K74" s="41"/>
      <c r="L74" s="41"/>
      <c r="M74" s="70">
        <f t="shared" si="11"/>
        <v>0</v>
      </c>
      <c r="N74" s="41">
        <v>22500</v>
      </c>
      <c r="O74" s="41">
        <v>1</v>
      </c>
      <c r="P74" s="70">
        <f t="shared" si="12"/>
        <v>5756142.8571428573</v>
      </c>
      <c r="Q74" s="41"/>
      <c r="R74" s="41"/>
      <c r="S74" s="70">
        <f t="shared" si="13"/>
        <v>0</v>
      </c>
      <c r="T74" s="41">
        <v>22500</v>
      </c>
      <c r="U74" s="41">
        <v>1</v>
      </c>
      <c r="V74" s="70">
        <f t="shared" si="14"/>
        <v>6964932.8571428582</v>
      </c>
      <c r="W74" s="41"/>
      <c r="X74" s="41"/>
      <c r="Y74" s="70">
        <f t="shared" si="15"/>
        <v>0</v>
      </c>
      <c r="Z74" s="41"/>
      <c r="AA74" s="41"/>
      <c r="AB74" s="70">
        <f t="shared" si="16"/>
        <v>0</v>
      </c>
      <c r="AC74" s="41">
        <v>22500</v>
      </c>
      <c r="AD74" s="41">
        <v>1</v>
      </c>
      <c r="AE74" s="70">
        <f t="shared" si="17"/>
        <v>9270325.6328571495</v>
      </c>
      <c r="AF74" s="28">
        <f t="shared" si="18"/>
        <v>21991401.347142868</v>
      </c>
      <c r="AG74" s="28">
        <f t="shared" si="19"/>
        <v>21518.005232038031</v>
      </c>
    </row>
    <row r="75" spans="1:33" ht="57.6" x14ac:dyDescent="0.3">
      <c r="A75" s="41" t="s">
        <v>697</v>
      </c>
      <c r="B75" s="41" t="s">
        <v>694</v>
      </c>
      <c r="C75" s="41" t="s">
        <v>676</v>
      </c>
      <c r="D75" s="41" t="s">
        <v>124</v>
      </c>
      <c r="E75" s="41" t="s">
        <v>1407</v>
      </c>
      <c r="F75" s="41" t="s">
        <v>709</v>
      </c>
      <c r="G75" s="67">
        <v>35000</v>
      </c>
      <c r="H75" s="41"/>
      <c r="I75" s="41"/>
      <c r="J75" s="83">
        <f t="shared" si="10"/>
        <v>0</v>
      </c>
      <c r="K75" s="41"/>
      <c r="L75" s="41"/>
      <c r="M75" s="70">
        <f t="shared" si="11"/>
        <v>0</v>
      </c>
      <c r="N75" s="41">
        <v>15</v>
      </c>
      <c r="O75" s="41">
        <v>5</v>
      </c>
      <c r="P75" s="70">
        <f t="shared" si="12"/>
        <v>3176250.0000000005</v>
      </c>
      <c r="Q75" s="41">
        <v>0</v>
      </c>
      <c r="R75" s="41">
        <v>0</v>
      </c>
      <c r="S75" s="70">
        <f t="shared" si="13"/>
        <v>0</v>
      </c>
      <c r="T75" s="41">
        <v>15</v>
      </c>
      <c r="U75" s="41">
        <v>5</v>
      </c>
      <c r="V75" s="70">
        <f t="shared" si="14"/>
        <v>3843262.5000000009</v>
      </c>
      <c r="W75" s="41">
        <v>0</v>
      </c>
      <c r="X75" s="41">
        <v>0</v>
      </c>
      <c r="Y75" s="70">
        <f t="shared" si="15"/>
        <v>0</v>
      </c>
      <c r="Z75" s="41">
        <v>15</v>
      </c>
      <c r="AA75" s="41">
        <v>5</v>
      </c>
      <c r="AB75" s="70">
        <f t="shared" si="16"/>
        <v>4650347.6250000028</v>
      </c>
      <c r="AC75" s="41">
        <v>0</v>
      </c>
      <c r="AD75" s="41">
        <v>0</v>
      </c>
      <c r="AE75" s="70">
        <f t="shared" si="17"/>
        <v>0</v>
      </c>
      <c r="AF75" s="28">
        <f t="shared" si="18"/>
        <v>11669860.125000004</v>
      </c>
      <c r="AG75" s="28">
        <f t="shared" si="19"/>
        <v>11418.649828767127</v>
      </c>
    </row>
    <row r="76" spans="1:33" ht="57.6" x14ac:dyDescent="0.3">
      <c r="A76" s="41" t="s">
        <v>697</v>
      </c>
      <c r="B76" s="41" t="s">
        <v>694</v>
      </c>
      <c r="C76" s="41" t="s">
        <v>676</v>
      </c>
      <c r="D76" s="41" t="s">
        <v>124</v>
      </c>
      <c r="E76" s="41" t="s">
        <v>1408</v>
      </c>
      <c r="F76" s="41" t="s">
        <v>716</v>
      </c>
      <c r="G76" s="67">
        <v>39000</v>
      </c>
      <c r="H76" s="41"/>
      <c r="I76" s="41"/>
      <c r="J76" s="83">
        <f t="shared" si="10"/>
        <v>0</v>
      </c>
      <c r="K76" s="41"/>
      <c r="L76" s="41"/>
      <c r="M76" s="70">
        <f t="shared" si="11"/>
        <v>0</v>
      </c>
      <c r="N76" s="41">
        <v>15</v>
      </c>
      <c r="O76" s="41">
        <v>5</v>
      </c>
      <c r="P76" s="70">
        <f t="shared" si="12"/>
        <v>3539250.0000000005</v>
      </c>
      <c r="Q76" s="41">
        <v>0</v>
      </c>
      <c r="R76" s="41">
        <v>0</v>
      </c>
      <c r="S76" s="70">
        <f t="shared" si="13"/>
        <v>0</v>
      </c>
      <c r="T76" s="41">
        <v>15</v>
      </c>
      <c r="U76" s="41">
        <v>5</v>
      </c>
      <c r="V76" s="70">
        <f t="shared" si="14"/>
        <v>4282492.5000000009</v>
      </c>
      <c r="W76" s="41">
        <v>0</v>
      </c>
      <c r="X76" s="41">
        <v>0</v>
      </c>
      <c r="Y76" s="70">
        <f t="shared" si="15"/>
        <v>0</v>
      </c>
      <c r="Z76" s="41">
        <v>15</v>
      </c>
      <c r="AA76" s="41">
        <v>5</v>
      </c>
      <c r="AB76" s="70">
        <f t="shared" si="16"/>
        <v>5181815.9250000017</v>
      </c>
      <c r="AC76" s="41">
        <v>0</v>
      </c>
      <c r="AD76" s="41">
        <v>0</v>
      </c>
      <c r="AE76" s="70">
        <f t="shared" si="17"/>
        <v>0</v>
      </c>
      <c r="AF76" s="28">
        <f t="shared" si="18"/>
        <v>13003558.425000004</v>
      </c>
      <c r="AG76" s="28">
        <f t="shared" si="19"/>
        <v>12723.638380626227</v>
      </c>
    </row>
    <row r="77" spans="1:33" ht="57.6" x14ac:dyDescent="0.3">
      <c r="A77" s="41" t="s">
        <v>697</v>
      </c>
      <c r="B77" s="41" t="s">
        <v>694</v>
      </c>
      <c r="C77" s="41" t="s">
        <v>676</v>
      </c>
      <c r="D77" s="41" t="s">
        <v>124</v>
      </c>
      <c r="E77" s="41" t="s">
        <v>1408</v>
      </c>
      <c r="F77" s="41" t="s">
        <v>712</v>
      </c>
      <c r="G77" s="67">
        <v>211.42857142857142</v>
      </c>
      <c r="H77" s="41"/>
      <c r="I77" s="41"/>
      <c r="J77" s="83">
        <f t="shared" si="10"/>
        <v>0</v>
      </c>
      <c r="K77" s="41"/>
      <c r="L77" s="41"/>
      <c r="M77" s="70">
        <f t="shared" si="11"/>
        <v>0</v>
      </c>
      <c r="N77" s="41">
        <v>300</v>
      </c>
      <c r="O77" s="41">
        <v>5</v>
      </c>
      <c r="P77" s="70">
        <f t="shared" si="12"/>
        <v>383742.85714285716</v>
      </c>
      <c r="Q77" s="41">
        <v>0</v>
      </c>
      <c r="R77" s="41">
        <v>0</v>
      </c>
      <c r="S77" s="70">
        <f t="shared" si="13"/>
        <v>0</v>
      </c>
      <c r="T77" s="41">
        <v>300</v>
      </c>
      <c r="U77" s="41">
        <v>5</v>
      </c>
      <c r="V77" s="70">
        <f t="shared" si="14"/>
        <v>464328.85714285722</v>
      </c>
      <c r="W77" s="41">
        <v>0</v>
      </c>
      <c r="X77" s="41">
        <v>0</v>
      </c>
      <c r="Y77" s="70">
        <f t="shared" si="15"/>
        <v>0</v>
      </c>
      <c r="Z77" s="41">
        <v>300</v>
      </c>
      <c r="AA77" s="41">
        <v>5</v>
      </c>
      <c r="AB77" s="70">
        <f t="shared" si="16"/>
        <v>561837.91714285733</v>
      </c>
      <c r="AC77" s="41">
        <v>0</v>
      </c>
      <c r="AD77" s="41">
        <v>0</v>
      </c>
      <c r="AE77" s="70">
        <f t="shared" si="17"/>
        <v>0</v>
      </c>
      <c r="AF77" s="28">
        <f t="shared" si="18"/>
        <v>1409909.6314285717</v>
      </c>
      <c r="AG77" s="28">
        <f t="shared" si="19"/>
        <v>1379.5593262510486</v>
      </c>
    </row>
    <row r="78" spans="1:33" ht="57.6" x14ac:dyDescent="0.3">
      <c r="A78" s="41" t="s">
        <v>697</v>
      </c>
      <c r="B78" s="41" t="s">
        <v>694</v>
      </c>
      <c r="C78" s="41" t="s">
        <v>676</v>
      </c>
      <c r="D78" s="41" t="s">
        <v>124</v>
      </c>
      <c r="E78" s="41" t="s">
        <v>1407</v>
      </c>
      <c r="F78" s="41" t="s">
        <v>1299</v>
      </c>
      <c r="G78" s="67">
        <v>211.42857142857142</v>
      </c>
      <c r="H78" s="41"/>
      <c r="I78" s="41"/>
      <c r="J78" s="83">
        <f t="shared" si="10"/>
        <v>0</v>
      </c>
      <c r="K78" s="41"/>
      <c r="L78" s="41"/>
      <c r="M78" s="70">
        <f t="shared" si="11"/>
        <v>0</v>
      </c>
      <c r="N78" s="41">
        <v>1620</v>
      </c>
      <c r="O78" s="41">
        <v>1</v>
      </c>
      <c r="P78" s="70">
        <f t="shared" si="12"/>
        <v>414442.28571428574</v>
      </c>
      <c r="Q78" s="41"/>
      <c r="R78" s="41"/>
      <c r="S78" s="70">
        <f t="shared" si="13"/>
        <v>0</v>
      </c>
      <c r="T78" s="41">
        <v>1620</v>
      </c>
      <c r="U78" s="41">
        <v>1</v>
      </c>
      <c r="V78" s="70">
        <f t="shared" si="14"/>
        <v>501475.1657142858</v>
      </c>
      <c r="W78" s="41"/>
      <c r="X78" s="41"/>
      <c r="Y78" s="70">
        <f t="shared" si="15"/>
        <v>0</v>
      </c>
      <c r="Z78" s="41">
        <v>1620</v>
      </c>
      <c r="AA78" s="41">
        <v>1</v>
      </c>
      <c r="AB78" s="70">
        <f t="shared" si="16"/>
        <v>606784.95051428594</v>
      </c>
      <c r="AC78" s="41"/>
      <c r="AD78" s="41"/>
      <c r="AE78" s="70">
        <f t="shared" si="17"/>
        <v>0</v>
      </c>
      <c r="AF78" s="28">
        <f t="shared" si="18"/>
        <v>1522702.4019428575</v>
      </c>
      <c r="AG78" s="28">
        <f t="shared" si="19"/>
        <v>1489.9240723511327</v>
      </c>
    </row>
    <row r="79" spans="1:33" ht="57.6" x14ac:dyDescent="0.3">
      <c r="A79" s="41" t="s">
        <v>697</v>
      </c>
      <c r="B79" s="41" t="s">
        <v>694</v>
      </c>
      <c r="C79" s="41" t="s">
        <v>676</v>
      </c>
      <c r="D79" s="41" t="s">
        <v>124</v>
      </c>
      <c r="E79" s="41" t="s">
        <v>584</v>
      </c>
      <c r="F79" s="41" t="s">
        <v>716</v>
      </c>
      <c r="G79" s="67">
        <v>39000</v>
      </c>
      <c r="H79" s="41">
        <v>20</v>
      </c>
      <c r="I79" s="41">
        <v>6</v>
      </c>
      <c r="J79" s="83">
        <f t="shared" si="10"/>
        <v>4680000</v>
      </c>
      <c r="K79" s="41"/>
      <c r="L79" s="41"/>
      <c r="M79" s="70">
        <f t="shared" si="11"/>
        <v>0</v>
      </c>
      <c r="N79" s="41">
        <v>20</v>
      </c>
      <c r="O79" s="41">
        <v>6</v>
      </c>
      <c r="P79" s="70">
        <f t="shared" si="12"/>
        <v>5662800.0000000009</v>
      </c>
      <c r="Q79" s="41">
        <v>0</v>
      </c>
      <c r="R79" s="41">
        <v>0</v>
      </c>
      <c r="S79" s="70">
        <f t="shared" si="13"/>
        <v>0</v>
      </c>
      <c r="T79" s="41">
        <v>20</v>
      </c>
      <c r="U79" s="41">
        <v>6</v>
      </c>
      <c r="V79" s="70">
        <f t="shared" si="14"/>
        <v>6851988.0000000019</v>
      </c>
      <c r="W79" s="41">
        <v>0</v>
      </c>
      <c r="X79" s="41">
        <v>0</v>
      </c>
      <c r="Y79" s="70">
        <f t="shared" si="15"/>
        <v>0</v>
      </c>
      <c r="Z79" s="41">
        <v>20</v>
      </c>
      <c r="AA79" s="41">
        <v>6</v>
      </c>
      <c r="AB79" s="70">
        <f t="shared" si="16"/>
        <v>8290905.4800000032</v>
      </c>
      <c r="AC79" s="41">
        <v>0</v>
      </c>
      <c r="AD79" s="41">
        <v>0</v>
      </c>
      <c r="AE79" s="70">
        <f t="shared" si="17"/>
        <v>0</v>
      </c>
      <c r="AF79" s="28">
        <f t="shared" si="18"/>
        <v>25485693.480000004</v>
      </c>
      <c r="AG79" s="28">
        <f t="shared" si="19"/>
        <v>24937.077769080239</v>
      </c>
    </row>
    <row r="80" spans="1:33" ht="57.6" x14ac:dyDescent="0.3">
      <c r="A80" s="41" t="s">
        <v>697</v>
      </c>
      <c r="B80" s="41" t="s">
        <v>694</v>
      </c>
      <c r="C80" s="41" t="s">
        <v>676</v>
      </c>
      <c r="D80" s="41" t="s">
        <v>124</v>
      </c>
      <c r="E80" s="41" t="s">
        <v>802</v>
      </c>
      <c r="F80" s="41" t="s">
        <v>709</v>
      </c>
      <c r="G80" s="67">
        <v>35000</v>
      </c>
      <c r="H80" s="41">
        <v>20</v>
      </c>
      <c r="I80" s="41">
        <v>5</v>
      </c>
      <c r="J80" s="83">
        <f t="shared" si="10"/>
        <v>3500000</v>
      </c>
      <c r="K80" s="41"/>
      <c r="L80" s="41"/>
      <c r="M80" s="70">
        <f t="shared" si="11"/>
        <v>0</v>
      </c>
      <c r="N80" s="41">
        <v>20</v>
      </c>
      <c r="O80" s="41">
        <v>5</v>
      </c>
      <c r="P80" s="70">
        <f t="shared" si="12"/>
        <v>4235000.0000000009</v>
      </c>
      <c r="Q80" s="41"/>
      <c r="R80" s="41"/>
      <c r="S80" s="70">
        <f t="shared" si="13"/>
        <v>0</v>
      </c>
      <c r="T80" s="41">
        <v>20</v>
      </c>
      <c r="U80" s="41">
        <v>5</v>
      </c>
      <c r="V80" s="70">
        <f t="shared" si="14"/>
        <v>5124350.0000000009</v>
      </c>
      <c r="W80" s="41"/>
      <c r="X80" s="41"/>
      <c r="Y80" s="70">
        <f t="shared" si="15"/>
        <v>0</v>
      </c>
      <c r="Z80" s="41">
        <v>20</v>
      </c>
      <c r="AA80" s="41">
        <v>5</v>
      </c>
      <c r="AB80" s="70">
        <f t="shared" si="16"/>
        <v>6200463.5000000037</v>
      </c>
      <c r="AC80" s="41"/>
      <c r="AD80" s="41"/>
      <c r="AE80" s="70">
        <f t="shared" si="17"/>
        <v>0</v>
      </c>
      <c r="AF80" s="28">
        <f t="shared" si="18"/>
        <v>19059813.500000007</v>
      </c>
      <c r="AG80" s="28">
        <f t="shared" si="19"/>
        <v>18649.523972602747</v>
      </c>
    </row>
    <row r="81" spans="1:48" ht="57.6" x14ac:dyDescent="0.3">
      <c r="A81" s="41" t="s">
        <v>697</v>
      </c>
      <c r="B81" s="41" t="s">
        <v>694</v>
      </c>
      <c r="C81" s="41" t="s">
        <v>676</v>
      </c>
      <c r="D81" s="41" t="s">
        <v>124</v>
      </c>
      <c r="E81" s="41" t="s">
        <v>803</v>
      </c>
      <c r="F81" s="41" t="s">
        <v>712</v>
      </c>
      <c r="G81" s="67">
        <v>211.42857142857142</v>
      </c>
      <c r="H81" s="41">
        <v>350</v>
      </c>
      <c r="I81" s="41">
        <v>5</v>
      </c>
      <c r="J81" s="83">
        <f t="shared" si="10"/>
        <v>370000</v>
      </c>
      <c r="K81" s="41"/>
      <c r="L81" s="41"/>
      <c r="M81" s="70">
        <f t="shared" si="11"/>
        <v>0</v>
      </c>
      <c r="N81" s="41">
        <v>350</v>
      </c>
      <c r="O81" s="41">
        <v>5</v>
      </c>
      <c r="P81" s="70">
        <f t="shared" si="12"/>
        <v>447700.00000000006</v>
      </c>
      <c r="Q81" s="41">
        <v>0</v>
      </c>
      <c r="R81" s="41">
        <v>0</v>
      </c>
      <c r="S81" s="70">
        <f t="shared" si="13"/>
        <v>0</v>
      </c>
      <c r="T81" s="41">
        <v>350</v>
      </c>
      <c r="U81" s="41">
        <v>5</v>
      </c>
      <c r="V81" s="70">
        <f t="shared" si="14"/>
        <v>541717</v>
      </c>
      <c r="W81" s="41">
        <v>0</v>
      </c>
      <c r="X81" s="41">
        <v>0</v>
      </c>
      <c r="Y81" s="70">
        <f t="shared" si="15"/>
        <v>0</v>
      </c>
      <c r="Z81" s="41">
        <v>350</v>
      </c>
      <c r="AA81" s="41">
        <v>5</v>
      </c>
      <c r="AB81" s="70">
        <f t="shared" si="16"/>
        <v>655477.5700000003</v>
      </c>
      <c r="AC81" s="41">
        <v>0</v>
      </c>
      <c r="AD81" s="41">
        <v>0</v>
      </c>
      <c r="AE81" s="70">
        <f t="shared" si="17"/>
        <v>0</v>
      </c>
      <c r="AF81" s="28">
        <f t="shared" si="18"/>
        <v>2014894.5700000003</v>
      </c>
      <c r="AG81" s="28">
        <f t="shared" si="19"/>
        <v>1971.5211056751471</v>
      </c>
    </row>
    <row r="82" spans="1:48" ht="57.6" x14ac:dyDescent="0.3">
      <c r="A82" s="41" t="s">
        <v>697</v>
      </c>
      <c r="B82" s="41" t="s">
        <v>694</v>
      </c>
      <c r="C82" s="41" t="s">
        <v>676</v>
      </c>
      <c r="D82" s="41" t="s">
        <v>124</v>
      </c>
      <c r="E82" s="41" t="s">
        <v>803</v>
      </c>
      <c r="F82" s="41" t="s">
        <v>1299</v>
      </c>
      <c r="G82" s="67">
        <v>211.42857142857142</v>
      </c>
      <c r="H82" s="41">
        <v>1890</v>
      </c>
      <c r="I82" s="41">
        <v>1</v>
      </c>
      <c r="J82" s="83">
        <f t="shared" si="10"/>
        <v>399600</v>
      </c>
      <c r="K82" s="41"/>
      <c r="L82" s="41"/>
      <c r="M82" s="70">
        <f t="shared" si="11"/>
        <v>0</v>
      </c>
      <c r="N82" s="41">
        <v>1890</v>
      </c>
      <c r="O82" s="41">
        <v>1</v>
      </c>
      <c r="P82" s="70">
        <f t="shared" si="12"/>
        <v>483516.00000000006</v>
      </c>
      <c r="Q82" s="41">
        <v>0</v>
      </c>
      <c r="R82" s="41">
        <v>0</v>
      </c>
      <c r="S82" s="70">
        <f t="shared" si="13"/>
        <v>0</v>
      </c>
      <c r="T82" s="41">
        <v>1890</v>
      </c>
      <c r="U82" s="41">
        <v>1</v>
      </c>
      <c r="V82" s="70">
        <f t="shared" si="14"/>
        <v>585054.3600000001</v>
      </c>
      <c r="W82" s="41">
        <v>0</v>
      </c>
      <c r="X82" s="41">
        <v>0</v>
      </c>
      <c r="Y82" s="70">
        <f t="shared" si="15"/>
        <v>0</v>
      </c>
      <c r="Z82" s="41">
        <v>1890</v>
      </c>
      <c r="AA82" s="41">
        <v>1</v>
      </c>
      <c r="AB82" s="70">
        <f t="shared" si="16"/>
        <v>707915.77560000028</v>
      </c>
      <c r="AC82" s="41">
        <v>0</v>
      </c>
      <c r="AD82" s="41">
        <v>0</v>
      </c>
      <c r="AE82" s="70">
        <f t="shared" si="17"/>
        <v>0</v>
      </c>
      <c r="AF82" s="28">
        <f t="shared" si="18"/>
        <v>2176086.1356000006</v>
      </c>
      <c r="AG82" s="28">
        <f t="shared" si="19"/>
        <v>2129.2427941291589</v>
      </c>
    </row>
    <row r="83" spans="1:48" ht="72" x14ac:dyDescent="0.3">
      <c r="A83" s="41" t="s">
        <v>697</v>
      </c>
      <c r="B83" s="41" t="s">
        <v>694</v>
      </c>
      <c r="C83" s="41" t="s">
        <v>676</v>
      </c>
      <c r="D83" s="41" t="s">
        <v>125</v>
      </c>
      <c r="E83" s="41" t="s">
        <v>585</v>
      </c>
      <c r="F83" s="41" t="s">
        <v>709</v>
      </c>
      <c r="G83" s="67">
        <v>35000</v>
      </c>
      <c r="H83" s="41"/>
      <c r="I83" s="41"/>
      <c r="J83" s="83">
        <f t="shared" si="10"/>
        <v>0</v>
      </c>
      <c r="K83" s="41">
        <v>0</v>
      </c>
      <c r="L83" s="41">
        <v>0</v>
      </c>
      <c r="M83" s="70">
        <f t="shared" si="11"/>
        <v>0</v>
      </c>
      <c r="N83" s="41">
        <v>60</v>
      </c>
      <c r="O83" s="41">
        <v>5</v>
      </c>
      <c r="P83" s="70">
        <f t="shared" si="12"/>
        <v>12705000.000000002</v>
      </c>
      <c r="Q83" s="41">
        <v>25</v>
      </c>
      <c r="R83" s="41">
        <v>21</v>
      </c>
      <c r="S83" s="70">
        <f t="shared" si="13"/>
        <v>24457125.000000011</v>
      </c>
      <c r="T83" s="41">
        <v>60</v>
      </c>
      <c r="U83" s="41">
        <v>5</v>
      </c>
      <c r="V83" s="70">
        <f t="shared" si="14"/>
        <v>15373050.000000004</v>
      </c>
      <c r="W83" s="41">
        <v>25</v>
      </c>
      <c r="X83" s="41">
        <v>21</v>
      </c>
      <c r="Y83" s="70">
        <f t="shared" si="15"/>
        <v>29593121.250000011</v>
      </c>
      <c r="Z83" s="41">
        <v>0</v>
      </c>
      <c r="AA83" s="41">
        <v>0</v>
      </c>
      <c r="AB83" s="70">
        <f t="shared" si="16"/>
        <v>0</v>
      </c>
      <c r="AC83" s="41">
        <v>25</v>
      </c>
      <c r="AD83" s="41">
        <v>21</v>
      </c>
      <c r="AE83" s="70">
        <f t="shared" si="17"/>
        <v>35807676.712500021</v>
      </c>
      <c r="AF83" s="28">
        <f t="shared" si="18"/>
        <v>117935972.96250005</v>
      </c>
      <c r="AG83" s="28">
        <f t="shared" si="19"/>
        <v>115397.2338184932</v>
      </c>
    </row>
    <row r="84" spans="1:48" ht="72" x14ac:dyDescent="0.3">
      <c r="A84" s="41" t="s">
        <v>697</v>
      </c>
      <c r="B84" s="41" t="s">
        <v>694</v>
      </c>
      <c r="C84" s="41" t="s">
        <v>676</v>
      </c>
      <c r="D84" s="41" t="s">
        <v>125</v>
      </c>
      <c r="E84" s="41" t="s">
        <v>585</v>
      </c>
      <c r="F84" s="41" t="s">
        <v>716</v>
      </c>
      <c r="G84" s="67">
        <v>39000</v>
      </c>
      <c r="H84" s="41"/>
      <c r="I84" s="41"/>
      <c r="J84" s="83">
        <f t="shared" si="10"/>
        <v>0</v>
      </c>
      <c r="K84" s="41"/>
      <c r="L84" s="41"/>
      <c r="M84" s="70">
        <f t="shared" si="11"/>
        <v>0</v>
      </c>
      <c r="N84" s="41"/>
      <c r="O84" s="41"/>
      <c r="P84" s="70">
        <f t="shared" si="12"/>
        <v>0</v>
      </c>
      <c r="Q84" s="41">
        <v>25</v>
      </c>
      <c r="R84" s="41">
        <v>21</v>
      </c>
      <c r="S84" s="70">
        <f t="shared" si="13"/>
        <v>27252225.000000011</v>
      </c>
      <c r="T84" s="41"/>
      <c r="U84" s="41"/>
      <c r="V84" s="70">
        <f t="shared" si="14"/>
        <v>0</v>
      </c>
      <c r="W84" s="41">
        <v>25</v>
      </c>
      <c r="X84" s="41">
        <v>21</v>
      </c>
      <c r="Y84" s="70">
        <f t="shared" si="15"/>
        <v>32975192.250000011</v>
      </c>
      <c r="Z84" s="41"/>
      <c r="AA84" s="41"/>
      <c r="AB84" s="70">
        <f t="shared" si="16"/>
        <v>0</v>
      </c>
      <c r="AC84" s="41">
        <v>25</v>
      </c>
      <c r="AD84" s="41">
        <v>21</v>
      </c>
      <c r="AE84" s="70">
        <f t="shared" si="17"/>
        <v>39899982.622500025</v>
      </c>
      <c r="AF84" s="28">
        <f t="shared" si="18"/>
        <v>100127399.87250005</v>
      </c>
      <c r="AG84" s="28">
        <f t="shared" si="19"/>
        <v>97972.015530821969</v>
      </c>
    </row>
    <row r="85" spans="1:48" ht="72" x14ac:dyDescent="0.3">
      <c r="A85" s="41" t="s">
        <v>697</v>
      </c>
      <c r="B85" s="41" t="s">
        <v>694</v>
      </c>
      <c r="C85" s="41" t="s">
        <v>676</v>
      </c>
      <c r="D85" s="41" t="s">
        <v>125</v>
      </c>
      <c r="E85" s="41" t="s">
        <v>585</v>
      </c>
      <c r="F85" s="41" t="s">
        <v>712</v>
      </c>
      <c r="G85" s="67">
        <v>211.42857142857142</v>
      </c>
      <c r="H85" s="41"/>
      <c r="I85" s="41"/>
      <c r="J85" s="83">
        <f t="shared" si="10"/>
        <v>0</v>
      </c>
      <c r="K85" s="41"/>
      <c r="L85" s="41"/>
      <c r="M85" s="70">
        <f t="shared" si="11"/>
        <v>0</v>
      </c>
      <c r="N85" s="41"/>
      <c r="O85" s="41"/>
      <c r="P85" s="70">
        <f t="shared" si="12"/>
        <v>0</v>
      </c>
      <c r="Q85" s="41">
        <v>450</v>
      </c>
      <c r="R85" s="41">
        <v>21</v>
      </c>
      <c r="S85" s="70">
        <f t="shared" si="13"/>
        <v>2659338.0000000005</v>
      </c>
      <c r="T85" s="41"/>
      <c r="U85" s="41"/>
      <c r="V85" s="70">
        <f t="shared" si="14"/>
        <v>0</v>
      </c>
      <c r="W85" s="41">
        <v>450</v>
      </c>
      <c r="X85" s="41">
        <v>21</v>
      </c>
      <c r="Y85" s="70">
        <f t="shared" si="15"/>
        <v>3217798.9800000009</v>
      </c>
      <c r="Z85" s="41"/>
      <c r="AA85" s="41"/>
      <c r="AB85" s="70">
        <f t="shared" si="16"/>
        <v>0</v>
      </c>
      <c r="AC85" s="41">
        <v>450</v>
      </c>
      <c r="AD85" s="41">
        <v>21</v>
      </c>
      <c r="AE85" s="70">
        <f t="shared" si="17"/>
        <v>3893536.7658000025</v>
      </c>
      <c r="AF85" s="28">
        <f t="shared" si="18"/>
        <v>9770673.7458000034</v>
      </c>
      <c r="AG85" s="28">
        <f t="shared" si="19"/>
        <v>9560.3461309197683</v>
      </c>
    </row>
    <row r="86" spans="1:48" ht="72" x14ac:dyDescent="0.3">
      <c r="A86" s="41" t="s">
        <v>697</v>
      </c>
      <c r="B86" s="41" t="s">
        <v>694</v>
      </c>
      <c r="C86" s="41" t="s">
        <v>676</v>
      </c>
      <c r="D86" s="41" t="s">
        <v>125</v>
      </c>
      <c r="E86" s="41" t="s">
        <v>585</v>
      </c>
      <c r="F86" s="41" t="s">
        <v>1299</v>
      </c>
      <c r="G86" s="67">
        <v>211.42857142857142</v>
      </c>
      <c r="H86" s="41"/>
      <c r="I86" s="41"/>
      <c r="J86" s="83">
        <f t="shared" si="10"/>
        <v>0</v>
      </c>
      <c r="K86" s="41"/>
      <c r="L86" s="41"/>
      <c r="M86" s="70">
        <f t="shared" si="11"/>
        <v>0</v>
      </c>
      <c r="N86" s="41"/>
      <c r="O86" s="41"/>
      <c r="P86" s="70">
        <f t="shared" si="12"/>
        <v>0</v>
      </c>
      <c r="Q86" s="41">
        <v>2430</v>
      </c>
      <c r="R86" s="41">
        <v>7</v>
      </c>
      <c r="S86" s="70">
        <f t="shared" si="13"/>
        <v>4786808.4000000004</v>
      </c>
      <c r="T86" s="41"/>
      <c r="U86" s="41"/>
      <c r="V86" s="70">
        <f t="shared" si="14"/>
        <v>0</v>
      </c>
      <c r="W86" s="41">
        <v>2430</v>
      </c>
      <c r="X86" s="41">
        <v>7</v>
      </c>
      <c r="Y86" s="70">
        <f t="shared" si="15"/>
        <v>5792038.1640000017</v>
      </c>
      <c r="Z86" s="41"/>
      <c r="AA86" s="41"/>
      <c r="AB86" s="70">
        <f t="shared" si="16"/>
        <v>0</v>
      </c>
      <c r="AC86" s="41">
        <v>2430</v>
      </c>
      <c r="AD86" s="41">
        <v>7</v>
      </c>
      <c r="AE86" s="70">
        <f t="shared" si="17"/>
        <v>7008366.1784400046</v>
      </c>
      <c r="AF86" s="28">
        <f t="shared" si="18"/>
        <v>17587212.742440008</v>
      </c>
      <c r="AG86" s="28">
        <f t="shared" si="19"/>
        <v>17208.623035655586</v>
      </c>
    </row>
    <row r="87" spans="1:48" ht="72" x14ac:dyDescent="0.3">
      <c r="A87" s="41" t="s">
        <v>697</v>
      </c>
      <c r="B87" s="41" t="s">
        <v>694</v>
      </c>
      <c r="C87" s="41" t="s">
        <v>676</v>
      </c>
      <c r="D87" s="41" t="s">
        <v>125</v>
      </c>
      <c r="E87" s="41" t="s">
        <v>586</v>
      </c>
      <c r="F87" s="41" t="s">
        <v>716</v>
      </c>
      <c r="G87" s="67">
        <v>39000</v>
      </c>
      <c r="H87" s="41"/>
      <c r="I87" s="41"/>
      <c r="J87" s="83">
        <f t="shared" si="10"/>
        <v>0</v>
      </c>
      <c r="K87" s="41">
        <v>0</v>
      </c>
      <c r="L87" s="41">
        <v>0</v>
      </c>
      <c r="M87" s="70">
        <f t="shared" si="11"/>
        <v>0</v>
      </c>
      <c r="N87" s="41"/>
      <c r="O87" s="41"/>
      <c r="P87" s="70">
        <f t="shared" si="12"/>
        <v>0</v>
      </c>
      <c r="Q87" s="41">
        <v>25</v>
      </c>
      <c r="R87" s="41">
        <v>6</v>
      </c>
      <c r="S87" s="70">
        <f t="shared" si="13"/>
        <v>7786350.0000000028</v>
      </c>
      <c r="T87" s="41">
        <v>25</v>
      </c>
      <c r="U87" s="41">
        <v>6</v>
      </c>
      <c r="V87" s="70">
        <f t="shared" si="14"/>
        <v>8564985.0000000037</v>
      </c>
      <c r="W87" s="41">
        <v>25</v>
      </c>
      <c r="X87" s="41">
        <v>6</v>
      </c>
      <c r="Y87" s="70">
        <f t="shared" si="15"/>
        <v>9421483.5000000037</v>
      </c>
      <c r="Z87" s="41">
        <v>25</v>
      </c>
      <c r="AA87" s="41">
        <v>6</v>
      </c>
      <c r="AB87" s="70">
        <f t="shared" si="16"/>
        <v>10363631.850000005</v>
      </c>
      <c r="AC87" s="41">
        <v>25</v>
      </c>
      <c r="AD87" s="41">
        <v>6</v>
      </c>
      <c r="AE87" s="70">
        <f t="shared" si="17"/>
        <v>11399995.035000006</v>
      </c>
      <c r="AF87" s="28">
        <f t="shared" si="18"/>
        <v>47536445.38500002</v>
      </c>
      <c r="AG87" s="28">
        <f t="shared" si="19"/>
        <v>46513.15595401176</v>
      </c>
    </row>
    <row r="88" spans="1:48" ht="72" x14ac:dyDescent="0.3">
      <c r="A88" s="41" t="s">
        <v>697</v>
      </c>
      <c r="B88" s="41" t="s">
        <v>694</v>
      </c>
      <c r="C88" s="41" t="s">
        <v>676</v>
      </c>
      <c r="D88" s="41" t="s">
        <v>125</v>
      </c>
      <c r="E88" s="41" t="s">
        <v>804</v>
      </c>
      <c r="F88" s="41" t="s">
        <v>709</v>
      </c>
      <c r="G88" s="67">
        <v>35000</v>
      </c>
      <c r="H88" s="41"/>
      <c r="I88" s="41"/>
      <c r="J88" s="83">
        <f t="shared" si="10"/>
        <v>0</v>
      </c>
      <c r="K88" s="41">
        <v>0</v>
      </c>
      <c r="L88" s="41">
        <v>0</v>
      </c>
      <c r="M88" s="70">
        <f t="shared" si="11"/>
        <v>0</v>
      </c>
      <c r="N88" s="41"/>
      <c r="O88" s="41"/>
      <c r="P88" s="70">
        <f t="shared" si="12"/>
        <v>0</v>
      </c>
      <c r="Q88" s="41">
        <v>25</v>
      </c>
      <c r="R88" s="41">
        <v>5</v>
      </c>
      <c r="S88" s="70">
        <f t="shared" si="13"/>
        <v>5823125.0000000019</v>
      </c>
      <c r="T88" s="41">
        <v>25</v>
      </c>
      <c r="U88" s="41">
        <v>5</v>
      </c>
      <c r="V88" s="70">
        <f t="shared" si="14"/>
        <v>6405437.5000000019</v>
      </c>
      <c r="W88" s="41">
        <v>25</v>
      </c>
      <c r="X88" s="41">
        <v>5</v>
      </c>
      <c r="Y88" s="70">
        <f t="shared" si="15"/>
        <v>7045981.2500000019</v>
      </c>
      <c r="Z88" s="41">
        <v>25</v>
      </c>
      <c r="AA88" s="41">
        <v>5</v>
      </c>
      <c r="AB88" s="70">
        <f t="shared" si="16"/>
        <v>7750579.3750000037</v>
      </c>
      <c r="AC88" s="41">
        <v>25</v>
      </c>
      <c r="AD88" s="41">
        <v>5</v>
      </c>
      <c r="AE88" s="70">
        <f t="shared" si="17"/>
        <v>8525637.3125000037</v>
      </c>
      <c r="AF88" s="28">
        <f t="shared" si="18"/>
        <v>35550760.437500015</v>
      </c>
      <c r="AG88" s="28">
        <f t="shared" si="19"/>
        <v>34785.479880136998</v>
      </c>
    </row>
    <row r="89" spans="1:48" ht="72" x14ac:dyDescent="0.3">
      <c r="A89" s="41" t="s">
        <v>697</v>
      </c>
      <c r="B89" s="41" t="s">
        <v>694</v>
      </c>
      <c r="C89" s="41" t="s">
        <v>676</v>
      </c>
      <c r="D89" s="41" t="s">
        <v>125</v>
      </c>
      <c r="E89" s="41" t="s">
        <v>805</v>
      </c>
      <c r="F89" s="41" t="s">
        <v>712</v>
      </c>
      <c r="G89" s="67">
        <v>211.42857142857142</v>
      </c>
      <c r="H89" s="41"/>
      <c r="I89" s="41"/>
      <c r="J89" s="83">
        <f t="shared" si="10"/>
        <v>0</v>
      </c>
      <c r="K89" s="41">
        <v>0</v>
      </c>
      <c r="L89" s="41">
        <v>0</v>
      </c>
      <c r="M89" s="70">
        <f t="shared" si="11"/>
        <v>0</v>
      </c>
      <c r="N89" s="41"/>
      <c r="O89" s="41"/>
      <c r="P89" s="70">
        <f t="shared" si="12"/>
        <v>0</v>
      </c>
      <c r="Q89" s="41">
        <v>450</v>
      </c>
      <c r="R89" s="41">
        <v>5</v>
      </c>
      <c r="S89" s="70">
        <f t="shared" si="13"/>
        <v>633175.71428571444</v>
      </c>
      <c r="T89" s="41">
        <v>450</v>
      </c>
      <c r="U89" s="41">
        <v>5</v>
      </c>
      <c r="V89" s="70">
        <f t="shared" si="14"/>
        <v>696493.28571428568</v>
      </c>
      <c r="W89" s="41">
        <v>450</v>
      </c>
      <c r="X89" s="41">
        <v>5</v>
      </c>
      <c r="Y89" s="70">
        <f t="shared" si="15"/>
        <v>766142.61428571446</v>
      </c>
      <c r="Z89" s="41">
        <v>450</v>
      </c>
      <c r="AA89" s="41">
        <v>5</v>
      </c>
      <c r="AB89" s="70">
        <f t="shared" si="16"/>
        <v>842756.875714286</v>
      </c>
      <c r="AC89" s="41">
        <v>450</v>
      </c>
      <c r="AD89" s="41">
        <v>5</v>
      </c>
      <c r="AE89" s="70">
        <f t="shared" si="17"/>
        <v>927032.56328571483</v>
      </c>
      <c r="AF89" s="28">
        <f t="shared" si="18"/>
        <v>3865601.0532857152</v>
      </c>
      <c r="AG89" s="28">
        <f t="shared" si="19"/>
        <v>3782.3885061504061</v>
      </c>
    </row>
    <row r="90" spans="1:48" ht="72" x14ac:dyDescent="0.3">
      <c r="A90" s="41" t="s">
        <v>697</v>
      </c>
      <c r="B90" s="41" t="s">
        <v>694</v>
      </c>
      <c r="C90" s="41" t="s">
        <v>676</v>
      </c>
      <c r="D90" s="41" t="s">
        <v>125</v>
      </c>
      <c r="E90" s="41" t="s">
        <v>805</v>
      </c>
      <c r="F90" s="41" t="s">
        <v>1299</v>
      </c>
      <c r="G90" s="67">
        <v>211.42857142857142</v>
      </c>
      <c r="H90" s="41"/>
      <c r="I90" s="41"/>
      <c r="J90" s="83">
        <f t="shared" si="10"/>
        <v>0</v>
      </c>
      <c r="K90" s="41"/>
      <c r="L90" s="41"/>
      <c r="M90" s="70">
        <f t="shared" si="11"/>
        <v>0</v>
      </c>
      <c r="N90" s="41"/>
      <c r="O90" s="41"/>
      <c r="P90" s="70">
        <f t="shared" si="12"/>
        <v>0</v>
      </c>
      <c r="Q90" s="41">
        <v>2430</v>
      </c>
      <c r="R90" s="41">
        <v>1</v>
      </c>
      <c r="S90" s="70">
        <f t="shared" si="13"/>
        <v>683829.77142857155</v>
      </c>
      <c r="T90" s="41">
        <v>2430</v>
      </c>
      <c r="U90" s="41">
        <v>1</v>
      </c>
      <c r="V90" s="70">
        <f t="shared" si="14"/>
        <v>752212.7485714287</v>
      </c>
      <c r="W90" s="41">
        <v>2430</v>
      </c>
      <c r="X90" s="41">
        <v>1</v>
      </c>
      <c r="Y90" s="70">
        <f t="shared" si="15"/>
        <v>827434.02342857164</v>
      </c>
      <c r="Z90" s="41">
        <v>2430</v>
      </c>
      <c r="AA90" s="41">
        <v>1</v>
      </c>
      <c r="AB90" s="70">
        <f t="shared" si="16"/>
        <v>910177.42577142885</v>
      </c>
      <c r="AC90" s="41">
        <v>2430</v>
      </c>
      <c r="AD90" s="41">
        <v>1</v>
      </c>
      <c r="AE90" s="70">
        <f t="shared" si="17"/>
        <v>1001195.1683485721</v>
      </c>
      <c r="AF90" s="28">
        <f t="shared" si="18"/>
        <v>4174849.1375485728</v>
      </c>
      <c r="AG90" s="28">
        <f t="shared" si="19"/>
        <v>4084.9795866424392</v>
      </c>
    </row>
    <row r="91" spans="1:48" x14ac:dyDescent="0.3">
      <c r="A91" s="53" t="s">
        <v>1296</v>
      </c>
      <c r="B91" s="63"/>
      <c r="C91" s="63"/>
      <c r="D91" s="63"/>
      <c r="E91" s="63"/>
      <c r="F91" s="63"/>
      <c r="G91" s="68"/>
      <c r="H91" s="63"/>
      <c r="I91" s="63"/>
      <c r="J91" s="90">
        <f>SUM(J41:J90)</f>
        <v>491420707.14285713</v>
      </c>
      <c r="K91" s="63"/>
      <c r="L91" s="63"/>
      <c r="M91" s="90">
        <f>SUM(M41:M90)</f>
        <v>26226140.8475</v>
      </c>
      <c r="N91" s="63"/>
      <c r="O91" s="63"/>
      <c r="P91" s="90">
        <f>SUM(P41:P90)</f>
        <v>688572634.02871442</v>
      </c>
      <c r="Q91" s="63"/>
      <c r="R91" s="63"/>
      <c r="S91" s="90">
        <f>SUM(S41:S90)</f>
        <v>74081976.885714307</v>
      </c>
      <c r="T91" s="63"/>
      <c r="U91" s="63"/>
      <c r="V91" s="90">
        <f>SUM(V41:V90)</f>
        <v>110984207.42915787</v>
      </c>
      <c r="W91" s="63"/>
      <c r="X91" s="63"/>
      <c r="Y91" s="90">
        <f>SUM(Y41:Y90)</f>
        <v>89639192.031714305</v>
      </c>
      <c r="Z91" s="63"/>
      <c r="AA91" s="63"/>
      <c r="AB91" s="90">
        <f>SUM(AB41:AB90)</f>
        <v>46722694.269742876</v>
      </c>
      <c r="AC91" s="63"/>
      <c r="AD91" s="63"/>
      <c r="AE91" s="90">
        <f>SUM(AE41:AE90)</f>
        <v>1167413902.0203769</v>
      </c>
      <c r="AF91" s="28">
        <f t="shared" si="18"/>
        <v>2695061454.6557779</v>
      </c>
      <c r="AG91" s="28">
        <f t="shared" si="19"/>
        <v>2637046.4331269842</v>
      </c>
      <c r="AH91" s="62"/>
      <c r="AI91" s="62"/>
      <c r="AJ91" s="62"/>
      <c r="AK91" s="62"/>
      <c r="AL91" s="62"/>
      <c r="AM91" s="62"/>
      <c r="AN91" s="62"/>
      <c r="AO91" s="62"/>
      <c r="AP91" s="62"/>
      <c r="AQ91" s="62"/>
      <c r="AR91" s="62"/>
      <c r="AS91" s="62"/>
      <c r="AT91" s="62"/>
      <c r="AU91" s="62"/>
      <c r="AV91" s="62"/>
    </row>
    <row r="92" spans="1:48" x14ac:dyDescent="0.3">
      <c r="A92" s="53" t="s">
        <v>1427</v>
      </c>
      <c r="B92" s="63"/>
      <c r="C92" s="63"/>
      <c r="D92" s="63"/>
      <c r="E92" s="63"/>
      <c r="F92" s="63"/>
      <c r="G92" s="68"/>
      <c r="H92" s="63"/>
      <c r="I92" s="63"/>
      <c r="J92" s="90">
        <f>J91/$AL$2</f>
        <v>480842.17920044728</v>
      </c>
      <c r="K92" s="63"/>
      <c r="L92" s="63"/>
      <c r="M92" s="90">
        <f>M91/$AL$2</f>
        <v>25661.585956457926</v>
      </c>
      <c r="N92" s="63"/>
      <c r="O92" s="63"/>
      <c r="P92" s="90">
        <f>P91/$AL$2</f>
        <v>673750.13114355621</v>
      </c>
      <c r="Q92" s="63"/>
      <c r="R92" s="63"/>
      <c r="S92" s="90">
        <f>S91/$AL$2</f>
        <v>72487.257226726331</v>
      </c>
      <c r="T92" s="63"/>
      <c r="U92" s="63"/>
      <c r="V92" s="90">
        <f>V91/$AL$2</f>
        <v>108595.11490132863</v>
      </c>
      <c r="W92" s="63"/>
      <c r="X92" s="63"/>
      <c r="Y92" s="90">
        <f>Y91/$AL$2</f>
        <v>87709.581244338857</v>
      </c>
      <c r="Z92" s="63"/>
      <c r="AA92" s="63"/>
      <c r="AB92" s="90">
        <f>AB91/$AL$2</f>
        <v>45716.921986049783</v>
      </c>
      <c r="AC92" s="63"/>
      <c r="AD92" s="63"/>
      <c r="AE92" s="90">
        <f>AE91/$AL$2</f>
        <v>1142283.6614680791</v>
      </c>
      <c r="AF92" s="90">
        <f>AF91/$AL$2</f>
        <v>2637046.4331269842</v>
      </c>
      <c r="AG92" s="28"/>
      <c r="AH92" s="62"/>
      <c r="AI92" s="62"/>
      <c r="AJ92" s="62"/>
      <c r="AK92" s="62"/>
      <c r="AL92" s="62"/>
      <c r="AM92" s="62"/>
      <c r="AN92" s="62"/>
      <c r="AO92" s="62"/>
      <c r="AP92" s="62"/>
      <c r="AQ92" s="62"/>
      <c r="AR92" s="62"/>
      <c r="AS92" s="62"/>
      <c r="AT92" s="62"/>
      <c r="AU92" s="62"/>
      <c r="AV92" s="62"/>
    </row>
    <row r="93" spans="1:48" ht="57.6" x14ac:dyDescent="0.3">
      <c r="A93" s="41" t="s">
        <v>697</v>
      </c>
      <c r="B93" s="41" t="s">
        <v>694</v>
      </c>
      <c r="C93" s="41" t="s">
        <v>677</v>
      </c>
      <c r="D93" s="41" t="s">
        <v>126</v>
      </c>
      <c r="E93" s="41" t="s">
        <v>466</v>
      </c>
      <c r="F93" s="41" t="s">
        <v>709</v>
      </c>
      <c r="G93" s="67">
        <v>35000</v>
      </c>
      <c r="H93" s="41">
        <v>50</v>
      </c>
      <c r="I93" s="41">
        <v>1</v>
      </c>
      <c r="J93" s="83">
        <f t="shared" si="10"/>
        <v>1750000</v>
      </c>
      <c r="K93" s="41">
        <v>0</v>
      </c>
      <c r="L93" s="41">
        <v>0</v>
      </c>
      <c r="M93" s="70">
        <f t="shared" si="11"/>
        <v>0</v>
      </c>
      <c r="N93" s="41">
        <v>0</v>
      </c>
      <c r="O93" s="41">
        <v>0</v>
      </c>
      <c r="P93" s="70">
        <f t="shared" si="12"/>
        <v>0</v>
      </c>
      <c r="Q93" s="41">
        <v>0</v>
      </c>
      <c r="R93" s="41">
        <v>0</v>
      </c>
      <c r="S93" s="70">
        <f t="shared" si="13"/>
        <v>0</v>
      </c>
      <c r="T93" s="41">
        <v>0</v>
      </c>
      <c r="U93" s="41">
        <v>0</v>
      </c>
      <c r="V93" s="70">
        <f t="shared" si="14"/>
        <v>0</v>
      </c>
      <c r="W93" s="41">
        <v>0</v>
      </c>
      <c r="X93" s="41">
        <v>0</v>
      </c>
      <c r="Y93" s="70">
        <f t="shared" si="15"/>
        <v>0</v>
      </c>
      <c r="Z93" s="41">
        <v>0</v>
      </c>
      <c r="AA93" s="41">
        <v>0</v>
      </c>
      <c r="AB93" s="70">
        <f t="shared" si="16"/>
        <v>0</v>
      </c>
      <c r="AC93" s="41">
        <v>0</v>
      </c>
      <c r="AD93" s="41">
        <v>0</v>
      </c>
      <c r="AE93" s="70">
        <f t="shared" si="17"/>
        <v>0</v>
      </c>
      <c r="AF93" s="28">
        <f t="shared" si="18"/>
        <v>1750000</v>
      </c>
      <c r="AG93" s="28">
        <f t="shared" si="19"/>
        <v>1712.3287671232877</v>
      </c>
    </row>
    <row r="94" spans="1:48" ht="57.6" x14ac:dyDescent="0.3">
      <c r="A94" s="41" t="s">
        <v>697</v>
      </c>
      <c r="B94" s="41" t="s">
        <v>694</v>
      </c>
      <c r="C94" s="41" t="s">
        <v>677</v>
      </c>
      <c r="D94" s="41" t="s">
        <v>126</v>
      </c>
      <c r="E94" s="41" t="s">
        <v>467</v>
      </c>
      <c r="F94" s="41" t="s">
        <v>709</v>
      </c>
      <c r="G94" s="67">
        <v>35000</v>
      </c>
      <c r="H94" s="41">
        <v>50</v>
      </c>
      <c r="I94" s="41">
        <v>1</v>
      </c>
      <c r="J94" s="83">
        <f t="shared" si="10"/>
        <v>1750000</v>
      </c>
      <c r="K94" s="41">
        <v>0</v>
      </c>
      <c r="L94" s="41">
        <v>0</v>
      </c>
      <c r="M94" s="70">
        <f t="shared" si="11"/>
        <v>0</v>
      </c>
      <c r="N94" s="41">
        <v>0</v>
      </c>
      <c r="O94" s="41">
        <v>0</v>
      </c>
      <c r="P94" s="70">
        <f t="shared" si="12"/>
        <v>0</v>
      </c>
      <c r="Q94" s="41">
        <v>0</v>
      </c>
      <c r="R94" s="41">
        <v>0</v>
      </c>
      <c r="S94" s="70">
        <f t="shared" si="13"/>
        <v>0</v>
      </c>
      <c r="T94" s="41">
        <v>0</v>
      </c>
      <c r="U94" s="41">
        <v>0</v>
      </c>
      <c r="V94" s="70">
        <f t="shared" si="14"/>
        <v>0</v>
      </c>
      <c r="W94" s="41">
        <v>0</v>
      </c>
      <c r="X94" s="41">
        <v>0</v>
      </c>
      <c r="Y94" s="70">
        <f t="shared" si="15"/>
        <v>0</v>
      </c>
      <c r="Z94" s="41">
        <v>0</v>
      </c>
      <c r="AA94" s="41">
        <v>0</v>
      </c>
      <c r="AB94" s="70">
        <f t="shared" si="16"/>
        <v>0</v>
      </c>
      <c r="AC94" s="41">
        <v>0</v>
      </c>
      <c r="AD94" s="41">
        <v>0</v>
      </c>
      <c r="AE94" s="70">
        <f t="shared" si="17"/>
        <v>0</v>
      </c>
      <c r="AF94" s="28">
        <f t="shared" si="18"/>
        <v>1750000</v>
      </c>
      <c r="AG94" s="28">
        <f t="shared" si="19"/>
        <v>1712.3287671232877</v>
      </c>
    </row>
    <row r="95" spans="1:48" ht="72" x14ac:dyDescent="0.3">
      <c r="A95" s="41" t="s">
        <v>697</v>
      </c>
      <c r="B95" s="41" t="s">
        <v>694</v>
      </c>
      <c r="C95" s="41" t="s">
        <v>677</v>
      </c>
      <c r="D95" s="41" t="s">
        <v>126</v>
      </c>
      <c r="E95" s="41" t="s">
        <v>468</v>
      </c>
      <c r="F95" s="41" t="s">
        <v>709</v>
      </c>
      <c r="G95" s="67">
        <v>35000</v>
      </c>
      <c r="H95" s="41">
        <v>50</v>
      </c>
      <c r="I95" s="41">
        <v>1</v>
      </c>
      <c r="J95" s="83">
        <f t="shared" si="10"/>
        <v>1750000</v>
      </c>
      <c r="K95" s="41">
        <v>0</v>
      </c>
      <c r="L95" s="41">
        <v>0</v>
      </c>
      <c r="M95" s="70">
        <f t="shared" si="11"/>
        <v>0</v>
      </c>
      <c r="N95" s="41">
        <v>0</v>
      </c>
      <c r="O95" s="41">
        <v>0</v>
      </c>
      <c r="P95" s="70">
        <f t="shared" si="12"/>
        <v>0</v>
      </c>
      <c r="Q95" s="41">
        <v>0</v>
      </c>
      <c r="R95" s="41">
        <v>0</v>
      </c>
      <c r="S95" s="70">
        <f t="shared" si="13"/>
        <v>0</v>
      </c>
      <c r="T95" s="41">
        <v>0</v>
      </c>
      <c r="U95" s="41">
        <v>0</v>
      </c>
      <c r="V95" s="70">
        <f t="shared" si="14"/>
        <v>0</v>
      </c>
      <c r="W95" s="41">
        <v>0</v>
      </c>
      <c r="X95" s="41">
        <v>0</v>
      </c>
      <c r="Y95" s="70">
        <f t="shared" si="15"/>
        <v>0</v>
      </c>
      <c r="Z95" s="41">
        <v>0</v>
      </c>
      <c r="AA95" s="41">
        <v>0</v>
      </c>
      <c r="AB95" s="70">
        <f t="shared" si="16"/>
        <v>0</v>
      </c>
      <c r="AC95" s="41">
        <v>0</v>
      </c>
      <c r="AD95" s="41">
        <v>0</v>
      </c>
      <c r="AE95" s="70">
        <f t="shared" si="17"/>
        <v>0</v>
      </c>
      <c r="AF95" s="28">
        <f t="shared" si="18"/>
        <v>1750000</v>
      </c>
      <c r="AG95" s="28">
        <f t="shared" si="19"/>
        <v>1712.3287671232877</v>
      </c>
    </row>
    <row r="96" spans="1:48" ht="57.6" x14ac:dyDescent="0.3">
      <c r="A96" s="41" t="s">
        <v>697</v>
      </c>
      <c r="B96" s="41" t="s">
        <v>694</v>
      </c>
      <c r="C96" s="41" t="s">
        <v>677</v>
      </c>
      <c r="D96" s="41" t="s">
        <v>126</v>
      </c>
      <c r="E96" s="41" t="s">
        <v>469</v>
      </c>
      <c r="F96" s="41" t="s">
        <v>709</v>
      </c>
      <c r="G96" s="67">
        <v>35000</v>
      </c>
      <c r="H96" s="41">
        <v>50</v>
      </c>
      <c r="I96" s="41">
        <v>1</v>
      </c>
      <c r="J96" s="83">
        <f t="shared" si="10"/>
        <v>1750000</v>
      </c>
      <c r="K96" s="41">
        <v>0</v>
      </c>
      <c r="L96" s="41">
        <v>0</v>
      </c>
      <c r="M96" s="70">
        <f t="shared" si="11"/>
        <v>0</v>
      </c>
      <c r="N96" s="41">
        <v>0</v>
      </c>
      <c r="O96" s="41">
        <v>0</v>
      </c>
      <c r="P96" s="70">
        <f t="shared" si="12"/>
        <v>0</v>
      </c>
      <c r="Q96" s="41">
        <v>0</v>
      </c>
      <c r="R96" s="41">
        <v>0</v>
      </c>
      <c r="S96" s="70">
        <f t="shared" si="13"/>
        <v>0</v>
      </c>
      <c r="T96" s="41">
        <v>0</v>
      </c>
      <c r="U96" s="41">
        <v>0</v>
      </c>
      <c r="V96" s="70">
        <f t="shared" si="14"/>
        <v>0</v>
      </c>
      <c r="W96" s="41">
        <v>0</v>
      </c>
      <c r="X96" s="41">
        <v>0</v>
      </c>
      <c r="Y96" s="70">
        <f t="shared" si="15"/>
        <v>0</v>
      </c>
      <c r="Z96" s="41">
        <v>0</v>
      </c>
      <c r="AA96" s="41">
        <v>0</v>
      </c>
      <c r="AB96" s="70">
        <f t="shared" si="16"/>
        <v>0</v>
      </c>
      <c r="AC96" s="41">
        <v>0</v>
      </c>
      <c r="AD96" s="41">
        <v>0</v>
      </c>
      <c r="AE96" s="70">
        <f t="shared" si="17"/>
        <v>0</v>
      </c>
      <c r="AF96" s="28">
        <f t="shared" si="18"/>
        <v>1750000</v>
      </c>
      <c r="AG96" s="28">
        <f t="shared" si="19"/>
        <v>1712.3287671232877</v>
      </c>
    </row>
    <row r="97" spans="1:33" ht="57.6" x14ac:dyDescent="0.3">
      <c r="A97" s="41" t="s">
        <v>697</v>
      </c>
      <c r="B97" s="41" t="s">
        <v>694</v>
      </c>
      <c r="C97" s="41" t="s">
        <v>677</v>
      </c>
      <c r="D97" s="41" t="s">
        <v>126</v>
      </c>
      <c r="E97" s="41" t="s">
        <v>470</v>
      </c>
      <c r="F97" s="41" t="s">
        <v>709</v>
      </c>
      <c r="G97" s="67">
        <v>35000</v>
      </c>
      <c r="H97" s="41">
        <v>50</v>
      </c>
      <c r="I97" s="41">
        <v>1</v>
      </c>
      <c r="J97" s="83">
        <f t="shared" si="10"/>
        <v>1750000</v>
      </c>
      <c r="K97" s="41">
        <v>0</v>
      </c>
      <c r="L97" s="41">
        <v>0</v>
      </c>
      <c r="M97" s="70">
        <f t="shared" si="11"/>
        <v>0</v>
      </c>
      <c r="N97" s="41">
        <v>0</v>
      </c>
      <c r="O97" s="41">
        <v>0</v>
      </c>
      <c r="P97" s="70">
        <f t="shared" si="12"/>
        <v>0</v>
      </c>
      <c r="Q97" s="41">
        <v>0</v>
      </c>
      <c r="R97" s="41">
        <v>0</v>
      </c>
      <c r="S97" s="70">
        <f t="shared" si="13"/>
        <v>0</v>
      </c>
      <c r="T97" s="41">
        <v>0</v>
      </c>
      <c r="U97" s="41">
        <v>0</v>
      </c>
      <c r="V97" s="70">
        <f t="shared" si="14"/>
        <v>0</v>
      </c>
      <c r="W97" s="41">
        <v>0</v>
      </c>
      <c r="X97" s="41">
        <v>0</v>
      </c>
      <c r="Y97" s="70">
        <f t="shared" si="15"/>
        <v>0</v>
      </c>
      <c r="Z97" s="41">
        <v>0</v>
      </c>
      <c r="AA97" s="41">
        <v>0</v>
      </c>
      <c r="AB97" s="70">
        <f t="shared" si="16"/>
        <v>0</v>
      </c>
      <c r="AC97" s="41">
        <v>0</v>
      </c>
      <c r="AD97" s="41">
        <v>0</v>
      </c>
      <c r="AE97" s="70">
        <f t="shared" si="17"/>
        <v>0</v>
      </c>
      <c r="AF97" s="28">
        <f t="shared" si="18"/>
        <v>1750000</v>
      </c>
      <c r="AG97" s="28">
        <f t="shared" si="19"/>
        <v>1712.3287671232877</v>
      </c>
    </row>
    <row r="98" spans="1:33" ht="57.6" x14ac:dyDescent="0.3">
      <c r="A98" s="41" t="s">
        <v>697</v>
      </c>
      <c r="B98" s="41" t="s">
        <v>694</v>
      </c>
      <c r="C98" s="41" t="s">
        <v>677</v>
      </c>
      <c r="D98" s="41" t="s">
        <v>126</v>
      </c>
      <c r="E98" s="41" t="s">
        <v>471</v>
      </c>
      <c r="F98" s="41" t="s">
        <v>709</v>
      </c>
      <c r="G98" s="67">
        <v>35000</v>
      </c>
      <c r="H98" s="41">
        <v>50</v>
      </c>
      <c r="I98" s="41">
        <v>1</v>
      </c>
      <c r="J98" s="83">
        <f t="shared" si="10"/>
        <v>1750000</v>
      </c>
      <c r="K98" s="41">
        <v>0</v>
      </c>
      <c r="L98" s="41">
        <v>0</v>
      </c>
      <c r="M98" s="70">
        <f t="shared" si="11"/>
        <v>0</v>
      </c>
      <c r="N98" s="41">
        <v>0</v>
      </c>
      <c r="O98" s="41">
        <v>0</v>
      </c>
      <c r="P98" s="70">
        <f t="shared" si="12"/>
        <v>0</v>
      </c>
      <c r="Q98" s="41">
        <v>0</v>
      </c>
      <c r="R98" s="41">
        <v>0</v>
      </c>
      <c r="S98" s="70">
        <f t="shared" si="13"/>
        <v>0</v>
      </c>
      <c r="T98" s="41">
        <v>0</v>
      </c>
      <c r="U98" s="41">
        <v>0</v>
      </c>
      <c r="V98" s="70">
        <f t="shared" si="14"/>
        <v>0</v>
      </c>
      <c r="W98" s="41">
        <v>0</v>
      </c>
      <c r="X98" s="41">
        <v>0</v>
      </c>
      <c r="Y98" s="70">
        <f t="shared" si="15"/>
        <v>0</v>
      </c>
      <c r="Z98" s="41">
        <v>0</v>
      </c>
      <c r="AA98" s="41">
        <v>0</v>
      </c>
      <c r="AB98" s="70">
        <f t="shared" si="16"/>
        <v>0</v>
      </c>
      <c r="AC98" s="41">
        <v>0</v>
      </c>
      <c r="AD98" s="41">
        <v>0</v>
      </c>
      <c r="AE98" s="70">
        <f t="shared" si="17"/>
        <v>0</v>
      </c>
      <c r="AF98" s="28">
        <f t="shared" si="18"/>
        <v>1750000</v>
      </c>
      <c r="AG98" s="28">
        <f t="shared" si="19"/>
        <v>1712.3287671232877</v>
      </c>
    </row>
    <row r="99" spans="1:33" ht="57.6" x14ac:dyDescent="0.3">
      <c r="A99" s="41" t="s">
        <v>697</v>
      </c>
      <c r="B99" s="41" t="s">
        <v>694</v>
      </c>
      <c r="C99" s="41" t="s">
        <v>677</v>
      </c>
      <c r="D99" s="41" t="s">
        <v>126</v>
      </c>
      <c r="E99" s="41" t="s">
        <v>472</v>
      </c>
      <c r="F99" s="41" t="s">
        <v>709</v>
      </c>
      <c r="G99" s="67">
        <v>35000</v>
      </c>
      <c r="H99" s="41">
        <v>50</v>
      </c>
      <c r="I99" s="41">
        <v>1</v>
      </c>
      <c r="J99" s="83">
        <f t="shared" si="10"/>
        <v>1750000</v>
      </c>
      <c r="K99" s="41">
        <v>0</v>
      </c>
      <c r="L99" s="41">
        <v>0</v>
      </c>
      <c r="M99" s="70">
        <f t="shared" si="11"/>
        <v>0</v>
      </c>
      <c r="N99" s="41">
        <v>0</v>
      </c>
      <c r="O99" s="41">
        <v>0</v>
      </c>
      <c r="P99" s="70">
        <f t="shared" si="12"/>
        <v>0</v>
      </c>
      <c r="Q99" s="41">
        <v>0</v>
      </c>
      <c r="R99" s="41">
        <v>0</v>
      </c>
      <c r="S99" s="70">
        <f t="shared" si="13"/>
        <v>0</v>
      </c>
      <c r="T99" s="41">
        <v>0</v>
      </c>
      <c r="U99" s="41">
        <v>0</v>
      </c>
      <c r="V99" s="70">
        <f t="shared" si="14"/>
        <v>0</v>
      </c>
      <c r="W99" s="41">
        <v>0</v>
      </c>
      <c r="X99" s="41">
        <v>0</v>
      </c>
      <c r="Y99" s="70">
        <f t="shared" si="15"/>
        <v>0</v>
      </c>
      <c r="Z99" s="41">
        <v>0</v>
      </c>
      <c r="AA99" s="41">
        <v>0</v>
      </c>
      <c r="AB99" s="70">
        <f t="shared" si="16"/>
        <v>0</v>
      </c>
      <c r="AC99" s="41">
        <v>0</v>
      </c>
      <c r="AD99" s="41">
        <v>0</v>
      </c>
      <c r="AE99" s="70">
        <f t="shared" si="17"/>
        <v>0</v>
      </c>
      <c r="AF99" s="28">
        <f t="shared" si="18"/>
        <v>1750000</v>
      </c>
      <c r="AG99" s="28">
        <f t="shared" si="19"/>
        <v>1712.3287671232877</v>
      </c>
    </row>
    <row r="100" spans="1:33" ht="57.6" x14ac:dyDescent="0.3">
      <c r="A100" s="41" t="s">
        <v>697</v>
      </c>
      <c r="B100" s="41" t="s">
        <v>694</v>
      </c>
      <c r="C100" s="41" t="s">
        <v>677</v>
      </c>
      <c r="D100" s="41" t="s">
        <v>126</v>
      </c>
      <c r="E100" s="41" t="s">
        <v>587</v>
      </c>
      <c r="F100" s="41" t="s">
        <v>709</v>
      </c>
      <c r="G100" s="67">
        <v>35000</v>
      </c>
      <c r="H100" s="41">
        <v>100</v>
      </c>
      <c r="I100" s="41">
        <v>1</v>
      </c>
      <c r="J100" s="83">
        <f t="shared" si="10"/>
        <v>3500000</v>
      </c>
      <c r="K100" s="41">
        <v>100</v>
      </c>
      <c r="L100" s="41">
        <v>1</v>
      </c>
      <c r="M100" s="70">
        <f t="shared" si="11"/>
        <v>3850000</v>
      </c>
      <c r="N100" s="41">
        <v>100</v>
      </c>
      <c r="O100" s="41">
        <v>1</v>
      </c>
      <c r="P100" s="70">
        <f t="shared" si="12"/>
        <v>4235000.0000000009</v>
      </c>
      <c r="Q100" s="41">
        <v>100</v>
      </c>
      <c r="R100" s="41">
        <v>1</v>
      </c>
      <c r="S100" s="70">
        <f t="shared" si="13"/>
        <v>4658500.0000000019</v>
      </c>
      <c r="T100" s="41">
        <v>100</v>
      </c>
      <c r="U100" s="41">
        <v>1</v>
      </c>
      <c r="V100" s="70">
        <f t="shared" si="14"/>
        <v>5124350.0000000019</v>
      </c>
      <c r="W100" s="41">
        <v>100</v>
      </c>
      <c r="X100" s="41">
        <v>1</v>
      </c>
      <c r="Y100" s="70">
        <f t="shared" si="15"/>
        <v>5636785.0000000019</v>
      </c>
      <c r="Z100" s="41">
        <v>100</v>
      </c>
      <c r="AA100" s="41">
        <v>1</v>
      </c>
      <c r="AB100" s="70">
        <f t="shared" si="16"/>
        <v>6200463.5000000028</v>
      </c>
      <c r="AC100" s="41">
        <v>100</v>
      </c>
      <c r="AD100" s="41">
        <v>1</v>
      </c>
      <c r="AE100" s="70">
        <f t="shared" si="17"/>
        <v>6820509.8500000034</v>
      </c>
      <c r="AF100" s="28">
        <f t="shared" si="18"/>
        <v>40025608.350000016</v>
      </c>
      <c r="AG100" s="28">
        <f t="shared" si="19"/>
        <v>39164.00034246577</v>
      </c>
    </row>
    <row r="101" spans="1:33" ht="57.6" x14ac:dyDescent="0.3">
      <c r="A101" s="41" t="s">
        <v>697</v>
      </c>
      <c r="B101" s="41" t="s">
        <v>694</v>
      </c>
      <c r="C101" s="41" t="s">
        <v>677</v>
      </c>
      <c r="D101" s="41" t="s">
        <v>127</v>
      </c>
      <c r="E101" s="41" t="s">
        <v>587</v>
      </c>
      <c r="F101" s="41" t="s">
        <v>709</v>
      </c>
      <c r="G101" s="67">
        <v>35000</v>
      </c>
      <c r="H101" s="41">
        <v>100</v>
      </c>
      <c r="I101" s="41">
        <v>1</v>
      </c>
      <c r="J101" s="83">
        <f t="shared" si="10"/>
        <v>3500000</v>
      </c>
      <c r="K101" s="41">
        <v>100</v>
      </c>
      <c r="L101" s="41">
        <v>1</v>
      </c>
      <c r="M101" s="70">
        <f t="shared" si="11"/>
        <v>3850000</v>
      </c>
      <c r="N101" s="41">
        <v>100</v>
      </c>
      <c r="O101" s="41">
        <v>1</v>
      </c>
      <c r="P101" s="70">
        <f t="shared" si="12"/>
        <v>4235000.0000000009</v>
      </c>
      <c r="Q101" s="41">
        <v>100</v>
      </c>
      <c r="R101" s="41">
        <v>1</v>
      </c>
      <c r="S101" s="70">
        <f t="shared" si="13"/>
        <v>4658500.0000000019</v>
      </c>
      <c r="T101" s="41">
        <v>100</v>
      </c>
      <c r="U101" s="41">
        <v>1</v>
      </c>
      <c r="V101" s="70">
        <f t="shared" si="14"/>
        <v>5124350.0000000019</v>
      </c>
      <c r="W101" s="41">
        <v>100</v>
      </c>
      <c r="X101" s="41">
        <v>1</v>
      </c>
      <c r="Y101" s="70">
        <f t="shared" si="15"/>
        <v>5636785.0000000019</v>
      </c>
      <c r="Z101" s="41">
        <v>100</v>
      </c>
      <c r="AA101" s="41">
        <v>1</v>
      </c>
      <c r="AB101" s="70">
        <f t="shared" si="16"/>
        <v>6200463.5000000028</v>
      </c>
      <c r="AC101" s="41">
        <v>100</v>
      </c>
      <c r="AD101" s="41">
        <v>1</v>
      </c>
      <c r="AE101" s="70">
        <f t="shared" si="17"/>
        <v>6820509.8500000034</v>
      </c>
      <c r="AF101" s="28">
        <f t="shared" si="18"/>
        <v>40025608.350000016</v>
      </c>
      <c r="AG101" s="28">
        <f t="shared" si="19"/>
        <v>39164.00034246577</v>
      </c>
    </row>
    <row r="102" spans="1:33" ht="57.6" x14ac:dyDescent="0.3">
      <c r="A102" s="41" t="s">
        <v>697</v>
      </c>
      <c r="B102" s="41" t="s">
        <v>694</v>
      </c>
      <c r="C102" s="41" t="s">
        <v>677</v>
      </c>
      <c r="D102" s="41" t="s">
        <v>128</v>
      </c>
      <c r="E102" s="41" t="s">
        <v>588</v>
      </c>
      <c r="F102" s="41" t="s">
        <v>709</v>
      </c>
      <c r="G102" s="67">
        <v>35000</v>
      </c>
      <c r="H102" s="41">
        <v>100</v>
      </c>
      <c r="I102" s="41">
        <v>2</v>
      </c>
      <c r="J102" s="83">
        <f t="shared" si="10"/>
        <v>7000000</v>
      </c>
      <c r="K102" s="41">
        <v>100</v>
      </c>
      <c r="L102" s="41">
        <v>2</v>
      </c>
      <c r="M102" s="70">
        <f t="shared" si="11"/>
        <v>7700000</v>
      </c>
      <c r="N102" s="41">
        <v>100</v>
      </c>
      <c r="O102" s="41">
        <v>2</v>
      </c>
      <c r="P102" s="70">
        <f t="shared" si="12"/>
        <v>8470000.0000000019</v>
      </c>
      <c r="Q102" s="41">
        <v>100</v>
      </c>
      <c r="R102" s="41">
        <v>2</v>
      </c>
      <c r="S102" s="70">
        <f t="shared" si="13"/>
        <v>9317000.0000000037</v>
      </c>
      <c r="T102" s="41">
        <v>100</v>
      </c>
      <c r="U102" s="41">
        <v>2</v>
      </c>
      <c r="V102" s="70">
        <f t="shared" si="14"/>
        <v>10248700.000000004</v>
      </c>
      <c r="W102" s="41">
        <v>100</v>
      </c>
      <c r="X102" s="41">
        <v>2</v>
      </c>
      <c r="Y102" s="70">
        <f t="shared" si="15"/>
        <v>11273570.000000004</v>
      </c>
      <c r="Z102" s="41">
        <v>100</v>
      </c>
      <c r="AA102" s="41">
        <v>2</v>
      </c>
      <c r="AB102" s="70">
        <f t="shared" si="16"/>
        <v>12400927.000000006</v>
      </c>
      <c r="AC102" s="41">
        <v>100</v>
      </c>
      <c r="AD102" s="41">
        <v>2</v>
      </c>
      <c r="AE102" s="70">
        <f t="shared" si="17"/>
        <v>13641019.700000007</v>
      </c>
      <c r="AF102" s="28">
        <f t="shared" si="18"/>
        <v>80051216.700000033</v>
      </c>
      <c r="AG102" s="28">
        <f t="shared" si="19"/>
        <v>78328.00068493154</v>
      </c>
    </row>
    <row r="103" spans="1:33" ht="57.6" x14ac:dyDescent="0.3">
      <c r="A103" s="41" t="s">
        <v>697</v>
      </c>
      <c r="B103" s="41" t="s">
        <v>694</v>
      </c>
      <c r="C103" s="41" t="s">
        <v>677</v>
      </c>
      <c r="D103" s="41" t="s">
        <v>129</v>
      </c>
      <c r="E103" s="41" t="s">
        <v>589</v>
      </c>
      <c r="F103" s="41" t="s">
        <v>718</v>
      </c>
      <c r="G103" s="67">
        <v>0</v>
      </c>
      <c r="H103" s="41">
        <v>0</v>
      </c>
      <c r="I103" s="41">
        <v>0</v>
      </c>
      <c r="J103" s="83">
        <f t="shared" si="10"/>
        <v>0</v>
      </c>
      <c r="K103" s="41">
        <v>0</v>
      </c>
      <c r="L103" s="41">
        <v>0</v>
      </c>
      <c r="M103" s="70">
        <f t="shared" si="11"/>
        <v>0</v>
      </c>
      <c r="N103" s="41">
        <v>0</v>
      </c>
      <c r="O103" s="41">
        <v>0</v>
      </c>
      <c r="P103" s="70">
        <f t="shared" si="12"/>
        <v>0</v>
      </c>
      <c r="Q103" s="41">
        <v>0</v>
      </c>
      <c r="R103" s="41">
        <v>0</v>
      </c>
      <c r="S103" s="70">
        <f t="shared" si="13"/>
        <v>0</v>
      </c>
      <c r="T103" s="41">
        <v>0</v>
      </c>
      <c r="U103" s="41">
        <v>0</v>
      </c>
      <c r="V103" s="70">
        <f t="shared" si="14"/>
        <v>0</v>
      </c>
      <c r="W103" s="41">
        <v>0</v>
      </c>
      <c r="X103" s="41">
        <v>0</v>
      </c>
      <c r="Y103" s="70">
        <f t="shared" si="15"/>
        <v>0</v>
      </c>
      <c r="Z103" s="41">
        <v>0</v>
      </c>
      <c r="AA103" s="41">
        <v>0</v>
      </c>
      <c r="AB103" s="70">
        <f t="shared" si="16"/>
        <v>0</v>
      </c>
      <c r="AC103" s="41">
        <v>0</v>
      </c>
      <c r="AD103" s="41">
        <v>0</v>
      </c>
      <c r="AE103" s="70">
        <f t="shared" si="17"/>
        <v>0</v>
      </c>
      <c r="AF103" s="28">
        <f t="shared" si="18"/>
        <v>0</v>
      </c>
      <c r="AG103" s="28">
        <f t="shared" si="19"/>
        <v>0</v>
      </c>
    </row>
    <row r="104" spans="1:33" ht="57.6" x14ac:dyDescent="0.3">
      <c r="A104" s="41" t="s">
        <v>697</v>
      </c>
      <c r="B104" s="41" t="s">
        <v>694</v>
      </c>
      <c r="C104" s="41" t="s">
        <v>677</v>
      </c>
      <c r="D104" s="41" t="s">
        <v>129</v>
      </c>
      <c r="E104" s="41" t="s">
        <v>590</v>
      </c>
      <c r="F104" s="41" t="s">
        <v>716</v>
      </c>
      <c r="G104" s="67">
        <v>39000</v>
      </c>
      <c r="H104" s="41">
        <v>25</v>
      </c>
      <c r="I104" s="41">
        <v>6</v>
      </c>
      <c r="J104" s="83">
        <f t="shared" si="10"/>
        <v>5850000</v>
      </c>
      <c r="K104" s="41">
        <v>25</v>
      </c>
      <c r="L104" s="41">
        <v>6</v>
      </c>
      <c r="M104" s="70">
        <f t="shared" si="11"/>
        <v>6435000</v>
      </c>
      <c r="N104" s="41"/>
      <c r="O104" s="41"/>
      <c r="P104" s="70">
        <f t="shared" si="12"/>
        <v>0</v>
      </c>
      <c r="Q104" s="41">
        <v>25</v>
      </c>
      <c r="R104" s="41">
        <v>6</v>
      </c>
      <c r="S104" s="70">
        <f t="shared" si="13"/>
        <v>7786350.0000000028</v>
      </c>
      <c r="T104" s="41">
        <v>0</v>
      </c>
      <c r="U104" s="41">
        <v>0</v>
      </c>
      <c r="V104" s="70">
        <f t="shared" si="14"/>
        <v>0</v>
      </c>
      <c r="W104" s="41">
        <v>25</v>
      </c>
      <c r="X104" s="41">
        <v>6</v>
      </c>
      <c r="Y104" s="70">
        <f t="shared" si="15"/>
        <v>9421483.5000000037</v>
      </c>
      <c r="Z104" s="41"/>
      <c r="AA104" s="41"/>
      <c r="AB104" s="70">
        <f t="shared" si="16"/>
        <v>0</v>
      </c>
      <c r="AC104" s="41">
        <v>25</v>
      </c>
      <c r="AD104" s="41">
        <v>6</v>
      </c>
      <c r="AE104" s="70">
        <f t="shared" si="17"/>
        <v>11399995.035000006</v>
      </c>
      <c r="AF104" s="28">
        <f t="shared" si="18"/>
        <v>40892828.535000011</v>
      </c>
      <c r="AG104" s="28">
        <f t="shared" si="19"/>
        <v>40012.552382583184</v>
      </c>
    </row>
    <row r="105" spans="1:33" ht="57.6" x14ac:dyDescent="0.3">
      <c r="A105" s="41" t="s">
        <v>697</v>
      </c>
      <c r="B105" s="41" t="s">
        <v>694</v>
      </c>
      <c r="C105" s="41" t="s">
        <v>677</v>
      </c>
      <c r="D105" s="41" t="s">
        <v>129</v>
      </c>
      <c r="E105" s="41" t="s">
        <v>590</v>
      </c>
      <c r="F105" s="41" t="s">
        <v>709</v>
      </c>
      <c r="G105" s="67">
        <v>35000</v>
      </c>
      <c r="H105" s="41">
        <v>25</v>
      </c>
      <c r="I105" s="41">
        <v>5</v>
      </c>
      <c r="J105" s="83">
        <f t="shared" si="10"/>
        <v>4375000</v>
      </c>
      <c r="K105" s="41">
        <v>25</v>
      </c>
      <c r="L105" s="41">
        <v>5</v>
      </c>
      <c r="M105" s="70">
        <f t="shared" si="11"/>
        <v>4812500</v>
      </c>
      <c r="N105" s="41"/>
      <c r="O105" s="41"/>
      <c r="P105" s="70">
        <f t="shared" si="12"/>
        <v>0</v>
      </c>
      <c r="Q105" s="41">
        <v>25</v>
      </c>
      <c r="R105" s="41">
        <v>5</v>
      </c>
      <c r="S105" s="70">
        <f t="shared" si="13"/>
        <v>5823125.0000000019</v>
      </c>
      <c r="T105" s="41">
        <v>0</v>
      </c>
      <c r="U105" s="41">
        <v>0</v>
      </c>
      <c r="V105" s="70">
        <f t="shared" si="14"/>
        <v>0</v>
      </c>
      <c r="W105" s="41">
        <v>25</v>
      </c>
      <c r="X105" s="41">
        <v>5</v>
      </c>
      <c r="Y105" s="70">
        <f t="shared" si="15"/>
        <v>7045981.2500000019</v>
      </c>
      <c r="Z105" s="41"/>
      <c r="AA105" s="41"/>
      <c r="AB105" s="70">
        <f t="shared" si="16"/>
        <v>0</v>
      </c>
      <c r="AC105" s="41">
        <v>25</v>
      </c>
      <c r="AD105" s="41">
        <v>5</v>
      </c>
      <c r="AE105" s="70">
        <f t="shared" si="17"/>
        <v>8525637.3125000037</v>
      </c>
      <c r="AF105" s="28">
        <f t="shared" si="18"/>
        <v>30582243.562500007</v>
      </c>
      <c r="AG105" s="28">
        <f t="shared" si="19"/>
        <v>29923.917380136994</v>
      </c>
    </row>
    <row r="106" spans="1:33" ht="57.6" x14ac:dyDescent="0.3">
      <c r="A106" s="41" t="s">
        <v>697</v>
      </c>
      <c r="B106" s="41" t="s">
        <v>694</v>
      </c>
      <c r="C106" s="41" t="s">
        <v>677</v>
      </c>
      <c r="D106" s="41" t="s">
        <v>129</v>
      </c>
      <c r="E106" s="41" t="s">
        <v>590</v>
      </c>
      <c r="F106" s="41" t="s">
        <v>712</v>
      </c>
      <c r="G106" s="67">
        <v>211.42857142857142</v>
      </c>
      <c r="H106" s="41">
        <v>450</v>
      </c>
      <c r="I106" s="41">
        <v>5</v>
      </c>
      <c r="J106" s="83">
        <f t="shared" si="10"/>
        <v>475714.28571428568</v>
      </c>
      <c r="K106" s="41">
        <v>450</v>
      </c>
      <c r="L106" s="41">
        <v>5</v>
      </c>
      <c r="M106" s="70">
        <f t="shared" si="11"/>
        <v>523285.71428571432</v>
      </c>
      <c r="N106" s="41"/>
      <c r="O106" s="41"/>
      <c r="P106" s="70">
        <f t="shared" si="12"/>
        <v>0</v>
      </c>
      <c r="Q106" s="41">
        <v>450</v>
      </c>
      <c r="R106" s="41">
        <v>5</v>
      </c>
      <c r="S106" s="70">
        <f t="shared" si="13"/>
        <v>633175.71428571444</v>
      </c>
      <c r="T106" s="41">
        <v>0</v>
      </c>
      <c r="U106" s="41">
        <v>0</v>
      </c>
      <c r="V106" s="70">
        <f t="shared" si="14"/>
        <v>0</v>
      </c>
      <c r="W106" s="41">
        <v>450</v>
      </c>
      <c r="X106" s="41">
        <v>5</v>
      </c>
      <c r="Y106" s="70">
        <f t="shared" si="15"/>
        <v>766142.61428571446</v>
      </c>
      <c r="Z106" s="41"/>
      <c r="AA106" s="41"/>
      <c r="AB106" s="70">
        <f t="shared" si="16"/>
        <v>0</v>
      </c>
      <c r="AC106" s="41">
        <v>450</v>
      </c>
      <c r="AD106" s="41">
        <v>5</v>
      </c>
      <c r="AE106" s="70">
        <f t="shared" si="17"/>
        <v>927032.56328571483</v>
      </c>
      <c r="AF106" s="28">
        <f t="shared" si="18"/>
        <v>3325350.891857144</v>
      </c>
      <c r="AG106" s="28">
        <f t="shared" si="19"/>
        <v>3253.7679959463248</v>
      </c>
    </row>
    <row r="107" spans="1:33" ht="57.6" x14ac:dyDescent="0.3">
      <c r="A107" s="41" t="s">
        <v>697</v>
      </c>
      <c r="B107" s="41" t="s">
        <v>694</v>
      </c>
      <c r="C107" s="41" t="s">
        <v>677</v>
      </c>
      <c r="D107" s="41" t="s">
        <v>129</v>
      </c>
      <c r="E107" s="41" t="s">
        <v>590</v>
      </c>
      <c r="F107" s="41" t="s">
        <v>1299</v>
      </c>
      <c r="G107" s="67">
        <v>211.42857142857142</v>
      </c>
      <c r="H107" s="41">
        <v>2430</v>
      </c>
      <c r="I107" s="41">
        <v>1</v>
      </c>
      <c r="J107" s="83">
        <f t="shared" si="10"/>
        <v>513771.42857142852</v>
      </c>
      <c r="K107" s="41">
        <v>2430</v>
      </c>
      <c r="L107" s="41">
        <v>1</v>
      </c>
      <c r="M107" s="70">
        <f t="shared" si="11"/>
        <v>565148.57142857148</v>
      </c>
      <c r="N107" s="41"/>
      <c r="O107" s="41"/>
      <c r="P107" s="70">
        <f t="shared" si="12"/>
        <v>0</v>
      </c>
      <c r="Q107" s="41">
        <v>2430</v>
      </c>
      <c r="R107" s="41">
        <v>1</v>
      </c>
      <c r="S107" s="70">
        <f t="shared" si="13"/>
        <v>683829.77142857155</v>
      </c>
      <c r="T107" s="41"/>
      <c r="U107" s="41"/>
      <c r="V107" s="70">
        <f t="shared" si="14"/>
        <v>0</v>
      </c>
      <c r="W107" s="41">
        <v>2430</v>
      </c>
      <c r="X107" s="41">
        <v>1</v>
      </c>
      <c r="Y107" s="70">
        <f t="shared" si="15"/>
        <v>827434.02342857164</v>
      </c>
      <c r="Z107" s="41"/>
      <c r="AA107" s="41"/>
      <c r="AB107" s="70">
        <f t="shared" si="16"/>
        <v>0</v>
      </c>
      <c r="AC107" s="41">
        <v>2430</v>
      </c>
      <c r="AD107" s="41">
        <v>1</v>
      </c>
      <c r="AE107" s="70">
        <f t="shared" si="17"/>
        <v>1001195.1683485721</v>
      </c>
      <c r="AF107" s="28">
        <f t="shared" si="18"/>
        <v>3591378.9632057156</v>
      </c>
      <c r="AG107" s="28">
        <f t="shared" si="19"/>
        <v>3514.0694356220311</v>
      </c>
    </row>
    <row r="108" spans="1:33" ht="57.6" x14ac:dyDescent="0.3">
      <c r="A108" s="41" t="s">
        <v>697</v>
      </c>
      <c r="B108" s="41" t="s">
        <v>694</v>
      </c>
      <c r="C108" s="41" t="s">
        <v>677</v>
      </c>
      <c r="D108" s="41" t="s">
        <v>129</v>
      </c>
      <c r="E108" s="41" t="s">
        <v>591</v>
      </c>
      <c r="F108" s="41" t="s">
        <v>718</v>
      </c>
      <c r="G108" s="67">
        <v>0</v>
      </c>
      <c r="H108" s="41">
        <v>0</v>
      </c>
      <c r="I108" s="41">
        <v>0</v>
      </c>
      <c r="J108" s="83">
        <f t="shared" si="10"/>
        <v>0</v>
      </c>
      <c r="K108" s="41">
        <v>0</v>
      </c>
      <c r="L108" s="41">
        <v>0</v>
      </c>
      <c r="M108" s="70">
        <f t="shared" si="11"/>
        <v>0</v>
      </c>
      <c r="N108" s="41">
        <v>0</v>
      </c>
      <c r="O108" s="41">
        <v>0</v>
      </c>
      <c r="P108" s="70">
        <f t="shared" si="12"/>
        <v>0</v>
      </c>
      <c r="Q108" s="41">
        <v>0</v>
      </c>
      <c r="R108" s="41">
        <v>0</v>
      </c>
      <c r="S108" s="70">
        <f t="shared" si="13"/>
        <v>0</v>
      </c>
      <c r="T108" s="41">
        <v>0</v>
      </c>
      <c r="U108" s="41">
        <v>0</v>
      </c>
      <c r="V108" s="70">
        <f t="shared" si="14"/>
        <v>0</v>
      </c>
      <c r="W108" s="41">
        <v>0</v>
      </c>
      <c r="X108" s="41">
        <v>0</v>
      </c>
      <c r="Y108" s="70">
        <f t="shared" si="15"/>
        <v>0</v>
      </c>
      <c r="Z108" s="41">
        <v>0</v>
      </c>
      <c r="AA108" s="41">
        <v>0</v>
      </c>
      <c r="AB108" s="70">
        <f t="shared" si="16"/>
        <v>0</v>
      </c>
      <c r="AC108" s="41">
        <v>0</v>
      </c>
      <c r="AD108" s="41">
        <v>0</v>
      </c>
      <c r="AE108" s="70">
        <f t="shared" si="17"/>
        <v>0</v>
      </c>
      <c r="AF108" s="28">
        <f t="shared" si="18"/>
        <v>0</v>
      </c>
      <c r="AG108" s="28">
        <f t="shared" si="19"/>
        <v>0</v>
      </c>
    </row>
    <row r="109" spans="1:33" ht="57.6" x14ac:dyDescent="0.3">
      <c r="A109" s="41" t="s">
        <v>697</v>
      </c>
      <c r="B109" s="41" t="s">
        <v>694</v>
      </c>
      <c r="C109" s="41" t="s">
        <v>677</v>
      </c>
      <c r="D109" s="41" t="s">
        <v>129</v>
      </c>
      <c r="E109" s="41" t="s">
        <v>592</v>
      </c>
      <c r="F109" s="41" t="s">
        <v>718</v>
      </c>
      <c r="G109" s="67">
        <v>0</v>
      </c>
      <c r="H109" s="41">
        <v>0</v>
      </c>
      <c r="I109" s="41">
        <v>0</v>
      </c>
      <c r="J109" s="83">
        <f t="shared" si="10"/>
        <v>0</v>
      </c>
      <c r="K109" s="41">
        <v>0</v>
      </c>
      <c r="L109" s="41">
        <v>0</v>
      </c>
      <c r="M109" s="70">
        <f t="shared" si="11"/>
        <v>0</v>
      </c>
      <c r="N109" s="41">
        <v>0</v>
      </c>
      <c r="O109" s="41">
        <v>0</v>
      </c>
      <c r="P109" s="70">
        <f t="shared" si="12"/>
        <v>0</v>
      </c>
      <c r="Q109" s="41">
        <v>0</v>
      </c>
      <c r="R109" s="41">
        <v>0</v>
      </c>
      <c r="S109" s="70">
        <f t="shared" si="13"/>
        <v>0</v>
      </c>
      <c r="T109" s="41">
        <v>0</v>
      </c>
      <c r="U109" s="41">
        <v>0</v>
      </c>
      <c r="V109" s="70">
        <f t="shared" si="14"/>
        <v>0</v>
      </c>
      <c r="W109" s="41">
        <v>0</v>
      </c>
      <c r="X109" s="41">
        <v>0</v>
      </c>
      <c r="Y109" s="70">
        <f t="shared" si="15"/>
        <v>0</v>
      </c>
      <c r="Z109" s="41">
        <v>0</v>
      </c>
      <c r="AA109" s="41">
        <v>0</v>
      </c>
      <c r="AB109" s="70">
        <f t="shared" si="16"/>
        <v>0</v>
      </c>
      <c r="AC109" s="41">
        <v>0</v>
      </c>
      <c r="AD109" s="41">
        <v>0</v>
      </c>
      <c r="AE109" s="70">
        <f t="shared" si="17"/>
        <v>0</v>
      </c>
      <c r="AF109" s="28">
        <f t="shared" si="18"/>
        <v>0</v>
      </c>
      <c r="AG109" s="28">
        <f t="shared" si="19"/>
        <v>0</v>
      </c>
    </row>
    <row r="110" spans="1:33" ht="57.6" x14ac:dyDescent="0.3">
      <c r="A110" s="41" t="s">
        <v>697</v>
      </c>
      <c r="B110" s="41" t="s">
        <v>694</v>
      </c>
      <c r="C110" s="41" t="s">
        <v>677</v>
      </c>
      <c r="D110" s="41" t="s">
        <v>130</v>
      </c>
      <c r="E110" s="41" t="s">
        <v>593</v>
      </c>
      <c r="F110" s="41" t="s">
        <v>718</v>
      </c>
      <c r="G110" s="67">
        <v>0</v>
      </c>
      <c r="H110" s="41">
        <v>0</v>
      </c>
      <c r="I110" s="41">
        <v>0</v>
      </c>
      <c r="J110" s="83">
        <f t="shared" si="10"/>
        <v>0</v>
      </c>
      <c r="K110" s="41">
        <v>0</v>
      </c>
      <c r="L110" s="41">
        <v>0</v>
      </c>
      <c r="M110" s="70">
        <f t="shared" si="11"/>
        <v>0</v>
      </c>
      <c r="N110" s="41">
        <v>0</v>
      </c>
      <c r="O110" s="41">
        <v>0</v>
      </c>
      <c r="P110" s="70">
        <f t="shared" si="12"/>
        <v>0</v>
      </c>
      <c r="Q110" s="41">
        <v>0</v>
      </c>
      <c r="R110" s="41">
        <v>0</v>
      </c>
      <c r="S110" s="70">
        <f t="shared" si="13"/>
        <v>0</v>
      </c>
      <c r="T110" s="41">
        <v>0</v>
      </c>
      <c r="U110" s="41">
        <v>0</v>
      </c>
      <c r="V110" s="70">
        <f t="shared" si="14"/>
        <v>0</v>
      </c>
      <c r="W110" s="41">
        <v>0</v>
      </c>
      <c r="X110" s="41">
        <v>0</v>
      </c>
      <c r="Y110" s="70">
        <f t="shared" si="15"/>
        <v>0</v>
      </c>
      <c r="Z110" s="41">
        <v>0</v>
      </c>
      <c r="AA110" s="41">
        <v>0</v>
      </c>
      <c r="AB110" s="70">
        <f t="shared" si="16"/>
        <v>0</v>
      </c>
      <c r="AC110" s="41">
        <v>0</v>
      </c>
      <c r="AD110" s="41">
        <v>0</v>
      </c>
      <c r="AE110" s="70">
        <f t="shared" si="17"/>
        <v>0</v>
      </c>
      <c r="AF110" s="28">
        <f t="shared" si="18"/>
        <v>0</v>
      </c>
      <c r="AG110" s="28">
        <f t="shared" si="19"/>
        <v>0</v>
      </c>
    </row>
    <row r="111" spans="1:33" ht="57.6" x14ac:dyDescent="0.3">
      <c r="A111" s="41" t="s">
        <v>697</v>
      </c>
      <c r="B111" s="41" t="s">
        <v>694</v>
      </c>
      <c r="C111" s="41" t="s">
        <v>677</v>
      </c>
      <c r="D111" s="41" t="s">
        <v>130</v>
      </c>
      <c r="E111" s="41" t="s">
        <v>149</v>
      </c>
      <c r="F111" s="41" t="s">
        <v>707</v>
      </c>
      <c r="G111" s="67">
        <v>391991.03749999998</v>
      </c>
      <c r="H111" s="41">
        <v>2</v>
      </c>
      <c r="I111" s="41">
        <v>2</v>
      </c>
      <c r="J111" s="83">
        <f t="shared" si="10"/>
        <v>1567964.15</v>
      </c>
      <c r="K111" s="41">
        <v>0</v>
      </c>
      <c r="L111" s="41">
        <v>0</v>
      </c>
      <c r="M111" s="70">
        <f t="shared" si="11"/>
        <v>0</v>
      </c>
      <c r="N111" s="41">
        <v>0</v>
      </c>
      <c r="O111" s="41">
        <v>0</v>
      </c>
      <c r="P111" s="70">
        <f t="shared" si="12"/>
        <v>0</v>
      </c>
      <c r="Q111" s="41">
        <v>2</v>
      </c>
      <c r="R111" s="41">
        <v>2</v>
      </c>
      <c r="S111" s="70">
        <f t="shared" si="13"/>
        <v>2086960.2836500006</v>
      </c>
      <c r="T111" s="41">
        <v>0</v>
      </c>
      <c r="U111" s="41">
        <v>0</v>
      </c>
      <c r="V111" s="70">
        <f t="shared" si="14"/>
        <v>0</v>
      </c>
      <c r="W111" s="41">
        <v>2</v>
      </c>
      <c r="X111" s="41">
        <v>2</v>
      </c>
      <c r="Y111" s="70">
        <f t="shared" si="15"/>
        <v>2525221.9432165008</v>
      </c>
      <c r="Z111" s="41">
        <v>0</v>
      </c>
      <c r="AA111" s="41">
        <v>0</v>
      </c>
      <c r="AB111" s="70">
        <f t="shared" si="16"/>
        <v>0</v>
      </c>
      <c r="AC111" s="41">
        <v>2</v>
      </c>
      <c r="AD111" s="41">
        <v>2</v>
      </c>
      <c r="AE111" s="70">
        <f t="shared" si="17"/>
        <v>3055518.5512919668</v>
      </c>
      <c r="AF111" s="28">
        <f t="shared" si="18"/>
        <v>9235664.9281584676</v>
      </c>
      <c r="AG111" s="28">
        <f t="shared" si="19"/>
        <v>9036.8541371413576</v>
      </c>
    </row>
    <row r="112" spans="1:33" ht="57.6" x14ac:dyDescent="0.3">
      <c r="A112" s="41" t="s">
        <v>697</v>
      </c>
      <c r="B112" s="41" t="s">
        <v>694</v>
      </c>
      <c r="C112" s="41" t="s">
        <v>677</v>
      </c>
      <c r="D112" s="41" t="s">
        <v>130</v>
      </c>
      <c r="E112" s="41" t="s">
        <v>149</v>
      </c>
      <c r="F112" s="41" t="s">
        <v>708</v>
      </c>
      <c r="G112" s="67">
        <v>511000</v>
      </c>
      <c r="H112" s="41">
        <v>0</v>
      </c>
      <c r="I112" s="41">
        <v>0</v>
      </c>
      <c r="J112" s="83">
        <f t="shared" si="10"/>
        <v>0</v>
      </c>
      <c r="K112" s="41">
        <v>0</v>
      </c>
      <c r="L112" s="41">
        <v>0</v>
      </c>
      <c r="M112" s="70">
        <f t="shared" si="11"/>
        <v>0</v>
      </c>
      <c r="N112" s="41">
        <v>0</v>
      </c>
      <c r="O112" s="41">
        <v>0</v>
      </c>
      <c r="P112" s="70">
        <f t="shared" si="12"/>
        <v>0</v>
      </c>
      <c r="Q112" s="41">
        <v>0</v>
      </c>
      <c r="R112" s="41">
        <v>0</v>
      </c>
      <c r="S112" s="70">
        <f t="shared" si="13"/>
        <v>0</v>
      </c>
      <c r="T112" s="41">
        <v>0</v>
      </c>
      <c r="U112" s="41">
        <v>0</v>
      </c>
      <c r="V112" s="70">
        <f t="shared" si="14"/>
        <v>0</v>
      </c>
      <c r="W112" s="41">
        <v>0</v>
      </c>
      <c r="X112" s="41">
        <v>0</v>
      </c>
      <c r="Y112" s="70">
        <f t="shared" si="15"/>
        <v>0</v>
      </c>
      <c r="Z112" s="41">
        <v>0</v>
      </c>
      <c r="AA112" s="41">
        <v>0</v>
      </c>
      <c r="AB112" s="70">
        <f t="shared" si="16"/>
        <v>0</v>
      </c>
      <c r="AC112" s="41">
        <v>0</v>
      </c>
      <c r="AD112" s="41">
        <v>0</v>
      </c>
      <c r="AE112" s="70">
        <f t="shared" si="17"/>
        <v>0</v>
      </c>
      <c r="AF112" s="28">
        <f t="shared" si="18"/>
        <v>0</v>
      </c>
      <c r="AG112" s="28">
        <f t="shared" si="19"/>
        <v>0</v>
      </c>
    </row>
    <row r="113" spans="1:33" ht="57.6" x14ac:dyDescent="0.3">
      <c r="A113" s="41" t="s">
        <v>697</v>
      </c>
      <c r="B113" s="41" t="s">
        <v>694</v>
      </c>
      <c r="C113" s="41" t="s">
        <v>677</v>
      </c>
      <c r="D113" s="41" t="s">
        <v>130</v>
      </c>
      <c r="E113" s="41" t="s">
        <v>424</v>
      </c>
      <c r="F113" s="41" t="s">
        <v>718</v>
      </c>
      <c r="G113" s="67">
        <v>0</v>
      </c>
      <c r="H113" s="41">
        <v>0</v>
      </c>
      <c r="I113" s="41">
        <v>0</v>
      </c>
      <c r="J113" s="83">
        <f t="shared" si="10"/>
        <v>0</v>
      </c>
      <c r="K113" s="41">
        <v>0</v>
      </c>
      <c r="L113" s="41">
        <v>0</v>
      </c>
      <c r="M113" s="70">
        <f t="shared" si="11"/>
        <v>0</v>
      </c>
      <c r="N113" s="41">
        <v>0</v>
      </c>
      <c r="O113" s="41">
        <v>0</v>
      </c>
      <c r="P113" s="70">
        <f t="shared" si="12"/>
        <v>0</v>
      </c>
      <c r="Q113" s="41">
        <v>0</v>
      </c>
      <c r="R113" s="41">
        <v>0</v>
      </c>
      <c r="S113" s="70">
        <f t="shared" si="13"/>
        <v>0</v>
      </c>
      <c r="T113" s="41">
        <v>0</v>
      </c>
      <c r="U113" s="41">
        <v>0</v>
      </c>
      <c r="V113" s="70">
        <f t="shared" si="14"/>
        <v>0</v>
      </c>
      <c r="W113" s="41">
        <v>0</v>
      </c>
      <c r="X113" s="41">
        <v>0</v>
      </c>
      <c r="Y113" s="70">
        <f t="shared" si="15"/>
        <v>0</v>
      </c>
      <c r="Z113" s="41">
        <v>0</v>
      </c>
      <c r="AA113" s="41">
        <v>0</v>
      </c>
      <c r="AB113" s="70">
        <f t="shared" si="16"/>
        <v>0</v>
      </c>
      <c r="AC113" s="41">
        <v>0</v>
      </c>
      <c r="AD113" s="41">
        <v>0</v>
      </c>
      <c r="AE113" s="70">
        <f t="shared" si="17"/>
        <v>0</v>
      </c>
      <c r="AF113" s="28">
        <f t="shared" si="18"/>
        <v>0</v>
      </c>
      <c r="AG113" s="28">
        <f t="shared" si="19"/>
        <v>0</v>
      </c>
    </row>
    <row r="114" spans="1:33" ht="57.6" x14ac:dyDescent="0.3">
      <c r="A114" s="41" t="s">
        <v>697</v>
      </c>
      <c r="B114" s="41" t="s">
        <v>694</v>
      </c>
      <c r="C114" s="41" t="s">
        <v>677</v>
      </c>
      <c r="D114" s="41" t="s">
        <v>130</v>
      </c>
      <c r="E114" s="41" t="s">
        <v>594</v>
      </c>
      <c r="F114" s="41" t="s">
        <v>713</v>
      </c>
      <c r="G114" s="67">
        <v>45000</v>
      </c>
      <c r="H114" s="41">
        <v>25</v>
      </c>
      <c r="I114" s="41">
        <v>1</v>
      </c>
      <c r="J114" s="83">
        <f t="shared" si="10"/>
        <v>1125000</v>
      </c>
      <c r="K114" s="41">
        <v>0</v>
      </c>
      <c r="L114" s="41">
        <v>0</v>
      </c>
      <c r="M114" s="70">
        <f t="shared" si="11"/>
        <v>0</v>
      </c>
      <c r="N114" s="41">
        <v>0</v>
      </c>
      <c r="O114" s="41">
        <v>0</v>
      </c>
      <c r="P114" s="70">
        <f t="shared" si="12"/>
        <v>0</v>
      </c>
      <c r="Q114" s="41">
        <v>25</v>
      </c>
      <c r="R114" s="41">
        <v>1</v>
      </c>
      <c r="S114" s="70">
        <f t="shared" si="13"/>
        <v>1497375.0000000005</v>
      </c>
      <c r="T114" s="41">
        <v>0</v>
      </c>
      <c r="U114" s="41">
        <v>0</v>
      </c>
      <c r="V114" s="70">
        <f t="shared" si="14"/>
        <v>0</v>
      </c>
      <c r="W114" s="41">
        <v>25</v>
      </c>
      <c r="X114" s="41">
        <v>1</v>
      </c>
      <c r="Y114" s="70">
        <f t="shared" si="15"/>
        <v>1811823.7500000007</v>
      </c>
      <c r="Z114" s="41">
        <v>0</v>
      </c>
      <c r="AA114" s="41">
        <v>0</v>
      </c>
      <c r="AB114" s="70">
        <f t="shared" si="16"/>
        <v>0</v>
      </c>
      <c r="AC114" s="41">
        <v>25</v>
      </c>
      <c r="AD114" s="41">
        <v>1</v>
      </c>
      <c r="AE114" s="70">
        <f t="shared" si="17"/>
        <v>2192306.7375000012</v>
      </c>
      <c r="AF114" s="28">
        <f t="shared" si="18"/>
        <v>6626505.4875000026</v>
      </c>
      <c r="AG114" s="28">
        <f t="shared" si="19"/>
        <v>6483.8605552837598</v>
      </c>
    </row>
    <row r="115" spans="1:33" ht="57.6" x14ac:dyDescent="0.3">
      <c r="A115" s="41" t="s">
        <v>697</v>
      </c>
      <c r="B115" s="41" t="s">
        <v>694</v>
      </c>
      <c r="C115" s="41" t="s">
        <v>677</v>
      </c>
      <c r="D115" s="41" t="s">
        <v>130</v>
      </c>
      <c r="E115" s="41" t="s">
        <v>594</v>
      </c>
      <c r="F115" s="41" t="s">
        <v>712</v>
      </c>
      <c r="G115" s="67">
        <v>211.42857142857142</v>
      </c>
      <c r="H115" s="41">
        <v>450</v>
      </c>
      <c r="I115" s="41">
        <v>1</v>
      </c>
      <c r="J115" s="83">
        <f t="shared" si="10"/>
        <v>95142.85714285713</v>
      </c>
      <c r="K115" s="41">
        <v>0</v>
      </c>
      <c r="L115" s="41">
        <v>0</v>
      </c>
      <c r="M115" s="70">
        <f t="shared" si="11"/>
        <v>0</v>
      </c>
      <c r="N115" s="41">
        <v>0</v>
      </c>
      <c r="O115" s="41">
        <v>0</v>
      </c>
      <c r="P115" s="70">
        <f t="shared" si="12"/>
        <v>0</v>
      </c>
      <c r="Q115" s="41">
        <v>450</v>
      </c>
      <c r="R115" s="41">
        <v>1</v>
      </c>
      <c r="S115" s="70">
        <f t="shared" si="13"/>
        <v>126635.14285714288</v>
      </c>
      <c r="T115" s="41">
        <v>0</v>
      </c>
      <c r="U115" s="41">
        <v>0</v>
      </c>
      <c r="V115" s="70">
        <f t="shared" si="14"/>
        <v>0</v>
      </c>
      <c r="W115" s="41">
        <v>450</v>
      </c>
      <c r="X115" s="41">
        <v>1</v>
      </c>
      <c r="Y115" s="70">
        <f t="shared" si="15"/>
        <v>153228.5228571429</v>
      </c>
      <c r="Z115" s="41">
        <v>0</v>
      </c>
      <c r="AA115" s="41">
        <v>0</v>
      </c>
      <c r="AB115" s="70">
        <f t="shared" si="16"/>
        <v>0</v>
      </c>
      <c r="AC115" s="41">
        <v>450</v>
      </c>
      <c r="AD115" s="41">
        <v>1</v>
      </c>
      <c r="AE115" s="70">
        <f t="shared" si="17"/>
        <v>185406.51265714297</v>
      </c>
      <c r="AF115" s="28">
        <f t="shared" si="18"/>
        <v>560413.0355142859</v>
      </c>
      <c r="AG115" s="28">
        <f t="shared" si="19"/>
        <v>548.34934981828371</v>
      </c>
    </row>
    <row r="116" spans="1:33" ht="57.6" x14ac:dyDescent="0.3">
      <c r="A116" s="41" t="s">
        <v>697</v>
      </c>
      <c r="B116" s="41" t="s">
        <v>694</v>
      </c>
      <c r="C116" s="41" t="s">
        <v>677</v>
      </c>
      <c r="D116" s="41" t="s">
        <v>130</v>
      </c>
      <c r="E116" s="41" t="s">
        <v>594</v>
      </c>
      <c r="F116" s="41" t="s">
        <v>1299</v>
      </c>
      <c r="G116" s="67">
        <v>211.42857142857142</v>
      </c>
      <c r="H116" s="41">
        <v>2430</v>
      </c>
      <c r="I116" s="41">
        <v>1</v>
      </c>
      <c r="J116" s="83">
        <f t="shared" si="10"/>
        <v>513771.42857142852</v>
      </c>
      <c r="K116" s="41"/>
      <c r="L116" s="41"/>
      <c r="M116" s="70">
        <f t="shared" si="11"/>
        <v>0</v>
      </c>
      <c r="N116" s="41"/>
      <c r="O116" s="41"/>
      <c r="P116" s="70">
        <f t="shared" si="12"/>
        <v>0</v>
      </c>
      <c r="Q116" s="41">
        <v>2430</v>
      </c>
      <c r="R116" s="41">
        <v>1</v>
      </c>
      <c r="S116" s="70">
        <f t="shared" si="13"/>
        <v>683829.77142857155</v>
      </c>
      <c r="T116" s="41"/>
      <c r="U116" s="41"/>
      <c r="V116" s="70">
        <f t="shared" si="14"/>
        <v>0</v>
      </c>
      <c r="W116" s="41">
        <v>2430</v>
      </c>
      <c r="X116" s="41">
        <v>1</v>
      </c>
      <c r="Y116" s="70">
        <f t="shared" si="15"/>
        <v>827434.02342857164</v>
      </c>
      <c r="Z116" s="41"/>
      <c r="AA116" s="41"/>
      <c r="AB116" s="70">
        <f t="shared" si="16"/>
        <v>0</v>
      </c>
      <c r="AC116" s="41">
        <v>2430</v>
      </c>
      <c r="AD116" s="41">
        <v>1</v>
      </c>
      <c r="AE116" s="70">
        <f t="shared" si="17"/>
        <v>1001195.1683485721</v>
      </c>
      <c r="AF116" s="28">
        <f t="shared" si="18"/>
        <v>3026230.3917771438</v>
      </c>
      <c r="AG116" s="28">
        <f t="shared" si="19"/>
        <v>2961.0864890187318</v>
      </c>
    </row>
    <row r="117" spans="1:33" ht="57.6" x14ac:dyDescent="0.3">
      <c r="A117" s="41" t="s">
        <v>697</v>
      </c>
      <c r="B117" s="41" t="s">
        <v>694</v>
      </c>
      <c r="C117" s="41" t="s">
        <v>677</v>
      </c>
      <c r="D117" s="41" t="s">
        <v>130</v>
      </c>
      <c r="E117" s="41" t="s">
        <v>167</v>
      </c>
      <c r="F117" s="41" t="s">
        <v>718</v>
      </c>
      <c r="G117" s="67">
        <v>0</v>
      </c>
      <c r="H117" s="41">
        <v>0</v>
      </c>
      <c r="I117" s="41">
        <v>0</v>
      </c>
      <c r="J117" s="83">
        <f t="shared" si="10"/>
        <v>0</v>
      </c>
      <c r="K117" s="41">
        <v>0</v>
      </c>
      <c r="L117" s="41">
        <v>0</v>
      </c>
      <c r="M117" s="70">
        <f t="shared" si="11"/>
        <v>0</v>
      </c>
      <c r="N117" s="41">
        <v>0</v>
      </c>
      <c r="O117" s="41">
        <v>0</v>
      </c>
      <c r="P117" s="70">
        <f t="shared" si="12"/>
        <v>0</v>
      </c>
      <c r="Q117" s="41">
        <v>0</v>
      </c>
      <c r="R117" s="41">
        <v>0</v>
      </c>
      <c r="S117" s="70">
        <f t="shared" si="13"/>
        <v>0</v>
      </c>
      <c r="T117" s="41">
        <v>0</v>
      </c>
      <c r="U117" s="41">
        <v>0</v>
      </c>
      <c r="V117" s="70">
        <f t="shared" si="14"/>
        <v>0</v>
      </c>
      <c r="W117" s="41">
        <v>0</v>
      </c>
      <c r="X117" s="41">
        <v>0</v>
      </c>
      <c r="Y117" s="70">
        <f t="shared" si="15"/>
        <v>0</v>
      </c>
      <c r="Z117" s="41">
        <v>0</v>
      </c>
      <c r="AA117" s="41">
        <v>0</v>
      </c>
      <c r="AB117" s="70">
        <f t="shared" si="16"/>
        <v>0</v>
      </c>
      <c r="AC117" s="41">
        <v>0</v>
      </c>
      <c r="AD117" s="41">
        <v>0</v>
      </c>
      <c r="AE117" s="70">
        <f t="shared" si="17"/>
        <v>0</v>
      </c>
      <c r="AF117" s="28">
        <f t="shared" si="18"/>
        <v>0</v>
      </c>
      <c r="AG117" s="28">
        <f t="shared" si="19"/>
        <v>0</v>
      </c>
    </row>
    <row r="118" spans="1:33" ht="57.6" x14ac:dyDescent="0.3">
      <c r="A118" s="41" t="s">
        <v>697</v>
      </c>
      <c r="B118" s="41" t="s">
        <v>694</v>
      </c>
      <c r="C118" s="41" t="s">
        <v>677</v>
      </c>
      <c r="D118" s="41" t="s">
        <v>130</v>
      </c>
      <c r="E118" s="41" t="s">
        <v>157</v>
      </c>
      <c r="F118" s="41" t="s">
        <v>713</v>
      </c>
      <c r="G118" s="67">
        <v>45000</v>
      </c>
      <c r="H118" s="41">
        <v>25</v>
      </c>
      <c r="I118" s="41">
        <v>5</v>
      </c>
      <c r="J118" s="83">
        <f t="shared" si="10"/>
        <v>5625000</v>
      </c>
      <c r="K118" s="41">
        <v>0</v>
      </c>
      <c r="L118" s="41">
        <v>0</v>
      </c>
      <c r="M118" s="70">
        <f t="shared" si="11"/>
        <v>0</v>
      </c>
      <c r="N118" s="41">
        <v>0</v>
      </c>
      <c r="O118" s="41">
        <v>0</v>
      </c>
      <c r="P118" s="70">
        <f t="shared" si="12"/>
        <v>0</v>
      </c>
      <c r="Q118" s="41">
        <v>25</v>
      </c>
      <c r="R118" s="41">
        <v>5</v>
      </c>
      <c r="S118" s="70">
        <f t="shared" si="13"/>
        <v>7486875.0000000019</v>
      </c>
      <c r="T118" s="41">
        <v>0</v>
      </c>
      <c r="U118" s="41">
        <v>0</v>
      </c>
      <c r="V118" s="70">
        <f t="shared" si="14"/>
        <v>0</v>
      </c>
      <c r="W118" s="41">
        <v>25</v>
      </c>
      <c r="X118" s="41">
        <v>5</v>
      </c>
      <c r="Y118" s="70">
        <f t="shared" si="15"/>
        <v>9059118.7500000037</v>
      </c>
      <c r="Z118" s="41">
        <v>0</v>
      </c>
      <c r="AA118" s="41">
        <v>0</v>
      </c>
      <c r="AB118" s="70">
        <f t="shared" si="16"/>
        <v>0</v>
      </c>
      <c r="AC118" s="41">
        <v>25</v>
      </c>
      <c r="AD118" s="41">
        <v>5</v>
      </c>
      <c r="AE118" s="70">
        <f t="shared" si="17"/>
        <v>10961533.687500006</v>
      </c>
      <c r="AF118" s="28">
        <f t="shared" si="18"/>
        <v>33132527.437500015</v>
      </c>
      <c r="AG118" s="28">
        <f t="shared" si="19"/>
        <v>32419.302776418801</v>
      </c>
    </row>
    <row r="119" spans="1:33" ht="57.6" x14ac:dyDescent="0.3">
      <c r="A119" s="41" t="s">
        <v>697</v>
      </c>
      <c r="B119" s="41" t="s">
        <v>694</v>
      </c>
      <c r="C119" s="41" t="s">
        <v>677</v>
      </c>
      <c r="D119" s="41" t="s">
        <v>130</v>
      </c>
      <c r="E119" s="41" t="s">
        <v>157</v>
      </c>
      <c r="F119" s="41" t="s">
        <v>715</v>
      </c>
      <c r="G119" s="67">
        <v>302000</v>
      </c>
      <c r="H119" s="41">
        <v>25</v>
      </c>
      <c r="I119" s="41">
        <v>0</v>
      </c>
      <c r="J119" s="83">
        <f t="shared" si="10"/>
        <v>0</v>
      </c>
      <c r="K119" s="41">
        <v>0</v>
      </c>
      <c r="L119" s="41">
        <v>0</v>
      </c>
      <c r="M119" s="70">
        <f t="shared" si="11"/>
        <v>0</v>
      </c>
      <c r="N119" s="41">
        <v>0</v>
      </c>
      <c r="O119" s="41">
        <v>0</v>
      </c>
      <c r="P119" s="70">
        <f t="shared" si="12"/>
        <v>0</v>
      </c>
      <c r="Q119" s="41">
        <v>25</v>
      </c>
      <c r="R119" s="41">
        <v>0</v>
      </c>
      <c r="S119" s="70">
        <f t="shared" si="13"/>
        <v>0</v>
      </c>
      <c r="T119" s="41">
        <v>0</v>
      </c>
      <c r="U119" s="41">
        <v>0</v>
      </c>
      <c r="V119" s="70">
        <f t="shared" si="14"/>
        <v>0</v>
      </c>
      <c r="W119" s="41">
        <v>25</v>
      </c>
      <c r="X119" s="41">
        <v>0</v>
      </c>
      <c r="Y119" s="70">
        <f t="shared" si="15"/>
        <v>0</v>
      </c>
      <c r="Z119" s="41">
        <v>0</v>
      </c>
      <c r="AA119" s="41">
        <v>0</v>
      </c>
      <c r="AB119" s="70">
        <f t="shared" si="16"/>
        <v>0</v>
      </c>
      <c r="AC119" s="41">
        <v>25</v>
      </c>
      <c r="AD119" s="41">
        <v>0</v>
      </c>
      <c r="AE119" s="70">
        <f t="shared" si="17"/>
        <v>0</v>
      </c>
      <c r="AF119" s="28">
        <f t="shared" si="18"/>
        <v>0</v>
      </c>
      <c r="AG119" s="28">
        <f t="shared" si="19"/>
        <v>0</v>
      </c>
    </row>
    <row r="120" spans="1:33" ht="57.6" x14ac:dyDescent="0.3">
      <c r="A120" s="41" t="s">
        <v>697</v>
      </c>
      <c r="B120" s="41" t="s">
        <v>694</v>
      </c>
      <c r="C120" s="41" t="s">
        <v>677</v>
      </c>
      <c r="D120" s="41" t="s">
        <v>130</v>
      </c>
      <c r="E120" s="41" t="s">
        <v>157</v>
      </c>
      <c r="F120" s="41" t="s">
        <v>712</v>
      </c>
      <c r="G120" s="67">
        <v>211.42857142857142</v>
      </c>
      <c r="H120" s="41">
        <v>450</v>
      </c>
      <c r="I120" s="41">
        <v>5</v>
      </c>
      <c r="J120" s="83">
        <f t="shared" si="10"/>
        <v>475714.28571428568</v>
      </c>
      <c r="K120" s="41">
        <v>0</v>
      </c>
      <c r="L120" s="41">
        <v>0</v>
      </c>
      <c r="M120" s="70">
        <f t="shared" si="11"/>
        <v>0</v>
      </c>
      <c r="N120" s="41">
        <v>0</v>
      </c>
      <c r="O120" s="41">
        <v>0</v>
      </c>
      <c r="P120" s="70">
        <f t="shared" si="12"/>
        <v>0</v>
      </c>
      <c r="Q120" s="41">
        <v>450</v>
      </c>
      <c r="R120" s="41">
        <v>5</v>
      </c>
      <c r="S120" s="70">
        <f t="shared" si="13"/>
        <v>633175.71428571444</v>
      </c>
      <c r="T120" s="41">
        <v>0</v>
      </c>
      <c r="U120" s="41">
        <v>0</v>
      </c>
      <c r="V120" s="70">
        <f t="shared" si="14"/>
        <v>0</v>
      </c>
      <c r="W120" s="41">
        <v>450</v>
      </c>
      <c r="X120" s="41">
        <v>5</v>
      </c>
      <c r="Y120" s="70">
        <f t="shared" si="15"/>
        <v>766142.61428571446</v>
      </c>
      <c r="Z120" s="41">
        <v>0</v>
      </c>
      <c r="AA120" s="41">
        <v>0</v>
      </c>
      <c r="AB120" s="70">
        <f t="shared" si="16"/>
        <v>0</v>
      </c>
      <c r="AC120" s="41">
        <v>450</v>
      </c>
      <c r="AD120" s="41">
        <v>5</v>
      </c>
      <c r="AE120" s="70">
        <f t="shared" si="17"/>
        <v>927032.56328571483</v>
      </c>
      <c r="AF120" s="28">
        <f t="shared" si="18"/>
        <v>2802065.1775714294</v>
      </c>
      <c r="AG120" s="28">
        <f t="shared" si="19"/>
        <v>2741.7467490914182</v>
      </c>
    </row>
    <row r="121" spans="1:33" ht="57.6" x14ac:dyDescent="0.3">
      <c r="A121" s="41" t="s">
        <v>697</v>
      </c>
      <c r="B121" s="41" t="s">
        <v>694</v>
      </c>
      <c r="C121" s="41" t="s">
        <v>677</v>
      </c>
      <c r="D121" s="41" t="s">
        <v>130</v>
      </c>
      <c r="E121" s="41" t="s">
        <v>157</v>
      </c>
      <c r="F121" s="41" t="s">
        <v>1299</v>
      </c>
      <c r="G121" s="67">
        <v>211.42857142857142</v>
      </c>
      <c r="H121" s="41">
        <v>2430</v>
      </c>
      <c r="I121" s="41">
        <v>5</v>
      </c>
      <c r="J121" s="83">
        <f t="shared" si="10"/>
        <v>2568857.1428571427</v>
      </c>
      <c r="K121" s="41"/>
      <c r="L121" s="41"/>
      <c r="M121" s="70">
        <f t="shared" si="11"/>
        <v>0</v>
      </c>
      <c r="N121" s="41"/>
      <c r="O121" s="41"/>
      <c r="P121" s="70">
        <f t="shared" si="12"/>
        <v>0</v>
      </c>
      <c r="Q121" s="41">
        <v>2430</v>
      </c>
      <c r="R121" s="41">
        <v>5</v>
      </c>
      <c r="S121" s="70">
        <f t="shared" si="13"/>
        <v>3419148.8571428577</v>
      </c>
      <c r="T121" s="41"/>
      <c r="U121" s="41"/>
      <c r="V121" s="70">
        <f t="shared" si="14"/>
        <v>0</v>
      </c>
      <c r="W121" s="41">
        <v>2430</v>
      </c>
      <c r="X121" s="41">
        <v>5</v>
      </c>
      <c r="Y121" s="70">
        <f t="shared" si="15"/>
        <v>4137170.117142858</v>
      </c>
      <c r="Z121" s="41"/>
      <c r="AA121" s="41"/>
      <c r="AB121" s="70">
        <f t="shared" si="16"/>
        <v>0</v>
      </c>
      <c r="AC121" s="41">
        <v>2430</v>
      </c>
      <c r="AD121" s="41">
        <v>5</v>
      </c>
      <c r="AE121" s="70">
        <f t="shared" si="17"/>
        <v>5005975.8417428602</v>
      </c>
      <c r="AF121" s="28">
        <f t="shared" si="18"/>
        <v>15131151.958885718</v>
      </c>
      <c r="AG121" s="28">
        <f t="shared" si="19"/>
        <v>14805.432445093658</v>
      </c>
    </row>
    <row r="122" spans="1:33" ht="57.6" x14ac:dyDescent="0.3">
      <c r="A122" s="41" t="s">
        <v>697</v>
      </c>
      <c r="B122" s="41" t="s">
        <v>694</v>
      </c>
      <c r="C122" s="41" t="s">
        <v>677</v>
      </c>
      <c r="D122" s="41" t="s">
        <v>130</v>
      </c>
      <c r="E122" s="41" t="s">
        <v>157</v>
      </c>
      <c r="F122" s="41" t="s">
        <v>714</v>
      </c>
      <c r="G122" s="67">
        <v>10000</v>
      </c>
      <c r="H122" s="41">
        <v>25</v>
      </c>
      <c r="I122" s="41">
        <v>1</v>
      </c>
      <c r="J122" s="83">
        <f t="shared" si="10"/>
        <v>250000</v>
      </c>
      <c r="K122" s="41">
        <v>0</v>
      </c>
      <c r="L122" s="41">
        <v>0</v>
      </c>
      <c r="M122" s="70">
        <f t="shared" si="11"/>
        <v>0</v>
      </c>
      <c r="N122" s="41">
        <v>0</v>
      </c>
      <c r="O122" s="41">
        <v>0</v>
      </c>
      <c r="P122" s="70">
        <f t="shared" si="12"/>
        <v>0</v>
      </c>
      <c r="Q122" s="41">
        <v>25</v>
      </c>
      <c r="R122" s="41">
        <v>1</v>
      </c>
      <c r="S122" s="70">
        <f t="shared" si="13"/>
        <v>332750.00000000012</v>
      </c>
      <c r="T122" s="41">
        <v>0</v>
      </c>
      <c r="U122" s="41">
        <v>0</v>
      </c>
      <c r="V122" s="70">
        <f t="shared" si="14"/>
        <v>0</v>
      </c>
      <c r="W122" s="41">
        <v>25</v>
      </c>
      <c r="X122" s="41">
        <v>1</v>
      </c>
      <c r="Y122" s="70">
        <f t="shared" si="15"/>
        <v>402627.50000000012</v>
      </c>
      <c r="Z122" s="41">
        <v>0</v>
      </c>
      <c r="AA122" s="41">
        <v>0</v>
      </c>
      <c r="AB122" s="70">
        <f t="shared" si="16"/>
        <v>0</v>
      </c>
      <c r="AC122" s="41">
        <v>25</v>
      </c>
      <c r="AD122" s="41">
        <v>1</v>
      </c>
      <c r="AE122" s="70">
        <f t="shared" si="17"/>
        <v>487179.27500000031</v>
      </c>
      <c r="AF122" s="28">
        <f t="shared" si="18"/>
        <v>1472556.7750000006</v>
      </c>
      <c r="AG122" s="28">
        <f t="shared" si="19"/>
        <v>1440.857901174169</v>
      </c>
    </row>
    <row r="123" spans="1:33" ht="57.6" x14ac:dyDescent="0.3">
      <c r="A123" s="41" t="s">
        <v>697</v>
      </c>
      <c r="B123" s="41" t="s">
        <v>694</v>
      </c>
      <c r="C123" s="41" t="s">
        <v>677</v>
      </c>
      <c r="D123" s="41" t="s">
        <v>130</v>
      </c>
      <c r="E123" s="41" t="s">
        <v>152</v>
      </c>
      <c r="F123" s="41" t="s">
        <v>716</v>
      </c>
      <c r="G123" s="67">
        <v>39000</v>
      </c>
      <c r="H123" s="41">
        <v>25</v>
      </c>
      <c r="I123" s="41">
        <v>6</v>
      </c>
      <c r="J123" s="83">
        <f t="shared" si="10"/>
        <v>5850000</v>
      </c>
      <c r="K123" s="41">
        <v>0</v>
      </c>
      <c r="L123" s="41">
        <v>0</v>
      </c>
      <c r="M123" s="70">
        <f t="shared" si="11"/>
        <v>0</v>
      </c>
      <c r="N123" s="41">
        <v>0</v>
      </c>
      <c r="O123" s="41">
        <v>0</v>
      </c>
      <c r="P123" s="70">
        <f t="shared" si="12"/>
        <v>0</v>
      </c>
      <c r="Q123" s="41">
        <v>25</v>
      </c>
      <c r="R123" s="41">
        <v>6</v>
      </c>
      <c r="S123" s="70">
        <f t="shared" si="13"/>
        <v>7786350.0000000028</v>
      </c>
      <c r="T123" s="41">
        <v>0</v>
      </c>
      <c r="U123" s="41">
        <v>0</v>
      </c>
      <c r="V123" s="70">
        <f t="shared" si="14"/>
        <v>0</v>
      </c>
      <c r="W123" s="41">
        <v>25</v>
      </c>
      <c r="X123" s="41">
        <v>6</v>
      </c>
      <c r="Y123" s="70">
        <f t="shared" si="15"/>
        <v>9421483.5000000037</v>
      </c>
      <c r="Z123" s="41">
        <v>0</v>
      </c>
      <c r="AA123" s="41">
        <v>0</v>
      </c>
      <c r="AB123" s="70">
        <f t="shared" si="16"/>
        <v>0</v>
      </c>
      <c r="AC123" s="41">
        <v>25</v>
      </c>
      <c r="AD123" s="41">
        <v>6</v>
      </c>
      <c r="AE123" s="70">
        <f t="shared" si="17"/>
        <v>11399995.035000006</v>
      </c>
      <c r="AF123" s="28">
        <f t="shared" si="18"/>
        <v>34457828.535000011</v>
      </c>
      <c r="AG123" s="28">
        <f t="shared" si="19"/>
        <v>33716.074887475552</v>
      </c>
    </row>
    <row r="124" spans="1:33" ht="57.6" x14ac:dyDescent="0.3">
      <c r="A124" s="41" t="s">
        <v>697</v>
      </c>
      <c r="B124" s="41" t="s">
        <v>694</v>
      </c>
      <c r="C124" s="41" t="s">
        <v>677</v>
      </c>
      <c r="D124" s="41" t="s">
        <v>130</v>
      </c>
      <c r="E124" s="41" t="s">
        <v>152</v>
      </c>
      <c r="F124" s="41" t="s">
        <v>709</v>
      </c>
      <c r="G124" s="67">
        <v>35000</v>
      </c>
      <c r="H124" s="41">
        <v>25</v>
      </c>
      <c r="I124" s="41">
        <v>5</v>
      </c>
      <c r="J124" s="83">
        <f t="shared" si="10"/>
        <v>4375000</v>
      </c>
      <c r="K124" s="41">
        <v>0</v>
      </c>
      <c r="L124" s="41">
        <v>0</v>
      </c>
      <c r="M124" s="70">
        <f t="shared" si="11"/>
        <v>0</v>
      </c>
      <c r="N124" s="41">
        <v>0</v>
      </c>
      <c r="O124" s="41">
        <v>0</v>
      </c>
      <c r="P124" s="70">
        <f t="shared" si="12"/>
        <v>0</v>
      </c>
      <c r="Q124" s="41">
        <v>25</v>
      </c>
      <c r="R124" s="41">
        <v>5</v>
      </c>
      <c r="S124" s="70">
        <f t="shared" si="13"/>
        <v>5823125.0000000019</v>
      </c>
      <c r="T124" s="41">
        <v>0</v>
      </c>
      <c r="U124" s="41">
        <v>0</v>
      </c>
      <c r="V124" s="70">
        <f t="shared" si="14"/>
        <v>0</v>
      </c>
      <c r="W124" s="41">
        <v>25</v>
      </c>
      <c r="X124" s="41">
        <v>5</v>
      </c>
      <c r="Y124" s="70">
        <f t="shared" si="15"/>
        <v>7045981.2500000019</v>
      </c>
      <c r="Z124" s="41">
        <v>0</v>
      </c>
      <c r="AA124" s="41">
        <v>0</v>
      </c>
      <c r="AB124" s="70">
        <f t="shared" si="16"/>
        <v>0</v>
      </c>
      <c r="AC124" s="41">
        <v>25</v>
      </c>
      <c r="AD124" s="41">
        <v>5</v>
      </c>
      <c r="AE124" s="70">
        <f t="shared" si="17"/>
        <v>8525637.3125000037</v>
      </c>
      <c r="AF124" s="28">
        <f t="shared" si="18"/>
        <v>25769743.562500007</v>
      </c>
      <c r="AG124" s="28">
        <f t="shared" si="19"/>
        <v>25215.013270547952</v>
      </c>
    </row>
    <row r="125" spans="1:33" ht="57.6" x14ac:dyDescent="0.3">
      <c r="A125" s="41" t="s">
        <v>697</v>
      </c>
      <c r="B125" s="41" t="s">
        <v>694</v>
      </c>
      <c r="C125" s="41" t="s">
        <v>677</v>
      </c>
      <c r="D125" s="41" t="s">
        <v>130</v>
      </c>
      <c r="E125" s="41" t="s">
        <v>152</v>
      </c>
      <c r="F125" s="41" t="s">
        <v>712</v>
      </c>
      <c r="G125" s="67">
        <v>211.42857142857142</v>
      </c>
      <c r="H125" s="41">
        <v>450</v>
      </c>
      <c r="I125" s="41">
        <v>5</v>
      </c>
      <c r="J125" s="83">
        <f t="shared" si="10"/>
        <v>475714.28571428568</v>
      </c>
      <c r="K125" s="41">
        <v>0</v>
      </c>
      <c r="L125" s="41">
        <v>0</v>
      </c>
      <c r="M125" s="70">
        <f t="shared" si="11"/>
        <v>0</v>
      </c>
      <c r="N125" s="41">
        <v>0</v>
      </c>
      <c r="O125" s="41">
        <v>0</v>
      </c>
      <c r="P125" s="70">
        <f t="shared" si="12"/>
        <v>0</v>
      </c>
      <c r="Q125" s="41">
        <v>450</v>
      </c>
      <c r="R125" s="41">
        <v>5</v>
      </c>
      <c r="S125" s="70">
        <f t="shared" si="13"/>
        <v>633175.71428571444</v>
      </c>
      <c r="T125" s="41">
        <v>0</v>
      </c>
      <c r="U125" s="41">
        <v>0</v>
      </c>
      <c r="V125" s="70">
        <f t="shared" si="14"/>
        <v>0</v>
      </c>
      <c r="W125" s="41">
        <v>450</v>
      </c>
      <c r="X125" s="41">
        <v>5</v>
      </c>
      <c r="Y125" s="70">
        <f t="shared" si="15"/>
        <v>766142.61428571446</v>
      </c>
      <c r="Z125" s="41">
        <v>0</v>
      </c>
      <c r="AA125" s="41">
        <v>0</v>
      </c>
      <c r="AB125" s="70">
        <f t="shared" si="16"/>
        <v>0</v>
      </c>
      <c r="AC125" s="41">
        <v>450</v>
      </c>
      <c r="AD125" s="41">
        <v>5</v>
      </c>
      <c r="AE125" s="70">
        <f t="shared" si="17"/>
        <v>927032.56328571483</v>
      </c>
      <c r="AF125" s="28">
        <f t="shared" si="18"/>
        <v>2802065.1775714294</v>
      </c>
      <c r="AG125" s="28">
        <f t="shared" si="19"/>
        <v>2741.7467490914182</v>
      </c>
    </row>
    <row r="126" spans="1:33" ht="57.6" x14ac:dyDescent="0.3">
      <c r="A126" s="41" t="s">
        <v>697</v>
      </c>
      <c r="B126" s="41" t="s">
        <v>694</v>
      </c>
      <c r="C126" s="41" t="s">
        <v>677</v>
      </c>
      <c r="D126" s="41" t="s">
        <v>130</v>
      </c>
      <c r="E126" s="41" t="s">
        <v>152</v>
      </c>
      <c r="F126" s="41" t="s">
        <v>1299</v>
      </c>
      <c r="G126" s="67">
        <v>211.42857142857142</v>
      </c>
      <c r="H126" s="41">
        <v>2430</v>
      </c>
      <c r="I126" s="41">
        <v>1</v>
      </c>
      <c r="J126" s="83">
        <f t="shared" si="10"/>
        <v>513771.42857142852</v>
      </c>
      <c r="K126" s="41"/>
      <c r="L126" s="41"/>
      <c r="M126" s="70">
        <f t="shared" si="11"/>
        <v>0</v>
      </c>
      <c r="N126" s="41"/>
      <c r="O126" s="41"/>
      <c r="P126" s="70">
        <f t="shared" si="12"/>
        <v>0</v>
      </c>
      <c r="Q126" s="41">
        <v>2430</v>
      </c>
      <c r="R126" s="41">
        <v>1</v>
      </c>
      <c r="S126" s="70">
        <f t="shared" si="13"/>
        <v>683829.77142857155</v>
      </c>
      <c r="T126" s="41"/>
      <c r="U126" s="41"/>
      <c r="V126" s="70">
        <f t="shared" si="14"/>
        <v>0</v>
      </c>
      <c r="W126" s="41">
        <v>2430</v>
      </c>
      <c r="X126" s="41">
        <v>1</v>
      </c>
      <c r="Y126" s="70">
        <f t="shared" si="15"/>
        <v>827434.02342857164</v>
      </c>
      <c r="Z126" s="41"/>
      <c r="AA126" s="41"/>
      <c r="AB126" s="70">
        <f t="shared" si="16"/>
        <v>0</v>
      </c>
      <c r="AC126" s="41">
        <v>2430</v>
      </c>
      <c r="AD126" s="41">
        <v>1</v>
      </c>
      <c r="AE126" s="70">
        <f t="shared" si="17"/>
        <v>1001195.1683485721</v>
      </c>
      <c r="AF126" s="28">
        <f t="shared" si="18"/>
        <v>3026230.3917771438</v>
      </c>
      <c r="AG126" s="28">
        <f t="shared" si="19"/>
        <v>2961.0864890187318</v>
      </c>
    </row>
    <row r="127" spans="1:33" ht="57.6" x14ac:dyDescent="0.3">
      <c r="A127" s="41" t="s">
        <v>697</v>
      </c>
      <c r="B127" s="41" t="s">
        <v>694</v>
      </c>
      <c r="C127" s="41" t="s">
        <v>677</v>
      </c>
      <c r="D127" s="41" t="s">
        <v>130</v>
      </c>
      <c r="E127" s="41" t="s">
        <v>180</v>
      </c>
      <c r="F127" s="41" t="s">
        <v>716</v>
      </c>
      <c r="G127" s="67">
        <v>39000</v>
      </c>
      <c r="H127" s="41">
        <v>25</v>
      </c>
      <c r="I127" s="41">
        <v>6</v>
      </c>
      <c r="J127" s="83">
        <f t="shared" si="10"/>
        <v>5850000</v>
      </c>
      <c r="K127" s="41">
        <v>0</v>
      </c>
      <c r="L127" s="41">
        <v>0</v>
      </c>
      <c r="M127" s="70">
        <f t="shared" si="11"/>
        <v>0</v>
      </c>
      <c r="N127" s="41">
        <v>0</v>
      </c>
      <c r="O127" s="41">
        <v>0</v>
      </c>
      <c r="P127" s="70">
        <f t="shared" si="12"/>
        <v>0</v>
      </c>
      <c r="Q127" s="41">
        <v>25</v>
      </c>
      <c r="R127" s="41">
        <v>6</v>
      </c>
      <c r="S127" s="70">
        <f t="shared" si="13"/>
        <v>7786350.0000000028</v>
      </c>
      <c r="T127" s="41">
        <v>0</v>
      </c>
      <c r="U127" s="41">
        <v>0</v>
      </c>
      <c r="V127" s="70">
        <f t="shared" si="14"/>
        <v>0</v>
      </c>
      <c r="W127" s="41">
        <v>25</v>
      </c>
      <c r="X127" s="41">
        <v>6</v>
      </c>
      <c r="Y127" s="70">
        <f t="shared" si="15"/>
        <v>9421483.5000000037</v>
      </c>
      <c r="Z127" s="41">
        <v>0</v>
      </c>
      <c r="AA127" s="41">
        <v>0</v>
      </c>
      <c r="AB127" s="70">
        <f t="shared" si="16"/>
        <v>0</v>
      </c>
      <c r="AC127" s="41">
        <v>25</v>
      </c>
      <c r="AD127" s="41">
        <v>6</v>
      </c>
      <c r="AE127" s="70">
        <f t="shared" si="17"/>
        <v>11399995.035000006</v>
      </c>
      <c r="AF127" s="28">
        <f t="shared" si="18"/>
        <v>34457828.535000011</v>
      </c>
      <c r="AG127" s="28">
        <f t="shared" si="19"/>
        <v>33716.074887475552</v>
      </c>
    </row>
    <row r="128" spans="1:33" ht="57.6" x14ac:dyDescent="0.3">
      <c r="A128" s="41" t="s">
        <v>697</v>
      </c>
      <c r="B128" s="41" t="s">
        <v>694</v>
      </c>
      <c r="C128" s="41" t="s">
        <v>677</v>
      </c>
      <c r="D128" s="41" t="s">
        <v>130</v>
      </c>
      <c r="E128" s="41" t="s">
        <v>180</v>
      </c>
      <c r="F128" s="41" t="s">
        <v>709</v>
      </c>
      <c r="G128" s="67">
        <v>35000</v>
      </c>
      <c r="H128" s="41">
        <v>25</v>
      </c>
      <c r="I128" s="41">
        <v>5</v>
      </c>
      <c r="J128" s="83">
        <f t="shared" si="10"/>
        <v>4375000</v>
      </c>
      <c r="K128" s="41">
        <v>0</v>
      </c>
      <c r="L128" s="41">
        <v>0</v>
      </c>
      <c r="M128" s="70">
        <f t="shared" si="11"/>
        <v>0</v>
      </c>
      <c r="N128" s="41">
        <v>0</v>
      </c>
      <c r="O128" s="41">
        <v>0</v>
      </c>
      <c r="P128" s="70">
        <f t="shared" si="12"/>
        <v>0</v>
      </c>
      <c r="Q128" s="41">
        <v>25</v>
      </c>
      <c r="R128" s="41">
        <v>5</v>
      </c>
      <c r="S128" s="70">
        <f t="shared" si="13"/>
        <v>5823125.0000000019</v>
      </c>
      <c r="T128" s="41">
        <v>0</v>
      </c>
      <c r="U128" s="41">
        <v>0</v>
      </c>
      <c r="V128" s="70">
        <f t="shared" si="14"/>
        <v>0</v>
      </c>
      <c r="W128" s="41">
        <v>25</v>
      </c>
      <c r="X128" s="41">
        <v>5</v>
      </c>
      <c r="Y128" s="70">
        <f t="shared" si="15"/>
        <v>7045981.2500000019</v>
      </c>
      <c r="Z128" s="41">
        <v>0</v>
      </c>
      <c r="AA128" s="41">
        <v>0</v>
      </c>
      <c r="AB128" s="70">
        <f t="shared" si="16"/>
        <v>0</v>
      </c>
      <c r="AC128" s="41">
        <v>25</v>
      </c>
      <c r="AD128" s="41">
        <v>5</v>
      </c>
      <c r="AE128" s="70">
        <f t="shared" si="17"/>
        <v>8525637.3125000037</v>
      </c>
      <c r="AF128" s="28">
        <f t="shared" si="18"/>
        <v>25769743.562500007</v>
      </c>
      <c r="AG128" s="28">
        <f t="shared" si="19"/>
        <v>25215.013270547952</v>
      </c>
    </row>
    <row r="129" spans="1:101" ht="57.6" x14ac:dyDescent="0.3">
      <c r="A129" s="41" t="s">
        <v>697</v>
      </c>
      <c r="B129" s="41" t="s">
        <v>694</v>
      </c>
      <c r="C129" s="41" t="s">
        <v>677</v>
      </c>
      <c r="D129" s="41" t="s">
        <v>130</v>
      </c>
      <c r="E129" s="41" t="s">
        <v>180</v>
      </c>
      <c r="F129" s="41" t="s">
        <v>712</v>
      </c>
      <c r="G129" s="67">
        <v>211.42857142857142</v>
      </c>
      <c r="H129" s="41">
        <v>450</v>
      </c>
      <c r="I129" s="41">
        <v>5</v>
      </c>
      <c r="J129" s="83">
        <f t="shared" si="10"/>
        <v>475714.28571428568</v>
      </c>
      <c r="K129" s="41">
        <v>0</v>
      </c>
      <c r="L129" s="41">
        <v>0</v>
      </c>
      <c r="M129" s="70">
        <f t="shared" si="11"/>
        <v>0</v>
      </c>
      <c r="N129" s="41">
        <v>0</v>
      </c>
      <c r="O129" s="41">
        <v>0</v>
      </c>
      <c r="P129" s="70">
        <f t="shared" si="12"/>
        <v>0</v>
      </c>
      <c r="Q129" s="41">
        <v>450</v>
      </c>
      <c r="R129" s="41">
        <v>5</v>
      </c>
      <c r="S129" s="70">
        <f t="shared" si="13"/>
        <v>633175.71428571444</v>
      </c>
      <c r="T129" s="41">
        <v>0</v>
      </c>
      <c r="U129" s="41">
        <v>0</v>
      </c>
      <c r="V129" s="70">
        <f t="shared" si="14"/>
        <v>0</v>
      </c>
      <c r="W129" s="41">
        <v>450</v>
      </c>
      <c r="X129" s="41">
        <v>5</v>
      </c>
      <c r="Y129" s="70">
        <f t="shared" si="15"/>
        <v>766142.61428571446</v>
      </c>
      <c r="Z129" s="41">
        <v>0</v>
      </c>
      <c r="AA129" s="41">
        <v>0</v>
      </c>
      <c r="AB129" s="70">
        <f t="shared" si="16"/>
        <v>0</v>
      </c>
      <c r="AC129" s="41">
        <v>450</v>
      </c>
      <c r="AD129" s="41">
        <v>5</v>
      </c>
      <c r="AE129" s="70">
        <f t="shared" si="17"/>
        <v>927032.56328571483</v>
      </c>
      <c r="AF129" s="28">
        <f t="shared" si="18"/>
        <v>2802065.1775714294</v>
      </c>
      <c r="AG129" s="28">
        <f t="shared" si="19"/>
        <v>2741.7467490914182</v>
      </c>
    </row>
    <row r="130" spans="1:101" ht="57.6" x14ac:dyDescent="0.3">
      <c r="A130" s="41" t="s">
        <v>697</v>
      </c>
      <c r="B130" s="41" t="s">
        <v>694</v>
      </c>
      <c r="C130" s="41" t="s">
        <v>677</v>
      </c>
      <c r="D130" s="41" t="s">
        <v>130</v>
      </c>
      <c r="E130" s="41" t="s">
        <v>180</v>
      </c>
      <c r="F130" s="41" t="s">
        <v>1299</v>
      </c>
      <c r="G130" s="67">
        <v>211.42857142857142</v>
      </c>
      <c r="H130" s="41">
        <v>2430</v>
      </c>
      <c r="I130" s="41">
        <v>1</v>
      </c>
      <c r="J130" s="83">
        <f t="shared" si="10"/>
        <v>513771.42857142852</v>
      </c>
      <c r="K130" s="41"/>
      <c r="L130" s="41"/>
      <c r="M130" s="70">
        <f t="shared" si="11"/>
        <v>0</v>
      </c>
      <c r="N130" s="41"/>
      <c r="O130" s="41"/>
      <c r="P130" s="70">
        <f t="shared" si="12"/>
        <v>0</v>
      </c>
      <c r="Q130" s="41">
        <v>2430</v>
      </c>
      <c r="R130" s="41">
        <v>1</v>
      </c>
      <c r="S130" s="70">
        <f t="shared" si="13"/>
        <v>683829.77142857155</v>
      </c>
      <c r="T130" s="41"/>
      <c r="U130" s="41"/>
      <c r="V130" s="70">
        <f t="shared" si="14"/>
        <v>0</v>
      </c>
      <c r="W130" s="41">
        <v>2430</v>
      </c>
      <c r="X130" s="41">
        <v>1</v>
      </c>
      <c r="Y130" s="70">
        <f t="shared" si="15"/>
        <v>827434.02342857164</v>
      </c>
      <c r="Z130" s="41"/>
      <c r="AA130" s="41"/>
      <c r="AB130" s="70">
        <f t="shared" si="16"/>
        <v>0</v>
      </c>
      <c r="AC130" s="41">
        <v>2430</v>
      </c>
      <c r="AD130" s="41">
        <v>1</v>
      </c>
      <c r="AE130" s="70">
        <f t="shared" si="17"/>
        <v>1001195.1683485721</v>
      </c>
      <c r="AF130" s="28">
        <f t="shared" si="18"/>
        <v>3026230.3917771438</v>
      </c>
      <c r="AG130" s="28">
        <f t="shared" si="19"/>
        <v>2961.0864890187318</v>
      </c>
    </row>
    <row r="131" spans="1:101" x14ac:dyDescent="0.3">
      <c r="A131" s="41"/>
      <c r="B131" s="41"/>
      <c r="C131" s="41"/>
      <c r="D131" s="41"/>
      <c r="E131" s="41"/>
      <c r="F131" s="41"/>
      <c r="G131" s="67"/>
      <c r="H131" s="41"/>
      <c r="I131" s="41"/>
      <c r="J131" s="83">
        <f t="shared" si="10"/>
        <v>0</v>
      </c>
      <c r="K131" s="41"/>
      <c r="L131" s="41"/>
      <c r="M131" s="70">
        <f t="shared" si="11"/>
        <v>0</v>
      </c>
      <c r="N131" s="41"/>
      <c r="O131" s="41"/>
      <c r="P131" s="70">
        <f t="shared" si="12"/>
        <v>0</v>
      </c>
      <c r="Q131" s="41"/>
      <c r="R131" s="41"/>
      <c r="S131" s="70">
        <f t="shared" si="13"/>
        <v>0</v>
      </c>
      <c r="T131" s="41"/>
      <c r="U131" s="41"/>
      <c r="V131" s="70">
        <f t="shared" si="14"/>
        <v>0</v>
      </c>
      <c r="W131" s="41"/>
      <c r="X131" s="41"/>
      <c r="Y131" s="70">
        <f t="shared" si="15"/>
        <v>0</v>
      </c>
      <c r="Z131" s="41"/>
      <c r="AA131" s="41"/>
      <c r="AB131" s="70">
        <f t="shared" si="16"/>
        <v>0</v>
      </c>
      <c r="AC131" s="41"/>
      <c r="AD131" s="41"/>
      <c r="AE131" s="70">
        <f t="shared" si="17"/>
        <v>0</v>
      </c>
      <c r="AF131" s="28">
        <f t="shared" si="18"/>
        <v>0</v>
      </c>
      <c r="AG131" s="28">
        <f t="shared" si="19"/>
        <v>0</v>
      </c>
    </row>
    <row r="132" spans="1:101" ht="57.6" x14ac:dyDescent="0.3">
      <c r="A132" s="41" t="s">
        <v>697</v>
      </c>
      <c r="B132" s="41" t="s">
        <v>694</v>
      </c>
      <c r="C132" s="41" t="s">
        <v>677</v>
      </c>
      <c r="D132" s="41" t="s">
        <v>130</v>
      </c>
      <c r="E132" s="41" t="s">
        <v>595</v>
      </c>
      <c r="F132" s="41" t="s">
        <v>718</v>
      </c>
      <c r="G132" s="67">
        <v>0</v>
      </c>
      <c r="H132" s="41">
        <v>0</v>
      </c>
      <c r="I132" s="41">
        <v>0</v>
      </c>
      <c r="J132" s="83">
        <f t="shared" si="10"/>
        <v>0</v>
      </c>
      <c r="K132" s="41">
        <v>0</v>
      </c>
      <c r="L132" s="41">
        <v>0</v>
      </c>
      <c r="M132" s="70">
        <f t="shared" si="11"/>
        <v>0</v>
      </c>
      <c r="N132" s="41">
        <v>0</v>
      </c>
      <c r="O132" s="41">
        <v>0</v>
      </c>
      <c r="P132" s="70">
        <f t="shared" si="12"/>
        <v>0</v>
      </c>
      <c r="Q132" s="41">
        <v>0</v>
      </c>
      <c r="R132" s="41">
        <v>0</v>
      </c>
      <c r="S132" s="70">
        <f t="shared" si="13"/>
        <v>0</v>
      </c>
      <c r="T132" s="41">
        <v>0</v>
      </c>
      <c r="U132" s="41">
        <v>0</v>
      </c>
      <c r="V132" s="70">
        <f t="shared" si="14"/>
        <v>0</v>
      </c>
      <c r="W132" s="41">
        <v>0</v>
      </c>
      <c r="X132" s="41">
        <v>0</v>
      </c>
      <c r="Y132" s="70">
        <f t="shared" si="15"/>
        <v>0</v>
      </c>
      <c r="Z132" s="41">
        <v>0</v>
      </c>
      <c r="AA132" s="41">
        <v>0</v>
      </c>
      <c r="AB132" s="70">
        <f t="shared" si="16"/>
        <v>0</v>
      </c>
      <c r="AC132" s="41">
        <v>0</v>
      </c>
      <c r="AD132" s="41">
        <v>0</v>
      </c>
      <c r="AE132" s="70">
        <f t="shared" si="17"/>
        <v>0</v>
      </c>
      <c r="AF132" s="28">
        <f t="shared" si="18"/>
        <v>0</v>
      </c>
      <c r="AG132" s="28">
        <f t="shared" si="19"/>
        <v>0</v>
      </c>
    </row>
    <row r="133" spans="1:101" ht="57.6" x14ac:dyDescent="0.3">
      <c r="A133" s="41" t="s">
        <v>697</v>
      </c>
      <c r="B133" s="41" t="s">
        <v>694</v>
      </c>
      <c r="C133" s="41" t="s">
        <v>677</v>
      </c>
      <c r="D133" s="41" t="s">
        <v>130</v>
      </c>
      <c r="E133" s="41" t="s">
        <v>175</v>
      </c>
      <c r="F133" s="41" t="s">
        <v>709</v>
      </c>
      <c r="G133" s="67">
        <v>35000</v>
      </c>
      <c r="H133" s="41">
        <v>100</v>
      </c>
      <c r="I133" s="41">
        <v>5</v>
      </c>
      <c r="J133" s="83">
        <f t="shared" ref="J133:J173" si="20">H133*I133*G133</f>
        <v>17500000</v>
      </c>
      <c r="K133" s="41">
        <v>0</v>
      </c>
      <c r="L133" s="41">
        <v>0</v>
      </c>
      <c r="M133" s="70">
        <f t="shared" ref="M133:M173" si="21">($G133*1.1^1)*K133*L133</f>
        <v>0</v>
      </c>
      <c r="N133" s="41">
        <v>0</v>
      </c>
      <c r="O133" s="41">
        <v>0</v>
      </c>
      <c r="P133" s="70">
        <f t="shared" ref="P133:P173" si="22">($G133*1.1^2)*N133*O133</f>
        <v>0</v>
      </c>
      <c r="Q133" s="41">
        <v>100</v>
      </c>
      <c r="R133" s="41">
        <v>5</v>
      </c>
      <c r="S133" s="70">
        <f t="shared" ref="S133:S173" si="23">($G133*1.1^3)*Q133*R133</f>
        <v>23292500.000000007</v>
      </c>
      <c r="T133" s="41">
        <v>0</v>
      </c>
      <c r="U133" s="41">
        <v>0</v>
      </c>
      <c r="V133" s="70">
        <f t="shared" ref="V133:V173" si="24">($G133*1.1^4)*T133*U133</f>
        <v>0</v>
      </c>
      <c r="W133" s="41">
        <v>100</v>
      </c>
      <c r="X133" s="41">
        <v>5</v>
      </c>
      <c r="Y133" s="70">
        <f t="shared" ref="Y133:Y173" si="25">($G133*1.1^5)*W133*X133</f>
        <v>28183925.000000007</v>
      </c>
      <c r="Z133" s="41">
        <v>0</v>
      </c>
      <c r="AA133" s="41">
        <v>0</v>
      </c>
      <c r="AB133" s="70">
        <f t="shared" ref="AB133:AB173" si="26">($G133*1.1^6)*Z133*AA133</f>
        <v>0</v>
      </c>
      <c r="AC133" s="41">
        <v>100</v>
      </c>
      <c r="AD133" s="41">
        <v>5</v>
      </c>
      <c r="AE133" s="70">
        <f t="shared" ref="AE133:AE173" si="27">($G133*1.1^7)*AC133*AD133</f>
        <v>34102549.250000015</v>
      </c>
      <c r="AF133" s="28">
        <f t="shared" ref="AF133:AF178" si="28">J133+M133+P133+S133+V133+Y133+AB133+AE133</f>
        <v>103078974.25000003</v>
      </c>
      <c r="AG133" s="28">
        <f t="shared" ref="AG133:AG178" si="29">AF133/$AL$2</f>
        <v>100860.05308219181</v>
      </c>
    </row>
    <row r="134" spans="1:101" ht="57.6" x14ac:dyDescent="0.3">
      <c r="A134" s="41" t="s">
        <v>697</v>
      </c>
      <c r="B134" s="41" t="s">
        <v>694</v>
      </c>
      <c r="C134" s="41" t="s">
        <v>677</v>
      </c>
      <c r="D134" s="41" t="s">
        <v>130</v>
      </c>
      <c r="E134" s="41" t="s">
        <v>175</v>
      </c>
      <c r="F134" s="41" t="s">
        <v>716</v>
      </c>
      <c r="G134" s="67">
        <v>39000</v>
      </c>
      <c r="H134" s="41">
        <v>58</v>
      </c>
      <c r="I134" s="41">
        <v>6</v>
      </c>
      <c r="J134" s="83">
        <f t="shared" si="20"/>
        <v>13572000</v>
      </c>
      <c r="K134" s="41"/>
      <c r="L134" s="41"/>
      <c r="M134" s="70">
        <f t="shared" si="21"/>
        <v>0</v>
      </c>
      <c r="N134" s="41"/>
      <c r="O134" s="41"/>
      <c r="P134" s="70">
        <f t="shared" si="22"/>
        <v>0</v>
      </c>
      <c r="Q134" s="41">
        <v>58</v>
      </c>
      <c r="R134" s="41">
        <v>6</v>
      </c>
      <c r="S134" s="70">
        <f t="shared" si="23"/>
        <v>18064332.000000007</v>
      </c>
      <c r="T134" s="41"/>
      <c r="U134" s="41"/>
      <c r="V134" s="70">
        <f t="shared" si="24"/>
        <v>0</v>
      </c>
      <c r="W134" s="41">
        <v>58</v>
      </c>
      <c r="X134" s="41">
        <v>6</v>
      </c>
      <c r="Y134" s="70">
        <f t="shared" si="25"/>
        <v>21857841.720000006</v>
      </c>
      <c r="Z134" s="41"/>
      <c r="AA134" s="41"/>
      <c r="AB134" s="70">
        <f t="shared" si="26"/>
        <v>0</v>
      </c>
      <c r="AC134" s="41">
        <v>58</v>
      </c>
      <c r="AD134" s="41">
        <v>6</v>
      </c>
      <c r="AE134" s="70">
        <f t="shared" si="27"/>
        <v>26447988.481200017</v>
      </c>
      <c r="AF134" s="28">
        <f t="shared" si="28"/>
        <v>79942162.201200038</v>
      </c>
      <c r="AG134" s="28">
        <f t="shared" si="29"/>
        <v>78221.293738943292</v>
      </c>
    </row>
    <row r="135" spans="1:101" ht="57.6" x14ac:dyDescent="0.3">
      <c r="A135" s="41" t="s">
        <v>697</v>
      </c>
      <c r="B135" s="41" t="s">
        <v>694</v>
      </c>
      <c r="C135" s="41" t="s">
        <v>677</v>
      </c>
      <c r="D135" s="41" t="s">
        <v>130</v>
      </c>
      <c r="E135" s="41" t="s">
        <v>175</v>
      </c>
      <c r="F135" s="41" t="s">
        <v>712</v>
      </c>
      <c r="G135" s="67">
        <v>211.42857142857142</v>
      </c>
      <c r="H135" s="41">
        <v>1450</v>
      </c>
      <c r="I135" s="41">
        <v>5</v>
      </c>
      <c r="J135" s="83">
        <f t="shared" si="20"/>
        <v>1532857.1428571427</v>
      </c>
      <c r="K135" s="41"/>
      <c r="L135" s="41"/>
      <c r="M135" s="70">
        <f t="shared" si="21"/>
        <v>0</v>
      </c>
      <c r="N135" s="41"/>
      <c r="O135" s="41"/>
      <c r="P135" s="70">
        <f t="shared" si="22"/>
        <v>0</v>
      </c>
      <c r="Q135" s="41">
        <v>1450</v>
      </c>
      <c r="R135" s="41">
        <v>5</v>
      </c>
      <c r="S135" s="70">
        <f t="shared" si="23"/>
        <v>2040232.8571428577</v>
      </c>
      <c r="T135" s="41"/>
      <c r="U135" s="41"/>
      <c r="V135" s="70">
        <f t="shared" si="24"/>
        <v>0</v>
      </c>
      <c r="W135" s="41">
        <v>1450</v>
      </c>
      <c r="X135" s="41">
        <v>5</v>
      </c>
      <c r="Y135" s="70">
        <f t="shared" si="25"/>
        <v>2468681.7571428576</v>
      </c>
      <c r="Z135" s="41"/>
      <c r="AA135" s="41"/>
      <c r="AB135" s="70">
        <f t="shared" si="26"/>
        <v>0</v>
      </c>
      <c r="AC135" s="41">
        <v>1450</v>
      </c>
      <c r="AD135" s="41">
        <v>5</v>
      </c>
      <c r="AE135" s="70">
        <f t="shared" si="27"/>
        <v>2987104.9261428593</v>
      </c>
      <c r="AF135" s="28">
        <f t="shared" si="28"/>
        <v>9028876.6832857169</v>
      </c>
      <c r="AG135" s="28">
        <f t="shared" si="29"/>
        <v>8834.5173026279026</v>
      </c>
    </row>
    <row r="136" spans="1:101" ht="57.6" x14ac:dyDescent="0.3">
      <c r="A136" s="41" t="s">
        <v>697</v>
      </c>
      <c r="B136" s="41" t="s">
        <v>694</v>
      </c>
      <c r="C136" s="41" t="s">
        <v>677</v>
      </c>
      <c r="D136" s="41" t="s">
        <v>130</v>
      </c>
      <c r="E136" s="41" t="s">
        <v>175</v>
      </c>
      <c r="F136" s="41" t="s">
        <v>1299</v>
      </c>
      <c r="G136" s="67">
        <v>211.42857142857142</v>
      </c>
      <c r="H136" s="41">
        <v>22500</v>
      </c>
      <c r="I136" s="41">
        <v>1</v>
      </c>
      <c r="J136" s="83">
        <f t="shared" si="20"/>
        <v>4757142.8571428573</v>
      </c>
      <c r="K136" s="41"/>
      <c r="L136" s="41"/>
      <c r="M136" s="70">
        <f t="shared" si="21"/>
        <v>0</v>
      </c>
      <c r="N136" s="41"/>
      <c r="O136" s="41"/>
      <c r="P136" s="70">
        <f t="shared" si="22"/>
        <v>0</v>
      </c>
      <c r="Q136" s="41">
        <v>22500</v>
      </c>
      <c r="R136" s="41">
        <v>1</v>
      </c>
      <c r="S136" s="70">
        <f t="shared" si="23"/>
        <v>6331757.1428571446</v>
      </c>
      <c r="T136" s="41"/>
      <c r="U136" s="41"/>
      <c r="V136" s="70">
        <f t="shared" si="24"/>
        <v>0</v>
      </c>
      <c r="W136" s="41">
        <v>22500</v>
      </c>
      <c r="X136" s="41">
        <v>1</v>
      </c>
      <c r="Y136" s="70">
        <f t="shared" si="25"/>
        <v>7661426.1428571446</v>
      </c>
      <c r="Z136" s="41"/>
      <c r="AA136" s="41"/>
      <c r="AB136" s="70">
        <f t="shared" si="26"/>
        <v>0</v>
      </c>
      <c r="AC136" s="41">
        <v>22500</v>
      </c>
      <c r="AD136" s="41">
        <v>1</v>
      </c>
      <c r="AE136" s="70">
        <f t="shared" si="27"/>
        <v>9270325.6328571495</v>
      </c>
      <c r="AF136" s="28">
        <f t="shared" si="28"/>
        <v>28020651.775714293</v>
      </c>
      <c r="AG136" s="28">
        <f t="shared" si="29"/>
        <v>27417.46749091418</v>
      </c>
    </row>
    <row r="137" spans="1:101" ht="57.6" x14ac:dyDescent="0.3">
      <c r="A137" s="41" t="s">
        <v>697</v>
      </c>
      <c r="B137" s="41" t="s">
        <v>694</v>
      </c>
      <c r="C137" s="41" t="s">
        <v>677</v>
      </c>
      <c r="D137" s="41" t="s">
        <v>130</v>
      </c>
      <c r="E137" s="41" t="s">
        <v>596</v>
      </c>
      <c r="F137" s="41" t="s">
        <v>709</v>
      </c>
      <c r="G137" s="67">
        <v>35000</v>
      </c>
      <c r="H137" s="41">
        <v>100</v>
      </c>
      <c r="I137" s="41">
        <v>1</v>
      </c>
      <c r="J137" s="83">
        <f t="shared" si="20"/>
        <v>3500000</v>
      </c>
      <c r="K137" s="41">
        <v>0</v>
      </c>
      <c r="L137" s="41">
        <v>0</v>
      </c>
      <c r="M137" s="70">
        <f t="shared" si="21"/>
        <v>0</v>
      </c>
      <c r="N137" s="41">
        <v>0</v>
      </c>
      <c r="O137" s="41">
        <v>0</v>
      </c>
      <c r="P137" s="70">
        <f t="shared" si="22"/>
        <v>0</v>
      </c>
      <c r="Q137" s="41">
        <v>100</v>
      </c>
      <c r="R137" s="41">
        <v>1</v>
      </c>
      <c r="S137" s="70">
        <f t="shared" si="23"/>
        <v>4658500.0000000019</v>
      </c>
      <c r="T137" s="41">
        <v>0</v>
      </c>
      <c r="U137" s="41">
        <v>0</v>
      </c>
      <c r="V137" s="70">
        <f t="shared" si="24"/>
        <v>0</v>
      </c>
      <c r="W137" s="41">
        <v>100</v>
      </c>
      <c r="X137" s="41">
        <v>1</v>
      </c>
      <c r="Y137" s="70">
        <f t="shared" si="25"/>
        <v>5636785.0000000019</v>
      </c>
      <c r="Z137" s="41">
        <v>0</v>
      </c>
      <c r="AA137" s="41">
        <v>0</v>
      </c>
      <c r="AB137" s="70">
        <f t="shared" si="26"/>
        <v>0</v>
      </c>
      <c r="AC137" s="41">
        <v>100</v>
      </c>
      <c r="AD137" s="41">
        <v>1</v>
      </c>
      <c r="AE137" s="70">
        <f t="shared" si="27"/>
        <v>6820509.8500000034</v>
      </c>
      <c r="AF137" s="28">
        <f t="shared" si="28"/>
        <v>20615794.850000009</v>
      </c>
      <c r="AG137" s="28">
        <f t="shared" si="29"/>
        <v>20172.010616438365</v>
      </c>
    </row>
    <row r="138" spans="1:101" ht="57.6" x14ac:dyDescent="0.3">
      <c r="A138" s="41" t="s">
        <v>697</v>
      </c>
      <c r="B138" s="41" t="s">
        <v>694</v>
      </c>
      <c r="C138" s="41" t="s">
        <v>677</v>
      </c>
      <c r="D138" s="41" t="s">
        <v>130</v>
      </c>
      <c r="E138" s="41" t="s">
        <v>596</v>
      </c>
      <c r="F138" s="41" t="s">
        <v>716</v>
      </c>
      <c r="G138" s="67">
        <v>39000</v>
      </c>
      <c r="H138" s="41">
        <v>58</v>
      </c>
      <c r="I138" s="41">
        <v>1</v>
      </c>
      <c r="J138" s="83">
        <f t="shared" si="20"/>
        <v>2262000</v>
      </c>
      <c r="K138" s="41"/>
      <c r="L138" s="41"/>
      <c r="M138" s="70">
        <f t="shared" si="21"/>
        <v>0</v>
      </c>
      <c r="N138" s="41"/>
      <c r="O138" s="41"/>
      <c r="P138" s="70">
        <f t="shared" si="22"/>
        <v>0</v>
      </c>
      <c r="Q138" s="41">
        <v>58</v>
      </c>
      <c r="R138" s="41">
        <v>1</v>
      </c>
      <c r="S138" s="70">
        <f t="shared" si="23"/>
        <v>3010722.0000000009</v>
      </c>
      <c r="T138" s="41"/>
      <c r="U138" s="41"/>
      <c r="V138" s="70">
        <f t="shared" si="24"/>
        <v>0</v>
      </c>
      <c r="W138" s="41">
        <v>58</v>
      </c>
      <c r="X138" s="41">
        <v>1</v>
      </c>
      <c r="Y138" s="70">
        <f t="shared" si="25"/>
        <v>3642973.620000001</v>
      </c>
      <c r="Z138" s="41"/>
      <c r="AA138" s="41"/>
      <c r="AB138" s="70">
        <f t="shared" si="26"/>
        <v>0</v>
      </c>
      <c r="AC138" s="41">
        <v>58</v>
      </c>
      <c r="AD138" s="41">
        <v>1</v>
      </c>
      <c r="AE138" s="70">
        <f t="shared" si="27"/>
        <v>4407998.0802000025</v>
      </c>
      <c r="AF138" s="28">
        <f t="shared" si="28"/>
        <v>13323693.700200003</v>
      </c>
      <c r="AG138" s="28">
        <f t="shared" si="29"/>
        <v>13036.882289823878</v>
      </c>
    </row>
    <row r="139" spans="1:101" ht="57.6" x14ac:dyDescent="0.3">
      <c r="A139" s="41" t="s">
        <v>697</v>
      </c>
      <c r="B139" s="41" t="s">
        <v>694</v>
      </c>
      <c r="C139" s="41" t="s">
        <v>677</v>
      </c>
      <c r="D139" s="41" t="s">
        <v>130</v>
      </c>
      <c r="E139" s="41" t="s">
        <v>596</v>
      </c>
      <c r="F139" s="41" t="s">
        <v>712</v>
      </c>
      <c r="G139" s="67">
        <v>211.42857142857142</v>
      </c>
      <c r="H139" s="41">
        <v>1450</v>
      </c>
      <c r="I139" s="41">
        <v>1</v>
      </c>
      <c r="J139" s="83">
        <f t="shared" si="20"/>
        <v>306571.42857142858</v>
      </c>
      <c r="K139" s="41"/>
      <c r="L139" s="41"/>
      <c r="M139" s="70">
        <f t="shared" si="21"/>
        <v>0</v>
      </c>
      <c r="N139" s="41"/>
      <c r="O139" s="41"/>
      <c r="P139" s="70">
        <f t="shared" si="22"/>
        <v>0</v>
      </c>
      <c r="Q139" s="41">
        <v>1450</v>
      </c>
      <c r="R139" s="41">
        <v>1</v>
      </c>
      <c r="S139" s="70">
        <f t="shared" si="23"/>
        <v>408046.57142857154</v>
      </c>
      <c r="T139" s="41"/>
      <c r="U139" s="41"/>
      <c r="V139" s="70">
        <f t="shared" si="24"/>
        <v>0</v>
      </c>
      <c r="W139" s="41">
        <v>1450</v>
      </c>
      <c r="X139" s="41">
        <v>1</v>
      </c>
      <c r="Y139" s="70">
        <f t="shared" si="25"/>
        <v>493736.35142857156</v>
      </c>
      <c r="Z139" s="41"/>
      <c r="AA139" s="41"/>
      <c r="AB139" s="70">
        <f t="shared" si="26"/>
        <v>0</v>
      </c>
      <c r="AC139" s="41">
        <v>1450</v>
      </c>
      <c r="AD139" s="41">
        <v>1</v>
      </c>
      <c r="AE139" s="70">
        <f t="shared" si="27"/>
        <v>597420.98522857181</v>
      </c>
      <c r="AF139" s="28">
        <f t="shared" si="28"/>
        <v>1805775.3366571434</v>
      </c>
      <c r="AG139" s="28">
        <f t="shared" si="29"/>
        <v>1766.9034605255806</v>
      </c>
    </row>
    <row r="140" spans="1:101" ht="57.6" x14ac:dyDescent="0.3">
      <c r="A140" s="41" t="s">
        <v>697</v>
      </c>
      <c r="B140" s="41" t="s">
        <v>694</v>
      </c>
      <c r="C140" s="41" t="s">
        <v>677</v>
      </c>
      <c r="D140" s="41" t="s">
        <v>130</v>
      </c>
      <c r="E140" s="41" t="s">
        <v>596</v>
      </c>
      <c r="F140" s="41" t="s">
        <v>1299</v>
      </c>
      <c r="G140" s="67">
        <v>211.42857142857142</v>
      </c>
      <c r="H140" s="41">
        <v>22500</v>
      </c>
      <c r="I140" s="41">
        <v>1</v>
      </c>
      <c r="J140" s="83">
        <f t="shared" si="20"/>
        <v>4757142.8571428573</v>
      </c>
      <c r="K140" s="41"/>
      <c r="L140" s="41"/>
      <c r="M140" s="70">
        <f t="shared" si="21"/>
        <v>0</v>
      </c>
      <c r="N140" s="41"/>
      <c r="O140" s="41"/>
      <c r="P140" s="70">
        <f t="shared" si="22"/>
        <v>0</v>
      </c>
      <c r="Q140" s="41">
        <v>22500</v>
      </c>
      <c r="R140" s="41">
        <v>1</v>
      </c>
      <c r="S140" s="70">
        <f t="shared" si="23"/>
        <v>6331757.1428571446</v>
      </c>
      <c r="T140" s="41"/>
      <c r="U140" s="41"/>
      <c r="V140" s="70">
        <f t="shared" si="24"/>
        <v>0</v>
      </c>
      <c r="W140" s="41">
        <v>22500</v>
      </c>
      <c r="X140" s="41">
        <v>1</v>
      </c>
      <c r="Y140" s="70">
        <f t="shared" si="25"/>
        <v>7661426.1428571446</v>
      </c>
      <c r="Z140" s="41"/>
      <c r="AA140" s="41"/>
      <c r="AB140" s="70">
        <f t="shared" si="26"/>
        <v>0</v>
      </c>
      <c r="AC140" s="41">
        <v>22500</v>
      </c>
      <c r="AD140" s="41">
        <v>1</v>
      </c>
      <c r="AE140" s="70">
        <f t="shared" si="27"/>
        <v>9270325.6328571495</v>
      </c>
      <c r="AF140" s="28">
        <f t="shared" si="28"/>
        <v>28020651.775714293</v>
      </c>
      <c r="AG140" s="28">
        <f t="shared" si="29"/>
        <v>27417.46749091418</v>
      </c>
    </row>
    <row r="141" spans="1:101" ht="57.6" x14ac:dyDescent="0.3">
      <c r="A141" s="41" t="s">
        <v>697</v>
      </c>
      <c r="B141" s="41" t="s">
        <v>694</v>
      </c>
      <c r="C141" s="41" t="s">
        <v>677</v>
      </c>
      <c r="D141" s="41" t="s">
        <v>130</v>
      </c>
      <c r="E141" s="41" t="s">
        <v>596</v>
      </c>
      <c r="F141" s="41" t="s">
        <v>1318</v>
      </c>
      <c r="G141" s="67">
        <v>8000</v>
      </c>
      <c r="H141" s="41">
        <v>0</v>
      </c>
      <c r="I141" s="41">
        <v>0</v>
      </c>
      <c r="J141" s="83">
        <f t="shared" si="20"/>
        <v>0</v>
      </c>
      <c r="K141" s="41">
        <v>0</v>
      </c>
      <c r="L141" s="41">
        <v>0</v>
      </c>
      <c r="M141" s="70">
        <f t="shared" si="21"/>
        <v>0</v>
      </c>
      <c r="N141" s="41">
        <v>0</v>
      </c>
      <c r="O141" s="41">
        <v>0</v>
      </c>
      <c r="P141" s="70">
        <f t="shared" si="22"/>
        <v>0</v>
      </c>
      <c r="Q141" s="41">
        <v>0</v>
      </c>
      <c r="R141" s="41">
        <v>0</v>
      </c>
      <c r="S141" s="70">
        <f t="shared" si="23"/>
        <v>0</v>
      </c>
      <c r="T141" s="41">
        <v>0</v>
      </c>
      <c r="U141" s="41">
        <v>0</v>
      </c>
      <c r="V141" s="70">
        <f t="shared" si="24"/>
        <v>0</v>
      </c>
      <c r="W141" s="41">
        <v>0</v>
      </c>
      <c r="X141" s="41">
        <v>0</v>
      </c>
      <c r="Y141" s="70">
        <f t="shared" si="25"/>
        <v>0</v>
      </c>
      <c r="Z141" s="41">
        <v>0</v>
      </c>
      <c r="AA141" s="41">
        <v>0</v>
      </c>
      <c r="AB141" s="70">
        <f t="shared" si="26"/>
        <v>0</v>
      </c>
      <c r="AC141" s="41">
        <v>0</v>
      </c>
      <c r="AD141" s="41">
        <v>0</v>
      </c>
      <c r="AE141" s="70">
        <f t="shared" si="27"/>
        <v>0</v>
      </c>
      <c r="AF141" s="28">
        <f t="shared" si="28"/>
        <v>0</v>
      </c>
      <c r="AG141" s="28">
        <f t="shared" si="29"/>
        <v>0</v>
      </c>
    </row>
    <row r="142" spans="1:101" ht="57.6" x14ac:dyDescent="0.3">
      <c r="A142" s="41" t="s">
        <v>697</v>
      </c>
      <c r="B142" s="41" t="s">
        <v>694</v>
      </c>
      <c r="C142" s="41" t="s">
        <v>677</v>
      </c>
      <c r="D142" s="41" t="s">
        <v>130</v>
      </c>
      <c r="E142" s="41" t="s">
        <v>596</v>
      </c>
      <c r="F142" s="41" t="s">
        <v>717</v>
      </c>
      <c r="G142" s="67">
        <v>104850</v>
      </c>
      <c r="H142" s="41">
        <v>0</v>
      </c>
      <c r="I142" s="41">
        <v>0</v>
      </c>
      <c r="J142" s="83">
        <f t="shared" si="20"/>
        <v>0</v>
      </c>
      <c r="K142" s="41">
        <v>0</v>
      </c>
      <c r="L142" s="41">
        <v>0</v>
      </c>
      <c r="M142" s="70">
        <f t="shared" si="21"/>
        <v>0</v>
      </c>
      <c r="N142" s="41">
        <v>0</v>
      </c>
      <c r="O142" s="41">
        <v>0</v>
      </c>
      <c r="P142" s="70">
        <f t="shared" si="22"/>
        <v>0</v>
      </c>
      <c r="Q142" s="41">
        <v>0</v>
      </c>
      <c r="R142" s="41">
        <v>0</v>
      </c>
      <c r="S142" s="70">
        <f t="shared" si="23"/>
        <v>0</v>
      </c>
      <c r="T142" s="41">
        <v>0</v>
      </c>
      <c r="U142" s="41">
        <v>0</v>
      </c>
      <c r="V142" s="70">
        <f t="shared" si="24"/>
        <v>0</v>
      </c>
      <c r="W142" s="41">
        <v>0</v>
      </c>
      <c r="X142" s="41">
        <v>0</v>
      </c>
      <c r="Y142" s="70">
        <f t="shared" si="25"/>
        <v>0</v>
      </c>
      <c r="Z142" s="41">
        <v>0</v>
      </c>
      <c r="AA142" s="41">
        <v>0</v>
      </c>
      <c r="AB142" s="70">
        <f t="shared" si="26"/>
        <v>0</v>
      </c>
      <c r="AC142" s="41">
        <v>0</v>
      </c>
      <c r="AD142" s="41">
        <v>0</v>
      </c>
      <c r="AE142" s="70">
        <f t="shared" si="27"/>
        <v>0</v>
      </c>
      <c r="AF142" s="28">
        <f t="shared" si="28"/>
        <v>0</v>
      </c>
      <c r="AG142" s="28">
        <f t="shared" si="29"/>
        <v>0</v>
      </c>
    </row>
    <row r="143" spans="1:101" ht="57.6" x14ac:dyDescent="0.3">
      <c r="A143" s="41" t="s">
        <v>697</v>
      </c>
      <c r="B143" s="41" t="s">
        <v>694</v>
      </c>
      <c r="C143" s="41" t="s">
        <v>677</v>
      </c>
      <c r="D143" s="41" t="s">
        <v>131</v>
      </c>
      <c r="E143" s="41" t="s">
        <v>806</v>
      </c>
      <c r="F143" s="41" t="s">
        <v>718</v>
      </c>
      <c r="G143" s="67">
        <v>0</v>
      </c>
      <c r="H143" s="41">
        <v>0</v>
      </c>
      <c r="I143" s="41">
        <v>0</v>
      </c>
      <c r="J143" s="83">
        <f t="shared" si="20"/>
        <v>0</v>
      </c>
      <c r="K143" s="41">
        <v>0</v>
      </c>
      <c r="L143" s="41">
        <v>0</v>
      </c>
      <c r="M143" s="70">
        <f t="shared" si="21"/>
        <v>0</v>
      </c>
      <c r="N143" s="41">
        <v>0</v>
      </c>
      <c r="O143" s="41">
        <v>0</v>
      </c>
      <c r="P143" s="70">
        <f t="shared" si="22"/>
        <v>0</v>
      </c>
      <c r="Q143" s="41">
        <v>0</v>
      </c>
      <c r="R143" s="41">
        <v>0</v>
      </c>
      <c r="S143" s="70">
        <f t="shared" si="23"/>
        <v>0</v>
      </c>
      <c r="T143" s="41">
        <v>0</v>
      </c>
      <c r="U143" s="41">
        <v>0</v>
      </c>
      <c r="V143" s="70">
        <f t="shared" si="24"/>
        <v>0</v>
      </c>
      <c r="W143" s="41">
        <v>0</v>
      </c>
      <c r="X143" s="41">
        <v>0</v>
      </c>
      <c r="Y143" s="70">
        <f t="shared" si="25"/>
        <v>0</v>
      </c>
      <c r="Z143" s="41">
        <v>0</v>
      </c>
      <c r="AA143" s="41">
        <v>0</v>
      </c>
      <c r="AB143" s="70">
        <f t="shared" si="26"/>
        <v>0</v>
      </c>
      <c r="AC143" s="41">
        <v>0</v>
      </c>
      <c r="AD143" s="41">
        <v>0</v>
      </c>
      <c r="AE143" s="70">
        <f t="shared" si="27"/>
        <v>0</v>
      </c>
      <c r="AF143" s="28">
        <f t="shared" si="28"/>
        <v>0</v>
      </c>
      <c r="AG143" s="28">
        <f t="shared" si="29"/>
        <v>0</v>
      </c>
    </row>
    <row r="144" spans="1:101" x14ac:dyDescent="0.3">
      <c r="A144" s="53" t="s">
        <v>1296</v>
      </c>
      <c r="B144" s="63"/>
      <c r="C144" s="63"/>
      <c r="D144" s="63"/>
      <c r="E144" s="63"/>
      <c r="F144" s="63"/>
      <c r="G144" s="68"/>
      <c r="H144" s="63"/>
      <c r="I144" s="63"/>
      <c r="J144" s="90">
        <f>SUM(J93:J143)</f>
        <v>120302621.29285713</v>
      </c>
      <c r="K144" s="63"/>
      <c r="L144" s="63"/>
      <c r="M144" s="90">
        <f>SUM(M93:M143)</f>
        <v>27735934.285714284</v>
      </c>
      <c r="N144" s="63"/>
      <c r="O144" s="63"/>
      <c r="P144" s="90">
        <f>SUM(P93:P143)</f>
        <v>16940000.000000004</v>
      </c>
      <c r="Q144" s="63"/>
      <c r="R144" s="63"/>
      <c r="S144" s="90">
        <f>SUM(S93:S143)</f>
        <v>143818038.94079289</v>
      </c>
      <c r="T144" s="63"/>
      <c r="U144" s="63"/>
      <c r="V144" s="90">
        <f>SUM(V93:V143)</f>
        <v>20497400.000000007</v>
      </c>
      <c r="W144" s="63"/>
      <c r="X144" s="63"/>
      <c r="Y144" s="90">
        <f>SUM(Y93:Y143)</f>
        <v>174019827.11835939</v>
      </c>
      <c r="Z144" s="63"/>
      <c r="AA144" s="63"/>
      <c r="AB144" s="90">
        <f>SUM(AB93:AB143)</f>
        <v>24801854.000000011</v>
      </c>
      <c r="AC144" s="63"/>
      <c r="AD144" s="63"/>
      <c r="AE144" s="90">
        <f>SUM(AE93:AE143)</f>
        <v>210563990.81321493</v>
      </c>
      <c r="AF144" s="28">
        <f t="shared" si="28"/>
        <v>738679666.45093858</v>
      </c>
      <c r="AG144" s="28">
        <f t="shared" si="29"/>
        <v>722778.53860170115</v>
      </c>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row>
    <row r="145" spans="1:41" x14ac:dyDescent="0.3">
      <c r="A145" s="63" t="s">
        <v>1427</v>
      </c>
      <c r="B145" s="63"/>
      <c r="C145" s="63"/>
      <c r="D145" s="63"/>
      <c r="E145" s="63"/>
      <c r="F145" s="63"/>
      <c r="G145" s="68"/>
      <c r="H145" s="63"/>
      <c r="I145" s="63"/>
      <c r="J145" s="90">
        <f>J144/$AL$2</f>
        <v>117712.93668577018</v>
      </c>
      <c r="K145" s="63"/>
      <c r="L145" s="63"/>
      <c r="M145" s="90">
        <f>M144/$AL$2</f>
        <v>27138.878948839807</v>
      </c>
      <c r="N145" s="63"/>
      <c r="O145" s="63"/>
      <c r="P145" s="90">
        <f>P144/$AL$2</f>
        <v>16575.342465753427</v>
      </c>
      <c r="Q145" s="63"/>
      <c r="R145" s="63"/>
      <c r="S145" s="90">
        <f>S144/$AL$2</f>
        <v>140722.15160547249</v>
      </c>
      <c r="T145" s="63"/>
      <c r="U145" s="63"/>
      <c r="V145" s="90">
        <f>V144/$AL$2</f>
        <v>20056.164383561652</v>
      </c>
      <c r="W145" s="63"/>
      <c r="X145" s="63"/>
      <c r="Y145" s="90">
        <f>Y144/$AL$2</f>
        <v>170273.80344262172</v>
      </c>
      <c r="Z145" s="63"/>
      <c r="AA145" s="63"/>
      <c r="AB145" s="90">
        <f>AB144/$AL$2</f>
        <v>24267.958904109601</v>
      </c>
      <c r="AC145" s="63"/>
      <c r="AD145" s="63"/>
      <c r="AE145" s="90">
        <f>AE144/$AL$2</f>
        <v>206031.30216557233</v>
      </c>
      <c r="AF145" s="20">
        <f t="shared" si="28"/>
        <v>722778.53860170115</v>
      </c>
      <c r="AG145" s="20">
        <f t="shared" si="29"/>
        <v>707.2197050897272</v>
      </c>
      <c r="AH145" s="62"/>
      <c r="AI145" s="62"/>
      <c r="AJ145" s="62"/>
      <c r="AK145" s="62"/>
      <c r="AL145" s="62"/>
      <c r="AM145" s="62"/>
      <c r="AN145" s="62"/>
      <c r="AO145" s="62"/>
    </row>
    <row r="146" spans="1:41" ht="57.6" x14ac:dyDescent="0.3">
      <c r="A146" s="41" t="s">
        <v>697</v>
      </c>
      <c r="B146" s="41" t="s">
        <v>694</v>
      </c>
      <c r="C146" s="41" t="s">
        <v>678</v>
      </c>
      <c r="D146" s="41" t="s">
        <v>132</v>
      </c>
      <c r="E146" s="41" t="s">
        <v>598</v>
      </c>
      <c r="F146" s="41" t="s">
        <v>718</v>
      </c>
      <c r="G146" s="67">
        <v>0</v>
      </c>
      <c r="H146" s="41">
        <v>0</v>
      </c>
      <c r="I146" s="41">
        <v>0</v>
      </c>
      <c r="J146" s="83">
        <f t="shared" si="20"/>
        <v>0</v>
      </c>
      <c r="K146" s="41">
        <v>0</v>
      </c>
      <c r="L146" s="41">
        <v>0</v>
      </c>
      <c r="M146" s="70">
        <f t="shared" si="21"/>
        <v>0</v>
      </c>
      <c r="N146" s="41">
        <v>0</v>
      </c>
      <c r="O146" s="41">
        <v>0</v>
      </c>
      <c r="P146" s="70">
        <f t="shared" si="22"/>
        <v>0</v>
      </c>
      <c r="Q146" s="41">
        <v>0</v>
      </c>
      <c r="R146" s="41">
        <v>0</v>
      </c>
      <c r="S146" s="70">
        <f t="shared" si="23"/>
        <v>0</v>
      </c>
      <c r="T146" s="41">
        <v>0</v>
      </c>
      <c r="U146" s="41">
        <v>0</v>
      </c>
      <c r="V146" s="70">
        <f t="shared" si="24"/>
        <v>0</v>
      </c>
      <c r="W146" s="41">
        <v>0</v>
      </c>
      <c r="X146" s="41">
        <v>0</v>
      </c>
      <c r="Y146" s="70">
        <f t="shared" si="25"/>
        <v>0</v>
      </c>
      <c r="Z146" s="41">
        <v>0</v>
      </c>
      <c r="AA146" s="41">
        <v>0</v>
      </c>
      <c r="AB146" s="70">
        <f t="shared" si="26"/>
        <v>0</v>
      </c>
      <c r="AC146" s="41">
        <v>0</v>
      </c>
      <c r="AD146" s="41">
        <v>0</v>
      </c>
      <c r="AE146" s="70">
        <f t="shared" si="27"/>
        <v>0</v>
      </c>
      <c r="AF146" s="28">
        <f t="shared" si="28"/>
        <v>0</v>
      </c>
      <c r="AG146" s="28">
        <f t="shared" si="29"/>
        <v>0</v>
      </c>
    </row>
    <row r="147" spans="1:41" ht="57.6" x14ac:dyDescent="0.3">
      <c r="A147" s="41" t="s">
        <v>697</v>
      </c>
      <c r="B147" s="41" t="s">
        <v>694</v>
      </c>
      <c r="C147" s="41" t="s">
        <v>678</v>
      </c>
      <c r="D147" s="41" t="s">
        <v>132</v>
      </c>
      <c r="E147" s="41" t="s">
        <v>149</v>
      </c>
      <c r="F147" s="41" t="s">
        <v>707</v>
      </c>
      <c r="G147" s="67">
        <v>391991.03749999998</v>
      </c>
      <c r="H147" s="41">
        <v>2</v>
      </c>
      <c r="I147" s="41">
        <v>2</v>
      </c>
      <c r="J147" s="83">
        <f t="shared" si="20"/>
        <v>1567964.15</v>
      </c>
      <c r="K147" s="41">
        <v>0</v>
      </c>
      <c r="L147" s="41">
        <v>0</v>
      </c>
      <c r="M147" s="70">
        <f t="shared" si="21"/>
        <v>0</v>
      </c>
      <c r="N147" s="41">
        <v>2</v>
      </c>
      <c r="O147" s="41">
        <v>2</v>
      </c>
      <c r="P147" s="70">
        <f t="shared" si="22"/>
        <v>1897236.6215000001</v>
      </c>
      <c r="Q147" s="41">
        <v>0</v>
      </c>
      <c r="R147" s="41">
        <v>0</v>
      </c>
      <c r="S147" s="70">
        <f t="shared" si="23"/>
        <v>0</v>
      </c>
      <c r="T147" s="41">
        <v>0</v>
      </c>
      <c r="U147" s="41">
        <v>0</v>
      </c>
      <c r="V147" s="70">
        <f t="shared" si="24"/>
        <v>0</v>
      </c>
      <c r="W147" s="41">
        <v>2</v>
      </c>
      <c r="X147" s="41">
        <v>2</v>
      </c>
      <c r="Y147" s="70">
        <f t="shared" si="25"/>
        <v>2525221.9432165008</v>
      </c>
      <c r="Z147" s="41">
        <v>0</v>
      </c>
      <c r="AA147" s="41">
        <v>0</v>
      </c>
      <c r="AB147" s="70">
        <f t="shared" si="26"/>
        <v>0</v>
      </c>
      <c r="AC147" s="41">
        <v>0</v>
      </c>
      <c r="AD147" s="41">
        <v>0</v>
      </c>
      <c r="AE147" s="70">
        <f t="shared" si="27"/>
        <v>0</v>
      </c>
      <c r="AF147" s="28">
        <f t="shared" si="28"/>
        <v>5990422.7147165006</v>
      </c>
      <c r="AG147" s="28">
        <f t="shared" si="29"/>
        <v>5861.4703666501964</v>
      </c>
    </row>
    <row r="148" spans="1:41" ht="57.6" x14ac:dyDescent="0.3">
      <c r="A148" s="41" t="s">
        <v>697</v>
      </c>
      <c r="B148" s="41" t="s">
        <v>694</v>
      </c>
      <c r="C148" s="41" t="s">
        <v>678</v>
      </c>
      <c r="D148" s="41" t="s">
        <v>132</v>
      </c>
      <c r="E148" s="41" t="s">
        <v>149</v>
      </c>
      <c r="F148" s="41" t="s">
        <v>708</v>
      </c>
      <c r="G148" s="67">
        <v>511000</v>
      </c>
      <c r="H148" s="41">
        <v>0</v>
      </c>
      <c r="I148" s="41"/>
      <c r="J148" s="83">
        <f t="shared" si="20"/>
        <v>0</v>
      </c>
      <c r="K148" s="41">
        <v>0</v>
      </c>
      <c r="L148" s="41">
        <v>0</v>
      </c>
      <c r="M148" s="70">
        <f t="shared" si="21"/>
        <v>0</v>
      </c>
      <c r="N148" s="41">
        <v>0</v>
      </c>
      <c r="O148" s="41"/>
      <c r="P148" s="70">
        <f t="shared" si="22"/>
        <v>0</v>
      </c>
      <c r="Q148" s="41">
        <v>0</v>
      </c>
      <c r="R148" s="41">
        <v>0</v>
      </c>
      <c r="S148" s="70">
        <f t="shared" si="23"/>
        <v>0</v>
      </c>
      <c r="T148" s="41">
        <v>0</v>
      </c>
      <c r="U148" s="41">
        <v>0</v>
      </c>
      <c r="V148" s="70">
        <f t="shared" si="24"/>
        <v>0</v>
      </c>
      <c r="W148" s="41">
        <v>0</v>
      </c>
      <c r="X148" s="41"/>
      <c r="Y148" s="70">
        <f t="shared" si="25"/>
        <v>0</v>
      </c>
      <c r="Z148" s="41">
        <v>0</v>
      </c>
      <c r="AA148" s="41">
        <v>0</v>
      </c>
      <c r="AB148" s="70">
        <f t="shared" si="26"/>
        <v>0</v>
      </c>
      <c r="AC148" s="41">
        <v>0</v>
      </c>
      <c r="AD148" s="41">
        <v>0</v>
      </c>
      <c r="AE148" s="70">
        <f t="shared" si="27"/>
        <v>0</v>
      </c>
      <c r="AF148" s="28">
        <f t="shared" si="28"/>
        <v>0</v>
      </c>
      <c r="AG148" s="28">
        <f t="shared" si="29"/>
        <v>0</v>
      </c>
    </row>
    <row r="149" spans="1:41" ht="57.6" x14ac:dyDescent="0.3">
      <c r="A149" s="41" t="s">
        <v>697</v>
      </c>
      <c r="B149" s="41" t="s">
        <v>694</v>
      </c>
      <c r="C149" s="41" t="s">
        <v>678</v>
      </c>
      <c r="D149" s="41" t="s">
        <v>132</v>
      </c>
      <c r="E149" s="41" t="s">
        <v>599</v>
      </c>
      <c r="F149" s="41" t="s">
        <v>716</v>
      </c>
      <c r="G149" s="67">
        <v>39000</v>
      </c>
      <c r="H149" s="41">
        <v>25</v>
      </c>
      <c r="I149" s="41">
        <v>12</v>
      </c>
      <c r="J149" s="83">
        <f t="shared" si="20"/>
        <v>11700000</v>
      </c>
      <c r="K149" s="41">
        <v>0</v>
      </c>
      <c r="L149" s="41">
        <v>0</v>
      </c>
      <c r="M149" s="70">
        <f t="shared" si="21"/>
        <v>0</v>
      </c>
      <c r="N149" s="41">
        <v>25</v>
      </c>
      <c r="O149" s="41">
        <v>12</v>
      </c>
      <c r="P149" s="70">
        <f t="shared" si="22"/>
        <v>14157000.000000004</v>
      </c>
      <c r="Q149" s="41">
        <v>0</v>
      </c>
      <c r="R149" s="41">
        <v>0</v>
      </c>
      <c r="S149" s="70">
        <f t="shared" si="23"/>
        <v>0</v>
      </c>
      <c r="T149" s="41">
        <v>0</v>
      </c>
      <c r="U149" s="41">
        <v>0</v>
      </c>
      <c r="V149" s="70">
        <f t="shared" si="24"/>
        <v>0</v>
      </c>
      <c r="W149" s="41">
        <v>25</v>
      </c>
      <c r="X149" s="41">
        <v>12</v>
      </c>
      <c r="Y149" s="70">
        <f t="shared" si="25"/>
        <v>18842967.000000007</v>
      </c>
      <c r="Z149" s="41">
        <v>0</v>
      </c>
      <c r="AA149" s="41">
        <v>0</v>
      </c>
      <c r="AB149" s="70">
        <f t="shared" si="26"/>
        <v>0</v>
      </c>
      <c r="AC149" s="41">
        <v>0</v>
      </c>
      <c r="AD149" s="41">
        <v>0</v>
      </c>
      <c r="AE149" s="70">
        <f t="shared" si="27"/>
        <v>0</v>
      </c>
      <c r="AF149" s="28">
        <f t="shared" si="28"/>
        <v>44699967.000000015</v>
      </c>
      <c r="AG149" s="28">
        <f t="shared" si="29"/>
        <v>43737.736790606665</v>
      </c>
    </row>
    <row r="150" spans="1:41" ht="57.6" x14ac:dyDescent="0.3">
      <c r="A150" s="41" t="s">
        <v>697</v>
      </c>
      <c r="B150" s="41" t="s">
        <v>694</v>
      </c>
      <c r="C150" s="41" t="s">
        <v>678</v>
      </c>
      <c r="D150" s="41" t="s">
        <v>132</v>
      </c>
      <c r="E150" s="41" t="s">
        <v>599</v>
      </c>
      <c r="F150" s="41" t="s">
        <v>709</v>
      </c>
      <c r="G150" s="67">
        <v>35000</v>
      </c>
      <c r="H150" s="41">
        <v>25</v>
      </c>
      <c r="I150" s="41">
        <v>10</v>
      </c>
      <c r="J150" s="83">
        <f t="shared" si="20"/>
        <v>8750000</v>
      </c>
      <c r="K150" s="41">
        <v>0</v>
      </c>
      <c r="L150" s="41">
        <v>0</v>
      </c>
      <c r="M150" s="70">
        <f t="shared" si="21"/>
        <v>0</v>
      </c>
      <c r="N150" s="41">
        <v>25</v>
      </c>
      <c r="O150" s="41">
        <v>10</v>
      </c>
      <c r="P150" s="70">
        <f t="shared" si="22"/>
        <v>10587500.000000002</v>
      </c>
      <c r="Q150" s="41">
        <v>0</v>
      </c>
      <c r="R150" s="41">
        <v>0</v>
      </c>
      <c r="S150" s="70">
        <f t="shared" si="23"/>
        <v>0</v>
      </c>
      <c r="T150" s="41">
        <v>0</v>
      </c>
      <c r="U150" s="41">
        <v>0</v>
      </c>
      <c r="V150" s="70">
        <f t="shared" si="24"/>
        <v>0</v>
      </c>
      <c r="W150" s="41">
        <v>25</v>
      </c>
      <c r="X150" s="41">
        <v>10</v>
      </c>
      <c r="Y150" s="70">
        <f t="shared" si="25"/>
        <v>14091962.500000004</v>
      </c>
      <c r="Z150" s="41">
        <v>0</v>
      </c>
      <c r="AA150" s="41">
        <v>0</v>
      </c>
      <c r="AB150" s="70">
        <f t="shared" si="26"/>
        <v>0</v>
      </c>
      <c r="AC150" s="41">
        <v>0</v>
      </c>
      <c r="AD150" s="41">
        <v>0</v>
      </c>
      <c r="AE150" s="70">
        <f t="shared" si="27"/>
        <v>0</v>
      </c>
      <c r="AF150" s="28">
        <f t="shared" si="28"/>
        <v>33429462.500000004</v>
      </c>
      <c r="AG150" s="28">
        <f t="shared" si="29"/>
        <v>32709.845890410961</v>
      </c>
    </row>
    <row r="151" spans="1:41" ht="57.6" x14ac:dyDescent="0.3">
      <c r="A151" s="41" t="s">
        <v>697</v>
      </c>
      <c r="B151" s="41" t="s">
        <v>694</v>
      </c>
      <c r="C151" s="41" t="s">
        <v>678</v>
      </c>
      <c r="D151" s="41" t="s">
        <v>132</v>
      </c>
      <c r="E151" s="41" t="s">
        <v>599</v>
      </c>
      <c r="F151" s="41" t="s">
        <v>712</v>
      </c>
      <c r="G151" s="67">
        <v>211.42857142857142</v>
      </c>
      <c r="H151" s="41">
        <v>450</v>
      </c>
      <c r="I151" s="41">
        <v>10</v>
      </c>
      <c r="J151" s="83">
        <f t="shared" si="20"/>
        <v>951428.57142857136</v>
      </c>
      <c r="K151" s="41">
        <v>0</v>
      </c>
      <c r="L151" s="41">
        <v>0</v>
      </c>
      <c r="M151" s="70">
        <f t="shared" si="21"/>
        <v>0</v>
      </c>
      <c r="N151" s="41">
        <v>450</v>
      </c>
      <c r="O151" s="41">
        <v>10</v>
      </c>
      <c r="P151" s="70">
        <f t="shared" si="22"/>
        <v>1151228.5714285716</v>
      </c>
      <c r="Q151" s="41">
        <v>0</v>
      </c>
      <c r="R151" s="41">
        <v>0</v>
      </c>
      <c r="S151" s="70">
        <f t="shared" si="23"/>
        <v>0</v>
      </c>
      <c r="T151" s="41">
        <v>0</v>
      </c>
      <c r="U151" s="41">
        <v>0</v>
      </c>
      <c r="V151" s="70">
        <f t="shared" si="24"/>
        <v>0</v>
      </c>
      <c r="W151" s="41">
        <v>450</v>
      </c>
      <c r="X151" s="41">
        <v>10</v>
      </c>
      <c r="Y151" s="70">
        <f t="shared" si="25"/>
        <v>1532285.2285714289</v>
      </c>
      <c r="Z151" s="41">
        <v>0</v>
      </c>
      <c r="AA151" s="41">
        <v>0</v>
      </c>
      <c r="AB151" s="70">
        <f t="shared" si="26"/>
        <v>0</v>
      </c>
      <c r="AC151" s="41">
        <v>0</v>
      </c>
      <c r="AD151" s="41">
        <v>0</v>
      </c>
      <c r="AE151" s="70">
        <f t="shared" si="27"/>
        <v>0</v>
      </c>
      <c r="AF151" s="28">
        <f t="shared" si="28"/>
        <v>3634942.3714285716</v>
      </c>
      <c r="AG151" s="28">
        <f t="shared" si="29"/>
        <v>3556.695079675706</v>
      </c>
    </row>
    <row r="152" spans="1:41" ht="57.6" x14ac:dyDescent="0.3">
      <c r="A152" s="41" t="s">
        <v>697</v>
      </c>
      <c r="B152" s="41" t="s">
        <v>694</v>
      </c>
      <c r="C152" s="41" t="s">
        <v>678</v>
      </c>
      <c r="D152" s="41" t="s">
        <v>132</v>
      </c>
      <c r="E152" s="41" t="s">
        <v>599</v>
      </c>
      <c r="F152" s="41" t="s">
        <v>1299</v>
      </c>
      <c r="G152" s="67">
        <v>211.42857142857142</v>
      </c>
      <c r="H152" s="41">
        <v>2430</v>
      </c>
      <c r="I152" s="41">
        <v>2</v>
      </c>
      <c r="J152" s="83">
        <f t="shared" si="20"/>
        <v>1027542.857142857</v>
      </c>
      <c r="K152" s="41"/>
      <c r="L152" s="41"/>
      <c r="M152" s="70">
        <f t="shared" si="21"/>
        <v>0</v>
      </c>
      <c r="N152" s="41">
        <v>2430</v>
      </c>
      <c r="O152" s="41">
        <v>2</v>
      </c>
      <c r="P152" s="70">
        <f t="shared" si="22"/>
        <v>1243326.8571428573</v>
      </c>
      <c r="Q152" s="41"/>
      <c r="R152" s="41"/>
      <c r="S152" s="70">
        <f t="shared" si="23"/>
        <v>0</v>
      </c>
      <c r="T152" s="41"/>
      <c r="U152" s="41"/>
      <c r="V152" s="70">
        <f t="shared" si="24"/>
        <v>0</v>
      </c>
      <c r="W152" s="41">
        <v>2430</v>
      </c>
      <c r="X152" s="41">
        <v>2</v>
      </c>
      <c r="Y152" s="70">
        <f t="shared" si="25"/>
        <v>1654868.0468571433</v>
      </c>
      <c r="Z152" s="41"/>
      <c r="AA152" s="41"/>
      <c r="AB152" s="70">
        <f t="shared" si="26"/>
        <v>0</v>
      </c>
      <c r="AC152" s="41"/>
      <c r="AD152" s="41"/>
      <c r="AE152" s="70">
        <f t="shared" si="27"/>
        <v>0</v>
      </c>
      <c r="AF152" s="28">
        <f t="shared" si="28"/>
        <v>3925737.7611428578</v>
      </c>
      <c r="AG152" s="28">
        <f t="shared" si="29"/>
        <v>3841.2306860497629</v>
      </c>
    </row>
    <row r="153" spans="1:41" ht="57.6" x14ac:dyDescent="0.3">
      <c r="A153" s="41" t="s">
        <v>697</v>
      </c>
      <c r="B153" s="41" t="s">
        <v>694</v>
      </c>
      <c r="C153" s="41" t="s">
        <v>678</v>
      </c>
      <c r="D153" s="41" t="s">
        <v>133</v>
      </c>
      <c r="E153" s="41" t="s">
        <v>182</v>
      </c>
      <c r="F153" s="41" t="s">
        <v>718</v>
      </c>
      <c r="G153" s="67">
        <v>0</v>
      </c>
      <c r="H153" s="41">
        <v>0</v>
      </c>
      <c r="I153" s="41">
        <v>0</v>
      </c>
      <c r="J153" s="83">
        <f t="shared" si="20"/>
        <v>0</v>
      </c>
      <c r="K153" s="41">
        <v>0</v>
      </c>
      <c r="L153" s="41">
        <v>0</v>
      </c>
      <c r="M153" s="70">
        <f t="shared" si="21"/>
        <v>0</v>
      </c>
      <c r="N153" s="41">
        <v>0</v>
      </c>
      <c r="O153" s="41">
        <v>0</v>
      </c>
      <c r="P153" s="70">
        <f t="shared" si="22"/>
        <v>0</v>
      </c>
      <c r="Q153" s="41">
        <v>0</v>
      </c>
      <c r="R153" s="41">
        <v>0</v>
      </c>
      <c r="S153" s="70">
        <f t="shared" si="23"/>
        <v>0</v>
      </c>
      <c r="T153" s="41">
        <v>0</v>
      </c>
      <c r="U153" s="41">
        <v>0</v>
      </c>
      <c r="V153" s="70">
        <f t="shared" si="24"/>
        <v>0</v>
      </c>
      <c r="W153" s="41">
        <v>0</v>
      </c>
      <c r="X153" s="41">
        <v>0</v>
      </c>
      <c r="Y153" s="70">
        <f t="shared" si="25"/>
        <v>0</v>
      </c>
      <c r="Z153" s="41">
        <v>0</v>
      </c>
      <c r="AA153" s="41">
        <v>0</v>
      </c>
      <c r="AB153" s="70">
        <f t="shared" si="26"/>
        <v>0</v>
      </c>
      <c r="AC153" s="41">
        <v>0</v>
      </c>
      <c r="AD153" s="41">
        <v>0</v>
      </c>
      <c r="AE153" s="70">
        <f t="shared" si="27"/>
        <v>0</v>
      </c>
      <c r="AF153" s="28">
        <f t="shared" si="28"/>
        <v>0</v>
      </c>
      <c r="AG153" s="28">
        <f t="shared" si="29"/>
        <v>0</v>
      </c>
    </row>
    <row r="154" spans="1:41" ht="57.6" x14ac:dyDescent="0.3">
      <c r="A154" s="41" t="s">
        <v>697</v>
      </c>
      <c r="B154" s="41" t="s">
        <v>694</v>
      </c>
      <c r="C154" s="41" t="s">
        <v>678</v>
      </c>
      <c r="D154" s="41" t="s">
        <v>133</v>
      </c>
      <c r="E154" s="41" t="s">
        <v>600</v>
      </c>
      <c r="F154" s="41" t="s">
        <v>707</v>
      </c>
      <c r="G154" s="67">
        <v>391991.03749999998</v>
      </c>
      <c r="H154" s="41">
        <v>2</v>
      </c>
      <c r="I154" s="41">
        <v>2</v>
      </c>
      <c r="J154" s="83">
        <f t="shared" si="20"/>
        <v>1567964.15</v>
      </c>
      <c r="K154" s="41">
        <v>0</v>
      </c>
      <c r="L154" s="41">
        <v>0</v>
      </c>
      <c r="M154" s="70">
        <f t="shared" si="21"/>
        <v>0</v>
      </c>
      <c r="N154" s="41">
        <v>1</v>
      </c>
      <c r="O154" s="41">
        <v>4</v>
      </c>
      <c r="P154" s="70">
        <f t="shared" si="22"/>
        <v>1897236.6215000001</v>
      </c>
      <c r="Q154" s="41">
        <v>0</v>
      </c>
      <c r="R154" s="41">
        <v>0</v>
      </c>
      <c r="S154" s="70">
        <f t="shared" si="23"/>
        <v>0</v>
      </c>
      <c r="T154" s="41">
        <v>0</v>
      </c>
      <c r="U154" s="41">
        <v>0</v>
      </c>
      <c r="V154" s="70">
        <f t="shared" si="24"/>
        <v>0</v>
      </c>
      <c r="W154" s="41">
        <v>0</v>
      </c>
      <c r="X154" s="41">
        <v>0</v>
      </c>
      <c r="Y154" s="70">
        <f t="shared" si="25"/>
        <v>0</v>
      </c>
      <c r="Z154" s="41">
        <v>0</v>
      </c>
      <c r="AA154" s="41">
        <v>0</v>
      </c>
      <c r="AB154" s="70">
        <f t="shared" si="26"/>
        <v>0</v>
      </c>
      <c r="AC154" s="41">
        <v>0</v>
      </c>
      <c r="AD154" s="41">
        <v>0</v>
      </c>
      <c r="AE154" s="70">
        <f t="shared" si="27"/>
        <v>0</v>
      </c>
      <c r="AF154" s="28">
        <f t="shared" si="28"/>
        <v>3465200.7714999998</v>
      </c>
      <c r="AG154" s="28">
        <f t="shared" si="29"/>
        <v>3390.6074085127198</v>
      </c>
    </row>
    <row r="155" spans="1:41" ht="57.6" x14ac:dyDescent="0.3">
      <c r="A155" s="41" t="s">
        <v>697</v>
      </c>
      <c r="B155" s="41" t="s">
        <v>694</v>
      </c>
      <c r="C155" s="41" t="s">
        <v>678</v>
      </c>
      <c r="D155" s="41" t="s">
        <v>133</v>
      </c>
      <c r="E155" s="41" t="s">
        <v>600</v>
      </c>
      <c r="F155" s="41" t="s">
        <v>741</v>
      </c>
      <c r="G155" s="67">
        <v>42924000</v>
      </c>
      <c r="H155" s="41">
        <v>0</v>
      </c>
      <c r="I155" s="41">
        <v>0</v>
      </c>
      <c r="J155" s="83">
        <f t="shared" si="20"/>
        <v>0</v>
      </c>
      <c r="K155" s="41">
        <v>0</v>
      </c>
      <c r="L155" s="41">
        <v>0</v>
      </c>
      <c r="M155" s="70">
        <f t="shared" si="21"/>
        <v>0</v>
      </c>
      <c r="N155" s="41">
        <v>1</v>
      </c>
      <c r="O155" s="41">
        <v>1</v>
      </c>
      <c r="P155" s="70">
        <f t="shared" si="22"/>
        <v>51938040.000000007</v>
      </c>
      <c r="Q155" s="41">
        <v>1</v>
      </c>
      <c r="R155" s="41">
        <v>1</v>
      </c>
      <c r="S155" s="70">
        <f t="shared" si="23"/>
        <v>57131844.000000015</v>
      </c>
      <c r="T155" s="41">
        <v>1</v>
      </c>
      <c r="U155" s="41">
        <v>1</v>
      </c>
      <c r="V155" s="70">
        <f t="shared" si="24"/>
        <v>62845028.400000021</v>
      </c>
      <c r="W155" s="41">
        <v>0</v>
      </c>
      <c r="X155" s="41">
        <v>0</v>
      </c>
      <c r="Y155" s="70">
        <f t="shared" si="25"/>
        <v>0</v>
      </c>
      <c r="Z155" s="41">
        <v>0</v>
      </c>
      <c r="AA155" s="41">
        <v>0</v>
      </c>
      <c r="AB155" s="70">
        <f t="shared" si="26"/>
        <v>0</v>
      </c>
      <c r="AC155" s="41">
        <v>0</v>
      </c>
      <c r="AD155" s="41">
        <v>0</v>
      </c>
      <c r="AE155" s="70">
        <f t="shared" si="27"/>
        <v>0</v>
      </c>
      <c r="AF155" s="28">
        <f t="shared" si="28"/>
        <v>171914912.40000004</v>
      </c>
      <c r="AG155" s="28">
        <f t="shared" si="29"/>
        <v>168214.20000000004</v>
      </c>
    </row>
    <row r="156" spans="1:41" x14ac:dyDescent="0.3">
      <c r="A156" s="53" t="s">
        <v>1296</v>
      </c>
      <c r="B156" s="63"/>
      <c r="C156" s="63"/>
      <c r="D156" s="63"/>
      <c r="E156" s="63"/>
      <c r="F156" s="63"/>
      <c r="G156" s="68"/>
      <c r="H156" s="63"/>
      <c r="I156" s="63"/>
      <c r="J156" s="90">
        <f>SUM(J146:J155)</f>
        <v>25564899.728571426</v>
      </c>
      <c r="K156" s="63"/>
      <c r="L156" s="63"/>
      <c r="M156" s="90">
        <f>SUM(M146:M155)</f>
        <v>0</v>
      </c>
      <c r="N156" s="63"/>
      <c r="O156" s="63"/>
      <c r="P156" s="90">
        <f>SUM(P146:P155)</f>
        <v>82871568.671571448</v>
      </c>
      <c r="Q156" s="63"/>
      <c r="R156" s="63"/>
      <c r="S156" s="90">
        <f>SUM(S146:S155)</f>
        <v>57131844.000000015</v>
      </c>
      <c r="T156" s="63"/>
      <c r="U156" s="63"/>
      <c r="V156" s="90">
        <f>SUM(V146:V155)</f>
        <v>62845028.400000021</v>
      </c>
      <c r="W156" s="63"/>
      <c r="X156" s="63"/>
      <c r="Y156" s="90">
        <f>SUM(Y146:Y155)</f>
        <v>38647304.718645088</v>
      </c>
      <c r="Z156" s="63"/>
      <c r="AA156" s="63"/>
      <c r="AB156" s="90">
        <f>SUM(AB146:AB155)</f>
        <v>0</v>
      </c>
      <c r="AC156" s="63"/>
      <c r="AD156" s="63"/>
      <c r="AE156" s="90">
        <f>SUM(AE146:AE155)</f>
        <v>0</v>
      </c>
      <c r="AF156" s="28">
        <f t="shared" si="28"/>
        <v>267060645.51878804</v>
      </c>
      <c r="AG156" s="28">
        <f t="shared" si="29"/>
        <v>261311.78622190611</v>
      </c>
      <c r="AH156" s="62"/>
      <c r="AI156" s="62"/>
      <c r="AJ156" s="62"/>
      <c r="AK156" s="62"/>
      <c r="AL156" s="62"/>
      <c r="AM156" s="62"/>
    </row>
    <row r="157" spans="1:41" x14ac:dyDescent="0.3">
      <c r="A157" s="91" t="s">
        <v>1433</v>
      </c>
      <c r="B157" s="91"/>
      <c r="C157" s="91"/>
      <c r="D157" s="91"/>
      <c r="E157" s="91"/>
      <c r="F157" s="91"/>
      <c r="G157" s="93"/>
      <c r="H157" s="91"/>
      <c r="I157" s="91"/>
      <c r="J157" s="92">
        <f>J156/$AL$2</f>
        <v>25014.578990774389</v>
      </c>
      <c r="K157" s="91"/>
      <c r="L157" s="91"/>
      <c r="M157" s="92">
        <f>M156/$AL$2</f>
        <v>0</v>
      </c>
      <c r="N157" s="91"/>
      <c r="O157" s="91"/>
      <c r="P157" s="92">
        <f>P156/$AL$2</f>
        <v>81087.640578837032</v>
      </c>
      <c r="Q157" s="91"/>
      <c r="R157" s="91"/>
      <c r="S157" s="92">
        <f>S156/$AL$2</f>
        <v>55902.000000000015</v>
      </c>
      <c r="T157" s="91"/>
      <c r="U157" s="91"/>
      <c r="V157" s="92">
        <f>V156/$AL$2</f>
        <v>61492.200000000019</v>
      </c>
      <c r="W157" s="91"/>
      <c r="X157" s="91"/>
      <c r="Y157" s="92">
        <f>Y156/$AL$2</f>
        <v>37815.366652294608</v>
      </c>
      <c r="Z157" s="91"/>
      <c r="AA157" s="91"/>
      <c r="AB157" s="92">
        <f>AB156/$AL$2</f>
        <v>0</v>
      </c>
      <c r="AC157" s="91"/>
      <c r="AD157" s="91"/>
      <c r="AE157" s="92">
        <f>AE156/$AL$2</f>
        <v>0</v>
      </c>
      <c r="AF157" s="95">
        <f t="shared" si="28"/>
        <v>261311.78622190605</v>
      </c>
      <c r="AG157" s="95">
        <f t="shared" si="29"/>
        <v>255.68667927779455</v>
      </c>
      <c r="AH157" s="94"/>
      <c r="AI157" s="94"/>
      <c r="AJ157" s="94"/>
      <c r="AK157" s="94"/>
      <c r="AL157" s="94"/>
      <c r="AM157" s="94"/>
      <c r="AN157" s="94"/>
    </row>
    <row r="158" spans="1:41" ht="57.6" x14ac:dyDescent="0.3">
      <c r="A158" s="41" t="s">
        <v>697</v>
      </c>
      <c r="B158" s="41" t="s">
        <v>694</v>
      </c>
      <c r="C158" s="43" t="s">
        <v>679</v>
      </c>
      <c r="D158" s="41" t="s">
        <v>135</v>
      </c>
      <c r="E158" s="41" t="s">
        <v>611</v>
      </c>
      <c r="F158" s="41" t="s">
        <v>709</v>
      </c>
      <c r="G158" s="67">
        <v>35000</v>
      </c>
      <c r="H158" s="41">
        <v>25</v>
      </c>
      <c r="I158" s="41">
        <v>25</v>
      </c>
      <c r="J158" s="83">
        <f t="shared" si="20"/>
        <v>21875000</v>
      </c>
      <c r="K158" s="41">
        <v>20</v>
      </c>
      <c r="L158" s="41">
        <v>10</v>
      </c>
      <c r="M158" s="70">
        <f t="shared" si="21"/>
        <v>7700000</v>
      </c>
      <c r="N158" s="41">
        <v>0</v>
      </c>
      <c r="O158" s="41">
        <v>0</v>
      </c>
      <c r="P158" s="70">
        <f t="shared" si="22"/>
        <v>0</v>
      </c>
      <c r="Q158" s="41">
        <v>0</v>
      </c>
      <c r="R158" s="41">
        <v>0</v>
      </c>
      <c r="S158" s="70">
        <f t="shared" si="23"/>
        <v>0</v>
      </c>
      <c r="T158" s="41">
        <v>0</v>
      </c>
      <c r="U158" s="41">
        <v>0</v>
      </c>
      <c r="V158" s="70">
        <f t="shared" si="24"/>
        <v>0</v>
      </c>
      <c r="W158" s="41">
        <v>0</v>
      </c>
      <c r="X158" s="41">
        <v>0</v>
      </c>
      <c r="Y158" s="70">
        <f t="shared" si="25"/>
        <v>0</v>
      </c>
      <c r="Z158" s="41">
        <v>0</v>
      </c>
      <c r="AA158" s="41">
        <v>0</v>
      </c>
      <c r="AB158" s="70">
        <f t="shared" si="26"/>
        <v>0</v>
      </c>
      <c r="AC158" s="41">
        <v>0</v>
      </c>
      <c r="AD158" s="41">
        <v>0</v>
      </c>
      <c r="AE158" s="70">
        <f t="shared" si="27"/>
        <v>0</v>
      </c>
      <c r="AF158" s="28">
        <f t="shared" si="28"/>
        <v>29575000</v>
      </c>
      <c r="AG158" s="28">
        <f t="shared" si="29"/>
        <v>28938.35616438356</v>
      </c>
    </row>
    <row r="159" spans="1:41" ht="57.6" x14ac:dyDescent="0.3">
      <c r="A159" s="41" t="s">
        <v>697</v>
      </c>
      <c r="B159" s="41" t="s">
        <v>694</v>
      </c>
      <c r="C159" s="43" t="s">
        <v>679</v>
      </c>
      <c r="D159" s="41" t="s">
        <v>135</v>
      </c>
      <c r="E159" s="41" t="s">
        <v>611</v>
      </c>
      <c r="F159" s="41" t="s">
        <v>716</v>
      </c>
      <c r="G159" s="67">
        <v>39000</v>
      </c>
      <c r="H159" s="41">
        <v>25</v>
      </c>
      <c r="I159" s="41">
        <v>30</v>
      </c>
      <c r="J159" s="83">
        <f t="shared" si="20"/>
        <v>29250000</v>
      </c>
      <c r="K159" s="41">
        <v>30</v>
      </c>
      <c r="L159" s="41">
        <v>10</v>
      </c>
      <c r="M159" s="70">
        <f t="shared" si="21"/>
        <v>12870000</v>
      </c>
      <c r="N159" s="41">
        <v>0</v>
      </c>
      <c r="O159" s="41">
        <v>0</v>
      </c>
      <c r="P159" s="70">
        <f t="shared" si="22"/>
        <v>0</v>
      </c>
      <c r="Q159" s="41">
        <v>0</v>
      </c>
      <c r="R159" s="41">
        <v>0</v>
      </c>
      <c r="S159" s="70">
        <f t="shared" si="23"/>
        <v>0</v>
      </c>
      <c r="T159" s="41">
        <v>0</v>
      </c>
      <c r="U159" s="41">
        <v>0</v>
      </c>
      <c r="V159" s="70">
        <f t="shared" si="24"/>
        <v>0</v>
      </c>
      <c r="W159" s="41">
        <v>0</v>
      </c>
      <c r="X159" s="41">
        <v>0</v>
      </c>
      <c r="Y159" s="70">
        <f t="shared" si="25"/>
        <v>0</v>
      </c>
      <c r="Z159" s="41">
        <v>0</v>
      </c>
      <c r="AA159" s="41">
        <v>0</v>
      </c>
      <c r="AB159" s="70">
        <f t="shared" si="26"/>
        <v>0</v>
      </c>
      <c r="AC159" s="41">
        <v>0</v>
      </c>
      <c r="AD159" s="41">
        <v>0</v>
      </c>
      <c r="AE159" s="70">
        <f t="shared" si="27"/>
        <v>0</v>
      </c>
      <c r="AF159" s="28">
        <f t="shared" si="28"/>
        <v>42120000</v>
      </c>
      <c r="AG159" s="28">
        <f t="shared" si="29"/>
        <v>41213.307240704504</v>
      </c>
    </row>
    <row r="160" spans="1:41" ht="57.6" x14ac:dyDescent="0.3">
      <c r="A160" s="41" t="s">
        <v>697</v>
      </c>
      <c r="B160" s="41" t="s">
        <v>694</v>
      </c>
      <c r="C160" s="43" t="s">
        <v>679</v>
      </c>
      <c r="D160" s="41" t="s">
        <v>135</v>
      </c>
      <c r="E160" s="41" t="s">
        <v>611</v>
      </c>
      <c r="F160" s="41" t="s">
        <v>712</v>
      </c>
      <c r="G160" s="67">
        <v>211.42857142857142</v>
      </c>
      <c r="H160" s="41">
        <v>450</v>
      </c>
      <c r="I160" s="41">
        <v>25</v>
      </c>
      <c r="J160" s="83">
        <f t="shared" si="20"/>
        <v>2378571.4285714286</v>
      </c>
      <c r="K160" s="41">
        <v>4000</v>
      </c>
      <c r="L160" s="41">
        <v>1</v>
      </c>
      <c r="M160" s="70">
        <f t="shared" si="21"/>
        <v>930285.71428571432</v>
      </c>
      <c r="N160" s="41">
        <v>0</v>
      </c>
      <c r="O160" s="41">
        <v>0</v>
      </c>
      <c r="P160" s="70">
        <f t="shared" si="22"/>
        <v>0</v>
      </c>
      <c r="Q160" s="41">
        <v>0</v>
      </c>
      <c r="R160" s="41">
        <v>0</v>
      </c>
      <c r="S160" s="70">
        <f t="shared" si="23"/>
        <v>0</v>
      </c>
      <c r="T160" s="41">
        <v>0</v>
      </c>
      <c r="U160" s="41">
        <v>0</v>
      </c>
      <c r="V160" s="70">
        <f t="shared" si="24"/>
        <v>0</v>
      </c>
      <c r="W160" s="41">
        <v>0</v>
      </c>
      <c r="X160" s="41">
        <v>0</v>
      </c>
      <c r="Y160" s="70">
        <f t="shared" si="25"/>
        <v>0</v>
      </c>
      <c r="Z160" s="41">
        <v>0</v>
      </c>
      <c r="AA160" s="41">
        <v>0</v>
      </c>
      <c r="AB160" s="70">
        <f t="shared" si="26"/>
        <v>0</v>
      </c>
      <c r="AC160" s="41">
        <v>0</v>
      </c>
      <c r="AD160" s="41">
        <v>0</v>
      </c>
      <c r="AE160" s="70">
        <f t="shared" si="27"/>
        <v>0</v>
      </c>
      <c r="AF160" s="28">
        <f t="shared" si="28"/>
        <v>3308857.1428571427</v>
      </c>
      <c r="AG160" s="28">
        <f t="shared" si="29"/>
        <v>3237.6292982946602</v>
      </c>
    </row>
    <row r="161" spans="1:40" ht="57.6" x14ac:dyDescent="0.3">
      <c r="A161" s="41" t="s">
        <v>697</v>
      </c>
      <c r="B161" s="41" t="s">
        <v>694</v>
      </c>
      <c r="C161" s="43" t="s">
        <v>679</v>
      </c>
      <c r="D161" s="41" t="s">
        <v>135</v>
      </c>
      <c r="E161" s="41" t="s">
        <v>611</v>
      </c>
      <c r="F161" s="41" t="s">
        <v>1299</v>
      </c>
      <c r="G161" s="67">
        <v>211.42857142857142</v>
      </c>
      <c r="H161" s="41">
        <v>2430</v>
      </c>
      <c r="I161" s="41">
        <v>5</v>
      </c>
      <c r="J161" s="83">
        <f t="shared" si="20"/>
        <v>2568857.1428571427</v>
      </c>
      <c r="K161" s="41"/>
      <c r="L161" s="41"/>
      <c r="M161" s="70">
        <f t="shared" si="21"/>
        <v>0</v>
      </c>
      <c r="N161" s="41"/>
      <c r="O161" s="41"/>
      <c r="P161" s="70">
        <f t="shared" si="22"/>
        <v>0</v>
      </c>
      <c r="Q161" s="41"/>
      <c r="R161" s="41"/>
      <c r="S161" s="70">
        <f t="shared" si="23"/>
        <v>0</v>
      </c>
      <c r="T161" s="41"/>
      <c r="U161" s="41"/>
      <c r="V161" s="70">
        <f t="shared" si="24"/>
        <v>0</v>
      </c>
      <c r="W161" s="41"/>
      <c r="X161" s="41"/>
      <c r="Y161" s="70">
        <f t="shared" si="25"/>
        <v>0</v>
      </c>
      <c r="Z161" s="41"/>
      <c r="AA161" s="41"/>
      <c r="AB161" s="70">
        <f t="shared" si="26"/>
        <v>0</v>
      </c>
      <c r="AC161" s="41"/>
      <c r="AD161" s="41"/>
      <c r="AE161" s="70">
        <f t="shared" si="27"/>
        <v>0</v>
      </c>
      <c r="AF161" s="28">
        <f t="shared" si="28"/>
        <v>2568857.1428571427</v>
      </c>
      <c r="AG161" s="28">
        <f t="shared" si="29"/>
        <v>2513.558848196813</v>
      </c>
    </row>
    <row r="162" spans="1:40" ht="57.6" x14ac:dyDescent="0.3">
      <c r="A162" s="41" t="s">
        <v>697</v>
      </c>
      <c r="B162" s="41" t="s">
        <v>694</v>
      </c>
      <c r="C162" s="43" t="s">
        <v>679</v>
      </c>
      <c r="D162" s="41" t="s">
        <v>135</v>
      </c>
      <c r="E162" s="41" t="s">
        <v>612</v>
      </c>
      <c r="F162" s="41" t="s">
        <v>709</v>
      </c>
      <c r="G162" s="67">
        <v>35000</v>
      </c>
      <c r="H162" s="41">
        <v>100</v>
      </c>
      <c r="I162" s="41">
        <v>5</v>
      </c>
      <c r="J162" s="83">
        <f t="shared" si="20"/>
        <v>17500000</v>
      </c>
      <c r="K162" s="41">
        <v>30</v>
      </c>
      <c r="L162" s="41">
        <v>1</v>
      </c>
      <c r="M162" s="70">
        <f t="shared" si="21"/>
        <v>1155000</v>
      </c>
      <c r="N162" s="41">
        <v>0</v>
      </c>
      <c r="O162" s="41">
        <v>0</v>
      </c>
      <c r="P162" s="70">
        <f t="shared" si="22"/>
        <v>0</v>
      </c>
      <c r="Q162" s="41">
        <v>0</v>
      </c>
      <c r="R162" s="41">
        <v>0</v>
      </c>
      <c r="S162" s="70">
        <f t="shared" si="23"/>
        <v>0</v>
      </c>
      <c r="T162" s="41">
        <v>0</v>
      </c>
      <c r="U162" s="41">
        <v>0</v>
      </c>
      <c r="V162" s="70">
        <f t="shared" si="24"/>
        <v>0</v>
      </c>
      <c r="W162" s="41">
        <v>0</v>
      </c>
      <c r="X162" s="41">
        <v>0</v>
      </c>
      <c r="Y162" s="70">
        <f t="shared" si="25"/>
        <v>0</v>
      </c>
      <c r="Z162" s="41">
        <v>0</v>
      </c>
      <c r="AA162" s="41">
        <v>0</v>
      </c>
      <c r="AB162" s="70">
        <f t="shared" si="26"/>
        <v>0</v>
      </c>
      <c r="AC162" s="41">
        <v>0</v>
      </c>
      <c r="AD162" s="41">
        <v>0</v>
      </c>
      <c r="AE162" s="70">
        <f t="shared" si="27"/>
        <v>0</v>
      </c>
      <c r="AF162" s="28">
        <f t="shared" si="28"/>
        <v>18655000</v>
      </c>
      <c r="AG162" s="28">
        <f t="shared" si="29"/>
        <v>18253.424657534248</v>
      </c>
    </row>
    <row r="163" spans="1:40" ht="28.8" x14ac:dyDescent="0.3">
      <c r="A163" s="41"/>
      <c r="B163" s="41" t="s">
        <v>694</v>
      </c>
      <c r="C163" s="43" t="s">
        <v>679</v>
      </c>
      <c r="D163" s="41" t="s">
        <v>135</v>
      </c>
      <c r="E163" s="41" t="s">
        <v>612</v>
      </c>
      <c r="F163" s="41" t="s">
        <v>716</v>
      </c>
      <c r="G163" s="67">
        <v>39000</v>
      </c>
      <c r="H163" s="41">
        <v>58</v>
      </c>
      <c r="I163" s="41">
        <v>6</v>
      </c>
      <c r="J163" s="83">
        <f t="shared" si="20"/>
        <v>13572000</v>
      </c>
      <c r="K163" s="41"/>
      <c r="L163" s="41"/>
      <c r="M163" s="70">
        <f t="shared" si="21"/>
        <v>0</v>
      </c>
      <c r="N163" s="41"/>
      <c r="O163" s="41"/>
      <c r="P163" s="70">
        <f t="shared" si="22"/>
        <v>0</v>
      </c>
      <c r="Q163" s="41"/>
      <c r="R163" s="41"/>
      <c r="S163" s="70">
        <f t="shared" si="23"/>
        <v>0</v>
      </c>
      <c r="T163" s="41"/>
      <c r="U163" s="41"/>
      <c r="V163" s="70">
        <f t="shared" si="24"/>
        <v>0</v>
      </c>
      <c r="W163" s="41"/>
      <c r="X163" s="41"/>
      <c r="Y163" s="70">
        <f t="shared" si="25"/>
        <v>0</v>
      </c>
      <c r="Z163" s="41"/>
      <c r="AA163" s="41"/>
      <c r="AB163" s="70">
        <f t="shared" si="26"/>
        <v>0</v>
      </c>
      <c r="AC163" s="41"/>
      <c r="AD163" s="41"/>
      <c r="AE163" s="70">
        <f t="shared" si="27"/>
        <v>0</v>
      </c>
      <c r="AF163" s="28">
        <f t="shared" si="28"/>
        <v>13572000</v>
      </c>
      <c r="AG163" s="28">
        <f t="shared" si="29"/>
        <v>13279.843444227006</v>
      </c>
    </row>
    <row r="164" spans="1:40" ht="28.8" x14ac:dyDescent="0.3">
      <c r="A164" s="41"/>
      <c r="B164" s="41" t="s">
        <v>694</v>
      </c>
      <c r="C164" s="43" t="s">
        <v>679</v>
      </c>
      <c r="D164" s="41" t="s">
        <v>135</v>
      </c>
      <c r="E164" s="41" t="s">
        <v>612</v>
      </c>
      <c r="F164" s="41" t="s">
        <v>712</v>
      </c>
      <c r="G164" s="67">
        <v>211.42857142857142</v>
      </c>
      <c r="H164" s="41">
        <v>1450</v>
      </c>
      <c r="I164" s="41">
        <v>5</v>
      </c>
      <c r="J164" s="83">
        <f t="shared" si="20"/>
        <v>1532857.1428571427</v>
      </c>
      <c r="K164" s="41"/>
      <c r="L164" s="41"/>
      <c r="M164" s="70">
        <f t="shared" si="21"/>
        <v>0</v>
      </c>
      <c r="N164" s="41"/>
      <c r="O164" s="41"/>
      <c r="P164" s="70">
        <f t="shared" si="22"/>
        <v>0</v>
      </c>
      <c r="Q164" s="41"/>
      <c r="R164" s="41"/>
      <c r="S164" s="70">
        <f t="shared" si="23"/>
        <v>0</v>
      </c>
      <c r="T164" s="41"/>
      <c r="U164" s="41"/>
      <c r="V164" s="70">
        <f t="shared" si="24"/>
        <v>0</v>
      </c>
      <c r="W164" s="41"/>
      <c r="X164" s="41"/>
      <c r="Y164" s="70">
        <f t="shared" si="25"/>
        <v>0</v>
      </c>
      <c r="Z164" s="41"/>
      <c r="AA164" s="41"/>
      <c r="AB164" s="70">
        <f t="shared" si="26"/>
        <v>0</v>
      </c>
      <c r="AC164" s="41"/>
      <c r="AD164" s="41"/>
      <c r="AE164" s="70">
        <f t="shared" si="27"/>
        <v>0</v>
      </c>
      <c r="AF164" s="28">
        <f t="shared" si="28"/>
        <v>1532857.1428571427</v>
      </c>
      <c r="AG164" s="28">
        <f t="shared" si="29"/>
        <v>1499.8602180598266</v>
      </c>
    </row>
    <row r="165" spans="1:40" ht="28.8" x14ac:dyDescent="0.3">
      <c r="A165" s="41"/>
      <c r="B165" s="41" t="s">
        <v>694</v>
      </c>
      <c r="C165" s="43" t="s">
        <v>679</v>
      </c>
      <c r="D165" s="41" t="s">
        <v>135</v>
      </c>
      <c r="E165" s="41" t="s">
        <v>612</v>
      </c>
      <c r="F165" s="41" t="s">
        <v>1299</v>
      </c>
      <c r="G165" s="67">
        <v>211.42857142857142</v>
      </c>
      <c r="H165" s="41">
        <v>22500</v>
      </c>
      <c r="I165" s="41">
        <v>1</v>
      </c>
      <c r="J165" s="83">
        <f t="shared" si="20"/>
        <v>4757142.8571428573</v>
      </c>
      <c r="K165" s="41"/>
      <c r="L165" s="41"/>
      <c r="M165" s="70">
        <f t="shared" si="21"/>
        <v>0</v>
      </c>
      <c r="N165" s="41"/>
      <c r="O165" s="41"/>
      <c r="P165" s="70">
        <f t="shared" si="22"/>
        <v>0</v>
      </c>
      <c r="Q165" s="41"/>
      <c r="R165" s="41"/>
      <c r="S165" s="70">
        <f t="shared" si="23"/>
        <v>0</v>
      </c>
      <c r="T165" s="41"/>
      <c r="U165" s="41"/>
      <c r="V165" s="70">
        <f t="shared" si="24"/>
        <v>0</v>
      </c>
      <c r="W165" s="41"/>
      <c r="X165" s="41"/>
      <c r="Y165" s="70">
        <f t="shared" si="25"/>
        <v>0</v>
      </c>
      <c r="Z165" s="41"/>
      <c r="AA165" s="41"/>
      <c r="AB165" s="70">
        <f t="shared" si="26"/>
        <v>0</v>
      </c>
      <c r="AC165" s="41"/>
      <c r="AD165" s="41"/>
      <c r="AE165" s="70">
        <f t="shared" si="27"/>
        <v>0</v>
      </c>
      <c r="AF165" s="28">
        <f t="shared" si="28"/>
        <v>4757142.8571428573</v>
      </c>
      <c r="AG165" s="28">
        <f t="shared" si="29"/>
        <v>4654.7386077718756</v>
      </c>
    </row>
    <row r="166" spans="1:40" ht="57.6" x14ac:dyDescent="0.3">
      <c r="A166" s="41" t="s">
        <v>697</v>
      </c>
      <c r="B166" s="41" t="s">
        <v>694</v>
      </c>
      <c r="C166" s="43" t="s">
        <v>679</v>
      </c>
      <c r="D166" s="41" t="s">
        <v>135</v>
      </c>
      <c r="E166" s="41" t="s">
        <v>613</v>
      </c>
      <c r="F166" s="41" t="s">
        <v>709</v>
      </c>
      <c r="G166" s="67">
        <v>35000</v>
      </c>
      <c r="H166" s="41">
        <v>50</v>
      </c>
      <c r="I166" s="41">
        <v>1</v>
      </c>
      <c r="J166" s="83">
        <f t="shared" si="20"/>
        <v>1750000</v>
      </c>
      <c r="K166" s="41">
        <v>30</v>
      </c>
      <c r="L166" s="41">
        <v>1</v>
      </c>
      <c r="M166" s="70">
        <f t="shared" si="21"/>
        <v>1155000</v>
      </c>
      <c r="N166" s="41">
        <v>0</v>
      </c>
      <c r="O166" s="41">
        <v>0</v>
      </c>
      <c r="P166" s="70">
        <f t="shared" si="22"/>
        <v>0</v>
      </c>
      <c r="Q166" s="41">
        <v>0</v>
      </c>
      <c r="R166" s="41">
        <v>0</v>
      </c>
      <c r="S166" s="70">
        <f t="shared" si="23"/>
        <v>0</v>
      </c>
      <c r="T166" s="41">
        <v>0</v>
      </c>
      <c r="U166" s="41">
        <v>0</v>
      </c>
      <c r="V166" s="70">
        <f t="shared" si="24"/>
        <v>0</v>
      </c>
      <c r="W166" s="41">
        <v>0</v>
      </c>
      <c r="X166" s="41">
        <v>0</v>
      </c>
      <c r="Y166" s="70">
        <f t="shared" si="25"/>
        <v>0</v>
      </c>
      <c r="Z166" s="41">
        <v>0</v>
      </c>
      <c r="AA166" s="41">
        <v>0</v>
      </c>
      <c r="AB166" s="70">
        <f t="shared" si="26"/>
        <v>0</v>
      </c>
      <c r="AC166" s="41">
        <v>0</v>
      </c>
      <c r="AD166" s="41">
        <v>0</v>
      </c>
      <c r="AE166" s="70">
        <f t="shared" si="27"/>
        <v>0</v>
      </c>
      <c r="AF166" s="28">
        <f t="shared" si="28"/>
        <v>2905000</v>
      </c>
      <c r="AG166" s="28">
        <f t="shared" si="29"/>
        <v>2842.4657534246576</v>
      </c>
    </row>
    <row r="167" spans="1:40" ht="57.6" x14ac:dyDescent="0.3">
      <c r="A167" s="41" t="s">
        <v>697</v>
      </c>
      <c r="B167" s="41" t="s">
        <v>694</v>
      </c>
      <c r="C167" s="43" t="s">
        <v>679</v>
      </c>
      <c r="D167" s="41" t="s">
        <v>135</v>
      </c>
      <c r="E167" s="41" t="s">
        <v>614</v>
      </c>
      <c r="F167" s="41" t="s">
        <v>718</v>
      </c>
      <c r="G167" s="67">
        <v>0</v>
      </c>
      <c r="H167" s="41">
        <v>0</v>
      </c>
      <c r="I167" s="41">
        <v>0</v>
      </c>
      <c r="J167" s="83">
        <f t="shared" si="20"/>
        <v>0</v>
      </c>
      <c r="K167" s="41">
        <v>0</v>
      </c>
      <c r="L167" s="41">
        <v>0</v>
      </c>
      <c r="M167" s="70">
        <f t="shared" si="21"/>
        <v>0</v>
      </c>
      <c r="N167" s="41">
        <v>0</v>
      </c>
      <c r="O167" s="41">
        <v>0</v>
      </c>
      <c r="P167" s="70">
        <f t="shared" si="22"/>
        <v>0</v>
      </c>
      <c r="Q167" s="41">
        <v>0</v>
      </c>
      <c r="R167" s="41">
        <v>0</v>
      </c>
      <c r="S167" s="70">
        <f t="shared" si="23"/>
        <v>0</v>
      </c>
      <c r="T167" s="41">
        <v>0</v>
      </c>
      <c r="U167" s="41">
        <v>0</v>
      </c>
      <c r="V167" s="70">
        <f t="shared" si="24"/>
        <v>0</v>
      </c>
      <c r="W167" s="41">
        <v>0</v>
      </c>
      <c r="X167" s="41">
        <v>0</v>
      </c>
      <c r="Y167" s="70">
        <f t="shared" si="25"/>
        <v>0</v>
      </c>
      <c r="Z167" s="41">
        <v>0</v>
      </c>
      <c r="AA167" s="41">
        <v>0</v>
      </c>
      <c r="AB167" s="70">
        <f t="shared" si="26"/>
        <v>0</v>
      </c>
      <c r="AC167" s="41">
        <v>0</v>
      </c>
      <c r="AD167" s="41">
        <v>0</v>
      </c>
      <c r="AE167" s="70">
        <f t="shared" si="27"/>
        <v>0</v>
      </c>
      <c r="AF167" s="28">
        <f t="shared" si="28"/>
        <v>0</v>
      </c>
      <c r="AG167" s="28">
        <f t="shared" si="29"/>
        <v>0</v>
      </c>
    </row>
    <row r="168" spans="1:40" ht="57.6" x14ac:dyDescent="0.3">
      <c r="A168" s="41" t="s">
        <v>697</v>
      </c>
      <c r="B168" s="41" t="s">
        <v>694</v>
      </c>
      <c r="C168" s="43" t="s">
        <v>679</v>
      </c>
      <c r="D168" s="41" t="s">
        <v>135</v>
      </c>
      <c r="E168" s="41" t="s">
        <v>807</v>
      </c>
      <c r="F168" s="41" t="s">
        <v>709</v>
      </c>
      <c r="G168" s="67">
        <v>35000</v>
      </c>
      <c r="H168" s="41">
        <v>100</v>
      </c>
      <c r="I168" s="41">
        <v>1</v>
      </c>
      <c r="J168" s="83">
        <f t="shared" si="20"/>
        <v>3500000</v>
      </c>
      <c r="K168" s="41">
        <v>100</v>
      </c>
      <c r="L168" s="41">
        <v>1</v>
      </c>
      <c r="M168" s="70">
        <f t="shared" si="21"/>
        <v>3850000</v>
      </c>
      <c r="N168" s="41">
        <v>0</v>
      </c>
      <c r="O168" s="41">
        <v>0</v>
      </c>
      <c r="P168" s="70">
        <f t="shared" si="22"/>
        <v>0</v>
      </c>
      <c r="Q168" s="41">
        <v>0</v>
      </c>
      <c r="R168" s="41">
        <v>0</v>
      </c>
      <c r="S168" s="70">
        <f t="shared" si="23"/>
        <v>0</v>
      </c>
      <c r="T168" s="41">
        <v>0</v>
      </c>
      <c r="U168" s="41">
        <v>0</v>
      </c>
      <c r="V168" s="70">
        <f t="shared" si="24"/>
        <v>0</v>
      </c>
      <c r="W168" s="41">
        <v>0</v>
      </c>
      <c r="X168" s="41">
        <v>0</v>
      </c>
      <c r="Y168" s="70">
        <f t="shared" si="25"/>
        <v>0</v>
      </c>
      <c r="Z168" s="41">
        <v>0</v>
      </c>
      <c r="AA168" s="41">
        <v>0</v>
      </c>
      <c r="AB168" s="70">
        <f t="shared" si="26"/>
        <v>0</v>
      </c>
      <c r="AC168" s="41">
        <v>0</v>
      </c>
      <c r="AD168" s="41">
        <v>0</v>
      </c>
      <c r="AE168" s="70">
        <f t="shared" si="27"/>
        <v>0</v>
      </c>
      <c r="AF168" s="28">
        <f t="shared" si="28"/>
        <v>7350000</v>
      </c>
      <c r="AG168" s="28">
        <f t="shared" si="29"/>
        <v>7191.7808219178078</v>
      </c>
    </row>
    <row r="169" spans="1:40" ht="57.6" x14ac:dyDescent="0.3">
      <c r="A169" s="41" t="s">
        <v>697</v>
      </c>
      <c r="B169" s="41" t="s">
        <v>694</v>
      </c>
      <c r="C169" s="43" t="s">
        <v>679</v>
      </c>
      <c r="D169" s="41" t="s">
        <v>135</v>
      </c>
      <c r="E169" s="41" t="s">
        <v>807</v>
      </c>
      <c r="F169" s="41" t="s">
        <v>716</v>
      </c>
      <c r="G169" s="67">
        <v>39000</v>
      </c>
      <c r="H169" s="41">
        <v>58</v>
      </c>
      <c r="I169" s="41">
        <v>1</v>
      </c>
      <c r="J169" s="83">
        <f t="shared" si="20"/>
        <v>2262000</v>
      </c>
      <c r="K169" s="41"/>
      <c r="L169" s="41"/>
      <c r="M169" s="70">
        <f t="shared" si="21"/>
        <v>0</v>
      </c>
      <c r="N169" s="41"/>
      <c r="O169" s="41"/>
      <c r="P169" s="70">
        <f t="shared" si="22"/>
        <v>0</v>
      </c>
      <c r="Q169" s="41"/>
      <c r="R169" s="41"/>
      <c r="S169" s="70">
        <f t="shared" si="23"/>
        <v>0</v>
      </c>
      <c r="T169" s="41"/>
      <c r="U169" s="41"/>
      <c r="V169" s="70">
        <f t="shared" si="24"/>
        <v>0</v>
      </c>
      <c r="W169" s="41"/>
      <c r="X169" s="41"/>
      <c r="Y169" s="70">
        <f t="shared" si="25"/>
        <v>0</v>
      </c>
      <c r="Z169" s="41"/>
      <c r="AA169" s="41"/>
      <c r="AB169" s="70">
        <f t="shared" si="26"/>
        <v>0</v>
      </c>
      <c r="AC169" s="41"/>
      <c r="AD169" s="41"/>
      <c r="AE169" s="70">
        <f t="shared" si="27"/>
        <v>0</v>
      </c>
      <c r="AF169" s="28">
        <f t="shared" si="28"/>
        <v>2262000</v>
      </c>
      <c r="AG169" s="28">
        <f t="shared" si="29"/>
        <v>2213.3072407045011</v>
      </c>
    </row>
    <row r="170" spans="1:40" ht="57.6" x14ac:dyDescent="0.3">
      <c r="A170" s="41" t="s">
        <v>697</v>
      </c>
      <c r="B170" s="41" t="s">
        <v>694</v>
      </c>
      <c r="C170" s="43" t="s">
        <v>679</v>
      </c>
      <c r="D170" s="41" t="s">
        <v>135</v>
      </c>
      <c r="E170" s="41" t="s">
        <v>807</v>
      </c>
      <c r="F170" s="41" t="s">
        <v>712</v>
      </c>
      <c r="G170" s="67">
        <v>211.42857142857142</v>
      </c>
      <c r="H170" s="41">
        <v>1450</v>
      </c>
      <c r="I170" s="41">
        <v>1</v>
      </c>
      <c r="J170" s="83">
        <f t="shared" si="20"/>
        <v>306571.42857142858</v>
      </c>
      <c r="K170" s="41"/>
      <c r="L170" s="41"/>
      <c r="M170" s="70">
        <f t="shared" si="21"/>
        <v>0</v>
      </c>
      <c r="N170" s="41"/>
      <c r="O170" s="41"/>
      <c r="P170" s="70">
        <f t="shared" si="22"/>
        <v>0</v>
      </c>
      <c r="Q170" s="41"/>
      <c r="R170" s="41"/>
      <c r="S170" s="70">
        <f t="shared" si="23"/>
        <v>0</v>
      </c>
      <c r="T170" s="41"/>
      <c r="U170" s="41"/>
      <c r="V170" s="70">
        <f t="shared" si="24"/>
        <v>0</v>
      </c>
      <c r="W170" s="41"/>
      <c r="X170" s="41"/>
      <c r="Y170" s="70">
        <f t="shared" si="25"/>
        <v>0</v>
      </c>
      <c r="Z170" s="41"/>
      <c r="AA170" s="41"/>
      <c r="AB170" s="70">
        <f t="shared" si="26"/>
        <v>0</v>
      </c>
      <c r="AC170" s="41"/>
      <c r="AD170" s="41"/>
      <c r="AE170" s="70">
        <f t="shared" si="27"/>
        <v>0</v>
      </c>
      <c r="AF170" s="28">
        <f t="shared" si="28"/>
        <v>306571.42857142858</v>
      </c>
      <c r="AG170" s="28">
        <f t="shared" si="29"/>
        <v>299.97204361196532</v>
      </c>
    </row>
    <row r="171" spans="1:40" ht="57.6" x14ac:dyDescent="0.3">
      <c r="A171" s="41" t="s">
        <v>697</v>
      </c>
      <c r="B171" s="41" t="s">
        <v>694</v>
      </c>
      <c r="C171" s="43" t="s">
        <v>679</v>
      </c>
      <c r="D171" s="41" t="s">
        <v>135</v>
      </c>
      <c r="E171" s="41" t="s">
        <v>807</v>
      </c>
      <c r="F171" s="41" t="s">
        <v>1299</v>
      </c>
      <c r="G171" s="67">
        <v>211.42857142857142</v>
      </c>
      <c r="H171" s="41">
        <v>22500</v>
      </c>
      <c r="I171" s="41">
        <v>1</v>
      </c>
      <c r="J171" s="83">
        <f t="shared" si="20"/>
        <v>4757142.8571428573</v>
      </c>
      <c r="K171" s="41"/>
      <c r="L171" s="41"/>
      <c r="M171" s="70">
        <f t="shared" si="21"/>
        <v>0</v>
      </c>
      <c r="N171" s="41"/>
      <c r="O171" s="41"/>
      <c r="P171" s="70">
        <f t="shared" si="22"/>
        <v>0</v>
      </c>
      <c r="Q171" s="41"/>
      <c r="R171" s="41"/>
      <c r="S171" s="70">
        <f t="shared" si="23"/>
        <v>0</v>
      </c>
      <c r="T171" s="41"/>
      <c r="U171" s="41"/>
      <c r="V171" s="70">
        <f t="shared" si="24"/>
        <v>0</v>
      </c>
      <c r="W171" s="41"/>
      <c r="X171" s="41"/>
      <c r="Y171" s="70">
        <f t="shared" si="25"/>
        <v>0</v>
      </c>
      <c r="Z171" s="41"/>
      <c r="AA171" s="41"/>
      <c r="AB171" s="70">
        <f t="shared" si="26"/>
        <v>0</v>
      </c>
      <c r="AC171" s="41"/>
      <c r="AD171" s="41"/>
      <c r="AE171" s="70">
        <f t="shared" si="27"/>
        <v>0</v>
      </c>
      <c r="AF171" s="28">
        <f t="shared" si="28"/>
        <v>4757142.8571428573</v>
      </c>
      <c r="AG171" s="28">
        <f t="shared" si="29"/>
        <v>4654.7386077718756</v>
      </c>
    </row>
    <row r="172" spans="1:40" ht="57.6" x14ac:dyDescent="0.3">
      <c r="A172" s="41" t="s">
        <v>697</v>
      </c>
      <c r="B172" s="41" t="s">
        <v>694</v>
      </c>
      <c r="C172" s="43" t="s">
        <v>679</v>
      </c>
      <c r="D172" s="41" t="s">
        <v>135</v>
      </c>
      <c r="E172" s="41" t="s">
        <v>807</v>
      </c>
      <c r="F172" s="41" t="s">
        <v>1318</v>
      </c>
      <c r="G172" s="67">
        <v>8000</v>
      </c>
      <c r="H172" s="41">
        <v>0</v>
      </c>
      <c r="I172" s="41">
        <v>0</v>
      </c>
      <c r="J172" s="83">
        <f t="shared" si="20"/>
        <v>0</v>
      </c>
      <c r="K172" s="41">
        <v>50000</v>
      </c>
      <c r="L172" s="41">
        <v>1</v>
      </c>
      <c r="M172" s="70">
        <f t="shared" si="21"/>
        <v>440000000</v>
      </c>
      <c r="N172" s="41">
        <v>0</v>
      </c>
      <c r="O172" s="41">
        <v>0</v>
      </c>
      <c r="P172" s="70">
        <f t="shared" si="22"/>
        <v>0</v>
      </c>
      <c r="Q172" s="41">
        <v>0</v>
      </c>
      <c r="R172" s="41">
        <v>0</v>
      </c>
      <c r="S172" s="70">
        <f t="shared" si="23"/>
        <v>0</v>
      </c>
      <c r="T172" s="41">
        <v>0</v>
      </c>
      <c r="U172" s="41">
        <v>0</v>
      </c>
      <c r="V172" s="70">
        <f t="shared" si="24"/>
        <v>0</v>
      </c>
      <c r="W172" s="41">
        <v>0</v>
      </c>
      <c r="X172" s="41">
        <v>0</v>
      </c>
      <c r="Y172" s="70">
        <f t="shared" si="25"/>
        <v>0</v>
      </c>
      <c r="Z172" s="41">
        <v>0</v>
      </c>
      <c r="AA172" s="41">
        <v>0</v>
      </c>
      <c r="AB172" s="70">
        <f t="shared" si="26"/>
        <v>0</v>
      </c>
      <c r="AC172" s="41">
        <v>0</v>
      </c>
      <c r="AD172" s="41">
        <v>0</v>
      </c>
      <c r="AE172" s="70">
        <f t="shared" si="27"/>
        <v>0</v>
      </c>
      <c r="AF172" s="28">
        <f t="shared" si="28"/>
        <v>440000000</v>
      </c>
      <c r="AG172" s="28">
        <f t="shared" si="29"/>
        <v>430528.37573385518</v>
      </c>
    </row>
    <row r="173" spans="1:40" ht="57.6" x14ac:dyDescent="0.3">
      <c r="A173" s="41" t="s">
        <v>697</v>
      </c>
      <c r="B173" s="41" t="s">
        <v>694</v>
      </c>
      <c r="C173" s="43" t="s">
        <v>679</v>
      </c>
      <c r="D173" s="41" t="s">
        <v>135</v>
      </c>
      <c r="E173" s="41" t="s">
        <v>807</v>
      </c>
      <c r="F173" s="41" t="s">
        <v>717</v>
      </c>
      <c r="G173" s="67">
        <v>104850</v>
      </c>
      <c r="H173" s="41">
        <v>0</v>
      </c>
      <c r="I173" s="41">
        <v>0</v>
      </c>
      <c r="J173" s="83">
        <f t="shared" si="20"/>
        <v>0</v>
      </c>
      <c r="K173" s="41">
        <v>5</v>
      </c>
      <c r="L173" s="41">
        <v>1</v>
      </c>
      <c r="M173" s="70">
        <f t="shared" si="21"/>
        <v>576675.00000000012</v>
      </c>
      <c r="N173" s="41">
        <v>0</v>
      </c>
      <c r="O173" s="41">
        <v>0</v>
      </c>
      <c r="P173" s="70">
        <f t="shared" si="22"/>
        <v>0</v>
      </c>
      <c r="Q173" s="41">
        <v>0</v>
      </c>
      <c r="R173" s="41">
        <v>0</v>
      </c>
      <c r="S173" s="70">
        <f t="shared" si="23"/>
        <v>0</v>
      </c>
      <c r="T173" s="41">
        <v>0</v>
      </c>
      <c r="U173" s="41">
        <v>0</v>
      </c>
      <c r="V173" s="70">
        <f t="shared" si="24"/>
        <v>0</v>
      </c>
      <c r="W173" s="41">
        <v>0</v>
      </c>
      <c r="X173" s="41">
        <v>0</v>
      </c>
      <c r="Y173" s="70">
        <f t="shared" si="25"/>
        <v>0</v>
      </c>
      <c r="Z173" s="41">
        <v>0</v>
      </c>
      <c r="AA173" s="41">
        <v>0</v>
      </c>
      <c r="AB173" s="70">
        <f t="shared" si="26"/>
        <v>0</v>
      </c>
      <c r="AC173" s="41">
        <v>0</v>
      </c>
      <c r="AD173" s="41">
        <v>0</v>
      </c>
      <c r="AE173" s="70">
        <f t="shared" si="27"/>
        <v>0</v>
      </c>
      <c r="AF173" s="28">
        <f t="shared" si="28"/>
        <v>576675.00000000012</v>
      </c>
      <c r="AG173" s="28">
        <f t="shared" si="29"/>
        <v>564.26125244618402</v>
      </c>
    </row>
    <row r="174" spans="1:40" x14ac:dyDescent="0.3">
      <c r="A174" s="53" t="s">
        <v>1296</v>
      </c>
      <c r="B174" s="62"/>
      <c r="C174" s="62"/>
      <c r="D174" s="62"/>
      <c r="E174" s="62"/>
      <c r="F174" s="62"/>
      <c r="G174" s="62"/>
      <c r="H174" s="62"/>
      <c r="I174" s="62"/>
      <c r="J174" s="90">
        <f>SUM(J157:J173)</f>
        <v>106035157.43613362</v>
      </c>
      <c r="K174" s="62"/>
      <c r="L174" s="62"/>
      <c r="M174" s="90">
        <f>SUM(M157:M173)</f>
        <v>468236960.71428573</v>
      </c>
      <c r="N174" s="62"/>
      <c r="O174" s="62"/>
      <c r="P174" s="90">
        <f>SUM(P157:P173)</f>
        <v>81087.640578837032</v>
      </c>
      <c r="Q174" s="62"/>
      <c r="R174" s="62"/>
      <c r="S174" s="90">
        <f>SUM(S157:S173)</f>
        <v>55902.000000000015</v>
      </c>
      <c r="T174" s="62"/>
      <c r="U174" s="62"/>
      <c r="V174" s="90">
        <f>SUM(V157:V173)</f>
        <v>61492.200000000019</v>
      </c>
      <c r="W174" s="62"/>
      <c r="X174" s="62"/>
      <c r="Y174" s="90">
        <f>SUM(Y157:Y173)</f>
        <v>37815.366652294608</v>
      </c>
      <c r="Z174" s="62"/>
      <c r="AA174" s="62"/>
      <c r="AB174" s="90">
        <f>SUM(AB157:AB173)</f>
        <v>0</v>
      </c>
      <c r="AC174" s="62"/>
      <c r="AD174" s="62"/>
      <c r="AE174" s="90">
        <f>SUM(AE157:AE173)</f>
        <v>0</v>
      </c>
      <c r="AF174" s="28">
        <f t="shared" si="28"/>
        <v>574508415.35765052</v>
      </c>
      <c r="AG174" s="28">
        <f t="shared" si="29"/>
        <v>562141.30661218252</v>
      </c>
      <c r="AH174" s="62"/>
      <c r="AI174" s="62"/>
      <c r="AJ174" s="62"/>
      <c r="AK174" s="62"/>
      <c r="AL174" s="62"/>
      <c r="AM174" s="62"/>
      <c r="AN174" s="62"/>
    </row>
    <row r="175" spans="1:40" x14ac:dyDescent="0.3">
      <c r="A175" s="97" t="s">
        <v>1411</v>
      </c>
      <c r="B175" s="98"/>
      <c r="C175" s="98"/>
      <c r="D175" s="98"/>
      <c r="E175" s="98"/>
      <c r="F175" s="98"/>
      <c r="G175" s="98"/>
      <c r="H175" s="98"/>
      <c r="I175" s="98"/>
      <c r="J175" s="101">
        <f>SUM(J2:J173)</f>
        <v>3086646580.2588406</v>
      </c>
      <c r="K175" s="98"/>
      <c r="L175" s="98"/>
      <c r="M175" s="101">
        <f>SUM(M2:M173)</f>
        <v>784366994.93737257</v>
      </c>
      <c r="N175" s="98"/>
      <c r="O175" s="98"/>
      <c r="P175" s="101">
        <f>SUM(P2:P173)</f>
        <v>1577539818.5147598</v>
      </c>
      <c r="Q175" s="98"/>
      <c r="R175" s="98"/>
      <c r="S175" s="101">
        <f>SUM(S2:S173)</f>
        <v>550332831.06184661</v>
      </c>
      <c r="T175" s="98"/>
      <c r="U175" s="98"/>
      <c r="V175" s="101">
        <f>SUM(V2:V173)</f>
        <v>388843415.13760066</v>
      </c>
      <c r="W175" s="98"/>
      <c r="X175" s="98"/>
      <c r="Y175" s="101">
        <f>SUM(Y2:Y173)</f>
        <v>604908446.48877668</v>
      </c>
      <c r="Z175" s="98"/>
      <c r="AA175" s="98"/>
      <c r="AB175" s="101">
        <f>SUM(AB2:AB173)</f>
        <v>143119081.42037591</v>
      </c>
      <c r="AC175" s="98"/>
      <c r="AD175" s="98"/>
      <c r="AE175" s="101">
        <f>SUM(AE2:AE173)</f>
        <v>2801033204.2138219</v>
      </c>
      <c r="AF175" s="99">
        <f t="shared" si="28"/>
        <v>9936790372.0333939</v>
      </c>
      <c r="AG175" s="99">
        <f t="shared" si="29"/>
        <v>9722886.861089427</v>
      </c>
      <c r="AH175" s="98"/>
      <c r="AI175" s="98"/>
      <c r="AJ175" s="98"/>
      <c r="AK175" s="98"/>
      <c r="AL175" s="98"/>
      <c r="AM175" s="98"/>
      <c r="AN175" s="98"/>
    </row>
    <row r="176" spans="1:40" x14ac:dyDescent="0.3">
      <c r="A176" s="91" t="s">
        <v>1434</v>
      </c>
      <c r="B176" s="94"/>
      <c r="C176" s="94"/>
      <c r="D176" s="94"/>
      <c r="E176" s="94"/>
      <c r="F176" s="94"/>
      <c r="G176" s="94"/>
      <c r="H176" s="94"/>
      <c r="I176" s="94"/>
      <c r="J176" s="94">
        <f>J175/$AL$2</f>
        <v>3020202.1333256755</v>
      </c>
      <c r="K176" s="94"/>
      <c r="L176" s="94"/>
      <c r="M176" s="94">
        <f>M175/$AL$2</f>
        <v>767482.38252189092</v>
      </c>
      <c r="N176" s="94"/>
      <c r="O176" s="94"/>
      <c r="P176" s="94">
        <f>P175/$AL$2</f>
        <v>1543581.0357287277</v>
      </c>
      <c r="Q176" s="94"/>
      <c r="R176" s="94"/>
      <c r="S176" s="94">
        <f>S175/$AL$2</f>
        <v>538486.13606834307</v>
      </c>
      <c r="T176" s="94"/>
      <c r="U176" s="94"/>
      <c r="V176" s="94">
        <f>V175/$AL$2</f>
        <v>380473.00894090085</v>
      </c>
      <c r="W176" s="94"/>
      <c r="X176" s="94"/>
      <c r="Y176" s="94">
        <f>Y175/$AL$2</f>
        <v>591886.9339420516</v>
      </c>
      <c r="Z176" s="94"/>
      <c r="AA176" s="94"/>
      <c r="AB176" s="94">
        <f>AB175/$AL$2</f>
        <v>140038.24013735412</v>
      </c>
      <c r="AC176" s="94"/>
      <c r="AD176" s="94"/>
      <c r="AE176" s="94">
        <f>AE175/$AL$2</f>
        <v>2740736.9904244831</v>
      </c>
      <c r="AF176" s="95">
        <f t="shared" si="28"/>
        <v>9722886.861089427</v>
      </c>
      <c r="AG176" s="95">
        <f t="shared" si="29"/>
        <v>9513.5879267019827</v>
      </c>
      <c r="AH176" s="94"/>
      <c r="AI176" s="94"/>
      <c r="AJ176" s="94"/>
    </row>
    <row r="177" spans="32:33" x14ac:dyDescent="0.3">
      <c r="AF177" s="28">
        <f t="shared" si="28"/>
        <v>0</v>
      </c>
      <c r="AG177" s="28">
        <f t="shared" si="29"/>
        <v>0</v>
      </c>
    </row>
    <row r="178" spans="32:33" x14ac:dyDescent="0.3">
      <c r="AF178" s="28">
        <f t="shared" si="28"/>
        <v>0</v>
      </c>
      <c r="AG178" s="28">
        <f t="shared" si="29"/>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HF178"/>
  <sheetViews>
    <sheetView topLeftCell="G144" zoomScale="70" zoomScaleNormal="70" workbookViewId="0">
      <selection activeCell="E95" sqref="E95"/>
    </sheetView>
  </sheetViews>
  <sheetFormatPr defaultColWidth="8.88671875" defaultRowHeight="14.4" x14ac:dyDescent="0.3"/>
  <cols>
    <col min="1" max="33" width="35.6640625" customWidth="1"/>
  </cols>
  <sheetData>
    <row r="1" spans="1:214"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214" ht="57.6" x14ac:dyDescent="0.3">
      <c r="A2" s="41" t="s">
        <v>697</v>
      </c>
      <c r="B2" s="41" t="s">
        <v>695</v>
      </c>
      <c r="C2" s="41" t="s">
        <v>680</v>
      </c>
      <c r="D2" s="41" t="s">
        <v>136</v>
      </c>
      <c r="E2" s="41" t="s">
        <v>808</v>
      </c>
      <c r="F2" s="41" t="s">
        <v>718</v>
      </c>
      <c r="G2" s="41">
        <v>0</v>
      </c>
      <c r="H2" s="41">
        <v>30</v>
      </c>
      <c r="I2" s="41">
        <v>5</v>
      </c>
      <c r="J2" s="41">
        <f>$G2*H2*I2</f>
        <v>0</v>
      </c>
      <c r="K2" s="41">
        <v>0</v>
      </c>
      <c r="L2" s="41">
        <v>0</v>
      </c>
      <c r="M2" s="41">
        <f>($G2*1.1^1)*K2*L2</f>
        <v>0</v>
      </c>
      <c r="N2" s="41"/>
      <c r="O2" s="41"/>
      <c r="P2" s="41">
        <f>($G2*1.1^2)*N2*O2</f>
        <v>0</v>
      </c>
      <c r="Q2" s="41"/>
      <c r="R2" s="41"/>
      <c r="S2" s="41">
        <f>($G2*1.1^3)*Q2*R2</f>
        <v>0</v>
      </c>
      <c r="T2" s="41"/>
      <c r="U2" s="41"/>
      <c r="V2" s="41">
        <f>($G2*1.1^4)*T2*U2</f>
        <v>0</v>
      </c>
      <c r="W2" s="41"/>
      <c r="X2" s="41"/>
      <c r="Y2" s="41">
        <f>($G2*1.1^5)*W2*X2</f>
        <v>0</v>
      </c>
      <c r="Z2" s="41">
        <v>0</v>
      </c>
      <c r="AA2" s="41">
        <v>0</v>
      </c>
      <c r="AB2" s="41">
        <f>($G2*1.1^6)*Z2*AA2</f>
        <v>0</v>
      </c>
      <c r="AC2" s="41">
        <v>0</v>
      </c>
      <c r="AD2" s="41">
        <v>0</v>
      </c>
      <c r="AE2" s="41">
        <f>($G2*1.1^7)*AC2*AD2</f>
        <v>0</v>
      </c>
      <c r="AF2" s="28">
        <f>J2+M2+P2+S2+V2+Y2+AB2+AE2</f>
        <v>0</v>
      </c>
      <c r="AG2" s="28">
        <f>AF2/$AL$2</f>
        <v>0</v>
      </c>
      <c r="AL2">
        <v>1030</v>
      </c>
    </row>
    <row r="3" spans="1:214" ht="57.6" x14ac:dyDescent="0.3">
      <c r="A3" s="41" t="s">
        <v>697</v>
      </c>
      <c r="B3" s="41" t="s">
        <v>695</v>
      </c>
      <c r="C3" s="41" t="s">
        <v>680</v>
      </c>
      <c r="D3" s="41" t="s">
        <v>137</v>
      </c>
      <c r="E3" s="41" t="s">
        <v>176</v>
      </c>
      <c r="F3" s="41" t="s">
        <v>718</v>
      </c>
      <c r="G3" s="41">
        <v>0</v>
      </c>
      <c r="H3" s="41">
        <v>0</v>
      </c>
      <c r="I3" s="41">
        <v>0</v>
      </c>
      <c r="J3" s="41">
        <f t="shared" ref="J3:J13" si="0">$G3*H3*I3</f>
        <v>0</v>
      </c>
      <c r="K3" s="41">
        <v>0</v>
      </c>
      <c r="L3" s="41">
        <v>0</v>
      </c>
      <c r="M3" s="41">
        <f t="shared" ref="M3:M13" si="1">($G3*1.1^1)*K3*L3</f>
        <v>0</v>
      </c>
      <c r="N3" s="41">
        <v>0</v>
      </c>
      <c r="O3" s="41">
        <v>0</v>
      </c>
      <c r="P3" s="41">
        <v>0</v>
      </c>
      <c r="Q3" s="41">
        <v>0</v>
      </c>
      <c r="R3" s="41">
        <v>0</v>
      </c>
      <c r="S3" s="41">
        <v>0</v>
      </c>
      <c r="T3" s="41">
        <v>0</v>
      </c>
      <c r="U3" s="41">
        <v>0</v>
      </c>
      <c r="V3" s="41">
        <v>0</v>
      </c>
      <c r="W3" s="41">
        <v>0</v>
      </c>
      <c r="X3" s="41">
        <v>0</v>
      </c>
      <c r="Y3" s="41">
        <v>0</v>
      </c>
      <c r="Z3" s="41">
        <v>0</v>
      </c>
      <c r="AA3" s="41">
        <v>0</v>
      </c>
      <c r="AB3" s="41">
        <v>0</v>
      </c>
      <c r="AC3" s="41">
        <v>0</v>
      </c>
      <c r="AD3" s="41">
        <v>0</v>
      </c>
      <c r="AE3" s="41">
        <v>0</v>
      </c>
      <c r="AF3" s="28">
        <f t="shared" ref="AF3:AF67" si="2">J3+M3+P3+S3+V3+Y3+AB3+AE3</f>
        <v>0</v>
      </c>
      <c r="AG3" s="28">
        <f t="shared" ref="AG3:AG67" si="3">AF3/$AL$2</f>
        <v>0</v>
      </c>
    </row>
    <row r="4" spans="1:214" ht="57.6" x14ac:dyDescent="0.3">
      <c r="A4" s="41" t="s">
        <v>697</v>
      </c>
      <c r="B4" s="41" t="s">
        <v>695</v>
      </c>
      <c r="C4" s="41" t="s">
        <v>680</v>
      </c>
      <c r="D4" s="41" t="s">
        <v>137</v>
      </c>
      <c r="E4" s="41" t="s">
        <v>158</v>
      </c>
      <c r="F4" s="41" t="s">
        <v>718</v>
      </c>
      <c r="G4" s="41">
        <v>0</v>
      </c>
      <c r="H4" s="41">
        <v>0</v>
      </c>
      <c r="I4" s="41">
        <v>0</v>
      </c>
      <c r="J4" s="41">
        <f t="shared" si="0"/>
        <v>0</v>
      </c>
      <c r="K4" s="41">
        <v>0</v>
      </c>
      <c r="L4" s="41">
        <v>0</v>
      </c>
      <c r="M4" s="41">
        <f t="shared" si="1"/>
        <v>0</v>
      </c>
      <c r="N4" s="41">
        <v>0</v>
      </c>
      <c r="O4" s="41">
        <v>0</v>
      </c>
      <c r="P4" s="41">
        <v>0</v>
      </c>
      <c r="Q4" s="41">
        <v>0</v>
      </c>
      <c r="R4" s="41">
        <v>0</v>
      </c>
      <c r="S4" s="41">
        <v>0</v>
      </c>
      <c r="T4" s="41">
        <v>0</v>
      </c>
      <c r="U4" s="41">
        <v>0</v>
      </c>
      <c r="V4" s="41">
        <v>0</v>
      </c>
      <c r="W4" s="41">
        <v>0</v>
      </c>
      <c r="X4" s="41">
        <v>0</v>
      </c>
      <c r="Y4" s="41">
        <v>0</v>
      </c>
      <c r="Z4" s="41">
        <v>0</v>
      </c>
      <c r="AA4" s="41">
        <v>0</v>
      </c>
      <c r="AB4" s="41">
        <v>0</v>
      </c>
      <c r="AC4" s="41">
        <v>0</v>
      </c>
      <c r="AD4" s="41">
        <v>0</v>
      </c>
      <c r="AE4" s="41">
        <v>0</v>
      </c>
      <c r="AF4" s="28">
        <f t="shared" si="2"/>
        <v>0</v>
      </c>
      <c r="AG4" s="28">
        <f t="shared" si="3"/>
        <v>0</v>
      </c>
    </row>
    <row r="5" spans="1:214" ht="57.6" x14ac:dyDescent="0.3">
      <c r="A5" s="41" t="s">
        <v>697</v>
      </c>
      <c r="B5" s="41" t="s">
        <v>695</v>
      </c>
      <c r="C5" s="41" t="s">
        <v>680</v>
      </c>
      <c r="D5" s="41" t="s">
        <v>137</v>
      </c>
      <c r="E5" s="41" t="s">
        <v>618</v>
      </c>
      <c r="F5" s="41" t="s">
        <v>709</v>
      </c>
      <c r="G5" s="41">
        <v>35000</v>
      </c>
      <c r="H5" s="41">
        <v>30</v>
      </c>
      <c r="I5" s="41">
        <v>15</v>
      </c>
      <c r="J5" s="41">
        <f t="shared" si="0"/>
        <v>15750000</v>
      </c>
      <c r="K5" s="41">
        <v>0</v>
      </c>
      <c r="L5" s="41">
        <v>0</v>
      </c>
      <c r="M5" s="41">
        <f t="shared" si="1"/>
        <v>0</v>
      </c>
      <c r="N5" s="41">
        <v>0</v>
      </c>
      <c r="O5" s="41">
        <v>0</v>
      </c>
      <c r="P5" s="41">
        <v>0</v>
      </c>
      <c r="Q5" s="41">
        <v>0</v>
      </c>
      <c r="R5" s="41">
        <v>0</v>
      </c>
      <c r="S5" s="41">
        <v>0</v>
      </c>
      <c r="T5" s="41">
        <v>0</v>
      </c>
      <c r="U5" s="41">
        <v>0</v>
      </c>
      <c r="V5" s="41">
        <v>0</v>
      </c>
      <c r="W5" s="41">
        <v>0</v>
      </c>
      <c r="X5" s="41">
        <v>0</v>
      </c>
      <c r="Y5" s="41">
        <v>0</v>
      </c>
      <c r="Z5" s="41">
        <v>0</v>
      </c>
      <c r="AA5" s="41">
        <v>0</v>
      </c>
      <c r="AB5" s="41">
        <v>0</v>
      </c>
      <c r="AC5" s="41">
        <v>0</v>
      </c>
      <c r="AD5" s="41">
        <v>0</v>
      </c>
      <c r="AE5" s="41">
        <v>0</v>
      </c>
      <c r="AF5" s="28">
        <f t="shared" si="2"/>
        <v>15750000</v>
      </c>
      <c r="AG5" s="28">
        <f t="shared" si="3"/>
        <v>15291.26213592233</v>
      </c>
    </row>
    <row r="6" spans="1:214" ht="57.6" x14ac:dyDescent="0.3">
      <c r="A6" s="41" t="s">
        <v>697</v>
      </c>
      <c r="B6" s="41" t="s">
        <v>695</v>
      </c>
      <c r="C6" s="41" t="s">
        <v>680</v>
      </c>
      <c r="D6" s="41" t="s">
        <v>137</v>
      </c>
      <c r="E6" s="41" t="s">
        <v>618</v>
      </c>
      <c r="F6" s="41" t="s">
        <v>712</v>
      </c>
      <c r="G6" s="41">
        <f>1999.2/7</f>
        <v>285.60000000000002</v>
      </c>
      <c r="H6" s="41">
        <f>2*25*9</f>
        <v>450</v>
      </c>
      <c r="I6" s="41">
        <v>15</v>
      </c>
      <c r="J6" s="41">
        <f t="shared" si="0"/>
        <v>1927800.0000000002</v>
      </c>
      <c r="K6" s="41">
        <v>0</v>
      </c>
      <c r="L6" s="41">
        <v>0</v>
      </c>
      <c r="M6" s="41">
        <f t="shared" si="1"/>
        <v>0</v>
      </c>
      <c r="N6" s="41">
        <v>0</v>
      </c>
      <c r="O6" s="41">
        <v>0</v>
      </c>
      <c r="P6" s="41">
        <v>0</v>
      </c>
      <c r="Q6" s="41">
        <v>0</v>
      </c>
      <c r="R6" s="41">
        <v>0</v>
      </c>
      <c r="S6" s="41">
        <v>0</v>
      </c>
      <c r="T6" s="41">
        <v>0</v>
      </c>
      <c r="U6" s="41">
        <v>0</v>
      </c>
      <c r="V6" s="41">
        <v>0</v>
      </c>
      <c r="W6" s="41">
        <v>0</v>
      </c>
      <c r="X6" s="41">
        <v>0</v>
      </c>
      <c r="Y6" s="41">
        <v>0</v>
      </c>
      <c r="Z6" s="41">
        <v>0</v>
      </c>
      <c r="AA6" s="41">
        <v>0</v>
      </c>
      <c r="AB6" s="41">
        <v>0</v>
      </c>
      <c r="AC6" s="41">
        <v>0</v>
      </c>
      <c r="AD6" s="41">
        <v>0</v>
      </c>
      <c r="AE6" s="41">
        <v>0</v>
      </c>
      <c r="AF6" s="28">
        <f t="shared" si="2"/>
        <v>1927800.0000000002</v>
      </c>
      <c r="AG6" s="28">
        <f t="shared" si="3"/>
        <v>1871.6504854368934</v>
      </c>
    </row>
    <row r="7" spans="1:214" ht="57.6" x14ac:dyDescent="0.3">
      <c r="A7" s="41" t="s">
        <v>697</v>
      </c>
      <c r="B7" s="41" t="s">
        <v>695</v>
      </c>
      <c r="C7" s="41" t="s">
        <v>680</v>
      </c>
      <c r="D7" s="41" t="s">
        <v>137</v>
      </c>
      <c r="E7" s="41" t="s">
        <v>618</v>
      </c>
      <c r="F7" s="41" t="s">
        <v>1320</v>
      </c>
      <c r="G7" s="41">
        <f>1999.2/7</f>
        <v>285.60000000000002</v>
      </c>
      <c r="H7" s="41">
        <f>2*135*9</f>
        <v>2430</v>
      </c>
      <c r="I7" s="41">
        <v>5</v>
      </c>
      <c r="J7" s="41">
        <f t="shared" si="0"/>
        <v>3470040</v>
      </c>
      <c r="K7" s="41">
        <v>0</v>
      </c>
      <c r="L7" s="41">
        <v>0</v>
      </c>
      <c r="M7" s="41">
        <f t="shared" si="1"/>
        <v>0</v>
      </c>
      <c r="N7" s="41"/>
      <c r="O7" s="41"/>
      <c r="P7" s="41"/>
      <c r="Q7" s="41"/>
      <c r="R7" s="41"/>
      <c r="S7" s="41"/>
      <c r="T7" s="41"/>
      <c r="U7" s="41"/>
      <c r="V7" s="41"/>
      <c r="W7" s="41"/>
      <c r="X7" s="41"/>
      <c r="Y7" s="41"/>
      <c r="Z7" s="41"/>
      <c r="AA7" s="41"/>
      <c r="AB7" s="41"/>
      <c r="AC7" s="41"/>
      <c r="AD7" s="41"/>
      <c r="AE7" s="41"/>
      <c r="AF7" s="28">
        <f t="shared" si="2"/>
        <v>3470040</v>
      </c>
      <c r="AG7" s="28">
        <f t="shared" si="3"/>
        <v>3368.970873786408</v>
      </c>
    </row>
    <row r="8" spans="1:214" ht="57.6" x14ac:dyDescent="0.3">
      <c r="A8" s="41" t="s">
        <v>697</v>
      </c>
      <c r="B8" s="41" t="s">
        <v>695</v>
      </c>
      <c r="C8" s="41" t="s">
        <v>680</v>
      </c>
      <c r="D8" s="41" t="s">
        <v>137</v>
      </c>
      <c r="E8" s="41" t="s">
        <v>618</v>
      </c>
      <c r="F8" s="41" t="s">
        <v>716</v>
      </c>
      <c r="G8" s="41">
        <v>39000</v>
      </c>
      <c r="H8" s="41">
        <v>30</v>
      </c>
      <c r="I8" s="41">
        <v>15</v>
      </c>
      <c r="J8" s="41">
        <f t="shared" si="0"/>
        <v>17550000</v>
      </c>
      <c r="K8" s="41">
        <v>0</v>
      </c>
      <c r="L8" s="41">
        <v>0</v>
      </c>
      <c r="M8" s="41">
        <f t="shared" si="1"/>
        <v>0</v>
      </c>
      <c r="N8" s="41">
        <v>0</v>
      </c>
      <c r="O8" s="41">
        <v>0</v>
      </c>
      <c r="P8" s="41">
        <v>0</v>
      </c>
      <c r="Q8" s="41">
        <v>0</v>
      </c>
      <c r="R8" s="41">
        <v>0</v>
      </c>
      <c r="S8" s="41">
        <v>0</v>
      </c>
      <c r="T8" s="41">
        <v>0</v>
      </c>
      <c r="U8" s="41">
        <v>0</v>
      </c>
      <c r="V8" s="41">
        <v>0</v>
      </c>
      <c r="W8" s="41">
        <v>0</v>
      </c>
      <c r="X8" s="41">
        <v>0</v>
      </c>
      <c r="Y8" s="41">
        <v>0</v>
      </c>
      <c r="Z8" s="41">
        <v>0</v>
      </c>
      <c r="AA8" s="41">
        <v>0</v>
      </c>
      <c r="AB8" s="41">
        <v>0</v>
      </c>
      <c r="AC8" s="41">
        <v>0</v>
      </c>
      <c r="AD8" s="41">
        <v>0</v>
      </c>
      <c r="AE8" s="41">
        <v>0</v>
      </c>
      <c r="AF8" s="28">
        <f t="shared" si="2"/>
        <v>17550000</v>
      </c>
      <c r="AG8" s="28">
        <f t="shared" si="3"/>
        <v>17038.834951456312</v>
      </c>
    </row>
    <row r="9" spans="1:214" ht="57.6" x14ac:dyDescent="0.3">
      <c r="A9" s="41" t="s">
        <v>697</v>
      </c>
      <c r="B9" s="41" t="s">
        <v>695</v>
      </c>
      <c r="C9" s="41" t="s">
        <v>680</v>
      </c>
      <c r="D9" s="41" t="s">
        <v>137</v>
      </c>
      <c r="E9" s="41" t="s">
        <v>166</v>
      </c>
      <c r="F9" s="41" t="s">
        <v>709</v>
      </c>
      <c r="G9" s="41">
        <v>35000</v>
      </c>
      <c r="H9" s="41">
        <v>25</v>
      </c>
      <c r="I9" s="41">
        <v>1</v>
      </c>
      <c r="J9" s="41">
        <f t="shared" si="0"/>
        <v>875000</v>
      </c>
      <c r="K9" s="41">
        <v>0</v>
      </c>
      <c r="L9" s="41">
        <v>0</v>
      </c>
      <c r="M9" s="41">
        <f t="shared" si="1"/>
        <v>0</v>
      </c>
      <c r="N9" s="41">
        <v>0</v>
      </c>
      <c r="O9" s="41">
        <v>0</v>
      </c>
      <c r="P9" s="41">
        <v>0</v>
      </c>
      <c r="Q9" s="41">
        <v>0</v>
      </c>
      <c r="R9" s="41">
        <v>0</v>
      </c>
      <c r="S9" s="41">
        <v>0</v>
      </c>
      <c r="T9" s="41">
        <v>0</v>
      </c>
      <c r="U9" s="41">
        <v>0</v>
      </c>
      <c r="V9" s="41">
        <v>0</v>
      </c>
      <c r="W9" s="41">
        <v>0</v>
      </c>
      <c r="X9" s="41">
        <v>0</v>
      </c>
      <c r="Y9" s="41">
        <v>0</v>
      </c>
      <c r="Z9" s="41">
        <v>0</v>
      </c>
      <c r="AA9" s="41">
        <v>0</v>
      </c>
      <c r="AB9" s="41">
        <v>0</v>
      </c>
      <c r="AC9" s="41">
        <v>0</v>
      </c>
      <c r="AD9" s="41">
        <v>0</v>
      </c>
      <c r="AE9" s="41">
        <v>0</v>
      </c>
      <c r="AF9" s="28">
        <f t="shared" si="2"/>
        <v>875000</v>
      </c>
      <c r="AG9" s="28">
        <f t="shared" si="3"/>
        <v>849.51456310679612</v>
      </c>
    </row>
    <row r="10" spans="1:214" ht="57.6" x14ac:dyDescent="0.3">
      <c r="A10" s="41" t="s">
        <v>697</v>
      </c>
      <c r="B10" s="41" t="s">
        <v>695</v>
      </c>
      <c r="C10" s="41" t="s">
        <v>680</v>
      </c>
      <c r="D10" s="41" t="s">
        <v>137</v>
      </c>
      <c r="E10" s="41" t="s">
        <v>296</v>
      </c>
      <c r="F10" s="41" t="s">
        <v>718</v>
      </c>
      <c r="G10" s="41">
        <v>0</v>
      </c>
      <c r="H10" s="41">
        <v>25</v>
      </c>
      <c r="I10" s="41">
        <v>1</v>
      </c>
      <c r="J10" s="41">
        <f t="shared" si="0"/>
        <v>0</v>
      </c>
      <c r="K10" s="41">
        <v>0</v>
      </c>
      <c r="L10" s="41">
        <v>0</v>
      </c>
      <c r="M10" s="41">
        <f t="shared" si="1"/>
        <v>0</v>
      </c>
      <c r="N10" s="41">
        <v>0</v>
      </c>
      <c r="O10" s="41">
        <v>0</v>
      </c>
      <c r="P10" s="41">
        <v>0</v>
      </c>
      <c r="Q10" s="41">
        <v>0</v>
      </c>
      <c r="R10" s="41">
        <v>0</v>
      </c>
      <c r="S10" s="41">
        <v>0</v>
      </c>
      <c r="T10" s="41">
        <v>0</v>
      </c>
      <c r="U10" s="41">
        <v>0</v>
      </c>
      <c r="V10" s="41">
        <v>0</v>
      </c>
      <c r="W10" s="41">
        <v>0</v>
      </c>
      <c r="X10" s="41">
        <v>0</v>
      </c>
      <c r="Y10" s="41">
        <v>0</v>
      </c>
      <c r="Z10" s="41">
        <v>0</v>
      </c>
      <c r="AA10" s="41">
        <v>0</v>
      </c>
      <c r="AB10" s="41">
        <v>0</v>
      </c>
      <c r="AC10" s="41">
        <v>0</v>
      </c>
      <c r="AD10" s="41">
        <v>0</v>
      </c>
      <c r="AE10" s="41">
        <v>0</v>
      </c>
      <c r="AF10" s="28">
        <f t="shared" si="2"/>
        <v>0</v>
      </c>
      <c r="AG10" s="28">
        <f t="shared" si="3"/>
        <v>0</v>
      </c>
    </row>
    <row r="11" spans="1:214" ht="57.6" x14ac:dyDescent="0.3">
      <c r="A11" s="41" t="s">
        <v>697</v>
      </c>
      <c r="B11" s="41" t="s">
        <v>695</v>
      </c>
      <c r="C11" s="41" t="s">
        <v>680</v>
      </c>
      <c r="D11" s="41" t="s">
        <v>137</v>
      </c>
      <c r="E11" s="41" t="s">
        <v>156</v>
      </c>
      <c r="F11" s="41" t="s">
        <v>709</v>
      </c>
      <c r="G11" s="41">
        <v>35000</v>
      </c>
      <c r="H11" s="41">
        <v>100</v>
      </c>
      <c r="I11" s="41">
        <v>1</v>
      </c>
      <c r="J11" s="41">
        <f t="shared" si="0"/>
        <v>3500000</v>
      </c>
      <c r="K11" s="41">
        <v>0</v>
      </c>
      <c r="L11" s="41">
        <v>0</v>
      </c>
      <c r="M11" s="41">
        <f t="shared" si="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28">
        <f t="shared" si="2"/>
        <v>3500000</v>
      </c>
      <c r="AG11" s="28">
        <f t="shared" si="3"/>
        <v>3398.0582524271845</v>
      </c>
    </row>
    <row r="12" spans="1:214" ht="57.6" x14ac:dyDescent="0.3">
      <c r="A12" s="41" t="s">
        <v>697</v>
      </c>
      <c r="B12" s="41" t="s">
        <v>695</v>
      </c>
      <c r="C12" s="41" t="s">
        <v>680</v>
      </c>
      <c r="D12" s="41" t="s">
        <v>137</v>
      </c>
      <c r="E12" s="41" t="s">
        <v>156</v>
      </c>
      <c r="F12" s="41" t="s">
        <v>1297</v>
      </c>
      <c r="G12" s="41">
        <v>8000</v>
      </c>
      <c r="H12" s="41">
        <v>10</v>
      </c>
      <c r="I12" s="41">
        <v>1</v>
      </c>
      <c r="J12" s="41">
        <f t="shared" si="0"/>
        <v>80000</v>
      </c>
      <c r="K12" s="41">
        <v>0</v>
      </c>
      <c r="L12" s="41">
        <v>0</v>
      </c>
      <c r="M12" s="41">
        <f t="shared" si="1"/>
        <v>0</v>
      </c>
      <c r="N12" s="41">
        <v>0</v>
      </c>
      <c r="O12" s="41">
        <v>0</v>
      </c>
      <c r="P12" s="41">
        <v>0</v>
      </c>
      <c r="Q12" s="41">
        <v>0</v>
      </c>
      <c r="R12" s="41">
        <v>0</v>
      </c>
      <c r="S12" s="41">
        <v>0</v>
      </c>
      <c r="T12" s="41">
        <v>0</v>
      </c>
      <c r="U12" s="41">
        <v>0</v>
      </c>
      <c r="V12" s="41">
        <v>0</v>
      </c>
      <c r="W12" s="41">
        <v>0</v>
      </c>
      <c r="X12" s="41">
        <v>0</v>
      </c>
      <c r="Y12" s="41">
        <v>0</v>
      </c>
      <c r="Z12" s="41">
        <v>0</v>
      </c>
      <c r="AA12" s="41">
        <v>0</v>
      </c>
      <c r="AB12" s="41">
        <v>0</v>
      </c>
      <c r="AC12" s="41">
        <v>0</v>
      </c>
      <c r="AD12" s="41">
        <v>0</v>
      </c>
      <c r="AE12" s="41">
        <v>0</v>
      </c>
      <c r="AF12" s="28">
        <f t="shared" si="2"/>
        <v>80000</v>
      </c>
      <c r="AG12" s="28">
        <f t="shared" si="3"/>
        <v>77.669902912621353</v>
      </c>
    </row>
    <row r="13" spans="1:214" ht="57.6" x14ac:dyDescent="0.3">
      <c r="A13" s="41" t="s">
        <v>697</v>
      </c>
      <c r="B13" s="41" t="s">
        <v>695</v>
      </c>
      <c r="C13" s="41" t="s">
        <v>680</v>
      </c>
      <c r="D13" s="41" t="s">
        <v>137</v>
      </c>
      <c r="E13" s="41" t="s">
        <v>156</v>
      </c>
      <c r="F13" s="41" t="s">
        <v>717</v>
      </c>
      <c r="G13" s="41">
        <v>104850</v>
      </c>
      <c r="H13" s="41">
        <v>1</v>
      </c>
      <c r="I13" s="41">
        <v>1</v>
      </c>
      <c r="J13" s="41">
        <f t="shared" si="0"/>
        <v>104850</v>
      </c>
      <c r="K13" s="41">
        <v>0</v>
      </c>
      <c r="L13" s="41">
        <v>0</v>
      </c>
      <c r="M13" s="41">
        <f t="shared" si="1"/>
        <v>0</v>
      </c>
      <c r="N13" s="41">
        <v>0</v>
      </c>
      <c r="O13" s="41">
        <v>0</v>
      </c>
      <c r="P13" s="41">
        <v>0</v>
      </c>
      <c r="Q13" s="41">
        <v>0</v>
      </c>
      <c r="R13" s="41">
        <v>0</v>
      </c>
      <c r="S13" s="41">
        <v>0</v>
      </c>
      <c r="T13" s="41">
        <v>0</v>
      </c>
      <c r="U13" s="41">
        <v>0</v>
      </c>
      <c r="V13" s="41">
        <v>0</v>
      </c>
      <c r="W13" s="41">
        <v>0</v>
      </c>
      <c r="X13" s="41">
        <v>0</v>
      </c>
      <c r="Y13" s="41">
        <v>0</v>
      </c>
      <c r="Z13" s="41">
        <v>0</v>
      </c>
      <c r="AA13" s="41">
        <v>0</v>
      </c>
      <c r="AB13" s="41">
        <v>0</v>
      </c>
      <c r="AC13" s="41">
        <v>0</v>
      </c>
      <c r="AD13" s="41">
        <v>0</v>
      </c>
      <c r="AE13" s="41">
        <v>0</v>
      </c>
      <c r="AF13" s="28">
        <f t="shared" si="2"/>
        <v>104850</v>
      </c>
      <c r="AG13" s="28">
        <f t="shared" si="3"/>
        <v>101.79611650485437</v>
      </c>
    </row>
    <row r="14" spans="1:214" x14ac:dyDescent="0.3">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28">
        <f t="shared" si="2"/>
        <v>0</v>
      </c>
      <c r="AG14" s="28">
        <f t="shared" si="3"/>
        <v>0</v>
      </c>
    </row>
    <row r="15" spans="1:214" s="73" customFormat="1" x14ac:dyDescent="0.3">
      <c r="A15" s="72" t="s">
        <v>1324</v>
      </c>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28">
        <f t="shared" si="2"/>
        <v>0</v>
      </c>
      <c r="AG15" s="28">
        <f t="shared" si="3"/>
        <v>0</v>
      </c>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row>
    <row r="16" spans="1:214" s="62" customFormat="1" x14ac:dyDescent="0.3">
      <c r="A16" s="63" t="s">
        <v>1435</v>
      </c>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20"/>
      <c r="AG16" s="20"/>
    </row>
    <row r="17" spans="1:214" ht="57.6" x14ac:dyDescent="0.3">
      <c r="A17" s="41" t="s">
        <v>697</v>
      </c>
      <c r="B17" s="41" t="s">
        <v>695</v>
      </c>
      <c r="C17" s="41" t="s">
        <v>681</v>
      </c>
      <c r="D17" s="41" t="s">
        <v>138</v>
      </c>
      <c r="E17" s="41" t="s">
        <v>155</v>
      </c>
      <c r="F17" s="41" t="s">
        <v>718</v>
      </c>
      <c r="G17" s="41">
        <v>0</v>
      </c>
      <c r="H17" s="41"/>
      <c r="I17" s="41"/>
      <c r="J17" s="41">
        <f>$G17*H17*I17</f>
        <v>0</v>
      </c>
      <c r="K17" s="41">
        <v>0</v>
      </c>
      <c r="L17" s="41">
        <v>0</v>
      </c>
      <c r="M17" s="41">
        <f>($G17*1.1^1)*K17*L17</f>
        <v>0</v>
      </c>
      <c r="N17" s="41">
        <v>0</v>
      </c>
      <c r="O17" s="41">
        <v>0</v>
      </c>
      <c r="P17" s="41">
        <f>($G17*1.1^2)*N17*O17</f>
        <v>0</v>
      </c>
      <c r="Q17" s="41">
        <v>0</v>
      </c>
      <c r="R17" s="41">
        <v>0</v>
      </c>
      <c r="S17" s="41">
        <f>($G17*1.1^3)*Q17*R17</f>
        <v>0</v>
      </c>
      <c r="T17" s="41">
        <v>0</v>
      </c>
      <c r="U17" s="41">
        <v>0</v>
      </c>
      <c r="V17" s="41">
        <f>($G17*1.1^4)*T17*U17</f>
        <v>0</v>
      </c>
      <c r="W17" s="41">
        <v>0</v>
      </c>
      <c r="X17" s="41">
        <v>0</v>
      </c>
      <c r="Y17" s="41">
        <f>($G17*1.1^5)*W17*X17</f>
        <v>0</v>
      </c>
      <c r="Z17" s="41">
        <v>0</v>
      </c>
      <c r="AA17" s="41">
        <v>0</v>
      </c>
      <c r="AB17" s="41">
        <f>($G17*1.1^6)*Z17*AA17</f>
        <v>0</v>
      </c>
      <c r="AC17" s="41">
        <v>0</v>
      </c>
      <c r="AD17" s="41">
        <v>0</v>
      </c>
      <c r="AE17" s="41">
        <f>($G17*1.1^7)*AC17*AD17</f>
        <v>0</v>
      </c>
      <c r="AF17" s="28">
        <f t="shared" si="2"/>
        <v>0</v>
      </c>
      <c r="AG17" s="28">
        <f t="shared" si="3"/>
        <v>0</v>
      </c>
    </row>
    <row r="18" spans="1:214" ht="57.6" x14ac:dyDescent="0.3">
      <c r="A18" s="41" t="s">
        <v>697</v>
      </c>
      <c r="B18" s="41" t="s">
        <v>695</v>
      </c>
      <c r="C18" s="41" t="s">
        <v>681</v>
      </c>
      <c r="D18" s="41" t="s">
        <v>138</v>
      </c>
      <c r="E18" s="41" t="s">
        <v>158</v>
      </c>
      <c r="F18" s="41" t="s">
        <v>718</v>
      </c>
      <c r="G18" s="41">
        <v>0</v>
      </c>
      <c r="H18" s="41"/>
      <c r="I18" s="41"/>
      <c r="J18" s="41">
        <f t="shared" ref="J18:J29" si="4">$G18*H18*I18</f>
        <v>0</v>
      </c>
      <c r="K18" s="41"/>
      <c r="L18" s="41"/>
      <c r="M18" s="41">
        <f t="shared" ref="M18:M29" si="5">($G18*1.1^1)*K18*L18</f>
        <v>0</v>
      </c>
      <c r="N18" s="41">
        <v>0</v>
      </c>
      <c r="O18" s="41">
        <v>0</v>
      </c>
      <c r="P18" s="41">
        <f t="shared" ref="P18:P29" si="6">($G18*1.1^2)*N18*O18</f>
        <v>0</v>
      </c>
      <c r="Q18" s="41">
        <v>0</v>
      </c>
      <c r="R18" s="41">
        <v>0</v>
      </c>
      <c r="S18" s="41">
        <v>0</v>
      </c>
      <c r="T18" s="41">
        <v>0</v>
      </c>
      <c r="U18" s="41">
        <v>0</v>
      </c>
      <c r="V18" s="41">
        <v>0</v>
      </c>
      <c r="W18" s="41">
        <v>0</v>
      </c>
      <c r="X18" s="41">
        <v>0</v>
      </c>
      <c r="Y18" s="41">
        <v>0</v>
      </c>
      <c r="Z18" s="41">
        <v>0</v>
      </c>
      <c r="AA18" s="41">
        <v>0</v>
      </c>
      <c r="AB18" s="41">
        <v>0</v>
      </c>
      <c r="AC18" s="41">
        <v>0</v>
      </c>
      <c r="AD18" s="41">
        <v>0</v>
      </c>
      <c r="AE18" s="41">
        <f t="shared" ref="AE18:AE29" si="7">($G18*1.1^7)*AC18*AD18</f>
        <v>0</v>
      </c>
      <c r="AF18" s="28">
        <f t="shared" si="2"/>
        <v>0</v>
      </c>
      <c r="AG18" s="28">
        <f t="shared" si="3"/>
        <v>0</v>
      </c>
    </row>
    <row r="19" spans="1:214" ht="57.6" x14ac:dyDescent="0.3">
      <c r="A19" s="41" t="s">
        <v>697</v>
      </c>
      <c r="B19" s="41" t="s">
        <v>695</v>
      </c>
      <c r="C19" s="41" t="s">
        <v>681</v>
      </c>
      <c r="D19" s="41" t="s">
        <v>138</v>
      </c>
      <c r="E19" s="41" t="s">
        <v>619</v>
      </c>
      <c r="F19" s="41" t="s">
        <v>707</v>
      </c>
      <c r="G19" s="41">
        <v>391991.03749999998</v>
      </c>
      <c r="H19" s="41"/>
      <c r="I19" s="41"/>
      <c r="J19" s="41">
        <f t="shared" si="4"/>
        <v>0</v>
      </c>
      <c r="K19" s="41"/>
      <c r="L19" s="41"/>
      <c r="M19" s="41">
        <f t="shared" si="5"/>
        <v>0</v>
      </c>
      <c r="N19" s="41">
        <v>2</v>
      </c>
      <c r="O19" s="41">
        <v>2</v>
      </c>
      <c r="P19" s="41">
        <f t="shared" si="6"/>
        <v>1897236.6215000001</v>
      </c>
      <c r="Q19" s="41">
        <v>0</v>
      </c>
      <c r="R19" s="41">
        <v>0</v>
      </c>
      <c r="S19" s="41">
        <v>0</v>
      </c>
      <c r="T19" s="41">
        <v>0</v>
      </c>
      <c r="U19" s="41">
        <v>0</v>
      </c>
      <c r="V19" s="41">
        <v>0</v>
      </c>
      <c r="W19" s="41">
        <v>0</v>
      </c>
      <c r="X19" s="41">
        <v>0</v>
      </c>
      <c r="Y19" s="41">
        <v>0</v>
      </c>
      <c r="Z19" s="41">
        <v>0</v>
      </c>
      <c r="AA19" s="41">
        <v>0</v>
      </c>
      <c r="AB19" s="41">
        <v>0</v>
      </c>
      <c r="AC19" s="41">
        <v>2</v>
      </c>
      <c r="AD19" s="41">
        <v>2</v>
      </c>
      <c r="AE19" s="41">
        <f t="shared" si="7"/>
        <v>3055518.5512919668</v>
      </c>
      <c r="AF19" s="28">
        <f t="shared" si="2"/>
        <v>4952755.1727919672</v>
      </c>
      <c r="AG19" s="28">
        <f t="shared" si="3"/>
        <v>4808.5001677591918</v>
      </c>
    </row>
    <row r="20" spans="1:214" ht="57.6" x14ac:dyDescent="0.3">
      <c r="A20" s="41" t="s">
        <v>697</v>
      </c>
      <c r="B20" s="41" t="s">
        <v>695</v>
      </c>
      <c r="C20" s="41" t="s">
        <v>681</v>
      </c>
      <c r="D20" s="41" t="s">
        <v>138</v>
      </c>
      <c r="E20" s="41" t="s">
        <v>619</v>
      </c>
      <c r="F20" s="41" t="s">
        <v>708</v>
      </c>
      <c r="G20" s="41">
        <f>980*1030</f>
        <v>1009400</v>
      </c>
      <c r="H20" s="41"/>
      <c r="I20" s="41"/>
      <c r="J20" s="41">
        <f t="shared" si="4"/>
        <v>0</v>
      </c>
      <c r="K20" s="41"/>
      <c r="L20" s="41"/>
      <c r="M20" s="41">
        <f t="shared" si="5"/>
        <v>0</v>
      </c>
      <c r="N20" s="41">
        <v>1</v>
      </c>
      <c r="O20" s="41">
        <v>25</v>
      </c>
      <c r="P20" s="41">
        <f t="shared" si="6"/>
        <v>30534350.000000007</v>
      </c>
      <c r="Q20" s="41">
        <v>0</v>
      </c>
      <c r="R20" s="41">
        <v>0</v>
      </c>
      <c r="S20" s="41">
        <v>0</v>
      </c>
      <c r="T20" s="41">
        <v>0</v>
      </c>
      <c r="U20" s="41">
        <v>0</v>
      </c>
      <c r="V20" s="41">
        <v>0</v>
      </c>
      <c r="W20" s="41">
        <v>0</v>
      </c>
      <c r="X20" s="41">
        <v>0</v>
      </c>
      <c r="Y20" s="41">
        <v>0</v>
      </c>
      <c r="Z20" s="41">
        <v>0</v>
      </c>
      <c r="AA20" s="41">
        <v>0</v>
      </c>
      <c r="AB20" s="41">
        <v>0</v>
      </c>
      <c r="AC20" s="41">
        <v>1</v>
      </c>
      <c r="AD20" s="41">
        <v>25</v>
      </c>
      <c r="AE20" s="41">
        <f t="shared" si="7"/>
        <v>49175876.01850003</v>
      </c>
      <c r="AF20" s="28">
        <f t="shared" si="2"/>
        <v>79710226.01850003</v>
      </c>
      <c r="AG20" s="28">
        <f t="shared" si="3"/>
        <v>77388.56895000003</v>
      </c>
    </row>
    <row r="21" spans="1:214" ht="57.6" x14ac:dyDescent="0.3">
      <c r="A21" s="41" t="s">
        <v>697</v>
      </c>
      <c r="B21" s="41" t="s">
        <v>695</v>
      </c>
      <c r="C21" s="41" t="s">
        <v>681</v>
      </c>
      <c r="D21" s="41" t="s">
        <v>138</v>
      </c>
      <c r="E21" s="41" t="s">
        <v>618</v>
      </c>
      <c r="F21" s="41" t="s">
        <v>716</v>
      </c>
      <c r="G21" s="41">
        <v>39000</v>
      </c>
      <c r="H21" s="41"/>
      <c r="I21" s="41"/>
      <c r="J21" s="41">
        <f t="shared" si="4"/>
        <v>0</v>
      </c>
      <c r="K21" s="41"/>
      <c r="L21" s="41"/>
      <c r="M21" s="41">
        <f t="shared" si="5"/>
        <v>0</v>
      </c>
      <c r="N21" s="41">
        <v>30</v>
      </c>
      <c r="O21" s="41">
        <v>6</v>
      </c>
      <c r="P21" s="41">
        <f t="shared" si="6"/>
        <v>8494200.0000000019</v>
      </c>
      <c r="Q21" s="41">
        <v>0</v>
      </c>
      <c r="R21" s="41">
        <v>0</v>
      </c>
      <c r="S21" s="41">
        <v>0</v>
      </c>
      <c r="T21" s="41">
        <v>0</v>
      </c>
      <c r="U21" s="41">
        <v>0</v>
      </c>
      <c r="V21" s="41">
        <v>0</v>
      </c>
      <c r="W21" s="41">
        <v>0</v>
      </c>
      <c r="X21" s="41">
        <v>0</v>
      </c>
      <c r="Y21" s="41">
        <v>0</v>
      </c>
      <c r="Z21" s="41">
        <v>0</v>
      </c>
      <c r="AA21" s="41">
        <v>0</v>
      </c>
      <c r="AB21" s="41">
        <v>0</v>
      </c>
      <c r="AC21" s="41">
        <v>30</v>
      </c>
      <c r="AD21" s="41">
        <v>6</v>
      </c>
      <c r="AE21" s="41">
        <f t="shared" si="7"/>
        <v>13679994.042000007</v>
      </c>
      <c r="AF21" s="28">
        <f t="shared" si="2"/>
        <v>22174194.042000011</v>
      </c>
      <c r="AG21" s="28">
        <f t="shared" si="3"/>
        <v>21528.343730097098</v>
      </c>
    </row>
    <row r="22" spans="1:214" ht="57.6" x14ac:dyDescent="0.3">
      <c r="A22" s="41" t="s">
        <v>697</v>
      </c>
      <c r="B22" s="41" t="s">
        <v>695</v>
      </c>
      <c r="C22" s="41" t="s">
        <v>681</v>
      </c>
      <c r="D22" s="41" t="s">
        <v>138</v>
      </c>
      <c r="E22" s="41" t="s">
        <v>618</v>
      </c>
      <c r="F22" s="41" t="s">
        <v>709</v>
      </c>
      <c r="G22" s="41">
        <v>35000</v>
      </c>
      <c r="H22" s="41"/>
      <c r="I22" s="41"/>
      <c r="J22" s="41">
        <f t="shared" si="4"/>
        <v>0</v>
      </c>
      <c r="K22" s="41"/>
      <c r="L22" s="41"/>
      <c r="M22" s="41">
        <f t="shared" si="5"/>
        <v>0</v>
      </c>
      <c r="N22" s="41">
        <v>30</v>
      </c>
      <c r="O22" s="41">
        <v>5</v>
      </c>
      <c r="P22" s="41">
        <f t="shared" si="6"/>
        <v>6352500.0000000009</v>
      </c>
      <c r="Q22" s="41">
        <v>0</v>
      </c>
      <c r="R22" s="41">
        <v>0</v>
      </c>
      <c r="S22" s="41">
        <v>0</v>
      </c>
      <c r="T22" s="41">
        <v>0</v>
      </c>
      <c r="U22" s="41">
        <v>0</v>
      </c>
      <c r="V22" s="41">
        <v>0</v>
      </c>
      <c r="W22" s="41">
        <v>0</v>
      </c>
      <c r="X22" s="41">
        <v>0</v>
      </c>
      <c r="Y22" s="41">
        <v>0</v>
      </c>
      <c r="Z22" s="41">
        <v>0</v>
      </c>
      <c r="AA22" s="41">
        <v>0</v>
      </c>
      <c r="AB22" s="41">
        <v>0</v>
      </c>
      <c r="AC22" s="41">
        <v>30</v>
      </c>
      <c r="AD22" s="41">
        <v>5</v>
      </c>
      <c r="AE22" s="41">
        <f t="shared" si="7"/>
        <v>10230764.775000006</v>
      </c>
      <c r="AF22" s="28">
        <f t="shared" si="2"/>
        <v>16583264.775000006</v>
      </c>
      <c r="AG22" s="28">
        <f t="shared" si="3"/>
        <v>16100.257063106801</v>
      </c>
    </row>
    <row r="23" spans="1:214" ht="57.6" x14ac:dyDescent="0.3">
      <c r="A23" s="41" t="s">
        <v>697</v>
      </c>
      <c r="B23" s="41" t="s">
        <v>695</v>
      </c>
      <c r="C23" s="41" t="s">
        <v>681</v>
      </c>
      <c r="D23" s="41" t="s">
        <v>138</v>
      </c>
      <c r="E23" s="41" t="s">
        <v>618</v>
      </c>
      <c r="F23" s="41" t="s">
        <v>712</v>
      </c>
      <c r="G23" s="41">
        <f>1999.2/7</f>
        <v>285.60000000000002</v>
      </c>
      <c r="H23" s="41"/>
      <c r="I23" s="41"/>
      <c r="J23" s="41">
        <f t="shared" si="4"/>
        <v>0</v>
      </c>
      <c r="K23" s="41"/>
      <c r="L23" s="41"/>
      <c r="M23" s="41">
        <f t="shared" si="5"/>
        <v>0</v>
      </c>
      <c r="N23" s="41">
        <f>2*9*25</f>
        <v>450</v>
      </c>
      <c r="O23" s="41">
        <v>5</v>
      </c>
      <c r="P23" s="41">
        <f t="shared" si="6"/>
        <v>777546.00000000023</v>
      </c>
      <c r="Q23" s="41">
        <v>0</v>
      </c>
      <c r="R23" s="41">
        <v>0</v>
      </c>
      <c r="S23" s="41">
        <v>0</v>
      </c>
      <c r="T23" s="41">
        <v>0</v>
      </c>
      <c r="U23" s="41">
        <v>0</v>
      </c>
      <c r="V23" s="41">
        <v>0</v>
      </c>
      <c r="W23" s="41">
        <v>0</v>
      </c>
      <c r="X23" s="41">
        <v>0</v>
      </c>
      <c r="Y23" s="41">
        <v>0</v>
      </c>
      <c r="Z23" s="41">
        <v>0</v>
      </c>
      <c r="AA23" s="41">
        <v>0</v>
      </c>
      <c r="AB23" s="41">
        <v>0</v>
      </c>
      <c r="AC23" s="41">
        <f>2*9*25</f>
        <v>450</v>
      </c>
      <c r="AD23" s="41">
        <v>5</v>
      </c>
      <c r="AE23" s="41">
        <f t="shared" si="7"/>
        <v>1252245.6084600009</v>
      </c>
      <c r="AF23" s="28">
        <f t="shared" si="2"/>
        <v>2029791.6084600012</v>
      </c>
      <c r="AG23" s="28">
        <f t="shared" si="3"/>
        <v>1970.671464524273</v>
      </c>
    </row>
    <row r="24" spans="1:214" ht="57.6" x14ac:dyDescent="0.3">
      <c r="A24" s="41" t="s">
        <v>697</v>
      </c>
      <c r="B24" s="41" t="s">
        <v>695</v>
      </c>
      <c r="C24" s="41" t="s">
        <v>681</v>
      </c>
      <c r="D24" s="41" t="s">
        <v>138</v>
      </c>
      <c r="E24" s="41" t="s">
        <v>618</v>
      </c>
      <c r="F24" s="41" t="s">
        <v>1320</v>
      </c>
      <c r="G24" s="41">
        <f>1999.2/7</f>
        <v>285.60000000000002</v>
      </c>
      <c r="H24" s="41"/>
      <c r="I24" s="41"/>
      <c r="J24" s="41">
        <f t="shared" si="4"/>
        <v>0</v>
      </c>
      <c r="K24" s="41"/>
      <c r="L24" s="41"/>
      <c r="M24" s="41">
        <f t="shared" si="5"/>
        <v>0</v>
      </c>
      <c r="N24" s="41">
        <f>2*135*9</f>
        <v>2430</v>
      </c>
      <c r="O24" s="41">
        <v>1</v>
      </c>
      <c r="P24" s="41">
        <f t="shared" si="6"/>
        <v>839749.68000000017</v>
      </c>
      <c r="Q24" s="41"/>
      <c r="R24" s="41"/>
      <c r="S24" s="41"/>
      <c r="T24" s="41"/>
      <c r="U24" s="41"/>
      <c r="V24" s="41"/>
      <c r="W24" s="41"/>
      <c r="X24" s="41"/>
      <c r="Y24" s="41"/>
      <c r="Z24" s="41"/>
      <c r="AA24" s="41"/>
      <c r="AB24" s="41"/>
      <c r="AC24" s="41">
        <f>2*135*9</f>
        <v>2430</v>
      </c>
      <c r="AD24" s="41">
        <v>1</v>
      </c>
      <c r="AE24" s="41">
        <f t="shared" si="7"/>
        <v>1352425.257136801</v>
      </c>
      <c r="AF24" s="28">
        <f t="shared" si="2"/>
        <v>2192174.937136801</v>
      </c>
      <c r="AG24" s="28">
        <f t="shared" si="3"/>
        <v>2128.3251816862144</v>
      </c>
    </row>
    <row r="25" spans="1:214" ht="57.6" x14ac:dyDescent="0.3">
      <c r="A25" s="41" t="s">
        <v>697</v>
      </c>
      <c r="B25" s="41" t="s">
        <v>695</v>
      </c>
      <c r="C25" s="41" t="s">
        <v>681</v>
      </c>
      <c r="D25" s="41" t="s">
        <v>138</v>
      </c>
      <c r="E25" s="41" t="s">
        <v>265</v>
      </c>
      <c r="F25" s="41" t="s">
        <v>709</v>
      </c>
      <c r="G25" s="41">
        <v>35000</v>
      </c>
      <c r="H25" s="41"/>
      <c r="I25" s="41"/>
      <c r="J25" s="41">
        <f t="shared" si="4"/>
        <v>0</v>
      </c>
      <c r="K25" s="41"/>
      <c r="L25" s="41"/>
      <c r="M25" s="41">
        <f t="shared" si="5"/>
        <v>0</v>
      </c>
      <c r="N25" s="41">
        <v>25</v>
      </c>
      <c r="O25" s="41">
        <v>1</v>
      </c>
      <c r="P25" s="41">
        <f t="shared" si="6"/>
        <v>1058750.0000000002</v>
      </c>
      <c r="Q25" s="41">
        <v>0</v>
      </c>
      <c r="R25" s="41">
        <v>0</v>
      </c>
      <c r="S25" s="41">
        <v>0</v>
      </c>
      <c r="T25" s="41">
        <v>0</v>
      </c>
      <c r="U25" s="41">
        <v>0</v>
      </c>
      <c r="V25" s="41">
        <v>0</v>
      </c>
      <c r="W25" s="41">
        <v>0</v>
      </c>
      <c r="X25" s="41">
        <v>0</v>
      </c>
      <c r="Y25" s="41">
        <v>0</v>
      </c>
      <c r="Z25" s="41">
        <v>0</v>
      </c>
      <c r="AA25" s="41">
        <v>0</v>
      </c>
      <c r="AB25" s="41">
        <v>0</v>
      </c>
      <c r="AC25" s="41">
        <v>25</v>
      </c>
      <c r="AD25" s="41">
        <v>1</v>
      </c>
      <c r="AE25" s="41">
        <f t="shared" si="7"/>
        <v>1705127.4625000008</v>
      </c>
      <c r="AF25" s="28">
        <f t="shared" si="2"/>
        <v>2763877.4625000013</v>
      </c>
      <c r="AG25" s="28">
        <f t="shared" si="3"/>
        <v>2683.3761771844675</v>
      </c>
    </row>
    <row r="26" spans="1:214" ht="57.6" x14ac:dyDescent="0.3">
      <c r="A26" s="41" t="s">
        <v>697</v>
      </c>
      <c r="B26" s="41" t="s">
        <v>695</v>
      </c>
      <c r="C26" s="41" t="s">
        <v>681</v>
      </c>
      <c r="D26" s="41" t="s">
        <v>138</v>
      </c>
      <c r="E26" s="41" t="s">
        <v>562</v>
      </c>
      <c r="F26" s="41" t="s">
        <v>718</v>
      </c>
      <c r="G26" s="41">
        <v>0</v>
      </c>
      <c r="H26" s="41"/>
      <c r="I26" s="41"/>
      <c r="J26" s="41">
        <f t="shared" si="4"/>
        <v>0</v>
      </c>
      <c r="K26" s="41"/>
      <c r="L26" s="41"/>
      <c r="M26" s="41">
        <f t="shared" si="5"/>
        <v>0</v>
      </c>
      <c r="N26" s="41">
        <v>25</v>
      </c>
      <c r="O26" s="41">
        <v>1</v>
      </c>
      <c r="P26" s="41">
        <f t="shared" si="6"/>
        <v>0</v>
      </c>
      <c r="Q26" s="41">
        <v>0</v>
      </c>
      <c r="R26" s="41">
        <v>0</v>
      </c>
      <c r="S26" s="41">
        <v>0</v>
      </c>
      <c r="T26" s="41">
        <v>0</v>
      </c>
      <c r="U26" s="41">
        <v>0</v>
      </c>
      <c r="V26" s="41">
        <v>0</v>
      </c>
      <c r="W26" s="41">
        <v>0</v>
      </c>
      <c r="X26" s="41">
        <v>0</v>
      </c>
      <c r="Y26" s="41">
        <v>0</v>
      </c>
      <c r="Z26" s="41">
        <v>0</v>
      </c>
      <c r="AA26" s="41">
        <v>0</v>
      </c>
      <c r="AB26" s="41">
        <v>0</v>
      </c>
      <c r="AC26" s="41">
        <v>25</v>
      </c>
      <c r="AD26" s="41">
        <v>1</v>
      </c>
      <c r="AE26" s="41">
        <f t="shared" si="7"/>
        <v>0</v>
      </c>
      <c r="AF26" s="28">
        <f t="shared" si="2"/>
        <v>0</v>
      </c>
      <c r="AG26" s="28">
        <f t="shared" si="3"/>
        <v>0</v>
      </c>
    </row>
    <row r="27" spans="1:214" ht="57.6" x14ac:dyDescent="0.3">
      <c r="A27" s="41" t="s">
        <v>697</v>
      </c>
      <c r="B27" s="41" t="s">
        <v>695</v>
      </c>
      <c r="C27" s="41" t="s">
        <v>681</v>
      </c>
      <c r="D27" s="41" t="s">
        <v>138</v>
      </c>
      <c r="E27" s="41" t="s">
        <v>156</v>
      </c>
      <c r="F27" s="41" t="s">
        <v>709</v>
      </c>
      <c r="G27" s="41">
        <v>35000</v>
      </c>
      <c r="H27" s="41"/>
      <c r="I27" s="41"/>
      <c r="J27" s="41">
        <f t="shared" si="4"/>
        <v>0</v>
      </c>
      <c r="K27" s="41"/>
      <c r="L27" s="41"/>
      <c r="M27" s="41">
        <f t="shared" si="5"/>
        <v>0</v>
      </c>
      <c r="N27" s="41">
        <v>100</v>
      </c>
      <c r="O27" s="41">
        <v>1</v>
      </c>
      <c r="P27" s="41">
        <f t="shared" si="6"/>
        <v>4235000.0000000009</v>
      </c>
      <c r="Q27" s="41">
        <v>0</v>
      </c>
      <c r="R27" s="41">
        <v>0</v>
      </c>
      <c r="S27" s="41">
        <v>0</v>
      </c>
      <c r="T27" s="41">
        <v>0</v>
      </c>
      <c r="U27" s="41">
        <v>0</v>
      </c>
      <c r="V27" s="41">
        <v>0</v>
      </c>
      <c r="W27" s="41">
        <v>0</v>
      </c>
      <c r="X27" s="41">
        <v>0</v>
      </c>
      <c r="Y27" s="41">
        <v>0</v>
      </c>
      <c r="Z27" s="41">
        <v>0</v>
      </c>
      <c r="AA27" s="41">
        <v>0</v>
      </c>
      <c r="AB27" s="41">
        <v>0</v>
      </c>
      <c r="AC27" s="41">
        <v>100</v>
      </c>
      <c r="AD27" s="41">
        <v>1</v>
      </c>
      <c r="AE27" s="41">
        <f t="shared" si="7"/>
        <v>6820509.8500000034</v>
      </c>
      <c r="AF27" s="28">
        <f t="shared" si="2"/>
        <v>11055509.850000005</v>
      </c>
      <c r="AG27" s="28">
        <f t="shared" si="3"/>
        <v>10733.50470873787</v>
      </c>
    </row>
    <row r="28" spans="1:214" ht="57.6" x14ac:dyDescent="0.3">
      <c r="A28" s="41" t="s">
        <v>697</v>
      </c>
      <c r="B28" s="41" t="s">
        <v>695</v>
      </c>
      <c r="C28" s="41" t="s">
        <v>681</v>
      </c>
      <c r="D28" s="41" t="s">
        <v>138</v>
      </c>
      <c r="E28" s="41" t="s">
        <v>156</v>
      </c>
      <c r="F28" s="41" t="s">
        <v>1297</v>
      </c>
      <c r="G28" s="41">
        <v>8000</v>
      </c>
      <c r="H28" s="41"/>
      <c r="I28" s="41"/>
      <c r="J28" s="41">
        <f t="shared" si="4"/>
        <v>0</v>
      </c>
      <c r="K28" s="41"/>
      <c r="L28" s="41"/>
      <c r="M28" s="41">
        <f t="shared" si="5"/>
        <v>0</v>
      </c>
      <c r="N28" s="41">
        <v>10</v>
      </c>
      <c r="O28" s="41">
        <v>1</v>
      </c>
      <c r="P28" s="41">
        <f t="shared" si="6"/>
        <v>96800.000000000015</v>
      </c>
      <c r="Q28" s="41">
        <v>0</v>
      </c>
      <c r="R28" s="41">
        <v>0</v>
      </c>
      <c r="S28" s="41">
        <v>0</v>
      </c>
      <c r="T28" s="41">
        <v>0</v>
      </c>
      <c r="U28" s="41">
        <v>0</v>
      </c>
      <c r="V28" s="41">
        <v>0</v>
      </c>
      <c r="W28" s="41">
        <v>0</v>
      </c>
      <c r="X28" s="41">
        <v>0</v>
      </c>
      <c r="Y28" s="41">
        <v>0</v>
      </c>
      <c r="Z28" s="41">
        <v>0</v>
      </c>
      <c r="AA28" s="41">
        <v>0</v>
      </c>
      <c r="AB28" s="41">
        <v>0</v>
      </c>
      <c r="AC28" s="41">
        <v>10</v>
      </c>
      <c r="AD28" s="41">
        <v>1</v>
      </c>
      <c r="AE28" s="41">
        <f t="shared" si="7"/>
        <v>155897.3680000001</v>
      </c>
      <c r="AF28" s="28">
        <f t="shared" si="2"/>
        <v>252697.36800000013</v>
      </c>
      <c r="AG28" s="28">
        <f t="shared" si="3"/>
        <v>245.33725048543701</v>
      </c>
    </row>
    <row r="29" spans="1:214" ht="57.6" x14ac:dyDescent="0.3">
      <c r="A29" s="41" t="s">
        <v>697</v>
      </c>
      <c r="B29" s="41" t="s">
        <v>695</v>
      </c>
      <c r="C29" s="41" t="s">
        <v>681</v>
      </c>
      <c r="D29" s="41" t="s">
        <v>138</v>
      </c>
      <c r="E29" s="41" t="s">
        <v>156</v>
      </c>
      <c r="F29" s="41" t="s">
        <v>717</v>
      </c>
      <c r="G29" s="41">
        <v>104850</v>
      </c>
      <c r="H29" s="41"/>
      <c r="I29" s="41"/>
      <c r="J29" s="41">
        <f t="shared" si="4"/>
        <v>0</v>
      </c>
      <c r="K29" s="41"/>
      <c r="L29" s="41"/>
      <c r="M29" s="41">
        <f t="shared" si="5"/>
        <v>0</v>
      </c>
      <c r="N29" s="41">
        <v>1</v>
      </c>
      <c r="O29" s="41">
        <v>1</v>
      </c>
      <c r="P29" s="41">
        <f t="shared" si="6"/>
        <v>126868.50000000001</v>
      </c>
      <c r="Q29" s="41">
        <v>0</v>
      </c>
      <c r="R29" s="41">
        <v>0</v>
      </c>
      <c r="S29" s="41">
        <v>0</v>
      </c>
      <c r="T29" s="41">
        <v>0</v>
      </c>
      <c r="U29" s="41">
        <v>0</v>
      </c>
      <c r="V29" s="41">
        <v>0</v>
      </c>
      <c r="W29" s="41">
        <v>0</v>
      </c>
      <c r="X29" s="41">
        <v>0</v>
      </c>
      <c r="Y29" s="41">
        <v>0</v>
      </c>
      <c r="Z29" s="41">
        <v>0</v>
      </c>
      <c r="AA29" s="41">
        <v>0</v>
      </c>
      <c r="AB29" s="41">
        <v>0</v>
      </c>
      <c r="AC29" s="41">
        <v>1</v>
      </c>
      <c r="AD29" s="41">
        <v>1</v>
      </c>
      <c r="AE29" s="41">
        <f t="shared" si="7"/>
        <v>204322.98793500013</v>
      </c>
      <c r="AF29" s="28">
        <f t="shared" si="2"/>
        <v>331191.48793500016</v>
      </c>
      <c r="AG29" s="28">
        <f t="shared" si="3"/>
        <v>321.54513391747588</v>
      </c>
    </row>
    <row r="30" spans="1:214" x14ac:dyDescent="0.3">
      <c r="A30" s="41"/>
      <c r="B30" s="41"/>
      <c r="C30" s="41"/>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28">
        <f t="shared" si="2"/>
        <v>0</v>
      </c>
      <c r="AG30" s="28">
        <f t="shared" si="3"/>
        <v>0</v>
      </c>
    </row>
    <row r="31" spans="1:214" s="73" customFormat="1" x14ac:dyDescent="0.3">
      <c r="A31" s="72" t="s">
        <v>1324</v>
      </c>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28">
        <f t="shared" si="2"/>
        <v>0</v>
      </c>
      <c r="AG31" s="28">
        <f t="shared" si="3"/>
        <v>0</v>
      </c>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row>
    <row r="32" spans="1:214" ht="57.6" x14ac:dyDescent="0.3">
      <c r="A32" s="41" t="s">
        <v>697</v>
      </c>
      <c r="B32" s="41" t="s">
        <v>695</v>
      </c>
      <c r="C32" s="41" t="s">
        <v>682</v>
      </c>
      <c r="D32" s="41" t="s">
        <v>139</v>
      </c>
      <c r="E32" s="41" t="s">
        <v>158</v>
      </c>
      <c r="F32" s="41" t="s">
        <v>718</v>
      </c>
      <c r="G32" s="41">
        <v>0</v>
      </c>
      <c r="H32" s="41"/>
      <c r="I32" s="41"/>
      <c r="J32" s="41">
        <f>$G32*H32*I32</f>
        <v>0</v>
      </c>
      <c r="K32" s="41">
        <v>0</v>
      </c>
      <c r="L32" s="41">
        <v>0</v>
      </c>
      <c r="M32" s="41">
        <f>($G32*1.1^1)*K32*L32</f>
        <v>0</v>
      </c>
      <c r="N32" s="41">
        <v>0</v>
      </c>
      <c r="O32" s="41">
        <v>0</v>
      </c>
      <c r="P32" s="41">
        <v>0</v>
      </c>
      <c r="Q32" s="41">
        <v>0</v>
      </c>
      <c r="R32" s="41">
        <v>0</v>
      </c>
      <c r="S32" s="41">
        <v>0</v>
      </c>
      <c r="T32" s="41">
        <v>0</v>
      </c>
      <c r="U32" s="41">
        <v>0</v>
      </c>
      <c r="V32" s="41">
        <v>0</v>
      </c>
      <c r="W32" s="41">
        <v>0</v>
      </c>
      <c r="X32" s="41">
        <v>0</v>
      </c>
      <c r="Y32" s="41">
        <v>0</v>
      </c>
      <c r="Z32" s="41">
        <v>0</v>
      </c>
      <c r="AA32" s="41">
        <v>0</v>
      </c>
      <c r="AB32" s="41">
        <f>($G32*1.1^6)*Z32*AA32</f>
        <v>0</v>
      </c>
      <c r="AC32" s="41">
        <v>0</v>
      </c>
      <c r="AD32" s="41">
        <v>0</v>
      </c>
      <c r="AE32" s="41">
        <v>0</v>
      </c>
      <c r="AF32" s="28">
        <f t="shared" si="2"/>
        <v>0</v>
      </c>
      <c r="AG32" s="28">
        <f t="shared" si="3"/>
        <v>0</v>
      </c>
    </row>
    <row r="33" spans="1:214" ht="57.6" x14ac:dyDescent="0.3">
      <c r="A33" s="41" t="s">
        <v>697</v>
      </c>
      <c r="B33" s="41" t="s">
        <v>695</v>
      </c>
      <c r="C33" s="41" t="s">
        <v>682</v>
      </c>
      <c r="D33" s="41" t="s">
        <v>139</v>
      </c>
      <c r="E33" s="41" t="s">
        <v>620</v>
      </c>
      <c r="F33" s="41" t="s">
        <v>709</v>
      </c>
      <c r="G33" s="41">
        <v>35000</v>
      </c>
      <c r="H33" s="41"/>
      <c r="I33" s="41"/>
      <c r="J33" s="41">
        <f t="shared" ref="J33:J45" si="8">$G33*H33*I33</f>
        <v>0</v>
      </c>
      <c r="K33" s="41">
        <v>50</v>
      </c>
      <c r="L33" s="41">
        <v>15</v>
      </c>
      <c r="M33" s="41">
        <f t="shared" ref="M33:M41" si="9">($G33*1.1^1)*K33*L33</f>
        <v>28875000</v>
      </c>
      <c r="N33" s="41">
        <v>0</v>
      </c>
      <c r="O33" s="41">
        <v>0</v>
      </c>
      <c r="P33" s="41">
        <v>0</v>
      </c>
      <c r="Q33" s="41">
        <v>0</v>
      </c>
      <c r="R33" s="41">
        <v>0</v>
      </c>
      <c r="S33" s="41">
        <v>0</v>
      </c>
      <c r="T33" s="41">
        <v>0</v>
      </c>
      <c r="U33" s="41">
        <v>0</v>
      </c>
      <c r="V33" s="41">
        <v>0</v>
      </c>
      <c r="W33" s="41">
        <v>0</v>
      </c>
      <c r="X33" s="41">
        <v>0</v>
      </c>
      <c r="Y33" s="41">
        <v>0</v>
      </c>
      <c r="Z33" s="41">
        <v>50</v>
      </c>
      <c r="AA33" s="41">
        <v>15</v>
      </c>
      <c r="AB33" s="41">
        <f t="shared" ref="AB33:AB41" si="10">($G33*1.1^6)*Z33*AA33</f>
        <v>46503476.250000022</v>
      </c>
      <c r="AC33" s="41">
        <v>0</v>
      </c>
      <c r="AD33" s="41">
        <v>0</v>
      </c>
      <c r="AE33" s="41">
        <v>0</v>
      </c>
      <c r="AF33" s="28">
        <f t="shared" si="2"/>
        <v>75378476.25000003</v>
      </c>
      <c r="AG33" s="28">
        <f t="shared" si="3"/>
        <v>73182.986650485473</v>
      </c>
    </row>
    <row r="34" spans="1:214" ht="57.6" x14ac:dyDescent="0.3">
      <c r="A34" s="41" t="s">
        <v>697</v>
      </c>
      <c r="B34" s="41" t="s">
        <v>695</v>
      </c>
      <c r="C34" s="41" t="s">
        <v>682</v>
      </c>
      <c r="D34" s="41" t="s">
        <v>139</v>
      </c>
      <c r="E34" s="41" t="s">
        <v>620</v>
      </c>
      <c r="F34" s="41" t="s">
        <v>716</v>
      </c>
      <c r="G34" s="41">
        <v>39000</v>
      </c>
      <c r="H34" s="41"/>
      <c r="I34" s="41"/>
      <c r="J34" s="41">
        <f t="shared" si="8"/>
        <v>0</v>
      </c>
      <c r="K34" s="41">
        <v>50</v>
      </c>
      <c r="L34" s="41">
        <v>15</v>
      </c>
      <c r="M34" s="41">
        <f t="shared" si="9"/>
        <v>32175000</v>
      </c>
      <c r="N34" s="41">
        <v>0</v>
      </c>
      <c r="O34" s="41">
        <v>0</v>
      </c>
      <c r="P34" s="41">
        <v>0</v>
      </c>
      <c r="Q34" s="41">
        <v>0</v>
      </c>
      <c r="R34" s="41">
        <v>0</v>
      </c>
      <c r="S34" s="41">
        <v>0</v>
      </c>
      <c r="T34" s="41">
        <v>0</v>
      </c>
      <c r="U34" s="41">
        <v>0</v>
      </c>
      <c r="V34" s="41">
        <v>0</v>
      </c>
      <c r="W34" s="41">
        <v>0</v>
      </c>
      <c r="X34" s="41">
        <v>0</v>
      </c>
      <c r="Y34" s="41">
        <v>0</v>
      </c>
      <c r="Z34" s="41">
        <v>50</v>
      </c>
      <c r="AA34" s="41">
        <v>15</v>
      </c>
      <c r="AB34" s="41">
        <f t="shared" si="10"/>
        <v>51818159.250000022</v>
      </c>
      <c r="AC34" s="41">
        <v>0</v>
      </c>
      <c r="AD34" s="41">
        <v>0</v>
      </c>
      <c r="AE34" s="41">
        <v>0</v>
      </c>
      <c r="AF34" s="28">
        <f t="shared" si="2"/>
        <v>83993159.25000003</v>
      </c>
      <c r="AG34" s="28">
        <f t="shared" si="3"/>
        <v>81546.756553398081</v>
      </c>
    </row>
    <row r="35" spans="1:214" ht="57.6" x14ac:dyDescent="0.3">
      <c r="A35" s="41" t="s">
        <v>697</v>
      </c>
      <c r="B35" s="41" t="s">
        <v>695</v>
      </c>
      <c r="C35" s="41" t="s">
        <v>682</v>
      </c>
      <c r="D35" s="41" t="s">
        <v>139</v>
      </c>
      <c r="E35" s="41" t="s">
        <v>620</v>
      </c>
      <c r="F35" s="41" t="s">
        <v>712</v>
      </c>
      <c r="G35" s="41">
        <f>1999.2/7</f>
        <v>285.60000000000002</v>
      </c>
      <c r="H35" s="41"/>
      <c r="I35" s="41"/>
      <c r="J35" s="41">
        <f t="shared" si="8"/>
        <v>0</v>
      </c>
      <c r="K35" s="41">
        <f>2*25*9</f>
        <v>450</v>
      </c>
      <c r="L35" s="41">
        <v>15</v>
      </c>
      <c r="M35" s="41">
        <f t="shared" si="9"/>
        <v>2120580</v>
      </c>
      <c r="N35" s="41">
        <v>0</v>
      </c>
      <c r="O35" s="41">
        <v>0</v>
      </c>
      <c r="P35" s="41">
        <v>0</v>
      </c>
      <c r="Q35" s="41">
        <v>0</v>
      </c>
      <c r="R35" s="41">
        <v>0</v>
      </c>
      <c r="S35" s="41">
        <v>0</v>
      </c>
      <c r="T35" s="41">
        <v>0</v>
      </c>
      <c r="U35" s="41">
        <v>0</v>
      </c>
      <c r="V35" s="41">
        <v>0</v>
      </c>
      <c r="W35" s="41">
        <v>0</v>
      </c>
      <c r="X35" s="41">
        <v>0</v>
      </c>
      <c r="Y35" s="41">
        <v>0</v>
      </c>
      <c r="Z35" s="41">
        <f>2*25*9</f>
        <v>450</v>
      </c>
      <c r="AA35" s="41">
        <v>15</v>
      </c>
      <c r="AB35" s="41">
        <f t="shared" si="10"/>
        <v>3415215.2958000018</v>
      </c>
      <c r="AC35" s="41">
        <v>0</v>
      </c>
      <c r="AD35" s="41">
        <v>0</v>
      </c>
      <c r="AE35" s="41">
        <v>0</v>
      </c>
      <c r="AF35" s="28">
        <f t="shared" si="2"/>
        <v>5535795.2958000023</v>
      </c>
      <c r="AG35" s="28">
        <f t="shared" si="3"/>
        <v>5374.558539611653</v>
      </c>
    </row>
    <row r="36" spans="1:214" ht="57.6" x14ac:dyDescent="0.3">
      <c r="A36" s="41" t="s">
        <v>697</v>
      </c>
      <c r="B36" s="41" t="s">
        <v>695</v>
      </c>
      <c r="C36" s="41" t="s">
        <v>682</v>
      </c>
      <c r="D36" s="41" t="s">
        <v>139</v>
      </c>
      <c r="E36" s="41" t="s">
        <v>620</v>
      </c>
      <c r="F36" s="41" t="s">
        <v>1320</v>
      </c>
      <c r="G36" s="41">
        <f>1999.2/7</f>
        <v>285.60000000000002</v>
      </c>
      <c r="H36" s="41"/>
      <c r="I36" s="41"/>
      <c r="J36" s="41">
        <f t="shared" si="8"/>
        <v>0</v>
      </c>
      <c r="K36" s="41">
        <f>3*135*9</f>
        <v>3645</v>
      </c>
      <c r="L36" s="41">
        <v>3</v>
      </c>
      <c r="M36" s="41">
        <f t="shared" si="9"/>
        <v>3435339.6000000006</v>
      </c>
      <c r="N36" s="41"/>
      <c r="O36" s="41"/>
      <c r="P36" s="41">
        <v>0</v>
      </c>
      <c r="Q36" s="41"/>
      <c r="R36" s="41"/>
      <c r="S36" s="41"/>
      <c r="T36" s="41"/>
      <c r="U36" s="41"/>
      <c r="V36" s="41"/>
      <c r="W36" s="41"/>
      <c r="X36" s="41"/>
      <c r="Y36" s="41"/>
      <c r="Z36" s="41">
        <f>3*135*9</f>
        <v>3645</v>
      </c>
      <c r="AA36" s="41">
        <v>3</v>
      </c>
      <c r="AB36" s="41">
        <f t="shared" si="10"/>
        <v>5532648.7791960035</v>
      </c>
      <c r="AC36" s="41"/>
      <c r="AD36" s="41"/>
      <c r="AE36" s="41"/>
      <c r="AF36" s="28">
        <f t="shared" si="2"/>
        <v>8967988.3791960031</v>
      </c>
      <c r="AG36" s="28">
        <f t="shared" si="3"/>
        <v>8706.7848341708759</v>
      </c>
    </row>
    <row r="37" spans="1:214" ht="57.6" x14ac:dyDescent="0.3">
      <c r="A37" s="41" t="s">
        <v>697</v>
      </c>
      <c r="B37" s="41" t="s">
        <v>695</v>
      </c>
      <c r="C37" s="41" t="s">
        <v>682</v>
      </c>
      <c r="D37" s="41" t="s">
        <v>139</v>
      </c>
      <c r="E37" s="41" t="s">
        <v>166</v>
      </c>
      <c r="F37" s="41" t="s">
        <v>709</v>
      </c>
      <c r="G37" s="41">
        <v>35000</v>
      </c>
      <c r="H37" s="41"/>
      <c r="I37" s="41"/>
      <c r="J37" s="41">
        <f t="shared" si="8"/>
        <v>0</v>
      </c>
      <c r="K37" s="41">
        <v>25</v>
      </c>
      <c r="L37" s="41">
        <v>1</v>
      </c>
      <c r="M37" s="41">
        <f t="shared" si="9"/>
        <v>962500</v>
      </c>
      <c r="N37" s="41">
        <v>0</v>
      </c>
      <c r="O37" s="41">
        <v>0</v>
      </c>
      <c r="P37" s="41">
        <v>0</v>
      </c>
      <c r="Q37" s="41">
        <v>0</v>
      </c>
      <c r="R37" s="41">
        <v>0</v>
      </c>
      <c r="S37" s="41">
        <v>0</v>
      </c>
      <c r="T37" s="41">
        <v>0</v>
      </c>
      <c r="U37" s="41">
        <v>0</v>
      </c>
      <c r="V37" s="41">
        <v>0</v>
      </c>
      <c r="W37" s="41">
        <v>0</v>
      </c>
      <c r="X37" s="41">
        <v>0</v>
      </c>
      <c r="Y37" s="41">
        <v>0</v>
      </c>
      <c r="Z37" s="41">
        <v>25</v>
      </c>
      <c r="AA37" s="41">
        <v>1</v>
      </c>
      <c r="AB37" s="41">
        <f t="shared" si="10"/>
        <v>1550115.8750000007</v>
      </c>
      <c r="AC37" s="41">
        <v>0</v>
      </c>
      <c r="AD37" s="41">
        <v>0</v>
      </c>
      <c r="AE37" s="41">
        <v>0</v>
      </c>
      <c r="AF37" s="28">
        <f t="shared" si="2"/>
        <v>2512615.8750000009</v>
      </c>
      <c r="AG37" s="28">
        <f t="shared" si="3"/>
        <v>2439.4328883495155</v>
      </c>
    </row>
    <row r="38" spans="1:214" ht="57.6" x14ac:dyDescent="0.3">
      <c r="A38" s="41" t="s">
        <v>697</v>
      </c>
      <c r="B38" s="41" t="s">
        <v>695</v>
      </c>
      <c r="C38" s="41" t="s">
        <v>682</v>
      </c>
      <c r="D38" s="41" t="s">
        <v>139</v>
      </c>
      <c r="E38" s="41" t="s">
        <v>296</v>
      </c>
      <c r="F38" s="41" t="s">
        <v>718</v>
      </c>
      <c r="G38" s="41">
        <v>0</v>
      </c>
      <c r="H38" s="41"/>
      <c r="I38" s="41"/>
      <c r="J38" s="41">
        <f t="shared" si="8"/>
        <v>0</v>
      </c>
      <c r="K38" s="41">
        <v>25</v>
      </c>
      <c r="L38" s="41">
        <v>1</v>
      </c>
      <c r="M38" s="41">
        <f t="shared" si="9"/>
        <v>0</v>
      </c>
      <c r="N38" s="41">
        <v>0</v>
      </c>
      <c r="O38" s="41">
        <v>0</v>
      </c>
      <c r="P38" s="41">
        <v>0</v>
      </c>
      <c r="Q38" s="41">
        <v>0</v>
      </c>
      <c r="R38" s="41">
        <v>0</v>
      </c>
      <c r="S38" s="41">
        <v>0</v>
      </c>
      <c r="T38" s="41">
        <v>0</v>
      </c>
      <c r="U38" s="41">
        <v>0</v>
      </c>
      <c r="V38" s="41">
        <v>0</v>
      </c>
      <c r="W38" s="41">
        <v>0</v>
      </c>
      <c r="X38" s="41">
        <v>0</v>
      </c>
      <c r="Y38" s="41">
        <v>0</v>
      </c>
      <c r="Z38" s="41">
        <v>25</v>
      </c>
      <c r="AA38" s="41">
        <v>1</v>
      </c>
      <c r="AB38" s="41">
        <f t="shared" si="10"/>
        <v>0</v>
      </c>
      <c r="AC38" s="41">
        <v>0</v>
      </c>
      <c r="AD38" s="41">
        <v>0</v>
      </c>
      <c r="AE38" s="41">
        <v>0</v>
      </c>
      <c r="AF38" s="28">
        <f t="shared" si="2"/>
        <v>0</v>
      </c>
      <c r="AG38" s="28">
        <f t="shared" si="3"/>
        <v>0</v>
      </c>
    </row>
    <row r="39" spans="1:214" ht="57.6" x14ac:dyDescent="0.3">
      <c r="A39" s="41" t="s">
        <v>697</v>
      </c>
      <c r="B39" s="41" t="s">
        <v>695</v>
      </c>
      <c r="C39" s="41" t="s">
        <v>682</v>
      </c>
      <c r="D39" s="41" t="s">
        <v>139</v>
      </c>
      <c r="E39" s="41" t="s">
        <v>156</v>
      </c>
      <c r="F39" s="41" t="s">
        <v>709</v>
      </c>
      <c r="G39" s="41">
        <v>35000</v>
      </c>
      <c r="H39" s="41"/>
      <c r="I39" s="41"/>
      <c r="J39" s="41">
        <f t="shared" si="8"/>
        <v>0</v>
      </c>
      <c r="K39" s="41">
        <v>100</v>
      </c>
      <c r="L39" s="41">
        <v>1</v>
      </c>
      <c r="M39" s="41">
        <f t="shared" si="9"/>
        <v>3850000</v>
      </c>
      <c r="N39" s="41">
        <v>0</v>
      </c>
      <c r="O39" s="41">
        <v>0</v>
      </c>
      <c r="P39" s="41">
        <v>0</v>
      </c>
      <c r="Q39" s="41">
        <v>0</v>
      </c>
      <c r="R39" s="41">
        <v>0</v>
      </c>
      <c r="S39" s="41">
        <v>0</v>
      </c>
      <c r="T39" s="41">
        <v>0</v>
      </c>
      <c r="U39" s="41">
        <v>0</v>
      </c>
      <c r="V39" s="41">
        <v>0</v>
      </c>
      <c r="W39" s="41">
        <v>0</v>
      </c>
      <c r="X39" s="41">
        <v>0</v>
      </c>
      <c r="Y39" s="41">
        <v>0</v>
      </c>
      <c r="Z39" s="41">
        <v>100</v>
      </c>
      <c r="AA39" s="41">
        <v>1</v>
      </c>
      <c r="AB39" s="41">
        <f t="shared" si="10"/>
        <v>6200463.5000000028</v>
      </c>
      <c r="AC39" s="41">
        <v>0</v>
      </c>
      <c r="AD39" s="41">
        <v>0</v>
      </c>
      <c r="AE39" s="41">
        <v>0</v>
      </c>
      <c r="AF39" s="28">
        <f t="shared" si="2"/>
        <v>10050463.500000004</v>
      </c>
      <c r="AG39" s="28">
        <f t="shared" si="3"/>
        <v>9757.7315533980618</v>
      </c>
    </row>
    <row r="40" spans="1:214" ht="57.6" x14ac:dyDescent="0.3">
      <c r="A40" s="41" t="s">
        <v>697</v>
      </c>
      <c r="B40" s="41" t="s">
        <v>695</v>
      </c>
      <c r="C40" s="41" t="s">
        <v>682</v>
      </c>
      <c r="D40" s="41" t="s">
        <v>139</v>
      </c>
      <c r="E40" s="41" t="s">
        <v>156</v>
      </c>
      <c r="F40" s="41" t="s">
        <v>711</v>
      </c>
      <c r="G40" s="41">
        <v>8000</v>
      </c>
      <c r="H40" s="41"/>
      <c r="I40" s="41"/>
      <c r="J40" s="41">
        <f t="shared" si="8"/>
        <v>0</v>
      </c>
      <c r="K40" s="41">
        <v>10</v>
      </c>
      <c r="L40" s="41">
        <v>1</v>
      </c>
      <c r="M40" s="41">
        <f t="shared" si="9"/>
        <v>88000</v>
      </c>
      <c r="N40" s="41">
        <v>0</v>
      </c>
      <c r="O40" s="41">
        <v>0</v>
      </c>
      <c r="P40" s="41">
        <v>0</v>
      </c>
      <c r="Q40" s="41">
        <v>0</v>
      </c>
      <c r="R40" s="41">
        <v>0</v>
      </c>
      <c r="S40" s="41">
        <v>0</v>
      </c>
      <c r="T40" s="41">
        <v>0</v>
      </c>
      <c r="U40" s="41">
        <v>0</v>
      </c>
      <c r="V40" s="41">
        <v>0</v>
      </c>
      <c r="W40" s="41">
        <v>0</v>
      </c>
      <c r="X40" s="41">
        <v>0</v>
      </c>
      <c r="Y40" s="41">
        <v>0</v>
      </c>
      <c r="Z40" s="41">
        <v>10</v>
      </c>
      <c r="AA40" s="41">
        <v>1</v>
      </c>
      <c r="AB40" s="41">
        <f t="shared" si="10"/>
        <v>141724.88000000006</v>
      </c>
      <c r="AC40" s="41">
        <v>0</v>
      </c>
      <c r="AD40" s="41">
        <v>0</v>
      </c>
      <c r="AE40" s="41">
        <v>0</v>
      </c>
      <c r="AF40" s="28">
        <f t="shared" si="2"/>
        <v>229724.88000000006</v>
      </c>
      <c r="AG40" s="28">
        <f t="shared" si="3"/>
        <v>223.03386407766996</v>
      </c>
    </row>
    <row r="41" spans="1:214" ht="57.6" x14ac:dyDescent="0.3">
      <c r="A41" s="41" t="s">
        <v>697</v>
      </c>
      <c r="B41" s="41" t="s">
        <v>695</v>
      </c>
      <c r="C41" s="41" t="s">
        <v>682</v>
      </c>
      <c r="D41" s="41" t="s">
        <v>139</v>
      </c>
      <c r="E41" s="41" t="s">
        <v>156</v>
      </c>
      <c r="F41" s="41" t="s">
        <v>717</v>
      </c>
      <c r="G41" s="41">
        <v>104850</v>
      </c>
      <c r="H41" s="41"/>
      <c r="I41" s="41"/>
      <c r="J41" s="41">
        <f t="shared" si="8"/>
        <v>0</v>
      </c>
      <c r="K41" s="41">
        <v>1</v>
      </c>
      <c r="L41" s="41">
        <v>1</v>
      </c>
      <c r="M41" s="41">
        <f t="shared" si="9"/>
        <v>115335.00000000001</v>
      </c>
      <c r="N41" s="41">
        <v>0</v>
      </c>
      <c r="O41" s="41">
        <v>0</v>
      </c>
      <c r="P41" s="41">
        <v>0</v>
      </c>
      <c r="Q41" s="41">
        <v>0</v>
      </c>
      <c r="R41" s="41">
        <v>0</v>
      </c>
      <c r="S41" s="41">
        <v>0</v>
      </c>
      <c r="T41" s="41">
        <v>0</v>
      </c>
      <c r="U41" s="41">
        <v>0</v>
      </c>
      <c r="V41" s="41">
        <v>0</v>
      </c>
      <c r="W41" s="41">
        <v>0</v>
      </c>
      <c r="X41" s="41">
        <v>0</v>
      </c>
      <c r="Y41" s="41">
        <v>0</v>
      </c>
      <c r="Z41" s="41">
        <v>1</v>
      </c>
      <c r="AA41" s="41">
        <v>1</v>
      </c>
      <c r="AB41" s="41">
        <f t="shared" si="10"/>
        <v>185748.17085000008</v>
      </c>
      <c r="AC41" s="41">
        <v>0</v>
      </c>
      <c r="AD41" s="41">
        <v>0</v>
      </c>
      <c r="AE41" s="41">
        <v>0</v>
      </c>
      <c r="AF41" s="28">
        <f t="shared" si="2"/>
        <v>301083.17085000011</v>
      </c>
      <c r="AG41" s="28">
        <f t="shared" si="3"/>
        <v>292.31375810679623</v>
      </c>
    </row>
    <row r="42" spans="1:214" ht="57.6" x14ac:dyDescent="0.3">
      <c r="A42" s="41" t="s">
        <v>697</v>
      </c>
      <c r="B42" s="41" t="s">
        <v>695</v>
      </c>
      <c r="C42" s="41" t="s">
        <v>682</v>
      </c>
      <c r="D42" s="41" t="s">
        <v>140</v>
      </c>
      <c r="E42" s="41" t="s">
        <v>621</v>
      </c>
      <c r="F42" s="41" t="s">
        <v>709</v>
      </c>
      <c r="G42" s="41">
        <v>35000</v>
      </c>
      <c r="H42" s="41"/>
      <c r="I42" s="41"/>
      <c r="J42" s="41">
        <f t="shared" si="8"/>
        <v>0</v>
      </c>
      <c r="K42" s="41">
        <v>0</v>
      </c>
      <c r="L42" s="41">
        <v>0</v>
      </c>
      <c r="M42" s="41">
        <v>0</v>
      </c>
      <c r="N42" s="41">
        <v>40</v>
      </c>
      <c r="O42" s="41">
        <v>2</v>
      </c>
      <c r="P42" s="41">
        <v>0</v>
      </c>
      <c r="Q42" s="41">
        <v>0</v>
      </c>
      <c r="R42" s="41">
        <v>0</v>
      </c>
      <c r="S42" s="41">
        <v>0</v>
      </c>
      <c r="T42" s="41">
        <v>0</v>
      </c>
      <c r="U42" s="41">
        <v>0</v>
      </c>
      <c r="V42" s="41">
        <v>0</v>
      </c>
      <c r="W42" s="41">
        <v>0</v>
      </c>
      <c r="X42" s="41">
        <v>0</v>
      </c>
      <c r="Y42" s="41">
        <v>0</v>
      </c>
      <c r="Z42" s="41">
        <v>0</v>
      </c>
      <c r="AA42" s="41">
        <v>0</v>
      </c>
      <c r="AB42" s="41">
        <v>0</v>
      </c>
      <c r="AC42" s="41">
        <v>0</v>
      </c>
      <c r="AD42" s="41">
        <v>0</v>
      </c>
      <c r="AE42" s="41">
        <v>0</v>
      </c>
      <c r="AF42" s="28">
        <f t="shared" si="2"/>
        <v>0</v>
      </c>
      <c r="AG42" s="28">
        <f t="shared" si="3"/>
        <v>0</v>
      </c>
    </row>
    <row r="43" spans="1:214" x14ac:dyDescent="0.3">
      <c r="A43" s="41"/>
      <c r="B43" s="41"/>
      <c r="C43" s="41"/>
      <c r="D43" s="41"/>
      <c r="E43" s="41"/>
      <c r="F43" s="41" t="s">
        <v>716</v>
      </c>
      <c r="G43" s="41">
        <v>39000</v>
      </c>
      <c r="H43" s="41"/>
      <c r="I43" s="41"/>
      <c r="J43" s="41">
        <f t="shared" si="8"/>
        <v>0</v>
      </c>
      <c r="K43" s="41">
        <v>0</v>
      </c>
      <c r="L43" s="41">
        <v>0</v>
      </c>
      <c r="M43" s="41">
        <v>0</v>
      </c>
      <c r="N43" s="41">
        <v>40</v>
      </c>
      <c r="O43" s="41">
        <v>2</v>
      </c>
      <c r="P43" s="41">
        <v>0</v>
      </c>
      <c r="Q43" s="41"/>
      <c r="R43" s="41"/>
      <c r="S43" s="41"/>
      <c r="T43" s="41"/>
      <c r="U43" s="41"/>
      <c r="V43" s="41"/>
      <c r="W43" s="41"/>
      <c r="X43" s="41"/>
      <c r="Y43" s="41"/>
      <c r="Z43" s="41"/>
      <c r="AA43" s="41"/>
      <c r="AB43" s="41"/>
      <c r="AC43" s="41"/>
      <c r="AD43" s="41"/>
      <c r="AE43" s="41"/>
      <c r="AF43" s="28">
        <f t="shared" si="2"/>
        <v>0</v>
      </c>
      <c r="AG43" s="28">
        <f t="shared" si="3"/>
        <v>0</v>
      </c>
    </row>
    <row r="44" spans="1:214" x14ac:dyDescent="0.3">
      <c r="A44" s="41"/>
      <c r="B44" s="41"/>
      <c r="C44" s="41"/>
      <c r="D44" s="41"/>
      <c r="E44" s="41"/>
      <c r="F44" s="41" t="s">
        <v>712</v>
      </c>
      <c r="G44" s="41">
        <f>1999.2/7</f>
        <v>285.60000000000002</v>
      </c>
      <c r="H44" s="41"/>
      <c r="I44" s="41"/>
      <c r="J44" s="41">
        <f t="shared" si="8"/>
        <v>0</v>
      </c>
      <c r="K44" s="41">
        <v>0</v>
      </c>
      <c r="L44" s="41">
        <v>0</v>
      </c>
      <c r="M44" s="41">
        <v>0</v>
      </c>
      <c r="N44" s="41">
        <f>2*25*9</f>
        <v>450</v>
      </c>
      <c r="O44" s="41">
        <v>2</v>
      </c>
      <c r="P44" s="41">
        <v>0</v>
      </c>
      <c r="Q44" s="41"/>
      <c r="R44" s="41"/>
      <c r="S44" s="41"/>
      <c r="T44" s="41"/>
      <c r="U44" s="41"/>
      <c r="V44" s="41"/>
      <c r="W44" s="41"/>
      <c r="X44" s="41"/>
      <c r="Y44" s="41"/>
      <c r="Z44" s="41"/>
      <c r="AA44" s="41"/>
      <c r="AB44" s="41"/>
      <c r="AC44" s="41"/>
      <c r="AD44" s="41"/>
      <c r="AE44" s="41"/>
      <c r="AF44" s="28">
        <f t="shared" si="2"/>
        <v>0</v>
      </c>
      <c r="AG44" s="28">
        <f t="shared" si="3"/>
        <v>0</v>
      </c>
    </row>
    <row r="45" spans="1:214" x14ac:dyDescent="0.3">
      <c r="A45" s="41"/>
      <c r="B45" s="41"/>
      <c r="C45" s="41"/>
      <c r="D45" s="41"/>
      <c r="E45" s="41"/>
      <c r="F45" s="41" t="s">
        <v>1320</v>
      </c>
      <c r="G45" s="41">
        <f>1999.2/7</f>
        <v>285.60000000000002</v>
      </c>
      <c r="H45" s="41"/>
      <c r="I45" s="41"/>
      <c r="J45" s="41">
        <f t="shared" si="8"/>
        <v>0</v>
      </c>
      <c r="K45" s="41">
        <v>0</v>
      </c>
      <c r="L45" s="41">
        <v>0</v>
      </c>
      <c r="M45" s="41">
        <v>0</v>
      </c>
      <c r="N45" s="41">
        <f>2*135*9</f>
        <v>2430</v>
      </c>
      <c r="O45" s="41">
        <v>2</v>
      </c>
      <c r="P45" s="41">
        <v>0</v>
      </c>
      <c r="Q45" s="41"/>
      <c r="R45" s="41"/>
      <c r="S45" s="41"/>
      <c r="T45" s="41"/>
      <c r="U45" s="41"/>
      <c r="V45" s="41"/>
      <c r="W45" s="41"/>
      <c r="X45" s="41"/>
      <c r="Y45" s="41"/>
      <c r="Z45" s="41"/>
      <c r="AA45" s="41"/>
      <c r="AB45" s="41"/>
      <c r="AC45" s="41"/>
      <c r="AD45" s="41"/>
      <c r="AE45" s="41"/>
      <c r="AF45" s="28">
        <f t="shared" si="2"/>
        <v>0</v>
      </c>
      <c r="AG45" s="28">
        <f t="shared" si="3"/>
        <v>0</v>
      </c>
    </row>
    <row r="46" spans="1:214"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28">
        <f t="shared" si="2"/>
        <v>0</v>
      </c>
      <c r="AG46" s="28">
        <f t="shared" si="3"/>
        <v>0</v>
      </c>
    </row>
    <row r="47" spans="1:214" s="73" customFormat="1" x14ac:dyDescent="0.3">
      <c r="A47" s="72" t="s">
        <v>1324</v>
      </c>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72"/>
      <c r="AC47" s="72"/>
      <c r="AD47" s="72"/>
      <c r="AE47" s="72"/>
      <c r="AF47" s="28">
        <f t="shared" si="2"/>
        <v>0</v>
      </c>
      <c r="AG47" s="28">
        <f t="shared" si="3"/>
        <v>0</v>
      </c>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row>
    <row r="48" spans="1:214" ht="57.6" x14ac:dyDescent="0.3">
      <c r="A48" s="41" t="s">
        <v>697</v>
      </c>
      <c r="B48" s="41" t="s">
        <v>695</v>
      </c>
      <c r="C48" s="41" t="s">
        <v>683</v>
      </c>
      <c r="D48" s="41" t="s">
        <v>141</v>
      </c>
      <c r="E48" s="41" t="s">
        <v>155</v>
      </c>
      <c r="F48" s="41" t="s">
        <v>718</v>
      </c>
      <c r="G48" s="41">
        <v>0</v>
      </c>
      <c r="H48" s="41"/>
      <c r="I48" s="41"/>
      <c r="J48" s="41">
        <f>$G48*H48*I48</f>
        <v>0</v>
      </c>
      <c r="K48" s="41">
        <v>0</v>
      </c>
      <c r="L48" s="41">
        <v>0</v>
      </c>
      <c r="M48" s="41">
        <v>0</v>
      </c>
      <c r="N48" s="41">
        <v>0</v>
      </c>
      <c r="O48" s="41">
        <v>0</v>
      </c>
      <c r="P48" s="41">
        <v>0</v>
      </c>
      <c r="Q48" s="41">
        <v>0</v>
      </c>
      <c r="R48" s="41">
        <v>0</v>
      </c>
      <c r="S48" s="41">
        <f>($G48*1.1^3)*Q48*R48</f>
        <v>0</v>
      </c>
      <c r="T48" s="41">
        <v>0</v>
      </c>
      <c r="U48" s="41">
        <v>0</v>
      </c>
      <c r="V48" s="41">
        <v>0</v>
      </c>
      <c r="W48" s="41">
        <v>0</v>
      </c>
      <c r="X48" s="41">
        <v>0</v>
      </c>
      <c r="Y48" s="41">
        <v>0</v>
      </c>
      <c r="Z48" s="41">
        <v>0</v>
      </c>
      <c r="AA48" s="41">
        <v>0</v>
      </c>
      <c r="AB48" s="41">
        <v>0</v>
      </c>
      <c r="AC48" s="41">
        <v>0</v>
      </c>
      <c r="AD48" s="41">
        <v>0</v>
      </c>
      <c r="AE48" s="41">
        <v>0</v>
      </c>
      <c r="AF48" s="28">
        <f t="shared" si="2"/>
        <v>0</v>
      </c>
      <c r="AG48" s="28">
        <f t="shared" si="3"/>
        <v>0</v>
      </c>
    </row>
    <row r="49" spans="1:33" ht="57.6" x14ac:dyDescent="0.3">
      <c r="A49" s="41" t="s">
        <v>697</v>
      </c>
      <c r="B49" s="41" t="s">
        <v>695</v>
      </c>
      <c r="C49" s="41" t="s">
        <v>683</v>
      </c>
      <c r="D49" s="41" t="s">
        <v>141</v>
      </c>
      <c r="E49" s="41" t="s">
        <v>622</v>
      </c>
      <c r="F49" s="41" t="s">
        <v>709</v>
      </c>
      <c r="G49" s="41">
        <v>35000</v>
      </c>
      <c r="H49" s="41"/>
      <c r="I49" s="41"/>
      <c r="J49" s="41">
        <v>0</v>
      </c>
      <c r="K49" s="41">
        <v>0</v>
      </c>
      <c r="L49" s="41">
        <v>0</v>
      </c>
      <c r="M49" s="41">
        <v>0</v>
      </c>
      <c r="N49" s="41">
        <v>0</v>
      </c>
      <c r="O49" s="41">
        <v>0</v>
      </c>
      <c r="P49" s="41">
        <v>0</v>
      </c>
      <c r="Q49" s="41">
        <v>30</v>
      </c>
      <c r="R49" s="41">
        <v>24</v>
      </c>
      <c r="S49" s="41">
        <f t="shared" ref="S49:S67" si="11">($G49*1.1^3)*Q49*R49</f>
        <v>33541200.000000011</v>
      </c>
      <c r="T49" s="41">
        <v>0</v>
      </c>
      <c r="U49" s="41">
        <v>0</v>
      </c>
      <c r="V49" s="41">
        <v>0</v>
      </c>
      <c r="W49" s="41">
        <v>0</v>
      </c>
      <c r="X49" s="41">
        <v>0</v>
      </c>
      <c r="Y49" s="41">
        <v>0</v>
      </c>
      <c r="Z49" s="41">
        <v>0</v>
      </c>
      <c r="AA49" s="41">
        <v>0</v>
      </c>
      <c r="AB49" s="41">
        <v>0</v>
      </c>
      <c r="AC49" s="41">
        <v>0</v>
      </c>
      <c r="AD49" s="41">
        <v>0</v>
      </c>
      <c r="AE49" s="41">
        <v>0</v>
      </c>
      <c r="AF49" s="28">
        <f t="shared" si="2"/>
        <v>33541200.000000011</v>
      </c>
      <c r="AG49" s="28">
        <f t="shared" si="3"/>
        <v>32564.271844660205</v>
      </c>
    </row>
    <row r="50" spans="1:33" ht="57.6" x14ac:dyDescent="0.3">
      <c r="A50" s="41" t="s">
        <v>697</v>
      </c>
      <c r="B50" s="41" t="s">
        <v>695</v>
      </c>
      <c r="C50" s="41" t="s">
        <v>683</v>
      </c>
      <c r="D50" s="41" t="s">
        <v>141</v>
      </c>
      <c r="E50" s="41" t="s">
        <v>622</v>
      </c>
      <c r="F50" s="41" t="s">
        <v>716</v>
      </c>
      <c r="G50" s="41">
        <v>39000</v>
      </c>
      <c r="H50" s="41"/>
      <c r="I50" s="41"/>
      <c r="J50" s="41">
        <v>0</v>
      </c>
      <c r="K50" s="41">
        <v>0</v>
      </c>
      <c r="L50" s="41">
        <v>0</v>
      </c>
      <c r="M50" s="41">
        <v>0</v>
      </c>
      <c r="N50" s="41">
        <v>0</v>
      </c>
      <c r="O50" s="41">
        <v>0</v>
      </c>
      <c r="P50" s="41">
        <v>0</v>
      </c>
      <c r="Q50" s="41">
        <v>30</v>
      </c>
      <c r="R50" s="41">
        <v>24</v>
      </c>
      <c r="S50" s="41">
        <f t="shared" si="11"/>
        <v>37374480.000000015</v>
      </c>
      <c r="T50" s="41">
        <v>0</v>
      </c>
      <c r="U50" s="41">
        <v>0</v>
      </c>
      <c r="V50" s="41">
        <v>0</v>
      </c>
      <c r="W50" s="41">
        <v>0</v>
      </c>
      <c r="X50" s="41">
        <v>0</v>
      </c>
      <c r="Y50" s="41">
        <v>0</v>
      </c>
      <c r="Z50" s="41">
        <v>0</v>
      </c>
      <c r="AA50" s="41">
        <v>0</v>
      </c>
      <c r="AB50" s="41">
        <v>0</v>
      </c>
      <c r="AC50" s="41">
        <v>0</v>
      </c>
      <c r="AD50" s="41">
        <v>0</v>
      </c>
      <c r="AE50" s="41">
        <v>0</v>
      </c>
      <c r="AF50" s="28">
        <f t="shared" si="2"/>
        <v>37374480.000000015</v>
      </c>
      <c r="AG50" s="28">
        <f t="shared" si="3"/>
        <v>36285.902912621372</v>
      </c>
    </row>
    <row r="51" spans="1:33" ht="57.6" x14ac:dyDescent="0.3">
      <c r="A51" s="41" t="s">
        <v>697</v>
      </c>
      <c r="B51" s="41" t="s">
        <v>695</v>
      </c>
      <c r="C51" s="41" t="s">
        <v>683</v>
      </c>
      <c r="D51" s="41" t="s">
        <v>141</v>
      </c>
      <c r="E51" s="41" t="s">
        <v>622</v>
      </c>
      <c r="F51" s="41" t="s">
        <v>712</v>
      </c>
      <c r="G51" s="41">
        <f>1999.2/7</f>
        <v>285.60000000000002</v>
      </c>
      <c r="H51" s="41"/>
      <c r="I51" s="41"/>
      <c r="J51" s="41">
        <v>0</v>
      </c>
      <c r="K51" s="41">
        <v>0</v>
      </c>
      <c r="L51" s="41">
        <v>0</v>
      </c>
      <c r="M51" s="41">
        <v>0</v>
      </c>
      <c r="N51" s="41">
        <v>0</v>
      </c>
      <c r="O51" s="41">
        <v>0</v>
      </c>
      <c r="P51" s="41">
        <v>0</v>
      </c>
      <c r="Q51" s="41">
        <f>2*25*9</f>
        <v>450</v>
      </c>
      <c r="R51" s="41">
        <v>24</v>
      </c>
      <c r="S51" s="41">
        <f t="shared" si="11"/>
        <v>4105442.8800000018</v>
      </c>
      <c r="T51" s="41">
        <v>0</v>
      </c>
      <c r="U51" s="41">
        <v>0</v>
      </c>
      <c r="V51" s="41">
        <v>0</v>
      </c>
      <c r="W51" s="41">
        <v>0</v>
      </c>
      <c r="X51" s="41">
        <v>0</v>
      </c>
      <c r="Y51" s="41">
        <v>0</v>
      </c>
      <c r="Z51" s="41">
        <v>0</v>
      </c>
      <c r="AA51" s="41">
        <v>0</v>
      </c>
      <c r="AB51" s="41">
        <v>0</v>
      </c>
      <c r="AC51" s="41">
        <v>0</v>
      </c>
      <c r="AD51" s="41">
        <v>0</v>
      </c>
      <c r="AE51" s="41">
        <v>0</v>
      </c>
      <c r="AF51" s="28">
        <f t="shared" si="2"/>
        <v>4105442.8800000018</v>
      </c>
      <c r="AG51" s="28">
        <f t="shared" si="3"/>
        <v>3985.8668737864095</v>
      </c>
    </row>
    <row r="52" spans="1:33" ht="57.6" x14ac:dyDescent="0.3">
      <c r="A52" s="41" t="s">
        <v>697</v>
      </c>
      <c r="B52" s="41" t="s">
        <v>695</v>
      </c>
      <c r="C52" s="41" t="s">
        <v>683</v>
      </c>
      <c r="D52" s="41" t="s">
        <v>141</v>
      </c>
      <c r="E52" s="41" t="s">
        <v>622</v>
      </c>
      <c r="F52" s="41" t="s">
        <v>1320</v>
      </c>
      <c r="G52" s="41">
        <f>1999.2/7</f>
        <v>285.60000000000002</v>
      </c>
      <c r="H52" s="41"/>
      <c r="I52" s="41"/>
      <c r="J52" s="41"/>
      <c r="K52" s="41"/>
      <c r="L52" s="41"/>
      <c r="M52" s="41"/>
      <c r="N52" s="41"/>
      <c r="O52" s="41"/>
      <c r="P52" s="41"/>
      <c r="Q52" s="41">
        <f>2*135*9</f>
        <v>2430</v>
      </c>
      <c r="R52" s="41">
        <v>24</v>
      </c>
      <c r="S52" s="41">
        <f t="shared" si="11"/>
        <v>22169391.552000009</v>
      </c>
      <c r="T52" s="41"/>
      <c r="U52" s="41"/>
      <c r="V52" s="41"/>
      <c r="W52" s="41"/>
      <c r="X52" s="41"/>
      <c r="Y52" s="41"/>
      <c r="Z52" s="41"/>
      <c r="AA52" s="41"/>
      <c r="AB52" s="41"/>
      <c r="AC52" s="41"/>
      <c r="AD52" s="41"/>
      <c r="AE52" s="41"/>
      <c r="AF52" s="28">
        <f t="shared" si="2"/>
        <v>22169391.552000009</v>
      </c>
      <c r="AG52" s="28">
        <f t="shared" si="3"/>
        <v>21523.68111844661</v>
      </c>
    </row>
    <row r="53" spans="1:33" ht="57.6" x14ac:dyDescent="0.3">
      <c r="A53" s="41" t="s">
        <v>697</v>
      </c>
      <c r="B53" s="41" t="s">
        <v>695</v>
      </c>
      <c r="C53" s="41" t="s">
        <v>683</v>
      </c>
      <c r="D53" s="41" t="s">
        <v>141</v>
      </c>
      <c r="E53" s="41" t="s">
        <v>166</v>
      </c>
      <c r="F53" s="41" t="s">
        <v>709</v>
      </c>
      <c r="G53" s="41">
        <v>35000</v>
      </c>
      <c r="H53" s="41"/>
      <c r="I53" s="41"/>
      <c r="J53" s="41">
        <v>0</v>
      </c>
      <c r="K53" s="41">
        <v>0</v>
      </c>
      <c r="L53" s="41">
        <v>0</v>
      </c>
      <c r="M53" s="41">
        <v>0</v>
      </c>
      <c r="N53" s="41">
        <v>0</v>
      </c>
      <c r="O53" s="41">
        <v>0</v>
      </c>
      <c r="P53" s="41">
        <v>0</v>
      </c>
      <c r="Q53" s="41">
        <v>25</v>
      </c>
      <c r="R53" s="41">
        <v>1</v>
      </c>
      <c r="S53" s="41">
        <f t="shared" si="11"/>
        <v>1164625.0000000005</v>
      </c>
      <c r="T53" s="41">
        <v>0</v>
      </c>
      <c r="U53" s="41">
        <v>0</v>
      </c>
      <c r="V53" s="41">
        <v>0</v>
      </c>
      <c r="W53" s="41">
        <v>0</v>
      </c>
      <c r="X53" s="41">
        <v>0</v>
      </c>
      <c r="Y53" s="41">
        <v>0</v>
      </c>
      <c r="Z53" s="41">
        <v>0</v>
      </c>
      <c r="AA53" s="41">
        <v>0</v>
      </c>
      <c r="AB53" s="41">
        <v>0</v>
      </c>
      <c r="AC53" s="41">
        <v>0</v>
      </c>
      <c r="AD53" s="41">
        <v>0</v>
      </c>
      <c r="AE53" s="41">
        <v>0</v>
      </c>
      <c r="AF53" s="28">
        <f t="shared" si="2"/>
        <v>1164625.0000000005</v>
      </c>
      <c r="AG53" s="28">
        <f t="shared" si="3"/>
        <v>1130.7038834951461</v>
      </c>
    </row>
    <row r="54" spans="1:33" ht="57.6" x14ac:dyDescent="0.3">
      <c r="A54" s="41" t="s">
        <v>697</v>
      </c>
      <c r="B54" s="41" t="s">
        <v>695</v>
      </c>
      <c r="C54" s="41" t="s">
        <v>683</v>
      </c>
      <c r="D54" s="41" t="s">
        <v>141</v>
      </c>
      <c r="E54" s="41" t="s">
        <v>623</v>
      </c>
      <c r="F54" s="41" t="s">
        <v>718</v>
      </c>
      <c r="G54" s="41">
        <v>0</v>
      </c>
      <c r="H54" s="41"/>
      <c r="I54" s="41"/>
      <c r="J54" s="41">
        <v>0</v>
      </c>
      <c r="K54" s="41">
        <v>0</v>
      </c>
      <c r="L54" s="41">
        <v>0</v>
      </c>
      <c r="M54" s="41">
        <v>0</v>
      </c>
      <c r="N54" s="41">
        <v>0</v>
      </c>
      <c r="O54" s="41">
        <v>0</v>
      </c>
      <c r="P54" s="41">
        <v>0</v>
      </c>
      <c r="Q54" s="41">
        <v>25</v>
      </c>
      <c r="R54" s="41">
        <v>1</v>
      </c>
      <c r="S54" s="41">
        <f t="shared" si="11"/>
        <v>0</v>
      </c>
      <c r="T54" s="41">
        <v>0</v>
      </c>
      <c r="U54" s="41">
        <v>0</v>
      </c>
      <c r="V54" s="41">
        <v>0</v>
      </c>
      <c r="W54" s="41">
        <v>0</v>
      </c>
      <c r="X54" s="41">
        <v>0</v>
      </c>
      <c r="Y54" s="41">
        <v>0</v>
      </c>
      <c r="Z54" s="41">
        <v>0</v>
      </c>
      <c r="AA54" s="41">
        <v>0</v>
      </c>
      <c r="AB54" s="41">
        <v>0</v>
      </c>
      <c r="AC54" s="41">
        <v>0</v>
      </c>
      <c r="AD54" s="41">
        <v>0</v>
      </c>
      <c r="AE54" s="41">
        <v>0</v>
      </c>
      <c r="AF54" s="28">
        <f t="shared" si="2"/>
        <v>0</v>
      </c>
      <c r="AG54" s="28">
        <f t="shared" si="3"/>
        <v>0</v>
      </c>
    </row>
    <row r="55" spans="1:33" ht="57.6" x14ac:dyDescent="0.3">
      <c r="A55" s="41" t="s">
        <v>697</v>
      </c>
      <c r="B55" s="41" t="s">
        <v>695</v>
      </c>
      <c r="C55" s="41" t="s">
        <v>683</v>
      </c>
      <c r="D55" s="41" t="s">
        <v>141</v>
      </c>
      <c r="E55" s="41" t="s">
        <v>624</v>
      </c>
      <c r="F55" s="41" t="s">
        <v>709</v>
      </c>
      <c r="G55" s="41">
        <v>35000</v>
      </c>
      <c r="H55" s="41"/>
      <c r="I55" s="41"/>
      <c r="J55" s="41">
        <v>0</v>
      </c>
      <c r="K55" s="41">
        <v>0</v>
      </c>
      <c r="L55" s="41">
        <v>0</v>
      </c>
      <c r="M55" s="41">
        <v>0</v>
      </c>
      <c r="N55" s="41">
        <v>0</v>
      </c>
      <c r="O55" s="41">
        <v>0</v>
      </c>
      <c r="P55" s="41">
        <v>0</v>
      </c>
      <c r="Q55" s="41">
        <v>60</v>
      </c>
      <c r="R55" s="41">
        <v>1</v>
      </c>
      <c r="S55" s="41">
        <f t="shared" si="11"/>
        <v>2795100.0000000009</v>
      </c>
      <c r="T55" s="41">
        <v>0</v>
      </c>
      <c r="U55" s="41">
        <v>0</v>
      </c>
      <c r="V55" s="41">
        <v>0</v>
      </c>
      <c r="W55" s="41">
        <v>0</v>
      </c>
      <c r="X55" s="41">
        <v>0</v>
      </c>
      <c r="Y55" s="41">
        <v>0</v>
      </c>
      <c r="Z55" s="41">
        <v>0</v>
      </c>
      <c r="AA55" s="41">
        <v>0</v>
      </c>
      <c r="AB55" s="41">
        <v>0</v>
      </c>
      <c r="AC55" s="41">
        <v>0</v>
      </c>
      <c r="AD55" s="41">
        <v>0</v>
      </c>
      <c r="AE55" s="41">
        <v>0</v>
      </c>
      <c r="AF55" s="28">
        <f t="shared" si="2"/>
        <v>2795100.0000000009</v>
      </c>
      <c r="AG55" s="28">
        <f t="shared" si="3"/>
        <v>2713.6893203883506</v>
      </c>
    </row>
    <row r="56" spans="1:33" ht="57.6" x14ac:dyDescent="0.3">
      <c r="A56" s="41" t="s">
        <v>697</v>
      </c>
      <c r="B56" s="41" t="s">
        <v>695</v>
      </c>
      <c r="C56" s="41" t="s">
        <v>683</v>
      </c>
      <c r="D56" s="41" t="s">
        <v>141</v>
      </c>
      <c r="E56" s="41" t="s">
        <v>624</v>
      </c>
      <c r="F56" s="41" t="s">
        <v>716</v>
      </c>
      <c r="G56" s="41">
        <v>39000</v>
      </c>
      <c r="H56" s="41"/>
      <c r="I56" s="41"/>
      <c r="J56" s="41">
        <v>0</v>
      </c>
      <c r="K56" s="41">
        <v>0</v>
      </c>
      <c r="L56" s="41">
        <v>0</v>
      </c>
      <c r="M56" s="41">
        <v>0</v>
      </c>
      <c r="N56" s="41">
        <v>0</v>
      </c>
      <c r="O56" s="41">
        <v>0</v>
      </c>
      <c r="P56" s="41">
        <v>0</v>
      </c>
      <c r="Q56" s="41">
        <v>60</v>
      </c>
      <c r="R56" s="41">
        <v>1</v>
      </c>
      <c r="S56" s="41">
        <f t="shared" si="11"/>
        <v>3114540.0000000009</v>
      </c>
      <c r="T56" s="41">
        <v>0</v>
      </c>
      <c r="U56" s="41">
        <v>0</v>
      </c>
      <c r="V56" s="41">
        <v>0</v>
      </c>
      <c r="W56" s="41">
        <v>0</v>
      </c>
      <c r="X56" s="41">
        <v>0</v>
      </c>
      <c r="Y56" s="41">
        <v>0</v>
      </c>
      <c r="Z56" s="41">
        <v>0</v>
      </c>
      <c r="AA56" s="41">
        <v>0</v>
      </c>
      <c r="AB56" s="41">
        <v>0</v>
      </c>
      <c r="AC56" s="41">
        <v>0</v>
      </c>
      <c r="AD56" s="41">
        <v>0</v>
      </c>
      <c r="AE56" s="41">
        <v>0</v>
      </c>
      <c r="AF56" s="28">
        <f t="shared" si="2"/>
        <v>3114540.0000000009</v>
      </c>
      <c r="AG56" s="28">
        <f t="shared" si="3"/>
        <v>3023.8252427184475</v>
      </c>
    </row>
    <row r="57" spans="1:33" ht="57.6" x14ac:dyDescent="0.3">
      <c r="A57" s="41" t="s">
        <v>697</v>
      </c>
      <c r="B57" s="41" t="s">
        <v>695</v>
      </c>
      <c r="C57" s="41" t="s">
        <v>683</v>
      </c>
      <c r="D57" s="41" t="s">
        <v>141</v>
      </c>
      <c r="E57" s="41" t="s">
        <v>624</v>
      </c>
      <c r="F57" s="41" t="s">
        <v>712</v>
      </c>
      <c r="G57" s="41">
        <f>1999.2/7</f>
        <v>285.60000000000002</v>
      </c>
      <c r="H57" s="41"/>
      <c r="I57" s="41"/>
      <c r="J57" s="41">
        <v>0</v>
      </c>
      <c r="K57" s="41">
        <v>0</v>
      </c>
      <c r="L57" s="41">
        <v>0</v>
      </c>
      <c r="M57" s="41">
        <v>0</v>
      </c>
      <c r="N57" s="41">
        <v>0</v>
      </c>
      <c r="O57" s="41">
        <v>0</v>
      </c>
      <c r="P57" s="41">
        <v>0</v>
      </c>
      <c r="Q57" s="41">
        <f>2*9*25</f>
        <v>450</v>
      </c>
      <c r="R57" s="41">
        <v>1</v>
      </c>
      <c r="S57" s="41">
        <f t="shared" si="11"/>
        <v>171060.12000000008</v>
      </c>
      <c r="T57" s="41">
        <v>0</v>
      </c>
      <c r="U57" s="41">
        <v>0</v>
      </c>
      <c r="V57" s="41">
        <v>0</v>
      </c>
      <c r="W57" s="41">
        <v>0</v>
      </c>
      <c r="X57" s="41">
        <v>0</v>
      </c>
      <c r="Y57" s="41">
        <v>0</v>
      </c>
      <c r="Z57" s="41">
        <v>0</v>
      </c>
      <c r="AA57" s="41">
        <v>0</v>
      </c>
      <c r="AB57" s="41">
        <v>0</v>
      </c>
      <c r="AC57" s="41">
        <v>0</v>
      </c>
      <c r="AD57" s="41">
        <v>0</v>
      </c>
      <c r="AE57" s="41">
        <v>0</v>
      </c>
      <c r="AF57" s="28">
        <f t="shared" si="2"/>
        <v>171060.12000000008</v>
      </c>
      <c r="AG57" s="28">
        <f t="shared" si="3"/>
        <v>166.07778640776706</v>
      </c>
    </row>
    <row r="58" spans="1:33" ht="57.6" x14ac:dyDescent="0.3">
      <c r="A58" s="41" t="s">
        <v>697</v>
      </c>
      <c r="B58" s="41" t="s">
        <v>695</v>
      </c>
      <c r="C58" s="41" t="s">
        <v>683</v>
      </c>
      <c r="D58" s="41" t="s">
        <v>141</v>
      </c>
      <c r="E58" s="41" t="s">
        <v>624</v>
      </c>
      <c r="F58" s="41" t="s">
        <v>1320</v>
      </c>
      <c r="G58" s="41">
        <f>1999.2/7</f>
        <v>285.60000000000002</v>
      </c>
      <c r="H58" s="41"/>
      <c r="I58" s="41"/>
      <c r="J58" s="41">
        <v>0</v>
      </c>
      <c r="K58" s="41"/>
      <c r="L58" s="41"/>
      <c r="M58" s="41"/>
      <c r="N58" s="41"/>
      <c r="O58" s="41"/>
      <c r="P58" s="41"/>
      <c r="Q58" s="41">
        <f>2*135*9</f>
        <v>2430</v>
      </c>
      <c r="R58" s="41">
        <v>1</v>
      </c>
      <c r="S58" s="41">
        <f t="shared" si="11"/>
        <v>923724.64800000039</v>
      </c>
      <c r="T58" s="41"/>
      <c r="U58" s="41"/>
      <c r="V58" s="41"/>
      <c r="W58" s="41"/>
      <c r="X58" s="41"/>
      <c r="Y58" s="41"/>
      <c r="Z58" s="41"/>
      <c r="AA58" s="41"/>
      <c r="AB58" s="41"/>
      <c r="AC58" s="41"/>
      <c r="AD58" s="41"/>
      <c r="AE58" s="41"/>
      <c r="AF58" s="28">
        <f t="shared" si="2"/>
        <v>923724.64800000039</v>
      </c>
      <c r="AG58" s="28">
        <f t="shared" si="3"/>
        <v>896.82004660194218</v>
      </c>
    </row>
    <row r="59" spans="1:33" ht="57.6" x14ac:dyDescent="0.3">
      <c r="A59" s="41" t="s">
        <v>697</v>
      </c>
      <c r="B59" s="41" t="s">
        <v>695</v>
      </c>
      <c r="C59" s="41" t="s">
        <v>683</v>
      </c>
      <c r="D59" s="41" t="s">
        <v>141</v>
      </c>
      <c r="E59" s="41" t="s">
        <v>625</v>
      </c>
      <c r="F59" s="41" t="s">
        <v>709</v>
      </c>
      <c r="G59" s="41">
        <v>35000</v>
      </c>
      <c r="H59" s="41"/>
      <c r="I59" s="41"/>
      <c r="J59" s="41">
        <v>0</v>
      </c>
      <c r="K59" s="41">
        <v>0</v>
      </c>
      <c r="L59" s="41">
        <v>0</v>
      </c>
      <c r="M59" s="41">
        <v>0</v>
      </c>
      <c r="N59" s="41">
        <v>0</v>
      </c>
      <c r="O59" s="41">
        <v>0</v>
      </c>
      <c r="P59" s="41">
        <v>0</v>
      </c>
      <c r="Q59" s="41">
        <v>62</v>
      </c>
      <c r="R59" s="41">
        <v>1</v>
      </c>
      <c r="S59" s="41">
        <f t="shared" si="11"/>
        <v>2888270.0000000009</v>
      </c>
      <c r="T59" s="41">
        <v>0</v>
      </c>
      <c r="U59" s="41">
        <v>0</v>
      </c>
      <c r="V59" s="41">
        <v>0</v>
      </c>
      <c r="W59" s="41">
        <v>0</v>
      </c>
      <c r="X59" s="41">
        <v>0</v>
      </c>
      <c r="Y59" s="41">
        <v>0</v>
      </c>
      <c r="Z59" s="41">
        <v>0</v>
      </c>
      <c r="AA59" s="41">
        <v>0</v>
      </c>
      <c r="AB59" s="41">
        <v>0</v>
      </c>
      <c r="AC59" s="41">
        <v>0</v>
      </c>
      <c r="AD59" s="41">
        <v>0</v>
      </c>
      <c r="AE59" s="41">
        <v>0</v>
      </c>
      <c r="AF59" s="28">
        <f t="shared" si="2"/>
        <v>2888270.0000000009</v>
      </c>
      <c r="AG59" s="28">
        <f t="shared" si="3"/>
        <v>2804.1456310679619</v>
      </c>
    </row>
    <row r="60" spans="1:33" ht="57.6" x14ac:dyDescent="0.3">
      <c r="A60" s="41" t="s">
        <v>697</v>
      </c>
      <c r="B60" s="41" t="s">
        <v>695</v>
      </c>
      <c r="C60" s="41" t="s">
        <v>683</v>
      </c>
      <c r="D60" s="41" t="s">
        <v>141</v>
      </c>
      <c r="E60" s="41" t="s">
        <v>626</v>
      </c>
      <c r="F60" s="41" t="s">
        <v>721</v>
      </c>
      <c r="G60" s="41">
        <v>80000</v>
      </c>
      <c r="H60" s="41"/>
      <c r="I60" s="41"/>
      <c r="J60" s="41">
        <v>0</v>
      </c>
      <c r="K60" s="41">
        <v>0</v>
      </c>
      <c r="L60" s="41">
        <v>0</v>
      </c>
      <c r="M60" s="41">
        <v>0</v>
      </c>
      <c r="N60" s="41">
        <v>0</v>
      </c>
      <c r="O60" s="41">
        <v>0</v>
      </c>
      <c r="P60" s="41">
        <v>0</v>
      </c>
      <c r="Q60" s="41">
        <v>30</v>
      </c>
      <c r="R60" s="41">
        <v>1</v>
      </c>
      <c r="S60" s="41">
        <f t="shared" si="11"/>
        <v>3194400.0000000009</v>
      </c>
      <c r="T60" s="41">
        <v>0</v>
      </c>
      <c r="U60" s="41">
        <v>0</v>
      </c>
      <c r="V60" s="41">
        <v>0</v>
      </c>
      <c r="W60" s="41">
        <v>0</v>
      </c>
      <c r="X60" s="41">
        <v>0</v>
      </c>
      <c r="Y60" s="41">
        <v>0</v>
      </c>
      <c r="Z60" s="41">
        <v>0</v>
      </c>
      <c r="AA60" s="41">
        <v>0</v>
      </c>
      <c r="AB60" s="41">
        <v>0</v>
      </c>
      <c r="AC60" s="41">
        <v>0</v>
      </c>
      <c r="AD60" s="41">
        <v>0</v>
      </c>
      <c r="AE60" s="41">
        <v>0</v>
      </c>
      <c r="AF60" s="28">
        <f t="shared" si="2"/>
        <v>3194400.0000000009</v>
      </c>
      <c r="AG60" s="28">
        <f t="shared" si="3"/>
        <v>3101.3592233009717</v>
      </c>
    </row>
    <row r="61" spans="1:33" ht="57.6" x14ac:dyDescent="0.3">
      <c r="A61" s="41" t="s">
        <v>697</v>
      </c>
      <c r="B61" s="41" t="s">
        <v>695</v>
      </c>
      <c r="C61" s="41" t="s">
        <v>683</v>
      </c>
      <c r="D61" s="41" t="s">
        <v>141</v>
      </c>
      <c r="E61" s="41" t="s">
        <v>626</v>
      </c>
      <c r="F61" s="41" t="s">
        <v>716</v>
      </c>
      <c r="G61" s="41">
        <v>45000</v>
      </c>
      <c r="H61" s="41"/>
      <c r="I61" s="41"/>
      <c r="J61" s="41">
        <v>0</v>
      </c>
      <c r="K61" s="41">
        <v>0</v>
      </c>
      <c r="L61" s="41">
        <v>0</v>
      </c>
      <c r="M61" s="41">
        <v>0</v>
      </c>
      <c r="N61" s="41">
        <v>0</v>
      </c>
      <c r="O61" s="41">
        <v>0</v>
      </c>
      <c r="P61" s="41">
        <v>0</v>
      </c>
      <c r="Q61" s="41">
        <v>30</v>
      </c>
      <c r="R61" s="41">
        <v>1</v>
      </c>
      <c r="S61" s="41">
        <f t="shared" si="11"/>
        <v>1796850.0000000007</v>
      </c>
      <c r="T61" s="41">
        <v>0</v>
      </c>
      <c r="U61" s="41">
        <v>0</v>
      </c>
      <c r="V61" s="41">
        <v>0</v>
      </c>
      <c r="W61" s="41">
        <v>0</v>
      </c>
      <c r="X61" s="41">
        <v>0</v>
      </c>
      <c r="Y61" s="41">
        <v>0</v>
      </c>
      <c r="Z61" s="41">
        <v>0</v>
      </c>
      <c r="AA61" s="41">
        <v>0</v>
      </c>
      <c r="AB61" s="41">
        <v>0</v>
      </c>
      <c r="AC61" s="41">
        <v>0</v>
      </c>
      <c r="AD61" s="41">
        <v>0</v>
      </c>
      <c r="AE61" s="41">
        <v>0</v>
      </c>
      <c r="AF61" s="28">
        <f t="shared" si="2"/>
        <v>1796850.0000000007</v>
      </c>
      <c r="AG61" s="28">
        <f t="shared" si="3"/>
        <v>1744.5145631067967</v>
      </c>
    </row>
    <row r="62" spans="1:33" ht="57.6" x14ac:dyDescent="0.3">
      <c r="A62" s="41" t="s">
        <v>697</v>
      </c>
      <c r="B62" s="41" t="s">
        <v>695</v>
      </c>
      <c r="C62" s="41" t="s">
        <v>683</v>
      </c>
      <c r="D62" s="41" t="s">
        <v>141</v>
      </c>
      <c r="E62" s="41" t="s">
        <v>626</v>
      </c>
      <c r="F62" s="41" t="s">
        <v>712</v>
      </c>
      <c r="G62" s="41">
        <f>1999.2/7</f>
        <v>285.60000000000002</v>
      </c>
      <c r="H62" s="41"/>
      <c r="I62" s="41"/>
      <c r="J62" s="41">
        <v>0</v>
      </c>
      <c r="K62" s="41">
        <v>0</v>
      </c>
      <c r="L62" s="41">
        <v>0</v>
      </c>
      <c r="M62" s="41">
        <v>0</v>
      </c>
      <c r="N62" s="41">
        <v>0</v>
      </c>
      <c r="O62" s="41">
        <v>0</v>
      </c>
      <c r="P62" s="41">
        <v>0</v>
      </c>
      <c r="Q62" s="41">
        <f>2*25*9</f>
        <v>450</v>
      </c>
      <c r="R62" s="41">
        <v>1</v>
      </c>
      <c r="S62" s="41">
        <f t="shared" si="11"/>
        <v>171060.12000000008</v>
      </c>
      <c r="T62" s="41">
        <v>0</v>
      </c>
      <c r="U62" s="41">
        <v>0</v>
      </c>
      <c r="V62" s="41">
        <v>0</v>
      </c>
      <c r="W62" s="41">
        <v>0</v>
      </c>
      <c r="X62" s="41">
        <v>0</v>
      </c>
      <c r="Y62" s="41">
        <v>0</v>
      </c>
      <c r="Z62" s="41">
        <v>0</v>
      </c>
      <c r="AA62" s="41">
        <v>0</v>
      </c>
      <c r="AB62" s="41">
        <v>0</v>
      </c>
      <c r="AC62" s="41">
        <v>0</v>
      </c>
      <c r="AD62" s="41">
        <v>0</v>
      </c>
      <c r="AE62" s="41">
        <v>0</v>
      </c>
      <c r="AF62" s="28">
        <f t="shared" si="2"/>
        <v>171060.12000000008</v>
      </c>
      <c r="AG62" s="28">
        <f t="shared" si="3"/>
        <v>166.07778640776706</v>
      </c>
    </row>
    <row r="63" spans="1:33" ht="57.6" x14ac:dyDescent="0.3">
      <c r="A63" s="41" t="s">
        <v>697</v>
      </c>
      <c r="B63" s="41" t="s">
        <v>695</v>
      </c>
      <c r="C63" s="41" t="s">
        <v>683</v>
      </c>
      <c r="D63" s="41" t="s">
        <v>141</v>
      </c>
      <c r="E63" s="41" t="s">
        <v>626</v>
      </c>
      <c r="F63" s="41" t="s">
        <v>1320</v>
      </c>
      <c r="G63" s="41">
        <f>1999.2/7</f>
        <v>285.60000000000002</v>
      </c>
      <c r="H63" s="41"/>
      <c r="I63" s="41"/>
      <c r="J63" s="41">
        <v>0</v>
      </c>
      <c r="K63" s="41"/>
      <c r="L63" s="41"/>
      <c r="M63" s="41"/>
      <c r="N63" s="41"/>
      <c r="O63" s="41"/>
      <c r="P63" s="41"/>
      <c r="Q63" s="41">
        <f>2*135*9</f>
        <v>2430</v>
      </c>
      <c r="R63" s="41">
        <v>1</v>
      </c>
      <c r="S63" s="41">
        <f t="shared" si="11"/>
        <v>923724.64800000039</v>
      </c>
      <c r="T63" s="41"/>
      <c r="U63" s="41"/>
      <c r="V63" s="41"/>
      <c r="W63" s="41"/>
      <c r="X63" s="41"/>
      <c r="Y63" s="41"/>
      <c r="Z63" s="41"/>
      <c r="AA63" s="41"/>
      <c r="AB63" s="41"/>
      <c r="AC63" s="41"/>
      <c r="AD63" s="41"/>
      <c r="AE63" s="41"/>
      <c r="AF63" s="28">
        <f t="shared" si="2"/>
        <v>923724.64800000039</v>
      </c>
      <c r="AG63" s="28">
        <f t="shared" si="3"/>
        <v>896.82004660194218</v>
      </c>
    </row>
    <row r="64" spans="1:33" ht="57.6" x14ac:dyDescent="0.3">
      <c r="A64" s="41" t="s">
        <v>697</v>
      </c>
      <c r="B64" s="41" t="s">
        <v>695</v>
      </c>
      <c r="C64" s="41" t="s">
        <v>683</v>
      </c>
      <c r="D64" s="41" t="s">
        <v>141</v>
      </c>
      <c r="E64" s="41" t="s">
        <v>626</v>
      </c>
      <c r="F64" s="41" t="s">
        <v>709</v>
      </c>
      <c r="G64" s="41">
        <v>35000</v>
      </c>
      <c r="H64" s="41"/>
      <c r="I64" s="41"/>
      <c r="J64" s="41">
        <v>0</v>
      </c>
      <c r="K64" s="41">
        <v>0</v>
      </c>
      <c r="L64" s="41">
        <v>0</v>
      </c>
      <c r="M64" s="41">
        <v>0</v>
      </c>
      <c r="N64" s="41">
        <v>0</v>
      </c>
      <c r="O64" s="41">
        <v>0</v>
      </c>
      <c r="P64" s="41">
        <v>0</v>
      </c>
      <c r="Q64" s="41">
        <v>62</v>
      </c>
      <c r="R64" s="41">
        <v>1</v>
      </c>
      <c r="S64" s="41">
        <f t="shared" si="11"/>
        <v>2888270.0000000009</v>
      </c>
      <c r="T64" s="41">
        <v>0</v>
      </c>
      <c r="U64" s="41">
        <v>0</v>
      </c>
      <c r="V64" s="41">
        <v>0</v>
      </c>
      <c r="W64" s="41">
        <v>0</v>
      </c>
      <c r="X64" s="41">
        <v>0</v>
      </c>
      <c r="Y64" s="41">
        <v>0</v>
      </c>
      <c r="Z64" s="41">
        <v>0</v>
      </c>
      <c r="AA64" s="41">
        <v>0</v>
      </c>
      <c r="AB64" s="41">
        <v>0</v>
      </c>
      <c r="AC64" s="41">
        <v>0</v>
      </c>
      <c r="AD64" s="41">
        <v>0</v>
      </c>
      <c r="AE64" s="41">
        <v>0</v>
      </c>
      <c r="AF64" s="28">
        <f t="shared" si="2"/>
        <v>2888270.0000000009</v>
      </c>
      <c r="AG64" s="28">
        <f t="shared" si="3"/>
        <v>2804.1456310679619</v>
      </c>
    </row>
    <row r="65" spans="1:214" ht="57.6" x14ac:dyDescent="0.3">
      <c r="A65" s="41" t="s">
        <v>697</v>
      </c>
      <c r="B65" s="41" t="s">
        <v>695</v>
      </c>
      <c r="C65" s="41" t="s">
        <v>683</v>
      </c>
      <c r="D65" s="41" t="s">
        <v>141</v>
      </c>
      <c r="E65" s="41" t="s">
        <v>627</v>
      </c>
      <c r="F65" s="41" t="s">
        <v>718</v>
      </c>
      <c r="G65" s="41">
        <v>0</v>
      </c>
      <c r="H65" s="41"/>
      <c r="I65" s="41"/>
      <c r="J65" s="41">
        <v>0</v>
      </c>
      <c r="K65" s="41">
        <v>0</v>
      </c>
      <c r="L65" s="41">
        <v>0</v>
      </c>
      <c r="M65" s="41">
        <v>0</v>
      </c>
      <c r="N65" s="41">
        <v>0</v>
      </c>
      <c r="O65" s="41">
        <v>0</v>
      </c>
      <c r="P65" s="41">
        <v>0</v>
      </c>
      <c r="Q65" s="41">
        <v>62</v>
      </c>
      <c r="R65" s="41">
        <v>1</v>
      </c>
      <c r="S65" s="41">
        <f t="shared" si="11"/>
        <v>0</v>
      </c>
      <c r="T65" s="41">
        <v>0</v>
      </c>
      <c r="U65" s="41">
        <v>0</v>
      </c>
      <c r="V65" s="41">
        <v>0</v>
      </c>
      <c r="W65" s="41">
        <v>0</v>
      </c>
      <c r="X65" s="41">
        <v>0</v>
      </c>
      <c r="Y65" s="41">
        <v>0</v>
      </c>
      <c r="Z65" s="41">
        <v>0</v>
      </c>
      <c r="AA65" s="41">
        <v>0</v>
      </c>
      <c r="AB65" s="41">
        <v>0</v>
      </c>
      <c r="AC65" s="41">
        <v>0</v>
      </c>
      <c r="AD65" s="41">
        <v>0</v>
      </c>
      <c r="AE65" s="41">
        <v>0</v>
      </c>
      <c r="AF65" s="28">
        <f t="shared" si="2"/>
        <v>0</v>
      </c>
      <c r="AG65" s="28">
        <f t="shared" si="3"/>
        <v>0</v>
      </c>
    </row>
    <row r="66" spans="1:214" ht="57.6" x14ac:dyDescent="0.3">
      <c r="A66" s="41" t="s">
        <v>697</v>
      </c>
      <c r="B66" s="41" t="s">
        <v>695</v>
      </c>
      <c r="C66" s="41" t="s">
        <v>683</v>
      </c>
      <c r="D66" s="41" t="s">
        <v>141</v>
      </c>
      <c r="E66" s="41" t="s">
        <v>628</v>
      </c>
      <c r="F66" s="41" t="s">
        <v>718</v>
      </c>
      <c r="G66" s="41">
        <v>0</v>
      </c>
      <c r="H66" s="41"/>
      <c r="I66" s="41"/>
      <c r="J66" s="41">
        <v>0</v>
      </c>
      <c r="K66" s="41">
        <v>0</v>
      </c>
      <c r="L66" s="41">
        <v>0</v>
      </c>
      <c r="M66" s="41">
        <v>0</v>
      </c>
      <c r="N66" s="41">
        <v>0</v>
      </c>
      <c r="O66" s="41">
        <v>0</v>
      </c>
      <c r="P66" s="41">
        <v>0</v>
      </c>
      <c r="Q66" s="41">
        <v>0</v>
      </c>
      <c r="R66" s="41">
        <v>0</v>
      </c>
      <c r="S66" s="41">
        <f t="shared" si="11"/>
        <v>0</v>
      </c>
      <c r="T66" s="41">
        <v>0</v>
      </c>
      <c r="U66" s="41">
        <v>0</v>
      </c>
      <c r="V66" s="41">
        <v>0</v>
      </c>
      <c r="W66" s="41">
        <v>0</v>
      </c>
      <c r="X66" s="41">
        <v>0</v>
      </c>
      <c r="Y66" s="41">
        <v>0</v>
      </c>
      <c r="Z66" s="41">
        <v>0</v>
      </c>
      <c r="AA66" s="41">
        <v>0</v>
      </c>
      <c r="AB66" s="41">
        <v>0</v>
      </c>
      <c r="AC66" s="41">
        <v>0</v>
      </c>
      <c r="AD66" s="41">
        <v>0</v>
      </c>
      <c r="AE66" s="41">
        <v>0</v>
      </c>
      <c r="AF66" s="28">
        <f t="shared" si="2"/>
        <v>0</v>
      </c>
      <c r="AG66" s="28">
        <f t="shared" si="3"/>
        <v>0</v>
      </c>
    </row>
    <row r="67" spans="1:214" ht="57.6" x14ac:dyDescent="0.3">
      <c r="A67" s="41" t="s">
        <v>697</v>
      </c>
      <c r="B67" s="41" t="s">
        <v>695</v>
      </c>
      <c r="C67" s="41" t="s">
        <v>683</v>
      </c>
      <c r="D67" s="41" t="s">
        <v>141</v>
      </c>
      <c r="E67" s="41" t="s">
        <v>629</v>
      </c>
      <c r="F67" s="41" t="s">
        <v>718</v>
      </c>
      <c r="G67" s="41">
        <v>0</v>
      </c>
      <c r="H67" s="41"/>
      <c r="I67" s="41"/>
      <c r="J67" s="41">
        <v>0</v>
      </c>
      <c r="K67" s="41">
        <v>0</v>
      </c>
      <c r="L67" s="41">
        <v>0</v>
      </c>
      <c r="M67" s="41">
        <v>0</v>
      </c>
      <c r="N67" s="41">
        <v>0</v>
      </c>
      <c r="O67" s="41">
        <v>0</v>
      </c>
      <c r="P67" s="41">
        <v>0</v>
      </c>
      <c r="Q67" s="41">
        <v>0</v>
      </c>
      <c r="R67" s="41">
        <v>0</v>
      </c>
      <c r="S67" s="41">
        <f t="shared" si="11"/>
        <v>0</v>
      </c>
      <c r="T67" s="41">
        <v>0</v>
      </c>
      <c r="U67" s="41">
        <v>0</v>
      </c>
      <c r="V67" s="41">
        <v>0</v>
      </c>
      <c r="W67" s="41">
        <v>0</v>
      </c>
      <c r="X67" s="41">
        <v>0</v>
      </c>
      <c r="Y67" s="41">
        <v>0</v>
      </c>
      <c r="Z67" s="41">
        <v>0</v>
      </c>
      <c r="AA67" s="41">
        <v>0</v>
      </c>
      <c r="AB67" s="41">
        <v>0</v>
      </c>
      <c r="AC67" s="41">
        <v>0</v>
      </c>
      <c r="AD67" s="41">
        <v>0</v>
      </c>
      <c r="AE67" s="41">
        <v>0</v>
      </c>
      <c r="AF67" s="28">
        <f t="shared" si="2"/>
        <v>0</v>
      </c>
      <c r="AG67" s="28">
        <f t="shared" si="3"/>
        <v>0</v>
      </c>
    </row>
    <row r="68" spans="1:214"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28">
        <f t="shared" ref="AF68:AF131" si="12">J68+M68+P68+S68+V68+Y68+AB68+AE68</f>
        <v>0</v>
      </c>
      <c r="AG68" s="28">
        <f t="shared" ref="AG68:AG131" si="13">AF68/$AL$2</f>
        <v>0</v>
      </c>
    </row>
    <row r="69" spans="1:214" s="73" customFormat="1" x14ac:dyDescent="0.3">
      <c r="A69" s="72" t="s">
        <v>1324</v>
      </c>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28">
        <f t="shared" si="12"/>
        <v>0</v>
      </c>
      <c r="AG69" s="28">
        <f t="shared" si="13"/>
        <v>0</v>
      </c>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row>
    <row r="70" spans="1:214" ht="57.6" x14ac:dyDescent="0.3">
      <c r="A70" s="41" t="s">
        <v>697</v>
      </c>
      <c r="B70" s="41" t="s">
        <v>695</v>
      </c>
      <c r="C70" s="41" t="s">
        <v>684</v>
      </c>
      <c r="D70" s="41" t="s">
        <v>142</v>
      </c>
      <c r="E70" s="41" t="s">
        <v>155</v>
      </c>
      <c r="F70" s="41" t="s">
        <v>718</v>
      </c>
      <c r="G70" s="41">
        <v>0</v>
      </c>
      <c r="H70" s="41">
        <v>0</v>
      </c>
      <c r="I70" s="41">
        <v>0</v>
      </c>
      <c r="J70" s="41">
        <v>0</v>
      </c>
      <c r="K70" s="41">
        <v>0</v>
      </c>
      <c r="L70" s="41">
        <v>0</v>
      </c>
      <c r="M70" s="41">
        <f>($G70*1.1^1)*K70*L70</f>
        <v>0</v>
      </c>
      <c r="N70" s="41">
        <v>0</v>
      </c>
      <c r="O70" s="41">
        <v>0</v>
      </c>
      <c r="P70" s="41">
        <v>0</v>
      </c>
      <c r="Q70" s="41">
        <v>0</v>
      </c>
      <c r="R70" s="41">
        <v>0</v>
      </c>
      <c r="S70" s="41">
        <f>($G70*1.1^3)*Q70*R70</f>
        <v>0</v>
      </c>
      <c r="T70" s="41">
        <v>0</v>
      </c>
      <c r="U70" s="41">
        <v>0</v>
      </c>
      <c r="V70" s="41">
        <v>0</v>
      </c>
      <c r="W70" s="41">
        <v>0</v>
      </c>
      <c r="X70" s="41">
        <v>0</v>
      </c>
      <c r="Y70" s="41">
        <v>0</v>
      </c>
      <c r="Z70" s="41">
        <v>0</v>
      </c>
      <c r="AA70" s="41">
        <v>0</v>
      </c>
      <c r="AB70" s="41">
        <v>0</v>
      </c>
      <c r="AC70" s="41">
        <v>0</v>
      </c>
      <c r="AD70" s="41">
        <v>0</v>
      </c>
      <c r="AE70" s="41">
        <v>0</v>
      </c>
      <c r="AF70" s="28">
        <f t="shared" si="12"/>
        <v>0</v>
      </c>
      <c r="AG70" s="28">
        <f t="shared" si="13"/>
        <v>0</v>
      </c>
    </row>
    <row r="71" spans="1:214" ht="57.6" x14ac:dyDescent="0.3">
      <c r="A71" s="41" t="s">
        <v>697</v>
      </c>
      <c r="B71" s="41" t="s">
        <v>695</v>
      </c>
      <c r="C71" s="41" t="s">
        <v>684</v>
      </c>
      <c r="D71" s="41" t="s">
        <v>142</v>
      </c>
      <c r="E71" s="41" t="s">
        <v>158</v>
      </c>
      <c r="F71" s="41" t="s">
        <v>718</v>
      </c>
      <c r="G71" s="41">
        <v>0</v>
      </c>
      <c r="H71" s="41">
        <v>0</v>
      </c>
      <c r="I71" s="41">
        <v>0</v>
      </c>
      <c r="J71" s="41">
        <v>0</v>
      </c>
      <c r="K71" s="41">
        <v>0</v>
      </c>
      <c r="L71" s="41">
        <v>0</v>
      </c>
      <c r="M71" s="41">
        <f t="shared" ref="M71:M82" si="14">($G71*1.1^1)*K71*L71</f>
        <v>0</v>
      </c>
      <c r="N71" s="41">
        <v>0</v>
      </c>
      <c r="O71" s="41">
        <v>0</v>
      </c>
      <c r="P71" s="41">
        <v>0</v>
      </c>
      <c r="Q71" s="41">
        <v>0</v>
      </c>
      <c r="R71" s="41">
        <v>0</v>
      </c>
      <c r="S71" s="41">
        <f t="shared" ref="S71:S82" si="15">($G71*1.1^3)*Q71*R71</f>
        <v>0</v>
      </c>
      <c r="T71" s="41">
        <v>0</v>
      </c>
      <c r="U71" s="41">
        <v>0</v>
      </c>
      <c r="V71" s="41">
        <v>0</v>
      </c>
      <c r="W71" s="41">
        <v>0</v>
      </c>
      <c r="X71" s="41">
        <v>0</v>
      </c>
      <c r="Y71" s="41">
        <v>0</v>
      </c>
      <c r="Z71" s="41">
        <v>0</v>
      </c>
      <c r="AA71" s="41">
        <v>0</v>
      </c>
      <c r="AB71" s="41">
        <v>0</v>
      </c>
      <c r="AC71" s="41">
        <v>0</v>
      </c>
      <c r="AD71" s="41">
        <v>0</v>
      </c>
      <c r="AE71" s="41">
        <v>0</v>
      </c>
      <c r="AF71" s="28">
        <f t="shared" si="12"/>
        <v>0</v>
      </c>
      <c r="AG71" s="28">
        <f t="shared" si="13"/>
        <v>0</v>
      </c>
    </row>
    <row r="72" spans="1:214" ht="57.6" x14ac:dyDescent="0.3">
      <c r="A72" s="41" t="s">
        <v>697</v>
      </c>
      <c r="B72" s="41" t="s">
        <v>695</v>
      </c>
      <c r="C72" s="41" t="s">
        <v>684</v>
      </c>
      <c r="D72" s="41" t="s">
        <v>142</v>
      </c>
      <c r="E72" s="41" t="s">
        <v>630</v>
      </c>
      <c r="F72" s="41" t="s">
        <v>707</v>
      </c>
      <c r="G72" s="41">
        <v>391991.03749999998</v>
      </c>
      <c r="H72" s="41">
        <v>0</v>
      </c>
      <c r="I72" s="41">
        <v>0</v>
      </c>
      <c r="J72" s="41">
        <v>0</v>
      </c>
      <c r="K72" s="41">
        <v>0</v>
      </c>
      <c r="L72" s="41">
        <v>0</v>
      </c>
      <c r="M72" s="41">
        <f t="shared" si="14"/>
        <v>0</v>
      </c>
      <c r="N72" s="41">
        <v>0</v>
      </c>
      <c r="O72" s="41">
        <v>0</v>
      </c>
      <c r="P72" s="41">
        <v>0</v>
      </c>
      <c r="Q72" s="41">
        <v>2</v>
      </c>
      <c r="R72" s="41">
        <v>2</v>
      </c>
      <c r="S72" s="41">
        <f t="shared" si="15"/>
        <v>2086960.2836500006</v>
      </c>
      <c r="T72" s="41">
        <v>0</v>
      </c>
      <c r="U72" s="41">
        <v>0</v>
      </c>
      <c r="V72" s="41">
        <v>0</v>
      </c>
      <c r="W72" s="41">
        <v>0</v>
      </c>
      <c r="X72" s="41">
        <v>0</v>
      </c>
      <c r="Y72" s="41">
        <v>0</v>
      </c>
      <c r="Z72" s="41">
        <v>0</v>
      </c>
      <c r="AA72" s="41">
        <v>0</v>
      </c>
      <c r="AB72" s="41">
        <v>0</v>
      </c>
      <c r="AC72" s="41">
        <v>0</v>
      </c>
      <c r="AD72" s="41">
        <v>0</v>
      </c>
      <c r="AE72" s="41">
        <v>0</v>
      </c>
      <c r="AF72" s="28">
        <f t="shared" si="12"/>
        <v>2086960.2836500006</v>
      </c>
      <c r="AG72" s="28">
        <f t="shared" si="13"/>
        <v>2026.1750326699034</v>
      </c>
    </row>
    <row r="73" spans="1:214" ht="57.6" x14ac:dyDescent="0.3">
      <c r="A73" s="41" t="s">
        <v>697</v>
      </c>
      <c r="B73" s="41" t="s">
        <v>695</v>
      </c>
      <c r="C73" s="41" t="s">
        <v>684</v>
      </c>
      <c r="D73" s="41" t="s">
        <v>142</v>
      </c>
      <c r="E73" s="41" t="s">
        <v>630</v>
      </c>
      <c r="F73" s="41" t="s">
        <v>708</v>
      </c>
      <c r="G73" s="41">
        <f>980*1030</f>
        <v>1009400</v>
      </c>
      <c r="H73" s="41">
        <v>0</v>
      </c>
      <c r="I73" s="41">
        <v>0</v>
      </c>
      <c r="J73" s="41">
        <v>0</v>
      </c>
      <c r="K73" s="41">
        <v>0</v>
      </c>
      <c r="L73" s="41">
        <v>0</v>
      </c>
      <c r="M73" s="41">
        <f t="shared" si="14"/>
        <v>0</v>
      </c>
      <c r="N73" s="41">
        <v>0</v>
      </c>
      <c r="O73" s="41">
        <v>0</v>
      </c>
      <c r="P73" s="41">
        <v>0</v>
      </c>
      <c r="Q73" s="41">
        <v>1</v>
      </c>
      <c r="R73" s="41">
        <v>25</v>
      </c>
      <c r="S73" s="41">
        <f t="shared" si="15"/>
        <v>33587785.000000007</v>
      </c>
      <c r="T73" s="41">
        <v>0</v>
      </c>
      <c r="U73" s="41">
        <v>0</v>
      </c>
      <c r="V73" s="41">
        <v>0</v>
      </c>
      <c r="W73" s="41">
        <v>0</v>
      </c>
      <c r="X73" s="41">
        <v>0</v>
      </c>
      <c r="Y73" s="41">
        <v>0</v>
      </c>
      <c r="Z73" s="41">
        <v>0</v>
      </c>
      <c r="AA73" s="41">
        <v>0</v>
      </c>
      <c r="AB73" s="41">
        <v>0</v>
      </c>
      <c r="AC73" s="41">
        <v>0</v>
      </c>
      <c r="AD73" s="41">
        <v>0</v>
      </c>
      <c r="AE73" s="41">
        <v>0</v>
      </c>
      <c r="AF73" s="28">
        <f t="shared" si="12"/>
        <v>33587785.000000007</v>
      </c>
      <c r="AG73" s="28">
        <f t="shared" si="13"/>
        <v>32609.500000000007</v>
      </c>
    </row>
    <row r="74" spans="1:214" ht="57.6" x14ac:dyDescent="0.3">
      <c r="A74" s="41" t="s">
        <v>697</v>
      </c>
      <c r="B74" s="41" t="s">
        <v>695</v>
      </c>
      <c r="C74" s="41" t="s">
        <v>684</v>
      </c>
      <c r="D74" s="41" t="s">
        <v>142</v>
      </c>
      <c r="E74" s="41" t="s">
        <v>631</v>
      </c>
      <c r="F74" s="41" t="s">
        <v>709</v>
      </c>
      <c r="G74" s="41">
        <v>35000</v>
      </c>
      <c r="H74" s="41">
        <v>0</v>
      </c>
      <c r="I74" s="41">
        <v>0</v>
      </c>
      <c r="J74" s="41">
        <v>0</v>
      </c>
      <c r="K74" s="41">
        <v>0</v>
      </c>
      <c r="L74" s="41">
        <v>0</v>
      </c>
      <c r="M74" s="41">
        <f t="shared" si="14"/>
        <v>0</v>
      </c>
      <c r="N74" s="41">
        <v>0</v>
      </c>
      <c r="O74" s="41">
        <v>0</v>
      </c>
      <c r="P74" s="41">
        <v>0</v>
      </c>
      <c r="Q74" s="41">
        <v>30</v>
      </c>
      <c r="R74" s="41">
        <v>15</v>
      </c>
      <c r="S74" s="41">
        <f t="shared" si="15"/>
        <v>20963250.000000007</v>
      </c>
      <c r="T74" s="41">
        <v>0</v>
      </c>
      <c r="U74" s="41">
        <v>0</v>
      </c>
      <c r="V74" s="41">
        <v>0</v>
      </c>
      <c r="W74" s="41">
        <v>0</v>
      </c>
      <c r="X74" s="41">
        <v>0</v>
      </c>
      <c r="Y74" s="41">
        <v>0</v>
      </c>
      <c r="Z74" s="41">
        <v>0</v>
      </c>
      <c r="AA74" s="41">
        <v>0</v>
      </c>
      <c r="AB74" s="41">
        <v>0</v>
      </c>
      <c r="AC74" s="41">
        <v>0</v>
      </c>
      <c r="AD74" s="41">
        <v>0</v>
      </c>
      <c r="AE74" s="41">
        <v>0</v>
      </c>
      <c r="AF74" s="28">
        <f t="shared" si="12"/>
        <v>20963250.000000007</v>
      </c>
      <c r="AG74" s="28">
        <f t="shared" si="13"/>
        <v>20352.669902912628</v>
      </c>
    </row>
    <row r="75" spans="1:214" ht="57.6" x14ac:dyDescent="0.3">
      <c r="A75" s="41" t="s">
        <v>697</v>
      </c>
      <c r="B75" s="41" t="s">
        <v>695</v>
      </c>
      <c r="C75" s="41" t="s">
        <v>684</v>
      </c>
      <c r="D75" s="41" t="s">
        <v>142</v>
      </c>
      <c r="E75" s="41" t="s">
        <v>631</v>
      </c>
      <c r="F75" s="41" t="s">
        <v>716</v>
      </c>
      <c r="G75" s="41">
        <v>39000</v>
      </c>
      <c r="H75" s="41">
        <v>0</v>
      </c>
      <c r="I75" s="41">
        <v>0</v>
      </c>
      <c r="J75" s="41">
        <v>0</v>
      </c>
      <c r="K75" s="41">
        <v>0</v>
      </c>
      <c r="L75" s="41">
        <v>0</v>
      </c>
      <c r="M75" s="41">
        <f t="shared" si="14"/>
        <v>0</v>
      </c>
      <c r="N75" s="41">
        <v>0</v>
      </c>
      <c r="O75" s="41">
        <v>0</v>
      </c>
      <c r="P75" s="41">
        <v>0</v>
      </c>
      <c r="Q75" s="41">
        <v>30</v>
      </c>
      <c r="R75" s="41">
        <v>15</v>
      </c>
      <c r="S75" s="41">
        <f t="shared" si="15"/>
        <v>23359050.000000007</v>
      </c>
      <c r="T75" s="41">
        <v>0</v>
      </c>
      <c r="U75" s="41">
        <v>0</v>
      </c>
      <c r="V75" s="41">
        <v>0</v>
      </c>
      <c r="W75" s="41">
        <v>0</v>
      </c>
      <c r="X75" s="41">
        <v>0</v>
      </c>
      <c r="Y75" s="41">
        <v>0</v>
      </c>
      <c r="Z75" s="41">
        <v>0</v>
      </c>
      <c r="AA75" s="41">
        <v>0</v>
      </c>
      <c r="AB75" s="41">
        <v>0</v>
      </c>
      <c r="AC75" s="41">
        <v>0</v>
      </c>
      <c r="AD75" s="41">
        <v>0</v>
      </c>
      <c r="AE75" s="41">
        <v>0</v>
      </c>
      <c r="AF75" s="28">
        <f t="shared" si="12"/>
        <v>23359050.000000007</v>
      </c>
      <c r="AG75" s="28">
        <f t="shared" si="13"/>
        <v>22678.689320388356</v>
      </c>
    </row>
    <row r="76" spans="1:214" ht="57.6" x14ac:dyDescent="0.3">
      <c r="A76" s="41" t="s">
        <v>697</v>
      </c>
      <c r="B76" s="41" t="s">
        <v>695</v>
      </c>
      <c r="C76" s="41" t="s">
        <v>684</v>
      </c>
      <c r="D76" s="41" t="s">
        <v>142</v>
      </c>
      <c r="E76" s="41" t="s">
        <v>631</v>
      </c>
      <c r="F76" s="41" t="s">
        <v>712</v>
      </c>
      <c r="G76" s="41">
        <f>1999.2/7</f>
        <v>285.60000000000002</v>
      </c>
      <c r="H76" s="41">
        <v>0</v>
      </c>
      <c r="I76" s="41">
        <v>0</v>
      </c>
      <c r="J76" s="41">
        <v>0</v>
      </c>
      <c r="K76" s="41">
        <v>0</v>
      </c>
      <c r="L76" s="41">
        <v>0</v>
      </c>
      <c r="M76" s="41">
        <f t="shared" si="14"/>
        <v>0</v>
      </c>
      <c r="N76" s="41">
        <v>0</v>
      </c>
      <c r="O76" s="41">
        <v>0</v>
      </c>
      <c r="P76" s="41">
        <v>0</v>
      </c>
      <c r="Q76" s="41">
        <f>2*25*9</f>
        <v>450</v>
      </c>
      <c r="R76" s="41">
        <v>15</v>
      </c>
      <c r="S76" s="41">
        <f t="shared" si="15"/>
        <v>2565901.8000000012</v>
      </c>
      <c r="T76" s="41">
        <v>0</v>
      </c>
      <c r="U76" s="41">
        <v>0</v>
      </c>
      <c r="V76" s="41">
        <v>0</v>
      </c>
      <c r="W76" s="41">
        <v>0</v>
      </c>
      <c r="X76" s="41">
        <v>0</v>
      </c>
      <c r="Y76" s="41">
        <v>0</v>
      </c>
      <c r="Z76" s="41">
        <v>0</v>
      </c>
      <c r="AA76" s="41">
        <v>0</v>
      </c>
      <c r="AB76" s="41">
        <v>0</v>
      </c>
      <c r="AC76" s="41">
        <v>0</v>
      </c>
      <c r="AD76" s="41">
        <v>0</v>
      </c>
      <c r="AE76" s="41">
        <v>0</v>
      </c>
      <c r="AF76" s="28">
        <f t="shared" si="12"/>
        <v>2565901.8000000012</v>
      </c>
      <c r="AG76" s="28">
        <f t="shared" si="13"/>
        <v>2491.1667961165062</v>
      </c>
    </row>
    <row r="77" spans="1:214" ht="57.6" x14ac:dyDescent="0.3">
      <c r="A77" s="41" t="s">
        <v>697</v>
      </c>
      <c r="B77" s="41" t="s">
        <v>695</v>
      </c>
      <c r="C77" s="41" t="s">
        <v>684</v>
      </c>
      <c r="D77" s="41" t="s">
        <v>142</v>
      </c>
      <c r="E77" s="41" t="s">
        <v>631</v>
      </c>
      <c r="F77" s="41" t="s">
        <v>1320</v>
      </c>
      <c r="G77" s="41">
        <f>1999.2/7</f>
        <v>285.60000000000002</v>
      </c>
      <c r="H77" s="41">
        <v>0</v>
      </c>
      <c r="I77" s="41">
        <v>0</v>
      </c>
      <c r="J77" s="41"/>
      <c r="K77" s="41">
        <v>0</v>
      </c>
      <c r="L77" s="41">
        <v>0</v>
      </c>
      <c r="M77" s="41">
        <f t="shared" si="14"/>
        <v>0</v>
      </c>
      <c r="N77" s="41"/>
      <c r="O77" s="41"/>
      <c r="P77" s="41"/>
      <c r="Q77" s="41">
        <f>2*135*9</f>
        <v>2430</v>
      </c>
      <c r="R77" s="41">
        <v>3</v>
      </c>
      <c r="S77" s="41">
        <f t="shared" si="15"/>
        <v>2771173.9440000011</v>
      </c>
      <c r="T77" s="41"/>
      <c r="U77" s="41"/>
      <c r="V77" s="41"/>
      <c r="W77" s="41"/>
      <c r="X77" s="41"/>
      <c r="Y77" s="41"/>
      <c r="Z77" s="41"/>
      <c r="AA77" s="41"/>
      <c r="AB77" s="41"/>
      <c r="AC77" s="41"/>
      <c r="AD77" s="41"/>
      <c r="AE77" s="41"/>
      <c r="AF77" s="28">
        <f t="shared" si="12"/>
        <v>2771173.9440000011</v>
      </c>
      <c r="AG77" s="28">
        <f t="shared" si="13"/>
        <v>2690.4601398058262</v>
      </c>
    </row>
    <row r="78" spans="1:214" ht="57.6" x14ac:dyDescent="0.3">
      <c r="A78" s="41" t="s">
        <v>697</v>
      </c>
      <c r="B78" s="41" t="s">
        <v>695</v>
      </c>
      <c r="C78" s="41" t="s">
        <v>684</v>
      </c>
      <c r="D78" s="41" t="s">
        <v>142</v>
      </c>
      <c r="E78" s="41" t="s">
        <v>265</v>
      </c>
      <c r="F78" s="41" t="s">
        <v>709</v>
      </c>
      <c r="G78" s="41">
        <v>35000</v>
      </c>
      <c r="H78" s="41">
        <v>0</v>
      </c>
      <c r="I78" s="41">
        <v>0</v>
      </c>
      <c r="J78" s="41">
        <v>0</v>
      </c>
      <c r="K78" s="41">
        <v>0</v>
      </c>
      <c r="L78" s="41">
        <v>0</v>
      </c>
      <c r="M78" s="41">
        <f t="shared" si="14"/>
        <v>0</v>
      </c>
      <c r="N78" s="41">
        <v>0</v>
      </c>
      <c r="O78" s="41">
        <v>0</v>
      </c>
      <c r="P78" s="41">
        <v>0</v>
      </c>
      <c r="Q78" s="41">
        <v>25</v>
      </c>
      <c r="R78" s="41">
        <v>1</v>
      </c>
      <c r="S78" s="41">
        <f t="shared" si="15"/>
        <v>1164625.0000000005</v>
      </c>
      <c r="T78" s="41">
        <v>0</v>
      </c>
      <c r="U78" s="41">
        <v>0</v>
      </c>
      <c r="V78" s="41">
        <v>0</v>
      </c>
      <c r="W78" s="41">
        <v>0</v>
      </c>
      <c r="X78" s="41">
        <v>0</v>
      </c>
      <c r="Y78" s="41">
        <v>0</v>
      </c>
      <c r="Z78" s="41">
        <v>0</v>
      </c>
      <c r="AA78" s="41">
        <v>0</v>
      </c>
      <c r="AB78" s="41">
        <v>0</v>
      </c>
      <c r="AC78" s="41">
        <v>0</v>
      </c>
      <c r="AD78" s="41">
        <v>0</v>
      </c>
      <c r="AE78" s="41">
        <v>0</v>
      </c>
      <c r="AF78" s="28">
        <f t="shared" si="12"/>
        <v>1164625.0000000005</v>
      </c>
      <c r="AG78" s="28">
        <f t="shared" si="13"/>
        <v>1130.7038834951461</v>
      </c>
    </row>
    <row r="79" spans="1:214" ht="57.6" x14ac:dyDescent="0.3">
      <c r="A79" s="41" t="s">
        <v>697</v>
      </c>
      <c r="B79" s="41" t="s">
        <v>695</v>
      </c>
      <c r="C79" s="41" t="s">
        <v>684</v>
      </c>
      <c r="D79" s="41" t="s">
        <v>142</v>
      </c>
      <c r="E79" s="41" t="s">
        <v>562</v>
      </c>
      <c r="F79" s="41" t="s">
        <v>718</v>
      </c>
      <c r="G79" s="41">
        <v>0</v>
      </c>
      <c r="H79" s="41">
        <v>0</v>
      </c>
      <c r="I79" s="41">
        <v>0</v>
      </c>
      <c r="J79" s="41">
        <v>0</v>
      </c>
      <c r="K79" s="41">
        <v>0</v>
      </c>
      <c r="L79" s="41">
        <v>0</v>
      </c>
      <c r="M79" s="41">
        <f t="shared" si="14"/>
        <v>0</v>
      </c>
      <c r="N79" s="41">
        <v>0</v>
      </c>
      <c r="O79" s="41">
        <v>0</v>
      </c>
      <c r="P79" s="41">
        <v>0</v>
      </c>
      <c r="Q79" s="41">
        <v>25</v>
      </c>
      <c r="R79" s="41">
        <v>1</v>
      </c>
      <c r="S79" s="41">
        <f t="shared" si="15"/>
        <v>0</v>
      </c>
      <c r="T79" s="41">
        <v>0</v>
      </c>
      <c r="U79" s="41">
        <v>0</v>
      </c>
      <c r="V79" s="41">
        <v>0</v>
      </c>
      <c r="W79" s="41">
        <v>0</v>
      </c>
      <c r="X79" s="41">
        <v>0</v>
      </c>
      <c r="Y79" s="41">
        <v>0</v>
      </c>
      <c r="Z79" s="41">
        <v>0</v>
      </c>
      <c r="AA79" s="41">
        <v>0</v>
      </c>
      <c r="AB79" s="41">
        <v>0</v>
      </c>
      <c r="AC79" s="41">
        <v>0</v>
      </c>
      <c r="AD79" s="41">
        <v>0</v>
      </c>
      <c r="AE79" s="41">
        <v>0</v>
      </c>
      <c r="AF79" s="28">
        <f t="shared" si="12"/>
        <v>0</v>
      </c>
      <c r="AG79" s="28">
        <f t="shared" si="13"/>
        <v>0</v>
      </c>
    </row>
    <row r="80" spans="1:214" ht="57.6" x14ac:dyDescent="0.3">
      <c r="A80" s="41" t="s">
        <v>697</v>
      </c>
      <c r="B80" s="41" t="s">
        <v>695</v>
      </c>
      <c r="C80" s="41" t="s">
        <v>684</v>
      </c>
      <c r="D80" s="41" t="s">
        <v>142</v>
      </c>
      <c r="E80" s="41" t="s">
        <v>156</v>
      </c>
      <c r="F80" s="41" t="s">
        <v>709</v>
      </c>
      <c r="G80" s="41">
        <v>35000</v>
      </c>
      <c r="H80" s="41">
        <v>0</v>
      </c>
      <c r="I80" s="41">
        <v>0</v>
      </c>
      <c r="J80" s="41">
        <v>0</v>
      </c>
      <c r="K80" s="41">
        <v>0</v>
      </c>
      <c r="L80" s="41">
        <v>0</v>
      </c>
      <c r="M80" s="41">
        <f t="shared" si="14"/>
        <v>0</v>
      </c>
      <c r="N80" s="41">
        <v>0</v>
      </c>
      <c r="O80" s="41">
        <v>0</v>
      </c>
      <c r="P80" s="41">
        <v>0</v>
      </c>
      <c r="Q80" s="41">
        <v>100</v>
      </c>
      <c r="R80" s="41">
        <v>1</v>
      </c>
      <c r="S80" s="41">
        <f t="shared" si="15"/>
        <v>4658500.0000000019</v>
      </c>
      <c r="T80" s="41">
        <v>0</v>
      </c>
      <c r="U80" s="41">
        <v>0</v>
      </c>
      <c r="V80" s="41">
        <v>0</v>
      </c>
      <c r="W80" s="41">
        <v>0</v>
      </c>
      <c r="X80" s="41">
        <v>0</v>
      </c>
      <c r="Y80" s="41">
        <v>0</v>
      </c>
      <c r="Z80" s="41">
        <v>0</v>
      </c>
      <c r="AA80" s="41">
        <v>0</v>
      </c>
      <c r="AB80" s="41">
        <v>0</v>
      </c>
      <c r="AC80" s="41">
        <v>0</v>
      </c>
      <c r="AD80" s="41">
        <v>0</v>
      </c>
      <c r="AE80" s="41">
        <v>0</v>
      </c>
      <c r="AF80" s="28">
        <f t="shared" si="12"/>
        <v>4658500.0000000019</v>
      </c>
      <c r="AG80" s="28">
        <f t="shared" si="13"/>
        <v>4522.8155339805844</v>
      </c>
    </row>
    <row r="81" spans="1:214" ht="57.6" x14ac:dyDescent="0.3">
      <c r="A81" s="41" t="s">
        <v>697</v>
      </c>
      <c r="B81" s="41" t="s">
        <v>695</v>
      </c>
      <c r="C81" s="41" t="s">
        <v>684</v>
      </c>
      <c r="D81" s="41" t="s">
        <v>142</v>
      </c>
      <c r="E81" s="41" t="s">
        <v>156</v>
      </c>
      <c r="F81" s="41" t="s">
        <v>1297</v>
      </c>
      <c r="G81" s="41">
        <v>8000</v>
      </c>
      <c r="H81" s="41">
        <v>0</v>
      </c>
      <c r="I81" s="41">
        <v>0</v>
      </c>
      <c r="J81" s="41">
        <v>0</v>
      </c>
      <c r="K81" s="41">
        <v>0</v>
      </c>
      <c r="L81" s="41">
        <v>0</v>
      </c>
      <c r="M81" s="41">
        <f t="shared" si="14"/>
        <v>0</v>
      </c>
      <c r="N81" s="41">
        <v>0</v>
      </c>
      <c r="O81" s="41">
        <v>0</v>
      </c>
      <c r="P81" s="41">
        <v>0</v>
      </c>
      <c r="Q81" s="41">
        <v>10</v>
      </c>
      <c r="R81" s="41">
        <v>1</v>
      </c>
      <c r="S81" s="41">
        <f t="shared" si="15"/>
        <v>106480.00000000003</v>
      </c>
      <c r="T81" s="41">
        <v>0</v>
      </c>
      <c r="U81" s="41">
        <v>0</v>
      </c>
      <c r="V81" s="41">
        <v>0</v>
      </c>
      <c r="W81" s="41">
        <v>0</v>
      </c>
      <c r="X81" s="41">
        <v>0</v>
      </c>
      <c r="Y81" s="41">
        <v>0</v>
      </c>
      <c r="Z81" s="41">
        <v>0</v>
      </c>
      <c r="AA81" s="41">
        <v>0</v>
      </c>
      <c r="AB81" s="41">
        <v>0</v>
      </c>
      <c r="AC81" s="41">
        <v>0</v>
      </c>
      <c r="AD81" s="41">
        <v>0</v>
      </c>
      <c r="AE81" s="41">
        <v>0</v>
      </c>
      <c r="AF81" s="28">
        <f t="shared" si="12"/>
        <v>106480.00000000003</v>
      </c>
      <c r="AG81" s="28">
        <f t="shared" si="13"/>
        <v>103.37864077669906</v>
      </c>
    </row>
    <row r="82" spans="1:214" ht="57.6" x14ac:dyDescent="0.3">
      <c r="A82" s="41" t="s">
        <v>697</v>
      </c>
      <c r="B82" s="41" t="s">
        <v>695</v>
      </c>
      <c r="C82" s="41" t="s">
        <v>684</v>
      </c>
      <c r="D82" s="41" t="s">
        <v>142</v>
      </c>
      <c r="E82" s="41" t="s">
        <v>156</v>
      </c>
      <c r="F82" s="41" t="s">
        <v>717</v>
      </c>
      <c r="G82" s="41">
        <v>104850</v>
      </c>
      <c r="H82" s="41">
        <v>0</v>
      </c>
      <c r="I82" s="41">
        <v>0</v>
      </c>
      <c r="J82" s="41">
        <v>0</v>
      </c>
      <c r="K82" s="41">
        <v>0</v>
      </c>
      <c r="L82" s="41">
        <v>0</v>
      </c>
      <c r="M82" s="41">
        <f t="shared" si="14"/>
        <v>0</v>
      </c>
      <c r="N82" s="41">
        <v>0</v>
      </c>
      <c r="O82" s="41">
        <v>0</v>
      </c>
      <c r="P82" s="41">
        <v>0</v>
      </c>
      <c r="Q82" s="41">
        <v>1</v>
      </c>
      <c r="R82" s="41">
        <v>1</v>
      </c>
      <c r="S82" s="41">
        <f t="shared" si="15"/>
        <v>139555.35000000003</v>
      </c>
      <c r="T82" s="41">
        <v>0</v>
      </c>
      <c r="U82" s="41">
        <v>0</v>
      </c>
      <c r="V82" s="41">
        <v>0</v>
      </c>
      <c r="W82" s="41">
        <v>0</v>
      </c>
      <c r="X82" s="41">
        <v>0</v>
      </c>
      <c r="Y82" s="41">
        <v>0</v>
      </c>
      <c r="Z82" s="41">
        <v>0</v>
      </c>
      <c r="AA82" s="41">
        <v>0</v>
      </c>
      <c r="AB82" s="41">
        <v>0</v>
      </c>
      <c r="AC82" s="41">
        <v>0</v>
      </c>
      <c r="AD82" s="41">
        <v>0</v>
      </c>
      <c r="AE82" s="41">
        <v>0</v>
      </c>
      <c r="AF82" s="28">
        <f t="shared" si="12"/>
        <v>139555.35000000003</v>
      </c>
      <c r="AG82" s="28">
        <f t="shared" si="13"/>
        <v>135.4906310679612</v>
      </c>
    </row>
    <row r="83" spans="1:214"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28">
        <f t="shared" si="12"/>
        <v>0</v>
      </c>
      <c r="AG83" s="28">
        <f t="shared" si="13"/>
        <v>0</v>
      </c>
    </row>
    <row r="84" spans="1:214" s="73" customFormat="1" x14ac:dyDescent="0.3">
      <c r="A84" s="72" t="s">
        <v>1324</v>
      </c>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28">
        <f t="shared" si="12"/>
        <v>0</v>
      </c>
      <c r="AG84" s="28">
        <f t="shared" si="13"/>
        <v>0</v>
      </c>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row>
    <row r="85" spans="1:214" ht="57.6" x14ac:dyDescent="0.3">
      <c r="A85" s="41" t="s">
        <v>697</v>
      </c>
      <c r="B85" s="41" t="s">
        <v>695</v>
      </c>
      <c r="C85" s="41" t="s">
        <v>685</v>
      </c>
      <c r="D85" s="41" t="s">
        <v>143</v>
      </c>
      <c r="E85" s="41" t="s">
        <v>387</v>
      </c>
      <c r="F85" s="41" t="s">
        <v>718</v>
      </c>
      <c r="G85" s="41">
        <v>0</v>
      </c>
      <c r="H85" s="41">
        <v>0</v>
      </c>
      <c r="I85" s="41">
        <v>0</v>
      </c>
      <c r="J85" s="41">
        <f>$G85*H85*I85</f>
        <v>0</v>
      </c>
      <c r="K85" s="41">
        <v>0</v>
      </c>
      <c r="L85" s="41">
        <v>0</v>
      </c>
      <c r="M85" s="41">
        <v>0</v>
      </c>
      <c r="N85" s="41">
        <v>0</v>
      </c>
      <c r="O85" s="41">
        <v>0</v>
      </c>
      <c r="P85" s="41">
        <v>0</v>
      </c>
      <c r="Q85" s="41">
        <v>0</v>
      </c>
      <c r="R85" s="41">
        <v>0</v>
      </c>
      <c r="S85" s="41">
        <f>($G85*1.1^3)*Q85*R85</f>
        <v>0</v>
      </c>
      <c r="T85" s="41">
        <v>0</v>
      </c>
      <c r="U85" s="41">
        <v>0</v>
      </c>
      <c r="V85" s="41">
        <v>0</v>
      </c>
      <c r="W85" s="41">
        <v>0</v>
      </c>
      <c r="X85" s="41">
        <v>0</v>
      </c>
      <c r="Y85" s="41">
        <v>0</v>
      </c>
      <c r="Z85" s="41">
        <v>0</v>
      </c>
      <c r="AA85" s="41">
        <v>0</v>
      </c>
      <c r="AB85" s="41">
        <f>($G85*1.1^6)*Z85*AA85</f>
        <v>0</v>
      </c>
      <c r="AC85" s="41">
        <v>0</v>
      </c>
      <c r="AD85" s="41">
        <v>0</v>
      </c>
      <c r="AE85" s="41">
        <v>0</v>
      </c>
      <c r="AF85" s="28">
        <f t="shared" si="12"/>
        <v>0</v>
      </c>
      <c r="AG85" s="28">
        <f t="shared" si="13"/>
        <v>0</v>
      </c>
    </row>
    <row r="86" spans="1:214"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28">
        <f t="shared" si="12"/>
        <v>0</v>
      </c>
      <c r="AG86" s="28">
        <f t="shared" si="13"/>
        <v>0</v>
      </c>
    </row>
    <row r="87" spans="1:214"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28">
        <f t="shared" si="12"/>
        <v>0</v>
      </c>
      <c r="AG87" s="28">
        <f t="shared" si="13"/>
        <v>0</v>
      </c>
    </row>
    <row r="88" spans="1:214" ht="72" x14ac:dyDescent="0.3">
      <c r="A88" s="41" t="s">
        <v>697</v>
      </c>
      <c r="B88" s="41" t="s">
        <v>695</v>
      </c>
      <c r="C88" s="41" t="s">
        <v>686</v>
      </c>
      <c r="D88" s="41" t="s">
        <v>144</v>
      </c>
      <c r="E88" s="41" t="s">
        <v>155</v>
      </c>
      <c r="F88" s="41" t="s">
        <v>718</v>
      </c>
      <c r="G88" s="41">
        <v>0</v>
      </c>
      <c r="H88" s="41">
        <v>0</v>
      </c>
      <c r="I88" s="41">
        <v>0</v>
      </c>
      <c r="J88" s="41">
        <f>$G88*H88*I88</f>
        <v>0</v>
      </c>
      <c r="K88" s="41">
        <v>0</v>
      </c>
      <c r="L88" s="41">
        <v>0</v>
      </c>
      <c r="M88" s="41">
        <v>0</v>
      </c>
      <c r="N88" s="41">
        <v>0</v>
      </c>
      <c r="O88" s="41">
        <v>0</v>
      </c>
      <c r="P88" s="41">
        <v>0</v>
      </c>
      <c r="Q88" s="41">
        <v>0</v>
      </c>
      <c r="R88" s="41">
        <v>0</v>
      </c>
      <c r="S88" s="41">
        <f>($G88*1.1^3)*Q88*R88</f>
        <v>0</v>
      </c>
      <c r="T88" s="41">
        <v>0</v>
      </c>
      <c r="U88" s="41">
        <v>0</v>
      </c>
      <c r="V88" s="41">
        <v>0</v>
      </c>
      <c r="W88" s="41">
        <v>0</v>
      </c>
      <c r="X88" s="41">
        <v>0</v>
      </c>
      <c r="Y88" s="41">
        <v>0</v>
      </c>
      <c r="Z88" s="41">
        <v>0</v>
      </c>
      <c r="AA88" s="41">
        <v>0</v>
      </c>
      <c r="AB88" s="41">
        <f t="shared" ref="AB88:AB111" si="16">($G88*1.1^6)*Z88*AA88</f>
        <v>0</v>
      </c>
      <c r="AC88" s="41">
        <v>0</v>
      </c>
      <c r="AD88" s="41">
        <v>0</v>
      </c>
      <c r="AE88" s="41">
        <v>0</v>
      </c>
      <c r="AF88" s="28">
        <f t="shared" si="12"/>
        <v>0</v>
      </c>
      <c r="AG88" s="28">
        <f t="shared" si="13"/>
        <v>0</v>
      </c>
    </row>
    <row r="89" spans="1:214" ht="72" x14ac:dyDescent="0.3">
      <c r="A89" s="41" t="s">
        <v>697</v>
      </c>
      <c r="B89" s="41" t="s">
        <v>695</v>
      </c>
      <c r="C89" s="41" t="s">
        <v>686</v>
      </c>
      <c r="D89" s="41" t="s">
        <v>144</v>
      </c>
      <c r="E89" s="41" t="s">
        <v>632</v>
      </c>
      <c r="F89" s="41" t="s">
        <v>709</v>
      </c>
      <c r="G89" s="41">
        <v>35000</v>
      </c>
      <c r="H89" s="41">
        <v>30</v>
      </c>
      <c r="I89" s="41">
        <v>5</v>
      </c>
      <c r="J89" s="41">
        <f t="shared" ref="J89:J111" si="17">$G89*H89*I89</f>
        <v>5250000</v>
      </c>
      <c r="K89" s="41">
        <v>0</v>
      </c>
      <c r="L89" s="41">
        <v>0</v>
      </c>
      <c r="M89" s="41">
        <v>0</v>
      </c>
      <c r="N89" s="41">
        <v>0</v>
      </c>
      <c r="O89" s="41">
        <v>0</v>
      </c>
      <c r="P89" s="41">
        <v>0</v>
      </c>
      <c r="Q89" s="41">
        <v>30</v>
      </c>
      <c r="R89" s="41">
        <v>5</v>
      </c>
      <c r="S89" s="41">
        <f t="shared" ref="S89:S111" si="18">($G89*1.1^3)*Q89*R89</f>
        <v>6987750.0000000019</v>
      </c>
      <c r="T89" s="41">
        <v>0</v>
      </c>
      <c r="U89" s="41">
        <v>0</v>
      </c>
      <c r="V89" s="41">
        <v>0</v>
      </c>
      <c r="W89" s="41">
        <v>0</v>
      </c>
      <c r="X89" s="41">
        <v>0</v>
      </c>
      <c r="Y89" s="41">
        <v>0</v>
      </c>
      <c r="Z89" s="41">
        <v>30</v>
      </c>
      <c r="AA89" s="41">
        <v>5</v>
      </c>
      <c r="AB89" s="41">
        <f t="shared" si="16"/>
        <v>9300695.2500000056</v>
      </c>
      <c r="AC89" s="41">
        <v>0</v>
      </c>
      <c r="AD89" s="41">
        <v>0</v>
      </c>
      <c r="AE89" s="41">
        <v>0</v>
      </c>
      <c r="AF89" s="28">
        <f t="shared" si="12"/>
        <v>21538445.250000007</v>
      </c>
      <c r="AG89" s="28">
        <f t="shared" si="13"/>
        <v>20911.111893203892</v>
      </c>
    </row>
    <row r="90" spans="1:214" ht="72" x14ac:dyDescent="0.3">
      <c r="A90" s="41" t="s">
        <v>697</v>
      </c>
      <c r="B90" s="41" t="s">
        <v>695</v>
      </c>
      <c r="C90" s="41" t="s">
        <v>686</v>
      </c>
      <c r="D90" s="41" t="s">
        <v>144</v>
      </c>
      <c r="E90" s="41" t="s">
        <v>632</v>
      </c>
      <c r="F90" s="41" t="s">
        <v>716</v>
      </c>
      <c r="G90" s="41">
        <v>39000</v>
      </c>
      <c r="H90" s="41">
        <v>30</v>
      </c>
      <c r="I90" s="41">
        <v>6</v>
      </c>
      <c r="J90" s="41">
        <f t="shared" si="17"/>
        <v>7020000</v>
      </c>
      <c r="K90" s="41">
        <v>0</v>
      </c>
      <c r="L90" s="41">
        <v>0</v>
      </c>
      <c r="M90" s="41">
        <v>0</v>
      </c>
      <c r="N90" s="41">
        <v>0</v>
      </c>
      <c r="O90" s="41">
        <v>0</v>
      </c>
      <c r="P90" s="41">
        <v>0</v>
      </c>
      <c r="Q90" s="41">
        <v>30</v>
      </c>
      <c r="R90" s="41">
        <v>6</v>
      </c>
      <c r="S90" s="41">
        <f t="shared" si="18"/>
        <v>9343620.0000000037</v>
      </c>
      <c r="T90" s="41">
        <v>0</v>
      </c>
      <c r="U90" s="41">
        <v>0</v>
      </c>
      <c r="V90" s="41">
        <v>0</v>
      </c>
      <c r="W90" s="41">
        <v>0</v>
      </c>
      <c r="X90" s="41">
        <v>0</v>
      </c>
      <c r="Y90" s="41">
        <v>0</v>
      </c>
      <c r="Z90" s="41">
        <v>30</v>
      </c>
      <c r="AA90" s="41">
        <v>6</v>
      </c>
      <c r="AB90" s="41">
        <f t="shared" si="16"/>
        <v>12436358.220000004</v>
      </c>
      <c r="AC90" s="41">
        <v>0</v>
      </c>
      <c r="AD90" s="41">
        <v>0</v>
      </c>
      <c r="AE90" s="41">
        <v>0</v>
      </c>
      <c r="AF90" s="28">
        <f t="shared" si="12"/>
        <v>28799978.220000006</v>
      </c>
      <c r="AG90" s="28">
        <f t="shared" si="13"/>
        <v>27961.143902912627</v>
      </c>
    </row>
    <row r="91" spans="1:214" ht="72" x14ac:dyDescent="0.3">
      <c r="A91" s="41" t="s">
        <v>697</v>
      </c>
      <c r="B91" s="41" t="s">
        <v>695</v>
      </c>
      <c r="C91" s="41" t="s">
        <v>686</v>
      </c>
      <c r="D91" s="41" t="s">
        <v>144</v>
      </c>
      <c r="E91" s="41" t="s">
        <v>632</v>
      </c>
      <c r="F91" s="41" t="s">
        <v>712</v>
      </c>
      <c r="G91" s="41">
        <f>1999.2/7</f>
        <v>285.60000000000002</v>
      </c>
      <c r="H91" s="41">
        <f>2*25*9</f>
        <v>450</v>
      </c>
      <c r="I91" s="41">
        <v>5</v>
      </c>
      <c r="J91" s="41">
        <f t="shared" si="17"/>
        <v>642600.00000000012</v>
      </c>
      <c r="K91" s="41">
        <v>0</v>
      </c>
      <c r="L91" s="41">
        <v>0</v>
      </c>
      <c r="M91" s="41">
        <v>0</v>
      </c>
      <c r="N91" s="41">
        <v>0</v>
      </c>
      <c r="O91" s="41">
        <v>0</v>
      </c>
      <c r="P91" s="41">
        <v>0</v>
      </c>
      <c r="Q91" s="41">
        <f>2*25*9</f>
        <v>450</v>
      </c>
      <c r="R91" s="41">
        <v>5</v>
      </c>
      <c r="S91" s="41">
        <f t="shared" si="18"/>
        <v>855300.60000000044</v>
      </c>
      <c r="T91" s="41">
        <v>0</v>
      </c>
      <c r="U91" s="41">
        <v>0</v>
      </c>
      <c r="V91" s="41">
        <v>0</v>
      </c>
      <c r="W91" s="41">
        <v>0</v>
      </c>
      <c r="X91" s="41">
        <v>0</v>
      </c>
      <c r="Y91" s="41">
        <v>0</v>
      </c>
      <c r="Z91" s="41">
        <f>2*25*9</f>
        <v>450</v>
      </c>
      <c r="AA91" s="41">
        <v>5</v>
      </c>
      <c r="AB91" s="41">
        <f t="shared" si="16"/>
        <v>1138405.0986000006</v>
      </c>
      <c r="AC91" s="41">
        <v>0</v>
      </c>
      <c r="AD91" s="41">
        <v>0</v>
      </c>
      <c r="AE91" s="41">
        <v>0</v>
      </c>
      <c r="AF91" s="28">
        <f t="shared" si="12"/>
        <v>2636305.6986000012</v>
      </c>
      <c r="AG91" s="28">
        <f t="shared" si="13"/>
        <v>2559.5200957281563</v>
      </c>
    </row>
    <row r="92" spans="1:214" ht="72" x14ac:dyDescent="0.3">
      <c r="A92" s="41" t="s">
        <v>697</v>
      </c>
      <c r="B92" s="41" t="s">
        <v>695</v>
      </c>
      <c r="C92" s="41" t="s">
        <v>686</v>
      </c>
      <c r="D92" s="41" t="s">
        <v>144</v>
      </c>
      <c r="E92" s="41" t="s">
        <v>632</v>
      </c>
      <c r="F92" s="41" t="s">
        <v>1320</v>
      </c>
      <c r="G92" s="41">
        <f>1999.2/7</f>
        <v>285.60000000000002</v>
      </c>
      <c r="H92" s="41">
        <f>2*135*9</f>
        <v>2430</v>
      </c>
      <c r="I92" s="41">
        <v>1</v>
      </c>
      <c r="J92" s="41">
        <f t="shared" si="17"/>
        <v>694008</v>
      </c>
      <c r="K92" s="41"/>
      <c r="L92" s="41"/>
      <c r="M92" s="41"/>
      <c r="N92" s="41"/>
      <c r="O92" s="41"/>
      <c r="P92" s="41"/>
      <c r="Q92" s="41">
        <f>2*135*9</f>
        <v>2430</v>
      </c>
      <c r="R92" s="41">
        <v>1</v>
      </c>
      <c r="S92" s="41">
        <f t="shared" si="18"/>
        <v>923724.64800000039</v>
      </c>
      <c r="T92" s="41"/>
      <c r="U92" s="41"/>
      <c r="V92" s="41"/>
      <c r="W92" s="41"/>
      <c r="X92" s="41"/>
      <c r="Y92" s="41"/>
      <c r="Z92" s="41">
        <f>2*135*9</f>
        <v>2430</v>
      </c>
      <c r="AA92" s="41">
        <v>1</v>
      </c>
      <c r="AB92" s="41">
        <f t="shared" si="16"/>
        <v>1229477.5064880007</v>
      </c>
      <c r="AC92" s="41"/>
      <c r="AD92" s="41"/>
      <c r="AE92" s="41"/>
      <c r="AF92" s="28">
        <f t="shared" si="12"/>
        <v>2847210.154488001</v>
      </c>
      <c r="AG92" s="28">
        <f t="shared" si="13"/>
        <v>2764.2817033864089</v>
      </c>
    </row>
    <row r="93" spans="1:214" ht="72" x14ac:dyDescent="0.3">
      <c r="A93" s="41" t="s">
        <v>697</v>
      </c>
      <c r="B93" s="41" t="s">
        <v>695</v>
      </c>
      <c r="C93" s="41" t="s">
        <v>686</v>
      </c>
      <c r="D93" s="41" t="s">
        <v>144</v>
      </c>
      <c r="E93" s="41" t="s">
        <v>151</v>
      </c>
      <c r="F93" s="41" t="s">
        <v>713</v>
      </c>
      <c r="G93" s="41">
        <v>45000</v>
      </c>
      <c r="H93" s="41">
        <v>30</v>
      </c>
      <c r="I93" s="41">
        <v>5</v>
      </c>
      <c r="J93" s="41">
        <f t="shared" si="17"/>
        <v>6750000</v>
      </c>
      <c r="K93" s="41">
        <v>0</v>
      </c>
      <c r="L93" s="41">
        <v>0</v>
      </c>
      <c r="M93" s="41">
        <v>0</v>
      </c>
      <c r="N93" s="41">
        <v>0</v>
      </c>
      <c r="O93" s="41">
        <v>0</v>
      </c>
      <c r="P93" s="41">
        <v>0</v>
      </c>
      <c r="Q93" s="41">
        <v>30</v>
      </c>
      <c r="R93" s="41">
        <v>5</v>
      </c>
      <c r="S93" s="41">
        <f t="shared" si="18"/>
        <v>8984250.0000000037</v>
      </c>
      <c r="T93" s="41">
        <v>0</v>
      </c>
      <c r="U93" s="41">
        <v>0</v>
      </c>
      <c r="V93" s="41">
        <v>0</v>
      </c>
      <c r="W93" s="41">
        <v>0</v>
      </c>
      <c r="X93" s="41">
        <v>0</v>
      </c>
      <c r="Y93" s="41">
        <v>0</v>
      </c>
      <c r="Z93" s="41">
        <v>30</v>
      </c>
      <c r="AA93" s="41">
        <v>5</v>
      </c>
      <c r="AB93" s="41">
        <f t="shared" si="16"/>
        <v>11958036.750000006</v>
      </c>
      <c r="AC93" s="41">
        <v>0</v>
      </c>
      <c r="AD93" s="41">
        <v>0</v>
      </c>
      <c r="AE93" s="41">
        <v>0</v>
      </c>
      <c r="AF93" s="28">
        <f t="shared" si="12"/>
        <v>27692286.750000007</v>
      </c>
      <c r="AG93" s="28">
        <f t="shared" si="13"/>
        <v>26885.715291262142</v>
      </c>
    </row>
    <row r="94" spans="1:214" ht="72" x14ac:dyDescent="0.3">
      <c r="A94" s="41" t="s">
        <v>697</v>
      </c>
      <c r="B94" s="41" t="s">
        <v>695</v>
      </c>
      <c r="C94" s="41" t="s">
        <v>686</v>
      </c>
      <c r="D94" s="41" t="s">
        <v>144</v>
      </c>
      <c r="E94" s="41" t="s">
        <v>151</v>
      </c>
      <c r="F94" s="41" t="s">
        <v>712</v>
      </c>
      <c r="G94" s="41">
        <f>1999.2/7</f>
        <v>285.60000000000002</v>
      </c>
      <c r="H94" s="41">
        <f>2*25*9</f>
        <v>450</v>
      </c>
      <c r="I94" s="41">
        <v>5</v>
      </c>
      <c r="J94" s="41">
        <f t="shared" si="17"/>
        <v>642600.00000000012</v>
      </c>
      <c r="K94" s="41">
        <v>0</v>
      </c>
      <c r="L94" s="41">
        <v>0</v>
      </c>
      <c r="M94" s="41">
        <v>0</v>
      </c>
      <c r="N94" s="41">
        <v>0</v>
      </c>
      <c r="O94" s="41">
        <v>0</v>
      </c>
      <c r="P94" s="41">
        <v>0</v>
      </c>
      <c r="Q94" s="41">
        <f>2*25*9</f>
        <v>450</v>
      </c>
      <c r="R94" s="41">
        <v>5</v>
      </c>
      <c r="S94" s="41">
        <f t="shared" si="18"/>
        <v>855300.60000000044</v>
      </c>
      <c r="T94" s="41">
        <v>0</v>
      </c>
      <c r="U94" s="41">
        <v>0</v>
      </c>
      <c r="V94" s="41">
        <v>0</v>
      </c>
      <c r="W94" s="41">
        <v>0</v>
      </c>
      <c r="X94" s="41">
        <v>0</v>
      </c>
      <c r="Y94" s="41">
        <v>0</v>
      </c>
      <c r="Z94" s="41">
        <f>2*25*9</f>
        <v>450</v>
      </c>
      <c r="AA94" s="41">
        <v>5</v>
      </c>
      <c r="AB94" s="41">
        <f t="shared" si="16"/>
        <v>1138405.0986000006</v>
      </c>
      <c r="AC94" s="41">
        <v>0</v>
      </c>
      <c r="AD94" s="41">
        <v>0</v>
      </c>
      <c r="AE94" s="41">
        <v>0</v>
      </c>
      <c r="AF94" s="28">
        <f t="shared" si="12"/>
        <v>2636305.6986000012</v>
      </c>
      <c r="AG94" s="28">
        <f t="shared" si="13"/>
        <v>2559.5200957281563</v>
      </c>
    </row>
    <row r="95" spans="1:214" ht="72" x14ac:dyDescent="0.3">
      <c r="A95" s="41" t="s">
        <v>697</v>
      </c>
      <c r="B95" s="41" t="s">
        <v>695</v>
      </c>
      <c r="C95" s="41" t="s">
        <v>686</v>
      </c>
      <c r="D95" s="41" t="s">
        <v>144</v>
      </c>
      <c r="E95" s="41" t="s">
        <v>151</v>
      </c>
      <c r="F95" s="41" t="s">
        <v>1320</v>
      </c>
      <c r="G95" s="41">
        <f>1999.2/7</f>
        <v>285.60000000000002</v>
      </c>
      <c r="H95" s="41">
        <f>2*135*9</f>
        <v>2430</v>
      </c>
      <c r="I95" s="41">
        <v>1</v>
      </c>
      <c r="J95" s="41">
        <f t="shared" si="17"/>
        <v>694008</v>
      </c>
      <c r="K95" s="41"/>
      <c r="L95" s="41"/>
      <c r="M95" s="41"/>
      <c r="N95" s="41"/>
      <c r="O95" s="41"/>
      <c r="P95" s="41"/>
      <c r="Q95" s="41">
        <f>2*135*9</f>
        <v>2430</v>
      </c>
      <c r="R95" s="41">
        <v>1</v>
      </c>
      <c r="S95" s="41">
        <f t="shared" si="18"/>
        <v>923724.64800000039</v>
      </c>
      <c r="T95" s="41"/>
      <c r="U95" s="41"/>
      <c r="V95" s="41"/>
      <c r="W95" s="41"/>
      <c r="X95" s="41"/>
      <c r="Y95" s="41"/>
      <c r="Z95" s="41">
        <f>2*135*9</f>
        <v>2430</v>
      </c>
      <c r="AA95" s="41">
        <v>1</v>
      </c>
      <c r="AB95" s="41">
        <f t="shared" si="16"/>
        <v>1229477.5064880007</v>
      </c>
      <c r="AC95" s="41"/>
      <c r="AD95" s="41"/>
      <c r="AE95" s="41"/>
      <c r="AF95" s="28">
        <f t="shared" si="12"/>
        <v>2847210.154488001</v>
      </c>
      <c r="AG95" s="28">
        <f t="shared" si="13"/>
        <v>2764.2817033864089</v>
      </c>
    </row>
    <row r="96" spans="1:214" ht="72" x14ac:dyDescent="0.3">
      <c r="A96" s="41" t="s">
        <v>697</v>
      </c>
      <c r="B96" s="41" t="s">
        <v>695</v>
      </c>
      <c r="C96" s="41" t="s">
        <v>686</v>
      </c>
      <c r="D96" s="41" t="s">
        <v>144</v>
      </c>
      <c r="E96" s="41" t="s">
        <v>151</v>
      </c>
      <c r="F96" s="41" t="s">
        <v>715</v>
      </c>
      <c r="G96" s="41">
        <v>302000</v>
      </c>
      <c r="H96" s="41">
        <v>20</v>
      </c>
      <c r="I96" s="41">
        <v>1</v>
      </c>
      <c r="J96" s="41">
        <f t="shared" si="17"/>
        <v>6040000</v>
      </c>
      <c r="K96" s="41">
        <v>0</v>
      </c>
      <c r="L96" s="41">
        <v>0</v>
      </c>
      <c r="M96" s="41">
        <v>0</v>
      </c>
      <c r="N96" s="41">
        <v>0</v>
      </c>
      <c r="O96" s="41">
        <v>0</v>
      </c>
      <c r="P96" s="41">
        <v>0</v>
      </c>
      <c r="Q96" s="41">
        <v>20</v>
      </c>
      <c r="R96" s="41">
        <v>1</v>
      </c>
      <c r="S96" s="41">
        <f t="shared" si="18"/>
        <v>8039240.0000000019</v>
      </c>
      <c r="T96" s="41">
        <v>0</v>
      </c>
      <c r="U96" s="41">
        <v>0</v>
      </c>
      <c r="V96" s="41">
        <v>0</v>
      </c>
      <c r="W96" s="41">
        <v>0</v>
      </c>
      <c r="X96" s="41">
        <v>0</v>
      </c>
      <c r="Y96" s="41">
        <v>0</v>
      </c>
      <c r="Z96" s="41">
        <v>20</v>
      </c>
      <c r="AA96" s="41">
        <v>1</v>
      </c>
      <c r="AB96" s="41">
        <f t="shared" si="16"/>
        <v>10700228.440000005</v>
      </c>
      <c r="AC96" s="41">
        <v>0</v>
      </c>
      <c r="AD96" s="41">
        <v>0</v>
      </c>
      <c r="AE96" s="41">
        <v>0</v>
      </c>
      <c r="AF96" s="28">
        <f t="shared" si="12"/>
        <v>24779468.440000005</v>
      </c>
      <c r="AG96" s="28">
        <f t="shared" si="13"/>
        <v>24057.736349514569</v>
      </c>
    </row>
    <row r="97" spans="1:33" ht="72" x14ac:dyDescent="0.3">
      <c r="A97" s="41" t="s">
        <v>697</v>
      </c>
      <c r="B97" s="41" t="s">
        <v>695</v>
      </c>
      <c r="C97" s="41" t="s">
        <v>686</v>
      </c>
      <c r="D97" s="41" t="s">
        <v>144</v>
      </c>
      <c r="E97" s="41" t="s">
        <v>151</v>
      </c>
      <c r="F97" s="41" t="s">
        <v>714</v>
      </c>
      <c r="G97" s="41">
        <v>10000</v>
      </c>
      <c r="H97" s="41">
        <v>15</v>
      </c>
      <c r="I97" s="41">
        <v>1</v>
      </c>
      <c r="J97" s="41">
        <f t="shared" si="17"/>
        <v>150000</v>
      </c>
      <c r="K97" s="41">
        <v>0</v>
      </c>
      <c r="L97" s="41">
        <v>0</v>
      </c>
      <c r="M97" s="41">
        <v>0</v>
      </c>
      <c r="N97" s="41">
        <v>0</v>
      </c>
      <c r="O97" s="41">
        <v>0</v>
      </c>
      <c r="P97" s="41">
        <v>0</v>
      </c>
      <c r="Q97" s="41">
        <v>15</v>
      </c>
      <c r="R97" s="41">
        <v>1</v>
      </c>
      <c r="S97" s="41">
        <f t="shared" si="18"/>
        <v>199650.00000000006</v>
      </c>
      <c r="T97" s="41">
        <v>0</v>
      </c>
      <c r="U97" s="41">
        <v>0</v>
      </c>
      <c r="V97" s="41">
        <v>0</v>
      </c>
      <c r="W97" s="41">
        <v>0</v>
      </c>
      <c r="X97" s="41">
        <v>0</v>
      </c>
      <c r="Y97" s="41">
        <v>0</v>
      </c>
      <c r="Z97" s="41">
        <v>15</v>
      </c>
      <c r="AA97" s="41">
        <v>1</v>
      </c>
      <c r="AB97" s="41">
        <f t="shared" si="16"/>
        <v>265734.15000000014</v>
      </c>
      <c r="AC97" s="41">
        <v>0</v>
      </c>
      <c r="AD97" s="41">
        <v>0</v>
      </c>
      <c r="AE97" s="41">
        <v>0</v>
      </c>
      <c r="AF97" s="28">
        <f t="shared" si="12"/>
        <v>615384.15000000014</v>
      </c>
      <c r="AG97" s="28">
        <f t="shared" si="13"/>
        <v>597.46033980582536</v>
      </c>
    </row>
    <row r="98" spans="1:33" ht="72" x14ac:dyDescent="0.3">
      <c r="A98" s="41" t="s">
        <v>697</v>
      </c>
      <c r="B98" s="41" t="s">
        <v>695</v>
      </c>
      <c r="C98" s="41" t="s">
        <v>686</v>
      </c>
      <c r="D98" s="41" t="s">
        <v>144</v>
      </c>
      <c r="E98" s="41" t="s">
        <v>152</v>
      </c>
      <c r="F98" s="41" t="s">
        <v>709</v>
      </c>
      <c r="G98" s="41">
        <v>35000</v>
      </c>
      <c r="H98" s="41">
        <v>30</v>
      </c>
      <c r="I98" s="41">
        <v>5</v>
      </c>
      <c r="J98" s="41">
        <f t="shared" si="17"/>
        <v>5250000</v>
      </c>
      <c r="K98" s="41">
        <v>0</v>
      </c>
      <c r="L98" s="41">
        <v>0</v>
      </c>
      <c r="M98" s="41">
        <v>0</v>
      </c>
      <c r="N98" s="41">
        <v>0</v>
      </c>
      <c r="O98" s="41">
        <v>0</v>
      </c>
      <c r="P98" s="41">
        <v>0</v>
      </c>
      <c r="Q98" s="41">
        <v>30</v>
      </c>
      <c r="R98" s="41">
        <v>5</v>
      </c>
      <c r="S98" s="41">
        <f t="shared" si="18"/>
        <v>6987750.0000000019</v>
      </c>
      <c r="T98" s="41">
        <v>0</v>
      </c>
      <c r="U98" s="41">
        <v>0</v>
      </c>
      <c r="V98" s="41">
        <v>0</v>
      </c>
      <c r="W98" s="41">
        <v>0</v>
      </c>
      <c r="X98" s="41">
        <v>0</v>
      </c>
      <c r="Y98" s="41">
        <v>0</v>
      </c>
      <c r="Z98" s="41">
        <v>30</v>
      </c>
      <c r="AA98" s="41">
        <v>5</v>
      </c>
      <c r="AB98" s="41">
        <f t="shared" si="16"/>
        <v>9300695.2500000056</v>
      </c>
      <c r="AC98" s="41">
        <v>0</v>
      </c>
      <c r="AD98" s="41">
        <v>0</v>
      </c>
      <c r="AE98" s="41">
        <v>0</v>
      </c>
      <c r="AF98" s="28">
        <f t="shared" si="12"/>
        <v>21538445.250000007</v>
      </c>
      <c r="AG98" s="28">
        <f t="shared" si="13"/>
        <v>20911.111893203892</v>
      </c>
    </row>
    <row r="99" spans="1:33" ht="72" x14ac:dyDescent="0.3">
      <c r="A99" s="41" t="s">
        <v>697</v>
      </c>
      <c r="B99" s="41" t="s">
        <v>695</v>
      </c>
      <c r="C99" s="41" t="s">
        <v>686</v>
      </c>
      <c r="D99" s="41" t="s">
        <v>144</v>
      </c>
      <c r="E99" s="41" t="s">
        <v>152</v>
      </c>
      <c r="F99" s="41" t="s">
        <v>716</v>
      </c>
      <c r="G99" s="41">
        <v>39000</v>
      </c>
      <c r="H99" s="41">
        <v>30</v>
      </c>
      <c r="I99" s="41">
        <v>5</v>
      </c>
      <c r="J99" s="41">
        <f t="shared" si="17"/>
        <v>5850000</v>
      </c>
      <c r="K99" s="41">
        <v>0</v>
      </c>
      <c r="L99" s="41">
        <v>0</v>
      </c>
      <c r="M99" s="41">
        <v>0</v>
      </c>
      <c r="N99" s="41">
        <v>0</v>
      </c>
      <c r="O99" s="41">
        <v>0</v>
      </c>
      <c r="P99" s="41">
        <v>0</v>
      </c>
      <c r="Q99" s="41">
        <v>30</v>
      </c>
      <c r="R99" s="41">
        <v>5</v>
      </c>
      <c r="S99" s="41">
        <f t="shared" si="18"/>
        <v>7786350.0000000019</v>
      </c>
      <c r="T99" s="41">
        <v>0</v>
      </c>
      <c r="U99" s="41">
        <v>0</v>
      </c>
      <c r="V99" s="41">
        <v>0</v>
      </c>
      <c r="W99" s="41">
        <v>0</v>
      </c>
      <c r="X99" s="41">
        <v>0</v>
      </c>
      <c r="Y99" s="41">
        <v>0</v>
      </c>
      <c r="Z99" s="41">
        <v>30</v>
      </c>
      <c r="AA99" s="41">
        <v>5</v>
      </c>
      <c r="AB99" s="41">
        <f t="shared" si="16"/>
        <v>10363631.850000003</v>
      </c>
      <c r="AC99" s="41">
        <v>0</v>
      </c>
      <c r="AD99" s="41">
        <v>0</v>
      </c>
      <c r="AE99" s="41">
        <v>0</v>
      </c>
      <c r="AF99" s="28">
        <f t="shared" si="12"/>
        <v>23999981.850000005</v>
      </c>
      <c r="AG99" s="28">
        <f t="shared" si="13"/>
        <v>23300.953252427189</v>
      </c>
    </row>
    <row r="100" spans="1:33" ht="72" x14ac:dyDescent="0.3">
      <c r="A100" s="41" t="s">
        <v>697</v>
      </c>
      <c r="B100" s="41" t="s">
        <v>695</v>
      </c>
      <c r="C100" s="41" t="s">
        <v>686</v>
      </c>
      <c r="D100" s="41" t="s">
        <v>144</v>
      </c>
      <c r="E100" s="41" t="s">
        <v>152</v>
      </c>
      <c r="F100" s="41" t="s">
        <v>712</v>
      </c>
      <c r="G100" s="41">
        <f>1999.2/7</f>
        <v>285.60000000000002</v>
      </c>
      <c r="H100" s="41">
        <f>2*25*9</f>
        <v>450</v>
      </c>
      <c r="I100" s="41">
        <v>5</v>
      </c>
      <c r="J100" s="41">
        <f t="shared" si="17"/>
        <v>642600.00000000012</v>
      </c>
      <c r="K100" s="41">
        <v>0</v>
      </c>
      <c r="L100" s="41">
        <v>0</v>
      </c>
      <c r="M100" s="41">
        <v>0</v>
      </c>
      <c r="N100" s="41">
        <v>0</v>
      </c>
      <c r="O100" s="41">
        <v>0</v>
      </c>
      <c r="P100" s="41">
        <v>0</v>
      </c>
      <c r="Q100" s="41">
        <f>2*25*9</f>
        <v>450</v>
      </c>
      <c r="R100" s="41">
        <v>5</v>
      </c>
      <c r="S100" s="41">
        <f t="shared" si="18"/>
        <v>855300.60000000044</v>
      </c>
      <c r="T100" s="41">
        <v>0</v>
      </c>
      <c r="U100" s="41">
        <v>0</v>
      </c>
      <c r="V100" s="41">
        <v>0</v>
      </c>
      <c r="W100" s="41">
        <v>0</v>
      </c>
      <c r="X100" s="41">
        <v>0</v>
      </c>
      <c r="Y100" s="41">
        <v>0</v>
      </c>
      <c r="Z100" s="41">
        <f>2*25*9</f>
        <v>450</v>
      </c>
      <c r="AA100" s="41">
        <v>5</v>
      </c>
      <c r="AB100" s="41">
        <f t="shared" si="16"/>
        <v>1138405.0986000006</v>
      </c>
      <c r="AC100" s="41">
        <v>0</v>
      </c>
      <c r="AD100" s="41">
        <v>0</v>
      </c>
      <c r="AE100" s="41">
        <v>0</v>
      </c>
      <c r="AF100" s="28">
        <f t="shared" si="12"/>
        <v>2636305.6986000012</v>
      </c>
      <c r="AG100" s="28">
        <f t="shared" si="13"/>
        <v>2559.5200957281563</v>
      </c>
    </row>
    <row r="101" spans="1:33" ht="72" x14ac:dyDescent="0.3">
      <c r="A101" s="41" t="s">
        <v>697</v>
      </c>
      <c r="B101" s="41" t="s">
        <v>695</v>
      </c>
      <c r="C101" s="41" t="s">
        <v>686</v>
      </c>
      <c r="D101" s="41" t="s">
        <v>144</v>
      </c>
      <c r="E101" s="41" t="s">
        <v>152</v>
      </c>
      <c r="F101" s="41" t="s">
        <v>1320</v>
      </c>
      <c r="G101" s="41">
        <f>1999.2/7</f>
        <v>285.60000000000002</v>
      </c>
      <c r="H101" s="41">
        <f>2*135*9</f>
        <v>2430</v>
      </c>
      <c r="I101" s="41">
        <v>1</v>
      </c>
      <c r="J101" s="41">
        <f t="shared" si="17"/>
        <v>694008</v>
      </c>
      <c r="K101" s="41"/>
      <c r="L101" s="41"/>
      <c r="M101" s="41"/>
      <c r="N101" s="41"/>
      <c r="O101" s="41"/>
      <c r="P101" s="41"/>
      <c r="Q101" s="41">
        <f>2*135*9</f>
        <v>2430</v>
      </c>
      <c r="R101" s="41">
        <v>1</v>
      </c>
      <c r="S101" s="41">
        <f t="shared" si="18"/>
        <v>923724.64800000039</v>
      </c>
      <c r="T101" s="41"/>
      <c r="U101" s="41"/>
      <c r="V101" s="41"/>
      <c r="W101" s="41"/>
      <c r="X101" s="41"/>
      <c r="Y101" s="41"/>
      <c r="Z101" s="41">
        <f>2*135*9</f>
        <v>2430</v>
      </c>
      <c r="AA101" s="41">
        <v>1</v>
      </c>
      <c r="AB101" s="41">
        <f t="shared" si="16"/>
        <v>1229477.5064880007</v>
      </c>
      <c r="AC101" s="41"/>
      <c r="AD101" s="41"/>
      <c r="AE101" s="41"/>
      <c r="AF101" s="28">
        <f t="shared" si="12"/>
        <v>2847210.154488001</v>
      </c>
      <c r="AG101" s="28">
        <f t="shared" si="13"/>
        <v>2764.2817033864089</v>
      </c>
    </row>
    <row r="102" spans="1:33" ht="72" x14ac:dyDescent="0.3">
      <c r="A102" s="41" t="s">
        <v>697</v>
      </c>
      <c r="B102" s="41" t="s">
        <v>695</v>
      </c>
      <c r="C102" s="41" t="s">
        <v>686</v>
      </c>
      <c r="D102" s="41" t="s">
        <v>144</v>
      </c>
      <c r="E102" s="41" t="s">
        <v>153</v>
      </c>
      <c r="F102" s="41" t="s">
        <v>709</v>
      </c>
      <c r="G102" s="41">
        <v>35000</v>
      </c>
      <c r="H102" s="41">
        <v>20</v>
      </c>
      <c r="I102" s="41">
        <v>5</v>
      </c>
      <c r="J102" s="41">
        <f t="shared" si="17"/>
        <v>3500000</v>
      </c>
      <c r="K102" s="41">
        <v>0</v>
      </c>
      <c r="L102" s="41">
        <v>0</v>
      </c>
      <c r="M102" s="41">
        <v>0</v>
      </c>
      <c r="N102" s="41">
        <v>0</v>
      </c>
      <c r="O102" s="41">
        <v>0</v>
      </c>
      <c r="P102" s="41">
        <v>0</v>
      </c>
      <c r="Q102" s="41">
        <v>20</v>
      </c>
      <c r="R102" s="41">
        <v>5</v>
      </c>
      <c r="S102" s="41">
        <f t="shared" si="18"/>
        <v>4658500.0000000009</v>
      </c>
      <c r="T102" s="41">
        <v>0</v>
      </c>
      <c r="U102" s="41">
        <v>0</v>
      </c>
      <c r="V102" s="41">
        <v>0</v>
      </c>
      <c r="W102" s="41">
        <v>0</v>
      </c>
      <c r="X102" s="41">
        <v>0</v>
      </c>
      <c r="Y102" s="41">
        <v>0</v>
      </c>
      <c r="Z102" s="41">
        <v>20</v>
      </c>
      <c r="AA102" s="41">
        <v>5</v>
      </c>
      <c r="AB102" s="41">
        <f t="shared" si="16"/>
        <v>6200463.5000000037</v>
      </c>
      <c r="AC102" s="41">
        <v>0</v>
      </c>
      <c r="AD102" s="41">
        <v>0</v>
      </c>
      <c r="AE102" s="41">
        <v>0</v>
      </c>
      <c r="AF102" s="28">
        <f t="shared" si="12"/>
        <v>14358963.500000004</v>
      </c>
      <c r="AG102" s="28">
        <f t="shared" si="13"/>
        <v>13940.741262135925</v>
      </c>
    </row>
    <row r="103" spans="1:33" ht="72" x14ac:dyDescent="0.3">
      <c r="A103" s="41" t="s">
        <v>697</v>
      </c>
      <c r="B103" s="41" t="s">
        <v>695</v>
      </c>
      <c r="C103" s="41" t="s">
        <v>686</v>
      </c>
      <c r="D103" s="41" t="s">
        <v>144</v>
      </c>
      <c r="E103" s="41" t="s">
        <v>153</v>
      </c>
      <c r="F103" s="41" t="s">
        <v>716</v>
      </c>
      <c r="G103" s="41">
        <v>39000</v>
      </c>
      <c r="H103" s="41">
        <v>20</v>
      </c>
      <c r="I103" s="41">
        <v>5</v>
      </c>
      <c r="J103" s="41">
        <f t="shared" si="17"/>
        <v>3900000</v>
      </c>
      <c r="K103" s="41">
        <v>0</v>
      </c>
      <c r="L103" s="41">
        <v>0</v>
      </c>
      <c r="M103" s="41">
        <v>0</v>
      </c>
      <c r="N103" s="41">
        <v>0</v>
      </c>
      <c r="O103" s="41">
        <v>0</v>
      </c>
      <c r="P103" s="41">
        <v>0</v>
      </c>
      <c r="Q103" s="41">
        <v>20</v>
      </c>
      <c r="R103" s="41">
        <v>5</v>
      </c>
      <c r="S103" s="41">
        <f t="shared" si="18"/>
        <v>5190900.0000000009</v>
      </c>
      <c r="T103" s="41">
        <v>0</v>
      </c>
      <c r="U103" s="41">
        <v>0</v>
      </c>
      <c r="V103" s="41">
        <v>0</v>
      </c>
      <c r="W103" s="41">
        <v>0</v>
      </c>
      <c r="X103" s="41">
        <v>0</v>
      </c>
      <c r="Y103" s="41">
        <v>0</v>
      </c>
      <c r="Z103" s="41">
        <v>20</v>
      </c>
      <c r="AA103" s="41">
        <v>5</v>
      </c>
      <c r="AB103" s="41">
        <f t="shared" si="16"/>
        <v>6909087.9000000022</v>
      </c>
      <c r="AC103" s="41">
        <v>0</v>
      </c>
      <c r="AD103" s="41">
        <v>0</v>
      </c>
      <c r="AE103" s="41">
        <v>0</v>
      </c>
      <c r="AF103" s="28">
        <f t="shared" si="12"/>
        <v>15999987.900000002</v>
      </c>
      <c r="AG103" s="28">
        <f t="shared" si="13"/>
        <v>15533.968834951458</v>
      </c>
    </row>
    <row r="104" spans="1:33" ht="72" x14ac:dyDescent="0.3">
      <c r="A104" s="41" t="s">
        <v>697</v>
      </c>
      <c r="B104" s="41" t="s">
        <v>695</v>
      </c>
      <c r="C104" s="41" t="s">
        <v>686</v>
      </c>
      <c r="D104" s="41" t="s">
        <v>144</v>
      </c>
      <c r="E104" s="41" t="s">
        <v>153</v>
      </c>
      <c r="F104" s="41" t="s">
        <v>712</v>
      </c>
      <c r="G104" s="41">
        <f>1999.2/7</f>
        <v>285.60000000000002</v>
      </c>
      <c r="H104" s="41">
        <f>2*25*9</f>
        <v>450</v>
      </c>
      <c r="I104" s="41">
        <v>5</v>
      </c>
      <c r="J104" s="41">
        <f t="shared" si="17"/>
        <v>642600.00000000012</v>
      </c>
      <c r="K104" s="41">
        <v>0</v>
      </c>
      <c r="L104" s="41">
        <v>0</v>
      </c>
      <c r="M104" s="41">
        <v>0</v>
      </c>
      <c r="N104" s="41">
        <v>0</v>
      </c>
      <c r="O104" s="41">
        <v>0</v>
      </c>
      <c r="P104" s="41">
        <v>0</v>
      </c>
      <c r="Q104" s="41">
        <f>2*25*9</f>
        <v>450</v>
      </c>
      <c r="R104" s="41">
        <v>5</v>
      </c>
      <c r="S104" s="41">
        <f t="shared" si="18"/>
        <v>855300.60000000044</v>
      </c>
      <c r="T104" s="41">
        <v>0</v>
      </c>
      <c r="U104" s="41">
        <v>0</v>
      </c>
      <c r="V104" s="41">
        <v>0</v>
      </c>
      <c r="W104" s="41">
        <v>0</v>
      </c>
      <c r="X104" s="41">
        <v>0</v>
      </c>
      <c r="Y104" s="41">
        <v>0</v>
      </c>
      <c r="Z104" s="41">
        <f>2*25*9</f>
        <v>450</v>
      </c>
      <c r="AA104" s="41">
        <v>5</v>
      </c>
      <c r="AB104" s="41">
        <f t="shared" si="16"/>
        <v>1138405.0986000006</v>
      </c>
      <c r="AC104" s="41">
        <v>0</v>
      </c>
      <c r="AD104" s="41">
        <v>0</v>
      </c>
      <c r="AE104" s="41">
        <v>0</v>
      </c>
      <c r="AF104" s="28">
        <f t="shared" si="12"/>
        <v>2636305.6986000012</v>
      </c>
      <c r="AG104" s="28">
        <f t="shared" si="13"/>
        <v>2559.5200957281563</v>
      </c>
    </row>
    <row r="105" spans="1:33" ht="72" x14ac:dyDescent="0.3">
      <c r="A105" s="41" t="s">
        <v>697</v>
      </c>
      <c r="B105" s="41" t="s">
        <v>695</v>
      </c>
      <c r="C105" s="41" t="s">
        <v>686</v>
      </c>
      <c r="D105" s="41" t="s">
        <v>144</v>
      </c>
      <c r="E105" s="41" t="s">
        <v>153</v>
      </c>
      <c r="F105" s="41" t="s">
        <v>1320</v>
      </c>
      <c r="G105" s="41">
        <f>1999.2/7</f>
        <v>285.60000000000002</v>
      </c>
      <c r="H105" s="41">
        <f>2*135*9</f>
        <v>2430</v>
      </c>
      <c r="I105" s="41">
        <v>1</v>
      </c>
      <c r="J105" s="41">
        <f t="shared" si="17"/>
        <v>694008</v>
      </c>
      <c r="K105" s="41"/>
      <c r="L105" s="41"/>
      <c r="M105" s="41"/>
      <c r="N105" s="41"/>
      <c r="O105" s="41"/>
      <c r="P105" s="41"/>
      <c r="Q105" s="41">
        <f>2*135*9</f>
        <v>2430</v>
      </c>
      <c r="R105" s="41">
        <v>1</v>
      </c>
      <c r="S105" s="41">
        <f t="shared" si="18"/>
        <v>923724.64800000039</v>
      </c>
      <c r="T105" s="41"/>
      <c r="U105" s="41"/>
      <c r="V105" s="41"/>
      <c r="W105" s="41"/>
      <c r="X105" s="41"/>
      <c r="Y105" s="41"/>
      <c r="Z105" s="41">
        <f>2*135*9</f>
        <v>2430</v>
      </c>
      <c r="AA105" s="41">
        <v>1</v>
      </c>
      <c r="AB105" s="41">
        <f t="shared" si="16"/>
        <v>1229477.5064880007</v>
      </c>
      <c r="AC105" s="41"/>
      <c r="AD105" s="41"/>
      <c r="AE105" s="41"/>
      <c r="AF105" s="28">
        <f t="shared" si="12"/>
        <v>2847210.154488001</v>
      </c>
      <c r="AG105" s="28">
        <f t="shared" si="13"/>
        <v>2764.2817033864089</v>
      </c>
    </row>
    <row r="106" spans="1:33" ht="72" x14ac:dyDescent="0.3">
      <c r="A106" s="41" t="s">
        <v>697</v>
      </c>
      <c r="B106" s="41" t="s">
        <v>695</v>
      </c>
      <c r="C106" s="41" t="s">
        <v>686</v>
      </c>
      <c r="D106" s="41" t="s">
        <v>144</v>
      </c>
      <c r="E106" s="41" t="s">
        <v>172</v>
      </c>
      <c r="F106" s="41" t="s">
        <v>709</v>
      </c>
      <c r="G106" s="41">
        <v>35000</v>
      </c>
      <c r="H106" s="41">
        <v>25</v>
      </c>
      <c r="I106" s="41">
        <v>1</v>
      </c>
      <c r="J106" s="41">
        <f t="shared" si="17"/>
        <v>875000</v>
      </c>
      <c r="K106" s="41">
        <v>0</v>
      </c>
      <c r="L106" s="41">
        <v>0</v>
      </c>
      <c r="M106" s="41">
        <v>0</v>
      </c>
      <c r="N106" s="41">
        <v>0</v>
      </c>
      <c r="O106" s="41">
        <v>0</v>
      </c>
      <c r="P106" s="41">
        <v>0</v>
      </c>
      <c r="Q106" s="41">
        <v>25</v>
      </c>
      <c r="R106" s="41">
        <v>1</v>
      </c>
      <c r="S106" s="41">
        <f t="shared" si="18"/>
        <v>1164625.0000000005</v>
      </c>
      <c r="T106" s="41">
        <v>0</v>
      </c>
      <c r="U106" s="41">
        <v>0</v>
      </c>
      <c r="V106" s="41">
        <v>0</v>
      </c>
      <c r="W106" s="41">
        <v>0</v>
      </c>
      <c r="X106" s="41">
        <v>0</v>
      </c>
      <c r="Y106" s="41">
        <v>0</v>
      </c>
      <c r="Z106" s="41">
        <v>25</v>
      </c>
      <c r="AA106" s="41">
        <v>1</v>
      </c>
      <c r="AB106" s="41">
        <f t="shared" si="16"/>
        <v>1550115.8750000007</v>
      </c>
      <c r="AC106" s="41">
        <v>0</v>
      </c>
      <c r="AD106" s="41">
        <v>0</v>
      </c>
      <c r="AE106" s="41">
        <v>0</v>
      </c>
      <c r="AF106" s="28">
        <f t="shared" si="12"/>
        <v>3589740.8750000009</v>
      </c>
      <c r="AG106" s="28">
        <f t="shared" si="13"/>
        <v>3485.1853155339813</v>
      </c>
    </row>
    <row r="107" spans="1:33" ht="72" x14ac:dyDescent="0.3">
      <c r="A107" s="41" t="s">
        <v>697</v>
      </c>
      <c r="B107" s="41" t="s">
        <v>695</v>
      </c>
      <c r="C107" s="41" t="s">
        <v>686</v>
      </c>
      <c r="D107" s="41" t="s">
        <v>144</v>
      </c>
      <c r="E107" s="41" t="s">
        <v>562</v>
      </c>
      <c r="F107" s="41" t="s">
        <v>718</v>
      </c>
      <c r="G107" s="41">
        <v>0</v>
      </c>
      <c r="H107" s="41">
        <v>25</v>
      </c>
      <c r="I107" s="41">
        <v>1</v>
      </c>
      <c r="J107" s="41">
        <f t="shared" si="17"/>
        <v>0</v>
      </c>
      <c r="K107" s="41">
        <v>0</v>
      </c>
      <c r="L107" s="41">
        <v>0</v>
      </c>
      <c r="M107" s="41">
        <v>0</v>
      </c>
      <c r="N107" s="41">
        <v>0</v>
      </c>
      <c r="O107" s="41">
        <v>0</v>
      </c>
      <c r="P107" s="41">
        <v>0</v>
      </c>
      <c r="Q107" s="41">
        <v>25</v>
      </c>
      <c r="R107" s="41">
        <v>1</v>
      </c>
      <c r="S107" s="41">
        <f t="shared" si="18"/>
        <v>0</v>
      </c>
      <c r="T107" s="41">
        <v>0</v>
      </c>
      <c r="U107" s="41">
        <v>0</v>
      </c>
      <c r="V107" s="41">
        <v>0</v>
      </c>
      <c r="W107" s="41">
        <v>0</v>
      </c>
      <c r="X107" s="41">
        <v>0</v>
      </c>
      <c r="Y107" s="41">
        <v>0</v>
      </c>
      <c r="Z107" s="41">
        <v>25</v>
      </c>
      <c r="AA107" s="41">
        <v>1</v>
      </c>
      <c r="AB107" s="41">
        <f t="shared" si="16"/>
        <v>0</v>
      </c>
      <c r="AC107" s="41">
        <v>0</v>
      </c>
      <c r="AD107" s="41">
        <v>0</v>
      </c>
      <c r="AE107" s="41">
        <v>0</v>
      </c>
      <c r="AF107" s="28">
        <f t="shared" si="12"/>
        <v>0</v>
      </c>
      <c r="AG107" s="28">
        <f t="shared" si="13"/>
        <v>0</v>
      </c>
    </row>
    <row r="108" spans="1:33" ht="72" x14ac:dyDescent="0.3">
      <c r="A108" s="41" t="s">
        <v>697</v>
      </c>
      <c r="B108" s="41" t="s">
        <v>695</v>
      </c>
      <c r="C108" s="41" t="s">
        <v>686</v>
      </c>
      <c r="D108" s="41" t="s">
        <v>144</v>
      </c>
      <c r="E108" s="41" t="s">
        <v>156</v>
      </c>
      <c r="F108" s="41" t="s">
        <v>709</v>
      </c>
      <c r="G108" s="41">
        <v>28000</v>
      </c>
      <c r="H108" s="41">
        <v>100</v>
      </c>
      <c r="I108" s="41">
        <v>1</v>
      </c>
      <c r="J108" s="41">
        <f t="shared" si="17"/>
        <v>2800000</v>
      </c>
      <c r="K108" s="41">
        <v>0</v>
      </c>
      <c r="L108" s="41">
        <v>0</v>
      </c>
      <c r="M108" s="41">
        <v>0</v>
      </c>
      <c r="N108" s="41">
        <v>0</v>
      </c>
      <c r="O108" s="41">
        <v>0</v>
      </c>
      <c r="P108" s="41">
        <v>0</v>
      </c>
      <c r="Q108" s="41">
        <v>100</v>
      </c>
      <c r="R108" s="41">
        <v>1</v>
      </c>
      <c r="S108" s="41">
        <f t="shared" si="18"/>
        <v>3726800.0000000014</v>
      </c>
      <c r="T108" s="41">
        <v>0</v>
      </c>
      <c r="U108" s="41">
        <v>0</v>
      </c>
      <c r="V108" s="41">
        <v>0</v>
      </c>
      <c r="W108" s="41">
        <v>0</v>
      </c>
      <c r="X108" s="41">
        <v>0</v>
      </c>
      <c r="Y108" s="41">
        <v>0</v>
      </c>
      <c r="Z108" s="41">
        <v>100</v>
      </c>
      <c r="AA108" s="41">
        <v>1</v>
      </c>
      <c r="AB108" s="41">
        <f t="shared" si="16"/>
        <v>4960370.8000000017</v>
      </c>
      <c r="AC108" s="41">
        <v>0</v>
      </c>
      <c r="AD108" s="41">
        <v>0</v>
      </c>
      <c r="AE108" s="41">
        <v>0</v>
      </c>
      <c r="AF108" s="28">
        <f t="shared" si="12"/>
        <v>11487170.800000004</v>
      </c>
      <c r="AG108" s="28">
        <f t="shared" si="13"/>
        <v>11152.593009708742</v>
      </c>
    </row>
    <row r="109" spans="1:33" ht="72" x14ac:dyDescent="0.3">
      <c r="A109" s="41" t="s">
        <v>697</v>
      </c>
      <c r="B109" s="41" t="s">
        <v>695</v>
      </c>
      <c r="C109" s="41" t="s">
        <v>686</v>
      </c>
      <c r="D109" s="41" t="s">
        <v>144</v>
      </c>
      <c r="E109" s="41" t="s">
        <v>156</v>
      </c>
      <c r="F109" s="41" t="s">
        <v>1318</v>
      </c>
      <c r="G109" s="41">
        <v>8000</v>
      </c>
      <c r="H109" s="41">
        <v>10</v>
      </c>
      <c r="I109" s="41">
        <v>1</v>
      </c>
      <c r="J109" s="41">
        <f t="shared" si="17"/>
        <v>80000</v>
      </c>
      <c r="K109" s="41">
        <v>0</v>
      </c>
      <c r="L109" s="41">
        <v>0</v>
      </c>
      <c r="M109" s="41">
        <v>0</v>
      </c>
      <c r="N109" s="41">
        <v>0</v>
      </c>
      <c r="O109" s="41">
        <v>0</v>
      </c>
      <c r="P109" s="41">
        <v>0</v>
      </c>
      <c r="Q109" s="41">
        <v>10</v>
      </c>
      <c r="R109" s="41">
        <v>1</v>
      </c>
      <c r="S109" s="41">
        <f t="shared" si="18"/>
        <v>106480.00000000003</v>
      </c>
      <c r="T109" s="41">
        <v>0</v>
      </c>
      <c r="U109" s="41">
        <v>0</v>
      </c>
      <c r="V109" s="41">
        <v>0</v>
      </c>
      <c r="W109" s="41">
        <v>0</v>
      </c>
      <c r="X109" s="41">
        <v>0</v>
      </c>
      <c r="Y109" s="41">
        <v>0</v>
      </c>
      <c r="Z109" s="41">
        <v>10</v>
      </c>
      <c r="AA109" s="41">
        <v>1</v>
      </c>
      <c r="AB109" s="41">
        <f t="shared" si="16"/>
        <v>141724.88000000006</v>
      </c>
      <c r="AC109" s="41">
        <v>0</v>
      </c>
      <c r="AD109" s="41">
        <v>0</v>
      </c>
      <c r="AE109" s="41">
        <v>0</v>
      </c>
      <c r="AF109" s="28">
        <f t="shared" si="12"/>
        <v>328204.88000000012</v>
      </c>
      <c r="AG109" s="28">
        <f t="shared" si="13"/>
        <v>318.64551456310693</v>
      </c>
    </row>
    <row r="110" spans="1:33" ht="72" x14ac:dyDescent="0.3">
      <c r="A110" s="41" t="s">
        <v>697</v>
      </c>
      <c r="B110" s="41" t="s">
        <v>695</v>
      </c>
      <c r="C110" s="41" t="s">
        <v>686</v>
      </c>
      <c r="D110" s="41" t="s">
        <v>144</v>
      </c>
      <c r="E110" s="41" t="s">
        <v>156</v>
      </c>
      <c r="F110" s="41" t="s">
        <v>717</v>
      </c>
      <c r="G110" s="41">
        <v>104850</v>
      </c>
      <c r="H110" s="41">
        <v>1</v>
      </c>
      <c r="I110" s="41">
        <v>1</v>
      </c>
      <c r="J110" s="41">
        <f t="shared" si="17"/>
        <v>104850</v>
      </c>
      <c r="K110" s="41">
        <v>0</v>
      </c>
      <c r="L110" s="41">
        <v>0</v>
      </c>
      <c r="M110" s="41">
        <v>0</v>
      </c>
      <c r="N110" s="41">
        <v>0</v>
      </c>
      <c r="O110" s="41">
        <v>0</v>
      </c>
      <c r="P110" s="41">
        <v>0</v>
      </c>
      <c r="Q110" s="41">
        <v>1</v>
      </c>
      <c r="R110" s="41">
        <v>1</v>
      </c>
      <c r="S110" s="41">
        <f t="shared" si="18"/>
        <v>139555.35000000003</v>
      </c>
      <c r="T110" s="41">
        <v>0</v>
      </c>
      <c r="U110" s="41">
        <v>0</v>
      </c>
      <c r="V110" s="41">
        <v>0</v>
      </c>
      <c r="W110" s="41">
        <v>0</v>
      </c>
      <c r="X110" s="41">
        <v>0</v>
      </c>
      <c r="Y110" s="41">
        <v>0</v>
      </c>
      <c r="Z110" s="41">
        <v>1</v>
      </c>
      <c r="AA110" s="41">
        <v>1</v>
      </c>
      <c r="AB110" s="41">
        <f t="shared" si="16"/>
        <v>185748.17085000008</v>
      </c>
      <c r="AC110" s="41">
        <v>0</v>
      </c>
      <c r="AD110" s="41">
        <v>0</v>
      </c>
      <c r="AE110" s="41">
        <v>0</v>
      </c>
      <c r="AF110" s="28">
        <f t="shared" si="12"/>
        <v>430153.52085000009</v>
      </c>
      <c r="AG110" s="28">
        <f t="shared" si="13"/>
        <v>417.62477752427191</v>
      </c>
    </row>
    <row r="111" spans="1:33" ht="72" x14ac:dyDescent="0.3">
      <c r="A111" s="41" t="s">
        <v>697</v>
      </c>
      <c r="B111" s="41" t="s">
        <v>695</v>
      </c>
      <c r="C111" s="41" t="s">
        <v>686</v>
      </c>
      <c r="D111" s="41" t="s">
        <v>144</v>
      </c>
      <c r="E111" s="41" t="s">
        <v>156</v>
      </c>
      <c r="F111" s="41" t="s">
        <v>716</v>
      </c>
      <c r="G111" s="41">
        <v>39000</v>
      </c>
      <c r="H111" s="41">
        <v>100</v>
      </c>
      <c r="I111" s="41">
        <v>1</v>
      </c>
      <c r="J111" s="41">
        <f t="shared" si="17"/>
        <v>3900000</v>
      </c>
      <c r="K111" s="41">
        <v>0</v>
      </c>
      <c r="L111" s="41">
        <v>0</v>
      </c>
      <c r="M111" s="41">
        <v>0</v>
      </c>
      <c r="N111" s="41">
        <v>0</v>
      </c>
      <c r="O111" s="41">
        <v>0</v>
      </c>
      <c r="P111" s="41">
        <v>0</v>
      </c>
      <c r="Q111" s="41">
        <v>100</v>
      </c>
      <c r="R111" s="41">
        <v>1</v>
      </c>
      <c r="S111" s="41">
        <f t="shared" si="18"/>
        <v>5190900.0000000019</v>
      </c>
      <c r="T111" s="41">
        <v>0</v>
      </c>
      <c r="U111" s="41">
        <v>0</v>
      </c>
      <c r="V111" s="41">
        <v>0</v>
      </c>
      <c r="W111" s="41">
        <v>0</v>
      </c>
      <c r="X111" s="41">
        <v>0</v>
      </c>
      <c r="Y111" s="41">
        <v>0</v>
      </c>
      <c r="Z111" s="41">
        <v>100</v>
      </c>
      <c r="AA111" s="41">
        <v>1</v>
      </c>
      <c r="AB111" s="41">
        <f t="shared" si="16"/>
        <v>6909087.9000000032</v>
      </c>
      <c r="AC111" s="41">
        <v>0</v>
      </c>
      <c r="AD111" s="41">
        <v>0</v>
      </c>
      <c r="AE111" s="41">
        <v>0</v>
      </c>
      <c r="AF111" s="28">
        <f t="shared" si="12"/>
        <v>15999987.900000006</v>
      </c>
      <c r="AG111" s="28">
        <f t="shared" si="13"/>
        <v>15533.968834951462</v>
      </c>
    </row>
    <row r="112" spans="1:33" ht="72" x14ac:dyDescent="0.3">
      <c r="A112" s="41" t="s">
        <v>697</v>
      </c>
      <c r="B112" s="41" t="s">
        <v>695</v>
      </c>
      <c r="C112" s="41" t="s">
        <v>686</v>
      </c>
      <c r="D112" s="41" t="s">
        <v>145</v>
      </c>
      <c r="E112" s="41" t="s">
        <v>155</v>
      </c>
      <c r="F112" s="41" t="s">
        <v>718</v>
      </c>
      <c r="G112" s="41">
        <v>0</v>
      </c>
      <c r="H112" s="41"/>
      <c r="I112" s="41"/>
      <c r="J112" s="41">
        <f>$G112*H112*I112</f>
        <v>0</v>
      </c>
      <c r="K112" s="41">
        <v>0</v>
      </c>
      <c r="L112" s="41">
        <v>0</v>
      </c>
      <c r="M112" s="41">
        <f>($G112*1.1^1)*K112*L112</f>
        <v>0</v>
      </c>
      <c r="N112" s="41">
        <v>0</v>
      </c>
      <c r="O112" s="41">
        <v>0</v>
      </c>
      <c r="P112" s="41">
        <v>0</v>
      </c>
      <c r="Q112" s="41">
        <v>0</v>
      </c>
      <c r="R112" s="41">
        <v>0</v>
      </c>
      <c r="S112" s="41">
        <v>0</v>
      </c>
      <c r="T112" s="41">
        <v>0</v>
      </c>
      <c r="U112" s="41">
        <v>0</v>
      </c>
      <c r="V112" s="41">
        <v>0</v>
      </c>
      <c r="W112" s="41">
        <v>0</v>
      </c>
      <c r="X112" s="41">
        <v>0</v>
      </c>
      <c r="Y112" s="41">
        <v>0</v>
      </c>
      <c r="Z112" s="41">
        <v>0</v>
      </c>
      <c r="AA112" s="41">
        <v>0</v>
      </c>
      <c r="AB112" s="41">
        <v>0</v>
      </c>
      <c r="AC112" s="41">
        <v>0</v>
      </c>
      <c r="AD112" s="41">
        <v>0</v>
      </c>
      <c r="AE112" s="41">
        <f>($G112*1.1^7)*AC112*AD112</f>
        <v>0</v>
      </c>
      <c r="AF112" s="28">
        <f t="shared" si="12"/>
        <v>0</v>
      </c>
      <c r="AG112" s="28">
        <f t="shared" si="13"/>
        <v>0</v>
      </c>
    </row>
    <row r="113" spans="1:214" ht="72" x14ac:dyDescent="0.3">
      <c r="A113" s="41" t="s">
        <v>697</v>
      </c>
      <c r="B113" s="41" t="s">
        <v>695</v>
      </c>
      <c r="C113" s="41" t="s">
        <v>686</v>
      </c>
      <c r="D113" s="41" t="s">
        <v>145</v>
      </c>
      <c r="E113" s="41" t="s">
        <v>622</v>
      </c>
      <c r="F113" s="41" t="s">
        <v>709</v>
      </c>
      <c r="G113" s="41">
        <v>35000</v>
      </c>
      <c r="H113" s="41"/>
      <c r="I113" s="41"/>
      <c r="J113" s="41">
        <f t="shared" ref="J113:J125" si="19">$G113*H113*I113</f>
        <v>0</v>
      </c>
      <c r="K113" s="41">
        <v>20</v>
      </c>
      <c r="L113" s="41">
        <v>6</v>
      </c>
      <c r="M113" s="41">
        <f t="shared" ref="M113:M125" si="20">($G113*1.1^1)*K113*L113</f>
        <v>4620000</v>
      </c>
      <c r="N113" s="41">
        <v>0</v>
      </c>
      <c r="O113" s="41">
        <v>0</v>
      </c>
      <c r="P113" s="41">
        <v>0</v>
      </c>
      <c r="Q113" s="41">
        <v>0</v>
      </c>
      <c r="R113" s="41">
        <v>0</v>
      </c>
      <c r="S113" s="41">
        <v>0</v>
      </c>
      <c r="T113" s="41">
        <v>0</v>
      </c>
      <c r="U113" s="41">
        <v>0</v>
      </c>
      <c r="V113" s="41">
        <v>0</v>
      </c>
      <c r="W113" s="41">
        <v>0</v>
      </c>
      <c r="X113" s="41">
        <v>0</v>
      </c>
      <c r="Y113" s="41">
        <v>0</v>
      </c>
      <c r="Z113" s="41">
        <v>0</v>
      </c>
      <c r="AA113" s="41">
        <v>0</v>
      </c>
      <c r="AB113" s="41">
        <v>0</v>
      </c>
      <c r="AC113" s="41">
        <v>20</v>
      </c>
      <c r="AD113" s="41">
        <v>6</v>
      </c>
      <c r="AE113" s="41">
        <f>($G113*1.1^7)*AC113*AD113</f>
        <v>8184611.820000004</v>
      </c>
      <c r="AF113" s="28">
        <f t="shared" si="12"/>
        <v>12804611.820000004</v>
      </c>
      <c r="AG113" s="28">
        <f t="shared" si="13"/>
        <v>12431.661961165053</v>
      </c>
    </row>
    <row r="114" spans="1:214" ht="72" x14ac:dyDescent="0.3">
      <c r="A114" s="41" t="s">
        <v>697</v>
      </c>
      <c r="B114" s="41" t="s">
        <v>695</v>
      </c>
      <c r="C114" s="41" t="s">
        <v>686</v>
      </c>
      <c r="D114" s="41" t="s">
        <v>145</v>
      </c>
      <c r="E114" s="41" t="s">
        <v>622</v>
      </c>
      <c r="F114" s="41" t="s">
        <v>716</v>
      </c>
      <c r="G114" s="41">
        <v>39000</v>
      </c>
      <c r="H114" s="41"/>
      <c r="I114" s="41"/>
      <c r="J114" s="41">
        <f t="shared" si="19"/>
        <v>0</v>
      </c>
      <c r="K114" s="41">
        <v>20</v>
      </c>
      <c r="L114" s="41">
        <v>6</v>
      </c>
      <c r="M114" s="41">
        <f t="shared" si="20"/>
        <v>5148000</v>
      </c>
      <c r="N114" s="41">
        <v>0</v>
      </c>
      <c r="O114" s="41">
        <v>0</v>
      </c>
      <c r="P114" s="41">
        <v>0</v>
      </c>
      <c r="Q114" s="41">
        <v>0</v>
      </c>
      <c r="R114" s="41">
        <v>0</v>
      </c>
      <c r="S114" s="41">
        <v>0</v>
      </c>
      <c r="T114" s="41">
        <v>0</v>
      </c>
      <c r="U114" s="41">
        <v>0</v>
      </c>
      <c r="V114" s="41">
        <v>0</v>
      </c>
      <c r="W114" s="41">
        <v>0</v>
      </c>
      <c r="X114" s="41">
        <v>0</v>
      </c>
      <c r="Y114" s="41">
        <v>0</v>
      </c>
      <c r="Z114" s="41">
        <v>0</v>
      </c>
      <c r="AA114" s="41">
        <v>0</v>
      </c>
      <c r="AB114" s="41">
        <v>0</v>
      </c>
      <c r="AC114" s="41">
        <v>20</v>
      </c>
      <c r="AD114" s="41">
        <v>6</v>
      </c>
      <c r="AE114" s="41">
        <f t="shared" ref="AE114:AE125" si="21">($G114*1.1^7)*AC114*AD114</f>
        <v>9119996.0280000046</v>
      </c>
      <c r="AF114" s="28">
        <f t="shared" si="12"/>
        <v>14267996.028000005</v>
      </c>
      <c r="AG114" s="28">
        <f t="shared" si="13"/>
        <v>13852.423328155344</v>
      </c>
    </row>
    <row r="115" spans="1:214" ht="72" x14ac:dyDescent="0.3">
      <c r="A115" s="41" t="s">
        <v>697</v>
      </c>
      <c r="B115" s="41" t="s">
        <v>695</v>
      </c>
      <c r="C115" s="41" t="s">
        <v>686</v>
      </c>
      <c r="D115" s="41" t="s">
        <v>145</v>
      </c>
      <c r="E115" s="41" t="s">
        <v>622</v>
      </c>
      <c r="F115" s="41" t="s">
        <v>712</v>
      </c>
      <c r="G115" s="41">
        <f>1999.2/7</f>
        <v>285.60000000000002</v>
      </c>
      <c r="H115" s="41"/>
      <c r="I115" s="41"/>
      <c r="J115" s="41">
        <f t="shared" si="19"/>
        <v>0</v>
      </c>
      <c r="K115" s="41">
        <f>25*2*9</f>
        <v>450</v>
      </c>
      <c r="L115" s="41">
        <v>6</v>
      </c>
      <c r="M115" s="41">
        <f t="shared" si="20"/>
        <v>848232</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f>25*2*9</f>
        <v>450</v>
      </c>
      <c r="AD115" s="41">
        <v>6</v>
      </c>
      <c r="AE115" s="41">
        <f t="shared" si="21"/>
        <v>1502694.7301520011</v>
      </c>
      <c r="AF115" s="28">
        <f t="shared" si="12"/>
        <v>2350926.7301520011</v>
      </c>
      <c r="AG115" s="28">
        <f t="shared" si="13"/>
        <v>2282.4531360699038</v>
      </c>
    </row>
    <row r="116" spans="1:214" ht="72" x14ac:dyDescent="0.3">
      <c r="A116" s="41" t="s">
        <v>697</v>
      </c>
      <c r="B116" s="41" t="s">
        <v>695</v>
      </c>
      <c r="C116" s="41" t="s">
        <v>686</v>
      </c>
      <c r="D116" s="41" t="s">
        <v>145</v>
      </c>
      <c r="E116" s="41" t="s">
        <v>622</v>
      </c>
      <c r="F116" s="41" t="s">
        <v>1320</v>
      </c>
      <c r="G116" s="41">
        <f>1999.2/7</f>
        <v>285.60000000000002</v>
      </c>
      <c r="H116" s="41"/>
      <c r="I116" s="41"/>
      <c r="J116" s="41">
        <f t="shared" si="19"/>
        <v>0</v>
      </c>
      <c r="K116" s="41">
        <f>2*135*9</f>
        <v>2430</v>
      </c>
      <c r="L116" s="41">
        <v>6</v>
      </c>
      <c r="M116" s="41">
        <f t="shared" si="20"/>
        <v>4580452.8000000007</v>
      </c>
      <c r="N116" s="41"/>
      <c r="O116" s="41"/>
      <c r="P116" s="41"/>
      <c r="Q116" s="41"/>
      <c r="R116" s="41"/>
      <c r="S116" s="41"/>
      <c r="T116" s="41"/>
      <c r="U116" s="41"/>
      <c r="V116" s="41"/>
      <c r="W116" s="41"/>
      <c r="X116" s="41"/>
      <c r="Y116" s="41"/>
      <c r="Z116" s="41"/>
      <c r="AA116" s="41"/>
      <c r="AB116" s="41"/>
      <c r="AC116" s="41">
        <f>2*135*9</f>
        <v>2430</v>
      </c>
      <c r="AD116" s="41">
        <v>6</v>
      </c>
      <c r="AE116" s="41">
        <f t="shared" si="21"/>
        <v>8114551.5428208057</v>
      </c>
      <c r="AF116" s="28">
        <f t="shared" si="12"/>
        <v>12695004.342820806</v>
      </c>
      <c r="AG116" s="28">
        <f t="shared" si="13"/>
        <v>12325.246934777482</v>
      </c>
    </row>
    <row r="117" spans="1:214" ht="72" x14ac:dyDescent="0.3">
      <c r="A117" s="41" t="s">
        <v>697</v>
      </c>
      <c r="B117" s="41" t="s">
        <v>695</v>
      </c>
      <c r="C117" s="41" t="s">
        <v>686</v>
      </c>
      <c r="D117" s="41" t="s">
        <v>145</v>
      </c>
      <c r="E117" s="41" t="s">
        <v>166</v>
      </c>
      <c r="F117" s="41" t="s">
        <v>709</v>
      </c>
      <c r="G117" s="41">
        <v>35000</v>
      </c>
      <c r="H117" s="41"/>
      <c r="I117" s="41"/>
      <c r="J117" s="41">
        <f t="shared" si="19"/>
        <v>0</v>
      </c>
      <c r="K117" s="41">
        <v>25</v>
      </c>
      <c r="L117" s="41">
        <v>1</v>
      </c>
      <c r="M117" s="41">
        <f t="shared" si="20"/>
        <v>962500</v>
      </c>
      <c r="N117" s="41">
        <v>0</v>
      </c>
      <c r="O117" s="41">
        <v>0</v>
      </c>
      <c r="P117" s="41">
        <v>0</v>
      </c>
      <c r="Q117" s="41">
        <v>0</v>
      </c>
      <c r="R117" s="41">
        <v>0</v>
      </c>
      <c r="S117" s="41">
        <v>0</v>
      </c>
      <c r="T117" s="41">
        <v>0</v>
      </c>
      <c r="U117" s="41">
        <v>0</v>
      </c>
      <c r="V117" s="41">
        <v>0</v>
      </c>
      <c r="W117" s="41">
        <v>0</v>
      </c>
      <c r="X117" s="41">
        <v>0</v>
      </c>
      <c r="Y117" s="41">
        <v>0</v>
      </c>
      <c r="Z117" s="41">
        <v>0</v>
      </c>
      <c r="AA117" s="41">
        <v>0</v>
      </c>
      <c r="AB117" s="41">
        <v>0</v>
      </c>
      <c r="AC117" s="41">
        <v>25</v>
      </c>
      <c r="AD117" s="41">
        <v>1</v>
      </c>
      <c r="AE117" s="41">
        <f t="shared" si="21"/>
        <v>1705127.4625000008</v>
      </c>
      <c r="AF117" s="28">
        <f t="shared" si="12"/>
        <v>2667627.4625000008</v>
      </c>
      <c r="AG117" s="28">
        <f t="shared" si="13"/>
        <v>2589.9295752427192</v>
      </c>
    </row>
    <row r="118" spans="1:214" ht="72" x14ac:dyDescent="0.3">
      <c r="A118" s="41" t="s">
        <v>697</v>
      </c>
      <c r="B118" s="41" t="s">
        <v>695</v>
      </c>
      <c r="C118" s="41" t="s">
        <v>686</v>
      </c>
      <c r="D118" s="41" t="s">
        <v>145</v>
      </c>
      <c r="E118" s="41" t="s">
        <v>623</v>
      </c>
      <c r="F118" s="41" t="s">
        <v>718</v>
      </c>
      <c r="G118" s="41">
        <v>0</v>
      </c>
      <c r="H118" s="41"/>
      <c r="I118" s="41"/>
      <c r="J118" s="41">
        <f t="shared" si="19"/>
        <v>0</v>
      </c>
      <c r="K118" s="41">
        <v>25</v>
      </c>
      <c r="L118" s="41">
        <v>1</v>
      </c>
      <c r="M118" s="41">
        <f t="shared" si="20"/>
        <v>0</v>
      </c>
      <c r="N118" s="41">
        <v>0</v>
      </c>
      <c r="O118" s="41">
        <v>0</v>
      </c>
      <c r="P118" s="41">
        <v>0</v>
      </c>
      <c r="Q118" s="41">
        <v>0</v>
      </c>
      <c r="R118" s="41">
        <v>0</v>
      </c>
      <c r="S118" s="41">
        <v>0</v>
      </c>
      <c r="T118" s="41">
        <v>0</v>
      </c>
      <c r="U118" s="41">
        <v>0</v>
      </c>
      <c r="V118" s="41">
        <v>0</v>
      </c>
      <c r="W118" s="41">
        <v>0</v>
      </c>
      <c r="X118" s="41">
        <v>0</v>
      </c>
      <c r="Y118" s="41">
        <v>0</v>
      </c>
      <c r="Z118" s="41">
        <v>0</v>
      </c>
      <c r="AA118" s="41">
        <v>0</v>
      </c>
      <c r="AB118" s="41">
        <v>0</v>
      </c>
      <c r="AC118" s="41">
        <v>25</v>
      </c>
      <c r="AD118" s="41">
        <v>1</v>
      </c>
      <c r="AE118" s="41">
        <f t="shared" si="21"/>
        <v>0</v>
      </c>
      <c r="AF118" s="28">
        <f t="shared" si="12"/>
        <v>0</v>
      </c>
      <c r="AG118" s="28">
        <f t="shared" si="13"/>
        <v>0</v>
      </c>
    </row>
    <row r="119" spans="1:214" ht="72" x14ac:dyDescent="0.3">
      <c r="A119" s="41" t="s">
        <v>697</v>
      </c>
      <c r="B119" s="41" t="s">
        <v>695</v>
      </c>
      <c r="C119" s="41" t="s">
        <v>686</v>
      </c>
      <c r="D119" s="41" t="s">
        <v>145</v>
      </c>
      <c r="E119" s="41" t="s">
        <v>624</v>
      </c>
      <c r="F119" s="41" t="s">
        <v>709</v>
      </c>
      <c r="G119" s="41">
        <v>35000</v>
      </c>
      <c r="H119" s="41"/>
      <c r="I119" s="41"/>
      <c r="J119" s="41">
        <f t="shared" si="19"/>
        <v>0</v>
      </c>
      <c r="K119" s="41">
        <v>60</v>
      </c>
      <c r="L119" s="41">
        <v>1</v>
      </c>
      <c r="M119" s="41">
        <f t="shared" si="20"/>
        <v>2310000</v>
      </c>
      <c r="N119" s="41">
        <v>0</v>
      </c>
      <c r="O119" s="41">
        <v>0</v>
      </c>
      <c r="P119" s="41">
        <v>0</v>
      </c>
      <c r="Q119" s="41">
        <v>0</v>
      </c>
      <c r="R119" s="41">
        <v>0</v>
      </c>
      <c r="S119" s="41">
        <v>0</v>
      </c>
      <c r="T119" s="41">
        <v>0</v>
      </c>
      <c r="U119" s="41">
        <v>0</v>
      </c>
      <c r="V119" s="41">
        <v>0</v>
      </c>
      <c r="W119" s="41">
        <v>0</v>
      </c>
      <c r="X119" s="41">
        <v>0</v>
      </c>
      <c r="Y119" s="41">
        <v>0</v>
      </c>
      <c r="Z119" s="41">
        <v>0</v>
      </c>
      <c r="AA119" s="41">
        <v>0</v>
      </c>
      <c r="AB119" s="41">
        <v>0</v>
      </c>
      <c r="AC119" s="41">
        <v>60</v>
      </c>
      <c r="AD119" s="41">
        <v>1</v>
      </c>
      <c r="AE119" s="41">
        <f t="shared" si="21"/>
        <v>4092305.910000002</v>
      </c>
      <c r="AF119" s="28">
        <f t="shared" si="12"/>
        <v>6402305.910000002</v>
      </c>
      <c r="AG119" s="28">
        <f t="shared" si="13"/>
        <v>6215.8309805825265</v>
      </c>
    </row>
    <row r="120" spans="1:214" ht="72" x14ac:dyDescent="0.3">
      <c r="A120" s="41" t="s">
        <v>697</v>
      </c>
      <c r="B120" s="41" t="s">
        <v>695</v>
      </c>
      <c r="C120" s="41" t="s">
        <v>686</v>
      </c>
      <c r="D120" s="41" t="s">
        <v>145</v>
      </c>
      <c r="E120" s="41" t="s">
        <v>624</v>
      </c>
      <c r="F120" s="41" t="s">
        <v>716</v>
      </c>
      <c r="G120" s="41">
        <v>39000</v>
      </c>
      <c r="H120" s="41"/>
      <c r="I120" s="41"/>
      <c r="J120" s="41">
        <f t="shared" si="19"/>
        <v>0</v>
      </c>
      <c r="K120" s="41">
        <v>30</v>
      </c>
      <c r="L120" s="41">
        <v>1</v>
      </c>
      <c r="M120" s="41">
        <f t="shared" si="20"/>
        <v>1287000</v>
      </c>
      <c r="N120" s="41">
        <v>0</v>
      </c>
      <c r="O120" s="41">
        <v>0</v>
      </c>
      <c r="P120" s="41">
        <v>0</v>
      </c>
      <c r="Q120" s="41">
        <v>0</v>
      </c>
      <c r="R120" s="41">
        <v>0</v>
      </c>
      <c r="S120" s="41">
        <v>0</v>
      </c>
      <c r="T120" s="41">
        <v>0</v>
      </c>
      <c r="U120" s="41">
        <v>0</v>
      </c>
      <c r="V120" s="41">
        <v>0</v>
      </c>
      <c r="W120" s="41">
        <v>0</v>
      </c>
      <c r="X120" s="41">
        <v>0</v>
      </c>
      <c r="Y120" s="41">
        <v>0</v>
      </c>
      <c r="Z120" s="41">
        <v>0</v>
      </c>
      <c r="AA120" s="41">
        <v>0</v>
      </c>
      <c r="AB120" s="41">
        <v>0</v>
      </c>
      <c r="AC120" s="41">
        <v>30</v>
      </c>
      <c r="AD120" s="41">
        <v>1</v>
      </c>
      <c r="AE120" s="41">
        <f t="shared" si="21"/>
        <v>2279999.0070000011</v>
      </c>
      <c r="AF120" s="28">
        <f t="shared" si="12"/>
        <v>3566999.0070000011</v>
      </c>
      <c r="AG120" s="28">
        <f t="shared" si="13"/>
        <v>3463.1058320388361</v>
      </c>
    </row>
    <row r="121" spans="1:214" ht="72" x14ac:dyDescent="0.3">
      <c r="A121" s="41" t="s">
        <v>697</v>
      </c>
      <c r="B121" s="41" t="s">
        <v>695</v>
      </c>
      <c r="C121" s="41" t="s">
        <v>686</v>
      </c>
      <c r="D121" s="41" t="s">
        <v>145</v>
      </c>
      <c r="E121" s="41" t="s">
        <v>624</v>
      </c>
      <c r="F121" s="41" t="s">
        <v>712</v>
      </c>
      <c r="G121" s="41">
        <f>1999.2/7</f>
        <v>285.60000000000002</v>
      </c>
      <c r="H121" s="41"/>
      <c r="I121" s="41"/>
      <c r="J121" s="41">
        <f t="shared" si="19"/>
        <v>0</v>
      </c>
      <c r="K121" s="41">
        <f>2*25*9</f>
        <v>450</v>
      </c>
      <c r="L121" s="41">
        <v>1</v>
      </c>
      <c r="M121" s="41">
        <f t="shared" si="20"/>
        <v>141372</v>
      </c>
      <c r="N121" s="41">
        <v>0</v>
      </c>
      <c r="O121" s="41">
        <v>0</v>
      </c>
      <c r="P121" s="41">
        <v>0</v>
      </c>
      <c r="Q121" s="41">
        <v>0</v>
      </c>
      <c r="R121" s="41">
        <v>0</v>
      </c>
      <c r="S121" s="41">
        <v>0</v>
      </c>
      <c r="T121" s="41">
        <v>0</v>
      </c>
      <c r="U121" s="41">
        <v>0</v>
      </c>
      <c r="V121" s="41">
        <v>0</v>
      </c>
      <c r="W121" s="41">
        <v>0</v>
      </c>
      <c r="X121" s="41">
        <v>0</v>
      </c>
      <c r="Y121" s="41">
        <v>0</v>
      </c>
      <c r="Z121" s="41">
        <v>0</v>
      </c>
      <c r="AA121" s="41">
        <v>0</v>
      </c>
      <c r="AB121" s="41">
        <v>0</v>
      </c>
      <c r="AC121" s="41">
        <f>2*25*9</f>
        <v>450</v>
      </c>
      <c r="AD121" s="41">
        <v>1</v>
      </c>
      <c r="AE121" s="41">
        <f t="shared" si="21"/>
        <v>250449.12169200019</v>
      </c>
      <c r="AF121" s="28">
        <f t="shared" si="12"/>
        <v>391821.12169200019</v>
      </c>
      <c r="AG121" s="28">
        <f t="shared" si="13"/>
        <v>380.40885601165064</v>
      </c>
    </row>
    <row r="122" spans="1:214" ht="72" x14ac:dyDescent="0.3">
      <c r="A122" s="41" t="s">
        <v>697</v>
      </c>
      <c r="B122" s="41" t="s">
        <v>695</v>
      </c>
      <c r="C122" s="41" t="s">
        <v>686</v>
      </c>
      <c r="D122" s="41" t="s">
        <v>145</v>
      </c>
      <c r="E122" s="41" t="s">
        <v>624</v>
      </c>
      <c r="F122" s="41" t="s">
        <v>1320</v>
      </c>
      <c r="G122" s="41">
        <f>1999.2/7</f>
        <v>285.60000000000002</v>
      </c>
      <c r="H122" s="41"/>
      <c r="I122" s="41"/>
      <c r="J122" s="41">
        <f t="shared" si="19"/>
        <v>0</v>
      </c>
      <c r="K122" s="41">
        <f>2*135*9</f>
        <v>2430</v>
      </c>
      <c r="L122" s="41">
        <v>1</v>
      </c>
      <c r="M122" s="41">
        <f t="shared" si="20"/>
        <v>763408.8</v>
      </c>
      <c r="N122" s="41"/>
      <c r="O122" s="41"/>
      <c r="P122" s="41"/>
      <c r="Q122" s="41"/>
      <c r="R122" s="41"/>
      <c r="S122" s="41"/>
      <c r="T122" s="41"/>
      <c r="U122" s="41"/>
      <c r="V122" s="41"/>
      <c r="W122" s="41"/>
      <c r="X122" s="41"/>
      <c r="Y122" s="41"/>
      <c r="Z122" s="41"/>
      <c r="AA122" s="41"/>
      <c r="AB122" s="41"/>
      <c r="AC122" s="41">
        <f>2*135*9</f>
        <v>2430</v>
      </c>
      <c r="AD122" s="41">
        <v>1</v>
      </c>
      <c r="AE122" s="41">
        <f t="shared" si="21"/>
        <v>1352425.257136801</v>
      </c>
      <c r="AF122" s="28">
        <f t="shared" si="12"/>
        <v>2115834.0571368011</v>
      </c>
      <c r="AG122" s="28">
        <f t="shared" si="13"/>
        <v>2054.2078224629136</v>
      </c>
    </row>
    <row r="123" spans="1:214" ht="72" x14ac:dyDescent="0.3">
      <c r="A123" s="41" t="s">
        <v>697</v>
      </c>
      <c r="B123" s="41" t="s">
        <v>695</v>
      </c>
      <c r="C123" s="41" t="s">
        <v>686</v>
      </c>
      <c r="D123" s="41" t="s">
        <v>145</v>
      </c>
      <c r="E123" s="41" t="s">
        <v>625</v>
      </c>
      <c r="F123" s="41" t="s">
        <v>709</v>
      </c>
      <c r="G123" s="41">
        <v>35000</v>
      </c>
      <c r="H123" s="41"/>
      <c r="I123" s="41"/>
      <c r="J123" s="41">
        <f t="shared" si="19"/>
        <v>0</v>
      </c>
      <c r="K123" s="41">
        <v>62</v>
      </c>
      <c r="L123" s="41">
        <v>1</v>
      </c>
      <c r="M123" s="41">
        <f t="shared" si="20"/>
        <v>2387000</v>
      </c>
      <c r="N123" s="41">
        <v>0</v>
      </c>
      <c r="O123" s="41">
        <v>0</v>
      </c>
      <c r="P123" s="41">
        <v>0</v>
      </c>
      <c r="Q123" s="41">
        <v>0</v>
      </c>
      <c r="R123" s="41">
        <v>0</v>
      </c>
      <c r="S123" s="41">
        <v>0</v>
      </c>
      <c r="T123" s="41">
        <v>0</v>
      </c>
      <c r="U123" s="41">
        <v>0</v>
      </c>
      <c r="V123" s="41">
        <v>0</v>
      </c>
      <c r="W123" s="41">
        <v>0</v>
      </c>
      <c r="X123" s="41">
        <v>0</v>
      </c>
      <c r="Y123" s="41">
        <v>0</v>
      </c>
      <c r="Z123" s="41">
        <v>0</v>
      </c>
      <c r="AA123" s="41">
        <v>0</v>
      </c>
      <c r="AB123" s="41">
        <v>0</v>
      </c>
      <c r="AC123" s="41">
        <v>62</v>
      </c>
      <c r="AD123" s="41">
        <v>1</v>
      </c>
      <c r="AE123" s="41">
        <f t="shared" si="21"/>
        <v>4228716.1070000026</v>
      </c>
      <c r="AF123" s="28">
        <f t="shared" si="12"/>
        <v>6615716.1070000026</v>
      </c>
      <c r="AG123" s="28">
        <f t="shared" si="13"/>
        <v>6423.025346601944</v>
      </c>
    </row>
    <row r="124" spans="1:214" ht="72" x14ac:dyDescent="0.3">
      <c r="A124" s="41" t="s">
        <v>697</v>
      </c>
      <c r="B124" s="41" t="s">
        <v>695</v>
      </c>
      <c r="C124" s="41" t="s">
        <v>686</v>
      </c>
      <c r="D124" s="41" t="s">
        <v>145</v>
      </c>
      <c r="E124" s="41" t="s">
        <v>626</v>
      </c>
      <c r="F124" s="41" t="s">
        <v>721</v>
      </c>
      <c r="G124" s="41">
        <v>80000</v>
      </c>
      <c r="H124" s="41"/>
      <c r="I124" s="41"/>
      <c r="J124" s="41">
        <f t="shared" si="19"/>
        <v>0</v>
      </c>
      <c r="K124" s="41">
        <v>30</v>
      </c>
      <c r="L124" s="41">
        <v>1</v>
      </c>
      <c r="M124" s="41">
        <f t="shared" si="20"/>
        <v>2640000</v>
      </c>
      <c r="N124" s="41">
        <v>0</v>
      </c>
      <c r="O124" s="41">
        <v>0</v>
      </c>
      <c r="P124" s="41">
        <v>0</v>
      </c>
      <c r="Q124" s="41">
        <v>0</v>
      </c>
      <c r="R124" s="41">
        <v>0</v>
      </c>
      <c r="S124" s="41">
        <v>0</v>
      </c>
      <c r="T124" s="41">
        <v>0</v>
      </c>
      <c r="U124" s="41">
        <v>0</v>
      </c>
      <c r="V124" s="41">
        <v>0</v>
      </c>
      <c r="W124" s="41">
        <v>0</v>
      </c>
      <c r="X124" s="41">
        <v>0</v>
      </c>
      <c r="Y124" s="41">
        <v>0</v>
      </c>
      <c r="Z124" s="41">
        <v>0</v>
      </c>
      <c r="AA124" s="41">
        <v>0</v>
      </c>
      <c r="AB124" s="41">
        <v>0</v>
      </c>
      <c r="AC124" s="41">
        <v>30</v>
      </c>
      <c r="AD124" s="41">
        <v>1</v>
      </c>
      <c r="AE124" s="41">
        <f t="shared" si="21"/>
        <v>4676921.0400000028</v>
      </c>
      <c r="AF124" s="28">
        <f t="shared" si="12"/>
        <v>7316921.0400000028</v>
      </c>
      <c r="AG124" s="28">
        <f t="shared" si="13"/>
        <v>7103.8068349514588</v>
      </c>
    </row>
    <row r="125" spans="1:214" ht="72" x14ac:dyDescent="0.3">
      <c r="A125" s="41" t="s">
        <v>697</v>
      </c>
      <c r="B125" s="41" t="s">
        <v>695</v>
      </c>
      <c r="C125" s="41" t="s">
        <v>686</v>
      </c>
      <c r="D125" s="41" t="s">
        <v>145</v>
      </c>
      <c r="E125" s="41" t="s">
        <v>634</v>
      </c>
      <c r="F125" s="41" t="s">
        <v>718</v>
      </c>
      <c r="G125" s="41">
        <v>0</v>
      </c>
      <c r="H125" s="41"/>
      <c r="I125" s="41"/>
      <c r="J125" s="41">
        <f t="shared" si="19"/>
        <v>0</v>
      </c>
      <c r="K125" s="41">
        <v>20</v>
      </c>
      <c r="L125" s="41">
        <v>1</v>
      </c>
      <c r="M125" s="41">
        <f t="shared" si="20"/>
        <v>0</v>
      </c>
      <c r="N125" s="41">
        <v>0</v>
      </c>
      <c r="O125" s="41">
        <v>0</v>
      </c>
      <c r="P125" s="41">
        <v>0</v>
      </c>
      <c r="Q125" s="41">
        <v>0</v>
      </c>
      <c r="R125" s="41">
        <v>0</v>
      </c>
      <c r="S125" s="41">
        <v>0</v>
      </c>
      <c r="T125" s="41">
        <v>0</v>
      </c>
      <c r="U125" s="41">
        <v>0</v>
      </c>
      <c r="V125" s="41">
        <v>0</v>
      </c>
      <c r="W125" s="41">
        <v>0</v>
      </c>
      <c r="X125" s="41">
        <v>0</v>
      </c>
      <c r="Y125" s="41">
        <v>0</v>
      </c>
      <c r="Z125" s="41">
        <v>0</v>
      </c>
      <c r="AA125" s="41">
        <v>0</v>
      </c>
      <c r="AB125" s="41">
        <v>0</v>
      </c>
      <c r="AC125" s="41">
        <v>20</v>
      </c>
      <c r="AD125" s="41">
        <v>1</v>
      </c>
      <c r="AE125" s="41">
        <f t="shared" si="21"/>
        <v>0</v>
      </c>
      <c r="AF125" s="28">
        <f t="shared" si="12"/>
        <v>0</v>
      </c>
      <c r="AG125" s="28">
        <f t="shared" si="13"/>
        <v>0</v>
      </c>
    </row>
    <row r="126" spans="1:214"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28">
        <f t="shared" si="12"/>
        <v>0</v>
      </c>
      <c r="AG126" s="28">
        <f t="shared" si="13"/>
        <v>0</v>
      </c>
    </row>
    <row r="127" spans="1:214" s="73" customFormat="1" x14ac:dyDescent="0.3">
      <c r="A127" s="72" t="s">
        <v>1325</v>
      </c>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28">
        <f t="shared" si="12"/>
        <v>0</v>
      </c>
      <c r="AG127" s="28">
        <f t="shared" si="13"/>
        <v>0</v>
      </c>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row>
    <row r="128" spans="1:214" ht="86.4" x14ac:dyDescent="0.3">
      <c r="A128" s="41" t="s">
        <v>697</v>
      </c>
      <c r="B128" s="41" t="s">
        <v>695</v>
      </c>
      <c r="C128" s="41" t="s">
        <v>687</v>
      </c>
      <c r="D128" s="41" t="s">
        <v>146</v>
      </c>
      <c r="E128" s="41" t="s">
        <v>155</v>
      </c>
      <c r="F128" s="41" t="s">
        <v>718</v>
      </c>
      <c r="G128" s="41">
        <v>0</v>
      </c>
      <c r="H128" s="41">
        <v>0</v>
      </c>
      <c r="I128" s="41">
        <v>0</v>
      </c>
      <c r="J128" s="41">
        <f>$G128*H128*I128</f>
        <v>0</v>
      </c>
      <c r="K128" s="41">
        <v>0</v>
      </c>
      <c r="L128" s="41">
        <v>0</v>
      </c>
      <c r="M128" s="41">
        <v>0</v>
      </c>
      <c r="N128" s="41">
        <v>0</v>
      </c>
      <c r="O128" s="41">
        <v>0</v>
      </c>
      <c r="P128" s="41">
        <v>0</v>
      </c>
      <c r="Q128" s="41">
        <v>0</v>
      </c>
      <c r="R128" s="41">
        <v>0</v>
      </c>
      <c r="S128" s="41">
        <f>($G128*1.1^3)*Q128*R128</f>
        <v>0</v>
      </c>
      <c r="T128" s="41">
        <v>0</v>
      </c>
      <c r="U128" s="41">
        <v>0</v>
      </c>
      <c r="V128" s="41">
        <v>0</v>
      </c>
      <c r="W128" s="41">
        <v>0</v>
      </c>
      <c r="X128" s="41">
        <v>0</v>
      </c>
      <c r="Y128" s="41">
        <v>0</v>
      </c>
      <c r="Z128" s="41">
        <v>0</v>
      </c>
      <c r="AA128" s="41">
        <v>0</v>
      </c>
      <c r="AB128" s="41">
        <f>($G128*1.1^6)*Z128*AA128</f>
        <v>0</v>
      </c>
      <c r="AC128" s="41">
        <v>0</v>
      </c>
      <c r="AD128" s="41">
        <v>0</v>
      </c>
      <c r="AE128" s="41">
        <v>0</v>
      </c>
      <c r="AF128" s="28">
        <f t="shared" si="12"/>
        <v>0</v>
      </c>
      <c r="AG128" s="28">
        <f t="shared" si="13"/>
        <v>0</v>
      </c>
    </row>
    <row r="129" spans="1:33" ht="86.4" x14ac:dyDescent="0.3">
      <c r="A129" s="41" t="s">
        <v>697</v>
      </c>
      <c r="B129" s="41" t="s">
        <v>695</v>
      </c>
      <c r="C129" s="41" t="s">
        <v>687</v>
      </c>
      <c r="D129" s="41" t="s">
        <v>146</v>
      </c>
      <c r="E129" s="41" t="s">
        <v>635</v>
      </c>
      <c r="F129" s="41" t="s">
        <v>709</v>
      </c>
      <c r="G129" s="41">
        <v>35000</v>
      </c>
      <c r="H129" s="41">
        <v>30</v>
      </c>
      <c r="I129" s="41">
        <v>15</v>
      </c>
      <c r="J129" s="41">
        <f t="shared" ref="J129:J134" si="22">$G129*H129*I129</f>
        <v>15750000</v>
      </c>
      <c r="K129" s="41">
        <v>0</v>
      </c>
      <c r="L129" s="41">
        <v>0</v>
      </c>
      <c r="M129" s="41">
        <v>0</v>
      </c>
      <c r="N129" s="41">
        <v>0</v>
      </c>
      <c r="O129" s="41">
        <v>0</v>
      </c>
      <c r="P129" s="41">
        <v>0</v>
      </c>
      <c r="Q129" s="41">
        <v>30</v>
      </c>
      <c r="R129" s="41">
        <v>15</v>
      </c>
      <c r="S129" s="41">
        <f t="shared" ref="S129:S134" si="23">($G129*1.1^3)*Q129*R129</f>
        <v>20963250.000000007</v>
      </c>
      <c r="T129" s="41">
        <v>0</v>
      </c>
      <c r="U129" s="41">
        <v>0</v>
      </c>
      <c r="V129" s="41">
        <v>0</v>
      </c>
      <c r="W129" s="41">
        <v>0</v>
      </c>
      <c r="X129" s="41">
        <v>0</v>
      </c>
      <c r="Y129" s="41">
        <v>0</v>
      </c>
      <c r="Z129" s="41">
        <v>30</v>
      </c>
      <c r="AA129" s="41">
        <v>15</v>
      </c>
      <c r="AB129" s="41">
        <f t="shared" ref="AB129:AB134" si="24">($G129*1.1^6)*Z129*AA129</f>
        <v>27902085.750000015</v>
      </c>
      <c r="AC129" s="41">
        <v>0</v>
      </c>
      <c r="AD129" s="41">
        <v>0</v>
      </c>
      <c r="AE129" s="41">
        <v>0</v>
      </c>
      <c r="AF129" s="28">
        <f t="shared" si="12"/>
        <v>64615335.750000022</v>
      </c>
      <c r="AG129" s="28">
        <f t="shared" si="13"/>
        <v>62733.335679611671</v>
      </c>
    </row>
    <row r="130" spans="1:33" ht="86.4" x14ac:dyDescent="0.3">
      <c r="A130" s="41" t="s">
        <v>697</v>
      </c>
      <c r="B130" s="41" t="s">
        <v>695</v>
      </c>
      <c r="C130" s="41" t="s">
        <v>687</v>
      </c>
      <c r="D130" s="41" t="s">
        <v>146</v>
      </c>
      <c r="E130" s="41" t="s">
        <v>635</v>
      </c>
      <c r="F130" s="41" t="s">
        <v>716</v>
      </c>
      <c r="G130" s="41">
        <v>39000</v>
      </c>
      <c r="H130" s="41">
        <v>30</v>
      </c>
      <c r="I130" s="41">
        <v>15</v>
      </c>
      <c r="J130" s="41">
        <f t="shared" si="22"/>
        <v>17550000</v>
      </c>
      <c r="K130" s="41">
        <v>0</v>
      </c>
      <c r="L130" s="41">
        <v>0</v>
      </c>
      <c r="M130" s="41">
        <v>0</v>
      </c>
      <c r="N130" s="41">
        <v>0</v>
      </c>
      <c r="O130" s="41">
        <v>0</v>
      </c>
      <c r="P130" s="41">
        <v>0</v>
      </c>
      <c r="Q130" s="41">
        <v>30</v>
      </c>
      <c r="R130" s="41">
        <v>15</v>
      </c>
      <c r="S130" s="41">
        <f t="shared" si="23"/>
        <v>23359050.000000007</v>
      </c>
      <c r="T130" s="41">
        <v>0</v>
      </c>
      <c r="U130" s="41">
        <v>0</v>
      </c>
      <c r="V130" s="41">
        <v>0</v>
      </c>
      <c r="W130" s="41">
        <v>0</v>
      </c>
      <c r="X130" s="41">
        <v>0</v>
      </c>
      <c r="Y130" s="41">
        <v>0</v>
      </c>
      <c r="Z130" s="41">
        <v>30</v>
      </c>
      <c r="AA130" s="41">
        <v>15</v>
      </c>
      <c r="AB130" s="41">
        <f t="shared" si="24"/>
        <v>31090895.550000012</v>
      </c>
      <c r="AC130" s="41">
        <v>0</v>
      </c>
      <c r="AD130" s="41">
        <v>0</v>
      </c>
      <c r="AE130" s="41">
        <v>0</v>
      </c>
      <c r="AF130" s="28">
        <f t="shared" si="12"/>
        <v>71999945.550000012</v>
      </c>
      <c r="AG130" s="28">
        <f t="shared" si="13"/>
        <v>69902.859757281563</v>
      </c>
    </row>
    <row r="131" spans="1:33" ht="86.4" x14ac:dyDescent="0.3">
      <c r="A131" s="41" t="s">
        <v>697</v>
      </c>
      <c r="B131" s="41" t="s">
        <v>695</v>
      </c>
      <c r="C131" s="41" t="s">
        <v>687</v>
      </c>
      <c r="D131" s="41" t="s">
        <v>146</v>
      </c>
      <c r="E131" s="41" t="s">
        <v>635</v>
      </c>
      <c r="F131" s="41" t="s">
        <v>712</v>
      </c>
      <c r="G131" s="41">
        <f>1999.2/7</f>
        <v>285.60000000000002</v>
      </c>
      <c r="H131" s="41">
        <f>2*25*9</f>
        <v>450</v>
      </c>
      <c r="I131" s="41">
        <v>15</v>
      </c>
      <c r="J131" s="41">
        <f t="shared" si="22"/>
        <v>1927800.0000000002</v>
      </c>
      <c r="K131" s="41">
        <v>0</v>
      </c>
      <c r="L131" s="41">
        <v>0</v>
      </c>
      <c r="M131" s="41">
        <v>0</v>
      </c>
      <c r="N131" s="41">
        <v>0</v>
      </c>
      <c r="O131" s="41">
        <v>0</v>
      </c>
      <c r="P131" s="41">
        <v>0</v>
      </c>
      <c r="Q131" s="41">
        <f>2*25*9</f>
        <v>450</v>
      </c>
      <c r="R131" s="41">
        <v>15</v>
      </c>
      <c r="S131" s="41">
        <f t="shared" si="23"/>
        <v>2565901.8000000012</v>
      </c>
      <c r="T131" s="41">
        <v>0</v>
      </c>
      <c r="U131" s="41">
        <v>0</v>
      </c>
      <c r="V131" s="41">
        <v>0</v>
      </c>
      <c r="W131" s="41">
        <v>0</v>
      </c>
      <c r="X131" s="41">
        <v>0</v>
      </c>
      <c r="Y131" s="41">
        <v>0</v>
      </c>
      <c r="Z131" s="41">
        <f>2*25*9</f>
        <v>450</v>
      </c>
      <c r="AA131" s="41">
        <v>15</v>
      </c>
      <c r="AB131" s="41">
        <f t="shared" si="24"/>
        <v>3415215.2958000018</v>
      </c>
      <c r="AC131" s="41">
        <v>0</v>
      </c>
      <c r="AD131" s="41">
        <v>0</v>
      </c>
      <c r="AE131" s="41">
        <v>0</v>
      </c>
      <c r="AF131" s="28">
        <f t="shared" si="12"/>
        <v>7908917.095800003</v>
      </c>
      <c r="AG131" s="28">
        <f t="shared" si="13"/>
        <v>7678.5602871844694</v>
      </c>
    </row>
    <row r="132" spans="1:33" ht="86.4" x14ac:dyDescent="0.3">
      <c r="A132" s="41" t="s">
        <v>697</v>
      </c>
      <c r="B132" s="41" t="s">
        <v>695</v>
      </c>
      <c r="C132" s="41" t="s">
        <v>687</v>
      </c>
      <c r="D132" s="41" t="s">
        <v>146</v>
      </c>
      <c r="E132" s="41" t="s">
        <v>635</v>
      </c>
      <c r="F132" s="41" t="s">
        <v>1320</v>
      </c>
      <c r="G132" s="41">
        <f>1999.2/7</f>
        <v>285.60000000000002</v>
      </c>
      <c r="H132" s="41">
        <f>2*135*9</f>
        <v>2430</v>
      </c>
      <c r="I132" s="41">
        <v>3</v>
      </c>
      <c r="J132" s="41">
        <f t="shared" si="22"/>
        <v>2082024</v>
      </c>
      <c r="K132" s="41"/>
      <c r="L132" s="41"/>
      <c r="M132" s="41"/>
      <c r="N132" s="41"/>
      <c r="O132" s="41"/>
      <c r="P132" s="41"/>
      <c r="Q132" s="41">
        <f>2*135*9</f>
        <v>2430</v>
      </c>
      <c r="R132" s="41">
        <v>3</v>
      </c>
      <c r="S132" s="41">
        <f t="shared" si="23"/>
        <v>2771173.9440000011</v>
      </c>
      <c r="T132" s="41"/>
      <c r="U132" s="41"/>
      <c r="V132" s="41"/>
      <c r="W132" s="41"/>
      <c r="X132" s="41"/>
      <c r="Y132" s="41"/>
      <c r="Z132" s="41">
        <f>2*135*9</f>
        <v>2430</v>
      </c>
      <c r="AA132" s="41">
        <v>3</v>
      </c>
      <c r="AB132" s="41">
        <f t="shared" si="24"/>
        <v>3688432.519464002</v>
      </c>
      <c r="AC132" s="41"/>
      <c r="AD132" s="41"/>
      <c r="AE132" s="41"/>
      <c r="AF132" s="28">
        <f t="shared" ref="AF132:AF178" si="25">J132+M132+P132+S132+V132+Y132+AB132+AE132</f>
        <v>8541630.4634640031</v>
      </c>
      <c r="AG132" s="28">
        <f t="shared" ref="AG132:AG178" si="26">AF132/$AL$2</f>
        <v>8292.8451101592254</v>
      </c>
    </row>
    <row r="133" spans="1:33" ht="86.4" x14ac:dyDescent="0.3">
      <c r="A133" s="41" t="s">
        <v>697</v>
      </c>
      <c r="B133" s="41" t="s">
        <v>695</v>
      </c>
      <c r="C133" s="41" t="s">
        <v>687</v>
      </c>
      <c r="D133" s="41" t="s">
        <v>146</v>
      </c>
      <c r="E133" s="41" t="s">
        <v>636</v>
      </c>
      <c r="F133" s="41" t="s">
        <v>718</v>
      </c>
      <c r="G133" s="41">
        <v>0</v>
      </c>
      <c r="H133" s="41">
        <v>0</v>
      </c>
      <c r="I133" s="41">
        <v>0</v>
      </c>
      <c r="J133" s="41">
        <f t="shared" si="22"/>
        <v>0</v>
      </c>
      <c r="K133" s="41">
        <v>0</v>
      </c>
      <c r="L133" s="41">
        <v>0</v>
      </c>
      <c r="M133" s="41">
        <v>0</v>
      </c>
      <c r="N133" s="41">
        <v>0</v>
      </c>
      <c r="O133" s="41">
        <v>0</v>
      </c>
      <c r="P133" s="41">
        <v>0</v>
      </c>
      <c r="Q133" s="41">
        <v>0</v>
      </c>
      <c r="R133" s="41">
        <v>0</v>
      </c>
      <c r="S133" s="41">
        <f t="shared" si="23"/>
        <v>0</v>
      </c>
      <c r="T133" s="41">
        <v>0</v>
      </c>
      <c r="U133" s="41">
        <v>0</v>
      </c>
      <c r="V133" s="41">
        <v>0</v>
      </c>
      <c r="W133" s="41">
        <v>0</v>
      </c>
      <c r="X133" s="41">
        <v>0</v>
      </c>
      <c r="Y133" s="41">
        <v>0</v>
      </c>
      <c r="Z133" s="41">
        <v>0</v>
      </c>
      <c r="AA133" s="41">
        <v>0</v>
      </c>
      <c r="AB133" s="41">
        <f t="shared" si="24"/>
        <v>0</v>
      </c>
      <c r="AC133" s="41">
        <v>0</v>
      </c>
      <c r="AD133" s="41">
        <v>0</v>
      </c>
      <c r="AE133" s="41">
        <v>0</v>
      </c>
      <c r="AF133" s="28">
        <f t="shared" si="25"/>
        <v>0</v>
      </c>
      <c r="AG133" s="28">
        <f t="shared" si="26"/>
        <v>0</v>
      </c>
    </row>
    <row r="134" spans="1:33" ht="86.4" x14ac:dyDescent="0.3">
      <c r="A134" s="41" t="s">
        <v>697</v>
      </c>
      <c r="B134" s="41" t="s">
        <v>695</v>
      </c>
      <c r="C134" s="41" t="s">
        <v>687</v>
      </c>
      <c r="D134" s="41" t="s">
        <v>146</v>
      </c>
      <c r="E134" s="41" t="s">
        <v>637</v>
      </c>
      <c r="F134" s="41" t="s">
        <v>718</v>
      </c>
      <c r="G134" s="41">
        <v>0</v>
      </c>
      <c r="H134" s="41">
        <v>0</v>
      </c>
      <c r="I134" s="41">
        <v>0</v>
      </c>
      <c r="J134" s="41">
        <f t="shared" si="22"/>
        <v>0</v>
      </c>
      <c r="K134" s="41">
        <v>0</v>
      </c>
      <c r="L134" s="41">
        <v>0</v>
      </c>
      <c r="M134" s="41">
        <v>0</v>
      </c>
      <c r="N134" s="41">
        <v>0</v>
      </c>
      <c r="O134" s="41">
        <v>0</v>
      </c>
      <c r="P134" s="41">
        <v>0</v>
      </c>
      <c r="Q134" s="41">
        <v>0</v>
      </c>
      <c r="R134" s="41">
        <v>0</v>
      </c>
      <c r="S134" s="41">
        <f t="shared" si="23"/>
        <v>0</v>
      </c>
      <c r="T134" s="41">
        <v>0</v>
      </c>
      <c r="U134" s="41">
        <v>0</v>
      </c>
      <c r="V134" s="41">
        <v>0</v>
      </c>
      <c r="W134" s="41">
        <v>0</v>
      </c>
      <c r="X134" s="41">
        <v>0</v>
      </c>
      <c r="Y134" s="41">
        <v>0</v>
      </c>
      <c r="Z134" s="41">
        <v>0</v>
      </c>
      <c r="AA134" s="41">
        <v>0</v>
      </c>
      <c r="AB134" s="41">
        <f t="shared" si="24"/>
        <v>0</v>
      </c>
      <c r="AC134" s="41">
        <v>0</v>
      </c>
      <c r="AD134" s="41">
        <v>0</v>
      </c>
      <c r="AE134" s="41">
        <v>0</v>
      </c>
      <c r="AF134" s="28">
        <f t="shared" si="25"/>
        <v>0</v>
      </c>
      <c r="AG134" s="28">
        <f t="shared" si="26"/>
        <v>0</v>
      </c>
    </row>
    <row r="135" spans="1:33" ht="86.4" x14ac:dyDescent="0.3">
      <c r="A135" s="41" t="s">
        <v>697</v>
      </c>
      <c r="B135" s="41" t="s">
        <v>695</v>
      </c>
      <c r="C135" s="41" t="s">
        <v>687</v>
      </c>
      <c r="D135" s="41" t="s">
        <v>147</v>
      </c>
      <c r="E135" s="41" t="s">
        <v>155</v>
      </c>
      <c r="F135" s="41" t="s">
        <v>718</v>
      </c>
      <c r="G135" s="41">
        <v>0</v>
      </c>
      <c r="H135" s="41"/>
      <c r="I135" s="41"/>
      <c r="J135" s="41">
        <v>0</v>
      </c>
      <c r="K135" s="41">
        <v>0</v>
      </c>
      <c r="L135" s="41">
        <v>0</v>
      </c>
      <c r="M135" s="41">
        <f>($G135*1.1^1)*K135*L135</f>
        <v>0</v>
      </c>
      <c r="N135" s="41">
        <v>0</v>
      </c>
      <c r="O135" s="41">
        <v>0</v>
      </c>
      <c r="P135" s="41">
        <v>0</v>
      </c>
      <c r="Q135" s="41">
        <v>0</v>
      </c>
      <c r="R135" s="41">
        <v>0</v>
      </c>
      <c r="S135" s="41">
        <v>0</v>
      </c>
      <c r="T135" s="41">
        <v>0</v>
      </c>
      <c r="U135" s="41">
        <v>0</v>
      </c>
      <c r="V135" s="41">
        <v>0</v>
      </c>
      <c r="W135" s="41">
        <v>0</v>
      </c>
      <c r="X135" s="41">
        <v>0</v>
      </c>
      <c r="Y135" s="41">
        <v>0</v>
      </c>
      <c r="Z135" s="41">
        <v>0</v>
      </c>
      <c r="AA135" s="41">
        <v>0</v>
      </c>
      <c r="AB135" s="41">
        <v>0</v>
      </c>
      <c r="AC135" s="41">
        <v>0</v>
      </c>
      <c r="AD135" s="41">
        <v>0</v>
      </c>
      <c r="AE135" s="41">
        <f>($G135*1.1^7)*AC135*AD135</f>
        <v>0</v>
      </c>
      <c r="AF135" s="28">
        <f t="shared" si="25"/>
        <v>0</v>
      </c>
      <c r="AG135" s="28">
        <f t="shared" si="26"/>
        <v>0</v>
      </c>
    </row>
    <row r="136" spans="1:33" ht="86.4" x14ac:dyDescent="0.3">
      <c r="A136" s="41" t="s">
        <v>697</v>
      </c>
      <c r="B136" s="41" t="s">
        <v>695</v>
      </c>
      <c r="C136" s="41" t="s">
        <v>687</v>
      </c>
      <c r="D136" s="41" t="s">
        <v>147</v>
      </c>
      <c r="E136" s="41" t="s">
        <v>158</v>
      </c>
      <c r="F136" s="41" t="s">
        <v>718</v>
      </c>
      <c r="G136" s="41">
        <v>0</v>
      </c>
      <c r="H136" s="41"/>
      <c r="I136" s="41"/>
      <c r="J136" s="41">
        <v>0</v>
      </c>
      <c r="K136" s="41">
        <v>0</v>
      </c>
      <c r="L136" s="41">
        <v>0</v>
      </c>
      <c r="M136" s="41">
        <f t="shared" ref="M136:M146" si="27">($G136*1.1^1)*K136*L136</f>
        <v>0</v>
      </c>
      <c r="N136" s="41">
        <v>0</v>
      </c>
      <c r="O136" s="41">
        <v>0</v>
      </c>
      <c r="P136" s="41">
        <v>0</v>
      </c>
      <c r="Q136" s="41">
        <v>0</v>
      </c>
      <c r="R136" s="41">
        <v>0</v>
      </c>
      <c r="S136" s="41">
        <v>0</v>
      </c>
      <c r="T136" s="41">
        <v>0</v>
      </c>
      <c r="U136" s="41">
        <v>0</v>
      </c>
      <c r="V136" s="41">
        <v>0</v>
      </c>
      <c r="W136" s="41">
        <v>0</v>
      </c>
      <c r="X136" s="41">
        <v>0</v>
      </c>
      <c r="Y136" s="41">
        <v>0</v>
      </c>
      <c r="Z136" s="41">
        <v>0</v>
      </c>
      <c r="AA136" s="41">
        <v>0</v>
      </c>
      <c r="AB136" s="41">
        <v>0</v>
      </c>
      <c r="AC136" s="41">
        <v>0</v>
      </c>
      <c r="AD136" s="41">
        <v>0</v>
      </c>
      <c r="AE136" s="41">
        <f t="shared" ref="AE136:AE146" si="28">($G136*1.1^7)*AC136*AD136</f>
        <v>0</v>
      </c>
      <c r="AF136" s="28">
        <f t="shared" si="25"/>
        <v>0</v>
      </c>
      <c r="AG136" s="28">
        <f t="shared" si="26"/>
        <v>0</v>
      </c>
    </row>
    <row r="137" spans="1:33" ht="86.4" x14ac:dyDescent="0.3">
      <c r="A137" s="41" t="s">
        <v>697</v>
      </c>
      <c r="B137" s="41" t="s">
        <v>695</v>
      </c>
      <c r="C137" s="41" t="s">
        <v>687</v>
      </c>
      <c r="D137" s="41" t="s">
        <v>147</v>
      </c>
      <c r="E137" s="41" t="s">
        <v>638</v>
      </c>
      <c r="F137" s="41" t="s">
        <v>709</v>
      </c>
      <c r="G137" s="41">
        <v>35000</v>
      </c>
      <c r="H137" s="41"/>
      <c r="I137" s="41"/>
      <c r="J137" s="41">
        <v>0</v>
      </c>
      <c r="K137" s="41">
        <v>30</v>
      </c>
      <c r="L137" s="41">
        <v>15</v>
      </c>
      <c r="M137" s="41">
        <f t="shared" si="27"/>
        <v>17325000</v>
      </c>
      <c r="N137" s="41">
        <v>0</v>
      </c>
      <c r="O137" s="41">
        <v>0</v>
      </c>
      <c r="P137" s="41">
        <v>0</v>
      </c>
      <c r="Q137" s="41">
        <v>0</v>
      </c>
      <c r="R137" s="41">
        <v>0</v>
      </c>
      <c r="S137" s="41">
        <v>0</v>
      </c>
      <c r="T137" s="41">
        <v>0</v>
      </c>
      <c r="U137" s="41">
        <v>0</v>
      </c>
      <c r="V137" s="41">
        <v>0</v>
      </c>
      <c r="W137" s="41">
        <v>0</v>
      </c>
      <c r="X137" s="41">
        <v>0</v>
      </c>
      <c r="Y137" s="41">
        <v>0</v>
      </c>
      <c r="Z137" s="41">
        <v>0</v>
      </c>
      <c r="AA137" s="41">
        <v>0</v>
      </c>
      <c r="AB137" s="41">
        <v>0</v>
      </c>
      <c r="AC137" s="41">
        <v>30</v>
      </c>
      <c r="AD137" s="41">
        <v>15</v>
      </c>
      <c r="AE137" s="41">
        <f t="shared" si="28"/>
        <v>30692294.325000014</v>
      </c>
      <c r="AF137" s="28">
        <f t="shared" si="25"/>
        <v>48017294.325000018</v>
      </c>
      <c r="AG137" s="28">
        <f t="shared" si="26"/>
        <v>46618.732354368949</v>
      </c>
    </row>
    <row r="138" spans="1:33" ht="86.4" x14ac:dyDescent="0.3">
      <c r="A138" s="41" t="s">
        <v>697</v>
      </c>
      <c r="B138" s="41" t="s">
        <v>695</v>
      </c>
      <c r="C138" s="41" t="s">
        <v>687</v>
      </c>
      <c r="D138" s="41" t="s">
        <v>147</v>
      </c>
      <c r="E138" s="41" t="s">
        <v>638</v>
      </c>
      <c r="F138" s="41" t="s">
        <v>716</v>
      </c>
      <c r="G138" s="41">
        <v>39000</v>
      </c>
      <c r="H138" s="41"/>
      <c r="I138" s="41"/>
      <c r="J138" s="41">
        <v>0</v>
      </c>
      <c r="K138" s="41">
        <v>30</v>
      </c>
      <c r="L138" s="41">
        <v>15</v>
      </c>
      <c r="M138" s="41">
        <f t="shared" si="27"/>
        <v>19305000</v>
      </c>
      <c r="N138" s="41">
        <v>0</v>
      </c>
      <c r="O138" s="41">
        <v>0</v>
      </c>
      <c r="P138" s="41">
        <v>0</v>
      </c>
      <c r="Q138" s="41">
        <v>0</v>
      </c>
      <c r="R138" s="41">
        <v>0</v>
      </c>
      <c r="S138" s="41">
        <v>0</v>
      </c>
      <c r="T138" s="41">
        <v>0</v>
      </c>
      <c r="U138" s="41">
        <v>0</v>
      </c>
      <c r="V138" s="41">
        <v>0</v>
      </c>
      <c r="W138" s="41">
        <v>0</v>
      </c>
      <c r="X138" s="41">
        <v>0</v>
      </c>
      <c r="Y138" s="41">
        <v>0</v>
      </c>
      <c r="Z138" s="41">
        <v>0</v>
      </c>
      <c r="AA138" s="41">
        <v>0</v>
      </c>
      <c r="AB138" s="41">
        <v>0</v>
      </c>
      <c r="AC138" s="41">
        <v>30</v>
      </c>
      <c r="AD138" s="41">
        <v>15</v>
      </c>
      <c r="AE138" s="41">
        <f t="shared" si="28"/>
        <v>34199985.105000019</v>
      </c>
      <c r="AF138" s="28">
        <f t="shared" si="25"/>
        <v>53504985.105000019</v>
      </c>
      <c r="AG138" s="28">
        <f t="shared" si="26"/>
        <v>51946.587480582544</v>
      </c>
    </row>
    <row r="139" spans="1:33" ht="86.4" x14ac:dyDescent="0.3">
      <c r="A139" s="41" t="s">
        <v>697</v>
      </c>
      <c r="B139" s="41" t="s">
        <v>695</v>
      </c>
      <c r="C139" s="41" t="s">
        <v>687</v>
      </c>
      <c r="D139" s="41" t="s">
        <v>147</v>
      </c>
      <c r="E139" s="41" t="s">
        <v>638</v>
      </c>
      <c r="F139" s="41" t="s">
        <v>712</v>
      </c>
      <c r="G139" s="41">
        <f>1999.2/7</f>
        <v>285.60000000000002</v>
      </c>
      <c r="H139" s="41"/>
      <c r="I139" s="41"/>
      <c r="J139" s="41">
        <v>0</v>
      </c>
      <c r="K139" s="41">
        <f>25*2*9</f>
        <v>450</v>
      </c>
      <c r="L139" s="41">
        <v>15</v>
      </c>
      <c r="M139" s="41">
        <f t="shared" si="27"/>
        <v>2120580</v>
      </c>
      <c r="N139" s="41">
        <v>0</v>
      </c>
      <c r="O139" s="41">
        <v>0</v>
      </c>
      <c r="P139" s="41">
        <v>0</v>
      </c>
      <c r="Q139" s="41">
        <v>0</v>
      </c>
      <c r="R139" s="41">
        <v>0</v>
      </c>
      <c r="S139" s="41">
        <v>0</v>
      </c>
      <c r="T139" s="41">
        <v>0</v>
      </c>
      <c r="U139" s="41">
        <v>0</v>
      </c>
      <c r="V139" s="41">
        <v>0</v>
      </c>
      <c r="W139" s="41">
        <v>0</v>
      </c>
      <c r="X139" s="41">
        <v>0</v>
      </c>
      <c r="Y139" s="41">
        <v>0</v>
      </c>
      <c r="Z139" s="41">
        <v>0</v>
      </c>
      <c r="AA139" s="41">
        <v>0</v>
      </c>
      <c r="AB139" s="41">
        <v>0</v>
      </c>
      <c r="AC139" s="41">
        <f>25*2*9</f>
        <v>450</v>
      </c>
      <c r="AD139" s="41">
        <v>15</v>
      </c>
      <c r="AE139" s="41">
        <f t="shared" si="28"/>
        <v>3756736.8253800031</v>
      </c>
      <c r="AF139" s="28">
        <f t="shared" si="25"/>
        <v>5877316.8253800031</v>
      </c>
      <c r="AG139" s="28">
        <f t="shared" si="26"/>
        <v>5706.1328401747605</v>
      </c>
    </row>
    <row r="140" spans="1:33" ht="86.4" x14ac:dyDescent="0.3">
      <c r="A140" s="41" t="s">
        <v>697</v>
      </c>
      <c r="B140" s="41" t="s">
        <v>695</v>
      </c>
      <c r="C140" s="41" t="s">
        <v>687</v>
      </c>
      <c r="D140" s="41" t="s">
        <v>147</v>
      </c>
      <c r="E140" s="41" t="s">
        <v>638</v>
      </c>
      <c r="F140" s="41" t="s">
        <v>1320</v>
      </c>
      <c r="G140" s="41">
        <f>1999.2/7</f>
        <v>285.60000000000002</v>
      </c>
      <c r="H140" s="41"/>
      <c r="I140" s="41"/>
      <c r="J140" s="41"/>
      <c r="K140" s="41">
        <f>2*135*9</f>
        <v>2430</v>
      </c>
      <c r="L140" s="41">
        <v>3</v>
      </c>
      <c r="M140" s="41">
        <f t="shared" si="27"/>
        <v>2290226.4000000004</v>
      </c>
      <c r="N140" s="41"/>
      <c r="O140" s="41"/>
      <c r="P140" s="41"/>
      <c r="Q140" s="41"/>
      <c r="R140" s="41"/>
      <c r="S140" s="41"/>
      <c r="T140" s="41"/>
      <c r="U140" s="41"/>
      <c r="V140" s="41"/>
      <c r="W140" s="41"/>
      <c r="X140" s="41"/>
      <c r="Y140" s="41"/>
      <c r="Z140" s="41"/>
      <c r="AA140" s="41"/>
      <c r="AB140" s="41"/>
      <c r="AC140" s="41">
        <f>2*135*9</f>
        <v>2430</v>
      </c>
      <c r="AD140" s="41">
        <v>3</v>
      </c>
      <c r="AE140" s="41">
        <f t="shared" si="28"/>
        <v>4057275.7714104028</v>
      </c>
      <c r="AF140" s="28">
        <f t="shared" si="25"/>
        <v>6347502.1714104032</v>
      </c>
      <c r="AG140" s="28">
        <f t="shared" si="26"/>
        <v>6162.6234673887411</v>
      </c>
    </row>
    <row r="141" spans="1:33" ht="86.4" x14ac:dyDescent="0.3">
      <c r="A141" s="41" t="s">
        <v>697</v>
      </c>
      <c r="B141" s="41" t="s">
        <v>695</v>
      </c>
      <c r="C141" s="41" t="s">
        <v>687</v>
      </c>
      <c r="D141" s="41" t="s">
        <v>147</v>
      </c>
      <c r="E141" s="41" t="s">
        <v>265</v>
      </c>
      <c r="F141" s="41" t="s">
        <v>709</v>
      </c>
      <c r="G141" s="41">
        <v>35000</v>
      </c>
      <c r="H141" s="41"/>
      <c r="I141" s="41"/>
      <c r="J141" s="41">
        <v>0</v>
      </c>
      <c r="K141" s="41">
        <v>25</v>
      </c>
      <c r="L141" s="41">
        <v>1</v>
      </c>
      <c r="M141" s="41">
        <f t="shared" si="27"/>
        <v>962500</v>
      </c>
      <c r="N141" s="41">
        <v>0</v>
      </c>
      <c r="O141" s="41">
        <v>0</v>
      </c>
      <c r="P141" s="41">
        <v>0</v>
      </c>
      <c r="Q141" s="41">
        <v>0</v>
      </c>
      <c r="R141" s="41">
        <v>0</v>
      </c>
      <c r="S141" s="41">
        <v>0</v>
      </c>
      <c r="T141" s="41">
        <v>0</v>
      </c>
      <c r="U141" s="41">
        <v>0</v>
      </c>
      <c r="V141" s="41">
        <v>0</v>
      </c>
      <c r="W141" s="41">
        <v>0</v>
      </c>
      <c r="X141" s="41">
        <v>0</v>
      </c>
      <c r="Y141" s="41">
        <v>0</v>
      </c>
      <c r="Z141" s="41">
        <v>0</v>
      </c>
      <c r="AA141" s="41">
        <v>0</v>
      </c>
      <c r="AB141" s="41">
        <v>0</v>
      </c>
      <c r="AC141" s="41">
        <v>25</v>
      </c>
      <c r="AD141" s="41">
        <v>1</v>
      </c>
      <c r="AE141" s="41">
        <f t="shared" si="28"/>
        <v>1705127.4625000008</v>
      </c>
      <c r="AF141" s="28">
        <f t="shared" si="25"/>
        <v>2667627.4625000008</v>
      </c>
      <c r="AG141" s="28">
        <f t="shared" si="26"/>
        <v>2589.9295752427192</v>
      </c>
    </row>
    <row r="142" spans="1:33" ht="86.4" x14ac:dyDescent="0.3">
      <c r="A142" s="41" t="s">
        <v>697</v>
      </c>
      <c r="B142" s="41" t="s">
        <v>695</v>
      </c>
      <c r="C142" s="41" t="s">
        <v>687</v>
      </c>
      <c r="D142" s="41" t="s">
        <v>147</v>
      </c>
      <c r="E142" s="41" t="s">
        <v>562</v>
      </c>
      <c r="F142" s="41" t="s">
        <v>718</v>
      </c>
      <c r="G142" s="41">
        <v>0</v>
      </c>
      <c r="H142" s="41"/>
      <c r="I142" s="41"/>
      <c r="J142" s="41">
        <v>0</v>
      </c>
      <c r="K142" s="41">
        <v>25</v>
      </c>
      <c r="L142" s="41">
        <v>1</v>
      </c>
      <c r="M142" s="41">
        <f t="shared" si="27"/>
        <v>0</v>
      </c>
      <c r="N142" s="41">
        <v>0</v>
      </c>
      <c r="O142" s="41">
        <v>0</v>
      </c>
      <c r="P142" s="41">
        <v>0</v>
      </c>
      <c r="Q142" s="41">
        <v>0</v>
      </c>
      <c r="R142" s="41">
        <v>0</v>
      </c>
      <c r="S142" s="41">
        <v>0</v>
      </c>
      <c r="T142" s="41">
        <v>0</v>
      </c>
      <c r="U142" s="41">
        <v>0</v>
      </c>
      <c r="V142" s="41">
        <v>0</v>
      </c>
      <c r="W142" s="41">
        <v>0</v>
      </c>
      <c r="X142" s="41">
        <v>0</v>
      </c>
      <c r="Y142" s="41">
        <v>0</v>
      </c>
      <c r="Z142" s="41">
        <v>0</v>
      </c>
      <c r="AA142" s="41">
        <v>0</v>
      </c>
      <c r="AB142" s="41">
        <v>0</v>
      </c>
      <c r="AC142" s="41">
        <v>25</v>
      </c>
      <c r="AD142" s="41">
        <v>1</v>
      </c>
      <c r="AE142" s="41">
        <f t="shared" si="28"/>
        <v>0</v>
      </c>
      <c r="AF142" s="28">
        <f t="shared" si="25"/>
        <v>0</v>
      </c>
      <c r="AG142" s="28">
        <f t="shared" si="26"/>
        <v>0</v>
      </c>
    </row>
    <row r="143" spans="1:33" ht="86.4" x14ac:dyDescent="0.3">
      <c r="A143" s="41" t="s">
        <v>697</v>
      </c>
      <c r="B143" s="41" t="s">
        <v>695</v>
      </c>
      <c r="C143" s="41" t="s">
        <v>687</v>
      </c>
      <c r="D143" s="41" t="s">
        <v>147</v>
      </c>
      <c r="E143" s="41" t="s">
        <v>156</v>
      </c>
      <c r="F143" s="41" t="s">
        <v>709</v>
      </c>
      <c r="G143" s="41">
        <v>35000</v>
      </c>
      <c r="H143" s="41"/>
      <c r="I143" s="41"/>
      <c r="J143" s="41">
        <v>0</v>
      </c>
      <c r="K143" s="41">
        <v>100</v>
      </c>
      <c r="L143" s="41">
        <v>1</v>
      </c>
      <c r="M143" s="41">
        <f t="shared" si="27"/>
        <v>3850000</v>
      </c>
      <c r="N143" s="41">
        <v>0</v>
      </c>
      <c r="O143" s="41">
        <v>0</v>
      </c>
      <c r="P143" s="41">
        <v>0</v>
      </c>
      <c r="Q143" s="41">
        <v>0</v>
      </c>
      <c r="R143" s="41">
        <v>0</v>
      </c>
      <c r="S143" s="41">
        <v>0</v>
      </c>
      <c r="T143" s="41">
        <v>0</v>
      </c>
      <c r="U143" s="41">
        <v>0</v>
      </c>
      <c r="V143" s="41">
        <v>0</v>
      </c>
      <c r="W143" s="41">
        <v>0</v>
      </c>
      <c r="X143" s="41">
        <v>0</v>
      </c>
      <c r="Y143" s="41">
        <v>0</v>
      </c>
      <c r="Z143" s="41">
        <v>0</v>
      </c>
      <c r="AA143" s="41">
        <v>0</v>
      </c>
      <c r="AB143" s="41">
        <v>0</v>
      </c>
      <c r="AC143" s="41">
        <v>100</v>
      </c>
      <c r="AD143" s="41">
        <v>1</v>
      </c>
      <c r="AE143" s="41">
        <f t="shared" si="28"/>
        <v>6820509.8500000034</v>
      </c>
      <c r="AF143" s="28">
        <f t="shared" si="25"/>
        <v>10670509.850000003</v>
      </c>
      <c r="AG143" s="28">
        <f t="shared" si="26"/>
        <v>10359.718300970877</v>
      </c>
    </row>
    <row r="144" spans="1:33" ht="86.4" x14ac:dyDescent="0.3">
      <c r="A144" s="41" t="s">
        <v>697</v>
      </c>
      <c r="B144" s="41" t="s">
        <v>695</v>
      </c>
      <c r="C144" s="41" t="s">
        <v>687</v>
      </c>
      <c r="D144" s="41" t="s">
        <v>147</v>
      </c>
      <c r="E144" s="41" t="s">
        <v>156</v>
      </c>
      <c r="F144" s="41" t="s">
        <v>1297</v>
      </c>
      <c r="G144" s="41">
        <v>8000</v>
      </c>
      <c r="H144" s="41"/>
      <c r="I144" s="41"/>
      <c r="J144" s="41">
        <v>0</v>
      </c>
      <c r="K144" s="41">
        <v>10</v>
      </c>
      <c r="L144" s="41">
        <v>1</v>
      </c>
      <c r="M144" s="41">
        <f t="shared" si="27"/>
        <v>88000</v>
      </c>
      <c r="N144" s="41">
        <v>0</v>
      </c>
      <c r="O144" s="41">
        <v>0</v>
      </c>
      <c r="P144" s="41">
        <v>0</v>
      </c>
      <c r="Q144" s="41">
        <v>0</v>
      </c>
      <c r="R144" s="41">
        <v>0</v>
      </c>
      <c r="S144" s="41">
        <v>0</v>
      </c>
      <c r="T144" s="41">
        <v>0</v>
      </c>
      <c r="U144" s="41">
        <v>0</v>
      </c>
      <c r="V144" s="41">
        <v>0</v>
      </c>
      <c r="W144" s="41">
        <v>0</v>
      </c>
      <c r="X144" s="41">
        <v>0</v>
      </c>
      <c r="Y144" s="41">
        <v>0</v>
      </c>
      <c r="Z144" s="41">
        <v>0</v>
      </c>
      <c r="AA144" s="41">
        <v>0</v>
      </c>
      <c r="AB144" s="41">
        <v>0</v>
      </c>
      <c r="AC144" s="41">
        <v>10</v>
      </c>
      <c r="AD144" s="41">
        <v>1</v>
      </c>
      <c r="AE144" s="41">
        <f t="shared" si="28"/>
        <v>155897.3680000001</v>
      </c>
      <c r="AF144" s="28">
        <f t="shared" si="25"/>
        <v>243897.3680000001</v>
      </c>
      <c r="AG144" s="28">
        <f t="shared" si="26"/>
        <v>236.79356116504866</v>
      </c>
    </row>
    <row r="145" spans="1:214" ht="86.4" x14ac:dyDescent="0.3">
      <c r="A145" s="41" t="s">
        <v>697</v>
      </c>
      <c r="B145" s="41" t="s">
        <v>695</v>
      </c>
      <c r="C145" s="41" t="s">
        <v>687</v>
      </c>
      <c r="D145" s="41" t="s">
        <v>147</v>
      </c>
      <c r="E145" s="41" t="s">
        <v>156</v>
      </c>
      <c r="F145" s="41" t="s">
        <v>717</v>
      </c>
      <c r="G145" s="41">
        <v>104850</v>
      </c>
      <c r="H145" s="41"/>
      <c r="I145" s="41"/>
      <c r="J145" s="41">
        <v>0</v>
      </c>
      <c r="K145" s="41">
        <v>1</v>
      </c>
      <c r="L145" s="41">
        <v>1</v>
      </c>
      <c r="M145" s="41">
        <f t="shared" si="27"/>
        <v>115335.00000000001</v>
      </c>
      <c r="N145" s="41">
        <v>0</v>
      </c>
      <c r="O145" s="41">
        <v>0</v>
      </c>
      <c r="P145" s="41">
        <v>0</v>
      </c>
      <c r="Q145" s="41">
        <v>0</v>
      </c>
      <c r="R145" s="41">
        <v>0</v>
      </c>
      <c r="S145" s="41">
        <v>0</v>
      </c>
      <c r="T145" s="41">
        <v>0</v>
      </c>
      <c r="U145" s="41">
        <v>0</v>
      </c>
      <c r="V145" s="41">
        <v>0</v>
      </c>
      <c r="W145" s="41">
        <v>0</v>
      </c>
      <c r="X145" s="41">
        <v>0</v>
      </c>
      <c r="Y145" s="41">
        <v>0</v>
      </c>
      <c r="Z145" s="41">
        <v>0</v>
      </c>
      <c r="AA145" s="41">
        <v>0</v>
      </c>
      <c r="AB145" s="41">
        <v>0</v>
      </c>
      <c r="AC145" s="41">
        <v>1</v>
      </c>
      <c r="AD145" s="41">
        <v>1</v>
      </c>
      <c r="AE145" s="41">
        <f t="shared" si="28"/>
        <v>204322.98793500013</v>
      </c>
      <c r="AF145" s="28">
        <f t="shared" si="25"/>
        <v>319657.98793500016</v>
      </c>
      <c r="AG145" s="28">
        <f t="shared" si="26"/>
        <v>310.34756110194189</v>
      </c>
    </row>
    <row r="146" spans="1:214" ht="86.4" x14ac:dyDescent="0.3">
      <c r="A146" s="41" t="s">
        <v>697</v>
      </c>
      <c r="B146" s="41" t="s">
        <v>695</v>
      </c>
      <c r="C146" s="41" t="s">
        <v>687</v>
      </c>
      <c r="D146" s="41" t="s">
        <v>147</v>
      </c>
      <c r="E146" s="41" t="s">
        <v>156</v>
      </c>
      <c r="F146" s="41" t="s">
        <v>716</v>
      </c>
      <c r="G146" s="41">
        <v>39000</v>
      </c>
      <c r="H146" s="41"/>
      <c r="I146" s="41"/>
      <c r="J146" s="41">
        <v>0</v>
      </c>
      <c r="K146" s="41">
        <v>58</v>
      </c>
      <c r="L146" s="41">
        <v>1</v>
      </c>
      <c r="M146" s="41">
        <f t="shared" si="27"/>
        <v>2488200</v>
      </c>
      <c r="N146" s="41">
        <v>0</v>
      </c>
      <c r="O146" s="41">
        <v>0</v>
      </c>
      <c r="P146" s="41">
        <v>0</v>
      </c>
      <c r="Q146" s="41">
        <v>0</v>
      </c>
      <c r="R146" s="41">
        <v>0</v>
      </c>
      <c r="S146" s="41">
        <v>0</v>
      </c>
      <c r="T146" s="41">
        <v>0</v>
      </c>
      <c r="U146" s="41">
        <v>0</v>
      </c>
      <c r="V146" s="41">
        <v>0</v>
      </c>
      <c r="W146" s="41">
        <v>0</v>
      </c>
      <c r="X146" s="41">
        <v>0</v>
      </c>
      <c r="Y146" s="41">
        <v>0</v>
      </c>
      <c r="Z146" s="41">
        <v>0</v>
      </c>
      <c r="AA146" s="41">
        <v>0</v>
      </c>
      <c r="AB146" s="41">
        <v>0</v>
      </c>
      <c r="AC146" s="41">
        <v>58</v>
      </c>
      <c r="AD146" s="41">
        <v>1</v>
      </c>
      <c r="AE146" s="41">
        <f t="shared" si="28"/>
        <v>4407998.0802000025</v>
      </c>
      <c r="AF146" s="28">
        <f t="shared" si="25"/>
        <v>6896198.0802000025</v>
      </c>
      <c r="AG146" s="28">
        <f t="shared" si="26"/>
        <v>6695.3379419417497</v>
      </c>
    </row>
    <row r="147" spans="1:214"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28">
        <f t="shared" si="25"/>
        <v>0</v>
      </c>
      <c r="AG147" s="28">
        <f t="shared" si="26"/>
        <v>0</v>
      </c>
    </row>
    <row r="148" spans="1:214"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28">
        <f t="shared" si="25"/>
        <v>0</v>
      </c>
      <c r="AG148" s="28">
        <f t="shared" si="26"/>
        <v>0</v>
      </c>
    </row>
    <row r="149" spans="1:214" ht="57.6" x14ac:dyDescent="0.3">
      <c r="A149" s="41" t="s">
        <v>697</v>
      </c>
      <c r="B149" s="41" t="s">
        <v>695</v>
      </c>
      <c r="C149" s="41" t="s">
        <v>688</v>
      </c>
      <c r="D149" s="41" t="s">
        <v>148</v>
      </c>
      <c r="E149" s="41" t="s">
        <v>809</v>
      </c>
      <c r="F149" s="41" t="s">
        <v>716</v>
      </c>
      <c r="G149" s="41">
        <v>39000</v>
      </c>
      <c r="H149" s="41">
        <v>100</v>
      </c>
      <c r="I149" s="41">
        <v>2</v>
      </c>
      <c r="J149" s="41">
        <f>$G149*H149*I149</f>
        <v>7800000</v>
      </c>
      <c r="K149" s="41">
        <v>100</v>
      </c>
      <c r="L149" s="41">
        <v>2</v>
      </c>
      <c r="M149" s="41">
        <f>($G149*1.1^1)*K149*L149</f>
        <v>8580000</v>
      </c>
      <c r="N149" s="41">
        <v>100</v>
      </c>
      <c r="O149" s="41">
        <v>2</v>
      </c>
      <c r="P149" s="41">
        <f>($G149*1.1^2)*N149*O149</f>
        <v>9438000.0000000019</v>
      </c>
      <c r="Q149" s="41">
        <v>100</v>
      </c>
      <c r="R149" s="41">
        <v>2</v>
      </c>
      <c r="S149" s="41">
        <f>($G149*1.1^3)*Q149*R149</f>
        <v>10381800.000000004</v>
      </c>
      <c r="T149" s="41">
        <v>100</v>
      </c>
      <c r="U149" s="41">
        <v>2</v>
      </c>
      <c r="V149" s="41">
        <f>($G149*1.1^4)*T149*U149</f>
        <v>11419980.000000004</v>
      </c>
      <c r="W149" s="41">
        <v>100</v>
      </c>
      <c r="X149" s="41">
        <v>2</v>
      </c>
      <c r="Y149" s="41">
        <f>($G149*1.1^5)*W149*X149</f>
        <v>12561978.000000004</v>
      </c>
      <c r="Z149" s="41">
        <v>100</v>
      </c>
      <c r="AA149" s="41">
        <v>2</v>
      </c>
      <c r="AB149" s="41">
        <f>($G149*1.1^6)*Z149*AA149</f>
        <v>13818175.800000006</v>
      </c>
      <c r="AC149" s="41">
        <v>100</v>
      </c>
      <c r="AD149" s="41">
        <v>2</v>
      </c>
      <c r="AE149" s="41">
        <f>($G149*1.1^7)*AC149*AD149</f>
        <v>15199993.380000008</v>
      </c>
      <c r="AF149" s="28">
        <f t="shared" si="25"/>
        <v>89199927.180000022</v>
      </c>
      <c r="AG149" s="28">
        <f t="shared" si="26"/>
        <v>86601.871048543704</v>
      </c>
    </row>
    <row r="150" spans="1:214" ht="57.6" x14ac:dyDescent="0.3">
      <c r="A150" s="41" t="s">
        <v>697</v>
      </c>
      <c r="B150" s="41" t="s">
        <v>695</v>
      </c>
      <c r="C150" s="41" t="s">
        <v>688</v>
      </c>
      <c r="D150" s="41" t="s">
        <v>148</v>
      </c>
      <c r="E150" s="41" t="s">
        <v>809</v>
      </c>
      <c r="F150" s="41" t="s">
        <v>709</v>
      </c>
      <c r="G150" s="41">
        <v>3500</v>
      </c>
      <c r="H150" s="41">
        <v>200</v>
      </c>
      <c r="I150" s="41">
        <v>2</v>
      </c>
      <c r="J150" s="41">
        <f>$G150*H150*I150</f>
        <v>1400000</v>
      </c>
      <c r="K150" s="41">
        <v>200</v>
      </c>
      <c r="L150" s="41">
        <v>2</v>
      </c>
      <c r="M150" s="41">
        <f>($G150*1.1^1)*K150*L150</f>
        <v>1540000.0000000002</v>
      </c>
      <c r="N150" s="41">
        <v>200</v>
      </c>
      <c r="O150" s="41">
        <v>2</v>
      </c>
      <c r="P150" s="41">
        <f>($G150*1.1^2)*N150*O150</f>
        <v>1694000.0000000005</v>
      </c>
      <c r="Q150" s="41">
        <v>200</v>
      </c>
      <c r="R150" s="41">
        <v>2</v>
      </c>
      <c r="S150" s="41">
        <f>($G150*1.1^3)*Q150*R150</f>
        <v>1863400.0000000007</v>
      </c>
      <c r="T150" s="41">
        <v>200</v>
      </c>
      <c r="U150" s="41">
        <v>2</v>
      </c>
      <c r="V150" s="41">
        <f>($G150*1.1^4)*T150*U150</f>
        <v>2049740.0000000005</v>
      </c>
      <c r="W150" s="41">
        <v>200</v>
      </c>
      <c r="X150" s="41">
        <v>2</v>
      </c>
      <c r="Y150" s="41">
        <f>($G150*1.1^5)*W150*X150</f>
        <v>2254714.0000000005</v>
      </c>
      <c r="Z150" s="41">
        <v>200</v>
      </c>
      <c r="AA150" s="41">
        <v>2</v>
      </c>
      <c r="AB150" s="41">
        <f>($G150*1.1^6)*Z150*AA150</f>
        <v>2480185.4000000008</v>
      </c>
      <c r="AC150" s="41">
        <v>200</v>
      </c>
      <c r="AD150" s="41">
        <v>2</v>
      </c>
      <c r="AE150" s="41">
        <f>($G150*1.1^7)*AC150*AD150</f>
        <v>2728203.9400000018</v>
      </c>
      <c r="AF150" s="28">
        <f t="shared" si="25"/>
        <v>16010243.340000004</v>
      </c>
      <c r="AG150" s="28">
        <f t="shared" si="26"/>
        <v>15543.925572815537</v>
      </c>
    </row>
    <row r="151" spans="1:214" ht="57.6" x14ac:dyDescent="0.3">
      <c r="A151" s="41" t="s">
        <v>697</v>
      </c>
      <c r="B151" s="41" t="s">
        <v>695</v>
      </c>
      <c r="C151" s="41" t="s">
        <v>688</v>
      </c>
      <c r="D151" s="41" t="s">
        <v>148</v>
      </c>
      <c r="E151" s="41" t="s">
        <v>809</v>
      </c>
      <c r="F151" s="41" t="s">
        <v>712</v>
      </c>
      <c r="G151" s="41">
        <f>1999.2/7</f>
        <v>285.60000000000002</v>
      </c>
      <c r="H151" s="41">
        <f>2*25*9</f>
        <v>450</v>
      </c>
      <c r="I151" s="41">
        <v>2</v>
      </c>
      <c r="J151" s="41">
        <f>$G151*H151*I151</f>
        <v>257040.00000000003</v>
      </c>
      <c r="K151" s="41">
        <f>2*25*9</f>
        <v>450</v>
      </c>
      <c r="L151" s="41">
        <v>2</v>
      </c>
      <c r="M151" s="41">
        <f>($G151*1.1^1)*K151*L151</f>
        <v>282744</v>
      </c>
      <c r="N151" s="41">
        <f>2*25*9</f>
        <v>450</v>
      </c>
      <c r="O151" s="41">
        <v>2</v>
      </c>
      <c r="P151" s="41">
        <f>($G151*1.1^2)*N151*O151</f>
        <v>311018.40000000008</v>
      </c>
      <c r="Q151" s="41">
        <f>2*25*9</f>
        <v>450</v>
      </c>
      <c r="R151" s="41">
        <v>2</v>
      </c>
      <c r="S151" s="41">
        <f>($G151*1.1^3)*Q151*R151</f>
        <v>342120.24000000017</v>
      </c>
      <c r="T151" s="41">
        <f>2*25*9</f>
        <v>450</v>
      </c>
      <c r="U151" s="41">
        <v>2</v>
      </c>
      <c r="V151" s="41">
        <f>($G151*1.1^4)*T151*U151</f>
        <v>376332.26400000014</v>
      </c>
      <c r="W151" s="41">
        <f>2*25*9</f>
        <v>450</v>
      </c>
      <c r="X151" s="41">
        <v>2</v>
      </c>
      <c r="Y151" s="41">
        <f>($G151*1.1^5)*W151*X151</f>
        <v>413965.49040000018</v>
      </c>
      <c r="Z151" s="41">
        <f>2*25*9</f>
        <v>450</v>
      </c>
      <c r="AA151" s="41">
        <v>2</v>
      </c>
      <c r="AB151" s="41">
        <f>($G151*1.1^6)*Z151*AA151</f>
        <v>455362.03944000026</v>
      </c>
      <c r="AC151" s="41">
        <f>2*25*9</f>
        <v>450</v>
      </c>
      <c r="AD151" s="41">
        <v>2</v>
      </c>
      <c r="AE151" s="41">
        <f>($G151*1.1^7)*AC151*AD151</f>
        <v>500898.24338400038</v>
      </c>
      <c r="AF151" s="28">
        <f t="shared" si="25"/>
        <v>2939480.6772240014</v>
      </c>
      <c r="AG151" s="28">
        <f t="shared" si="26"/>
        <v>2853.8647351689333</v>
      </c>
    </row>
    <row r="152" spans="1:214" ht="57.6" x14ac:dyDescent="0.3">
      <c r="A152" s="41" t="s">
        <v>697</v>
      </c>
      <c r="B152" s="41" t="s">
        <v>695</v>
      </c>
      <c r="C152" s="41" t="s">
        <v>688</v>
      </c>
      <c r="D152" s="41" t="s">
        <v>148</v>
      </c>
      <c r="E152" s="41" t="s">
        <v>809</v>
      </c>
      <c r="F152" s="41" t="s">
        <v>1320</v>
      </c>
      <c r="G152" s="41">
        <f>1999.2/7</f>
        <v>285.60000000000002</v>
      </c>
      <c r="H152">
        <v>22500</v>
      </c>
      <c r="I152" s="41">
        <v>1</v>
      </c>
      <c r="J152" s="41">
        <f>$G152*H152*I152</f>
        <v>6426000.0000000009</v>
      </c>
      <c r="K152">
        <v>22500</v>
      </c>
      <c r="L152" s="41">
        <v>1</v>
      </c>
      <c r="M152" s="41">
        <f>($G152*1.1^1)*K152*L152</f>
        <v>7068600.0000000009</v>
      </c>
      <c r="N152">
        <v>22500</v>
      </c>
      <c r="O152" s="41">
        <v>1</v>
      </c>
      <c r="P152" s="41">
        <f>($G152*1.1^2)*N152*O152</f>
        <v>7775460.0000000019</v>
      </c>
      <c r="Q152">
        <v>22500</v>
      </c>
      <c r="R152" s="41">
        <v>1</v>
      </c>
      <c r="S152" s="41">
        <f>($G152*1.1^3)*Q152*R152</f>
        <v>8553006.0000000037</v>
      </c>
      <c r="T152">
        <v>22500</v>
      </c>
      <c r="U152" s="41">
        <v>1</v>
      </c>
      <c r="V152" s="41">
        <f>($G152*1.1^4)*T152*U152</f>
        <v>9408306.6000000034</v>
      </c>
      <c r="W152">
        <v>22500</v>
      </c>
      <c r="X152" s="41">
        <v>1</v>
      </c>
      <c r="Y152" s="41">
        <f>($G152*1.1^5)*W152*X152</f>
        <v>10349137.260000004</v>
      </c>
      <c r="Z152">
        <v>22500</v>
      </c>
      <c r="AA152" s="41">
        <v>1</v>
      </c>
      <c r="AB152" s="41">
        <f>($G152*1.1^6)*Z152*AA152</f>
        <v>11384050.986000007</v>
      </c>
      <c r="AC152">
        <v>22500</v>
      </c>
      <c r="AD152" s="41">
        <v>1</v>
      </c>
      <c r="AE152" s="41">
        <f>($G152*1.1^7)*AC152*AD152</f>
        <v>12522456.084600009</v>
      </c>
      <c r="AF152" s="28">
        <f t="shared" si="25"/>
        <v>73487016.930600032</v>
      </c>
      <c r="AG152" s="28">
        <f t="shared" si="26"/>
        <v>71346.618379223335</v>
      </c>
    </row>
    <row r="153" spans="1:214" x14ac:dyDescent="0.3">
      <c r="AF153" s="28">
        <f t="shared" si="25"/>
        <v>0</v>
      </c>
      <c r="AG153" s="28">
        <f t="shared" si="26"/>
        <v>0</v>
      </c>
    </row>
    <row r="154" spans="1:214" s="73" customFormat="1" x14ac:dyDescent="0.3">
      <c r="A154" s="72" t="s">
        <v>1325</v>
      </c>
      <c r="AF154" s="28">
        <f t="shared" si="25"/>
        <v>0</v>
      </c>
      <c r="AG154" s="28">
        <f t="shared" si="26"/>
        <v>0</v>
      </c>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row>
    <row r="155" spans="1:214" x14ac:dyDescent="0.3">
      <c r="AF155" s="28">
        <f t="shared" si="25"/>
        <v>0</v>
      </c>
      <c r="AG155" s="28">
        <f t="shared" si="26"/>
        <v>0</v>
      </c>
    </row>
    <row r="156" spans="1:214" ht="86.4" x14ac:dyDescent="0.3">
      <c r="A156" s="41" t="s">
        <v>697</v>
      </c>
      <c r="B156" s="41" t="s">
        <v>695</v>
      </c>
      <c r="C156" s="41" t="s">
        <v>1727</v>
      </c>
      <c r="D156" s="41" t="s">
        <v>1346</v>
      </c>
      <c r="E156" s="41" t="s">
        <v>155</v>
      </c>
      <c r="F156" s="41" t="s">
        <v>718</v>
      </c>
      <c r="G156" s="41">
        <v>0</v>
      </c>
      <c r="H156">
        <v>0</v>
      </c>
      <c r="I156">
        <v>0</v>
      </c>
      <c r="J156" s="41">
        <f>$G156*H156*I156</f>
        <v>0</v>
      </c>
      <c r="K156">
        <v>0</v>
      </c>
      <c r="L156">
        <v>0</v>
      </c>
      <c r="M156" s="41">
        <f>($G156*1.1^1)*K156*L156</f>
        <v>0</v>
      </c>
      <c r="N156">
        <v>0</v>
      </c>
      <c r="O156">
        <v>0</v>
      </c>
      <c r="P156" s="41">
        <f>($G156*1.1^2)*N156*O156</f>
        <v>0</v>
      </c>
      <c r="S156" s="41">
        <f>($G156*1.1^3)*Q156*R156</f>
        <v>0</v>
      </c>
      <c r="V156" s="41">
        <f>($G156*1.1^4)*T156*U156</f>
        <v>0</v>
      </c>
      <c r="Y156" s="41">
        <f>($G156*1.1^5)*W156*X156</f>
        <v>0</v>
      </c>
      <c r="AB156" s="41">
        <f>($G156*1.1^6)*Z156*AA156</f>
        <v>0</v>
      </c>
      <c r="AE156" s="41">
        <f>($G156*1.1^7)*AC156*AD156</f>
        <v>0</v>
      </c>
      <c r="AF156" s="28">
        <f t="shared" si="25"/>
        <v>0</v>
      </c>
      <c r="AG156" s="28">
        <f t="shared" si="26"/>
        <v>0</v>
      </c>
    </row>
    <row r="157" spans="1:214" ht="86.4" x14ac:dyDescent="0.3">
      <c r="A157" s="41" t="s">
        <v>697</v>
      </c>
      <c r="B157" s="41" t="s">
        <v>695</v>
      </c>
      <c r="C157" s="41" t="s">
        <v>1727</v>
      </c>
      <c r="D157" s="41" t="s">
        <v>1346</v>
      </c>
      <c r="E157" s="41" t="s">
        <v>1347</v>
      </c>
      <c r="F157" s="41" t="s">
        <v>709</v>
      </c>
      <c r="G157" s="41">
        <v>35000</v>
      </c>
      <c r="H157">
        <v>0</v>
      </c>
      <c r="I157">
        <v>0</v>
      </c>
      <c r="J157" s="41">
        <f t="shared" ref="J157:J175" si="29">$G157*H157*I157</f>
        <v>0</v>
      </c>
      <c r="K157">
        <v>100</v>
      </c>
      <c r="L157">
        <v>100</v>
      </c>
      <c r="M157" s="41">
        <f t="shared" ref="M157:M175" si="30">($G157*1.1^1)*K157*L157</f>
        <v>385000000</v>
      </c>
      <c r="N157">
        <v>100</v>
      </c>
      <c r="O157">
        <v>100</v>
      </c>
      <c r="P157" s="41">
        <f t="shared" ref="P157:P175" si="31">($G157*1.1^2)*N157*O157</f>
        <v>423500000.00000012</v>
      </c>
      <c r="AF157" s="28">
        <f t="shared" si="25"/>
        <v>808500000.00000012</v>
      </c>
      <c r="AG157" s="28">
        <f t="shared" si="26"/>
        <v>784951.45631067967</v>
      </c>
    </row>
    <row r="158" spans="1:214" ht="86.4" x14ac:dyDescent="0.3">
      <c r="A158" s="41" t="s">
        <v>697</v>
      </c>
      <c r="B158" s="41" t="s">
        <v>695</v>
      </c>
      <c r="C158" s="41" t="s">
        <v>1727</v>
      </c>
      <c r="D158" s="41" t="s">
        <v>1346</v>
      </c>
      <c r="E158" s="41" t="s">
        <v>1347</v>
      </c>
      <c r="F158" s="41" t="s">
        <v>716</v>
      </c>
      <c r="G158" s="41">
        <v>39000</v>
      </c>
      <c r="H158">
        <v>0</v>
      </c>
      <c r="I158">
        <v>0</v>
      </c>
      <c r="J158" s="41">
        <f t="shared" si="29"/>
        <v>0</v>
      </c>
      <c r="K158">
        <v>58</v>
      </c>
      <c r="L158">
        <v>120</v>
      </c>
      <c r="M158" s="41">
        <f t="shared" si="30"/>
        <v>298584000</v>
      </c>
      <c r="N158">
        <v>58</v>
      </c>
      <c r="O158">
        <v>120</v>
      </c>
      <c r="P158" s="41">
        <f t="shared" si="31"/>
        <v>328442400.00000006</v>
      </c>
      <c r="AF158" s="28">
        <f t="shared" si="25"/>
        <v>627026400</v>
      </c>
      <c r="AG158" s="28">
        <f t="shared" si="26"/>
        <v>608763.49514563102</v>
      </c>
    </row>
    <row r="159" spans="1:214" ht="86.4" x14ac:dyDescent="0.3">
      <c r="A159" s="41" t="s">
        <v>697</v>
      </c>
      <c r="B159" s="41" t="s">
        <v>695</v>
      </c>
      <c r="C159" s="41" t="s">
        <v>1727</v>
      </c>
      <c r="D159" s="41" t="s">
        <v>1346</v>
      </c>
      <c r="E159" s="41" t="s">
        <v>1347</v>
      </c>
      <c r="F159" s="41" t="s">
        <v>712</v>
      </c>
      <c r="G159" s="41">
        <f>1999.2/7</f>
        <v>285.60000000000002</v>
      </c>
      <c r="H159">
        <v>0</v>
      </c>
      <c r="I159">
        <v>0</v>
      </c>
      <c r="J159" s="41">
        <f t="shared" si="29"/>
        <v>0</v>
      </c>
      <c r="K159" s="41">
        <f>2*25*9</f>
        <v>450</v>
      </c>
      <c r="L159">
        <v>100</v>
      </c>
      <c r="M159" s="41">
        <f t="shared" si="30"/>
        <v>14137200</v>
      </c>
      <c r="N159" s="41">
        <f>2*25*9</f>
        <v>450</v>
      </c>
      <c r="O159">
        <v>100</v>
      </c>
      <c r="P159" s="41">
        <f t="shared" si="31"/>
        <v>15550920.000000004</v>
      </c>
      <c r="AF159" s="28">
        <f t="shared" si="25"/>
        <v>29688120.000000004</v>
      </c>
      <c r="AG159" s="28">
        <f t="shared" si="26"/>
        <v>28823.417475728158</v>
      </c>
    </row>
    <row r="160" spans="1:214" ht="86.4" x14ac:dyDescent="0.3">
      <c r="A160" s="41" t="s">
        <v>697</v>
      </c>
      <c r="B160" s="41" t="s">
        <v>695</v>
      </c>
      <c r="C160" s="41" t="s">
        <v>1727</v>
      </c>
      <c r="D160" s="41" t="s">
        <v>1346</v>
      </c>
      <c r="E160" s="41" t="s">
        <v>1347</v>
      </c>
      <c r="F160" s="41" t="s">
        <v>1320</v>
      </c>
      <c r="G160" s="41">
        <f>1999.2/7</f>
        <v>285.60000000000002</v>
      </c>
      <c r="H160">
        <v>0</v>
      </c>
      <c r="I160">
        <v>0</v>
      </c>
      <c r="J160" s="41">
        <f t="shared" si="29"/>
        <v>0</v>
      </c>
      <c r="K160" s="41">
        <f>2*135*9</f>
        <v>2430</v>
      </c>
      <c r="L160">
        <v>20</v>
      </c>
      <c r="M160" s="41">
        <f t="shared" si="30"/>
        <v>15268176</v>
      </c>
      <c r="N160" s="41">
        <f>2*135*9</f>
        <v>2430</v>
      </c>
      <c r="O160">
        <v>20</v>
      </c>
      <c r="P160" s="41">
        <f t="shared" si="31"/>
        <v>16794993.600000001</v>
      </c>
      <c r="AF160" s="28">
        <f t="shared" si="25"/>
        <v>32063169.600000001</v>
      </c>
      <c r="AG160" s="28">
        <f t="shared" si="26"/>
        <v>31129.290873786409</v>
      </c>
    </row>
    <row r="161" spans="1:33" ht="86.4" x14ac:dyDescent="0.3">
      <c r="A161" s="41" t="s">
        <v>697</v>
      </c>
      <c r="B161" s="41" t="s">
        <v>695</v>
      </c>
      <c r="C161" s="41" t="s">
        <v>1727</v>
      </c>
      <c r="D161" s="41" t="s">
        <v>1346</v>
      </c>
      <c r="E161" s="41" t="s">
        <v>166</v>
      </c>
      <c r="F161" s="41" t="s">
        <v>709</v>
      </c>
      <c r="G161" s="41">
        <v>35000</v>
      </c>
      <c r="H161">
        <v>0</v>
      </c>
      <c r="I161">
        <v>0</v>
      </c>
      <c r="J161" s="41">
        <f t="shared" si="29"/>
        <v>0</v>
      </c>
      <c r="K161" s="41">
        <v>25</v>
      </c>
      <c r="L161" s="41">
        <v>1</v>
      </c>
      <c r="M161" s="41">
        <f t="shared" si="30"/>
        <v>962500</v>
      </c>
      <c r="N161" s="41">
        <v>25</v>
      </c>
      <c r="O161" s="41">
        <v>1</v>
      </c>
      <c r="P161" s="41">
        <f t="shared" si="31"/>
        <v>1058750.0000000002</v>
      </c>
      <c r="AF161" s="28">
        <f t="shared" si="25"/>
        <v>2021250.0000000002</v>
      </c>
      <c r="AG161" s="28">
        <f t="shared" si="26"/>
        <v>1962.3786407766993</v>
      </c>
    </row>
    <row r="162" spans="1:33" ht="86.4" x14ac:dyDescent="0.3">
      <c r="A162" s="41" t="s">
        <v>697</v>
      </c>
      <c r="B162" s="41" t="s">
        <v>695</v>
      </c>
      <c r="C162" s="41" t="s">
        <v>1727</v>
      </c>
      <c r="D162" s="41" t="s">
        <v>1346</v>
      </c>
      <c r="E162" s="41" t="s">
        <v>623</v>
      </c>
      <c r="F162" s="41" t="s">
        <v>718</v>
      </c>
      <c r="G162" s="41">
        <v>0</v>
      </c>
      <c r="H162">
        <v>0</v>
      </c>
      <c r="I162">
        <v>0</v>
      </c>
      <c r="J162" s="41">
        <f t="shared" si="29"/>
        <v>0</v>
      </c>
      <c r="K162" s="41">
        <v>25</v>
      </c>
      <c r="L162" s="41">
        <v>1</v>
      </c>
      <c r="M162" s="41">
        <f t="shared" si="30"/>
        <v>0</v>
      </c>
      <c r="N162" s="41">
        <v>25</v>
      </c>
      <c r="O162" s="41">
        <v>1</v>
      </c>
      <c r="P162" s="41">
        <f t="shared" si="31"/>
        <v>0</v>
      </c>
      <c r="AF162" s="28">
        <f t="shared" si="25"/>
        <v>0</v>
      </c>
      <c r="AG162" s="28">
        <f t="shared" si="26"/>
        <v>0</v>
      </c>
    </row>
    <row r="163" spans="1:33" ht="86.4" x14ac:dyDescent="0.3">
      <c r="A163" s="41" t="s">
        <v>697</v>
      </c>
      <c r="B163" s="41" t="s">
        <v>695</v>
      </c>
      <c r="C163" s="41" t="s">
        <v>1727</v>
      </c>
      <c r="D163" s="41" t="s">
        <v>1346</v>
      </c>
      <c r="E163" s="41" t="s">
        <v>624</v>
      </c>
      <c r="F163" s="41" t="s">
        <v>709</v>
      </c>
      <c r="G163" s="41">
        <v>35000</v>
      </c>
      <c r="H163">
        <v>0</v>
      </c>
      <c r="I163">
        <v>0</v>
      </c>
      <c r="J163" s="41">
        <f t="shared" si="29"/>
        <v>0</v>
      </c>
      <c r="K163" s="41">
        <v>60</v>
      </c>
      <c r="L163" s="41">
        <v>1</v>
      </c>
      <c r="M163" s="41">
        <f t="shared" si="30"/>
        <v>2310000</v>
      </c>
      <c r="N163" s="41">
        <v>60</v>
      </c>
      <c r="O163" s="41">
        <v>1</v>
      </c>
      <c r="P163" s="41">
        <f t="shared" si="31"/>
        <v>2541000.0000000005</v>
      </c>
      <c r="AF163" s="28">
        <f t="shared" si="25"/>
        <v>4851000</v>
      </c>
      <c r="AG163" s="28">
        <f t="shared" si="26"/>
        <v>4709.7087378640781</v>
      </c>
    </row>
    <row r="164" spans="1:33" ht="86.4" x14ac:dyDescent="0.3">
      <c r="A164" s="41" t="s">
        <v>697</v>
      </c>
      <c r="B164" s="41" t="s">
        <v>695</v>
      </c>
      <c r="C164" s="41" t="s">
        <v>1727</v>
      </c>
      <c r="D164" s="41" t="s">
        <v>1346</v>
      </c>
      <c r="E164" s="41" t="s">
        <v>624</v>
      </c>
      <c r="F164" s="41" t="s">
        <v>716</v>
      </c>
      <c r="G164" s="41">
        <v>39000</v>
      </c>
      <c r="H164">
        <v>0</v>
      </c>
      <c r="I164">
        <v>0</v>
      </c>
      <c r="J164" s="41">
        <f t="shared" si="29"/>
        <v>0</v>
      </c>
      <c r="K164" s="41">
        <v>60</v>
      </c>
      <c r="L164" s="41">
        <v>1</v>
      </c>
      <c r="M164" s="41">
        <f t="shared" si="30"/>
        <v>2574000</v>
      </c>
      <c r="N164" s="41">
        <v>60</v>
      </c>
      <c r="O164" s="41">
        <v>1</v>
      </c>
      <c r="P164" s="41">
        <f t="shared" si="31"/>
        <v>2831400.0000000005</v>
      </c>
      <c r="AF164" s="28">
        <f t="shared" si="25"/>
        <v>5405400</v>
      </c>
      <c r="AG164" s="28">
        <f t="shared" si="26"/>
        <v>5247.961165048544</v>
      </c>
    </row>
    <row r="165" spans="1:33" ht="86.4" x14ac:dyDescent="0.3">
      <c r="A165" s="41" t="s">
        <v>697</v>
      </c>
      <c r="B165" s="41" t="s">
        <v>695</v>
      </c>
      <c r="C165" s="41" t="s">
        <v>1727</v>
      </c>
      <c r="D165" s="41" t="s">
        <v>1346</v>
      </c>
      <c r="E165" s="41" t="s">
        <v>624</v>
      </c>
      <c r="F165" s="41" t="s">
        <v>712</v>
      </c>
      <c r="G165" s="41">
        <f>1999.2/7</f>
        <v>285.60000000000002</v>
      </c>
      <c r="H165">
        <v>0</v>
      </c>
      <c r="I165">
        <v>0</v>
      </c>
      <c r="J165" s="41">
        <f t="shared" si="29"/>
        <v>0</v>
      </c>
      <c r="K165" s="41">
        <f>2*9*25</f>
        <v>450</v>
      </c>
      <c r="L165" s="41">
        <v>1</v>
      </c>
      <c r="M165" s="41">
        <f t="shared" si="30"/>
        <v>141372</v>
      </c>
      <c r="N165" s="41">
        <f>2*9*25</f>
        <v>450</v>
      </c>
      <c r="O165" s="41">
        <v>1</v>
      </c>
      <c r="P165" s="41">
        <f t="shared" si="31"/>
        <v>155509.20000000004</v>
      </c>
      <c r="AF165" s="28">
        <f t="shared" si="25"/>
        <v>296881.20000000007</v>
      </c>
      <c r="AG165" s="28">
        <f t="shared" si="26"/>
        <v>288.23417475728161</v>
      </c>
    </row>
    <row r="166" spans="1:33" ht="86.4" x14ac:dyDescent="0.3">
      <c r="A166" s="41" t="s">
        <v>697</v>
      </c>
      <c r="B166" s="41" t="s">
        <v>695</v>
      </c>
      <c r="C166" s="41" t="s">
        <v>1727</v>
      </c>
      <c r="D166" s="41" t="s">
        <v>1346</v>
      </c>
      <c r="E166" s="41" t="s">
        <v>624</v>
      </c>
      <c r="F166" s="41" t="s">
        <v>1320</v>
      </c>
      <c r="G166" s="41">
        <f>1999.2/7</f>
        <v>285.60000000000002</v>
      </c>
      <c r="H166">
        <v>0</v>
      </c>
      <c r="I166">
        <v>0</v>
      </c>
      <c r="J166" s="41">
        <f t="shared" si="29"/>
        <v>0</v>
      </c>
      <c r="K166" s="41">
        <f>2*135*9</f>
        <v>2430</v>
      </c>
      <c r="L166" s="41">
        <v>1</v>
      </c>
      <c r="M166" s="41">
        <f t="shared" si="30"/>
        <v>763408.8</v>
      </c>
      <c r="N166" s="41">
        <f>2*135*9</f>
        <v>2430</v>
      </c>
      <c r="O166" s="41">
        <v>1</v>
      </c>
      <c r="P166" s="41">
        <f t="shared" si="31"/>
        <v>839749.68000000017</v>
      </c>
      <c r="AF166" s="28">
        <f t="shared" si="25"/>
        <v>1603158.4800000002</v>
      </c>
      <c r="AG166" s="28">
        <f t="shared" si="26"/>
        <v>1556.4645436893206</v>
      </c>
    </row>
    <row r="167" spans="1:33" ht="86.4" x14ac:dyDescent="0.3">
      <c r="A167" s="41" t="s">
        <v>697</v>
      </c>
      <c r="B167" s="41" t="s">
        <v>695</v>
      </c>
      <c r="C167" s="41" t="s">
        <v>1727</v>
      </c>
      <c r="D167" s="41" t="s">
        <v>1346</v>
      </c>
      <c r="E167" s="41" t="s">
        <v>625</v>
      </c>
      <c r="F167" s="41" t="s">
        <v>709</v>
      </c>
      <c r="G167" s="41">
        <v>35000</v>
      </c>
      <c r="H167">
        <v>0</v>
      </c>
      <c r="I167">
        <v>0</v>
      </c>
      <c r="J167" s="41">
        <f t="shared" si="29"/>
        <v>0</v>
      </c>
      <c r="K167" s="41">
        <v>62</v>
      </c>
      <c r="L167" s="41">
        <v>1</v>
      </c>
      <c r="M167" s="41">
        <f t="shared" si="30"/>
        <v>2387000</v>
      </c>
      <c r="N167" s="41">
        <v>62</v>
      </c>
      <c r="O167" s="41">
        <v>1</v>
      </c>
      <c r="P167" s="41">
        <f t="shared" si="31"/>
        <v>2625700.0000000005</v>
      </c>
      <c r="AF167" s="28">
        <f t="shared" si="25"/>
        <v>5012700</v>
      </c>
      <c r="AG167" s="28">
        <f t="shared" si="26"/>
        <v>4866.6990291262136</v>
      </c>
    </row>
    <row r="168" spans="1:33" ht="86.4" x14ac:dyDescent="0.3">
      <c r="A168" s="41" t="s">
        <v>697</v>
      </c>
      <c r="B168" s="41" t="s">
        <v>695</v>
      </c>
      <c r="C168" s="41" t="s">
        <v>1727</v>
      </c>
      <c r="D168" s="41" t="s">
        <v>1346</v>
      </c>
      <c r="E168" s="41" t="s">
        <v>626</v>
      </c>
      <c r="F168" s="41" t="s">
        <v>721</v>
      </c>
      <c r="G168" s="41">
        <v>80000</v>
      </c>
      <c r="H168">
        <v>0</v>
      </c>
      <c r="I168">
        <v>0</v>
      </c>
      <c r="J168" s="41">
        <f t="shared" si="29"/>
        <v>0</v>
      </c>
      <c r="K168" s="41">
        <v>32</v>
      </c>
      <c r="L168" s="41">
        <v>1</v>
      </c>
      <c r="M168" s="41">
        <f t="shared" si="30"/>
        <v>2816000</v>
      </c>
      <c r="N168" s="41">
        <v>32</v>
      </c>
      <c r="O168" s="41">
        <v>1</v>
      </c>
      <c r="P168" s="41">
        <f t="shared" si="31"/>
        <v>3097600.0000000005</v>
      </c>
      <c r="AF168" s="28">
        <f t="shared" si="25"/>
        <v>5913600</v>
      </c>
      <c r="AG168" s="28">
        <f t="shared" si="26"/>
        <v>5741.3592233009713</v>
      </c>
    </row>
    <row r="169" spans="1:33" ht="86.4" x14ac:dyDescent="0.3">
      <c r="A169" s="41" t="s">
        <v>697</v>
      </c>
      <c r="B169" s="41" t="s">
        <v>695</v>
      </c>
      <c r="C169" s="41" t="s">
        <v>1727</v>
      </c>
      <c r="D169" s="41" t="s">
        <v>1346</v>
      </c>
      <c r="E169" s="41" t="s">
        <v>626</v>
      </c>
      <c r="F169" s="41" t="s">
        <v>716</v>
      </c>
      <c r="G169" s="41">
        <v>45000</v>
      </c>
      <c r="H169">
        <v>0</v>
      </c>
      <c r="I169">
        <v>0</v>
      </c>
      <c r="J169" s="41">
        <f t="shared" si="29"/>
        <v>0</v>
      </c>
      <c r="K169" s="41">
        <v>30</v>
      </c>
      <c r="L169" s="41">
        <v>1</v>
      </c>
      <c r="M169" s="41">
        <f t="shared" si="30"/>
        <v>1485000.0000000002</v>
      </c>
      <c r="N169" s="41">
        <v>30</v>
      </c>
      <c r="O169" s="41">
        <v>1</v>
      </c>
      <c r="P169" s="41">
        <f t="shared" si="31"/>
        <v>1633500.0000000002</v>
      </c>
      <c r="AF169" s="28">
        <f t="shared" si="25"/>
        <v>3118500.0000000005</v>
      </c>
      <c r="AG169" s="28">
        <f t="shared" si="26"/>
        <v>3027.6699029126216</v>
      </c>
    </row>
    <row r="170" spans="1:33" ht="86.4" x14ac:dyDescent="0.3">
      <c r="A170" s="41" t="s">
        <v>697</v>
      </c>
      <c r="B170" s="41" t="s">
        <v>695</v>
      </c>
      <c r="C170" s="41" t="s">
        <v>1727</v>
      </c>
      <c r="D170" s="41" t="s">
        <v>1346</v>
      </c>
      <c r="E170" s="41" t="s">
        <v>626</v>
      </c>
      <c r="F170" s="41" t="s">
        <v>712</v>
      </c>
      <c r="G170" s="41">
        <f>1999.2/7</f>
        <v>285.60000000000002</v>
      </c>
      <c r="H170">
        <v>0</v>
      </c>
      <c r="I170">
        <v>0</v>
      </c>
      <c r="J170" s="41">
        <f t="shared" si="29"/>
        <v>0</v>
      </c>
      <c r="K170" s="41">
        <f>2*25*9</f>
        <v>450</v>
      </c>
      <c r="L170" s="41">
        <v>1</v>
      </c>
      <c r="M170" s="41">
        <f t="shared" si="30"/>
        <v>141372</v>
      </c>
      <c r="N170" s="41">
        <f>2*25*9</f>
        <v>450</v>
      </c>
      <c r="O170" s="41">
        <v>1</v>
      </c>
      <c r="P170" s="41">
        <f t="shared" si="31"/>
        <v>155509.20000000004</v>
      </c>
      <c r="AF170" s="28">
        <f t="shared" si="25"/>
        <v>296881.20000000007</v>
      </c>
      <c r="AG170" s="28">
        <f t="shared" si="26"/>
        <v>288.23417475728161</v>
      </c>
    </row>
    <row r="171" spans="1:33" ht="86.4" x14ac:dyDescent="0.3">
      <c r="A171" s="41" t="s">
        <v>697</v>
      </c>
      <c r="B171" s="41" t="s">
        <v>695</v>
      </c>
      <c r="C171" s="41" t="s">
        <v>1727</v>
      </c>
      <c r="D171" s="41" t="s">
        <v>1346</v>
      </c>
      <c r="E171" s="41" t="s">
        <v>626</v>
      </c>
      <c r="F171" s="41" t="s">
        <v>1320</v>
      </c>
      <c r="G171" s="41">
        <f>1999.2/7</f>
        <v>285.60000000000002</v>
      </c>
      <c r="H171">
        <v>0</v>
      </c>
      <c r="I171">
        <v>0</v>
      </c>
      <c r="J171" s="41">
        <f t="shared" si="29"/>
        <v>0</v>
      </c>
      <c r="K171" s="41">
        <f>2*135*9</f>
        <v>2430</v>
      </c>
      <c r="L171" s="41">
        <v>1</v>
      </c>
      <c r="M171" s="41">
        <f t="shared" si="30"/>
        <v>763408.8</v>
      </c>
      <c r="N171" s="41">
        <f>2*135*9</f>
        <v>2430</v>
      </c>
      <c r="O171" s="41">
        <v>1</v>
      </c>
      <c r="P171" s="41">
        <f t="shared" si="31"/>
        <v>839749.68000000017</v>
      </c>
      <c r="AF171" s="28">
        <f t="shared" si="25"/>
        <v>1603158.4800000002</v>
      </c>
      <c r="AG171" s="28">
        <f t="shared" si="26"/>
        <v>1556.4645436893206</v>
      </c>
    </row>
    <row r="172" spans="1:33" ht="86.4" x14ac:dyDescent="0.3">
      <c r="A172" s="41" t="s">
        <v>697</v>
      </c>
      <c r="B172" s="41" t="s">
        <v>695</v>
      </c>
      <c r="C172" s="41" t="s">
        <v>1727</v>
      </c>
      <c r="D172" s="41" t="s">
        <v>1346</v>
      </c>
      <c r="E172" s="41" t="s">
        <v>626</v>
      </c>
      <c r="F172" s="41" t="s">
        <v>709</v>
      </c>
      <c r="G172" s="41">
        <v>35000</v>
      </c>
      <c r="H172">
        <v>0</v>
      </c>
      <c r="I172">
        <v>0</v>
      </c>
      <c r="J172" s="41">
        <f t="shared" si="29"/>
        <v>0</v>
      </c>
      <c r="K172" s="41">
        <v>62</v>
      </c>
      <c r="L172" s="41">
        <v>1</v>
      </c>
      <c r="M172" s="41">
        <f t="shared" si="30"/>
        <v>2387000</v>
      </c>
      <c r="N172" s="41">
        <v>62</v>
      </c>
      <c r="O172" s="41">
        <v>1</v>
      </c>
      <c r="P172" s="41">
        <f t="shared" si="31"/>
        <v>2625700.0000000005</v>
      </c>
      <c r="AF172" s="28">
        <f t="shared" si="25"/>
        <v>5012700</v>
      </c>
      <c r="AG172" s="28">
        <f t="shared" si="26"/>
        <v>4866.6990291262136</v>
      </c>
    </row>
    <row r="173" spans="1:33" ht="86.4" x14ac:dyDescent="0.3">
      <c r="A173" s="41" t="s">
        <v>697</v>
      </c>
      <c r="B173" s="41" t="s">
        <v>695</v>
      </c>
      <c r="C173" s="41" t="s">
        <v>1727</v>
      </c>
      <c r="D173" s="41" t="s">
        <v>1346</v>
      </c>
      <c r="E173" s="41" t="s">
        <v>627</v>
      </c>
      <c r="F173" s="41" t="s">
        <v>718</v>
      </c>
      <c r="G173" s="41">
        <v>0</v>
      </c>
      <c r="H173">
        <v>0</v>
      </c>
      <c r="I173">
        <v>0</v>
      </c>
      <c r="J173" s="41">
        <f t="shared" si="29"/>
        <v>0</v>
      </c>
      <c r="K173" s="41">
        <v>62</v>
      </c>
      <c r="L173" s="41">
        <v>1</v>
      </c>
      <c r="M173" s="41">
        <f t="shared" si="30"/>
        <v>0</v>
      </c>
      <c r="N173" s="41">
        <v>62</v>
      </c>
      <c r="O173" s="41">
        <v>1</v>
      </c>
      <c r="P173" s="41">
        <f t="shared" si="31"/>
        <v>0</v>
      </c>
      <c r="AF173" s="28">
        <f t="shared" si="25"/>
        <v>0</v>
      </c>
      <c r="AG173" s="28">
        <f t="shared" si="26"/>
        <v>0</v>
      </c>
    </row>
    <row r="174" spans="1:33" ht="86.4" x14ac:dyDescent="0.3">
      <c r="A174" s="41" t="s">
        <v>697</v>
      </c>
      <c r="B174" s="41" t="s">
        <v>695</v>
      </c>
      <c r="C174" s="41" t="s">
        <v>1727</v>
      </c>
      <c r="D174" s="41" t="s">
        <v>1346</v>
      </c>
      <c r="E174" s="41" t="s">
        <v>628</v>
      </c>
      <c r="F174" s="41" t="s">
        <v>718</v>
      </c>
      <c r="G174" s="41">
        <v>0</v>
      </c>
      <c r="H174">
        <v>0</v>
      </c>
      <c r="I174">
        <v>0</v>
      </c>
      <c r="J174" s="41">
        <f t="shared" si="29"/>
        <v>0</v>
      </c>
      <c r="K174" s="41">
        <v>0</v>
      </c>
      <c r="L174" s="41">
        <v>0</v>
      </c>
      <c r="M174" s="41">
        <f t="shared" si="30"/>
        <v>0</v>
      </c>
      <c r="N174" s="41">
        <v>0</v>
      </c>
      <c r="O174" s="41">
        <v>0</v>
      </c>
      <c r="P174" s="41">
        <f t="shared" si="31"/>
        <v>0</v>
      </c>
      <c r="AF174" s="28">
        <f t="shared" si="25"/>
        <v>0</v>
      </c>
      <c r="AG174" s="28">
        <f t="shared" si="26"/>
        <v>0</v>
      </c>
    </row>
    <row r="175" spans="1:33" ht="86.4" x14ac:dyDescent="0.3">
      <c r="A175" s="41" t="s">
        <v>697</v>
      </c>
      <c r="B175" s="41" t="s">
        <v>695</v>
      </c>
      <c r="C175" s="41" t="s">
        <v>1727</v>
      </c>
      <c r="D175" s="41" t="s">
        <v>1346</v>
      </c>
      <c r="E175" s="41" t="s">
        <v>1348</v>
      </c>
      <c r="F175" s="41" t="s">
        <v>718</v>
      </c>
      <c r="G175" s="41">
        <v>0</v>
      </c>
      <c r="H175">
        <v>0</v>
      </c>
      <c r="I175">
        <v>0</v>
      </c>
      <c r="J175" s="41">
        <f t="shared" si="29"/>
        <v>0</v>
      </c>
      <c r="K175" s="41">
        <v>0</v>
      </c>
      <c r="L175" s="41">
        <v>0</v>
      </c>
      <c r="M175" s="41">
        <f t="shared" si="30"/>
        <v>0</v>
      </c>
      <c r="N175" s="41">
        <v>0</v>
      </c>
      <c r="O175" s="41">
        <v>0</v>
      </c>
      <c r="P175" s="41">
        <f t="shared" si="31"/>
        <v>0</v>
      </c>
      <c r="AF175" s="28">
        <f t="shared" si="25"/>
        <v>0</v>
      </c>
      <c r="AG175" s="28">
        <f t="shared" si="26"/>
        <v>0</v>
      </c>
    </row>
    <row r="176" spans="1:33" x14ac:dyDescent="0.3">
      <c r="AF176" s="28">
        <f t="shared" si="25"/>
        <v>0</v>
      </c>
      <c r="AG176" s="28">
        <f t="shared" si="26"/>
        <v>0</v>
      </c>
    </row>
    <row r="177" spans="1:35" x14ac:dyDescent="0.3">
      <c r="A177" s="72" t="s">
        <v>1325</v>
      </c>
      <c r="B177" s="72"/>
      <c r="C177" s="73"/>
      <c r="D177" s="73"/>
      <c r="E177" s="73"/>
      <c r="F177" s="73"/>
      <c r="G177" s="73"/>
      <c r="H177" s="73"/>
      <c r="I177" s="73"/>
      <c r="J177" s="73"/>
      <c r="K177" s="73"/>
      <c r="L177" s="73"/>
      <c r="M177" s="73">
        <f>SUM(M156:M176)</f>
        <v>729720437.5999999</v>
      </c>
      <c r="N177" s="73"/>
      <c r="O177" s="73"/>
      <c r="P177" s="73">
        <f>SUM(P156:P176)</f>
        <v>802692481.36000025</v>
      </c>
      <c r="Q177" s="73"/>
      <c r="R177" s="73"/>
      <c r="S177" s="73"/>
      <c r="T177" s="73"/>
      <c r="AF177" s="28">
        <f t="shared" si="25"/>
        <v>1532412918.96</v>
      </c>
      <c r="AG177" s="28">
        <f t="shared" si="26"/>
        <v>1487779.5329708739</v>
      </c>
    </row>
    <row r="178" spans="1:35" x14ac:dyDescent="0.3">
      <c r="A178" s="97" t="s">
        <v>1410</v>
      </c>
      <c r="B178" s="98"/>
      <c r="C178" s="98"/>
      <c r="D178" s="98"/>
      <c r="E178" s="98"/>
      <c r="F178" s="98"/>
      <c r="G178" s="98"/>
      <c r="H178" s="98"/>
      <c r="I178" s="98"/>
      <c r="J178" s="98">
        <f>SUM(J2:J175)</f>
        <v>153266836</v>
      </c>
      <c r="K178" s="98"/>
      <c r="L178" s="98"/>
      <c r="M178" s="98">
        <f>SUM(M2:M175)</f>
        <v>893046343.19999993</v>
      </c>
      <c r="N178" s="98"/>
      <c r="O178" s="98"/>
      <c r="P178" s="98">
        <f>SUM(P2:P175)</f>
        <v>876323960.56150019</v>
      </c>
      <c r="Q178" s="98"/>
      <c r="R178" s="98"/>
      <c r="S178" s="98"/>
      <c r="T178" s="98"/>
      <c r="U178" s="98"/>
      <c r="V178" s="98"/>
      <c r="W178" s="98"/>
      <c r="X178" s="98"/>
      <c r="Y178" s="98"/>
      <c r="Z178" s="98"/>
      <c r="AA178" s="98"/>
      <c r="AB178" s="98"/>
      <c r="AC178" s="98"/>
      <c r="AD178" s="98"/>
      <c r="AE178" s="98"/>
      <c r="AF178" s="99">
        <f t="shared" si="25"/>
        <v>1922637139.7615001</v>
      </c>
      <c r="AG178" s="99">
        <f t="shared" si="26"/>
        <v>1866637.9997684467</v>
      </c>
      <c r="AH178" s="98"/>
      <c r="AI178" s="98"/>
    </row>
  </sheetData>
  <autoFilter ref="A1:AG178" xr:uid="{00000000-0009-0000-0000-000015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40"/>
  <sheetViews>
    <sheetView workbookViewId="0"/>
  </sheetViews>
  <sheetFormatPr defaultRowHeight="14.4" x14ac:dyDescent="0.3"/>
  <cols>
    <col min="1" max="1" width="65.44140625" customWidth="1"/>
    <col min="2" max="2" width="52.6640625" customWidth="1"/>
    <col min="3" max="3" width="32.6640625" customWidth="1"/>
    <col min="4" max="4" width="27.6640625" customWidth="1"/>
    <col min="5" max="5" width="34.6640625" customWidth="1"/>
  </cols>
  <sheetData>
    <row r="1" spans="1:5" ht="15" thickBot="1" x14ac:dyDescent="0.35">
      <c r="C1" t="s">
        <v>834</v>
      </c>
    </row>
    <row r="2" spans="1:5" ht="15" thickBot="1" x14ac:dyDescent="0.35">
      <c r="A2" t="s">
        <v>1412</v>
      </c>
      <c r="B2" t="s">
        <v>1413</v>
      </c>
      <c r="C2" s="28">
        <f>'Strategy 4.3.1.1 Atupere'!AG36</f>
        <v>318588.0889845168</v>
      </c>
      <c r="D2" s="192">
        <v>485751.52</v>
      </c>
      <c r="E2" s="209">
        <f>D2/$D$140</f>
        <v>1.1661507018562618E-3</v>
      </c>
    </row>
    <row r="3" spans="1:5" ht="15" thickBot="1" x14ac:dyDescent="0.35">
      <c r="B3" t="s">
        <v>1414</v>
      </c>
      <c r="C3" s="28">
        <f>'Strategy 4.3.1.1 Atupere'!AG54</f>
        <v>486321.77083289693</v>
      </c>
      <c r="D3" s="193">
        <v>547611.30000000005</v>
      </c>
      <c r="E3" s="209">
        <f t="shared" ref="E3:E66" si="0">D3/$D$140</f>
        <v>1.3146583706818251E-3</v>
      </c>
    </row>
    <row r="4" spans="1:5" ht="15" thickBot="1" x14ac:dyDescent="0.35">
      <c r="B4" t="s">
        <v>1415</v>
      </c>
      <c r="C4" s="28">
        <f>'Strategy 4.3.1.1 Atupere'!AG150</f>
        <v>257160.81151380012</v>
      </c>
      <c r="D4" s="193">
        <v>9853256.5199999996</v>
      </c>
      <c r="E4" s="209">
        <f t="shared" si="0"/>
        <v>2.3654855483247455E-2</v>
      </c>
    </row>
    <row r="5" spans="1:5" ht="15" thickBot="1" x14ac:dyDescent="0.35">
      <c r="B5" t="s">
        <v>1416</v>
      </c>
      <c r="C5" s="28">
        <f>'Strategy 4.3.1.1 Atupere'!AG181</f>
        <v>1245296.224778377</v>
      </c>
      <c r="D5" s="193">
        <v>1161626.81</v>
      </c>
      <c r="E5" s="209">
        <f t="shared" si="0"/>
        <v>2.7887342890384583E-3</v>
      </c>
    </row>
    <row r="6" spans="1:5" ht="15" thickBot="1" x14ac:dyDescent="0.35">
      <c r="B6" t="s">
        <v>1417</v>
      </c>
      <c r="C6" s="28">
        <f>'Strategy 4.3.1.1 Atupere'!AG210</f>
        <v>1880575.5655607283</v>
      </c>
      <c r="D6" s="193">
        <v>365500.24</v>
      </c>
      <c r="E6" s="209">
        <f t="shared" si="0"/>
        <v>8.7746171417977669E-4</v>
      </c>
    </row>
    <row r="7" spans="1:5" ht="15" thickBot="1" x14ac:dyDescent="0.35">
      <c r="B7" t="s">
        <v>1418</v>
      </c>
      <c r="C7" s="28">
        <f>'Strategy 4.3.1.1 Atupere'!AG219</f>
        <v>8808.4841147859934</v>
      </c>
      <c r="D7" s="193">
        <v>10109.31</v>
      </c>
      <c r="E7" s="209">
        <f t="shared" si="0"/>
        <v>2.4269566777233193E-5</v>
      </c>
    </row>
    <row r="8" spans="1:5" ht="15" thickBot="1" x14ac:dyDescent="0.35">
      <c r="B8" t="s">
        <v>1419</v>
      </c>
      <c r="C8" s="28">
        <f>'Strategy 4.3.1.1 Atupere'!AG265</f>
        <v>62353.573214355194</v>
      </c>
      <c r="D8" s="193">
        <v>75202.990000000005</v>
      </c>
      <c r="E8" s="209">
        <f t="shared" si="0"/>
        <v>1.8054090612045732E-4</v>
      </c>
    </row>
    <row r="9" spans="1:5" ht="15" thickBot="1" x14ac:dyDescent="0.35">
      <c r="B9" t="s">
        <v>1420</v>
      </c>
      <c r="C9" s="28">
        <f>'Strategy 4.3.1.1 Atupere'!AG285</f>
        <v>49218.541550861592</v>
      </c>
      <c r="D9" s="193">
        <v>63770.18</v>
      </c>
      <c r="E9" s="209">
        <f t="shared" si="0"/>
        <v>1.5309399374499157E-4</v>
      </c>
    </row>
    <row r="10" spans="1:5" ht="15" thickBot="1" x14ac:dyDescent="0.35">
      <c r="B10" t="s">
        <v>1421</v>
      </c>
      <c r="C10" s="28">
        <f>'Strategy 4.3.1.1 Atupere'!AG300</f>
        <v>174834.76911733689</v>
      </c>
      <c r="D10" s="193">
        <v>14565.23</v>
      </c>
      <c r="E10" s="209">
        <f t="shared" si="0"/>
        <v>3.4966958388926668E-5</v>
      </c>
    </row>
    <row r="11" spans="1:5" ht="15" thickBot="1" x14ac:dyDescent="0.35">
      <c r="B11" t="s">
        <v>1422</v>
      </c>
      <c r="C11" s="28">
        <f>'Strategy 4.3.1.1 Atupere'!AG329</f>
        <v>236514.53888223111</v>
      </c>
      <c r="D11" s="193">
        <v>145099.99</v>
      </c>
      <c r="E11" s="209">
        <f t="shared" si="0"/>
        <v>3.4834364528151462E-4</v>
      </c>
    </row>
    <row r="12" spans="1:5" ht="15" thickBot="1" x14ac:dyDescent="0.35">
      <c r="B12" t="s">
        <v>1423</v>
      </c>
      <c r="C12" s="28">
        <f>'Strategy 4.3.1.1 Atupere'!AG367</f>
        <v>6258967.5309548378</v>
      </c>
      <c r="D12" s="193">
        <v>421510.96</v>
      </c>
      <c r="E12" s="209">
        <f t="shared" si="0"/>
        <v>1.0119274600398711E-3</v>
      </c>
    </row>
    <row r="13" spans="1:5" ht="15" thickBot="1" x14ac:dyDescent="0.35">
      <c r="B13" t="s">
        <v>1424</v>
      </c>
      <c r="C13" s="28">
        <f>'Strategy 4.3.1.1 Atupere'!AG376</f>
        <v>0</v>
      </c>
      <c r="D13" s="193">
        <v>7414582.25</v>
      </c>
      <c r="E13" s="209">
        <f t="shared" si="0"/>
        <v>1.7800294880824009E-2</v>
      </c>
    </row>
    <row r="14" spans="1:5" ht="16.2" thickBot="1" x14ac:dyDescent="0.35">
      <c r="A14" t="s">
        <v>1425</v>
      </c>
      <c r="C14" s="28">
        <f>SUM(C2:C13)</f>
        <v>10978639.899504729</v>
      </c>
      <c r="D14" s="194">
        <v>95164.800000000003</v>
      </c>
      <c r="E14" s="209">
        <f t="shared" si="0"/>
        <v>2.2846351219242873E-4</v>
      </c>
    </row>
    <row r="15" spans="1:5" ht="15" thickBot="1" x14ac:dyDescent="0.35">
      <c r="D15" s="195">
        <v>59699.839999999997</v>
      </c>
      <c r="E15" s="209">
        <f t="shared" si="0"/>
        <v>1.4332226961782132E-4</v>
      </c>
    </row>
    <row r="16" spans="1:5" x14ac:dyDescent="0.3">
      <c r="D16" s="82">
        <f>SUM(D2:D15)</f>
        <v>20713451.940000005</v>
      </c>
      <c r="E16" s="210">
        <f t="shared" si="0"/>
        <v>4.9727083751991044E-2</v>
      </c>
    </row>
    <row r="17" spans="1:5" ht="15" thickBot="1" x14ac:dyDescent="0.35">
      <c r="A17" t="s">
        <v>1426</v>
      </c>
      <c r="E17" s="209">
        <f t="shared" si="0"/>
        <v>0</v>
      </c>
    </row>
    <row r="18" spans="1:5" ht="16.2" thickBot="1" x14ac:dyDescent="0.35">
      <c r="D18" s="196">
        <v>4645397.8899999997</v>
      </c>
      <c r="E18" s="209">
        <f t="shared" si="0"/>
        <v>1.1152273923558895E-2</v>
      </c>
    </row>
    <row r="19" spans="1:5" ht="16.2" thickBot="1" x14ac:dyDescent="0.35">
      <c r="D19" s="190">
        <v>10912563.390000001</v>
      </c>
      <c r="E19" s="209">
        <f t="shared" si="0"/>
        <v>2.6197948811975819E-2</v>
      </c>
    </row>
    <row r="20" spans="1:5" ht="16.2" thickBot="1" x14ac:dyDescent="0.35">
      <c r="D20" s="190">
        <v>21091200.030000001</v>
      </c>
      <c r="E20" s="209">
        <f t="shared" si="0"/>
        <v>5.0633949056866176E-2</v>
      </c>
    </row>
    <row r="21" spans="1:5" x14ac:dyDescent="0.3">
      <c r="D21" s="197">
        <f>SUM(D18:D20)</f>
        <v>36649161.310000002</v>
      </c>
      <c r="E21" s="210">
        <f t="shared" si="0"/>
        <v>8.7984171792400881E-2</v>
      </c>
    </row>
    <row r="22" spans="1:5" ht="15" thickBot="1" x14ac:dyDescent="0.35">
      <c r="A22" t="s">
        <v>1733</v>
      </c>
      <c r="E22" s="209">
        <f t="shared" si="0"/>
        <v>0</v>
      </c>
    </row>
    <row r="23" spans="1:5" ht="16.2" thickBot="1" x14ac:dyDescent="0.35">
      <c r="D23" s="196">
        <v>512784.28</v>
      </c>
      <c r="E23" s="209">
        <f t="shared" si="0"/>
        <v>1.2310486398948539E-3</v>
      </c>
    </row>
    <row r="24" spans="1:5" ht="16.2" thickBot="1" x14ac:dyDescent="0.35">
      <c r="D24" s="190">
        <v>737584.24</v>
      </c>
      <c r="E24" s="209">
        <f t="shared" si="0"/>
        <v>1.77072915624457E-3</v>
      </c>
    </row>
    <row r="25" spans="1:5" ht="16.2" thickBot="1" x14ac:dyDescent="0.35">
      <c r="D25" s="190">
        <v>164369.04999999999</v>
      </c>
      <c r="E25" s="209">
        <f t="shared" si="0"/>
        <v>3.9460315640586562E-4</v>
      </c>
    </row>
    <row r="26" spans="1:5" ht="16.2" thickBot="1" x14ac:dyDescent="0.35">
      <c r="D26" s="190">
        <v>1023021.32</v>
      </c>
      <c r="E26" s="209">
        <f t="shared" si="0"/>
        <v>2.4559820838685573E-3</v>
      </c>
    </row>
    <row r="27" spans="1:5" ht="15" thickBot="1" x14ac:dyDescent="0.35">
      <c r="D27" s="191">
        <v>25599.97</v>
      </c>
      <c r="E27" s="209">
        <f t="shared" si="0"/>
        <v>6.1458218356165404E-5</v>
      </c>
    </row>
    <row r="28" spans="1:5" ht="15" thickBot="1" x14ac:dyDescent="0.35">
      <c r="D28" s="191">
        <v>35104.400000000001</v>
      </c>
      <c r="E28" s="209">
        <f t="shared" si="0"/>
        <v>8.4275640966070383E-5</v>
      </c>
    </row>
    <row r="29" spans="1:5" x14ac:dyDescent="0.3">
      <c r="D29" s="69">
        <f>SUM(D23:D28)</f>
        <v>2498463.2600000002</v>
      </c>
      <c r="E29" s="210">
        <f t="shared" si="0"/>
        <v>5.998096895736083E-3</v>
      </c>
    </row>
    <row r="30" spans="1:5" x14ac:dyDescent="0.3">
      <c r="A30" t="s">
        <v>1734</v>
      </c>
      <c r="E30" s="209">
        <f t="shared" si="0"/>
        <v>0</v>
      </c>
    </row>
    <row r="31" spans="1:5" ht="15" thickBot="1" x14ac:dyDescent="0.35">
      <c r="E31" s="209">
        <f t="shared" si="0"/>
        <v>0</v>
      </c>
    </row>
    <row r="32" spans="1:5" ht="16.2" thickBot="1" x14ac:dyDescent="0.35">
      <c r="D32" s="196">
        <v>161837.49</v>
      </c>
      <c r="E32" s="209">
        <f t="shared" si="0"/>
        <v>3.8852560368757207E-4</v>
      </c>
    </row>
    <row r="33" spans="1:5" ht="15" thickBot="1" x14ac:dyDescent="0.35">
      <c r="D33" s="198">
        <v>54719.53</v>
      </c>
      <c r="E33" s="209">
        <f t="shared" si="0"/>
        <v>1.3136596734631889E-4</v>
      </c>
    </row>
    <row r="34" spans="1:5" ht="15" thickBot="1" x14ac:dyDescent="0.35">
      <c r="D34" s="198">
        <v>508652.47</v>
      </c>
      <c r="E34" s="209">
        <f t="shared" si="0"/>
        <v>1.2211293438493431E-3</v>
      </c>
    </row>
    <row r="35" spans="1:5" x14ac:dyDescent="0.3">
      <c r="A35" t="s">
        <v>1735</v>
      </c>
      <c r="D35" s="69">
        <f>SUM(D32:D34)</f>
        <v>725209.49</v>
      </c>
      <c r="E35" s="210">
        <f t="shared" si="0"/>
        <v>1.7410209148832341E-3</v>
      </c>
    </row>
    <row r="36" spans="1:5" ht="15" thickBot="1" x14ac:dyDescent="0.35">
      <c r="E36" s="209">
        <f t="shared" si="0"/>
        <v>0</v>
      </c>
    </row>
    <row r="37" spans="1:5" ht="15" thickBot="1" x14ac:dyDescent="0.35">
      <c r="D37" s="199">
        <v>1342872.96</v>
      </c>
      <c r="E37" s="209">
        <f t="shared" si="0"/>
        <v>3.2238545435900965E-3</v>
      </c>
    </row>
    <row r="38" spans="1:5" ht="15" thickBot="1" x14ac:dyDescent="0.35">
      <c r="D38" s="198">
        <v>1535784.36</v>
      </c>
      <c r="E38" s="209">
        <f t="shared" si="0"/>
        <v>3.6869797325881138E-3</v>
      </c>
    </row>
    <row r="39" spans="1:5" ht="15" thickBot="1" x14ac:dyDescent="0.35">
      <c r="D39" s="198">
        <v>1204932.1200000001</v>
      </c>
      <c r="E39" s="209">
        <f t="shared" si="0"/>
        <v>2.8926979732912693E-3</v>
      </c>
    </row>
    <row r="40" spans="1:5" ht="15" thickBot="1" x14ac:dyDescent="0.35">
      <c r="D40" s="198">
        <v>1452676.31</v>
      </c>
      <c r="E40" s="209">
        <f t="shared" si="0"/>
        <v>3.4874610345562366E-3</v>
      </c>
    </row>
    <row r="41" spans="1:5" x14ac:dyDescent="0.3">
      <c r="D41" s="197">
        <f>SUM(D37:D40)</f>
        <v>5536265.75</v>
      </c>
      <c r="E41" s="210">
        <f t="shared" si="0"/>
        <v>1.3290993284025715E-2</v>
      </c>
    </row>
    <row r="42" spans="1:5" ht="15" thickBot="1" x14ac:dyDescent="0.35">
      <c r="E42" s="209">
        <f t="shared" si="0"/>
        <v>0</v>
      </c>
    </row>
    <row r="43" spans="1:5" ht="15" thickBot="1" x14ac:dyDescent="0.35">
      <c r="A43" t="s">
        <v>1736</v>
      </c>
      <c r="D43" s="200">
        <v>28417531.949999999</v>
      </c>
      <c r="E43" s="209">
        <f t="shared" si="0"/>
        <v>6.8222380093664436E-2</v>
      </c>
    </row>
    <row r="44" spans="1:5" ht="15" thickBot="1" x14ac:dyDescent="0.35">
      <c r="D44" s="201">
        <v>375779.39</v>
      </c>
      <c r="E44" s="209">
        <f t="shared" si="0"/>
        <v>9.021390183022339E-4</v>
      </c>
    </row>
    <row r="45" spans="1:5" ht="15" thickBot="1" x14ac:dyDescent="0.35">
      <c r="D45" s="201">
        <v>375779.39</v>
      </c>
      <c r="E45" s="209">
        <f t="shared" si="0"/>
        <v>9.021390183022339E-4</v>
      </c>
    </row>
    <row r="46" spans="1:5" ht="15" thickBot="1" x14ac:dyDescent="0.35">
      <c r="D46" s="201">
        <v>170612.38</v>
      </c>
      <c r="E46" s="209">
        <f t="shared" si="0"/>
        <v>4.0959160906458355E-4</v>
      </c>
    </row>
    <row r="47" spans="1:5" x14ac:dyDescent="0.3">
      <c r="D47" s="202">
        <f>SUM(D43:D46)</f>
        <v>29339703.109999999</v>
      </c>
      <c r="E47" s="209">
        <f t="shared" si="0"/>
        <v>7.043624973933349E-2</v>
      </c>
    </row>
    <row r="48" spans="1:5" x14ac:dyDescent="0.3">
      <c r="E48" s="209">
        <f t="shared" si="0"/>
        <v>0</v>
      </c>
    </row>
    <row r="49" spans="1:5" x14ac:dyDescent="0.3">
      <c r="A49" t="s">
        <v>1737</v>
      </c>
      <c r="D49" s="203">
        <f>SUM(D47,D41,D35,D29,D21,D16)</f>
        <v>95462254.860000014</v>
      </c>
      <c r="E49" s="211">
        <f t="shared" si="0"/>
        <v>0.22917761637837047</v>
      </c>
    </row>
    <row r="50" spans="1:5" x14ac:dyDescent="0.3">
      <c r="E50" s="209">
        <f t="shared" si="0"/>
        <v>0</v>
      </c>
    </row>
    <row r="51" spans="1:5" ht="15" thickBot="1" x14ac:dyDescent="0.35">
      <c r="E51" s="209">
        <f t="shared" si="0"/>
        <v>0</v>
      </c>
    </row>
    <row r="52" spans="1:5" ht="15" thickBot="1" x14ac:dyDescent="0.35">
      <c r="A52" t="s">
        <v>1738</v>
      </c>
      <c r="D52" s="199">
        <v>1033069.67</v>
      </c>
      <c r="E52" s="209">
        <f t="shared" si="0"/>
        <v>2.4801053030918292E-3</v>
      </c>
    </row>
    <row r="53" spans="1:5" ht="15" thickBot="1" x14ac:dyDescent="0.35">
      <c r="D53" s="198">
        <v>497285.97</v>
      </c>
      <c r="E53" s="209">
        <f t="shared" si="0"/>
        <v>1.1938416228502423E-3</v>
      </c>
    </row>
    <row r="54" spans="1:5" ht="15" thickBot="1" x14ac:dyDescent="0.35">
      <c r="D54" s="198">
        <v>2158598.4500000002</v>
      </c>
      <c r="E54" s="209">
        <f t="shared" si="0"/>
        <v>5.1821785292475026E-3</v>
      </c>
    </row>
    <row r="55" spans="1:5" ht="15" thickBot="1" x14ac:dyDescent="0.35">
      <c r="D55" s="198">
        <v>12373505.99</v>
      </c>
      <c r="E55" s="209">
        <f t="shared" si="0"/>
        <v>2.9705254848530704E-2</v>
      </c>
    </row>
    <row r="56" spans="1:5" x14ac:dyDescent="0.3">
      <c r="A56" t="s">
        <v>1739</v>
      </c>
      <c r="D56" s="197">
        <f>SUM(D52:D55)</f>
        <v>16062460.08</v>
      </c>
      <c r="E56" s="210">
        <f t="shared" si="0"/>
        <v>3.8561380303720277E-2</v>
      </c>
    </row>
    <row r="57" spans="1:5" ht="15" thickBot="1" x14ac:dyDescent="0.35">
      <c r="E57" s="209">
        <f t="shared" si="0"/>
        <v>0</v>
      </c>
    </row>
    <row r="58" spans="1:5" ht="15" thickBot="1" x14ac:dyDescent="0.35">
      <c r="D58" s="199">
        <v>2158589.4500000002</v>
      </c>
      <c r="E58" s="209">
        <f t="shared" si="0"/>
        <v>5.1821569228172916E-3</v>
      </c>
    </row>
    <row r="59" spans="1:5" ht="15" thickBot="1" x14ac:dyDescent="0.35">
      <c r="D59" s="198">
        <v>834361.51</v>
      </c>
      <c r="E59" s="209">
        <f t="shared" si="0"/>
        <v>2.0030637484950132E-3</v>
      </c>
    </row>
    <row r="60" spans="1:5" ht="15" thickBot="1" x14ac:dyDescent="0.35">
      <c r="D60" s="198">
        <v>275952.03000000003</v>
      </c>
      <c r="E60" s="209">
        <f t="shared" si="0"/>
        <v>6.6248203086047004E-4</v>
      </c>
    </row>
    <row r="61" spans="1:5" x14ac:dyDescent="0.3">
      <c r="D61" s="197">
        <f>SUM(D58:D60)</f>
        <v>3268902.99</v>
      </c>
      <c r="E61" s="210">
        <f t="shared" si="0"/>
        <v>7.8477027021727746E-3</v>
      </c>
    </row>
    <row r="62" spans="1:5" ht="15" thickBot="1" x14ac:dyDescent="0.35">
      <c r="A62" t="s">
        <v>1740</v>
      </c>
      <c r="E62" s="209">
        <f t="shared" si="0"/>
        <v>0</v>
      </c>
    </row>
    <row r="63" spans="1:5" ht="15" thickBot="1" x14ac:dyDescent="0.35">
      <c r="D63" s="199">
        <v>1941.86</v>
      </c>
      <c r="E63" s="209">
        <f t="shared" si="0"/>
        <v>4.6618513965877041E-6</v>
      </c>
    </row>
    <row r="64" spans="1:5" ht="15" thickBot="1" x14ac:dyDescent="0.35">
      <c r="D64" s="198">
        <v>668278.43999999994</v>
      </c>
      <c r="E64" s="209">
        <f t="shared" si="0"/>
        <v>1.6043457194769202E-3</v>
      </c>
    </row>
    <row r="65" spans="1:5" ht="15" thickBot="1" x14ac:dyDescent="0.35">
      <c r="D65" s="198">
        <v>2040160.64</v>
      </c>
      <c r="E65" s="209">
        <f t="shared" si="0"/>
        <v>4.8978431652370747E-3</v>
      </c>
    </row>
    <row r="66" spans="1:5" ht="15" thickBot="1" x14ac:dyDescent="0.35">
      <c r="D66" s="201">
        <v>36694.949999999997</v>
      </c>
      <c r="E66" s="209">
        <f t="shared" si="0"/>
        <v>8.8094097362948921E-5</v>
      </c>
    </row>
    <row r="67" spans="1:5" ht="15" thickBot="1" x14ac:dyDescent="0.35">
      <c r="D67" s="198">
        <v>183877.26</v>
      </c>
      <c r="E67" s="209">
        <f t="shared" ref="E67:E130" si="1">D67/$D$140</f>
        <v>4.4143679839520901E-4</v>
      </c>
    </row>
    <row r="68" spans="1:5" ht="15" thickBot="1" x14ac:dyDescent="0.35">
      <c r="D68" s="198">
        <v>105670.77</v>
      </c>
      <c r="E68" s="209">
        <f t="shared" si="1"/>
        <v>2.5368534637048922E-4</v>
      </c>
    </row>
    <row r="69" spans="1:5" x14ac:dyDescent="0.3">
      <c r="D69" s="197">
        <f>SUM(D63:D68)</f>
        <v>3036623.9200000004</v>
      </c>
      <c r="E69" s="210">
        <f t="shared" si="1"/>
        <v>7.2900669782392305E-3</v>
      </c>
    </row>
    <row r="70" spans="1:5" x14ac:dyDescent="0.3">
      <c r="E70" s="209">
        <f t="shared" si="1"/>
        <v>0</v>
      </c>
    </row>
    <row r="71" spans="1:5" x14ac:dyDescent="0.3">
      <c r="A71" t="s">
        <v>1741</v>
      </c>
      <c r="D71" s="204">
        <f>SUM(D69,D61,D56)</f>
        <v>22367986.990000002</v>
      </c>
      <c r="E71" s="211">
        <f t="shared" si="1"/>
        <v>5.3699149984132284E-2</v>
      </c>
    </row>
    <row r="72" spans="1:5" x14ac:dyDescent="0.3">
      <c r="E72" s="209">
        <f t="shared" si="1"/>
        <v>0</v>
      </c>
    </row>
    <row r="73" spans="1:5" x14ac:dyDescent="0.3">
      <c r="A73" t="s">
        <v>1742</v>
      </c>
      <c r="E73" s="209">
        <f t="shared" si="1"/>
        <v>0</v>
      </c>
    </row>
    <row r="74" spans="1:5" ht="15" thickBot="1" x14ac:dyDescent="0.35">
      <c r="E74" s="209">
        <f t="shared" si="1"/>
        <v>0</v>
      </c>
    </row>
    <row r="75" spans="1:5" ht="15" thickBot="1" x14ac:dyDescent="0.35">
      <c r="D75" s="199">
        <v>60152751.32</v>
      </c>
      <c r="E75" s="209">
        <f t="shared" si="1"/>
        <v>0.14440958037640969</v>
      </c>
    </row>
    <row r="76" spans="1:5" ht="15" thickBot="1" x14ac:dyDescent="0.35">
      <c r="D76" s="198">
        <v>1812593.8</v>
      </c>
      <c r="E76" s="209">
        <f t="shared" si="1"/>
        <v>4.3515201600404846E-3</v>
      </c>
    </row>
    <row r="77" spans="1:5" ht="15" thickBot="1" x14ac:dyDescent="0.35">
      <c r="D77" s="198">
        <v>1796918.48</v>
      </c>
      <c r="E77" s="209">
        <f t="shared" si="1"/>
        <v>4.3138881925279138E-3</v>
      </c>
    </row>
    <row r="78" spans="1:5" ht="15" thickBot="1" x14ac:dyDescent="0.35">
      <c r="D78" s="198">
        <v>1726334.66</v>
      </c>
      <c r="E78" s="209">
        <f t="shared" si="1"/>
        <v>4.1444365946560306E-3</v>
      </c>
    </row>
    <row r="79" spans="1:5" x14ac:dyDescent="0.3">
      <c r="A79" t="s">
        <v>1743</v>
      </c>
      <c r="D79" s="197">
        <f>SUM(D75:D78)</f>
        <v>65488598.25999999</v>
      </c>
      <c r="E79" s="210">
        <f t="shared" si="1"/>
        <v>0.15721942532363409</v>
      </c>
    </row>
    <row r="80" spans="1:5" ht="15" thickBot="1" x14ac:dyDescent="0.35">
      <c r="E80" s="209">
        <f t="shared" si="1"/>
        <v>0</v>
      </c>
    </row>
    <row r="81" spans="1:5" ht="15" thickBot="1" x14ac:dyDescent="0.35">
      <c r="D81" s="199">
        <v>375254.1</v>
      </c>
      <c r="E81" s="209">
        <f t="shared" si="1"/>
        <v>9.0087794699940371E-4</v>
      </c>
    </row>
    <row r="82" spans="1:5" ht="15" thickBot="1" x14ac:dyDescent="0.35">
      <c r="D82" s="198">
        <v>130572.69</v>
      </c>
      <c r="E82" s="209">
        <f t="shared" si="1"/>
        <v>3.1346774599235448E-4</v>
      </c>
    </row>
    <row r="83" spans="1:5" ht="15" thickBot="1" x14ac:dyDescent="0.35">
      <c r="D83" s="198">
        <v>246356.37</v>
      </c>
      <c r="E83" s="209">
        <f t="shared" si="1"/>
        <v>5.9143130171216123E-4</v>
      </c>
    </row>
    <row r="84" spans="1:5" ht="15" thickBot="1" x14ac:dyDescent="0.35">
      <c r="D84" s="198">
        <v>103765.49</v>
      </c>
      <c r="E84" s="209">
        <f t="shared" si="1"/>
        <v>2.4911131310913638E-4</v>
      </c>
    </row>
    <row r="85" spans="1:5" ht="15" thickBot="1" x14ac:dyDescent="0.35">
      <c r="D85" s="198">
        <v>560551.67000000004</v>
      </c>
      <c r="E85" s="209">
        <f t="shared" si="1"/>
        <v>1.3457245041604805E-3</v>
      </c>
    </row>
    <row r="86" spans="1:5" ht="15" thickBot="1" x14ac:dyDescent="0.35">
      <c r="D86" s="198">
        <v>1479183.47</v>
      </c>
      <c r="E86" s="209">
        <f t="shared" si="1"/>
        <v>3.5510971570705133E-3</v>
      </c>
    </row>
    <row r="87" spans="1:5" ht="15" thickBot="1" x14ac:dyDescent="0.35">
      <c r="D87" s="198">
        <v>809487.34</v>
      </c>
      <c r="E87" s="209">
        <f t="shared" si="1"/>
        <v>1.9433479686996314E-3</v>
      </c>
    </row>
    <row r="88" spans="1:5" x14ac:dyDescent="0.3">
      <c r="D88" s="197">
        <f>SUM(D81:D87)</f>
        <v>3705171.13</v>
      </c>
      <c r="E88" s="210">
        <f t="shared" si="1"/>
        <v>8.8950579377436809E-3</v>
      </c>
    </row>
    <row r="89" spans="1:5" x14ac:dyDescent="0.3">
      <c r="A89" t="s">
        <v>1744</v>
      </c>
      <c r="E89" s="209">
        <f t="shared" si="1"/>
        <v>0</v>
      </c>
    </row>
    <row r="90" spans="1:5" ht="15" thickBot="1" x14ac:dyDescent="0.35">
      <c r="E90" s="209">
        <f t="shared" si="1"/>
        <v>0</v>
      </c>
    </row>
    <row r="91" spans="1:5" ht="15" thickBot="1" x14ac:dyDescent="0.35">
      <c r="D91" s="199">
        <v>124005479.90000001</v>
      </c>
      <c r="E91" s="209">
        <f t="shared" si="1"/>
        <v>0.29770174969170982</v>
      </c>
    </row>
    <row r="92" spans="1:5" ht="15" thickBot="1" x14ac:dyDescent="0.35">
      <c r="D92" s="198">
        <v>403800.44</v>
      </c>
      <c r="E92" s="209">
        <f t="shared" si="1"/>
        <v>9.6940955844228196E-4</v>
      </c>
    </row>
    <row r="93" spans="1:5" ht="15" thickBot="1" x14ac:dyDescent="0.35">
      <c r="D93" s="198">
        <v>12088877.51</v>
      </c>
      <c r="E93" s="209">
        <f t="shared" si="1"/>
        <v>2.9021943138625439E-2</v>
      </c>
    </row>
    <row r="94" spans="1:5" ht="15" thickBot="1" x14ac:dyDescent="0.35">
      <c r="D94" s="198">
        <v>2409463.02</v>
      </c>
      <c r="E94" s="209">
        <f t="shared" si="1"/>
        <v>5.7844327319237377E-3</v>
      </c>
    </row>
    <row r="95" spans="1:5" ht="15" thickBot="1" x14ac:dyDescent="0.35">
      <c r="D95" s="198">
        <v>52863101.439999998</v>
      </c>
      <c r="E95" s="209">
        <f t="shared" si="1"/>
        <v>0.12690921244375059</v>
      </c>
    </row>
    <row r="96" spans="1:5" x14ac:dyDescent="0.3">
      <c r="D96" s="197">
        <f>SUM(D91:D95)</f>
        <v>191770722.31</v>
      </c>
      <c r="E96" s="210">
        <f t="shared" si="1"/>
        <v>0.4603867475644518</v>
      </c>
    </row>
    <row r="97" spans="1:5" x14ac:dyDescent="0.3">
      <c r="A97" t="s">
        <v>1745</v>
      </c>
      <c r="D97" s="204">
        <f>SUM(D96,D88,D79)</f>
        <v>260964491.69999999</v>
      </c>
      <c r="E97" s="211">
        <f t="shared" si="1"/>
        <v>0.62650123082582954</v>
      </c>
    </row>
    <row r="98" spans="1:5" ht="15" thickBot="1" x14ac:dyDescent="0.35">
      <c r="E98" s="209">
        <f t="shared" si="1"/>
        <v>0</v>
      </c>
    </row>
    <row r="99" spans="1:5" ht="15" thickBot="1" x14ac:dyDescent="0.35">
      <c r="D99" s="199">
        <v>3704375.12</v>
      </c>
      <c r="E99" s="209">
        <f t="shared" si="1"/>
        <v>8.8931469450201084E-3</v>
      </c>
    </row>
    <row r="100" spans="1:5" ht="15" thickBot="1" x14ac:dyDescent="0.35">
      <c r="D100" s="198">
        <v>1131147.71</v>
      </c>
      <c r="E100" s="209">
        <f t="shared" si="1"/>
        <v>2.7155626727006499E-3</v>
      </c>
    </row>
    <row r="101" spans="1:5" ht="15" thickBot="1" x14ac:dyDescent="0.35">
      <c r="D101" s="198">
        <v>6933170.04</v>
      </c>
      <c r="E101" s="209">
        <f t="shared" si="1"/>
        <v>1.6644561623265341E-2</v>
      </c>
    </row>
    <row r="102" spans="1:5" ht="15" thickBot="1" x14ac:dyDescent="0.35">
      <c r="D102" s="198">
        <v>819945.39</v>
      </c>
      <c r="E102" s="209">
        <f t="shared" si="1"/>
        <v>1.9684547606403915E-3</v>
      </c>
    </row>
    <row r="103" spans="1:5" ht="15" thickBot="1" x14ac:dyDescent="0.35">
      <c r="D103" s="198">
        <v>547333.94999999995</v>
      </c>
      <c r="E103" s="209">
        <f t="shared" si="1"/>
        <v>1.3139925325241597E-3</v>
      </c>
    </row>
    <row r="104" spans="1:5" ht="15" thickBot="1" x14ac:dyDescent="0.35">
      <c r="D104" s="198">
        <v>50176.99</v>
      </c>
      <c r="E104" s="209">
        <f t="shared" si="1"/>
        <v>1.2046062584741809E-4</v>
      </c>
    </row>
    <row r="105" spans="1:5" x14ac:dyDescent="0.3">
      <c r="D105" s="197">
        <f>SUM(D99:D104)</f>
        <v>13186149.200000001</v>
      </c>
      <c r="E105" s="210">
        <f t="shared" si="1"/>
        <v>3.165617915999807E-2</v>
      </c>
    </row>
    <row r="106" spans="1:5" x14ac:dyDescent="0.3">
      <c r="E106" s="209">
        <f t="shared" si="1"/>
        <v>0</v>
      </c>
    </row>
    <row r="107" spans="1:5" x14ac:dyDescent="0.3">
      <c r="E107" s="209">
        <f t="shared" si="1"/>
        <v>0</v>
      </c>
    </row>
    <row r="108" spans="1:5" ht="15" thickBot="1" x14ac:dyDescent="0.35">
      <c r="E108" s="209">
        <f t="shared" si="1"/>
        <v>0</v>
      </c>
    </row>
    <row r="109" spans="1:5" ht="15" thickBot="1" x14ac:dyDescent="0.35">
      <c r="D109" s="199">
        <v>2744763.32</v>
      </c>
      <c r="E109" s="209">
        <f t="shared" si="1"/>
        <v>6.5893930132165579E-3</v>
      </c>
    </row>
    <row r="110" spans="1:5" ht="15" thickBot="1" x14ac:dyDescent="0.35">
      <c r="D110" s="198">
        <v>4460647.22</v>
      </c>
      <c r="E110" s="209">
        <f t="shared" si="1"/>
        <v>1.07087403171403E-2</v>
      </c>
    </row>
    <row r="111" spans="1:5" ht="15" thickBot="1" x14ac:dyDescent="0.35">
      <c r="D111" s="198">
        <v>5868005.9800000004</v>
      </c>
      <c r="E111" s="209">
        <f t="shared" si="1"/>
        <v>1.408740685376289E-2</v>
      </c>
    </row>
    <row r="112" spans="1:5" ht="15" thickBot="1" x14ac:dyDescent="0.35">
      <c r="D112" s="201">
        <v>124269.66</v>
      </c>
      <c r="E112" s="209">
        <f t="shared" si="1"/>
        <v>2.9833597067990445E-4</v>
      </c>
    </row>
    <row r="113" spans="4:5" ht="15" thickBot="1" x14ac:dyDescent="0.35">
      <c r="D113" s="198">
        <v>2687702.77</v>
      </c>
      <c r="E113" s="209">
        <f t="shared" si="1"/>
        <v>6.4524069252866545E-3</v>
      </c>
    </row>
    <row r="114" spans="4:5" ht="15" thickBot="1" x14ac:dyDescent="0.35">
      <c r="D114" s="198">
        <v>467043.36</v>
      </c>
      <c r="E114" s="209">
        <f t="shared" si="1"/>
        <v>1.1212377514769418E-3</v>
      </c>
    </row>
    <row r="115" spans="4:5" x14ac:dyDescent="0.3">
      <c r="D115" s="197">
        <f>SUM(D109:D114)</f>
        <v>16352432.309999999</v>
      </c>
      <c r="E115" s="210">
        <f t="shared" si="1"/>
        <v>3.9257520831563246E-2</v>
      </c>
    </row>
    <row r="116" spans="4:5" x14ac:dyDescent="0.3">
      <c r="E116" s="209">
        <f t="shared" si="1"/>
        <v>0</v>
      </c>
    </row>
    <row r="117" spans="4:5" ht="15" thickBot="1" x14ac:dyDescent="0.35">
      <c r="E117" s="209">
        <f t="shared" si="1"/>
        <v>0</v>
      </c>
    </row>
    <row r="118" spans="4:5" ht="15" thickBot="1" x14ac:dyDescent="0.35">
      <c r="D118" s="199">
        <v>960150.24</v>
      </c>
      <c r="E118" s="209">
        <f t="shared" si="1"/>
        <v>2.3050465725016323E-3</v>
      </c>
    </row>
    <row r="119" spans="4:5" ht="15" thickBot="1" x14ac:dyDescent="0.35">
      <c r="D119" s="205">
        <v>3075475.57</v>
      </c>
      <c r="E119" s="209">
        <f t="shared" si="1"/>
        <v>7.3833386964950445E-3</v>
      </c>
    </row>
    <row r="120" spans="4:5" ht="15" thickBot="1" x14ac:dyDescent="0.35">
      <c r="D120" s="198">
        <v>844475.57</v>
      </c>
      <c r="E120" s="209">
        <f t="shared" si="1"/>
        <v>2.0273447186659687E-3</v>
      </c>
    </row>
    <row r="121" spans="4:5" ht="15" thickBot="1" x14ac:dyDescent="0.35">
      <c r="D121" s="198">
        <v>290442.32</v>
      </c>
      <c r="E121" s="209">
        <f t="shared" si="1"/>
        <v>6.9726907970717406E-4</v>
      </c>
    </row>
    <row r="122" spans="4:5" x14ac:dyDescent="0.3">
      <c r="D122" s="197">
        <f>SUM(D118:D121)</f>
        <v>5170543.7</v>
      </c>
      <c r="E122" s="210">
        <f t="shared" si="1"/>
        <v>1.2412999067369821E-2</v>
      </c>
    </row>
    <row r="123" spans="4:5" x14ac:dyDescent="0.3">
      <c r="E123" s="209">
        <f t="shared" si="1"/>
        <v>0</v>
      </c>
    </row>
    <row r="124" spans="4:5" x14ac:dyDescent="0.3">
      <c r="E124" s="209">
        <f t="shared" si="1"/>
        <v>0</v>
      </c>
    </row>
    <row r="125" spans="4:5" x14ac:dyDescent="0.3">
      <c r="D125" s="206">
        <v>1559902.12</v>
      </c>
      <c r="E125" s="209">
        <f t="shared" si="1"/>
        <v>3.7448795879528505E-3</v>
      </c>
    </row>
    <row r="126" spans="4:5" ht="15" thickBot="1" x14ac:dyDescent="0.35">
      <c r="D126" s="198">
        <v>40636.75</v>
      </c>
      <c r="E126" s="209">
        <f t="shared" si="1"/>
        <v>9.7557233652418514E-5</v>
      </c>
    </row>
    <row r="127" spans="4:5" ht="15" thickBot="1" x14ac:dyDescent="0.35">
      <c r="D127" s="198">
        <v>166221.91</v>
      </c>
      <c r="E127" s="209">
        <f t="shared" si="1"/>
        <v>3.9905134421481251E-4</v>
      </c>
    </row>
    <row r="128" spans="4:5" ht="15" thickBot="1" x14ac:dyDescent="0.35">
      <c r="D128" s="198">
        <v>217907.65</v>
      </c>
      <c r="E128" s="209">
        <f t="shared" si="1"/>
        <v>5.231340480156369E-4</v>
      </c>
    </row>
    <row r="129" spans="4:5" ht="15" thickBot="1" x14ac:dyDescent="0.35">
      <c r="D129" s="198">
        <v>119606.22</v>
      </c>
      <c r="E129" s="209">
        <f t="shared" si="1"/>
        <v>2.8714038280183756E-4</v>
      </c>
    </row>
    <row r="130" spans="4:5" ht="15" thickBot="1" x14ac:dyDescent="0.35">
      <c r="D130" s="198">
        <v>97745.919999999998</v>
      </c>
      <c r="E130" s="209">
        <f t="shared" si="1"/>
        <v>2.3466004431975016E-4</v>
      </c>
    </row>
    <row r="131" spans="4:5" ht="15" thickBot="1" x14ac:dyDescent="0.35">
      <c r="D131" s="198">
        <v>0</v>
      </c>
      <c r="E131" s="209">
        <f t="shared" ref="E131:E140" si="2">D131/$D$140</f>
        <v>0</v>
      </c>
    </row>
    <row r="132" spans="4:5" ht="15" thickBot="1" x14ac:dyDescent="0.35">
      <c r="D132" s="201">
        <v>332414.86</v>
      </c>
      <c r="E132" s="209">
        <f t="shared" si="2"/>
        <v>7.9803316373863525E-4</v>
      </c>
    </row>
    <row r="133" spans="4:5" ht="15" thickBot="1" x14ac:dyDescent="0.35">
      <c r="D133" s="201">
        <v>320657.48</v>
      </c>
      <c r="E133" s="209">
        <f t="shared" si="2"/>
        <v>7.698070514683314E-4</v>
      </c>
    </row>
    <row r="134" spans="4:5" ht="15" thickBot="1" x14ac:dyDescent="0.35">
      <c r="D134" s="201">
        <v>183712.35</v>
      </c>
      <c r="E134" s="209">
        <f t="shared" si="2"/>
        <v>4.4104089657231175E-4</v>
      </c>
    </row>
    <row r="135" spans="4:5" x14ac:dyDescent="0.3">
      <c r="D135" s="197">
        <f>SUM(D125:D134)</f>
        <v>3038805.26</v>
      </c>
      <c r="E135" s="210">
        <f t="shared" si="2"/>
        <v>7.2953037527365835E-3</v>
      </c>
    </row>
    <row r="136" spans="4:5" x14ac:dyDescent="0.3">
      <c r="D136" s="207">
        <f>SUM(D135,D122,D115,D105)</f>
        <v>37747930.469999999</v>
      </c>
      <c r="E136" s="211">
        <f t="shared" si="2"/>
        <v>9.0622002811667712E-2</v>
      </c>
    </row>
    <row r="137" spans="4:5" x14ac:dyDescent="0.3">
      <c r="E137" s="209">
        <f t="shared" si="2"/>
        <v>0</v>
      </c>
    </row>
    <row r="138" spans="4:5" x14ac:dyDescent="0.3">
      <c r="E138" s="209">
        <f t="shared" si="2"/>
        <v>0</v>
      </c>
    </row>
    <row r="139" spans="4:5" x14ac:dyDescent="0.3">
      <c r="E139" s="209">
        <f t="shared" si="2"/>
        <v>0</v>
      </c>
    </row>
    <row r="140" spans="4:5" x14ac:dyDescent="0.3">
      <c r="D140" s="208">
        <f>SUM(D136,D97,D71,D49)</f>
        <v>416542664.01999998</v>
      </c>
      <c r="E140" s="209">
        <f t="shared" si="2"/>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2:D22"/>
  <sheetViews>
    <sheetView showGridLines="0" zoomScale="70" zoomScaleNormal="70" workbookViewId="0">
      <selection activeCell="C9" sqref="C9"/>
    </sheetView>
  </sheetViews>
  <sheetFormatPr defaultRowHeight="14.4" x14ac:dyDescent="0.3"/>
  <cols>
    <col min="1" max="1" width="8.6640625" customWidth="1"/>
    <col min="2" max="2" width="118.21875" bestFit="1" customWidth="1"/>
    <col min="3" max="3" width="20.109375" bestFit="1" customWidth="1"/>
    <col min="4" max="4" width="18.33203125" bestFit="1" customWidth="1"/>
    <col min="5" max="5" width="20.109375" bestFit="1" customWidth="1"/>
    <col min="6" max="7" width="18.33203125" bestFit="1" customWidth="1"/>
  </cols>
  <sheetData>
    <row r="2" spans="1:4" x14ac:dyDescent="0.3">
      <c r="B2" s="141" t="s">
        <v>1588</v>
      </c>
    </row>
    <row r="3" spans="1:4" x14ac:dyDescent="0.3">
      <c r="B3" s="140" t="s">
        <v>1589</v>
      </c>
    </row>
    <row r="4" spans="1:4" x14ac:dyDescent="0.3">
      <c r="B4" s="140" t="s">
        <v>1590</v>
      </c>
    </row>
    <row r="5" spans="1:4" x14ac:dyDescent="0.3">
      <c r="B5" s="140" t="s">
        <v>1591</v>
      </c>
    </row>
    <row r="6" spans="1:4" x14ac:dyDescent="0.3">
      <c r="B6" s="140" t="s">
        <v>1594</v>
      </c>
    </row>
    <row r="7" spans="1:4" x14ac:dyDescent="0.3">
      <c r="B7" s="140" t="s">
        <v>1592</v>
      </c>
    </row>
    <row r="8" spans="1:4" x14ac:dyDescent="0.3">
      <c r="B8" s="140" t="s">
        <v>1593</v>
      </c>
    </row>
    <row r="9" spans="1:4" x14ac:dyDescent="0.3">
      <c r="B9" s="140" t="s">
        <v>1604</v>
      </c>
      <c r="C9" s="187">
        <f>1+14.2921097%</f>
        <v>1.1429210969999999</v>
      </c>
    </row>
    <row r="11" spans="1:4" x14ac:dyDescent="0.3">
      <c r="A11" s="138" t="s">
        <v>1493</v>
      </c>
      <c r="B11" s="138" t="s">
        <v>643</v>
      </c>
      <c r="C11" t="s">
        <v>1492</v>
      </c>
      <c r="D11" t="s">
        <v>1491</v>
      </c>
    </row>
    <row r="12" spans="1:4" x14ac:dyDescent="0.3">
      <c r="A12">
        <v>1</v>
      </c>
      <c r="B12" t="s">
        <v>836</v>
      </c>
      <c r="C12" s="28">
        <v>100060872764.25743</v>
      </c>
      <c r="D12" s="28">
        <v>97146478.411900431</v>
      </c>
    </row>
    <row r="13" spans="1:4" x14ac:dyDescent="0.3">
      <c r="A13" t="s">
        <v>1504</v>
      </c>
      <c r="C13" s="28">
        <v>100060872764.25743</v>
      </c>
      <c r="D13" s="28">
        <v>97146478.411900431</v>
      </c>
    </row>
    <row r="14" spans="1:4" x14ac:dyDescent="0.3">
      <c r="A14">
        <v>2</v>
      </c>
      <c r="B14" t="s">
        <v>983</v>
      </c>
      <c r="C14" s="28">
        <v>25544671229.791252</v>
      </c>
      <c r="D14" s="28">
        <v>24800651.679408979</v>
      </c>
    </row>
    <row r="15" spans="1:4" x14ac:dyDescent="0.3">
      <c r="A15" t="s">
        <v>1505</v>
      </c>
      <c r="C15" s="28">
        <v>25544671229.791252</v>
      </c>
      <c r="D15" s="28">
        <v>24800651.679408979</v>
      </c>
    </row>
    <row r="16" spans="1:4" x14ac:dyDescent="0.3">
      <c r="A16">
        <v>3</v>
      </c>
      <c r="B16" t="s">
        <v>696</v>
      </c>
      <c r="C16" s="28">
        <v>210483927913.30948</v>
      </c>
      <c r="D16" s="28">
        <v>204353328.07117441</v>
      </c>
    </row>
    <row r="17" spans="1:4" x14ac:dyDescent="0.3">
      <c r="A17" t="s">
        <v>1506</v>
      </c>
      <c r="C17" s="28">
        <v>210483927913.30948</v>
      </c>
      <c r="D17" s="28">
        <v>204353328.07117441</v>
      </c>
    </row>
    <row r="18" spans="1:4" x14ac:dyDescent="0.3">
      <c r="A18">
        <v>4</v>
      </c>
      <c r="B18" t="s">
        <v>697</v>
      </c>
      <c r="C18" s="28">
        <v>38628527475.583374</v>
      </c>
      <c r="D18" s="28">
        <v>37503424.73357603</v>
      </c>
    </row>
    <row r="19" spans="1:4" x14ac:dyDescent="0.3">
      <c r="A19" t="s">
        <v>1507</v>
      </c>
      <c r="C19" s="28">
        <v>38628527475.583374</v>
      </c>
      <c r="D19" s="28">
        <v>37503424.73357603</v>
      </c>
    </row>
    <row r="20" spans="1:4" x14ac:dyDescent="0.3">
      <c r="A20" t="s">
        <v>1731</v>
      </c>
      <c r="B20" t="s">
        <v>1731</v>
      </c>
      <c r="C20" s="28"/>
      <c r="D20" s="28"/>
    </row>
    <row r="21" spans="1:4" x14ac:dyDescent="0.3">
      <c r="A21" t="s">
        <v>1732</v>
      </c>
      <c r="C21" s="28"/>
      <c r="D21" s="28"/>
    </row>
    <row r="22" spans="1:4" x14ac:dyDescent="0.3">
      <c r="A22" t="s">
        <v>1490</v>
      </c>
      <c r="C22" s="28">
        <v>374717999382.94153</v>
      </c>
      <c r="D22" s="28">
        <v>363803882.89605987</v>
      </c>
    </row>
  </sheetData>
  <pageMargins left="0.7" right="0.7" top="0.75" bottom="0.75" header="0.3" footer="0.3"/>
  <pageSetup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3:S24"/>
  <sheetViews>
    <sheetView showGridLines="0" zoomScale="70" zoomScaleNormal="70" workbookViewId="0">
      <selection activeCell="A15" sqref="A15"/>
    </sheetView>
  </sheetViews>
  <sheetFormatPr defaultRowHeight="14.4" x14ac:dyDescent="0.3"/>
  <cols>
    <col min="1" max="1" width="8.6640625" customWidth="1"/>
    <col min="2" max="2" width="50.44140625" customWidth="1"/>
    <col min="3" max="3" width="12" customWidth="1"/>
    <col min="4" max="4" width="151.21875" bestFit="1" customWidth="1"/>
    <col min="5" max="5" width="20.109375" bestFit="1" customWidth="1"/>
    <col min="6" max="7" width="18.33203125" bestFit="1" customWidth="1"/>
  </cols>
  <sheetData>
    <row r="3" spans="1:6" x14ac:dyDescent="0.3">
      <c r="A3" s="138" t="s">
        <v>1493</v>
      </c>
      <c r="B3" s="138" t="s">
        <v>643</v>
      </c>
      <c r="C3" s="138" t="s">
        <v>1494</v>
      </c>
      <c r="D3" s="138" t="s">
        <v>642</v>
      </c>
      <c r="E3" t="s">
        <v>1492</v>
      </c>
      <c r="F3" t="s">
        <v>1491</v>
      </c>
    </row>
    <row r="4" spans="1:6" x14ac:dyDescent="0.3">
      <c r="A4">
        <v>1</v>
      </c>
      <c r="B4" t="s">
        <v>836</v>
      </c>
      <c r="C4" t="s">
        <v>1498</v>
      </c>
      <c r="D4" t="s">
        <v>837</v>
      </c>
      <c r="E4" s="28">
        <v>21334854981.049301</v>
      </c>
      <c r="F4" s="28">
        <v>20713451.437911917</v>
      </c>
    </row>
    <row r="5" spans="1:6" x14ac:dyDescent="0.3">
      <c r="C5" t="s">
        <v>1499</v>
      </c>
      <c r="D5" t="s">
        <v>992</v>
      </c>
      <c r="E5" s="28">
        <v>39446306908.559685</v>
      </c>
      <c r="F5" s="28">
        <v>38297385.348116182</v>
      </c>
    </row>
    <row r="6" spans="1:6" x14ac:dyDescent="0.3">
      <c r="C6" t="s">
        <v>1500</v>
      </c>
      <c r="D6" t="s">
        <v>1051</v>
      </c>
      <c r="E6" s="28">
        <v>2573417167.3286209</v>
      </c>
      <c r="F6" s="28">
        <v>2498463.2692510886</v>
      </c>
    </row>
    <row r="7" spans="1:6" x14ac:dyDescent="0.3">
      <c r="C7" t="s">
        <v>1501</v>
      </c>
      <c r="D7" t="s">
        <v>1722</v>
      </c>
      <c r="E7" s="28">
        <v>746965772.86521578</v>
      </c>
      <c r="F7" s="28">
        <v>725209.48821865604</v>
      </c>
    </row>
    <row r="8" spans="1:6" x14ac:dyDescent="0.3">
      <c r="C8" t="s">
        <v>1502</v>
      </c>
      <c r="D8" t="s">
        <v>1446</v>
      </c>
      <c r="E8" s="28">
        <v>5739433732.9480839</v>
      </c>
      <c r="F8" s="28">
        <v>5572265.7601437699</v>
      </c>
    </row>
    <row r="9" spans="1:6" x14ac:dyDescent="0.3">
      <c r="C9" t="s">
        <v>1503</v>
      </c>
      <c r="D9" t="s">
        <v>1136</v>
      </c>
      <c r="E9" s="28">
        <v>30219894201.506428</v>
      </c>
      <c r="F9" s="28">
        <v>29339703.108258691</v>
      </c>
    </row>
    <row r="10" spans="1:6" x14ac:dyDescent="0.3">
      <c r="A10">
        <v>2</v>
      </c>
      <c r="B10" t="s">
        <v>983</v>
      </c>
      <c r="C10" t="s">
        <v>1498</v>
      </c>
      <c r="D10" t="s">
        <v>1176</v>
      </c>
      <c r="E10" s="28">
        <v>16544324614.986797</v>
      </c>
      <c r="F10" s="28">
        <v>16062451.082511453</v>
      </c>
    </row>
    <row r="11" spans="1:6" x14ac:dyDescent="0.3">
      <c r="C11" t="s">
        <v>1499</v>
      </c>
      <c r="D11" t="s">
        <v>1255</v>
      </c>
      <c r="E11" s="28">
        <v>5872623996.7537088</v>
      </c>
      <c r="F11" s="28">
        <v>5701576.6958773909</v>
      </c>
    </row>
    <row r="12" spans="1:6" x14ac:dyDescent="0.3">
      <c r="C12" t="s">
        <v>1500</v>
      </c>
      <c r="D12" t="s">
        <v>1280</v>
      </c>
      <c r="E12" s="28">
        <v>3127722618.0507288</v>
      </c>
      <c r="F12" s="28">
        <v>3036623.9010201264</v>
      </c>
    </row>
    <row r="13" spans="1:6" x14ac:dyDescent="0.3">
      <c r="A13">
        <v>3</v>
      </c>
      <c r="B13" t="s">
        <v>696</v>
      </c>
      <c r="C13" t="s">
        <v>1498</v>
      </c>
      <c r="D13" t="s">
        <v>689</v>
      </c>
      <c r="E13" s="28">
        <v>9143757671.1590023</v>
      </c>
      <c r="F13" s="28">
        <v>8877434.6321932077</v>
      </c>
    </row>
    <row r="14" spans="1:6" x14ac:dyDescent="0.3">
      <c r="C14" t="s">
        <v>1499</v>
      </c>
      <c r="D14" t="s">
        <v>690</v>
      </c>
      <c r="E14" s="28">
        <v>3816326256.7168541</v>
      </c>
      <c r="F14" s="28">
        <v>3705171.1230260702</v>
      </c>
    </row>
    <row r="15" spans="1:6" x14ac:dyDescent="0.3">
      <c r="C15" t="s">
        <v>1500</v>
      </c>
      <c r="D15" t="s">
        <v>691</v>
      </c>
      <c r="E15" s="28">
        <v>197523843985.43362</v>
      </c>
      <c r="F15" s="28">
        <v>191770722.31595516</v>
      </c>
    </row>
    <row r="16" spans="1:6" x14ac:dyDescent="0.3">
      <c r="A16">
        <v>4</v>
      </c>
      <c r="B16" t="s">
        <v>697</v>
      </c>
      <c r="C16" t="s">
        <v>1498</v>
      </c>
      <c r="D16" t="s">
        <v>692</v>
      </c>
      <c r="E16" s="28">
        <v>12865187666.451878</v>
      </c>
      <c r="F16" s="28">
        <v>12490473.462574648</v>
      </c>
    </row>
    <row r="17" spans="1:19" x14ac:dyDescent="0.3">
      <c r="C17" t="s">
        <v>1499</v>
      </c>
      <c r="D17" t="s">
        <v>693</v>
      </c>
      <c r="E17" s="28">
        <v>16715007535.192293</v>
      </c>
      <c r="F17" s="28">
        <v>16228162.655526498</v>
      </c>
    </row>
    <row r="18" spans="1:19" x14ac:dyDescent="0.3">
      <c r="C18" t="s">
        <v>1500</v>
      </c>
      <c r="D18" t="s">
        <v>694</v>
      </c>
      <c r="E18" s="28">
        <v>5918362870.752285</v>
      </c>
      <c r="F18" s="28">
        <v>5745983.3696624087</v>
      </c>
    </row>
    <row r="19" spans="1:19" x14ac:dyDescent="0.3">
      <c r="C19" t="s">
        <v>1501</v>
      </c>
      <c r="D19" t="s">
        <v>695</v>
      </c>
      <c r="E19" s="28">
        <v>3129969403.186903</v>
      </c>
      <c r="F19" s="28">
        <v>3038805.2458125264</v>
      </c>
    </row>
    <row r="20" spans="1:19" x14ac:dyDescent="0.3">
      <c r="A20" t="s">
        <v>1731</v>
      </c>
      <c r="B20" t="s">
        <v>1731</v>
      </c>
      <c r="C20" t="s">
        <v>1731</v>
      </c>
      <c r="D20" t="s">
        <v>1731</v>
      </c>
      <c r="E20" s="28"/>
      <c r="F20" s="28"/>
      <c r="P20" t="s">
        <v>1607</v>
      </c>
      <c r="S20">
        <f>7238</f>
        <v>7238</v>
      </c>
    </row>
    <row r="21" spans="1:19" x14ac:dyDescent="0.3">
      <c r="A21" t="s">
        <v>1490</v>
      </c>
      <c r="E21" s="28">
        <v>374717999382.94141</v>
      </c>
      <c r="F21" s="28">
        <v>363803882.89605981</v>
      </c>
      <c r="P21" t="s">
        <v>1608</v>
      </c>
      <c r="S21">
        <f>S20*2</f>
        <v>14476</v>
      </c>
    </row>
    <row r="22" spans="1:19" x14ac:dyDescent="0.3">
      <c r="P22" t="s">
        <v>1609</v>
      </c>
      <c r="S22">
        <v>2900</v>
      </c>
    </row>
    <row r="24" spans="1:19" x14ac:dyDescent="0.3">
      <c r="S24">
        <f>SUM(S21:S22)</f>
        <v>17376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N117"/>
  <sheetViews>
    <sheetView showGridLines="0" tabSelected="1" zoomScale="55" zoomScaleNormal="55" workbookViewId="0">
      <selection activeCell="A5" sqref="A5"/>
    </sheetView>
  </sheetViews>
  <sheetFormatPr defaultRowHeight="14.4" x14ac:dyDescent="0.3"/>
  <cols>
    <col min="1" max="1" width="5.6640625" customWidth="1"/>
    <col min="2" max="2" width="62.33203125" customWidth="1"/>
    <col min="3" max="3" width="6.77734375" customWidth="1"/>
    <col min="4" max="4" width="56.5546875" customWidth="1"/>
    <col min="5" max="5" width="7.33203125" customWidth="1"/>
    <col min="6" max="6" width="40.88671875" customWidth="1"/>
    <col min="7" max="7" width="29.44140625" bestFit="1" customWidth="1"/>
    <col min="8" max="14" width="29.77734375" bestFit="1" customWidth="1"/>
    <col min="15" max="16" width="30.6640625" customWidth="1"/>
    <col min="17" max="17" width="5.6640625" customWidth="1"/>
    <col min="18" max="18" width="15.109375" bestFit="1" customWidth="1"/>
    <col min="19" max="19" width="13.44140625" bestFit="1" customWidth="1"/>
    <col min="31" max="32" width="21.33203125" bestFit="1" customWidth="1"/>
    <col min="33" max="33" width="20.33203125" bestFit="1" customWidth="1"/>
    <col min="34" max="37" width="21.33203125" bestFit="1" customWidth="1"/>
    <col min="38" max="38" width="20.6640625" bestFit="1" customWidth="1"/>
    <col min="40" max="40" width="17.109375" bestFit="1" customWidth="1"/>
  </cols>
  <sheetData>
    <row r="1" spans="1:40" x14ac:dyDescent="0.3">
      <c r="AD1" t="s">
        <v>1790</v>
      </c>
      <c r="AE1" s="187">
        <f>1.142921097</f>
        <v>1.1429210970000001</v>
      </c>
    </row>
    <row r="2" spans="1:40" x14ac:dyDescent="0.3">
      <c r="AE2">
        <v>0</v>
      </c>
      <c r="AF2">
        <v>1</v>
      </c>
      <c r="AG2">
        <v>2</v>
      </c>
      <c r="AH2">
        <v>3</v>
      </c>
      <c r="AI2">
        <v>4</v>
      </c>
      <c r="AJ2">
        <v>5</v>
      </c>
      <c r="AK2">
        <v>6</v>
      </c>
      <c r="AL2">
        <v>7</v>
      </c>
    </row>
    <row r="3" spans="1:40" x14ac:dyDescent="0.3">
      <c r="R3" s="5" t="s">
        <v>1748</v>
      </c>
      <c r="AE3" s="5" t="s">
        <v>1791</v>
      </c>
    </row>
    <row r="4" spans="1:40" x14ac:dyDescent="0.3">
      <c r="G4" s="219">
        <f>SUM(G6:G95)</f>
        <v>38006197399.624985</v>
      </c>
      <c r="H4" s="219">
        <f t="shared" ref="H4:N4" si="0">SUM(H6:H95)</f>
        <v>47150793227.143448</v>
      </c>
      <c r="I4" s="219">
        <f t="shared" si="0"/>
        <v>51156239728.457405</v>
      </c>
      <c r="J4" s="219">
        <f t="shared" si="0"/>
        <v>49646975718.446228</v>
      </c>
      <c r="K4" s="219">
        <f t="shared" si="0"/>
        <v>61985384349.549316</v>
      </c>
      <c r="L4" s="219">
        <f t="shared" si="0"/>
        <v>31056057613.457615</v>
      </c>
      <c r="M4" s="219">
        <f t="shared" si="0"/>
        <v>52722004455.080231</v>
      </c>
      <c r="N4" s="219">
        <f t="shared" si="0"/>
        <v>42994346891.18235</v>
      </c>
      <c r="R4" s="5"/>
      <c r="AE4" s="219">
        <f>SUM(AE6:AE95)</f>
        <v>38006197399.624985</v>
      </c>
      <c r="AF4" s="219">
        <f t="shared" ref="AF4:AL4" si="1">SUM(AF6:AF95)</f>
        <v>41254635469.50647</v>
      </c>
      <c r="AG4" s="219">
        <f t="shared" si="1"/>
        <v>39162112905.577881</v>
      </c>
      <c r="AH4" s="219">
        <f t="shared" si="1"/>
        <v>33254012077.892178</v>
      </c>
      <c r="AI4" s="219">
        <f t="shared" si="1"/>
        <v>36326562290.683235</v>
      </c>
      <c r="AJ4" s="219">
        <f t="shared" si="1"/>
        <v>15924473296.421413</v>
      </c>
      <c r="AK4" s="219">
        <f t="shared" si="1"/>
        <v>23653445812.460693</v>
      </c>
      <c r="AL4" s="219">
        <f t="shared" si="1"/>
        <v>16877091720.210699</v>
      </c>
    </row>
    <row r="5" spans="1:40" ht="37.200000000000003" customHeight="1" x14ac:dyDescent="0.3">
      <c r="A5" s="139" t="s">
        <v>1746</v>
      </c>
      <c r="B5" s="139" t="s">
        <v>643</v>
      </c>
      <c r="C5" s="139" t="s">
        <v>1747</v>
      </c>
      <c r="D5" s="139" t="s">
        <v>642</v>
      </c>
      <c r="E5" s="139" t="s">
        <v>1497</v>
      </c>
      <c r="F5" s="139" t="s">
        <v>641</v>
      </c>
      <c r="G5" t="s">
        <v>1596</v>
      </c>
      <c r="H5" t="s">
        <v>1597</v>
      </c>
      <c r="I5" t="s">
        <v>1598</v>
      </c>
      <c r="J5" t="s">
        <v>1599</v>
      </c>
      <c r="K5" t="s">
        <v>1600</v>
      </c>
      <c r="L5" t="s">
        <v>1601</v>
      </c>
      <c r="M5" t="s">
        <v>1602</v>
      </c>
      <c r="N5" t="s">
        <v>1603</v>
      </c>
      <c r="O5" s="140" t="s">
        <v>1605</v>
      </c>
      <c r="P5" s="140" t="s">
        <v>1606</v>
      </c>
      <c r="Q5">
        <v>1030</v>
      </c>
      <c r="R5" s="214" t="s">
        <v>1769</v>
      </c>
      <c r="S5" s="214" t="s">
        <v>1770</v>
      </c>
      <c r="T5" s="214" t="s">
        <v>1771</v>
      </c>
      <c r="U5" s="214" t="s">
        <v>1772</v>
      </c>
      <c r="V5" s="215" t="s">
        <v>1773</v>
      </c>
      <c r="W5" s="216" t="s">
        <v>1774</v>
      </c>
      <c r="X5" s="216" t="s">
        <v>1775</v>
      </c>
      <c r="Y5" s="216" t="s">
        <v>1776</v>
      </c>
      <c r="Z5" s="216" t="s">
        <v>1777</v>
      </c>
      <c r="AA5" s="216" t="s">
        <v>1778</v>
      </c>
      <c r="AB5" s="216" t="s">
        <v>1779</v>
      </c>
      <c r="AC5" s="216" t="s">
        <v>1780</v>
      </c>
      <c r="AD5" s="216" t="s">
        <v>1781</v>
      </c>
      <c r="AE5" s="217" t="s">
        <v>1782</v>
      </c>
      <c r="AF5" s="217" t="s">
        <v>1783</v>
      </c>
      <c r="AG5" s="217" t="s">
        <v>1784</v>
      </c>
      <c r="AH5" s="217" t="s">
        <v>1785</v>
      </c>
      <c r="AI5" s="217" t="s">
        <v>1786</v>
      </c>
      <c r="AJ5" s="217" t="s">
        <v>1787</v>
      </c>
      <c r="AK5" s="217" t="s">
        <v>1788</v>
      </c>
      <c r="AL5" s="218" t="s">
        <v>1789</v>
      </c>
    </row>
    <row r="6" spans="1:40" ht="13.05" customHeight="1" x14ac:dyDescent="0.3">
      <c r="A6">
        <v>1</v>
      </c>
      <c r="B6" s="213" t="s">
        <v>836</v>
      </c>
      <c r="C6" t="s">
        <v>1498</v>
      </c>
      <c r="D6" t="s">
        <v>837</v>
      </c>
      <c r="E6" t="s">
        <v>1508</v>
      </c>
      <c r="F6" s="41" t="s">
        <v>1295</v>
      </c>
      <c r="G6" s="28">
        <v>80160331.192857146</v>
      </c>
      <c r="H6" s="28">
        <v>0</v>
      </c>
      <c r="I6" s="28">
        <v>104710926.32569057</v>
      </c>
      <c r="J6" s="28">
        <v>0</v>
      </c>
      <c r="K6" s="28">
        <v>136780598.69295052</v>
      </c>
      <c r="L6" s="28">
        <v>0</v>
      </c>
      <c r="M6" s="28">
        <v>178672205.80792236</v>
      </c>
      <c r="N6" s="28">
        <v>0</v>
      </c>
      <c r="O6" s="146">
        <f>SUM(G6:N6)</f>
        <v>500324062.01942062</v>
      </c>
      <c r="P6" s="146">
        <f>O6/$Q$5</f>
        <v>485751.51652370935</v>
      </c>
      <c r="R6" s="140" t="str">
        <f>"8."&amp;A6</f>
        <v>8.1</v>
      </c>
      <c r="S6" s="140" t="str">
        <f>R6&amp;" "&amp;B6</f>
        <v>8.1 To mobilize adequate, sustainable, and predictable funds for the health sector to optimally delivery essential health services</v>
      </c>
      <c r="T6" s="140" t="str">
        <f>R6&amp;"."&amp;C6</f>
        <v>8.1.1</v>
      </c>
      <c r="U6" s="140" t="str">
        <f>T6&amp;" "&amp;D6</f>
        <v>8.1.1 Improve efficiency across all health system functions at all levels of the healthcare delivery system</v>
      </c>
      <c r="V6" s="140" t="str">
        <f>F6</f>
        <v>Conduct biennial efficiency analysis across programs to inform reallocation of resources. The focus will be on high expenditure areas such as HIV/AIDS, Malaria and Reproductive Health, EPI, Tuberculosis and Covid-19</v>
      </c>
      <c r="W6" t="str">
        <f>IF(G6&gt;0,"X","")</f>
        <v>X</v>
      </c>
      <c r="X6" t="str">
        <f t="shared" ref="X6:AD6" si="2">IF(H6&gt;0,"X","")</f>
        <v/>
      </c>
      <c r="Y6" t="str">
        <f t="shared" si="2"/>
        <v>X</v>
      </c>
      <c r="Z6" t="str">
        <f t="shared" si="2"/>
        <v/>
      </c>
      <c r="AA6" t="str">
        <f t="shared" si="2"/>
        <v>X</v>
      </c>
      <c r="AB6" t="str">
        <f t="shared" si="2"/>
        <v/>
      </c>
      <c r="AC6" t="str">
        <f t="shared" si="2"/>
        <v>X</v>
      </c>
      <c r="AD6" t="str">
        <f t="shared" si="2"/>
        <v/>
      </c>
      <c r="AE6" s="28">
        <f>G6/$AE$1^AE$2</f>
        <v>80160331.192857146</v>
      </c>
      <c r="AF6" s="28">
        <f t="shared" ref="AF6:AL6" si="3">H6/$AE$1^AF$2</f>
        <v>0</v>
      </c>
      <c r="AG6" s="28">
        <f t="shared" si="3"/>
        <v>80160331.192857116</v>
      </c>
      <c r="AH6" s="28">
        <f t="shared" si="3"/>
        <v>0</v>
      </c>
      <c r="AI6" s="28">
        <f t="shared" si="3"/>
        <v>80160331.192857087</v>
      </c>
      <c r="AJ6" s="28">
        <f t="shared" si="3"/>
        <v>0</v>
      </c>
      <c r="AK6" s="28">
        <f t="shared" si="3"/>
        <v>80160331.192857057</v>
      </c>
      <c r="AL6" s="28">
        <f t="shared" si="3"/>
        <v>0</v>
      </c>
      <c r="AN6" s="28"/>
    </row>
    <row r="7" spans="1:40" ht="13.05" customHeight="1" x14ac:dyDescent="0.3">
      <c r="A7">
        <v>1</v>
      </c>
      <c r="B7" s="213" t="s">
        <v>836</v>
      </c>
      <c r="C7" t="s">
        <v>1498</v>
      </c>
      <c r="D7" t="s">
        <v>837</v>
      </c>
      <c r="E7" t="s">
        <v>1513</v>
      </c>
      <c r="F7" s="41" t="s">
        <v>1708</v>
      </c>
      <c r="G7" s="28">
        <v>208414355.32321426</v>
      </c>
      <c r="H7" s="28">
        <v>0</v>
      </c>
      <c r="I7" s="28">
        <v>0</v>
      </c>
      <c r="J7" s="28">
        <v>0</v>
      </c>
      <c r="K7" s="28">
        <v>355625280.89772606</v>
      </c>
      <c r="L7" s="28">
        <v>0</v>
      </c>
      <c r="M7" s="28">
        <v>0</v>
      </c>
      <c r="N7" s="28">
        <v>0</v>
      </c>
      <c r="O7" s="146">
        <f t="shared" ref="O7:O70" si="4">SUM(G7:N7)</f>
        <v>564039636.22094035</v>
      </c>
      <c r="P7" s="146">
        <f t="shared" ref="P7:P70" si="5">O7/$Q$5</f>
        <v>547611.29730188381</v>
      </c>
      <c r="R7" s="140" t="str">
        <f t="shared" ref="R7:R70" si="6">"8."&amp;A7</f>
        <v>8.1</v>
      </c>
      <c r="S7" s="140" t="str">
        <f t="shared" ref="S7:S70" si="7">R7&amp;" "&amp;B7</f>
        <v>8.1 To mobilize adequate, sustainable, and predictable funds for the health sector to optimally delivery essential health services</v>
      </c>
      <c r="T7" s="140" t="str">
        <f t="shared" ref="T7:T70" si="8">R7&amp;"."&amp;C7</f>
        <v>8.1.1</v>
      </c>
      <c r="U7" s="140" t="str">
        <f t="shared" ref="U7:U70" si="9">T7&amp;" "&amp;D7</f>
        <v>8.1.1 Improve efficiency across all health system functions at all levels of the healthcare delivery system</v>
      </c>
      <c r="V7" s="140" t="str">
        <f t="shared" ref="V7:V70" si="10">F7</f>
        <v xml:space="preserve"> Rationalize implementation of in-service training</v>
      </c>
      <c r="W7" t="str">
        <f t="shared" ref="W7:W70" si="11">IF(G7&gt;0,"X","")</f>
        <v>X</v>
      </c>
      <c r="X7" t="str">
        <f t="shared" ref="X7:X70" si="12">IF(H7&gt;0,"X","")</f>
        <v/>
      </c>
      <c r="Y7" t="str">
        <f t="shared" ref="Y7:Y70" si="13">IF(I7&gt;0,"X","")</f>
        <v/>
      </c>
      <c r="Z7" t="str">
        <f t="shared" ref="Z7:Z70" si="14">IF(J7&gt;0,"X","")</f>
        <v/>
      </c>
      <c r="AA7" t="str">
        <f t="shared" ref="AA7:AA70" si="15">IF(K7&gt;0,"X","")</f>
        <v>X</v>
      </c>
      <c r="AB7" t="str">
        <f t="shared" ref="AB7:AB70" si="16">IF(L7&gt;0,"X","")</f>
        <v/>
      </c>
      <c r="AC7" t="str">
        <f t="shared" ref="AC7:AC70" si="17">IF(M7&gt;0,"X","")</f>
        <v/>
      </c>
      <c r="AD7" t="str">
        <f t="shared" ref="AD7:AD70" si="18">IF(N7&gt;0,"X","")</f>
        <v/>
      </c>
      <c r="AE7" s="28">
        <f t="shared" ref="AE7:AE70" si="19">G7/$AE$1^AE$2</f>
        <v>208414355.32321426</v>
      </c>
      <c r="AF7" s="28">
        <f t="shared" ref="AF7:AF70" si="20">H7/$AE$1^AF$2</f>
        <v>0</v>
      </c>
      <c r="AG7" s="28">
        <f t="shared" ref="AG7:AG70" si="21">I7/$AE$1^AG$2</f>
        <v>0</v>
      </c>
      <c r="AH7" s="28">
        <f t="shared" ref="AH7:AH70" si="22">J7/$AE$1^AH$2</f>
        <v>0</v>
      </c>
      <c r="AI7" s="28">
        <f t="shared" ref="AI7:AI70" si="23">K7/$AE$1^AI$2</f>
        <v>208414355.32321417</v>
      </c>
      <c r="AJ7" s="28">
        <f t="shared" ref="AJ7:AJ70" si="24">L7/$AE$1^AJ$2</f>
        <v>0</v>
      </c>
      <c r="AK7" s="28">
        <f t="shared" ref="AK7:AK70" si="25">M7/$AE$1^AK$2</f>
        <v>0</v>
      </c>
      <c r="AL7" s="28">
        <f t="shared" ref="AL7:AL70" si="26">N7/$AE$1^AL$2</f>
        <v>0</v>
      </c>
    </row>
    <row r="8" spans="1:40" ht="13.05" customHeight="1" x14ac:dyDescent="0.3">
      <c r="A8">
        <v>1</v>
      </c>
      <c r="B8" s="213" t="s">
        <v>836</v>
      </c>
      <c r="C8" t="s">
        <v>1498</v>
      </c>
      <c r="D8" t="s">
        <v>837</v>
      </c>
      <c r="E8" t="s">
        <v>1514</v>
      </c>
      <c r="F8" s="41" t="s">
        <v>1681</v>
      </c>
      <c r="G8" s="28">
        <v>101891741.03750001</v>
      </c>
      <c r="H8" s="28">
        <v>355433621.77541143</v>
      </c>
      <c r="I8" s="28">
        <v>8083948374.757102</v>
      </c>
      <c r="J8" s="28">
        <v>72997443.449492231</v>
      </c>
      <c r="K8" s="28">
        <v>386558960.47431332</v>
      </c>
      <c r="L8" s="28">
        <v>95354270.737901419</v>
      </c>
      <c r="M8" s="28">
        <v>486978957.15885973</v>
      </c>
      <c r="N8" s="28">
        <v>565690849.61008346</v>
      </c>
      <c r="O8" s="146">
        <f t="shared" si="4"/>
        <v>10148854219.000662</v>
      </c>
      <c r="P8" s="146">
        <f t="shared" si="5"/>
        <v>9853256.5233016126</v>
      </c>
      <c r="R8" s="140" t="str">
        <f t="shared" si="6"/>
        <v>8.1</v>
      </c>
      <c r="S8" s="140" t="str">
        <f t="shared" si="7"/>
        <v>8.1 To mobilize adequate, sustainable, and predictable funds for the health sector to optimally delivery essential health services</v>
      </c>
      <c r="T8" s="140" t="str">
        <f t="shared" si="8"/>
        <v>8.1.1</v>
      </c>
      <c r="U8" s="140" t="str">
        <f t="shared" si="9"/>
        <v>8.1.1 Improve efficiency across all health system functions at all levels of the healthcare delivery system</v>
      </c>
      <c r="V8" s="140" t="str">
        <f t="shared" si="10"/>
        <v>Promote supply chain integration</v>
      </c>
      <c r="W8" t="str">
        <f t="shared" si="11"/>
        <v>X</v>
      </c>
      <c r="X8" t="str">
        <f t="shared" si="12"/>
        <v>X</v>
      </c>
      <c r="Y8" t="str">
        <f t="shared" si="13"/>
        <v>X</v>
      </c>
      <c r="Z8" t="str">
        <f t="shared" si="14"/>
        <v>X</v>
      </c>
      <c r="AA8" t="str">
        <f t="shared" si="15"/>
        <v>X</v>
      </c>
      <c r="AB8" t="str">
        <f t="shared" si="16"/>
        <v>X</v>
      </c>
      <c r="AC8" t="str">
        <f t="shared" si="17"/>
        <v>X</v>
      </c>
      <c r="AD8" t="str">
        <f t="shared" si="18"/>
        <v>X</v>
      </c>
      <c r="AE8" s="28">
        <f t="shared" si="19"/>
        <v>101891741.03750001</v>
      </c>
      <c r="AF8" s="28">
        <f t="shared" si="20"/>
        <v>310987016.25892848</v>
      </c>
      <c r="AG8" s="28">
        <f t="shared" si="21"/>
        <v>6188580330.6803541</v>
      </c>
      <c r="AH8" s="28">
        <f t="shared" si="22"/>
        <v>48894375.357142828</v>
      </c>
      <c r="AI8" s="28">
        <f t="shared" si="23"/>
        <v>226543052.10892835</v>
      </c>
      <c r="AJ8" s="28">
        <f t="shared" si="24"/>
        <v>48894375.357142814</v>
      </c>
      <c r="AK8" s="28">
        <f t="shared" si="25"/>
        <v>218480509.11607128</v>
      </c>
      <c r="AL8" s="28">
        <f t="shared" si="26"/>
        <v>222057480.68035701</v>
      </c>
    </row>
    <row r="9" spans="1:40" ht="13.05" customHeight="1" x14ac:dyDescent="0.3">
      <c r="A9">
        <v>1</v>
      </c>
      <c r="B9" s="213" t="s">
        <v>836</v>
      </c>
      <c r="C9" t="s">
        <v>1498</v>
      </c>
      <c r="D9" t="s">
        <v>837</v>
      </c>
      <c r="E9" t="s">
        <v>1515</v>
      </c>
      <c r="F9" s="41" t="s">
        <v>1682</v>
      </c>
      <c r="G9" s="28">
        <v>0</v>
      </c>
      <c r="H9" s="28">
        <v>0</v>
      </c>
      <c r="I9" s="28">
        <v>397344213.46073353</v>
      </c>
      <c r="J9" s="28">
        <v>560244115.76962519</v>
      </c>
      <c r="K9" s="28">
        <v>238887284.17229161</v>
      </c>
      <c r="L9" s="28">
        <v>0</v>
      </c>
      <c r="M9" s="28">
        <v>0</v>
      </c>
      <c r="N9" s="28">
        <v>0</v>
      </c>
      <c r="O9" s="146">
        <f t="shared" si="4"/>
        <v>1196475613.4026504</v>
      </c>
      <c r="P9" s="146">
        <f t="shared" si="5"/>
        <v>1161626.8091287867</v>
      </c>
      <c r="R9" s="140" t="str">
        <f t="shared" si="6"/>
        <v>8.1</v>
      </c>
      <c r="S9" s="140" t="str">
        <f t="shared" si="7"/>
        <v>8.1 To mobilize adequate, sustainable, and predictable funds for the health sector to optimally delivery essential health services</v>
      </c>
      <c r="T9" s="140" t="str">
        <f t="shared" si="8"/>
        <v>8.1.1</v>
      </c>
      <c r="U9" s="140" t="str">
        <f t="shared" si="9"/>
        <v>8.1.1 Improve efficiency across all health system functions at all levels of the healthcare delivery system</v>
      </c>
      <c r="V9" s="140" t="str">
        <f t="shared" si="10"/>
        <v>Promote end to end tracking of medicines and medical supplies (e.g., To monitor potential expiry of medicines)</v>
      </c>
      <c r="W9" t="str">
        <f t="shared" si="11"/>
        <v/>
      </c>
      <c r="X9" t="str">
        <f t="shared" si="12"/>
        <v/>
      </c>
      <c r="Y9" t="str">
        <f t="shared" si="13"/>
        <v>X</v>
      </c>
      <c r="Z9" t="str">
        <f t="shared" si="14"/>
        <v>X</v>
      </c>
      <c r="AA9" t="str">
        <f t="shared" si="15"/>
        <v>X</v>
      </c>
      <c r="AB9" t="str">
        <f t="shared" si="16"/>
        <v/>
      </c>
      <c r="AC9" t="str">
        <f t="shared" si="17"/>
        <v/>
      </c>
      <c r="AD9" t="str">
        <f t="shared" si="18"/>
        <v/>
      </c>
      <c r="AE9" s="28">
        <f t="shared" si="19"/>
        <v>0</v>
      </c>
      <c r="AF9" s="28">
        <f t="shared" si="20"/>
        <v>0</v>
      </c>
      <c r="AG9" s="28">
        <f t="shared" si="21"/>
        <v>304182618.43571419</v>
      </c>
      <c r="AH9" s="28">
        <f t="shared" si="22"/>
        <v>375256786.99999982</v>
      </c>
      <c r="AI9" s="28">
        <f t="shared" si="23"/>
        <v>139999999.99999991</v>
      </c>
      <c r="AJ9" s="28">
        <f t="shared" si="24"/>
        <v>0</v>
      </c>
      <c r="AK9" s="28">
        <f t="shared" si="25"/>
        <v>0</v>
      </c>
      <c r="AL9" s="28">
        <f t="shared" si="26"/>
        <v>0</v>
      </c>
    </row>
    <row r="10" spans="1:40" ht="13.05" customHeight="1" x14ac:dyDescent="0.3">
      <c r="A10">
        <v>1</v>
      </c>
      <c r="B10" s="213" t="s">
        <v>836</v>
      </c>
      <c r="C10" t="s">
        <v>1498</v>
      </c>
      <c r="D10" t="s">
        <v>837</v>
      </c>
      <c r="E10" t="s">
        <v>1516</v>
      </c>
      <c r="F10" s="41" t="s">
        <v>887</v>
      </c>
      <c r="G10" s="28">
        <v>60822292.857142858</v>
      </c>
      <c r="H10" s="28">
        <v>15097906.054148782</v>
      </c>
      <c r="I10" s="28">
        <v>42951773.512120605</v>
      </c>
      <c r="J10" s="28">
        <v>19774174.78642923</v>
      </c>
      <c r="K10" s="28">
        <v>56106554.512167111</v>
      </c>
      <c r="L10" s="28">
        <v>118616207.64427395</v>
      </c>
      <c r="M10" s="28">
        <v>29444078.402617108</v>
      </c>
      <c r="N10" s="28">
        <v>33652258.388073154</v>
      </c>
      <c r="O10" s="146">
        <f t="shared" si="4"/>
        <v>376465246.15697277</v>
      </c>
      <c r="P10" s="146">
        <f t="shared" si="5"/>
        <v>365500.23898735218</v>
      </c>
      <c r="R10" s="140" t="str">
        <f t="shared" si="6"/>
        <v>8.1</v>
      </c>
      <c r="S10" s="140" t="str">
        <f t="shared" si="7"/>
        <v>8.1 To mobilize adequate, sustainable, and predictable funds for the health sector to optimally delivery essential health services</v>
      </c>
      <c r="T10" s="140" t="str">
        <f t="shared" si="8"/>
        <v>8.1.1</v>
      </c>
      <c r="U10" s="140" t="str">
        <f t="shared" si="9"/>
        <v>8.1.1 Improve efficiency across all health system functions at all levels of the healthcare delivery system</v>
      </c>
      <c r="V10" s="140" t="str">
        <f t="shared" si="10"/>
        <v>Build drug theft investigation capacity at councils</v>
      </c>
      <c r="W10" t="str">
        <f t="shared" si="11"/>
        <v>X</v>
      </c>
      <c r="X10" t="str">
        <f t="shared" si="12"/>
        <v>X</v>
      </c>
      <c r="Y10" t="str">
        <f t="shared" si="13"/>
        <v>X</v>
      </c>
      <c r="Z10" t="str">
        <f t="shared" si="14"/>
        <v>X</v>
      </c>
      <c r="AA10" t="str">
        <f t="shared" si="15"/>
        <v>X</v>
      </c>
      <c r="AB10" t="str">
        <f t="shared" si="16"/>
        <v>X</v>
      </c>
      <c r="AC10" t="str">
        <f t="shared" si="17"/>
        <v>X</v>
      </c>
      <c r="AD10" t="str">
        <f t="shared" si="18"/>
        <v>X</v>
      </c>
      <c r="AE10" s="28">
        <f t="shared" si="19"/>
        <v>60822292.857142858</v>
      </c>
      <c r="AF10" s="28">
        <f t="shared" si="20"/>
        <v>13209928.571428567</v>
      </c>
      <c r="AG10" s="28">
        <f t="shared" si="21"/>
        <v>32881271.42857141</v>
      </c>
      <c r="AH10" s="28">
        <f t="shared" si="22"/>
        <v>13244928.571428563</v>
      </c>
      <c r="AI10" s="28">
        <f t="shared" si="23"/>
        <v>32881271.428571407</v>
      </c>
      <c r="AJ10" s="28">
        <f t="shared" si="24"/>
        <v>60822292.857142806</v>
      </c>
      <c r="AK10" s="28">
        <f t="shared" si="25"/>
        <v>13209928.571428558</v>
      </c>
      <c r="AL10" s="28">
        <f t="shared" si="26"/>
        <v>13209928.571428558</v>
      </c>
    </row>
    <row r="11" spans="1:40" ht="13.05" customHeight="1" x14ac:dyDescent="0.3">
      <c r="A11">
        <v>1</v>
      </c>
      <c r="B11" s="213" t="s">
        <v>836</v>
      </c>
      <c r="C11" t="s">
        <v>1498</v>
      </c>
      <c r="D11" t="s">
        <v>837</v>
      </c>
      <c r="E11" t="s">
        <v>1517</v>
      </c>
      <c r="F11" s="41" t="s">
        <v>898</v>
      </c>
      <c r="G11" s="28">
        <v>1750000</v>
      </c>
      <c r="H11" s="28">
        <v>800044.76789999986</v>
      </c>
      <c r="I11" s="28">
        <v>914388.04377737816</v>
      </c>
      <c r="J11" s="28">
        <v>1045073.3860777251</v>
      </c>
      <c r="K11" s="28">
        <v>1194436.4208614579</v>
      </c>
      <c r="L11" s="28">
        <v>1365146.5844277311</v>
      </c>
      <c r="M11" s="28">
        <v>1560254.8318399454</v>
      </c>
      <c r="N11" s="28">
        <v>1783248.1640060609</v>
      </c>
      <c r="O11" s="146">
        <f t="shared" si="4"/>
        <v>10412592.198890299</v>
      </c>
      <c r="P11" s="146">
        <f t="shared" si="5"/>
        <v>10109.3128144566</v>
      </c>
      <c r="R11" s="140" t="str">
        <f t="shared" si="6"/>
        <v>8.1</v>
      </c>
      <c r="S11" s="140" t="str">
        <f t="shared" si="7"/>
        <v>8.1 To mobilize adequate, sustainable, and predictable funds for the health sector to optimally delivery essential health services</v>
      </c>
      <c r="T11" s="140" t="str">
        <f t="shared" si="8"/>
        <v>8.1.1</v>
      </c>
      <c r="U11" s="140" t="str">
        <f t="shared" si="9"/>
        <v>8.1.1 Improve efficiency across all health system functions at all levels of the healthcare delivery system</v>
      </c>
      <c r="V11" s="140" t="str">
        <f t="shared" si="10"/>
        <v>Improve contract management of public health infrastructure projects</v>
      </c>
      <c r="W11" t="str">
        <f t="shared" si="11"/>
        <v>X</v>
      </c>
      <c r="X11" t="str">
        <f t="shared" si="12"/>
        <v>X</v>
      </c>
      <c r="Y11" t="str">
        <f t="shared" si="13"/>
        <v>X</v>
      </c>
      <c r="Z11" t="str">
        <f t="shared" si="14"/>
        <v>X</v>
      </c>
      <c r="AA11" t="str">
        <f t="shared" si="15"/>
        <v>X</v>
      </c>
      <c r="AB11" t="str">
        <f t="shared" si="16"/>
        <v>X</v>
      </c>
      <c r="AC11" t="str">
        <f t="shared" si="17"/>
        <v>X</v>
      </c>
      <c r="AD11" t="str">
        <f t="shared" si="18"/>
        <v>X</v>
      </c>
      <c r="AE11" s="28">
        <f t="shared" si="19"/>
        <v>1750000</v>
      </c>
      <c r="AF11" s="28">
        <f t="shared" si="20"/>
        <v>699999.99999999977</v>
      </c>
      <c r="AG11" s="28">
        <f t="shared" si="21"/>
        <v>699999.99999999965</v>
      </c>
      <c r="AH11" s="28">
        <f t="shared" si="22"/>
        <v>699999.99999999965</v>
      </c>
      <c r="AI11" s="28">
        <f t="shared" si="23"/>
        <v>699999.99999999953</v>
      </c>
      <c r="AJ11" s="28">
        <f t="shared" si="24"/>
        <v>699999.99999999942</v>
      </c>
      <c r="AK11" s="28">
        <f t="shared" si="25"/>
        <v>699999.99999999919</v>
      </c>
      <c r="AL11" s="28">
        <f t="shared" si="26"/>
        <v>699999.99999999919</v>
      </c>
    </row>
    <row r="12" spans="1:40" ht="13.05" customHeight="1" x14ac:dyDescent="0.3">
      <c r="A12">
        <v>1</v>
      </c>
      <c r="B12" s="213" t="s">
        <v>836</v>
      </c>
      <c r="C12" t="s">
        <v>1498</v>
      </c>
      <c r="D12" t="s">
        <v>837</v>
      </c>
      <c r="E12" t="s">
        <v>1518</v>
      </c>
      <c r="F12" s="41" t="s">
        <v>1683</v>
      </c>
      <c r="G12" s="28">
        <v>0</v>
      </c>
      <c r="H12" s="28">
        <v>0</v>
      </c>
      <c r="I12" s="28">
        <v>77459079.957775414</v>
      </c>
      <c r="J12" s="28">
        <v>0</v>
      </c>
      <c r="K12" s="28">
        <v>0</v>
      </c>
      <c r="L12" s="28">
        <v>0</v>
      </c>
      <c r="M12" s="28">
        <v>0</v>
      </c>
      <c r="N12" s="28">
        <v>0</v>
      </c>
      <c r="O12" s="146">
        <f t="shared" si="4"/>
        <v>77459079.957775414</v>
      </c>
      <c r="P12" s="146">
        <f t="shared" si="5"/>
        <v>75202.990250267394</v>
      </c>
      <c r="R12" s="140" t="str">
        <f t="shared" si="6"/>
        <v>8.1</v>
      </c>
      <c r="S12" s="140" t="str">
        <f t="shared" si="7"/>
        <v>8.1 To mobilize adequate, sustainable, and predictable funds for the health sector to optimally delivery essential health services</v>
      </c>
      <c r="T12" s="140" t="str">
        <f t="shared" si="8"/>
        <v>8.1.1</v>
      </c>
      <c r="U12" s="140" t="str">
        <f t="shared" si="9"/>
        <v>8.1.1 Improve efficiency across all health system functions at all levels of the healthcare delivery system</v>
      </c>
      <c r="V12" s="140" t="str">
        <f t="shared" si="10"/>
        <v>Establish active price monitoring mechanisms to support efficient procurement of medicines</v>
      </c>
      <c r="W12" t="str">
        <f t="shared" si="11"/>
        <v/>
      </c>
      <c r="X12" t="str">
        <f t="shared" si="12"/>
        <v/>
      </c>
      <c r="Y12" t="str">
        <f t="shared" si="13"/>
        <v>X</v>
      </c>
      <c r="Z12" t="str">
        <f t="shared" si="14"/>
        <v/>
      </c>
      <c r="AA12" t="str">
        <f t="shared" si="15"/>
        <v/>
      </c>
      <c r="AB12" t="str">
        <f t="shared" si="16"/>
        <v/>
      </c>
      <c r="AC12" t="str">
        <f t="shared" si="17"/>
        <v/>
      </c>
      <c r="AD12" t="str">
        <f t="shared" si="18"/>
        <v/>
      </c>
      <c r="AE12" s="28">
        <f t="shared" si="19"/>
        <v>0</v>
      </c>
      <c r="AF12" s="28">
        <f t="shared" si="20"/>
        <v>0</v>
      </c>
      <c r="AG12" s="28">
        <f t="shared" si="21"/>
        <v>59297971.29285714</v>
      </c>
      <c r="AH12" s="28">
        <f t="shared" si="22"/>
        <v>0</v>
      </c>
      <c r="AI12" s="28">
        <f t="shared" si="23"/>
        <v>0</v>
      </c>
      <c r="AJ12" s="28">
        <f t="shared" si="24"/>
        <v>0</v>
      </c>
      <c r="AK12" s="28">
        <f t="shared" si="25"/>
        <v>0</v>
      </c>
      <c r="AL12" s="28">
        <f t="shared" si="26"/>
        <v>0</v>
      </c>
    </row>
    <row r="13" spans="1:40" ht="13.05" customHeight="1" x14ac:dyDescent="0.3">
      <c r="A13">
        <v>1</v>
      </c>
      <c r="B13" s="213" t="s">
        <v>836</v>
      </c>
      <c r="C13" t="s">
        <v>1498</v>
      </c>
      <c r="D13" t="s">
        <v>837</v>
      </c>
      <c r="E13" t="s">
        <v>1519</v>
      </c>
      <c r="F13" s="41" t="s">
        <v>1709</v>
      </c>
      <c r="G13" s="28">
        <v>0</v>
      </c>
      <c r="H13" s="28">
        <v>12082374.049491255</v>
      </c>
      <c r="I13" s="28">
        <v>53600906.484874368</v>
      </c>
      <c r="J13" s="28">
        <v>0</v>
      </c>
      <c r="K13" s="28">
        <v>0</v>
      </c>
      <c r="L13" s="28">
        <v>0</v>
      </c>
      <c r="M13" s="28">
        <v>0</v>
      </c>
      <c r="N13" s="28">
        <v>0</v>
      </c>
      <c r="O13" s="146">
        <f t="shared" si="4"/>
        <v>65683280.534365624</v>
      </c>
      <c r="P13" s="146">
        <f t="shared" si="5"/>
        <v>63770.17527608313</v>
      </c>
      <c r="R13" s="140" t="str">
        <f t="shared" si="6"/>
        <v>8.1</v>
      </c>
      <c r="S13" s="140" t="str">
        <f t="shared" si="7"/>
        <v>8.1 To mobilize adequate, sustainable, and predictable funds for the health sector to optimally delivery essential health services</v>
      </c>
      <c r="T13" s="140" t="str">
        <f t="shared" si="8"/>
        <v>8.1.1</v>
      </c>
      <c r="U13" s="140" t="str">
        <f t="shared" si="9"/>
        <v>8.1.1 Improve efficiency across all health system functions at all levels of the healthcare delivery system</v>
      </c>
      <c r="V13" s="140" t="str">
        <f t="shared" si="10"/>
        <v>Lobby for the enforcement of direct sourcing of medicines e.g. buying as a regional bloc</v>
      </c>
      <c r="W13" t="str">
        <f t="shared" si="11"/>
        <v/>
      </c>
      <c r="X13" t="str">
        <f t="shared" si="12"/>
        <v>X</v>
      </c>
      <c r="Y13" t="str">
        <f t="shared" si="13"/>
        <v>X</v>
      </c>
      <c r="Z13" t="str">
        <f t="shared" si="14"/>
        <v/>
      </c>
      <c r="AA13" t="str">
        <f t="shared" si="15"/>
        <v/>
      </c>
      <c r="AB13" t="str">
        <f t="shared" si="16"/>
        <v/>
      </c>
      <c r="AC13" t="str">
        <f t="shared" si="17"/>
        <v/>
      </c>
      <c r="AD13" t="str">
        <f t="shared" si="18"/>
        <v/>
      </c>
      <c r="AE13" s="28">
        <f t="shared" si="19"/>
        <v>0</v>
      </c>
      <c r="AF13" s="28">
        <f t="shared" si="20"/>
        <v>10571485.714285711</v>
      </c>
      <c r="AG13" s="28">
        <f t="shared" si="21"/>
        <v>41033601.42857141</v>
      </c>
      <c r="AH13" s="28">
        <f t="shared" si="22"/>
        <v>0</v>
      </c>
      <c r="AI13" s="28">
        <f t="shared" si="23"/>
        <v>0</v>
      </c>
      <c r="AJ13" s="28">
        <f t="shared" si="24"/>
        <v>0</v>
      </c>
      <c r="AK13" s="28">
        <f t="shared" si="25"/>
        <v>0</v>
      </c>
      <c r="AL13" s="28">
        <f t="shared" si="26"/>
        <v>0</v>
      </c>
    </row>
    <row r="14" spans="1:40" ht="13.05" customHeight="1" x14ac:dyDescent="0.3">
      <c r="A14">
        <v>1</v>
      </c>
      <c r="B14" s="213" t="s">
        <v>836</v>
      </c>
      <c r="C14" t="s">
        <v>1498</v>
      </c>
      <c r="D14" t="s">
        <v>837</v>
      </c>
      <c r="E14" t="s">
        <v>1520</v>
      </c>
      <c r="F14" s="41" t="s">
        <v>1641</v>
      </c>
      <c r="G14" s="28">
        <v>0</v>
      </c>
      <c r="H14" s="28">
        <v>10430244.050655996</v>
      </c>
      <c r="I14" s="28">
        <v>4571940.2188868914</v>
      </c>
      <c r="J14" s="28">
        <v>0</v>
      </c>
      <c r="K14" s="28">
        <v>0</v>
      </c>
      <c r="L14" s="28">
        <v>0</v>
      </c>
      <c r="M14" s="28">
        <v>0</v>
      </c>
      <c r="N14" s="28">
        <v>0</v>
      </c>
      <c r="O14" s="146">
        <f t="shared" si="4"/>
        <v>15002184.269542888</v>
      </c>
      <c r="P14" s="146">
        <f t="shared" si="5"/>
        <v>14565.227446158144</v>
      </c>
      <c r="R14" s="140" t="str">
        <f t="shared" si="6"/>
        <v>8.1</v>
      </c>
      <c r="S14" s="140" t="str">
        <f t="shared" si="7"/>
        <v>8.1 To mobilize adequate, sustainable, and predictable funds for the health sector to optimally delivery essential health services</v>
      </c>
      <c r="T14" s="140" t="str">
        <f t="shared" si="8"/>
        <v>8.1.1</v>
      </c>
      <c r="U14" s="140" t="str">
        <f t="shared" si="9"/>
        <v>8.1.1 Improve efficiency across all health system functions at all levels of the healthcare delivery system</v>
      </c>
      <c r="V14" s="140" t="str">
        <f t="shared" si="10"/>
        <v>Lobby for termination of buy malawi stratergy for medicine and medical equipment not manufactured in malawi</v>
      </c>
      <c r="W14" t="str">
        <f t="shared" si="11"/>
        <v/>
      </c>
      <c r="X14" t="str">
        <f t="shared" si="12"/>
        <v>X</v>
      </c>
      <c r="Y14" t="str">
        <f t="shared" si="13"/>
        <v>X</v>
      </c>
      <c r="Z14" t="str">
        <f t="shared" si="14"/>
        <v/>
      </c>
      <c r="AA14" t="str">
        <f t="shared" si="15"/>
        <v/>
      </c>
      <c r="AB14" t="str">
        <f t="shared" si="16"/>
        <v/>
      </c>
      <c r="AC14" t="str">
        <f t="shared" si="17"/>
        <v/>
      </c>
      <c r="AD14" t="str">
        <f t="shared" si="18"/>
        <v/>
      </c>
      <c r="AE14" s="28">
        <f t="shared" si="19"/>
        <v>0</v>
      </c>
      <c r="AF14" s="28">
        <f t="shared" si="20"/>
        <v>9125952.8571428545</v>
      </c>
      <c r="AG14" s="28">
        <f t="shared" si="21"/>
        <v>3499999.9999999991</v>
      </c>
      <c r="AH14" s="28">
        <f t="shared" si="22"/>
        <v>0</v>
      </c>
      <c r="AI14" s="28">
        <f t="shared" si="23"/>
        <v>0</v>
      </c>
      <c r="AJ14" s="28">
        <f t="shared" si="24"/>
        <v>0</v>
      </c>
      <c r="AK14" s="28">
        <f t="shared" si="25"/>
        <v>0</v>
      </c>
      <c r="AL14" s="28">
        <f t="shared" si="26"/>
        <v>0</v>
      </c>
    </row>
    <row r="15" spans="1:40" ht="13.05" customHeight="1" x14ac:dyDescent="0.3">
      <c r="A15">
        <v>1</v>
      </c>
      <c r="B15" s="213" t="s">
        <v>836</v>
      </c>
      <c r="C15" t="s">
        <v>1498</v>
      </c>
      <c r="D15" t="s">
        <v>837</v>
      </c>
      <c r="E15" t="s">
        <v>1509</v>
      </c>
      <c r="F15" s="41" t="s">
        <v>1684</v>
      </c>
      <c r="G15" s="28">
        <v>0</v>
      </c>
      <c r="H15" s="28">
        <v>55223142.352119066</v>
      </c>
      <c r="I15" s="28">
        <v>0</v>
      </c>
      <c r="J15" s="28">
        <v>0</v>
      </c>
      <c r="K15" s="28">
        <v>0</v>
      </c>
      <c r="L15" s="28">
        <v>94229332.142554164</v>
      </c>
      <c r="M15" s="28">
        <v>0</v>
      </c>
      <c r="N15" s="28">
        <v>0</v>
      </c>
      <c r="O15" s="146">
        <f t="shared" si="4"/>
        <v>149452474.49467322</v>
      </c>
      <c r="P15" s="146">
        <f t="shared" si="5"/>
        <v>145099.48980065362</v>
      </c>
      <c r="R15" s="140" t="str">
        <f t="shared" si="6"/>
        <v>8.1</v>
      </c>
      <c r="S15" s="140" t="str">
        <f t="shared" si="7"/>
        <v>8.1 To mobilize adequate, sustainable, and predictable funds for the health sector to optimally delivery essential health services</v>
      </c>
      <c r="T15" s="140" t="str">
        <f t="shared" si="8"/>
        <v>8.1.1</v>
      </c>
      <c r="U15" s="140" t="str">
        <f t="shared" si="9"/>
        <v>8.1.1 Improve efficiency across all health system functions at all levels of the healthcare delivery system</v>
      </c>
      <c r="V15" s="140" t="str">
        <f t="shared" si="10"/>
        <v>Introduce flexibility in the medicines budget at district level to purchase medicines from prime vendors when there is a stock out at CMST</v>
      </c>
      <c r="W15" t="str">
        <f t="shared" si="11"/>
        <v/>
      </c>
      <c r="X15" t="str">
        <f t="shared" si="12"/>
        <v>X</v>
      </c>
      <c r="Y15" t="str">
        <f t="shared" si="13"/>
        <v/>
      </c>
      <c r="Z15" t="str">
        <f t="shared" si="14"/>
        <v/>
      </c>
      <c r="AA15" t="str">
        <f t="shared" si="15"/>
        <v/>
      </c>
      <c r="AB15" t="str">
        <f t="shared" si="16"/>
        <v>X</v>
      </c>
      <c r="AC15" t="str">
        <f t="shared" si="17"/>
        <v/>
      </c>
      <c r="AD15" t="str">
        <f t="shared" si="18"/>
        <v/>
      </c>
      <c r="AE15" s="28">
        <f t="shared" si="19"/>
        <v>0</v>
      </c>
      <c r="AF15" s="28">
        <f t="shared" si="20"/>
        <v>48317545.714285702</v>
      </c>
      <c r="AG15" s="28">
        <f t="shared" si="21"/>
        <v>0</v>
      </c>
      <c r="AH15" s="28">
        <f t="shared" si="22"/>
        <v>0</v>
      </c>
      <c r="AI15" s="28">
        <f t="shared" si="23"/>
        <v>0</v>
      </c>
      <c r="AJ15" s="28">
        <f t="shared" si="24"/>
        <v>48317545.714285679</v>
      </c>
      <c r="AK15" s="28">
        <f t="shared" si="25"/>
        <v>0</v>
      </c>
      <c r="AL15" s="28">
        <f t="shared" si="26"/>
        <v>0</v>
      </c>
    </row>
    <row r="16" spans="1:40" ht="13.05" customHeight="1" x14ac:dyDescent="0.3">
      <c r="A16">
        <v>1</v>
      </c>
      <c r="B16" s="213" t="s">
        <v>836</v>
      </c>
      <c r="C16" t="s">
        <v>1498</v>
      </c>
      <c r="D16" t="s">
        <v>837</v>
      </c>
      <c r="E16" t="s">
        <v>1510</v>
      </c>
      <c r="F16" s="41" t="s">
        <v>1685</v>
      </c>
      <c r="G16" s="28">
        <v>0</v>
      </c>
      <c r="H16" s="28">
        <v>18274879.745618623</v>
      </c>
      <c r="I16" s="28">
        <v>118017084.09193331</v>
      </c>
      <c r="J16" s="28">
        <v>74232131.868839815</v>
      </c>
      <c r="K16" s="28">
        <v>0</v>
      </c>
      <c r="L16" s="28">
        <v>96967105.492818296</v>
      </c>
      <c r="M16" s="28">
        <v>0</v>
      </c>
      <c r="N16" s="28">
        <v>126665088.43190402</v>
      </c>
      <c r="O16" s="146">
        <f t="shared" si="4"/>
        <v>434156289.63111407</v>
      </c>
      <c r="P16" s="146">
        <f t="shared" si="5"/>
        <v>421510.96080690686</v>
      </c>
      <c r="R16" s="140" t="str">
        <f t="shared" si="6"/>
        <v>8.1</v>
      </c>
      <c r="S16" s="140" t="str">
        <f t="shared" si="7"/>
        <v>8.1 To mobilize adequate, sustainable, and predictable funds for the health sector to optimally delivery essential health services</v>
      </c>
      <c r="T16" s="140" t="str">
        <f t="shared" si="8"/>
        <v>8.1.1</v>
      </c>
      <c r="U16" s="140" t="str">
        <f t="shared" si="9"/>
        <v>8.1.1 Improve efficiency across all health system functions at all levels of the healthcare delivery system</v>
      </c>
      <c r="V16" s="140" t="str">
        <f t="shared" si="10"/>
        <v>Introduce e-procurement mechanism at the CMST</v>
      </c>
      <c r="W16" t="str">
        <f t="shared" si="11"/>
        <v/>
      </c>
      <c r="X16" t="str">
        <f t="shared" si="12"/>
        <v>X</v>
      </c>
      <c r="Y16" t="str">
        <f t="shared" si="13"/>
        <v>X</v>
      </c>
      <c r="Z16" t="str">
        <f t="shared" si="14"/>
        <v>X</v>
      </c>
      <c r="AA16" t="str">
        <f t="shared" si="15"/>
        <v/>
      </c>
      <c r="AB16" t="str">
        <f t="shared" si="16"/>
        <v>X</v>
      </c>
      <c r="AC16" t="str">
        <f t="shared" si="17"/>
        <v/>
      </c>
      <c r="AD16" t="str">
        <f t="shared" si="18"/>
        <v>X</v>
      </c>
      <c r="AE16" s="28">
        <f t="shared" si="19"/>
        <v>0</v>
      </c>
      <c r="AF16" s="28">
        <f t="shared" si="20"/>
        <v>15989624.999999996</v>
      </c>
      <c r="AG16" s="28">
        <f t="shared" si="21"/>
        <v>90346718.142857119</v>
      </c>
      <c r="AH16" s="28">
        <f t="shared" si="22"/>
        <v>49721381.292857118</v>
      </c>
      <c r="AI16" s="28">
        <f t="shared" si="23"/>
        <v>0</v>
      </c>
      <c r="AJ16" s="28">
        <f t="shared" si="24"/>
        <v>49721381.292857096</v>
      </c>
      <c r="AK16" s="28">
        <f t="shared" si="25"/>
        <v>0</v>
      </c>
      <c r="AL16" s="28">
        <f t="shared" si="26"/>
        <v>49721381.292857096</v>
      </c>
    </row>
    <row r="17" spans="1:38" ht="13.05" customHeight="1" x14ac:dyDescent="0.3">
      <c r="A17">
        <v>1</v>
      </c>
      <c r="B17" s="213" t="s">
        <v>836</v>
      </c>
      <c r="C17" t="s">
        <v>1498</v>
      </c>
      <c r="D17" t="s">
        <v>837</v>
      </c>
      <c r="E17" t="s">
        <v>1511</v>
      </c>
      <c r="F17" s="41" t="s">
        <v>1686</v>
      </c>
      <c r="G17" s="28">
        <v>0</v>
      </c>
      <c r="H17" s="28">
        <v>7338240434.3042583</v>
      </c>
      <c r="I17" s="28">
        <v>119849113.17093675</v>
      </c>
      <c r="J17" s="28">
        <v>0</v>
      </c>
      <c r="K17" s="28">
        <v>0</v>
      </c>
      <c r="L17" s="28">
        <v>178930169.3142333</v>
      </c>
      <c r="M17" s="28">
        <v>0</v>
      </c>
      <c r="N17" s="28">
        <v>0</v>
      </c>
      <c r="O17" s="146">
        <f t="shared" si="4"/>
        <v>7637019716.7894287</v>
      </c>
      <c r="P17" s="146">
        <f t="shared" si="5"/>
        <v>7414582.2493101247</v>
      </c>
      <c r="R17" s="140" t="str">
        <f t="shared" si="6"/>
        <v>8.1</v>
      </c>
      <c r="S17" s="140" t="str">
        <f t="shared" si="7"/>
        <v>8.1 To mobilize adequate, sustainable, and predictable funds for the health sector to optimally delivery essential health services</v>
      </c>
      <c r="T17" s="140" t="str">
        <f t="shared" si="8"/>
        <v>8.1.1</v>
      </c>
      <c r="U17" s="140" t="str">
        <f t="shared" si="9"/>
        <v>8.1.1 Improve efficiency across all health system functions at all levels of the healthcare delivery system</v>
      </c>
      <c r="V17" s="140" t="str">
        <f t="shared" si="10"/>
        <v>Implement CMST reforms based on CMST efficiency analysis</v>
      </c>
      <c r="W17" t="str">
        <f t="shared" si="11"/>
        <v/>
      </c>
      <c r="X17" t="str">
        <f t="shared" si="12"/>
        <v>X</v>
      </c>
      <c r="Y17" t="str">
        <f t="shared" si="13"/>
        <v>X</v>
      </c>
      <c r="Z17" t="str">
        <f t="shared" si="14"/>
        <v/>
      </c>
      <c r="AA17" t="str">
        <f t="shared" si="15"/>
        <v/>
      </c>
      <c r="AB17" t="str">
        <f t="shared" si="16"/>
        <v>X</v>
      </c>
      <c r="AC17" t="str">
        <f t="shared" si="17"/>
        <v/>
      </c>
      <c r="AD17" t="str">
        <f t="shared" si="18"/>
        <v/>
      </c>
      <c r="AE17" s="28">
        <f t="shared" si="19"/>
        <v>0</v>
      </c>
      <c r="AF17" s="28">
        <f t="shared" si="20"/>
        <v>6420601083.9821405</v>
      </c>
      <c r="AG17" s="28">
        <f t="shared" si="21"/>
        <v>91749208.43571426</v>
      </c>
      <c r="AH17" s="28">
        <f t="shared" si="22"/>
        <v>0</v>
      </c>
      <c r="AI17" s="28">
        <f t="shared" si="23"/>
        <v>0</v>
      </c>
      <c r="AJ17" s="28">
        <f t="shared" si="24"/>
        <v>91749208.435714185</v>
      </c>
      <c r="AK17" s="28">
        <f t="shared" si="25"/>
        <v>0</v>
      </c>
      <c r="AL17" s="28">
        <f t="shared" si="26"/>
        <v>0</v>
      </c>
    </row>
    <row r="18" spans="1:38" ht="13.05" customHeight="1" x14ac:dyDescent="0.3">
      <c r="A18">
        <v>1</v>
      </c>
      <c r="B18" s="213" t="s">
        <v>836</v>
      </c>
      <c r="C18" t="s">
        <v>1498</v>
      </c>
      <c r="D18" t="s">
        <v>837</v>
      </c>
      <c r="E18" t="s">
        <v>1512</v>
      </c>
      <c r="F18" s="41" t="s">
        <v>1687</v>
      </c>
      <c r="G18" s="28">
        <v>7328507.1428571427</v>
      </c>
      <c r="H18" s="28">
        <v>8375905.4230866199</v>
      </c>
      <c r="I18" s="28">
        <v>9572999.0145224091</v>
      </c>
      <c r="J18" s="28">
        <v>10941182.535257872</v>
      </c>
      <c r="K18" s="28">
        <v>12504908.345674165</v>
      </c>
      <c r="L18" s="28">
        <v>14292123.564322369</v>
      </c>
      <c r="M18" s="28">
        <v>16334769.542594872</v>
      </c>
      <c r="N18" s="28">
        <v>18669352.724864721</v>
      </c>
      <c r="O18" s="146">
        <f t="shared" si="4"/>
        <v>98019748.293180168</v>
      </c>
      <c r="P18" s="146">
        <f t="shared" si="5"/>
        <v>95164.804168136092</v>
      </c>
      <c r="R18" s="140" t="str">
        <f t="shared" si="6"/>
        <v>8.1</v>
      </c>
      <c r="S18" s="140" t="str">
        <f t="shared" si="7"/>
        <v>8.1 To mobilize adequate, sustainable, and predictable funds for the health sector to optimally delivery essential health services</v>
      </c>
      <c r="T18" s="140" t="str">
        <f t="shared" si="8"/>
        <v>8.1.1</v>
      </c>
      <c r="U18" s="140" t="str">
        <f t="shared" si="9"/>
        <v>8.1.1 Improve efficiency across all health system functions at all levels of the healthcare delivery system</v>
      </c>
      <c r="V18" s="140" t="str">
        <f t="shared" si="10"/>
        <v>Enforce adherence to the Capital Investment Plan (CIP)</v>
      </c>
      <c r="W18" t="str">
        <f t="shared" si="11"/>
        <v>X</v>
      </c>
      <c r="X18" t="str">
        <f t="shared" si="12"/>
        <v>X</v>
      </c>
      <c r="Y18" t="str">
        <f t="shared" si="13"/>
        <v>X</v>
      </c>
      <c r="Z18" t="str">
        <f t="shared" si="14"/>
        <v>X</v>
      </c>
      <c r="AA18" t="str">
        <f t="shared" si="15"/>
        <v>X</v>
      </c>
      <c r="AB18" t="str">
        <f t="shared" si="16"/>
        <v>X</v>
      </c>
      <c r="AC18" t="str">
        <f t="shared" si="17"/>
        <v>X</v>
      </c>
      <c r="AD18" t="str">
        <f t="shared" si="18"/>
        <v>X</v>
      </c>
      <c r="AE18" s="28">
        <f t="shared" si="19"/>
        <v>7328507.1428571427</v>
      </c>
      <c r="AF18" s="28">
        <f t="shared" si="20"/>
        <v>7328507.1428571409</v>
      </c>
      <c r="AG18" s="28">
        <f t="shared" si="21"/>
        <v>7328507.1428571399</v>
      </c>
      <c r="AH18" s="28">
        <f t="shared" si="22"/>
        <v>7328507.1428571409</v>
      </c>
      <c r="AI18" s="28">
        <f t="shared" si="23"/>
        <v>7328507.1428571381</v>
      </c>
      <c r="AJ18" s="28">
        <f t="shared" si="24"/>
        <v>7328507.1428571362</v>
      </c>
      <c r="AK18" s="28">
        <f t="shared" si="25"/>
        <v>7328507.1428571353</v>
      </c>
      <c r="AL18" s="28">
        <f t="shared" si="26"/>
        <v>7328507.1428571362</v>
      </c>
    </row>
    <row r="19" spans="1:38" ht="13.05" customHeight="1" x14ac:dyDescent="0.3">
      <c r="A19">
        <v>1</v>
      </c>
      <c r="B19" s="213" t="s">
        <v>836</v>
      </c>
      <c r="C19" t="s">
        <v>1498</v>
      </c>
      <c r="D19" t="s">
        <v>837</v>
      </c>
      <c r="E19" t="s">
        <v>1671</v>
      </c>
      <c r="F19" s="41" t="s">
        <v>1646</v>
      </c>
      <c r="G19" s="28">
        <v>0</v>
      </c>
      <c r="H19" s="28">
        <v>0</v>
      </c>
      <c r="I19" s="28">
        <v>61490838.07966698</v>
      </c>
      <c r="J19" s="28">
        <v>0</v>
      </c>
      <c r="K19" s="28">
        <v>0</v>
      </c>
      <c r="L19" s="28">
        <v>0</v>
      </c>
      <c r="M19" s="28">
        <v>0</v>
      </c>
      <c r="N19" s="28">
        <v>0</v>
      </c>
      <c r="O19" s="146">
        <f t="shared" si="4"/>
        <v>61490838.07966698</v>
      </c>
      <c r="P19" s="146">
        <f t="shared" si="5"/>
        <v>59699.842795793185</v>
      </c>
      <c r="R19" s="140" t="str">
        <f t="shared" si="6"/>
        <v>8.1</v>
      </c>
      <c r="S19" s="140" t="str">
        <f t="shared" si="7"/>
        <v>8.1 To mobilize adequate, sustainable, and predictable funds for the health sector to optimally delivery essential health services</v>
      </c>
      <c r="T19" s="140" t="str">
        <f t="shared" si="8"/>
        <v>8.1.1</v>
      </c>
      <c r="U19" s="140" t="str">
        <f t="shared" si="9"/>
        <v>8.1.1 Improve efficiency across all health system functions at all levels of the healthcare delivery system</v>
      </c>
      <c r="V19" s="140" t="str">
        <f t="shared" si="10"/>
        <v>Establish a medicines manufacturing plant for medicines that are high I demand and  use. These include antiretrivial, anti malarial and reproductive health products. The plant could either be in country or regional.</v>
      </c>
      <c r="W19" t="str">
        <f t="shared" si="11"/>
        <v/>
      </c>
      <c r="X19" t="str">
        <f t="shared" si="12"/>
        <v/>
      </c>
      <c r="Y19" t="str">
        <f t="shared" si="13"/>
        <v>X</v>
      </c>
      <c r="Z19" t="str">
        <f t="shared" si="14"/>
        <v/>
      </c>
      <c r="AA19" t="str">
        <f t="shared" si="15"/>
        <v/>
      </c>
      <c r="AB19" t="str">
        <f t="shared" si="16"/>
        <v/>
      </c>
      <c r="AC19" t="str">
        <f t="shared" si="17"/>
        <v/>
      </c>
      <c r="AD19" t="str">
        <f t="shared" si="18"/>
        <v/>
      </c>
      <c r="AE19" s="28">
        <f t="shared" si="19"/>
        <v>0</v>
      </c>
      <c r="AF19" s="28">
        <f t="shared" si="20"/>
        <v>0</v>
      </c>
      <c r="AG19" s="28">
        <f t="shared" si="21"/>
        <v>47073654.285714269</v>
      </c>
      <c r="AH19" s="28">
        <f t="shared" si="22"/>
        <v>0</v>
      </c>
      <c r="AI19" s="28">
        <f t="shared" si="23"/>
        <v>0</v>
      </c>
      <c r="AJ19" s="28">
        <f t="shared" si="24"/>
        <v>0</v>
      </c>
      <c r="AK19" s="28">
        <f t="shared" si="25"/>
        <v>0</v>
      </c>
      <c r="AL19" s="28">
        <f t="shared" si="26"/>
        <v>0</v>
      </c>
    </row>
    <row r="20" spans="1:38" ht="13.05" customHeight="1" x14ac:dyDescent="0.3">
      <c r="A20">
        <v>1</v>
      </c>
      <c r="B20" s="213" t="s">
        <v>836</v>
      </c>
      <c r="C20" t="s">
        <v>1499</v>
      </c>
      <c r="D20" t="s">
        <v>992</v>
      </c>
      <c r="E20" t="s">
        <v>1521</v>
      </c>
      <c r="F20" s="41" t="s">
        <v>993</v>
      </c>
      <c r="G20" s="28">
        <v>104850</v>
      </c>
      <c r="H20" s="28">
        <v>1013312554.5769939</v>
      </c>
      <c r="I20" s="28">
        <v>0</v>
      </c>
      <c r="J20" s="28">
        <v>0</v>
      </c>
      <c r="K20" s="28">
        <v>1512837117.952641</v>
      </c>
      <c r="L20" s="28">
        <v>0</v>
      </c>
      <c r="M20" s="28">
        <v>0</v>
      </c>
      <c r="N20" s="28">
        <v>2258608299.2040482</v>
      </c>
      <c r="O20" s="146">
        <f t="shared" si="4"/>
        <v>4784862821.7336826</v>
      </c>
      <c r="P20" s="146">
        <f t="shared" si="5"/>
        <v>4645497.8851783322</v>
      </c>
      <c r="R20" s="140" t="str">
        <f t="shared" si="6"/>
        <v>8.1</v>
      </c>
      <c r="S20" s="140" t="str">
        <f t="shared" si="7"/>
        <v>8.1 To mobilize adequate, sustainable, and predictable funds for the health sector to optimally delivery essential health services</v>
      </c>
      <c r="T20" s="140" t="str">
        <f t="shared" si="8"/>
        <v>8.1.2</v>
      </c>
      <c r="U20" s="140" t="str">
        <f t="shared" si="9"/>
        <v>8.1.2 Enhance participation of communities in financing of public health services</v>
      </c>
      <c r="V20" s="140" t="str">
        <f t="shared" si="10"/>
        <v>Develop grant making and governance capabilities for decentralized and community health oversight structures and mechanisms</v>
      </c>
      <c r="W20" t="str">
        <f t="shared" si="11"/>
        <v>X</v>
      </c>
      <c r="X20" t="str">
        <f t="shared" si="12"/>
        <v>X</v>
      </c>
      <c r="Y20" t="str">
        <f t="shared" si="13"/>
        <v/>
      </c>
      <c r="Z20" t="str">
        <f t="shared" si="14"/>
        <v/>
      </c>
      <c r="AA20" t="str">
        <f t="shared" si="15"/>
        <v>X</v>
      </c>
      <c r="AB20" t="str">
        <f t="shared" si="16"/>
        <v/>
      </c>
      <c r="AC20" t="str">
        <f t="shared" si="17"/>
        <v/>
      </c>
      <c r="AD20" t="str">
        <f t="shared" si="18"/>
        <v>X</v>
      </c>
      <c r="AE20" s="28">
        <f t="shared" si="19"/>
        <v>104850</v>
      </c>
      <c r="AF20" s="28">
        <f t="shared" si="20"/>
        <v>886598871.29285693</v>
      </c>
      <c r="AG20" s="28">
        <f t="shared" si="21"/>
        <v>0</v>
      </c>
      <c r="AH20" s="28">
        <f t="shared" si="22"/>
        <v>0</v>
      </c>
      <c r="AI20" s="28">
        <f t="shared" si="23"/>
        <v>886598871.29285657</v>
      </c>
      <c r="AJ20" s="28">
        <f t="shared" si="24"/>
        <v>0</v>
      </c>
      <c r="AK20" s="28">
        <f t="shared" si="25"/>
        <v>0</v>
      </c>
      <c r="AL20" s="28">
        <f t="shared" si="26"/>
        <v>886598871.29285634</v>
      </c>
    </row>
    <row r="21" spans="1:38" ht="13.05" customHeight="1" x14ac:dyDescent="0.3">
      <c r="A21">
        <v>1</v>
      </c>
      <c r="B21" s="213" t="s">
        <v>836</v>
      </c>
      <c r="C21" t="s">
        <v>1499</v>
      </c>
      <c r="D21" t="s">
        <v>992</v>
      </c>
      <c r="E21" t="s">
        <v>1522</v>
      </c>
      <c r="F21" s="41" t="s">
        <v>999</v>
      </c>
      <c r="G21" s="28">
        <v>903070042.72142851</v>
      </c>
      <c r="H21" s="28">
        <v>2125463776.4806945</v>
      </c>
      <c r="I21" s="28">
        <v>3087875581.6410146</v>
      </c>
      <c r="J21" s="28">
        <v>1348249239.1603417</v>
      </c>
      <c r="K21" s="28">
        <v>0</v>
      </c>
      <c r="L21" s="28">
        <v>1762396801.5756512</v>
      </c>
      <c r="M21" s="28">
        <v>2012884853.7800212</v>
      </c>
      <c r="N21" s="28">
        <v>0</v>
      </c>
      <c r="O21" s="146">
        <f t="shared" si="4"/>
        <v>11239940295.359152</v>
      </c>
      <c r="P21" s="146">
        <f t="shared" si="5"/>
        <v>10912563.393552575</v>
      </c>
      <c r="R21" s="140" t="str">
        <f t="shared" si="6"/>
        <v>8.1</v>
      </c>
      <c r="S21" s="140" t="str">
        <f t="shared" si="7"/>
        <v>8.1 To mobilize adequate, sustainable, and predictable funds for the health sector to optimally delivery essential health services</v>
      </c>
      <c r="T21" s="140" t="str">
        <f t="shared" si="8"/>
        <v>8.1.2</v>
      </c>
      <c r="U21" s="140" t="str">
        <f t="shared" si="9"/>
        <v>8.1.2 Enhance participation of communities in financing of public health services</v>
      </c>
      <c r="V21" s="140" t="str">
        <f t="shared" si="10"/>
        <v>Facilitate community level revenue mobilization mechanisms  </v>
      </c>
      <c r="W21" t="str">
        <f t="shared" si="11"/>
        <v>X</v>
      </c>
      <c r="X21" t="str">
        <f t="shared" si="12"/>
        <v>X</v>
      </c>
      <c r="Y21" t="str">
        <f t="shared" si="13"/>
        <v>X</v>
      </c>
      <c r="Z21" t="str">
        <f t="shared" si="14"/>
        <v>X</v>
      </c>
      <c r="AA21" t="str">
        <f t="shared" si="15"/>
        <v/>
      </c>
      <c r="AB21" t="str">
        <f t="shared" si="16"/>
        <v>X</v>
      </c>
      <c r="AC21" t="str">
        <f t="shared" si="17"/>
        <v>X</v>
      </c>
      <c r="AD21" t="str">
        <f t="shared" si="18"/>
        <v/>
      </c>
      <c r="AE21" s="28">
        <f t="shared" si="19"/>
        <v>903070042.72142851</v>
      </c>
      <c r="AF21" s="28">
        <f t="shared" si="20"/>
        <v>1859676737.1428566</v>
      </c>
      <c r="AG21" s="28">
        <f t="shared" si="21"/>
        <v>2363890168.7946424</v>
      </c>
      <c r="AH21" s="28">
        <f t="shared" si="22"/>
        <v>903070042.72142816</v>
      </c>
      <c r="AI21" s="28">
        <f t="shared" si="23"/>
        <v>0</v>
      </c>
      <c r="AJ21" s="28">
        <f t="shared" si="24"/>
        <v>903696185.5785706</v>
      </c>
      <c r="AK21" s="28">
        <f t="shared" si="25"/>
        <v>903070042.72142756</v>
      </c>
      <c r="AL21" s="28">
        <f t="shared" si="26"/>
        <v>0</v>
      </c>
    </row>
    <row r="22" spans="1:38" ht="13.05" customHeight="1" x14ac:dyDescent="0.3">
      <c r="A22">
        <v>1</v>
      </c>
      <c r="B22" s="213" t="s">
        <v>836</v>
      </c>
      <c r="C22" t="s">
        <v>1499</v>
      </c>
      <c r="D22" t="s">
        <v>992</v>
      </c>
      <c r="E22" t="s">
        <v>1523</v>
      </c>
      <c r="F22" s="41" t="s">
        <v>1011</v>
      </c>
      <c r="G22" s="28">
        <v>350035192.44999993</v>
      </c>
      <c r="H22" s="28">
        <v>148012355.60372788</v>
      </c>
      <c r="I22" s="28">
        <v>155092434.98958188</v>
      </c>
      <c r="J22" s="28">
        <v>10451173704.439014</v>
      </c>
      <c r="K22" s="28">
        <v>10124293793.256254</v>
      </c>
      <c r="L22" s="28">
        <v>230688473.43088475</v>
      </c>
      <c r="M22" s="28">
        <v>264640075.64520648</v>
      </c>
      <c r="N22" s="28">
        <v>0</v>
      </c>
      <c r="O22" s="146">
        <f t="shared" si="4"/>
        <v>21723936029.814671</v>
      </c>
      <c r="P22" s="146">
        <f t="shared" si="5"/>
        <v>21091200.02894628</v>
      </c>
      <c r="R22" s="140" t="str">
        <f t="shared" si="6"/>
        <v>8.1</v>
      </c>
      <c r="S22" s="140" t="str">
        <f t="shared" si="7"/>
        <v>8.1 To mobilize adequate, sustainable, and predictable funds for the health sector to optimally delivery essential health services</v>
      </c>
      <c r="T22" s="140" t="str">
        <f t="shared" si="8"/>
        <v>8.1.2</v>
      </c>
      <c r="U22" s="140" t="str">
        <f t="shared" si="9"/>
        <v>8.1.2 Enhance participation of communities in financing of public health services</v>
      </c>
      <c r="V22" s="140" t="str">
        <f t="shared" si="10"/>
        <v>Mobilize citizen engagement into innovative financing mechanisms e.g. citizen involvement in Malaria Fund  as contributors and efficiency watchdogs</v>
      </c>
      <c r="W22" t="str">
        <f t="shared" si="11"/>
        <v>X</v>
      </c>
      <c r="X22" t="str">
        <f t="shared" si="12"/>
        <v>X</v>
      </c>
      <c r="Y22" t="str">
        <f t="shared" si="13"/>
        <v>X</v>
      </c>
      <c r="Z22" t="str">
        <f t="shared" si="14"/>
        <v>X</v>
      </c>
      <c r="AA22" t="str">
        <f t="shared" si="15"/>
        <v>X</v>
      </c>
      <c r="AB22" t="str">
        <f t="shared" si="16"/>
        <v>X</v>
      </c>
      <c r="AC22" t="str">
        <f t="shared" si="17"/>
        <v>X</v>
      </c>
      <c r="AD22" t="str">
        <f t="shared" si="18"/>
        <v/>
      </c>
      <c r="AE22" s="28">
        <f t="shared" si="19"/>
        <v>350035192.44999993</v>
      </c>
      <c r="AF22" s="28">
        <f t="shared" si="20"/>
        <v>129503564.14999999</v>
      </c>
      <c r="AG22" s="28">
        <f t="shared" si="21"/>
        <v>118729357.00714283</v>
      </c>
      <c r="AH22" s="28">
        <f t="shared" si="22"/>
        <v>7000294611.4285679</v>
      </c>
      <c r="AI22" s="28">
        <f t="shared" si="23"/>
        <v>5933346917.0071392</v>
      </c>
      <c r="AJ22" s="28">
        <f t="shared" si="24"/>
        <v>118289078.43571417</v>
      </c>
      <c r="AK22" s="28">
        <f t="shared" si="25"/>
        <v>118729357.00714274</v>
      </c>
      <c r="AL22" s="28">
        <f t="shared" si="26"/>
        <v>0</v>
      </c>
    </row>
    <row r="23" spans="1:38" ht="13.05" customHeight="1" x14ac:dyDescent="0.3">
      <c r="A23">
        <v>1</v>
      </c>
      <c r="B23" s="213" t="s">
        <v>836</v>
      </c>
      <c r="C23" t="s">
        <v>1499</v>
      </c>
      <c r="D23" t="s">
        <v>992</v>
      </c>
      <c r="E23" t="s">
        <v>1524</v>
      </c>
      <c r="F23" s="42" t="s">
        <v>1046</v>
      </c>
      <c r="G23" s="28">
        <v>100883642.72142856</v>
      </c>
      <c r="H23" s="28">
        <v>1189067860.702219</v>
      </c>
      <c r="I23" s="28">
        <v>0</v>
      </c>
      <c r="J23" s="28">
        <v>150615442.99819827</v>
      </c>
      <c r="K23" s="28">
        <v>0</v>
      </c>
      <c r="L23" s="28">
        <v>0</v>
      </c>
      <c r="M23" s="28">
        <v>0</v>
      </c>
      <c r="N23" s="28">
        <v>257000815.23032987</v>
      </c>
      <c r="O23" s="146">
        <f t="shared" si="4"/>
        <v>1697567761.6521759</v>
      </c>
      <c r="P23" s="146">
        <f t="shared" si="5"/>
        <v>1648124.0404390057</v>
      </c>
      <c r="R23" s="140" t="str">
        <f t="shared" si="6"/>
        <v>8.1</v>
      </c>
      <c r="S23" s="140" t="str">
        <f t="shared" si="7"/>
        <v>8.1 To mobilize adequate, sustainable, and predictable funds for the health sector to optimally delivery essential health services</v>
      </c>
      <c r="T23" s="140" t="str">
        <f t="shared" si="8"/>
        <v>8.1.2</v>
      </c>
      <c r="U23" s="140" t="str">
        <f t="shared" si="9"/>
        <v>8.1.2 Enhance participation of communities in financing of public health services</v>
      </c>
      <c r="V23" s="140" t="str">
        <f t="shared" si="10"/>
        <v>Establish community prepayment mechanisms</v>
      </c>
      <c r="W23" t="str">
        <f t="shared" si="11"/>
        <v>X</v>
      </c>
      <c r="X23" t="str">
        <f t="shared" si="12"/>
        <v>X</v>
      </c>
      <c r="Y23" t="str">
        <f t="shared" si="13"/>
        <v/>
      </c>
      <c r="Z23" t="str">
        <f t="shared" si="14"/>
        <v>X</v>
      </c>
      <c r="AA23" t="str">
        <f t="shared" si="15"/>
        <v/>
      </c>
      <c r="AB23" t="str">
        <f t="shared" si="16"/>
        <v/>
      </c>
      <c r="AC23" t="str">
        <f t="shared" si="17"/>
        <v/>
      </c>
      <c r="AD23" t="str">
        <f t="shared" si="18"/>
        <v>X</v>
      </c>
      <c r="AE23" s="28">
        <f t="shared" si="19"/>
        <v>100883642.72142856</v>
      </c>
      <c r="AF23" s="28">
        <f t="shared" si="20"/>
        <v>1040376158.7946424</v>
      </c>
      <c r="AG23" s="28">
        <f t="shared" si="21"/>
        <v>0</v>
      </c>
      <c r="AH23" s="28">
        <f t="shared" si="22"/>
        <v>100883642.72142851</v>
      </c>
      <c r="AI23" s="28">
        <f t="shared" si="23"/>
        <v>0</v>
      </c>
      <c r="AJ23" s="28">
        <f t="shared" si="24"/>
        <v>0</v>
      </c>
      <c r="AK23" s="28">
        <f t="shared" si="25"/>
        <v>0</v>
      </c>
      <c r="AL23" s="28">
        <f t="shared" si="26"/>
        <v>100883642.72142845</v>
      </c>
    </row>
    <row r="24" spans="1:38" ht="13.05" customHeight="1" x14ac:dyDescent="0.3">
      <c r="A24">
        <v>1</v>
      </c>
      <c r="B24" s="213" t="s">
        <v>836</v>
      </c>
      <c r="C24" t="s">
        <v>1500</v>
      </c>
      <c r="D24" t="s">
        <v>1051</v>
      </c>
      <c r="E24" t="s">
        <v>1525</v>
      </c>
      <c r="F24" s="41" t="s">
        <v>1688</v>
      </c>
      <c r="G24" s="28">
        <v>0</v>
      </c>
      <c r="H24" s="28">
        <v>111854993.5799792</v>
      </c>
      <c r="I24" s="28">
        <v>0</v>
      </c>
      <c r="J24" s="28">
        <v>0</v>
      </c>
      <c r="K24" s="28">
        <v>166995252.70047295</v>
      </c>
      <c r="L24" s="28">
        <v>0</v>
      </c>
      <c r="M24" s="28">
        <v>0</v>
      </c>
      <c r="N24" s="28">
        <v>249317563.14084092</v>
      </c>
      <c r="O24" s="146">
        <f t="shared" si="4"/>
        <v>528167809.42129302</v>
      </c>
      <c r="P24" s="146">
        <f t="shared" si="5"/>
        <v>512784.28099154664</v>
      </c>
      <c r="R24" s="140" t="str">
        <f t="shared" si="6"/>
        <v>8.1</v>
      </c>
      <c r="S24" s="140" t="str">
        <f t="shared" si="7"/>
        <v>8.1 To mobilize adequate, sustainable, and predictable funds for the health sector to optimally delivery essential health services</v>
      </c>
      <c r="T24" s="140" t="str">
        <f t="shared" si="8"/>
        <v>8.1.3</v>
      </c>
      <c r="U24" s="140" t="str">
        <f t="shared" si="9"/>
        <v>8.1.3 Improve and scale up optional paying services in public facilities</v>
      </c>
      <c r="V24" s="140" t="str">
        <f t="shared" si="10"/>
        <v>Improve infrastructure, human resources, medical equipment and medical supplies capacity for optional paying services</v>
      </c>
      <c r="W24" t="str">
        <f t="shared" si="11"/>
        <v/>
      </c>
      <c r="X24" t="str">
        <f t="shared" si="12"/>
        <v>X</v>
      </c>
      <c r="Y24" t="str">
        <f t="shared" si="13"/>
        <v/>
      </c>
      <c r="Z24" t="str">
        <f t="shared" si="14"/>
        <v/>
      </c>
      <c r="AA24" t="str">
        <f t="shared" si="15"/>
        <v>X</v>
      </c>
      <c r="AB24" t="str">
        <f t="shared" si="16"/>
        <v/>
      </c>
      <c r="AC24" t="str">
        <f t="shared" si="17"/>
        <v/>
      </c>
      <c r="AD24" t="str">
        <f t="shared" si="18"/>
        <v>X</v>
      </c>
      <c r="AE24" s="28">
        <f t="shared" si="19"/>
        <v>0</v>
      </c>
      <c r="AF24" s="28">
        <f t="shared" si="20"/>
        <v>97867642.721428558</v>
      </c>
      <c r="AG24" s="28">
        <f t="shared" si="21"/>
        <v>0</v>
      </c>
      <c r="AH24" s="28">
        <f t="shared" si="22"/>
        <v>0</v>
      </c>
      <c r="AI24" s="28">
        <f t="shared" si="23"/>
        <v>97867642.721428514</v>
      </c>
      <c r="AJ24" s="28">
        <f t="shared" si="24"/>
        <v>0</v>
      </c>
      <c r="AK24" s="28">
        <f t="shared" si="25"/>
        <v>0</v>
      </c>
      <c r="AL24" s="28">
        <f t="shared" si="26"/>
        <v>97867642.721428469</v>
      </c>
    </row>
    <row r="25" spans="1:38" ht="13.05" customHeight="1" x14ac:dyDescent="0.3">
      <c r="A25">
        <v>1</v>
      </c>
      <c r="B25" s="213" t="s">
        <v>836</v>
      </c>
      <c r="C25" t="s">
        <v>1500</v>
      </c>
      <c r="D25" t="s">
        <v>1051</v>
      </c>
      <c r="E25" t="s">
        <v>1526</v>
      </c>
      <c r="F25" s="41" t="s">
        <v>1689</v>
      </c>
      <c r="G25" s="28">
        <v>0</v>
      </c>
      <c r="H25" s="28">
        <v>208066858.76020783</v>
      </c>
      <c r="I25" s="28">
        <v>0</v>
      </c>
      <c r="J25" s="28">
        <v>0</v>
      </c>
      <c r="K25" s="28">
        <v>145634536.7798703</v>
      </c>
      <c r="L25" s="28">
        <v>188583549.8587912</v>
      </c>
      <c r="M25" s="28">
        <v>0</v>
      </c>
      <c r="N25" s="28">
        <v>217426826.4034287</v>
      </c>
      <c r="O25" s="146">
        <f t="shared" si="4"/>
        <v>759711771.80229807</v>
      </c>
      <c r="P25" s="146">
        <f t="shared" si="5"/>
        <v>737584.24446825054</v>
      </c>
      <c r="R25" s="140" t="str">
        <f t="shared" si="6"/>
        <v>8.1</v>
      </c>
      <c r="S25" s="140" t="str">
        <f t="shared" si="7"/>
        <v>8.1 To mobilize adequate, sustainable, and predictable funds for the health sector to optimally delivery essential health services</v>
      </c>
      <c r="T25" s="140" t="str">
        <f t="shared" si="8"/>
        <v>8.1.3</v>
      </c>
      <c r="U25" s="140" t="str">
        <f t="shared" si="9"/>
        <v>8.1.3 Improve and scale up optional paying services in public facilities</v>
      </c>
      <c r="V25" s="140" t="str">
        <f t="shared" si="10"/>
        <v>Improve the financial management and accountability of the optional paying service</v>
      </c>
      <c r="W25" t="str">
        <f t="shared" si="11"/>
        <v/>
      </c>
      <c r="X25" t="str">
        <f t="shared" si="12"/>
        <v>X</v>
      </c>
      <c r="Y25" t="str">
        <f t="shared" si="13"/>
        <v/>
      </c>
      <c r="Z25" t="str">
        <f t="shared" si="14"/>
        <v/>
      </c>
      <c r="AA25" t="str">
        <f t="shared" si="15"/>
        <v>X</v>
      </c>
      <c r="AB25" t="str">
        <f t="shared" si="16"/>
        <v>X</v>
      </c>
      <c r="AC25" t="str">
        <f t="shared" si="17"/>
        <v/>
      </c>
      <c r="AD25" t="str">
        <f t="shared" si="18"/>
        <v>X</v>
      </c>
      <c r="AE25" s="28">
        <f t="shared" si="19"/>
        <v>0</v>
      </c>
      <c r="AF25" s="28">
        <f t="shared" si="20"/>
        <v>182048314.01428562</v>
      </c>
      <c r="AG25" s="28">
        <f t="shared" si="21"/>
        <v>0</v>
      </c>
      <c r="AH25" s="28">
        <f t="shared" si="22"/>
        <v>0</v>
      </c>
      <c r="AI25" s="28">
        <f t="shared" si="23"/>
        <v>85349185.578571364</v>
      </c>
      <c r="AJ25" s="28">
        <f t="shared" si="24"/>
        <v>96699128.4357142</v>
      </c>
      <c r="AK25" s="28">
        <f t="shared" si="25"/>
        <v>0</v>
      </c>
      <c r="AL25" s="28">
        <f t="shared" si="26"/>
        <v>85349185.578571349</v>
      </c>
    </row>
    <row r="26" spans="1:38" ht="13.05" customHeight="1" x14ac:dyDescent="0.3">
      <c r="A26">
        <v>1</v>
      </c>
      <c r="B26" s="213" t="s">
        <v>836</v>
      </c>
      <c r="C26" t="s">
        <v>1500</v>
      </c>
      <c r="D26" t="s">
        <v>1051</v>
      </c>
      <c r="E26" t="s">
        <v>1527</v>
      </c>
      <c r="F26" s="41" t="s">
        <v>1690</v>
      </c>
      <c r="G26" s="28">
        <v>12657828.571428571</v>
      </c>
      <c r="H26" s="28">
        <v>14466899.316495083</v>
      </c>
      <c r="I26" s="28">
        <v>16534524.436997112</v>
      </c>
      <c r="J26" s="28">
        <v>18897656.807906047</v>
      </c>
      <c r="K26" s="28">
        <v>21598530.649621494</v>
      </c>
      <c r="L26" s="28">
        <v>24685416.343653515</v>
      </c>
      <c r="M26" s="28">
        <v>28213483.127390206</v>
      </c>
      <c r="N26" s="28">
        <v>32245785.0861478</v>
      </c>
      <c r="O26" s="146">
        <f t="shared" si="4"/>
        <v>169300124.33963984</v>
      </c>
      <c r="P26" s="146">
        <f t="shared" si="5"/>
        <v>164369.05275693189</v>
      </c>
      <c r="R26" s="140" t="str">
        <f t="shared" si="6"/>
        <v>8.1</v>
      </c>
      <c r="S26" s="140" t="str">
        <f t="shared" si="7"/>
        <v>8.1 To mobilize adequate, sustainable, and predictable funds for the health sector to optimally delivery essential health services</v>
      </c>
      <c r="T26" s="140" t="str">
        <f t="shared" si="8"/>
        <v>8.1.3</v>
      </c>
      <c r="U26" s="140" t="str">
        <f t="shared" si="9"/>
        <v>8.1.3 Improve and scale up optional paying services in public facilities</v>
      </c>
      <c r="V26" s="140" t="str">
        <f t="shared" si="10"/>
        <v>Improve stakeholder engagement on optional paying services. The stakeholders include civil society organizations, communities, the Ministry of Finance and donors</v>
      </c>
      <c r="W26" t="str">
        <f t="shared" si="11"/>
        <v>X</v>
      </c>
      <c r="X26" t="str">
        <f t="shared" si="12"/>
        <v>X</v>
      </c>
      <c r="Y26" t="str">
        <f t="shared" si="13"/>
        <v>X</v>
      </c>
      <c r="Z26" t="str">
        <f t="shared" si="14"/>
        <v>X</v>
      </c>
      <c r="AA26" t="str">
        <f t="shared" si="15"/>
        <v>X</v>
      </c>
      <c r="AB26" t="str">
        <f t="shared" si="16"/>
        <v>X</v>
      </c>
      <c r="AC26" t="str">
        <f t="shared" si="17"/>
        <v>X</v>
      </c>
      <c r="AD26" t="str">
        <f t="shared" si="18"/>
        <v>X</v>
      </c>
      <c r="AE26" s="28">
        <f t="shared" si="19"/>
        <v>12657828.571428571</v>
      </c>
      <c r="AF26" s="28">
        <f t="shared" si="20"/>
        <v>12657828.571428567</v>
      </c>
      <c r="AG26" s="28">
        <f t="shared" si="21"/>
        <v>12657828.571428567</v>
      </c>
      <c r="AH26" s="28">
        <f t="shared" si="22"/>
        <v>12657828.571428567</v>
      </c>
      <c r="AI26" s="28">
        <f t="shared" si="23"/>
        <v>12657828.571428563</v>
      </c>
      <c r="AJ26" s="28">
        <f t="shared" si="24"/>
        <v>12657828.57142856</v>
      </c>
      <c r="AK26" s="28">
        <f t="shared" si="25"/>
        <v>12657828.57142856</v>
      </c>
      <c r="AL26" s="28">
        <f t="shared" si="26"/>
        <v>12657828.571428558</v>
      </c>
    </row>
    <row r="27" spans="1:38" ht="13.05" customHeight="1" x14ac:dyDescent="0.3">
      <c r="A27">
        <v>1</v>
      </c>
      <c r="B27" s="213" t="s">
        <v>836</v>
      </c>
      <c r="C27" t="s">
        <v>1500</v>
      </c>
      <c r="D27" t="s">
        <v>1051</v>
      </c>
      <c r="E27" t="s">
        <v>1528</v>
      </c>
      <c r="F27" s="41" t="s">
        <v>1691</v>
      </c>
      <c r="G27" s="28">
        <v>101107242.72142856</v>
      </c>
      <c r="H27" s="28">
        <v>82819850.655684352</v>
      </c>
      <c r="I27" s="28">
        <v>94656554.564770892</v>
      </c>
      <c r="J27" s="28">
        <v>108184973.18140832</v>
      </c>
      <c r="K27" s="28">
        <v>123646888.22741075</v>
      </c>
      <c r="L27" s="28">
        <v>197180295.80294824</v>
      </c>
      <c r="M27" s="28">
        <v>161516051.77917469</v>
      </c>
      <c r="N27" s="28">
        <v>184600103.0825631</v>
      </c>
      <c r="O27" s="146">
        <f t="shared" si="4"/>
        <v>1053711960.0153887</v>
      </c>
      <c r="P27" s="146">
        <f t="shared" si="5"/>
        <v>1023021.32040329</v>
      </c>
      <c r="R27" s="140" t="str">
        <f t="shared" si="6"/>
        <v>8.1</v>
      </c>
      <c r="S27" s="140" t="str">
        <f t="shared" si="7"/>
        <v>8.1 To mobilize adequate, sustainable, and predictable funds for the health sector to optimally delivery essential health services</v>
      </c>
      <c r="T27" s="140" t="str">
        <f t="shared" si="8"/>
        <v>8.1.3</v>
      </c>
      <c r="U27" s="140" t="str">
        <f t="shared" si="9"/>
        <v>8.1.3 Improve and scale up optional paying services in public facilities</v>
      </c>
      <c r="V27" s="140" t="str">
        <f t="shared" si="10"/>
        <v>Revise guidelines for optional paying services in public health facilities</v>
      </c>
      <c r="W27" t="str">
        <f t="shared" si="11"/>
        <v>X</v>
      </c>
      <c r="X27" t="str">
        <f t="shared" si="12"/>
        <v>X</v>
      </c>
      <c r="Y27" t="str">
        <f t="shared" si="13"/>
        <v>X</v>
      </c>
      <c r="Z27" t="str">
        <f t="shared" si="14"/>
        <v>X</v>
      </c>
      <c r="AA27" t="str">
        <f t="shared" si="15"/>
        <v>X</v>
      </c>
      <c r="AB27" t="str">
        <f t="shared" si="16"/>
        <v>X</v>
      </c>
      <c r="AC27" t="str">
        <f t="shared" si="17"/>
        <v>X</v>
      </c>
      <c r="AD27" t="str">
        <f t="shared" si="18"/>
        <v>X</v>
      </c>
      <c r="AE27" s="28">
        <f t="shared" si="19"/>
        <v>101107242.72142856</v>
      </c>
      <c r="AF27" s="28">
        <f t="shared" si="20"/>
        <v>72463314.285714284</v>
      </c>
      <c r="AG27" s="28">
        <f t="shared" si="21"/>
        <v>72463314.285714254</v>
      </c>
      <c r="AH27" s="28">
        <f t="shared" si="22"/>
        <v>72463314.285714254</v>
      </c>
      <c r="AI27" s="28">
        <f t="shared" si="23"/>
        <v>72463314.285714239</v>
      </c>
      <c r="AJ27" s="28">
        <f t="shared" si="24"/>
        <v>101107242.72142847</v>
      </c>
      <c r="AK27" s="28">
        <f t="shared" si="25"/>
        <v>72463314.285714224</v>
      </c>
      <c r="AL27" s="28">
        <f t="shared" si="26"/>
        <v>72463314.285714209</v>
      </c>
    </row>
    <row r="28" spans="1:38" ht="13.05" customHeight="1" x14ac:dyDescent="0.3">
      <c r="A28">
        <v>1</v>
      </c>
      <c r="B28" s="213" t="s">
        <v>836</v>
      </c>
      <c r="C28" t="s">
        <v>1500</v>
      </c>
      <c r="D28" t="s">
        <v>1051</v>
      </c>
      <c r="E28" t="s">
        <v>1673</v>
      </c>
      <c r="F28" s="41" t="s">
        <v>1660</v>
      </c>
      <c r="G28" s="28">
        <v>26367969.600000001</v>
      </c>
      <c r="H28" s="28">
        <v>0</v>
      </c>
      <c r="I28" s="28">
        <v>0</v>
      </c>
      <c r="J28" s="28">
        <v>0</v>
      </c>
      <c r="K28" s="28">
        <v>0</v>
      </c>
      <c r="L28" s="28">
        <v>0</v>
      </c>
      <c r="M28" s="28">
        <v>0</v>
      </c>
      <c r="N28" s="28">
        <v>0</v>
      </c>
      <c r="O28" s="146">
        <f t="shared" si="4"/>
        <v>26367969.600000001</v>
      </c>
      <c r="P28" s="146">
        <f t="shared" si="5"/>
        <v>25599.970485436894</v>
      </c>
      <c r="R28" s="140" t="str">
        <f t="shared" si="6"/>
        <v>8.1</v>
      </c>
      <c r="S28" s="140" t="str">
        <f t="shared" si="7"/>
        <v>8.1 To mobilize adequate, sustainable, and predictable funds for the health sector to optimally delivery essential health services</v>
      </c>
      <c r="T28" s="140" t="str">
        <f t="shared" si="8"/>
        <v>8.1.3</v>
      </c>
      <c r="U28" s="140" t="str">
        <f t="shared" si="9"/>
        <v>8.1.3 Improve and scale up optional paying services in public facilities</v>
      </c>
      <c r="V28" s="140" t="str">
        <f t="shared" si="10"/>
        <v>Improve monitoring of optional paying services</v>
      </c>
      <c r="W28" t="str">
        <f t="shared" si="11"/>
        <v>X</v>
      </c>
      <c r="X28" t="str">
        <f t="shared" si="12"/>
        <v/>
      </c>
      <c r="Y28" t="str">
        <f t="shared" si="13"/>
        <v/>
      </c>
      <c r="Z28" t="str">
        <f t="shared" si="14"/>
        <v/>
      </c>
      <c r="AA28" t="str">
        <f t="shared" si="15"/>
        <v/>
      </c>
      <c r="AB28" t="str">
        <f t="shared" si="16"/>
        <v/>
      </c>
      <c r="AC28" t="str">
        <f t="shared" si="17"/>
        <v/>
      </c>
      <c r="AD28" t="str">
        <f t="shared" si="18"/>
        <v/>
      </c>
      <c r="AE28" s="28">
        <f t="shared" si="19"/>
        <v>26367969.600000001</v>
      </c>
      <c r="AF28" s="28">
        <f t="shared" si="20"/>
        <v>0</v>
      </c>
      <c r="AG28" s="28">
        <f t="shared" si="21"/>
        <v>0</v>
      </c>
      <c r="AH28" s="28">
        <f t="shared" si="22"/>
        <v>0</v>
      </c>
      <c r="AI28" s="28">
        <f t="shared" si="23"/>
        <v>0</v>
      </c>
      <c r="AJ28" s="28">
        <f t="shared" si="24"/>
        <v>0</v>
      </c>
      <c r="AK28" s="28">
        <f t="shared" si="25"/>
        <v>0</v>
      </c>
      <c r="AL28" s="28">
        <f t="shared" si="26"/>
        <v>0</v>
      </c>
    </row>
    <row r="29" spans="1:38" ht="13.05" customHeight="1" x14ac:dyDescent="0.3">
      <c r="A29">
        <v>1</v>
      </c>
      <c r="B29" s="213" t="s">
        <v>836</v>
      </c>
      <c r="C29" t="s">
        <v>1500</v>
      </c>
      <c r="D29" t="s">
        <v>1051</v>
      </c>
      <c r="E29" t="s">
        <v>1674</v>
      </c>
      <c r="F29" s="41" t="s">
        <v>1720</v>
      </c>
      <c r="G29" s="28">
        <v>36157532.149999999</v>
      </c>
      <c r="H29" s="28">
        <v>0</v>
      </c>
      <c r="I29" s="28">
        <v>0</v>
      </c>
      <c r="J29" s="28">
        <v>0</v>
      </c>
      <c r="K29" s="28">
        <v>0</v>
      </c>
      <c r="L29" s="28">
        <v>0</v>
      </c>
      <c r="M29" s="28">
        <v>0</v>
      </c>
      <c r="N29" s="28">
        <v>0</v>
      </c>
      <c r="O29" s="146">
        <f t="shared" si="4"/>
        <v>36157532.149999999</v>
      </c>
      <c r="P29" s="146">
        <f t="shared" si="5"/>
        <v>35104.400145631065</v>
      </c>
      <c r="R29" s="140" t="str">
        <f t="shared" si="6"/>
        <v>8.1</v>
      </c>
      <c r="S29" s="140" t="str">
        <f t="shared" si="7"/>
        <v>8.1 To mobilize adequate, sustainable, and predictable funds for the health sector to optimally delivery essential health services</v>
      </c>
      <c r="T29" s="140" t="str">
        <f t="shared" si="8"/>
        <v>8.1.3</v>
      </c>
      <c r="U29" s="140" t="str">
        <f t="shared" si="9"/>
        <v>8.1.3 Improve and scale up optional paying services in public facilities</v>
      </c>
      <c r="V29" s="140" t="str">
        <f t="shared" si="10"/>
        <v>conduct economic evaluation of optional paying services</v>
      </c>
      <c r="W29" t="str">
        <f t="shared" si="11"/>
        <v>X</v>
      </c>
      <c r="X29" t="str">
        <f t="shared" si="12"/>
        <v/>
      </c>
      <c r="Y29" t="str">
        <f t="shared" si="13"/>
        <v/>
      </c>
      <c r="Z29" t="str">
        <f t="shared" si="14"/>
        <v/>
      </c>
      <c r="AA29" t="str">
        <f t="shared" si="15"/>
        <v/>
      </c>
      <c r="AB29" t="str">
        <f t="shared" si="16"/>
        <v/>
      </c>
      <c r="AC29" t="str">
        <f t="shared" si="17"/>
        <v/>
      </c>
      <c r="AD29" t="str">
        <f t="shared" si="18"/>
        <v/>
      </c>
      <c r="AE29" s="28">
        <f t="shared" si="19"/>
        <v>36157532.149999999</v>
      </c>
      <c r="AF29" s="28">
        <f t="shared" si="20"/>
        <v>0</v>
      </c>
      <c r="AG29" s="28">
        <f t="shared" si="21"/>
        <v>0</v>
      </c>
      <c r="AH29" s="28">
        <f t="shared" si="22"/>
        <v>0</v>
      </c>
      <c r="AI29" s="28">
        <f t="shared" si="23"/>
        <v>0</v>
      </c>
      <c r="AJ29" s="28">
        <f t="shared" si="24"/>
        <v>0</v>
      </c>
      <c r="AK29" s="28">
        <f t="shared" si="25"/>
        <v>0</v>
      </c>
      <c r="AL29" s="28">
        <f t="shared" si="26"/>
        <v>0</v>
      </c>
    </row>
    <row r="30" spans="1:38" ht="13.05" customHeight="1" x14ac:dyDescent="0.3">
      <c r="A30">
        <v>1</v>
      </c>
      <c r="B30" s="213" t="s">
        <v>836</v>
      </c>
      <c r="C30" t="s">
        <v>1501</v>
      </c>
      <c r="D30" t="s">
        <v>1722</v>
      </c>
      <c r="E30" t="s">
        <v>1529</v>
      </c>
      <c r="F30" s="41" t="s">
        <v>1723</v>
      </c>
      <c r="G30" s="28">
        <v>0</v>
      </c>
      <c r="H30" s="28">
        <v>0</v>
      </c>
      <c r="I30" s="28">
        <v>25788206.083946116</v>
      </c>
      <c r="J30" s="28">
        <v>7838050.3955829386</v>
      </c>
      <c r="K30" s="28">
        <v>8958273.1564609352</v>
      </c>
      <c r="L30" s="28">
        <v>48739410.601807639</v>
      </c>
      <c r="M30" s="28">
        <v>11701911.238799591</v>
      </c>
      <c r="N30" s="28">
        <v>63666763.307213277</v>
      </c>
      <c r="O30" s="146">
        <f t="shared" si="4"/>
        <v>166692614.7838105</v>
      </c>
      <c r="P30" s="146">
        <f t="shared" si="5"/>
        <v>161837.49008136941</v>
      </c>
      <c r="R30" s="140" t="str">
        <f t="shared" si="6"/>
        <v>8.1</v>
      </c>
      <c r="S30" s="140" t="str">
        <f t="shared" si="7"/>
        <v>8.1 To mobilize adequate, sustainable, and predictable funds for the health sector to optimally delivery essential health services</v>
      </c>
      <c r="T30" s="140" t="str">
        <f t="shared" si="8"/>
        <v>8.1.4</v>
      </c>
      <c r="U30" s="140" t="str">
        <f t="shared" si="9"/>
        <v>8.1.4 Increase external funding to the health sector2</v>
      </c>
      <c r="V30" s="140" t="str">
        <f t="shared" si="10"/>
        <v>Devise and implement sustainability mechanisms for donor funded interventions. The emphasis will be on introducing co-financing models between Government and donor2</v>
      </c>
      <c r="W30" t="str">
        <f t="shared" si="11"/>
        <v/>
      </c>
      <c r="X30" t="str">
        <f t="shared" si="12"/>
        <v/>
      </c>
      <c r="Y30" t="str">
        <f t="shared" si="13"/>
        <v>X</v>
      </c>
      <c r="Z30" t="str">
        <f t="shared" si="14"/>
        <v>X</v>
      </c>
      <c r="AA30" t="str">
        <f t="shared" si="15"/>
        <v>X</v>
      </c>
      <c r="AB30" t="str">
        <f t="shared" si="16"/>
        <v>X</v>
      </c>
      <c r="AC30" t="str">
        <f t="shared" si="17"/>
        <v>X</v>
      </c>
      <c r="AD30" t="str">
        <f t="shared" si="18"/>
        <v>X</v>
      </c>
      <c r="AE30" s="28">
        <f t="shared" si="19"/>
        <v>0</v>
      </c>
      <c r="AF30" s="28">
        <f t="shared" si="20"/>
        <v>0</v>
      </c>
      <c r="AG30" s="28">
        <f t="shared" si="21"/>
        <v>19741885.714285705</v>
      </c>
      <c r="AH30" s="28">
        <f t="shared" si="22"/>
        <v>5249999.9999999981</v>
      </c>
      <c r="AI30" s="28">
        <f t="shared" si="23"/>
        <v>5249999.9999999963</v>
      </c>
      <c r="AJ30" s="28">
        <f t="shared" si="24"/>
        <v>24991885.71428569</v>
      </c>
      <c r="AK30" s="28">
        <f t="shared" si="25"/>
        <v>5249999.9999999944</v>
      </c>
      <c r="AL30" s="28">
        <f t="shared" si="26"/>
        <v>24991885.714285683</v>
      </c>
    </row>
    <row r="31" spans="1:38" ht="13.05" customHeight="1" x14ac:dyDescent="0.3">
      <c r="A31">
        <v>1</v>
      </c>
      <c r="B31" s="213" t="s">
        <v>836</v>
      </c>
      <c r="C31" t="s">
        <v>1501</v>
      </c>
      <c r="D31" t="s">
        <v>1722</v>
      </c>
      <c r="E31" t="s">
        <v>1530</v>
      </c>
      <c r="F31" s="41" t="s">
        <v>1095</v>
      </c>
      <c r="G31" s="28">
        <v>0</v>
      </c>
      <c r="H31" s="28">
        <v>0</v>
      </c>
      <c r="I31" s="28">
        <v>0</v>
      </c>
      <c r="J31" s="28">
        <v>22608093.889047712</v>
      </c>
      <c r="K31" s="28">
        <v>0</v>
      </c>
      <c r="L31" s="28">
        <v>0</v>
      </c>
      <c r="M31" s="28">
        <v>33753024.619128883</v>
      </c>
      <c r="N31" s="28">
        <v>0</v>
      </c>
      <c r="O31" s="146">
        <f t="shared" si="4"/>
        <v>56361118.508176595</v>
      </c>
      <c r="P31" s="146">
        <f t="shared" si="5"/>
        <v>54719.532532210287</v>
      </c>
      <c r="R31" s="140" t="str">
        <f t="shared" si="6"/>
        <v>8.1</v>
      </c>
      <c r="S31" s="140" t="str">
        <f t="shared" si="7"/>
        <v>8.1 To mobilize adequate, sustainable, and predictable funds for the health sector to optimally delivery essential health services</v>
      </c>
      <c r="T31" s="140" t="str">
        <f t="shared" si="8"/>
        <v>8.1.4</v>
      </c>
      <c r="U31" s="140" t="str">
        <f t="shared" si="9"/>
        <v>8.1.4 Increase external funding to the health sector2</v>
      </c>
      <c r="V31" s="140" t="str">
        <f t="shared" si="10"/>
        <v>Introduce incentives to individuals and institutions to encourage external resource mobilization</v>
      </c>
      <c r="W31" t="str">
        <f t="shared" si="11"/>
        <v/>
      </c>
      <c r="X31" t="str">
        <f t="shared" si="12"/>
        <v/>
      </c>
      <c r="Y31" t="str">
        <f t="shared" si="13"/>
        <v/>
      </c>
      <c r="Z31" t="str">
        <f t="shared" si="14"/>
        <v>X</v>
      </c>
      <c r="AA31" t="str">
        <f t="shared" si="15"/>
        <v/>
      </c>
      <c r="AB31" t="str">
        <f t="shared" si="16"/>
        <v/>
      </c>
      <c r="AC31" t="str">
        <f t="shared" si="17"/>
        <v>X</v>
      </c>
      <c r="AD31" t="str">
        <f t="shared" si="18"/>
        <v/>
      </c>
      <c r="AE31" s="28">
        <f t="shared" si="19"/>
        <v>0</v>
      </c>
      <c r="AF31" s="28">
        <f t="shared" si="20"/>
        <v>0</v>
      </c>
      <c r="AG31" s="28">
        <f t="shared" si="21"/>
        <v>0</v>
      </c>
      <c r="AH31" s="28">
        <f t="shared" si="22"/>
        <v>15143114.285714278</v>
      </c>
      <c r="AI31" s="28">
        <f t="shared" si="23"/>
        <v>0</v>
      </c>
      <c r="AJ31" s="28">
        <f t="shared" si="24"/>
        <v>0</v>
      </c>
      <c r="AK31" s="28">
        <f t="shared" si="25"/>
        <v>15143114.285714269</v>
      </c>
      <c r="AL31" s="28">
        <f t="shared" si="26"/>
        <v>0</v>
      </c>
    </row>
    <row r="32" spans="1:38" ht="13.05" customHeight="1" x14ac:dyDescent="0.3">
      <c r="A32">
        <v>1</v>
      </c>
      <c r="B32" s="213" t="s">
        <v>836</v>
      </c>
      <c r="C32" t="s">
        <v>1501</v>
      </c>
      <c r="D32" t="s">
        <v>1722</v>
      </c>
      <c r="E32" t="s">
        <v>1531</v>
      </c>
      <c r="F32" s="41" t="s">
        <v>1100</v>
      </c>
      <c r="G32" s="28">
        <v>0</v>
      </c>
      <c r="H32" s="28">
        <v>109181625.7359996</v>
      </c>
      <c r="I32" s="28">
        <v>3356488.8013674724</v>
      </c>
      <c r="J32" s="28">
        <v>0</v>
      </c>
      <c r="K32" s="28">
        <v>163004016.15056005</v>
      </c>
      <c r="L32" s="28">
        <v>5011110.1671100985</v>
      </c>
      <c r="M32" s="28">
        <v>0</v>
      </c>
      <c r="N32" s="28">
        <v>243358798.71819142</v>
      </c>
      <c r="O32" s="146">
        <f t="shared" si="4"/>
        <v>523912039.5732286</v>
      </c>
      <c r="P32" s="146">
        <f t="shared" si="5"/>
        <v>508652.46560507629</v>
      </c>
      <c r="R32" s="140" t="str">
        <f t="shared" si="6"/>
        <v>8.1</v>
      </c>
      <c r="S32" s="140" t="str">
        <f t="shared" si="7"/>
        <v>8.1 To mobilize adequate, sustainable, and predictable funds for the health sector to optimally delivery essential health services</v>
      </c>
      <c r="T32" s="140" t="str">
        <f t="shared" si="8"/>
        <v>8.1.4</v>
      </c>
      <c r="U32" s="140" t="str">
        <f t="shared" si="9"/>
        <v>8.1.4 Increase external funding to the health sector2</v>
      </c>
      <c r="V32" s="140" t="str">
        <f t="shared" si="10"/>
        <v>Develop capacity for pro-active external resource mobilization to meet domestic gaps</v>
      </c>
      <c r="W32" t="str">
        <f t="shared" si="11"/>
        <v/>
      </c>
      <c r="X32" t="str">
        <f t="shared" si="12"/>
        <v>X</v>
      </c>
      <c r="Y32" t="str">
        <f t="shared" si="13"/>
        <v>X</v>
      </c>
      <c r="Z32" t="str">
        <f t="shared" si="14"/>
        <v/>
      </c>
      <c r="AA32" t="str">
        <f t="shared" si="15"/>
        <v>X</v>
      </c>
      <c r="AB32" t="str">
        <f t="shared" si="16"/>
        <v>X</v>
      </c>
      <c r="AC32" t="str">
        <f t="shared" si="17"/>
        <v/>
      </c>
      <c r="AD32" t="str">
        <f t="shared" si="18"/>
        <v>X</v>
      </c>
      <c r="AE32" s="28">
        <f t="shared" si="19"/>
        <v>0</v>
      </c>
      <c r="AF32" s="28">
        <f t="shared" si="20"/>
        <v>95528576.751785681</v>
      </c>
      <c r="AG32" s="28">
        <f t="shared" si="21"/>
        <v>2569524.149999999</v>
      </c>
      <c r="AH32" s="28">
        <f t="shared" si="22"/>
        <v>0</v>
      </c>
      <c r="AI32" s="28">
        <f t="shared" si="23"/>
        <v>95528576.751785666</v>
      </c>
      <c r="AJ32" s="28">
        <f t="shared" si="24"/>
        <v>2569524.1499999976</v>
      </c>
      <c r="AK32" s="28">
        <f t="shared" si="25"/>
        <v>0</v>
      </c>
      <c r="AL32" s="28">
        <f t="shared" si="26"/>
        <v>95528576.751785636</v>
      </c>
    </row>
    <row r="33" spans="1:38" ht="13.05" customHeight="1" x14ac:dyDescent="0.3">
      <c r="A33">
        <v>1</v>
      </c>
      <c r="B33" s="213" t="s">
        <v>836</v>
      </c>
      <c r="C33" t="s">
        <v>1502</v>
      </c>
      <c r="D33" t="s">
        <v>1446</v>
      </c>
      <c r="E33" t="s">
        <v>1532</v>
      </c>
      <c r="F33" s="41" t="s">
        <v>1447</v>
      </c>
      <c r="G33" s="28">
        <v>0</v>
      </c>
      <c r="H33" s="28">
        <v>200747673.73305964</v>
      </c>
      <c r="I33" s="28">
        <v>119820578.84295604</v>
      </c>
      <c r="J33" s="28">
        <v>136945467.4143663</v>
      </c>
      <c r="K33" s="28">
        <v>156517863.84640527</v>
      </c>
      <c r="L33" s="28">
        <v>330997967.67249167</v>
      </c>
      <c r="M33" s="28">
        <v>204454376.19818366</v>
      </c>
      <c r="N33" s="28">
        <v>233675219.9308787</v>
      </c>
      <c r="O33" s="146">
        <f t="shared" si="4"/>
        <v>1383159147.6383412</v>
      </c>
      <c r="P33" s="146">
        <f t="shared" si="5"/>
        <v>1342872.958872176</v>
      </c>
      <c r="R33" s="140" t="str">
        <f t="shared" si="6"/>
        <v>8.1</v>
      </c>
      <c r="S33" s="140" t="str">
        <f t="shared" si="7"/>
        <v>8.1 To mobilize adequate, sustainable, and predictable funds for the health sector to optimally delivery essential health services</v>
      </c>
      <c r="T33" s="140" t="str">
        <f t="shared" si="8"/>
        <v>8.1.5</v>
      </c>
      <c r="U33" s="140" t="str">
        <f t="shared" si="9"/>
        <v>8.1.5 Improve financing of family planning using domestic resources</v>
      </c>
      <c r="V33" s="140" t="str">
        <f t="shared" si="10"/>
        <v xml:space="preserve">Increase domestic resources for procurement of family planning (FP) products and implementation of FP programs through introduction of mutually binding co-investments in FP products </v>
      </c>
      <c r="W33" t="str">
        <f t="shared" si="11"/>
        <v/>
      </c>
      <c r="X33" t="str">
        <f t="shared" si="12"/>
        <v>X</v>
      </c>
      <c r="Y33" t="str">
        <f t="shared" si="13"/>
        <v>X</v>
      </c>
      <c r="Z33" t="str">
        <f t="shared" si="14"/>
        <v>X</v>
      </c>
      <c r="AA33" t="str">
        <f t="shared" si="15"/>
        <v>X</v>
      </c>
      <c r="AB33" t="str">
        <f t="shared" si="16"/>
        <v>X</v>
      </c>
      <c r="AC33" t="str">
        <f t="shared" si="17"/>
        <v>X</v>
      </c>
      <c r="AD33" t="str">
        <f t="shared" si="18"/>
        <v>X</v>
      </c>
      <c r="AE33" s="28">
        <f t="shared" si="19"/>
        <v>0</v>
      </c>
      <c r="AF33" s="28">
        <f t="shared" si="20"/>
        <v>175644385.47857133</v>
      </c>
      <c r="AG33" s="28">
        <f t="shared" si="21"/>
        <v>91727364.285714239</v>
      </c>
      <c r="AH33" s="28">
        <f t="shared" si="22"/>
        <v>91727364.285714239</v>
      </c>
      <c r="AI33" s="28">
        <f t="shared" si="23"/>
        <v>91727364.285714209</v>
      </c>
      <c r="AJ33" s="28">
        <f t="shared" si="24"/>
        <v>169724321.19285703</v>
      </c>
      <c r="AK33" s="28">
        <f t="shared" si="25"/>
        <v>91727364.285714194</v>
      </c>
      <c r="AL33" s="28">
        <f t="shared" si="26"/>
        <v>91727364.285714164</v>
      </c>
    </row>
    <row r="34" spans="1:38" ht="13.05" customHeight="1" x14ac:dyDescent="0.3">
      <c r="A34">
        <v>1</v>
      </c>
      <c r="B34" s="213" t="s">
        <v>836</v>
      </c>
      <c r="C34" t="s">
        <v>1502</v>
      </c>
      <c r="D34" t="s">
        <v>1446</v>
      </c>
      <c r="E34" t="s">
        <v>1533</v>
      </c>
      <c r="F34" s="41" t="s">
        <v>1470</v>
      </c>
      <c r="G34" s="28">
        <v>0</v>
      </c>
      <c r="H34" s="28">
        <v>0</v>
      </c>
      <c r="I34" s="28">
        <v>183964797.47854644</v>
      </c>
      <c r="J34" s="28">
        <v>210257248.14356318</v>
      </c>
      <c r="K34" s="28">
        <v>240307444.70044237</v>
      </c>
      <c r="L34" s="28">
        <v>274652448.31429642</v>
      </c>
      <c r="M34" s="28">
        <v>313906077.52111143</v>
      </c>
      <c r="N34" s="28">
        <v>358769878.47539568</v>
      </c>
      <c r="O34" s="146">
        <f t="shared" si="4"/>
        <v>1581857894.6333556</v>
      </c>
      <c r="P34" s="146">
        <f t="shared" si="5"/>
        <v>1535784.3637217046</v>
      </c>
      <c r="R34" s="140" t="str">
        <f t="shared" si="6"/>
        <v>8.1</v>
      </c>
      <c r="S34" s="140" t="str">
        <f t="shared" si="7"/>
        <v>8.1 To mobilize adequate, sustainable, and predictable funds for the health sector to optimally delivery essential health services</v>
      </c>
      <c r="T34" s="140" t="str">
        <f t="shared" si="8"/>
        <v>8.1.5</v>
      </c>
      <c r="U34" s="140" t="str">
        <f t="shared" si="9"/>
        <v>8.1.5 Improve financing of family planning using domestic resources</v>
      </c>
      <c r="V34" s="140" t="str">
        <f t="shared" si="10"/>
        <v>Improve performance of budget execution of FP products and programs, including through actual allocation of agreed upon finances under the co-financing agreement</v>
      </c>
      <c r="W34" t="str">
        <f t="shared" si="11"/>
        <v/>
      </c>
      <c r="X34" t="str">
        <f t="shared" si="12"/>
        <v/>
      </c>
      <c r="Y34" t="str">
        <f t="shared" si="13"/>
        <v>X</v>
      </c>
      <c r="Z34" t="str">
        <f t="shared" si="14"/>
        <v>X</v>
      </c>
      <c r="AA34" t="str">
        <f t="shared" si="15"/>
        <v>X</v>
      </c>
      <c r="AB34" t="str">
        <f t="shared" si="16"/>
        <v>X</v>
      </c>
      <c r="AC34" t="str">
        <f t="shared" si="17"/>
        <v>X</v>
      </c>
      <c r="AD34" t="str">
        <f t="shared" si="18"/>
        <v>X</v>
      </c>
      <c r="AE34" s="28">
        <f t="shared" si="19"/>
        <v>0</v>
      </c>
      <c r="AF34" s="28">
        <f t="shared" si="20"/>
        <v>0</v>
      </c>
      <c r="AG34" s="28">
        <f t="shared" si="21"/>
        <v>140832285.71428564</v>
      </c>
      <c r="AH34" s="28">
        <f t="shared" si="22"/>
        <v>140832285.71428567</v>
      </c>
      <c r="AI34" s="28">
        <f t="shared" si="23"/>
        <v>140832285.71428561</v>
      </c>
      <c r="AJ34" s="28">
        <f t="shared" si="24"/>
        <v>140832285.71428558</v>
      </c>
      <c r="AK34" s="28">
        <f t="shared" si="25"/>
        <v>140832285.71428555</v>
      </c>
      <c r="AL34" s="28">
        <f t="shared" si="26"/>
        <v>140832285.71428555</v>
      </c>
    </row>
    <row r="35" spans="1:38" ht="13.05" customHeight="1" x14ac:dyDescent="0.3">
      <c r="A35">
        <v>1</v>
      </c>
      <c r="B35" s="213" t="s">
        <v>836</v>
      </c>
      <c r="C35" t="s">
        <v>1502</v>
      </c>
      <c r="D35" t="s">
        <v>1446</v>
      </c>
      <c r="E35" t="s">
        <v>1534</v>
      </c>
      <c r="F35" s="41" t="s">
        <v>1478</v>
      </c>
      <c r="G35" s="28">
        <v>0</v>
      </c>
      <c r="H35" s="28">
        <v>118046107.51659557</v>
      </c>
      <c r="I35" s="28">
        <v>134917386.6994473</v>
      </c>
      <c r="J35" s="28">
        <v>154199927.61090556</v>
      </c>
      <c r="K35" s="28">
        <v>176238350.42237675</v>
      </c>
      <c r="L35" s="28">
        <v>201426528.79821321</v>
      </c>
      <c r="M35" s="28">
        <v>230214629.25895602</v>
      </c>
      <c r="N35" s="28">
        <v>263117156.61809424</v>
      </c>
      <c r="O35" s="146">
        <f t="shared" si="4"/>
        <v>1278160086.9245887</v>
      </c>
      <c r="P35" s="146">
        <f t="shared" si="5"/>
        <v>1240932.123227756</v>
      </c>
      <c r="R35" s="140" t="str">
        <f t="shared" si="6"/>
        <v>8.1</v>
      </c>
      <c r="S35" s="140" t="str">
        <f t="shared" si="7"/>
        <v>8.1 To mobilize adequate, sustainable, and predictable funds for the health sector to optimally delivery essential health services</v>
      </c>
      <c r="T35" s="140" t="str">
        <f t="shared" si="8"/>
        <v>8.1.5</v>
      </c>
      <c r="U35" s="140" t="str">
        <f t="shared" si="9"/>
        <v>8.1.5 Improve financing of family planning using domestic resources</v>
      </c>
      <c r="V35" s="140" t="str">
        <f t="shared" si="10"/>
        <v>Increase research and training on the interface of health financing and population growth</v>
      </c>
      <c r="W35" t="str">
        <f t="shared" si="11"/>
        <v/>
      </c>
      <c r="X35" t="str">
        <f t="shared" si="12"/>
        <v>X</v>
      </c>
      <c r="Y35" t="str">
        <f t="shared" si="13"/>
        <v>X</v>
      </c>
      <c r="Z35" t="str">
        <f t="shared" si="14"/>
        <v>X</v>
      </c>
      <c r="AA35" t="str">
        <f t="shared" si="15"/>
        <v>X</v>
      </c>
      <c r="AB35" t="str">
        <f t="shared" si="16"/>
        <v>X</v>
      </c>
      <c r="AC35" t="str">
        <f t="shared" si="17"/>
        <v>X</v>
      </c>
      <c r="AD35" t="str">
        <f t="shared" si="18"/>
        <v>X</v>
      </c>
      <c r="AE35" s="28">
        <f t="shared" si="19"/>
        <v>0</v>
      </c>
      <c r="AF35" s="28">
        <f t="shared" si="20"/>
        <v>103284564.28571425</v>
      </c>
      <c r="AG35" s="28">
        <f t="shared" si="21"/>
        <v>103284564.28571421</v>
      </c>
      <c r="AH35" s="28">
        <f t="shared" si="22"/>
        <v>103284564.28571422</v>
      </c>
      <c r="AI35" s="28">
        <f t="shared" si="23"/>
        <v>103284564.28571421</v>
      </c>
      <c r="AJ35" s="28">
        <f t="shared" si="24"/>
        <v>103284564.28571418</v>
      </c>
      <c r="AK35" s="28">
        <f t="shared" si="25"/>
        <v>103284564.28571419</v>
      </c>
      <c r="AL35" s="28">
        <f t="shared" si="26"/>
        <v>103284564.28571416</v>
      </c>
    </row>
    <row r="36" spans="1:38" ht="13.05" customHeight="1" x14ac:dyDescent="0.3">
      <c r="A36">
        <v>1</v>
      </c>
      <c r="B36" s="213" t="s">
        <v>836</v>
      </c>
      <c r="C36" t="s">
        <v>1502</v>
      </c>
      <c r="D36" t="s">
        <v>1446</v>
      </c>
      <c r="E36" t="s">
        <v>1535</v>
      </c>
      <c r="F36" s="41" t="s">
        <v>1479</v>
      </c>
      <c r="G36" s="28">
        <v>111868550.97142857</v>
      </c>
      <c r="H36" s="28">
        <v>127856926.99606553</v>
      </c>
      <c r="I36" s="28">
        <v>146130379.26139215</v>
      </c>
      <c r="J36" s="28">
        <v>167015493.37045634</v>
      </c>
      <c r="K36" s="28">
        <v>190885530.89895818</v>
      </c>
      <c r="L36" s="28">
        <v>218167100.37646466</v>
      </c>
      <c r="M36" s="28">
        <v>249347781.69157809</v>
      </c>
      <c r="N36" s="28">
        <v>284984840.18545496</v>
      </c>
      <c r="O36" s="146">
        <f t="shared" si="4"/>
        <v>1496256603.7517986</v>
      </c>
      <c r="P36" s="146">
        <f t="shared" si="5"/>
        <v>1452676.3143221345</v>
      </c>
      <c r="R36" s="140" t="str">
        <f t="shared" si="6"/>
        <v>8.1</v>
      </c>
      <c r="S36" s="140" t="str">
        <f t="shared" si="7"/>
        <v>8.1 To mobilize adequate, sustainable, and predictable funds for the health sector to optimally delivery essential health services</v>
      </c>
      <c r="T36" s="140" t="str">
        <f t="shared" si="8"/>
        <v>8.1.5</v>
      </c>
      <c r="U36" s="140" t="str">
        <f t="shared" si="9"/>
        <v>8.1.5 Improve financing of family planning using domestic resources</v>
      </c>
      <c r="V36" s="140" t="str">
        <f t="shared" si="10"/>
        <v>Increase advocacy among stakeholders on family planning and population growth as key health financing issues</v>
      </c>
      <c r="W36" t="str">
        <f t="shared" si="11"/>
        <v>X</v>
      </c>
      <c r="X36" t="str">
        <f t="shared" si="12"/>
        <v>X</v>
      </c>
      <c r="Y36" t="str">
        <f t="shared" si="13"/>
        <v>X</v>
      </c>
      <c r="Z36" t="str">
        <f t="shared" si="14"/>
        <v>X</v>
      </c>
      <c r="AA36" t="str">
        <f t="shared" si="15"/>
        <v>X</v>
      </c>
      <c r="AB36" t="str">
        <f t="shared" si="16"/>
        <v>X</v>
      </c>
      <c r="AC36" t="str">
        <f t="shared" si="17"/>
        <v>X</v>
      </c>
      <c r="AD36" t="str">
        <f t="shared" si="18"/>
        <v>X</v>
      </c>
      <c r="AE36" s="28">
        <f t="shared" si="19"/>
        <v>111868550.97142857</v>
      </c>
      <c r="AF36" s="28">
        <f t="shared" si="20"/>
        <v>111868550.97142853</v>
      </c>
      <c r="AG36" s="28">
        <f t="shared" si="21"/>
        <v>111868550.97142854</v>
      </c>
      <c r="AH36" s="28">
        <f t="shared" si="22"/>
        <v>111868550.97142851</v>
      </c>
      <c r="AI36" s="28">
        <f t="shared" si="23"/>
        <v>111868550.9714285</v>
      </c>
      <c r="AJ36" s="28">
        <f t="shared" si="24"/>
        <v>111868550.97142848</v>
      </c>
      <c r="AK36" s="28">
        <f t="shared" si="25"/>
        <v>111868550.97142845</v>
      </c>
      <c r="AL36" s="28">
        <f t="shared" si="26"/>
        <v>111868550.97142847</v>
      </c>
    </row>
    <row r="37" spans="1:38" ht="13.05" customHeight="1" x14ac:dyDescent="0.3">
      <c r="A37">
        <v>1</v>
      </c>
      <c r="B37" s="213" t="s">
        <v>836</v>
      </c>
      <c r="C37" t="s">
        <v>1503</v>
      </c>
      <c r="D37" t="s">
        <v>1136</v>
      </c>
      <c r="E37" t="s">
        <v>1536</v>
      </c>
      <c r="F37" s="41" t="s">
        <v>1710</v>
      </c>
      <c r="G37" s="28">
        <v>8387076414.0499992</v>
      </c>
      <c r="H37" s="28">
        <v>210496757.34166479</v>
      </c>
      <c r="I37" s="28">
        <v>650075668.27304852</v>
      </c>
      <c r="J37" s="28">
        <v>24313065.001545832</v>
      </c>
      <c r="K37" s="28">
        <v>133698630.15616558</v>
      </c>
      <c r="L37" s="28">
        <v>970538256.92693508</v>
      </c>
      <c r="M37" s="28">
        <v>18694252142.903374</v>
      </c>
      <c r="N37" s="28">
        <v>199606971.61608201</v>
      </c>
      <c r="O37" s="146">
        <f t="shared" si="4"/>
        <v>29270057906.268814</v>
      </c>
      <c r="P37" s="146">
        <f t="shared" si="5"/>
        <v>28417531.947833799</v>
      </c>
      <c r="R37" s="140" t="str">
        <f t="shared" si="6"/>
        <v>8.1</v>
      </c>
      <c r="S37" s="140" t="str">
        <f t="shared" si="7"/>
        <v>8.1 To mobilize adequate, sustainable, and predictable funds for the health sector to optimally delivery essential health services</v>
      </c>
      <c r="T37" s="140" t="str">
        <f t="shared" si="8"/>
        <v>8.1.6</v>
      </c>
      <c r="U37" s="140" t="str">
        <f t="shared" si="9"/>
        <v>8.1.6 Introduce innovative health financing mechanisms</v>
      </c>
      <c r="V37" s="140" t="str">
        <f t="shared" si="10"/>
        <v>Implement public private partnerships in health across all health system functions to achieve efficiency and mobilize additional financing and</v>
      </c>
      <c r="W37" t="str">
        <f t="shared" si="11"/>
        <v>X</v>
      </c>
      <c r="X37" t="str">
        <f t="shared" si="12"/>
        <v>X</v>
      </c>
      <c r="Y37" t="str">
        <f t="shared" si="13"/>
        <v>X</v>
      </c>
      <c r="Z37" t="str">
        <f t="shared" si="14"/>
        <v>X</v>
      </c>
      <c r="AA37" t="str">
        <f t="shared" si="15"/>
        <v>X</v>
      </c>
      <c r="AB37" t="str">
        <f t="shared" si="16"/>
        <v>X</v>
      </c>
      <c r="AC37" t="str">
        <f t="shared" si="17"/>
        <v>X</v>
      </c>
      <c r="AD37" t="str">
        <f t="shared" si="18"/>
        <v>X</v>
      </c>
      <c r="AE37" s="28">
        <f t="shared" si="19"/>
        <v>8387076414.0499992</v>
      </c>
      <c r="AF37" s="28">
        <f t="shared" si="20"/>
        <v>184174356.29999992</v>
      </c>
      <c r="AG37" s="28">
        <f t="shared" si="21"/>
        <v>497658484.14999992</v>
      </c>
      <c r="AH37" s="28">
        <f t="shared" si="22"/>
        <v>16285119.999999993</v>
      </c>
      <c r="AI37" s="28">
        <f t="shared" si="23"/>
        <v>78354142.149999946</v>
      </c>
      <c r="AJ37" s="28">
        <f t="shared" si="24"/>
        <v>497658484.1499995</v>
      </c>
      <c r="AK37" s="28">
        <f t="shared" si="25"/>
        <v>8387076414.0499954</v>
      </c>
      <c r="AL37" s="28">
        <f t="shared" si="26"/>
        <v>78354142.149999917</v>
      </c>
    </row>
    <row r="38" spans="1:38" ht="13.05" customHeight="1" x14ac:dyDescent="0.3">
      <c r="A38">
        <v>1</v>
      </c>
      <c r="B38" s="213" t="s">
        <v>836</v>
      </c>
      <c r="C38" t="s">
        <v>1503</v>
      </c>
      <c r="D38" t="s">
        <v>1136</v>
      </c>
      <c r="E38" t="s">
        <v>1675</v>
      </c>
      <c r="F38" s="41" t="s">
        <v>1724</v>
      </c>
      <c r="G38" s="28">
        <v>28938240</v>
      </c>
      <c r="H38" s="28">
        <v>33074125.006049275</v>
      </c>
      <c r="I38" s="28">
        <v>37801115.234228969</v>
      </c>
      <c r="J38" s="28">
        <v>43203692.091328382</v>
      </c>
      <c r="K38" s="28">
        <v>49378411.159471251</v>
      </c>
      <c r="L38" s="28">
        <v>56435627.850499921</v>
      </c>
      <c r="M38" s="28">
        <v>64501469.692777127</v>
      </c>
      <c r="N38" s="28">
        <v>73720090.49938108</v>
      </c>
      <c r="O38" s="146">
        <f t="shared" si="4"/>
        <v>387052771.53373599</v>
      </c>
      <c r="P38" s="146">
        <f t="shared" si="5"/>
        <v>375779.38983857865</v>
      </c>
      <c r="R38" s="140" t="str">
        <f t="shared" si="6"/>
        <v>8.1</v>
      </c>
      <c r="S38" s="140" t="str">
        <f t="shared" si="7"/>
        <v>8.1 To mobilize adequate, sustainable, and predictable funds for the health sector to optimally delivery essential health services</v>
      </c>
      <c r="T38" s="140" t="str">
        <f t="shared" si="8"/>
        <v>8.1.6</v>
      </c>
      <c r="U38" s="140" t="str">
        <f t="shared" si="9"/>
        <v>8.1.6 Introduce innovative health financing mechanisms</v>
      </c>
      <c r="V38" s="140" t="str">
        <f t="shared" si="10"/>
        <v>Engage financiers and the Treasury on the introduction of social bonds for selected health issues2</v>
      </c>
      <c r="W38" t="str">
        <f t="shared" si="11"/>
        <v>X</v>
      </c>
      <c r="X38" t="str">
        <f t="shared" si="12"/>
        <v>X</v>
      </c>
      <c r="Y38" t="str">
        <f t="shared" si="13"/>
        <v>X</v>
      </c>
      <c r="Z38" t="str">
        <f t="shared" si="14"/>
        <v>X</v>
      </c>
      <c r="AA38" t="str">
        <f t="shared" si="15"/>
        <v>X</v>
      </c>
      <c r="AB38" t="str">
        <f t="shared" si="16"/>
        <v>X</v>
      </c>
      <c r="AC38" t="str">
        <f t="shared" si="17"/>
        <v>X</v>
      </c>
      <c r="AD38" t="str">
        <f t="shared" si="18"/>
        <v>X</v>
      </c>
      <c r="AE38" s="28">
        <f t="shared" si="19"/>
        <v>28938240</v>
      </c>
      <c r="AF38" s="28">
        <f t="shared" si="20"/>
        <v>28938239.999999993</v>
      </c>
      <c r="AG38" s="28">
        <f t="shared" si="21"/>
        <v>28938239.999999989</v>
      </c>
      <c r="AH38" s="28">
        <f t="shared" si="22"/>
        <v>28938239.999999989</v>
      </c>
      <c r="AI38" s="28">
        <f t="shared" si="23"/>
        <v>28938239.999999978</v>
      </c>
      <c r="AJ38" s="28">
        <f t="shared" si="24"/>
        <v>28938239.999999974</v>
      </c>
      <c r="AK38" s="28">
        <f t="shared" si="25"/>
        <v>28938239.999999974</v>
      </c>
      <c r="AL38" s="28">
        <f t="shared" si="26"/>
        <v>28938239.99999997</v>
      </c>
    </row>
    <row r="39" spans="1:38" ht="13.05" customHeight="1" x14ac:dyDescent="0.3">
      <c r="A39">
        <v>1</v>
      </c>
      <c r="B39" s="213" t="s">
        <v>836</v>
      </c>
      <c r="C39" t="s">
        <v>1503</v>
      </c>
      <c r="D39" t="s">
        <v>1136</v>
      </c>
      <c r="E39" t="s">
        <v>1676</v>
      </c>
      <c r="F39" s="41" t="s">
        <v>1725</v>
      </c>
      <c r="G39" s="28">
        <v>28938240</v>
      </c>
      <c r="H39" s="28">
        <v>33074125.006049275</v>
      </c>
      <c r="I39" s="28">
        <v>37801115.234228969</v>
      </c>
      <c r="J39" s="28">
        <v>43203692.091328382</v>
      </c>
      <c r="K39" s="28">
        <v>49378411.159471251</v>
      </c>
      <c r="L39" s="28">
        <v>56435627.850499921</v>
      </c>
      <c r="M39" s="28">
        <v>64501469.692777127</v>
      </c>
      <c r="N39" s="28">
        <v>73720090.49938108</v>
      </c>
      <c r="O39" s="146">
        <f t="shared" si="4"/>
        <v>387052771.53373599</v>
      </c>
      <c r="P39" s="146">
        <f t="shared" si="5"/>
        <v>375779.38983857865</v>
      </c>
      <c r="R39" s="140" t="str">
        <f t="shared" si="6"/>
        <v>8.1</v>
      </c>
      <c r="S39" s="140" t="str">
        <f t="shared" si="7"/>
        <v>8.1 To mobilize adequate, sustainable, and predictable funds for the health sector to optimally delivery essential health services</v>
      </c>
      <c r="T39" s="140" t="str">
        <f t="shared" si="8"/>
        <v>8.1.6</v>
      </c>
      <c r="U39" s="140" t="str">
        <f t="shared" si="9"/>
        <v>8.1.6 Introduce innovative health financing mechanisms</v>
      </c>
      <c r="V39" s="140" t="str">
        <f t="shared" si="10"/>
        <v>Explore the possibility of health debt-buy downs2</v>
      </c>
      <c r="W39" t="str">
        <f t="shared" si="11"/>
        <v>X</v>
      </c>
      <c r="X39" t="str">
        <f t="shared" si="12"/>
        <v>X</v>
      </c>
      <c r="Y39" t="str">
        <f t="shared" si="13"/>
        <v>X</v>
      </c>
      <c r="Z39" t="str">
        <f t="shared" si="14"/>
        <v>X</v>
      </c>
      <c r="AA39" t="str">
        <f t="shared" si="15"/>
        <v>X</v>
      </c>
      <c r="AB39" t="str">
        <f t="shared" si="16"/>
        <v>X</v>
      </c>
      <c r="AC39" t="str">
        <f t="shared" si="17"/>
        <v>X</v>
      </c>
      <c r="AD39" t="str">
        <f t="shared" si="18"/>
        <v>X</v>
      </c>
      <c r="AE39" s="28">
        <f t="shared" si="19"/>
        <v>28938240</v>
      </c>
      <c r="AF39" s="28">
        <f t="shared" si="20"/>
        <v>28938239.999999993</v>
      </c>
      <c r="AG39" s="28">
        <f t="shared" si="21"/>
        <v>28938239.999999989</v>
      </c>
      <c r="AH39" s="28">
        <f t="shared" si="22"/>
        <v>28938239.999999989</v>
      </c>
      <c r="AI39" s="28">
        <f t="shared" si="23"/>
        <v>28938239.999999978</v>
      </c>
      <c r="AJ39" s="28">
        <f t="shared" si="24"/>
        <v>28938239.999999974</v>
      </c>
      <c r="AK39" s="28">
        <f t="shared" si="25"/>
        <v>28938239.999999974</v>
      </c>
      <c r="AL39" s="28">
        <f t="shared" si="26"/>
        <v>28938239.99999997</v>
      </c>
    </row>
    <row r="40" spans="1:38" ht="13.05" customHeight="1" x14ac:dyDescent="0.3">
      <c r="A40">
        <v>1</v>
      </c>
      <c r="B40" s="213" t="s">
        <v>836</v>
      </c>
      <c r="C40" t="s">
        <v>1503</v>
      </c>
      <c r="D40" t="s">
        <v>1136</v>
      </c>
      <c r="E40" t="s">
        <v>1677</v>
      </c>
      <c r="F40" s="41" t="s">
        <v>1635</v>
      </c>
      <c r="G40" s="28">
        <v>40195909.75</v>
      </c>
      <c r="H40" s="28">
        <v>45940753.266382985</v>
      </c>
      <c r="I40" s="28">
        <v>0</v>
      </c>
      <c r="J40" s="28">
        <v>0</v>
      </c>
      <c r="K40" s="28">
        <v>0</v>
      </c>
      <c r="L40" s="28">
        <v>0</v>
      </c>
      <c r="M40" s="28">
        <v>89594089.153771251</v>
      </c>
      <c r="N40" s="28">
        <v>0</v>
      </c>
      <c r="O40" s="146">
        <f t="shared" si="4"/>
        <v>175730752.17015424</v>
      </c>
      <c r="P40" s="146">
        <f t="shared" si="5"/>
        <v>170612.38074772258</v>
      </c>
      <c r="R40" s="140" t="str">
        <f t="shared" si="6"/>
        <v>8.1</v>
      </c>
      <c r="S40" s="140" t="str">
        <f t="shared" si="7"/>
        <v>8.1 To mobilize adequate, sustainable, and predictable funds for the health sector to optimally delivery essential health services</v>
      </c>
      <c r="T40" s="140" t="str">
        <f t="shared" si="8"/>
        <v>8.1.6</v>
      </c>
      <c r="U40" s="140" t="str">
        <f t="shared" si="9"/>
        <v>8.1.6 Introduce innovative health financing mechanisms</v>
      </c>
      <c r="V40" s="140" t="str">
        <f t="shared" si="10"/>
        <v>Explore hypothecated taxes on mobile money payments, alcohol, sugary drinks, tobacco and other potential areas for “sin taxes”.</v>
      </c>
      <c r="W40" t="str">
        <f t="shared" si="11"/>
        <v>X</v>
      </c>
      <c r="X40" t="str">
        <f t="shared" si="12"/>
        <v>X</v>
      </c>
      <c r="Y40" t="str">
        <f t="shared" si="13"/>
        <v/>
      </c>
      <c r="Z40" t="str">
        <f t="shared" si="14"/>
        <v/>
      </c>
      <c r="AA40" t="str">
        <f t="shared" si="15"/>
        <v/>
      </c>
      <c r="AB40" t="str">
        <f t="shared" si="16"/>
        <v/>
      </c>
      <c r="AC40" t="str">
        <f t="shared" si="17"/>
        <v>X</v>
      </c>
      <c r="AD40" t="str">
        <f t="shared" si="18"/>
        <v/>
      </c>
      <c r="AE40" s="28">
        <f t="shared" si="19"/>
        <v>40195909.75</v>
      </c>
      <c r="AF40" s="28">
        <f t="shared" si="20"/>
        <v>40195909.749999985</v>
      </c>
      <c r="AG40" s="28">
        <f t="shared" si="21"/>
        <v>0</v>
      </c>
      <c r="AH40" s="28">
        <f t="shared" si="22"/>
        <v>0</v>
      </c>
      <c r="AI40" s="28">
        <f t="shared" si="23"/>
        <v>0</v>
      </c>
      <c r="AJ40" s="28">
        <f t="shared" si="24"/>
        <v>0</v>
      </c>
      <c r="AK40" s="28">
        <f t="shared" si="25"/>
        <v>40195909.749999963</v>
      </c>
      <c r="AL40" s="28">
        <f t="shared" si="26"/>
        <v>0</v>
      </c>
    </row>
    <row r="41" spans="1:38" ht="13.05" customHeight="1" x14ac:dyDescent="0.3">
      <c r="A41">
        <v>2</v>
      </c>
      <c r="B41" s="213" t="s">
        <v>983</v>
      </c>
      <c r="C41" t="s">
        <v>1498</v>
      </c>
      <c r="D41" t="s">
        <v>1176</v>
      </c>
      <c r="E41" t="s">
        <v>1537</v>
      </c>
      <c r="F41" s="41" t="s">
        <v>1711</v>
      </c>
      <c r="G41" s="28">
        <v>120880471.29285714</v>
      </c>
      <c r="H41" s="28">
        <v>102162149.15915219</v>
      </c>
      <c r="I41" s="28">
        <v>72010064.325591385</v>
      </c>
      <c r="J41" s="28">
        <v>133451211.02532846</v>
      </c>
      <c r="K41" s="28">
        <v>101231106.88368401</v>
      </c>
      <c r="L41" s="28">
        <v>177053424.29624423</v>
      </c>
      <c r="M41" s="28">
        <v>125994000.37662664</v>
      </c>
      <c r="N41" s="28">
        <v>231279334.69475567</v>
      </c>
      <c r="O41" s="146">
        <f t="shared" si="4"/>
        <v>1064061762.0542397</v>
      </c>
      <c r="P41" s="146">
        <f t="shared" si="5"/>
        <v>1033069.6718973202</v>
      </c>
      <c r="R41" s="140" t="str">
        <f t="shared" si="6"/>
        <v>8.2</v>
      </c>
      <c r="S41" s="140" t="str">
        <f t="shared" si="7"/>
        <v>8.2 Improvement of efficiency and equity in pooling and management of resources for the health sector</v>
      </c>
      <c r="T41" s="140" t="str">
        <f t="shared" si="8"/>
        <v>8.2.1</v>
      </c>
      <c r="U41" s="140" t="str">
        <f t="shared" si="9"/>
        <v>8.2.1 Reduce fragmentation of health sector funding</v>
      </c>
      <c r="V41" s="140" t="str">
        <f t="shared" si="10"/>
        <v>Design and implement an enhanced HSJF mechanism  managed by a fiduciary agent/ Reinstate the Sector Budget Support to the Sector Wide Approach (SWAp) under the management of a fiduciary agent at central level</v>
      </c>
      <c r="W41" t="str">
        <f t="shared" si="11"/>
        <v>X</v>
      </c>
      <c r="X41" t="str">
        <f t="shared" si="12"/>
        <v>X</v>
      </c>
      <c r="Y41" t="str">
        <f t="shared" si="13"/>
        <v>X</v>
      </c>
      <c r="Z41" t="str">
        <f t="shared" si="14"/>
        <v>X</v>
      </c>
      <c r="AA41" t="str">
        <f t="shared" si="15"/>
        <v>X</v>
      </c>
      <c r="AB41" t="str">
        <f t="shared" si="16"/>
        <v>X</v>
      </c>
      <c r="AC41" t="str">
        <f t="shared" si="17"/>
        <v>X</v>
      </c>
      <c r="AD41" t="str">
        <f t="shared" si="18"/>
        <v>X</v>
      </c>
      <c r="AE41" s="28">
        <f t="shared" si="19"/>
        <v>120880471.29285714</v>
      </c>
      <c r="AF41" s="28">
        <f t="shared" si="20"/>
        <v>89386878.43571426</v>
      </c>
      <c r="AG41" s="28">
        <f t="shared" si="21"/>
        <v>55126535.578571409</v>
      </c>
      <c r="AH41" s="28">
        <f t="shared" si="22"/>
        <v>89386878.435714245</v>
      </c>
      <c r="AI41" s="28">
        <f t="shared" si="23"/>
        <v>59326535.578571394</v>
      </c>
      <c r="AJ41" s="28">
        <f t="shared" si="24"/>
        <v>90786878.435714185</v>
      </c>
      <c r="AK41" s="28">
        <f t="shared" si="25"/>
        <v>56526535.578571364</v>
      </c>
      <c r="AL41" s="28">
        <f t="shared" si="26"/>
        <v>90786878.4357142</v>
      </c>
    </row>
    <row r="42" spans="1:38" ht="13.05" customHeight="1" x14ac:dyDescent="0.3">
      <c r="A42">
        <v>2</v>
      </c>
      <c r="B42" s="213" t="s">
        <v>983</v>
      </c>
      <c r="C42" t="s">
        <v>1498</v>
      </c>
      <c r="D42" t="s">
        <v>1176</v>
      </c>
      <c r="E42" t="s">
        <v>1538</v>
      </c>
      <c r="F42" s="41" t="s">
        <v>1205</v>
      </c>
      <c r="G42" s="28">
        <v>43713485.714285716</v>
      </c>
      <c r="H42" s="28">
        <v>41960617.367265247</v>
      </c>
      <c r="I42" s="28">
        <v>54096092.396932997</v>
      </c>
      <c r="J42" s="28">
        <v>54811838.32877823</v>
      </c>
      <c r="K42" s="28">
        <v>70664028.718331218</v>
      </c>
      <c r="L42" s="28">
        <v>71598985.178990632</v>
      </c>
      <c r="M42" s="28">
        <v>81831990.684858724</v>
      </c>
      <c r="N42" s="28">
        <v>93527508.563232481</v>
      </c>
      <c r="O42" s="146">
        <f t="shared" si="4"/>
        <v>512204546.95267522</v>
      </c>
      <c r="P42" s="146">
        <f t="shared" si="5"/>
        <v>497285.96791521867</v>
      </c>
      <c r="R42" s="140" t="str">
        <f t="shared" si="6"/>
        <v>8.2</v>
      </c>
      <c r="S42" s="140" t="str">
        <f t="shared" si="7"/>
        <v>8.2 Improvement of efficiency and equity in pooling and management of resources for the health sector</v>
      </c>
      <c r="T42" s="140" t="str">
        <f t="shared" si="8"/>
        <v>8.2.1</v>
      </c>
      <c r="U42" s="140" t="str">
        <f t="shared" si="9"/>
        <v>8.2.1 Reduce fragmentation of health sector funding</v>
      </c>
      <c r="V42" s="140" t="str">
        <f t="shared" si="10"/>
        <v>Coordinate budget planning, allocation, execution, and evaluation between partners and GOM at all level, including through HSSP Operational Plan</v>
      </c>
      <c r="W42" t="str">
        <f t="shared" si="11"/>
        <v>X</v>
      </c>
      <c r="X42" t="str">
        <f t="shared" si="12"/>
        <v>X</v>
      </c>
      <c r="Y42" t="str">
        <f t="shared" si="13"/>
        <v>X</v>
      </c>
      <c r="Z42" t="str">
        <f t="shared" si="14"/>
        <v>X</v>
      </c>
      <c r="AA42" t="str">
        <f t="shared" si="15"/>
        <v>X</v>
      </c>
      <c r="AB42" t="str">
        <f t="shared" si="16"/>
        <v>X</v>
      </c>
      <c r="AC42" t="str">
        <f t="shared" si="17"/>
        <v>X</v>
      </c>
      <c r="AD42" t="str">
        <f t="shared" si="18"/>
        <v>X</v>
      </c>
      <c r="AE42" s="28">
        <f t="shared" si="19"/>
        <v>43713485.714285716</v>
      </c>
      <c r="AF42" s="28">
        <f t="shared" si="20"/>
        <v>36713485.714285702</v>
      </c>
      <c r="AG42" s="28">
        <f t="shared" si="21"/>
        <v>41412685.714285709</v>
      </c>
      <c r="AH42" s="28">
        <f t="shared" si="22"/>
        <v>36713485.714285702</v>
      </c>
      <c r="AI42" s="28">
        <f t="shared" si="23"/>
        <v>41412685.714285679</v>
      </c>
      <c r="AJ42" s="28">
        <f t="shared" si="24"/>
        <v>36713485.714285679</v>
      </c>
      <c r="AK42" s="28">
        <f t="shared" si="25"/>
        <v>36713485.714285679</v>
      </c>
      <c r="AL42" s="28">
        <f t="shared" si="26"/>
        <v>36713485.714285672</v>
      </c>
    </row>
    <row r="43" spans="1:38" ht="13.05" customHeight="1" x14ac:dyDescent="0.3">
      <c r="A43">
        <v>2</v>
      </c>
      <c r="B43" s="213" t="s">
        <v>983</v>
      </c>
      <c r="C43" t="s">
        <v>1498</v>
      </c>
      <c r="D43" t="s">
        <v>1176</v>
      </c>
      <c r="E43" t="s">
        <v>1539</v>
      </c>
      <c r="F43" s="41" t="s">
        <v>1694</v>
      </c>
      <c r="G43" s="28">
        <v>245430857.14285713</v>
      </c>
      <c r="H43" s="28">
        <v>0</v>
      </c>
      <c r="I43" s="28">
        <v>396863071.9798674</v>
      </c>
      <c r="J43" s="28">
        <v>60448494.956659153</v>
      </c>
      <c r="K43" s="28">
        <v>843422270.84966898</v>
      </c>
      <c r="L43" s="28">
        <v>0</v>
      </c>
      <c r="M43" s="28">
        <v>677182438.95388007</v>
      </c>
      <c r="N43" s="28">
        <v>0</v>
      </c>
      <c r="O43" s="146">
        <f t="shared" si="4"/>
        <v>2223347133.8829327</v>
      </c>
      <c r="P43" s="146">
        <f t="shared" si="5"/>
        <v>2158589.4503717795</v>
      </c>
      <c r="R43" s="140" t="str">
        <f t="shared" si="6"/>
        <v>8.2</v>
      </c>
      <c r="S43" s="140" t="str">
        <f t="shared" si="7"/>
        <v>8.2 Improvement of efficiency and equity in pooling and management of resources for the health sector</v>
      </c>
      <c r="T43" s="140" t="str">
        <f t="shared" si="8"/>
        <v>8.2.1</v>
      </c>
      <c r="U43" s="140" t="str">
        <f t="shared" si="9"/>
        <v>8.2.1 Reduce fragmentation of health sector funding</v>
      </c>
      <c r="V43" s="140" t="str">
        <f t="shared" si="10"/>
        <v>Develop a standard bylaw for all District Councils in collaboration with the Ministry of Local Government on enforcing the compliance of implementing partners to partner coordination requirements set by the District Council</v>
      </c>
      <c r="W43" t="str">
        <f t="shared" si="11"/>
        <v>X</v>
      </c>
      <c r="X43" t="str">
        <f t="shared" si="12"/>
        <v/>
      </c>
      <c r="Y43" t="str">
        <f t="shared" si="13"/>
        <v>X</v>
      </c>
      <c r="Z43" t="str">
        <f t="shared" si="14"/>
        <v>X</v>
      </c>
      <c r="AA43" t="str">
        <f t="shared" si="15"/>
        <v>X</v>
      </c>
      <c r="AB43" t="str">
        <f t="shared" si="16"/>
        <v/>
      </c>
      <c r="AC43" t="str">
        <f t="shared" si="17"/>
        <v>X</v>
      </c>
      <c r="AD43" t="str">
        <f t="shared" si="18"/>
        <v/>
      </c>
      <c r="AE43" s="28">
        <f t="shared" si="19"/>
        <v>245430857.14285713</v>
      </c>
      <c r="AF43" s="28">
        <f t="shared" si="20"/>
        <v>0</v>
      </c>
      <c r="AG43" s="28">
        <f t="shared" si="21"/>
        <v>303814285.71428561</v>
      </c>
      <c r="AH43" s="28">
        <f t="shared" si="22"/>
        <v>40488971.42857141</v>
      </c>
      <c r="AI43" s="28">
        <f t="shared" si="23"/>
        <v>494287999.99999964</v>
      </c>
      <c r="AJ43" s="28">
        <f t="shared" si="24"/>
        <v>0</v>
      </c>
      <c r="AK43" s="28">
        <f t="shared" si="25"/>
        <v>303814285.71428543</v>
      </c>
      <c r="AL43" s="28">
        <f t="shared" si="26"/>
        <v>0</v>
      </c>
    </row>
    <row r="44" spans="1:38" ht="13.05" customHeight="1" x14ac:dyDescent="0.3">
      <c r="A44">
        <v>2</v>
      </c>
      <c r="B44" s="213" t="s">
        <v>983</v>
      </c>
      <c r="C44" t="s">
        <v>1498</v>
      </c>
      <c r="D44" t="s">
        <v>1176</v>
      </c>
      <c r="E44" t="s">
        <v>1540</v>
      </c>
      <c r="F44" s="41" t="s">
        <v>1238</v>
      </c>
      <c r="G44" s="28">
        <v>72574205.051785707</v>
      </c>
      <c r="H44" s="28">
        <v>16295145.392661517</v>
      </c>
      <c r="I44" s="28">
        <v>1401756871.1107209</v>
      </c>
      <c r="J44" s="28">
        <v>1602097500.8571527</v>
      </c>
      <c r="K44" s="28">
        <v>2433627643.1249905</v>
      </c>
      <c r="L44" s="28">
        <v>2092769713.927712</v>
      </c>
      <c r="M44" s="28">
        <v>2391870657.2106366</v>
      </c>
      <c r="N44" s="28">
        <v>2733719435.4212914</v>
      </c>
      <c r="O44" s="146">
        <f t="shared" si="4"/>
        <v>12744711172.096951</v>
      </c>
      <c r="P44" s="146">
        <f t="shared" si="5"/>
        <v>12373505.992327137</v>
      </c>
      <c r="R44" s="140" t="str">
        <f t="shared" si="6"/>
        <v>8.2</v>
      </c>
      <c r="S44" s="140" t="str">
        <f t="shared" si="7"/>
        <v>8.2 Improvement of efficiency and equity in pooling and management of resources for the health sector</v>
      </c>
      <c r="T44" s="140" t="str">
        <f t="shared" si="8"/>
        <v>8.2.1</v>
      </c>
      <c r="U44" s="140" t="str">
        <f t="shared" si="9"/>
        <v>8.2.1 Reduce fragmentation of health sector funding</v>
      </c>
      <c r="V44" s="140" t="str">
        <f t="shared" si="10"/>
        <v>Introduce the Sector Budget Support to the District Health Budgets</v>
      </c>
      <c r="W44" t="str">
        <f t="shared" si="11"/>
        <v>X</v>
      </c>
      <c r="X44" t="str">
        <f t="shared" si="12"/>
        <v>X</v>
      </c>
      <c r="Y44" t="str">
        <f t="shared" si="13"/>
        <v>X</v>
      </c>
      <c r="Z44" t="str">
        <f t="shared" si="14"/>
        <v>X</v>
      </c>
      <c r="AA44" t="str">
        <f t="shared" si="15"/>
        <v>X</v>
      </c>
      <c r="AB44" t="str">
        <f t="shared" si="16"/>
        <v>X</v>
      </c>
      <c r="AC44" t="str">
        <f t="shared" si="17"/>
        <v>X</v>
      </c>
      <c r="AD44" t="str">
        <f t="shared" si="18"/>
        <v>X</v>
      </c>
      <c r="AE44" s="28">
        <f t="shared" si="19"/>
        <v>72574205.051785707</v>
      </c>
      <c r="AF44" s="28">
        <f t="shared" si="20"/>
        <v>14257454.373214284</v>
      </c>
      <c r="AG44" s="28">
        <f t="shared" si="21"/>
        <v>1073099999.9999996</v>
      </c>
      <c r="AH44" s="28">
        <f t="shared" si="22"/>
        <v>1073099999.9999996</v>
      </c>
      <c r="AI44" s="28">
        <f t="shared" si="23"/>
        <v>1426228571.4285707</v>
      </c>
      <c r="AJ44" s="28">
        <f t="shared" si="24"/>
        <v>1073099999.9999992</v>
      </c>
      <c r="AK44" s="28">
        <f t="shared" si="25"/>
        <v>1073099999.9999989</v>
      </c>
      <c r="AL44" s="28">
        <f t="shared" si="26"/>
        <v>1073099999.9999988</v>
      </c>
    </row>
    <row r="45" spans="1:38" ht="13.05" customHeight="1" x14ac:dyDescent="0.3">
      <c r="A45">
        <v>2</v>
      </c>
      <c r="B45" s="213" t="s">
        <v>983</v>
      </c>
      <c r="C45" t="s">
        <v>1499</v>
      </c>
      <c r="D45" t="s">
        <v>1255</v>
      </c>
      <c r="E45" t="s">
        <v>1541</v>
      </c>
      <c r="F45" s="41" t="s">
        <v>1712</v>
      </c>
      <c r="G45" s="28">
        <v>227022650</v>
      </c>
      <c r="H45" s="28">
        <v>4220200973.1938782</v>
      </c>
      <c r="I45" s="28">
        <v>0</v>
      </c>
      <c r="J45" s="28">
        <v>0</v>
      </c>
      <c r="K45" s="28">
        <v>177338804.19791922</v>
      </c>
      <c r="L45" s="28">
        <v>195584982.98304382</v>
      </c>
      <c r="M45" s="28">
        <v>192981233.34386066</v>
      </c>
      <c r="N45" s="28">
        <v>0</v>
      </c>
      <c r="O45" s="146">
        <f t="shared" si="4"/>
        <v>5013128643.7187014</v>
      </c>
      <c r="P45" s="146">
        <f t="shared" si="5"/>
        <v>4867115.1880764095</v>
      </c>
      <c r="R45" s="140" t="str">
        <f t="shared" si="6"/>
        <v>8.2</v>
      </c>
      <c r="S45" s="140" t="str">
        <f t="shared" si="7"/>
        <v>8.2 Improvement of efficiency and equity in pooling and management of resources for the health sector</v>
      </c>
      <c r="T45" s="140" t="str">
        <f t="shared" si="8"/>
        <v>8.2.2</v>
      </c>
      <c r="U45" s="140" t="str">
        <f t="shared" si="9"/>
        <v>8.2.2 Strengthen leadership, governance, and accountability mechanisms to ensure harmonization of health financing decision-making across all levels of the health system</v>
      </c>
      <c r="V45" s="140" t="str">
        <f t="shared" si="10"/>
        <v>Scale up DHMT leadership &amp; management curriculum to additional districts and to additional cadres at the district level, including subsequent coaching &amp; mentorship with a focus on partner coordination</v>
      </c>
      <c r="W45" t="str">
        <f t="shared" si="11"/>
        <v>X</v>
      </c>
      <c r="X45" t="str">
        <f t="shared" si="12"/>
        <v>X</v>
      </c>
      <c r="Y45" t="str">
        <f t="shared" si="13"/>
        <v/>
      </c>
      <c r="Z45" t="str">
        <f t="shared" si="14"/>
        <v/>
      </c>
      <c r="AA45" t="str">
        <f t="shared" si="15"/>
        <v>X</v>
      </c>
      <c r="AB45" t="str">
        <f t="shared" si="16"/>
        <v>X</v>
      </c>
      <c r="AC45" t="str">
        <f t="shared" si="17"/>
        <v>X</v>
      </c>
      <c r="AD45" t="str">
        <f t="shared" si="18"/>
        <v/>
      </c>
      <c r="AE45" s="28">
        <f t="shared" si="19"/>
        <v>227022650</v>
      </c>
      <c r="AF45" s="28">
        <f t="shared" si="20"/>
        <v>3692469221.4285707</v>
      </c>
      <c r="AG45" s="28">
        <f t="shared" si="21"/>
        <v>0</v>
      </c>
      <c r="AH45" s="28">
        <f t="shared" si="22"/>
        <v>0</v>
      </c>
      <c r="AI45" s="28">
        <f t="shared" si="23"/>
        <v>103929485.71428564</v>
      </c>
      <c r="AJ45" s="28">
        <f t="shared" si="24"/>
        <v>100289221.42857131</v>
      </c>
      <c r="AK45" s="28">
        <f t="shared" si="25"/>
        <v>86579999.999999896</v>
      </c>
      <c r="AL45" s="28">
        <f t="shared" si="26"/>
        <v>0</v>
      </c>
    </row>
    <row r="46" spans="1:38" ht="13.05" customHeight="1" x14ac:dyDescent="0.3">
      <c r="A46">
        <v>2</v>
      </c>
      <c r="B46" s="213" t="s">
        <v>983</v>
      </c>
      <c r="C46" t="s">
        <v>1499</v>
      </c>
      <c r="D46" t="s">
        <v>1255</v>
      </c>
      <c r="E46" t="s">
        <v>1542</v>
      </c>
      <c r="F46" s="41" t="s">
        <v>1273</v>
      </c>
      <c r="G46" s="28">
        <v>11214485.714285715</v>
      </c>
      <c r="H46" s="28">
        <v>800044767.89999986</v>
      </c>
      <c r="I46" s="28">
        <v>14649130.934650097</v>
      </c>
      <c r="J46" s="28">
        <v>0</v>
      </c>
      <c r="K46" s="28">
        <v>5018095.5428273417</v>
      </c>
      <c r="L46" s="28">
        <v>0</v>
      </c>
      <c r="M46" s="28">
        <v>0</v>
      </c>
      <c r="N46" s="28">
        <v>28568872.943245996</v>
      </c>
      <c r="O46" s="146">
        <f t="shared" si="4"/>
        <v>859495353.03500903</v>
      </c>
      <c r="P46" s="146">
        <f t="shared" si="5"/>
        <v>834461.50780097966</v>
      </c>
      <c r="R46" s="140" t="str">
        <f t="shared" si="6"/>
        <v>8.2</v>
      </c>
      <c r="S46" s="140" t="str">
        <f t="shared" si="7"/>
        <v>8.2 Improvement of efficiency and equity in pooling and management of resources for the health sector</v>
      </c>
      <c r="T46" s="140" t="str">
        <f t="shared" si="8"/>
        <v>8.2.2</v>
      </c>
      <c r="U46" s="140" t="str">
        <f t="shared" si="9"/>
        <v>8.2.2 Strengthen leadership, governance, and accountability mechanisms to ensure harmonization of health financing decision-making across all levels of the health system</v>
      </c>
      <c r="V46" s="140" t="str">
        <f t="shared" si="10"/>
        <v>Revisit the requirements for leadership at the district level through the functional review process</v>
      </c>
      <c r="W46" t="str">
        <f t="shared" si="11"/>
        <v>X</v>
      </c>
      <c r="X46" t="str">
        <f t="shared" si="12"/>
        <v>X</v>
      </c>
      <c r="Y46" t="str">
        <f t="shared" si="13"/>
        <v>X</v>
      </c>
      <c r="Z46" t="str">
        <f t="shared" si="14"/>
        <v/>
      </c>
      <c r="AA46" t="str">
        <f t="shared" si="15"/>
        <v>X</v>
      </c>
      <c r="AB46" t="str">
        <f t="shared" si="16"/>
        <v/>
      </c>
      <c r="AC46" t="str">
        <f t="shared" si="17"/>
        <v/>
      </c>
      <c r="AD46" t="str">
        <f t="shared" si="18"/>
        <v>X</v>
      </c>
      <c r="AE46" s="28">
        <f t="shared" si="19"/>
        <v>11214485.714285715</v>
      </c>
      <c r="AF46" s="28">
        <f t="shared" si="20"/>
        <v>699999999.99999976</v>
      </c>
      <c r="AG46" s="28">
        <f t="shared" si="21"/>
        <v>11214485.714285709</v>
      </c>
      <c r="AH46" s="28">
        <f t="shared" si="22"/>
        <v>0</v>
      </c>
      <c r="AI46" s="28">
        <f t="shared" si="23"/>
        <v>2940857.1428571409</v>
      </c>
      <c r="AJ46" s="28">
        <f t="shared" si="24"/>
        <v>0</v>
      </c>
      <c r="AK46" s="28">
        <f t="shared" si="25"/>
        <v>0</v>
      </c>
      <c r="AL46" s="28">
        <f t="shared" si="26"/>
        <v>11214485.714285702</v>
      </c>
    </row>
    <row r="47" spans="1:38" ht="13.05" customHeight="1" x14ac:dyDescent="0.3">
      <c r="A47">
        <v>2</v>
      </c>
      <c r="B47" s="213" t="s">
        <v>983</v>
      </c>
      <c r="C47" t="s">
        <v>1500</v>
      </c>
      <c r="D47" t="s">
        <v>1280</v>
      </c>
      <c r="E47" t="s">
        <v>1543</v>
      </c>
      <c r="F47" s="41" t="s">
        <v>1281</v>
      </c>
      <c r="G47" s="28">
        <v>0</v>
      </c>
      <c r="H47" s="28">
        <v>2000111.9197499997</v>
      </c>
      <c r="I47" s="28">
        <v>0</v>
      </c>
      <c r="J47" s="28">
        <v>0</v>
      </c>
      <c r="K47" s="28">
        <v>0</v>
      </c>
      <c r="L47" s="28">
        <v>0</v>
      </c>
      <c r="M47" s="28">
        <v>0</v>
      </c>
      <c r="N47" s="28">
        <v>0</v>
      </c>
      <c r="O47" s="146">
        <f t="shared" si="4"/>
        <v>2000111.9197499997</v>
      </c>
      <c r="P47" s="146">
        <f t="shared" si="5"/>
        <v>1941.8562327669899</v>
      </c>
      <c r="R47" s="140" t="str">
        <f t="shared" si="6"/>
        <v>8.2</v>
      </c>
      <c r="S47" s="140" t="str">
        <f t="shared" si="7"/>
        <v>8.2 Improvement of efficiency and equity in pooling and management of resources for the health sector</v>
      </c>
      <c r="T47" s="140" t="str">
        <f t="shared" si="8"/>
        <v>8.2.3</v>
      </c>
      <c r="U47" s="140" t="str">
        <f t="shared" si="9"/>
        <v>8.2.3 Improve management and accountability of government and donor funds</v>
      </c>
      <c r="V47" s="140" t="str">
        <f t="shared" si="10"/>
        <v>Reduce the administrative burden of the approval process by seeking efficiencies in the internal controls process</v>
      </c>
      <c r="W47" t="str">
        <f t="shared" si="11"/>
        <v/>
      </c>
      <c r="X47" t="str">
        <f t="shared" si="12"/>
        <v>X</v>
      </c>
      <c r="Y47" t="str">
        <f t="shared" si="13"/>
        <v/>
      </c>
      <c r="Z47" t="str">
        <f t="shared" si="14"/>
        <v/>
      </c>
      <c r="AA47" t="str">
        <f t="shared" si="15"/>
        <v/>
      </c>
      <c r="AB47" t="str">
        <f t="shared" si="16"/>
        <v/>
      </c>
      <c r="AC47" t="str">
        <f t="shared" si="17"/>
        <v/>
      </c>
      <c r="AD47" t="str">
        <f t="shared" si="18"/>
        <v/>
      </c>
      <c r="AE47" s="28">
        <f t="shared" si="19"/>
        <v>0</v>
      </c>
      <c r="AF47" s="28">
        <f t="shared" si="20"/>
        <v>1749999.9999999995</v>
      </c>
      <c r="AG47" s="28">
        <f t="shared" si="21"/>
        <v>0</v>
      </c>
      <c r="AH47" s="28">
        <f t="shared" si="22"/>
        <v>0</v>
      </c>
      <c r="AI47" s="28">
        <f t="shared" si="23"/>
        <v>0</v>
      </c>
      <c r="AJ47" s="28">
        <f t="shared" si="24"/>
        <v>0</v>
      </c>
      <c r="AK47" s="28">
        <f t="shared" si="25"/>
        <v>0</v>
      </c>
      <c r="AL47" s="28">
        <f t="shared" si="26"/>
        <v>0</v>
      </c>
    </row>
    <row r="48" spans="1:38" ht="13.05" customHeight="1" x14ac:dyDescent="0.3">
      <c r="A48">
        <v>2</v>
      </c>
      <c r="B48" s="213" t="s">
        <v>983</v>
      </c>
      <c r="C48" t="s">
        <v>1500</v>
      </c>
      <c r="D48" t="s">
        <v>1280</v>
      </c>
      <c r="E48" t="s">
        <v>1544</v>
      </c>
      <c r="F48" s="41" t="s">
        <v>1287</v>
      </c>
      <c r="G48" s="28">
        <v>51463178.43571429</v>
      </c>
      <c r="H48" s="28">
        <v>58818352.352853328</v>
      </c>
      <c r="I48" s="28">
        <v>67224735.79485561</v>
      </c>
      <c r="J48" s="28">
        <v>76832568.780191556</v>
      </c>
      <c r="K48" s="28">
        <v>87813563.795584515</v>
      </c>
      <c r="L48" s="28">
        <v>100363974.66472892</v>
      </c>
      <c r="M48" s="28">
        <v>114708104.02309215</v>
      </c>
      <c r="N48" s="28">
        <v>131102312.08486256</v>
      </c>
      <c r="O48" s="146">
        <f t="shared" si="4"/>
        <v>688326789.93188298</v>
      </c>
      <c r="P48" s="146">
        <f t="shared" si="5"/>
        <v>668278.43682707089</v>
      </c>
      <c r="R48" s="140" t="str">
        <f t="shared" si="6"/>
        <v>8.2</v>
      </c>
      <c r="S48" s="140" t="str">
        <f t="shared" si="7"/>
        <v>8.2 Improvement of efficiency and equity in pooling and management of resources for the health sector</v>
      </c>
      <c r="T48" s="140" t="str">
        <f t="shared" si="8"/>
        <v>8.2.3</v>
      </c>
      <c r="U48" s="140" t="str">
        <f t="shared" si="9"/>
        <v>8.2.3 Improve management and accountability of government and donor funds</v>
      </c>
      <c r="V48" s="140" t="str">
        <f t="shared" si="10"/>
        <v>Decentralize management of donor funds that are under the management of Government (e.g., Global Fund, GAVI, HSJF).</v>
      </c>
      <c r="W48" t="str">
        <f t="shared" si="11"/>
        <v>X</v>
      </c>
      <c r="X48" t="str">
        <f t="shared" si="12"/>
        <v>X</v>
      </c>
      <c r="Y48" t="str">
        <f t="shared" si="13"/>
        <v>X</v>
      </c>
      <c r="Z48" t="str">
        <f t="shared" si="14"/>
        <v>X</v>
      </c>
      <c r="AA48" t="str">
        <f t="shared" si="15"/>
        <v>X</v>
      </c>
      <c r="AB48" t="str">
        <f t="shared" si="16"/>
        <v>X</v>
      </c>
      <c r="AC48" t="str">
        <f t="shared" si="17"/>
        <v>X</v>
      </c>
      <c r="AD48" t="str">
        <f t="shared" si="18"/>
        <v>X</v>
      </c>
      <c r="AE48" s="28">
        <f t="shared" si="19"/>
        <v>51463178.43571429</v>
      </c>
      <c r="AF48" s="28">
        <f t="shared" si="20"/>
        <v>51463178.43571429</v>
      </c>
      <c r="AG48" s="28">
        <f t="shared" si="21"/>
        <v>51463178.435714252</v>
      </c>
      <c r="AH48" s="28">
        <f t="shared" si="22"/>
        <v>51463178.43571426</v>
      </c>
      <c r="AI48" s="28">
        <f t="shared" si="23"/>
        <v>51463178.435714267</v>
      </c>
      <c r="AJ48" s="28">
        <f t="shared" si="24"/>
        <v>51463178.43571426</v>
      </c>
      <c r="AK48" s="28">
        <f t="shared" si="25"/>
        <v>51463178.435714237</v>
      </c>
      <c r="AL48" s="28">
        <f t="shared" si="26"/>
        <v>51463178.435714222</v>
      </c>
    </row>
    <row r="49" spans="1:38" ht="13.05" customHeight="1" x14ac:dyDescent="0.3">
      <c r="A49">
        <v>2</v>
      </c>
      <c r="B49" s="213" t="s">
        <v>983</v>
      </c>
      <c r="C49" t="s">
        <v>1500</v>
      </c>
      <c r="D49" t="s">
        <v>1280</v>
      </c>
      <c r="E49" t="s">
        <v>1678</v>
      </c>
      <c r="F49" s="41" t="s">
        <v>1713</v>
      </c>
      <c r="G49" s="28">
        <v>64977311.292857148</v>
      </c>
      <c r="H49" s="28">
        <v>590396093.78573942</v>
      </c>
      <c r="I49" s="28">
        <v>674776151.1741122</v>
      </c>
      <c r="J49" s="28">
        <v>771215898.92935407</v>
      </c>
      <c r="K49" s="28">
        <v>0</v>
      </c>
      <c r="L49" s="28">
        <v>0</v>
      </c>
      <c r="M49" s="28">
        <v>0</v>
      </c>
      <c r="N49" s="28">
        <v>0</v>
      </c>
      <c r="O49" s="146">
        <f t="shared" si="4"/>
        <v>2101365455.1820631</v>
      </c>
      <c r="P49" s="146">
        <f t="shared" si="5"/>
        <v>2040160.6360990903</v>
      </c>
      <c r="R49" s="140" t="str">
        <f t="shared" si="6"/>
        <v>8.2</v>
      </c>
      <c r="S49" s="140" t="str">
        <f t="shared" si="7"/>
        <v>8.2 Improvement of efficiency and equity in pooling and management of resources for the health sector</v>
      </c>
      <c r="T49" s="140" t="str">
        <f t="shared" si="8"/>
        <v>8.2.3</v>
      </c>
      <c r="U49" s="140" t="str">
        <f t="shared" si="9"/>
        <v>8.2.3 Improve management and accountability of government and donor funds</v>
      </c>
      <c r="V49" s="140" t="str">
        <f t="shared" si="10"/>
        <v>Enhance capacity for fiduciary risk assessment and management </v>
      </c>
      <c r="W49" t="str">
        <f t="shared" si="11"/>
        <v>X</v>
      </c>
      <c r="X49" t="str">
        <f t="shared" si="12"/>
        <v>X</v>
      </c>
      <c r="Y49" t="str">
        <f t="shared" si="13"/>
        <v>X</v>
      </c>
      <c r="Z49" t="str">
        <f t="shared" si="14"/>
        <v>X</v>
      </c>
      <c r="AA49" t="str">
        <f t="shared" si="15"/>
        <v/>
      </c>
      <c r="AB49" t="str">
        <f t="shared" si="16"/>
        <v/>
      </c>
      <c r="AC49" t="str">
        <f t="shared" si="17"/>
        <v/>
      </c>
      <c r="AD49" t="str">
        <f t="shared" si="18"/>
        <v/>
      </c>
      <c r="AE49" s="28">
        <f t="shared" si="19"/>
        <v>64977311.292857148</v>
      </c>
      <c r="AF49" s="28">
        <f t="shared" si="20"/>
        <v>516567674.99999988</v>
      </c>
      <c r="AG49" s="28">
        <f t="shared" si="21"/>
        <v>516567674.99999988</v>
      </c>
      <c r="AH49" s="28">
        <f t="shared" si="22"/>
        <v>516567674.99999976</v>
      </c>
      <c r="AI49" s="28">
        <f t="shared" si="23"/>
        <v>0</v>
      </c>
      <c r="AJ49" s="28">
        <f t="shared" si="24"/>
        <v>0</v>
      </c>
      <c r="AK49" s="28">
        <f t="shared" si="25"/>
        <v>0</v>
      </c>
      <c r="AL49" s="28">
        <f t="shared" si="26"/>
        <v>0</v>
      </c>
    </row>
    <row r="50" spans="1:38" ht="13.05" customHeight="1" x14ac:dyDescent="0.3">
      <c r="A50">
        <v>2</v>
      </c>
      <c r="B50" s="213" t="s">
        <v>983</v>
      </c>
      <c r="C50" t="s">
        <v>1500</v>
      </c>
      <c r="D50" t="s">
        <v>1280</v>
      </c>
      <c r="E50" t="s">
        <v>1679</v>
      </c>
      <c r="F50" s="41" t="s">
        <v>1613</v>
      </c>
      <c r="G50" s="28">
        <v>7000000</v>
      </c>
      <c r="H50" s="28">
        <v>8000447.6789999986</v>
      </c>
      <c r="I50" s="28">
        <v>9143880.4377737828</v>
      </c>
      <c r="J50" s="28">
        <v>0</v>
      </c>
      <c r="K50" s="28">
        <v>0</v>
      </c>
      <c r="L50" s="28">
        <v>13651465.844277309</v>
      </c>
      <c r="M50" s="28">
        <v>0</v>
      </c>
      <c r="N50" s="28">
        <v>0</v>
      </c>
      <c r="O50" s="146">
        <f t="shared" si="4"/>
        <v>37795793.961051092</v>
      </c>
      <c r="P50" s="146">
        <f t="shared" si="5"/>
        <v>36694.945593253484</v>
      </c>
      <c r="R50" s="140" t="str">
        <f t="shared" si="6"/>
        <v>8.2</v>
      </c>
      <c r="S50" s="140" t="str">
        <f t="shared" si="7"/>
        <v>8.2 Improvement of efficiency and equity in pooling and management of resources for the health sector</v>
      </c>
      <c r="T50" s="140" t="str">
        <f t="shared" si="8"/>
        <v>8.2.3</v>
      </c>
      <c r="U50" s="140" t="str">
        <f t="shared" si="9"/>
        <v>8.2.3 Improve management and accountability of government and donor funds</v>
      </c>
      <c r="V50" s="140" t="str">
        <f t="shared" si="10"/>
        <v>Incentivize optimal disbursements and execution of government and donor funds</v>
      </c>
      <c r="W50" t="str">
        <f t="shared" si="11"/>
        <v>X</v>
      </c>
      <c r="X50" t="str">
        <f t="shared" si="12"/>
        <v>X</v>
      </c>
      <c r="Y50" t="str">
        <f t="shared" si="13"/>
        <v>X</v>
      </c>
      <c r="Z50" t="str">
        <f t="shared" si="14"/>
        <v/>
      </c>
      <c r="AA50" t="str">
        <f t="shared" si="15"/>
        <v/>
      </c>
      <c r="AB50" t="str">
        <f t="shared" si="16"/>
        <v>X</v>
      </c>
      <c r="AC50" t="str">
        <f t="shared" si="17"/>
        <v/>
      </c>
      <c r="AD50" t="str">
        <f t="shared" si="18"/>
        <v/>
      </c>
      <c r="AE50" s="28">
        <f t="shared" si="19"/>
        <v>7000000</v>
      </c>
      <c r="AF50" s="28">
        <f t="shared" si="20"/>
        <v>6999999.9999999981</v>
      </c>
      <c r="AG50" s="28">
        <f t="shared" si="21"/>
        <v>6999999.9999999981</v>
      </c>
      <c r="AH50" s="28">
        <f t="shared" si="22"/>
        <v>0</v>
      </c>
      <c r="AI50" s="28">
        <f t="shared" si="23"/>
        <v>0</v>
      </c>
      <c r="AJ50" s="28">
        <f t="shared" si="24"/>
        <v>6999999.9999999925</v>
      </c>
      <c r="AK50" s="28">
        <f t="shared" si="25"/>
        <v>0</v>
      </c>
      <c r="AL50" s="28">
        <f t="shared" si="26"/>
        <v>0</v>
      </c>
    </row>
    <row r="51" spans="1:38" ht="13.05" customHeight="1" x14ac:dyDescent="0.3">
      <c r="A51">
        <v>2</v>
      </c>
      <c r="B51" s="213" t="s">
        <v>983</v>
      </c>
      <c r="C51" t="s">
        <v>1500</v>
      </c>
      <c r="D51" t="s">
        <v>1280</v>
      </c>
      <c r="E51" t="s">
        <v>1680</v>
      </c>
      <c r="F51" s="41" t="s">
        <v>668</v>
      </c>
      <c r="G51" s="28">
        <v>1567964.15</v>
      </c>
      <c r="H51" s="28">
        <v>63665178.82262253</v>
      </c>
      <c r="I51" s="28">
        <v>0</v>
      </c>
      <c r="J51" s="28">
        <v>0</v>
      </c>
      <c r="K51" s="28">
        <v>0</v>
      </c>
      <c r="L51" s="28">
        <v>0</v>
      </c>
      <c r="M51" s="28">
        <v>124160430.59526269</v>
      </c>
      <c r="N51" s="28">
        <v>0</v>
      </c>
      <c r="O51" s="146">
        <f t="shared" si="4"/>
        <v>189393573.56788522</v>
      </c>
      <c r="P51" s="146">
        <f t="shared" si="5"/>
        <v>183877.25589115071</v>
      </c>
      <c r="R51" s="140" t="str">
        <f t="shared" si="6"/>
        <v>8.2</v>
      </c>
      <c r="S51" s="140" t="str">
        <f t="shared" si="7"/>
        <v>8.2 Improvement of efficiency and equity in pooling and management of resources for the health sector</v>
      </c>
      <c r="T51" s="140" t="str">
        <f t="shared" si="8"/>
        <v>8.2.3</v>
      </c>
      <c r="U51" s="140" t="str">
        <f t="shared" si="9"/>
        <v>8.2.3 Improve management and accountability of government and donor funds</v>
      </c>
      <c r="V51" s="140" t="str">
        <f t="shared" si="10"/>
        <v>Capacitate national and subnational levels to undertake government and donor funded procurements</v>
      </c>
      <c r="W51" t="str">
        <f t="shared" si="11"/>
        <v>X</v>
      </c>
      <c r="X51" t="str">
        <f t="shared" si="12"/>
        <v>X</v>
      </c>
      <c r="Y51" t="str">
        <f t="shared" si="13"/>
        <v/>
      </c>
      <c r="Z51" t="str">
        <f t="shared" si="14"/>
        <v/>
      </c>
      <c r="AA51" t="str">
        <f t="shared" si="15"/>
        <v/>
      </c>
      <c r="AB51" t="str">
        <f t="shared" si="16"/>
        <v/>
      </c>
      <c r="AC51" t="str">
        <f t="shared" si="17"/>
        <v>X</v>
      </c>
      <c r="AD51" t="str">
        <f t="shared" si="18"/>
        <v/>
      </c>
      <c r="AE51" s="28">
        <f t="shared" si="19"/>
        <v>1567964.15</v>
      </c>
      <c r="AF51" s="28">
        <f t="shared" si="20"/>
        <v>55703914.285714269</v>
      </c>
      <c r="AG51" s="28">
        <f t="shared" si="21"/>
        <v>0</v>
      </c>
      <c r="AH51" s="28">
        <f t="shared" si="22"/>
        <v>0</v>
      </c>
      <c r="AI51" s="28">
        <f t="shared" si="23"/>
        <v>0</v>
      </c>
      <c r="AJ51" s="28">
        <f t="shared" si="24"/>
        <v>0</v>
      </c>
      <c r="AK51" s="28">
        <f t="shared" si="25"/>
        <v>55703914.285714231</v>
      </c>
      <c r="AL51" s="28">
        <f t="shared" si="26"/>
        <v>0</v>
      </c>
    </row>
    <row r="52" spans="1:38" ht="13.05" customHeight="1" x14ac:dyDescent="0.3">
      <c r="A52">
        <v>2</v>
      </c>
      <c r="B52" s="213" t="s">
        <v>983</v>
      </c>
      <c r="C52" t="s">
        <v>1500</v>
      </c>
      <c r="D52" t="s">
        <v>1280</v>
      </c>
      <c r="E52" t="s">
        <v>1726</v>
      </c>
      <c r="F52" s="41" t="s">
        <v>1610</v>
      </c>
      <c r="G52" s="28">
        <v>0</v>
      </c>
      <c r="H52" s="28">
        <v>0</v>
      </c>
      <c r="I52" s="28">
        <v>43659267.31191045</v>
      </c>
      <c r="J52" s="28">
        <v>0</v>
      </c>
      <c r="K52" s="28">
        <v>0</v>
      </c>
      <c r="L52" s="28">
        <v>65181626.176186837</v>
      </c>
      <c r="M52" s="28">
        <v>0</v>
      </c>
      <c r="N52" s="28">
        <v>0</v>
      </c>
      <c r="O52" s="146">
        <f t="shared" si="4"/>
        <v>108840893.48809728</v>
      </c>
      <c r="P52" s="146">
        <f t="shared" si="5"/>
        <v>105670.77037679347</v>
      </c>
      <c r="R52" s="140" t="str">
        <f t="shared" si="6"/>
        <v>8.2</v>
      </c>
      <c r="S52" s="140" t="str">
        <f t="shared" si="7"/>
        <v>8.2 Improvement of efficiency and equity in pooling and management of resources for the health sector</v>
      </c>
      <c r="T52" s="140" t="str">
        <f t="shared" si="8"/>
        <v>8.2.3</v>
      </c>
      <c r="U52" s="140" t="str">
        <f t="shared" si="9"/>
        <v>8.2.3 Improve management and accountability of government and donor funds</v>
      </c>
      <c r="V52" s="140" t="str">
        <f t="shared" si="10"/>
        <v>Conduct periodic absorption capacity assessments</v>
      </c>
      <c r="W52" t="str">
        <f t="shared" si="11"/>
        <v/>
      </c>
      <c r="X52" t="str">
        <f t="shared" si="12"/>
        <v/>
      </c>
      <c r="Y52" t="str">
        <f t="shared" si="13"/>
        <v>X</v>
      </c>
      <c r="Z52" t="str">
        <f t="shared" si="14"/>
        <v/>
      </c>
      <c r="AA52" t="str">
        <f t="shared" si="15"/>
        <v/>
      </c>
      <c r="AB52" t="str">
        <f t="shared" si="16"/>
        <v>X</v>
      </c>
      <c r="AC52" t="str">
        <f t="shared" si="17"/>
        <v/>
      </c>
      <c r="AD52" t="str">
        <f t="shared" si="18"/>
        <v/>
      </c>
      <c r="AE52" s="28">
        <f t="shared" si="19"/>
        <v>0</v>
      </c>
      <c r="AF52" s="28">
        <f t="shared" si="20"/>
        <v>0</v>
      </c>
      <c r="AG52" s="28">
        <f t="shared" si="21"/>
        <v>33422885.749999993</v>
      </c>
      <c r="AH52" s="28">
        <f t="shared" si="22"/>
        <v>0</v>
      </c>
      <c r="AI52" s="28">
        <f t="shared" si="23"/>
        <v>0</v>
      </c>
      <c r="AJ52" s="28">
        <f t="shared" si="24"/>
        <v>33422885.74999997</v>
      </c>
      <c r="AK52" s="28">
        <f t="shared" si="25"/>
        <v>0</v>
      </c>
      <c r="AL52" s="28">
        <f t="shared" si="26"/>
        <v>0</v>
      </c>
    </row>
    <row r="53" spans="1:38" ht="13.05" customHeight="1" x14ac:dyDescent="0.3">
      <c r="A53">
        <v>3</v>
      </c>
      <c r="B53" s="213" t="s">
        <v>696</v>
      </c>
      <c r="C53" t="s">
        <v>1498</v>
      </c>
      <c r="D53" t="s">
        <v>689</v>
      </c>
      <c r="E53" t="s">
        <v>1545</v>
      </c>
      <c r="F53" s="41" t="s">
        <v>1714</v>
      </c>
      <c r="G53" s="28">
        <v>1483977569.6714289</v>
      </c>
      <c r="H53" s="28">
        <v>5000279.7993749995</v>
      </c>
      <c r="I53" s="28">
        <v>0</v>
      </c>
      <c r="J53" s="28">
        <v>6531708.6629857821</v>
      </c>
      <c r="K53" s="28">
        <v>1533497653.7929473</v>
      </c>
      <c r="L53" s="28">
        <v>8532166.152673319</v>
      </c>
      <c r="M53" s="28">
        <v>0</v>
      </c>
      <c r="N53" s="28">
        <v>610295935.74754357</v>
      </c>
      <c r="O53" s="146">
        <f t="shared" si="4"/>
        <v>3647835313.8269539</v>
      </c>
      <c r="P53" s="146">
        <f t="shared" si="5"/>
        <v>3541587.6833271398</v>
      </c>
      <c r="R53" s="140" t="str">
        <f t="shared" si="6"/>
        <v>8.3</v>
      </c>
      <c r="S53" s="140" t="str">
        <f t="shared" si="7"/>
        <v>8.3 Development and implementation of strategic purchasing measures across the healthcare service delivery continuum</v>
      </c>
      <c r="T53" s="140" t="str">
        <f t="shared" si="8"/>
        <v>8.3.1</v>
      </c>
      <c r="U53" s="140" t="str">
        <f t="shared" si="9"/>
        <v>8.3.1 Define and implement benefit packages for all levels of care</v>
      </c>
      <c r="V53" s="140" t="str">
        <f t="shared" si="10"/>
        <v>Clearly articulate the parameters involved in the redefinition of the new EHP for primary/secondary/tertiary care, set conditions, governance structures, and timelines for revisions</v>
      </c>
      <c r="W53" t="str">
        <f t="shared" si="11"/>
        <v>X</v>
      </c>
      <c r="X53" t="str">
        <f t="shared" si="12"/>
        <v>X</v>
      </c>
      <c r="Y53" t="str">
        <f t="shared" si="13"/>
        <v/>
      </c>
      <c r="Z53" t="str">
        <f t="shared" si="14"/>
        <v>X</v>
      </c>
      <c r="AA53" t="str">
        <f t="shared" si="15"/>
        <v>X</v>
      </c>
      <c r="AB53" t="str">
        <f t="shared" si="16"/>
        <v>X</v>
      </c>
      <c r="AC53" t="str">
        <f t="shared" si="17"/>
        <v/>
      </c>
      <c r="AD53" t="str">
        <f t="shared" si="18"/>
        <v>X</v>
      </c>
      <c r="AE53" s="28">
        <f t="shared" si="19"/>
        <v>1483977569.6714289</v>
      </c>
      <c r="AF53" s="28">
        <f t="shared" si="20"/>
        <v>4374999.9999999991</v>
      </c>
      <c r="AG53" s="28">
        <f t="shared" si="21"/>
        <v>0</v>
      </c>
      <c r="AH53" s="28">
        <f t="shared" si="22"/>
        <v>4374999.9999999981</v>
      </c>
      <c r="AI53" s="28">
        <f t="shared" si="23"/>
        <v>898706987.58571351</v>
      </c>
      <c r="AJ53" s="28">
        <f t="shared" si="24"/>
        <v>4374999.9999999963</v>
      </c>
      <c r="AK53" s="28">
        <f t="shared" si="25"/>
        <v>0</v>
      </c>
      <c r="AL53" s="28">
        <f t="shared" si="26"/>
        <v>239566855.38571402</v>
      </c>
    </row>
    <row r="54" spans="1:38" ht="13.05" customHeight="1" x14ac:dyDescent="0.3">
      <c r="A54">
        <v>3</v>
      </c>
      <c r="B54" s="213" t="s">
        <v>696</v>
      </c>
      <c r="C54" t="s">
        <v>1498</v>
      </c>
      <c r="D54" t="s">
        <v>689</v>
      </c>
      <c r="E54" t="s">
        <v>1546</v>
      </c>
      <c r="F54" s="41" t="s">
        <v>1715</v>
      </c>
      <c r="G54" s="28">
        <v>0</v>
      </c>
      <c r="H54" s="28">
        <v>161079854.16533402</v>
      </c>
      <c r="I54" s="28">
        <v>0</v>
      </c>
      <c r="J54" s="28">
        <v>0</v>
      </c>
      <c r="K54" s="28">
        <v>1346855161.5017939</v>
      </c>
      <c r="L54" s="28">
        <v>0</v>
      </c>
      <c r="M54" s="28">
        <v>0</v>
      </c>
      <c r="N54" s="28">
        <v>359036601.10505164</v>
      </c>
      <c r="O54" s="146">
        <f t="shared" si="4"/>
        <v>1866971616.7721796</v>
      </c>
      <c r="P54" s="146">
        <f t="shared" si="5"/>
        <v>1812593.8026914366</v>
      </c>
      <c r="R54" s="140" t="str">
        <f t="shared" si="6"/>
        <v>8.3</v>
      </c>
      <c r="S54" s="140" t="str">
        <f t="shared" si="7"/>
        <v>8.3 Development and implementation of strategic purchasing measures across the healthcare service delivery continuum</v>
      </c>
      <c r="T54" s="140" t="str">
        <f t="shared" si="8"/>
        <v>8.3.1</v>
      </c>
      <c r="U54" s="140" t="str">
        <f t="shared" si="9"/>
        <v>8.3.1 Define and implement benefit packages for all levels of care</v>
      </c>
      <c r="V54" s="140" t="str">
        <f t="shared" si="10"/>
        <v>Revise the essential medicines list, must-have lists, and tracer medicines list to align with the new EHP and disseminate the same</v>
      </c>
      <c r="W54" t="str">
        <f t="shared" si="11"/>
        <v/>
      </c>
      <c r="X54" t="str">
        <f t="shared" si="12"/>
        <v>X</v>
      </c>
      <c r="Y54" t="str">
        <f t="shared" si="13"/>
        <v/>
      </c>
      <c r="Z54" t="str">
        <f t="shared" si="14"/>
        <v/>
      </c>
      <c r="AA54" t="str">
        <f t="shared" si="15"/>
        <v>X</v>
      </c>
      <c r="AB54" t="str">
        <f t="shared" si="16"/>
        <v/>
      </c>
      <c r="AC54" t="str">
        <f t="shared" si="17"/>
        <v/>
      </c>
      <c r="AD54" t="str">
        <f t="shared" si="18"/>
        <v>X</v>
      </c>
      <c r="AE54" s="28">
        <f t="shared" si="19"/>
        <v>0</v>
      </c>
      <c r="AF54" s="28">
        <f t="shared" si="20"/>
        <v>140936985.57857141</v>
      </c>
      <c r="AG54" s="28">
        <f t="shared" si="21"/>
        <v>0</v>
      </c>
      <c r="AH54" s="28">
        <f t="shared" si="22"/>
        <v>0</v>
      </c>
      <c r="AI54" s="28">
        <f t="shared" si="23"/>
        <v>789325071.29285681</v>
      </c>
      <c r="AJ54" s="28">
        <f t="shared" si="24"/>
        <v>0</v>
      </c>
      <c r="AK54" s="28">
        <f t="shared" si="25"/>
        <v>0</v>
      </c>
      <c r="AL54" s="28">
        <f t="shared" si="26"/>
        <v>140936985.57857126</v>
      </c>
    </row>
    <row r="55" spans="1:38" ht="13.05" customHeight="1" x14ac:dyDescent="0.3">
      <c r="A55">
        <v>3</v>
      </c>
      <c r="B55" s="213" t="s">
        <v>696</v>
      </c>
      <c r="C55" t="s">
        <v>1498</v>
      </c>
      <c r="D55" t="s">
        <v>689</v>
      </c>
      <c r="E55" t="s">
        <v>1547</v>
      </c>
      <c r="F55" s="41" t="s">
        <v>1716</v>
      </c>
      <c r="G55" s="28">
        <v>0</v>
      </c>
      <c r="H55" s="28">
        <v>156079574.36595899</v>
      </c>
      <c r="I55" s="28">
        <v>0</v>
      </c>
      <c r="J55" s="28">
        <v>0</v>
      </c>
      <c r="K55" s="28">
        <v>1346855161.5017939</v>
      </c>
      <c r="L55" s="28">
        <v>0</v>
      </c>
      <c r="M55" s="28">
        <v>0</v>
      </c>
      <c r="N55" s="28">
        <v>347891300.08001375</v>
      </c>
      <c r="O55" s="146">
        <f t="shared" si="4"/>
        <v>1850826035.9477665</v>
      </c>
      <c r="P55" s="146">
        <f t="shared" si="5"/>
        <v>1796918.4815026859</v>
      </c>
      <c r="R55" s="140" t="str">
        <f t="shared" si="6"/>
        <v>8.3</v>
      </c>
      <c r="S55" s="140" t="str">
        <f t="shared" si="7"/>
        <v>8.3 Development and implementation of strategic purchasing measures across the healthcare service delivery continuum</v>
      </c>
      <c r="T55" s="140" t="str">
        <f t="shared" si="8"/>
        <v>8.3.1</v>
      </c>
      <c r="U55" s="140" t="str">
        <f t="shared" si="9"/>
        <v>8.3.1 Define and implement benefit packages for all levels of care</v>
      </c>
      <c r="V55" s="140" t="str">
        <f t="shared" si="10"/>
        <v>Revise the essential Equipment list to align with the new EHP and disseminate the same</v>
      </c>
      <c r="W55" t="str">
        <f t="shared" si="11"/>
        <v/>
      </c>
      <c r="X55" t="str">
        <f t="shared" si="12"/>
        <v>X</v>
      </c>
      <c r="Y55" t="str">
        <f t="shared" si="13"/>
        <v/>
      </c>
      <c r="Z55" t="str">
        <f t="shared" si="14"/>
        <v/>
      </c>
      <c r="AA55" t="str">
        <f t="shared" si="15"/>
        <v>X</v>
      </c>
      <c r="AB55" t="str">
        <f t="shared" si="16"/>
        <v/>
      </c>
      <c r="AC55" t="str">
        <f t="shared" si="17"/>
        <v/>
      </c>
      <c r="AD55" t="str">
        <f t="shared" si="18"/>
        <v>X</v>
      </c>
      <c r="AE55" s="28">
        <f t="shared" si="19"/>
        <v>0</v>
      </c>
      <c r="AF55" s="28">
        <f t="shared" si="20"/>
        <v>136561985.57857138</v>
      </c>
      <c r="AG55" s="28">
        <f t="shared" si="21"/>
        <v>0</v>
      </c>
      <c r="AH55" s="28">
        <f t="shared" si="22"/>
        <v>0</v>
      </c>
      <c r="AI55" s="28">
        <f t="shared" si="23"/>
        <v>789325071.29285681</v>
      </c>
      <c r="AJ55" s="28">
        <f t="shared" si="24"/>
        <v>0</v>
      </c>
      <c r="AK55" s="28">
        <f t="shared" si="25"/>
        <v>0</v>
      </c>
      <c r="AL55" s="28">
        <f t="shared" si="26"/>
        <v>136561985.57857126</v>
      </c>
    </row>
    <row r="56" spans="1:38" ht="13.05" customHeight="1" x14ac:dyDescent="0.3">
      <c r="A56">
        <v>3</v>
      </c>
      <c r="B56" s="213" t="s">
        <v>696</v>
      </c>
      <c r="C56" t="s">
        <v>1498</v>
      </c>
      <c r="D56" t="s">
        <v>689</v>
      </c>
      <c r="E56" t="s">
        <v>1548</v>
      </c>
      <c r="F56" s="41" t="s">
        <v>1728</v>
      </c>
      <c r="G56" s="28">
        <v>0</v>
      </c>
      <c r="H56" s="28">
        <v>550684496.14384544</v>
      </c>
      <c r="I56" s="28">
        <v>0</v>
      </c>
      <c r="J56" s="28">
        <v>0</v>
      </c>
      <c r="K56" s="28">
        <v>0</v>
      </c>
      <c r="L56" s="28">
        <v>0</v>
      </c>
      <c r="M56" s="28">
        <v>0</v>
      </c>
      <c r="N56" s="28">
        <v>1227440208.4682586</v>
      </c>
      <c r="O56" s="146">
        <f t="shared" si="4"/>
        <v>1778124704.6121039</v>
      </c>
      <c r="P56" s="146">
        <f t="shared" si="5"/>
        <v>1726334.6646719456</v>
      </c>
      <c r="R56" s="140" t="str">
        <f t="shared" si="6"/>
        <v>8.3</v>
      </c>
      <c r="S56" s="140" t="str">
        <f t="shared" si="7"/>
        <v>8.3 Development and implementation of strategic purchasing measures across the healthcare service delivery continuum</v>
      </c>
      <c r="T56" s="140" t="str">
        <f t="shared" si="8"/>
        <v>8.3.1</v>
      </c>
      <c r="U56" s="140" t="str">
        <f t="shared" si="9"/>
        <v>8.3.1 Define and implement benefit packages for all levels of care</v>
      </c>
      <c r="V56" s="140" t="str">
        <f t="shared" si="10"/>
        <v>Disseminate, implement and monitor the implementation of the new tiered BHP2</v>
      </c>
      <c r="W56" t="str">
        <f t="shared" si="11"/>
        <v/>
      </c>
      <c r="X56" t="str">
        <f t="shared" si="12"/>
        <v>X</v>
      </c>
      <c r="Y56" t="str">
        <f t="shared" si="13"/>
        <v/>
      </c>
      <c r="Z56" t="str">
        <f t="shared" si="14"/>
        <v/>
      </c>
      <c r="AA56" t="str">
        <f t="shared" si="15"/>
        <v/>
      </c>
      <c r="AB56" t="str">
        <f t="shared" si="16"/>
        <v/>
      </c>
      <c r="AC56" t="str">
        <f t="shared" si="17"/>
        <v/>
      </c>
      <c r="AD56" t="str">
        <f t="shared" si="18"/>
        <v>X</v>
      </c>
      <c r="AE56" s="28">
        <f t="shared" si="19"/>
        <v>0</v>
      </c>
      <c r="AF56" s="28">
        <f t="shared" si="20"/>
        <v>481821971.42857134</v>
      </c>
      <c r="AG56" s="28">
        <f t="shared" si="21"/>
        <v>0</v>
      </c>
      <c r="AH56" s="28">
        <f t="shared" si="22"/>
        <v>0</v>
      </c>
      <c r="AI56" s="28">
        <f t="shared" si="23"/>
        <v>0</v>
      </c>
      <c r="AJ56" s="28">
        <f t="shared" si="24"/>
        <v>0</v>
      </c>
      <c r="AK56" s="28">
        <f t="shared" si="25"/>
        <v>0</v>
      </c>
      <c r="AL56" s="28">
        <f t="shared" si="26"/>
        <v>481821971.42857105</v>
      </c>
    </row>
    <row r="57" spans="1:38" ht="13.05" customHeight="1" x14ac:dyDescent="0.3">
      <c r="A57">
        <v>3</v>
      </c>
      <c r="B57" s="213" t="s">
        <v>696</v>
      </c>
      <c r="C57" t="s">
        <v>1499</v>
      </c>
      <c r="D57" t="s">
        <v>690</v>
      </c>
      <c r="E57" t="s">
        <v>1549</v>
      </c>
      <c r="F57" s="41" t="s">
        <v>1696</v>
      </c>
      <c r="G57" s="28">
        <v>37955428.571428567</v>
      </c>
      <c r="H57" s="28">
        <v>30098271.956390738</v>
      </c>
      <c r="I57" s="28">
        <v>34399950.002202444</v>
      </c>
      <c r="J57" s="28">
        <v>39316428.593262359</v>
      </c>
      <c r="K57" s="28">
        <v>44935575.697933577</v>
      </c>
      <c r="L57" s="28">
        <v>74021033.821109176</v>
      </c>
      <c r="M57" s="28">
        <v>58697933.083491117</v>
      </c>
      <c r="N57" s="28">
        <v>67087106.071416266</v>
      </c>
      <c r="O57" s="146">
        <f t="shared" si="4"/>
        <v>386511727.79723424</v>
      </c>
      <c r="P57" s="146">
        <f t="shared" si="5"/>
        <v>375254.10465750896</v>
      </c>
      <c r="R57" s="140" t="str">
        <f t="shared" si="6"/>
        <v>8.3</v>
      </c>
      <c r="S57" s="140" t="str">
        <f t="shared" si="7"/>
        <v>8.3 Development and implementation of strategic purchasing measures across the healthcare service delivery continuum</v>
      </c>
      <c r="T57" s="140" t="str">
        <f t="shared" si="8"/>
        <v>8.3.2</v>
      </c>
      <c r="U57" s="140" t="str">
        <f t="shared" si="9"/>
        <v xml:space="preserve">8.3.2 Develop and implement effective strategic resource allocation and use measures across the healthcare delivery </v>
      </c>
      <c r="V57" s="140" t="str">
        <f t="shared" si="10"/>
        <v>Facilitate implementation of the district resource allocation formula including for donor or partner resources</v>
      </c>
      <c r="W57" t="str">
        <f t="shared" si="11"/>
        <v>X</v>
      </c>
      <c r="X57" t="str">
        <f t="shared" si="12"/>
        <v>X</v>
      </c>
      <c r="Y57" t="str">
        <f t="shared" si="13"/>
        <v>X</v>
      </c>
      <c r="Z57" t="str">
        <f t="shared" si="14"/>
        <v>X</v>
      </c>
      <c r="AA57" t="str">
        <f t="shared" si="15"/>
        <v>X</v>
      </c>
      <c r="AB57" t="str">
        <f t="shared" si="16"/>
        <v>X</v>
      </c>
      <c r="AC57" t="str">
        <f t="shared" si="17"/>
        <v>X</v>
      </c>
      <c r="AD57" t="str">
        <f t="shared" si="18"/>
        <v>X</v>
      </c>
      <c r="AE57" s="28">
        <f t="shared" si="19"/>
        <v>37955428.571428567</v>
      </c>
      <c r="AF57" s="28">
        <f t="shared" si="20"/>
        <v>26334514.28571428</v>
      </c>
      <c r="AG57" s="28">
        <f t="shared" si="21"/>
        <v>26334514.28571428</v>
      </c>
      <c r="AH57" s="28">
        <f t="shared" si="22"/>
        <v>26334514.285714272</v>
      </c>
      <c r="AI57" s="28">
        <f t="shared" si="23"/>
        <v>26334514.285714265</v>
      </c>
      <c r="AJ57" s="28">
        <f t="shared" si="24"/>
        <v>37955428.57142853</v>
      </c>
      <c r="AK57" s="28">
        <f t="shared" si="25"/>
        <v>26334514.285714258</v>
      </c>
      <c r="AL57" s="28">
        <f t="shared" si="26"/>
        <v>26334514.285714258</v>
      </c>
    </row>
    <row r="58" spans="1:38" ht="13.05" customHeight="1" x14ac:dyDescent="0.3">
      <c r="A58">
        <v>3</v>
      </c>
      <c r="B58" s="213" t="s">
        <v>696</v>
      </c>
      <c r="C58" t="s">
        <v>1499</v>
      </c>
      <c r="D58" t="s">
        <v>690</v>
      </c>
      <c r="E58" t="s">
        <v>1550</v>
      </c>
      <c r="F58" s="41" t="s">
        <v>1717</v>
      </c>
      <c r="G58" s="28">
        <v>0</v>
      </c>
      <c r="H58" s="28">
        <v>45586550.874941997</v>
      </c>
      <c r="I58" s="28">
        <v>0</v>
      </c>
      <c r="J58" s="28">
        <v>0</v>
      </c>
      <c r="K58" s="28">
        <v>0</v>
      </c>
      <c r="L58" s="28">
        <v>0</v>
      </c>
      <c r="M58" s="28">
        <v>88903320.318240106</v>
      </c>
      <c r="N58" s="28">
        <v>0</v>
      </c>
      <c r="O58" s="146">
        <f t="shared" si="4"/>
        <v>134489871.19318211</v>
      </c>
      <c r="P58" s="146">
        <f t="shared" si="5"/>
        <v>130572.69047881759</v>
      </c>
      <c r="R58" s="140" t="str">
        <f t="shared" si="6"/>
        <v>8.3</v>
      </c>
      <c r="S58" s="140" t="str">
        <f t="shared" si="7"/>
        <v>8.3 Development and implementation of strategic purchasing measures across the healthcare service delivery continuum</v>
      </c>
      <c r="T58" s="140" t="str">
        <f t="shared" si="8"/>
        <v>8.3.2</v>
      </c>
      <c r="U58" s="140" t="str">
        <f t="shared" si="9"/>
        <v xml:space="preserve">8.3.2 Develop and implement effective strategic resource allocation and use measures across the healthcare delivery </v>
      </c>
      <c r="V58" s="140" t="str">
        <f t="shared" si="10"/>
        <v>Develop resource allocation framework for tertiary care</v>
      </c>
      <c r="W58" t="str">
        <f t="shared" si="11"/>
        <v/>
      </c>
      <c r="X58" t="str">
        <f t="shared" si="12"/>
        <v>X</v>
      </c>
      <c r="Y58" t="str">
        <f t="shared" si="13"/>
        <v/>
      </c>
      <c r="Z58" t="str">
        <f t="shared" si="14"/>
        <v/>
      </c>
      <c r="AA58" t="str">
        <f t="shared" si="15"/>
        <v/>
      </c>
      <c r="AB58" t="str">
        <f t="shared" si="16"/>
        <v/>
      </c>
      <c r="AC58" t="str">
        <f t="shared" si="17"/>
        <v>X</v>
      </c>
      <c r="AD58" t="str">
        <f t="shared" si="18"/>
        <v/>
      </c>
      <c r="AE58" s="28">
        <f t="shared" si="19"/>
        <v>0</v>
      </c>
      <c r="AF58" s="28">
        <f t="shared" si="20"/>
        <v>39885999.999999993</v>
      </c>
      <c r="AG58" s="28">
        <f t="shared" si="21"/>
        <v>0</v>
      </c>
      <c r="AH58" s="28">
        <f t="shared" si="22"/>
        <v>0</v>
      </c>
      <c r="AI58" s="28">
        <f t="shared" si="23"/>
        <v>0</v>
      </c>
      <c r="AJ58" s="28">
        <f t="shared" si="24"/>
        <v>0</v>
      </c>
      <c r="AK58" s="28">
        <f t="shared" si="25"/>
        <v>39885999.999999963</v>
      </c>
      <c r="AL58" s="28">
        <f t="shared" si="26"/>
        <v>0</v>
      </c>
    </row>
    <row r="59" spans="1:38" ht="13.05" customHeight="1" x14ac:dyDescent="0.3">
      <c r="A59">
        <v>3</v>
      </c>
      <c r="B59" s="213" t="s">
        <v>696</v>
      </c>
      <c r="C59" t="s">
        <v>1499</v>
      </c>
      <c r="D59" t="s">
        <v>690</v>
      </c>
      <c r="E59" t="s">
        <v>1551</v>
      </c>
      <c r="F59" s="41" t="s">
        <v>652</v>
      </c>
      <c r="G59" s="28">
        <v>0</v>
      </c>
      <c r="H59" s="28">
        <v>0</v>
      </c>
      <c r="I59" s="28">
        <v>67027330.790071689</v>
      </c>
      <c r="J59" s="28">
        <v>11331581.429042762</v>
      </c>
      <c r="K59" s="28">
        <v>12951103.47762638</v>
      </c>
      <c r="L59" s="28">
        <v>14802089.394009255</v>
      </c>
      <c r="M59" s="28">
        <v>16917620.248093121</v>
      </c>
      <c r="N59" s="28">
        <v>130717330.98767728</v>
      </c>
      <c r="O59" s="146">
        <f t="shared" si="4"/>
        <v>253747056.3265205</v>
      </c>
      <c r="P59" s="146">
        <f t="shared" si="5"/>
        <v>246356.36536555388</v>
      </c>
      <c r="R59" s="140" t="str">
        <f t="shared" si="6"/>
        <v>8.3</v>
      </c>
      <c r="S59" s="140" t="str">
        <f t="shared" si="7"/>
        <v>8.3 Development and implementation of strategic purchasing measures across the healthcare service delivery continuum</v>
      </c>
      <c r="T59" s="140" t="str">
        <f t="shared" si="8"/>
        <v>8.3.2</v>
      </c>
      <c r="U59" s="140" t="str">
        <f t="shared" si="9"/>
        <v xml:space="preserve">8.3.2 Develop and implement effective strategic resource allocation and use measures across the healthcare delivery </v>
      </c>
      <c r="V59" s="140" t="str">
        <f t="shared" si="10"/>
        <v>Implementation of the CHRAF</v>
      </c>
      <c r="W59" t="str">
        <f t="shared" si="11"/>
        <v/>
      </c>
      <c r="X59" t="str">
        <f t="shared" si="12"/>
        <v/>
      </c>
      <c r="Y59" t="str">
        <f t="shared" si="13"/>
        <v>X</v>
      </c>
      <c r="Z59" t="str">
        <f t="shared" si="14"/>
        <v>X</v>
      </c>
      <c r="AA59" t="str">
        <f t="shared" si="15"/>
        <v>X</v>
      </c>
      <c r="AB59" t="str">
        <f t="shared" si="16"/>
        <v>X</v>
      </c>
      <c r="AC59" t="str">
        <f t="shared" si="17"/>
        <v>X</v>
      </c>
      <c r="AD59" t="str">
        <f t="shared" si="18"/>
        <v>X</v>
      </c>
      <c r="AE59" s="28">
        <f t="shared" si="19"/>
        <v>0</v>
      </c>
      <c r="AF59" s="28">
        <f t="shared" si="20"/>
        <v>0</v>
      </c>
      <c r="AG59" s="28">
        <f t="shared" si="21"/>
        <v>51312057.142857112</v>
      </c>
      <c r="AH59" s="28">
        <f t="shared" si="22"/>
        <v>7589999.9999999963</v>
      </c>
      <c r="AI59" s="28">
        <f t="shared" si="23"/>
        <v>7589999.9999999944</v>
      </c>
      <c r="AJ59" s="28">
        <f t="shared" si="24"/>
        <v>7589999.9999999925</v>
      </c>
      <c r="AK59" s="28">
        <f t="shared" si="25"/>
        <v>7589999.9999999907</v>
      </c>
      <c r="AL59" s="28">
        <f t="shared" si="26"/>
        <v>51312057.14285709</v>
      </c>
    </row>
    <row r="60" spans="1:38" ht="13.05" customHeight="1" x14ac:dyDescent="0.3">
      <c r="A60">
        <v>3</v>
      </c>
      <c r="B60" s="213" t="s">
        <v>696</v>
      </c>
      <c r="C60" t="s">
        <v>1499</v>
      </c>
      <c r="D60" t="s">
        <v>690</v>
      </c>
      <c r="E60" t="s">
        <v>1552</v>
      </c>
      <c r="F60" s="41" t="s">
        <v>1697</v>
      </c>
      <c r="G60" s="28">
        <v>0</v>
      </c>
      <c r="H60" s="28">
        <v>0</v>
      </c>
      <c r="I60" s="28">
        <v>106878451.76770419</v>
      </c>
      <c r="J60" s="28">
        <v>0</v>
      </c>
      <c r="K60" s="28">
        <v>0</v>
      </c>
      <c r="L60" s="28">
        <v>0</v>
      </c>
      <c r="M60" s="28">
        <v>0</v>
      </c>
      <c r="N60" s="28">
        <v>0</v>
      </c>
      <c r="O60" s="146">
        <f t="shared" si="4"/>
        <v>106878451.76770419</v>
      </c>
      <c r="P60" s="146">
        <f t="shared" si="5"/>
        <v>103765.48715311087</v>
      </c>
      <c r="R60" s="140" t="str">
        <f t="shared" si="6"/>
        <v>8.3</v>
      </c>
      <c r="S60" s="140" t="str">
        <f t="shared" si="7"/>
        <v>8.3 Development and implementation of strategic purchasing measures across the healthcare service delivery continuum</v>
      </c>
      <c r="T60" s="140" t="str">
        <f t="shared" si="8"/>
        <v>8.3.2</v>
      </c>
      <c r="U60" s="140" t="str">
        <f t="shared" si="9"/>
        <v xml:space="preserve">8.3.2 Develop and implement effective strategic resource allocation and use measures across the healthcare delivery </v>
      </c>
      <c r="V60" s="140" t="str">
        <f t="shared" si="10"/>
        <v>Develop intra-district resource allocation formula</v>
      </c>
      <c r="W60" t="str">
        <f t="shared" si="11"/>
        <v/>
      </c>
      <c r="X60" t="str">
        <f t="shared" si="12"/>
        <v/>
      </c>
      <c r="Y60" t="str">
        <f t="shared" si="13"/>
        <v>X</v>
      </c>
      <c r="Z60" t="str">
        <f t="shared" si="14"/>
        <v/>
      </c>
      <c r="AA60" t="str">
        <f t="shared" si="15"/>
        <v/>
      </c>
      <c r="AB60" t="str">
        <f t="shared" si="16"/>
        <v/>
      </c>
      <c r="AC60" t="str">
        <f t="shared" si="17"/>
        <v/>
      </c>
      <c r="AD60" t="str">
        <f t="shared" si="18"/>
        <v/>
      </c>
      <c r="AE60" s="28">
        <f t="shared" si="19"/>
        <v>0</v>
      </c>
      <c r="AF60" s="28">
        <f t="shared" si="20"/>
        <v>0</v>
      </c>
      <c r="AG60" s="28">
        <f t="shared" si="21"/>
        <v>81819657.142857105</v>
      </c>
      <c r="AH60" s="28">
        <f t="shared" si="22"/>
        <v>0</v>
      </c>
      <c r="AI60" s="28">
        <f t="shared" si="23"/>
        <v>0</v>
      </c>
      <c r="AJ60" s="28">
        <f t="shared" si="24"/>
        <v>0</v>
      </c>
      <c r="AK60" s="28">
        <f t="shared" si="25"/>
        <v>0</v>
      </c>
      <c r="AL60" s="28">
        <f t="shared" si="26"/>
        <v>0</v>
      </c>
    </row>
    <row r="61" spans="1:38" ht="13.05" customHeight="1" x14ac:dyDescent="0.3">
      <c r="A61">
        <v>3</v>
      </c>
      <c r="B61" s="213" t="s">
        <v>696</v>
      </c>
      <c r="C61" t="s">
        <v>1499</v>
      </c>
      <c r="D61" t="s">
        <v>690</v>
      </c>
      <c r="E61" t="s">
        <v>1553</v>
      </c>
      <c r="F61" s="41" t="s">
        <v>654</v>
      </c>
      <c r="G61" s="28">
        <v>0</v>
      </c>
      <c r="H61" s="28">
        <v>122274620.71001627</v>
      </c>
      <c r="I61" s="28">
        <v>0</v>
      </c>
      <c r="J61" s="28">
        <v>0</v>
      </c>
      <c r="K61" s="28">
        <v>182551359.85255173</v>
      </c>
      <c r="L61" s="28">
        <v>0</v>
      </c>
      <c r="M61" s="28">
        <v>0</v>
      </c>
      <c r="N61" s="28">
        <v>272542239.67742795</v>
      </c>
      <c r="O61" s="146">
        <f t="shared" si="4"/>
        <v>577368220.23999596</v>
      </c>
      <c r="P61" s="146">
        <f t="shared" si="5"/>
        <v>560551.67013591842</v>
      </c>
      <c r="R61" s="140" t="str">
        <f t="shared" si="6"/>
        <v>8.3</v>
      </c>
      <c r="S61" s="140" t="str">
        <f t="shared" si="7"/>
        <v>8.3 Development and implementation of strategic purchasing measures across the healthcare service delivery continuum</v>
      </c>
      <c r="T61" s="140" t="str">
        <f t="shared" si="8"/>
        <v>8.3.2</v>
      </c>
      <c r="U61" s="140" t="str">
        <f t="shared" si="9"/>
        <v xml:space="preserve">8.3.2 Develop and implement effective strategic resource allocation and use measures across the healthcare delivery </v>
      </c>
      <c r="V61" s="140" t="str">
        <f t="shared" si="10"/>
        <v>Monitoring effectiveness and informing Devolution of budget planning, execution and evaluation at council level</v>
      </c>
      <c r="W61" t="str">
        <f t="shared" si="11"/>
        <v/>
      </c>
      <c r="X61" t="str">
        <f t="shared" si="12"/>
        <v>X</v>
      </c>
      <c r="Y61" t="str">
        <f t="shared" si="13"/>
        <v/>
      </c>
      <c r="Z61" t="str">
        <f t="shared" si="14"/>
        <v/>
      </c>
      <c r="AA61" t="str">
        <f t="shared" si="15"/>
        <v>X</v>
      </c>
      <c r="AB61" t="str">
        <f t="shared" si="16"/>
        <v/>
      </c>
      <c r="AC61" t="str">
        <f t="shared" si="17"/>
        <v/>
      </c>
      <c r="AD61" t="str">
        <f t="shared" si="18"/>
        <v>X</v>
      </c>
      <c r="AE61" s="28">
        <f t="shared" si="19"/>
        <v>0</v>
      </c>
      <c r="AF61" s="28">
        <f t="shared" si="20"/>
        <v>106984306.29285711</v>
      </c>
      <c r="AG61" s="28">
        <f t="shared" si="21"/>
        <v>0</v>
      </c>
      <c r="AH61" s="28">
        <f t="shared" si="22"/>
        <v>0</v>
      </c>
      <c r="AI61" s="28">
        <f t="shared" si="23"/>
        <v>106984306.29285705</v>
      </c>
      <c r="AJ61" s="28">
        <f t="shared" si="24"/>
        <v>0</v>
      </c>
      <c r="AK61" s="28">
        <f t="shared" si="25"/>
        <v>0</v>
      </c>
      <c r="AL61" s="28">
        <f t="shared" si="26"/>
        <v>106984306.29285702</v>
      </c>
    </row>
    <row r="62" spans="1:38" ht="13.05" customHeight="1" x14ac:dyDescent="0.3">
      <c r="A62">
        <v>3</v>
      </c>
      <c r="B62" s="213" t="s">
        <v>696</v>
      </c>
      <c r="C62" t="s">
        <v>1499</v>
      </c>
      <c r="D62" t="s">
        <v>690</v>
      </c>
      <c r="E62" t="s">
        <v>1554</v>
      </c>
      <c r="F62" s="41" t="s">
        <v>655</v>
      </c>
      <c r="G62" s="28">
        <v>0</v>
      </c>
      <c r="H62" s="28">
        <v>0</v>
      </c>
      <c r="I62" s="28">
        <v>524408102.26368767</v>
      </c>
      <c r="J62" s="28">
        <v>0</v>
      </c>
      <c r="K62" s="28">
        <v>0</v>
      </c>
      <c r="L62" s="28">
        <v>76908778.27471976</v>
      </c>
      <c r="M62" s="28">
        <v>0</v>
      </c>
      <c r="N62" s="28">
        <v>922242089.05081785</v>
      </c>
      <c r="O62" s="146">
        <f t="shared" si="4"/>
        <v>1523558969.5892253</v>
      </c>
      <c r="P62" s="146">
        <f t="shared" si="5"/>
        <v>1479183.4656206071</v>
      </c>
      <c r="R62" s="140" t="str">
        <f t="shared" si="6"/>
        <v>8.3</v>
      </c>
      <c r="S62" s="140" t="str">
        <f t="shared" si="7"/>
        <v>8.3 Development and implementation of strategic purchasing measures across the healthcare service delivery continuum</v>
      </c>
      <c r="T62" s="140" t="str">
        <f t="shared" si="8"/>
        <v>8.3.2</v>
      </c>
      <c r="U62" s="140" t="str">
        <f t="shared" si="9"/>
        <v xml:space="preserve">8.3.2 Develop and implement effective strategic resource allocation and use measures across the healthcare delivery </v>
      </c>
      <c r="V62" s="140" t="str">
        <f t="shared" si="10"/>
        <v>Monitor the effectiveness of using the PFM system as a tool for strategic allocation and use of resources</v>
      </c>
      <c r="W62" t="str">
        <f t="shared" si="11"/>
        <v/>
      </c>
      <c r="X62" t="str">
        <f t="shared" si="12"/>
        <v/>
      </c>
      <c r="Y62" t="str">
        <f t="shared" si="13"/>
        <v>X</v>
      </c>
      <c r="Z62" t="str">
        <f t="shared" si="14"/>
        <v/>
      </c>
      <c r="AA62" t="str">
        <f t="shared" si="15"/>
        <v/>
      </c>
      <c r="AB62" t="str">
        <f t="shared" si="16"/>
        <v>X</v>
      </c>
      <c r="AC62" t="str">
        <f t="shared" si="17"/>
        <v/>
      </c>
      <c r="AD62" t="str">
        <f t="shared" si="18"/>
        <v>X</v>
      </c>
      <c r="AE62" s="28">
        <f t="shared" si="19"/>
        <v>0</v>
      </c>
      <c r="AF62" s="28">
        <f t="shared" si="20"/>
        <v>0</v>
      </c>
      <c r="AG62" s="28">
        <f t="shared" si="21"/>
        <v>401455021.29285699</v>
      </c>
      <c r="AH62" s="28">
        <f t="shared" si="22"/>
        <v>0</v>
      </c>
      <c r="AI62" s="28">
        <f t="shared" si="23"/>
        <v>0</v>
      </c>
      <c r="AJ62" s="28">
        <f t="shared" si="24"/>
        <v>39436164.149999961</v>
      </c>
      <c r="AK62" s="28">
        <f t="shared" si="25"/>
        <v>0</v>
      </c>
      <c r="AL62" s="28">
        <f t="shared" si="26"/>
        <v>362018857.14285678</v>
      </c>
    </row>
    <row r="63" spans="1:38" ht="13.05" customHeight="1" x14ac:dyDescent="0.3">
      <c r="A63">
        <v>3</v>
      </c>
      <c r="B63" s="213" t="s">
        <v>696</v>
      </c>
      <c r="C63" t="s">
        <v>1499</v>
      </c>
      <c r="D63" t="s">
        <v>690</v>
      </c>
      <c r="E63" t="s">
        <v>1555</v>
      </c>
      <c r="F63" s="41" t="s">
        <v>656</v>
      </c>
      <c r="G63" s="28">
        <v>0</v>
      </c>
      <c r="H63" s="28">
        <v>157476068.83577272</v>
      </c>
      <c r="I63" s="28">
        <v>0</v>
      </c>
      <c r="J63" s="28">
        <v>90186111.274955273</v>
      </c>
      <c r="K63" s="28">
        <v>235105783.54915699</v>
      </c>
      <c r="L63" s="28">
        <v>0</v>
      </c>
      <c r="M63" s="28">
        <v>0</v>
      </c>
      <c r="N63" s="28">
        <v>351003996.1431061</v>
      </c>
      <c r="O63" s="146">
        <f t="shared" si="4"/>
        <v>833771959.80299115</v>
      </c>
      <c r="P63" s="146">
        <f t="shared" si="5"/>
        <v>809487.33961455454</v>
      </c>
      <c r="R63" s="140" t="str">
        <f t="shared" si="6"/>
        <v>8.3</v>
      </c>
      <c r="S63" s="140" t="str">
        <f t="shared" si="7"/>
        <v>8.3 Development and implementation of strategic purchasing measures across the healthcare service delivery continuum</v>
      </c>
      <c r="T63" s="140" t="str">
        <f t="shared" si="8"/>
        <v>8.3.2</v>
      </c>
      <c r="U63" s="140" t="str">
        <f t="shared" si="9"/>
        <v xml:space="preserve">8.3.2 Develop and implement effective strategic resource allocation and use measures across the healthcare delivery </v>
      </c>
      <c r="V63" s="140" t="str">
        <f t="shared" si="10"/>
        <v>Digitize health care delivery in a way that integrates and captures health care provision, health financing and expenditure information</v>
      </c>
      <c r="W63" t="str">
        <f t="shared" si="11"/>
        <v/>
      </c>
      <c r="X63" t="str">
        <f t="shared" si="12"/>
        <v>X</v>
      </c>
      <c r="Y63" t="str">
        <f t="shared" si="13"/>
        <v/>
      </c>
      <c r="Z63" t="str">
        <f t="shared" si="14"/>
        <v>X</v>
      </c>
      <c r="AA63" t="str">
        <f t="shared" si="15"/>
        <v>X</v>
      </c>
      <c r="AB63" t="str">
        <f t="shared" si="16"/>
        <v/>
      </c>
      <c r="AC63" t="str">
        <f t="shared" si="17"/>
        <v/>
      </c>
      <c r="AD63" t="str">
        <f t="shared" si="18"/>
        <v>X</v>
      </c>
      <c r="AE63" s="28">
        <f t="shared" si="19"/>
        <v>0</v>
      </c>
      <c r="AF63" s="28">
        <f t="shared" si="20"/>
        <v>137783849.86428571</v>
      </c>
      <c r="AG63" s="28">
        <f t="shared" si="21"/>
        <v>0</v>
      </c>
      <c r="AH63" s="28">
        <f t="shared" si="22"/>
        <v>60407507.007142827</v>
      </c>
      <c r="AI63" s="28">
        <f t="shared" si="23"/>
        <v>137783849.86428562</v>
      </c>
      <c r="AJ63" s="28">
        <f t="shared" si="24"/>
        <v>0</v>
      </c>
      <c r="AK63" s="28">
        <f t="shared" si="25"/>
        <v>0</v>
      </c>
      <c r="AL63" s="28">
        <f t="shared" si="26"/>
        <v>137783849.86428559</v>
      </c>
    </row>
    <row r="64" spans="1:38" ht="13.05" customHeight="1" x14ac:dyDescent="0.3">
      <c r="A64">
        <v>3</v>
      </c>
      <c r="B64" s="213" t="s">
        <v>696</v>
      </c>
      <c r="C64" t="s">
        <v>1500</v>
      </c>
      <c r="D64" t="s">
        <v>691</v>
      </c>
      <c r="E64" t="s">
        <v>1556</v>
      </c>
      <c r="F64" s="41" t="s">
        <v>657</v>
      </c>
      <c r="G64" s="28">
        <v>9923925285.3071423</v>
      </c>
      <c r="H64" s="28">
        <v>10773281114.815514</v>
      </c>
      <c r="I64" s="28">
        <v>13567971425.08622</v>
      </c>
      <c r="J64" s="28">
        <v>15454285756.525257</v>
      </c>
      <c r="K64" s="28">
        <v>17618695101.76022</v>
      </c>
      <c r="L64" s="28">
        <v>17562300376.850803</v>
      </c>
      <c r="M64" s="28">
        <v>20232016777.218452</v>
      </c>
      <c r="N64" s="28">
        <v>22593168459.131329</v>
      </c>
      <c r="O64" s="146">
        <f t="shared" si="4"/>
        <v>127725644296.69493</v>
      </c>
      <c r="P64" s="146">
        <f t="shared" si="5"/>
        <v>124005479.89970382</v>
      </c>
      <c r="R64" s="140" t="str">
        <f t="shared" si="6"/>
        <v>8.3</v>
      </c>
      <c r="S64" s="140" t="str">
        <f t="shared" si="7"/>
        <v>8.3 Development and implementation of strategic purchasing measures across the healthcare service delivery continuum</v>
      </c>
      <c r="T64" s="140" t="str">
        <f t="shared" si="8"/>
        <v>8.3.3</v>
      </c>
      <c r="U64" s="140" t="str">
        <f t="shared" si="9"/>
        <v>8.3.3 Develop and implement effective provider payment mechanisms</v>
      </c>
      <c r="V64" s="140" t="str">
        <f t="shared" si="10"/>
        <v>Decentralise the district health budget to peripheral health facilities (Provider level)</v>
      </c>
      <c r="W64" t="str">
        <f t="shared" si="11"/>
        <v>X</v>
      </c>
      <c r="X64" t="str">
        <f t="shared" si="12"/>
        <v>X</v>
      </c>
      <c r="Y64" t="str">
        <f t="shared" si="13"/>
        <v>X</v>
      </c>
      <c r="Z64" t="str">
        <f t="shared" si="14"/>
        <v>X</v>
      </c>
      <c r="AA64" t="str">
        <f t="shared" si="15"/>
        <v>X</v>
      </c>
      <c r="AB64" t="str">
        <f t="shared" si="16"/>
        <v>X</v>
      </c>
      <c r="AC64" t="str">
        <f t="shared" si="17"/>
        <v>X</v>
      </c>
      <c r="AD64" t="str">
        <f t="shared" si="18"/>
        <v>X</v>
      </c>
      <c r="AE64" s="28">
        <f t="shared" si="19"/>
        <v>9923925285.3071423</v>
      </c>
      <c r="AF64" s="28">
        <f t="shared" si="20"/>
        <v>9426093492.4499969</v>
      </c>
      <c r="AG64" s="28">
        <f t="shared" si="21"/>
        <v>10386815599.999994</v>
      </c>
      <c r="AH64" s="28">
        <f t="shared" si="22"/>
        <v>10351426199.999996</v>
      </c>
      <c r="AI64" s="28">
        <f t="shared" si="23"/>
        <v>10325444164.149992</v>
      </c>
      <c r="AJ64" s="28">
        <f t="shared" si="24"/>
        <v>9005340821.2928486</v>
      </c>
      <c r="AK64" s="28">
        <f t="shared" si="25"/>
        <v>9076986307.0071335</v>
      </c>
      <c r="AL64" s="28">
        <f t="shared" si="26"/>
        <v>8868770057.142849</v>
      </c>
    </row>
    <row r="65" spans="1:38" ht="13.05" customHeight="1" x14ac:dyDescent="0.3">
      <c r="A65">
        <v>3</v>
      </c>
      <c r="B65" s="213" t="s">
        <v>696</v>
      </c>
      <c r="C65" t="s">
        <v>1500</v>
      </c>
      <c r="D65" t="s">
        <v>691</v>
      </c>
      <c r="E65" t="s">
        <v>1557</v>
      </c>
      <c r="F65" s="41" t="s">
        <v>1699</v>
      </c>
      <c r="G65" s="28">
        <v>1052432049.8642859</v>
      </c>
      <c r="H65" s="28">
        <v>1031363858.546734</v>
      </c>
      <c r="I65" s="28">
        <v>1048523712.3192494</v>
      </c>
      <c r="J65" s="28">
        <v>1603418931.9671464</v>
      </c>
      <c r="K65" s="28">
        <v>2329814968.6526198</v>
      </c>
      <c r="L65" s="28">
        <v>2545027425.8852353</v>
      </c>
      <c r="M65" s="28">
        <v>1447497109.4355271</v>
      </c>
      <c r="N65" s="28">
        <v>1393465780.3176162</v>
      </c>
      <c r="O65" s="146">
        <f t="shared" si="4"/>
        <v>12451543836.988415</v>
      </c>
      <c r="P65" s="146">
        <f t="shared" si="5"/>
        <v>12088877.511639237</v>
      </c>
      <c r="R65" s="140" t="str">
        <f t="shared" si="6"/>
        <v>8.3</v>
      </c>
      <c r="S65" s="140" t="str">
        <f t="shared" si="7"/>
        <v>8.3 Development and implementation of strategic purchasing measures across the healthcare service delivery continuum</v>
      </c>
      <c r="T65" s="140" t="str">
        <f t="shared" si="8"/>
        <v>8.3.3</v>
      </c>
      <c r="U65" s="140" t="str">
        <f t="shared" si="9"/>
        <v>8.3.3 Develop and implement effective provider payment mechanisms</v>
      </c>
      <c r="V65" s="140" t="str">
        <f t="shared" si="10"/>
        <v>Negotiate with Treasury to modify PFM rules to allow for purchaser-provider split and flexibility of spending</v>
      </c>
      <c r="W65" t="str">
        <f t="shared" si="11"/>
        <v>X</v>
      </c>
      <c r="X65" t="str">
        <f t="shared" si="12"/>
        <v>X</v>
      </c>
      <c r="Y65" t="str">
        <f t="shared" si="13"/>
        <v>X</v>
      </c>
      <c r="Z65" t="str">
        <f t="shared" si="14"/>
        <v>X</v>
      </c>
      <c r="AA65" t="str">
        <f t="shared" si="15"/>
        <v>X</v>
      </c>
      <c r="AB65" t="str">
        <f t="shared" si="16"/>
        <v>X</v>
      </c>
      <c r="AC65" t="str">
        <f t="shared" si="17"/>
        <v>X</v>
      </c>
      <c r="AD65" t="str">
        <f t="shared" si="18"/>
        <v>X</v>
      </c>
      <c r="AE65" s="28">
        <f t="shared" si="19"/>
        <v>1052432049.8642859</v>
      </c>
      <c r="AF65" s="28">
        <f t="shared" si="20"/>
        <v>902392878.43571401</v>
      </c>
      <c r="AG65" s="28">
        <f t="shared" si="21"/>
        <v>802686128.29999959</v>
      </c>
      <c r="AH65" s="28">
        <f t="shared" si="22"/>
        <v>1073985107.0071421</v>
      </c>
      <c r="AI65" s="28">
        <f t="shared" si="23"/>
        <v>1365389107.0071418</v>
      </c>
      <c r="AJ65" s="28">
        <f t="shared" si="24"/>
        <v>1305002128.2999988</v>
      </c>
      <c r="AK65" s="28">
        <f t="shared" si="25"/>
        <v>649411849.86428499</v>
      </c>
      <c r="AL65" s="28">
        <f t="shared" si="26"/>
        <v>546993999.9999994</v>
      </c>
    </row>
    <row r="66" spans="1:38" ht="13.05" customHeight="1" x14ac:dyDescent="0.3">
      <c r="A66">
        <v>3</v>
      </c>
      <c r="B66" s="213" t="s">
        <v>696</v>
      </c>
      <c r="C66" t="s">
        <v>1500</v>
      </c>
      <c r="D66" t="s">
        <v>691</v>
      </c>
      <c r="E66" t="s">
        <v>1558</v>
      </c>
      <c r="F66" s="41" t="s">
        <v>1729</v>
      </c>
      <c r="G66" s="28">
        <v>130101635.44285715</v>
      </c>
      <c r="H66" s="28">
        <v>0</v>
      </c>
      <c r="I66" s="28">
        <v>177223615.98247752</v>
      </c>
      <c r="J66" s="28">
        <v>19473556.227719732</v>
      </c>
      <c r="K66" s="28">
        <v>89115648.481984794</v>
      </c>
      <c r="L66" s="28">
        <v>0</v>
      </c>
      <c r="M66" s="28">
        <v>0</v>
      </c>
      <c r="N66" s="28">
        <v>0</v>
      </c>
      <c r="O66" s="146">
        <f t="shared" si="4"/>
        <v>415914456.13503921</v>
      </c>
      <c r="P66" s="146">
        <f t="shared" si="5"/>
        <v>403800.44284955261</v>
      </c>
      <c r="R66" s="140" t="str">
        <f t="shared" si="6"/>
        <v>8.3</v>
      </c>
      <c r="S66" s="140" t="str">
        <f t="shared" si="7"/>
        <v>8.3 Development and implementation of strategic purchasing measures across the healthcare service delivery continuum</v>
      </c>
      <c r="T66" s="140" t="str">
        <f t="shared" si="8"/>
        <v>8.3.3</v>
      </c>
      <c r="U66" s="140" t="str">
        <f t="shared" si="9"/>
        <v>8.3.3 Develop and implement effective provider payment mechanisms</v>
      </c>
      <c r="V66" s="140" t="str">
        <f t="shared" si="10"/>
        <v>Establish a regulatory council for medical schemes to regulate tariffs, ethical health care delivery and adjudicate disputes between providers and payers2</v>
      </c>
      <c r="W66" t="str">
        <f t="shared" si="11"/>
        <v>X</v>
      </c>
      <c r="X66" t="str">
        <f t="shared" si="12"/>
        <v/>
      </c>
      <c r="Y66" t="str">
        <f t="shared" si="13"/>
        <v>X</v>
      </c>
      <c r="Z66" t="str">
        <f t="shared" si="14"/>
        <v>X</v>
      </c>
      <c r="AA66" t="str">
        <f t="shared" si="15"/>
        <v>X</v>
      </c>
      <c r="AB66" t="str">
        <f t="shared" si="16"/>
        <v/>
      </c>
      <c r="AC66" t="str">
        <f t="shared" si="17"/>
        <v/>
      </c>
      <c r="AD66" t="str">
        <f t="shared" si="18"/>
        <v/>
      </c>
      <c r="AE66" s="28">
        <f t="shared" si="19"/>
        <v>130101635.44285715</v>
      </c>
      <c r="AF66" s="28">
        <f t="shared" si="20"/>
        <v>0</v>
      </c>
      <c r="AG66" s="28">
        <f t="shared" si="21"/>
        <v>135671646.22499993</v>
      </c>
      <c r="AH66" s="28">
        <f t="shared" si="22"/>
        <v>13043571.428571422</v>
      </c>
      <c r="AI66" s="28">
        <f t="shared" si="23"/>
        <v>52226265.74999997</v>
      </c>
      <c r="AJ66" s="28">
        <f t="shared" si="24"/>
        <v>0</v>
      </c>
      <c r="AK66" s="28">
        <f t="shared" si="25"/>
        <v>0</v>
      </c>
      <c r="AL66" s="28">
        <f t="shared" si="26"/>
        <v>0</v>
      </c>
    </row>
    <row r="67" spans="1:38" ht="13.05" customHeight="1" x14ac:dyDescent="0.3">
      <c r="A67">
        <v>3</v>
      </c>
      <c r="B67" s="213" t="s">
        <v>696</v>
      </c>
      <c r="C67" t="s">
        <v>1500</v>
      </c>
      <c r="D67" t="s">
        <v>691</v>
      </c>
      <c r="E67" t="s">
        <v>1559</v>
      </c>
      <c r="F67" s="41" t="s">
        <v>1700</v>
      </c>
      <c r="G67" s="28">
        <v>345019999.99999988</v>
      </c>
      <c r="H67" s="28">
        <v>394330636.88693994</v>
      </c>
      <c r="I67" s="28">
        <v>859278436.20833004</v>
      </c>
      <c r="J67" s="28">
        <v>4180293.5443109004</v>
      </c>
      <c r="K67" s="28">
        <v>0</v>
      </c>
      <c r="L67" s="28">
        <v>0</v>
      </c>
      <c r="M67" s="28">
        <v>0</v>
      </c>
      <c r="N67" s="28">
        <v>878937545.0648154</v>
      </c>
      <c r="O67" s="146">
        <f t="shared" si="4"/>
        <v>2481746911.7043958</v>
      </c>
      <c r="P67" s="146">
        <f t="shared" si="5"/>
        <v>2409463.0210722289</v>
      </c>
      <c r="R67" s="140" t="str">
        <f t="shared" si="6"/>
        <v>8.3</v>
      </c>
      <c r="S67" s="140" t="str">
        <f t="shared" si="7"/>
        <v>8.3 Development and implementation of strategic purchasing measures across the healthcare service delivery continuum</v>
      </c>
      <c r="T67" s="140" t="str">
        <f t="shared" si="8"/>
        <v>8.3.3</v>
      </c>
      <c r="U67" s="140" t="str">
        <f t="shared" si="9"/>
        <v>8.3.3 Develop and implement effective provider payment mechanisms</v>
      </c>
      <c r="V67" s="140" t="str">
        <f t="shared" si="10"/>
        <v>Strengthen financial management and accounting capacity at the District Council and sub-district levels</v>
      </c>
      <c r="W67" t="str">
        <f t="shared" si="11"/>
        <v>X</v>
      </c>
      <c r="X67" t="str">
        <f t="shared" si="12"/>
        <v>X</v>
      </c>
      <c r="Y67" t="str">
        <f t="shared" si="13"/>
        <v>X</v>
      </c>
      <c r="Z67" t="str">
        <f t="shared" si="14"/>
        <v>X</v>
      </c>
      <c r="AA67" t="str">
        <f t="shared" si="15"/>
        <v/>
      </c>
      <c r="AB67" t="str">
        <f t="shared" si="16"/>
        <v/>
      </c>
      <c r="AC67" t="str">
        <f t="shared" si="17"/>
        <v/>
      </c>
      <c r="AD67" t="str">
        <f t="shared" si="18"/>
        <v>X</v>
      </c>
      <c r="AE67" s="28">
        <f t="shared" si="19"/>
        <v>345019999.99999988</v>
      </c>
      <c r="AF67" s="28">
        <f t="shared" si="20"/>
        <v>345019999.99999994</v>
      </c>
      <c r="AG67" s="28">
        <f t="shared" si="21"/>
        <v>657811428.57142818</v>
      </c>
      <c r="AH67" s="28">
        <f t="shared" si="22"/>
        <v>2799999.9999999986</v>
      </c>
      <c r="AI67" s="28">
        <f t="shared" si="23"/>
        <v>0</v>
      </c>
      <c r="AJ67" s="28">
        <f t="shared" si="24"/>
        <v>0</v>
      </c>
      <c r="AK67" s="28">
        <f t="shared" si="25"/>
        <v>0</v>
      </c>
      <c r="AL67" s="28">
        <f t="shared" si="26"/>
        <v>345019999.9999994</v>
      </c>
    </row>
    <row r="68" spans="1:38" ht="13.05" customHeight="1" x14ac:dyDescent="0.3">
      <c r="A68">
        <v>3</v>
      </c>
      <c r="B68" s="213" t="s">
        <v>696</v>
      </c>
      <c r="C68" t="s">
        <v>1500</v>
      </c>
      <c r="D68" t="s">
        <v>691</v>
      </c>
      <c r="E68" t="s">
        <v>1560</v>
      </c>
      <c r="F68" s="41" t="s">
        <v>661</v>
      </c>
      <c r="G68" s="28">
        <v>9018009142.8571434</v>
      </c>
      <c r="H68" s="28">
        <v>9168039940.6029835</v>
      </c>
      <c r="I68" s="28">
        <v>10478346266.253775</v>
      </c>
      <c r="J68" s="28">
        <v>11975923009.372618</v>
      </c>
      <c r="K68" s="28">
        <v>13687535063.45969</v>
      </c>
      <c r="L68" s="28">
        <v>35121599.799856633</v>
      </c>
      <c r="M68" s="28">
        <v>40141217.371647112</v>
      </c>
      <c r="N68" s="28">
        <v>45878244.193318389</v>
      </c>
      <c r="O68" s="146">
        <f t="shared" si="4"/>
        <v>54448994483.911049</v>
      </c>
      <c r="P68" s="146">
        <f t="shared" si="5"/>
        <v>52863101.440690339</v>
      </c>
      <c r="R68" s="140" t="str">
        <f t="shared" si="6"/>
        <v>8.3</v>
      </c>
      <c r="S68" s="140" t="str">
        <f t="shared" si="7"/>
        <v>8.3 Development and implementation of strategic purchasing measures across the healthcare service delivery continuum</v>
      </c>
      <c r="T68" s="140" t="str">
        <f t="shared" si="8"/>
        <v>8.3.3</v>
      </c>
      <c r="U68" s="140" t="str">
        <f t="shared" si="9"/>
        <v>8.3.3 Develop and implement effective provider payment mechanisms</v>
      </c>
      <c r="V68" s="140" t="str">
        <f t="shared" si="10"/>
        <v>Roll out PBF implementation mechanisms</v>
      </c>
      <c r="W68" t="str">
        <f t="shared" si="11"/>
        <v>X</v>
      </c>
      <c r="X68" t="str">
        <f t="shared" si="12"/>
        <v>X</v>
      </c>
      <c r="Y68" t="str">
        <f t="shared" si="13"/>
        <v>X</v>
      </c>
      <c r="Z68" t="str">
        <f t="shared" si="14"/>
        <v>X</v>
      </c>
      <c r="AA68" t="str">
        <f t="shared" si="15"/>
        <v>X</v>
      </c>
      <c r="AB68" t="str">
        <f t="shared" si="16"/>
        <v>X</v>
      </c>
      <c r="AC68" t="str">
        <f t="shared" si="17"/>
        <v>X</v>
      </c>
      <c r="AD68" t="str">
        <f t="shared" si="18"/>
        <v>X</v>
      </c>
      <c r="AE68" s="28">
        <f t="shared" si="19"/>
        <v>9018009142.8571434</v>
      </c>
      <c r="AF68" s="28">
        <f t="shared" si="20"/>
        <v>8021586061.0743303</v>
      </c>
      <c r="AG68" s="28">
        <f t="shared" si="21"/>
        <v>8021586061.0743275</v>
      </c>
      <c r="AH68" s="28">
        <f t="shared" si="22"/>
        <v>8021586061.0743275</v>
      </c>
      <c r="AI68" s="28">
        <f t="shared" si="23"/>
        <v>8021586061.0743246</v>
      </c>
      <c r="AJ68" s="28">
        <f t="shared" si="24"/>
        <v>18009142.857142843</v>
      </c>
      <c r="AK68" s="28">
        <f t="shared" si="25"/>
        <v>18009142.857142836</v>
      </c>
      <c r="AL68" s="28">
        <f t="shared" si="26"/>
        <v>18009142.85714284</v>
      </c>
    </row>
    <row r="69" spans="1:38" ht="13.05" customHeight="1" x14ac:dyDescent="0.3">
      <c r="A69">
        <v>4</v>
      </c>
      <c r="B69" s="213" t="s">
        <v>697</v>
      </c>
      <c r="C69" t="s">
        <v>1498</v>
      </c>
      <c r="D69" t="s">
        <v>692</v>
      </c>
      <c r="E69" t="s">
        <v>1561</v>
      </c>
      <c r="F69" s="41" t="s">
        <v>662</v>
      </c>
      <c r="G69" s="28">
        <v>0</v>
      </c>
      <c r="H69" s="28">
        <v>1027613934.4274771</v>
      </c>
      <c r="I69" s="28">
        <v>1435849511.3771741</v>
      </c>
      <c r="J69" s="28">
        <v>148722915.69498897</v>
      </c>
      <c r="K69" s="28">
        <v>1203320010.9239359</v>
      </c>
      <c r="L69" s="28">
        <v>0</v>
      </c>
      <c r="M69" s="28">
        <v>0</v>
      </c>
      <c r="N69" s="28">
        <v>0</v>
      </c>
      <c r="O69" s="146">
        <f t="shared" si="4"/>
        <v>3815506372.4235764</v>
      </c>
      <c r="P69" s="146">
        <f t="shared" si="5"/>
        <v>3704375.118857841</v>
      </c>
      <c r="R69" s="140" t="str">
        <f t="shared" si="6"/>
        <v>8.4</v>
      </c>
      <c r="S69" s="140" t="str">
        <f t="shared" si="7"/>
        <v>8.4 To establish and strengthen institutional arrangements and systems for effective health financing at all levels of the health system</v>
      </c>
      <c r="T69" s="140" t="str">
        <f t="shared" si="8"/>
        <v>8.4.1</v>
      </c>
      <c r="U69" s="140" t="str">
        <f t="shared" si="9"/>
        <v xml:space="preserve">8.4.1 Strengthen institutional capacity in health financing and PFM to effectively implement the Health Financing Strategy </v>
      </c>
      <c r="V69" s="140" t="str">
        <f t="shared" si="10"/>
        <v xml:space="preserve">Develop and sustain active purchasing capacity in the health financing division </v>
      </c>
      <c r="W69" t="str">
        <f t="shared" si="11"/>
        <v/>
      </c>
      <c r="X69" t="str">
        <f t="shared" si="12"/>
        <v>X</v>
      </c>
      <c r="Y69" t="str">
        <f t="shared" si="13"/>
        <v>X</v>
      </c>
      <c r="Z69" t="str">
        <f t="shared" si="14"/>
        <v>X</v>
      </c>
      <c r="AA69" t="str">
        <f t="shared" si="15"/>
        <v>X</v>
      </c>
      <c r="AB69" t="str">
        <f t="shared" si="16"/>
        <v/>
      </c>
      <c r="AC69" t="str">
        <f t="shared" si="17"/>
        <v/>
      </c>
      <c r="AD69" t="str">
        <f t="shared" si="18"/>
        <v/>
      </c>
      <c r="AE69" s="28">
        <f t="shared" si="19"/>
        <v>0</v>
      </c>
      <c r="AF69" s="28">
        <f t="shared" si="20"/>
        <v>899111878.43571413</v>
      </c>
      <c r="AG69" s="28">
        <f t="shared" si="21"/>
        <v>1099199256.599999</v>
      </c>
      <c r="AH69" s="28">
        <f t="shared" si="22"/>
        <v>99616010.103571385</v>
      </c>
      <c r="AI69" s="28">
        <f t="shared" si="23"/>
        <v>705206231.9392848</v>
      </c>
      <c r="AJ69" s="28">
        <f t="shared" si="24"/>
        <v>0</v>
      </c>
      <c r="AK69" s="28">
        <f t="shared" si="25"/>
        <v>0</v>
      </c>
      <c r="AL69" s="28">
        <f t="shared" si="26"/>
        <v>0</v>
      </c>
    </row>
    <row r="70" spans="1:38" ht="13.05" customHeight="1" x14ac:dyDescent="0.3">
      <c r="A70">
        <v>4</v>
      </c>
      <c r="B70" s="213" t="s">
        <v>697</v>
      </c>
      <c r="C70" t="s">
        <v>1498</v>
      </c>
      <c r="D70" t="s">
        <v>692</v>
      </c>
      <c r="E70" t="s">
        <v>1562</v>
      </c>
      <c r="F70" s="41" t="s">
        <v>663</v>
      </c>
      <c r="G70" s="28">
        <v>0</v>
      </c>
      <c r="H70" s="28">
        <v>107602649.51020312</v>
      </c>
      <c r="I70" s="28">
        <v>122981338.21830784</v>
      </c>
      <c r="J70" s="28">
        <v>140557965.98699644</v>
      </c>
      <c r="K70" s="28">
        <v>160646664.67794666</v>
      </c>
      <c r="L70" s="28">
        <v>183606462.22310993</v>
      </c>
      <c r="M70" s="28">
        <v>209847699.2203258</v>
      </c>
      <c r="N70" s="28">
        <v>239839362.59582075</v>
      </c>
      <c r="O70" s="146">
        <f t="shared" si="4"/>
        <v>1165082142.4327106</v>
      </c>
      <c r="P70" s="146">
        <f t="shared" si="5"/>
        <v>1131147.7110997192</v>
      </c>
      <c r="R70" s="140" t="str">
        <f t="shared" si="6"/>
        <v>8.4</v>
      </c>
      <c r="S70" s="140" t="str">
        <f t="shared" si="7"/>
        <v>8.4 To establish and strengthen institutional arrangements and systems for effective health financing at all levels of the health system</v>
      </c>
      <c r="T70" s="140" t="str">
        <f t="shared" si="8"/>
        <v>8.4.1</v>
      </c>
      <c r="U70" s="140" t="str">
        <f t="shared" si="9"/>
        <v xml:space="preserve">8.4.1 Strengthen institutional capacity in health financing and PFM to effectively implement the Health Financing Strategy </v>
      </c>
      <c r="V70" s="140" t="str">
        <f t="shared" si="10"/>
        <v>Capacitate relevant government institutions to coordinate, implement and monitor the health financing strategy</v>
      </c>
      <c r="W70" t="str">
        <f t="shared" si="11"/>
        <v/>
      </c>
      <c r="X70" t="str">
        <f t="shared" si="12"/>
        <v>X</v>
      </c>
      <c r="Y70" t="str">
        <f t="shared" si="13"/>
        <v>X</v>
      </c>
      <c r="Z70" t="str">
        <f t="shared" si="14"/>
        <v>X</v>
      </c>
      <c r="AA70" t="str">
        <f t="shared" si="15"/>
        <v>X</v>
      </c>
      <c r="AB70" t="str">
        <f t="shared" si="16"/>
        <v>X</v>
      </c>
      <c r="AC70" t="str">
        <f t="shared" si="17"/>
        <v>X</v>
      </c>
      <c r="AD70" t="str">
        <f t="shared" si="18"/>
        <v>X</v>
      </c>
      <c r="AE70" s="28">
        <f t="shared" si="19"/>
        <v>0</v>
      </c>
      <c r="AF70" s="28">
        <f t="shared" si="20"/>
        <v>94147049.864285693</v>
      </c>
      <c r="AG70" s="28">
        <f t="shared" si="21"/>
        <v>94147049.864285663</v>
      </c>
      <c r="AH70" s="28">
        <f t="shared" si="22"/>
        <v>94147049.864285678</v>
      </c>
      <c r="AI70" s="28">
        <f t="shared" si="23"/>
        <v>94147049.864285663</v>
      </c>
      <c r="AJ70" s="28">
        <f t="shared" si="24"/>
        <v>94147049.864285648</v>
      </c>
      <c r="AK70" s="28">
        <f t="shared" si="25"/>
        <v>94147049.864285603</v>
      </c>
      <c r="AL70" s="28">
        <f t="shared" si="26"/>
        <v>94147049.864285588</v>
      </c>
    </row>
    <row r="71" spans="1:38" ht="13.05" customHeight="1" x14ac:dyDescent="0.3">
      <c r="A71">
        <v>4</v>
      </c>
      <c r="B71" s="213" t="s">
        <v>697</v>
      </c>
      <c r="C71" t="s">
        <v>1498</v>
      </c>
      <c r="D71" t="s">
        <v>692</v>
      </c>
      <c r="E71" t="s">
        <v>1563</v>
      </c>
      <c r="F71" s="41" t="s">
        <v>664</v>
      </c>
      <c r="G71" s="28">
        <v>413695900</v>
      </c>
      <c r="H71" s="28">
        <v>548236799.99506617</v>
      </c>
      <c r="I71" s="28">
        <v>707524818.44481587</v>
      </c>
      <c r="J71" s="28">
        <v>813379863.93145561</v>
      </c>
      <c r="K71" s="28">
        <v>1011411336.8110292</v>
      </c>
      <c r="L71" s="28">
        <v>1058426361.4221053</v>
      </c>
      <c r="M71" s="28">
        <v>1204155792.9275756</v>
      </c>
      <c r="N71" s="28">
        <v>1384334265.779227</v>
      </c>
      <c r="O71" s="146">
        <f t="shared" ref="O71:O86" si="27">SUM(G71:N71)</f>
        <v>7141165139.3112764</v>
      </c>
      <c r="P71" s="146">
        <f t="shared" ref="P71:P86" si="28">O71/$Q$5</f>
        <v>6933170.0381662874</v>
      </c>
      <c r="R71" s="140" t="str">
        <f t="shared" ref="R71:R85" si="29">"8."&amp;A71</f>
        <v>8.4</v>
      </c>
      <c r="S71" s="140" t="str">
        <f t="shared" ref="S71:S85" si="30">R71&amp;" "&amp;B71</f>
        <v>8.4 To establish and strengthen institutional arrangements and systems for effective health financing at all levels of the health system</v>
      </c>
      <c r="T71" s="140" t="str">
        <f t="shared" ref="T71:T85" si="31">R71&amp;"."&amp;C71</f>
        <v>8.4.1</v>
      </c>
      <c r="U71" s="140" t="str">
        <f t="shared" ref="U71:U85" si="32">T71&amp;" "&amp;D71</f>
        <v xml:space="preserve">8.4.1 Strengthen institutional capacity in health financing and PFM to effectively implement the Health Financing Strategy </v>
      </c>
      <c r="V71" s="140" t="str">
        <f t="shared" ref="V71:V85" si="33">F71</f>
        <v>Capacitate councils to implement the health financing strategy</v>
      </c>
      <c r="W71" t="str">
        <f t="shared" ref="W71:W96" si="34">IF(G71&gt;0,"X","")</f>
        <v>X</v>
      </c>
      <c r="X71" t="str">
        <f t="shared" ref="X71:X96" si="35">IF(H71&gt;0,"X","")</f>
        <v>X</v>
      </c>
      <c r="Y71" t="str">
        <f t="shared" ref="Y71:Y96" si="36">IF(I71&gt;0,"X","")</f>
        <v>X</v>
      </c>
      <c r="Z71" t="str">
        <f t="shared" ref="Z71:Z96" si="37">IF(J71&gt;0,"X","")</f>
        <v>X</v>
      </c>
      <c r="AA71" t="str">
        <f t="shared" ref="AA71:AA96" si="38">IF(K71&gt;0,"X","")</f>
        <v>X</v>
      </c>
      <c r="AB71" t="str">
        <f t="shared" ref="AB71:AB96" si="39">IF(L71&gt;0,"X","")</f>
        <v>X</v>
      </c>
      <c r="AC71" t="str">
        <f t="shared" ref="AC71:AC96" si="40">IF(M71&gt;0,"X","")</f>
        <v>X</v>
      </c>
      <c r="AD71" t="str">
        <f t="shared" ref="AD71:AD96" si="41">IF(N71&gt;0,"X","")</f>
        <v>X</v>
      </c>
      <c r="AE71" s="28">
        <f t="shared" ref="AE71:AE96" si="42">G71/$AE$1^AE$2</f>
        <v>413695900</v>
      </c>
      <c r="AF71" s="28">
        <f t="shared" ref="AF71:AF96" si="43">H71/$AE$1^AF$2</f>
        <v>479680357.14285719</v>
      </c>
      <c r="AG71" s="28">
        <f t="shared" ref="AG71:AG96" si="44">I71/$AE$1^AG$2</f>
        <v>541638067.42857122</v>
      </c>
      <c r="AH71" s="28">
        <f t="shared" ref="AH71:AH96" si="45">J71/$AE$1^AH$2</f>
        <v>544809495.99999988</v>
      </c>
      <c r="AI71" s="28">
        <f t="shared" ref="AI71:AI96" si="46">K71/$AE$1^AI$2</f>
        <v>592738067.42857111</v>
      </c>
      <c r="AJ71" s="28">
        <f t="shared" ref="AJ71:AJ96" si="47">L71/$AE$1^AJ$2</f>
        <v>542724467.42857099</v>
      </c>
      <c r="AK71" s="28">
        <f t="shared" ref="AK71:AK96" si="48">M71/$AE$1^AK$2</f>
        <v>540238067.42857087</v>
      </c>
      <c r="AL71" s="28">
        <f t="shared" ref="AL71:AL96" si="49">N71/$AE$1^AL$2</f>
        <v>543409495.9999994</v>
      </c>
    </row>
    <row r="72" spans="1:38" ht="13.05" customHeight="1" x14ac:dyDescent="0.3">
      <c r="A72">
        <v>4</v>
      </c>
      <c r="B72" s="213" t="s">
        <v>697</v>
      </c>
      <c r="C72" t="s">
        <v>1498</v>
      </c>
      <c r="D72" t="s">
        <v>692</v>
      </c>
      <c r="E72" t="s">
        <v>1564</v>
      </c>
      <c r="F72" s="41" t="s">
        <v>665</v>
      </c>
      <c r="G72" s="28">
        <v>0</v>
      </c>
      <c r="H72" s="28">
        <v>0</v>
      </c>
      <c r="I72" s="28">
        <v>0</v>
      </c>
      <c r="J72" s="28">
        <v>0</v>
      </c>
      <c r="K72" s="28">
        <v>0</v>
      </c>
      <c r="L72" s="28">
        <v>0</v>
      </c>
      <c r="M72" s="28">
        <v>0</v>
      </c>
      <c r="N72" s="28">
        <v>0</v>
      </c>
      <c r="O72" s="146">
        <f t="shared" si="27"/>
        <v>0</v>
      </c>
      <c r="P72" s="146">
        <f t="shared" si="28"/>
        <v>0</v>
      </c>
      <c r="R72" s="140" t="str">
        <f t="shared" si="29"/>
        <v>8.4</v>
      </c>
      <c r="S72" s="140" t="str">
        <f t="shared" si="30"/>
        <v>8.4 To establish and strengthen institutional arrangements and systems for effective health financing at all levels of the health system</v>
      </c>
      <c r="T72" s="140" t="str">
        <f t="shared" si="31"/>
        <v>8.4.1</v>
      </c>
      <c r="U72" s="140" t="str">
        <f t="shared" si="32"/>
        <v xml:space="preserve">8.4.1 Strengthen institutional capacity in health financing and PFM to effectively implement the Health Financing Strategy </v>
      </c>
      <c r="V72" s="140" t="str">
        <f t="shared" si="33"/>
        <v>Develop and sustain collaboration mechanisms between key ministries, Departments and Agencies for effective implementation of the Health Financing Strategy</v>
      </c>
      <c r="W72" t="str">
        <f t="shared" si="34"/>
        <v/>
      </c>
      <c r="X72" t="str">
        <f t="shared" si="35"/>
        <v/>
      </c>
      <c r="Y72" t="str">
        <f t="shared" si="36"/>
        <v/>
      </c>
      <c r="Z72" t="str">
        <f t="shared" si="37"/>
        <v/>
      </c>
      <c r="AA72" t="str">
        <f t="shared" si="38"/>
        <v/>
      </c>
      <c r="AB72" t="str">
        <f t="shared" si="39"/>
        <v/>
      </c>
      <c r="AC72" t="str">
        <f t="shared" si="40"/>
        <v/>
      </c>
      <c r="AD72" t="str">
        <f t="shared" si="41"/>
        <v/>
      </c>
      <c r="AE72" s="28">
        <f t="shared" si="42"/>
        <v>0</v>
      </c>
      <c r="AF72" s="28">
        <f t="shared" si="43"/>
        <v>0</v>
      </c>
      <c r="AG72" s="28">
        <f t="shared" si="44"/>
        <v>0</v>
      </c>
      <c r="AH72" s="28">
        <f t="shared" si="45"/>
        <v>0</v>
      </c>
      <c r="AI72" s="28">
        <f t="shared" si="46"/>
        <v>0</v>
      </c>
      <c r="AJ72" s="28">
        <f t="shared" si="47"/>
        <v>0</v>
      </c>
      <c r="AK72" s="28">
        <f t="shared" si="48"/>
        <v>0</v>
      </c>
      <c r="AL72" s="28">
        <f t="shared" si="49"/>
        <v>0</v>
      </c>
    </row>
    <row r="73" spans="1:38" ht="13.05" customHeight="1" x14ac:dyDescent="0.3">
      <c r="A73">
        <v>4</v>
      </c>
      <c r="B73" s="213" t="s">
        <v>697</v>
      </c>
      <c r="C73" t="s">
        <v>1498</v>
      </c>
      <c r="D73" t="s">
        <v>692</v>
      </c>
      <c r="E73" t="s">
        <v>1565</v>
      </c>
      <c r="F73" s="41" t="s">
        <v>666</v>
      </c>
      <c r="G73" s="28">
        <v>0</v>
      </c>
      <c r="H73" s="28">
        <v>201925837.73275006</v>
      </c>
      <c r="I73" s="28">
        <v>0</v>
      </c>
      <c r="J73" s="28">
        <v>0</v>
      </c>
      <c r="K73" s="28">
        <v>0</v>
      </c>
      <c r="L73" s="28">
        <v>0</v>
      </c>
      <c r="M73" s="28">
        <v>361828126.5294677</v>
      </c>
      <c r="N73" s="28">
        <v>0</v>
      </c>
      <c r="O73" s="146">
        <f t="shared" si="27"/>
        <v>563753964.26221776</v>
      </c>
      <c r="P73" s="146">
        <f t="shared" si="28"/>
        <v>547333.94588564837</v>
      </c>
      <c r="R73" s="140" t="str">
        <f t="shared" si="29"/>
        <v>8.4</v>
      </c>
      <c r="S73" s="140" t="str">
        <f t="shared" si="30"/>
        <v>8.4 To establish and strengthen institutional arrangements and systems for effective health financing at all levels of the health system</v>
      </c>
      <c r="T73" s="140" t="str">
        <f t="shared" si="31"/>
        <v>8.4.1</v>
      </c>
      <c r="U73" s="140" t="str">
        <f t="shared" si="32"/>
        <v xml:space="preserve">8.4.1 Strengthen institutional capacity in health financing and PFM to effectively implement the Health Financing Strategy </v>
      </c>
      <c r="V73" s="140" t="str">
        <f t="shared" si="33"/>
        <v>Develop capacity for donor and aid coordination at all levels</v>
      </c>
      <c r="W73" t="str">
        <f t="shared" si="34"/>
        <v/>
      </c>
      <c r="X73" t="str">
        <f t="shared" si="35"/>
        <v>X</v>
      </c>
      <c r="Y73" t="str">
        <f t="shared" si="36"/>
        <v/>
      </c>
      <c r="Z73" t="str">
        <f t="shared" si="37"/>
        <v/>
      </c>
      <c r="AA73" t="str">
        <f t="shared" si="38"/>
        <v/>
      </c>
      <c r="AB73" t="str">
        <f t="shared" si="39"/>
        <v/>
      </c>
      <c r="AC73" t="str">
        <f t="shared" si="40"/>
        <v>X</v>
      </c>
      <c r="AD73" t="str">
        <f t="shared" si="41"/>
        <v/>
      </c>
      <c r="AE73" s="28">
        <f t="shared" si="42"/>
        <v>0</v>
      </c>
      <c r="AF73" s="28">
        <f t="shared" si="43"/>
        <v>176675221.29285714</v>
      </c>
      <c r="AG73" s="28">
        <f t="shared" si="44"/>
        <v>0</v>
      </c>
      <c r="AH73" s="28">
        <f t="shared" si="45"/>
        <v>0</v>
      </c>
      <c r="AI73" s="28">
        <f t="shared" si="46"/>
        <v>0</v>
      </c>
      <c r="AJ73" s="28">
        <f t="shared" si="47"/>
        <v>0</v>
      </c>
      <c r="AK73" s="28">
        <f t="shared" si="48"/>
        <v>162332257.14285699</v>
      </c>
      <c r="AL73" s="28">
        <f t="shared" si="49"/>
        <v>0</v>
      </c>
    </row>
    <row r="74" spans="1:38" ht="13.05" customHeight="1" x14ac:dyDescent="0.3">
      <c r="A74">
        <v>4</v>
      </c>
      <c r="B74" s="213" t="s">
        <v>697</v>
      </c>
      <c r="C74" t="s">
        <v>1498</v>
      </c>
      <c r="D74" t="s">
        <v>692</v>
      </c>
      <c r="E74" t="s">
        <v>1566</v>
      </c>
      <c r="F74" s="41" t="s">
        <v>667</v>
      </c>
      <c r="G74" s="28">
        <v>20558982.074999999</v>
      </c>
      <c r="H74" s="28">
        <v>11871684.708981425</v>
      </c>
      <c r="I74" s="28">
        <v>0</v>
      </c>
      <c r="J74" s="28">
        <v>0</v>
      </c>
      <c r="K74" s="28">
        <v>0</v>
      </c>
      <c r="L74" s="28">
        <v>0</v>
      </c>
      <c r="M74" s="28">
        <v>19251634.108784307</v>
      </c>
      <c r="N74" s="28">
        <v>0</v>
      </c>
      <c r="O74" s="146">
        <f t="shared" si="27"/>
        <v>51682300.892765731</v>
      </c>
      <c r="P74" s="146">
        <f t="shared" si="28"/>
        <v>50176.991158024983</v>
      </c>
      <c r="R74" s="140" t="str">
        <f t="shared" si="29"/>
        <v>8.4</v>
      </c>
      <c r="S74" s="140" t="str">
        <f t="shared" si="30"/>
        <v>8.4 To establish and strengthen institutional arrangements and systems for effective health financing at all levels of the health system</v>
      </c>
      <c r="T74" s="140" t="str">
        <f t="shared" si="31"/>
        <v>8.4.1</v>
      </c>
      <c r="U74" s="140" t="str">
        <f t="shared" si="32"/>
        <v xml:space="preserve">8.4.1 Strengthen institutional capacity in health financing and PFM to effectively implement the Health Financing Strategy </v>
      </c>
      <c r="V74" s="140" t="str">
        <f t="shared" si="33"/>
        <v>Develop and sustain TWG governance arrangements for health financing at all levels</v>
      </c>
      <c r="W74" t="str">
        <f t="shared" si="34"/>
        <v>X</v>
      </c>
      <c r="X74" t="str">
        <f t="shared" si="35"/>
        <v>X</v>
      </c>
      <c r="Y74" t="str">
        <f t="shared" si="36"/>
        <v/>
      </c>
      <c r="Z74" t="str">
        <f t="shared" si="37"/>
        <v/>
      </c>
      <c r="AA74" t="str">
        <f t="shared" si="38"/>
        <v/>
      </c>
      <c r="AB74" t="str">
        <f t="shared" si="39"/>
        <v/>
      </c>
      <c r="AC74" t="str">
        <f t="shared" si="40"/>
        <v>X</v>
      </c>
      <c r="AD74" t="str">
        <f t="shared" si="41"/>
        <v/>
      </c>
      <c r="AE74" s="28">
        <f t="shared" si="42"/>
        <v>20558982.074999999</v>
      </c>
      <c r="AF74" s="28">
        <f t="shared" si="43"/>
        <v>10387142.857142853</v>
      </c>
      <c r="AG74" s="28">
        <f t="shared" si="44"/>
        <v>0</v>
      </c>
      <c r="AH74" s="28">
        <f t="shared" si="45"/>
        <v>0</v>
      </c>
      <c r="AI74" s="28">
        <f t="shared" si="46"/>
        <v>0</v>
      </c>
      <c r="AJ74" s="28">
        <f t="shared" si="47"/>
        <v>0</v>
      </c>
      <c r="AK74" s="28">
        <f t="shared" si="48"/>
        <v>8637142.8571428489</v>
      </c>
      <c r="AL74" s="28">
        <f t="shared" si="49"/>
        <v>0</v>
      </c>
    </row>
    <row r="75" spans="1:38" ht="13.05" customHeight="1" x14ac:dyDescent="0.3">
      <c r="A75">
        <v>4</v>
      </c>
      <c r="B75" s="213" t="s">
        <v>697</v>
      </c>
      <c r="C75" t="s">
        <v>1498</v>
      </c>
      <c r="D75" t="s">
        <v>692</v>
      </c>
      <c r="E75" t="s">
        <v>1567</v>
      </c>
      <c r="F75" s="41" t="s">
        <v>1672</v>
      </c>
      <c r="G75" s="28">
        <v>0</v>
      </c>
      <c r="H75" s="28">
        <v>20507392.269749675</v>
      </c>
      <c r="I75" s="28">
        <v>0</v>
      </c>
      <c r="J75" s="28">
        <v>26788163.286445331</v>
      </c>
      <c r="K75" s="28">
        <v>0</v>
      </c>
      <c r="L75" s="28">
        <v>34992537.462688178</v>
      </c>
      <c r="M75" s="28">
        <v>0</v>
      </c>
      <c r="N75" s="28">
        <v>45709654.110448673</v>
      </c>
      <c r="O75" s="146">
        <f t="shared" si="27"/>
        <v>127997747.12933186</v>
      </c>
      <c r="P75" s="146">
        <f t="shared" si="28"/>
        <v>124269.65740711831</v>
      </c>
      <c r="R75" s="140" t="str">
        <f t="shared" si="29"/>
        <v>8.4</v>
      </c>
      <c r="S75" s="140" t="str">
        <f t="shared" si="30"/>
        <v>8.4 To establish and strengthen institutional arrangements and systems for effective health financing at all levels of the health system</v>
      </c>
      <c r="T75" s="140" t="str">
        <f t="shared" si="31"/>
        <v>8.4.1</v>
      </c>
      <c r="U75" s="140" t="str">
        <f t="shared" si="32"/>
        <v xml:space="preserve">8.4.1 Strengthen institutional capacity in health financing and PFM to effectively implement the Health Financing Strategy </v>
      </c>
      <c r="V75" s="140" t="str">
        <f t="shared" si="33"/>
        <v>Develop capacity in the HFD to biennial conduct UHC studies</v>
      </c>
      <c r="W75" t="str">
        <f t="shared" si="34"/>
        <v/>
      </c>
      <c r="X75" t="str">
        <f t="shared" si="35"/>
        <v>X</v>
      </c>
      <c r="Y75" t="str">
        <f t="shared" si="36"/>
        <v/>
      </c>
      <c r="Z75" t="str">
        <f t="shared" si="37"/>
        <v>X</v>
      </c>
      <c r="AA75" t="str">
        <f t="shared" si="38"/>
        <v/>
      </c>
      <c r="AB75" t="str">
        <f t="shared" si="39"/>
        <v>X</v>
      </c>
      <c r="AC75" t="str">
        <f t="shared" si="40"/>
        <v/>
      </c>
      <c r="AD75" t="str">
        <f t="shared" si="41"/>
        <v>X</v>
      </c>
      <c r="AE75" s="28">
        <f t="shared" si="42"/>
        <v>0</v>
      </c>
      <c r="AF75" s="28">
        <f t="shared" si="43"/>
        <v>17942964.150000002</v>
      </c>
      <c r="AG75" s="28">
        <f t="shared" si="44"/>
        <v>0</v>
      </c>
      <c r="AH75" s="28">
        <f t="shared" si="45"/>
        <v>17942964.149999991</v>
      </c>
      <c r="AI75" s="28">
        <f t="shared" si="46"/>
        <v>0</v>
      </c>
      <c r="AJ75" s="28">
        <f t="shared" si="47"/>
        <v>17942964.14999998</v>
      </c>
      <c r="AK75" s="28">
        <f t="shared" si="48"/>
        <v>0</v>
      </c>
      <c r="AL75" s="28">
        <f t="shared" si="49"/>
        <v>17942964.14999998</v>
      </c>
    </row>
    <row r="76" spans="1:38" ht="13.05" customHeight="1" x14ac:dyDescent="0.3">
      <c r="A76">
        <v>4</v>
      </c>
      <c r="B76" s="213" t="s">
        <v>697</v>
      </c>
      <c r="C76" t="s">
        <v>1499</v>
      </c>
      <c r="D76" t="s">
        <v>693</v>
      </c>
      <c r="E76" t="s">
        <v>1568</v>
      </c>
      <c r="F76" s="41" t="s">
        <v>669</v>
      </c>
      <c r="G76" s="28">
        <v>242131671.29285717</v>
      </c>
      <c r="H76" s="28">
        <v>278347256.88365501</v>
      </c>
      <c r="I76" s="28">
        <v>464816602.85980511</v>
      </c>
      <c r="J76" s="28">
        <v>283528793.54739606</v>
      </c>
      <c r="K76" s="28">
        <v>324051039.75227636</v>
      </c>
      <c r="L76" s="28">
        <v>563890707.53476918</v>
      </c>
      <c r="M76" s="28">
        <v>312816064.39042681</v>
      </c>
      <c r="N76" s="28">
        <v>357524079.4723292</v>
      </c>
      <c r="O76" s="146">
        <f t="shared" si="27"/>
        <v>2827106215.7335148</v>
      </c>
      <c r="P76" s="146">
        <f t="shared" si="28"/>
        <v>2744763.316246131</v>
      </c>
      <c r="R76" s="140" t="str">
        <f t="shared" si="29"/>
        <v>8.4</v>
      </c>
      <c r="S76" s="140" t="str">
        <f t="shared" si="30"/>
        <v>8.4 To establish and strengthen institutional arrangements and systems for effective health financing at all levels of the health system</v>
      </c>
      <c r="T76" s="140" t="str">
        <f t="shared" si="31"/>
        <v>8.4.2</v>
      </c>
      <c r="U76" s="140" t="str">
        <f t="shared" si="32"/>
        <v xml:space="preserve">8.4.2 Strengthen generation and use of evidence in health financing decision making at all levels </v>
      </c>
      <c r="V76" s="140" t="str">
        <f t="shared" si="33"/>
        <v>Develop capacities in health financing analysis and evidence use at all levels of the health system (Knowledge capacity, resource capacity, human capacity)</v>
      </c>
      <c r="W76" t="str">
        <f t="shared" si="34"/>
        <v>X</v>
      </c>
      <c r="X76" t="str">
        <f t="shared" si="35"/>
        <v>X</v>
      </c>
      <c r="Y76" t="str">
        <f t="shared" si="36"/>
        <v>X</v>
      </c>
      <c r="Z76" t="str">
        <f t="shared" si="37"/>
        <v>X</v>
      </c>
      <c r="AA76" t="str">
        <f t="shared" si="38"/>
        <v>X</v>
      </c>
      <c r="AB76" t="str">
        <f t="shared" si="39"/>
        <v>X</v>
      </c>
      <c r="AC76" t="str">
        <f t="shared" si="40"/>
        <v>X</v>
      </c>
      <c r="AD76" t="str">
        <f t="shared" si="41"/>
        <v>X</v>
      </c>
      <c r="AE76" s="28">
        <f t="shared" si="42"/>
        <v>242131671.29285717</v>
      </c>
      <c r="AF76" s="28">
        <f t="shared" si="43"/>
        <v>243540221.29285708</v>
      </c>
      <c r="AG76" s="28">
        <f t="shared" si="44"/>
        <v>355835385.44285709</v>
      </c>
      <c r="AH76" s="28">
        <f t="shared" si="45"/>
        <v>189910257.1428571</v>
      </c>
      <c r="AI76" s="28">
        <f t="shared" si="46"/>
        <v>189910257.14285704</v>
      </c>
      <c r="AJ76" s="28">
        <f t="shared" si="47"/>
        <v>289143671.29285681</v>
      </c>
      <c r="AK76" s="28">
        <f t="shared" si="48"/>
        <v>140343257.14285699</v>
      </c>
      <c r="AL76" s="28">
        <f t="shared" si="49"/>
        <v>140343257.14285696</v>
      </c>
    </row>
    <row r="77" spans="1:38" ht="13.05" customHeight="1" x14ac:dyDescent="0.3">
      <c r="A77">
        <v>4</v>
      </c>
      <c r="B77" s="213" t="s">
        <v>697</v>
      </c>
      <c r="C77" t="s">
        <v>1499</v>
      </c>
      <c r="D77" t="s">
        <v>693</v>
      </c>
      <c r="E77" t="s">
        <v>1569</v>
      </c>
      <c r="F77" s="41" t="s">
        <v>670</v>
      </c>
      <c r="G77" s="28">
        <v>4200000</v>
      </c>
      <c r="H77" s="28">
        <v>7792395.0656246711</v>
      </c>
      <c r="I77" s="28">
        <v>1163105146.0697696</v>
      </c>
      <c r="J77" s="28">
        <v>1399399773.7867436</v>
      </c>
      <c r="K77" s="28">
        <v>1526160683.2706723</v>
      </c>
      <c r="L77" s="28">
        <v>161680528.37576896</v>
      </c>
      <c r="M77" s="28">
        <v>154988493.24404427</v>
      </c>
      <c r="N77" s="28">
        <v>177139618.72086015</v>
      </c>
      <c r="O77" s="146">
        <f t="shared" si="27"/>
        <v>4594466638.5334845</v>
      </c>
      <c r="P77" s="146">
        <f t="shared" si="28"/>
        <v>4460647.2218771698</v>
      </c>
      <c r="R77" s="140" t="str">
        <f t="shared" si="29"/>
        <v>8.4</v>
      </c>
      <c r="S77" s="140" t="str">
        <f t="shared" si="30"/>
        <v>8.4 To establish and strengthen institutional arrangements and systems for effective health financing at all levels of the health system</v>
      </c>
      <c r="T77" s="140" t="str">
        <f t="shared" si="31"/>
        <v>8.4.2</v>
      </c>
      <c r="U77" s="140" t="str">
        <f t="shared" si="32"/>
        <v xml:space="preserve">8.4.2 Strengthen generation and use of evidence in health financing decision making at all levels </v>
      </c>
      <c r="V77" s="140" t="str">
        <f t="shared" si="33"/>
        <v>Develop capacities of health economics and health financing of research institutions</v>
      </c>
      <c r="W77" t="str">
        <f t="shared" si="34"/>
        <v>X</v>
      </c>
      <c r="X77" t="str">
        <f t="shared" si="35"/>
        <v>X</v>
      </c>
      <c r="Y77" t="str">
        <f t="shared" si="36"/>
        <v>X</v>
      </c>
      <c r="Z77" t="str">
        <f t="shared" si="37"/>
        <v>X</v>
      </c>
      <c r="AA77" t="str">
        <f t="shared" si="38"/>
        <v>X</v>
      </c>
      <c r="AB77" t="str">
        <f t="shared" si="39"/>
        <v>X</v>
      </c>
      <c r="AC77" t="str">
        <f t="shared" si="40"/>
        <v>X</v>
      </c>
      <c r="AD77" t="str">
        <f t="shared" si="41"/>
        <v>X</v>
      </c>
      <c r="AE77" s="28">
        <f t="shared" si="42"/>
        <v>4200000</v>
      </c>
      <c r="AF77" s="28">
        <f t="shared" si="43"/>
        <v>6817964.1499999985</v>
      </c>
      <c r="AG77" s="28">
        <f t="shared" si="44"/>
        <v>890402721.02142823</v>
      </c>
      <c r="AH77" s="28">
        <f t="shared" si="45"/>
        <v>937331152.72142804</v>
      </c>
      <c r="AI77" s="28">
        <f t="shared" si="46"/>
        <v>894407152.72142804</v>
      </c>
      <c r="AJ77" s="28">
        <f t="shared" si="47"/>
        <v>82904188.571428508</v>
      </c>
      <c r="AK77" s="28">
        <f t="shared" si="48"/>
        <v>69534759.99999994</v>
      </c>
      <c r="AL77" s="28">
        <f t="shared" si="49"/>
        <v>69534759.99999994</v>
      </c>
    </row>
    <row r="78" spans="1:38" ht="13.05" customHeight="1" x14ac:dyDescent="0.3">
      <c r="A78">
        <v>4</v>
      </c>
      <c r="B78" s="213" t="s">
        <v>697</v>
      </c>
      <c r="C78" t="s">
        <v>1499</v>
      </c>
      <c r="D78" t="s">
        <v>693</v>
      </c>
      <c r="E78" t="s">
        <v>1570</v>
      </c>
      <c r="F78" s="41" t="s">
        <v>672</v>
      </c>
      <c r="G78" s="28">
        <v>2048742164.5946429</v>
      </c>
      <c r="H78" s="28">
        <v>673610130.44164574</v>
      </c>
      <c r="I78" s="28">
        <v>1716854113.0439255</v>
      </c>
      <c r="J78" s="28">
        <v>261702787.79162937</v>
      </c>
      <c r="K78" s="28">
        <v>507598902.29776239</v>
      </c>
      <c r="L78" s="28">
        <v>0</v>
      </c>
      <c r="M78" s="28">
        <v>835538063.14755476</v>
      </c>
      <c r="N78" s="28">
        <v>0</v>
      </c>
      <c r="O78" s="146">
        <f t="shared" si="27"/>
        <v>6044046161.3171616</v>
      </c>
      <c r="P78" s="146">
        <f t="shared" si="28"/>
        <v>5868005.9818613222</v>
      </c>
      <c r="R78" s="140" t="str">
        <f t="shared" si="29"/>
        <v>8.4</v>
      </c>
      <c r="S78" s="140" t="str">
        <f t="shared" si="30"/>
        <v>8.4 To establish and strengthen institutional arrangements and systems for effective health financing at all levels of the health system</v>
      </c>
      <c r="T78" s="140" t="str">
        <f t="shared" si="31"/>
        <v>8.4.2</v>
      </c>
      <c r="U78" s="140" t="str">
        <f t="shared" si="32"/>
        <v xml:space="preserve">8.4.2 Strengthen generation and use of evidence in health financing decision making at all levels </v>
      </c>
      <c r="V78" s="140" t="str">
        <f t="shared" si="33"/>
        <v>Institutionalise public expenditure review studies at national and decentralised levels</v>
      </c>
      <c r="W78" t="str">
        <f t="shared" si="34"/>
        <v>X</v>
      </c>
      <c r="X78" t="str">
        <f t="shared" si="35"/>
        <v>X</v>
      </c>
      <c r="Y78" t="str">
        <f t="shared" si="36"/>
        <v>X</v>
      </c>
      <c r="Z78" t="str">
        <f t="shared" si="37"/>
        <v>X</v>
      </c>
      <c r="AA78" t="str">
        <f t="shared" si="38"/>
        <v>X</v>
      </c>
      <c r="AB78" t="str">
        <f t="shared" si="39"/>
        <v/>
      </c>
      <c r="AC78" t="str">
        <f t="shared" si="40"/>
        <v>X</v>
      </c>
      <c r="AD78" t="str">
        <f t="shared" si="41"/>
        <v/>
      </c>
      <c r="AE78" s="28">
        <f t="shared" si="42"/>
        <v>2048742164.5946429</v>
      </c>
      <c r="AF78" s="28">
        <f t="shared" si="43"/>
        <v>589375882.73571408</v>
      </c>
      <c r="AG78" s="28">
        <f t="shared" si="44"/>
        <v>1314319327.8928564</v>
      </c>
      <c r="AH78" s="28">
        <f t="shared" si="45"/>
        <v>175290992.85714272</v>
      </c>
      <c r="AI78" s="28">
        <f t="shared" si="46"/>
        <v>297478564.28571403</v>
      </c>
      <c r="AJ78" s="28">
        <f t="shared" si="47"/>
        <v>0</v>
      </c>
      <c r="AK78" s="28">
        <f t="shared" si="48"/>
        <v>374859691.03749949</v>
      </c>
      <c r="AL78" s="28">
        <f t="shared" si="49"/>
        <v>0</v>
      </c>
    </row>
    <row r="79" spans="1:38" ht="13.05" customHeight="1" x14ac:dyDescent="0.3">
      <c r="A79">
        <v>4</v>
      </c>
      <c r="B79" s="213" t="s">
        <v>697</v>
      </c>
      <c r="C79" t="s">
        <v>1499</v>
      </c>
      <c r="D79" t="s">
        <v>693</v>
      </c>
      <c r="E79" t="s">
        <v>1571</v>
      </c>
      <c r="F79" s="41" t="s">
        <v>673</v>
      </c>
      <c r="G79" s="28">
        <v>98314949.728571415</v>
      </c>
      <c r="H79" s="28">
        <v>561781529.10991955</v>
      </c>
      <c r="I79" s="28">
        <v>312202835.66348362</v>
      </c>
      <c r="J79" s="28">
        <v>270141744.51757669</v>
      </c>
      <c r="K79" s="28">
        <v>308750698.98952246</v>
      </c>
      <c r="L79" s="28">
        <v>352877687.58862185</v>
      </c>
      <c r="M79" s="28">
        <v>403311353.80561072</v>
      </c>
      <c r="N79" s="28">
        <v>460953054.92406386</v>
      </c>
      <c r="O79" s="146">
        <f t="shared" si="27"/>
        <v>2768333854.3273702</v>
      </c>
      <c r="P79" s="146">
        <f t="shared" si="28"/>
        <v>2687702.7711916217</v>
      </c>
      <c r="R79" s="140" t="str">
        <f t="shared" si="29"/>
        <v>8.4</v>
      </c>
      <c r="S79" s="140" t="str">
        <f t="shared" si="30"/>
        <v>8.4 To establish and strengthen institutional arrangements and systems for effective health financing at all levels of the health system</v>
      </c>
      <c r="T79" s="140" t="str">
        <f t="shared" si="31"/>
        <v>8.4.2</v>
      </c>
      <c r="U79" s="140" t="str">
        <f t="shared" si="32"/>
        <v xml:space="preserve">8.4.2 Strengthen generation and use of evidence in health financing decision making at all levels </v>
      </c>
      <c r="V79" s="140" t="str">
        <f t="shared" si="33"/>
        <v>Conduct needs assessment and commission studies in key areas of health financing of the Strategy</v>
      </c>
      <c r="W79" t="str">
        <f t="shared" si="34"/>
        <v>X</v>
      </c>
      <c r="X79" t="str">
        <f t="shared" si="35"/>
        <v>X</v>
      </c>
      <c r="Y79" t="str">
        <f t="shared" si="36"/>
        <v>X</v>
      </c>
      <c r="Z79" t="str">
        <f t="shared" si="37"/>
        <v>X</v>
      </c>
      <c r="AA79" t="str">
        <f t="shared" si="38"/>
        <v>X</v>
      </c>
      <c r="AB79" t="str">
        <f t="shared" si="39"/>
        <v>X</v>
      </c>
      <c r="AC79" t="str">
        <f t="shared" si="40"/>
        <v>X</v>
      </c>
      <c r="AD79" t="str">
        <f t="shared" si="41"/>
        <v>X</v>
      </c>
      <c r="AE79" s="28">
        <f t="shared" si="42"/>
        <v>98314949.728571415</v>
      </c>
      <c r="AF79" s="28">
        <f t="shared" si="43"/>
        <v>491531331.93928564</v>
      </c>
      <c r="AG79" s="28">
        <f t="shared" si="44"/>
        <v>239003546.08928576</v>
      </c>
      <c r="AH79" s="28">
        <f t="shared" si="45"/>
        <v>180943485.57857138</v>
      </c>
      <c r="AI79" s="28">
        <f t="shared" si="46"/>
        <v>180943485.57857132</v>
      </c>
      <c r="AJ79" s="28">
        <f t="shared" si="47"/>
        <v>180943485.57857132</v>
      </c>
      <c r="AK79" s="28">
        <f t="shared" si="48"/>
        <v>180943485.5785712</v>
      </c>
      <c r="AL79" s="28">
        <f t="shared" si="49"/>
        <v>180943485.57857126</v>
      </c>
    </row>
    <row r="80" spans="1:38" ht="13.05" customHeight="1" x14ac:dyDescent="0.3">
      <c r="A80">
        <v>4</v>
      </c>
      <c r="B80" s="213" t="s">
        <v>697</v>
      </c>
      <c r="C80" t="s">
        <v>1499</v>
      </c>
      <c r="D80" t="s">
        <v>693</v>
      </c>
      <c r="E80" t="s">
        <v>1572</v>
      </c>
      <c r="F80" s="41" t="s">
        <v>674</v>
      </c>
      <c r="G80" s="28">
        <v>10220000</v>
      </c>
      <c r="H80" s="28">
        <v>63476000.734791949</v>
      </c>
      <c r="I80" s="28">
        <v>72548060.392981231</v>
      </c>
      <c r="J80" s="28">
        <v>82916708.769568339</v>
      </c>
      <c r="K80" s="28">
        <v>94767255.746544555</v>
      </c>
      <c r="L80" s="28">
        <v>108311495.89752026</v>
      </c>
      <c r="M80" s="28">
        <v>22779720.544863205</v>
      </c>
      <c r="N80" s="28">
        <v>26035423.194488492</v>
      </c>
      <c r="O80" s="146">
        <f t="shared" si="27"/>
        <v>481054665.28075796</v>
      </c>
      <c r="P80" s="146">
        <f t="shared" si="28"/>
        <v>467043.36435025046</v>
      </c>
      <c r="R80" s="140" t="str">
        <f t="shared" si="29"/>
        <v>8.4</v>
      </c>
      <c r="S80" s="140" t="str">
        <f t="shared" si="30"/>
        <v>8.4 To establish and strengthen institutional arrangements and systems for effective health financing at all levels of the health system</v>
      </c>
      <c r="T80" s="140" t="str">
        <f t="shared" si="31"/>
        <v>8.4.2</v>
      </c>
      <c r="U80" s="140" t="str">
        <f t="shared" si="32"/>
        <v xml:space="preserve">8.4.2 Strengthen generation and use of evidence in health financing decision making at all levels </v>
      </c>
      <c r="V80" s="140" t="str">
        <f t="shared" si="33"/>
        <v>Develop capacity for the MoH to lead in health PPPs</v>
      </c>
      <c r="W80" t="str">
        <f t="shared" si="34"/>
        <v>X</v>
      </c>
      <c r="X80" t="str">
        <f t="shared" si="35"/>
        <v>X</v>
      </c>
      <c r="Y80" t="str">
        <f t="shared" si="36"/>
        <v>X</v>
      </c>
      <c r="Z80" t="str">
        <f t="shared" si="37"/>
        <v>X</v>
      </c>
      <c r="AA80" t="str">
        <f t="shared" si="38"/>
        <v>X</v>
      </c>
      <c r="AB80" t="str">
        <f t="shared" si="39"/>
        <v>X</v>
      </c>
      <c r="AC80" t="str">
        <f t="shared" si="40"/>
        <v>X</v>
      </c>
      <c r="AD80" t="str">
        <f t="shared" si="41"/>
        <v>X</v>
      </c>
      <c r="AE80" s="28">
        <f t="shared" si="42"/>
        <v>10220000</v>
      </c>
      <c r="AF80" s="28">
        <f t="shared" si="43"/>
        <v>55538392.721428558</v>
      </c>
      <c r="AG80" s="28">
        <f t="shared" si="44"/>
        <v>55538392.721428558</v>
      </c>
      <c r="AH80" s="28">
        <f t="shared" si="45"/>
        <v>55538392.721428543</v>
      </c>
      <c r="AI80" s="28">
        <f t="shared" si="46"/>
        <v>55538392.721428528</v>
      </c>
      <c r="AJ80" s="28">
        <f t="shared" si="47"/>
        <v>55538392.721428528</v>
      </c>
      <c r="AK80" s="28">
        <f t="shared" si="48"/>
        <v>10219999.999999991</v>
      </c>
      <c r="AL80" s="28">
        <f t="shared" si="49"/>
        <v>10219999.999999991</v>
      </c>
    </row>
    <row r="81" spans="1:38" ht="13.05" customHeight="1" x14ac:dyDescent="0.3">
      <c r="A81">
        <v>4</v>
      </c>
      <c r="B81" s="213" t="s">
        <v>697</v>
      </c>
      <c r="C81" t="s">
        <v>1500</v>
      </c>
      <c r="D81" t="s">
        <v>694</v>
      </c>
      <c r="E81" t="s">
        <v>1573</v>
      </c>
      <c r="F81" s="41" t="s">
        <v>675</v>
      </c>
      <c r="G81" s="28">
        <v>852301228.57142866</v>
      </c>
      <c r="H81" s="28">
        <v>108084643.98308511</v>
      </c>
      <c r="I81" s="28">
        <v>0</v>
      </c>
      <c r="J81" s="28">
        <v>0</v>
      </c>
      <c r="K81" s="28">
        <v>0</v>
      </c>
      <c r="L81" s="28">
        <v>0</v>
      </c>
      <c r="M81" s="28">
        <v>0</v>
      </c>
      <c r="N81" s="28">
        <v>28568872.943245996</v>
      </c>
      <c r="O81" s="146">
        <f t="shared" si="27"/>
        <v>988954745.49775982</v>
      </c>
      <c r="P81" s="146">
        <f t="shared" si="28"/>
        <v>960150.23834733968</v>
      </c>
      <c r="R81" s="140" t="str">
        <f t="shared" si="29"/>
        <v>8.4</v>
      </c>
      <c r="S81" s="140" t="str">
        <f t="shared" si="30"/>
        <v>8.4 To establish and strengthen institutional arrangements and systems for effective health financing at all levels of the health system</v>
      </c>
      <c r="T81" s="140" t="str">
        <f t="shared" si="31"/>
        <v>8.4.3</v>
      </c>
      <c r="U81" s="140" t="str">
        <f t="shared" si="32"/>
        <v xml:space="preserve">8.4.3 Strengthen the advocacy capacity for the Health Financing Strategy </v>
      </c>
      <c r="V81" s="140" t="str">
        <f t="shared" si="33"/>
        <v>Create a coherent framework for communicating key messages of the HFS</v>
      </c>
      <c r="W81" t="str">
        <f t="shared" si="34"/>
        <v>X</v>
      </c>
      <c r="X81" t="str">
        <f t="shared" si="35"/>
        <v>X</v>
      </c>
      <c r="Y81" t="str">
        <f t="shared" si="36"/>
        <v/>
      </c>
      <c r="Z81" t="str">
        <f t="shared" si="37"/>
        <v/>
      </c>
      <c r="AA81" t="str">
        <f t="shared" si="38"/>
        <v/>
      </c>
      <c r="AB81" t="str">
        <f t="shared" si="39"/>
        <v/>
      </c>
      <c r="AC81" t="str">
        <f t="shared" si="40"/>
        <v/>
      </c>
      <c r="AD81" t="str">
        <f t="shared" si="41"/>
        <v>X</v>
      </c>
      <c r="AE81" s="28">
        <f t="shared" si="42"/>
        <v>852301228.57142866</v>
      </c>
      <c r="AF81" s="28">
        <f t="shared" si="43"/>
        <v>94568771.428571418</v>
      </c>
      <c r="AG81" s="28">
        <f t="shared" si="44"/>
        <v>0</v>
      </c>
      <c r="AH81" s="28">
        <f t="shared" si="45"/>
        <v>0</v>
      </c>
      <c r="AI81" s="28">
        <f t="shared" si="46"/>
        <v>0</v>
      </c>
      <c r="AJ81" s="28">
        <f t="shared" si="47"/>
        <v>0</v>
      </c>
      <c r="AK81" s="28">
        <f t="shared" si="48"/>
        <v>0</v>
      </c>
      <c r="AL81" s="28">
        <f t="shared" si="49"/>
        <v>11214485.714285702</v>
      </c>
    </row>
    <row r="82" spans="1:38" ht="13.05" customHeight="1" x14ac:dyDescent="0.3">
      <c r="A82">
        <v>4</v>
      </c>
      <c r="B82" s="213" t="s">
        <v>697</v>
      </c>
      <c r="C82" t="s">
        <v>1500</v>
      </c>
      <c r="D82" t="s">
        <v>694</v>
      </c>
      <c r="E82" t="s">
        <v>1574</v>
      </c>
      <c r="F82" s="41" t="s">
        <v>676</v>
      </c>
      <c r="G82" s="28">
        <v>491420707.14285713</v>
      </c>
      <c r="H82" s="28">
        <v>27249463.334092006</v>
      </c>
      <c r="I82" s="28">
        <v>743356061.19026291</v>
      </c>
      <c r="J82" s="28">
        <v>83096600.226773858</v>
      </c>
      <c r="K82" s="28">
        <v>129346726.40806048</v>
      </c>
      <c r="L82" s="28">
        <v>108546482.46558653</v>
      </c>
      <c r="M82" s="28">
        <v>58785371.037944838</v>
      </c>
      <c r="N82" s="28">
        <v>1526123957.8834326</v>
      </c>
      <c r="O82" s="146">
        <f t="shared" si="27"/>
        <v>3167925369.6890101</v>
      </c>
      <c r="P82" s="146">
        <f t="shared" si="28"/>
        <v>3075655.6987271942</v>
      </c>
      <c r="R82" s="140" t="str">
        <f t="shared" si="29"/>
        <v>8.4</v>
      </c>
      <c r="S82" s="140" t="str">
        <f t="shared" si="30"/>
        <v>8.4 To establish and strengthen institutional arrangements and systems for effective health financing at all levels of the health system</v>
      </c>
      <c r="T82" s="140" t="str">
        <f t="shared" si="31"/>
        <v>8.4.3</v>
      </c>
      <c r="U82" s="140" t="str">
        <f t="shared" si="32"/>
        <v xml:space="preserve">8.4.3 Strengthen the advocacy capacity for the Health Financing Strategy </v>
      </c>
      <c r="V82" s="140" t="str">
        <f t="shared" si="33"/>
        <v>Develop and sustain capacity of advocacy institutions</v>
      </c>
      <c r="W82" t="str">
        <f t="shared" si="34"/>
        <v>X</v>
      </c>
      <c r="X82" t="str">
        <f t="shared" si="35"/>
        <v>X</v>
      </c>
      <c r="Y82" t="str">
        <f t="shared" si="36"/>
        <v>X</v>
      </c>
      <c r="Z82" t="str">
        <f t="shared" si="37"/>
        <v>X</v>
      </c>
      <c r="AA82" t="str">
        <f t="shared" si="38"/>
        <v>X</v>
      </c>
      <c r="AB82" t="str">
        <f t="shared" si="39"/>
        <v>X</v>
      </c>
      <c r="AC82" t="str">
        <f t="shared" si="40"/>
        <v>X</v>
      </c>
      <c r="AD82" t="str">
        <f t="shared" si="41"/>
        <v>X</v>
      </c>
      <c r="AE82" s="28">
        <f t="shared" si="42"/>
        <v>491420707.14285713</v>
      </c>
      <c r="AF82" s="28">
        <f t="shared" si="43"/>
        <v>23841946.224999994</v>
      </c>
      <c r="AG82" s="28">
        <f t="shared" si="44"/>
        <v>569068292.5857141</v>
      </c>
      <c r="AH82" s="28">
        <f t="shared" si="45"/>
        <v>55658885.714285694</v>
      </c>
      <c r="AI82" s="28">
        <f t="shared" si="46"/>
        <v>75803707.007142797</v>
      </c>
      <c r="AJ82" s="28">
        <f t="shared" si="47"/>
        <v>55658885.714285657</v>
      </c>
      <c r="AK82" s="28">
        <f t="shared" si="48"/>
        <v>26373742.857142828</v>
      </c>
      <c r="AL82" s="28">
        <f t="shared" si="49"/>
        <v>599067921.15714228</v>
      </c>
    </row>
    <row r="83" spans="1:38" ht="13.05" customHeight="1" x14ac:dyDescent="0.3">
      <c r="A83">
        <v>4</v>
      </c>
      <c r="B83" s="213" t="s">
        <v>697</v>
      </c>
      <c r="C83" t="s">
        <v>1500</v>
      </c>
      <c r="D83" t="s">
        <v>694</v>
      </c>
      <c r="E83" t="s">
        <v>1575</v>
      </c>
      <c r="F83" s="41" t="s">
        <v>677</v>
      </c>
      <c r="G83" s="28">
        <v>120302621.29285713</v>
      </c>
      <c r="H83" s="28">
        <v>28818167.672862254</v>
      </c>
      <c r="I83" s="28">
        <v>18287760.875547566</v>
      </c>
      <c r="J83" s="28">
        <v>161318455.44157186</v>
      </c>
      <c r="K83" s="28">
        <v>23888728.417229161</v>
      </c>
      <c r="L83" s="28">
        <v>210725238.42343867</v>
      </c>
      <c r="M83" s="28">
        <v>31205096.636798907</v>
      </c>
      <c r="N83" s="28">
        <v>275263769.33789963</v>
      </c>
      <c r="O83" s="146">
        <f t="shared" si="27"/>
        <v>869809838.09820509</v>
      </c>
      <c r="P83" s="146">
        <f t="shared" si="28"/>
        <v>844475.57096913119</v>
      </c>
      <c r="R83" s="140" t="str">
        <f t="shared" si="29"/>
        <v>8.4</v>
      </c>
      <c r="S83" s="140" t="str">
        <f t="shared" si="30"/>
        <v>8.4 To establish and strengthen institutional arrangements and systems for effective health financing at all levels of the health system</v>
      </c>
      <c r="T83" s="140" t="str">
        <f t="shared" si="31"/>
        <v>8.4.3</v>
      </c>
      <c r="U83" s="140" t="str">
        <f t="shared" si="32"/>
        <v xml:space="preserve">8.4.3 Strengthen the advocacy capacity for the Health Financing Strategy </v>
      </c>
      <c r="V83" s="140" t="str">
        <f t="shared" si="33"/>
        <v>Develop and sustain advocacy platforms to undertake lobbying and communication activities</v>
      </c>
      <c r="W83" t="str">
        <f t="shared" si="34"/>
        <v>X</v>
      </c>
      <c r="X83" t="str">
        <f t="shared" si="35"/>
        <v>X</v>
      </c>
      <c r="Y83" t="str">
        <f t="shared" si="36"/>
        <v>X</v>
      </c>
      <c r="Z83" t="str">
        <f t="shared" si="37"/>
        <v>X</v>
      </c>
      <c r="AA83" t="str">
        <f t="shared" si="38"/>
        <v>X</v>
      </c>
      <c r="AB83" t="str">
        <f t="shared" si="39"/>
        <v>X</v>
      </c>
      <c r="AC83" t="str">
        <f t="shared" si="40"/>
        <v>X</v>
      </c>
      <c r="AD83" t="str">
        <f t="shared" si="41"/>
        <v>X</v>
      </c>
      <c r="AE83" s="28">
        <f t="shared" si="42"/>
        <v>120302621.29285713</v>
      </c>
      <c r="AF83" s="28">
        <f t="shared" si="43"/>
        <v>25214485.714285709</v>
      </c>
      <c r="AG83" s="28">
        <f t="shared" si="44"/>
        <v>13999999.999999996</v>
      </c>
      <c r="AH83" s="28">
        <f t="shared" si="45"/>
        <v>108052621.29285708</v>
      </c>
      <c r="AI83" s="28">
        <f t="shared" si="46"/>
        <v>13999999.999999991</v>
      </c>
      <c r="AJ83" s="28">
        <f t="shared" si="47"/>
        <v>108052621.29285705</v>
      </c>
      <c r="AK83" s="28">
        <f t="shared" si="48"/>
        <v>13999999.999999985</v>
      </c>
      <c r="AL83" s="28">
        <f t="shared" si="49"/>
        <v>108052621.29285705</v>
      </c>
    </row>
    <row r="84" spans="1:38" ht="13.05" customHeight="1" x14ac:dyDescent="0.3">
      <c r="A84">
        <v>4</v>
      </c>
      <c r="B84" s="213" t="s">
        <v>697</v>
      </c>
      <c r="C84" t="s">
        <v>1500</v>
      </c>
      <c r="D84" t="s">
        <v>694</v>
      </c>
      <c r="E84" t="s">
        <v>1576</v>
      </c>
      <c r="F84" s="41" t="s">
        <v>678</v>
      </c>
      <c r="G84" s="28">
        <v>25564899.728571426</v>
      </c>
      <c r="H84" s="28">
        <v>0</v>
      </c>
      <c r="I84" s="28">
        <v>89464901.490390629</v>
      </c>
      <c r="J84" s="28">
        <v>64083900.034286104</v>
      </c>
      <c r="K84" s="28">
        <v>73242841.327224612</v>
      </c>
      <c r="L84" s="28">
        <v>46799049.488312975</v>
      </c>
      <c r="M84" s="28">
        <v>0</v>
      </c>
      <c r="N84" s="28">
        <v>0</v>
      </c>
      <c r="O84" s="146">
        <f t="shared" si="27"/>
        <v>299155592.06878573</v>
      </c>
      <c r="P84" s="146">
        <f t="shared" si="28"/>
        <v>290442.32239687938</v>
      </c>
      <c r="R84" s="140" t="str">
        <f t="shared" si="29"/>
        <v>8.4</v>
      </c>
      <c r="S84" s="140" t="str">
        <f t="shared" si="30"/>
        <v>8.4 To establish and strengthen institutional arrangements and systems for effective health financing at all levels of the health system</v>
      </c>
      <c r="T84" s="140" t="str">
        <f t="shared" si="31"/>
        <v>8.4.3</v>
      </c>
      <c r="U84" s="140" t="str">
        <f t="shared" si="32"/>
        <v xml:space="preserve">8.4.3 Strengthen the advocacy capacity for the Health Financing Strategy </v>
      </c>
      <c r="V84" s="140" t="str">
        <f t="shared" si="33"/>
        <v>Facilitate resource mobilization and communication function of the advocacy strategy for health financing</v>
      </c>
      <c r="W84" t="str">
        <f t="shared" si="34"/>
        <v>X</v>
      </c>
      <c r="X84" t="str">
        <f t="shared" si="35"/>
        <v/>
      </c>
      <c r="Y84" t="str">
        <f t="shared" si="36"/>
        <v>X</v>
      </c>
      <c r="Z84" t="str">
        <f t="shared" si="37"/>
        <v>X</v>
      </c>
      <c r="AA84" t="str">
        <f t="shared" si="38"/>
        <v>X</v>
      </c>
      <c r="AB84" t="str">
        <f t="shared" si="39"/>
        <v>X</v>
      </c>
      <c r="AC84" t="str">
        <f t="shared" si="40"/>
        <v/>
      </c>
      <c r="AD84" t="str">
        <f t="shared" si="41"/>
        <v/>
      </c>
      <c r="AE84" s="28">
        <f t="shared" si="42"/>
        <v>25564899.728571426</v>
      </c>
      <c r="AF84" s="28">
        <f t="shared" si="43"/>
        <v>0</v>
      </c>
      <c r="AG84" s="28">
        <f t="shared" si="44"/>
        <v>68488899.7285714</v>
      </c>
      <c r="AH84" s="28">
        <f t="shared" si="45"/>
        <v>42923999.999999978</v>
      </c>
      <c r="AI84" s="28">
        <f t="shared" si="46"/>
        <v>42923999.999999978</v>
      </c>
      <c r="AJ84" s="28">
        <f t="shared" si="47"/>
        <v>23996935.578571405</v>
      </c>
      <c r="AK84" s="28">
        <f t="shared" si="48"/>
        <v>0</v>
      </c>
      <c r="AL84" s="28">
        <f t="shared" si="49"/>
        <v>0</v>
      </c>
    </row>
    <row r="85" spans="1:38" ht="13.05" customHeight="1" x14ac:dyDescent="0.3">
      <c r="A85">
        <v>4</v>
      </c>
      <c r="B85" s="213" t="s">
        <v>697</v>
      </c>
      <c r="C85" t="s">
        <v>1500</v>
      </c>
      <c r="D85" t="s">
        <v>694</v>
      </c>
      <c r="E85" t="s">
        <v>1577</v>
      </c>
      <c r="F85" s="41" t="s">
        <v>679</v>
      </c>
      <c r="G85" s="28">
        <v>106010142.85714285</v>
      </c>
      <c r="H85" s="28">
        <v>486507182.54137933</v>
      </c>
      <c r="I85" s="28">
        <v>0</v>
      </c>
      <c r="J85" s="28">
        <v>0</v>
      </c>
      <c r="K85" s="28">
        <v>0</v>
      </c>
      <c r="L85" s="28">
        <v>0</v>
      </c>
      <c r="M85" s="28">
        <v>0</v>
      </c>
      <c r="N85" s="28">
        <v>0</v>
      </c>
      <c r="O85" s="146">
        <f t="shared" si="27"/>
        <v>592517325.39852214</v>
      </c>
      <c r="P85" s="146">
        <f t="shared" si="28"/>
        <v>575259.53922186617</v>
      </c>
      <c r="R85" s="140" t="str">
        <f t="shared" si="29"/>
        <v>8.4</v>
      </c>
      <c r="S85" s="140" t="str">
        <f t="shared" si="30"/>
        <v>8.4 To establish and strengthen institutional arrangements and systems for effective health financing at all levels of the health system</v>
      </c>
      <c r="T85" s="140" t="str">
        <f t="shared" si="31"/>
        <v>8.4.3</v>
      </c>
      <c r="U85" s="140" t="str">
        <f t="shared" si="32"/>
        <v xml:space="preserve">8.4.3 Strengthen the advocacy capacity for the Health Financing Strategy </v>
      </c>
      <c r="V85" s="140" t="str">
        <f t="shared" si="33"/>
        <v xml:space="preserve"> Improve the legal and policy environment for voluntary health insurance</v>
      </c>
      <c r="W85" t="str">
        <f t="shared" si="34"/>
        <v>X</v>
      </c>
      <c r="X85" t="str">
        <f t="shared" si="35"/>
        <v>X</v>
      </c>
      <c r="Y85" t="str">
        <f t="shared" si="36"/>
        <v/>
      </c>
      <c r="Z85" t="str">
        <f t="shared" si="37"/>
        <v/>
      </c>
      <c r="AA85" t="str">
        <f t="shared" si="38"/>
        <v/>
      </c>
      <c r="AB85" t="str">
        <f t="shared" si="39"/>
        <v/>
      </c>
      <c r="AC85" t="str">
        <f t="shared" si="40"/>
        <v/>
      </c>
      <c r="AD85" t="str">
        <f t="shared" si="41"/>
        <v/>
      </c>
      <c r="AE85" s="28">
        <f t="shared" si="42"/>
        <v>106010142.85714285</v>
      </c>
      <c r="AF85" s="28">
        <f t="shared" si="43"/>
        <v>425669964.28571421</v>
      </c>
      <c r="AG85" s="28">
        <f t="shared" si="44"/>
        <v>0</v>
      </c>
      <c r="AH85" s="28">
        <f t="shared" si="45"/>
        <v>0</v>
      </c>
      <c r="AI85" s="28">
        <f t="shared" si="46"/>
        <v>0</v>
      </c>
      <c r="AJ85" s="28">
        <f t="shared" si="47"/>
        <v>0</v>
      </c>
      <c r="AK85" s="28">
        <f t="shared" si="48"/>
        <v>0</v>
      </c>
      <c r="AL85" s="28">
        <f t="shared" si="49"/>
        <v>0</v>
      </c>
    </row>
    <row r="86" spans="1:38" ht="13.05" customHeight="1" x14ac:dyDescent="0.3">
      <c r="A86">
        <v>4</v>
      </c>
      <c r="B86" s="213" t="s">
        <v>697</v>
      </c>
      <c r="C86" t="s">
        <v>1501</v>
      </c>
      <c r="D86" t="s">
        <v>695</v>
      </c>
      <c r="E86" t="s">
        <v>1578</v>
      </c>
      <c r="F86" s="41" t="s">
        <v>1702</v>
      </c>
      <c r="G86" s="28">
        <v>41855850</v>
      </c>
      <c r="H86" s="28">
        <v>0</v>
      </c>
      <c r="I86" s="28">
        <v>0</v>
      </c>
      <c r="J86" s="28">
        <v>0</v>
      </c>
      <c r="K86" s="28">
        <v>0</v>
      </c>
      <c r="L86" s="28">
        <v>0</v>
      </c>
      <c r="M86" s="28">
        <v>0</v>
      </c>
      <c r="N86" s="28">
        <v>0</v>
      </c>
      <c r="O86" s="146">
        <f t="shared" si="27"/>
        <v>41855850</v>
      </c>
      <c r="P86" s="146">
        <f t="shared" si="28"/>
        <v>40636.747572815533</v>
      </c>
      <c r="R86" s="140" t="str">
        <f t="shared" ref="R86:R95" si="50">"8."&amp;A86</f>
        <v>8.4</v>
      </c>
      <c r="S86" s="140" t="str">
        <f t="shared" ref="S86:S95" si="51">R86&amp;" "&amp;B86</f>
        <v>8.4 To establish and strengthen institutional arrangements and systems for effective health financing at all levels of the health system</v>
      </c>
      <c r="T86" s="140" t="str">
        <f t="shared" ref="T86:T95" si="52">R86&amp;"."&amp;C86</f>
        <v>8.4.4</v>
      </c>
      <c r="U86" s="140" t="str">
        <f t="shared" ref="U86:U95" si="53">T86&amp;" "&amp;D86</f>
        <v xml:space="preserve">8.4.4 Strengthen the legal, regulatory and policy frameworks for health financing </v>
      </c>
      <c r="V86" s="140" t="str">
        <f t="shared" ref="V86:V95" si="54">F86</f>
        <v>Introduce legislation on voluntary health insurance to guide the sector and to firmly place the role of the health sector in private health insurance</v>
      </c>
      <c r="W86" t="str">
        <f t="shared" si="34"/>
        <v>X</v>
      </c>
      <c r="X86" t="str">
        <f t="shared" si="35"/>
        <v/>
      </c>
      <c r="Y86" t="str">
        <f t="shared" si="36"/>
        <v/>
      </c>
      <c r="Z86" t="str">
        <f t="shared" si="37"/>
        <v/>
      </c>
      <c r="AA86" t="str">
        <f t="shared" si="38"/>
        <v/>
      </c>
      <c r="AB86" t="str">
        <f t="shared" si="39"/>
        <v/>
      </c>
      <c r="AC86" t="str">
        <f t="shared" si="40"/>
        <v/>
      </c>
      <c r="AD86" t="str">
        <f t="shared" si="41"/>
        <v/>
      </c>
      <c r="AE86" s="28">
        <f t="shared" si="42"/>
        <v>41855850</v>
      </c>
      <c r="AF86" s="28">
        <f t="shared" si="43"/>
        <v>0</v>
      </c>
      <c r="AG86" s="28">
        <f t="shared" si="44"/>
        <v>0</v>
      </c>
      <c r="AH86" s="28">
        <f t="shared" si="45"/>
        <v>0</v>
      </c>
      <c r="AI86" s="28">
        <f t="shared" si="46"/>
        <v>0</v>
      </c>
      <c r="AJ86" s="28">
        <f t="shared" si="47"/>
        <v>0</v>
      </c>
      <c r="AK86" s="28">
        <f t="shared" si="48"/>
        <v>0</v>
      </c>
      <c r="AL86" s="28">
        <f t="shared" si="49"/>
        <v>0</v>
      </c>
    </row>
    <row r="87" spans="1:38" ht="13.05" customHeight="1" x14ac:dyDescent="0.3">
      <c r="A87">
        <v>4</v>
      </c>
      <c r="B87" s="213" t="s">
        <v>697</v>
      </c>
      <c r="C87" t="s">
        <v>1501</v>
      </c>
      <c r="D87" t="s">
        <v>695</v>
      </c>
      <c r="E87" t="s">
        <v>1580</v>
      </c>
      <c r="F87" s="41" t="s">
        <v>1703</v>
      </c>
      <c r="G87" s="28">
        <v>0</v>
      </c>
      <c r="H87" s="28">
        <v>0</v>
      </c>
      <c r="I87" s="28">
        <v>58032682.035959169</v>
      </c>
      <c r="J87" s="28">
        <v>0</v>
      </c>
      <c r="K87" s="28">
        <v>0</v>
      </c>
      <c r="L87" s="28">
        <v>0</v>
      </c>
      <c r="M87" s="28">
        <v>0</v>
      </c>
      <c r="N87" s="28">
        <v>113175882.3808146</v>
      </c>
      <c r="O87" s="146">
        <f t="shared" ref="O87:O94" si="55">SUM(G87:N87)</f>
        <v>171208564.41677377</v>
      </c>
      <c r="P87" s="146">
        <f t="shared" ref="P87:P94" si="56">O87/$Q$5</f>
        <v>166221.90720075121</v>
      </c>
      <c r="R87" s="140" t="str">
        <f t="shared" si="50"/>
        <v>8.4</v>
      </c>
      <c r="S87" s="140" t="str">
        <f t="shared" si="51"/>
        <v>8.4 To establish and strengthen institutional arrangements and systems for effective health financing at all levels of the health system</v>
      </c>
      <c r="T87" s="140" t="str">
        <f t="shared" si="52"/>
        <v>8.4.4</v>
      </c>
      <c r="U87" s="140" t="str">
        <f t="shared" si="53"/>
        <v xml:space="preserve">8.4.4 Strengthen the legal, regulatory and policy frameworks for health financing </v>
      </c>
      <c r="V87" s="140" t="str">
        <f t="shared" si="54"/>
        <v>Introduce regulations on strategic health purchasing</v>
      </c>
      <c r="W87" t="str">
        <f t="shared" si="34"/>
        <v/>
      </c>
      <c r="X87" t="str">
        <f t="shared" si="35"/>
        <v/>
      </c>
      <c r="Y87" t="str">
        <f t="shared" si="36"/>
        <v>X</v>
      </c>
      <c r="Z87" t="str">
        <f t="shared" si="37"/>
        <v/>
      </c>
      <c r="AA87" t="str">
        <f t="shared" si="38"/>
        <v/>
      </c>
      <c r="AB87" t="str">
        <f t="shared" si="39"/>
        <v/>
      </c>
      <c r="AC87" t="str">
        <f t="shared" si="40"/>
        <v/>
      </c>
      <c r="AD87" t="str">
        <f t="shared" si="41"/>
        <v>X</v>
      </c>
      <c r="AE87" s="28">
        <f t="shared" si="42"/>
        <v>0</v>
      </c>
      <c r="AF87" s="28">
        <f t="shared" si="43"/>
        <v>0</v>
      </c>
      <c r="AG87" s="28">
        <f t="shared" si="44"/>
        <v>44426299.8642857</v>
      </c>
      <c r="AH87" s="28">
        <f t="shared" si="45"/>
        <v>0</v>
      </c>
      <c r="AI87" s="28">
        <f t="shared" si="46"/>
        <v>0</v>
      </c>
      <c r="AJ87" s="28">
        <f t="shared" si="47"/>
        <v>0</v>
      </c>
      <c r="AK87" s="28">
        <f t="shared" si="48"/>
        <v>0</v>
      </c>
      <c r="AL87" s="28">
        <f t="shared" si="49"/>
        <v>44426299.86428567</v>
      </c>
    </row>
    <row r="88" spans="1:38" ht="13.05" customHeight="1" x14ac:dyDescent="0.3">
      <c r="A88">
        <v>4</v>
      </c>
      <c r="B88" s="213" t="s">
        <v>697</v>
      </c>
      <c r="C88" t="s">
        <v>1501</v>
      </c>
      <c r="D88" t="s">
        <v>695</v>
      </c>
      <c r="E88" t="s">
        <v>1581</v>
      </c>
      <c r="F88" s="41" t="s">
        <v>1704</v>
      </c>
      <c r="G88" s="28">
        <v>0</v>
      </c>
      <c r="H88" s="28">
        <v>72917182.248892382</v>
      </c>
      <c r="I88" s="28">
        <v>9323921.5774955004</v>
      </c>
      <c r="J88" s="28">
        <v>0</v>
      </c>
      <c r="K88" s="28">
        <v>0</v>
      </c>
      <c r="L88" s="28">
        <v>0</v>
      </c>
      <c r="M88" s="28">
        <v>142203774.70452833</v>
      </c>
      <c r="N88" s="28">
        <v>0</v>
      </c>
      <c r="O88" s="146">
        <f t="shared" si="55"/>
        <v>224444878.53091621</v>
      </c>
      <c r="P88" s="146">
        <f t="shared" si="56"/>
        <v>217907.64905914196</v>
      </c>
      <c r="R88" s="140" t="str">
        <f t="shared" si="50"/>
        <v>8.4</v>
      </c>
      <c r="S88" s="140" t="str">
        <f t="shared" si="51"/>
        <v>8.4 To establish and strengthen institutional arrangements and systems for effective health financing at all levels of the health system</v>
      </c>
      <c r="T88" s="140" t="str">
        <f t="shared" si="52"/>
        <v>8.4.4</v>
      </c>
      <c r="U88" s="140" t="str">
        <f t="shared" si="53"/>
        <v xml:space="preserve">8.4.4 Strengthen the legal, regulatory and policy frameworks for health financing </v>
      </c>
      <c r="V88" s="140" t="str">
        <f t="shared" si="54"/>
        <v>Introduce the public health budget accountability forum</v>
      </c>
      <c r="W88" t="str">
        <f t="shared" si="34"/>
        <v/>
      </c>
      <c r="X88" t="str">
        <f t="shared" si="35"/>
        <v>X</v>
      </c>
      <c r="Y88" t="str">
        <f t="shared" si="36"/>
        <v>X</v>
      </c>
      <c r="Z88" t="str">
        <f t="shared" si="37"/>
        <v/>
      </c>
      <c r="AA88" t="str">
        <f t="shared" si="38"/>
        <v/>
      </c>
      <c r="AB88" t="str">
        <f t="shared" si="39"/>
        <v/>
      </c>
      <c r="AC88" t="str">
        <f t="shared" si="40"/>
        <v>X</v>
      </c>
      <c r="AD88" t="str">
        <f t="shared" si="41"/>
        <v/>
      </c>
      <c r="AE88" s="28">
        <f t="shared" si="42"/>
        <v>0</v>
      </c>
      <c r="AF88" s="28">
        <f t="shared" si="43"/>
        <v>63798964.285714269</v>
      </c>
      <c r="AG88" s="28">
        <f t="shared" si="44"/>
        <v>7137828.571428569</v>
      </c>
      <c r="AH88" s="28">
        <f t="shared" si="45"/>
        <v>0</v>
      </c>
      <c r="AI88" s="28">
        <f t="shared" si="46"/>
        <v>0</v>
      </c>
      <c r="AJ88" s="28">
        <f t="shared" si="47"/>
        <v>0</v>
      </c>
      <c r="AK88" s="28">
        <f t="shared" si="48"/>
        <v>63798964.285714224</v>
      </c>
      <c r="AL88" s="28">
        <f t="shared" si="49"/>
        <v>0</v>
      </c>
    </row>
    <row r="89" spans="1:38" ht="13.05" customHeight="1" x14ac:dyDescent="0.3">
      <c r="A89">
        <v>4</v>
      </c>
      <c r="B89" s="213" t="s">
        <v>697</v>
      </c>
      <c r="C89" t="s">
        <v>1501</v>
      </c>
      <c r="D89" t="s">
        <v>695</v>
      </c>
      <c r="E89" t="s">
        <v>1582</v>
      </c>
      <c r="F89" s="41" t="s">
        <v>1705</v>
      </c>
      <c r="G89" s="28">
        <v>0</v>
      </c>
      <c r="H89" s="28">
        <v>0</v>
      </c>
      <c r="I89" s="28">
        <v>0</v>
      </c>
      <c r="J89" s="28">
        <v>123194402.46436976</v>
      </c>
      <c r="K89" s="28">
        <v>0</v>
      </c>
      <c r="L89" s="28">
        <v>0</v>
      </c>
      <c r="M89" s="28">
        <v>0</v>
      </c>
      <c r="N89" s="28">
        <v>0</v>
      </c>
      <c r="O89" s="146">
        <f t="shared" si="55"/>
        <v>123194402.46436976</v>
      </c>
      <c r="P89" s="146">
        <f t="shared" si="56"/>
        <v>119606.21598482502</v>
      </c>
      <c r="R89" s="140" t="str">
        <f t="shared" si="50"/>
        <v>8.4</v>
      </c>
      <c r="S89" s="140" t="str">
        <f t="shared" si="51"/>
        <v>8.4 To establish and strengthen institutional arrangements and systems for effective health financing at all levels of the health system</v>
      </c>
      <c r="T89" s="140" t="str">
        <f t="shared" si="52"/>
        <v>8.4.4</v>
      </c>
      <c r="U89" s="140" t="str">
        <f t="shared" si="53"/>
        <v xml:space="preserve">8.4.4 Strengthen the legal, regulatory and policy frameworks for health financing </v>
      </c>
      <c r="V89" s="140" t="str">
        <f t="shared" si="54"/>
        <v>Introduce a law on the establishment of a trust fund in health</v>
      </c>
      <c r="W89" t="str">
        <f t="shared" si="34"/>
        <v/>
      </c>
      <c r="X89" t="str">
        <f t="shared" si="35"/>
        <v/>
      </c>
      <c r="Y89" t="str">
        <f t="shared" si="36"/>
        <v/>
      </c>
      <c r="Z89" t="str">
        <f t="shared" si="37"/>
        <v>X</v>
      </c>
      <c r="AA89" t="str">
        <f t="shared" si="38"/>
        <v/>
      </c>
      <c r="AB89" t="str">
        <f t="shared" si="39"/>
        <v/>
      </c>
      <c r="AC89" t="str">
        <f t="shared" si="40"/>
        <v/>
      </c>
      <c r="AD89" t="str">
        <f t="shared" si="41"/>
        <v/>
      </c>
      <c r="AE89" s="28">
        <f t="shared" si="42"/>
        <v>0</v>
      </c>
      <c r="AF89" s="28">
        <f t="shared" si="43"/>
        <v>0</v>
      </c>
      <c r="AG89" s="28">
        <f t="shared" si="44"/>
        <v>0</v>
      </c>
      <c r="AH89" s="28">
        <f t="shared" si="45"/>
        <v>82516771.428571403</v>
      </c>
      <c r="AI89" s="28">
        <f t="shared" si="46"/>
        <v>0</v>
      </c>
      <c r="AJ89" s="28">
        <f t="shared" si="47"/>
        <v>0</v>
      </c>
      <c r="AK89" s="28">
        <f t="shared" si="48"/>
        <v>0</v>
      </c>
      <c r="AL89" s="28">
        <f t="shared" si="49"/>
        <v>0</v>
      </c>
    </row>
    <row r="90" spans="1:38" ht="13.05" customHeight="1" x14ac:dyDescent="0.3">
      <c r="A90">
        <v>4</v>
      </c>
      <c r="B90" s="213" t="s">
        <v>697</v>
      </c>
      <c r="C90" t="s">
        <v>1501</v>
      </c>
      <c r="D90" t="s">
        <v>695</v>
      </c>
      <c r="E90" t="s">
        <v>1583</v>
      </c>
      <c r="F90" s="41" t="s">
        <v>1706</v>
      </c>
      <c r="G90" s="28">
        <v>0</v>
      </c>
      <c r="H90" s="28">
        <v>0</v>
      </c>
      <c r="I90" s="28">
        <v>0</v>
      </c>
      <c r="J90" s="28">
        <v>100678296.15870889</v>
      </c>
      <c r="K90" s="28">
        <v>0</v>
      </c>
      <c r="L90" s="28">
        <v>0</v>
      </c>
      <c r="M90" s="28">
        <v>0</v>
      </c>
      <c r="N90" s="28">
        <v>0</v>
      </c>
      <c r="O90" s="146">
        <f t="shared" si="55"/>
        <v>100678296.15870889</v>
      </c>
      <c r="P90" s="146">
        <f t="shared" si="56"/>
        <v>97745.918600688237</v>
      </c>
      <c r="R90" s="140" t="str">
        <f t="shared" si="50"/>
        <v>8.4</v>
      </c>
      <c r="S90" s="140" t="str">
        <f t="shared" si="51"/>
        <v>8.4 To establish and strengthen institutional arrangements and systems for effective health financing at all levels of the health system</v>
      </c>
      <c r="T90" s="140" t="str">
        <f t="shared" si="52"/>
        <v>8.4.4</v>
      </c>
      <c r="U90" s="140" t="str">
        <f t="shared" si="53"/>
        <v xml:space="preserve">8.4.4 Strengthen the legal, regulatory and policy frameworks for health financing </v>
      </c>
      <c r="V90" s="140" t="str">
        <f t="shared" si="54"/>
        <v>Introduce regulations or policies requiring economic evaluation for new and current programs to aid the achievement of efficiency</v>
      </c>
      <c r="W90" t="str">
        <f t="shared" si="34"/>
        <v/>
      </c>
      <c r="X90" t="str">
        <f t="shared" si="35"/>
        <v/>
      </c>
      <c r="Y90" t="str">
        <f t="shared" si="36"/>
        <v/>
      </c>
      <c r="Z90" t="str">
        <f t="shared" si="37"/>
        <v>X</v>
      </c>
      <c r="AA90" t="str">
        <f t="shared" si="38"/>
        <v/>
      </c>
      <c r="AB90" t="str">
        <f t="shared" si="39"/>
        <v/>
      </c>
      <c r="AC90" t="str">
        <f t="shared" si="40"/>
        <v/>
      </c>
      <c r="AD90" t="str">
        <f t="shared" si="41"/>
        <v/>
      </c>
      <c r="AE90" s="28">
        <f t="shared" si="42"/>
        <v>0</v>
      </c>
      <c r="AF90" s="28">
        <f t="shared" si="43"/>
        <v>0</v>
      </c>
      <c r="AG90" s="28">
        <f t="shared" si="44"/>
        <v>0</v>
      </c>
      <c r="AH90" s="28">
        <f t="shared" si="45"/>
        <v>67435271.292857111</v>
      </c>
      <c r="AI90" s="28">
        <f t="shared" si="46"/>
        <v>0</v>
      </c>
      <c r="AJ90" s="28">
        <f t="shared" si="47"/>
        <v>0</v>
      </c>
      <c r="AK90" s="28">
        <f t="shared" si="48"/>
        <v>0</v>
      </c>
      <c r="AL90" s="28">
        <f t="shared" si="49"/>
        <v>0</v>
      </c>
    </row>
    <row r="91" spans="1:38" ht="13.05" customHeight="1" x14ac:dyDescent="0.3">
      <c r="A91">
        <v>4</v>
      </c>
      <c r="B91" s="213" t="s">
        <v>697</v>
      </c>
      <c r="C91" t="s">
        <v>1501</v>
      </c>
      <c r="D91" t="s">
        <v>695</v>
      </c>
      <c r="E91" t="s">
        <v>1584</v>
      </c>
      <c r="F91" s="41" t="s">
        <v>1707</v>
      </c>
      <c r="G91" s="28">
        <v>0</v>
      </c>
      <c r="H91" s="28">
        <v>0</v>
      </c>
      <c r="I91" s="28">
        <v>0</v>
      </c>
      <c r="J91" s="28">
        <v>0</v>
      </c>
      <c r="K91" s="28">
        <v>0</v>
      </c>
      <c r="L91" s="28">
        <v>0</v>
      </c>
      <c r="M91" s="28">
        <v>0</v>
      </c>
      <c r="N91" s="28">
        <v>0</v>
      </c>
      <c r="O91" s="146">
        <f t="shared" si="55"/>
        <v>0</v>
      </c>
      <c r="P91" s="146">
        <f t="shared" si="56"/>
        <v>0</v>
      </c>
      <c r="R91" s="140" t="str">
        <f t="shared" si="50"/>
        <v>8.4</v>
      </c>
      <c r="S91" s="140" t="str">
        <f t="shared" si="51"/>
        <v>8.4 To establish and strengthen institutional arrangements and systems for effective health financing at all levels of the health system</v>
      </c>
      <c r="T91" s="140" t="str">
        <f t="shared" si="52"/>
        <v>8.4.4</v>
      </c>
      <c r="U91" s="140" t="str">
        <f t="shared" si="53"/>
        <v xml:space="preserve">8.4.4 Strengthen the legal, regulatory and policy frameworks for health financing </v>
      </c>
      <c r="V91" s="140" t="str">
        <f t="shared" si="54"/>
        <v>Update terms of reference for the Health Financing TWG so it can effectively carry out its mandate</v>
      </c>
      <c r="W91" t="str">
        <f t="shared" si="34"/>
        <v/>
      </c>
      <c r="X91" t="str">
        <f t="shared" si="35"/>
        <v/>
      </c>
      <c r="Y91" t="str">
        <f t="shared" si="36"/>
        <v/>
      </c>
      <c r="Z91" t="str">
        <f t="shared" si="37"/>
        <v/>
      </c>
      <c r="AA91" t="str">
        <f t="shared" si="38"/>
        <v/>
      </c>
      <c r="AB91" t="str">
        <f t="shared" si="39"/>
        <v/>
      </c>
      <c r="AC91" t="str">
        <f t="shared" si="40"/>
        <v/>
      </c>
      <c r="AD91" t="str">
        <f t="shared" si="41"/>
        <v/>
      </c>
      <c r="AE91" s="28">
        <f t="shared" si="42"/>
        <v>0</v>
      </c>
      <c r="AF91" s="28">
        <f t="shared" si="43"/>
        <v>0</v>
      </c>
      <c r="AG91" s="28">
        <f t="shared" si="44"/>
        <v>0</v>
      </c>
      <c r="AH91" s="28">
        <f t="shared" si="45"/>
        <v>0</v>
      </c>
      <c r="AI91" s="28">
        <f t="shared" si="46"/>
        <v>0</v>
      </c>
      <c r="AJ91" s="28">
        <f t="shared" si="47"/>
        <v>0</v>
      </c>
      <c r="AK91" s="28">
        <f t="shared" si="48"/>
        <v>0</v>
      </c>
      <c r="AL91" s="28">
        <f t="shared" si="49"/>
        <v>0</v>
      </c>
    </row>
    <row r="92" spans="1:38" ht="13.05" customHeight="1" x14ac:dyDescent="0.3">
      <c r="A92">
        <v>4</v>
      </c>
      <c r="B92" s="213" t="s">
        <v>697</v>
      </c>
      <c r="C92" t="s">
        <v>1501</v>
      </c>
      <c r="D92" t="s">
        <v>695</v>
      </c>
      <c r="E92" t="s">
        <v>1585</v>
      </c>
      <c r="F92" s="41" t="s">
        <v>1718</v>
      </c>
      <c r="G92" s="28">
        <v>55427792.857142851</v>
      </c>
      <c r="H92" s="28">
        <v>24981283.585567795</v>
      </c>
      <c r="I92" s="28">
        <v>0</v>
      </c>
      <c r="J92" s="28">
        <v>82751587.377184331</v>
      </c>
      <c r="K92" s="28">
        <v>0</v>
      </c>
      <c r="L92" s="28">
        <v>0</v>
      </c>
      <c r="M92" s="28">
        <v>123544973.74797252</v>
      </c>
      <c r="N92" s="28">
        <v>55681669.171351537</v>
      </c>
      <c r="O92" s="146">
        <f t="shared" si="55"/>
        <v>342387306.73921907</v>
      </c>
      <c r="P92" s="146">
        <f t="shared" si="56"/>
        <v>332414.86091186316</v>
      </c>
      <c r="R92" s="140" t="str">
        <f t="shared" si="50"/>
        <v>8.4</v>
      </c>
      <c r="S92" s="140" t="str">
        <f t="shared" si="51"/>
        <v>8.4 To establish and strengthen institutional arrangements and systems for effective health financing at all levels of the health system</v>
      </c>
      <c r="T92" s="140" t="str">
        <f t="shared" si="52"/>
        <v>8.4.4</v>
      </c>
      <c r="U92" s="140" t="str">
        <f t="shared" si="53"/>
        <v xml:space="preserve">8.4.4 Strengthen the legal, regulatory and policy frameworks for health financing </v>
      </c>
      <c r="V92" s="140" t="str">
        <f t="shared" si="54"/>
        <v>Revise the memorandum of understanding with the private sector, including the faith-based organizations in pursuit of UHC goals and value for money</v>
      </c>
      <c r="W92" t="str">
        <f t="shared" si="34"/>
        <v>X</v>
      </c>
      <c r="X92" t="str">
        <f t="shared" si="35"/>
        <v>X</v>
      </c>
      <c r="Y92" t="str">
        <f t="shared" si="36"/>
        <v/>
      </c>
      <c r="Z92" t="str">
        <f t="shared" si="37"/>
        <v>X</v>
      </c>
      <c r="AA92" t="str">
        <f t="shared" si="38"/>
        <v/>
      </c>
      <c r="AB92" t="str">
        <f t="shared" si="39"/>
        <v/>
      </c>
      <c r="AC92" t="str">
        <f t="shared" si="40"/>
        <v>X</v>
      </c>
      <c r="AD92" t="str">
        <f t="shared" si="41"/>
        <v>X</v>
      </c>
      <c r="AE92" s="28">
        <f t="shared" si="42"/>
        <v>55427792.857142851</v>
      </c>
      <c r="AF92" s="28">
        <f t="shared" si="43"/>
        <v>21857399.999999993</v>
      </c>
      <c r="AG92" s="28">
        <f t="shared" si="44"/>
        <v>0</v>
      </c>
      <c r="AH92" s="28">
        <f t="shared" si="45"/>
        <v>55427792.857142836</v>
      </c>
      <c r="AI92" s="28">
        <f t="shared" si="46"/>
        <v>0</v>
      </c>
      <c r="AJ92" s="28">
        <f t="shared" si="47"/>
        <v>0</v>
      </c>
      <c r="AK92" s="28">
        <f t="shared" si="48"/>
        <v>55427792.857142799</v>
      </c>
      <c r="AL92" s="28">
        <f t="shared" si="49"/>
        <v>21857399.999999978</v>
      </c>
    </row>
    <row r="93" spans="1:38" ht="13.05" customHeight="1" x14ac:dyDescent="0.3">
      <c r="A93">
        <v>4</v>
      </c>
      <c r="B93" s="213" t="s">
        <v>697</v>
      </c>
      <c r="C93" t="s">
        <v>1501</v>
      </c>
      <c r="D93" t="s">
        <v>695</v>
      </c>
      <c r="E93" t="s">
        <v>1586</v>
      </c>
      <c r="F93" s="41" t="s">
        <v>1719</v>
      </c>
      <c r="G93" s="28">
        <v>36268457.142857142</v>
      </c>
      <c r="H93" s="28">
        <v>49248821.109781206</v>
      </c>
      <c r="I93" s="28">
        <v>0</v>
      </c>
      <c r="J93" s="28">
        <v>54147427.59157224</v>
      </c>
      <c r="K93" s="28">
        <v>0</v>
      </c>
      <c r="L93" s="28">
        <v>0</v>
      </c>
      <c r="M93" s="28">
        <v>80840050.715032637</v>
      </c>
      <c r="N93" s="28">
        <v>109772444.42708178</v>
      </c>
      <c r="O93" s="146">
        <f t="shared" si="55"/>
        <v>330277200.98632497</v>
      </c>
      <c r="P93" s="146">
        <f t="shared" si="56"/>
        <v>320657.47668575239</v>
      </c>
      <c r="R93" s="140" t="str">
        <f t="shared" si="50"/>
        <v>8.4</v>
      </c>
      <c r="S93" s="140" t="str">
        <f t="shared" si="51"/>
        <v>8.4 To establish and strengthen institutional arrangements and systems for effective health financing at all levels of the health system</v>
      </c>
      <c r="T93" s="140" t="str">
        <f t="shared" si="52"/>
        <v>8.4.4</v>
      </c>
      <c r="U93" s="140" t="str">
        <f t="shared" si="53"/>
        <v xml:space="preserve">8.4.4 Strengthen the legal, regulatory and policy frameworks for health financing </v>
      </c>
      <c r="V93" s="140" t="str">
        <f t="shared" si="54"/>
        <v>Introduce regulation or policy for allowing limited purchase of essential medicines from preselected prime vendors, in the event that the CMST does not have such medicines or commodities in stock and</v>
      </c>
      <c r="W93" t="str">
        <f t="shared" si="34"/>
        <v>X</v>
      </c>
      <c r="X93" t="str">
        <f t="shared" si="35"/>
        <v>X</v>
      </c>
      <c r="Y93" t="str">
        <f t="shared" si="36"/>
        <v/>
      </c>
      <c r="Z93" t="str">
        <f t="shared" si="37"/>
        <v>X</v>
      </c>
      <c r="AA93" t="str">
        <f t="shared" si="38"/>
        <v/>
      </c>
      <c r="AB93" t="str">
        <f t="shared" si="39"/>
        <v/>
      </c>
      <c r="AC93" t="str">
        <f t="shared" si="40"/>
        <v>X</v>
      </c>
      <c r="AD93" t="str">
        <f t="shared" si="41"/>
        <v>X</v>
      </c>
      <c r="AE93" s="28">
        <f t="shared" si="42"/>
        <v>36268457.142857142</v>
      </c>
      <c r="AF93" s="28">
        <f t="shared" si="43"/>
        <v>43090307.142857127</v>
      </c>
      <c r="AG93" s="28">
        <f t="shared" si="44"/>
        <v>0</v>
      </c>
      <c r="AH93" s="28">
        <f t="shared" si="45"/>
        <v>36268457.142857127</v>
      </c>
      <c r="AI93" s="28">
        <f t="shared" si="46"/>
        <v>0</v>
      </c>
      <c r="AJ93" s="28">
        <f t="shared" si="47"/>
        <v>0</v>
      </c>
      <c r="AK93" s="28">
        <f t="shared" si="48"/>
        <v>36268457.142857112</v>
      </c>
      <c r="AL93" s="28">
        <f t="shared" si="49"/>
        <v>43090307.14285709</v>
      </c>
    </row>
    <row r="94" spans="1:38" ht="13.05" customHeight="1" x14ac:dyDescent="0.3">
      <c r="A94">
        <v>4</v>
      </c>
      <c r="B94" s="213" t="s">
        <v>697</v>
      </c>
      <c r="C94" t="s">
        <v>1501</v>
      </c>
      <c r="D94" t="s">
        <v>695</v>
      </c>
      <c r="E94" t="s">
        <v>1587</v>
      </c>
      <c r="F94" s="41" t="s">
        <v>688</v>
      </c>
      <c r="G94" s="28">
        <v>14147428.571428571</v>
      </c>
      <c r="H94" s="28">
        <v>16169394.582586285</v>
      </c>
      <c r="I94" s="28">
        <v>18480342.194155373</v>
      </c>
      <c r="J94" s="28">
        <v>21121572.973479442</v>
      </c>
      <c r="K94" s="28">
        <v>24140291.353214674</v>
      </c>
      <c r="L94" s="28">
        <v>27590448.275315732</v>
      </c>
      <c r="M94" s="28">
        <v>31533705.409545608</v>
      </c>
      <c r="N94" s="28">
        <v>36040537.179152697</v>
      </c>
      <c r="O94" s="146">
        <f t="shared" si="55"/>
        <v>189223720.53887838</v>
      </c>
      <c r="P94" s="146">
        <f t="shared" si="56"/>
        <v>183712.35003774602</v>
      </c>
      <c r="R94" s="140" t="str">
        <f t="shared" si="50"/>
        <v>8.4</v>
      </c>
      <c r="S94" s="140" t="str">
        <f t="shared" si="51"/>
        <v>8.4 To establish and strengthen institutional arrangements and systems for effective health financing at all levels of the health system</v>
      </c>
      <c r="T94" s="140" t="str">
        <f t="shared" si="52"/>
        <v>8.4.4</v>
      </c>
      <c r="U94" s="140" t="str">
        <f t="shared" si="53"/>
        <v xml:space="preserve">8.4.4 Strengthen the legal, regulatory and policy frameworks for health financing </v>
      </c>
      <c r="V94" s="140" t="str">
        <f t="shared" si="54"/>
        <v>Re-introduce the annual health financing summit.</v>
      </c>
      <c r="W94" t="str">
        <f t="shared" si="34"/>
        <v>X</v>
      </c>
      <c r="X94" t="str">
        <f t="shared" si="35"/>
        <v>X</v>
      </c>
      <c r="Y94" t="str">
        <f t="shared" si="36"/>
        <v>X</v>
      </c>
      <c r="Z94" t="str">
        <f t="shared" si="37"/>
        <v>X</v>
      </c>
      <c r="AA94" t="str">
        <f t="shared" si="38"/>
        <v>X</v>
      </c>
      <c r="AB94" t="str">
        <f t="shared" si="39"/>
        <v>X</v>
      </c>
      <c r="AC94" t="str">
        <f t="shared" si="40"/>
        <v>X</v>
      </c>
      <c r="AD94" t="str">
        <f t="shared" si="41"/>
        <v>X</v>
      </c>
      <c r="AE94" s="28">
        <f t="shared" si="42"/>
        <v>14147428.571428571</v>
      </c>
      <c r="AF94" s="28">
        <f t="shared" si="43"/>
        <v>14147428.571428569</v>
      </c>
      <c r="AG94" s="28">
        <f t="shared" si="44"/>
        <v>14147428.571428567</v>
      </c>
      <c r="AH94" s="28">
        <f t="shared" si="45"/>
        <v>14147428.571428563</v>
      </c>
      <c r="AI94" s="28">
        <f t="shared" si="46"/>
        <v>14147428.571428562</v>
      </c>
      <c r="AJ94" s="28">
        <f t="shared" si="47"/>
        <v>14147428.571428562</v>
      </c>
      <c r="AK94" s="28">
        <f t="shared" si="48"/>
        <v>14147428.571428556</v>
      </c>
      <c r="AL94" s="28">
        <f t="shared" si="49"/>
        <v>14147428.571428556</v>
      </c>
    </row>
    <row r="95" spans="1:38" ht="13.05" customHeight="1" x14ac:dyDescent="0.3">
      <c r="A95">
        <v>4</v>
      </c>
      <c r="B95" s="213" t="s">
        <v>697</v>
      </c>
      <c r="C95" t="s">
        <v>1501</v>
      </c>
      <c r="D95" t="s">
        <v>695</v>
      </c>
      <c r="E95" t="s">
        <v>1579</v>
      </c>
      <c r="F95" s="41" t="s">
        <v>1730</v>
      </c>
      <c r="G95" s="28">
        <v>0</v>
      </c>
      <c r="H95" s="28">
        <v>749770575.12804496</v>
      </c>
      <c r="I95" s="28">
        <v>856928608.22366631</v>
      </c>
      <c r="J95" s="28">
        <v>0</v>
      </c>
      <c r="K95" s="28">
        <v>0</v>
      </c>
      <c r="L95" s="28">
        <v>0</v>
      </c>
      <c r="M95" s="28">
        <v>0</v>
      </c>
      <c r="N95" s="28">
        <v>0</v>
      </c>
      <c r="O95" s="146">
        <f t="shared" ref="O95:O96" si="57">SUM(G95:N95)</f>
        <v>1606699183.3517113</v>
      </c>
      <c r="P95" s="146">
        <f t="shared" ref="P95:P97" si="58">O95/$Q$5</f>
        <v>1559902.1197589431</v>
      </c>
      <c r="R95" s="140" t="str">
        <f t="shared" si="50"/>
        <v>8.4</v>
      </c>
      <c r="S95" s="140" t="str">
        <f t="shared" si="51"/>
        <v>8.4 To establish and strengthen institutional arrangements and systems for effective health financing at all levels of the health system</v>
      </c>
      <c r="T95" s="140" t="str">
        <f t="shared" si="52"/>
        <v>8.4.4</v>
      </c>
      <c r="U95" s="140" t="str">
        <f t="shared" si="53"/>
        <v xml:space="preserve">8.4.4 Strengthen the legal, regulatory and policy frameworks for health financing </v>
      </c>
      <c r="V95" s="140" t="str">
        <f t="shared" si="54"/>
        <v>Introduce legislation on national health financing to aid the implementation of community and individual contributions towards health financing, enforceability of the essential health package, and improved provider payment mechanisms</v>
      </c>
      <c r="W95" t="str">
        <f t="shared" si="34"/>
        <v/>
      </c>
      <c r="X95" t="str">
        <f t="shared" si="35"/>
        <v>X</v>
      </c>
      <c r="Y95" t="str">
        <f t="shared" si="36"/>
        <v>X</v>
      </c>
      <c r="Z95" t="str">
        <f t="shared" si="37"/>
        <v/>
      </c>
      <c r="AA95" t="str">
        <f t="shared" si="38"/>
        <v/>
      </c>
      <c r="AB95" t="str">
        <f t="shared" si="39"/>
        <v/>
      </c>
      <c r="AC95" t="str">
        <f t="shared" si="40"/>
        <v/>
      </c>
      <c r="AD95" t="str">
        <f t="shared" si="41"/>
        <v/>
      </c>
      <c r="AE95" s="28">
        <f t="shared" si="42"/>
        <v>0</v>
      </c>
      <c r="AF95" s="28">
        <f t="shared" si="43"/>
        <v>656012542.85714257</v>
      </c>
      <c r="AG95" s="28">
        <f t="shared" si="44"/>
        <v>656012542.85714269</v>
      </c>
      <c r="AH95" s="28">
        <f t="shared" si="45"/>
        <v>0</v>
      </c>
      <c r="AI95" s="28">
        <f t="shared" si="46"/>
        <v>0</v>
      </c>
      <c r="AJ95" s="28">
        <f t="shared" si="47"/>
        <v>0</v>
      </c>
      <c r="AK95" s="28">
        <f t="shared" si="48"/>
        <v>0</v>
      </c>
      <c r="AL95" s="28">
        <f t="shared" si="49"/>
        <v>0</v>
      </c>
    </row>
    <row r="96" spans="1:38" ht="13.05" customHeight="1" x14ac:dyDescent="0.3">
      <c r="A96" t="s">
        <v>1731</v>
      </c>
      <c r="B96" s="213" t="s">
        <v>1731</v>
      </c>
      <c r="C96" t="s">
        <v>1731</v>
      </c>
      <c r="D96" t="s">
        <v>1731</v>
      </c>
      <c r="E96" t="s">
        <v>1731</v>
      </c>
      <c r="F96" s="41" t="s">
        <v>1731</v>
      </c>
      <c r="G96" s="28"/>
      <c r="H96" s="28"/>
      <c r="I96" s="28"/>
      <c r="J96" s="28"/>
      <c r="K96" s="28"/>
      <c r="L96" s="28"/>
      <c r="M96" s="28"/>
      <c r="N96" s="28"/>
      <c r="O96" s="146">
        <f t="shared" si="57"/>
        <v>0</v>
      </c>
      <c r="P96" s="146">
        <f t="shared" si="58"/>
        <v>0</v>
      </c>
      <c r="W96" t="str">
        <f t="shared" si="34"/>
        <v/>
      </c>
      <c r="X96" t="str">
        <f t="shared" si="35"/>
        <v/>
      </c>
      <c r="Y96" t="str">
        <f t="shared" si="36"/>
        <v/>
      </c>
      <c r="Z96" t="str">
        <f t="shared" si="37"/>
        <v/>
      </c>
      <c r="AA96" t="str">
        <f t="shared" si="38"/>
        <v/>
      </c>
      <c r="AB96" t="str">
        <f t="shared" si="39"/>
        <v/>
      </c>
      <c r="AC96" t="str">
        <f t="shared" si="40"/>
        <v/>
      </c>
      <c r="AD96" t="str">
        <f t="shared" si="41"/>
        <v/>
      </c>
      <c r="AE96" s="28">
        <f t="shared" si="42"/>
        <v>0</v>
      </c>
      <c r="AF96" s="28">
        <f t="shared" si="43"/>
        <v>0</v>
      </c>
      <c r="AG96" s="28">
        <f t="shared" si="44"/>
        <v>0</v>
      </c>
      <c r="AH96" s="28">
        <f t="shared" si="45"/>
        <v>0</v>
      </c>
      <c r="AI96" s="28">
        <f t="shared" si="46"/>
        <v>0</v>
      </c>
      <c r="AJ96" s="28">
        <f t="shared" si="47"/>
        <v>0</v>
      </c>
      <c r="AK96" s="28">
        <f t="shared" si="48"/>
        <v>0</v>
      </c>
      <c r="AL96" s="28">
        <f t="shared" si="49"/>
        <v>0</v>
      </c>
    </row>
    <row r="97" spans="1:16" x14ac:dyDescent="0.3">
      <c r="A97" t="s">
        <v>1490</v>
      </c>
      <c r="G97" s="28">
        <v>38006197399.624985</v>
      </c>
      <c r="H97" s="28">
        <v>47150793227.143448</v>
      </c>
      <c r="I97" s="28">
        <v>51156239728.457405</v>
      </c>
      <c r="J97" s="28">
        <v>49646975718.446228</v>
      </c>
      <c r="K97" s="28">
        <v>61985384349.549316</v>
      </c>
      <c r="L97" s="28">
        <v>31056057613.457615</v>
      </c>
      <c r="M97" s="28">
        <v>52722004455.080231</v>
      </c>
      <c r="N97" s="28">
        <v>42994346891.18235</v>
      </c>
      <c r="O97" s="189">
        <f>SUM(O6:O96)</f>
        <v>374717999382.94159</v>
      </c>
      <c r="P97" s="189">
        <f t="shared" si="58"/>
        <v>363803882.89605981</v>
      </c>
    </row>
    <row r="100" spans="1:16" x14ac:dyDescent="0.3">
      <c r="B100" s="138" t="s">
        <v>1749</v>
      </c>
      <c r="C100" s="138" t="s">
        <v>1753</v>
      </c>
    </row>
    <row r="101" spans="1:16" x14ac:dyDescent="0.3">
      <c r="B101" t="s">
        <v>1749</v>
      </c>
      <c r="C101" t="s">
        <v>1753</v>
      </c>
    </row>
    <row r="102" spans="1:16" x14ac:dyDescent="0.3">
      <c r="B102" t="s">
        <v>1749</v>
      </c>
      <c r="C102" t="s">
        <v>1754</v>
      </c>
    </row>
    <row r="103" spans="1:16" x14ac:dyDescent="0.3">
      <c r="B103" t="s">
        <v>1749</v>
      </c>
      <c r="C103" t="s">
        <v>1755</v>
      </c>
    </row>
    <row r="104" spans="1:16" x14ac:dyDescent="0.3">
      <c r="B104" t="s">
        <v>1749</v>
      </c>
      <c r="C104" t="s">
        <v>1756</v>
      </c>
    </row>
    <row r="105" spans="1:16" x14ac:dyDescent="0.3">
      <c r="B105" t="s">
        <v>1749</v>
      </c>
      <c r="C105" t="s">
        <v>1757</v>
      </c>
    </row>
    <row r="106" spans="1:16" x14ac:dyDescent="0.3">
      <c r="B106" t="s">
        <v>1749</v>
      </c>
      <c r="C106" t="s">
        <v>1758</v>
      </c>
    </row>
    <row r="107" spans="1:16" x14ac:dyDescent="0.3">
      <c r="B107" t="s">
        <v>1750</v>
      </c>
      <c r="C107" t="s">
        <v>1759</v>
      </c>
    </row>
    <row r="108" spans="1:16" x14ac:dyDescent="0.3">
      <c r="B108" t="s">
        <v>1750</v>
      </c>
      <c r="C108" t="s">
        <v>1760</v>
      </c>
    </row>
    <row r="109" spans="1:16" x14ac:dyDescent="0.3">
      <c r="B109" t="s">
        <v>1750</v>
      </c>
      <c r="C109" t="s">
        <v>1761</v>
      </c>
    </row>
    <row r="110" spans="1:16" x14ac:dyDescent="0.3">
      <c r="B110" t="s">
        <v>1751</v>
      </c>
      <c r="C110" t="s">
        <v>1762</v>
      </c>
    </row>
    <row r="111" spans="1:16" x14ac:dyDescent="0.3">
      <c r="B111" t="s">
        <v>1751</v>
      </c>
      <c r="C111" t="s">
        <v>1763</v>
      </c>
    </row>
    <row r="112" spans="1:16" x14ac:dyDescent="0.3">
      <c r="B112" t="s">
        <v>1751</v>
      </c>
      <c r="C112" t="s">
        <v>1764</v>
      </c>
    </row>
    <row r="113" spans="2:3" x14ac:dyDescent="0.3">
      <c r="B113" t="s">
        <v>1752</v>
      </c>
      <c r="C113" t="s">
        <v>1765</v>
      </c>
    </row>
    <row r="114" spans="2:3" x14ac:dyDescent="0.3">
      <c r="B114" t="s">
        <v>1752</v>
      </c>
      <c r="C114" t="s">
        <v>1766</v>
      </c>
    </row>
    <row r="115" spans="2:3" x14ac:dyDescent="0.3">
      <c r="B115" t="s">
        <v>1752</v>
      </c>
      <c r="C115" t="s">
        <v>1767</v>
      </c>
    </row>
    <row r="116" spans="2:3" x14ac:dyDescent="0.3">
      <c r="B116" t="s">
        <v>1752</v>
      </c>
      <c r="C116" t="s">
        <v>1768</v>
      </c>
    </row>
    <row r="117" spans="2:3" x14ac:dyDescent="0.3">
      <c r="B117" t="s">
        <v>1490</v>
      </c>
    </row>
  </sheetData>
  <dataConsolidate/>
  <conditionalFormatting sqref="F6:F88">
    <cfRule type="duplicateValues" dxfId="0" priority="1"/>
  </conditionalFormatting>
  <pageMargins left="0.7" right="0.7" top="0.75" bottom="0.75" header="0.3" footer="0.3"/>
  <pageSetup orientation="portrait"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P1046619"/>
  <sheetViews>
    <sheetView showGridLines="0" topLeftCell="S1" zoomScale="55" zoomScaleNormal="55" workbookViewId="0">
      <selection activeCell="AG4" sqref="AG4"/>
    </sheetView>
  </sheetViews>
  <sheetFormatPr defaultColWidth="8.88671875" defaultRowHeight="14.4" x14ac:dyDescent="0.3"/>
  <cols>
    <col min="1" max="1" width="8.88671875" style="150"/>
    <col min="2" max="2" width="12.33203125" style="150" customWidth="1"/>
    <col min="3" max="3" width="35.6640625" style="150" customWidth="1"/>
    <col min="4" max="4" width="12.33203125" style="150" customWidth="1"/>
    <col min="5" max="5" width="35.6640625" style="150" customWidth="1"/>
    <col min="6" max="7" width="12.33203125" style="150" customWidth="1"/>
    <col min="8" max="12" width="35.6640625" style="150" customWidth="1"/>
    <col min="13" max="14" width="10.6640625" style="150" customWidth="1"/>
    <col min="15" max="15" width="38.44140625" style="150" customWidth="1"/>
    <col min="16" max="17" width="10.6640625" style="150" customWidth="1"/>
    <col min="18" max="18" width="35.6640625" style="150" customWidth="1"/>
    <col min="19" max="20" width="10.6640625" style="150" customWidth="1"/>
    <col min="21" max="21" width="35.6640625" style="150" customWidth="1"/>
    <col min="22" max="23" width="10.6640625" style="150" customWidth="1"/>
    <col min="24" max="24" width="30.6640625" style="150" customWidth="1"/>
    <col min="25" max="26" width="10.6640625" style="150" customWidth="1"/>
    <col min="27" max="27" width="30.6640625" style="150" customWidth="1"/>
    <col min="28" max="29" width="10.6640625" style="150" customWidth="1"/>
    <col min="30" max="30" width="30.6640625" style="150" customWidth="1"/>
    <col min="31" max="32" width="10.6640625" style="150" customWidth="1"/>
    <col min="33" max="33" width="30.6640625" style="150" customWidth="1"/>
    <col min="34" max="35" width="10.6640625" style="150" customWidth="1"/>
    <col min="36" max="36" width="30.6640625" style="150" customWidth="1"/>
    <col min="37" max="38" width="40.6640625" style="150" customWidth="1"/>
    <col min="39" max="39" width="31.44140625" style="150" customWidth="1"/>
    <col min="40" max="16384" width="8.88671875" style="150"/>
  </cols>
  <sheetData>
    <row r="1" spans="1:42" ht="30" customHeight="1" x14ac:dyDescent="0.3">
      <c r="A1" s="147" t="s">
        <v>1495</v>
      </c>
      <c r="B1" s="148" t="s">
        <v>1493</v>
      </c>
      <c r="C1" s="147" t="s">
        <v>643</v>
      </c>
      <c r="D1" s="148" t="s">
        <v>1494</v>
      </c>
      <c r="E1" s="147" t="s">
        <v>642</v>
      </c>
      <c r="F1" s="148" t="s">
        <v>1496</v>
      </c>
      <c r="G1" s="148" t="s">
        <v>1497</v>
      </c>
      <c r="H1" s="147" t="s">
        <v>641</v>
      </c>
      <c r="I1" s="147" t="s">
        <v>639</v>
      </c>
      <c r="J1" s="147" t="s">
        <v>640</v>
      </c>
      <c r="K1" s="147" t="s">
        <v>706</v>
      </c>
      <c r="L1" s="149" t="s">
        <v>834</v>
      </c>
      <c r="M1" s="142" t="s">
        <v>810</v>
      </c>
      <c r="N1" s="142" t="s">
        <v>811</v>
      </c>
      <c r="O1" s="165" t="s">
        <v>812</v>
      </c>
      <c r="P1" s="142" t="s">
        <v>813</v>
      </c>
      <c r="Q1" s="142" t="s">
        <v>814</v>
      </c>
      <c r="R1" s="165" t="s">
        <v>815</v>
      </c>
      <c r="S1" s="142" t="s">
        <v>816</v>
      </c>
      <c r="T1" s="142" t="s">
        <v>817</v>
      </c>
      <c r="U1" s="165" t="s">
        <v>818</v>
      </c>
      <c r="V1" s="142" t="s">
        <v>819</v>
      </c>
      <c r="W1" s="142" t="s">
        <v>820</v>
      </c>
      <c r="X1" s="165" t="s">
        <v>821</v>
      </c>
      <c r="Y1" s="142" t="s">
        <v>822</v>
      </c>
      <c r="Z1" s="142" t="s">
        <v>823</v>
      </c>
      <c r="AA1" s="165" t="s">
        <v>824</v>
      </c>
      <c r="AB1" s="142" t="s">
        <v>825</v>
      </c>
      <c r="AC1" s="142" t="s">
        <v>826</v>
      </c>
      <c r="AD1" s="165" t="s">
        <v>827</v>
      </c>
      <c r="AE1" s="142" t="s">
        <v>828</v>
      </c>
      <c r="AF1" s="142" t="s">
        <v>829</v>
      </c>
      <c r="AG1" s="165" t="s">
        <v>830</v>
      </c>
      <c r="AH1" s="142" t="s">
        <v>831</v>
      </c>
      <c r="AI1" s="142" t="s">
        <v>832</v>
      </c>
      <c r="AJ1" s="165" t="s">
        <v>833</v>
      </c>
      <c r="AK1" s="184" t="s">
        <v>1300</v>
      </c>
      <c r="AL1" s="184" t="s">
        <v>1301</v>
      </c>
      <c r="AP1" s="150" t="s">
        <v>1595</v>
      </c>
    </row>
    <row r="2" spans="1:42" ht="96" customHeight="1" x14ac:dyDescent="0.3">
      <c r="A2" s="151" t="s">
        <v>1440</v>
      </c>
      <c r="B2" s="151">
        <v>1</v>
      </c>
      <c r="C2" s="152" t="s">
        <v>836</v>
      </c>
      <c r="D2" s="151" t="str">
        <f t="shared" ref="D2:D65" si="0">RIGHT(A2,1)</f>
        <v>1</v>
      </c>
      <c r="E2" s="153" t="s">
        <v>837</v>
      </c>
      <c r="F2" s="151">
        <v>1</v>
      </c>
      <c r="G2" s="151" t="str">
        <f>B2&amp;"."&amp;D2&amp;"."&amp;F2</f>
        <v>1.1.1</v>
      </c>
      <c r="H2" s="154" t="s">
        <v>1295</v>
      </c>
      <c r="I2" s="159" t="s">
        <v>839</v>
      </c>
      <c r="J2" s="159" t="s">
        <v>840</v>
      </c>
      <c r="K2" s="159" t="s">
        <v>841</v>
      </c>
      <c r="L2" s="160">
        <v>0</v>
      </c>
      <c r="M2" s="161">
        <v>0</v>
      </c>
      <c r="N2" s="161">
        <v>0</v>
      </c>
      <c r="O2" s="164">
        <f>$L2*M2*N2</f>
        <v>0</v>
      </c>
      <c r="P2" s="161"/>
      <c r="Q2" s="161"/>
      <c r="R2" s="164">
        <f>$L2*'Pivot Objective'!$C$9*P2*Q2</f>
        <v>0</v>
      </c>
      <c r="S2" s="161">
        <v>0</v>
      </c>
      <c r="T2" s="161">
        <v>0</v>
      </c>
      <c r="U2" s="164">
        <f>($L2*'Pivot Objective'!$C$9^1)*S2*T2</f>
        <v>0</v>
      </c>
      <c r="V2" s="161"/>
      <c r="W2" s="161"/>
      <c r="X2" s="164">
        <f>($L2*'Pivot Objective'!$C$9^3)*V2*W2</f>
        <v>0</v>
      </c>
      <c r="Y2" s="161">
        <v>0</v>
      </c>
      <c r="Z2" s="161">
        <v>0</v>
      </c>
      <c r="AA2" s="164">
        <f>($L2*'Pivot Objective'!$C$9^4)*Y2*Z2</f>
        <v>0</v>
      </c>
      <c r="AB2" s="151"/>
      <c r="AC2" s="151"/>
      <c r="AD2" s="164">
        <f>($L2*'Pivot Objective'!$C$9^5)*AB2*AC2</f>
        <v>0</v>
      </c>
      <c r="AE2" s="161">
        <v>0</v>
      </c>
      <c r="AF2" s="161">
        <v>0</v>
      </c>
      <c r="AG2" s="164">
        <f>($L2*'Pivot Objective'!$C$9^6)*AE2*AF2</f>
        <v>0</v>
      </c>
      <c r="AH2" s="151"/>
      <c r="AI2" s="151"/>
      <c r="AJ2" s="164">
        <f>($L2*'Pivot Objective'!$C$9^7)*AH2*AI2</f>
        <v>0</v>
      </c>
      <c r="AK2" s="185">
        <f>O2+R2+U2+X2+AA2+AD2+AG2+AJ2</f>
        <v>0</v>
      </c>
      <c r="AL2" s="186">
        <f>AK2/$AP$2</f>
        <v>0</v>
      </c>
      <c r="AP2" s="158">
        <f>1030</f>
        <v>1030</v>
      </c>
    </row>
    <row r="3" spans="1:42" ht="86.4" x14ac:dyDescent="0.3">
      <c r="A3" s="151" t="s">
        <v>1440</v>
      </c>
      <c r="B3" s="151">
        <v>1</v>
      </c>
      <c r="C3" s="152" t="s">
        <v>836</v>
      </c>
      <c r="D3" s="151" t="str">
        <f t="shared" si="0"/>
        <v>1</v>
      </c>
      <c r="E3" s="153" t="s">
        <v>837</v>
      </c>
      <c r="F3" s="151">
        <f t="shared" ref="F3:F66" si="1">IF(H3=H2,F2,F2+1)</f>
        <v>1</v>
      </c>
      <c r="G3" s="151" t="str">
        <f t="shared" ref="G3:G66" si="2">B3&amp;"."&amp;D3&amp;"."&amp;F3</f>
        <v>1.1.1</v>
      </c>
      <c r="H3" s="154" t="s">
        <v>1295</v>
      </c>
      <c r="I3" s="159" t="s">
        <v>839</v>
      </c>
      <c r="J3" s="159" t="s">
        <v>842</v>
      </c>
      <c r="K3" s="159" t="s">
        <v>841</v>
      </c>
      <c r="L3" s="160">
        <v>0</v>
      </c>
      <c r="M3" s="161">
        <v>0</v>
      </c>
      <c r="N3" s="161">
        <v>0</v>
      </c>
      <c r="O3" s="164">
        <f t="shared" ref="O3:O66" si="3">$L3*M3*N3</f>
        <v>0</v>
      </c>
      <c r="P3" s="161"/>
      <c r="Q3" s="161"/>
      <c r="R3" s="164">
        <f>$L3*'Pivot Objective'!$C$9*P3*Q3</f>
        <v>0</v>
      </c>
      <c r="S3" s="161">
        <v>0</v>
      </c>
      <c r="T3" s="161">
        <v>0</v>
      </c>
      <c r="U3" s="164">
        <f>($L3*'Pivot Objective'!$C$9^2)*S3*T3</f>
        <v>0</v>
      </c>
      <c r="V3" s="161"/>
      <c r="W3" s="161"/>
      <c r="X3" s="164">
        <f>($L3*'Pivot Objective'!$C$9^3)*V3*W3</f>
        <v>0</v>
      </c>
      <c r="Y3" s="161">
        <v>0</v>
      </c>
      <c r="Z3" s="161">
        <v>0</v>
      </c>
      <c r="AA3" s="164">
        <f>($L3*'Pivot Objective'!$C$9^4)*Y3*Z3</f>
        <v>0</v>
      </c>
      <c r="AB3" s="151"/>
      <c r="AC3" s="151"/>
      <c r="AD3" s="164">
        <f>($L3*'Pivot Objective'!$C$9^5)*AB3*AC3</f>
        <v>0</v>
      </c>
      <c r="AE3" s="161">
        <v>0</v>
      </c>
      <c r="AF3" s="161">
        <v>0</v>
      </c>
      <c r="AG3" s="164">
        <f>($L3*'Pivot Objective'!$C$9^6)*AE3*AF3</f>
        <v>0</v>
      </c>
      <c r="AH3" s="151"/>
      <c r="AI3" s="151"/>
      <c r="AJ3" s="164">
        <f>($L3*'Pivot Objective'!$C$9^7)*AH3*AI3</f>
        <v>0</v>
      </c>
      <c r="AK3" s="185">
        <f t="shared" ref="AK3:AK66" si="4">O3+R3+U3+X3+AA3+AD3+AG3+AJ3</f>
        <v>0</v>
      </c>
      <c r="AL3" s="186">
        <f t="shared" ref="AL3:AL66" si="5">AK3/$AP$2</f>
        <v>0</v>
      </c>
    </row>
    <row r="4" spans="1:42" ht="86.4" x14ac:dyDescent="0.3">
      <c r="A4" s="151" t="s">
        <v>1440</v>
      </c>
      <c r="B4" s="151">
        <v>1</v>
      </c>
      <c r="C4" s="152" t="s">
        <v>836</v>
      </c>
      <c r="D4" s="151" t="str">
        <f t="shared" si="0"/>
        <v>1</v>
      </c>
      <c r="E4" s="153" t="s">
        <v>837</v>
      </c>
      <c r="F4" s="151">
        <f t="shared" si="1"/>
        <v>1</v>
      </c>
      <c r="G4" s="151" t="str">
        <f t="shared" si="2"/>
        <v>1.1.1</v>
      </c>
      <c r="H4" s="154" t="s">
        <v>1295</v>
      </c>
      <c r="I4" s="159" t="s">
        <v>839</v>
      </c>
      <c r="J4" s="159" t="s">
        <v>843</v>
      </c>
      <c r="K4" s="159" t="s">
        <v>709</v>
      </c>
      <c r="L4" s="160">
        <v>35000</v>
      </c>
      <c r="M4" s="161">
        <v>10</v>
      </c>
      <c r="N4" s="161">
        <v>2</v>
      </c>
      <c r="O4" s="164">
        <f t="shared" si="3"/>
        <v>700000</v>
      </c>
      <c r="P4" s="161"/>
      <c r="Q4" s="161"/>
      <c r="R4" s="164">
        <f>$L4*'Pivot Objective'!$C$9*P4*Q4</f>
        <v>0</v>
      </c>
      <c r="S4" s="161">
        <v>10</v>
      </c>
      <c r="T4" s="161">
        <v>2</v>
      </c>
      <c r="U4" s="164">
        <f>($L4*'Pivot Objective'!$C$9^2)*S4*T4</f>
        <v>914388.04377737816</v>
      </c>
      <c r="V4" s="161"/>
      <c r="W4" s="161"/>
      <c r="X4" s="164">
        <f>($L4*'Pivot Objective'!$C$9^3)*V4*W4</f>
        <v>0</v>
      </c>
      <c r="Y4" s="161">
        <v>10</v>
      </c>
      <c r="Z4" s="161">
        <v>2</v>
      </c>
      <c r="AA4" s="164">
        <f>($L4*'Pivot Objective'!$C$9^4)*Y4*Z4</f>
        <v>1194436.4208614579</v>
      </c>
      <c r="AB4" s="151"/>
      <c r="AC4" s="151"/>
      <c r="AD4" s="164">
        <f>($L4*'Pivot Objective'!$C$9^5)*AB4*AC4</f>
        <v>0</v>
      </c>
      <c r="AE4" s="161">
        <v>10</v>
      </c>
      <c r="AF4" s="161">
        <v>2</v>
      </c>
      <c r="AG4" s="164">
        <f>($L4*'Pivot Objective'!$C$9^6)*AE4*AF4</f>
        <v>1560254.8318399454</v>
      </c>
      <c r="AH4" s="151"/>
      <c r="AI4" s="151"/>
      <c r="AJ4" s="164">
        <f>($L4*'Pivot Objective'!$C$9^7)*AH4*AI4</f>
        <v>0</v>
      </c>
      <c r="AK4" s="185">
        <f t="shared" si="4"/>
        <v>4369079.2964787818</v>
      </c>
      <c r="AL4" s="186">
        <f t="shared" si="5"/>
        <v>4241.8245596881379</v>
      </c>
    </row>
    <row r="5" spans="1:42" ht="86.4" x14ac:dyDescent="0.3">
      <c r="A5" s="151" t="s">
        <v>1440</v>
      </c>
      <c r="B5" s="151">
        <v>1</v>
      </c>
      <c r="C5" s="152" t="s">
        <v>836</v>
      </c>
      <c r="D5" s="151" t="str">
        <f t="shared" si="0"/>
        <v>1</v>
      </c>
      <c r="E5" s="153" t="s">
        <v>837</v>
      </c>
      <c r="F5" s="151">
        <f t="shared" si="1"/>
        <v>1</v>
      </c>
      <c r="G5" s="151" t="str">
        <f t="shared" si="2"/>
        <v>1.1.1</v>
      </c>
      <c r="H5" s="154" t="s">
        <v>1295</v>
      </c>
      <c r="I5" s="159" t="s">
        <v>839</v>
      </c>
      <c r="J5" s="159" t="s">
        <v>149</v>
      </c>
      <c r="K5" s="159" t="s">
        <v>707</v>
      </c>
      <c r="L5" s="160">
        <v>391991.03749999998</v>
      </c>
      <c r="M5" s="161">
        <v>2</v>
      </c>
      <c r="N5" s="161">
        <v>2</v>
      </c>
      <c r="O5" s="164">
        <f t="shared" si="3"/>
        <v>1567964.15</v>
      </c>
      <c r="P5" s="161"/>
      <c r="Q5" s="161"/>
      <c r="R5" s="164">
        <f>$L5*'Pivot Objective'!$C$9*P5*Q5</f>
        <v>0</v>
      </c>
      <c r="S5" s="161">
        <v>2</v>
      </c>
      <c r="T5" s="161">
        <v>2</v>
      </c>
      <c r="U5" s="164">
        <f>($L5*'Pivot Objective'!$C$9^2)*S5*T5</f>
        <v>2048182.3883307995</v>
      </c>
      <c r="V5" s="161"/>
      <c r="W5" s="161"/>
      <c r="X5" s="164">
        <f>($L5*'Pivot Objective'!$C$9^3)*V5*W5</f>
        <v>0</v>
      </c>
      <c r="Y5" s="161">
        <v>2</v>
      </c>
      <c r="Z5" s="161">
        <v>2</v>
      </c>
      <c r="AA5" s="164">
        <f>($L5*'Pivot Objective'!$C$9^4)*Y5*Z5</f>
        <v>2675476.4105215403</v>
      </c>
      <c r="AB5" s="161">
        <v>0</v>
      </c>
      <c r="AC5" s="151">
        <v>0</v>
      </c>
      <c r="AD5" s="164">
        <f>($L5*'Pivot Objective'!$C$9^5)*AB5*AC5</f>
        <v>0</v>
      </c>
      <c r="AE5" s="161">
        <v>2</v>
      </c>
      <c r="AF5" s="161">
        <v>2</v>
      </c>
      <c r="AG5" s="164">
        <f>($L5*'Pivot Objective'!$C$9^6)*AE5*AF5</f>
        <v>3494890.915984733</v>
      </c>
      <c r="AH5" s="151"/>
      <c r="AI5" s="151"/>
      <c r="AJ5" s="164">
        <f>($L5*'Pivot Objective'!$C$9^7)*AH5*AI5</f>
        <v>0</v>
      </c>
      <c r="AK5" s="185">
        <f t="shared" si="4"/>
        <v>9786513.8648370728</v>
      </c>
      <c r="AL5" s="186">
        <f t="shared" si="5"/>
        <v>9501.4697716864775</v>
      </c>
    </row>
    <row r="6" spans="1:42" ht="86.4" x14ac:dyDescent="0.3">
      <c r="A6" s="151" t="s">
        <v>1440</v>
      </c>
      <c r="B6" s="151">
        <v>1</v>
      </c>
      <c r="C6" s="152" t="s">
        <v>836</v>
      </c>
      <c r="D6" s="151" t="str">
        <f t="shared" si="0"/>
        <v>1</v>
      </c>
      <c r="E6" s="153" t="s">
        <v>837</v>
      </c>
      <c r="F6" s="151">
        <f t="shared" si="1"/>
        <v>1</v>
      </c>
      <c r="G6" s="151" t="str">
        <f t="shared" si="2"/>
        <v>1.1.1</v>
      </c>
      <c r="H6" s="154" t="s">
        <v>1295</v>
      </c>
      <c r="I6" s="159" t="s">
        <v>839</v>
      </c>
      <c r="J6" s="159" t="s">
        <v>149</v>
      </c>
      <c r="K6" s="159" t="s">
        <v>708</v>
      </c>
      <c r="L6" s="160">
        <f>500*1022</f>
        <v>511000</v>
      </c>
      <c r="M6" s="161">
        <v>1</v>
      </c>
      <c r="N6" s="161">
        <v>25</v>
      </c>
      <c r="O6" s="164">
        <f t="shared" si="3"/>
        <v>12775000</v>
      </c>
      <c r="P6" s="161"/>
      <c r="Q6" s="161"/>
      <c r="R6" s="164">
        <f>$L6*'Pivot Objective'!$C$9*P6*Q6</f>
        <v>0</v>
      </c>
      <c r="S6" s="161">
        <v>1</v>
      </c>
      <c r="T6" s="161">
        <v>25</v>
      </c>
      <c r="U6" s="164">
        <f>($L6*'Pivot Objective'!$C$9^2)*S6*T6</f>
        <v>16687581.798937155</v>
      </c>
      <c r="V6" s="161"/>
      <c r="W6" s="161"/>
      <c r="X6" s="164">
        <f>($L6*'Pivot Objective'!$C$9^3)*V6*W6</f>
        <v>0</v>
      </c>
      <c r="Y6" s="161">
        <v>1</v>
      </c>
      <c r="Z6" s="161">
        <v>25</v>
      </c>
      <c r="AA6" s="164">
        <f>($L6*'Pivot Objective'!$C$9^4)*Y6*Z6</f>
        <v>21798464.680721607</v>
      </c>
      <c r="AB6" s="151"/>
      <c r="AC6" s="151"/>
      <c r="AD6" s="164">
        <f>($L6*'Pivot Objective'!$C$9^5)*AB6*AC6</f>
        <v>0</v>
      </c>
      <c r="AE6" s="161">
        <v>1</v>
      </c>
      <c r="AF6" s="161">
        <v>25</v>
      </c>
      <c r="AG6" s="164">
        <f>($L6*'Pivot Objective'!$C$9^6)*AE6*AF6</f>
        <v>28474650.681079004</v>
      </c>
      <c r="AH6" s="151"/>
      <c r="AI6" s="151"/>
      <c r="AJ6" s="164">
        <f>($L6*'Pivot Objective'!$C$9^7)*AH6*AI6</f>
        <v>0</v>
      </c>
      <c r="AK6" s="185">
        <f t="shared" si="4"/>
        <v>79735697.160737768</v>
      </c>
      <c r="AL6" s="186">
        <f t="shared" si="5"/>
        <v>77413.29821430851</v>
      </c>
    </row>
    <row r="7" spans="1:42" ht="86.4" x14ac:dyDescent="0.3">
      <c r="A7" s="151" t="s">
        <v>1440</v>
      </c>
      <c r="B7" s="151">
        <v>1</v>
      </c>
      <c r="C7" s="152" t="s">
        <v>836</v>
      </c>
      <c r="D7" s="151" t="str">
        <f t="shared" si="0"/>
        <v>1</v>
      </c>
      <c r="E7" s="153" t="s">
        <v>837</v>
      </c>
      <c r="F7" s="151">
        <f t="shared" si="1"/>
        <v>1</v>
      </c>
      <c r="G7" s="151" t="str">
        <f t="shared" si="2"/>
        <v>1.1.1</v>
      </c>
      <c r="H7" s="154" t="s">
        <v>1295</v>
      </c>
      <c r="I7" s="159" t="s">
        <v>839</v>
      </c>
      <c r="J7" s="159" t="s">
        <v>150</v>
      </c>
      <c r="K7" s="159" t="s">
        <v>841</v>
      </c>
      <c r="L7" s="160">
        <v>0</v>
      </c>
      <c r="M7" s="161"/>
      <c r="N7" s="161"/>
      <c r="O7" s="164">
        <f t="shared" si="3"/>
        <v>0</v>
      </c>
      <c r="P7" s="161"/>
      <c r="Q7" s="161"/>
      <c r="R7" s="164">
        <f>$L7*'Pivot Objective'!$C$9*P7*Q7</f>
        <v>0</v>
      </c>
      <c r="S7" s="161"/>
      <c r="T7" s="161"/>
      <c r="U7" s="164">
        <f>($L7*'Pivot Objective'!$C$9^2)*S7*T7</f>
        <v>0</v>
      </c>
      <c r="V7" s="161"/>
      <c r="W7" s="161"/>
      <c r="X7" s="164">
        <f>($L7*'Pivot Objective'!$C$9^3)*V7*W7</f>
        <v>0</v>
      </c>
      <c r="Y7" s="161"/>
      <c r="Z7" s="161"/>
      <c r="AA7" s="164">
        <f>($L7*'Pivot Objective'!$C$9^4)*Y7*Z7</f>
        <v>0</v>
      </c>
      <c r="AB7" s="151"/>
      <c r="AC7" s="151"/>
      <c r="AD7" s="164">
        <f>($L7*'Pivot Objective'!$C$9^5)*AB7*AC7</f>
        <v>0</v>
      </c>
      <c r="AE7" s="161"/>
      <c r="AF7" s="161"/>
      <c r="AG7" s="164">
        <f>($L7*'Pivot Objective'!$C$9^6)*AE7*AF7</f>
        <v>0</v>
      </c>
      <c r="AH7" s="151"/>
      <c r="AI7" s="151"/>
      <c r="AJ7" s="164">
        <f>($L7*'Pivot Objective'!$C$9^7)*AH7*AI7</f>
        <v>0</v>
      </c>
      <c r="AK7" s="185">
        <f t="shared" si="4"/>
        <v>0</v>
      </c>
      <c r="AL7" s="186">
        <f t="shared" si="5"/>
        <v>0</v>
      </c>
    </row>
    <row r="8" spans="1:42" ht="86.4" x14ac:dyDescent="0.3">
      <c r="A8" s="151" t="s">
        <v>1440</v>
      </c>
      <c r="B8" s="151">
        <v>1</v>
      </c>
      <c r="C8" s="152" t="s">
        <v>836</v>
      </c>
      <c r="D8" s="151" t="str">
        <f t="shared" si="0"/>
        <v>1</v>
      </c>
      <c r="E8" s="153" t="s">
        <v>837</v>
      </c>
      <c r="F8" s="151">
        <f t="shared" si="1"/>
        <v>1</v>
      </c>
      <c r="G8" s="151" t="str">
        <f t="shared" si="2"/>
        <v>1.1.1</v>
      </c>
      <c r="H8" s="154" t="s">
        <v>1295</v>
      </c>
      <c r="I8" s="159" t="s">
        <v>839</v>
      </c>
      <c r="J8" s="159" t="s">
        <v>1304</v>
      </c>
      <c r="K8" s="159" t="s">
        <v>709</v>
      </c>
      <c r="L8" s="160">
        <v>35000</v>
      </c>
      <c r="M8" s="161">
        <v>26</v>
      </c>
      <c r="N8" s="161">
        <v>5</v>
      </c>
      <c r="O8" s="164">
        <f t="shared" si="3"/>
        <v>4550000</v>
      </c>
      <c r="P8" s="161"/>
      <c r="Q8" s="161"/>
      <c r="R8" s="164">
        <f>$L8*'Pivot Objective'!$C$9*P8*Q8</f>
        <v>0</v>
      </c>
      <c r="S8" s="161">
        <v>26</v>
      </c>
      <c r="T8" s="161">
        <v>5</v>
      </c>
      <c r="U8" s="164">
        <f>($L8*'Pivot Objective'!$C$9^2)*S8*T8</f>
        <v>5943522.2845529579</v>
      </c>
      <c r="V8" s="161"/>
      <c r="W8" s="161"/>
      <c r="X8" s="164">
        <f>($L8*'Pivot Objective'!$C$9^3)*V8*W8</f>
        <v>0</v>
      </c>
      <c r="Y8" s="161">
        <v>26</v>
      </c>
      <c r="Z8" s="161">
        <v>5</v>
      </c>
      <c r="AA8" s="164">
        <f>($L8*'Pivot Objective'!$C$9^4)*Y8*Z8</f>
        <v>7763836.7355994778</v>
      </c>
      <c r="AB8" s="151"/>
      <c r="AC8" s="151"/>
      <c r="AD8" s="164">
        <f>($L8*'Pivot Objective'!$C$9^5)*AB8*AC8</f>
        <v>0</v>
      </c>
      <c r="AE8" s="161">
        <v>26</v>
      </c>
      <c r="AF8" s="161">
        <v>5</v>
      </c>
      <c r="AG8" s="164">
        <f>($L8*'Pivot Objective'!$C$9^6)*AE8*AF8</f>
        <v>10141656.406959645</v>
      </c>
      <c r="AH8" s="151"/>
      <c r="AI8" s="151"/>
      <c r="AJ8" s="164">
        <f>($L8*'Pivot Objective'!$C$9^7)*AH8*AI8</f>
        <v>0</v>
      </c>
      <c r="AK8" s="185">
        <f t="shared" si="4"/>
        <v>28399015.42711208</v>
      </c>
      <c r="AL8" s="186">
        <f t="shared" si="5"/>
        <v>27571.859637972895</v>
      </c>
    </row>
    <row r="9" spans="1:42" ht="86.4" x14ac:dyDescent="0.3">
      <c r="A9" s="151" t="s">
        <v>1440</v>
      </c>
      <c r="B9" s="151">
        <v>1</v>
      </c>
      <c r="C9" s="152" t="s">
        <v>836</v>
      </c>
      <c r="D9" s="151" t="str">
        <f t="shared" si="0"/>
        <v>1</v>
      </c>
      <c r="E9" s="153" t="s">
        <v>837</v>
      </c>
      <c r="F9" s="151">
        <f t="shared" si="1"/>
        <v>1</v>
      </c>
      <c r="G9" s="151" t="str">
        <f t="shared" si="2"/>
        <v>1.1.1</v>
      </c>
      <c r="H9" s="154" t="s">
        <v>1295</v>
      </c>
      <c r="I9" s="159" t="s">
        <v>839</v>
      </c>
      <c r="J9" s="159" t="s">
        <v>1304</v>
      </c>
      <c r="K9" s="159" t="s">
        <v>716</v>
      </c>
      <c r="L9" s="160">
        <v>39000</v>
      </c>
      <c r="M9" s="161">
        <v>26</v>
      </c>
      <c r="N9" s="161">
        <v>6</v>
      </c>
      <c r="O9" s="164">
        <f t="shared" si="3"/>
        <v>6084000</v>
      </c>
      <c r="P9" s="161"/>
      <c r="Q9" s="161"/>
      <c r="R9" s="164">
        <f>$L9*'Pivot Objective'!$C$9*P9*Q9</f>
        <v>0</v>
      </c>
      <c r="S9" s="161">
        <v>26</v>
      </c>
      <c r="T9" s="161">
        <v>6</v>
      </c>
      <c r="U9" s="164">
        <f>($L9*'Pivot Objective'!$C$9^2)*S9*T9</f>
        <v>7947338.3690593839</v>
      </c>
      <c r="V9" s="161"/>
      <c r="W9" s="161"/>
      <c r="X9" s="164">
        <f>($L9*'Pivot Objective'!$C$9^3)*V9*W9</f>
        <v>0</v>
      </c>
      <c r="Y9" s="161">
        <v>26</v>
      </c>
      <c r="Z9" s="161">
        <v>6</v>
      </c>
      <c r="AA9" s="164">
        <f>($L9*'Pivot Objective'!$C$9^4)*Y9*Z9</f>
        <v>10381358.835030159</v>
      </c>
      <c r="AB9" s="151"/>
      <c r="AC9" s="151"/>
      <c r="AD9" s="164">
        <f>($L9*'Pivot Objective'!$C$9^5)*AB9*AC9</f>
        <v>0</v>
      </c>
      <c r="AE9" s="161">
        <v>26</v>
      </c>
      <c r="AF9" s="161">
        <v>6</v>
      </c>
      <c r="AG9" s="164">
        <f>($L9*'Pivot Objective'!$C$9^6)*AE9*AF9</f>
        <v>13560843.424163185</v>
      </c>
      <c r="AH9" s="151"/>
      <c r="AI9" s="151"/>
      <c r="AJ9" s="164">
        <f>($L9*'Pivot Objective'!$C$9^7)*AH9*AI9</f>
        <v>0</v>
      </c>
      <c r="AK9" s="185">
        <f t="shared" si="4"/>
        <v>37973540.62825273</v>
      </c>
      <c r="AL9" s="186">
        <f t="shared" si="5"/>
        <v>36867.5151730609</v>
      </c>
    </row>
    <row r="10" spans="1:42" ht="86.4" x14ac:dyDescent="0.3">
      <c r="A10" s="151" t="s">
        <v>1440</v>
      </c>
      <c r="B10" s="151">
        <v>1</v>
      </c>
      <c r="C10" s="152" t="s">
        <v>836</v>
      </c>
      <c r="D10" s="151" t="str">
        <f t="shared" si="0"/>
        <v>1</v>
      </c>
      <c r="E10" s="153" t="s">
        <v>837</v>
      </c>
      <c r="F10" s="151">
        <f t="shared" si="1"/>
        <v>1</v>
      </c>
      <c r="G10" s="151" t="str">
        <f t="shared" si="2"/>
        <v>1.1.1</v>
      </c>
      <c r="H10" s="154" t="s">
        <v>1295</v>
      </c>
      <c r="I10" s="159" t="s">
        <v>839</v>
      </c>
      <c r="J10" s="159" t="s">
        <v>1304</v>
      </c>
      <c r="K10" s="159" t="s">
        <v>1306</v>
      </c>
      <c r="L10" s="160">
        <v>211.43</v>
      </c>
      <c r="M10" s="161">
        <f>135*2*9</f>
        <v>2430</v>
      </c>
      <c r="N10" s="161">
        <v>1</v>
      </c>
      <c r="O10" s="164">
        <f t="shared" si="3"/>
        <v>513774.9</v>
      </c>
      <c r="P10" s="161"/>
      <c r="Q10" s="161"/>
      <c r="R10" s="164">
        <f>$L10*'Pivot Objective'!$C$9*P10*Q10</f>
        <v>0</v>
      </c>
      <c r="S10" s="161">
        <f>135*2*9</f>
        <v>2430</v>
      </c>
      <c r="T10" s="161">
        <v>1</v>
      </c>
      <c r="U10" s="164">
        <f>($L10*'Pivot Objective'!$C$9^2)*S10*T10</f>
        <v>671128.03678988304</v>
      </c>
      <c r="V10" s="161"/>
      <c r="W10" s="161"/>
      <c r="X10" s="164">
        <f>($L10*'Pivot Objective'!$C$9^3)*V10*W10</f>
        <v>0</v>
      </c>
      <c r="Y10" s="161">
        <f>135*2*9</f>
        <v>2430</v>
      </c>
      <c r="Z10" s="161">
        <v>1</v>
      </c>
      <c r="AA10" s="164">
        <f>($L10*'Pivot Objective'!$C$9^4)*Y10*Z10</f>
        <v>876673.50383493362</v>
      </c>
      <c r="AB10" s="151"/>
      <c r="AC10" s="151"/>
      <c r="AD10" s="164">
        <f>($L10*'Pivot Objective'!$C$9^5)*AB10*AC10</f>
        <v>0</v>
      </c>
      <c r="AE10" s="161">
        <f>135*2*9</f>
        <v>2430</v>
      </c>
      <c r="AF10" s="161">
        <v>1</v>
      </c>
      <c r="AG10" s="164">
        <f>($L10*'Pivot Objective'!$C$9^6)*AE10*AF10</f>
        <v>1145171.1002901213</v>
      </c>
      <c r="AH10" s="151"/>
      <c r="AI10" s="151"/>
      <c r="AJ10" s="164">
        <f>($L10*'Pivot Objective'!$C$9^7)*AH10*AI10</f>
        <v>0</v>
      </c>
      <c r="AK10" s="185">
        <f t="shared" si="4"/>
        <v>3206747.5409149379</v>
      </c>
      <c r="AL10" s="186">
        <f t="shared" si="5"/>
        <v>3113.3471271018816</v>
      </c>
    </row>
    <row r="11" spans="1:42" ht="86.4" x14ac:dyDescent="0.3">
      <c r="A11" s="151" t="s">
        <v>1440</v>
      </c>
      <c r="B11" s="151">
        <v>1</v>
      </c>
      <c r="C11" s="152" t="s">
        <v>836</v>
      </c>
      <c r="D11" s="151" t="str">
        <f t="shared" si="0"/>
        <v>1</v>
      </c>
      <c r="E11" s="153" t="s">
        <v>837</v>
      </c>
      <c r="F11" s="151">
        <f t="shared" si="1"/>
        <v>1</v>
      </c>
      <c r="G11" s="151" t="str">
        <f t="shared" si="2"/>
        <v>1.1.1</v>
      </c>
      <c r="H11" s="154" t="s">
        <v>1295</v>
      </c>
      <c r="I11" s="159" t="s">
        <v>839</v>
      </c>
      <c r="J11" s="159" t="s">
        <v>1304</v>
      </c>
      <c r="K11" s="159" t="s">
        <v>1307</v>
      </c>
      <c r="L11" s="160">
        <f>1999/7</f>
        <v>285.57142857142856</v>
      </c>
      <c r="M11" s="161">
        <f>25*9*2</f>
        <v>450</v>
      </c>
      <c r="N11" s="161">
        <v>5</v>
      </c>
      <c r="O11" s="164">
        <f t="shared" si="3"/>
        <v>642535.71428571432</v>
      </c>
      <c r="P11" s="161"/>
      <c r="Q11" s="161"/>
      <c r="R11" s="164">
        <f>$L11*'Pivot Objective'!$C$9*P11*Q11</f>
        <v>0</v>
      </c>
      <c r="S11" s="161">
        <f>25*9*2</f>
        <v>450</v>
      </c>
      <c r="T11" s="161">
        <v>5</v>
      </c>
      <c r="U11" s="164">
        <f>($L11*'Pivot Objective'!$C$9^2)*S11*T11</f>
        <v>839324.24977544951</v>
      </c>
      <c r="V11" s="161"/>
      <c r="W11" s="161"/>
      <c r="X11" s="164">
        <f>($L11*'Pivot Objective'!$C$9^3)*V11*W11</f>
        <v>0</v>
      </c>
      <c r="Y11" s="161">
        <f>25*9*2</f>
        <v>450</v>
      </c>
      <c r="Z11" s="161">
        <v>5</v>
      </c>
      <c r="AA11" s="164">
        <f>($L11*'Pivot Objective'!$C$9^4)*Y11*Z11</f>
        <v>1096382.941210127</v>
      </c>
      <c r="AB11" s="151"/>
      <c r="AC11" s="151"/>
      <c r="AD11" s="164">
        <f>($L11*'Pivot Objective'!$C$9^5)*AB11*AC11</f>
        <v>0</v>
      </c>
      <c r="AE11" s="161">
        <f>25*9*2</f>
        <v>450</v>
      </c>
      <c r="AF11" s="161">
        <v>5</v>
      </c>
      <c r="AG11" s="164">
        <f>($L11*'Pivot Objective'!$C$9^6)*AE11*AF11</f>
        <v>1432170.6469200235</v>
      </c>
      <c r="AH11" s="151"/>
      <c r="AI11" s="151"/>
      <c r="AJ11" s="164">
        <f>($L11*'Pivot Objective'!$C$9^7)*AH11*AI11</f>
        <v>0</v>
      </c>
      <c r="AK11" s="185">
        <f t="shared" si="4"/>
        <v>4010413.5521913143</v>
      </c>
      <c r="AL11" s="186">
        <f t="shared" si="5"/>
        <v>3893.6053904770042</v>
      </c>
    </row>
    <row r="12" spans="1:42" ht="86.4" x14ac:dyDescent="0.3">
      <c r="A12" s="151" t="s">
        <v>1440</v>
      </c>
      <c r="B12" s="151">
        <v>1</v>
      </c>
      <c r="C12" s="152" t="s">
        <v>836</v>
      </c>
      <c r="D12" s="151" t="str">
        <f t="shared" si="0"/>
        <v>1</v>
      </c>
      <c r="E12" s="153" t="s">
        <v>837</v>
      </c>
      <c r="F12" s="151">
        <f t="shared" si="1"/>
        <v>1</v>
      </c>
      <c r="G12" s="151" t="str">
        <f t="shared" si="2"/>
        <v>1.1.1</v>
      </c>
      <c r="H12" s="154" t="s">
        <v>1295</v>
      </c>
      <c r="I12" s="159" t="s">
        <v>839</v>
      </c>
      <c r="J12" s="159" t="s">
        <v>1305</v>
      </c>
      <c r="K12" s="159" t="s">
        <v>710</v>
      </c>
      <c r="L12" s="160">
        <v>104850</v>
      </c>
      <c r="M12" s="161">
        <v>1</v>
      </c>
      <c r="N12" s="161">
        <v>1</v>
      </c>
      <c r="O12" s="164">
        <f t="shared" si="3"/>
        <v>104850</v>
      </c>
      <c r="P12" s="161"/>
      <c r="Q12" s="161"/>
      <c r="R12" s="164">
        <f>$L12*'Pivot Objective'!$C$9*P12*Q12</f>
        <v>0</v>
      </c>
      <c r="S12" s="161">
        <v>1</v>
      </c>
      <c r="T12" s="161">
        <v>1</v>
      </c>
      <c r="U12" s="164">
        <f>($L12*'Pivot Objective'!$C$9^2)*S12*T12</f>
        <v>136962.26627151159</v>
      </c>
      <c r="V12" s="161"/>
      <c r="W12" s="161"/>
      <c r="X12" s="164">
        <f>($L12*'Pivot Objective'!$C$9^3)*V12*W12</f>
        <v>0</v>
      </c>
      <c r="Y12" s="161">
        <v>1</v>
      </c>
      <c r="Z12" s="161">
        <v>1</v>
      </c>
      <c r="AA12" s="164">
        <f>($L12*'Pivot Objective'!$C$9^4)*Y12*Z12</f>
        <v>178909.51246760553</v>
      </c>
      <c r="AB12" s="151"/>
      <c r="AC12" s="151"/>
      <c r="AD12" s="164">
        <f>($L12*'Pivot Objective'!$C$9^5)*AB12*AC12</f>
        <v>0</v>
      </c>
      <c r="AE12" s="161">
        <v>1</v>
      </c>
      <c r="AF12" s="161">
        <v>1</v>
      </c>
      <c r="AG12" s="164">
        <f>($L12*'Pivot Objective'!$C$9^6)*AE12*AF12</f>
        <v>233703.88445488326</v>
      </c>
      <c r="AH12" s="151"/>
      <c r="AI12" s="151"/>
      <c r="AJ12" s="164">
        <f>($L12*'Pivot Objective'!$C$9^7)*AH12*AI12</f>
        <v>0</v>
      </c>
      <c r="AK12" s="185">
        <f t="shared" si="4"/>
        <v>654425.66319400037</v>
      </c>
      <c r="AL12" s="186">
        <f t="shared" si="5"/>
        <v>635.36472154757314</v>
      </c>
    </row>
    <row r="13" spans="1:42" ht="86.4" x14ac:dyDescent="0.3">
      <c r="A13" s="151" t="s">
        <v>1440</v>
      </c>
      <c r="B13" s="151">
        <v>1</v>
      </c>
      <c r="C13" s="152" t="s">
        <v>836</v>
      </c>
      <c r="D13" s="151" t="str">
        <f t="shared" si="0"/>
        <v>1</v>
      </c>
      <c r="E13" s="153" t="s">
        <v>837</v>
      </c>
      <c r="F13" s="151">
        <f t="shared" si="1"/>
        <v>1</v>
      </c>
      <c r="G13" s="151" t="str">
        <f t="shared" si="2"/>
        <v>1.1.1</v>
      </c>
      <c r="H13" s="154" t="s">
        <v>1295</v>
      </c>
      <c r="I13" s="159" t="s">
        <v>839</v>
      </c>
      <c r="J13" s="159" t="s">
        <v>844</v>
      </c>
      <c r="K13" s="159" t="s">
        <v>1308</v>
      </c>
      <c r="L13" s="160">
        <v>8000</v>
      </c>
      <c r="M13" s="161">
        <v>10</v>
      </c>
      <c r="N13" s="161">
        <v>1</v>
      </c>
      <c r="O13" s="164">
        <f t="shared" si="3"/>
        <v>80000</v>
      </c>
      <c r="P13" s="161"/>
      <c r="Q13" s="161"/>
      <c r="R13" s="164">
        <f>$L13*'Pivot Objective'!$C$9*P13*Q13</f>
        <v>0</v>
      </c>
      <c r="S13" s="161">
        <v>10</v>
      </c>
      <c r="T13" s="161">
        <v>1</v>
      </c>
      <c r="U13" s="164">
        <f>($L13*'Pivot Objective'!$C$9^2)*S13*T13</f>
        <v>104501.49071741465</v>
      </c>
      <c r="V13" s="161"/>
      <c r="W13" s="161"/>
      <c r="X13" s="164">
        <f>($L13*'Pivot Objective'!$C$9^3)*V13*W13</f>
        <v>0</v>
      </c>
      <c r="Y13" s="161">
        <v>10</v>
      </c>
      <c r="Z13" s="161">
        <v>1</v>
      </c>
      <c r="AA13" s="164">
        <f>($L13*'Pivot Objective'!$C$9^4)*Y13*Z13</f>
        <v>136507.01952702377</v>
      </c>
      <c r="AB13" s="151"/>
      <c r="AC13" s="151"/>
      <c r="AD13" s="164">
        <f>($L13*'Pivot Objective'!$C$9^5)*AB13*AC13</f>
        <v>0</v>
      </c>
      <c r="AE13" s="161">
        <v>10</v>
      </c>
      <c r="AF13" s="161">
        <v>1</v>
      </c>
      <c r="AG13" s="164">
        <f>($L13*'Pivot Objective'!$C$9^6)*AE13*AF13</f>
        <v>178314.83792456522</v>
      </c>
      <c r="AH13" s="151"/>
      <c r="AI13" s="151"/>
      <c r="AJ13" s="164">
        <f>($L13*'Pivot Objective'!$C$9^7)*AH13*AI13</f>
        <v>0</v>
      </c>
      <c r="AK13" s="185">
        <f t="shared" si="4"/>
        <v>499323.34816900361</v>
      </c>
      <c r="AL13" s="186">
        <f t="shared" si="5"/>
        <v>484.7799496786443</v>
      </c>
    </row>
    <row r="14" spans="1:42" ht="86.4" x14ac:dyDescent="0.3">
      <c r="A14" s="151" t="s">
        <v>1440</v>
      </c>
      <c r="B14" s="151">
        <v>1</v>
      </c>
      <c r="C14" s="152" t="s">
        <v>836</v>
      </c>
      <c r="D14" s="151" t="str">
        <f t="shared" si="0"/>
        <v>1</v>
      </c>
      <c r="E14" s="153" t="s">
        <v>837</v>
      </c>
      <c r="F14" s="151">
        <f t="shared" si="1"/>
        <v>1</v>
      </c>
      <c r="G14" s="151" t="str">
        <f t="shared" si="2"/>
        <v>1.1.1</v>
      </c>
      <c r="H14" s="154" t="s">
        <v>1295</v>
      </c>
      <c r="I14" s="159" t="s">
        <v>839</v>
      </c>
      <c r="J14" s="159" t="s">
        <v>845</v>
      </c>
      <c r="K14" s="159" t="s">
        <v>1310</v>
      </c>
      <c r="L14" s="160">
        <f>1999/7</f>
        <v>285.57142857142856</v>
      </c>
      <c r="M14" s="161">
        <f>9*180*2</f>
        <v>3240</v>
      </c>
      <c r="N14" s="161">
        <v>1</v>
      </c>
      <c r="O14" s="164">
        <f t="shared" si="3"/>
        <v>925251.42857142852</v>
      </c>
      <c r="P14" s="161"/>
      <c r="Q14" s="161"/>
      <c r="R14" s="164">
        <f>$L14*'Pivot Objective'!$C$9*P14*Q14</f>
        <v>0</v>
      </c>
      <c r="S14" s="161">
        <f>9*180*2</f>
        <v>3240</v>
      </c>
      <c r="T14" s="161">
        <v>1</v>
      </c>
      <c r="U14" s="164">
        <f>($L14*'Pivot Objective'!$C$9^2)*S14*T14</f>
        <v>1208626.9196766473</v>
      </c>
      <c r="V14" s="161"/>
      <c r="W14" s="161"/>
      <c r="X14" s="164">
        <f>($L14*'Pivot Objective'!$C$9^3)*V14*W14</f>
        <v>0</v>
      </c>
      <c r="Y14" s="161">
        <f>9*180*2</f>
        <v>3240</v>
      </c>
      <c r="Z14" s="161">
        <v>1</v>
      </c>
      <c r="AA14" s="164">
        <f>($L14*'Pivot Objective'!$C$9^4)*Y14*Z14</f>
        <v>1578791.4353425829</v>
      </c>
      <c r="AB14" s="151"/>
      <c r="AC14" s="151"/>
      <c r="AD14" s="164">
        <f>($L14*'Pivot Objective'!$C$9^5)*AB14*AC14</f>
        <v>0</v>
      </c>
      <c r="AE14" s="161">
        <f>9*180*2</f>
        <v>3240</v>
      </c>
      <c r="AF14" s="161">
        <v>1</v>
      </c>
      <c r="AG14" s="164">
        <f>($L14*'Pivot Objective'!$C$9^6)*AE14*AF14</f>
        <v>2062325.7315648335</v>
      </c>
      <c r="AH14" s="151"/>
      <c r="AI14" s="151"/>
      <c r="AJ14" s="164">
        <f>($L14*'Pivot Objective'!$C$9^7)*AH14*AI14</f>
        <v>0</v>
      </c>
      <c r="AK14" s="185">
        <f t="shared" si="4"/>
        <v>5774995.5151554924</v>
      </c>
      <c r="AL14" s="186">
        <f t="shared" si="5"/>
        <v>5606.7917622868854</v>
      </c>
    </row>
    <row r="15" spans="1:42" ht="86.4" x14ac:dyDescent="0.3">
      <c r="A15" s="151" t="s">
        <v>1440</v>
      </c>
      <c r="B15" s="151">
        <v>1</v>
      </c>
      <c r="C15" s="152" t="s">
        <v>836</v>
      </c>
      <c r="D15" s="151" t="str">
        <f t="shared" si="0"/>
        <v>1</v>
      </c>
      <c r="E15" s="153" t="s">
        <v>837</v>
      </c>
      <c r="F15" s="151">
        <f t="shared" si="1"/>
        <v>1</v>
      </c>
      <c r="G15" s="151" t="str">
        <f t="shared" si="2"/>
        <v>1.1.1</v>
      </c>
      <c r="H15" s="154" t="s">
        <v>1295</v>
      </c>
      <c r="I15" s="159" t="s">
        <v>839</v>
      </c>
      <c r="J15" s="159" t="s">
        <v>845</v>
      </c>
      <c r="K15" s="159" t="s">
        <v>1309</v>
      </c>
      <c r="L15" s="160">
        <f>1999/7</f>
        <v>285.57142857142856</v>
      </c>
      <c r="M15" s="161">
        <f>9*50*2</f>
        <v>900</v>
      </c>
      <c r="N15" s="161">
        <v>2</v>
      </c>
      <c r="O15" s="164">
        <f t="shared" si="3"/>
        <v>514028.57142857142</v>
      </c>
      <c r="P15" s="161"/>
      <c r="Q15" s="161"/>
      <c r="R15" s="164">
        <f>$L15*'Pivot Objective'!$C$9*P15*Q15</f>
        <v>0</v>
      </c>
      <c r="S15" s="161">
        <f>9*50*2</f>
        <v>900</v>
      </c>
      <c r="T15" s="161">
        <v>2</v>
      </c>
      <c r="U15" s="164">
        <f>($L15*'Pivot Objective'!$C$9^2)*S15*T15</f>
        <v>671459.39982035966</v>
      </c>
      <c r="V15" s="161"/>
      <c r="W15" s="161"/>
      <c r="X15" s="164">
        <f>($L15*'Pivot Objective'!$C$9^3)*V15*W15</f>
        <v>0</v>
      </c>
      <c r="Y15" s="161">
        <f>9*50*2</f>
        <v>900</v>
      </c>
      <c r="Z15" s="161">
        <v>2</v>
      </c>
      <c r="AA15" s="164">
        <f>($L15*'Pivot Objective'!$C$9^4)*Y15*Z15</f>
        <v>877106.35296810162</v>
      </c>
      <c r="AB15" s="151"/>
      <c r="AC15" s="151"/>
      <c r="AD15" s="164">
        <f>($L15*'Pivot Objective'!$C$9^5)*AB15*AC15</f>
        <v>0</v>
      </c>
      <c r="AE15" s="161">
        <f>9*50*2</f>
        <v>900</v>
      </c>
      <c r="AF15" s="161">
        <v>2</v>
      </c>
      <c r="AG15" s="164">
        <f>($L15*'Pivot Objective'!$C$9^6)*AE15*AF15</f>
        <v>1145736.5175360187</v>
      </c>
      <c r="AH15" s="151"/>
      <c r="AI15" s="151"/>
      <c r="AJ15" s="164">
        <f>($L15*'Pivot Objective'!$C$9^7)*AH15*AI15</f>
        <v>0</v>
      </c>
      <c r="AK15" s="185">
        <f t="shared" si="4"/>
        <v>3208330.8417530516</v>
      </c>
      <c r="AL15" s="186">
        <f t="shared" si="5"/>
        <v>3114.8843123816036</v>
      </c>
    </row>
    <row r="16" spans="1:42" ht="86.4" x14ac:dyDescent="0.3">
      <c r="A16" s="151" t="s">
        <v>1440</v>
      </c>
      <c r="B16" s="151">
        <v>1</v>
      </c>
      <c r="C16" s="152" t="s">
        <v>836</v>
      </c>
      <c r="D16" s="151" t="str">
        <f t="shared" si="0"/>
        <v>1</v>
      </c>
      <c r="E16" s="153" t="s">
        <v>837</v>
      </c>
      <c r="F16" s="151">
        <f t="shared" si="1"/>
        <v>1</v>
      </c>
      <c r="G16" s="151" t="str">
        <f t="shared" si="2"/>
        <v>1.1.1</v>
      </c>
      <c r="H16" s="154" t="s">
        <v>1295</v>
      </c>
      <c r="I16" s="159" t="s">
        <v>839</v>
      </c>
      <c r="J16" s="159" t="s">
        <v>845</v>
      </c>
      <c r="K16" s="159" t="s">
        <v>713</v>
      </c>
      <c r="L16" s="160">
        <v>45000</v>
      </c>
      <c r="M16" s="161">
        <v>25</v>
      </c>
      <c r="N16" s="161">
        <v>3</v>
      </c>
      <c r="O16" s="164">
        <f t="shared" si="3"/>
        <v>3375000</v>
      </c>
      <c r="P16" s="161"/>
      <c r="Q16" s="161"/>
      <c r="R16" s="164">
        <f>$L16*'Pivot Objective'!$C$9*P16*Q16</f>
        <v>0</v>
      </c>
      <c r="S16" s="161">
        <v>25</v>
      </c>
      <c r="T16" s="161">
        <v>3</v>
      </c>
      <c r="U16" s="164">
        <f>($L16*'Pivot Objective'!$C$9^2)*S16*T16</f>
        <v>4408656.639640931</v>
      </c>
      <c r="V16" s="161"/>
      <c r="W16" s="161"/>
      <c r="X16" s="164">
        <f>($L16*'Pivot Objective'!$C$9^3)*V16*W16</f>
        <v>0</v>
      </c>
      <c r="Y16" s="161">
        <v>25</v>
      </c>
      <c r="Z16" s="161">
        <v>3</v>
      </c>
      <c r="AA16" s="164">
        <f>($L16*'Pivot Objective'!$C$9^4)*Y16*Z16</f>
        <v>5758889.8862963151</v>
      </c>
      <c r="AB16" s="151"/>
      <c r="AC16" s="151"/>
      <c r="AD16" s="164">
        <f>($L16*'Pivot Objective'!$C$9^5)*AB16*AC16</f>
        <v>0</v>
      </c>
      <c r="AE16" s="161">
        <v>25</v>
      </c>
      <c r="AF16" s="161">
        <v>3</v>
      </c>
      <c r="AG16" s="164">
        <f>($L16*'Pivot Objective'!$C$9^6)*AE16*AF16</f>
        <v>7522657.2249425948</v>
      </c>
      <c r="AH16" s="151"/>
      <c r="AI16" s="151"/>
      <c r="AJ16" s="164">
        <f>($L16*'Pivot Objective'!$C$9^7)*AH16*AI16</f>
        <v>0</v>
      </c>
      <c r="AK16" s="185">
        <f t="shared" si="4"/>
        <v>21065203.750879839</v>
      </c>
      <c r="AL16" s="186">
        <f t="shared" si="5"/>
        <v>20451.654127067806</v>
      </c>
    </row>
    <row r="17" spans="1:38" ht="86.4" x14ac:dyDescent="0.3">
      <c r="A17" s="151" t="s">
        <v>1440</v>
      </c>
      <c r="B17" s="151">
        <v>1</v>
      </c>
      <c r="C17" s="152" t="s">
        <v>836</v>
      </c>
      <c r="D17" s="151" t="str">
        <f t="shared" si="0"/>
        <v>1</v>
      </c>
      <c r="E17" s="153" t="s">
        <v>837</v>
      </c>
      <c r="F17" s="151">
        <f t="shared" si="1"/>
        <v>1</v>
      </c>
      <c r="G17" s="151" t="str">
        <f t="shared" si="2"/>
        <v>1.1.1</v>
      </c>
      <c r="H17" s="154" t="s">
        <v>1295</v>
      </c>
      <c r="I17" s="159" t="s">
        <v>839</v>
      </c>
      <c r="J17" s="159" t="s">
        <v>846</v>
      </c>
      <c r="K17" s="159" t="s">
        <v>709</v>
      </c>
      <c r="L17" s="160">
        <v>35000</v>
      </c>
      <c r="M17" s="161">
        <v>26</v>
      </c>
      <c r="N17" s="161">
        <v>1</v>
      </c>
      <c r="O17" s="164">
        <f t="shared" si="3"/>
        <v>910000</v>
      </c>
      <c r="P17" s="161"/>
      <c r="Q17" s="161"/>
      <c r="R17" s="164">
        <f>$L17*'Pivot Objective'!$C$9*P17*Q17</f>
        <v>0</v>
      </c>
      <c r="S17" s="161">
        <v>26</v>
      </c>
      <c r="T17" s="161">
        <v>1</v>
      </c>
      <c r="U17" s="164">
        <f>($L17*'Pivot Objective'!$C$9^2)*S17*T17</f>
        <v>1188704.4569105916</v>
      </c>
      <c r="V17" s="161"/>
      <c r="W17" s="161"/>
      <c r="X17" s="164">
        <f>($L17*'Pivot Objective'!$C$9^3)*V17*W17</f>
        <v>0</v>
      </c>
      <c r="Y17" s="161">
        <v>26</v>
      </c>
      <c r="Z17" s="161">
        <v>1</v>
      </c>
      <c r="AA17" s="164">
        <f>($L17*'Pivot Objective'!$C$9^4)*Y17*Z17</f>
        <v>1552767.3471198955</v>
      </c>
      <c r="AB17" s="151"/>
      <c r="AC17" s="151"/>
      <c r="AD17" s="164">
        <f>($L17*'Pivot Objective'!$C$9^5)*AB17*AC17</f>
        <v>0</v>
      </c>
      <c r="AE17" s="161">
        <v>26</v>
      </c>
      <c r="AF17" s="161">
        <v>1</v>
      </c>
      <c r="AG17" s="164">
        <f>($L17*'Pivot Objective'!$C$9^6)*AE17*AF17</f>
        <v>2028331.2813919289</v>
      </c>
      <c r="AH17" s="151"/>
      <c r="AI17" s="151"/>
      <c r="AJ17" s="164">
        <f>($L17*'Pivot Objective'!$C$9^7)*AH17*AI17</f>
        <v>0</v>
      </c>
      <c r="AK17" s="185">
        <f t="shared" si="4"/>
        <v>5679803.0854224162</v>
      </c>
      <c r="AL17" s="186">
        <f t="shared" si="5"/>
        <v>5514.3719275945787</v>
      </c>
    </row>
    <row r="18" spans="1:38" ht="86.4" x14ac:dyDescent="0.3">
      <c r="A18" s="151" t="s">
        <v>1440</v>
      </c>
      <c r="B18" s="151">
        <v>1</v>
      </c>
      <c r="C18" s="152" t="s">
        <v>836</v>
      </c>
      <c r="D18" s="151" t="str">
        <f t="shared" si="0"/>
        <v>1</v>
      </c>
      <c r="E18" s="153" t="s">
        <v>837</v>
      </c>
      <c r="F18" s="151">
        <f t="shared" si="1"/>
        <v>1</v>
      </c>
      <c r="G18" s="151" t="str">
        <f t="shared" si="2"/>
        <v>1.1.1</v>
      </c>
      <c r="H18" s="154" t="s">
        <v>1295</v>
      </c>
      <c r="I18" s="159" t="s">
        <v>839</v>
      </c>
      <c r="J18" s="159" t="s">
        <v>151</v>
      </c>
      <c r="K18" s="159" t="s">
        <v>713</v>
      </c>
      <c r="L18" s="160">
        <v>45000</v>
      </c>
      <c r="M18" s="161">
        <v>26</v>
      </c>
      <c r="N18" s="161">
        <v>6</v>
      </c>
      <c r="O18" s="164">
        <f t="shared" si="3"/>
        <v>7020000</v>
      </c>
      <c r="P18" s="161"/>
      <c r="Q18" s="161"/>
      <c r="R18" s="164">
        <f>$L18*'Pivot Objective'!$C$9*P18*Q18</f>
        <v>0</v>
      </c>
      <c r="S18" s="161">
        <v>26</v>
      </c>
      <c r="T18" s="161">
        <v>6</v>
      </c>
      <c r="U18" s="164">
        <f>($L18*'Pivot Objective'!$C$9^2)*S18*T18</f>
        <v>9170005.8104531374</v>
      </c>
      <c r="V18" s="161"/>
      <c r="W18" s="161"/>
      <c r="X18" s="164">
        <f>($L18*'Pivot Objective'!$C$9^3)*V18*W18</f>
        <v>0</v>
      </c>
      <c r="Y18" s="161">
        <v>26</v>
      </c>
      <c r="Z18" s="161">
        <v>6</v>
      </c>
      <c r="AA18" s="164">
        <f>($L18*'Pivot Objective'!$C$9^4)*Y18*Z18</f>
        <v>11978490.963496335</v>
      </c>
      <c r="AB18" s="151"/>
      <c r="AC18" s="151"/>
      <c r="AD18" s="164">
        <f>($L18*'Pivot Objective'!$C$9^5)*AB18*AC18</f>
        <v>0</v>
      </c>
      <c r="AE18" s="161">
        <v>26</v>
      </c>
      <c r="AF18" s="161">
        <v>6</v>
      </c>
      <c r="AG18" s="164">
        <f>($L18*'Pivot Objective'!$C$9^6)*AE18*AF18</f>
        <v>15647127.027880598</v>
      </c>
      <c r="AH18" s="151"/>
      <c r="AI18" s="151"/>
      <c r="AJ18" s="164">
        <f>($L18*'Pivot Objective'!$C$9^7)*AH18*AI18</f>
        <v>0</v>
      </c>
      <c r="AK18" s="185">
        <f t="shared" si="4"/>
        <v>43815623.801830068</v>
      </c>
      <c r="AL18" s="186">
        <f t="shared" si="5"/>
        <v>42539.440584301039</v>
      </c>
    </row>
    <row r="19" spans="1:38" ht="86.4" x14ac:dyDescent="0.3">
      <c r="A19" s="151" t="s">
        <v>1440</v>
      </c>
      <c r="B19" s="151">
        <v>1</v>
      </c>
      <c r="C19" s="152" t="s">
        <v>836</v>
      </c>
      <c r="D19" s="151" t="str">
        <f t="shared" si="0"/>
        <v>1</v>
      </c>
      <c r="E19" s="153" t="s">
        <v>837</v>
      </c>
      <c r="F19" s="151">
        <f t="shared" si="1"/>
        <v>1</v>
      </c>
      <c r="G19" s="151" t="str">
        <f t="shared" si="2"/>
        <v>1.1.1</v>
      </c>
      <c r="H19" s="154" t="s">
        <v>1295</v>
      </c>
      <c r="I19" s="159" t="s">
        <v>839</v>
      </c>
      <c r="J19" s="159" t="s">
        <v>151</v>
      </c>
      <c r="K19" s="159" t="s">
        <v>1311</v>
      </c>
      <c r="L19" s="160">
        <v>211.43</v>
      </c>
      <c r="M19" s="161">
        <v>22500</v>
      </c>
      <c r="N19" s="161">
        <v>1</v>
      </c>
      <c r="O19" s="164">
        <f t="shared" si="3"/>
        <v>4757175</v>
      </c>
      <c r="P19" s="161"/>
      <c r="Q19" s="161"/>
      <c r="R19" s="164">
        <f>$L19*'Pivot Objective'!$C$9*P19*Q19</f>
        <v>0</v>
      </c>
      <c r="S19" s="161">
        <v>22500</v>
      </c>
      <c r="T19" s="161">
        <v>1</v>
      </c>
      <c r="U19" s="164">
        <f>($L19*'Pivot Objective'!$C$9^2)*S19*T19</f>
        <v>6214148.4887952134</v>
      </c>
      <c r="V19" s="161"/>
      <c r="W19" s="161"/>
      <c r="X19" s="164">
        <f>($L19*'Pivot Objective'!$C$9^3)*V19*W19</f>
        <v>0</v>
      </c>
      <c r="Y19" s="161">
        <v>22500</v>
      </c>
      <c r="Z19" s="161">
        <v>1</v>
      </c>
      <c r="AA19" s="164">
        <f>($L19*'Pivot Objective'!$C$9^4)*Y19*Z19</f>
        <v>8117347.2577308668</v>
      </c>
      <c r="AB19" s="151"/>
      <c r="AC19" s="151"/>
      <c r="AD19" s="164">
        <f>($L19*'Pivot Objective'!$C$9^5)*AB19*AC19</f>
        <v>0</v>
      </c>
      <c r="AE19" s="161">
        <v>22500</v>
      </c>
      <c r="AF19" s="161">
        <v>1</v>
      </c>
      <c r="AG19" s="164">
        <f>($L19*'Pivot Objective'!$C$9^6)*AE19*AF19</f>
        <v>10603436.113797419</v>
      </c>
      <c r="AH19" s="151"/>
      <c r="AI19" s="151"/>
      <c r="AJ19" s="164">
        <f>($L19*'Pivot Objective'!$C$9^7)*AH19*AI19</f>
        <v>0</v>
      </c>
      <c r="AK19" s="185">
        <f t="shared" si="4"/>
        <v>29692106.8603235</v>
      </c>
      <c r="AL19" s="186">
        <f t="shared" si="5"/>
        <v>28827.288213906311</v>
      </c>
    </row>
    <row r="20" spans="1:38" ht="86.4" x14ac:dyDescent="0.3">
      <c r="A20" s="151" t="s">
        <v>1440</v>
      </c>
      <c r="B20" s="151">
        <v>1</v>
      </c>
      <c r="C20" s="152" t="s">
        <v>836</v>
      </c>
      <c r="D20" s="151" t="str">
        <f t="shared" si="0"/>
        <v>1</v>
      </c>
      <c r="E20" s="153" t="s">
        <v>837</v>
      </c>
      <c r="F20" s="151">
        <f t="shared" si="1"/>
        <v>1</v>
      </c>
      <c r="G20" s="151" t="str">
        <f t="shared" si="2"/>
        <v>1.1.1</v>
      </c>
      <c r="H20" s="154" t="s">
        <v>1295</v>
      </c>
      <c r="I20" s="159" t="s">
        <v>839</v>
      </c>
      <c r="J20" s="159" t="s">
        <v>151</v>
      </c>
      <c r="K20" s="159" t="s">
        <v>712</v>
      </c>
      <c r="L20" s="160">
        <f>1999/7</f>
        <v>285.57142857142856</v>
      </c>
      <c r="M20" s="161">
        <f>9*100</f>
        <v>900</v>
      </c>
      <c r="N20" s="161">
        <v>5</v>
      </c>
      <c r="O20" s="164">
        <f t="shared" si="3"/>
        <v>1285071.4285714286</v>
      </c>
      <c r="P20" s="161"/>
      <c r="Q20" s="161"/>
      <c r="R20" s="164">
        <f>$L20*'Pivot Objective'!$C$9*P20*Q20</f>
        <v>0</v>
      </c>
      <c r="S20" s="161">
        <f>9*100</f>
        <v>900</v>
      </c>
      <c r="T20" s="161">
        <v>5</v>
      </c>
      <c r="U20" s="164">
        <f>($L20*'Pivot Objective'!$C$9^2)*S20*T20</f>
        <v>1678648.499550899</v>
      </c>
      <c r="V20" s="161"/>
      <c r="W20" s="161"/>
      <c r="X20" s="164">
        <f>($L20*'Pivot Objective'!$C$9^3)*V20*W20</f>
        <v>0</v>
      </c>
      <c r="Y20" s="161">
        <f>9*100</f>
        <v>900</v>
      </c>
      <c r="Z20" s="161">
        <v>5</v>
      </c>
      <c r="AA20" s="164">
        <f>($L20*'Pivot Objective'!$C$9^4)*Y20*Z20</f>
        <v>2192765.8824202539</v>
      </c>
      <c r="AB20" s="151"/>
      <c r="AC20" s="151"/>
      <c r="AD20" s="164">
        <f>($L20*'Pivot Objective'!$C$9^5)*AB20*AC20</f>
        <v>0</v>
      </c>
      <c r="AE20" s="161">
        <f>9*100</f>
        <v>900</v>
      </c>
      <c r="AF20" s="161">
        <v>5</v>
      </c>
      <c r="AG20" s="164">
        <f>($L20*'Pivot Objective'!$C$9^6)*AE20*AF20</f>
        <v>2864341.293840047</v>
      </c>
      <c r="AH20" s="151"/>
      <c r="AI20" s="151"/>
      <c r="AJ20" s="164">
        <f>($L20*'Pivot Objective'!$C$9^7)*AH20*AI20</f>
        <v>0</v>
      </c>
      <c r="AK20" s="185">
        <f t="shared" si="4"/>
        <v>8020827.1043826286</v>
      </c>
      <c r="AL20" s="186">
        <f t="shared" si="5"/>
        <v>7787.2107809540084</v>
      </c>
    </row>
    <row r="21" spans="1:38" ht="86.4" x14ac:dyDescent="0.3">
      <c r="A21" s="151" t="s">
        <v>1440</v>
      </c>
      <c r="B21" s="151">
        <v>1</v>
      </c>
      <c r="C21" s="152" t="s">
        <v>836</v>
      </c>
      <c r="D21" s="151" t="str">
        <f t="shared" si="0"/>
        <v>1</v>
      </c>
      <c r="E21" s="153" t="s">
        <v>837</v>
      </c>
      <c r="F21" s="151">
        <f t="shared" si="1"/>
        <v>1</v>
      </c>
      <c r="G21" s="151" t="str">
        <f t="shared" si="2"/>
        <v>1.1.1</v>
      </c>
      <c r="H21" s="154" t="s">
        <v>1295</v>
      </c>
      <c r="I21" s="159" t="s">
        <v>839</v>
      </c>
      <c r="J21" s="159" t="s">
        <v>151</v>
      </c>
      <c r="K21" s="159" t="s">
        <v>714</v>
      </c>
      <c r="L21" s="160">
        <v>10000</v>
      </c>
      <c r="M21" s="161">
        <v>20</v>
      </c>
      <c r="N21" s="161">
        <v>1</v>
      </c>
      <c r="O21" s="164">
        <f t="shared" si="3"/>
        <v>200000</v>
      </c>
      <c r="P21" s="161"/>
      <c r="Q21" s="161"/>
      <c r="R21" s="164">
        <f>$L21*'Pivot Objective'!$C$9*P21*Q21</f>
        <v>0</v>
      </c>
      <c r="S21" s="161">
        <v>20</v>
      </c>
      <c r="T21" s="161">
        <v>1</v>
      </c>
      <c r="U21" s="164">
        <f>($L21*'Pivot Objective'!$C$9^2)*S21*T21</f>
        <v>261253.72679353665</v>
      </c>
      <c r="V21" s="161"/>
      <c r="W21" s="161"/>
      <c r="X21" s="164">
        <f>($L21*'Pivot Objective'!$C$9^3)*V21*W21</f>
        <v>0</v>
      </c>
      <c r="Y21" s="161">
        <v>20</v>
      </c>
      <c r="Z21" s="161">
        <v>1</v>
      </c>
      <c r="AA21" s="164">
        <f>($L21*'Pivot Objective'!$C$9^4)*Y21*Z21</f>
        <v>341267.54881755944</v>
      </c>
      <c r="AB21" s="151"/>
      <c r="AC21" s="151"/>
      <c r="AD21" s="164">
        <f>($L21*'Pivot Objective'!$C$9^5)*AB21*AC21</f>
        <v>0</v>
      </c>
      <c r="AE21" s="161">
        <v>20</v>
      </c>
      <c r="AF21" s="161">
        <v>1</v>
      </c>
      <c r="AG21" s="164">
        <f>($L21*'Pivot Objective'!$C$9^6)*AE21*AF21</f>
        <v>445787.09481141303</v>
      </c>
      <c r="AH21" s="151"/>
      <c r="AI21" s="151"/>
      <c r="AJ21" s="164">
        <f>($L21*'Pivot Objective'!$C$9^7)*AH21*AI21</f>
        <v>0</v>
      </c>
      <c r="AK21" s="185">
        <f t="shared" si="4"/>
        <v>1248308.370422509</v>
      </c>
      <c r="AL21" s="186">
        <f t="shared" si="5"/>
        <v>1211.9498741966106</v>
      </c>
    </row>
    <row r="22" spans="1:38" ht="86.4" x14ac:dyDescent="0.3">
      <c r="A22" s="151" t="s">
        <v>1440</v>
      </c>
      <c r="B22" s="151">
        <v>1</v>
      </c>
      <c r="C22" s="152" t="s">
        <v>836</v>
      </c>
      <c r="D22" s="151" t="str">
        <f t="shared" si="0"/>
        <v>1</v>
      </c>
      <c r="E22" s="153" t="s">
        <v>837</v>
      </c>
      <c r="F22" s="151">
        <f t="shared" si="1"/>
        <v>1</v>
      </c>
      <c r="G22" s="151" t="str">
        <f t="shared" si="2"/>
        <v>1.1.1</v>
      </c>
      <c r="H22" s="154" t="s">
        <v>1295</v>
      </c>
      <c r="I22" s="159" t="s">
        <v>839</v>
      </c>
      <c r="J22" s="159" t="s">
        <v>151</v>
      </c>
      <c r="K22" s="159" t="s">
        <v>715</v>
      </c>
      <c r="L22" s="160">
        <v>302000</v>
      </c>
      <c r="M22" s="161">
        <v>26</v>
      </c>
      <c r="N22" s="161">
        <v>1</v>
      </c>
      <c r="O22" s="164">
        <f t="shared" si="3"/>
        <v>7852000</v>
      </c>
      <c r="P22" s="161"/>
      <c r="Q22" s="161"/>
      <c r="R22" s="164">
        <f>$L22*'Pivot Objective'!$C$9*P22*Q22</f>
        <v>0</v>
      </c>
      <c r="S22" s="161">
        <v>26</v>
      </c>
      <c r="T22" s="161">
        <v>1</v>
      </c>
      <c r="U22" s="164">
        <f>($L22*'Pivot Objective'!$C$9^2)*S22*T22</f>
        <v>10256821.313914249</v>
      </c>
      <c r="V22" s="161"/>
      <c r="W22" s="161"/>
      <c r="X22" s="164">
        <f>($L22*'Pivot Objective'!$C$9^3)*V22*W22</f>
        <v>0</v>
      </c>
      <c r="Y22" s="161">
        <v>26</v>
      </c>
      <c r="Z22" s="161">
        <v>1</v>
      </c>
      <c r="AA22" s="164">
        <f>($L22*'Pivot Objective'!$C$9^4)*Y22*Z22</f>
        <v>13398163.966577383</v>
      </c>
      <c r="AB22" s="151"/>
      <c r="AC22" s="151"/>
      <c r="AD22" s="164">
        <f>($L22*'Pivot Objective'!$C$9^5)*AB22*AC22</f>
        <v>0</v>
      </c>
      <c r="AE22" s="161">
        <v>26</v>
      </c>
      <c r="AF22" s="161">
        <v>1</v>
      </c>
      <c r="AG22" s="164">
        <f>($L22*'Pivot Objective'!$C$9^6)*AE22*AF22</f>
        <v>17501601.342296075</v>
      </c>
      <c r="AH22" s="151"/>
      <c r="AI22" s="151"/>
      <c r="AJ22" s="164">
        <f>($L22*'Pivot Objective'!$C$9^7)*AH22*AI22</f>
        <v>0</v>
      </c>
      <c r="AK22" s="185">
        <f t="shared" si="4"/>
        <v>49008586.622787699</v>
      </c>
      <c r="AL22" s="186">
        <f t="shared" si="5"/>
        <v>47581.152060958928</v>
      </c>
    </row>
    <row r="23" spans="1:38" ht="86.4" x14ac:dyDescent="0.3">
      <c r="A23" s="151" t="s">
        <v>1440</v>
      </c>
      <c r="B23" s="151">
        <v>1</v>
      </c>
      <c r="C23" s="152" t="s">
        <v>836</v>
      </c>
      <c r="D23" s="151" t="str">
        <f t="shared" si="0"/>
        <v>1</v>
      </c>
      <c r="E23" s="153" t="s">
        <v>837</v>
      </c>
      <c r="F23" s="151">
        <f t="shared" si="1"/>
        <v>1</v>
      </c>
      <c r="G23" s="151" t="str">
        <f t="shared" si="2"/>
        <v>1.1.1</v>
      </c>
      <c r="H23" s="154" t="s">
        <v>1295</v>
      </c>
      <c r="I23" s="159" t="s">
        <v>839</v>
      </c>
      <c r="J23" s="159" t="s">
        <v>152</v>
      </c>
      <c r="K23" s="159" t="s">
        <v>709</v>
      </c>
      <c r="L23" s="160">
        <v>35000</v>
      </c>
      <c r="M23" s="161">
        <v>26</v>
      </c>
      <c r="N23" s="161">
        <v>5</v>
      </c>
      <c r="O23" s="164">
        <f t="shared" si="3"/>
        <v>4550000</v>
      </c>
      <c r="P23" s="161"/>
      <c r="Q23" s="161"/>
      <c r="R23" s="164">
        <f>$L23*'Pivot Objective'!$C$9*P23*Q23</f>
        <v>0</v>
      </c>
      <c r="S23" s="161">
        <v>26</v>
      </c>
      <c r="T23" s="161">
        <v>5</v>
      </c>
      <c r="U23" s="164">
        <f>($L23*'Pivot Objective'!$C$9^2)*S23*T23</f>
        <v>5943522.2845529579</v>
      </c>
      <c r="V23" s="161"/>
      <c r="W23" s="161"/>
      <c r="X23" s="164">
        <f>($L23*'Pivot Objective'!$C$9^3)*V23*W23</f>
        <v>0</v>
      </c>
      <c r="Y23" s="161">
        <v>26</v>
      </c>
      <c r="Z23" s="161">
        <v>5</v>
      </c>
      <c r="AA23" s="164">
        <f>($L23*'Pivot Objective'!$C$9^4)*Y23*Z23</f>
        <v>7763836.7355994778</v>
      </c>
      <c r="AB23" s="151"/>
      <c r="AC23" s="151"/>
      <c r="AD23" s="164">
        <f>($L23*'Pivot Objective'!$C$9^5)*AB23*AC23</f>
        <v>0</v>
      </c>
      <c r="AE23" s="161">
        <v>26</v>
      </c>
      <c r="AF23" s="161">
        <v>5</v>
      </c>
      <c r="AG23" s="164">
        <f>($L23*'Pivot Objective'!$C$9^6)*AE23*AF23</f>
        <v>10141656.406959645</v>
      </c>
      <c r="AH23" s="151"/>
      <c r="AI23" s="151"/>
      <c r="AJ23" s="164">
        <f>($L23*'Pivot Objective'!$C$9^7)*AH23*AI23</f>
        <v>0</v>
      </c>
      <c r="AK23" s="185">
        <f t="shared" si="4"/>
        <v>28399015.42711208</v>
      </c>
      <c r="AL23" s="186">
        <f t="shared" si="5"/>
        <v>27571.859637972895</v>
      </c>
    </row>
    <row r="24" spans="1:38" ht="86.4" x14ac:dyDescent="0.3">
      <c r="A24" s="151" t="s">
        <v>1440</v>
      </c>
      <c r="B24" s="151">
        <v>1</v>
      </c>
      <c r="C24" s="152" t="s">
        <v>836</v>
      </c>
      <c r="D24" s="151" t="str">
        <f t="shared" si="0"/>
        <v>1</v>
      </c>
      <c r="E24" s="153" t="s">
        <v>837</v>
      </c>
      <c r="F24" s="151">
        <f t="shared" si="1"/>
        <v>1</v>
      </c>
      <c r="G24" s="151" t="str">
        <f t="shared" si="2"/>
        <v>1.1.1</v>
      </c>
      <c r="H24" s="154" t="s">
        <v>1295</v>
      </c>
      <c r="I24" s="159" t="s">
        <v>839</v>
      </c>
      <c r="J24" s="159" t="s">
        <v>152</v>
      </c>
      <c r="K24" s="159" t="s">
        <v>712</v>
      </c>
      <c r="L24" s="160">
        <f>1999/7</f>
        <v>285.57142857142856</v>
      </c>
      <c r="M24" s="161">
        <f>2*9*25</f>
        <v>450</v>
      </c>
      <c r="N24" s="161">
        <v>5</v>
      </c>
      <c r="O24" s="164">
        <f t="shared" si="3"/>
        <v>642535.71428571432</v>
      </c>
      <c r="P24" s="161"/>
      <c r="Q24" s="161"/>
      <c r="R24" s="164">
        <f>$L24*'Pivot Objective'!$C$9*P24*Q24</f>
        <v>0</v>
      </c>
      <c r="S24" s="161">
        <f>2*9*25</f>
        <v>450</v>
      </c>
      <c r="T24" s="161">
        <v>5</v>
      </c>
      <c r="U24" s="164">
        <f>($L24*'Pivot Objective'!$C$9^2)*S24*T24</f>
        <v>839324.24977544951</v>
      </c>
      <c r="V24" s="161"/>
      <c r="W24" s="161"/>
      <c r="X24" s="164">
        <f>($L24*'Pivot Objective'!$C$9^3)*V24*W24</f>
        <v>0</v>
      </c>
      <c r="Y24" s="161">
        <f>2*9*25</f>
        <v>450</v>
      </c>
      <c r="Z24" s="161">
        <v>5</v>
      </c>
      <c r="AA24" s="164">
        <f>($L24*'Pivot Objective'!$C$9^4)*Y24*Z24</f>
        <v>1096382.941210127</v>
      </c>
      <c r="AB24" s="151"/>
      <c r="AC24" s="151"/>
      <c r="AD24" s="164">
        <f>($L24*'Pivot Objective'!$C$9^5)*AB24*AC24</f>
        <v>0</v>
      </c>
      <c r="AE24" s="161">
        <f>2*9*25</f>
        <v>450</v>
      </c>
      <c r="AF24" s="161">
        <v>5</v>
      </c>
      <c r="AG24" s="164">
        <f>($L24*'Pivot Objective'!$C$9^6)*AE24*AF24</f>
        <v>1432170.6469200235</v>
      </c>
      <c r="AH24" s="151"/>
      <c r="AI24" s="151"/>
      <c r="AJ24" s="164">
        <f>($L24*'Pivot Objective'!$C$9^7)*AH24*AI24</f>
        <v>0</v>
      </c>
      <c r="AK24" s="185">
        <f t="shared" si="4"/>
        <v>4010413.5521913143</v>
      </c>
      <c r="AL24" s="186">
        <f t="shared" si="5"/>
        <v>3893.6053904770042</v>
      </c>
    </row>
    <row r="25" spans="1:38" s="155" customFormat="1" ht="86.4" x14ac:dyDescent="0.3">
      <c r="A25" s="151" t="s">
        <v>1440</v>
      </c>
      <c r="B25" s="151">
        <v>1</v>
      </c>
      <c r="C25" s="153" t="s">
        <v>836</v>
      </c>
      <c r="D25" s="151" t="str">
        <f t="shared" si="0"/>
        <v>1</v>
      </c>
      <c r="E25" s="153" t="s">
        <v>837</v>
      </c>
      <c r="F25" s="151">
        <f t="shared" si="1"/>
        <v>1</v>
      </c>
      <c r="G25" s="151" t="str">
        <f t="shared" si="2"/>
        <v>1.1.1</v>
      </c>
      <c r="H25" s="154" t="s">
        <v>1295</v>
      </c>
      <c r="I25" s="159" t="s">
        <v>839</v>
      </c>
      <c r="J25" s="159" t="s">
        <v>152</v>
      </c>
      <c r="K25" s="159" t="s">
        <v>1312</v>
      </c>
      <c r="L25" s="160">
        <f>1999/7</f>
        <v>285.57142857142856</v>
      </c>
      <c r="M25" s="161">
        <f>150*2*9</f>
        <v>2700</v>
      </c>
      <c r="N25" s="161">
        <v>1</v>
      </c>
      <c r="O25" s="164">
        <f t="shared" si="3"/>
        <v>771042.85714285704</v>
      </c>
      <c r="P25" s="161"/>
      <c r="Q25" s="161"/>
      <c r="R25" s="164">
        <f>$L25*'Pivot Objective'!$C$9*P25*Q25</f>
        <v>0</v>
      </c>
      <c r="S25" s="161">
        <f>150*2*9</f>
        <v>2700</v>
      </c>
      <c r="T25" s="161">
        <v>1</v>
      </c>
      <c r="U25" s="164">
        <f>($L25*'Pivot Objective'!$C$9^2)*S25*T25</f>
        <v>1007189.0997305395</v>
      </c>
      <c r="V25" s="161"/>
      <c r="W25" s="161"/>
      <c r="X25" s="164">
        <f>($L25*'Pivot Objective'!$C$9^3)*V25*W25</f>
        <v>0</v>
      </c>
      <c r="Y25" s="161">
        <f>150*2*9</f>
        <v>2700</v>
      </c>
      <c r="Z25" s="161">
        <v>1</v>
      </c>
      <c r="AA25" s="164">
        <f>($L25*'Pivot Objective'!$C$9^4)*Y25*Z25</f>
        <v>1315659.5294521523</v>
      </c>
      <c r="AB25" s="151"/>
      <c r="AC25" s="151"/>
      <c r="AD25" s="164">
        <f>($L25*'Pivot Objective'!$C$9^5)*AB25*AC25</f>
        <v>0</v>
      </c>
      <c r="AE25" s="161">
        <f>150*2*9</f>
        <v>2700</v>
      </c>
      <c r="AF25" s="161">
        <v>1</v>
      </c>
      <c r="AG25" s="164">
        <f>($L25*'Pivot Objective'!$C$9^6)*AE25*AF25</f>
        <v>1718604.776304028</v>
      </c>
      <c r="AH25" s="151"/>
      <c r="AI25" s="151"/>
      <c r="AJ25" s="164">
        <f>($L25*'Pivot Objective'!$C$9^7)*AH25*AI25</f>
        <v>0</v>
      </c>
      <c r="AK25" s="185">
        <f t="shared" si="4"/>
        <v>4812496.262629577</v>
      </c>
      <c r="AL25" s="186">
        <f t="shared" si="5"/>
        <v>4672.3264685724052</v>
      </c>
    </row>
    <row r="26" spans="1:38" ht="86.4" x14ac:dyDescent="0.3">
      <c r="A26" s="151" t="s">
        <v>1440</v>
      </c>
      <c r="B26" s="151">
        <v>1</v>
      </c>
      <c r="C26" s="152" t="s">
        <v>836</v>
      </c>
      <c r="D26" s="151" t="str">
        <f t="shared" si="0"/>
        <v>1</v>
      </c>
      <c r="E26" s="153" t="s">
        <v>837</v>
      </c>
      <c r="F26" s="151">
        <f t="shared" si="1"/>
        <v>1</v>
      </c>
      <c r="G26" s="151" t="str">
        <f t="shared" si="2"/>
        <v>1.1.1</v>
      </c>
      <c r="H26" s="154" t="s">
        <v>1295</v>
      </c>
      <c r="I26" s="159" t="s">
        <v>839</v>
      </c>
      <c r="J26" s="159" t="s">
        <v>152</v>
      </c>
      <c r="K26" s="159" t="s">
        <v>716</v>
      </c>
      <c r="L26" s="160">
        <v>39000</v>
      </c>
      <c r="M26" s="161">
        <v>26</v>
      </c>
      <c r="N26" s="161">
        <v>6</v>
      </c>
      <c r="O26" s="164">
        <f t="shared" si="3"/>
        <v>6084000</v>
      </c>
      <c r="P26" s="161"/>
      <c r="Q26" s="161"/>
      <c r="R26" s="164">
        <f>$L26*'Pivot Objective'!$C$9*P26*Q26</f>
        <v>0</v>
      </c>
      <c r="S26" s="161">
        <v>26</v>
      </c>
      <c r="T26" s="161">
        <v>6</v>
      </c>
      <c r="U26" s="164">
        <f>($L26*'Pivot Objective'!$C$9^2)*S26*T26</f>
        <v>7947338.3690593839</v>
      </c>
      <c r="V26" s="161"/>
      <c r="W26" s="161"/>
      <c r="X26" s="164">
        <f>($L26*'Pivot Objective'!$C$9^3)*V26*W26</f>
        <v>0</v>
      </c>
      <c r="Y26" s="161">
        <v>26</v>
      </c>
      <c r="Z26" s="161">
        <v>6</v>
      </c>
      <c r="AA26" s="164">
        <f>($L26*'Pivot Objective'!$C$9^4)*Y26*Z26</f>
        <v>10381358.835030159</v>
      </c>
      <c r="AB26" s="151"/>
      <c r="AC26" s="151"/>
      <c r="AD26" s="164">
        <f>($L26*'Pivot Objective'!$C$9^5)*AB26*AC26</f>
        <v>0</v>
      </c>
      <c r="AE26" s="161">
        <v>26</v>
      </c>
      <c r="AF26" s="161">
        <v>6</v>
      </c>
      <c r="AG26" s="164">
        <f>($L26*'Pivot Objective'!$C$9^6)*AE26*AF26</f>
        <v>13560843.424163185</v>
      </c>
      <c r="AH26" s="151"/>
      <c r="AI26" s="151"/>
      <c r="AJ26" s="164">
        <f>($L26*'Pivot Objective'!$C$9^7)*AH26*AI26</f>
        <v>0</v>
      </c>
      <c r="AK26" s="185">
        <f t="shared" si="4"/>
        <v>37973540.62825273</v>
      </c>
      <c r="AL26" s="186">
        <f t="shared" si="5"/>
        <v>36867.5151730609</v>
      </c>
    </row>
    <row r="27" spans="1:38" ht="86.4" x14ac:dyDescent="0.3">
      <c r="A27" s="151" t="s">
        <v>1440</v>
      </c>
      <c r="B27" s="151">
        <v>1</v>
      </c>
      <c r="C27" s="152" t="s">
        <v>836</v>
      </c>
      <c r="D27" s="151" t="str">
        <f t="shared" si="0"/>
        <v>1</v>
      </c>
      <c r="E27" s="153" t="s">
        <v>837</v>
      </c>
      <c r="F27" s="151">
        <f t="shared" si="1"/>
        <v>1</v>
      </c>
      <c r="G27" s="151" t="str">
        <f t="shared" si="2"/>
        <v>1.1.1</v>
      </c>
      <c r="H27" s="154" t="s">
        <v>1295</v>
      </c>
      <c r="I27" s="159" t="s">
        <v>839</v>
      </c>
      <c r="J27" s="159" t="s">
        <v>847</v>
      </c>
      <c r="K27" s="159" t="s">
        <v>841</v>
      </c>
      <c r="L27" s="160">
        <v>0</v>
      </c>
      <c r="M27" s="161">
        <v>25</v>
      </c>
      <c r="N27" s="161">
        <v>5</v>
      </c>
      <c r="O27" s="164">
        <f t="shared" si="3"/>
        <v>0</v>
      </c>
      <c r="P27" s="161"/>
      <c r="Q27" s="161"/>
      <c r="R27" s="164">
        <f>$L27*'Pivot Objective'!$C$9*P27*Q27</f>
        <v>0</v>
      </c>
      <c r="S27" s="161">
        <v>25</v>
      </c>
      <c r="T27" s="161">
        <v>5</v>
      </c>
      <c r="U27" s="164">
        <f>($L27*'Pivot Objective'!$C$9^2)*S27*T27</f>
        <v>0</v>
      </c>
      <c r="V27" s="161"/>
      <c r="W27" s="161"/>
      <c r="X27" s="164">
        <f>($L27*'Pivot Objective'!$C$9^3)*V27*W27</f>
        <v>0</v>
      </c>
      <c r="Y27" s="161">
        <v>25</v>
      </c>
      <c r="Z27" s="161">
        <v>5</v>
      </c>
      <c r="AA27" s="164">
        <f>($L27*'Pivot Objective'!$C$9^4)*Y27*Z27</f>
        <v>0</v>
      </c>
      <c r="AB27" s="151"/>
      <c r="AC27" s="151"/>
      <c r="AD27" s="164">
        <f>($L27*'Pivot Objective'!$C$9^5)*AB27*AC27</f>
        <v>0</v>
      </c>
      <c r="AE27" s="161">
        <v>25</v>
      </c>
      <c r="AF27" s="161">
        <v>5</v>
      </c>
      <c r="AG27" s="164">
        <f>($L27*'Pivot Objective'!$C$9^6)*AE27*AF27</f>
        <v>0</v>
      </c>
      <c r="AH27" s="151"/>
      <c r="AI27" s="151"/>
      <c r="AJ27" s="164">
        <f>($L27*'Pivot Objective'!$C$9^7)*AH27*AI27</f>
        <v>0</v>
      </c>
      <c r="AK27" s="185">
        <f t="shared" si="4"/>
        <v>0</v>
      </c>
      <c r="AL27" s="186">
        <f t="shared" si="5"/>
        <v>0</v>
      </c>
    </row>
    <row r="28" spans="1:38" ht="86.4" x14ac:dyDescent="0.3">
      <c r="A28" s="151" t="s">
        <v>1440</v>
      </c>
      <c r="B28" s="151">
        <v>1</v>
      </c>
      <c r="C28" s="152" t="s">
        <v>836</v>
      </c>
      <c r="D28" s="151" t="str">
        <f t="shared" si="0"/>
        <v>1</v>
      </c>
      <c r="E28" s="153" t="s">
        <v>837</v>
      </c>
      <c r="F28" s="151">
        <f t="shared" si="1"/>
        <v>1</v>
      </c>
      <c r="G28" s="151" t="str">
        <f t="shared" si="2"/>
        <v>1.1.1</v>
      </c>
      <c r="H28" s="154" t="s">
        <v>1295</v>
      </c>
      <c r="I28" s="159" t="s">
        <v>839</v>
      </c>
      <c r="J28" s="159" t="s">
        <v>1298</v>
      </c>
      <c r="K28" s="159" t="s">
        <v>709</v>
      </c>
      <c r="L28" s="160">
        <v>35000</v>
      </c>
      <c r="M28" s="161">
        <v>75</v>
      </c>
      <c r="N28" s="161">
        <v>1</v>
      </c>
      <c r="O28" s="164">
        <f t="shared" si="3"/>
        <v>2625000</v>
      </c>
      <c r="P28" s="161"/>
      <c r="Q28" s="161"/>
      <c r="R28" s="164">
        <f>$L28*'Pivot Objective'!$C$9*P28*Q28</f>
        <v>0</v>
      </c>
      <c r="S28" s="161">
        <v>75</v>
      </c>
      <c r="T28" s="161">
        <v>1</v>
      </c>
      <c r="U28" s="164">
        <f>($L28*'Pivot Objective'!$C$9^2)*S28*T28</f>
        <v>3428955.1641651681</v>
      </c>
      <c r="V28" s="161"/>
      <c r="W28" s="161"/>
      <c r="X28" s="164">
        <f>($L28*'Pivot Objective'!$C$9^3)*V28*W28</f>
        <v>0</v>
      </c>
      <c r="Y28" s="161">
        <v>75</v>
      </c>
      <c r="Z28" s="161">
        <v>1</v>
      </c>
      <c r="AA28" s="164">
        <f>($L28*'Pivot Objective'!$C$9^4)*Y28*Z28</f>
        <v>4479136.5782304676</v>
      </c>
      <c r="AB28" s="151"/>
      <c r="AC28" s="151"/>
      <c r="AD28" s="164">
        <f>($L28*'Pivot Objective'!$C$9^5)*AB28*AC28</f>
        <v>0</v>
      </c>
      <c r="AE28" s="161">
        <v>75</v>
      </c>
      <c r="AF28" s="161">
        <v>1</v>
      </c>
      <c r="AG28" s="164">
        <f>($L28*'Pivot Objective'!$C$9^6)*AE28*AF28</f>
        <v>5850955.6193997953</v>
      </c>
      <c r="AH28" s="151"/>
      <c r="AI28" s="151"/>
      <c r="AJ28" s="164">
        <f>($L28*'Pivot Objective'!$C$9^7)*AH28*AI28</f>
        <v>0</v>
      </c>
      <c r="AK28" s="185">
        <f t="shared" si="4"/>
        <v>16384047.361795431</v>
      </c>
      <c r="AL28" s="186">
        <f t="shared" si="5"/>
        <v>15906.842098830515</v>
      </c>
    </row>
    <row r="29" spans="1:38" ht="86.4" x14ac:dyDescent="0.3">
      <c r="A29" s="151" t="s">
        <v>1440</v>
      </c>
      <c r="B29" s="151">
        <v>1</v>
      </c>
      <c r="C29" s="152" t="s">
        <v>836</v>
      </c>
      <c r="D29" s="151" t="str">
        <f t="shared" si="0"/>
        <v>1</v>
      </c>
      <c r="E29" s="153" t="s">
        <v>837</v>
      </c>
      <c r="F29" s="151">
        <f t="shared" si="1"/>
        <v>1</v>
      </c>
      <c r="G29" s="151" t="str">
        <f t="shared" si="2"/>
        <v>1.1.1</v>
      </c>
      <c r="H29" s="154" t="s">
        <v>1295</v>
      </c>
      <c r="I29" s="159" t="s">
        <v>839</v>
      </c>
      <c r="J29" s="159" t="s">
        <v>1298</v>
      </c>
      <c r="K29" s="159" t="s">
        <v>716</v>
      </c>
      <c r="L29" s="160">
        <v>39000</v>
      </c>
      <c r="M29" s="161">
        <v>58</v>
      </c>
      <c r="N29" s="161">
        <v>2</v>
      </c>
      <c r="O29" s="164">
        <f t="shared" si="3"/>
        <v>4524000</v>
      </c>
      <c r="P29" s="161"/>
      <c r="Q29" s="161"/>
      <c r="R29" s="164">
        <f>$L29*'Pivot Objective'!$C$9*P29*Q29</f>
        <v>0</v>
      </c>
      <c r="S29" s="161">
        <v>58</v>
      </c>
      <c r="T29" s="161">
        <v>2</v>
      </c>
      <c r="U29" s="164">
        <f>($L29*'Pivot Objective'!$C$9^2)*S29*T29</f>
        <v>5909559.3000697987</v>
      </c>
      <c r="V29" s="161"/>
      <c r="W29" s="161"/>
      <c r="X29" s="164">
        <f>($L29*'Pivot Objective'!$C$9^3)*V29*W29</f>
        <v>0</v>
      </c>
      <c r="Y29" s="161">
        <v>58</v>
      </c>
      <c r="Z29" s="161">
        <v>2</v>
      </c>
      <c r="AA29" s="164">
        <f>($L29*'Pivot Objective'!$C$9^4)*Y29*Z29</f>
        <v>7719471.9542531949</v>
      </c>
      <c r="AB29" s="151"/>
      <c r="AC29" s="151"/>
      <c r="AD29" s="164">
        <f>($L29*'Pivot Objective'!$C$9^5)*AB29*AC29</f>
        <v>0</v>
      </c>
      <c r="AE29" s="161">
        <v>58</v>
      </c>
      <c r="AF29" s="161">
        <v>2</v>
      </c>
      <c r="AG29" s="164">
        <f>($L29*'Pivot Objective'!$C$9^6)*AE29*AF29</f>
        <v>10083704.084634162</v>
      </c>
      <c r="AH29" s="151"/>
      <c r="AI29" s="151"/>
      <c r="AJ29" s="164">
        <f>($L29*'Pivot Objective'!$C$9^7)*AH29*AI29</f>
        <v>0</v>
      </c>
      <c r="AK29" s="185">
        <f t="shared" si="4"/>
        <v>28236735.338957153</v>
      </c>
      <c r="AL29" s="186">
        <f t="shared" si="5"/>
        <v>27414.306154327332</v>
      </c>
    </row>
    <row r="30" spans="1:38" ht="86.4" x14ac:dyDescent="0.3">
      <c r="A30" s="151" t="s">
        <v>1440</v>
      </c>
      <c r="B30" s="151">
        <v>1</v>
      </c>
      <c r="C30" s="152" t="s">
        <v>836</v>
      </c>
      <c r="D30" s="151" t="str">
        <f t="shared" si="0"/>
        <v>1</v>
      </c>
      <c r="E30" s="153" t="s">
        <v>837</v>
      </c>
      <c r="F30" s="151">
        <f t="shared" si="1"/>
        <v>1</v>
      </c>
      <c r="G30" s="151" t="str">
        <f t="shared" si="2"/>
        <v>1.1.1</v>
      </c>
      <c r="H30" s="154" t="s">
        <v>1295</v>
      </c>
      <c r="I30" s="159" t="s">
        <v>839</v>
      </c>
      <c r="J30" s="159" t="s">
        <v>154</v>
      </c>
      <c r="K30" s="159" t="s">
        <v>1297</v>
      </c>
      <c r="L30" s="160">
        <v>8000</v>
      </c>
      <c r="M30" s="161">
        <v>10</v>
      </c>
      <c r="N30" s="161">
        <v>1</v>
      </c>
      <c r="O30" s="164">
        <f t="shared" si="3"/>
        <v>80000</v>
      </c>
      <c r="P30" s="161"/>
      <c r="Q30" s="161"/>
      <c r="R30" s="164">
        <f>$L30*'Pivot Objective'!$C$9*P30*Q30</f>
        <v>0</v>
      </c>
      <c r="S30" s="161">
        <v>10</v>
      </c>
      <c r="T30" s="161">
        <v>1</v>
      </c>
      <c r="U30" s="164">
        <f>($L30*'Pivot Objective'!$C$9^2)*S30*T30</f>
        <v>104501.49071741465</v>
      </c>
      <c r="V30" s="161"/>
      <c r="W30" s="161"/>
      <c r="X30" s="164">
        <f>($L30*'Pivot Objective'!$C$9^3)*V30*W30</f>
        <v>0</v>
      </c>
      <c r="Y30" s="161">
        <v>10</v>
      </c>
      <c r="Z30" s="161">
        <v>1</v>
      </c>
      <c r="AA30" s="164">
        <f>($L30*'Pivot Objective'!$C$9^4)*Y30*Z30</f>
        <v>136507.01952702377</v>
      </c>
      <c r="AB30" s="151"/>
      <c r="AC30" s="151"/>
      <c r="AD30" s="164">
        <f>($L30*'Pivot Objective'!$C$9^5)*AB30*AC30</f>
        <v>0</v>
      </c>
      <c r="AE30" s="161">
        <v>10</v>
      </c>
      <c r="AF30" s="161">
        <v>1</v>
      </c>
      <c r="AG30" s="164">
        <f>($L30*'Pivot Objective'!$C$9^6)*AE30*AF30</f>
        <v>178314.83792456522</v>
      </c>
      <c r="AH30" s="151"/>
      <c r="AI30" s="151"/>
      <c r="AJ30" s="164">
        <f>($L30*'Pivot Objective'!$C$9^7)*AH30*AI30</f>
        <v>0</v>
      </c>
      <c r="AK30" s="185">
        <f t="shared" si="4"/>
        <v>499323.34816900361</v>
      </c>
      <c r="AL30" s="186">
        <f t="shared" si="5"/>
        <v>484.7799496786443</v>
      </c>
    </row>
    <row r="31" spans="1:38" ht="86.4" x14ac:dyDescent="0.3">
      <c r="A31" s="151" t="s">
        <v>1440</v>
      </c>
      <c r="B31" s="151">
        <v>1</v>
      </c>
      <c r="C31" s="152" t="s">
        <v>836</v>
      </c>
      <c r="D31" s="151" t="str">
        <f t="shared" si="0"/>
        <v>1</v>
      </c>
      <c r="E31" s="153" t="s">
        <v>837</v>
      </c>
      <c r="F31" s="151">
        <f t="shared" si="1"/>
        <v>1</v>
      </c>
      <c r="G31" s="151" t="str">
        <f t="shared" si="2"/>
        <v>1.1.1</v>
      </c>
      <c r="H31" s="154" t="s">
        <v>1295</v>
      </c>
      <c r="I31" s="159" t="s">
        <v>839</v>
      </c>
      <c r="J31" s="159" t="s">
        <v>154</v>
      </c>
      <c r="K31" s="159" t="s">
        <v>717</v>
      </c>
      <c r="L31" s="160">
        <v>104850</v>
      </c>
      <c r="M31" s="161">
        <v>1</v>
      </c>
      <c r="N31" s="161">
        <v>1</v>
      </c>
      <c r="O31" s="164">
        <f t="shared" si="3"/>
        <v>104850</v>
      </c>
      <c r="P31" s="161"/>
      <c r="Q31" s="161"/>
      <c r="R31" s="164">
        <f>$L31*'Pivot Objective'!$C$9*P31*Q31</f>
        <v>0</v>
      </c>
      <c r="S31" s="161">
        <v>1</v>
      </c>
      <c r="T31" s="161">
        <v>1</v>
      </c>
      <c r="U31" s="164">
        <f>($L31*'Pivot Objective'!$C$9^2)*S31*T31</f>
        <v>136962.26627151159</v>
      </c>
      <c r="V31" s="161"/>
      <c r="W31" s="161"/>
      <c r="X31" s="164">
        <f>($L31*'Pivot Objective'!$C$9^3)*V31*W31</f>
        <v>0</v>
      </c>
      <c r="Y31" s="161">
        <v>1</v>
      </c>
      <c r="Z31" s="161">
        <v>1</v>
      </c>
      <c r="AA31" s="164">
        <f>($L31*'Pivot Objective'!$C$9^4)*Y31*Z31</f>
        <v>178909.51246760553</v>
      </c>
      <c r="AB31" s="151"/>
      <c r="AC31" s="151"/>
      <c r="AD31" s="164">
        <f>($L31*'Pivot Objective'!$C$9^5)*AB31*AC31</f>
        <v>0</v>
      </c>
      <c r="AE31" s="161">
        <v>1</v>
      </c>
      <c r="AF31" s="161">
        <v>1</v>
      </c>
      <c r="AG31" s="164">
        <f>($L31*'Pivot Objective'!$C$9^6)*AE31*AF31</f>
        <v>233703.88445488326</v>
      </c>
      <c r="AH31" s="151"/>
      <c r="AI31" s="151"/>
      <c r="AJ31" s="164">
        <f>($L31*'Pivot Objective'!$C$9^7)*AH31*AI31</f>
        <v>0</v>
      </c>
      <c r="AK31" s="185">
        <f t="shared" si="4"/>
        <v>654425.66319400037</v>
      </c>
      <c r="AL31" s="186">
        <f t="shared" si="5"/>
        <v>635.36472154757314</v>
      </c>
    </row>
    <row r="32" spans="1:38" ht="86.4" x14ac:dyDescent="0.3">
      <c r="A32" s="151" t="s">
        <v>1440</v>
      </c>
      <c r="B32" s="151">
        <v>1</v>
      </c>
      <c r="C32" s="152" t="s">
        <v>836</v>
      </c>
      <c r="D32" s="151" t="str">
        <f t="shared" si="0"/>
        <v>1</v>
      </c>
      <c r="E32" s="153" t="s">
        <v>837</v>
      </c>
      <c r="F32" s="151">
        <f t="shared" si="1"/>
        <v>1</v>
      </c>
      <c r="G32" s="151" t="str">
        <f t="shared" si="2"/>
        <v>1.1.1</v>
      </c>
      <c r="H32" s="154" t="s">
        <v>1295</v>
      </c>
      <c r="I32" s="159" t="s">
        <v>839</v>
      </c>
      <c r="J32" s="159" t="s">
        <v>154</v>
      </c>
      <c r="K32" s="159" t="s">
        <v>1299</v>
      </c>
      <c r="L32" s="160">
        <f>1999/7</f>
        <v>285.57142857142856</v>
      </c>
      <c r="M32" s="161">
        <v>22500</v>
      </c>
      <c r="N32" s="161">
        <v>1</v>
      </c>
      <c r="O32" s="164">
        <f t="shared" si="3"/>
        <v>6425357.1428571427</v>
      </c>
      <c r="P32" s="161"/>
      <c r="Q32" s="161"/>
      <c r="R32" s="164">
        <f>$L32*'Pivot Objective'!$C$9*P32*Q32</f>
        <v>0</v>
      </c>
      <c r="S32" s="161">
        <v>22500</v>
      </c>
      <c r="T32" s="161">
        <v>1</v>
      </c>
      <c r="U32" s="164">
        <f>($L32*'Pivot Objective'!$C$9^2)*S32*T32</f>
        <v>8393242.4977544956</v>
      </c>
      <c r="V32" s="161"/>
      <c r="W32" s="161"/>
      <c r="X32" s="164">
        <f>($L32*'Pivot Objective'!$C$9^3)*V32*W32</f>
        <v>0</v>
      </c>
      <c r="Y32" s="161">
        <v>22500</v>
      </c>
      <c r="Z32" s="161">
        <v>1</v>
      </c>
      <c r="AA32" s="164">
        <f>($L32*'Pivot Objective'!$C$9^4)*Y32*Z32</f>
        <v>10963829.412101271</v>
      </c>
      <c r="AB32" s="151"/>
      <c r="AC32" s="151"/>
      <c r="AD32" s="164">
        <f>($L32*'Pivot Objective'!$C$9^5)*AB32*AC32</f>
        <v>0</v>
      </c>
      <c r="AE32" s="161">
        <v>22500</v>
      </c>
      <c r="AF32" s="161">
        <v>1</v>
      </c>
      <c r="AG32" s="164">
        <f>($L32*'Pivot Objective'!$C$9^6)*AE32*AF32</f>
        <v>14321706.469200233</v>
      </c>
      <c r="AH32" s="151"/>
      <c r="AI32" s="151"/>
      <c r="AJ32" s="164">
        <f>($L32*'Pivot Objective'!$C$9^7)*AH32*AI32</f>
        <v>0</v>
      </c>
      <c r="AK32" s="185">
        <f t="shared" si="4"/>
        <v>40104135.521913141</v>
      </c>
      <c r="AL32" s="186">
        <f t="shared" si="5"/>
        <v>38936.053904770037</v>
      </c>
    </row>
    <row r="33" spans="1:38" ht="86.4" x14ac:dyDescent="0.3">
      <c r="A33" s="151" t="s">
        <v>1440</v>
      </c>
      <c r="B33" s="151">
        <v>1</v>
      </c>
      <c r="C33" s="152" t="s">
        <v>836</v>
      </c>
      <c r="D33" s="151" t="str">
        <f t="shared" si="0"/>
        <v>1</v>
      </c>
      <c r="E33" s="153" t="s">
        <v>837</v>
      </c>
      <c r="F33" s="151">
        <f t="shared" si="1"/>
        <v>1</v>
      </c>
      <c r="G33" s="151" t="str">
        <f t="shared" si="2"/>
        <v>1.1.1</v>
      </c>
      <c r="H33" s="154" t="s">
        <v>1295</v>
      </c>
      <c r="I33" s="159" t="s">
        <v>839</v>
      </c>
      <c r="J33" s="159" t="s">
        <v>154</v>
      </c>
      <c r="K33" s="159" t="s">
        <v>712</v>
      </c>
      <c r="L33" s="160">
        <f>1999/7</f>
        <v>285.57142857142856</v>
      </c>
      <c r="M33" s="161">
        <v>60</v>
      </c>
      <c r="N33" s="161">
        <v>29</v>
      </c>
      <c r="O33" s="164">
        <f t="shared" si="3"/>
        <v>496894.28571428568</v>
      </c>
      <c r="P33" s="161"/>
      <c r="Q33" s="161"/>
      <c r="R33" s="164">
        <f>$L33*'Pivot Objective'!$C$9*P33*Q33</f>
        <v>0</v>
      </c>
      <c r="S33" s="161">
        <v>60</v>
      </c>
      <c r="T33" s="161">
        <v>29</v>
      </c>
      <c r="U33" s="164">
        <f>($L33*'Pivot Objective'!$C$9^2)*S33*T33</f>
        <v>649077.41982634761</v>
      </c>
      <c r="V33" s="161"/>
      <c r="W33" s="161"/>
      <c r="X33" s="164">
        <f>($L33*'Pivot Objective'!$C$9^3)*V33*W33</f>
        <v>0</v>
      </c>
      <c r="Y33" s="161">
        <v>60</v>
      </c>
      <c r="Z33" s="161">
        <v>29</v>
      </c>
      <c r="AA33" s="164">
        <f>($L33*'Pivot Objective'!$C$9^4)*Y33*Z33</f>
        <v>847869.47453583148</v>
      </c>
      <c r="AB33" s="151"/>
      <c r="AC33" s="151"/>
      <c r="AD33" s="164">
        <f>($L33*'Pivot Objective'!$C$9^5)*AB33*AC33</f>
        <v>0</v>
      </c>
      <c r="AE33" s="161">
        <v>60</v>
      </c>
      <c r="AF33" s="161">
        <v>29</v>
      </c>
      <c r="AG33" s="164">
        <f>($L33*'Pivot Objective'!$C$9^6)*AE33*AF33</f>
        <v>1107545.300284818</v>
      </c>
      <c r="AH33" s="151"/>
      <c r="AI33" s="151"/>
      <c r="AJ33" s="164">
        <f>($L33*'Pivot Objective'!$C$9^7)*AH33*AI33</f>
        <v>0</v>
      </c>
      <c r="AK33" s="185">
        <f t="shared" si="4"/>
        <v>3101386.4803612828</v>
      </c>
      <c r="AL33" s="186">
        <f t="shared" si="5"/>
        <v>3011.0548353022164</v>
      </c>
    </row>
    <row r="34" spans="1:38" ht="86.4" x14ac:dyDescent="0.3">
      <c r="A34" s="151" t="s">
        <v>1440</v>
      </c>
      <c r="B34" s="151">
        <v>1</v>
      </c>
      <c r="C34" s="152" t="s">
        <v>836</v>
      </c>
      <c r="D34" s="151" t="str">
        <f t="shared" si="0"/>
        <v>1</v>
      </c>
      <c r="E34" s="153" t="s">
        <v>837</v>
      </c>
      <c r="F34" s="151">
        <f t="shared" si="1"/>
        <v>1</v>
      </c>
      <c r="G34" s="151" t="str">
        <f t="shared" si="2"/>
        <v>1.1.1</v>
      </c>
      <c r="H34" s="154" t="s">
        <v>1295</v>
      </c>
      <c r="I34" s="159" t="s">
        <v>839</v>
      </c>
      <c r="J34" s="159" t="s">
        <v>848</v>
      </c>
      <c r="K34" s="159" t="s">
        <v>841</v>
      </c>
      <c r="L34" s="160">
        <v>0</v>
      </c>
      <c r="M34" s="161"/>
      <c r="N34" s="161"/>
      <c r="O34" s="164">
        <f t="shared" si="3"/>
        <v>0</v>
      </c>
      <c r="P34" s="161"/>
      <c r="Q34" s="161"/>
      <c r="R34" s="164">
        <f>$L34*'Pivot Objective'!$C$9*P34*Q34</f>
        <v>0</v>
      </c>
      <c r="S34" s="161"/>
      <c r="T34" s="161"/>
      <c r="U34" s="164">
        <f>($L34*'Pivot Objective'!$C$9^2)*S34*T34</f>
        <v>0</v>
      </c>
      <c r="V34" s="161"/>
      <c r="W34" s="161"/>
      <c r="X34" s="164">
        <f>($L34*'Pivot Objective'!$C$9^3)*V34*W34</f>
        <v>0</v>
      </c>
      <c r="Y34" s="161"/>
      <c r="Z34" s="161"/>
      <c r="AA34" s="164">
        <f>($L34*'Pivot Objective'!$C$9^4)*Y34*Z34</f>
        <v>0</v>
      </c>
      <c r="AB34" s="151"/>
      <c r="AC34" s="151"/>
      <c r="AD34" s="164">
        <f>($L34*'Pivot Objective'!$C$9^5)*AB34*AC34</f>
        <v>0</v>
      </c>
      <c r="AE34" s="161"/>
      <c r="AF34" s="161"/>
      <c r="AG34" s="164">
        <f>($L34*'Pivot Objective'!$C$9^6)*AE34*AF34</f>
        <v>0</v>
      </c>
      <c r="AH34" s="151"/>
      <c r="AI34" s="151"/>
      <c r="AJ34" s="164">
        <f>($L34*'Pivot Objective'!$C$9^7)*AH34*AI34</f>
        <v>0</v>
      </c>
      <c r="AK34" s="185">
        <f t="shared" si="4"/>
        <v>0</v>
      </c>
      <c r="AL34" s="186">
        <f t="shared" si="5"/>
        <v>0</v>
      </c>
    </row>
    <row r="35" spans="1:38" ht="57.6" x14ac:dyDescent="0.3">
      <c r="A35" s="151" t="s">
        <v>1440</v>
      </c>
      <c r="B35" s="151">
        <v>1</v>
      </c>
      <c r="C35" s="152" t="s">
        <v>836</v>
      </c>
      <c r="D35" s="151" t="str">
        <f t="shared" si="0"/>
        <v>1</v>
      </c>
      <c r="E35" s="153" t="s">
        <v>837</v>
      </c>
      <c r="F35" s="151">
        <f t="shared" si="1"/>
        <v>2</v>
      </c>
      <c r="G35" s="151" t="str">
        <f t="shared" si="2"/>
        <v>1.1.2</v>
      </c>
      <c r="H35" s="156" t="s">
        <v>1708</v>
      </c>
      <c r="I35" s="159" t="s">
        <v>850</v>
      </c>
      <c r="J35" s="159" t="s">
        <v>840</v>
      </c>
      <c r="K35" s="159" t="s">
        <v>841</v>
      </c>
      <c r="L35" s="160">
        <v>0</v>
      </c>
      <c r="M35" s="161">
        <v>0</v>
      </c>
      <c r="N35" s="161">
        <v>0</v>
      </c>
      <c r="O35" s="164">
        <f t="shared" si="3"/>
        <v>0</v>
      </c>
      <c r="P35" s="161">
        <v>0</v>
      </c>
      <c r="Q35" s="161">
        <v>0</v>
      </c>
      <c r="R35" s="164">
        <f>$L35*'Pivot Objective'!$C$9*P35*Q35</f>
        <v>0</v>
      </c>
      <c r="S35" s="161">
        <v>0</v>
      </c>
      <c r="T35" s="161">
        <v>0</v>
      </c>
      <c r="U35" s="164">
        <f>($L35*'Pivot Objective'!$C$9^2)*S35*T35</f>
        <v>0</v>
      </c>
      <c r="V35" s="161">
        <v>0</v>
      </c>
      <c r="W35" s="161">
        <v>0</v>
      </c>
      <c r="X35" s="164">
        <f>($L35*'Pivot Objective'!$C$9^3)*V35*W35</f>
        <v>0</v>
      </c>
      <c r="Y35" s="161">
        <v>0</v>
      </c>
      <c r="Z35" s="161">
        <v>0</v>
      </c>
      <c r="AA35" s="164">
        <f>($L35*'Pivot Objective'!$C$9^4)*Y35*Z35</f>
        <v>0</v>
      </c>
      <c r="AB35" s="161">
        <v>0</v>
      </c>
      <c r="AC35" s="161">
        <v>0</v>
      </c>
      <c r="AD35" s="164">
        <f>($L35*'Pivot Objective'!$C$9^5)*AB35*AC35</f>
        <v>0</v>
      </c>
      <c r="AE35" s="161">
        <v>0</v>
      </c>
      <c r="AF35" s="161">
        <v>0</v>
      </c>
      <c r="AG35" s="164">
        <f>($L35*'Pivot Objective'!$C$9^6)*AE35*AF35</f>
        <v>0</v>
      </c>
      <c r="AH35" s="161">
        <v>0</v>
      </c>
      <c r="AI35" s="161">
        <v>0</v>
      </c>
      <c r="AJ35" s="164">
        <f>($L35*'Pivot Objective'!$C$9^7)*AH35*AI35</f>
        <v>0</v>
      </c>
      <c r="AK35" s="185">
        <f t="shared" si="4"/>
        <v>0</v>
      </c>
      <c r="AL35" s="186">
        <f t="shared" si="5"/>
        <v>0</v>
      </c>
    </row>
    <row r="36" spans="1:38" ht="57.6" x14ac:dyDescent="0.3">
      <c r="A36" s="151" t="s">
        <v>1440</v>
      </c>
      <c r="B36" s="151">
        <v>1</v>
      </c>
      <c r="C36" s="152" t="s">
        <v>836</v>
      </c>
      <c r="D36" s="151" t="str">
        <f t="shared" si="0"/>
        <v>1</v>
      </c>
      <c r="E36" s="153" t="s">
        <v>837</v>
      </c>
      <c r="F36" s="151">
        <f t="shared" si="1"/>
        <v>2</v>
      </c>
      <c r="G36" s="151" t="str">
        <f t="shared" si="2"/>
        <v>1.1.2</v>
      </c>
      <c r="H36" s="156" t="s">
        <v>1708</v>
      </c>
      <c r="I36" s="159" t="s">
        <v>850</v>
      </c>
      <c r="J36" s="159" t="s">
        <v>842</v>
      </c>
      <c r="K36" s="159" t="s">
        <v>841</v>
      </c>
      <c r="L36" s="160">
        <v>0</v>
      </c>
      <c r="M36" s="161">
        <v>0</v>
      </c>
      <c r="N36" s="161">
        <v>0</v>
      </c>
      <c r="O36" s="164">
        <f t="shared" si="3"/>
        <v>0</v>
      </c>
      <c r="P36" s="161">
        <v>0</v>
      </c>
      <c r="Q36" s="161">
        <v>0</v>
      </c>
      <c r="R36" s="164">
        <f>$L36*'Pivot Objective'!$C$9*P36*Q36</f>
        <v>0</v>
      </c>
      <c r="S36" s="161">
        <v>0</v>
      </c>
      <c r="T36" s="161">
        <v>0</v>
      </c>
      <c r="U36" s="164">
        <f>($L36*'Pivot Objective'!$C$9^2)*S36*T36</f>
        <v>0</v>
      </c>
      <c r="V36" s="161">
        <v>0</v>
      </c>
      <c r="W36" s="161">
        <v>0</v>
      </c>
      <c r="X36" s="164">
        <f>($L36*'Pivot Objective'!$C$9^3)*V36*W36</f>
        <v>0</v>
      </c>
      <c r="Y36" s="161">
        <v>0</v>
      </c>
      <c r="Z36" s="161">
        <v>0</v>
      </c>
      <c r="AA36" s="164">
        <f>($L36*'Pivot Objective'!$C$9^4)*Y36*Z36</f>
        <v>0</v>
      </c>
      <c r="AB36" s="161">
        <v>0</v>
      </c>
      <c r="AC36" s="161">
        <v>0</v>
      </c>
      <c r="AD36" s="164">
        <f>($L36*'Pivot Objective'!$C$9^5)*AB36*AC36</f>
        <v>0</v>
      </c>
      <c r="AE36" s="161">
        <v>0</v>
      </c>
      <c r="AF36" s="161">
        <v>0</v>
      </c>
      <c r="AG36" s="164">
        <f>($L36*'Pivot Objective'!$C$9^6)*AE36*AF36</f>
        <v>0</v>
      </c>
      <c r="AH36" s="161">
        <v>0</v>
      </c>
      <c r="AI36" s="161">
        <v>0</v>
      </c>
      <c r="AJ36" s="164">
        <f>($L36*'Pivot Objective'!$C$9^7)*AH36*AI36</f>
        <v>0</v>
      </c>
      <c r="AK36" s="185">
        <f t="shared" si="4"/>
        <v>0</v>
      </c>
      <c r="AL36" s="186">
        <f t="shared" si="5"/>
        <v>0</v>
      </c>
    </row>
    <row r="37" spans="1:38" ht="57.6" x14ac:dyDescent="0.3">
      <c r="A37" s="151" t="s">
        <v>1440</v>
      </c>
      <c r="B37" s="151">
        <v>1</v>
      </c>
      <c r="C37" s="152" t="s">
        <v>836</v>
      </c>
      <c r="D37" s="151" t="str">
        <f t="shared" si="0"/>
        <v>1</v>
      </c>
      <c r="E37" s="153" t="s">
        <v>837</v>
      </c>
      <c r="F37" s="151">
        <f t="shared" si="1"/>
        <v>2</v>
      </c>
      <c r="G37" s="151" t="str">
        <f t="shared" si="2"/>
        <v>1.1.2</v>
      </c>
      <c r="H37" s="156" t="s">
        <v>1708</v>
      </c>
      <c r="I37" s="159" t="s">
        <v>850</v>
      </c>
      <c r="J37" s="159" t="s">
        <v>843</v>
      </c>
      <c r="K37" s="159" t="s">
        <v>709</v>
      </c>
      <c r="L37" s="160">
        <v>35000</v>
      </c>
      <c r="M37" s="161">
        <v>10</v>
      </c>
      <c r="N37" s="161">
        <v>1</v>
      </c>
      <c r="O37" s="164">
        <f t="shared" si="3"/>
        <v>350000</v>
      </c>
      <c r="P37" s="161">
        <v>0</v>
      </c>
      <c r="Q37" s="161">
        <v>0</v>
      </c>
      <c r="R37" s="164">
        <f>$L37*'Pivot Objective'!$C$9*P37*Q37</f>
        <v>0</v>
      </c>
      <c r="S37" s="161">
        <v>0</v>
      </c>
      <c r="T37" s="161">
        <v>0</v>
      </c>
      <c r="U37" s="164">
        <f>($L37*'Pivot Objective'!$C$9^2)*S37*T37</f>
        <v>0</v>
      </c>
      <c r="V37" s="161">
        <v>0</v>
      </c>
      <c r="W37" s="161">
        <v>0</v>
      </c>
      <c r="X37" s="164">
        <f>($L37*'Pivot Objective'!$C$9^3)*V37*W37</f>
        <v>0</v>
      </c>
      <c r="Y37" s="161">
        <v>10</v>
      </c>
      <c r="Z37" s="161">
        <v>1</v>
      </c>
      <c r="AA37" s="164">
        <f>($L37*'Pivot Objective'!$C$9^4)*Y37*Z37</f>
        <v>597218.21043072897</v>
      </c>
      <c r="AB37" s="161">
        <v>0</v>
      </c>
      <c r="AC37" s="161">
        <v>0</v>
      </c>
      <c r="AD37" s="164">
        <f>($L37*'Pivot Objective'!$C$9^5)*AB37*AC37</f>
        <v>0</v>
      </c>
      <c r="AE37" s="161">
        <v>0</v>
      </c>
      <c r="AF37" s="151">
        <v>0</v>
      </c>
      <c r="AG37" s="164">
        <f>($L37*'Pivot Objective'!$C$9^6)*AE37*AF37</f>
        <v>0</v>
      </c>
      <c r="AH37" s="151">
        <v>0</v>
      </c>
      <c r="AI37" s="151">
        <v>0</v>
      </c>
      <c r="AJ37" s="164">
        <f>($L37*'Pivot Objective'!$C$9^7)*AH37*AI37</f>
        <v>0</v>
      </c>
      <c r="AK37" s="185">
        <f t="shared" si="4"/>
        <v>947218.21043072897</v>
      </c>
      <c r="AL37" s="186">
        <f t="shared" si="5"/>
        <v>919.62933051527079</v>
      </c>
    </row>
    <row r="38" spans="1:38" ht="57.6" x14ac:dyDescent="0.3">
      <c r="A38" s="151" t="s">
        <v>1440</v>
      </c>
      <c r="B38" s="151">
        <v>1</v>
      </c>
      <c r="C38" s="152" t="s">
        <v>836</v>
      </c>
      <c r="D38" s="151" t="str">
        <f t="shared" si="0"/>
        <v>1</v>
      </c>
      <c r="E38" s="153" t="s">
        <v>837</v>
      </c>
      <c r="F38" s="151">
        <f t="shared" si="1"/>
        <v>2</v>
      </c>
      <c r="G38" s="151" t="str">
        <f t="shared" si="2"/>
        <v>1.1.2</v>
      </c>
      <c r="H38" s="156" t="s">
        <v>1708</v>
      </c>
      <c r="I38" s="159" t="s">
        <v>850</v>
      </c>
      <c r="J38" s="159" t="s">
        <v>149</v>
      </c>
      <c r="K38" s="159" t="s">
        <v>707</v>
      </c>
      <c r="L38" s="160">
        <v>391991.03749999998</v>
      </c>
      <c r="M38" s="161">
        <v>1</v>
      </c>
      <c r="N38" s="161">
        <v>1</v>
      </c>
      <c r="O38" s="164">
        <f t="shared" si="3"/>
        <v>391991.03749999998</v>
      </c>
      <c r="P38" s="161">
        <v>0</v>
      </c>
      <c r="Q38" s="161">
        <v>0</v>
      </c>
      <c r="R38" s="164">
        <f>$L38*'Pivot Objective'!$C$9*P38*Q38</f>
        <v>0</v>
      </c>
      <c r="S38" s="161">
        <v>0</v>
      </c>
      <c r="T38" s="161">
        <v>0</v>
      </c>
      <c r="U38" s="164">
        <f>($L38*'Pivot Objective'!$C$9^2)*S38*T38</f>
        <v>0</v>
      </c>
      <c r="V38" s="161">
        <v>0</v>
      </c>
      <c r="W38" s="161">
        <v>0</v>
      </c>
      <c r="X38" s="164">
        <f>($L38*'Pivot Objective'!$C$9^3)*V38*W38</f>
        <v>0</v>
      </c>
      <c r="Y38" s="161">
        <v>1</v>
      </c>
      <c r="Z38" s="161">
        <v>1</v>
      </c>
      <c r="AA38" s="164">
        <f>($L38*'Pivot Objective'!$C$9^4)*Y38*Z38</f>
        <v>668869.10263038508</v>
      </c>
      <c r="AB38" s="161">
        <v>0</v>
      </c>
      <c r="AC38" s="161">
        <v>0</v>
      </c>
      <c r="AD38" s="164">
        <f>($L38*'Pivot Objective'!$C$9^5)*AB38*AC38</f>
        <v>0</v>
      </c>
      <c r="AE38" s="161">
        <v>0</v>
      </c>
      <c r="AF38" s="161">
        <v>0</v>
      </c>
      <c r="AG38" s="164">
        <f>($L38*'Pivot Objective'!$C$9^6)*AE38*AF38</f>
        <v>0</v>
      </c>
      <c r="AH38" s="161">
        <v>0</v>
      </c>
      <c r="AI38" s="161">
        <v>0</v>
      </c>
      <c r="AJ38" s="164">
        <f>($L38*'Pivot Objective'!$C$9^7)*AH38*AI38</f>
        <v>0</v>
      </c>
      <c r="AK38" s="185">
        <f t="shared" si="4"/>
        <v>1060860.1401303851</v>
      </c>
      <c r="AL38" s="186">
        <f t="shared" si="5"/>
        <v>1029.9613010974613</v>
      </c>
    </row>
    <row r="39" spans="1:38" ht="57.6" x14ac:dyDescent="0.3">
      <c r="A39" s="151" t="s">
        <v>1440</v>
      </c>
      <c r="B39" s="151">
        <v>1</v>
      </c>
      <c r="C39" s="152" t="s">
        <v>836</v>
      </c>
      <c r="D39" s="151" t="str">
        <f t="shared" si="0"/>
        <v>1</v>
      </c>
      <c r="E39" s="153" t="s">
        <v>837</v>
      </c>
      <c r="F39" s="151">
        <f t="shared" si="1"/>
        <v>2</v>
      </c>
      <c r="G39" s="151" t="str">
        <f t="shared" si="2"/>
        <v>1.1.2</v>
      </c>
      <c r="H39" s="156" t="s">
        <v>1708</v>
      </c>
      <c r="I39" s="159" t="s">
        <v>850</v>
      </c>
      <c r="J39" s="159" t="s">
        <v>149</v>
      </c>
      <c r="K39" s="159" t="s">
        <v>708</v>
      </c>
      <c r="L39" s="160">
        <f>500*1022</f>
        <v>511000</v>
      </c>
      <c r="M39" s="161">
        <v>5</v>
      </c>
      <c r="N39" s="161">
        <v>45</v>
      </c>
      <c r="O39" s="164">
        <f t="shared" si="3"/>
        <v>114975000</v>
      </c>
      <c r="P39" s="161">
        <v>0</v>
      </c>
      <c r="Q39" s="161">
        <v>0</v>
      </c>
      <c r="R39" s="164">
        <f>$L39*'Pivot Objective'!$C$9*P39*Q39</f>
        <v>0</v>
      </c>
      <c r="S39" s="161">
        <v>0</v>
      </c>
      <c r="T39" s="161">
        <v>0</v>
      </c>
      <c r="U39" s="164">
        <f>($L39*'Pivot Objective'!$C$9^2)*S39*T39</f>
        <v>0</v>
      </c>
      <c r="V39" s="161">
        <v>0</v>
      </c>
      <c r="W39" s="161">
        <v>0</v>
      </c>
      <c r="X39" s="164">
        <f>($L39*'Pivot Objective'!$C$9^3)*V39*W39</f>
        <v>0</v>
      </c>
      <c r="Y39" s="161">
        <v>5</v>
      </c>
      <c r="Z39" s="161">
        <v>45</v>
      </c>
      <c r="AA39" s="164">
        <f>($L39*'Pivot Objective'!$C$9^4)*Y39*Z39</f>
        <v>196186182.12649447</v>
      </c>
      <c r="AB39" s="161">
        <v>0</v>
      </c>
      <c r="AC39" s="161">
        <v>0</v>
      </c>
      <c r="AD39" s="164">
        <f>($L39*'Pivot Objective'!$C$9^5)*AB39*AC39</f>
        <v>0</v>
      </c>
      <c r="AE39" s="161">
        <v>0</v>
      </c>
      <c r="AF39" s="161">
        <v>0</v>
      </c>
      <c r="AG39" s="164">
        <f>($L39*'Pivot Objective'!$C$9^6)*AE39*AF39</f>
        <v>0</v>
      </c>
      <c r="AH39" s="151"/>
      <c r="AI39" s="151"/>
      <c r="AJ39" s="164">
        <f>($L39*'Pivot Objective'!$C$9^7)*AH39*AI39</f>
        <v>0</v>
      </c>
      <c r="AK39" s="185">
        <f t="shared" si="4"/>
        <v>311161182.12649447</v>
      </c>
      <c r="AL39" s="186">
        <f t="shared" si="5"/>
        <v>302098.2350742665</v>
      </c>
    </row>
    <row r="40" spans="1:38" ht="57.6" x14ac:dyDescent="0.3">
      <c r="A40" s="151" t="s">
        <v>1440</v>
      </c>
      <c r="B40" s="151">
        <v>1</v>
      </c>
      <c r="C40" s="152" t="s">
        <v>836</v>
      </c>
      <c r="D40" s="151" t="str">
        <f t="shared" si="0"/>
        <v>1</v>
      </c>
      <c r="E40" s="153" t="s">
        <v>837</v>
      </c>
      <c r="F40" s="151">
        <f t="shared" si="1"/>
        <v>2</v>
      </c>
      <c r="G40" s="151" t="str">
        <f t="shared" si="2"/>
        <v>1.1.2</v>
      </c>
      <c r="H40" s="156" t="s">
        <v>1708</v>
      </c>
      <c r="I40" s="159" t="s">
        <v>850</v>
      </c>
      <c r="J40" s="159" t="s">
        <v>851</v>
      </c>
      <c r="K40" s="159" t="s">
        <v>841</v>
      </c>
      <c r="L40" s="160"/>
      <c r="M40" s="161">
        <v>0</v>
      </c>
      <c r="N40" s="161">
        <v>0</v>
      </c>
      <c r="O40" s="164">
        <f t="shared" si="3"/>
        <v>0</v>
      </c>
      <c r="P40" s="161">
        <v>0</v>
      </c>
      <c r="Q40" s="161">
        <v>0</v>
      </c>
      <c r="R40" s="164">
        <f>$L40*'Pivot Objective'!$C$9*P40*Q40</f>
        <v>0</v>
      </c>
      <c r="S40" s="161">
        <v>0</v>
      </c>
      <c r="T40" s="161">
        <v>0</v>
      </c>
      <c r="U40" s="164">
        <f>($L40*'Pivot Objective'!$C$9^2)*S40*T40</f>
        <v>0</v>
      </c>
      <c r="V40" s="161">
        <v>0</v>
      </c>
      <c r="W40" s="161">
        <v>0</v>
      </c>
      <c r="X40" s="164">
        <f>($L40*'Pivot Objective'!$C$9^3)*V40*W40</f>
        <v>0</v>
      </c>
      <c r="Y40" s="161">
        <v>0</v>
      </c>
      <c r="Z40" s="161">
        <v>0</v>
      </c>
      <c r="AA40" s="164">
        <f>($L40*'Pivot Objective'!$C$9^4)*Y40*Z40</f>
        <v>0</v>
      </c>
      <c r="AB40" s="161">
        <v>0</v>
      </c>
      <c r="AC40" s="161">
        <v>0</v>
      </c>
      <c r="AD40" s="164">
        <f>($L40*'Pivot Objective'!$C$9^5)*AB40*AC40</f>
        <v>0</v>
      </c>
      <c r="AE40" s="161">
        <v>0</v>
      </c>
      <c r="AF40" s="161">
        <v>0</v>
      </c>
      <c r="AG40" s="164">
        <f>($L40*'Pivot Objective'!$C$9^6)*AE40*AF40</f>
        <v>0</v>
      </c>
      <c r="AH40" s="161">
        <v>0</v>
      </c>
      <c r="AI40" s="161">
        <v>0</v>
      </c>
      <c r="AJ40" s="164">
        <f>($L40*'Pivot Objective'!$C$9^7)*AH40*AI40</f>
        <v>0</v>
      </c>
      <c r="AK40" s="185">
        <f t="shared" si="4"/>
        <v>0</v>
      </c>
      <c r="AL40" s="186">
        <f t="shared" si="5"/>
        <v>0</v>
      </c>
    </row>
    <row r="41" spans="1:38" ht="57.6" x14ac:dyDescent="0.3">
      <c r="A41" s="151" t="s">
        <v>1440</v>
      </c>
      <c r="B41" s="151">
        <v>1</v>
      </c>
      <c r="C41" s="152" t="s">
        <v>836</v>
      </c>
      <c r="D41" s="151" t="str">
        <f t="shared" si="0"/>
        <v>1</v>
      </c>
      <c r="E41" s="153" t="s">
        <v>837</v>
      </c>
      <c r="F41" s="151">
        <f t="shared" si="1"/>
        <v>2</v>
      </c>
      <c r="G41" s="151" t="str">
        <f t="shared" si="2"/>
        <v>1.1.2</v>
      </c>
      <c r="H41" s="156" t="s">
        <v>1708</v>
      </c>
      <c r="I41" s="159" t="s">
        <v>850</v>
      </c>
      <c r="J41" s="159" t="s">
        <v>1313</v>
      </c>
      <c r="K41" s="159" t="s">
        <v>709</v>
      </c>
      <c r="L41" s="160">
        <v>35000</v>
      </c>
      <c r="M41" s="161">
        <v>100</v>
      </c>
      <c r="N41" s="161">
        <v>12</v>
      </c>
      <c r="O41" s="164">
        <f t="shared" si="3"/>
        <v>42000000</v>
      </c>
      <c r="P41" s="161">
        <v>0</v>
      </c>
      <c r="Q41" s="161">
        <v>0</v>
      </c>
      <c r="R41" s="164">
        <f>$L41*'Pivot Objective'!$C$9*P41*Q41</f>
        <v>0</v>
      </c>
      <c r="S41" s="161">
        <v>0</v>
      </c>
      <c r="T41" s="161">
        <v>0</v>
      </c>
      <c r="U41" s="164">
        <f>($L41*'Pivot Objective'!$C$9^2)*S41*T41</f>
        <v>0</v>
      </c>
      <c r="V41" s="161">
        <v>0</v>
      </c>
      <c r="W41" s="161">
        <v>0</v>
      </c>
      <c r="X41" s="164">
        <f>($L41*'Pivot Objective'!$C$9^3)*V41*W41</f>
        <v>0</v>
      </c>
      <c r="Y41" s="161">
        <v>100</v>
      </c>
      <c r="Z41" s="161">
        <v>12</v>
      </c>
      <c r="AA41" s="164">
        <f>($L41*'Pivot Objective'!$C$9^4)*Y41*Z41</f>
        <v>71666185.251687482</v>
      </c>
      <c r="AB41" s="151"/>
      <c r="AC41" s="151"/>
      <c r="AD41" s="164">
        <f>($L41*'Pivot Objective'!$C$9^5)*AB41*AC41</f>
        <v>0</v>
      </c>
      <c r="AE41" s="151"/>
      <c r="AF41" s="151"/>
      <c r="AG41" s="164">
        <f>($L41*'Pivot Objective'!$C$9^6)*AE41*AF41</f>
        <v>0</v>
      </c>
      <c r="AH41" s="151"/>
      <c r="AI41" s="151"/>
      <c r="AJ41" s="164">
        <f>($L41*'Pivot Objective'!$C$9^7)*AH41*AI41</f>
        <v>0</v>
      </c>
      <c r="AK41" s="185">
        <f t="shared" si="4"/>
        <v>113666185.25168748</v>
      </c>
      <c r="AL41" s="186">
        <f t="shared" si="5"/>
        <v>110355.51966183251</v>
      </c>
    </row>
    <row r="42" spans="1:38" ht="57.6" x14ac:dyDescent="0.3">
      <c r="A42" s="151" t="s">
        <v>1440</v>
      </c>
      <c r="B42" s="151">
        <v>1</v>
      </c>
      <c r="C42" s="152" t="s">
        <v>836</v>
      </c>
      <c r="D42" s="151" t="str">
        <f t="shared" si="0"/>
        <v>1</v>
      </c>
      <c r="E42" s="153" t="s">
        <v>837</v>
      </c>
      <c r="F42" s="151">
        <f t="shared" si="1"/>
        <v>2</v>
      </c>
      <c r="G42" s="151" t="str">
        <f t="shared" si="2"/>
        <v>1.1.2</v>
      </c>
      <c r="H42" s="156" t="s">
        <v>1708</v>
      </c>
      <c r="I42" s="159" t="s">
        <v>850</v>
      </c>
      <c r="J42" s="159" t="s">
        <v>852</v>
      </c>
      <c r="K42" s="159" t="s">
        <v>716</v>
      </c>
      <c r="L42" s="160">
        <v>39000</v>
      </c>
      <c r="M42" s="161">
        <v>58</v>
      </c>
      <c r="N42" s="161">
        <v>15</v>
      </c>
      <c r="O42" s="164">
        <f t="shared" si="3"/>
        <v>33930000</v>
      </c>
      <c r="P42" s="161">
        <v>0</v>
      </c>
      <c r="Q42" s="161">
        <v>0</v>
      </c>
      <c r="R42" s="164">
        <f>$L42*'Pivot Objective'!$C$9*P42*Q42</f>
        <v>0</v>
      </c>
      <c r="S42" s="161">
        <v>0</v>
      </c>
      <c r="T42" s="161">
        <v>0</v>
      </c>
      <c r="U42" s="164">
        <f>($L42*'Pivot Objective'!$C$9^2)*S42*T42</f>
        <v>0</v>
      </c>
      <c r="V42" s="161">
        <v>0</v>
      </c>
      <c r="W42" s="161">
        <v>0</v>
      </c>
      <c r="X42" s="164">
        <f>($L42*'Pivot Objective'!$C$9^3)*V42*W42</f>
        <v>0</v>
      </c>
      <c r="Y42" s="161">
        <v>58</v>
      </c>
      <c r="Z42" s="161">
        <v>15</v>
      </c>
      <c r="AA42" s="164">
        <f>($L42*'Pivot Objective'!$C$9^4)*Y42*Z42</f>
        <v>57896039.65689896</v>
      </c>
      <c r="AB42" s="151"/>
      <c r="AC42" s="151"/>
      <c r="AD42" s="164">
        <f>($L42*'Pivot Objective'!$C$9^5)*AB42*AC42</f>
        <v>0</v>
      </c>
      <c r="AE42" s="151"/>
      <c r="AF42" s="151"/>
      <c r="AG42" s="164">
        <f>($L42*'Pivot Objective'!$C$9^6)*AE42*AF42</f>
        <v>0</v>
      </c>
      <c r="AH42" s="151"/>
      <c r="AI42" s="151"/>
      <c r="AJ42" s="164">
        <f>($L42*'Pivot Objective'!$C$9^7)*AH42*AI42</f>
        <v>0</v>
      </c>
      <c r="AK42" s="185">
        <f t="shared" si="4"/>
        <v>91826039.65689896</v>
      </c>
      <c r="AL42" s="186">
        <f t="shared" si="5"/>
        <v>89151.494812523262</v>
      </c>
    </row>
    <row r="43" spans="1:38" ht="57.6" x14ac:dyDescent="0.3">
      <c r="A43" s="151" t="s">
        <v>1440</v>
      </c>
      <c r="B43" s="151">
        <v>1</v>
      </c>
      <c r="C43" s="152" t="s">
        <v>836</v>
      </c>
      <c r="D43" s="151" t="str">
        <f t="shared" si="0"/>
        <v>1</v>
      </c>
      <c r="E43" s="153" t="s">
        <v>837</v>
      </c>
      <c r="F43" s="151">
        <f t="shared" si="1"/>
        <v>2</v>
      </c>
      <c r="G43" s="151" t="str">
        <f t="shared" si="2"/>
        <v>1.1.2</v>
      </c>
      <c r="H43" s="156" t="s">
        <v>1708</v>
      </c>
      <c r="I43" s="159" t="s">
        <v>850</v>
      </c>
      <c r="J43" s="159" t="s">
        <v>1313</v>
      </c>
      <c r="K43" s="159" t="s">
        <v>1315</v>
      </c>
      <c r="L43" s="160">
        <f>1999/7</f>
        <v>285.57142857142856</v>
      </c>
      <c r="M43" s="161">
        <v>22500</v>
      </c>
      <c r="N43" s="161">
        <v>1</v>
      </c>
      <c r="O43" s="164">
        <f t="shared" si="3"/>
        <v>6425357.1428571427</v>
      </c>
      <c r="P43" s="161">
        <v>0</v>
      </c>
      <c r="Q43" s="161">
        <v>0</v>
      </c>
      <c r="R43" s="164">
        <f>$L43*'Pivot Objective'!$C$9*P43*Q43</f>
        <v>0</v>
      </c>
      <c r="S43" s="161">
        <v>0</v>
      </c>
      <c r="T43" s="161">
        <v>0</v>
      </c>
      <c r="U43" s="164">
        <f>($L43*'Pivot Objective'!$C$9^2)*S43*T43</f>
        <v>0</v>
      </c>
      <c r="V43" s="161">
        <v>0</v>
      </c>
      <c r="W43" s="161">
        <v>0</v>
      </c>
      <c r="X43" s="164">
        <f>($L43*'Pivot Objective'!$C$9^3)*V43*W43</f>
        <v>0</v>
      </c>
      <c r="Y43" s="161">
        <v>22500</v>
      </c>
      <c r="Z43" s="161">
        <v>1</v>
      </c>
      <c r="AA43" s="164">
        <f>($L43*'Pivot Objective'!$C$9^4)*Y43*Z43</f>
        <v>10963829.412101271</v>
      </c>
      <c r="AB43" s="161">
        <v>0</v>
      </c>
      <c r="AC43" s="161">
        <v>0</v>
      </c>
      <c r="AD43" s="164">
        <f>($L43*'Pivot Objective'!$C$9^5)*AB43*AC43</f>
        <v>0</v>
      </c>
      <c r="AE43" s="161">
        <v>0</v>
      </c>
      <c r="AF43" s="161">
        <v>0</v>
      </c>
      <c r="AG43" s="164">
        <f>($L43*'Pivot Objective'!$C$9^6)*AE43*AF43</f>
        <v>0</v>
      </c>
      <c r="AH43" s="161">
        <v>0</v>
      </c>
      <c r="AI43" s="161">
        <v>0</v>
      </c>
      <c r="AJ43" s="164">
        <f>($L43*'Pivot Objective'!$C$9^7)*AH43*AI43</f>
        <v>0</v>
      </c>
      <c r="AK43" s="185">
        <f t="shared" si="4"/>
        <v>17389186.554958414</v>
      </c>
      <c r="AL43" s="186">
        <f t="shared" si="5"/>
        <v>16882.705393163509</v>
      </c>
    </row>
    <row r="44" spans="1:38" ht="57.6" x14ac:dyDescent="0.3">
      <c r="A44" s="151" t="s">
        <v>1440</v>
      </c>
      <c r="B44" s="151">
        <v>1</v>
      </c>
      <c r="C44" s="152" t="s">
        <v>836</v>
      </c>
      <c r="D44" s="151" t="str">
        <f t="shared" si="0"/>
        <v>1</v>
      </c>
      <c r="E44" s="153" t="s">
        <v>837</v>
      </c>
      <c r="F44" s="151">
        <f t="shared" si="1"/>
        <v>2</v>
      </c>
      <c r="G44" s="151" t="str">
        <f t="shared" si="2"/>
        <v>1.1.2</v>
      </c>
      <c r="H44" s="156" t="s">
        <v>1708</v>
      </c>
      <c r="I44" s="159" t="s">
        <v>850</v>
      </c>
      <c r="J44" s="159" t="s">
        <v>852</v>
      </c>
      <c r="K44" s="159" t="s">
        <v>1314</v>
      </c>
      <c r="L44" s="160">
        <f>1999/7</f>
        <v>285.57142857142856</v>
      </c>
      <c r="M44" s="161">
        <f>2*29*25</f>
        <v>1450</v>
      </c>
      <c r="N44" s="161">
        <v>2</v>
      </c>
      <c r="O44" s="164">
        <f t="shared" si="3"/>
        <v>828157.14285714284</v>
      </c>
      <c r="P44" s="161">
        <v>0</v>
      </c>
      <c r="Q44" s="161">
        <v>0</v>
      </c>
      <c r="R44" s="164">
        <f>$L44*'Pivot Objective'!$C$9*P44*Q44</f>
        <v>0</v>
      </c>
      <c r="S44" s="161">
        <v>0</v>
      </c>
      <c r="T44" s="161">
        <v>0</v>
      </c>
      <c r="U44" s="164">
        <f>($L44*'Pivot Objective'!$C$9^2)*S44*T44</f>
        <v>0</v>
      </c>
      <c r="V44" s="161">
        <v>0</v>
      </c>
      <c r="W44" s="161">
        <v>0</v>
      </c>
      <c r="X44" s="164">
        <f>($L44*'Pivot Objective'!$C$9^3)*V44*W44</f>
        <v>0</v>
      </c>
      <c r="Y44" s="161">
        <f>2*29*25</f>
        <v>1450</v>
      </c>
      <c r="Z44" s="161">
        <v>2</v>
      </c>
      <c r="AA44" s="164">
        <f>($L44*'Pivot Objective'!$C$9^4)*Y44*Z44</f>
        <v>1413115.7908930525</v>
      </c>
      <c r="AB44" s="151"/>
      <c r="AC44" s="151"/>
      <c r="AD44" s="164">
        <f>($L44*'Pivot Objective'!$C$9^5)*AB44*AC44</f>
        <v>0</v>
      </c>
      <c r="AE44" s="151"/>
      <c r="AF44" s="151"/>
      <c r="AG44" s="164">
        <f>($L44*'Pivot Objective'!$C$9^6)*AE44*AF44</f>
        <v>0</v>
      </c>
      <c r="AH44" s="151"/>
      <c r="AI44" s="151"/>
      <c r="AJ44" s="164">
        <f>($L44*'Pivot Objective'!$C$9^7)*AH44*AI44</f>
        <v>0</v>
      </c>
      <c r="AK44" s="185">
        <f t="shared" si="4"/>
        <v>2241272.9337501954</v>
      </c>
      <c r="AL44" s="186">
        <f t="shared" si="5"/>
        <v>2175.9931395632966</v>
      </c>
    </row>
    <row r="45" spans="1:38" ht="57.6" x14ac:dyDescent="0.3">
      <c r="A45" s="151" t="s">
        <v>1440</v>
      </c>
      <c r="B45" s="151">
        <v>1</v>
      </c>
      <c r="C45" s="152" t="s">
        <v>836</v>
      </c>
      <c r="D45" s="151" t="str">
        <f t="shared" si="0"/>
        <v>1</v>
      </c>
      <c r="E45" s="153" t="s">
        <v>837</v>
      </c>
      <c r="F45" s="151">
        <f t="shared" si="1"/>
        <v>2</v>
      </c>
      <c r="G45" s="151" t="str">
        <f t="shared" si="2"/>
        <v>1.1.2</v>
      </c>
      <c r="H45" s="156" t="s">
        <v>1708</v>
      </c>
      <c r="I45" s="159" t="s">
        <v>850</v>
      </c>
      <c r="J45" s="159" t="s">
        <v>853</v>
      </c>
      <c r="K45" s="159" t="s">
        <v>709</v>
      </c>
      <c r="L45" s="160">
        <v>35000</v>
      </c>
      <c r="M45" s="161">
        <v>100</v>
      </c>
      <c r="N45" s="161">
        <v>1</v>
      </c>
      <c r="O45" s="164">
        <f t="shared" si="3"/>
        <v>3500000</v>
      </c>
      <c r="P45" s="161">
        <v>0</v>
      </c>
      <c r="Q45" s="161">
        <v>0</v>
      </c>
      <c r="R45" s="164">
        <f>$L45*'Pivot Objective'!$C$9*P45*Q45</f>
        <v>0</v>
      </c>
      <c r="S45" s="161">
        <v>0</v>
      </c>
      <c r="T45" s="161">
        <v>0</v>
      </c>
      <c r="U45" s="164">
        <f>($L45*'Pivot Objective'!$C$9^2)*S45*T45</f>
        <v>0</v>
      </c>
      <c r="V45" s="161">
        <v>0</v>
      </c>
      <c r="W45" s="161">
        <v>0</v>
      </c>
      <c r="X45" s="164">
        <f>($L45*'Pivot Objective'!$C$9^3)*V45*W45</f>
        <v>0</v>
      </c>
      <c r="Y45" s="161">
        <v>100</v>
      </c>
      <c r="Z45" s="161">
        <v>1</v>
      </c>
      <c r="AA45" s="164">
        <f>($L45*'Pivot Objective'!$C$9^4)*Y45*Z45</f>
        <v>5972182.1043072902</v>
      </c>
      <c r="AB45" s="151"/>
      <c r="AC45" s="151"/>
      <c r="AD45" s="164">
        <f>($L45*'Pivot Objective'!$C$9^5)*AB45*AC45</f>
        <v>0</v>
      </c>
      <c r="AE45" s="151"/>
      <c r="AF45" s="151"/>
      <c r="AG45" s="164">
        <f>($L45*'Pivot Objective'!$C$9^6)*AE45*AF45</f>
        <v>0</v>
      </c>
      <c r="AH45" s="151"/>
      <c r="AI45" s="151"/>
      <c r="AJ45" s="164">
        <f>($L45*'Pivot Objective'!$C$9^7)*AH45*AI45</f>
        <v>0</v>
      </c>
      <c r="AK45" s="185">
        <f t="shared" si="4"/>
        <v>9472182.1043072902</v>
      </c>
      <c r="AL45" s="186">
        <f t="shared" si="5"/>
        <v>9196.2933051527089</v>
      </c>
    </row>
    <row r="46" spans="1:38" ht="57.6" x14ac:dyDescent="0.3">
      <c r="A46" s="151" t="s">
        <v>1440</v>
      </c>
      <c r="B46" s="151">
        <v>1</v>
      </c>
      <c r="C46" s="152" t="s">
        <v>836</v>
      </c>
      <c r="D46" s="151" t="str">
        <f t="shared" si="0"/>
        <v>1</v>
      </c>
      <c r="E46" s="153" t="s">
        <v>837</v>
      </c>
      <c r="F46" s="151">
        <f t="shared" si="1"/>
        <v>2</v>
      </c>
      <c r="G46" s="151" t="str">
        <f t="shared" si="2"/>
        <v>1.1.2</v>
      </c>
      <c r="H46" s="156" t="s">
        <v>1708</v>
      </c>
      <c r="I46" s="159" t="s">
        <v>850</v>
      </c>
      <c r="J46" s="159" t="s">
        <v>853</v>
      </c>
      <c r="K46" s="159" t="s">
        <v>716</v>
      </c>
      <c r="L46" s="160">
        <v>39000</v>
      </c>
      <c r="M46" s="161">
        <v>58</v>
      </c>
      <c r="N46" s="161">
        <v>2</v>
      </c>
      <c r="O46" s="164">
        <f t="shared" si="3"/>
        <v>4524000</v>
      </c>
      <c r="P46" s="161">
        <v>0</v>
      </c>
      <c r="Q46" s="161">
        <v>0</v>
      </c>
      <c r="R46" s="164">
        <f>$L46*'Pivot Objective'!$C$9*P46*Q46</f>
        <v>0</v>
      </c>
      <c r="S46" s="161">
        <v>0</v>
      </c>
      <c r="T46" s="161">
        <v>0</v>
      </c>
      <c r="U46" s="164">
        <f>($L46*'Pivot Objective'!$C$9^2)*S46*T46</f>
        <v>0</v>
      </c>
      <c r="V46" s="161">
        <v>0</v>
      </c>
      <c r="W46" s="161">
        <v>0</v>
      </c>
      <c r="X46" s="164">
        <f>($L46*'Pivot Objective'!$C$9^3)*V46*W46</f>
        <v>0</v>
      </c>
      <c r="Y46" s="161">
        <v>58</v>
      </c>
      <c r="Z46" s="161">
        <v>2</v>
      </c>
      <c r="AA46" s="164">
        <f>($L46*'Pivot Objective'!$C$9^4)*Y46*Z46</f>
        <v>7719471.9542531949</v>
      </c>
      <c r="AB46" s="151"/>
      <c r="AC46" s="151"/>
      <c r="AD46" s="164">
        <f>($L46*'Pivot Objective'!$C$9^5)*AB46*AC46</f>
        <v>0</v>
      </c>
      <c r="AE46" s="151"/>
      <c r="AF46" s="151"/>
      <c r="AG46" s="164">
        <f>($L46*'Pivot Objective'!$C$9^6)*AE46*AF46</f>
        <v>0</v>
      </c>
      <c r="AH46" s="151"/>
      <c r="AI46" s="151"/>
      <c r="AJ46" s="164">
        <f>($L46*'Pivot Objective'!$C$9^7)*AH46*AI46</f>
        <v>0</v>
      </c>
      <c r="AK46" s="185">
        <f t="shared" si="4"/>
        <v>12243471.954253195</v>
      </c>
      <c r="AL46" s="186">
        <f t="shared" si="5"/>
        <v>11886.865975003102</v>
      </c>
    </row>
    <row r="47" spans="1:38" ht="57.6" x14ac:dyDescent="0.3">
      <c r="A47" s="151" t="s">
        <v>1440</v>
      </c>
      <c r="B47" s="151">
        <v>1</v>
      </c>
      <c r="C47" s="152" t="s">
        <v>836</v>
      </c>
      <c r="D47" s="151" t="str">
        <f t="shared" si="0"/>
        <v>1</v>
      </c>
      <c r="E47" s="153" t="s">
        <v>837</v>
      </c>
      <c r="F47" s="151">
        <f t="shared" si="1"/>
        <v>2</v>
      </c>
      <c r="G47" s="151" t="str">
        <f t="shared" si="2"/>
        <v>1.1.2</v>
      </c>
      <c r="H47" s="156" t="s">
        <v>1708</v>
      </c>
      <c r="I47" s="159" t="s">
        <v>850</v>
      </c>
      <c r="J47" s="159" t="s">
        <v>854</v>
      </c>
      <c r="K47" s="159" t="s">
        <v>1297</v>
      </c>
      <c r="L47" s="160">
        <v>8000</v>
      </c>
      <c r="M47" s="161">
        <v>10</v>
      </c>
      <c r="N47" s="161">
        <v>2</v>
      </c>
      <c r="O47" s="164">
        <f t="shared" si="3"/>
        <v>160000</v>
      </c>
      <c r="P47" s="161">
        <v>0</v>
      </c>
      <c r="Q47" s="161">
        <v>0</v>
      </c>
      <c r="R47" s="164">
        <f>$L47*'Pivot Objective'!$C$9*P47*Q47</f>
        <v>0</v>
      </c>
      <c r="S47" s="161">
        <v>0</v>
      </c>
      <c r="T47" s="161">
        <v>0</v>
      </c>
      <c r="U47" s="164">
        <f>($L47*'Pivot Objective'!$C$9^2)*S47*T47</f>
        <v>0</v>
      </c>
      <c r="V47" s="161">
        <v>0</v>
      </c>
      <c r="W47" s="161">
        <v>0</v>
      </c>
      <c r="X47" s="164">
        <f>($L47*'Pivot Objective'!$C$9^3)*V47*W47</f>
        <v>0</v>
      </c>
      <c r="Y47" s="161">
        <v>10</v>
      </c>
      <c r="Z47" s="161">
        <v>2</v>
      </c>
      <c r="AA47" s="164">
        <f>($L47*'Pivot Objective'!$C$9^4)*Y47*Z47</f>
        <v>273014.03905404755</v>
      </c>
      <c r="AB47" s="151"/>
      <c r="AC47" s="151"/>
      <c r="AD47" s="164">
        <f>($L47*'Pivot Objective'!$C$9^5)*AB47*AC47</f>
        <v>0</v>
      </c>
      <c r="AE47" s="151"/>
      <c r="AF47" s="151"/>
      <c r="AG47" s="164">
        <f>($L47*'Pivot Objective'!$C$9^6)*AE47*AF47</f>
        <v>0</v>
      </c>
      <c r="AH47" s="151"/>
      <c r="AI47" s="151"/>
      <c r="AJ47" s="164">
        <f>($L47*'Pivot Objective'!$C$9^7)*AH47*AI47</f>
        <v>0</v>
      </c>
      <c r="AK47" s="185">
        <f t="shared" si="4"/>
        <v>433014.03905404755</v>
      </c>
      <c r="AL47" s="186">
        <f t="shared" si="5"/>
        <v>420.40197966412381</v>
      </c>
    </row>
    <row r="48" spans="1:38" ht="57.6" x14ac:dyDescent="0.3">
      <c r="A48" s="151" t="s">
        <v>1440</v>
      </c>
      <c r="B48" s="151">
        <v>1</v>
      </c>
      <c r="C48" s="152" t="s">
        <v>836</v>
      </c>
      <c r="D48" s="151" t="str">
        <f t="shared" si="0"/>
        <v>1</v>
      </c>
      <c r="E48" s="153" t="s">
        <v>837</v>
      </c>
      <c r="F48" s="151">
        <f t="shared" si="1"/>
        <v>2</v>
      </c>
      <c r="G48" s="151" t="str">
        <f t="shared" si="2"/>
        <v>1.1.2</v>
      </c>
      <c r="H48" s="156" t="s">
        <v>1708</v>
      </c>
      <c r="I48" s="159" t="s">
        <v>850</v>
      </c>
      <c r="J48" s="159" t="s">
        <v>854</v>
      </c>
      <c r="K48" s="159" t="s">
        <v>710</v>
      </c>
      <c r="L48" s="160">
        <v>104850</v>
      </c>
      <c r="M48" s="161">
        <v>1</v>
      </c>
      <c r="N48" s="161">
        <v>1</v>
      </c>
      <c r="O48" s="164">
        <f t="shared" si="3"/>
        <v>104850</v>
      </c>
      <c r="P48" s="161">
        <v>0</v>
      </c>
      <c r="Q48" s="161">
        <v>0</v>
      </c>
      <c r="R48" s="164">
        <f>$L48*'Pivot Objective'!$C$9*P48*Q48</f>
        <v>0</v>
      </c>
      <c r="S48" s="161">
        <v>0</v>
      </c>
      <c r="T48" s="161">
        <v>0</v>
      </c>
      <c r="U48" s="164">
        <f>($L48*'Pivot Objective'!$C$9^2)*S48*T48</f>
        <v>0</v>
      </c>
      <c r="V48" s="161">
        <v>0</v>
      </c>
      <c r="W48" s="161">
        <v>0</v>
      </c>
      <c r="X48" s="164">
        <f>($L48*'Pivot Objective'!$C$9^3)*V48*W48</f>
        <v>0</v>
      </c>
      <c r="Y48" s="161">
        <v>1</v>
      </c>
      <c r="Z48" s="161">
        <v>1</v>
      </c>
      <c r="AA48" s="164">
        <f>($L48*'Pivot Objective'!$C$9^4)*Y48*Z48</f>
        <v>178909.51246760553</v>
      </c>
      <c r="AB48" s="151"/>
      <c r="AC48" s="151"/>
      <c r="AD48" s="164">
        <f>($L48*'Pivot Objective'!$C$9^5)*AB48*AC48</f>
        <v>0</v>
      </c>
      <c r="AE48" s="151"/>
      <c r="AF48" s="151"/>
      <c r="AG48" s="164">
        <f>($L48*'Pivot Objective'!$C$9^6)*AE48*AF48</f>
        <v>0</v>
      </c>
      <c r="AH48" s="151"/>
      <c r="AI48" s="151"/>
      <c r="AJ48" s="164">
        <f>($L48*'Pivot Objective'!$C$9^7)*AH48*AI48</f>
        <v>0</v>
      </c>
      <c r="AK48" s="185">
        <f t="shared" si="4"/>
        <v>283759.51246760553</v>
      </c>
      <c r="AL48" s="186">
        <f t="shared" si="5"/>
        <v>275.49467229864615</v>
      </c>
    </row>
    <row r="49" spans="1:38" ht="57.6" x14ac:dyDescent="0.3">
      <c r="A49" s="151" t="s">
        <v>1440</v>
      </c>
      <c r="B49" s="151">
        <v>1</v>
      </c>
      <c r="C49" s="152" t="s">
        <v>836</v>
      </c>
      <c r="D49" s="151" t="str">
        <f t="shared" si="0"/>
        <v>1</v>
      </c>
      <c r="E49" s="153" t="s">
        <v>837</v>
      </c>
      <c r="F49" s="151">
        <f t="shared" si="1"/>
        <v>2</v>
      </c>
      <c r="G49" s="151" t="str">
        <f t="shared" si="2"/>
        <v>1.1.2</v>
      </c>
      <c r="H49" s="156" t="s">
        <v>1708</v>
      </c>
      <c r="I49" s="159" t="s">
        <v>850</v>
      </c>
      <c r="J49" s="159" t="s">
        <v>855</v>
      </c>
      <c r="K49" s="159" t="s">
        <v>709</v>
      </c>
      <c r="L49" s="160">
        <v>35000</v>
      </c>
      <c r="M49" s="161">
        <v>35</v>
      </c>
      <c r="N49" s="161">
        <v>1</v>
      </c>
      <c r="O49" s="164">
        <f t="shared" si="3"/>
        <v>1225000</v>
      </c>
      <c r="P49" s="161">
        <v>0</v>
      </c>
      <c r="Q49" s="161">
        <v>0</v>
      </c>
      <c r="R49" s="164">
        <f>$L49*'Pivot Objective'!$C$9*P49*Q49</f>
        <v>0</v>
      </c>
      <c r="S49" s="161">
        <v>0</v>
      </c>
      <c r="T49" s="161">
        <v>0</v>
      </c>
      <c r="U49" s="164">
        <f>($L49*'Pivot Objective'!$C$9^2)*S49*T49</f>
        <v>0</v>
      </c>
      <c r="V49" s="161">
        <v>0</v>
      </c>
      <c r="W49" s="161">
        <v>0</v>
      </c>
      <c r="X49" s="164">
        <f>($L49*'Pivot Objective'!$C$9^3)*V49*W49</f>
        <v>0</v>
      </c>
      <c r="Y49" s="161">
        <v>35</v>
      </c>
      <c r="Z49" s="161">
        <v>1</v>
      </c>
      <c r="AA49" s="164">
        <f>($L49*'Pivot Objective'!$C$9^4)*Y49*Z49</f>
        <v>2090263.7365075515</v>
      </c>
      <c r="AB49" s="151"/>
      <c r="AC49" s="151"/>
      <c r="AD49" s="164">
        <f>($L49*'Pivot Objective'!$C$9^5)*AB49*AC49</f>
        <v>0</v>
      </c>
      <c r="AE49" s="151"/>
      <c r="AF49" s="151"/>
      <c r="AG49" s="164">
        <f>($L49*'Pivot Objective'!$C$9^6)*AE49*AF49</f>
        <v>0</v>
      </c>
      <c r="AH49" s="151"/>
      <c r="AI49" s="151"/>
      <c r="AJ49" s="164">
        <f>($L49*'Pivot Objective'!$C$9^7)*AH49*AI49</f>
        <v>0</v>
      </c>
      <c r="AK49" s="185">
        <f t="shared" si="4"/>
        <v>3315263.7365075517</v>
      </c>
      <c r="AL49" s="186">
        <f t="shared" si="5"/>
        <v>3218.7026568034485</v>
      </c>
    </row>
    <row r="50" spans="1:38" ht="57.6" x14ac:dyDescent="0.3">
      <c r="A50" s="151" t="s">
        <v>1440</v>
      </c>
      <c r="B50" s="151">
        <v>1</v>
      </c>
      <c r="C50" s="152" t="s">
        <v>836</v>
      </c>
      <c r="D50" s="151" t="str">
        <f t="shared" si="0"/>
        <v>1</v>
      </c>
      <c r="E50" s="153" t="s">
        <v>837</v>
      </c>
      <c r="F50" s="151">
        <f t="shared" si="1"/>
        <v>2</v>
      </c>
      <c r="G50" s="151" t="str">
        <f t="shared" si="2"/>
        <v>1.1.2</v>
      </c>
      <c r="H50" s="156" t="s">
        <v>1708</v>
      </c>
      <c r="I50" s="159" t="s">
        <v>850</v>
      </c>
      <c r="J50" s="159" t="s">
        <v>856</v>
      </c>
      <c r="K50" s="159" t="s">
        <v>841</v>
      </c>
      <c r="L50" s="160">
        <v>0</v>
      </c>
      <c r="M50" s="161">
        <v>50</v>
      </c>
      <c r="N50" s="161">
        <v>0.5</v>
      </c>
      <c r="O50" s="164">
        <f t="shared" si="3"/>
        <v>0</v>
      </c>
      <c r="P50" s="161">
        <v>0</v>
      </c>
      <c r="Q50" s="161">
        <v>0</v>
      </c>
      <c r="R50" s="164">
        <f>$L50*'Pivot Objective'!$C$9*P50*Q50</f>
        <v>0</v>
      </c>
      <c r="S50" s="161">
        <v>0</v>
      </c>
      <c r="T50" s="161">
        <v>0</v>
      </c>
      <c r="U50" s="164">
        <f>($L50*'Pivot Objective'!$C$9^2)*S50*T50</f>
        <v>0</v>
      </c>
      <c r="V50" s="161">
        <v>0</v>
      </c>
      <c r="W50" s="161">
        <v>0</v>
      </c>
      <c r="X50" s="164">
        <f>($L50*'Pivot Objective'!$C$9^3)*V50*W50</f>
        <v>0</v>
      </c>
      <c r="Y50" s="161">
        <v>50</v>
      </c>
      <c r="Z50" s="161">
        <v>0.5</v>
      </c>
      <c r="AA50" s="164">
        <f>($L50*'Pivot Objective'!$C$9^4)*Y50*Z50</f>
        <v>0</v>
      </c>
      <c r="AB50" s="151"/>
      <c r="AC50" s="151"/>
      <c r="AD50" s="164">
        <f>($L50*'Pivot Objective'!$C$9^5)*AB50*AC50</f>
        <v>0</v>
      </c>
      <c r="AE50" s="151"/>
      <c r="AF50" s="151"/>
      <c r="AG50" s="164">
        <f>($L50*'Pivot Objective'!$C$9^6)*AE50*AF50</f>
        <v>0</v>
      </c>
      <c r="AH50" s="151"/>
      <c r="AI50" s="151"/>
      <c r="AJ50" s="164">
        <f>($L50*'Pivot Objective'!$C$9^7)*AH50*AI50</f>
        <v>0</v>
      </c>
      <c r="AK50" s="185">
        <f t="shared" si="4"/>
        <v>0</v>
      </c>
      <c r="AL50" s="186">
        <f t="shared" si="5"/>
        <v>0</v>
      </c>
    </row>
    <row r="51" spans="1:38" ht="57.6" x14ac:dyDescent="0.3">
      <c r="A51" s="151" t="s">
        <v>1440</v>
      </c>
      <c r="B51" s="151">
        <v>1</v>
      </c>
      <c r="C51" s="152" t="s">
        <v>836</v>
      </c>
      <c r="D51" s="151" t="str">
        <f t="shared" si="0"/>
        <v>1</v>
      </c>
      <c r="E51" s="153" t="s">
        <v>837</v>
      </c>
      <c r="F51" s="151">
        <f t="shared" si="1"/>
        <v>3</v>
      </c>
      <c r="G51" s="151" t="str">
        <f t="shared" si="2"/>
        <v>1.1.3</v>
      </c>
      <c r="H51" s="156" t="s">
        <v>1681</v>
      </c>
      <c r="I51" s="159" t="s">
        <v>858</v>
      </c>
      <c r="J51" s="159" t="s">
        <v>155</v>
      </c>
      <c r="K51" s="159" t="s">
        <v>841</v>
      </c>
      <c r="L51" s="160">
        <v>0</v>
      </c>
      <c r="M51" s="161">
        <v>0</v>
      </c>
      <c r="N51" s="161">
        <v>0</v>
      </c>
      <c r="O51" s="164">
        <f t="shared" si="3"/>
        <v>0</v>
      </c>
      <c r="P51" s="161">
        <v>20</v>
      </c>
      <c r="Q51" s="161">
        <v>1</v>
      </c>
      <c r="R51" s="164">
        <f>$L51*'Pivot Objective'!$C$9*P51*Q51</f>
        <v>0</v>
      </c>
      <c r="S51" s="161">
        <v>0</v>
      </c>
      <c r="T51" s="161">
        <v>0</v>
      </c>
      <c r="U51" s="164">
        <f>($L51*'Pivot Objective'!$C$9^2)*S51*T51</f>
        <v>0</v>
      </c>
      <c r="V51" s="161">
        <v>0</v>
      </c>
      <c r="W51" s="161">
        <v>0</v>
      </c>
      <c r="X51" s="164">
        <f>($L51*'Pivot Objective'!$C$9^3)*V51*W51</f>
        <v>0</v>
      </c>
      <c r="Y51" s="161">
        <v>20</v>
      </c>
      <c r="Z51" s="161">
        <v>1</v>
      </c>
      <c r="AA51" s="164">
        <f>($L51*'Pivot Objective'!$C$9^4)*Y51*Z51</f>
        <v>0</v>
      </c>
      <c r="AB51" s="151"/>
      <c r="AC51" s="151"/>
      <c r="AD51" s="164">
        <f>($L51*'Pivot Objective'!$C$9^5)*AB51*AC51</f>
        <v>0</v>
      </c>
      <c r="AE51" s="161">
        <v>20</v>
      </c>
      <c r="AF51" s="161">
        <v>1</v>
      </c>
      <c r="AG51" s="164">
        <f>($L51*'Pivot Objective'!$C$9^6)*AE51*AF51</f>
        <v>0</v>
      </c>
      <c r="AH51" s="151"/>
      <c r="AI51" s="151"/>
      <c r="AJ51" s="164">
        <f>($L51*'Pivot Objective'!$C$9^7)*AH51*AI51</f>
        <v>0</v>
      </c>
      <c r="AK51" s="185">
        <f t="shared" si="4"/>
        <v>0</v>
      </c>
      <c r="AL51" s="186">
        <f t="shared" si="5"/>
        <v>0</v>
      </c>
    </row>
    <row r="52" spans="1:38" ht="57.6" x14ac:dyDescent="0.3">
      <c r="A52" s="151" t="s">
        <v>1440</v>
      </c>
      <c r="B52" s="151">
        <v>1</v>
      </c>
      <c r="C52" s="152" t="s">
        <v>836</v>
      </c>
      <c r="D52" s="151" t="str">
        <f t="shared" si="0"/>
        <v>1</v>
      </c>
      <c r="E52" s="153" t="s">
        <v>837</v>
      </c>
      <c r="F52" s="151">
        <f t="shared" si="1"/>
        <v>3</v>
      </c>
      <c r="G52" s="151" t="str">
        <f t="shared" si="2"/>
        <v>1.1.3</v>
      </c>
      <c r="H52" s="156" t="s">
        <v>1681</v>
      </c>
      <c r="I52" s="159" t="s">
        <v>858</v>
      </c>
      <c r="J52" s="159" t="s">
        <v>859</v>
      </c>
      <c r="K52" s="159" t="s">
        <v>841</v>
      </c>
      <c r="L52" s="160">
        <v>0</v>
      </c>
      <c r="M52" s="161">
        <v>0</v>
      </c>
      <c r="N52" s="161">
        <v>0</v>
      </c>
      <c r="O52" s="164">
        <f t="shared" si="3"/>
        <v>0</v>
      </c>
      <c r="P52" s="161">
        <v>0</v>
      </c>
      <c r="Q52" s="161">
        <v>0</v>
      </c>
      <c r="R52" s="164">
        <f>$L52*'Pivot Objective'!$C$9*P52*Q52</f>
        <v>0</v>
      </c>
      <c r="S52" s="161">
        <v>0</v>
      </c>
      <c r="T52" s="161">
        <v>0</v>
      </c>
      <c r="U52" s="164">
        <f>($L52*'Pivot Objective'!$C$9^2)*S52*T52</f>
        <v>0</v>
      </c>
      <c r="V52" s="161">
        <v>0</v>
      </c>
      <c r="W52" s="161">
        <v>0</v>
      </c>
      <c r="X52" s="164">
        <f>($L52*'Pivot Objective'!$C$9^3)*V52*W52</f>
        <v>0</v>
      </c>
      <c r="Y52" s="161">
        <v>0</v>
      </c>
      <c r="Z52" s="161">
        <v>0</v>
      </c>
      <c r="AA52" s="164">
        <f>($L52*'Pivot Objective'!$C$9^4)*Y52*Z52</f>
        <v>0</v>
      </c>
      <c r="AB52" s="151"/>
      <c r="AC52" s="151"/>
      <c r="AD52" s="164">
        <f>($L52*'Pivot Objective'!$C$9^5)*AB52*AC52</f>
        <v>0</v>
      </c>
      <c r="AE52" s="161">
        <v>0</v>
      </c>
      <c r="AF52" s="161">
        <v>0</v>
      </c>
      <c r="AG52" s="164">
        <f>($L52*'Pivot Objective'!$C$9^6)*AE52*AF52</f>
        <v>0</v>
      </c>
      <c r="AH52" s="151"/>
      <c r="AI52" s="151"/>
      <c r="AJ52" s="164">
        <f>($L52*'Pivot Objective'!$C$9^7)*AH52*AI52</f>
        <v>0</v>
      </c>
      <c r="AK52" s="185">
        <f t="shared" si="4"/>
        <v>0</v>
      </c>
      <c r="AL52" s="186">
        <f t="shared" si="5"/>
        <v>0</v>
      </c>
    </row>
    <row r="53" spans="1:38" ht="57.6" x14ac:dyDescent="0.3">
      <c r="A53" s="151" t="s">
        <v>1440</v>
      </c>
      <c r="B53" s="151">
        <v>1</v>
      </c>
      <c r="C53" s="152" t="s">
        <v>836</v>
      </c>
      <c r="D53" s="151" t="str">
        <f t="shared" si="0"/>
        <v>1</v>
      </c>
      <c r="E53" s="153" t="s">
        <v>837</v>
      </c>
      <c r="F53" s="151">
        <f t="shared" si="1"/>
        <v>3</v>
      </c>
      <c r="G53" s="151" t="str">
        <f t="shared" si="2"/>
        <v>1.1.3</v>
      </c>
      <c r="H53" s="156" t="s">
        <v>1681</v>
      </c>
      <c r="I53" s="159" t="s">
        <v>858</v>
      </c>
      <c r="J53" s="159" t="s">
        <v>860</v>
      </c>
      <c r="K53" s="159" t="s">
        <v>708</v>
      </c>
      <c r="L53" s="160">
        <f>500*1022</f>
        <v>511000</v>
      </c>
      <c r="M53" s="161">
        <v>0</v>
      </c>
      <c r="N53" s="161">
        <v>0</v>
      </c>
      <c r="O53" s="164">
        <f t="shared" si="3"/>
        <v>0</v>
      </c>
      <c r="P53" s="161">
        <v>1</v>
      </c>
      <c r="Q53" s="161">
        <v>30</v>
      </c>
      <c r="R53" s="164">
        <f>$L53*'Pivot Objective'!$C$9*P53*Q53</f>
        <v>17520980.417009998</v>
      </c>
      <c r="S53" s="161">
        <v>0</v>
      </c>
      <c r="T53" s="161">
        <v>0</v>
      </c>
      <c r="U53" s="164">
        <f>($L53*'Pivot Objective'!$C$9^2)*S53*T53</f>
        <v>0</v>
      </c>
      <c r="V53" s="161">
        <v>0</v>
      </c>
      <c r="W53" s="161">
        <v>0</v>
      </c>
      <c r="X53" s="164">
        <f>($L53*'Pivot Objective'!$C$9^3)*V53*W53</f>
        <v>0</v>
      </c>
      <c r="Y53" s="161">
        <v>0</v>
      </c>
      <c r="Z53" s="161">
        <v>0</v>
      </c>
      <c r="AA53" s="164">
        <f>($L53*'Pivot Objective'!$C$9^4)*Y53*Z53</f>
        <v>0</v>
      </c>
      <c r="AB53" s="151"/>
      <c r="AC53" s="151"/>
      <c r="AD53" s="164">
        <f>($L53*'Pivot Objective'!$C$9^5)*AB53*AC53</f>
        <v>0</v>
      </c>
      <c r="AE53" s="161">
        <v>1</v>
      </c>
      <c r="AF53" s="161">
        <v>30</v>
      </c>
      <c r="AG53" s="164">
        <f>($L53*'Pivot Objective'!$C$9^6)*AE53*AF53</f>
        <v>34169580.817294806</v>
      </c>
      <c r="AH53" s="151"/>
      <c r="AI53" s="151"/>
      <c r="AJ53" s="164">
        <f>($L53*'Pivot Objective'!$C$9^7)*AH53*AI53</f>
        <v>0</v>
      </c>
      <c r="AK53" s="185">
        <f t="shared" si="4"/>
        <v>51690561.234304801</v>
      </c>
      <c r="AL53" s="186">
        <f t="shared" si="5"/>
        <v>50185.010907092037</v>
      </c>
    </row>
    <row r="54" spans="1:38" ht="57.6" x14ac:dyDescent="0.3">
      <c r="A54" s="151" t="s">
        <v>1440</v>
      </c>
      <c r="B54" s="151">
        <v>1</v>
      </c>
      <c r="C54" s="152" t="s">
        <v>836</v>
      </c>
      <c r="D54" s="151" t="str">
        <f t="shared" si="0"/>
        <v>1</v>
      </c>
      <c r="E54" s="153" t="s">
        <v>837</v>
      </c>
      <c r="F54" s="151">
        <f t="shared" si="1"/>
        <v>3</v>
      </c>
      <c r="G54" s="151" t="str">
        <f t="shared" si="2"/>
        <v>1.1.3</v>
      </c>
      <c r="H54" s="156" t="s">
        <v>1681</v>
      </c>
      <c r="I54" s="159" t="s">
        <v>858</v>
      </c>
      <c r="J54" s="159" t="s">
        <v>860</v>
      </c>
      <c r="K54" s="159" t="s">
        <v>707</v>
      </c>
      <c r="L54" s="160">
        <v>391991.03749999998</v>
      </c>
      <c r="M54" s="161">
        <v>0</v>
      </c>
      <c r="N54" s="161">
        <v>0</v>
      </c>
      <c r="O54" s="164">
        <f t="shared" si="3"/>
        <v>0</v>
      </c>
      <c r="P54" s="161">
        <v>2</v>
      </c>
      <c r="Q54" s="161">
        <v>2</v>
      </c>
      <c r="R54" s="164">
        <f>$L54*'Pivot Objective'!$C$9*P54*Q54</f>
        <v>1792059.3063746723</v>
      </c>
      <c r="S54" s="161">
        <v>0</v>
      </c>
      <c r="T54" s="161">
        <v>0</v>
      </c>
      <c r="U54" s="164">
        <f>($L54*'Pivot Objective'!$C$9^2)*S54*T54</f>
        <v>0</v>
      </c>
      <c r="V54" s="161">
        <v>0</v>
      </c>
      <c r="W54" s="161">
        <v>0</v>
      </c>
      <c r="X54" s="164">
        <f>($L54*'Pivot Objective'!$C$9^3)*V54*W54</f>
        <v>0</v>
      </c>
      <c r="Y54" s="161">
        <v>0</v>
      </c>
      <c r="Z54" s="161">
        <v>0</v>
      </c>
      <c r="AA54" s="164">
        <f>($L54*'Pivot Objective'!$C$9^4)*Y54*Z54</f>
        <v>0</v>
      </c>
      <c r="AB54" s="151"/>
      <c r="AC54" s="151"/>
      <c r="AD54" s="164">
        <f>($L54*'Pivot Objective'!$C$9^5)*AB54*AC54</f>
        <v>0</v>
      </c>
      <c r="AE54" s="161">
        <v>2</v>
      </c>
      <c r="AF54" s="161">
        <v>2</v>
      </c>
      <c r="AG54" s="164">
        <f>($L54*'Pivot Objective'!$C$9^6)*AE54*AF54</f>
        <v>3494890.915984733</v>
      </c>
      <c r="AH54" s="151"/>
      <c r="AI54" s="151"/>
      <c r="AJ54" s="164">
        <f>($L54*'Pivot Objective'!$C$9^7)*AH54*AI54</f>
        <v>0</v>
      </c>
      <c r="AK54" s="185">
        <f t="shared" si="4"/>
        <v>5286950.2223594058</v>
      </c>
      <c r="AL54" s="186">
        <f t="shared" si="5"/>
        <v>5132.9613809314624</v>
      </c>
    </row>
    <row r="55" spans="1:38" ht="57.6" x14ac:dyDescent="0.3">
      <c r="A55" s="151" t="s">
        <v>1440</v>
      </c>
      <c r="B55" s="151">
        <v>1</v>
      </c>
      <c r="C55" s="152" t="s">
        <v>836</v>
      </c>
      <c r="D55" s="151" t="str">
        <f t="shared" si="0"/>
        <v>1</v>
      </c>
      <c r="E55" s="153" t="s">
        <v>837</v>
      </c>
      <c r="F55" s="151">
        <f t="shared" si="1"/>
        <v>3</v>
      </c>
      <c r="G55" s="151" t="str">
        <f t="shared" si="2"/>
        <v>1.1.3</v>
      </c>
      <c r="H55" s="156" t="s">
        <v>1681</v>
      </c>
      <c r="I55" s="159" t="s">
        <v>858</v>
      </c>
      <c r="J55" s="159" t="s">
        <v>151</v>
      </c>
      <c r="K55" s="159" t="s">
        <v>713</v>
      </c>
      <c r="L55" s="160">
        <v>45000</v>
      </c>
      <c r="M55" s="161">
        <v>0</v>
      </c>
      <c r="N55" s="161">
        <v>0</v>
      </c>
      <c r="O55" s="164">
        <f t="shared" si="3"/>
        <v>0</v>
      </c>
      <c r="P55" s="161">
        <v>1</v>
      </c>
      <c r="Q55" s="161">
        <v>15</v>
      </c>
      <c r="R55" s="164">
        <f>$L55*'Pivot Objective'!$C$9*P55*Q55</f>
        <v>771471.74047499988</v>
      </c>
      <c r="S55" s="161">
        <v>0</v>
      </c>
      <c r="T55" s="161">
        <v>0</v>
      </c>
      <c r="U55" s="164">
        <f>($L55*'Pivot Objective'!$C$9^2)*S55*T55</f>
        <v>0</v>
      </c>
      <c r="V55" s="161">
        <v>0</v>
      </c>
      <c r="W55" s="161">
        <v>0</v>
      </c>
      <c r="X55" s="164">
        <f>($L55*'Pivot Objective'!$C$9^3)*V55*W55</f>
        <v>0</v>
      </c>
      <c r="Y55" s="161">
        <v>0</v>
      </c>
      <c r="Z55" s="161">
        <v>0</v>
      </c>
      <c r="AA55" s="164">
        <f>($L55*'Pivot Objective'!$C$9^4)*Y55*Z55</f>
        <v>0</v>
      </c>
      <c r="AB55" s="151"/>
      <c r="AC55" s="151"/>
      <c r="AD55" s="164">
        <f>($L55*'Pivot Objective'!$C$9^5)*AB55*AC55</f>
        <v>0</v>
      </c>
      <c r="AE55" s="161">
        <v>1</v>
      </c>
      <c r="AF55" s="161">
        <v>15</v>
      </c>
      <c r="AG55" s="164">
        <f>($L55*'Pivot Objective'!$C$9^6)*AE55*AF55</f>
        <v>1504531.444988519</v>
      </c>
      <c r="AH55" s="151"/>
      <c r="AI55" s="151"/>
      <c r="AJ55" s="164">
        <f>($L55*'Pivot Objective'!$C$9^7)*AH55*AI55</f>
        <v>0</v>
      </c>
      <c r="AK55" s="185">
        <f t="shared" si="4"/>
        <v>2276003.1854635188</v>
      </c>
      <c r="AL55" s="186">
        <f t="shared" si="5"/>
        <v>2209.7118305471058</v>
      </c>
    </row>
    <row r="56" spans="1:38" ht="57.6" x14ac:dyDescent="0.3">
      <c r="A56" s="151" t="s">
        <v>1440</v>
      </c>
      <c r="B56" s="151">
        <v>1</v>
      </c>
      <c r="C56" s="152" t="s">
        <v>836</v>
      </c>
      <c r="D56" s="151" t="str">
        <f t="shared" si="0"/>
        <v>1</v>
      </c>
      <c r="E56" s="153" t="s">
        <v>837</v>
      </c>
      <c r="F56" s="151">
        <f t="shared" si="1"/>
        <v>3</v>
      </c>
      <c r="G56" s="151" t="str">
        <f t="shared" si="2"/>
        <v>1.1.3</v>
      </c>
      <c r="H56" s="156" t="s">
        <v>1681</v>
      </c>
      <c r="I56" s="159" t="s">
        <v>858</v>
      </c>
      <c r="J56" s="159" t="s">
        <v>151</v>
      </c>
      <c r="K56" s="159" t="s">
        <v>715</v>
      </c>
      <c r="L56" s="160">
        <v>302000</v>
      </c>
      <c r="M56" s="161">
        <v>0</v>
      </c>
      <c r="N56" s="161">
        <v>0</v>
      </c>
      <c r="O56" s="164">
        <f t="shared" si="3"/>
        <v>0</v>
      </c>
      <c r="P56" s="161">
        <v>1</v>
      </c>
      <c r="Q56" s="161">
        <v>1</v>
      </c>
      <c r="R56" s="164">
        <f>$L56*'Pivot Objective'!$C$9*P56*Q56</f>
        <v>345162.17129399994</v>
      </c>
      <c r="S56" s="161">
        <v>0</v>
      </c>
      <c r="T56" s="161">
        <v>0</v>
      </c>
      <c r="U56" s="164">
        <f>($L56*'Pivot Objective'!$C$9^2)*S56*T56</f>
        <v>0</v>
      </c>
      <c r="V56" s="161">
        <v>0</v>
      </c>
      <c r="W56" s="161">
        <v>0</v>
      </c>
      <c r="X56" s="164">
        <f>($L56*'Pivot Objective'!$C$9^3)*V56*W56</f>
        <v>0</v>
      </c>
      <c r="Y56" s="161">
        <v>0</v>
      </c>
      <c r="Z56" s="161">
        <v>0</v>
      </c>
      <c r="AA56" s="164">
        <f>($L56*'Pivot Objective'!$C$9^4)*Y56*Z56</f>
        <v>0</v>
      </c>
      <c r="AB56" s="151"/>
      <c r="AC56" s="151"/>
      <c r="AD56" s="164">
        <f>($L56*'Pivot Objective'!$C$9^5)*AB56*AC56</f>
        <v>0</v>
      </c>
      <c r="AE56" s="161">
        <v>1</v>
      </c>
      <c r="AF56" s="161">
        <v>1</v>
      </c>
      <c r="AG56" s="164">
        <f>($L56*'Pivot Objective'!$C$9^6)*AE56*AF56</f>
        <v>673138.51316523366</v>
      </c>
      <c r="AH56" s="151"/>
      <c r="AI56" s="151"/>
      <c r="AJ56" s="164">
        <f>($L56*'Pivot Objective'!$C$9^7)*AH56*AI56</f>
        <v>0</v>
      </c>
      <c r="AK56" s="185">
        <f t="shared" si="4"/>
        <v>1018300.6844592337</v>
      </c>
      <c r="AL56" s="186">
        <f t="shared" si="5"/>
        <v>988.64144122255698</v>
      </c>
    </row>
    <row r="57" spans="1:38" ht="57.6" x14ac:dyDescent="0.3">
      <c r="A57" s="151" t="s">
        <v>1440</v>
      </c>
      <c r="B57" s="151">
        <v>1</v>
      </c>
      <c r="C57" s="152" t="s">
        <v>836</v>
      </c>
      <c r="D57" s="151" t="str">
        <f t="shared" si="0"/>
        <v>1</v>
      </c>
      <c r="E57" s="153" t="s">
        <v>837</v>
      </c>
      <c r="F57" s="151">
        <f t="shared" si="1"/>
        <v>3</v>
      </c>
      <c r="G57" s="151" t="str">
        <f t="shared" si="2"/>
        <v>1.1.3</v>
      </c>
      <c r="H57" s="156" t="s">
        <v>1681</v>
      </c>
      <c r="I57" s="159" t="s">
        <v>858</v>
      </c>
      <c r="J57" s="159" t="s">
        <v>151</v>
      </c>
      <c r="K57" s="159" t="s">
        <v>1316</v>
      </c>
      <c r="L57" s="160">
        <f>1999/7</f>
        <v>285.57142857142856</v>
      </c>
      <c r="M57" s="161">
        <v>0</v>
      </c>
      <c r="N57" s="161">
        <v>0</v>
      </c>
      <c r="O57" s="164">
        <f t="shared" si="3"/>
        <v>0</v>
      </c>
      <c r="P57" s="161">
        <v>5000</v>
      </c>
      <c r="Q57" s="161">
        <v>1</v>
      </c>
      <c r="R57" s="164">
        <f>$L57*'Pivot Objective'!$C$9*P57*Q57</f>
        <v>1631928.0520735711</v>
      </c>
      <c r="S57" s="161"/>
      <c r="T57" s="161"/>
      <c r="U57" s="164">
        <f>($L57*'Pivot Objective'!$C$9^2)*S57*T57</f>
        <v>0</v>
      </c>
      <c r="V57" s="161"/>
      <c r="W57" s="161"/>
      <c r="X57" s="164">
        <f>($L57*'Pivot Objective'!$C$9^3)*V57*W57</f>
        <v>0</v>
      </c>
      <c r="Y57" s="161"/>
      <c r="Z57" s="161"/>
      <c r="AA57" s="164">
        <f>($L57*'Pivot Objective'!$C$9^4)*Y57*Z57</f>
        <v>0</v>
      </c>
      <c r="AB57" s="151"/>
      <c r="AC57" s="151"/>
      <c r="AD57" s="164">
        <f>($L57*'Pivot Objective'!$C$9^5)*AB57*AC57</f>
        <v>0</v>
      </c>
      <c r="AE57" s="161">
        <v>5000</v>
      </c>
      <c r="AF57" s="161">
        <v>1</v>
      </c>
      <c r="AG57" s="164">
        <f>($L57*'Pivot Objective'!$C$9^6)*AE57*AF57</f>
        <v>3182601.437600052</v>
      </c>
      <c r="AH57" s="151"/>
      <c r="AI57" s="151"/>
      <c r="AJ57" s="164">
        <f>($L57*'Pivot Objective'!$C$9^7)*AH57*AI57</f>
        <v>0</v>
      </c>
      <c r="AK57" s="185">
        <f t="shared" si="4"/>
        <v>4814529.4896736229</v>
      </c>
      <c r="AL57" s="186">
        <f t="shared" si="5"/>
        <v>4674.3004754112844</v>
      </c>
    </row>
    <row r="58" spans="1:38" ht="57.6" x14ac:dyDescent="0.3">
      <c r="A58" s="151" t="s">
        <v>1440</v>
      </c>
      <c r="B58" s="151">
        <v>1</v>
      </c>
      <c r="C58" s="152" t="s">
        <v>836</v>
      </c>
      <c r="D58" s="151" t="str">
        <f t="shared" si="0"/>
        <v>1</v>
      </c>
      <c r="E58" s="153" t="s">
        <v>837</v>
      </c>
      <c r="F58" s="151">
        <f t="shared" si="1"/>
        <v>3</v>
      </c>
      <c r="G58" s="151" t="str">
        <f t="shared" si="2"/>
        <v>1.1.3</v>
      </c>
      <c r="H58" s="156" t="s">
        <v>1681</v>
      </c>
      <c r="I58" s="159" t="s">
        <v>858</v>
      </c>
      <c r="J58" s="159" t="s">
        <v>151</v>
      </c>
      <c r="K58" s="159" t="s">
        <v>712</v>
      </c>
      <c r="L58" s="160">
        <f>1999/7</f>
        <v>285.57142857142856</v>
      </c>
      <c r="M58" s="161">
        <v>0</v>
      </c>
      <c r="N58" s="161">
        <v>0</v>
      </c>
      <c r="O58" s="164">
        <f t="shared" si="3"/>
        <v>0</v>
      </c>
      <c r="P58" s="161">
        <f>50*2*15</f>
        <v>1500</v>
      </c>
      <c r="Q58" s="161">
        <v>1</v>
      </c>
      <c r="R58" s="164">
        <f>$L58*'Pivot Objective'!$C$9*P58*Q58</f>
        <v>489578.4156220713</v>
      </c>
      <c r="S58" s="161">
        <v>0</v>
      </c>
      <c r="T58" s="161">
        <v>0</v>
      </c>
      <c r="U58" s="164">
        <f>($L58*'Pivot Objective'!$C$9^2)*S58*T58</f>
        <v>0</v>
      </c>
      <c r="V58" s="161">
        <v>0</v>
      </c>
      <c r="W58" s="161">
        <v>0</v>
      </c>
      <c r="X58" s="164">
        <f>($L58*'Pivot Objective'!$C$9^3)*V58*W58</f>
        <v>0</v>
      </c>
      <c r="Y58" s="161">
        <v>0</v>
      </c>
      <c r="Z58" s="161">
        <v>0</v>
      </c>
      <c r="AA58" s="164">
        <f>($L58*'Pivot Objective'!$C$9^4)*Y58*Z58</f>
        <v>0</v>
      </c>
      <c r="AB58" s="151"/>
      <c r="AC58" s="151"/>
      <c r="AD58" s="164">
        <f>($L58*'Pivot Objective'!$C$9^5)*AB58*AC58</f>
        <v>0</v>
      </c>
      <c r="AE58" s="161">
        <f>50*2*15</f>
        <v>1500</v>
      </c>
      <c r="AF58" s="161">
        <v>1</v>
      </c>
      <c r="AG58" s="164">
        <f>($L58*'Pivot Objective'!$C$9^6)*AE58*AF58</f>
        <v>954780.4312800155</v>
      </c>
      <c r="AH58" s="151"/>
      <c r="AI58" s="151"/>
      <c r="AJ58" s="164">
        <f>($L58*'Pivot Objective'!$C$9^7)*AH58*AI58</f>
        <v>0</v>
      </c>
      <c r="AK58" s="185">
        <f t="shared" si="4"/>
        <v>1444358.8469020869</v>
      </c>
      <c r="AL58" s="186">
        <f t="shared" si="5"/>
        <v>1402.2901426233852</v>
      </c>
    </row>
    <row r="59" spans="1:38" ht="57.6" x14ac:dyDescent="0.3">
      <c r="A59" s="151" t="s">
        <v>1440</v>
      </c>
      <c r="B59" s="151">
        <v>1</v>
      </c>
      <c r="C59" s="152" t="s">
        <v>836</v>
      </c>
      <c r="D59" s="151" t="str">
        <f t="shared" si="0"/>
        <v>1</v>
      </c>
      <c r="E59" s="153" t="s">
        <v>837</v>
      </c>
      <c r="F59" s="151">
        <f t="shared" si="1"/>
        <v>3</v>
      </c>
      <c r="G59" s="151" t="str">
        <f t="shared" si="2"/>
        <v>1.1.3</v>
      </c>
      <c r="H59" s="156" t="s">
        <v>1681</v>
      </c>
      <c r="I59" s="159" t="s">
        <v>858</v>
      </c>
      <c r="J59" s="159" t="s">
        <v>151</v>
      </c>
      <c r="K59" s="159" t="s">
        <v>1317</v>
      </c>
      <c r="L59" s="160">
        <v>100000</v>
      </c>
      <c r="M59" s="161">
        <v>0</v>
      </c>
      <c r="N59" s="161">
        <v>0</v>
      </c>
      <c r="O59" s="164">
        <f t="shared" si="3"/>
        <v>0</v>
      </c>
      <c r="P59" s="161">
        <v>1</v>
      </c>
      <c r="Q59" s="161">
        <v>1</v>
      </c>
      <c r="R59" s="164">
        <f>$L59*'Pivot Objective'!$C$9*P59*Q59</f>
        <v>114292.10969999999</v>
      </c>
      <c r="S59" s="161">
        <v>0</v>
      </c>
      <c r="T59" s="161">
        <v>0</v>
      </c>
      <c r="U59" s="164">
        <f>($L59*'Pivot Objective'!$C$9^2)*S59*T59</f>
        <v>0</v>
      </c>
      <c r="V59" s="161">
        <v>0</v>
      </c>
      <c r="W59" s="161">
        <v>0</v>
      </c>
      <c r="X59" s="164">
        <f>($L59*'Pivot Objective'!$C$9^3)*V59*W59</f>
        <v>0</v>
      </c>
      <c r="Y59" s="161">
        <v>0</v>
      </c>
      <c r="Z59" s="161">
        <v>0</v>
      </c>
      <c r="AA59" s="164">
        <f>($L59*'Pivot Objective'!$C$9^4)*Y59*Z59</f>
        <v>0</v>
      </c>
      <c r="AB59" s="151"/>
      <c r="AC59" s="151"/>
      <c r="AD59" s="164">
        <f>($L59*'Pivot Objective'!$C$9^5)*AB59*AC59</f>
        <v>0</v>
      </c>
      <c r="AE59" s="161">
        <v>1</v>
      </c>
      <c r="AF59" s="161">
        <v>1</v>
      </c>
      <c r="AG59" s="164">
        <f>($L59*'Pivot Objective'!$C$9^6)*AE59*AF59</f>
        <v>222893.54740570651</v>
      </c>
      <c r="AH59" s="151"/>
      <c r="AI59" s="151"/>
      <c r="AJ59" s="164">
        <f>($L59*'Pivot Objective'!$C$9^7)*AH59*AI59</f>
        <v>0</v>
      </c>
      <c r="AK59" s="185">
        <f t="shared" si="4"/>
        <v>337185.65710570652</v>
      </c>
      <c r="AL59" s="186">
        <f t="shared" si="5"/>
        <v>327.36471563660825</v>
      </c>
    </row>
    <row r="60" spans="1:38" ht="57.6" x14ac:dyDescent="0.3">
      <c r="A60" s="151" t="s">
        <v>1440</v>
      </c>
      <c r="B60" s="151">
        <v>1</v>
      </c>
      <c r="C60" s="152" t="s">
        <v>836</v>
      </c>
      <c r="D60" s="151" t="str">
        <f t="shared" si="0"/>
        <v>1</v>
      </c>
      <c r="E60" s="153" t="s">
        <v>837</v>
      </c>
      <c r="F60" s="151">
        <f t="shared" si="1"/>
        <v>3</v>
      </c>
      <c r="G60" s="151" t="str">
        <f t="shared" si="2"/>
        <v>1.1.3</v>
      </c>
      <c r="H60" s="156" t="s">
        <v>1681</v>
      </c>
      <c r="I60" s="159" t="s">
        <v>858</v>
      </c>
      <c r="J60" s="159" t="s">
        <v>152</v>
      </c>
      <c r="K60" s="159" t="s">
        <v>716</v>
      </c>
      <c r="L60" s="160">
        <v>39000</v>
      </c>
      <c r="M60" s="161">
        <v>0</v>
      </c>
      <c r="N60" s="161">
        <v>0</v>
      </c>
      <c r="O60" s="164">
        <f t="shared" si="3"/>
        <v>0</v>
      </c>
      <c r="P60" s="161"/>
      <c r="Q60" s="161"/>
      <c r="R60" s="164">
        <f>$L60*'Pivot Objective'!$C$9*P60*Q60</f>
        <v>0</v>
      </c>
      <c r="S60" s="161">
        <v>0</v>
      </c>
      <c r="T60" s="161">
        <v>0</v>
      </c>
      <c r="U60" s="164">
        <f>($L60*'Pivot Objective'!$C$9^2)*S60*T60</f>
        <v>0</v>
      </c>
      <c r="V60" s="161">
        <v>0</v>
      </c>
      <c r="W60" s="161">
        <v>0</v>
      </c>
      <c r="X60" s="164">
        <f>($L60*'Pivot Objective'!$C$9^3)*V60*W60</f>
        <v>0</v>
      </c>
      <c r="Y60" s="161">
        <v>0</v>
      </c>
      <c r="Z60" s="161">
        <v>0</v>
      </c>
      <c r="AA60" s="164">
        <f>($L60*'Pivot Objective'!$C$9^4)*Y60*Z60</f>
        <v>0</v>
      </c>
      <c r="AB60" s="151"/>
      <c r="AC60" s="151"/>
      <c r="AD60" s="164">
        <f>($L60*'Pivot Objective'!$C$9^5)*AB60*AC60</f>
        <v>0</v>
      </c>
      <c r="AE60" s="161"/>
      <c r="AF60" s="161"/>
      <c r="AG60" s="164">
        <f>($L60*'Pivot Objective'!$C$9^6)*AE60*AF60</f>
        <v>0</v>
      </c>
      <c r="AH60" s="151"/>
      <c r="AI60" s="151"/>
      <c r="AJ60" s="164">
        <f>($L60*'Pivot Objective'!$C$9^7)*AH60*AI60</f>
        <v>0</v>
      </c>
      <c r="AK60" s="185">
        <f t="shared" si="4"/>
        <v>0</v>
      </c>
      <c r="AL60" s="186">
        <f t="shared" si="5"/>
        <v>0</v>
      </c>
    </row>
    <row r="61" spans="1:38" ht="57.6" x14ac:dyDescent="0.3">
      <c r="A61" s="151" t="s">
        <v>1440</v>
      </c>
      <c r="B61" s="151">
        <v>1</v>
      </c>
      <c r="C61" s="152" t="s">
        <v>836</v>
      </c>
      <c r="D61" s="151" t="str">
        <f t="shared" si="0"/>
        <v>1</v>
      </c>
      <c r="E61" s="153" t="s">
        <v>837</v>
      </c>
      <c r="F61" s="151">
        <f t="shared" si="1"/>
        <v>3</v>
      </c>
      <c r="G61" s="151" t="str">
        <f t="shared" si="2"/>
        <v>1.1.3</v>
      </c>
      <c r="H61" s="156" t="s">
        <v>1681</v>
      </c>
      <c r="I61" s="159" t="s">
        <v>858</v>
      </c>
      <c r="J61" s="159" t="s">
        <v>152</v>
      </c>
      <c r="K61" s="159" t="s">
        <v>709</v>
      </c>
      <c r="L61" s="160">
        <v>35000</v>
      </c>
      <c r="M61" s="161">
        <v>0</v>
      </c>
      <c r="N61" s="161">
        <v>0</v>
      </c>
      <c r="O61" s="164">
        <f t="shared" si="3"/>
        <v>0</v>
      </c>
      <c r="P61" s="161">
        <v>20</v>
      </c>
      <c r="Q61" s="161">
        <v>5</v>
      </c>
      <c r="R61" s="164">
        <f>$L61*'Pivot Objective'!$C$9*P61*Q61</f>
        <v>4000223.8394999993</v>
      </c>
      <c r="S61" s="161">
        <v>0</v>
      </c>
      <c r="T61" s="161">
        <v>0</v>
      </c>
      <c r="U61" s="164">
        <f>($L61*'Pivot Objective'!$C$9^2)*S61*T61</f>
        <v>0</v>
      </c>
      <c r="V61" s="161">
        <v>0</v>
      </c>
      <c r="W61" s="161">
        <v>0</v>
      </c>
      <c r="X61" s="164">
        <f>($L61*'Pivot Objective'!$C$9^3)*V61*W61</f>
        <v>0</v>
      </c>
      <c r="Y61" s="161">
        <v>0</v>
      </c>
      <c r="Z61" s="161">
        <v>0</v>
      </c>
      <c r="AA61" s="164">
        <f>($L61*'Pivot Objective'!$C$9^4)*Y61*Z61</f>
        <v>0</v>
      </c>
      <c r="AB61" s="151"/>
      <c r="AC61" s="151"/>
      <c r="AD61" s="164">
        <f>($L61*'Pivot Objective'!$C$9^5)*AB61*AC61</f>
        <v>0</v>
      </c>
      <c r="AE61" s="161">
        <v>20</v>
      </c>
      <c r="AF61" s="161">
        <v>5</v>
      </c>
      <c r="AG61" s="164">
        <f>($L61*'Pivot Objective'!$C$9^6)*AE61*AF61</f>
        <v>7801274.1591997268</v>
      </c>
      <c r="AH61" s="151"/>
      <c r="AI61" s="151"/>
      <c r="AJ61" s="164">
        <f>($L61*'Pivot Objective'!$C$9^7)*AH61*AI61</f>
        <v>0</v>
      </c>
      <c r="AK61" s="185">
        <f t="shared" si="4"/>
        <v>11801497.998699727</v>
      </c>
      <c r="AL61" s="186">
        <f t="shared" si="5"/>
        <v>11457.765047281287</v>
      </c>
    </row>
    <row r="62" spans="1:38" ht="57.6" x14ac:dyDescent="0.3">
      <c r="A62" s="151" t="s">
        <v>1440</v>
      </c>
      <c r="B62" s="151">
        <v>1</v>
      </c>
      <c r="C62" s="152" t="s">
        <v>836</v>
      </c>
      <c r="D62" s="151" t="str">
        <f t="shared" si="0"/>
        <v>1</v>
      </c>
      <c r="E62" s="153" t="s">
        <v>837</v>
      </c>
      <c r="F62" s="151">
        <f t="shared" si="1"/>
        <v>3</v>
      </c>
      <c r="G62" s="151" t="str">
        <f t="shared" si="2"/>
        <v>1.1.3</v>
      </c>
      <c r="H62" s="156" t="s">
        <v>1681</v>
      </c>
      <c r="I62" s="159" t="s">
        <v>858</v>
      </c>
      <c r="J62" s="159" t="s">
        <v>152</v>
      </c>
      <c r="K62" s="159" t="s">
        <v>1299</v>
      </c>
      <c r="L62" s="160">
        <f>1999/7</f>
        <v>285.57142857142856</v>
      </c>
      <c r="M62" s="161">
        <v>0</v>
      </c>
      <c r="N62" s="161">
        <v>0</v>
      </c>
      <c r="O62" s="164">
        <f t="shared" si="3"/>
        <v>0</v>
      </c>
      <c r="P62" s="161">
        <v>22500</v>
      </c>
      <c r="Q62" s="161">
        <v>1</v>
      </c>
      <c r="R62" s="164">
        <f>$L62*'Pivot Objective'!$C$9*P62*Q62</f>
        <v>7343676.2343310704</v>
      </c>
      <c r="S62" s="161"/>
      <c r="T62" s="161"/>
      <c r="U62" s="164">
        <f>($L62*'Pivot Objective'!$C$9^2)*S62*T62</f>
        <v>0</v>
      </c>
      <c r="V62" s="161"/>
      <c r="W62" s="161"/>
      <c r="X62" s="164">
        <f>($L62*'Pivot Objective'!$C$9^3)*V62*W62</f>
        <v>0</v>
      </c>
      <c r="Y62" s="161"/>
      <c r="Z62" s="161"/>
      <c r="AA62" s="164">
        <f>($L62*'Pivot Objective'!$C$9^4)*Y62*Z62</f>
        <v>0</v>
      </c>
      <c r="AB62" s="151"/>
      <c r="AC62" s="151"/>
      <c r="AD62" s="164">
        <f>($L62*'Pivot Objective'!$C$9^5)*AB62*AC62</f>
        <v>0</v>
      </c>
      <c r="AE62" s="161">
        <v>22500</v>
      </c>
      <c r="AF62" s="161">
        <v>1</v>
      </c>
      <c r="AG62" s="164">
        <f>($L62*'Pivot Objective'!$C$9^6)*AE62*AF62</f>
        <v>14321706.469200233</v>
      </c>
      <c r="AH62" s="151"/>
      <c r="AI62" s="151"/>
      <c r="AJ62" s="164">
        <f>($L62*'Pivot Objective'!$C$9^7)*AH62*AI62</f>
        <v>0</v>
      </c>
      <c r="AK62" s="185">
        <f t="shared" si="4"/>
        <v>21665382.703531303</v>
      </c>
      <c r="AL62" s="186">
        <f t="shared" si="5"/>
        <v>21034.35213935078</v>
      </c>
    </row>
    <row r="63" spans="1:38" ht="57.6" x14ac:dyDescent="0.3">
      <c r="A63" s="151" t="s">
        <v>1440</v>
      </c>
      <c r="B63" s="151">
        <v>1</v>
      </c>
      <c r="C63" s="152" t="s">
        <v>836</v>
      </c>
      <c r="D63" s="151" t="str">
        <f t="shared" si="0"/>
        <v>1</v>
      </c>
      <c r="E63" s="153" t="s">
        <v>837</v>
      </c>
      <c r="F63" s="151">
        <f t="shared" si="1"/>
        <v>3</v>
      </c>
      <c r="G63" s="151" t="str">
        <f t="shared" si="2"/>
        <v>1.1.3</v>
      </c>
      <c r="H63" s="156" t="s">
        <v>1681</v>
      </c>
      <c r="I63" s="159" t="s">
        <v>858</v>
      </c>
      <c r="J63" s="159" t="s">
        <v>152</v>
      </c>
      <c r="K63" s="159" t="s">
        <v>712</v>
      </c>
      <c r="L63" s="160">
        <f>1999/7</f>
        <v>285.57142857142856</v>
      </c>
      <c r="M63" s="161">
        <v>0</v>
      </c>
      <c r="N63" s="161">
        <v>0</v>
      </c>
      <c r="O63" s="164">
        <f t="shared" si="3"/>
        <v>0</v>
      </c>
      <c r="P63" s="161">
        <v>25</v>
      </c>
      <c r="Q63" s="161">
        <v>10</v>
      </c>
      <c r="R63" s="164">
        <f>$L63*'Pivot Objective'!$C$9*P63*Q63</f>
        <v>81596.402603678551</v>
      </c>
      <c r="S63" s="161">
        <v>0</v>
      </c>
      <c r="T63" s="161">
        <v>0</v>
      </c>
      <c r="U63" s="164">
        <f>($L63*'Pivot Objective'!$C$9^2)*S63*T63</f>
        <v>0</v>
      </c>
      <c r="V63" s="161">
        <v>0</v>
      </c>
      <c r="W63" s="161">
        <v>0</v>
      </c>
      <c r="X63" s="164">
        <f>($L63*'Pivot Objective'!$C$9^3)*V63*W63</f>
        <v>0</v>
      </c>
      <c r="Y63" s="161">
        <v>0</v>
      </c>
      <c r="Z63" s="161">
        <v>0</v>
      </c>
      <c r="AA63" s="164">
        <f>($L63*'Pivot Objective'!$C$9^4)*Y63*Z63</f>
        <v>0</v>
      </c>
      <c r="AB63" s="151"/>
      <c r="AC63" s="151"/>
      <c r="AD63" s="164">
        <f>($L63*'Pivot Objective'!$C$9^5)*AB63*AC63</f>
        <v>0</v>
      </c>
      <c r="AE63" s="161">
        <v>25</v>
      </c>
      <c r="AF63" s="161">
        <v>10</v>
      </c>
      <c r="AG63" s="164">
        <f>($L63*'Pivot Objective'!$C$9^6)*AE63*AF63</f>
        <v>159130.07188000259</v>
      </c>
      <c r="AH63" s="151"/>
      <c r="AI63" s="151"/>
      <c r="AJ63" s="164">
        <f>($L63*'Pivot Objective'!$C$9^7)*AH63*AI63</f>
        <v>0</v>
      </c>
      <c r="AK63" s="185">
        <f t="shared" si="4"/>
        <v>240726.47448368114</v>
      </c>
      <c r="AL63" s="186">
        <f t="shared" si="5"/>
        <v>233.71502377056422</v>
      </c>
    </row>
    <row r="64" spans="1:38" ht="57.6" x14ac:dyDescent="0.3">
      <c r="A64" s="151" t="s">
        <v>1440</v>
      </c>
      <c r="B64" s="151">
        <v>1</v>
      </c>
      <c r="C64" s="152" t="s">
        <v>836</v>
      </c>
      <c r="D64" s="151" t="str">
        <f t="shared" si="0"/>
        <v>1</v>
      </c>
      <c r="E64" s="153" t="s">
        <v>837</v>
      </c>
      <c r="F64" s="151">
        <f t="shared" si="1"/>
        <v>3</v>
      </c>
      <c r="G64" s="151" t="str">
        <f t="shared" si="2"/>
        <v>1.1.3</v>
      </c>
      <c r="H64" s="156" t="s">
        <v>1681</v>
      </c>
      <c r="I64" s="159" t="s">
        <v>858</v>
      </c>
      <c r="J64" s="159" t="s">
        <v>861</v>
      </c>
      <c r="K64" s="159" t="s">
        <v>841</v>
      </c>
      <c r="L64" s="160">
        <v>0</v>
      </c>
      <c r="M64" s="161">
        <v>0</v>
      </c>
      <c r="N64" s="161">
        <v>0</v>
      </c>
      <c r="O64" s="164">
        <f t="shared" si="3"/>
        <v>0</v>
      </c>
      <c r="P64" s="161">
        <v>0</v>
      </c>
      <c r="Q64" s="161">
        <v>0</v>
      </c>
      <c r="R64" s="164">
        <f>$L64*'Pivot Objective'!$C$9*P64*Q64</f>
        <v>0</v>
      </c>
      <c r="S64" s="161">
        <v>0</v>
      </c>
      <c r="T64" s="161">
        <v>0</v>
      </c>
      <c r="U64" s="164">
        <f>($L64*'Pivot Objective'!$C$9^2)*S64*T64</f>
        <v>0</v>
      </c>
      <c r="V64" s="161">
        <v>0</v>
      </c>
      <c r="W64" s="161">
        <v>0</v>
      </c>
      <c r="X64" s="164">
        <f>($L64*'Pivot Objective'!$C$9^3)*V64*W64</f>
        <v>0</v>
      </c>
      <c r="Y64" s="161">
        <v>0</v>
      </c>
      <c r="Z64" s="161">
        <v>0</v>
      </c>
      <c r="AA64" s="164">
        <f>($L64*'Pivot Objective'!$C$9^4)*Y64*Z64</f>
        <v>0</v>
      </c>
      <c r="AB64" s="151"/>
      <c r="AC64" s="151"/>
      <c r="AD64" s="164">
        <f>($L64*'Pivot Objective'!$C$9^5)*AB64*AC64</f>
        <v>0</v>
      </c>
      <c r="AE64" s="161">
        <v>0</v>
      </c>
      <c r="AF64" s="161">
        <v>0</v>
      </c>
      <c r="AG64" s="164">
        <f>($L64*'Pivot Objective'!$C$9^6)*AE64*AF64</f>
        <v>0</v>
      </c>
      <c r="AH64" s="151"/>
      <c r="AI64" s="151"/>
      <c r="AJ64" s="164">
        <f>($L64*'Pivot Objective'!$C$9^7)*AH64*AI64</f>
        <v>0</v>
      </c>
      <c r="AK64" s="185">
        <f t="shared" si="4"/>
        <v>0</v>
      </c>
      <c r="AL64" s="186">
        <f t="shared" si="5"/>
        <v>0</v>
      </c>
    </row>
    <row r="65" spans="1:38" ht="57.6" x14ac:dyDescent="0.3">
      <c r="A65" s="151" t="s">
        <v>1440</v>
      </c>
      <c r="B65" s="151">
        <v>1</v>
      </c>
      <c r="C65" s="152" t="s">
        <v>836</v>
      </c>
      <c r="D65" s="151" t="str">
        <f t="shared" si="0"/>
        <v>1</v>
      </c>
      <c r="E65" s="153" t="s">
        <v>837</v>
      </c>
      <c r="F65" s="151">
        <f t="shared" si="1"/>
        <v>3</v>
      </c>
      <c r="G65" s="151" t="str">
        <f t="shared" si="2"/>
        <v>1.1.3</v>
      </c>
      <c r="H65" s="156" t="s">
        <v>1681</v>
      </c>
      <c r="I65" s="159" t="s">
        <v>858</v>
      </c>
      <c r="J65" s="159" t="s">
        <v>1319</v>
      </c>
      <c r="K65" s="159" t="s">
        <v>709</v>
      </c>
      <c r="L65" s="160">
        <v>35000</v>
      </c>
      <c r="M65" s="161">
        <v>0</v>
      </c>
      <c r="N65" s="161">
        <v>0</v>
      </c>
      <c r="O65" s="164">
        <f t="shared" si="3"/>
        <v>0</v>
      </c>
      <c r="P65" s="161">
        <v>100</v>
      </c>
      <c r="Q65" s="161">
        <v>5</v>
      </c>
      <c r="R65" s="164">
        <f>$L65*'Pivot Objective'!$C$9*P65*Q65</f>
        <v>20001119.197499998</v>
      </c>
      <c r="S65" s="161"/>
      <c r="T65" s="161"/>
      <c r="U65" s="164">
        <f>($L65*'Pivot Objective'!$C$9^2)*S65*T65</f>
        <v>0</v>
      </c>
      <c r="V65" s="161"/>
      <c r="W65" s="161"/>
      <c r="X65" s="164">
        <f>($L65*'Pivot Objective'!$C$9^3)*V65*W65</f>
        <v>0</v>
      </c>
      <c r="Y65" s="161"/>
      <c r="Z65" s="161"/>
      <c r="AA65" s="164">
        <f>($L65*'Pivot Objective'!$C$9^4)*Y65*Z65</f>
        <v>0</v>
      </c>
      <c r="AB65" s="151"/>
      <c r="AC65" s="151"/>
      <c r="AD65" s="164">
        <f>($L65*'Pivot Objective'!$C$9^5)*AB65*AC65</f>
        <v>0</v>
      </c>
      <c r="AE65" s="161">
        <v>100</v>
      </c>
      <c r="AF65" s="161">
        <v>5</v>
      </c>
      <c r="AG65" s="164">
        <f>($L65*'Pivot Objective'!$C$9^6)*AE65*AF65</f>
        <v>39006370.795998633</v>
      </c>
      <c r="AH65" s="151"/>
      <c r="AI65" s="151"/>
      <c r="AJ65" s="164">
        <f>($L65*'Pivot Objective'!$C$9^7)*AH65*AI65</f>
        <v>0</v>
      </c>
      <c r="AK65" s="185">
        <f t="shared" si="4"/>
        <v>59007489.993498631</v>
      </c>
      <c r="AL65" s="186">
        <f t="shared" si="5"/>
        <v>57288.825236406439</v>
      </c>
    </row>
    <row r="66" spans="1:38" ht="57.6" x14ac:dyDescent="0.3">
      <c r="A66" s="151" t="s">
        <v>1440</v>
      </c>
      <c r="B66" s="151">
        <v>1</v>
      </c>
      <c r="C66" s="152" t="s">
        <v>836</v>
      </c>
      <c r="D66" s="151" t="str">
        <f t="shared" ref="D66:D129" si="6">RIGHT(A66,1)</f>
        <v>1</v>
      </c>
      <c r="E66" s="153" t="s">
        <v>837</v>
      </c>
      <c r="F66" s="151">
        <f t="shared" si="1"/>
        <v>3</v>
      </c>
      <c r="G66" s="151" t="str">
        <f t="shared" si="2"/>
        <v>1.1.3</v>
      </c>
      <c r="H66" s="156" t="s">
        <v>1681</v>
      </c>
      <c r="I66" s="159" t="s">
        <v>858</v>
      </c>
      <c r="J66" s="159" t="s">
        <v>1319</v>
      </c>
      <c r="K66" s="159" t="s">
        <v>716</v>
      </c>
      <c r="L66" s="160">
        <v>39000</v>
      </c>
      <c r="M66" s="161">
        <v>0</v>
      </c>
      <c r="N66" s="161">
        <v>0</v>
      </c>
      <c r="O66" s="164">
        <f t="shared" si="3"/>
        <v>0</v>
      </c>
      <c r="P66" s="161">
        <v>58</v>
      </c>
      <c r="Q66" s="161">
        <v>6</v>
      </c>
      <c r="R66" s="164">
        <f>$L66*'Pivot Objective'!$C$9*P66*Q66</f>
        <v>15511725.128483998</v>
      </c>
      <c r="S66" s="161"/>
      <c r="T66" s="161"/>
      <c r="U66" s="164">
        <f>($L66*'Pivot Objective'!$C$9^2)*S66*T66</f>
        <v>0</v>
      </c>
      <c r="V66" s="161"/>
      <c r="W66" s="161"/>
      <c r="X66" s="164">
        <f>($L66*'Pivot Objective'!$C$9^3)*V66*W66</f>
        <v>0</v>
      </c>
      <c r="Y66" s="161"/>
      <c r="Z66" s="161"/>
      <c r="AA66" s="164">
        <f>($L66*'Pivot Objective'!$C$9^4)*Y66*Z66</f>
        <v>0</v>
      </c>
      <c r="AB66" s="151"/>
      <c r="AC66" s="151"/>
      <c r="AD66" s="164">
        <f>($L66*'Pivot Objective'!$C$9^5)*AB66*AC66</f>
        <v>0</v>
      </c>
      <c r="AE66" s="161">
        <v>58</v>
      </c>
      <c r="AF66" s="161">
        <v>6</v>
      </c>
      <c r="AG66" s="164">
        <f>($L66*'Pivot Objective'!$C$9^6)*AE66*AF66</f>
        <v>30251112.253902487</v>
      </c>
      <c r="AH66" s="151"/>
      <c r="AI66" s="151"/>
      <c r="AJ66" s="164">
        <f>($L66*'Pivot Objective'!$C$9^7)*AH66*AI66</f>
        <v>0</v>
      </c>
      <c r="AK66" s="185">
        <f t="shared" si="4"/>
        <v>45762837.382386483</v>
      </c>
      <c r="AL66" s="186">
        <f t="shared" si="5"/>
        <v>44429.93920620047</v>
      </c>
    </row>
    <row r="67" spans="1:38" ht="57.6" x14ac:dyDescent="0.3">
      <c r="A67" s="151" t="s">
        <v>1440</v>
      </c>
      <c r="B67" s="151">
        <v>1</v>
      </c>
      <c r="C67" s="152" t="s">
        <v>836</v>
      </c>
      <c r="D67" s="151" t="str">
        <f t="shared" si="6"/>
        <v>1</v>
      </c>
      <c r="E67" s="153" t="s">
        <v>837</v>
      </c>
      <c r="F67" s="151">
        <f t="shared" ref="F67:F130" si="7">IF(H67=H66,F66,F66+1)</f>
        <v>3</v>
      </c>
      <c r="G67" s="151" t="str">
        <f t="shared" ref="G67:G130" si="8">B67&amp;"."&amp;D67&amp;"."&amp;F67</f>
        <v>1.1.3</v>
      </c>
      <c r="H67" s="156" t="s">
        <v>1681</v>
      </c>
      <c r="I67" s="159" t="s">
        <v>858</v>
      </c>
      <c r="J67" s="159" t="s">
        <v>1319</v>
      </c>
      <c r="K67" s="159" t="s">
        <v>1349</v>
      </c>
      <c r="L67" s="160">
        <f>1999/7</f>
        <v>285.57142857142856</v>
      </c>
      <c r="M67" s="161">
        <v>0</v>
      </c>
      <c r="N67" s="161">
        <v>0</v>
      </c>
      <c r="O67" s="164">
        <f t="shared" ref="O67:O130" si="9">$L67*M67*N67</f>
        <v>0</v>
      </c>
      <c r="P67" s="161">
        <f>25*2*29</f>
        <v>1450</v>
      </c>
      <c r="Q67" s="161">
        <v>5</v>
      </c>
      <c r="R67" s="164">
        <f>$L67*'Pivot Objective'!$C$9*P67*Q67</f>
        <v>2366295.6755066784</v>
      </c>
      <c r="S67" s="161"/>
      <c r="T67" s="161"/>
      <c r="U67" s="164">
        <f>($L67*'Pivot Objective'!$C$9^2)*S67*T67</f>
        <v>0</v>
      </c>
      <c r="V67" s="161"/>
      <c r="W67" s="161"/>
      <c r="X67" s="164">
        <f>($L67*'Pivot Objective'!$C$9^3)*V67*W67</f>
        <v>0</v>
      </c>
      <c r="Y67" s="161"/>
      <c r="Z67" s="161"/>
      <c r="AA67" s="164">
        <f>($L67*'Pivot Objective'!$C$9^4)*Y67*Z67</f>
        <v>0</v>
      </c>
      <c r="AB67" s="151"/>
      <c r="AC67" s="151"/>
      <c r="AD67" s="164">
        <f>($L67*'Pivot Objective'!$C$9^5)*AB67*AC67</f>
        <v>0</v>
      </c>
      <c r="AE67" s="161">
        <f>25*2*29</f>
        <v>1450</v>
      </c>
      <c r="AF67" s="161">
        <v>5</v>
      </c>
      <c r="AG67" s="164">
        <f>($L67*'Pivot Objective'!$C$9^6)*AE67*AF67</f>
        <v>4614772.0845200755</v>
      </c>
      <c r="AH67" s="151"/>
      <c r="AI67" s="151"/>
      <c r="AJ67" s="164">
        <f>($L67*'Pivot Objective'!$C$9^7)*AH67*AI67</f>
        <v>0</v>
      </c>
      <c r="AK67" s="185">
        <f t="shared" ref="AK67:AK130" si="10">O67+R67+U67+X67+AA67+AD67+AG67+AJ67</f>
        <v>6981067.7600267539</v>
      </c>
      <c r="AL67" s="186">
        <f t="shared" ref="AL67:AL130" si="11">AK67/$AP$2</f>
        <v>6777.735689346363</v>
      </c>
    </row>
    <row r="68" spans="1:38" ht="57.6" x14ac:dyDescent="0.3">
      <c r="A68" s="151" t="s">
        <v>1440</v>
      </c>
      <c r="B68" s="151">
        <v>1</v>
      </c>
      <c r="C68" s="152" t="s">
        <v>836</v>
      </c>
      <c r="D68" s="151" t="str">
        <f t="shared" si="6"/>
        <v>1</v>
      </c>
      <c r="E68" s="153" t="s">
        <v>837</v>
      </c>
      <c r="F68" s="151">
        <f t="shared" si="7"/>
        <v>3</v>
      </c>
      <c r="G68" s="151" t="str">
        <f t="shared" si="8"/>
        <v>1.1.3</v>
      </c>
      <c r="H68" s="156" t="s">
        <v>1681</v>
      </c>
      <c r="I68" s="159" t="s">
        <v>858</v>
      </c>
      <c r="J68" s="159" t="s">
        <v>1319</v>
      </c>
      <c r="K68" s="159" t="s">
        <v>1350</v>
      </c>
      <c r="L68" s="160">
        <f>1999/7</f>
        <v>285.57142857142856</v>
      </c>
      <c r="M68" s="161">
        <v>0</v>
      </c>
      <c r="N68" s="161">
        <v>0</v>
      </c>
      <c r="O68" s="164">
        <f t="shared" si="9"/>
        <v>0</v>
      </c>
      <c r="P68" s="161">
        <v>22500</v>
      </c>
      <c r="Q68" s="161">
        <v>1</v>
      </c>
      <c r="R68" s="164">
        <f>$L68*'Pivot Objective'!$C$9*P68*Q68</f>
        <v>7343676.2343310704</v>
      </c>
      <c r="S68" s="161"/>
      <c r="T68" s="161"/>
      <c r="U68" s="164">
        <f>($L68*'Pivot Objective'!$C$9^2)*S68*T68</f>
        <v>0</v>
      </c>
      <c r="V68" s="161"/>
      <c r="W68" s="161"/>
      <c r="X68" s="164">
        <f>($L68*'Pivot Objective'!$C$9^3)*V68*W68</f>
        <v>0</v>
      </c>
      <c r="Y68" s="161"/>
      <c r="Z68" s="161"/>
      <c r="AA68" s="164">
        <f>($L68*'Pivot Objective'!$C$9^4)*Y68*Z68</f>
        <v>0</v>
      </c>
      <c r="AB68" s="151"/>
      <c r="AC68" s="151"/>
      <c r="AD68" s="164">
        <f>($L68*'Pivot Objective'!$C$9^5)*AB68*AC68</f>
        <v>0</v>
      </c>
      <c r="AE68" s="161">
        <v>22500</v>
      </c>
      <c r="AF68" s="161">
        <v>1</v>
      </c>
      <c r="AG68" s="164">
        <f>($L68*'Pivot Objective'!$C$9^6)*AE68*AF68</f>
        <v>14321706.469200233</v>
      </c>
      <c r="AH68" s="151"/>
      <c r="AI68" s="151"/>
      <c r="AJ68" s="164">
        <f>($L68*'Pivot Objective'!$C$9^7)*AH68*AI68</f>
        <v>0</v>
      </c>
      <c r="AK68" s="185">
        <f t="shared" si="10"/>
        <v>21665382.703531303</v>
      </c>
      <c r="AL68" s="186">
        <f t="shared" si="11"/>
        <v>21034.35213935078</v>
      </c>
    </row>
    <row r="69" spans="1:38" ht="57.6" x14ac:dyDescent="0.3">
      <c r="A69" s="151" t="s">
        <v>1440</v>
      </c>
      <c r="B69" s="151">
        <v>1</v>
      </c>
      <c r="C69" s="152" t="s">
        <v>836</v>
      </c>
      <c r="D69" s="151" t="str">
        <f t="shared" si="6"/>
        <v>1</v>
      </c>
      <c r="E69" s="153" t="s">
        <v>837</v>
      </c>
      <c r="F69" s="151">
        <f t="shared" si="7"/>
        <v>3</v>
      </c>
      <c r="G69" s="151" t="str">
        <f t="shared" si="8"/>
        <v>1.1.3</v>
      </c>
      <c r="H69" s="156" t="s">
        <v>1681</v>
      </c>
      <c r="I69" s="159" t="s">
        <v>858</v>
      </c>
      <c r="J69" s="159" t="s">
        <v>156</v>
      </c>
      <c r="K69" s="159" t="s">
        <v>709</v>
      </c>
      <c r="L69" s="160">
        <v>35000</v>
      </c>
      <c r="M69" s="161">
        <v>0</v>
      </c>
      <c r="N69" s="161">
        <v>0</v>
      </c>
      <c r="O69" s="164">
        <f t="shared" si="9"/>
        <v>0</v>
      </c>
      <c r="P69" s="161">
        <v>100</v>
      </c>
      <c r="Q69" s="161">
        <v>1</v>
      </c>
      <c r="R69" s="164">
        <f>$L69*'Pivot Objective'!$C$9*P69*Q69</f>
        <v>4000223.8394999993</v>
      </c>
      <c r="S69" s="161">
        <v>0</v>
      </c>
      <c r="T69" s="161">
        <v>0</v>
      </c>
      <c r="U69" s="164">
        <f>($L69*'Pivot Objective'!$C$9^2)*S69*T69</f>
        <v>0</v>
      </c>
      <c r="V69" s="161">
        <v>0</v>
      </c>
      <c r="W69" s="161">
        <v>0</v>
      </c>
      <c r="X69" s="164">
        <f>($L69*'Pivot Objective'!$C$9^3)*V69*W69</f>
        <v>0</v>
      </c>
      <c r="Y69" s="161">
        <v>0</v>
      </c>
      <c r="Z69" s="161">
        <v>0</v>
      </c>
      <c r="AA69" s="164">
        <f>($L69*'Pivot Objective'!$C$9^4)*Y69*Z69</f>
        <v>0</v>
      </c>
      <c r="AB69" s="151"/>
      <c r="AC69" s="151"/>
      <c r="AD69" s="164">
        <f>($L69*'Pivot Objective'!$C$9^5)*AB69*AC69</f>
        <v>0</v>
      </c>
      <c r="AE69" s="161">
        <v>100</v>
      </c>
      <c r="AF69" s="161">
        <v>1</v>
      </c>
      <c r="AG69" s="164">
        <f>($L69*'Pivot Objective'!$C$9^6)*AE69*AF69</f>
        <v>7801274.1591997268</v>
      </c>
      <c r="AH69" s="151"/>
      <c r="AI69" s="151"/>
      <c r="AJ69" s="164">
        <f>($L69*'Pivot Objective'!$C$9^7)*AH69*AI69</f>
        <v>0</v>
      </c>
      <c r="AK69" s="185">
        <f t="shared" si="10"/>
        <v>11801497.998699727</v>
      </c>
      <c r="AL69" s="186">
        <f t="shared" si="11"/>
        <v>11457.765047281287</v>
      </c>
    </row>
    <row r="70" spans="1:38" ht="57.6" x14ac:dyDescent="0.3">
      <c r="A70" s="151" t="s">
        <v>1440</v>
      </c>
      <c r="B70" s="151">
        <v>1</v>
      </c>
      <c r="C70" s="152" t="s">
        <v>836</v>
      </c>
      <c r="D70" s="151" t="str">
        <f t="shared" si="6"/>
        <v>1</v>
      </c>
      <c r="E70" s="153" t="s">
        <v>837</v>
      </c>
      <c r="F70" s="151">
        <f t="shared" si="7"/>
        <v>3</v>
      </c>
      <c r="G70" s="151" t="str">
        <f t="shared" si="8"/>
        <v>1.1.3</v>
      </c>
      <c r="H70" s="156" t="s">
        <v>1681</v>
      </c>
      <c r="I70" s="159" t="s">
        <v>858</v>
      </c>
      <c r="J70" s="159" t="s">
        <v>156</v>
      </c>
      <c r="K70" s="159" t="s">
        <v>716</v>
      </c>
      <c r="L70" s="160">
        <v>39000</v>
      </c>
      <c r="M70" s="161">
        <v>0</v>
      </c>
      <c r="N70" s="161">
        <v>0</v>
      </c>
      <c r="O70" s="164">
        <f t="shared" si="9"/>
        <v>0</v>
      </c>
      <c r="P70" s="161">
        <v>58</v>
      </c>
      <c r="Q70" s="161">
        <v>2</v>
      </c>
      <c r="R70" s="164">
        <f>$L70*'Pivot Objective'!$C$9*P70*Q70</f>
        <v>5170575.0428279992</v>
      </c>
      <c r="S70" s="161">
        <v>0</v>
      </c>
      <c r="T70" s="161">
        <v>0</v>
      </c>
      <c r="U70" s="164">
        <f>($L70*'Pivot Objective'!$C$9^2)*S70*T70</f>
        <v>0</v>
      </c>
      <c r="V70" s="161">
        <v>0</v>
      </c>
      <c r="W70" s="161">
        <v>0</v>
      </c>
      <c r="X70" s="164">
        <f>($L70*'Pivot Objective'!$C$9^3)*V70*W70</f>
        <v>0</v>
      </c>
      <c r="Y70" s="161">
        <v>0</v>
      </c>
      <c r="Z70" s="161">
        <v>0</v>
      </c>
      <c r="AA70" s="164">
        <f>($L70*'Pivot Objective'!$C$9^4)*Y70*Z70</f>
        <v>0</v>
      </c>
      <c r="AB70" s="151"/>
      <c r="AC70" s="151"/>
      <c r="AD70" s="164">
        <f>($L70*'Pivot Objective'!$C$9^5)*AB70*AC70</f>
        <v>0</v>
      </c>
      <c r="AE70" s="161">
        <v>58</v>
      </c>
      <c r="AF70" s="161">
        <v>2</v>
      </c>
      <c r="AG70" s="164">
        <f>($L70*'Pivot Objective'!$C$9^6)*AE70*AF70</f>
        <v>10083704.084634162</v>
      </c>
      <c r="AH70" s="151"/>
      <c r="AI70" s="151"/>
      <c r="AJ70" s="164">
        <f>($L70*'Pivot Objective'!$C$9^7)*AH70*AI70</f>
        <v>0</v>
      </c>
      <c r="AK70" s="185">
        <f t="shared" si="10"/>
        <v>15254279.127462162</v>
      </c>
      <c r="AL70" s="186">
        <f t="shared" si="11"/>
        <v>14809.979735400157</v>
      </c>
    </row>
    <row r="71" spans="1:38" ht="57.6" x14ac:dyDescent="0.3">
      <c r="A71" s="151" t="s">
        <v>1440</v>
      </c>
      <c r="B71" s="151">
        <v>1</v>
      </c>
      <c r="C71" s="152" t="s">
        <v>836</v>
      </c>
      <c r="D71" s="151" t="str">
        <f t="shared" si="6"/>
        <v>1</v>
      </c>
      <c r="E71" s="153" t="s">
        <v>837</v>
      </c>
      <c r="F71" s="151">
        <f t="shared" si="7"/>
        <v>3</v>
      </c>
      <c r="G71" s="151" t="str">
        <f t="shared" si="8"/>
        <v>1.1.3</v>
      </c>
      <c r="H71" s="156" t="s">
        <v>1681</v>
      </c>
      <c r="I71" s="159" t="s">
        <v>858</v>
      </c>
      <c r="J71" s="159" t="s">
        <v>156</v>
      </c>
      <c r="K71" s="159" t="s">
        <v>712</v>
      </c>
      <c r="L71" s="160">
        <f>1999/7</f>
        <v>285.57142857142856</v>
      </c>
      <c r="M71" s="161">
        <v>0</v>
      </c>
      <c r="N71" s="161">
        <v>0</v>
      </c>
      <c r="O71" s="164">
        <f t="shared" si="9"/>
        <v>0</v>
      </c>
      <c r="P71" s="161">
        <f>25*2*29</f>
        <v>1450</v>
      </c>
      <c r="Q71" s="161">
        <v>1</v>
      </c>
      <c r="R71" s="164">
        <f>$L71*'Pivot Objective'!$C$9*P71*Q71</f>
        <v>473259.13510133565</v>
      </c>
      <c r="S71" s="161">
        <v>0</v>
      </c>
      <c r="T71" s="161">
        <v>0</v>
      </c>
      <c r="U71" s="164">
        <f>($L71*'Pivot Objective'!$C$9^2)*S71*T71</f>
        <v>0</v>
      </c>
      <c r="V71" s="161">
        <v>0</v>
      </c>
      <c r="W71" s="161">
        <v>0</v>
      </c>
      <c r="X71" s="164">
        <f>($L71*'Pivot Objective'!$C$9^3)*V71*W71</f>
        <v>0</v>
      </c>
      <c r="Y71" s="161">
        <v>0</v>
      </c>
      <c r="Z71" s="161">
        <v>0</v>
      </c>
      <c r="AA71" s="164">
        <f>($L71*'Pivot Objective'!$C$9^4)*Y71*Z71</f>
        <v>0</v>
      </c>
      <c r="AB71" s="151"/>
      <c r="AC71" s="151"/>
      <c r="AD71" s="164">
        <f>($L71*'Pivot Objective'!$C$9^5)*AB71*AC71</f>
        <v>0</v>
      </c>
      <c r="AE71" s="161">
        <f>25*2*29</f>
        <v>1450</v>
      </c>
      <c r="AF71" s="161">
        <v>1</v>
      </c>
      <c r="AG71" s="164">
        <f>($L71*'Pivot Objective'!$C$9^6)*AE71*AF71</f>
        <v>922954.416904015</v>
      </c>
      <c r="AH71" s="151"/>
      <c r="AI71" s="151"/>
      <c r="AJ71" s="164">
        <f>($L71*'Pivot Objective'!$C$9^7)*AH71*AI71</f>
        <v>0</v>
      </c>
      <c r="AK71" s="185">
        <f t="shared" si="10"/>
        <v>1396213.5520053506</v>
      </c>
      <c r="AL71" s="186">
        <f t="shared" si="11"/>
        <v>1355.5471378692723</v>
      </c>
    </row>
    <row r="72" spans="1:38" ht="57.6" x14ac:dyDescent="0.3">
      <c r="A72" s="151" t="s">
        <v>1440</v>
      </c>
      <c r="B72" s="151">
        <v>1</v>
      </c>
      <c r="C72" s="152" t="s">
        <v>836</v>
      </c>
      <c r="D72" s="151" t="str">
        <f t="shared" si="6"/>
        <v>1</v>
      </c>
      <c r="E72" s="153" t="s">
        <v>837</v>
      </c>
      <c r="F72" s="151">
        <f t="shared" si="7"/>
        <v>3</v>
      </c>
      <c r="G72" s="151" t="str">
        <f t="shared" si="8"/>
        <v>1.1.3</v>
      </c>
      <c r="H72" s="156" t="s">
        <v>1681</v>
      </c>
      <c r="I72" s="159" t="s">
        <v>858</v>
      </c>
      <c r="J72" s="159" t="s">
        <v>156</v>
      </c>
      <c r="K72" s="159" t="s">
        <v>1299</v>
      </c>
      <c r="L72" s="160">
        <f>1999/7</f>
        <v>285.57142857142856</v>
      </c>
      <c r="M72" s="161">
        <v>0</v>
      </c>
      <c r="N72" s="161">
        <v>0</v>
      </c>
      <c r="O72" s="164">
        <f t="shared" si="9"/>
        <v>0</v>
      </c>
      <c r="P72" s="161">
        <v>22500</v>
      </c>
      <c r="Q72" s="161">
        <v>1</v>
      </c>
      <c r="R72" s="164">
        <f>$L72*'Pivot Objective'!$C$9*P72*Q72</f>
        <v>7343676.2343310704</v>
      </c>
      <c r="S72" s="161"/>
      <c r="T72" s="161"/>
      <c r="U72" s="164">
        <f>($L72*'Pivot Objective'!$C$9^2)*S72*T72</f>
        <v>0</v>
      </c>
      <c r="V72" s="161"/>
      <c r="W72" s="161"/>
      <c r="X72" s="164">
        <f>($L72*'Pivot Objective'!$C$9^3)*V72*W72</f>
        <v>0</v>
      </c>
      <c r="Y72" s="161"/>
      <c r="Z72" s="161"/>
      <c r="AA72" s="164">
        <f>($L72*'Pivot Objective'!$C$9^4)*Y72*Z72</f>
        <v>0</v>
      </c>
      <c r="AB72" s="151"/>
      <c r="AC72" s="151"/>
      <c r="AD72" s="164">
        <f>($L72*'Pivot Objective'!$C$9^5)*AB72*AC72</f>
        <v>0</v>
      </c>
      <c r="AE72" s="161">
        <v>22500</v>
      </c>
      <c r="AF72" s="161">
        <v>1</v>
      </c>
      <c r="AG72" s="164">
        <f>($L72*'Pivot Objective'!$C$9^6)*AE72*AF72</f>
        <v>14321706.469200233</v>
      </c>
      <c r="AH72" s="151"/>
      <c r="AI72" s="151"/>
      <c r="AJ72" s="164">
        <f>($L72*'Pivot Objective'!$C$9^7)*AH72*AI72</f>
        <v>0</v>
      </c>
      <c r="AK72" s="185">
        <f t="shared" si="10"/>
        <v>21665382.703531303</v>
      </c>
      <c r="AL72" s="186">
        <f t="shared" si="11"/>
        <v>21034.35213935078</v>
      </c>
    </row>
    <row r="73" spans="1:38" ht="57.6" x14ac:dyDescent="0.3">
      <c r="A73" s="151" t="s">
        <v>1440</v>
      </c>
      <c r="B73" s="151">
        <v>1</v>
      </c>
      <c r="C73" s="152" t="s">
        <v>836</v>
      </c>
      <c r="D73" s="151" t="str">
        <f t="shared" si="6"/>
        <v>1</v>
      </c>
      <c r="E73" s="153" t="s">
        <v>837</v>
      </c>
      <c r="F73" s="151">
        <f t="shared" si="7"/>
        <v>3</v>
      </c>
      <c r="G73" s="151" t="str">
        <f t="shared" si="8"/>
        <v>1.1.3</v>
      </c>
      <c r="H73" s="156" t="s">
        <v>1681</v>
      </c>
      <c r="I73" s="159" t="s">
        <v>858</v>
      </c>
      <c r="J73" s="159" t="s">
        <v>156</v>
      </c>
      <c r="K73" s="159" t="s">
        <v>1297</v>
      </c>
      <c r="L73" s="160">
        <v>8000</v>
      </c>
      <c r="M73" s="161">
        <v>0</v>
      </c>
      <c r="N73" s="161">
        <v>0</v>
      </c>
      <c r="O73" s="164">
        <f t="shared" si="9"/>
        <v>0</v>
      </c>
      <c r="P73" s="161">
        <v>10</v>
      </c>
      <c r="Q73" s="161">
        <v>1</v>
      </c>
      <c r="R73" s="164">
        <f>$L73*'Pivot Objective'!$C$9*P73*Q73</f>
        <v>91433.687760000001</v>
      </c>
      <c r="S73" s="161">
        <v>0</v>
      </c>
      <c r="T73" s="161">
        <v>0</v>
      </c>
      <c r="U73" s="164">
        <f>($L73*'Pivot Objective'!$C$9^2)*S73*T73</f>
        <v>0</v>
      </c>
      <c r="V73" s="161">
        <v>0</v>
      </c>
      <c r="W73" s="161">
        <v>0</v>
      </c>
      <c r="X73" s="164">
        <f>($L73*'Pivot Objective'!$C$9^3)*V73*W73</f>
        <v>0</v>
      </c>
      <c r="Y73" s="161">
        <v>0</v>
      </c>
      <c r="Z73" s="161">
        <v>0</v>
      </c>
      <c r="AA73" s="164">
        <f>($L73*'Pivot Objective'!$C$9^4)*Y73*Z73</f>
        <v>0</v>
      </c>
      <c r="AB73" s="151"/>
      <c r="AC73" s="151"/>
      <c r="AD73" s="164">
        <f>($L73*'Pivot Objective'!$C$9^5)*AB73*AC73</f>
        <v>0</v>
      </c>
      <c r="AE73" s="161">
        <v>10</v>
      </c>
      <c r="AF73" s="161">
        <v>1</v>
      </c>
      <c r="AG73" s="164">
        <f>($L73*'Pivot Objective'!$C$9^6)*AE73*AF73</f>
        <v>178314.83792456522</v>
      </c>
      <c r="AH73" s="151"/>
      <c r="AI73" s="151"/>
      <c r="AJ73" s="164">
        <f>($L73*'Pivot Objective'!$C$9^7)*AH73*AI73</f>
        <v>0</v>
      </c>
      <c r="AK73" s="185">
        <f t="shared" si="10"/>
        <v>269748.52568456519</v>
      </c>
      <c r="AL73" s="186">
        <f t="shared" si="11"/>
        <v>261.89177250928657</v>
      </c>
    </row>
    <row r="74" spans="1:38" ht="57.6" x14ac:dyDescent="0.3">
      <c r="A74" s="151" t="s">
        <v>1440</v>
      </c>
      <c r="B74" s="151">
        <v>1</v>
      </c>
      <c r="C74" s="152" t="s">
        <v>836</v>
      </c>
      <c r="D74" s="151" t="str">
        <f t="shared" si="6"/>
        <v>1</v>
      </c>
      <c r="E74" s="153" t="s">
        <v>837</v>
      </c>
      <c r="F74" s="151">
        <f t="shared" si="7"/>
        <v>3</v>
      </c>
      <c r="G74" s="151" t="str">
        <f t="shared" si="8"/>
        <v>1.1.3</v>
      </c>
      <c r="H74" s="156" t="s">
        <v>1681</v>
      </c>
      <c r="I74" s="159" t="s">
        <v>858</v>
      </c>
      <c r="J74" s="159" t="s">
        <v>156</v>
      </c>
      <c r="K74" s="159" t="s">
        <v>710</v>
      </c>
      <c r="L74" s="160">
        <v>104850</v>
      </c>
      <c r="M74" s="161">
        <v>0</v>
      </c>
      <c r="N74" s="161">
        <v>0</v>
      </c>
      <c r="O74" s="164">
        <f t="shared" si="9"/>
        <v>0</v>
      </c>
      <c r="P74" s="161">
        <v>1</v>
      </c>
      <c r="Q74" s="161">
        <v>1</v>
      </c>
      <c r="R74" s="164">
        <f>$L74*'Pivot Objective'!$C$9*P74*Q74</f>
        <v>119835.27702044998</v>
      </c>
      <c r="S74" s="161">
        <v>0</v>
      </c>
      <c r="T74" s="161">
        <v>0</v>
      </c>
      <c r="U74" s="164">
        <f>($L74*'Pivot Objective'!$C$9^2)*S74*T74</f>
        <v>0</v>
      </c>
      <c r="V74" s="161">
        <v>0</v>
      </c>
      <c r="W74" s="161">
        <v>0</v>
      </c>
      <c r="X74" s="164">
        <f>($L74*'Pivot Objective'!$C$9^3)*V74*W74</f>
        <v>0</v>
      </c>
      <c r="Y74" s="161">
        <v>0</v>
      </c>
      <c r="Z74" s="161">
        <v>0</v>
      </c>
      <c r="AA74" s="164">
        <f>($L74*'Pivot Objective'!$C$9^4)*Y74*Z74</f>
        <v>0</v>
      </c>
      <c r="AB74" s="151"/>
      <c r="AC74" s="151"/>
      <c r="AD74" s="164">
        <f>($L74*'Pivot Objective'!$C$9^5)*AB74*AC74</f>
        <v>0</v>
      </c>
      <c r="AE74" s="161">
        <v>1</v>
      </c>
      <c r="AF74" s="161">
        <v>1</v>
      </c>
      <c r="AG74" s="164">
        <f>($L74*'Pivot Objective'!$C$9^6)*AE74*AF74</f>
        <v>233703.88445488326</v>
      </c>
      <c r="AH74" s="151"/>
      <c r="AI74" s="151"/>
      <c r="AJ74" s="164">
        <f>($L74*'Pivot Objective'!$C$9^7)*AH74*AI74</f>
        <v>0</v>
      </c>
      <c r="AK74" s="185">
        <f t="shared" si="10"/>
        <v>353539.16147533327</v>
      </c>
      <c r="AL74" s="186">
        <f t="shared" si="11"/>
        <v>343.24190434498377</v>
      </c>
    </row>
    <row r="75" spans="1:38" ht="57.6" x14ac:dyDescent="0.3">
      <c r="A75" s="151" t="s">
        <v>1440</v>
      </c>
      <c r="B75" s="151">
        <v>1</v>
      </c>
      <c r="C75" s="152" t="s">
        <v>836</v>
      </c>
      <c r="D75" s="151" t="str">
        <f t="shared" si="6"/>
        <v>1</v>
      </c>
      <c r="E75" s="153" t="s">
        <v>837</v>
      </c>
      <c r="F75" s="151">
        <f t="shared" si="7"/>
        <v>3</v>
      </c>
      <c r="G75" s="151" t="str">
        <f t="shared" si="8"/>
        <v>1.1.3</v>
      </c>
      <c r="H75" s="156" t="s">
        <v>1681</v>
      </c>
      <c r="I75" s="159" t="s">
        <v>858</v>
      </c>
      <c r="J75" s="159" t="s">
        <v>862</v>
      </c>
      <c r="K75" s="159" t="s">
        <v>841</v>
      </c>
      <c r="L75" s="160">
        <v>0</v>
      </c>
      <c r="M75" s="161">
        <v>0</v>
      </c>
      <c r="N75" s="161">
        <v>0</v>
      </c>
      <c r="O75" s="164">
        <f t="shared" si="9"/>
        <v>0</v>
      </c>
      <c r="P75" s="161">
        <v>0</v>
      </c>
      <c r="Q75" s="161">
        <v>0</v>
      </c>
      <c r="R75" s="164">
        <f>$L75*'Pivot Objective'!$C$9*P75*Q75</f>
        <v>0</v>
      </c>
      <c r="S75" s="161">
        <v>0</v>
      </c>
      <c r="T75" s="161">
        <v>0</v>
      </c>
      <c r="U75" s="164">
        <f>($L75*'Pivot Objective'!$C$9^2)*S75*T75</f>
        <v>0</v>
      </c>
      <c r="V75" s="161">
        <v>0</v>
      </c>
      <c r="W75" s="161">
        <v>0</v>
      </c>
      <c r="X75" s="164">
        <f>($L75*'Pivot Objective'!$C$9^3)*V75*W75</f>
        <v>0</v>
      </c>
      <c r="Y75" s="161">
        <v>0</v>
      </c>
      <c r="Z75" s="161">
        <v>0</v>
      </c>
      <c r="AA75" s="164">
        <f>($L75*'Pivot Objective'!$C$9^4)*Y75*Z75</f>
        <v>0</v>
      </c>
      <c r="AB75" s="151"/>
      <c r="AC75" s="151"/>
      <c r="AD75" s="164">
        <f>($L75*'Pivot Objective'!$C$9^5)*AB75*AC75</f>
        <v>0</v>
      </c>
      <c r="AE75" s="161">
        <v>0</v>
      </c>
      <c r="AF75" s="161">
        <v>0</v>
      </c>
      <c r="AG75" s="164">
        <f>($L75*'Pivot Objective'!$C$9^6)*AE75*AF75</f>
        <v>0</v>
      </c>
      <c r="AH75" s="151"/>
      <c r="AI75" s="151"/>
      <c r="AJ75" s="164">
        <f>($L75*'Pivot Objective'!$C$9^7)*AH75*AI75</f>
        <v>0</v>
      </c>
      <c r="AK75" s="185">
        <f t="shared" si="10"/>
        <v>0</v>
      </c>
      <c r="AL75" s="186">
        <f t="shared" si="11"/>
        <v>0</v>
      </c>
    </row>
    <row r="76" spans="1:38" ht="57.6" x14ac:dyDescent="0.3">
      <c r="A76" s="151" t="s">
        <v>1440</v>
      </c>
      <c r="B76" s="151">
        <v>1</v>
      </c>
      <c r="C76" s="152" t="s">
        <v>836</v>
      </c>
      <c r="D76" s="151" t="str">
        <f t="shared" si="6"/>
        <v>1</v>
      </c>
      <c r="E76" s="153" t="s">
        <v>837</v>
      </c>
      <c r="F76" s="151">
        <f t="shared" si="7"/>
        <v>3</v>
      </c>
      <c r="G76" s="151" t="str">
        <f t="shared" si="8"/>
        <v>1.1.3</v>
      </c>
      <c r="H76" s="156" t="s">
        <v>1681</v>
      </c>
      <c r="I76" s="159" t="s">
        <v>863</v>
      </c>
      <c r="J76" s="159" t="s">
        <v>155</v>
      </c>
      <c r="K76" s="159" t="s">
        <v>841</v>
      </c>
      <c r="L76" s="160">
        <v>0</v>
      </c>
      <c r="M76" s="161">
        <v>0</v>
      </c>
      <c r="N76" s="161">
        <v>0</v>
      </c>
      <c r="O76" s="164">
        <f t="shared" si="9"/>
        <v>0</v>
      </c>
      <c r="P76" s="161">
        <v>0</v>
      </c>
      <c r="Q76" s="161">
        <v>0</v>
      </c>
      <c r="R76" s="164">
        <f>$L76*'Pivot Objective'!$C$9*P76*Q76</f>
        <v>0</v>
      </c>
      <c r="S76" s="161">
        <v>0</v>
      </c>
      <c r="T76" s="161">
        <v>0</v>
      </c>
      <c r="U76" s="164">
        <f>($L76*'Pivot Objective'!$C$9^2)*S76*T76</f>
        <v>0</v>
      </c>
      <c r="V76" s="161">
        <v>0</v>
      </c>
      <c r="W76" s="161">
        <v>0</v>
      </c>
      <c r="X76" s="164">
        <f>($L76*'Pivot Objective'!$C$9^3)*V76*W76</f>
        <v>0</v>
      </c>
      <c r="Y76" s="161">
        <v>0</v>
      </c>
      <c r="Z76" s="161">
        <v>0</v>
      </c>
      <c r="AA76" s="164">
        <f>($L76*'Pivot Objective'!$C$9^4)*Y76*Z76</f>
        <v>0</v>
      </c>
      <c r="AB76" s="151"/>
      <c r="AC76" s="151"/>
      <c r="AD76" s="164">
        <f>($L76*'Pivot Objective'!$C$9^5)*AB76*AC76</f>
        <v>0</v>
      </c>
      <c r="AE76" s="161">
        <v>0</v>
      </c>
      <c r="AF76" s="161">
        <v>0</v>
      </c>
      <c r="AG76" s="164">
        <f>($L76*'Pivot Objective'!$C$9^6)*AE76*AF76</f>
        <v>0</v>
      </c>
      <c r="AH76" s="151"/>
      <c r="AI76" s="151"/>
      <c r="AJ76" s="164">
        <f>($L76*'Pivot Objective'!$C$9^7)*AH76*AI76</f>
        <v>0</v>
      </c>
      <c r="AK76" s="185">
        <f t="shared" si="10"/>
        <v>0</v>
      </c>
      <c r="AL76" s="186">
        <f t="shared" si="11"/>
        <v>0</v>
      </c>
    </row>
    <row r="77" spans="1:38" ht="57.6" x14ac:dyDescent="0.3">
      <c r="A77" s="151" t="s">
        <v>1440</v>
      </c>
      <c r="B77" s="151">
        <v>1</v>
      </c>
      <c r="C77" s="152" t="s">
        <v>836</v>
      </c>
      <c r="D77" s="151" t="str">
        <f t="shared" si="6"/>
        <v>1</v>
      </c>
      <c r="E77" s="153" t="s">
        <v>837</v>
      </c>
      <c r="F77" s="151">
        <f t="shared" si="7"/>
        <v>3</v>
      </c>
      <c r="G77" s="151" t="str">
        <f t="shared" si="8"/>
        <v>1.1.3</v>
      </c>
      <c r="H77" s="156" t="s">
        <v>1681</v>
      </c>
      <c r="I77" s="159" t="s">
        <v>863</v>
      </c>
      <c r="J77" s="159" t="s">
        <v>864</v>
      </c>
      <c r="K77" s="159" t="s">
        <v>841</v>
      </c>
      <c r="L77" s="160">
        <v>0</v>
      </c>
      <c r="M77" s="161">
        <v>0</v>
      </c>
      <c r="N77" s="161">
        <v>0</v>
      </c>
      <c r="O77" s="164">
        <f t="shared" si="9"/>
        <v>0</v>
      </c>
      <c r="P77" s="161">
        <v>0</v>
      </c>
      <c r="Q77" s="161">
        <v>0</v>
      </c>
      <c r="R77" s="164">
        <f>$L77*'Pivot Objective'!$C$9*P77*Q77</f>
        <v>0</v>
      </c>
      <c r="S77" s="161">
        <v>0</v>
      </c>
      <c r="T77" s="161">
        <v>0</v>
      </c>
      <c r="U77" s="164">
        <f>($L77*'Pivot Objective'!$C$9^2)*S77*T77</f>
        <v>0</v>
      </c>
      <c r="V77" s="161">
        <v>0</v>
      </c>
      <c r="W77" s="161">
        <v>0</v>
      </c>
      <c r="X77" s="164">
        <f>($L77*'Pivot Objective'!$C$9^3)*V77*W77</f>
        <v>0</v>
      </c>
      <c r="Y77" s="161">
        <v>0</v>
      </c>
      <c r="Z77" s="161">
        <v>0</v>
      </c>
      <c r="AA77" s="164">
        <f>($L77*'Pivot Objective'!$C$9^4)*Y77*Z77</f>
        <v>0</v>
      </c>
      <c r="AB77" s="151"/>
      <c r="AC77" s="151"/>
      <c r="AD77" s="164">
        <f>($L77*'Pivot Objective'!$C$9^5)*AB77*AC77</f>
        <v>0</v>
      </c>
      <c r="AE77" s="161">
        <v>0</v>
      </c>
      <c r="AF77" s="161">
        <v>0</v>
      </c>
      <c r="AG77" s="164">
        <f>($L77*'Pivot Objective'!$C$9^6)*AE77*AF77</f>
        <v>0</v>
      </c>
      <c r="AH77" s="151"/>
      <c r="AI77" s="151"/>
      <c r="AJ77" s="164">
        <f>($L77*'Pivot Objective'!$C$9^7)*AH77*AI77</f>
        <v>0</v>
      </c>
      <c r="AK77" s="185">
        <f t="shared" si="10"/>
        <v>0</v>
      </c>
      <c r="AL77" s="186">
        <f t="shared" si="11"/>
        <v>0</v>
      </c>
    </row>
    <row r="78" spans="1:38" ht="57.6" x14ac:dyDescent="0.3">
      <c r="A78" s="151" t="s">
        <v>1440</v>
      </c>
      <c r="B78" s="151">
        <v>1</v>
      </c>
      <c r="C78" s="152" t="s">
        <v>836</v>
      </c>
      <c r="D78" s="151" t="str">
        <f t="shared" si="6"/>
        <v>1</v>
      </c>
      <c r="E78" s="153" t="s">
        <v>837</v>
      </c>
      <c r="F78" s="151">
        <f t="shared" si="7"/>
        <v>3</v>
      </c>
      <c r="G78" s="151" t="str">
        <f t="shared" si="8"/>
        <v>1.1.3</v>
      </c>
      <c r="H78" s="156" t="s">
        <v>1681</v>
      </c>
      <c r="I78" s="159" t="s">
        <v>863</v>
      </c>
      <c r="J78" s="159" t="s">
        <v>865</v>
      </c>
      <c r="K78" s="159" t="s">
        <v>707</v>
      </c>
      <c r="L78" s="160">
        <v>391991.03749999998</v>
      </c>
      <c r="M78" s="161">
        <v>1</v>
      </c>
      <c r="N78" s="161">
        <v>1</v>
      </c>
      <c r="O78" s="164">
        <f t="shared" si="9"/>
        <v>391991.03749999998</v>
      </c>
      <c r="P78" s="161">
        <v>0</v>
      </c>
      <c r="Q78" s="161">
        <v>0</v>
      </c>
      <c r="R78" s="164">
        <f>$L78*'Pivot Objective'!$C$9*P78*Q78</f>
        <v>0</v>
      </c>
      <c r="S78" s="161">
        <v>1</v>
      </c>
      <c r="T78" s="161">
        <v>1</v>
      </c>
      <c r="U78" s="164">
        <f>($L78*'Pivot Objective'!$C$9^2)*S78*T78</f>
        <v>512045.59708269988</v>
      </c>
      <c r="V78" s="161">
        <v>0</v>
      </c>
      <c r="W78" s="161">
        <v>0</v>
      </c>
      <c r="X78" s="164">
        <f>($L78*'Pivot Objective'!$C$9^3)*V78*W78</f>
        <v>0</v>
      </c>
      <c r="Y78" s="161">
        <v>0</v>
      </c>
      <c r="Z78" s="161">
        <v>0</v>
      </c>
      <c r="AA78" s="164">
        <f>($L78*'Pivot Objective'!$C$9^4)*Y78*Z78</f>
        <v>0</v>
      </c>
      <c r="AB78" s="151"/>
      <c r="AC78" s="151"/>
      <c r="AD78" s="164">
        <f>($L78*'Pivot Objective'!$C$9^5)*AB78*AC78</f>
        <v>0</v>
      </c>
      <c r="AE78" s="161">
        <v>1</v>
      </c>
      <c r="AF78" s="161">
        <v>1</v>
      </c>
      <c r="AG78" s="164">
        <f>($L78*'Pivot Objective'!$C$9^6)*AE78*AF78</f>
        <v>873722.72899618326</v>
      </c>
      <c r="AH78" s="151"/>
      <c r="AI78" s="151"/>
      <c r="AJ78" s="164">
        <f>($L78*'Pivot Objective'!$C$9^7)*AH78*AI78</f>
        <v>0</v>
      </c>
      <c r="AK78" s="185">
        <f t="shared" si="10"/>
        <v>1777759.363578883</v>
      </c>
      <c r="AL78" s="186">
        <f t="shared" si="11"/>
        <v>1725.9799646396923</v>
      </c>
    </row>
    <row r="79" spans="1:38" ht="57.6" x14ac:dyDescent="0.3">
      <c r="A79" s="151" t="s">
        <v>1440</v>
      </c>
      <c r="B79" s="151">
        <v>1</v>
      </c>
      <c r="C79" s="152" t="s">
        <v>836</v>
      </c>
      <c r="D79" s="151" t="str">
        <f t="shared" si="6"/>
        <v>1</v>
      </c>
      <c r="E79" s="153" t="s">
        <v>837</v>
      </c>
      <c r="F79" s="151">
        <f t="shared" si="7"/>
        <v>3</v>
      </c>
      <c r="G79" s="151" t="str">
        <f t="shared" si="8"/>
        <v>1.1.3</v>
      </c>
      <c r="H79" s="156" t="s">
        <v>1681</v>
      </c>
      <c r="I79" s="159" t="s">
        <v>863</v>
      </c>
      <c r="J79" s="159" t="s">
        <v>865</v>
      </c>
      <c r="K79" s="159" t="s">
        <v>708</v>
      </c>
      <c r="L79" s="160">
        <f>500*1022</f>
        <v>511000</v>
      </c>
      <c r="M79" s="161">
        <v>1</v>
      </c>
      <c r="N79" s="161">
        <v>25</v>
      </c>
      <c r="O79" s="164">
        <f t="shared" si="9"/>
        <v>12775000</v>
      </c>
      <c r="P79" s="161">
        <v>0</v>
      </c>
      <c r="Q79" s="161">
        <v>0</v>
      </c>
      <c r="R79" s="164">
        <f>$L79*'Pivot Objective'!$C$9*P79*Q79</f>
        <v>0</v>
      </c>
      <c r="S79" s="161">
        <v>1</v>
      </c>
      <c r="T79" s="161">
        <v>1</v>
      </c>
      <c r="U79" s="164">
        <f>($L79*'Pivot Objective'!$C$9^2)*S79*T79</f>
        <v>667503.27195748617</v>
      </c>
      <c r="V79" s="161">
        <v>0</v>
      </c>
      <c r="W79" s="161">
        <v>0</v>
      </c>
      <c r="X79" s="164">
        <f>($L79*'Pivot Objective'!$C$9^3)*V79*W79</f>
        <v>0</v>
      </c>
      <c r="Y79" s="161">
        <v>0</v>
      </c>
      <c r="Z79" s="161">
        <v>0</v>
      </c>
      <c r="AA79" s="164">
        <f>($L79*'Pivot Objective'!$C$9^4)*Y79*Z79</f>
        <v>0</v>
      </c>
      <c r="AB79" s="151"/>
      <c r="AC79" s="151"/>
      <c r="AD79" s="164">
        <f>($L79*'Pivot Objective'!$C$9^5)*AB79*AC79</f>
        <v>0</v>
      </c>
      <c r="AE79" s="161">
        <v>1</v>
      </c>
      <c r="AF79" s="161">
        <v>1</v>
      </c>
      <c r="AG79" s="164">
        <f>($L79*'Pivot Objective'!$C$9^6)*AE79*AF79</f>
        <v>1138986.0272431602</v>
      </c>
      <c r="AH79" s="151"/>
      <c r="AI79" s="151"/>
      <c r="AJ79" s="164">
        <f>($L79*'Pivot Objective'!$C$9^7)*AH79*AI79</f>
        <v>0</v>
      </c>
      <c r="AK79" s="185">
        <f t="shared" si="10"/>
        <v>14581489.299200647</v>
      </c>
      <c r="AL79" s="186">
        <f t="shared" si="11"/>
        <v>14156.785727379269</v>
      </c>
    </row>
    <row r="80" spans="1:38" ht="57.6" x14ac:dyDescent="0.3">
      <c r="A80" s="151" t="s">
        <v>1440</v>
      </c>
      <c r="B80" s="151">
        <v>1</v>
      </c>
      <c r="C80" s="152" t="s">
        <v>836</v>
      </c>
      <c r="D80" s="151" t="str">
        <f t="shared" si="6"/>
        <v>1</v>
      </c>
      <c r="E80" s="153" t="s">
        <v>837</v>
      </c>
      <c r="F80" s="151">
        <f t="shared" si="7"/>
        <v>3</v>
      </c>
      <c r="G80" s="151" t="str">
        <f t="shared" si="8"/>
        <v>1.1.3</v>
      </c>
      <c r="H80" s="156" t="s">
        <v>1681</v>
      </c>
      <c r="I80" s="159" t="s">
        <v>863</v>
      </c>
      <c r="J80" s="159" t="s">
        <v>157</v>
      </c>
      <c r="K80" s="159" t="s">
        <v>713</v>
      </c>
      <c r="L80" s="160">
        <v>45000</v>
      </c>
      <c r="M80" s="161">
        <v>25</v>
      </c>
      <c r="N80" s="161">
        <v>5</v>
      </c>
      <c r="O80" s="164">
        <f t="shared" si="9"/>
        <v>5625000</v>
      </c>
      <c r="P80" s="161">
        <v>0</v>
      </c>
      <c r="Q80" s="161">
        <v>0</v>
      </c>
      <c r="R80" s="164">
        <f>$L80*'Pivot Objective'!$C$9*P80*Q80</f>
        <v>0</v>
      </c>
      <c r="S80" s="161">
        <v>25</v>
      </c>
      <c r="T80" s="161">
        <v>5</v>
      </c>
      <c r="U80" s="164">
        <f>($L80*'Pivot Objective'!$C$9^2)*S80*T80</f>
        <v>7347761.066068219</v>
      </c>
      <c r="V80" s="161">
        <v>0</v>
      </c>
      <c r="W80" s="161">
        <v>0</v>
      </c>
      <c r="X80" s="164">
        <f>($L80*'Pivot Objective'!$C$9^3)*V80*W80</f>
        <v>0</v>
      </c>
      <c r="Y80" s="161">
        <v>0</v>
      </c>
      <c r="Z80" s="161">
        <v>0</v>
      </c>
      <c r="AA80" s="164">
        <f>($L80*'Pivot Objective'!$C$9^4)*Y80*Z80</f>
        <v>0</v>
      </c>
      <c r="AB80" s="151"/>
      <c r="AC80" s="151"/>
      <c r="AD80" s="164">
        <f>($L80*'Pivot Objective'!$C$9^5)*AB80*AC80</f>
        <v>0</v>
      </c>
      <c r="AE80" s="161">
        <v>25</v>
      </c>
      <c r="AF80" s="161">
        <v>5</v>
      </c>
      <c r="AG80" s="164">
        <f>($L80*'Pivot Objective'!$C$9^6)*AE80*AF80</f>
        <v>12537762.041570991</v>
      </c>
      <c r="AH80" s="151"/>
      <c r="AI80" s="151"/>
      <c r="AJ80" s="164">
        <f>($L80*'Pivot Objective'!$C$9^7)*AH80*AI80</f>
        <v>0</v>
      </c>
      <c r="AK80" s="185">
        <f t="shared" si="10"/>
        <v>25510523.107639208</v>
      </c>
      <c r="AL80" s="186">
        <f t="shared" si="11"/>
        <v>24767.498162756514</v>
      </c>
    </row>
    <row r="81" spans="1:38" ht="57.6" x14ac:dyDescent="0.3">
      <c r="A81" s="151" t="s">
        <v>1440</v>
      </c>
      <c r="B81" s="151">
        <v>1</v>
      </c>
      <c r="C81" s="152" t="s">
        <v>836</v>
      </c>
      <c r="D81" s="151" t="str">
        <f t="shared" si="6"/>
        <v>1</v>
      </c>
      <c r="E81" s="153" t="s">
        <v>837</v>
      </c>
      <c r="F81" s="151">
        <f t="shared" si="7"/>
        <v>3</v>
      </c>
      <c r="G81" s="151" t="str">
        <f t="shared" si="8"/>
        <v>1.1.3</v>
      </c>
      <c r="H81" s="156" t="s">
        <v>1681</v>
      </c>
      <c r="I81" s="159" t="s">
        <v>863</v>
      </c>
      <c r="J81" s="159" t="s">
        <v>157</v>
      </c>
      <c r="K81" s="159" t="s">
        <v>712</v>
      </c>
      <c r="L81" s="160">
        <f>1999/7</f>
        <v>285.57142857142856</v>
      </c>
      <c r="M81" s="161">
        <f>25</f>
        <v>25</v>
      </c>
      <c r="N81" s="161">
        <v>10</v>
      </c>
      <c r="O81" s="164">
        <f t="shared" si="9"/>
        <v>71392.85714285713</v>
      </c>
      <c r="P81" s="161">
        <v>0</v>
      </c>
      <c r="Q81" s="161">
        <v>0</v>
      </c>
      <c r="R81" s="164">
        <f>$L81*'Pivot Objective'!$C$9*P81*Q81</f>
        <v>0</v>
      </c>
      <c r="S81" s="161">
        <f>25</f>
        <v>25</v>
      </c>
      <c r="T81" s="161">
        <v>10</v>
      </c>
      <c r="U81" s="164">
        <f>($L81*'Pivot Objective'!$C$9^2)*S81*T81</f>
        <v>93258.249975049956</v>
      </c>
      <c r="V81" s="161">
        <v>0</v>
      </c>
      <c r="W81" s="161">
        <v>0</v>
      </c>
      <c r="X81" s="164">
        <f>($L81*'Pivot Objective'!$C$9^3)*V81*W81</f>
        <v>0</v>
      </c>
      <c r="Y81" s="161">
        <v>0</v>
      </c>
      <c r="Z81" s="161">
        <v>0</v>
      </c>
      <c r="AA81" s="164">
        <f>($L81*'Pivot Objective'!$C$9^4)*Y81*Z81</f>
        <v>0</v>
      </c>
      <c r="AB81" s="151"/>
      <c r="AC81" s="151"/>
      <c r="AD81" s="164">
        <f>($L81*'Pivot Objective'!$C$9^5)*AB81*AC81</f>
        <v>0</v>
      </c>
      <c r="AE81" s="161">
        <f>25</f>
        <v>25</v>
      </c>
      <c r="AF81" s="161">
        <v>10</v>
      </c>
      <c r="AG81" s="164">
        <f>($L81*'Pivot Objective'!$C$9^6)*AE81*AF81</f>
        <v>159130.07188000259</v>
      </c>
      <c r="AH81" s="151"/>
      <c r="AI81" s="151"/>
      <c r="AJ81" s="164">
        <f>($L81*'Pivot Objective'!$C$9^7)*AH81*AI81</f>
        <v>0</v>
      </c>
      <c r="AK81" s="185">
        <f t="shared" si="10"/>
        <v>323781.17899790965</v>
      </c>
      <c r="AL81" s="186">
        <f t="shared" si="11"/>
        <v>314.35065922127148</v>
      </c>
    </row>
    <row r="82" spans="1:38" ht="57.6" x14ac:dyDescent="0.3">
      <c r="A82" s="151" t="s">
        <v>1440</v>
      </c>
      <c r="B82" s="151">
        <v>1</v>
      </c>
      <c r="C82" s="152" t="s">
        <v>836</v>
      </c>
      <c r="D82" s="151" t="str">
        <f t="shared" si="6"/>
        <v>1</v>
      </c>
      <c r="E82" s="153" t="s">
        <v>837</v>
      </c>
      <c r="F82" s="151">
        <f t="shared" si="7"/>
        <v>3</v>
      </c>
      <c r="G82" s="151" t="str">
        <f t="shared" si="8"/>
        <v>1.1.3</v>
      </c>
      <c r="H82" s="156" t="s">
        <v>1681</v>
      </c>
      <c r="I82" s="159" t="s">
        <v>863</v>
      </c>
      <c r="J82" s="159" t="s">
        <v>157</v>
      </c>
      <c r="K82" s="159" t="s">
        <v>715</v>
      </c>
      <c r="L82" s="160">
        <v>302000</v>
      </c>
      <c r="M82" s="161">
        <v>15</v>
      </c>
      <c r="N82" s="161">
        <v>1</v>
      </c>
      <c r="O82" s="164">
        <f t="shared" si="9"/>
        <v>4530000</v>
      </c>
      <c r="P82" s="161">
        <v>0</v>
      </c>
      <c r="Q82" s="161">
        <v>0</v>
      </c>
      <c r="R82" s="164">
        <f>$L82*'Pivot Objective'!$C$9*P82*Q82</f>
        <v>0</v>
      </c>
      <c r="S82" s="161">
        <v>15</v>
      </c>
      <c r="T82" s="161">
        <v>1</v>
      </c>
      <c r="U82" s="164">
        <f>($L82*'Pivot Objective'!$C$9^2)*S82*T82</f>
        <v>5917396.9118736051</v>
      </c>
      <c r="V82" s="161">
        <v>0</v>
      </c>
      <c r="W82" s="161">
        <v>0</v>
      </c>
      <c r="X82" s="164">
        <f>($L82*'Pivot Objective'!$C$9^3)*V82*W82</f>
        <v>0</v>
      </c>
      <c r="Y82" s="161">
        <v>0</v>
      </c>
      <c r="Z82" s="161">
        <v>0</v>
      </c>
      <c r="AA82" s="164">
        <f>($L82*'Pivot Objective'!$C$9^4)*Y82*Z82</f>
        <v>0</v>
      </c>
      <c r="AB82" s="151"/>
      <c r="AC82" s="151"/>
      <c r="AD82" s="164">
        <f>($L82*'Pivot Objective'!$C$9^5)*AB82*AC82</f>
        <v>0</v>
      </c>
      <c r="AE82" s="161">
        <v>15</v>
      </c>
      <c r="AF82" s="161">
        <v>1</v>
      </c>
      <c r="AG82" s="164">
        <f>($L82*'Pivot Objective'!$C$9^6)*AE82*AF82</f>
        <v>10097077.697478505</v>
      </c>
      <c r="AH82" s="151"/>
      <c r="AI82" s="151"/>
      <c r="AJ82" s="164">
        <f>($L82*'Pivot Objective'!$C$9^7)*AH82*AI82</f>
        <v>0</v>
      </c>
      <c r="AK82" s="185">
        <f t="shared" si="10"/>
        <v>20544474.609352112</v>
      </c>
      <c r="AL82" s="186">
        <f t="shared" si="11"/>
        <v>19946.091853739916</v>
      </c>
    </row>
    <row r="83" spans="1:38" ht="57.6" x14ac:dyDescent="0.3">
      <c r="A83" s="151" t="s">
        <v>1440</v>
      </c>
      <c r="B83" s="151">
        <v>1</v>
      </c>
      <c r="C83" s="152" t="s">
        <v>836</v>
      </c>
      <c r="D83" s="151" t="str">
        <f t="shared" si="6"/>
        <v>1</v>
      </c>
      <c r="E83" s="153" t="s">
        <v>837</v>
      </c>
      <c r="F83" s="151">
        <f t="shared" si="7"/>
        <v>3</v>
      </c>
      <c r="G83" s="151" t="str">
        <f t="shared" si="8"/>
        <v>1.1.3</v>
      </c>
      <c r="H83" s="156" t="s">
        <v>1681</v>
      </c>
      <c r="I83" s="159" t="s">
        <v>863</v>
      </c>
      <c r="J83" s="159" t="s">
        <v>157</v>
      </c>
      <c r="K83" s="159" t="s">
        <v>714</v>
      </c>
      <c r="L83" s="160">
        <v>10000</v>
      </c>
      <c r="M83" s="161">
        <v>15</v>
      </c>
      <c r="N83" s="161">
        <v>1</v>
      </c>
      <c r="O83" s="164">
        <f t="shared" si="9"/>
        <v>150000</v>
      </c>
      <c r="P83" s="161">
        <v>0</v>
      </c>
      <c r="Q83" s="161">
        <v>0</v>
      </c>
      <c r="R83" s="164">
        <f>$L83*'Pivot Objective'!$C$9*P83*Q83</f>
        <v>0</v>
      </c>
      <c r="S83" s="161">
        <v>15</v>
      </c>
      <c r="T83" s="161">
        <v>1</v>
      </c>
      <c r="U83" s="164">
        <f>($L83*'Pivot Objective'!$C$9^2)*S83*T83</f>
        <v>195940.29509515248</v>
      </c>
      <c r="V83" s="161">
        <v>0</v>
      </c>
      <c r="W83" s="161">
        <v>0</v>
      </c>
      <c r="X83" s="164">
        <f>($L83*'Pivot Objective'!$C$9^3)*V83*W83</f>
        <v>0</v>
      </c>
      <c r="Y83" s="161">
        <v>0</v>
      </c>
      <c r="Z83" s="161">
        <v>0</v>
      </c>
      <c r="AA83" s="164">
        <f>($L83*'Pivot Objective'!$C$9^4)*Y83*Z83</f>
        <v>0</v>
      </c>
      <c r="AB83" s="151"/>
      <c r="AC83" s="151"/>
      <c r="AD83" s="164">
        <f>($L83*'Pivot Objective'!$C$9^5)*AB83*AC83</f>
        <v>0</v>
      </c>
      <c r="AE83" s="161">
        <v>15</v>
      </c>
      <c r="AF83" s="161">
        <v>1</v>
      </c>
      <c r="AG83" s="164">
        <f>($L83*'Pivot Objective'!$C$9^6)*AE83*AF83</f>
        <v>334340.32110855979</v>
      </c>
      <c r="AH83" s="151"/>
      <c r="AI83" s="151"/>
      <c r="AJ83" s="164">
        <f>($L83*'Pivot Objective'!$C$9^7)*AH83*AI83</f>
        <v>0</v>
      </c>
      <c r="AK83" s="185">
        <f t="shared" si="10"/>
        <v>680280.6162037123</v>
      </c>
      <c r="AL83" s="186">
        <f t="shared" si="11"/>
        <v>660.46661767350713</v>
      </c>
    </row>
    <row r="84" spans="1:38" ht="57.6" x14ac:dyDescent="0.3">
      <c r="A84" s="151" t="s">
        <v>1440</v>
      </c>
      <c r="B84" s="151">
        <v>1</v>
      </c>
      <c r="C84" s="152" t="s">
        <v>836</v>
      </c>
      <c r="D84" s="151" t="str">
        <f t="shared" si="6"/>
        <v>1</v>
      </c>
      <c r="E84" s="153" t="s">
        <v>837</v>
      </c>
      <c r="F84" s="151">
        <f t="shared" si="7"/>
        <v>3</v>
      </c>
      <c r="G84" s="151" t="str">
        <f t="shared" si="8"/>
        <v>1.1.3</v>
      </c>
      <c r="H84" s="156" t="s">
        <v>1681</v>
      </c>
      <c r="I84" s="159" t="s">
        <v>863</v>
      </c>
      <c r="J84" s="159" t="s">
        <v>152</v>
      </c>
      <c r="K84" s="159" t="s">
        <v>709</v>
      </c>
      <c r="L84" s="160">
        <v>35000</v>
      </c>
      <c r="M84" s="161">
        <v>25</v>
      </c>
      <c r="N84" s="161">
        <v>5</v>
      </c>
      <c r="O84" s="164">
        <f t="shared" si="9"/>
        <v>4375000</v>
      </c>
      <c r="P84" s="161">
        <v>0</v>
      </c>
      <c r="Q84" s="161">
        <v>0</v>
      </c>
      <c r="R84" s="164">
        <f>$L84*'Pivot Objective'!$C$9*P84*Q84</f>
        <v>0</v>
      </c>
      <c r="S84" s="161">
        <v>25</v>
      </c>
      <c r="T84" s="161">
        <v>5</v>
      </c>
      <c r="U84" s="164">
        <f>($L84*'Pivot Objective'!$C$9^2)*S84*T84</f>
        <v>5714925.2736086138</v>
      </c>
      <c r="V84" s="161">
        <v>0</v>
      </c>
      <c r="W84" s="161">
        <v>0</v>
      </c>
      <c r="X84" s="164">
        <f>($L84*'Pivot Objective'!$C$9^3)*V84*W84</f>
        <v>0</v>
      </c>
      <c r="Y84" s="161">
        <v>0</v>
      </c>
      <c r="Z84" s="161">
        <v>0</v>
      </c>
      <c r="AA84" s="164">
        <f>($L84*'Pivot Objective'!$C$9^4)*Y84*Z84</f>
        <v>0</v>
      </c>
      <c r="AB84" s="151"/>
      <c r="AC84" s="151"/>
      <c r="AD84" s="164">
        <f>($L84*'Pivot Objective'!$C$9^5)*AB84*AC84</f>
        <v>0</v>
      </c>
      <c r="AE84" s="161">
        <v>25</v>
      </c>
      <c r="AF84" s="161">
        <v>5</v>
      </c>
      <c r="AG84" s="164">
        <f>($L84*'Pivot Objective'!$C$9^6)*AE84*AF84</f>
        <v>9751592.6989996582</v>
      </c>
      <c r="AH84" s="151"/>
      <c r="AI84" s="151"/>
      <c r="AJ84" s="164">
        <f>($L84*'Pivot Objective'!$C$9^7)*AH84*AI84</f>
        <v>0</v>
      </c>
      <c r="AK84" s="185">
        <f t="shared" si="10"/>
        <v>19841517.972608272</v>
      </c>
      <c r="AL84" s="186">
        <f t="shared" si="11"/>
        <v>19263.609682143953</v>
      </c>
    </row>
    <row r="85" spans="1:38" ht="57.6" x14ac:dyDescent="0.3">
      <c r="A85" s="151" t="s">
        <v>1440</v>
      </c>
      <c r="B85" s="151">
        <v>1</v>
      </c>
      <c r="C85" s="152" t="s">
        <v>836</v>
      </c>
      <c r="D85" s="151" t="str">
        <f t="shared" si="6"/>
        <v>1</v>
      </c>
      <c r="E85" s="153" t="s">
        <v>837</v>
      </c>
      <c r="F85" s="151">
        <f t="shared" si="7"/>
        <v>3</v>
      </c>
      <c r="G85" s="151" t="str">
        <f t="shared" si="8"/>
        <v>1.1.3</v>
      </c>
      <c r="H85" s="156" t="s">
        <v>1681</v>
      </c>
      <c r="I85" s="159" t="s">
        <v>863</v>
      </c>
      <c r="J85" s="159" t="s">
        <v>152</v>
      </c>
      <c r="K85" s="159" t="s">
        <v>716</v>
      </c>
      <c r="L85" s="160">
        <v>39000</v>
      </c>
      <c r="M85" s="161">
        <v>25</v>
      </c>
      <c r="N85" s="161">
        <v>5</v>
      </c>
      <c r="O85" s="164">
        <f t="shared" si="9"/>
        <v>4875000</v>
      </c>
      <c r="P85" s="161">
        <v>0</v>
      </c>
      <c r="Q85" s="161">
        <v>0</v>
      </c>
      <c r="R85" s="164">
        <f>$L85*'Pivot Objective'!$C$9*P85*Q85</f>
        <v>0</v>
      </c>
      <c r="S85" s="161">
        <v>25</v>
      </c>
      <c r="T85" s="161">
        <v>5</v>
      </c>
      <c r="U85" s="164">
        <f>($L85*'Pivot Objective'!$C$9^2)*S85*T85</f>
        <v>6368059.5905924551</v>
      </c>
      <c r="V85" s="161">
        <v>0</v>
      </c>
      <c r="W85" s="161">
        <v>0</v>
      </c>
      <c r="X85" s="164">
        <f>($L85*'Pivot Objective'!$C$9^3)*V85*W85</f>
        <v>0</v>
      </c>
      <c r="Y85" s="161">
        <v>0</v>
      </c>
      <c r="Z85" s="161">
        <v>0</v>
      </c>
      <c r="AA85" s="164">
        <f>($L85*'Pivot Objective'!$C$9^4)*Y85*Z85</f>
        <v>0</v>
      </c>
      <c r="AB85" s="151"/>
      <c r="AC85" s="151"/>
      <c r="AD85" s="164">
        <f>($L85*'Pivot Objective'!$C$9^5)*AB85*AC85</f>
        <v>0</v>
      </c>
      <c r="AE85" s="161">
        <v>25</v>
      </c>
      <c r="AF85" s="161">
        <v>5</v>
      </c>
      <c r="AG85" s="164">
        <f>($L85*'Pivot Objective'!$C$9^6)*AE85*AF85</f>
        <v>10866060.436028194</v>
      </c>
      <c r="AH85" s="151"/>
      <c r="AI85" s="151"/>
      <c r="AJ85" s="164">
        <f>($L85*'Pivot Objective'!$C$9^7)*AH85*AI85</f>
        <v>0</v>
      </c>
      <c r="AK85" s="185">
        <f t="shared" si="10"/>
        <v>22109120.026620649</v>
      </c>
      <c r="AL85" s="186">
        <f t="shared" si="11"/>
        <v>21465.16507438898</v>
      </c>
    </row>
    <row r="86" spans="1:38" ht="57.6" x14ac:dyDescent="0.3">
      <c r="A86" s="151" t="s">
        <v>1440</v>
      </c>
      <c r="B86" s="151">
        <v>1</v>
      </c>
      <c r="C86" s="152" t="s">
        <v>836</v>
      </c>
      <c r="D86" s="151" t="str">
        <f t="shared" si="6"/>
        <v>1</v>
      </c>
      <c r="E86" s="153" t="s">
        <v>837</v>
      </c>
      <c r="F86" s="151">
        <f t="shared" si="7"/>
        <v>3</v>
      </c>
      <c r="G86" s="151" t="str">
        <f t="shared" si="8"/>
        <v>1.1.3</v>
      </c>
      <c r="H86" s="156" t="s">
        <v>1681</v>
      </c>
      <c r="I86" s="159" t="s">
        <v>863</v>
      </c>
      <c r="J86" s="159" t="s">
        <v>152</v>
      </c>
      <c r="K86" s="159" t="s">
        <v>1299</v>
      </c>
      <c r="L86" s="160">
        <f>1999/7</f>
        <v>285.57142857142856</v>
      </c>
      <c r="M86" s="161">
        <v>22500</v>
      </c>
      <c r="N86" s="161">
        <v>1</v>
      </c>
      <c r="O86" s="164">
        <f t="shared" si="9"/>
        <v>6425357.1428571427</v>
      </c>
      <c r="P86" s="161"/>
      <c r="Q86" s="161"/>
      <c r="R86" s="164">
        <f>$L86*'Pivot Objective'!$C$9*P86*Q86</f>
        <v>0</v>
      </c>
      <c r="S86" s="161">
        <v>22500</v>
      </c>
      <c r="T86" s="161">
        <v>1</v>
      </c>
      <c r="U86" s="164">
        <f>($L86*'Pivot Objective'!$C$9^2)*S86*T86</f>
        <v>8393242.4977544956</v>
      </c>
      <c r="V86" s="161"/>
      <c r="W86" s="161"/>
      <c r="X86" s="164">
        <f>($L86*'Pivot Objective'!$C$9^3)*V86*W86</f>
        <v>0</v>
      </c>
      <c r="Y86" s="161"/>
      <c r="Z86" s="161"/>
      <c r="AA86" s="164">
        <f>($L86*'Pivot Objective'!$C$9^4)*Y86*Z86</f>
        <v>0</v>
      </c>
      <c r="AB86" s="151"/>
      <c r="AC86" s="151"/>
      <c r="AD86" s="164">
        <f>($L86*'Pivot Objective'!$C$9^5)*AB86*AC86</f>
        <v>0</v>
      </c>
      <c r="AE86" s="161">
        <v>22500</v>
      </c>
      <c r="AF86" s="161">
        <v>1</v>
      </c>
      <c r="AG86" s="164">
        <f>($L86*'Pivot Objective'!$C$9^6)*AE86*AF86</f>
        <v>14321706.469200233</v>
      </c>
      <c r="AH86" s="151"/>
      <c r="AI86" s="151"/>
      <c r="AJ86" s="164">
        <f>($L86*'Pivot Objective'!$C$9^7)*AH86*AI86</f>
        <v>0</v>
      </c>
      <c r="AK86" s="185">
        <f t="shared" si="10"/>
        <v>29140306.109811872</v>
      </c>
      <c r="AL86" s="186">
        <f t="shared" si="11"/>
        <v>28291.559329914438</v>
      </c>
    </row>
    <row r="87" spans="1:38" ht="57.6" x14ac:dyDescent="0.3">
      <c r="A87" s="151" t="s">
        <v>1440</v>
      </c>
      <c r="B87" s="151">
        <v>1</v>
      </c>
      <c r="C87" s="152" t="s">
        <v>836</v>
      </c>
      <c r="D87" s="151" t="str">
        <f t="shared" si="6"/>
        <v>1</v>
      </c>
      <c r="E87" s="153" t="s">
        <v>837</v>
      </c>
      <c r="F87" s="151">
        <f t="shared" si="7"/>
        <v>3</v>
      </c>
      <c r="G87" s="151" t="str">
        <f t="shared" si="8"/>
        <v>1.1.3</v>
      </c>
      <c r="H87" s="156" t="s">
        <v>1681</v>
      </c>
      <c r="I87" s="159" t="s">
        <v>863</v>
      </c>
      <c r="J87" s="159" t="s">
        <v>152</v>
      </c>
      <c r="K87" s="159" t="s">
        <v>712</v>
      </c>
      <c r="L87" s="160">
        <f>1999/7</f>
        <v>285.57142857142856</v>
      </c>
      <c r="M87" s="161">
        <v>25</v>
      </c>
      <c r="N87" s="161">
        <v>10</v>
      </c>
      <c r="O87" s="164">
        <f t="shared" si="9"/>
        <v>71392.85714285713</v>
      </c>
      <c r="P87" s="161">
        <v>0</v>
      </c>
      <c r="Q87" s="161">
        <v>0</v>
      </c>
      <c r="R87" s="164">
        <f>$L87*'Pivot Objective'!$C$9*P87*Q87</f>
        <v>0</v>
      </c>
      <c r="S87" s="161">
        <v>25</v>
      </c>
      <c r="T87" s="161">
        <v>10</v>
      </c>
      <c r="U87" s="164">
        <f>($L87*'Pivot Objective'!$C$9^2)*S87*T87</f>
        <v>93258.249975049956</v>
      </c>
      <c r="V87" s="161">
        <v>0</v>
      </c>
      <c r="W87" s="161">
        <v>0</v>
      </c>
      <c r="X87" s="164">
        <f>($L87*'Pivot Objective'!$C$9^3)*V87*W87</f>
        <v>0</v>
      </c>
      <c r="Y87" s="161">
        <v>0</v>
      </c>
      <c r="Z87" s="161">
        <v>0</v>
      </c>
      <c r="AA87" s="164">
        <f>($L87*'Pivot Objective'!$C$9^4)*Y87*Z87</f>
        <v>0</v>
      </c>
      <c r="AB87" s="151"/>
      <c r="AC87" s="151"/>
      <c r="AD87" s="164">
        <f>($L87*'Pivot Objective'!$C$9^5)*AB87*AC87</f>
        <v>0</v>
      </c>
      <c r="AE87" s="161">
        <v>25</v>
      </c>
      <c r="AF87" s="161">
        <v>10</v>
      </c>
      <c r="AG87" s="164">
        <f>($L87*'Pivot Objective'!$C$9^6)*AE87*AF87</f>
        <v>159130.07188000259</v>
      </c>
      <c r="AH87" s="151"/>
      <c r="AI87" s="151"/>
      <c r="AJ87" s="164">
        <f>($L87*'Pivot Objective'!$C$9^7)*AH87*AI87</f>
        <v>0</v>
      </c>
      <c r="AK87" s="185">
        <f t="shared" si="10"/>
        <v>323781.17899790965</v>
      </c>
      <c r="AL87" s="186">
        <f t="shared" si="11"/>
        <v>314.35065922127148</v>
      </c>
    </row>
    <row r="88" spans="1:38" ht="57.6" x14ac:dyDescent="0.3">
      <c r="A88" s="151" t="s">
        <v>1440</v>
      </c>
      <c r="B88" s="151">
        <v>1</v>
      </c>
      <c r="C88" s="152" t="s">
        <v>836</v>
      </c>
      <c r="D88" s="151" t="str">
        <f t="shared" si="6"/>
        <v>1</v>
      </c>
      <c r="E88" s="153" t="s">
        <v>837</v>
      </c>
      <c r="F88" s="151">
        <f t="shared" si="7"/>
        <v>3</v>
      </c>
      <c r="G88" s="151" t="str">
        <f t="shared" si="8"/>
        <v>1.1.3</v>
      </c>
      <c r="H88" s="156" t="s">
        <v>1681</v>
      </c>
      <c r="I88" s="159" t="s">
        <v>863</v>
      </c>
      <c r="J88" s="159" t="s">
        <v>861</v>
      </c>
      <c r="K88" s="159" t="s">
        <v>841</v>
      </c>
      <c r="L88" s="160">
        <v>0</v>
      </c>
      <c r="M88" s="161">
        <v>0</v>
      </c>
      <c r="N88" s="161">
        <v>0</v>
      </c>
      <c r="O88" s="164">
        <f t="shared" si="9"/>
        <v>0</v>
      </c>
      <c r="P88" s="161">
        <v>0</v>
      </c>
      <c r="Q88" s="161">
        <v>0</v>
      </c>
      <c r="R88" s="164">
        <f>$L88*'Pivot Objective'!$C$9*P88*Q88</f>
        <v>0</v>
      </c>
      <c r="S88" s="161">
        <v>0</v>
      </c>
      <c r="T88" s="161">
        <v>0</v>
      </c>
      <c r="U88" s="164">
        <f>($L88*'Pivot Objective'!$C$9^2)*S88*T88</f>
        <v>0</v>
      </c>
      <c r="V88" s="161">
        <v>0</v>
      </c>
      <c r="W88" s="161">
        <v>0</v>
      </c>
      <c r="X88" s="164">
        <f>($L88*'Pivot Objective'!$C$9^3)*V88*W88</f>
        <v>0</v>
      </c>
      <c r="Y88" s="161">
        <v>0</v>
      </c>
      <c r="Z88" s="161">
        <v>0</v>
      </c>
      <c r="AA88" s="164">
        <f>($L88*'Pivot Objective'!$C$9^4)*Y88*Z88</f>
        <v>0</v>
      </c>
      <c r="AB88" s="151"/>
      <c r="AC88" s="151"/>
      <c r="AD88" s="164">
        <f>($L88*'Pivot Objective'!$C$9^5)*AB88*AC88</f>
        <v>0</v>
      </c>
      <c r="AE88" s="161">
        <v>0</v>
      </c>
      <c r="AF88" s="161">
        <v>0</v>
      </c>
      <c r="AG88" s="164">
        <f>($L88*'Pivot Objective'!$C$9^6)*AE88*AF88</f>
        <v>0</v>
      </c>
      <c r="AH88" s="151"/>
      <c r="AI88" s="151"/>
      <c r="AJ88" s="164">
        <f>($L88*'Pivot Objective'!$C$9^7)*AH88*AI88</f>
        <v>0</v>
      </c>
      <c r="AK88" s="185">
        <f t="shared" si="10"/>
        <v>0</v>
      </c>
      <c r="AL88" s="186">
        <f t="shared" si="11"/>
        <v>0</v>
      </c>
    </row>
    <row r="89" spans="1:38" ht="57.6" x14ac:dyDescent="0.3">
      <c r="A89" s="151" t="s">
        <v>1440</v>
      </c>
      <c r="B89" s="151">
        <v>1</v>
      </c>
      <c r="C89" s="152" t="s">
        <v>836</v>
      </c>
      <c r="D89" s="151" t="str">
        <f t="shared" si="6"/>
        <v>1</v>
      </c>
      <c r="E89" s="153" t="s">
        <v>837</v>
      </c>
      <c r="F89" s="151">
        <f t="shared" si="7"/>
        <v>3</v>
      </c>
      <c r="G89" s="151" t="str">
        <f t="shared" si="8"/>
        <v>1.1.3</v>
      </c>
      <c r="H89" s="156" t="s">
        <v>1681</v>
      </c>
      <c r="I89" s="159" t="s">
        <v>863</v>
      </c>
      <c r="J89" s="159" t="s">
        <v>1319</v>
      </c>
      <c r="K89" s="159" t="s">
        <v>709</v>
      </c>
      <c r="L89" s="160">
        <v>35000</v>
      </c>
      <c r="M89" s="161">
        <v>100</v>
      </c>
      <c r="N89" s="161">
        <v>5</v>
      </c>
      <c r="O89" s="164">
        <f t="shared" si="9"/>
        <v>17500000</v>
      </c>
      <c r="P89" s="151"/>
      <c r="Q89" s="151"/>
      <c r="R89" s="164">
        <f>$L89*'Pivot Objective'!$C$9*P89*Q89</f>
        <v>0</v>
      </c>
      <c r="S89" s="161">
        <v>100</v>
      </c>
      <c r="T89" s="161">
        <v>5</v>
      </c>
      <c r="U89" s="164">
        <f>($L89*'Pivot Objective'!$C$9^2)*S89*T89</f>
        <v>22859701.094434455</v>
      </c>
      <c r="V89" s="151"/>
      <c r="W89" s="151"/>
      <c r="X89" s="164">
        <f>($L89*'Pivot Objective'!$C$9^3)*V89*W89</f>
        <v>0</v>
      </c>
      <c r="Y89" s="151"/>
      <c r="Z89" s="151"/>
      <c r="AA89" s="164">
        <f>($L89*'Pivot Objective'!$C$9^4)*Y89*Z89</f>
        <v>0</v>
      </c>
      <c r="AB89" s="151"/>
      <c r="AC89" s="151"/>
      <c r="AD89" s="164">
        <f>($L89*'Pivot Objective'!$C$9^5)*AB89*AC89</f>
        <v>0</v>
      </c>
      <c r="AE89" s="161">
        <v>100</v>
      </c>
      <c r="AF89" s="161">
        <v>5</v>
      </c>
      <c r="AG89" s="164">
        <f>($L89*'Pivot Objective'!$C$9^6)*AE89*AF89</f>
        <v>39006370.795998633</v>
      </c>
      <c r="AH89" s="151"/>
      <c r="AI89" s="151"/>
      <c r="AJ89" s="164">
        <f>($L89*'Pivot Objective'!$C$9^7)*AH89*AI89</f>
        <v>0</v>
      </c>
      <c r="AK89" s="185">
        <f t="shared" si="10"/>
        <v>79366071.890433088</v>
      </c>
      <c r="AL89" s="186">
        <f t="shared" si="11"/>
        <v>77054.438728575813</v>
      </c>
    </row>
    <row r="90" spans="1:38" ht="57.6" x14ac:dyDescent="0.3">
      <c r="A90" s="151" t="s">
        <v>1440</v>
      </c>
      <c r="B90" s="151">
        <v>1</v>
      </c>
      <c r="C90" s="152" t="s">
        <v>836</v>
      </c>
      <c r="D90" s="151" t="str">
        <f t="shared" si="6"/>
        <v>1</v>
      </c>
      <c r="E90" s="153" t="s">
        <v>837</v>
      </c>
      <c r="F90" s="151">
        <f t="shared" si="7"/>
        <v>3</v>
      </c>
      <c r="G90" s="151" t="str">
        <f t="shared" si="8"/>
        <v>1.1.3</v>
      </c>
      <c r="H90" s="156" t="s">
        <v>1681</v>
      </c>
      <c r="I90" s="159" t="s">
        <v>863</v>
      </c>
      <c r="J90" s="159" t="s">
        <v>1319</v>
      </c>
      <c r="K90" s="159" t="s">
        <v>716</v>
      </c>
      <c r="L90" s="160">
        <v>39000</v>
      </c>
      <c r="M90" s="161">
        <v>58</v>
      </c>
      <c r="N90" s="161">
        <v>6</v>
      </c>
      <c r="O90" s="164">
        <f t="shared" si="9"/>
        <v>13572000</v>
      </c>
      <c r="P90" s="161"/>
      <c r="Q90" s="161"/>
      <c r="R90" s="164">
        <f>$L90*'Pivot Objective'!$C$9*P90*Q90</f>
        <v>0</v>
      </c>
      <c r="S90" s="161">
        <v>58</v>
      </c>
      <c r="T90" s="161">
        <v>6</v>
      </c>
      <c r="U90" s="164">
        <f>($L90*'Pivot Objective'!$C$9^2)*S90*T90</f>
        <v>17728677.900209397</v>
      </c>
      <c r="V90" s="161"/>
      <c r="W90" s="161"/>
      <c r="X90" s="164">
        <f>($L90*'Pivot Objective'!$C$9^3)*V90*W90</f>
        <v>0</v>
      </c>
      <c r="Y90" s="161"/>
      <c r="Z90" s="161"/>
      <c r="AA90" s="164">
        <f>($L90*'Pivot Objective'!$C$9^4)*Y90*Z90</f>
        <v>0</v>
      </c>
      <c r="AB90" s="151"/>
      <c r="AC90" s="151"/>
      <c r="AD90" s="164">
        <f>($L90*'Pivot Objective'!$C$9^5)*AB90*AC90</f>
        <v>0</v>
      </c>
      <c r="AE90" s="161">
        <v>58</v>
      </c>
      <c r="AF90" s="161">
        <v>6</v>
      </c>
      <c r="AG90" s="164">
        <f>($L90*'Pivot Objective'!$C$9^6)*AE90*AF90</f>
        <v>30251112.253902487</v>
      </c>
      <c r="AH90" s="151"/>
      <c r="AI90" s="151"/>
      <c r="AJ90" s="164">
        <f>($L90*'Pivot Objective'!$C$9^7)*AH90*AI90</f>
        <v>0</v>
      </c>
      <c r="AK90" s="185">
        <f t="shared" si="10"/>
        <v>61551790.154111885</v>
      </c>
      <c r="AL90" s="186">
        <f t="shared" si="11"/>
        <v>59759.01956709892</v>
      </c>
    </row>
    <row r="91" spans="1:38" ht="57.6" x14ac:dyDescent="0.3">
      <c r="A91" s="151" t="s">
        <v>1440</v>
      </c>
      <c r="B91" s="151">
        <v>1</v>
      </c>
      <c r="C91" s="152" t="s">
        <v>836</v>
      </c>
      <c r="D91" s="151" t="str">
        <f t="shared" si="6"/>
        <v>1</v>
      </c>
      <c r="E91" s="153" t="s">
        <v>837</v>
      </c>
      <c r="F91" s="151">
        <f t="shared" si="7"/>
        <v>3</v>
      </c>
      <c r="G91" s="151" t="str">
        <f t="shared" si="8"/>
        <v>1.1.3</v>
      </c>
      <c r="H91" s="156" t="s">
        <v>1681</v>
      </c>
      <c r="I91" s="159" t="s">
        <v>863</v>
      </c>
      <c r="J91" s="159" t="s">
        <v>1319</v>
      </c>
      <c r="K91" s="159" t="s">
        <v>1349</v>
      </c>
      <c r="L91" s="160">
        <f>1999/7</f>
        <v>285.57142857142856</v>
      </c>
      <c r="M91" s="161">
        <f>25*2*29</f>
        <v>1450</v>
      </c>
      <c r="N91" s="161">
        <v>5</v>
      </c>
      <c r="O91" s="164">
        <f t="shared" si="9"/>
        <v>2070392.857142857</v>
      </c>
      <c r="P91" s="161"/>
      <c r="Q91" s="161"/>
      <c r="R91" s="164">
        <f>$L91*'Pivot Objective'!$C$9*P91*Q91</f>
        <v>0</v>
      </c>
      <c r="S91" s="161">
        <f>25*2*29</f>
        <v>1450</v>
      </c>
      <c r="T91" s="161">
        <v>5</v>
      </c>
      <c r="U91" s="164">
        <f>($L91*'Pivot Objective'!$C$9^2)*S91*T91</f>
        <v>2704489.2492764485</v>
      </c>
      <c r="V91" s="161"/>
      <c r="W91" s="161"/>
      <c r="X91" s="164">
        <f>($L91*'Pivot Objective'!$C$9^3)*V91*W91</f>
        <v>0</v>
      </c>
      <c r="Y91" s="161"/>
      <c r="Z91" s="161"/>
      <c r="AA91" s="164">
        <f>($L91*'Pivot Objective'!$C$9^4)*Y91*Z91</f>
        <v>0</v>
      </c>
      <c r="AB91" s="151"/>
      <c r="AC91" s="151"/>
      <c r="AD91" s="164">
        <f>($L91*'Pivot Objective'!$C$9^5)*AB91*AC91</f>
        <v>0</v>
      </c>
      <c r="AE91" s="161">
        <f>25*2*29</f>
        <v>1450</v>
      </c>
      <c r="AF91" s="161">
        <v>5</v>
      </c>
      <c r="AG91" s="164">
        <f>($L91*'Pivot Objective'!$C$9^6)*AE91*AF91</f>
        <v>4614772.0845200755</v>
      </c>
      <c r="AH91" s="151"/>
      <c r="AI91" s="151"/>
      <c r="AJ91" s="164">
        <f>($L91*'Pivot Objective'!$C$9^7)*AH91*AI91</f>
        <v>0</v>
      </c>
      <c r="AK91" s="185">
        <f t="shared" si="10"/>
        <v>9389654.1909393817</v>
      </c>
      <c r="AL91" s="186">
        <f t="shared" si="11"/>
        <v>9116.1691174168755</v>
      </c>
    </row>
    <row r="92" spans="1:38" ht="57.6" x14ac:dyDescent="0.3">
      <c r="A92" s="151" t="s">
        <v>1440</v>
      </c>
      <c r="B92" s="151">
        <v>1</v>
      </c>
      <c r="C92" s="152" t="s">
        <v>836</v>
      </c>
      <c r="D92" s="151" t="str">
        <f t="shared" si="6"/>
        <v>1</v>
      </c>
      <c r="E92" s="153" t="s">
        <v>837</v>
      </c>
      <c r="F92" s="151">
        <f t="shared" si="7"/>
        <v>3</v>
      </c>
      <c r="G92" s="151" t="str">
        <f t="shared" si="8"/>
        <v>1.1.3</v>
      </c>
      <c r="H92" s="156" t="s">
        <v>1681</v>
      </c>
      <c r="I92" s="159" t="s">
        <v>863</v>
      </c>
      <c r="J92" s="159" t="s">
        <v>1319</v>
      </c>
      <c r="K92" s="159" t="s">
        <v>1350</v>
      </c>
      <c r="L92" s="160">
        <f>1999/7</f>
        <v>285.57142857142856</v>
      </c>
      <c r="M92" s="161">
        <v>22500</v>
      </c>
      <c r="N92" s="161">
        <v>1</v>
      </c>
      <c r="O92" s="164">
        <f t="shared" si="9"/>
        <v>6425357.1428571427</v>
      </c>
      <c r="P92" s="161"/>
      <c r="Q92" s="161"/>
      <c r="R92" s="164">
        <f>$L92*'Pivot Objective'!$C$9*P92*Q92</f>
        <v>0</v>
      </c>
      <c r="S92" s="161">
        <v>22500</v>
      </c>
      <c r="T92" s="161">
        <v>1</v>
      </c>
      <c r="U92" s="164">
        <f>($L92*'Pivot Objective'!$C$9^2)*S92*T92</f>
        <v>8393242.4977544956</v>
      </c>
      <c r="V92" s="161"/>
      <c r="W92" s="161"/>
      <c r="X92" s="164">
        <f>($L92*'Pivot Objective'!$C$9^3)*V92*W92</f>
        <v>0</v>
      </c>
      <c r="Y92" s="161"/>
      <c r="Z92" s="161"/>
      <c r="AA92" s="164">
        <f>($L92*'Pivot Objective'!$C$9^4)*Y92*Z92</f>
        <v>0</v>
      </c>
      <c r="AB92" s="151"/>
      <c r="AC92" s="151"/>
      <c r="AD92" s="164">
        <f>($L92*'Pivot Objective'!$C$9^5)*AB92*AC92</f>
        <v>0</v>
      </c>
      <c r="AE92" s="161">
        <v>22500</v>
      </c>
      <c r="AF92" s="161">
        <v>1</v>
      </c>
      <c r="AG92" s="164">
        <f>($L92*'Pivot Objective'!$C$9^6)*AE92*AF92</f>
        <v>14321706.469200233</v>
      </c>
      <c r="AH92" s="151"/>
      <c r="AI92" s="151"/>
      <c r="AJ92" s="164">
        <f>($L92*'Pivot Objective'!$C$9^7)*AH92*AI92</f>
        <v>0</v>
      </c>
      <c r="AK92" s="185">
        <f t="shared" si="10"/>
        <v>29140306.109811872</v>
      </c>
      <c r="AL92" s="186">
        <f t="shared" si="11"/>
        <v>28291.559329914438</v>
      </c>
    </row>
    <row r="93" spans="1:38" ht="57.6" x14ac:dyDescent="0.3">
      <c r="A93" s="151" t="s">
        <v>1440</v>
      </c>
      <c r="B93" s="151">
        <v>1</v>
      </c>
      <c r="C93" s="152" t="s">
        <v>836</v>
      </c>
      <c r="D93" s="151" t="str">
        <f t="shared" si="6"/>
        <v>1</v>
      </c>
      <c r="E93" s="153" t="s">
        <v>837</v>
      </c>
      <c r="F93" s="151">
        <f t="shared" si="7"/>
        <v>3</v>
      </c>
      <c r="G93" s="151" t="str">
        <f t="shared" si="8"/>
        <v>1.1.3</v>
      </c>
      <c r="H93" s="156" t="s">
        <v>1681</v>
      </c>
      <c r="I93" s="159" t="s">
        <v>863</v>
      </c>
      <c r="J93" s="159" t="s">
        <v>156</v>
      </c>
      <c r="K93" s="159" t="s">
        <v>709</v>
      </c>
      <c r="L93" s="160">
        <v>35000</v>
      </c>
      <c r="M93" s="161">
        <v>100</v>
      </c>
      <c r="N93" s="161">
        <v>2</v>
      </c>
      <c r="O93" s="164">
        <f t="shared" si="9"/>
        <v>7000000</v>
      </c>
      <c r="P93" s="161">
        <v>0</v>
      </c>
      <c r="Q93" s="161">
        <v>0</v>
      </c>
      <c r="R93" s="164">
        <f>$L93*'Pivot Objective'!$C$9*P93*Q93</f>
        <v>0</v>
      </c>
      <c r="S93" s="161">
        <v>100</v>
      </c>
      <c r="T93" s="161">
        <v>2</v>
      </c>
      <c r="U93" s="164">
        <f>($L93*'Pivot Objective'!$C$9^2)*S93*T93</f>
        <v>9143880.4377737828</v>
      </c>
      <c r="V93" s="161">
        <v>0</v>
      </c>
      <c r="W93" s="161">
        <v>0</v>
      </c>
      <c r="X93" s="164">
        <f>($L93*'Pivot Objective'!$C$9^3)*V93*W93</f>
        <v>0</v>
      </c>
      <c r="Y93" s="161">
        <v>0</v>
      </c>
      <c r="Z93" s="161">
        <v>0</v>
      </c>
      <c r="AA93" s="164">
        <f>($L93*'Pivot Objective'!$C$9^4)*Y93*Z93</f>
        <v>0</v>
      </c>
      <c r="AB93" s="151"/>
      <c r="AC93" s="151"/>
      <c r="AD93" s="164">
        <f>($L93*'Pivot Objective'!$C$9^5)*AB93*AC93</f>
        <v>0</v>
      </c>
      <c r="AE93" s="161">
        <v>100</v>
      </c>
      <c r="AF93" s="161">
        <v>2</v>
      </c>
      <c r="AG93" s="164">
        <f>($L93*'Pivot Objective'!$C$9^6)*AE93*AF93</f>
        <v>15602548.318399454</v>
      </c>
      <c r="AH93" s="151"/>
      <c r="AI93" s="151"/>
      <c r="AJ93" s="164">
        <f>($L93*'Pivot Objective'!$C$9^7)*AH93*AI93</f>
        <v>0</v>
      </c>
      <c r="AK93" s="185">
        <f t="shared" si="10"/>
        <v>31746428.756173238</v>
      </c>
      <c r="AL93" s="186">
        <f t="shared" si="11"/>
        <v>30821.77549143033</v>
      </c>
    </row>
    <row r="94" spans="1:38" ht="57.6" x14ac:dyDescent="0.3">
      <c r="A94" s="151" t="s">
        <v>1440</v>
      </c>
      <c r="B94" s="151">
        <v>1</v>
      </c>
      <c r="C94" s="152" t="s">
        <v>836</v>
      </c>
      <c r="D94" s="151" t="str">
        <f t="shared" si="6"/>
        <v>1</v>
      </c>
      <c r="E94" s="153" t="s">
        <v>837</v>
      </c>
      <c r="F94" s="151">
        <f t="shared" si="7"/>
        <v>3</v>
      </c>
      <c r="G94" s="151" t="str">
        <f t="shared" si="8"/>
        <v>1.1.3</v>
      </c>
      <c r="H94" s="156" t="s">
        <v>1681</v>
      </c>
      <c r="I94" s="159" t="s">
        <v>863</v>
      </c>
      <c r="J94" s="159" t="s">
        <v>156</v>
      </c>
      <c r="K94" s="159" t="s">
        <v>716</v>
      </c>
      <c r="L94" s="160">
        <v>39000</v>
      </c>
      <c r="M94" s="161">
        <v>58</v>
      </c>
      <c r="N94" s="161">
        <v>2</v>
      </c>
      <c r="O94" s="164">
        <f t="shared" si="9"/>
        <v>4524000</v>
      </c>
      <c r="P94" s="161">
        <v>0</v>
      </c>
      <c r="Q94" s="161">
        <v>0</v>
      </c>
      <c r="R94" s="164">
        <f>$L94*'Pivot Objective'!$C$9*P94*Q94</f>
        <v>0</v>
      </c>
      <c r="S94" s="161">
        <v>58</v>
      </c>
      <c r="T94" s="161">
        <v>2</v>
      </c>
      <c r="U94" s="164">
        <f>($L94*'Pivot Objective'!$C$9^2)*S94*T94</f>
        <v>5909559.3000697987</v>
      </c>
      <c r="V94" s="161">
        <v>0</v>
      </c>
      <c r="W94" s="161">
        <v>0</v>
      </c>
      <c r="X94" s="164">
        <f>($L94*'Pivot Objective'!$C$9^3)*V94*W94</f>
        <v>0</v>
      </c>
      <c r="Y94" s="161">
        <v>0</v>
      </c>
      <c r="Z94" s="161">
        <v>0</v>
      </c>
      <c r="AA94" s="164">
        <f>($L94*'Pivot Objective'!$C$9^4)*Y94*Z94</f>
        <v>0</v>
      </c>
      <c r="AB94" s="151"/>
      <c r="AC94" s="151"/>
      <c r="AD94" s="164">
        <f>($L94*'Pivot Objective'!$C$9^5)*AB94*AC94</f>
        <v>0</v>
      </c>
      <c r="AE94" s="161">
        <v>58</v>
      </c>
      <c r="AF94" s="161">
        <v>2</v>
      </c>
      <c r="AG94" s="164">
        <f>($L94*'Pivot Objective'!$C$9^6)*AE94*AF94</f>
        <v>10083704.084634162</v>
      </c>
      <c r="AH94" s="151"/>
      <c r="AI94" s="151"/>
      <c r="AJ94" s="164">
        <f>($L94*'Pivot Objective'!$C$9^7)*AH94*AI94</f>
        <v>0</v>
      </c>
      <c r="AK94" s="185">
        <f t="shared" si="10"/>
        <v>20517263.38470396</v>
      </c>
      <c r="AL94" s="186">
        <f t="shared" si="11"/>
        <v>19919.673189032972</v>
      </c>
    </row>
    <row r="95" spans="1:38" ht="57.6" x14ac:dyDescent="0.3">
      <c r="A95" s="151" t="s">
        <v>1440</v>
      </c>
      <c r="B95" s="151">
        <v>1</v>
      </c>
      <c r="C95" s="152" t="s">
        <v>836</v>
      </c>
      <c r="D95" s="151" t="str">
        <f t="shared" si="6"/>
        <v>1</v>
      </c>
      <c r="E95" s="153" t="s">
        <v>837</v>
      </c>
      <c r="F95" s="151">
        <f t="shared" si="7"/>
        <v>3</v>
      </c>
      <c r="G95" s="151" t="str">
        <f t="shared" si="8"/>
        <v>1.1.3</v>
      </c>
      <c r="H95" s="156" t="s">
        <v>1681</v>
      </c>
      <c r="I95" s="159" t="s">
        <v>863</v>
      </c>
      <c r="J95" s="159" t="s">
        <v>156</v>
      </c>
      <c r="K95" s="159" t="s">
        <v>1297</v>
      </c>
      <c r="L95" s="160">
        <v>8000</v>
      </c>
      <c r="M95" s="161">
        <v>10</v>
      </c>
      <c r="N95" s="161">
        <v>1</v>
      </c>
      <c r="O95" s="164">
        <f t="shared" si="9"/>
        <v>80000</v>
      </c>
      <c r="P95" s="161">
        <v>0</v>
      </c>
      <c r="Q95" s="161">
        <v>0</v>
      </c>
      <c r="R95" s="164">
        <f>$L95*'Pivot Objective'!$C$9*P95*Q95</f>
        <v>0</v>
      </c>
      <c r="S95" s="161">
        <v>10</v>
      </c>
      <c r="T95" s="161">
        <v>1</v>
      </c>
      <c r="U95" s="164">
        <f>($L95*'Pivot Objective'!$C$9^2)*S95*T95</f>
        <v>104501.49071741465</v>
      </c>
      <c r="V95" s="161">
        <v>0</v>
      </c>
      <c r="W95" s="161">
        <v>0</v>
      </c>
      <c r="X95" s="164">
        <f>($L95*'Pivot Objective'!$C$9^3)*V95*W95</f>
        <v>0</v>
      </c>
      <c r="Y95" s="161">
        <v>0</v>
      </c>
      <c r="Z95" s="161">
        <v>0</v>
      </c>
      <c r="AA95" s="164">
        <f>($L95*'Pivot Objective'!$C$9^4)*Y95*Z95</f>
        <v>0</v>
      </c>
      <c r="AB95" s="151"/>
      <c r="AC95" s="151"/>
      <c r="AD95" s="164">
        <f>($L95*'Pivot Objective'!$C$9^5)*AB95*AC95</f>
        <v>0</v>
      </c>
      <c r="AE95" s="161">
        <v>10</v>
      </c>
      <c r="AF95" s="161">
        <v>1</v>
      </c>
      <c r="AG95" s="164">
        <f>($L95*'Pivot Objective'!$C$9^6)*AE95*AF95</f>
        <v>178314.83792456522</v>
      </c>
      <c r="AH95" s="151"/>
      <c r="AI95" s="151"/>
      <c r="AJ95" s="164">
        <f>($L95*'Pivot Objective'!$C$9^7)*AH95*AI95</f>
        <v>0</v>
      </c>
      <c r="AK95" s="185">
        <f t="shared" si="10"/>
        <v>362816.32864197984</v>
      </c>
      <c r="AL95" s="186">
        <f t="shared" si="11"/>
        <v>352.24886275920375</v>
      </c>
    </row>
    <row r="96" spans="1:38" ht="57.6" x14ac:dyDescent="0.3">
      <c r="A96" s="151" t="s">
        <v>1440</v>
      </c>
      <c r="B96" s="151">
        <v>1</v>
      </c>
      <c r="C96" s="152" t="s">
        <v>836</v>
      </c>
      <c r="D96" s="151" t="str">
        <f t="shared" si="6"/>
        <v>1</v>
      </c>
      <c r="E96" s="153" t="s">
        <v>837</v>
      </c>
      <c r="F96" s="151">
        <f t="shared" si="7"/>
        <v>3</v>
      </c>
      <c r="G96" s="151" t="str">
        <f t="shared" si="8"/>
        <v>1.1.3</v>
      </c>
      <c r="H96" s="156" t="s">
        <v>1681</v>
      </c>
      <c r="I96" s="159" t="s">
        <v>863</v>
      </c>
      <c r="J96" s="159" t="s">
        <v>156</v>
      </c>
      <c r="K96" s="159" t="s">
        <v>717</v>
      </c>
      <c r="L96" s="160">
        <v>104850</v>
      </c>
      <c r="M96" s="161">
        <v>1</v>
      </c>
      <c r="N96" s="161">
        <v>1</v>
      </c>
      <c r="O96" s="164">
        <f t="shared" si="9"/>
        <v>104850</v>
      </c>
      <c r="P96" s="161">
        <v>0</v>
      </c>
      <c r="Q96" s="161">
        <v>0</v>
      </c>
      <c r="R96" s="164">
        <f>$L96*'Pivot Objective'!$C$9*P96*Q96</f>
        <v>0</v>
      </c>
      <c r="S96" s="161">
        <v>1</v>
      </c>
      <c r="T96" s="161">
        <v>1</v>
      </c>
      <c r="U96" s="164">
        <f>($L96*'Pivot Objective'!$C$9^2)*S96*T96</f>
        <v>136962.26627151159</v>
      </c>
      <c r="V96" s="161">
        <v>0</v>
      </c>
      <c r="W96" s="161">
        <v>0</v>
      </c>
      <c r="X96" s="164">
        <f>($L96*'Pivot Objective'!$C$9^3)*V96*W96</f>
        <v>0</v>
      </c>
      <c r="Y96" s="161">
        <v>0</v>
      </c>
      <c r="Z96" s="161">
        <v>0</v>
      </c>
      <c r="AA96" s="164">
        <f>($L96*'Pivot Objective'!$C$9^4)*Y96*Z96</f>
        <v>0</v>
      </c>
      <c r="AB96" s="151"/>
      <c r="AC96" s="151"/>
      <c r="AD96" s="164">
        <f>($L96*'Pivot Objective'!$C$9^5)*AB96*AC96</f>
        <v>0</v>
      </c>
      <c r="AE96" s="161">
        <v>1</v>
      </c>
      <c r="AF96" s="161">
        <v>1</v>
      </c>
      <c r="AG96" s="164">
        <f>($L96*'Pivot Objective'!$C$9^6)*AE96*AF96</f>
        <v>233703.88445488326</v>
      </c>
      <c r="AH96" s="151"/>
      <c r="AI96" s="151"/>
      <c r="AJ96" s="164">
        <f>($L96*'Pivot Objective'!$C$9^7)*AH96*AI96</f>
        <v>0</v>
      </c>
      <c r="AK96" s="185">
        <f t="shared" si="10"/>
        <v>475516.15072639484</v>
      </c>
      <c r="AL96" s="186">
        <f t="shared" si="11"/>
        <v>461.6661657537814</v>
      </c>
    </row>
    <row r="97" spans="1:38" ht="57.6" x14ac:dyDescent="0.3">
      <c r="A97" s="151" t="s">
        <v>1440</v>
      </c>
      <c r="B97" s="151">
        <v>1</v>
      </c>
      <c r="C97" s="152" t="s">
        <v>836</v>
      </c>
      <c r="D97" s="151" t="str">
        <f t="shared" si="6"/>
        <v>1</v>
      </c>
      <c r="E97" s="153" t="s">
        <v>837</v>
      </c>
      <c r="F97" s="151">
        <f t="shared" si="7"/>
        <v>3</v>
      </c>
      <c r="G97" s="151" t="str">
        <f t="shared" si="8"/>
        <v>1.1.3</v>
      </c>
      <c r="H97" s="156" t="s">
        <v>1681</v>
      </c>
      <c r="I97" s="159" t="s">
        <v>863</v>
      </c>
      <c r="J97" s="159" t="s">
        <v>156</v>
      </c>
      <c r="K97" s="159" t="s">
        <v>712</v>
      </c>
      <c r="L97" s="160">
        <f>1999/7</f>
        <v>285.57142857142856</v>
      </c>
      <c r="M97" s="161">
        <f>25*2*29</f>
        <v>1450</v>
      </c>
      <c r="N97" s="161">
        <v>1</v>
      </c>
      <c r="O97" s="164">
        <f t="shared" si="9"/>
        <v>414078.57142857142</v>
      </c>
      <c r="P97" s="161"/>
      <c r="Q97" s="161"/>
      <c r="R97" s="164">
        <f>$L97*'Pivot Objective'!$C$9*P97*Q97</f>
        <v>0</v>
      </c>
      <c r="S97" s="161">
        <f>25*2*29</f>
        <v>1450</v>
      </c>
      <c r="T97" s="161">
        <v>1</v>
      </c>
      <c r="U97" s="164">
        <f>($L97*'Pivot Objective'!$C$9^2)*S97*T97</f>
        <v>540897.84985528968</v>
      </c>
      <c r="V97" s="161"/>
      <c r="W97" s="161"/>
      <c r="X97" s="164">
        <f>($L97*'Pivot Objective'!$C$9^3)*V97*W97</f>
        <v>0</v>
      </c>
      <c r="Y97" s="161"/>
      <c r="Z97" s="161"/>
      <c r="AA97" s="164">
        <f>($L97*'Pivot Objective'!$C$9^4)*Y97*Z97</f>
        <v>0</v>
      </c>
      <c r="AB97" s="151"/>
      <c r="AC97" s="151"/>
      <c r="AD97" s="164">
        <f>($L97*'Pivot Objective'!$C$9^5)*AB97*AC97</f>
        <v>0</v>
      </c>
      <c r="AE97" s="161">
        <f>25*2*29</f>
        <v>1450</v>
      </c>
      <c r="AF97" s="161">
        <v>1</v>
      </c>
      <c r="AG97" s="164">
        <f>($L97*'Pivot Objective'!$C$9^6)*AE97*AF97</f>
        <v>922954.416904015</v>
      </c>
      <c r="AH97" s="151"/>
      <c r="AI97" s="151"/>
      <c r="AJ97" s="164">
        <f>($L97*'Pivot Objective'!$C$9^7)*AH97*AI97</f>
        <v>0</v>
      </c>
      <c r="AK97" s="185">
        <f t="shared" si="10"/>
        <v>1877930.8381878762</v>
      </c>
      <c r="AL97" s="186">
        <f t="shared" si="11"/>
        <v>1823.2338234833749</v>
      </c>
    </row>
    <row r="98" spans="1:38" ht="57.6" x14ac:dyDescent="0.3">
      <c r="A98" s="151" t="s">
        <v>1440</v>
      </c>
      <c r="B98" s="151">
        <v>1</v>
      </c>
      <c r="C98" s="152" t="s">
        <v>836</v>
      </c>
      <c r="D98" s="151" t="str">
        <f t="shared" si="6"/>
        <v>1</v>
      </c>
      <c r="E98" s="153" t="s">
        <v>837</v>
      </c>
      <c r="F98" s="151">
        <f t="shared" si="7"/>
        <v>3</v>
      </c>
      <c r="G98" s="151" t="str">
        <f t="shared" si="8"/>
        <v>1.1.3</v>
      </c>
      <c r="H98" s="156" t="s">
        <v>1681</v>
      </c>
      <c r="I98" s="159" t="s">
        <v>863</v>
      </c>
      <c r="J98" s="159" t="s">
        <v>156</v>
      </c>
      <c r="K98" s="159" t="s">
        <v>1299</v>
      </c>
      <c r="L98" s="160">
        <f>1999/7</f>
        <v>285.57142857142856</v>
      </c>
      <c r="M98" s="161">
        <v>22500</v>
      </c>
      <c r="N98" s="161">
        <v>1</v>
      </c>
      <c r="O98" s="164">
        <f t="shared" si="9"/>
        <v>6425357.1428571427</v>
      </c>
      <c r="P98" s="161"/>
      <c r="Q98" s="161"/>
      <c r="R98" s="164">
        <f>$L98*'Pivot Objective'!$C$9*P98*Q98</f>
        <v>0</v>
      </c>
      <c r="S98" s="161">
        <v>22500</v>
      </c>
      <c r="T98" s="161">
        <v>1</v>
      </c>
      <c r="U98" s="164">
        <f>($L98*'Pivot Objective'!$C$9^2)*S98*T98</f>
        <v>8393242.4977544956</v>
      </c>
      <c r="V98" s="161"/>
      <c r="W98" s="161"/>
      <c r="X98" s="164">
        <f>($L98*'Pivot Objective'!$C$9^3)*V98*W98</f>
        <v>0</v>
      </c>
      <c r="Y98" s="161"/>
      <c r="Z98" s="161"/>
      <c r="AA98" s="164">
        <f>($L98*'Pivot Objective'!$C$9^4)*Y98*Z98</f>
        <v>0</v>
      </c>
      <c r="AB98" s="151"/>
      <c r="AC98" s="151"/>
      <c r="AD98" s="164">
        <f>($L98*'Pivot Objective'!$C$9^5)*AB98*AC98</f>
        <v>0</v>
      </c>
      <c r="AE98" s="161">
        <v>22500</v>
      </c>
      <c r="AF98" s="161">
        <v>1</v>
      </c>
      <c r="AG98" s="164">
        <f>($L98*'Pivot Objective'!$C$9^6)*AE98*AF98</f>
        <v>14321706.469200233</v>
      </c>
      <c r="AH98" s="151"/>
      <c r="AI98" s="151"/>
      <c r="AJ98" s="164">
        <f>($L98*'Pivot Objective'!$C$9^7)*AH98*AI98</f>
        <v>0</v>
      </c>
      <c r="AK98" s="185">
        <f t="shared" si="10"/>
        <v>29140306.109811872</v>
      </c>
      <c r="AL98" s="186">
        <f t="shared" si="11"/>
        <v>28291.559329914438</v>
      </c>
    </row>
    <row r="99" spans="1:38" ht="57.6" x14ac:dyDescent="0.3">
      <c r="A99" s="151" t="s">
        <v>1440</v>
      </c>
      <c r="B99" s="151">
        <v>1</v>
      </c>
      <c r="C99" s="152" t="s">
        <v>836</v>
      </c>
      <c r="D99" s="151" t="str">
        <f t="shared" si="6"/>
        <v>1</v>
      </c>
      <c r="E99" s="153" t="s">
        <v>837</v>
      </c>
      <c r="F99" s="151">
        <f t="shared" si="7"/>
        <v>3</v>
      </c>
      <c r="G99" s="151" t="str">
        <f t="shared" si="8"/>
        <v>1.1.3</v>
      </c>
      <c r="H99" s="156" t="s">
        <v>1681</v>
      </c>
      <c r="I99" s="159" t="s">
        <v>866</v>
      </c>
      <c r="J99" s="159" t="s">
        <v>840</v>
      </c>
      <c r="K99" s="159" t="s">
        <v>841</v>
      </c>
      <c r="L99" s="160">
        <v>0</v>
      </c>
      <c r="M99" s="161"/>
      <c r="N99" s="161"/>
      <c r="O99" s="164">
        <f t="shared" si="9"/>
        <v>0</v>
      </c>
      <c r="P99" s="161">
        <v>0</v>
      </c>
      <c r="Q99" s="161">
        <v>0</v>
      </c>
      <c r="R99" s="164">
        <f>$L99*'Pivot Objective'!$C$9*P99*Q99</f>
        <v>0</v>
      </c>
      <c r="S99" s="161">
        <v>5</v>
      </c>
      <c r="T99" s="161">
        <v>1</v>
      </c>
      <c r="U99" s="164">
        <f>($L99*'Pivot Objective'!$C$9^2)*S99*T99</f>
        <v>0</v>
      </c>
      <c r="V99" s="161">
        <v>0</v>
      </c>
      <c r="W99" s="161">
        <v>0</v>
      </c>
      <c r="X99" s="164">
        <f>($L99*'Pivot Objective'!$C$9^3)*V99*W99</f>
        <v>0</v>
      </c>
      <c r="Y99" s="161">
        <v>0</v>
      </c>
      <c r="Z99" s="161">
        <v>0</v>
      </c>
      <c r="AA99" s="164">
        <f>($L99*'Pivot Objective'!$C$9^4)*Y99*Z99</f>
        <v>0</v>
      </c>
      <c r="AB99" s="151"/>
      <c r="AC99" s="151"/>
      <c r="AD99" s="164">
        <f>($L99*'Pivot Objective'!$C$9^5)*AB99*AC99</f>
        <v>0</v>
      </c>
      <c r="AE99" s="151"/>
      <c r="AF99" s="151"/>
      <c r="AG99" s="164">
        <f>($L99*'Pivot Objective'!$C$9^6)*AE99*AF99</f>
        <v>0</v>
      </c>
      <c r="AH99" s="161">
        <v>0</v>
      </c>
      <c r="AI99" s="161">
        <v>0</v>
      </c>
      <c r="AJ99" s="164">
        <f>($L99*'Pivot Objective'!$C$9^7)*AH99*AI99</f>
        <v>0</v>
      </c>
      <c r="AK99" s="185">
        <f t="shared" si="10"/>
        <v>0</v>
      </c>
      <c r="AL99" s="186">
        <f t="shared" si="11"/>
        <v>0</v>
      </c>
    </row>
    <row r="100" spans="1:38" ht="57.6" x14ac:dyDescent="0.3">
      <c r="A100" s="151" t="s">
        <v>1440</v>
      </c>
      <c r="B100" s="151">
        <v>1</v>
      </c>
      <c r="C100" s="152" t="s">
        <v>836</v>
      </c>
      <c r="D100" s="151" t="str">
        <f t="shared" si="6"/>
        <v>1</v>
      </c>
      <c r="E100" s="153" t="s">
        <v>837</v>
      </c>
      <c r="F100" s="151">
        <f t="shared" si="7"/>
        <v>3</v>
      </c>
      <c r="G100" s="151" t="str">
        <f t="shared" si="8"/>
        <v>1.1.3</v>
      </c>
      <c r="H100" s="156" t="s">
        <v>1681</v>
      </c>
      <c r="I100" s="159" t="s">
        <v>866</v>
      </c>
      <c r="J100" s="159" t="s">
        <v>158</v>
      </c>
      <c r="K100" s="159" t="s">
        <v>841</v>
      </c>
      <c r="L100" s="160">
        <v>0</v>
      </c>
      <c r="M100" s="161"/>
      <c r="N100" s="161"/>
      <c r="O100" s="164">
        <f t="shared" si="9"/>
        <v>0</v>
      </c>
      <c r="P100" s="161">
        <v>0</v>
      </c>
      <c r="Q100" s="161">
        <v>0</v>
      </c>
      <c r="R100" s="164">
        <f>$L100*'Pivot Objective'!$C$9*P100*Q100</f>
        <v>0</v>
      </c>
      <c r="S100" s="161"/>
      <c r="T100" s="161"/>
      <c r="U100" s="164">
        <f>($L100*'Pivot Objective'!$C$9^2)*S100*T100</f>
        <v>0</v>
      </c>
      <c r="V100" s="161">
        <v>0</v>
      </c>
      <c r="W100" s="161">
        <v>0</v>
      </c>
      <c r="X100" s="164">
        <f>($L100*'Pivot Objective'!$C$9^3)*V100*W100</f>
        <v>0</v>
      </c>
      <c r="Y100" s="161">
        <v>0</v>
      </c>
      <c r="Z100" s="161">
        <v>0</v>
      </c>
      <c r="AA100" s="164">
        <f>($L100*'Pivot Objective'!$C$9^4)*Y100*Z100</f>
        <v>0</v>
      </c>
      <c r="AB100" s="151"/>
      <c r="AC100" s="151"/>
      <c r="AD100" s="164">
        <f>($L100*'Pivot Objective'!$C$9^5)*AB100*AC100</f>
        <v>0</v>
      </c>
      <c r="AE100" s="151"/>
      <c r="AF100" s="151"/>
      <c r="AG100" s="164">
        <f>($L100*'Pivot Objective'!$C$9^6)*AE100*AF100</f>
        <v>0</v>
      </c>
      <c r="AH100" s="161">
        <v>0</v>
      </c>
      <c r="AI100" s="161">
        <v>0</v>
      </c>
      <c r="AJ100" s="164">
        <f>($L100*'Pivot Objective'!$C$9^7)*AH100*AI100</f>
        <v>0</v>
      </c>
      <c r="AK100" s="185">
        <f t="shared" si="10"/>
        <v>0</v>
      </c>
      <c r="AL100" s="186">
        <f t="shared" si="11"/>
        <v>0</v>
      </c>
    </row>
    <row r="101" spans="1:38" ht="57.6" x14ac:dyDescent="0.3">
      <c r="A101" s="151" t="s">
        <v>1440</v>
      </c>
      <c r="B101" s="151">
        <v>1</v>
      </c>
      <c r="C101" s="152" t="s">
        <v>836</v>
      </c>
      <c r="D101" s="151" t="str">
        <f t="shared" si="6"/>
        <v>1</v>
      </c>
      <c r="E101" s="153" t="s">
        <v>837</v>
      </c>
      <c r="F101" s="151">
        <f t="shared" si="7"/>
        <v>3</v>
      </c>
      <c r="G101" s="151" t="str">
        <f t="shared" si="8"/>
        <v>1.1.3</v>
      </c>
      <c r="H101" s="156" t="s">
        <v>1681</v>
      </c>
      <c r="I101" s="159" t="s">
        <v>866</v>
      </c>
      <c r="J101" s="159" t="s">
        <v>867</v>
      </c>
      <c r="K101" s="159" t="s">
        <v>707</v>
      </c>
      <c r="L101" s="160">
        <v>391991.03749999998</v>
      </c>
      <c r="M101" s="161"/>
      <c r="N101" s="161"/>
      <c r="O101" s="164">
        <f t="shared" si="9"/>
        <v>0</v>
      </c>
      <c r="P101" s="161">
        <v>1</v>
      </c>
      <c r="Q101" s="161">
        <v>1</v>
      </c>
      <c r="R101" s="164">
        <f>$L101*'Pivot Objective'!$C$9*P101*Q101</f>
        <v>448014.82659366808</v>
      </c>
      <c r="S101" s="161"/>
      <c r="T101" s="161"/>
      <c r="U101" s="164">
        <f>($L101*'Pivot Objective'!$C$9^2)*S101*T101</f>
        <v>0</v>
      </c>
      <c r="V101" s="161">
        <v>0</v>
      </c>
      <c r="W101" s="161">
        <v>0</v>
      </c>
      <c r="X101" s="164">
        <f>($L101*'Pivot Objective'!$C$9^3)*V101*W101</f>
        <v>0</v>
      </c>
      <c r="Y101" s="161">
        <v>1</v>
      </c>
      <c r="Z101" s="161">
        <v>1</v>
      </c>
      <c r="AA101" s="164">
        <f>($L101*'Pivot Objective'!$C$9^4)*Y101*Z101</f>
        <v>668869.10263038508</v>
      </c>
      <c r="AB101" s="151"/>
      <c r="AC101" s="151"/>
      <c r="AD101" s="164">
        <f>($L101*'Pivot Objective'!$C$9^5)*AB101*AC101</f>
        <v>0</v>
      </c>
      <c r="AE101" s="151"/>
      <c r="AF101" s="151"/>
      <c r="AG101" s="164">
        <f>($L101*'Pivot Objective'!$C$9^6)*AE101*AF101</f>
        <v>0</v>
      </c>
      <c r="AH101" s="161">
        <v>1</v>
      </c>
      <c r="AI101" s="161">
        <v>1</v>
      </c>
      <c r="AJ101" s="164">
        <f>($L101*'Pivot Objective'!$C$9^7)*AH101*AI101</f>
        <v>998596.13989815139</v>
      </c>
      <c r="AK101" s="185">
        <f t="shared" si="10"/>
        <v>2115480.0691222046</v>
      </c>
      <c r="AL101" s="186">
        <f t="shared" si="11"/>
        <v>2053.8641447788395</v>
      </c>
    </row>
    <row r="102" spans="1:38" ht="57.6" x14ac:dyDescent="0.3">
      <c r="A102" s="151" t="s">
        <v>1440</v>
      </c>
      <c r="B102" s="151">
        <v>1</v>
      </c>
      <c r="C102" s="152" t="s">
        <v>836</v>
      </c>
      <c r="D102" s="151" t="str">
        <f t="shared" si="6"/>
        <v>1</v>
      </c>
      <c r="E102" s="153" t="s">
        <v>837</v>
      </c>
      <c r="F102" s="151">
        <f t="shared" si="7"/>
        <v>3</v>
      </c>
      <c r="G102" s="151" t="str">
        <f t="shared" si="8"/>
        <v>1.1.3</v>
      </c>
      <c r="H102" s="156" t="s">
        <v>1681</v>
      </c>
      <c r="I102" s="159" t="s">
        <v>866</v>
      </c>
      <c r="J102" s="159" t="s">
        <v>867</v>
      </c>
      <c r="K102" s="159" t="s">
        <v>708</v>
      </c>
      <c r="L102" s="160">
        <f>500*1022</f>
        <v>511000</v>
      </c>
      <c r="M102" s="161"/>
      <c r="N102" s="161"/>
      <c r="O102" s="164">
        <f t="shared" si="9"/>
        <v>0</v>
      </c>
      <c r="P102" s="161">
        <v>5</v>
      </c>
      <c r="Q102" s="161">
        <v>45</v>
      </c>
      <c r="R102" s="164">
        <f>$L102*'Pivot Objective'!$C$9*P102*Q102</f>
        <v>131407353.127575</v>
      </c>
      <c r="S102" s="161">
        <v>1</v>
      </c>
      <c r="T102" s="161">
        <v>6</v>
      </c>
      <c r="U102" s="164">
        <f>($L102*'Pivot Objective'!$C$9^2)*S102*T102</f>
        <v>4005019.631744917</v>
      </c>
      <c r="V102" s="161">
        <v>0</v>
      </c>
      <c r="W102" s="161">
        <v>0</v>
      </c>
      <c r="X102" s="164">
        <f>($L102*'Pivot Objective'!$C$9^3)*V102*W102</f>
        <v>0</v>
      </c>
      <c r="Y102" s="161">
        <v>5</v>
      </c>
      <c r="Z102" s="161">
        <v>45</v>
      </c>
      <c r="AA102" s="164">
        <f>($L102*'Pivot Objective'!$C$9^4)*Y102*Z102</f>
        <v>196186182.12649447</v>
      </c>
      <c r="AB102" s="151"/>
      <c r="AC102" s="151"/>
      <c r="AD102" s="164">
        <f>($L102*'Pivot Objective'!$C$9^5)*AB102*AC102</f>
        <v>0</v>
      </c>
      <c r="AE102" s="151"/>
      <c r="AF102" s="151"/>
      <c r="AG102" s="164">
        <f>($L102*'Pivot Objective'!$C$9^6)*AE102*AF102</f>
        <v>0</v>
      </c>
      <c r="AH102" s="161">
        <v>5</v>
      </c>
      <c r="AI102" s="161">
        <v>45</v>
      </c>
      <c r="AJ102" s="164">
        <f>($L102*'Pivot Objective'!$C$9^7)*AH102*AI102</f>
        <v>292898510.93799555</v>
      </c>
      <c r="AK102" s="185">
        <f t="shared" si="10"/>
        <v>624497065.82380986</v>
      </c>
      <c r="AL102" s="186">
        <f t="shared" si="11"/>
        <v>606307.83089690283</v>
      </c>
    </row>
    <row r="103" spans="1:38" ht="57.6" x14ac:dyDescent="0.3">
      <c r="A103" s="151" t="s">
        <v>1440</v>
      </c>
      <c r="B103" s="151">
        <v>1</v>
      </c>
      <c r="C103" s="152" t="s">
        <v>836</v>
      </c>
      <c r="D103" s="151" t="str">
        <f t="shared" si="6"/>
        <v>1</v>
      </c>
      <c r="E103" s="153" t="s">
        <v>837</v>
      </c>
      <c r="F103" s="151">
        <f t="shared" si="7"/>
        <v>3</v>
      </c>
      <c r="G103" s="151" t="str">
        <f t="shared" si="8"/>
        <v>1.1.3</v>
      </c>
      <c r="H103" s="156" t="s">
        <v>1681</v>
      </c>
      <c r="I103" s="159" t="s">
        <v>866</v>
      </c>
      <c r="J103" s="159" t="s">
        <v>151</v>
      </c>
      <c r="K103" s="159" t="s">
        <v>713</v>
      </c>
      <c r="L103" s="160">
        <v>45000</v>
      </c>
      <c r="M103" s="161"/>
      <c r="N103" s="161"/>
      <c r="O103" s="164">
        <f t="shared" si="9"/>
        <v>0</v>
      </c>
      <c r="P103" s="161">
        <v>25</v>
      </c>
      <c r="Q103" s="161">
        <v>5</v>
      </c>
      <c r="R103" s="164">
        <f>$L103*'Pivot Objective'!$C$9*P103*Q103</f>
        <v>6428931.1706249984</v>
      </c>
      <c r="S103" s="161">
        <v>1</v>
      </c>
      <c r="T103" s="161">
        <v>40</v>
      </c>
      <c r="U103" s="164">
        <f>($L103*'Pivot Objective'!$C$9^2)*S103*T103</f>
        <v>2351283.5411418299</v>
      </c>
      <c r="V103" s="161">
        <v>0</v>
      </c>
      <c r="W103" s="161">
        <v>0</v>
      </c>
      <c r="X103" s="164">
        <f>($L103*'Pivot Objective'!$C$9^3)*V103*W103</f>
        <v>0</v>
      </c>
      <c r="Y103" s="161">
        <v>25</v>
      </c>
      <c r="Z103" s="161">
        <v>5</v>
      </c>
      <c r="AA103" s="164">
        <f>($L103*'Pivot Objective'!$C$9^4)*Y103*Z103</f>
        <v>9598149.8104938585</v>
      </c>
      <c r="AB103" s="151"/>
      <c r="AC103" s="151"/>
      <c r="AD103" s="164">
        <f>($L103*'Pivot Objective'!$C$9^5)*AB103*AC103</f>
        <v>0</v>
      </c>
      <c r="AE103" s="151"/>
      <c r="AF103" s="151"/>
      <c r="AG103" s="164">
        <f>($L103*'Pivot Objective'!$C$9^6)*AE103*AF103</f>
        <v>0</v>
      </c>
      <c r="AH103" s="161">
        <v>25</v>
      </c>
      <c r="AI103" s="161">
        <v>5</v>
      </c>
      <c r="AJ103" s="164">
        <f>($L103*'Pivot Objective'!$C$9^7)*AH103*AI103</f>
        <v>14329672.746477276</v>
      </c>
      <c r="AK103" s="185">
        <f t="shared" si="10"/>
        <v>32708037.268737964</v>
      </c>
      <c r="AL103" s="186">
        <f t="shared" si="11"/>
        <v>31755.375989065986</v>
      </c>
    </row>
    <row r="104" spans="1:38" ht="57.6" x14ac:dyDescent="0.3">
      <c r="A104" s="151" t="s">
        <v>1440</v>
      </c>
      <c r="B104" s="151">
        <v>1</v>
      </c>
      <c r="C104" s="152" t="s">
        <v>836</v>
      </c>
      <c r="D104" s="151" t="str">
        <f t="shared" si="6"/>
        <v>1</v>
      </c>
      <c r="E104" s="153" t="s">
        <v>837</v>
      </c>
      <c r="F104" s="151">
        <f t="shared" si="7"/>
        <v>3</v>
      </c>
      <c r="G104" s="151" t="str">
        <f t="shared" si="8"/>
        <v>1.1.3</v>
      </c>
      <c r="H104" s="156" t="s">
        <v>1681</v>
      </c>
      <c r="I104" s="159" t="s">
        <v>866</v>
      </c>
      <c r="J104" s="159" t="s">
        <v>151</v>
      </c>
      <c r="K104" s="159" t="s">
        <v>712</v>
      </c>
      <c r="L104" s="160">
        <f>1999/7</f>
        <v>285.57142857142856</v>
      </c>
      <c r="M104" s="161"/>
      <c r="N104" s="161"/>
      <c r="O104" s="164">
        <f t="shared" si="9"/>
        <v>0</v>
      </c>
      <c r="P104" s="161">
        <f>25*2*29</f>
        <v>1450</v>
      </c>
      <c r="Q104" s="161">
        <v>5</v>
      </c>
      <c r="R104" s="164">
        <f>$L104*'Pivot Objective'!$C$9*P104*Q104</f>
        <v>2366295.6755066784</v>
      </c>
      <c r="S104" s="161">
        <v>25</v>
      </c>
      <c r="T104" s="161">
        <v>10</v>
      </c>
      <c r="U104" s="164">
        <f>($L104*'Pivot Objective'!$C$9^2)*S104*T104</f>
        <v>93258.249975049956</v>
      </c>
      <c r="V104" s="161">
        <v>0</v>
      </c>
      <c r="W104" s="161">
        <v>0</v>
      </c>
      <c r="X104" s="164">
        <f>($L104*'Pivot Objective'!$C$9^3)*V104*W104</f>
        <v>0</v>
      </c>
      <c r="Y104" s="161">
        <f>25*2*29</f>
        <v>1450</v>
      </c>
      <c r="Z104" s="161">
        <v>5</v>
      </c>
      <c r="AA104" s="164">
        <f>($L104*'Pivot Objective'!$C$9^4)*Y104*Z104</f>
        <v>3532789.4772326313</v>
      </c>
      <c r="AB104" s="151"/>
      <c r="AC104" s="151"/>
      <c r="AD104" s="164">
        <f>($L104*'Pivot Objective'!$C$9^5)*AB104*AC104</f>
        <v>0</v>
      </c>
      <c r="AE104" s="151"/>
      <c r="AF104" s="151"/>
      <c r="AG104" s="164">
        <f>($L104*'Pivot Objective'!$C$9^6)*AE104*AF104</f>
        <v>0</v>
      </c>
      <c r="AH104" s="161">
        <f>25*2*29</f>
        <v>1450</v>
      </c>
      <c r="AI104" s="161">
        <v>5</v>
      </c>
      <c r="AJ104" s="164">
        <f>($L104*'Pivot Objective'!$C$9^7)*AH104*AI104</f>
        <v>5274320.3732446618</v>
      </c>
      <c r="AK104" s="185">
        <f t="shared" si="10"/>
        <v>11266663.775959022</v>
      </c>
      <c r="AL104" s="186">
        <f t="shared" si="11"/>
        <v>10938.508520348565</v>
      </c>
    </row>
    <row r="105" spans="1:38" ht="57.6" x14ac:dyDescent="0.3">
      <c r="A105" s="151" t="s">
        <v>1440</v>
      </c>
      <c r="B105" s="151">
        <v>1</v>
      </c>
      <c r="C105" s="152" t="s">
        <v>836</v>
      </c>
      <c r="D105" s="151" t="str">
        <f t="shared" si="6"/>
        <v>1</v>
      </c>
      <c r="E105" s="153" t="s">
        <v>837</v>
      </c>
      <c r="F105" s="151">
        <f t="shared" si="7"/>
        <v>3</v>
      </c>
      <c r="G105" s="151" t="str">
        <f t="shared" si="8"/>
        <v>1.1.3</v>
      </c>
      <c r="H105" s="156" t="s">
        <v>1681</v>
      </c>
      <c r="I105" s="159" t="s">
        <v>866</v>
      </c>
      <c r="J105" s="159" t="s">
        <v>151</v>
      </c>
      <c r="K105" s="159" t="s">
        <v>1299</v>
      </c>
      <c r="L105" s="160">
        <f>1999/7</f>
        <v>285.57142857142856</v>
      </c>
      <c r="M105" s="161"/>
      <c r="N105" s="161"/>
      <c r="O105" s="164">
        <f t="shared" si="9"/>
        <v>0</v>
      </c>
      <c r="P105" s="161">
        <v>22500</v>
      </c>
      <c r="Q105" s="161">
        <v>1</v>
      </c>
      <c r="R105" s="164">
        <f>$L105*'Pivot Objective'!$C$9*P105*Q105</f>
        <v>7343676.2343310704</v>
      </c>
      <c r="S105" s="161"/>
      <c r="T105" s="161"/>
      <c r="U105" s="164">
        <f>($L105*'Pivot Objective'!$C$9^2)*S105*T105</f>
        <v>0</v>
      </c>
      <c r="V105" s="161"/>
      <c r="W105" s="161"/>
      <c r="X105" s="164">
        <f>($L105*'Pivot Objective'!$C$9^3)*V105*W105</f>
        <v>0</v>
      </c>
      <c r="Y105" s="161">
        <v>22500</v>
      </c>
      <c r="Z105" s="161">
        <v>1</v>
      </c>
      <c r="AA105" s="164">
        <f>($L105*'Pivot Objective'!$C$9^4)*Y105*Z105</f>
        <v>10963829.412101271</v>
      </c>
      <c r="AB105" s="151"/>
      <c r="AC105" s="151"/>
      <c r="AD105" s="164">
        <f>($L105*'Pivot Objective'!$C$9^5)*AB105*AC105</f>
        <v>0</v>
      </c>
      <c r="AE105" s="151"/>
      <c r="AF105" s="151"/>
      <c r="AG105" s="164">
        <f>($L105*'Pivot Objective'!$C$9^6)*AE105*AF105</f>
        <v>0</v>
      </c>
      <c r="AH105" s="161">
        <v>22500</v>
      </c>
      <c r="AI105" s="161">
        <v>1</v>
      </c>
      <c r="AJ105" s="164">
        <f>($L105*'Pivot Objective'!$C$9^7)*AH105*AI105</f>
        <v>16368580.468690328</v>
      </c>
      <c r="AK105" s="185">
        <f t="shared" si="10"/>
        <v>34676086.115122668</v>
      </c>
      <c r="AL105" s="186">
        <f t="shared" si="11"/>
        <v>33666.103024390941</v>
      </c>
    </row>
    <row r="106" spans="1:38" ht="57.6" x14ac:dyDescent="0.3">
      <c r="A106" s="151" t="s">
        <v>1440</v>
      </c>
      <c r="B106" s="151">
        <v>1</v>
      </c>
      <c r="C106" s="152" t="s">
        <v>836</v>
      </c>
      <c r="D106" s="151" t="str">
        <f t="shared" si="6"/>
        <v>1</v>
      </c>
      <c r="E106" s="153" t="s">
        <v>837</v>
      </c>
      <c r="F106" s="151">
        <f t="shared" si="7"/>
        <v>3</v>
      </c>
      <c r="G106" s="151" t="str">
        <f t="shared" si="8"/>
        <v>1.1.3</v>
      </c>
      <c r="H106" s="156" t="s">
        <v>1681</v>
      </c>
      <c r="I106" s="159" t="s">
        <v>866</v>
      </c>
      <c r="J106" s="159" t="s">
        <v>151</v>
      </c>
      <c r="K106" s="159" t="s">
        <v>715</v>
      </c>
      <c r="L106" s="160">
        <v>302000</v>
      </c>
      <c r="M106" s="161"/>
      <c r="N106" s="161"/>
      <c r="O106" s="164">
        <f t="shared" si="9"/>
        <v>0</v>
      </c>
      <c r="P106" s="161">
        <v>15</v>
      </c>
      <c r="Q106" s="161">
        <v>1</v>
      </c>
      <c r="R106" s="164">
        <f>$L106*'Pivot Objective'!$C$9*P106*Q106</f>
        <v>5177432.5694099991</v>
      </c>
      <c r="S106" s="161">
        <v>20000</v>
      </c>
      <c r="T106" s="161">
        <v>1</v>
      </c>
      <c r="U106" s="164">
        <f>($L106*'Pivot Objective'!$C$9^2)*S106*T106</f>
        <v>7889862549.1648064</v>
      </c>
      <c r="V106" s="161">
        <v>0</v>
      </c>
      <c r="W106" s="161">
        <v>0</v>
      </c>
      <c r="X106" s="164">
        <f>($L106*'Pivot Objective'!$C$9^3)*V106*W106</f>
        <v>0</v>
      </c>
      <c r="Y106" s="161">
        <v>15</v>
      </c>
      <c r="Z106" s="161">
        <v>1</v>
      </c>
      <c r="AA106" s="164">
        <f>($L106*'Pivot Objective'!$C$9^4)*Y106*Z106</f>
        <v>7729709.9807177205</v>
      </c>
      <c r="AB106" s="151"/>
      <c r="AC106" s="151"/>
      <c r="AD106" s="164">
        <f>($L106*'Pivot Objective'!$C$9^5)*AB106*AC106</f>
        <v>0</v>
      </c>
      <c r="AE106" s="151"/>
      <c r="AF106" s="151"/>
      <c r="AG106" s="164">
        <f>($L106*'Pivot Objective'!$C$9^6)*AE106*AF106</f>
        <v>0</v>
      </c>
      <c r="AH106" s="161">
        <v>15</v>
      </c>
      <c r="AI106" s="161">
        <v>1</v>
      </c>
      <c r="AJ106" s="164">
        <f>($L106*'Pivot Objective'!$C$9^7)*AH106*AI106</f>
        <v>11540163.118496366</v>
      </c>
      <c r="AK106" s="185">
        <f t="shared" si="10"/>
        <v>7914309854.8334303</v>
      </c>
      <c r="AL106" s="186">
        <f t="shared" si="11"/>
        <v>7683795.9755664375</v>
      </c>
    </row>
    <row r="107" spans="1:38" ht="57.6" x14ac:dyDescent="0.3">
      <c r="A107" s="151" t="s">
        <v>1440</v>
      </c>
      <c r="B107" s="151">
        <v>1</v>
      </c>
      <c r="C107" s="152" t="s">
        <v>836</v>
      </c>
      <c r="D107" s="151" t="str">
        <f t="shared" si="6"/>
        <v>1</v>
      </c>
      <c r="E107" s="153" t="s">
        <v>837</v>
      </c>
      <c r="F107" s="151">
        <f t="shared" si="7"/>
        <v>3</v>
      </c>
      <c r="G107" s="151" t="str">
        <f t="shared" si="8"/>
        <v>1.1.3</v>
      </c>
      <c r="H107" s="156" t="s">
        <v>1681</v>
      </c>
      <c r="I107" s="159" t="s">
        <v>866</v>
      </c>
      <c r="J107" s="159" t="s">
        <v>151</v>
      </c>
      <c r="K107" s="159" t="s">
        <v>714</v>
      </c>
      <c r="L107" s="160">
        <v>10000</v>
      </c>
      <c r="M107" s="161"/>
      <c r="N107" s="161"/>
      <c r="O107" s="164">
        <f t="shared" si="9"/>
        <v>0</v>
      </c>
      <c r="P107" s="161">
        <v>15</v>
      </c>
      <c r="Q107" s="161">
        <v>1</v>
      </c>
      <c r="R107" s="164">
        <f>$L107*'Pivot Objective'!$C$9*P107*Q107</f>
        <v>171438.16454999999</v>
      </c>
      <c r="S107" s="161">
        <v>20</v>
      </c>
      <c r="T107" s="161">
        <v>1</v>
      </c>
      <c r="U107" s="164">
        <f>($L107*'Pivot Objective'!$C$9^2)*S107*T107</f>
        <v>261253.72679353665</v>
      </c>
      <c r="V107" s="161">
        <v>0</v>
      </c>
      <c r="W107" s="161">
        <v>0</v>
      </c>
      <c r="X107" s="164">
        <f>($L107*'Pivot Objective'!$C$9^3)*V107*W107</f>
        <v>0</v>
      </c>
      <c r="Y107" s="161">
        <v>15</v>
      </c>
      <c r="Z107" s="161">
        <v>1</v>
      </c>
      <c r="AA107" s="164">
        <f>($L107*'Pivot Objective'!$C$9^4)*Y107*Z107</f>
        <v>255950.66161316959</v>
      </c>
      <c r="AB107" s="151"/>
      <c r="AC107" s="151"/>
      <c r="AD107" s="164">
        <f>($L107*'Pivot Objective'!$C$9^5)*AB107*AC107</f>
        <v>0</v>
      </c>
      <c r="AE107" s="151"/>
      <c r="AF107" s="151"/>
      <c r="AG107" s="164">
        <f>($L107*'Pivot Objective'!$C$9^6)*AE107*AF107</f>
        <v>0</v>
      </c>
      <c r="AH107" s="161">
        <v>15</v>
      </c>
      <c r="AI107" s="161">
        <v>1</v>
      </c>
      <c r="AJ107" s="164">
        <f>($L107*'Pivot Objective'!$C$9^7)*AH107*AI107</f>
        <v>382124.60657272732</v>
      </c>
      <c r="AK107" s="185">
        <f t="shared" si="10"/>
        <v>1070767.1595294336</v>
      </c>
      <c r="AL107" s="186">
        <f t="shared" si="11"/>
        <v>1039.5797665334308</v>
      </c>
    </row>
    <row r="108" spans="1:38" ht="57.6" x14ac:dyDescent="0.3">
      <c r="A108" s="151" t="s">
        <v>1440</v>
      </c>
      <c r="B108" s="151">
        <v>1</v>
      </c>
      <c r="C108" s="152" t="s">
        <v>836</v>
      </c>
      <c r="D108" s="151" t="str">
        <f t="shared" si="6"/>
        <v>1</v>
      </c>
      <c r="E108" s="153" t="s">
        <v>837</v>
      </c>
      <c r="F108" s="151">
        <f t="shared" si="7"/>
        <v>3</v>
      </c>
      <c r="G108" s="151" t="str">
        <f t="shared" si="8"/>
        <v>1.1.3</v>
      </c>
      <c r="H108" s="156" t="s">
        <v>1681</v>
      </c>
      <c r="I108" s="159" t="s">
        <v>866</v>
      </c>
      <c r="J108" s="159" t="s">
        <v>152</v>
      </c>
      <c r="K108" s="159" t="s">
        <v>716</v>
      </c>
      <c r="L108" s="160">
        <v>39000</v>
      </c>
      <c r="M108" s="161"/>
      <c r="N108" s="161"/>
      <c r="O108" s="164">
        <f t="shared" si="9"/>
        <v>0</v>
      </c>
      <c r="P108" s="161">
        <v>25</v>
      </c>
      <c r="Q108" s="161">
        <v>5</v>
      </c>
      <c r="R108" s="164">
        <f>$L108*'Pivot Objective'!$C$9*P108*Q108</f>
        <v>5571740.347874999</v>
      </c>
      <c r="S108" s="161">
        <v>15</v>
      </c>
      <c r="T108" s="161">
        <v>1</v>
      </c>
      <c r="U108" s="164">
        <f>($L108*'Pivot Objective'!$C$9^2)*S108*T108</f>
        <v>764167.15087109467</v>
      </c>
      <c r="V108" s="161">
        <v>0</v>
      </c>
      <c r="W108" s="161">
        <v>0</v>
      </c>
      <c r="X108" s="164">
        <f>($L108*'Pivot Objective'!$C$9^3)*V108*W108</f>
        <v>0</v>
      </c>
      <c r="Y108" s="161">
        <v>25</v>
      </c>
      <c r="Z108" s="161">
        <v>5</v>
      </c>
      <c r="AA108" s="164">
        <f>($L108*'Pivot Objective'!$C$9^4)*Y108*Z108</f>
        <v>8318396.502428012</v>
      </c>
      <c r="AB108" s="151"/>
      <c r="AC108" s="151"/>
      <c r="AD108" s="164">
        <f>($L108*'Pivot Objective'!$C$9^5)*AB108*AC108</f>
        <v>0</v>
      </c>
      <c r="AE108" s="151"/>
      <c r="AF108" s="151"/>
      <c r="AG108" s="164">
        <f>($L108*'Pivot Objective'!$C$9^6)*AE108*AF108</f>
        <v>0</v>
      </c>
      <c r="AH108" s="161">
        <v>25</v>
      </c>
      <c r="AI108" s="161">
        <v>5</v>
      </c>
      <c r="AJ108" s="164">
        <f>($L108*'Pivot Objective'!$C$9^7)*AH108*AI108</f>
        <v>12419049.713613637</v>
      </c>
      <c r="AK108" s="185">
        <f t="shared" si="10"/>
        <v>27073353.714787744</v>
      </c>
      <c r="AL108" s="186">
        <f t="shared" si="11"/>
        <v>26284.80943183276</v>
      </c>
    </row>
    <row r="109" spans="1:38" ht="57.6" x14ac:dyDescent="0.3">
      <c r="A109" s="151" t="s">
        <v>1440</v>
      </c>
      <c r="B109" s="151">
        <v>1</v>
      </c>
      <c r="C109" s="152" t="s">
        <v>836</v>
      </c>
      <c r="D109" s="151" t="str">
        <f t="shared" si="6"/>
        <v>1</v>
      </c>
      <c r="E109" s="153" t="s">
        <v>837</v>
      </c>
      <c r="F109" s="151">
        <f t="shared" si="7"/>
        <v>3</v>
      </c>
      <c r="G109" s="151" t="str">
        <f t="shared" si="8"/>
        <v>1.1.3</v>
      </c>
      <c r="H109" s="156" t="s">
        <v>1681</v>
      </c>
      <c r="I109" s="159" t="s">
        <v>866</v>
      </c>
      <c r="J109" s="159" t="s">
        <v>152</v>
      </c>
      <c r="K109" s="159" t="s">
        <v>709</v>
      </c>
      <c r="L109" s="160">
        <v>35000</v>
      </c>
      <c r="M109" s="161"/>
      <c r="N109" s="161"/>
      <c r="O109" s="164">
        <f t="shared" si="9"/>
        <v>0</v>
      </c>
      <c r="P109" s="161">
        <v>25</v>
      </c>
      <c r="Q109" s="161">
        <v>5</v>
      </c>
      <c r="R109" s="164">
        <f>$L109*'Pivot Objective'!$C$9*P109*Q109</f>
        <v>5000279.7993749995</v>
      </c>
      <c r="S109" s="161">
        <v>25</v>
      </c>
      <c r="T109" s="161">
        <v>5</v>
      </c>
      <c r="U109" s="164">
        <f>($L109*'Pivot Objective'!$C$9^2)*S109*T109</f>
        <v>5714925.2736086138</v>
      </c>
      <c r="V109" s="161">
        <v>0</v>
      </c>
      <c r="W109" s="161">
        <v>0</v>
      </c>
      <c r="X109" s="164">
        <f>($L109*'Pivot Objective'!$C$9^3)*V109*W109</f>
        <v>0</v>
      </c>
      <c r="Y109" s="161">
        <v>25</v>
      </c>
      <c r="Z109" s="161">
        <v>5</v>
      </c>
      <c r="AA109" s="164">
        <f>($L109*'Pivot Objective'!$C$9^4)*Y109*Z109</f>
        <v>7465227.6303841127</v>
      </c>
      <c r="AB109" s="151"/>
      <c r="AC109" s="151"/>
      <c r="AD109" s="164">
        <f>($L109*'Pivot Objective'!$C$9^5)*AB109*AC109</f>
        <v>0</v>
      </c>
      <c r="AE109" s="151"/>
      <c r="AF109" s="151"/>
      <c r="AG109" s="164">
        <f>($L109*'Pivot Objective'!$C$9^6)*AE109*AF109</f>
        <v>0</v>
      </c>
      <c r="AH109" s="161">
        <v>25</v>
      </c>
      <c r="AI109" s="161">
        <v>5</v>
      </c>
      <c r="AJ109" s="164">
        <f>($L109*'Pivot Objective'!$C$9^7)*AH109*AI109</f>
        <v>11145301.025037881</v>
      </c>
      <c r="AK109" s="185">
        <f t="shared" si="10"/>
        <v>29325733.728405606</v>
      </c>
      <c r="AL109" s="186">
        <f t="shared" si="11"/>
        <v>28471.586144083114</v>
      </c>
    </row>
    <row r="110" spans="1:38" ht="57.6" x14ac:dyDescent="0.3">
      <c r="A110" s="151" t="s">
        <v>1440</v>
      </c>
      <c r="B110" s="151">
        <v>1</v>
      </c>
      <c r="C110" s="152" t="s">
        <v>836</v>
      </c>
      <c r="D110" s="151" t="str">
        <f t="shared" si="6"/>
        <v>1</v>
      </c>
      <c r="E110" s="153" t="s">
        <v>837</v>
      </c>
      <c r="F110" s="151">
        <f t="shared" si="7"/>
        <v>3</v>
      </c>
      <c r="G110" s="151" t="str">
        <f t="shared" si="8"/>
        <v>1.1.3</v>
      </c>
      <c r="H110" s="156" t="s">
        <v>1681</v>
      </c>
      <c r="I110" s="159" t="s">
        <v>866</v>
      </c>
      <c r="J110" s="159" t="s">
        <v>152</v>
      </c>
      <c r="K110" s="159" t="s">
        <v>712</v>
      </c>
      <c r="L110" s="160">
        <f>1999/7</f>
        <v>285.57142857142856</v>
      </c>
      <c r="M110" s="161"/>
      <c r="N110" s="161"/>
      <c r="O110" s="164">
        <f t="shared" si="9"/>
        <v>0</v>
      </c>
      <c r="P110" s="161">
        <v>25</v>
      </c>
      <c r="Q110" s="161">
        <v>10</v>
      </c>
      <c r="R110" s="164">
        <f>$L110*'Pivot Objective'!$C$9*P110*Q110</f>
        <v>81596.402603678551</v>
      </c>
      <c r="S110" s="161">
        <v>25</v>
      </c>
      <c r="T110" s="161">
        <v>5</v>
      </c>
      <c r="U110" s="164">
        <f>($L110*'Pivot Objective'!$C$9^2)*S110*T110</f>
        <v>46629.124987524978</v>
      </c>
      <c r="V110" s="161">
        <v>0</v>
      </c>
      <c r="W110" s="161">
        <v>0</v>
      </c>
      <c r="X110" s="164">
        <f>($L110*'Pivot Objective'!$C$9^3)*V110*W110</f>
        <v>0</v>
      </c>
      <c r="Y110" s="161">
        <v>25</v>
      </c>
      <c r="Z110" s="161">
        <v>10</v>
      </c>
      <c r="AA110" s="164">
        <f>($L110*'Pivot Objective'!$C$9^4)*Y110*Z110</f>
        <v>121820.32680112521</v>
      </c>
      <c r="AB110" s="151"/>
      <c r="AC110" s="151"/>
      <c r="AD110" s="164">
        <f>($L110*'Pivot Objective'!$C$9^5)*AB110*AC110</f>
        <v>0</v>
      </c>
      <c r="AE110" s="151"/>
      <c r="AF110" s="151"/>
      <c r="AG110" s="164">
        <f>($L110*'Pivot Objective'!$C$9^6)*AE110*AF110</f>
        <v>0</v>
      </c>
      <c r="AH110" s="161">
        <v>25</v>
      </c>
      <c r="AI110" s="161">
        <v>10</v>
      </c>
      <c r="AJ110" s="164">
        <f>($L110*'Pivot Objective'!$C$9^7)*AH110*AI110</f>
        <v>181873.11631878142</v>
      </c>
      <c r="AK110" s="185">
        <f t="shared" si="10"/>
        <v>431918.97071111016</v>
      </c>
      <c r="AL110" s="186">
        <f t="shared" si="11"/>
        <v>419.33880651564095</v>
      </c>
    </row>
    <row r="111" spans="1:38" ht="57.6" x14ac:dyDescent="0.3">
      <c r="A111" s="151" t="s">
        <v>1440</v>
      </c>
      <c r="B111" s="151">
        <v>1</v>
      </c>
      <c r="C111" s="152" t="s">
        <v>836</v>
      </c>
      <c r="D111" s="151" t="str">
        <f t="shared" si="6"/>
        <v>1</v>
      </c>
      <c r="E111" s="153" t="s">
        <v>837</v>
      </c>
      <c r="F111" s="151">
        <f t="shared" si="7"/>
        <v>3</v>
      </c>
      <c r="G111" s="151" t="str">
        <f t="shared" si="8"/>
        <v>1.1.3</v>
      </c>
      <c r="H111" s="156" t="s">
        <v>1681</v>
      </c>
      <c r="I111" s="159" t="s">
        <v>866</v>
      </c>
      <c r="J111" s="159" t="s">
        <v>152</v>
      </c>
      <c r="K111" s="159" t="s">
        <v>1299</v>
      </c>
      <c r="L111" s="160">
        <f>1999/7</f>
        <v>285.57142857142856</v>
      </c>
      <c r="M111" s="161"/>
      <c r="N111" s="161"/>
      <c r="O111" s="164">
        <f t="shared" si="9"/>
        <v>0</v>
      </c>
      <c r="P111" s="161">
        <v>22500</v>
      </c>
      <c r="Q111" s="161">
        <v>1</v>
      </c>
      <c r="R111" s="164">
        <f>$L111*'Pivot Objective'!$C$9*P111*Q111</f>
        <v>7343676.2343310704</v>
      </c>
      <c r="S111" s="161"/>
      <c r="T111" s="161"/>
      <c r="U111" s="164">
        <f>($L111*'Pivot Objective'!$C$9^2)*S111*T111</f>
        <v>0</v>
      </c>
      <c r="V111" s="161"/>
      <c r="W111" s="161"/>
      <c r="X111" s="164">
        <f>($L111*'Pivot Objective'!$C$9^3)*V111*W111</f>
        <v>0</v>
      </c>
      <c r="Y111" s="161">
        <v>22500</v>
      </c>
      <c r="Z111" s="161">
        <v>1</v>
      </c>
      <c r="AA111" s="164">
        <f>($L111*'Pivot Objective'!$C$9^4)*Y111*Z111</f>
        <v>10963829.412101271</v>
      </c>
      <c r="AB111" s="151"/>
      <c r="AC111" s="151"/>
      <c r="AD111" s="164">
        <f>($L111*'Pivot Objective'!$C$9^5)*AB111*AC111</f>
        <v>0</v>
      </c>
      <c r="AE111" s="151"/>
      <c r="AF111" s="151"/>
      <c r="AG111" s="164">
        <f>($L111*'Pivot Objective'!$C$9^6)*AE111*AF111</f>
        <v>0</v>
      </c>
      <c r="AH111" s="161">
        <v>22500</v>
      </c>
      <c r="AI111" s="161">
        <v>1</v>
      </c>
      <c r="AJ111" s="164">
        <f>($L111*'Pivot Objective'!$C$9^7)*AH111*AI111</f>
        <v>16368580.468690328</v>
      </c>
      <c r="AK111" s="185">
        <f t="shared" si="10"/>
        <v>34676086.115122668</v>
      </c>
      <c r="AL111" s="186">
        <f t="shared" si="11"/>
        <v>33666.103024390941</v>
      </c>
    </row>
    <row r="112" spans="1:38" ht="57.6" x14ac:dyDescent="0.3">
      <c r="A112" s="151" t="s">
        <v>1440</v>
      </c>
      <c r="B112" s="151">
        <v>1</v>
      </c>
      <c r="C112" s="152" t="s">
        <v>836</v>
      </c>
      <c r="D112" s="151" t="str">
        <f t="shared" si="6"/>
        <v>1</v>
      </c>
      <c r="E112" s="153" t="s">
        <v>837</v>
      </c>
      <c r="F112" s="151">
        <f t="shared" si="7"/>
        <v>3</v>
      </c>
      <c r="G112" s="151" t="str">
        <f t="shared" si="8"/>
        <v>1.1.3</v>
      </c>
      <c r="H112" s="156" t="s">
        <v>1681</v>
      </c>
      <c r="I112" s="159" t="s">
        <v>866</v>
      </c>
      <c r="J112" s="159" t="s">
        <v>1351</v>
      </c>
      <c r="K112" s="159" t="s">
        <v>841</v>
      </c>
      <c r="L112" s="160">
        <v>0</v>
      </c>
      <c r="M112" s="161"/>
      <c r="N112" s="161"/>
      <c r="O112" s="164">
        <f t="shared" si="9"/>
        <v>0</v>
      </c>
      <c r="P112" s="161">
        <v>0</v>
      </c>
      <c r="Q112" s="161">
        <v>0</v>
      </c>
      <c r="R112" s="164">
        <f>$L112*'Pivot Objective'!$C$9*P112*Q112</f>
        <v>0</v>
      </c>
      <c r="S112" s="161">
        <v>4000</v>
      </c>
      <c r="T112" s="161">
        <v>1</v>
      </c>
      <c r="U112" s="164">
        <f>($L112*'Pivot Objective'!$C$9^2)*S112*T112</f>
        <v>0</v>
      </c>
      <c r="V112" s="161">
        <v>0</v>
      </c>
      <c r="W112" s="161">
        <v>0</v>
      </c>
      <c r="X112" s="164">
        <f>($L112*'Pivot Objective'!$C$9^3)*V112*W112</f>
        <v>0</v>
      </c>
      <c r="Y112" s="161">
        <v>0</v>
      </c>
      <c r="Z112" s="161">
        <v>0</v>
      </c>
      <c r="AA112" s="164">
        <f>($L112*'Pivot Objective'!$C$9^4)*Y112*Z112</f>
        <v>0</v>
      </c>
      <c r="AB112" s="151"/>
      <c r="AC112" s="151"/>
      <c r="AD112" s="164">
        <f>($L112*'Pivot Objective'!$C$9^5)*AB112*AC112</f>
        <v>0</v>
      </c>
      <c r="AE112" s="151"/>
      <c r="AF112" s="151"/>
      <c r="AG112" s="164">
        <f>($L112*'Pivot Objective'!$C$9^6)*AE112*AF112</f>
        <v>0</v>
      </c>
      <c r="AH112" s="161">
        <v>0</v>
      </c>
      <c r="AI112" s="161">
        <v>0</v>
      </c>
      <c r="AJ112" s="164">
        <f>($L112*'Pivot Objective'!$C$9^7)*AH112*AI112</f>
        <v>0</v>
      </c>
      <c r="AK112" s="185">
        <f t="shared" si="10"/>
        <v>0</v>
      </c>
      <c r="AL112" s="186">
        <f t="shared" si="11"/>
        <v>0</v>
      </c>
    </row>
    <row r="113" spans="1:38" ht="57.6" x14ac:dyDescent="0.3">
      <c r="A113" s="151" t="s">
        <v>1440</v>
      </c>
      <c r="B113" s="151">
        <v>1</v>
      </c>
      <c r="C113" s="152" t="s">
        <v>836</v>
      </c>
      <c r="D113" s="151" t="str">
        <f t="shared" si="6"/>
        <v>1</v>
      </c>
      <c r="E113" s="153" t="s">
        <v>837</v>
      </c>
      <c r="F113" s="151">
        <f t="shared" si="7"/>
        <v>3</v>
      </c>
      <c r="G113" s="151" t="str">
        <f t="shared" si="8"/>
        <v>1.1.3</v>
      </c>
      <c r="H113" s="156" t="s">
        <v>1681</v>
      </c>
      <c r="I113" s="159" t="s">
        <v>866</v>
      </c>
      <c r="J113" s="159" t="s">
        <v>1319</v>
      </c>
      <c r="K113" s="159" t="s">
        <v>709</v>
      </c>
      <c r="L113" s="160">
        <v>35000</v>
      </c>
      <c r="M113" s="161"/>
      <c r="N113" s="161"/>
      <c r="O113" s="164">
        <f t="shared" si="9"/>
        <v>0</v>
      </c>
      <c r="P113" s="161">
        <v>100</v>
      </c>
      <c r="Q113" s="161">
        <v>1</v>
      </c>
      <c r="R113" s="164">
        <f>$L113*'Pivot Objective'!$C$9*P113*Q113</f>
        <v>4000223.8394999993</v>
      </c>
      <c r="S113" s="161"/>
      <c r="T113" s="161"/>
      <c r="U113" s="164">
        <f>($L113*'Pivot Objective'!$C$9^2)*S113*T113</f>
        <v>0</v>
      </c>
      <c r="V113" s="161"/>
      <c r="W113" s="161"/>
      <c r="X113" s="164">
        <f>($L113*'Pivot Objective'!$C$9^3)*V113*W113</f>
        <v>0</v>
      </c>
      <c r="Y113" s="161">
        <v>100</v>
      </c>
      <c r="Z113" s="161">
        <v>1</v>
      </c>
      <c r="AA113" s="164">
        <f>($L113*'Pivot Objective'!$C$9^4)*Y113*Z113</f>
        <v>5972182.1043072902</v>
      </c>
      <c r="AB113" s="151"/>
      <c r="AC113" s="151"/>
      <c r="AD113" s="164">
        <f>($L113*'Pivot Objective'!$C$9^5)*AB113*AC113</f>
        <v>0</v>
      </c>
      <c r="AE113" s="151"/>
      <c r="AF113" s="151"/>
      <c r="AG113" s="164">
        <f>($L113*'Pivot Objective'!$C$9^6)*AE113*AF113</f>
        <v>0</v>
      </c>
      <c r="AH113" s="161">
        <v>100</v>
      </c>
      <c r="AI113" s="161">
        <v>1</v>
      </c>
      <c r="AJ113" s="164">
        <f>($L113*'Pivot Objective'!$C$9^7)*AH113*AI113</f>
        <v>8916240.8200303055</v>
      </c>
      <c r="AK113" s="185">
        <f t="shared" si="10"/>
        <v>18888646.763837595</v>
      </c>
      <c r="AL113" s="186">
        <f t="shared" si="11"/>
        <v>18338.49200372582</v>
      </c>
    </row>
    <row r="114" spans="1:38" ht="57.6" x14ac:dyDescent="0.3">
      <c r="A114" s="151" t="s">
        <v>1440</v>
      </c>
      <c r="B114" s="151">
        <v>1</v>
      </c>
      <c r="C114" s="152" t="s">
        <v>836</v>
      </c>
      <c r="D114" s="151" t="str">
        <f t="shared" si="6"/>
        <v>1</v>
      </c>
      <c r="E114" s="153" t="s">
        <v>837</v>
      </c>
      <c r="F114" s="151">
        <f t="shared" si="7"/>
        <v>3</v>
      </c>
      <c r="G114" s="151" t="str">
        <f t="shared" si="8"/>
        <v>1.1.3</v>
      </c>
      <c r="H114" s="156" t="s">
        <v>1681</v>
      </c>
      <c r="I114" s="159" t="s">
        <v>866</v>
      </c>
      <c r="J114" s="159" t="s">
        <v>1319</v>
      </c>
      <c r="K114" s="159" t="s">
        <v>716</v>
      </c>
      <c r="L114" s="160">
        <v>39000</v>
      </c>
      <c r="M114" s="161"/>
      <c r="N114" s="161"/>
      <c r="O114" s="164">
        <f t="shared" si="9"/>
        <v>0</v>
      </c>
      <c r="P114" s="161">
        <v>58</v>
      </c>
      <c r="Q114" s="161">
        <v>2</v>
      </c>
      <c r="R114" s="164">
        <f>$L114*'Pivot Objective'!$C$9*P114*Q114</f>
        <v>5170575.0428279992</v>
      </c>
      <c r="S114" s="161"/>
      <c r="T114" s="161"/>
      <c r="U114" s="164">
        <f>($L114*'Pivot Objective'!$C$9^2)*S114*T114</f>
        <v>0</v>
      </c>
      <c r="V114" s="161"/>
      <c r="W114" s="161"/>
      <c r="X114" s="164">
        <f>($L114*'Pivot Objective'!$C$9^3)*V114*W114</f>
        <v>0</v>
      </c>
      <c r="Y114" s="161">
        <v>58</v>
      </c>
      <c r="Z114" s="161">
        <v>2</v>
      </c>
      <c r="AA114" s="164">
        <f>($L114*'Pivot Objective'!$C$9^4)*Y114*Z114</f>
        <v>7719471.9542531949</v>
      </c>
      <c r="AB114" s="151"/>
      <c r="AC114" s="151"/>
      <c r="AD114" s="164">
        <f>($L114*'Pivot Objective'!$C$9^5)*AB114*AC114</f>
        <v>0</v>
      </c>
      <c r="AE114" s="151"/>
      <c r="AF114" s="151"/>
      <c r="AG114" s="164">
        <f>($L114*'Pivot Objective'!$C$9^6)*AE114*AF114</f>
        <v>0</v>
      </c>
      <c r="AH114" s="161">
        <v>58</v>
      </c>
      <c r="AI114" s="161">
        <v>2</v>
      </c>
      <c r="AJ114" s="164">
        <f>($L114*'Pivot Objective'!$C$9^7)*AH114*AI114</f>
        <v>11524878.134233456</v>
      </c>
      <c r="AK114" s="185">
        <f t="shared" si="10"/>
        <v>24414925.13131465</v>
      </c>
      <c r="AL114" s="186">
        <f t="shared" si="11"/>
        <v>23703.810807101603</v>
      </c>
    </row>
    <row r="115" spans="1:38" ht="57.6" x14ac:dyDescent="0.3">
      <c r="A115" s="151" t="s">
        <v>1440</v>
      </c>
      <c r="B115" s="151">
        <v>1</v>
      </c>
      <c r="C115" s="152" t="s">
        <v>836</v>
      </c>
      <c r="D115" s="151" t="str">
        <f t="shared" si="6"/>
        <v>1</v>
      </c>
      <c r="E115" s="153" t="s">
        <v>837</v>
      </c>
      <c r="F115" s="151">
        <f t="shared" si="7"/>
        <v>3</v>
      </c>
      <c r="G115" s="151" t="str">
        <f t="shared" si="8"/>
        <v>1.1.3</v>
      </c>
      <c r="H115" s="156" t="s">
        <v>1681</v>
      </c>
      <c r="I115" s="159" t="s">
        <v>866</v>
      </c>
      <c r="J115" s="159" t="s">
        <v>1319</v>
      </c>
      <c r="K115" s="159" t="s">
        <v>1349</v>
      </c>
      <c r="L115" s="160">
        <f>1999/7</f>
        <v>285.57142857142856</v>
      </c>
      <c r="M115" s="161"/>
      <c r="N115" s="161"/>
      <c r="O115" s="164">
        <f t="shared" si="9"/>
        <v>0</v>
      </c>
      <c r="P115" s="161">
        <f>25*2*29</f>
        <v>1450</v>
      </c>
      <c r="Q115" s="161">
        <v>1</v>
      </c>
      <c r="R115" s="164">
        <f>$L115*'Pivot Objective'!$C$9*P115*Q115</f>
        <v>473259.13510133565</v>
      </c>
      <c r="S115" s="161"/>
      <c r="T115" s="161"/>
      <c r="U115" s="164">
        <f>($L115*'Pivot Objective'!$C$9^2)*S115*T115</f>
        <v>0</v>
      </c>
      <c r="V115" s="161"/>
      <c r="W115" s="161"/>
      <c r="X115" s="164">
        <f>($L115*'Pivot Objective'!$C$9^3)*V115*W115</f>
        <v>0</v>
      </c>
      <c r="Y115" s="161">
        <f>25*2*29</f>
        <v>1450</v>
      </c>
      <c r="Z115" s="161">
        <v>1</v>
      </c>
      <c r="AA115" s="164">
        <f>($L115*'Pivot Objective'!$C$9^4)*Y115*Z115</f>
        <v>706557.89544652624</v>
      </c>
      <c r="AB115" s="151"/>
      <c r="AC115" s="151"/>
      <c r="AD115" s="164">
        <f>($L115*'Pivot Objective'!$C$9^5)*AB115*AC115</f>
        <v>0</v>
      </c>
      <c r="AE115" s="151"/>
      <c r="AF115" s="151"/>
      <c r="AG115" s="164">
        <f>($L115*'Pivot Objective'!$C$9^6)*AE115*AF115</f>
        <v>0</v>
      </c>
      <c r="AH115" s="161">
        <f>25*2*29</f>
        <v>1450</v>
      </c>
      <c r="AI115" s="161">
        <v>1</v>
      </c>
      <c r="AJ115" s="164">
        <f>($L115*'Pivot Objective'!$C$9^7)*AH115*AI115</f>
        <v>1054864.0746489323</v>
      </c>
      <c r="AK115" s="185">
        <f t="shared" si="10"/>
        <v>2234681.1051967945</v>
      </c>
      <c r="AL115" s="186">
        <f t="shared" si="11"/>
        <v>2169.5933060163052</v>
      </c>
    </row>
    <row r="116" spans="1:38" ht="57.6" x14ac:dyDescent="0.3">
      <c r="A116" s="151" t="s">
        <v>1440</v>
      </c>
      <c r="B116" s="151">
        <v>1</v>
      </c>
      <c r="C116" s="152" t="s">
        <v>836</v>
      </c>
      <c r="D116" s="151" t="str">
        <f t="shared" si="6"/>
        <v>1</v>
      </c>
      <c r="E116" s="153" t="s">
        <v>837</v>
      </c>
      <c r="F116" s="151">
        <f t="shared" si="7"/>
        <v>3</v>
      </c>
      <c r="G116" s="151" t="str">
        <f t="shared" si="8"/>
        <v>1.1.3</v>
      </c>
      <c r="H116" s="156" t="s">
        <v>1681</v>
      </c>
      <c r="I116" s="159" t="s">
        <v>866</v>
      </c>
      <c r="J116" s="159" t="s">
        <v>1319</v>
      </c>
      <c r="K116" s="159" t="s">
        <v>1350</v>
      </c>
      <c r="L116" s="160">
        <f>1999/7</f>
        <v>285.57142857142856</v>
      </c>
      <c r="M116" s="161"/>
      <c r="N116" s="161"/>
      <c r="O116" s="164">
        <f t="shared" si="9"/>
        <v>0</v>
      </c>
      <c r="P116" s="161">
        <v>22500</v>
      </c>
      <c r="Q116" s="161">
        <v>1</v>
      </c>
      <c r="R116" s="164">
        <f>$L116*'Pivot Objective'!$C$9*P116*Q116</f>
        <v>7343676.2343310704</v>
      </c>
      <c r="S116" s="161"/>
      <c r="T116" s="161"/>
      <c r="U116" s="164">
        <f>($L116*'Pivot Objective'!$C$9^2)*S116*T116</f>
        <v>0</v>
      </c>
      <c r="V116" s="161"/>
      <c r="W116" s="161"/>
      <c r="X116" s="164">
        <f>($L116*'Pivot Objective'!$C$9^3)*V116*W116</f>
        <v>0</v>
      </c>
      <c r="Y116" s="161">
        <v>22500</v>
      </c>
      <c r="Z116" s="161">
        <v>1</v>
      </c>
      <c r="AA116" s="164">
        <f>($L116*'Pivot Objective'!$C$9^4)*Y116*Z116</f>
        <v>10963829.412101271</v>
      </c>
      <c r="AB116" s="151"/>
      <c r="AC116" s="151"/>
      <c r="AD116" s="164">
        <f>($L116*'Pivot Objective'!$C$9^5)*AB116*AC116</f>
        <v>0</v>
      </c>
      <c r="AE116" s="151"/>
      <c r="AF116" s="151"/>
      <c r="AG116" s="164">
        <f>($L116*'Pivot Objective'!$C$9^6)*AE116*AF116</f>
        <v>0</v>
      </c>
      <c r="AH116" s="161">
        <v>22500</v>
      </c>
      <c r="AI116" s="161">
        <v>1</v>
      </c>
      <c r="AJ116" s="164">
        <f>($L116*'Pivot Objective'!$C$9^7)*AH116*AI116</f>
        <v>16368580.468690328</v>
      </c>
      <c r="AK116" s="185">
        <f t="shared" si="10"/>
        <v>34676086.115122668</v>
      </c>
      <c r="AL116" s="186">
        <f t="shared" si="11"/>
        <v>33666.103024390941</v>
      </c>
    </row>
    <row r="117" spans="1:38" ht="57.6" x14ac:dyDescent="0.3">
      <c r="A117" s="151" t="s">
        <v>1440</v>
      </c>
      <c r="B117" s="151">
        <v>1</v>
      </c>
      <c r="C117" s="152" t="s">
        <v>836</v>
      </c>
      <c r="D117" s="151" t="str">
        <f t="shared" si="6"/>
        <v>1</v>
      </c>
      <c r="E117" s="153" t="s">
        <v>837</v>
      </c>
      <c r="F117" s="151">
        <f t="shared" si="7"/>
        <v>3</v>
      </c>
      <c r="G117" s="151" t="str">
        <f t="shared" si="8"/>
        <v>1.1.3</v>
      </c>
      <c r="H117" s="156" t="s">
        <v>1681</v>
      </c>
      <c r="I117" s="159" t="s">
        <v>866</v>
      </c>
      <c r="J117" s="159" t="s">
        <v>868</v>
      </c>
      <c r="K117" s="159" t="s">
        <v>709</v>
      </c>
      <c r="L117" s="160">
        <v>35000</v>
      </c>
      <c r="M117" s="161"/>
      <c r="N117" s="161"/>
      <c r="O117" s="164">
        <f t="shared" si="9"/>
        <v>0</v>
      </c>
      <c r="P117" s="161">
        <v>25</v>
      </c>
      <c r="Q117" s="161">
        <v>5</v>
      </c>
      <c r="R117" s="164">
        <f>$L117*'Pivot Objective'!$C$9*P117*Q117</f>
        <v>5000279.7993749995</v>
      </c>
      <c r="S117" s="161">
        <v>25</v>
      </c>
      <c r="T117" s="161">
        <v>5</v>
      </c>
      <c r="U117" s="164">
        <f>($L117*'Pivot Objective'!$C$9^2)*S117*T117</f>
        <v>5714925.2736086138</v>
      </c>
      <c r="V117" s="161">
        <v>0</v>
      </c>
      <c r="W117" s="161">
        <v>0</v>
      </c>
      <c r="X117" s="164">
        <f>($L117*'Pivot Objective'!$C$9^3)*V117*W117</f>
        <v>0</v>
      </c>
      <c r="Y117" s="161">
        <v>25</v>
      </c>
      <c r="Z117" s="161">
        <v>5</v>
      </c>
      <c r="AA117" s="164">
        <f>($L117*'Pivot Objective'!$C$9^4)*Y117*Z117</f>
        <v>7465227.6303841127</v>
      </c>
      <c r="AB117" s="151"/>
      <c r="AC117" s="151"/>
      <c r="AD117" s="164">
        <f>($L117*'Pivot Objective'!$C$9^5)*AB117*AC117</f>
        <v>0</v>
      </c>
      <c r="AE117" s="151"/>
      <c r="AF117" s="151"/>
      <c r="AG117" s="164">
        <f>($L117*'Pivot Objective'!$C$9^6)*AE117*AF117</f>
        <v>0</v>
      </c>
      <c r="AH117" s="161">
        <v>25</v>
      </c>
      <c r="AI117" s="161">
        <v>5</v>
      </c>
      <c r="AJ117" s="164">
        <f>($L117*'Pivot Objective'!$C$9^7)*AH117*AI117</f>
        <v>11145301.025037881</v>
      </c>
      <c r="AK117" s="185">
        <f t="shared" si="10"/>
        <v>29325733.728405606</v>
      </c>
      <c r="AL117" s="186">
        <f t="shared" si="11"/>
        <v>28471.586144083114</v>
      </c>
    </row>
    <row r="118" spans="1:38" ht="57.6" x14ac:dyDescent="0.3">
      <c r="A118" s="151" t="s">
        <v>1440</v>
      </c>
      <c r="B118" s="151">
        <v>1</v>
      </c>
      <c r="C118" s="152" t="s">
        <v>836</v>
      </c>
      <c r="D118" s="151" t="str">
        <f t="shared" si="6"/>
        <v>1</v>
      </c>
      <c r="E118" s="153" t="s">
        <v>837</v>
      </c>
      <c r="F118" s="151">
        <f t="shared" si="7"/>
        <v>3</v>
      </c>
      <c r="G118" s="151" t="str">
        <f t="shared" si="8"/>
        <v>1.1.3</v>
      </c>
      <c r="H118" s="156" t="s">
        <v>1681</v>
      </c>
      <c r="I118" s="159" t="s">
        <v>866</v>
      </c>
      <c r="J118" s="159" t="s">
        <v>868</v>
      </c>
      <c r="K118" s="159" t="s">
        <v>712</v>
      </c>
      <c r="L118" s="160">
        <f>1999/7</f>
        <v>285.57142857142856</v>
      </c>
      <c r="M118" s="161"/>
      <c r="N118" s="161"/>
      <c r="O118" s="164">
        <f t="shared" si="9"/>
        <v>0</v>
      </c>
      <c r="P118" s="161">
        <f>25*2*29</f>
        <v>1450</v>
      </c>
      <c r="Q118" s="161">
        <v>5</v>
      </c>
      <c r="R118" s="164">
        <f>$L118*'Pivot Objective'!$C$9*P118*Q118</f>
        <v>2366295.6755066784</v>
      </c>
      <c r="S118" s="161">
        <v>25</v>
      </c>
      <c r="T118" s="161">
        <v>5</v>
      </c>
      <c r="U118" s="164">
        <f>($L118*'Pivot Objective'!$C$9^2)*S118*T118</f>
        <v>46629.124987524978</v>
      </c>
      <c r="V118" s="161">
        <v>0</v>
      </c>
      <c r="W118" s="161">
        <v>0</v>
      </c>
      <c r="X118" s="164">
        <f>($L118*'Pivot Objective'!$C$9^3)*V118*W118</f>
        <v>0</v>
      </c>
      <c r="Y118" s="161">
        <f>25*2*29</f>
        <v>1450</v>
      </c>
      <c r="Z118" s="161">
        <v>5</v>
      </c>
      <c r="AA118" s="164">
        <f>($L118*'Pivot Objective'!$C$9^4)*Y118*Z118</f>
        <v>3532789.4772326313</v>
      </c>
      <c r="AB118" s="151"/>
      <c r="AC118" s="151"/>
      <c r="AD118" s="164">
        <f>($L118*'Pivot Objective'!$C$9^5)*AB118*AC118</f>
        <v>0</v>
      </c>
      <c r="AE118" s="151"/>
      <c r="AF118" s="151"/>
      <c r="AG118" s="164">
        <f>($L118*'Pivot Objective'!$C$9^6)*AE118*AF118</f>
        <v>0</v>
      </c>
      <c r="AH118" s="161">
        <f>25*2*29</f>
        <v>1450</v>
      </c>
      <c r="AI118" s="161">
        <v>5</v>
      </c>
      <c r="AJ118" s="164">
        <f>($L118*'Pivot Objective'!$C$9^7)*AH118*AI118</f>
        <v>5274320.3732446618</v>
      </c>
      <c r="AK118" s="185">
        <f t="shared" si="10"/>
        <v>11220034.650971496</v>
      </c>
      <c r="AL118" s="186">
        <f t="shared" si="11"/>
        <v>10893.237525215045</v>
      </c>
    </row>
    <row r="119" spans="1:38" ht="57.6" x14ac:dyDescent="0.3">
      <c r="A119" s="151" t="s">
        <v>1440</v>
      </c>
      <c r="B119" s="151">
        <v>1</v>
      </c>
      <c r="C119" s="152" t="s">
        <v>836</v>
      </c>
      <c r="D119" s="151" t="str">
        <f t="shared" si="6"/>
        <v>1</v>
      </c>
      <c r="E119" s="153" t="s">
        <v>837</v>
      </c>
      <c r="F119" s="151">
        <f t="shared" si="7"/>
        <v>3</v>
      </c>
      <c r="G119" s="151" t="str">
        <f t="shared" si="8"/>
        <v>1.1.3</v>
      </c>
      <c r="H119" s="156" t="s">
        <v>1681</v>
      </c>
      <c r="I119" s="159" t="s">
        <v>866</v>
      </c>
      <c r="J119" s="159" t="s">
        <v>868</v>
      </c>
      <c r="K119" s="159" t="s">
        <v>1299</v>
      </c>
      <c r="L119" s="160">
        <f>1999/7</f>
        <v>285.57142857142856</v>
      </c>
      <c r="M119" s="161"/>
      <c r="N119" s="161"/>
      <c r="O119" s="164">
        <f t="shared" si="9"/>
        <v>0</v>
      </c>
      <c r="P119" s="161">
        <v>22500</v>
      </c>
      <c r="Q119" s="161">
        <v>1</v>
      </c>
      <c r="R119" s="164">
        <f>$L119*'Pivot Objective'!$C$9*P119*Q119</f>
        <v>7343676.2343310704</v>
      </c>
      <c r="S119" s="161"/>
      <c r="T119" s="161"/>
      <c r="U119" s="164">
        <f>($L119*'Pivot Objective'!$C$9^2)*S119*T119</f>
        <v>0</v>
      </c>
      <c r="V119" s="161"/>
      <c r="W119" s="161"/>
      <c r="X119" s="164">
        <f>($L119*'Pivot Objective'!$C$9^3)*V119*W119</f>
        <v>0</v>
      </c>
      <c r="Y119" s="161">
        <v>22500</v>
      </c>
      <c r="Z119" s="161">
        <v>1</v>
      </c>
      <c r="AA119" s="164">
        <f>($L119*'Pivot Objective'!$C$9^4)*Y119*Z119</f>
        <v>10963829.412101271</v>
      </c>
      <c r="AB119" s="151"/>
      <c r="AC119" s="151"/>
      <c r="AD119" s="164">
        <f>($L119*'Pivot Objective'!$C$9^5)*AB119*AC119</f>
        <v>0</v>
      </c>
      <c r="AE119" s="151"/>
      <c r="AF119" s="151"/>
      <c r="AG119" s="164">
        <f>($L119*'Pivot Objective'!$C$9^6)*AE119*AF119</f>
        <v>0</v>
      </c>
      <c r="AH119" s="161">
        <v>22500</v>
      </c>
      <c r="AI119" s="161">
        <v>1</v>
      </c>
      <c r="AJ119" s="164">
        <f>($L119*'Pivot Objective'!$C$9^7)*AH119*AI119</f>
        <v>16368580.468690328</v>
      </c>
      <c r="AK119" s="185">
        <f t="shared" si="10"/>
        <v>34676086.115122668</v>
      </c>
      <c r="AL119" s="186">
        <f t="shared" si="11"/>
        <v>33666.103024390941</v>
      </c>
    </row>
    <row r="120" spans="1:38" ht="57.6" x14ac:dyDescent="0.3">
      <c r="A120" s="151" t="s">
        <v>1440</v>
      </c>
      <c r="B120" s="151">
        <v>1</v>
      </c>
      <c r="C120" s="152" t="s">
        <v>836</v>
      </c>
      <c r="D120" s="151" t="str">
        <f t="shared" si="6"/>
        <v>1</v>
      </c>
      <c r="E120" s="153" t="s">
        <v>837</v>
      </c>
      <c r="F120" s="151">
        <f t="shared" si="7"/>
        <v>3</v>
      </c>
      <c r="G120" s="151" t="str">
        <f t="shared" si="8"/>
        <v>1.1.3</v>
      </c>
      <c r="H120" s="156" t="s">
        <v>1681</v>
      </c>
      <c r="I120" s="159" t="s">
        <v>866</v>
      </c>
      <c r="J120" s="159" t="s">
        <v>869</v>
      </c>
      <c r="K120" s="159" t="s">
        <v>841</v>
      </c>
      <c r="L120" s="160">
        <v>0</v>
      </c>
      <c r="M120" s="161"/>
      <c r="N120" s="161"/>
      <c r="O120" s="164">
        <f t="shared" si="9"/>
        <v>0</v>
      </c>
      <c r="P120" s="161">
        <v>0</v>
      </c>
      <c r="Q120" s="161">
        <v>0</v>
      </c>
      <c r="R120" s="164">
        <f>$L120*'Pivot Objective'!$C$9*P120*Q120</f>
        <v>0</v>
      </c>
      <c r="S120" s="161">
        <v>4000</v>
      </c>
      <c r="T120" s="161">
        <v>1</v>
      </c>
      <c r="U120" s="164">
        <f>($L120*'Pivot Objective'!$C$9^2)*S120*T120</f>
        <v>0</v>
      </c>
      <c r="V120" s="161">
        <v>0</v>
      </c>
      <c r="W120" s="161">
        <v>0</v>
      </c>
      <c r="X120" s="164">
        <f>($L120*'Pivot Objective'!$C$9^3)*V120*W120</f>
        <v>0</v>
      </c>
      <c r="Y120" s="161">
        <v>0</v>
      </c>
      <c r="Z120" s="161">
        <v>0</v>
      </c>
      <c r="AA120" s="164">
        <f>($L120*'Pivot Objective'!$C$9^4)*Y120*Z120</f>
        <v>0</v>
      </c>
      <c r="AB120" s="151"/>
      <c r="AC120" s="151"/>
      <c r="AD120" s="164">
        <f>($L120*'Pivot Objective'!$C$9^5)*AB120*AC120</f>
        <v>0</v>
      </c>
      <c r="AE120" s="151"/>
      <c r="AF120" s="151"/>
      <c r="AG120" s="164">
        <f>($L120*'Pivot Objective'!$C$9^6)*AE120*AF120</f>
        <v>0</v>
      </c>
      <c r="AH120" s="161">
        <v>0</v>
      </c>
      <c r="AI120" s="161">
        <v>0</v>
      </c>
      <c r="AJ120" s="164">
        <f>($L120*'Pivot Objective'!$C$9^7)*AH120*AI120</f>
        <v>0</v>
      </c>
      <c r="AK120" s="185">
        <f t="shared" si="10"/>
        <v>0</v>
      </c>
      <c r="AL120" s="186">
        <f t="shared" si="11"/>
        <v>0</v>
      </c>
    </row>
    <row r="121" spans="1:38" ht="57.6" x14ac:dyDescent="0.3">
      <c r="A121" s="151" t="s">
        <v>1440</v>
      </c>
      <c r="B121" s="151">
        <v>1</v>
      </c>
      <c r="C121" s="152" t="s">
        <v>836</v>
      </c>
      <c r="D121" s="151" t="str">
        <f t="shared" si="6"/>
        <v>1</v>
      </c>
      <c r="E121" s="153" t="s">
        <v>837</v>
      </c>
      <c r="F121" s="151">
        <f t="shared" si="7"/>
        <v>3</v>
      </c>
      <c r="G121" s="151" t="str">
        <f t="shared" si="8"/>
        <v>1.1.3</v>
      </c>
      <c r="H121" s="156" t="s">
        <v>1681</v>
      </c>
      <c r="I121" s="159" t="s">
        <v>870</v>
      </c>
      <c r="J121" s="159" t="s">
        <v>155</v>
      </c>
      <c r="K121" s="159" t="s">
        <v>841</v>
      </c>
      <c r="L121" s="160">
        <v>0</v>
      </c>
      <c r="M121" s="161"/>
      <c r="N121" s="161"/>
      <c r="O121" s="164">
        <f t="shared" si="9"/>
        <v>0</v>
      </c>
      <c r="P121" s="161">
        <v>0</v>
      </c>
      <c r="Q121" s="161">
        <v>0</v>
      </c>
      <c r="R121" s="164">
        <f>$L121*'Pivot Objective'!$C$9*P121*Q121</f>
        <v>0</v>
      </c>
      <c r="S121" s="161">
        <v>0</v>
      </c>
      <c r="T121" s="161">
        <v>0</v>
      </c>
      <c r="U121" s="164">
        <f>($L121*'Pivot Objective'!$C$9^2)*S121*T121</f>
        <v>0</v>
      </c>
      <c r="V121" s="161">
        <v>0</v>
      </c>
      <c r="W121" s="161">
        <v>0</v>
      </c>
      <c r="X121" s="164">
        <f>($L121*'Pivot Objective'!$C$9^3)*V121*W121</f>
        <v>0</v>
      </c>
      <c r="Y121" s="161">
        <v>0</v>
      </c>
      <c r="Z121" s="161">
        <v>0</v>
      </c>
      <c r="AA121" s="164">
        <f>($L121*'Pivot Objective'!$C$9^4)*Y121*Z121</f>
        <v>0</v>
      </c>
      <c r="AB121" s="161">
        <v>0</v>
      </c>
      <c r="AC121" s="161">
        <v>0</v>
      </c>
      <c r="AD121" s="164">
        <f>($L121*'Pivot Objective'!$C$9^5)*AB121*AC121</f>
        <v>0</v>
      </c>
      <c r="AE121" s="161">
        <v>0</v>
      </c>
      <c r="AF121" s="161">
        <v>0</v>
      </c>
      <c r="AG121" s="164">
        <f>($L121*'Pivot Objective'!$C$9^6)*AE121*AF121</f>
        <v>0</v>
      </c>
      <c r="AH121" s="161">
        <v>0</v>
      </c>
      <c r="AI121" s="161">
        <v>0</v>
      </c>
      <c r="AJ121" s="164">
        <f>($L121*'Pivot Objective'!$C$9^7)*AH121*AI121</f>
        <v>0</v>
      </c>
      <c r="AK121" s="185">
        <f t="shared" si="10"/>
        <v>0</v>
      </c>
      <c r="AL121" s="186">
        <f t="shared" si="11"/>
        <v>0</v>
      </c>
    </row>
    <row r="122" spans="1:38" ht="57.6" x14ac:dyDescent="0.3">
      <c r="A122" s="151" t="s">
        <v>1440</v>
      </c>
      <c r="B122" s="151">
        <v>1</v>
      </c>
      <c r="C122" s="152" t="s">
        <v>836</v>
      </c>
      <c r="D122" s="151" t="str">
        <f t="shared" si="6"/>
        <v>1</v>
      </c>
      <c r="E122" s="153" t="s">
        <v>837</v>
      </c>
      <c r="F122" s="151">
        <f t="shared" si="7"/>
        <v>3</v>
      </c>
      <c r="G122" s="151" t="str">
        <f t="shared" si="8"/>
        <v>1.1.3</v>
      </c>
      <c r="H122" s="156" t="s">
        <v>1681</v>
      </c>
      <c r="I122" s="159" t="s">
        <v>870</v>
      </c>
      <c r="J122" s="159" t="s">
        <v>158</v>
      </c>
      <c r="K122" s="159" t="s">
        <v>841</v>
      </c>
      <c r="L122" s="160">
        <v>0</v>
      </c>
      <c r="M122" s="161"/>
      <c r="N122" s="161"/>
      <c r="O122" s="164">
        <f t="shared" si="9"/>
        <v>0</v>
      </c>
      <c r="P122" s="161">
        <v>0</v>
      </c>
      <c r="Q122" s="161">
        <v>0</v>
      </c>
      <c r="R122" s="164">
        <f>$L122*'Pivot Objective'!$C$9*P122*Q122</f>
        <v>0</v>
      </c>
      <c r="S122" s="161">
        <v>0</v>
      </c>
      <c r="T122" s="161">
        <v>0</v>
      </c>
      <c r="U122" s="164">
        <f>($L122*'Pivot Objective'!$C$9^2)*S122*T122</f>
        <v>0</v>
      </c>
      <c r="V122" s="161">
        <v>0</v>
      </c>
      <c r="W122" s="161">
        <v>0</v>
      </c>
      <c r="X122" s="164">
        <f>($L122*'Pivot Objective'!$C$9^3)*V122*W122</f>
        <v>0</v>
      </c>
      <c r="Y122" s="161">
        <v>0</v>
      </c>
      <c r="Z122" s="161">
        <v>0</v>
      </c>
      <c r="AA122" s="164">
        <f>($L122*'Pivot Objective'!$C$9^4)*Y122*Z122</f>
        <v>0</v>
      </c>
      <c r="AB122" s="161">
        <v>0</v>
      </c>
      <c r="AC122" s="161">
        <v>0</v>
      </c>
      <c r="AD122" s="164">
        <f>($L122*'Pivot Objective'!$C$9^5)*AB122*AC122</f>
        <v>0</v>
      </c>
      <c r="AE122" s="161">
        <v>0</v>
      </c>
      <c r="AF122" s="161">
        <v>0</v>
      </c>
      <c r="AG122" s="164">
        <f>($L122*'Pivot Objective'!$C$9^6)*AE122*AF122</f>
        <v>0</v>
      </c>
      <c r="AH122" s="161">
        <v>0</v>
      </c>
      <c r="AI122" s="161">
        <v>0</v>
      </c>
      <c r="AJ122" s="164">
        <f>($L122*'Pivot Objective'!$C$9^7)*AH122*AI122</f>
        <v>0</v>
      </c>
      <c r="AK122" s="185">
        <f t="shared" si="10"/>
        <v>0</v>
      </c>
      <c r="AL122" s="186">
        <f t="shared" si="11"/>
        <v>0</v>
      </c>
    </row>
    <row r="123" spans="1:38" ht="57.6" x14ac:dyDescent="0.3">
      <c r="A123" s="151" t="s">
        <v>1440</v>
      </c>
      <c r="B123" s="151">
        <v>1</v>
      </c>
      <c r="C123" s="152" t="s">
        <v>836</v>
      </c>
      <c r="D123" s="151" t="str">
        <f t="shared" si="6"/>
        <v>1</v>
      </c>
      <c r="E123" s="153" t="s">
        <v>837</v>
      </c>
      <c r="F123" s="151">
        <f t="shared" si="7"/>
        <v>3</v>
      </c>
      <c r="G123" s="151" t="str">
        <f t="shared" si="8"/>
        <v>1.1.3</v>
      </c>
      <c r="H123" s="156" t="s">
        <v>1681</v>
      </c>
      <c r="I123" s="159" t="s">
        <v>870</v>
      </c>
      <c r="J123" s="159" t="s">
        <v>1352</v>
      </c>
      <c r="K123" s="159" t="s">
        <v>716</v>
      </c>
      <c r="L123" s="160">
        <v>39000</v>
      </c>
      <c r="M123" s="161"/>
      <c r="N123" s="161"/>
      <c r="O123" s="164">
        <f t="shared" si="9"/>
        <v>0</v>
      </c>
      <c r="P123" s="161">
        <v>25</v>
      </c>
      <c r="Q123" s="161">
        <v>6</v>
      </c>
      <c r="R123" s="164">
        <f>$L123*'Pivot Objective'!$C$9*P123*Q123</f>
        <v>6686088.4174499996</v>
      </c>
      <c r="S123" s="161">
        <v>25</v>
      </c>
      <c r="T123" s="161">
        <v>6</v>
      </c>
      <c r="U123" s="164">
        <f>($L123*'Pivot Objective'!$C$9^2)*S123*T123</f>
        <v>7641671.5087109469</v>
      </c>
      <c r="V123" s="161">
        <v>25</v>
      </c>
      <c r="W123" s="161">
        <v>6</v>
      </c>
      <c r="X123" s="164">
        <f>($L123*'Pivot Objective'!$C$9^3)*V123*W123</f>
        <v>8733827.5836495608</v>
      </c>
      <c r="Y123" s="161">
        <v>25</v>
      </c>
      <c r="Z123" s="161">
        <v>6</v>
      </c>
      <c r="AA123" s="164">
        <f>($L123*'Pivot Objective'!$C$9^4)*Y123*Z123</f>
        <v>9982075.8029136136</v>
      </c>
      <c r="AB123" s="161">
        <v>25</v>
      </c>
      <c r="AC123" s="161">
        <v>6</v>
      </c>
      <c r="AD123" s="164">
        <f>($L123*'Pivot Objective'!$C$9^5)*AB123*AC123</f>
        <v>11408725.027003182</v>
      </c>
      <c r="AE123" s="161">
        <v>25</v>
      </c>
      <c r="AF123" s="161">
        <v>6</v>
      </c>
      <c r="AG123" s="164">
        <f>($L123*'Pivot Objective'!$C$9^6)*AE123*AF123</f>
        <v>13039272.523233831</v>
      </c>
      <c r="AH123" s="161">
        <v>25</v>
      </c>
      <c r="AI123" s="161">
        <v>6</v>
      </c>
      <c r="AJ123" s="164">
        <f>($L123*'Pivot Objective'!$C$9^7)*AH123*AI123</f>
        <v>14902859.656336365</v>
      </c>
      <c r="AK123" s="185">
        <f t="shared" si="10"/>
        <v>72394520.519297495</v>
      </c>
      <c r="AL123" s="186">
        <f t="shared" si="11"/>
        <v>70285.942251745146</v>
      </c>
    </row>
    <row r="124" spans="1:38" ht="57.6" x14ac:dyDescent="0.3">
      <c r="A124" s="151" t="s">
        <v>1440</v>
      </c>
      <c r="B124" s="151">
        <v>1</v>
      </c>
      <c r="C124" s="152" t="s">
        <v>836</v>
      </c>
      <c r="D124" s="151" t="str">
        <f t="shared" si="6"/>
        <v>1</v>
      </c>
      <c r="E124" s="153" t="s">
        <v>837</v>
      </c>
      <c r="F124" s="151">
        <f t="shared" si="7"/>
        <v>3</v>
      </c>
      <c r="G124" s="151" t="str">
        <f t="shared" si="8"/>
        <v>1.1.3</v>
      </c>
      <c r="H124" s="156" t="s">
        <v>1681</v>
      </c>
      <c r="I124" s="159" t="s">
        <v>870</v>
      </c>
      <c r="J124" s="159" t="s">
        <v>1352</v>
      </c>
      <c r="K124" s="159" t="s">
        <v>709</v>
      </c>
      <c r="L124" s="160">
        <v>35000</v>
      </c>
      <c r="M124" s="161"/>
      <c r="N124" s="161"/>
      <c r="O124" s="164">
        <f t="shared" si="9"/>
        <v>0</v>
      </c>
      <c r="P124" s="161">
        <v>25</v>
      </c>
      <c r="Q124" s="161">
        <v>5</v>
      </c>
      <c r="R124" s="164">
        <f>$L124*'Pivot Objective'!$C$9*P124*Q124</f>
        <v>5000279.7993749995</v>
      </c>
      <c r="S124" s="161">
        <v>25</v>
      </c>
      <c r="T124" s="161">
        <v>5</v>
      </c>
      <c r="U124" s="164">
        <f>($L124*'Pivot Objective'!$C$9^2)*S124*T124</f>
        <v>5714925.2736086138</v>
      </c>
      <c r="V124" s="161">
        <v>25</v>
      </c>
      <c r="W124" s="161">
        <v>5</v>
      </c>
      <c r="X124" s="164">
        <f>($L124*'Pivot Objective'!$C$9^3)*V124*W124</f>
        <v>6531708.6629857821</v>
      </c>
      <c r="Y124" s="161">
        <v>25</v>
      </c>
      <c r="Z124" s="161">
        <v>5</v>
      </c>
      <c r="AA124" s="164">
        <f>($L124*'Pivot Objective'!$C$9^4)*Y124*Z124</f>
        <v>7465227.6303841127</v>
      </c>
      <c r="AB124" s="161">
        <v>25</v>
      </c>
      <c r="AC124" s="161">
        <v>5</v>
      </c>
      <c r="AD124" s="164">
        <f>($L124*'Pivot Objective'!$C$9^5)*AB124*AC124</f>
        <v>8532166.152673319</v>
      </c>
      <c r="AE124" s="161">
        <v>25</v>
      </c>
      <c r="AF124" s="161">
        <v>5</v>
      </c>
      <c r="AG124" s="164">
        <f>($L124*'Pivot Objective'!$C$9^6)*AE124*AF124</f>
        <v>9751592.6989996582</v>
      </c>
      <c r="AH124" s="161">
        <v>25</v>
      </c>
      <c r="AI124" s="161">
        <v>5</v>
      </c>
      <c r="AJ124" s="164">
        <f>($L124*'Pivot Objective'!$C$9^7)*AH124*AI124</f>
        <v>11145301.025037881</v>
      </c>
      <c r="AK124" s="185">
        <f t="shared" si="10"/>
        <v>54141201.243064374</v>
      </c>
      <c r="AL124" s="186">
        <f t="shared" si="11"/>
        <v>52564.273051518809</v>
      </c>
    </row>
    <row r="125" spans="1:38" ht="57.6" x14ac:dyDescent="0.3">
      <c r="A125" s="151" t="s">
        <v>1440</v>
      </c>
      <c r="B125" s="151">
        <v>1</v>
      </c>
      <c r="C125" s="152" t="s">
        <v>836</v>
      </c>
      <c r="D125" s="151" t="str">
        <f t="shared" si="6"/>
        <v>1</v>
      </c>
      <c r="E125" s="153" t="s">
        <v>837</v>
      </c>
      <c r="F125" s="151">
        <f t="shared" si="7"/>
        <v>3</v>
      </c>
      <c r="G125" s="151" t="str">
        <f t="shared" si="8"/>
        <v>1.1.3</v>
      </c>
      <c r="H125" s="156" t="s">
        <v>1681</v>
      </c>
      <c r="I125" s="159" t="s">
        <v>870</v>
      </c>
      <c r="J125" s="159" t="s">
        <v>1352</v>
      </c>
      <c r="K125" s="159" t="s">
        <v>1353</v>
      </c>
      <c r="L125" s="160">
        <f>1999/7</f>
        <v>285.57142857142856</v>
      </c>
      <c r="M125" s="161"/>
      <c r="N125" s="161"/>
      <c r="O125" s="164">
        <f t="shared" si="9"/>
        <v>0</v>
      </c>
      <c r="P125" s="161">
        <f>9*135*2</f>
        <v>2430</v>
      </c>
      <c r="Q125" s="161">
        <v>1</v>
      </c>
      <c r="R125" s="164">
        <f>$L125*'Pivot Objective'!$C$9*P125*Q125</f>
        <v>793117.0333077556</v>
      </c>
      <c r="S125" s="161">
        <f>9*135*2</f>
        <v>2430</v>
      </c>
      <c r="T125" s="161">
        <v>1</v>
      </c>
      <c r="U125" s="164">
        <f>($L125*'Pivot Objective'!$C$9^2)*S125*T125</f>
        <v>906470.18975748552</v>
      </c>
      <c r="V125" s="161">
        <f>9*135*2</f>
        <v>2430</v>
      </c>
      <c r="W125" s="161">
        <v>1</v>
      </c>
      <c r="X125" s="164">
        <f>($L125*'Pivot Objective'!$C$9^3)*V125*W125</f>
        <v>1036023.9036754235</v>
      </c>
      <c r="Y125" s="161">
        <f>9*135*2</f>
        <v>2430</v>
      </c>
      <c r="Z125" s="161">
        <v>1</v>
      </c>
      <c r="AA125" s="164">
        <f>($L125*'Pivot Objective'!$C$9^4)*Y125*Z125</f>
        <v>1184093.5765069372</v>
      </c>
      <c r="AB125" s="161">
        <f>9*135*2</f>
        <v>2430</v>
      </c>
      <c r="AC125" s="161">
        <v>1</v>
      </c>
      <c r="AD125" s="164">
        <f>($L125*'Pivot Objective'!$C$9^5)*AB125*AC125</f>
        <v>1353325.5294119618</v>
      </c>
      <c r="AE125" s="161">
        <f>9*135*2</f>
        <v>2430</v>
      </c>
      <c r="AF125" s="161">
        <v>1</v>
      </c>
      <c r="AG125" s="164">
        <f>($L125*'Pivot Objective'!$C$9^6)*AE125*AF125</f>
        <v>1546744.2986736251</v>
      </c>
      <c r="AH125" s="161">
        <f>9*135*2</f>
        <v>2430</v>
      </c>
      <c r="AI125" s="161">
        <v>1</v>
      </c>
      <c r="AJ125" s="164">
        <f>($L125*'Pivot Objective'!$C$9^7)*AH125*AI125</f>
        <v>1767806.6906185555</v>
      </c>
      <c r="AK125" s="185">
        <f t="shared" si="10"/>
        <v>8587581.2219517436</v>
      </c>
      <c r="AL125" s="186">
        <f t="shared" si="11"/>
        <v>8337.4574970405283</v>
      </c>
    </row>
    <row r="126" spans="1:38" ht="57.6" x14ac:dyDescent="0.3">
      <c r="A126" s="151" t="s">
        <v>1440</v>
      </c>
      <c r="B126" s="151">
        <v>1</v>
      </c>
      <c r="C126" s="152" t="s">
        <v>836</v>
      </c>
      <c r="D126" s="151" t="str">
        <f t="shared" si="6"/>
        <v>1</v>
      </c>
      <c r="E126" s="153" t="s">
        <v>837</v>
      </c>
      <c r="F126" s="151">
        <f t="shared" si="7"/>
        <v>3</v>
      </c>
      <c r="G126" s="151" t="str">
        <f t="shared" si="8"/>
        <v>1.1.3</v>
      </c>
      <c r="H126" s="156" t="s">
        <v>1681</v>
      </c>
      <c r="I126" s="159" t="s">
        <v>870</v>
      </c>
      <c r="J126" s="159" t="s">
        <v>1354</v>
      </c>
      <c r="K126" s="159" t="s">
        <v>712</v>
      </c>
      <c r="L126" s="160">
        <v>214.29</v>
      </c>
      <c r="M126" s="161"/>
      <c r="N126" s="161"/>
      <c r="O126" s="164">
        <f t="shared" si="9"/>
        <v>0</v>
      </c>
      <c r="P126" s="161">
        <f>25*2*9</f>
        <v>450</v>
      </c>
      <c r="Q126" s="161">
        <v>5</v>
      </c>
      <c r="R126" s="164">
        <f>$L126*'Pivot Objective'!$C$9*P126*Q126</f>
        <v>551062.26422129245</v>
      </c>
      <c r="S126" s="161">
        <f>25*2*9</f>
        <v>450</v>
      </c>
      <c r="T126" s="161">
        <v>5</v>
      </c>
      <c r="U126" s="164">
        <f>($L126*'Pivot Objective'!$C$9^2)*S126*T126</f>
        <v>629820.68753910332</v>
      </c>
      <c r="V126" s="161">
        <f>25*2*9</f>
        <v>450</v>
      </c>
      <c r="W126" s="161">
        <v>5</v>
      </c>
      <c r="X126" s="164">
        <f>($L126*'Pivot Objective'!$C$9^3)*V126*W126</f>
        <v>719835.35111548612</v>
      </c>
      <c r="Y126" s="161">
        <f>25*2*9</f>
        <v>450</v>
      </c>
      <c r="Z126" s="161">
        <v>5</v>
      </c>
      <c r="AA126" s="164">
        <f>($L126*'Pivot Objective'!$C$9^4)*Y126*Z126</f>
        <v>822715.00915629161</v>
      </c>
      <c r="AB126" s="161">
        <f>25*2*9</f>
        <v>450</v>
      </c>
      <c r="AC126" s="161">
        <v>5</v>
      </c>
      <c r="AD126" s="164">
        <f>($L126*'Pivot Objective'!$C$9^5)*AB126*AC126</f>
        <v>940298.3407832738</v>
      </c>
      <c r="AE126" s="161">
        <f>25*2*9</f>
        <v>450</v>
      </c>
      <c r="AF126" s="161">
        <v>5</v>
      </c>
      <c r="AG126" s="164">
        <f>($L126*'Pivot Objective'!$C$9^6)*AE126*AF126</f>
        <v>1074686.811155299</v>
      </c>
      <c r="AH126" s="161">
        <f>25*2*9</f>
        <v>450</v>
      </c>
      <c r="AI126" s="161">
        <v>5</v>
      </c>
      <c r="AJ126" s="164">
        <f>($L126*'Pivot Objective'!$C$9^7)*AH126*AI126</f>
        <v>1228282.2291370463</v>
      </c>
      <c r="AK126" s="185">
        <f t="shared" si="10"/>
        <v>5966700.6931077922</v>
      </c>
      <c r="AL126" s="186">
        <f t="shared" si="11"/>
        <v>5792.9132942794095</v>
      </c>
    </row>
    <row r="127" spans="1:38" ht="57.6" x14ac:dyDescent="0.3">
      <c r="A127" s="151" t="s">
        <v>1440</v>
      </c>
      <c r="B127" s="151">
        <v>1</v>
      </c>
      <c r="C127" s="152" t="s">
        <v>836</v>
      </c>
      <c r="D127" s="151" t="str">
        <f t="shared" si="6"/>
        <v>1</v>
      </c>
      <c r="E127" s="153" t="s">
        <v>837</v>
      </c>
      <c r="F127" s="151">
        <f t="shared" si="7"/>
        <v>3</v>
      </c>
      <c r="G127" s="151" t="str">
        <f t="shared" si="8"/>
        <v>1.1.3</v>
      </c>
      <c r="H127" s="156" t="s">
        <v>1681</v>
      </c>
      <c r="I127" s="159" t="s">
        <v>870</v>
      </c>
      <c r="J127" s="159" t="s">
        <v>873</v>
      </c>
      <c r="K127" s="159" t="s">
        <v>713</v>
      </c>
      <c r="L127" s="160">
        <v>45000</v>
      </c>
      <c r="M127" s="161"/>
      <c r="N127" s="161"/>
      <c r="O127" s="164">
        <f t="shared" si="9"/>
        <v>0</v>
      </c>
      <c r="P127" s="161">
        <v>25</v>
      </c>
      <c r="Q127" s="161">
        <v>5</v>
      </c>
      <c r="R127" s="164">
        <f>$L127*'Pivot Objective'!$C$9*P127*Q127</f>
        <v>6428931.1706249984</v>
      </c>
      <c r="S127" s="161">
        <v>25</v>
      </c>
      <c r="T127" s="161">
        <v>5</v>
      </c>
      <c r="U127" s="164">
        <f>($L127*'Pivot Objective'!$C$9^2)*S127*T127</f>
        <v>7347761.066068219</v>
      </c>
      <c r="V127" s="161">
        <v>25</v>
      </c>
      <c r="W127" s="161">
        <v>5</v>
      </c>
      <c r="X127" s="164">
        <f>($L127*'Pivot Objective'!$C$9^3)*V127*W127</f>
        <v>8397911.1381245758</v>
      </c>
      <c r="Y127" s="161">
        <v>25</v>
      </c>
      <c r="Z127" s="161">
        <v>5</v>
      </c>
      <c r="AA127" s="164">
        <f>($L127*'Pivot Objective'!$C$9^4)*Y127*Z127</f>
        <v>9598149.8104938585</v>
      </c>
      <c r="AB127" s="161">
        <v>25</v>
      </c>
      <c r="AC127" s="161">
        <v>5</v>
      </c>
      <c r="AD127" s="164">
        <f>($L127*'Pivot Objective'!$C$9^5)*AB127*AC127</f>
        <v>10969927.910579981</v>
      </c>
      <c r="AE127" s="161">
        <v>25</v>
      </c>
      <c r="AF127" s="161">
        <v>5</v>
      </c>
      <c r="AG127" s="164">
        <f>($L127*'Pivot Objective'!$C$9^6)*AE127*AF127</f>
        <v>12537762.041570991</v>
      </c>
      <c r="AH127" s="161">
        <v>25</v>
      </c>
      <c r="AI127" s="161">
        <v>5</v>
      </c>
      <c r="AJ127" s="164">
        <f>($L127*'Pivot Objective'!$C$9^7)*AH127*AI127</f>
        <v>14329672.746477276</v>
      </c>
      <c r="AK127" s="185">
        <f t="shared" si="10"/>
        <v>69610115.883939892</v>
      </c>
      <c r="AL127" s="186">
        <f t="shared" si="11"/>
        <v>67582.636780524161</v>
      </c>
    </row>
    <row r="128" spans="1:38" ht="57.6" x14ac:dyDescent="0.3">
      <c r="A128" s="151" t="s">
        <v>1440</v>
      </c>
      <c r="B128" s="151">
        <v>1</v>
      </c>
      <c r="C128" s="152" t="s">
        <v>836</v>
      </c>
      <c r="D128" s="151" t="str">
        <f t="shared" si="6"/>
        <v>1</v>
      </c>
      <c r="E128" s="153" t="s">
        <v>837</v>
      </c>
      <c r="F128" s="151">
        <f t="shared" si="7"/>
        <v>3</v>
      </c>
      <c r="G128" s="151" t="str">
        <f t="shared" si="8"/>
        <v>1.1.3</v>
      </c>
      <c r="H128" s="156" t="s">
        <v>1681</v>
      </c>
      <c r="I128" s="159" t="s">
        <v>870</v>
      </c>
      <c r="J128" s="159" t="s">
        <v>873</v>
      </c>
      <c r="K128" s="159" t="s">
        <v>712</v>
      </c>
      <c r="L128" s="160">
        <f>1999/7</f>
        <v>285.57142857142856</v>
      </c>
      <c r="M128" s="161"/>
      <c r="N128" s="161"/>
      <c r="O128" s="164">
        <f t="shared" si="9"/>
        <v>0</v>
      </c>
      <c r="P128" s="161">
        <f>25*2*29</f>
        <v>1450</v>
      </c>
      <c r="Q128" s="161">
        <v>1</v>
      </c>
      <c r="R128" s="164">
        <f>$L128*'Pivot Objective'!$C$9*P128*Q128</f>
        <v>473259.13510133565</v>
      </c>
      <c r="S128" s="161">
        <f>25*2*29</f>
        <v>1450</v>
      </c>
      <c r="T128" s="161">
        <v>1</v>
      </c>
      <c r="U128" s="164">
        <f>($L128*'Pivot Objective'!$C$9^2)*S128*T128</f>
        <v>540897.84985528968</v>
      </c>
      <c r="V128" s="161">
        <f>25*2*29</f>
        <v>1450</v>
      </c>
      <c r="W128" s="161">
        <v>1</v>
      </c>
      <c r="X128" s="164">
        <f>($L128*'Pivot Objective'!$C$9^3)*V128*W128</f>
        <v>618203.56392154901</v>
      </c>
      <c r="Y128" s="161">
        <f>25*2*29</f>
        <v>1450</v>
      </c>
      <c r="Z128" s="161">
        <v>1</v>
      </c>
      <c r="AA128" s="164">
        <f>($L128*'Pivot Objective'!$C$9^4)*Y128*Z128</f>
        <v>706557.89544652624</v>
      </c>
      <c r="AB128" s="161">
        <f>25*2*29</f>
        <v>1450</v>
      </c>
      <c r="AC128" s="161">
        <v>1</v>
      </c>
      <c r="AD128" s="164">
        <f>($L128*'Pivot Objective'!$C$9^5)*AB128*AC128</f>
        <v>807539.92495775502</v>
      </c>
      <c r="AE128" s="161">
        <f>25*2*29</f>
        <v>1450</v>
      </c>
      <c r="AF128" s="161">
        <v>1</v>
      </c>
      <c r="AG128" s="164">
        <f>($L128*'Pivot Objective'!$C$9^6)*AE128*AF128</f>
        <v>922954.416904015</v>
      </c>
      <c r="AH128" s="161">
        <f>25*2*29</f>
        <v>1450</v>
      </c>
      <c r="AI128" s="161">
        <v>1</v>
      </c>
      <c r="AJ128" s="164">
        <f>($L128*'Pivot Objective'!$C$9^7)*AH128*AI128</f>
        <v>1054864.0746489323</v>
      </c>
      <c r="AK128" s="185">
        <f t="shared" si="10"/>
        <v>5124276.8608354032</v>
      </c>
      <c r="AL128" s="186">
        <f t="shared" si="11"/>
        <v>4975.0260784809743</v>
      </c>
    </row>
    <row r="129" spans="1:38" ht="57.6" x14ac:dyDescent="0.3">
      <c r="A129" s="151" t="s">
        <v>1440</v>
      </c>
      <c r="B129" s="151">
        <v>1</v>
      </c>
      <c r="C129" s="152" t="s">
        <v>836</v>
      </c>
      <c r="D129" s="151" t="str">
        <f t="shared" si="6"/>
        <v>1</v>
      </c>
      <c r="E129" s="153" t="s">
        <v>837</v>
      </c>
      <c r="F129" s="151">
        <f t="shared" si="7"/>
        <v>3</v>
      </c>
      <c r="G129" s="151" t="str">
        <f t="shared" si="8"/>
        <v>1.1.3</v>
      </c>
      <c r="H129" s="156" t="s">
        <v>1681</v>
      </c>
      <c r="I129" s="159" t="s">
        <v>870</v>
      </c>
      <c r="J129" s="159" t="s">
        <v>873</v>
      </c>
      <c r="K129" s="159" t="s">
        <v>1299</v>
      </c>
      <c r="L129" s="160">
        <f>1999/7</f>
        <v>285.57142857142856</v>
      </c>
      <c r="M129" s="161"/>
      <c r="N129" s="161"/>
      <c r="O129" s="164">
        <f t="shared" si="9"/>
        <v>0</v>
      </c>
      <c r="P129" s="161">
        <f>9*135*2</f>
        <v>2430</v>
      </c>
      <c r="Q129" s="161">
        <v>1</v>
      </c>
      <c r="R129" s="164">
        <f>$L129*'Pivot Objective'!$C$9*P129*Q129</f>
        <v>793117.0333077556</v>
      </c>
      <c r="S129" s="161">
        <f>9*135*2</f>
        <v>2430</v>
      </c>
      <c r="T129" s="161">
        <v>1</v>
      </c>
      <c r="U129" s="164">
        <f>($L129*'Pivot Objective'!$C$9^2)*S129*T129</f>
        <v>906470.18975748552</v>
      </c>
      <c r="V129" s="161">
        <f>9*135*2</f>
        <v>2430</v>
      </c>
      <c r="W129" s="161">
        <v>1</v>
      </c>
      <c r="X129" s="164">
        <f>($L129*'Pivot Objective'!$C$9^3)*V129*W129</f>
        <v>1036023.9036754235</v>
      </c>
      <c r="Y129" s="161">
        <f>9*135*2</f>
        <v>2430</v>
      </c>
      <c r="Z129" s="161">
        <v>1</v>
      </c>
      <c r="AA129" s="164">
        <f>($L129*'Pivot Objective'!$C$9^4)*Y129*Z129</f>
        <v>1184093.5765069372</v>
      </c>
      <c r="AB129" s="161">
        <f>9*135*2</f>
        <v>2430</v>
      </c>
      <c r="AC129" s="161">
        <v>1</v>
      </c>
      <c r="AD129" s="164">
        <f>($L129*'Pivot Objective'!$C$9^5)*AB129*AC129</f>
        <v>1353325.5294119618</v>
      </c>
      <c r="AE129" s="161">
        <f>9*135*2</f>
        <v>2430</v>
      </c>
      <c r="AF129" s="161">
        <v>1</v>
      </c>
      <c r="AG129" s="164">
        <f>($L129*'Pivot Objective'!$C$9^6)*AE129*AF129</f>
        <v>1546744.2986736251</v>
      </c>
      <c r="AH129" s="161">
        <f>9*135*2</f>
        <v>2430</v>
      </c>
      <c r="AI129" s="161">
        <v>1</v>
      </c>
      <c r="AJ129" s="164">
        <f>($L129*'Pivot Objective'!$C$9^7)*AH129*AI129</f>
        <v>1767806.6906185555</v>
      </c>
      <c r="AK129" s="185">
        <f t="shared" si="10"/>
        <v>8587581.2219517436</v>
      </c>
      <c r="AL129" s="186">
        <f t="shared" si="11"/>
        <v>8337.4574970405283</v>
      </c>
    </row>
    <row r="130" spans="1:38" ht="57.6" x14ac:dyDescent="0.3">
      <c r="A130" s="151" t="s">
        <v>1440</v>
      </c>
      <c r="B130" s="151">
        <v>1</v>
      </c>
      <c r="C130" s="152" t="s">
        <v>836</v>
      </c>
      <c r="D130" s="151" t="str">
        <f t="shared" ref="D130:D169" si="12">RIGHT(A130,1)</f>
        <v>1</v>
      </c>
      <c r="E130" s="153" t="s">
        <v>837</v>
      </c>
      <c r="F130" s="151">
        <f t="shared" si="7"/>
        <v>3</v>
      </c>
      <c r="G130" s="151" t="str">
        <f t="shared" si="8"/>
        <v>1.1.3</v>
      </c>
      <c r="H130" s="156" t="s">
        <v>1681</v>
      </c>
      <c r="I130" s="159" t="s">
        <v>870</v>
      </c>
      <c r="J130" s="159" t="s">
        <v>873</v>
      </c>
      <c r="K130" s="159" t="s">
        <v>715</v>
      </c>
      <c r="L130" s="160">
        <v>302000</v>
      </c>
      <c r="M130" s="161"/>
      <c r="N130" s="161"/>
      <c r="O130" s="164">
        <f t="shared" si="9"/>
        <v>0</v>
      </c>
      <c r="P130" s="161">
        <v>15</v>
      </c>
      <c r="Q130" s="161">
        <v>1</v>
      </c>
      <c r="R130" s="164">
        <f>$L130*'Pivot Objective'!$C$9*P130*Q130</f>
        <v>5177432.5694099991</v>
      </c>
      <c r="S130" s="161">
        <v>15</v>
      </c>
      <c r="T130" s="161">
        <v>1</v>
      </c>
      <c r="U130" s="164">
        <f>($L130*'Pivot Objective'!$C$9^2)*S130*T130</f>
        <v>5917396.9118736051</v>
      </c>
      <c r="V130" s="161">
        <v>15</v>
      </c>
      <c r="W130" s="161">
        <v>1</v>
      </c>
      <c r="X130" s="164">
        <f>($L130*'Pivot Objective'!$C$9^3)*V130*W130</f>
        <v>6763117.7699029921</v>
      </c>
      <c r="Y130" s="161">
        <v>15</v>
      </c>
      <c r="Z130" s="161">
        <v>1</v>
      </c>
      <c r="AA130" s="164">
        <f>($L130*'Pivot Objective'!$C$9^4)*Y130*Z130</f>
        <v>7729709.9807177205</v>
      </c>
      <c r="AB130" s="161">
        <v>15</v>
      </c>
      <c r="AC130" s="161">
        <v>1</v>
      </c>
      <c r="AD130" s="164">
        <f>($L130*'Pivot Objective'!$C$9^5)*AB130*AC130</f>
        <v>8834448.6106537469</v>
      </c>
      <c r="AE130" s="161">
        <v>15</v>
      </c>
      <c r="AF130" s="161">
        <v>1</v>
      </c>
      <c r="AG130" s="164">
        <f>($L130*'Pivot Objective'!$C$9^6)*AE130*AF130</f>
        <v>10097077.697478505</v>
      </c>
      <c r="AH130" s="161">
        <v>15</v>
      </c>
      <c r="AI130" s="161">
        <v>1</v>
      </c>
      <c r="AJ130" s="164">
        <f>($L130*'Pivot Objective'!$C$9^7)*AH130*AI130</f>
        <v>11540163.118496366</v>
      </c>
      <c r="AK130" s="185">
        <f t="shared" si="10"/>
        <v>56059346.65853294</v>
      </c>
      <c r="AL130" s="186">
        <f t="shared" si="11"/>
        <v>54426.550153915472</v>
      </c>
    </row>
    <row r="131" spans="1:38" ht="57.6" x14ac:dyDescent="0.3">
      <c r="A131" s="151" t="s">
        <v>1440</v>
      </c>
      <c r="B131" s="151">
        <v>1</v>
      </c>
      <c r="C131" s="152" t="s">
        <v>836</v>
      </c>
      <c r="D131" s="151" t="str">
        <f t="shared" si="12"/>
        <v>1</v>
      </c>
      <c r="E131" s="153" t="s">
        <v>837</v>
      </c>
      <c r="F131" s="151">
        <f t="shared" ref="F131:F169" si="13">IF(H131=H130,F130,F130+1)</f>
        <v>3</v>
      </c>
      <c r="G131" s="151" t="str">
        <f t="shared" ref="G131:G169" si="14">B131&amp;"."&amp;D131&amp;"."&amp;F131</f>
        <v>1.1.3</v>
      </c>
      <c r="H131" s="156" t="s">
        <v>1681</v>
      </c>
      <c r="I131" s="159" t="s">
        <v>870</v>
      </c>
      <c r="J131" s="159" t="s">
        <v>873</v>
      </c>
      <c r="K131" s="159" t="s">
        <v>714</v>
      </c>
      <c r="L131" s="160">
        <v>10000</v>
      </c>
      <c r="M131" s="161"/>
      <c r="N131" s="161"/>
      <c r="O131" s="164">
        <f t="shared" ref="O131:O194" si="15">$L131*M131*N131</f>
        <v>0</v>
      </c>
      <c r="P131" s="161">
        <v>15</v>
      </c>
      <c r="Q131" s="161">
        <v>1</v>
      </c>
      <c r="R131" s="164">
        <f>$L131*'Pivot Objective'!$C$9*P131*Q131</f>
        <v>171438.16454999999</v>
      </c>
      <c r="S131" s="161">
        <v>15</v>
      </c>
      <c r="T131" s="161">
        <v>1</v>
      </c>
      <c r="U131" s="164">
        <f>($L131*'Pivot Objective'!$C$9^2)*S131*T131</f>
        <v>195940.29509515248</v>
      </c>
      <c r="V131" s="161">
        <v>15</v>
      </c>
      <c r="W131" s="161">
        <v>1</v>
      </c>
      <c r="X131" s="164">
        <f>($L131*'Pivot Objective'!$C$9^3)*V131*W131</f>
        <v>223944.29701665539</v>
      </c>
      <c r="Y131" s="161">
        <v>15</v>
      </c>
      <c r="Z131" s="161">
        <v>1</v>
      </c>
      <c r="AA131" s="164">
        <f>($L131*'Pivot Objective'!$C$9^4)*Y131*Z131</f>
        <v>255950.66161316959</v>
      </c>
      <c r="AB131" s="161">
        <v>15</v>
      </c>
      <c r="AC131" s="161">
        <v>1</v>
      </c>
      <c r="AD131" s="164">
        <f>($L131*'Pivot Objective'!$C$9^5)*AB131*AC131</f>
        <v>292531.41094879952</v>
      </c>
      <c r="AE131" s="161">
        <v>15</v>
      </c>
      <c r="AF131" s="161">
        <v>1</v>
      </c>
      <c r="AG131" s="164">
        <f>($L131*'Pivot Objective'!$C$9^6)*AE131*AF131</f>
        <v>334340.32110855979</v>
      </c>
      <c r="AH131" s="161">
        <v>15</v>
      </c>
      <c r="AI131" s="161">
        <v>1</v>
      </c>
      <c r="AJ131" s="164">
        <f>($L131*'Pivot Objective'!$C$9^7)*AH131*AI131</f>
        <v>382124.60657272732</v>
      </c>
      <c r="AK131" s="185">
        <f t="shared" ref="AK131:AK194" si="16">O131+R131+U131+X131+AA131+AD131+AG131+AJ131</f>
        <v>1856269.756905064</v>
      </c>
      <c r="AL131" s="186">
        <f t="shared" ref="AL131:AL194" si="17">AK131/$AP$2</f>
        <v>1802.2036474806446</v>
      </c>
    </row>
    <row r="132" spans="1:38" ht="57.6" x14ac:dyDescent="0.3">
      <c r="A132" s="151" t="s">
        <v>1440</v>
      </c>
      <c r="B132" s="151">
        <v>1</v>
      </c>
      <c r="C132" s="152" t="s">
        <v>836</v>
      </c>
      <c r="D132" s="151" t="str">
        <f t="shared" si="12"/>
        <v>1</v>
      </c>
      <c r="E132" s="153" t="s">
        <v>837</v>
      </c>
      <c r="F132" s="151">
        <f t="shared" si="13"/>
        <v>3</v>
      </c>
      <c r="G132" s="151" t="str">
        <f t="shared" si="14"/>
        <v>1.1.3</v>
      </c>
      <c r="H132" s="156" t="s">
        <v>1681</v>
      </c>
      <c r="I132" s="159" t="s">
        <v>870</v>
      </c>
      <c r="J132" s="159" t="s">
        <v>1355</v>
      </c>
      <c r="K132" s="159" t="s">
        <v>716</v>
      </c>
      <c r="L132" s="160">
        <v>39000</v>
      </c>
      <c r="M132" s="161"/>
      <c r="N132" s="161"/>
      <c r="O132" s="164">
        <f t="shared" si="15"/>
        <v>0</v>
      </c>
      <c r="P132" s="161">
        <v>25</v>
      </c>
      <c r="Q132" s="161">
        <v>5</v>
      </c>
      <c r="R132" s="164">
        <f>$L132*'Pivot Objective'!$C$9*P132*Q132</f>
        <v>5571740.347874999</v>
      </c>
      <c r="S132" s="161">
        <v>25</v>
      </c>
      <c r="T132" s="161">
        <v>5</v>
      </c>
      <c r="U132" s="164">
        <f>($L132*'Pivot Objective'!$C$9^2)*S132*T132</f>
        <v>6368059.5905924551</v>
      </c>
      <c r="V132" s="161">
        <v>25</v>
      </c>
      <c r="W132" s="161">
        <v>5</v>
      </c>
      <c r="X132" s="164">
        <f>($L132*'Pivot Objective'!$C$9^3)*V132*W132</f>
        <v>7278189.6530412994</v>
      </c>
      <c r="Y132" s="161">
        <v>25</v>
      </c>
      <c r="Z132" s="161">
        <v>5</v>
      </c>
      <c r="AA132" s="164">
        <f>($L132*'Pivot Objective'!$C$9^4)*Y132*Z132</f>
        <v>8318396.502428012</v>
      </c>
      <c r="AB132" s="161">
        <v>25</v>
      </c>
      <c r="AC132" s="161">
        <v>5</v>
      </c>
      <c r="AD132" s="164">
        <f>($L132*'Pivot Objective'!$C$9^5)*AB132*AC132</f>
        <v>9507270.8558359854</v>
      </c>
      <c r="AE132" s="161">
        <v>25</v>
      </c>
      <c r="AF132" s="161">
        <v>5</v>
      </c>
      <c r="AG132" s="164">
        <f>($L132*'Pivot Objective'!$C$9^6)*AE132*AF132</f>
        <v>10866060.436028194</v>
      </c>
      <c r="AH132" s="161">
        <v>25</v>
      </c>
      <c r="AI132" s="161">
        <v>5</v>
      </c>
      <c r="AJ132" s="164">
        <f>($L132*'Pivot Objective'!$C$9^7)*AH132*AI132</f>
        <v>12419049.713613637</v>
      </c>
      <c r="AK132" s="185">
        <f t="shared" si="16"/>
        <v>60328767.09941458</v>
      </c>
      <c r="AL132" s="186">
        <f t="shared" si="17"/>
        <v>58571.618543120952</v>
      </c>
    </row>
    <row r="133" spans="1:38" ht="57.6" x14ac:dyDescent="0.3">
      <c r="A133" s="151" t="s">
        <v>1440</v>
      </c>
      <c r="B133" s="151">
        <v>1</v>
      </c>
      <c r="C133" s="152" t="s">
        <v>836</v>
      </c>
      <c r="D133" s="151" t="str">
        <f t="shared" si="12"/>
        <v>1</v>
      </c>
      <c r="E133" s="153" t="s">
        <v>837</v>
      </c>
      <c r="F133" s="151">
        <f t="shared" si="13"/>
        <v>3</v>
      </c>
      <c r="G133" s="151" t="str">
        <f t="shared" si="14"/>
        <v>1.1.3</v>
      </c>
      <c r="H133" s="156" t="s">
        <v>1681</v>
      </c>
      <c r="I133" s="159" t="s">
        <v>870</v>
      </c>
      <c r="J133" s="159" t="s">
        <v>1355</v>
      </c>
      <c r="K133" s="159" t="s">
        <v>712</v>
      </c>
      <c r="L133" s="160">
        <f>1999/7</f>
        <v>285.57142857142856</v>
      </c>
      <c r="M133" s="161"/>
      <c r="N133" s="161"/>
      <c r="O133" s="164">
        <f t="shared" si="15"/>
        <v>0</v>
      </c>
      <c r="P133" s="161">
        <f>25*2*9</f>
        <v>450</v>
      </c>
      <c r="Q133" s="161">
        <v>10</v>
      </c>
      <c r="R133" s="164">
        <f>$L133*'Pivot Objective'!$C$9*P133*Q133</f>
        <v>1468735.2468662139</v>
      </c>
      <c r="S133" s="161">
        <f>25*2*9</f>
        <v>450</v>
      </c>
      <c r="T133" s="161">
        <v>10</v>
      </c>
      <c r="U133" s="164">
        <f>($L133*'Pivot Objective'!$C$9^2)*S133*T133</f>
        <v>1678648.499550899</v>
      </c>
      <c r="V133" s="161">
        <f>25*2*9</f>
        <v>450</v>
      </c>
      <c r="W133" s="161">
        <v>10</v>
      </c>
      <c r="X133" s="164">
        <f>($L133*'Pivot Objective'!$C$9^3)*V133*W133</f>
        <v>1918562.7845841176</v>
      </c>
      <c r="Y133" s="161">
        <f>25*2*9</f>
        <v>450</v>
      </c>
      <c r="Z133" s="161">
        <v>10</v>
      </c>
      <c r="AA133" s="164">
        <f>($L133*'Pivot Objective'!$C$9^4)*Y133*Z133</f>
        <v>2192765.8824202539</v>
      </c>
      <c r="AB133" s="161">
        <f>25*2*9</f>
        <v>450</v>
      </c>
      <c r="AC133" s="161">
        <v>10</v>
      </c>
      <c r="AD133" s="164">
        <f>($L133*'Pivot Objective'!$C$9^5)*AB133*AC133</f>
        <v>2506158.3877999294</v>
      </c>
      <c r="AE133" s="161">
        <f>25*2*9</f>
        <v>450</v>
      </c>
      <c r="AF133" s="161">
        <v>10</v>
      </c>
      <c r="AG133" s="164">
        <f>($L133*'Pivot Objective'!$C$9^6)*AE133*AF133</f>
        <v>2864341.293840047</v>
      </c>
      <c r="AH133" s="161">
        <f>25*2*9</f>
        <v>450</v>
      </c>
      <c r="AI133" s="161">
        <v>10</v>
      </c>
      <c r="AJ133" s="164">
        <f>($L133*'Pivot Objective'!$C$9^7)*AH133*AI133</f>
        <v>3273716.0937380656</v>
      </c>
      <c r="AK133" s="185">
        <f t="shared" si="16"/>
        <v>15902928.188799527</v>
      </c>
      <c r="AL133" s="186">
        <f t="shared" si="17"/>
        <v>15439.736105630609</v>
      </c>
    </row>
    <row r="134" spans="1:38" ht="57.6" x14ac:dyDescent="0.3">
      <c r="A134" s="151" t="s">
        <v>1440</v>
      </c>
      <c r="B134" s="151">
        <v>1</v>
      </c>
      <c r="C134" s="152" t="s">
        <v>836</v>
      </c>
      <c r="D134" s="151" t="str">
        <f t="shared" si="12"/>
        <v>1</v>
      </c>
      <c r="E134" s="153" t="s">
        <v>837</v>
      </c>
      <c r="F134" s="151">
        <f t="shared" si="13"/>
        <v>3</v>
      </c>
      <c r="G134" s="151" t="str">
        <f t="shared" si="14"/>
        <v>1.1.3</v>
      </c>
      <c r="H134" s="156" t="s">
        <v>1681</v>
      </c>
      <c r="I134" s="159" t="s">
        <v>870</v>
      </c>
      <c r="J134" s="159" t="s">
        <v>1355</v>
      </c>
      <c r="K134" s="159" t="s">
        <v>1299</v>
      </c>
      <c r="L134" s="160">
        <f>1999/7</f>
        <v>285.57142857142856</v>
      </c>
      <c r="M134" s="161"/>
      <c r="N134" s="161"/>
      <c r="O134" s="164">
        <f t="shared" si="15"/>
        <v>0</v>
      </c>
      <c r="P134" s="161">
        <f>9*135*2</f>
        <v>2430</v>
      </c>
      <c r="Q134" s="161">
        <v>1</v>
      </c>
      <c r="R134" s="164">
        <f>$L134*'Pivot Objective'!$C$9*P134*Q134</f>
        <v>793117.0333077556</v>
      </c>
      <c r="S134" s="161">
        <f>9*135*2</f>
        <v>2430</v>
      </c>
      <c r="T134" s="161">
        <v>1</v>
      </c>
      <c r="U134" s="164">
        <f>($L134*'Pivot Objective'!$C$9^2)*S134*T134</f>
        <v>906470.18975748552</v>
      </c>
      <c r="V134" s="161">
        <f>9*135*2</f>
        <v>2430</v>
      </c>
      <c r="W134" s="161">
        <v>1</v>
      </c>
      <c r="X134" s="164">
        <f>($L134*'Pivot Objective'!$C$9^3)*V134*W134</f>
        <v>1036023.9036754235</v>
      </c>
      <c r="Y134" s="161">
        <f>9*135*2</f>
        <v>2430</v>
      </c>
      <c r="Z134" s="161">
        <v>1</v>
      </c>
      <c r="AA134" s="164">
        <f>($L134*'Pivot Objective'!$C$9^4)*Y134*Z134</f>
        <v>1184093.5765069372</v>
      </c>
      <c r="AB134" s="161">
        <f>9*135*2</f>
        <v>2430</v>
      </c>
      <c r="AC134" s="161">
        <v>1</v>
      </c>
      <c r="AD134" s="164">
        <f>($L134*'Pivot Objective'!$C$9^5)*AB134*AC134</f>
        <v>1353325.5294119618</v>
      </c>
      <c r="AE134" s="161">
        <f>9*135*2</f>
        <v>2430</v>
      </c>
      <c r="AF134" s="161">
        <v>1</v>
      </c>
      <c r="AG134" s="164">
        <f>($L134*'Pivot Objective'!$C$9^6)*AE134*AF134</f>
        <v>1546744.2986736251</v>
      </c>
      <c r="AH134" s="161">
        <f>9*135*2</f>
        <v>2430</v>
      </c>
      <c r="AI134" s="161">
        <v>1</v>
      </c>
      <c r="AJ134" s="164">
        <f>($L134*'Pivot Objective'!$C$9^7)*AH134*AI134</f>
        <v>1767806.6906185555</v>
      </c>
      <c r="AK134" s="185">
        <f t="shared" si="16"/>
        <v>8587581.2219517436</v>
      </c>
      <c r="AL134" s="186">
        <f t="shared" si="17"/>
        <v>8337.4574970405283</v>
      </c>
    </row>
    <row r="135" spans="1:38" ht="57.6" x14ac:dyDescent="0.3">
      <c r="A135" s="151" t="s">
        <v>1440</v>
      </c>
      <c r="B135" s="151">
        <v>1</v>
      </c>
      <c r="C135" s="152" t="s">
        <v>836</v>
      </c>
      <c r="D135" s="151" t="str">
        <f t="shared" si="12"/>
        <v>1</v>
      </c>
      <c r="E135" s="153" t="s">
        <v>837</v>
      </c>
      <c r="F135" s="151">
        <f t="shared" si="13"/>
        <v>3</v>
      </c>
      <c r="G135" s="151" t="str">
        <f t="shared" si="14"/>
        <v>1.1.3</v>
      </c>
      <c r="H135" s="156" t="s">
        <v>1681</v>
      </c>
      <c r="I135" s="159" t="s">
        <v>870</v>
      </c>
      <c r="J135" s="159" t="s">
        <v>1355</v>
      </c>
      <c r="K135" s="159" t="s">
        <v>709</v>
      </c>
      <c r="L135" s="160">
        <v>35000</v>
      </c>
      <c r="M135" s="161"/>
      <c r="N135" s="161"/>
      <c r="O135" s="164">
        <f t="shared" si="15"/>
        <v>0</v>
      </c>
      <c r="P135" s="161">
        <v>25</v>
      </c>
      <c r="Q135" s="161">
        <v>5</v>
      </c>
      <c r="R135" s="164">
        <f>$L135*'Pivot Objective'!$C$9*P135*Q135</f>
        <v>5000279.7993749995</v>
      </c>
      <c r="S135" s="161">
        <v>25</v>
      </c>
      <c r="T135" s="161">
        <v>5</v>
      </c>
      <c r="U135" s="164">
        <f>($L135*'Pivot Objective'!$C$9^2)*S135*T135</f>
        <v>5714925.2736086138</v>
      </c>
      <c r="V135" s="161">
        <v>25</v>
      </c>
      <c r="W135" s="161">
        <v>5</v>
      </c>
      <c r="X135" s="164">
        <f>($L135*'Pivot Objective'!$C$9^3)*V135*W135</f>
        <v>6531708.6629857821</v>
      </c>
      <c r="Y135" s="161">
        <v>25</v>
      </c>
      <c r="Z135" s="161">
        <v>5</v>
      </c>
      <c r="AA135" s="164">
        <f>($L135*'Pivot Objective'!$C$9^4)*Y135*Z135</f>
        <v>7465227.6303841127</v>
      </c>
      <c r="AB135" s="161">
        <v>25</v>
      </c>
      <c r="AC135" s="161">
        <v>5</v>
      </c>
      <c r="AD135" s="164">
        <f>($L135*'Pivot Objective'!$C$9^5)*AB135*AC135</f>
        <v>8532166.152673319</v>
      </c>
      <c r="AE135" s="161">
        <v>25</v>
      </c>
      <c r="AF135" s="161">
        <v>5</v>
      </c>
      <c r="AG135" s="164">
        <f>($L135*'Pivot Objective'!$C$9^6)*AE135*AF135</f>
        <v>9751592.6989996582</v>
      </c>
      <c r="AH135" s="161">
        <v>25</v>
      </c>
      <c r="AI135" s="161">
        <v>5</v>
      </c>
      <c r="AJ135" s="164">
        <f>($L135*'Pivot Objective'!$C$9^7)*AH135*AI135</f>
        <v>11145301.025037881</v>
      </c>
      <c r="AK135" s="185">
        <f t="shared" si="16"/>
        <v>54141201.243064374</v>
      </c>
      <c r="AL135" s="186">
        <f t="shared" si="17"/>
        <v>52564.273051518809</v>
      </c>
    </row>
    <row r="136" spans="1:38" ht="57.6" x14ac:dyDescent="0.3">
      <c r="A136" s="151" t="s">
        <v>1440</v>
      </c>
      <c r="B136" s="151">
        <v>1</v>
      </c>
      <c r="C136" s="152" t="s">
        <v>836</v>
      </c>
      <c r="D136" s="151" t="str">
        <f t="shared" si="12"/>
        <v>1</v>
      </c>
      <c r="E136" s="153" t="s">
        <v>837</v>
      </c>
      <c r="F136" s="151">
        <f t="shared" si="13"/>
        <v>3</v>
      </c>
      <c r="G136" s="151" t="str">
        <f t="shared" si="14"/>
        <v>1.1.3</v>
      </c>
      <c r="H136" s="156" t="s">
        <v>1681</v>
      </c>
      <c r="I136" s="159" t="s">
        <v>870</v>
      </c>
      <c r="J136" s="159" t="s">
        <v>1319</v>
      </c>
      <c r="K136" s="159" t="s">
        <v>716</v>
      </c>
      <c r="L136" s="160">
        <v>35000</v>
      </c>
      <c r="M136" s="161"/>
      <c r="N136" s="161"/>
      <c r="O136" s="164">
        <f t="shared" si="15"/>
        <v>0</v>
      </c>
      <c r="P136" s="161">
        <v>100</v>
      </c>
      <c r="Q136" s="161">
        <v>1</v>
      </c>
      <c r="R136" s="164">
        <f>$L136*'Pivot Objective'!$C$9*P136*Q136</f>
        <v>4000223.8394999993</v>
      </c>
      <c r="S136" s="161">
        <v>100</v>
      </c>
      <c r="T136" s="161">
        <v>1</v>
      </c>
      <c r="U136" s="164">
        <f>($L136*'Pivot Objective'!$C$9^2)*S136*T136</f>
        <v>4571940.2188868914</v>
      </c>
      <c r="V136" s="161">
        <v>100</v>
      </c>
      <c r="W136" s="161">
        <v>1</v>
      </c>
      <c r="X136" s="164">
        <f>($L136*'Pivot Objective'!$C$9^3)*V136*W136</f>
        <v>5225366.9303886257</v>
      </c>
      <c r="Y136" s="161">
        <v>100</v>
      </c>
      <c r="Z136" s="161">
        <v>1</v>
      </c>
      <c r="AA136" s="164">
        <f>($L136*'Pivot Objective'!$C$9^4)*Y136*Z136</f>
        <v>5972182.1043072902</v>
      </c>
      <c r="AB136" s="161">
        <v>100</v>
      </c>
      <c r="AC136" s="161">
        <v>1</v>
      </c>
      <c r="AD136" s="164">
        <f>($L136*'Pivot Objective'!$C$9^5)*AB136*AC136</f>
        <v>6825732.9221386546</v>
      </c>
      <c r="AE136" s="161">
        <v>100</v>
      </c>
      <c r="AF136" s="161">
        <v>1</v>
      </c>
      <c r="AG136" s="164">
        <f>($L136*'Pivot Objective'!$C$9^6)*AE136*AF136</f>
        <v>7801274.1591997268</v>
      </c>
      <c r="AH136" s="161">
        <v>100</v>
      </c>
      <c r="AI136" s="161">
        <v>1</v>
      </c>
      <c r="AJ136" s="164">
        <f>($L136*'Pivot Objective'!$C$9^7)*AH136*AI136</f>
        <v>8916240.8200303055</v>
      </c>
      <c r="AK136" s="185">
        <f t="shared" si="16"/>
        <v>43312960.994451493</v>
      </c>
      <c r="AL136" s="186">
        <f t="shared" si="17"/>
        <v>42051.418441215043</v>
      </c>
    </row>
    <row r="137" spans="1:38" ht="57.6" x14ac:dyDescent="0.3">
      <c r="A137" s="151" t="s">
        <v>1440</v>
      </c>
      <c r="B137" s="151">
        <v>1</v>
      </c>
      <c r="C137" s="152" t="s">
        <v>836</v>
      </c>
      <c r="D137" s="151" t="str">
        <f t="shared" si="12"/>
        <v>1</v>
      </c>
      <c r="E137" s="153" t="s">
        <v>837</v>
      </c>
      <c r="F137" s="151">
        <f t="shared" si="13"/>
        <v>3</v>
      </c>
      <c r="G137" s="151" t="str">
        <f t="shared" si="14"/>
        <v>1.1.3</v>
      </c>
      <c r="H137" s="156" t="s">
        <v>1681</v>
      </c>
      <c r="I137" s="159" t="s">
        <v>870</v>
      </c>
      <c r="J137" s="159" t="s">
        <v>1319</v>
      </c>
      <c r="K137" s="159" t="s">
        <v>709</v>
      </c>
      <c r="L137" s="160">
        <v>39000</v>
      </c>
      <c r="M137" s="161"/>
      <c r="N137" s="161"/>
      <c r="O137" s="164">
        <f t="shared" si="15"/>
        <v>0</v>
      </c>
      <c r="P137" s="161">
        <v>58</v>
      </c>
      <c r="Q137" s="161">
        <v>2</v>
      </c>
      <c r="R137" s="164">
        <f>$L137*'Pivot Objective'!$C$9*P137*Q137</f>
        <v>5170575.0428279992</v>
      </c>
      <c r="S137" s="161">
        <v>58</v>
      </c>
      <c r="T137" s="161">
        <v>2</v>
      </c>
      <c r="U137" s="164">
        <f>($L137*'Pivot Objective'!$C$9^2)*S137*T137</f>
        <v>5909559.3000697987</v>
      </c>
      <c r="V137" s="161">
        <v>58</v>
      </c>
      <c r="W137" s="161">
        <v>2</v>
      </c>
      <c r="X137" s="164">
        <f>($L137*'Pivot Objective'!$C$9^3)*V137*W137</f>
        <v>6754159.9980223263</v>
      </c>
      <c r="Y137" s="161">
        <v>58</v>
      </c>
      <c r="Z137" s="161">
        <v>2</v>
      </c>
      <c r="AA137" s="164">
        <f>($L137*'Pivot Objective'!$C$9^4)*Y137*Z137</f>
        <v>7719471.9542531949</v>
      </c>
      <c r="AB137" s="161">
        <v>58</v>
      </c>
      <c r="AC137" s="161">
        <v>2</v>
      </c>
      <c r="AD137" s="164">
        <f>($L137*'Pivot Objective'!$C$9^5)*AB137*AC137</f>
        <v>8822747.3542157933</v>
      </c>
      <c r="AE137" s="161">
        <v>58</v>
      </c>
      <c r="AF137" s="161">
        <v>2</v>
      </c>
      <c r="AG137" s="164">
        <f>($L137*'Pivot Objective'!$C$9^6)*AE137*AF137</f>
        <v>10083704.084634162</v>
      </c>
      <c r="AH137" s="161">
        <v>58</v>
      </c>
      <c r="AI137" s="161">
        <v>2</v>
      </c>
      <c r="AJ137" s="164">
        <f>($L137*'Pivot Objective'!$C$9^7)*AH137*AI137</f>
        <v>11524878.134233456</v>
      </c>
      <c r="AK137" s="185">
        <f t="shared" si="16"/>
        <v>55985095.868256733</v>
      </c>
      <c r="AL137" s="186">
        <f t="shared" si="17"/>
        <v>54354.462008016242</v>
      </c>
    </row>
    <row r="138" spans="1:38" ht="57.6" x14ac:dyDescent="0.3">
      <c r="A138" s="151" t="s">
        <v>1440</v>
      </c>
      <c r="B138" s="151">
        <v>1</v>
      </c>
      <c r="C138" s="152" t="s">
        <v>836</v>
      </c>
      <c r="D138" s="151" t="str">
        <f t="shared" si="12"/>
        <v>1</v>
      </c>
      <c r="E138" s="153" t="s">
        <v>837</v>
      </c>
      <c r="F138" s="151">
        <f t="shared" si="13"/>
        <v>3</v>
      </c>
      <c r="G138" s="151" t="str">
        <f t="shared" si="14"/>
        <v>1.1.3</v>
      </c>
      <c r="H138" s="156" t="s">
        <v>1681</v>
      </c>
      <c r="I138" s="159" t="s">
        <v>870</v>
      </c>
      <c r="J138" s="159" t="s">
        <v>1319</v>
      </c>
      <c r="K138" s="159" t="s">
        <v>1299</v>
      </c>
      <c r="L138" s="160">
        <f>1999/7</f>
        <v>285.57142857142856</v>
      </c>
      <c r="M138" s="161"/>
      <c r="N138" s="161"/>
      <c r="O138" s="164">
        <f t="shared" si="15"/>
        <v>0</v>
      </c>
      <c r="P138" s="161">
        <f>25*135*2</f>
        <v>6750</v>
      </c>
      <c r="Q138" s="161">
        <v>1</v>
      </c>
      <c r="R138" s="164">
        <f>$L138*'Pivot Objective'!$C$9*P138*Q138</f>
        <v>2203102.8702993211</v>
      </c>
      <c r="S138" s="161">
        <f>25*135*2</f>
        <v>6750</v>
      </c>
      <c r="T138" s="161">
        <v>1</v>
      </c>
      <c r="U138" s="164">
        <f>($L138*'Pivot Objective'!$C$9^2)*S138*T138</f>
        <v>2517972.7493263488</v>
      </c>
      <c r="V138" s="161">
        <f>25*135*2</f>
        <v>6750</v>
      </c>
      <c r="W138" s="161">
        <v>1</v>
      </c>
      <c r="X138" s="164">
        <f>($L138*'Pivot Objective'!$C$9^3)*V138*W138</f>
        <v>2877844.1768761761</v>
      </c>
      <c r="Y138" s="161">
        <f>25*135*2</f>
        <v>6750</v>
      </c>
      <c r="Z138" s="161">
        <v>1</v>
      </c>
      <c r="AA138" s="164">
        <f>($L138*'Pivot Objective'!$C$9^4)*Y138*Z138</f>
        <v>3289148.8236303809</v>
      </c>
      <c r="AB138" s="161">
        <f>25*135*2</f>
        <v>6750</v>
      </c>
      <c r="AC138" s="161">
        <v>1</v>
      </c>
      <c r="AD138" s="164">
        <f>($L138*'Pivot Objective'!$C$9^5)*AB138*AC138</f>
        <v>3759237.5816998943</v>
      </c>
      <c r="AE138" s="161">
        <f>25*135*2</f>
        <v>6750</v>
      </c>
      <c r="AF138" s="161">
        <v>1</v>
      </c>
      <c r="AG138" s="164">
        <f>($L138*'Pivot Objective'!$C$9^6)*AE138*AF138</f>
        <v>4296511.9407600695</v>
      </c>
      <c r="AH138" s="161">
        <f>25*135*2</f>
        <v>6750</v>
      </c>
      <c r="AI138" s="161">
        <v>1</v>
      </c>
      <c r="AJ138" s="164">
        <f>($L138*'Pivot Objective'!$C$9^7)*AH138*AI138</f>
        <v>4910574.1406070981</v>
      </c>
      <c r="AK138" s="185">
        <f t="shared" si="16"/>
        <v>23854392.283199288</v>
      </c>
      <c r="AL138" s="186">
        <f t="shared" si="17"/>
        <v>23159.604158445909</v>
      </c>
    </row>
    <row r="139" spans="1:38" ht="57.6" x14ac:dyDescent="0.3">
      <c r="A139" s="151" t="s">
        <v>1440</v>
      </c>
      <c r="B139" s="151">
        <v>1</v>
      </c>
      <c r="C139" s="152" t="s">
        <v>836</v>
      </c>
      <c r="D139" s="151" t="str">
        <f t="shared" si="12"/>
        <v>1</v>
      </c>
      <c r="E139" s="153" t="s">
        <v>837</v>
      </c>
      <c r="F139" s="151">
        <f t="shared" si="13"/>
        <v>3</v>
      </c>
      <c r="G139" s="151" t="str">
        <f t="shared" si="14"/>
        <v>1.1.3</v>
      </c>
      <c r="H139" s="156" t="s">
        <v>1681</v>
      </c>
      <c r="I139" s="159" t="s">
        <v>870</v>
      </c>
      <c r="J139" s="159" t="s">
        <v>1319</v>
      </c>
      <c r="K139" s="159" t="s">
        <v>712</v>
      </c>
      <c r="L139" s="160">
        <f>1999/7</f>
        <v>285.57142857142856</v>
      </c>
      <c r="M139" s="161"/>
      <c r="N139" s="161"/>
      <c r="O139" s="164">
        <f t="shared" si="15"/>
        <v>0</v>
      </c>
      <c r="P139" s="161">
        <f>25*2*29</f>
        <v>1450</v>
      </c>
      <c r="Q139" s="161">
        <v>1</v>
      </c>
      <c r="R139" s="164">
        <f>$L139*'Pivot Objective'!$C$9*P139*Q139</f>
        <v>473259.13510133565</v>
      </c>
      <c r="S139" s="161">
        <f>25*2*29</f>
        <v>1450</v>
      </c>
      <c r="T139" s="161">
        <v>1</v>
      </c>
      <c r="U139" s="164">
        <f>($L139*'Pivot Objective'!$C$9^2)*S139*T139</f>
        <v>540897.84985528968</v>
      </c>
      <c r="V139" s="161">
        <f>25*2*29</f>
        <v>1450</v>
      </c>
      <c r="W139" s="161">
        <v>1</v>
      </c>
      <c r="X139" s="164">
        <f>($L139*'Pivot Objective'!$C$9^3)*V139*W139</f>
        <v>618203.56392154901</v>
      </c>
      <c r="Y139" s="161">
        <f>25*2*29</f>
        <v>1450</v>
      </c>
      <c r="Z139" s="161">
        <v>1</v>
      </c>
      <c r="AA139" s="164">
        <f>($L139*'Pivot Objective'!$C$9^4)*Y139*Z139</f>
        <v>706557.89544652624</v>
      </c>
      <c r="AB139" s="161">
        <f>25*2*29</f>
        <v>1450</v>
      </c>
      <c r="AC139" s="161">
        <v>1</v>
      </c>
      <c r="AD139" s="164">
        <f>($L139*'Pivot Objective'!$C$9^5)*AB139*AC139</f>
        <v>807539.92495775502</v>
      </c>
      <c r="AE139" s="161">
        <f>25*2*29</f>
        <v>1450</v>
      </c>
      <c r="AF139" s="161">
        <v>1</v>
      </c>
      <c r="AG139" s="164">
        <f>($L139*'Pivot Objective'!$C$9^6)*AE139*AF139</f>
        <v>922954.416904015</v>
      </c>
      <c r="AH139" s="161">
        <f>25*2*29</f>
        <v>1450</v>
      </c>
      <c r="AI139" s="161">
        <v>1</v>
      </c>
      <c r="AJ139" s="164">
        <f>($L139*'Pivot Objective'!$C$9^7)*AH139*AI139</f>
        <v>1054864.0746489323</v>
      </c>
      <c r="AK139" s="185">
        <f t="shared" si="16"/>
        <v>5124276.8608354032</v>
      </c>
      <c r="AL139" s="186">
        <f t="shared" si="17"/>
        <v>4975.0260784809743</v>
      </c>
    </row>
    <row r="140" spans="1:38" ht="57.6" x14ac:dyDescent="0.3">
      <c r="A140" s="151" t="s">
        <v>1440</v>
      </c>
      <c r="B140" s="151">
        <v>1</v>
      </c>
      <c r="C140" s="152" t="s">
        <v>836</v>
      </c>
      <c r="D140" s="151" t="str">
        <f t="shared" si="12"/>
        <v>1</v>
      </c>
      <c r="E140" s="153" t="s">
        <v>837</v>
      </c>
      <c r="F140" s="151">
        <f t="shared" si="13"/>
        <v>3</v>
      </c>
      <c r="G140" s="151" t="str">
        <f t="shared" si="14"/>
        <v>1.1.3</v>
      </c>
      <c r="H140" s="156" t="s">
        <v>1681</v>
      </c>
      <c r="I140" s="159" t="s">
        <v>874</v>
      </c>
      <c r="J140" s="159" t="s">
        <v>875</v>
      </c>
      <c r="K140" s="159" t="s">
        <v>841</v>
      </c>
      <c r="L140" s="160">
        <v>0</v>
      </c>
      <c r="M140" s="161">
        <v>0</v>
      </c>
      <c r="N140" s="161">
        <v>0</v>
      </c>
      <c r="O140" s="164">
        <f t="shared" si="15"/>
        <v>0</v>
      </c>
      <c r="P140" s="161">
        <v>25</v>
      </c>
      <c r="Q140" s="161">
        <v>5</v>
      </c>
      <c r="R140" s="164">
        <f>$L140*'Pivot Objective'!$C$9*P140*Q140</f>
        <v>0</v>
      </c>
      <c r="S140" s="161">
        <v>25</v>
      </c>
      <c r="T140" s="161">
        <v>5</v>
      </c>
      <c r="U140" s="164">
        <f>($L140*'Pivot Objective'!$C$9^2)*S140*T140</f>
        <v>0</v>
      </c>
      <c r="V140" s="161">
        <v>25</v>
      </c>
      <c r="W140" s="161">
        <v>5</v>
      </c>
      <c r="X140" s="164">
        <f>($L140*'Pivot Objective'!$C$9^3)*V140*W140</f>
        <v>0</v>
      </c>
      <c r="Y140" s="161">
        <v>25</v>
      </c>
      <c r="Z140" s="161">
        <v>5</v>
      </c>
      <c r="AA140" s="164">
        <f>($L140*'Pivot Objective'!$C$9^4)*Y140*Z140</f>
        <v>0</v>
      </c>
      <c r="AB140" s="151"/>
      <c r="AC140" s="151"/>
      <c r="AD140" s="164">
        <f>($L140*'Pivot Objective'!$C$9^5)*AB140*AC140</f>
        <v>0</v>
      </c>
      <c r="AE140" s="151"/>
      <c r="AF140" s="151"/>
      <c r="AG140" s="164">
        <f>($L140*'Pivot Objective'!$C$9^6)*AE140*AF140</f>
        <v>0</v>
      </c>
      <c r="AH140" s="151"/>
      <c r="AI140" s="151"/>
      <c r="AJ140" s="164">
        <f>($L140*'Pivot Objective'!$C$9^7)*AH140*AI140</f>
        <v>0</v>
      </c>
      <c r="AK140" s="185">
        <f t="shared" si="16"/>
        <v>0</v>
      </c>
      <c r="AL140" s="186">
        <f t="shared" si="17"/>
        <v>0</v>
      </c>
    </row>
    <row r="141" spans="1:38" ht="57.6" x14ac:dyDescent="0.3">
      <c r="A141" s="151" t="s">
        <v>1440</v>
      </c>
      <c r="B141" s="151">
        <v>1</v>
      </c>
      <c r="C141" s="152" t="s">
        <v>836</v>
      </c>
      <c r="D141" s="151" t="str">
        <f t="shared" si="12"/>
        <v>1</v>
      </c>
      <c r="E141" s="153" t="s">
        <v>837</v>
      </c>
      <c r="F141" s="151">
        <f t="shared" si="13"/>
        <v>3</v>
      </c>
      <c r="G141" s="151" t="str">
        <f t="shared" si="14"/>
        <v>1.1.3</v>
      </c>
      <c r="H141" s="156" t="s">
        <v>1681</v>
      </c>
      <c r="I141" s="159" t="s">
        <v>876</v>
      </c>
      <c r="J141" s="159" t="s">
        <v>877</v>
      </c>
      <c r="K141" s="159" t="s">
        <v>841</v>
      </c>
      <c r="L141" s="160">
        <v>0</v>
      </c>
      <c r="M141" s="161">
        <v>0</v>
      </c>
      <c r="N141" s="161">
        <v>0</v>
      </c>
      <c r="O141" s="164">
        <f t="shared" si="15"/>
        <v>0</v>
      </c>
      <c r="P141" s="161">
        <v>0</v>
      </c>
      <c r="Q141" s="161">
        <v>0</v>
      </c>
      <c r="R141" s="164">
        <f>$L141*'Pivot Objective'!$C$9*P141*Q141</f>
        <v>0</v>
      </c>
      <c r="S141" s="161">
        <v>0</v>
      </c>
      <c r="T141" s="161">
        <v>0</v>
      </c>
      <c r="U141" s="164">
        <f>($L141*'Pivot Objective'!$C$9^2)*S141*T141</f>
        <v>0</v>
      </c>
      <c r="V141" s="161">
        <v>0</v>
      </c>
      <c r="W141" s="161">
        <v>0</v>
      </c>
      <c r="X141" s="164">
        <f>($L141*'Pivot Objective'!$C$9^3)*V141*W141</f>
        <v>0</v>
      </c>
      <c r="Y141" s="161">
        <v>0</v>
      </c>
      <c r="Z141" s="161">
        <v>0</v>
      </c>
      <c r="AA141" s="164">
        <f>($L141*'Pivot Objective'!$C$9^4)*Y141*Z141</f>
        <v>0</v>
      </c>
      <c r="AB141" s="151"/>
      <c r="AC141" s="151"/>
      <c r="AD141" s="164">
        <f>($L141*'Pivot Objective'!$C$9^5)*AB141*AC141</f>
        <v>0</v>
      </c>
      <c r="AE141" s="151"/>
      <c r="AF141" s="151"/>
      <c r="AG141" s="164">
        <f>($L141*'Pivot Objective'!$C$9^6)*AE141*AF141</f>
        <v>0</v>
      </c>
      <c r="AH141" s="151"/>
      <c r="AI141" s="151"/>
      <c r="AJ141" s="164">
        <f>($L141*'Pivot Objective'!$C$9^7)*AH141*AI141</f>
        <v>0</v>
      </c>
      <c r="AK141" s="185">
        <f t="shared" si="16"/>
        <v>0</v>
      </c>
      <c r="AL141" s="186">
        <f t="shared" si="17"/>
        <v>0</v>
      </c>
    </row>
    <row r="142" spans="1:38" ht="57.6" x14ac:dyDescent="0.3">
      <c r="A142" s="151" t="s">
        <v>1440</v>
      </c>
      <c r="B142" s="151">
        <v>1</v>
      </c>
      <c r="C142" s="152" t="s">
        <v>836</v>
      </c>
      <c r="D142" s="151" t="str">
        <f t="shared" si="12"/>
        <v>1</v>
      </c>
      <c r="E142" s="153" t="s">
        <v>837</v>
      </c>
      <c r="F142" s="151">
        <f t="shared" si="13"/>
        <v>3</v>
      </c>
      <c r="G142" s="151" t="str">
        <f t="shared" si="14"/>
        <v>1.1.3</v>
      </c>
      <c r="H142" s="156" t="s">
        <v>1681</v>
      </c>
      <c r="I142" s="159" t="s">
        <v>876</v>
      </c>
      <c r="J142" s="159" t="s">
        <v>878</v>
      </c>
      <c r="K142" s="159" t="s">
        <v>709</v>
      </c>
      <c r="L142" s="160">
        <v>35000</v>
      </c>
      <c r="M142" s="161">
        <v>30</v>
      </c>
      <c r="N142" s="161">
        <v>4</v>
      </c>
      <c r="O142" s="164">
        <f t="shared" si="15"/>
        <v>4200000</v>
      </c>
      <c r="P142" s="161">
        <v>30</v>
      </c>
      <c r="Q142" s="161">
        <v>4</v>
      </c>
      <c r="R142" s="164">
        <f>$L142*'Pivot Objective'!$C$9*P142*Q142</f>
        <v>4800268.6073999992</v>
      </c>
      <c r="S142" s="161">
        <v>30</v>
      </c>
      <c r="T142" s="161">
        <v>4</v>
      </c>
      <c r="U142" s="164">
        <f>($L142*'Pivot Objective'!$C$9^2)*S142*T142</f>
        <v>5486328.2626642687</v>
      </c>
      <c r="V142" s="161">
        <v>30</v>
      </c>
      <c r="W142" s="161">
        <v>4</v>
      </c>
      <c r="X142" s="164">
        <f>($L142*'Pivot Objective'!$C$9^3)*V142*W142</f>
        <v>6270440.316466351</v>
      </c>
      <c r="Y142" s="161">
        <v>30</v>
      </c>
      <c r="Z142" s="161">
        <v>4</v>
      </c>
      <c r="AA142" s="164">
        <f>($L142*'Pivot Objective'!$C$9^4)*Y142*Z142</f>
        <v>7166618.5251687486</v>
      </c>
      <c r="AB142" s="161">
        <v>30</v>
      </c>
      <c r="AC142" s="161">
        <v>4</v>
      </c>
      <c r="AD142" s="164">
        <f>($L142*'Pivot Objective'!$C$9^5)*AB142*AC142</f>
        <v>8190879.5065663857</v>
      </c>
      <c r="AE142" s="161">
        <v>30</v>
      </c>
      <c r="AF142" s="161">
        <v>4</v>
      </c>
      <c r="AG142" s="164">
        <f>($L142*'Pivot Objective'!$C$9^6)*AE142*AF142</f>
        <v>9361528.9910396729</v>
      </c>
      <c r="AH142" s="151"/>
      <c r="AI142" s="151"/>
      <c r="AJ142" s="164">
        <f>($L142*'Pivot Objective'!$C$9^7)*AH142*AI142</f>
        <v>0</v>
      </c>
      <c r="AK142" s="185">
        <f t="shared" si="16"/>
        <v>45476064.209305421</v>
      </c>
      <c r="AL142" s="186">
        <f t="shared" si="17"/>
        <v>44151.518649811085</v>
      </c>
    </row>
    <row r="143" spans="1:38" ht="57.6" x14ac:dyDescent="0.3">
      <c r="A143" s="151" t="s">
        <v>1440</v>
      </c>
      <c r="B143" s="151">
        <v>1</v>
      </c>
      <c r="C143" s="152" t="s">
        <v>836</v>
      </c>
      <c r="D143" s="151" t="str">
        <f t="shared" si="12"/>
        <v>1</v>
      </c>
      <c r="E143" s="153" t="s">
        <v>837</v>
      </c>
      <c r="F143" s="151">
        <f t="shared" si="13"/>
        <v>3</v>
      </c>
      <c r="G143" s="151" t="str">
        <f t="shared" si="14"/>
        <v>1.1.3</v>
      </c>
      <c r="H143" s="156" t="s">
        <v>1681</v>
      </c>
      <c r="I143" s="159" t="s">
        <v>876</v>
      </c>
      <c r="J143" s="159" t="s">
        <v>878</v>
      </c>
      <c r="K143" s="159" t="s">
        <v>712</v>
      </c>
      <c r="L143" s="160">
        <f>1999/7</f>
        <v>285.57142857142856</v>
      </c>
      <c r="M143" s="161">
        <f>25*2*5</f>
        <v>250</v>
      </c>
      <c r="N143" s="161">
        <v>4</v>
      </c>
      <c r="O143" s="164">
        <f t="shared" si="15"/>
        <v>285571.42857142858</v>
      </c>
      <c r="P143" s="161">
        <f>25*2*5</f>
        <v>250</v>
      </c>
      <c r="Q143" s="161">
        <v>4</v>
      </c>
      <c r="R143" s="164">
        <f>$L143*'Pivot Objective'!$C$9*P143*Q143</f>
        <v>326385.6104147142</v>
      </c>
      <c r="S143" s="161">
        <f>25*2*5</f>
        <v>250</v>
      </c>
      <c r="T143" s="161">
        <v>4</v>
      </c>
      <c r="U143" s="164">
        <f>($L143*'Pivot Objective'!$C$9^2)*S143*T143</f>
        <v>373032.99990019982</v>
      </c>
      <c r="V143" s="161">
        <f>25*2*5</f>
        <v>250</v>
      </c>
      <c r="W143" s="161">
        <v>4</v>
      </c>
      <c r="X143" s="164">
        <f>($L143*'Pivot Objective'!$C$9^3)*V143*W143</f>
        <v>426347.2854631372</v>
      </c>
      <c r="Y143" s="161">
        <f>25*2*5</f>
        <v>250</v>
      </c>
      <c r="Z143" s="161">
        <v>4</v>
      </c>
      <c r="AA143" s="164">
        <f>($L143*'Pivot Objective'!$C$9^4)*Y143*Z143</f>
        <v>487281.30720450089</v>
      </c>
      <c r="AB143" s="161">
        <f>25*2*5</f>
        <v>250</v>
      </c>
      <c r="AC143" s="161">
        <v>4</v>
      </c>
      <c r="AD143" s="164">
        <f>($L143*'Pivot Objective'!$C$9^5)*AB143*AC143</f>
        <v>556924.08617776213</v>
      </c>
      <c r="AE143" s="161">
        <f>25*2*5</f>
        <v>250</v>
      </c>
      <c r="AF143" s="161">
        <v>4</v>
      </c>
      <c r="AG143" s="164">
        <f>($L143*'Pivot Objective'!$C$9^6)*AE143*AF143</f>
        <v>636520.28752001037</v>
      </c>
      <c r="AH143" s="151"/>
      <c r="AI143" s="151"/>
      <c r="AJ143" s="164">
        <f>($L143*'Pivot Objective'!$C$9^7)*AH143*AI143</f>
        <v>0</v>
      </c>
      <c r="AK143" s="185">
        <f t="shared" si="16"/>
        <v>3092063.0052517531</v>
      </c>
      <c r="AL143" s="186">
        <f t="shared" si="17"/>
        <v>3002.0029177201486</v>
      </c>
    </row>
    <row r="144" spans="1:38" ht="57.6" x14ac:dyDescent="0.3">
      <c r="A144" s="151" t="s">
        <v>1440</v>
      </c>
      <c r="B144" s="151">
        <v>1</v>
      </c>
      <c r="C144" s="152" t="s">
        <v>836</v>
      </c>
      <c r="D144" s="151" t="str">
        <f t="shared" si="12"/>
        <v>1</v>
      </c>
      <c r="E144" s="153" t="s">
        <v>837</v>
      </c>
      <c r="F144" s="151">
        <f t="shared" si="13"/>
        <v>4</v>
      </c>
      <c r="G144" s="151" t="str">
        <f t="shared" si="14"/>
        <v>1.1.4</v>
      </c>
      <c r="H144" s="156" t="s">
        <v>1682</v>
      </c>
      <c r="I144" s="159" t="s">
        <v>880</v>
      </c>
      <c r="J144" s="159" t="s">
        <v>881</v>
      </c>
      <c r="K144" s="159" t="s">
        <v>709</v>
      </c>
      <c r="L144" s="160">
        <v>35000</v>
      </c>
      <c r="M144" s="161"/>
      <c r="N144" s="161"/>
      <c r="O144" s="164">
        <f t="shared" si="15"/>
        <v>0</v>
      </c>
      <c r="P144" s="161"/>
      <c r="Q144" s="161"/>
      <c r="R144" s="164">
        <f>$L144*'Pivot Objective'!$C$9*P144*Q144</f>
        <v>0</v>
      </c>
      <c r="S144" s="161">
        <v>5</v>
      </c>
      <c r="T144" s="161">
        <v>10</v>
      </c>
      <c r="U144" s="164">
        <f>($L144*'Pivot Objective'!$C$9^2)*S144*T144</f>
        <v>2285970.1094434452</v>
      </c>
      <c r="V144" s="161">
        <v>1</v>
      </c>
      <c r="W144" s="161">
        <v>4000</v>
      </c>
      <c r="X144" s="164">
        <f>($L144*'Pivot Objective'!$C$9^3)*V144*W144</f>
        <v>209014677.21554503</v>
      </c>
      <c r="Y144" s="161">
        <v>1</v>
      </c>
      <c r="Z144" s="161">
        <v>4000</v>
      </c>
      <c r="AA144" s="164">
        <f>($L144*'Pivot Objective'!$C$9^4)*Y144*Z144</f>
        <v>238887284.17229161</v>
      </c>
      <c r="AB144" s="151"/>
      <c r="AC144" s="151"/>
      <c r="AD144" s="164">
        <f>($L144*'Pivot Objective'!$C$9^5)*AB144*AC144</f>
        <v>0</v>
      </c>
      <c r="AE144" s="151"/>
      <c r="AF144" s="151"/>
      <c r="AG144" s="164">
        <f>($L144*'Pivot Objective'!$C$9^6)*AE144*AF144</f>
        <v>0</v>
      </c>
      <c r="AH144" s="151"/>
      <c r="AI144" s="151"/>
      <c r="AJ144" s="164">
        <f>($L144*'Pivot Objective'!$C$9^7)*AH144*AI144</f>
        <v>0</v>
      </c>
      <c r="AK144" s="185">
        <f t="shared" si="16"/>
        <v>450187931.49728012</v>
      </c>
      <c r="AL144" s="186">
        <f t="shared" si="17"/>
        <v>437075.66164784477</v>
      </c>
    </row>
    <row r="145" spans="1:38" ht="57.6" x14ac:dyDescent="0.3">
      <c r="A145" s="151" t="s">
        <v>1440</v>
      </c>
      <c r="B145" s="151">
        <v>1</v>
      </c>
      <c r="C145" s="152" t="s">
        <v>836</v>
      </c>
      <c r="D145" s="151" t="str">
        <f t="shared" si="12"/>
        <v>1</v>
      </c>
      <c r="E145" s="153" t="s">
        <v>837</v>
      </c>
      <c r="F145" s="151">
        <f t="shared" si="13"/>
        <v>4</v>
      </c>
      <c r="G145" s="151" t="str">
        <f t="shared" si="14"/>
        <v>1.1.4</v>
      </c>
      <c r="H145" s="156" t="s">
        <v>1682</v>
      </c>
      <c r="I145" s="159" t="s">
        <v>880</v>
      </c>
      <c r="J145" s="159" t="s">
        <v>881</v>
      </c>
      <c r="K145" s="159" t="s">
        <v>712</v>
      </c>
      <c r="L145" s="160">
        <f>1999/7</f>
        <v>285.57142857142856</v>
      </c>
      <c r="M145" s="161"/>
      <c r="N145" s="161"/>
      <c r="O145" s="164">
        <f t="shared" si="15"/>
        <v>0</v>
      </c>
      <c r="P145" s="161">
        <v>0</v>
      </c>
      <c r="Q145" s="161">
        <v>0</v>
      </c>
      <c r="R145" s="164">
        <f>$L145*'Pivot Objective'!$C$9*P145*Q145</f>
        <v>0</v>
      </c>
      <c r="S145" s="161">
        <f>25*2*10</f>
        <v>500</v>
      </c>
      <c r="T145" s="161">
        <f>10*5</f>
        <v>50</v>
      </c>
      <c r="U145" s="164">
        <f>($L145*'Pivot Objective'!$C$9^2)*S145*T145</f>
        <v>9325824.9975049961</v>
      </c>
      <c r="V145" s="161">
        <v>0</v>
      </c>
      <c r="W145" s="161">
        <v>0</v>
      </c>
      <c r="X145" s="164">
        <f>($L145*'Pivot Objective'!$C$9^3)*V145*W145</f>
        <v>0</v>
      </c>
      <c r="Y145" s="161">
        <v>0</v>
      </c>
      <c r="Z145" s="161">
        <v>0</v>
      </c>
      <c r="AA145" s="164">
        <f>($L145*'Pivot Objective'!$C$9^4)*Y145*Z145</f>
        <v>0</v>
      </c>
      <c r="AB145" s="151"/>
      <c r="AC145" s="151"/>
      <c r="AD145" s="164">
        <f>($L145*'Pivot Objective'!$C$9^5)*AB145*AC145</f>
        <v>0</v>
      </c>
      <c r="AE145" s="151"/>
      <c r="AF145" s="151"/>
      <c r="AG145" s="164">
        <f>($L145*'Pivot Objective'!$C$9^6)*AE145*AF145</f>
        <v>0</v>
      </c>
      <c r="AH145" s="151"/>
      <c r="AI145" s="151"/>
      <c r="AJ145" s="164">
        <f>($L145*'Pivot Objective'!$C$9^7)*AH145*AI145</f>
        <v>0</v>
      </c>
      <c r="AK145" s="185">
        <f t="shared" si="16"/>
        <v>9325824.9975049961</v>
      </c>
      <c r="AL145" s="186">
        <f t="shared" si="17"/>
        <v>9054.19902670388</v>
      </c>
    </row>
    <row r="146" spans="1:38" ht="57.6" x14ac:dyDescent="0.3">
      <c r="A146" s="151" t="s">
        <v>1440</v>
      </c>
      <c r="B146" s="151">
        <v>1</v>
      </c>
      <c r="C146" s="152" t="s">
        <v>836</v>
      </c>
      <c r="D146" s="151" t="str">
        <f t="shared" si="12"/>
        <v>1</v>
      </c>
      <c r="E146" s="153" t="s">
        <v>837</v>
      </c>
      <c r="F146" s="151">
        <f t="shared" si="13"/>
        <v>4</v>
      </c>
      <c r="G146" s="151" t="str">
        <f t="shared" si="14"/>
        <v>1.1.4</v>
      </c>
      <c r="H146" s="156" t="s">
        <v>1682</v>
      </c>
      <c r="I146" s="159" t="s">
        <v>880</v>
      </c>
      <c r="J146" s="159" t="s">
        <v>882</v>
      </c>
      <c r="K146" s="159" t="s">
        <v>841</v>
      </c>
      <c r="L146" s="160">
        <v>0</v>
      </c>
      <c r="M146" s="161"/>
      <c r="N146" s="161"/>
      <c r="O146" s="164">
        <f t="shared" si="15"/>
        <v>0</v>
      </c>
      <c r="P146" s="161">
        <v>0</v>
      </c>
      <c r="Q146" s="161">
        <v>0</v>
      </c>
      <c r="R146" s="164">
        <f>$L146*'Pivot Objective'!$C$9*P146*Q146</f>
        <v>0</v>
      </c>
      <c r="S146" s="161">
        <v>0</v>
      </c>
      <c r="T146" s="161">
        <v>0</v>
      </c>
      <c r="U146" s="164">
        <f>($L146*'Pivot Objective'!$C$9^2)*S146*T146</f>
        <v>0</v>
      </c>
      <c r="V146" s="161">
        <v>0</v>
      </c>
      <c r="W146" s="161">
        <v>0</v>
      </c>
      <c r="X146" s="164">
        <f>($L146*'Pivot Objective'!$C$9^3)*V146*W146</f>
        <v>0</v>
      </c>
      <c r="Y146" s="161">
        <v>0</v>
      </c>
      <c r="Z146" s="161">
        <v>0</v>
      </c>
      <c r="AA146" s="164">
        <f>($L146*'Pivot Objective'!$C$9^4)*Y146*Z146</f>
        <v>0</v>
      </c>
      <c r="AB146" s="151"/>
      <c r="AC146" s="151"/>
      <c r="AD146" s="164">
        <f>($L146*'Pivot Objective'!$C$9^5)*AB146*AC146</f>
        <v>0</v>
      </c>
      <c r="AE146" s="151"/>
      <c r="AF146" s="151"/>
      <c r="AG146" s="164">
        <f>($L146*'Pivot Objective'!$C$9^6)*AE146*AF146</f>
        <v>0</v>
      </c>
      <c r="AH146" s="151"/>
      <c r="AI146" s="151"/>
      <c r="AJ146" s="164">
        <f>($L146*'Pivot Objective'!$C$9^7)*AH146*AI146</f>
        <v>0</v>
      </c>
      <c r="AK146" s="185">
        <f t="shared" si="16"/>
        <v>0</v>
      </c>
      <c r="AL146" s="186">
        <f t="shared" si="17"/>
        <v>0</v>
      </c>
    </row>
    <row r="147" spans="1:38" ht="57.6" x14ac:dyDescent="0.3">
      <c r="A147" s="151" t="s">
        <v>1440</v>
      </c>
      <c r="B147" s="151">
        <v>1</v>
      </c>
      <c r="C147" s="152" t="s">
        <v>836</v>
      </c>
      <c r="D147" s="151" t="str">
        <f t="shared" si="12"/>
        <v>1</v>
      </c>
      <c r="E147" s="153" t="s">
        <v>837</v>
      </c>
      <c r="F147" s="151">
        <f t="shared" si="13"/>
        <v>4</v>
      </c>
      <c r="G147" s="151" t="str">
        <f t="shared" si="14"/>
        <v>1.1.4</v>
      </c>
      <c r="H147" s="156" t="s">
        <v>1682</v>
      </c>
      <c r="I147" s="159" t="s">
        <v>880</v>
      </c>
      <c r="J147" s="159" t="s">
        <v>160</v>
      </c>
      <c r="K147" s="159" t="s">
        <v>708</v>
      </c>
      <c r="L147" s="160">
        <f>500*1022</f>
        <v>511000</v>
      </c>
      <c r="M147" s="161"/>
      <c r="N147" s="161"/>
      <c r="O147" s="164">
        <f t="shared" si="15"/>
        <v>0</v>
      </c>
      <c r="P147" s="161">
        <v>0</v>
      </c>
      <c r="Q147" s="161">
        <v>0</v>
      </c>
      <c r="R147" s="164">
        <f>$L147*'Pivot Objective'!$C$9*P147*Q147</f>
        <v>0</v>
      </c>
      <c r="S147" s="161">
        <v>1</v>
      </c>
      <c r="T147" s="161">
        <v>25</v>
      </c>
      <c r="U147" s="164">
        <f>($L147*'Pivot Objective'!$C$9^2)*S147*T147</f>
        <v>16687581.798937155</v>
      </c>
      <c r="V147" s="161">
        <v>0</v>
      </c>
      <c r="W147" s="161">
        <v>0</v>
      </c>
      <c r="X147" s="164">
        <f>($L147*'Pivot Objective'!$C$9^3)*V147*W147</f>
        <v>0</v>
      </c>
      <c r="Y147" s="161">
        <v>0</v>
      </c>
      <c r="Z147" s="161">
        <v>0</v>
      </c>
      <c r="AA147" s="164">
        <f>($L147*'Pivot Objective'!$C$9^4)*Y147*Z147</f>
        <v>0</v>
      </c>
      <c r="AB147" s="151"/>
      <c r="AC147" s="151"/>
      <c r="AD147" s="164">
        <f>($L147*'Pivot Objective'!$C$9^5)*AB147*AC147</f>
        <v>0</v>
      </c>
      <c r="AE147" s="151"/>
      <c r="AF147" s="151"/>
      <c r="AG147" s="164">
        <f>($L147*'Pivot Objective'!$C$9^6)*AE147*AF147</f>
        <v>0</v>
      </c>
      <c r="AH147" s="151"/>
      <c r="AI147" s="151"/>
      <c r="AJ147" s="164">
        <f>($L147*'Pivot Objective'!$C$9^7)*AH147*AI147</f>
        <v>0</v>
      </c>
      <c r="AK147" s="185">
        <f t="shared" si="16"/>
        <v>16687581.798937155</v>
      </c>
      <c r="AL147" s="186">
        <f t="shared" si="17"/>
        <v>16201.535727123452</v>
      </c>
    </row>
    <row r="148" spans="1:38" ht="57.6" x14ac:dyDescent="0.3">
      <c r="A148" s="151" t="s">
        <v>1440</v>
      </c>
      <c r="B148" s="151">
        <v>1</v>
      </c>
      <c r="C148" s="152" t="s">
        <v>836</v>
      </c>
      <c r="D148" s="151" t="str">
        <f t="shared" si="12"/>
        <v>1</v>
      </c>
      <c r="E148" s="153" t="s">
        <v>837</v>
      </c>
      <c r="F148" s="151">
        <f t="shared" si="13"/>
        <v>4</v>
      </c>
      <c r="G148" s="151" t="str">
        <f t="shared" si="14"/>
        <v>1.1.4</v>
      </c>
      <c r="H148" s="156" t="s">
        <v>1682</v>
      </c>
      <c r="I148" s="159" t="s">
        <v>880</v>
      </c>
      <c r="J148" s="159" t="s">
        <v>160</v>
      </c>
      <c r="K148" s="159" t="s">
        <v>707</v>
      </c>
      <c r="L148" s="160">
        <v>391991.03749999998</v>
      </c>
      <c r="M148" s="161"/>
      <c r="N148" s="161"/>
      <c r="O148" s="164">
        <f t="shared" si="15"/>
        <v>0</v>
      </c>
      <c r="P148" s="161">
        <v>0</v>
      </c>
      <c r="Q148" s="161">
        <v>0</v>
      </c>
      <c r="R148" s="164">
        <f>$L148*'Pivot Objective'!$C$9*P148*Q148</f>
        <v>0</v>
      </c>
      <c r="S148" s="161">
        <v>2</v>
      </c>
      <c r="T148" s="161">
        <v>2</v>
      </c>
      <c r="U148" s="164">
        <f>($L148*'Pivot Objective'!$C$9^2)*S148*T148</f>
        <v>2048182.3883307995</v>
      </c>
      <c r="V148" s="161">
        <v>0</v>
      </c>
      <c r="W148" s="161">
        <v>0</v>
      </c>
      <c r="X148" s="164">
        <f>($L148*'Pivot Objective'!$C$9^3)*V148*W148</f>
        <v>0</v>
      </c>
      <c r="Y148" s="161">
        <v>0</v>
      </c>
      <c r="Z148" s="161">
        <v>0</v>
      </c>
      <c r="AA148" s="164">
        <f>($L148*'Pivot Objective'!$C$9^4)*Y148*Z148</f>
        <v>0</v>
      </c>
      <c r="AB148" s="151"/>
      <c r="AC148" s="151"/>
      <c r="AD148" s="164">
        <f>($L148*'Pivot Objective'!$C$9^5)*AB148*AC148</f>
        <v>0</v>
      </c>
      <c r="AE148" s="151"/>
      <c r="AF148" s="151"/>
      <c r="AG148" s="164">
        <f>($L148*'Pivot Objective'!$C$9^6)*AE148*AF148</f>
        <v>0</v>
      </c>
      <c r="AH148" s="151"/>
      <c r="AI148" s="151"/>
      <c r="AJ148" s="164">
        <f>($L148*'Pivot Objective'!$C$9^7)*AH148*AI148</f>
        <v>0</v>
      </c>
      <c r="AK148" s="185">
        <f t="shared" si="16"/>
        <v>2048182.3883307995</v>
      </c>
      <c r="AL148" s="186">
        <f t="shared" si="17"/>
        <v>1988.5265906124266</v>
      </c>
    </row>
    <row r="149" spans="1:38" ht="57.6" x14ac:dyDescent="0.3">
      <c r="A149" s="151" t="s">
        <v>1440</v>
      </c>
      <c r="B149" s="151">
        <v>1</v>
      </c>
      <c r="C149" s="152" t="s">
        <v>836</v>
      </c>
      <c r="D149" s="151" t="str">
        <f t="shared" si="12"/>
        <v>1</v>
      </c>
      <c r="E149" s="153" t="s">
        <v>837</v>
      </c>
      <c r="F149" s="151">
        <f t="shared" si="13"/>
        <v>4</v>
      </c>
      <c r="G149" s="151" t="str">
        <f t="shared" si="14"/>
        <v>1.1.4</v>
      </c>
      <c r="H149" s="156" t="s">
        <v>1682</v>
      </c>
      <c r="I149" s="159" t="s">
        <v>880</v>
      </c>
      <c r="J149" s="159" t="s">
        <v>1319</v>
      </c>
      <c r="K149" s="159" t="s">
        <v>716</v>
      </c>
      <c r="L149" s="160">
        <v>35000</v>
      </c>
      <c r="M149" s="161"/>
      <c r="N149" s="161"/>
      <c r="O149" s="164">
        <f t="shared" si="15"/>
        <v>0</v>
      </c>
      <c r="P149" s="161"/>
      <c r="Q149" s="161"/>
      <c r="R149" s="164">
        <f>$L149*'Pivot Objective'!$C$9*P149*Q149</f>
        <v>0</v>
      </c>
      <c r="S149" s="161">
        <v>100</v>
      </c>
      <c r="T149" s="161">
        <v>1</v>
      </c>
      <c r="U149" s="164">
        <f>($L149*'Pivot Objective'!$C$9^2)*S149*T149</f>
        <v>4571940.2188868914</v>
      </c>
      <c r="V149" s="161"/>
      <c r="W149" s="161"/>
      <c r="X149" s="164">
        <f>($L149*'Pivot Objective'!$C$9^3)*V149*W149</f>
        <v>0</v>
      </c>
      <c r="Y149" s="161"/>
      <c r="Z149" s="161"/>
      <c r="AA149" s="164">
        <f>($L149*'Pivot Objective'!$C$9^4)*Y149*Z149</f>
        <v>0</v>
      </c>
      <c r="AB149" s="151"/>
      <c r="AC149" s="151"/>
      <c r="AD149" s="164">
        <f>($L149*'Pivot Objective'!$C$9^5)*AB149*AC149</f>
        <v>0</v>
      </c>
      <c r="AE149" s="151"/>
      <c r="AF149" s="151"/>
      <c r="AG149" s="164">
        <f>($L149*'Pivot Objective'!$C$9^6)*AE149*AF149</f>
        <v>0</v>
      </c>
      <c r="AH149" s="151"/>
      <c r="AI149" s="151"/>
      <c r="AJ149" s="164">
        <f>($L149*'Pivot Objective'!$C$9^7)*AH149*AI149</f>
        <v>0</v>
      </c>
      <c r="AK149" s="185">
        <f t="shared" si="16"/>
        <v>4571940.2188868914</v>
      </c>
      <c r="AL149" s="186">
        <f t="shared" si="17"/>
        <v>4438.7769115406709</v>
      </c>
    </row>
    <row r="150" spans="1:38" ht="57.6" x14ac:dyDescent="0.3">
      <c r="A150" s="151" t="s">
        <v>1440</v>
      </c>
      <c r="B150" s="151">
        <v>1</v>
      </c>
      <c r="C150" s="152" t="s">
        <v>836</v>
      </c>
      <c r="D150" s="151" t="str">
        <f t="shared" si="12"/>
        <v>1</v>
      </c>
      <c r="E150" s="153" t="s">
        <v>837</v>
      </c>
      <c r="F150" s="151">
        <f t="shared" si="13"/>
        <v>4</v>
      </c>
      <c r="G150" s="151" t="str">
        <f t="shared" si="14"/>
        <v>1.1.4</v>
      </c>
      <c r="H150" s="156" t="s">
        <v>1682</v>
      </c>
      <c r="I150" s="159" t="s">
        <v>880</v>
      </c>
      <c r="J150" s="159" t="s">
        <v>1319</v>
      </c>
      <c r="K150" s="159" t="s">
        <v>709</v>
      </c>
      <c r="L150" s="160">
        <v>39000</v>
      </c>
      <c r="M150" s="161"/>
      <c r="N150" s="161"/>
      <c r="O150" s="164">
        <f t="shared" si="15"/>
        <v>0</v>
      </c>
      <c r="P150" s="161"/>
      <c r="Q150" s="161"/>
      <c r="R150" s="164">
        <f>$L150*'Pivot Objective'!$C$9*P150*Q150</f>
        <v>0</v>
      </c>
      <c r="S150" s="161">
        <v>58</v>
      </c>
      <c r="T150" s="161">
        <v>2</v>
      </c>
      <c r="U150" s="164">
        <f>($L150*'Pivot Objective'!$C$9^2)*S150*T150</f>
        <v>5909559.3000697987</v>
      </c>
      <c r="V150" s="161"/>
      <c r="W150" s="161"/>
      <c r="X150" s="164">
        <f>($L150*'Pivot Objective'!$C$9^3)*V150*W150</f>
        <v>0</v>
      </c>
      <c r="Y150" s="161"/>
      <c r="Z150" s="161"/>
      <c r="AA150" s="164">
        <f>($L150*'Pivot Objective'!$C$9^4)*Y150*Z150</f>
        <v>0</v>
      </c>
      <c r="AB150" s="151"/>
      <c r="AC150" s="151"/>
      <c r="AD150" s="164">
        <f>($L150*'Pivot Objective'!$C$9^5)*AB150*AC150</f>
        <v>0</v>
      </c>
      <c r="AE150" s="151"/>
      <c r="AF150" s="151"/>
      <c r="AG150" s="164">
        <f>($L150*'Pivot Objective'!$C$9^6)*AE150*AF150</f>
        <v>0</v>
      </c>
      <c r="AH150" s="151"/>
      <c r="AI150" s="151"/>
      <c r="AJ150" s="164">
        <f>($L150*'Pivot Objective'!$C$9^7)*AH150*AI150</f>
        <v>0</v>
      </c>
      <c r="AK150" s="185">
        <f t="shared" si="16"/>
        <v>5909559.3000697987</v>
      </c>
      <c r="AL150" s="186">
        <f t="shared" si="17"/>
        <v>5737.4362136599984</v>
      </c>
    </row>
    <row r="151" spans="1:38" ht="57.6" x14ac:dyDescent="0.3">
      <c r="A151" s="151" t="s">
        <v>1440</v>
      </c>
      <c r="B151" s="151">
        <v>1</v>
      </c>
      <c r="C151" s="152" t="s">
        <v>836</v>
      </c>
      <c r="D151" s="151" t="str">
        <f t="shared" si="12"/>
        <v>1</v>
      </c>
      <c r="E151" s="153" t="s">
        <v>837</v>
      </c>
      <c r="F151" s="151">
        <f t="shared" si="13"/>
        <v>4</v>
      </c>
      <c r="G151" s="151" t="str">
        <f t="shared" si="14"/>
        <v>1.1.4</v>
      </c>
      <c r="H151" s="156" t="s">
        <v>1682</v>
      </c>
      <c r="I151" s="159" t="s">
        <v>880</v>
      </c>
      <c r="J151" s="159" t="s">
        <v>1319</v>
      </c>
      <c r="K151" s="159" t="s">
        <v>1299</v>
      </c>
      <c r="L151" s="160">
        <f>1999/7</f>
        <v>285.57142857142856</v>
      </c>
      <c r="M151" s="161"/>
      <c r="N151" s="161"/>
      <c r="O151" s="164">
        <f t="shared" si="15"/>
        <v>0</v>
      </c>
      <c r="P151" s="161"/>
      <c r="Q151" s="161"/>
      <c r="R151" s="164">
        <f>$L151*'Pivot Objective'!$C$9*P151*Q151</f>
        <v>0</v>
      </c>
      <c r="S151" s="161">
        <f>25*135*2</f>
        <v>6750</v>
      </c>
      <c r="T151" s="161">
        <v>1</v>
      </c>
      <c r="U151" s="164">
        <f>($L151*'Pivot Objective'!$C$9^2)*S151*T151</f>
        <v>2517972.7493263488</v>
      </c>
      <c r="V151" s="161"/>
      <c r="W151" s="161"/>
      <c r="X151" s="164">
        <f>($L151*'Pivot Objective'!$C$9^3)*V151*W151</f>
        <v>0</v>
      </c>
      <c r="Y151" s="161"/>
      <c r="Z151" s="161"/>
      <c r="AA151" s="164">
        <f>($L151*'Pivot Objective'!$C$9^4)*Y151*Z151</f>
        <v>0</v>
      </c>
      <c r="AB151" s="151"/>
      <c r="AC151" s="151"/>
      <c r="AD151" s="164">
        <f>($L151*'Pivot Objective'!$C$9^5)*AB151*AC151</f>
        <v>0</v>
      </c>
      <c r="AE151" s="151"/>
      <c r="AF151" s="151"/>
      <c r="AG151" s="164">
        <f>($L151*'Pivot Objective'!$C$9^6)*AE151*AF151</f>
        <v>0</v>
      </c>
      <c r="AH151" s="151"/>
      <c r="AI151" s="151"/>
      <c r="AJ151" s="164">
        <f>($L151*'Pivot Objective'!$C$9^7)*AH151*AI151</f>
        <v>0</v>
      </c>
      <c r="AK151" s="185">
        <f t="shared" si="16"/>
        <v>2517972.7493263488</v>
      </c>
      <c r="AL151" s="186">
        <f t="shared" si="17"/>
        <v>2444.6337372100475</v>
      </c>
    </row>
    <row r="152" spans="1:38" ht="57.6" x14ac:dyDescent="0.3">
      <c r="A152" s="151" t="s">
        <v>1440</v>
      </c>
      <c r="B152" s="151">
        <v>1</v>
      </c>
      <c r="C152" s="152" t="s">
        <v>836</v>
      </c>
      <c r="D152" s="151" t="str">
        <f t="shared" si="12"/>
        <v>1</v>
      </c>
      <c r="E152" s="153" t="s">
        <v>837</v>
      </c>
      <c r="F152" s="151">
        <f t="shared" si="13"/>
        <v>4</v>
      </c>
      <c r="G152" s="151" t="str">
        <f t="shared" si="14"/>
        <v>1.1.4</v>
      </c>
      <c r="H152" s="156" t="s">
        <v>1682</v>
      </c>
      <c r="I152" s="159" t="s">
        <v>880</v>
      </c>
      <c r="J152" s="159" t="s">
        <v>1319</v>
      </c>
      <c r="K152" s="159" t="s">
        <v>712</v>
      </c>
      <c r="L152" s="160">
        <f>1999/7</f>
        <v>285.57142857142856</v>
      </c>
      <c r="M152" s="161"/>
      <c r="N152" s="161"/>
      <c r="O152" s="164">
        <f t="shared" si="15"/>
        <v>0</v>
      </c>
      <c r="P152" s="161"/>
      <c r="Q152" s="161"/>
      <c r="R152" s="164">
        <f>$L152*'Pivot Objective'!$C$9*P152*Q152</f>
        <v>0</v>
      </c>
      <c r="S152" s="161">
        <f>25*2*29</f>
        <v>1450</v>
      </c>
      <c r="T152" s="161">
        <v>1</v>
      </c>
      <c r="U152" s="164">
        <f>($L152*'Pivot Objective'!$C$9^2)*S152*T152</f>
        <v>540897.84985528968</v>
      </c>
      <c r="V152" s="161"/>
      <c r="W152" s="161"/>
      <c r="X152" s="164">
        <f>($L152*'Pivot Objective'!$C$9^3)*V152*W152</f>
        <v>0</v>
      </c>
      <c r="Y152" s="161"/>
      <c r="Z152" s="161"/>
      <c r="AA152" s="164">
        <f>($L152*'Pivot Objective'!$C$9^4)*Y152*Z152</f>
        <v>0</v>
      </c>
      <c r="AB152" s="151"/>
      <c r="AC152" s="151"/>
      <c r="AD152" s="164">
        <f>($L152*'Pivot Objective'!$C$9^5)*AB152*AC152</f>
        <v>0</v>
      </c>
      <c r="AE152" s="151"/>
      <c r="AF152" s="151"/>
      <c r="AG152" s="164">
        <f>($L152*'Pivot Objective'!$C$9^6)*AE152*AF152</f>
        <v>0</v>
      </c>
      <c r="AH152" s="151"/>
      <c r="AI152" s="151"/>
      <c r="AJ152" s="164">
        <f>($L152*'Pivot Objective'!$C$9^7)*AH152*AI152</f>
        <v>0</v>
      </c>
      <c r="AK152" s="185">
        <f t="shared" si="16"/>
        <v>540897.84985528968</v>
      </c>
      <c r="AL152" s="186">
        <f t="shared" si="17"/>
        <v>525.14354354882494</v>
      </c>
    </row>
    <row r="153" spans="1:38" ht="57.6" x14ac:dyDescent="0.3">
      <c r="A153" s="151" t="s">
        <v>1440</v>
      </c>
      <c r="B153" s="151">
        <v>1</v>
      </c>
      <c r="C153" s="152" t="s">
        <v>836</v>
      </c>
      <c r="D153" s="151" t="str">
        <f t="shared" si="12"/>
        <v>1</v>
      </c>
      <c r="E153" s="153" t="s">
        <v>837</v>
      </c>
      <c r="F153" s="151">
        <f t="shared" si="13"/>
        <v>4</v>
      </c>
      <c r="G153" s="151" t="str">
        <f t="shared" si="14"/>
        <v>1.1.4</v>
      </c>
      <c r="H153" s="156" t="s">
        <v>1682</v>
      </c>
      <c r="I153" s="159" t="s">
        <v>880</v>
      </c>
      <c r="J153" s="159" t="s">
        <v>161</v>
      </c>
      <c r="K153" s="159" t="s">
        <v>709</v>
      </c>
      <c r="L153" s="160">
        <v>35000</v>
      </c>
      <c r="M153" s="161"/>
      <c r="N153" s="161"/>
      <c r="O153" s="164">
        <f t="shared" si="15"/>
        <v>0</v>
      </c>
      <c r="P153" s="161">
        <v>0</v>
      </c>
      <c r="Q153" s="161">
        <v>0</v>
      </c>
      <c r="R153" s="164">
        <f>$L153*'Pivot Objective'!$C$9*P153*Q153</f>
        <v>0</v>
      </c>
      <c r="S153" s="161">
        <v>100</v>
      </c>
      <c r="T153" s="161">
        <v>3</v>
      </c>
      <c r="U153" s="164">
        <f>($L153*'Pivot Objective'!$C$9^2)*S153*T153</f>
        <v>13715820.656660674</v>
      </c>
      <c r="V153" s="161">
        <v>0</v>
      </c>
      <c r="W153" s="161">
        <v>0</v>
      </c>
      <c r="X153" s="164">
        <f>($L153*'Pivot Objective'!$C$9^3)*V153*W153</f>
        <v>0</v>
      </c>
      <c r="Y153" s="161">
        <v>0</v>
      </c>
      <c r="Z153" s="161">
        <v>0</v>
      </c>
      <c r="AA153" s="164">
        <f>($L153*'Pivot Objective'!$C$9^4)*Y153*Z153</f>
        <v>0</v>
      </c>
      <c r="AB153" s="151"/>
      <c r="AC153" s="151"/>
      <c r="AD153" s="164">
        <f>($L153*'Pivot Objective'!$C$9^5)*AB153*AC153</f>
        <v>0</v>
      </c>
      <c r="AE153" s="151"/>
      <c r="AF153" s="151"/>
      <c r="AG153" s="164">
        <f>($L153*'Pivot Objective'!$C$9^6)*AE153*AF153</f>
        <v>0</v>
      </c>
      <c r="AH153" s="151"/>
      <c r="AI153" s="151"/>
      <c r="AJ153" s="164">
        <f>($L153*'Pivot Objective'!$C$9^7)*AH153*AI153</f>
        <v>0</v>
      </c>
      <c r="AK153" s="185">
        <f t="shared" si="16"/>
        <v>13715820.656660674</v>
      </c>
      <c r="AL153" s="186">
        <f t="shared" si="17"/>
        <v>13316.330734622014</v>
      </c>
    </row>
    <row r="154" spans="1:38" ht="57.6" x14ac:dyDescent="0.3">
      <c r="A154" s="151" t="s">
        <v>1440</v>
      </c>
      <c r="B154" s="151">
        <v>1</v>
      </c>
      <c r="C154" s="152" t="s">
        <v>836</v>
      </c>
      <c r="D154" s="151" t="str">
        <f t="shared" si="12"/>
        <v>1</v>
      </c>
      <c r="E154" s="153" t="s">
        <v>837</v>
      </c>
      <c r="F154" s="151">
        <f t="shared" si="13"/>
        <v>4</v>
      </c>
      <c r="G154" s="151" t="str">
        <f t="shared" si="14"/>
        <v>1.1.4</v>
      </c>
      <c r="H154" s="156" t="s">
        <v>1682</v>
      </c>
      <c r="I154" s="159" t="s">
        <v>880</v>
      </c>
      <c r="J154" s="159" t="s">
        <v>161</v>
      </c>
      <c r="K154" s="159" t="s">
        <v>716</v>
      </c>
      <c r="L154" s="160">
        <v>39000</v>
      </c>
      <c r="M154" s="161"/>
      <c r="N154" s="161"/>
      <c r="O154" s="164">
        <f t="shared" si="15"/>
        <v>0</v>
      </c>
      <c r="P154" s="161">
        <v>0</v>
      </c>
      <c r="Q154" s="161">
        <v>0</v>
      </c>
      <c r="R154" s="164">
        <f>$L154*'Pivot Objective'!$C$9*P154*Q154</f>
        <v>0</v>
      </c>
      <c r="S154" s="161">
        <v>58</v>
      </c>
      <c r="T154" s="161">
        <v>4</v>
      </c>
      <c r="U154" s="164">
        <f>($L154*'Pivot Objective'!$C$9^2)*S154*T154</f>
        <v>11819118.600139597</v>
      </c>
      <c r="V154" s="161">
        <v>0</v>
      </c>
      <c r="W154" s="161">
        <v>0</v>
      </c>
      <c r="X154" s="164">
        <f>($L154*'Pivot Objective'!$C$9^3)*V154*W154</f>
        <v>0</v>
      </c>
      <c r="Y154" s="161">
        <v>0</v>
      </c>
      <c r="Z154" s="161">
        <v>0</v>
      </c>
      <c r="AA154" s="164">
        <f>($L154*'Pivot Objective'!$C$9^4)*Y154*Z154</f>
        <v>0</v>
      </c>
      <c r="AB154" s="151"/>
      <c r="AC154" s="151"/>
      <c r="AD154" s="164">
        <f>($L154*'Pivot Objective'!$C$9^5)*AB154*AC154</f>
        <v>0</v>
      </c>
      <c r="AE154" s="151"/>
      <c r="AF154" s="151"/>
      <c r="AG154" s="164">
        <f>($L154*'Pivot Objective'!$C$9^6)*AE154*AF154</f>
        <v>0</v>
      </c>
      <c r="AH154" s="151"/>
      <c r="AI154" s="151"/>
      <c r="AJ154" s="164">
        <f>($L154*'Pivot Objective'!$C$9^7)*AH154*AI154</f>
        <v>0</v>
      </c>
      <c r="AK154" s="185">
        <f t="shared" si="16"/>
        <v>11819118.600139597</v>
      </c>
      <c r="AL154" s="186">
        <f t="shared" si="17"/>
        <v>11474.872427319997</v>
      </c>
    </row>
    <row r="155" spans="1:38" ht="57.6" x14ac:dyDescent="0.3">
      <c r="A155" s="151" t="s">
        <v>1440</v>
      </c>
      <c r="B155" s="151">
        <v>1</v>
      </c>
      <c r="C155" s="152" t="s">
        <v>836</v>
      </c>
      <c r="D155" s="151" t="str">
        <f t="shared" si="12"/>
        <v>1</v>
      </c>
      <c r="E155" s="153" t="s">
        <v>837</v>
      </c>
      <c r="F155" s="151">
        <f t="shared" si="13"/>
        <v>4</v>
      </c>
      <c r="G155" s="151" t="str">
        <f t="shared" si="14"/>
        <v>1.1.4</v>
      </c>
      <c r="H155" s="156" t="s">
        <v>1682</v>
      </c>
      <c r="I155" s="159" t="s">
        <v>880</v>
      </c>
      <c r="J155" s="159" t="s">
        <v>161</v>
      </c>
      <c r="K155" s="159" t="s">
        <v>1299</v>
      </c>
      <c r="L155" s="160">
        <f>1999/7</f>
        <v>285.57142857142856</v>
      </c>
      <c r="M155" s="161"/>
      <c r="N155" s="161"/>
      <c r="O155" s="164">
        <f t="shared" si="15"/>
        <v>0</v>
      </c>
      <c r="P155" s="161"/>
      <c r="Q155" s="161"/>
      <c r="R155" s="164">
        <f>$L155*'Pivot Objective'!$C$9*P155*Q155</f>
        <v>0</v>
      </c>
      <c r="S155" s="161">
        <v>22500</v>
      </c>
      <c r="T155" s="161">
        <v>1</v>
      </c>
      <c r="U155" s="164">
        <f>($L155*'Pivot Objective'!$C$9^2)*S155*T155</f>
        <v>8393242.4977544956</v>
      </c>
      <c r="V155" s="161"/>
      <c r="W155" s="161"/>
      <c r="X155" s="164">
        <f>($L155*'Pivot Objective'!$C$9^3)*V155*W155</f>
        <v>0</v>
      </c>
      <c r="Y155" s="161"/>
      <c r="Z155" s="161"/>
      <c r="AA155" s="164">
        <f>($L155*'Pivot Objective'!$C$9^4)*Y155*Z155</f>
        <v>0</v>
      </c>
      <c r="AB155" s="151"/>
      <c r="AC155" s="151"/>
      <c r="AD155" s="164">
        <f>($L155*'Pivot Objective'!$C$9^5)*AB155*AC155</f>
        <v>0</v>
      </c>
      <c r="AE155" s="151"/>
      <c r="AF155" s="151"/>
      <c r="AG155" s="164">
        <f>($L155*'Pivot Objective'!$C$9^6)*AE155*AF155</f>
        <v>0</v>
      </c>
      <c r="AH155" s="151"/>
      <c r="AI155" s="151"/>
      <c r="AJ155" s="164">
        <f>($L155*'Pivot Objective'!$C$9^7)*AH155*AI155</f>
        <v>0</v>
      </c>
      <c r="AK155" s="185">
        <f t="shared" si="16"/>
        <v>8393242.4977544956</v>
      </c>
      <c r="AL155" s="186">
        <f t="shared" si="17"/>
        <v>8148.7791240334909</v>
      </c>
    </row>
    <row r="156" spans="1:38" ht="57.6" x14ac:dyDescent="0.3">
      <c r="A156" s="151" t="s">
        <v>1440</v>
      </c>
      <c r="B156" s="151">
        <v>1</v>
      </c>
      <c r="C156" s="152" t="s">
        <v>836</v>
      </c>
      <c r="D156" s="151" t="str">
        <f t="shared" si="12"/>
        <v>1</v>
      </c>
      <c r="E156" s="153" t="s">
        <v>837</v>
      </c>
      <c r="F156" s="151">
        <f t="shared" si="13"/>
        <v>4</v>
      </c>
      <c r="G156" s="151" t="str">
        <f t="shared" si="14"/>
        <v>1.1.4</v>
      </c>
      <c r="H156" s="156" t="s">
        <v>1682</v>
      </c>
      <c r="I156" s="159" t="s">
        <v>880</v>
      </c>
      <c r="J156" s="159" t="s">
        <v>161</v>
      </c>
      <c r="K156" s="159" t="s">
        <v>712</v>
      </c>
      <c r="L156" s="160">
        <f>1999/7</f>
        <v>285.57142857142856</v>
      </c>
      <c r="M156" s="161"/>
      <c r="N156" s="161"/>
      <c r="O156" s="164">
        <f t="shared" si="15"/>
        <v>0</v>
      </c>
      <c r="P156" s="161">
        <v>0</v>
      </c>
      <c r="Q156" s="161">
        <v>0</v>
      </c>
      <c r="R156" s="164">
        <f>$L156*'Pivot Objective'!$C$9*P156*Q156</f>
        <v>0</v>
      </c>
      <c r="S156" s="161">
        <f>25*2*29</f>
        <v>1450</v>
      </c>
      <c r="T156" s="161">
        <v>3</v>
      </c>
      <c r="U156" s="164">
        <f>($L156*'Pivot Objective'!$C$9^2)*S156*T156</f>
        <v>1622693.5495658689</v>
      </c>
      <c r="V156" s="161">
        <v>0</v>
      </c>
      <c r="W156" s="161">
        <v>0</v>
      </c>
      <c r="X156" s="164">
        <f>($L156*'Pivot Objective'!$C$9^3)*V156*W156</f>
        <v>0</v>
      </c>
      <c r="Y156" s="161">
        <v>0</v>
      </c>
      <c r="Z156" s="161">
        <v>0</v>
      </c>
      <c r="AA156" s="164">
        <f>($L156*'Pivot Objective'!$C$9^4)*Y156*Z156</f>
        <v>0</v>
      </c>
      <c r="AB156" s="151"/>
      <c r="AC156" s="151"/>
      <c r="AD156" s="164">
        <f>($L156*'Pivot Objective'!$C$9^5)*AB156*AC156</f>
        <v>0</v>
      </c>
      <c r="AE156" s="151"/>
      <c r="AF156" s="151"/>
      <c r="AG156" s="164">
        <f>($L156*'Pivot Objective'!$C$9^6)*AE156*AF156</f>
        <v>0</v>
      </c>
      <c r="AH156" s="151"/>
      <c r="AI156" s="151"/>
      <c r="AJ156" s="164">
        <f>($L156*'Pivot Objective'!$C$9^7)*AH156*AI156</f>
        <v>0</v>
      </c>
      <c r="AK156" s="185">
        <f t="shared" si="16"/>
        <v>1622693.5495658689</v>
      </c>
      <c r="AL156" s="186">
        <f t="shared" si="17"/>
        <v>1575.4306306464746</v>
      </c>
    </row>
    <row r="157" spans="1:38" ht="57.6" x14ac:dyDescent="0.3">
      <c r="A157" s="151" t="s">
        <v>1440</v>
      </c>
      <c r="B157" s="151">
        <v>1</v>
      </c>
      <c r="C157" s="152" t="s">
        <v>836</v>
      </c>
      <c r="D157" s="151" t="str">
        <f t="shared" si="12"/>
        <v>1</v>
      </c>
      <c r="E157" s="153" t="s">
        <v>837</v>
      </c>
      <c r="F157" s="151">
        <f t="shared" si="13"/>
        <v>4</v>
      </c>
      <c r="G157" s="151" t="str">
        <f t="shared" si="14"/>
        <v>1.1.4</v>
      </c>
      <c r="H157" s="156" t="s">
        <v>1682</v>
      </c>
      <c r="I157" s="159" t="s">
        <v>880</v>
      </c>
      <c r="J157" s="159" t="s">
        <v>883</v>
      </c>
      <c r="K157" s="159" t="s">
        <v>884</v>
      </c>
      <c r="L157" s="162">
        <v>8112303</v>
      </c>
      <c r="M157" s="161"/>
      <c r="N157" s="161"/>
      <c r="O157" s="164">
        <f t="shared" si="15"/>
        <v>0</v>
      </c>
      <c r="P157" s="161">
        <v>0</v>
      </c>
      <c r="Q157" s="161">
        <v>0</v>
      </c>
      <c r="R157" s="164">
        <f>$L157*'Pivot Objective'!$C$9*P157*Q157</f>
        <v>0</v>
      </c>
      <c r="S157" s="161">
        <v>1</v>
      </c>
      <c r="T157" s="161">
        <v>1</v>
      </c>
      <c r="U157" s="164">
        <f>($L157*'Pivot Objective'!$C$9^2)*S157*T157</f>
        <v>10596846.958141938</v>
      </c>
      <c r="V157" s="161">
        <v>0</v>
      </c>
      <c r="W157" s="161">
        <v>0</v>
      </c>
      <c r="X157" s="164">
        <f>($L157*'Pivot Objective'!$C$9^3)*V157*W157</f>
        <v>0</v>
      </c>
      <c r="Y157" s="161">
        <v>0</v>
      </c>
      <c r="Z157" s="161">
        <v>0</v>
      </c>
      <c r="AA157" s="164">
        <f>($L157*'Pivot Objective'!$C$9^4)*Y157*Z157</f>
        <v>0</v>
      </c>
      <c r="AB157" s="151"/>
      <c r="AC157" s="151"/>
      <c r="AD157" s="164">
        <f>($L157*'Pivot Objective'!$C$9^5)*AB157*AC157</f>
        <v>0</v>
      </c>
      <c r="AE157" s="151"/>
      <c r="AF157" s="151"/>
      <c r="AG157" s="164">
        <f>($L157*'Pivot Objective'!$C$9^6)*AE157*AF157</f>
        <v>0</v>
      </c>
      <c r="AH157" s="151"/>
      <c r="AI157" s="151"/>
      <c r="AJ157" s="164">
        <f>($L157*'Pivot Objective'!$C$9^7)*AH157*AI157</f>
        <v>0</v>
      </c>
      <c r="AK157" s="185">
        <f t="shared" si="16"/>
        <v>10596846.958141938</v>
      </c>
      <c r="AL157" s="186">
        <f t="shared" si="17"/>
        <v>10288.200930234891</v>
      </c>
    </row>
    <row r="158" spans="1:38" ht="57.6" x14ac:dyDescent="0.3">
      <c r="A158" s="151" t="s">
        <v>1440</v>
      </c>
      <c r="B158" s="151">
        <v>1</v>
      </c>
      <c r="C158" s="152" t="s">
        <v>836</v>
      </c>
      <c r="D158" s="151" t="str">
        <f t="shared" si="12"/>
        <v>1</v>
      </c>
      <c r="E158" s="153" t="s">
        <v>837</v>
      </c>
      <c r="F158" s="151">
        <f t="shared" si="13"/>
        <v>4</v>
      </c>
      <c r="G158" s="151" t="str">
        <f t="shared" si="14"/>
        <v>1.1.4</v>
      </c>
      <c r="H158" s="156" t="s">
        <v>1682</v>
      </c>
      <c r="I158" s="159" t="s">
        <v>880</v>
      </c>
      <c r="J158" s="159" t="s">
        <v>885</v>
      </c>
      <c r="K158" s="159" t="s">
        <v>886</v>
      </c>
      <c r="L158" s="160">
        <f>L157*29</f>
        <v>235256787</v>
      </c>
      <c r="M158" s="161"/>
      <c r="N158" s="161"/>
      <c r="O158" s="164">
        <f t="shared" si="15"/>
        <v>0</v>
      </c>
      <c r="P158" s="161">
        <v>0</v>
      </c>
      <c r="Q158" s="161">
        <v>0</v>
      </c>
      <c r="R158" s="164">
        <f>$L158*'Pivot Objective'!$C$9*P158*Q158</f>
        <v>0</v>
      </c>
      <c r="S158" s="161">
        <v>1</v>
      </c>
      <c r="T158" s="161">
        <v>1</v>
      </c>
      <c r="U158" s="164">
        <f>($L158*'Pivot Objective'!$C$9^2)*S158*T158</f>
        <v>307308561.78611624</v>
      </c>
      <c r="V158" s="161">
        <v>1</v>
      </c>
      <c r="W158" s="161">
        <v>1</v>
      </c>
      <c r="X158" s="164">
        <f>($L158*'Pivot Objective'!$C$9^3)*V158*W158</f>
        <v>351229438.55408019</v>
      </c>
      <c r="Y158" s="161"/>
      <c r="Z158" s="161"/>
      <c r="AA158" s="164">
        <f>($L158*'Pivot Objective'!$C$9^4)*Y158*Z158</f>
        <v>0</v>
      </c>
      <c r="AB158" s="151"/>
      <c r="AC158" s="151"/>
      <c r="AD158" s="164">
        <f>($L158*'Pivot Objective'!$C$9^5)*AB158*AC158</f>
        <v>0</v>
      </c>
      <c r="AE158" s="151"/>
      <c r="AF158" s="151"/>
      <c r="AG158" s="164">
        <f>($L158*'Pivot Objective'!$C$9^6)*AE158*AF158</f>
        <v>0</v>
      </c>
      <c r="AH158" s="151"/>
      <c r="AI158" s="151"/>
      <c r="AJ158" s="164">
        <f>($L158*'Pivot Objective'!$C$9^7)*AH158*AI158</f>
        <v>0</v>
      </c>
      <c r="AK158" s="185">
        <f t="shared" si="16"/>
        <v>658538000.34019637</v>
      </c>
      <c r="AL158" s="186">
        <f t="shared" si="17"/>
        <v>639357.28188368585</v>
      </c>
    </row>
    <row r="159" spans="1:38" ht="57.6" x14ac:dyDescent="0.3">
      <c r="A159" s="151" t="s">
        <v>1440</v>
      </c>
      <c r="B159" s="151">
        <v>1</v>
      </c>
      <c r="C159" s="152" t="s">
        <v>836</v>
      </c>
      <c r="D159" s="151" t="str">
        <f t="shared" si="12"/>
        <v>1</v>
      </c>
      <c r="E159" s="153" t="s">
        <v>837</v>
      </c>
      <c r="F159" s="151">
        <f t="shared" si="13"/>
        <v>5</v>
      </c>
      <c r="G159" s="151" t="str">
        <f t="shared" si="14"/>
        <v>1.1.5</v>
      </c>
      <c r="H159" s="156" t="s">
        <v>887</v>
      </c>
      <c r="I159" s="159" t="s">
        <v>888</v>
      </c>
      <c r="J159" s="159" t="s">
        <v>888</v>
      </c>
      <c r="K159" s="159" t="s">
        <v>709</v>
      </c>
      <c r="L159" s="160">
        <v>35000</v>
      </c>
      <c r="M159" s="161">
        <v>100</v>
      </c>
      <c r="N159" s="161">
        <v>5</v>
      </c>
      <c r="O159" s="164">
        <f t="shared" si="15"/>
        <v>17500000</v>
      </c>
      <c r="P159" s="161">
        <v>0</v>
      </c>
      <c r="Q159" s="161">
        <v>0</v>
      </c>
      <c r="R159" s="164">
        <f>$L159*'Pivot Objective'!$C$9*P159*Q159</f>
        <v>0</v>
      </c>
      <c r="S159" s="161"/>
      <c r="T159" s="161"/>
      <c r="U159" s="164">
        <f>($L159*'Pivot Objective'!$C$9^2)*S159*T159</f>
        <v>0</v>
      </c>
      <c r="V159" s="161">
        <v>1</v>
      </c>
      <c r="W159" s="161">
        <v>1</v>
      </c>
      <c r="X159" s="164">
        <f>($L159*'Pivot Objective'!$C$9^3)*V159*W159</f>
        <v>52253.669303886258</v>
      </c>
      <c r="Y159" s="161"/>
      <c r="Z159" s="161"/>
      <c r="AA159" s="164">
        <f>($L159*'Pivot Objective'!$C$9^4)*Y159*Z159</f>
        <v>0</v>
      </c>
      <c r="AB159" s="161">
        <v>100</v>
      </c>
      <c r="AC159" s="161">
        <v>5</v>
      </c>
      <c r="AD159" s="164">
        <f>($L159*'Pivot Objective'!$C$9^5)*AB159*AC159</f>
        <v>34128664.610693276</v>
      </c>
      <c r="AE159" s="151"/>
      <c r="AF159" s="151"/>
      <c r="AG159" s="164">
        <f>($L159*'Pivot Objective'!$C$9^6)*AE159*AF159</f>
        <v>0</v>
      </c>
      <c r="AH159" s="151"/>
      <c r="AI159" s="151"/>
      <c r="AJ159" s="164">
        <f>($L159*'Pivot Objective'!$C$9^7)*AH159*AI159</f>
        <v>0</v>
      </c>
      <c r="AK159" s="185">
        <f t="shared" si="16"/>
        <v>51680918.279997163</v>
      </c>
      <c r="AL159" s="186">
        <f t="shared" si="17"/>
        <v>50175.648815531225</v>
      </c>
    </row>
    <row r="160" spans="1:38" ht="57.6" x14ac:dyDescent="0.3">
      <c r="A160" s="151" t="s">
        <v>1440</v>
      </c>
      <c r="B160" s="151">
        <v>1</v>
      </c>
      <c r="C160" s="152" t="s">
        <v>836</v>
      </c>
      <c r="D160" s="151" t="str">
        <f t="shared" si="12"/>
        <v>1</v>
      </c>
      <c r="E160" s="153" t="s">
        <v>837</v>
      </c>
      <c r="F160" s="151">
        <f t="shared" si="13"/>
        <v>5</v>
      </c>
      <c r="G160" s="151" t="str">
        <f t="shared" si="14"/>
        <v>1.1.5</v>
      </c>
      <c r="H160" s="156" t="s">
        <v>887</v>
      </c>
      <c r="I160" s="159" t="s">
        <v>888</v>
      </c>
      <c r="J160" s="159" t="s">
        <v>888</v>
      </c>
      <c r="K160" s="159" t="s">
        <v>716</v>
      </c>
      <c r="L160" s="160">
        <v>39000</v>
      </c>
      <c r="M160" s="161">
        <v>58</v>
      </c>
      <c r="N160" s="161">
        <v>5</v>
      </c>
      <c r="O160" s="164">
        <f t="shared" si="15"/>
        <v>11310000</v>
      </c>
      <c r="P160" s="161">
        <v>0</v>
      </c>
      <c r="Q160" s="161">
        <v>0</v>
      </c>
      <c r="R160" s="164">
        <f>$L160*'Pivot Objective'!$C$9*P160*Q160</f>
        <v>0</v>
      </c>
      <c r="S160" s="161">
        <v>100</v>
      </c>
      <c r="T160" s="161">
        <v>5</v>
      </c>
      <c r="U160" s="164">
        <f>($L160*'Pivot Objective'!$C$9^2)*S160*T160</f>
        <v>25472238.36236982</v>
      </c>
      <c r="V160" s="161">
        <v>0</v>
      </c>
      <c r="W160" s="161">
        <v>0</v>
      </c>
      <c r="X160" s="164">
        <f>($L160*'Pivot Objective'!$C$9^3)*V160*W160</f>
        <v>0</v>
      </c>
      <c r="Y160" s="161">
        <v>100</v>
      </c>
      <c r="Z160" s="161">
        <v>5</v>
      </c>
      <c r="AA160" s="164">
        <f>($L160*'Pivot Objective'!$C$9^4)*Y160*Z160</f>
        <v>33273586.009712048</v>
      </c>
      <c r="AB160" s="161">
        <v>58</v>
      </c>
      <c r="AC160" s="161">
        <v>5</v>
      </c>
      <c r="AD160" s="164">
        <f>($L160*'Pivot Objective'!$C$9^5)*AB160*AC160</f>
        <v>22056868.385539483</v>
      </c>
      <c r="AE160" s="151"/>
      <c r="AF160" s="151"/>
      <c r="AG160" s="164">
        <f>($L160*'Pivot Objective'!$C$9^6)*AE160*AF160</f>
        <v>0</v>
      </c>
      <c r="AH160" s="151"/>
      <c r="AI160" s="151"/>
      <c r="AJ160" s="164">
        <f>($L160*'Pivot Objective'!$C$9^7)*AH160*AI160</f>
        <v>0</v>
      </c>
      <c r="AK160" s="185">
        <f t="shared" si="16"/>
        <v>92112692.757621363</v>
      </c>
      <c r="AL160" s="186">
        <f t="shared" si="17"/>
        <v>89429.798793807146</v>
      </c>
    </row>
    <row r="161" spans="1:38" ht="57.6" x14ac:dyDescent="0.3">
      <c r="A161" s="151" t="s">
        <v>1440</v>
      </c>
      <c r="B161" s="151">
        <v>1</v>
      </c>
      <c r="C161" s="152" t="s">
        <v>836</v>
      </c>
      <c r="D161" s="151" t="str">
        <f t="shared" si="12"/>
        <v>1</v>
      </c>
      <c r="E161" s="153" t="s">
        <v>837</v>
      </c>
      <c r="F161" s="151">
        <f t="shared" si="13"/>
        <v>5</v>
      </c>
      <c r="G161" s="151" t="str">
        <f t="shared" si="14"/>
        <v>1.1.5</v>
      </c>
      <c r="H161" s="156" t="s">
        <v>887</v>
      </c>
      <c r="I161" s="159" t="s">
        <v>888</v>
      </c>
      <c r="J161" s="159" t="s">
        <v>888</v>
      </c>
      <c r="K161" s="159" t="s">
        <v>712</v>
      </c>
      <c r="L161" s="160">
        <f>1999/7</f>
        <v>285.57142857142856</v>
      </c>
      <c r="M161" s="161">
        <f>25*2*29</f>
        <v>1450</v>
      </c>
      <c r="N161" s="161">
        <v>6</v>
      </c>
      <c r="O161" s="164">
        <f t="shared" si="15"/>
        <v>2484471.4285714286</v>
      </c>
      <c r="P161" s="161">
        <v>0</v>
      </c>
      <c r="Q161" s="161">
        <v>0</v>
      </c>
      <c r="R161" s="164">
        <f>$L161*'Pivot Objective'!$C$9*P161*Q161</f>
        <v>0</v>
      </c>
      <c r="S161" s="161">
        <v>100</v>
      </c>
      <c r="T161" s="161">
        <v>6</v>
      </c>
      <c r="U161" s="164">
        <f>($L161*'Pivot Objective'!$C$9^2)*S161*T161</f>
        <v>223819.79994011988</v>
      </c>
      <c r="V161" s="161">
        <v>0</v>
      </c>
      <c r="W161" s="161">
        <v>0</v>
      </c>
      <c r="X161" s="164">
        <f>($L161*'Pivot Objective'!$C$9^3)*V161*W161</f>
        <v>0</v>
      </c>
      <c r="Y161" s="161">
        <v>100</v>
      </c>
      <c r="Z161" s="161">
        <v>6</v>
      </c>
      <c r="AA161" s="164">
        <f>($L161*'Pivot Objective'!$C$9^4)*Y161*Z161</f>
        <v>292368.78432270052</v>
      </c>
      <c r="AB161" s="161">
        <f>25*2*29</f>
        <v>1450</v>
      </c>
      <c r="AC161" s="161">
        <v>6</v>
      </c>
      <c r="AD161" s="164">
        <f>($L161*'Pivot Objective'!$C$9^5)*AB161*AC161</f>
        <v>4845239.5497465301</v>
      </c>
      <c r="AE161" s="151"/>
      <c r="AF161" s="151"/>
      <c r="AG161" s="164">
        <f>($L161*'Pivot Objective'!$C$9^6)*AE161*AF161</f>
        <v>0</v>
      </c>
      <c r="AH161" s="151"/>
      <c r="AI161" s="151"/>
      <c r="AJ161" s="164">
        <f>($L161*'Pivot Objective'!$C$9^7)*AH161*AI161</f>
        <v>0</v>
      </c>
      <c r="AK161" s="185">
        <f t="shared" si="16"/>
        <v>7845899.5625807792</v>
      </c>
      <c r="AL161" s="186">
        <f t="shared" si="17"/>
        <v>7617.3782160978435</v>
      </c>
    </row>
    <row r="162" spans="1:38" ht="57.6" x14ac:dyDescent="0.3">
      <c r="A162" s="151" t="s">
        <v>1440</v>
      </c>
      <c r="B162" s="151">
        <v>1</v>
      </c>
      <c r="C162" s="152" t="s">
        <v>836</v>
      </c>
      <c r="D162" s="151" t="str">
        <f t="shared" si="12"/>
        <v>1</v>
      </c>
      <c r="E162" s="153" t="s">
        <v>837</v>
      </c>
      <c r="F162" s="151">
        <f t="shared" si="13"/>
        <v>5</v>
      </c>
      <c r="G162" s="151" t="str">
        <f t="shared" si="14"/>
        <v>1.1.5</v>
      </c>
      <c r="H162" s="156" t="s">
        <v>887</v>
      </c>
      <c r="I162" s="159" t="s">
        <v>888</v>
      </c>
      <c r="J162" s="159" t="s">
        <v>888</v>
      </c>
      <c r="K162" s="159" t="s">
        <v>1299</v>
      </c>
      <c r="L162" s="160">
        <f>1999/7</f>
        <v>285.57142857142856</v>
      </c>
      <c r="M162" s="161">
        <v>22500</v>
      </c>
      <c r="N162" s="161">
        <v>1</v>
      </c>
      <c r="O162" s="164">
        <f t="shared" si="15"/>
        <v>6425357.1428571427</v>
      </c>
      <c r="P162" s="161"/>
      <c r="Q162" s="161"/>
      <c r="R162" s="164">
        <f>$L162*'Pivot Objective'!$C$9*P162*Q162</f>
        <v>0</v>
      </c>
      <c r="S162" s="161"/>
      <c r="T162" s="161"/>
      <c r="U162" s="164">
        <f>($L162*'Pivot Objective'!$C$9^2)*S162*T162</f>
        <v>0</v>
      </c>
      <c r="V162" s="161"/>
      <c r="W162" s="161"/>
      <c r="X162" s="164">
        <f>($L162*'Pivot Objective'!$C$9^3)*V162*W162</f>
        <v>0</v>
      </c>
      <c r="Y162" s="161"/>
      <c r="Z162" s="161"/>
      <c r="AA162" s="164">
        <f>($L162*'Pivot Objective'!$C$9^4)*Y162*Z162</f>
        <v>0</v>
      </c>
      <c r="AB162" s="161">
        <v>22500</v>
      </c>
      <c r="AC162" s="161">
        <v>1</v>
      </c>
      <c r="AD162" s="164">
        <f>($L162*'Pivot Objective'!$C$9^5)*AB162*AC162</f>
        <v>12530791.938999647</v>
      </c>
      <c r="AE162" s="151"/>
      <c r="AF162" s="151"/>
      <c r="AG162" s="164">
        <f>($L162*'Pivot Objective'!$C$9^6)*AE162*AF162</f>
        <v>0</v>
      </c>
      <c r="AH162" s="151"/>
      <c r="AI162" s="151"/>
      <c r="AJ162" s="164">
        <f>($L162*'Pivot Objective'!$C$9^7)*AH162*AI162</f>
        <v>0</v>
      </c>
      <c r="AK162" s="185">
        <f t="shared" si="16"/>
        <v>18956149.081856791</v>
      </c>
      <c r="AL162" s="186">
        <f t="shared" si="17"/>
        <v>18404.02823481242</v>
      </c>
    </row>
    <row r="163" spans="1:38" ht="57.6" x14ac:dyDescent="0.3">
      <c r="A163" s="151" t="s">
        <v>1440</v>
      </c>
      <c r="B163" s="151">
        <v>1</v>
      </c>
      <c r="C163" s="152" t="s">
        <v>836</v>
      </c>
      <c r="D163" s="151" t="str">
        <f t="shared" si="12"/>
        <v>1</v>
      </c>
      <c r="E163" s="153" t="s">
        <v>837</v>
      </c>
      <c r="F163" s="151">
        <f t="shared" si="13"/>
        <v>5</v>
      </c>
      <c r="G163" s="151" t="str">
        <f t="shared" si="14"/>
        <v>1.1.5</v>
      </c>
      <c r="H163" s="156" t="s">
        <v>887</v>
      </c>
      <c r="I163" s="159" t="s">
        <v>888</v>
      </c>
      <c r="J163" s="159" t="s">
        <v>889</v>
      </c>
      <c r="K163" s="159" t="s">
        <v>718</v>
      </c>
      <c r="L163" s="160">
        <v>0</v>
      </c>
      <c r="M163" s="161">
        <v>20000</v>
      </c>
      <c r="N163" s="161">
        <v>1</v>
      </c>
      <c r="O163" s="164">
        <f t="shared" si="15"/>
        <v>0</v>
      </c>
      <c r="P163" s="161">
        <v>0</v>
      </c>
      <c r="Q163" s="161">
        <v>0</v>
      </c>
      <c r="R163" s="164">
        <f>$L163*'Pivot Objective'!$C$9*P163*Q163</f>
        <v>0</v>
      </c>
      <c r="S163" s="161">
        <v>20000</v>
      </c>
      <c r="T163" s="161">
        <v>1</v>
      </c>
      <c r="U163" s="164">
        <f>($L163*'Pivot Objective'!$C$9^2)*S163*T163</f>
        <v>0</v>
      </c>
      <c r="V163" s="161">
        <v>0</v>
      </c>
      <c r="W163" s="161">
        <v>0</v>
      </c>
      <c r="X163" s="164">
        <f>($L163*'Pivot Objective'!$C$9^3)*V163*W163</f>
        <v>0</v>
      </c>
      <c r="Y163" s="161">
        <v>20000</v>
      </c>
      <c r="Z163" s="161">
        <v>1</v>
      </c>
      <c r="AA163" s="164">
        <f>($L163*'Pivot Objective'!$C$9^4)*Y163*Z163</f>
        <v>0</v>
      </c>
      <c r="AB163" s="161">
        <v>20000</v>
      </c>
      <c r="AC163" s="161">
        <v>1</v>
      </c>
      <c r="AD163" s="164">
        <f>($L163*'Pivot Objective'!$C$9^5)*AB163*AC163</f>
        <v>0</v>
      </c>
      <c r="AE163" s="151"/>
      <c r="AF163" s="151"/>
      <c r="AG163" s="164">
        <f>($L163*'Pivot Objective'!$C$9^6)*AE163*AF163</f>
        <v>0</v>
      </c>
      <c r="AH163" s="151"/>
      <c r="AI163" s="151"/>
      <c r="AJ163" s="164">
        <f>($L163*'Pivot Objective'!$C$9^7)*AH163*AI163</f>
        <v>0</v>
      </c>
      <c r="AK163" s="185">
        <f t="shared" si="16"/>
        <v>0</v>
      </c>
      <c r="AL163" s="186">
        <f t="shared" si="17"/>
        <v>0</v>
      </c>
    </row>
    <row r="164" spans="1:38" ht="57.6" x14ac:dyDescent="0.3">
      <c r="A164" s="151" t="s">
        <v>1440</v>
      </c>
      <c r="B164" s="151">
        <v>1</v>
      </c>
      <c r="C164" s="152" t="s">
        <v>836</v>
      </c>
      <c r="D164" s="151" t="str">
        <f t="shared" si="12"/>
        <v>1</v>
      </c>
      <c r="E164" s="153" t="s">
        <v>837</v>
      </c>
      <c r="F164" s="151">
        <f t="shared" si="13"/>
        <v>5</v>
      </c>
      <c r="G164" s="151" t="str">
        <f t="shared" si="14"/>
        <v>1.1.5</v>
      </c>
      <c r="H164" s="156" t="s">
        <v>887</v>
      </c>
      <c r="I164" s="159" t="s">
        <v>888</v>
      </c>
      <c r="J164" s="159" t="s">
        <v>890</v>
      </c>
      <c r="K164" s="159" t="s">
        <v>716</v>
      </c>
      <c r="L164" s="160">
        <v>39000</v>
      </c>
      <c r="M164" s="161">
        <v>25</v>
      </c>
      <c r="N164" s="161">
        <v>5</v>
      </c>
      <c r="O164" s="164">
        <f t="shared" si="15"/>
        <v>4875000</v>
      </c>
      <c r="P164" s="161">
        <v>0</v>
      </c>
      <c r="Q164" s="161">
        <v>0</v>
      </c>
      <c r="R164" s="164">
        <f>$L164*'Pivot Objective'!$C$9*P164*Q164</f>
        <v>0</v>
      </c>
      <c r="S164" s="161">
        <v>0</v>
      </c>
      <c r="T164" s="161">
        <v>0</v>
      </c>
      <c r="U164" s="164">
        <f>($L164*'Pivot Objective'!$C$9^2)*S164*T164</f>
        <v>0</v>
      </c>
      <c r="V164" s="161">
        <v>0</v>
      </c>
      <c r="W164" s="161">
        <v>0</v>
      </c>
      <c r="X164" s="164">
        <f>($L164*'Pivot Objective'!$C$9^3)*V164*W164</f>
        <v>0</v>
      </c>
      <c r="Y164" s="161">
        <v>0</v>
      </c>
      <c r="Z164" s="161">
        <v>0</v>
      </c>
      <c r="AA164" s="164">
        <f>($L164*'Pivot Objective'!$C$9^4)*Y164*Z164</f>
        <v>0</v>
      </c>
      <c r="AB164" s="161">
        <v>25</v>
      </c>
      <c r="AC164" s="161">
        <v>5</v>
      </c>
      <c r="AD164" s="164">
        <f>($L164*'Pivot Objective'!$C$9^5)*AB164*AC164</f>
        <v>9507270.8558359854</v>
      </c>
      <c r="AE164" s="151"/>
      <c r="AF164" s="151"/>
      <c r="AG164" s="164">
        <f>($L164*'Pivot Objective'!$C$9^6)*AE164*AF164</f>
        <v>0</v>
      </c>
      <c r="AH164" s="151"/>
      <c r="AI164" s="151"/>
      <c r="AJ164" s="164">
        <f>($L164*'Pivot Objective'!$C$9^7)*AH164*AI164</f>
        <v>0</v>
      </c>
      <c r="AK164" s="185">
        <f t="shared" si="16"/>
        <v>14382270.855835985</v>
      </c>
      <c r="AL164" s="186">
        <f t="shared" si="17"/>
        <v>13963.369762947559</v>
      </c>
    </row>
    <row r="165" spans="1:38" ht="57.6" x14ac:dyDescent="0.3">
      <c r="A165" s="151" t="s">
        <v>1440</v>
      </c>
      <c r="B165" s="151">
        <v>1</v>
      </c>
      <c r="C165" s="152" t="s">
        <v>836</v>
      </c>
      <c r="D165" s="151" t="str">
        <f t="shared" si="12"/>
        <v>1</v>
      </c>
      <c r="E165" s="153" t="s">
        <v>837</v>
      </c>
      <c r="F165" s="151">
        <f t="shared" si="13"/>
        <v>5</v>
      </c>
      <c r="G165" s="151" t="str">
        <f t="shared" si="14"/>
        <v>1.1.5</v>
      </c>
      <c r="H165" s="156" t="s">
        <v>887</v>
      </c>
      <c r="I165" s="159" t="s">
        <v>888</v>
      </c>
      <c r="J165" s="159" t="s">
        <v>890</v>
      </c>
      <c r="K165" s="159" t="s">
        <v>712</v>
      </c>
      <c r="L165" s="160">
        <f>1999/7</f>
        <v>285.57142857142856</v>
      </c>
      <c r="M165" s="161">
        <f>25*2*9</f>
        <v>450</v>
      </c>
      <c r="N165" s="161">
        <v>5</v>
      </c>
      <c r="O165" s="164">
        <f t="shared" si="15"/>
        <v>642535.71428571432</v>
      </c>
      <c r="P165" s="161">
        <v>0</v>
      </c>
      <c r="Q165" s="161">
        <v>0</v>
      </c>
      <c r="R165" s="164">
        <f>$L165*'Pivot Objective'!$C$9*P165*Q165</f>
        <v>0</v>
      </c>
      <c r="S165" s="161">
        <v>0</v>
      </c>
      <c r="T165" s="161">
        <v>0</v>
      </c>
      <c r="U165" s="164">
        <f>($L165*'Pivot Objective'!$C$9^2)*S165*T165</f>
        <v>0</v>
      </c>
      <c r="V165" s="161">
        <v>0</v>
      </c>
      <c r="W165" s="161">
        <v>0</v>
      </c>
      <c r="X165" s="164">
        <f>($L165*'Pivot Objective'!$C$9^3)*V165*W165</f>
        <v>0</v>
      </c>
      <c r="Y165" s="161">
        <v>0</v>
      </c>
      <c r="Z165" s="161">
        <v>0</v>
      </c>
      <c r="AA165" s="164">
        <f>($L165*'Pivot Objective'!$C$9^4)*Y165*Z165</f>
        <v>0</v>
      </c>
      <c r="AB165" s="161">
        <f>25*2*9</f>
        <v>450</v>
      </c>
      <c r="AC165" s="161">
        <v>5</v>
      </c>
      <c r="AD165" s="164">
        <f>($L165*'Pivot Objective'!$C$9^5)*AB165*AC165</f>
        <v>1253079.1938999647</v>
      </c>
      <c r="AE165" s="151"/>
      <c r="AF165" s="151"/>
      <c r="AG165" s="164">
        <f>($L165*'Pivot Objective'!$C$9^6)*AE165*AF165</f>
        <v>0</v>
      </c>
      <c r="AH165" s="151"/>
      <c r="AI165" s="151"/>
      <c r="AJ165" s="164">
        <f>($L165*'Pivot Objective'!$C$9^7)*AH165*AI165</f>
        <v>0</v>
      </c>
      <c r="AK165" s="185">
        <f t="shared" si="16"/>
        <v>1895614.908185679</v>
      </c>
      <c r="AL165" s="186">
        <f t="shared" si="17"/>
        <v>1840.4028234812417</v>
      </c>
    </row>
    <row r="166" spans="1:38" ht="57.6" x14ac:dyDescent="0.3">
      <c r="A166" s="151" t="s">
        <v>1440</v>
      </c>
      <c r="B166" s="151">
        <v>1</v>
      </c>
      <c r="C166" s="152" t="s">
        <v>836</v>
      </c>
      <c r="D166" s="151" t="str">
        <f t="shared" si="12"/>
        <v>1</v>
      </c>
      <c r="E166" s="153" t="s">
        <v>837</v>
      </c>
      <c r="F166" s="151">
        <f t="shared" si="13"/>
        <v>5</v>
      </c>
      <c r="G166" s="151" t="str">
        <f t="shared" si="14"/>
        <v>1.1.5</v>
      </c>
      <c r="H166" s="156" t="s">
        <v>887</v>
      </c>
      <c r="I166" s="159" t="s">
        <v>888</v>
      </c>
      <c r="J166" s="159" t="s">
        <v>890</v>
      </c>
      <c r="K166" s="159" t="s">
        <v>709</v>
      </c>
      <c r="L166" s="160">
        <v>35000</v>
      </c>
      <c r="M166" s="161">
        <v>25</v>
      </c>
      <c r="N166" s="161">
        <v>5</v>
      </c>
      <c r="O166" s="164">
        <f t="shared" si="15"/>
        <v>4375000</v>
      </c>
      <c r="P166" s="161">
        <v>0</v>
      </c>
      <c r="Q166" s="161">
        <v>0</v>
      </c>
      <c r="R166" s="164">
        <f>$L166*'Pivot Objective'!$C$9*P166*Q166</f>
        <v>0</v>
      </c>
      <c r="S166" s="161">
        <v>0</v>
      </c>
      <c r="T166" s="161">
        <v>0</v>
      </c>
      <c r="U166" s="164">
        <f>($L166*'Pivot Objective'!$C$9^2)*S166*T166</f>
        <v>0</v>
      </c>
      <c r="V166" s="161">
        <v>0</v>
      </c>
      <c r="W166" s="161">
        <v>0</v>
      </c>
      <c r="X166" s="164">
        <f>($L166*'Pivot Objective'!$C$9^3)*V166*W166</f>
        <v>0</v>
      </c>
      <c r="Y166" s="161">
        <v>0</v>
      </c>
      <c r="Z166" s="161">
        <v>0</v>
      </c>
      <c r="AA166" s="164">
        <f>($L166*'Pivot Objective'!$C$9^4)*Y166*Z166</f>
        <v>0</v>
      </c>
      <c r="AB166" s="161">
        <v>25</v>
      </c>
      <c r="AC166" s="161">
        <v>5</v>
      </c>
      <c r="AD166" s="164">
        <f>($L166*'Pivot Objective'!$C$9^5)*AB166*AC166</f>
        <v>8532166.152673319</v>
      </c>
      <c r="AE166" s="151"/>
      <c r="AF166" s="151"/>
      <c r="AG166" s="164">
        <f>($L166*'Pivot Objective'!$C$9^6)*AE166*AF166</f>
        <v>0</v>
      </c>
      <c r="AH166" s="151"/>
      <c r="AI166" s="151"/>
      <c r="AJ166" s="164">
        <f>($L166*'Pivot Objective'!$C$9^7)*AH166*AI166</f>
        <v>0</v>
      </c>
      <c r="AK166" s="185">
        <f t="shared" si="16"/>
        <v>12907166.152673319</v>
      </c>
      <c r="AL166" s="186">
        <f t="shared" si="17"/>
        <v>12531.229274440115</v>
      </c>
    </row>
    <row r="167" spans="1:38" ht="57.6" x14ac:dyDescent="0.3">
      <c r="A167" s="151" t="s">
        <v>1440</v>
      </c>
      <c r="B167" s="151">
        <v>1</v>
      </c>
      <c r="C167" s="152" t="s">
        <v>836</v>
      </c>
      <c r="D167" s="151" t="str">
        <f t="shared" si="12"/>
        <v>1</v>
      </c>
      <c r="E167" s="153" t="s">
        <v>837</v>
      </c>
      <c r="F167" s="151">
        <f t="shared" si="13"/>
        <v>5</v>
      </c>
      <c r="G167" s="151" t="str">
        <f t="shared" si="14"/>
        <v>1.1.5</v>
      </c>
      <c r="H167" s="156" t="s">
        <v>887</v>
      </c>
      <c r="I167" s="159" t="s">
        <v>888</v>
      </c>
      <c r="J167" s="159" t="s">
        <v>891</v>
      </c>
      <c r="K167" s="159" t="s">
        <v>713</v>
      </c>
      <c r="L167" s="160">
        <v>45000</v>
      </c>
      <c r="M167" s="161">
        <v>10</v>
      </c>
      <c r="N167" s="161">
        <v>10</v>
      </c>
      <c r="O167" s="164">
        <f t="shared" si="15"/>
        <v>4500000</v>
      </c>
      <c r="P167" s="161">
        <v>10</v>
      </c>
      <c r="Q167" s="161">
        <v>10</v>
      </c>
      <c r="R167" s="164">
        <f>$L167*'Pivot Objective'!$C$9*P167*Q167</f>
        <v>5143144.9364999998</v>
      </c>
      <c r="S167" s="161">
        <v>10</v>
      </c>
      <c r="T167" s="161">
        <v>10</v>
      </c>
      <c r="U167" s="164">
        <f>($L167*'Pivot Objective'!$C$9^2)*S167*T167</f>
        <v>5878208.852854575</v>
      </c>
      <c r="V167" s="161">
        <v>10</v>
      </c>
      <c r="W167" s="161">
        <v>10</v>
      </c>
      <c r="X167" s="164">
        <f>($L167*'Pivot Objective'!$C$9^3)*V167*W167</f>
        <v>6718328.9104996612</v>
      </c>
      <c r="Y167" s="161">
        <v>10</v>
      </c>
      <c r="Z167" s="161">
        <v>10</v>
      </c>
      <c r="AA167" s="164">
        <f>($L167*'Pivot Objective'!$C$9^4)*Y167*Z167</f>
        <v>7678519.8483950868</v>
      </c>
      <c r="AB167" s="161">
        <v>10</v>
      </c>
      <c r="AC167" s="161">
        <v>10</v>
      </c>
      <c r="AD167" s="164">
        <f>($L167*'Pivot Objective'!$C$9^5)*AB167*AC167</f>
        <v>8775942.3284639847</v>
      </c>
      <c r="AE167" s="161">
        <v>10</v>
      </c>
      <c r="AF167" s="161">
        <v>10</v>
      </c>
      <c r="AG167" s="164">
        <f>($L167*'Pivot Objective'!$C$9^6)*AE167*AF167</f>
        <v>10030209.633256793</v>
      </c>
      <c r="AH167" s="161">
        <v>10</v>
      </c>
      <c r="AI167" s="161">
        <v>10</v>
      </c>
      <c r="AJ167" s="164">
        <f>($L167*'Pivot Objective'!$C$9^7)*AH167*AI167</f>
        <v>11463738.197181821</v>
      </c>
      <c r="AK167" s="185">
        <f t="shared" si="16"/>
        <v>60188092.70715192</v>
      </c>
      <c r="AL167" s="186">
        <f t="shared" si="17"/>
        <v>58435.041463254289</v>
      </c>
    </row>
    <row r="168" spans="1:38" ht="57.6" x14ac:dyDescent="0.3">
      <c r="A168" s="151" t="s">
        <v>1440</v>
      </c>
      <c r="B168" s="151">
        <v>1</v>
      </c>
      <c r="C168" s="152" t="s">
        <v>836</v>
      </c>
      <c r="D168" s="151" t="str">
        <f t="shared" si="12"/>
        <v>1</v>
      </c>
      <c r="E168" s="153" t="s">
        <v>837</v>
      </c>
      <c r="F168" s="151">
        <f t="shared" si="13"/>
        <v>5</v>
      </c>
      <c r="G168" s="151" t="str">
        <f t="shared" si="14"/>
        <v>1.1.5</v>
      </c>
      <c r="H168" s="156" t="s">
        <v>887</v>
      </c>
      <c r="I168" s="159" t="s">
        <v>888</v>
      </c>
      <c r="J168" s="159" t="s">
        <v>891</v>
      </c>
      <c r="K168" s="159" t="s">
        <v>1299</v>
      </c>
      <c r="L168" s="160">
        <f>1999/7</f>
        <v>285.57142857142856</v>
      </c>
      <c r="M168" s="161">
        <v>22500</v>
      </c>
      <c r="N168" s="161">
        <v>1</v>
      </c>
      <c r="O168" s="164">
        <f t="shared" si="15"/>
        <v>6425357.1428571427</v>
      </c>
      <c r="P168" s="161">
        <v>22500</v>
      </c>
      <c r="Q168" s="161">
        <v>1</v>
      </c>
      <c r="R168" s="164">
        <f>$L168*'Pivot Objective'!$C$9*P168*Q168</f>
        <v>7343676.2343310704</v>
      </c>
      <c r="S168" s="161">
        <v>22500</v>
      </c>
      <c r="T168" s="161">
        <v>1</v>
      </c>
      <c r="U168" s="164">
        <f>($L168*'Pivot Objective'!$C$9^2)*S168*T168</f>
        <v>8393242.4977544956</v>
      </c>
      <c r="V168" s="161">
        <v>22500</v>
      </c>
      <c r="W168" s="161">
        <v>1</v>
      </c>
      <c r="X168" s="164">
        <f>($L168*'Pivot Objective'!$C$9^3)*V168*W168</f>
        <v>9592813.9229205865</v>
      </c>
      <c r="Y168" s="161">
        <v>22500</v>
      </c>
      <c r="Z168" s="161">
        <v>1</v>
      </c>
      <c r="AA168" s="164">
        <f>($L168*'Pivot Objective'!$C$9^4)*Y168*Z168</f>
        <v>10963829.412101271</v>
      </c>
      <c r="AB168" s="161">
        <v>22500</v>
      </c>
      <c r="AC168" s="161">
        <v>1</v>
      </c>
      <c r="AD168" s="164">
        <f>($L168*'Pivot Objective'!$C$9^5)*AB168*AC168</f>
        <v>12530791.938999647</v>
      </c>
      <c r="AE168" s="161">
        <v>22500</v>
      </c>
      <c r="AF168" s="161">
        <v>1</v>
      </c>
      <c r="AG168" s="164">
        <f>($L168*'Pivot Objective'!$C$9^6)*AE168*AF168</f>
        <v>14321706.469200233</v>
      </c>
      <c r="AH168" s="161">
        <v>22500</v>
      </c>
      <c r="AI168" s="161">
        <v>1</v>
      </c>
      <c r="AJ168" s="164">
        <f>($L168*'Pivot Objective'!$C$9^7)*AH168*AI168</f>
        <v>16368580.468690328</v>
      </c>
      <c r="AK168" s="185">
        <f t="shared" si="16"/>
        <v>85939998.086854786</v>
      </c>
      <c r="AL168" s="186">
        <f t="shared" si="17"/>
        <v>83436.89134646095</v>
      </c>
    </row>
    <row r="169" spans="1:38" ht="57.6" x14ac:dyDescent="0.3">
      <c r="A169" s="151" t="s">
        <v>1440</v>
      </c>
      <c r="B169" s="151">
        <v>1</v>
      </c>
      <c r="C169" s="152" t="s">
        <v>836</v>
      </c>
      <c r="D169" s="151" t="str">
        <f t="shared" si="12"/>
        <v>1</v>
      </c>
      <c r="E169" s="153" t="s">
        <v>837</v>
      </c>
      <c r="F169" s="151">
        <f t="shared" si="13"/>
        <v>5</v>
      </c>
      <c r="G169" s="151" t="str">
        <f t="shared" si="14"/>
        <v>1.1.5</v>
      </c>
      <c r="H169" s="156" t="s">
        <v>887</v>
      </c>
      <c r="I169" s="159" t="s">
        <v>888</v>
      </c>
      <c r="J169" s="159" t="s">
        <v>891</v>
      </c>
      <c r="K169" s="159" t="s">
        <v>712</v>
      </c>
      <c r="L169" s="160">
        <f>1999/7</f>
        <v>285.57142857142856</v>
      </c>
      <c r="M169" s="161">
        <f>100*2*8</f>
        <v>1600</v>
      </c>
      <c r="N169" s="161">
        <v>5</v>
      </c>
      <c r="O169" s="164">
        <f t="shared" si="15"/>
        <v>2284571.4285714282</v>
      </c>
      <c r="P169" s="161">
        <f>100*2*8</f>
        <v>1600</v>
      </c>
      <c r="Q169" s="161">
        <v>5</v>
      </c>
      <c r="R169" s="164">
        <f>$L169*'Pivot Objective'!$C$9*P169*Q169</f>
        <v>2611084.8833177136</v>
      </c>
      <c r="S169" s="161">
        <f>100*2*8</f>
        <v>1600</v>
      </c>
      <c r="T169" s="161">
        <v>5</v>
      </c>
      <c r="U169" s="164">
        <f>($L169*'Pivot Objective'!$C$9^2)*S169*T169</f>
        <v>2984263.9992015986</v>
      </c>
      <c r="V169" s="161">
        <f>100*2*8</f>
        <v>1600</v>
      </c>
      <c r="W169" s="161">
        <v>5</v>
      </c>
      <c r="X169" s="164">
        <f>($L169*'Pivot Objective'!$C$9^3)*V169*W169</f>
        <v>3410778.2837050976</v>
      </c>
      <c r="Y169" s="161">
        <f>100*2*8</f>
        <v>1600</v>
      </c>
      <c r="Z169" s="161">
        <v>5</v>
      </c>
      <c r="AA169" s="164">
        <f>($L169*'Pivot Objective'!$C$9^4)*Y169*Z169</f>
        <v>3898250.4576360066</v>
      </c>
      <c r="AB169" s="161">
        <f>100*2*8</f>
        <v>1600</v>
      </c>
      <c r="AC169" s="161">
        <v>5</v>
      </c>
      <c r="AD169" s="164">
        <f>($L169*'Pivot Objective'!$C$9^5)*AB169*AC169</f>
        <v>4455392.6894220971</v>
      </c>
      <c r="AE169" s="161">
        <f>100*2*8</f>
        <v>1600</v>
      </c>
      <c r="AF169" s="161">
        <v>5</v>
      </c>
      <c r="AG169" s="164">
        <f>($L169*'Pivot Objective'!$C$9^6)*AE169*AF169</f>
        <v>5092162.300160083</v>
      </c>
      <c r="AH169" s="161">
        <f>100*2*8</f>
        <v>1600</v>
      </c>
      <c r="AI169" s="161">
        <v>5</v>
      </c>
      <c r="AJ169" s="164">
        <f>($L169*'Pivot Objective'!$C$9^7)*AH169*AI169</f>
        <v>5819939.7222010056</v>
      </c>
      <c r="AK169" s="185">
        <f t="shared" si="16"/>
        <v>30556443.76421503</v>
      </c>
      <c r="AL169" s="186">
        <f t="shared" si="17"/>
        <v>29666.450256519445</v>
      </c>
    </row>
    <row r="170" spans="1:38" ht="57.6" x14ac:dyDescent="0.3">
      <c r="A170" s="151" t="s">
        <v>1440</v>
      </c>
      <c r="B170" s="151">
        <v>1</v>
      </c>
      <c r="C170" s="152" t="s">
        <v>836</v>
      </c>
      <c r="D170" s="151" t="str">
        <f t="shared" ref="D170:D231" si="18">RIGHT(A170,1)</f>
        <v>1</v>
      </c>
      <c r="E170" s="153" t="s">
        <v>837</v>
      </c>
      <c r="F170" s="151">
        <f t="shared" ref="F170" si="19">IF(H170=H169,F169,F169+1)</f>
        <v>6</v>
      </c>
      <c r="G170" s="151" t="str">
        <f t="shared" ref="G170" si="20">B170&amp;"."&amp;D170&amp;"."&amp;F170</f>
        <v>1.1.6</v>
      </c>
      <c r="H170" s="156" t="s">
        <v>898</v>
      </c>
      <c r="I170" s="159" t="s">
        <v>899</v>
      </c>
      <c r="J170" s="159" t="s">
        <v>900</v>
      </c>
      <c r="K170" s="159" t="s">
        <v>841</v>
      </c>
      <c r="L170" s="160">
        <v>0</v>
      </c>
      <c r="M170" s="161">
        <v>0</v>
      </c>
      <c r="N170" s="161">
        <v>0</v>
      </c>
      <c r="O170" s="164">
        <f t="shared" si="15"/>
        <v>0</v>
      </c>
      <c r="P170" s="161">
        <v>0</v>
      </c>
      <c r="Q170" s="161">
        <v>0</v>
      </c>
      <c r="R170" s="164">
        <f>$L170*'Pivot Objective'!$C$9*P170*Q170</f>
        <v>0</v>
      </c>
      <c r="S170" s="161">
        <v>0</v>
      </c>
      <c r="T170" s="161">
        <v>0</v>
      </c>
      <c r="U170" s="164">
        <f>($L170*'Pivot Objective'!$C$9^2)*S170*T170</f>
        <v>0</v>
      </c>
      <c r="V170" s="161">
        <v>0</v>
      </c>
      <c r="W170" s="161">
        <v>0</v>
      </c>
      <c r="X170" s="164">
        <f>($L170*'Pivot Objective'!$C$9^3)*V170*W170</f>
        <v>0</v>
      </c>
      <c r="Y170" s="161">
        <v>0</v>
      </c>
      <c r="Z170" s="161">
        <v>0</v>
      </c>
      <c r="AA170" s="164">
        <f>($L170*'Pivot Objective'!$C$9^4)*Y170*Z170</f>
        <v>0</v>
      </c>
      <c r="AB170" s="151"/>
      <c r="AC170" s="151"/>
      <c r="AD170" s="164">
        <f>($L170*'Pivot Objective'!$C$9^5)*AB170*AC170</f>
        <v>0</v>
      </c>
      <c r="AE170" s="151"/>
      <c r="AF170" s="151"/>
      <c r="AG170" s="164">
        <f>($L170*'Pivot Objective'!$C$9^6)*AE170*AF170</f>
        <v>0</v>
      </c>
      <c r="AH170" s="151"/>
      <c r="AI170" s="151"/>
      <c r="AJ170" s="164">
        <f>($L170*'Pivot Objective'!$C$9^7)*AH170*AI170</f>
        <v>0</v>
      </c>
      <c r="AK170" s="185">
        <f t="shared" si="16"/>
        <v>0</v>
      </c>
      <c r="AL170" s="186">
        <f t="shared" si="17"/>
        <v>0</v>
      </c>
    </row>
    <row r="171" spans="1:38" ht="57.6" x14ac:dyDescent="0.3">
      <c r="A171" s="151" t="s">
        <v>1440</v>
      </c>
      <c r="B171" s="151">
        <v>1</v>
      </c>
      <c r="C171" s="152" t="s">
        <v>836</v>
      </c>
      <c r="D171" s="151" t="str">
        <f t="shared" si="18"/>
        <v>1</v>
      </c>
      <c r="E171" s="153" t="s">
        <v>837</v>
      </c>
      <c r="F171" s="151">
        <f t="shared" ref="F171:F232" si="21">IF(H171=H170,F170,F170+1)</f>
        <v>6</v>
      </c>
      <c r="G171" s="151" t="str">
        <f t="shared" ref="G171:G232" si="22">B171&amp;"."&amp;D171&amp;"."&amp;F171</f>
        <v>1.1.6</v>
      </c>
      <c r="H171" s="156" t="s">
        <v>898</v>
      </c>
      <c r="I171" s="159" t="s">
        <v>899</v>
      </c>
      <c r="J171" s="159" t="s">
        <v>901</v>
      </c>
      <c r="K171" s="159" t="s">
        <v>709</v>
      </c>
      <c r="L171" s="160">
        <v>35000</v>
      </c>
      <c r="M171" s="161">
        <v>30</v>
      </c>
      <c r="N171" s="161">
        <v>1</v>
      </c>
      <c r="O171" s="164">
        <f t="shared" si="15"/>
        <v>1050000</v>
      </c>
      <c r="P171" s="161">
        <v>0</v>
      </c>
      <c r="Q171" s="161">
        <v>0</v>
      </c>
      <c r="R171" s="164">
        <f>$L171*'Pivot Objective'!$C$9*P171*Q171</f>
        <v>0</v>
      </c>
      <c r="S171" s="161">
        <v>0</v>
      </c>
      <c r="T171" s="161">
        <v>0</v>
      </c>
      <c r="U171" s="164">
        <f>($L171*'Pivot Objective'!$C$9^2)*S171*T171</f>
        <v>0</v>
      </c>
      <c r="V171" s="161">
        <v>0</v>
      </c>
      <c r="W171" s="161">
        <v>0</v>
      </c>
      <c r="X171" s="164">
        <f>($L171*'Pivot Objective'!$C$9^3)*V171*W171</f>
        <v>0</v>
      </c>
      <c r="Y171" s="161">
        <v>0</v>
      </c>
      <c r="Z171" s="161">
        <v>0</v>
      </c>
      <c r="AA171" s="164">
        <f>($L171*'Pivot Objective'!$C$9^4)*Y171*Z171</f>
        <v>0</v>
      </c>
      <c r="AB171" s="151"/>
      <c r="AC171" s="151"/>
      <c r="AD171" s="164">
        <f>($L171*'Pivot Objective'!$C$9^5)*AB171*AC171</f>
        <v>0</v>
      </c>
      <c r="AE171" s="151"/>
      <c r="AF171" s="151"/>
      <c r="AG171" s="164">
        <f>($L171*'Pivot Objective'!$C$9^6)*AE171*AF171</f>
        <v>0</v>
      </c>
      <c r="AH171" s="151"/>
      <c r="AI171" s="151"/>
      <c r="AJ171" s="164">
        <f>($L171*'Pivot Objective'!$C$9^7)*AH171*AI171</f>
        <v>0</v>
      </c>
      <c r="AK171" s="185">
        <f t="shared" si="16"/>
        <v>1050000</v>
      </c>
      <c r="AL171" s="186">
        <f t="shared" si="17"/>
        <v>1019.4174757281553</v>
      </c>
    </row>
    <row r="172" spans="1:38" ht="57.6" x14ac:dyDescent="0.3">
      <c r="A172" s="151" t="s">
        <v>1440</v>
      </c>
      <c r="B172" s="151">
        <v>1</v>
      </c>
      <c r="C172" s="152" t="s">
        <v>836</v>
      </c>
      <c r="D172" s="151" t="str">
        <f t="shared" si="18"/>
        <v>1</v>
      </c>
      <c r="E172" s="153" t="s">
        <v>837</v>
      </c>
      <c r="F172" s="151">
        <f t="shared" si="21"/>
        <v>6</v>
      </c>
      <c r="G172" s="151" t="str">
        <f t="shared" si="22"/>
        <v>1.1.6</v>
      </c>
      <c r="H172" s="156" t="s">
        <v>898</v>
      </c>
      <c r="I172" s="159" t="s">
        <v>899</v>
      </c>
      <c r="J172" s="159" t="s">
        <v>902</v>
      </c>
      <c r="K172" s="159" t="s">
        <v>841</v>
      </c>
      <c r="L172" s="160">
        <v>0</v>
      </c>
      <c r="M172" s="161">
        <v>30</v>
      </c>
      <c r="N172" s="161">
        <v>0.5</v>
      </c>
      <c r="O172" s="164">
        <f t="shared" si="15"/>
        <v>0</v>
      </c>
      <c r="P172" s="161">
        <v>0</v>
      </c>
      <c r="Q172" s="161">
        <v>0</v>
      </c>
      <c r="R172" s="164">
        <f>$L172*'Pivot Objective'!$C$9*P172*Q172</f>
        <v>0</v>
      </c>
      <c r="S172" s="161">
        <v>0</v>
      </c>
      <c r="T172" s="161">
        <v>0</v>
      </c>
      <c r="U172" s="164">
        <f>($L172*'Pivot Objective'!$C$9^2)*S172*T172</f>
        <v>0</v>
      </c>
      <c r="V172" s="161">
        <v>0</v>
      </c>
      <c r="W172" s="161">
        <v>0</v>
      </c>
      <c r="X172" s="164">
        <f>($L172*'Pivot Objective'!$C$9^3)*V172*W172</f>
        <v>0</v>
      </c>
      <c r="Y172" s="161">
        <v>0</v>
      </c>
      <c r="Z172" s="161">
        <v>0</v>
      </c>
      <c r="AA172" s="164">
        <f>($L172*'Pivot Objective'!$C$9^4)*Y172*Z172</f>
        <v>0</v>
      </c>
      <c r="AB172" s="151"/>
      <c r="AC172" s="151"/>
      <c r="AD172" s="164">
        <f>($L172*'Pivot Objective'!$C$9^5)*AB172*AC172</f>
        <v>0</v>
      </c>
      <c r="AE172" s="151"/>
      <c r="AF172" s="151"/>
      <c r="AG172" s="164">
        <f>($L172*'Pivot Objective'!$C$9^6)*AE172*AF172</f>
        <v>0</v>
      </c>
      <c r="AH172" s="151"/>
      <c r="AI172" s="151"/>
      <c r="AJ172" s="164">
        <f>($L172*'Pivot Objective'!$C$9^7)*AH172*AI172</f>
        <v>0</v>
      </c>
      <c r="AK172" s="185">
        <f t="shared" si="16"/>
        <v>0</v>
      </c>
      <c r="AL172" s="186">
        <f t="shared" si="17"/>
        <v>0</v>
      </c>
    </row>
    <row r="173" spans="1:38" ht="57.6" x14ac:dyDescent="0.3">
      <c r="A173" s="151" t="s">
        <v>1440</v>
      </c>
      <c r="B173" s="151">
        <v>1</v>
      </c>
      <c r="C173" s="152" t="s">
        <v>836</v>
      </c>
      <c r="D173" s="151" t="str">
        <f t="shared" si="18"/>
        <v>1</v>
      </c>
      <c r="E173" s="153" t="s">
        <v>837</v>
      </c>
      <c r="F173" s="151">
        <f t="shared" si="21"/>
        <v>6</v>
      </c>
      <c r="G173" s="151" t="str">
        <f t="shared" si="22"/>
        <v>1.1.6</v>
      </c>
      <c r="H173" s="156" t="s">
        <v>898</v>
      </c>
      <c r="I173" s="159" t="s">
        <v>899</v>
      </c>
      <c r="J173" s="159" t="s">
        <v>903</v>
      </c>
      <c r="K173" s="159" t="s">
        <v>841</v>
      </c>
      <c r="L173" s="160">
        <v>0</v>
      </c>
      <c r="M173" s="161">
        <v>20</v>
      </c>
      <c r="N173" s="161">
        <v>1</v>
      </c>
      <c r="O173" s="164">
        <f t="shared" si="15"/>
        <v>0</v>
      </c>
      <c r="P173" s="161">
        <v>0</v>
      </c>
      <c r="Q173" s="161">
        <v>0</v>
      </c>
      <c r="R173" s="164">
        <f>$L173*'Pivot Objective'!$C$9*P173*Q173</f>
        <v>0</v>
      </c>
      <c r="S173" s="161">
        <v>0</v>
      </c>
      <c r="T173" s="161">
        <v>0</v>
      </c>
      <c r="U173" s="164">
        <f>($L173*'Pivot Objective'!$C$9^2)*S173*T173</f>
        <v>0</v>
      </c>
      <c r="V173" s="161">
        <v>0</v>
      </c>
      <c r="W173" s="161">
        <v>0</v>
      </c>
      <c r="X173" s="164">
        <f>($L173*'Pivot Objective'!$C$9^3)*V173*W173</f>
        <v>0</v>
      </c>
      <c r="Y173" s="161">
        <v>0</v>
      </c>
      <c r="Z173" s="161">
        <v>0</v>
      </c>
      <c r="AA173" s="164">
        <f>($L173*'Pivot Objective'!$C$9^4)*Y173*Z173</f>
        <v>0</v>
      </c>
      <c r="AB173" s="151"/>
      <c r="AC173" s="151"/>
      <c r="AD173" s="164">
        <f>($L173*'Pivot Objective'!$C$9^5)*AB173*AC173</f>
        <v>0</v>
      </c>
      <c r="AE173" s="151"/>
      <c r="AF173" s="151"/>
      <c r="AG173" s="164">
        <f>($L173*'Pivot Objective'!$C$9^6)*AE173*AF173</f>
        <v>0</v>
      </c>
      <c r="AH173" s="151"/>
      <c r="AI173" s="151"/>
      <c r="AJ173" s="164">
        <f>($L173*'Pivot Objective'!$C$9^7)*AH173*AI173</f>
        <v>0</v>
      </c>
      <c r="AK173" s="185">
        <f t="shared" si="16"/>
        <v>0</v>
      </c>
      <c r="AL173" s="186">
        <f t="shared" si="17"/>
        <v>0</v>
      </c>
    </row>
    <row r="174" spans="1:38" ht="57.6" x14ac:dyDescent="0.3">
      <c r="A174" s="151" t="s">
        <v>1440</v>
      </c>
      <c r="B174" s="151">
        <v>1</v>
      </c>
      <c r="C174" s="152" t="s">
        <v>836</v>
      </c>
      <c r="D174" s="151" t="str">
        <f t="shared" si="18"/>
        <v>1</v>
      </c>
      <c r="E174" s="153" t="s">
        <v>837</v>
      </c>
      <c r="F174" s="151">
        <f t="shared" si="21"/>
        <v>6</v>
      </c>
      <c r="G174" s="151" t="str">
        <f t="shared" si="22"/>
        <v>1.1.6</v>
      </c>
      <c r="H174" s="156" t="s">
        <v>898</v>
      </c>
      <c r="I174" s="159" t="s">
        <v>904</v>
      </c>
      <c r="J174" s="159" t="s">
        <v>905</v>
      </c>
      <c r="K174" s="159" t="s">
        <v>841</v>
      </c>
      <c r="L174" s="160">
        <v>0</v>
      </c>
      <c r="M174" s="161"/>
      <c r="N174" s="161"/>
      <c r="O174" s="164">
        <f t="shared" si="15"/>
        <v>0</v>
      </c>
      <c r="P174" s="161">
        <v>0</v>
      </c>
      <c r="Q174" s="161">
        <v>0</v>
      </c>
      <c r="R174" s="164">
        <f>$L174*'Pivot Objective'!$C$9*P174*Q174</f>
        <v>0</v>
      </c>
      <c r="S174" s="161">
        <v>0</v>
      </c>
      <c r="T174" s="161">
        <v>0</v>
      </c>
      <c r="U174" s="164">
        <f>($L174*'Pivot Objective'!$C$9^2)*S174*T174</f>
        <v>0</v>
      </c>
      <c r="V174" s="161">
        <v>0</v>
      </c>
      <c r="W174" s="161">
        <v>0</v>
      </c>
      <c r="X174" s="164">
        <f>($L174*'Pivot Objective'!$C$9^3)*V174*W174</f>
        <v>0</v>
      </c>
      <c r="Y174" s="161">
        <v>0</v>
      </c>
      <c r="Z174" s="161">
        <v>0</v>
      </c>
      <c r="AA174" s="164">
        <f>($L174*'Pivot Objective'!$C$9^4)*Y174*Z174</f>
        <v>0</v>
      </c>
      <c r="AB174" s="151"/>
      <c r="AC174" s="151"/>
      <c r="AD174" s="164">
        <f>($L174*'Pivot Objective'!$C$9^5)*AB174*AC174</f>
        <v>0</v>
      </c>
      <c r="AE174" s="151"/>
      <c r="AF174" s="151"/>
      <c r="AG174" s="164">
        <f>($L174*'Pivot Objective'!$C$9^6)*AE174*AF174</f>
        <v>0</v>
      </c>
      <c r="AH174" s="151"/>
      <c r="AI174" s="151"/>
      <c r="AJ174" s="164">
        <f>($L174*'Pivot Objective'!$C$9^7)*AH174*AI174</f>
        <v>0</v>
      </c>
      <c r="AK174" s="185">
        <f t="shared" si="16"/>
        <v>0</v>
      </c>
      <c r="AL174" s="186">
        <f t="shared" si="17"/>
        <v>0</v>
      </c>
    </row>
    <row r="175" spans="1:38" ht="57.6" x14ac:dyDescent="0.3">
      <c r="A175" s="151" t="s">
        <v>1440</v>
      </c>
      <c r="B175" s="151">
        <v>1</v>
      </c>
      <c r="C175" s="152" t="s">
        <v>836</v>
      </c>
      <c r="D175" s="151" t="str">
        <f t="shared" si="18"/>
        <v>1</v>
      </c>
      <c r="E175" s="153" t="s">
        <v>837</v>
      </c>
      <c r="F175" s="151">
        <f t="shared" si="21"/>
        <v>6</v>
      </c>
      <c r="G175" s="151" t="str">
        <f t="shared" si="22"/>
        <v>1.1.6</v>
      </c>
      <c r="H175" s="156" t="s">
        <v>898</v>
      </c>
      <c r="I175" s="159" t="s">
        <v>904</v>
      </c>
      <c r="J175" s="159" t="s">
        <v>906</v>
      </c>
      <c r="K175" s="159" t="s">
        <v>709</v>
      </c>
      <c r="L175" s="160">
        <v>35000</v>
      </c>
      <c r="M175" s="161">
        <v>10</v>
      </c>
      <c r="N175" s="161">
        <v>2</v>
      </c>
      <c r="O175" s="164">
        <f t="shared" si="15"/>
        <v>700000</v>
      </c>
      <c r="P175" s="161">
        <v>10</v>
      </c>
      <c r="Q175" s="161">
        <v>2</v>
      </c>
      <c r="R175" s="164">
        <f>$L175*'Pivot Objective'!$C$9*P175*Q175</f>
        <v>800044.76789999986</v>
      </c>
      <c r="S175" s="161">
        <v>10</v>
      </c>
      <c r="T175" s="161">
        <v>2</v>
      </c>
      <c r="U175" s="164">
        <f>($L175*'Pivot Objective'!$C$9^2)*S175*T175</f>
        <v>914388.04377737816</v>
      </c>
      <c r="V175" s="161">
        <v>10</v>
      </c>
      <c r="W175" s="161">
        <v>2</v>
      </c>
      <c r="X175" s="164">
        <f>($L175*'Pivot Objective'!$C$9^3)*V175*W175</f>
        <v>1045073.3860777251</v>
      </c>
      <c r="Y175" s="161">
        <v>10</v>
      </c>
      <c r="Z175" s="161">
        <v>2</v>
      </c>
      <c r="AA175" s="164">
        <f>($L175*'Pivot Objective'!$C$9^4)*Y175*Z175</f>
        <v>1194436.4208614579</v>
      </c>
      <c r="AB175" s="161">
        <v>10</v>
      </c>
      <c r="AC175" s="161">
        <v>2</v>
      </c>
      <c r="AD175" s="164">
        <f>($L175*'Pivot Objective'!$C$9^5)*AB175*AC175</f>
        <v>1365146.5844277311</v>
      </c>
      <c r="AE175" s="161">
        <v>10</v>
      </c>
      <c r="AF175" s="161">
        <v>2</v>
      </c>
      <c r="AG175" s="164">
        <f>($L175*'Pivot Objective'!$C$9^6)*AE175*AF175</f>
        <v>1560254.8318399454</v>
      </c>
      <c r="AH175" s="161">
        <v>10</v>
      </c>
      <c r="AI175" s="161">
        <v>2</v>
      </c>
      <c r="AJ175" s="164">
        <f>($L175*'Pivot Objective'!$C$9^7)*AH175*AI175</f>
        <v>1783248.1640060609</v>
      </c>
      <c r="AK175" s="185">
        <f t="shared" si="16"/>
        <v>9362592.1988902986</v>
      </c>
      <c r="AL175" s="186">
        <f t="shared" si="17"/>
        <v>9089.8953387284455</v>
      </c>
    </row>
    <row r="176" spans="1:38" ht="57.6" x14ac:dyDescent="0.3">
      <c r="A176" s="151" t="s">
        <v>1440</v>
      </c>
      <c r="B176" s="151">
        <v>1</v>
      </c>
      <c r="C176" s="152" t="s">
        <v>836</v>
      </c>
      <c r="D176" s="151" t="str">
        <f t="shared" si="18"/>
        <v>1</v>
      </c>
      <c r="E176" s="153" t="s">
        <v>837</v>
      </c>
      <c r="F176" s="151">
        <f t="shared" si="21"/>
        <v>7</v>
      </c>
      <c r="G176" s="151" t="str">
        <f t="shared" si="22"/>
        <v>1.1.7</v>
      </c>
      <c r="H176" s="156" t="s">
        <v>1683</v>
      </c>
      <c r="I176" s="159" t="s">
        <v>908</v>
      </c>
      <c r="J176" s="159" t="s">
        <v>909</v>
      </c>
      <c r="K176" s="159" t="s">
        <v>841</v>
      </c>
      <c r="L176" s="160">
        <v>0</v>
      </c>
      <c r="M176" s="161">
        <v>0</v>
      </c>
      <c r="N176" s="161">
        <v>0</v>
      </c>
      <c r="O176" s="164">
        <f t="shared" si="15"/>
        <v>0</v>
      </c>
      <c r="P176" s="161">
        <v>0</v>
      </c>
      <c r="Q176" s="161">
        <v>0</v>
      </c>
      <c r="R176" s="164">
        <f>$L176*'Pivot Objective'!$C$9*P176*Q176</f>
        <v>0</v>
      </c>
      <c r="S176" s="161">
        <v>15</v>
      </c>
      <c r="T176" s="161">
        <v>1</v>
      </c>
      <c r="U176" s="164">
        <f>($L176*'Pivot Objective'!$C$9^2)*S176*T176</f>
        <v>0</v>
      </c>
      <c r="V176" s="161">
        <v>0</v>
      </c>
      <c r="W176" s="161">
        <v>0</v>
      </c>
      <c r="X176" s="164">
        <f>($L176*'Pivot Objective'!$C$9^3)*V176*W176</f>
        <v>0</v>
      </c>
      <c r="Y176" s="161">
        <v>0</v>
      </c>
      <c r="Z176" s="161">
        <v>0</v>
      </c>
      <c r="AA176" s="164">
        <f>($L176*'Pivot Objective'!$C$9^4)*Y176*Z176</f>
        <v>0</v>
      </c>
      <c r="AB176" s="151"/>
      <c r="AC176" s="151"/>
      <c r="AD176" s="164">
        <f>($L176*'Pivot Objective'!$C$9^5)*AB176*AC176</f>
        <v>0</v>
      </c>
      <c r="AE176" s="151"/>
      <c r="AF176" s="151"/>
      <c r="AG176" s="164">
        <f>($L176*'Pivot Objective'!$C$9^6)*AE176*AF176</f>
        <v>0</v>
      </c>
      <c r="AH176" s="151"/>
      <c r="AI176" s="151"/>
      <c r="AJ176" s="164">
        <f>($L176*'Pivot Objective'!$C$9^7)*AH176*AI176</f>
        <v>0</v>
      </c>
      <c r="AK176" s="185">
        <f t="shared" si="16"/>
        <v>0</v>
      </c>
      <c r="AL176" s="186">
        <f t="shared" si="17"/>
        <v>0</v>
      </c>
    </row>
    <row r="177" spans="1:38" ht="57.6" x14ac:dyDescent="0.3">
      <c r="A177" s="151" t="s">
        <v>1440</v>
      </c>
      <c r="B177" s="151">
        <v>1</v>
      </c>
      <c r="C177" s="152" t="s">
        <v>836</v>
      </c>
      <c r="D177" s="151" t="str">
        <f t="shared" si="18"/>
        <v>1</v>
      </c>
      <c r="E177" s="153" t="s">
        <v>837</v>
      </c>
      <c r="F177" s="151">
        <f t="shared" si="21"/>
        <v>7</v>
      </c>
      <c r="G177" s="151" t="str">
        <f t="shared" si="22"/>
        <v>1.1.7</v>
      </c>
      <c r="H177" s="156" t="s">
        <v>1683</v>
      </c>
      <c r="I177" s="159" t="s">
        <v>908</v>
      </c>
      <c r="J177" s="159" t="s">
        <v>910</v>
      </c>
      <c r="K177" s="159" t="s">
        <v>841</v>
      </c>
      <c r="L177" s="160">
        <v>0</v>
      </c>
      <c r="M177" s="161"/>
      <c r="N177" s="161"/>
      <c r="O177" s="164">
        <f t="shared" si="15"/>
        <v>0</v>
      </c>
      <c r="P177" s="161">
        <v>0</v>
      </c>
      <c r="Q177" s="161">
        <v>0</v>
      </c>
      <c r="R177" s="164">
        <f>$L177*'Pivot Objective'!$C$9*P177*Q177</f>
        <v>0</v>
      </c>
      <c r="S177" s="161">
        <v>0</v>
      </c>
      <c r="T177" s="161">
        <v>0</v>
      </c>
      <c r="U177" s="164">
        <f>($L177*'Pivot Objective'!$C$9^2)*S177*T177</f>
        <v>0</v>
      </c>
      <c r="V177" s="161">
        <v>0</v>
      </c>
      <c r="W177" s="161">
        <v>0</v>
      </c>
      <c r="X177" s="164">
        <f>($L177*'Pivot Objective'!$C$9^3)*V177*W177</f>
        <v>0</v>
      </c>
      <c r="Y177" s="161">
        <v>0</v>
      </c>
      <c r="Z177" s="161">
        <v>0</v>
      </c>
      <c r="AA177" s="164">
        <f>($L177*'Pivot Objective'!$C$9^4)*Y177*Z177</f>
        <v>0</v>
      </c>
      <c r="AB177" s="151"/>
      <c r="AC177" s="151"/>
      <c r="AD177" s="164">
        <f>($L177*'Pivot Objective'!$C$9^5)*AB177*AC177</f>
        <v>0</v>
      </c>
      <c r="AE177" s="151"/>
      <c r="AF177" s="151"/>
      <c r="AG177" s="164">
        <f>($L177*'Pivot Objective'!$C$9^6)*AE177*AF177</f>
        <v>0</v>
      </c>
      <c r="AH177" s="151"/>
      <c r="AI177" s="151"/>
      <c r="AJ177" s="164">
        <f>($L177*'Pivot Objective'!$C$9^7)*AH177*AI177</f>
        <v>0</v>
      </c>
      <c r="AK177" s="185">
        <f t="shared" si="16"/>
        <v>0</v>
      </c>
      <c r="AL177" s="186">
        <f t="shared" si="17"/>
        <v>0</v>
      </c>
    </row>
    <row r="178" spans="1:38" ht="57.6" x14ac:dyDescent="0.3">
      <c r="A178" s="151" t="s">
        <v>1440</v>
      </c>
      <c r="B178" s="151">
        <v>1</v>
      </c>
      <c r="C178" s="152" t="s">
        <v>836</v>
      </c>
      <c r="D178" s="151" t="str">
        <f t="shared" si="18"/>
        <v>1</v>
      </c>
      <c r="E178" s="153" t="s">
        <v>837</v>
      </c>
      <c r="F178" s="151">
        <f t="shared" si="21"/>
        <v>7</v>
      </c>
      <c r="G178" s="151" t="str">
        <f t="shared" si="22"/>
        <v>1.1.7</v>
      </c>
      <c r="H178" s="156" t="s">
        <v>1683</v>
      </c>
      <c r="I178" s="159" t="s">
        <v>908</v>
      </c>
      <c r="J178" s="159" t="s">
        <v>164</v>
      </c>
      <c r="K178" s="159" t="s">
        <v>841</v>
      </c>
      <c r="L178" s="160">
        <v>0</v>
      </c>
      <c r="M178" s="161"/>
      <c r="N178" s="161"/>
      <c r="O178" s="164">
        <f t="shared" si="15"/>
        <v>0</v>
      </c>
      <c r="P178" s="161">
        <v>0</v>
      </c>
      <c r="Q178" s="161">
        <v>0</v>
      </c>
      <c r="R178" s="164">
        <f>$L178*'Pivot Objective'!$C$9*P178*Q178</f>
        <v>0</v>
      </c>
      <c r="S178" s="161">
        <v>0</v>
      </c>
      <c r="T178" s="161">
        <v>0</v>
      </c>
      <c r="U178" s="164">
        <f>($L178*'Pivot Objective'!$C$9^2)*S178*T178</f>
        <v>0</v>
      </c>
      <c r="V178" s="161">
        <v>0</v>
      </c>
      <c r="W178" s="161">
        <v>0</v>
      </c>
      <c r="X178" s="164">
        <f>($L178*'Pivot Objective'!$C$9^3)*V178*W178</f>
        <v>0</v>
      </c>
      <c r="Y178" s="161">
        <v>0</v>
      </c>
      <c r="Z178" s="161">
        <v>0</v>
      </c>
      <c r="AA178" s="164">
        <f>($L178*'Pivot Objective'!$C$9^4)*Y178*Z178</f>
        <v>0</v>
      </c>
      <c r="AB178" s="151"/>
      <c r="AC178" s="151"/>
      <c r="AD178" s="164">
        <f>($L178*'Pivot Objective'!$C$9^5)*AB178*AC178</f>
        <v>0</v>
      </c>
      <c r="AE178" s="151"/>
      <c r="AF178" s="151"/>
      <c r="AG178" s="164">
        <f>($L178*'Pivot Objective'!$C$9^6)*AE178*AF178</f>
        <v>0</v>
      </c>
      <c r="AH178" s="151"/>
      <c r="AI178" s="151"/>
      <c r="AJ178" s="164">
        <f>($L178*'Pivot Objective'!$C$9^7)*AH178*AI178</f>
        <v>0</v>
      </c>
      <c r="AK178" s="185">
        <f t="shared" si="16"/>
        <v>0</v>
      </c>
      <c r="AL178" s="186">
        <f t="shared" si="17"/>
        <v>0</v>
      </c>
    </row>
    <row r="179" spans="1:38" ht="57.6" x14ac:dyDescent="0.3">
      <c r="A179" s="151" t="s">
        <v>1440</v>
      </c>
      <c r="B179" s="151">
        <v>1</v>
      </c>
      <c r="C179" s="152" t="s">
        <v>836</v>
      </c>
      <c r="D179" s="151" t="str">
        <f t="shared" si="18"/>
        <v>1</v>
      </c>
      <c r="E179" s="153" t="s">
        <v>837</v>
      </c>
      <c r="F179" s="151">
        <f t="shared" si="21"/>
        <v>7</v>
      </c>
      <c r="G179" s="151" t="str">
        <f t="shared" si="22"/>
        <v>1.1.7</v>
      </c>
      <c r="H179" s="156" t="s">
        <v>1683</v>
      </c>
      <c r="I179" s="159" t="s">
        <v>908</v>
      </c>
      <c r="J179" s="159" t="s">
        <v>165</v>
      </c>
      <c r="K179" s="159" t="s">
        <v>707</v>
      </c>
      <c r="L179" s="160">
        <v>391991.03749999998</v>
      </c>
      <c r="M179" s="161"/>
      <c r="N179" s="161"/>
      <c r="O179" s="164">
        <f t="shared" si="15"/>
        <v>0</v>
      </c>
      <c r="P179" s="161">
        <v>0</v>
      </c>
      <c r="Q179" s="161">
        <v>0</v>
      </c>
      <c r="R179" s="164">
        <f>$L179*'Pivot Objective'!$C$9*P179*Q179</f>
        <v>0</v>
      </c>
      <c r="S179" s="161">
        <v>2</v>
      </c>
      <c r="T179" s="161">
        <v>2</v>
      </c>
      <c r="U179" s="164">
        <f>($L179*'Pivot Objective'!$C$9^2)*S179*T179</f>
        <v>2048182.3883307995</v>
      </c>
      <c r="V179" s="161">
        <v>0</v>
      </c>
      <c r="W179" s="161">
        <v>0</v>
      </c>
      <c r="X179" s="164">
        <f>($L179*'Pivot Objective'!$C$9^3)*V179*W179</f>
        <v>0</v>
      </c>
      <c r="Y179" s="161">
        <v>0</v>
      </c>
      <c r="Z179" s="161">
        <v>0</v>
      </c>
      <c r="AA179" s="164">
        <f>($L179*'Pivot Objective'!$C$9^4)*Y179*Z179</f>
        <v>0</v>
      </c>
      <c r="AB179" s="151"/>
      <c r="AC179" s="151"/>
      <c r="AD179" s="164">
        <f>($L179*'Pivot Objective'!$C$9^5)*AB179*AC179</f>
        <v>0</v>
      </c>
      <c r="AE179" s="151"/>
      <c r="AF179" s="151"/>
      <c r="AG179" s="164">
        <f>($L179*'Pivot Objective'!$C$9^6)*AE179*AF179</f>
        <v>0</v>
      </c>
      <c r="AH179" s="151"/>
      <c r="AI179" s="151"/>
      <c r="AJ179" s="164">
        <f>($L179*'Pivot Objective'!$C$9^7)*AH179*AI179</f>
        <v>0</v>
      </c>
      <c r="AK179" s="185">
        <f t="shared" si="16"/>
        <v>2048182.3883307995</v>
      </c>
      <c r="AL179" s="186">
        <f t="shared" si="17"/>
        <v>1988.5265906124266</v>
      </c>
    </row>
    <row r="180" spans="1:38" ht="57.6" x14ac:dyDescent="0.3">
      <c r="A180" s="151" t="s">
        <v>1440</v>
      </c>
      <c r="B180" s="151">
        <v>1</v>
      </c>
      <c r="C180" s="152" t="s">
        <v>836</v>
      </c>
      <c r="D180" s="151" t="str">
        <f t="shared" si="18"/>
        <v>1</v>
      </c>
      <c r="E180" s="153" t="s">
        <v>837</v>
      </c>
      <c r="F180" s="151">
        <f t="shared" si="21"/>
        <v>7</v>
      </c>
      <c r="G180" s="151" t="str">
        <f t="shared" si="22"/>
        <v>1.1.7</v>
      </c>
      <c r="H180" s="156" t="s">
        <v>1683</v>
      </c>
      <c r="I180" s="159" t="s">
        <v>908</v>
      </c>
      <c r="J180" s="159" t="s">
        <v>165</v>
      </c>
      <c r="K180" s="159" t="s">
        <v>708</v>
      </c>
      <c r="L180" s="160">
        <f>500*1022</f>
        <v>511000</v>
      </c>
      <c r="M180" s="161"/>
      <c r="N180" s="161"/>
      <c r="O180" s="164">
        <f t="shared" si="15"/>
        <v>0</v>
      </c>
      <c r="P180" s="161">
        <v>0</v>
      </c>
      <c r="Q180" s="161">
        <v>0</v>
      </c>
      <c r="R180" s="164">
        <f>$L180*'Pivot Objective'!$C$9*P180*Q180</f>
        <v>0</v>
      </c>
      <c r="S180" s="161">
        <v>1</v>
      </c>
      <c r="T180" s="161">
        <v>25</v>
      </c>
      <c r="U180" s="164">
        <f>($L180*'Pivot Objective'!$C$9^2)*S180*T180</f>
        <v>16687581.798937155</v>
      </c>
      <c r="V180" s="161">
        <v>0</v>
      </c>
      <c r="W180" s="161">
        <v>0</v>
      </c>
      <c r="X180" s="164">
        <f>($L180*'Pivot Objective'!$C$9^3)*V180*W180</f>
        <v>0</v>
      </c>
      <c r="Y180" s="161">
        <v>0</v>
      </c>
      <c r="Z180" s="161">
        <v>0</v>
      </c>
      <c r="AA180" s="164">
        <f>($L180*'Pivot Objective'!$C$9^4)*Y180*Z180</f>
        <v>0</v>
      </c>
      <c r="AB180" s="151"/>
      <c r="AC180" s="151"/>
      <c r="AD180" s="164">
        <f>($L180*'Pivot Objective'!$C$9^5)*AB180*AC180</f>
        <v>0</v>
      </c>
      <c r="AE180" s="151"/>
      <c r="AF180" s="151"/>
      <c r="AG180" s="164">
        <f>($L180*'Pivot Objective'!$C$9^6)*AE180*AF180</f>
        <v>0</v>
      </c>
      <c r="AH180" s="151"/>
      <c r="AI180" s="151"/>
      <c r="AJ180" s="164">
        <f>($L180*'Pivot Objective'!$C$9^7)*AH180*AI180</f>
        <v>0</v>
      </c>
      <c r="AK180" s="185">
        <f t="shared" si="16"/>
        <v>16687581.798937155</v>
      </c>
      <c r="AL180" s="186">
        <f t="shared" si="17"/>
        <v>16201.535727123452</v>
      </c>
    </row>
    <row r="181" spans="1:38" ht="57.6" x14ac:dyDescent="0.3">
      <c r="A181" s="151" t="s">
        <v>1440</v>
      </c>
      <c r="B181" s="151">
        <v>1</v>
      </c>
      <c r="C181" s="152" t="s">
        <v>836</v>
      </c>
      <c r="D181" s="151" t="str">
        <f t="shared" si="18"/>
        <v>1</v>
      </c>
      <c r="E181" s="153" t="s">
        <v>837</v>
      </c>
      <c r="F181" s="151">
        <f t="shared" si="21"/>
        <v>7</v>
      </c>
      <c r="G181" s="151" t="str">
        <f t="shared" si="22"/>
        <v>1.1.7</v>
      </c>
      <c r="H181" s="156" t="s">
        <v>1683</v>
      </c>
      <c r="I181" s="159" t="s">
        <v>908</v>
      </c>
      <c r="J181" s="159" t="s">
        <v>911</v>
      </c>
      <c r="K181" s="159" t="s">
        <v>841</v>
      </c>
      <c r="L181" s="160">
        <v>0</v>
      </c>
      <c r="M181" s="161"/>
      <c r="N181" s="161"/>
      <c r="O181" s="164">
        <f t="shared" si="15"/>
        <v>0</v>
      </c>
      <c r="P181" s="161">
        <v>0</v>
      </c>
      <c r="Q181" s="161">
        <v>0</v>
      </c>
      <c r="R181" s="164">
        <f>$L181*'Pivot Objective'!$C$9*P181*Q181</f>
        <v>0</v>
      </c>
      <c r="S181" s="161">
        <v>0</v>
      </c>
      <c r="T181" s="161">
        <v>0</v>
      </c>
      <c r="U181" s="164">
        <f>($L181*'Pivot Objective'!$C$9^2)*S181*T181</f>
        <v>0</v>
      </c>
      <c r="V181" s="161">
        <v>0</v>
      </c>
      <c r="W181" s="161">
        <v>0</v>
      </c>
      <c r="X181" s="164">
        <f>($L181*'Pivot Objective'!$C$9^3)*V181*W181</f>
        <v>0</v>
      </c>
      <c r="Y181" s="161">
        <v>0</v>
      </c>
      <c r="Z181" s="161">
        <v>0</v>
      </c>
      <c r="AA181" s="164">
        <f>($L181*'Pivot Objective'!$C$9^4)*Y181*Z181</f>
        <v>0</v>
      </c>
      <c r="AB181" s="151"/>
      <c r="AC181" s="151"/>
      <c r="AD181" s="164">
        <f>($L181*'Pivot Objective'!$C$9^5)*AB181*AC181</f>
        <v>0</v>
      </c>
      <c r="AE181" s="151"/>
      <c r="AF181" s="151"/>
      <c r="AG181" s="164">
        <f>($L181*'Pivot Objective'!$C$9^6)*AE181*AF181</f>
        <v>0</v>
      </c>
      <c r="AH181" s="151"/>
      <c r="AI181" s="151"/>
      <c r="AJ181" s="164">
        <f>($L181*'Pivot Objective'!$C$9^7)*AH181*AI181</f>
        <v>0</v>
      </c>
      <c r="AK181" s="185">
        <f t="shared" si="16"/>
        <v>0</v>
      </c>
      <c r="AL181" s="186">
        <f t="shared" si="17"/>
        <v>0</v>
      </c>
    </row>
    <row r="182" spans="1:38" ht="57.6" x14ac:dyDescent="0.3">
      <c r="A182" s="151" t="s">
        <v>1440</v>
      </c>
      <c r="B182" s="151">
        <v>1</v>
      </c>
      <c r="C182" s="152" t="s">
        <v>836</v>
      </c>
      <c r="D182" s="151" t="str">
        <f t="shared" si="18"/>
        <v>1</v>
      </c>
      <c r="E182" s="153" t="s">
        <v>837</v>
      </c>
      <c r="F182" s="151">
        <f t="shared" si="21"/>
        <v>7</v>
      </c>
      <c r="G182" s="151" t="str">
        <f t="shared" si="22"/>
        <v>1.1.7</v>
      </c>
      <c r="H182" s="156" t="s">
        <v>1683</v>
      </c>
      <c r="I182" s="159" t="s">
        <v>908</v>
      </c>
      <c r="J182" s="159" t="s">
        <v>912</v>
      </c>
      <c r="K182" s="159" t="s">
        <v>841</v>
      </c>
      <c r="L182" s="160">
        <v>0</v>
      </c>
      <c r="M182" s="161"/>
      <c r="N182" s="161"/>
      <c r="O182" s="164">
        <f t="shared" si="15"/>
        <v>0</v>
      </c>
      <c r="P182" s="161">
        <v>0</v>
      </c>
      <c r="Q182" s="161">
        <v>0</v>
      </c>
      <c r="R182" s="164">
        <f>$L182*'Pivot Objective'!$C$9*P182*Q182</f>
        <v>0</v>
      </c>
      <c r="S182" s="161">
        <v>0</v>
      </c>
      <c r="T182" s="161">
        <v>0</v>
      </c>
      <c r="U182" s="164">
        <f>($L182*'Pivot Objective'!$C$9^2)*S182*T182</f>
        <v>0</v>
      </c>
      <c r="V182" s="161">
        <v>0</v>
      </c>
      <c r="W182" s="161">
        <v>0</v>
      </c>
      <c r="X182" s="164">
        <f>($L182*'Pivot Objective'!$C$9^3)*V182*W182</f>
        <v>0</v>
      </c>
      <c r="Y182" s="161">
        <v>0</v>
      </c>
      <c r="Z182" s="161">
        <v>0</v>
      </c>
      <c r="AA182" s="164">
        <f>($L182*'Pivot Objective'!$C$9^4)*Y182*Z182</f>
        <v>0</v>
      </c>
      <c r="AB182" s="151"/>
      <c r="AC182" s="151"/>
      <c r="AD182" s="164">
        <f>($L182*'Pivot Objective'!$C$9^5)*AB182*AC182</f>
        <v>0</v>
      </c>
      <c r="AE182" s="151"/>
      <c r="AF182" s="151"/>
      <c r="AG182" s="164">
        <f>($L182*'Pivot Objective'!$C$9^6)*AE182*AF182</f>
        <v>0</v>
      </c>
      <c r="AH182" s="151"/>
      <c r="AI182" s="151"/>
      <c r="AJ182" s="164">
        <f>($L182*'Pivot Objective'!$C$9^7)*AH182*AI182</f>
        <v>0</v>
      </c>
      <c r="AK182" s="185">
        <f t="shared" si="16"/>
        <v>0</v>
      </c>
      <c r="AL182" s="186">
        <f t="shared" si="17"/>
        <v>0</v>
      </c>
    </row>
    <row r="183" spans="1:38" ht="57.6" x14ac:dyDescent="0.3">
      <c r="A183" s="151" t="s">
        <v>1440</v>
      </c>
      <c r="B183" s="151">
        <v>1</v>
      </c>
      <c r="C183" s="152" t="s">
        <v>836</v>
      </c>
      <c r="D183" s="151" t="str">
        <f t="shared" si="18"/>
        <v>1</v>
      </c>
      <c r="E183" s="153" t="s">
        <v>837</v>
      </c>
      <c r="F183" s="151">
        <f t="shared" si="21"/>
        <v>7</v>
      </c>
      <c r="G183" s="151" t="str">
        <f t="shared" si="22"/>
        <v>1.1.7</v>
      </c>
      <c r="H183" s="156" t="s">
        <v>1683</v>
      </c>
      <c r="I183" s="159" t="s">
        <v>908</v>
      </c>
      <c r="J183" s="159" t="s">
        <v>913</v>
      </c>
      <c r="K183" s="159" t="s">
        <v>709</v>
      </c>
      <c r="L183" s="160">
        <v>35000</v>
      </c>
      <c r="M183" s="161"/>
      <c r="N183" s="161"/>
      <c r="O183" s="164">
        <f t="shared" si="15"/>
        <v>0</v>
      </c>
      <c r="P183" s="161">
        <v>0</v>
      </c>
      <c r="Q183" s="161">
        <v>0</v>
      </c>
      <c r="R183" s="164">
        <f>$L183*'Pivot Objective'!$C$9*P183*Q183</f>
        <v>0</v>
      </c>
      <c r="S183" s="161">
        <v>25</v>
      </c>
      <c r="T183" s="161">
        <v>5</v>
      </c>
      <c r="U183" s="164">
        <f>($L183*'Pivot Objective'!$C$9^2)*S183*T183</f>
        <v>5714925.2736086138</v>
      </c>
      <c r="V183" s="161">
        <v>0</v>
      </c>
      <c r="W183" s="161">
        <v>0</v>
      </c>
      <c r="X183" s="164">
        <f>($L183*'Pivot Objective'!$C$9^3)*V183*W183</f>
        <v>0</v>
      </c>
      <c r="Y183" s="161">
        <v>0</v>
      </c>
      <c r="Z183" s="161">
        <v>0</v>
      </c>
      <c r="AA183" s="164">
        <f>($L183*'Pivot Objective'!$C$9^4)*Y183*Z183</f>
        <v>0</v>
      </c>
      <c r="AB183" s="151"/>
      <c r="AC183" s="151"/>
      <c r="AD183" s="164">
        <f>($L183*'Pivot Objective'!$C$9^5)*AB183*AC183</f>
        <v>0</v>
      </c>
      <c r="AE183" s="151"/>
      <c r="AF183" s="151"/>
      <c r="AG183" s="164">
        <f>($L183*'Pivot Objective'!$C$9^6)*AE183*AF183</f>
        <v>0</v>
      </c>
      <c r="AH183" s="151"/>
      <c r="AI183" s="151"/>
      <c r="AJ183" s="164">
        <f>($L183*'Pivot Objective'!$C$9^7)*AH183*AI183</f>
        <v>0</v>
      </c>
      <c r="AK183" s="185">
        <f t="shared" si="16"/>
        <v>5714925.2736086138</v>
      </c>
      <c r="AL183" s="186">
        <f t="shared" si="17"/>
        <v>5548.4711394258384</v>
      </c>
    </row>
    <row r="184" spans="1:38" ht="57.6" x14ac:dyDescent="0.3">
      <c r="A184" s="151" t="s">
        <v>1440</v>
      </c>
      <c r="B184" s="151">
        <v>1</v>
      </c>
      <c r="C184" s="152" t="s">
        <v>836</v>
      </c>
      <c r="D184" s="151" t="str">
        <f t="shared" si="18"/>
        <v>1</v>
      </c>
      <c r="E184" s="153" t="s">
        <v>837</v>
      </c>
      <c r="F184" s="151">
        <f t="shared" si="21"/>
        <v>7</v>
      </c>
      <c r="G184" s="151" t="str">
        <f t="shared" si="22"/>
        <v>1.1.7</v>
      </c>
      <c r="H184" s="156" t="s">
        <v>1683</v>
      </c>
      <c r="I184" s="159" t="s">
        <v>908</v>
      </c>
      <c r="J184" s="159" t="s">
        <v>913</v>
      </c>
      <c r="K184" s="159" t="s">
        <v>710</v>
      </c>
      <c r="L184" s="160">
        <v>104850</v>
      </c>
      <c r="M184" s="161"/>
      <c r="N184" s="161"/>
      <c r="O184" s="164">
        <f t="shared" si="15"/>
        <v>0</v>
      </c>
      <c r="P184" s="161">
        <v>0</v>
      </c>
      <c r="Q184" s="161">
        <v>0</v>
      </c>
      <c r="R184" s="164">
        <f>$L184*'Pivot Objective'!$C$9*P184*Q184</f>
        <v>0</v>
      </c>
      <c r="S184" s="161">
        <v>1</v>
      </c>
      <c r="T184" s="161">
        <v>1</v>
      </c>
      <c r="U184" s="164">
        <f>($L184*'Pivot Objective'!$C$9^2)*S184*T184</f>
        <v>136962.26627151159</v>
      </c>
      <c r="V184" s="161">
        <v>0</v>
      </c>
      <c r="W184" s="161">
        <v>0</v>
      </c>
      <c r="X184" s="164">
        <f>($L184*'Pivot Objective'!$C$9^3)*V184*W184</f>
        <v>0</v>
      </c>
      <c r="Y184" s="161">
        <v>0</v>
      </c>
      <c r="Z184" s="161">
        <v>0</v>
      </c>
      <c r="AA184" s="164">
        <f>($L184*'Pivot Objective'!$C$9^4)*Y184*Z184</f>
        <v>0</v>
      </c>
      <c r="AB184" s="151"/>
      <c r="AC184" s="151"/>
      <c r="AD184" s="164">
        <f>($L184*'Pivot Objective'!$C$9^5)*AB184*AC184</f>
        <v>0</v>
      </c>
      <c r="AE184" s="151"/>
      <c r="AF184" s="151"/>
      <c r="AG184" s="164">
        <f>($L184*'Pivot Objective'!$C$9^6)*AE184*AF184</f>
        <v>0</v>
      </c>
      <c r="AH184" s="151"/>
      <c r="AI184" s="151"/>
      <c r="AJ184" s="164">
        <f>($L184*'Pivot Objective'!$C$9^7)*AH184*AI184</f>
        <v>0</v>
      </c>
      <c r="AK184" s="185">
        <f t="shared" si="16"/>
        <v>136962.26627151159</v>
      </c>
      <c r="AL184" s="186">
        <f t="shared" si="17"/>
        <v>132.97307405001126</v>
      </c>
    </row>
    <row r="185" spans="1:38" ht="57.6" x14ac:dyDescent="0.3">
      <c r="A185" s="151" t="s">
        <v>1440</v>
      </c>
      <c r="B185" s="151">
        <v>1</v>
      </c>
      <c r="C185" s="152" t="s">
        <v>836</v>
      </c>
      <c r="D185" s="151" t="str">
        <f t="shared" si="18"/>
        <v>1</v>
      </c>
      <c r="E185" s="153" t="s">
        <v>837</v>
      </c>
      <c r="F185" s="151">
        <f t="shared" si="21"/>
        <v>7</v>
      </c>
      <c r="G185" s="151" t="str">
        <f t="shared" si="22"/>
        <v>1.1.7</v>
      </c>
      <c r="H185" s="156" t="s">
        <v>1683</v>
      </c>
      <c r="I185" s="159" t="s">
        <v>908</v>
      </c>
      <c r="J185" s="159" t="s">
        <v>913</v>
      </c>
      <c r="K185" s="159" t="s">
        <v>1297</v>
      </c>
      <c r="L185" s="160">
        <v>8000</v>
      </c>
      <c r="M185" s="161"/>
      <c r="N185" s="161"/>
      <c r="O185" s="164">
        <f t="shared" si="15"/>
        <v>0</v>
      </c>
      <c r="P185" s="161">
        <v>0</v>
      </c>
      <c r="Q185" s="161">
        <v>0</v>
      </c>
      <c r="R185" s="164">
        <f>$L185*'Pivot Objective'!$C$9*P185*Q185</f>
        <v>0</v>
      </c>
      <c r="S185" s="161">
        <v>10</v>
      </c>
      <c r="T185" s="161">
        <v>1</v>
      </c>
      <c r="U185" s="164">
        <f>($L185*'Pivot Objective'!$C$9^2)*S185*T185</f>
        <v>104501.49071741465</v>
      </c>
      <c r="V185" s="161">
        <v>0</v>
      </c>
      <c r="W185" s="161">
        <v>0</v>
      </c>
      <c r="X185" s="164">
        <f>($L185*'Pivot Objective'!$C$9^3)*V185*W185</f>
        <v>0</v>
      </c>
      <c r="Y185" s="161">
        <v>0</v>
      </c>
      <c r="Z185" s="161">
        <v>0</v>
      </c>
      <c r="AA185" s="164">
        <f>($L185*'Pivot Objective'!$C$9^4)*Y185*Z185</f>
        <v>0</v>
      </c>
      <c r="AB185" s="151"/>
      <c r="AC185" s="151"/>
      <c r="AD185" s="164">
        <f>($L185*'Pivot Objective'!$C$9^5)*AB185*AC185</f>
        <v>0</v>
      </c>
      <c r="AE185" s="151"/>
      <c r="AF185" s="151"/>
      <c r="AG185" s="164">
        <f>($L185*'Pivot Objective'!$C$9^6)*AE185*AF185</f>
        <v>0</v>
      </c>
      <c r="AH185" s="151"/>
      <c r="AI185" s="151"/>
      <c r="AJ185" s="164">
        <f>($L185*'Pivot Objective'!$C$9^7)*AH185*AI185</f>
        <v>0</v>
      </c>
      <c r="AK185" s="185">
        <f t="shared" si="16"/>
        <v>104501.49071741465</v>
      </c>
      <c r="AL185" s="186">
        <f t="shared" si="17"/>
        <v>101.45775797807248</v>
      </c>
    </row>
    <row r="186" spans="1:38" ht="57.6" x14ac:dyDescent="0.3">
      <c r="A186" s="151" t="s">
        <v>1440</v>
      </c>
      <c r="B186" s="151">
        <v>1</v>
      </c>
      <c r="C186" s="152" t="s">
        <v>836</v>
      </c>
      <c r="D186" s="151" t="str">
        <f t="shared" si="18"/>
        <v>1</v>
      </c>
      <c r="E186" s="153" t="s">
        <v>837</v>
      </c>
      <c r="F186" s="151">
        <f t="shared" si="21"/>
        <v>7</v>
      </c>
      <c r="G186" s="151" t="str">
        <f t="shared" si="22"/>
        <v>1.1.7</v>
      </c>
      <c r="H186" s="156" t="s">
        <v>1683</v>
      </c>
      <c r="I186" s="159" t="s">
        <v>908</v>
      </c>
      <c r="J186" s="159" t="s">
        <v>913</v>
      </c>
      <c r="K186" s="159" t="s">
        <v>835</v>
      </c>
      <c r="L186" s="160">
        <v>8000</v>
      </c>
      <c r="M186" s="161"/>
      <c r="N186" s="161"/>
      <c r="O186" s="164">
        <f t="shared" si="15"/>
        <v>0</v>
      </c>
      <c r="P186" s="161">
        <v>0</v>
      </c>
      <c r="Q186" s="161">
        <v>0</v>
      </c>
      <c r="R186" s="164">
        <f>$L186*'Pivot Objective'!$C$9*P186*Q186</f>
        <v>0</v>
      </c>
      <c r="S186" s="161">
        <v>10</v>
      </c>
      <c r="T186" s="161">
        <v>1</v>
      </c>
      <c r="U186" s="164">
        <f>($L186*'Pivot Objective'!$C$9^2)*S186*T186</f>
        <v>104501.49071741465</v>
      </c>
      <c r="V186" s="161">
        <v>0</v>
      </c>
      <c r="W186" s="161">
        <v>0</v>
      </c>
      <c r="X186" s="164">
        <f>($L186*'Pivot Objective'!$C$9^3)*V186*W186</f>
        <v>0</v>
      </c>
      <c r="Y186" s="161">
        <v>0</v>
      </c>
      <c r="Z186" s="161">
        <v>0</v>
      </c>
      <c r="AA186" s="164">
        <f>($L186*'Pivot Objective'!$C$9^4)*Y186*Z186</f>
        <v>0</v>
      </c>
      <c r="AB186" s="151"/>
      <c r="AC186" s="151"/>
      <c r="AD186" s="164">
        <f>($L186*'Pivot Objective'!$C$9^5)*AB186*AC186</f>
        <v>0</v>
      </c>
      <c r="AE186" s="151"/>
      <c r="AF186" s="151"/>
      <c r="AG186" s="164">
        <f>($L186*'Pivot Objective'!$C$9^6)*AE186*AF186</f>
        <v>0</v>
      </c>
      <c r="AH186" s="151"/>
      <c r="AI186" s="151"/>
      <c r="AJ186" s="164">
        <f>($L186*'Pivot Objective'!$C$9^7)*AH186*AI186</f>
        <v>0</v>
      </c>
      <c r="AK186" s="185">
        <f t="shared" si="16"/>
        <v>104501.49071741465</v>
      </c>
      <c r="AL186" s="186">
        <f t="shared" si="17"/>
        <v>101.45775797807248</v>
      </c>
    </row>
    <row r="187" spans="1:38" ht="57.6" x14ac:dyDescent="0.3">
      <c r="A187" s="151" t="s">
        <v>1440</v>
      </c>
      <c r="B187" s="151">
        <v>1</v>
      </c>
      <c r="C187" s="152" t="s">
        <v>836</v>
      </c>
      <c r="D187" s="151" t="str">
        <f t="shared" si="18"/>
        <v>1</v>
      </c>
      <c r="E187" s="153" t="s">
        <v>837</v>
      </c>
      <c r="F187" s="151">
        <f t="shared" si="21"/>
        <v>7</v>
      </c>
      <c r="G187" s="151" t="str">
        <f t="shared" si="22"/>
        <v>1.1.7</v>
      </c>
      <c r="H187" s="156" t="s">
        <v>1683</v>
      </c>
      <c r="I187" s="159" t="s">
        <v>908</v>
      </c>
      <c r="J187" s="159" t="s">
        <v>845</v>
      </c>
      <c r="K187" s="159" t="s">
        <v>713</v>
      </c>
      <c r="L187" s="160">
        <v>45000</v>
      </c>
      <c r="M187" s="161"/>
      <c r="N187" s="161"/>
      <c r="O187" s="164">
        <f t="shared" si="15"/>
        <v>0</v>
      </c>
      <c r="P187" s="161">
        <v>0</v>
      </c>
      <c r="Q187" s="161">
        <v>0</v>
      </c>
      <c r="R187" s="164">
        <f>$L187*'Pivot Objective'!$C$9*P187*Q187</f>
        <v>0</v>
      </c>
      <c r="S187" s="161">
        <v>25</v>
      </c>
      <c r="T187" s="161">
        <v>2</v>
      </c>
      <c r="U187" s="164">
        <f>($L187*'Pivot Objective'!$C$9^2)*S187*T187</f>
        <v>2939104.4264272875</v>
      </c>
      <c r="V187" s="161">
        <v>0</v>
      </c>
      <c r="W187" s="161">
        <v>0</v>
      </c>
      <c r="X187" s="164">
        <f>($L187*'Pivot Objective'!$C$9^3)*V187*W187</f>
        <v>0</v>
      </c>
      <c r="Y187" s="161">
        <v>0</v>
      </c>
      <c r="Z187" s="161">
        <v>0</v>
      </c>
      <c r="AA187" s="164">
        <f>($L187*'Pivot Objective'!$C$9^4)*Y187*Z187</f>
        <v>0</v>
      </c>
      <c r="AB187" s="151"/>
      <c r="AC187" s="151"/>
      <c r="AD187" s="164">
        <f>($L187*'Pivot Objective'!$C$9^5)*AB187*AC187</f>
        <v>0</v>
      </c>
      <c r="AE187" s="151"/>
      <c r="AF187" s="151"/>
      <c r="AG187" s="164">
        <f>($L187*'Pivot Objective'!$C$9^6)*AE187*AF187</f>
        <v>0</v>
      </c>
      <c r="AH187" s="151"/>
      <c r="AI187" s="151"/>
      <c r="AJ187" s="164">
        <f>($L187*'Pivot Objective'!$C$9^7)*AH187*AI187</f>
        <v>0</v>
      </c>
      <c r="AK187" s="185">
        <f t="shared" si="16"/>
        <v>2939104.4264272875</v>
      </c>
      <c r="AL187" s="186">
        <f t="shared" si="17"/>
        <v>2853.4994431332889</v>
      </c>
    </row>
    <row r="188" spans="1:38" ht="57.6" x14ac:dyDescent="0.3">
      <c r="A188" s="151" t="s">
        <v>1440</v>
      </c>
      <c r="B188" s="151">
        <v>1</v>
      </c>
      <c r="C188" s="152" t="s">
        <v>836</v>
      </c>
      <c r="D188" s="151" t="str">
        <f t="shared" si="18"/>
        <v>1</v>
      </c>
      <c r="E188" s="153" t="s">
        <v>837</v>
      </c>
      <c r="F188" s="151">
        <f t="shared" si="21"/>
        <v>7</v>
      </c>
      <c r="G188" s="151" t="str">
        <f t="shared" si="22"/>
        <v>1.1.7</v>
      </c>
      <c r="H188" s="156" t="s">
        <v>1683</v>
      </c>
      <c r="I188" s="159" t="s">
        <v>908</v>
      </c>
      <c r="J188" s="159" t="s">
        <v>845</v>
      </c>
      <c r="K188" s="159" t="s">
        <v>712</v>
      </c>
      <c r="L188" s="160">
        <f>1999/7</f>
        <v>285.57142857142856</v>
      </c>
      <c r="M188" s="161"/>
      <c r="N188" s="161"/>
      <c r="O188" s="164">
        <f t="shared" si="15"/>
        <v>0</v>
      </c>
      <c r="P188" s="161">
        <v>0</v>
      </c>
      <c r="Q188" s="161">
        <v>0</v>
      </c>
      <c r="R188" s="164">
        <f>$L188*'Pivot Objective'!$C$9*P188*Q188</f>
        <v>0</v>
      </c>
      <c r="S188" s="161">
        <f>25*2*9</f>
        <v>450</v>
      </c>
      <c r="T188" s="161">
        <v>1</v>
      </c>
      <c r="U188" s="164">
        <f>($L188*'Pivot Objective'!$C$9^2)*S188*T188</f>
        <v>167864.84995508991</v>
      </c>
      <c r="V188" s="161">
        <v>0</v>
      </c>
      <c r="W188" s="161">
        <v>0</v>
      </c>
      <c r="X188" s="164">
        <f>($L188*'Pivot Objective'!$C$9^3)*V188*W188</f>
        <v>0</v>
      </c>
      <c r="Y188" s="161">
        <v>0</v>
      </c>
      <c r="Z188" s="161">
        <v>0</v>
      </c>
      <c r="AA188" s="164">
        <f>($L188*'Pivot Objective'!$C$9^4)*Y188*Z188</f>
        <v>0</v>
      </c>
      <c r="AB188" s="151"/>
      <c r="AC188" s="151"/>
      <c r="AD188" s="164">
        <f>($L188*'Pivot Objective'!$C$9^5)*AB188*AC188</f>
        <v>0</v>
      </c>
      <c r="AE188" s="151"/>
      <c r="AF188" s="151"/>
      <c r="AG188" s="164">
        <f>($L188*'Pivot Objective'!$C$9^6)*AE188*AF188</f>
        <v>0</v>
      </c>
      <c r="AH188" s="151"/>
      <c r="AI188" s="151"/>
      <c r="AJ188" s="164">
        <f>($L188*'Pivot Objective'!$C$9^7)*AH188*AI188</f>
        <v>0</v>
      </c>
      <c r="AK188" s="185">
        <f t="shared" si="16"/>
        <v>167864.84995508991</v>
      </c>
      <c r="AL188" s="186">
        <f t="shared" si="17"/>
        <v>162.97558248066983</v>
      </c>
    </row>
    <row r="189" spans="1:38" ht="57.6" x14ac:dyDescent="0.3">
      <c r="A189" s="151" t="s">
        <v>1440</v>
      </c>
      <c r="B189" s="151">
        <v>1</v>
      </c>
      <c r="C189" s="152" t="s">
        <v>836</v>
      </c>
      <c r="D189" s="151" t="str">
        <f t="shared" si="18"/>
        <v>1</v>
      </c>
      <c r="E189" s="153" t="s">
        <v>837</v>
      </c>
      <c r="F189" s="151">
        <f t="shared" si="21"/>
        <v>7</v>
      </c>
      <c r="G189" s="151" t="str">
        <f t="shared" si="22"/>
        <v>1.1.7</v>
      </c>
      <c r="H189" s="156" t="s">
        <v>1683</v>
      </c>
      <c r="I189" s="159" t="s">
        <v>908</v>
      </c>
      <c r="J189" s="159" t="s">
        <v>845</v>
      </c>
      <c r="K189" s="159" t="s">
        <v>1299</v>
      </c>
      <c r="L189" s="160">
        <f>1999/7</f>
        <v>285.57142857142856</v>
      </c>
      <c r="M189" s="161"/>
      <c r="N189" s="161"/>
      <c r="O189" s="164">
        <f t="shared" si="15"/>
        <v>0</v>
      </c>
      <c r="P189" s="161"/>
      <c r="Q189" s="161"/>
      <c r="R189" s="164">
        <f>$L189*'Pivot Objective'!$C$9*P189*Q189</f>
        <v>0</v>
      </c>
      <c r="S189" s="161">
        <f>2*135*9</f>
        <v>2430</v>
      </c>
      <c r="T189" s="161">
        <v>1</v>
      </c>
      <c r="U189" s="164">
        <f>($L189*'Pivot Objective'!$C$9^2)*S189*T189</f>
        <v>906470.18975748552</v>
      </c>
      <c r="V189" s="161"/>
      <c r="W189" s="161"/>
      <c r="X189" s="164">
        <f>($L189*'Pivot Objective'!$C$9^3)*V189*W189</f>
        <v>0</v>
      </c>
      <c r="Y189" s="161"/>
      <c r="Z189" s="161"/>
      <c r="AA189" s="164">
        <f>($L189*'Pivot Objective'!$C$9^4)*Y189*Z189</f>
        <v>0</v>
      </c>
      <c r="AB189" s="151"/>
      <c r="AC189" s="151"/>
      <c r="AD189" s="164">
        <f>($L189*'Pivot Objective'!$C$9^5)*AB189*AC189</f>
        <v>0</v>
      </c>
      <c r="AE189" s="151"/>
      <c r="AF189" s="151"/>
      <c r="AG189" s="164">
        <f>($L189*'Pivot Objective'!$C$9^6)*AE189*AF189</f>
        <v>0</v>
      </c>
      <c r="AH189" s="151"/>
      <c r="AI189" s="151"/>
      <c r="AJ189" s="164">
        <f>($L189*'Pivot Objective'!$C$9^7)*AH189*AI189</f>
        <v>0</v>
      </c>
      <c r="AK189" s="185">
        <f t="shared" si="16"/>
        <v>906470.18975748552</v>
      </c>
      <c r="AL189" s="186">
        <f t="shared" si="17"/>
        <v>880.06814539561697</v>
      </c>
    </row>
    <row r="190" spans="1:38" ht="57.6" x14ac:dyDescent="0.3">
      <c r="A190" s="151" t="s">
        <v>1440</v>
      </c>
      <c r="B190" s="151">
        <v>1</v>
      </c>
      <c r="C190" s="152" t="s">
        <v>836</v>
      </c>
      <c r="D190" s="151" t="str">
        <f t="shared" si="18"/>
        <v>1</v>
      </c>
      <c r="E190" s="153" t="s">
        <v>837</v>
      </c>
      <c r="F190" s="151">
        <f t="shared" si="21"/>
        <v>7</v>
      </c>
      <c r="G190" s="151" t="str">
        <f t="shared" si="22"/>
        <v>1.1.7</v>
      </c>
      <c r="H190" s="156" t="s">
        <v>1683</v>
      </c>
      <c r="I190" s="159" t="s">
        <v>908</v>
      </c>
      <c r="J190" s="159" t="s">
        <v>914</v>
      </c>
      <c r="K190" s="159" t="s">
        <v>709</v>
      </c>
      <c r="L190" s="160">
        <v>35000</v>
      </c>
      <c r="M190" s="161"/>
      <c r="N190" s="161"/>
      <c r="O190" s="164">
        <f t="shared" si="15"/>
        <v>0</v>
      </c>
      <c r="P190" s="161">
        <v>0</v>
      </c>
      <c r="Q190" s="161">
        <v>0</v>
      </c>
      <c r="R190" s="164">
        <f>$L190*'Pivot Objective'!$C$9*P190*Q190</f>
        <v>0</v>
      </c>
      <c r="S190" s="161">
        <v>100</v>
      </c>
      <c r="T190" s="161">
        <v>1</v>
      </c>
      <c r="U190" s="164">
        <f>($L190*'Pivot Objective'!$C$9^2)*S190*T190</f>
        <v>4571940.2188868914</v>
      </c>
      <c r="V190" s="161">
        <v>0</v>
      </c>
      <c r="W190" s="161">
        <v>0</v>
      </c>
      <c r="X190" s="164">
        <f>($L190*'Pivot Objective'!$C$9^3)*V190*W190</f>
        <v>0</v>
      </c>
      <c r="Y190" s="161">
        <v>0</v>
      </c>
      <c r="Z190" s="161">
        <v>0</v>
      </c>
      <c r="AA190" s="164">
        <f>($L190*'Pivot Objective'!$C$9^4)*Y190*Z190</f>
        <v>0</v>
      </c>
      <c r="AB190" s="151"/>
      <c r="AC190" s="151"/>
      <c r="AD190" s="164">
        <f>($L190*'Pivot Objective'!$C$9^5)*AB190*AC190</f>
        <v>0</v>
      </c>
      <c r="AE190" s="151"/>
      <c r="AF190" s="151"/>
      <c r="AG190" s="164">
        <f>($L190*'Pivot Objective'!$C$9^6)*AE190*AF190</f>
        <v>0</v>
      </c>
      <c r="AH190" s="151"/>
      <c r="AI190" s="151"/>
      <c r="AJ190" s="164">
        <f>($L190*'Pivot Objective'!$C$9^7)*AH190*AI190</f>
        <v>0</v>
      </c>
      <c r="AK190" s="185">
        <f t="shared" si="16"/>
        <v>4571940.2188868914</v>
      </c>
      <c r="AL190" s="186">
        <f t="shared" si="17"/>
        <v>4438.7769115406709</v>
      </c>
    </row>
    <row r="191" spans="1:38" ht="57.6" x14ac:dyDescent="0.3">
      <c r="A191" s="151" t="s">
        <v>1440</v>
      </c>
      <c r="B191" s="151">
        <v>1</v>
      </c>
      <c r="C191" s="152" t="s">
        <v>836</v>
      </c>
      <c r="D191" s="151" t="str">
        <f t="shared" si="18"/>
        <v>1</v>
      </c>
      <c r="E191" s="153" t="s">
        <v>837</v>
      </c>
      <c r="F191" s="151">
        <f t="shared" si="21"/>
        <v>7</v>
      </c>
      <c r="G191" s="151" t="str">
        <f t="shared" si="22"/>
        <v>1.1.7</v>
      </c>
      <c r="H191" s="156" t="s">
        <v>1683</v>
      </c>
      <c r="I191" s="159" t="s">
        <v>908</v>
      </c>
      <c r="J191" s="159" t="s">
        <v>915</v>
      </c>
      <c r="K191" s="159" t="s">
        <v>713</v>
      </c>
      <c r="L191" s="160">
        <v>45000</v>
      </c>
      <c r="M191" s="161"/>
      <c r="N191" s="161"/>
      <c r="O191" s="164">
        <f t="shared" si="15"/>
        <v>0</v>
      </c>
      <c r="P191" s="161">
        <v>0</v>
      </c>
      <c r="Q191" s="161">
        <v>0</v>
      </c>
      <c r="R191" s="164">
        <f>$L191*'Pivot Objective'!$C$9*P191*Q191</f>
        <v>0</v>
      </c>
      <c r="S191" s="161">
        <v>25</v>
      </c>
      <c r="T191" s="161">
        <v>2</v>
      </c>
      <c r="U191" s="164">
        <f>($L191*'Pivot Objective'!$C$9^2)*S191*T191</f>
        <v>2939104.4264272875</v>
      </c>
      <c r="V191" s="161">
        <v>0</v>
      </c>
      <c r="W191" s="161">
        <v>0</v>
      </c>
      <c r="X191" s="164">
        <f>($L191*'Pivot Objective'!$C$9^3)*V191*W191</f>
        <v>0</v>
      </c>
      <c r="Y191" s="161">
        <v>0</v>
      </c>
      <c r="Z191" s="161">
        <v>0</v>
      </c>
      <c r="AA191" s="164">
        <f>($L191*'Pivot Objective'!$C$9^4)*Y191*Z191</f>
        <v>0</v>
      </c>
      <c r="AB191" s="151"/>
      <c r="AC191" s="151"/>
      <c r="AD191" s="164">
        <f>($L191*'Pivot Objective'!$C$9^5)*AB191*AC191</f>
        <v>0</v>
      </c>
      <c r="AE191" s="151"/>
      <c r="AF191" s="151"/>
      <c r="AG191" s="164">
        <f>($L191*'Pivot Objective'!$C$9^6)*AE191*AF191</f>
        <v>0</v>
      </c>
      <c r="AH191" s="151"/>
      <c r="AI191" s="151"/>
      <c r="AJ191" s="164">
        <f>($L191*'Pivot Objective'!$C$9^7)*AH191*AI191</f>
        <v>0</v>
      </c>
      <c r="AK191" s="185">
        <f t="shared" si="16"/>
        <v>2939104.4264272875</v>
      </c>
      <c r="AL191" s="186">
        <f t="shared" si="17"/>
        <v>2853.4994431332889</v>
      </c>
    </row>
    <row r="192" spans="1:38" ht="57.6" x14ac:dyDescent="0.3">
      <c r="A192" s="151" t="s">
        <v>1440</v>
      </c>
      <c r="B192" s="151">
        <v>1</v>
      </c>
      <c r="C192" s="152" t="s">
        <v>836</v>
      </c>
      <c r="D192" s="151" t="str">
        <f t="shared" si="18"/>
        <v>1</v>
      </c>
      <c r="E192" s="153" t="s">
        <v>837</v>
      </c>
      <c r="F192" s="151">
        <f t="shared" si="21"/>
        <v>7</v>
      </c>
      <c r="G192" s="151" t="str">
        <f t="shared" si="22"/>
        <v>1.1.7</v>
      </c>
      <c r="H192" s="156" t="s">
        <v>1683</v>
      </c>
      <c r="I192" s="159" t="s">
        <v>908</v>
      </c>
      <c r="J192" s="159" t="s">
        <v>915</v>
      </c>
      <c r="K192" s="159" t="s">
        <v>712</v>
      </c>
      <c r="L192" s="160">
        <f>1999/7</f>
        <v>285.57142857142856</v>
      </c>
      <c r="M192" s="161"/>
      <c r="N192" s="161"/>
      <c r="O192" s="164">
        <f t="shared" si="15"/>
        <v>0</v>
      </c>
      <c r="P192" s="161">
        <v>0</v>
      </c>
      <c r="Q192" s="161">
        <v>0</v>
      </c>
      <c r="R192" s="164">
        <f>$L192*'Pivot Objective'!$C$9*P192*Q192</f>
        <v>0</v>
      </c>
      <c r="S192" s="161">
        <f>25*2*9</f>
        <v>450</v>
      </c>
      <c r="T192" s="161">
        <v>1</v>
      </c>
      <c r="U192" s="164">
        <f>($L192*'Pivot Objective'!$C$9^2)*S192*T192</f>
        <v>167864.84995508991</v>
      </c>
      <c r="V192" s="161">
        <v>0</v>
      </c>
      <c r="W192" s="161">
        <v>0</v>
      </c>
      <c r="X192" s="164">
        <f>($L192*'Pivot Objective'!$C$9^3)*V192*W192</f>
        <v>0</v>
      </c>
      <c r="Y192" s="161">
        <v>0</v>
      </c>
      <c r="Z192" s="161">
        <v>0</v>
      </c>
      <c r="AA192" s="164">
        <f>($L192*'Pivot Objective'!$C$9^4)*Y192*Z192</f>
        <v>0</v>
      </c>
      <c r="AB192" s="151"/>
      <c r="AC192" s="151"/>
      <c r="AD192" s="164">
        <f>($L192*'Pivot Objective'!$C$9^5)*AB192*AC192</f>
        <v>0</v>
      </c>
      <c r="AE192" s="151"/>
      <c r="AF192" s="151"/>
      <c r="AG192" s="164">
        <f>($L192*'Pivot Objective'!$C$9^6)*AE192*AF192</f>
        <v>0</v>
      </c>
      <c r="AH192" s="151"/>
      <c r="AI192" s="151"/>
      <c r="AJ192" s="164">
        <f>($L192*'Pivot Objective'!$C$9^7)*AH192*AI192</f>
        <v>0</v>
      </c>
      <c r="AK192" s="185">
        <f t="shared" si="16"/>
        <v>167864.84995508991</v>
      </c>
      <c r="AL192" s="186">
        <f t="shared" si="17"/>
        <v>162.97558248066983</v>
      </c>
    </row>
    <row r="193" spans="1:38" ht="57.6" x14ac:dyDescent="0.3">
      <c r="A193" s="151" t="s">
        <v>1440</v>
      </c>
      <c r="B193" s="151">
        <v>1</v>
      </c>
      <c r="C193" s="152" t="s">
        <v>836</v>
      </c>
      <c r="D193" s="151" t="str">
        <f t="shared" si="18"/>
        <v>1</v>
      </c>
      <c r="E193" s="153" t="s">
        <v>837</v>
      </c>
      <c r="F193" s="151">
        <f t="shared" si="21"/>
        <v>7</v>
      </c>
      <c r="G193" s="151" t="str">
        <f t="shared" si="22"/>
        <v>1.1.7</v>
      </c>
      <c r="H193" s="156" t="s">
        <v>1683</v>
      </c>
      <c r="I193" s="159" t="s">
        <v>908</v>
      </c>
      <c r="J193" s="159" t="s">
        <v>915</v>
      </c>
      <c r="K193" s="159" t="s">
        <v>1299</v>
      </c>
      <c r="L193" s="160">
        <f>1999/7</f>
        <v>285.57142857142856</v>
      </c>
      <c r="M193" s="161"/>
      <c r="N193" s="161"/>
      <c r="O193" s="164">
        <f t="shared" si="15"/>
        <v>0</v>
      </c>
      <c r="P193" s="161"/>
      <c r="Q193" s="161"/>
      <c r="R193" s="164">
        <f>$L193*'Pivot Objective'!$C$9*P193*Q193</f>
        <v>0</v>
      </c>
      <c r="S193" s="161">
        <f>2*135*9</f>
        <v>2430</v>
      </c>
      <c r="T193" s="161">
        <v>1</v>
      </c>
      <c r="U193" s="164">
        <f>($L193*'Pivot Objective'!$C$9^2)*S193*T193</f>
        <v>906470.18975748552</v>
      </c>
      <c r="V193" s="161"/>
      <c r="W193" s="161"/>
      <c r="X193" s="164">
        <f>($L193*'Pivot Objective'!$C$9^3)*V193*W193</f>
        <v>0</v>
      </c>
      <c r="Y193" s="161"/>
      <c r="Z193" s="161"/>
      <c r="AA193" s="164">
        <f>($L193*'Pivot Objective'!$C$9^4)*Y193*Z193</f>
        <v>0</v>
      </c>
      <c r="AB193" s="151"/>
      <c r="AC193" s="151"/>
      <c r="AD193" s="164">
        <f>($L193*'Pivot Objective'!$C$9^5)*AB193*AC193</f>
        <v>0</v>
      </c>
      <c r="AE193" s="151"/>
      <c r="AF193" s="151"/>
      <c r="AG193" s="164">
        <f>($L193*'Pivot Objective'!$C$9^6)*AE193*AF193</f>
        <v>0</v>
      </c>
      <c r="AH193" s="151"/>
      <c r="AI193" s="151"/>
      <c r="AJ193" s="164">
        <f>($L193*'Pivot Objective'!$C$9^7)*AH193*AI193</f>
        <v>0</v>
      </c>
      <c r="AK193" s="185">
        <f t="shared" si="16"/>
        <v>906470.18975748552</v>
      </c>
      <c r="AL193" s="186">
        <f t="shared" si="17"/>
        <v>880.06814539561697</v>
      </c>
    </row>
    <row r="194" spans="1:38" ht="57.6" x14ac:dyDescent="0.3">
      <c r="A194" s="151" t="s">
        <v>1440</v>
      </c>
      <c r="B194" s="151">
        <v>1</v>
      </c>
      <c r="C194" s="152" t="s">
        <v>836</v>
      </c>
      <c r="D194" s="151" t="str">
        <f t="shared" si="18"/>
        <v>1</v>
      </c>
      <c r="E194" s="153" t="s">
        <v>837</v>
      </c>
      <c r="F194" s="151">
        <f t="shared" si="21"/>
        <v>7</v>
      </c>
      <c r="G194" s="151" t="str">
        <f t="shared" si="22"/>
        <v>1.1.7</v>
      </c>
      <c r="H194" s="156" t="s">
        <v>1683</v>
      </c>
      <c r="I194" s="159" t="s">
        <v>908</v>
      </c>
      <c r="J194" s="159" t="s">
        <v>915</v>
      </c>
      <c r="K194" s="159" t="s">
        <v>714</v>
      </c>
      <c r="L194" s="160">
        <v>10000</v>
      </c>
      <c r="M194" s="161"/>
      <c r="N194" s="161"/>
      <c r="O194" s="164">
        <f t="shared" si="15"/>
        <v>0</v>
      </c>
      <c r="P194" s="161">
        <v>0</v>
      </c>
      <c r="Q194" s="161">
        <v>0</v>
      </c>
      <c r="R194" s="164">
        <f>$L194*'Pivot Objective'!$C$9*P194*Q194</f>
        <v>0</v>
      </c>
      <c r="S194" s="161">
        <v>15</v>
      </c>
      <c r="T194" s="161">
        <v>1</v>
      </c>
      <c r="U194" s="164">
        <f>($L194*'Pivot Objective'!$C$9^2)*S194*T194</f>
        <v>195940.29509515248</v>
      </c>
      <c r="V194" s="161">
        <v>0</v>
      </c>
      <c r="W194" s="161">
        <v>0</v>
      </c>
      <c r="X194" s="164">
        <f>($L194*'Pivot Objective'!$C$9^3)*V194*W194</f>
        <v>0</v>
      </c>
      <c r="Y194" s="161">
        <v>0</v>
      </c>
      <c r="Z194" s="161">
        <v>0</v>
      </c>
      <c r="AA194" s="164">
        <f>($L194*'Pivot Objective'!$C$9^4)*Y194*Z194</f>
        <v>0</v>
      </c>
      <c r="AB194" s="151"/>
      <c r="AC194" s="151"/>
      <c r="AD194" s="164">
        <f>($L194*'Pivot Objective'!$C$9^5)*AB194*AC194</f>
        <v>0</v>
      </c>
      <c r="AE194" s="151"/>
      <c r="AF194" s="151"/>
      <c r="AG194" s="164">
        <f>($L194*'Pivot Objective'!$C$9^6)*AE194*AF194</f>
        <v>0</v>
      </c>
      <c r="AH194" s="151"/>
      <c r="AI194" s="151"/>
      <c r="AJ194" s="164">
        <f>($L194*'Pivot Objective'!$C$9^7)*AH194*AI194</f>
        <v>0</v>
      </c>
      <c r="AK194" s="185">
        <f t="shared" si="16"/>
        <v>195940.29509515248</v>
      </c>
      <c r="AL194" s="186">
        <f t="shared" si="17"/>
        <v>190.23329620888592</v>
      </c>
    </row>
    <row r="195" spans="1:38" ht="57.6" x14ac:dyDescent="0.3">
      <c r="A195" s="151" t="s">
        <v>1440</v>
      </c>
      <c r="B195" s="151">
        <v>1</v>
      </c>
      <c r="C195" s="152" t="s">
        <v>836</v>
      </c>
      <c r="D195" s="151" t="str">
        <f t="shared" si="18"/>
        <v>1</v>
      </c>
      <c r="E195" s="153" t="s">
        <v>837</v>
      </c>
      <c r="F195" s="151">
        <f t="shared" si="21"/>
        <v>7</v>
      </c>
      <c r="G195" s="151" t="str">
        <f t="shared" si="22"/>
        <v>1.1.7</v>
      </c>
      <c r="H195" s="156" t="s">
        <v>1683</v>
      </c>
      <c r="I195" s="159" t="s">
        <v>908</v>
      </c>
      <c r="J195" s="159" t="s">
        <v>915</v>
      </c>
      <c r="K195" s="159" t="s">
        <v>715</v>
      </c>
      <c r="L195" s="160">
        <v>302000</v>
      </c>
      <c r="M195" s="161"/>
      <c r="N195" s="161"/>
      <c r="O195" s="164">
        <f t="shared" ref="O195:O258" si="23">$L195*M195*N195</f>
        <v>0</v>
      </c>
      <c r="P195" s="161">
        <v>0</v>
      </c>
      <c r="Q195" s="161">
        <v>0</v>
      </c>
      <c r="R195" s="164">
        <f>$L195*'Pivot Objective'!$C$9*P195*Q195</f>
        <v>0</v>
      </c>
      <c r="S195" s="161">
        <v>15</v>
      </c>
      <c r="T195" s="161">
        <v>1</v>
      </c>
      <c r="U195" s="164">
        <f>($L195*'Pivot Objective'!$C$9^2)*S195*T195</f>
        <v>5917396.9118736051</v>
      </c>
      <c r="V195" s="161">
        <v>0</v>
      </c>
      <c r="W195" s="161">
        <v>0</v>
      </c>
      <c r="X195" s="164">
        <f>($L195*'Pivot Objective'!$C$9^3)*V195*W195</f>
        <v>0</v>
      </c>
      <c r="Y195" s="161">
        <v>0</v>
      </c>
      <c r="Z195" s="161">
        <v>0</v>
      </c>
      <c r="AA195" s="164">
        <f>($L195*'Pivot Objective'!$C$9^4)*Y195*Z195</f>
        <v>0</v>
      </c>
      <c r="AB195" s="151"/>
      <c r="AC195" s="151"/>
      <c r="AD195" s="164">
        <f>($L195*'Pivot Objective'!$C$9^5)*AB195*AC195</f>
        <v>0</v>
      </c>
      <c r="AE195" s="151"/>
      <c r="AF195" s="151"/>
      <c r="AG195" s="164">
        <f>($L195*'Pivot Objective'!$C$9^6)*AE195*AF195</f>
        <v>0</v>
      </c>
      <c r="AH195" s="151"/>
      <c r="AI195" s="151"/>
      <c r="AJ195" s="164">
        <f>($L195*'Pivot Objective'!$C$9^7)*AH195*AI195</f>
        <v>0</v>
      </c>
      <c r="AK195" s="185">
        <f t="shared" ref="AK195:AK258" si="24">O195+R195+U195+X195+AA195+AD195+AG195+AJ195</f>
        <v>5917396.9118736051</v>
      </c>
      <c r="AL195" s="186">
        <f t="shared" ref="AL195:AL258" si="25">AK195/$AP$2</f>
        <v>5745.0455455083547</v>
      </c>
    </row>
    <row r="196" spans="1:38" ht="57.6" x14ac:dyDescent="0.3">
      <c r="A196" s="151" t="s">
        <v>1440</v>
      </c>
      <c r="B196" s="151">
        <v>1</v>
      </c>
      <c r="C196" s="152" t="s">
        <v>836</v>
      </c>
      <c r="D196" s="151" t="str">
        <f t="shared" si="18"/>
        <v>1</v>
      </c>
      <c r="E196" s="153" t="s">
        <v>837</v>
      </c>
      <c r="F196" s="151">
        <f t="shared" si="21"/>
        <v>7</v>
      </c>
      <c r="G196" s="151" t="str">
        <f t="shared" si="22"/>
        <v>1.1.7</v>
      </c>
      <c r="H196" s="156" t="s">
        <v>1683</v>
      </c>
      <c r="I196" s="159" t="s">
        <v>908</v>
      </c>
      <c r="J196" s="159" t="s">
        <v>152</v>
      </c>
      <c r="K196" s="159" t="s">
        <v>716</v>
      </c>
      <c r="L196" s="160">
        <v>39000</v>
      </c>
      <c r="M196" s="161"/>
      <c r="N196" s="161"/>
      <c r="O196" s="164">
        <f t="shared" si="23"/>
        <v>0</v>
      </c>
      <c r="P196" s="161">
        <v>0</v>
      </c>
      <c r="Q196" s="161">
        <v>0</v>
      </c>
      <c r="R196" s="164">
        <f>$L196*'Pivot Objective'!$C$9*P196*Q196</f>
        <v>0</v>
      </c>
      <c r="S196" s="161">
        <v>25</v>
      </c>
      <c r="T196" s="161">
        <v>6</v>
      </c>
      <c r="U196" s="164">
        <f>($L196*'Pivot Objective'!$C$9^2)*S196*T196</f>
        <v>7641671.5087109469</v>
      </c>
      <c r="V196" s="161">
        <v>0</v>
      </c>
      <c r="W196" s="161">
        <v>0</v>
      </c>
      <c r="X196" s="164">
        <f>($L196*'Pivot Objective'!$C$9^3)*V196*W196</f>
        <v>0</v>
      </c>
      <c r="Y196" s="161">
        <v>0</v>
      </c>
      <c r="Z196" s="161">
        <v>0</v>
      </c>
      <c r="AA196" s="164">
        <f>($L196*'Pivot Objective'!$C$9^4)*Y196*Z196</f>
        <v>0</v>
      </c>
      <c r="AB196" s="151"/>
      <c r="AC196" s="151"/>
      <c r="AD196" s="164">
        <f>($L196*'Pivot Objective'!$C$9^5)*AB196*AC196</f>
        <v>0</v>
      </c>
      <c r="AE196" s="151"/>
      <c r="AF196" s="151"/>
      <c r="AG196" s="164">
        <f>($L196*'Pivot Objective'!$C$9^6)*AE196*AF196</f>
        <v>0</v>
      </c>
      <c r="AH196" s="151"/>
      <c r="AI196" s="151"/>
      <c r="AJ196" s="164">
        <f>($L196*'Pivot Objective'!$C$9^7)*AH196*AI196</f>
        <v>0</v>
      </c>
      <c r="AK196" s="185">
        <f t="shared" si="24"/>
        <v>7641671.5087109469</v>
      </c>
      <c r="AL196" s="186">
        <f t="shared" si="25"/>
        <v>7419.09855214655</v>
      </c>
    </row>
    <row r="197" spans="1:38" ht="57.6" x14ac:dyDescent="0.3">
      <c r="A197" s="151" t="s">
        <v>1440</v>
      </c>
      <c r="B197" s="151">
        <v>1</v>
      </c>
      <c r="C197" s="152" t="s">
        <v>836</v>
      </c>
      <c r="D197" s="151" t="str">
        <f t="shared" si="18"/>
        <v>1</v>
      </c>
      <c r="E197" s="153" t="s">
        <v>837</v>
      </c>
      <c r="F197" s="151">
        <f t="shared" si="21"/>
        <v>7</v>
      </c>
      <c r="G197" s="151" t="str">
        <f t="shared" si="22"/>
        <v>1.1.7</v>
      </c>
      <c r="H197" s="156" t="s">
        <v>1683</v>
      </c>
      <c r="I197" s="159" t="s">
        <v>908</v>
      </c>
      <c r="J197" s="159" t="s">
        <v>152</v>
      </c>
      <c r="K197" s="159" t="s">
        <v>709</v>
      </c>
      <c r="L197" s="160">
        <v>35000</v>
      </c>
      <c r="M197" s="161"/>
      <c r="N197" s="161"/>
      <c r="O197" s="164">
        <f t="shared" si="23"/>
        <v>0</v>
      </c>
      <c r="P197" s="161">
        <v>0</v>
      </c>
      <c r="Q197" s="161">
        <v>0</v>
      </c>
      <c r="R197" s="164">
        <f>$L197*'Pivot Objective'!$C$9*P197*Q197</f>
        <v>0</v>
      </c>
      <c r="S197" s="161">
        <v>25</v>
      </c>
      <c r="T197" s="161">
        <v>5</v>
      </c>
      <c r="U197" s="164">
        <f>($L197*'Pivot Objective'!$C$9^2)*S197*T197</f>
        <v>5714925.2736086138</v>
      </c>
      <c r="V197" s="161">
        <v>0</v>
      </c>
      <c r="W197" s="161">
        <v>0</v>
      </c>
      <c r="X197" s="164">
        <f>($L197*'Pivot Objective'!$C$9^3)*V197*W197</f>
        <v>0</v>
      </c>
      <c r="Y197" s="161">
        <v>0</v>
      </c>
      <c r="Z197" s="161">
        <v>0</v>
      </c>
      <c r="AA197" s="164">
        <f>($L197*'Pivot Objective'!$C$9^4)*Y197*Z197</f>
        <v>0</v>
      </c>
      <c r="AB197" s="151"/>
      <c r="AC197" s="151"/>
      <c r="AD197" s="164">
        <f>($L197*'Pivot Objective'!$C$9^5)*AB197*AC197</f>
        <v>0</v>
      </c>
      <c r="AE197" s="151"/>
      <c r="AF197" s="151"/>
      <c r="AG197" s="164">
        <f>($L197*'Pivot Objective'!$C$9^6)*AE197*AF197</f>
        <v>0</v>
      </c>
      <c r="AH197" s="151"/>
      <c r="AI197" s="151"/>
      <c r="AJ197" s="164">
        <f>($L197*'Pivot Objective'!$C$9^7)*AH197*AI197</f>
        <v>0</v>
      </c>
      <c r="AK197" s="185">
        <f t="shared" si="24"/>
        <v>5714925.2736086138</v>
      </c>
      <c r="AL197" s="186">
        <f t="shared" si="25"/>
        <v>5548.4711394258384</v>
      </c>
    </row>
    <row r="198" spans="1:38" ht="57.6" x14ac:dyDescent="0.3">
      <c r="A198" s="151" t="s">
        <v>1440</v>
      </c>
      <c r="B198" s="151">
        <v>1</v>
      </c>
      <c r="C198" s="152" t="s">
        <v>836</v>
      </c>
      <c r="D198" s="151" t="str">
        <f t="shared" si="18"/>
        <v>1</v>
      </c>
      <c r="E198" s="153" t="s">
        <v>837</v>
      </c>
      <c r="F198" s="151">
        <f t="shared" si="21"/>
        <v>7</v>
      </c>
      <c r="G198" s="151" t="str">
        <f t="shared" si="22"/>
        <v>1.1.7</v>
      </c>
      <c r="H198" s="156" t="s">
        <v>1683</v>
      </c>
      <c r="I198" s="159" t="s">
        <v>908</v>
      </c>
      <c r="J198" s="159" t="s">
        <v>152</v>
      </c>
      <c r="K198" s="159" t="s">
        <v>712</v>
      </c>
      <c r="L198" s="160">
        <f>1999/7</f>
        <v>285.57142857142856</v>
      </c>
      <c r="M198" s="161"/>
      <c r="N198" s="161"/>
      <c r="O198" s="164">
        <f t="shared" si="23"/>
        <v>0</v>
      </c>
      <c r="P198" s="161">
        <v>0</v>
      </c>
      <c r="Q198" s="161">
        <v>0</v>
      </c>
      <c r="R198" s="164">
        <f>$L198*'Pivot Objective'!$C$9*P198*Q198</f>
        <v>0</v>
      </c>
      <c r="S198" s="161">
        <f>25*2*9</f>
        <v>450</v>
      </c>
      <c r="T198" s="161">
        <v>1</v>
      </c>
      <c r="U198" s="164">
        <f>($L198*'Pivot Objective'!$C$9^2)*S198*T198</f>
        <v>167864.84995508991</v>
      </c>
      <c r="V198" s="161">
        <v>0</v>
      </c>
      <c r="W198" s="161">
        <v>0</v>
      </c>
      <c r="X198" s="164">
        <f>($L198*'Pivot Objective'!$C$9^3)*V198*W198</f>
        <v>0</v>
      </c>
      <c r="Y198" s="161">
        <v>0</v>
      </c>
      <c r="Z198" s="161">
        <v>0</v>
      </c>
      <c r="AA198" s="164">
        <f>($L198*'Pivot Objective'!$C$9^4)*Y198*Z198</f>
        <v>0</v>
      </c>
      <c r="AB198" s="151"/>
      <c r="AC198" s="151"/>
      <c r="AD198" s="164">
        <f>($L198*'Pivot Objective'!$C$9^5)*AB198*AC198</f>
        <v>0</v>
      </c>
      <c r="AE198" s="151"/>
      <c r="AF198" s="151"/>
      <c r="AG198" s="164">
        <f>($L198*'Pivot Objective'!$C$9^6)*AE198*AF198</f>
        <v>0</v>
      </c>
      <c r="AH198" s="151"/>
      <c r="AI198" s="151"/>
      <c r="AJ198" s="164">
        <f>($L198*'Pivot Objective'!$C$9^7)*AH198*AI198</f>
        <v>0</v>
      </c>
      <c r="AK198" s="185">
        <f t="shared" si="24"/>
        <v>167864.84995508991</v>
      </c>
      <c r="AL198" s="186">
        <f t="shared" si="25"/>
        <v>162.97558248066983</v>
      </c>
    </row>
    <row r="199" spans="1:38" ht="57.6" x14ac:dyDescent="0.3">
      <c r="A199" s="151" t="s">
        <v>1440</v>
      </c>
      <c r="B199" s="151">
        <v>1</v>
      </c>
      <c r="C199" s="152" t="s">
        <v>836</v>
      </c>
      <c r="D199" s="151" t="str">
        <f t="shared" si="18"/>
        <v>1</v>
      </c>
      <c r="E199" s="153" t="s">
        <v>837</v>
      </c>
      <c r="F199" s="151">
        <f t="shared" si="21"/>
        <v>7</v>
      </c>
      <c r="G199" s="151" t="str">
        <f t="shared" si="22"/>
        <v>1.1.7</v>
      </c>
      <c r="H199" s="156" t="s">
        <v>1683</v>
      </c>
      <c r="I199" s="159" t="s">
        <v>908</v>
      </c>
      <c r="J199" s="159" t="s">
        <v>152</v>
      </c>
      <c r="K199" s="159" t="s">
        <v>1299</v>
      </c>
      <c r="L199" s="160">
        <f>1999/7</f>
        <v>285.57142857142856</v>
      </c>
      <c r="M199" s="161"/>
      <c r="N199" s="161"/>
      <c r="O199" s="164">
        <f t="shared" si="23"/>
        <v>0</v>
      </c>
      <c r="P199" s="161"/>
      <c r="Q199" s="161"/>
      <c r="R199" s="164">
        <f>$L199*'Pivot Objective'!$C$9*P199*Q199</f>
        <v>0</v>
      </c>
      <c r="S199" s="161">
        <f>2*135*9</f>
        <v>2430</v>
      </c>
      <c r="T199" s="161">
        <v>1</v>
      </c>
      <c r="U199" s="164">
        <f>($L199*'Pivot Objective'!$C$9^2)*S199*T199</f>
        <v>906470.18975748552</v>
      </c>
      <c r="V199" s="161"/>
      <c r="W199" s="161"/>
      <c r="X199" s="164">
        <f>($L199*'Pivot Objective'!$C$9^3)*V199*W199</f>
        <v>0</v>
      </c>
      <c r="Y199" s="161"/>
      <c r="Z199" s="161"/>
      <c r="AA199" s="164">
        <f>($L199*'Pivot Objective'!$C$9^4)*Y199*Z199</f>
        <v>0</v>
      </c>
      <c r="AB199" s="151"/>
      <c r="AC199" s="151"/>
      <c r="AD199" s="164">
        <f>($L199*'Pivot Objective'!$C$9^5)*AB199*AC199</f>
        <v>0</v>
      </c>
      <c r="AE199" s="151"/>
      <c r="AF199" s="151"/>
      <c r="AG199" s="164">
        <f>($L199*'Pivot Objective'!$C$9^6)*AE199*AF199</f>
        <v>0</v>
      </c>
      <c r="AH199" s="151"/>
      <c r="AI199" s="151"/>
      <c r="AJ199" s="164">
        <f>($L199*'Pivot Objective'!$C$9^7)*AH199*AI199</f>
        <v>0</v>
      </c>
      <c r="AK199" s="185">
        <f t="shared" si="24"/>
        <v>906470.18975748552</v>
      </c>
      <c r="AL199" s="186">
        <f t="shared" si="25"/>
        <v>880.06814539561697</v>
      </c>
    </row>
    <row r="200" spans="1:38" ht="57.6" x14ac:dyDescent="0.3">
      <c r="A200" s="151" t="s">
        <v>1440</v>
      </c>
      <c r="B200" s="151">
        <v>1</v>
      </c>
      <c r="C200" s="152" t="s">
        <v>836</v>
      </c>
      <c r="D200" s="151" t="str">
        <f t="shared" si="18"/>
        <v>1</v>
      </c>
      <c r="E200" s="153" t="s">
        <v>837</v>
      </c>
      <c r="F200" s="151">
        <f t="shared" si="21"/>
        <v>7</v>
      </c>
      <c r="G200" s="151" t="str">
        <f t="shared" si="22"/>
        <v>1.1.7</v>
      </c>
      <c r="H200" s="156" t="s">
        <v>1683</v>
      </c>
      <c r="I200" s="159" t="s">
        <v>908</v>
      </c>
      <c r="J200" s="159" t="s">
        <v>1319</v>
      </c>
      <c r="K200" s="159" t="s">
        <v>716</v>
      </c>
      <c r="L200" s="160">
        <v>39000</v>
      </c>
      <c r="M200" s="161"/>
      <c r="N200" s="161"/>
      <c r="O200" s="164">
        <f t="shared" si="23"/>
        <v>0</v>
      </c>
      <c r="P200" s="161"/>
      <c r="Q200" s="161"/>
      <c r="R200" s="164">
        <f>$L200*'Pivot Objective'!$C$9*P200*Q200</f>
        <v>0</v>
      </c>
      <c r="S200" s="161">
        <v>25</v>
      </c>
      <c r="T200" s="161">
        <v>2</v>
      </c>
      <c r="U200" s="164">
        <f>($L200*'Pivot Objective'!$C$9^2)*S200*T200</f>
        <v>2547223.8362369821</v>
      </c>
      <c r="V200" s="161"/>
      <c r="W200" s="161"/>
      <c r="X200" s="164">
        <f>($L200*'Pivot Objective'!$C$9^3)*V200*W200</f>
        <v>0</v>
      </c>
      <c r="Y200" s="161"/>
      <c r="Z200" s="161"/>
      <c r="AA200" s="164">
        <f>($L200*'Pivot Objective'!$C$9^4)*Y200*Z200</f>
        <v>0</v>
      </c>
      <c r="AB200" s="151"/>
      <c r="AC200" s="151"/>
      <c r="AD200" s="164">
        <f>($L200*'Pivot Objective'!$C$9^5)*AB200*AC200</f>
        <v>0</v>
      </c>
      <c r="AE200" s="151"/>
      <c r="AF200" s="151"/>
      <c r="AG200" s="164">
        <f>($L200*'Pivot Objective'!$C$9^6)*AE200*AF200</f>
        <v>0</v>
      </c>
      <c r="AH200" s="151"/>
      <c r="AI200" s="151"/>
      <c r="AJ200" s="164">
        <f>($L200*'Pivot Objective'!$C$9^7)*AH200*AI200</f>
        <v>0</v>
      </c>
      <c r="AK200" s="185">
        <f t="shared" si="24"/>
        <v>2547223.8362369821</v>
      </c>
      <c r="AL200" s="186">
        <f t="shared" si="25"/>
        <v>2473.0328507155168</v>
      </c>
    </row>
    <row r="201" spans="1:38" ht="57.6" x14ac:dyDescent="0.3">
      <c r="A201" s="151" t="s">
        <v>1440</v>
      </c>
      <c r="B201" s="151">
        <v>1</v>
      </c>
      <c r="C201" s="152" t="s">
        <v>836</v>
      </c>
      <c r="D201" s="151" t="str">
        <f t="shared" si="18"/>
        <v>1</v>
      </c>
      <c r="E201" s="153" t="s">
        <v>837</v>
      </c>
      <c r="F201" s="151">
        <f t="shared" si="21"/>
        <v>7</v>
      </c>
      <c r="G201" s="151" t="str">
        <f t="shared" si="22"/>
        <v>1.1.7</v>
      </c>
      <c r="H201" s="156" t="s">
        <v>1683</v>
      </c>
      <c r="I201" s="159" t="s">
        <v>908</v>
      </c>
      <c r="J201" s="159" t="s">
        <v>1319</v>
      </c>
      <c r="K201" s="159" t="s">
        <v>709</v>
      </c>
      <c r="L201" s="160">
        <v>35000</v>
      </c>
      <c r="M201" s="161"/>
      <c r="N201" s="161"/>
      <c r="O201" s="164">
        <f t="shared" si="23"/>
        <v>0</v>
      </c>
      <c r="P201" s="161"/>
      <c r="Q201" s="161"/>
      <c r="R201" s="164">
        <f>$L201*'Pivot Objective'!$C$9*P201*Q201</f>
        <v>0</v>
      </c>
      <c r="S201" s="161">
        <v>25</v>
      </c>
      <c r="T201" s="161">
        <v>1</v>
      </c>
      <c r="U201" s="164">
        <f>($L201*'Pivot Objective'!$C$9^2)*S201*T201</f>
        <v>1142985.0547217228</v>
      </c>
      <c r="V201" s="161"/>
      <c r="W201" s="161"/>
      <c r="X201" s="164">
        <f>($L201*'Pivot Objective'!$C$9^3)*V201*W201</f>
        <v>0</v>
      </c>
      <c r="Y201" s="161"/>
      <c r="Z201" s="161"/>
      <c r="AA201" s="164">
        <f>($L201*'Pivot Objective'!$C$9^4)*Y201*Z201</f>
        <v>0</v>
      </c>
      <c r="AB201" s="151"/>
      <c r="AC201" s="151"/>
      <c r="AD201" s="164">
        <f>($L201*'Pivot Objective'!$C$9^5)*AB201*AC201</f>
        <v>0</v>
      </c>
      <c r="AE201" s="151"/>
      <c r="AF201" s="151"/>
      <c r="AG201" s="164">
        <f>($L201*'Pivot Objective'!$C$9^6)*AE201*AF201</f>
        <v>0</v>
      </c>
      <c r="AH201" s="151"/>
      <c r="AI201" s="151"/>
      <c r="AJ201" s="164">
        <f>($L201*'Pivot Objective'!$C$9^7)*AH201*AI201</f>
        <v>0</v>
      </c>
      <c r="AK201" s="185">
        <f t="shared" si="24"/>
        <v>1142985.0547217228</v>
      </c>
      <c r="AL201" s="186">
        <f t="shared" si="25"/>
        <v>1109.6942278851677</v>
      </c>
    </row>
    <row r="202" spans="1:38" ht="57.6" x14ac:dyDescent="0.3">
      <c r="A202" s="151" t="s">
        <v>1440</v>
      </c>
      <c r="B202" s="151">
        <v>1</v>
      </c>
      <c r="C202" s="152" t="s">
        <v>836</v>
      </c>
      <c r="D202" s="151" t="str">
        <f t="shared" si="18"/>
        <v>1</v>
      </c>
      <c r="E202" s="153" t="s">
        <v>837</v>
      </c>
      <c r="F202" s="151">
        <f t="shared" si="21"/>
        <v>7</v>
      </c>
      <c r="G202" s="151" t="str">
        <f t="shared" si="22"/>
        <v>1.1.7</v>
      </c>
      <c r="H202" s="156" t="s">
        <v>1683</v>
      </c>
      <c r="I202" s="159" t="s">
        <v>908</v>
      </c>
      <c r="J202" s="159" t="s">
        <v>1319</v>
      </c>
      <c r="K202" s="159" t="s">
        <v>712</v>
      </c>
      <c r="L202" s="160">
        <f>1999/7</f>
        <v>285.57142857142856</v>
      </c>
      <c r="M202" s="161"/>
      <c r="N202" s="161"/>
      <c r="O202" s="164">
        <f t="shared" si="23"/>
        <v>0</v>
      </c>
      <c r="P202" s="161"/>
      <c r="Q202" s="161"/>
      <c r="R202" s="164">
        <f>$L202*'Pivot Objective'!$C$9*P202*Q202</f>
        <v>0</v>
      </c>
      <c r="S202" s="161">
        <f>25*2*9</f>
        <v>450</v>
      </c>
      <c r="T202" s="161">
        <v>1</v>
      </c>
      <c r="U202" s="164">
        <f>($L202*'Pivot Objective'!$C$9^2)*S202*T202</f>
        <v>167864.84995508991</v>
      </c>
      <c r="V202" s="161"/>
      <c r="W202" s="161"/>
      <c r="X202" s="164">
        <f>($L202*'Pivot Objective'!$C$9^3)*V202*W202</f>
        <v>0</v>
      </c>
      <c r="Y202" s="161"/>
      <c r="Z202" s="161"/>
      <c r="AA202" s="164">
        <f>($L202*'Pivot Objective'!$C$9^4)*Y202*Z202</f>
        <v>0</v>
      </c>
      <c r="AB202" s="151"/>
      <c r="AC202" s="151"/>
      <c r="AD202" s="164">
        <f>($L202*'Pivot Objective'!$C$9^5)*AB202*AC202</f>
        <v>0</v>
      </c>
      <c r="AE202" s="151"/>
      <c r="AF202" s="151"/>
      <c r="AG202" s="164">
        <f>($L202*'Pivot Objective'!$C$9^6)*AE202*AF202</f>
        <v>0</v>
      </c>
      <c r="AH202" s="151"/>
      <c r="AI202" s="151"/>
      <c r="AJ202" s="164">
        <f>($L202*'Pivot Objective'!$C$9^7)*AH202*AI202</f>
        <v>0</v>
      </c>
      <c r="AK202" s="185">
        <f t="shared" si="24"/>
        <v>167864.84995508991</v>
      </c>
      <c r="AL202" s="186">
        <f t="shared" si="25"/>
        <v>162.97558248066983</v>
      </c>
    </row>
    <row r="203" spans="1:38" ht="57.6" x14ac:dyDescent="0.3">
      <c r="A203" s="151" t="s">
        <v>1440</v>
      </c>
      <c r="B203" s="151">
        <v>1</v>
      </c>
      <c r="C203" s="152" t="s">
        <v>836</v>
      </c>
      <c r="D203" s="151" t="str">
        <f t="shared" si="18"/>
        <v>1</v>
      </c>
      <c r="E203" s="153" t="s">
        <v>837</v>
      </c>
      <c r="F203" s="151">
        <f t="shared" si="21"/>
        <v>7</v>
      </c>
      <c r="G203" s="151" t="str">
        <f t="shared" si="22"/>
        <v>1.1.7</v>
      </c>
      <c r="H203" s="156" t="s">
        <v>1683</v>
      </c>
      <c r="I203" s="159" t="s">
        <v>908</v>
      </c>
      <c r="J203" s="159" t="s">
        <v>1319</v>
      </c>
      <c r="K203" s="159" t="s">
        <v>1299</v>
      </c>
      <c r="L203" s="160">
        <f>1999/7</f>
        <v>285.57142857142856</v>
      </c>
      <c r="M203" s="161"/>
      <c r="N203" s="161"/>
      <c r="O203" s="164">
        <f t="shared" si="23"/>
        <v>0</v>
      </c>
      <c r="P203" s="161"/>
      <c r="Q203" s="161"/>
      <c r="R203" s="164">
        <f>$L203*'Pivot Objective'!$C$9*P203*Q203</f>
        <v>0</v>
      </c>
      <c r="S203" s="161">
        <f>2*135*9</f>
        <v>2430</v>
      </c>
      <c r="T203" s="161">
        <v>1</v>
      </c>
      <c r="U203" s="164">
        <f>($L203*'Pivot Objective'!$C$9^2)*S203*T203</f>
        <v>906470.18975748552</v>
      </c>
      <c r="V203" s="161"/>
      <c r="W203" s="161"/>
      <c r="X203" s="164">
        <f>($L203*'Pivot Objective'!$C$9^3)*V203*W203</f>
        <v>0</v>
      </c>
      <c r="Y203" s="161"/>
      <c r="Z203" s="161"/>
      <c r="AA203" s="164">
        <f>($L203*'Pivot Objective'!$C$9^4)*Y203*Z203</f>
        <v>0</v>
      </c>
      <c r="AB203" s="151"/>
      <c r="AC203" s="151"/>
      <c r="AD203" s="164">
        <f>($L203*'Pivot Objective'!$C$9^5)*AB203*AC203</f>
        <v>0</v>
      </c>
      <c r="AE203" s="151"/>
      <c r="AF203" s="151"/>
      <c r="AG203" s="164">
        <f>($L203*'Pivot Objective'!$C$9^6)*AE203*AF203</f>
        <v>0</v>
      </c>
      <c r="AH203" s="151"/>
      <c r="AI203" s="151"/>
      <c r="AJ203" s="164">
        <f>($L203*'Pivot Objective'!$C$9^7)*AH203*AI203</f>
        <v>0</v>
      </c>
      <c r="AK203" s="185">
        <f t="shared" si="24"/>
        <v>906470.18975748552</v>
      </c>
      <c r="AL203" s="186">
        <f t="shared" si="25"/>
        <v>880.06814539561697</v>
      </c>
    </row>
    <row r="204" spans="1:38" ht="57.6" x14ac:dyDescent="0.3">
      <c r="A204" s="151" t="s">
        <v>1440</v>
      </c>
      <c r="B204" s="151">
        <v>1</v>
      </c>
      <c r="C204" s="152" t="s">
        <v>836</v>
      </c>
      <c r="D204" s="151" t="str">
        <f t="shared" si="18"/>
        <v>1</v>
      </c>
      <c r="E204" s="153" t="s">
        <v>837</v>
      </c>
      <c r="F204" s="151">
        <f t="shared" si="21"/>
        <v>7</v>
      </c>
      <c r="G204" s="151" t="str">
        <f t="shared" si="22"/>
        <v>1.1.7</v>
      </c>
      <c r="H204" s="156" t="s">
        <v>1683</v>
      </c>
      <c r="I204" s="159" t="s">
        <v>908</v>
      </c>
      <c r="J204" s="159" t="s">
        <v>916</v>
      </c>
      <c r="K204" s="159" t="s">
        <v>841</v>
      </c>
      <c r="L204" s="160">
        <v>0</v>
      </c>
      <c r="M204" s="161"/>
      <c r="N204" s="161"/>
      <c r="O204" s="164">
        <f t="shared" si="23"/>
        <v>0</v>
      </c>
      <c r="P204" s="161">
        <v>0</v>
      </c>
      <c r="Q204" s="161">
        <v>0</v>
      </c>
      <c r="R204" s="164">
        <f>$L204*'Pivot Objective'!$C$9*P204*Q204</f>
        <v>0</v>
      </c>
      <c r="S204" s="161">
        <v>0</v>
      </c>
      <c r="T204" s="161">
        <v>0</v>
      </c>
      <c r="U204" s="164">
        <f>($L204*'Pivot Objective'!$C$9^2)*S204*T204</f>
        <v>0</v>
      </c>
      <c r="V204" s="161">
        <v>0</v>
      </c>
      <c r="W204" s="161">
        <v>0</v>
      </c>
      <c r="X204" s="164">
        <f>($L204*'Pivot Objective'!$C$9^3)*V204*W204</f>
        <v>0</v>
      </c>
      <c r="Y204" s="161">
        <v>0</v>
      </c>
      <c r="Z204" s="161">
        <v>0</v>
      </c>
      <c r="AA204" s="164">
        <f>($L204*'Pivot Objective'!$C$9^4)*Y204*Z204</f>
        <v>0</v>
      </c>
      <c r="AB204" s="151"/>
      <c r="AC204" s="151"/>
      <c r="AD204" s="164">
        <f>($L204*'Pivot Objective'!$C$9^5)*AB204*AC204</f>
        <v>0</v>
      </c>
      <c r="AE204" s="151"/>
      <c r="AF204" s="151"/>
      <c r="AG204" s="164">
        <f>($L204*'Pivot Objective'!$C$9^6)*AE204*AF204</f>
        <v>0</v>
      </c>
      <c r="AH204" s="151"/>
      <c r="AI204" s="151"/>
      <c r="AJ204" s="164">
        <f>($L204*'Pivot Objective'!$C$9^7)*AH204*AI204</f>
        <v>0</v>
      </c>
      <c r="AK204" s="185">
        <f t="shared" si="24"/>
        <v>0</v>
      </c>
      <c r="AL204" s="186">
        <f t="shared" si="25"/>
        <v>0</v>
      </c>
    </row>
    <row r="205" spans="1:38" ht="57.6" x14ac:dyDescent="0.3">
      <c r="A205" s="151" t="s">
        <v>1440</v>
      </c>
      <c r="B205" s="151">
        <v>1</v>
      </c>
      <c r="C205" s="152" t="s">
        <v>836</v>
      </c>
      <c r="D205" s="151" t="str">
        <f t="shared" si="18"/>
        <v>1</v>
      </c>
      <c r="E205" s="153" t="s">
        <v>837</v>
      </c>
      <c r="F205" s="151">
        <f t="shared" si="21"/>
        <v>7</v>
      </c>
      <c r="G205" s="151" t="str">
        <f t="shared" si="22"/>
        <v>1.1.7</v>
      </c>
      <c r="H205" s="156" t="s">
        <v>1683</v>
      </c>
      <c r="I205" s="159" t="s">
        <v>908</v>
      </c>
      <c r="J205" s="159" t="s">
        <v>917</v>
      </c>
      <c r="K205" s="159" t="s">
        <v>841</v>
      </c>
      <c r="L205" s="160">
        <v>0</v>
      </c>
      <c r="M205" s="161"/>
      <c r="N205" s="161"/>
      <c r="O205" s="164">
        <f t="shared" si="23"/>
        <v>0</v>
      </c>
      <c r="P205" s="161">
        <v>0</v>
      </c>
      <c r="Q205" s="161">
        <v>0</v>
      </c>
      <c r="R205" s="164">
        <f>$L205*'Pivot Objective'!$C$9*P205*Q205</f>
        <v>0</v>
      </c>
      <c r="S205" s="161">
        <v>0</v>
      </c>
      <c r="T205" s="161">
        <v>0</v>
      </c>
      <c r="U205" s="164">
        <f>($L205*'Pivot Objective'!$C$9^2)*S205*T205</f>
        <v>0</v>
      </c>
      <c r="V205" s="161">
        <v>0</v>
      </c>
      <c r="W205" s="161">
        <v>0</v>
      </c>
      <c r="X205" s="164">
        <f>($L205*'Pivot Objective'!$C$9^3)*V205*W205</f>
        <v>0</v>
      </c>
      <c r="Y205" s="161">
        <v>0</v>
      </c>
      <c r="Z205" s="161">
        <v>0</v>
      </c>
      <c r="AA205" s="164">
        <f>($L205*'Pivot Objective'!$C$9^4)*Y205*Z205</f>
        <v>0</v>
      </c>
      <c r="AB205" s="151"/>
      <c r="AC205" s="151"/>
      <c r="AD205" s="164">
        <f>($L205*'Pivot Objective'!$C$9^5)*AB205*AC205</f>
        <v>0</v>
      </c>
      <c r="AE205" s="151"/>
      <c r="AF205" s="151"/>
      <c r="AG205" s="164">
        <f>($L205*'Pivot Objective'!$C$9^6)*AE205*AF205</f>
        <v>0</v>
      </c>
      <c r="AH205" s="151"/>
      <c r="AI205" s="151"/>
      <c r="AJ205" s="164">
        <f>($L205*'Pivot Objective'!$C$9^7)*AH205*AI205</f>
        <v>0</v>
      </c>
      <c r="AK205" s="185">
        <f t="shared" si="24"/>
        <v>0</v>
      </c>
      <c r="AL205" s="186">
        <f t="shared" si="25"/>
        <v>0</v>
      </c>
    </row>
    <row r="206" spans="1:38" ht="57.6" x14ac:dyDescent="0.3">
      <c r="A206" s="151" t="s">
        <v>1440</v>
      </c>
      <c r="B206" s="151">
        <v>1</v>
      </c>
      <c r="C206" s="152" t="s">
        <v>836</v>
      </c>
      <c r="D206" s="151" t="str">
        <f t="shared" si="18"/>
        <v>1</v>
      </c>
      <c r="E206" s="153" t="s">
        <v>837</v>
      </c>
      <c r="F206" s="151">
        <f t="shared" si="21"/>
        <v>7</v>
      </c>
      <c r="G206" s="151" t="str">
        <f t="shared" si="22"/>
        <v>1.1.7</v>
      </c>
      <c r="H206" s="156" t="s">
        <v>1683</v>
      </c>
      <c r="I206" s="159" t="s">
        <v>908</v>
      </c>
      <c r="J206" s="159" t="s">
        <v>918</v>
      </c>
      <c r="K206" s="159" t="s">
        <v>709</v>
      </c>
      <c r="L206" s="160">
        <v>35000</v>
      </c>
      <c r="M206" s="161"/>
      <c r="N206" s="161"/>
      <c r="O206" s="164">
        <f t="shared" si="23"/>
        <v>0</v>
      </c>
      <c r="P206" s="161">
        <v>0</v>
      </c>
      <c r="Q206" s="161">
        <v>0</v>
      </c>
      <c r="R206" s="164">
        <f>$L206*'Pivot Objective'!$C$9*P206*Q206</f>
        <v>0</v>
      </c>
      <c r="S206" s="161">
        <v>25</v>
      </c>
      <c r="T206" s="161">
        <v>1</v>
      </c>
      <c r="U206" s="164">
        <f>($L206*'Pivot Objective'!$C$9^2)*S206*T206</f>
        <v>1142985.0547217228</v>
      </c>
      <c r="V206" s="161">
        <v>0</v>
      </c>
      <c r="W206" s="161">
        <v>0</v>
      </c>
      <c r="X206" s="164">
        <f>($L206*'Pivot Objective'!$C$9^3)*V206*W206</f>
        <v>0</v>
      </c>
      <c r="Y206" s="161">
        <v>0</v>
      </c>
      <c r="Z206" s="161">
        <v>0</v>
      </c>
      <c r="AA206" s="164">
        <f>($L206*'Pivot Objective'!$C$9^4)*Y206*Z206</f>
        <v>0</v>
      </c>
      <c r="AB206" s="151"/>
      <c r="AC206" s="151"/>
      <c r="AD206" s="164">
        <f>($L206*'Pivot Objective'!$C$9^5)*AB206*AC206</f>
        <v>0</v>
      </c>
      <c r="AE206" s="151"/>
      <c r="AF206" s="151"/>
      <c r="AG206" s="164">
        <f>($L206*'Pivot Objective'!$C$9^6)*AE206*AF206</f>
        <v>0</v>
      </c>
      <c r="AH206" s="151"/>
      <c r="AI206" s="151"/>
      <c r="AJ206" s="164">
        <f>($L206*'Pivot Objective'!$C$9^7)*AH206*AI206</f>
        <v>0</v>
      </c>
      <c r="AK206" s="185">
        <f t="shared" si="24"/>
        <v>1142985.0547217228</v>
      </c>
      <c r="AL206" s="186">
        <f t="shared" si="25"/>
        <v>1109.6942278851677</v>
      </c>
    </row>
    <row r="207" spans="1:38" ht="57.6" x14ac:dyDescent="0.3">
      <c r="A207" s="151" t="s">
        <v>1440</v>
      </c>
      <c r="B207" s="151">
        <v>1</v>
      </c>
      <c r="C207" s="152" t="s">
        <v>836</v>
      </c>
      <c r="D207" s="151" t="str">
        <f t="shared" si="18"/>
        <v>1</v>
      </c>
      <c r="E207" s="153" t="s">
        <v>837</v>
      </c>
      <c r="F207" s="151">
        <f t="shared" si="21"/>
        <v>7</v>
      </c>
      <c r="G207" s="151" t="str">
        <f t="shared" si="22"/>
        <v>1.1.7</v>
      </c>
      <c r="H207" s="156" t="s">
        <v>1683</v>
      </c>
      <c r="I207" s="159" t="s">
        <v>908</v>
      </c>
      <c r="J207" s="159" t="s">
        <v>918</v>
      </c>
      <c r="K207" s="159" t="s">
        <v>716</v>
      </c>
      <c r="L207" s="160">
        <v>39000</v>
      </c>
      <c r="M207" s="161"/>
      <c r="N207" s="161"/>
      <c r="O207" s="164">
        <f t="shared" si="23"/>
        <v>0</v>
      </c>
      <c r="P207" s="161">
        <v>0</v>
      </c>
      <c r="Q207" s="161">
        <v>0</v>
      </c>
      <c r="R207" s="164">
        <f>$L207*'Pivot Objective'!$C$9*P207*Q207</f>
        <v>0</v>
      </c>
      <c r="S207" s="161">
        <v>25</v>
      </c>
      <c r="T207" s="161">
        <v>1</v>
      </c>
      <c r="U207" s="164">
        <f>($L207*'Pivot Objective'!$C$9^2)*S207*T207</f>
        <v>1273611.9181184911</v>
      </c>
      <c r="V207" s="161">
        <v>0</v>
      </c>
      <c r="W207" s="161">
        <v>0</v>
      </c>
      <c r="X207" s="164">
        <f>($L207*'Pivot Objective'!$C$9^3)*V207*W207</f>
        <v>0</v>
      </c>
      <c r="Y207" s="161">
        <v>0</v>
      </c>
      <c r="Z207" s="161">
        <v>0</v>
      </c>
      <c r="AA207" s="164">
        <f>($L207*'Pivot Objective'!$C$9^4)*Y207*Z207</f>
        <v>0</v>
      </c>
      <c r="AB207" s="151"/>
      <c r="AC207" s="151"/>
      <c r="AD207" s="164">
        <f>($L207*'Pivot Objective'!$C$9^5)*AB207*AC207</f>
        <v>0</v>
      </c>
      <c r="AE207" s="151"/>
      <c r="AF207" s="151"/>
      <c r="AG207" s="164">
        <f>($L207*'Pivot Objective'!$C$9^6)*AE207*AF207</f>
        <v>0</v>
      </c>
      <c r="AH207" s="151"/>
      <c r="AI207" s="151"/>
      <c r="AJ207" s="164">
        <f>($L207*'Pivot Objective'!$C$9^7)*AH207*AI207</f>
        <v>0</v>
      </c>
      <c r="AK207" s="185">
        <f t="shared" si="24"/>
        <v>1273611.9181184911</v>
      </c>
      <c r="AL207" s="186">
        <f t="shared" si="25"/>
        <v>1236.5164253577584</v>
      </c>
    </row>
    <row r="208" spans="1:38" ht="57.6" x14ac:dyDescent="0.3">
      <c r="A208" s="151" t="s">
        <v>1440</v>
      </c>
      <c r="B208" s="151">
        <v>1</v>
      </c>
      <c r="C208" s="152" t="s">
        <v>836</v>
      </c>
      <c r="D208" s="151" t="str">
        <f t="shared" si="18"/>
        <v>1</v>
      </c>
      <c r="E208" s="153" t="s">
        <v>837</v>
      </c>
      <c r="F208" s="151">
        <f t="shared" si="21"/>
        <v>7</v>
      </c>
      <c r="G208" s="151" t="str">
        <f t="shared" si="22"/>
        <v>1.1.7</v>
      </c>
      <c r="H208" s="156" t="s">
        <v>1683</v>
      </c>
      <c r="I208" s="159" t="s">
        <v>908</v>
      </c>
      <c r="J208" s="159" t="s">
        <v>918</v>
      </c>
      <c r="K208" s="159" t="s">
        <v>712</v>
      </c>
      <c r="L208" s="160">
        <f>1999/7</f>
        <v>285.57142857142856</v>
      </c>
      <c r="M208" s="161"/>
      <c r="N208" s="161"/>
      <c r="O208" s="164">
        <f t="shared" si="23"/>
        <v>0</v>
      </c>
      <c r="P208" s="161">
        <v>0</v>
      </c>
      <c r="Q208" s="161">
        <v>0</v>
      </c>
      <c r="R208" s="164">
        <f>$L208*'Pivot Objective'!$C$9*P208*Q208</f>
        <v>0</v>
      </c>
      <c r="S208" s="161">
        <f>25*2*9</f>
        <v>450</v>
      </c>
      <c r="T208" s="161">
        <v>1</v>
      </c>
      <c r="U208" s="164">
        <f>($L208*'Pivot Objective'!$C$9^2)*S208*T208</f>
        <v>167864.84995508991</v>
      </c>
      <c r="V208" s="161">
        <v>0</v>
      </c>
      <c r="W208" s="161">
        <v>0</v>
      </c>
      <c r="X208" s="164">
        <f>($L208*'Pivot Objective'!$C$9^3)*V208*W208</f>
        <v>0</v>
      </c>
      <c r="Y208" s="161">
        <v>0</v>
      </c>
      <c r="Z208" s="161">
        <v>0</v>
      </c>
      <c r="AA208" s="164">
        <f>($L208*'Pivot Objective'!$C$9^4)*Y208*Z208</f>
        <v>0</v>
      </c>
      <c r="AB208" s="151"/>
      <c r="AC208" s="151"/>
      <c r="AD208" s="164">
        <f>($L208*'Pivot Objective'!$C$9^5)*AB208*AC208</f>
        <v>0</v>
      </c>
      <c r="AE208" s="151"/>
      <c r="AF208" s="151"/>
      <c r="AG208" s="164">
        <f>($L208*'Pivot Objective'!$C$9^6)*AE208*AF208</f>
        <v>0</v>
      </c>
      <c r="AH208" s="151"/>
      <c r="AI208" s="151"/>
      <c r="AJ208" s="164">
        <f>($L208*'Pivot Objective'!$C$9^7)*AH208*AI208</f>
        <v>0</v>
      </c>
      <c r="AK208" s="185">
        <f t="shared" si="24"/>
        <v>167864.84995508991</v>
      </c>
      <c r="AL208" s="186">
        <f t="shared" si="25"/>
        <v>162.97558248066983</v>
      </c>
    </row>
    <row r="209" spans="1:38" ht="57.6" x14ac:dyDescent="0.3">
      <c r="A209" s="151" t="s">
        <v>1440</v>
      </c>
      <c r="B209" s="151">
        <v>1</v>
      </c>
      <c r="C209" s="152" t="s">
        <v>836</v>
      </c>
      <c r="D209" s="151" t="str">
        <f t="shared" si="18"/>
        <v>1</v>
      </c>
      <c r="E209" s="153" t="s">
        <v>837</v>
      </c>
      <c r="F209" s="151">
        <f t="shared" si="21"/>
        <v>7</v>
      </c>
      <c r="G209" s="151" t="str">
        <f t="shared" si="22"/>
        <v>1.1.7</v>
      </c>
      <c r="H209" s="156" t="s">
        <v>1683</v>
      </c>
      <c r="I209" s="159" t="s">
        <v>908</v>
      </c>
      <c r="J209" s="159" t="s">
        <v>918</v>
      </c>
      <c r="K209" s="159" t="s">
        <v>1299</v>
      </c>
      <c r="L209" s="160">
        <f>1999/7</f>
        <v>285.57142857142856</v>
      </c>
      <c r="M209" s="161"/>
      <c r="N209" s="161"/>
      <c r="O209" s="164">
        <f t="shared" si="23"/>
        <v>0</v>
      </c>
      <c r="P209" s="161"/>
      <c r="Q209" s="161"/>
      <c r="R209" s="164">
        <f>$L209*'Pivot Objective'!$C$9*P209*Q209</f>
        <v>0</v>
      </c>
      <c r="S209" s="161">
        <f>2*135*9</f>
        <v>2430</v>
      </c>
      <c r="T209" s="161">
        <v>1</v>
      </c>
      <c r="U209" s="164">
        <f>($L209*'Pivot Objective'!$C$9^2)*S209*T209</f>
        <v>906470.18975748552</v>
      </c>
      <c r="V209" s="161"/>
      <c r="W209" s="161"/>
      <c r="X209" s="164">
        <f>($L209*'Pivot Objective'!$C$9^3)*V209*W209</f>
        <v>0</v>
      </c>
      <c r="Y209" s="161"/>
      <c r="Z209" s="161"/>
      <c r="AA209" s="164">
        <f>($L209*'Pivot Objective'!$C$9^4)*Y209*Z209</f>
        <v>0</v>
      </c>
      <c r="AB209" s="151"/>
      <c r="AC209" s="151"/>
      <c r="AD209" s="164">
        <f>($L209*'Pivot Objective'!$C$9^5)*AB209*AC209</f>
        <v>0</v>
      </c>
      <c r="AE209" s="151"/>
      <c r="AF209" s="151"/>
      <c r="AG209" s="164">
        <f>($L209*'Pivot Objective'!$C$9^6)*AE209*AF209</f>
        <v>0</v>
      </c>
      <c r="AH209" s="151"/>
      <c r="AI209" s="151"/>
      <c r="AJ209" s="164">
        <f>($L209*'Pivot Objective'!$C$9^7)*AH209*AI209</f>
        <v>0</v>
      </c>
      <c r="AK209" s="185">
        <f t="shared" si="24"/>
        <v>906470.18975748552</v>
      </c>
      <c r="AL209" s="186">
        <f t="shared" si="25"/>
        <v>880.06814539561697</v>
      </c>
    </row>
    <row r="210" spans="1:38" ht="57.6" x14ac:dyDescent="0.3">
      <c r="A210" s="151" t="s">
        <v>1440</v>
      </c>
      <c r="B210" s="151">
        <v>1</v>
      </c>
      <c r="C210" s="152" t="s">
        <v>836</v>
      </c>
      <c r="D210" s="151" t="str">
        <f t="shared" si="18"/>
        <v>1</v>
      </c>
      <c r="E210" s="153" t="s">
        <v>837</v>
      </c>
      <c r="F210" s="151">
        <f t="shared" si="21"/>
        <v>7</v>
      </c>
      <c r="G210" s="151" t="str">
        <f t="shared" si="22"/>
        <v>1.1.7</v>
      </c>
      <c r="H210" s="156" t="s">
        <v>1683</v>
      </c>
      <c r="I210" s="159" t="s">
        <v>908</v>
      </c>
      <c r="J210" s="159" t="s">
        <v>919</v>
      </c>
      <c r="K210" s="159" t="s">
        <v>709</v>
      </c>
      <c r="L210" s="160">
        <v>35000</v>
      </c>
      <c r="M210" s="161"/>
      <c r="N210" s="161"/>
      <c r="O210" s="164">
        <f t="shared" si="23"/>
        <v>0</v>
      </c>
      <c r="P210" s="161">
        <v>0</v>
      </c>
      <c r="Q210" s="161">
        <v>0</v>
      </c>
      <c r="R210" s="164">
        <f>$L210*'Pivot Objective'!$C$9*P210*Q210</f>
        <v>0</v>
      </c>
      <c r="S210" s="161">
        <v>100</v>
      </c>
      <c r="T210" s="161">
        <v>1</v>
      </c>
      <c r="U210" s="164">
        <f>($L210*'Pivot Objective'!$C$9^2)*S210*T210</f>
        <v>4571940.2188868914</v>
      </c>
      <c r="V210" s="161">
        <v>0</v>
      </c>
      <c r="W210" s="161">
        <v>0</v>
      </c>
      <c r="X210" s="164">
        <f>($L210*'Pivot Objective'!$C$9^3)*V210*W210</f>
        <v>0</v>
      </c>
      <c r="Y210" s="161">
        <v>0</v>
      </c>
      <c r="Z210" s="161">
        <v>0</v>
      </c>
      <c r="AA210" s="164">
        <f>($L210*'Pivot Objective'!$C$9^4)*Y210*Z210</f>
        <v>0</v>
      </c>
      <c r="AB210" s="151"/>
      <c r="AC210" s="151"/>
      <c r="AD210" s="164">
        <f>($L210*'Pivot Objective'!$C$9^5)*AB210*AC210</f>
        <v>0</v>
      </c>
      <c r="AE210" s="151"/>
      <c r="AF210" s="151"/>
      <c r="AG210" s="164">
        <f>($L210*'Pivot Objective'!$C$9^6)*AE210*AF210</f>
        <v>0</v>
      </c>
      <c r="AH210" s="151"/>
      <c r="AI210" s="151"/>
      <c r="AJ210" s="164">
        <f>($L210*'Pivot Objective'!$C$9^7)*AH210*AI210</f>
        <v>0</v>
      </c>
      <c r="AK210" s="185">
        <f t="shared" si="24"/>
        <v>4571940.2188868914</v>
      </c>
      <c r="AL210" s="186">
        <f t="shared" si="25"/>
        <v>4438.7769115406709</v>
      </c>
    </row>
    <row r="211" spans="1:38" ht="57.6" x14ac:dyDescent="0.3">
      <c r="A211" s="151" t="s">
        <v>1440</v>
      </c>
      <c r="B211" s="151">
        <v>1</v>
      </c>
      <c r="C211" s="152" t="s">
        <v>836</v>
      </c>
      <c r="D211" s="151" t="str">
        <f t="shared" si="18"/>
        <v>1</v>
      </c>
      <c r="E211" s="153" t="s">
        <v>837</v>
      </c>
      <c r="F211" s="151">
        <f t="shared" si="21"/>
        <v>7</v>
      </c>
      <c r="G211" s="151" t="str">
        <f t="shared" si="22"/>
        <v>1.1.7</v>
      </c>
      <c r="H211" s="156" t="s">
        <v>1683</v>
      </c>
      <c r="I211" s="159" t="s">
        <v>908</v>
      </c>
      <c r="J211" s="159" t="s">
        <v>919</v>
      </c>
      <c r="K211" s="159" t="s">
        <v>716</v>
      </c>
      <c r="L211" s="160">
        <v>39000</v>
      </c>
      <c r="M211" s="161"/>
      <c r="N211" s="161"/>
      <c r="O211" s="164">
        <f t="shared" si="23"/>
        <v>0</v>
      </c>
      <c r="P211" s="161">
        <v>0</v>
      </c>
      <c r="Q211" s="161">
        <v>0</v>
      </c>
      <c r="R211" s="164">
        <f>$L211*'Pivot Objective'!$C$9*P211*Q211</f>
        <v>0</v>
      </c>
      <c r="S211" s="161">
        <v>58</v>
      </c>
      <c r="T211" s="161">
        <v>2</v>
      </c>
      <c r="U211" s="164">
        <f>($L211*'Pivot Objective'!$C$9^2)*S211*T211</f>
        <v>5909559.3000697987</v>
      </c>
      <c r="V211" s="161">
        <v>0</v>
      </c>
      <c r="W211" s="161">
        <v>0</v>
      </c>
      <c r="X211" s="164">
        <f>($L211*'Pivot Objective'!$C$9^3)*V211*W211</f>
        <v>0</v>
      </c>
      <c r="Y211" s="161">
        <v>0</v>
      </c>
      <c r="Z211" s="161">
        <v>0</v>
      </c>
      <c r="AA211" s="164">
        <f>($L211*'Pivot Objective'!$C$9^4)*Y211*Z211</f>
        <v>0</v>
      </c>
      <c r="AB211" s="151"/>
      <c r="AC211" s="151"/>
      <c r="AD211" s="164">
        <f>($L211*'Pivot Objective'!$C$9^5)*AB211*AC211</f>
        <v>0</v>
      </c>
      <c r="AE211" s="151"/>
      <c r="AF211" s="151"/>
      <c r="AG211" s="164">
        <f>($L211*'Pivot Objective'!$C$9^6)*AE211*AF211</f>
        <v>0</v>
      </c>
      <c r="AH211" s="151"/>
      <c r="AI211" s="151"/>
      <c r="AJ211" s="164">
        <f>($L211*'Pivot Objective'!$C$9^7)*AH211*AI211</f>
        <v>0</v>
      </c>
      <c r="AK211" s="185">
        <f t="shared" si="24"/>
        <v>5909559.3000697987</v>
      </c>
      <c r="AL211" s="186">
        <f t="shared" si="25"/>
        <v>5737.4362136599984</v>
      </c>
    </row>
    <row r="212" spans="1:38" ht="57.6" x14ac:dyDescent="0.3">
      <c r="A212" s="151" t="s">
        <v>1440</v>
      </c>
      <c r="B212" s="151">
        <v>1</v>
      </c>
      <c r="C212" s="152" t="s">
        <v>836</v>
      </c>
      <c r="D212" s="151" t="str">
        <f t="shared" si="18"/>
        <v>1</v>
      </c>
      <c r="E212" s="153" t="s">
        <v>837</v>
      </c>
      <c r="F212" s="151">
        <f t="shared" si="21"/>
        <v>7</v>
      </c>
      <c r="G212" s="151" t="str">
        <f t="shared" si="22"/>
        <v>1.1.7</v>
      </c>
      <c r="H212" s="156" t="s">
        <v>1683</v>
      </c>
      <c r="I212" s="159" t="s">
        <v>908</v>
      </c>
      <c r="J212" s="159" t="s">
        <v>919</v>
      </c>
      <c r="K212" s="159" t="s">
        <v>712</v>
      </c>
      <c r="L212" s="160">
        <f>1999/7</f>
        <v>285.57142857142856</v>
      </c>
      <c r="M212" s="161"/>
      <c r="N212" s="161"/>
      <c r="O212" s="164">
        <f t="shared" si="23"/>
        <v>0</v>
      </c>
      <c r="P212" s="161">
        <v>0</v>
      </c>
      <c r="Q212" s="161">
        <v>0</v>
      </c>
      <c r="R212" s="164">
        <f>$L212*'Pivot Objective'!$C$9*P212*Q212</f>
        <v>0</v>
      </c>
      <c r="S212" s="161">
        <f>25*2*29</f>
        <v>1450</v>
      </c>
      <c r="T212" s="161">
        <v>1</v>
      </c>
      <c r="U212" s="164">
        <f>($L212*'Pivot Objective'!$C$9^2)*S212*T212</f>
        <v>540897.84985528968</v>
      </c>
      <c r="V212" s="161">
        <v>0</v>
      </c>
      <c r="W212" s="161">
        <v>0</v>
      </c>
      <c r="X212" s="164">
        <f>($L212*'Pivot Objective'!$C$9^3)*V212*W212</f>
        <v>0</v>
      </c>
      <c r="Y212" s="161">
        <v>0</v>
      </c>
      <c r="Z212" s="161">
        <v>0</v>
      </c>
      <c r="AA212" s="164">
        <f>($L212*'Pivot Objective'!$C$9^4)*Y212*Z212</f>
        <v>0</v>
      </c>
      <c r="AB212" s="151"/>
      <c r="AC212" s="151"/>
      <c r="AD212" s="164">
        <f>($L212*'Pivot Objective'!$C$9^5)*AB212*AC212</f>
        <v>0</v>
      </c>
      <c r="AE212" s="151"/>
      <c r="AF212" s="151"/>
      <c r="AG212" s="164">
        <f>($L212*'Pivot Objective'!$C$9^6)*AE212*AF212</f>
        <v>0</v>
      </c>
      <c r="AH212" s="151"/>
      <c r="AI212" s="151"/>
      <c r="AJ212" s="164">
        <f>($L212*'Pivot Objective'!$C$9^7)*AH212*AI212</f>
        <v>0</v>
      </c>
      <c r="AK212" s="185">
        <f t="shared" si="24"/>
        <v>540897.84985528968</v>
      </c>
      <c r="AL212" s="186">
        <f t="shared" si="25"/>
        <v>525.14354354882494</v>
      </c>
    </row>
    <row r="213" spans="1:38" ht="57.6" x14ac:dyDescent="0.3">
      <c r="A213" s="151" t="s">
        <v>1440</v>
      </c>
      <c r="B213" s="151">
        <v>1</v>
      </c>
      <c r="C213" s="152" t="s">
        <v>836</v>
      </c>
      <c r="D213" s="151" t="str">
        <f t="shared" si="18"/>
        <v>1</v>
      </c>
      <c r="E213" s="153" t="s">
        <v>837</v>
      </c>
      <c r="F213" s="151">
        <f t="shared" si="21"/>
        <v>7</v>
      </c>
      <c r="G213" s="151" t="str">
        <f t="shared" si="22"/>
        <v>1.1.7</v>
      </c>
      <c r="H213" s="156" t="s">
        <v>1683</v>
      </c>
      <c r="I213" s="159" t="s">
        <v>908</v>
      </c>
      <c r="J213" s="159" t="s">
        <v>919</v>
      </c>
      <c r="K213" s="159" t="s">
        <v>1297</v>
      </c>
      <c r="L213" s="160">
        <v>8000</v>
      </c>
      <c r="M213" s="161"/>
      <c r="N213" s="161"/>
      <c r="O213" s="164">
        <f t="shared" si="23"/>
        <v>0</v>
      </c>
      <c r="P213" s="161">
        <v>0</v>
      </c>
      <c r="Q213" s="161">
        <v>0</v>
      </c>
      <c r="R213" s="164">
        <f>$L213*'Pivot Objective'!$C$9*P213*Q213</f>
        <v>0</v>
      </c>
      <c r="S213" s="161">
        <v>10</v>
      </c>
      <c r="T213" s="161">
        <v>1</v>
      </c>
      <c r="U213" s="164">
        <f>($L213*'Pivot Objective'!$C$9^2)*S213*T213</f>
        <v>104501.49071741465</v>
      </c>
      <c r="V213" s="161">
        <v>0</v>
      </c>
      <c r="W213" s="161">
        <v>0</v>
      </c>
      <c r="X213" s="164">
        <f>($L213*'Pivot Objective'!$C$9^3)*V213*W213</f>
        <v>0</v>
      </c>
      <c r="Y213" s="161">
        <v>0</v>
      </c>
      <c r="Z213" s="161">
        <v>0</v>
      </c>
      <c r="AA213" s="164">
        <f>($L213*'Pivot Objective'!$C$9^4)*Y213*Z213</f>
        <v>0</v>
      </c>
      <c r="AB213" s="151"/>
      <c r="AC213" s="151"/>
      <c r="AD213" s="164">
        <f>($L213*'Pivot Objective'!$C$9^5)*AB213*AC213</f>
        <v>0</v>
      </c>
      <c r="AE213" s="151"/>
      <c r="AF213" s="151"/>
      <c r="AG213" s="164">
        <f>($L213*'Pivot Objective'!$C$9^6)*AE213*AF213</f>
        <v>0</v>
      </c>
      <c r="AH213" s="151"/>
      <c r="AI213" s="151"/>
      <c r="AJ213" s="164">
        <f>($L213*'Pivot Objective'!$C$9^7)*AH213*AI213</f>
        <v>0</v>
      </c>
      <c r="AK213" s="185">
        <f t="shared" si="24"/>
        <v>104501.49071741465</v>
      </c>
      <c r="AL213" s="186">
        <f t="shared" si="25"/>
        <v>101.45775797807248</v>
      </c>
    </row>
    <row r="214" spans="1:38" ht="57.6" x14ac:dyDescent="0.3">
      <c r="A214" s="151" t="s">
        <v>1440</v>
      </c>
      <c r="B214" s="151">
        <v>1</v>
      </c>
      <c r="C214" s="152" t="s">
        <v>836</v>
      </c>
      <c r="D214" s="151" t="str">
        <f t="shared" si="18"/>
        <v>1</v>
      </c>
      <c r="E214" s="153" t="s">
        <v>837</v>
      </c>
      <c r="F214" s="151">
        <f t="shared" si="21"/>
        <v>7</v>
      </c>
      <c r="G214" s="151" t="str">
        <f t="shared" si="22"/>
        <v>1.1.7</v>
      </c>
      <c r="H214" s="156" t="s">
        <v>1683</v>
      </c>
      <c r="I214" s="159" t="s">
        <v>908</v>
      </c>
      <c r="J214" s="159" t="s">
        <v>919</v>
      </c>
      <c r="K214" s="159" t="s">
        <v>710</v>
      </c>
      <c r="L214" s="160">
        <v>104850</v>
      </c>
      <c r="M214" s="161"/>
      <c r="N214" s="161"/>
      <c r="O214" s="164">
        <f t="shared" si="23"/>
        <v>0</v>
      </c>
      <c r="P214" s="161">
        <v>0</v>
      </c>
      <c r="Q214" s="161">
        <v>0</v>
      </c>
      <c r="R214" s="164">
        <f>$L214*'Pivot Objective'!$C$9*P214*Q214</f>
        <v>0</v>
      </c>
      <c r="S214" s="161">
        <v>1</v>
      </c>
      <c r="T214" s="161">
        <v>1</v>
      </c>
      <c r="U214" s="164">
        <f>($L214*'Pivot Objective'!$C$9^2)*S214*T214</f>
        <v>136962.26627151159</v>
      </c>
      <c r="V214" s="161">
        <v>0</v>
      </c>
      <c r="W214" s="161">
        <v>0</v>
      </c>
      <c r="X214" s="164">
        <f>($L214*'Pivot Objective'!$C$9^3)*V214*W214</f>
        <v>0</v>
      </c>
      <c r="Y214" s="161">
        <v>0</v>
      </c>
      <c r="Z214" s="161">
        <v>0</v>
      </c>
      <c r="AA214" s="164">
        <f>($L214*'Pivot Objective'!$C$9^4)*Y214*Z214</f>
        <v>0</v>
      </c>
      <c r="AB214" s="151"/>
      <c r="AC214" s="151"/>
      <c r="AD214" s="164">
        <f>($L214*'Pivot Objective'!$C$9^5)*AB214*AC214</f>
        <v>0</v>
      </c>
      <c r="AE214" s="151"/>
      <c r="AF214" s="151"/>
      <c r="AG214" s="164">
        <f>($L214*'Pivot Objective'!$C$9^6)*AE214*AF214</f>
        <v>0</v>
      </c>
      <c r="AH214" s="151"/>
      <c r="AI214" s="151"/>
      <c r="AJ214" s="164">
        <f>($L214*'Pivot Objective'!$C$9^7)*AH214*AI214</f>
        <v>0</v>
      </c>
      <c r="AK214" s="185">
        <f t="shared" si="24"/>
        <v>136962.26627151159</v>
      </c>
      <c r="AL214" s="186">
        <f t="shared" si="25"/>
        <v>132.97307405001126</v>
      </c>
    </row>
    <row r="215" spans="1:38" ht="57.6" x14ac:dyDescent="0.3">
      <c r="A215" s="151" t="s">
        <v>1440</v>
      </c>
      <c r="B215" s="151">
        <v>1</v>
      </c>
      <c r="C215" s="152" t="s">
        <v>836</v>
      </c>
      <c r="D215" s="151" t="str">
        <f t="shared" si="18"/>
        <v>1</v>
      </c>
      <c r="E215" s="153" t="s">
        <v>837</v>
      </c>
      <c r="F215" s="151">
        <f t="shared" si="21"/>
        <v>7</v>
      </c>
      <c r="G215" s="151" t="str">
        <f t="shared" si="22"/>
        <v>1.1.7</v>
      </c>
      <c r="H215" s="156" t="s">
        <v>1683</v>
      </c>
      <c r="I215" s="159" t="s">
        <v>908</v>
      </c>
      <c r="J215" s="159" t="s">
        <v>920</v>
      </c>
      <c r="K215" s="159" t="s">
        <v>841</v>
      </c>
      <c r="L215" s="160">
        <v>0</v>
      </c>
      <c r="M215" s="161"/>
      <c r="N215" s="161"/>
      <c r="O215" s="164">
        <f t="shared" si="23"/>
        <v>0</v>
      </c>
      <c r="P215" s="161">
        <v>0</v>
      </c>
      <c r="Q215" s="161">
        <v>0</v>
      </c>
      <c r="R215" s="164">
        <f>$L215*'Pivot Objective'!$C$9*P215*Q215</f>
        <v>0</v>
      </c>
      <c r="S215" s="161">
        <v>0</v>
      </c>
      <c r="T215" s="161">
        <v>0</v>
      </c>
      <c r="U215" s="164">
        <f>($L215*'Pivot Objective'!$C$9^2)*S215*T215</f>
        <v>0</v>
      </c>
      <c r="V215" s="161">
        <v>0</v>
      </c>
      <c r="W215" s="161">
        <v>0</v>
      </c>
      <c r="X215" s="164">
        <f>($L215*'Pivot Objective'!$C$9^3)*V215*W215</f>
        <v>0</v>
      </c>
      <c r="Y215" s="161">
        <v>0</v>
      </c>
      <c r="Z215" s="161">
        <v>0</v>
      </c>
      <c r="AA215" s="164">
        <f>($L215*'Pivot Objective'!$C$9^4)*Y215*Z215</f>
        <v>0</v>
      </c>
      <c r="AB215" s="151"/>
      <c r="AC215" s="151"/>
      <c r="AD215" s="164">
        <f>($L215*'Pivot Objective'!$C$9^5)*AB215*AC215</f>
        <v>0</v>
      </c>
      <c r="AE215" s="151"/>
      <c r="AF215" s="151"/>
      <c r="AG215" s="164">
        <f>($L215*'Pivot Objective'!$C$9^6)*AE215*AF215</f>
        <v>0</v>
      </c>
      <c r="AH215" s="151"/>
      <c r="AI215" s="151"/>
      <c r="AJ215" s="164">
        <f>($L215*'Pivot Objective'!$C$9^7)*AH215*AI215</f>
        <v>0</v>
      </c>
      <c r="AK215" s="185">
        <f t="shared" si="24"/>
        <v>0</v>
      </c>
      <c r="AL215" s="186">
        <f t="shared" si="25"/>
        <v>0</v>
      </c>
    </row>
    <row r="216" spans="1:38" ht="57.6" x14ac:dyDescent="0.3">
      <c r="A216" s="151" t="s">
        <v>1440</v>
      </c>
      <c r="B216" s="151">
        <v>1</v>
      </c>
      <c r="C216" s="152" t="s">
        <v>836</v>
      </c>
      <c r="D216" s="151" t="str">
        <f t="shared" si="18"/>
        <v>1</v>
      </c>
      <c r="E216" s="153" t="s">
        <v>837</v>
      </c>
      <c r="F216" s="151">
        <f t="shared" si="21"/>
        <v>7</v>
      </c>
      <c r="G216" s="151" t="str">
        <f t="shared" si="22"/>
        <v>1.1.7</v>
      </c>
      <c r="H216" s="156" t="s">
        <v>1683</v>
      </c>
      <c r="I216" s="159" t="s">
        <v>921</v>
      </c>
      <c r="J216" s="159" t="s">
        <v>922</v>
      </c>
      <c r="K216" s="159" t="s">
        <v>841</v>
      </c>
      <c r="L216" s="160">
        <v>0</v>
      </c>
      <c r="M216" s="161">
        <v>0</v>
      </c>
      <c r="N216" s="161">
        <v>0</v>
      </c>
      <c r="O216" s="164">
        <f t="shared" si="23"/>
        <v>0</v>
      </c>
      <c r="P216" s="161">
        <v>0</v>
      </c>
      <c r="Q216" s="161">
        <v>0</v>
      </c>
      <c r="R216" s="164">
        <f>$L216*'Pivot Objective'!$C$9*P216*Q216</f>
        <v>0</v>
      </c>
      <c r="S216" s="161">
        <v>0</v>
      </c>
      <c r="T216" s="161">
        <v>0</v>
      </c>
      <c r="U216" s="164">
        <f>($L216*'Pivot Objective'!$C$9^2)*S216*T216</f>
        <v>0</v>
      </c>
      <c r="V216" s="161">
        <v>0</v>
      </c>
      <c r="W216" s="161">
        <v>0</v>
      </c>
      <c r="X216" s="164">
        <f>($L216*'Pivot Objective'!$C$9^3)*V216*W216</f>
        <v>0</v>
      </c>
      <c r="Y216" s="161">
        <v>0</v>
      </c>
      <c r="Z216" s="161">
        <v>0</v>
      </c>
      <c r="AA216" s="164">
        <f>($L216*'Pivot Objective'!$C$9^4)*Y216*Z216</f>
        <v>0</v>
      </c>
      <c r="AB216" s="151"/>
      <c r="AC216" s="151"/>
      <c r="AD216" s="164">
        <f>($L216*'Pivot Objective'!$C$9^5)*AB216*AC216</f>
        <v>0</v>
      </c>
      <c r="AE216" s="151"/>
      <c r="AF216" s="151"/>
      <c r="AG216" s="164">
        <f>($L216*'Pivot Objective'!$C$9^6)*AE216*AF216</f>
        <v>0</v>
      </c>
      <c r="AH216" s="151"/>
      <c r="AI216" s="151"/>
      <c r="AJ216" s="164">
        <f>($L216*'Pivot Objective'!$C$9^7)*AH216*AI216</f>
        <v>0</v>
      </c>
      <c r="AK216" s="185">
        <f t="shared" si="24"/>
        <v>0</v>
      </c>
      <c r="AL216" s="186">
        <f t="shared" si="25"/>
        <v>0</v>
      </c>
    </row>
    <row r="217" spans="1:38" ht="57.6" x14ac:dyDescent="0.3">
      <c r="A217" s="151" t="s">
        <v>1440</v>
      </c>
      <c r="B217" s="151">
        <v>1</v>
      </c>
      <c r="C217" s="152" t="s">
        <v>836</v>
      </c>
      <c r="D217" s="151" t="str">
        <f t="shared" si="18"/>
        <v>1</v>
      </c>
      <c r="E217" s="153" t="s">
        <v>837</v>
      </c>
      <c r="F217" s="151">
        <f t="shared" si="21"/>
        <v>7</v>
      </c>
      <c r="G217" s="151" t="str">
        <f t="shared" si="22"/>
        <v>1.1.7</v>
      </c>
      <c r="H217" s="156" t="s">
        <v>1683</v>
      </c>
      <c r="I217" s="159" t="s">
        <v>921</v>
      </c>
      <c r="J217" s="159" t="s">
        <v>923</v>
      </c>
      <c r="K217" s="159" t="s">
        <v>841</v>
      </c>
      <c r="L217" s="160">
        <v>0</v>
      </c>
      <c r="M217" s="161">
        <v>0</v>
      </c>
      <c r="N217" s="161">
        <v>0</v>
      </c>
      <c r="O217" s="164">
        <f t="shared" si="23"/>
        <v>0</v>
      </c>
      <c r="P217" s="161">
        <v>0</v>
      </c>
      <c r="Q217" s="161">
        <v>0</v>
      </c>
      <c r="R217" s="164">
        <f>$L217*'Pivot Objective'!$C$9*P217*Q217</f>
        <v>0</v>
      </c>
      <c r="S217" s="161">
        <v>0</v>
      </c>
      <c r="T217" s="161">
        <v>0</v>
      </c>
      <c r="U217" s="164">
        <f>($L217*'Pivot Objective'!$C$9^2)*S217*T217</f>
        <v>0</v>
      </c>
      <c r="V217" s="161">
        <v>0</v>
      </c>
      <c r="W217" s="161">
        <v>0</v>
      </c>
      <c r="X217" s="164">
        <f>($L217*'Pivot Objective'!$C$9^3)*V217*W217</f>
        <v>0</v>
      </c>
      <c r="Y217" s="161">
        <v>0</v>
      </c>
      <c r="Z217" s="161">
        <v>0</v>
      </c>
      <c r="AA217" s="164">
        <f>($L217*'Pivot Objective'!$C$9^4)*Y217*Z217</f>
        <v>0</v>
      </c>
      <c r="AB217" s="151"/>
      <c r="AC217" s="151"/>
      <c r="AD217" s="164">
        <f>($L217*'Pivot Objective'!$C$9^5)*AB217*AC217</f>
        <v>0</v>
      </c>
      <c r="AE217" s="151"/>
      <c r="AF217" s="151"/>
      <c r="AG217" s="164">
        <f>($L217*'Pivot Objective'!$C$9^6)*AE217*AF217</f>
        <v>0</v>
      </c>
      <c r="AH217" s="151"/>
      <c r="AI217" s="151"/>
      <c r="AJ217" s="164">
        <f>($L217*'Pivot Objective'!$C$9^7)*AH217*AI217</f>
        <v>0</v>
      </c>
      <c r="AK217" s="185">
        <f t="shared" si="24"/>
        <v>0</v>
      </c>
      <c r="AL217" s="186">
        <f t="shared" si="25"/>
        <v>0</v>
      </c>
    </row>
    <row r="218" spans="1:38" ht="57.6" x14ac:dyDescent="0.3">
      <c r="A218" s="151" t="s">
        <v>1440</v>
      </c>
      <c r="B218" s="151">
        <v>1</v>
      </c>
      <c r="C218" s="152" t="s">
        <v>836</v>
      </c>
      <c r="D218" s="151" t="str">
        <f t="shared" si="18"/>
        <v>1</v>
      </c>
      <c r="E218" s="153" t="s">
        <v>837</v>
      </c>
      <c r="F218" s="151">
        <f t="shared" si="21"/>
        <v>7</v>
      </c>
      <c r="G218" s="151" t="str">
        <f t="shared" si="22"/>
        <v>1.1.7</v>
      </c>
      <c r="H218" s="156" t="s">
        <v>1683</v>
      </c>
      <c r="I218" s="159" t="s">
        <v>921</v>
      </c>
      <c r="J218" s="159" t="s">
        <v>924</v>
      </c>
      <c r="K218" s="159" t="s">
        <v>841</v>
      </c>
      <c r="L218" s="160">
        <v>0</v>
      </c>
      <c r="M218" s="161">
        <v>0</v>
      </c>
      <c r="N218" s="161">
        <v>0</v>
      </c>
      <c r="O218" s="164">
        <f t="shared" si="23"/>
        <v>0</v>
      </c>
      <c r="P218" s="161">
        <v>0</v>
      </c>
      <c r="Q218" s="161">
        <v>0</v>
      </c>
      <c r="R218" s="164">
        <f>$L218*'Pivot Objective'!$C$9*P218*Q218</f>
        <v>0</v>
      </c>
      <c r="S218" s="161">
        <v>0</v>
      </c>
      <c r="T218" s="161">
        <v>0</v>
      </c>
      <c r="U218" s="164">
        <f>($L218*'Pivot Objective'!$C$9^2)*S218*T218</f>
        <v>0</v>
      </c>
      <c r="V218" s="161">
        <v>0</v>
      </c>
      <c r="W218" s="161">
        <v>0</v>
      </c>
      <c r="X218" s="164">
        <f>($L218*'Pivot Objective'!$C$9^3)*V218*W218</f>
        <v>0</v>
      </c>
      <c r="Y218" s="161">
        <v>0</v>
      </c>
      <c r="Z218" s="161">
        <v>0</v>
      </c>
      <c r="AA218" s="164">
        <f>($L218*'Pivot Objective'!$C$9^4)*Y218*Z218</f>
        <v>0</v>
      </c>
      <c r="AB218" s="151"/>
      <c r="AC218" s="151"/>
      <c r="AD218" s="164">
        <f>($L218*'Pivot Objective'!$C$9^5)*AB218*AC218</f>
        <v>0</v>
      </c>
      <c r="AE218" s="151"/>
      <c r="AF218" s="151"/>
      <c r="AG218" s="164">
        <f>($L218*'Pivot Objective'!$C$9^6)*AE218*AF218</f>
        <v>0</v>
      </c>
      <c r="AH218" s="151"/>
      <c r="AI218" s="151"/>
      <c r="AJ218" s="164">
        <f>($L218*'Pivot Objective'!$C$9^7)*AH218*AI218</f>
        <v>0</v>
      </c>
      <c r="AK218" s="185">
        <f t="shared" si="24"/>
        <v>0</v>
      </c>
      <c r="AL218" s="186">
        <f t="shared" si="25"/>
        <v>0</v>
      </c>
    </row>
    <row r="219" spans="1:38" ht="57.6" x14ac:dyDescent="0.3">
      <c r="A219" s="151" t="s">
        <v>1440</v>
      </c>
      <c r="B219" s="151">
        <v>1</v>
      </c>
      <c r="C219" s="152" t="s">
        <v>836</v>
      </c>
      <c r="D219" s="151" t="str">
        <f t="shared" si="18"/>
        <v>1</v>
      </c>
      <c r="E219" s="153" t="s">
        <v>837</v>
      </c>
      <c r="F219" s="151">
        <f t="shared" si="21"/>
        <v>8</v>
      </c>
      <c r="G219" s="151" t="str">
        <f t="shared" si="22"/>
        <v>1.1.8</v>
      </c>
      <c r="H219" s="156" t="s">
        <v>1709</v>
      </c>
      <c r="I219" s="159" t="s">
        <v>926</v>
      </c>
      <c r="J219" s="159" t="s">
        <v>927</v>
      </c>
      <c r="K219" s="159" t="s">
        <v>841</v>
      </c>
      <c r="L219" s="160">
        <v>0</v>
      </c>
      <c r="M219" s="161">
        <v>0</v>
      </c>
      <c r="N219" s="161">
        <v>0</v>
      </c>
      <c r="O219" s="164">
        <f t="shared" si="23"/>
        <v>0</v>
      </c>
      <c r="P219" s="161">
        <v>0</v>
      </c>
      <c r="Q219" s="161">
        <v>0</v>
      </c>
      <c r="R219" s="164">
        <f>$L219*'Pivot Objective'!$C$9*P219*Q219</f>
        <v>0</v>
      </c>
      <c r="S219" s="161">
        <v>0</v>
      </c>
      <c r="T219" s="161">
        <v>0</v>
      </c>
      <c r="U219" s="164">
        <f>($L219*'Pivot Objective'!$C$9^2)*S219*T219</f>
        <v>0</v>
      </c>
      <c r="V219" s="161">
        <v>0</v>
      </c>
      <c r="W219" s="161">
        <v>0</v>
      </c>
      <c r="X219" s="164">
        <f>($L219*'Pivot Objective'!$C$9^3)*V219*W219</f>
        <v>0</v>
      </c>
      <c r="Y219" s="161">
        <v>0</v>
      </c>
      <c r="Z219" s="161">
        <v>0</v>
      </c>
      <c r="AA219" s="164">
        <f>($L219*'Pivot Objective'!$C$9^4)*Y219*Z219</f>
        <v>0</v>
      </c>
      <c r="AB219" s="151"/>
      <c r="AC219" s="151"/>
      <c r="AD219" s="164">
        <f>($L219*'Pivot Objective'!$C$9^5)*AB219*AC219</f>
        <v>0</v>
      </c>
      <c r="AE219" s="151"/>
      <c r="AF219" s="151"/>
      <c r="AG219" s="164">
        <f>($L219*'Pivot Objective'!$C$9^6)*AE219*AF219</f>
        <v>0</v>
      </c>
      <c r="AH219" s="151"/>
      <c r="AI219" s="151"/>
      <c r="AJ219" s="164">
        <f>($L219*'Pivot Objective'!$C$9^7)*AH219*AI219</f>
        <v>0</v>
      </c>
      <c r="AK219" s="185">
        <f t="shared" si="24"/>
        <v>0</v>
      </c>
      <c r="AL219" s="186">
        <f t="shared" si="25"/>
        <v>0</v>
      </c>
    </row>
    <row r="220" spans="1:38" ht="57.6" x14ac:dyDescent="0.3">
      <c r="A220" s="151" t="s">
        <v>1440</v>
      </c>
      <c r="B220" s="151">
        <v>1</v>
      </c>
      <c r="C220" s="152" t="s">
        <v>836</v>
      </c>
      <c r="D220" s="151" t="str">
        <f t="shared" si="18"/>
        <v>1</v>
      </c>
      <c r="E220" s="153" t="s">
        <v>837</v>
      </c>
      <c r="F220" s="151">
        <f t="shared" si="21"/>
        <v>8</v>
      </c>
      <c r="G220" s="151" t="str">
        <f t="shared" si="22"/>
        <v>1.1.8</v>
      </c>
      <c r="H220" s="156" t="s">
        <v>1709</v>
      </c>
      <c r="I220" s="159" t="s">
        <v>926</v>
      </c>
      <c r="J220" s="159" t="s">
        <v>928</v>
      </c>
      <c r="K220" s="159" t="s">
        <v>841</v>
      </c>
      <c r="L220" s="160">
        <v>0</v>
      </c>
      <c r="M220" s="161">
        <v>0</v>
      </c>
      <c r="N220" s="161">
        <v>0</v>
      </c>
      <c r="O220" s="164">
        <f t="shared" si="23"/>
        <v>0</v>
      </c>
      <c r="P220" s="161">
        <v>0</v>
      </c>
      <c r="Q220" s="161">
        <v>0</v>
      </c>
      <c r="R220" s="164">
        <f>$L220*'Pivot Objective'!$C$9*P220*Q220</f>
        <v>0</v>
      </c>
      <c r="S220" s="161">
        <v>0</v>
      </c>
      <c r="T220" s="161">
        <v>0</v>
      </c>
      <c r="U220" s="164">
        <f>($L220*'Pivot Objective'!$C$9^2)*S220*T220</f>
        <v>0</v>
      </c>
      <c r="V220" s="161">
        <v>0</v>
      </c>
      <c r="W220" s="161">
        <v>0</v>
      </c>
      <c r="X220" s="164">
        <f>($L220*'Pivot Objective'!$C$9^3)*V220*W220</f>
        <v>0</v>
      </c>
      <c r="Y220" s="161">
        <v>0</v>
      </c>
      <c r="Z220" s="161">
        <v>0</v>
      </c>
      <c r="AA220" s="164">
        <f>($L220*'Pivot Objective'!$C$9^4)*Y220*Z220</f>
        <v>0</v>
      </c>
      <c r="AB220" s="151"/>
      <c r="AC220" s="151"/>
      <c r="AD220" s="164">
        <f>($L220*'Pivot Objective'!$C$9^5)*AB220*AC220</f>
        <v>0</v>
      </c>
      <c r="AE220" s="151"/>
      <c r="AF220" s="151"/>
      <c r="AG220" s="164">
        <f>($L220*'Pivot Objective'!$C$9^6)*AE220*AF220</f>
        <v>0</v>
      </c>
      <c r="AH220" s="151"/>
      <c r="AI220" s="151"/>
      <c r="AJ220" s="164">
        <f>($L220*'Pivot Objective'!$C$9^7)*AH220*AI220</f>
        <v>0</v>
      </c>
      <c r="AK220" s="185">
        <f t="shared" si="24"/>
        <v>0</v>
      </c>
      <c r="AL220" s="186">
        <f t="shared" si="25"/>
        <v>0</v>
      </c>
    </row>
    <row r="221" spans="1:38" ht="57.6" x14ac:dyDescent="0.3">
      <c r="A221" s="151" t="s">
        <v>1440</v>
      </c>
      <c r="B221" s="151">
        <v>1</v>
      </c>
      <c r="C221" s="152" t="s">
        <v>836</v>
      </c>
      <c r="D221" s="151" t="str">
        <f t="shared" si="18"/>
        <v>1</v>
      </c>
      <c r="E221" s="153" t="s">
        <v>837</v>
      </c>
      <c r="F221" s="151">
        <f t="shared" si="21"/>
        <v>8</v>
      </c>
      <c r="G221" s="151" t="str">
        <f t="shared" si="22"/>
        <v>1.1.8</v>
      </c>
      <c r="H221" s="156" t="s">
        <v>1709</v>
      </c>
      <c r="I221" s="159" t="s">
        <v>926</v>
      </c>
      <c r="J221" s="159" t="s">
        <v>929</v>
      </c>
      <c r="K221" s="159" t="s">
        <v>841</v>
      </c>
      <c r="L221" s="160">
        <v>0</v>
      </c>
      <c r="M221" s="161">
        <v>0</v>
      </c>
      <c r="N221" s="161">
        <v>0</v>
      </c>
      <c r="O221" s="164">
        <f t="shared" si="23"/>
        <v>0</v>
      </c>
      <c r="P221" s="161">
        <v>0</v>
      </c>
      <c r="Q221" s="161">
        <v>0</v>
      </c>
      <c r="R221" s="164">
        <f>$L221*'Pivot Objective'!$C$9*P221*Q221</f>
        <v>0</v>
      </c>
      <c r="S221" s="161">
        <v>0</v>
      </c>
      <c r="T221" s="161">
        <v>0</v>
      </c>
      <c r="U221" s="164">
        <f>($L221*'Pivot Objective'!$C$9^2)*S221*T221</f>
        <v>0</v>
      </c>
      <c r="V221" s="161">
        <v>0</v>
      </c>
      <c r="W221" s="161">
        <v>0</v>
      </c>
      <c r="X221" s="164">
        <f>($L221*'Pivot Objective'!$C$9^3)*V221*W221</f>
        <v>0</v>
      </c>
      <c r="Y221" s="161">
        <v>0</v>
      </c>
      <c r="Z221" s="161">
        <v>0</v>
      </c>
      <c r="AA221" s="164">
        <f>($L221*'Pivot Objective'!$C$9^4)*Y221*Z221</f>
        <v>0</v>
      </c>
      <c r="AB221" s="151"/>
      <c r="AC221" s="151"/>
      <c r="AD221" s="164">
        <f>($L221*'Pivot Objective'!$C$9^5)*AB221*AC221</f>
        <v>0</v>
      </c>
      <c r="AE221" s="151"/>
      <c r="AF221" s="151"/>
      <c r="AG221" s="164">
        <f>($L221*'Pivot Objective'!$C$9^6)*AE221*AF221</f>
        <v>0</v>
      </c>
      <c r="AH221" s="151"/>
      <c r="AI221" s="151"/>
      <c r="AJ221" s="164">
        <f>($L221*'Pivot Objective'!$C$9^7)*AH221*AI221</f>
        <v>0</v>
      </c>
      <c r="AK221" s="185">
        <f t="shared" si="24"/>
        <v>0</v>
      </c>
      <c r="AL221" s="186">
        <f t="shared" si="25"/>
        <v>0</v>
      </c>
    </row>
    <row r="222" spans="1:38" ht="57.6" x14ac:dyDescent="0.3">
      <c r="A222" s="151" t="s">
        <v>1440</v>
      </c>
      <c r="B222" s="151">
        <v>1</v>
      </c>
      <c r="C222" s="152" t="s">
        <v>836</v>
      </c>
      <c r="D222" s="151" t="str">
        <f t="shared" si="18"/>
        <v>1</v>
      </c>
      <c r="E222" s="153" t="s">
        <v>837</v>
      </c>
      <c r="F222" s="151">
        <f t="shared" si="21"/>
        <v>8</v>
      </c>
      <c r="G222" s="151" t="str">
        <f t="shared" si="22"/>
        <v>1.1.8</v>
      </c>
      <c r="H222" s="156" t="s">
        <v>1709</v>
      </c>
      <c r="I222" s="159" t="s">
        <v>926</v>
      </c>
      <c r="J222" s="159" t="s">
        <v>930</v>
      </c>
      <c r="K222" s="159" t="s">
        <v>1356</v>
      </c>
      <c r="L222" s="160">
        <v>35000</v>
      </c>
      <c r="M222" s="161"/>
      <c r="N222" s="161"/>
      <c r="O222" s="164">
        <f t="shared" si="23"/>
        <v>0</v>
      </c>
      <c r="P222" s="161">
        <v>0</v>
      </c>
      <c r="Q222" s="161">
        <v>0</v>
      </c>
      <c r="R222" s="164">
        <f>$L222*'Pivot Objective'!$C$9*P222*Q222</f>
        <v>0</v>
      </c>
      <c r="S222" s="161">
        <v>30</v>
      </c>
      <c r="T222" s="161">
        <v>15</v>
      </c>
      <c r="U222" s="164">
        <f>($L222*'Pivot Objective'!$C$9^2)*S222*T222</f>
        <v>20573730.984991007</v>
      </c>
      <c r="V222" s="161">
        <v>0</v>
      </c>
      <c r="W222" s="161">
        <v>0</v>
      </c>
      <c r="X222" s="164">
        <f>($L222*'Pivot Objective'!$C$9^3)*V222*W222</f>
        <v>0</v>
      </c>
      <c r="Y222" s="161">
        <v>0</v>
      </c>
      <c r="Z222" s="161">
        <v>0</v>
      </c>
      <c r="AA222" s="164">
        <f>($L222*'Pivot Objective'!$C$9^4)*Y222*Z222</f>
        <v>0</v>
      </c>
      <c r="AB222" s="151"/>
      <c r="AC222" s="151"/>
      <c r="AD222" s="164">
        <f>($L222*'Pivot Objective'!$C$9^5)*AB222*AC222</f>
        <v>0</v>
      </c>
      <c r="AE222" s="151"/>
      <c r="AF222" s="151"/>
      <c r="AG222" s="164">
        <f>($L222*'Pivot Objective'!$C$9^6)*AE222*AF222</f>
        <v>0</v>
      </c>
      <c r="AH222" s="151"/>
      <c r="AI222" s="151"/>
      <c r="AJ222" s="164">
        <f>($L222*'Pivot Objective'!$C$9^7)*AH222*AI222</f>
        <v>0</v>
      </c>
      <c r="AK222" s="185">
        <f t="shared" si="24"/>
        <v>20573730.984991007</v>
      </c>
      <c r="AL222" s="186">
        <f t="shared" si="25"/>
        <v>19974.496101933015</v>
      </c>
    </row>
    <row r="223" spans="1:38" ht="57.6" x14ac:dyDescent="0.3">
      <c r="A223" s="151" t="s">
        <v>1440</v>
      </c>
      <c r="B223" s="151">
        <v>1</v>
      </c>
      <c r="C223" s="152" t="s">
        <v>836</v>
      </c>
      <c r="D223" s="151" t="str">
        <f t="shared" si="18"/>
        <v>1</v>
      </c>
      <c r="E223" s="153" t="s">
        <v>837</v>
      </c>
      <c r="F223" s="151">
        <f t="shared" si="21"/>
        <v>8</v>
      </c>
      <c r="G223" s="151" t="str">
        <f t="shared" si="22"/>
        <v>1.1.8</v>
      </c>
      <c r="H223" s="156" t="s">
        <v>1709</v>
      </c>
      <c r="I223" s="159" t="s">
        <v>926</v>
      </c>
      <c r="J223" s="159" t="s">
        <v>930</v>
      </c>
      <c r="K223" s="159" t="s">
        <v>716</v>
      </c>
      <c r="L223" s="160">
        <v>39000</v>
      </c>
      <c r="M223" s="161"/>
      <c r="N223" s="161"/>
      <c r="O223" s="164">
        <f t="shared" si="23"/>
        <v>0</v>
      </c>
      <c r="P223" s="161">
        <v>0</v>
      </c>
      <c r="Q223" s="161">
        <v>0</v>
      </c>
      <c r="R223" s="164">
        <f>$L223*'Pivot Objective'!$C$9*P223*Q223</f>
        <v>0</v>
      </c>
      <c r="S223" s="161">
        <v>30</v>
      </c>
      <c r="T223" s="161">
        <v>18</v>
      </c>
      <c r="U223" s="164">
        <f>($L223*'Pivot Objective'!$C$9^2)*S223*T223</f>
        <v>27510017.431359407</v>
      </c>
      <c r="V223" s="161">
        <v>0</v>
      </c>
      <c r="W223" s="161">
        <v>0</v>
      </c>
      <c r="X223" s="164">
        <f>($L223*'Pivot Objective'!$C$9^3)*V223*W223</f>
        <v>0</v>
      </c>
      <c r="Y223" s="161">
        <v>0</v>
      </c>
      <c r="Z223" s="161">
        <v>0</v>
      </c>
      <c r="AA223" s="164">
        <f>($L223*'Pivot Objective'!$C$9^4)*Y223*Z223</f>
        <v>0</v>
      </c>
      <c r="AB223" s="151"/>
      <c r="AC223" s="151"/>
      <c r="AD223" s="164">
        <f>($L223*'Pivot Objective'!$C$9^5)*AB223*AC223</f>
        <v>0</v>
      </c>
      <c r="AE223" s="151"/>
      <c r="AF223" s="151"/>
      <c r="AG223" s="164">
        <f>($L223*'Pivot Objective'!$C$9^6)*AE223*AF223</f>
        <v>0</v>
      </c>
      <c r="AH223" s="151"/>
      <c r="AI223" s="151"/>
      <c r="AJ223" s="164">
        <f>($L223*'Pivot Objective'!$C$9^7)*AH223*AI223</f>
        <v>0</v>
      </c>
      <c r="AK223" s="185">
        <f t="shared" si="24"/>
        <v>27510017.431359407</v>
      </c>
      <c r="AL223" s="186">
        <f t="shared" si="25"/>
        <v>26708.754787727579</v>
      </c>
    </row>
    <row r="224" spans="1:38" ht="57.6" x14ac:dyDescent="0.3">
      <c r="A224" s="151" t="s">
        <v>1440</v>
      </c>
      <c r="B224" s="151">
        <v>1</v>
      </c>
      <c r="C224" s="152" t="s">
        <v>836</v>
      </c>
      <c r="D224" s="151" t="str">
        <f t="shared" si="18"/>
        <v>1</v>
      </c>
      <c r="E224" s="153" t="s">
        <v>837</v>
      </c>
      <c r="F224" s="151">
        <f t="shared" si="21"/>
        <v>8</v>
      </c>
      <c r="G224" s="151" t="str">
        <f t="shared" si="22"/>
        <v>1.1.8</v>
      </c>
      <c r="H224" s="156" t="s">
        <v>1709</v>
      </c>
      <c r="I224" s="159" t="s">
        <v>926</v>
      </c>
      <c r="J224" s="159" t="s">
        <v>930</v>
      </c>
      <c r="K224" s="159" t="s">
        <v>712</v>
      </c>
      <c r="L224" s="160">
        <f>1999/7</f>
        <v>285.57142857142856</v>
      </c>
      <c r="M224" s="161"/>
      <c r="N224" s="161"/>
      <c r="O224" s="164">
        <f t="shared" si="23"/>
        <v>0</v>
      </c>
      <c r="P224" s="161">
        <v>0</v>
      </c>
      <c r="Q224" s="161">
        <v>0</v>
      </c>
      <c r="R224" s="164">
        <f>$L224*'Pivot Objective'!$C$9*P224*Q224</f>
        <v>0</v>
      </c>
      <c r="S224" s="161">
        <f>25*2*10</f>
        <v>500</v>
      </c>
      <c r="T224" s="161">
        <v>15</v>
      </c>
      <c r="U224" s="164">
        <f>($L224*'Pivot Objective'!$C$9^2)*S224*T224</f>
        <v>2797747.4992514988</v>
      </c>
      <c r="V224" s="161">
        <v>0</v>
      </c>
      <c r="W224" s="161">
        <v>0</v>
      </c>
      <c r="X224" s="164">
        <f>($L224*'Pivot Objective'!$C$9^3)*V224*W224</f>
        <v>0</v>
      </c>
      <c r="Y224" s="161">
        <v>0</v>
      </c>
      <c r="Z224" s="161">
        <v>0</v>
      </c>
      <c r="AA224" s="164">
        <f>($L224*'Pivot Objective'!$C$9^4)*Y224*Z224</f>
        <v>0</v>
      </c>
      <c r="AB224" s="151"/>
      <c r="AC224" s="151"/>
      <c r="AD224" s="164">
        <f>($L224*'Pivot Objective'!$C$9^5)*AB224*AC224</f>
        <v>0</v>
      </c>
      <c r="AE224" s="151"/>
      <c r="AF224" s="151"/>
      <c r="AG224" s="164">
        <f>($L224*'Pivot Objective'!$C$9^6)*AE224*AF224</f>
        <v>0</v>
      </c>
      <c r="AH224" s="151"/>
      <c r="AI224" s="151"/>
      <c r="AJ224" s="164">
        <f>($L224*'Pivot Objective'!$C$9^7)*AH224*AI224</f>
        <v>0</v>
      </c>
      <c r="AK224" s="185">
        <f t="shared" si="24"/>
        <v>2797747.4992514988</v>
      </c>
      <c r="AL224" s="186">
        <f t="shared" si="25"/>
        <v>2716.2597080111641</v>
      </c>
    </row>
    <row r="225" spans="1:38" ht="57.6" x14ac:dyDescent="0.3">
      <c r="A225" s="151" t="s">
        <v>1440</v>
      </c>
      <c r="B225" s="151">
        <v>1</v>
      </c>
      <c r="C225" s="152" t="s">
        <v>836</v>
      </c>
      <c r="D225" s="151" t="str">
        <f t="shared" si="18"/>
        <v>1</v>
      </c>
      <c r="E225" s="153" t="s">
        <v>837</v>
      </c>
      <c r="F225" s="151">
        <f t="shared" si="21"/>
        <v>8</v>
      </c>
      <c r="G225" s="151" t="str">
        <f t="shared" si="22"/>
        <v>1.1.8</v>
      </c>
      <c r="H225" s="156" t="s">
        <v>1709</v>
      </c>
      <c r="I225" s="159" t="s">
        <v>926</v>
      </c>
      <c r="J225" s="159" t="s">
        <v>930</v>
      </c>
      <c r="K225" s="159" t="s">
        <v>1299</v>
      </c>
      <c r="L225" s="160">
        <f>1999/7</f>
        <v>285.57142857142856</v>
      </c>
      <c r="M225" s="161"/>
      <c r="N225" s="161"/>
      <c r="O225" s="164">
        <f t="shared" si="23"/>
        <v>0</v>
      </c>
      <c r="P225" s="161"/>
      <c r="Q225" s="161"/>
      <c r="R225" s="164">
        <f>$L225*'Pivot Objective'!$C$9*P225*Q225</f>
        <v>0</v>
      </c>
      <c r="S225" s="161">
        <f>2*135*9</f>
        <v>2430</v>
      </c>
      <c r="T225" s="161">
        <v>3</v>
      </c>
      <c r="U225" s="164">
        <f>($L225*'Pivot Objective'!$C$9^2)*S225*T225</f>
        <v>2719410.5692724567</v>
      </c>
      <c r="V225" s="161"/>
      <c r="W225" s="161"/>
      <c r="X225" s="164">
        <f>($L225*'Pivot Objective'!$C$9^3)*V225*W225</f>
        <v>0</v>
      </c>
      <c r="Y225" s="161"/>
      <c r="Z225" s="161"/>
      <c r="AA225" s="164">
        <f>($L225*'Pivot Objective'!$C$9^4)*Y225*Z225</f>
        <v>0</v>
      </c>
      <c r="AB225" s="151"/>
      <c r="AC225" s="151"/>
      <c r="AD225" s="164">
        <f>($L225*'Pivot Objective'!$C$9^5)*AB225*AC225</f>
        <v>0</v>
      </c>
      <c r="AE225" s="151"/>
      <c r="AF225" s="151"/>
      <c r="AG225" s="164">
        <f>($L225*'Pivot Objective'!$C$9^6)*AE225*AF225</f>
        <v>0</v>
      </c>
      <c r="AH225" s="151"/>
      <c r="AI225" s="151"/>
      <c r="AJ225" s="164">
        <f>($L225*'Pivot Objective'!$C$9^7)*AH225*AI225</f>
        <v>0</v>
      </c>
      <c r="AK225" s="185">
        <f t="shared" si="24"/>
        <v>2719410.5692724567</v>
      </c>
      <c r="AL225" s="186">
        <f t="shared" si="25"/>
        <v>2640.2044361868511</v>
      </c>
    </row>
    <row r="226" spans="1:38" ht="57.6" x14ac:dyDescent="0.3">
      <c r="A226" s="151" t="s">
        <v>1440</v>
      </c>
      <c r="B226" s="151">
        <v>1</v>
      </c>
      <c r="C226" s="152" t="s">
        <v>836</v>
      </c>
      <c r="D226" s="151" t="str">
        <f t="shared" si="18"/>
        <v>1</v>
      </c>
      <c r="E226" s="153" t="s">
        <v>837</v>
      </c>
      <c r="F226" s="151">
        <f t="shared" si="21"/>
        <v>8</v>
      </c>
      <c r="G226" s="151" t="str">
        <f t="shared" si="22"/>
        <v>1.1.8</v>
      </c>
      <c r="H226" s="156" t="s">
        <v>1709</v>
      </c>
      <c r="I226" s="159" t="s">
        <v>926</v>
      </c>
      <c r="J226" s="159" t="s">
        <v>931</v>
      </c>
      <c r="K226" s="159" t="s">
        <v>841</v>
      </c>
      <c r="L226" s="160">
        <v>0</v>
      </c>
      <c r="M226" s="161">
        <v>0</v>
      </c>
      <c r="N226" s="161">
        <v>0</v>
      </c>
      <c r="O226" s="164">
        <f t="shared" si="23"/>
        <v>0</v>
      </c>
      <c r="P226" s="161">
        <v>0</v>
      </c>
      <c r="Q226" s="161">
        <v>0</v>
      </c>
      <c r="R226" s="164">
        <f>$L226*'Pivot Objective'!$C$9*P226*Q226</f>
        <v>0</v>
      </c>
      <c r="S226" s="161">
        <v>0</v>
      </c>
      <c r="T226" s="161">
        <v>0</v>
      </c>
      <c r="U226" s="164">
        <f>($L226*'Pivot Objective'!$C$9^2)*S226*T226</f>
        <v>0</v>
      </c>
      <c r="V226" s="161">
        <v>0</v>
      </c>
      <c r="W226" s="161">
        <v>0</v>
      </c>
      <c r="X226" s="164">
        <f>($L226*'Pivot Objective'!$C$9^3)*V226*W226</f>
        <v>0</v>
      </c>
      <c r="Y226" s="161">
        <v>0</v>
      </c>
      <c r="Z226" s="161">
        <v>0</v>
      </c>
      <c r="AA226" s="164">
        <f>($L226*'Pivot Objective'!$C$9^4)*Y226*Z226</f>
        <v>0</v>
      </c>
      <c r="AB226" s="151"/>
      <c r="AC226" s="151"/>
      <c r="AD226" s="164">
        <f>($L226*'Pivot Objective'!$C$9^5)*AB226*AC226</f>
        <v>0</v>
      </c>
      <c r="AE226" s="151"/>
      <c r="AF226" s="151"/>
      <c r="AG226" s="164">
        <f>($L226*'Pivot Objective'!$C$9^6)*AE226*AF226</f>
        <v>0</v>
      </c>
      <c r="AH226" s="151"/>
      <c r="AI226" s="151"/>
      <c r="AJ226" s="164">
        <f>($L226*'Pivot Objective'!$C$9^7)*AH226*AI226</f>
        <v>0</v>
      </c>
      <c r="AK226" s="185">
        <f t="shared" si="24"/>
        <v>0</v>
      </c>
      <c r="AL226" s="186">
        <f t="shared" si="25"/>
        <v>0</v>
      </c>
    </row>
    <row r="227" spans="1:38" ht="57.6" x14ac:dyDescent="0.3">
      <c r="A227" s="151" t="s">
        <v>1440</v>
      </c>
      <c r="B227" s="151">
        <v>1</v>
      </c>
      <c r="C227" s="152" t="s">
        <v>836</v>
      </c>
      <c r="D227" s="151" t="str">
        <f t="shared" si="18"/>
        <v>1</v>
      </c>
      <c r="E227" s="153" t="s">
        <v>837</v>
      </c>
      <c r="F227" s="151">
        <f t="shared" si="21"/>
        <v>8</v>
      </c>
      <c r="G227" s="151" t="str">
        <f t="shared" si="22"/>
        <v>1.1.8</v>
      </c>
      <c r="H227" s="156" t="s">
        <v>1709</v>
      </c>
      <c r="I227" s="159" t="s">
        <v>926</v>
      </c>
      <c r="J227" s="159" t="s">
        <v>931</v>
      </c>
      <c r="K227" s="159" t="s">
        <v>841</v>
      </c>
      <c r="L227" s="160">
        <v>0</v>
      </c>
      <c r="M227" s="161">
        <v>0</v>
      </c>
      <c r="N227" s="161">
        <v>0</v>
      </c>
      <c r="O227" s="164">
        <f t="shared" si="23"/>
        <v>0</v>
      </c>
      <c r="P227" s="161">
        <v>30</v>
      </c>
      <c r="Q227" s="161">
        <v>1</v>
      </c>
      <c r="R227" s="164">
        <f>$L227*'Pivot Objective'!$C$9*P227*Q227</f>
        <v>0</v>
      </c>
      <c r="S227" s="161">
        <v>0</v>
      </c>
      <c r="T227" s="161">
        <v>0</v>
      </c>
      <c r="U227" s="164">
        <f>($L227*'Pivot Objective'!$C$9^2)*S227*T227</f>
        <v>0</v>
      </c>
      <c r="V227" s="161">
        <v>0</v>
      </c>
      <c r="W227" s="161">
        <v>0</v>
      </c>
      <c r="X227" s="164">
        <f>($L227*'Pivot Objective'!$C$9^3)*V227*W227</f>
        <v>0</v>
      </c>
      <c r="Y227" s="161">
        <v>0</v>
      </c>
      <c r="Z227" s="161">
        <v>0</v>
      </c>
      <c r="AA227" s="164">
        <f>($L227*'Pivot Objective'!$C$9^4)*Y227*Z227</f>
        <v>0</v>
      </c>
      <c r="AB227" s="151"/>
      <c r="AC227" s="151"/>
      <c r="AD227" s="164">
        <f>($L227*'Pivot Objective'!$C$9^5)*AB227*AC227</f>
        <v>0</v>
      </c>
      <c r="AE227" s="151"/>
      <c r="AF227" s="151"/>
      <c r="AG227" s="164">
        <f>($L227*'Pivot Objective'!$C$9^6)*AE227*AF227</f>
        <v>0</v>
      </c>
      <c r="AH227" s="151"/>
      <c r="AI227" s="151"/>
      <c r="AJ227" s="164">
        <f>($L227*'Pivot Objective'!$C$9^7)*AH227*AI227</f>
        <v>0</v>
      </c>
      <c r="AK227" s="185">
        <f t="shared" si="24"/>
        <v>0</v>
      </c>
      <c r="AL227" s="186">
        <f t="shared" si="25"/>
        <v>0</v>
      </c>
    </row>
    <row r="228" spans="1:38" ht="57.6" x14ac:dyDescent="0.3">
      <c r="A228" s="151" t="s">
        <v>1440</v>
      </c>
      <c r="B228" s="151">
        <v>1</v>
      </c>
      <c r="C228" s="152" t="s">
        <v>836</v>
      </c>
      <c r="D228" s="151" t="str">
        <f t="shared" si="18"/>
        <v>1</v>
      </c>
      <c r="E228" s="153" t="s">
        <v>837</v>
      </c>
      <c r="F228" s="151">
        <f t="shared" si="21"/>
        <v>8</v>
      </c>
      <c r="G228" s="151" t="str">
        <f t="shared" si="22"/>
        <v>1.1.8</v>
      </c>
      <c r="H228" s="156" t="s">
        <v>1709</v>
      </c>
      <c r="I228" s="159" t="s">
        <v>932</v>
      </c>
      <c r="J228" s="159" t="s">
        <v>933</v>
      </c>
      <c r="K228" s="159" t="s">
        <v>841</v>
      </c>
      <c r="L228" s="160">
        <v>0</v>
      </c>
      <c r="M228" s="161">
        <v>0</v>
      </c>
      <c r="N228" s="161">
        <v>0</v>
      </c>
      <c r="O228" s="164">
        <f t="shared" si="23"/>
        <v>0</v>
      </c>
      <c r="P228" s="161">
        <v>1</v>
      </c>
      <c r="Q228" s="161">
        <v>8000</v>
      </c>
      <c r="R228" s="164">
        <f>$L228*'Pivot Objective'!$C$9*P228*Q228</f>
        <v>0</v>
      </c>
      <c r="S228" s="161">
        <v>0</v>
      </c>
      <c r="T228" s="161">
        <v>0</v>
      </c>
      <c r="U228" s="164">
        <f>($L228*'Pivot Objective'!$C$9^2)*S228*T228</f>
        <v>0</v>
      </c>
      <c r="V228" s="161">
        <v>0</v>
      </c>
      <c r="W228" s="161">
        <v>0</v>
      </c>
      <c r="X228" s="164">
        <f>($L228*'Pivot Objective'!$C$9^3)*V228*W228</f>
        <v>0</v>
      </c>
      <c r="Y228" s="161">
        <v>0</v>
      </c>
      <c r="Z228" s="161">
        <v>0</v>
      </c>
      <c r="AA228" s="164">
        <f>($L228*'Pivot Objective'!$C$9^4)*Y228*Z228</f>
        <v>0</v>
      </c>
      <c r="AB228" s="151"/>
      <c r="AC228" s="151"/>
      <c r="AD228" s="164">
        <f>($L228*'Pivot Objective'!$C$9^5)*AB228*AC228</f>
        <v>0</v>
      </c>
      <c r="AE228" s="151"/>
      <c r="AF228" s="151"/>
      <c r="AG228" s="164">
        <f>($L228*'Pivot Objective'!$C$9^6)*AE228*AF228</f>
        <v>0</v>
      </c>
      <c r="AH228" s="151"/>
      <c r="AI228" s="151"/>
      <c r="AJ228" s="164">
        <f>($L228*'Pivot Objective'!$C$9^7)*AH228*AI228</f>
        <v>0</v>
      </c>
      <c r="AK228" s="185">
        <f t="shared" si="24"/>
        <v>0</v>
      </c>
      <c r="AL228" s="186">
        <f t="shared" si="25"/>
        <v>0</v>
      </c>
    </row>
    <row r="229" spans="1:38" ht="57.6" x14ac:dyDescent="0.3">
      <c r="A229" s="151" t="s">
        <v>1440</v>
      </c>
      <c r="B229" s="151">
        <v>1</v>
      </c>
      <c r="C229" s="152" t="s">
        <v>836</v>
      </c>
      <c r="D229" s="151" t="str">
        <f t="shared" si="18"/>
        <v>1</v>
      </c>
      <c r="E229" s="153" t="s">
        <v>837</v>
      </c>
      <c r="F229" s="151">
        <f t="shared" si="21"/>
        <v>8</v>
      </c>
      <c r="G229" s="151" t="str">
        <f t="shared" si="22"/>
        <v>1.1.8</v>
      </c>
      <c r="H229" s="156" t="s">
        <v>1709</v>
      </c>
      <c r="I229" s="159" t="s">
        <v>932</v>
      </c>
      <c r="J229" s="159" t="s">
        <v>934</v>
      </c>
      <c r="K229" s="159" t="s">
        <v>841</v>
      </c>
      <c r="L229" s="160">
        <v>0</v>
      </c>
      <c r="M229" s="161">
        <v>0</v>
      </c>
      <c r="N229" s="161">
        <v>0</v>
      </c>
      <c r="O229" s="164">
        <f t="shared" si="23"/>
        <v>0</v>
      </c>
      <c r="P229" s="161"/>
      <c r="Q229" s="161"/>
      <c r="R229" s="164">
        <f>$L229*'Pivot Objective'!$C$9*P229*Q229</f>
        <v>0</v>
      </c>
      <c r="S229" s="161">
        <v>0</v>
      </c>
      <c r="T229" s="161">
        <v>0</v>
      </c>
      <c r="U229" s="164">
        <f>($L229*'Pivot Objective'!$C$9^2)*S229*T229</f>
        <v>0</v>
      </c>
      <c r="V229" s="161">
        <v>0</v>
      </c>
      <c r="W229" s="161">
        <v>0</v>
      </c>
      <c r="X229" s="164">
        <f>($L229*'Pivot Objective'!$C$9^3)*V229*W229</f>
        <v>0</v>
      </c>
      <c r="Y229" s="161">
        <v>0</v>
      </c>
      <c r="Z229" s="161">
        <v>0</v>
      </c>
      <c r="AA229" s="164">
        <f>($L229*'Pivot Objective'!$C$9^4)*Y229*Z229</f>
        <v>0</v>
      </c>
      <c r="AB229" s="151"/>
      <c r="AC229" s="151"/>
      <c r="AD229" s="164">
        <f>($L229*'Pivot Objective'!$C$9^5)*AB229*AC229</f>
        <v>0</v>
      </c>
      <c r="AE229" s="151"/>
      <c r="AF229" s="151"/>
      <c r="AG229" s="164">
        <f>($L229*'Pivot Objective'!$C$9^6)*AE229*AF229</f>
        <v>0</v>
      </c>
      <c r="AH229" s="151"/>
      <c r="AI229" s="151"/>
      <c r="AJ229" s="164">
        <f>($L229*'Pivot Objective'!$C$9^7)*AH229*AI229</f>
        <v>0</v>
      </c>
      <c r="AK229" s="185">
        <f t="shared" si="24"/>
        <v>0</v>
      </c>
      <c r="AL229" s="186">
        <f t="shared" si="25"/>
        <v>0</v>
      </c>
    </row>
    <row r="230" spans="1:38" ht="57.6" x14ac:dyDescent="0.3">
      <c r="A230" s="151" t="s">
        <v>1440</v>
      </c>
      <c r="B230" s="151">
        <v>1</v>
      </c>
      <c r="C230" s="152" t="s">
        <v>836</v>
      </c>
      <c r="D230" s="151" t="str">
        <f t="shared" si="18"/>
        <v>1</v>
      </c>
      <c r="E230" s="153" t="s">
        <v>837</v>
      </c>
      <c r="F230" s="151">
        <f t="shared" si="21"/>
        <v>8</v>
      </c>
      <c r="G230" s="151" t="str">
        <f t="shared" si="22"/>
        <v>1.1.8</v>
      </c>
      <c r="H230" s="156" t="s">
        <v>1709</v>
      </c>
      <c r="I230" s="159" t="s">
        <v>932</v>
      </c>
      <c r="J230" s="159" t="s">
        <v>935</v>
      </c>
      <c r="K230" s="159" t="s">
        <v>709</v>
      </c>
      <c r="L230" s="160">
        <v>35000</v>
      </c>
      <c r="M230" s="161"/>
      <c r="N230" s="161"/>
      <c r="O230" s="164">
        <f t="shared" si="23"/>
        <v>0</v>
      </c>
      <c r="P230" s="161">
        <v>60</v>
      </c>
      <c r="Q230" s="161">
        <v>1</v>
      </c>
      <c r="R230" s="164">
        <f>$L230*'Pivot Objective'!$C$9*P230*Q230</f>
        <v>2400134.3036999996</v>
      </c>
      <c r="S230" s="161">
        <v>0</v>
      </c>
      <c r="T230" s="161">
        <v>0</v>
      </c>
      <c r="U230" s="164">
        <f>($L230*'Pivot Objective'!$C$9^2)*S230*T230</f>
        <v>0</v>
      </c>
      <c r="V230" s="161">
        <v>0</v>
      </c>
      <c r="W230" s="161">
        <v>0</v>
      </c>
      <c r="X230" s="164">
        <f>($L230*'Pivot Objective'!$C$9^3)*V230*W230</f>
        <v>0</v>
      </c>
      <c r="Y230" s="161">
        <v>0</v>
      </c>
      <c r="Z230" s="161">
        <v>0</v>
      </c>
      <c r="AA230" s="164">
        <f>($L230*'Pivot Objective'!$C$9^4)*Y230*Z230</f>
        <v>0</v>
      </c>
      <c r="AB230" s="151"/>
      <c r="AC230" s="151"/>
      <c r="AD230" s="164">
        <f>($L230*'Pivot Objective'!$C$9^5)*AB230*AC230</f>
        <v>0</v>
      </c>
      <c r="AE230" s="151"/>
      <c r="AF230" s="151"/>
      <c r="AG230" s="164">
        <f>($L230*'Pivot Objective'!$C$9^6)*AE230*AF230</f>
        <v>0</v>
      </c>
      <c r="AH230" s="151"/>
      <c r="AI230" s="151"/>
      <c r="AJ230" s="164">
        <f>($L230*'Pivot Objective'!$C$9^7)*AH230*AI230</f>
        <v>0</v>
      </c>
      <c r="AK230" s="185">
        <f t="shared" si="24"/>
        <v>2400134.3036999996</v>
      </c>
      <c r="AL230" s="186">
        <f t="shared" si="25"/>
        <v>2330.2274793203878</v>
      </c>
    </row>
    <row r="231" spans="1:38" ht="57.6" x14ac:dyDescent="0.3">
      <c r="A231" s="151" t="s">
        <v>1440</v>
      </c>
      <c r="B231" s="151">
        <v>1</v>
      </c>
      <c r="C231" s="152" t="s">
        <v>836</v>
      </c>
      <c r="D231" s="151" t="str">
        <f t="shared" si="18"/>
        <v>1</v>
      </c>
      <c r="E231" s="153" t="s">
        <v>837</v>
      </c>
      <c r="F231" s="151">
        <f t="shared" si="21"/>
        <v>8</v>
      </c>
      <c r="G231" s="151" t="str">
        <f t="shared" si="22"/>
        <v>1.1.8</v>
      </c>
      <c r="H231" s="156" t="s">
        <v>1709</v>
      </c>
      <c r="I231" s="159" t="s">
        <v>932</v>
      </c>
      <c r="J231" s="159" t="s">
        <v>935</v>
      </c>
      <c r="K231" s="159" t="s">
        <v>716</v>
      </c>
      <c r="L231" s="160">
        <v>39000</v>
      </c>
      <c r="M231" s="161"/>
      <c r="N231" s="161"/>
      <c r="O231" s="164">
        <f t="shared" si="23"/>
        <v>0</v>
      </c>
      <c r="P231" s="161">
        <v>60</v>
      </c>
      <c r="Q231" s="161">
        <v>2</v>
      </c>
      <c r="R231" s="164">
        <f>$L231*'Pivot Objective'!$C$9*P231*Q231</f>
        <v>5348870.7339599989</v>
      </c>
      <c r="S231" s="161"/>
      <c r="T231" s="161"/>
      <c r="U231" s="164">
        <f>($L231*'Pivot Objective'!$C$9^2)*S231*T231</f>
        <v>0</v>
      </c>
      <c r="V231" s="161"/>
      <c r="W231" s="161"/>
      <c r="X231" s="164">
        <f>($L231*'Pivot Objective'!$C$9^3)*V231*W231</f>
        <v>0</v>
      </c>
      <c r="Y231" s="161"/>
      <c r="Z231" s="161"/>
      <c r="AA231" s="164">
        <f>($L231*'Pivot Objective'!$C$9^4)*Y231*Z231</f>
        <v>0</v>
      </c>
      <c r="AB231" s="151"/>
      <c r="AC231" s="151"/>
      <c r="AD231" s="164">
        <f>($L231*'Pivot Objective'!$C$9^5)*AB231*AC231</f>
        <v>0</v>
      </c>
      <c r="AE231" s="151"/>
      <c r="AF231" s="151"/>
      <c r="AG231" s="164">
        <f>($L231*'Pivot Objective'!$C$9^6)*AE231*AF231</f>
        <v>0</v>
      </c>
      <c r="AH231" s="151"/>
      <c r="AI231" s="151"/>
      <c r="AJ231" s="164">
        <f>($L231*'Pivot Objective'!$C$9^7)*AH231*AI231</f>
        <v>0</v>
      </c>
      <c r="AK231" s="185">
        <f t="shared" si="24"/>
        <v>5348870.7339599989</v>
      </c>
      <c r="AL231" s="186">
        <f t="shared" si="25"/>
        <v>5193.0783824854361</v>
      </c>
    </row>
    <row r="232" spans="1:38" ht="57.6" x14ac:dyDescent="0.3">
      <c r="A232" s="151" t="s">
        <v>1440</v>
      </c>
      <c r="B232" s="151">
        <v>1</v>
      </c>
      <c r="C232" s="152" t="s">
        <v>836</v>
      </c>
      <c r="D232" s="151" t="str">
        <f t="shared" ref="D232:D301" si="26">RIGHT(A232,1)</f>
        <v>1</v>
      </c>
      <c r="E232" s="153" t="s">
        <v>837</v>
      </c>
      <c r="F232" s="151">
        <f t="shared" si="21"/>
        <v>8</v>
      </c>
      <c r="G232" s="151" t="str">
        <f t="shared" si="22"/>
        <v>1.1.8</v>
      </c>
      <c r="H232" s="156" t="s">
        <v>1709</v>
      </c>
      <c r="I232" s="159" t="s">
        <v>932</v>
      </c>
      <c r="J232" s="159" t="s">
        <v>935</v>
      </c>
      <c r="K232" s="159" t="s">
        <v>1350</v>
      </c>
      <c r="L232" s="160">
        <f>1999/7</f>
        <v>285.57142857142856</v>
      </c>
      <c r="M232" s="161"/>
      <c r="N232" s="161"/>
      <c r="O232" s="164">
        <f t="shared" si="23"/>
        <v>0</v>
      </c>
      <c r="P232" s="161">
        <f>2*135*30</f>
        <v>8100</v>
      </c>
      <c r="Q232" s="161">
        <v>1</v>
      </c>
      <c r="R232" s="164">
        <f>$L232*'Pivot Objective'!$C$9*P232*Q232</f>
        <v>2643723.4443591852</v>
      </c>
      <c r="S232" s="161"/>
      <c r="T232" s="161"/>
      <c r="U232" s="164">
        <f>($L232*'Pivot Objective'!$C$9^2)*S232*T232</f>
        <v>0</v>
      </c>
      <c r="V232" s="161"/>
      <c r="W232" s="161"/>
      <c r="X232" s="164">
        <f>($L232*'Pivot Objective'!$C$9^3)*V232*W232</f>
        <v>0</v>
      </c>
      <c r="Y232" s="161"/>
      <c r="Z232" s="161"/>
      <c r="AA232" s="164">
        <f>($L232*'Pivot Objective'!$C$9^4)*Y232*Z232</f>
        <v>0</v>
      </c>
      <c r="AB232" s="151"/>
      <c r="AC232" s="151"/>
      <c r="AD232" s="164">
        <f>($L232*'Pivot Objective'!$C$9^5)*AB232*AC232</f>
        <v>0</v>
      </c>
      <c r="AE232" s="151"/>
      <c r="AF232" s="151"/>
      <c r="AG232" s="164">
        <f>($L232*'Pivot Objective'!$C$9^6)*AE232*AF232</f>
        <v>0</v>
      </c>
      <c r="AH232" s="151"/>
      <c r="AI232" s="151"/>
      <c r="AJ232" s="164">
        <f>($L232*'Pivot Objective'!$C$9^7)*AH232*AI232</f>
        <v>0</v>
      </c>
      <c r="AK232" s="185">
        <f t="shared" si="24"/>
        <v>2643723.4443591852</v>
      </c>
      <c r="AL232" s="186">
        <f t="shared" si="25"/>
        <v>2566.7217906399856</v>
      </c>
    </row>
    <row r="233" spans="1:38" ht="57.6" x14ac:dyDescent="0.3">
      <c r="A233" s="151" t="s">
        <v>1440</v>
      </c>
      <c r="B233" s="151">
        <v>1</v>
      </c>
      <c r="C233" s="152" t="s">
        <v>836</v>
      </c>
      <c r="D233" s="151" t="str">
        <f t="shared" si="26"/>
        <v>1</v>
      </c>
      <c r="E233" s="153" t="s">
        <v>837</v>
      </c>
      <c r="F233" s="151">
        <f t="shared" ref="F233:F302" si="27">IF(H233=H232,F232,F232+1)</f>
        <v>8</v>
      </c>
      <c r="G233" s="151" t="str">
        <f t="shared" ref="G233:G302" si="28">B233&amp;"."&amp;D233&amp;"."&amp;F233</f>
        <v>1.1.8</v>
      </c>
      <c r="H233" s="156" t="s">
        <v>1709</v>
      </c>
      <c r="I233" s="159" t="s">
        <v>932</v>
      </c>
      <c r="J233" s="159" t="s">
        <v>935</v>
      </c>
      <c r="K233" s="159" t="s">
        <v>1357</v>
      </c>
      <c r="L233" s="160">
        <f>1999/7</f>
        <v>285.57142857142856</v>
      </c>
      <c r="M233" s="161"/>
      <c r="N233" s="161"/>
      <c r="O233" s="164">
        <f t="shared" si="23"/>
        <v>0</v>
      </c>
      <c r="P233" s="161">
        <f>25*2*30</f>
        <v>1500</v>
      </c>
      <c r="Q233" s="161">
        <v>1</v>
      </c>
      <c r="R233" s="164">
        <f>$L233*'Pivot Objective'!$C$9*P233*Q233</f>
        <v>489578.4156220713</v>
      </c>
      <c r="S233" s="161"/>
      <c r="T233" s="161"/>
      <c r="U233" s="164">
        <f>($L233*'Pivot Objective'!$C$9^2)*S233*T233</f>
        <v>0</v>
      </c>
      <c r="V233" s="161"/>
      <c r="W233" s="161"/>
      <c r="X233" s="164">
        <f>($L233*'Pivot Objective'!$C$9^3)*V233*W233</f>
        <v>0</v>
      </c>
      <c r="Y233" s="161"/>
      <c r="Z233" s="161"/>
      <c r="AA233" s="164">
        <f>($L233*'Pivot Objective'!$C$9^4)*Y233*Z233</f>
        <v>0</v>
      </c>
      <c r="AB233" s="151"/>
      <c r="AC233" s="151"/>
      <c r="AD233" s="164">
        <f>($L233*'Pivot Objective'!$C$9^5)*AB233*AC233</f>
        <v>0</v>
      </c>
      <c r="AE233" s="151"/>
      <c r="AF233" s="151"/>
      <c r="AG233" s="164">
        <f>($L233*'Pivot Objective'!$C$9^6)*AE233*AF233</f>
        <v>0</v>
      </c>
      <c r="AH233" s="151"/>
      <c r="AI233" s="151"/>
      <c r="AJ233" s="164">
        <f>($L233*'Pivot Objective'!$C$9^7)*AH233*AI233</f>
        <v>0</v>
      </c>
      <c r="AK233" s="185">
        <f t="shared" si="24"/>
        <v>489578.4156220713</v>
      </c>
      <c r="AL233" s="186">
        <f t="shared" si="25"/>
        <v>475.31885011851585</v>
      </c>
    </row>
    <row r="234" spans="1:38" ht="57.6" x14ac:dyDescent="0.3">
      <c r="A234" s="151" t="s">
        <v>1440</v>
      </c>
      <c r="B234" s="151">
        <v>1</v>
      </c>
      <c r="C234" s="152" t="s">
        <v>836</v>
      </c>
      <c r="D234" s="151" t="str">
        <f t="shared" si="26"/>
        <v>1</v>
      </c>
      <c r="E234" s="153" t="s">
        <v>837</v>
      </c>
      <c r="F234" s="151">
        <f t="shared" si="27"/>
        <v>8</v>
      </c>
      <c r="G234" s="151" t="str">
        <f t="shared" si="28"/>
        <v>1.1.8</v>
      </c>
      <c r="H234" s="156" t="s">
        <v>1709</v>
      </c>
      <c r="I234" s="159" t="s">
        <v>932</v>
      </c>
      <c r="J234" s="159" t="s">
        <v>936</v>
      </c>
      <c r="K234" s="159" t="s">
        <v>841</v>
      </c>
      <c r="L234" s="160">
        <v>0</v>
      </c>
      <c r="M234" s="161"/>
      <c r="N234" s="161"/>
      <c r="O234" s="164">
        <f t="shared" si="23"/>
        <v>0</v>
      </c>
      <c r="P234" s="161">
        <v>0</v>
      </c>
      <c r="Q234" s="161">
        <v>0</v>
      </c>
      <c r="R234" s="164">
        <f>$L234*'Pivot Objective'!$C$9*P234*Q234</f>
        <v>0</v>
      </c>
      <c r="S234" s="161">
        <v>0</v>
      </c>
      <c r="T234" s="161">
        <v>0</v>
      </c>
      <c r="U234" s="164">
        <f>($L234*'Pivot Objective'!$C$9^2)*S234*T234</f>
        <v>0</v>
      </c>
      <c r="V234" s="161">
        <v>0</v>
      </c>
      <c r="W234" s="161">
        <v>0</v>
      </c>
      <c r="X234" s="164">
        <f>($L234*'Pivot Objective'!$C$9^3)*V234*W234</f>
        <v>0</v>
      </c>
      <c r="Y234" s="161">
        <v>0</v>
      </c>
      <c r="Z234" s="161">
        <v>0</v>
      </c>
      <c r="AA234" s="164">
        <f>($L234*'Pivot Objective'!$C$9^4)*Y234*Z234</f>
        <v>0</v>
      </c>
      <c r="AB234" s="151"/>
      <c r="AC234" s="151"/>
      <c r="AD234" s="164">
        <f>($L234*'Pivot Objective'!$C$9^5)*AB234*AC234</f>
        <v>0</v>
      </c>
      <c r="AE234" s="151"/>
      <c r="AF234" s="151"/>
      <c r="AG234" s="164">
        <f>($L234*'Pivot Objective'!$C$9^6)*AE234*AF234</f>
        <v>0</v>
      </c>
      <c r="AH234" s="151"/>
      <c r="AI234" s="151"/>
      <c r="AJ234" s="164">
        <f>($L234*'Pivot Objective'!$C$9^7)*AH234*AI234</f>
        <v>0</v>
      </c>
      <c r="AK234" s="185">
        <f t="shared" si="24"/>
        <v>0</v>
      </c>
      <c r="AL234" s="186">
        <f t="shared" si="25"/>
        <v>0</v>
      </c>
    </row>
    <row r="235" spans="1:38" ht="57.6" x14ac:dyDescent="0.3">
      <c r="A235" s="151" t="s">
        <v>1440</v>
      </c>
      <c r="B235" s="151">
        <v>1</v>
      </c>
      <c r="C235" s="152" t="s">
        <v>836</v>
      </c>
      <c r="D235" s="151" t="str">
        <f t="shared" si="26"/>
        <v>1</v>
      </c>
      <c r="E235" s="153" t="s">
        <v>837</v>
      </c>
      <c r="F235" s="151">
        <f t="shared" si="27"/>
        <v>8</v>
      </c>
      <c r="G235" s="151" t="str">
        <f t="shared" si="28"/>
        <v>1.1.8</v>
      </c>
      <c r="H235" s="156" t="s">
        <v>1709</v>
      </c>
      <c r="I235" s="159" t="s">
        <v>932</v>
      </c>
      <c r="J235" s="159" t="s">
        <v>937</v>
      </c>
      <c r="K235" s="159" t="s">
        <v>709</v>
      </c>
      <c r="L235" s="160">
        <v>35000</v>
      </c>
      <c r="M235" s="161"/>
      <c r="N235" s="161"/>
      <c r="O235" s="164">
        <f t="shared" si="23"/>
        <v>0</v>
      </c>
      <c r="P235" s="161">
        <v>30</v>
      </c>
      <c r="Q235" s="161">
        <v>1</v>
      </c>
      <c r="R235" s="164">
        <f>$L235*'Pivot Objective'!$C$9*P235*Q235</f>
        <v>1200067.1518499998</v>
      </c>
      <c r="S235" s="161">
        <v>0</v>
      </c>
      <c r="T235" s="161">
        <v>0</v>
      </c>
      <c r="U235" s="164">
        <f>($L235*'Pivot Objective'!$C$9^2)*S235*T235</f>
        <v>0</v>
      </c>
      <c r="V235" s="161">
        <v>0</v>
      </c>
      <c r="W235" s="161">
        <v>0</v>
      </c>
      <c r="X235" s="164">
        <f>($L235*'Pivot Objective'!$C$9^3)*V235*W235</f>
        <v>0</v>
      </c>
      <c r="Y235" s="161">
        <v>0</v>
      </c>
      <c r="Z235" s="161">
        <v>0</v>
      </c>
      <c r="AA235" s="164">
        <f>($L235*'Pivot Objective'!$C$9^4)*Y235*Z235</f>
        <v>0</v>
      </c>
      <c r="AB235" s="151"/>
      <c r="AC235" s="151"/>
      <c r="AD235" s="164">
        <f>($L235*'Pivot Objective'!$C$9^5)*AB235*AC235</f>
        <v>0</v>
      </c>
      <c r="AE235" s="151"/>
      <c r="AF235" s="151"/>
      <c r="AG235" s="164">
        <f>($L235*'Pivot Objective'!$C$9^6)*AE235*AF235</f>
        <v>0</v>
      </c>
      <c r="AH235" s="151"/>
      <c r="AI235" s="151"/>
      <c r="AJ235" s="164">
        <f>($L235*'Pivot Objective'!$C$9^7)*AH235*AI235</f>
        <v>0</v>
      </c>
      <c r="AK235" s="185">
        <f t="shared" si="24"/>
        <v>1200067.1518499998</v>
      </c>
      <c r="AL235" s="186">
        <f t="shared" si="25"/>
        <v>1165.1137396601939</v>
      </c>
    </row>
    <row r="236" spans="1:38" ht="57.6" x14ac:dyDescent="0.3">
      <c r="A236" s="151" t="s">
        <v>1440</v>
      </c>
      <c r="B236" s="151">
        <v>1</v>
      </c>
      <c r="C236" s="152" t="s">
        <v>836</v>
      </c>
      <c r="D236" s="151" t="str">
        <f t="shared" si="26"/>
        <v>1</v>
      </c>
      <c r="E236" s="153" t="s">
        <v>837</v>
      </c>
      <c r="F236" s="151">
        <f t="shared" si="27"/>
        <v>8</v>
      </c>
      <c r="G236" s="151" t="str">
        <f t="shared" si="28"/>
        <v>1.1.8</v>
      </c>
      <c r="H236" s="156" t="s">
        <v>1709</v>
      </c>
      <c r="I236" s="159" t="s">
        <v>932</v>
      </c>
      <c r="J236" s="159" t="s">
        <v>938</v>
      </c>
      <c r="K236" s="159" t="s">
        <v>841</v>
      </c>
      <c r="L236" s="160">
        <v>0</v>
      </c>
      <c r="M236" s="161"/>
      <c r="N236" s="161"/>
      <c r="O236" s="164">
        <f t="shared" si="23"/>
        <v>0</v>
      </c>
      <c r="P236" s="161">
        <v>0</v>
      </c>
      <c r="Q236" s="161">
        <v>0</v>
      </c>
      <c r="R236" s="164">
        <f>$L236*'Pivot Objective'!$C$9*P236*Q236</f>
        <v>0</v>
      </c>
      <c r="S236" s="161">
        <v>0</v>
      </c>
      <c r="T236" s="161">
        <v>0</v>
      </c>
      <c r="U236" s="164">
        <f>($L236*'Pivot Objective'!$C$9^2)*S236*T236</f>
        <v>0</v>
      </c>
      <c r="V236" s="161">
        <v>0</v>
      </c>
      <c r="W236" s="161">
        <v>0</v>
      </c>
      <c r="X236" s="164">
        <f>($L236*'Pivot Objective'!$C$9^3)*V236*W236</f>
        <v>0</v>
      </c>
      <c r="Y236" s="161">
        <v>0</v>
      </c>
      <c r="Z236" s="161">
        <v>0</v>
      </c>
      <c r="AA236" s="164">
        <f>($L236*'Pivot Objective'!$C$9^4)*Y236*Z236</f>
        <v>0</v>
      </c>
      <c r="AB236" s="151"/>
      <c r="AC236" s="151"/>
      <c r="AD236" s="164">
        <f>($L236*'Pivot Objective'!$C$9^5)*AB236*AC236</f>
        <v>0</v>
      </c>
      <c r="AE236" s="151"/>
      <c r="AF236" s="151"/>
      <c r="AG236" s="164">
        <f>($L236*'Pivot Objective'!$C$9^6)*AE236*AF236</f>
        <v>0</v>
      </c>
      <c r="AH236" s="151"/>
      <c r="AI236" s="151"/>
      <c r="AJ236" s="164">
        <f>($L236*'Pivot Objective'!$C$9^7)*AH236*AI236</f>
        <v>0</v>
      </c>
      <c r="AK236" s="185">
        <f t="shared" si="24"/>
        <v>0</v>
      </c>
      <c r="AL236" s="186">
        <f t="shared" si="25"/>
        <v>0</v>
      </c>
    </row>
    <row r="237" spans="1:38" ht="57.6" x14ac:dyDescent="0.3">
      <c r="A237" s="151" t="s">
        <v>1440</v>
      </c>
      <c r="B237" s="151">
        <v>1</v>
      </c>
      <c r="C237" s="152" t="s">
        <v>836</v>
      </c>
      <c r="D237" s="151" t="str">
        <f t="shared" si="26"/>
        <v>1</v>
      </c>
      <c r="E237" s="153" t="s">
        <v>837</v>
      </c>
      <c r="F237" s="151">
        <f t="shared" ref="F237:F243" si="29">IF(H237=H236,F236,F236+1)</f>
        <v>9</v>
      </c>
      <c r="G237" s="151" t="str">
        <f t="shared" ref="G237:G242" si="30">B237&amp;"."&amp;D237&amp;"."&amp;F237</f>
        <v>1.1.9</v>
      </c>
      <c r="H237" s="156" t="s">
        <v>1641</v>
      </c>
      <c r="I237" s="159" t="s">
        <v>1642</v>
      </c>
      <c r="J237" s="159" t="s">
        <v>1643</v>
      </c>
      <c r="K237" s="159" t="s">
        <v>841</v>
      </c>
      <c r="L237" s="160"/>
      <c r="M237" s="161"/>
      <c r="N237" s="161"/>
      <c r="O237" s="164">
        <f t="shared" si="23"/>
        <v>0</v>
      </c>
      <c r="P237" s="161"/>
      <c r="Q237" s="161"/>
      <c r="R237" s="164">
        <f>$L237*'Pivot Objective'!$C$9*P237*Q237</f>
        <v>0</v>
      </c>
      <c r="S237" s="161"/>
      <c r="T237" s="161"/>
      <c r="U237" s="164">
        <f>($L237*'Pivot Objective'!$C$9^2)*S237*T237</f>
        <v>0</v>
      </c>
      <c r="V237" s="161"/>
      <c r="W237" s="161"/>
      <c r="X237" s="164">
        <f>($L237*'Pivot Objective'!$C$9^3)*V237*W237</f>
        <v>0</v>
      </c>
      <c r="Y237" s="161"/>
      <c r="Z237" s="161"/>
      <c r="AA237" s="164">
        <f>($L237*'Pivot Objective'!$C$9^4)*Y237*Z237</f>
        <v>0</v>
      </c>
      <c r="AB237" s="151"/>
      <c r="AC237" s="151"/>
      <c r="AD237" s="164">
        <f>($L237*'Pivot Objective'!$C$9^5)*AB237*AC237</f>
        <v>0</v>
      </c>
      <c r="AE237" s="151"/>
      <c r="AF237" s="151"/>
      <c r="AG237" s="164">
        <f>($L237*'Pivot Objective'!$C$9^6)*AE237*AF237</f>
        <v>0</v>
      </c>
      <c r="AH237" s="151"/>
      <c r="AI237" s="151"/>
      <c r="AJ237" s="164">
        <f>($L237*'Pivot Objective'!$C$9^7)*AH237*AI237</f>
        <v>0</v>
      </c>
      <c r="AK237" s="185">
        <f t="shared" si="24"/>
        <v>0</v>
      </c>
      <c r="AL237" s="186">
        <f t="shared" si="25"/>
        <v>0</v>
      </c>
    </row>
    <row r="238" spans="1:38" ht="57.6" x14ac:dyDescent="0.3">
      <c r="A238" s="151" t="s">
        <v>1440</v>
      </c>
      <c r="B238" s="151">
        <v>1</v>
      </c>
      <c r="C238" s="152" t="s">
        <v>836</v>
      </c>
      <c r="D238" s="151" t="str">
        <f t="shared" si="26"/>
        <v>1</v>
      </c>
      <c r="E238" s="153" t="s">
        <v>837</v>
      </c>
      <c r="F238" s="151">
        <f t="shared" si="29"/>
        <v>9</v>
      </c>
      <c r="G238" s="151" t="str">
        <f t="shared" si="30"/>
        <v>1.1.9</v>
      </c>
      <c r="H238" s="156" t="s">
        <v>1641</v>
      </c>
      <c r="I238" s="159" t="s">
        <v>1642</v>
      </c>
      <c r="J238" s="159" t="s">
        <v>1644</v>
      </c>
      <c r="K238" s="159" t="s">
        <v>709</v>
      </c>
      <c r="L238" s="160">
        <v>35000</v>
      </c>
      <c r="M238" s="161"/>
      <c r="N238" s="161"/>
      <c r="O238" s="164">
        <f t="shared" si="23"/>
        <v>0</v>
      </c>
      <c r="P238" s="161">
        <v>25</v>
      </c>
      <c r="Q238" s="161">
        <v>2</v>
      </c>
      <c r="R238" s="164">
        <f>$L238*'Pivot Objective'!$C$9*P238*Q238</f>
        <v>2000111.9197499997</v>
      </c>
      <c r="S238" s="161"/>
      <c r="T238" s="161"/>
      <c r="U238" s="164">
        <f>($L238*'Pivot Objective'!$C$9^2)*S238*T238</f>
        <v>0</v>
      </c>
      <c r="V238" s="161"/>
      <c r="W238" s="161"/>
      <c r="X238" s="164">
        <f>($L238*'Pivot Objective'!$C$9^3)*V238*W238</f>
        <v>0</v>
      </c>
      <c r="Y238" s="161"/>
      <c r="Z238" s="161"/>
      <c r="AA238" s="164">
        <f>($L238*'Pivot Objective'!$C$9^4)*Y238*Z238</f>
        <v>0</v>
      </c>
      <c r="AB238" s="151"/>
      <c r="AC238" s="151"/>
      <c r="AD238" s="164">
        <f>($L238*'Pivot Objective'!$C$9^5)*AB238*AC238</f>
        <v>0</v>
      </c>
      <c r="AE238" s="151"/>
      <c r="AF238" s="151"/>
      <c r="AG238" s="164">
        <f>($L238*'Pivot Objective'!$C$9^6)*AE238*AF238</f>
        <v>0</v>
      </c>
      <c r="AH238" s="151"/>
      <c r="AI238" s="151"/>
      <c r="AJ238" s="164">
        <f>($L238*'Pivot Objective'!$C$9^7)*AH238*AI238</f>
        <v>0</v>
      </c>
      <c r="AK238" s="185">
        <f t="shared" si="24"/>
        <v>2000111.9197499997</v>
      </c>
      <c r="AL238" s="186">
        <f t="shared" si="25"/>
        <v>1941.8562327669899</v>
      </c>
    </row>
    <row r="239" spans="1:38" ht="57.6" x14ac:dyDescent="0.3">
      <c r="A239" s="151" t="s">
        <v>1440</v>
      </c>
      <c r="B239" s="151">
        <v>1</v>
      </c>
      <c r="C239" s="152" t="s">
        <v>836</v>
      </c>
      <c r="D239" s="151" t="str">
        <f t="shared" si="26"/>
        <v>1</v>
      </c>
      <c r="E239" s="153" t="s">
        <v>837</v>
      </c>
      <c r="F239" s="151">
        <f t="shared" si="29"/>
        <v>9</v>
      </c>
      <c r="G239" s="151" t="str">
        <f t="shared" si="30"/>
        <v>1.1.9</v>
      </c>
      <c r="H239" s="156" t="s">
        <v>1641</v>
      </c>
      <c r="I239" s="159" t="s">
        <v>1642</v>
      </c>
      <c r="J239" s="159" t="s">
        <v>1644</v>
      </c>
      <c r="K239" s="159" t="s">
        <v>716</v>
      </c>
      <c r="L239" s="160">
        <v>39000</v>
      </c>
      <c r="M239" s="161"/>
      <c r="N239" s="161"/>
      <c r="O239" s="164">
        <f t="shared" si="23"/>
        <v>0</v>
      </c>
      <c r="P239" s="161">
        <v>25</v>
      </c>
      <c r="Q239" s="161">
        <v>3</v>
      </c>
      <c r="R239" s="164">
        <f>$L239*'Pivot Objective'!$C$9*P239*Q239</f>
        <v>3343044.2087249998</v>
      </c>
      <c r="S239" s="161"/>
      <c r="T239" s="161"/>
      <c r="U239" s="164">
        <f>($L239*'Pivot Objective'!$C$9^2)*S239*T239</f>
        <v>0</v>
      </c>
      <c r="V239" s="161"/>
      <c r="W239" s="161"/>
      <c r="X239" s="164">
        <f>($L239*'Pivot Objective'!$C$9^3)*V239*W239</f>
        <v>0</v>
      </c>
      <c r="Y239" s="161"/>
      <c r="Z239" s="161"/>
      <c r="AA239" s="164">
        <f>($L239*'Pivot Objective'!$C$9^4)*Y239*Z239</f>
        <v>0</v>
      </c>
      <c r="AB239" s="151"/>
      <c r="AC239" s="151"/>
      <c r="AD239" s="164">
        <f>($L239*'Pivot Objective'!$C$9^5)*AB239*AC239</f>
        <v>0</v>
      </c>
      <c r="AE239" s="151"/>
      <c r="AF239" s="151"/>
      <c r="AG239" s="164">
        <f>($L239*'Pivot Objective'!$C$9^6)*AE239*AF239</f>
        <v>0</v>
      </c>
      <c r="AH239" s="151"/>
      <c r="AI239" s="151"/>
      <c r="AJ239" s="164">
        <f>($L239*'Pivot Objective'!$C$9^7)*AH239*AI239</f>
        <v>0</v>
      </c>
      <c r="AK239" s="185">
        <f t="shared" si="24"/>
        <v>3343044.2087249998</v>
      </c>
      <c r="AL239" s="186">
        <f t="shared" si="25"/>
        <v>3245.6739890533977</v>
      </c>
    </row>
    <row r="240" spans="1:38" ht="57.6" x14ac:dyDescent="0.3">
      <c r="A240" s="151" t="s">
        <v>1440</v>
      </c>
      <c r="B240" s="151">
        <v>1</v>
      </c>
      <c r="C240" s="152" t="s">
        <v>836</v>
      </c>
      <c r="D240" s="151" t="str">
        <f t="shared" si="26"/>
        <v>1</v>
      </c>
      <c r="E240" s="153" t="s">
        <v>837</v>
      </c>
      <c r="F240" s="151">
        <f t="shared" si="29"/>
        <v>9</v>
      </c>
      <c r="G240" s="151" t="str">
        <f t="shared" si="30"/>
        <v>1.1.9</v>
      </c>
      <c r="H240" s="156" t="s">
        <v>1641</v>
      </c>
      <c r="I240" s="159" t="s">
        <v>1642</v>
      </c>
      <c r="J240" s="159" t="s">
        <v>1644</v>
      </c>
      <c r="K240" s="159" t="s">
        <v>712</v>
      </c>
      <c r="L240" s="160">
        <v>285.57142857142856</v>
      </c>
      <c r="M240" s="161"/>
      <c r="N240" s="161"/>
      <c r="O240" s="164">
        <f t="shared" si="23"/>
        <v>0</v>
      </c>
      <c r="P240" s="161">
        <v>450</v>
      </c>
      <c r="Q240" s="161">
        <v>2</v>
      </c>
      <c r="R240" s="164">
        <f>$L240*'Pivot Objective'!$C$9*P240*Q240</f>
        <v>293747.04937324277</v>
      </c>
      <c r="S240" s="161"/>
      <c r="T240" s="161"/>
      <c r="U240" s="164">
        <f>($L240*'Pivot Objective'!$C$9^2)*S240*T240</f>
        <v>0</v>
      </c>
      <c r="V240" s="161"/>
      <c r="W240" s="161"/>
      <c r="X240" s="164">
        <f>($L240*'Pivot Objective'!$C$9^3)*V240*W240</f>
        <v>0</v>
      </c>
      <c r="Y240" s="161"/>
      <c r="Z240" s="161"/>
      <c r="AA240" s="164">
        <f>($L240*'Pivot Objective'!$C$9^4)*Y240*Z240</f>
        <v>0</v>
      </c>
      <c r="AB240" s="151"/>
      <c r="AC240" s="151"/>
      <c r="AD240" s="164">
        <f>($L240*'Pivot Objective'!$C$9^5)*AB240*AC240</f>
        <v>0</v>
      </c>
      <c r="AE240" s="151"/>
      <c r="AF240" s="151"/>
      <c r="AG240" s="164">
        <f>($L240*'Pivot Objective'!$C$9^6)*AE240*AF240</f>
        <v>0</v>
      </c>
      <c r="AH240" s="151"/>
      <c r="AI240" s="151"/>
      <c r="AJ240" s="164">
        <f>($L240*'Pivot Objective'!$C$9^7)*AH240*AI240</f>
        <v>0</v>
      </c>
      <c r="AK240" s="185">
        <f t="shared" si="24"/>
        <v>293747.04937324277</v>
      </c>
      <c r="AL240" s="186">
        <f t="shared" si="25"/>
        <v>285.19131007110951</v>
      </c>
    </row>
    <row r="241" spans="1:38" ht="57.6" x14ac:dyDescent="0.3">
      <c r="A241" s="151" t="s">
        <v>1440</v>
      </c>
      <c r="B241" s="151">
        <v>1</v>
      </c>
      <c r="C241" s="152" t="s">
        <v>836</v>
      </c>
      <c r="D241" s="151" t="str">
        <f t="shared" si="26"/>
        <v>1</v>
      </c>
      <c r="E241" s="153" t="s">
        <v>837</v>
      </c>
      <c r="F241" s="151">
        <f t="shared" si="29"/>
        <v>9</v>
      </c>
      <c r="G241" s="151" t="str">
        <f t="shared" si="30"/>
        <v>1.1.9</v>
      </c>
      <c r="H241" s="156" t="s">
        <v>1641</v>
      </c>
      <c r="I241" s="159" t="s">
        <v>1642</v>
      </c>
      <c r="J241" s="159" t="s">
        <v>1644</v>
      </c>
      <c r="K241" s="159" t="s">
        <v>1303</v>
      </c>
      <c r="L241" s="160">
        <v>285.57142857142856</v>
      </c>
      <c r="M241" s="161"/>
      <c r="N241" s="161"/>
      <c r="O241" s="164">
        <f t="shared" si="23"/>
        <v>0</v>
      </c>
      <c r="P241" s="161">
        <v>2430</v>
      </c>
      <c r="Q241" s="161">
        <v>1</v>
      </c>
      <c r="R241" s="164">
        <f>$L241*'Pivot Objective'!$C$9*P241*Q241</f>
        <v>793117.0333077556</v>
      </c>
      <c r="S241" s="161"/>
      <c r="T241" s="161"/>
      <c r="U241" s="164">
        <f>($L241*'Pivot Objective'!$C$9^2)*S241*T241</f>
        <v>0</v>
      </c>
      <c r="V241" s="161"/>
      <c r="W241" s="161"/>
      <c r="X241" s="164">
        <f>($L241*'Pivot Objective'!$C$9^3)*V241*W241</f>
        <v>0</v>
      </c>
      <c r="Y241" s="161"/>
      <c r="Z241" s="161"/>
      <c r="AA241" s="164">
        <f>($L241*'Pivot Objective'!$C$9^4)*Y241*Z241</f>
        <v>0</v>
      </c>
      <c r="AB241" s="151"/>
      <c r="AC241" s="151"/>
      <c r="AD241" s="164">
        <f>($L241*'Pivot Objective'!$C$9^5)*AB241*AC241</f>
        <v>0</v>
      </c>
      <c r="AE241" s="151"/>
      <c r="AF241" s="151"/>
      <c r="AG241" s="164">
        <f>($L241*'Pivot Objective'!$C$9^6)*AE241*AF241</f>
        <v>0</v>
      </c>
      <c r="AH241" s="151"/>
      <c r="AI241" s="151"/>
      <c r="AJ241" s="164">
        <f>($L241*'Pivot Objective'!$C$9^7)*AH241*AI241</f>
        <v>0</v>
      </c>
      <c r="AK241" s="185">
        <f t="shared" si="24"/>
        <v>793117.0333077556</v>
      </c>
      <c r="AL241" s="186">
        <f t="shared" si="25"/>
        <v>770.01653719199578</v>
      </c>
    </row>
    <row r="242" spans="1:38" ht="57.6" x14ac:dyDescent="0.3">
      <c r="A242" s="151" t="s">
        <v>1440</v>
      </c>
      <c r="B242" s="151">
        <v>1</v>
      </c>
      <c r="C242" s="152" t="s">
        <v>836</v>
      </c>
      <c r="D242" s="151" t="str">
        <f t="shared" si="26"/>
        <v>1</v>
      </c>
      <c r="E242" s="153" t="s">
        <v>837</v>
      </c>
      <c r="F242" s="151">
        <f t="shared" si="29"/>
        <v>9</v>
      </c>
      <c r="G242" s="151" t="str">
        <f t="shared" si="30"/>
        <v>1.1.9</v>
      </c>
      <c r="H242" s="156" t="s">
        <v>1641</v>
      </c>
      <c r="I242" s="159" t="s">
        <v>1642</v>
      </c>
      <c r="J242" s="159" t="s">
        <v>1645</v>
      </c>
      <c r="K242" s="159" t="s">
        <v>709</v>
      </c>
      <c r="L242" s="160">
        <v>35000</v>
      </c>
      <c r="M242" s="161"/>
      <c r="N242" s="161"/>
      <c r="O242" s="164">
        <f t="shared" si="23"/>
        <v>0</v>
      </c>
      <c r="P242" s="161">
        <v>100</v>
      </c>
      <c r="Q242" s="161">
        <v>1</v>
      </c>
      <c r="R242" s="164">
        <f>$L242*'Pivot Objective'!$C$9*P242*Q242</f>
        <v>4000223.8394999993</v>
      </c>
      <c r="S242" s="161">
        <v>100</v>
      </c>
      <c r="T242" s="161">
        <v>1</v>
      </c>
      <c r="U242" s="164">
        <f>($L242*'Pivot Objective'!$C$9^2)*S242*T242</f>
        <v>4571940.2188868914</v>
      </c>
      <c r="V242" s="161"/>
      <c r="W242" s="161"/>
      <c r="X242" s="164">
        <f>($L242*'Pivot Objective'!$C$9^3)*V242*W242</f>
        <v>0</v>
      </c>
      <c r="Y242" s="161"/>
      <c r="Z242" s="161"/>
      <c r="AA242" s="164">
        <f>($L242*'Pivot Objective'!$C$9^4)*Y242*Z242</f>
        <v>0</v>
      </c>
      <c r="AB242" s="151"/>
      <c r="AC242" s="151"/>
      <c r="AD242" s="164">
        <f>($L242*'Pivot Objective'!$C$9^5)*AB242*AC242</f>
        <v>0</v>
      </c>
      <c r="AE242" s="151"/>
      <c r="AF242" s="151"/>
      <c r="AG242" s="164">
        <f>($L242*'Pivot Objective'!$C$9^6)*AE242*AF242</f>
        <v>0</v>
      </c>
      <c r="AH242" s="151"/>
      <c r="AI242" s="151"/>
      <c r="AJ242" s="164">
        <f>($L242*'Pivot Objective'!$C$9^7)*AH242*AI242</f>
        <v>0</v>
      </c>
      <c r="AK242" s="185">
        <f t="shared" si="24"/>
        <v>8572164.0583868902</v>
      </c>
      <c r="AL242" s="186">
        <f t="shared" si="25"/>
        <v>8322.4893770746512</v>
      </c>
    </row>
    <row r="243" spans="1:38" ht="72" x14ac:dyDescent="0.3">
      <c r="A243" s="151" t="s">
        <v>1440</v>
      </c>
      <c r="B243" s="151">
        <v>1</v>
      </c>
      <c r="C243" s="152" t="s">
        <v>836</v>
      </c>
      <c r="D243" s="151" t="str">
        <f t="shared" si="26"/>
        <v>1</v>
      </c>
      <c r="E243" s="153" t="s">
        <v>837</v>
      </c>
      <c r="F243" s="151">
        <f t="shared" si="29"/>
        <v>10</v>
      </c>
      <c r="G243" s="151" t="str">
        <f t="shared" si="28"/>
        <v>1.1.10</v>
      </c>
      <c r="H243" s="156" t="s">
        <v>1684</v>
      </c>
      <c r="I243" s="159" t="s">
        <v>940</v>
      </c>
      <c r="J243" s="159" t="s">
        <v>941</v>
      </c>
      <c r="K243" s="159" t="s">
        <v>709</v>
      </c>
      <c r="L243" s="160">
        <v>35000</v>
      </c>
      <c r="M243" s="161"/>
      <c r="N243" s="161"/>
      <c r="O243" s="164">
        <f t="shared" si="23"/>
        <v>0</v>
      </c>
      <c r="P243" s="161">
        <v>20</v>
      </c>
      <c r="Q243" s="161">
        <v>25</v>
      </c>
      <c r="R243" s="164">
        <f>$L243*'Pivot Objective'!$C$9*P243*Q243</f>
        <v>20001119.197499998</v>
      </c>
      <c r="S243" s="161">
        <v>0</v>
      </c>
      <c r="T243" s="161">
        <v>0</v>
      </c>
      <c r="U243" s="164">
        <f>($L243*'Pivot Objective'!$C$9^2)*S243*T243</f>
        <v>0</v>
      </c>
      <c r="V243" s="161">
        <v>0</v>
      </c>
      <c r="W243" s="161">
        <v>0</v>
      </c>
      <c r="X243" s="164">
        <f>($L243*'Pivot Objective'!$C$9^3)*V243*W243</f>
        <v>0</v>
      </c>
      <c r="Y243" s="161">
        <v>0</v>
      </c>
      <c r="Z243" s="161">
        <v>0</v>
      </c>
      <c r="AA243" s="164">
        <f>($L243*'Pivot Objective'!$C$9^4)*Y243*Z243</f>
        <v>0</v>
      </c>
      <c r="AB243" s="161">
        <v>20</v>
      </c>
      <c r="AC243" s="161">
        <v>25</v>
      </c>
      <c r="AD243" s="164">
        <f>($L243*'Pivot Objective'!$C$9^5)*AB243*AC243</f>
        <v>34128664.610693276</v>
      </c>
      <c r="AE243" s="151"/>
      <c r="AF243" s="151"/>
      <c r="AG243" s="164">
        <f>($L243*'Pivot Objective'!$C$9^6)*AE243*AF243</f>
        <v>0</v>
      </c>
      <c r="AH243" s="151"/>
      <c r="AI243" s="151"/>
      <c r="AJ243" s="164">
        <f>($L243*'Pivot Objective'!$C$9^7)*AH243*AI243</f>
        <v>0</v>
      </c>
      <c r="AK243" s="185">
        <f t="shared" si="24"/>
        <v>54129783.808193274</v>
      </c>
      <c r="AL243" s="186">
        <f t="shared" si="25"/>
        <v>52553.188163294442</v>
      </c>
    </row>
    <row r="244" spans="1:38" ht="72" x14ac:dyDescent="0.3">
      <c r="A244" s="151" t="s">
        <v>1440</v>
      </c>
      <c r="B244" s="151">
        <v>1</v>
      </c>
      <c r="C244" s="152" t="s">
        <v>836</v>
      </c>
      <c r="D244" s="151" t="str">
        <f t="shared" si="26"/>
        <v>1</v>
      </c>
      <c r="E244" s="153" t="s">
        <v>837</v>
      </c>
      <c r="F244" s="151">
        <f t="shared" si="27"/>
        <v>10</v>
      </c>
      <c r="G244" s="151" t="str">
        <f t="shared" si="28"/>
        <v>1.1.10</v>
      </c>
      <c r="H244" s="156" t="s">
        <v>1684</v>
      </c>
      <c r="I244" s="159" t="s">
        <v>940</v>
      </c>
      <c r="J244" s="159" t="s">
        <v>941</v>
      </c>
      <c r="K244" s="159" t="s">
        <v>716</v>
      </c>
      <c r="L244" s="160">
        <v>39000</v>
      </c>
      <c r="M244" s="161"/>
      <c r="N244" s="161"/>
      <c r="O244" s="164">
        <f t="shared" si="23"/>
        <v>0</v>
      </c>
      <c r="P244" s="161">
        <v>20</v>
      </c>
      <c r="Q244" s="161">
        <v>25</v>
      </c>
      <c r="R244" s="164">
        <f>$L244*'Pivot Objective'!$C$9*P244*Q244</f>
        <v>22286961.391499996</v>
      </c>
      <c r="S244" s="161">
        <v>0</v>
      </c>
      <c r="T244" s="161">
        <v>0</v>
      </c>
      <c r="U244" s="164">
        <f>($L244*'Pivot Objective'!$C$9^2)*S244*T244</f>
        <v>0</v>
      </c>
      <c r="V244" s="161">
        <v>0</v>
      </c>
      <c r="W244" s="161">
        <v>0</v>
      </c>
      <c r="X244" s="164">
        <f>($L244*'Pivot Objective'!$C$9^3)*V244*W244</f>
        <v>0</v>
      </c>
      <c r="Y244" s="161">
        <v>0</v>
      </c>
      <c r="Z244" s="161">
        <v>0</v>
      </c>
      <c r="AA244" s="164">
        <f>($L244*'Pivot Objective'!$C$9^4)*Y244*Z244</f>
        <v>0</v>
      </c>
      <c r="AB244" s="161">
        <v>20</v>
      </c>
      <c r="AC244" s="161">
        <v>25</v>
      </c>
      <c r="AD244" s="164">
        <f>($L244*'Pivot Objective'!$C$9^5)*AB244*AC244</f>
        <v>38029083.423343942</v>
      </c>
      <c r="AE244" s="151"/>
      <c r="AF244" s="151"/>
      <c r="AG244" s="164">
        <f>($L244*'Pivot Objective'!$C$9^6)*AE244*AF244</f>
        <v>0</v>
      </c>
      <c r="AH244" s="151"/>
      <c r="AI244" s="151"/>
      <c r="AJ244" s="164">
        <f>($L244*'Pivot Objective'!$C$9^7)*AH244*AI244</f>
        <v>0</v>
      </c>
      <c r="AK244" s="185">
        <f t="shared" si="24"/>
        <v>60316044.814843938</v>
      </c>
      <c r="AL244" s="186">
        <f t="shared" si="25"/>
        <v>58559.266810528097</v>
      </c>
    </row>
    <row r="245" spans="1:38" ht="72" x14ac:dyDescent="0.3">
      <c r="A245" s="151" t="s">
        <v>1440</v>
      </c>
      <c r="B245" s="151">
        <v>1</v>
      </c>
      <c r="C245" s="152" t="s">
        <v>836</v>
      </c>
      <c r="D245" s="151" t="str">
        <f t="shared" si="26"/>
        <v>1</v>
      </c>
      <c r="E245" s="153" t="s">
        <v>837</v>
      </c>
      <c r="F245" s="151">
        <f t="shared" si="27"/>
        <v>10</v>
      </c>
      <c r="G245" s="151" t="str">
        <f t="shared" si="28"/>
        <v>1.1.10</v>
      </c>
      <c r="H245" s="156" t="s">
        <v>1684</v>
      </c>
      <c r="I245" s="159" t="s">
        <v>940</v>
      </c>
      <c r="J245" s="159" t="s">
        <v>941</v>
      </c>
      <c r="K245" s="159" t="s">
        <v>712</v>
      </c>
      <c r="L245" s="160">
        <f>1999/7</f>
        <v>285.57142857142856</v>
      </c>
      <c r="M245" s="161"/>
      <c r="N245" s="161"/>
      <c r="O245" s="164">
        <f t="shared" si="23"/>
        <v>0</v>
      </c>
      <c r="P245" s="161">
        <f>25*2*9</f>
        <v>450</v>
      </c>
      <c r="Q245" s="161">
        <v>25</v>
      </c>
      <c r="R245" s="164">
        <f>$L245*'Pivot Objective'!$C$9*P245*Q245</f>
        <v>3671838.1171655348</v>
      </c>
      <c r="S245" s="161">
        <v>0</v>
      </c>
      <c r="T245" s="161">
        <v>0</v>
      </c>
      <c r="U245" s="164">
        <f>($L245*'Pivot Objective'!$C$9^2)*S245*T245</f>
        <v>0</v>
      </c>
      <c r="V245" s="161">
        <v>0</v>
      </c>
      <c r="W245" s="161">
        <v>0</v>
      </c>
      <c r="X245" s="164">
        <f>($L245*'Pivot Objective'!$C$9^3)*V245*W245</f>
        <v>0</v>
      </c>
      <c r="Y245" s="161">
        <v>0</v>
      </c>
      <c r="Z245" s="161">
        <v>0</v>
      </c>
      <c r="AA245" s="164">
        <f>($L245*'Pivot Objective'!$C$9^4)*Y245*Z245</f>
        <v>0</v>
      </c>
      <c r="AB245" s="161">
        <f>25*2*9</f>
        <v>450</v>
      </c>
      <c r="AC245" s="161">
        <v>25</v>
      </c>
      <c r="AD245" s="164">
        <f>($L245*'Pivot Objective'!$C$9^5)*AB245*AC245</f>
        <v>6265395.9694998236</v>
      </c>
      <c r="AE245" s="151"/>
      <c r="AF245" s="151"/>
      <c r="AG245" s="164">
        <f>($L245*'Pivot Objective'!$C$9^6)*AE245*AF245</f>
        <v>0</v>
      </c>
      <c r="AH245" s="151"/>
      <c r="AI245" s="151"/>
      <c r="AJ245" s="164">
        <f>($L245*'Pivot Objective'!$C$9^7)*AH245*AI245</f>
        <v>0</v>
      </c>
      <c r="AK245" s="185">
        <f t="shared" si="24"/>
        <v>9937234.0866653584</v>
      </c>
      <c r="AL245" s="186">
        <f t="shared" si="25"/>
        <v>9647.8000841411249</v>
      </c>
    </row>
    <row r="246" spans="1:38" ht="57.6" x14ac:dyDescent="0.3">
      <c r="A246" s="151" t="s">
        <v>1440</v>
      </c>
      <c r="B246" s="151">
        <v>1</v>
      </c>
      <c r="C246" s="152" t="s">
        <v>836</v>
      </c>
      <c r="D246" s="151" t="str">
        <f t="shared" si="26"/>
        <v>1</v>
      </c>
      <c r="E246" s="153" t="s">
        <v>837</v>
      </c>
      <c r="F246" s="151">
        <f t="shared" si="27"/>
        <v>10</v>
      </c>
      <c r="G246" s="151" t="str">
        <f t="shared" si="28"/>
        <v>1.1.10</v>
      </c>
      <c r="H246" s="156" t="s">
        <v>1684</v>
      </c>
      <c r="I246" s="159" t="s">
        <v>940</v>
      </c>
      <c r="J246" s="159" t="s">
        <v>942</v>
      </c>
      <c r="K246" s="159" t="s">
        <v>709</v>
      </c>
      <c r="L246" s="160">
        <v>35000</v>
      </c>
      <c r="M246" s="161"/>
      <c r="N246" s="161"/>
      <c r="O246" s="164">
        <f t="shared" si="23"/>
        <v>0</v>
      </c>
      <c r="P246" s="161">
        <v>30</v>
      </c>
      <c r="Q246" s="161">
        <v>1</v>
      </c>
      <c r="R246" s="164">
        <f>$L246*'Pivot Objective'!$C$9*P246*Q246</f>
        <v>1200067.1518499998</v>
      </c>
      <c r="S246" s="161">
        <v>0</v>
      </c>
      <c r="T246" s="161">
        <v>0</v>
      </c>
      <c r="U246" s="164">
        <f>($L246*'Pivot Objective'!$C$9^2)*S246*T246</f>
        <v>0</v>
      </c>
      <c r="V246" s="161">
        <v>0</v>
      </c>
      <c r="W246" s="161">
        <v>0</v>
      </c>
      <c r="X246" s="164">
        <f>($L246*'Pivot Objective'!$C$9^3)*V246*W246</f>
        <v>0</v>
      </c>
      <c r="Y246" s="161">
        <v>0</v>
      </c>
      <c r="Z246" s="161">
        <v>0</v>
      </c>
      <c r="AA246" s="164">
        <f>($L246*'Pivot Objective'!$C$9^4)*Y246*Z246</f>
        <v>0</v>
      </c>
      <c r="AB246" s="161">
        <v>30</v>
      </c>
      <c r="AC246" s="161">
        <v>1</v>
      </c>
      <c r="AD246" s="164">
        <f>($L246*'Pivot Objective'!$C$9^5)*AB246*AC246</f>
        <v>2047719.8766415964</v>
      </c>
      <c r="AE246" s="151"/>
      <c r="AF246" s="151"/>
      <c r="AG246" s="164">
        <f>($L246*'Pivot Objective'!$C$9^6)*AE246*AF246</f>
        <v>0</v>
      </c>
      <c r="AH246" s="151"/>
      <c r="AI246" s="151"/>
      <c r="AJ246" s="164">
        <f>($L246*'Pivot Objective'!$C$9^7)*AH246*AI246</f>
        <v>0</v>
      </c>
      <c r="AK246" s="185">
        <f t="shared" si="24"/>
        <v>3247787.0284915962</v>
      </c>
      <c r="AL246" s="186">
        <f t="shared" si="25"/>
        <v>3153.1912897976663</v>
      </c>
    </row>
    <row r="247" spans="1:38" ht="57.6" x14ac:dyDescent="0.3">
      <c r="A247" s="151" t="s">
        <v>1440</v>
      </c>
      <c r="B247" s="151">
        <v>1</v>
      </c>
      <c r="C247" s="152" t="s">
        <v>836</v>
      </c>
      <c r="D247" s="151" t="str">
        <f t="shared" si="26"/>
        <v>1</v>
      </c>
      <c r="E247" s="153" t="s">
        <v>837</v>
      </c>
      <c r="F247" s="151">
        <f t="shared" si="27"/>
        <v>10</v>
      </c>
      <c r="G247" s="151" t="str">
        <f t="shared" si="28"/>
        <v>1.1.10</v>
      </c>
      <c r="H247" s="156" t="s">
        <v>1684</v>
      </c>
      <c r="I247" s="159" t="s">
        <v>940</v>
      </c>
      <c r="J247" s="159" t="s">
        <v>943</v>
      </c>
      <c r="K247" s="159" t="s">
        <v>841</v>
      </c>
      <c r="L247" s="160">
        <v>0</v>
      </c>
      <c r="M247" s="161"/>
      <c r="N247" s="161"/>
      <c r="O247" s="164">
        <f t="shared" si="23"/>
        <v>0</v>
      </c>
      <c r="P247" s="161">
        <v>20</v>
      </c>
      <c r="Q247" s="161">
        <v>0.5</v>
      </c>
      <c r="R247" s="164">
        <f>$L247*'Pivot Objective'!$C$9*P247*Q247</f>
        <v>0</v>
      </c>
      <c r="S247" s="161">
        <v>0</v>
      </c>
      <c r="T247" s="161">
        <v>0</v>
      </c>
      <c r="U247" s="164">
        <f>($L247*'Pivot Objective'!$C$9^2)*S247*T247</f>
        <v>0</v>
      </c>
      <c r="V247" s="161">
        <v>0</v>
      </c>
      <c r="W247" s="161">
        <v>0</v>
      </c>
      <c r="X247" s="164">
        <f>($L247*'Pivot Objective'!$C$9^3)*V247*W247</f>
        <v>0</v>
      </c>
      <c r="Y247" s="161">
        <v>0</v>
      </c>
      <c r="Z247" s="161">
        <v>0</v>
      </c>
      <c r="AA247" s="164">
        <f>($L247*'Pivot Objective'!$C$9^4)*Y247*Z247</f>
        <v>0</v>
      </c>
      <c r="AB247" s="161">
        <v>20</v>
      </c>
      <c r="AC247" s="161">
        <v>0.5</v>
      </c>
      <c r="AD247" s="164">
        <f>($L247*'Pivot Objective'!$C$9^5)*AB247*AC247</f>
        <v>0</v>
      </c>
      <c r="AE247" s="151"/>
      <c r="AF247" s="151"/>
      <c r="AG247" s="164">
        <f>($L247*'Pivot Objective'!$C$9^6)*AE247*AF247</f>
        <v>0</v>
      </c>
      <c r="AH247" s="151"/>
      <c r="AI247" s="151"/>
      <c r="AJ247" s="164">
        <f>($L247*'Pivot Objective'!$C$9^7)*AH247*AI247</f>
        <v>0</v>
      </c>
      <c r="AK247" s="185">
        <f t="shared" si="24"/>
        <v>0</v>
      </c>
      <c r="AL247" s="186">
        <f t="shared" si="25"/>
        <v>0</v>
      </c>
    </row>
    <row r="248" spans="1:38" ht="57.6" x14ac:dyDescent="0.3">
      <c r="A248" s="151" t="s">
        <v>1440</v>
      </c>
      <c r="B248" s="151">
        <v>1</v>
      </c>
      <c r="C248" s="152" t="s">
        <v>836</v>
      </c>
      <c r="D248" s="151" t="str">
        <f t="shared" si="26"/>
        <v>1</v>
      </c>
      <c r="E248" s="153" t="s">
        <v>837</v>
      </c>
      <c r="F248" s="151">
        <f t="shared" si="27"/>
        <v>10</v>
      </c>
      <c r="G248" s="151" t="str">
        <f t="shared" si="28"/>
        <v>1.1.10</v>
      </c>
      <c r="H248" s="156" t="s">
        <v>1684</v>
      </c>
      <c r="I248" s="159" t="s">
        <v>940</v>
      </c>
      <c r="J248" s="159" t="s">
        <v>944</v>
      </c>
      <c r="K248" s="159" t="s">
        <v>709</v>
      </c>
      <c r="L248" s="160">
        <v>35000</v>
      </c>
      <c r="M248" s="161"/>
      <c r="N248" s="161"/>
      <c r="O248" s="164">
        <f t="shared" si="23"/>
        <v>0</v>
      </c>
      <c r="P248" s="161">
        <v>100</v>
      </c>
      <c r="Q248" s="161">
        <v>1</v>
      </c>
      <c r="R248" s="164">
        <f>$L248*'Pivot Objective'!$C$9*P248*Q248</f>
        <v>4000223.8394999993</v>
      </c>
      <c r="S248" s="161">
        <v>0</v>
      </c>
      <c r="T248" s="161">
        <v>0</v>
      </c>
      <c r="U248" s="164">
        <f>($L248*'Pivot Objective'!$C$9^2)*S248*T248</f>
        <v>0</v>
      </c>
      <c r="V248" s="161">
        <v>0</v>
      </c>
      <c r="W248" s="161">
        <v>0</v>
      </c>
      <c r="X248" s="164">
        <f>($L248*'Pivot Objective'!$C$9^3)*V248*W248</f>
        <v>0</v>
      </c>
      <c r="Y248" s="161">
        <v>0</v>
      </c>
      <c r="Z248" s="161">
        <v>0</v>
      </c>
      <c r="AA248" s="164">
        <f>($L248*'Pivot Objective'!$C$9^4)*Y248*Z248</f>
        <v>0</v>
      </c>
      <c r="AB248" s="161">
        <v>100</v>
      </c>
      <c r="AC248" s="161">
        <v>1</v>
      </c>
      <c r="AD248" s="164">
        <f>($L248*'Pivot Objective'!$C$9^5)*AB248*AC248</f>
        <v>6825732.9221386546</v>
      </c>
      <c r="AE248" s="151"/>
      <c r="AF248" s="151"/>
      <c r="AG248" s="164">
        <f>($L248*'Pivot Objective'!$C$9^6)*AE248*AF248</f>
        <v>0</v>
      </c>
      <c r="AH248" s="151"/>
      <c r="AI248" s="151"/>
      <c r="AJ248" s="164">
        <f>($L248*'Pivot Objective'!$C$9^7)*AH248*AI248</f>
        <v>0</v>
      </c>
      <c r="AK248" s="185">
        <f t="shared" si="24"/>
        <v>10825956.761638654</v>
      </c>
      <c r="AL248" s="186">
        <f t="shared" si="25"/>
        <v>10510.637632658887</v>
      </c>
    </row>
    <row r="249" spans="1:38" ht="57.6" x14ac:dyDescent="0.3">
      <c r="A249" s="151" t="s">
        <v>1440</v>
      </c>
      <c r="B249" s="151">
        <v>1</v>
      </c>
      <c r="C249" s="152" t="s">
        <v>836</v>
      </c>
      <c r="D249" s="151" t="str">
        <f t="shared" si="26"/>
        <v>1</v>
      </c>
      <c r="E249" s="153" t="s">
        <v>837</v>
      </c>
      <c r="F249" s="151">
        <f t="shared" si="27"/>
        <v>10</v>
      </c>
      <c r="G249" s="151" t="str">
        <f t="shared" si="28"/>
        <v>1.1.10</v>
      </c>
      <c r="H249" s="156" t="s">
        <v>1684</v>
      </c>
      <c r="I249" s="159" t="s">
        <v>940</v>
      </c>
      <c r="J249" s="159" t="s">
        <v>944</v>
      </c>
      <c r="K249" s="159" t="s">
        <v>716</v>
      </c>
      <c r="L249" s="160">
        <v>39000</v>
      </c>
      <c r="M249" s="161"/>
      <c r="N249" s="161"/>
      <c r="O249" s="164">
        <f t="shared" si="23"/>
        <v>0</v>
      </c>
      <c r="P249" s="161">
        <v>58</v>
      </c>
      <c r="Q249" s="161">
        <v>1</v>
      </c>
      <c r="R249" s="164">
        <f>$L249*'Pivot Objective'!$C$9*P249*Q249</f>
        <v>2585287.5214139996</v>
      </c>
      <c r="S249" s="161">
        <v>0</v>
      </c>
      <c r="T249" s="161">
        <v>0</v>
      </c>
      <c r="U249" s="164">
        <f>($L249*'Pivot Objective'!$C$9^2)*S249*T249</f>
        <v>0</v>
      </c>
      <c r="V249" s="161">
        <v>0</v>
      </c>
      <c r="W249" s="161">
        <v>0</v>
      </c>
      <c r="X249" s="164">
        <f>($L249*'Pivot Objective'!$C$9^3)*V249*W249</f>
        <v>0</v>
      </c>
      <c r="Y249" s="161">
        <v>0</v>
      </c>
      <c r="Z249" s="161">
        <v>0</v>
      </c>
      <c r="AA249" s="164">
        <f>($L249*'Pivot Objective'!$C$9^4)*Y249*Z249</f>
        <v>0</v>
      </c>
      <c r="AB249" s="161">
        <v>58</v>
      </c>
      <c r="AC249" s="161">
        <v>1</v>
      </c>
      <c r="AD249" s="164">
        <f>($L249*'Pivot Objective'!$C$9^5)*AB249*AC249</f>
        <v>4411373.6771078967</v>
      </c>
      <c r="AE249" s="151"/>
      <c r="AF249" s="151"/>
      <c r="AG249" s="164">
        <f>($L249*'Pivot Objective'!$C$9^6)*AE249*AF249</f>
        <v>0</v>
      </c>
      <c r="AH249" s="151"/>
      <c r="AI249" s="151"/>
      <c r="AJ249" s="164">
        <f>($L249*'Pivot Objective'!$C$9^7)*AH249*AI249</f>
        <v>0</v>
      </c>
      <c r="AK249" s="185">
        <f t="shared" si="24"/>
        <v>6996661.1985218963</v>
      </c>
      <c r="AL249" s="186">
        <f t="shared" si="25"/>
        <v>6792.8749500212589</v>
      </c>
    </row>
    <row r="250" spans="1:38" ht="57.6" x14ac:dyDescent="0.3">
      <c r="A250" s="151" t="s">
        <v>1440</v>
      </c>
      <c r="B250" s="151">
        <v>1</v>
      </c>
      <c r="C250" s="152" t="s">
        <v>836</v>
      </c>
      <c r="D250" s="151" t="str">
        <f t="shared" si="26"/>
        <v>1</v>
      </c>
      <c r="E250" s="153" t="s">
        <v>837</v>
      </c>
      <c r="F250" s="151">
        <f t="shared" si="27"/>
        <v>10</v>
      </c>
      <c r="G250" s="151" t="str">
        <f t="shared" si="28"/>
        <v>1.1.10</v>
      </c>
      <c r="H250" s="156" t="s">
        <v>1684</v>
      </c>
      <c r="I250" s="159" t="s">
        <v>940</v>
      </c>
      <c r="J250" s="159" t="s">
        <v>944</v>
      </c>
      <c r="K250" s="159" t="s">
        <v>1297</v>
      </c>
      <c r="L250" s="160">
        <v>8000</v>
      </c>
      <c r="M250" s="161"/>
      <c r="N250" s="161"/>
      <c r="O250" s="164">
        <f t="shared" si="23"/>
        <v>0</v>
      </c>
      <c r="P250" s="161">
        <v>10</v>
      </c>
      <c r="Q250" s="161">
        <v>1</v>
      </c>
      <c r="R250" s="164">
        <f>$L250*'Pivot Objective'!$C$9*P250*Q250</f>
        <v>91433.687760000001</v>
      </c>
      <c r="S250" s="161">
        <v>0</v>
      </c>
      <c r="T250" s="161">
        <v>0</v>
      </c>
      <c r="U250" s="164">
        <f>($L250*'Pivot Objective'!$C$9^2)*S250*T250</f>
        <v>0</v>
      </c>
      <c r="V250" s="161">
        <v>0</v>
      </c>
      <c r="W250" s="161">
        <v>0</v>
      </c>
      <c r="X250" s="164">
        <f>($L250*'Pivot Objective'!$C$9^3)*V250*W250</f>
        <v>0</v>
      </c>
      <c r="Y250" s="161">
        <v>0</v>
      </c>
      <c r="Z250" s="161">
        <v>0</v>
      </c>
      <c r="AA250" s="164">
        <f>($L250*'Pivot Objective'!$C$9^4)*Y250*Z250</f>
        <v>0</v>
      </c>
      <c r="AB250" s="161">
        <v>10</v>
      </c>
      <c r="AC250" s="161">
        <v>1</v>
      </c>
      <c r="AD250" s="164">
        <f>($L250*'Pivot Objective'!$C$9^5)*AB250*AC250</f>
        <v>156016.75250602642</v>
      </c>
      <c r="AE250" s="151"/>
      <c r="AF250" s="151"/>
      <c r="AG250" s="164">
        <f>($L250*'Pivot Objective'!$C$9^6)*AE250*AF250</f>
        <v>0</v>
      </c>
      <c r="AH250" s="151"/>
      <c r="AI250" s="151"/>
      <c r="AJ250" s="164">
        <f>($L250*'Pivot Objective'!$C$9^7)*AH250*AI250</f>
        <v>0</v>
      </c>
      <c r="AK250" s="185">
        <f t="shared" si="24"/>
        <v>247450.44026602642</v>
      </c>
      <c r="AL250" s="186">
        <f t="shared" si="25"/>
        <v>240.24314588934604</v>
      </c>
    </row>
    <row r="251" spans="1:38" ht="57.6" x14ac:dyDescent="0.3">
      <c r="A251" s="151" t="s">
        <v>1440</v>
      </c>
      <c r="B251" s="151">
        <v>1</v>
      </c>
      <c r="C251" s="152" t="s">
        <v>836</v>
      </c>
      <c r="D251" s="151" t="str">
        <f t="shared" si="26"/>
        <v>1</v>
      </c>
      <c r="E251" s="153" t="s">
        <v>837</v>
      </c>
      <c r="F251" s="151">
        <f t="shared" si="27"/>
        <v>10</v>
      </c>
      <c r="G251" s="151" t="str">
        <f t="shared" si="28"/>
        <v>1.1.10</v>
      </c>
      <c r="H251" s="156" t="s">
        <v>1684</v>
      </c>
      <c r="I251" s="159" t="s">
        <v>940</v>
      </c>
      <c r="J251" s="159" t="s">
        <v>944</v>
      </c>
      <c r="K251" s="159" t="s">
        <v>710</v>
      </c>
      <c r="L251" s="160">
        <v>104850</v>
      </c>
      <c r="M251" s="161"/>
      <c r="N251" s="161"/>
      <c r="O251" s="164">
        <f t="shared" si="23"/>
        <v>0</v>
      </c>
      <c r="P251" s="161">
        <v>1</v>
      </c>
      <c r="Q251" s="161">
        <v>1</v>
      </c>
      <c r="R251" s="164">
        <f>$L251*'Pivot Objective'!$C$9*P251*Q251</f>
        <v>119835.27702044998</v>
      </c>
      <c r="S251" s="161">
        <v>0</v>
      </c>
      <c r="T251" s="161">
        <v>0</v>
      </c>
      <c r="U251" s="164">
        <f>($L251*'Pivot Objective'!$C$9^2)*S251*T251</f>
        <v>0</v>
      </c>
      <c r="V251" s="161">
        <v>0</v>
      </c>
      <c r="W251" s="161">
        <v>0</v>
      </c>
      <c r="X251" s="164">
        <f>($L251*'Pivot Objective'!$C$9^3)*V251*W251</f>
        <v>0</v>
      </c>
      <c r="Y251" s="161">
        <v>0</v>
      </c>
      <c r="Z251" s="161">
        <v>0</v>
      </c>
      <c r="AA251" s="164">
        <f>($L251*'Pivot Objective'!$C$9^4)*Y251*Z251</f>
        <v>0</v>
      </c>
      <c r="AB251" s="161">
        <v>1</v>
      </c>
      <c r="AC251" s="161">
        <v>1</v>
      </c>
      <c r="AD251" s="164">
        <f>($L251*'Pivot Objective'!$C$9^5)*AB251*AC251</f>
        <v>204479.45625321087</v>
      </c>
      <c r="AE251" s="151"/>
      <c r="AF251" s="151"/>
      <c r="AG251" s="164">
        <f>($L251*'Pivot Objective'!$C$9^6)*AE251*AF251</f>
        <v>0</v>
      </c>
      <c r="AH251" s="151"/>
      <c r="AI251" s="151"/>
      <c r="AJ251" s="164">
        <f>($L251*'Pivot Objective'!$C$9^7)*AH251*AI251</f>
        <v>0</v>
      </c>
      <c r="AK251" s="185">
        <f t="shared" si="24"/>
        <v>324314.73327366088</v>
      </c>
      <c r="AL251" s="186">
        <f t="shared" si="25"/>
        <v>314.86867308122413</v>
      </c>
    </row>
    <row r="252" spans="1:38" ht="57.6" x14ac:dyDescent="0.3">
      <c r="A252" s="151" t="s">
        <v>1440</v>
      </c>
      <c r="B252" s="151">
        <v>1</v>
      </c>
      <c r="C252" s="152" t="s">
        <v>836</v>
      </c>
      <c r="D252" s="151" t="str">
        <f t="shared" si="26"/>
        <v>1</v>
      </c>
      <c r="E252" s="153" t="s">
        <v>837</v>
      </c>
      <c r="F252" s="151">
        <f t="shared" si="27"/>
        <v>10</v>
      </c>
      <c r="G252" s="151" t="str">
        <f t="shared" si="28"/>
        <v>1.1.10</v>
      </c>
      <c r="H252" s="156" t="s">
        <v>1684</v>
      </c>
      <c r="I252" s="159" t="s">
        <v>940</v>
      </c>
      <c r="J252" s="159" t="s">
        <v>944</v>
      </c>
      <c r="K252" s="159" t="s">
        <v>712</v>
      </c>
      <c r="L252" s="160">
        <f>1999/7</f>
        <v>285.57142857142856</v>
      </c>
      <c r="M252" s="161"/>
      <c r="N252" s="161"/>
      <c r="O252" s="164">
        <f t="shared" si="23"/>
        <v>0</v>
      </c>
      <c r="P252" s="161">
        <f>25*2*29</f>
        <v>1450</v>
      </c>
      <c r="Q252" s="161">
        <v>1</v>
      </c>
      <c r="R252" s="164">
        <f>$L252*'Pivot Objective'!$C$9*P252*Q252</f>
        <v>473259.13510133565</v>
      </c>
      <c r="S252" s="161">
        <v>0</v>
      </c>
      <c r="T252" s="161">
        <v>0</v>
      </c>
      <c r="U252" s="164">
        <f>($L252*'Pivot Objective'!$C$9^2)*S252*T252</f>
        <v>0</v>
      </c>
      <c r="V252" s="161">
        <v>0</v>
      </c>
      <c r="W252" s="161">
        <v>0</v>
      </c>
      <c r="X252" s="164">
        <f>($L252*'Pivot Objective'!$C$9^3)*V252*W252</f>
        <v>0</v>
      </c>
      <c r="Y252" s="161">
        <v>0</v>
      </c>
      <c r="Z252" s="161">
        <v>0</v>
      </c>
      <c r="AA252" s="164">
        <f>($L252*'Pivot Objective'!$C$9^4)*Y252*Z252</f>
        <v>0</v>
      </c>
      <c r="AB252" s="161">
        <f>25*2*29</f>
        <v>1450</v>
      </c>
      <c r="AC252" s="161">
        <v>1</v>
      </c>
      <c r="AD252" s="164">
        <f>($L252*'Pivot Objective'!$C$9^5)*AB252*AC252</f>
        <v>807539.92495775502</v>
      </c>
      <c r="AE252" s="151"/>
      <c r="AF252" s="151"/>
      <c r="AG252" s="164">
        <f>($L252*'Pivot Objective'!$C$9^6)*AE252*AF252</f>
        <v>0</v>
      </c>
      <c r="AH252" s="151"/>
      <c r="AI252" s="151"/>
      <c r="AJ252" s="164">
        <f>($L252*'Pivot Objective'!$C$9^7)*AH252*AI252</f>
        <v>0</v>
      </c>
      <c r="AK252" s="185">
        <f t="shared" si="24"/>
        <v>1280799.0600590906</v>
      </c>
      <c r="AL252" s="186">
        <f t="shared" si="25"/>
        <v>1243.4942330670783</v>
      </c>
    </row>
    <row r="253" spans="1:38" ht="57.6" x14ac:dyDescent="0.3">
      <c r="A253" s="151" t="s">
        <v>1440</v>
      </c>
      <c r="B253" s="151">
        <v>1</v>
      </c>
      <c r="C253" s="152" t="s">
        <v>836</v>
      </c>
      <c r="D253" s="151" t="str">
        <f t="shared" si="26"/>
        <v>1</v>
      </c>
      <c r="E253" s="153" t="s">
        <v>837</v>
      </c>
      <c r="F253" s="151">
        <f t="shared" si="27"/>
        <v>10</v>
      </c>
      <c r="G253" s="151" t="str">
        <f t="shared" si="28"/>
        <v>1.1.10</v>
      </c>
      <c r="H253" s="156" t="s">
        <v>1684</v>
      </c>
      <c r="I253" s="159" t="s">
        <v>940</v>
      </c>
      <c r="J253" s="159" t="s">
        <v>944</v>
      </c>
      <c r="K253" s="159" t="s">
        <v>1299</v>
      </c>
      <c r="L253" s="160">
        <f>1999/7</f>
        <v>285.57142857142856</v>
      </c>
      <c r="M253" s="161"/>
      <c r="N253" s="161"/>
      <c r="O253" s="164">
        <f t="shared" si="23"/>
        <v>0</v>
      </c>
      <c r="P253" s="161">
        <f>2*135*9</f>
        <v>2430</v>
      </c>
      <c r="Q253" s="161">
        <v>1</v>
      </c>
      <c r="R253" s="164">
        <f>$L253*'Pivot Objective'!$C$9*P253*Q253</f>
        <v>793117.0333077556</v>
      </c>
      <c r="S253" s="161"/>
      <c r="T253" s="161"/>
      <c r="U253" s="164">
        <f>($L253*'Pivot Objective'!$C$9^2)*S253*T253</f>
        <v>0</v>
      </c>
      <c r="V253" s="161"/>
      <c r="W253" s="161"/>
      <c r="X253" s="164">
        <f>($L253*'Pivot Objective'!$C$9^3)*V253*W253</f>
        <v>0</v>
      </c>
      <c r="Y253" s="161"/>
      <c r="Z253" s="161"/>
      <c r="AA253" s="164">
        <f>($L253*'Pivot Objective'!$C$9^4)*Y253*Z253</f>
        <v>0</v>
      </c>
      <c r="AB253" s="161">
        <f>2*135*9</f>
        <v>2430</v>
      </c>
      <c r="AC253" s="161">
        <v>1</v>
      </c>
      <c r="AD253" s="164">
        <f>($L253*'Pivot Objective'!$C$9^5)*AB253*AC253</f>
        <v>1353325.5294119618</v>
      </c>
      <c r="AE253" s="151"/>
      <c r="AF253" s="151"/>
      <c r="AG253" s="164">
        <f>($L253*'Pivot Objective'!$C$9^6)*AE253*AF253</f>
        <v>0</v>
      </c>
      <c r="AH253" s="151"/>
      <c r="AI253" s="151"/>
      <c r="AJ253" s="164">
        <f>($L253*'Pivot Objective'!$C$9^7)*AH253*AI253</f>
        <v>0</v>
      </c>
      <c r="AK253" s="185">
        <f t="shared" si="24"/>
        <v>2146442.5627197176</v>
      </c>
      <c r="AL253" s="186">
        <f t="shared" si="25"/>
        <v>2083.9248181744833</v>
      </c>
    </row>
    <row r="254" spans="1:38" ht="57.6" x14ac:dyDescent="0.3">
      <c r="A254" s="151" t="s">
        <v>1440</v>
      </c>
      <c r="B254" s="151">
        <v>1</v>
      </c>
      <c r="C254" s="152" t="s">
        <v>836</v>
      </c>
      <c r="D254" s="151" t="str">
        <f t="shared" si="26"/>
        <v>1</v>
      </c>
      <c r="E254" s="153" t="s">
        <v>837</v>
      </c>
      <c r="F254" s="151">
        <f t="shared" si="27"/>
        <v>10</v>
      </c>
      <c r="G254" s="151" t="str">
        <f t="shared" si="28"/>
        <v>1.1.10</v>
      </c>
      <c r="H254" s="156" t="s">
        <v>1684</v>
      </c>
      <c r="I254" s="159" t="s">
        <v>940</v>
      </c>
      <c r="J254" s="159" t="s">
        <v>945</v>
      </c>
      <c r="K254" s="159" t="s">
        <v>841</v>
      </c>
      <c r="L254" s="160">
        <v>0</v>
      </c>
      <c r="M254" s="161"/>
      <c r="N254" s="161"/>
      <c r="O254" s="164">
        <f t="shared" si="23"/>
        <v>0</v>
      </c>
      <c r="P254" s="161">
        <v>20000</v>
      </c>
      <c r="Q254" s="161">
        <v>1</v>
      </c>
      <c r="R254" s="164">
        <f>$L254*'Pivot Objective'!$C$9*P254*Q254</f>
        <v>0</v>
      </c>
      <c r="S254" s="161">
        <v>0</v>
      </c>
      <c r="T254" s="161">
        <v>0</v>
      </c>
      <c r="U254" s="164">
        <f>($L254*'Pivot Objective'!$C$9^2)*S254*T254</f>
        <v>0</v>
      </c>
      <c r="V254" s="161">
        <v>0</v>
      </c>
      <c r="W254" s="161">
        <v>0</v>
      </c>
      <c r="X254" s="164">
        <f>($L254*'Pivot Objective'!$C$9^3)*V254*W254</f>
        <v>0</v>
      </c>
      <c r="Y254" s="161">
        <v>0</v>
      </c>
      <c r="Z254" s="161">
        <v>0</v>
      </c>
      <c r="AA254" s="164">
        <f>($L254*'Pivot Objective'!$C$9^4)*Y254*Z254</f>
        <v>0</v>
      </c>
      <c r="AB254" s="161">
        <v>20000</v>
      </c>
      <c r="AC254" s="161">
        <v>1</v>
      </c>
      <c r="AD254" s="164">
        <f>($L254*'Pivot Objective'!$C$9^5)*AB254*AC254</f>
        <v>0</v>
      </c>
      <c r="AE254" s="151"/>
      <c r="AF254" s="151"/>
      <c r="AG254" s="164">
        <f>($L254*'Pivot Objective'!$C$9^6)*AE254*AF254</f>
        <v>0</v>
      </c>
      <c r="AH254" s="151"/>
      <c r="AI254" s="151"/>
      <c r="AJ254" s="164">
        <f>($L254*'Pivot Objective'!$C$9^7)*AH254*AI254</f>
        <v>0</v>
      </c>
      <c r="AK254" s="185">
        <f t="shared" si="24"/>
        <v>0</v>
      </c>
      <c r="AL254" s="186">
        <f t="shared" si="25"/>
        <v>0</v>
      </c>
    </row>
    <row r="255" spans="1:38" ht="57.6" x14ac:dyDescent="0.3">
      <c r="A255" s="151" t="s">
        <v>1440</v>
      </c>
      <c r="B255" s="151">
        <v>1</v>
      </c>
      <c r="C255" s="152" t="s">
        <v>836</v>
      </c>
      <c r="D255" s="151" t="str">
        <f t="shared" si="26"/>
        <v>1</v>
      </c>
      <c r="E255" s="153" t="s">
        <v>837</v>
      </c>
      <c r="F255" s="151">
        <f t="shared" si="27"/>
        <v>10</v>
      </c>
      <c r="G255" s="151" t="str">
        <f t="shared" si="28"/>
        <v>1.1.10</v>
      </c>
      <c r="H255" s="156" t="s">
        <v>1684</v>
      </c>
      <c r="I255" s="159" t="s">
        <v>946</v>
      </c>
      <c r="J255" s="159" t="s">
        <v>947</v>
      </c>
      <c r="K255" s="159" t="s">
        <v>841</v>
      </c>
      <c r="L255" s="160">
        <v>0</v>
      </c>
      <c r="M255" s="161">
        <v>0</v>
      </c>
      <c r="N255" s="161">
        <v>0</v>
      </c>
      <c r="O255" s="164">
        <f t="shared" si="23"/>
        <v>0</v>
      </c>
      <c r="P255" s="161">
        <v>0</v>
      </c>
      <c r="Q255" s="161">
        <v>0</v>
      </c>
      <c r="R255" s="164">
        <f>$L255*'Pivot Objective'!$C$9*P255*Q255</f>
        <v>0</v>
      </c>
      <c r="S255" s="161">
        <v>0</v>
      </c>
      <c r="T255" s="161">
        <v>0</v>
      </c>
      <c r="U255" s="164">
        <f>($L255*'Pivot Objective'!$C$9^2)*S255*T255</f>
        <v>0</v>
      </c>
      <c r="V255" s="161">
        <v>0</v>
      </c>
      <c r="W255" s="161">
        <v>0</v>
      </c>
      <c r="X255" s="164">
        <f>($L255*'Pivot Objective'!$C$9^3)*V255*W255</f>
        <v>0</v>
      </c>
      <c r="Y255" s="161">
        <v>0</v>
      </c>
      <c r="Z255" s="161">
        <v>0</v>
      </c>
      <c r="AA255" s="164">
        <f>($L255*'Pivot Objective'!$C$9^4)*Y255*Z255</f>
        <v>0</v>
      </c>
      <c r="AB255" s="151"/>
      <c r="AC255" s="151"/>
      <c r="AD255" s="164">
        <f>($L255*'Pivot Objective'!$C$9^5)*AB255*AC255</f>
        <v>0</v>
      </c>
      <c r="AE255" s="151"/>
      <c r="AF255" s="151"/>
      <c r="AG255" s="164">
        <f>($L255*'Pivot Objective'!$C$9^6)*AE255*AF255</f>
        <v>0</v>
      </c>
      <c r="AH255" s="151"/>
      <c r="AI255" s="151"/>
      <c r="AJ255" s="164">
        <f>($L255*'Pivot Objective'!$C$9^7)*AH255*AI255</f>
        <v>0</v>
      </c>
      <c r="AK255" s="185">
        <f t="shared" si="24"/>
        <v>0</v>
      </c>
      <c r="AL255" s="186">
        <f t="shared" si="25"/>
        <v>0</v>
      </c>
    </row>
    <row r="256" spans="1:38" ht="57.6" x14ac:dyDescent="0.3">
      <c r="A256" s="151" t="s">
        <v>1440</v>
      </c>
      <c r="B256" s="151">
        <v>1</v>
      </c>
      <c r="C256" s="152" t="s">
        <v>836</v>
      </c>
      <c r="D256" s="151" t="str">
        <f t="shared" si="26"/>
        <v>1</v>
      </c>
      <c r="E256" s="153" t="s">
        <v>837</v>
      </c>
      <c r="F256" s="151">
        <f t="shared" si="27"/>
        <v>11</v>
      </c>
      <c r="G256" s="151" t="str">
        <f t="shared" si="28"/>
        <v>1.1.11</v>
      </c>
      <c r="H256" s="156" t="s">
        <v>1685</v>
      </c>
      <c r="I256" s="159" t="s">
        <v>949</v>
      </c>
      <c r="J256" s="159" t="s">
        <v>950</v>
      </c>
      <c r="K256" s="159" t="s">
        <v>841</v>
      </c>
      <c r="L256" s="160">
        <v>0</v>
      </c>
      <c r="M256" s="161"/>
      <c r="N256" s="161"/>
      <c r="O256" s="164">
        <f t="shared" si="23"/>
        <v>0</v>
      </c>
      <c r="P256" s="161">
        <v>0</v>
      </c>
      <c r="Q256" s="161">
        <v>0</v>
      </c>
      <c r="R256" s="164">
        <f>$L256*'Pivot Objective'!$C$9*P256*Q256</f>
        <v>0</v>
      </c>
      <c r="S256" s="161">
        <v>0</v>
      </c>
      <c r="T256" s="161">
        <v>0</v>
      </c>
      <c r="U256" s="164">
        <f>($L256*'Pivot Objective'!$C$9^2)*S256*T256</f>
        <v>0</v>
      </c>
      <c r="V256" s="161">
        <v>0</v>
      </c>
      <c r="W256" s="161">
        <v>0</v>
      </c>
      <c r="X256" s="164">
        <f>($L256*'Pivot Objective'!$C$9^3)*V256*W256</f>
        <v>0</v>
      </c>
      <c r="Y256" s="161">
        <v>0</v>
      </c>
      <c r="Z256" s="161">
        <v>0</v>
      </c>
      <c r="AA256" s="164">
        <f>($L256*'Pivot Objective'!$C$9^4)*Y256*Z256</f>
        <v>0</v>
      </c>
      <c r="AB256" s="151"/>
      <c r="AC256" s="151"/>
      <c r="AD256" s="164">
        <f>($L256*'Pivot Objective'!$C$9^5)*AB256*AC256</f>
        <v>0</v>
      </c>
      <c r="AE256" s="151"/>
      <c r="AF256" s="151"/>
      <c r="AG256" s="164">
        <f>($L256*'Pivot Objective'!$C$9^6)*AE256*AF256</f>
        <v>0</v>
      </c>
      <c r="AH256" s="151"/>
      <c r="AI256" s="151"/>
      <c r="AJ256" s="164">
        <f>($L256*'Pivot Objective'!$C$9^7)*AH256*AI256</f>
        <v>0</v>
      </c>
      <c r="AK256" s="185">
        <f t="shared" si="24"/>
        <v>0</v>
      </c>
      <c r="AL256" s="186">
        <f t="shared" si="25"/>
        <v>0</v>
      </c>
    </row>
    <row r="257" spans="1:38" ht="57.6" x14ac:dyDescent="0.3">
      <c r="A257" s="151" t="s">
        <v>1440</v>
      </c>
      <c r="B257" s="151">
        <v>1</v>
      </c>
      <c r="C257" s="152" t="s">
        <v>836</v>
      </c>
      <c r="D257" s="151" t="str">
        <f t="shared" si="26"/>
        <v>1</v>
      </c>
      <c r="E257" s="153" t="s">
        <v>837</v>
      </c>
      <c r="F257" s="151">
        <f t="shared" si="27"/>
        <v>11</v>
      </c>
      <c r="G257" s="151" t="str">
        <f t="shared" si="28"/>
        <v>1.1.11</v>
      </c>
      <c r="H257" s="156" t="s">
        <v>1685</v>
      </c>
      <c r="I257" s="159" t="s">
        <v>949</v>
      </c>
      <c r="J257" s="159" t="s">
        <v>951</v>
      </c>
      <c r="K257" s="159" t="s">
        <v>841</v>
      </c>
      <c r="L257" s="160">
        <v>0</v>
      </c>
      <c r="M257" s="161"/>
      <c r="N257" s="161"/>
      <c r="O257" s="164">
        <f t="shared" si="23"/>
        <v>0</v>
      </c>
      <c r="P257" s="161">
        <v>0</v>
      </c>
      <c r="Q257" s="161">
        <v>0</v>
      </c>
      <c r="R257" s="164">
        <f>$L257*'Pivot Objective'!$C$9*P257*Q257</f>
        <v>0</v>
      </c>
      <c r="S257" s="161">
        <v>0</v>
      </c>
      <c r="T257" s="161">
        <v>0</v>
      </c>
      <c r="U257" s="164">
        <f>($L257*'Pivot Objective'!$C$9^2)*S257*T257</f>
        <v>0</v>
      </c>
      <c r="V257" s="161">
        <v>0</v>
      </c>
      <c r="W257" s="161">
        <v>0</v>
      </c>
      <c r="X257" s="164">
        <f>($L257*'Pivot Objective'!$C$9^3)*V257*W257</f>
        <v>0</v>
      </c>
      <c r="Y257" s="161">
        <v>0</v>
      </c>
      <c r="Z257" s="161">
        <v>0</v>
      </c>
      <c r="AA257" s="164">
        <f>($L257*'Pivot Objective'!$C$9^4)*Y257*Z257</f>
        <v>0</v>
      </c>
      <c r="AB257" s="151"/>
      <c r="AC257" s="151"/>
      <c r="AD257" s="164">
        <f>($L257*'Pivot Objective'!$C$9^5)*AB257*AC257</f>
        <v>0</v>
      </c>
      <c r="AE257" s="151"/>
      <c r="AF257" s="151"/>
      <c r="AG257" s="164">
        <f>($L257*'Pivot Objective'!$C$9^6)*AE257*AF257</f>
        <v>0</v>
      </c>
      <c r="AH257" s="151"/>
      <c r="AI257" s="151"/>
      <c r="AJ257" s="164">
        <f>($L257*'Pivot Objective'!$C$9^7)*AH257*AI257</f>
        <v>0</v>
      </c>
      <c r="AK257" s="185">
        <f t="shared" si="24"/>
        <v>0</v>
      </c>
      <c r="AL257" s="186">
        <f t="shared" si="25"/>
        <v>0</v>
      </c>
    </row>
    <row r="258" spans="1:38" ht="57.6" x14ac:dyDescent="0.3">
      <c r="A258" s="151" t="s">
        <v>1440</v>
      </c>
      <c r="B258" s="151">
        <v>1</v>
      </c>
      <c r="C258" s="152" t="s">
        <v>836</v>
      </c>
      <c r="D258" s="151" t="str">
        <f t="shared" si="26"/>
        <v>1</v>
      </c>
      <c r="E258" s="153" t="s">
        <v>837</v>
      </c>
      <c r="F258" s="151">
        <f t="shared" si="27"/>
        <v>11</v>
      </c>
      <c r="G258" s="151" t="str">
        <f t="shared" si="28"/>
        <v>1.1.11</v>
      </c>
      <c r="H258" s="156" t="s">
        <v>1685</v>
      </c>
      <c r="I258" s="159" t="s">
        <v>949</v>
      </c>
      <c r="J258" s="159" t="s">
        <v>952</v>
      </c>
      <c r="K258" s="159" t="s">
        <v>719</v>
      </c>
      <c r="L258" s="160">
        <v>286576.30000000005</v>
      </c>
      <c r="M258" s="161"/>
      <c r="N258" s="161"/>
      <c r="O258" s="164">
        <f t="shared" si="23"/>
        <v>0</v>
      </c>
      <c r="P258" s="161">
        <v>0</v>
      </c>
      <c r="Q258" s="161">
        <v>0</v>
      </c>
      <c r="R258" s="164">
        <f>$L258*'Pivot Objective'!$C$9*P258*Q258</f>
        <v>0</v>
      </c>
      <c r="S258" s="161">
        <v>10</v>
      </c>
      <c r="T258" s="161">
        <v>7</v>
      </c>
      <c r="U258" s="164">
        <f>($L258*'Pivot Objective'!$C$9^2)*S258*T258</f>
        <v>26204194.234995913</v>
      </c>
      <c r="V258" s="161">
        <v>0</v>
      </c>
      <c r="W258" s="161">
        <v>0</v>
      </c>
      <c r="X258" s="164">
        <f>($L258*'Pivot Objective'!$C$9^3)*V258*W258</f>
        <v>0</v>
      </c>
      <c r="Y258" s="161">
        <v>0</v>
      </c>
      <c r="Z258" s="161">
        <v>0</v>
      </c>
      <c r="AA258" s="164">
        <f>($L258*'Pivot Objective'!$C$9^4)*Y258*Z258</f>
        <v>0</v>
      </c>
      <c r="AB258" s="151"/>
      <c r="AC258" s="151"/>
      <c r="AD258" s="164">
        <f>($L258*'Pivot Objective'!$C$9^5)*AB258*AC258</f>
        <v>0</v>
      </c>
      <c r="AE258" s="151"/>
      <c r="AF258" s="151"/>
      <c r="AG258" s="164">
        <f>($L258*'Pivot Objective'!$C$9^6)*AE258*AF258</f>
        <v>0</v>
      </c>
      <c r="AH258" s="151"/>
      <c r="AI258" s="151"/>
      <c r="AJ258" s="164">
        <f>($L258*'Pivot Objective'!$C$9^7)*AH258*AI258</f>
        <v>0</v>
      </c>
      <c r="AK258" s="185">
        <f t="shared" si="24"/>
        <v>26204194.234995913</v>
      </c>
      <c r="AL258" s="186">
        <f t="shared" si="25"/>
        <v>25440.96527669506</v>
      </c>
    </row>
    <row r="259" spans="1:38" ht="57.6" x14ac:dyDescent="0.3">
      <c r="A259" s="151" t="s">
        <v>1440</v>
      </c>
      <c r="B259" s="151">
        <v>1</v>
      </c>
      <c r="C259" s="152" t="s">
        <v>836</v>
      </c>
      <c r="D259" s="151" t="str">
        <f t="shared" si="26"/>
        <v>1</v>
      </c>
      <c r="E259" s="153" t="s">
        <v>837</v>
      </c>
      <c r="F259" s="151">
        <f t="shared" si="27"/>
        <v>11</v>
      </c>
      <c r="G259" s="151" t="str">
        <f t="shared" si="28"/>
        <v>1.1.11</v>
      </c>
      <c r="H259" s="156" t="s">
        <v>1685</v>
      </c>
      <c r="I259" s="159" t="s">
        <v>949</v>
      </c>
      <c r="J259" s="159" t="s">
        <v>952</v>
      </c>
      <c r="K259" s="159" t="s">
        <v>953</v>
      </c>
      <c r="L259" s="160">
        <v>639585</v>
      </c>
      <c r="M259" s="161"/>
      <c r="N259" s="161"/>
      <c r="O259" s="164">
        <f t="shared" ref="O259:O322" si="31">$L259*M259*N259</f>
        <v>0</v>
      </c>
      <c r="P259" s="161">
        <v>5</v>
      </c>
      <c r="Q259" s="161">
        <v>5</v>
      </c>
      <c r="R259" s="164">
        <f>$L259*'Pivot Objective'!$C$9*P259*Q259</f>
        <v>18274879.745618623</v>
      </c>
      <c r="S259" s="161">
        <v>10</v>
      </c>
      <c r="T259" s="161">
        <v>7</v>
      </c>
      <c r="U259" s="164">
        <f>($L259*'Pivot Objective'!$C$9^2)*S259*T259</f>
        <v>58482887.697935455</v>
      </c>
      <c r="V259" s="161">
        <v>0</v>
      </c>
      <c r="W259" s="161">
        <v>0</v>
      </c>
      <c r="X259" s="164">
        <f>($L259*'Pivot Objective'!$C$9^3)*V259*W259</f>
        <v>0</v>
      </c>
      <c r="Y259" s="161">
        <v>0</v>
      </c>
      <c r="Z259" s="161">
        <v>0</v>
      </c>
      <c r="AA259" s="164">
        <f>($L259*'Pivot Objective'!$C$9^4)*Y259*Z259</f>
        <v>0</v>
      </c>
      <c r="AB259" s="151"/>
      <c r="AC259" s="151"/>
      <c r="AD259" s="164">
        <f>($L259*'Pivot Objective'!$C$9^5)*AB259*AC259</f>
        <v>0</v>
      </c>
      <c r="AE259" s="151"/>
      <c r="AF259" s="151"/>
      <c r="AG259" s="164">
        <f>($L259*'Pivot Objective'!$C$9^6)*AE259*AF259</f>
        <v>0</v>
      </c>
      <c r="AH259" s="151"/>
      <c r="AI259" s="151"/>
      <c r="AJ259" s="164">
        <f>($L259*'Pivot Objective'!$C$9^7)*AH259*AI259</f>
        <v>0</v>
      </c>
      <c r="AK259" s="185">
        <f t="shared" ref="AK259:AK322" si="32">O259+R259+U259+X259+AA259+AD259+AG259+AJ259</f>
        <v>76757767.443554074</v>
      </c>
      <c r="AL259" s="186">
        <f t="shared" ref="AL259:AL322" si="33">AK259/$AP$2</f>
        <v>74522.104314130163</v>
      </c>
    </row>
    <row r="260" spans="1:38" ht="57.6" x14ac:dyDescent="0.3">
      <c r="A260" s="151" t="s">
        <v>1440</v>
      </c>
      <c r="B260" s="151">
        <v>1</v>
      </c>
      <c r="C260" s="152" t="s">
        <v>836</v>
      </c>
      <c r="D260" s="151" t="str">
        <f t="shared" si="26"/>
        <v>1</v>
      </c>
      <c r="E260" s="153" t="s">
        <v>837</v>
      </c>
      <c r="F260" s="151">
        <f t="shared" si="27"/>
        <v>11</v>
      </c>
      <c r="G260" s="151" t="str">
        <f t="shared" si="28"/>
        <v>1.1.11</v>
      </c>
      <c r="H260" s="156" t="s">
        <v>1685</v>
      </c>
      <c r="I260" s="159" t="s">
        <v>949</v>
      </c>
      <c r="J260" s="159" t="s">
        <v>954</v>
      </c>
      <c r="K260" s="159" t="s">
        <v>841</v>
      </c>
      <c r="L260" s="160">
        <v>0</v>
      </c>
      <c r="M260" s="161"/>
      <c r="N260" s="161"/>
      <c r="O260" s="164">
        <f t="shared" si="31"/>
        <v>0</v>
      </c>
      <c r="P260" s="161">
        <v>5</v>
      </c>
      <c r="Q260" s="161">
        <v>1</v>
      </c>
      <c r="R260" s="164">
        <f>$L260*'Pivot Objective'!$C$9*P260*Q260</f>
        <v>0</v>
      </c>
      <c r="S260" s="161">
        <v>0</v>
      </c>
      <c r="T260" s="161">
        <v>0</v>
      </c>
      <c r="U260" s="164">
        <f>($L260*'Pivot Objective'!$C$9^2)*S260*T260</f>
        <v>0</v>
      </c>
      <c r="V260" s="161">
        <v>0</v>
      </c>
      <c r="W260" s="161">
        <v>0</v>
      </c>
      <c r="X260" s="164">
        <f>($L260*'Pivot Objective'!$C$9^3)*V260*W260</f>
        <v>0</v>
      </c>
      <c r="Y260" s="161">
        <v>0</v>
      </c>
      <c r="Z260" s="161">
        <v>0</v>
      </c>
      <c r="AA260" s="164">
        <f>($L260*'Pivot Objective'!$C$9^4)*Y260*Z260</f>
        <v>0</v>
      </c>
      <c r="AB260" s="151"/>
      <c r="AC260" s="151"/>
      <c r="AD260" s="164">
        <f>($L260*'Pivot Objective'!$C$9^5)*AB260*AC260</f>
        <v>0</v>
      </c>
      <c r="AE260" s="151"/>
      <c r="AF260" s="151"/>
      <c r="AG260" s="164">
        <f>($L260*'Pivot Objective'!$C$9^6)*AE260*AF260</f>
        <v>0</v>
      </c>
      <c r="AH260" s="151"/>
      <c r="AI260" s="151"/>
      <c r="AJ260" s="164">
        <f>($L260*'Pivot Objective'!$C$9^7)*AH260*AI260</f>
        <v>0</v>
      </c>
      <c r="AK260" s="185">
        <f t="shared" si="32"/>
        <v>0</v>
      </c>
      <c r="AL260" s="186">
        <f t="shared" si="33"/>
        <v>0</v>
      </c>
    </row>
    <row r="261" spans="1:38" ht="57.6" x14ac:dyDescent="0.3">
      <c r="A261" s="151" t="s">
        <v>1440</v>
      </c>
      <c r="B261" s="151">
        <v>1</v>
      </c>
      <c r="C261" s="152" t="s">
        <v>836</v>
      </c>
      <c r="D261" s="151" t="str">
        <f t="shared" si="26"/>
        <v>1</v>
      </c>
      <c r="E261" s="153" t="s">
        <v>837</v>
      </c>
      <c r="F261" s="151">
        <f t="shared" si="27"/>
        <v>11</v>
      </c>
      <c r="G261" s="151" t="str">
        <f t="shared" si="28"/>
        <v>1.1.11</v>
      </c>
      <c r="H261" s="156" t="s">
        <v>1685</v>
      </c>
      <c r="I261" s="159" t="s">
        <v>955</v>
      </c>
      <c r="J261" s="159" t="s">
        <v>956</v>
      </c>
      <c r="K261" s="159" t="s">
        <v>709</v>
      </c>
      <c r="L261" s="160">
        <v>35000</v>
      </c>
      <c r="M261" s="161"/>
      <c r="N261" s="161"/>
      <c r="O261" s="164">
        <f t="shared" si="31"/>
        <v>0</v>
      </c>
      <c r="P261" s="161">
        <v>0</v>
      </c>
      <c r="Q261" s="161">
        <v>0</v>
      </c>
      <c r="R261" s="164">
        <f>$L261*'Pivot Objective'!$C$9*P261*Q261</f>
        <v>0</v>
      </c>
      <c r="S261" s="161">
        <v>30</v>
      </c>
      <c r="T261" s="161">
        <v>5</v>
      </c>
      <c r="U261" s="164">
        <f>($L261*'Pivot Objective'!$C$9^2)*S261*T261</f>
        <v>6857910.3283303361</v>
      </c>
      <c r="V261" s="161">
        <v>0</v>
      </c>
      <c r="W261" s="161">
        <v>0</v>
      </c>
      <c r="X261" s="164">
        <f>($L261*'Pivot Objective'!$C$9^3)*V261*W261</f>
        <v>0</v>
      </c>
      <c r="Y261" s="161">
        <v>0</v>
      </c>
      <c r="Z261" s="161">
        <v>0</v>
      </c>
      <c r="AA261" s="164">
        <f>($L261*'Pivot Objective'!$C$9^4)*Y261*Z261</f>
        <v>0</v>
      </c>
      <c r="AB261" s="151"/>
      <c r="AC261" s="151"/>
      <c r="AD261" s="164">
        <f>($L261*'Pivot Objective'!$C$9^5)*AB261*AC261</f>
        <v>0</v>
      </c>
      <c r="AE261" s="151"/>
      <c r="AF261" s="151"/>
      <c r="AG261" s="164">
        <f>($L261*'Pivot Objective'!$C$9^6)*AE261*AF261</f>
        <v>0</v>
      </c>
      <c r="AH261" s="151"/>
      <c r="AI261" s="151"/>
      <c r="AJ261" s="164">
        <f>($L261*'Pivot Objective'!$C$9^7)*AH261*AI261</f>
        <v>0</v>
      </c>
      <c r="AK261" s="185">
        <f t="shared" si="32"/>
        <v>6857910.3283303361</v>
      </c>
      <c r="AL261" s="186">
        <f t="shared" si="33"/>
        <v>6658.1653673110059</v>
      </c>
    </row>
    <row r="262" spans="1:38" ht="57.6" x14ac:dyDescent="0.3">
      <c r="A262" s="151" t="s">
        <v>1440</v>
      </c>
      <c r="B262" s="151">
        <v>1</v>
      </c>
      <c r="C262" s="152" t="s">
        <v>836</v>
      </c>
      <c r="D262" s="151" t="str">
        <f t="shared" si="26"/>
        <v>1</v>
      </c>
      <c r="E262" s="153" t="s">
        <v>837</v>
      </c>
      <c r="F262" s="151">
        <f t="shared" si="27"/>
        <v>11</v>
      </c>
      <c r="G262" s="151" t="str">
        <f t="shared" si="28"/>
        <v>1.1.11</v>
      </c>
      <c r="H262" s="156" t="s">
        <v>1685</v>
      </c>
      <c r="I262" s="159" t="s">
        <v>955</v>
      </c>
      <c r="J262" s="159" t="s">
        <v>956</v>
      </c>
      <c r="K262" s="159" t="s">
        <v>716</v>
      </c>
      <c r="L262" s="160">
        <v>39000</v>
      </c>
      <c r="M262" s="161"/>
      <c r="N262" s="161"/>
      <c r="O262" s="164">
        <f t="shared" si="31"/>
        <v>0</v>
      </c>
      <c r="P262" s="161">
        <v>0</v>
      </c>
      <c r="Q262" s="161">
        <v>0</v>
      </c>
      <c r="R262" s="164">
        <f>$L262*'Pivot Objective'!$C$9*P262*Q262</f>
        <v>0</v>
      </c>
      <c r="S262" s="161">
        <v>30</v>
      </c>
      <c r="T262" s="161">
        <v>6</v>
      </c>
      <c r="U262" s="164">
        <f>($L262*'Pivot Objective'!$C$9^2)*S262*T262</f>
        <v>9170005.8104531355</v>
      </c>
      <c r="V262" s="161">
        <v>0</v>
      </c>
      <c r="W262" s="161">
        <v>0</v>
      </c>
      <c r="X262" s="164">
        <f>($L262*'Pivot Objective'!$C$9^3)*V262*W262</f>
        <v>0</v>
      </c>
      <c r="Y262" s="161">
        <v>0</v>
      </c>
      <c r="Z262" s="161">
        <v>0</v>
      </c>
      <c r="AA262" s="164">
        <f>($L262*'Pivot Objective'!$C$9^4)*Y262*Z262</f>
        <v>0</v>
      </c>
      <c r="AB262" s="151"/>
      <c r="AC262" s="151"/>
      <c r="AD262" s="164">
        <f>($L262*'Pivot Objective'!$C$9^5)*AB262*AC262</f>
        <v>0</v>
      </c>
      <c r="AE262" s="151"/>
      <c r="AF262" s="151"/>
      <c r="AG262" s="164">
        <f>($L262*'Pivot Objective'!$C$9^6)*AE262*AF262</f>
        <v>0</v>
      </c>
      <c r="AH262" s="151"/>
      <c r="AI262" s="151"/>
      <c r="AJ262" s="164">
        <f>($L262*'Pivot Objective'!$C$9^7)*AH262*AI262</f>
        <v>0</v>
      </c>
      <c r="AK262" s="185">
        <f t="shared" si="32"/>
        <v>9170005.8104531355</v>
      </c>
      <c r="AL262" s="186">
        <f t="shared" si="33"/>
        <v>8902.9182625758604</v>
      </c>
    </row>
    <row r="263" spans="1:38" ht="57.6" x14ac:dyDescent="0.3">
      <c r="A263" s="151" t="s">
        <v>1440</v>
      </c>
      <c r="B263" s="151">
        <v>1</v>
      </c>
      <c r="C263" s="152" t="s">
        <v>836</v>
      </c>
      <c r="D263" s="151" t="str">
        <f t="shared" si="26"/>
        <v>1</v>
      </c>
      <c r="E263" s="153" t="s">
        <v>837</v>
      </c>
      <c r="F263" s="151">
        <f t="shared" si="27"/>
        <v>11</v>
      </c>
      <c r="G263" s="151" t="str">
        <f t="shared" si="28"/>
        <v>1.1.11</v>
      </c>
      <c r="H263" s="156" t="s">
        <v>1685</v>
      </c>
      <c r="I263" s="159" t="s">
        <v>955</v>
      </c>
      <c r="J263" s="159" t="s">
        <v>956</v>
      </c>
      <c r="K263" s="159" t="s">
        <v>712</v>
      </c>
      <c r="L263" s="160">
        <f>1999/7</f>
        <v>285.57142857142856</v>
      </c>
      <c r="M263" s="161"/>
      <c r="N263" s="161"/>
      <c r="O263" s="164">
        <f t="shared" si="31"/>
        <v>0</v>
      </c>
      <c r="P263" s="161">
        <v>0</v>
      </c>
      <c r="Q263" s="161">
        <v>0</v>
      </c>
      <c r="R263" s="164">
        <f>$L263*'Pivot Objective'!$C$9*P263*Q263</f>
        <v>0</v>
      </c>
      <c r="S263" s="161">
        <f>25*2*9</f>
        <v>450</v>
      </c>
      <c r="T263" s="161">
        <v>5</v>
      </c>
      <c r="U263" s="164">
        <f>($L263*'Pivot Objective'!$C$9^2)*S263*T263</f>
        <v>839324.24977544951</v>
      </c>
      <c r="V263" s="161">
        <v>0</v>
      </c>
      <c r="W263" s="161">
        <v>0</v>
      </c>
      <c r="X263" s="164">
        <f>($L263*'Pivot Objective'!$C$9^3)*V263*W263</f>
        <v>0</v>
      </c>
      <c r="Y263" s="161">
        <v>0</v>
      </c>
      <c r="Z263" s="161">
        <v>0</v>
      </c>
      <c r="AA263" s="164">
        <f>($L263*'Pivot Objective'!$C$9^4)*Y263*Z263</f>
        <v>0</v>
      </c>
      <c r="AB263" s="151"/>
      <c r="AC263" s="151"/>
      <c r="AD263" s="164">
        <f>($L263*'Pivot Objective'!$C$9^5)*AB263*AC263</f>
        <v>0</v>
      </c>
      <c r="AE263" s="151"/>
      <c r="AF263" s="151"/>
      <c r="AG263" s="164">
        <f>($L263*'Pivot Objective'!$C$9^6)*AE263*AF263</f>
        <v>0</v>
      </c>
      <c r="AH263" s="151"/>
      <c r="AI263" s="151"/>
      <c r="AJ263" s="164">
        <f>($L263*'Pivot Objective'!$C$9^7)*AH263*AI263</f>
        <v>0</v>
      </c>
      <c r="AK263" s="185">
        <f t="shared" si="32"/>
        <v>839324.24977544951</v>
      </c>
      <c r="AL263" s="186">
        <f t="shared" si="33"/>
        <v>814.877912403349</v>
      </c>
    </row>
    <row r="264" spans="1:38" ht="57.6" x14ac:dyDescent="0.3">
      <c r="A264" s="151" t="s">
        <v>1440</v>
      </c>
      <c r="B264" s="151">
        <v>1</v>
      </c>
      <c r="C264" s="152" t="s">
        <v>836</v>
      </c>
      <c r="D264" s="151" t="str">
        <f t="shared" si="26"/>
        <v>1</v>
      </c>
      <c r="E264" s="153" t="s">
        <v>837</v>
      </c>
      <c r="F264" s="151">
        <f t="shared" si="27"/>
        <v>11</v>
      </c>
      <c r="G264" s="151" t="str">
        <f t="shared" si="28"/>
        <v>1.1.11</v>
      </c>
      <c r="H264" s="156" t="s">
        <v>1685</v>
      </c>
      <c r="I264" s="159" t="s">
        <v>955</v>
      </c>
      <c r="J264" s="159" t="s">
        <v>956</v>
      </c>
      <c r="K264" s="159" t="s">
        <v>1299</v>
      </c>
      <c r="L264" s="160">
        <f>1999/7</f>
        <v>285.57142857142856</v>
      </c>
      <c r="M264" s="161"/>
      <c r="N264" s="161"/>
      <c r="O264" s="164">
        <f t="shared" si="31"/>
        <v>0</v>
      </c>
      <c r="P264" s="161"/>
      <c r="Q264" s="161"/>
      <c r="R264" s="164">
        <f>$L264*'Pivot Objective'!$C$9*P264*Q264</f>
        <v>0</v>
      </c>
      <c r="S264" s="161">
        <f>2*135*9</f>
        <v>2430</v>
      </c>
      <c r="T264" s="161">
        <v>1</v>
      </c>
      <c r="U264" s="164">
        <f>($L264*'Pivot Objective'!$C$9^2)*S264*T264</f>
        <v>906470.18975748552</v>
      </c>
      <c r="V264" s="161"/>
      <c r="W264" s="161"/>
      <c r="X264" s="164">
        <f>($L264*'Pivot Objective'!$C$9^3)*V264*W264</f>
        <v>0</v>
      </c>
      <c r="Y264" s="161"/>
      <c r="Z264" s="161"/>
      <c r="AA264" s="164">
        <f>($L264*'Pivot Objective'!$C$9^4)*Y264*Z264</f>
        <v>0</v>
      </c>
      <c r="AB264" s="151"/>
      <c r="AC264" s="151"/>
      <c r="AD264" s="164">
        <f>($L264*'Pivot Objective'!$C$9^5)*AB264*AC264</f>
        <v>0</v>
      </c>
      <c r="AE264" s="151"/>
      <c r="AF264" s="151"/>
      <c r="AG264" s="164">
        <f>($L264*'Pivot Objective'!$C$9^6)*AE264*AF264</f>
        <v>0</v>
      </c>
      <c r="AH264" s="151"/>
      <c r="AI264" s="151"/>
      <c r="AJ264" s="164">
        <f>($L264*'Pivot Objective'!$C$9^7)*AH264*AI264</f>
        <v>0</v>
      </c>
      <c r="AK264" s="185">
        <f t="shared" si="32"/>
        <v>906470.18975748552</v>
      </c>
      <c r="AL264" s="186">
        <f t="shared" si="33"/>
        <v>880.06814539561697</v>
      </c>
    </row>
    <row r="265" spans="1:38" ht="57.6" x14ac:dyDescent="0.3">
      <c r="A265" s="151" t="s">
        <v>1440</v>
      </c>
      <c r="B265" s="151">
        <v>1</v>
      </c>
      <c r="C265" s="152" t="s">
        <v>836</v>
      </c>
      <c r="D265" s="151" t="str">
        <f t="shared" si="26"/>
        <v>1</v>
      </c>
      <c r="E265" s="153" t="s">
        <v>837</v>
      </c>
      <c r="F265" s="151">
        <f t="shared" si="27"/>
        <v>11</v>
      </c>
      <c r="G265" s="151" t="str">
        <f t="shared" si="28"/>
        <v>1.1.11</v>
      </c>
      <c r="H265" s="156" t="s">
        <v>1685</v>
      </c>
      <c r="I265" s="159" t="s">
        <v>955</v>
      </c>
      <c r="J265" s="159" t="s">
        <v>166</v>
      </c>
      <c r="K265" s="159" t="s">
        <v>709</v>
      </c>
      <c r="L265" s="160">
        <v>35000</v>
      </c>
      <c r="M265" s="161"/>
      <c r="N265" s="161"/>
      <c r="O265" s="164">
        <f t="shared" si="31"/>
        <v>0</v>
      </c>
      <c r="P265" s="161">
        <v>0</v>
      </c>
      <c r="Q265" s="161">
        <v>0</v>
      </c>
      <c r="R265" s="164">
        <f>$L265*'Pivot Objective'!$C$9*P265*Q265</f>
        <v>0</v>
      </c>
      <c r="S265" s="161">
        <v>30</v>
      </c>
      <c r="T265" s="161">
        <v>1</v>
      </c>
      <c r="U265" s="164">
        <f>($L265*'Pivot Objective'!$C$9^2)*S265*T265</f>
        <v>1371582.0656660672</v>
      </c>
      <c r="V265" s="161">
        <v>0</v>
      </c>
      <c r="W265" s="161">
        <v>0</v>
      </c>
      <c r="X265" s="164">
        <f>($L265*'Pivot Objective'!$C$9^3)*V265*W265</f>
        <v>0</v>
      </c>
      <c r="Y265" s="161">
        <v>0</v>
      </c>
      <c r="Z265" s="161">
        <v>0</v>
      </c>
      <c r="AA265" s="164">
        <f>($L265*'Pivot Objective'!$C$9^4)*Y265*Z265</f>
        <v>0</v>
      </c>
      <c r="AB265" s="151"/>
      <c r="AC265" s="151"/>
      <c r="AD265" s="164">
        <f>($L265*'Pivot Objective'!$C$9^5)*AB265*AC265</f>
        <v>0</v>
      </c>
      <c r="AE265" s="151"/>
      <c r="AF265" s="151"/>
      <c r="AG265" s="164">
        <f>($L265*'Pivot Objective'!$C$9^6)*AE265*AF265</f>
        <v>0</v>
      </c>
      <c r="AH265" s="151"/>
      <c r="AI265" s="151"/>
      <c r="AJ265" s="164">
        <f>($L265*'Pivot Objective'!$C$9^7)*AH265*AI265</f>
        <v>0</v>
      </c>
      <c r="AK265" s="185">
        <f t="shared" si="32"/>
        <v>1371582.0656660672</v>
      </c>
      <c r="AL265" s="186">
        <f t="shared" si="33"/>
        <v>1331.6330734622011</v>
      </c>
    </row>
    <row r="266" spans="1:38" ht="57.6" x14ac:dyDescent="0.3">
      <c r="A266" s="151" t="s">
        <v>1440</v>
      </c>
      <c r="B266" s="151">
        <v>1</v>
      </c>
      <c r="C266" s="152" t="s">
        <v>836</v>
      </c>
      <c r="D266" s="151" t="str">
        <f t="shared" si="26"/>
        <v>1</v>
      </c>
      <c r="E266" s="153" t="s">
        <v>837</v>
      </c>
      <c r="F266" s="151">
        <f t="shared" si="27"/>
        <v>11</v>
      </c>
      <c r="G266" s="151" t="str">
        <f t="shared" si="28"/>
        <v>1.1.11</v>
      </c>
      <c r="H266" s="156" t="s">
        <v>1685</v>
      </c>
      <c r="I266" s="159" t="s">
        <v>955</v>
      </c>
      <c r="J266" s="159" t="s">
        <v>957</v>
      </c>
      <c r="K266" s="159" t="s">
        <v>841</v>
      </c>
      <c r="L266" s="160">
        <v>0</v>
      </c>
      <c r="M266" s="161"/>
      <c r="N266" s="161"/>
      <c r="O266" s="164">
        <f t="shared" si="31"/>
        <v>0</v>
      </c>
      <c r="P266" s="161">
        <v>0</v>
      </c>
      <c r="Q266" s="161">
        <v>0</v>
      </c>
      <c r="R266" s="164">
        <f>$L266*'Pivot Objective'!$C$9*P266*Q266</f>
        <v>0</v>
      </c>
      <c r="S266" s="161">
        <v>0</v>
      </c>
      <c r="T266" s="161">
        <v>0</v>
      </c>
      <c r="U266" s="164">
        <f>($L266*'Pivot Objective'!$C$9^2)*S266*T266</f>
        <v>0</v>
      </c>
      <c r="V266" s="161">
        <v>0</v>
      </c>
      <c r="W266" s="161">
        <v>0</v>
      </c>
      <c r="X266" s="164">
        <f>($L266*'Pivot Objective'!$C$9^3)*V266*W266</f>
        <v>0</v>
      </c>
      <c r="Y266" s="161">
        <v>0</v>
      </c>
      <c r="Z266" s="161">
        <v>0</v>
      </c>
      <c r="AA266" s="164">
        <f>($L266*'Pivot Objective'!$C$9^4)*Y266*Z266</f>
        <v>0</v>
      </c>
      <c r="AB266" s="151"/>
      <c r="AC266" s="151"/>
      <c r="AD266" s="164">
        <f>($L266*'Pivot Objective'!$C$9^5)*AB266*AC266</f>
        <v>0</v>
      </c>
      <c r="AE266" s="151"/>
      <c r="AF266" s="151"/>
      <c r="AG266" s="164">
        <f>($L266*'Pivot Objective'!$C$9^6)*AE266*AF266</f>
        <v>0</v>
      </c>
      <c r="AH266" s="151"/>
      <c r="AI266" s="151"/>
      <c r="AJ266" s="164">
        <f>($L266*'Pivot Objective'!$C$9^7)*AH266*AI266</f>
        <v>0</v>
      </c>
      <c r="AK266" s="185">
        <f t="shared" si="32"/>
        <v>0</v>
      </c>
      <c r="AL266" s="186">
        <f t="shared" si="33"/>
        <v>0</v>
      </c>
    </row>
    <row r="267" spans="1:38" ht="57.6" x14ac:dyDescent="0.3">
      <c r="A267" s="151" t="s">
        <v>1440</v>
      </c>
      <c r="B267" s="151">
        <v>1</v>
      </c>
      <c r="C267" s="152" t="s">
        <v>836</v>
      </c>
      <c r="D267" s="151" t="str">
        <f t="shared" si="26"/>
        <v>1</v>
      </c>
      <c r="E267" s="153" t="s">
        <v>837</v>
      </c>
      <c r="F267" s="151">
        <f t="shared" si="27"/>
        <v>11</v>
      </c>
      <c r="G267" s="151" t="str">
        <f t="shared" si="28"/>
        <v>1.1.11</v>
      </c>
      <c r="H267" s="156" t="s">
        <v>1685</v>
      </c>
      <c r="I267" s="159" t="s">
        <v>955</v>
      </c>
      <c r="J267" s="159" t="s">
        <v>958</v>
      </c>
      <c r="K267" s="159" t="s">
        <v>709</v>
      </c>
      <c r="L267" s="160">
        <v>35000</v>
      </c>
      <c r="M267" s="161"/>
      <c r="N267" s="161"/>
      <c r="O267" s="164">
        <f t="shared" si="31"/>
        <v>0</v>
      </c>
      <c r="P267" s="161">
        <v>0</v>
      </c>
      <c r="Q267" s="161">
        <v>0</v>
      </c>
      <c r="R267" s="164">
        <f>$L267*'Pivot Objective'!$C$9*P267*Q267</f>
        <v>0</v>
      </c>
      <c r="S267" s="161">
        <v>100</v>
      </c>
      <c r="T267" s="161">
        <v>1</v>
      </c>
      <c r="U267" s="164">
        <f>($L267*'Pivot Objective'!$C$9^2)*S267*T267</f>
        <v>4571940.2188868914</v>
      </c>
      <c r="V267" s="161">
        <v>0</v>
      </c>
      <c r="W267" s="161">
        <v>0</v>
      </c>
      <c r="X267" s="164">
        <f>($L267*'Pivot Objective'!$C$9^3)*V267*W267</f>
        <v>0</v>
      </c>
      <c r="Y267" s="161">
        <v>0</v>
      </c>
      <c r="Z267" s="161">
        <v>0</v>
      </c>
      <c r="AA267" s="164">
        <f>($L267*'Pivot Objective'!$C$9^4)*Y267*Z267</f>
        <v>0</v>
      </c>
      <c r="AB267" s="151"/>
      <c r="AC267" s="151"/>
      <c r="AD267" s="164">
        <f>($L267*'Pivot Objective'!$C$9^5)*AB267*AC267</f>
        <v>0</v>
      </c>
      <c r="AE267" s="151"/>
      <c r="AF267" s="151"/>
      <c r="AG267" s="164">
        <f>($L267*'Pivot Objective'!$C$9^6)*AE267*AF267</f>
        <v>0</v>
      </c>
      <c r="AH267" s="151"/>
      <c r="AI267" s="151"/>
      <c r="AJ267" s="164">
        <f>($L267*'Pivot Objective'!$C$9^7)*AH267*AI267</f>
        <v>0</v>
      </c>
      <c r="AK267" s="185">
        <f t="shared" si="32"/>
        <v>4571940.2188868914</v>
      </c>
      <c r="AL267" s="186">
        <f t="shared" si="33"/>
        <v>4438.7769115406709</v>
      </c>
    </row>
    <row r="268" spans="1:38" ht="57.6" x14ac:dyDescent="0.3">
      <c r="A268" s="151" t="s">
        <v>1440</v>
      </c>
      <c r="B268" s="151">
        <v>1</v>
      </c>
      <c r="C268" s="152" t="s">
        <v>836</v>
      </c>
      <c r="D268" s="151" t="str">
        <f t="shared" si="26"/>
        <v>1</v>
      </c>
      <c r="E268" s="153" t="s">
        <v>837</v>
      </c>
      <c r="F268" s="151">
        <f t="shared" si="27"/>
        <v>11</v>
      </c>
      <c r="G268" s="151" t="str">
        <f t="shared" si="28"/>
        <v>1.1.11</v>
      </c>
      <c r="H268" s="156" t="s">
        <v>1685</v>
      </c>
      <c r="I268" s="159" t="s">
        <v>955</v>
      </c>
      <c r="J268" s="159" t="s">
        <v>958</v>
      </c>
      <c r="K268" s="159" t="s">
        <v>716</v>
      </c>
      <c r="L268" s="160">
        <v>39000</v>
      </c>
      <c r="M268" s="161"/>
      <c r="N268" s="161"/>
      <c r="O268" s="164">
        <f t="shared" si="31"/>
        <v>0</v>
      </c>
      <c r="P268" s="161">
        <v>0</v>
      </c>
      <c r="Q268" s="161">
        <v>0</v>
      </c>
      <c r="R268" s="164">
        <f>$L268*'Pivot Objective'!$C$9*P268*Q268</f>
        <v>0</v>
      </c>
      <c r="S268" s="161">
        <v>58</v>
      </c>
      <c r="T268" s="161">
        <v>2</v>
      </c>
      <c r="U268" s="164">
        <f>($L268*'Pivot Objective'!$C$9^2)*S268*T268</f>
        <v>5909559.3000697987</v>
      </c>
      <c r="V268" s="161">
        <v>0</v>
      </c>
      <c r="W268" s="161">
        <v>0</v>
      </c>
      <c r="X268" s="164">
        <f>($L268*'Pivot Objective'!$C$9^3)*V268*W268</f>
        <v>0</v>
      </c>
      <c r="Y268" s="161">
        <v>0</v>
      </c>
      <c r="Z268" s="161">
        <v>0</v>
      </c>
      <c r="AA268" s="164">
        <f>($L268*'Pivot Objective'!$C$9^4)*Y268*Z268</f>
        <v>0</v>
      </c>
      <c r="AB268" s="151"/>
      <c r="AC268" s="151"/>
      <c r="AD268" s="164">
        <f>($L268*'Pivot Objective'!$C$9^5)*AB268*AC268</f>
        <v>0</v>
      </c>
      <c r="AE268" s="151"/>
      <c r="AF268" s="151"/>
      <c r="AG268" s="164">
        <f>($L268*'Pivot Objective'!$C$9^6)*AE268*AF268</f>
        <v>0</v>
      </c>
      <c r="AH268" s="151"/>
      <c r="AI268" s="151"/>
      <c r="AJ268" s="164">
        <f>($L268*'Pivot Objective'!$C$9^7)*AH268*AI268</f>
        <v>0</v>
      </c>
      <c r="AK268" s="185">
        <f t="shared" si="32"/>
        <v>5909559.3000697987</v>
      </c>
      <c r="AL268" s="186">
        <f t="shared" si="33"/>
        <v>5737.4362136599984</v>
      </c>
    </row>
    <row r="269" spans="1:38" ht="57.6" x14ac:dyDescent="0.3">
      <c r="A269" s="151" t="s">
        <v>1440</v>
      </c>
      <c r="B269" s="151">
        <v>1</v>
      </c>
      <c r="C269" s="152" t="s">
        <v>836</v>
      </c>
      <c r="D269" s="151" t="str">
        <f t="shared" si="26"/>
        <v>1</v>
      </c>
      <c r="E269" s="153" t="s">
        <v>837</v>
      </c>
      <c r="F269" s="151">
        <f t="shared" si="27"/>
        <v>11</v>
      </c>
      <c r="G269" s="151" t="str">
        <f t="shared" si="28"/>
        <v>1.1.11</v>
      </c>
      <c r="H269" s="156" t="s">
        <v>1685</v>
      </c>
      <c r="I269" s="159" t="s">
        <v>955</v>
      </c>
      <c r="J269" s="159" t="s">
        <v>958</v>
      </c>
      <c r="K269" s="159" t="s">
        <v>712</v>
      </c>
      <c r="L269" s="160">
        <f>1999/7</f>
        <v>285.57142857142856</v>
      </c>
      <c r="M269" s="161"/>
      <c r="N269" s="161"/>
      <c r="O269" s="164">
        <f t="shared" si="31"/>
        <v>0</v>
      </c>
      <c r="P269" s="161">
        <v>0</v>
      </c>
      <c r="Q269" s="161">
        <v>0</v>
      </c>
      <c r="R269" s="164">
        <f>$L269*'Pivot Objective'!$C$9*P269*Q269</f>
        <v>0</v>
      </c>
      <c r="S269" s="161">
        <f>25*2*29</f>
        <v>1450</v>
      </c>
      <c r="T269" s="161">
        <v>1</v>
      </c>
      <c r="U269" s="164">
        <f>($L269*'Pivot Objective'!$C$9^2)*S269*T269</f>
        <v>540897.84985528968</v>
      </c>
      <c r="V269" s="161">
        <v>0</v>
      </c>
      <c r="W269" s="161">
        <v>0</v>
      </c>
      <c r="X269" s="164">
        <f>($L269*'Pivot Objective'!$C$9^3)*V269*W269</f>
        <v>0</v>
      </c>
      <c r="Y269" s="161">
        <v>0</v>
      </c>
      <c r="Z269" s="161">
        <v>0</v>
      </c>
      <c r="AA269" s="164">
        <f>($L269*'Pivot Objective'!$C$9^4)*Y269*Z269</f>
        <v>0</v>
      </c>
      <c r="AB269" s="151"/>
      <c r="AC269" s="151"/>
      <c r="AD269" s="164">
        <f>($L269*'Pivot Objective'!$C$9^5)*AB269*AC269</f>
        <v>0</v>
      </c>
      <c r="AE269" s="151"/>
      <c r="AF269" s="151"/>
      <c r="AG269" s="164">
        <f>($L269*'Pivot Objective'!$C$9^6)*AE269*AF269</f>
        <v>0</v>
      </c>
      <c r="AH269" s="151"/>
      <c r="AI269" s="151"/>
      <c r="AJ269" s="164">
        <f>($L269*'Pivot Objective'!$C$9^7)*AH269*AI269</f>
        <v>0</v>
      </c>
      <c r="AK269" s="185">
        <f t="shared" si="32"/>
        <v>540897.84985528968</v>
      </c>
      <c r="AL269" s="186">
        <f t="shared" si="33"/>
        <v>525.14354354882494</v>
      </c>
    </row>
    <row r="270" spans="1:38" ht="57.6" x14ac:dyDescent="0.3">
      <c r="A270" s="151" t="s">
        <v>1440</v>
      </c>
      <c r="B270" s="151">
        <v>1</v>
      </c>
      <c r="C270" s="152" t="s">
        <v>836</v>
      </c>
      <c r="D270" s="151" t="str">
        <f t="shared" si="26"/>
        <v>1</v>
      </c>
      <c r="E270" s="153" t="s">
        <v>837</v>
      </c>
      <c r="F270" s="151">
        <f t="shared" si="27"/>
        <v>11</v>
      </c>
      <c r="G270" s="151" t="str">
        <f t="shared" si="28"/>
        <v>1.1.11</v>
      </c>
      <c r="H270" s="156" t="s">
        <v>1685</v>
      </c>
      <c r="I270" s="159" t="s">
        <v>955</v>
      </c>
      <c r="J270" s="159" t="s">
        <v>958</v>
      </c>
      <c r="K270" s="159" t="s">
        <v>1297</v>
      </c>
      <c r="L270" s="160">
        <v>8000</v>
      </c>
      <c r="M270" s="161"/>
      <c r="N270" s="161"/>
      <c r="O270" s="164">
        <f t="shared" si="31"/>
        <v>0</v>
      </c>
      <c r="P270" s="161">
        <v>0</v>
      </c>
      <c r="Q270" s="161">
        <v>0</v>
      </c>
      <c r="R270" s="164">
        <f>$L270*'Pivot Objective'!$C$9*P270*Q270</f>
        <v>0</v>
      </c>
      <c r="S270" s="161">
        <v>10</v>
      </c>
      <c r="T270" s="161">
        <v>1</v>
      </c>
      <c r="U270" s="164">
        <f>($L270*'Pivot Objective'!$C$9^2)*S270*T270</f>
        <v>104501.49071741465</v>
      </c>
      <c r="V270" s="161">
        <v>0</v>
      </c>
      <c r="W270" s="161">
        <v>0</v>
      </c>
      <c r="X270" s="164">
        <f>($L270*'Pivot Objective'!$C$9^3)*V270*W270</f>
        <v>0</v>
      </c>
      <c r="Y270" s="161">
        <v>0</v>
      </c>
      <c r="Z270" s="161">
        <v>0</v>
      </c>
      <c r="AA270" s="164">
        <f>($L270*'Pivot Objective'!$C$9^4)*Y270*Z270</f>
        <v>0</v>
      </c>
      <c r="AB270" s="151"/>
      <c r="AC270" s="151"/>
      <c r="AD270" s="164">
        <f>($L270*'Pivot Objective'!$C$9^5)*AB270*AC270</f>
        <v>0</v>
      </c>
      <c r="AE270" s="151"/>
      <c r="AF270" s="151"/>
      <c r="AG270" s="164">
        <f>($L270*'Pivot Objective'!$C$9^6)*AE270*AF270</f>
        <v>0</v>
      </c>
      <c r="AH270" s="151"/>
      <c r="AI270" s="151"/>
      <c r="AJ270" s="164">
        <f>($L270*'Pivot Objective'!$C$9^7)*AH270*AI270</f>
        <v>0</v>
      </c>
      <c r="AK270" s="185">
        <f t="shared" si="32"/>
        <v>104501.49071741465</v>
      </c>
      <c r="AL270" s="186">
        <f t="shared" si="33"/>
        <v>101.45775797807248</v>
      </c>
    </row>
    <row r="271" spans="1:38" ht="57.6" x14ac:dyDescent="0.3">
      <c r="A271" s="151" t="s">
        <v>1440</v>
      </c>
      <c r="B271" s="151">
        <v>1</v>
      </c>
      <c r="C271" s="152" t="s">
        <v>836</v>
      </c>
      <c r="D271" s="151" t="str">
        <f t="shared" si="26"/>
        <v>1</v>
      </c>
      <c r="E271" s="153" t="s">
        <v>837</v>
      </c>
      <c r="F271" s="151">
        <f t="shared" si="27"/>
        <v>11</v>
      </c>
      <c r="G271" s="151" t="str">
        <f t="shared" si="28"/>
        <v>1.1.11</v>
      </c>
      <c r="H271" s="156" t="s">
        <v>1685</v>
      </c>
      <c r="I271" s="159" t="s">
        <v>955</v>
      </c>
      <c r="J271" s="159" t="s">
        <v>958</v>
      </c>
      <c r="K271" s="159" t="s">
        <v>1299</v>
      </c>
      <c r="L271" s="163">
        <f>1999/7</f>
        <v>285.57142857142856</v>
      </c>
      <c r="M271" s="160"/>
      <c r="N271" s="161"/>
      <c r="O271" s="164">
        <f t="shared" si="31"/>
        <v>0</v>
      </c>
      <c r="P271" s="161"/>
      <c r="Q271" s="161"/>
      <c r="R271" s="164">
        <f>$L271*'Pivot Objective'!$C$9*P271*Q271</f>
        <v>0</v>
      </c>
      <c r="S271" s="160">
        <f>2*135*29</f>
        <v>7830</v>
      </c>
      <c r="T271" s="161">
        <v>1</v>
      </c>
      <c r="U271" s="164">
        <f>($L271*'Pivot Objective'!$C$9^2)*S271*T271</f>
        <v>2920848.3892185646</v>
      </c>
      <c r="V271" s="161"/>
      <c r="W271" s="161"/>
      <c r="X271" s="164">
        <f>($L271*'Pivot Objective'!$C$9^3)*V271*W271</f>
        <v>0</v>
      </c>
      <c r="Y271" s="161"/>
      <c r="Z271" s="161"/>
      <c r="AA271" s="164">
        <f>($L271*'Pivot Objective'!$C$9^4)*Y271*Z271</f>
        <v>0</v>
      </c>
      <c r="AB271" s="151"/>
      <c r="AC271" s="151"/>
      <c r="AD271" s="164">
        <f>($L271*'Pivot Objective'!$C$9^5)*AB271*AC271</f>
        <v>0</v>
      </c>
      <c r="AE271" s="151"/>
      <c r="AF271" s="151"/>
      <c r="AG271" s="164">
        <f>($L271*'Pivot Objective'!$C$9^6)*AE271*AF271</f>
        <v>0</v>
      </c>
      <c r="AH271" s="151"/>
      <c r="AI271" s="151"/>
      <c r="AJ271" s="164">
        <f>($L271*'Pivot Objective'!$C$9^7)*AH271*AI271</f>
        <v>0</v>
      </c>
      <c r="AK271" s="185">
        <f t="shared" si="32"/>
        <v>2920848.3892185646</v>
      </c>
      <c r="AL271" s="186">
        <f t="shared" si="33"/>
        <v>2835.7751351636548</v>
      </c>
    </row>
    <row r="272" spans="1:38" ht="57.6" x14ac:dyDescent="0.3">
      <c r="A272" s="151" t="s">
        <v>1440</v>
      </c>
      <c r="B272" s="151">
        <v>1</v>
      </c>
      <c r="C272" s="152" t="s">
        <v>836</v>
      </c>
      <c r="D272" s="151" t="str">
        <f t="shared" si="26"/>
        <v>1</v>
      </c>
      <c r="E272" s="153" t="s">
        <v>837</v>
      </c>
      <c r="F272" s="151">
        <f t="shared" si="27"/>
        <v>11</v>
      </c>
      <c r="G272" s="151" t="str">
        <f t="shared" si="28"/>
        <v>1.1.11</v>
      </c>
      <c r="H272" s="156" t="s">
        <v>1685</v>
      </c>
      <c r="I272" s="159" t="s">
        <v>955</v>
      </c>
      <c r="J272" s="159" t="s">
        <v>958</v>
      </c>
      <c r="K272" s="159" t="s">
        <v>710</v>
      </c>
      <c r="L272" s="160">
        <v>104850</v>
      </c>
      <c r="M272" s="161"/>
      <c r="N272" s="161"/>
      <c r="O272" s="164">
        <f t="shared" si="31"/>
        <v>0</v>
      </c>
      <c r="P272" s="161">
        <v>0</v>
      </c>
      <c r="Q272" s="161">
        <v>0</v>
      </c>
      <c r="R272" s="164">
        <f>$L272*'Pivot Objective'!$C$9*P272*Q272</f>
        <v>0</v>
      </c>
      <c r="S272" s="161">
        <v>1</v>
      </c>
      <c r="T272" s="161">
        <v>1</v>
      </c>
      <c r="U272" s="164">
        <f>($L272*'Pivot Objective'!$C$9^2)*S272*T272</f>
        <v>136962.26627151159</v>
      </c>
      <c r="V272" s="161">
        <v>0</v>
      </c>
      <c r="W272" s="161">
        <v>0</v>
      </c>
      <c r="X272" s="164">
        <f>($L272*'Pivot Objective'!$C$9^3)*V272*W272</f>
        <v>0</v>
      </c>
      <c r="Y272" s="161">
        <v>0</v>
      </c>
      <c r="Z272" s="161">
        <v>0</v>
      </c>
      <c r="AA272" s="164">
        <f>($L272*'Pivot Objective'!$C$9^4)*Y272*Z272</f>
        <v>0</v>
      </c>
      <c r="AB272" s="151"/>
      <c r="AC272" s="151"/>
      <c r="AD272" s="164">
        <f>($L272*'Pivot Objective'!$C$9^5)*AB272*AC272</f>
        <v>0</v>
      </c>
      <c r="AE272" s="151"/>
      <c r="AF272" s="151"/>
      <c r="AG272" s="164">
        <f>($L272*'Pivot Objective'!$C$9^6)*AE272*AF272</f>
        <v>0</v>
      </c>
      <c r="AH272" s="151"/>
      <c r="AI272" s="151"/>
      <c r="AJ272" s="164">
        <f>($L272*'Pivot Objective'!$C$9^7)*AH272*AI272</f>
        <v>0</v>
      </c>
      <c r="AK272" s="185">
        <f t="shared" si="32"/>
        <v>136962.26627151159</v>
      </c>
      <c r="AL272" s="186">
        <f t="shared" si="33"/>
        <v>132.97307405001126</v>
      </c>
    </row>
    <row r="273" spans="1:38" ht="57.6" x14ac:dyDescent="0.3">
      <c r="A273" s="151" t="s">
        <v>1440</v>
      </c>
      <c r="B273" s="151">
        <v>1</v>
      </c>
      <c r="C273" s="152" t="s">
        <v>836</v>
      </c>
      <c r="D273" s="151" t="str">
        <f t="shared" si="26"/>
        <v>1</v>
      </c>
      <c r="E273" s="153" t="s">
        <v>837</v>
      </c>
      <c r="F273" s="151">
        <f t="shared" si="27"/>
        <v>11</v>
      </c>
      <c r="G273" s="151" t="str">
        <f t="shared" si="28"/>
        <v>1.1.11</v>
      </c>
      <c r="H273" s="156" t="s">
        <v>1685</v>
      </c>
      <c r="I273" s="159" t="s">
        <v>959</v>
      </c>
      <c r="J273" s="159" t="s">
        <v>960</v>
      </c>
      <c r="K273" s="159" t="s">
        <v>841</v>
      </c>
      <c r="L273" s="160">
        <v>0</v>
      </c>
      <c r="M273" s="161"/>
      <c r="N273" s="161"/>
      <c r="O273" s="164">
        <f t="shared" si="31"/>
        <v>0</v>
      </c>
      <c r="P273" s="161">
        <v>0</v>
      </c>
      <c r="Q273" s="161">
        <v>0</v>
      </c>
      <c r="R273" s="164">
        <f>$L273*'Pivot Objective'!$C$9*P273*Q273</f>
        <v>0</v>
      </c>
      <c r="S273" s="161">
        <v>0</v>
      </c>
      <c r="T273" s="161">
        <v>0</v>
      </c>
      <c r="U273" s="164">
        <f>($L273*'Pivot Objective'!$C$9^2)*S273*T273</f>
        <v>0</v>
      </c>
      <c r="V273" s="161">
        <v>0</v>
      </c>
      <c r="W273" s="161">
        <v>0</v>
      </c>
      <c r="X273" s="164">
        <f>($L273*'Pivot Objective'!$C$9^3)*V273*W273</f>
        <v>0</v>
      </c>
      <c r="Y273" s="161">
        <v>0</v>
      </c>
      <c r="Z273" s="161">
        <v>0</v>
      </c>
      <c r="AA273" s="164">
        <f>($L273*'Pivot Objective'!$C$9^4)*Y273*Z273</f>
        <v>0</v>
      </c>
      <c r="AB273" s="151"/>
      <c r="AC273" s="151"/>
      <c r="AD273" s="164">
        <f>($L273*'Pivot Objective'!$C$9^5)*AB273*AC273</f>
        <v>0</v>
      </c>
      <c r="AE273" s="151"/>
      <c r="AF273" s="151"/>
      <c r="AG273" s="164">
        <f>($L273*'Pivot Objective'!$C$9^6)*AE273*AF273</f>
        <v>0</v>
      </c>
      <c r="AH273" s="151"/>
      <c r="AI273" s="151"/>
      <c r="AJ273" s="164">
        <f>($L273*'Pivot Objective'!$C$9^7)*AH273*AI273</f>
        <v>0</v>
      </c>
      <c r="AK273" s="185">
        <f t="shared" si="32"/>
        <v>0</v>
      </c>
      <c r="AL273" s="186">
        <f t="shared" si="33"/>
        <v>0</v>
      </c>
    </row>
    <row r="274" spans="1:38" ht="57.6" x14ac:dyDescent="0.3">
      <c r="A274" s="151" t="s">
        <v>1440</v>
      </c>
      <c r="B274" s="151">
        <v>1</v>
      </c>
      <c r="C274" s="152" t="s">
        <v>836</v>
      </c>
      <c r="D274" s="151" t="str">
        <f t="shared" si="26"/>
        <v>1</v>
      </c>
      <c r="E274" s="153" t="s">
        <v>837</v>
      </c>
      <c r="F274" s="151">
        <f t="shared" si="27"/>
        <v>11</v>
      </c>
      <c r="G274" s="151" t="str">
        <f t="shared" si="28"/>
        <v>1.1.11</v>
      </c>
      <c r="H274" s="156" t="s">
        <v>1685</v>
      </c>
      <c r="I274" s="159" t="s">
        <v>959</v>
      </c>
      <c r="J274" s="159" t="s">
        <v>165</v>
      </c>
      <c r="K274" s="159" t="s">
        <v>708</v>
      </c>
      <c r="L274" s="160">
        <f>500*1022</f>
        <v>511000</v>
      </c>
      <c r="M274" s="161"/>
      <c r="N274" s="161"/>
      <c r="O274" s="164">
        <f t="shared" si="31"/>
        <v>0</v>
      </c>
      <c r="P274" s="161">
        <v>0</v>
      </c>
      <c r="Q274" s="161">
        <v>0</v>
      </c>
      <c r="R274" s="164">
        <f>$L274*'Pivot Objective'!$C$9*P274*Q274</f>
        <v>0</v>
      </c>
      <c r="S274" s="161"/>
      <c r="T274" s="161"/>
      <c r="U274" s="164">
        <f>($L274*'Pivot Objective'!$C$9^2)*S274*T274</f>
        <v>0</v>
      </c>
      <c r="V274" s="161">
        <v>1</v>
      </c>
      <c r="W274" s="161">
        <v>25</v>
      </c>
      <c r="X274" s="164">
        <f>($L274*'Pivot Objective'!$C$9^3)*V274*W274</f>
        <v>19072589.295918483</v>
      </c>
      <c r="Y274" s="161">
        <v>0</v>
      </c>
      <c r="Z274" s="161">
        <v>0</v>
      </c>
      <c r="AA274" s="164">
        <f>($L274*'Pivot Objective'!$C$9^4)*Y274*Z274</f>
        <v>0</v>
      </c>
      <c r="AB274" s="161">
        <v>1</v>
      </c>
      <c r="AC274" s="161">
        <v>25</v>
      </c>
      <c r="AD274" s="164">
        <f>($L274*'Pivot Objective'!$C$9^5)*AB274*AC274</f>
        <v>24913925.165806092</v>
      </c>
      <c r="AE274" s="151"/>
      <c r="AF274" s="151"/>
      <c r="AG274" s="164">
        <f>($L274*'Pivot Objective'!$C$9^6)*AE274*AF274</f>
        <v>0</v>
      </c>
      <c r="AH274" s="161">
        <v>1</v>
      </c>
      <c r="AI274" s="161">
        <v>25</v>
      </c>
      <c r="AJ274" s="164">
        <f>($L274*'Pivot Objective'!$C$9^7)*AH274*AI274</f>
        <v>32544278.993110616</v>
      </c>
      <c r="AK274" s="185">
        <f t="shared" si="32"/>
        <v>76530793.454835191</v>
      </c>
      <c r="AL274" s="186">
        <f t="shared" si="33"/>
        <v>74301.741218286596</v>
      </c>
    </row>
    <row r="275" spans="1:38" ht="57.6" x14ac:dyDescent="0.3">
      <c r="A275" s="151" t="s">
        <v>1440</v>
      </c>
      <c r="B275" s="151">
        <v>1</v>
      </c>
      <c r="C275" s="152" t="s">
        <v>836</v>
      </c>
      <c r="D275" s="151" t="str">
        <f t="shared" si="26"/>
        <v>1</v>
      </c>
      <c r="E275" s="153" t="s">
        <v>837</v>
      </c>
      <c r="F275" s="151">
        <f t="shared" si="27"/>
        <v>11</v>
      </c>
      <c r="G275" s="151" t="str">
        <f t="shared" si="28"/>
        <v>1.1.11</v>
      </c>
      <c r="H275" s="156" t="s">
        <v>1685</v>
      </c>
      <c r="I275" s="159" t="s">
        <v>959</v>
      </c>
      <c r="J275" s="159" t="s">
        <v>165</v>
      </c>
      <c r="K275" s="159" t="s">
        <v>707</v>
      </c>
      <c r="L275" s="160">
        <v>391991.03749999998</v>
      </c>
      <c r="M275" s="161"/>
      <c r="N275" s="161"/>
      <c r="O275" s="164">
        <f t="shared" si="31"/>
        <v>0</v>
      </c>
      <c r="P275" s="161">
        <v>0</v>
      </c>
      <c r="Q275" s="161">
        <v>0</v>
      </c>
      <c r="R275" s="164">
        <f>$L275*'Pivot Objective'!$C$9*P275*Q275</f>
        <v>0</v>
      </c>
      <c r="S275" s="161"/>
      <c r="T275" s="161"/>
      <c r="U275" s="164">
        <f>($L275*'Pivot Objective'!$C$9^2)*S275*T275</f>
        <v>0</v>
      </c>
      <c r="V275" s="161">
        <v>2</v>
      </c>
      <c r="W275" s="161">
        <v>2</v>
      </c>
      <c r="X275" s="164">
        <f>($L275*'Pivot Objective'!$C$9^3)*V275*W275</f>
        <v>2340910.8621271173</v>
      </c>
      <c r="Y275" s="161">
        <v>0</v>
      </c>
      <c r="Z275" s="161">
        <v>0</v>
      </c>
      <c r="AA275" s="164">
        <f>($L275*'Pivot Objective'!$C$9^4)*Y275*Z275</f>
        <v>0</v>
      </c>
      <c r="AB275" s="161">
        <v>2</v>
      </c>
      <c r="AC275" s="161">
        <v>2</v>
      </c>
      <c r="AD275" s="164">
        <f>($L275*'Pivot Objective'!$C$9^5)*AB275*AC275</f>
        <v>3057858.4341109009</v>
      </c>
      <c r="AE275" s="151"/>
      <c r="AF275" s="151"/>
      <c r="AG275" s="164">
        <f>($L275*'Pivot Objective'!$C$9^6)*AE275*AF275</f>
        <v>0</v>
      </c>
      <c r="AH275" s="161">
        <v>2</v>
      </c>
      <c r="AI275" s="161">
        <v>2</v>
      </c>
      <c r="AJ275" s="164">
        <f>($L275*'Pivot Objective'!$C$9^7)*AH275*AI275</f>
        <v>3994384.5595926056</v>
      </c>
      <c r="AK275" s="185">
        <f t="shared" si="32"/>
        <v>9393153.8558306247</v>
      </c>
      <c r="AL275" s="186">
        <f t="shared" si="33"/>
        <v>9119.5668503209945</v>
      </c>
    </row>
    <row r="276" spans="1:38" ht="57.6" x14ac:dyDescent="0.3">
      <c r="A276" s="151" t="s">
        <v>1440</v>
      </c>
      <c r="B276" s="151">
        <v>1</v>
      </c>
      <c r="C276" s="152" t="s">
        <v>836</v>
      </c>
      <c r="D276" s="151" t="str">
        <f t="shared" si="26"/>
        <v>1</v>
      </c>
      <c r="E276" s="153" t="s">
        <v>837</v>
      </c>
      <c r="F276" s="151">
        <f t="shared" si="27"/>
        <v>11</v>
      </c>
      <c r="G276" s="151" t="str">
        <f t="shared" si="28"/>
        <v>1.1.11</v>
      </c>
      <c r="H276" s="156" t="s">
        <v>1685</v>
      </c>
      <c r="I276" s="159" t="s">
        <v>959</v>
      </c>
      <c r="J276" s="159" t="s">
        <v>961</v>
      </c>
      <c r="K276" s="159" t="s">
        <v>716</v>
      </c>
      <c r="L276" s="160">
        <v>39000</v>
      </c>
      <c r="M276" s="161"/>
      <c r="N276" s="161"/>
      <c r="O276" s="164">
        <f t="shared" si="31"/>
        <v>0</v>
      </c>
      <c r="P276" s="161">
        <v>0</v>
      </c>
      <c r="Q276" s="161">
        <v>0</v>
      </c>
      <c r="R276" s="164">
        <f>$L276*'Pivot Objective'!$C$9*P276*Q276</f>
        <v>0</v>
      </c>
      <c r="S276" s="161"/>
      <c r="T276" s="161"/>
      <c r="U276" s="164">
        <f>($L276*'Pivot Objective'!$C$9^2)*S276*T276</f>
        <v>0</v>
      </c>
      <c r="V276" s="161">
        <v>58</v>
      </c>
      <c r="W276" s="161">
        <v>6</v>
      </c>
      <c r="X276" s="164">
        <f>($L276*'Pivot Objective'!$C$9^3)*V276*W276</f>
        <v>20262479.99406698</v>
      </c>
      <c r="Y276" s="161">
        <v>0</v>
      </c>
      <c r="Z276" s="161">
        <v>0</v>
      </c>
      <c r="AA276" s="164">
        <f>($L276*'Pivot Objective'!$C$9^4)*Y276*Z276</f>
        <v>0</v>
      </c>
      <c r="AB276" s="161">
        <v>58</v>
      </c>
      <c r="AC276" s="161">
        <v>6</v>
      </c>
      <c r="AD276" s="164">
        <f>($L276*'Pivot Objective'!$C$9^5)*AB276*AC276</f>
        <v>26468242.06264738</v>
      </c>
      <c r="AE276" s="151"/>
      <c r="AF276" s="151"/>
      <c r="AG276" s="164">
        <f>($L276*'Pivot Objective'!$C$9^6)*AE276*AF276</f>
        <v>0</v>
      </c>
      <c r="AH276" s="161">
        <v>58</v>
      </c>
      <c r="AI276" s="161">
        <v>6</v>
      </c>
      <c r="AJ276" s="164">
        <f>($L276*'Pivot Objective'!$C$9^7)*AH276*AI276</f>
        <v>34574634.402700365</v>
      </c>
      <c r="AK276" s="185">
        <f t="shared" si="32"/>
        <v>81305356.459414721</v>
      </c>
      <c r="AL276" s="186">
        <f t="shared" si="33"/>
        <v>78937.239280985159</v>
      </c>
    </row>
    <row r="277" spans="1:38" ht="57.6" x14ac:dyDescent="0.3">
      <c r="A277" s="151" t="s">
        <v>1440</v>
      </c>
      <c r="B277" s="151">
        <v>1</v>
      </c>
      <c r="C277" s="152" t="s">
        <v>836</v>
      </c>
      <c r="D277" s="151" t="str">
        <f t="shared" si="26"/>
        <v>1</v>
      </c>
      <c r="E277" s="153" t="s">
        <v>837</v>
      </c>
      <c r="F277" s="151">
        <f t="shared" si="27"/>
        <v>11</v>
      </c>
      <c r="G277" s="151" t="str">
        <f t="shared" si="28"/>
        <v>1.1.11</v>
      </c>
      <c r="H277" s="156" t="s">
        <v>1685</v>
      </c>
      <c r="I277" s="159" t="s">
        <v>959</v>
      </c>
      <c r="J277" s="159" t="s">
        <v>961</v>
      </c>
      <c r="K277" s="159" t="s">
        <v>709</v>
      </c>
      <c r="L277" s="160">
        <v>35000</v>
      </c>
      <c r="M277" s="161"/>
      <c r="N277" s="161"/>
      <c r="O277" s="164">
        <f t="shared" si="31"/>
        <v>0</v>
      </c>
      <c r="P277" s="161">
        <v>0</v>
      </c>
      <c r="Q277" s="161">
        <v>0</v>
      </c>
      <c r="R277" s="164">
        <f>$L277*'Pivot Objective'!$C$9*P277*Q277</f>
        <v>0</v>
      </c>
      <c r="S277" s="161"/>
      <c r="T277" s="161"/>
      <c r="U277" s="164">
        <f>($L277*'Pivot Objective'!$C$9^2)*S277*T277</f>
        <v>0</v>
      </c>
      <c r="V277" s="161">
        <v>100</v>
      </c>
      <c r="W277" s="161">
        <v>5</v>
      </c>
      <c r="X277" s="164">
        <f>($L277*'Pivot Objective'!$C$9^3)*V277*W277</f>
        <v>26126834.651943129</v>
      </c>
      <c r="Y277" s="161">
        <v>0</v>
      </c>
      <c r="Z277" s="161">
        <v>0</v>
      </c>
      <c r="AA277" s="164">
        <f>($L277*'Pivot Objective'!$C$9^4)*Y277*Z277</f>
        <v>0</v>
      </c>
      <c r="AB277" s="161">
        <v>100</v>
      </c>
      <c r="AC277" s="161">
        <v>5</v>
      </c>
      <c r="AD277" s="164">
        <f>($L277*'Pivot Objective'!$C$9^5)*AB277*AC277</f>
        <v>34128664.610693276</v>
      </c>
      <c r="AE277" s="151"/>
      <c r="AF277" s="151"/>
      <c r="AG277" s="164">
        <f>($L277*'Pivot Objective'!$C$9^6)*AE277*AF277</f>
        <v>0</v>
      </c>
      <c r="AH277" s="161">
        <v>100</v>
      </c>
      <c r="AI277" s="161">
        <v>5</v>
      </c>
      <c r="AJ277" s="164">
        <f>($L277*'Pivot Objective'!$C$9^7)*AH277*AI277</f>
        <v>44581204.100151524</v>
      </c>
      <c r="AK277" s="185">
        <f t="shared" si="32"/>
        <v>104836703.36278793</v>
      </c>
      <c r="AL277" s="186">
        <f t="shared" si="33"/>
        <v>101783.20714833779</v>
      </c>
    </row>
    <row r="278" spans="1:38" ht="57.6" x14ac:dyDescent="0.3">
      <c r="A278" s="151" t="s">
        <v>1440</v>
      </c>
      <c r="B278" s="151">
        <v>1</v>
      </c>
      <c r="C278" s="152" t="s">
        <v>836</v>
      </c>
      <c r="D278" s="151" t="str">
        <f t="shared" si="26"/>
        <v>1</v>
      </c>
      <c r="E278" s="153" t="s">
        <v>837</v>
      </c>
      <c r="F278" s="151">
        <f t="shared" si="27"/>
        <v>11</v>
      </c>
      <c r="G278" s="151" t="str">
        <f t="shared" si="28"/>
        <v>1.1.11</v>
      </c>
      <c r="H278" s="156" t="s">
        <v>1685</v>
      </c>
      <c r="I278" s="159" t="s">
        <v>959</v>
      </c>
      <c r="J278" s="159" t="s">
        <v>961</v>
      </c>
      <c r="K278" s="159" t="s">
        <v>1350</v>
      </c>
      <c r="L278" s="160">
        <f>1999/7</f>
        <v>285.57142857142856</v>
      </c>
      <c r="M278" s="161"/>
      <c r="N278" s="161"/>
      <c r="O278" s="164">
        <f t="shared" si="31"/>
        <v>0</v>
      </c>
      <c r="P278" s="161"/>
      <c r="Q278" s="161"/>
      <c r="R278" s="164">
        <f>$L278*'Pivot Objective'!$C$9*P278*Q278</f>
        <v>0</v>
      </c>
      <c r="S278" s="161"/>
      <c r="T278" s="161"/>
      <c r="U278" s="164">
        <f>($L278*'Pivot Objective'!$C$9^2)*S278*T278</f>
        <v>0</v>
      </c>
      <c r="V278" s="161">
        <f>2*135*29</f>
        <v>7830</v>
      </c>
      <c r="W278" s="161">
        <v>1</v>
      </c>
      <c r="X278" s="164">
        <f>($L278*'Pivot Objective'!$C$9^3)*V278*W278</f>
        <v>3338299.2451763642</v>
      </c>
      <c r="Y278" s="161"/>
      <c r="Z278" s="161"/>
      <c r="AA278" s="164">
        <f>($L278*'Pivot Objective'!$C$9^4)*Y278*Z278</f>
        <v>0</v>
      </c>
      <c r="AB278" s="161">
        <f>2*135*29</f>
        <v>7830</v>
      </c>
      <c r="AC278" s="161">
        <v>1</v>
      </c>
      <c r="AD278" s="164">
        <f>($L278*'Pivot Objective'!$C$9^5)*AB278*AC278</f>
        <v>4360715.5947718769</v>
      </c>
      <c r="AE278" s="151"/>
      <c r="AF278" s="151"/>
      <c r="AG278" s="164">
        <f>($L278*'Pivot Objective'!$C$9^6)*AE278*AF278</f>
        <v>0</v>
      </c>
      <c r="AH278" s="161">
        <f>2*135*29</f>
        <v>7830</v>
      </c>
      <c r="AI278" s="161">
        <v>1</v>
      </c>
      <c r="AJ278" s="164">
        <f>($L278*'Pivot Objective'!$C$9^7)*AH278*AI278</f>
        <v>5696266.0031042341</v>
      </c>
      <c r="AK278" s="185">
        <f t="shared" si="32"/>
        <v>13395280.843052475</v>
      </c>
      <c r="AL278" s="186">
        <f t="shared" si="33"/>
        <v>13005.127032089782</v>
      </c>
    </row>
    <row r="279" spans="1:38" ht="57.6" x14ac:dyDescent="0.3">
      <c r="A279" s="151" t="s">
        <v>1440</v>
      </c>
      <c r="B279" s="151">
        <v>1</v>
      </c>
      <c r="C279" s="152" t="s">
        <v>836</v>
      </c>
      <c r="D279" s="151" t="str">
        <f t="shared" si="26"/>
        <v>1</v>
      </c>
      <c r="E279" s="153" t="s">
        <v>837</v>
      </c>
      <c r="F279" s="151">
        <f t="shared" si="27"/>
        <v>11</v>
      </c>
      <c r="G279" s="151" t="str">
        <f t="shared" si="28"/>
        <v>1.1.11</v>
      </c>
      <c r="H279" s="156" t="s">
        <v>1685</v>
      </c>
      <c r="I279" s="159" t="s">
        <v>959</v>
      </c>
      <c r="J279" s="159" t="s">
        <v>961</v>
      </c>
      <c r="K279" s="159" t="s">
        <v>712</v>
      </c>
      <c r="L279" s="160">
        <f>1999/7</f>
        <v>285.57142857142856</v>
      </c>
      <c r="M279" s="161"/>
      <c r="N279" s="161"/>
      <c r="O279" s="164">
        <f t="shared" si="31"/>
        <v>0</v>
      </c>
      <c r="P279" s="161">
        <v>0</v>
      </c>
      <c r="Q279" s="161">
        <v>0</v>
      </c>
      <c r="R279" s="164">
        <f>$L279*'Pivot Objective'!$C$9*P279*Q279</f>
        <v>0</v>
      </c>
      <c r="S279" s="161"/>
      <c r="T279" s="161"/>
      <c r="U279" s="164">
        <f>($L279*'Pivot Objective'!$C$9^2)*S279*T279</f>
        <v>0</v>
      </c>
      <c r="V279" s="161">
        <f>25*2*29</f>
        <v>1450</v>
      </c>
      <c r="W279" s="161">
        <v>5</v>
      </c>
      <c r="X279" s="164">
        <f>($L279*'Pivot Objective'!$C$9^3)*V279*W279</f>
        <v>3091017.8196077449</v>
      </c>
      <c r="Y279" s="161">
        <v>0</v>
      </c>
      <c r="Z279" s="161">
        <v>0</v>
      </c>
      <c r="AA279" s="164">
        <f>($L279*'Pivot Objective'!$C$9^4)*Y279*Z279</f>
        <v>0</v>
      </c>
      <c r="AB279" s="161">
        <f>25*2*29</f>
        <v>1450</v>
      </c>
      <c r="AC279" s="161">
        <v>5</v>
      </c>
      <c r="AD279" s="164">
        <f>($L279*'Pivot Objective'!$C$9^5)*AB279*AC279</f>
        <v>4037699.6247887751</v>
      </c>
      <c r="AE279" s="151"/>
      <c r="AF279" s="151"/>
      <c r="AG279" s="164">
        <f>($L279*'Pivot Objective'!$C$9^6)*AE279*AF279</f>
        <v>0</v>
      </c>
      <c r="AH279" s="161">
        <f>25*2*29</f>
        <v>1450</v>
      </c>
      <c r="AI279" s="161">
        <v>5</v>
      </c>
      <c r="AJ279" s="164">
        <f>($L279*'Pivot Objective'!$C$9^7)*AH279*AI279</f>
        <v>5274320.3732446618</v>
      </c>
      <c r="AK279" s="185">
        <f t="shared" si="32"/>
        <v>12403037.817641182</v>
      </c>
      <c r="AL279" s="186">
        <f t="shared" si="33"/>
        <v>12041.784288972021</v>
      </c>
    </row>
    <row r="280" spans="1:38" ht="57.6" x14ac:dyDescent="0.3">
      <c r="A280" s="151" t="s">
        <v>1440</v>
      </c>
      <c r="B280" s="151">
        <v>1</v>
      </c>
      <c r="C280" s="152" t="s">
        <v>836</v>
      </c>
      <c r="D280" s="151" t="str">
        <f t="shared" si="26"/>
        <v>1</v>
      </c>
      <c r="E280" s="153" t="s">
        <v>837</v>
      </c>
      <c r="F280" s="151">
        <f t="shared" si="27"/>
        <v>11</v>
      </c>
      <c r="G280" s="151" t="str">
        <f t="shared" si="28"/>
        <v>1.1.11</v>
      </c>
      <c r="H280" s="156" t="s">
        <v>1685</v>
      </c>
      <c r="I280" s="159" t="s">
        <v>959</v>
      </c>
      <c r="J280" s="159" t="s">
        <v>962</v>
      </c>
      <c r="K280" s="159" t="s">
        <v>841</v>
      </c>
      <c r="L280" s="160">
        <v>0</v>
      </c>
      <c r="M280" s="161"/>
      <c r="N280" s="161"/>
      <c r="O280" s="164">
        <f t="shared" si="31"/>
        <v>0</v>
      </c>
      <c r="P280" s="161">
        <v>0</v>
      </c>
      <c r="Q280" s="161">
        <v>0</v>
      </c>
      <c r="R280" s="164">
        <f>$L280*'Pivot Objective'!$C$9*P280*Q280</f>
        <v>0</v>
      </c>
      <c r="S280" s="161"/>
      <c r="T280" s="161"/>
      <c r="U280" s="164">
        <f>($L280*'Pivot Objective'!$C$9^2)*S280*T280</f>
        <v>0</v>
      </c>
      <c r="V280" s="161">
        <v>0</v>
      </c>
      <c r="W280" s="161">
        <v>0</v>
      </c>
      <c r="X280" s="164">
        <f>($L280*'Pivot Objective'!$C$9^3)*V280*W280</f>
        <v>0</v>
      </c>
      <c r="Y280" s="161">
        <v>0</v>
      </c>
      <c r="Z280" s="161">
        <v>0</v>
      </c>
      <c r="AA280" s="164">
        <f>($L280*'Pivot Objective'!$C$9^4)*Y280*Z280</f>
        <v>0</v>
      </c>
      <c r="AB280" s="161">
        <v>0</v>
      </c>
      <c r="AC280" s="161">
        <v>0</v>
      </c>
      <c r="AD280" s="164">
        <f>($L280*'Pivot Objective'!$C$9^5)*AB280*AC280</f>
        <v>0</v>
      </c>
      <c r="AE280" s="151"/>
      <c r="AF280" s="151"/>
      <c r="AG280" s="164">
        <f>($L280*'Pivot Objective'!$C$9^6)*AE280*AF280</f>
        <v>0</v>
      </c>
      <c r="AH280" s="161">
        <v>0</v>
      </c>
      <c r="AI280" s="161">
        <v>0</v>
      </c>
      <c r="AJ280" s="164">
        <f>($L280*'Pivot Objective'!$C$9^7)*AH280*AI280</f>
        <v>0</v>
      </c>
      <c r="AK280" s="185">
        <f t="shared" si="32"/>
        <v>0</v>
      </c>
      <c r="AL280" s="186">
        <f t="shared" si="33"/>
        <v>0</v>
      </c>
    </row>
    <row r="281" spans="1:38" ht="57.6" x14ac:dyDescent="0.3">
      <c r="A281" s="151" t="s">
        <v>1440</v>
      </c>
      <c r="B281" s="151">
        <v>1</v>
      </c>
      <c r="C281" s="152" t="s">
        <v>836</v>
      </c>
      <c r="D281" s="151" t="str">
        <f t="shared" si="26"/>
        <v>1</v>
      </c>
      <c r="E281" s="153" t="s">
        <v>837</v>
      </c>
      <c r="F281" s="151">
        <f t="shared" si="27"/>
        <v>11</v>
      </c>
      <c r="G281" s="151" t="str">
        <f t="shared" si="28"/>
        <v>1.1.11</v>
      </c>
      <c r="H281" s="156" t="s">
        <v>1685</v>
      </c>
      <c r="I281" s="159" t="s">
        <v>959</v>
      </c>
      <c r="J281" s="159" t="s">
        <v>963</v>
      </c>
      <c r="K281" s="159" t="s">
        <v>841</v>
      </c>
      <c r="L281" s="160">
        <v>0</v>
      </c>
      <c r="M281" s="161"/>
      <c r="N281" s="161"/>
      <c r="O281" s="164">
        <f t="shared" si="31"/>
        <v>0</v>
      </c>
      <c r="P281" s="161">
        <v>0</v>
      </c>
      <c r="Q281" s="161">
        <v>0</v>
      </c>
      <c r="R281" s="164">
        <f>$L281*'Pivot Objective'!$C$9*P281*Q281</f>
        <v>0</v>
      </c>
      <c r="S281" s="161"/>
      <c r="T281" s="161"/>
      <c r="U281" s="164">
        <f>($L281*'Pivot Objective'!$C$9^2)*S281*T281</f>
        <v>0</v>
      </c>
      <c r="V281" s="161">
        <v>0</v>
      </c>
      <c r="W281" s="161">
        <v>0</v>
      </c>
      <c r="X281" s="164">
        <f>($L281*'Pivot Objective'!$C$9^3)*V281*W281</f>
        <v>0</v>
      </c>
      <c r="Y281" s="161">
        <v>0</v>
      </c>
      <c r="Z281" s="161">
        <v>0</v>
      </c>
      <c r="AA281" s="164">
        <f>($L281*'Pivot Objective'!$C$9^4)*Y281*Z281</f>
        <v>0</v>
      </c>
      <c r="AB281" s="161">
        <v>0</v>
      </c>
      <c r="AC281" s="161">
        <v>0</v>
      </c>
      <c r="AD281" s="164">
        <f>($L281*'Pivot Objective'!$C$9^5)*AB281*AC281</f>
        <v>0</v>
      </c>
      <c r="AE281" s="151"/>
      <c r="AF281" s="151"/>
      <c r="AG281" s="164">
        <f>($L281*'Pivot Objective'!$C$9^6)*AE281*AF281</f>
        <v>0</v>
      </c>
      <c r="AH281" s="161">
        <v>0</v>
      </c>
      <c r="AI281" s="161">
        <v>0</v>
      </c>
      <c r="AJ281" s="164">
        <f>($L281*'Pivot Objective'!$C$9^7)*AH281*AI281</f>
        <v>0</v>
      </c>
      <c r="AK281" s="185">
        <f t="shared" si="32"/>
        <v>0</v>
      </c>
      <c r="AL281" s="186">
        <f t="shared" si="33"/>
        <v>0</v>
      </c>
    </row>
    <row r="282" spans="1:38" ht="57.6" x14ac:dyDescent="0.3">
      <c r="A282" s="151" t="s">
        <v>1440</v>
      </c>
      <c r="B282" s="151">
        <v>1</v>
      </c>
      <c r="C282" s="152" t="s">
        <v>836</v>
      </c>
      <c r="D282" s="151" t="str">
        <f t="shared" si="26"/>
        <v>1</v>
      </c>
      <c r="E282" s="153" t="s">
        <v>837</v>
      </c>
      <c r="F282" s="151">
        <f t="shared" si="27"/>
        <v>12</v>
      </c>
      <c r="G282" s="151" t="str">
        <f t="shared" si="28"/>
        <v>1.1.12</v>
      </c>
      <c r="H282" s="156" t="s">
        <v>1686</v>
      </c>
      <c r="I282" s="159" t="s">
        <v>965</v>
      </c>
      <c r="J282" s="159" t="s">
        <v>966</v>
      </c>
      <c r="K282" s="159" t="s">
        <v>841</v>
      </c>
      <c r="L282" s="160">
        <v>0</v>
      </c>
      <c r="M282" s="161"/>
      <c r="N282" s="161"/>
      <c r="O282" s="164">
        <f t="shared" si="31"/>
        <v>0</v>
      </c>
      <c r="P282" s="161">
        <v>0</v>
      </c>
      <c r="Q282" s="161">
        <v>0</v>
      </c>
      <c r="R282" s="164">
        <f>$L282*'Pivot Objective'!$C$9*P282*Q282</f>
        <v>0</v>
      </c>
      <c r="S282" s="161">
        <v>0</v>
      </c>
      <c r="T282" s="161">
        <v>0</v>
      </c>
      <c r="U282" s="164">
        <f>($L282*'Pivot Objective'!$C$9^2)*S282*T282</f>
        <v>0</v>
      </c>
      <c r="V282" s="161">
        <v>0</v>
      </c>
      <c r="W282" s="161">
        <v>0</v>
      </c>
      <c r="X282" s="164">
        <f>($L282*'Pivot Objective'!$C$9^3)*V282*W282</f>
        <v>0</v>
      </c>
      <c r="Y282" s="161">
        <v>0</v>
      </c>
      <c r="Z282" s="161">
        <v>0</v>
      </c>
      <c r="AA282" s="164">
        <f>($L282*'Pivot Objective'!$C$9^4)*Y282*Z282</f>
        <v>0</v>
      </c>
      <c r="AB282" s="161">
        <v>0</v>
      </c>
      <c r="AC282" s="161">
        <v>0</v>
      </c>
      <c r="AD282" s="164">
        <f>($L282*'Pivot Objective'!$C$9^5)*AB282*AC282</f>
        <v>0</v>
      </c>
      <c r="AE282" s="151"/>
      <c r="AF282" s="151"/>
      <c r="AG282" s="164">
        <f>($L282*'Pivot Objective'!$C$9^6)*AE282*AF282</f>
        <v>0</v>
      </c>
      <c r="AH282" s="151"/>
      <c r="AI282" s="151"/>
      <c r="AJ282" s="164">
        <f>($L282*'Pivot Objective'!$C$9^7)*AH282*AI282</f>
        <v>0</v>
      </c>
      <c r="AK282" s="185">
        <f t="shared" si="32"/>
        <v>0</v>
      </c>
      <c r="AL282" s="186">
        <f t="shared" si="33"/>
        <v>0</v>
      </c>
    </row>
    <row r="283" spans="1:38" ht="57.6" x14ac:dyDescent="0.3">
      <c r="A283" s="151" t="s">
        <v>1440</v>
      </c>
      <c r="B283" s="151">
        <v>1</v>
      </c>
      <c r="C283" s="152" t="s">
        <v>836</v>
      </c>
      <c r="D283" s="151" t="str">
        <f t="shared" si="26"/>
        <v>1</v>
      </c>
      <c r="E283" s="153" t="s">
        <v>837</v>
      </c>
      <c r="F283" s="151">
        <f t="shared" si="27"/>
        <v>12</v>
      </c>
      <c r="G283" s="151" t="str">
        <f t="shared" si="28"/>
        <v>1.1.12</v>
      </c>
      <c r="H283" s="156" t="s">
        <v>1686</v>
      </c>
      <c r="I283" s="159" t="s">
        <v>965</v>
      </c>
      <c r="J283" s="159" t="s">
        <v>967</v>
      </c>
      <c r="K283" s="159" t="s">
        <v>841</v>
      </c>
      <c r="L283" s="160">
        <v>0</v>
      </c>
      <c r="M283" s="161"/>
      <c r="N283" s="161"/>
      <c r="O283" s="164">
        <f t="shared" si="31"/>
        <v>0</v>
      </c>
      <c r="P283" s="161">
        <v>0</v>
      </c>
      <c r="Q283" s="161">
        <v>0</v>
      </c>
      <c r="R283" s="164">
        <f>$L283*'Pivot Objective'!$C$9*P283*Q283</f>
        <v>0</v>
      </c>
      <c r="S283" s="161">
        <v>0</v>
      </c>
      <c r="T283" s="161">
        <v>0</v>
      </c>
      <c r="U283" s="164">
        <f>($L283*'Pivot Objective'!$C$9^2)*S283*T283</f>
        <v>0</v>
      </c>
      <c r="V283" s="161">
        <v>0</v>
      </c>
      <c r="W283" s="161">
        <v>0</v>
      </c>
      <c r="X283" s="164">
        <f>($L283*'Pivot Objective'!$C$9^3)*V283*W283</f>
        <v>0</v>
      </c>
      <c r="Y283" s="161">
        <v>0</v>
      </c>
      <c r="Z283" s="161">
        <v>0</v>
      </c>
      <c r="AA283" s="164">
        <f>($L283*'Pivot Objective'!$C$9^4)*Y283*Z283</f>
        <v>0</v>
      </c>
      <c r="AB283" s="161">
        <v>0</v>
      </c>
      <c r="AC283" s="161">
        <v>0</v>
      </c>
      <c r="AD283" s="164">
        <f>($L283*'Pivot Objective'!$C$9^5)*AB283*AC283</f>
        <v>0</v>
      </c>
      <c r="AE283" s="151"/>
      <c r="AF283" s="151"/>
      <c r="AG283" s="164">
        <f>($L283*'Pivot Objective'!$C$9^6)*AE283*AF283</f>
        <v>0</v>
      </c>
      <c r="AH283" s="151"/>
      <c r="AI283" s="151"/>
      <c r="AJ283" s="164">
        <f>($L283*'Pivot Objective'!$C$9^7)*AH283*AI283</f>
        <v>0</v>
      </c>
      <c r="AK283" s="185">
        <f t="shared" si="32"/>
        <v>0</v>
      </c>
      <c r="AL283" s="186">
        <f t="shared" si="33"/>
        <v>0</v>
      </c>
    </row>
    <row r="284" spans="1:38" ht="57.6" x14ac:dyDescent="0.3">
      <c r="A284" s="151" t="s">
        <v>1440</v>
      </c>
      <c r="B284" s="151">
        <v>1</v>
      </c>
      <c r="C284" s="152" t="s">
        <v>836</v>
      </c>
      <c r="D284" s="151" t="str">
        <f t="shared" si="26"/>
        <v>1</v>
      </c>
      <c r="E284" s="153" t="s">
        <v>837</v>
      </c>
      <c r="F284" s="151">
        <f t="shared" si="27"/>
        <v>12</v>
      </c>
      <c r="G284" s="151" t="str">
        <f t="shared" si="28"/>
        <v>1.1.12</v>
      </c>
      <c r="H284" s="156" t="s">
        <v>1686</v>
      </c>
      <c r="I284" s="159" t="s">
        <v>965</v>
      </c>
      <c r="J284" s="159" t="s">
        <v>968</v>
      </c>
      <c r="K284" s="159" t="s">
        <v>841</v>
      </c>
      <c r="L284" s="160">
        <v>0</v>
      </c>
      <c r="M284" s="161"/>
      <c r="N284" s="161"/>
      <c r="O284" s="164">
        <f t="shared" si="31"/>
        <v>0</v>
      </c>
      <c r="P284" s="161">
        <v>0</v>
      </c>
      <c r="Q284" s="161">
        <v>0</v>
      </c>
      <c r="R284" s="164">
        <f>$L284*'Pivot Objective'!$C$9*P284*Q284</f>
        <v>0</v>
      </c>
      <c r="S284" s="161">
        <v>0</v>
      </c>
      <c r="T284" s="161">
        <v>0</v>
      </c>
      <c r="U284" s="164">
        <f>($L284*'Pivot Objective'!$C$9^2)*S284*T284</f>
        <v>0</v>
      </c>
      <c r="V284" s="161">
        <v>0</v>
      </c>
      <c r="W284" s="161">
        <v>0</v>
      </c>
      <c r="X284" s="164">
        <f>($L284*'Pivot Objective'!$C$9^3)*V284*W284</f>
        <v>0</v>
      </c>
      <c r="Y284" s="161">
        <v>0</v>
      </c>
      <c r="Z284" s="161">
        <v>0</v>
      </c>
      <c r="AA284" s="164">
        <f>($L284*'Pivot Objective'!$C$9^4)*Y284*Z284</f>
        <v>0</v>
      </c>
      <c r="AB284" s="161">
        <v>0</v>
      </c>
      <c r="AC284" s="161">
        <v>0</v>
      </c>
      <c r="AD284" s="164">
        <f>($L284*'Pivot Objective'!$C$9^5)*AB284*AC284</f>
        <v>0</v>
      </c>
      <c r="AE284" s="151"/>
      <c r="AF284" s="151"/>
      <c r="AG284" s="164">
        <f>($L284*'Pivot Objective'!$C$9^6)*AE284*AF284</f>
        <v>0</v>
      </c>
      <c r="AH284" s="151"/>
      <c r="AI284" s="151"/>
      <c r="AJ284" s="164">
        <f>($L284*'Pivot Objective'!$C$9^7)*AH284*AI284</f>
        <v>0</v>
      </c>
      <c r="AK284" s="185">
        <f t="shared" si="32"/>
        <v>0</v>
      </c>
      <c r="AL284" s="186">
        <f t="shared" si="33"/>
        <v>0</v>
      </c>
    </row>
    <row r="285" spans="1:38" ht="57.6" x14ac:dyDescent="0.3">
      <c r="A285" s="151" t="s">
        <v>1440</v>
      </c>
      <c r="B285" s="151">
        <v>1</v>
      </c>
      <c r="C285" s="152" t="s">
        <v>836</v>
      </c>
      <c r="D285" s="151" t="str">
        <f t="shared" si="26"/>
        <v>1</v>
      </c>
      <c r="E285" s="153" t="s">
        <v>837</v>
      </c>
      <c r="F285" s="151">
        <f t="shared" si="27"/>
        <v>12</v>
      </c>
      <c r="G285" s="151" t="str">
        <f t="shared" si="28"/>
        <v>1.1.12</v>
      </c>
      <c r="H285" s="156" t="s">
        <v>1686</v>
      </c>
      <c r="I285" s="159" t="s">
        <v>965</v>
      </c>
      <c r="J285" s="159" t="s">
        <v>969</v>
      </c>
      <c r="K285" s="159" t="s">
        <v>708</v>
      </c>
      <c r="L285" s="160">
        <f>500*1022</f>
        <v>511000</v>
      </c>
      <c r="M285" s="161"/>
      <c r="N285" s="161"/>
      <c r="O285" s="164">
        <f t="shared" si="31"/>
        <v>0</v>
      </c>
      <c r="P285" s="161">
        <v>0</v>
      </c>
      <c r="Q285" s="161">
        <v>0</v>
      </c>
      <c r="R285" s="164">
        <f>$L285*'Pivot Objective'!$C$9*P285*Q285</f>
        <v>0</v>
      </c>
      <c r="S285" s="161">
        <v>1</v>
      </c>
      <c r="T285" s="161">
        <v>25</v>
      </c>
      <c r="U285" s="164">
        <f>($L285*'Pivot Objective'!$C$9^2)*S285*T285</f>
        <v>16687581.798937155</v>
      </c>
      <c r="V285" s="161">
        <v>0</v>
      </c>
      <c r="W285" s="161">
        <v>0</v>
      </c>
      <c r="X285" s="164">
        <f>($L285*'Pivot Objective'!$C$9^3)*V285*W285</f>
        <v>0</v>
      </c>
      <c r="Y285" s="161">
        <v>0</v>
      </c>
      <c r="Z285" s="161">
        <v>0</v>
      </c>
      <c r="AA285" s="164">
        <f>($L285*'Pivot Objective'!$C$9^4)*Y285*Z285</f>
        <v>0</v>
      </c>
      <c r="AB285" s="161">
        <v>1</v>
      </c>
      <c r="AC285" s="161">
        <v>25</v>
      </c>
      <c r="AD285" s="164">
        <f>($L285*'Pivot Objective'!$C$9^5)*AB285*AC285</f>
        <v>24913925.165806092</v>
      </c>
      <c r="AE285" s="151"/>
      <c r="AF285" s="151"/>
      <c r="AG285" s="164">
        <f>($L285*'Pivot Objective'!$C$9^6)*AE285*AF285</f>
        <v>0</v>
      </c>
      <c r="AH285" s="151"/>
      <c r="AI285" s="151"/>
      <c r="AJ285" s="164">
        <f>($L285*'Pivot Objective'!$C$9^7)*AH285*AI285</f>
        <v>0</v>
      </c>
      <c r="AK285" s="185">
        <f t="shared" si="32"/>
        <v>41601506.964743249</v>
      </c>
      <c r="AL285" s="186">
        <f t="shared" si="33"/>
        <v>40389.812587129367</v>
      </c>
    </row>
    <row r="286" spans="1:38" ht="57.6" x14ac:dyDescent="0.3">
      <c r="A286" s="151" t="s">
        <v>1440</v>
      </c>
      <c r="B286" s="151">
        <v>1</v>
      </c>
      <c r="C286" s="152" t="s">
        <v>836</v>
      </c>
      <c r="D286" s="151" t="str">
        <f t="shared" si="26"/>
        <v>1</v>
      </c>
      <c r="E286" s="153" t="s">
        <v>837</v>
      </c>
      <c r="F286" s="151">
        <f t="shared" si="27"/>
        <v>12</v>
      </c>
      <c r="G286" s="151" t="str">
        <f t="shared" si="28"/>
        <v>1.1.12</v>
      </c>
      <c r="H286" s="156" t="s">
        <v>1686</v>
      </c>
      <c r="I286" s="159" t="s">
        <v>965</v>
      </c>
      <c r="J286" s="159" t="s">
        <v>969</v>
      </c>
      <c r="K286" s="159" t="s">
        <v>707</v>
      </c>
      <c r="L286" s="160">
        <v>391991.03749999998</v>
      </c>
      <c r="M286" s="161"/>
      <c r="N286" s="161"/>
      <c r="O286" s="164">
        <f t="shared" si="31"/>
        <v>0</v>
      </c>
      <c r="P286" s="161">
        <v>1</v>
      </c>
      <c r="Q286" s="161">
        <v>30</v>
      </c>
      <c r="R286" s="164">
        <f>$L286*'Pivot Objective'!$C$9*P286*Q286</f>
        <v>13440444.797810042</v>
      </c>
      <c r="S286" s="161">
        <v>2</v>
      </c>
      <c r="T286" s="161">
        <v>2</v>
      </c>
      <c r="U286" s="164">
        <f>($L286*'Pivot Objective'!$C$9^2)*S286*T286</f>
        <v>2048182.3883307995</v>
      </c>
      <c r="V286" s="161">
        <v>0</v>
      </c>
      <c r="W286" s="161">
        <v>0</v>
      </c>
      <c r="X286" s="164">
        <f>($L286*'Pivot Objective'!$C$9^3)*V286*W286</f>
        <v>0</v>
      </c>
      <c r="Y286" s="161">
        <v>0</v>
      </c>
      <c r="Z286" s="161">
        <v>0</v>
      </c>
      <c r="AA286" s="164">
        <f>($L286*'Pivot Objective'!$C$9^4)*Y286*Z286</f>
        <v>0</v>
      </c>
      <c r="AB286" s="161">
        <v>2</v>
      </c>
      <c r="AC286" s="161">
        <v>2</v>
      </c>
      <c r="AD286" s="164">
        <f>($L286*'Pivot Objective'!$C$9^5)*AB286*AC286</f>
        <v>3057858.4341109009</v>
      </c>
      <c r="AE286" s="151"/>
      <c r="AF286" s="151"/>
      <c r="AG286" s="164">
        <f>($L286*'Pivot Objective'!$C$9^6)*AE286*AF286</f>
        <v>0</v>
      </c>
      <c r="AH286" s="151"/>
      <c r="AI286" s="151"/>
      <c r="AJ286" s="164">
        <f>($L286*'Pivot Objective'!$C$9^7)*AH286*AI286</f>
        <v>0</v>
      </c>
      <c r="AK286" s="185">
        <f t="shared" si="32"/>
        <v>18546485.620251745</v>
      </c>
      <c r="AL286" s="186">
        <f t="shared" si="33"/>
        <v>18006.296718691014</v>
      </c>
    </row>
    <row r="287" spans="1:38" ht="57.6" x14ac:dyDescent="0.3">
      <c r="A287" s="151" t="s">
        <v>1440</v>
      </c>
      <c r="B287" s="151">
        <v>1</v>
      </c>
      <c r="C287" s="152" t="s">
        <v>836</v>
      </c>
      <c r="D287" s="151" t="str">
        <f t="shared" si="26"/>
        <v>1</v>
      </c>
      <c r="E287" s="153" t="s">
        <v>837</v>
      </c>
      <c r="F287" s="151">
        <f t="shared" si="27"/>
        <v>12</v>
      </c>
      <c r="G287" s="151" t="str">
        <f t="shared" si="28"/>
        <v>1.1.12</v>
      </c>
      <c r="H287" s="156" t="s">
        <v>1686</v>
      </c>
      <c r="I287" s="159" t="s">
        <v>965</v>
      </c>
      <c r="J287" s="159" t="s">
        <v>970</v>
      </c>
      <c r="K287" s="159" t="s">
        <v>841</v>
      </c>
      <c r="L287" s="160">
        <v>0</v>
      </c>
      <c r="M287" s="161"/>
      <c r="N287" s="161"/>
      <c r="O287" s="164">
        <f t="shared" si="31"/>
        <v>0</v>
      </c>
      <c r="P287" s="161">
        <v>1</v>
      </c>
      <c r="Q287" s="161">
        <v>4</v>
      </c>
      <c r="R287" s="164">
        <f>$L287*'Pivot Objective'!$C$9*P287*Q287</f>
        <v>0</v>
      </c>
      <c r="S287" s="161">
        <v>0</v>
      </c>
      <c r="T287" s="161">
        <v>0</v>
      </c>
      <c r="U287" s="164">
        <f>($L287*'Pivot Objective'!$C$9^2)*S287*T287</f>
        <v>0</v>
      </c>
      <c r="V287" s="161">
        <v>0</v>
      </c>
      <c r="W287" s="161">
        <v>0</v>
      </c>
      <c r="X287" s="164">
        <f>($L287*'Pivot Objective'!$C$9^3)*V287*W287</f>
        <v>0</v>
      </c>
      <c r="Y287" s="161">
        <v>0</v>
      </c>
      <c r="Z287" s="161">
        <v>0</v>
      </c>
      <c r="AA287" s="164">
        <f>($L287*'Pivot Objective'!$C$9^4)*Y287*Z287</f>
        <v>0</v>
      </c>
      <c r="AB287" s="161">
        <v>0</v>
      </c>
      <c r="AC287" s="161">
        <v>0</v>
      </c>
      <c r="AD287" s="164">
        <f>($L287*'Pivot Objective'!$C$9^5)*AB287*AC287</f>
        <v>0</v>
      </c>
      <c r="AE287" s="151"/>
      <c r="AF287" s="151"/>
      <c r="AG287" s="164">
        <f>($L287*'Pivot Objective'!$C$9^6)*AE287*AF287</f>
        <v>0</v>
      </c>
      <c r="AH287" s="151"/>
      <c r="AI287" s="151"/>
      <c r="AJ287" s="164">
        <f>($L287*'Pivot Objective'!$C$9^7)*AH287*AI287</f>
        <v>0</v>
      </c>
      <c r="AK287" s="185">
        <f t="shared" si="32"/>
        <v>0</v>
      </c>
      <c r="AL287" s="186">
        <f t="shared" si="33"/>
        <v>0</v>
      </c>
    </row>
    <row r="288" spans="1:38" ht="57.6" x14ac:dyDescent="0.3">
      <c r="A288" s="151" t="s">
        <v>1440</v>
      </c>
      <c r="B288" s="151">
        <v>1</v>
      </c>
      <c r="C288" s="152" t="s">
        <v>836</v>
      </c>
      <c r="D288" s="151" t="str">
        <f t="shared" si="26"/>
        <v>1</v>
      </c>
      <c r="E288" s="153" t="s">
        <v>837</v>
      </c>
      <c r="F288" s="151">
        <f t="shared" si="27"/>
        <v>12</v>
      </c>
      <c r="G288" s="151" t="str">
        <f t="shared" si="28"/>
        <v>1.1.12</v>
      </c>
      <c r="H288" s="156" t="s">
        <v>1686</v>
      </c>
      <c r="I288" s="159" t="s">
        <v>965</v>
      </c>
      <c r="J288" s="159" t="s">
        <v>895</v>
      </c>
      <c r="K288" s="159" t="s">
        <v>841</v>
      </c>
      <c r="L288" s="160">
        <v>0</v>
      </c>
      <c r="M288" s="161"/>
      <c r="N288" s="161"/>
      <c r="O288" s="164">
        <f t="shared" si="31"/>
        <v>0</v>
      </c>
      <c r="P288" s="161">
        <v>10</v>
      </c>
      <c r="Q288" s="161">
        <v>3</v>
      </c>
      <c r="R288" s="164">
        <f>$L288*'Pivot Objective'!$C$9*P288*Q288</f>
        <v>0</v>
      </c>
      <c r="S288" s="161">
        <v>0</v>
      </c>
      <c r="T288" s="161">
        <v>0</v>
      </c>
      <c r="U288" s="164">
        <f>($L288*'Pivot Objective'!$C$9^2)*S288*T288</f>
        <v>0</v>
      </c>
      <c r="V288" s="161">
        <v>0</v>
      </c>
      <c r="W288" s="161">
        <v>0</v>
      </c>
      <c r="X288" s="164">
        <f>($L288*'Pivot Objective'!$C$9^3)*V288*W288</f>
        <v>0</v>
      </c>
      <c r="Y288" s="161">
        <v>0</v>
      </c>
      <c r="Z288" s="161">
        <v>0</v>
      </c>
      <c r="AA288" s="164">
        <f>($L288*'Pivot Objective'!$C$9^4)*Y288*Z288</f>
        <v>0</v>
      </c>
      <c r="AB288" s="161">
        <v>0</v>
      </c>
      <c r="AC288" s="161">
        <v>0</v>
      </c>
      <c r="AD288" s="164">
        <f>($L288*'Pivot Objective'!$C$9^5)*AB288*AC288</f>
        <v>0</v>
      </c>
      <c r="AE288" s="151"/>
      <c r="AF288" s="151"/>
      <c r="AG288" s="164">
        <f>($L288*'Pivot Objective'!$C$9^6)*AE288*AF288</f>
        <v>0</v>
      </c>
      <c r="AH288" s="151"/>
      <c r="AI288" s="151"/>
      <c r="AJ288" s="164">
        <f>($L288*'Pivot Objective'!$C$9^7)*AH288*AI288</f>
        <v>0</v>
      </c>
      <c r="AK288" s="185">
        <f t="shared" si="32"/>
        <v>0</v>
      </c>
      <c r="AL288" s="186">
        <f t="shared" si="33"/>
        <v>0</v>
      </c>
    </row>
    <row r="289" spans="1:38" ht="57.6" x14ac:dyDescent="0.3">
      <c r="A289" s="151" t="s">
        <v>1440</v>
      </c>
      <c r="B289" s="151">
        <v>1</v>
      </c>
      <c r="C289" s="152" t="s">
        <v>836</v>
      </c>
      <c r="D289" s="151" t="str">
        <f t="shared" si="26"/>
        <v>1</v>
      </c>
      <c r="E289" s="153" t="s">
        <v>837</v>
      </c>
      <c r="F289" s="151">
        <f t="shared" si="27"/>
        <v>12</v>
      </c>
      <c r="G289" s="151" t="str">
        <f t="shared" si="28"/>
        <v>1.1.12</v>
      </c>
      <c r="H289" s="156" t="s">
        <v>1686</v>
      </c>
      <c r="I289" s="159" t="s">
        <v>965</v>
      </c>
      <c r="J289" s="159" t="s">
        <v>971</v>
      </c>
      <c r="K289" s="159" t="s">
        <v>709</v>
      </c>
      <c r="L289" s="160">
        <v>35000</v>
      </c>
      <c r="M289" s="161"/>
      <c r="N289" s="161"/>
      <c r="O289" s="164">
        <f t="shared" si="31"/>
        <v>0</v>
      </c>
      <c r="P289" s="161">
        <v>3</v>
      </c>
      <c r="Q289" s="161">
        <v>14</v>
      </c>
      <c r="R289" s="164">
        <f>$L289*'Pivot Objective'!$C$9*P289*Q289</f>
        <v>1680094.0125899997</v>
      </c>
      <c r="S289" s="161">
        <v>25</v>
      </c>
      <c r="T289" s="161">
        <v>5</v>
      </c>
      <c r="U289" s="164">
        <f>($L289*'Pivot Objective'!$C$9^2)*S289*T289</f>
        <v>5714925.2736086138</v>
      </c>
      <c r="V289" s="161">
        <v>0</v>
      </c>
      <c r="W289" s="161">
        <v>0</v>
      </c>
      <c r="X289" s="164">
        <f>($L289*'Pivot Objective'!$C$9^3)*V289*W289</f>
        <v>0</v>
      </c>
      <c r="Y289" s="161">
        <v>0</v>
      </c>
      <c r="Z289" s="161">
        <v>0</v>
      </c>
      <c r="AA289" s="164">
        <f>($L289*'Pivot Objective'!$C$9^4)*Y289*Z289</f>
        <v>0</v>
      </c>
      <c r="AB289" s="161">
        <v>25</v>
      </c>
      <c r="AC289" s="161">
        <v>5</v>
      </c>
      <c r="AD289" s="164">
        <f>($L289*'Pivot Objective'!$C$9^5)*AB289*AC289</f>
        <v>8532166.152673319</v>
      </c>
      <c r="AE289" s="151"/>
      <c r="AF289" s="151"/>
      <c r="AG289" s="164">
        <f>($L289*'Pivot Objective'!$C$9^6)*AE289*AF289</f>
        <v>0</v>
      </c>
      <c r="AH289" s="151"/>
      <c r="AI289" s="151"/>
      <c r="AJ289" s="164">
        <f>($L289*'Pivot Objective'!$C$9^7)*AH289*AI289</f>
        <v>0</v>
      </c>
      <c r="AK289" s="185">
        <f t="shared" si="32"/>
        <v>15927185.438871931</v>
      </c>
      <c r="AL289" s="186">
        <f t="shared" si="33"/>
        <v>15463.286833856244</v>
      </c>
    </row>
    <row r="290" spans="1:38" ht="57.6" x14ac:dyDescent="0.3">
      <c r="A290" s="151" t="s">
        <v>1440</v>
      </c>
      <c r="B290" s="151">
        <v>1</v>
      </c>
      <c r="C290" s="152" t="s">
        <v>836</v>
      </c>
      <c r="D290" s="151" t="str">
        <f t="shared" si="26"/>
        <v>1</v>
      </c>
      <c r="E290" s="153" t="s">
        <v>837</v>
      </c>
      <c r="F290" s="151">
        <f t="shared" si="27"/>
        <v>12</v>
      </c>
      <c r="G290" s="151" t="str">
        <f t="shared" si="28"/>
        <v>1.1.12</v>
      </c>
      <c r="H290" s="156" t="s">
        <v>1686</v>
      </c>
      <c r="I290" s="159" t="s">
        <v>965</v>
      </c>
      <c r="J290" s="159" t="s">
        <v>971</v>
      </c>
      <c r="K290" s="159" t="s">
        <v>1297</v>
      </c>
      <c r="L290" s="160">
        <v>8000</v>
      </c>
      <c r="M290" s="161"/>
      <c r="N290" s="161"/>
      <c r="O290" s="164">
        <f t="shared" si="31"/>
        <v>0</v>
      </c>
      <c r="P290" s="161">
        <v>25</v>
      </c>
      <c r="Q290" s="161">
        <v>3</v>
      </c>
      <c r="R290" s="164">
        <f>$L290*'Pivot Objective'!$C$9*P290*Q290</f>
        <v>685752.65819999995</v>
      </c>
      <c r="S290" s="161">
        <v>1</v>
      </c>
      <c r="T290" s="161">
        <v>1</v>
      </c>
      <c r="U290" s="164">
        <f>($L290*'Pivot Objective'!$C$9^2)*S290*T290</f>
        <v>10450.149071741465</v>
      </c>
      <c r="V290" s="161">
        <v>0</v>
      </c>
      <c r="W290" s="161">
        <v>0</v>
      </c>
      <c r="X290" s="164">
        <f>($L290*'Pivot Objective'!$C$9^3)*V290*W290</f>
        <v>0</v>
      </c>
      <c r="Y290" s="161">
        <v>0</v>
      </c>
      <c r="Z290" s="161">
        <v>0</v>
      </c>
      <c r="AA290" s="164">
        <f>($L290*'Pivot Objective'!$C$9^4)*Y290*Z290</f>
        <v>0</v>
      </c>
      <c r="AB290" s="161">
        <v>1</v>
      </c>
      <c r="AC290" s="161">
        <v>1</v>
      </c>
      <c r="AD290" s="164">
        <f>($L290*'Pivot Objective'!$C$9^5)*AB290*AC290</f>
        <v>15601.675250602641</v>
      </c>
      <c r="AE290" s="151"/>
      <c r="AF290" s="151"/>
      <c r="AG290" s="164">
        <f>($L290*'Pivot Objective'!$C$9^6)*AE290*AF290</f>
        <v>0</v>
      </c>
      <c r="AH290" s="151"/>
      <c r="AI290" s="151"/>
      <c r="AJ290" s="164">
        <f>($L290*'Pivot Objective'!$C$9^7)*AH290*AI290</f>
        <v>0</v>
      </c>
      <c r="AK290" s="185">
        <f t="shared" si="32"/>
        <v>711804.4825223441</v>
      </c>
      <c r="AL290" s="186">
        <f t="shared" si="33"/>
        <v>691.07231312848944</v>
      </c>
    </row>
    <row r="291" spans="1:38" ht="57.6" x14ac:dyDescent="0.3">
      <c r="A291" s="151" t="s">
        <v>1440</v>
      </c>
      <c r="B291" s="151">
        <v>1</v>
      </c>
      <c r="C291" s="152" t="s">
        <v>836</v>
      </c>
      <c r="D291" s="151" t="str">
        <f t="shared" si="26"/>
        <v>1</v>
      </c>
      <c r="E291" s="153" t="s">
        <v>837</v>
      </c>
      <c r="F291" s="151">
        <f t="shared" si="27"/>
        <v>12</v>
      </c>
      <c r="G291" s="151" t="str">
        <f t="shared" si="28"/>
        <v>1.1.12</v>
      </c>
      <c r="H291" s="156" t="s">
        <v>1686</v>
      </c>
      <c r="I291" s="159" t="s">
        <v>965</v>
      </c>
      <c r="J291" s="159" t="s">
        <v>971</v>
      </c>
      <c r="K291" s="159" t="s">
        <v>710</v>
      </c>
      <c r="L291" s="160">
        <v>104850</v>
      </c>
      <c r="M291" s="161"/>
      <c r="N291" s="161"/>
      <c r="O291" s="164">
        <f t="shared" si="31"/>
        <v>0</v>
      </c>
      <c r="P291" s="161">
        <v>5000</v>
      </c>
      <c r="Q291" s="161">
        <v>1</v>
      </c>
      <c r="R291" s="164">
        <f>$L291*'Pivot Objective'!$C$9*P291*Q291</f>
        <v>599176385.10224986</v>
      </c>
      <c r="S291" s="161">
        <v>1</v>
      </c>
      <c r="T291" s="161">
        <v>1</v>
      </c>
      <c r="U291" s="164">
        <f>($L291*'Pivot Objective'!$C$9^2)*S291*T291</f>
        <v>136962.26627151159</v>
      </c>
      <c r="V291" s="161">
        <v>0</v>
      </c>
      <c r="W291" s="161">
        <v>0</v>
      </c>
      <c r="X291" s="164">
        <f>($L291*'Pivot Objective'!$C$9^3)*V291*W291</f>
        <v>0</v>
      </c>
      <c r="Y291" s="161">
        <v>0</v>
      </c>
      <c r="Z291" s="161">
        <v>0</v>
      </c>
      <c r="AA291" s="164">
        <f>($L291*'Pivot Objective'!$C$9^4)*Y291*Z291</f>
        <v>0</v>
      </c>
      <c r="AB291" s="161">
        <v>1</v>
      </c>
      <c r="AC291" s="161">
        <v>1</v>
      </c>
      <c r="AD291" s="164">
        <f>($L291*'Pivot Objective'!$C$9^5)*AB291*AC291</f>
        <v>204479.45625321087</v>
      </c>
      <c r="AE291" s="151"/>
      <c r="AF291" s="151"/>
      <c r="AG291" s="164">
        <f>($L291*'Pivot Objective'!$C$9^6)*AE291*AF291</f>
        <v>0</v>
      </c>
      <c r="AH291" s="151"/>
      <c r="AI291" s="151"/>
      <c r="AJ291" s="164">
        <f>($L291*'Pivot Objective'!$C$9^7)*AH291*AI291</f>
        <v>0</v>
      </c>
      <c r="AK291" s="185">
        <f t="shared" si="32"/>
        <v>599517826.8247745</v>
      </c>
      <c r="AL291" s="186">
        <f t="shared" si="33"/>
        <v>582056.14254832477</v>
      </c>
    </row>
    <row r="292" spans="1:38" ht="57.6" x14ac:dyDescent="0.3">
      <c r="A292" s="151" t="s">
        <v>1440</v>
      </c>
      <c r="B292" s="151">
        <v>1</v>
      </c>
      <c r="C292" s="152" t="s">
        <v>836</v>
      </c>
      <c r="D292" s="151" t="str">
        <f t="shared" si="26"/>
        <v>1</v>
      </c>
      <c r="E292" s="153" t="s">
        <v>837</v>
      </c>
      <c r="F292" s="151">
        <f t="shared" si="27"/>
        <v>12</v>
      </c>
      <c r="G292" s="151" t="str">
        <f t="shared" si="28"/>
        <v>1.1.12</v>
      </c>
      <c r="H292" s="156" t="s">
        <v>1686</v>
      </c>
      <c r="I292" s="159" t="s">
        <v>965</v>
      </c>
      <c r="J292" s="159" t="s">
        <v>972</v>
      </c>
      <c r="K292" s="159" t="s">
        <v>713</v>
      </c>
      <c r="L292" s="160">
        <v>45000</v>
      </c>
      <c r="M292" s="161"/>
      <c r="N292" s="161"/>
      <c r="O292" s="164">
        <f t="shared" si="31"/>
        <v>0</v>
      </c>
      <c r="P292" s="161">
        <v>1</v>
      </c>
      <c r="Q292" s="161">
        <v>1</v>
      </c>
      <c r="R292" s="164">
        <f>$L292*'Pivot Objective'!$C$9*P292*Q292</f>
        <v>51431.449364999993</v>
      </c>
      <c r="S292" s="161">
        <v>25</v>
      </c>
      <c r="T292" s="161">
        <v>6</v>
      </c>
      <c r="U292" s="164">
        <f>($L292*'Pivot Objective'!$C$9^2)*S292*T292</f>
        <v>8817313.2792818621</v>
      </c>
      <c r="V292" s="161">
        <v>0</v>
      </c>
      <c r="W292" s="161">
        <v>0</v>
      </c>
      <c r="X292" s="164">
        <f>($L292*'Pivot Objective'!$C$9^3)*V292*W292</f>
        <v>0</v>
      </c>
      <c r="Y292" s="161">
        <v>0</v>
      </c>
      <c r="Z292" s="161">
        <v>0</v>
      </c>
      <c r="AA292" s="164">
        <f>($L292*'Pivot Objective'!$C$9^4)*Y292*Z292</f>
        <v>0</v>
      </c>
      <c r="AB292" s="161">
        <v>25</v>
      </c>
      <c r="AC292" s="161">
        <v>6</v>
      </c>
      <c r="AD292" s="164">
        <f>($L292*'Pivot Objective'!$C$9^5)*AB292*AC292</f>
        <v>13163913.492695976</v>
      </c>
      <c r="AE292" s="151"/>
      <c r="AF292" s="151"/>
      <c r="AG292" s="164">
        <f>($L292*'Pivot Objective'!$C$9^6)*AE292*AF292</f>
        <v>0</v>
      </c>
      <c r="AH292" s="151"/>
      <c r="AI292" s="151"/>
      <c r="AJ292" s="164">
        <f>($L292*'Pivot Objective'!$C$9^7)*AH292*AI292</f>
        <v>0</v>
      </c>
      <c r="AK292" s="185">
        <f t="shared" si="32"/>
        <v>22032658.221342839</v>
      </c>
      <c r="AL292" s="186">
        <f t="shared" si="33"/>
        <v>21390.930311983338</v>
      </c>
    </row>
    <row r="293" spans="1:38" ht="57.6" x14ac:dyDescent="0.3">
      <c r="A293" s="151" t="s">
        <v>1440</v>
      </c>
      <c r="B293" s="151">
        <v>1</v>
      </c>
      <c r="C293" s="152" t="s">
        <v>836</v>
      </c>
      <c r="D293" s="151" t="str">
        <f t="shared" si="26"/>
        <v>1</v>
      </c>
      <c r="E293" s="153" t="s">
        <v>837</v>
      </c>
      <c r="F293" s="151">
        <f t="shared" si="27"/>
        <v>12</v>
      </c>
      <c r="G293" s="151" t="str">
        <f t="shared" si="28"/>
        <v>1.1.12</v>
      </c>
      <c r="H293" s="156" t="s">
        <v>1686</v>
      </c>
      <c r="I293" s="159" t="s">
        <v>965</v>
      </c>
      <c r="J293" s="159" t="s">
        <v>972</v>
      </c>
      <c r="K293" s="159" t="s">
        <v>1303</v>
      </c>
      <c r="L293" s="160">
        <f>1999/7</f>
        <v>285.57142857142856</v>
      </c>
      <c r="M293" s="161"/>
      <c r="N293" s="161"/>
      <c r="O293" s="164">
        <f t="shared" si="31"/>
        <v>0</v>
      </c>
      <c r="P293" s="161"/>
      <c r="Q293" s="161"/>
      <c r="R293" s="164">
        <f>$L293*'Pivot Objective'!$C$9*P293*Q293</f>
        <v>0</v>
      </c>
      <c r="S293" s="161">
        <f>2*135*9</f>
        <v>2430</v>
      </c>
      <c r="T293" s="161">
        <v>1</v>
      </c>
      <c r="U293" s="164">
        <f>($L293*'Pivot Objective'!$C$9^2)*S293*T293</f>
        <v>906470.18975748552</v>
      </c>
      <c r="V293" s="161"/>
      <c r="W293" s="161"/>
      <c r="X293" s="164">
        <f>($L293*'Pivot Objective'!$C$9^3)*V293*W293</f>
        <v>0</v>
      </c>
      <c r="Y293" s="161"/>
      <c r="Z293" s="161"/>
      <c r="AA293" s="164">
        <f>($L293*'Pivot Objective'!$C$9^4)*Y293*Z293</f>
        <v>0</v>
      </c>
      <c r="AB293" s="161">
        <f>2*135*9</f>
        <v>2430</v>
      </c>
      <c r="AC293" s="161">
        <v>1</v>
      </c>
      <c r="AD293" s="164">
        <f>($L293*'Pivot Objective'!$C$9^5)*AB293*AC293</f>
        <v>1353325.5294119618</v>
      </c>
      <c r="AE293" s="151"/>
      <c r="AF293" s="151"/>
      <c r="AG293" s="164">
        <f>($L293*'Pivot Objective'!$C$9^6)*AE293*AF293</f>
        <v>0</v>
      </c>
      <c r="AH293" s="151"/>
      <c r="AI293" s="151"/>
      <c r="AJ293" s="164">
        <f>($L293*'Pivot Objective'!$C$9^7)*AH293*AI293</f>
        <v>0</v>
      </c>
      <c r="AK293" s="185">
        <f t="shared" si="32"/>
        <v>2259795.7191694472</v>
      </c>
      <c r="AL293" s="186">
        <f t="shared" si="33"/>
        <v>2193.976426378104</v>
      </c>
    </row>
    <row r="294" spans="1:38" ht="57.6" x14ac:dyDescent="0.3">
      <c r="A294" s="151" t="s">
        <v>1440</v>
      </c>
      <c r="B294" s="151">
        <v>1</v>
      </c>
      <c r="C294" s="152" t="s">
        <v>836</v>
      </c>
      <c r="D294" s="151" t="str">
        <f t="shared" si="26"/>
        <v>1</v>
      </c>
      <c r="E294" s="153" t="s">
        <v>837</v>
      </c>
      <c r="F294" s="151">
        <f t="shared" si="27"/>
        <v>12</v>
      </c>
      <c r="G294" s="151" t="str">
        <f t="shared" si="28"/>
        <v>1.1.12</v>
      </c>
      <c r="H294" s="156" t="s">
        <v>1686</v>
      </c>
      <c r="I294" s="159" t="s">
        <v>965</v>
      </c>
      <c r="J294" s="159" t="s">
        <v>972</v>
      </c>
      <c r="K294" s="159" t="s">
        <v>712</v>
      </c>
      <c r="L294" s="160">
        <f>1999/7</f>
        <v>285.57142857142856</v>
      </c>
      <c r="M294" s="161"/>
      <c r="N294" s="161"/>
      <c r="O294" s="164">
        <f t="shared" si="31"/>
        <v>0</v>
      </c>
      <c r="P294" s="161">
        <v>25</v>
      </c>
      <c r="Q294" s="161">
        <v>1</v>
      </c>
      <c r="R294" s="164">
        <f>$L294*'Pivot Objective'!$C$9*P294*Q294</f>
        <v>8159.6402603678553</v>
      </c>
      <c r="S294" s="161">
        <f>25*2*9</f>
        <v>450</v>
      </c>
      <c r="T294" s="161">
        <v>6</v>
      </c>
      <c r="U294" s="164">
        <f>($L294*'Pivot Objective'!$C$9^2)*S294*T294</f>
        <v>1007189.0997305395</v>
      </c>
      <c r="V294" s="161">
        <v>0</v>
      </c>
      <c r="W294" s="161">
        <v>0</v>
      </c>
      <c r="X294" s="164">
        <f>($L294*'Pivot Objective'!$C$9^3)*V294*W294</f>
        <v>0</v>
      </c>
      <c r="Y294" s="161">
        <v>0</v>
      </c>
      <c r="Z294" s="161">
        <v>0</v>
      </c>
      <c r="AA294" s="164">
        <f>($L294*'Pivot Objective'!$C$9^4)*Y294*Z294</f>
        <v>0</v>
      </c>
      <c r="AB294" s="161">
        <f>25*2*9</f>
        <v>450</v>
      </c>
      <c r="AC294" s="161">
        <v>6</v>
      </c>
      <c r="AD294" s="164">
        <f>($L294*'Pivot Objective'!$C$9^5)*AB294*AC294</f>
        <v>1503695.0326799578</v>
      </c>
      <c r="AE294" s="151"/>
      <c r="AF294" s="151"/>
      <c r="AG294" s="164">
        <f>($L294*'Pivot Objective'!$C$9^6)*AE294*AF294</f>
        <v>0</v>
      </c>
      <c r="AH294" s="151"/>
      <c r="AI294" s="151"/>
      <c r="AJ294" s="164">
        <f>($L294*'Pivot Objective'!$C$9^7)*AH294*AI294</f>
        <v>0</v>
      </c>
      <c r="AK294" s="185">
        <f t="shared" si="32"/>
        <v>2519043.7726708651</v>
      </c>
      <c r="AL294" s="186">
        <f t="shared" si="33"/>
        <v>2445.673565699869</v>
      </c>
    </row>
    <row r="295" spans="1:38" ht="57.6" x14ac:dyDescent="0.3">
      <c r="A295" s="151" t="s">
        <v>1440</v>
      </c>
      <c r="B295" s="151">
        <v>1</v>
      </c>
      <c r="C295" s="152" t="s">
        <v>836</v>
      </c>
      <c r="D295" s="151" t="str">
        <f t="shared" si="26"/>
        <v>1</v>
      </c>
      <c r="E295" s="153" t="s">
        <v>837</v>
      </c>
      <c r="F295" s="151">
        <f t="shared" si="27"/>
        <v>12</v>
      </c>
      <c r="G295" s="151" t="str">
        <f t="shared" si="28"/>
        <v>1.1.12</v>
      </c>
      <c r="H295" s="156" t="s">
        <v>1686</v>
      </c>
      <c r="I295" s="159" t="s">
        <v>965</v>
      </c>
      <c r="J295" s="159" t="s">
        <v>167</v>
      </c>
      <c r="K295" s="159" t="s">
        <v>709</v>
      </c>
      <c r="L295" s="160">
        <v>35000</v>
      </c>
      <c r="M295" s="161"/>
      <c r="N295" s="161"/>
      <c r="O295" s="164">
        <f t="shared" si="31"/>
        <v>0</v>
      </c>
      <c r="P295" s="161">
        <v>4000</v>
      </c>
      <c r="Q295" s="161">
        <v>1</v>
      </c>
      <c r="R295" s="164">
        <f>$L295*'Pivot Objective'!$C$9*P295*Q295</f>
        <v>160008953.57999998</v>
      </c>
      <c r="S295" s="161">
        <v>30</v>
      </c>
      <c r="T295" s="161">
        <v>5</v>
      </c>
      <c r="U295" s="164">
        <f>($L295*'Pivot Objective'!$C$9^2)*S295*T295</f>
        <v>6857910.3283303361</v>
      </c>
      <c r="V295" s="161">
        <v>0</v>
      </c>
      <c r="W295" s="161">
        <v>0</v>
      </c>
      <c r="X295" s="164">
        <f>($L295*'Pivot Objective'!$C$9^3)*V295*W295</f>
        <v>0</v>
      </c>
      <c r="Y295" s="161">
        <v>0</v>
      </c>
      <c r="Z295" s="161">
        <v>0</v>
      </c>
      <c r="AA295" s="164">
        <f>($L295*'Pivot Objective'!$C$9^4)*Y295*Z295</f>
        <v>0</v>
      </c>
      <c r="AB295" s="161">
        <v>30</v>
      </c>
      <c r="AC295" s="161">
        <v>5</v>
      </c>
      <c r="AD295" s="164">
        <f>($L295*'Pivot Objective'!$C$9^5)*AB295*AC295</f>
        <v>10238599.383207982</v>
      </c>
      <c r="AE295" s="151"/>
      <c r="AF295" s="151"/>
      <c r="AG295" s="164">
        <f>($L295*'Pivot Objective'!$C$9^6)*AE295*AF295</f>
        <v>0</v>
      </c>
      <c r="AH295" s="151"/>
      <c r="AI295" s="151"/>
      <c r="AJ295" s="164">
        <f>($L295*'Pivot Objective'!$C$9^7)*AH295*AI295</f>
        <v>0</v>
      </c>
      <c r="AK295" s="185">
        <f t="shared" si="32"/>
        <v>177105463.2915383</v>
      </c>
      <c r="AL295" s="186">
        <f t="shared" si="33"/>
        <v>171947.05173935756</v>
      </c>
    </row>
    <row r="296" spans="1:38" ht="57.6" x14ac:dyDescent="0.3">
      <c r="A296" s="151" t="s">
        <v>1440</v>
      </c>
      <c r="B296" s="151">
        <v>1</v>
      </c>
      <c r="C296" s="152" t="s">
        <v>836</v>
      </c>
      <c r="D296" s="151" t="str">
        <f t="shared" si="26"/>
        <v>1</v>
      </c>
      <c r="E296" s="153" t="s">
        <v>837</v>
      </c>
      <c r="F296" s="151">
        <f t="shared" si="27"/>
        <v>12</v>
      </c>
      <c r="G296" s="151" t="str">
        <f t="shared" si="28"/>
        <v>1.1.12</v>
      </c>
      <c r="H296" s="156" t="s">
        <v>1686</v>
      </c>
      <c r="I296" s="159" t="s">
        <v>965</v>
      </c>
      <c r="J296" s="159" t="s">
        <v>157</v>
      </c>
      <c r="K296" s="159" t="s">
        <v>713</v>
      </c>
      <c r="L296" s="160">
        <v>45000</v>
      </c>
      <c r="M296" s="161"/>
      <c r="N296" s="161"/>
      <c r="O296" s="164">
        <f t="shared" si="31"/>
        <v>0</v>
      </c>
      <c r="P296" s="161">
        <v>25</v>
      </c>
      <c r="Q296" s="161">
        <v>1</v>
      </c>
      <c r="R296" s="164">
        <f>$L296*'Pivot Objective'!$C$9*P296*Q296</f>
        <v>1285786.2341249997</v>
      </c>
      <c r="S296" s="161">
        <v>30</v>
      </c>
      <c r="T296" s="161">
        <v>5</v>
      </c>
      <c r="U296" s="164">
        <f>($L296*'Pivot Objective'!$C$9^2)*S296*T296</f>
        <v>8817313.2792818621</v>
      </c>
      <c r="V296" s="161">
        <v>0</v>
      </c>
      <c r="W296" s="161">
        <v>0</v>
      </c>
      <c r="X296" s="164">
        <f>($L296*'Pivot Objective'!$C$9^3)*V296*W296</f>
        <v>0</v>
      </c>
      <c r="Y296" s="161">
        <v>0</v>
      </c>
      <c r="Z296" s="161">
        <v>0</v>
      </c>
      <c r="AA296" s="164">
        <f>($L296*'Pivot Objective'!$C$9^4)*Y296*Z296</f>
        <v>0</v>
      </c>
      <c r="AB296" s="161">
        <v>30</v>
      </c>
      <c r="AC296" s="161">
        <v>5</v>
      </c>
      <c r="AD296" s="164">
        <f>($L296*'Pivot Objective'!$C$9^5)*AB296*AC296</f>
        <v>13163913.492695978</v>
      </c>
      <c r="AE296" s="151"/>
      <c r="AF296" s="151"/>
      <c r="AG296" s="164">
        <f>($L296*'Pivot Objective'!$C$9^6)*AE296*AF296</f>
        <v>0</v>
      </c>
      <c r="AH296" s="151"/>
      <c r="AI296" s="151"/>
      <c r="AJ296" s="164">
        <f>($L296*'Pivot Objective'!$C$9^7)*AH296*AI296</f>
        <v>0</v>
      </c>
      <c r="AK296" s="185">
        <f t="shared" si="32"/>
        <v>23267013.006102838</v>
      </c>
      <c r="AL296" s="186">
        <f t="shared" si="33"/>
        <v>22589.333015633823</v>
      </c>
    </row>
    <row r="297" spans="1:38" ht="57.6" x14ac:dyDescent="0.3">
      <c r="A297" s="151" t="s">
        <v>1440</v>
      </c>
      <c r="B297" s="151">
        <v>1</v>
      </c>
      <c r="C297" s="152" t="s">
        <v>836</v>
      </c>
      <c r="D297" s="151" t="str">
        <f t="shared" si="26"/>
        <v>1</v>
      </c>
      <c r="E297" s="153" t="s">
        <v>837</v>
      </c>
      <c r="F297" s="151">
        <f t="shared" si="27"/>
        <v>12</v>
      </c>
      <c r="G297" s="151" t="str">
        <f t="shared" si="28"/>
        <v>1.1.12</v>
      </c>
      <c r="H297" s="156" t="s">
        <v>1686</v>
      </c>
      <c r="I297" s="159" t="s">
        <v>965</v>
      </c>
      <c r="J297" s="159" t="s">
        <v>157</v>
      </c>
      <c r="K297" s="159" t="s">
        <v>712</v>
      </c>
      <c r="L297" s="160">
        <f>1999/7</f>
        <v>285.57142857142856</v>
      </c>
      <c r="M297" s="161"/>
      <c r="N297" s="161"/>
      <c r="O297" s="164">
        <f t="shared" si="31"/>
        <v>0</v>
      </c>
      <c r="P297" s="161">
        <v>25</v>
      </c>
      <c r="Q297" s="161">
        <v>10</v>
      </c>
      <c r="R297" s="164">
        <f>$L297*'Pivot Objective'!$C$9*P297*Q297</f>
        <v>81596.402603678551</v>
      </c>
      <c r="S297" s="161">
        <f>25*2*9</f>
        <v>450</v>
      </c>
      <c r="T297" s="161">
        <v>5</v>
      </c>
      <c r="U297" s="164">
        <f>($L297*'Pivot Objective'!$C$9^2)*S297*T297</f>
        <v>839324.24977544951</v>
      </c>
      <c r="V297" s="161">
        <v>0</v>
      </c>
      <c r="W297" s="161">
        <v>0</v>
      </c>
      <c r="X297" s="164">
        <f>($L297*'Pivot Objective'!$C$9^3)*V297*W297</f>
        <v>0</v>
      </c>
      <c r="Y297" s="161">
        <v>0</v>
      </c>
      <c r="Z297" s="161">
        <v>0</v>
      </c>
      <c r="AA297" s="164">
        <f>($L297*'Pivot Objective'!$C$9^4)*Y297*Z297</f>
        <v>0</v>
      </c>
      <c r="AB297" s="161">
        <f>25*2*9</f>
        <v>450</v>
      </c>
      <c r="AC297" s="161">
        <v>5</v>
      </c>
      <c r="AD297" s="164">
        <f>($L297*'Pivot Objective'!$C$9^5)*AB297*AC297</f>
        <v>1253079.1938999647</v>
      </c>
      <c r="AE297" s="151"/>
      <c r="AF297" s="151"/>
      <c r="AG297" s="164">
        <f>($L297*'Pivot Objective'!$C$9^6)*AE297*AF297</f>
        <v>0</v>
      </c>
      <c r="AH297" s="151"/>
      <c r="AI297" s="151"/>
      <c r="AJ297" s="164">
        <f>($L297*'Pivot Objective'!$C$9^7)*AH297*AI297</f>
        <v>0</v>
      </c>
      <c r="AK297" s="185">
        <f t="shared" si="32"/>
        <v>2173999.8462790926</v>
      </c>
      <c r="AL297" s="186">
        <f t="shared" si="33"/>
        <v>2110.6794624068862</v>
      </c>
    </row>
    <row r="298" spans="1:38" ht="57.6" x14ac:dyDescent="0.3">
      <c r="A298" s="151" t="s">
        <v>1440</v>
      </c>
      <c r="B298" s="151">
        <v>1</v>
      </c>
      <c r="C298" s="152" t="s">
        <v>836</v>
      </c>
      <c r="D298" s="151" t="str">
        <f t="shared" si="26"/>
        <v>1</v>
      </c>
      <c r="E298" s="153" t="s">
        <v>837</v>
      </c>
      <c r="F298" s="151">
        <f t="shared" si="27"/>
        <v>12</v>
      </c>
      <c r="G298" s="151" t="str">
        <f t="shared" si="28"/>
        <v>1.1.12</v>
      </c>
      <c r="H298" s="156" t="s">
        <v>1686</v>
      </c>
      <c r="I298" s="159" t="s">
        <v>965</v>
      </c>
      <c r="J298" s="159" t="s">
        <v>157</v>
      </c>
      <c r="K298" s="159" t="s">
        <v>1303</v>
      </c>
      <c r="L298" s="160">
        <f>1999/7</f>
        <v>285.57142857142856</v>
      </c>
      <c r="M298" s="161"/>
      <c r="N298" s="161"/>
      <c r="O298" s="164">
        <f t="shared" si="31"/>
        <v>0</v>
      </c>
      <c r="P298" s="161"/>
      <c r="Q298" s="161"/>
      <c r="R298" s="164">
        <f>$L298*'Pivot Objective'!$C$9*P298*Q298</f>
        <v>0</v>
      </c>
      <c r="S298" s="161">
        <v>22500</v>
      </c>
      <c r="T298" s="161">
        <v>1</v>
      </c>
      <c r="U298" s="164">
        <f>($L298*'Pivot Objective'!$C$9^2)*S298*T298</f>
        <v>8393242.4977544956</v>
      </c>
      <c r="V298" s="161"/>
      <c r="W298" s="161"/>
      <c r="X298" s="164">
        <f>($L298*'Pivot Objective'!$C$9^3)*V298*W298</f>
        <v>0</v>
      </c>
      <c r="Y298" s="161"/>
      <c r="Z298" s="161"/>
      <c r="AA298" s="164">
        <f>($L298*'Pivot Objective'!$C$9^4)*Y298*Z298</f>
        <v>0</v>
      </c>
      <c r="AB298" s="161">
        <v>22500</v>
      </c>
      <c r="AC298" s="161">
        <v>1</v>
      </c>
      <c r="AD298" s="164">
        <f>($L298*'Pivot Objective'!$C$9^5)*AB298*AC298</f>
        <v>12530791.938999647</v>
      </c>
      <c r="AE298" s="151"/>
      <c r="AF298" s="151"/>
      <c r="AG298" s="164">
        <f>($L298*'Pivot Objective'!$C$9^6)*AE298*AF298</f>
        <v>0</v>
      </c>
      <c r="AH298" s="151"/>
      <c r="AI298" s="151"/>
      <c r="AJ298" s="164">
        <f>($L298*'Pivot Objective'!$C$9^7)*AH298*AI298</f>
        <v>0</v>
      </c>
      <c r="AK298" s="185">
        <f t="shared" si="32"/>
        <v>20924034.436754145</v>
      </c>
      <c r="AL298" s="186">
        <f t="shared" si="33"/>
        <v>20314.596540538005</v>
      </c>
    </row>
    <row r="299" spans="1:38" ht="57.6" x14ac:dyDescent="0.3">
      <c r="A299" s="151" t="s">
        <v>1440</v>
      </c>
      <c r="B299" s="151">
        <v>1</v>
      </c>
      <c r="C299" s="152" t="s">
        <v>836</v>
      </c>
      <c r="D299" s="151" t="str">
        <f t="shared" si="26"/>
        <v>1</v>
      </c>
      <c r="E299" s="153" t="s">
        <v>837</v>
      </c>
      <c r="F299" s="151">
        <f t="shared" si="27"/>
        <v>12</v>
      </c>
      <c r="G299" s="151" t="str">
        <f t="shared" si="28"/>
        <v>1.1.12</v>
      </c>
      <c r="H299" s="156" t="s">
        <v>1686</v>
      </c>
      <c r="I299" s="159" t="s">
        <v>965</v>
      </c>
      <c r="J299" s="159" t="s">
        <v>157</v>
      </c>
      <c r="K299" s="159" t="s">
        <v>714</v>
      </c>
      <c r="L299" s="160">
        <v>10000</v>
      </c>
      <c r="M299" s="161"/>
      <c r="N299" s="161"/>
      <c r="O299" s="164">
        <f t="shared" si="31"/>
        <v>0</v>
      </c>
      <c r="P299" s="161">
        <v>20000</v>
      </c>
      <c r="Q299" s="161">
        <v>1</v>
      </c>
      <c r="R299" s="164">
        <f>$L299*'Pivot Objective'!$C$9*P299*Q299</f>
        <v>228584219.39999998</v>
      </c>
      <c r="S299" s="161">
        <v>15</v>
      </c>
      <c r="T299" s="161">
        <v>1</v>
      </c>
      <c r="U299" s="164">
        <f>($L299*'Pivot Objective'!$C$9^2)*S299*T299</f>
        <v>195940.29509515248</v>
      </c>
      <c r="V299" s="161">
        <v>0</v>
      </c>
      <c r="W299" s="161">
        <v>0</v>
      </c>
      <c r="X299" s="164">
        <f>($L299*'Pivot Objective'!$C$9^3)*V299*W299</f>
        <v>0</v>
      </c>
      <c r="Y299" s="161">
        <v>0</v>
      </c>
      <c r="Z299" s="161">
        <v>0</v>
      </c>
      <c r="AA299" s="164">
        <f>($L299*'Pivot Objective'!$C$9^4)*Y299*Z299</f>
        <v>0</v>
      </c>
      <c r="AB299" s="161">
        <v>15</v>
      </c>
      <c r="AC299" s="161">
        <v>1</v>
      </c>
      <c r="AD299" s="164">
        <f>($L299*'Pivot Objective'!$C$9^5)*AB299*AC299</f>
        <v>292531.41094879952</v>
      </c>
      <c r="AE299" s="151"/>
      <c r="AF299" s="151"/>
      <c r="AG299" s="164">
        <f>($L299*'Pivot Objective'!$C$9^6)*AE299*AF299</f>
        <v>0</v>
      </c>
      <c r="AH299" s="151"/>
      <c r="AI299" s="151"/>
      <c r="AJ299" s="164">
        <f>($L299*'Pivot Objective'!$C$9^7)*AH299*AI299</f>
        <v>0</v>
      </c>
      <c r="AK299" s="185">
        <f t="shared" si="32"/>
        <v>229072691.10604393</v>
      </c>
      <c r="AL299" s="186">
        <f t="shared" si="33"/>
        <v>222400.67097674168</v>
      </c>
    </row>
    <row r="300" spans="1:38" ht="57.6" x14ac:dyDescent="0.3">
      <c r="A300" s="151" t="s">
        <v>1440</v>
      </c>
      <c r="B300" s="151">
        <v>1</v>
      </c>
      <c r="C300" s="152" t="s">
        <v>836</v>
      </c>
      <c r="D300" s="151" t="str">
        <f t="shared" si="26"/>
        <v>1</v>
      </c>
      <c r="E300" s="153" t="s">
        <v>837</v>
      </c>
      <c r="F300" s="151">
        <f t="shared" si="27"/>
        <v>12</v>
      </c>
      <c r="G300" s="151" t="str">
        <f t="shared" si="28"/>
        <v>1.1.12</v>
      </c>
      <c r="H300" s="156" t="s">
        <v>1686</v>
      </c>
      <c r="I300" s="159" t="s">
        <v>965</v>
      </c>
      <c r="J300" s="159" t="s">
        <v>157</v>
      </c>
      <c r="K300" s="159" t="s">
        <v>715</v>
      </c>
      <c r="L300" s="160">
        <v>302000</v>
      </c>
      <c r="M300" s="161"/>
      <c r="N300" s="161"/>
      <c r="O300" s="164">
        <f t="shared" si="31"/>
        <v>0</v>
      </c>
      <c r="P300" s="161">
        <v>15</v>
      </c>
      <c r="Q300" s="161">
        <v>1</v>
      </c>
      <c r="R300" s="164">
        <f>$L300*'Pivot Objective'!$C$9*P300*Q300</f>
        <v>5177432.5694099991</v>
      </c>
      <c r="S300" s="161">
        <v>15</v>
      </c>
      <c r="T300" s="161">
        <v>1</v>
      </c>
      <c r="U300" s="164">
        <f>($L300*'Pivot Objective'!$C$9^2)*S300*T300</f>
        <v>5917396.9118736051</v>
      </c>
      <c r="V300" s="161">
        <v>0</v>
      </c>
      <c r="W300" s="161">
        <v>0</v>
      </c>
      <c r="X300" s="164">
        <f>($L300*'Pivot Objective'!$C$9^3)*V300*W300</f>
        <v>0</v>
      </c>
      <c r="Y300" s="161">
        <v>0</v>
      </c>
      <c r="Z300" s="161">
        <v>0</v>
      </c>
      <c r="AA300" s="164">
        <f>($L300*'Pivot Objective'!$C$9^4)*Y300*Z300</f>
        <v>0</v>
      </c>
      <c r="AB300" s="161">
        <v>15</v>
      </c>
      <c r="AC300" s="161">
        <v>1</v>
      </c>
      <c r="AD300" s="164">
        <f>($L300*'Pivot Objective'!$C$9^5)*AB300*AC300</f>
        <v>8834448.6106537469</v>
      </c>
      <c r="AE300" s="151"/>
      <c r="AF300" s="151"/>
      <c r="AG300" s="164">
        <f>($L300*'Pivot Objective'!$C$9^6)*AE300*AF300</f>
        <v>0</v>
      </c>
      <c r="AH300" s="151"/>
      <c r="AI300" s="151"/>
      <c r="AJ300" s="164">
        <f>($L300*'Pivot Objective'!$C$9^7)*AH300*AI300</f>
        <v>0</v>
      </c>
      <c r="AK300" s="185">
        <f t="shared" si="32"/>
        <v>19929278.091937352</v>
      </c>
      <c r="AL300" s="186">
        <f t="shared" si="33"/>
        <v>19348.813681492575</v>
      </c>
    </row>
    <row r="301" spans="1:38" ht="57.6" x14ac:dyDescent="0.3">
      <c r="A301" s="151" t="s">
        <v>1440</v>
      </c>
      <c r="B301" s="151">
        <v>1</v>
      </c>
      <c r="C301" s="152" t="s">
        <v>836</v>
      </c>
      <c r="D301" s="151" t="str">
        <f t="shared" si="26"/>
        <v>1</v>
      </c>
      <c r="E301" s="153" t="s">
        <v>837</v>
      </c>
      <c r="F301" s="151">
        <f t="shared" si="27"/>
        <v>12</v>
      </c>
      <c r="G301" s="151" t="str">
        <f t="shared" si="28"/>
        <v>1.1.12</v>
      </c>
      <c r="H301" s="156" t="s">
        <v>1686</v>
      </c>
      <c r="I301" s="159" t="s">
        <v>965</v>
      </c>
      <c r="J301" s="159" t="s">
        <v>152</v>
      </c>
      <c r="K301" s="159" t="s">
        <v>716</v>
      </c>
      <c r="L301" s="160">
        <v>39000</v>
      </c>
      <c r="M301" s="161"/>
      <c r="N301" s="161"/>
      <c r="O301" s="164">
        <f t="shared" si="31"/>
        <v>0</v>
      </c>
      <c r="P301" s="161">
        <v>20</v>
      </c>
      <c r="Q301" s="161">
        <v>1</v>
      </c>
      <c r="R301" s="164">
        <f>$L301*'Pivot Objective'!$C$9*P301*Q301</f>
        <v>891478.45565999986</v>
      </c>
      <c r="S301" s="161">
        <v>25</v>
      </c>
      <c r="T301" s="161">
        <v>6</v>
      </c>
      <c r="U301" s="164">
        <f>($L301*'Pivot Objective'!$C$9^2)*S301*T301</f>
        <v>7641671.5087109469</v>
      </c>
      <c r="V301" s="161">
        <v>0</v>
      </c>
      <c r="W301" s="161">
        <v>0</v>
      </c>
      <c r="X301" s="164">
        <f>($L301*'Pivot Objective'!$C$9^3)*V301*W301</f>
        <v>0</v>
      </c>
      <c r="Y301" s="161">
        <v>0</v>
      </c>
      <c r="Z301" s="161">
        <v>0</v>
      </c>
      <c r="AA301" s="164">
        <f>($L301*'Pivot Objective'!$C$9^4)*Y301*Z301</f>
        <v>0</v>
      </c>
      <c r="AB301" s="161">
        <v>25</v>
      </c>
      <c r="AC301" s="161">
        <v>6</v>
      </c>
      <c r="AD301" s="164">
        <f>($L301*'Pivot Objective'!$C$9^5)*AB301*AC301</f>
        <v>11408725.027003182</v>
      </c>
      <c r="AE301" s="151"/>
      <c r="AF301" s="151"/>
      <c r="AG301" s="164">
        <f>($L301*'Pivot Objective'!$C$9^6)*AE301*AF301</f>
        <v>0</v>
      </c>
      <c r="AH301" s="151"/>
      <c r="AI301" s="151"/>
      <c r="AJ301" s="164">
        <f>($L301*'Pivot Objective'!$C$9^7)*AH301*AI301</f>
        <v>0</v>
      </c>
      <c r="AK301" s="185">
        <f t="shared" si="32"/>
        <v>19941874.991374128</v>
      </c>
      <c r="AL301" s="186">
        <f t="shared" si="33"/>
        <v>19361.043680945753</v>
      </c>
    </row>
    <row r="302" spans="1:38" ht="57.6" x14ac:dyDescent="0.3">
      <c r="A302" s="151" t="s">
        <v>1440</v>
      </c>
      <c r="B302" s="151">
        <v>1</v>
      </c>
      <c r="C302" s="152" t="s">
        <v>836</v>
      </c>
      <c r="D302" s="151" t="str">
        <f t="shared" ref="D302:D406" si="34">RIGHT(A302,1)</f>
        <v>1</v>
      </c>
      <c r="E302" s="153" t="s">
        <v>837</v>
      </c>
      <c r="F302" s="151">
        <f t="shared" si="27"/>
        <v>12</v>
      </c>
      <c r="G302" s="151" t="str">
        <f t="shared" si="28"/>
        <v>1.1.12</v>
      </c>
      <c r="H302" s="156" t="s">
        <v>1686</v>
      </c>
      <c r="I302" s="159" t="s">
        <v>965</v>
      </c>
      <c r="J302" s="159" t="s">
        <v>152</v>
      </c>
      <c r="K302" s="159" t="s">
        <v>709</v>
      </c>
      <c r="L302" s="160">
        <v>35000</v>
      </c>
      <c r="M302" s="161"/>
      <c r="N302" s="161"/>
      <c r="O302" s="164">
        <f t="shared" si="31"/>
        <v>0</v>
      </c>
      <c r="P302" s="161">
        <v>25</v>
      </c>
      <c r="Q302" s="161">
        <v>5</v>
      </c>
      <c r="R302" s="164">
        <f>$L302*'Pivot Objective'!$C$9*P302*Q302</f>
        <v>5000279.7993749995</v>
      </c>
      <c r="S302" s="161">
        <v>25</v>
      </c>
      <c r="T302" s="161">
        <v>5</v>
      </c>
      <c r="U302" s="164">
        <f>($L302*'Pivot Objective'!$C$9^2)*S302*T302</f>
        <v>5714925.2736086138</v>
      </c>
      <c r="V302" s="161">
        <v>0</v>
      </c>
      <c r="W302" s="161">
        <v>0</v>
      </c>
      <c r="X302" s="164">
        <f>($L302*'Pivot Objective'!$C$9^3)*V302*W302</f>
        <v>0</v>
      </c>
      <c r="Y302" s="161">
        <v>0</v>
      </c>
      <c r="Z302" s="161">
        <v>0</v>
      </c>
      <c r="AA302" s="164">
        <f>($L302*'Pivot Objective'!$C$9^4)*Y302*Z302</f>
        <v>0</v>
      </c>
      <c r="AB302" s="161">
        <v>25</v>
      </c>
      <c r="AC302" s="161">
        <v>5</v>
      </c>
      <c r="AD302" s="164">
        <f>($L302*'Pivot Objective'!$C$9^5)*AB302*AC302</f>
        <v>8532166.152673319</v>
      </c>
      <c r="AE302" s="151"/>
      <c r="AF302" s="151"/>
      <c r="AG302" s="164">
        <f>($L302*'Pivot Objective'!$C$9^6)*AE302*AF302</f>
        <v>0</v>
      </c>
      <c r="AH302" s="151"/>
      <c r="AI302" s="151"/>
      <c r="AJ302" s="164">
        <f>($L302*'Pivot Objective'!$C$9^7)*AH302*AI302</f>
        <v>0</v>
      </c>
      <c r="AK302" s="185">
        <f t="shared" si="32"/>
        <v>19247371.225656934</v>
      </c>
      <c r="AL302" s="186">
        <f t="shared" si="33"/>
        <v>18686.768180249452</v>
      </c>
    </row>
    <row r="303" spans="1:38" ht="57.6" x14ac:dyDescent="0.3">
      <c r="A303" s="151" t="s">
        <v>1440</v>
      </c>
      <c r="B303" s="151">
        <v>1</v>
      </c>
      <c r="C303" s="152" t="s">
        <v>836</v>
      </c>
      <c r="D303" s="151" t="str">
        <f t="shared" si="34"/>
        <v>1</v>
      </c>
      <c r="E303" s="153" t="s">
        <v>837</v>
      </c>
      <c r="F303" s="151">
        <f t="shared" ref="F303:F324" si="35">IF(H303=H302,F302,F302+1)</f>
        <v>12</v>
      </c>
      <c r="G303" s="151" t="str">
        <f t="shared" ref="G303:G407" si="36">B303&amp;"."&amp;D303&amp;"."&amp;F303</f>
        <v>1.1.12</v>
      </c>
      <c r="H303" s="156" t="s">
        <v>1686</v>
      </c>
      <c r="I303" s="159" t="s">
        <v>965</v>
      </c>
      <c r="J303" s="159" t="s">
        <v>152</v>
      </c>
      <c r="K303" s="159" t="s">
        <v>712</v>
      </c>
      <c r="L303" s="160">
        <f>1999/7</f>
        <v>285.57142857142856</v>
      </c>
      <c r="M303" s="161"/>
      <c r="N303" s="161"/>
      <c r="O303" s="164">
        <f t="shared" si="31"/>
        <v>0</v>
      </c>
      <c r="P303" s="161">
        <v>25</v>
      </c>
      <c r="Q303" s="161">
        <v>5</v>
      </c>
      <c r="R303" s="164">
        <f>$L303*'Pivot Objective'!$C$9*P303*Q303</f>
        <v>40798.201301839275</v>
      </c>
      <c r="S303" s="161">
        <f>25*2*9</f>
        <v>450</v>
      </c>
      <c r="T303" s="161">
        <v>5</v>
      </c>
      <c r="U303" s="164">
        <f>($L303*'Pivot Objective'!$C$9^2)*S303*T303</f>
        <v>839324.24977544951</v>
      </c>
      <c r="V303" s="161">
        <v>0</v>
      </c>
      <c r="W303" s="161">
        <v>0</v>
      </c>
      <c r="X303" s="164">
        <f>($L303*'Pivot Objective'!$C$9^3)*V303*W303</f>
        <v>0</v>
      </c>
      <c r="Y303" s="161">
        <v>0</v>
      </c>
      <c r="Z303" s="161">
        <v>0</v>
      </c>
      <c r="AA303" s="164">
        <f>($L303*'Pivot Objective'!$C$9^4)*Y303*Z303</f>
        <v>0</v>
      </c>
      <c r="AB303" s="161">
        <f>25*2*9</f>
        <v>450</v>
      </c>
      <c r="AC303" s="161">
        <v>5</v>
      </c>
      <c r="AD303" s="164">
        <f>($L303*'Pivot Objective'!$C$9^5)*AB303*AC303</f>
        <v>1253079.1938999647</v>
      </c>
      <c r="AE303" s="151"/>
      <c r="AF303" s="151"/>
      <c r="AG303" s="164">
        <f>($L303*'Pivot Objective'!$C$9^6)*AE303*AF303</f>
        <v>0</v>
      </c>
      <c r="AH303" s="151"/>
      <c r="AI303" s="151"/>
      <c r="AJ303" s="164">
        <f>($L303*'Pivot Objective'!$C$9^7)*AH303*AI303</f>
        <v>0</v>
      </c>
      <c r="AK303" s="185">
        <f t="shared" si="32"/>
        <v>2133201.6449772534</v>
      </c>
      <c r="AL303" s="186">
        <f t="shared" si="33"/>
        <v>2071.0695582303433</v>
      </c>
    </row>
    <row r="304" spans="1:38" ht="57.6" x14ac:dyDescent="0.3">
      <c r="A304" s="151" t="s">
        <v>1440</v>
      </c>
      <c r="B304" s="151">
        <v>1</v>
      </c>
      <c r="C304" s="152" t="s">
        <v>836</v>
      </c>
      <c r="D304" s="151" t="str">
        <f t="shared" si="34"/>
        <v>1</v>
      </c>
      <c r="E304" s="153" t="s">
        <v>837</v>
      </c>
      <c r="F304" s="151">
        <f t="shared" si="35"/>
        <v>12</v>
      </c>
      <c r="G304" s="151" t="str">
        <f t="shared" si="36"/>
        <v>1.1.12</v>
      </c>
      <c r="H304" s="156" t="s">
        <v>1686</v>
      </c>
      <c r="I304" s="159" t="s">
        <v>965</v>
      </c>
      <c r="J304" s="159" t="s">
        <v>152</v>
      </c>
      <c r="K304" s="159" t="s">
        <v>1303</v>
      </c>
      <c r="L304" s="160">
        <f>1999/7</f>
        <v>285.57142857142856</v>
      </c>
      <c r="M304" s="161"/>
      <c r="N304" s="161"/>
      <c r="O304" s="164">
        <f t="shared" si="31"/>
        <v>0</v>
      </c>
      <c r="P304" s="161"/>
      <c r="Q304" s="161"/>
      <c r="R304" s="164">
        <f>$L304*'Pivot Objective'!$C$9*P304*Q304</f>
        <v>0</v>
      </c>
      <c r="S304" s="161">
        <f>2*135*9</f>
        <v>2430</v>
      </c>
      <c r="T304" s="161">
        <v>1</v>
      </c>
      <c r="U304" s="164">
        <f>($L304*'Pivot Objective'!$C$9^2)*S304*T304</f>
        <v>906470.18975748552</v>
      </c>
      <c r="V304" s="161"/>
      <c r="W304" s="161"/>
      <c r="X304" s="164">
        <f>($L304*'Pivot Objective'!$C$9^3)*V304*W304</f>
        <v>0</v>
      </c>
      <c r="Y304" s="161"/>
      <c r="Z304" s="161"/>
      <c r="AA304" s="164">
        <f>($L304*'Pivot Objective'!$C$9^4)*Y304*Z304</f>
        <v>0</v>
      </c>
      <c r="AB304" s="161">
        <f>2*135*9</f>
        <v>2430</v>
      </c>
      <c r="AC304" s="161">
        <v>1</v>
      </c>
      <c r="AD304" s="164">
        <f>($L304*'Pivot Objective'!$C$9^5)*AB304*AC304</f>
        <v>1353325.5294119618</v>
      </c>
      <c r="AE304" s="151"/>
      <c r="AF304" s="151"/>
      <c r="AG304" s="164">
        <f>($L304*'Pivot Objective'!$C$9^6)*AE304*AF304</f>
        <v>0</v>
      </c>
      <c r="AH304" s="151"/>
      <c r="AI304" s="151"/>
      <c r="AJ304" s="164">
        <f>($L304*'Pivot Objective'!$C$9^7)*AH304*AI304</f>
        <v>0</v>
      </c>
      <c r="AK304" s="185">
        <f t="shared" si="32"/>
        <v>2259795.7191694472</v>
      </c>
      <c r="AL304" s="186">
        <f t="shared" si="33"/>
        <v>2193.976426378104</v>
      </c>
    </row>
    <row r="305" spans="1:38" ht="57.6" x14ac:dyDescent="0.3">
      <c r="A305" s="151" t="s">
        <v>1440</v>
      </c>
      <c r="B305" s="151">
        <v>1</v>
      </c>
      <c r="C305" s="152" t="s">
        <v>836</v>
      </c>
      <c r="D305" s="151" t="str">
        <f t="shared" si="34"/>
        <v>1</v>
      </c>
      <c r="E305" s="153" t="s">
        <v>837</v>
      </c>
      <c r="F305" s="151">
        <f t="shared" si="35"/>
        <v>12</v>
      </c>
      <c r="G305" s="151" t="str">
        <f t="shared" si="36"/>
        <v>1.1.12</v>
      </c>
      <c r="H305" s="156" t="s">
        <v>1686</v>
      </c>
      <c r="I305" s="159" t="s">
        <v>965</v>
      </c>
      <c r="J305" s="159" t="s">
        <v>973</v>
      </c>
      <c r="K305" s="159" t="s">
        <v>709</v>
      </c>
      <c r="L305" s="160">
        <v>35000</v>
      </c>
      <c r="M305" s="161"/>
      <c r="N305" s="161"/>
      <c r="O305" s="164">
        <f t="shared" si="31"/>
        <v>0</v>
      </c>
      <c r="P305" s="161">
        <v>4000</v>
      </c>
      <c r="Q305" s="161">
        <v>1</v>
      </c>
      <c r="R305" s="164">
        <f>$L305*'Pivot Objective'!$C$9*P305*Q305</f>
        <v>160008953.57999998</v>
      </c>
      <c r="S305" s="161">
        <v>30</v>
      </c>
      <c r="T305" s="161">
        <v>5</v>
      </c>
      <c r="U305" s="164">
        <f>($L305*'Pivot Objective'!$C$9^2)*S305*T305</f>
        <v>6857910.3283303361</v>
      </c>
      <c r="V305" s="161">
        <v>0</v>
      </c>
      <c r="W305" s="161">
        <v>0</v>
      </c>
      <c r="X305" s="164">
        <f>($L305*'Pivot Objective'!$C$9^3)*V305*W305</f>
        <v>0</v>
      </c>
      <c r="Y305" s="161">
        <v>0</v>
      </c>
      <c r="Z305" s="161">
        <v>0</v>
      </c>
      <c r="AA305" s="164">
        <f>($L305*'Pivot Objective'!$C$9^4)*Y305*Z305</f>
        <v>0</v>
      </c>
      <c r="AB305" s="161">
        <v>30</v>
      </c>
      <c r="AC305" s="161">
        <v>5</v>
      </c>
      <c r="AD305" s="164">
        <f>($L305*'Pivot Objective'!$C$9^5)*AB305*AC305</f>
        <v>10238599.383207982</v>
      </c>
      <c r="AE305" s="151"/>
      <c r="AF305" s="151"/>
      <c r="AG305" s="164">
        <f>($L305*'Pivot Objective'!$C$9^6)*AE305*AF305</f>
        <v>0</v>
      </c>
      <c r="AH305" s="151"/>
      <c r="AI305" s="151"/>
      <c r="AJ305" s="164">
        <f>($L305*'Pivot Objective'!$C$9^7)*AH305*AI305</f>
        <v>0</v>
      </c>
      <c r="AK305" s="185">
        <f t="shared" si="32"/>
        <v>177105463.2915383</v>
      </c>
      <c r="AL305" s="186">
        <f t="shared" si="33"/>
        <v>171947.05173935756</v>
      </c>
    </row>
    <row r="306" spans="1:38" ht="57.6" x14ac:dyDescent="0.3">
      <c r="A306" s="151" t="s">
        <v>1440</v>
      </c>
      <c r="B306" s="151">
        <v>1</v>
      </c>
      <c r="C306" s="152" t="s">
        <v>836</v>
      </c>
      <c r="D306" s="151" t="str">
        <f t="shared" si="34"/>
        <v>1</v>
      </c>
      <c r="E306" s="153" t="s">
        <v>837</v>
      </c>
      <c r="F306" s="151">
        <f t="shared" si="35"/>
        <v>12</v>
      </c>
      <c r="G306" s="151" t="str">
        <f t="shared" si="36"/>
        <v>1.1.12</v>
      </c>
      <c r="H306" s="156" t="s">
        <v>1686</v>
      </c>
      <c r="I306" s="159" t="s">
        <v>965</v>
      </c>
      <c r="J306" s="159" t="s">
        <v>973</v>
      </c>
      <c r="K306" s="159" t="s">
        <v>716</v>
      </c>
      <c r="L306" s="160">
        <v>39000</v>
      </c>
      <c r="M306" s="161"/>
      <c r="N306" s="161"/>
      <c r="O306" s="164">
        <f t="shared" si="31"/>
        <v>0</v>
      </c>
      <c r="P306" s="161">
        <v>25</v>
      </c>
      <c r="Q306" s="161">
        <v>5</v>
      </c>
      <c r="R306" s="164">
        <f>$L306*'Pivot Objective'!$C$9*P306*Q306</f>
        <v>5571740.347874999</v>
      </c>
      <c r="S306" s="161">
        <v>5</v>
      </c>
      <c r="T306" s="161">
        <v>6</v>
      </c>
      <c r="U306" s="164">
        <f>($L306*'Pivot Objective'!$C$9^2)*S306*T306</f>
        <v>1528334.3017421893</v>
      </c>
      <c r="V306" s="161">
        <v>0</v>
      </c>
      <c r="W306" s="161">
        <v>0</v>
      </c>
      <c r="X306" s="164">
        <f>($L306*'Pivot Objective'!$C$9^3)*V306*W306</f>
        <v>0</v>
      </c>
      <c r="Y306" s="161">
        <v>0</v>
      </c>
      <c r="Z306" s="161">
        <v>0</v>
      </c>
      <c r="AA306" s="164">
        <f>($L306*'Pivot Objective'!$C$9^4)*Y306*Z306</f>
        <v>0</v>
      </c>
      <c r="AB306" s="161">
        <v>5</v>
      </c>
      <c r="AC306" s="161">
        <v>6</v>
      </c>
      <c r="AD306" s="164">
        <f>($L306*'Pivot Objective'!$C$9^5)*AB306*AC306</f>
        <v>2281745.0054006362</v>
      </c>
      <c r="AE306" s="151"/>
      <c r="AF306" s="151"/>
      <c r="AG306" s="164">
        <f>($L306*'Pivot Objective'!$C$9^6)*AE306*AF306</f>
        <v>0</v>
      </c>
      <c r="AH306" s="151"/>
      <c r="AI306" s="151"/>
      <c r="AJ306" s="164">
        <f>($L306*'Pivot Objective'!$C$9^7)*AH306*AI306</f>
        <v>0</v>
      </c>
      <c r="AK306" s="185">
        <f t="shared" si="32"/>
        <v>9381819.6550178248</v>
      </c>
      <c r="AL306" s="186">
        <f t="shared" si="33"/>
        <v>9108.5627718619653</v>
      </c>
    </row>
    <row r="307" spans="1:38" ht="57.6" x14ac:dyDescent="0.3">
      <c r="A307" s="151" t="s">
        <v>1440</v>
      </c>
      <c r="B307" s="151">
        <v>1</v>
      </c>
      <c r="C307" s="152" t="s">
        <v>836</v>
      </c>
      <c r="D307" s="151" t="str">
        <f t="shared" si="34"/>
        <v>1</v>
      </c>
      <c r="E307" s="153" t="s">
        <v>837</v>
      </c>
      <c r="F307" s="151">
        <f t="shared" si="35"/>
        <v>12</v>
      </c>
      <c r="G307" s="151" t="str">
        <f t="shared" si="36"/>
        <v>1.1.12</v>
      </c>
      <c r="H307" s="156" t="s">
        <v>1686</v>
      </c>
      <c r="I307" s="159" t="s">
        <v>965</v>
      </c>
      <c r="J307" s="159" t="s">
        <v>973</v>
      </c>
      <c r="K307" s="159" t="s">
        <v>712</v>
      </c>
      <c r="L307" s="160">
        <f>1999/7</f>
        <v>285.57142857142856</v>
      </c>
      <c r="M307" s="161"/>
      <c r="N307" s="161"/>
      <c r="O307" s="164">
        <f t="shared" si="31"/>
        <v>0</v>
      </c>
      <c r="P307" s="161">
        <v>25</v>
      </c>
      <c r="Q307" s="161">
        <v>5</v>
      </c>
      <c r="R307" s="164">
        <f>$L307*'Pivot Objective'!$C$9*P307*Q307</f>
        <v>40798.201301839275</v>
      </c>
      <c r="S307" s="161">
        <f>25*2*9</f>
        <v>450</v>
      </c>
      <c r="T307" s="161">
        <v>5</v>
      </c>
      <c r="U307" s="164">
        <f>($L307*'Pivot Objective'!$C$9^2)*S307*T307</f>
        <v>839324.24977544951</v>
      </c>
      <c r="V307" s="161">
        <v>0</v>
      </c>
      <c r="W307" s="161">
        <v>0</v>
      </c>
      <c r="X307" s="164">
        <f>($L307*'Pivot Objective'!$C$9^3)*V307*W307</f>
        <v>0</v>
      </c>
      <c r="Y307" s="161">
        <v>0</v>
      </c>
      <c r="Z307" s="161">
        <v>0</v>
      </c>
      <c r="AA307" s="164">
        <f>($L307*'Pivot Objective'!$C$9^4)*Y307*Z307</f>
        <v>0</v>
      </c>
      <c r="AB307" s="161">
        <f>25*2*9</f>
        <v>450</v>
      </c>
      <c r="AC307" s="161">
        <v>5</v>
      </c>
      <c r="AD307" s="164">
        <f>($L307*'Pivot Objective'!$C$9^5)*AB307*AC307</f>
        <v>1253079.1938999647</v>
      </c>
      <c r="AE307" s="151"/>
      <c r="AF307" s="151"/>
      <c r="AG307" s="164">
        <f>($L307*'Pivot Objective'!$C$9^6)*AE307*AF307</f>
        <v>0</v>
      </c>
      <c r="AH307" s="151"/>
      <c r="AI307" s="151"/>
      <c r="AJ307" s="164">
        <f>($L307*'Pivot Objective'!$C$9^7)*AH307*AI307</f>
        <v>0</v>
      </c>
      <c r="AK307" s="185">
        <f t="shared" si="32"/>
        <v>2133201.6449772534</v>
      </c>
      <c r="AL307" s="186">
        <f t="shared" si="33"/>
        <v>2071.0695582303433</v>
      </c>
    </row>
    <row r="308" spans="1:38" ht="57.6" x14ac:dyDescent="0.3">
      <c r="A308" s="151" t="s">
        <v>1440</v>
      </c>
      <c r="B308" s="151">
        <v>1</v>
      </c>
      <c r="C308" s="152" t="s">
        <v>836</v>
      </c>
      <c r="D308" s="151" t="str">
        <f t="shared" si="34"/>
        <v>1</v>
      </c>
      <c r="E308" s="153" t="s">
        <v>837</v>
      </c>
      <c r="F308" s="151">
        <f t="shared" si="35"/>
        <v>12</v>
      </c>
      <c r="G308" s="151" t="str">
        <f t="shared" si="36"/>
        <v>1.1.12</v>
      </c>
      <c r="H308" s="156" t="s">
        <v>1686</v>
      </c>
      <c r="I308" s="159" t="s">
        <v>965</v>
      </c>
      <c r="J308" s="159" t="s">
        <v>1319</v>
      </c>
      <c r="K308" s="159" t="s">
        <v>709</v>
      </c>
      <c r="L308" s="160">
        <v>35000</v>
      </c>
      <c r="M308" s="161"/>
      <c r="N308" s="161"/>
      <c r="O308" s="164">
        <f t="shared" si="31"/>
        <v>0</v>
      </c>
      <c r="P308" s="161"/>
      <c r="Q308" s="161"/>
      <c r="R308" s="164">
        <f>$L308*'Pivot Objective'!$C$9*P308*Q308</f>
        <v>0</v>
      </c>
      <c r="S308" s="161">
        <v>100</v>
      </c>
      <c r="T308" s="161">
        <v>1</v>
      </c>
      <c r="U308" s="164">
        <f>($L308*'Pivot Objective'!$C$9^2)*S308*T308</f>
        <v>4571940.2188868914</v>
      </c>
      <c r="V308" s="161"/>
      <c r="W308" s="161"/>
      <c r="X308" s="164">
        <f>($L308*'Pivot Objective'!$C$9^3)*V308*W308</f>
        <v>0</v>
      </c>
      <c r="Y308" s="161"/>
      <c r="Z308" s="161"/>
      <c r="AA308" s="164">
        <f>($L308*'Pivot Objective'!$C$9^4)*Y308*Z308</f>
        <v>0</v>
      </c>
      <c r="AB308" s="161">
        <v>100</v>
      </c>
      <c r="AC308" s="161">
        <v>1</v>
      </c>
      <c r="AD308" s="164">
        <f>($L308*'Pivot Objective'!$C$9^5)*AB308*AC308</f>
        <v>6825732.9221386546</v>
      </c>
      <c r="AE308" s="151"/>
      <c r="AF308" s="151"/>
      <c r="AG308" s="164">
        <f>($L308*'Pivot Objective'!$C$9^6)*AE308*AF308</f>
        <v>0</v>
      </c>
      <c r="AH308" s="151"/>
      <c r="AI308" s="151"/>
      <c r="AJ308" s="164">
        <f>($L308*'Pivot Objective'!$C$9^7)*AH308*AI308</f>
        <v>0</v>
      </c>
      <c r="AK308" s="185">
        <f t="shared" si="32"/>
        <v>11397673.141025547</v>
      </c>
      <c r="AL308" s="186">
        <f t="shared" si="33"/>
        <v>11065.702078665579</v>
      </c>
    </row>
    <row r="309" spans="1:38" ht="57.6" x14ac:dyDescent="0.3">
      <c r="A309" s="151" t="s">
        <v>1440</v>
      </c>
      <c r="B309" s="151">
        <v>1</v>
      </c>
      <c r="C309" s="152" t="s">
        <v>836</v>
      </c>
      <c r="D309" s="151" t="str">
        <f t="shared" si="34"/>
        <v>1</v>
      </c>
      <c r="E309" s="153" t="s">
        <v>837</v>
      </c>
      <c r="F309" s="151">
        <f t="shared" si="35"/>
        <v>12</v>
      </c>
      <c r="G309" s="151" t="str">
        <f t="shared" si="36"/>
        <v>1.1.12</v>
      </c>
      <c r="H309" s="156" t="s">
        <v>1686</v>
      </c>
      <c r="I309" s="159" t="s">
        <v>965</v>
      </c>
      <c r="J309" s="159" t="s">
        <v>1319</v>
      </c>
      <c r="K309" s="159" t="s">
        <v>716</v>
      </c>
      <c r="L309" s="160">
        <v>39000</v>
      </c>
      <c r="M309" s="161"/>
      <c r="N309" s="161"/>
      <c r="O309" s="164">
        <f t="shared" si="31"/>
        <v>0</v>
      </c>
      <c r="P309" s="161"/>
      <c r="Q309" s="161"/>
      <c r="R309" s="164">
        <f>$L309*'Pivot Objective'!$C$9*P309*Q309</f>
        <v>0</v>
      </c>
      <c r="S309" s="161">
        <v>58</v>
      </c>
      <c r="T309" s="161">
        <v>2</v>
      </c>
      <c r="U309" s="164">
        <f>($L309*'Pivot Objective'!$C$9^2)*S309*T309</f>
        <v>5909559.3000697987</v>
      </c>
      <c r="V309" s="161"/>
      <c r="W309" s="161"/>
      <c r="X309" s="164">
        <f>($L309*'Pivot Objective'!$C$9^3)*V309*W309</f>
        <v>0</v>
      </c>
      <c r="Y309" s="161"/>
      <c r="Z309" s="161"/>
      <c r="AA309" s="164">
        <f>($L309*'Pivot Objective'!$C$9^4)*Y309*Z309</f>
        <v>0</v>
      </c>
      <c r="AB309" s="161">
        <v>58</v>
      </c>
      <c r="AC309" s="161">
        <v>2</v>
      </c>
      <c r="AD309" s="164">
        <f>($L309*'Pivot Objective'!$C$9^5)*AB309*AC309</f>
        <v>8822747.3542157933</v>
      </c>
      <c r="AE309" s="151"/>
      <c r="AF309" s="151"/>
      <c r="AG309" s="164">
        <f>($L309*'Pivot Objective'!$C$9^6)*AE309*AF309</f>
        <v>0</v>
      </c>
      <c r="AH309" s="151"/>
      <c r="AI309" s="151"/>
      <c r="AJ309" s="164">
        <f>($L309*'Pivot Objective'!$C$9^7)*AH309*AI309</f>
        <v>0</v>
      </c>
      <c r="AK309" s="185">
        <f t="shared" si="32"/>
        <v>14732306.654285591</v>
      </c>
      <c r="AL309" s="186">
        <f t="shared" si="33"/>
        <v>14303.210343966593</v>
      </c>
    </row>
    <row r="310" spans="1:38" ht="57.6" x14ac:dyDescent="0.3">
      <c r="A310" s="151" t="s">
        <v>1440</v>
      </c>
      <c r="B310" s="151">
        <v>1</v>
      </c>
      <c r="C310" s="152" t="s">
        <v>836</v>
      </c>
      <c r="D310" s="151" t="str">
        <f t="shared" si="34"/>
        <v>1</v>
      </c>
      <c r="E310" s="153" t="s">
        <v>837</v>
      </c>
      <c r="F310" s="151">
        <f t="shared" si="35"/>
        <v>12</v>
      </c>
      <c r="G310" s="151" t="str">
        <f t="shared" si="36"/>
        <v>1.1.12</v>
      </c>
      <c r="H310" s="156" t="s">
        <v>1686</v>
      </c>
      <c r="I310" s="159" t="s">
        <v>965</v>
      </c>
      <c r="J310" s="159" t="s">
        <v>1319</v>
      </c>
      <c r="K310" s="159" t="s">
        <v>712</v>
      </c>
      <c r="L310" s="160">
        <f>1999/7</f>
        <v>285.57142857142856</v>
      </c>
      <c r="M310" s="161"/>
      <c r="N310" s="161"/>
      <c r="O310" s="164">
        <f t="shared" si="31"/>
        <v>0</v>
      </c>
      <c r="P310" s="161"/>
      <c r="Q310" s="161"/>
      <c r="R310" s="164">
        <f>$L310*'Pivot Objective'!$C$9*P310*Q310</f>
        <v>0</v>
      </c>
      <c r="S310" s="161">
        <f>2*25*29</f>
        <v>1450</v>
      </c>
      <c r="T310" s="161">
        <v>1</v>
      </c>
      <c r="U310" s="164">
        <f>($L310*'Pivot Objective'!$C$9^2)*S310*T310</f>
        <v>540897.84985528968</v>
      </c>
      <c r="V310" s="161"/>
      <c r="W310" s="161"/>
      <c r="X310" s="164">
        <f>($L310*'Pivot Objective'!$C$9^3)*V310*W310</f>
        <v>0</v>
      </c>
      <c r="Y310" s="161"/>
      <c r="Z310" s="161"/>
      <c r="AA310" s="164">
        <f>($L310*'Pivot Objective'!$C$9^4)*Y310*Z310</f>
        <v>0</v>
      </c>
      <c r="AB310" s="161">
        <f>2*25*29</f>
        <v>1450</v>
      </c>
      <c r="AC310" s="161">
        <v>1</v>
      </c>
      <c r="AD310" s="164">
        <f>($L310*'Pivot Objective'!$C$9^5)*AB310*AC310</f>
        <v>807539.92495775502</v>
      </c>
      <c r="AE310" s="151"/>
      <c r="AF310" s="151"/>
      <c r="AG310" s="164">
        <f>($L310*'Pivot Objective'!$C$9^6)*AE310*AF310</f>
        <v>0</v>
      </c>
      <c r="AH310" s="151"/>
      <c r="AI310" s="151"/>
      <c r="AJ310" s="164">
        <f>($L310*'Pivot Objective'!$C$9^7)*AH310*AI310</f>
        <v>0</v>
      </c>
      <c r="AK310" s="185">
        <f t="shared" si="32"/>
        <v>1348437.7748130448</v>
      </c>
      <c r="AL310" s="186">
        <f t="shared" si="33"/>
        <v>1309.1628881680047</v>
      </c>
    </row>
    <row r="311" spans="1:38" ht="57.6" x14ac:dyDescent="0.3">
      <c r="A311" s="151" t="s">
        <v>1440</v>
      </c>
      <c r="B311" s="151">
        <v>1</v>
      </c>
      <c r="C311" s="152" t="s">
        <v>836</v>
      </c>
      <c r="D311" s="151" t="str">
        <f t="shared" si="34"/>
        <v>1</v>
      </c>
      <c r="E311" s="153" t="s">
        <v>837</v>
      </c>
      <c r="F311" s="151">
        <f t="shared" si="35"/>
        <v>12</v>
      </c>
      <c r="G311" s="151" t="str">
        <f t="shared" si="36"/>
        <v>1.1.12</v>
      </c>
      <c r="H311" s="156" t="s">
        <v>1686</v>
      </c>
      <c r="I311" s="159" t="s">
        <v>965</v>
      </c>
      <c r="J311" s="159" t="s">
        <v>1319</v>
      </c>
      <c r="K311" s="159" t="s">
        <v>1303</v>
      </c>
      <c r="L311" s="160">
        <f>1999/7</f>
        <v>285.57142857142856</v>
      </c>
      <c r="M311" s="161"/>
      <c r="N311" s="161"/>
      <c r="O311" s="164">
        <f t="shared" si="31"/>
        <v>0</v>
      </c>
      <c r="P311" s="161"/>
      <c r="Q311" s="161"/>
      <c r="R311" s="164">
        <f>$L311*'Pivot Objective'!$C$9*P311*Q311</f>
        <v>0</v>
      </c>
      <c r="S311" s="161">
        <f>2*135*29</f>
        <v>7830</v>
      </c>
      <c r="T311" s="161">
        <v>1</v>
      </c>
      <c r="U311" s="164">
        <f>($L311*'Pivot Objective'!$C$9^2)*S311*T311</f>
        <v>2920848.3892185646</v>
      </c>
      <c r="V311" s="161"/>
      <c r="W311" s="161"/>
      <c r="X311" s="164">
        <f>($L311*'Pivot Objective'!$C$9^3)*V311*W311</f>
        <v>0</v>
      </c>
      <c r="Y311" s="161"/>
      <c r="Z311" s="161"/>
      <c r="AA311" s="164">
        <f>($L311*'Pivot Objective'!$C$9^4)*Y311*Z311</f>
        <v>0</v>
      </c>
      <c r="AB311" s="161">
        <f>2*135*29</f>
        <v>7830</v>
      </c>
      <c r="AC311" s="161">
        <v>1</v>
      </c>
      <c r="AD311" s="164">
        <f>($L311*'Pivot Objective'!$C$9^5)*AB311*AC311</f>
        <v>4360715.5947718769</v>
      </c>
      <c r="AE311" s="151"/>
      <c r="AF311" s="151"/>
      <c r="AG311" s="164">
        <f>($L311*'Pivot Objective'!$C$9^6)*AE311*AF311</f>
        <v>0</v>
      </c>
      <c r="AH311" s="151"/>
      <c r="AI311" s="151"/>
      <c r="AJ311" s="164">
        <f>($L311*'Pivot Objective'!$C$9^7)*AH311*AI311</f>
        <v>0</v>
      </c>
      <c r="AK311" s="185">
        <f t="shared" si="32"/>
        <v>7281563.983990442</v>
      </c>
      <c r="AL311" s="186">
        <f t="shared" si="33"/>
        <v>7069.479596107225</v>
      </c>
    </row>
    <row r="312" spans="1:38" ht="57.6" x14ac:dyDescent="0.3">
      <c r="A312" s="151" t="s">
        <v>1440</v>
      </c>
      <c r="B312" s="151">
        <v>1</v>
      </c>
      <c r="C312" s="152" t="s">
        <v>836</v>
      </c>
      <c r="D312" s="151" t="str">
        <f t="shared" si="34"/>
        <v>1</v>
      </c>
      <c r="E312" s="153" t="s">
        <v>837</v>
      </c>
      <c r="F312" s="151">
        <f t="shared" si="35"/>
        <v>12</v>
      </c>
      <c r="G312" s="151" t="str">
        <f t="shared" si="36"/>
        <v>1.1.12</v>
      </c>
      <c r="H312" s="156" t="s">
        <v>1686</v>
      </c>
      <c r="I312" s="159" t="s">
        <v>965</v>
      </c>
      <c r="J312" s="159" t="s">
        <v>974</v>
      </c>
      <c r="K312" s="159" t="s">
        <v>709</v>
      </c>
      <c r="L312" s="160">
        <v>35000</v>
      </c>
      <c r="M312" s="161"/>
      <c r="N312" s="161"/>
      <c r="O312" s="164">
        <f t="shared" si="31"/>
        <v>0</v>
      </c>
      <c r="P312" s="161">
        <v>4000</v>
      </c>
      <c r="Q312" s="161">
        <v>1</v>
      </c>
      <c r="R312" s="164">
        <f>$L312*'Pivot Objective'!$C$9*P312*Q312</f>
        <v>160008953.57999998</v>
      </c>
      <c r="S312" s="161">
        <v>100</v>
      </c>
      <c r="T312" s="161">
        <v>2</v>
      </c>
      <c r="U312" s="164">
        <f>($L312*'Pivot Objective'!$C$9^2)*S312*T312</f>
        <v>9143880.4377737828</v>
      </c>
      <c r="V312" s="161">
        <v>0</v>
      </c>
      <c r="W312" s="161">
        <v>0</v>
      </c>
      <c r="X312" s="164">
        <f>($L312*'Pivot Objective'!$C$9^3)*V312*W312</f>
        <v>0</v>
      </c>
      <c r="Y312" s="161">
        <v>0</v>
      </c>
      <c r="Z312" s="161">
        <v>0</v>
      </c>
      <c r="AA312" s="164">
        <f>($L312*'Pivot Objective'!$C$9^4)*Y312*Z312</f>
        <v>0</v>
      </c>
      <c r="AB312" s="161">
        <v>100</v>
      </c>
      <c r="AC312" s="161">
        <v>2</v>
      </c>
      <c r="AD312" s="164">
        <f>($L312*'Pivot Objective'!$C$9^5)*AB312*AC312</f>
        <v>13651465.844277309</v>
      </c>
      <c r="AE312" s="151"/>
      <c r="AF312" s="151"/>
      <c r="AG312" s="164">
        <f>($L312*'Pivot Objective'!$C$9^6)*AE312*AF312</f>
        <v>0</v>
      </c>
      <c r="AH312" s="151"/>
      <c r="AI312" s="151"/>
      <c r="AJ312" s="164">
        <f>($L312*'Pivot Objective'!$C$9^7)*AH312*AI312</f>
        <v>0</v>
      </c>
      <c r="AK312" s="185">
        <f t="shared" si="32"/>
        <v>182804299.8620511</v>
      </c>
      <c r="AL312" s="186">
        <f t="shared" si="33"/>
        <v>177479.90277869039</v>
      </c>
    </row>
    <row r="313" spans="1:38" ht="57.6" x14ac:dyDescent="0.3">
      <c r="A313" s="151" t="s">
        <v>1440</v>
      </c>
      <c r="B313" s="151">
        <v>1</v>
      </c>
      <c r="C313" s="152" t="s">
        <v>836</v>
      </c>
      <c r="D313" s="151" t="str">
        <f t="shared" si="34"/>
        <v>1</v>
      </c>
      <c r="E313" s="153" t="s">
        <v>837</v>
      </c>
      <c r="F313" s="151">
        <f t="shared" si="35"/>
        <v>12</v>
      </c>
      <c r="G313" s="151" t="str">
        <f t="shared" si="36"/>
        <v>1.1.12</v>
      </c>
      <c r="H313" s="156" t="s">
        <v>1686</v>
      </c>
      <c r="I313" s="159" t="s">
        <v>965</v>
      </c>
      <c r="J313" s="159" t="s">
        <v>974</v>
      </c>
      <c r="K313" s="159" t="s">
        <v>716</v>
      </c>
      <c r="L313" s="160">
        <v>39000</v>
      </c>
      <c r="M313" s="161"/>
      <c r="N313" s="161"/>
      <c r="O313" s="164">
        <f t="shared" si="31"/>
        <v>0</v>
      </c>
      <c r="P313" s="161">
        <v>100</v>
      </c>
      <c r="Q313" s="161">
        <v>1</v>
      </c>
      <c r="R313" s="164">
        <f>$L313*'Pivot Objective'!$C$9*P313*Q313</f>
        <v>4457392.2782999994</v>
      </c>
      <c r="S313" s="161">
        <v>58</v>
      </c>
      <c r="T313" s="161">
        <v>2</v>
      </c>
      <c r="U313" s="164">
        <f>($L313*'Pivot Objective'!$C$9^2)*S313*T313</f>
        <v>5909559.3000697987</v>
      </c>
      <c r="V313" s="161">
        <v>0</v>
      </c>
      <c r="W313" s="161">
        <v>0</v>
      </c>
      <c r="X313" s="164">
        <f>($L313*'Pivot Objective'!$C$9^3)*V313*W313</f>
        <v>0</v>
      </c>
      <c r="Y313" s="161">
        <v>0</v>
      </c>
      <c r="Z313" s="161">
        <v>0</v>
      </c>
      <c r="AA313" s="164">
        <f>($L313*'Pivot Objective'!$C$9^4)*Y313*Z313</f>
        <v>0</v>
      </c>
      <c r="AB313" s="161">
        <v>58</v>
      </c>
      <c r="AC313" s="161">
        <v>2</v>
      </c>
      <c r="AD313" s="164">
        <f>($L313*'Pivot Objective'!$C$9^5)*AB313*AC313</f>
        <v>8822747.3542157933</v>
      </c>
      <c r="AE313" s="151"/>
      <c r="AF313" s="151"/>
      <c r="AG313" s="164">
        <f>($L313*'Pivot Objective'!$C$9^6)*AE313*AF313</f>
        <v>0</v>
      </c>
      <c r="AH313" s="151"/>
      <c r="AI313" s="151"/>
      <c r="AJ313" s="164">
        <f>($L313*'Pivot Objective'!$C$9^7)*AH313*AI313</f>
        <v>0</v>
      </c>
      <c r="AK313" s="185">
        <f t="shared" si="32"/>
        <v>19189698.93258559</v>
      </c>
      <c r="AL313" s="186">
        <f t="shared" si="33"/>
        <v>18630.775662704455</v>
      </c>
    </row>
    <row r="314" spans="1:38" ht="57.6" x14ac:dyDescent="0.3">
      <c r="A314" s="151" t="s">
        <v>1440</v>
      </c>
      <c r="B314" s="151">
        <v>1</v>
      </c>
      <c r="C314" s="152" t="s">
        <v>836</v>
      </c>
      <c r="D314" s="151" t="str">
        <f t="shared" si="34"/>
        <v>1</v>
      </c>
      <c r="E314" s="153" t="s">
        <v>837</v>
      </c>
      <c r="F314" s="151">
        <f t="shared" si="35"/>
        <v>12</v>
      </c>
      <c r="G314" s="151" t="str">
        <f t="shared" si="36"/>
        <v>1.1.12</v>
      </c>
      <c r="H314" s="156" t="s">
        <v>1686</v>
      </c>
      <c r="I314" s="159" t="s">
        <v>965</v>
      </c>
      <c r="J314" s="159" t="s">
        <v>974</v>
      </c>
      <c r="K314" s="159" t="s">
        <v>1297</v>
      </c>
      <c r="L314" s="160">
        <v>8000</v>
      </c>
      <c r="M314" s="161"/>
      <c r="N314" s="161"/>
      <c r="O314" s="164">
        <f t="shared" si="31"/>
        <v>0</v>
      </c>
      <c r="P314" s="161">
        <v>30</v>
      </c>
      <c r="Q314" s="161">
        <v>1</v>
      </c>
      <c r="R314" s="164">
        <f>$L314*'Pivot Objective'!$C$9*P314*Q314</f>
        <v>274301.06328</v>
      </c>
      <c r="S314" s="161">
        <v>10</v>
      </c>
      <c r="T314" s="161">
        <v>0</v>
      </c>
      <c r="U314" s="164">
        <f>($L314*'Pivot Objective'!$C$9^2)*S314*T314</f>
        <v>0</v>
      </c>
      <c r="V314" s="161">
        <v>0</v>
      </c>
      <c r="W314" s="161">
        <v>0</v>
      </c>
      <c r="X314" s="164">
        <f>($L314*'Pivot Objective'!$C$9^3)*V314*W314</f>
        <v>0</v>
      </c>
      <c r="Y314" s="161">
        <v>0</v>
      </c>
      <c r="Z314" s="161">
        <v>0</v>
      </c>
      <c r="AA314" s="164">
        <f>($L314*'Pivot Objective'!$C$9^4)*Y314*Z314</f>
        <v>0</v>
      </c>
      <c r="AB314" s="161">
        <v>10</v>
      </c>
      <c r="AC314" s="161">
        <v>0</v>
      </c>
      <c r="AD314" s="164">
        <f>($L314*'Pivot Objective'!$C$9^5)*AB314*AC314</f>
        <v>0</v>
      </c>
      <c r="AE314" s="151"/>
      <c r="AF314" s="151"/>
      <c r="AG314" s="164">
        <f>($L314*'Pivot Objective'!$C$9^6)*AE314*AF314</f>
        <v>0</v>
      </c>
      <c r="AH314" s="151"/>
      <c r="AI314" s="151"/>
      <c r="AJ314" s="164">
        <f>($L314*'Pivot Objective'!$C$9^7)*AH314*AI314</f>
        <v>0</v>
      </c>
      <c r="AK314" s="185">
        <f t="shared" si="32"/>
        <v>274301.06328</v>
      </c>
      <c r="AL314" s="186">
        <f t="shared" si="33"/>
        <v>266.31171192233012</v>
      </c>
    </row>
    <row r="315" spans="1:38" ht="57.6" x14ac:dyDescent="0.3">
      <c r="A315" s="151" t="s">
        <v>1440</v>
      </c>
      <c r="B315" s="151">
        <v>1</v>
      </c>
      <c r="C315" s="152" t="s">
        <v>836</v>
      </c>
      <c r="D315" s="151" t="str">
        <f t="shared" si="34"/>
        <v>1</v>
      </c>
      <c r="E315" s="153" t="s">
        <v>837</v>
      </c>
      <c r="F315" s="151">
        <f t="shared" si="35"/>
        <v>12</v>
      </c>
      <c r="G315" s="151" t="str">
        <f t="shared" si="36"/>
        <v>1.1.12</v>
      </c>
      <c r="H315" s="156" t="s">
        <v>1686</v>
      </c>
      <c r="I315" s="159" t="s">
        <v>965</v>
      </c>
      <c r="J315" s="159" t="s">
        <v>974</v>
      </c>
      <c r="K315" s="159" t="s">
        <v>710</v>
      </c>
      <c r="L315" s="160">
        <v>104850</v>
      </c>
      <c r="M315" s="161"/>
      <c r="N315" s="161"/>
      <c r="O315" s="164">
        <f t="shared" si="31"/>
        <v>0</v>
      </c>
      <c r="P315" s="161">
        <v>50000</v>
      </c>
      <c r="Q315" s="161">
        <v>1</v>
      </c>
      <c r="R315" s="164">
        <f>$L315*'Pivot Objective'!$C$9*P315*Q315</f>
        <v>5991763851.0224991</v>
      </c>
      <c r="S315" s="161">
        <v>1</v>
      </c>
      <c r="T315" s="161">
        <v>1</v>
      </c>
      <c r="U315" s="164">
        <f>($L315*'Pivot Objective'!$C$9^2)*S315*T315</f>
        <v>136962.26627151159</v>
      </c>
      <c r="V315" s="161">
        <v>0</v>
      </c>
      <c r="W315" s="161">
        <v>0</v>
      </c>
      <c r="X315" s="164">
        <f>($L315*'Pivot Objective'!$C$9^3)*V315*W315</f>
        <v>0</v>
      </c>
      <c r="Y315" s="161">
        <v>0</v>
      </c>
      <c r="Z315" s="161">
        <v>0</v>
      </c>
      <c r="AA315" s="164">
        <f>($L315*'Pivot Objective'!$C$9^4)*Y315*Z315</f>
        <v>0</v>
      </c>
      <c r="AB315" s="161">
        <v>1</v>
      </c>
      <c r="AC315" s="161">
        <v>1</v>
      </c>
      <c r="AD315" s="164">
        <f>($L315*'Pivot Objective'!$C$9^5)*AB315*AC315</f>
        <v>204479.45625321087</v>
      </c>
      <c r="AE315" s="151"/>
      <c r="AF315" s="151"/>
      <c r="AG315" s="164">
        <f>($L315*'Pivot Objective'!$C$9^6)*AE315*AF315</f>
        <v>0</v>
      </c>
      <c r="AH315" s="151"/>
      <c r="AI315" s="151"/>
      <c r="AJ315" s="164">
        <f>($L315*'Pivot Objective'!$C$9^7)*AH315*AI315</f>
        <v>0</v>
      </c>
      <c r="AK315" s="185">
        <f t="shared" si="32"/>
        <v>5992105292.7450237</v>
      </c>
      <c r="AL315" s="186">
        <f t="shared" si="33"/>
        <v>5817577.954121382</v>
      </c>
    </row>
    <row r="316" spans="1:38" ht="57.6" x14ac:dyDescent="0.3">
      <c r="A316" s="151" t="s">
        <v>1440</v>
      </c>
      <c r="B316" s="151">
        <v>1</v>
      </c>
      <c r="C316" s="152" t="s">
        <v>836</v>
      </c>
      <c r="D316" s="151" t="str">
        <f t="shared" si="34"/>
        <v>1</v>
      </c>
      <c r="E316" s="153" t="s">
        <v>837</v>
      </c>
      <c r="F316" s="151">
        <f t="shared" si="35"/>
        <v>12</v>
      </c>
      <c r="G316" s="151" t="str">
        <f t="shared" si="36"/>
        <v>1.1.12</v>
      </c>
      <c r="H316" s="156" t="s">
        <v>1686</v>
      </c>
      <c r="I316" s="159" t="s">
        <v>965</v>
      </c>
      <c r="J316" s="159" t="s">
        <v>974</v>
      </c>
      <c r="K316" s="159" t="s">
        <v>712</v>
      </c>
      <c r="L316" s="160">
        <f>1999/7</f>
        <v>285.57142857142856</v>
      </c>
      <c r="M316" s="161"/>
      <c r="N316" s="161"/>
      <c r="O316" s="164">
        <f t="shared" si="31"/>
        <v>0</v>
      </c>
      <c r="P316" s="161">
        <v>5</v>
      </c>
      <c r="Q316" s="161">
        <v>1</v>
      </c>
      <c r="R316" s="164">
        <f>$L316*'Pivot Objective'!$C$9*P316*Q316</f>
        <v>1631.9280520735711</v>
      </c>
      <c r="S316" s="161">
        <v>100</v>
      </c>
      <c r="T316" s="161">
        <v>1</v>
      </c>
      <c r="U316" s="164">
        <f>($L316*'Pivot Objective'!$C$9^2)*S316*T316</f>
        <v>37303.299990019979</v>
      </c>
      <c r="V316" s="161">
        <v>0</v>
      </c>
      <c r="W316" s="161">
        <v>0</v>
      </c>
      <c r="X316" s="164">
        <f>($L316*'Pivot Objective'!$C$9^3)*V316*W316</f>
        <v>0</v>
      </c>
      <c r="Y316" s="161">
        <v>0</v>
      </c>
      <c r="Z316" s="161">
        <v>0</v>
      </c>
      <c r="AA316" s="164">
        <f>($L316*'Pivot Objective'!$C$9^4)*Y316*Z316</f>
        <v>0</v>
      </c>
      <c r="AB316" s="161">
        <v>100</v>
      </c>
      <c r="AC316" s="161">
        <v>1</v>
      </c>
      <c r="AD316" s="164">
        <f>($L316*'Pivot Objective'!$C$9^5)*AB316*AC316</f>
        <v>55692.408617776207</v>
      </c>
      <c r="AE316" s="151"/>
      <c r="AF316" s="151"/>
      <c r="AG316" s="164">
        <f>($L316*'Pivot Objective'!$C$9^6)*AE316*AF316</f>
        <v>0</v>
      </c>
      <c r="AH316" s="151"/>
      <c r="AI316" s="151"/>
      <c r="AJ316" s="164">
        <f>($L316*'Pivot Objective'!$C$9^7)*AH316*AI316</f>
        <v>0</v>
      </c>
      <c r="AK316" s="185">
        <f t="shared" si="32"/>
        <v>94627.63665986975</v>
      </c>
      <c r="AL316" s="186">
        <f t="shared" si="33"/>
        <v>91.871491902786161</v>
      </c>
    </row>
    <row r="317" spans="1:38" ht="57.6" x14ac:dyDescent="0.3">
      <c r="A317" s="151" t="s">
        <v>1440</v>
      </c>
      <c r="B317" s="151">
        <v>1</v>
      </c>
      <c r="C317" s="152" t="s">
        <v>836</v>
      </c>
      <c r="D317" s="151" t="str">
        <f t="shared" si="34"/>
        <v>1</v>
      </c>
      <c r="E317" s="153" t="s">
        <v>837</v>
      </c>
      <c r="F317" s="151">
        <f t="shared" si="35"/>
        <v>12</v>
      </c>
      <c r="G317" s="151" t="str">
        <f t="shared" si="36"/>
        <v>1.1.12</v>
      </c>
      <c r="H317" s="156" t="s">
        <v>1686</v>
      </c>
      <c r="I317" s="159" t="s">
        <v>965</v>
      </c>
      <c r="J317" s="159" t="s">
        <v>975</v>
      </c>
      <c r="K317" s="159" t="s">
        <v>718</v>
      </c>
      <c r="L317" s="160">
        <v>0</v>
      </c>
      <c r="M317" s="161"/>
      <c r="N317" s="161"/>
      <c r="O317" s="164">
        <f t="shared" si="31"/>
        <v>0</v>
      </c>
      <c r="P317" s="161">
        <v>20000</v>
      </c>
      <c r="Q317" s="161">
        <v>1</v>
      </c>
      <c r="R317" s="164">
        <f>$L317*'Pivot Objective'!$C$9*P317*Q317</f>
        <v>0</v>
      </c>
      <c r="S317" s="161">
        <v>0</v>
      </c>
      <c r="T317" s="161">
        <v>0</v>
      </c>
      <c r="U317" s="164">
        <f>($L317*'Pivot Objective'!$C$9^2)*S317*T317</f>
        <v>0</v>
      </c>
      <c r="V317" s="161">
        <v>0</v>
      </c>
      <c r="W317" s="161">
        <v>0</v>
      </c>
      <c r="X317" s="164">
        <f>($L317*'Pivot Objective'!$C$9^3)*V317*W317</f>
        <v>0</v>
      </c>
      <c r="Y317" s="161">
        <v>0</v>
      </c>
      <c r="Z317" s="161">
        <v>0</v>
      </c>
      <c r="AA317" s="164">
        <f>($L317*'Pivot Objective'!$C$9^4)*Y317*Z317</f>
        <v>0</v>
      </c>
      <c r="AB317" s="161">
        <v>0</v>
      </c>
      <c r="AC317" s="161">
        <v>0</v>
      </c>
      <c r="AD317" s="164">
        <f>($L317*'Pivot Objective'!$C$9^5)*AB317*AC317</f>
        <v>0</v>
      </c>
      <c r="AE317" s="151"/>
      <c r="AF317" s="151"/>
      <c r="AG317" s="164">
        <f>($L317*'Pivot Objective'!$C$9^6)*AE317*AF317</f>
        <v>0</v>
      </c>
      <c r="AH317" s="151"/>
      <c r="AI317" s="151"/>
      <c r="AJ317" s="164">
        <f>($L317*'Pivot Objective'!$C$9^7)*AH317*AI317</f>
        <v>0</v>
      </c>
      <c r="AK317" s="185">
        <f t="shared" si="32"/>
        <v>0</v>
      </c>
      <c r="AL317" s="186">
        <f t="shared" si="33"/>
        <v>0</v>
      </c>
    </row>
    <row r="318" spans="1:38" ht="57.6" x14ac:dyDescent="0.3">
      <c r="A318" s="151" t="s">
        <v>1440</v>
      </c>
      <c r="B318" s="151">
        <v>1</v>
      </c>
      <c r="C318" s="152" t="s">
        <v>836</v>
      </c>
      <c r="D318" s="151" t="str">
        <f t="shared" si="34"/>
        <v>1</v>
      </c>
      <c r="E318" s="153" t="s">
        <v>837</v>
      </c>
      <c r="F318" s="151">
        <f t="shared" si="35"/>
        <v>13</v>
      </c>
      <c r="G318" s="151" t="str">
        <f t="shared" si="36"/>
        <v>1.1.13</v>
      </c>
      <c r="H318" s="156" t="s">
        <v>1687</v>
      </c>
      <c r="I318" s="159" t="s">
        <v>977</v>
      </c>
      <c r="J318" s="159" t="s">
        <v>978</v>
      </c>
      <c r="K318" s="159" t="s">
        <v>709</v>
      </c>
      <c r="L318" s="160">
        <v>35000</v>
      </c>
      <c r="M318" s="161">
        <v>25</v>
      </c>
      <c r="N318" s="161">
        <v>1</v>
      </c>
      <c r="O318" s="164">
        <f t="shared" si="31"/>
        <v>875000</v>
      </c>
      <c r="P318" s="161">
        <v>25</v>
      </c>
      <c r="Q318" s="161">
        <v>1</v>
      </c>
      <c r="R318" s="164">
        <f>$L318*'Pivot Objective'!$C$9*P318*Q318</f>
        <v>1000055.9598749998</v>
      </c>
      <c r="S318" s="161">
        <v>25</v>
      </c>
      <c r="T318" s="161">
        <v>1</v>
      </c>
      <c r="U318" s="164">
        <f>($L318*'Pivot Objective'!$C$9^2)*S318*T318</f>
        <v>1142985.0547217228</v>
      </c>
      <c r="V318" s="161">
        <v>25</v>
      </c>
      <c r="W318" s="161">
        <v>1</v>
      </c>
      <c r="X318" s="164">
        <f>($L318*'Pivot Objective'!$C$9^3)*V318*W318</f>
        <v>1306341.7325971564</v>
      </c>
      <c r="Y318" s="161">
        <v>25</v>
      </c>
      <c r="Z318" s="161">
        <v>1</v>
      </c>
      <c r="AA318" s="164">
        <f>($L318*'Pivot Objective'!$C$9^4)*Y318*Z318</f>
        <v>1493045.5260768225</v>
      </c>
      <c r="AB318" s="161">
        <v>25</v>
      </c>
      <c r="AC318" s="161">
        <v>1</v>
      </c>
      <c r="AD318" s="164">
        <f>($L318*'Pivot Objective'!$C$9^5)*AB318*AC318</f>
        <v>1706433.2305346637</v>
      </c>
      <c r="AE318" s="161">
        <v>25</v>
      </c>
      <c r="AF318" s="161">
        <v>1</v>
      </c>
      <c r="AG318" s="164">
        <f>($L318*'Pivot Objective'!$C$9^6)*AE318*AF318</f>
        <v>1950318.5397999317</v>
      </c>
      <c r="AH318" s="161">
        <v>25</v>
      </c>
      <c r="AI318" s="161">
        <v>1</v>
      </c>
      <c r="AJ318" s="164">
        <f>($L318*'Pivot Objective'!$C$9^7)*AH318*AI318</f>
        <v>2229060.2050075764</v>
      </c>
      <c r="AK318" s="185">
        <f t="shared" si="32"/>
        <v>11703240.248612873</v>
      </c>
      <c r="AL318" s="186">
        <f t="shared" si="33"/>
        <v>11362.369173410556</v>
      </c>
    </row>
    <row r="319" spans="1:38" ht="57.6" x14ac:dyDescent="0.3">
      <c r="A319" s="151" t="s">
        <v>1440</v>
      </c>
      <c r="B319" s="151">
        <v>1</v>
      </c>
      <c r="C319" s="152" t="s">
        <v>836</v>
      </c>
      <c r="D319" s="151" t="str">
        <f t="shared" si="34"/>
        <v>1</v>
      </c>
      <c r="E319" s="153" t="s">
        <v>837</v>
      </c>
      <c r="F319" s="151">
        <f t="shared" si="35"/>
        <v>13</v>
      </c>
      <c r="G319" s="151" t="str">
        <f t="shared" si="36"/>
        <v>1.1.13</v>
      </c>
      <c r="H319" s="156" t="s">
        <v>1687</v>
      </c>
      <c r="I319" s="159" t="s">
        <v>977</v>
      </c>
      <c r="J319" s="159" t="s">
        <v>978</v>
      </c>
      <c r="K319" s="159" t="s">
        <v>716</v>
      </c>
      <c r="L319" s="160">
        <v>39000</v>
      </c>
      <c r="M319" s="161">
        <v>25</v>
      </c>
      <c r="N319" s="161">
        <v>2</v>
      </c>
      <c r="O319" s="164">
        <f t="shared" si="31"/>
        <v>1950000</v>
      </c>
      <c r="P319" s="161">
        <v>25</v>
      </c>
      <c r="Q319" s="161">
        <v>2</v>
      </c>
      <c r="R319" s="164">
        <f>$L319*'Pivot Objective'!$C$9*P319*Q319</f>
        <v>2228696.1391499997</v>
      </c>
      <c r="S319" s="161">
        <v>25</v>
      </c>
      <c r="T319" s="161">
        <v>2</v>
      </c>
      <c r="U319" s="164">
        <f>($L319*'Pivot Objective'!$C$9^2)*S319*T319</f>
        <v>2547223.8362369821</v>
      </c>
      <c r="V319" s="161">
        <v>25</v>
      </c>
      <c r="W319" s="161">
        <v>2</v>
      </c>
      <c r="X319" s="164">
        <f>($L319*'Pivot Objective'!$C$9^3)*V319*W319</f>
        <v>2911275.86121652</v>
      </c>
      <c r="Y319" s="161">
        <v>25</v>
      </c>
      <c r="Z319" s="161">
        <v>2</v>
      </c>
      <c r="AA319" s="164">
        <f>($L319*'Pivot Objective'!$C$9^4)*Y319*Z319</f>
        <v>3327358.6009712047</v>
      </c>
      <c r="AB319" s="161">
        <v>25</v>
      </c>
      <c r="AC319" s="161">
        <v>2</v>
      </c>
      <c r="AD319" s="164">
        <f>($L319*'Pivot Objective'!$C$9^5)*AB319*AC319</f>
        <v>3802908.3423343939</v>
      </c>
      <c r="AE319" s="161">
        <v>25</v>
      </c>
      <c r="AF319" s="161">
        <v>2</v>
      </c>
      <c r="AG319" s="164">
        <f>($L319*'Pivot Objective'!$C$9^6)*AE319*AF319</f>
        <v>4346424.1744112773</v>
      </c>
      <c r="AH319" s="161">
        <v>25</v>
      </c>
      <c r="AI319" s="161">
        <v>2</v>
      </c>
      <c r="AJ319" s="164">
        <f>($L319*'Pivot Objective'!$C$9^7)*AH319*AI319</f>
        <v>4967619.8854454551</v>
      </c>
      <c r="AK319" s="185">
        <f t="shared" si="32"/>
        <v>26081506.839765832</v>
      </c>
      <c r="AL319" s="186">
        <f t="shared" si="33"/>
        <v>25321.851300743525</v>
      </c>
    </row>
    <row r="320" spans="1:38" ht="57.6" x14ac:dyDescent="0.3">
      <c r="A320" s="151" t="s">
        <v>1440</v>
      </c>
      <c r="B320" s="151">
        <v>1</v>
      </c>
      <c r="C320" s="152" t="s">
        <v>836</v>
      </c>
      <c r="D320" s="151" t="str">
        <f t="shared" si="34"/>
        <v>1</v>
      </c>
      <c r="E320" s="153" t="s">
        <v>837</v>
      </c>
      <c r="F320" s="151">
        <f t="shared" si="35"/>
        <v>13</v>
      </c>
      <c r="G320" s="151" t="str">
        <f t="shared" si="36"/>
        <v>1.1.13</v>
      </c>
      <c r="H320" s="156" t="s">
        <v>1687</v>
      </c>
      <c r="I320" s="159" t="s">
        <v>977</v>
      </c>
      <c r="J320" s="159" t="s">
        <v>978</v>
      </c>
      <c r="K320" s="159" t="s">
        <v>712</v>
      </c>
      <c r="L320" s="160">
        <f>1999/7</f>
        <v>285.57142857142856</v>
      </c>
      <c r="M320" s="161">
        <f>2*25*9</f>
        <v>450</v>
      </c>
      <c r="N320" s="161">
        <v>1</v>
      </c>
      <c r="O320" s="164">
        <f t="shared" si="31"/>
        <v>128507.14285714286</v>
      </c>
      <c r="P320" s="161">
        <f>2*25*9</f>
        <v>450</v>
      </c>
      <c r="Q320" s="161">
        <v>1</v>
      </c>
      <c r="R320" s="164">
        <f>$L320*'Pivot Objective'!$C$9*P320*Q320</f>
        <v>146873.52468662139</v>
      </c>
      <c r="S320" s="161">
        <f>2*25*9</f>
        <v>450</v>
      </c>
      <c r="T320" s="161">
        <v>1</v>
      </c>
      <c r="U320" s="164">
        <f>($L320*'Pivot Objective'!$C$9^2)*S320*T320</f>
        <v>167864.84995508991</v>
      </c>
      <c r="V320" s="161">
        <f>2*25*9</f>
        <v>450</v>
      </c>
      <c r="W320" s="161">
        <v>1</v>
      </c>
      <c r="X320" s="164">
        <f>($L320*'Pivot Objective'!$C$9^3)*V320*W320</f>
        <v>191856.27845841175</v>
      </c>
      <c r="Y320" s="161">
        <f>2*25*9</f>
        <v>450</v>
      </c>
      <c r="Z320" s="161">
        <v>1</v>
      </c>
      <c r="AA320" s="164">
        <f>($L320*'Pivot Objective'!$C$9^4)*Y320*Z320</f>
        <v>219276.58824202541</v>
      </c>
      <c r="AB320" s="161">
        <f>2*25*9</f>
        <v>450</v>
      </c>
      <c r="AC320" s="161">
        <v>1</v>
      </c>
      <c r="AD320" s="164">
        <f>($L320*'Pivot Objective'!$C$9^5)*AB320*AC320</f>
        <v>250615.83877999295</v>
      </c>
      <c r="AE320" s="161">
        <f>2*25*9</f>
        <v>450</v>
      </c>
      <c r="AF320" s="161">
        <v>1</v>
      </c>
      <c r="AG320" s="164">
        <f>($L320*'Pivot Objective'!$C$9^6)*AE320*AF320</f>
        <v>286434.12938400469</v>
      </c>
      <c r="AH320" s="161">
        <f>2*25*9</f>
        <v>450</v>
      </c>
      <c r="AI320" s="161">
        <v>1</v>
      </c>
      <c r="AJ320" s="164">
        <f>($L320*'Pivot Objective'!$C$9^7)*AH320*AI320</f>
        <v>327371.60937380657</v>
      </c>
      <c r="AK320" s="185">
        <f t="shared" si="32"/>
        <v>1718799.9617370954</v>
      </c>
      <c r="AL320" s="186">
        <f t="shared" si="33"/>
        <v>1668.7378269292187</v>
      </c>
    </row>
    <row r="321" spans="1:38" ht="57.6" x14ac:dyDescent="0.3">
      <c r="A321" s="151" t="s">
        <v>1440</v>
      </c>
      <c r="B321" s="151">
        <v>1</v>
      </c>
      <c r="C321" s="152" t="s">
        <v>836</v>
      </c>
      <c r="D321" s="151" t="str">
        <f t="shared" si="34"/>
        <v>1</v>
      </c>
      <c r="E321" s="153" t="s">
        <v>837</v>
      </c>
      <c r="F321" s="151">
        <f t="shared" si="35"/>
        <v>13</v>
      </c>
      <c r="G321" s="151" t="str">
        <f t="shared" si="36"/>
        <v>1.1.13</v>
      </c>
      <c r="H321" s="156" t="s">
        <v>1687</v>
      </c>
      <c r="I321" s="159" t="s">
        <v>977</v>
      </c>
      <c r="J321" s="159" t="s">
        <v>979</v>
      </c>
      <c r="K321" s="159" t="s">
        <v>841</v>
      </c>
      <c r="L321" s="160">
        <v>0</v>
      </c>
      <c r="M321" s="161">
        <v>4000</v>
      </c>
      <c r="N321" s="161">
        <v>1</v>
      </c>
      <c r="O321" s="164">
        <f t="shared" si="31"/>
        <v>0</v>
      </c>
      <c r="P321" s="161">
        <v>4000</v>
      </c>
      <c r="Q321" s="161">
        <v>1</v>
      </c>
      <c r="R321" s="164">
        <f>$L321*'Pivot Objective'!$C$9*P321*Q321</f>
        <v>0</v>
      </c>
      <c r="S321" s="161">
        <v>4000</v>
      </c>
      <c r="T321" s="161">
        <v>1</v>
      </c>
      <c r="U321" s="164">
        <f>($L321*'Pivot Objective'!$C$9^2)*S321*T321</f>
        <v>0</v>
      </c>
      <c r="V321" s="161">
        <v>4000</v>
      </c>
      <c r="W321" s="161">
        <v>1</v>
      </c>
      <c r="X321" s="164">
        <f>($L321*'Pivot Objective'!$C$9^3)*V321*W321</f>
        <v>0</v>
      </c>
      <c r="Y321" s="161">
        <v>4000</v>
      </c>
      <c r="Z321" s="161">
        <v>1</v>
      </c>
      <c r="AA321" s="164">
        <f>($L321*'Pivot Objective'!$C$9^4)*Y321*Z321</f>
        <v>0</v>
      </c>
      <c r="AB321" s="161">
        <v>4000</v>
      </c>
      <c r="AC321" s="161">
        <v>1</v>
      </c>
      <c r="AD321" s="164">
        <f>($L321*'Pivot Objective'!$C$9^5)*AB321*AC321</f>
        <v>0</v>
      </c>
      <c r="AE321" s="161">
        <v>4000</v>
      </c>
      <c r="AF321" s="161">
        <v>1</v>
      </c>
      <c r="AG321" s="164">
        <f>($L321*'Pivot Objective'!$C$9^6)*AE321*AF321</f>
        <v>0</v>
      </c>
      <c r="AH321" s="161">
        <v>4000</v>
      </c>
      <c r="AI321" s="161">
        <v>1</v>
      </c>
      <c r="AJ321" s="164">
        <f>($L321*'Pivot Objective'!$C$9^7)*AH321*AI321</f>
        <v>0</v>
      </c>
      <c r="AK321" s="185">
        <f t="shared" si="32"/>
        <v>0</v>
      </c>
      <c r="AL321" s="186">
        <f t="shared" si="33"/>
        <v>0</v>
      </c>
    </row>
    <row r="322" spans="1:38" ht="57.6" x14ac:dyDescent="0.3">
      <c r="A322" s="151" t="s">
        <v>1440</v>
      </c>
      <c r="B322" s="151">
        <v>1</v>
      </c>
      <c r="C322" s="152" t="s">
        <v>836</v>
      </c>
      <c r="D322" s="151" t="str">
        <f t="shared" si="34"/>
        <v>1</v>
      </c>
      <c r="E322" s="153" t="s">
        <v>837</v>
      </c>
      <c r="F322" s="151">
        <f t="shared" si="35"/>
        <v>13</v>
      </c>
      <c r="G322" s="151" t="str">
        <f t="shared" si="36"/>
        <v>1.1.13</v>
      </c>
      <c r="H322" s="156" t="s">
        <v>1687</v>
      </c>
      <c r="I322" s="159" t="s">
        <v>977</v>
      </c>
      <c r="J322" s="159" t="s">
        <v>980</v>
      </c>
      <c r="K322" s="159" t="s">
        <v>709</v>
      </c>
      <c r="L322" s="160">
        <v>35000</v>
      </c>
      <c r="M322" s="161">
        <v>100</v>
      </c>
      <c r="N322" s="161">
        <v>1</v>
      </c>
      <c r="O322" s="164">
        <f t="shared" si="31"/>
        <v>3500000</v>
      </c>
      <c r="P322" s="161">
        <v>100</v>
      </c>
      <c r="Q322" s="161">
        <v>1</v>
      </c>
      <c r="R322" s="164">
        <f>$L322*'Pivot Objective'!$C$9*P322*Q322</f>
        <v>4000223.8394999993</v>
      </c>
      <c r="S322" s="161">
        <v>100</v>
      </c>
      <c r="T322" s="161">
        <v>1</v>
      </c>
      <c r="U322" s="164">
        <f>($L322*'Pivot Objective'!$C$9^2)*S322*T322</f>
        <v>4571940.2188868914</v>
      </c>
      <c r="V322" s="161">
        <v>100</v>
      </c>
      <c r="W322" s="161">
        <v>1</v>
      </c>
      <c r="X322" s="164">
        <f>($L322*'Pivot Objective'!$C$9^3)*V322*W322</f>
        <v>5225366.9303886257</v>
      </c>
      <c r="Y322" s="161">
        <v>100</v>
      </c>
      <c r="Z322" s="161">
        <v>1</v>
      </c>
      <c r="AA322" s="164">
        <f>($L322*'Pivot Objective'!$C$9^4)*Y322*Z322</f>
        <v>5972182.1043072902</v>
      </c>
      <c r="AB322" s="161">
        <v>100</v>
      </c>
      <c r="AC322" s="161">
        <v>1</v>
      </c>
      <c r="AD322" s="164">
        <f>($L322*'Pivot Objective'!$C$9^5)*AB322*AC322</f>
        <v>6825732.9221386546</v>
      </c>
      <c r="AE322" s="161">
        <v>100</v>
      </c>
      <c r="AF322" s="161">
        <v>1</v>
      </c>
      <c r="AG322" s="164">
        <f>($L322*'Pivot Objective'!$C$9^6)*AE322*AF322</f>
        <v>7801274.1591997268</v>
      </c>
      <c r="AH322" s="161">
        <v>100</v>
      </c>
      <c r="AI322" s="161">
        <v>1</v>
      </c>
      <c r="AJ322" s="164">
        <f>($L322*'Pivot Objective'!$C$9^7)*AH322*AI322</f>
        <v>8916240.8200303055</v>
      </c>
      <c r="AK322" s="185">
        <f t="shared" si="32"/>
        <v>46812960.994451493</v>
      </c>
      <c r="AL322" s="186">
        <f t="shared" si="33"/>
        <v>45449.476693642224</v>
      </c>
    </row>
    <row r="323" spans="1:38" ht="57.6" x14ac:dyDescent="0.3">
      <c r="A323" s="151" t="s">
        <v>1440</v>
      </c>
      <c r="B323" s="151">
        <v>1</v>
      </c>
      <c r="C323" s="152" t="s">
        <v>836</v>
      </c>
      <c r="D323" s="151" t="str">
        <f t="shared" si="34"/>
        <v>1</v>
      </c>
      <c r="E323" s="153" t="s">
        <v>837</v>
      </c>
      <c r="F323" s="151">
        <f t="shared" si="35"/>
        <v>13</v>
      </c>
      <c r="G323" s="151" t="str">
        <f t="shared" si="36"/>
        <v>1.1.13</v>
      </c>
      <c r="H323" s="156" t="s">
        <v>1687</v>
      </c>
      <c r="I323" s="159" t="s">
        <v>977</v>
      </c>
      <c r="J323" s="159" t="s">
        <v>981</v>
      </c>
      <c r="K323" s="159" t="s">
        <v>841</v>
      </c>
      <c r="L323" s="160">
        <v>0</v>
      </c>
      <c r="M323" s="161">
        <v>20</v>
      </c>
      <c r="N323" s="161">
        <v>3</v>
      </c>
      <c r="O323" s="164">
        <f t="shared" ref="O323:O386" si="37">$L323*M323*N323</f>
        <v>0</v>
      </c>
      <c r="P323" s="161">
        <v>20</v>
      </c>
      <c r="Q323" s="161">
        <v>3</v>
      </c>
      <c r="R323" s="164">
        <f>$L323*'Pivot Objective'!$C$9*P323*Q323</f>
        <v>0</v>
      </c>
      <c r="S323" s="161">
        <v>20</v>
      </c>
      <c r="T323" s="161">
        <v>3</v>
      </c>
      <c r="U323" s="164">
        <f>($L323*'Pivot Objective'!$C$9^2)*S323*T323</f>
        <v>0</v>
      </c>
      <c r="V323" s="161">
        <v>20</v>
      </c>
      <c r="W323" s="161">
        <v>3</v>
      </c>
      <c r="X323" s="164">
        <f>($L323*'Pivot Objective'!$C$9^3)*V323*W323</f>
        <v>0</v>
      </c>
      <c r="Y323" s="161">
        <v>20</v>
      </c>
      <c r="Z323" s="161">
        <v>3</v>
      </c>
      <c r="AA323" s="164">
        <f>($L323*'Pivot Objective'!$C$9^4)*Y323*Z323</f>
        <v>0</v>
      </c>
      <c r="AB323" s="161">
        <v>20</v>
      </c>
      <c r="AC323" s="161">
        <v>3</v>
      </c>
      <c r="AD323" s="164">
        <f>($L323*'Pivot Objective'!$C$9^5)*AB323*AC323</f>
        <v>0</v>
      </c>
      <c r="AE323" s="161">
        <v>20</v>
      </c>
      <c r="AF323" s="161">
        <v>3</v>
      </c>
      <c r="AG323" s="164">
        <f>($L323*'Pivot Objective'!$C$9^6)*AE323*AF323</f>
        <v>0</v>
      </c>
      <c r="AH323" s="161">
        <v>20</v>
      </c>
      <c r="AI323" s="161">
        <v>3</v>
      </c>
      <c r="AJ323" s="164">
        <f>($L323*'Pivot Objective'!$C$9^7)*AH323*AI323</f>
        <v>0</v>
      </c>
      <c r="AK323" s="185">
        <f t="shared" ref="AK323:AK386" si="38">O323+R323+U323+X323+AA323+AD323+AG323+AJ323</f>
        <v>0</v>
      </c>
      <c r="AL323" s="186">
        <f t="shared" ref="AL323:AL386" si="39">AK323/$AP$2</f>
        <v>0</v>
      </c>
    </row>
    <row r="324" spans="1:38" ht="57.6" x14ac:dyDescent="0.3">
      <c r="A324" s="151" t="s">
        <v>1440</v>
      </c>
      <c r="B324" s="151">
        <v>1</v>
      </c>
      <c r="C324" s="152" t="s">
        <v>836</v>
      </c>
      <c r="D324" s="151" t="str">
        <f t="shared" si="34"/>
        <v>1</v>
      </c>
      <c r="E324" s="153" t="s">
        <v>837</v>
      </c>
      <c r="F324" s="151">
        <f t="shared" si="35"/>
        <v>13</v>
      </c>
      <c r="G324" s="151" t="str">
        <f t="shared" si="36"/>
        <v>1.1.13</v>
      </c>
      <c r="H324" s="156" t="s">
        <v>1687</v>
      </c>
      <c r="I324" s="159" t="s">
        <v>977</v>
      </c>
      <c r="J324" s="159" t="s">
        <v>982</v>
      </c>
      <c r="K324" s="159" t="s">
        <v>709</v>
      </c>
      <c r="L324" s="160">
        <v>35000</v>
      </c>
      <c r="M324" s="161">
        <v>25</v>
      </c>
      <c r="N324" s="161">
        <v>1</v>
      </c>
      <c r="O324" s="164">
        <f t="shared" si="37"/>
        <v>875000</v>
      </c>
      <c r="P324" s="161">
        <v>25</v>
      </c>
      <c r="Q324" s="161">
        <v>1</v>
      </c>
      <c r="R324" s="164">
        <f>$L324*'Pivot Objective'!$C$9*P324*Q324</f>
        <v>1000055.9598749998</v>
      </c>
      <c r="S324" s="161">
        <v>25</v>
      </c>
      <c r="T324" s="161">
        <v>1</v>
      </c>
      <c r="U324" s="164">
        <f>($L324*'Pivot Objective'!$C$9^2)*S324*T324</f>
        <v>1142985.0547217228</v>
      </c>
      <c r="V324" s="161">
        <v>25</v>
      </c>
      <c r="W324" s="161">
        <v>1</v>
      </c>
      <c r="X324" s="164">
        <f>($L324*'Pivot Objective'!$C$9^3)*V324*W324</f>
        <v>1306341.7325971564</v>
      </c>
      <c r="Y324" s="161">
        <v>25</v>
      </c>
      <c r="Z324" s="161">
        <v>1</v>
      </c>
      <c r="AA324" s="164">
        <f>($L324*'Pivot Objective'!$C$9^4)*Y324*Z324</f>
        <v>1493045.5260768225</v>
      </c>
      <c r="AB324" s="161">
        <v>25</v>
      </c>
      <c r="AC324" s="161">
        <v>1</v>
      </c>
      <c r="AD324" s="164">
        <f>($L324*'Pivot Objective'!$C$9^5)*AB324*AC324</f>
        <v>1706433.2305346637</v>
      </c>
      <c r="AE324" s="161">
        <v>25</v>
      </c>
      <c r="AF324" s="161">
        <v>1</v>
      </c>
      <c r="AG324" s="164">
        <f>($L324*'Pivot Objective'!$C$9^6)*AE324*AF324</f>
        <v>1950318.5397999317</v>
      </c>
      <c r="AH324" s="161">
        <v>25</v>
      </c>
      <c r="AI324" s="161">
        <v>1</v>
      </c>
      <c r="AJ324" s="164">
        <f>($L324*'Pivot Objective'!$C$9^7)*AH324*AI324</f>
        <v>2229060.2050075764</v>
      </c>
      <c r="AK324" s="185">
        <f t="shared" si="38"/>
        <v>11703240.248612873</v>
      </c>
      <c r="AL324" s="186">
        <f t="shared" si="39"/>
        <v>11362.369173410556</v>
      </c>
    </row>
    <row r="325" spans="1:38" ht="86.4" x14ac:dyDescent="0.3">
      <c r="A325" s="151" t="s">
        <v>1440</v>
      </c>
      <c r="B325" s="151">
        <v>1</v>
      </c>
      <c r="C325" s="152" t="s">
        <v>836</v>
      </c>
      <c r="D325" s="151" t="str">
        <f t="shared" ref="D325:D365" si="40">RIGHT(A325,1)</f>
        <v>1</v>
      </c>
      <c r="E325" s="153" t="s">
        <v>837</v>
      </c>
      <c r="F325" s="151">
        <f t="shared" ref="F325:F365" si="41">IF(H325=H324,F324,F324+1)</f>
        <v>14</v>
      </c>
      <c r="G325" s="151" t="str">
        <f t="shared" ref="G325:G365" si="42">B325&amp;"."&amp;D325&amp;"."&amp;F325</f>
        <v>1.1.14</v>
      </c>
      <c r="H325" s="156" t="s">
        <v>1646</v>
      </c>
      <c r="I325" s="159" t="s">
        <v>977</v>
      </c>
      <c r="J325" s="159" t="s">
        <v>1647</v>
      </c>
      <c r="K325" s="159" t="s">
        <v>841</v>
      </c>
      <c r="L325" s="160"/>
      <c r="M325" s="161"/>
      <c r="N325" s="161"/>
      <c r="O325" s="164">
        <f t="shared" si="37"/>
        <v>0</v>
      </c>
      <c r="P325" s="161"/>
      <c r="Q325" s="161"/>
      <c r="R325" s="164">
        <f>$L325*'Pivot Objective'!$C$9*P325*Q325</f>
        <v>0</v>
      </c>
      <c r="S325" s="161"/>
      <c r="T325" s="161"/>
      <c r="U325" s="164">
        <f>($L325*'Pivot Objective'!$C$9^2)*S325*T325</f>
        <v>0</v>
      </c>
      <c r="V325" s="161"/>
      <c r="W325" s="161"/>
      <c r="X325" s="164">
        <f>($L325*'Pivot Objective'!$C$9^3)*V325*W325</f>
        <v>0</v>
      </c>
      <c r="Y325" s="161"/>
      <c r="Z325" s="161"/>
      <c r="AA325" s="164">
        <f>($L325*'Pivot Objective'!$C$9^4)*Y325*Z325</f>
        <v>0</v>
      </c>
      <c r="AB325" s="161"/>
      <c r="AC325" s="161"/>
      <c r="AD325" s="164">
        <f>($L325*'Pivot Objective'!$C$9^5)*AB325*AC325</f>
        <v>0</v>
      </c>
      <c r="AE325" s="161"/>
      <c r="AF325" s="161"/>
      <c r="AG325" s="164">
        <f>($L325*'Pivot Objective'!$C$9^6)*AE325*AF325</f>
        <v>0</v>
      </c>
      <c r="AH325" s="161"/>
      <c r="AI325" s="161"/>
      <c r="AJ325" s="164">
        <f>($L325*'Pivot Objective'!$C$9^7)*AH325*AI325</f>
        <v>0</v>
      </c>
      <c r="AK325" s="185">
        <f t="shared" si="38"/>
        <v>0</v>
      </c>
      <c r="AL325" s="186">
        <f t="shared" si="39"/>
        <v>0</v>
      </c>
    </row>
    <row r="326" spans="1:38" ht="86.4" x14ac:dyDescent="0.3">
      <c r="A326" s="151" t="s">
        <v>1440</v>
      </c>
      <c r="B326" s="151">
        <v>1</v>
      </c>
      <c r="C326" s="152" t="s">
        <v>836</v>
      </c>
      <c r="D326" s="151" t="str">
        <f t="shared" si="40"/>
        <v>1</v>
      </c>
      <c r="E326" s="153" t="s">
        <v>837</v>
      </c>
      <c r="F326" s="151">
        <f t="shared" si="41"/>
        <v>14</v>
      </c>
      <c r="G326" s="151" t="str">
        <f t="shared" si="42"/>
        <v>1.1.14</v>
      </c>
      <c r="H326" s="156" t="s">
        <v>1646</v>
      </c>
      <c r="I326" s="159" t="s">
        <v>977</v>
      </c>
      <c r="J326" s="159" t="s">
        <v>1648</v>
      </c>
      <c r="K326" s="159" t="s">
        <v>709</v>
      </c>
      <c r="L326" s="160">
        <v>35000</v>
      </c>
      <c r="M326" s="161"/>
      <c r="N326" s="161"/>
      <c r="O326" s="164">
        <f t="shared" si="37"/>
        <v>0</v>
      </c>
      <c r="P326" s="161"/>
      <c r="Q326" s="161"/>
      <c r="R326" s="164">
        <f>$L326*'Pivot Objective'!$C$9*P326*Q326</f>
        <v>0</v>
      </c>
      <c r="S326" s="161">
        <v>25</v>
      </c>
      <c r="T326" s="161">
        <v>2</v>
      </c>
      <c r="U326" s="164">
        <f>($L326*'Pivot Objective'!$C$9^2)*S326*T326</f>
        <v>2285970.1094434457</v>
      </c>
      <c r="V326" s="161"/>
      <c r="W326" s="161"/>
      <c r="X326" s="164">
        <f>($L326*'Pivot Objective'!$C$9^3)*V326*W326</f>
        <v>0</v>
      </c>
      <c r="Y326" s="161"/>
      <c r="Z326" s="161"/>
      <c r="AA326" s="164">
        <f>($L326*'Pivot Objective'!$C$9^4)*Y326*Z326</f>
        <v>0</v>
      </c>
      <c r="AB326" s="161"/>
      <c r="AC326" s="161"/>
      <c r="AD326" s="164">
        <f>($L326*'Pivot Objective'!$C$9^5)*AB326*AC326</f>
        <v>0</v>
      </c>
      <c r="AE326" s="161"/>
      <c r="AF326" s="161"/>
      <c r="AG326" s="164">
        <f>($L326*'Pivot Objective'!$C$9^6)*AE326*AF326</f>
        <v>0</v>
      </c>
      <c r="AH326" s="161"/>
      <c r="AI326" s="161"/>
      <c r="AJ326" s="164">
        <f>($L326*'Pivot Objective'!$C$9^7)*AH326*AI326</f>
        <v>0</v>
      </c>
      <c r="AK326" s="185">
        <f t="shared" si="38"/>
        <v>2285970.1094434457</v>
      </c>
      <c r="AL326" s="186">
        <f t="shared" si="39"/>
        <v>2219.3884557703354</v>
      </c>
    </row>
    <row r="327" spans="1:38" ht="86.4" x14ac:dyDescent="0.3">
      <c r="A327" s="151" t="s">
        <v>1440</v>
      </c>
      <c r="B327" s="151">
        <v>1</v>
      </c>
      <c r="C327" s="152" t="s">
        <v>836</v>
      </c>
      <c r="D327" s="151" t="str">
        <f t="shared" si="40"/>
        <v>1</v>
      </c>
      <c r="E327" s="153" t="s">
        <v>837</v>
      </c>
      <c r="F327" s="151">
        <f t="shared" si="41"/>
        <v>14</v>
      </c>
      <c r="G327" s="151" t="str">
        <f t="shared" si="42"/>
        <v>1.1.14</v>
      </c>
      <c r="H327" s="156" t="s">
        <v>1646</v>
      </c>
      <c r="I327" s="159" t="s">
        <v>977</v>
      </c>
      <c r="J327" s="159" t="s">
        <v>1648</v>
      </c>
      <c r="K327" s="159" t="s">
        <v>716</v>
      </c>
      <c r="L327" s="160">
        <v>39000</v>
      </c>
      <c r="M327" s="161"/>
      <c r="N327" s="161"/>
      <c r="O327" s="164">
        <f t="shared" si="37"/>
        <v>0</v>
      </c>
      <c r="P327" s="161"/>
      <c r="Q327" s="161"/>
      <c r="R327" s="164">
        <f>$L327*'Pivot Objective'!$C$9*P327*Q327</f>
        <v>0</v>
      </c>
      <c r="S327" s="161">
        <v>25</v>
      </c>
      <c r="T327" s="161">
        <v>3</v>
      </c>
      <c r="U327" s="164">
        <f>($L327*'Pivot Objective'!$C$9^2)*S327*T327</f>
        <v>3820835.7543554734</v>
      </c>
      <c r="V327" s="161"/>
      <c r="W327" s="161"/>
      <c r="X327" s="164">
        <f>($L327*'Pivot Objective'!$C$9^3)*V327*W327</f>
        <v>0</v>
      </c>
      <c r="Y327" s="161"/>
      <c r="Z327" s="161"/>
      <c r="AA327" s="164">
        <f>($L327*'Pivot Objective'!$C$9^4)*Y327*Z327</f>
        <v>0</v>
      </c>
      <c r="AB327" s="161"/>
      <c r="AC327" s="161"/>
      <c r="AD327" s="164">
        <f>($L327*'Pivot Objective'!$C$9^5)*AB327*AC327</f>
        <v>0</v>
      </c>
      <c r="AE327" s="161"/>
      <c r="AF327" s="161"/>
      <c r="AG327" s="164">
        <f>($L327*'Pivot Objective'!$C$9^6)*AE327*AF327</f>
        <v>0</v>
      </c>
      <c r="AH327" s="161"/>
      <c r="AI327" s="161"/>
      <c r="AJ327" s="164">
        <f>($L327*'Pivot Objective'!$C$9^7)*AH327*AI327</f>
        <v>0</v>
      </c>
      <c r="AK327" s="185">
        <f t="shared" si="38"/>
        <v>3820835.7543554734</v>
      </c>
      <c r="AL327" s="186">
        <f t="shared" si="39"/>
        <v>3709.549276073275</v>
      </c>
    </row>
    <row r="328" spans="1:38" ht="86.4" x14ac:dyDescent="0.3">
      <c r="A328" s="151" t="s">
        <v>1440</v>
      </c>
      <c r="B328" s="151">
        <v>1</v>
      </c>
      <c r="C328" s="152" t="s">
        <v>836</v>
      </c>
      <c r="D328" s="151" t="str">
        <f t="shared" si="40"/>
        <v>1</v>
      </c>
      <c r="E328" s="153" t="s">
        <v>837</v>
      </c>
      <c r="F328" s="151">
        <f t="shared" si="41"/>
        <v>14</v>
      </c>
      <c r="G328" s="151" t="str">
        <f t="shared" si="42"/>
        <v>1.1.14</v>
      </c>
      <c r="H328" s="156" t="s">
        <v>1646</v>
      </c>
      <c r="I328" s="159" t="s">
        <v>977</v>
      </c>
      <c r="J328" s="159" t="s">
        <v>1648</v>
      </c>
      <c r="K328" s="159" t="s">
        <v>712</v>
      </c>
      <c r="L328" s="160">
        <v>285.57142857142856</v>
      </c>
      <c r="M328" s="161"/>
      <c r="N328" s="161"/>
      <c r="O328" s="164">
        <f t="shared" si="37"/>
        <v>0</v>
      </c>
      <c r="P328" s="161"/>
      <c r="Q328" s="161"/>
      <c r="R328" s="164">
        <f>$L328*'Pivot Objective'!$C$9*P328*Q328</f>
        <v>0</v>
      </c>
      <c r="S328" s="161">
        <v>450</v>
      </c>
      <c r="T328" s="161">
        <v>2</v>
      </c>
      <c r="U328" s="164">
        <f>($L328*'Pivot Objective'!$C$9^2)*S328*T328</f>
        <v>335729.69991017983</v>
      </c>
      <c r="V328" s="161"/>
      <c r="W328" s="161"/>
      <c r="X328" s="164">
        <f>($L328*'Pivot Objective'!$C$9^3)*V328*W328</f>
        <v>0</v>
      </c>
      <c r="Y328" s="161"/>
      <c r="Z328" s="161"/>
      <c r="AA328" s="164">
        <f>($L328*'Pivot Objective'!$C$9^4)*Y328*Z328</f>
        <v>0</v>
      </c>
      <c r="AB328" s="161"/>
      <c r="AC328" s="161"/>
      <c r="AD328" s="164">
        <f>($L328*'Pivot Objective'!$C$9^5)*AB328*AC328</f>
        <v>0</v>
      </c>
      <c r="AE328" s="161"/>
      <c r="AF328" s="161"/>
      <c r="AG328" s="164">
        <f>($L328*'Pivot Objective'!$C$9^6)*AE328*AF328</f>
        <v>0</v>
      </c>
      <c r="AH328" s="161"/>
      <c r="AI328" s="161"/>
      <c r="AJ328" s="164">
        <f>($L328*'Pivot Objective'!$C$9^7)*AH328*AI328</f>
        <v>0</v>
      </c>
      <c r="AK328" s="185">
        <f t="shared" si="38"/>
        <v>335729.69991017983</v>
      </c>
      <c r="AL328" s="186">
        <f t="shared" si="39"/>
        <v>325.95116496133966</v>
      </c>
    </row>
    <row r="329" spans="1:38" ht="86.4" x14ac:dyDescent="0.3">
      <c r="A329" s="151" t="s">
        <v>1440</v>
      </c>
      <c r="B329" s="151">
        <v>1</v>
      </c>
      <c r="C329" s="152" t="s">
        <v>836</v>
      </c>
      <c r="D329" s="151" t="str">
        <f t="shared" si="40"/>
        <v>1</v>
      </c>
      <c r="E329" s="153" t="s">
        <v>837</v>
      </c>
      <c r="F329" s="151">
        <f t="shared" si="41"/>
        <v>14</v>
      </c>
      <c r="G329" s="151" t="str">
        <f t="shared" si="42"/>
        <v>1.1.14</v>
      </c>
      <c r="H329" s="156" t="s">
        <v>1646</v>
      </c>
      <c r="I329" s="159" t="s">
        <v>977</v>
      </c>
      <c r="J329" s="159" t="s">
        <v>1648</v>
      </c>
      <c r="K329" s="159" t="s">
        <v>1303</v>
      </c>
      <c r="L329" s="160">
        <v>285.57142857142856</v>
      </c>
      <c r="M329" s="161"/>
      <c r="N329" s="161"/>
      <c r="O329" s="164">
        <f t="shared" si="37"/>
        <v>0</v>
      </c>
      <c r="P329" s="161"/>
      <c r="Q329" s="161"/>
      <c r="R329" s="164">
        <f>$L329*'Pivot Objective'!$C$9*P329*Q329</f>
        <v>0</v>
      </c>
      <c r="S329" s="161">
        <v>2430</v>
      </c>
      <c r="T329" s="161">
        <v>1</v>
      </c>
      <c r="U329" s="164">
        <f>($L329*'Pivot Objective'!$C$9^2)*S329*T329</f>
        <v>906470.18975748552</v>
      </c>
      <c r="V329" s="161"/>
      <c r="W329" s="161"/>
      <c r="X329" s="164">
        <f>($L329*'Pivot Objective'!$C$9^3)*V329*W329</f>
        <v>0</v>
      </c>
      <c r="Y329" s="161"/>
      <c r="Z329" s="161"/>
      <c r="AA329" s="164">
        <f>($L329*'Pivot Objective'!$C$9^4)*Y329*Z329</f>
        <v>0</v>
      </c>
      <c r="AB329" s="161"/>
      <c r="AC329" s="161"/>
      <c r="AD329" s="164">
        <f>($L329*'Pivot Objective'!$C$9^5)*AB329*AC329</f>
        <v>0</v>
      </c>
      <c r="AE329" s="161"/>
      <c r="AF329" s="161"/>
      <c r="AG329" s="164">
        <f>($L329*'Pivot Objective'!$C$9^6)*AE329*AF329</f>
        <v>0</v>
      </c>
      <c r="AH329" s="161"/>
      <c r="AI329" s="161"/>
      <c r="AJ329" s="164">
        <f>($L329*'Pivot Objective'!$C$9^7)*AH329*AI329</f>
        <v>0</v>
      </c>
      <c r="AK329" s="185">
        <f t="shared" si="38"/>
        <v>906470.18975748552</v>
      </c>
      <c r="AL329" s="186">
        <f t="shared" si="39"/>
        <v>880.06814539561697</v>
      </c>
    </row>
    <row r="330" spans="1:38" ht="86.4" x14ac:dyDescent="0.3">
      <c r="A330" s="151" t="s">
        <v>1440</v>
      </c>
      <c r="B330" s="151">
        <v>1</v>
      </c>
      <c r="C330" s="152" t="s">
        <v>836</v>
      </c>
      <c r="D330" s="151" t="str">
        <f t="shared" si="40"/>
        <v>1</v>
      </c>
      <c r="E330" s="153" t="s">
        <v>837</v>
      </c>
      <c r="F330" s="151">
        <f t="shared" si="41"/>
        <v>14</v>
      </c>
      <c r="G330" s="151" t="str">
        <f t="shared" si="42"/>
        <v>1.1.14</v>
      </c>
      <c r="H330" s="156" t="s">
        <v>1646</v>
      </c>
      <c r="I330" s="159" t="s">
        <v>1650</v>
      </c>
      <c r="J330" s="159" t="s">
        <v>1651</v>
      </c>
      <c r="K330" s="159" t="s">
        <v>709</v>
      </c>
      <c r="L330" s="160">
        <v>35000</v>
      </c>
      <c r="M330" s="161"/>
      <c r="N330" s="161"/>
      <c r="O330" s="164">
        <f t="shared" si="37"/>
        <v>0</v>
      </c>
      <c r="P330" s="161"/>
      <c r="Q330" s="161"/>
      <c r="R330" s="164">
        <f>$L330*'Pivot Objective'!$C$9*P330*Q330</f>
        <v>0</v>
      </c>
      <c r="S330" s="161">
        <v>25</v>
      </c>
      <c r="T330" s="161">
        <v>9</v>
      </c>
      <c r="U330" s="164">
        <f>($L330*'Pivot Objective'!$C$9^2)*S330*T330</f>
        <v>10286865.492495505</v>
      </c>
      <c r="V330" s="161"/>
      <c r="W330" s="161"/>
      <c r="X330" s="164">
        <f>($L330*'Pivot Objective'!$C$9^3)*V330*W330</f>
        <v>0</v>
      </c>
      <c r="Y330" s="161"/>
      <c r="Z330" s="161"/>
      <c r="AA330" s="164">
        <f>($L330*'Pivot Objective'!$C$9^4)*Y330*Z330</f>
        <v>0</v>
      </c>
      <c r="AB330" s="161"/>
      <c r="AC330" s="161"/>
      <c r="AD330" s="164">
        <f>($L330*'Pivot Objective'!$C$9^5)*AB330*AC330</f>
        <v>0</v>
      </c>
      <c r="AE330" s="161"/>
      <c r="AF330" s="161"/>
      <c r="AG330" s="164">
        <f>($L330*'Pivot Objective'!$C$9^6)*AE330*AF330</f>
        <v>0</v>
      </c>
      <c r="AH330" s="161"/>
      <c r="AI330" s="161"/>
      <c r="AJ330" s="164">
        <f>($L330*'Pivot Objective'!$C$9^7)*AH330*AI330</f>
        <v>0</v>
      </c>
      <c r="AK330" s="185">
        <f t="shared" si="38"/>
        <v>10286865.492495505</v>
      </c>
      <c r="AL330" s="186">
        <f t="shared" si="39"/>
        <v>9987.2480509665093</v>
      </c>
    </row>
    <row r="331" spans="1:38" ht="86.4" x14ac:dyDescent="0.3">
      <c r="A331" s="151" t="s">
        <v>1440</v>
      </c>
      <c r="B331" s="151">
        <v>1</v>
      </c>
      <c r="C331" s="152" t="s">
        <v>836</v>
      </c>
      <c r="D331" s="151" t="str">
        <f t="shared" si="40"/>
        <v>1</v>
      </c>
      <c r="E331" s="153" t="s">
        <v>837</v>
      </c>
      <c r="F331" s="151">
        <f t="shared" si="41"/>
        <v>14</v>
      </c>
      <c r="G331" s="151" t="str">
        <f t="shared" si="42"/>
        <v>1.1.14</v>
      </c>
      <c r="H331" s="156" t="s">
        <v>1646</v>
      </c>
      <c r="I331" s="159" t="s">
        <v>1650</v>
      </c>
      <c r="J331" s="159" t="s">
        <v>1651</v>
      </c>
      <c r="K331" s="159" t="s">
        <v>716</v>
      </c>
      <c r="L331" s="160">
        <v>39000</v>
      </c>
      <c r="M331" s="161"/>
      <c r="N331" s="161"/>
      <c r="O331" s="164">
        <f t="shared" si="37"/>
        <v>0</v>
      </c>
      <c r="P331" s="161"/>
      <c r="Q331" s="161"/>
      <c r="R331" s="164">
        <f>$L331*'Pivot Objective'!$C$9*P331*Q331</f>
        <v>0</v>
      </c>
      <c r="S331" s="161">
        <v>25</v>
      </c>
      <c r="T331" s="161">
        <v>12</v>
      </c>
      <c r="U331" s="164">
        <f>($L331*'Pivot Objective'!$C$9^2)*S331*T331</f>
        <v>15283343.017421894</v>
      </c>
      <c r="V331" s="161"/>
      <c r="W331" s="161"/>
      <c r="X331" s="164">
        <f>($L331*'Pivot Objective'!$C$9^3)*V331*W331</f>
        <v>0</v>
      </c>
      <c r="Y331" s="161"/>
      <c r="Z331" s="161"/>
      <c r="AA331" s="164">
        <f>($L331*'Pivot Objective'!$C$9^4)*Y331*Z331</f>
        <v>0</v>
      </c>
      <c r="AB331" s="161"/>
      <c r="AC331" s="161"/>
      <c r="AD331" s="164">
        <f>($L331*'Pivot Objective'!$C$9^5)*AB331*AC331</f>
        <v>0</v>
      </c>
      <c r="AE331" s="161"/>
      <c r="AF331" s="161"/>
      <c r="AG331" s="164">
        <f>($L331*'Pivot Objective'!$C$9^6)*AE331*AF331</f>
        <v>0</v>
      </c>
      <c r="AH331" s="161"/>
      <c r="AI331" s="161"/>
      <c r="AJ331" s="164">
        <f>($L331*'Pivot Objective'!$C$9^7)*AH331*AI331</f>
        <v>0</v>
      </c>
      <c r="AK331" s="185">
        <f t="shared" si="38"/>
        <v>15283343.017421894</v>
      </c>
      <c r="AL331" s="186">
        <f t="shared" si="39"/>
        <v>14838.1971042931</v>
      </c>
    </row>
    <row r="332" spans="1:38" ht="86.4" x14ac:dyDescent="0.3">
      <c r="A332" s="151" t="s">
        <v>1440</v>
      </c>
      <c r="B332" s="151">
        <v>1</v>
      </c>
      <c r="C332" s="152" t="s">
        <v>836</v>
      </c>
      <c r="D332" s="151" t="str">
        <f t="shared" si="40"/>
        <v>1</v>
      </c>
      <c r="E332" s="153" t="s">
        <v>837</v>
      </c>
      <c r="F332" s="151">
        <f t="shared" si="41"/>
        <v>14</v>
      </c>
      <c r="G332" s="151" t="str">
        <f t="shared" si="42"/>
        <v>1.1.14</v>
      </c>
      <c r="H332" s="156" t="s">
        <v>1646</v>
      </c>
      <c r="I332" s="159" t="s">
        <v>1650</v>
      </c>
      <c r="J332" s="159" t="s">
        <v>1651</v>
      </c>
      <c r="K332" s="159" t="s">
        <v>712</v>
      </c>
      <c r="L332" s="160">
        <v>285.57142857142856</v>
      </c>
      <c r="M332" s="161"/>
      <c r="N332" s="161"/>
      <c r="O332" s="164">
        <f t="shared" si="37"/>
        <v>0</v>
      </c>
      <c r="P332" s="161"/>
      <c r="Q332" s="161"/>
      <c r="R332" s="164">
        <f>$L332*'Pivot Objective'!$C$9*P332*Q332</f>
        <v>0</v>
      </c>
      <c r="S332" s="161">
        <v>450</v>
      </c>
      <c r="T332" s="161">
        <v>9</v>
      </c>
      <c r="U332" s="164">
        <f>($L332*'Pivot Objective'!$C$9^2)*S332*T332</f>
        <v>1510783.6495958092</v>
      </c>
      <c r="V332" s="161"/>
      <c r="W332" s="161"/>
      <c r="X332" s="164">
        <f>($L332*'Pivot Objective'!$C$9^3)*V332*W332</f>
        <v>0</v>
      </c>
      <c r="Y332" s="161"/>
      <c r="Z332" s="161"/>
      <c r="AA332" s="164">
        <f>($L332*'Pivot Objective'!$C$9^4)*Y332*Z332</f>
        <v>0</v>
      </c>
      <c r="AB332" s="161"/>
      <c r="AC332" s="161"/>
      <c r="AD332" s="164">
        <f>($L332*'Pivot Objective'!$C$9^5)*AB332*AC332</f>
        <v>0</v>
      </c>
      <c r="AE332" s="161"/>
      <c r="AF332" s="161"/>
      <c r="AG332" s="164">
        <f>($L332*'Pivot Objective'!$C$9^6)*AE332*AF332</f>
        <v>0</v>
      </c>
      <c r="AH332" s="161"/>
      <c r="AI332" s="161"/>
      <c r="AJ332" s="164">
        <f>($L332*'Pivot Objective'!$C$9^7)*AH332*AI332</f>
        <v>0</v>
      </c>
      <c r="AK332" s="185">
        <f t="shared" si="38"/>
        <v>1510783.6495958092</v>
      </c>
      <c r="AL332" s="186">
        <f t="shared" si="39"/>
        <v>1466.7802423260284</v>
      </c>
    </row>
    <row r="333" spans="1:38" ht="86.4" x14ac:dyDescent="0.3">
      <c r="A333" s="151" t="s">
        <v>1440</v>
      </c>
      <c r="B333" s="151">
        <v>1</v>
      </c>
      <c r="C333" s="152" t="s">
        <v>836</v>
      </c>
      <c r="D333" s="151" t="str">
        <f t="shared" si="40"/>
        <v>1</v>
      </c>
      <c r="E333" s="153" t="s">
        <v>837</v>
      </c>
      <c r="F333" s="151">
        <f t="shared" si="41"/>
        <v>14</v>
      </c>
      <c r="G333" s="151" t="str">
        <f t="shared" si="42"/>
        <v>1.1.14</v>
      </c>
      <c r="H333" s="156" t="s">
        <v>1646</v>
      </c>
      <c r="I333" s="159" t="s">
        <v>1650</v>
      </c>
      <c r="J333" s="159" t="s">
        <v>1651</v>
      </c>
      <c r="K333" s="159" t="s">
        <v>1303</v>
      </c>
      <c r="L333" s="160">
        <v>285.57142857142856</v>
      </c>
      <c r="M333" s="161"/>
      <c r="N333" s="161"/>
      <c r="O333" s="164">
        <f t="shared" si="37"/>
        <v>0</v>
      </c>
      <c r="P333" s="161"/>
      <c r="Q333" s="161"/>
      <c r="R333" s="164">
        <f>$L333*'Pivot Objective'!$C$9*P333*Q333</f>
        <v>0</v>
      </c>
      <c r="S333" s="161">
        <v>2430</v>
      </c>
      <c r="T333" s="161">
        <v>3</v>
      </c>
      <c r="U333" s="164">
        <f>($L333*'Pivot Objective'!$C$9^2)*S333*T333</f>
        <v>2719410.5692724567</v>
      </c>
      <c r="V333" s="161"/>
      <c r="W333" s="161"/>
      <c r="X333" s="164">
        <f>($L333*'Pivot Objective'!$C$9^3)*V333*W333</f>
        <v>0</v>
      </c>
      <c r="Y333" s="161"/>
      <c r="Z333" s="161"/>
      <c r="AA333" s="164">
        <f>($L333*'Pivot Objective'!$C$9^4)*Y333*Z333</f>
        <v>0</v>
      </c>
      <c r="AB333" s="161"/>
      <c r="AC333" s="161"/>
      <c r="AD333" s="164">
        <f>($L333*'Pivot Objective'!$C$9^5)*AB333*AC333</f>
        <v>0</v>
      </c>
      <c r="AE333" s="161"/>
      <c r="AF333" s="161"/>
      <c r="AG333" s="164">
        <f>($L333*'Pivot Objective'!$C$9^6)*AE333*AF333</f>
        <v>0</v>
      </c>
      <c r="AH333" s="161"/>
      <c r="AI333" s="161"/>
      <c r="AJ333" s="164">
        <f>($L333*'Pivot Objective'!$C$9^7)*AH333*AI333</f>
        <v>0</v>
      </c>
      <c r="AK333" s="185">
        <f t="shared" si="38"/>
        <v>2719410.5692724567</v>
      </c>
      <c r="AL333" s="186">
        <f t="shared" si="39"/>
        <v>2640.2044361868511</v>
      </c>
    </row>
    <row r="334" spans="1:38" ht="86.4" x14ac:dyDescent="0.3">
      <c r="A334" s="151" t="s">
        <v>1440</v>
      </c>
      <c r="B334" s="151">
        <v>1</v>
      </c>
      <c r="C334" s="152" t="s">
        <v>836</v>
      </c>
      <c r="D334" s="151" t="str">
        <f t="shared" si="40"/>
        <v>1</v>
      </c>
      <c r="E334" s="153" t="s">
        <v>837</v>
      </c>
      <c r="F334" s="151">
        <f t="shared" si="41"/>
        <v>14</v>
      </c>
      <c r="G334" s="151" t="str">
        <f t="shared" si="42"/>
        <v>1.1.14</v>
      </c>
      <c r="H334" s="156" t="s">
        <v>1646</v>
      </c>
      <c r="I334" s="159" t="s">
        <v>1650</v>
      </c>
      <c r="J334" s="159" t="s">
        <v>1652</v>
      </c>
      <c r="K334" s="159" t="s">
        <v>709</v>
      </c>
      <c r="L334" s="160">
        <v>35000</v>
      </c>
      <c r="M334" s="161"/>
      <c r="N334" s="161"/>
      <c r="O334" s="164">
        <f t="shared" si="37"/>
        <v>0</v>
      </c>
      <c r="P334" s="161"/>
      <c r="Q334" s="161"/>
      <c r="R334" s="164">
        <f>$L334*'Pivot Objective'!$C$9*P334*Q334</f>
        <v>0</v>
      </c>
      <c r="S334" s="161">
        <v>25</v>
      </c>
      <c r="T334" s="161">
        <v>1</v>
      </c>
      <c r="U334" s="164">
        <f>($L334*'Pivot Objective'!$C$9^2)*S334*T334</f>
        <v>1142985.0547217228</v>
      </c>
      <c r="V334" s="161"/>
      <c r="W334" s="161"/>
      <c r="X334" s="164">
        <f>($L334*'Pivot Objective'!$C$9^3)*V334*W334</f>
        <v>0</v>
      </c>
      <c r="Y334" s="161"/>
      <c r="Z334" s="161"/>
      <c r="AA334" s="164">
        <f>($L334*'Pivot Objective'!$C$9^4)*Y334*Z334</f>
        <v>0</v>
      </c>
      <c r="AB334" s="161"/>
      <c r="AC334" s="161"/>
      <c r="AD334" s="164">
        <f>($L334*'Pivot Objective'!$C$9^5)*AB334*AC334</f>
        <v>0</v>
      </c>
      <c r="AE334" s="161"/>
      <c r="AF334" s="161"/>
      <c r="AG334" s="164">
        <f>($L334*'Pivot Objective'!$C$9^6)*AE334*AF334</f>
        <v>0</v>
      </c>
      <c r="AH334" s="161"/>
      <c r="AI334" s="161"/>
      <c r="AJ334" s="164">
        <f>($L334*'Pivot Objective'!$C$9^7)*AH334*AI334</f>
        <v>0</v>
      </c>
      <c r="AK334" s="185">
        <f t="shared" si="38"/>
        <v>1142985.0547217228</v>
      </c>
      <c r="AL334" s="186">
        <f t="shared" si="39"/>
        <v>1109.6942278851677</v>
      </c>
    </row>
    <row r="335" spans="1:38" ht="86.4" x14ac:dyDescent="0.3">
      <c r="A335" s="151" t="s">
        <v>1440</v>
      </c>
      <c r="B335" s="151">
        <v>1</v>
      </c>
      <c r="C335" s="152" t="s">
        <v>836</v>
      </c>
      <c r="D335" s="151" t="str">
        <f t="shared" si="40"/>
        <v>1</v>
      </c>
      <c r="E335" s="153" t="s">
        <v>837</v>
      </c>
      <c r="F335" s="151">
        <f t="shared" si="41"/>
        <v>14</v>
      </c>
      <c r="G335" s="151" t="str">
        <f t="shared" si="42"/>
        <v>1.1.14</v>
      </c>
      <c r="H335" s="156" t="s">
        <v>1646</v>
      </c>
      <c r="I335" s="159" t="s">
        <v>1653</v>
      </c>
      <c r="J335" s="159" t="s">
        <v>936</v>
      </c>
      <c r="K335" s="159" t="s">
        <v>841</v>
      </c>
      <c r="L335" s="160"/>
      <c r="M335" s="161"/>
      <c r="N335" s="161"/>
      <c r="O335" s="164">
        <f t="shared" si="37"/>
        <v>0</v>
      </c>
      <c r="P335" s="161"/>
      <c r="Q335" s="161"/>
      <c r="R335" s="164">
        <f>$L335*'Pivot Objective'!$C$9*P335*Q335</f>
        <v>0</v>
      </c>
      <c r="S335" s="161"/>
      <c r="T335" s="161"/>
      <c r="U335" s="164">
        <f>($L335*'Pivot Objective'!$C$9^2)*S335*T335</f>
        <v>0</v>
      </c>
      <c r="V335" s="161"/>
      <c r="W335" s="161"/>
      <c r="X335" s="164">
        <f>($L335*'Pivot Objective'!$C$9^3)*V335*W335</f>
        <v>0</v>
      </c>
      <c r="Y335" s="161"/>
      <c r="Z335" s="161"/>
      <c r="AA335" s="164">
        <f>($L335*'Pivot Objective'!$C$9^4)*Y335*Z335</f>
        <v>0</v>
      </c>
      <c r="AB335" s="161"/>
      <c r="AC335" s="161"/>
      <c r="AD335" s="164">
        <f>($L335*'Pivot Objective'!$C$9^5)*AB335*AC335</f>
        <v>0</v>
      </c>
      <c r="AE335" s="161"/>
      <c r="AF335" s="161"/>
      <c r="AG335" s="164">
        <f>($L335*'Pivot Objective'!$C$9^6)*AE335*AF335</f>
        <v>0</v>
      </c>
      <c r="AH335" s="161"/>
      <c r="AI335" s="161"/>
      <c r="AJ335" s="164">
        <f>($L335*'Pivot Objective'!$C$9^7)*AH335*AI335</f>
        <v>0</v>
      </c>
      <c r="AK335" s="185">
        <f t="shared" si="38"/>
        <v>0</v>
      </c>
      <c r="AL335" s="186">
        <f t="shared" si="39"/>
        <v>0</v>
      </c>
    </row>
    <row r="336" spans="1:38" ht="86.4" x14ac:dyDescent="0.3">
      <c r="A336" s="151" t="s">
        <v>1440</v>
      </c>
      <c r="B336" s="151">
        <v>1</v>
      </c>
      <c r="C336" s="152" t="s">
        <v>836</v>
      </c>
      <c r="D336" s="151" t="str">
        <f t="shared" si="40"/>
        <v>1</v>
      </c>
      <c r="E336" s="153" t="s">
        <v>837</v>
      </c>
      <c r="F336" s="151">
        <f t="shared" si="41"/>
        <v>14</v>
      </c>
      <c r="G336" s="151" t="str">
        <f t="shared" si="42"/>
        <v>1.1.14</v>
      </c>
      <c r="H336" s="156" t="s">
        <v>1646</v>
      </c>
      <c r="I336" s="159" t="s">
        <v>1653</v>
      </c>
      <c r="J336" s="159" t="s">
        <v>1332</v>
      </c>
      <c r="K336" s="159" t="s">
        <v>709</v>
      </c>
      <c r="L336" s="160">
        <v>35000</v>
      </c>
      <c r="M336" s="161"/>
      <c r="N336" s="161"/>
      <c r="O336" s="164">
        <f t="shared" si="37"/>
        <v>0</v>
      </c>
      <c r="P336" s="161"/>
      <c r="Q336" s="161"/>
      <c r="R336" s="164">
        <f>$L336*'Pivot Objective'!$C$9*P336*Q336</f>
        <v>0</v>
      </c>
      <c r="S336" s="161">
        <v>60</v>
      </c>
      <c r="T336" s="161">
        <v>2</v>
      </c>
      <c r="U336" s="164">
        <f>($L336*'Pivot Objective'!$C$9^2)*S336*T336</f>
        <v>5486328.2626642687</v>
      </c>
      <c r="V336" s="161"/>
      <c r="W336" s="161"/>
      <c r="X336" s="164">
        <f>($L336*'Pivot Objective'!$C$9^3)*V336*W336</f>
        <v>0</v>
      </c>
      <c r="Y336" s="161"/>
      <c r="Z336" s="161"/>
      <c r="AA336" s="164">
        <f>($L336*'Pivot Objective'!$C$9^4)*Y336*Z336</f>
        <v>0</v>
      </c>
      <c r="AB336" s="161"/>
      <c r="AC336" s="161"/>
      <c r="AD336" s="164">
        <f>($L336*'Pivot Objective'!$C$9^5)*AB336*AC336</f>
        <v>0</v>
      </c>
      <c r="AE336" s="161"/>
      <c r="AF336" s="161"/>
      <c r="AG336" s="164">
        <f>($L336*'Pivot Objective'!$C$9^6)*AE336*AF336</f>
        <v>0</v>
      </c>
      <c r="AH336" s="161"/>
      <c r="AI336" s="161"/>
      <c r="AJ336" s="164">
        <f>($L336*'Pivot Objective'!$C$9^7)*AH336*AI336</f>
        <v>0</v>
      </c>
      <c r="AK336" s="185">
        <f t="shared" si="38"/>
        <v>5486328.2626642687</v>
      </c>
      <c r="AL336" s="186">
        <f t="shared" si="39"/>
        <v>5326.5322938488043</v>
      </c>
    </row>
    <row r="337" spans="1:38" ht="86.4" x14ac:dyDescent="0.3">
      <c r="A337" s="151" t="s">
        <v>1440</v>
      </c>
      <c r="B337" s="151">
        <v>1</v>
      </c>
      <c r="C337" s="152" t="s">
        <v>836</v>
      </c>
      <c r="D337" s="151" t="str">
        <f t="shared" si="40"/>
        <v>1</v>
      </c>
      <c r="E337" s="153" t="s">
        <v>837</v>
      </c>
      <c r="F337" s="151">
        <f t="shared" si="41"/>
        <v>14</v>
      </c>
      <c r="G337" s="151" t="str">
        <f t="shared" si="42"/>
        <v>1.1.14</v>
      </c>
      <c r="H337" s="156" t="s">
        <v>1646</v>
      </c>
      <c r="I337" s="159" t="s">
        <v>1654</v>
      </c>
      <c r="J337" s="159" t="s">
        <v>1333</v>
      </c>
      <c r="K337" s="159" t="s">
        <v>1329</v>
      </c>
      <c r="L337" s="160">
        <v>0</v>
      </c>
      <c r="M337" s="161"/>
      <c r="N337" s="161"/>
      <c r="O337" s="164">
        <f t="shared" si="37"/>
        <v>0</v>
      </c>
      <c r="P337" s="161"/>
      <c r="Q337" s="161"/>
      <c r="R337" s="164">
        <f>$L337*'Pivot Objective'!$C$9*P337*Q337</f>
        <v>0</v>
      </c>
      <c r="S337" s="161">
        <v>0</v>
      </c>
      <c r="T337" s="161">
        <v>0</v>
      </c>
      <c r="U337" s="164">
        <f>($L337*'Pivot Objective'!$C$9^2)*S337*T337</f>
        <v>0</v>
      </c>
      <c r="V337" s="161"/>
      <c r="W337" s="161"/>
      <c r="X337" s="164">
        <f>($L337*'Pivot Objective'!$C$9^3)*V337*W337</f>
        <v>0</v>
      </c>
      <c r="Y337" s="161"/>
      <c r="Z337" s="161"/>
      <c r="AA337" s="164">
        <f>($L337*'Pivot Objective'!$C$9^4)*Y337*Z337</f>
        <v>0</v>
      </c>
      <c r="AB337" s="161"/>
      <c r="AC337" s="161"/>
      <c r="AD337" s="164">
        <f>($L337*'Pivot Objective'!$C$9^5)*AB337*AC337</f>
        <v>0</v>
      </c>
      <c r="AE337" s="161"/>
      <c r="AF337" s="161"/>
      <c r="AG337" s="164">
        <f>($L337*'Pivot Objective'!$C$9^6)*AE337*AF337</f>
        <v>0</v>
      </c>
      <c r="AH337" s="161"/>
      <c r="AI337" s="161"/>
      <c r="AJ337" s="164">
        <f>($L337*'Pivot Objective'!$C$9^7)*AH337*AI337</f>
        <v>0</v>
      </c>
      <c r="AK337" s="185">
        <f t="shared" si="38"/>
        <v>0</v>
      </c>
      <c r="AL337" s="186">
        <f t="shared" si="39"/>
        <v>0</v>
      </c>
    </row>
    <row r="338" spans="1:38" ht="86.4" x14ac:dyDescent="0.3">
      <c r="A338" s="151" t="s">
        <v>1440</v>
      </c>
      <c r="B338" s="151">
        <v>1</v>
      </c>
      <c r="C338" s="152" t="s">
        <v>836</v>
      </c>
      <c r="D338" s="151" t="str">
        <f t="shared" si="40"/>
        <v>1</v>
      </c>
      <c r="E338" s="153" t="s">
        <v>837</v>
      </c>
      <c r="F338" s="151">
        <f t="shared" si="41"/>
        <v>14</v>
      </c>
      <c r="G338" s="151" t="str">
        <f t="shared" si="42"/>
        <v>1.1.14</v>
      </c>
      <c r="H338" s="156" t="s">
        <v>1646</v>
      </c>
      <c r="I338" s="159" t="s">
        <v>1654</v>
      </c>
      <c r="J338" s="159" t="s">
        <v>1334</v>
      </c>
      <c r="K338" s="159" t="s">
        <v>709</v>
      </c>
      <c r="L338" s="160">
        <v>35000</v>
      </c>
      <c r="M338" s="161"/>
      <c r="N338" s="161"/>
      <c r="O338" s="164">
        <f t="shared" si="37"/>
        <v>0</v>
      </c>
      <c r="P338" s="161"/>
      <c r="Q338" s="161"/>
      <c r="R338" s="164">
        <f>$L338*'Pivot Objective'!$C$9*P338*Q338</f>
        <v>0</v>
      </c>
      <c r="S338" s="161">
        <v>15</v>
      </c>
      <c r="T338" s="161">
        <v>6</v>
      </c>
      <c r="U338" s="164">
        <f>($L338*'Pivot Objective'!$C$9^2)*S338*T338</f>
        <v>4114746.1969982013</v>
      </c>
      <c r="V338" s="161"/>
      <c r="W338" s="161"/>
      <c r="X338" s="164">
        <f>($L338*'Pivot Objective'!$C$9^3)*V338*W338</f>
        <v>0</v>
      </c>
      <c r="Y338" s="161"/>
      <c r="Z338" s="161"/>
      <c r="AA338" s="164">
        <f>($L338*'Pivot Objective'!$C$9^4)*Y338*Z338</f>
        <v>0</v>
      </c>
      <c r="AB338" s="161"/>
      <c r="AC338" s="161"/>
      <c r="AD338" s="164">
        <f>($L338*'Pivot Objective'!$C$9^5)*AB338*AC338</f>
        <v>0</v>
      </c>
      <c r="AE338" s="161"/>
      <c r="AF338" s="161"/>
      <c r="AG338" s="164">
        <f>($L338*'Pivot Objective'!$C$9^6)*AE338*AF338</f>
        <v>0</v>
      </c>
      <c r="AH338" s="161"/>
      <c r="AI338" s="161"/>
      <c r="AJ338" s="164">
        <f>($L338*'Pivot Objective'!$C$9^7)*AH338*AI338</f>
        <v>0</v>
      </c>
      <c r="AK338" s="185">
        <f t="shared" si="38"/>
        <v>4114746.1969982013</v>
      </c>
      <c r="AL338" s="186">
        <f t="shared" si="39"/>
        <v>3994.8992203866032</v>
      </c>
    </row>
    <row r="339" spans="1:38" ht="86.4" x14ac:dyDescent="0.3">
      <c r="A339" s="151" t="s">
        <v>1440</v>
      </c>
      <c r="B339" s="151">
        <v>1</v>
      </c>
      <c r="C339" s="152" t="s">
        <v>836</v>
      </c>
      <c r="D339" s="151" t="str">
        <f t="shared" si="40"/>
        <v>1</v>
      </c>
      <c r="E339" s="153" t="s">
        <v>837</v>
      </c>
      <c r="F339" s="151">
        <f t="shared" si="41"/>
        <v>14</v>
      </c>
      <c r="G339" s="151" t="str">
        <f t="shared" si="42"/>
        <v>1.1.14</v>
      </c>
      <c r="H339" s="156" t="s">
        <v>1646</v>
      </c>
      <c r="I339" s="159" t="s">
        <v>1654</v>
      </c>
      <c r="J339" s="159" t="s">
        <v>1334</v>
      </c>
      <c r="K339" s="159" t="s">
        <v>716</v>
      </c>
      <c r="L339" s="160">
        <v>39000</v>
      </c>
      <c r="M339" s="161"/>
      <c r="N339" s="161"/>
      <c r="O339" s="164">
        <f t="shared" si="37"/>
        <v>0</v>
      </c>
      <c r="P339" s="161"/>
      <c r="Q339" s="161"/>
      <c r="R339" s="164">
        <f>$L339*'Pivot Objective'!$C$9*P339*Q339</f>
        <v>0</v>
      </c>
      <c r="S339" s="161"/>
      <c r="T339" s="161">
        <v>8</v>
      </c>
      <c r="U339" s="164">
        <f>($L339*'Pivot Objective'!$C$9^2)*S339*T339</f>
        <v>0</v>
      </c>
      <c r="V339" s="161"/>
      <c r="W339" s="161"/>
      <c r="X339" s="164">
        <f>($L339*'Pivot Objective'!$C$9^3)*V339*W339</f>
        <v>0</v>
      </c>
      <c r="Y339" s="161"/>
      <c r="Z339" s="161"/>
      <c r="AA339" s="164">
        <f>($L339*'Pivot Objective'!$C$9^4)*Y339*Z339</f>
        <v>0</v>
      </c>
      <c r="AB339" s="161"/>
      <c r="AC339" s="161"/>
      <c r="AD339" s="164">
        <f>($L339*'Pivot Objective'!$C$9^5)*AB339*AC339</f>
        <v>0</v>
      </c>
      <c r="AE339" s="161"/>
      <c r="AF339" s="161"/>
      <c r="AG339" s="164">
        <f>($L339*'Pivot Objective'!$C$9^6)*AE339*AF339</f>
        <v>0</v>
      </c>
      <c r="AH339" s="161"/>
      <c r="AI339" s="161"/>
      <c r="AJ339" s="164">
        <f>($L339*'Pivot Objective'!$C$9^7)*AH339*AI339</f>
        <v>0</v>
      </c>
      <c r="AK339" s="185">
        <f t="shared" si="38"/>
        <v>0</v>
      </c>
      <c r="AL339" s="186">
        <f t="shared" si="39"/>
        <v>0</v>
      </c>
    </row>
    <row r="340" spans="1:38" ht="86.4" x14ac:dyDescent="0.3">
      <c r="A340" s="151" t="s">
        <v>1440</v>
      </c>
      <c r="B340" s="151">
        <v>1</v>
      </c>
      <c r="C340" s="152" t="s">
        <v>836</v>
      </c>
      <c r="D340" s="151" t="str">
        <f t="shared" si="40"/>
        <v>1</v>
      </c>
      <c r="E340" s="153" t="s">
        <v>837</v>
      </c>
      <c r="F340" s="151">
        <f t="shared" si="41"/>
        <v>14</v>
      </c>
      <c r="G340" s="151" t="str">
        <f t="shared" si="42"/>
        <v>1.1.14</v>
      </c>
      <c r="H340" s="156" t="s">
        <v>1646</v>
      </c>
      <c r="I340" s="159" t="s">
        <v>1654</v>
      </c>
      <c r="J340" s="159" t="s">
        <v>1334</v>
      </c>
      <c r="K340" s="159" t="s">
        <v>712</v>
      </c>
      <c r="L340" s="160">
        <v>285.57142857142856</v>
      </c>
      <c r="M340" s="161"/>
      <c r="N340" s="161"/>
      <c r="O340" s="164">
        <f t="shared" si="37"/>
        <v>0</v>
      </c>
      <c r="P340" s="161"/>
      <c r="Q340" s="161"/>
      <c r="R340" s="164">
        <f>$L340*'Pivot Objective'!$C$9*P340*Q340</f>
        <v>0</v>
      </c>
      <c r="S340" s="161">
        <v>250</v>
      </c>
      <c r="T340" s="161">
        <v>6</v>
      </c>
      <c r="U340" s="164">
        <f>($L340*'Pivot Objective'!$C$9^2)*S340*T340</f>
        <v>559549.49985029968</v>
      </c>
      <c r="V340" s="161"/>
      <c r="W340" s="161"/>
      <c r="X340" s="164">
        <f>($L340*'Pivot Objective'!$C$9^3)*V340*W340</f>
        <v>0</v>
      </c>
      <c r="Y340" s="161"/>
      <c r="Z340" s="161"/>
      <c r="AA340" s="164">
        <f>($L340*'Pivot Objective'!$C$9^4)*Y340*Z340</f>
        <v>0</v>
      </c>
      <c r="AB340" s="161"/>
      <c r="AC340" s="161"/>
      <c r="AD340" s="164">
        <f>($L340*'Pivot Objective'!$C$9^5)*AB340*AC340</f>
        <v>0</v>
      </c>
      <c r="AE340" s="161"/>
      <c r="AF340" s="161"/>
      <c r="AG340" s="164">
        <f>($L340*'Pivot Objective'!$C$9^6)*AE340*AF340</f>
        <v>0</v>
      </c>
      <c r="AH340" s="161"/>
      <c r="AI340" s="161"/>
      <c r="AJ340" s="164">
        <f>($L340*'Pivot Objective'!$C$9^7)*AH340*AI340</f>
        <v>0</v>
      </c>
      <c r="AK340" s="185">
        <f t="shared" si="38"/>
        <v>559549.49985029968</v>
      </c>
      <c r="AL340" s="186">
        <f t="shared" si="39"/>
        <v>543.25194160223271</v>
      </c>
    </row>
    <row r="341" spans="1:38" ht="86.4" x14ac:dyDescent="0.3">
      <c r="A341" s="151" t="s">
        <v>1440</v>
      </c>
      <c r="B341" s="151">
        <v>1</v>
      </c>
      <c r="C341" s="152" t="s">
        <v>836</v>
      </c>
      <c r="D341" s="151" t="str">
        <f t="shared" si="40"/>
        <v>1</v>
      </c>
      <c r="E341" s="153" t="s">
        <v>837</v>
      </c>
      <c r="F341" s="151">
        <f t="shared" si="41"/>
        <v>14</v>
      </c>
      <c r="G341" s="151" t="str">
        <f t="shared" si="42"/>
        <v>1.1.14</v>
      </c>
      <c r="H341" s="156" t="s">
        <v>1646</v>
      </c>
      <c r="I341" s="159" t="s">
        <v>1654</v>
      </c>
      <c r="J341" s="159" t="s">
        <v>1334</v>
      </c>
      <c r="K341" s="159" t="s">
        <v>1336</v>
      </c>
      <c r="L341" s="160">
        <v>285.57142857142856</v>
      </c>
      <c r="M341" s="161"/>
      <c r="N341" s="161"/>
      <c r="O341" s="164">
        <f t="shared" si="37"/>
        <v>0</v>
      </c>
      <c r="P341" s="161"/>
      <c r="Q341" s="161"/>
      <c r="R341" s="164">
        <f>$L341*'Pivot Objective'!$C$9*P341*Q341</f>
        <v>0</v>
      </c>
      <c r="S341" s="161">
        <v>1350</v>
      </c>
      <c r="T341" s="161">
        <v>2</v>
      </c>
      <c r="U341" s="164">
        <f>($L341*'Pivot Objective'!$C$9^2)*S341*T341</f>
        <v>1007189.0997305395</v>
      </c>
      <c r="V341" s="161"/>
      <c r="W341" s="161"/>
      <c r="X341" s="164">
        <f>($L341*'Pivot Objective'!$C$9^3)*V341*W341</f>
        <v>0</v>
      </c>
      <c r="Y341" s="161"/>
      <c r="Z341" s="161"/>
      <c r="AA341" s="164">
        <f>($L341*'Pivot Objective'!$C$9^4)*Y341*Z341</f>
        <v>0</v>
      </c>
      <c r="AB341" s="161"/>
      <c r="AC341" s="161"/>
      <c r="AD341" s="164">
        <f>($L341*'Pivot Objective'!$C$9^5)*AB341*AC341</f>
        <v>0</v>
      </c>
      <c r="AE341" s="161"/>
      <c r="AF341" s="161"/>
      <c r="AG341" s="164">
        <f>($L341*'Pivot Objective'!$C$9^6)*AE341*AF341</f>
        <v>0</v>
      </c>
      <c r="AH341" s="161"/>
      <c r="AI341" s="161"/>
      <c r="AJ341" s="164">
        <f>($L341*'Pivot Objective'!$C$9^7)*AH341*AI341</f>
        <v>0</v>
      </c>
      <c r="AK341" s="185">
        <f t="shared" si="38"/>
        <v>1007189.0997305395</v>
      </c>
      <c r="AL341" s="186">
        <f t="shared" si="39"/>
        <v>977.85349488401891</v>
      </c>
    </row>
    <row r="342" spans="1:38" ht="86.4" x14ac:dyDescent="0.3">
      <c r="A342" s="151" t="s">
        <v>1440</v>
      </c>
      <c r="B342" s="151">
        <v>1</v>
      </c>
      <c r="C342" s="152" t="s">
        <v>836</v>
      </c>
      <c r="D342" s="151" t="str">
        <f t="shared" si="40"/>
        <v>1</v>
      </c>
      <c r="E342" s="153" t="s">
        <v>837</v>
      </c>
      <c r="F342" s="151">
        <f t="shared" si="41"/>
        <v>14</v>
      </c>
      <c r="G342" s="151" t="str">
        <f t="shared" si="42"/>
        <v>1.1.14</v>
      </c>
      <c r="H342" s="156" t="s">
        <v>1646</v>
      </c>
      <c r="I342" s="159" t="s">
        <v>1654</v>
      </c>
      <c r="J342" s="159" t="s">
        <v>1335</v>
      </c>
      <c r="K342" s="159" t="s">
        <v>709</v>
      </c>
      <c r="L342" s="160">
        <v>35000</v>
      </c>
      <c r="M342" s="161"/>
      <c r="N342" s="161"/>
      <c r="O342" s="164">
        <f t="shared" si="37"/>
        <v>0</v>
      </c>
      <c r="P342" s="161"/>
      <c r="Q342" s="161"/>
      <c r="R342" s="164">
        <f>$L342*'Pivot Objective'!$C$9*P342*Q342</f>
        <v>0</v>
      </c>
      <c r="S342" s="161">
        <v>15</v>
      </c>
      <c r="T342" s="161">
        <v>2</v>
      </c>
      <c r="U342" s="164">
        <f>($L342*'Pivot Objective'!$C$9^2)*S342*T342</f>
        <v>1371582.0656660672</v>
      </c>
      <c r="V342" s="161"/>
      <c r="W342" s="161"/>
      <c r="X342" s="164">
        <f>($L342*'Pivot Objective'!$C$9^3)*V342*W342</f>
        <v>0</v>
      </c>
      <c r="Y342" s="161"/>
      <c r="Z342" s="161"/>
      <c r="AA342" s="164">
        <f>($L342*'Pivot Objective'!$C$9^4)*Y342*Z342</f>
        <v>0</v>
      </c>
      <c r="AB342" s="161"/>
      <c r="AC342" s="161"/>
      <c r="AD342" s="164">
        <f>($L342*'Pivot Objective'!$C$9^5)*AB342*AC342</f>
        <v>0</v>
      </c>
      <c r="AE342" s="161"/>
      <c r="AF342" s="161"/>
      <c r="AG342" s="164">
        <f>($L342*'Pivot Objective'!$C$9^6)*AE342*AF342</f>
        <v>0</v>
      </c>
      <c r="AH342" s="161"/>
      <c r="AI342" s="161"/>
      <c r="AJ342" s="164">
        <f>($L342*'Pivot Objective'!$C$9^7)*AH342*AI342</f>
        <v>0</v>
      </c>
      <c r="AK342" s="185">
        <f t="shared" si="38"/>
        <v>1371582.0656660672</v>
      </c>
      <c r="AL342" s="186">
        <f t="shared" si="39"/>
        <v>1331.6330734622011</v>
      </c>
    </row>
    <row r="343" spans="1:38" ht="86.4" x14ac:dyDescent="0.3">
      <c r="A343" s="151" t="s">
        <v>1440</v>
      </c>
      <c r="B343" s="151">
        <v>1</v>
      </c>
      <c r="C343" s="152" t="s">
        <v>836</v>
      </c>
      <c r="D343" s="151" t="str">
        <f t="shared" si="40"/>
        <v>1</v>
      </c>
      <c r="E343" s="153" t="s">
        <v>837</v>
      </c>
      <c r="F343" s="151">
        <f t="shared" si="41"/>
        <v>14</v>
      </c>
      <c r="G343" s="151" t="str">
        <f t="shared" si="42"/>
        <v>1.1.14</v>
      </c>
      <c r="H343" s="156" t="s">
        <v>1646</v>
      </c>
      <c r="I343" s="159" t="s">
        <v>1654</v>
      </c>
      <c r="J343" s="159" t="s">
        <v>1335</v>
      </c>
      <c r="K343" s="159" t="s">
        <v>716</v>
      </c>
      <c r="L343" s="160">
        <v>39000</v>
      </c>
      <c r="M343" s="161"/>
      <c r="N343" s="161"/>
      <c r="O343" s="164">
        <f t="shared" si="37"/>
        <v>0</v>
      </c>
      <c r="P343" s="161"/>
      <c r="Q343" s="161"/>
      <c r="R343" s="164">
        <f>$L343*'Pivot Objective'!$C$9*P343*Q343</f>
        <v>0</v>
      </c>
      <c r="S343" s="161">
        <v>15</v>
      </c>
      <c r="T343" s="161">
        <v>3</v>
      </c>
      <c r="U343" s="164">
        <f>($L343*'Pivot Objective'!$C$9^2)*S343*T343</f>
        <v>2292501.4526132839</v>
      </c>
      <c r="V343" s="161"/>
      <c r="W343" s="161"/>
      <c r="X343" s="164">
        <f>($L343*'Pivot Objective'!$C$9^3)*V343*W343</f>
        <v>0</v>
      </c>
      <c r="Y343" s="161"/>
      <c r="Z343" s="161"/>
      <c r="AA343" s="164">
        <f>($L343*'Pivot Objective'!$C$9^4)*Y343*Z343</f>
        <v>0</v>
      </c>
      <c r="AB343" s="161"/>
      <c r="AC343" s="161"/>
      <c r="AD343" s="164">
        <f>($L343*'Pivot Objective'!$C$9^5)*AB343*AC343</f>
        <v>0</v>
      </c>
      <c r="AE343" s="161"/>
      <c r="AF343" s="161"/>
      <c r="AG343" s="164">
        <f>($L343*'Pivot Objective'!$C$9^6)*AE343*AF343</f>
        <v>0</v>
      </c>
      <c r="AH343" s="161"/>
      <c r="AI343" s="161"/>
      <c r="AJ343" s="164">
        <f>($L343*'Pivot Objective'!$C$9^7)*AH343*AI343</f>
        <v>0</v>
      </c>
      <c r="AK343" s="185">
        <f t="shared" si="38"/>
        <v>2292501.4526132839</v>
      </c>
      <c r="AL343" s="186">
        <f t="shared" si="39"/>
        <v>2225.7295656439651</v>
      </c>
    </row>
    <row r="344" spans="1:38" ht="86.4" x14ac:dyDescent="0.3">
      <c r="A344" s="151" t="s">
        <v>1440</v>
      </c>
      <c r="B344" s="151">
        <v>1</v>
      </c>
      <c r="C344" s="152" t="s">
        <v>836</v>
      </c>
      <c r="D344" s="151" t="str">
        <f t="shared" si="40"/>
        <v>1</v>
      </c>
      <c r="E344" s="153" t="s">
        <v>837</v>
      </c>
      <c r="F344" s="151">
        <f t="shared" si="41"/>
        <v>14</v>
      </c>
      <c r="G344" s="151" t="str">
        <f t="shared" si="42"/>
        <v>1.1.14</v>
      </c>
      <c r="H344" s="156" t="s">
        <v>1646</v>
      </c>
      <c r="I344" s="159" t="s">
        <v>1654</v>
      </c>
      <c r="J344" s="159" t="s">
        <v>1335</v>
      </c>
      <c r="K344" s="159" t="s">
        <v>712</v>
      </c>
      <c r="L344" s="160">
        <v>285.57142857142856</v>
      </c>
      <c r="M344" s="161"/>
      <c r="N344" s="161"/>
      <c r="O344" s="164">
        <f t="shared" si="37"/>
        <v>0</v>
      </c>
      <c r="P344" s="161"/>
      <c r="Q344" s="161"/>
      <c r="R344" s="164">
        <f>$L344*'Pivot Objective'!$C$9*P344*Q344</f>
        <v>0</v>
      </c>
      <c r="S344" s="161">
        <v>250</v>
      </c>
      <c r="T344" s="161">
        <v>2</v>
      </c>
      <c r="U344" s="164">
        <f>($L344*'Pivot Objective'!$C$9^2)*S344*T344</f>
        <v>186516.49995009991</v>
      </c>
      <c r="V344" s="161"/>
      <c r="W344" s="161"/>
      <c r="X344" s="164">
        <f>($L344*'Pivot Objective'!$C$9^3)*V344*W344</f>
        <v>0</v>
      </c>
      <c r="Y344" s="161"/>
      <c r="Z344" s="161"/>
      <c r="AA344" s="164">
        <f>($L344*'Pivot Objective'!$C$9^4)*Y344*Z344</f>
        <v>0</v>
      </c>
      <c r="AB344" s="161"/>
      <c r="AC344" s="161"/>
      <c r="AD344" s="164">
        <f>($L344*'Pivot Objective'!$C$9^5)*AB344*AC344</f>
        <v>0</v>
      </c>
      <c r="AE344" s="161"/>
      <c r="AF344" s="161"/>
      <c r="AG344" s="164">
        <f>($L344*'Pivot Objective'!$C$9^6)*AE344*AF344</f>
        <v>0</v>
      </c>
      <c r="AH344" s="161"/>
      <c r="AI344" s="161"/>
      <c r="AJ344" s="164">
        <f>($L344*'Pivot Objective'!$C$9^7)*AH344*AI344</f>
        <v>0</v>
      </c>
      <c r="AK344" s="185">
        <f t="shared" si="38"/>
        <v>186516.49995009991</v>
      </c>
      <c r="AL344" s="186">
        <f t="shared" si="39"/>
        <v>181.0839805340776</v>
      </c>
    </row>
    <row r="345" spans="1:38" ht="86.4" x14ac:dyDescent="0.3">
      <c r="A345" s="151" t="s">
        <v>1440</v>
      </c>
      <c r="B345" s="151">
        <v>1</v>
      </c>
      <c r="C345" s="152" t="s">
        <v>836</v>
      </c>
      <c r="D345" s="151" t="str">
        <f t="shared" si="40"/>
        <v>1</v>
      </c>
      <c r="E345" s="153" t="s">
        <v>837</v>
      </c>
      <c r="F345" s="151">
        <f t="shared" si="41"/>
        <v>14</v>
      </c>
      <c r="G345" s="151" t="str">
        <f t="shared" si="42"/>
        <v>1.1.14</v>
      </c>
      <c r="H345" s="156" t="s">
        <v>1646</v>
      </c>
      <c r="I345" s="159" t="s">
        <v>1654</v>
      </c>
      <c r="J345" s="159" t="s">
        <v>1335</v>
      </c>
      <c r="K345" s="159" t="s">
        <v>1336</v>
      </c>
      <c r="L345" s="160">
        <v>285.57142857142856</v>
      </c>
      <c r="M345" s="161"/>
      <c r="N345" s="161"/>
      <c r="O345" s="164">
        <f t="shared" si="37"/>
        <v>0</v>
      </c>
      <c r="P345" s="161"/>
      <c r="Q345" s="161"/>
      <c r="R345" s="164">
        <f>$L345*'Pivot Objective'!$C$9*P345*Q345</f>
        <v>0</v>
      </c>
      <c r="S345" s="161">
        <v>1350</v>
      </c>
      <c r="T345" s="161">
        <v>1</v>
      </c>
      <c r="U345" s="164">
        <f>($L345*'Pivot Objective'!$C$9^2)*S345*T345</f>
        <v>503594.54986526974</v>
      </c>
      <c r="V345" s="161"/>
      <c r="W345" s="161"/>
      <c r="X345" s="164">
        <f>($L345*'Pivot Objective'!$C$9^3)*V345*W345</f>
        <v>0</v>
      </c>
      <c r="Y345" s="161"/>
      <c r="Z345" s="161"/>
      <c r="AA345" s="164">
        <f>($L345*'Pivot Objective'!$C$9^4)*Y345*Z345</f>
        <v>0</v>
      </c>
      <c r="AB345" s="161"/>
      <c r="AC345" s="161"/>
      <c r="AD345" s="164">
        <f>($L345*'Pivot Objective'!$C$9^5)*AB345*AC345</f>
        <v>0</v>
      </c>
      <c r="AE345" s="161"/>
      <c r="AF345" s="161"/>
      <c r="AG345" s="164">
        <f>($L345*'Pivot Objective'!$C$9^6)*AE345*AF345</f>
        <v>0</v>
      </c>
      <c r="AH345" s="161"/>
      <c r="AI345" s="161"/>
      <c r="AJ345" s="164">
        <f>($L345*'Pivot Objective'!$C$9^7)*AH345*AI345</f>
        <v>0</v>
      </c>
      <c r="AK345" s="185">
        <f t="shared" si="38"/>
        <v>503594.54986526974</v>
      </c>
      <c r="AL345" s="186">
        <f t="shared" si="39"/>
        <v>488.92674744200946</v>
      </c>
    </row>
    <row r="346" spans="1:38" ht="86.4" x14ac:dyDescent="0.3">
      <c r="A346" s="151" t="s">
        <v>1440</v>
      </c>
      <c r="B346" s="151">
        <v>1</v>
      </c>
      <c r="C346" s="152" t="s">
        <v>836</v>
      </c>
      <c r="D346" s="151" t="str">
        <f t="shared" si="40"/>
        <v>1</v>
      </c>
      <c r="E346" s="153" t="s">
        <v>837</v>
      </c>
      <c r="F346" s="151">
        <f t="shared" si="41"/>
        <v>14</v>
      </c>
      <c r="G346" s="151" t="str">
        <f t="shared" si="42"/>
        <v>1.1.14</v>
      </c>
      <c r="H346" s="156" t="s">
        <v>1646</v>
      </c>
      <c r="I346" s="159" t="s">
        <v>1654</v>
      </c>
      <c r="J346" s="159" t="s">
        <v>1337</v>
      </c>
      <c r="K346" s="159" t="s">
        <v>1338</v>
      </c>
      <c r="L346" s="160">
        <v>0</v>
      </c>
      <c r="M346" s="161"/>
      <c r="N346" s="161"/>
      <c r="O346" s="164">
        <f t="shared" si="37"/>
        <v>0</v>
      </c>
      <c r="P346" s="161"/>
      <c r="Q346" s="161"/>
      <c r="R346" s="164">
        <f>$L346*'Pivot Objective'!$C$9*P346*Q346</f>
        <v>0</v>
      </c>
      <c r="S346" s="161">
        <v>12</v>
      </c>
      <c r="T346" s="161">
        <v>1</v>
      </c>
      <c r="U346" s="164">
        <f>($L346*'Pivot Objective'!$C$9^2)*S346*T346</f>
        <v>0</v>
      </c>
      <c r="V346" s="161"/>
      <c r="W346" s="161"/>
      <c r="X346" s="164">
        <f>($L346*'Pivot Objective'!$C$9^3)*V346*W346</f>
        <v>0</v>
      </c>
      <c r="Y346" s="161"/>
      <c r="Z346" s="161"/>
      <c r="AA346" s="164">
        <f>($L346*'Pivot Objective'!$C$9^4)*Y346*Z346</f>
        <v>0</v>
      </c>
      <c r="AB346" s="161"/>
      <c r="AC346" s="161"/>
      <c r="AD346" s="164">
        <f>($L346*'Pivot Objective'!$C$9^5)*AB346*AC346</f>
        <v>0</v>
      </c>
      <c r="AE346" s="161"/>
      <c r="AF346" s="161"/>
      <c r="AG346" s="164">
        <f>($L346*'Pivot Objective'!$C$9^6)*AE346*AF346</f>
        <v>0</v>
      </c>
      <c r="AH346" s="161"/>
      <c r="AI346" s="161"/>
      <c r="AJ346" s="164">
        <f>($L346*'Pivot Objective'!$C$9^7)*AH346*AI346</f>
        <v>0</v>
      </c>
      <c r="AK346" s="185">
        <f t="shared" si="38"/>
        <v>0</v>
      </c>
      <c r="AL346" s="186">
        <f t="shared" si="39"/>
        <v>0</v>
      </c>
    </row>
    <row r="347" spans="1:38" ht="86.4" x14ac:dyDescent="0.3">
      <c r="A347" s="151" t="s">
        <v>1440</v>
      </c>
      <c r="B347" s="151">
        <v>1</v>
      </c>
      <c r="C347" s="152" t="s">
        <v>836</v>
      </c>
      <c r="D347" s="151" t="str">
        <f t="shared" si="40"/>
        <v>1</v>
      </c>
      <c r="E347" s="153" t="s">
        <v>837</v>
      </c>
      <c r="F347" s="151">
        <f t="shared" si="41"/>
        <v>14</v>
      </c>
      <c r="G347" s="151" t="str">
        <f t="shared" si="42"/>
        <v>1.1.14</v>
      </c>
      <c r="H347" s="156" t="s">
        <v>1646</v>
      </c>
      <c r="I347" s="159" t="s">
        <v>1654</v>
      </c>
      <c r="J347" s="159" t="s">
        <v>1337</v>
      </c>
      <c r="K347" s="159" t="s">
        <v>713</v>
      </c>
      <c r="L347" s="160">
        <v>45000</v>
      </c>
      <c r="M347" s="161"/>
      <c r="N347" s="161"/>
      <c r="O347" s="164">
        <f t="shared" si="37"/>
        <v>0</v>
      </c>
      <c r="P347" s="161"/>
      <c r="Q347" s="161"/>
      <c r="R347" s="164">
        <f>$L347*'Pivot Objective'!$C$9*P347*Q347</f>
        <v>0</v>
      </c>
      <c r="S347" s="161">
        <v>12</v>
      </c>
      <c r="T347" s="161">
        <v>2</v>
      </c>
      <c r="U347" s="164">
        <f>($L347*'Pivot Objective'!$C$9^2)*S347*T347</f>
        <v>1410770.124685098</v>
      </c>
      <c r="V347" s="161"/>
      <c r="W347" s="161"/>
      <c r="X347" s="164">
        <f>($L347*'Pivot Objective'!$C$9^3)*V347*W347</f>
        <v>0</v>
      </c>
      <c r="Y347" s="161"/>
      <c r="Z347" s="161"/>
      <c r="AA347" s="164">
        <f>($L347*'Pivot Objective'!$C$9^4)*Y347*Z347</f>
        <v>0</v>
      </c>
      <c r="AB347" s="161"/>
      <c r="AC347" s="161"/>
      <c r="AD347" s="164">
        <f>($L347*'Pivot Objective'!$C$9^5)*AB347*AC347</f>
        <v>0</v>
      </c>
      <c r="AE347" s="161"/>
      <c r="AF347" s="161"/>
      <c r="AG347" s="164">
        <f>($L347*'Pivot Objective'!$C$9^6)*AE347*AF347</f>
        <v>0</v>
      </c>
      <c r="AH347" s="161"/>
      <c r="AI347" s="161"/>
      <c r="AJ347" s="164">
        <f>($L347*'Pivot Objective'!$C$9^7)*AH347*AI347</f>
        <v>0</v>
      </c>
      <c r="AK347" s="185">
        <f t="shared" si="38"/>
        <v>1410770.124685098</v>
      </c>
      <c r="AL347" s="186">
        <f t="shared" si="39"/>
        <v>1369.6797327039785</v>
      </c>
    </row>
    <row r="348" spans="1:38" ht="86.4" x14ac:dyDescent="0.3">
      <c r="A348" s="151" t="s">
        <v>1440</v>
      </c>
      <c r="B348" s="151">
        <v>1</v>
      </c>
      <c r="C348" s="152" t="s">
        <v>836</v>
      </c>
      <c r="D348" s="151" t="str">
        <f t="shared" si="40"/>
        <v>1</v>
      </c>
      <c r="E348" s="153" t="s">
        <v>837</v>
      </c>
      <c r="F348" s="151">
        <f t="shared" si="41"/>
        <v>14</v>
      </c>
      <c r="G348" s="151" t="str">
        <f t="shared" si="42"/>
        <v>1.1.14</v>
      </c>
      <c r="H348" s="156" t="s">
        <v>1646</v>
      </c>
      <c r="I348" s="159" t="s">
        <v>1654</v>
      </c>
      <c r="J348" s="159" t="s">
        <v>1337</v>
      </c>
      <c r="K348" s="159" t="s">
        <v>712</v>
      </c>
      <c r="L348" s="160">
        <v>285.57142857142856</v>
      </c>
      <c r="M348" s="161"/>
      <c r="N348" s="161"/>
      <c r="O348" s="164">
        <f t="shared" si="37"/>
        <v>0</v>
      </c>
      <c r="P348" s="161"/>
      <c r="Q348" s="161"/>
      <c r="R348" s="164">
        <f>$L348*'Pivot Objective'!$C$9*P348*Q348</f>
        <v>0</v>
      </c>
      <c r="S348" s="161">
        <v>250</v>
      </c>
      <c r="T348" s="161">
        <v>2</v>
      </c>
      <c r="U348" s="164">
        <f>($L348*'Pivot Objective'!$C$9^2)*S348*T348</f>
        <v>186516.49995009991</v>
      </c>
      <c r="V348" s="161"/>
      <c r="W348" s="161"/>
      <c r="X348" s="164">
        <f>($L348*'Pivot Objective'!$C$9^3)*V348*W348</f>
        <v>0</v>
      </c>
      <c r="Y348" s="161"/>
      <c r="Z348" s="161"/>
      <c r="AA348" s="164">
        <f>($L348*'Pivot Objective'!$C$9^4)*Y348*Z348</f>
        <v>0</v>
      </c>
      <c r="AB348" s="161"/>
      <c r="AC348" s="161"/>
      <c r="AD348" s="164">
        <f>($L348*'Pivot Objective'!$C$9^5)*AB348*AC348</f>
        <v>0</v>
      </c>
      <c r="AE348" s="161"/>
      <c r="AF348" s="161"/>
      <c r="AG348" s="164">
        <f>($L348*'Pivot Objective'!$C$9^6)*AE348*AF348</f>
        <v>0</v>
      </c>
      <c r="AH348" s="161"/>
      <c r="AI348" s="161"/>
      <c r="AJ348" s="164">
        <f>($L348*'Pivot Objective'!$C$9^7)*AH348*AI348</f>
        <v>0</v>
      </c>
      <c r="AK348" s="185">
        <f t="shared" si="38"/>
        <v>186516.49995009991</v>
      </c>
      <c r="AL348" s="186">
        <f t="shared" si="39"/>
        <v>181.0839805340776</v>
      </c>
    </row>
    <row r="349" spans="1:38" ht="86.4" x14ac:dyDescent="0.3">
      <c r="A349" s="151" t="s">
        <v>1440</v>
      </c>
      <c r="B349" s="151">
        <v>1</v>
      </c>
      <c r="C349" s="152" t="s">
        <v>836</v>
      </c>
      <c r="D349" s="151" t="str">
        <f t="shared" si="40"/>
        <v>1</v>
      </c>
      <c r="E349" s="153" t="s">
        <v>837</v>
      </c>
      <c r="F349" s="151">
        <f t="shared" si="41"/>
        <v>14</v>
      </c>
      <c r="G349" s="151" t="str">
        <f t="shared" si="42"/>
        <v>1.1.14</v>
      </c>
      <c r="H349" s="156" t="s">
        <v>1646</v>
      </c>
      <c r="I349" s="159" t="s">
        <v>1654</v>
      </c>
      <c r="J349" s="159" t="s">
        <v>1337</v>
      </c>
      <c r="K349" s="159" t="s">
        <v>1336</v>
      </c>
      <c r="L349" s="160">
        <v>285.57142857142856</v>
      </c>
      <c r="M349" s="161"/>
      <c r="N349" s="161"/>
      <c r="O349" s="164">
        <f t="shared" si="37"/>
        <v>0</v>
      </c>
      <c r="P349" s="161"/>
      <c r="Q349" s="161"/>
      <c r="R349" s="164">
        <f>$L349*'Pivot Objective'!$C$9*P349*Q349</f>
        <v>0</v>
      </c>
      <c r="S349" s="161">
        <v>1350</v>
      </c>
      <c r="T349" s="161">
        <v>1</v>
      </c>
      <c r="U349" s="164">
        <f>($L349*'Pivot Objective'!$C$9^2)*S349*T349</f>
        <v>503594.54986526974</v>
      </c>
      <c r="V349" s="161"/>
      <c r="W349" s="161"/>
      <c r="X349" s="164">
        <f>($L349*'Pivot Objective'!$C$9^3)*V349*W349</f>
        <v>0</v>
      </c>
      <c r="Y349" s="161"/>
      <c r="Z349" s="161"/>
      <c r="AA349" s="164">
        <f>($L349*'Pivot Objective'!$C$9^4)*Y349*Z349</f>
        <v>0</v>
      </c>
      <c r="AB349" s="161"/>
      <c r="AC349" s="161"/>
      <c r="AD349" s="164">
        <f>($L349*'Pivot Objective'!$C$9^5)*AB349*AC349</f>
        <v>0</v>
      </c>
      <c r="AE349" s="161"/>
      <c r="AF349" s="161"/>
      <c r="AG349" s="164">
        <f>($L349*'Pivot Objective'!$C$9^6)*AE349*AF349</f>
        <v>0</v>
      </c>
      <c r="AH349" s="161"/>
      <c r="AI349" s="161"/>
      <c r="AJ349" s="164">
        <f>($L349*'Pivot Objective'!$C$9^7)*AH349*AI349</f>
        <v>0</v>
      </c>
      <c r="AK349" s="185">
        <f t="shared" si="38"/>
        <v>503594.54986526974</v>
      </c>
      <c r="AL349" s="186">
        <f t="shared" si="39"/>
        <v>488.92674744200946</v>
      </c>
    </row>
    <row r="350" spans="1:38" ht="86.4" x14ac:dyDescent="0.3">
      <c r="A350" s="151" t="s">
        <v>1440</v>
      </c>
      <c r="B350" s="151">
        <v>1</v>
      </c>
      <c r="C350" s="152" t="s">
        <v>836</v>
      </c>
      <c r="D350" s="151" t="str">
        <f t="shared" si="40"/>
        <v>1</v>
      </c>
      <c r="E350" s="153" t="s">
        <v>837</v>
      </c>
      <c r="F350" s="151">
        <f t="shared" si="41"/>
        <v>14</v>
      </c>
      <c r="G350" s="151" t="str">
        <f t="shared" si="42"/>
        <v>1.1.14</v>
      </c>
      <c r="H350" s="156" t="s">
        <v>1646</v>
      </c>
      <c r="I350" s="159" t="s">
        <v>1654</v>
      </c>
      <c r="J350" s="159" t="s">
        <v>1339</v>
      </c>
      <c r="K350" s="159" t="s">
        <v>709</v>
      </c>
      <c r="L350" s="160">
        <v>35000</v>
      </c>
      <c r="M350" s="161"/>
      <c r="N350" s="161"/>
      <c r="O350" s="164">
        <f t="shared" si="37"/>
        <v>0</v>
      </c>
      <c r="P350" s="161"/>
      <c r="Q350" s="161"/>
      <c r="R350" s="164">
        <f>$L350*'Pivot Objective'!$C$9*P350*Q350</f>
        <v>0</v>
      </c>
      <c r="S350" s="161">
        <v>20</v>
      </c>
      <c r="T350" s="161">
        <v>2</v>
      </c>
      <c r="U350" s="164">
        <f>($L350*'Pivot Objective'!$C$9^2)*S350*T350</f>
        <v>1828776.0875547563</v>
      </c>
      <c r="V350" s="161"/>
      <c r="W350" s="161"/>
      <c r="X350" s="164">
        <f>($L350*'Pivot Objective'!$C$9^3)*V350*W350</f>
        <v>0</v>
      </c>
      <c r="Y350" s="161"/>
      <c r="Z350" s="161"/>
      <c r="AA350" s="164">
        <f>($L350*'Pivot Objective'!$C$9^4)*Y350*Z350</f>
        <v>0</v>
      </c>
      <c r="AB350" s="161"/>
      <c r="AC350" s="161"/>
      <c r="AD350" s="164">
        <f>($L350*'Pivot Objective'!$C$9^5)*AB350*AC350</f>
        <v>0</v>
      </c>
      <c r="AE350" s="161"/>
      <c r="AF350" s="161"/>
      <c r="AG350" s="164">
        <f>($L350*'Pivot Objective'!$C$9^6)*AE350*AF350</f>
        <v>0</v>
      </c>
      <c r="AH350" s="161"/>
      <c r="AI350" s="161"/>
      <c r="AJ350" s="164">
        <f>($L350*'Pivot Objective'!$C$9^7)*AH350*AI350</f>
        <v>0</v>
      </c>
      <c r="AK350" s="185">
        <f t="shared" si="38"/>
        <v>1828776.0875547563</v>
      </c>
      <c r="AL350" s="186">
        <f t="shared" si="39"/>
        <v>1775.5107646162683</v>
      </c>
    </row>
    <row r="351" spans="1:38" ht="86.4" x14ac:dyDescent="0.3">
      <c r="A351" s="151" t="s">
        <v>1440</v>
      </c>
      <c r="B351" s="151">
        <v>1</v>
      </c>
      <c r="C351" s="152" t="s">
        <v>836</v>
      </c>
      <c r="D351" s="151" t="str">
        <f t="shared" si="40"/>
        <v>1</v>
      </c>
      <c r="E351" s="153" t="s">
        <v>837</v>
      </c>
      <c r="F351" s="151">
        <f t="shared" si="41"/>
        <v>14</v>
      </c>
      <c r="G351" s="151" t="str">
        <f t="shared" si="42"/>
        <v>1.1.14</v>
      </c>
      <c r="H351" s="156" t="s">
        <v>1646</v>
      </c>
      <c r="I351" s="159" t="s">
        <v>1654</v>
      </c>
      <c r="J351" s="159" t="s">
        <v>1339</v>
      </c>
      <c r="K351" s="159" t="s">
        <v>716</v>
      </c>
      <c r="L351" s="160">
        <v>39000</v>
      </c>
      <c r="M351" s="161"/>
      <c r="N351" s="161"/>
      <c r="O351" s="164">
        <f t="shared" si="37"/>
        <v>0</v>
      </c>
      <c r="P351" s="161"/>
      <c r="Q351" s="161"/>
      <c r="R351" s="164">
        <f>$L351*'Pivot Objective'!$C$9*P351*Q351</f>
        <v>0</v>
      </c>
      <c r="S351" s="161">
        <v>20</v>
      </c>
      <c r="T351" s="161">
        <v>3</v>
      </c>
      <c r="U351" s="164">
        <f>($L351*'Pivot Objective'!$C$9^2)*S351*T351</f>
        <v>3056668.6034843787</v>
      </c>
      <c r="V351" s="161"/>
      <c r="W351" s="161"/>
      <c r="X351" s="164">
        <f>($L351*'Pivot Objective'!$C$9^3)*V351*W351</f>
        <v>0</v>
      </c>
      <c r="Y351" s="161"/>
      <c r="Z351" s="161"/>
      <c r="AA351" s="164">
        <f>($L351*'Pivot Objective'!$C$9^4)*Y351*Z351</f>
        <v>0</v>
      </c>
      <c r="AB351" s="161"/>
      <c r="AC351" s="161"/>
      <c r="AD351" s="164">
        <f>($L351*'Pivot Objective'!$C$9^5)*AB351*AC351</f>
        <v>0</v>
      </c>
      <c r="AE351" s="161"/>
      <c r="AF351" s="161"/>
      <c r="AG351" s="164">
        <f>($L351*'Pivot Objective'!$C$9^6)*AE351*AF351</f>
        <v>0</v>
      </c>
      <c r="AH351" s="161"/>
      <c r="AI351" s="161"/>
      <c r="AJ351" s="164">
        <f>($L351*'Pivot Objective'!$C$9^7)*AH351*AI351</f>
        <v>0</v>
      </c>
      <c r="AK351" s="185">
        <f t="shared" si="38"/>
        <v>3056668.6034843787</v>
      </c>
      <c r="AL351" s="186">
        <f t="shared" si="39"/>
        <v>2967.6394208586203</v>
      </c>
    </row>
    <row r="352" spans="1:38" ht="86.4" x14ac:dyDescent="0.3">
      <c r="A352" s="151" t="s">
        <v>1440</v>
      </c>
      <c r="B352" s="151">
        <v>1</v>
      </c>
      <c r="C352" s="152" t="s">
        <v>836</v>
      </c>
      <c r="D352" s="151" t="str">
        <f t="shared" si="40"/>
        <v>1</v>
      </c>
      <c r="E352" s="153" t="s">
        <v>837</v>
      </c>
      <c r="F352" s="151">
        <f t="shared" si="41"/>
        <v>14</v>
      </c>
      <c r="G352" s="151" t="str">
        <f t="shared" si="42"/>
        <v>1.1.14</v>
      </c>
      <c r="H352" s="156" t="s">
        <v>1646</v>
      </c>
      <c r="I352" s="159" t="s">
        <v>1654</v>
      </c>
      <c r="J352" s="159" t="s">
        <v>1339</v>
      </c>
      <c r="K352" s="159" t="s">
        <v>712</v>
      </c>
      <c r="L352" s="160">
        <v>285.57142857142856</v>
      </c>
      <c r="M352" s="161"/>
      <c r="N352" s="161"/>
      <c r="O352" s="164">
        <f t="shared" si="37"/>
        <v>0</v>
      </c>
      <c r="P352" s="161"/>
      <c r="Q352" s="161"/>
      <c r="R352" s="164">
        <f>$L352*'Pivot Objective'!$C$9*P352*Q352</f>
        <v>0</v>
      </c>
      <c r="S352" s="161">
        <v>250</v>
      </c>
      <c r="T352" s="161">
        <v>2</v>
      </c>
      <c r="U352" s="164">
        <f>($L352*'Pivot Objective'!$C$9^2)*S352*T352</f>
        <v>186516.49995009991</v>
      </c>
      <c r="V352" s="161"/>
      <c r="W352" s="161"/>
      <c r="X352" s="164">
        <f>($L352*'Pivot Objective'!$C$9^3)*V352*W352</f>
        <v>0</v>
      </c>
      <c r="Y352" s="161"/>
      <c r="Z352" s="161"/>
      <c r="AA352" s="164">
        <f>($L352*'Pivot Objective'!$C$9^4)*Y352*Z352</f>
        <v>0</v>
      </c>
      <c r="AB352" s="161"/>
      <c r="AC352" s="161"/>
      <c r="AD352" s="164">
        <f>($L352*'Pivot Objective'!$C$9^5)*AB352*AC352</f>
        <v>0</v>
      </c>
      <c r="AE352" s="161"/>
      <c r="AF352" s="161"/>
      <c r="AG352" s="164">
        <f>($L352*'Pivot Objective'!$C$9^6)*AE352*AF352</f>
        <v>0</v>
      </c>
      <c r="AH352" s="161"/>
      <c r="AI352" s="161"/>
      <c r="AJ352" s="164">
        <f>($L352*'Pivot Objective'!$C$9^7)*AH352*AI352</f>
        <v>0</v>
      </c>
      <c r="AK352" s="185">
        <f t="shared" si="38"/>
        <v>186516.49995009991</v>
      </c>
      <c r="AL352" s="186">
        <f t="shared" si="39"/>
        <v>181.0839805340776</v>
      </c>
    </row>
    <row r="353" spans="1:38" ht="86.4" x14ac:dyDescent="0.3">
      <c r="A353" s="151" t="s">
        <v>1440</v>
      </c>
      <c r="B353" s="151">
        <v>1</v>
      </c>
      <c r="C353" s="152" t="s">
        <v>836</v>
      </c>
      <c r="D353" s="151" t="str">
        <f t="shared" si="40"/>
        <v>1</v>
      </c>
      <c r="E353" s="153" t="s">
        <v>837</v>
      </c>
      <c r="F353" s="151">
        <f t="shared" si="41"/>
        <v>14</v>
      </c>
      <c r="G353" s="151" t="str">
        <f t="shared" si="42"/>
        <v>1.1.14</v>
      </c>
      <c r="H353" s="156" t="s">
        <v>1646</v>
      </c>
      <c r="I353" s="159" t="s">
        <v>1654</v>
      </c>
      <c r="J353" s="159" t="s">
        <v>1339</v>
      </c>
      <c r="K353" s="159" t="s">
        <v>1336</v>
      </c>
      <c r="L353" s="160">
        <v>285.57142857142856</v>
      </c>
      <c r="M353" s="161"/>
      <c r="N353" s="161"/>
      <c r="O353" s="164">
        <f t="shared" si="37"/>
        <v>0</v>
      </c>
      <c r="P353" s="161"/>
      <c r="Q353" s="161"/>
      <c r="R353" s="164">
        <f>$L353*'Pivot Objective'!$C$9*P353*Q353</f>
        <v>0</v>
      </c>
      <c r="S353" s="161">
        <v>1350</v>
      </c>
      <c r="T353" s="161">
        <v>1</v>
      </c>
      <c r="U353" s="164">
        <f>($L353*'Pivot Objective'!$C$9^2)*S353*T353</f>
        <v>503594.54986526974</v>
      </c>
      <c r="V353" s="161"/>
      <c r="W353" s="161"/>
      <c r="X353" s="164">
        <f>($L353*'Pivot Objective'!$C$9^3)*V353*W353</f>
        <v>0</v>
      </c>
      <c r="Y353" s="161"/>
      <c r="Z353" s="161"/>
      <c r="AA353" s="164">
        <f>($L353*'Pivot Objective'!$C$9^4)*Y353*Z353</f>
        <v>0</v>
      </c>
      <c r="AB353" s="161"/>
      <c r="AC353" s="161"/>
      <c r="AD353" s="164">
        <f>($L353*'Pivot Objective'!$C$9^5)*AB353*AC353</f>
        <v>0</v>
      </c>
      <c r="AE353" s="161"/>
      <c r="AF353" s="161"/>
      <c r="AG353" s="164">
        <f>($L353*'Pivot Objective'!$C$9^6)*AE353*AF353</f>
        <v>0</v>
      </c>
      <c r="AH353" s="161"/>
      <c r="AI353" s="161"/>
      <c r="AJ353" s="164">
        <f>($L353*'Pivot Objective'!$C$9^7)*AH353*AI353</f>
        <v>0</v>
      </c>
      <c r="AK353" s="185">
        <f t="shared" si="38"/>
        <v>503594.54986526974</v>
      </c>
      <c r="AL353" s="186">
        <f t="shared" si="39"/>
        <v>488.92674744200946</v>
      </c>
    </row>
    <row r="354" spans="1:38" ht="86.4" x14ac:dyDescent="0.3">
      <c r="A354" s="151" t="s">
        <v>1440</v>
      </c>
      <c r="B354" s="151">
        <v>1</v>
      </c>
      <c r="C354" s="152" t="s">
        <v>836</v>
      </c>
      <c r="D354" s="151" t="str">
        <f t="shared" si="40"/>
        <v>1</v>
      </c>
      <c r="E354" s="153" t="s">
        <v>837</v>
      </c>
      <c r="F354" s="151">
        <f t="shared" si="41"/>
        <v>14</v>
      </c>
      <c r="G354" s="151" t="str">
        <f t="shared" si="42"/>
        <v>1.1.14</v>
      </c>
      <c r="H354" s="156" t="s">
        <v>1646</v>
      </c>
      <c r="I354" s="159" t="s">
        <v>1654</v>
      </c>
      <c r="J354" s="159"/>
      <c r="K354" s="159"/>
      <c r="L354" s="160"/>
      <c r="M354" s="161"/>
      <c r="N354" s="161"/>
      <c r="O354" s="164">
        <f t="shared" si="37"/>
        <v>0</v>
      </c>
      <c r="P354" s="161"/>
      <c r="Q354" s="161"/>
      <c r="R354" s="164">
        <f>$L354*'Pivot Objective'!$C$9*P354*Q354</f>
        <v>0</v>
      </c>
      <c r="S354" s="161"/>
      <c r="T354" s="161"/>
      <c r="U354" s="164">
        <f>($L354*'Pivot Objective'!$C$9^2)*S354*T354</f>
        <v>0</v>
      </c>
      <c r="V354" s="161"/>
      <c r="W354" s="161"/>
      <c r="X354" s="164">
        <f>($L354*'Pivot Objective'!$C$9^3)*V354*W354</f>
        <v>0</v>
      </c>
      <c r="Y354" s="161"/>
      <c r="Z354" s="161"/>
      <c r="AA354" s="164">
        <f>($L354*'Pivot Objective'!$C$9^4)*Y354*Z354</f>
        <v>0</v>
      </c>
      <c r="AB354" s="161"/>
      <c r="AC354" s="161"/>
      <c r="AD354" s="164">
        <f>($L354*'Pivot Objective'!$C$9^5)*AB354*AC354</f>
        <v>0</v>
      </c>
      <c r="AE354" s="161"/>
      <c r="AF354" s="161"/>
      <c r="AG354" s="164">
        <f>($L354*'Pivot Objective'!$C$9^6)*AE354*AF354</f>
        <v>0</v>
      </c>
      <c r="AH354" s="161"/>
      <c r="AI354" s="161"/>
      <c r="AJ354" s="164">
        <f>($L354*'Pivot Objective'!$C$9^7)*AH354*AI354</f>
        <v>0</v>
      </c>
      <c r="AK354" s="185">
        <f t="shared" si="38"/>
        <v>0</v>
      </c>
      <c r="AL354" s="186">
        <f t="shared" si="39"/>
        <v>0</v>
      </c>
    </row>
    <row r="355" spans="1:38" ht="86.4" x14ac:dyDescent="0.3">
      <c r="A355" s="151" t="s">
        <v>1440</v>
      </c>
      <c r="B355" s="151">
        <v>1</v>
      </c>
      <c r="C355" s="152" t="s">
        <v>836</v>
      </c>
      <c r="D355" s="151" t="str">
        <f t="shared" si="40"/>
        <v>1</v>
      </c>
      <c r="E355" s="153" t="s">
        <v>837</v>
      </c>
      <c r="F355" s="151">
        <f t="shared" si="41"/>
        <v>14</v>
      </c>
      <c r="G355" s="151" t="str">
        <f t="shared" si="42"/>
        <v>1.1.14</v>
      </c>
      <c r="H355" s="156" t="s">
        <v>1646</v>
      </c>
      <c r="I355" s="159" t="s">
        <v>1654</v>
      </c>
      <c r="J355" s="159"/>
      <c r="K355" s="159"/>
      <c r="L355" s="160"/>
      <c r="M355" s="161"/>
      <c r="N355" s="161"/>
      <c r="O355" s="164">
        <f t="shared" si="37"/>
        <v>0</v>
      </c>
      <c r="P355" s="161"/>
      <c r="Q355" s="161"/>
      <c r="R355" s="164">
        <f>$L355*'Pivot Objective'!$C$9*P355*Q355</f>
        <v>0</v>
      </c>
      <c r="S355" s="161"/>
      <c r="T355" s="161"/>
      <c r="U355" s="164">
        <f>($L355*'Pivot Objective'!$C$9^2)*S355*T355</f>
        <v>0</v>
      </c>
      <c r="V355" s="161"/>
      <c r="W355" s="161"/>
      <c r="X355" s="164">
        <f>($L355*'Pivot Objective'!$C$9^3)*V355*W355</f>
        <v>0</v>
      </c>
      <c r="Y355" s="161"/>
      <c r="Z355" s="161"/>
      <c r="AA355" s="164">
        <f>($L355*'Pivot Objective'!$C$9^4)*Y355*Z355</f>
        <v>0</v>
      </c>
      <c r="AB355" s="161"/>
      <c r="AC355" s="161"/>
      <c r="AD355" s="164">
        <f>($L355*'Pivot Objective'!$C$9^5)*AB355*AC355</f>
        <v>0</v>
      </c>
      <c r="AE355" s="161"/>
      <c r="AF355" s="161"/>
      <c r="AG355" s="164">
        <f>($L355*'Pivot Objective'!$C$9^6)*AE355*AF355</f>
        <v>0</v>
      </c>
      <c r="AH355" s="161"/>
      <c r="AI355" s="161"/>
      <c r="AJ355" s="164">
        <f>($L355*'Pivot Objective'!$C$9^7)*AH355*AI355</f>
        <v>0</v>
      </c>
      <c r="AK355" s="185">
        <f t="shared" si="38"/>
        <v>0</v>
      </c>
      <c r="AL355" s="186">
        <f t="shared" si="39"/>
        <v>0</v>
      </c>
    </row>
    <row r="356" spans="1:38" ht="86.4" x14ac:dyDescent="0.3">
      <c r="A356" s="151" t="s">
        <v>1440</v>
      </c>
      <c r="B356" s="151">
        <v>1</v>
      </c>
      <c r="C356" s="152" t="s">
        <v>836</v>
      </c>
      <c r="D356" s="151" t="str">
        <f t="shared" si="40"/>
        <v>1</v>
      </c>
      <c r="E356" s="153" t="s">
        <v>837</v>
      </c>
      <c r="F356" s="151">
        <f t="shared" si="41"/>
        <v>14</v>
      </c>
      <c r="G356" s="151" t="str">
        <f t="shared" si="42"/>
        <v>1.1.14</v>
      </c>
      <c r="H356" s="156" t="s">
        <v>1646</v>
      </c>
      <c r="I356" s="159" t="s">
        <v>1654</v>
      </c>
      <c r="J356" s="159"/>
      <c r="K356" s="159"/>
      <c r="L356" s="160"/>
      <c r="M356" s="161"/>
      <c r="N356" s="161"/>
      <c r="O356" s="164">
        <f t="shared" si="37"/>
        <v>0</v>
      </c>
      <c r="P356" s="161"/>
      <c r="Q356" s="161"/>
      <c r="R356" s="164">
        <f>$L356*'Pivot Objective'!$C$9*P356*Q356</f>
        <v>0</v>
      </c>
      <c r="S356" s="161"/>
      <c r="T356" s="161"/>
      <c r="U356" s="164">
        <f>($L356*'Pivot Objective'!$C$9^2)*S356*T356</f>
        <v>0</v>
      </c>
      <c r="V356" s="161"/>
      <c r="W356" s="161"/>
      <c r="X356" s="164">
        <f>($L356*'Pivot Objective'!$C$9^3)*V356*W356</f>
        <v>0</v>
      </c>
      <c r="Y356" s="161"/>
      <c r="Z356" s="161"/>
      <c r="AA356" s="164">
        <f>($L356*'Pivot Objective'!$C$9^4)*Y356*Z356</f>
        <v>0</v>
      </c>
      <c r="AB356" s="161"/>
      <c r="AC356" s="161"/>
      <c r="AD356" s="164">
        <f>($L356*'Pivot Objective'!$C$9^5)*AB356*AC356</f>
        <v>0</v>
      </c>
      <c r="AE356" s="161"/>
      <c r="AF356" s="161"/>
      <c r="AG356" s="164">
        <f>($L356*'Pivot Objective'!$C$9^6)*AE356*AF356</f>
        <v>0</v>
      </c>
      <c r="AH356" s="161"/>
      <c r="AI356" s="161"/>
      <c r="AJ356" s="164">
        <f>($L356*'Pivot Objective'!$C$9^7)*AH356*AI356</f>
        <v>0</v>
      </c>
      <c r="AK356" s="185">
        <f t="shared" si="38"/>
        <v>0</v>
      </c>
      <c r="AL356" s="186">
        <f t="shared" si="39"/>
        <v>0</v>
      </c>
    </row>
    <row r="357" spans="1:38" ht="86.4" x14ac:dyDescent="0.3">
      <c r="A357" s="151" t="s">
        <v>1440</v>
      </c>
      <c r="B357" s="151">
        <v>1</v>
      </c>
      <c r="C357" s="152" t="s">
        <v>836</v>
      </c>
      <c r="D357" s="151" t="str">
        <f t="shared" si="40"/>
        <v>1</v>
      </c>
      <c r="E357" s="153" t="s">
        <v>837</v>
      </c>
      <c r="F357" s="151">
        <f t="shared" si="41"/>
        <v>14</v>
      </c>
      <c r="G357" s="151" t="str">
        <f t="shared" si="42"/>
        <v>1.1.14</v>
      </c>
      <c r="H357" s="156" t="s">
        <v>1646</v>
      </c>
      <c r="I357" s="159" t="s">
        <v>1654</v>
      </c>
      <c r="J357" s="159"/>
      <c r="K357" s="159"/>
      <c r="L357" s="160"/>
      <c r="M357" s="161"/>
      <c r="N357" s="161"/>
      <c r="O357" s="164">
        <f t="shared" si="37"/>
        <v>0</v>
      </c>
      <c r="P357" s="161"/>
      <c r="Q357" s="161"/>
      <c r="R357" s="164">
        <f>$L357*'Pivot Objective'!$C$9*P357*Q357</f>
        <v>0</v>
      </c>
      <c r="S357" s="161"/>
      <c r="T357" s="161"/>
      <c r="U357" s="164">
        <f>($L357*'Pivot Objective'!$C$9^2)*S357*T357</f>
        <v>0</v>
      </c>
      <c r="V357" s="161"/>
      <c r="W357" s="161"/>
      <c r="X357" s="164">
        <f>($L357*'Pivot Objective'!$C$9^3)*V357*W357</f>
        <v>0</v>
      </c>
      <c r="Y357" s="161"/>
      <c r="Z357" s="161"/>
      <c r="AA357" s="164">
        <f>($L357*'Pivot Objective'!$C$9^4)*Y357*Z357</f>
        <v>0</v>
      </c>
      <c r="AB357" s="161"/>
      <c r="AC357" s="161"/>
      <c r="AD357" s="164">
        <f>($L357*'Pivot Objective'!$C$9^5)*AB357*AC357</f>
        <v>0</v>
      </c>
      <c r="AE357" s="161"/>
      <c r="AF357" s="161"/>
      <c r="AG357" s="164">
        <f>($L357*'Pivot Objective'!$C$9^6)*AE357*AF357</f>
        <v>0</v>
      </c>
      <c r="AH357" s="161"/>
      <c r="AI357" s="161"/>
      <c r="AJ357" s="164">
        <f>($L357*'Pivot Objective'!$C$9^7)*AH357*AI357</f>
        <v>0</v>
      </c>
      <c r="AK357" s="185">
        <f t="shared" si="38"/>
        <v>0</v>
      </c>
      <c r="AL357" s="186">
        <f t="shared" si="39"/>
        <v>0</v>
      </c>
    </row>
    <row r="358" spans="1:38" ht="86.4" x14ac:dyDescent="0.3">
      <c r="A358" s="151" t="s">
        <v>1440</v>
      </c>
      <c r="B358" s="151">
        <v>1</v>
      </c>
      <c r="C358" s="152" t="s">
        <v>836</v>
      </c>
      <c r="D358" s="151" t="str">
        <f t="shared" si="40"/>
        <v>1</v>
      </c>
      <c r="E358" s="153" t="s">
        <v>837</v>
      </c>
      <c r="F358" s="151">
        <f t="shared" si="41"/>
        <v>14</v>
      </c>
      <c r="G358" s="151" t="str">
        <f t="shared" si="42"/>
        <v>1.1.14</v>
      </c>
      <c r="H358" s="156" t="s">
        <v>1646</v>
      </c>
      <c r="I358" s="159" t="s">
        <v>1654</v>
      </c>
      <c r="J358" s="159"/>
      <c r="K358" s="159"/>
      <c r="L358" s="160"/>
      <c r="M358" s="161"/>
      <c r="N358" s="161"/>
      <c r="O358" s="164">
        <f t="shared" si="37"/>
        <v>0</v>
      </c>
      <c r="P358" s="161"/>
      <c r="Q358" s="161"/>
      <c r="R358" s="164">
        <f>$L358*'Pivot Objective'!$C$9*P358*Q358</f>
        <v>0</v>
      </c>
      <c r="S358" s="161"/>
      <c r="T358" s="161"/>
      <c r="U358" s="164">
        <f>($L358*'Pivot Objective'!$C$9^2)*S358*T358</f>
        <v>0</v>
      </c>
      <c r="V358" s="161"/>
      <c r="W358" s="161"/>
      <c r="X358" s="164">
        <f>($L358*'Pivot Objective'!$C$9^3)*V358*W358</f>
        <v>0</v>
      </c>
      <c r="Y358" s="161"/>
      <c r="Z358" s="161"/>
      <c r="AA358" s="164">
        <f>($L358*'Pivot Objective'!$C$9^4)*Y358*Z358</f>
        <v>0</v>
      </c>
      <c r="AB358" s="161"/>
      <c r="AC358" s="161"/>
      <c r="AD358" s="164">
        <f>($L358*'Pivot Objective'!$C$9^5)*AB358*AC358</f>
        <v>0</v>
      </c>
      <c r="AE358" s="161"/>
      <c r="AF358" s="161"/>
      <c r="AG358" s="164">
        <f>($L358*'Pivot Objective'!$C$9^6)*AE358*AF358</f>
        <v>0</v>
      </c>
      <c r="AH358" s="161"/>
      <c r="AI358" s="161"/>
      <c r="AJ358" s="164">
        <f>($L358*'Pivot Objective'!$C$9^7)*AH358*AI358</f>
        <v>0</v>
      </c>
      <c r="AK358" s="185">
        <f t="shared" si="38"/>
        <v>0</v>
      </c>
      <c r="AL358" s="186">
        <f t="shared" si="39"/>
        <v>0</v>
      </c>
    </row>
    <row r="359" spans="1:38" ht="86.4" x14ac:dyDescent="0.3">
      <c r="A359" s="151" t="s">
        <v>1440</v>
      </c>
      <c r="B359" s="151">
        <v>1</v>
      </c>
      <c r="C359" s="152" t="s">
        <v>836</v>
      </c>
      <c r="D359" s="151" t="str">
        <f t="shared" si="40"/>
        <v>1</v>
      </c>
      <c r="E359" s="153" t="s">
        <v>837</v>
      </c>
      <c r="F359" s="151">
        <f t="shared" si="41"/>
        <v>14</v>
      </c>
      <c r="G359" s="151" t="str">
        <f t="shared" si="42"/>
        <v>1.1.14</v>
      </c>
      <c r="H359" s="156" t="s">
        <v>1646</v>
      </c>
      <c r="I359" s="159" t="s">
        <v>1654</v>
      </c>
      <c r="J359" s="159"/>
      <c r="K359" s="159"/>
      <c r="L359" s="160"/>
      <c r="M359" s="161"/>
      <c r="N359" s="161"/>
      <c r="O359" s="164">
        <f t="shared" si="37"/>
        <v>0</v>
      </c>
      <c r="P359" s="161"/>
      <c r="Q359" s="161"/>
      <c r="R359" s="164">
        <f>$L359*'Pivot Objective'!$C$9*P359*Q359</f>
        <v>0</v>
      </c>
      <c r="S359" s="161"/>
      <c r="T359" s="161"/>
      <c r="U359" s="164">
        <f>($L359*'Pivot Objective'!$C$9^2)*S359*T359</f>
        <v>0</v>
      </c>
      <c r="V359" s="161"/>
      <c r="W359" s="161"/>
      <c r="X359" s="164">
        <f>($L359*'Pivot Objective'!$C$9^3)*V359*W359</f>
        <v>0</v>
      </c>
      <c r="Y359" s="161"/>
      <c r="Z359" s="161"/>
      <c r="AA359" s="164">
        <f>($L359*'Pivot Objective'!$C$9^4)*Y359*Z359</f>
        <v>0</v>
      </c>
      <c r="AB359" s="161"/>
      <c r="AC359" s="161"/>
      <c r="AD359" s="164">
        <f>($L359*'Pivot Objective'!$C$9^5)*AB359*AC359</f>
        <v>0</v>
      </c>
      <c r="AE359" s="161"/>
      <c r="AF359" s="161"/>
      <c r="AG359" s="164">
        <f>($L359*'Pivot Objective'!$C$9^6)*AE359*AF359</f>
        <v>0</v>
      </c>
      <c r="AH359" s="161"/>
      <c r="AI359" s="161"/>
      <c r="AJ359" s="164">
        <f>($L359*'Pivot Objective'!$C$9^7)*AH359*AI359</f>
        <v>0</v>
      </c>
      <c r="AK359" s="185">
        <f t="shared" si="38"/>
        <v>0</v>
      </c>
      <c r="AL359" s="186">
        <f t="shared" si="39"/>
        <v>0</v>
      </c>
    </row>
    <row r="360" spans="1:38" ht="86.4" x14ac:dyDescent="0.3">
      <c r="A360" s="151" t="s">
        <v>1440</v>
      </c>
      <c r="B360" s="151">
        <v>1</v>
      </c>
      <c r="C360" s="152" t="s">
        <v>836</v>
      </c>
      <c r="D360" s="151" t="str">
        <f t="shared" si="40"/>
        <v>1</v>
      </c>
      <c r="E360" s="153" t="s">
        <v>837</v>
      </c>
      <c r="F360" s="151">
        <f t="shared" si="41"/>
        <v>14</v>
      </c>
      <c r="G360" s="151" t="str">
        <f t="shared" si="42"/>
        <v>1.1.14</v>
      </c>
      <c r="H360" s="156" t="s">
        <v>1646</v>
      </c>
      <c r="I360" s="159" t="s">
        <v>1654</v>
      </c>
      <c r="J360" s="159"/>
      <c r="K360" s="159"/>
      <c r="L360" s="160"/>
      <c r="M360" s="161"/>
      <c r="N360" s="161"/>
      <c r="O360" s="164">
        <f t="shared" si="37"/>
        <v>0</v>
      </c>
      <c r="P360" s="161"/>
      <c r="Q360" s="161"/>
      <c r="R360" s="164">
        <f>$L360*'Pivot Objective'!$C$9*P360*Q360</f>
        <v>0</v>
      </c>
      <c r="S360" s="161"/>
      <c r="T360" s="161"/>
      <c r="U360" s="164">
        <f>($L360*'Pivot Objective'!$C$9^2)*S360*T360</f>
        <v>0</v>
      </c>
      <c r="V360" s="161"/>
      <c r="W360" s="161"/>
      <c r="X360" s="164">
        <f>($L360*'Pivot Objective'!$C$9^3)*V360*W360</f>
        <v>0</v>
      </c>
      <c r="Y360" s="161"/>
      <c r="Z360" s="161"/>
      <c r="AA360" s="164">
        <f>($L360*'Pivot Objective'!$C$9^4)*Y360*Z360</f>
        <v>0</v>
      </c>
      <c r="AB360" s="161"/>
      <c r="AC360" s="161"/>
      <c r="AD360" s="164">
        <f>($L360*'Pivot Objective'!$C$9^5)*AB360*AC360</f>
        <v>0</v>
      </c>
      <c r="AE360" s="161"/>
      <c r="AF360" s="161"/>
      <c r="AG360" s="164">
        <f>($L360*'Pivot Objective'!$C$9^6)*AE360*AF360</f>
        <v>0</v>
      </c>
      <c r="AH360" s="161"/>
      <c r="AI360" s="161"/>
      <c r="AJ360" s="164">
        <f>($L360*'Pivot Objective'!$C$9^7)*AH360*AI360</f>
        <v>0</v>
      </c>
      <c r="AK360" s="185">
        <f t="shared" si="38"/>
        <v>0</v>
      </c>
      <c r="AL360" s="186">
        <f t="shared" si="39"/>
        <v>0</v>
      </c>
    </row>
    <row r="361" spans="1:38" ht="86.4" x14ac:dyDescent="0.3">
      <c r="A361" s="151" t="s">
        <v>1440</v>
      </c>
      <c r="B361" s="151">
        <v>1</v>
      </c>
      <c r="C361" s="152" t="s">
        <v>836</v>
      </c>
      <c r="D361" s="151" t="str">
        <f t="shared" si="40"/>
        <v>1</v>
      </c>
      <c r="E361" s="153" t="s">
        <v>837</v>
      </c>
      <c r="F361" s="151">
        <f t="shared" si="41"/>
        <v>14</v>
      </c>
      <c r="G361" s="151" t="str">
        <f t="shared" si="42"/>
        <v>1.1.14</v>
      </c>
      <c r="H361" s="156" t="s">
        <v>1646</v>
      </c>
      <c r="I361" s="159" t="s">
        <v>1654</v>
      </c>
      <c r="J361" s="159"/>
      <c r="K361" s="159"/>
      <c r="L361" s="160"/>
      <c r="M361" s="161"/>
      <c r="N361" s="161"/>
      <c r="O361" s="164">
        <f t="shared" si="37"/>
        <v>0</v>
      </c>
      <c r="P361" s="161"/>
      <c r="Q361" s="161"/>
      <c r="R361" s="164">
        <f>$L361*'Pivot Objective'!$C$9*P361*Q361</f>
        <v>0</v>
      </c>
      <c r="S361" s="161"/>
      <c r="T361" s="161"/>
      <c r="U361" s="164">
        <f>($L361*'Pivot Objective'!$C$9^2)*S361*T361</f>
        <v>0</v>
      </c>
      <c r="V361" s="161"/>
      <c r="W361" s="161"/>
      <c r="X361" s="164">
        <f>($L361*'Pivot Objective'!$C$9^3)*V361*W361</f>
        <v>0</v>
      </c>
      <c r="Y361" s="161"/>
      <c r="Z361" s="161"/>
      <c r="AA361" s="164">
        <f>($L361*'Pivot Objective'!$C$9^4)*Y361*Z361</f>
        <v>0</v>
      </c>
      <c r="AB361" s="161"/>
      <c r="AC361" s="161"/>
      <c r="AD361" s="164">
        <f>($L361*'Pivot Objective'!$C$9^5)*AB361*AC361</f>
        <v>0</v>
      </c>
      <c r="AE361" s="161"/>
      <c r="AF361" s="161"/>
      <c r="AG361" s="164">
        <f>($L361*'Pivot Objective'!$C$9^6)*AE361*AF361</f>
        <v>0</v>
      </c>
      <c r="AH361" s="161"/>
      <c r="AI361" s="161"/>
      <c r="AJ361" s="164">
        <f>($L361*'Pivot Objective'!$C$9^7)*AH361*AI361</f>
        <v>0</v>
      </c>
      <c r="AK361" s="185">
        <f t="shared" si="38"/>
        <v>0</v>
      </c>
      <c r="AL361" s="186">
        <f t="shared" si="39"/>
        <v>0</v>
      </c>
    </row>
    <row r="362" spans="1:38" ht="86.4" x14ac:dyDescent="0.3">
      <c r="A362" s="151" t="s">
        <v>1440</v>
      </c>
      <c r="B362" s="151">
        <v>1</v>
      </c>
      <c r="C362" s="152" t="s">
        <v>836</v>
      </c>
      <c r="D362" s="151" t="str">
        <f t="shared" si="40"/>
        <v>1</v>
      </c>
      <c r="E362" s="153" t="s">
        <v>837</v>
      </c>
      <c r="F362" s="151">
        <f t="shared" si="41"/>
        <v>14</v>
      </c>
      <c r="G362" s="151" t="str">
        <f t="shared" si="42"/>
        <v>1.1.14</v>
      </c>
      <c r="H362" s="156" t="s">
        <v>1646</v>
      </c>
      <c r="I362" s="159" t="s">
        <v>1654</v>
      </c>
      <c r="J362" s="159"/>
      <c r="K362" s="159"/>
      <c r="L362" s="160"/>
      <c r="M362" s="161"/>
      <c r="N362" s="161"/>
      <c r="O362" s="164">
        <f t="shared" si="37"/>
        <v>0</v>
      </c>
      <c r="P362" s="161"/>
      <c r="Q362" s="161"/>
      <c r="R362" s="164">
        <f>$L362*'Pivot Objective'!$C$9*P362*Q362</f>
        <v>0</v>
      </c>
      <c r="S362" s="161"/>
      <c r="T362" s="161"/>
      <c r="U362" s="164">
        <f>($L362*'Pivot Objective'!$C$9^2)*S362*T362</f>
        <v>0</v>
      </c>
      <c r="V362" s="161"/>
      <c r="W362" s="161"/>
      <c r="X362" s="164">
        <f>($L362*'Pivot Objective'!$C$9^3)*V362*W362</f>
        <v>0</v>
      </c>
      <c r="Y362" s="161"/>
      <c r="Z362" s="161"/>
      <c r="AA362" s="164">
        <f>($L362*'Pivot Objective'!$C$9^4)*Y362*Z362</f>
        <v>0</v>
      </c>
      <c r="AB362" s="161"/>
      <c r="AC362" s="161"/>
      <c r="AD362" s="164">
        <f>($L362*'Pivot Objective'!$C$9^5)*AB362*AC362</f>
        <v>0</v>
      </c>
      <c r="AE362" s="161"/>
      <c r="AF362" s="161"/>
      <c r="AG362" s="164">
        <f>($L362*'Pivot Objective'!$C$9^6)*AE362*AF362</f>
        <v>0</v>
      </c>
      <c r="AH362" s="161"/>
      <c r="AI362" s="161"/>
      <c r="AJ362" s="164">
        <f>($L362*'Pivot Objective'!$C$9^7)*AH362*AI362</f>
        <v>0</v>
      </c>
      <c r="AK362" s="185">
        <f t="shared" si="38"/>
        <v>0</v>
      </c>
      <c r="AL362" s="186">
        <f t="shared" si="39"/>
        <v>0</v>
      </c>
    </row>
    <row r="363" spans="1:38" ht="86.4" x14ac:dyDescent="0.3">
      <c r="A363" s="151" t="s">
        <v>1440</v>
      </c>
      <c r="B363" s="151">
        <v>1</v>
      </c>
      <c r="C363" s="152" t="s">
        <v>836</v>
      </c>
      <c r="D363" s="151" t="str">
        <f t="shared" si="40"/>
        <v>1</v>
      </c>
      <c r="E363" s="153" t="s">
        <v>837</v>
      </c>
      <c r="F363" s="151">
        <f t="shared" si="41"/>
        <v>14</v>
      </c>
      <c r="G363" s="151" t="str">
        <f t="shared" si="42"/>
        <v>1.1.14</v>
      </c>
      <c r="H363" s="156" t="s">
        <v>1646</v>
      </c>
      <c r="I363" s="159" t="s">
        <v>1654</v>
      </c>
      <c r="J363" s="159"/>
      <c r="K363" s="159"/>
      <c r="L363" s="160"/>
      <c r="M363" s="161"/>
      <c r="N363" s="161"/>
      <c r="O363" s="164">
        <f t="shared" si="37"/>
        <v>0</v>
      </c>
      <c r="P363" s="161"/>
      <c r="Q363" s="161"/>
      <c r="R363" s="164">
        <f>$L363*'Pivot Objective'!$C$9*P363*Q363</f>
        <v>0</v>
      </c>
      <c r="S363" s="161"/>
      <c r="T363" s="161"/>
      <c r="U363" s="164">
        <f>($L363*'Pivot Objective'!$C$9^2)*S363*T363</f>
        <v>0</v>
      </c>
      <c r="V363" s="161"/>
      <c r="W363" s="161"/>
      <c r="X363" s="164">
        <f>($L363*'Pivot Objective'!$C$9^3)*V363*W363</f>
        <v>0</v>
      </c>
      <c r="Y363" s="161"/>
      <c r="Z363" s="161"/>
      <c r="AA363" s="164">
        <f>($L363*'Pivot Objective'!$C$9^4)*Y363*Z363</f>
        <v>0</v>
      </c>
      <c r="AB363" s="161"/>
      <c r="AC363" s="161"/>
      <c r="AD363" s="164">
        <f>($L363*'Pivot Objective'!$C$9^5)*AB363*AC363</f>
        <v>0</v>
      </c>
      <c r="AE363" s="161"/>
      <c r="AF363" s="161"/>
      <c r="AG363" s="164">
        <f>($L363*'Pivot Objective'!$C$9^6)*AE363*AF363</f>
        <v>0</v>
      </c>
      <c r="AH363" s="161"/>
      <c r="AI363" s="161"/>
      <c r="AJ363" s="164">
        <f>($L363*'Pivot Objective'!$C$9^7)*AH363*AI363</f>
        <v>0</v>
      </c>
      <c r="AK363" s="185">
        <f t="shared" si="38"/>
        <v>0</v>
      </c>
      <c r="AL363" s="186">
        <f t="shared" si="39"/>
        <v>0</v>
      </c>
    </row>
    <row r="364" spans="1:38" ht="86.4" x14ac:dyDescent="0.3">
      <c r="A364" s="151" t="s">
        <v>1440</v>
      </c>
      <c r="B364" s="151">
        <v>1</v>
      </c>
      <c r="C364" s="152" t="s">
        <v>836</v>
      </c>
      <c r="D364" s="151" t="str">
        <f t="shared" si="40"/>
        <v>1</v>
      </c>
      <c r="E364" s="153" t="s">
        <v>837</v>
      </c>
      <c r="F364" s="151">
        <f t="shared" si="41"/>
        <v>14</v>
      </c>
      <c r="G364" s="151" t="str">
        <f t="shared" si="42"/>
        <v>1.1.14</v>
      </c>
      <c r="H364" s="156" t="s">
        <v>1646</v>
      </c>
      <c r="I364" s="159" t="s">
        <v>1655</v>
      </c>
      <c r="J364" s="159" t="s">
        <v>1656</v>
      </c>
      <c r="K364" s="159"/>
      <c r="L364" s="160"/>
      <c r="M364" s="161"/>
      <c r="N364" s="161"/>
      <c r="O364" s="164">
        <f t="shared" si="37"/>
        <v>0</v>
      </c>
      <c r="P364" s="161"/>
      <c r="Q364" s="161"/>
      <c r="R364" s="164">
        <f>$L364*'Pivot Objective'!$C$9*P364*Q364</f>
        <v>0</v>
      </c>
      <c r="S364" s="161"/>
      <c r="T364" s="161"/>
      <c r="U364" s="164">
        <f>($L364*'Pivot Objective'!$C$9^2)*S364*T364</f>
        <v>0</v>
      </c>
      <c r="V364" s="161"/>
      <c r="W364" s="161"/>
      <c r="X364" s="164">
        <f>($L364*'Pivot Objective'!$C$9^3)*V364*W364</f>
        <v>0</v>
      </c>
      <c r="Y364" s="161"/>
      <c r="Z364" s="161"/>
      <c r="AA364" s="164">
        <f>($L364*'Pivot Objective'!$C$9^4)*Y364*Z364</f>
        <v>0</v>
      </c>
      <c r="AB364" s="161"/>
      <c r="AC364" s="161"/>
      <c r="AD364" s="164">
        <f>($L364*'Pivot Objective'!$C$9^5)*AB364*AC364</f>
        <v>0</v>
      </c>
      <c r="AE364" s="161"/>
      <c r="AF364" s="161"/>
      <c r="AG364" s="164">
        <f>($L364*'Pivot Objective'!$C$9^6)*AE364*AF364</f>
        <v>0</v>
      </c>
      <c r="AH364" s="161"/>
      <c r="AI364" s="161"/>
      <c r="AJ364" s="164">
        <f>($L364*'Pivot Objective'!$C$9^7)*AH364*AI364</f>
        <v>0</v>
      </c>
      <c r="AK364" s="185">
        <f t="shared" si="38"/>
        <v>0</v>
      </c>
      <c r="AL364" s="186">
        <f t="shared" si="39"/>
        <v>0</v>
      </c>
    </row>
    <row r="365" spans="1:38" ht="86.4" x14ac:dyDescent="0.3">
      <c r="A365" s="151" t="s">
        <v>1440</v>
      </c>
      <c r="B365" s="151">
        <v>1</v>
      </c>
      <c r="C365" s="152" t="s">
        <v>836</v>
      </c>
      <c r="D365" s="151" t="str">
        <f t="shared" si="40"/>
        <v>1</v>
      </c>
      <c r="E365" s="153" t="s">
        <v>837</v>
      </c>
      <c r="F365" s="151">
        <f t="shared" si="41"/>
        <v>14</v>
      </c>
      <c r="G365" s="151" t="str">
        <f t="shared" si="42"/>
        <v>1.1.14</v>
      </c>
      <c r="H365" s="156" t="s">
        <v>1646</v>
      </c>
      <c r="I365" s="159" t="s">
        <v>1655</v>
      </c>
      <c r="J365" s="159" t="s">
        <v>1657</v>
      </c>
      <c r="K365" s="159" t="s">
        <v>841</v>
      </c>
      <c r="L365" s="160"/>
      <c r="M365" s="161"/>
      <c r="N365" s="161"/>
      <c r="O365" s="164">
        <f t="shared" si="37"/>
        <v>0</v>
      </c>
      <c r="P365" s="161"/>
      <c r="Q365" s="161"/>
      <c r="R365" s="164">
        <f>$L365*'Pivot Objective'!$C$9*P365*Q365</f>
        <v>0</v>
      </c>
      <c r="S365" s="161"/>
      <c r="T365" s="161"/>
      <c r="U365" s="164">
        <f>($L365*'Pivot Objective'!$C$9^2)*S365*T365</f>
        <v>0</v>
      </c>
      <c r="V365" s="161"/>
      <c r="W365" s="161"/>
      <c r="X365" s="164">
        <f>($L365*'Pivot Objective'!$C$9^3)*V365*W365</f>
        <v>0</v>
      </c>
      <c r="Y365" s="161"/>
      <c r="Z365" s="161"/>
      <c r="AA365" s="164">
        <f>($L365*'Pivot Objective'!$C$9^4)*Y365*Z365</f>
        <v>0</v>
      </c>
      <c r="AB365" s="161"/>
      <c r="AC365" s="161"/>
      <c r="AD365" s="164">
        <f>($L365*'Pivot Objective'!$C$9^5)*AB365*AC365</f>
        <v>0</v>
      </c>
      <c r="AE365" s="161"/>
      <c r="AF365" s="161"/>
      <c r="AG365" s="164">
        <f>($L365*'Pivot Objective'!$C$9^6)*AE365*AF365</f>
        <v>0</v>
      </c>
      <c r="AH365" s="161"/>
      <c r="AI365" s="161"/>
      <c r="AJ365" s="164">
        <f>($L365*'Pivot Objective'!$C$9^7)*AH365*AI365</f>
        <v>0</v>
      </c>
      <c r="AK365" s="185">
        <f t="shared" si="38"/>
        <v>0</v>
      </c>
      <c r="AL365" s="186">
        <f t="shared" si="39"/>
        <v>0</v>
      </c>
    </row>
    <row r="366" spans="1:38" customFormat="1" ht="72" x14ac:dyDescent="0.3">
      <c r="A366" s="140" t="s">
        <v>1441</v>
      </c>
      <c r="B366" s="140">
        <v>1</v>
      </c>
      <c r="C366" s="166" t="s">
        <v>836</v>
      </c>
      <c r="D366" s="140" t="str">
        <f t="shared" si="34"/>
        <v>2</v>
      </c>
      <c r="E366" s="166" t="s">
        <v>992</v>
      </c>
      <c r="F366" s="140">
        <v>1</v>
      </c>
      <c r="G366" s="140" t="str">
        <f t="shared" si="36"/>
        <v>1.2.1</v>
      </c>
      <c r="H366" s="166" t="s">
        <v>993</v>
      </c>
      <c r="I366" s="166" t="s">
        <v>994</v>
      </c>
      <c r="J366" s="166" t="s">
        <v>164</v>
      </c>
      <c r="K366" s="166" t="s">
        <v>841</v>
      </c>
      <c r="L366" s="167">
        <v>0</v>
      </c>
      <c r="M366" s="166"/>
      <c r="N366" s="166"/>
      <c r="O366" s="164">
        <f t="shared" si="37"/>
        <v>0</v>
      </c>
      <c r="P366" s="166">
        <v>0</v>
      </c>
      <c r="Q366" s="166">
        <v>0</v>
      </c>
      <c r="R366" s="164">
        <f>$L366*'Pivot Objective'!$C$9*P366*Q366</f>
        <v>0</v>
      </c>
      <c r="S366" s="166">
        <v>0</v>
      </c>
      <c r="T366" s="166">
        <v>0</v>
      </c>
      <c r="U366" s="164">
        <f>($L366*'Pivot Objective'!$C$9^2)*S366*T366</f>
        <v>0</v>
      </c>
      <c r="V366" s="166">
        <v>40000</v>
      </c>
      <c r="W366" s="166">
        <v>1</v>
      </c>
      <c r="X366" s="164">
        <f>($L366*'Pivot Objective'!$C$9^3)*V366*W366</f>
        <v>0</v>
      </c>
      <c r="Y366" s="166">
        <v>0</v>
      </c>
      <c r="Z366" s="166">
        <v>0</v>
      </c>
      <c r="AA366" s="164">
        <f>($L366*'Pivot Objective'!$C$9^4)*Y366*Z366</f>
        <v>0</v>
      </c>
      <c r="AB366" s="140"/>
      <c r="AC366" s="140"/>
      <c r="AD366" s="164">
        <f>($L366*'Pivot Objective'!$C$9^5)*AB366*AC366</f>
        <v>0</v>
      </c>
      <c r="AE366" s="140"/>
      <c r="AF366" s="140"/>
      <c r="AG366" s="164">
        <f>($L366*'Pivot Objective'!$C$9^6)*AE366*AF366</f>
        <v>0</v>
      </c>
      <c r="AH366" s="166">
        <v>0</v>
      </c>
      <c r="AI366" s="166">
        <v>0</v>
      </c>
      <c r="AJ366" s="164">
        <f>($L366*'Pivot Objective'!$C$9^7)*AH366*AI366</f>
        <v>0</v>
      </c>
      <c r="AK366" s="185">
        <f t="shared" si="38"/>
        <v>0</v>
      </c>
      <c r="AL366" s="186">
        <f t="shared" si="39"/>
        <v>0</v>
      </c>
    </row>
    <row r="367" spans="1:38" customFormat="1" ht="72" x14ac:dyDescent="0.3">
      <c r="A367" s="140" t="s">
        <v>1441</v>
      </c>
      <c r="B367" s="140">
        <v>1</v>
      </c>
      <c r="C367" s="166" t="s">
        <v>836</v>
      </c>
      <c r="D367" s="140" t="str">
        <f t="shared" si="34"/>
        <v>2</v>
      </c>
      <c r="E367" s="166" t="s">
        <v>992</v>
      </c>
      <c r="F367" s="140">
        <f t="shared" ref="F367:F398" si="43">IF(H367=H366,F366,F366+1)</f>
        <v>1</v>
      </c>
      <c r="G367" s="140" t="str">
        <f t="shared" si="36"/>
        <v>1.2.1</v>
      </c>
      <c r="H367" s="166" t="s">
        <v>993</v>
      </c>
      <c r="I367" s="166" t="s">
        <v>994</v>
      </c>
      <c r="J367" s="166" t="s">
        <v>165</v>
      </c>
      <c r="K367" s="166" t="s">
        <v>708</v>
      </c>
      <c r="L367" s="167">
        <f>500*1022</f>
        <v>511000</v>
      </c>
      <c r="M367" s="166"/>
      <c r="N367" s="166">
        <v>25</v>
      </c>
      <c r="O367" s="164">
        <f t="shared" si="37"/>
        <v>0</v>
      </c>
      <c r="P367" s="166">
        <v>1</v>
      </c>
      <c r="Q367" s="166">
        <v>30</v>
      </c>
      <c r="R367" s="164">
        <f>$L367*'Pivot Objective'!$C$9*P367*Q367</f>
        <v>17520980.417009998</v>
      </c>
      <c r="S367" s="166">
        <v>0</v>
      </c>
      <c r="T367" s="166">
        <v>0</v>
      </c>
      <c r="U367" s="164">
        <f>($L367*'Pivot Objective'!$C$9^2)*S367*T367</f>
        <v>0</v>
      </c>
      <c r="V367" s="166">
        <v>0</v>
      </c>
      <c r="W367" s="166">
        <v>0</v>
      </c>
      <c r="X367" s="164">
        <f>($L367*'Pivot Objective'!$C$9^3)*V367*W367</f>
        <v>0</v>
      </c>
      <c r="Y367" s="166">
        <v>1</v>
      </c>
      <c r="Z367" s="166">
        <v>30</v>
      </c>
      <c r="AA367" s="164">
        <f>($L367*'Pivot Objective'!$C$9^4)*Y367*Z367</f>
        <v>26158157.616865929</v>
      </c>
      <c r="AB367" s="140"/>
      <c r="AC367" s="140"/>
      <c r="AD367" s="164">
        <f>($L367*'Pivot Objective'!$C$9^5)*AB367*AC367</f>
        <v>0</v>
      </c>
      <c r="AE367" s="140"/>
      <c r="AF367" s="140"/>
      <c r="AG367" s="164">
        <f>($L367*'Pivot Objective'!$C$9^6)*AE367*AF367</f>
        <v>0</v>
      </c>
      <c r="AH367" s="166">
        <v>1</v>
      </c>
      <c r="AI367" s="166">
        <v>30</v>
      </c>
      <c r="AJ367" s="164">
        <f>($L367*'Pivot Objective'!$C$9^7)*AH367*AI367</f>
        <v>39053134.791732736</v>
      </c>
      <c r="AK367" s="185">
        <f t="shared" si="38"/>
        <v>82732272.825608671</v>
      </c>
      <c r="AL367" s="186">
        <f t="shared" si="39"/>
        <v>80322.594976319102</v>
      </c>
    </row>
    <row r="368" spans="1:38" customFormat="1" ht="72" x14ac:dyDescent="0.3">
      <c r="A368" s="140" t="s">
        <v>1441</v>
      </c>
      <c r="B368" s="140">
        <v>1</v>
      </c>
      <c r="C368" s="166" t="s">
        <v>836</v>
      </c>
      <c r="D368" s="140" t="str">
        <f t="shared" si="34"/>
        <v>2</v>
      </c>
      <c r="E368" s="166" t="s">
        <v>992</v>
      </c>
      <c r="F368" s="140">
        <f t="shared" si="43"/>
        <v>1</v>
      </c>
      <c r="G368" s="140" t="str">
        <f t="shared" si="36"/>
        <v>1.2.1</v>
      </c>
      <c r="H368" s="166" t="s">
        <v>993</v>
      </c>
      <c r="I368" s="166" t="s">
        <v>994</v>
      </c>
      <c r="J368" s="166" t="s">
        <v>165</v>
      </c>
      <c r="K368" s="166" t="s">
        <v>707</v>
      </c>
      <c r="L368" s="144">
        <v>391991.03749999998</v>
      </c>
      <c r="M368" s="166"/>
      <c r="N368" s="166"/>
      <c r="O368" s="164">
        <f t="shared" si="37"/>
        <v>0</v>
      </c>
      <c r="P368" s="166">
        <v>2</v>
      </c>
      <c r="Q368" s="166">
        <v>2</v>
      </c>
      <c r="R368" s="164">
        <f>$L368*'Pivot Objective'!$C$9*P368*Q368</f>
        <v>1792059.3063746723</v>
      </c>
      <c r="S368" s="166">
        <v>0</v>
      </c>
      <c r="T368" s="166">
        <v>0</v>
      </c>
      <c r="U368" s="164">
        <f>($L368*'Pivot Objective'!$C$9^2)*S368*T368</f>
        <v>0</v>
      </c>
      <c r="V368" s="166">
        <v>0</v>
      </c>
      <c r="W368" s="166">
        <v>0</v>
      </c>
      <c r="X368" s="164">
        <f>($L368*'Pivot Objective'!$C$9^3)*V368*W368</f>
        <v>0</v>
      </c>
      <c r="Y368" s="166">
        <v>2</v>
      </c>
      <c r="Z368" s="166">
        <v>2</v>
      </c>
      <c r="AA368" s="164">
        <f>($L368*'Pivot Objective'!$C$9^4)*Y368*Z368</f>
        <v>2675476.4105215403</v>
      </c>
      <c r="AB368" s="140"/>
      <c r="AC368" s="140"/>
      <c r="AD368" s="164">
        <f>($L368*'Pivot Objective'!$C$9^5)*AB368*AC368</f>
        <v>0</v>
      </c>
      <c r="AE368" s="140"/>
      <c r="AF368" s="140"/>
      <c r="AG368" s="164">
        <f>($L368*'Pivot Objective'!$C$9^6)*AE368*AF368</f>
        <v>0</v>
      </c>
      <c r="AH368" s="166">
        <v>2</v>
      </c>
      <c r="AI368" s="166">
        <v>2</v>
      </c>
      <c r="AJ368" s="164">
        <f>($L368*'Pivot Objective'!$C$9^7)*AH368*AI368</f>
        <v>3994384.5595926056</v>
      </c>
      <c r="AK368" s="185">
        <f t="shared" si="38"/>
        <v>8461920.2764888182</v>
      </c>
      <c r="AL368" s="186">
        <f t="shared" si="39"/>
        <v>8215.4565791153582</v>
      </c>
    </row>
    <row r="369" spans="1:38" customFormat="1" ht="72" x14ac:dyDescent="0.3">
      <c r="A369" s="140" t="s">
        <v>1441</v>
      </c>
      <c r="B369" s="140">
        <v>1</v>
      </c>
      <c r="C369" s="166" t="s">
        <v>836</v>
      </c>
      <c r="D369" s="140" t="str">
        <f t="shared" si="34"/>
        <v>2</v>
      </c>
      <c r="E369" s="166" t="s">
        <v>992</v>
      </c>
      <c r="F369" s="140">
        <f t="shared" si="43"/>
        <v>1</v>
      </c>
      <c r="G369" s="140" t="str">
        <f t="shared" si="36"/>
        <v>1.2.1</v>
      </c>
      <c r="H369" s="166" t="s">
        <v>993</v>
      </c>
      <c r="I369" s="166" t="s">
        <v>994</v>
      </c>
      <c r="J369" s="166" t="s">
        <v>995</v>
      </c>
      <c r="K369" s="166" t="s">
        <v>841</v>
      </c>
      <c r="L369" s="167">
        <v>0</v>
      </c>
      <c r="M369" s="166"/>
      <c r="N369" s="166"/>
      <c r="O369" s="164">
        <f t="shared" si="37"/>
        <v>0</v>
      </c>
      <c r="P369" s="166">
        <v>1</v>
      </c>
      <c r="Q369" s="166"/>
      <c r="R369" s="164">
        <f>$L369*'Pivot Objective'!$C$9*P369*Q369</f>
        <v>0</v>
      </c>
      <c r="S369" s="166">
        <v>0</v>
      </c>
      <c r="T369" s="166">
        <v>0</v>
      </c>
      <c r="U369" s="164">
        <f>($L369*'Pivot Objective'!$C$9^2)*S369*T369</f>
        <v>0</v>
      </c>
      <c r="V369" s="166">
        <v>0</v>
      </c>
      <c r="W369" s="166">
        <v>0</v>
      </c>
      <c r="X369" s="164">
        <f>($L369*'Pivot Objective'!$C$9^3)*V369*W369</f>
        <v>0</v>
      </c>
      <c r="Y369" s="166">
        <v>1</v>
      </c>
      <c r="Z369" s="166"/>
      <c r="AA369" s="164">
        <f>($L369*'Pivot Objective'!$C$9^4)*Y369*Z369</f>
        <v>0</v>
      </c>
      <c r="AB369" s="140"/>
      <c r="AC369" s="140"/>
      <c r="AD369" s="164">
        <f>($L369*'Pivot Objective'!$C$9^5)*AB369*AC369</f>
        <v>0</v>
      </c>
      <c r="AE369" s="140"/>
      <c r="AF369" s="140"/>
      <c r="AG369" s="164">
        <f>($L369*'Pivot Objective'!$C$9^6)*AE369*AF369</f>
        <v>0</v>
      </c>
      <c r="AH369" s="166">
        <v>1</v>
      </c>
      <c r="AI369" s="166"/>
      <c r="AJ369" s="164">
        <f>($L369*'Pivot Objective'!$C$9^7)*AH369*AI369</f>
        <v>0</v>
      </c>
      <c r="AK369" s="185">
        <f t="shared" si="38"/>
        <v>0</v>
      </c>
      <c r="AL369" s="186">
        <f t="shared" si="39"/>
        <v>0</v>
      </c>
    </row>
    <row r="370" spans="1:38" customFormat="1" ht="72" x14ac:dyDescent="0.3">
      <c r="A370" s="140" t="s">
        <v>1441</v>
      </c>
      <c r="B370" s="140">
        <v>1</v>
      </c>
      <c r="C370" s="166" t="s">
        <v>836</v>
      </c>
      <c r="D370" s="140" t="str">
        <f t="shared" si="34"/>
        <v>2</v>
      </c>
      <c r="E370" s="166" t="s">
        <v>992</v>
      </c>
      <c r="F370" s="140">
        <f t="shared" si="43"/>
        <v>1</v>
      </c>
      <c r="G370" s="140" t="str">
        <f t="shared" si="36"/>
        <v>1.2.1</v>
      </c>
      <c r="H370" s="166" t="s">
        <v>993</v>
      </c>
      <c r="I370" s="166" t="s">
        <v>994</v>
      </c>
      <c r="J370" s="166" t="s">
        <v>1359</v>
      </c>
      <c r="K370" s="166" t="s">
        <v>709</v>
      </c>
      <c r="L370" s="167">
        <v>35000</v>
      </c>
      <c r="M370" s="166"/>
      <c r="N370" s="140"/>
      <c r="O370" s="164">
        <f t="shared" si="37"/>
        <v>0</v>
      </c>
      <c r="P370" s="166"/>
      <c r="Q370" s="140"/>
      <c r="R370" s="164">
        <f>$L370*'Pivot Objective'!$C$9*P370*Q370</f>
        <v>0</v>
      </c>
      <c r="S370" s="166"/>
      <c r="T370" s="166"/>
      <c r="U370" s="164">
        <f>($L370*'Pivot Objective'!$C$9^2)*S370*T370</f>
        <v>0</v>
      </c>
      <c r="V370" s="166"/>
      <c r="W370" s="166"/>
      <c r="X370" s="164">
        <f>($L370*'Pivot Objective'!$C$9^3)*V370*W370</f>
        <v>0</v>
      </c>
      <c r="Y370" s="166"/>
      <c r="Z370" s="140"/>
      <c r="AA370" s="164">
        <f>($L370*'Pivot Objective'!$C$9^4)*Y370*Z370</f>
        <v>0</v>
      </c>
      <c r="AB370" s="140"/>
      <c r="AC370" s="140"/>
      <c r="AD370" s="164">
        <f>($L370*'Pivot Objective'!$C$9^5)*AB370*AC370</f>
        <v>0</v>
      </c>
      <c r="AE370" s="140"/>
      <c r="AF370" s="140"/>
      <c r="AG370" s="164">
        <f>($L370*'Pivot Objective'!$C$9^6)*AE370*AF370</f>
        <v>0</v>
      </c>
      <c r="AH370" s="166"/>
      <c r="AI370" s="140"/>
      <c r="AJ370" s="164">
        <f>($L370*'Pivot Objective'!$C$9^7)*AH370*AI370</f>
        <v>0</v>
      </c>
      <c r="AK370" s="185">
        <f t="shared" si="38"/>
        <v>0</v>
      </c>
      <c r="AL370" s="186">
        <f t="shared" si="39"/>
        <v>0</v>
      </c>
    </row>
    <row r="371" spans="1:38" customFormat="1" ht="72" x14ac:dyDescent="0.3">
      <c r="A371" s="140" t="s">
        <v>1441</v>
      </c>
      <c r="B371" s="140">
        <v>1</v>
      </c>
      <c r="C371" s="166" t="s">
        <v>836</v>
      </c>
      <c r="D371" s="140" t="str">
        <f t="shared" si="34"/>
        <v>2</v>
      </c>
      <c r="E371" s="166" t="s">
        <v>992</v>
      </c>
      <c r="F371" s="140">
        <f t="shared" si="43"/>
        <v>1</v>
      </c>
      <c r="G371" s="140" t="str">
        <f t="shared" si="36"/>
        <v>1.2.1</v>
      </c>
      <c r="H371" s="166" t="s">
        <v>993</v>
      </c>
      <c r="I371" s="166" t="s">
        <v>994</v>
      </c>
      <c r="J371" s="166" t="s">
        <v>1359</v>
      </c>
      <c r="K371" s="166" t="s">
        <v>716</v>
      </c>
      <c r="L371" s="167">
        <v>39000</v>
      </c>
      <c r="M371" s="166"/>
      <c r="N371" s="166"/>
      <c r="O371" s="164">
        <f t="shared" si="37"/>
        <v>0</v>
      </c>
      <c r="P371" s="166">
        <v>58</v>
      </c>
      <c r="Q371" s="166">
        <v>6</v>
      </c>
      <c r="R371" s="164">
        <f>$L371*'Pivot Objective'!$C$9*P371*Q371</f>
        <v>15511725.128483998</v>
      </c>
      <c r="S371" s="166"/>
      <c r="T371" s="166"/>
      <c r="U371" s="164">
        <f>($L371*'Pivot Objective'!$C$9^2)*S371*T371</f>
        <v>0</v>
      </c>
      <c r="V371" s="166"/>
      <c r="W371" s="166"/>
      <c r="X371" s="164">
        <f>($L371*'Pivot Objective'!$C$9^3)*V371*W371</f>
        <v>0</v>
      </c>
      <c r="Y371" s="166">
        <v>58</v>
      </c>
      <c r="Z371" s="166">
        <v>6</v>
      </c>
      <c r="AA371" s="164">
        <f>($L371*'Pivot Objective'!$C$9^4)*Y371*Z371</f>
        <v>23158415.862759583</v>
      </c>
      <c r="AB371" s="140"/>
      <c r="AC371" s="140"/>
      <c r="AD371" s="164">
        <f>($L371*'Pivot Objective'!$C$9^5)*AB371*AC371</f>
        <v>0</v>
      </c>
      <c r="AE371" s="140"/>
      <c r="AF371" s="140"/>
      <c r="AG371" s="164">
        <f>($L371*'Pivot Objective'!$C$9^6)*AE371*AF371</f>
        <v>0</v>
      </c>
      <c r="AH371" s="166">
        <v>58</v>
      </c>
      <c r="AI371" s="166">
        <v>6</v>
      </c>
      <c r="AJ371" s="164">
        <f>($L371*'Pivot Objective'!$C$9^7)*AH371*AI371</f>
        <v>34574634.402700365</v>
      </c>
      <c r="AK371" s="185">
        <f t="shared" si="38"/>
        <v>73244775.393943936</v>
      </c>
      <c r="AL371" s="186">
        <f t="shared" si="39"/>
        <v>71111.432421304795</v>
      </c>
    </row>
    <row r="372" spans="1:38" customFormat="1" ht="72" x14ac:dyDescent="0.3">
      <c r="A372" s="140" t="s">
        <v>1441</v>
      </c>
      <c r="B372" s="140">
        <v>1</v>
      </c>
      <c r="C372" s="166" t="s">
        <v>836</v>
      </c>
      <c r="D372" s="140" t="str">
        <f t="shared" si="34"/>
        <v>2</v>
      </c>
      <c r="E372" s="166" t="s">
        <v>992</v>
      </c>
      <c r="F372" s="140">
        <f t="shared" si="43"/>
        <v>1</v>
      </c>
      <c r="G372" s="140" t="str">
        <f t="shared" si="36"/>
        <v>1.2.1</v>
      </c>
      <c r="H372" s="166" t="s">
        <v>993</v>
      </c>
      <c r="I372" s="166" t="s">
        <v>994</v>
      </c>
      <c r="J372" s="166" t="s">
        <v>1359</v>
      </c>
      <c r="K372" s="166" t="s">
        <v>1299</v>
      </c>
      <c r="L372" s="167">
        <f>1480/7</f>
        <v>211.42857142857142</v>
      </c>
      <c r="M372" s="166"/>
      <c r="N372" s="166"/>
      <c r="O372" s="164">
        <f t="shared" si="37"/>
        <v>0</v>
      </c>
      <c r="P372" s="166">
        <v>22500</v>
      </c>
      <c r="Q372" s="166">
        <v>1</v>
      </c>
      <c r="R372" s="164">
        <f>$L372*'Pivot Objective'!$C$9*P372*Q372</f>
        <v>5437038.9328714283</v>
      </c>
      <c r="S372" s="166"/>
      <c r="T372" s="166"/>
      <c r="U372" s="164">
        <f>($L372*'Pivot Objective'!$C$9^2)*S372*T372</f>
        <v>0</v>
      </c>
      <c r="V372" s="166"/>
      <c r="W372" s="166"/>
      <c r="X372" s="164">
        <f>($L372*'Pivot Objective'!$C$9^3)*V372*W372</f>
        <v>0</v>
      </c>
      <c r="Y372" s="166">
        <v>22500</v>
      </c>
      <c r="Z372" s="166">
        <v>1</v>
      </c>
      <c r="AA372" s="164">
        <f>($L372*'Pivot Objective'!$C$9^4)*Y372*Z372</f>
        <v>8117292.4111605193</v>
      </c>
      <c r="AB372" s="140"/>
      <c r="AC372" s="140"/>
      <c r="AD372" s="164">
        <f>($L372*'Pivot Objective'!$C$9^5)*AB372*AC372</f>
        <v>0</v>
      </c>
      <c r="AE372" s="140"/>
      <c r="AF372" s="140"/>
      <c r="AG372" s="164">
        <f>($L372*'Pivot Objective'!$C$9^6)*AE372*AF372</f>
        <v>0</v>
      </c>
      <c r="AH372" s="166">
        <v>22500</v>
      </c>
      <c r="AI372" s="166">
        <v>1</v>
      </c>
      <c r="AJ372" s="164">
        <f>($L372*'Pivot Objective'!$C$9^7)*AH372*AI372</f>
        <v>12118808.951306494</v>
      </c>
      <c r="AK372" s="185">
        <f t="shared" si="38"/>
        <v>25673140.295338444</v>
      </c>
      <c r="AL372" s="186">
        <f t="shared" si="39"/>
        <v>24925.378927513051</v>
      </c>
    </row>
    <row r="373" spans="1:38" customFormat="1" ht="72" x14ac:dyDescent="0.3">
      <c r="A373" s="140" t="s">
        <v>1441</v>
      </c>
      <c r="B373" s="140">
        <v>1</v>
      </c>
      <c r="C373" s="166" t="s">
        <v>836</v>
      </c>
      <c r="D373" s="140" t="str">
        <f t="shared" si="34"/>
        <v>2</v>
      </c>
      <c r="E373" s="166" t="s">
        <v>992</v>
      </c>
      <c r="F373" s="140">
        <f t="shared" si="43"/>
        <v>1</v>
      </c>
      <c r="G373" s="140" t="str">
        <f t="shared" si="36"/>
        <v>1.2.1</v>
      </c>
      <c r="H373" s="166" t="s">
        <v>993</v>
      </c>
      <c r="I373" s="166" t="s">
        <v>994</v>
      </c>
      <c r="J373" s="166" t="s">
        <v>1359</v>
      </c>
      <c r="K373" s="166" t="s">
        <v>712</v>
      </c>
      <c r="L373" s="167">
        <f>1480/7</f>
        <v>211.42857142857142</v>
      </c>
      <c r="M373" s="166"/>
      <c r="N373" s="166"/>
      <c r="O373" s="164">
        <f t="shared" si="37"/>
        <v>0</v>
      </c>
      <c r="P373" s="166">
        <f>25*2*29</f>
        <v>1450</v>
      </c>
      <c r="Q373" s="166">
        <v>5</v>
      </c>
      <c r="R373" s="164">
        <f>$L373*'Pivot Objective'!$C$9*P373*Q373</f>
        <v>1751934.7672585712</v>
      </c>
      <c r="S373" s="166"/>
      <c r="T373" s="166"/>
      <c r="U373" s="164">
        <f>($L373*'Pivot Objective'!$C$9^2)*S373*T373</f>
        <v>0</v>
      </c>
      <c r="V373" s="166"/>
      <c r="W373" s="166"/>
      <c r="X373" s="164">
        <f>($L373*'Pivot Objective'!$C$9^3)*V373*W373</f>
        <v>0</v>
      </c>
      <c r="Y373" s="166">
        <f>25*2*29</f>
        <v>1450</v>
      </c>
      <c r="Z373" s="166">
        <v>5</v>
      </c>
      <c r="AA373" s="164">
        <f>($L373*'Pivot Objective'!$C$9^4)*Y373*Z373</f>
        <v>2615571.999151723</v>
      </c>
      <c r="AB373" s="140"/>
      <c r="AC373" s="140"/>
      <c r="AD373" s="164">
        <f>($L373*'Pivot Objective'!$C$9^5)*AB373*AC373</f>
        <v>0</v>
      </c>
      <c r="AE373" s="140"/>
      <c r="AF373" s="140"/>
      <c r="AG373" s="164">
        <f>($L373*'Pivot Objective'!$C$9^6)*AE373*AF373</f>
        <v>0</v>
      </c>
      <c r="AH373" s="166">
        <f>25*2*29</f>
        <v>1450</v>
      </c>
      <c r="AI373" s="166">
        <v>5</v>
      </c>
      <c r="AJ373" s="164">
        <f>($L373*'Pivot Objective'!$C$9^7)*AH373*AI373</f>
        <v>3904949.5509765372</v>
      </c>
      <c r="AK373" s="185">
        <f t="shared" si="38"/>
        <v>8272456.3173868312</v>
      </c>
      <c r="AL373" s="186">
        <f t="shared" si="39"/>
        <v>8031.5109877542054</v>
      </c>
    </row>
    <row r="374" spans="1:38" customFormat="1" ht="72" x14ac:dyDescent="0.3">
      <c r="A374" s="140" t="s">
        <v>1441</v>
      </c>
      <c r="B374" s="140">
        <v>1</v>
      </c>
      <c r="C374" s="166" t="s">
        <v>836</v>
      </c>
      <c r="D374" s="140" t="str">
        <f t="shared" si="34"/>
        <v>2</v>
      </c>
      <c r="E374" s="166" t="s">
        <v>992</v>
      </c>
      <c r="F374" s="140">
        <f t="shared" si="43"/>
        <v>1</v>
      </c>
      <c r="G374" s="140" t="str">
        <f t="shared" si="36"/>
        <v>1.2.1</v>
      </c>
      <c r="H374" s="166" t="s">
        <v>993</v>
      </c>
      <c r="I374" s="166" t="s">
        <v>994</v>
      </c>
      <c r="J374" s="166" t="s">
        <v>1360</v>
      </c>
      <c r="K374" s="166" t="s">
        <v>716</v>
      </c>
      <c r="L374" s="167">
        <v>39000</v>
      </c>
      <c r="M374" s="166"/>
      <c r="N374" s="166"/>
      <c r="O374" s="164">
        <f t="shared" si="37"/>
        <v>0</v>
      </c>
      <c r="P374" s="166">
        <v>2090</v>
      </c>
      <c r="Q374" s="166">
        <v>5</v>
      </c>
      <c r="R374" s="164">
        <f>$L374*'Pivot Objective'!$C$9*P374*Q374</f>
        <v>465797493.08234996</v>
      </c>
      <c r="S374" s="166">
        <v>0</v>
      </c>
      <c r="T374" s="166">
        <v>0</v>
      </c>
      <c r="U374" s="164">
        <f>($L374*'Pivot Objective'!$C$9^2)*S374*T374</f>
        <v>0</v>
      </c>
      <c r="V374" s="166">
        <v>0</v>
      </c>
      <c r="W374" s="166">
        <v>0</v>
      </c>
      <c r="X374" s="164">
        <f>($L374*'Pivot Objective'!$C$9^3)*V374*W374</f>
        <v>0</v>
      </c>
      <c r="Y374" s="166">
        <v>2090</v>
      </c>
      <c r="Z374" s="166">
        <v>5</v>
      </c>
      <c r="AA374" s="164">
        <f>($L374*'Pivot Objective'!$C$9^4)*Y374*Z374</f>
        <v>695417947.60298181</v>
      </c>
      <c r="AB374" s="140"/>
      <c r="AC374" s="140"/>
      <c r="AD374" s="164">
        <f>($L374*'Pivot Objective'!$C$9^5)*AB374*AC374</f>
        <v>0</v>
      </c>
      <c r="AE374" s="140"/>
      <c r="AF374" s="140"/>
      <c r="AG374" s="164">
        <f>($L374*'Pivot Objective'!$C$9^6)*AE374*AF374</f>
        <v>0</v>
      </c>
      <c r="AH374" s="166">
        <v>2090</v>
      </c>
      <c r="AI374" s="166">
        <v>5</v>
      </c>
      <c r="AJ374" s="164">
        <f>($L374*'Pivot Objective'!$C$9^7)*AH374*AI374</f>
        <v>1038232556.0581002</v>
      </c>
      <c r="AK374" s="185">
        <f t="shared" si="38"/>
        <v>2199447996.743432</v>
      </c>
      <c r="AL374" s="186">
        <f t="shared" si="39"/>
        <v>2135386.4046052736</v>
      </c>
    </row>
    <row r="375" spans="1:38" customFormat="1" ht="72" x14ac:dyDescent="0.3">
      <c r="A375" s="140" t="s">
        <v>1441</v>
      </c>
      <c r="B375" s="140">
        <v>1</v>
      </c>
      <c r="C375" s="166" t="s">
        <v>836</v>
      </c>
      <c r="D375" s="140" t="str">
        <f t="shared" si="34"/>
        <v>2</v>
      </c>
      <c r="E375" s="166" t="s">
        <v>992</v>
      </c>
      <c r="F375" s="140">
        <f t="shared" si="43"/>
        <v>1</v>
      </c>
      <c r="G375" s="140" t="str">
        <f t="shared" si="36"/>
        <v>1.2.1</v>
      </c>
      <c r="H375" s="166" t="s">
        <v>993</v>
      </c>
      <c r="I375" s="166" t="s">
        <v>994</v>
      </c>
      <c r="J375" s="166" t="s">
        <v>1360</v>
      </c>
      <c r="K375" s="166" t="s">
        <v>709</v>
      </c>
      <c r="L375" s="167">
        <v>35000</v>
      </c>
      <c r="M375" s="166"/>
      <c r="N375" s="166"/>
      <c r="O375" s="164">
        <f t="shared" si="37"/>
        <v>0</v>
      </c>
      <c r="P375" s="166">
        <v>2090</v>
      </c>
      <c r="Q375" s="166">
        <v>5</v>
      </c>
      <c r="R375" s="164">
        <f>$L375*'Pivot Objective'!$C$9*P375*Q375</f>
        <v>418023391.22774994</v>
      </c>
      <c r="S375" s="166">
        <v>0</v>
      </c>
      <c r="T375" s="166">
        <v>0</v>
      </c>
      <c r="U375" s="164">
        <f>($L375*'Pivot Objective'!$C$9^2)*S375*T375</f>
        <v>0</v>
      </c>
      <c r="V375" s="166">
        <v>0</v>
      </c>
      <c r="W375" s="166">
        <v>0</v>
      </c>
      <c r="X375" s="164">
        <f>($L375*'Pivot Objective'!$C$9^3)*V375*W375</f>
        <v>0</v>
      </c>
      <c r="Y375" s="166">
        <v>2090</v>
      </c>
      <c r="Z375" s="166">
        <v>5</v>
      </c>
      <c r="AA375" s="164">
        <f>($L375*'Pivot Objective'!$C$9^4)*Y375*Z375</f>
        <v>624093029.90011191</v>
      </c>
      <c r="AB375" s="140"/>
      <c r="AC375" s="140"/>
      <c r="AD375" s="164">
        <f>($L375*'Pivot Objective'!$C$9^5)*AB375*AC375</f>
        <v>0</v>
      </c>
      <c r="AE375" s="140"/>
      <c r="AF375" s="140"/>
      <c r="AG375" s="164">
        <f>($L375*'Pivot Objective'!$C$9^6)*AE375*AF375</f>
        <v>0</v>
      </c>
      <c r="AH375" s="166">
        <v>2090</v>
      </c>
      <c r="AI375" s="166">
        <v>5</v>
      </c>
      <c r="AJ375" s="164">
        <f>($L375*'Pivot Objective'!$C$9^7)*AH375*AI375</f>
        <v>931747165.69316685</v>
      </c>
      <c r="AK375" s="185">
        <f t="shared" si="38"/>
        <v>1973863586.8210287</v>
      </c>
      <c r="AL375" s="186">
        <f t="shared" si="39"/>
        <v>1916372.4143893484</v>
      </c>
    </row>
    <row r="376" spans="1:38" customFormat="1" ht="72" x14ac:dyDescent="0.3">
      <c r="A376" s="140" t="s">
        <v>1441</v>
      </c>
      <c r="B376" s="140">
        <v>1</v>
      </c>
      <c r="C376" s="166" t="s">
        <v>836</v>
      </c>
      <c r="D376" s="140" t="str">
        <f t="shared" si="34"/>
        <v>2</v>
      </c>
      <c r="E376" s="166" t="s">
        <v>992</v>
      </c>
      <c r="F376" s="140">
        <f t="shared" si="43"/>
        <v>1</v>
      </c>
      <c r="G376" s="140" t="str">
        <f t="shared" si="36"/>
        <v>1.2.1</v>
      </c>
      <c r="H376" s="166" t="s">
        <v>993</v>
      </c>
      <c r="I376" s="166" t="s">
        <v>994</v>
      </c>
      <c r="J376" s="166" t="s">
        <v>1360</v>
      </c>
      <c r="K376" s="166" t="s">
        <v>1361</v>
      </c>
      <c r="L376" s="167">
        <f>1480/7</f>
        <v>211.42857142857142</v>
      </c>
      <c r="M376" s="166"/>
      <c r="N376" s="166"/>
      <c r="O376" s="164">
        <f t="shared" si="37"/>
        <v>0</v>
      </c>
      <c r="P376" s="166">
        <f>25*2*29*10</f>
        <v>14500</v>
      </c>
      <c r="Q376" s="166">
        <v>2</v>
      </c>
      <c r="R376" s="164">
        <f>$L376*'Pivot Objective'!$C$9*P376*Q376</f>
        <v>7007739.0690342849</v>
      </c>
      <c r="S376" s="166">
        <v>0</v>
      </c>
      <c r="T376" s="166">
        <v>0</v>
      </c>
      <c r="U376" s="164">
        <f>($L376*'Pivot Objective'!$C$9^2)*S376*T376</f>
        <v>0</v>
      </c>
      <c r="V376" s="166">
        <v>0</v>
      </c>
      <c r="W376" s="166">
        <v>0</v>
      </c>
      <c r="X376" s="164">
        <f>($L376*'Pivot Objective'!$C$9^3)*V376*W376</f>
        <v>0</v>
      </c>
      <c r="Y376" s="166">
        <f>25*2*29*10</f>
        <v>14500</v>
      </c>
      <c r="Z376" s="166">
        <v>2</v>
      </c>
      <c r="AA376" s="164">
        <f>($L376*'Pivot Objective'!$C$9^4)*Y376*Z376</f>
        <v>10462287.996606892</v>
      </c>
      <c r="AB376" s="140"/>
      <c r="AC376" s="140"/>
      <c r="AD376" s="164">
        <f>($L376*'Pivot Objective'!$C$9^5)*AB376*AC376</f>
        <v>0</v>
      </c>
      <c r="AE376" s="140"/>
      <c r="AF376" s="140"/>
      <c r="AG376" s="164">
        <f>($L376*'Pivot Objective'!$C$9^6)*AE376*AF376</f>
        <v>0</v>
      </c>
      <c r="AH376" s="166">
        <f>25*2*29*10</f>
        <v>14500</v>
      </c>
      <c r="AI376" s="166">
        <v>2</v>
      </c>
      <c r="AJ376" s="164">
        <f>($L376*'Pivot Objective'!$C$9^7)*AH376*AI376</f>
        <v>15619798.203906149</v>
      </c>
      <c r="AK376" s="185">
        <f t="shared" si="38"/>
        <v>33089825.269547325</v>
      </c>
      <c r="AL376" s="186">
        <f t="shared" si="39"/>
        <v>32126.043951016822</v>
      </c>
    </row>
    <row r="377" spans="1:38" customFormat="1" ht="72" x14ac:dyDescent="0.3">
      <c r="A377" s="140" t="s">
        <v>1441</v>
      </c>
      <c r="B377" s="140">
        <v>1</v>
      </c>
      <c r="C377" s="166" t="s">
        <v>836</v>
      </c>
      <c r="D377" s="140" t="str">
        <f t="shared" si="34"/>
        <v>2</v>
      </c>
      <c r="E377" s="166" t="s">
        <v>992</v>
      </c>
      <c r="F377" s="140">
        <f t="shared" si="43"/>
        <v>1</v>
      </c>
      <c r="G377" s="140" t="str">
        <f t="shared" si="36"/>
        <v>1.2.1</v>
      </c>
      <c r="H377" s="166" t="s">
        <v>993</v>
      </c>
      <c r="I377" s="166" t="s">
        <v>994</v>
      </c>
      <c r="J377" s="166" t="s">
        <v>1360</v>
      </c>
      <c r="K377" s="166" t="s">
        <v>1362</v>
      </c>
      <c r="L377" s="167">
        <f>1480/7</f>
        <v>211.42857142857142</v>
      </c>
      <c r="M377" s="166"/>
      <c r="N377" s="166"/>
      <c r="O377" s="164">
        <f t="shared" si="37"/>
        <v>0</v>
      </c>
      <c r="P377" s="166">
        <f>22500*2</f>
        <v>45000</v>
      </c>
      <c r="Q377" s="166">
        <v>2</v>
      </c>
      <c r="R377" s="164">
        <f>$L377*'Pivot Objective'!$C$9*P377*Q377</f>
        <v>21748155.731485713</v>
      </c>
      <c r="S377" s="166"/>
      <c r="T377" s="166"/>
      <c r="U377" s="164">
        <f>($L377*'Pivot Objective'!$C$9^2)*S377*T377</f>
        <v>0</v>
      </c>
      <c r="V377" s="166"/>
      <c r="W377" s="166"/>
      <c r="X377" s="164">
        <f>($L377*'Pivot Objective'!$C$9^3)*V377*W377</f>
        <v>0</v>
      </c>
      <c r="Y377" s="166">
        <f>22500*2</f>
        <v>45000</v>
      </c>
      <c r="Z377" s="166">
        <v>2</v>
      </c>
      <c r="AA377" s="164">
        <f>($L377*'Pivot Objective'!$C$9^4)*Y377*Z377</f>
        <v>32469169.644642077</v>
      </c>
      <c r="AB377" s="140"/>
      <c r="AC377" s="140"/>
      <c r="AD377" s="164">
        <f>($L377*'Pivot Objective'!$C$9^5)*AB377*AC377</f>
        <v>0</v>
      </c>
      <c r="AE377" s="140"/>
      <c r="AF377" s="140"/>
      <c r="AG377" s="164">
        <f>($L377*'Pivot Objective'!$C$9^6)*AE377*AF377</f>
        <v>0</v>
      </c>
      <c r="AH377" s="166">
        <f>22500*2</f>
        <v>45000</v>
      </c>
      <c r="AI377" s="166">
        <v>2</v>
      </c>
      <c r="AJ377" s="164">
        <f>($L377*'Pivot Objective'!$C$9^7)*AH377*AI377</f>
        <v>48475235.805225976</v>
      </c>
      <c r="AK377" s="185">
        <f t="shared" si="38"/>
        <v>102692561.18135378</v>
      </c>
      <c r="AL377" s="186">
        <f t="shared" si="39"/>
        <v>99701.515710052205</v>
      </c>
    </row>
    <row r="378" spans="1:38" customFormat="1" ht="72" x14ac:dyDescent="0.3">
      <c r="A378" s="140" t="s">
        <v>1441</v>
      </c>
      <c r="B378" s="140">
        <v>1</v>
      </c>
      <c r="C378" s="166" t="s">
        <v>836</v>
      </c>
      <c r="D378" s="140" t="str">
        <f t="shared" si="34"/>
        <v>2</v>
      </c>
      <c r="E378" s="166" t="s">
        <v>992</v>
      </c>
      <c r="F378" s="140">
        <f t="shared" si="43"/>
        <v>1</v>
      </c>
      <c r="G378" s="140" t="str">
        <f t="shared" si="36"/>
        <v>1.2.1</v>
      </c>
      <c r="H378" s="166" t="s">
        <v>993</v>
      </c>
      <c r="I378" s="166" t="s">
        <v>994</v>
      </c>
      <c r="J378" s="166" t="s">
        <v>997</v>
      </c>
      <c r="K378" s="166" t="s">
        <v>718</v>
      </c>
      <c r="L378" s="167">
        <v>0</v>
      </c>
      <c r="M378" s="166"/>
      <c r="N378" s="166"/>
      <c r="O378" s="164">
        <f t="shared" si="37"/>
        <v>0</v>
      </c>
      <c r="P378" s="166">
        <v>40000</v>
      </c>
      <c r="Q378" s="166">
        <v>1</v>
      </c>
      <c r="R378" s="164">
        <f>$L378*'Pivot Objective'!$C$9*P378*Q378</f>
        <v>0</v>
      </c>
      <c r="S378" s="166">
        <v>0</v>
      </c>
      <c r="T378" s="166">
        <v>0</v>
      </c>
      <c r="U378" s="164">
        <f>($L378*'Pivot Objective'!$C$9^2)*S378*T378</f>
        <v>0</v>
      </c>
      <c r="V378" s="166">
        <v>0</v>
      </c>
      <c r="W378" s="166">
        <v>0</v>
      </c>
      <c r="X378" s="164">
        <f>($L378*'Pivot Objective'!$C$9^3)*V378*W378</f>
        <v>0</v>
      </c>
      <c r="Y378" s="166">
        <v>40000</v>
      </c>
      <c r="Z378" s="166">
        <v>1</v>
      </c>
      <c r="AA378" s="164">
        <f>($L378*'Pivot Objective'!$C$9^4)*Y378*Z378</f>
        <v>0</v>
      </c>
      <c r="AB378" s="140"/>
      <c r="AC378" s="140"/>
      <c r="AD378" s="164">
        <f>($L378*'Pivot Objective'!$C$9^5)*AB378*AC378</f>
        <v>0</v>
      </c>
      <c r="AE378" s="140"/>
      <c r="AF378" s="140"/>
      <c r="AG378" s="164">
        <f>($L378*'Pivot Objective'!$C$9^6)*AE378*AF378</f>
        <v>0</v>
      </c>
      <c r="AH378" s="166">
        <v>40000</v>
      </c>
      <c r="AI378" s="166">
        <v>1</v>
      </c>
      <c r="AJ378" s="164">
        <f>($L378*'Pivot Objective'!$C$9^7)*AH378*AI378</f>
        <v>0</v>
      </c>
      <c r="AK378" s="185">
        <f t="shared" si="38"/>
        <v>0</v>
      </c>
      <c r="AL378" s="186">
        <f t="shared" si="39"/>
        <v>0</v>
      </c>
    </row>
    <row r="379" spans="1:38" customFormat="1" ht="72" x14ac:dyDescent="0.3">
      <c r="A379" s="140" t="s">
        <v>1441</v>
      </c>
      <c r="B379" s="140">
        <v>1</v>
      </c>
      <c r="C379" s="166" t="s">
        <v>836</v>
      </c>
      <c r="D379" s="140" t="str">
        <f t="shared" si="34"/>
        <v>2</v>
      </c>
      <c r="E379" s="166" t="s">
        <v>992</v>
      </c>
      <c r="F379" s="140">
        <f t="shared" si="43"/>
        <v>1</v>
      </c>
      <c r="G379" s="140" t="str">
        <f t="shared" si="36"/>
        <v>1.2.1</v>
      </c>
      <c r="H379" s="166" t="s">
        <v>993</v>
      </c>
      <c r="I379" s="166" t="s">
        <v>994</v>
      </c>
      <c r="J379" s="166" t="s">
        <v>998</v>
      </c>
      <c r="K379" s="166" t="s">
        <v>709</v>
      </c>
      <c r="L379" s="167">
        <v>35000</v>
      </c>
      <c r="M379" s="166"/>
      <c r="N379" s="166"/>
      <c r="O379" s="164">
        <f t="shared" si="37"/>
        <v>0</v>
      </c>
      <c r="P379" s="166">
        <v>100</v>
      </c>
      <c r="Q379" s="166">
        <v>1</v>
      </c>
      <c r="R379" s="164">
        <f>$L379*'Pivot Objective'!$C$9*P379*Q379</f>
        <v>4000223.8394999993</v>
      </c>
      <c r="S379" s="166">
        <v>0</v>
      </c>
      <c r="T379" s="166">
        <v>0</v>
      </c>
      <c r="U379" s="164">
        <f>($L379*'Pivot Objective'!$C$9^2)*S379*T379</f>
        <v>0</v>
      </c>
      <c r="V379" s="166">
        <v>0</v>
      </c>
      <c r="W379" s="166">
        <v>0</v>
      </c>
      <c r="X379" s="164">
        <f>($L379*'Pivot Objective'!$C$9^3)*V379*W379</f>
        <v>0</v>
      </c>
      <c r="Y379" s="166">
        <v>100</v>
      </c>
      <c r="Z379" s="166">
        <v>1</v>
      </c>
      <c r="AA379" s="164">
        <f>($L379*'Pivot Objective'!$C$9^4)*Y379*Z379</f>
        <v>5972182.1043072902</v>
      </c>
      <c r="AB379" s="140"/>
      <c r="AC379" s="140"/>
      <c r="AD379" s="164">
        <f>($L379*'Pivot Objective'!$C$9^5)*AB379*AC379</f>
        <v>0</v>
      </c>
      <c r="AE379" s="140"/>
      <c r="AF379" s="140"/>
      <c r="AG379" s="164">
        <f>($L379*'Pivot Objective'!$C$9^6)*AE379*AF379</f>
        <v>0</v>
      </c>
      <c r="AH379" s="166">
        <v>100</v>
      </c>
      <c r="AI379" s="166">
        <v>1</v>
      </c>
      <c r="AJ379" s="164">
        <f>($L379*'Pivot Objective'!$C$9^7)*AH379*AI379</f>
        <v>8916240.8200303055</v>
      </c>
      <c r="AK379" s="185">
        <f t="shared" si="38"/>
        <v>18888646.763837595</v>
      </c>
      <c r="AL379" s="186">
        <f t="shared" si="39"/>
        <v>18338.49200372582</v>
      </c>
    </row>
    <row r="380" spans="1:38" customFormat="1" ht="72" x14ac:dyDescent="0.3">
      <c r="A380" s="140" t="s">
        <v>1441</v>
      </c>
      <c r="B380" s="140">
        <v>1</v>
      </c>
      <c r="C380" s="166" t="s">
        <v>836</v>
      </c>
      <c r="D380" s="140" t="str">
        <f t="shared" si="34"/>
        <v>2</v>
      </c>
      <c r="E380" s="166" t="s">
        <v>992</v>
      </c>
      <c r="F380" s="140">
        <f t="shared" si="43"/>
        <v>1</v>
      </c>
      <c r="G380" s="140" t="str">
        <f t="shared" si="36"/>
        <v>1.2.1</v>
      </c>
      <c r="H380" s="166" t="s">
        <v>993</v>
      </c>
      <c r="I380" s="166" t="s">
        <v>994</v>
      </c>
      <c r="J380" s="166" t="s">
        <v>998</v>
      </c>
      <c r="K380" s="166" t="s">
        <v>1297</v>
      </c>
      <c r="L380" s="167">
        <v>8000</v>
      </c>
      <c r="M380" s="166"/>
      <c r="N380" s="166"/>
      <c r="O380" s="164">
        <f t="shared" si="37"/>
        <v>0</v>
      </c>
      <c r="P380" s="166">
        <v>10</v>
      </c>
      <c r="Q380" s="166">
        <v>1</v>
      </c>
      <c r="R380" s="164">
        <f>$L380*'Pivot Objective'!$C$9*P380*Q380</f>
        <v>91433.687760000001</v>
      </c>
      <c r="S380" s="166">
        <v>0</v>
      </c>
      <c r="T380" s="166">
        <v>0</v>
      </c>
      <c r="U380" s="164">
        <f>($L380*'Pivot Objective'!$C$9^2)*S380*T380</f>
        <v>0</v>
      </c>
      <c r="V380" s="166">
        <v>0</v>
      </c>
      <c r="W380" s="166">
        <v>0</v>
      </c>
      <c r="X380" s="164">
        <f>($L380*'Pivot Objective'!$C$9^3)*V380*W380</f>
        <v>0</v>
      </c>
      <c r="Y380" s="166">
        <v>10</v>
      </c>
      <c r="Z380" s="166">
        <v>1</v>
      </c>
      <c r="AA380" s="164">
        <f>($L380*'Pivot Objective'!$C$9^4)*Y380*Z380</f>
        <v>136507.01952702377</v>
      </c>
      <c r="AB380" s="140"/>
      <c r="AC380" s="140"/>
      <c r="AD380" s="164">
        <f>($L380*'Pivot Objective'!$C$9^5)*AB380*AC380</f>
        <v>0</v>
      </c>
      <c r="AE380" s="140"/>
      <c r="AF380" s="140"/>
      <c r="AG380" s="164">
        <f>($L380*'Pivot Objective'!$C$9^6)*AE380*AF380</f>
        <v>0</v>
      </c>
      <c r="AH380" s="166">
        <v>10</v>
      </c>
      <c r="AI380" s="166">
        <v>1</v>
      </c>
      <c r="AJ380" s="164">
        <f>($L380*'Pivot Objective'!$C$9^7)*AH380*AI380</f>
        <v>203799.79017212125</v>
      </c>
      <c r="AK380" s="185">
        <f t="shared" si="38"/>
        <v>431740.49745914503</v>
      </c>
      <c r="AL380" s="186">
        <f t="shared" si="39"/>
        <v>419.16553151373301</v>
      </c>
    </row>
    <row r="381" spans="1:38" customFormat="1" ht="72" x14ac:dyDescent="0.3">
      <c r="A381" s="140" t="s">
        <v>1441</v>
      </c>
      <c r="B381" s="140">
        <v>1</v>
      </c>
      <c r="C381" s="166" t="s">
        <v>836</v>
      </c>
      <c r="D381" s="140" t="str">
        <f t="shared" si="34"/>
        <v>2</v>
      </c>
      <c r="E381" s="166" t="s">
        <v>992</v>
      </c>
      <c r="F381" s="140">
        <f t="shared" si="43"/>
        <v>1</v>
      </c>
      <c r="G381" s="140" t="str">
        <f t="shared" si="36"/>
        <v>1.2.1</v>
      </c>
      <c r="H381" s="166" t="s">
        <v>993</v>
      </c>
      <c r="I381" s="166" t="s">
        <v>994</v>
      </c>
      <c r="J381" s="166" t="s">
        <v>998</v>
      </c>
      <c r="K381" s="166" t="s">
        <v>710</v>
      </c>
      <c r="L381" s="167">
        <v>104850</v>
      </c>
      <c r="M381" s="166">
        <v>1</v>
      </c>
      <c r="N381" s="166">
        <v>1</v>
      </c>
      <c r="O381" s="164">
        <f t="shared" si="37"/>
        <v>104850</v>
      </c>
      <c r="P381" s="166">
        <v>1</v>
      </c>
      <c r="Q381" s="166">
        <v>1</v>
      </c>
      <c r="R381" s="164">
        <f>$L381*'Pivot Objective'!$C$9*P381*Q381</f>
        <v>119835.27702044998</v>
      </c>
      <c r="S381" s="166">
        <v>0</v>
      </c>
      <c r="T381" s="166">
        <v>0</v>
      </c>
      <c r="U381" s="164">
        <f>($L381*'Pivot Objective'!$C$9^2)*S381*T381</f>
        <v>0</v>
      </c>
      <c r="V381" s="166">
        <v>0</v>
      </c>
      <c r="W381" s="166">
        <v>0</v>
      </c>
      <c r="X381" s="164">
        <f>($L381*'Pivot Objective'!$C$9^3)*V381*W381</f>
        <v>0</v>
      </c>
      <c r="Y381" s="166">
        <v>1</v>
      </c>
      <c r="Z381" s="166">
        <v>1</v>
      </c>
      <c r="AA381" s="164">
        <f>($L381*'Pivot Objective'!$C$9^4)*Y381*Z381</f>
        <v>178909.51246760553</v>
      </c>
      <c r="AB381" s="140"/>
      <c r="AC381" s="140"/>
      <c r="AD381" s="164">
        <f>($L381*'Pivot Objective'!$C$9^5)*AB381*AC381</f>
        <v>0</v>
      </c>
      <c r="AE381" s="140"/>
      <c r="AF381" s="140"/>
      <c r="AG381" s="164">
        <f>($L381*'Pivot Objective'!$C$9^6)*AE381*AF381</f>
        <v>0</v>
      </c>
      <c r="AH381" s="166">
        <v>1</v>
      </c>
      <c r="AI381" s="166">
        <v>1</v>
      </c>
      <c r="AJ381" s="164">
        <f>($L381*'Pivot Objective'!$C$9^7)*AH381*AI381</f>
        <v>267105.09999433643</v>
      </c>
      <c r="AK381" s="185">
        <f t="shared" si="38"/>
        <v>670699.889482392</v>
      </c>
      <c r="AL381" s="186">
        <f t="shared" si="39"/>
        <v>651.16494124504072</v>
      </c>
    </row>
    <row r="382" spans="1:38" customFormat="1" ht="72" x14ac:dyDescent="0.3">
      <c r="A382" s="140" t="s">
        <v>1441</v>
      </c>
      <c r="B382" s="140">
        <v>1</v>
      </c>
      <c r="C382" s="166" t="s">
        <v>836</v>
      </c>
      <c r="D382" s="140" t="str">
        <f t="shared" si="34"/>
        <v>2</v>
      </c>
      <c r="E382" s="166" t="s">
        <v>992</v>
      </c>
      <c r="F382" s="140">
        <f t="shared" si="43"/>
        <v>1</v>
      </c>
      <c r="G382" s="140" t="str">
        <f t="shared" si="36"/>
        <v>1.2.1</v>
      </c>
      <c r="H382" s="166" t="s">
        <v>993</v>
      </c>
      <c r="I382" s="166" t="s">
        <v>994</v>
      </c>
      <c r="J382" s="166" t="s">
        <v>998</v>
      </c>
      <c r="K382" s="166" t="s">
        <v>712</v>
      </c>
      <c r="L382" s="167">
        <f>1480/7</f>
        <v>211.42857142857142</v>
      </c>
      <c r="M382" s="166"/>
      <c r="N382" s="166"/>
      <c r="O382" s="164">
        <f t="shared" si="37"/>
        <v>0</v>
      </c>
      <c r="P382" s="166">
        <v>58</v>
      </c>
      <c r="Q382" s="166">
        <v>10</v>
      </c>
      <c r="R382" s="164">
        <f>$L382*'Pivot Objective'!$C$9*P382*Q382</f>
        <v>140154.78138068569</v>
      </c>
      <c r="S382" s="166">
        <v>0</v>
      </c>
      <c r="T382" s="166">
        <v>0</v>
      </c>
      <c r="U382" s="164">
        <f>($L382*'Pivot Objective'!$C$9^2)*S382*T382</f>
        <v>0</v>
      </c>
      <c r="V382" s="166">
        <v>0</v>
      </c>
      <c r="W382" s="166">
        <v>0</v>
      </c>
      <c r="X382" s="164">
        <f>($L382*'Pivot Objective'!$C$9^3)*V382*W382</f>
        <v>0</v>
      </c>
      <c r="Y382" s="166">
        <v>58</v>
      </c>
      <c r="Z382" s="166">
        <v>10</v>
      </c>
      <c r="AA382" s="164">
        <f>($L382*'Pivot Objective'!$C$9^4)*Y382*Z382</f>
        <v>209245.75993213785</v>
      </c>
      <c r="AB382" s="140"/>
      <c r="AC382" s="140"/>
      <c r="AD382" s="164">
        <f>($L382*'Pivot Objective'!$C$9^5)*AB382*AC382</f>
        <v>0</v>
      </c>
      <c r="AE382" s="140"/>
      <c r="AF382" s="140"/>
      <c r="AG382" s="164">
        <f>($L382*'Pivot Objective'!$C$9^6)*AE382*AF382</f>
        <v>0</v>
      </c>
      <c r="AH382" s="166">
        <v>58</v>
      </c>
      <c r="AI382" s="166">
        <v>10</v>
      </c>
      <c r="AJ382" s="164">
        <f>($L382*'Pivot Objective'!$C$9^7)*AH382*AI382</f>
        <v>312395.96407812298</v>
      </c>
      <c r="AK382" s="185">
        <f t="shared" si="38"/>
        <v>661796.50539094652</v>
      </c>
      <c r="AL382" s="186">
        <f t="shared" si="39"/>
        <v>642.52087902033645</v>
      </c>
    </row>
    <row r="383" spans="1:38" customFormat="1" ht="72" x14ac:dyDescent="0.3">
      <c r="A383" s="140" t="s">
        <v>1441</v>
      </c>
      <c r="B383" s="140">
        <v>1</v>
      </c>
      <c r="C383" s="166" t="s">
        <v>836</v>
      </c>
      <c r="D383" s="140" t="str">
        <f t="shared" si="34"/>
        <v>2</v>
      </c>
      <c r="E383" s="166" t="s">
        <v>992</v>
      </c>
      <c r="F383" s="140">
        <f t="shared" si="43"/>
        <v>1</v>
      </c>
      <c r="G383" s="140" t="str">
        <f t="shared" si="36"/>
        <v>1.2.1</v>
      </c>
      <c r="H383" s="166" t="s">
        <v>993</v>
      </c>
      <c r="I383" s="166" t="s">
        <v>994</v>
      </c>
      <c r="J383" s="166" t="s">
        <v>998</v>
      </c>
      <c r="K383" s="166" t="s">
        <v>1299</v>
      </c>
      <c r="L383" s="167">
        <f>1480/7</f>
        <v>211.42857142857142</v>
      </c>
      <c r="M383" s="166"/>
      <c r="N383" s="166"/>
      <c r="O383" s="164">
        <f t="shared" si="37"/>
        <v>0</v>
      </c>
      <c r="P383" s="166">
        <v>22500</v>
      </c>
      <c r="Q383" s="166">
        <v>10</v>
      </c>
      <c r="R383" s="164">
        <f>$L383*'Pivot Objective'!$C$9*P383*Q383</f>
        <v>54370389.328714281</v>
      </c>
      <c r="S383" s="166"/>
      <c r="T383" s="166"/>
      <c r="U383" s="164">
        <f>($L383*'Pivot Objective'!$C$9^2)*S383*T383</f>
        <v>0</v>
      </c>
      <c r="V383" s="166"/>
      <c r="W383" s="166"/>
      <c r="X383" s="164">
        <f>($L383*'Pivot Objective'!$C$9^3)*V383*W383</f>
        <v>0</v>
      </c>
      <c r="Y383" s="166">
        <v>22500</v>
      </c>
      <c r="Z383" s="166">
        <v>10</v>
      </c>
      <c r="AA383" s="164">
        <f>($L383*'Pivot Objective'!$C$9^4)*Y383*Z383</f>
        <v>81172924.111605197</v>
      </c>
      <c r="AB383" s="140"/>
      <c r="AC383" s="140"/>
      <c r="AD383" s="164">
        <f>($L383*'Pivot Objective'!$C$9^5)*AB383*AC383</f>
        <v>0</v>
      </c>
      <c r="AE383" s="140"/>
      <c r="AF383" s="140"/>
      <c r="AG383" s="164">
        <f>($L383*'Pivot Objective'!$C$9^6)*AE383*AF383</f>
        <v>0</v>
      </c>
      <c r="AH383" s="166">
        <v>22500</v>
      </c>
      <c r="AI383" s="166">
        <v>10</v>
      </c>
      <c r="AJ383" s="164">
        <f>($L383*'Pivot Objective'!$C$9^7)*AH383*AI383</f>
        <v>121188089.51306494</v>
      </c>
      <c r="AK383" s="185">
        <f t="shared" si="38"/>
        <v>256731402.9533844</v>
      </c>
      <c r="AL383" s="186">
        <f t="shared" si="39"/>
        <v>249253.78927513049</v>
      </c>
    </row>
    <row r="384" spans="1:38" customFormat="1" ht="57.6" x14ac:dyDescent="0.3">
      <c r="A384" s="140" t="s">
        <v>1441</v>
      </c>
      <c r="B384" s="140">
        <v>1</v>
      </c>
      <c r="C384" s="166" t="s">
        <v>836</v>
      </c>
      <c r="D384" s="140" t="str">
        <f t="shared" si="34"/>
        <v>2</v>
      </c>
      <c r="E384" s="166" t="s">
        <v>992</v>
      </c>
      <c r="F384" s="140">
        <f t="shared" si="43"/>
        <v>2</v>
      </c>
      <c r="G384" s="140" t="str">
        <f t="shared" si="36"/>
        <v>1.2.2</v>
      </c>
      <c r="H384" s="166" t="s">
        <v>999</v>
      </c>
      <c r="I384" s="166" t="s">
        <v>1000</v>
      </c>
      <c r="J384" s="166" t="s">
        <v>1001</v>
      </c>
      <c r="K384" s="166" t="s">
        <v>841</v>
      </c>
      <c r="L384" s="167">
        <v>0</v>
      </c>
      <c r="M384" s="166">
        <v>20000</v>
      </c>
      <c r="N384" s="166">
        <v>1</v>
      </c>
      <c r="O384" s="164">
        <f t="shared" si="37"/>
        <v>0</v>
      </c>
      <c r="P384" s="166">
        <v>0</v>
      </c>
      <c r="Q384" s="166">
        <v>0</v>
      </c>
      <c r="R384" s="164">
        <f>$L384*'Pivot Objective'!$C$9*P384*Q384</f>
        <v>0</v>
      </c>
      <c r="S384" s="166">
        <v>0</v>
      </c>
      <c r="T384" s="166">
        <v>0</v>
      </c>
      <c r="U384" s="164">
        <f>($L384*'Pivot Objective'!$C$9^2)*S384*T384</f>
        <v>0</v>
      </c>
      <c r="V384" s="166">
        <v>20000</v>
      </c>
      <c r="W384" s="166">
        <v>1</v>
      </c>
      <c r="X384" s="164">
        <f>($L384*'Pivot Objective'!$C$9^3)*V384*W384</f>
        <v>0</v>
      </c>
      <c r="Y384" s="166">
        <v>0</v>
      </c>
      <c r="Z384" s="166">
        <v>0</v>
      </c>
      <c r="AA384" s="164">
        <f>($L384*'Pivot Objective'!$C$9^4)*Y384*Z384</f>
        <v>0</v>
      </c>
      <c r="AB384" s="166">
        <v>20000</v>
      </c>
      <c r="AC384" s="166">
        <v>1</v>
      </c>
      <c r="AD384" s="164">
        <f>($L384*'Pivot Objective'!$C$9^5)*AB384*AC384</f>
        <v>0</v>
      </c>
      <c r="AE384" s="166">
        <v>20000</v>
      </c>
      <c r="AF384" s="166">
        <v>1</v>
      </c>
      <c r="AG384" s="164">
        <f>($L384*'Pivot Objective'!$C$9^6)*AE384*AF384</f>
        <v>0</v>
      </c>
      <c r="AH384" s="140"/>
      <c r="AI384" s="140"/>
      <c r="AJ384" s="164">
        <f>($L384*'Pivot Objective'!$C$9^7)*AH384*AI384</f>
        <v>0</v>
      </c>
      <c r="AK384" s="185">
        <f t="shared" si="38"/>
        <v>0</v>
      </c>
      <c r="AL384" s="186">
        <f t="shared" si="39"/>
        <v>0</v>
      </c>
    </row>
    <row r="385" spans="1:38" customFormat="1" ht="57.6" x14ac:dyDescent="0.3">
      <c r="A385" s="140" t="s">
        <v>1441</v>
      </c>
      <c r="B385" s="140">
        <v>1</v>
      </c>
      <c r="C385" s="166" t="s">
        <v>836</v>
      </c>
      <c r="D385" s="140" t="str">
        <f t="shared" si="34"/>
        <v>2</v>
      </c>
      <c r="E385" s="166" t="s">
        <v>992</v>
      </c>
      <c r="F385" s="140">
        <f t="shared" si="43"/>
        <v>2</v>
      </c>
      <c r="G385" s="140" t="str">
        <f t="shared" si="36"/>
        <v>1.2.2</v>
      </c>
      <c r="H385" s="166" t="s">
        <v>999</v>
      </c>
      <c r="I385" s="166" t="s">
        <v>1000</v>
      </c>
      <c r="J385" s="166" t="s">
        <v>158</v>
      </c>
      <c r="K385" s="166" t="s">
        <v>718</v>
      </c>
      <c r="L385" s="167">
        <v>0</v>
      </c>
      <c r="M385" s="166">
        <v>0</v>
      </c>
      <c r="N385" s="166">
        <v>0</v>
      </c>
      <c r="O385" s="164">
        <f t="shared" si="37"/>
        <v>0</v>
      </c>
      <c r="P385" s="166">
        <v>0</v>
      </c>
      <c r="Q385" s="166">
        <v>0</v>
      </c>
      <c r="R385" s="164">
        <f>$L385*'Pivot Objective'!$C$9*P385*Q385</f>
        <v>0</v>
      </c>
      <c r="S385" s="166">
        <v>0</v>
      </c>
      <c r="T385" s="166">
        <v>0</v>
      </c>
      <c r="U385" s="164">
        <f>($L385*'Pivot Objective'!$C$9^2)*S385*T385</f>
        <v>0</v>
      </c>
      <c r="V385" s="166">
        <v>0</v>
      </c>
      <c r="W385" s="166">
        <v>0</v>
      </c>
      <c r="X385" s="164">
        <f>($L385*'Pivot Objective'!$C$9^3)*V385*W385</f>
        <v>0</v>
      </c>
      <c r="Y385" s="166">
        <v>0</v>
      </c>
      <c r="Z385" s="166">
        <v>0</v>
      </c>
      <c r="AA385" s="164">
        <f>($L385*'Pivot Objective'!$C$9^4)*Y385*Z385</f>
        <v>0</v>
      </c>
      <c r="AB385" s="166">
        <v>0</v>
      </c>
      <c r="AC385" s="166">
        <v>0</v>
      </c>
      <c r="AD385" s="164">
        <f>($L385*'Pivot Objective'!$C$9^5)*AB385*AC385</f>
        <v>0</v>
      </c>
      <c r="AE385" s="166">
        <v>0</v>
      </c>
      <c r="AF385" s="166">
        <v>0</v>
      </c>
      <c r="AG385" s="164">
        <f>($L385*'Pivot Objective'!$C$9^6)*AE385*AF385</f>
        <v>0</v>
      </c>
      <c r="AH385" s="140"/>
      <c r="AI385" s="140"/>
      <c r="AJ385" s="164">
        <f>($L385*'Pivot Objective'!$C$9^7)*AH385*AI385</f>
        <v>0</v>
      </c>
      <c r="AK385" s="185">
        <f t="shared" si="38"/>
        <v>0</v>
      </c>
      <c r="AL385" s="186">
        <f t="shared" si="39"/>
        <v>0</v>
      </c>
    </row>
    <row r="386" spans="1:38" customFormat="1" ht="57.6" x14ac:dyDescent="0.3">
      <c r="A386" s="140" t="s">
        <v>1441</v>
      </c>
      <c r="B386" s="140">
        <v>1</v>
      </c>
      <c r="C386" s="166" t="s">
        <v>836</v>
      </c>
      <c r="D386" s="140" t="str">
        <f t="shared" si="34"/>
        <v>2</v>
      </c>
      <c r="E386" s="166" t="s">
        <v>992</v>
      </c>
      <c r="F386" s="140">
        <f t="shared" si="43"/>
        <v>2</v>
      </c>
      <c r="G386" s="140" t="str">
        <f t="shared" si="36"/>
        <v>1.2.2</v>
      </c>
      <c r="H386" s="166" t="s">
        <v>999</v>
      </c>
      <c r="I386" s="166" t="s">
        <v>1000</v>
      </c>
      <c r="J386" s="166" t="s">
        <v>164</v>
      </c>
      <c r="K386" s="166" t="s">
        <v>718</v>
      </c>
      <c r="L386" s="167">
        <v>0</v>
      </c>
      <c r="M386" s="166">
        <v>0</v>
      </c>
      <c r="N386" s="166">
        <v>0</v>
      </c>
      <c r="O386" s="164">
        <f t="shared" si="37"/>
        <v>0</v>
      </c>
      <c r="P386" s="166">
        <v>0</v>
      </c>
      <c r="Q386" s="166">
        <v>0</v>
      </c>
      <c r="R386" s="164">
        <f>$L386*'Pivot Objective'!$C$9*P386*Q386</f>
        <v>0</v>
      </c>
      <c r="S386" s="166">
        <v>2</v>
      </c>
      <c r="T386" s="166">
        <v>2</v>
      </c>
      <c r="U386" s="164">
        <f>($L386*'Pivot Objective'!$C$9^2)*S386*T386</f>
        <v>0</v>
      </c>
      <c r="V386" s="166">
        <v>0</v>
      </c>
      <c r="W386" s="166">
        <v>0</v>
      </c>
      <c r="X386" s="164">
        <f>($L386*'Pivot Objective'!$C$9^3)*V386*W386</f>
        <v>0</v>
      </c>
      <c r="Y386" s="166">
        <v>0</v>
      </c>
      <c r="Z386" s="166">
        <v>0</v>
      </c>
      <c r="AA386" s="164">
        <f>($L386*'Pivot Objective'!$C$9^4)*Y386*Z386</f>
        <v>0</v>
      </c>
      <c r="AB386" s="166">
        <v>0</v>
      </c>
      <c r="AC386" s="166">
        <v>0</v>
      </c>
      <c r="AD386" s="164">
        <f>($L386*'Pivot Objective'!$C$9^5)*AB386*AC386</f>
        <v>0</v>
      </c>
      <c r="AE386" s="166">
        <v>0</v>
      </c>
      <c r="AF386" s="166">
        <v>0</v>
      </c>
      <c r="AG386" s="164">
        <f>($L386*'Pivot Objective'!$C$9^6)*AE386*AF386</f>
        <v>0</v>
      </c>
      <c r="AH386" s="140"/>
      <c r="AI386" s="140"/>
      <c r="AJ386" s="164">
        <f>($L386*'Pivot Objective'!$C$9^7)*AH386*AI386</f>
        <v>0</v>
      </c>
      <c r="AK386" s="185">
        <f t="shared" si="38"/>
        <v>0</v>
      </c>
      <c r="AL386" s="186">
        <f t="shared" si="39"/>
        <v>0</v>
      </c>
    </row>
    <row r="387" spans="1:38" customFormat="1" ht="57.6" x14ac:dyDescent="0.3">
      <c r="A387" s="140" t="s">
        <v>1441</v>
      </c>
      <c r="B387" s="140">
        <v>1</v>
      </c>
      <c r="C387" s="166" t="s">
        <v>836</v>
      </c>
      <c r="D387" s="140" t="str">
        <f t="shared" si="34"/>
        <v>2</v>
      </c>
      <c r="E387" s="166" t="s">
        <v>992</v>
      </c>
      <c r="F387" s="140">
        <f t="shared" si="43"/>
        <v>2</v>
      </c>
      <c r="G387" s="140" t="str">
        <f t="shared" si="36"/>
        <v>1.2.2</v>
      </c>
      <c r="H387" s="166" t="s">
        <v>999</v>
      </c>
      <c r="I387" s="166" t="s">
        <v>1000</v>
      </c>
      <c r="J387" s="166" t="s">
        <v>149</v>
      </c>
      <c r="K387" s="166" t="s">
        <v>707</v>
      </c>
      <c r="L387" s="167">
        <v>391991.03749999998</v>
      </c>
      <c r="M387" s="166">
        <v>2</v>
      </c>
      <c r="N387" s="166">
        <v>2</v>
      </c>
      <c r="O387" s="164">
        <f t="shared" ref="O387:O450" si="44">$L387*M387*N387</f>
        <v>1567964.15</v>
      </c>
      <c r="P387" s="166">
        <v>0</v>
      </c>
      <c r="Q387" s="166">
        <v>0</v>
      </c>
      <c r="R387" s="164">
        <f>$L387*'Pivot Objective'!$C$9*P387*Q387</f>
        <v>0</v>
      </c>
      <c r="S387" s="166">
        <v>1</v>
      </c>
      <c r="T387" s="166">
        <v>25</v>
      </c>
      <c r="U387" s="164">
        <f>($L387*'Pivot Objective'!$C$9^2)*S387*T387</f>
        <v>12801139.927067498</v>
      </c>
      <c r="V387" s="166">
        <v>2</v>
      </c>
      <c r="W387" s="166">
        <v>2</v>
      </c>
      <c r="X387" s="164">
        <f>($L387*'Pivot Objective'!$C$9^3)*V387*W387</f>
        <v>2340910.8621271173</v>
      </c>
      <c r="Y387" s="166">
        <v>0</v>
      </c>
      <c r="Z387" s="166">
        <v>0</v>
      </c>
      <c r="AA387" s="164">
        <f>($L387*'Pivot Objective'!$C$9^4)*Y387*Z387</f>
        <v>0</v>
      </c>
      <c r="AB387" s="166">
        <v>2</v>
      </c>
      <c r="AC387" s="166">
        <v>2</v>
      </c>
      <c r="AD387" s="164">
        <f>($L387*'Pivot Objective'!$C$9^5)*AB387*AC387</f>
        <v>3057858.4341109009</v>
      </c>
      <c r="AE387" s="166">
        <v>2</v>
      </c>
      <c r="AF387" s="166">
        <v>2</v>
      </c>
      <c r="AG387" s="164">
        <f>($L387*'Pivot Objective'!$C$9^6)*AE387*AF387</f>
        <v>3494890.915984733</v>
      </c>
      <c r="AH387" s="140"/>
      <c r="AI387" s="140"/>
      <c r="AJ387" s="164">
        <f>($L387*'Pivot Objective'!$C$9^7)*AH387*AI387</f>
        <v>0</v>
      </c>
      <c r="AK387" s="185">
        <f t="shared" ref="AK387:AK450" si="45">O387+R387+U387+X387+AA387+AD387+AG387+AJ387</f>
        <v>23262764.289290249</v>
      </c>
      <c r="AL387" s="186">
        <f t="shared" ref="AL387:AL450" si="46">AK387/$AP$2</f>
        <v>22585.208047854612</v>
      </c>
    </row>
    <row r="388" spans="1:38" customFormat="1" ht="57.6" x14ac:dyDescent="0.3">
      <c r="A388" s="140" t="s">
        <v>1441</v>
      </c>
      <c r="B388" s="140">
        <v>1</v>
      </c>
      <c r="C388" s="166" t="s">
        <v>836</v>
      </c>
      <c r="D388" s="140" t="str">
        <f t="shared" si="34"/>
        <v>2</v>
      </c>
      <c r="E388" s="166" t="s">
        <v>992</v>
      </c>
      <c r="F388" s="140">
        <f t="shared" si="43"/>
        <v>2</v>
      </c>
      <c r="G388" s="140" t="str">
        <f t="shared" si="36"/>
        <v>1.2.2</v>
      </c>
      <c r="H388" s="166" t="s">
        <v>999</v>
      </c>
      <c r="I388" s="166" t="s">
        <v>1000</v>
      </c>
      <c r="J388" s="166" t="s">
        <v>149</v>
      </c>
      <c r="K388" s="166" t="s">
        <v>708</v>
      </c>
      <c r="L388" s="167">
        <f>500*1022</f>
        <v>511000</v>
      </c>
      <c r="M388" s="166">
        <v>1</v>
      </c>
      <c r="N388" s="166">
        <v>25</v>
      </c>
      <c r="O388" s="164">
        <f t="shared" si="44"/>
        <v>12775000</v>
      </c>
      <c r="P388" s="166">
        <v>1</v>
      </c>
      <c r="Q388" s="166">
        <v>4</v>
      </c>
      <c r="R388" s="164">
        <f>$L388*'Pivot Objective'!$C$9*P388*Q388</f>
        <v>2336130.7222679998</v>
      </c>
      <c r="S388" s="166">
        <v>25</v>
      </c>
      <c r="T388" s="166">
        <v>5</v>
      </c>
      <c r="U388" s="164">
        <f>($L388*'Pivot Objective'!$C$9^2)*S388*T388</f>
        <v>83437908.994685769</v>
      </c>
      <c r="V388" s="166">
        <v>1</v>
      </c>
      <c r="W388" s="166">
        <v>25</v>
      </c>
      <c r="X388" s="164">
        <f>($L388*'Pivot Objective'!$C$9^3)*V388*W388</f>
        <v>19072589.295918483</v>
      </c>
      <c r="Y388" s="166">
        <v>0</v>
      </c>
      <c r="Z388" s="166">
        <v>0</v>
      </c>
      <c r="AA388" s="164">
        <f>($L388*'Pivot Objective'!$C$9^4)*Y388*Z388</f>
        <v>0</v>
      </c>
      <c r="AB388" s="166">
        <v>1</v>
      </c>
      <c r="AC388" s="166">
        <v>30</v>
      </c>
      <c r="AD388" s="164">
        <f>($L388*'Pivot Objective'!$C$9^5)*AB388*AC388</f>
        <v>29896710.198967312</v>
      </c>
      <c r="AE388" s="166">
        <v>1</v>
      </c>
      <c r="AF388" s="166">
        <v>25</v>
      </c>
      <c r="AG388" s="164">
        <f>($L388*'Pivot Objective'!$C$9^6)*AE388*AF388</f>
        <v>28474650.681079004</v>
      </c>
      <c r="AH388" s="140"/>
      <c r="AI388" s="140"/>
      <c r="AJ388" s="164">
        <f>($L388*'Pivot Objective'!$C$9^7)*AH388*AI388</f>
        <v>0</v>
      </c>
      <c r="AK388" s="185">
        <f t="shared" si="45"/>
        <v>175992989.89291856</v>
      </c>
      <c r="AL388" s="186">
        <f t="shared" si="46"/>
        <v>170866.98047856172</v>
      </c>
    </row>
    <row r="389" spans="1:38" customFormat="1" ht="57.6" x14ac:dyDescent="0.3">
      <c r="A389" s="140" t="s">
        <v>1441</v>
      </c>
      <c r="B389" s="140">
        <v>1</v>
      </c>
      <c r="C389" s="166" t="s">
        <v>836</v>
      </c>
      <c r="D389" s="140" t="str">
        <f t="shared" si="34"/>
        <v>2</v>
      </c>
      <c r="E389" s="166" t="s">
        <v>992</v>
      </c>
      <c r="F389" s="140">
        <f t="shared" si="43"/>
        <v>2</v>
      </c>
      <c r="G389" s="140" t="str">
        <f t="shared" si="36"/>
        <v>1.2.2</v>
      </c>
      <c r="H389" s="166" t="s">
        <v>999</v>
      </c>
      <c r="I389" s="166" t="s">
        <v>1000</v>
      </c>
      <c r="J389" s="166" t="s">
        <v>1002</v>
      </c>
      <c r="K389" s="166" t="s">
        <v>709</v>
      </c>
      <c r="L389" s="167">
        <v>35000</v>
      </c>
      <c r="M389" s="166">
        <v>25</v>
      </c>
      <c r="N389" s="166">
        <v>5</v>
      </c>
      <c r="O389" s="164">
        <f t="shared" si="44"/>
        <v>4375000</v>
      </c>
      <c r="P389" s="166">
        <v>1</v>
      </c>
      <c r="Q389" s="166">
        <v>40</v>
      </c>
      <c r="R389" s="164">
        <f>$L389*'Pivot Objective'!$C$9*P389*Q389</f>
        <v>1600089.5357999997</v>
      </c>
      <c r="S389" s="166">
        <v>25</v>
      </c>
      <c r="T389" s="166">
        <v>6</v>
      </c>
      <c r="U389" s="164">
        <f>($L389*'Pivot Objective'!$C$9^2)*S389*T389</f>
        <v>6857910.3283303371</v>
      </c>
      <c r="V389" s="166">
        <v>25</v>
      </c>
      <c r="W389" s="166">
        <v>5</v>
      </c>
      <c r="X389" s="164">
        <f>($L389*'Pivot Objective'!$C$9^3)*V389*W389</f>
        <v>6531708.6629857821</v>
      </c>
      <c r="Y389" s="166">
        <v>0</v>
      </c>
      <c r="Z389" s="166">
        <v>0</v>
      </c>
      <c r="AA389" s="164">
        <f>($L389*'Pivot Objective'!$C$9^4)*Y389*Z389</f>
        <v>0</v>
      </c>
      <c r="AB389" s="166">
        <v>25</v>
      </c>
      <c r="AC389" s="166">
        <v>5</v>
      </c>
      <c r="AD389" s="164">
        <f>($L389*'Pivot Objective'!$C$9^5)*AB389*AC389</f>
        <v>8532166.152673319</v>
      </c>
      <c r="AE389" s="166">
        <v>25</v>
      </c>
      <c r="AF389" s="166">
        <v>5</v>
      </c>
      <c r="AG389" s="164">
        <f>($L389*'Pivot Objective'!$C$9^6)*AE389*AF389</f>
        <v>9751592.6989996582</v>
      </c>
      <c r="AH389" s="140"/>
      <c r="AI389" s="140"/>
      <c r="AJ389" s="164">
        <f>($L389*'Pivot Objective'!$C$9^7)*AH389*AI389</f>
        <v>0</v>
      </c>
      <c r="AK389" s="185">
        <f t="shared" si="45"/>
        <v>37648467.378789097</v>
      </c>
      <c r="AL389" s="186">
        <f t="shared" si="46"/>
        <v>36551.91007649427</v>
      </c>
    </row>
    <row r="390" spans="1:38" customFormat="1" ht="57.6" x14ac:dyDescent="0.3">
      <c r="A390" s="140" t="s">
        <v>1441</v>
      </c>
      <c r="B390" s="140">
        <v>1</v>
      </c>
      <c r="C390" s="166" t="s">
        <v>836</v>
      </c>
      <c r="D390" s="140" t="str">
        <f t="shared" si="34"/>
        <v>2</v>
      </c>
      <c r="E390" s="166" t="s">
        <v>992</v>
      </c>
      <c r="F390" s="140">
        <f t="shared" si="43"/>
        <v>2</v>
      </c>
      <c r="G390" s="140" t="str">
        <f t="shared" si="36"/>
        <v>1.2.2</v>
      </c>
      <c r="H390" s="166" t="s">
        <v>999</v>
      </c>
      <c r="I390" s="166" t="s">
        <v>1000</v>
      </c>
      <c r="J390" s="166" t="s">
        <v>1002</v>
      </c>
      <c r="K390" s="166" t="s">
        <v>716</v>
      </c>
      <c r="L390" s="167">
        <v>39000</v>
      </c>
      <c r="M390" s="166">
        <v>25</v>
      </c>
      <c r="N390" s="166">
        <v>6</v>
      </c>
      <c r="O390" s="164">
        <f t="shared" si="44"/>
        <v>5850000</v>
      </c>
      <c r="P390" s="166"/>
      <c r="Q390" s="166"/>
      <c r="R390" s="164">
        <f>$L390*'Pivot Objective'!$C$9*P390*Q390</f>
        <v>0</v>
      </c>
      <c r="S390" s="166">
        <f>135*2*9</f>
        <v>2430</v>
      </c>
      <c r="T390" s="166">
        <v>1</v>
      </c>
      <c r="U390" s="164">
        <f>($L390*'Pivot Objective'!$C$9^2)*S390*T390</f>
        <v>123795078.44111733</v>
      </c>
      <c r="V390" s="166">
        <v>25</v>
      </c>
      <c r="W390" s="166">
        <v>6</v>
      </c>
      <c r="X390" s="164">
        <f>($L390*'Pivot Objective'!$C$9^3)*V390*W390</f>
        <v>8733827.5836495608</v>
      </c>
      <c r="Y390" s="166"/>
      <c r="Z390" s="166"/>
      <c r="AA390" s="164">
        <f>($L390*'Pivot Objective'!$C$9^4)*Y390*Z390</f>
        <v>0</v>
      </c>
      <c r="AB390" s="166">
        <v>25</v>
      </c>
      <c r="AC390" s="166">
        <v>6</v>
      </c>
      <c r="AD390" s="164">
        <f>($L390*'Pivot Objective'!$C$9^5)*AB390*AC390</f>
        <v>11408725.027003182</v>
      </c>
      <c r="AE390" s="166">
        <v>25</v>
      </c>
      <c r="AF390" s="166">
        <v>6</v>
      </c>
      <c r="AG390" s="164">
        <f>($L390*'Pivot Objective'!$C$9^6)*AE390*AF390</f>
        <v>13039272.523233831</v>
      </c>
      <c r="AH390" s="140"/>
      <c r="AI390" s="140"/>
      <c r="AJ390" s="164">
        <f>($L390*'Pivot Objective'!$C$9^7)*AH390*AI390</f>
        <v>0</v>
      </c>
      <c r="AK390" s="185">
        <f t="shared" si="45"/>
        <v>162826903.57500389</v>
      </c>
      <c r="AL390" s="186">
        <f t="shared" si="46"/>
        <v>158084.3724029164</v>
      </c>
    </row>
    <row r="391" spans="1:38" customFormat="1" ht="57.6" x14ac:dyDescent="0.3">
      <c r="A391" s="140" t="s">
        <v>1441</v>
      </c>
      <c r="B391" s="140">
        <v>1</v>
      </c>
      <c r="C391" s="166" t="s">
        <v>836</v>
      </c>
      <c r="D391" s="140" t="str">
        <f t="shared" si="34"/>
        <v>2</v>
      </c>
      <c r="E391" s="166" t="s">
        <v>992</v>
      </c>
      <c r="F391" s="140">
        <f t="shared" si="43"/>
        <v>2</v>
      </c>
      <c r="G391" s="140" t="str">
        <f t="shared" si="36"/>
        <v>1.2.2</v>
      </c>
      <c r="H391" s="166" t="s">
        <v>999</v>
      </c>
      <c r="I391" s="166" t="s">
        <v>1000</v>
      </c>
      <c r="J391" s="166" t="s">
        <v>1002</v>
      </c>
      <c r="K391" s="166" t="s">
        <v>1299</v>
      </c>
      <c r="L391" s="167">
        <f>1480/7</f>
        <v>211.42857142857142</v>
      </c>
      <c r="M391" s="166">
        <f>135*2*9</f>
        <v>2430</v>
      </c>
      <c r="N391" s="166">
        <v>1</v>
      </c>
      <c r="O391" s="164">
        <f t="shared" si="44"/>
        <v>513771.42857142852</v>
      </c>
      <c r="P391" s="166"/>
      <c r="Q391" s="166"/>
      <c r="R391" s="164">
        <f>$L391*'Pivot Objective'!$C$9*P391*Q391</f>
        <v>0</v>
      </c>
      <c r="S391" s="166">
        <f>25*2*9</f>
        <v>450</v>
      </c>
      <c r="T391" s="166">
        <v>5</v>
      </c>
      <c r="U391" s="164">
        <f>($L391*'Pivot Objective'!$C$9^2)*S391*T391</f>
        <v>621410.65015891218</v>
      </c>
      <c r="V391" s="166">
        <f>135*2*9</f>
        <v>2430</v>
      </c>
      <c r="W391" s="166">
        <v>1</v>
      </c>
      <c r="X391" s="164">
        <f>($L391*'Pivot Objective'!$C$9^3)*V391*W391</f>
        <v>767041.20932447549</v>
      </c>
      <c r="Y391" s="166"/>
      <c r="Z391" s="166"/>
      <c r="AA391" s="164">
        <f>($L391*'Pivot Objective'!$C$9^4)*Y391*Z391</f>
        <v>0</v>
      </c>
      <c r="AB391" s="166">
        <f>135*2*9</f>
        <v>2430</v>
      </c>
      <c r="AC391" s="166">
        <v>1</v>
      </c>
      <c r="AD391" s="164">
        <f>($L391*'Pivot Objective'!$C$9^5)*AB391*AC391</f>
        <v>1001961.8727012025</v>
      </c>
      <c r="AE391" s="166">
        <f>135*2*9</f>
        <v>2430</v>
      </c>
      <c r="AF391" s="166">
        <v>1</v>
      </c>
      <c r="AG391" s="164">
        <f>($L391*'Pivot Objective'!$C$9^6)*AE391*AF391</f>
        <v>1145163.3626998325</v>
      </c>
      <c r="AH391" s="140"/>
      <c r="AI391" s="140"/>
      <c r="AJ391" s="164">
        <f>($L391*'Pivot Objective'!$C$9^7)*AH391*AI391</f>
        <v>0</v>
      </c>
      <c r="AK391" s="185">
        <f t="shared" si="45"/>
        <v>4049348.5234558508</v>
      </c>
      <c r="AL391" s="186">
        <f t="shared" si="46"/>
        <v>3931.4063334522825</v>
      </c>
    </row>
    <row r="392" spans="1:38" customFormat="1" ht="57.6" x14ac:dyDescent="0.3">
      <c r="A392" s="140" t="s">
        <v>1441</v>
      </c>
      <c r="B392" s="140">
        <v>1</v>
      </c>
      <c r="C392" s="166" t="s">
        <v>836</v>
      </c>
      <c r="D392" s="140" t="str">
        <f t="shared" si="34"/>
        <v>2</v>
      </c>
      <c r="E392" s="166" t="s">
        <v>992</v>
      </c>
      <c r="F392" s="140">
        <f t="shared" si="43"/>
        <v>2</v>
      </c>
      <c r="G392" s="140" t="str">
        <f t="shared" si="36"/>
        <v>1.2.2</v>
      </c>
      <c r="H392" s="166" t="s">
        <v>999</v>
      </c>
      <c r="I392" s="166" t="s">
        <v>1000</v>
      </c>
      <c r="J392" s="166" t="s">
        <v>1002</v>
      </c>
      <c r="K392" s="166" t="s">
        <v>712</v>
      </c>
      <c r="L392" s="167">
        <f>1480/7</f>
        <v>211.42857142857142</v>
      </c>
      <c r="M392" s="166">
        <f>25*2*9</f>
        <v>450</v>
      </c>
      <c r="N392" s="166">
        <v>5</v>
      </c>
      <c r="O392" s="164">
        <f t="shared" si="44"/>
        <v>475714.28571428568</v>
      </c>
      <c r="P392" s="166"/>
      <c r="Q392" s="166"/>
      <c r="R392" s="164">
        <f>$L392*'Pivot Objective'!$C$9*P392*Q392</f>
        <v>0</v>
      </c>
      <c r="S392" s="166">
        <v>0</v>
      </c>
      <c r="T392" s="166">
        <v>0</v>
      </c>
      <c r="U392" s="164">
        <f>($L392*'Pivot Objective'!$C$9^2)*S392*T392</f>
        <v>0</v>
      </c>
      <c r="V392" s="166">
        <f>25*2*9</f>
        <v>450</v>
      </c>
      <c r="W392" s="166">
        <v>5</v>
      </c>
      <c r="X392" s="164">
        <f>($L392*'Pivot Objective'!$C$9^3)*V392*W392</f>
        <v>710223.34196710703</v>
      </c>
      <c r="Y392" s="166"/>
      <c r="Z392" s="166"/>
      <c r="AA392" s="164">
        <f>($L392*'Pivot Objective'!$C$9^4)*Y392*Z392</f>
        <v>0</v>
      </c>
      <c r="AB392" s="166">
        <f>25*2*9</f>
        <v>450</v>
      </c>
      <c r="AC392" s="166">
        <v>5</v>
      </c>
      <c r="AD392" s="164">
        <f>($L392*'Pivot Objective'!$C$9^5)*AB392*AC392</f>
        <v>927742.47472333559</v>
      </c>
      <c r="AE392" s="166">
        <f>25*2*9</f>
        <v>450</v>
      </c>
      <c r="AF392" s="166">
        <v>5</v>
      </c>
      <c r="AG392" s="164">
        <f>($L392*'Pivot Objective'!$C$9^6)*AE392*AF392</f>
        <v>1060336.4469442894</v>
      </c>
      <c r="AH392" s="140"/>
      <c r="AI392" s="140"/>
      <c r="AJ392" s="164">
        <f>($L392*'Pivot Objective'!$C$9^7)*AH392*AI392</f>
        <v>0</v>
      </c>
      <c r="AK392" s="185">
        <f t="shared" si="45"/>
        <v>3174016.5493490179</v>
      </c>
      <c r="AL392" s="186">
        <f t="shared" si="46"/>
        <v>3081.5694653873961</v>
      </c>
    </row>
    <row r="393" spans="1:38" customFormat="1" ht="57.6" x14ac:dyDescent="0.3">
      <c r="A393" s="140" t="s">
        <v>1441</v>
      </c>
      <c r="B393" s="140">
        <v>1</v>
      </c>
      <c r="C393" s="166" t="s">
        <v>836</v>
      </c>
      <c r="D393" s="140" t="str">
        <f t="shared" si="34"/>
        <v>2</v>
      </c>
      <c r="E393" s="166" t="s">
        <v>992</v>
      </c>
      <c r="F393" s="140">
        <f t="shared" si="43"/>
        <v>2</v>
      </c>
      <c r="G393" s="140" t="str">
        <f t="shared" si="36"/>
        <v>1.2.2</v>
      </c>
      <c r="H393" s="166" t="s">
        <v>999</v>
      </c>
      <c r="I393" s="166" t="s">
        <v>1000</v>
      </c>
      <c r="J393" s="166" t="s">
        <v>912</v>
      </c>
      <c r="K393" s="166" t="s">
        <v>718</v>
      </c>
      <c r="L393" s="167">
        <v>0</v>
      </c>
      <c r="M393" s="166">
        <v>0</v>
      </c>
      <c r="N393" s="166">
        <v>0</v>
      </c>
      <c r="O393" s="164">
        <f t="shared" si="44"/>
        <v>0</v>
      </c>
      <c r="P393" s="166">
        <v>5</v>
      </c>
      <c r="Q393" s="166">
        <v>14</v>
      </c>
      <c r="R393" s="164">
        <f>$L393*'Pivot Objective'!$C$9*P393*Q393</f>
        <v>0</v>
      </c>
      <c r="S393" s="166">
        <v>25</v>
      </c>
      <c r="T393" s="166">
        <v>5</v>
      </c>
      <c r="U393" s="164">
        <f>($L393*'Pivot Objective'!$C$9^2)*S393*T393</f>
        <v>0</v>
      </c>
      <c r="V393" s="166">
        <v>0</v>
      </c>
      <c r="W393" s="166">
        <v>0</v>
      </c>
      <c r="X393" s="164">
        <f>($L393*'Pivot Objective'!$C$9^3)*V393*W393</f>
        <v>0</v>
      </c>
      <c r="Y393" s="166">
        <v>0</v>
      </c>
      <c r="Z393" s="166">
        <v>0</v>
      </c>
      <c r="AA393" s="164">
        <f>($L393*'Pivot Objective'!$C$9^4)*Y393*Z393</f>
        <v>0</v>
      </c>
      <c r="AB393" s="166">
        <v>0</v>
      </c>
      <c r="AC393" s="166">
        <v>0</v>
      </c>
      <c r="AD393" s="164">
        <f>($L393*'Pivot Objective'!$C$9^5)*AB393*AC393</f>
        <v>0</v>
      </c>
      <c r="AE393" s="166">
        <v>0</v>
      </c>
      <c r="AF393" s="166">
        <v>0</v>
      </c>
      <c r="AG393" s="164">
        <f>($L393*'Pivot Objective'!$C$9^6)*AE393*AF393</f>
        <v>0</v>
      </c>
      <c r="AH393" s="140"/>
      <c r="AI393" s="140"/>
      <c r="AJ393" s="164">
        <f>($L393*'Pivot Objective'!$C$9^7)*AH393*AI393</f>
        <v>0</v>
      </c>
      <c r="AK393" s="185">
        <f t="shared" si="45"/>
        <v>0</v>
      </c>
      <c r="AL393" s="186">
        <f t="shared" si="46"/>
        <v>0</v>
      </c>
    </row>
    <row r="394" spans="1:38" customFormat="1" ht="57.6" x14ac:dyDescent="0.3">
      <c r="A394" s="140" t="s">
        <v>1441</v>
      </c>
      <c r="B394" s="140">
        <v>1</v>
      </c>
      <c r="C394" s="166" t="s">
        <v>836</v>
      </c>
      <c r="D394" s="140" t="str">
        <f t="shared" si="34"/>
        <v>2</v>
      </c>
      <c r="E394" s="166" t="s">
        <v>992</v>
      </c>
      <c r="F394" s="140">
        <f t="shared" si="43"/>
        <v>2</v>
      </c>
      <c r="G394" s="140" t="str">
        <f t="shared" si="36"/>
        <v>1.2.2</v>
      </c>
      <c r="H394" s="166" t="s">
        <v>999</v>
      </c>
      <c r="I394" s="166" t="s">
        <v>1000</v>
      </c>
      <c r="J394" s="166" t="s">
        <v>971</v>
      </c>
      <c r="K394" s="166" t="s">
        <v>709</v>
      </c>
      <c r="L394" s="167">
        <v>35000</v>
      </c>
      <c r="M394" s="166">
        <v>25</v>
      </c>
      <c r="N394" s="166">
        <v>5</v>
      </c>
      <c r="O394" s="164">
        <f t="shared" si="44"/>
        <v>4375000</v>
      </c>
      <c r="P394" s="166">
        <v>15</v>
      </c>
      <c r="Q394" s="166">
        <v>1</v>
      </c>
      <c r="R394" s="164">
        <f>$L394*'Pivot Objective'!$C$9*P394*Q394</f>
        <v>600033.5759249999</v>
      </c>
      <c r="S394" s="166">
        <v>10</v>
      </c>
      <c r="T394" s="166">
        <v>1</v>
      </c>
      <c r="U394" s="164">
        <f>($L394*'Pivot Objective'!$C$9^2)*S394*T394</f>
        <v>457194.02188868908</v>
      </c>
      <c r="V394" s="166">
        <v>25</v>
      </c>
      <c r="W394" s="166">
        <v>5</v>
      </c>
      <c r="X394" s="164">
        <f>($L394*'Pivot Objective'!$C$9^3)*V394*W394</f>
        <v>6531708.6629857821</v>
      </c>
      <c r="Y394" s="166">
        <v>0</v>
      </c>
      <c r="Z394" s="166">
        <v>0</v>
      </c>
      <c r="AA394" s="164">
        <f>($L394*'Pivot Objective'!$C$9^4)*Y394*Z394</f>
        <v>0</v>
      </c>
      <c r="AB394" s="166">
        <v>25</v>
      </c>
      <c r="AC394" s="166">
        <v>5</v>
      </c>
      <c r="AD394" s="164">
        <f>($L394*'Pivot Objective'!$C$9^5)*AB394*AC394</f>
        <v>8532166.152673319</v>
      </c>
      <c r="AE394" s="166">
        <v>25</v>
      </c>
      <c r="AF394" s="166">
        <v>5</v>
      </c>
      <c r="AG394" s="164">
        <f>($L394*'Pivot Objective'!$C$9^6)*AE394*AF394</f>
        <v>9751592.6989996582</v>
      </c>
      <c r="AH394" s="140"/>
      <c r="AI394" s="140"/>
      <c r="AJ394" s="164">
        <f>($L394*'Pivot Objective'!$C$9^7)*AH394*AI394</f>
        <v>0</v>
      </c>
      <c r="AK394" s="185">
        <f t="shared" si="45"/>
        <v>30247695.112472448</v>
      </c>
      <c r="AL394" s="186">
        <f t="shared" si="46"/>
        <v>29366.694283953835</v>
      </c>
    </row>
    <row r="395" spans="1:38" customFormat="1" ht="57.6" x14ac:dyDescent="0.3">
      <c r="A395" s="140" t="s">
        <v>1441</v>
      </c>
      <c r="B395" s="140">
        <v>1</v>
      </c>
      <c r="C395" s="166" t="s">
        <v>836</v>
      </c>
      <c r="D395" s="140" t="str">
        <f t="shared" si="34"/>
        <v>2</v>
      </c>
      <c r="E395" s="166" t="s">
        <v>992</v>
      </c>
      <c r="F395" s="140">
        <f t="shared" si="43"/>
        <v>2</v>
      </c>
      <c r="G395" s="140" t="str">
        <f t="shared" si="36"/>
        <v>1.2.2</v>
      </c>
      <c r="H395" s="166" t="s">
        <v>999</v>
      </c>
      <c r="I395" s="166" t="s">
        <v>1000</v>
      </c>
      <c r="J395" s="166" t="s">
        <v>971</v>
      </c>
      <c r="K395" s="166" t="s">
        <v>1297</v>
      </c>
      <c r="L395" s="167">
        <v>8000</v>
      </c>
      <c r="M395" s="166">
        <v>10</v>
      </c>
      <c r="N395" s="166">
        <v>1</v>
      </c>
      <c r="O395" s="164">
        <f t="shared" si="44"/>
        <v>80000</v>
      </c>
      <c r="P395" s="166">
        <v>25</v>
      </c>
      <c r="Q395" s="166">
        <v>3</v>
      </c>
      <c r="R395" s="164">
        <f>$L395*'Pivot Objective'!$C$9*P395*Q395</f>
        <v>685752.65819999995</v>
      </c>
      <c r="S395" s="166">
        <v>1</v>
      </c>
      <c r="T395" s="166">
        <v>1</v>
      </c>
      <c r="U395" s="164">
        <f>($L395*'Pivot Objective'!$C$9^2)*S395*T395</f>
        <v>10450.149071741465</v>
      </c>
      <c r="V395" s="166">
        <v>10</v>
      </c>
      <c r="W395" s="166">
        <v>1</v>
      </c>
      <c r="X395" s="164">
        <f>($L395*'Pivot Objective'!$C$9^3)*V395*W395</f>
        <v>119436.95840888287</v>
      </c>
      <c r="Y395" s="166">
        <v>0</v>
      </c>
      <c r="Z395" s="166">
        <v>0</v>
      </c>
      <c r="AA395" s="164">
        <f>($L395*'Pivot Objective'!$C$9^4)*Y395*Z395</f>
        <v>0</v>
      </c>
      <c r="AB395" s="166">
        <v>10</v>
      </c>
      <c r="AC395" s="166">
        <v>1</v>
      </c>
      <c r="AD395" s="164">
        <f>($L395*'Pivot Objective'!$C$9^5)*AB395*AC395</f>
        <v>156016.75250602642</v>
      </c>
      <c r="AE395" s="166">
        <v>10</v>
      </c>
      <c r="AF395" s="166">
        <v>1</v>
      </c>
      <c r="AG395" s="164">
        <f>($L395*'Pivot Objective'!$C$9^6)*AE395*AF395</f>
        <v>178314.83792456522</v>
      </c>
      <c r="AH395" s="140"/>
      <c r="AI395" s="140"/>
      <c r="AJ395" s="164">
        <f>($L395*'Pivot Objective'!$C$9^7)*AH395*AI395</f>
        <v>0</v>
      </c>
      <c r="AK395" s="185">
        <f t="shared" si="45"/>
        <v>1229971.3561112159</v>
      </c>
      <c r="AL395" s="186">
        <f t="shared" si="46"/>
        <v>1194.1469476807922</v>
      </c>
    </row>
    <row r="396" spans="1:38" customFormat="1" ht="57.6" x14ac:dyDescent="0.3">
      <c r="A396" s="140" t="s">
        <v>1441</v>
      </c>
      <c r="B396" s="140">
        <v>1</v>
      </c>
      <c r="C396" s="166" t="s">
        <v>836</v>
      </c>
      <c r="D396" s="140" t="str">
        <f t="shared" si="34"/>
        <v>2</v>
      </c>
      <c r="E396" s="166" t="s">
        <v>992</v>
      </c>
      <c r="F396" s="140">
        <f t="shared" si="43"/>
        <v>2</v>
      </c>
      <c r="G396" s="140" t="str">
        <f t="shared" si="36"/>
        <v>1.2.2</v>
      </c>
      <c r="H396" s="166" t="s">
        <v>999</v>
      </c>
      <c r="I396" s="166" t="s">
        <v>1000</v>
      </c>
      <c r="J396" s="166" t="s">
        <v>971</v>
      </c>
      <c r="K396" s="166" t="s">
        <v>710</v>
      </c>
      <c r="L396" s="167">
        <v>104850</v>
      </c>
      <c r="M396" s="166">
        <v>1</v>
      </c>
      <c r="N396" s="166">
        <v>1</v>
      </c>
      <c r="O396" s="164">
        <f t="shared" si="44"/>
        <v>104850</v>
      </c>
      <c r="P396" s="166">
        <v>5000</v>
      </c>
      <c r="Q396" s="166">
        <v>1</v>
      </c>
      <c r="R396" s="164">
        <f>$L396*'Pivot Objective'!$C$9*P396*Q396</f>
        <v>599176385.10224986</v>
      </c>
      <c r="S396" s="166">
        <v>25</v>
      </c>
      <c r="T396" s="166">
        <v>5</v>
      </c>
      <c r="U396" s="164">
        <f>($L396*'Pivot Objective'!$C$9^2)*S396*T396</f>
        <v>17120283.283938948</v>
      </c>
      <c r="V396" s="166">
        <v>1</v>
      </c>
      <c r="W396" s="166">
        <v>1</v>
      </c>
      <c r="X396" s="164">
        <f>($L396*'Pivot Objective'!$C$9^3)*V396*W396</f>
        <v>156537.0636146421</v>
      </c>
      <c r="Y396" s="166">
        <v>0</v>
      </c>
      <c r="Z396" s="166">
        <v>0</v>
      </c>
      <c r="AA396" s="164">
        <f>($L396*'Pivot Objective'!$C$9^4)*Y396*Z396</f>
        <v>0</v>
      </c>
      <c r="AB396" s="166">
        <v>1</v>
      </c>
      <c r="AC396" s="166">
        <v>1</v>
      </c>
      <c r="AD396" s="164">
        <f>($L396*'Pivot Objective'!$C$9^5)*AB396*AC396</f>
        <v>204479.45625321087</v>
      </c>
      <c r="AE396" s="166">
        <v>1</v>
      </c>
      <c r="AF396" s="166">
        <v>1</v>
      </c>
      <c r="AG396" s="164">
        <f>($L396*'Pivot Objective'!$C$9^6)*AE396*AF396</f>
        <v>233703.88445488326</v>
      </c>
      <c r="AH396" s="140"/>
      <c r="AI396" s="140"/>
      <c r="AJ396" s="164">
        <f>($L396*'Pivot Objective'!$C$9^7)*AH396*AI396</f>
        <v>0</v>
      </c>
      <c r="AK396" s="185">
        <f t="shared" si="45"/>
        <v>616996238.79051149</v>
      </c>
      <c r="AL396" s="186">
        <f t="shared" si="46"/>
        <v>599025.4745538946</v>
      </c>
    </row>
    <row r="397" spans="1:38" customFormat="1" ht="57.6" x14ac:dyDescent="0.3">
      <c r="A397" s="140" t="s">
        <v>1441</v>
      </c>
      <c r="B397" s="140">
        <v>1</v>
      </c>
      <c r="C397" s="166" t="s">
        <v>836</v>
      </c>
      <c r="D397" s="140" t="str">
        <f t="shared" si="34"/>
        <v>2</v>
      </c>
      <c r="E397" s="166" t="s">
        <v>992</v>
      </c>
      <c r="F397" s="140">
        <f t="shared" si="43"/>
        <v>2</v>
      </c>
      <c r="G397" s="140" t="str">
        <f t="shared" si="36"/>
        <v>1.2.2</v>
      </c>
      <c r="H397" s="166" t="s">
        <v>999</v>
      </c>
      <c r="I397" s="166" t="s">
        <v>1000</v>
      </c>
      <c r="J397" s="166" t="s">
        <v>1003</v>
      </c>
      <c r="K397" s="166" t="s">
        <v>713</v>
      </c>
      <c r="L397" s="167">
        <v>45000</v>
      </c>
      <c r="M397" s="166">
        <v>25</v>
      </c>
      <c r="N397" s="166">
        <v>5</v>
      </c>
      <c r="O397" s="164">
        <f t="shared" si="44"/>
        <v>5625000</v>
      </c>
      <c r="P397" s="166">
        <v>1</v>
      </c>
      <c r="Q397" s="166">
        <v>1</v>
      </c>
      <c r="R397" s="164">
        <f>$L397*'Pivot Objective'!$C$9*P397*Q397</f>
        <v>51431.449364999993</v>
      </c>
      <c r="S397" s="166">
        <v>25</v>
      </c>
      <c r="T397" s="166">
        <v>10</v>
      </c>
      <c r="U397" s="164">
        <f>($L397*'Pivot Objective'!$C$9^2)*S397*T397</f>
        <v>14695522.132136438</v>
      </c>
      <c r="V397" s="166">
        <v>25</v>
      </c>
      <c r="W397" s="166">
        <v>5</v>
      </c>
      <c r="X397" s="164">
        <f>($L397*'Pivot Objective'!$C$9^3)*V397*W397</f>
        <v>8397911.1381245758</v>
      </c>
      <c r="Y397" s="166">
        <v>0</v>
      </c>
      <c r="Z397" s="166">
        <v>0</v>
      </c>
      <c r="AA397" s="164">
        <f>($L397*'Pivot Objective'!$C$9^4)*Y397*Z397</f>
        <v>0</v>
      </c>
      <c r="AB397" s="166">
        <v>25</v>
      </c>
      <c r="AC397" s="166">
        <v>5</v>
      </c>
      <c r="AD397" s="164">
        <f>($L397*'Pivot Objective'!$C$9^5)*AB397*AC397</f>
        <v>10969927.910579981</v>
      </c>
      <c r="AE397" s="166">
        <v>25</v>
      </c>
      <c r="AF397" s="166">
        <v>5</v>
      </c>
      <c r="AG397" s="164">
        <f>($L397*'Pivot Objective'!$C$9^6)*AE397*AF397</f>
        <v>12537762.041570991</v>
      </c>
      <c r="AH397" s="140"/>
      <c r="AI397" s="140"/>
      <c r="AJ397" s="164">
        <f>($L397*'Pivot Objective'!$C$9^7)*AH397*AI397</f>
        <v>0</v>
      </c>
      <c r="AK397" s="185">
        <f t="shared" si="45"/>
        <v>52277554.671776988</v>
      </c>
      <c r="AL397" s="186">
        <f t="shared" si="46"/>
        <v>50754.907448327169</v>
      </c>
    </row>
    <row r="398" spans="1:38" customFormat="1" ht="57.6" x14ac:dyDescent="0.3">
      <c r="A398" s="140" t="s">
        <v>1441</v>
      </c>
      <c r="B398" s="140">
        <v>1</v>
      </c>
      <c r="C398" s="166" t="s">
        <v>836</v>
      </c>
      <c r="D398" s="140" t="str">
        <f t="shared" si="34"/>
        <v>2</v>
      </c>
      <c r="E398" s="166" t="s">
        <v>992</v>
      </c>
      <c r="F398" s="140">
        <f t="shared" si="43"/>
        <v>2</v>
      </c>
      <c r="G398" s="140" t="str">
        <f t="shared" si="36"/>
        <v>1.2.2</v>
      </c>
      <c r="H398" s="166" t="s">
        <v>999</v>
      </c>
      <c r="I398" s="166" t="s">
        <v>1000</v>
      </c>
      <c r="J398" s="166" t="s">
        <v>1003</v>
      </c>
      <c r="K398" s="166" t="s">
        <v>712</v>
      </c>
      <c r="L398" s="167">
        <f>1480/7</f>
        <v>211.42857142857142</v>
      </c>
      <c r="M398" s="166">
        <v>25</v>
      </c>
      <c r="N398" s="166">
        <v>10</v>
      </c>
      <c r="O398" s="164">
        <f t="shared" si="44"/>
        <v>52857.142857142855</v>
      </c>
      <c r="P398" s="166">
        <v>25</v>
      </c>
      <c r="Q398" s="166">
        <v>1</v>
      </c>
      <c r="R398" s="164">
        <f>$L398*'Pivot Objective'!$C$9*P398*Q398</f>
        <v>6041.1543698571422</v>
      </c>
      <c r="S398" s="166">
        <v>22500</v>
      </c>
      <c r="T398" s="166">
        <v>5</v>
      </c>
      <c r="U398" s="164">
        <f>($L398*'Pivot Objective'!$C$9^2)*S398*T398</f>
        <v>31070532.507945605</v>
      </c>
      <c r="V398" s="166">
        <v>25</v>
      </c>
      <c r="W398" s="166">
        <v>10</v>
      </c>
      <c r="X398" s="164">
        <f>($L398*'Pivot Objective'!$C$9^3)*V398*W398</f>
        <v>78913.704663011886</v>
      </c>
      <c r="Y398" s="166">
        <v>0</v>
      </c>
      <c r="Z398" s="166">
        <v>0</v>
      </c>
      <c r="AA398" s="164">
        <f>($L398*'Pivot Objective'!$C$9^4)*Y398*Z398</f>
        <v>0</v>
      </c>
      <c r="AB398" s="166">
        <v>25</v>
      </c>
      <c r="AC398" s="166">
        <v>10</v>
      </c>
      <c r="AD398" s="164">
        <f>($L398*'Pivot Objective'!$C$9^5)*AB398*AC398</f>
        <v>103082.49719148174</v>
      </c>
      <c r="AE398" s="166">
        <v>25</v>
      </c>
      <c r="AF398" s="166">
        <v>10</v>
      </c>
      <c r="AG398" s="164">
        <f>($L398*'Pivot Objective'!$C$9^6)*AE398*AF398</f>
        <v>117815.1607715877</v>
      </c>
      <c r="AH398" s="140"/>
      <c r="AI398" s="140"/>
      <c r="AJ398" s="164">
        <f>($L398*'Pivot Objective'!$C$9^7)*AH398*AI398</f>
        <v>0</v>
      </c>
      <c r="AK398" s="185">
        <f t="shared" si="45"/>
        <v>31429242.167798683</v>
      </c>
      <c r="AL398" s="186">
        <f t="shared" si="46"/>
        <v>30513.827347377362</v>
      </c>
    </row>
    <row r="399" spans="1:38" customFormat="1" ht="57.6" x14ac:dyDescent="0.3">
      <c r="A399" s="140" t="s">
        <v>1441</v>
      </c>
      <c r="B399" s="140">
        <v>1</v>
      </c>
      <c r="C399" s="166" t="s">
        <v>836</v>
      </c>
      <c r="D399" s="140" t="str">
        <f t="shared" si="34"/>
        <v>2</v>
      </c>
      <c r="E399" s="166" t="s">
        <v>992</v>
      </c>
      <c r="F399" s="140">
        <f t="shared" ref="F399:F430" si="47">IF(H399=H398,F398,F398+1)</f>
        <v>2</v>
      </c>
      <c r="G399" s="140" t="str">
        <f t="shared" si="36"/>
        <v>1.2.2</v>
      </c>
      <c r="H399" s="166" t="s">
        <v>999</v>
      </c>
      <c r="I399" s="166" t="s">
        <v>1000</v>
      </c>
      <c r="J399" s="166" t="s">
        <v>1003</v>
      </c>
      <c r="K399" s="166" t="s">
        <v>1299</v>
      </c>
      <c r="L399" s="167">
        <f>1480/7</f>
        <v>211.42857142857142</v>
      </c>
      <c r="M399" s="166">
        <v>22500</v>
      </c>
      <c r="N399" s="166">
        <v>5</v>
      </c>
      <c r="O399" s="164">
        <f t="shared" si="44"/>
        <v>23785714.285714287</v>
      </c>
      <c r="P399" s="166"/>
      <c r="Q399" s="166"/>
      <c r="R399" s="164">
        <f>$L399*'Pivot Objective'!$C$9*P399*Q399</f>
        <v>0</v>
      </c>
      <c r="S399" s="166">
        <v>25</v>
      </c>
      <c r="T399" s="166">
        <v>5</v>
      </c>
      <c r="U399" s="164">
        <f>($L399*'Pivot Objective'!$C$9^2)*S399*T399</f>
        <v>34522.813897717344</v>
      </c>
      <c r="V399" s="166">
        <v>22500</v>
      </c>
      <c r="W399" s="166">
        <v>5</v>
      </c>
      <c r="X399" s="164">
        <f>($L399*'Pivot Objective'!$C$9^3)*V399*W399</f>
        <v>35511167.098355353</v>
      </c>
      <c r="Y399" s="166"/>
      <c r="Z399" s="166"/>
      <c r="AA399" s="164">
        <f>($L399*'Pivot Objective'!$C$9^4)*Y399*Z399</f>
        <v>0</v>
      </c>
      <c r="AB399" s="166">
        <v>22500</v>
      </c>
      <c r="AC399" s="166">
        <v>5</v>
      </c>
      <c r="AD399" s="164">
        <f>($L399*'Pivot Objective'!$C$9^5)*AB399*AC399</f>
        <v>46387123.736166775</v>
      </c>
      <c r="AE399" s="166">
        <v>22500</v>
      </c>
      <c r="AF399" s="166">
        <v>5</v>
      </c>
      <c r="AG399" s="164">
        <f>($L399*'Pivot Objective'!$C$9^6)*AE399*AF399</f>
        <v>53016822.347214475</v>
      </c>
      <c r="AH399" s="140"/>
      <c r="AI399" s="140"/>
      <c r="AJ399" s="164">
        <f>($L399*'Pivot Objective'!$C$9^7)*AH399*AI399</f>
        <v>0</v>
      </c>
      <c r="AK399" s="185">
        <f t="shared" si="45"/>
        <v>158735350.28134859</v>
      </c>
      <c r="AL399" s="186">
        <f t="shared" si="46"/>
        <v>154111.9905644161</v>
      </c>
    </row>
    <row r="400" spans="1:38" customFormat="1" ht="57.6" x14ac:dyDescent="0.3">
      <c r="A400" s="140" t="s">
        <v>1441</v>
      </c>
      <c r="B400" s="140">
        <v>1</v>
      </c>
      <c r="C400" s="166" t="s">
        <v>836</v>
      </c>
      <c r="D400" s="140" t="str">
        <f t="shared" si="34"/>
        <v>2</v>
      </c>
      <c r="E400" s="166" t="s">
        <v>992</v>
      </c>
      <c r="F400" s="140">
        <f t="shared" si="47"/>
        <v>2</v>
      </c>
      <c r="G400" s="140" t="str">
        <f t="shared" si="36"/>
        <v>1.2.2</v>
      </c>
      <c r="H400" s="166" t="s">
        <v>999</v>
      </c>
      <c r="I400" s="166" t="s">
        <v>1000</v>
      </c>
      <c r="J400" s="166" t="s">
        <v>157</v>
      </c>
      <c r="K400" s="166" t="s">
        <v>713</v>
      </c>
      <c r="L400" s="167">
        <v>45000</v>
      </c>
      <c r="M400" s="166">
        <v>25</v>
      </c>
      <c r="N400" s="166">
        <v>5</v>
      </c>
      <c r="O400" s="164">
        <f t="shared" si="44"/>
        <v>5625000</v>
      </c>
      <c r="P400" s="166">
        <v>4000</v>
      </c>
      <c r="Q400" s="166">
        <v>1</v>
      </c>
      <c r="R400" s="164">
        <f>$L400*'Pivot Objective'!$C$9*P400*Q400</f>
        <v>205725797.45999998</v>
      </c>
      <c r="S400" s="166">
        <v>25</v>
      </c>
      <c r="T400" s="166">
        <v>5</v>
      </c>
      <c r="U400" s="164">
        <f>($L400*'Pivot Objective'!$C$9^2)*S400*T400</f>
        <v>7347761.066068219</v>
      </c>
      <c r="V400" s="166">
        <v>25</v>
      </c>
      <c r="W400" s="166">
        <v>5</v>
      </c>
      <c r="X400" s="164">
        <f>($L400*'Pivot Objective'!$C$9^3)*V400*W400</f>
        <v>8397911.1381245758</v>
      </c>
      <c r="Y400" s="166">
        <v>0</v>
      </c>
      <c r="Z400" s="166">
        <v>0</v>
      </c>
      <c r="AA400" s="164">
        <f>($L400*'Pivot Objective'!$C$9^4)*Y400*Z400</f>
        <v>0</v>
      </c>
      <c r="AB400" s="166">
        <v>25</v>
      </c>
      <c r="AC400" s="166">
        <v>5</v>
      </c>
      <c r="AD400" s="164">
        <f>($L400*'Pivot Objective'!$C$9^5)*AB400*AC400</f>
        <v>10969927.910579981</v>
      </c>
      <c r="AE400" s="166">
        <v>25</v>
      </c>
      <c r="AF400" s="166">
        <v>5</v>
      </c>
      <c r="AG400" s="164">
        <f>($L400*'Pivot Objective'!$C$9^6)*AE400*AF400</f>
        <v>12537762.041570991</v>
      </c>
      <c r="AH400" s="140"/>
      <c r="AI400" s="140"/>
      <c r="AJ400" s="164">
        <f>($L400*'Pivot Objective'!$C$9^7)*AH400*AI400</f>
        <v>0</v>
      </c>
      <c r="AK400" s="185">
        <f t="shared" si="45"/>
        <v>250604159.61634377</v>
      </c>
      <c r="AL400" s="186">
        <f t="shared" si="46"/>
        <v>243305.00933625607</v>
      </c>
    </row>
    <row r="401" spans="1:38" customFormat="1" ht="57.6" x14ac:dyDescent="0.3">
      <c r="A401" s="140" t="s">
        <v>1441</v>
      </c>
      <c r="B401" s="140">
        <v>1</v>
      </c>
      <c r="C401" s="166" t="s">
        <v>836</v>
      </c>
      <c r="D401" s="140" t="str">
        <f t="shared" si="34"/>
        <v>2</v>
      </c>
      <c r="E401" s="166" t="s">
        <v>992</v>
      </c>
      <c r="F401" s="140">
        <f t="shared" si="47"/>
        <v>2</v>
      </c>
      <c r="G401" s="140" t="str">
        <f t="shared" si="36"/>
        <v>1.2.2</v>
      </c>
      <c r="H401" s="166" t="s">
        <v>999</v>
      </c>
      <c r="I401" s="166" t="s">
        <v>1000</v>
      </c>
      <c r="J401" s="166" t="s">
        <v>157</v>
      </c>
      <c r="K401" s="166" t="s">
        <v>712</v>
      </c>
      <c r="L401" s="167">
        <f>1480/7</f>
        <v>211.42857142857142</v>
      </c>
      <c r="M401" s="166">
        <v>25</v>
      </c>
      <c r="N401" s="166">
        <v>5</v>
      </c>
      <c r="O401" s="164">
        <f t="shared" si="44"/>
        <v>26428.571428571428</v>
      </c>
      <c r="P401" s="166">
        <v>25</v>
      </c>
      <c r="Q401" s="166">
        <v>10</v>
      </c>
      <c r="R401" s="164">
        <f>$L401*'Pivot Objective'!$C$9*P401*Q401</f>
        <v>60411.543698571419</v>
      </c>
      <c r="S401" s="166">
        <v>15</v>
      </c>
      <c r="T401" s="166">
        <v>1</v>
      </c>
      <c r="U401" s="164">
        <f>($L401*'Pivot Objective'!$C$9^2)*S401*T401</f>
        <v>4142.7376677260809</v>
      </c>
      <c r="V401" s="166">
        <v>25</v>
      </c>
      <c r="W401" s="166">
        <v>5</v>
      </c>
      <c r="X401" s="164">
        <f>($L401*'Pivot Objective'!$C$9^3)*V401*W401</f>
        <v>39456.852331505943</v>
      </c>
      <c r="Y401" s="166">
        <v>0</v>
      </c>
      <c r="Z401" s="166">
        <v>0</v>
      </c>
      <c r="AA401" s="164">
        <f>($L401*'Pivot Objective'!$C$9^4)*Y401*Z401</f>
        <v>0</v>
      </c>
      <c r="AB401" s="166">
        <v>25</v>
      </c>
      <c r="AC401" s="166">
        <v>5</v>
      </c>
      <c r="AD401" s="164">
        <f>($L401*'Pivot Objective'!$C$9^5)*AB401*AC401</f>
        <v>51541.248595740872</v>
      </c>
      <c r="AE401" s="166">
        <v>25</v>
      </c>
      <c r="AF401" s="166">
        <v>5</v>
      </c>
      <c r="AG401" s="164">
        <f>($L401*'Pivot Objective'!$C$9^6)*AE401*AF401</f>
        <v>58907.580385793852</v>
      </c>
      <c r="AH401" s="140"/>
      <c r="AI401" s="140"/>
      <c r="AJ401" s="164">
        <f>($L401*'Pivot Objective'!$C$9^7)*AH401*AI401</f>
        <v>0</v>
      </c>
      <c r="AK401" s="185">
        <f t="shared" si="45"/>
        <v>240888.53410790957</v>
      </c>
      <c r="AL401" s="186">
        <f t="shared" si="46"/>
        <v>233.87236321156269</v>
      </c>
    </row>
    <row r="402" spans="1:38" customFormat="1" ht="57.6" x14ac:dyDescent="0.3">
      <c r="A402" s="140" t="s">
        <v>1441</v>
      </c>
      <c r="B402" s="140">
        <v>1</v>
      </c>
      <c r="C402" s="166" t="s">
        <v>836</v>
      </c>
      <c r="D402" s="140" t="str">
        <f t="shared" si="34"/>
        <v>2</v>
      </c>
      <c r="E402" s="166" t="s">
        <v>992</v>
      </c>
      <c r="F402" s="140">
        <f t="shared" si="47"/>
        <v>2</v>
      </c>
      <c r="G402" s="140" t="str">
        <f t="shared" si="36"/>
        <v>1.2.2</v>
      </c>
      <c r="H402" s="166" t="s">
        <v>999</v>
      </c>
      <c r="I402" s="166" t="s">
        <v>1000</v>
      </c>
      <c r="J402" s="166" t="s">
        <v>157</v>
      </c>
      <c r="K402" s="166" t="s">
        <v>714</v>
      </c>
      <c r="L402" s="167">
        <v>10000</v>
      </c>
      <c r="M402" s="166">
        <v>15</v>
      </c>
      <c r="N402" s="166">
        <v>1</v>
      </c>
      <c r="O402" s="164">
        <f t="shared" si="44"/>
        <v>150000</v>
      </c>
      <c r="P402" s="166">
        <v>20000</v>
      </c>
      <c r="Q402" s="166">
        <v>1</v>
      </c>
      <c r="R402" s="164">
        <f>$L402*'Pivot Objective'!$C$9*P402*Q402</f>
        <v>228584219.39999998</v>
      </c>
      <c r="S402" s="166">
        <v>15</v>
      </c>
      <c r="T402" s="166">
        <v>1</v>
      </c>
      <c r="U402" s="164">
        <f>($L402*'Pivot Objective'!$C$9^2)*S402*T402</f>
        <v>195940.29509515248</v>
      </c>
      <c r="V402" s="166">
        <v>15</v>
      </c>
      <c r="W402" s="166">
        <v>1</v>
      </c>
      <c r="X402" s="164">
        <f>($L402*'Pivot Objective'!$C$9^3)*V402*W402</f>
        <v>223944.29701665539</v>
      </c>
      <c r="Y402" s="166">
        <v>0</v>
      </c>
      <c r="Z402" s="166">
        <v>0</v>
      </c>
      <c r="AA402" s="164">
        <f>($L402*'Pivot Objective'!$C$9^4)*Y402*Z402</f>
        <v>0</v>
      </c>
      <c r="AB402" s="166">
        <v>15</v>
      </c>
      <c r="AC402" s="166">
        <v>1</v>
      </c>
      <c r="AD402" s="164">
        <f>($L402*'Pivot Objective'!$C$9^5)*AB402*AC402</f>
        <v>292531.41094879952</v>
      </c>
      <c r="AE402" s="166">
        <v>15</v>
      </c>
      <c r="AF402" s="166">
        <v>1</v>
      </c>
      <c r="AG402" s="164">
        <f>($L402*'Pivot Objective'!$C$9^6)*AE402*AF402</f>
        <v>334340.32110855979</v>
      </c>
      <c r="AH402" s="140"/>
      <c r="AI402" s="140"/>
      <c r="AJ402" s="164">
        <f>($L402*'Pivot Objective'!$C$9^7)*AH402*AI402</f>
        <v>0</v>
      </c>
      <c r="AK402" s="185">
        <f t="shared" si="45"/>
        <v>229780975.72416914</v>
      </c>
      <c r="AL402" s="186">
        <f t="shared" si="46"/>
        <v>223088.32594579528</v>
      </c>
    </row>
    <row r="403" spans="1:38" customFormat="1" ht="57.6" x14ac:dyDescent="0.3">
      <c r="A403" s="140" t="s">
        <v>1441</v>
      </c>
      <c r="B403" s="140">
        <v>1</v>
      </c>
      <c r="C403" s="166" t="s">
        <v>836</v>
      </c>
      <c r="D403" s="140" t="str">
        <f t="shared" si="34"/>
        <v>2</v>
      </c>
      <c r="E403" s="166" t="s">
        <v>992</v>
      </c>
      <c r="F403" s="140">
        <f t="shared" si="47"/>
        <v>2</v>
      </c>
      <c r="G403" s="140" t="str">
        <f t="shared" si="36"/>
        <v>1.2.2</v>
      </c>
      <c r="H403" s="166" t="s">
        <v>999</v>
      </c>
      <c r="I403" s="166" t="s">
        <v>1000</v>
      </c>
      <c r="J403" s="166" t="s">
        <v>157</v>
      </c>
      <c r="K403" s="166" t="s">
        <v>715</v>
      </c>
      <c r="L403" s="167">
        <v>302000</v>
      </c>
      <c r="M403" s="166">
        <v>15</v>
      </c>
      <c r="N403" s="166">
        <v>1</v>
      </c>
      <c r="O403" s="164">
        <f t="shared" si="44"/>
        <v>4530000</v>
      </c>
      <c r="P403" s="166">
        <v>25</v>
      </c>
      <c r="Q403" s="166">
        <v>1</v>
      </c>
      <c r="R403" s="164">
        <f>$L403*'Pivot Objective'!$C$9*P403*Q403</f>
        <v>8629054.2823499981</v>
      </c>
      <c r="S403" s="166">
        <v>15</v>
      </c>
      <c r="T403" s="166">
        <v>5</v>
      </c>
      <c r="U403" s="164">
        <f>($L403*'Pivot Objective'!$C$9^2)*S403*T403</f>
        <v>29586984.559368026</v>
      </c>
      <c r="V403" s="166">
        <v>15</v>
      </c>
      <c r="W403" s="166">
        <v>1</v>
      </c>
      <c r="X403" s="164">
        <f>($L403*'Pivot Objective'!$C$9^3)*V403*W403</f>
        <v>6763117.7699029921</v>
      </c>
      <c r="Y403" s="166">
        <v>0</v>
      </c>
      <c r="Z403" s="166">
        <v>0</v>
      </c>
      <c r="AA403" s="164">
        <f>($L403*'Pivot Objective'!$C$9^4)*Y403*Z403</f>
        <v>0</v>
      </c>
      <c r="AB403" s="166">
        <v>15</v>
      </c>
      <c r="AC403" s="166">
        <v>1</v>
      </c>
      <c r="AD403" s="164">
        <f>($L403*'Pivot Objective'!$C$9^5)*AB403*AC403</f>
        <v>8834448.6106537469</v>
      </c>
      <c r="AE403" s="166">
        <v>15</v>
      </c>
      <c r="AF403" s="166">
        <v>1</v>
      </c>
      <c r="AG403" s="164">
        <f>($L403*'Pivot Objective'!$C$9^6)*AE403*AF403</f>
        <v>10097077.697478505</v>
      </c>
      <c r="AH403" s="140"/>
      <c r="AI403" s="140"/>
      <c r="AJ403" s="164">
        <f>($L403*'Pivot Objective'!$C$9^7)*AH403*AI403</f>
        <v>0</v>
      </c>
      <c r="AK403" s="185">
        <f t="shared" si="45"/>
        <v>68440682.919753268</v>
      </c>
      <c r="AL403" s="186">
        <f t="shared" si="46"/>
        <v>66447.264970634234</v>
      </c>
    </row>
    <row r="404" spans="1:38" customFormat="1" ht="57.6" x14ac:dyDescent="0.3">
      <c r="A404" s="140" t="s">
        <v>1441</v>
      </c>
      <c r="B404" s="140">
        <v>1</v>
      </c>
      <c r="C404" s="166" t="s">
        <v>836</v>
      </c>
      <c r="D404" s="140" t="str">
        <f t="shared" si="34"/>
        <v>2</v>
      </c>
      <c r="E404" s="166" t="s">
        <v>992</v>
      </c>
      <c r="F404" s="140">
        <f t="shared" si="47"/>
        <v>2</v>
      </c>
      <c r="G404" s="140" t="str">
        <f t="shared" si="36"/>
        <v>1.2.2</v>
      </c>
      <c r="H404" s="166" t="s">
        <v>999</v>
      </c>
      <c r="I404" s="166" t="s">
        <v>1000</v>
      </c>
      <c r="J404" s="166" t="s">
        <v>1004</v>
      </c>
      <c r="K404" s="166" t="s">
        <v>716</v>
      </c>
      <c r="L404" s="167">
        <v>39000</v>
      </c>
      <c r="M404" s="166">
        <v>25</v>
      </c>
      <c r="N404" s="166">
        <v>5</v>
      </c>
      <c r="O404" s="164">
        <f t="shared" si="44"/>
        <v>4875000</v>
      </c>
      <c r="P404" s="166">
        <v>20</v>
      </c>
      <c r="Q404" s="166">
        <v>1</v>
      </c>
      <c r="R404" s="164">
        <f>$L404*'Pivot Objective'!$C$9*P404*Q404</f>
        <v>891478.45565999986</v>
      </c>
      <c r="S404" s="166">
        <v>25</v>
      </c>
      <c r="T404" s="166">
        <v>5</v>
      </c>
      <c r="U404" s="164">
        <f>($L404*'Pivot Objective'!$C$9^2)*S404*T404</f>
        <v>6368059.5905924551</v>
      </c>
      <c r="V404" s="166">
        <v>25</v>
      </c>
      <c r="W404" s="166">
        <v>5</v>
      </c>
      <c r="X404" s="164">
        <f>($L404*'Pivot Objective'!$C$9^3)*V404*W404</f>
        <v>7278189.6530412994</v>
      </c>
      <c r="Y404" s="166">
        <v>0</v>
      </c>
      <c r="Z404" s="166">
        <v>0</v>
      </c>
      <c r="AA404" s="164">
        <f>($L404*'Pivot Objective'!$C$9^4)*Y404*Z404</f>
        <v>0</v>
      </c>
      <c r="AB404" s="166">
        <v>15</v>
      </c>
      <c r="AC404" s="166">
        <v>5</v>
      </c>
      <c r="AD404" s="164">
        <f>($L404*'Pivot Objective'!$C$9^5)*AB404*AC404</f>
        <v>5704362.5135015901</v>
      </c>
      <c r="AE404" s="166">
        <v>25</v>
      </c>
      <c r="AF404" s="166">
        <v>5</v>
      </c>
      <c r="AG404" s="164">
        <f>($L404*'Pivot Objective'!$C$9^6)*AE404*AF404</f>
        <v>10866060.436028194</v>
      </c>
      <c r="AH404" s="140"/>
      <c r="AI404" s="140"/>
      <c r="AJ404" s="164">
        <f>($L404*'Pivot Objective'!$C$9^7)*AH404*AI404</f>
        <v>0</v>
      </c>
      <c r="AK404" s="185">
        <f t="shared" si="45"/>
        <v>35983150.648823544</v>
      </c>
      <c r="AL404" s="186">
        <f t="shared" si="46"/>
        <v>34935.097717304408</v>
      </c>
    </row>
    <row r="405" spans="1:38" customFormat="1" ht="57.6" x14ac:dyDescent="0.3">
      <c r="A405" s="140" t="s">
        <v>1441</v>
      </c>
      <c r="B405" s="140">
        <v>1</v>
      </c>
      <c r="C405" s="166" t="s">
        <v>836</v>
      </c>
      <c r="D405" s="140" t="str">
        <f t="shared" si="34"/>
        <v>2</v>
      </c>
      <c r="E405" s="166" t="s">
        <v>992</v>
      </c>
      <c r="F405" s="140">
        <f t="shared" si="47"/>
        <v>2</v>
      </c>
      <c r="G405" s="140" t="str">
        <f t="shared" si="36"/>
        <v>1.2.2</v>
      </c>
      <c r="H405" s="166" t="s">
        <v>999</v>
      </c>
      <c r="I405" s="166" t="s">
        <v>1000</v>
      </c>
      <c r="J405" s="166" t="s">
        <v>1004</v>
      </c>
      <c r="K405" s="166" t="s">
        <v>709</v>
      </c>
      <c r="L405" s="167">
        <v>35000</v>
      </c>
      <c r="M405" s="166">
        <v>25</v>
      </c>
      <c r="N405" s="166">
        <v>5</v>
      </c>
      <c r="O405" s="164">
        <f t="shared" si="44"/>
        <v>4375000</v>
      </c>
      <c r="P405" s="166">
        <v>25</v>
      </c>
      <c r="Q405" s="166">
        <v>5</v>
      </c>
      <c r="R405" s="164">
        <f>$L405*'Pivot Objective'!$C$9*P405*Q405</f>
        <v>5000279.7993749995</v>
      </c>
      <c r="S405" s="166">
        <v>25</v>
      </c>
      <c r="T405" s="166">
        <v>10</v>
      </c>
      <c r="U405" s="164">
        <f>($L405*'Pivot Objective'!$C$9^2)*S405*T405</f>
        <v>11429850.547217228</v>
      </c>
      <c r="V405" s="166">
        <v>25</v>
      </c>
      <c r="W405" s="166">
        <v>5</v>
      </c>
      <c r="X405" s="164">
        <f>($L405*'Pivot Objective'!$C$9^3)*V405*W405</f>
        <v>6531708.6629857821</v>
      </c>
      <c r="Y405" s="166">
        <v>0</v>
      </c>
      <c r="Z405" s="166">
        <v>0</v>
      </c>
      <c r="AA405" s="164">
        <f>($L405*'Pivot Objective'!$C$9^4)*Y405*Z405</f>
        <v>0</v>
      </c>
      <c r="AB405" s="166">
        <v>25</v>
      </c>
      <c r="AC405" s="166">
        <v>5</v>
      </c>
      <c r="AD405" s="164">
        <f>($L405*'Pivot Objective'!$C$9^5)*AB405*AC405</f>
        <v>8532166.152673319</v>
      </c>
      <c r="AE405" s="166">
        <v>25</v>
      </c>
      <c r="AF405" s="166">
        <v>5</v>
      </c>
      <c r="AG405" s="164">
        <f>($L405*'Pivot Objective'!$C$9^6)*AE405*AF405</f>
        <v>9751592.6989996582</v>
      </c>
      <c r="AH405" s="140"/>
      <c r="AI405" s="140"/>
      <c r="AJ405" s="164">
        <f>($L405*'Pivot Objective'!$C$9^7)*AH405*AI405</f>
        <v>0</v>
      </c>
      <c r="AK405" s="185">
        <f t="shared" si="45"/>
        <v>45620597.861250982</v>
      </c>
      <c r="AL405" s="186">
        <f t="shared" si="46"/>
        <v>44291.84258373882</v>
      </c>
    </row>
    <row r="406" spans="1:38" customFormat="1" ht="57.6" x14ac:dyDescent="0.3">
      <c r="A406" s="140" t="s">
        <v>1441</v>
      </c>
      <c r="B406" s="140">
        <v>1</v>
      </c>
      <c r="C406" s="166" t="s">
        <v>836</v>
      </c>
      <c r="D406" s="140" t="str">
        <f t="shared" si="34"/>
        <v>2</v>
      </c>
      <c r="E406" s="166" t="s">
        <v>992</v>
      </c>
      <c r="F406" s="140">
        <f t="shared" si="47"/>
        <v>2</v>
      </c>
      <c r="G406" s="140" t="str">
        <f t="shared" si="36"/>
        <v>1.2.2</v>
      </c>
      <c r="H406" s="166" t="s">
        <v>999</v>
      </c>
      <c r="I406" s="166" t="s">
        <v>1000</v>
      </c>
      <c r="J406" s="166" t="s">
        <v>1004</v>
      </c>
      <c r="K406" s="166" t="s">
        <v>712</v>
      </c>
      <c r="L406" s="167">
        <f>1480/7</f>
        <v>211.42857142857142</v>
      </c>
      <c r="M406" s="166">
        <v>15</v>
      </c>
      <c r="N406" s="166">
        <v>10</v>
      </c>
      <c r="O406" s="164">
        <f t="shared" si="44"/>
        <v>31714.28571428571</v>
      </c>
      <c r="P406" s="166">
        <v>25</v>
      </c>
      <c r="Q406" s="166">
        <v>5</v>
      </c>
      <c r="R406" s="164">
        <f>$L406*'Pivot Objective'!$C$9*P406*Q406</f>
        <v>30205.771849285709</v>
      </c>
      <c r="S406" s="166">
        <v>22500</v>
      </c>
      <c r="T406" s="166">
        <v>1</v>
      </c>
      <c r="U406" s="164">
        <f>($L406*'Pivot Objective'!$C$9^2)*S406*T406</f>
        <v>6214106.5015891213</v>
      </c>
      <c r="V406" s="166">
        <v>15</v>
      </c>
      <c r="W406" s="166">
        <v>10</v>
      </c>
      <c r="X406" s="164">
        <f>($L406*'Pivot Objective'!$C$9^3)*V406*W406</f>
        <v>47348.222797807131</v>
      </c>
      <c r="Y406" s="166">
        <v>0</v>
      </c>
      <c r="Z406" s="166">
        <v>0</v>
      </c>
      <c r="AA406" s="164">
        <f>($L406*'Pivot Objective'!$C$9^4)*Y406*Z406</f>
        <v>0</v>
      </c>
      <c r="AB406" s="166">
        <v>25</v>
      </c>
      <c r="AC406" s="166">
        <v>10</v>
      </c>
      <c r="AD406" s="164">
        <f>($L406*'Pivot Objective'!$C$9^5)*AB406*AC406</f>
        <v>103082.49719148174</v>
      </c>
      <c r="AE406" s="166">
        <v>15</v>
      </c>
      <c r="AF406" s="166">
        <v>10</v>
      </c>
      <c r="AG406" s="164">
        <f>($L406*'Pivot Objective'!$C$9^6)*AE406*AF406</f>
        <v>70689.096462952628</v>
      </c>
      <c r="AH406" s="140"/>
      <c r="AI406" s="140"/>
      <c r="AJ406" s="164">
        <f>($L406*'Pivot Objective'!$C$9^7)*AH406*AI406</f>
        <v>0</v>
      </c>
      <c r="AK406" s="185">
        <f t="shared" si="45"/>
        <v>6497146.3756049341</v>
      </c>
      <c r="AL406" s="186">
        <f t="shared" si="46"/>
        <v>6307.9091025290618</v>
      </c>
    </row>
    <row r="407" spans="1:38" customFormat="1" ht="57.6" x14ac:dyDescent="0.3">
      <c r="A407" s="140" t="s">
        <v>1441</v>
      </c>
      <c r="B407" s="140">
        <v>1</v>
      </c>
      <c r="C407" s="166" t="s">
        <v>836</v>
      </c>
      <c r="D407" s="140" t="str">
        <f t="shared" ref="D407:D470" si="48">RIGHT(A407,1)</f>
        <v>2</v>
      </c>
      <c r="E407" s="166" t="s">
        <v>992</v>
      </c>
      <c r="F407" s="140">
        <f t="shared" si="47"/>
        <v>2</v>
      </c>
      <c r="G407" s="140" t="str">
        <f t="shared" si="36"/>
        <v>1.2.2</v>
      </c>
      <c r="H407" s="166" t="s">
        <v>999</v>
      </c>
      <c r="I407" s="166" t="s">
        <v>1000</v>
      </c>
      <c r="J407" s="166" t="s">
        <v>1004</v>
      </c>
      <c r="K407" s="166" t="s">
        <v>1299</v>
      </c>
      <c r="L407" s="167">
        <v>211.42857142857142</v>
      </c>
      <c r="M407" s="166">
        <v>22500</v>
      </c>
      <c r="N407" s="166">
        <v>1</v>
      </c>
      <c r="O407" s="164">
        <f t="shared" si="44"/>
        <v>4757142.8571428573</v>
      </c>
      <c r="P407" s="166"/>
      <c r="Q407" s="166"/>
      <c r="R407" s="164">
        <f>$L407*'Pivot Objective'!$C$9*P407*Q407</f>
        <v>0</v>
      </c>
      <c r="S407" s="166">
        <v>0</v>
      </c>
      <c r="T407" s="166">
        <v>0</v>
      </c>
      <c r="U407" s="164">
        <f>($L407*'Pivot Objective'!$C$9^2)*S407*T407</f>
        <v>0</v>
      </c>
      <c r="V407" s="166">
        <v>22500</v>
      </c>
      <c r="W407" s="166">
        <v>1</v>
      </c>
      <c r="X407" s="164">
        <f>($L407*'Pivot Objective'!$C$9^3)*V407*W407</f>
        <v>7102233.4196710698</v>
      </c>
      <c r="Y407" s="166"/>
      <c r="Z407" s="166"/>
      <c r="AA407" s="164">
        <f>($L407*'Pivot Objective'!$C$9^4)*Y407*Z407</f>
        <v>0</v>
      </c>
      <c r="AB407" s="166">
        <v>22500</v>
      </c>
      <c r="AC407" s="166">
        <v>1</v>
      </c>
      <c r="AD407" s="164">
        <f>($L407*'Pivot Objective'!$C$9^5)*AB407*AC407</f>
        <v>9277424.7472333554</v>
      </c>
      <c r="AE407" s="166">
        <v>22500</v>
      </c>
      <c r="AF407" s="166">
        <v>1</v>
      </c>
      <c r="AG407" s="164">
        <f>($L407*'Pivot Objective'!$C$9^6)*AE407*AF407</f>
        <v>10603364.469442895</v>
      </c>
      <c r="AH407" s="140"/>
      <c r="AI407" s="140"/>
      <c r="AJ407" s="164">
        <f>($L407*'Pivot Objective'!$C$9^7)*AH407*AI407</f>
        <v>0</v>
      </c>
      <c r="AK407" s="185">
        <f t="shared" si="45"/>
        <v>31740165.493490182</v>
      </c>
      <c r="AL407" s="186">
        <f t="shared" si="46"/>
        <v>30815.694653873961</v>
      </c>
    </row>
    <row r="408" spans="1:38" customFormat="1" ht="57.6" x14ac:dyDescent="0.3">
      <c r="A408" s="140" t="s">
        <v>1441</v>
      </c>
      <c r="B408" s="140">
        <v>1</v>
      </c>
      <c r="C408" s="166" t="s">
        <v>836</v>
      </c>
      <c r="D408" s="140" t="str">
        <f t="shared" si="48"/>
        <v>2</v>
      </c>
      <c r="E408" s="166" t="s">
        <v>992</v>
      </c>
      <c r="F408" s="140">
        <f t="shared" si="47"/>
        <v>2</v>
      </c>
      <c r="G408" s="140" t="str">
        <f t="shared" ref="G408:G471" si="49">B408&amp;"."&amp;D408&amp;"."&amp;F408</f>
        <v>1.2.2</v>
      </c>
      <c r="H408" s="166" t="s">
        <v>999</v>
      </c>
      <c r="I408" s="166" t="s">
        <v>1000</v>
      </c>
      <c r="J408" s="166" t="s">
        <v>1005</v>
      </c>
      <c r="K408" s="166" t="s">
        <v>841</v>
      </c>
      <c r="L408" s="167">
        <v>0</v>
      </c>
      <c r="M408" s="166">
        <v>0</v>
      </c>
      <c r="N408" s="166">
        <v>0</v>
      </c>
      <c r="O408" s="164">
        <f t="shared" si="44"/>
        <v>0</v>
      </c>
      <c r="P408" s="166">
        <v>4000</v>
      </c>
      <c r="Q408" s="166">
        <v>1</v>
      </c>
      <c r="R408" s="164">
        <f>$L408*'Pivot Objective'!$C$9*P408*Q408</f>
        <v>0</v>
      </c>
      <c r="S408" s="166">
        <v>100</v>
      </c>
      <c r="T408" s="166">
        <v>1</v>
      </c>
      <c r="U408" s="164">
        <f>($L408*'Pivot Objective'!$C$9^2)*S408*T408</f>
        <v>0</v>
      </c>
      <c r="V408" s="166">
        <v>0</v>
      </c>
      <c r="W408" s="166">
        <v>0</v>
      </c>
      <c r="X408" s="164">
        <f>($L408*'Pivot Objective'!$C$9^3)*V408*W408</f>
        <v>0</v>
      </c>
      <c r="Y408" s="166">
        <v>0</v>
      </c>
      <c r="Z408" s="166">
        <v>0</v>
      </c>
      <c r="AA408" s="164">
        <f>($L408*'Pivot Objective'!$C$9^4)*Y408*Z408</f>
        <v>0</v>
      </c>
      <c r="AB408" s="166">
        <v>0</v>
      </c>
      <c r="AC408" s="166">
        <v>0</v>
      </c>
      <c r="AD408" s="164">
        <f>($L408*'Pivot Objective'!$C$9^5)*AB408*AC408</f>
        <v>0</v>
      </c>
      <c r="AE408" s="166">
        <v>0</v>
      </c>
      <c r="AF408" s="166">
        <v>0</v>
      </c>
      <c r="AG408" s="164">
        <f>($L408*'Pivot Objective'!$C$9^6)*AE408*AF408</f>
        <v>0</v>
      </c>
      <c r="AH408" s="140"/>
      <c r="AI408" s="140"/>
      <c r="AJ408" s="164">
        <f>($L408*'Pivot Objective'!$C$9^7)*AH408*AI408</f>
        <v>0</v>
      </c>
      <c r="AK408" s="185">
        <f t="shared" si="45"/>
        <v>0</v>
      </c>
      <c r="AL408" s="186">
        <f t="shared" si="46"/>
        <v>0</v>
      </c>
    </row>
    <row r="409" spans="1:38" customFormat="1" ht="57.6" x14ac:dyDescent="0.3">
      <c r="A409" s="140" t="s">
        <v>1441</v>
      </c>
      <c r="B409" s="140">
        <v>1</v>
      </c>
      <c r="C409" s="166" t="s">
        <v>836</v>
      </c>
      <c r="D409" s="140" t="str">
        <f t="shared" si="48"/>
        <v>2</v>
      </c>
      <c r="E409" s="166" t="s">
        <v>992</v>
      </c>
      <c r="F409" s="140">
        <f t="shared" si="47"/>
        <v>2</v>
      </c>
      <c r="G409" s="140" t="str">
        <f t="shared" si="49"/>
        <v>1.2.2</v>
      </c>
      <c r="H409" s="166" t="s">
        <v>999</v>
      </c>
      <c r="I409" s="166" t="s">
        <v>1000</v>
      </c>
      <c r="J409" s="166" t="s">
        <v>1006</v>
      </c>
      <c r="K409" s="166" t="s">
        <v>709</v>
      </c>
      <c r="L409" s="167">
        <v>35000</v>
      </c>
      <c r="M409" s="166">
        <v>100</v>
      </c>
      <c r="N409" s="166">
        <v>1</v>
      </c>
      <c r="O409" s="164">
        <f t="shared" si="44"/>
        <v>3500000</v>
      </c>
      <c r="P409" s="166">
        <v>10</v>
      </c>
      <c r="Q409" s="166">
        <v>5</v>
      </c>
      <c r="R409" s="164">
        <f>$L409*'Pivot Objective'!$C$9*P409*Q409</f>
        <v>2000111.9197499997</v>
      </c>
      <c r="S409" s="166">
        <v>100</v>
      </c>
      <c r="T409" s="166">
        <v>1</v>
      </c>
      <c r="U409" s="164">
        <f>($L409*'Pivot Objective'!$C$9^2)*S409*T409</f>
        <v>4571940.2188868914</v>
      </c>
      <c r="V409" s="166">
        <v>100</v>
      </c>
      <c r="W409" s="166">
        <v>1</v>
      </c>
      <c r="X409" s="164">
        <f>($L409*'Pivot Objective'!$C$9^3)*V409*W409</f>
        <v>5225366.9303886257</v>
      </c>
      <c r="Y409" s="166">
        <v>0</v>
      </c>
      <c r="Z409" s="166">
        <v>0</v>
      </c>
      <c r="AA409" s="164">
        <f>($L409*'Pivot Objective'!$C$9^4)*Y409*Z409</f>
        <v>0</v>
      </c>
      <c r="AB409" s="166">
        <v>100</v>
      </c>
      <c r="AC409" s="166">
        <v>1</v>
      </c>
      <c r="AD409" s="164">
        <f>($L409*'Pivot Objective'!$C$9^5)*AB409*AC409</f>
        <v>6825732.9221386546</v>
      </c>
      <c r="AE409" s="166">
        <v>100</v>
      </c>
      <c r="AF409" s="166">
        <v>1</v>
      </c>
      <c r="AG409" s="164">
        <f>($L409*'Pivot Objective'!$C$9^6)*AE409*AF409</f>
        <v>7801274.1591997268</v>
      </c>
      <c r="AH409" s="140"/>
      <c r="AI409" s="140"/>
      <c r="AJ409" s="164">
        <f>($L409*'Pivot Objective'!$C$9^7)*AH409*AI409</f>
        <v>0</v>
      </c>
      <c r="AK409" s="185">
        <f t="shared" si="45"/>
        <v>29924426.150363896</v>
      </c>
      <c r="AL409" s="186">
        <f t="shared" si="46"/>
        <v>29052.840922683394</v>
      </c>
    </row>
    <row r="410" spans="1:38" customFormat="1" ht="57.6" x14ac:dyDescent="0.3">
      <c r="A410" s="140" t="s">
        <v>1441</v>
      </c>
      <c r="B410" s="140">
        <v>1</v>
      </c>
      <c r="C410" s="166" t="s">
        <v>836</v>
      </c>
      <c r="D410" s="140" t="str">
        <f t="shared" si="48"/>
        <v>2</v>
      </c>
      <c r="E410" s="166" t="s">
        <v>992</v>
      </c>
      <c r="F410" s="140">
        <f t="shared" si="47"/>
        <v>2</v>
      </c>
      <c r="G410" s="140" t="str">
        <f t="shared" si="49"/>
        <v>1.2.2</v>
      </c>
      <c r="H410" s="166" t="s">
        <v>999</v>
      </c>
      <c r="I410" s="166" t="s">
        <v>1000</v>
      </c>
      <c r="J410" s="166" t="s">
        <v>1006</v>
      </c>
      <c r="K410" s="166" t="s">
        <v>716</v>
      </c>
      <c r="L410" s="167">
        <v>39000</v>
      </c>
      <c r="M410" s="166">
        <v>100</v>
      </c>
      <c r="N410" s="166">
        <v>1</v>
      </c>
      <c r="O410" s="164">
        <f t="shared" si="44"/>
        <v>3900000</v>
      </c>
      <c r="P410" s="166">
        <v>30</v>
      </c>
      <c r="Q410" s="166">
        <v>1</v>
      </c>
      <c r="R410" s="164">
        <f>$L410*'Pivot Objective'!$C$9*P410*Q410</f>
        <v>1337217.6834899997</v>
      </c>
      <c r="S410" s="166">
        <v>100</v>
      </c>
      <c r="T410" s="166">
        <v>1</v>
      </c>
      <c r="U410" s="164">
        <f>($L410*'Pivot Objective'!$C$9^2)*S410*T410</f>
        <v>5094447.6724739643</v>
      </c>
      <c r="V410" s="166">
        <v>100</v>
      </c>
      <c r="W410" s="166">
        <v>1</v>
      </c>
      <c r="X410" s="164">
        <f>($L410*'Pivot Objective'!$C$9^3)*V410*W410</f>
        <v>5822551.7224330399</v>
      </c>
      <c r="Y410" s="166">
        <v>0</v>
      </c>
      <c r="Z410" s="166">
        <v>0</v>
      </c>
      <c r="AA410" s="164">
        <f>($L410*'Pivot Objective'!$C$9^4)*Y410*Z410</f>
        <v>0</v>
      </c>
      <c r="AB410" s="166">
        <v>100</v>
      </c>
      <c r="AC410" s="166">
        <v>1</v>
      </c>
      <c r="AD410" s="164">
        <f>($L410*'Pivot Objective'!$C$9^5)*AB410*AC410</f>
        <v>7605816.6846687878</v>
      </c>
      <c r="AE410" s="166">
        <v>100</v>
      </c>
      <c r="AF410" s="166">
        <v>1</v>
      </c>
      <c r="AG410" s="164">
        <f>($L410*'Pivot Objective'!$C$9^6)*AE410*AF410</f>
        <v>8692848.3488225546</v>
      </c>
      <c r="AH410" s="140"/>
      <c r="AI410" s="140"/>
      <c r="AJ410" s="164">
        <f>($L410*'Pivot Objective'!$C$9^7)*AH410*AI410</f>
        <v>0</v>
      </c>
      <c r="AK410" s="185">
        <f t="shared" si="45"/>
        <v>32452882.111888349</v>
      </c>
      <c r="AL410" s="186">
        <f t="shared" si="46"/>
        <v>31507.65253581393</v>
      </c>
    </row>
    <row r="411" spans="1:38" customFormat="1" ht="57.6" x14ac:dyDescent="0.3">
      <c r="A411" s="140" t="s">
        <v>1441</v>
      </c>
      <c r="B411" s="140">
        <v>1</v>
      </c>
      <c r="C411" s="166" t="s">
        <v>836</v>
      </c>
      <c r="D411" s="140" t="str">
        <f t="shared" si="48"/>
        <v>2</v>
      </c>
      <c r="E411" s="166" t="s">
        <v>992</v>
      </c>
      <c r="F411" s="140">
        <f t="shared" si="47"/>
        <v>2</v>
      </c>
      <c r="G411" s="140" t="str">
        <f t="shared" si="49"/>
        <v>1.2.2</v>
      </c>
      <c r="H411" s="166" t="s">
        <v>999</v>
      </c>
      <c r="I411" s="166" t="s">
        <v>1000</v>
      </c>
      <c r="J411" s="166" t="s">
        <v>1006</v>
      </c>
      <c r="K411" s="166" t="s">
        <v>712</v>
      </c>
      <c r="L411" s="167">
        <f>1480/7</f>
        <v>211.42857142857142</v>
      </c>
      <c r="M411" s="166">
        <v>100</v>
      </c>
      <c r="N411" s="166">
        <v>1</v>
      </c>
      <c r="O411" s="164">
        <f t="shared" si="44"/>
        <v>21142.857142857141</v>
      </c>
      <c r="P411" s="166">
        <v>30</v>
      </c>
      <c r="Q411" s="166">
        <v>1</v>
      </c>
      <c r="R411" s="164">
        <f>$L411*'Pivot Objective'!$C$9*P411*Q411</f>
        <v>7249.3852438285703</v>
      </c>
      <c r="S411" s="166">
        <v>22500</v>
      </c>
      <c r="T411" s="166">
        <v>1</v>
      </c>
      <c r="U411" s="164">
        <f>($L411*'Pivot Objective'!$C$9^2)*S411*T411</f>
        <v>6214106.5015891213</v>
      </c>
      <c r="V411" s="166">
        <v>100</v>
      </c>
      <c r="W411" s="166">
        <v>1</v>
      </c>
      <c r="X411" s="164">
        <f>($L411*'Pivot Objective'!$C$9^3)*V411*W411</f>
        <v>31565.481865204754</v>
      </c>
      <c r="Y411" s="166">
        <v>0</v>
      </c>
      <c r="Z411" s="166">
        <v>0</v>
      </c>
      <c r="AA411" s="164">
        <f>($L411*'Pivot Objective'!$C$9^4)*Y411*Z411</f>
        <v>0</v>
      </c>
      <c r="AB411" s="166">
        <v>100</v>
      </c>
      <c r="AC411" s="166">
        <v>1</v>
      </c>
      <c r="AD411" s="164">
        <f>($L411*'Pivot Objective'!$C$9^5)*AB411*AC411</f>
        <v>41232.998876592697</v>
      </c>
      <c r="AE411" s="166">
        <v>100</v>
      </c>
      <c r="AF411" s="166">
        <v>1</v>
      </c>
      <c r="AG411" s="164">
        <f>($L411*'Pivot Objective'!$C$9^6)*AE411*AF411</f>
        <v>47126.064308635083</v>
      </c>
      <c r="AH411" s="140"/>
      <c r="AI411" s="140"/>
      <c r="AJ411" s="164">
        <f>($L411*'Pivot Objective'!$C$9^7)*AH411*AI411</f>
        <v>0</v>
      </c>
      <c r="AK411" s="185">
        <f t="shared" si="45"/>
        <v>6362423.2890262399</v>
      </c>
      <c r="AL411" s="186">
        <f t="shared" si="46"/>
        <v>6177.1099893458641</v>
      </c>
    </row>
    <row r="412" spans="1:38" customFormat="1" ht="57.6" x14ac:dyDescent="0.3">
      <c r="A412" s="140" t="s">
        <v>1441</v>
      </c>
      <c r="B412" s="140">
        <v>1</v>
      </c>
      <c r="C412" s="166" t="s">
        <v>836</v>
      </c>
      <c r="D412" s="140" t="str">
        <f t="shared" si="48"/>
        <v>2</v>
      </c>
      <c r="E412" s="166" t="s">
        <v>992</v>
      </c>
      <c r="F412" s="140">
        <f t="shared" si="47"/>
        <v>2</v>
      </c>
      <c r="G412" s="140" t="str">
        <f t="shared" si="49"/>
        <v>1.2.2</v>
      </c>
      <c r="H412" s="166" t="s">
        <v>999</v>
      </c>
      <c r="I412" s="166" t="s">
        <v>1000</v>
      </c>
      <c r="J412" s="166" t="s">
        <v>1006</v>
      </c>
      <c r="K412" s="166" t="s">
        <v>1299</v>
      </c>
      <c r="L412" s="167">
        <v>211.42857142857142</v>
      </c>
      <c r="M412" s="166">
        <v>22500</v>
      </c>
      <c r="N412" s="166">
        <v>1</v>
      </c>
      <c r="O412" s="164">
        <f t="shared" si="44"/>
        <v>4757142.8571428573</v>
      </c>
      <c r="P412" s="166"/>
      <c r="Q412" s="166"/>
      <c r="R412" s="164">
        <f>$L412*'Pivot Objective'!$C$9*P412*Q412</f>
        <v>0</v>
      </c>
      <c r="S412" s="166">
        <v>35</v>
      </c>
      <c r="T412" s="166">
        <v>1</v>
      </c>
      <c r="U412" s="164">
        <f>($L412*'Pivot Objective'!$C$9^2)*S412*T412</f>
        <v>9666.3878913608551</v>
      </c>
      <c r="V412" s="166">
        <v>22500</v>
      </c>
      <c r="W412" s="166">
        <v>1</v>
      </c>
      <c r="X412" s="164">
        <f>($L412*'Pivot Objective'!$C$9^3)*V412*W412</f>
        <v>7102233.4196710698</v>
      </c>
      <c r="Y412" s="166"/>
      <c r="Z412" s="166"/>
      <c r="AA412" s="164">
        <f>($L412*'Pivot Objective'!$C$9^4)*Y412*Z412</f>
        <v>0</v>
      </c>
      <c r="AB412" s="166">
        <v>22500</v>
      </c>
      <c r="AC412" s="166">
        <v>1</v>
      </c>
      <c r="AD412" s="164">
        <f>($L412*'Pivot Objective'!$C$9^5)*AB412*AC412</f>
        <v>9277424.7472333554</v>
      </c>
      <c r="AE412" s="166">
        <v>22500</v>
      </c>
      <c r="AF412" s="166">
        <v>1</v>
      </c>
      <c r="AG412" s="164">
        <f>($L412*'Pivot Objective'!$C$9^6)*AE412*AF412</f>
        <v>10603364.469442895</v>
      </c>
      <c r="AH412" s="140"/>
      <c r="AI412" s="140"/>
      <c r="AJ412" s="164">
        <f>($L412*'Pivot Objective'!$C$9^7)*AH412*AI412</f>
        <v>0</v>
      </c>
      <c r="AK412" s="185">
        <f t="shared" si="45"/>
        <v>31749831.881381541</v>
      </c>
      <c r="AL412" s="186">
        <f t="shared" si="46"/>
        <v>30825.079496486935</v>
      </c>
    </row>
    <row r="413" spans="1:38" customFormat="1" ht="57.6" x14ac:dyDescent="0.3">
      <c r="A413" s="140" t="s">
        <v>1441</v>
      </c>
      <c r="B413" s="140">
        <v>1</v>
      </c>
      <c r="C413" s="166" t="s">
        <v>836</v>
      </c>
      <c r="D413" s="140" t="str">
        <f t="shared" si="48"/>
        <v>2</v>
      </c>
      <c r="E413" s="166" t="s">
        <v>992</v>
      </c>
      <c r="F413" s="140">
        <f t="shared" si="47"/>
        <v>2</v>
      </c>
      <c r="G413" s="140" t="str">
        <f t="shared" si="49"/>
        <v>1.2.2</v>
      </c>
      <c r="H413" s="166" t="s">
        <v>999</v>
      </c>
      <c r="I413" s="166" t="s">
        <v>1000</v>
      </c>
      <c r="J413" s="166" t="s">
        <v>1007</v>
      </c>
      <c r="K413" s="166" t="s">
        <v>709</v>
      </c>
      <c r="L413" s="167">
        <v>35000</v>
      </c>
      <c r="M413" s="166">
        <v>35</v>
      </c>
      <c r="N413" s="166">
        <v>1</v>
      </c>
      <c r="O413" s="164">
        <f t="shared" si="44"/>
        <v>1225000</v>
      </c>
      <c r="P413" s="166">
        <v>6000</v>
      </c>
      <c r="Q413" s="166">
        <v>1</v>
      </c>
      <c r="R413" s="164">
        <f>$L413*'Pivot Objective'!$C$9*P413*Q413</f>
        <v>240013430.36999995</v>
      </c>
      <c r="S413" s="166">
        <v>0</v>
      </c>
      <c r="T413" s="166">
        <v>0</v>
      </c>
      <c r="U413" s="164">
        <f>($L413*'Pivot Objective'!$C$9^2)*S413*T413</f>
        <v>0</v>
      </c>
      <c r="V413" s="166">
        <v>35</v>
      </c>
      <c r="W413" s="166">
        <v>1</v>
      </c>
      <c r="X413" s="164">
        <f>($L413*'Pivot Objective'!$C$9^3)*V413*W413</f>
        <v>1828878.4256360191</v>
      </c>
      <c r="Y413" s="166">
        <v>0</v>
      </c>
      <c r="Z413" s="166">
        <v>0</v>
      </c>
      <c r="AA413" s="164">
        <f>($L413*'Pivot Objective'!$C$9^4)*Y413*Z413</f>
        <v>0</v>
      </c>
      <c r="AB413" s="166">
        <v>35</v>
      </c>
      <c r="AC413" s="166">
        <v>1</v>
      </c>
      <c r="AD413" s="164">
        <f>($L413*'Pivot Objective'!$C$9^5)*AB413*AC413</f>
        <v>2389006.5227485294</v>
      </c>
      <c r="AE413" s="166">
        <v>35</v>
      </c>
      <c r="AF413" s="166">
        <v>1</v>
      </c>
      <c r="AG413" s="164">
        <f>($L413*'Pivot Objective'!$C$9^6)*AE413*AF413</f>
        <v>2730445.9557199045</v>
      </c>
      <c r="AH413" s="140"/>
      <c r="AI413" s="140"/>
      <c r="AJ413" s="164">
        <f>($L413*'Pivot Objective'!$C$9^7)*AH413*AI413</f>
        <v>0</v>
      </c>
      <c r="AK413" s="185">
        <f t="shared" si="45"/>
        <v>248186761.27410442</v>
      </c>
      <c r="AL413" s="186">
        <f t="shared" si="46"/>
        <v>240958.02065447031</v>
      </c>
    </row>
    <row r="414" spans="1:38" customFormat="1" ht="57.6" x14ac:dyDescent="0.3">
      <c r="A414" s="140" t="s">
        <v>1441</v>
      </c>
      <c r="B414" s="140">
        <v>1</v>
      </c>
      <c r="C414" s="166" t="s">
        <v>836</v>
      </c>
      <c r="D414" s="140" t="str">
        <f t="shared" si="48"/>
        <v>2</v>
      </c>
      <c r="E414" s="166" t="s">
        <v>992</v>
      </c>
      <c r="F414" s="140">
        <f t="shared" si="47"/>
        <v>2</v>
      </c>
      <c r="G414" s="140" t="str">
        <f t="shared" si="49"/>
        <v>1.2.2</v>
      </c>
      <c r="H414" s="166" t="s">
        <v>999</v>
      </c>
      <c r="I414" s="166" t="s">
        <v>1000</v>
      </c>
      <c r="J414" s="166" t="s">
        <v>957</v>
      </c>
      <c r="K414" s="166" t="s">
        <v>841</v>
      </c>
      <c r="L414" s="167">
        <v>0</v>
      </c>
      <c r="M414" s="166">
        <v>0</v>
      </c>
      <c r="N414" s="166">
        <v>0</v>
      </c>
      <c r="O414" s="164">
        <f t="shared" si="44"/>
        <v>0</v>
      </c>
      <c r="P414" s="166">
        <v>20</v>
      </c>
      <c r="Q414" s="166">
        <v>1</v>
      </c>
      <c r="R414" s="164">
        <f>$L414*'Pivot Objective'!$C$9*P414*Q414</f>
        <v>0</v>
      </c>
      <c r="S414" s="166">
        <f>29*5</f>
        <v>145</v>
      </c>
      <c r="T414" s="166">
        <v>5</v>
      </c>
      <c r="U414" s="164">
        <f>($L414*'Pivot Objective'!$C$9^2)*S414*T414</f>
        <v>0</v>
      </c>
      <c r="V414" s="166">
        <v>0</v>
      </c>
      <c r="W414" s="166">
        <v>0</v>
      </c>
      <c r="X414" s="164">
        <f>($L414*'Pivot Objective'!$C$9^3)*V414*W414</f>
        <v>0</v>
      </c>
      <c r="Y414" s="166">
        <v>0</v>
      </c>
      <c r="Z414" s="166">
        <v>0</v>
      </c>
      <c r="AA414" s="164">
        <f>($L414*'Pivot Objective'!$C$9^4)*Y414*Z414</f>
        <v>0</v>
      </c>
      <c r="AB414" s="166">
        <v>0</v>
      </c>
      <c r="AC414" s="166">
        <v>0</v>
      </c>
      <c r="AD414" s="164">
        <f>($L414*'Pivot Objective'!$C$9^5)*AB414*AC414</f>
        <v>0</v>
      </c>
      <c r="AE414" s="166">
        <v>0</v>
      </c>
      <c r="AF414" s="166">
        <v>0</v>
      </c>
      <c r="AG414" s="164">
        <f>($L414*'Pivot Objective'!$C$9^6)*AE414*AF414</f>
        <v>0</v>
      </c>
      <c r="AH414" s="140"/>
      <c r="AI414" s="140"/>
      <c r="AJ414" s="164">
        <f>($L414*'Pivot Objective'!$C$9^7)*AH414*AI414</f>
        <v>0</v>
      </c>
      <c r="AK414" s="185">
        <f t="shared" si="45"/>
        <v>0</v>
      </c>
      <c r="AL414" s="186">
        <f t="shared" si="46"/>
        <v>0</v>
      </c>
    </row>
    <row r="415" spans="1:38" customFormat="1" ht="57.6" x14ac:dyDescent="0.3">
      <c r="A415" s="140" t="s">
        <v>1441</v>
      </c>
      <c r="B415" s="140">
        <v>1</v>
      </c>
      <c r="C415" s="166" t="s">
        <v>836</v>
      </c>
      <c r="D415" s="140" t="str">
        <f t="shared" si="48"/>
        <v>2</v>
      </c>
      <c r="E415" s="166" t="s">
        <v>992</v>
      </c>
      <c r="F415" s="140">
        <f t="shared" si="47"/>
        <v>2</v>
      </c>
      <c r="G415" s="140" t="str">
        <f t="shared" si="49"/>
        <v>1.2.2</v>
      </c>
      <c r="H415" s="166" t="s">
        <v>999</v>
      </c>
      <c r="I415" s="166" t="s">
        <v>1000</v>
      </c>
      <c r="J415" s="166" t="s">
        <v>1008</v>
      </c>
      <c r="K415" s="166" t="s">
        <v>709</v>
      </c>
      <c r="L415" s="167">
        <v>35000</v>
      </c>
      <c r="M415" s="166">
        <f>29*5</f>
        <v>145</v>
      </c>
      <c r="N415" s="166">
        <v>5</v>
      </c>
      <c r="O415" s="164">
        <f t="shared" si="44"/>
        <v>25375000</v>
      </c>
      <c r="P415" s="166">
        <v>10</v>
      </c>
      <c r="Q415" s="166">
        <v>0.5</v>
      </c>
      <c r="R415" s="164">
        <f>$L415*'Pivot Objective'!$C$9*P415*Q415</f>
        <v>200011.19197499997</v>
      </c>
      <c r="S415" s="166">
        <f>29*5</f>
        <v>145</v>
      </c>
      <c r="T415" s="166">
        <v>5</v>
      </c>
      <c r="U415" s="164">
        <f>($L415*'Pivot Objective'!$C$9^2)*S415*T415</f>
        <v>33146566.586929962</v>
      </c>
      <c r="V415" s="166">
        <f>29*5</f>
        <v>145</v>
      </c>
      <c r="W415" s="166">
        <v>5</v>
      </c>
      <c r="X415" s="164">
        <f>($L415*'Pivot Objective'!$C$9^3)*V415*W415</f>
        <v>37883910.245317534</v>
      </c>
      <c r="Y415" s="166">
        <v>0</v>
      </c>
      <c r="Z415" s="166">
        <v>0</v>
      </c>
      <c r="AA415" s="164">
        <f>($L415*'Pivot Objective'!$C$9^4)*Y415*Z415</f>
        <v>0</v>
      </c>
      <c r="AB415" s="166">
        <f>29*5</f>
        <v>145</v>
      </c>
      <c r="AC415" s="166">
        <v>5</v>
      </c>
      <c r="AD415" s="164">
        <f>($L415*'Pivot Objective'!$C$9^5)*AB415*AC415</f>
        <v>49486563.685505249</v>
      </c>
      <c r="AE415" s="166">
        <f>29*5</f>
        <v>145</v>
      </c>
      <c r="AF415" s="166">
        <v>5</v>
      </c>
      <c r="AG415" s="164">
        <f>($L415*'Pivot Objective'!$C$9^6)*AE415*AF415</f>
        <v>56559237.654198021</v>
      </c>
      <c r="AH415" s="140"/>
      <c r="AI415" s="140"/>
      <c r="AJ415" s="164">
        <f>($L415*'Pivot Objective'!$C$9^7)*AH415*AI415</f>
        <v>0</v>
      </c>
      <c r="AK415" s="185">
        <f t="shared" si="45"/>
        <v>202651289.36392576</v>
      </c>
      <c r="AL415" s="186">
        <f t="shared" si="46"/>
        <v>196748.82462517064</v>
      </c>
    </row>
    <row r="416" spans="1:38" customFormat="1" ht="57.6" x14ac:dyDescent="0.3">
      <c r="A416" s="140" t="s">
        <v>1441</v>
      </c>
      <c r="B416" s="140">
        <v>1</v>
      </c>
      <c r="C416" s="166" t="s">
        <v>836</v>
      </c>
      <c r="D416" s="140" t="str">
        <f t="shared" si="48"/>
        <v>2</v>
      </c>
      <c r="E416" s="166" t="s">
        <v>992</v>
      </c>
      <c r="F416" s="140">
        <f t="shared" si="47"/>
        <v>2</v>
      </c>
      <c r="G416" s="140" t="str">
        <f t="shared" si="49"/>
        <v>1.2.2</v>
      </c>
      <c r="H416" s="166" t="s">
        <v>999</v>
      </c>
      <c r="I416" s="166" t="s">
        <v>1000</v>
      </c>
      <c r="J416" s="166" t="s">
        <v>1008</v>
      </c>
      <c r="K416" s="166" t="s">
        <v>716</v>
      </c>
      <c r="L416" s="167">
        <v>39000</v>
      </c>
      <c r="M416" s="166">
        <f>29*5</f>
        <v>145</v>
      </c>
      <c r="N416" s="166">
        <v>5</v>
      </c>
      <c r="O416" s="164">
        <f t="shared" si="44"/>
        <v>28275000</v>
      </c>
      <c r="P416" s="166">
        <v>290</v>
      </c>
      <c r="Q416" s="166">
        <v>2</v>
      </c>
      <c r="R416" s="164">
        <f>$L416*'Pivot Objective'!$C$9*P416*Q416</f>
        <v>25852875.214139998</v>
      </c>
      <c r="S416" s="166">
        <f>25*2*29</f>
        <v>1450</v>
      </c>
      <c r="T416" s="166">
        <v>5</v>
      </c>
      <c r="U416" s="164">
        <f>($L416*'Pivot Objective'!$C$9^2)*S416*T416</f>
        <v>369347456.2543624</v>
      </c>
      <c r="V416" s="166">
        <f>29*5</f>
        <v>145</v>
      </c>
      <c r="W416" s="166">
        <v>5</v>
      </c>
      <c r="X416" s="164">
        <f>($L416*'Pivot Objective'!$C$9^3)*V416*W416</f>
        <v>42213499.987639531</v>
      </c>
      <c r="Y416" s="166">
        <v>0</v>
      </c>
      <c r="Z416" s="166">
        <v>0</v>
      </c>
      <c r="AA416" s="164">
        <f>($L416*'Pivot Objective'!$C$9^4)*Y416*Z416</f>
        <v>0</v>
      </c>
      <c r="AB416" s="166">
        <f>29*5</f>
        <v>145</v>
      </c>
      <c r="AC416" s="166">
        <v>5</v>
      </c>
      <c r="AD416" s="164">
        <f>($L416*'Pivot Objective'!$C$9^5)*AB416*AC416</f>
        <v>55142170.96384871</v>
      </c>
      <c r="AE416" s="166">
        <f>29*5</f>
        <v>145</v>
      </c>
      <c r="AF416" s="166">
        <v>5</v>
      </c>
      <c r="AG416" s="164">
        <f>($L416*'Pivot Objective'!$C$9^6)*AE416*AF416</f>
        <v>63023150.528963514</v>
      </c>
      <c r="AH416" s="140"/>
      <c r="AI416" s="140"/>
      <c r="AJ416" s="164">
        <f>($L416*'Pivot Objective'!$C$9^7)*AH416*AI416</f>
        <v>0</v>
      </c>
      <c r="AK416" s="185">
        <f t="shared" si="45"/>
        <v>583854152.94895422</v>
      </c>
      <c r="AL416" s="186">
        <f t="shared" si="46"/>
        <v>566848.69218345068</v>
      </c>
    </row>
    <row r="417" spans="1:38" customFormat="1" ht="57.6" x14ac:dyDescent="0.3">
      <c r="A417" s="140" t="s">
        <v>1441</v>
      </c>
      <c r="B417" s="140">
        <v>1</v>
      </c>
      <c r="C417" s="166" t="s">
        <v>836</v>
      </c>
      <c r="D417" s="140" t="str">
        <f t="shared" si="48"/>
        <v>2</v>
      </c>
      <c r="E417" s="166" t="s">
        <v>992</v>
      </c>
      <c r="F417" s="140">
        <f t="shared" si="47"/>
        <v>2</v>
      </c>
      <c r="G417" s="140" t="str">
        <f t="shared" si="49"/>
        <v>1.2.2</v>
      </c>
      <c r="H417" s="166" t="s">
        <v>999</v>
      </c>
      <c r="I417" s="166" t="s">
        <v>1000</v>
      </c>
      <c r="J417" s="166" t="s">
        <v>1008</v>
      </c>
      <c r="K417" s="166" t="s">
        <v>712</v>
      </c>
      <c r="L417" s="167">
        <f>1480/7</f>
        <v>211.42857142857142</v>
      </c>
      <c r="M417" s="166">
        <f>25*2*29</f>
        <v>1450</v>
      </c>
      <c r="N417" s="166">
        <v>5</v>
      </c>
      <c r="O417" s="164">
        <f t="shared" si="44"/>
        <v>1532857.142857143</v>
      </c>
      <c r="P417" s="166">
        <v>29</v>
      </c>
      <c r="Q417" s="166">
        <v>3</v>
      </c>
      <c r="R417" s="164">
        <f>$L417*'Pivot Objective'!$C$9*P417*Q417</f>
        <v>21023.217207102854</v>
      </c>
      <c r="S417" s="166">
        <v>22500</v>
      </c>
      <c r="T417" s="166">
        <v>1</v>
      </c>
      <c r="U417" s="164">
        <f>($L417*'Pivot Objective'!$C$9^2)*S417*T417</f>
        <v>6214106.5015891213</v>
      </c>
      <c r="V417" s="166">
        <f>25*2*29</f>
        <v>1450</v>
      </c>
      <c r="W417" s="166">
        <v>5</v>
      </c>
      <c r="X417" s="164">
        <f>($L417*'Pivot Objective'!$C$9^3)*V417*W417</f>
        <v>2288497.4352273447</v>
      </c>
      <c r="Y417" s="166">
        <v>0</v>
      </c>
      <c r="Z417" s="166">
        <v>0</v>
      </c>
      <c r="AA417" s="164">
        <f>($L417*'Pivot Objective'!$C$9^4)*Y417*Z417</f>
        <v>0</v>
      </c>
      <c r="AB417" s="166">
        <f>25*2*29</f>
        <v>1450</v>
      </c>
      <c r="AC417" s="166">
        <v>5</v>
      </c>
      <c r="AD417" s="164">
        <f>($L417*'Pivot Objective'!$C$9^5)*AB417*AC417</f>
        <v>2989392.41855297</v>
      </c>
      <c r="AE417" s="166">
        <f>25*2*29</f>
        <v>1450</v>
      </c>
      <c r="AF417" s="166">
        <v>5</v>
      </c>
      <c r="AG417" s="164">
        <f>($L417*'Pivot Objective'!$C$9^6)*AE417*AF417</f>
        <v>3416639.6623760439</v>
      </c>
      <c r="AH417" s="140"/>
      <c r="AI417" s="140"/>
      <c r="AJ417" s="164">
        <f>($L417*'Pivot Objective'!$C$9^7)*AH417*AI417</f>
        <v>0</v>
      </c>
      <c r="AK417" s="185">
        <f t="shared" si="45"/>
        <v>16462516.377809726</v>
      </c>
      <c r="AL417" s="186">
        <f t="shared" si="46"/>
        <v>15983.025609524006</v>
      </c>
    </row>
    <row r="418" spans="1:38" customFormat="1" ht="57.6" x14ac:dyDescent="0.3">
      <c r="A418" s="140" t="s">
        <v>1441</v>
      </c>
      <c r="B418" s="140">
        <v>1</v>
      </c>
      <c r="C418" s="166" t="s">
        <v>836</v>
      </c>
      <c r="D418" s="140" t="str">
        <f t="shared" si="48"/>
        <v>2</v>
      </c>
      <c r="E418" s="166" t="s">
        <v>992</v>
      </c>
      <c r="F418" s="140">
        <f t="shared" si="47"/>
        <v>2</v>
      </c>
      <c r="G418" s="140" t="str">
        <f t="shared" si="49"/>
        <v>1.2.2</v>
      </c>
      <c r="H418" s="166" t="s">
        <v>999</v>
      </c>
      <c r="I418" s="166" t="s">
        <v>1000</v>
      </c>
      <c r="J418" s="166" t="s">
        <v>1008</v>
      </c>
      <c r="K418" s="166" t="s">
        <v>1299</v>
      </c>
      <c r="L418" s="167">
        <v>211.42857142857142</v>
      </c>
      <c r="M418" s="166">
        <v>22500</v>
      </c>
      <c r="N418" s="166">
        <v>1</v>
      </c>
      <c r="O418" s="164">
        <f t="shared" si="44"/>
        <v>4757142.8571428573</v>
      </c>
      <c r="P418" s="166"/>
      <c r="Q418" s="166"/>
      <c r="R418" s="164">
        <f>$L418*'Pivot Objective'!$C$9*P418*Q418</f>
        <v>0</v>
      </c>
      <c r="S418" s="166">
        <f>900*2</f>
        <v>1800</v>
      </c>
      <c r="T418" s="166">
        <v>5</v>
      </c>
      <c r="U418" s="164">
        <f>($L418*'Pivot Objective'!$C$9^2)*S418*T418</f>
        <v>2485642.6006356487</v>
      </c>
      <c r="V418" s="166">
        <v>22500</v>
      </c>
      <c r="W418" s="166">
        <v>1</v>
      </c>
      <c r="X418" s="164">
        <f>($L418*'Pivot Objective'!$C$9^3)*V418*W418</f>
        <v>7102233.4196710698</v>
      </c>
      <c r="Y418" s="166"/>
      <c r="Z418" s="166"/>
      <c r="AA418" s="164">
        <f>($L418*'Pivot Objective'!$C$9^4)*Y418*Z418</f>
        <v>0</v>
      </c>
      <c r="AB418" s="166">
        <v>22500</v>
      </c>
      <c r="AC418" s="166">
        <v>1</v>
      </c>
      <c r="AD418" s="164">
        <f>($L418*'Pivot Objective'!$C$9^5)*AB418*AC418</f>
        <v>9277424.7472333554</v>
      </c>
      <c r="AE418" s="166">
        <v>22500</v>
      </c>
      <c r="AF418" s="166">
        <v>1</v>
      </c>
      <c r="AG418" s="164">
        <f>($L418*'Pivot Objective'!$C$9^6)*AE418*AF418</f>
        <v>10603364.469442895</v>
      </c>
      <c r="AH418" s="140"/>
      <c r="AI418" s="140"/>
      <c r="AJ418" s="164">
        <f>($L418*'Pivot Objective'!$C$9^7)*AH418*AI418</f>
        <v>0</v>
      </c>
      <c r="AK418" s="185">
        <f t="shared" si="45"/>
        <v>34225808.09412583</v>
      </c>
      <c r="AL418" s="186">
        <f t="shared" si="46"/>
        <v>33228.939897209544</v>
      </c>
    </row>
    <row r="419" spans="1:38" customFormat="1" ht="57.6" x14ac:dyDescent="0.3">
      <c r="A419" s="140" t="s">
        <v>1441</v>
      </c>
      <c r="B419" s="140">
        <v>1</v>
      </c>
      <c r="C419" s="166" t="s">
        <v>836</v>
      </c>
      <c r="D419" s="140" t="str">
        <f t="shared" si="48"/>
        <v>2</v>
      </c>
      <c r="E419" s="166" t="s">
        <v>992</v>
      </c>
      <c r="F419" s="140">
        <f t="shared" si="47"/>
        <v>2</v>
      </c>
      <c r="G419" s="140" t="str">
        <f t="shared" si="49"/>
        <v>1.2.2</v>
      </c>
      <c r="H419" s="166" t="s">
        <v>999</v>
      </c>
      <c r="I419" s="166" t="s">
        <v>1000</v>
      </c>
      <c r="J419" s="166" t="s">
        <v>1009</v>
      </c>
      <c r="K419" s="166" t="s">
        <v>709</v>
      </c>
      <c r="L419" s="167">
        <v>35000</v>
      </c>
      <c r="M419" s="166">
        <f>900*2</f>
        <v>1800</v>
      </c>
      <c r="N419" s="166">
        <v>5</v>
      </c>
      <c r="O419" s="164">
        <f t="shared" si="44"/>
        <v>315000000</v>
      </c>
      <c r="P419" s="166">
        <v>20000</v>
      </c>
      <c r="Q419" s="166">
        <v>1</v>
      </c>
      <c r="R419" s="164">
        <f>$L419*'Pivot Objective'!$C$9*P419*Q419</f>
        <v>800044767.89999986</v>
      </c>
      <c r="S419" s="166">
        <v>58</v>
      </c>
      <c r="T419" s="166">
        <v>5</v>
      </c>
      <c r="U419" s="164">
        <f>($L419*'Pivot Objective'!$C$9^2)*S419*T419</f>
        <v>13258626.634771984</v>
      </c>
      <c r="V419" s="166">
        <f>900*2</f>
        <v>1800</v>
      </c>
      <c r="W419" s="166">
        <v>5</v>
      </c>
      <c r="X419" s="164">
        <f>($L419*'Pivot Objective'!$C$9^3)*V419*W419</f>
        <v>470283023.73497635</v>
      </c>
      <c r="Y419" s="166">
        <v>0</v>
      </c>
      <c r="Z419" s="166">
        <v>0</v>
      </c>
      <c r="AA419" s="164">
        <f>($L419*'Pivot Objective'!$C$9^4)*Y419*Z419</f>
        <v>0</v>
      </c>
      <c r="AB419" s="166">
        <f>900*2</f>
        <v>1800</v>
      </c>
      <c r="AC419" s="166">
        <v>5</v>
      </c>
      <c r="AD419" s="164">
        <f>($L419*'Pivot Objective'!$C$9^5)*AB419*AC419</f>
        <v>614315962.99247897</v>
      </c>
      <c r="AE419" s="166">
        <f>900*2</f>
        <v>1800</v>
      </c>
      <c r="AF419" s="166">
        <v>5</v>
      </c>
      <c r="AG419" s="164">
        <f>($L419*'Pivot Objective'!$C$9^6)*AE419*AF419</f>
        <v>702114674.32797539</v>
      </c>
      <c r="AH419" s="140"/>
      <c r="AI419" s="140"/>
      <c r="AJ419" s="164">
        <f>($L419*'Pivot Objective'!$C$9^7)*AH419*AI419</f>
        <v>0</v>
      </c>
      <c r="AK419" s="185">
        <f t="shared" si="45"/>
        <v>2915017055.5902023</v>
      </c>
      <c r="AL419" s="186">
        <f t="shared" si="46"/>
        <v>2830113.64620408</v>
      </c>
    </row>
    <row r="420" spans="1:38" customFormat="1" ht="57.6" x14ac:dyDescent="0.3">
      <c r="A420" s="140" t="s">
        <v>1441</v>
      </c>
      <c r="B420" s="140">
        <v>1</v>
      </c>
      <c r="C420" s="166" t="s">
        <v>836</v>
      </c>
      <c r="D420" s="140" t="str">
        <f t="shared" si="48"/>
        <v>2</v>
      </c>
      <c r="E420" s="166" t="s">
        <v>992</v>
      </c>
      <c r="F420" s="140">
        <f t="shared" si="47"/>
        <v>2</v>
      </c>
      <c r="G420" s="140" t="str">
        <f t="shared" si="49"/>
        <v>1.2.2</v>
      </c>
      <c r="H420" s="166" t="s">
        <v>999</v>
      </c>
      <c r="I420" s="166" t="s">
        <v>1000</v>
      </c>
      <c r="J420" s="166" t="s">
        <v>1009</v>
      </c>
      <c r="K420" s="166" t="s">
        <v>712</v>
      </c>
      <c r="L420" s="167">
        <f>1480/7</f>
        <v>211.42857142857142</v>
      </c>
      <c r="M420" s="166">
        <v>58</v>
      </c>
      <c r="N420" s="166">
        <v>5</v>
      </c>
      <c r="O420" s="164">
        <f t="shared" si="44"/>
        <v>61314.28571428571</v>
      </c>
      <c r="P420" s="166">
        <v>5400</v>
      </c>
      <c r="Q420" s="166">
        <v>2</v>
      </c>
      <c r="R420" s="164">
        <f>$L420*'Pivot Objective'!$C$9*P420*Q420</f>
        <v>2609778.6877782852</v>
      </c>
      <c r="S420" s="166">
        <v>1800</v>
      </c>
      <c r="T420" s="166">
        <v>6</v>
      </c>
      <c r="U420" s="164">
        <f>($L420*'Pivot Objective'!$C$9^2)*S420*T420</f>
        <v>2982771.1207627784</v>
      </c>
      <c r="V420" s="166">
        <v>58</v>
      </c>
      <c r="W420" s="166">
        <v>5</v>
      </c>
      <c r="X420" s="164">
        <f>($L420*'Pivot Objective'!$C$9^3)*V420*W420</f>
        <v>91539.897409093799</v>
      </c>
      <c r="Y420" s="166">
        <v>0</v>
      </c>
      <c r="Z420" s="166">
        <v>0</v>
      </c>
      <c r="AA420" s="164">
        <f>($L420*'Pivot Objective'!$C$9^4)*Y420*Z420</f>
        <v>0</v>
      </c>
      <c r="AB420" s="166">
        <v>58</v>
      </c>
      <c r="AC420" s="166">
        <v>5</v>
      </c>
      <c r="AD420" s="164">
        <f>($L420*'Pivot Objective'!$C$9^5)*AB420*AC420</f>
        <v>119575.69674211882</v>
      </c>
      <c r="AE420" s="166">
        <v>58</v>
      </c>
      <c r="AF420" s="166">
        <v>5</v>
      </c>
      <c r="AG420" s="164">
        <f>($L420*'Pivot Objective'!$C$9^6)*AE420*AF420</f>
        <v>136665.58649504176</v>
      </c>
      <c r="AH420" s="140"/>
      <c r="AI420" s="140"/>
      <c r="AJ420" s="164">
        <f>($L420*'Pivot Objective'!$C$9^7)*AH420*AI420</f>
        <v>0</v>
      </c>
      <c r="AK420" s="185">
        <f t="shared" si="45"/>
        <v>6001645.2749016043</v>
      </c>
      <c r="AL420" s="186">
        <f t="shared" si="46"/>
        <v>5826.8400727200042</v>
      </c>
    </row>
    <row r="421" spans="1:38" customFormat="1" ht="57.6" x14ac:dyDescent="0.3">
      <c r="A421" s="140" t="s">
        <v>1441</v>
      </c>
      <c r="B421" s="140">
        <v>1</v>
      </c>
      <c r="C421" s="166" t="s">
        <v>836</v>
      </c>
      <c r="D421" s="140" t="str">
        <f t="shared" si="48"/>
        <v>2</v>
      </c>
      <c r="E421" s="166" t="s">
        <v>992</v>
      </c>
      <c r="F421" s="140">
        <f t="shared" si="47"/>
        <v>2</v>
      </c>
      <c r="G421" s="140" t="str">
        <f t="shared" si="49"/>
        <v>1.2.2</v>
      </c>
      <c r="H421" s="166" t="s">
        <v>999</v>
      </c>
      <c r="I421" s="166" t="s">
        <v>1000</v>
      </c>
      <c r="J421" s="166" t="s">
        <v>1009</v>
      </c>
      <c r="K421" s="166" t="s">
        <v>716</v>
      </c>
      <c r="L421" s="167">
        <v>39000</v>
      </c>
      <c r="M421" s="166">
        <v>1800</v>
      </c>
      <c r="N421" s="166">
        <v>6</v>
      </c>
      <c r="O421" s="164">
        <f t="shared" si="44"/>
        <v>421200000</v>
      </c>
      <c r="P421" s="166"/>
      <c r="Q421" s="166"/>
      <c r="R421" s="164">
        <f>$L421*'Pivot Objective'!$C$9*P421*Q421</f>
        <v>0</v>
      </c>
      <c r="S421" s="166">
        <v>22500</v>
      </c>
      <c r="T421" s="166">
        <v>2</v>
      </c>
      <c r="U421" s="164">
        <f>($L421*'Pivot Objective'!$C$9^2)*S421*T421</f>
        <v>2292501452.6132841</v>
      </c>
      <c r="V421" s="166">
        <v>1800</v>
      </c>
      <c r="W421" s="166">
        <v>6</v>
      </c>
      <c r="X421" s="164">
        <f>($L421*'Pivot Objective'!$C$9^3)*V421*W421</f>
        <v>628835586.02276826</v>
      </c>
      <c r="Y421" s="166"/>
      <c r="Z421" s="166"/>
      <c r="AA421" s="164">
        <f>($L421*'Pivot Objective'!$C$9^4)*Y421*Z421</f>
        <v>0</v>
      </c>
      <c r="AB421" s="166">
        <v>1800</v>
      </c>
      <c r="AC421" s="166">
        <v>6</v>
      </c>
      <c r="AD421" s="164">
        <f>($L421*'Pivot Objective'!$C$9^5)*AB421*AC421</f>
        <v>821428201.94422913</v>
      </c>
      <c r="AE421" s="166">
        <v>1800</v>
      </c>
      <c r="AF421" s="166">
        <v>6</v>
      </c>
      <c r="AG421" s="164">
        <f>($L421*'Pivot Objective'!$C$9^6)*AE421*AF421</f>
        <v>938827621.67283583</v>
      </c>
      <c r="AH421" s="140"/>
      <c r="AI421" s="140"/>
      <c r="AJ421" s="164">
        <f>($L421*'Pivot Objective'!$C$9^7)*AH421*AI421</f>
        <v>0</v>
      </c>
      <c r="AK421" s="185">
        <f t="shared" si="45"/>
        <v>5102792862.2531166</v>
      </c>
      <c r="AL421" s="186">
        <f t="shared" si="46"/>
        <v>4954167.8274302101</v>
      </c>
    </row>
    <row r="422" spans="1:38" customFormat="1" ht="57.6" x14ac:dyDescent="0.3">
      <c r="A422" s="140" t="s">
        <v>1441</v>
      </c>
      <c r="B422" s="140">
        <v>1</v>
      </c>
      <c r="C422" s="166" t="s">
        <v>836</v>
      </c>
      <c r="D422" s="140" t="str">
        <f t="shared" si="48"/>
        <v>2</v>
      </c>
      <c r="E422" s="166" t="s">
        <v>992</v>
      </c>
      <c r="F422" s="140">
        <f t="shared" si="47"/>
        <v>2</v>
      </c>
      <c r="G422" s="140" t="str">
        <f t="shared" si="49"/>
        <v>1.2.2</v>
      </c>
      <c r="H422" s="166" t="s">
        <v>999</v>
      </c>
      <c r="I422" s="166" t="s">
        <v>1000</v>
      </c>
      <c r="J422" s="166" t="s">
        <v>1009</v>
      </c>
      <c r="K422" s="166" t="s">
        <v>1299</v>
      </c>
      <c r="L422" s="167">
        <f>1480/7</f>
        <v>211.42857142857142</v>
      </c>
      <c r="M422" s="166">
        <v>22500</v>
      </c>
      <c r="N422" s="166">
        <v>2</v>
      </c>
      <c r="O422" s="164">
        <f t="shared" si="44"/>
        <v>9514285.7142857146</v>
      </c>
      <c r="P422" s="166"/>
      <c r="Q422" s="166"/>
      <c r="R422" s="164">
        <f>$L422*'Pivot Objective'!$C$9*P422*Q422</f>
        <v>0</v>
      </c>
      <c r="S422" s="166">
        <v>0</v>
      </c>
      <c r="T422" s="166">
        <v>0</v>
      </c>
      <c r="U422" s="164">
        <f>($L422*'Pivot Objective'!$C$9^2)*S422*T422</f>
        <v>0</v>
      </c>
      <c r="V422" s="166">
        <v>22500</v>
      </c>
      <c r="W422" s="166">
        <v>2</v>
      </c>
      <c r="X422" s="164">
        <f>($L422*'Pivot Objective'!$C$9^3)*V422*W422</f>
        <v>14204466.83934214</v>
      </c>
      <c r="Y422" s="166"/>
      <c r="Z422" s="166"/>
      <c r="AA422" s="164">
        <f>($L422*'Pivot Objective'!$C$9^4)*Y422*Z422</f>
        <v>0</v>
      </c>
      <c r="AB422" s="166">
        <v>22500</v>
      </c>
      <c r="AC422" s="166">
        <v>2</v>
      </c>
      <c r="AD422" s="164">
        <f>($L422*'Pivot Objective'!$C$9^5)*AB422*AC422</f>
        <v>18554849.494466711</v>
      </c>
      <c r="AE422" s="166">
        <v>22500</v>
      </c>
      <c r="AF422" s="166">
        <v>2</v>
      </c>
      <c r="AG422" s="164">
        <f>($L422*'Pivot Objective'!$C$9^6)*AE422*AF422</f>
        <v>21206728.938885789</v>
      </c>
      <c r="AH422" s="140"/>
      <c r="AI422" s="140"/>
      <c r="AJ422" s="164">
        <f>($L422*'Pivot Objective'!$C$9^7)*AH422*AI422</f>
        <v>0</v>
      </c>
      <c r="AK422" s="185">
        <f t="shared" si="45"/>
        <v>63480330.986980364</v>
      </c>
      <c r="AL422" s="186">
        <f t="shared" si="46"/>
        <v>61631.389307747922</v>
      </c>
    </row>
    <row r="423" spans="1:38" customFormat="1" ht="57.6" x14ac:dyDescent="0.3">
      <c r="A423" s="140" t="s">
        <v>1441</v>
      </c>
      <c r="B423" s="140">
        <v>1</v>
      </c>
      <c r="C423" s="166" t="s">
        <v>836</v>
      </c>
      <c r="D423" s="140" t="str">
        <f t="shared" si="48"/>
        <v>2</v>
      </c>
      <c r="E423" s="166" t="s">
        <v>992</v>
      </c>
      <c r="F423" s="140">
        <f t="shared" si="47"/>
        <v>2</v>
      </c>
      <c r="G423" s="140" t="str">
        <f t="shared" si="49"/>
        <v>1.2.2</v>
      </c>
      <c r="H423" s="166" t="s">
        <v>999</v>
      </c>
      <c r="I423" s="166" t="s">
        <v>1000</v>
      </c>
      <c r="J423" s="166" t="s">
        <v>945</v>
      </c>
      <c r="K423" s="166" t="s">
        <v>841</v>
      </c>
      <c r="L423" s="167">
        <v>0</v>
      </c>
      <c r="M423" s="166">
        <v>0</v>
      </c>
      <c r="N423" s="166">
        <v>0</v>
      </c>
      <c r="O423" s="164">
        <f t="shared" si="44"/>
        <v>0</v>
      </c>
      <c r="P423" s="166">
        <v>20000</v>
      </c>
      <c r="Q423" s="166">
        <v>5</v>
      </c>
      <c r="R423" s="164">
        <f>$L423*'Pivot Objective'!$C$9*P423*Q423</f>
        <v>0</v>
      </c>
      <c r="S423" s="166">
        <v>0</v>
      </c>
      <c r="T423" s="166">
        <v>0</v>
      </c>
      <c r="U423" s="164">
        <f>($L423*'Pivot Objective'!$C$9^2)*S423*T423</f>
        <v>0</v>
      </c>
      <c r="V423" s="166">
        <v>0</v>
      </c>
      <c r="W423" s="166">
        <v>0</v>
      </c>
      <c r="X423" s="164">
        <f>($L423*'Pivot Objective'!$C$9^3)*V423*W423</f>
        <v>0</v>
      </c>
      <c r="Y423" s="166">
        <v>0</v>
      </c>
      <c r="Z423" s="166">
        <v>0</v>
      </c>
      <c r="AA423" s="164">
        <f>($L423*'Pivot Objective'!$C$9^4)*Y423*Z423</f>
        <v>0</v>
      </c>
      <c r="AB423" s="166">
        <v>0</v>
      </c>
      <c r="AC423" s="166">
        <v>0</v>
      </c>
      <c r="AD423" s="164">
        <f>($L423*'Pivot Objective'!$C$9^5)*AB423*AC423</f>
        <v>0</v>
      </c>
      <c r="AE423" s="166">
        <v>0</v>
      </c>
      <c r="AF423" s="166">
        <v>0</v>
      </c>
      <c r="AG423" s="164">
        <f>($L423*'Pivot Objective'!$C$9^6)*AE423*AF423</f>
        <v>0</v>
      </c>
      <c r="AH423" s="140"/>
      <c r="AI423" s="140"/>
      <c r="AJ423" s="164">
        <f>($L423*'Pivot Objective'!$C$9^7)*AH423*AI423</f>
        <v>0</v>
      </c>
      <c r="AK423" s="185">
        <f t="shared" si="45"/>
        <v>0</v>
      </c>
      <c r="AL423" s="186">
        <f t="shared" si="46"/>
        <v>0</v>
      </c>
    </row>
    <row r="424" spans="1:38" customFormat="1" ht="57.6" x14ac:dyDescent="0.3">
      <c r="A424" s="140" t="s">
        <v>1441</v>
      </c>
      <c r="B424" s="140">
        <v>1</v>
      </c>
      <c r="C424" s="166" t="s">
        <v>836</v>
      </c>
      <c r="D424" s="140" t="str">
        <f t="shared" si="48"/>
        <v>2</v>
      </c>
      <c r="E424" s="166" t="s">
        <v>992</v>
      </c>
      <c r="F424" s="140">
        <f t="shared" si="47"/>
        <v>2</v>
      </c>
      <c r="G424" s="140" t="str">
        <f t="shared" si="49"/>
        <v>1.2.2</v>
      </c>
      <c r="H424" s="166" t="s">
        <v>999</v>
      </c>
      <c r="I424" s="166" t="s">
        <v>1000</v>
      </c>
      <c r="J424" s="166" t="s">
        <v>1010</v>
      </c>
      <c r="K424" s="166" t="s">
        <v>841</v>
      </c>
      <c r="L424" s="167">
        <v>0</v>
      </c>
      <c r="M424" s="166">
        <v>0</v>
      </c>
      <c r="N424" s="166">
        <v>0</v>
      </c>
      <c r="O424" s="164">
        <f t="shared" si="44"/>
        <v>0</v>
      </c>
      <c r="P424" s="166">
        <v>0</v>
      </c>
      <c r="Q424" s="166">
        <v>0</v>
      </c>
      <c r="R424" s="164">
        <f>$L424*'Pivot Objective'!$C$9*P424*Q424</f>
        <v>0</v>
      </c>
      <c r="S424" s="166">
        <v>0</v>
      </c>
      <c r="T424" s="166">
        <v>0</v>
      </c>
      <c r="U424" s="164">
        <f>($L424*'Pivot Objective'!$C$9^2)*S424*T424</f>
        <v>0</v>
      </c>
      <c r="V424" s="166">
        <v>0</v>
      </c>
      <c r="W424" s="166">
        <v>0</v>
      </c>
      <c r="X424" s="164">
        <f>($L424*'Pivot Objective'!$C$9^3)*V424*W424</f>
        <v>0</v>
      </c>
      <c r="Y424" s="166">
        <v>0</v>
      </c>
      <c r="Z424" s="166">
        <v>0</v>
      </c>
      <c r="AA424" s="164">
        <f>($L424*'Pivot Objective'!$C$9^4)*Y424*Z424</f>
        <v>0</v>
      </c>
      <c r="AB424" s="166">
        <v>0</v>
      </c>
      <c r="AC424" s="166">
        <v>0</v>
      </c>
      <c r="AD424" s="164">
        <f>($L424*'Pivot Objective'!$C$9^5)*AB424*AC424</f>
        <v>0</v>
      </c>
      <c r="AE424" s="166">
        <v>0</v>
      </c>
      <c r="AF424" s="166">
        <v>0</v>
      </c>
      <c r="AG424" s="164">
        <f>($L424*'Pivot Objective'!$C$9^6)*AE424*AF424</f>
        <v>0</v>
      </c>
      <c r="AH424" s="140"/>
      <c r="AI424" s="140"/>
      <c r="AJ424" s="164">
        <f>($L424*'Pivot Objective'!$C$9^7)*AH424*AI424</f>
        <v>0</v>
      </c>
      <c r="AK424" s="185">
        <f t="shared" si="45"/>
        <v>0</v>
      </c>
      <c r="AL424" s="186">
        <f t="shared" si="46"/>
        <v>0</v>
      </c>
    </row>
    <row r="425" spans="1:38" customFormat="1" ht="115.2" x14ac:dyDescent="0.3">
      <c r="A425" s="140" t="s">
        <v>1441</v>
      </c>
      <c r="B425" s="140">
        <v>1</v>
      </c>
      <c r="C425" s="166" t="s">
        <v>836</v>
      </c>
      <c r="D425" s="140" t="str">
        <f t="shared" si="48"/>
        <v>2</v>
      </c>
      <c r="E425" s="166" t="s">
        <v>992</v>
      </c>
      <c r="F425" s="140">
        <f t="shared" si="47"/>
        <v>3</v>
      </c>
      <c r="G425" s="140" t="str">
        <f t="shared" si="49"/>
        <v>1.2.3</v>
      </c>
      <c r="H425" s="166" t="s">
        <v>1011</v>
      </c>
      <c r="I425" s="166" t="s">
        <v>1012</v>
      </c>
      <c r="J425" s="166" t="s">
        <v>1013</v>
      </c>
      <c r="K425" s="166" t="s">
        <v>707</v>
      </c>
      <c r="L425" s="167">
        <v>391991.03749999998</v>
      </c>
      <c r="M425" s="166">
        <v>2</v>
      </c>
      <c r="N425" s="166">
        <v>2</v>
      </c>
      <c r="O425" s="164">
        <f t="shared" si="44"/>
        <v>1567964.15</v>
      </c>
      <c r="P425" s="166">
        <v>0</v>
      </c>
      <c r="Q425" s="166">
        <v>0</v>
      </c>
      <c r="R425" s="164">
        <f>$L425*'Pivot Objective'!$C$9*P425*Q425</f>
        <v>0</v>
      </c>
      <c r="S425" s="166">
        <v>0</v>
      </c>
      <c r="T425" s="166">
        <v>0</v>
      </c>
      <c r="U425" s="164">
        <f>($L425*'Pivot Objective'!$C$9^2)*S425*T425</f>
        <v>0</v>
      </c>
      <c r="V425" s="166">
        <v>0</v>
      </c>
      <c r="W425" s="166">
        <v>0</v>
      </c>
      <c r="X425" s="164">
        <f>($L425*'Pivot Objective'!$C$9^3)*V425*W425</f>
        <v>0</v>
      </c>
      <c r="Y425" s="166">
        <v>2</v>
      </c>
      <c r="Z425" s="166">
        <v>2</v>
      </c>
      <c r="AA425" s="164">
        <f>($L425*'Pivot Objective'!$C$9^4)*Y425*Z425</f>
        <v>2675476.4105215403</v>
      </c>
      <c r="AB425" s="140"/>
      <c r="AC425" s="140"/>
      <c r="AD425" s="164">
        <f>($L425*'Pivot Objective'!$C$9^5)*AB425*AC425</f>
        <v>0</v>
      </c>
      <c r="AE425" s="140"/>
      <c r="AF425" s="140"/>
      <c r="AG425" s="164">
        <f>($L425*'Pivot Objective'!$C$9^6)*AE425*AF425</f>
        <v>0</v>
      </c>
      <c r="AH425" s="140"/>
      <c r="AI425" s="140"/>
      <c r="AJ425" s="164">
        <f>($L425*'Pivot Objective'!$C$9^7)*AH425*AI425</f>
        <v>0</v>
      </c>
      <c r="AK425" s="185">
        <f t="shared" si="45"/>
        <v>4243440.5605215402</v>
      </c>
      <c r="AL425" s="186">
        <f t="shared" si="46"/>
        <v>4119.8452043898451</v>
      </c>
    </row>
    <row r="426" spans="1:38" customFormat="1" ht="115.2" x14ac:dyDescent="0.3">
      <c r="A426" s="140" t="s">
        <v>1441</v>
      </c>
      <c r="B426" s="140">
        <v>1</v>
      </c>
      <c r="C426" s="166" t="s">
        <v>836</v>
      </c>
      <c r="D426" s="140" t="str">
        <f t="shared" si="48"/>
        <v>2</v>
      </c>
      <c r="E426" s="166" t="s">
        <v>992</v>
      </c>
      <c r="F426" s="140">
        <f t="shared" si="47"/>
        <v>3</v>
      </c>
      <c r="G426" s="140" t="str">
        <f t="shared" si="49"/>
        <v>1.2.3</v>
      </c>
      <c r="H426" s="166" t="s">
        <v>1011</v>
      </c>
      <c r="I426" s="166" t="s">
        <v>1012</v>
      </c>
      <c r="J426" s="166" t="s">
        <v>1013</v>
      </c>
      <c r="K426" s="166" t="s">
        <v>708</v>
      </c>
      <c r="L426" s="167">
        <f>500*1022</f>
        <v>511000</v>
      </c>
      <c r="M426" s="166">
        <v>1</v>
      </c>
      <c r="N426" s="166">
        <v>25</v>
      </c>
      <c r="O426" s="164">
        <f t="shared" si="44"/>
        <v>12775000</v>
      </c>
      <c r="P426" s="166">
        <v>0</v>
      </c>
      <c r="Q426" s="166">
        <v>0</v>
      </c>
      <c r="R426" s="164">
        <f>$L426*'Pivot Objective'!$C$9*P426*Q426</f>
        <v>0</v>
      </c>
      <c r="S426" s="166">
        <v>0</v>
      </c>
      <c r="T426" s="166">
        <v>0</v>
      </c>
      <c r="U426" s="164">
        <f>($L426*'Pivot Objective'!$C$9^2)*S426*T426</f>
        <v>0</v>
      </c>
      <c r="V426" s="166">
        <v>1</v>
      </c>
      <c r="W426" s="166">
        <v>4</v>
      </c>
      <c r="X426" s="164">
        <f>($L426*'Pivot Objective'!$C$9^3)*V426*W426</f>
        <v>3051614.2873469573</v>
      </c>
      <c r="Y426" s="166">
        <v>1</v>
      </c>
      <c r="Z426" s="166">
        <v>25</v>
      </c>
      <c r="AA426" s="164">
        <f>($L426*'Pivot Objective'!$C$9^4)*Y426*Z426</f>
        <v>21798464.680721607</v>
      </c>
      <c r="AB426" s="140"/>
      <c r="AC426" s="140"/>
      <c r="AD426" s="164">
        <f>($L426*'Pivot Objective'!$C$9^5)*AB426*AC426</f>
        <v>0</v>
      </c>
      <c r="AE426" s="140"/>
      <c r="AF426" s="140"/>
      <c r="AG426" s="164">
        <f>($L426*'Pivot Objective'!$C$9^6)*AE426*AF426</f>
        <v>0</v>
      </c>
      <c r="AH426" s="140"/>
      <c r="AI426" s="140"/>
      <c r="AJ426" s="164">
        <f>($L426*'Pivot Objective'!$C$9^7)*AH426*AI426</f>
        <v>0</v>
      </c>
      <c r="AK426" s="185">
        <f t="shared" si="45"/>
        <v>37625078.968068562</v>
      </c>
      <c r="AL426" s="186">
        <f t="shared" si="46"/>
        <v>36529.20288161996</v>
      </c>
    </row>
    <row r="427" spans="1:38" customFormat="1" ht="57.6" x14ac:dyDescent="0.3">
      <c r="A427" s="140" t="s">
        <v>1441</v>
      </c>
      <c r="B427" s="140">
        <v>1</v>
      </c>
      <c r="C427" s="166" t="s">
        <v>836</v>
      </c>
      <c r="D427" s="140" t="str">
        <f t="shared" si="48"/>
        <v>2</v>
      </c>
      <c r="E427" s="166" t="s">
        <v>992</v>
      </c>
      <c r="F427" s="140">
        <f t="shared" si="47"/>
        <v>3</v>
      </c>
      <c r="G427" s="140" t="str">
        <f t="shared" si="49"/>
        <v>1.2.3</v>
      </c>
      <c r="H427" s="166" t="s">
        <v>1011</v>
      </c>
      <c r="I427" s="166" t="s">
        <v>1012</v>
      </c>
      <c r="J427" s="166" t="s">
        <v>1363</v>
      </c>
      <c r="K427" s="166" t="s">
        <v>709</v>
      </c>
      <c r="L427" s="167">
        <v>35000</v>
      </c>
      <c r="M427" s="166">
        <v>25</v>
      </c>
      <c r="N427" s="166">
        <v>5</v>
      </c>
      <c r="O427" s="164">
        <f t="shared" si="44"/>
        <v>4375000</v>
      </c>
      <c r="P427" s="166"/>
      <c r="Q427" s="166"/>
      <c r="R427" s="164">
        <f>$L427*'Pivot Objective'!$C$9*P427*Q427</f>
        <v>0</v>
      </c>
      <c r="S427" s="166"/>
      <c r="T427" s="166"/>
      <c r="U427" s="164">
        <f>($L427*'Pivot Objective'!$C$9^2)*S427*T427</f>
        <v>0</v>
      </c>
      <c r="V427" s="166"/>
      <c r="W427" s="166"/>
      <c r="X427" s="164">
        <f>($L427*'Pivot Objective'!$C$9^3)*V427*W427</f>
        <v>0</v>
      </c>
      <c r="Y427" s="166">
        <v>25</v>
      </c>
      <c r="Z427" s="166">
        <v>5</v>
      </c>
      <c r="AA427" s="164">
        <f>($L427*'Pivot Objective'!$C$9^4)*Y427*Z427</f>
        <v>7465227.6303841127</v>
      </c>
      <c r="AB427" s="140"/>
      <c r="AC427" s="140"/>
      <c r="AD427" s="164">
        <f>($L427*'Pivot Objective'!$C$9^5)*AB427*AC427</f>
        <v>0</v>
      </c>
      <c r="AE427" s="140"/>
      <c r="AF427" s="140"/>
      <c r="AG427" s="164">
        <f>($L427*'Pivot Objective'!$C$9^6)*AE427*AF427</f>
        <v>0</v>
      </c>
      <c r="AH427" s="140"/>
      <c r="AI427" s="140"/>
      <c r="AJ427" s="164">
        <f>($L427*'Pivot Objective'!$C$9^7)*AH427*AI427</f>
        <v>0</v>
      </c>
      <c r="AK427" s="185">
        <f t="shared" si="45"/>
        <v>11840227.630384114</v>
      </c>
      <c r="AL427" s="186">
        <f t="shared" si="46"/>
        <v>11495.366631440887</v>
      </c>
    </row>
    <row r="428" spans="1:38" customFormat="1" ht="57.6" x14ac:dyDescent="0.3">
      <c r="A428" s="140" t="s">
        <v>1441</v>
      </c>
      <c r="B428" s="140">
        <v>1</v>
      </c>
      <c r="C428" s="166" t="s">
        <v>836</v>
      </c>
      <c r="D428" s="140" t="str">
        <f t="shared" si="48"/>
        <v>2</v>
      </c>
      <c r="E428" s="166" t="s">
        <v>992</v>
      </c>
      <c r="F428" s="140">
        <f t="shared" si="47"/>
        <v>3</v>
      </c>
      <c r="G428" s="140" t="str">
        <f t="shared" si="49"/>
        <v>1.2.3</v>
      </c>
      <c r="H428" s="166" t="s">
        <v>1011</v>
      </c>
      <c r="I428" s="166" t="s">
        <v>1012</v>
      </c>
      <c r="J428" s="166" t="s">
        <v>1363</v>
      </c>
      <c r="K428" s="166" t="s">
        <v>712</v>
      </c>
      <c r="L428" s="167">
        <f>1480/7</f>
        <v>211.42857142857142</v>
      </c>
      <c r="M428" s="166">
        <f>2*25*9</f>
        <v>450</v>
      </c>
      <c r="N428" s="166">
        <v>5</v>
      </c>
      <c r="O428" s="164">
        <f t="shared" si="44"/>
        <v>475714.28571428568</v>
      </c>
      <c r="P428" s="166"/>
      <c r="Q428" s="166"/>
      <c r="R428" s="164">
        <f>$L428*'Pivot Objective'!$C$9*P428*Q428</f>
        <v>0</v>
      </c>
      <c r="S428" s="166"/>
      <c r="T428" s="166"/>
      <c r="U428" s="164">
        <f>($L428*'Pivot Objective'!$C$9^2)*S428*T428</f>
        <v>0</v>
      </c>
      <c r="V428" s="166"/>
      <c r="W428" s="166"/>
      <c r="X428" s="164">
        <f>($L428*'Pivot Objective'!$C$9^3)*V428*W428</f>
        <v>0</v>
      </c>
      <c r="Y428" s="166">
        <f>2*25*9</f>
        <v>450</v>
      </c>
      <c r="Z428" s="166">
        <v>5</v>
      </c>
      <c r="AA428" s="164">
        <f>($L428*'Pivot Objective'!$C$9^4)*Y428*Z428</f>
        <v>811729.24111605203</v>
      </c>
      <c r="AB428" s="140"/>
      <c r="AC428" s="140"/>
      <c r="AD428" s="164">
        <f>($L428*'Pivot Objective'!$C$9^5)*AB428*AC428</f>
        <v>0</v>
      </c>
      <c r="AE428" s="140"/>
      <c r="AF428" s="140"/>
      <c r="AG428" s="164">
        <f>($L428*'Pivot Objective'!$C$9^6)*AE428*AF428</f>
        <v>0</v>
      </c>
      <c r="AH428" s="140"/>
      <c r="AI428" s="140"/>
      <c r="AJ428" s="164">
        <f>($L428*'Pivot Objective'!$C$9^7)*AH428*AI428</f>
        <v>0</v>
      </c>
      <c r="AK428" s="185">
        <f t="shared" si="45"/>
        <v>1287443.5268303377</v>
      </c>
      <c r="AL428" s="186">
        <f t="shared" si="46"/>
        <v>1249.9451716799394</v>
      </c>
    </row>
    <row r="429" spans="1:38" customFormat="1" ht="57.6" x14ac:dyDescent="0.3">
      <c r="A429" s="140" t="s">
        <v>1441</v>
      </c>
      <c r="B429" s="140">
        <v>1</v>
      </c>
      <c r="C429" s="166" t="s">
        <v>836</v>
      </c>
      <c r="D429" s="140" t="str">
        <f t="shared" si="48"/>
        <v>2</v>
      </c>
      <c r="E429" s="166" t="s">
        <v>992</v>
      </c>
      <c r="F429" s="140">
        <f t="shared" si="47"/>
        <v>3</v>
      </c>
      <c r="G429" s="140" t="str">
        <f t="shared" si="49"/>
        <v>1.2.3</v>
      </c>
      <c r="H429" s="166" t="s">
        <v>1011</v>
      </c>
      <c r="I429" s="166" t="s">
        <v>1012</v>
      </c>
      <c r="J429" s="166" t="s">
        <v>1363</v>
      </c>
      <c r="K429" s="166" t="s">
        <v>716</v>
      </c>
      <c r="L429" s="167">
        <v>39000</v>
      </c>
      <c r="M429" s="166">
        <v>25</v>
      </c>
      <c r="N429" s="166">
        <v>6</v>
      </c>
      <c r="O429" s="164">
        <f t="shared" si="44"/>
        <v>5850000</v>
      </c>
      <c r="P429" s="166"/>
      <c r="Q429" s="166"/>
      <c r="R429" s="164">
        <f>$L429*'Pivot Objective'!$C$9*P429*Q429</f>
        <v>0</v>
      </c>
      <c r="S429" s="166"/>
      <c r="T429" s="166"/>
      <c r="U429" s="164">
        <f>($L429*'Pivot Objective'!$C$9^2)*S429*T429</f>
        <v>0</v>
      </c>
      <c r="V429" s="166"/>
      <c r="W429" s="166"/>
      <c r="X429" s="164">
        <f>($L429*'Pivot Objective'!$C$9^3)*V429*W429</f>
        <v>0</v>
      </c>
      <c r="Y429" s="166">
        <v>25</v>
      </c>
      <c r="Z429" s="166">
        <v>6</v>
      </c>
      <c r="AA429" s="164">
        <f>($L429*'Pivot Objective'!$C$9^4)*Y429*Z429</f>
        <v>9982075.8029136136</v>
      </c>
      <c r="AB429" s="140"/>
      <c r="AC429" s="140"/>
      <c r="AD429" s="164">
        <f>($L429*'Pivot Objective'!$C$9^5)*AB429*AC429</f>
        <v>0</v>
      </c>
      <c r="AE429" s="140"/>
      <c r="AF429" s="140"/>
      <c r="AG429" s="164">
        <f>($L429*'Pivot Objective'!$C$9^6)*AE429*AF429</f>
        <v>0</v>
      </c>
      <c r="AH429" s="140"/>
      <c r="AI429" s="140"/>
      <c r="AJ429" s="164">
        <f>($L429*'Pivot Objective'!$C$9^7)*AH429*AI429</f>
        <v>0</v>
      </c>
      <c r="AK429" s="185">
        <f t="shared" si="45"/>
        <v>15832075.802913614</v>
      </c>
      <c r="AL429" s="186">
        <f t="shared" si="46"/>
        <v>15370.947381469528</v>
      </c>
    </row>
    <row r="430" spans="1:38" customFormat="1" ht="57.6" x14ac:dyDescent="0.3">
      <c r="A430" s="140" t="s">
        <v>1441</v>
      </c>
      <c r="B430" s="140">
        <v>1</v>
      </c>
      <c r="C430" s="166" t="s">
        <v>836</v>
      </c>
      <c r="D430" s="140" t="str">
        <f t="shared" si="48"/>
        <v>2</v>
      </c>
      <c r="E430" s="166" t="s">
        <v>992</v>
      </c>
      <c r="F430" s="140">
        <f t="shared" si="47"/>
        <v>3</v>
      </c>
      <c r="G430" s="140" t="str">
        <f t="shared" si="49"/>
        <v>1.2.3</v>
      </c>
      <c r="H430" s="166" t="s">
        <v>1011</v>
      </c>
      <c r="I430" s="166" t="s">
        <v>1012</v>
      </c>
      <c r="J430" s="166" t="s">
        <v>1363</v>
      </c>
      <c r="K430" s="166" t="s">
        <v>1299</v>
      </c>
      <c r="L430" s="167">
        <f>1480/7</f>
        <v>211.42857142857142</v>
      </c>
      <c r="M430" s="166">
        <f>2*135*9</f>
        <v>2430</v>
      </c>
      <c r="N430" s="166">
        <v>1</v>
      </c>
      <c r="O430" s="164">
        <f t="shared" si="44"/>
        <v>513771.42857142852</v>
      </c>
      <c r="P430" s="166"/>
      <c r="Q430" s="166"/>
      <c r="R430" s="164">
        <f>$L430*'Pivot Objective'!$C$9*P430*Q430</f>
        <v>0</v>
      </c>
      <c r="S430" s="166"/>
      <c r="T430" s="166"/>
      <c r="U430" s="164">
        <f>($L430*'Pivot Objective'!$C$9^2)*S430*T430</f>
        <v>0</v>
      </c>
      <c r="V430" s="166"/>
      <c r="W430" s="166"/>
      <c r="X430" s="164">
        <f>($L430*'Pivot Objective'!$C$9^3)*V430*W430</f>
        <v>0</v>
      </c>
      <c r="Y430" s="166">
        <f>2*135*9</f>
        <v>2430</v>
      </c>
      <c r="Z430" s="166">
        <v>1</v>
      </c>
      <c r="AA430" s="164">
        <f>($L430*'Pivot Objective'!$C$9^4)*Y430*Z430</f>
        <v>876667.58040533611</v>
      </c>
      <c r="AB430" s="140"/>
      <c r="AC430" s="140"/>
      <c r="AD430" s="164">
        <f>($L430*'Pivot Objective'!$C$9^5)*AB430*AC430</f>
        <v>0</v>
      </c>
      <c r="AE430" s="140"/>
      <c r="AF430" s="140"/>
      <c r="AG430" s="164">
        <f>($L430*'Pivot Objective'!$C$9^6)*AE430*AF430</f>
        <v>0</v>
      </c>
      <c r="AH430" s="140"/>
      <c r="AI430" s="140"/>
      <c r="AJ430" s="164">
        <f>($L430*'Pivot Objective'!$C$9^7)*AH430*AI430</f>
        <v>0</v>
      </c>
      <c r="AK430" s="185">
        <f t="shared" si="45"/>
        <v>1390439.0089767645</v>
      </c>
      <c r="AL430" s="186">
        <f t="shared" si="46"/>
        <v>1349.9407854143344</v>
      </c>
    </row>
    <row r="431" spans="1:38" customFormat="1" ht="57.6" x14ac:dyDescent="0.3">
      <c r="A431" s="140" t="s">
        <v>1441</v>
      </c>
      <c r="B431" s="140">
        <v>1</v>
      </c>
      <c r="C431" s="166" t="s">
        <v>836</v>
      </c>
      <c r="D431" s="140" t="str">
        <f t="shared" si="48"/>
        <v>2</v>
      </c>
      <c r="E431" s="166" t="s">
        <v>992</v>
      </c>
      <c r="F431" s="140">
        <f t="shared" ref="F431:F462" si="50">IF(H431=H430,F430,F430+1)</f>
        <v>3</v>
      </c>
      <c r="G431" s="140" t="str">
        <f t="shared" si="49"/>
        <v>1.2.3</v>
      </c>
      <c r="H431" s="166" t="s">
        <v>1011</v>
      </c>
      <c r="I431" s="166" t="s">
        <v>1012</v>
      </c>
      <c r="J431" s="166" t="s">
        <v>912</v>
      </c>
      <c r="K431" s="166" t="s">
        <v>841</v>
      </c>
      <c r="L431" s="167">
        <v>0</v>
      </c>
      <c r="M431" s="166">
        <v>0</v>
      </c>
      <c r="N431" s="166">
        <v>0</v>
      </c>
      <c r="O431" s="164">
        <f t="shared" si="44"/>
        <v>0</v>
      </c>
      <c r="P431" s="166">
        <v>0</v>
      </c>
      <c r="Q431" s="166">
        <v>0</v>
      </c>
      <c r="R431" s="164">
        <f>$L431*'Pivot Objective'!$C$9*P431*Q431</f>
        <v>0</v>
      </c>
      <c r="S431" s="166">
        <v>0</v>
      </c>
      <c r="T431" s="166">
        <v>0</v>
      </c>
      <c r="U431" s="164">
        <f>($L431*'Pivot Objective'!$C$9^2)*S431*T431</f>
        <v>0</v>
      </c>
      <c r="V431" s="166">
        <v>5</v>
      </c>
      <c r="W431" s="166">
        <v>14</v>
      </c>
      <c r="X431" s="164">
        <f>($L431*'Pivot Objective'!$C$9^3)*V431*W431</f>
        <v>0</v>
      </c>
      <c r="Y431" s="166">
        <v>0</v>
      </c>
      <c r="Z431" s="166">
        <v>0</v>
      </c>
      <c r="AA431" s="164">
        <f>($L431*'Pivot Objective'!$C$9^4)*Y431*Z431</f>
        <v>0</v>
      </c>
      <c r="AB431" s="140"/>
      <c r="AC431" s="140"/>
      <c r="AD431" s="164">
        <f>($L431*'Pivot Objective'!$C$9^5)*AB431*AC431</f>
        <v>0</v>
      </c>
      <c r="AE431" s="140"/>
      <c r="AF431" s="140"/>
      <c r="AG431" s="164">
        <f>($L431*'Pivot Objective'!$C$9^6)*AE431*AF431</f>
        <v>0</v>
      </c>
      <c r="AH431" s="140"/>
      <c r="AI431" s="140"/>
      <c r="AJ431" s="164">
        <f>($L431*'Pivot Objective'!$C$9^7)*AH431*AI431</f>
        <v>0</v>
      </c>
      <c r="AK431" s="185">
        <f t="shared" si="45"/>
        <v>0</v>
      </c>
      <c r="AL431" s="186">
        <f t="shared" si="46"/>
        <v>0</v>
      </c>
    </row>
    <row r="432" spans="1:38" customFormat="1" ht="57.6" x14ac:dyDescent="0.3">
      <c r="A432" s="140" t="s">
        <v>1441</v>
      </c>
      <c r="B432" s="140">
        <v>1</v>
      </c>
      <c r="C432" s="166" t="s">
        <v>836</v>
      </c>
      <c r="D432" s="140" t="str">
        <f t="shared" si="48"/>
        <v>2</v>
      </c>
      <c r="E432" s="166" t="s">
        <v>992</v>
      </c>
      <c r="F432" s="140">
        <f t="shared" si="50"/>
        <v>3</v>
      </c>
      <c r="G432" s="140" t="str">
        <f t="shared" si="49"/>
        <v>1.2.3</v>
      </c>
      <c r="H432" s="166" t="s">
        <v>1011</v>
      </c>
      <c r="I432" s="166" t="s">
        <v>1012</v>
      </c>
      <c r="J432" s="166" t="s">
        <v>1015</v>
      </c>
      <c r="K432" s="166" t="s">
        <v>1364</v>
      </c>
      <c r="L432" s="146">
        <f>1480/7</f>
        <v>211.42857142857142</v>
      </c>
      <c r="M432" s="167">
        <f>2*25*9</f>
        <v>450</v>
      </c>
      <c r="N432" s="166">
        <v>5</v>
      </c>
      <c r="O432" s="164">
        <f t="shared" si="44"/>
        <v>475714.28571428568</v>
      </c>
      <c r="P432" s="166"/>
      <c r="Q432" s="166"/>
      <c r="R432" s="164">
        <f>$L432*'Pivot Objective'!$C$9*P432*Q432</f>
        <v>0</v>
      </c>
      <c r="S432" s="166"/>
      <c r="T432" s="166"/>
      <c r="U432" s="164">
        <f>($L432*'Pivot Objective'!$C$9^2)*S432*T432</f>
        <v>0</v>
      </c>
      <c r="V432" s="166"/>
      <c r="W432" s="166"/>
      <c r="X432" s="164">
        <f>($L432*'Pivot Objective'!$C$9^3)*V432*W432</f>
        <v>0</v>
      </c>
      <c r="Y432" s="167">
        <f>2*25*9</f>
        <v>450</v>
      </c>
      <c r="Z432" s="166">
        <v>5</v>
      </c>
      <c r="AA432" s="164">
        <f>($L432*'Pivot Objective'!$C$9^4)*Y432*Z432</f>
        <v>811729.24111605203</v>
      </c>
      <c r="AB432" s="140"/>
      <c r="AC432" s="140"/>
      <c r="AD432" s="164">
        <f>($L432*'Pivot Objective'!$C$9^5)*AB432*AC432</f>
        <v>0</v>
      </c>
      <c r="AE432" s="140"/>
      <c r="AF432" s="140"/>
      <c r="AG432" s="164">
        <f>($L432*'Pivot Objective'!$C$9^6)*AE432*AF432</f>
        <v>0</v>
      </c>
      <c r="AH432" s="140"/>
      <c r="AI432" s="140"/>
      <c r="AJ432" s="164">
        <f>($L432*'Pivot Objective'!$C$9^7)*AH432*AI432</f>
        <v>0</v>
      </c>
      <c r="AK432" s="185">
        <f t="shared" si="45"/>
        <v>1287443.5268303377</v>
      </c>
      <c r="AL432" s="186">
        <f t="shared" si="46"/>
        <v>1249.9451716799394</v>
      </c>
    </row>
    <row r="433" spans="1:38" customFormat="1" ht="57.6" x14ac:dyDescent="0.3">
      <c r="A433" s="140" t="s">
        <v>1441</v>
      </c>
      <c r="B433" s="140">
        <v>1</v>
      </c>
      <c r="C433" s="166" t="s">
        <v>836</v>
      </c>
      <c r="D433" s="140" t="str">
        <f t="shared" si="48"/>
        <v>2</v>
      </c>
      <c r="E433" s="166" t="s">
        <v>992</v>
      </c>
      <c r="F433" s="140">
        <f t="shared" si="50"/>
        <v>3</v>
      </c>
      <c r="G433" s="140" t="str">
        <f t="shared" si="49"/>
        <v>1.2.3</v>
      </c>
      <c r="H433" s="166" t="s">
        <v>1011</v>
      </c>
      <c r="I433" s="166" t="s">
        <v>1012</v>
      </c>
      <c r="J433" s="166" t="s">
        <v>1015</v>
      </c>
      <c r="K433" s="166" t="s">
        <v>716</v>
      </c>
      <c r="L433" s="167">
        <v>39000</v>
      </c>
      <c r="M433" s="140">
        <v>25</v>
      </c>
      <c r="N433" s="166">
        <v>6</v>
      </c>
      <c r="O433" s="164">
        <f t="shared" si="44"/>
        <v>5850000</v>
      </c>
      <c r="P433" s="166"/>
      <c r="Q433" s="166"/>
      <c r="R433" s="164">
        <f>$L433*'Pivot Objective'!$C$9*P433*Q433</f>
        <v>0</v>
      </c>
      <c r="S433" s="166"/>
      <c r="T433" s="166"/>
      <c r="U433" s="164">
        <f>($L433*'Pivot Objective'!$C$9^2)*S433*T433</f>
        <v>0</v>
      </c>
      <c r="V433" s="166"/>
      <c r="W433" s="166"/>
      <c r="X433" s="164">
        <f>($L433*'Pivot Objective'!$C$9^3)*V433*W433</f>
        <v>0</v>
      </c>
      <c r="Y433" s="140">
        <v>25</v>
      </c>
      <c r="Z433" s="166">
        <v>6</v>
      </c>
      <c r="AA433" s="164">
        <f>($L433*'Pivot Objective'!$C$9^4)*Y433*Z433</f>
        <v>9982075.8029136136</v>
      </c>
      <c r="AB433" s="140"/>
      <c r="AC433" s="140"/>
      <c r="AD433" s="164">
        <f>($L433*'Pivot Objective'!$C$9^5)*AB433*AC433</f>
        <v>0</v>
      </c>
      <c r="AE433" s="140"/>
      <c r="AF433" s="140"/>
      <c r="AG433" s="164">
        <f>($L433*'Pivot Objective'!$C$9^6)*AE433*AF433</f>
        <v>0</v>
      </c>
      <c r="AH433" s="140"/>
      <c r="AI433" s="140"/>
      <c r="AJ433" s="164">
        <f>($L433*'Pivot Objective'!$C$9^7)*AH433*AI433</f>
        <v>0</v>
      </c>
      <c r="AK433" s="185">
        <f t="shared" si="45"/>
        <v>15832075.802913614</v>
      </c>
      <c r="AL433" s="186">
        <f t="shared" si="46"/>
        <v>15370.947381469528</v>
      </c>
    </row>
    <row r="434" spans="1:38" customFormat="1" ht="57.6" x14ac:dyDescent="0.3">
      <c r="A434" s="140" t="s">
        <v>1441</v>
      </c>
      <c r="B434" s="140">
        <v>1</v>
      </c>
      <c r="C434" s="166" t="s">
        <v>836</v>
      </c>
      <c r="D434" s="140" t="str">
        <f t="shared" si="48"/>
        <v>2</v>
      </c>
      <c r="E434" s="166" t="s">
        <v>992</v>
      </c>
      <c r="F434" s="140">
        <f t="shared" si="50"/>
        <v>3</v>
      </c>
      <c r="G434" s="140" t="str">
        <f t="shared" si="49"/>
        <v>1.2.3</v>
      </c>
      <c r="H434" s="166" t="s">
        <v>1011</v>
      </c>
      <c r="I434" s="166" t="s">
        <v>1012</v>
      </c>
      <c r="J434" s="166" t="s">
        <v>1015</v>
      </c>
      <c r="K434" s="166" t="s">
        <v>1299</v>
      </c>
      <c r="L434" s="146">
        <f>1480/7</f>
        <v>211.42857142857142</v>
      </c>
      <c r="M434" s="167">
        <f>2*135*9</f>
        <v>2430</v>
      </c>
      <c r="N434" s="166">
        <v>1</v>
      </c>
      <c r="O434" s="164">
        <f t="shared" si="44"/>
        <v>513771.42857142852</v>
      </c>
      <c r="P434" s="166"/>
      <c r="Q434" s="166"/>
      <c r="R434" s="164">
        <f>$L434*'Pivot Objective'!$C$9*P434*Q434</f>
        <v>0</v>
      </c>
      <c r="S434" s="166"/>
      <c r="T434" s="166"/>
      <c r="U434" s="164">
        <f>($L434*'Pivot Objective'!$C$9^2)*S434*T434</f>
        <v>0</v>
      </c>
      <c r="V434" s="166"/>
      <c r="W434" s="166"/>
      <c r="X434" s="164">
        <f>($L434*'Pivot Objective'!$C$9^3)*V434*W434</f>
        <v>0</v>
      </c>
      <c r="Y434" s="167">
        <f>2*135*9</f>
        <v>2430</v>
      </c>
      <c r="Z434" s="166">
        <v>1</v>
      </c>
      <c r="AA434" s="164">
        <f>($L434*'Pivot Objective'!$C$9^4)*Y434*Z434</f>
        <v>876667.58040533611</v>
      </c>
      <c r="AB434" s="140"/>
      <c r="AC434" s="140"/>
      <c r="AD434" s="164">
        <f>($L434*'Pivot Objective'!$C$9^5)*AB434*AC434</f>
        <v>0</v>
      </c>
      <c r="AE434" s="140"/>
      <c r="AF434" s="140"/>
      <c r="AG434" s="164">
        <f>($L434*'Pivot Objective'!$C$9^6)*AE434*AF434</f>
        <v>0</v>
      </c>
      <c r="AH434" s="140"/>
      <c r="AI434" s="140"/>
      <c r="AJ434" s="164">
        <f>($L434*'Pivot Objective'!$C$9^7)*AH434*AI434</f>
        <v>0</v>
      </c>
      <c r="AK434" s="185">
        <f t="shared" si="45"/>
        <v>1390439.0089767645</v>
      </c>
      <c r="AL434" s="186">
        <f t="shared" si="46"/>
        <v>1349.9407854143344</v>
      </c>
    </row>
    <row r="435" spans="1:38" customFormat="1" ht="57.6" x14ac:dyDescent="0.3">
      <c r="A435" s="140" t="s">
        <v>1441</v>
      </c>
      <c r="B435" s="140">
        <v>1</v>
      </c>
      <c r="C435" s="166" t="s">
        <v>836</v>
      </c>
      <c r="D435" s="140" t="str">
        <f t="shared" si="48"/>
        <v>2</v>
      </c>
      <c r="E435" s="166" t="s">
        <v>992</v>
      </c>
      <c r="F435" s="140">
        <f t="shared" si="50"/>
        <v>3</v>
      </c>
      <c r="G435" s="140" t="str">
        <f t="shared" si="49"/>
        <v>1.2.3</v>
      </c>
      <c r="H435" s="166" t="s">
        <v>1011</v>
      </c>
      <c r="I435" s="166" t="s">
        <v>1012</v>
      </c>
      <c r="J435" s="166" t="s">
        <v>1015</v>
      </c>
      <c r="K435" s="166" t="s">
        <v>709</v>
      </c>
      <c r="L435" s="167">
        <v>35000</v>
      </c>
      <c r="M435" s="140">
        <v>25</v>
      </c>
      <c r="N435" s="166">
        <v>5</v>
      </c>
      <c r="O435" s="164">
        <f t="shared" si="44"/>
        <v>4375000</v>
      </c>
      <c r="P435" s="166">
        <v>0</v>
      </c>
      <c r="Q435" s="166">
        <v>0</v>
      </c>
      <c r="R435" s="164">
        <f>$L435*'Pivot Objective'!$C$9*P435*Q435</f>
        <v>0</v>
      </c>
      <c r="S435" s="166">
        <v>0</v>
      </c>
      <c r="T435" s="166">
        <v>0</v>
      </c>
      <c r="U435" s="164">
        <f>($L435*'Pivot Objective'!$C$9^2)*S435*T435</f>
        <v>0</v>
      </c>
      <c r="V435" s="166">
        <v>10</v>
      </c>
      <c r="W435" s="166">
        <v>1</v>
      </c>
      <c r="X435" s="164">
        <f>($L435*'Pivot Objective'!$C$9^3)*V435*W435</f>
        <v>522536.69303886255</v>
      </c>
      <c r="Y435" s="140">
        <v>25</v>
      </c>
      <c r="Z435" s="166">
        <v>5</v>
      </c>
      <c r="AA435" s="164">
        <f>($L435*'Pivot Objective'!$C$9^4)*Y435*Z435</f>
        <v>7465227.6303841127</v>
      </c>
      <c r="AB435" s="140"/>
      <c r="AC435" s="140"/>
      <c r="AD435" s="164">
        <f>($L435*'Pivot Objective'!$C$9^5)*AB435*AC435</f>
        <v>0</v>
      </c>
      <c r="AE435" s="140"/>
      <c r="AF435" s="140"/>
      <c r="AG435" s="164">
        <f>($L435*'Pivot Objective'!$C$9^6)*AE435*AF435</f>
        <v>0</v>
      </c>
      <c r="AH435" s="140"/>
      <c r="AI435" s="140"/>
      <c r="AJ435" s="164">
        <f>($L435*'Pivot Objective'!$C$9^7)*AH435*AI435</f>
        <v>0</v>
      </c>
      <c r="AK435" s="185">
        <f t="shared" si="45"/>
        <v>12362764.323422976</v>
      </c>
      <c r="AL435" s="186">
        <f t="shared" si="46"/>
        <v>12002.683809148521</v>
      </c>
    </row>
    <row r="436" spans="1:38" customFormat="1" ht="57.6" x14ac:dyDescent="0.3">
      <c r="A436" s="140" t="s">
        <v>1441</v>
      </c>
      <c r="B436" s="140">
        <v>1</v>
      </c>
      <c r="C436" s="166" t="s">
        <v>836</v>
      </c>
      <c r="D436" s="140" t="str">
        <f t="shared" si="48"/>
        <v>2</v>
      </c>
      <c r="E436" s="166" t="s">
        <v>992</v>
      </c>
      <c r="F436" s="140">
        <f t="shared" si="50"/>
        <v>3</v>
      </c>
      <c r="G436" s="140" t="str">
        <f t="shared" si="49"/>
        <v>1.2.3</v>
      </c>
      <c r="H436" s="166" t="s">
        <v>1011</v>
      </c>
      <c r="I436" s="166" t="s">
        <v>1012</v>
      </c>
      <c r="J436" s="166" t="s">
        <v>1015</v>
      </c>
      <c r="K436" s="166" t="s">
        <v>1297</v>
      </c>
      <c r="L436" s="167">
        <v>8000</v>
      </c>
      <c r="M436" s="166">
        <v>10</v>
      </c>
      <c r="N436" s="166">
        <v>1</v>
      </c>
      <c r="O436" s="164">
        <f t="shared" si="44"/>
        <v>80000</v>
      </c>
      <c r="P436" s="166">
        <v>0</v>
      </c>
      <c r="Q436" s="166">
        <v>0</v>
      </c>
      <c r="R436" s="164">
        <f>$L436*'Pivot Objective'!$C$9*P436*Q436</f>
        <v>0</v>
      </c>
      <c r="S436" s="166">
        <v>0</v>
      </c>
      <c r="T436" s="166">
        <v>0</v>
      </c>
      <c r="U436" s="164">
        <f>($L436*'Pivot Objective'!$C$9^2)*S436*T436</f>
        <v>0</v>
      </c>
      <c r="V436" s="166">
        <v>25</v>
      </c>
      <c r="W436" s="166">
        <v>3</v>
      </c>
      <c r="X436" s="164">
        <f>($L436*'Pivot Objective'!$C$9^3)*V436*W436</f>
        <v>895777.18806662154</v>
      </c>
      <c r="Y436" s="166">
        <v>10</v>
      </c>
      <c r="Z436" s="166">
        <v>1</v>
      </c>
      <c r="AA436" s="164">
        <f>($L436*'Pivot Objective'!$C$9^4)*Y436*Z436</f>
        <v>136507.01952702377</v>
      </c>
      <c r="AB436" s="140"/>
      <c r="AC436" s="140"/>
      <c r="AD436" s="164">
        <f>($L436*'Pivot Objective'!$C$9^5)*AB436*AC436</f>
        <v>0</v>
      </c>
      <c r="AE436" s="140"/>
      <c r="AF436" s="140"/>
      <c r="AG436" s="164">
        <f>($L436*'Pivot Objective'!$C$9^6)*AE436*AF436</f>
        <v>0</v>
      </c>
      <c r="AH436" s="140"/>
      <c r="AI436" s="140"/>
      <c r="AJ436" s="164">
        <f>($L436*'Pivot Objective'!$C$9^7)*AH436*AI436</f>
        <v>0</v>
      </c>
      <c r="AK436" s="185">
        <f t="shared" si="45"/>
        <v>1112284.2075936454</v>
      </c>
      <c r="AL436" s="186">
        <f t="shared" si="46"/>
        <v>1079.8875801880054</v>
      </c>
    </row>
    <row r="437" spans="1:38" customFormat="1" ht="57.6" x14ac:dyDescent="0.3">
      <c r="A437" s="140" t="s">
        <v>1441</v>
      </c>
      <c r="B437" s="140">
        <v>1</v>
      </c>
      <c r="C437" s="166" t="s">
        <v>836</v>
      </c>
      <c r="D437" s="140" t="str">
        <f t="shared" si="48"/>
        <v>2</v>
      </c>
      <c r="E437" s="166" t="s">
        <v>992</v>
      </c>
      <c r="F437" s="140">
        <f t="shared" si="50"/>
        <v>3</v>
      </c>
      <c r="G437" s="140" t="str">
        <f t="shared" si="49"/>
        <v>1.2.3</v>
      </c>
      <c r="H437" s="166" t="s">
        <v>1011</v>
      </c>
      <c r="I437" s="166" t="s">
        <v>1012</v>
      </c>
      <c r="J437" s="166" t="s">
        <v>1015</v>
      </c>
      <c r="K437" s="166" t="s">
        <v>710</v>
      </c>
      <c r="L437" s="167">
        <v>104850</v>
      </c>
      <c r="M437" s="166">
        <v>1</v>
      </c>
      <c r="N437" s="166">
        <v>1</v>
      </c>
      <c r="O437" s="164">
        <f t="shared" si="44"/>
        <v>104850</v>
      </c>
      <c r="P437" s="166">
        <v>0</v>
      </c>
      <c r="Q437" s="166">
        <v>0</v>
      </c>
      <c r="R437" s="164">
        <f>$L437*'Pivot Objective'!$C$9*P437*Q437</f>
        <v>0</v>
      </c>
      <c r="S437" s="166">
        <v>0</v>
      </c>
      <c r="T437" s="166">
        <v>0</v>
      </c>
      <c r="U437" s="164">
        <f>($L437*'Pivot Objective'!$C$9^2)*S437*T437</f>
        <v>0</v>
      </c>
      <c r="V437" s="166">
        <v>5000</v>
      </c>
      <c r="W437" s="166">
        <v>1</v>
      </c>
      <c r="X437" s="164">
        <f>($L437*'Pivot Objective'!$C$9^3)*V437*W437</f>
        <v>782685318.07321048</v>
      </c>
      <c r="Y437" s="166">
        <v>1</v>
      </c>
      <c r="Z437" s="166">
        <v>1</v>
      </c>
      <c r="AA437" s="164">
        <f>($L437*'Pivot Objective'!$C$9^4)*Y437*Z437</f>
        <v>178909.51246760553</v>
      </c>
      <c r="AB437" s="140"/>
      <c r="AC437" s="140"/>
      <c r="AD437" s="164">
        <f>($L437*'Pivot Objective'!$C$9^5)*AB437*AC437</f>
        <v>0</v>
      </c>
      <c r="AE437" s="140"/>
      <c r="AF437" s="140"/>
      <c r="AG437" s="164">
        <f>($L437*'Pivot Objective'!$C$9^6)*AE437*AF437</f>
        <v>0</v>
      </c>
      <c r="AH437" s="140"/>
      <c r="AI437" s="140"/>
      <c r="AJ437" s="164">
        <f>($L437*'Pivot Objective'!$C$9^7)*AH437*AI437</f>
        <v>0</v>
      </c>
      <c r="AK437" s="185">
        <f t="shared" si="45"/>
        <v>782969077.5856781</v>
      </c>
      <c r="AL437" s="186">
        <f t="shared" si="46"/>
        <v>760164.15299580398</v>
      </c>
    </row>
    <row r="438" spans="1:38" customFormat="1" ht="57.6" x14ac:dyDescent="0.3">
      <c r="A438" s="140" t="s">
        <v>1441</v>
      </c>
      <c r="B438" s="140">
        <v>1</v>
      </c>
      <c r="C438" s="166" t="s">
        <v>836</v>
      </c>
      <c r="D438" s="140" t="str">
        <f t="shared" si="48"/>
        <v>2</v>
      </c>
      <c r="E438" s="166" t="s">
        <v>992</v>
      </c>
      <c r="F438" s="140">
        <f t="shared" si="50"/>
        <v>3</v>
      </c>
      <c r="G438" s="140" t="str">
        <f t="shared" si="49"/>
        <v>1.2.3</v>
      </c>
      <c r="H438" s="166" t="s">
        <v>1011</v>
      </c>
      <c r="I438" s="166" t="s">
        <v>1012</v>
      </c>
      <c r="J438" s="166" t="s">
        <v>1016</v>
      </c>
      <c r="K438" s="166" t="s">
        <v>713</v>
      </c>
      <c r="L438" s="167">
        <v>45000</v>
      </c>
      <c r="M438" s="166">
        <v>25</v>
      </c>
      <c r="N438" s="166">
        <v>1</v>
      </c>
      <c r="O438" s="164">
        <f t="shared" si="44"/>
        <v>1125000</v>
      </c>
      <c r="P438" s="166">
        <v>0</v>
      </c>
      <c r="Q438" s="166">
        <v>0</v>
      </c>
      <c r="R438" s="164">
        <f>$L438*'Pivot Objective'!$C$9*P438*Q438</f>
        <v>0</v>
      </c>
      <c r="S438" s="166">
        <v>0</v>
      </c>
      <c r="T438" s="166">
        <v>0</v>
      </c>
      <c r="U438" s="164">
        <f>($L438*'Pivot Objective'!$C$9^2)*S438*T438</f>
        <v>0</v>
      </c>
      <c r="V438" s="166">
        <v>1</v>
      </c>
      <c r="W438" s="166">
        <v>1</v>
      </c>
      <c r="X438" s="164">
        <f>($L438*'Pivot Objective'!$C$9^3)*V438*W438</f>
        <v>67183.289104996613</v>
      </c>
      <c r="Y438" s="166">
        <v>25</v>
      </c>
      <c r="Z438" s="166">
        <v>1</v>
      </c>
      <c r="AA438" s="164">
        <f>($L438*'Pivot Objective'!$C$9^4)*Y438*Z438</f>
        <v>1919629.9620987717</v>
      </c>
      <c r="AB438" s="140"/>
      <c r="AC438" s="140"/>
      <c r="AD438" s="164">
        <f>($L438*'Pivot Objective'!$C$9^5)*AB438*AC438</f>
        <v>0</v>
      </c>
      <c r="AE438" s="140"/>
      <c r="AF438" s="140"/>
      <c r="AG438" s="164">
        <f>($L438*'Pivot Objective'!$C$9^6)*AE438*AF438</f>
        <v>0</v>
      </c>
      <c r="AH438" s="140"/>
      <c r="AI438" s="140"/>
      <c r="AJ438" s="164">
        <f>($L438*'Pivot Objective'!$C$9^7)*AH438*AI438</f>
        <v>0</v>
      </c>
      <c r="AK438" s="185">
        <f t="shared" si="45"/>
        <v>3111813.2512037684</v>
      </c>
      <c r="AL438" s="186">
        <f t="shared" si="46"/>
        <v>3021.1779137900662</v>
      </c>
    </row>
    <row r="439" spans="1:38" customFormat="1" ht="57.6" x14ac:dyDescent="0.3">
      <c r="A439" s="140" t="s">
        <v>1441</v>
      </c>
      <c r="B439" s="140">
        <v>1</v>
      </c>
      <c r="C439" s="166" t="s">
        <v>836</v>
      </c>
      <c r="D439" s="140" t="str">
        <f t="shared" si="48"/>
        <v>2</v>
      </c>
      <c r="E439" s="166" t="s">
        <v>992</v>
      </c>
      <c r="F439" s="140">
        <f t="shared" si="50"/>
        <v>3</v>
      </c>
      <c r="G439" s="140" t="str">
        <f t="shared" si="49"/>
        <v>1.2.3</v>
      </c>
      <c r="H439" s="166" t="s">
        <v>1011</v>
      </c>
      <c r="I439" s="166" t="s">
        <v>1012</v>
      </c>
      <c r="J439" s="166" t="s">
        <v>1016</v>
      </c>
      <c r="K439" s="166" t="s">
        <v>712</v>
      </c>
      <c r="L439" s="167">
        <f>1480/7</f>
        <v>211.42857142857142</v>
      </c>
      <c r="M439" s="166">
        <v>25</v>
      </c>
      <c r="N439" s="166">
        <v>1</v>
      </c>
      <c r="O439" s="164">
        <f t="shared" si="44"/>
        <v>5285.7142857142853</v>
      </c>
      <c r="P439" s="166">
        <v>0</v>
      </c>
      <c r="Q439" s="166">
        <v>0</v>
      </c>
      <c r="R439" s="164">
        <f>$L439*'Pivot Objective'!$C$9*P439*Q439</f>
        <v>0</v>
      </c>
      <c r="S439" s="166">
        <v>0</v>
      </c>
      <c r="T439" s="166">
        <v>0</v>
      </c>
      <c r="U439" s="164">
        <f>($L439*'Pivot Objective'!$C$9^2)*S439*T439</f>
        <v>0</v>
      </c>
      <c r="V439" s="166">
        <v>25</v>
      </c>
      <c r="W439" s="166">
        <v>1</v>
      </c>
      <c r="X439" s="164">
        <f>($L439*'Pivot Objective'!$C$9^3)*V439*W439</f>
        <v>7891.3704663011886</v>
      </c>
      <c r="Y439" s="166">
        <v>25</v>
      </c>
      <c r="Z439" s="166">
        <v>1</v>
      </c>
      <c r="AA439" s="164">
        <f>($L439*'Pivot Objective'!$C$9^4)*Y439*Z439</f>
        <v>9019.2137901783553</v>
      </c>
      <c r="AB439" s="140"/>
      <c r="AC439" s="140"/>
      <c r="AD439" s="164">
        <f>($L439*'Pivot Objective'!$C$9^5)*AB439*AC439</f>
        <v>0</v>
      </c>
      <c r="AE439" s="140"/>
      <c r="AF439" s="140"/>
      <c r="AG439" s="164">
        <f>($L439*'Pivot Objective'!$C$9^6)*AE439*AF439</f>
        <v>0</v>
      </c>
      <c r="AH439" s="140"/>
      <c r="AI439" s="140"/>
      <c r="AJ439" s="164">
        <f>($L439*'Pivot Objective'!$C$9^7)*AH439*AI439</f>
        <v>0</v>
      </c>
      <c r="AK439" s="185">
        <f t="shared" si="45"/>
        <v>22196.298542193828</v>
      </c>
      <c r="AL439" s="186">
        <f t="shared" si="46"/>
        <v>21.549804409896922</v>
      </c>
    </row>
    <row r="440" spans="1:38" customFormat="1" ht="57.6" x14ac:dyDescent="0.3">
      <c r="A440" s="140" t="s">
        <v>1441</v>
      </c>
      <c r="B440" s="140">
        <v>1</v>
      </c>
      <c r="C440" s="166" t="s">
        <v>836</v>
      </c>
      <c r="D440" s="140" t="str">
        <f t="shared" si="48"/>
        <v>2</v>
      </c>
      <c r="E440" s="166" t="s">
        <v>992</v>
      </c>
      <c r="F440" s="140">
        <f t="shared" si="50"/>
        <v>3</v>
      </c>
      <c r="G440" s="140" t="str">
        <f t="shared" si="49"/>
        <v>1.2.3</v>
      </c>
      <c r="H440" s="166" t="s">
        <v>1011</v>
      </c>
      <c r="I440" s="166" t="s">
        <v>1012</v>
      </c>
      <c r="J440" s="166" t="s">
        <v>1017</v>
      </c>
      <c r="K440" s="166" t="s">
        <v>709</v>
      </c>
      <c r="L440" s="167">
        <v>35000</v>
      </c>
      <c r="M440" s="166">
        <v>100</v>
      </c>
      <c r="N440" s="166">
        <v>1</v>
      </c>
      <c r="O440" s="164">
        <f t="shared" si="44"/>
        <v>3500000</v>
      </c>
      <c r="P440" s="166">
        <v>0</v>
      </c>
      <c r="Q440" s="166">
        <v>0</v>
      </c>
      <c r="R440" s="164">
        <f>$L440*'Pivot Objective'!$C$9*P440*Q440</f>
        <v>0</v>
      </c>
      <c r="S440" s="166">
        <v>0</v>
      </c>
      <c r="T440" s="166">
        <v>0</v>
      </c>
      <c r="U440" s="164">
        <f>($L440*'Pivot Objective'!$C$9^2)*S440*T440</f>
        <v>0</v>
      </c>
      <c r="V440" s="166">
        <v>4000</v>
      </c>
      <c r="W440" s="166">
        <v>1</v>
      </c>
      <c r="X440" s="164">
        <f>($L440*'Pivot Objective'!$C$9^3)*V440*W440</f>
        <v>209014677.21554503</v>
      </c>
      <c r="Y440" s="166">
        <v>100</v>
      </c>
      <c r="Z440" s="166">
        <v>1</v>
      </c>
      <c r="AA440" s="164">
        <f>($L440*'Pivot Objective'!$C$9^4)*Y440*Z440</f>
        <v>5972182.1043072902</v>
      </c>
      <c r="AB440" s="140"/>
      <c r="AC440" s="140"/>
      <c r="AD440" s="164">
        <f>($L440*'Pivot Objective'!$C$9^5)*AB440*AC440</f>
        <v>0</v>
      </c>
      <c r="AE440" s="140"/>
      <c r="AF440" s="140"/>
      <c r="AG440" s="164">
        <f>($L440*'Pivot Objective'!$C$9^6)*AE440*AF440</f>
        <v>0</v>
      </c>
      <c r="AH440" s="140"/>
      <c r="AI440" s="140"/>
      <c r="AJ440" s="164">
        <f>($L440*'Pivot Objective'!$C$9^7)*AH440*AI440</f>
        <v>0</v>
      </c>
      <c r="AK440" s="185">
        <f t="shared" si="45"/>
        <v>218486859.31985232</v>
      </c>
      <c r="AL440" s="186">
        <f t="shared" si="46"/>
        <v>212123.16438820615</v>
      </c>
    </row>
    <row r="441" spans="1:38" customFormat="1" ht="57.6" x14ac:dyDescent="0.3">
      <c r="A441" s="140" t="s">
        <v>1441</v>
      </c>
      <c r="B441" s="140">
        <v>1</v>
      </c>
      <c r="C441" s="166" t="s">
        <v>836</v>
      </c>
      <c r="D441" s="140" t="str">
        <f t="shared" si="48"/>
        <v>2</v>
      </c>
      <c r="E441" s="166" t="s">
        <v>992</v>
      </c>
      <c r="F441" s="140">
        <f t="shared" si="50"/>
        <v>3</v>
      </c>
      <c r="G441" s="140" t="str">
        <f t="shared" si="49"/>
        <v>1.2.3</v>
      </c>
      <c r="H441" s="166" t="s">
        <v>1011</v>
      </c>
      <c r="I441" s="166" t="s">
        <v>1012</v>
      </c>
      <c r="J441" s="166" t="s">
        <v>157</v>
      </c>
      <c r="K441" s="166" t="s">
        <v>713</v>
      </c>
      <c r="L441" s="167">
        <v>45000</v>
      </c>
      <c r="M441" s="166">
        <v>25</v>
      </c>
      <c r="N441" s="166">
        <v>5</v>
      </c>
      <c r="O441" s="164">
        <f t="shared" si="44"/>
        <v>5625000</v>
      </c>
      <c r="P441" s="166">
        <v>0</v>
      </c>
      <c r="Q441" s="166">
        <v>0</v>
      </c>
      <c r="R441" s="164">
        <f>$L441*'Pivot Objective'!$C$9*P441*Q441</f>
        <v>0</v>
      </c>
      <c r="S441" s="166">
        <v>0</v>
      </c>
      <c r="T441" s="166">
        <v>0</v>
      </c>
      <c r="U441" s="164">
        <f>($L441*'Pivot Objective'!$C$9^2)*S441*T441</f>
        <v>0</v>
      </c>
      <c r="V441" s="166">
        <v>30</v>
      </c>
      <c r="W441" s="166">
        <v>1</v>
      </c>
      <c r="X441" s="164">
        <f>($L441*'Pivot Objective'!$C$9^3)*V441*W441</f>
        <v>2015498.6731498984</v>
      </c>
      <c r="Y441" s="166">
        <v>25</v>
      </c>
      <c r="Z441" s="166">
        <v>5</v>
      </c>
      <c r="AA441" s="164">
        <f>($L441*'Pivot Objective'!$C$9^4)*Y441*Z441</f>
        <v>9598149.8104938585</v>
      </c>
      <c r="AB441" s="140"/>
      <c r="AC441" s="140"/>
      <c r="AD441" s="164">
        <f>($L441*'Pivot Objective'!$C$9^5)*AB441*AC441</f>
        <v>0</v>
      </c>
      <c r="AE441" s="140"/>
      <c r="AF441" s="140"/>
      <c r="AG441" s="164">
        <f>($L441*'Pivot Objective'!$C$9^6)*AE441*AF441</f>
        <v>0</v>
      </c>
      <c r="AH441" s="140"/>
      <c r="AI441" s="140"/>
      <c r="AJ441" s="164">
        <f>($L441*'Pivot Objective'!$C$9^7)*AH441*AI441</f>
        <v>0</v>
      </c>
      <c r="AK441" s="185">
        <f t="shared" si="45"/>
        <v>17238648.483643755</v>
      </c>
      <c r="AL441" s="186">
        <f t="shared" si="46"/>
        <v>16736.551925867723</v>
      </c>
    </row>
    <row r="442" spans="1:38" customFormat="1" ht="57.6" x14ac:dyDescent="0.3">
      <c r="A442" s="140" t="s">
        <v>1441</v>
      </c>
      <c r="B442" s="140">
        <v>1</v>
      </c>
      <c r="C442" s="166" t="s">
        <v>836</v>
      </c>
      <c r="D442" s="140" t="str">
        <f t="shared" si="48"/>
        <v>2</v>
      </c>
      <c r="E442" s="166" t="s">
        <v>992</v>
      </c>
      <c r="F442" s="140">
        <f t="shared" si="50"/>
        <v>3</v>
      </c>
      <c r="G442" s="140" t="str">
        <f t="shared" si="49"/>
        <v>1.2.3</v>
      </c>
      <c r="H442" s="166" t="s">
        <v>1011</v>
      </c>
      <c r="I442" s="166" t="s">
        <v>1012</v>
      </c>
      <c r="J442" s="166" t="s">
        <v>157</v>
      </c>
      <c r="K442" s="166" t="s">
        <v>712</v>
      </c>
      <c r="L442" s="167">
        <f>1480/7</f>
        <v>211.42857142857142</v>
      </c>
      <c r="M442" s="166">
        <f>2*25*9</f>
        <v>450</v>
      </c>
      <c r="N442" s="166">
        <v>5</v>
      </c>
      <c r="O442" s="164">
        <f t="shared" si="44"/>
        <v>475714.28571428568</v>
      </c>
      <c r="P442" s="166">
        <v>0</v>
      </c>
      <c r="Q442" s="166">
        <v>0</v>
      </c>
      <c r="R442" s="164">
        <f>$L442*'Pivot Objective'!$C$9*P442*Q442</f>
        <v>0</v>
      </c>
      <c r="S442" s="166">
        <v>0</v>
      </c>
      <c r="T442" s="166">
        <v>0</v>
      </c>
      <c r="U442" s="164">
        <f>($L442*'Pivot Objective'!$C$9^2)*S442*T442</f>
        <v>0</v>
      </c>
      <c r="V442" s="166">
        <v>25</v>
      </c>
      <c r="W442" s="166">
        <v>10</v>
      </c>
      <c r="X442" s="164">
        <f>($L442*'Pivot Objective'!$C$9^3)*V442*W442</f>
        <v>78913.704663011886</v>
      </c>
      <c r="Y442" s="166">
        <f>2*25*9</f>
        <v>450</v>
      </c>
      <c r="Z442" s="166">
        <v>5</v>
      </c>
      <c r="AA442" s="164">
        <f>($L442*'Pivot Objective'!$C$9^4)*Y442*Z442</f>
        <v>811729.24111605203</v>
      </c>
      <c r="AB442" s="140"/>
      <c r="AC442" s="140"/>
      <c r="AD442" s="164">
        <f>($L442*'Pivot Objective'!$C$9^5)*AB442*AC442</f>
        <v>0</v>
      </c>
      <c r="AE442" s="140"/>
      <c r="AF442" s="140"/>
      <c r="AG442" s="164">
        <f>($L442*'Pivot Objective'!$C$9^6)*AE442*AF442</f>
        <v>0</v>
      </c>
      <c r="AH442" s="140"/>
      <c r="AI442" s="140"/>
      <c r="AJ442" s="164">
        <f>($L442*'Pivot Objective'!$C$9^7)*AH442*AI442</f>
        <v>0</v>
      </c>
      <c r="AK442" s="185">
        <f t="shared" si="45"/>
        <v>1366357.2314933497</v>
      </c>
      <c r="AL442" s="186">
        <f t="shared" si="46"/>
        <v>1326.5604189255821</v>
      </c>
    </row>
    <row r="443" spans="1:38" customFormat="1" ht="57.6" x14ac:dyDescent="0.3">
      <c r="A443" s="140" t="s">
        <v>1441</v>
      </c>
      <c r="B443" s="140">
        <v>1</v>
      </c>
      <c r="C443" s="166" t="s">
        <v>836</v>
      </c>
      <c r="D443" s="140" t="str">
        <f t="shared" si="48"/>
        <v>2</v>
      </c>
      <c r="E443" s="166" t="s">
        <v>992</v>
      </c>
      <c r="F443" s="140">
        <f t="shared" si="50"/>
        <v>3</v>
      </c>
      <c r="G443" s="140" t="str">
        <f t="shared" si="49"/>
        <v>1.2.3</v>
      </c>
      <c r="H443" s="166" t="s">
        <v>1011</v>
      </c>
      <c r="I443" s="166" t="s">
        <v>1012</v>
      </c>
      <c r="J443" s="166" t="s">
        <v>157</v>
      </c>
      <c r="K443" s="166" t="s">
        <v>715</v>
      </c>
      <c r="L443" s="167">
        <v>302000</v>
      </c>
      <c r="M443" s="166">
        <v>25</v>
      </c>
      <c r="N443" s="166">
        <v>1</v>
      </c>
      <c r="O443" s="164">
        <f t="shared" si="44"/>
        <v>7550000</v>
      </c>
      <c r="P443" s="166">
        <v>0</v>
      </c>
      <c r="Q443" s="166">
        <v>0</v>
      </c>
      <c r="R443" s="164">
        <f>$L443*'Pivot Objective'!$C$9*P443*Q443</f>
        <v>0</v>
      </c>
      <c r="S443" s="166">
        <v>0</v>
      </c>
      <c r="T443" s="166">
        <v>0</v>
      </c>
      <c r="U443" s="164">
        <f>($L443*'Pivot Objective'!$C$9^2)*S443*T443</f>
        <v>0</v>
      </c>
      <c r="V443" s="166">
        <v>20000</v>
      </c>
      <c r="W443" s="166">
        <v>1</v>
      </c>
      <c r="X443" s="164">
        <f>($L443*'Pivot Objective'!$C$9^3)*V443*W443</f>
        <v>9017490359.870657</v>
      </c>
      <c r="Y443" s="166">
        <v>25</v>
      </c>
      <c r="Z443" s="166">
        <v>1</v>
      </c>
      <c r="AA443" s="164">
        <f>($L443*'Pivot Objective'!$C$9^4)*Y443*Z443</f>
        <v>12882849.967862869</v>
      </c>
      <c r="AB443" s="140"/>
      <c r="AC443" s="140"/>
      <c r="AD443" s="164">
        <f>($L443*'Pivot Objective'!$C$9^5)*AB443*AC443</f>
        <v>0</v>
      </c>
      <c r="AE443" s="140"/>
      <c r="AF443" s="140"/>
      <c r="AG443" s="164">
        <f>($L443*'Pivot Objective'!$C$9^6)*AE443*AF443</f>
        <v>0</v>
      </c>
      <c r="AH443" s="140"/>
      <c r="AI443" s="140"/>
      <c r="AJ443" s="164">
        <f>($L443*'Pivot Objective'!$C$9^7)*AH443*AI443</f>
        <v>0</v>
      </c>
      <c r="AK443" s="185">
        <f t="shared" si="45"/>
        <v>9037923209.8385201</v>
      </c>
      <c r="AL443" s="186">
        <f t="shared" si="46"/>
        <v>8774682.727998564</v>
      </c>
    </row>
    <row r="444" spans="1:38" customFormat="1" ht="57.6" x14ac:dyDescent="0.3">
      <c r="A444" s="140" t="s">
        <v>1441</v>
      </c>
      <c r="B444" s="140">
        <v>1</v>
      </c>
      <c r="C444" s="166" t="s">
        <v>836</v>
      </c>
      <c r="D444" s="140" t="str">
        <f t="shared" si="48"/>
        <v>2</v>
      </c>
      <c r="E444" s="166" t="s">
        <v>992</v>
      </c>
      <c r="F444" s="140">
        <f t="shared" si="50"/>
        <v>3</v>
      </c>
      <c r="G444" s="140" t="str">
        <f t="shared" si="49"/>
        <v>1.2.3</v>
      </c>
      <c r="H444" s="166" t="s">
        <v>1011</v>
      </c>
      <c r="I444" s="166" t="s">
        <v>1012</v>
      </c>
      <c r="J444" s="166" t="s">
        <v>157</v>
      </c>
      <c r="K444" s="166" t="s">
        <v>714</v>
      </c>
      <c r="L444" s="167">
        <v>10000</v>
      </c>
      <c r="M444" s="166">
        <v>25</v>
      </c>
      <c r="N444" s="166">
        <v>1</v>
      </c>
      <c r="O444" s="164">
        <f t="shared" si="44"/>
        <v>250000</v>
      </c>
      <c r="P444" s="166">
        <v>0</v>
      </c>
      <c r="Q444" s="166">
        <v>0</v>
      </c>
      <c r="R444" s="164">
        <f>$L444*'Pivot Objective'!$C$9*P444*Q444</f>
        <v>0</v>
      </c>
      <c r="S444" s="166">
        <v>0</v>
      </c>
      <c r="T444" s="166">
        <v>0</v>
      </c>
      <c r="U444" s="164">
        <f>($L444*'Pivot Objective'!$C$9^2)*S444*T444</f>
        <v>0</v>
      </c>
      <c r="V444" s="166">
        <v>20</v>
      </c>
      <c r="W444" s="166">
        <v>1</v>
      </c>
      <c r="X444" s="164">
        <f>($L444*'Pivot Objective'!$C$9^3)*V444*W444</f>
        <v>298592.39602220716</v>
      </c>
      <c r="Y444" s="166">
        <v>25</v>
      </c>
      <c r="Z444" s="166">
        <v>1</v>
      </c>
      <c r="AA444" s="164">
        <f>($L444*'Pivot Objective'!$C$9^4)*Y444*Z444</f>
        <v>426584.43602194928</v>
      </c>
      <c r="AB444" s="140"/>
      <c r="AC444" s="140"/>
      <c r="AD444" s="164">
        <f>($L444*'Pivot Objective'!$C$9^5)*AB444*AC444</f>
        <v>0</v>
      </c>
      <c r="AE444" s="140"/>
      <c r="AF444" s="140"/>
      <c r="AG444" s="164">
        <f>($L444*'Pivot Objective'!$C$9^6)*AE444*AF444</f>
        <v>0</v>
      </c>
      <c r="AH444" s="140"/>
      <c r="AI444" s="140"/>
      <c r="AJ444" s="164">
        <f>($L444*'Pivot Objective'!$C$9^7)*AH444*AI444</f>
        <v>0</v>
      </c>
      <c r="AK444" s="185">
        <f t="shared" si="45"/>
        <v>975176.83204415638</v>
      </c>
      <c r="AL444" s="186">
        <f t="shared" si="46"/>
        <v>946.77362334384111</v>
      </c>
    </row>
    <row r="445" spans="1:38" customFormat="1" ht="57.6" x14ac:dyDescent="0.3">
      <c r="A445" s="140" t="s">
        <v>1441</v>
      </c>
      <c r="B445" s="140">
        <v>1</v>
      </c>
      <c r="C445" s="166" t="s">
        <v>836</v>
      </c>
      <c r="D445" s="140" t="str">
        <f t="shared" si="48"/>
        <v>2</v>
      </c>
      <c r="E445" s="166" t="s">
        <v>992</v>
      </c>
      <c r="F445" s="140">
        <f t="shared" si="50"/>
        <v>3</v>
      </c>
      <c r="G445" s="140" t="str">
        <f t="shared" si="49"/>
        <v>1.2.3</v>
      </c>
      <c r="H445" s="166" t="s">
        <v>1011</v>
      </c>
      <c r="I445" s="166" t="s">
        <v>1012</v>
      </c>
      <c r="J445" s="166" t="s">
        <v>152</v>
      </c>
      <c r="K445" s="166" t="s">
        <v>709</v>
      </c>
      <c r="L445" s="167">
        <v>35000</v>
      </c>
      <c r="M445" s="166">
        <v>25</v>
      </c>
      <c r="N445" s="166">
        <v>5</v>
      </c>
      <c r="O445" s="164">
        <f t="shared" si="44"/>
        <v>4375000</v>
      </c>
      <c r="P445" s="166">
        <v>0</v>
      </c>
      <c r="Q445" s="166">
        <v>0</v>
      </c>
      <c r="R445" s="164">
        <f>$L445*'Pivot Objective'!$C$9*P445*Q445</f>
        <v>0</v>
      </c>
      <c r="S445" s="166">
        <v>0</v>
      </c>
      <c r="T445" s="166">
        <v>0</v>
      </c>
      <c r="U445" s="164">
        <f>($L445*'Pivot Objective'!$C$9^2)*S445*T445</f>
        <v>0</v>
      </c>
      <c r="V445" s="166">
        <v>15</v>
      </c>
      <c r="W445" s="166">
        <v>1</v>
      </c>
      <c r="X445" s="164">
        <f>($L445*'Pivot Objective'!$C$9^3)*V445*W445</f>
        <v>783805.03955829388</v>
      </c>
      <c r="Y445" s="166">
        <v>25</v>
      </c>
      <c r="Z445" s="166">
        <v>5</v>
      </c>
      <c r="AA445" s="164">
        <f>($L445*'Pivot Objective'!$C$9^4)*Y445*Z445</f>
        <v>7465227.6303841127</v>
      </c>
      <c r="AB445" s="140"/>
      <c r="AC445" s="140"/>
      <c r="AD445" s="164">
        <f>($L445*'Pivot Objective'!$C$9^5)*AB445*AC445</f>
        <v>0</v>
      </c>
      <c r="AE445" s="140"/>
      <c r="AF445" s="140"/>
      <c r="AG445" s="164">
        <f>($L445*'Pivot Objective'!$C$9^6)*AE445*AF445</f>
        <v>0</v>
      </c>
      <c r="AH445" s="140"/>
      <c r="AI445" s="140"/>
      <c r="AJ445" s="164">
        <f>($L445*'Pivot Objective'!$C$9^7)*AH445*AI445</f>
        <v>0</v>
      </c>
      <c r="AK445" s="185">
        <f t="shared" si="45"/>
        <v>12624032.669942407</v>
      </c>
      <c r="AL445" s="186">
        <f t="shared" si="46"/>
        <v>12256.342398002336</v>
      </c>
    </row>
    <row r="446" spans="1:38" customFormat="1" ht="57.6" x14ac:dyDescent="0.3">
      <c r="A446" s="140" t="s">
        <v>1441</v>
      </c>
      <c r="B446" s="140">
        <v>1</v>
      </c>
      <c r="C446" s="166" t="s">
        <v>836</v>
      </c>
      <c r="D446" s="140" t="str">
        <f t="shared" si="48"/>
        <v>2</v>
      </c>
      <c r="E446" s="166" t="s">
        <v>992</v>
      </c>
      <c r="F446" s="140">
        <f t="shared" si="50"/>
        <v>3</v>
      </c>
      <c r="G446" s="140" t="str">
        <f t="shared" si="49"/>
        <v>1.2.3</v>
      </c>
      <c r="H446" s="166" t="s">
        <v>1011</v>
      </c>
      <c r="I446" s="166" t="s">
        <v>1012</v>
      </c>
      <c r="J446" s="166" t="s">
        <v>152</v>
      </c>
      <c r="K446" s="166" t="s">
        <v>716</v>
      </c>
      <c r="L446" s="167">
        <v>39000</v>
      </c>
      <c r="M446" s="166">
        <v>25</v>
      </c>
      <c r="N446" s="166">
        <v>6</v>
      </c>
      <c r="O446" s="164">
        <f t="shared" si="44"/>
        <v>5850000</v>
      </c>
      <c r="P446" s="166">
        <v>0</v>
      </c>
      <c r="Q446" s="166">
        <v>0</v>
      </c>
      <c r="R446" s="164">
        <f>$L446*'Pivot Objective'!$C$9*P446*Q446</f>
        <v>0</v>
      </c>
      <c r="S446" s="166">
        <v>0</v>
      </c>
      <c r="T446" s="166">
        <v>0</v>
      </c>
      <c r="U446" s="164">
        <f>($L446*'Pivot Objective'!$C$9^2)*S446*T446</f>
        <v>0</v>
      </c>
      <c r="V446" s="166">
        <v>25</v>
      </c>
      <c r="W446" s="166">
        <v>5</v>
      </c>
      <c r="X446" s="164">
        <f>($L446*'Pivot Objective'!$C$9^3)*V446*W446</f>
        <v>7278189.6530412994</v>
      </c>
      <c r="Y446" s="166">
        <v>25</v>
      </c>
      <c r="Z446" s="166">
        <v>6</v>
      </c>
      <c r="AA446" s="164">
        <f>($L446*'Pivot Objective'!$C$9^4)*Y446*Z446</f>
        <v>9982075.8029136136</v>
      </c>
      <c r="AB446" s="140"/>
      <c r="AC446" s="140"/>
      <c r="AD446" s="164">
        <f>($L446*'Pivot Objective'!$C$9^5)*AB446*AC446</f>
        <v>0</v>
      </c>
      <c r="AE446" s="140"/>
      <c r="AF446" s="140"/>
      <c r="AG446" s="164">
        <f>($L446*'Pivot Objective'!$C$9^6)*AE446*AF446</f>
        <v>0</v>
      </c>
      <c r="AH446" s="140"/>
      <c r="AI446" s="140"/>
      <c r="AJ446" s="164">
        <f>($L446*'Pivot Objective'!$C$9^7)*AH446*AI446</f>
        <v>0</v>
      </c>
      <c r="AK446" s="185">
        <f t="shared" si="45"/>
        <v>23110265.455954913</v>
      </c>
      <c r="AL446" s="186">
        <f t="shared" si="46"/>
        <v>22437.150928111565</v>
      </c>
    </row>
    <row r="447" spans="1:38" customFormat="1" ht="57.6" x14ac:dyDescent="0.3">
      <c r="A447" s="140" t="s">
        <v>1441</v>
      </c>
      <c r="B447" s="140">
        <v>1</v>
      </c>
      <c r="C447" s="166" t="s">
        <v>836</v>
      </c>
      <c r="D447" s="140" t="str">
        <f t="shared" si="48"/>
        <v>2</v>
      </c>
      <c r="E447" s="166" t="s">
        <v>992</v>
      </c>
      <c r="F447" s="140">
        <f t="shared" si="50"/>
        <v>3</v>
      </c>
      <c r="G447" s="140" t="str">
        <f t="shared" si="49"/>
        <v>1.2.3</v>
      </c>
      <c r="H447" s="166" t="s">
        <v>1011</v>
      </c>
      <c r="I447" s="166" t="s">
        <v>1012</v>
      </c>
      <c r="J447" s="166" t="s">
        <v>152</v>
      </c>
      <c r="K447" s="166" t="s">
        <v>712</v>
      </c>
      <c r="L447" s="167">
        <f>1480/7</f>
        <v>211.42857142857142</v>
      </c>
      <c r="M447" s="166">
        <f>2*25*9</f>
        <v>450</v>
      </c>
      <c r="N447" s="166">
        <v>5</v>
      </c>
      <c r="O447" s="164">
        <f t="shared" si="44"/>
        <v>475714.28571428568</v>
      </c>
      <c r="P447" s="166">
        <v>0</v>
      </c>
      <c r="Q447" s="166">
        <v>0</v>
      </c>
      <c r="R447" s="164">
        <f>$L447*'Pivot Objective'!$C$9*P447*Q447</f>
        <v>0</v>
      </c>
      <c r="S447" s="166">
        <v>0</v>
      </c>
      <c r="T447" s="166">
        <v>0</v>
      </c>
      <c r="U447" s="164">
        <f>($L447*'Pivot Objective'!$C$9^2)*S447*T447</f>
        <v>0</v>
      </c>
      <c r="V447" s="166">
        <v>25</v>
      </c>
      <c r="W447" s="166">
        <v>5</v>
      </c>
      <c r="X447" s="164">
        <f>($L447*'Pivot Objective'!$C$9^3)*V447*W447</f>
        <v>39456.852331505943</v>
      </c>
      <c r="Y447" s="166">
        <f>2*25*9</f>
        <v>450</v>
      </c>
      <c r="Z447" s="166">
        <v>5</v>
      </c>
      <c r="AA447" s="164">
        <f>($L447*'Pivot Objective'!$C$9^4)*Y447*Z447</f>
        <v>811729.24111605203</v>
      </c>
      <c r="AB447" s="140"/>
      <c r="AC447" s="140"/>
      <c r="AD447" s="164">
        <f>($L447*'Pivot Objective'!$C$9^5)*AB447*AC447</f>
        <v>0</v>
      </c>
      <c r="AE447" s="140"/>
      <c r="AF447" s="140"/>
      <c r="AG447" s="164">
        <f>($L447*'Pivot Objective'!$C$9^6)*AE447*AF447</f>
        <v>0</v>
      </c>
      <c r="AH447" s="140"/>
      <c r="AI447" s="140"/>
      <c r="AJ447" s="164">
        <f>($L447*'Pivot Objective'!$C$9^7)*AH447*AI447</f>
        <v>0</v>
      </c>
      <c r="AK447" s="185">
        <f t="shared" si="45"/>
        <v>1326900.3791618436</v>
      </c>
      <c r="AL447" s="186">
        <f t="shared" si="46"/>
        <v>1288.2527953027607</v>
      </c>
    </row>
    <row r="448" spans="1:38" customFormat="1" ht="57.6" x14ac:dyDescent="0.3">
      <c r="A448" s="140" t="s">
        <v>1441</v>
      </c>
      <c r="B448" s="140">
        <v>1</v>
      </c>
      <c r="C448" s="166" t="s">
        <v>836</v>
      </c>
      <c r="D448" s="140" t="str">
        <f t="shared" si="48"/>
        <v>2</v>
      </c>
      <c r="E448" s="166" t="s">
        <v>992</v>
      </c>
      <c r="F448" s="140">
        <f t="shared" si="50"/>
        <v>3</v>
      </c>
      <c r="G448" s="140" t="str">
        <f t="shared" si="49"/>
        <v>1.2.3</v>
      </c>
      <c r="H448" s="166" t="s">
        <v>1011</v>
      </c>
      <c r="I448" s="166" t="s">
        <v>1012</v>
      </c>
      <c r="J448" s="166" t="s">
        <v>152</v>
      </c>
      <c r="K448" s="166" t="s">
        <v>1299</v>
      </c>
      <c r="L448" s="167">
        <v>211.42857142857142</v>
      </c>
      <c r="M448" s="166">
        <f>2*135*9</f>
        <v>2430</v>
      </c>
      <c r="N448" s="166">
        <v>1</v>
      </c>
      <c r="O448" s="164">
        <f t="shared" si="44"/>
        <v>513771.42857142852</v>
      </c>
      <c r="P448" s="166"/>
      <c r="Q448" s="166"/>
      <c r="R448" s="164">
        <f>$L448*'Pivot Objective'!$C$9*P448*Q448</f>
        <v>0</v>
      </c>
      <c r="S448" s="166"/>
      <c r="T448" s="166"/>
      <c r="U448" s="164">
        <f>($L448*'Pivot Objective'!$C$9^2)*S448*T448</f>
        <v>0</v>
      </c>
      <c r="V448" s="166"/>
      <c r="W448" s="166"/>
      <c r="X448" s="164">
        <f>($L448*'Pivot Objective'!$C$9^3)*V448*W448</f>
        <v>0</v>
      </c>
      <c r="Y448" s="166">
        <f>2*135*9</f>
        <v>2430</v>
      </c>
      <c r="Z448" s="166">
        <v>1</v>
      </c>
      <c r="AA448" s="164">
        <f>($L448*'Pivot Objective'!$C$9^4)*Y448*Z448</f>
        <v>876667.58040533611</v>
      </c>
      <c r="AB448" s="140"/>
      <c r="AC448" s="140"/>
      <c r="AD448" s="164">
        <f>($L448*'Pivot Objective'!$C$9^5)*AB448*AC448</f>
        <v>0</v>
      </c>
      <c r="AE448" s="140"/>
      <c r="AF448" s="140"/>
      <c r="AG448" s="164">
        <f>($L448*'Pivot Objective'!$C$9^6)*AE448*AF448</f>
        <v>0</v>
      </c>
      <c r="AH448" s="140"/>
      <c r="AI448" s="140"/>
      <c r="AJ448" s="164">
        <f>($L448*'Pivot Objective'!$C$9^7)*AH448*AI448</f>
        <v>0</v>
      </c>
      <c r="AK448" s="185">
        <f t="shared" si="45"/>
        <v>1390439.0089767645</v>
      </c>
      <c r="AL448" s="186">
        <f t="shared" si="46"/>
        <v>1349.9407854143344</v>
      </c>
    </row>
    <row r="449" spans="1:38" customFormat="1" ht="57.6" x14ac:dyDescent="0.3">
      <c r="A449" s="140" t="s">
        <v>1441</v>
      </c>
      <c r="B449" s="140">
        <v>1</v>
      </c>
      <c r="C449" s="166" t="s">
        <v>836</v>
      </c>
      <c r="D449" s="140" t="str">
        <f t="shared" si="48"/>
        <v>2</v>
      </c>
      <c r="E449" s="166" t="s">
        <v>992</v>
      </c>
      <c r="F449" s="140">
        <f t="shared" si="50"/>
        <v>3</v>
      </c>
      <c r="G449" s="140" t="str">
        <f t="shared" si="49"/>
        <v>1.2.3</v>
      </c>
      <c r="H449" s="166" t="s">
        <v>1011</v>
      </c>
      <c r="I449" s="166" t="s">
        <v>1012</v>
      </c>
      <c r="J449" s="166" t="s">
        <v>1018</v>
      </c>
      <c r="K449" s="166" t="s">
        <v>841</v>
      </c>
      <c r="L449" s="167">
        <v>0</v>
      </c>
      <c r="M449" s="166">
        <v>0</v>
      </c>
      <c r="N449" s="166">
        <v>0</v>
      </c>
      <c r="O449" s="164">
        <f t="shared" si="44"/>
        <v>0</v>
      </c>
      <c r="P449" s="166">
        <v>0</v>
      </c>
      <c r="Q449" s="166">
        <v>0</v>
      </c>
      <c r="R449" s="164">
        <f>$L449*'Pivot Objective'!$C$9*P449*Q449</f>
        <v>0</v>
      </c>
      <c r="S449" s="166">
        <v>0</v>
      </c>
      <c r="T449" s="166">
        <v>0</v>
      </c>
      <c r="U449" s="164">
        <f>($L449*'Pivot Objective'!$C$9^2)*S449*T449</f>
        <v>0</v>
      </c>
      <c r="V449" s="166">
        <v>5000</v>
      </c>
      <c r="W449" s="166">
        <v>1</v>
      </c>
      <c r="X449" s="164">
        <f>($L449*'Pivot Objective'!$C$9^3)*V449*W449</f>
        <v>0</v>
      </c>
      <c r="Y449" s="166">
        <v>0</v>
      </c>
      <c r="Z449" s="166">
        <v>0</v>
      </c>
      <c r="AA449" s="164">
        <f>($L449*'Pivot Objective'!$C$9^4)*Y449*Z449</f>
        <v>0</v>
      </c>
      <c r="AB449" s="140"/>
      <c r="AC449" s="140"/>
      <c r="AD449" s="164">
        <f>($L449*'Pivot Objective'!$C$9^5)*AB449*AC449</f>
        <v>0</v>
      </c>
      <c r="AE449" s="140"/>
      <c r="AF449" s="140"/>
      <c r="AG449" s="164">
        <f>($L449*'Pivot Objective'!$C$9^6)*AE449*AF449</f>
        <v>0</v>
      </c>
      <c r="AH449" s="140"/>
      <c r="AI449" s="140"/>
      <c r="AJ449" s="164">
        <f>($L449*'Pivot Objective'!$C$9^7)*AH449*AI449</f>
        <v>0</v>
      </c>
      <c r="AK449" s="185">
        <f t="shared" si="45"/>
        <v>0</v>
      </c>
      <c r="AL449" s="186">
        <f t="shared" si="46"/>
        <v>0</v>
      </c>
    </row>
    <row r="450" spans="1:38" customFormat="1" ht="57.6" x14ac:dyDescent="0.3">
      <c r="A450" s="140" t="s">
        <v>1441</v>
      </c>
      <c r="B450" s="140">
        <v>1</v>
      </c>
      <c r="C450" s="166" t="s">
        <v>836</v>
      </c>
      <c r="D450" s="140" t="str">
        <f t="shared" si="48"/>
        <v>2</v>
      </c>
      <c r="E450" s="166" t="s">
        <v>992</v>
      </c>
      <c r="F450" s="140">
        <f t="shared" si="50"/>
        <v>3</v>
      </c>
      <c r="G450" s="140" t="str">
        <f t="shared" si="49"/>
        <v>1.2.3</v>
      </c>
      <c r="H450" s="166" t="s">
        <v>1011</v>
      </c>
      <c r="I450" s="166" t="s">
        <v>1012</v>
      </c>
      <c r="J450" s="166" t="s">
        <v>1019</v>
      </c>
      <c r="K450" s="166" t="s">
        <v>709</v>
      </c>
      <c r="L450" s="167">
        <v>35000</v>
      </c>
      <c r="M450" s="166">
        <v>100</v>
      </c>
      <c r="N450" s="166">
        <v>5</v>
      </c>
      <c r="O450" s="164">
        <f t="shared" si="44"/>
        <v>17500000</v>
      </c>
      <c r="P450" s="166">
        <v>0</v>
      </c>
      <c r="Q450" s="166">
        <v>0</v>
      </c>
      <c r="R450" s="164">
        <f>$L450*'Pivot Objective'!$C$9*P450*Q450</f>
        <v>0</v>
      </c>
      <c r="S450" s="166">
        <v>0</v>
      </c>
      <c r="T450" s="166">
        <v>0</v>
      </c>
      <c r="U450" s="164">
        <f>($L450*'Pivot Objective'!$C$9^2)*S450*T450</f>
        <v>0</v>
      </c>
      <c r="V450" s="166">
        <v>0</v>
      </c>
      <c r="W450" s="166">
        <v>0</v>
      </c>
      <c r="X450" s="164">
        <f>($L450*'Pivot Objective'!$C$9^3)*V450*W450</f>
        <v>0</v>
      </c>
      <c r="Y450" s="166">
        <v>100</v>
      </c>
      <c r="Z450" s="166">
        <v>5</v>
      </c>
      <c r="AA450" s="164">
        <f>($L450*'Pivot Objective'!$C$9^4)*Y450*Z450</f>
        <v>29860910.521536451</v>
      </c>
      <c r="AB450" s="140"/>
      <c r="AC450" s="140"/>
      <c r="AD450" s="164">
        <f>($L450*'Pivot Objective'!$C$9^5)*AB450*AC450</f>
        <v>0</v>
      </c>
      <c r="AE450" s="140"/>
      <c r="AF450" s="140"/>
      <c r="AG450" s="164">
        <f>($L450*'Pivot Objective'!$C$9^6)*AE450*AF450</f>
        <v>0</v>
      </c>
      <c r="AH450" s="140"/>
      <c r="AI450" s="140"/>
      <c r="AJ450" s="164">
        <f>($L450*'Pivot Objective'!$C$9^7)*AH450*AI450</f>
        <v>0</v>
      </c>
      <c r="AK450" s="185">
        <f t="shared" si="45"/>
        <v>47360910.521536455</v>
      </c>
      <c r="AL450" s="186">
        <f t="shared" si="46"/>
        <v>45981.46652576355</v>
      </c>
    </row>
    <row r="451" spans="1:38" customFormat="1" ht="57.6" x14ac:dyDescent="0.3">
      <c r="A451" s="140" t="s">
        <v>1441</v>
      </c>
      <c r="B451" s="140">
        <v>1</v>
      </c>
      <c r="C451" s="166" t="s">
        <v>836</v>
      </c>
      <c r="D451" s="140" t="str">
        <f t="shared" si="48"/>
        <v>2</v>
      </c>
      <c r="E451" s="166" t="s">
        <v>992</v>
      </c>
      <c r="F451" s="140">
        <f t="shared" si="50"/>
        <v>3</v>
      </c>
      <c r="G451" s="140" t="str">
        <f t="shared" si="49"/>
        <v>1.2.3</v>
      </c>
      <c r="H451" s="166" t="s">
        <v>1011</v>
      </c>
      <c r="I451" s="166" t="s">
        <v>1012</v>
      </c>
      <c r="J451" s="166" t="s">
        <v>1019</v>
      </c>
      <c r="K451" s="166" t="s">
        <v>716</v>
      </c>
      <c r="L451" s="167">
        <v>39000</v>
      </c>
      <c r="M451" s="166">
        <v>58</v>
      </c>
      <c r="N451" s="166">
        <v>5</v>
      </c>
      <c r="O451" s="164">
        <f t="shared" ref="O451:O514" si="51">$L451*M451*N451</f>
        <v>11310000</v>
      </c>
      <c r="P451" s="166">
        <v>0</v>
      </c>
      <c r="Q451" s="166">
        <v>0</v>
      </c>
      <c r="R451" s="164">
        <f>$L451*'Pivot Objective'!$C$9*P451*Q451</f>
        <v>0</v>
      </c>
      <c r="S451" s="166">
        <v>0</v>
      </c>
      <c r="T451" s="166">
        <v>0</v>
      </c>
      <c r="U451" s="164">
        <f>($L451*'Pivot Objective'!$C$9^2)*S451*T451</f>
        <v>0</v>
      </c>
      <c r="V451" s="166">
        <v>50</v>
      </c>
      <c r="W451" s="166">
        <v>1</v>
      </c>
      <c r="X451" s="164">
        <f>($L451*'Pivot Objective'!$C$9^3)*V451*W451</f>
        <v>2911275.86121652</v>
      </c>
      <c r="Y451" s="166">
        <v>58</v>
      </c>
      <c r="Z451" s="166">
        <v>5</v>
      </c>
      <c r="AA451" s="164">
        <f>($L451*'Pivot Objective'!$C$9^4)*Y451*Z451</f>
        <v>19298679.885632988</v>
      </c>
      <c r="AB451" s="140"/>
      <c r="AC451" s="140"/>
      <c r="AD451" s="164">
        <f>($L451*'Pivot Objective'!$C$9^5)*AB451*AC451</f>
        <v>0</v>
      </c>
      <c r="AE451" s="140"/>
      <c r="AF451" s="140"/>
      <c r="AG451" s="164">
        <f>($L451*'Pivot Objective'!$C$9^6)*AE451*AF451</f>
        <v>0</v>
      </c>
      <c r="AH451" s="140"/>
      <c r="AI451" s="140"/>
      <c r="AJ451" s="164">
        <f>($L451*'Pivot Objective'!$C$9^7)*AH451*AI451</f>
        <v>0</v>
      </c>
      <c r="AK451" s="185">
        <f t="shared" ref="AK451:AK514" si="52">O451+R451+U451+X451+AA451+AD451+AG451+AJ451</f>
        <v>33519955.746849507</v>
      </c>
      <c r="AL451" s="186">
        <f t="shared" ref="AL451:AL514" si="53">AK451/$AP$2</f>
        <v>32543.646356164569</v>
      </c>
    </row>
    <row r="452" spans="1:38" customFormat="1" ht="57.6" x14ac:dyDescent="0.3">
      <c r="A452" s="140" t="s">
        <v>1441</v>
      </c>
      <c r="B452" s="140">
        <v>1</v>
      </c>
      <c r="C452" s="166" t="s">
        <v>836</v>
      </c>
      <c r="D452" s="140" t="str">
        <f t="shared" si="48"/>
        <v>2</v>
      </c>
      <c r="E452" s="166" t="s">
        <v>992</v>
      </c>
      <c r="F452" s="140">
        <f t="shared" si="50"/>
        <v>3</v>
      </c>
      <c r="G452" s="140" t="str">
        <f t="shared" si="49"/>
        <v>1.2.3</v>
      </c>
      <c r="H452" s="166" t="s">
        <v>1011</v>
      </c>
      <c r="I452" s="166" t="s">
        <v>1012</v>
      </c>
      <c r="J452" s="166" t="s">
        <v>1019</v>
      </c>
      <c r="K452" s="166" t="s">
        <v>1299</v>
      </c>
      <c r="L452" s="167">
        <f>1480/7</f>
        <v>211.42857142857142</v>
      </c>
      <c r="M452" s="166">
        <v>22500</v>
      </c>
      <c r="N452" s="166">
        <v>1</v>
      </c>
      <c r="O452" s="164">
        <f t="shared" si="51"/>
        <v>4757142.8571428573</v>
      </c>
      <c r="P452" s="166"/>
      <c r="Q452" s="166"/>
      <c r="R452" s="164">
        <f>$L452*'Pivot Objective'!$C$9*P452*Q452</f>
        <v>0</v>
      </c>
      <c r="S452" s="166"/>
      <c r="T452" s="166"/>
      <c r="U452" s="164">
        <f>($L452*'Pivot Objective'!$C$9^2)*S452*T452</f>
        <v>0</v>
      </c>
      <c r="V452" s="166"/>
      <c r="W452" s="166"/>
      <c r="X452" s="164">
        <f>($L452*'Pivot Objective'!$C$9^3)*V452*W452</f>
        <v>0</v>
      </c>
      <c r="Y452" s="166">
        <v>22500</v>
      </c>
      <c r="Z452" s="166">
        <v>1</v>
      </c>
      <c r="AA452" s="164">
        <f>($L452*'Pivot Objective'!$C$9^4)*Y452*Z452</f>
        <v>8117292.4111605193</v>
      </c>
      <c r="AB452" s="140"/>
      <c r="AC452" s="140"/>
      <c r="AD452" s="164">
        <f>($L452*'Pivot Objective'!$C$9^5)*AB452*AC452</f>
        <v>0</v>
      </c>
      <c r="AE452" s="140"/>
      <c r="AF452" s="140"/>
      <c r="AG452" s="164">
        <f>($L452*'Pivot Objective'!$C$9^6)*AE452*AF452</f>
        <v>0</v>
      </c>
      <c r="AH452" s="140"/>
      <c r="AI452" s="140"/>
      <c r="AJ452" s="164">
        <f>($L452*'Pivot Objective'!$C$9^7)*AH452*AI452</f>
        <v>0</v>
      </c>
      <c r="AK452" s="185">
        <f t="shared" si="52"/>
        <v>12874435.268303376</v>
      </c>
      <c r="AL452" s="186">
        <f t="shared" si="53"/>
        <v>12499.451716799394</v>
      </c>
    </row>
    <row r="453" spans="1:38" customFormat="1" ht="57.6" x14ac:dyDescent="0.3">
      <c r="A453" s="140" t="s">
        <v>1441</v>
      </c>
      <c r="B453" s="140">
        <v>1</v>
      </c>
      <c r="C453" s="166" t="s">
        <v>836</v>
      </c>
      <c r="D453" s="140" t="str">
        <f t="shared" si="48"/>
        <v>2</v>
      </c>
      <c r="E453" s="166" t="s">
        <v>992</v>
      </c>
      <c r="F453" s="140">
        <f t="shared" si="50"/>
        <v>3</v>
      </c>
      <c r="G453" s="140" t="str">
        <f t="shared" si="49"/>
        <v>1.2.3</v>
      </c>
      <c r="H453" s="166" t="s">
        <v>1011</v>
      </c>
      <c r="I453" s="166" t="s">
        <v>1012</v>
      </c>
      <c r="J453" s="166" t="s">
        <v>1019</v>
      </c>
      <c r="K453" s="166" t="s">
        <v>712</v>
      </c>
      <c r="L453" s="167">
        <f>1480/7</f>
        <v>211.42857142857142</v>
      </c>
      <c r="M453" s="166">
        <f>2*25*29</f>
        <v>1450</v>
      </c>
      <c r="N453" s="166">
        <v>5</v>
      </c>
      <c r="O453" s="164">
        <f t="shared" si="51"/>
        <v>1532857.142857143</v>
      </c>
      <c r="P453" s="166">
        <v>0</v>
      </c>
      <c r="Q453" s="166">
        <v>0</v>
      </c>
      <c r="R453" s="164">
        <f>$L453*'Pivot Objective'!$C$9*P453*Q453</f>
        <v>0</v>
      </c>
      <c r="S453" s="166">
        <v>0</v>
      </c>
      <c r="T453" s="166">
        <v>0</v>
      </c>
      <c r="U453" s="164">
        <f>($L453*'Pivot Objective'!$C$9^2)*S453*T453</f>
        <v>0</v>
      </c>
      <c r="V453" s="166">
        <v>20</v>
      </c>
      <c r="W453" s="166">
        <v>2</v>
      </c>
      <c r="X453" s="164">
        <f>($L453*'Pivot Objective'!$C$9^3)*V453*W453</f>
        <v>12626.192746081902</v>
      </c>
      <c r="Y453" s="166">
        <f>2*25*29</f>
        <v>1450</v>
      </c>
      <c r="Z453" s="166">
        <v>5</v>
      </c>
      <c r="AA453" s="164">
        <f>($L453*'Pivot Objective'!$C$9^4)*Y453*Z453</f>
        <v>2615571.999151723</v>
      </c>
      <c r="AB453" s="140"/>
      <c r="AC453" s="140"/>
      <c r="AD453" s="164">
        <f>($L453*'Pivot Objective'!$C$9^5)*AB453*AC453</f>
        <v>0</v>
      </c>
      <c r="AE453" s="140"/>
      <c r="AF453" s="140"/>
      <c r="AG453" s="164">
        <f>($L453*'Pivot Objective'!$C$9^6)*AE453*AF453</f>
        <v>0</v>
      </c>
      <c r="AH453" s="140"/>
      <c r="AI453" s="140"/>
      <c r="AJ453" s="164">
        <f>($L453*'Pivot Objective'!$C$9^7)*AH453*AI453</f>
        <v>0</v>
      </c>
      <c r="AK453" s="185">
        <f t="shared" si="52"/>
        <v>4161055.3347549476</v>
      </c>
      <c r="AL453" s="186">
        <f t="shared" si="53"/>
        <v>4039.8595483057743</v>
      </c>
    </row>
    <row r="454" spans="1:38" customFormat="1" ht="57.6" x14ac:dyDescent="0.3">
      <c r="A454" s="140" t="s">
        <v>1441</v>
      </c>
      <c r="B454" s="140">
        <v>1</v>
      </c>
      <c r="C454" s="166" t="s">
        <v>836</v>
      </c>
      <c r="D454" s="140" t="str">
        <f t="shared" si="48"/>
        <v>2</v>
      </c>
      <c r="E454" s="166" t="s">
        <v>992</v>
      </c>
      <c r="F454" s="140">
        <f t="shared" si="50"/>
        <v>3</v>
      </c>
      <c r="G454" s="140" t="str">
        <f t="shared" si="49"/>
        <v>1.2.3</v>
      </c>
      <c r="H454" s="166" t="s">
        <v>1011</v>
      </c>
      <c r="I454" s="166" t="s">
        <v>1012</v>
      </c>
      <c r="J454" s="166" t="s">
        <v>1020</v>
      </c>
      <c r="K454" s="166" t="s">
        <v>841</v>
      </c>
      <c r="L454" s="167">
        <v>0</v>
      </c>
      <c r="M454" s="166">
        <v>0</v>
      </c>
      <c r="N454" s="166">
        <v>0</v>
      </c>
      <c r="O454" s="164">
        <f t="shared" si="51"/>
        <v>0</v>
      </c>
      <c r="P454" s="166">
        <v>0</v>
      </c>
      <c r="Q454" s="166">
        <v>0</v>
      </c>
      <c r="R454" s="164">
        <f>$L454*'Pivot Objective'!$C$9*P454*Q454</f>
        <v>0</v>
      </c>
      <c r="S454" s="166">
        <v>0</v>
      </c>
      <c r="T454" s="166">
        <v>0</v>
      </c>
      <c r="U454" s="164">
        <f>($L454*'Pivot Objective'!$C$9^2)*S454*T454</f>
        <v>0</v>
      </c>
      <c r="V454" s="166">
        <v>8000</v>
      </c>
      <c r="W454" s="166">
        <v>1</v>
      </c>
      <c r="X454" s="164">
        <f>($L454*'Pivot Objective'!$C$9^3)*V454*W454</f>
        <v>0</v>
      </c>
      <c r="Y454" s="166">
        <v>0</v>
      </c>
      <c r="Z454" s="166">
        <v>0</v>
      </c>
      <c r="AA454" s="164">
        <f>($L454*'Pivot Objective'!$C$9^4)*Y454*Z454</f>
        <v>0</v>
      </c>
      <c r="AB454" s="140"/>
      <c r="AC454" s="140"/>
      <c r="AD454" s="164">
        <f>($L454*'Pivot Objective'!$C$9^5)*AB454*AC454</f>
        <v>0</v>
      </c>
      <c r="AE454" s="140"/>
      <c r="AF454" s="140"/>
      <c r="AG454" s="164">
        <f>($L454*'Pivot Objective'!$C$9^6)*AE454*AF454</f>
        <v>0</v>
      </c>
      <c r="AH454" s="140"/>
      <c r="AI454" s="140"/>
      <c r="AJ454" s="164">
        <f>($L454*'Pivot Objective'!$C$9^7)*AH454*AI454</f>
        <v>0</v>
      </c>
      <c r="AK454" s="185">
        <f t="shared" si="52"/>
        <v>0</v>
      </c>
      <c r="AL454" s="186">
        <f t="shared" si="53"/>
        <v>0</v>
      </c>
    </row>
    <row r="455" spans="1:38" customFormat="1" ht="57.6" x14ac:dyDescent="0.3">
      <c r="A455" s="140" t="s">
        <v>1441</v>
      </c>
      <c r="B455" s="140">
        <v>1</v>
      </c>
      <c r="C455" s="166" t="s">
        <v>836</v>
      </c>
      <c r="D455" s="140" t="str">
        <f t="shared" si="48"/>
        <v>2</v>
      </c>
      <c r="E455" s="166" t="s">
        <v>992</v>
      </c>
      <c r="F455" s="140">
        <f t="shared" si="50"/>
        <v>3</v>
      </c>
      <c r="G455" s="140" t="str">
        <f t="shared" si="49"/>
        <v>1.2.3</v>
      </c>
      <c r="H455" s="166" t="s">
        <v>1011</v>
      </c>
      <c r="I455" s="166" t="s">
        <v>1012</v>
      </c>
      <c r="J455" s="166" t="s">
        <v>1021</v>
      </c>
      <c r="K455" s="166" t="s">
        <v>718</v>
      </c>
      <c r="L455" s="167">
        <v>0</v>
      </c>
      <c r="M455" s="166">
        <v>0</v>
      </c>
      <c r="N455" s="166">
        <v>0</v>
      </c>
      <c r="O455" s="164">
        <f t="shared" si="51"/>
        <v>0</v>
      </c>
      <c r="P455" s="166">
        <v>0</v>
      </c>
      <c r="Q455" s="166">
        <v>0</v>
      </c>
      <c r="R455" s="164">
        <f>$L455*'Pivot Objective'!$C$9*P455*Q455</f>
        <v>0</v>
      </c>
      <c r="S455" s="166">
        <v>0</v>
      </c>
      <c r="T455" s="166">
        <v>0</v>
      </c>
      <c r="U455" s="164">
        <f>($L455*'Pivot Objective'!$C$9^2)*S455*T455</f>
        <v>0</v>
      </c>
      <c r="V455" s="166">
        <v>3</v>
      </c>
      <c r="W455" s="166">
        <v>5</v>
      </c>
      <c r="X455" s="164">
        <f>($L455*'Pivot Objective'!$C$9^3)*V455*W455</f>
        <v>0</v>
      </c>
      <c r="Y455" s="166">
        <v>0</v>
      </c>
      <c r="Z455" s="166">
        <v>0</v>
      </c>
      <c r="AA455" s="164">
        <f>($L455*'Pivot Objective'!$C$9^4)*Y455*Z455</f>
        <v>0</v>
      </c>
      <c r="AB455" s="140"/>
      <c r="AC455" s="140"/>
      <c r="AD455" s="164">
        <f>($L455*'Pivot Objective'!$C$9^5)*AB455*AC455</f>
        <v>0</v>
      </c>
      <c r="AE455" s="140"/>
      <c r="AF455" s="140"/>
      <c r="AG455" s="164">
        <f>($L455*'Pivot Objective'!$C$9^6)*AE455*AF455</f>
        <v>0</v>
      </c>
      <c r="AH455" s="140"/>
      <c r="AI455" s="140"/>
      <c r="AJ455" s="164">
        <f>($L455*'Pivot Objective'!$C$9^7)*AH455*AI455</f>
        <v>0</v>
      </c>
      <c r="AK455" s="185">
        <f t="shared" si="52"/>
        <v>0</v>
      </c>
      <c r="AL455" s="186">
        <f t="shared" si="53"/>
        <v>0</v>
      </c>
    </row>
    <row r="456" spans="1:38" customFormat="1" ht="57.6" x14ac:dyDescent="0.3">
      <c r="A456" s="140" t="s">
        <v>1441</v>
      </c>
      <c r="B456" s="140">
        <v>1</v>
      </c>
      <c r="C456" s="166" t="s">
        <v>836</v>
      </c>
      <c r="D456" s="140" t="str">
        <f t="shared" si="48"/>
        <v>2</v>
      </c>
      <c r="E456" s="166" t="s">
        <v>992</v>
      </c>
      <c r="F456" s="140">
        <f t="shared" si="50"/>
        <v>3</v>
      </c>
      <c r="G456" s="140" t="str">
        <f t="shared" si="49"/>
        <v>1.2.3</v>
      </c>
      <c r="H456" s="166" t="s">
        <v>1011</v>
      </c>
      <c r="I456" s="166" t="s">
        <v>1022</v>
      </c>
      <c r="J456" s="166" t="s">
        <v>1023</v>
      </c>
      <c r="K456" s="166" t="s">
        <v>841</v>
      </c>
      <c r="L456" s="167">
        <v>0</v>
      </c>
      <c r="M456" s="166">
        <v>0</v>
      </c>
      <c r="N456" s="166">
        <v>0</v>
      </c>
      <c r="O456" s="164">
        <f t="shared" si="51"/>
        <v>0</v>
      </c>
      <c r="P456" s="166">
        <v>0</v>
      </c>
      <c r="Q456" s="166">
        <v>0</v>
      </c>
      <c r="R456" s="164">
        <f>$L456*'Pivot Objective'!$C$9*P456*Q456</f>
        <v>0</v>
      </c>
      <c r="S456" s="166">
        <v>0</v>
      </c>
      <c r="T456" s="166">
        <v>0</v>
      </c>
      <c r="U456" s="164">
        <f>($L456*'Pivot Objective'!$C$9^2)*S456*T456</f>
        <v>0</v>
      </c>
      <c r="V456" s="166">
        <v>0</v>
      </c>
      <c r="W456" s="166">
        <v>0</v>
      </c>
      <c r="X456" s="164">
        <f>($L456*'Pivot Objective'!$C$9^3)*V456*W456</f>
        <v>0</v>
      </c>
      <c r="Y456" s="166">
        <v>0</v>
      </c>
      <c r="Z456" s="166">
        <v>0</v>
      </c>
      <c r="AA456" s="164">
        <f>($L456*'Pivot Objective'!$C$9^4)*Y456*Z456</f>
        <v>0</v>
      </c>
      <c r="AB456" s="166">
        <v>0</v>
      </c>
      <c r="AC456" s="166">
        <v>0</v>
      </c>
      <c r="AD456" s="164">
        <f>($L456*'Pivot Objective'!$C$9^5)*AB456*AC456</f>
        <v>0</v>
      </c>
      <c r="AE456" s="140"/>
      <c r="AF456" s="140"/>
      <c r="AG456" s="164">
        <f>($L456*'Pivot Objective'!$C$9^6)*AE456*AF456</f>
        <v>0</v>
      </c>
      <c r="AH456" s="140"/>
      <c r="AI456" s="140"/>
      <c r="AJ456" s="164">
        <f>($L456*'Pivot Objective'!$C$9^7)*AH456*AI456</f>
        <v>0</v>
      </c>
      <c r="AK456" s="185">
        <f t="shared" si="52"/>
        <v>0</v>
      </c>
      <c r="AL456" s="186">
        <f t="shared" si="53"/>
        <v>0</v>
      </c>
    </row>
    <row r="457" spans="1:38" customFormat="1" ht="57.6" x14ac:dyDescent="0.3">
      <c r="A457" s="140" t="s">
        <v>1441</v>
      </c>
      <c r="B457" s="140">
        <v>1</v>
      </c>
      <c r="C457" s="166" t="s">
        <v>836</v>
      </c>
      <c r="D457" s="140" t="str">
        <f t="shared" si="48"/>
        <v>2</v>
      </c>
      <c r="E457" s="166" t="s">
        <v>992</v>
      </c>
      <c r="F457" s="140">
        <f t="shared" si="50"/>
        <v>3</v>
      </c>
      <c r="G457" s="140" t="str">
        <f t="shared" si="49"/>
        <v>1.2.3</v>
      </c>
      <c r="H457" s="166" t="s">
        <v>1011</v>
      </c>
      <c r="I457" s="166" t="s">
        <v>1022</v>
      </c>
      <c r="J457" s="166" t="s">
        <v>1024</v>
      </c>
      <c r="K457" s="166" t="s">
        <v>841</v>
      </c>
      <c r="L457" s="167">
        <v>0</v>
      </c>
      <c r="M457" s="166">
        <v>0</v>
      </c>
      <c r="N457" s="166">
        <v>0</v>
      </c>
      <c r="O457" s="164">
        <f t="shared" si="51"/>
        <v>0</v>
      </c>
      <c r="P457" s="166">
        <v>0</v>
      </c>
      <c r="Q457" s="166">
        <v>0</v>
      </c>
      <c r="R457" s="164">
        <f>$L457*'Pivot Objective'!$C$9*P457*Q457</f>
        <v>0</v>
      </c>
      <c r="S457" s="166">
        <v>0</v>
      </c>
      <c r="T457" s="166">
        <v>0</v>
      </c>
      <c r="U457" s="164">
        <f>($L457*'Pivot Objective'!$C$9^2)*S457*T457</f>
        <v>0</v>
      </c>
      <c r="V457" s="166">
        <v>0</v>
      </c>
      <c r="W457" s="166">
        <v>0</v>
      </c>
      <c r="X457" s="164">
        <f>($L457*'Pivot Objective'!$C$9^3)*V457*W457</f>
        <v>0</v>
      </c>
      <c r="Y457" s="166">
        <v>0</v>
      </c>
      <c r="Z457" s="166">
        <v>0</v>
      </c>
      <c r="AA457" s="164">
        <f>($L457*'Pivot Objective'!$C$9^4)*Y457*Z457</f>
        <v>0</v>
      </c>
      <c r="AB457" s="166">
        <v>0</v>
      </c>
      <c r="AC457" s="166">
        <v>0</v>
      </c>
      <c r="AD457" s="164">
        <f>($L457*'Pivot Objective'!$C$9^5)*AB457*AC457</f>
        <v>0</v>
      </c>
      <c r="AE457" s="140"/>
      <c r="AF457" s="140"/>
      <c r="AG457" s="164">
        <f>($L457*'Pivot Objective'!$C$9^6)*AE457*AF457</f>
        <v>0</v>
      </c>
      <c r="AH457" s="140"/>
      <c r="AI457" s="140"/>
      <c r="AJ457" s="164">
        <f>($L457*'Pivot Objective'!$C$9^7)*AH457*AI457</f>
        <v>0</v>
      </c>
      <c r="AK457" s="185">
        <f t="shared" si="52"/>
        <v>0</v>
      </c>
      <c r="AL457" s="186">
        <f t="shared" si="53"/>
        <v>0</v>
      </c>
    </row>
    <row r="458" spans="1:38" customFormat="1" ht="57.6" x14ac:dyDescent="0.3">
      <c r="A458" s="140" t="s">
        <v>1441</v>
      </c>
      <c r="B458" s="140">
        <v>1</v>
      </c>
      <c r="C458" s="166" t="s">
        <v>836</v>
      </c>
      <c r="D458" s="140" t="str">
        <f t="shared" si="48"/>
        <v>2</v>
      </c>
      <c r="E458" s="166" t="s">
        <v>992</v>
      </c>
      <c r="F458" s="140">
        <f t="shared" si="50"/>
        <v>3</v>
      </c>
      <c r="G458" s="140" t="str">
        <f t="shared" si="49"/>
        <v>1.2.3</v>
      </c>
      <c r="H458" s="166" t="s">
        <v>1011</v>
      </c>
      <c r="I458" s="166" t="s">
        <v>1022</v>
      </c>
      <c r="J458" s="166" t="s">
        <v>1025</v>
      </c>
      <c r="K458" s="166" t="s">
        <v>841</v>
      </c>
      <c r="L458" s="167">
        <v>0</v>
      </c>
      <c r="M458" s="166">
        <v>0</v>
      </c>
      <c r="N458" s="166">
        <v>0</v>
      </c>
      <c r="O458" s="164">
        <f t="shared" si="51"/>
        <v>0</v>
      </c>
      <c r="P458" s="166">
        <v>0</v>
      </c>
      <c r="Q458" s="166">
        <v>0</v>
      </c>
      <c r="R458" s="164">
        <f>$L458*'Pivot Objective'!$C$9*P458*Q458</f>
        <v>0</v>
      </c>
      <c r="S458" s="166">
        <v>0</v>
      </c>
      <c r="T458" s="166">
        <v>0</v>
      </c>
      <c r="U458" s="164">
        <f>($L458*'Pivot Objective'!$C$9^2)*S458*T458</f>
        <v>0</v>
      </c>
      <c r="V458" s="166">
        <v>0</v>
      </c>
      <c r="W458" s="166">
        <v>0</v>
      </c>
      <c r="X458" s="164">
        <f>($L458*'Pivot Objective'!$C$9^3)*V458*W458</f>
        <v>0</v>
      </c>
      <c r="Y458" s="166">
        <v>0</v>
      </c>
      <c r="Z458" s="166">
        <v>0</v>
      </c>
      <c r="AA458" s="164">
        <f>($L458*'Pivot Objective'!$C$9^4)*Y458*Z458</f>
        <v>0</v>
      </c>
      <c r="AB458" s="166">
        <v>0</v>
      </c>
      <c r="AC458" s="166">
        <v>0</v>
      </c>
      <c r="AD458" s="164">
        <f>($L458*'Pivot Objective'!$C$9^5)*AB458*AC458</f>
        <v>0</v>
      </c>
      <c r="AE458" s="140"/>
      <c r="AF458" s="140"/>
      <c r="AG458" s="164">
        <f>($L458*'Pivot Objective'!$C$9^6)*AE458*AF458</f>
        <v>0</v>
      </c>
      <c r="AH458" s="140"/>
      <c r="AI458" s="140"/>
      <c r="AJ458" s="164">
        <f>($L458*'Pivot Objective'!$C$9^7)*AH458*AI458</f>
        <v>0</v>
      </c>
      <c r="AK458" s="185">
        <f t="shared" si="52"/>
        <v>0</v>
      </c>
      <c r="AL458" s="186">
        <f t="shared" si="53"/>
        <v>0</v>
      </c>
    </row>
    <row r="459" spans="1:38" customFormat="1" ht="57.6" x14ac:dyDescent="0.3">
      <c r="A459" s="140" t="s">
        <v>1441</v>
      </c>
      <c r="B459" s="140">
        <v>1</v>
      </c>
      <c r="C459" s="166" t="s">
        <v>836</v>
      </c>
      <c r="D459" s="140" t="str">
        <f t="shared" si="48"/>
        <v>2</v>
      </c>
      <c r="E459" s="166" t="s">
        <v>992</v>
      </c>
      <c r="F459" s="140">
        <f t="shared" si="50"/>
        <v>3</v>
      </c>
      <c r="G459" s="140" t="str">
        <f t="shared" si="49"/>
        <v>1.2.3</v>
      </c>
      <c r="H459" s="166" t="s">
        <v>1011</v>
      </c>
      <c r="I459" s="166" t="s">
        <v>1022</v>
      </c>
      <c r="J459" s="166" t="s">
        <v>149</v>
      </c>
      <c r="K459" s="166" t="s">
        <v>707</v>
      </c>
      <c r="L459" s="167">
        <v>391991.03749999998</v>
      </c>
      <c r="M459" s="166">
        <v>2</v>
      </c>
      <c r="N459" s="166">
        <v>2</v>
      </c>
      <c r="O459" s="164">
        <f t="shared" si="51"/>
        <v>1567964.15</v>
      </c>
      <c r="P459" s="166">
        <v>2</v>
      </c>
      <c r="Q459" s="166">
        <v>2</v>
      </c>
      <c r="R459" s="164">
        <f>$L459*'Pivot Objective'!$C$9*P459*Q459</f>
        <v>1792059.3063746723</v>
      </c>
      <c r="S459" s="166">
        <v>0</v>
      </c>
      <c r="T459" s="166">
        <v>0</v>
      </c>
      <c r="U459" s="164">
        <f>($L459*'Pivot Objective'!$C$9^2)*S459*T459</f>
        <v>0</v>
      </c>
      <c r="V459" s="166">
        <v>0</v>
      </c>
      <c r="W459" s="166">
        <v>0</v>
      </c>
      <c r="X459" s="164">
        <f>($L459*'Pivot Objective'!$C$9^3)*V459*W459</f>
        <v>0</v>
      </c>
      <c r="Y459" s="166">
        <v>0</v>
      </c>
      <c r="Z459" s="166">
        <v>0</v>
      </c>
      <c r="AA459" s="164">
        <f>($L459*'Pivot Objective'!$C$9^4)*Y459*Z459</f>
        <v>0</v>
      </c>
      <c r="AB459" s="166">
        <v>2</v>
      </c>
      <c r="AC459" s="166">
        <v>2</v>
      </c>
      <c r="AD459" s="164">
        <f>($L459*'Pivot Objective'!$C$9^5)*AB459*AC459</f>
        <v>3057858.4341109009</v>
      </c>
      <c r="AE459" s="140"/>
      <c r="AF459" s="140"/>
      <c r="AG459" s="164">
        <f>($L459*'Pivot Objective'!$C$9^6)*AE459*AF459</f>
        <v>0</v>
      </c>
      <c r="AH459" s="140"/>
      <c r="AI459" s="140"/>
      <c r="AJ459" s="164">
        <f>($L459*'Pivot Objective'!$C$9^7)*AH459*AI459</f>
        <v>0</v>
      </c>
      <c r="AK459" s="185">
        <f t="shared" si="52"/>
        <v>6417881.8904855736</v>
      </c>
      <c r="AL459" s="186">
        <f t="shared" si="53"/>
        <v>6230.9532917335664</v>
      </c>
    </row>
    <row r="460" spans="1:38" customFormat="1" ht="57.6" x14ac:dyDescent="0.3">
      <c r="A460" s="140" t="s">
        <v>1441</v>
      </c>
      <c r="B460" s="140">
        <v>1</v>
      </c>
      <c r="C460" s="166" t="s">
        <v>836</v>
      </c>
      <c r="D460" s="140" t="str">
        <f t="shared" si="48"/>
        <v>2</v>
      </c>
      <c r="E460" s="166" t="s">
        <v>992</v>
      </c>
      <c r="F460" s="140">
        <f t="shared" si="50"/>
        <v>3</v>
      </c>
      <c r="G460" s="140" t="str">
        <f t="shared" si="49"/>
        <v>1.2.3</v>
      </c>
      <c r="H460" s="166" t="s">
        <v>1011</v>
      </c>
      <c r="I460" s="166" t="s">
        <v>1022</v>
      </c>
      <c r="J460" s="166" t="s">
        <v>149</v>
      </c>
      <c r="K460" s="166" t="s">
        <v>1365</v>
      </c>
      <c r="L460" s="167">
        <f>980*1022</f>
        <v>1001560</v>
      </c>
      <c r="M460" s="166">
        <v>1</v>
      </c>
      <c r="N460" s="166">
        <v>40</v>
      </c>
      <c r="O460" s="164">
        <f t="shared" si="51"/>
        <v>40062400</v>
      </c>
      <c r="P460" s="166">
        <v>1</v>
      </c>
      <c r="Q460" s="166">
        <v>40</v>
      </c>
      <c r="R460" s="164">
        <f>$L460*'Pivot Objective'!$C$9*P460*Q460</f>
        <v>45788162.156452797</v>
      </c>
      <c r="S460" s="166">
        <v>0</v>
      </c>
      <c r="T460" s="166">
        <v>0</v>
      </c>
      <c r="U460" s="164">
        <f>($L460*'Pivot Objective'!$C$9^2)*S460*T460</f>
        <v>0</v>
      </c>
      <c r="V460" s="166">
        <v>1</v>
      </c>
      <c r="W460" s="166">
        <v>4</v>
      </c>
      <c r="X460" s="164">
        <f>($L460*'Pivot Objective'!$C$9^3)*V460*W460</f>
        <v>5981164.0032000365</v>
      </c>
      <c r="Y460" s="166">
        <v>0</v>
      </c>
      <c r="Z460" s="166">
        <v>0</v>
      </c>
      <c r="AA460" s="164">
        <f>($L460*'Pivot Objective'!$C$9^4)*Y460*Z460</f>
        <v>0</v>
      </c>
      <c r="AB460" s="166">
        <v>1</v>
      </c>
      <c r="AC460" s="166">
        <v>40</v>
      </c>
      <c r="AD460" s="164">
        <f>($L460*'Pivot Objective'!$C$9^5)*AB460*AC460</f>
        <v>78130069.319967911</v>
      </c>
      <c r="AE460" s="140"/>
      <c r="AF460" s="140"/>
      <c r="AG460" s="164">
        <f>($L460*'Pivot Objective'!$C$9^6)*AE460*AF460</f>
        <v>0</v>
      </c>
      <c r="AH460" s="140"/>
      <c r="AI460" s="140"/>
      <c r="AJ460" s="164">
        <f>($L460*'Pivot Objective'!$C$9^7)*AH460*AI460</f>
        <v>0</v>
      </c>
      <c r="AK460" s="185">
        <f t="shared" si="52"/>
        <v>169961795.47962075</v>
      </c>
      <c r="AL460" s="186">
        <f t="shared" si="53"/>
        <v>165011.45192196191</v>
      </c>
    </row>
    <row r="461" spans="1:38" customFormat="1" ht="57.6" x14ac:dyDescent="0.3">
      <c r="A461" s="140" t="s">
        <v>1441</v>
      </c>
      <c r="B461" s="140">
        <v>1</v>
      </c>
      <c r="C461" s="166" t="s">
        <v>836</v>
      </c>
      <c r="D461" s="140" t="str">
        <f t="shared" si="48"/>
        <v>2</v>
      </c>
      <c r="E461" s="166" t="s">
        <v>992</v>
      </c>
      <c r="F461" s="140">
        <f t="shared" si="50"/>
        <v>3</v>
      </c>
      <c r="G461" s="140" t="str">
        <f t="shared" si="49"/>
        <v>1.2.3</v>
      </c>
      <c r="H461" s="166" t="s">
        <v>1011</v>
      </c>
      <c r="I461" s="166" t="s">
        <v>1022</v>
      </c>
      <c r="J461" s="166" t="s">
        <v>149</v>
      </c>
      <c r="K461" s="166" t="s">
        <v>709</v>
      </c>
      <c r="L461" s="167">
        <v>35000</v>
      </c>
      <c r="M461" s="166">
        <v>25</v>
      </c>
      <c r="N461" s="166">
        <f>5*3</f>
        <v>15</v>
      </c>
      <c r="O461" s="164">
        <f t="shared" si="51"/>
        <v>13125000</v>
      </c>
      <c r="P461" s="166">
        <v>25</v>
      </c>
      <c r="Q461" s="166">
        <f>5*3</f>
        <v>15</v>
      </c>
      <c r="R461" s="164">
        <f>$L461*'Pivot Objective'!$C$9*P461*Q461</f>
        <v>15000839.398124997</v>
      </c>
      <c r="S461" s="166"/>
      <c r="T461" s="166"/>
      <c r="U461" s="164">
        <f>($L461*'Pivot Objective'!$C$9^2)*S461*T461</f>
        <v>0</v>
      </c>
      <c r="V461" s="166"/>
      <c r="W461" s="166"/>
      <c r="X461" s="164">
        <f>($L461*'Pivot Objective'!$C$9^3)*V461*W461</f>
        <v>0</v>
      </c>
      <c r="Y461" s="166"/>
      <c r="Z461" s="166"/>
      <c r="AA461" s="164">
        <f>($L461*'Pivot Objective'!$C$9^4)*Y461*Z461</f>
        <v>0</v>
      </c>
      <c r="AB461" s="166">
        <v>25</v>
      </c>
      <c r="AC461" s="166">
        <f>5*3</f>
        <v>15</v>
      </c>
      <c r="AD461" s="164">
        <f>($L461*'Pivot Objective'!$C$9^5)*AB461*AC461</f>
        <v>25596498.458019953</v>
      </c>
      <c r="AE461" s="140"/>
      <c r="AF461" s="140"/>
      <c r="AG461" s="164">
        <f>($L461*'Pivot Objective'!$C$9^6)*AE461*AF461</f>
        <v>0</v>
      </c>
      <c r="AH461" s="140"/>
      <c r="AI461" s="140"/>
      <c r="AJ461" s="164">
        <f>($L461*'Pivot Objective'!$C$9^7)*AH461*AI461</f>
        <v>0</v>
      </c>
      <c r="AK461" s="185">
        <f t="shared" si="52"/>
        <v>53722337.85614495</v>
      </c>
      <c r="AL461" s="186">
        <f t="shared" si="53"/>
        <v>52157.609569072767</v>
      </c>
    </row>
    <row r="462" spans="1:38" customFormat="1" ht="57.6" x14ac:dyDescent="0.3">
      <c r="A462" s="140" t="s">
        <v>1441</v>
      </c>
      <c r="B462" s="140">
        <v>1</v>
      </c>
      <c r="C462" s="166" t="s">
        <v>836</v>
      </c>
      <c r="D462" s="140" t="str">
        <f t="shared" si="48"/>
        <v>2</v>
      </c>
      <c r="E462" s="166" t="s">
        <v>992</v>
      </c>
      <c r="F462" s="140">
        <f t="shared" si="50"/>
        <v>3</v>
      </c>
      <c r="G462" s="140" t="str">
        <f t="shared" si="49"/>
        <v>1.2.3</v>
      </c>
      <c r="H462" s="166" t="s">
        <v>1011</v>
      </c>
      <c r="I462" s="166" t="s">
        <v>1022</v>
      </c>
      <c r="J462" s="166" t="s">
        <v>149</v>
      </c>
      <c r="K462" s="166" t="s">
        <v>716</v>
      </c>
      <c r="L462" s="167">
        <v>39000</v>
      </c>
      <c r="M462" s="166">
        <v>25</v>
      </c>
      <c r="N462" s="166">
        <f>6*3</f>
        <v>18</v>
      </c>
      <c r="O462" s="164">
        <f t="shared" si="51"/>
        <v>17550000</v>
      </c>
      <c r="P462" s="166">
        <v>25</v>
      </c>
      <c r="Q462" s="166">
        <f>6*3</f>
        <v>18</v>
      </c>
      <c r="R462" s="164">
        <f>$L462*'Pivot Objective'!$C$9*P462*Q462</f>
        <v>20058265.252349999</v>
      </c>
      <c r="S462" s="166"/>
      <c r="T462" s="166"/>
      <c r="U462" s="164">
        <f>($L462*'Pivot Objective'!$C$9^2)*S462*T462</f>
        <v>0</v>
      </c>
      <c r="V462" s="166"/>
      <c r="W462" s="166"/>
      <c r="X462" s="164">
        <f>($L462*'Pivot Objective'!$C$9^3)*V462*W462</f>
        <v>0</v>
      </c>
      <c r="Y462" s="166"/>
      <c r="Z462" s="166"/>
      <c r="AA462" s="164">
        <f>($L462*'Pivot Objective'!$C$9^4)*Y462*Z462</f>
        <v>0</v>
      </c>
      <c r="AB462" s="166">
        <v>25</v>
      </c>
      <c r="AC462" s="166">
        <f>6*3</f>
        <v>18</v>
      </c>
      <c r="AD462" s="164">
        <f>($L462*'Pivot Objective'!$C$9^5)*AB462*AC462</f>
        <v>34226175.081009544</v>
      </c>
      <c r="AE462" s="140"/>
      <c r="AF462" s="140"/>
      <c r="AG462" s="164">
        <f>($L462*'Pivot Objective'!$C$9^6)*AE462*AF462</f>
        <v>0</v>
      </c>
      <c r="AH462" s="140"/>
      <c r="AI462" s="140"/>
      <c r="AJ462" s="164">
        <f>($L462*'Pivot Objective'!$C$9^7)*AH462*AI462</f>
        <v>0</v>
      </c>
      <c r="AK462" s="185">
        <f t="shared" si="52"/>
        <v>71834440.33335954</v>
      </c>
      <c r="AL462" s="186">
        <f t="shared" si="53"/>
        <v>69742.175080931585</v>
      </c>
    </row>
    <row r="463" spans="1:38" customFormat="1" ht="57.6" x14ac:dyDescent="0.3">
      <c r="A463" s="140" t="s">
        <v>1441</v>
      </c>
      <c r="B463" s="140">
        <v>1</v>
      </c>
      <c r="C463" s="166" t="s">
        <v>836</v>
      </c>
      <c r="D463" s="140" t="str">
        <f t="shared" si="48"/>
        <v>2</v>
      </c>
      <c r="E463" s="166" t="s">
        <v>992</v>
      </c>
      <c r="F463" s="140">
        <f t="shared" ref="F463:F494" si="54">IF(H463=H462,F462,F462+1)</f>
        <v>3</v>
      </c>
      <c r="G463" s="140" t="str">
        <f t="shared" si="49"/>
        <v>1.2.3</v>
      </c>
      <c r="H463" s="166" t="s">
        <v>1011</v>
      </c>
      <c r="I463" s="166" t="s">
        <v>1022</v>
      </c>
      <c r="J463" s="166" t="s">
        <v>149</v>
      </c>
      <c r="K463" s="166" t="s">
        <v>1299</v>
      </c>
      <c r="L463" s="167">
        <f>1480/7</f>
        <v>211.42857142857142</v>
      </c>
      <c r="M463" s="166">
        <f>2*135*9</f>
        <v>2430</v>
      </c>
      <c r="N463" s="166">
        <f>5*3</f>
        <v>15</v>
      </c>
      <c r="O463" s="164">
        <f t="shared" si="51"/>
        <v>7706571.4285714282</v>
      </c>
      <c r="P463" s="166">
        <f>2*135*9</f>
        <v>2430</v>
      </c>
      <c r="Q463" s="166">
        <f>5*3</f>
        <v>15</v>
      </c>
      <c r="R463" s="164">
        <f>$L463*'Pivot Objective'!$C$9*P463*Q463</f>
        <v>8808003.0712517127</v>
      </c>
      <c r="S463" s="166"/>
      <c r="T463" s="166"/>
      <c r="U463" s="164">
        <f>($L463*'Pivot Objective'!$C$9^2)*S463*T463</f>
        <v>0</v>
      </c>
      <c r="V463" s="166"/>
      <c r="W463" s="166"/>
      <c r="X463" s="164">
        <f>($L463*'Pivot Objective'!$C$9^3)*V463*W463</f>
        <v>0</v>
      </c>
      <c r="Y463" s="166"/>
      <c r="Z463" s="166"/>
      <c r="AA463" s="164">
        <f>($L463*'Pivot Objective'!$C$9^4)*Y463*Z463</f>
        <v>0</v>
      </c>
      <c r="AB463" s="166">
        <f>2*135*9</f>
        <v>2430</v>
      </c>
      <c r="AC463" s="166">
        <f>5*3</f>
        <v>15</v>
      </c>
      <c r="AD463" s="164">
        <f>($L463*'Pivot Objective'!$C$9^5)*AB463*AC463</f>
        <v>15029428.090518039</v>
      </c>
      <c r="AE463" s="140"/>
      <c r="AF463" s="140"/>
      <c r="AG463" s="164">
        <f>($L463*'Pivot Objective'!$C$9^6)*AE463*AF463</f>
        <v>0</v>
      </c>
      <c r="AH463" s="140"/>
      <c r="AI463" s="140"/>
      <c r="AJ463" s="164">
        <f>($L463*'Pivot Objective'!$C$9^7)*AH463*AI463</f>
        <v>0</v>
      </c>
      <c r="AK463" s="185">
        <f t="shared" si="52"/>
        <v>31544002.590341181</v>
      </c>
      <c r="AL463" s="186">
        <f t="shared" si="53"/>
        <v>30625.245233340953</v>
      </c>
    </row>
    <row r="464" spans="1:38" customFormat="1" ht="57.6" x14ac:dyDescent="0.3">
      <c r="A464" s="140" t="s">
        <v>1441</v>
      </c>
      <c r="B464" s="140">
        <v>1</v>
      </c>
      <c r="C464" s="166" t="s">
        <v>836</v>
      </c>
      <c r="D464" s="140" t="str">
        <f t="shared" si="48"/>
        <v>2</v>
      </c>
      <c r="E464" s="166" t="s">
        <v>992</v>
      </c>
      <c r="F464" s="140">
        <f t="shared" si="54"/>
        <v>3</v>
      </c>
      <c r="G464" s="140" t="str">
        <f t="shared" si="49"/>
        <v>1.2.3</v>
      </c>
      <c r="H464" s="166" t="s">
        <v>1011</v>
      </c>
      <c r="I464" s="166" t="s">
        <v>1022</v>
      </c>
      <c r="J464" s="166" t="s">
        <v>149</v>
      </c>
      <c r="K464" s="166" t="s">
        <v>712</v>
      </c>
      <c r="L464" s="167">
        <f>1480/7</f>
        <v>211.42857142857142</v>
      </c>
      <c r="M464" s="166">
        <f>2*25*9</f>
        <v>450</v>
      </c>
      <c r="N464" s="166">
        <f>5*3</f>
        <v>15</v>
      </c>
      <c r="O464" s="164">
        <f t="shared" si="51"/>
        <v>1427142.857142857</v>
      </c>
      <c r="P464" s="166">
        <f>2*25*9</f>
        <v>450</v>
      </c>
      <c r="Q464" s="166">
        <f>5*3</f>
        <v>15</v>
      </c>
      <c r="R464" s="164">
        <f>$L464*'Pivot Objective'!$C$9*P464*Q464</f>
        <v>1631111.6798614284</v>
      </c>
      <c r="S464" s="166"/>
      <c r="T464" s="166"/>
      <c r="U464" s="164">
        <f>($L464*'Pivot Objective'!$C$9^2)*S464*T464</f>
        <v>0</v>
      </c>
      <c r="V464" s="166"/>
      <c r="W464" s="166"/>
      <c r="X464" s="164">
        <f>($L464*'Pivot Objective'!$C$9^3)*V464*W464</f>
        <v>0</v>
      </c>
      <c r="Y464" s="166"/>
      <c r="Z464" s="166"/>
      <c r="AA464" s="164">
        <f>($L464*'Pivot Objective'!$C$9^4)*Y464*Z464</f>
        <v>0</v>
      </c>
      <c r="AB464" s="166">
        <f>2*25*9</f>
        <v>450</v>
      </c>
      <c r="AC464" s="166">
        <f>5*3</f>
        <v>15</v>
      </c>
      <c r="AD464" s="164">
        <f>($L464*'Pivot Objective'!$C$9^5)*AB464*AC464</f>
        <v>2783227.424170007</v>
      </c>
      <c r="AE464" s="140"/>
      <c r="AF464" s="140"/>
      <c r="AG464" s="164">
        <f>($L464*'Pivot Objective'!$C$9^6)*AE464*AF464</f>
        <v>0</v>
      </c>
      <c r="AH464" s="140"/>
      <c r="AI464" s="140"/>
      <c r="AJ464" s="164">
        <f>($L464*'Pivot Objective'!$C$9^7)*AH464*AI464</f>
        <v>0</v>
      </c>
      <c r="AK464" s="185">
        <f t="shared" si="52"/>
        <v>5841481.9611742925</v>
      </c>
      <c r="AL464" s="186">
        <f t="shared" si="53"/>
        <v>5671.3417098779537</v>
      </c>
    </row>
    <row r="465" spans="1:38" customFormat="1" ht="57.6" x14ac:dyDescent="0.3">
      <c r="A465" s="140" t="s">
        <v>1441</v>
      </c>
      <c r="B465" s="140">
        <v>1</v>
      </c>
      <c r="C465" s="166" t="s">
        <v>836</v>
      </c>
      <c r="D465" s="140" t="str">
        <f t="shared" si="48"/>
        <v>2</v>
      </c>
      <c r="E465" s="166" t="s">
        <v>992</v>
      </c>
      <c r="F465" s="140">
        <f t="shared" si="54"/>
        <v>3</v>
      </c>
      <c r="G465" s="140" t="str">
        <f t="shared" si="49"/>
        <v>1.2.3</v>
      </c>
      <c r="H465" s="166" t="s">
        <v>1011</v>
      </c>
      <c r="I465" s="166" t="s">
        <v>1022</v>
      </c>
      <c r="J465" s="166" t="s">
        <v>168</v>
      </c>
      <c r="K465" s="166" t="s">
        <v>709</v>
      </c>
      <c r="L465" s="167">
        <v>35000</v>
      </c>
      <c r="M465" s="166">
        <v>100</v>
      </c>
      <c r="N465" s="166">
        <v>5</v>
      </c>
      <c r="O465" s="164">
        <f t="shared" si="51"/>
        <v>17500000</v>
      </c>
      <c r="P465" s="166">
        <v>100</v>
      </c>
      <c r="Q465" s="166">
        <v>5</v>
      </c>
      <c r="R465" s="164">
        <f>$L465*'Pivot Objective'!$C$9*P465*Q465</f>
        <v>20001119.197499998</v>
      </c>
      <c r="S465" s="166">
        <v>0</v>
      </c>
      <c r="T465" s="166">
        <v>0</v>
      </c>
      <c r="U465" s="164">
        <f>($L465*'Pivot Objective'!$C$9^2)*S465*T465</f>
        <v>0</v>
      </c>
      <c r="V465" s="166">
        <v>0</v>
      </c>
      <c r="W465" s="166">
        <v>0</v>
      </c>
      <c r="X465" s="164">
        <f>($L465*'Pivot Objective'!$C$9^3)*V465*W465</f>
        <v>0</v>
      </c>
      <c r="Y465" s="166">
        <v>0</v>
      </c>
      <c r="Z465" s="166">
        <v>0</v>
      </c>
      <c r="AA465" s="164">
        <f>($L465*'Pivot Objective'!$C$9^4)*Y465*Z465</f>
        <v>0</v>
      </c>
      <c r="AB465" s="166">
        <v>100</v>
      </c>
      <c r="AC465" s="166">
        <v>5</v>
      </c>
      <c r="AD465" s="164">
        <f>($L465*'Pivot Objective'!$C$9^5)*AB465*AC465</f>
        <v>34128664.610693276</v>
      </c>
      <c r="AE465" s="140"/>
      <c r="AF465" s="140"/>
      <c r="AG465" s="164">
        <f>($L465*'Pivot Objective'!$C$9^6)*AE465*AF465</f>
        <v>0</v>
      </c>
      <c r="AH465" s="140"/>
      <c r="AI465" s="140"/>
      <c r="AJ465" s="164">
        <f>($L465*'Pivot Objective'!$C$9^7)*AH465*AI465</f>
        <v>0</v>
      </c>
      <c r="AK465" s="185">
        <f t="shared" si="52"/>
        <v>71629783.808193266</v>
      </c>
      <c r="AL465" s="186">
        <f t="shared" si="53"/>
        <v>69543.479425430356</v>
      </c>
    </row>
    <row r="466" spans="1:38" customFormat="1" ht="57.6" x14ac:dyDescent="0.3">
      <c r="A466" s="140" t="s">
        <v>1441</v>
      </c>
      <c r="B466" s="140">
        <v>1</v>
      </c>
      <c r="C466" s="166" t="s">
        <v>836</v>
      </c>
      <c r="D466" s="140" t="str">
        <f t="shared" si="48"/>
        <v>2</v>
      </c>
      <c r="E466" s="166" t="s">
        <v>992</v>
      </c>
      <c r="F466" s="140">
        <f t="shared" si="54"/>
        <v>3</v>
      </c>
      <c r="G466" s="140" t="str">
        <f t="shared" si="49"/>
        <v>1.2.3</v>
      </c>
      <c r="H466" s="166" t="s">
        <v>1011</v>
      </c>
      <c r="I466" s="166" t="s">
        <v>1022</v>
      </c>
      <c r="J466" s="166" t="s">
        <v>168</v>
      </c>
      <c r="K466" s="166" t="s">
        <v>716</v>
      </c>
      <c r="L466" s="167">
        <v>39000</v>
      </c>
      <c r="M466" s="166">
        <v>58</v>
      </c>
      <c r="N466" s="166">
        <v>5</v>
      </c>
      <c r="O466" s="164">
        <f t="shared" si="51"/>
        <v>11310000</v>
      </c>
      <c r="P466" s="166">
        <v>58</v>
      </c>
      <c r="Q466" s="166">
        <v>5</v>
      </c>
      <c r="R466" s="164">
        <f>$L466*'Pivot Objective'!$C$9*P466*Q466</f>
        <v>12926437.607069999</v>
      </c>
      <c r="S466" s="166"/>
      <c r="T466" s="166"/>
      <c r="U466" s="164">
        <f>($L466*'Pivot Objective'!$C$9^2)*S466*T466</f>
        <v>0</v>
      </c>
      <c r="V466" s="166"/>
      <c r="W466" s="166"/>
      <c r="X466" s="164">
        <f>($L466*'Pivot Objective'!$C$9^3)*V466*W466</f>
        <v>0</v>
      </c>
      <c r="Y466" s="166"/>
      <c r="Z466" s="166"/>
      <c r="AA466" s="164">
        <f>($L466*'Pivot Objective'!$C$9^4)*Y466*Z466</f>
        <v>0</v>
      </c>
      <c r="AB466" s="166">
        <v>58</v>
      </c>
      <c r="AC466" s="166">
        <v>5</v>
      </c>
      <c r="AD466" s="164">
        <f>($L466*'Pivot Objective'!$C$9^5)*AB466*AC466</f>
        <v>22056868.385539483</v>
      </c>
      <c r="AE466" s="140"/>
      <c r="AF466" s="140"/>
      <c r="AG466" s="164">
        <f>($L466*'Pivot Objective'!$C$9^6)*AE466*AF466</f>
        <v>0</v>
      </c>
      <c r="AH466" s="140"/>
      <c r="AI466" s="140"/>
      <c r="AJ466" s="164">
        <f>($L466*'Pivot Objective'!$C$9^7)*AH466*AI466</f>
        <v>0</v>
      </c>
      <c r="AK466" s="185">
        <f t="shared" si="52"/>
        <v>46293305.992609486</v>
      </c>
      <c r="AL466" s="186">
        <f t="shared" si="53"/>
        <v>44944.957274378139</v>
      </c>
    </row>
    <row r="467" spans="1:38" customFormat="1" ht="57.6" x14ac:dyDescent="0.3">
      <c r="A467" s="140" t="s">
        <v>1441</v>
      </c>
      <c r="B467" s="140">
        <v>1</v>
      </c>
      <c r="C467" s="166" t="s">
        <v>836</v>
      </c>
      <c r="D467" s="140" t="str">
        <f t="shared" si="48"/>
        <v>2</v>
      </c>
      <c r="E467" s="166" t="s">
        <v>992</v>
      </c>
      <c r="F467" s="140">
        <f t="shared" si="54"/>
        <v>3</v>
      </c>
      <c r="G467" s="140" t="str">
        <f t="shared" si="49"/>
        <v>1.2.3</v>
      </c>
      <c r="H467" s="166" t="s">
        <v>1011</v>
      </c>
      <c r="I467" s="166" t="s">
        <v>1022</v>
      </c>
      <c r="J467" s="166" t="s">
        <v>168</v>
      </c>
      <c r="K467" s="166" t="s">
        <v>1029</v>
      </c>
      <c r="L467" s="167">
        <f>1480/7</f>
        <v>211.42857142857142</v>
      </c>
      <c r="M467" s="166">
        <f>2*25*29</f>
        <v>1450</v>
      </c>
      <c r="N467" s="166">
        <v>5</v>
      </c>
      <c r="O467" s="164">
        <f t="shared" si="51"/>
        <v>1532857.142857143</v>
      </c>
      <c r="P467" s="166">
        <f>2*25*29</f>
        <v>1450</v>
      </c>
      <c r="Q467" s="166">
        <v>5</v>
      </c>
      <c r="R467" s="164">
        <f>$L467*'Pivot Objective'!$C$9*P467*Q467</f>
        <v>1751934.7672585712</v>
      </c>
      <c r="S467" s="166">
        <v>0</v>
      </c>
      <c r="T467" s="166">
        <v>0</v>
      </c>
      <c r="U467" s="164">
        <f>($L467*'Pivot Objective'!$C$9^2)*S467*T467</f>
        <v>0</v>
      </c>
      <c r="V467" s="166">
        <v>30</v>
      </c>
      <c r="W467" s="166">
        <v>1</v>
      </c>
      <c r="X467" s="164">
        <f>($L467*'Pivot Objective'!$C$9^3)*V467*W467</f>
        <v>9469.6445595614259</v>
      </c>
      <c r="Y467" s="166">
        <v>0</v>
      </c>
      <c r="Z467" s="166">
        <v>0</v>
      </c>
      <c r="AA467" s="164">
        <f>($L467*'Pivot Objective'!$C$9^4)*Y467*Z467</f>
        <v>0</v>
      </c>
      <c r="AB467" s="166">
        <f>2*25*29</f>
        <v>1450</v>
      </c>
      <c r="AC467" s="166">
        <v>5</v>
      </c>
      <c r="AD467" s="164">
        <f>($L467*'Pivot Objective'!$C$9^5)*AB467*AC467</f>
        <v>2989392.41855297</v>
      </c>
      <c r="AE467" s="140"/>
      <c r="AF467" s="140"/>
      <c r="AG467" s="164">
        <f>($L467*'Pivot Objective'!$C$9^6)*AE467*AF467</f>
        <v>0</v>
      </c>
      <c r="AH467" s="140"/>
      <c r="AI467" s="140"/>
      <c r="AJ467" s="164">
        <f>($L467*'Pivot Objective'!$C$9^7)*AH467*AI467</f>
        <v>0</v>
      </c>
      <c r="AK467" s="185">
        <f t="shared" si="52"/>
        <v>6283653.973228246</v>
      </c>
      <c r="AL467" s="186">
        <f t="shared" si="53"/>
        <v>6100.6349254643164</v>
      </c>
    </row>
    <row r="468" spans="1:38" customFormat="1" ht="57.6" x14ac:dyDescent="0.3">
      <c r="A468" s="140" t="s">
        <v>1441</v>
      </c>
      <c r="B468" s="140">
        <v>1</v>
      </c>
      <c r="C468" s="166" t="s">
        <v>836</v>
      </c>
      <c r="D468" s="140" t="str">
        <f t="shared" si="48"/>
        <v>2</v>
      </c>
      <c r="E468" s="166" t="s">
        <v>992</v>
      </c>
      <c r="F468" s="140">
        <f t="shared" si="54"/>
        <v>3</v>
      </c>
      <c r="G468" s="140" t="str">
        <f t="shared" si="49"/>
        <v>1.2.3</v>
      </c>
      <c r="H468" s="166" t="s">
        <v>1011</v>
      </c>
      <c r="I468" s="166" t="s">
        <v>1022</v>
      </c>
      <c r="J468" s="166" t="s">
        <v>168</v>
      </c>
      <c r="K468" s="166" t="s">
        <v>1299</v>
      </c>
      <c r="L468" s="167">
        <f>1480/7</f>
        <v>211.42857142857142</v>
      </c>
      <c r="M468" s="166">
        <v>22500</v>
      </c>
      <c r="N468" s="166">
        <v>1</v>
      </c>
      <c r="O468" s="164">
        <f t="shared" si="51"/>
        <v>4757142.8571428573</v>
      </c>
      <c r="P468" s="166">
        <v>22500</v>
      </c>
      <c r="Q468" s="166">
        <v>1</v>
      </c>
      <c r="R468" s="164">
        <f>$L468*'Pivot Objective'!$C$9*P468*Q468</f>
        <v>5437038.9328714283</v>
      </c>
      <c r="S468" s="166"/>
      <c r="T468" s="166"/>
      <c r="U468" s="164">
        <f>($L468*'Pivot Objective'!$C$9^2)*S468*T468</f>
        <v>0</v>
      </c>
      <c r="V468" s="166"/>
      <c r="W468" s="166"/>
      <c r="X468" s="164">
        <f>($L468*'Pivot Objective'!$C$9^3)*V468*W468</f>
        <v>0</v>
      </c>
      <c r="Y468" s="166"/>
      <c r="Z468" s="166"/>
      <c r="AA468" s="164">
        <f>($L468*'Pivot Objective'!$C$9^4)*Y468*Z468</f>
        <v>0</v>
      </c>
      <c r="AB468" s="166">
        <v>22500</v>
      </c>
      <c r="AC468" s="166">
        <v>1</v>
      </c>
      <c r="AD468" s="164">
        <f>($L468*'Pivot Objective'!$C$9^5)*AB468*AC468</f>
        <v>9277424.7472333554</v>
      </c>
      <c r="AE468" s="140"/>
      <c r="AF468" s="140"/>
      <c r="AG468" s="164">
        <f>($L468*'Pivot Objective'!$C$9^6)*AE468*AF468</f>
        <v>0</v>
      </c>
      <c r="AH468" s="140"/>
      <c r="AI468" s="140"/>
      <c r="AJ468" s="164">
        <f>($L468*'Pivot Objective'!$C$9^7)*AH468*AI468</f>
        <v>0</v>
      </c>
      <c r="AK468" s="185">
        <f t="shared" si="52"/>
        <v>19471606.537247643</v>
      </c>
      <c r="AL468" s="186">
        <f t="shared" si="53"/>
        <v>18904.472366259848</v>
      </c>
    </row>
    <row r="469" spans="1:38" customFormat="1" ht="57.6" x14ac:dyDescent="0.3">
      <c r="A469" s="140" t="s">
        <v>1441</v>
      </c>
      <c r="B469" s="140">
        <v>1</v>
      </c>
      <c r="C469" s="166" t="s">
        <v>836</v>
      </c>
      <c r="D469" s="140" t="str">
        <f t="shared" si="48"/>
        <v>2</v>
      </c>
      <c r="E469" s="166" t="s">
        <v>992</v>
      </c>
      <c r="F469" s="140">
        <f t="shared" si="54"/>
        <v>3</v>
      </c>
      <c r="G469" s="140" t="str">
        <f t="shared" si="49"/>
        <v>1.2.3</v>
      </c>
      <c r="H469" s="166" t="s">
        <v>1011</v>
      </c>
      <c r="I469" s="166" t="s">
        <v>1022</v>
      </c>
      <c r="J469" s="166" t="s">
        <v>1030</v>
      </c>
      <c r="K469" s="166" t="s">
        <v>709</v>
      </c>
      <c r="L469" s="167">
        <v>35000</v>
      </c>
      <c r="M469" s="166">
        <v>50</v>
      </c>
      <c r="N469" s="166">
        <v>1</v>
      </c>
      <c r="O469" s="164">
        <f t="shared" si="51"/>
        <v>1750000</v>
      </c>
      <c r="P469" s="166">
        <v>50</v>
      </c>
      <c r="Q469" s="166">
        <v>1</v>
      </c>
      <c r="R469" s="164">
        <f>$L469*'Pivot Objective'!$C$9*P469*Q469</f>
        <v>2000111.9197499997</v>
      </c>
      <c r="S469" s="166">
        <v>0</v>
      </c>
      <c r="T469" s="166">
        <v>0</v>
      </c>
      <c r="U469" s="164">
        <f>($L469*'Pivot Objective'!$C$9^2)*S469*T469</f>
        <v>0</v>
      </c>
      <c r="V469" s="166">
        <v>8000</v>
      </c>
      <c r="W469" s="166">
        <v>1</v>
      </c>
      <c r="X469" s="164">
        <f>($L469*'Pivot Objective'!$C$9^3)*V469*W469</f>
        <v>418029354.43109006</v>
      </c>
      <c r="Y469" s="166">
        <v>0</v>
      </c>
      <c r="Z469" s="166">
        <v>0</v>
      </c>
      <c r="AA469" s="164">
        <f>($L469*'Pivot Objective'!$C$9^4)*Y469*Z469</f>
        <v>0</v>
      </c>
      <c r="AB469" s="166">
        <v>50</v>
      </c>
      <c r="AC469" s="166">
        <v>1</v>
      </c>
      <c r="AD469" s="164">
        <f>($L469*'Pivot Objective'!$C$9^5)*AB469*AC469</f>
        <v>3412866.4610693273</v>
      </c>
      <c r="AE469" s="140"/>
      <c r="AF469" s="140"/>
      <c r="AG469" s="164">
        <f>($L469*'Pivot Objective'!$C$9^6)*AE469*AF469</f>
        <v>0</v>
      </c>
      <c r="AH469" s="140"/>
      <c r="AI469" s="140"/>
      <c r="AJ469" s="164">
        <f>($L469*'Pivot Objective'!$C$9^7)*AH469*AI469</f>
        <v>0</v>
      </c>
      <c r="AK469" s="185">
        <f t="shared" si="52"/>
        <v>425192332.81190938</v>
      </c>
      <c r="AL469" s="186">
        <f t="shared" si="53"/>
        <v>412808.09010864986</v>
      </c>
    </row>
    <row r="470" spans="1:38" customFormat="1" ht="57.6" x14ac:dyDescent="0.3">
      <c r="A470" s="140" t="s">
        <v>1441</v>
      </c>
      <c r="B470" s="140">
        <v>1</v>
      </c>
      <c r="C470" s="166" t="s">
        <v>836</v>
      </c>
      <c r="D470" s="140" t="str">
        <f t="shared" si="48"/>
        <v>2</v>
      </c>
      <c r="E470" s="166" t="s">
        <v>992</v>
      </c>
      <c r="F470" s="140">
        <f t="shared" si="54"/>
        <v>3</v>
      </c>
      <c r="G470" s="140" t="str">
        <f t="shared" si="49"/>
        <v>1.2.3</v>
      </c>
      <c r="H470" s="166" t="s">
        <v>1011</v>
      </c>
      <c r="I470" s="166" t="s">
        <v>1022</v>
      </c>
      <c r="J470" s="166" t="s">
        <v>1030</v>
      </c>
      <c r="K470" s="166" t="s">
        <v>716</v>
      </c>
      <c r="L470" s="167">
        <v>39000</v>
      </c>
      <c r="M470" s="166"/>
      <c r="N470" s="166"/>
      <c r="O470" s="164">
        <f t="shared" si="51"/>
        <v>0</v>
      </c>
      <c r="P470" s="166"/>
      <c r="Q470" s="166"/>
      <c r="R470" s="164">
        <f>$L470*'Pivot Objective'!$C$9*P470*Q470</f>
        <v>0</v>
      </c>
      <c r="S470" s="166"/>
      <c r="T470" s="166"/>
      <c r="U470" s="164">
        <f>($L470*'Pivot Objective'!$C$9^2)*S470*T470</f>
        <v>0</v>
      </c>
      <c r="V470" s="166"/>
      <c r="W470" s="166"/>
      <c r="X470" s="164">
        <f>($L470*'Pivot Objective'!$C$9^3)*V470*W470</f>
        <v>0</v>
      </c>
      <c r="Y470" s="166"/>
      <c r="Z470" s="166"/>
      <c r="AA470" s="164">
        <f>($L470*'Pivot Objective'!$C$9^4)*Y470*Z470</f>
        <v>0</v>
      </c>
      <c r="AB470" s="166"/>
      <c r="AC470" s="166"/>
      <c r="AD470" s="164">
        <f>($L470*'Pivot Objective'!$C$9^5)*AB470*AC470</f>
        <v>0</v>
      </c>
      <c r="AE470" s="140"/>
      <c r="AF470" s="140"/>
      <c r="AG470" s="164">
        <f>($L470*'Pivot Objective'!$C$9^6)*AE470*AF470</f>
        <v>0</v>
      </c>
      <c r="AH470" s="140"/>
      <c r="AI470" s="140"/>
      <c r="AJ470" s="164">
        <f>($L470*'Pivot Objective'!$C$9^7)*AH470*AI470</f>
        <v>0</v>
      </c>
      <c r="AK470" s="185">
        <f t="shared" si="52"/>
        <v>0</v>
      </c>
      <c r="AL470" s="186">
        <f t="shared" si="53"/>
        <v>0</v>
      </c>
    </row>
    <row r="471" spans="1:38" customFormat="1" ht="57.6" x14ac:dyDescent="0.3">
      <c r="A471" s="140" t="s">
        <v>1441</v>
      </c>
      <c r="B471" s="140">
        <v>1</v>
      </c>
      <c r="C471" s="166" t="s">
        <v>836</v>
      </c>
      <c r="D471" s="140" t="str">
        <f t="shared" ref="D471:D534" si="55">RIGHT(A471,1)</f>
        <v>2</v>
      </c>
      <c r="E471" s="166" t="s">
        <v>992</v>
      </c>
      <c r="F471" s="140">
        <f t="shared" si="54"/>
        <v>3</v>
      </c>
      <c r="G471" s="140" t="str">
        <f t="shared" si="49"/>
        <v>1.2.3</v>
      </c>
      <c r="H471" s="166" t="s">
        <v>1011</v>
      </c>
      <c r="I471" s="166" t="s">
        <v>1022</v>
      </c>
      <c r="J471" s="166" t="s">
        <v>1030</v>
      </c>
      <c r="K471" s="166" t="s">
        <v>1366</v>
      </c>
      <c r="L471" s="167">
        <f>1480/7</f>
        <v>211.42857142857142</v>
      </c>
      <c r="M471" s="166"/>
      <c r="N471" s="166"/>
      <c r="O471" s="164">
        <f t="shared" si="51"/>
        <v>0</v>
      </c>
      <c r="P471" s="166"/>
      <c r="Q471" s="166"/>
      <c r="R471" s="164">
        <f>$L471*'Pivot Objective'!$C$9*P471*Q471</f>
        <v>0</v>
      </c>
      <c r="S471" s="166"/>
      <c r="T471" s="166"/>
      <c r="U471" s="164">
        <f>($L471*'Pivot Objective'!$C$9^2)*S471*T471</f>
        <v>0</v>
      </c>
      <c r="V471" s="166"/>
      <c r="W471" s="166"/>
      <c r="X471" s="164">
        <f>($L471*'Pivot Objective'!$C$9^3)*V471*W471</f>
        <v>0</v>
      </c>
      <c r="Y471" s="166"/>
      <c r="Z471" s="166"/>
      <c r="AA471" s="164">
        <f>($L471*'Pivot Objective'!$C$9^4)*Y471*Z471</f>
        <v>0</v>
      </c>
      <c r="AB471" s="166"/>
      <c r="AC471" s="166"/>
      <c r="AD471" s="164">
        <f>($L471*'Pivot Objective'!$C$9^5)*AB471*AC471</f>
        <v>0</v>
      </c>
      <c r="AE471" s="140"/>
      <c r="AF471" s="140"/>
      <c r="AG471" s="164">
        <f>($L471*'Pivot Objective'!$C$9^6)*AE471*AF471</f>
        <v>0</v>
      </c>
      <c r="AH471" s="140"/>
      <c r="AI471" s="140"/>
      <c r="AJ471" s="164">
        <f>($L471*'Pivot Objective'!$C$9^7)*AH471*AI471</f>
        <v>0</v>
      </c>
      <c r="AK471" s="185">
        <f t="shared" si="52"/>
        <v>0</v>
      </c>
      <c r="AL471" s="186">
        <f t="shared" si="53"/>
        <v>0</v>
      </c>
    </row>
    <row r="472" spans="1:38" customFormat="1" ht="57.6" x14ac:dyDescent="0.3">
      <c r="A472" s="140" t="s">
        <v>1441</v>
      </c>
      <c r="B472" s="140">
        <v>1</v>
      </c>
      <c r="C472" s="166" t="s">
        <v>836</v>
      </c>
      <c r="D472" s="140" t="str">
        <f t="shared" si="55"/>
        <v>2</v>
      </c>
      <c r="E472" s="166" t="s">
        <v>992</v>
      </c>
      <c r="F472" s="140">
        <f t="shared" si="54"/>
        <v>3</v>
      </c>
      <c r="G472" s="140" t="str">
        <f t="shared" ref="G472:G535" si="56">B472&amp;"."&amp;D472&amp;"."&amp;F472</f>
        <v>1.2.3</v>
      </c>
      <c r="H472" s="166" t="s">
        <v>1011</v>
      </c>
      <c r="I472" s="166" t="s">
        <v>1022</v>
      </c>
      <c r="J472" s="166" t="s">
        <v>1030</v>
      </c>
      <c r="K472" s="166" t="s">
        <v>1299</v>
      </c>
      <c r="L472" s="167">
        <f>1480/7</f>
        <v>211.42857142857142</v>
      </c>
      <c r="M472" s="166"/>
      <c r="N472" s="166"/>
      <c r="O472" s="164">
        <f t="shared" si="51"/>
        <v>0</v>
      </c>
      <c r="P472" s="166"/>
      <c r="Q472" s="166"/>
      <c r="R472" s="164">
        <f>$L472*'Pivot Objective'!$C$9*P472*Q472</f>
        <v>0</v>
      </c>
      <c r="S472" s="166"/>
      <c r="T472" s="166"/>
      <c r="U472" s="164">
        <f>($L472*'Pivot Objective'!$C$9^2)*S472*T472</f>
        <v>0</v>
      </c>
      <c r="V472" s="166"/>
      <c r="W472" s="166"/>
      <c r="X472" s="164">
        <f>($L472*'Pivot Objective'!$C$9^3)*V472*W472</f>
        <v>0</v>
      </c>
      <c r="Y472" s="166"/>
      <c r="Z472" s="166"/>
      <c r="AA472" s="164">
        <f>($L472*'Pivot Objective'!$C$9^4)*Y472*Z472</f>
        <v>0</v>
      </c>
      <c r="AB472" s="166"/>
      <c r="AC472" s="166"/>
      <c r="AD472" s="164">
        <f>($L472*'Pivot Objective'!$C$9^5)*AB472*AC472</f>
        <v>0</v>
      </c>
      <c r="AE472" s="140"/>
      <c r="AF472" s="140"/>
      <c r="AG472" s="164">
        <f>($L472*'Pivot Objective'!$C$9^6)*AE472*AF472</f>
        <v>0</v>
      </c>
      <c r="AH472" s="140"/>
      <c r="AI472" s="140"/>
      <c r="AJ472" s="164">
        <f>($L472*'Pivot Objective'!$C$9^7)*AH472*AI472</f>
        <v>0</v>
      </c>
      <c r="AK472" s="185">
        <f t="shared" si="52"/>
        <v>0</v>
      </c>
      <c r="AL472" s="186">
        <f t="shared" si="53"/>
        <v>0</v>
      </c>
    </row>
    <row r="473" spans="1:38" customFormat="1" ht="57.6" x14ac:dyDescent="0.3">
      <c r="A473" s="140" t="s">
        <v>1441</v>
      </c>
      <c r="B473" s="140">
        <v>1</v>
      </c>
      <c r="C473" s="166" t="s">
        <v>836</v>
      </c>
      <c r="D473" s="140" t="str">
        <f t="shared" si="55"/>
        <v>2</v>
      </c>
      <c r="E473" s="166" t="s">
        <v>992</v>
      </c>
      <c r="F473" s="140">
        <f t="shared" si="54"/>
        <v>3</v>
      </c>
      <c r="G473" s="140" t="str">
        <f t="shared" si="56"/>
        <v>1.2.3</v>
      </c>
      <c r="H473" s="166" t="s">
        <v>1011</v>
      </c>
      <c r="I473" s="166" t="s">
        <v>1022</v>
      </c>
      <c r="J473" s="166" t="s">
        <v>856</v>
      </c>
      <c r="K473" s="166" t="s">
        <v>841</v>
      </c>
      <c r="L473" s="167">
        <v>0</v>
      </c>
      <c r="M473" s="166">
        <v>0</v>
      </c>
      <c r="N473" s="166">
        <v>0</v>
      </c>
      <c r="O473" s="164">
        <f t="shared" si="51"/>
        <v>0</v>
      </c>
      <c r="P473" s="166">
        <v>0</v>
      </c>
      <c r="Q473" s="166">
        <v>0</v>
      </c>
      <c r="R473" s="164">
        <f>$L473*'Pivot Objective'!$C$9*P473*Q473</f>
        <v>0</v>
      </c>
      <c r="S473" s="166">
        <v>0</v>
      </c>
      <c r="T473" s="166">
        <v>0</v>
      </c>
      <c r="U473" s="164">
        <f>($L473*'Pivot Objective'!$C$9^2)*S473*T473</f>
        <v>0</v>
      </c>
      <c r="V473" s="166">
        <v>30</v>
      </c>
      <c r="W473" s="166">
        <v>0.5</v>
      </c>
      <c r="X473" s="164">
        <f>($L473*'Pivot Objective'!$C$9^3)*V473*W473</f>
        <v>0</v>
      </c>
      <c r="Y473" s="166">
        <v>0</v>
      </c>
      <c r="Z473" s="166">
        <v>0</v>
      </c>
      <c r="AA473" s="164">
        <f>($L473*'Pivot Objective'!$C$9^4)*Y473*Z473</f>
        <v>0</v>
      </c>
      <c r="AB473" s="166">
        <v>0</v>
      </c>
      <c r="AC473" s="166">
        <v>0</v>
      </c>
      <c r="AD473" s="164">
        <f>($L473*'Pivot Objective'!$C$9^5)*AB473*AC473</f>
        <v>0</v>
      </c>
      <c r="AE473" s="140"/>
      <c r="AF473" s="140"/>
      <c r="AG473" s="164">
        <f>($L473*'Pivot Objective'!$C$9^6)*AE473*AF473</f>
        <v>0</v>
      </c>
      <c r="AH473" s="140"/>
      <c r="AI473" s="140"/>
      <c r="AJ473" s="164">
        <f>($L473*'Pivot Objective'!$C$9^7)*AH473*AI473</f>
        <v>0</v>
      </c>
      <c r="AK473" s="185">
        <f t="shared" si="52"/>
        <v>0</v>
      </c>
      <c r="AL473" s="186">
        <f t="shared" si="53"/>
        <v>0</v>
      </c>
    </row>
    <row r="474" spans="1:38" customFormat="1" ht="57.6" x14ac:dyDescent="0.3">
      <c r="A474" s="140" t="s">
        <v>1441</v>
      </c>
      <c r="B474" s="140">
        <v>1</v>
      </c>
      <c r="C474" s="166" t="s">
        <v>836</v>
      </c>
      <c r="D474" s="140" t="str">
        <f t="shared" si="55"/>
        <v>2</v>
      </c>
      <c r="E474" s="166" t="s">
        <v>992</v>
      </c>
      <c r="F474" s="140">
        <f t="shared" si="54"/>
        <v>3</v>
      </c>
      <c r="G474" s="140" t="str">
        <f t="shared" si="56"/>
        <v>1.2.3</v>
      </c>
      <c r="H474" s="166" t="s">
        <v>1011</v>
      </c>
      <c r="I474" s="166" t="s">
        <v>1022</v>
      </c>
      <c r="J474" s="166" t="s">
        <v>945</v>
      </c>
      <c r="K474" s="166" t="s">
        <v>841</v>
      </c>
      <c r="L474" s="167">
        <v>0</v>
      </c>
      <c r="M474" s="166">
        <v>0</v>
      </c>
      <c r="N474" s="166">
        <v>0</v>
      </c>
      <c r="O474" s="164">
        <f t="shared" si="51"/>
        <v>0</v>
      </c>
      <c r="P474" s="166">
        <v>0</v>
      </c>
      <c r="Q474" s="166">
        <v>0</v>
      </c>
      <c r="R474" s="164">
        <f>$L474*'Pivot Objective'!$C$9*P474*Q474</f>
        <v>0</v>
      </c>
      <c r="S474" s="166">
        <v>0</v>
      </c>
      <c r="T474" s="166">
        <v>0</v>
      </c>
      <c r="U474" s="164">
        <f>($L474*'Pivot Objective'!$C$9^2)*S474*T474</f>
        <v>0</v>
      </c>
      <c r="V474" s="166">
        <v>10</v>
      </c>
      <c r="W474" s="166">
        <v>1</v>
      </c>
      <c r="X474" s="164">
        <f>($L474*'Pivot Objective'!$C$9^3)*V474*W474</f>
        <v>0</v>
      </c>
      <c r="Y474" s="166">
        <v>0</v>
      </c>
      <c r="Z474" s="166">
        <v>0</v>
      </c>
      <c r="AA474" s="164">
        <f>($L474*'Pivot Objective'!$C$9^4)*Y474*Z474</f>
        <v>0</v>
      </c>
      <c r="AB474" s="166">
        <v>0</v>
      </c>
      <c r="AC474" s="166">
        <v>0</v>
      </c>
      <c r="AD474" s="164">
        <f>($L474*'Pivot Objective'!$C$9^5)*AB474*AC474</f>
        <v>0</v>
      </c>
      <c r="AE474" s="140"/>
      <c r="AF474" s="140"/>
      <c r="AG474" s="164">
        <f>($L474*'Pivot Objective'!$C$9^6)*AE474*AF474</f>
        <v>0</v>
      </c>
      <c r="AH474" s="140"/>
      <c r="AI474" s="140"/>
      <c r="AJ474" s="164">
        <f>($L474*'Pivot Objective'!$C$9^7)*AH474*AI474</f>
        <v>0</v>
      </c>
      <c r="AK474" s="185">
        <f t="shared" si="52"/>
        <v>0</v>
      </c>
      <c r="AL474" s="186">
        <f t="shared" si="53"/>
        <v>0</v>
      </c>
    </row>
    <row r="475" spans="1:38" customFormat="1" ht="57.6" x14ac:dyDescent="0.3">
      <c r="A475" s="140" t="s">
        <v>1441</v>
      </c>
      <c r="B475" s="140">
        <v>1</v>
      </c>
      <c r="C475" s="166" t="s">
        <v>836</v>
      </c>
      <c r="D475" s="140" t="str">
        <f t="shared" si="55"/>
        <v>2</v>
      </c>
      <c r="E475" s="166" t="s">
        <v>992</v>
      </c>
      <c r="F475" s="140">
        <f t="shared" si="54"/>
        <v>3</v>
      </c>
      <c r="G475" s="140" t="str">
        <f t="shared" si="56"/>
        <v>1.2.3</v>
      </c>
      <c r="H475" s="166" t="s">
        <v>1011</v>
      </c>
      <c r="I475" s="166" t="s">
        <v>1022</v>
      </c>
      <c r="J475" s="166" t="s">
        <v>1031</v>
      </c>
      <c r="K475" s="166" t="s">
        <v>841</v>
      </c>
      <c r="L475" s="167">
        <v>0</v>
      </c>
      <c r="M475" s="166">
        <v>0</v>
      </c>
      <c r="N475" s="166">
        <v>0</v>
      </c>
      <c r="O475" s="164">
        <f t="shared" si="51"/>
        <v>0</v>
      </c>
      <c r="P475" s="166">
        <v>0</v>
      </c>
      <c r="Q475" s="166">
        <v>0</v>
      </c>
      <c r="R475" s="164">
        <f>$L475*'Pivot Objective'!$C$9*P475*Q475</f>
        <v>0</v>
      </c>
      <c r="S475" s="166">
        <v>0</v>
      </c>
      <c r="T475" s="166">
        <v>0</v>
      </c>
      <c r="U475" s="164">
        <f>($L475*'Pivot Objective'!$C$9^2)*S475*T475</f>
        <v>0</v>
      </c>
      <c r="V475" s="166"/>
      <c r="W475" s="166"/>
      <c r="X475" s="164">
        <f>($L475*'Pivot Objective'!$C$9^3)*V475*W475</f>
        <v>0</v>
      </c>
      <c r="Y475" s="166">
        <v>0</v>
      </c>
      <c r="Z475" s="166">
        <v>0</v>
      </c>
      <c r="AA475" s="164">
        <f>($L475*'Pivot Objective'!$C$9^4)*Y475*Z475</f>
        <v>0</v>
      </c>
      <c r="AB475" s="166">
        <v>0</v>
      </c>
      <c r="AC475" s="166">
        <v>0</v>
      </c>
      <c r="AD475" s="164">
        <f>($L475*'Pivot Objective'!$C$9^5)*AB475*AC475</f>
        <v>0</v>
      </c>
      <c r="AE475" s="140"/>
      <c r="AF475" s="140"/>
      <c r="AG475" s="164">
        <f>($L475*'Pivot Objective'!$C$9^6)*AE475*AF475</f>
        <v>0</v>
      </c>
      <c r="AH475" s="140"/>
      <c r="AI475" s="140"/>
      <c r="AJ475" s="164">
        <f>($L475*'Pivot Objective'!$C$9^7)*AH475*AI475</f>
        <v>0</v>
      </c>
      <c r="AK475" s="185">
        <f t="shared" si="52"/>
        <v>0</v>
      </c>
      <c r="AL475" s="186">
        <f t="shared" si="53"/>
        <v>0</v>
      </c>
    </row>
    <row r="476" spans="1:38" customFormat="1" ht="57.6" x14ac:dyDescent="0.3">
      <c r="A476" s="140" t="s">
        <v>1441</v>
      </c>
      <c r="B476" s="140">
        <v>1</v>
      </c>
      <c r="C476" s="166" t="s">
        <v>836</v>
      </c>
      <c r="D476" s="140" t="str">
        <f t="shared" si="55"/>
        <v>2</v>
      </c>
      <c r="E476" s="166" t="s">
        <v>992</v>
      </c>
      <c r="F476" s="140">
        <f t="shared" si="54"/>
        <v>3</v>
      </c>
      <c r="G476" s="140" t="str">
        <f t="shared" si="56"/>
        <v>1.2.3</v>
      </c>
      <c r="H476" s="166" t="s">
        <v>1011</v>
      </c>
      <c r="I476" s="166" t="s">
        <v>1032</v>
      </c>
      <c r="J476" s="166" t="s">
        <v>1033</v>
      </c>
      <c r="K476" s="166" t="s">
        <v>841</v>
      </c>
      <c r="L476" s="167">
        <v>0</v>
      </c>
      <c r="M476" s="166">
        <v>0</v>
      </c>
      <c r="N476" s="166">
        <v>0</v>
      </c>
      <c r="O476" s="164">
        <f t="shared" si="51"/>
        <v>0</v>
      </c>
      <c r="P476" s="166">
        <v>0</v>
      </c>
      <c r="Q476" s="166">
        <v>0</v>
      </c>
      <c r="R476" s="164">
        <f>$L476*'Pivot Objective'!$C$9*P476*Q476</f>
        <v>0</v>
      </c>
      <c r="S476" s="166">
        <v>0</v>
      </c>
      <c r="T476" s="166">
        <v>0</v>
      </c>
      <c r="U476" s="164">
        <f>($L476*'Pivot Objective'!$C$9^2)*S476*T476</f>
        <v>0</v>
      </c>
      <c r="V476" s="166"/>
      <c r="W476" s="166"/>
      <c r="X476" s="164">
        <f>($L476*'Pivot Objective'!$C$9^3)*V476*W476</f>
        <v>0</v>
      </c>
      <c r="Y476" s="166">
        <v>0</v>
      </c>
      <c r="Z476" s="166">
        <v>0</v>
      </c>
      <c r="AA476" s="164">
        <f>($L476*'Pivot Objective'!$C$9^4)*Y476*Z476</f>
        <v>0</v>
      </c>
      <c r="AB476" s="140"/>
      <c r="AC476" s="140"/>
      <c r="AD476" s="164">
        <f>($L476*'Pivot Objective'!$C$9^5)*AB476*AC476</f>
        <v>0</v>
      </c>
      <c r="AE476" s="140"/>
      <c r="AF476" s="140"/>
      <c r="AG476" s="164">
        <f>($L476*'Pivot Objective'!$C$9^6)*AE476*AF476</f>
        <v>0</v>
      </c>
      <c r="AH476" s="140"/>
      <c r="AI476" s="140"/>
      <c r="AJ476" s="164">
        <f>($L476*'Pivot Objective'!$C$9^7)*AH476*AI476</f>
        <v>0</v>
      </c>
      <c r="AK476" s="185">
        <f t="shared" si="52"/>
        <v>0</v>
      </c>
      <c r="AL476" s="186">
        <f t="shared" si="53"/>
        <v>0</v>
      </c>
    </row>
    <row r="477" spans="1:38" customFormat="1" ht="57.6" x14ac:dyDescent="0.3">
      <c r="A477" s="140" t="s">
        <v>1441</v>
      </c>
      <c r="B477" s="140">
        <v>1</v>
      </c>
      <c r="C477" s="166" t="s">
        <v>836</v>
      </c>
      <c r="D477" s="140" t="str">
        <f t="shared" si="55"/>
        <v>2</v>
      </c>
      <c r="E477" s="166" t="s">
        <v>992</v>
      </c>
      <c r="F477" s="140">
        <f t="shared" si="54"/>
        <v>3</v>
      </c>
      <c r="G477" s="140" t="str">
        <f t="shared" si="56"/>
        <v>1.2.3</v>
      </c>
      <c r="H477" s="166" t="s">
        <v>1011</v>
      </c>
      <c r="I477" s="166" t="s">
        <v>1032</v>
      </c>
      <c r="J477" s="166" t="s">
        <v>1034</v>
      </c>
      <c r="K477" s="166" t="s">
        <v>841</v>
      </c>
      <c r="L477" s="167">
        <v>0</v>
      </c>
      <c r="M477" s="166">
        <v>0</v>
      </c>
      <c r="N477" s="166">
        <v>0</v>
      </c>
      <c r="O477" s="164">
        <f t="shared" si="51"/>
        <v>0</v>
      </c>
      <c r="P477" s="166">
        <v>0</v>
      </c>
      <c r="Q477" s="166">
        <v>0</v>
      </c>
      <c r="R477" s="164">
        <f>$L477*'Pivot Objective'!$C$9*P477*Q477</f>
        <v>0</v>
      </c>
      <c r="S477" s="166">
        <v>0</v>
      </c>
      <c r="T477" s="166">
        <v>0</v>
      </c>
      <c r="U477" s="164">
        <f>($L477*'Pivot Objective'!$C$9^2)*S477*T477</f>
        <v>0</v>
      </c>
      <c r="V477" s="166"/>
      <c r="W477" s="166"/>
      <c r="X477" s="164">
        <f>($L477*'Pivot Objective'!$C$9^3)*V477*W477</f>
        <v>0</v>
      </c>
      <c r="Y477" s="166">
        <v>0</v>
      </c>
      <c r="Z477" s="166">
        <v>0</v>
      </c>
      <c r="AA477" s="164">
        <f>($L477*'Pivot Objective'!$C$9^4)*Y477*Z477</f>
        <v>0</v>
      </c>
      <c r="AB477" s="140"/>
      <c r="AC477" s="140"/>
      <c r="AD477" s="164">
        <f>($L477*'Pivot Objective'!$C$9^5)*AB477*AC477</f>
        <v>0</v>
      </c>
      <c r="AE477" s="140"/>
      <c r="AF477" s="140"/>
      <c r="AG477" s="164">
        <f>($L477*'Pivot Objective'!$C$9^6)*AE477*AF477</f>
        <v>0</v>
      </c>
      <c r="AH477" s="140"/>
      <c r="AI477" s="140"/>
      <c r="AJ477" s="164">
        <f>($L477*'Pivot Objective'!$C$9^7)*AH477*AI477</f>
        <v>0</v>
      </c>
      <c r="AK477" s="185">
        <f t="shared" si="52"/>
        <v>0</v>
      </c>
      <c r="AL477" s="186">
        <f t="shared" si="53"/>
        <v>0</v>
      </c>
    </row>
    <row r="478" spans="1:38" customFormat="1" ht="57.6" x14ac:dyDescent="0.3">
      <c r="A478" s="140" t="s">
        <v>1441</v>
      </c>
      <c r="B478" s="140">
        <v>1</v>
      </c>
      <c r="C478" s="166" t="s">
        <v>836</v>
      </c>
      <c r="D478" s="140" t="str">
        <f t="shared" si="55"/>
        <v>2</v>
      </c>
      <c r="E478" s="166" t="s">
        <v>992</v>
      </c>
      <c r="F478" s="140">
        <f t="shared" si="54"/>
        <v>3</v>
      </c>
      <c r="G478" s="140" t="str">
        <f t="shared" si="56"/>
        <v>1.2.3</v>
      </c>
      <c r="H478" s="166" t="s">
        <v>1011</v>
      </c>
      <c r="I478" s="166" t="s">
        <v>1032</v>
      </c>
      <c r="J478" s="166" t="s">
        <v>1367</v>
      </c>
      <c r="K478" s="166" t="s">
        <v>841</v>
      </c>
      <c r="L478" s="167">
        <v>35000</v>
      </c>
      <c r="M478" s="166">
        <v>25</v>
      </c>
      <c r="N478" s="166">
        <v>5</v>
      </c>
      <c r="O478" s="164">
        <f t="shared" si="51"/>
        <v>4375000</v>
      </c>
      <c r="P478" s="166">
        <v>25</v>
      </c>
      <c r="Q478" s="166">
        <v>5</v>
      </c>
      <c r="R478" s="164">
        <f>$L478*'Pivot Objective'!$C$9*P478*Q478</f>
        <v>5000279.7993749995</v>
      </c>
      <c r="S478" s="166">
        <v>0</v>
      </c>
      <c r="T478" s="166">
        <v>0</v>
      </c>
      <c r="U478" s="164">
        <f>($L478*'Pivot Objective'!$C$9^2)*S478*T478</f>
        <v>0</v>
      </c>
      <c r="V478" s="166"/>
      <c r="W478" s="166"/>
      <c r="X478" s="164">
        <f>($L478*'Pivot Objective'!$C$9^3)*V478*W478</f>
        <v>0</v>
      </c>
      <c r="Y478" s="166">
        <v>25</v>
      </c>
      <c r="Z478" s="166">
        <v>5</v>
      </c>
      <c r="AA478" s="164">
        <f>($L478*'Pivot Objective'!$C$9^4)*Y478*Z478</f>
        <v>7465227.6303841127</v>
      </c>
      <c r="AB478" s="140"/>
      <c r="AC478" s="140"/>
      <c r="AD478" s="164">
        <f>($L478*'Pivot Objective'!$C$9^5)*AB478*AC478</f>
        <v>0</v>
      </c>
      <c r="AE478" s="140"/>
      <c r="AF478" s="140"/>
      <c r="AG478" s="164">
        <f>($L478*'Pivot Objective'!$C$9^6)*AE478*AF478</f>
        <v>0</v>
      </c>
      <c r="AH478" s="140"/>
      <c r="AI478" s="140"/>
      <c r="AJ478" s="164">
        <f>($L478*'Pivot Objective'!$C$9^7)*AH478*AI478</f>
        <v>0</v>
      </c>
      <c r="AK478" s="185">
        <f t="shared" si="52"/>
        <v>16840507.429759111</v>
      </c>
      <c r="AL478" s="186">
        <f t="shared" si="53"/>
        <v>16350.00721335836</v>
      </c>
    </row>
    <row r="479" spans="1:38" customFormat="1" ht="57.6" x14ac:dyDescent="0.3">
      <c r="A479" s="140" t="s">
        <v>1441</v>
      </c>
      <c r="B479" s="140">
        <v>1</v>
      </c>
      <c r="C479" s="166" t="s">
        <v>836</v>
      </c>
      <c r="D479" s="140" t="str">
        <f t="shared" si="55"/>
        <v>2</v>
      </c>
      <c r="E479" s="166" t="s">
        <v>992</v>
      </c>
      <c r="F479" s="140">
        <f t="shared" si="54"/>
        <v>3</v>
      </c>
      <c r="G479" s="140" t="str">
        <f t="shared" si="56"/>
        <v>1.2.3</v>
      </c>
      <c r="H479" s="166" t="s">
        <v>1011</v>
      </c>
      <c r="I479" s="166" t="s">
        <v>1032</v>
      </c>
      <c r="J479" s="166" t="s">
        <v>1035</v>
      </c>
      <c r="K479" s="166" t="s">
        <v>716</v>
      </c>
      <c r="L479" s="167">
        <v>39000</v>
      </c>
      <c r="M479" s="166">
        <v>25</v>
      </c>
      <c r="N479" s="166">
        <v>6</v>
      </c>
      <c r="O479" s="164">
        <f t="shared" si="51"/>
        <v>5850000</v>
      </c>
      <c r="P479" s="166">
        <v>25</v>
      </c>
      <c r="Q479" s="166">
        <v>6</v>
      </c>
      <c r="R479" s="164">
        <f>$L479*'Pivot Objective'!$C$9*P479*Q479</f>
        <v>6686088.4174499996</v>
      </c>
      <c r="S479" s="166"/>
      <c r="T479" s="166"/>
      <c r="U479" s="164">
        <f>($L479*'Pivot Objective'!$C$9^2)*S479*T479</f>
        <v>0</v>
      </c>
      <c r="V479" s="166"/>
      <c r="W479" s="166"/>
      <c r="X479" s="164">
        <f>($L479*'Pivot Objective'!$C$9^3)*V479*W479</f>
        <v>0</v>
      </c>
      <c r="Y479" s="166">
        <v>25</v>
      </c>
      <c r="Z479" s="166">
        <v>6</v>
      </c>
      <c r="AA479" s="164">
        <f>($L479*'Pivot Objective'!$C$9^4)*Y479*Z479</f>
        <v>9982075.8029136136</v>
      </c>
      <c r="AB479" s="140"/>
      <c r="AC479" s="140"/>
      <c r="AD479" s="164">
        <f>($L479*'Pivot Objective'!$C$9^5)*AB479*AC479</f>
        <v>0</v>
      </c>
      <c r="AE479" s="140"/>
      <c r="AF479" s="140"/>
      <c r="AG479" s="164">
        <f>($L479*'Pivot Objective'!$C$9^6)*AE479*AF479</f>
        <v>0</v>
      </c>
      <c r="AH479" s="140"/>
      <c r="AI479" s="140"/>
      <c r="AJ479" s="164">
        <f>($L479*'Pivot Objective'!$C$9^7)*AH479*AI479</f>
        <v>0</v>
      </c>
      <c r="AK479" s="185">
        <f t="shared" si="52"/>
        <v>22518164.220363613</v>
      </c>
      <c r="AL479" s="186">
        <f t="shared" si="53"/>
        <v>21862.295359576325</v>
      </c>
    </row>
    <row r="480" spans="1:38" customFormat="1" ht="57.6" x14ac:dyDescent="0.3">
      <c r="A480" s="140" t="s">
        <v>1441</v>
      </c>
      <c r="B480" s="140">
        <v>1</v>
      </c>
      <c r="C480" s="166" t="s">
        <v>836</v>
      </c>
      <c r="D480" s="140" t="str">
        <f t="shared" si="55"/>
        <v>2</v>
      </c>
      <c r="E480" s="166" t="s">
        <v>992</v>
      </c>
      <c r="F480" s="140">
        <f t="shared" si="54"/>
        <v>3</v>
      </c>
      <c r="G480" s="140" t="str">
        <f t="shared" si="56"/>
        <v>1.2.3</v>
      </c>
      <c r="H480" s="166" t="s">
        <v>1011</v>
      </c>
      <c r="I480" s="166" t="s">
        <v>1032</v>
      </c>
      <c r="J480" s="166" t="s">
        <v>1035</v>
      </c>
      <c r="K480" s="166" t="s">
        <v>712</v>
      </c>
      <c r="L480" s="167">
        <f>1480/7</f>
        <v>211.42857142857142</v>
      </c>
      <c r="M480" s="166">
        <f>2*25*9</f>
        <v>450</v>
      </c>
      <c r="N480" s="166">
        <v>5</v>
      </c>
      <c r="O480" s="164">
        <f t="shared" si="51"/>
        <v>475714.28571428568</v>
      </c>
      <c r="P480" s="166">
        <f>2*25*9</f>
        <v>450</v>
      </c>
      <c r="Q480" s="166">
        <v>5</v>
      </c>
      <c r="R480" s="164">
        <f>$L480*'Pivot Objective'!$C$9*P480*Q480</f>
        <v>543703.89328714274</v>
      </c>
      <c r="S480" s="166"/>
      <c r="T480" s="166"/>
      <c r="U480" s="164">
        <f>($L480*'Pivot Objective'!$C$9^2)*S480*T480</f>
        <v>0</v>
      </c>
      <c r="V480" s="166"/>
      <c r="W480" s="166"/>
      <c r="X480" s="164">
        <f>($L480*'Pivot Objective'!$C$9^3)*V480*W480</f>
        <v>0</v>
      </c>
      <c r="Y480" s="166">
        <f>2*25*9</f>
        <v>450</v>
      </c>
      <c r="Z480" s="166">
        <v>5</v>
      </c>
      <c r="AA480" s="164">
        <f>($L480*'Pivot Objective'!$C$9^4)*Y480*Z480</f>
        <v>811729.24111605203</v>
      </c>
      <c r="AB480" s="140"/>
      <c r="AC480" s="140"/>
      <c r="AD480" s="164">
        <f>($L480*'Pivot Objective'!$C$9^5)*AB480*AC480</f>
        <v>0</v>
      </c>
      <c r="AE480" s="140"/>
      <c r="AF480" s="140"/>
      <c r="AG480" s="164">
        <f>($L480*'Pivot Objective'!$C$9^6)*AE480*AF480</f>
        <v>0</v>
      </c>
      <c r="AH480" s="140"/>
      <c r="AI480" s="140"/>
      <c r="AJ480" s="164">
        <f>($L480*'Pivot Objective'!$C$9^7)*AH480*AI480</f>
        <v>0</v>
      </c>
      <c r="AK480" s="185">
        <f t="shared" si="52"/>
        <v>1831147.4201174804</v>
      </c>
      <c r="AL480" s="186">
        <f t="shared" si="53"/>
        <v>1777.8130292402723</v>
      </c>
    </row>
    <row r="481" spans="1:38" customFormat="1" ht="57.6" x14ac:dyDescent="0.3">
      <c r="A481" s="140" t="s">
        <v>1441</v>
      </c>
      <c r="B481" s="140">
        <v>1</v>
      </c>
      <c r="C481" s="166" t="s">
        <v>836</v>
      </c>
      <c r="D481" s="140" t="str">
        <f t="shared" si="55"/>
        <v>2</v>
      </c>
      <c r="E481" s="166" t="s">
        <v>992</v>
      </c>
      <c r="F481" s="140">
        <f t="shared" si="54"/>
        <v>3</v>
      </c>
      <c r="G481" s="140" t="str">
        <f t="shared" si="56"/>
        <v>1.2.3</v>
      </c>
      <c r="H481" s="166" t="s">
        <v>1011</v>
      </c>
      <c r="I481" s="166" t="s">
        <v>1032</v>
      </c>
      <c r="J481" s="166" t="s">
        <v>1035</v>
      </c>
      <c r="K481" s="166" t="s">
        <v>1299</v>
      </c>
      <c r="L481" s="167">
        <f>1480/7</f>
        <v>211.42857142857142</v>
      </c>
      <c r="M481" s="166">
        <f>2*135*9</f>
        <v>2430</v>
      </c>
      <c r="N481" s="166">
        <v>1</v>
      </c>
      <c r="O481" s="164">
        <f t="shared" si="51"/>
        <v>513771.42857142852</v>
      </c>
      <c r="P481" s="166">
        <f>2*135*9</f>
        <v>2430</v>
      </c>
      <c r="Q481" s="166">
        <v>1</v>
      </c>
      <c r="R481" s="164">
        <f>$L481*'Pivot Objective'!$C$9*P481*Q481</f>
        <v>587200.20475011424</v>
      </c>
      <c r="S481" s="166"/>
      <c r="T481" s="166"/>
      <c r="U481" s="164">
        <f>($L481*'Pivot Objective'!$C$9^2)*S481*T481</f>
        <v>0</v>
      </c>
      <c r="V481" s="166"/>
      <c r="W481" s="166"/>
      <c r="X481" s="164">
        <f>($L481*'Pivot Objective'!$C$9^3)*V481*W481</f>
        <v>0</v>
      </c>
      <c r="Y481" s="166">
        <f>2*135*9</f>
        <v>2430</v>
      </c>
      <c r="Z481" s="166">
        <v>1</v>
      </c>
      <c r="AA481" s="164">
        <f>($L481*'Pivot Objective'!$C$9^4)*Y481*Z481</f>
        <v>876667.58040533611</v>
      </c>
      <c r="AB481" s="140"/>
      <c r="AC481" s="140"/>
      <c r="AD481" s="164">
        <f>($L481*'Pivot Objective'!$C$9^5)*AB481*AC481</f>
        <v>0</v>
      </c>
      <c r="AE481" s="140"/>
      <c r="AF481" s="140"/>
      <c r="AG481" s="164">
        <f>($L481*'Pivot Objective'!$C$9^6)*AE481*AF481</f>
        <v>0</v>
      </c>
      <c r="AH481" s="140"/>
      <c r="AI481" s="140"/>
      <c r="AJ481" s="164">
        <f>($L481*'Pivot Objective'!$C$9^7)*AH481*AI481</f>
        <v>0</v>
      </c>
      <c r="AK481" s="185">
        <f t="shared" si="52"/>
        <v>1977639.2137268789</v>
      </c>
      <c r="AL481" s="186">
        <f t="shared" si="53"/>
        <v>1920.038071579494</v>
      </c>
    </row>
    <row r="482" spans="1:38" customFormat="1" ht="57.6" x14ac:dyDescent="0.3">
      <c r="A482" s="140" t="s">
        <v>1441</v>
      </c>
      <c r="B482" s="140">
        <v>1</v>
      </c>
      <c r="C482" s="166" t="s">
        <v>836</v>
      </c>
      <c r="D482" s="140" t="str">
        <f t="shared" si="55"/>
        <v>2</v>
      </c>
      <c r="E482" s="166" t="s">
        <v>992</v>
      </c>
      <c r="F482" s="140">
        <f t="shared" si="54"/>
        <v>3</v>
      </c>
      <c r="G482" s="140" t="str">
        <f t="shared" si="56"/>
        <v>1.2.3</v>
      </c>
      <c r="H482" s="166" t="s">
        <v>1011</v>
      </c>
      <c r="I482" s="166" t="s">
        <v>1032</v>
      </c>
      <c r="J482" s="166" t="s">
        <v>1036</v>
      </c>
      <c r="K482" s="166" t="s">
        <v>841</v>
      </c>
      <c r="L482" s="167">
        <v>0</v>
      </c>
      <c r="M482" s="166">
        <v>0</v>
      </c>
      <c r="N482" s="166">
        <v>0</v>
      </c>
      <c r="O482" s="164">
        <f t="shared" si="51"/>
        <v>0</v>
      </c>
      <c r="P482" s="166">
        <v>0</v>
      </c>
      <c r="Q482" s="166">
        <v>0</v>
      </c>
      <c r="R482" s="164">
        <f>$L482*'Pivot Objective'!$C$9*P482*Q482</f>
        <v>0</v>
      </c>
      <c r="S482" s="166">
        <v>0</v>
      </c>
      <c r="T482" s="166">
        <v>0</v>
      </c>
      <c r="U482" s="164">
        <f>($L482*'Pivot Objective'!$C$9^2)*S482*T482</f>
        <v>0</v>
      </c>
      <c r="V482" s="166">
        <v>0</v>
      </c>
      <c r="W482" s="166">
        <v>0</v>
      </c>
      <c r="X482" s="164">
        <f>($L482*'Pivot Objective'!$C$9^3)*V482*W482</f>
        <v>0</v>
      </c>
      <c r="Y482" s="166">
        <v>0</v>
      </c>
      <c r="Z482" s="166">
        <v>0</v>
      </c>
      <c r="AA482" s="164">
        <f>($L482*'Pivot Objective'!$C$9^4)*Y482*Z482</f>
        <v>0</v>
      </c>
      <c r="AB482" s="140"/>
      <c r="AC482" s="140"/>
      <c r="AD482" s="164">
        <f>($L482*'Pivot Objective'!$C$9^5)*AB482*AC482</f>
        <v>0</v>
      </c>
      <c r="AE482" s="140"/>
      <c r="AF482" s="140"/>
      <c r="AG482" s="164">
        <f>($L482*'Pivot Objective'!$C$9^6)*AE482*AF482</f>
        <v>0</v>
      </c>
      <c r="AH482" s="140"/>
      <c r="AI482" s="140"/>
      <c r="AJ482" s="164">
        <f>($L482*'Pivot Objective'!$C$9^7)*AH482*AI482</f>
        <v>0</v>
      </c>
      <c r="AK482" s="185">
        <f t="shared" si="52"/>
        <v>0</v>
      </c>
      <c r="AL482" s="186">
        <f t="shared" si="53"/>
        <v>0</v>
      </c>
    </row>
    <row r="483" spans="1:38" customFormat="1" ht="57.6" x14ac:dyDescent="0.3">
      <c r="A483" s="140" t="s">
        <v>1441</v>
      </c>
      <c r="B483" s="140">
        <v>1</v>
      </c>
      <c r="C483" s="166" t="s">
        <v>836</v>
      </c>
      <c r="D483" s="140" t="str">
        <f t="shared" si="55"/>
        <v>2</v>
      </c>
      <c r="E483" s="166" t="s">
        <v>992</v>
      </c>
      <c r="F483" s="140">
        <f t="shared" si="54"/>
        <v>3</v>
      </c>
      <c r="G483" s="140" t="str">
        <f t="shared" si="56"/>
        <v>1.2.3</v>
      </c>
      <c r="H483" s="166" t="s">
        <v>1011</v>
      </c>
      <c r="I483" s="166" t="s">
        <v>1032</v>
      </c>
      <c r="J483" s="166" t="s">
        <v>1037</v>
      </c>
      <c r="K483" s="166" t="s">
        <v>841</v>
      </c>
      <c r="L483" s="167">
        <v>0</v>
      </c>
      <c r="M483" s="166">
        <v>0</v>
      </c>
      <c r="N483" s="166">
        <v>0</v>
      </c>
      <c r="O483" s="164">
        <f t="shared" si="51"/>
        <v>0</v>
      </c>
      <c r="P483" s="166">
        <v>0</v>
      </c>
      <c r="Q483" s="166">
        <v>0</v>
      </c>
      <c r="R483" s="164">
        <f>$L483*'Pivot Objective'!$C$9*P483*Q483</f>
        <v>0</v>
      </c>
      <c r="S483" s="166">
        <v>0</v>
      </c>
      <c r="T483" s="166">
        <v>0</v>
      </c>
      <c r="U483" s="164">
        <f>($L483*'Pivot Objective'!$C$9^2)*S483*T483</f>
        <v>0</v>
      </c>
      <c r="V483" s="166">
        <v>0</v>
      </c>
      <c r="W483" s="166">
        <v>0</v>
      </c>
      <c r="X483" s="164">
        <f>($L483*'Pivot Objective'!$C$9^3)*V483*W483</f>
        <v>0</v>
      </c>
      <c r="Y483" s="166">
        <v>0</v>
      </c>
      <c r="Z483" s="166">
        <v>0</v>
      </c>
      <c r="AA483" s="164">
        <f>($L483*'Pivot Objective'!$C$9^4)*Y483*Z483</f>
        <v>0</v>
      </c>
      <c r="AB483" s="140"/>
      <c r="AC483" s="140"/>
      <c r="AD483" s="164">
        <f>($L483*'Pivot Objective'!$C$9^5)*AB483*AC483</f>
        <v>0</v>
      </c>
      <c r="AE483" s="140"/>
      <c r="AF483" s="140"/>
      <c r="AG483" s="164">
        <f>($L483*'Pivot Objective'!$C$9^6)*AE483*AF483</f>
        <v>0</v>
      </c>
      <c r="AH483" s="140"/>
      <c r="AI483" s="140"/>
      <c r="AJ483" s="164">
        <f>($L483*'Pivot Objective'!$C$9^7)*AH483*AI483</f>
        <v>0</v>
      </c>
      <c r="AK483" s="185">
        <f t="shared" si="52"/>
        <v>0</v>
      </c>
      <c r="AL483" s="186">
        <f t="shared" si="53"/>
        <v>0</v>
      </c>
    </row>
    <row r="484" spans="1:38" customFormat="1" ht="57.6" x14ac:dyDescent="0.3">
      <c r="A484" s="140" t="s">
        <v>1441</v>
      </c>
      <c r="B484" s="140">
        <v>1</v>
      </c>
      <c r="C484" s="166" t="s">
        <v>836</v>
      </c>
      <c r="D484" s="140" t="str">
        <f t="shared" si="55"/>
        <v>2</v>
      </c>
      <c r="E484" s="166" t="s">
        <v>992</v>
      </c>
      <c r="F484" s="140">
        <f t="shared" si="54"/>
        <v>3</v>
      </c>
      <c r="G484" s="140" t="str">
        <f t="shared" si="56"/>
        <v>1.2.3</v>
      </c>
      <c r="H484" s="166" t="s">
        <v>1011</v>
      </c>
      <c r="I484" s="166" t="s">
        <v>1038</v>
      </c>
      <c r="J484" s="166" t="s">
        <v>155</v>
      </c>
      <c r="K484" s="166" t="s">
        <v>841</v>
      </c>
      <c r="L484" s="167">
        <v>0</v>
      </c>
      <c r="M484" s="166">
        <v>0</v>
      </c>
      <c r="N484" s="166">
        <v>0</v>
      </c>
      <c r="O484" s="164">
        <f t="shared" si="51"/>
        <v>0</v>
      </c>
      <c r="P484" s="166">
        <v>0</v>
      </c>
      <c r="Q484" s="166">
        <v>0</v>
      </c>
      <c r="R484" s="164">
        <f>$L484*'Pivot Objective'!$C$9*P484*Q484</f>
        <v>0</v>
      </c>
      <c r="S484" s="166">
        <v>0</v>
      </c>
      <c r="T484" s="166">
        <v>0</v>
      </c>
      <c r="U484" s="164">
        <f>($L484*'Pivot Objective'!$C$9^2)*S484*T484</f>
        <v>0</v>
      </c>
      <c r="V484" s="166">
        <v>0</v>
      </c>
      <c r="W484" s="166">
        <v>0</v>
      </c>
      <c r="X484" s="164">
        <f>($L484*'Pivot Objective'!$C$9^3)*V484*W484</f>
        <v>0</v>
      </c>
      <c r="Y484" s="166">
        <v>0</v>
      </c>
      <c r="Z484" s="166">
        <v>0</v>
      </c>
      <c r="AA484" s="164">
        <f>($L484*'Pivot Objective'!$C$9^4)*Y484*Z484</f>
        <v>0</v>
      </c>
      <c r="AB484" s="140"/>
      <c r="AC484" s="140"/>
      <c r="AD484" s="164">
        <f>($L484*'Pivot Objective'!$C$9^5)*AB484*AC484</f>
        <v>0</v>
      </c>
      <c r="AE484" s="166">
        <v>0</v>
      </c>
      <c r="AF484" s="166">
        <v>0</v>
      </c>
      <c r="AG484" s="164">
        <f>($L484*'Pivot Objective'!$C$9^6)*AE484*AF484</f>
        <v>0</v>
      </c>
      <c r="AH484" s="140"/>
      <c r="AI484" s="140"/>
      <c r="AJ484" s="164">
        <f>($L484*'Pivot Objective'!$C$9^7)*AH484*AI484</f>
        <v>0</v>
      </c>
      <c r="AK484" s="185">
        <f t="shared" si="52"/>
        <v>0</v>
      </c>
      <c r="AL484" s="186">
        <f t="shared" si="53"/>
        <v>0</v>
      </c>
    </row>
    <row r="485" spans="1:38" customFormat="1" ht="57.6" x14ac:dyDescent="0.3">
      <c r="A485" s="140" t="s">
        <v>1441</v>
      </c>
      <c r="B485" s="140">
        <v>1</v>
      </c>
      <c r="C485" s="166" t="s">
        <v>836</v>
      </c>
      <c r="D485" s="140" t="str">
        <f t="shared" si="55"/>
        <v>2</v>
      </c>
      <c r="E485" s="166" t="s">
        <v>992</v>
      </c>
      <c r="F485" s="140">
        <f t="shared" si="54"/>
        <v>3</v>
      </c>
      <c r="G485" s="140" t="str">
        <f t="shared" si="56"/>
        <v>1.2.3</v>
      </c>
      <c r="H485" s="166" t="s">
        <v>1011</v>
      </c>
      <c r="I485" s="166" t="s">
        <v>1038</v>
      </c>
      <c r="J485" s="166" t="s">
        <v>169</v>
      </c>
      <c r="K485" s="166" t="s">
        <v>841</v>
      </c>
      <c r="L485" s="167">
        <v>0</v>
      </c>
      <c r="M485" s="166">
        <v>0</v>
      </c>
      <c r="N485" s="166">
        <v>0</v>
      </c>
      <c r="O485" s="164">
        <f t="shared" si="51"/>
        <v>0</v>
      </c>
      <c r="P485" s="166">
        <v>0</v>
      </c>
      <c r="Q485" s="166">
        <v>0</v>
      </c>
      <c r="R485" s="164">
        <f>$L485*'Pivot Objective'!$C$9*P485*Q485</f>
        <v>0</v>
      </c>
      <c r="S485" s="166">
        <v>0</v>
      </c>
      <c r="T485" s="166">
        <v>0</v>
      </c>
      <c r="U485" s="164">
        <f>($L485*'Pivot Objective'!$C$9^2)*S485*T485</f>
        <v>0</v>
      </c>
      <c r="V485" s="166">
        <v>0</v>
      </c>
      <c r="W485" s="166">
        <v>0</v>
      </c>
      <c r="X485" s="164">
        <f>($L485*'Pivot Objective'!$C$9^3)*V485*W485</f>
        <v>0</v>
      </c>
      <c r="Y485" s="166">
        <v>0</v>
      </c>
      <c r="Z485" s="166">
        <v>0</v>
      </c>
      <c r="AA485" s="164">
        <f>($L485*'Pivot Objective'!$C$9^4)*Y485*Z485</f>
        <v>0</v>
      </c>
      <c r="AB485" s="140"/>
      <c r="AC485" s="140"/>
      <c r="AD485" s="164">
        <f>($L485*'Pivot Objective'!$C$9^5)*AB485*AC485</f>
        <v>0</v>
      </c>
      <c r="AE485" s="166">
        <v>0</v>
      </c>
      <c r="AF485" s="166">
        <v>0</v>
      </c>
      <c r="AG485" s="164">
        <f>($L485*'Pivot Objective'!$C$9^6)*AE485*AF485</f>
        <v>0</v>
      </c>
      <c r="AH485" s="140"/>
      <c r="AI485" s="140"/>
      <c r="AJ485" s="164">
        <f>($L485*'Pivot Objective'!$C$9^7)*AH485*AI485</f>
        <v>0</v>
      </c>
      <c r="AK485" s="185">
        <f t="shared" si="52"/>
        <v>0</v>
      </c>
      <c r="AL485" s="186">
        <f t="shared" si="53"/>
        <v>0</v>
      </c>
    </row>
    <row r="486" spans="1:38" customFormat="1" ht="57.6" x14ac:dyDescent="0.3">
      <c r="A486" s="140" t="s">
        <v>1441</v>
      </c>
      <c r="B486" s="140">
        <v>1</v>
      </c>
      <c r="C486" s="166" t="s">
        <v>836</v>
      </c>
      <c r="D486" s="140" t="str">
        <f t="shared" si="55"/>
        <v>2</v>
      </c>
      <c r="E486" s="166" t="s">
        <v>992</v>
      </c>
      <c r="F486" s="140">
        <f t="shared" si="54"/>
        <v>3</v>
      </c>
      <c r="G486" s="140" t="str">
        <f t="shared" si="56"/>
        <v>1.2.3</v>
      </c>
      <c r="H486" s="166" t="s">
        <v>1011</v>
      </c>
      <c r="I486" s="166" t="s">
        <v>1038</v>
      </c>
      <c r="J486" s="166" t="s">
        <v>1039</v>
      </c>
      <c r="K486" s="166" t="s">
        <v>841</v>
      </c>
      <c r="L486" s="167">
        <v>0</v>
      </c>
      <c r="M486" s="166">
        <v>0</v>
      </c>
      <c r="N486" s="166">
        <v>0</v>
      </c>
      <c r="O486" s="164">
        <f t="shared" si="51"/>
        <v>0</v>
      </c>
      <c r="P486" s="166">
        <v>0</v>
      </c>
      <c r="Q486" s="166">
        <v>0</v>
      </c>
      <c r="R486" s="164">
        <f>$L486*'Pivot Objective'!$C$9*P486*Q486</f>
        <v>0</v>
      </c>
      <c r="S486" s="166">
        <v>0</v>
      </c>
      <c r="T486" s="166">
        <v>0</v>
      </c>
      <c r="U486" s="164">
        <f>($L486*'Pivot Objective'!$C$9^2)*S486*T486</f>
        <v>0</v>
      </c>
      <c r="V486" s="166">
        <v>0</v>
      </c>
      <c r="W486" s="166">
        <v>0</v>
      </c>
      <c r="X486" s="164">
        <f>($L486*'Pivot Objective'!$C$9^3)*V486*W486</f>
        <v>0</v>
      </c>
      <c r="Y486" s="166">
        <v>0</v>
      </c>
      <c r="Z486" s="166">
        <v>0</v>
      </c>
      <c r="AA486" s="164">
        <f>($L486*'Pivot Objective'!$C$9^4)*Y486*Z486</f>
        <v>0</v>
      </c>
      <c r="AB486" s="140"/>
      <c r="AC486" s="140"/>
      <c r="AD486" s="164">
        <f>($L486*'Pivot Objective'!$C$9^5)*AB486*AC486</f>
        <v>0</v>
      </c>
      <c r="AE486" s="166">
        <v>0</v>
      </c>
      <c r="AF486" s="166">
        <v>0</v>
      </c>
      <c r="AG486" s="164">
        <f>($L486*'Pivot Objective'!$C$9^6)*AE486*AF486</f>
        <v>0</v>
      </c>
      <c r="AH486" s="140"/>
      <c r="AI486" s="140"/>
      <c r="AJ486" s="164">
        <f>($L486*'Pivot Objective'!$C$9^7)*AH486*AI486</f>
        <v>0</v>
      </c>
      <c r="AK486" s="185">
        <f t="shared" si="52"/>
        <v>0</v>
      </c>
      <c r="AL486" s="186">
        <f t="shared" si="53"/>
        <v>0</v>
      </c>
    </row>
    <row r="487" spans="1:38" customFormat="1" ht="57.6" x14ac:dyDescent="0.3">
      <c r="A487" s="140" t="s">
        <v>1441</v>
      </c>
      <c r="B487" s="140">
        <v>1</v>
      </c>
      <c r="C487" s="166" t="s">
        <v>836</v>
      </c>
      <c r="D487" s="140" t="str">
        <f t="shared" si="55"/>
        <v>2</v>
      </c>
      <c r="E487" s="166" t="s">
        <v>992</v>
      </c>
      <c r="F487" s="140">
        <f t="shared" si="54"/>
        <v>3</v>
      </c>
      <c r="G487" s="140" t="str">
        <f t="shared" si="56"/>
        <v>1.2.3</v>
      </c>
      <c r="H487" s="166" t="s">
        <v>1011</v>
      </c>
      <c r="I487" s="166" t="s">
        <v>1038</v>
      </c>
      <c r="J487" s="166" t="s">
        <v>1040</v>
      </c>
      <c r="K487" s="166" t="s">
        <v>707</v>
      </c>
      <c r="L487" s="167">
        <v>391991.03749999998</v>
      </c>
      <c r="M487" s="166">
        <v>2</v>
      </c>
      <c r="N487" s="166">
        <v>2</v>
      </c>
      <c r="O487" s="164">
        <f t="shared" si="51"/>
        <v>1567964.15</v>
      </c>
      <c r="P487" s="166">
        <v>0</v>
      </c>
      <c r="Q487" s="166">
        <v>0</v>
      </c>
      <c r="R487" s="164">
        <f>$L487*'Pivot Objective'!$C$9*P487*Q487</f>
        <v>0</v>
      </c>
      <c r="S487" s="166">
        <v>2</v>
      </c>
      <c r="T487" s="166">
        <v>2</v>
      </c>
      <c r="U487" s="164">
        <f>($L487*'Pivot Objective'!$C$9^2)*S487*T487</f>
        <v>2048182.3883307995</v>
      </c>
      <c r="V487" s="166">
        <v>0</v>
      </c>
      <c r="W487" s="166">
        <v>0</v>
      </c>
      <c r="X487" s="164">
        <f>($L487*'Pivot Objective'!$C$9^3)*V487*W487</f>
        <v>0</v>
      </c>
      <c r="Y487" s="166">
        <v>0</v>
      </c>
      <c r="Z487" s="166">
        <v>0</v>
      </c>
      <c r="AA487" s="164">
        <f>($L487*'Pivot Objective'!$C$9^4)*Y487*Z487</f>
        <v>0</v>
      </c>
      <c r="AB487" s="140"/>
      <c r="AC487" s="140"/>
      <c r="AD487" s="164">
        <f>($L487*'Pivot Objective'!$C$9^5)*AB487*AC487</f>
        <v>0</v>
      </c>
      <c r="AE487" s="166">
        <v>2</v>
      </c>
      <c r="AF487" s="166">
        <v>2</v>
      </c>
      <c r="AG487" s="164">
        <f>($L487*'Pivot Objective'!$C$9^6)*AE487*AF487</f>
        <v>3494890.915984733</v>
      </c>
      <c r="AH487" s="140"/>
      <c r="AI487" s="140"/>
      <c r="AJ487" s="164">
        <f>($L487*'Pivot Objective'!$C$9^7)*AH487*AI487</f>
        <v>0</v>
      </c>
      <c r="AK487" s="185">
        <f t="shared" si="52"/>
        <v>7111037.454315532</v>
      </c>
      <c r="AL487" s="186">
        <f t="shared" si="53"/>
        <v>6903.9198585587692</v>
      </c>
    </row>
    <row r="488" spans="1:38" customFormat="1" ht="57.6" x14ac:dyDescent="0.3">
      <c r="A488" s="140" t="s">
        <v>1441</v>
      </c>
      <c r="B488" s="140">
        <v>1</v>
      </c>
      <c r="C488" s="166" t="s">
        <v>836</v>
      </c>
      <c r="D488" s="140" t="str">
        <f t="shared" si="55"/>
        <v>2</v>
      </c>
      <c r="E488" s="166" t="s">
        <v>992</v>
      </c>
      <c r="F488" s="140">
        <f t="shared" si="54"/>
        <v>3</v>
      </c>
      <c r="G488" s="140" t="str">
        <f t="shared" si="56"/>
        <v>1.2.3</v>
      </c>
      <c r="H488" s="166" t="s">
        <v>1011</v>
      </c>
      <c r="I488" s="166" t="s">
        <v>1038</v>
      </c>
      <c r="J488" s="166" t="s">
        <v>1040</v>
      </c>
      <c r="K488" s="166" t="s">
        <v>708</v>
      </c>
      <c r="L488" s="167">
        <f>980*1022</f>
        <v>1001560</v>
      </c>
      <c r="M488" s="166">
        <v>1</v>
      </c>
      <c r="N488" s="166">
        <v>25</v>
      </c>
      <c r="O488" s="164">
        <f t="shared" si="51"/>
        <v>25039000</v>
      </c>
      <c r="P488" s="166">
        <v>0</v>
      </c>
      <c r="Q488" s="166">
        <v>0</v>
      </c>
      <c r="R488" s="164">
        <f>$L488*'Pivot Objective'!$C$9*P488*Q488</f>
        <v>0</v>
      </c>
      <c r="S488" s="166">
        <v>1</v>
      </c>
      <c r="T488" s="166">
        <v>25</v>
      </c>
      <c r="U488" s="164">
        <f>($L488*'Pivot Objective'!$C$9^2)*S488*T488</f>
        <v>32707660.325916823</v>
      </c>
      <c r="V488" s="166">
        <v>0</v>
      </c>
      <c r="W488" s="166">
        <v>0</v>
      </c>
      <c r="X488" s="164">
        <f>($L488*'Pivot Objective'!$C$9^3)*V488*W488</f>
        <v>0</v>
      </c>
      <c r="Y488" s="166">
        <v>1</v>
      </c>
      <c r="Z488" s="166">
        <v>6</v>
      </c>
      <c r="AA488" s="164">
        <f>($L488*'Pivot Objective'!$C$9^4)*Y488*Z488</f>
        <v>10253997.785811445</v>
      </c>
      <c r="AB488" s="140"/>
      <c r="AC488" s="140"/>
      <c r="AD488" s="164">
        <f>($L488*'Pivot Objective'!$C$9^5)*AB488*AC488</f>
        <v>0</v>
      </c>
      <c r="AE488" s="166">
        <v>1</v>
      </c>
      <c r="AF488" s="166">
        <v>25</v>
      </c>
      <c r="AG488" s="164">
        <f>($L488*'Pivot Objective'!$C$9^6)*AE488*AF488</f>
        <v>55810315.334914856</v>
      </c>
      <c r="AH488" s="140"/>
      <c r="AI488" s="140"/>
      <c r="AJ488" s="164">
        <f>($L488*'Pivot Objective'!$C$9^7)*AH488*AI488</f>
        <v>0</v>
      </c>
      <c r="AK488" s="185">
        <f t="shared" si="52"/>
        <v>123810973.44664311</v>
      </c>
      <c r="AL488" s="186">
        <f t="shared" si="53"/>
        <v>120204.82858897389</v>
      </c>
    </row>
    <row r="489" spans="1:38" customFormat="1" ht="57.6" x14ac:dyDescent="0.3">
      <c r="A489" s="140" t="s">
        <v>1441</v>
      </c>
      <c r="B489" s="140">
        <v>1</v>
      </c>
      <c r="C489" s="166" t="s">
        <v>836</v>
      </c>
      <c r="D489" s="140" t="str">
        <f t="shared" si="55"/>
        <v>2</v>
      </c>
      <c r="E489" s="166" t="s">
        <v>992</v>
      </c>
      <c r="F489" s="140">
        <f t="shared" si="54"/>
        <v>3</v>
      </c>
      <c r="G489" s="140" t="str">
        <f t="shared" si="56"/>
        <v>1.2.3</v>
      </c>
      <c r="H489" s="166" t="s">
        <v>1011</v>
      </c>
      <c r="I489" s="166" t="s">
        <v>1038</v>
      </c>
      <c r="J489" s="166" t="s">
        <v>179</v>
      </c>
      <c r="K489" s="166" t="s">
        <v>713</v>
      </c>
      <c r="L489" s="167">
        <v>45000</v>
      </c>
      <c r="M489" s="166">
        <v>25</v>
      </c>
      <c r="N489" s="166">
        <v>5</v>
      </c>
      <c r="O489" s="164">
        <f t="shared" si="51"/>
        <v>5625000</v>
      </c>
      <c r="P489" s="166">
        <v>0</v>
      </c>
      <c r="Q489" s="166">
        <v>0</v>
      </c>
      <c r="R489" s="164">
        <f>$L489*'Pivot Objective'!$C$9*P489*Q489</f>
        <v>0</v>
      </c>
      <c r="S489" s="166">
        <v>25</v>
      </c>
      <c r="T489" s="166">
        <v>5</v>
      </c>
      <c r="U489" s="164">
        <f>($L489*'Pivot Objective'!$C$9^2)*S489*T489</f>
        <v>7347761.066068219</v>
      </c>
      <c r="V489" s="166">
        <v>0</v>
      </c>
      <c r="W489" s="166">
        <v>0</v>
      </c>
      <c r="X489" s="164">
        <f>($L489*'Pivot Objective'!$C$9^3)*V489*W489</f>
        <v>0</v>
      </c>
      <c r="Y489" s="166">
        <v>1</v>
      </c>
      <c r="Z489" s="166">
        <v>40</v>
      </c>
      <c r="AA489" s="164">
        <f>($L489*'Pivot Objective'!$C$9^4)*Y489*Z489</f>
        <v>3071407.9393580346</v>
      </c>
      <c r="AB489" s="140"/>
      <c r="AC489" s="140"/>
      <c r="AD489" s="164">
        <f>($L489*'Pivot Objective'!$C$9^5)*AB489*AC489</f>
        <v>0</v>
      </c>
      <c r="AE489" s="166">
        <v>25</v>
      </c>
      <c r="AF489" s="166">
        <v>5</v>
      </c>
      <c r="AG489" s="164">
        <f>($L489*'Pivot Objective'!$C$9^6)*AE489*AF489</f>
        <v>12537762.041570991</v>
      </c>
      <c r="AH489" s="140"/>
      <c r="AI489" s="140"/>
      <c r="AJ489" s="164">
        <f>($L489*'Pivot Objective'!$C$9^7)*AH489*AI489</f>
        <v>0</v>
      </c>
      <c r="AK489" s="185">
        <f t="shared" si="52"/>
        <v>28581931.046997245</v>
      </c>
      <c r="AL489" s="186">
        <f t="shared" si="53"/>
        <v>27749.447618443926</v>
      </c>
    </row>
    <row r="490" spans="1:38" customFormat="1" ht="57.6" x14ac:dyDescent="0.3">
      <c r="A490" s="140" t="s">
        <v>1441</v>
      </c>
      <c r="B490" s="140">
        <v>1</v>
      </c>
      <c r="C490" s="166" t="s">
        <v>836</v>
      </c>
      <c r="D490" s="140" t="str">
        <f t="shared" si="55"/>
        <v>2</v>
      </c>
      <c r="E490" s="166" t="s">
        <v>992</v>
      </c>
      <c r="F490" s="140">
        <f t="shared" si="54"/>
        <v>3</v>
      </c>
      <c r="G490" s="140" t="str">
        <f t="shared" si="56"/>
        <v>1.2.3</v>
      </c>
      <c r="H490" s="166" t="s">
        <v>1011</v>
      </c>
      <c r="I490" s="166" t="s">
        <v>1038</v>
      </c>
      <c r="J490" s="166" t="s">
        <v>179</v>
      </c>
      <c r="K490" s="166" t="s">
        <v>712</v>
      </c>
      <c r="L490" s="167">
        <f>1480/7</f>
        <v>211.42857142857142</v>
      </c>
      <c r="M490" s="166">
        <v>25</v>
      </c>
      <c r="N490" s="166">
        <v>5</v>
      </c>
      <c r="O490" s="164">
        <f t="shared" si="51"/>
        <v>26428.571428571428</v>
      </c>
      <c r="P490" s="166">
        <v>0</v>
      </c>
      <c r="Q490" s="166">
        <v>0</v>
      </c>
      <c r="R490" s="164">
        <f>$L490*'Pivot Objective'!$C$9*P490*Q490</f>
        <v>0</v>
      </c>
      <c r="S490" s="166">
        <v>25</v>
      </c>
      <c r="T490" s="166">
        <v>5</v>
      </c>
      <c r="U490" s="164">
        <f>($L490*'Pivot Objective'!$C$9^2)*S490*T490</f>
        <v>34522.813897717344</v>
      </c>
      <c r="V490" s="166">
        <v>0</v>
      </c>
      <c r="W490" s="166">
        <v>0</v>
      </c>
      <c r="X490" s="164">
        <f>($L490*'Pivot Objective'!$C$9^3)*V490*W490</f>
        <v>0</v>
      </c>
      <c r="Y490" s="166">
        <v>25</v>
      </c>
      <c r="Z490" s="166">
        <v>10</v>
      </c>
      <c r="AA490" s="164">
        <f>($L490*'Pivot Objective'!$C$9^4)*Y490*Z490</f>
        <v>90192.137901783557</v>
      </c>
      <c r="AB490" s="140"/>
      <c r="AC490" s="140"/>
      <c r="AD490" s="164">
        <f>($L490*'Pivot Objective'!$C$9^5)*AB490*AC490</f>
        <v>0</v>
      </c>
      <c r="AE490" s="166">
        <v>25</v>
      </c>
      <c r="AF490" s="166">
        <v>5</v>
      </c>
      <c r="AG490" s="164">
        <f>($L490*'Pivot Objective'!$C$9^6)*AE490*AF490</f>
        <v>58907.580385793852</v>
      </c>
      <c r="AH490" s="140"/>
      <c r="AI490" s="140"/>
      <c r="AJ490" s="164">
        <f>($L490*'Pivot Objective'!$C$9^7)*AH490*AI490</f>
        <v>0</v>
      </c>
      <c r="AK490" s="185">
        <f t="shared" si="52"/>
        <v>210051.10361386617</v>
      </c>
      <c r="AL490" s="186">
        <f t="shared" si="53"/>
        <v>203.93311030472444</v>
      </c>
    </row>
    <row r="491" spans="1:38" customFormat="1" ht="57.6" x14ac:dyDescent="0.3">
      <c r="A491" s="140" t="s">
        <v>1441</v>
      </c>
      <c r="B491" s="140">
        <v>1</v>
      </c>
      <c r="C491" s="166" t="s">
        <v>836</v>
      </c>
      <c r="D491" s="140" t="str">
        <f t="shared" si="55"/>
        <v>2</v>
      </c>
      <c r="E491" s="166" t="s">
        <v>992</v>
      </c>
      <c r="F491" s="140">
        <f t="shared" si="54"/>
        <v>3</v>
      </c>
      <c r="G491" s="140" t="str">
        <f t="shared" si="56"/>
        <v>1.2.3</v>
      </c>
      <c r="H491" s="166" t="s">
        <v>1011</v>
      </c>
      <c r="I491" s="166" t="s">
        <v>1038</v>
      </c>
      <c r="J491" s="166" t="s">
        <v>179</v>
      </c>
      <c r="K491" s="166" t="s">
        <v>1299</v>
      </c>
      <c r="L491" s="167">
        <f>1480/7</f>
        <v>211.42857142857142</v>
      </c>
      <c r="M491" s="166">
        <v>22500</v>
      </c>
      <c r="N491" s="166">
        <v>1</v>
      </c>
      <c r="O491" s="164">
        <f t="shared" si="51"/>
        <v>4757142.8571428573</v>
      </c>
      <c r="P491" s="166"/>
      <c r="Q491" s="166"/>
      <c r="R491" s="164">
        <f>$L491*'Pivot Objective'!$C$9*P491*Q491</f>
        <v>0</v>
      </c>
      <c r="S491" s="166">
        <v>22500</v>
      </c>
      <c r="T491" s="166">
        <v>1</v>
      </c>
      <c r="U491" s="164">
        <f>($L491*'Pivot Objective'!$C$9^2)*S491*T491</f>
        <v>6214106.5015891213</v>
      </c>
      <c r="V491" s="166"/>
      <c r="W491" s="166"/>
      <c r="X491" s="164">
        <f>($L491*'Pivot Objective'!$C$9^3)*V491*W491</f>
        <v>0</v>
      </c>
      <c r="Y491" s="166"/>
      <c r="Z491" s="166"/>
      <c r="AA491" s="164">
        <f>($L491*'Pivot Objective'!$C$9^4)*Y491*Z491</f>
        <v>0</v>
      </c>
      <c r="AB491" s="140"/>
      <c r="AC491" s="140"/>
      <c r="AD491" s="164">
        <f>($L491*'Pivot Objective'!$C$9^5)*AB491*AC491</f>
        <v>0</v>
      </c>
      <c r="AE491" s="166">
        <v>22500</v>
      </c>
      <c r="AF491" s="166">
        <v>1</v>
      </c>
      <c r="AG491" s="164">
        <f>($L491*'Pivot Objective'!$C$9^6)*AE491*AF491</f>
        <v>10603364.469442895</v>
      </c>
      <c r="AH491" s="140"/>
      <c r="AI491" s="140"/>
      <c r="AJ491" s="164">
        <f>($L491*'Pivot Objective'!$C$9^7)*AH491*AI491</f>
        <v>0</v>
      </c>
      <c r="AK491" s="185">
        <f t="shared" si="52"/>
        <v>21574613.828174874</v>
      </c>
      <c r="AL491" s="186">
        <f t="shared" si="53"/>
        <v>20946.227017645509</v>
      </c>
    </row>
    <row r="492" spans="1:38" customFormat="1" ht="57.6" x14ac:dyDescent="0.3">
      <c r="A492" s="140" t="s">
        <v>1441</v>
      </c>
      <c r="B492" s="140">
        <v>1</v>
      </c>
      <c r="C492" s="166" t="s">
        <v>836</v>
      </c>
      <c r="D492" s="140" t="str">
        <f t="shared" si="55"/>
        <v>2</v>
      </c>
      <c r="E492" s="166" t="s">
        <v>992</v>
      </c>
      <c r="F492" s="140">
        <f t="shared" si="54"/>
        <v>3</v>
      </c>
      <c r="G492" s="140" t="str">
        <f t="shared" si="56"/>
        <v>1.2.3</v>
      </c>
      <c r="H492" s="166" t="s">
        <v>1011</v>
      </c>
      <c r="I492" s="166" t="s">
        <v>1038</v>
      </c>
      <c r="J492" s="166" t="s">
        <v>179</v>
      </c>
      <c r="K492" s="166" t="s">
        <v>1041</v>
      </c>
      <c r="L492" s="167">
        <v>10000</v>
      </c>
      <c r="M492" s="166">
        <v>25</v>
      </c>
      <c r="N492" s="166">
        <v>1</v>
      </c>
      <c r="O492" s="164">
        <f t="shared" si="51"/>
        <v>250000</v>
      </c>
      <c r="P492" s="166">
        <v>0</v>
      </c>
      <c r="Q492" s="166">
        <v>0</v>
      </c>
      <c r="R492" s="164">
        <f>$L492*'Pivot Objective'!$C$9*P492*Q492</f>
        <v>0</v>
      </c>
      <c r="S492" s="166">
        <v>25</v>
      </c>
      <c r="T492" s="166">
        <v>1</v>
      </c>
      <c r="U492" s="164">
        <f>($L492*'Pivot Objective'!$C$9^2)*S492*T492</f>
        <v>326567.15849192085</v>
      </c>
      <c r="V492" s="166">
        <v>0</v>
      </c>
      <c r="W492" s="166">
        <v>0</v>
      </c>
      <c r="X492" s="164">
        <f>($L492*'Pivot Objective'!$C$9^3)*V492*W492</f>
        <v>0</v>
      </c>
      <c r="Y492" s="166">
        <v>20000</v>
      </c>
      <c r="Z492" s="166">
        <v>1</v>
      </c>
      <c r="AA492" s="164">
        <f>($L492*'Pivot Objective'!$C$9^4)*Y492*Z492</f>
        <v>341267548.81755942</v>
      </c>
      <c r="AB492" s="140"/>
      <c r="AC492" s="140"/>
      <c r="AD492" s="164">
        <f>($L492*'Pivot Objective'!$C$9^5)*AB492*AC492</f>
        <v>0</v>
      </c>
      <c r="AE492" s="166">
        <v>25</v>
      </c>
      <c r="AF492" s="166">
        <v>1</v>
      </c>
      <c r="AG492" s="164">
        <f>($L492*'Pivot Objective'!$C$9^6)*AE492*AF492</f>
        <v>557233.86851426633</v>
      </c>
      <c r="AH492" s="140"/>
      <c r="AI492" s="140"/>
      <c r="AJ492" s="164">
        <f>($L492*'Pivot Objective'!$C$9^7)*AH492*AI492</f>
        <v>0</v>
      </c>
      <c r="AK492" s="185">
        <f t="shared" si="52"/>
        <v>342401349.84456557</v>
      </c>
      <c r="AL492" s="186">
        <f t="shared" si="53"/>
        <v>332428.49499472388</v>
      </c>
    </row>
    <row r="493" spans="1:38" customFormat="1" ht="57.6" x14ac:dyDescent="0.3">
      <c r="A493" s="140" t="s">
        <v>1441</v>
      </c>
      <c r="B493" s="140">
        <v>1</v>
      </c>
      <c r="C493" s="166" t="s">
        <v>836</v>
      </c>
      <c r="D493" s="140" t="str">
        <f t="shared" si="55"/>
        <v>2</v>
      </c>
      <c r="E493" s="166" t="s">
        <v>992</v>
      </c>
      <c r="F493" s="140">
        <f t="shared" si="54"/>
        <v>3</v>
      </c>
      <c r="G493" s="140" t="str">
        <f t="shared" si="56"/>
        <v>1.2.3</v>
      </c>
      <c r="H493" s="166" t="s">
        <v>1011</v>
      </c>
      <c r="I493" s="166" t="s">
        <v>1038</v>
      </c>
      <c r="J493" s="166" t="s">
        <v>179</v>
      </c>
      <c r="K493" s="166" t="s">
        <v>715</v>
      </c>
      <c r="L493" s="167">
        <v>302000</v>
      </c>
      <c r="M493" s="166">
        <v>25</v>
      </c>
      <c r="N493" s="166">
        <v>1</v>
      </c>
      <c r="O493" s="164">
        <f t="shared" si="51"/>
        <v>7550000</v>
      </c>
      <c r="P493" s="166">
        <v>0</v>
      </c>
      <c r="Q493" s="166">
        <v>0</v>
      </c>
      <c r="R493" s="164">
        <f>$L493*'Pivot Objective'!$C$9*P493*Q493</f>
        <v>0</v>
      </c>
      <c r="S493" s="166">
        <v>25</v>
      </c>
      <c r="T493" s="166">
        <v>1</v>
      </c>
      <c r="U493" s="164">
        <f>($L493*'Pivot Objective'!$C$9^2)*S493*T493</f>
        <v>9862328.1864560079</v>
      </c>
      <c r="V493" s="166">
        <v>0</v>
      </c>
      <c r="W493" s="166">
        <v>0</v>
      </c>
      <c r="X493" s="164">
        <f>($L493*'Pivot Objective'!$C$9^3)*V493*W493</f>
        <v>0</v>
      </c>
      <c r="Y493" s="166">
        <v>15</v>
      </c>
      <c r="Z493" s="166">
        <v>10</v>
      </c>
      <c r="AA493" s="164">
        <f>($L493*'Pivot Objective'!$C$9^4)*Y493*Z493</f>
        <v>77297099.807177201</v>
      </c>
      <c r="AB493" s="140"/>
      <c r="AC493" s="140"/>
      <c r="AD493" s="164">
        <f>($L493*'Pivot Objective'!$C$9^5)*AB493*AC493</f>
        <v>0</v>
      </c>
      <c r="AE493" s="166">
        <v>25</v>
      </c>
      <c r="AF493" s="166">
        <v>1</v>
      </c>
      <c r="AG493" s="164">
        <f>($L493*'Pivot Objective'!$C$9^6)*AE493*AF493</f>
        <v>16828462.829130843</v>
      </c>
      <c r="AH493" s="140"/>
      <c r="AI493" s="140"/>
      <c r="AJ493" s="164">
        <f>($L493*'Pivot Objective'!$C$9^7)*AH493*AI493</f>
        <v>0</v>
      </c>
      <c r="AK493" s="185">
        <f t="shared" si="52"/>
        <v>111537890.82276405</v>
      </c>
      <c r="AL493" s="186">
        <f t="shared" si="53"/>
        <v>108289.21439103306</v>
      </c>
    </row>
    <row r="494" spans="1:38" customFormat="1" ht="57.6" x14ac:dyDescent="0.3">
      <c r="A494" s="140" t="s">
        <v>1441</v>
      </c>
      <c r="B494" s="140">
        <v>1</v>
      </c>
      <c r="C494" s="166" t="s">
        <v>836</v>
      </c>
      <c r="D494" s="140" t="str">
        <f t="shared" si="55"/>
        <v>2</v>
      </c>
      <c r="E494" s="166" t="s">
        <v>992</v>
      </c>
      <c r="F494" s="140">
        <f t="shared" si="54"/>
        <v>3</v>
      </c>
      <c r="G494" s="140" t="str">
        <f t="shared" si="56"/>
        <v>1.2.3</v>
      </c>
      <c r="H494" s="166" t="s">
        <v>1011</v>
      </c>
      <c r="I494" s="166" t="s">
        <v>1038</v>
      </c>
      <c r="J494" s="166" t="s">
        <v>159</v>
      </c>
      <c r="K494" s="166" t="s">
        <v>716</v>
      </c>
      <c r="L494" s="167">
        <v>39000</v>
      </c>
      <c r="M494" s="166">
        <v>25</v>
      </c>
      <c r="N494" s="166">
        <v>6</v>
      </c>
      <c r="O494" s="164">
        <f t="shared" si="51"/>
        <v>5850000</v>
      </c>
      <c r="P494" s="166">
        <v>0</v>
      </c>
      <c r="Q494" s="166">
        <v>0</v>
      </c>
      <c r="R494" s="164">
        <f>$L494*'Pivot Objective'!$C$9*P494*Q494</f>
        <v>0</v>
      </c>
      <c r="S494" s="166">
        <v>25</v>
      </c>
      <c r="T494" s="166">
        <v>6</v>
      </c>
      <c r="U494" s="164">
        <f>($L494*'Pivot Objective'!$C$9^2)*S494*T494</f>
        <v>7641671.5087109469</v>
      </c>
      <c r="V494" s="166">
        <v>0</v>
      </c>
      <c r="W494" s="166">
        <v>0</v>
      </c>
      <c r="X494" s="164">
        <f>($L494*'Pivot Objective'!$C$9^3)*V494*W494</f>
        <v>0</v>
      </c>
      <c r="Y494" s="166">
        <v>20</v>
      </c>
      <c r="Z494" s="166">
        <v>1</v>
      </c>
      <c r="AA494" s="164">
        <f>($L494*'Pivot Objective'!$C$9^4)*Y494*Z494</f>
        <v>1330943.4403884818</v>
      </c>
      <c r="AB494" s="140"/>
      <c r="AC494" s="140"/>
      <c r="AD494" s="164">
        <f>($L494*'Pivot Objective'!$C$9^5)*AB494*AC494</f>
        <v>0</v>
      </c>
      <c r="AE494" s="166">
        <v>25</v>
      </c>
      <c r="AF494" s="166">
        <v>6</v>
      </c>
      <c r="AG494" s="164">
        <f>($L494*'Pivot Objective'!$C$9^6)*AE494*AF494</f>
        <v>13039272.523233831</v>
      </c>
      <c r="AH494" s="140"/>
      <c r="AI494" s="140"/>
      <c r="AJ494" s="164">
        <f>($L494*'Pivot Objective'!$C$9^7)*AH494*AI494</f>
        <v>0</v>
      </c>
      <c r="AK494" s="185">
        <f t="shared" si="52"/>
        <v>27861887.47233326</v>
      </c>
      <c r="AL494" s="186">
        <f t="shared" si="53"/>
        <v>27050.376186731319</v>
      </c>
    </row>
    <row r="495" spans="1:38" customFormat="1" ht="57.6" x14ac:dyDescent="0.3">
      <c r="A495" s="140" t="s">
        <v>1441</v>
      </c>
      <c r="B495" s="140">
        <v>1</v>
      </c>
      <c r="C495" s="166" t="s">
        <v>836</v>
      </c>
      <c r="D495" s="140" t="str">
        <f t="shared" si="55"/>
        <v>2</v>
      </c>
      <c r="E495" s="166" t="s">
        <v>992</v>
      </c>
      <c r="F495" s="140">
        <f t="shared" ref="F495:F526" si="57">IF(H495=H494,F494,F494+1)</f>
        <v>3</v>
      </c>
      <c r="G495" s="140" t="str">
        <f t="shared" si="56"/>
        <v>1.2.3</v>
      </c>
      <c r="H495" s="166" t="s">
        <v>1011</v>
      </c>
      <c r="I495" s="166" t="s">
        <v>1038</v>
      </c>
      <c r="J495" s="166" t="s">
        <v>159</v>
      </c>
      <c r="K495" s="166" t="s">
        <v>709</v>
      </c>
      <c r="L495" s="167">
        <v>35000</v>
      </c>
      <c r="M495" s="166">
        <v>25</v>
      </c>
      <c r="N495" s="166">
        <v>5</v>
      </c>
      <c r="O495" s="164">
        <f t="shared" si="51"/>
        <v>4375000</v>
      </c>
      <c r="P495" s="166">
        <v>0</v>
      </c>
      <c r="Q495" s="166">
        <v>0</v>
      </c>
      <c r="R495" s="164">
        <f>$L495*'Pivot Objective'!$C$9*P495*Q495</f>
        <v>0</v>
      </c>
      <c r="S495" s="166">
        <v>25</v>
      </c>
      <c r="T495" s="166">
        <v>5</v>
      </c>
      <c r="U495" s="164">
        <f>($L495*'Pivot Objective'!$C$9^2)*S495*T495</f>
        <v>5714925.2736086138</v>
      </c>
      <c r="V495" s="166">
        <v>0</v>
      </c>
      <c r="W495" s="166">
        <v>0</v>
      </c>
      <c r="X495" s="164">
        <f>($L495*'Pivot Objective'!$C$9^3)*V495*W495</f>
        <v>0</v>
      </c>
      <c r="Y495" s="166">
        <v>25</v>
      </c>
      <c r="Z495" s="166">
        <v>5</v>
      </c>
      <c r="AA495" s="164">
        <f>($L495*'Pivot Objective'!$C$9^4)*Y495*Z495</f>
        <v>7465227.6303841127</v>
      </c>
      <c r="AB495" s="140"/>
      <c r="AC495" s="140"/>
      <c r="AD495" s="164">
        <f>($L495*'Pivot Objective'!$C$9^5)*AB495*AC495</f>
        <v>0</v>
      </c>
      <c r="AE495" s="166">
        <v>25</v>
      </c>
      <c r="AF495" s="166">
        <v>5</v>
      </c>
      <c r="AG495" s="164">
        <f>($L495*'Pivot Objective'!$C$9^6)*AE495*AF495</f>
        <v>9751592.6989996582</v>
      </c>
      <c r="AH495" s="140"/>
      <c r="AI495" s="140"/>
      <c r="AJ495" s="164">
        <f>($L495*'Pivot Objective'!$C$9^7)*AH495*AI495</f>
        <v>0</v>
      </c>
      <c r="AK495" s="185">
        <f t="shared" si="52"/>
        <v>27306745.602992386</v>
      </c>
      <c r="AL495" s="186">
        <f t="shared" si="53"/>
        <v>26511.403498050859</v>
      </c>
    </row>
    <row r="496" spans="1:38" customFormat="1" ht="57.6" x14ac:dyDescent="0.3">
      <c r="A496" s="140" t="s">
        <v>1441</v>
      </c>
      <c r="B496" s="140">
        <v>1</v>
      </c>
      <c r="C496" s="166" t="s">
        <v>836</v>
      </c>
      <c r="D496" s="140" t="str">
        <f t="shared" si="55"/>
        <v>2</v>
      </c>
      <c r="E496" s="166" t="s">
        <v>992</v>
      </c>
      <c r="F496" s="140">
        <f t="shared" si="57"/>
        <v>3</v>
      </c>
      <c r="G496" s="140" t="str">
        <f t="shared" si="56"/>
        <v>1.2.3</v>
      </c>
      <c r="H496" s="166" t="s">
        <v>1011</v>
      </c>
      <c r="I496" s="166" t="s">
        <v>1038</v>
      </c>
      <c r="J496" s="166" t="s">
        <v>159</v>
      </c>
      <c r="K496" s="166" t="s">
        <v>712</v>
      </c>
      <c r="L496" s="167">
        <f>1480/7</f>
        <v>211.42857142857142</v>
      </c>
      <c r="M496" s="166">
        <f>2*25*9</f>
        <v>450</v>
      </c>
      <c r="N496" s="166">
        <v>5</v>
      </c>
      <c r="O496" s="164">
        <f t="shared" si="51"/>
        <v>475714.28571428568</v>
      </c>
      <c r="P496" s="166">
        <v>0</v>
      </c>
      <c r="Q496" s="166">
        <v>0</v>
      </c>
      <c r="R496" s="164">
        <f>$L496*'Pivot Objective'!$C$9*P496*Q496</f>
        <v>0</v>
      </c>
      <c r="S496" s="166">
        <f>2*25*9</f>
        <v>450</v>
      </c>
      <c r="T496" s="166">
        <v>5</v>
      </c>
      <c r="U496" s="164">
        <f>($L496*'Pivot Objective'!$C$9^2)*S496*T496</f>
        <v>621410.65015891218</v>
      </c>
      <c r="V496" s="166">
        <v>0</v>
      </c>
      <c r="W496" s="166">
        <v>0</v>
      </c>
      <c r="X496" s="164">
        <f>($L496*'Pivot Objective'!$C$9^3)*V496*W496</f>
        <v>0</v>
      </c>
      <c r="Y496" s="166">
        <v>25</v>
      </c>
      <c r="Z496" s="166">
        <v>5</v>
      </c>
      <c r="AA496" s="164">
        <f>($L496*'Pivot Objective'!$C$9^4)*Y496*Z496</f>
        <v>45096.068950891779</v>
      </c>
      <c r="AB496" s="140"/>
      <c r="AC496" s="140"/>
      <c r="AD496" s="164">
        <f>($L496*'Pivot Objective'!$C$9^5)*AB496*AC496</f>
        <v>0</v>
      </c>
      <c r="AE496" s="166">
        <f>2*25*9</f>
        <v>450</v>
      </c>
      <c r="AF496" s="166">
        <v>5</v>
      </c>
      <c r="AG496" s="164">
        <f>($L496*'Pivot Objective'!$C$9^6)*AE496*AF496</f>
        <v>1060336.4469442894</v>
      </c>
      <c r="AH496" s="140"/>
      <c r="AI496" s="140"/>
      <c r="AJ496" s="164">
        <f>($L496*'Pivot Objective'!$C$9^7)*AH496*AI496</f>
        <v>0</v>
      </c>
      <c r="AK496" s="185">
        <f t="shared" si="52"/>
        <v>2202557.4517683787</v>
      </c>
      <c r="AL496" s="186">
        <f t="shared" si="53"/>
        <v>2138.4052929790087</v>
      </c>
    </row>
    <row r="497" spans="1:38" customFormat="1" ht="57.6" x14ac:dyDescent="0.3">
      <c r="A497" s="140" t="s">
        <v>1441</v>
      </c>
      <c r="B497" s="140">
        <v>1</v>
      </c>
      <c r="C497" s="166" t="s">
        <v>836</v>
      </c>
      <c r="D497" s="140" t="str">
        <f t="shared" si="55"/>
        <v>2</v>
      </c>
      <c r="E497" s="166" t="s">
        <v>992</v>
      </c>
      <c r="F497" s="140">
        <f t="shared" si="57"/>
        <v>3</v>
      </c>
      <c r="G497" s="140" t="str">
        <f t="shared" si="56"/>
        <v>1.2.3</v>
      </c>
      <c r="H497" s="166" t="s">
        <v>1011</v>
      </c>
      <c r="I497" s="166" t="s">
        <v>1038</v>
      </c>
      <c r="J497" s="166" t="s">
        <v>159</v>
      </c>
      <c r="K497" s="166" t="s">
        <v>1299</v>
      </c>
      <c r="L497" s="167">
        <f>1480/7</f>
        <v>211.42857142857142</v>
      </c>
      <c r="M497" s="166">
        <f>2*135*9</f>
        <v>2430</v>
      </c>
      <c r="N497" s="166">
        <v>1</v>
      </c>
      <c r="O497" s="164">
        <f t="shared" si="51"/>
        <v>513771.42857142852</v>
      </c>
      <c r="P497" s="166"/>
      <c r="Q497" s="166"/>
      <c r="R497" s="164">
        <f>$L497*'Pivot Objective'!$C$9*P497*Q497</f>
        <v>0</v>
      </c>
      <c r="S497" s="166">
        <f>2*135*9</f>
        <v>2430</v>
      </c>
      <c r="T497" s="166">
        <v>1</v>
      </c>
      <c r="U497" s="164">
        <f>($L497*'Pivot Objective'!$C$9^2)*S497*T497</f>
        <v>671123.50217162515</v>
      </c>
      <c r="V497" s="166"/>
      <c r="W497" s="166"/>
      <c r="X497" s="164">
        <f>($L497*'Pivot Objective'!$C$9^3)*V497*W497</f>
        <v>0</v>
      </c>
      <c r="Y497" s="166"/>
      <c r="Z497" s="166"/>
      <c r="AA497" s="164">
        <f>($L497*'Pivot Objective'!$C$9^4)*Y497*Z497</f>
        <v>0</v>
      </c>
      <c r="AB497" s="140"/>
      <c r="AC497" s="140"/>
      <c r="AD497" s="164">
        <f>($L497*'Pivot Objective'!$C$9^5)*AB497*AC497</f>
        <v>0</v>
      </c>
      <c r="AE497" s="166">
        <f>2*135*9</f>
        <v>2430</v>
      </c>
      <c r="AF497" s="166">
        <v>1</v>
      </c>
      <c r="AG497" s="164">
        <f>($L497*'Pivot Objective'!$C$9^6)*AE497*AF497</f>
        <v>1145163.3626998325</v>
      </c>
      <c r="AH497" s="140"/>
      <c r="AI497" s="140"/>
      <c r="AJ497" s="164">
        <f>($L497*'Pivot Objective'!$C$9^7)*AH497*AI497</f>
        <v>0</v>
      </c>
      <c r="AK497" s="185">
        <f t="shared" si="52"/>
        <v>2330058.2934428863</v>
      </c>
      <c r="AL497" s="186">
        <f t="shared" si="53"/>
        <v>2262.1925179057148</v>
      </c>
    </row>
    <row r="498" spans="1:38" customFormat="1" ht="57.6" x14ac:dyDescent="0.3">
      <c r="A498" s="140" t="s">
        <v>1441</v>
      </c>
      <c r="B498" s="140">
        <v>1</v>
      </c>
      <c r="C498" s="166" t="s">
        <v>836</v>
      </c>
      <c r="D498" s="140" t="str">
        <f t="shared" si="55"/>
        <v>2</v>
      </c>
      <c r="E498" s="166" t="s">
        <v>992</v>
      </c>
      <c r="F498" s="140">
        <f t="shared" si="57"/>
        <v>3</v>
      </c>
      <c r="G498" s="140" t="str">
        <f t="shared" si="56"/>
        <v>1.2.3</v>
      </c>
      <c r="H498" s="166" t="s">
        <v>1011</v>
      </c>
      <c r="I498" s="166" t="s">
        <v>1038</v>
      </c>
      <c r="J498" s="166" t="s">
        <v>1042</v>
      </c>
      <c r="K498" s="166" t="s">
        <v>716</v>
      </c>
      <c r="L498" s="167">
        <v>39000</v>
      </c>
      <c r="M498" s="166">
        <v>25</v>
      </c>
      <c r="N498" s="166">
        <v>6</v>
      </c>
      <c r="O498" s="164">
        <f t="shared" si="51"/>
        <v>5850000</v>
      </c>
      <c r="P498" s="166">
        <v>0</v>
      </c>
      <c r="Q498" s="166">
        <v>0</v>
      </c>
      <c r="R498" s="164">
        <f>$L498*'Pivot Objective'!$C$9*P498*Q498</f>
        <v>0</v>
      </c>
      <c r="S498" s="166">
        <v>25</v>
      </c>
      <c r="T498" s="166">
        <v>6</v>
      </c>
      <c r="U498" s="164">
        <f>($L498*'Pivot Objective'!$C$9^2)*S498*T498</f>
        <v>7641671.5087109469</v>
      </c>
      <c r="V498" s="166">
        <v>0</v>
      </c>
      <c r="W498" s="166">
        <v>0</v>
      </c>
      <c r="X498" s="164">
        <f>($L498*'Pivot Objective'!$C$9^3)*V498*W498</f>
        <v>0</v>
      </c>
      <c r="Y498" s="166">
        <v>4000</v>
      </c>
      <c r="Z498" s="166">
        <v>1</v>
      </c>
      <c r="AA498" s="164">
        <f>($L498*'Pivot Objective'!$C$9^4)*Y498*Z498</f>
        <v>266188688.07769635</v>
      </c>
      <c r="AB498" s="140"/>
      <c r="AC498" s="140"/>
      <c r="AD498" s="164">
        <f>($L498*'Pivot Objective'!$C$9^5)*AB498*AC498</f>
        <v>0</v>
      </c>
      <c r="AE498" s="166">
        <v>25</v>
      </c>
      <c r="AF498" s="166">
        <v>6</v>
      </c>
      <c r="AG498" s="164">
        <f>($L498*'Pivot Objective'!$C$9^6)*AE498*AF498</f>
        <v>13039272.523233831</v>
      </c>
      <c r="AH498" s="140"/>
      <c r="AI498" s="140"/>
      <c r="AJ498" s="164">
        <f>($L498*'Pivot Objective'!$C$9^7)*AH498*AI498</f>
        <v>0</v>
      </c>
      <c r="AK498" s="185">
        <f t="shared" si="52"/>
        <v>292719632.10964113</v>
      </c>
      <c r="AL498" s="186">
        <f t="shared" si="53"/>
        <v>284193.81758217583</v>
      </c>
    </row>
    <row r="499" spans="1:38" customFormat="1" ht="57.6" x14ac:dyDescent="0.3">
      <c r="A499" s="140" t="s">
        <v>1441</v>
      </c>
      <c r="B499" s="140">
        <v>1</v>
      </c>
      <c r="C499" s="166" t="s">
        <v>836</v>
      </c>
      <c r="D499" s="140" t="str">
        <f t="shared" si="55"/>
        <v>2</v>
      </c>
      <c r="E499" s="166" t="s">
        <v>992</v>
      </c>
      <c r="F499" s="140">
        <f t="shared" si="57"/>
        <v>3</v>
      </c>
      <c r="G499" s="140" t="str">
        <f t="shared" si="56"/>
        <v>1.2.3</v>
      </c>
      <c r="H499" s="166" t="s">
        <v>1011</v>
      </c>
      <c r="I499" s="166" t="s">
        <v>1038</v>
      </c>
      <c r="J499" s="166" t="s">
        <v>181</v>
      </c>
      <c r="K499" s="166" t="s">
        <v>709</v>
      </c>
      <c r="L499" s="167">
        <v>35000</v>
      </c>
      <c r="M499" s="166">
        <v>100</v>
      </c>
      <c r="N499" s="166">
        <v>5</v>
      </c>
      <c r="O499" s="164">
        <f t="shared" si="51"/>
        <v>17500000</v>
      </c>
      <c r="P499" s="166">
        <v>0</v>
      </c>
      <c r="Q499" s="166">
        <v>0</v>
      </c>
      <c r="R499" s="164">
        <f>$L499*'Pivot Objective'!$C$9*P499*Q499</f>
        <v>0</v>
      </c>
      <c r="S499" s="166">
        <v>100</v>
      </c>
      <c r="T499" s="166">
        <v>5</v>
      </c>
      <c r="U499" s="164">
        <f>($L499*'Pivot Objective'!$C$9^2)*S499*T499</f>
        <v>22859701.094434455</v>
      </c>
      <c r="V499" s="166">
        <v>0</v>
      </c>
      <c r="W499" s="166">
        <v>0</v>
      </c>
      <c r="X499" s="164">
        <f>($L499*'Pivot Objective'!$C$9^3)*V499*W499</f>
        <v>0</v>
      </c>
      <c r="Y499" s="166">
        <v>25</v>
      </c>
      <c r="Z499" s="166">
        <v>5</v>
      </c>
      <c r="AA499" s="164">
        <f>($L499*'Pivot Objective'!$C$9^4)*Y499*Z499</f>
        <v>7465227.6303841127</v>
      </c>
      <c r="AB499" s="140"/>
      <c r="AC499" s="140"/>
      <c r="AD499" s="164">
        <f>($L499*'Pivot Objective'!$C$9^5)*AB499*AC499</f>
        <v>0</v>
      </c>
      <c r="AE499" s="166">
        <v>100</v>
      </c>
      <c r="AF499" s="166">
        <v>5</v>
      </c>
      <c r="AG499" s="164">
        <f>($L499*'Pivot Objective'!$C$9^6)*AE499*AF499</f>
        <v>39006370.795998633</v>
      </c>
      <c r="AH499" s="140"/>
      <c r="AI499" s="140"/>
      <c r="AJ499" s="164">
        <f>($L499*'Pivot Objective'!$C$9^7)*AH499*AI499</f>
        <v>0</v>
      </c>
      <c r="AK499" s="185">
        <f t="shared" si="52"/>
        <v>86831299.52081719</v>
      </c>
      <c r="AL499" s="186">
        <f t="shared" si="53"/>
        <v>84302.232544482715</v>
      </c>
    </row>
    <row r="500" spans="1:38" customFormat="1" ht="57.6" x14ac:dyDescent="0.3">
      <c r="A500" s="140" t="s">
        <v>1441</v>
      </c>
      <c r="B500" s="140">
        <v>1</v>
      </c>
      <c r="C500" s="166" t="s">
        <v>836</v>
      </c>
      <c r="D500" s="140" t="str">
        <f t="shared" si="55"/>
        <v>2</v>
      </c>
      <c r="E500" s="166" t="s">
        <v>992</v>
      </c>
      <c r="F500" s="140">
        <f t="shared" si="57"/>
        <v>3</v>
      </c>
      <c r="G500" s="140" t="str">
        <f t="shared" si="56"/>
        <v>1.2.3</v>
      </c>
      <c r="H500" s="166" t="s">
        <v>1011</v>
      </c>
      <c r="I500" s="166" t="s">
        <v>1038</v>
      </c>
      <c r="J500" s="166" t="s">
        <v>181</v>
      </c>
      <c r="K500" s="166" t="s">
        <v>712</v>
      </c>
      <c r="L500" s="167">
        <f>1480/7</f>
        <v>211.42857142857142</v>
      </c>
      <c r="M500" s="166">
        <f>2*25*29</f>
        <v>1450</v>
      </c>
      <c r="N500" s="166">
        <v>5</v>
      </c>
      <c r="O500" s="164">
        <f t="shared" si="51"/>
        <v>1532857.142857143</v>
      </c>
      <c r="P500" s="166">
        <v>0</v>
      </c>
      <c r="Q500" s="166">
        <v>0</v>
      </c>
      <c r="R500" s="164">
        <f>$L500*'Pivot Objective'!$C$9*P500*Q500</f>
        <v>0</v>
      </c>
      <c r="S500" s="166">
        <f>2*25*29</f>
        <v>1450</v>
      </c>
      <c r="T500" s="166">
        <v>5</v>
      </c>
      <c r="U500" s="164">
        <f>($L500*'Pivot Objective'!$C$9^2)*S500*T500</f>
        <v>2002323.2060676059</v>
      </c>
      <c r="V500" s="166">
        <v>0</v>
      </c>
      <c r="W500" s="166">
        <v>0</v>
      </c>
      <c r="X500" s="164">
        <f>($L500*'Pivot Objective'!$C$9^3)*V500*W500</f>
        <v>0</v>
      </c>
      <c r="Y500" s="166">
        <v>50</v>
      </c>
      <c r="Z500" s="166">
        <v>1</v>
      </c>
      <c r="AA500" s="164">
        <f>($L500*'Pivot Objective'!$C$9^4)*Y500*Z500</f>
        <v>18038.427580356711</v>
      </c>
      <c r="AB500" s="140"/>
      <c r="AC500" s="140"/>
      <c r="AD500" s="164">
        <f>($L500*'Pivot Objective'!$C$9^5)*AB500*AC500</f>
        <v>0</v>
      </c>
      <c r="AE500" s="166">
        <f>2*25*29</f>
        <v>1450</v>
      </c>
      <c r="AF500" s="166">
        <v>5</v>
      </c>
      <c r="AG500" s="164">
        <f>($L500*'Pivot Objective'!$C$9^6)*AE500*AF500</f>
        <v>3416639.6623760439</v>
      </c>
      <c r="AH500" s="140"/>
      <c r="AI500" s="140"/>
      <c r="AJ500" s="164">
        <f>($L500*'Pivot Objective'!$C$9^7)*AH500*AI500</f>
        <v>0</v>
      </c>
      <c r="AK500" s="185">
        <f t="shared" si="52"/>
        <v>6969858.4388811495</v>
      </c>
      <c r="AL500" s="186">
        <f t="shared" si="53"/>
        <v>6766.8528532826695</v>
      </c>
    </row>
    <row r="501" spans="1:38" customFormat="1" ht="57.6" x14ac:dyDescent="0.3">
      <c r="A501" s="140" t="s">
        <v>1441</v>
      </c>
      <c r="B501" s="140">
        <v>1</v>
      </c>
      <c r="C501" s="166" t="s">
        <v>836</v>
      </c>
      <c r="D501" s="140" t="str">
        <f t="shared" si="55"/>
        <v>2</v>
      </c>
      <c r="E501" s="166" t="s">
        <v>992</v>
      </c>
      <c r="F501" s="140">
        <f t="shared" si="57"/>
        <v>3</v>
      </c>
      <c r="G501" s="140" t="str">
        <f t="shared" si="56"/>
        <v>1.2.3</v>
      </c>
      <c r="H501" s="166" t="s">
        <v>1011</v>
      </c>
      <c r="I501" s="166" t="s">
        <v>1038</v>
      </c>
      <c r="J501" s="166" t="s">
        <v>181</v>
      </c>
      <c r="K501" s="166" t="s">
        <v>1299</v>
      </c>
      <c r="L501" s="167">
        <f>1480/7</f>
        <v>211.42857142857142</v>
      </c>
      <c r="M501" s="166">
        <v>22500</v>
      </c>
      <c r="N501" s="166">
        <v>1</v>
      </c>
      <c r="O501" s="164">
        <f t="shared" si="51"/>
        <v>4757142.8571428573</v>
      </c>
      <c r="P501" s="166"/>
      <c r="Q501" s="166"/>
      <c r="R501" s="164">
        <f>$L501*'Pivot Objective'!$C$9*P501*Q501</f>
        <v>0</v>
      </c>
      <c r="S501" s="166">
        <v>22500</v>
      </c>
      <c r="T501" s="166">
        <v>1</v>
      </c>
      <c r="U501" s="164">
        <f>($L501*'Pivot Objective'!$C$9^2)*S501*T501</f>
        <v>6214106.5015891213</v>
      </c>
      <c r="V501" s="166"/>
      <c r="W501" s="166"/>
      <c r="X501" s="164">
        <f>($L501*'Pivot Objective'!$C$9^3)*V501*W501</f>
        <v>0</v>
      </c>
      <c r="Y501" s="166"/>
      <c r="Z501" s="166"/>
      <c r="AA501" s="164">
        <f>($L501*'Pivot Objective'!$C$9^4)*Y501*Z501</f>
        <v>0</v>
      </c>
      <c r="AB501" s="140"/>
      <c r="AC501" s="140"/>
      <c r="AD501" s="164">
        <f>($L501*'Pivot Objective'!$C$9^5)*AB501*AC501</f>
        <v>0</v>
      </c>
      <c r="AE501" s="166">
        <v>22500</v>
      </c>
      <c r="AF501" s="166">
        <v>1</v>
      </c>
      <c r="AG501" s="164">
        <f>($L501*'Pivot Objective'!$C$9^6)*AE501*AF501</f>
        <v>10603364.469442895</v>
      </c>
      <c r="AH501" s="140"/>
      <c r="AI501" s="140"/>
      <c r="AJ501" s="164">
        <f>($L501*'Pivot Objective'!$C$9^7)*AH501*AI501</f>
        <v>0</v>
      </c>
      <c r="AK501" s="185">
        <f t="shared" si="52"/>
        <v>21574613.828174874</v>
      </c>
      <c r="AL501" s="186">
        <f t="shared" si="53"/>
        <v>20946.227017645509</v>
      </c>
    </row>
    <row r="502" spans="1:38" customFormat="1" ht="57.6" x14ac:dyDescent="0.3">
      <c r="A502" s="140" t="s">
        <v>1441</v>
      </c>
      <c r="B502" s="140">
        <v>1</v>
      </c>
      <c r="C502" s="166" t="s">
        <v>836</v>
      </c>
      <c r="D502" s="140" t="str">
        <f t="shared" si="55"/>
        <v>2</v>
      </c>
      <c r="E502" s="166" t="s">
        <v>992</v>
      </c>
      <c r="F502" s="140">
        <f t="shared" si="57"/>
        <v>3</v>
      </c>
      <c r="G502" s="140" t="str">
        <f t="shared" si="56"/>
        <v>1.2.3</v>
      </c>
      <c r="H502" s="166" t="s">
        <v>1011</v>
      </c>
      <c r="I502" s="166" t="s">
        <v>1038</v>
      </c>
      <c r="J502" s="166" t="s">
        <v>181</v>
      </c>
      <c r="K502" s="166" t="s">
        <v>716</v>
      </c>
      <c r="L502" s="167">
        <v>39000</v>
      </c>
      <c r="M502" s="166">
        <v>58</v>
      </c>
      <c r="N502" s="166">
        <v>6</v>
      </c>
      <c r="O502" s="164">
        <f t="shared" si="51"/>
        <v>13572000</v>
      </c>
      <c r="P502" s="166">
        <v>0</v>
      </c>
      <c r="Q502" s="166">
        <v>0</v>
      </c>
      <c r="R502" s="164">
        <f>$L502*'Pivot Objective'!$C$9*P502*Q502</f>
        <v>0</v>
      </c>
      <c r="S502" s="166">
        <v>58</v>
      </c>
      <c r="T502" s="166">
        <v>6</v>
      </c>
      <c r="U502" s="164">
        <f>($L502*'Pivot Objective'!$C$9^2)*S502*T502</f>
        <v>17728677.900209397</v>
      </c>
      <c r="V502" s="166">
        <v>0</v>
      </c>
      <c r="W502" s="166">
        <v>0</v>
      </c>
      <c r="X502" s="164">
        <f>($L502*'Pivot Objective'!$C$9^3)*V502*W502</f>
        <v>0</v>
      </c>
      <c r="Y502" s="166">
        <v>4000</v>
      </c>
      <c r="Z502" s="166">
        <v>1</v>
      </c>
      <c r="AA502" s="164">
        <f>($L502*'Pivot Objective'!$C$9^4)*Y502*Z502</f>
        <v>266188688.07769635</v>
      </c>
      <c r="AB502" s="140"/>
      <c r="AC502" s="140"/>
      <c r="AD502" s="164">
        <f>($L502*'Pivot Objective'!$C$9^5)*AB502*AC502</f>
        <v>0</v>
      </c>
      <c r="AE502" s="166">
        <v>58</v>
      </c>
      <c r="AF502" s="166">
        <v>6</v>
      </c>
      <c r="AG502" s="164">
        <f>($L502*'Pivot Objective'!$C$9^6)*AE502*AF502</f>
        <v>30251112.253902487</v>
      </c>
      <c r="AH502" s="140"/>
      <c r="AI502" s="140"/>
      <c r="AJ502" s="164">
        <f>($L502*'Pivot Objective'!$C$9^7)*AH502*AI502</f>
        <v>0</v>
      </c>
      <c r="AK502" s="185">
        <f t="shared" si="52"/>
        <v>327740478.23180825</v>
      </c>
      <c r="AL502" s="186">
        <f t="shared" si="53"/>
        <v>318194.63906000799</v>
      </c>
    </row>
    <row r="503" spans="1:38" customFormat="1" ht="57.6" x14ac:dyDescent="0.3">
      <c r="A503" s="140" t="s">
        <v>1441</v>
      </c>
      <c r="B503" s="140">
        <v>1</v>
      </c>
      <c r="C503" s="166" t="s">
        <v>836</v>
      </c>
      <c r="D503" s="140" t="str">
        <f t="shared" si="55"/>
        <v>2</v>
      </c>
      <c r="E503" s="166" t="s">
        <v>992</v>
      </c>
      <c r="F503" s="140">
        <f t="shared" si="57"/>
        <v>3</v>
      </c>
      <c r="G503" s="140" t="str">
        <f t="shared" si="56"/>
        <v>1.2.3</v>
      </c>
      <c r="H503" s="166" t="s">
        <v>1011</v>
      </c>
      <c r="I503" s="166" t="s">
        <v>1038</v>
      </c>
      <c r="J503" s="166" t="s">
        <v>1043</v>
      </c>
      <c r="K503" s="166" t="s">
        <v>711</v>
      </c>
      <c r="L503" s="167">
        <v>8000</v>
      </c>
      <c r="M503" s="166">
        <v>10</v>
      </c>
      <c r="N503" s="166">
        <v>1</v>
      </c>
      <c r="O503" s="164">
        <f t="shared" si="51"/>
        <v>80000</v>
      </c>
      <c r="P503" s="166">
        <v>0</v>
      </c>
      <c r="Q503" s="166">
        <v>0</v>
      </c>
      <c r="R503" s="164">
        <f>$L503*'Pivot Objective'!$C$9*P503*Q503</f>
        <v>0</v>
      </c>
      <c r="S503" s="166">
        <v>10</v>
      </c>
      <c r="T503" s="166">
        <v>1</v>
      </c>
      <c r="U503" s="164">
        <f>($L503*'Pivot Objective'!$C$9^2)*S503*T503</f>
        <v>104501.49071741465</v>
      </c>
      <c r="V503" s="166">
        <v>0</v>
      </c>
      <c r="W503" s="166">
        <v>0</v>
      </c>
      <c r="X503" s="164">
        <f>($L503*'Pivot Objective'!$C$9^3)*V503*W503</f>
        <v>0</v>
      </c>
      <c r="Y503" s="166">
        <v>10</v>
      </c>
      <c r="Z503" s="166">
        <v>2</v>
      </c>
      <c r="AA503" s="164">
        <f>($L503*'Pivot Objective'!$C$9^4)*Y503*Z503</f>
        <v>273014.03905404755</v>
      </c>
      <c r="AB503" s="140"/>
      <c r="AC503" s="140"/>
      <c r="AD503" s="164">
        <f>($L503*'Pivot Objective'!$C$9^5)*AB503*AC503</f>
        <v>0</v>
      </c>
      <c r="AE503" s="166">
        <v>10</v>
      </c>
      <c r="AF503" s="166">
        <v>1</v>
      </c>
      <c r="AG503" s="164">
        <f>($L503*'Pivot Objective'!$C$9^6)*AE503*AF503</f>
        <v>178314.83792456522</v>
      </c>
      <c r="AH503" s="140"/>
      <c r="AI503" s="140"/>
      <c r="AJ503" s="164">
        <f>($L503*'Pivot Objective'!$C$9^7)*AH503*AI503</f>
        <v>0</v>
      </c>
      <c r="AK503" s="185">
        <f t="shared" si="52"/>
        <v>635830.36769602739</v>
      </c>
      <c r="AL503" s="186">
        <f t="shared" si="53"/>
        <v>617.3110365980848</v>
      </c>
    </row>
    <row r="504" spans="1:38" customFormat="1" ht="57.6" x14ac:dyDescent="0.3">
      <c r="A504" s="140" t="s">
        <v>1441</v>
      </c>
      <c r="B504" s="140">
        <v>1</v>
      </c>
      <c r="C504" s="166" t="s">
        <v>836</v>
      </c>
      <c r="D504" s="140" t="str">
        <f t="shared" si="55"/>
        <v>2</v>
      </c>
      <c r="E504" s="166" t="s">
        <v>992</v>
      </c>
      <c r="F504" s="140">
        <f t="shared" si="57"/>
        <v>3</v>
      </c>
      <c r="G504" s="140" t="str">
        <f t="shared" si="56"/>
        <v>1.2.3</v>
      </c>
      <c r="H504" s="166" t="s">
        <v>1011</v>
      </c>
      <c r="I504" s="166" t="s">
        <v>1038</v>
      </c>
      <c r="J504" s="166" t="s">
        <v>1043</v>
      </c>
      <c r="K504" s="166" t="s">
        <v>710</v>
      </c>
      <c r="L504" s="167">
        <v>104850</v>
      </c>
      <c r="M504" s="166">
        <v>1</v>
      </c>
      <c r="N504" s="166">
        <v>1</v>
      </c>
      <c r="O504" s="164">
        <f t="shared" si="51"/>
        <v>104850</v>
      </c>
      <c r="P504" s="166">
        <v>0</v>
      </c>
      <c r="Q504" s="166">
        <v>0</v>
      </c>
      <c r="R504" s="164">
        <f>$L504*'Pivot Objective'!$C$9*P504*Q504</f>
        <v>0</v>
      </c>
      <c r="S504" s="166">
        <v>1</v>
      </c>
      <c r="T504" s="166">
        <v>1</v>
      </c>
      <c r="U504" s="164">
        <f>($L504*'Pivot Objective'!$C$9^2)*S504*T504</f>
        <v>136962.26627151159</v>
      </c>
      <c r="V504" s="166">
        <v>0</v>
      </c>
      <c r="W504" s="166">
        <v>0</v>
      </c>
      <c r="X504" s="164">
        <f>($L504*'Pivot Objective'!$C$9^3)*V504*W504</f>
        <v>0</v>
      </c>
      <c r="Y504" s="166">
        <v>50000</v>
      </c>
      <c r="Z504" s="166">
        <v>1</v>
      </c>
      <c r="AA504" s="164">
        <f>($L504*'Pivot Objective'!$C$9^4)*Y504*Z504</f>
        <v>8945475623.3802757</v>
      </c>
      <c r="AB504" s="140"/>
      <c r="AC504" s="140"/>
      <c r="AD504" s="164">
        <f>($L504*'Pivot Objective'!$C$9^5)*AB504*AC504</f>
        <v>0</v>
      </c>
      <c r="AE504" s="166">
        <v>1</v>
      </c>
      <c r="AF504" s="166">
        <v>1</v>
      </c>
      <c r="AG504" s="164">
        <f>($L504*'Pivot Objective'!$C$9^6)*AE504*AF504</f>
        <v>233703.88445488326</v>
      </c>
      <c r="AH504" s="140"/>
      <c r="AI504" s="140"/>
      <c r="AJ504" s="164">
        <f>($L504*'Pivot Objective'!$C$9^7)*AH504*AI504</f>
        <v>0</v>
      </c>
      <c r="AK504" s="185">
        <f t="shared" si="52"/>
        <v>8945951139.531002</v>
      </c>
      <c r="AL504" s="186">
        <f t="shared" si="53"/>
        <v>8685389.4558553416</v>
      </c>
    </row>
    <row r="505" spans="1:38" customFormat="1" ht="57.6" x14ac:dyDescent="0.3">
      <c r="A505" s="140" t="s">
        <v>1441</v>
      </c>
      <c r="B505" s="140">
        <v>1</v>
      </c>
      <c r="C505" s="166" t="s">
        <v>836</v>
      </c>
      <c r="D505" s="140" t="str">
        <f t="shared" si="55"/>
        <v>2</v>
      </c>
      <c r="E505" s="166" t="s">
        <v>992</v>
      </c>
      <c r="F505" s="140">
        <f t="shared" si="57"/>
        <v>3</v>
      </c>
      <c r="G505" s="140" t="str">
        <f t="shared" si="56"/>
        <v>1.2.3</v>
      </c>
      <c r="H505" s="166" t="s">
        <v>1011</v>
      </c>
      <c r="I505" s="166" t="s">
        <v>1038</v>
      </c>
      <c r="J505" s="166" t="s">
        <v>1043</v>
      </c>
      <c r="K505" s="166" t="s">
        <v>709</v>
      </c>
      <c r="L505" s="167">
        <v>35000</v>
      </c>
      <c r="M505" s="166">
        <v>100</v>
      </c>
      <c r="N505" s="166">
        <v>1</v>
      </c>
      <c r="O505" s="164">
        <f t="shared" si="51"/>
        <v>3500000</v>
      </c>
      <c r="P505" s="166">
        <v>0</v>
      </c>
      <c r="Q505" s="166">
        <v>0</v>
      </c>
      <c r="R505" s="164">
        <f>$L505*'Pivot Objective'!$C$9*P505*Q505</f>
        <v>0</v>
      </c>
      <c r="S505" s="166">
        <v>100</v>
      </c>
      <c r="T505" s="166">
        <v>1</v>
      </c>
      <c r="U505" s="164">
        <f>($L505*'Pivot Objective'!$C$9^2)*S505*T505</f>
        <v>4571940.2188868914</v>
      </c>
      <c r="V505" s="166">
        <v>0</v>
      </c>
      <c r="W505" s="166">
        <v>0</v>
      </c>
      <c r="X505" s="164">
        <f>($L505*'Pivot Objective'!$C$9^3)*V505*W505</f>
        <v>0</v>
      </c>
      <c r="Y505" s="166">
        <v>5</v>
      </c>
      <c r="Z505" s="166">
        <v>1</v>
      </c>
      <c r="AA505" s="164">
        <f>($L505*'Pivot Objective'!$C$9^4)*Y505*Z505</f>
        <v>298609.10521536449</v>
      </c>
      <c r="AB505" s="140"/>
      <c r="AC505" s="140"/>
      <c r="AD505" s="164">
        <f>($L505*'Pivot Objective'!$C$9^5)*AB505*AC505</f>
        <v>0</v>
      </c>
      <c r="AE505" s="166">
        <v>100</v>
      </c>
      <c r="AF505" s="166">
        <v>1</v>
      </c>
      <c r="AG505" s="164">
        <f>($L505*'Pivot Objective'!$C$9^6)*AE505*AF505</f>
        <v>7801274.1591997268</v>
      </c>
      <c r="AH505" s="140"/>
      <c r="AI505" s="140"/>
      <c r="AJ505" s="164">
        <f>($L505*'Pivot Objective'!$C$9^7)*AH505*AI505</f>
        <v>0</v>
      </c>
      <c r="AK505" s="185">
        <f t="shared" si="52"/>
        <v>16171823.483301982</v>
      </c>
      <c r="AL505" s="186">
        <f t="shared" si="53"/>
        <v>15700.79949835144</v>
      </c>
    </row>
    <row r="506" spans="1:38" customFormat="1" ht="57.6" x14ac:dyDescent="0.3">
      <c r="A506" s="140" t="s">
        <v>1441</v>
      </c>
      <c r="B506" s="140">
        <v>1</v>
      </c>
      <c r="C506" s="166" t="s">
        <v>836</v>
      </c>
      <c r="D506" s="140" t="str">
        <f t="shared" si="55"/>
        <v>2</v>
      </c>
      <c r="E506" s="166" t="s">
        <v>992</v>
      </c>
      <c r="F506" s="140">
        <f t="shared" si="57"/>
        <v>3</v>
      </c>
      <c r="G506" s="140" t="str">
        <f t="shared" si="56"/>
        <v>1.2.3</v>
      </c>
      <c r="H506" s="166" t="s">
        <v>1011</v>
      </c>
      <c r="I506" s="166" t="s">
        <v>1038</v>
      </c>
      <c r="J506" s="166" t="s">
        <v>1043</v>
      </c>
      <c r="K506" s="166" t="s">
        <v>712</v>
      </c>
      <c r="L506" s="167">
        <f>1480/7</f>
        <v>211.42857142857142</v>
      </c>
      <c r="M506" s="166">
        <f>2*25*29</f>
        <v>1450</v>
      </c>
      <c r="N506" s="166">
        <v>1</v>
      </c>
      <c r="O506" s="164">
        <f t="shared" si="51"/>
        <v>306571.42857142858</v>
      </c>
      <c r="P506" s="166">
        <v>0</v>
      </c>
      <c r="Q506" s="166">
        <v>0</v>
      </c>
      <c r="R506" s="164">
        <f>$L506*'Pivot Objective'!$C$9*P506*Q506</f>
        <v>0</v>
      </c>
      <c r="S506" s="166">
        <f>2*25*29</f>
        <v>1450</v>
      </c>
      <c r="T506" s="166">
        <v>1</v>
      </c>
      <c r="U506" s="164">
        <f>($L506*'Pivot Objective'!$C$9^2)*S506*T506</f>
        <v>400464.64121352119</v>
      </c>
      <c r="V506" s="166">
        <v>0</v>
      </c>
      <c r="W506" s="166">
        <v>0</v>
      </c>
      <c r="X506" s="164">
        <f>($L506*'Pivot Objective'!$C$9^3)*V506*W506</f>
        <v>0</v>
      </c>
      <c r="Y506" s="166">
        <v>100</v>
      </c>
      <c r="Z506" s="166">
        <v>1</v>
      </c>
      <c r="AA506" s="164">
        <f>($L506*'Pivot Objective'!$C$9^4)*Y506*Z506</f>
        <v>36076.855160713421</v>
      </c>
      <c r="AB506" s="140"/>
      <c r="AC506" s="140"/>
      <c r="AD506" s="164">
        <f>($L506*'Pivot Objective'!$C$9^5)*AB506*AC506</f>
        <v>0</v>
      </c>
      <c r="AE506" s="166">
        <f>2*25*29</f>
        <v>1450</v>
      </c>
      <c r="AF506" s="166">
        <v>1</v>
      </c>
      <c r="AG506" s="164">
        <f>($L506*'Pivot Objective'!$C$9^6)*AE506*AF506</f>
        <v>683327.93247520877</v>
      </c>
      <c r="AH506" s="140"/>
      <c r="AI506" s="140"/>
      <c r="AJ506" s="164">
        <f>($L506*'Pivot Objective'!$C$9^7)*AH506*AI506</f>
        <v>0</v>
      </c>
      <c r="AK506" s="185">
        <f t="shared" si="52"/>
        <v>1426440.857420872</v>
      </c>
      <c r="AL506" s="186">
        <f t="shared" si="53"/>
        <v>1384.8940363309437</v>
      </c>
    </row>
    <row r="507" spans="1:38" customFormat="1" ht="57.6" x14ac:dyDescent="0.3">
      <c r="A507" s="140" t="s">
        <v>1441</v>
      </c>
      <c r="B507" s="140">
        <v>1</v>
      </c>
      <c r="C507" s="166" t="s">
        <v>836</v>
      </c>
      <c r="D507" s="140" t="str">
        <f t="shared" si="55"/>
        <v>2</v>
      </c>
      <c r="E507" s="166" t="s">
        <v>992</v>
      </c>
      <c r="F507" s="140">
        <f t="shared" si="57"/>
        <v>3</v>
      </c>
      <c r="G507" s="140" t="str">
        <f t="shared" si="56"/>
        <v>1.2.3</v>
      </c>
      <c r="H507" s="166" t="s">
        <v>1011</v>
      </c>
      <c r="I507" s="166" t="s">
        <v>1038</v>
      </c>
      <c r="J507" s="166" t="s">
        <v>1043</v>
      </c>
      <c r="K507" s="166" t="s">
        <v>1299</v>
      </c>
      <c r="L507" s="167">
        <f>1480/7</f>
        <v>211.42857142857142</v>
      </c>
      <c r="M507" s="166">
        <v>22500</v>
      </c>
      <c r="N507" s="166">
        <v>1</v>
      </c>
      <c r="O507" s="164">
        <f t="shared" si="51"/>
        <v>4757142.8571428573</v>
      </c>
      <c r="P507" s="166"/>
      <c r="Q507" s="166"/>
      <c r="R507" s="164">
        <f>$L507*'Pivot Objective'!$C$9*P507*Q507</f>
        <v>0</v>
      </c>
      <c r="S507" s="166">
        <v>22500</v>
      </c>
      <c r="T507" s="166">
        <v>1</v>
      </c>
      <c r="U507" s="164">
        <f>($L507*'Pivot Objective'!$C$9^2)*S507*T507</f>
        <v>6214106.5015891213</v>
      </c>
      <c r="V507" s="166"/>
      <c r="W507" s="166"/>
      <c r="X507" s="164">
        <f>($L507*'Pivot Objective'!$C$9^3)*V507*W507</f>
        <v>0</v>
      </c>
      <c r="Y507" s="166"/>
      <c r="Z507" s="166"/>
      <c r="AA507" s="164">
        <f>($L507*'Pivot Objective'!$C$9^4)*Y507*Z507</f>
        <v>0</v>
      </c>
      <c r="AB507" s="140"/>
      <c r="AC507" s="140"/>
      <c r="AD507" s="164">
        <f>($L507*'Pivot Objective'!$C$9^5)*AB507*AC507</f>
        <v>0</v>
      </c>
      <c r="AE507" s="166">
        <v>22500</v>
      </c>
      <c r="AF507" s="166">
        <v>1</v>
      </c>
      <c r="AG507" s="164">
        <f>($L507*'Pivot Objective'!$C$9^6)*AE507*AF507</f>
        <v>10603364.469442895</v>
      </c>
      <c r="AH507" s="140"/>
      <c r="AI507" s="140"/>
      <c r="AJ507" s="164">
        <f>($L507*'Pivot Objective'!$C$9^7)*AH507*AI507</f>
        <v>0</v>
      </c>
      <c r="AK507" s="185">
        <f t="shared" si="52"/>
        <v>21574613.828174874</v>
      </c>
      <c r="AL507" s="186">
        <f t="shared" si="53"/>
        <v>20946.227017645509</v>
      </c>
    </row>
    <row r="508" spans="1:38" customFormat="1" ht="57.6" x14ac:dyDescent="0.3">
      <c r="A508" s="140" t="s">
        <v>1441</v>
      </c>
      <c r="B508" s="140">
        <v>1</v>
      </c>
      <c r="C508" s="166" t="s">
        <v>836</v>
      </c>
      <c r="D508" s="140" t="str">
        <f t="shared" si="55"/>
        <v>2</v>
      </c>
      <c r="E508" s="166" t="s">
        <v>992</v>
      </c>
      <c r="F508" s="140">
        <f t="shared" si="57"/>
        <v>3</v>
      </c>
      <c r="G508" s="140" t="str">
        <f t="shared" si="56"/>
        <v>1.2.3</v>
      </c>
      <c r="H508" s="166" t="s">
        <v>1011</v>
      </c>
      <c r="I508" s="166" t="s">
        <v>1038</v>
      </c>
      <c r="J508" s="166" t="s">
        <v>1044</v>
      </c>
      <c r="K508" s="166" t="s">
        <v>841</v>
      </c>
      <c r="L508" s="167">
        <v>0</v>
      </c>
      <c r="M508" s="166">
        <v>0</v>
      </c>
      <c r="N508" s="166">
        <v>0</v>
      </c>
      <c r="O508" s="164">
        <f t="shared" si="51"/>
        <v>0</v>
      </c>
      <c r="P508" s="166">
        <v>0</v>
      </c>
      <c r="Q508" s="166">
        <v>0</v>
      </c>
      <c r="R508" s="164">
        <f>$L508*'Pivot Objective'!$C$9*P508*Q508</f>
        <v>0</v>
      </c>
      <c r="S508" s="166">
        <v>0</v>
      </c>
      <c r="T508" s="166">
        <v>0</v>
      </c>
      <c r="U508" s="164">
        <f>($L508*'Pivot Objective'!$C$9^2)*S508*T508</f>
        <v>0</v>
      </c>
      <c r="V508" s="166">
        <v>0</v>
      </c>
      <c r="W508" s="166">
        <v>0</v>
      </c>
      <c r="X508" s="164">
        <f>($L508*'Pivot Objective'!$C$9^3)*V508*W508</f>
        <v>0</v>
      </c>
      <c r="Y508" s="166">
        <v>20000</v>
      </c>
      <c r="Z508" s="166">
        <v>1</v>
      </c>
      <c r="AA508" s="164">
        <f>($L508*'Pivot Objective'!$C$9^4)*Y508*Z508</f>
        <v>0</v>
      </c>
      <c r="AB508" s="140"/>
      <c r="AC508" s="140"/>
      <c r="AD508" s="164">
        <f>($L508*'Pivot Objective'!$C$9^5)*AB508*AC508</f>
        <v>0</v>
      </c>
      <c r="AE508" s="166">
        <v>0</v>
      </c>
      <c r="AF508" s="166">
        <v>0</v>
      </c>
      <c r="AG508" s="164">
        <f>($L508*'Pivot Objective'!$C$9^6)*AE508*AF508</f>
        <v>0</v>
      </c>
      <c r="AH508" s="140"/>
      <c r="AI508" s="140"/>
      <c r="AJ508" s="164">
        <f>($L508*'Pivot Objective'!$C$9^7)*AH508*AI508</f>
        <v>0</v>
      </c>
      <c r="AK508" s="185">
        <f t="shared" si="52"/>
        <v>0</v>
      </c>
      <c r="AL508" s="186">
        <f t="shared" si="53"/>
        <v>0</v>
      </c>
    </row>
    <row r="509" spans="1:38" customFormat="1" ht="57.6" x14ac:dyDescent="0.3">
      <c r="A509" s="140" t="s">
        <v>1441</v>
      </c>
      <c r="B509" s="140">
        <v>1</v>
      </c>
      <c r="C509" s="166" t="s">
        <v>836</v>
      </c>
      <c r="D509" s="140" t="str">
        <f t="shared" si="55"/>
        <v>2</v>
      </c>
      <c r="E509" s="166" t="s">
        <v>992</v>
      </c>
      <c r="F509" s="140">
        <f t="shared" si="57"/>
        <v>3</v>
      </c>
      <c r="G509" s="140" t="str">
        <f t="shared" si="56"/>
        <v>1.2.3</v>
      </c>
      <c r="H509" s="166" t="s">
        <v>1011</v>
      </c>
      <c r="I509" s="166" t="s">
        <v>1038</v>
      </c>
      <c r="J509" s="166" t="s">
        <v>1045</v>
      </c>
      <c r="K509" s="166" t="s">
        <v>709</v>
      </c>
      <c r="L509" s="167">
        <v>35000</v>
      </c>
      <c r="M509" s="166">
        <v>25</v>
      </c>
      <c r="N509" s="166">
        <v>5</v>
      </c>
      <c r="O509" s="164">
        <f t="shared" si="51"/>
        <v>4375000</v>
      </c>
      <c r="P509" s="166">
        <v>0</v>
      </c>
      <c r="Q509" s="166">
        <v>0</v>
      </c>
      <c r="R509" s="164">
        <f>$L509*'Pivot Objective'!$C$9*P509*Q509</f>
        <v>0</v>
      </c>
      <c r="S509" s="166">
        <v>25</v>
      </c>
      <c r="T509" s="166">
        <v>5</v>
      </c>
      <c r="U509" s="164">
        <f>($L509*'Pivot Objective'!$C$9^2)*S509*T509</f>
        <v>5714925.2736086138</v>
      </c>
      <c r="V509" s="166">
        <v>0</v>
      </c>
      <c r="W509" s="166">
        <v>0</v>
      </c>
      <c r="X509" s="164">
        <f>($L509*'Pivot Objective'!$C$9^3)*V509*W509</f>
        <v>0</v>
      </c>
      <c r="Y509" s="166">
        <v>0</v>
      </c>
      <c r="Z509" s="166">
        <v>0</v>
      </c>
      <c r="AA509" s="164">
        <f>($L509*'Pivot Objective'!$C$9^4)*Y509*Z509</f>
        <v>0</v>
      </c>
      <c r="AB509" s="140"/>
      <c r="AC509" s="140"/>
      <c r="AD509" s="164">
        <f>($L509*'Pivot Objective'!$C$9^5)*AB509*AC509</f>
        <v>0</v>
      </c>
      <c r="AE509" s="166">
        <v>25</v>
      </c>
      <c r="AF509" s="166">
        <v>5</v>
      </c>
      <c r="AG509" s="164">
        <f>($L509*'Pivot Objective'!$C$9^6)*AE509*AF509</f>
        <v>9751592.6989996582</v>
      </c>
      <c r="AH509" s="140"/>
      <c r="AI509" s="140"/>
      <c r="AJ509" s="164">
        <f>($L509*'Pivot Objective'!$C$9^7)*AH509*AI509</f>
        <v>0</v>
      </c>
      <c r="AK509" s="185">
        <f t="shared" si="52"/>
        <v>19841517.972608272</v>
      </c>
      <c r="AL509" s="186">
        <f t="shared" si="53"/>
        <v>19263.609682143953</v>
      </c>
    </row>
    <row r="510" spans="1:38" customFormat="1" ht="57.6" x14ac:dyDescent="0.3">
      <c r="A510" s="140" t="s">
        <v>1441</v>
      </c>
      <c r="B510" s="140">
        <v>1</v>
      </c>
      <c r="C510" s="166" t="s">
        <v>836</v>
      </c>
      <c r="D510" s="140" t="str">
        <f t="shared" si="55"/>
        <v>2</v>
      </c>
      <c r="E510" s="166" t="s">
        <v>992</v>
      </c>
      <c r="F510" s="140">
        <f t="shared" si="57"/>
        <v>3</v>
      </c>
      <c r="G510" s="140" t="str">
        <f t="shared" si="56"/>
        <v>1.2.3</v>
      </c>
      <c r="H510" s="166" t="s">
        <v>1011</v>
      </c>
      <c r="I510" s="166" t="s">
        <v>1038</v>
      </c>
      <c r="J510" s="166" t="s">
        <v>1045</v>
      </c>
      <c r="K510" s="166" t="s">
        <v>716</v>
      </c>
      <c r="L510" s="167">
        <v>39000</v>
      </c>
      <c r="M510" s="166">
        <v>25</v>
      </c>
      <c r="N510" s="166">
        <v>6</v>
      </c>
      <c r="O510" s="164">
        <f t="shared" si="51"/>
        <v>5850000</v>
      </c>
      <c r="P510" s="166">
        <v>0</v>
      </c>
      <c r="Q510" s="166">
        <v>0</v>
      </c>
      <c r="R510" s="164">
        <f>$L510*'Pivot Objective'!$C$9*P510*Q510</f>
        <v>0</v>
      </c>
      <c r="S510" s="166">
        <v>25</v>
      </c>
      <c r="T510" s="166">
        <v>6</v>
      </c>
      <c r="U510" s="164">
        <f>($L510*'Pivot Objective'!$C$9^2)*S510*T510</f>
        <v>7641671.5087109469</v>
      </c>
      <c r="V510" s="166">
        <v>0</v>
      </c>
      <c r="W510" s="166">
        <v>0</v>
      </c>
      <c r="X510" s="164">
        <f>($L510*'Pivot Objective'!$C$9^3)*V510*W510</f>
        <v>0</v>
      </c>
      <c r="Y510" s="166">
        <v>70</v>
      </c>
      <c r="Z510" s="166">
        <v>1</v>
      </c>
      <c r="AA510" s="164">
        <f>($L510*'Pivot Objective'!$C$9^4)*Y510*Z510</f>
        <v>4658302.0413596863</v>
      </c>
      <c r="AB510" s="140"/>
      <c r="AC510" s="140"/>
      <c r="AD510" s="164">
        <f>($L510*'Pivot Objective'!$C$9^5)*AB510*AC510</f>
        <v>0</v>
      </c>
      <c r="AE510" s="166">
        <v>25</v>
      </c>
      <c r="AF510" s="166">
        <v>6</v>
      </c>
      <c r="AG510" s="164">
        <f>($L510*'Pivot Objective'!$C$9^6)*AE510*AF510</f>
        <v>13039272.523233831</v>
      </c>
      <c r="AH510" s="140"/>
      <c r="AI510" s="140"/>
      <c r="AJ510" s="164">
        <f>($L510*'Pivot Objective'!$C$9^7)*AH510*AI510</f>
        <v>0</v>
      </c>
      <c r="AK510" s="185">
        <f t="shared" si="52"/>
        <v>31189246.073304463</v>
      </c>
      <c r="AL510" s="186">
        <f t="shared" si="53"/>
        <v>30280.821430392683</v>
      </c>
    </row>
    <row r="511" spans="1:38" customFormat="1" ht="57.6" x14ac:dyDescent="0.3">
      <c r="A511" s="140" t="s">
        <v>1441</v>
      </c>
      <c r="B511" s="140">
        <v>1</v>
      </c>
      <c r="C511" s="166" t="s">
        <v>836</v>
      </c>
      <c r="D511" s="140" t="str">
        <f t="shared" si="55"/>
        <v>2</v>
      </c>
      <c r="E511" s="166" t="s">
        <v>992</v>
      </c>
      <c r="F511" s="140">
        <f t="shared" si="57"/>
        <v>3</v>
      </c>
      <c r="G511" s="140" t="str">
        <f t="shared" si="56"/>
        <v>1.2.3</v>
      </c>
      <c r="H511" s="166" t="s">
        <v>1011</v>
      </c>
      <c r="I511" s="166" t="s">
        <v>1038</v>
      </c>
      <c r="J511" s="166" t="s">
        <v>1045</v>
      </c>
      <c r="K511" s="166" t="s">
        <v>712</v>
      </c>
      <c r="L511" s="167">
        <f>1480/7</f>
        <v>211.42857142857142</v>
      </c>
      <c r="M511" s="166">
        <f>2*25*9</f>
        <v>450</v>
      </c>
      <c r="N511" s="166">
        <v>0</v>
      </c>
      <c r="O511" s="164">
        <f t="shared" si="51"/>
        <v>0</v>
      </c>
      <c r="P511" s="166">
        <v>0</v>
      </c>
      <c r="Q511" s="166">
        <v>0</v>
      </c>
      <c r="R511" s="164">
        <f>$L511*'Pivot Objective'!$C$9*P511*Q511</f>
        <v>0</v>
      </c>
      <c r="S511" s="166">
        <f>2*25*9</f>
        <v>450</v>
      </c>
      <c r="T511" s="166">
        <v>0</v>
      </c>
      <c r="U511" s="164">
        <f>($L511*'Pivot Objective'!$C$9^2)*S511*T511</f>
        <v>0</v>
      </c>
      <c r="V511" s="166">
        <v>0</v>
      </c>
      <c r="W511" s="166">
        <v>0</v>
      </c>
      <c r="X511" s="164">
        <f>($L511*'Pivot Objective'!$C$9^3)*V511*W511</f>
        <v>0</v>
      </c>
      <c r="Y511" s="166">
        <v>70</v>
      </c>
      <c r="Z511" s="166">
        <v>1</v>
      </c>
      <c r="AA511" s="164">
        <f>($L511*'Pivot Objective'!$C$9^4)*Y511*Z511</f>
        <v>25253.798612499395</v>
      </c>
      <c r="AB511" s="140"/>
      <c r="AC511" s="140"/>
      <c r="AD511" s="164">
        <f>($L511*'Pivot Objective'!$C$9^5)*AB511*AC511</f>
        <v>0</v>
      </c>
      <c r="AE511" s="166">
        <f>2*25*9</f>
        <v>450</v>
      </c>
      <c r="AF511" s="166">
        <v>0</v>
      </c>
      <c r="AG511" s="164">
        <f>($L511*'Pivot Objective'!$C$9^6)*AE511*AF511</f>
        <v>0</v>
      </c>
      <c r="AH511" s="140"/>
      <c r="AI511" s="140"/>
      <c r="AJ511" s="164">
        <f>($L511*'Pivot Objective'!$C$9^7)*AH511*AI511</f>
        <v>0</v>
      </c>
      <c r="AK511" s="185">
        <f t="shared" si="52"/>
        <v>25253.798612499395</v>
      </c>
      <c r="AL511" s="186">
        <f t="shared" si="53"/>
        <v>24.518251080096501</v>
      </c>
    </row>
    <row r="512" spans="1:38" customFormat="1" ht="57.6" x14ac:dyDescent="0.3">
      <c r="A512" s="140" t="s">
        <v>1441</v>
      </c>
      <c r="B512" s="140">
        <v>1</v>
      </c>
      <c r="C512" s="166" t="s">
        <v>836</v>
      </c>
      <c r="D512" s="140" t="str">
        <f t="shared" si="55"/>
        <v>2</v>
      </c>
      <c r="E512" s="166" t="s">
        <v>992</v>
      </c>
      <c r="F512" s="140">
        <f t="shared" si="57"/>
        <v>3</v>
      </c>
      <c r="G512" s="140" t="str">
        <f t="shared" si="56"/>
        <v>1.2.3</v>
      </c>
      <c r="H512" s="166" t="s">
        <v>1011</v>
      </c>
      <c r="I512" s="166" t="s">
        <v>1038</v>
      </c>
      <c r="J512" s="166" t="s">
        <v>1045</v>
      </c>
      <c r="K512" s="166" t="s">
        <v>1299</v>
      </c>
      <c r="L512" s="167">
        <f>1480/7</f>
        <v>211.42857142857142</v>
      </c>
      <c r="M512" s="166">
        <f>2*135*9</f>
        <v>2430</v>
      </c>
      <c r="N512" s="166">
        <v>1</v>
      </c>
      <c r="O512" s="164">
        <f t="shared" si="51"/>
        <v>513771.42857142852</v>
      </c>
      <c r="P512" s="166"/>
      <c r="Q512" s="166"/>
      <c r="R512" s="164">
        <f>$L512*'Pivot Objective'!$C$9*P512*Q512</f>
        <v>0</v>
      </c>
      <c r="S512" s="166">
        <f>2*135*9</f>
        <v>2430</v>
      </c>
      <c r="T512" s="166">
        <v>1</v>
      </c>
      <c r="U512" s="164">
        <f>($L512*'Pivot Objective'!$C$9^2)*S512*T512</f>
        <v>671123.50217162515</v>
      </c>
      <c r="V512" s="166"/>
      <c r="W512" s="166"/>
      <c r="X512" s="164">
        <f>($L512*'Pivot Objective'!$C$9^3)*V512*W512</f>
        <v>0</v>
      </c>
      <c r="Y512" s="166"/>
      <c r="Z512" s="166"/>
      <c r="AA512" s="164">
        <f>($L512*'Pivot Objective'!$C$9^4)*Y512*Z512</f>
        <v>0</v>
      </c>
      <c r="AB512" s="140"/>
      <c r="AC512" s="140"/>
      <c r="AD512" s="164">
        <f>($L512*'Pivot Objective'!$C$9^5)*AB512*AC512</f>
        <v>0</v>
      </c>
      <c r="AE512" s="166">
        <f>2*135*9</f>
        <v>2430</v>
      </c>
      <c r="AF512" s="166">
        <v>1</v>
      </c>
      <c r="AG512" s="164">
        <f>($L512*'Pivot Objective'!$C$9^6)*AE512*AF512</f>
        <v>1145163.3626998325</v>
      </c>
      <c r="AH512" s="140"/>
      <c r="AI512" s="140"/>
      <c r="AJ512" s="164">
        <f>($L512*'Pivot Objective'!$C$9^7)*AH512*AI512</f>
        <v>0</v>
      </c>
      <c r="AK512" s="185">
        <f t="shared" si="52"/>
        <v>2330058.2934428863</v>
      </c>
      <c r="AL512" s="186">
        <f t="shared" si="53"/>
        <v>2262.1925179057148</v>
      </c>
    </row>
    <row r="513" spans="1:38" customFormat="1" ht="57.6" x14ac:dyDescent="0.3">
      <c r="A513" s="140" t="s">
        <v>1441</v>
      </c>
      <c r="B513" s="140">
        <v>1</v>
      </c>
      <c r="C513" s="166" t="s">
        <v>836</v>
      </c>
      <c r="D513" s="140" t="str">
        <f t="shared" si="55"/>
        <v>2</v>
      </c>
      <c r="E513" s="166" t="s">
        <v>992</v>
      </c>
      <c r="F513" s="140">
        <f t="shared" si="57"/>
        <v>4</v>
      </c>
      <c r="G513" s="140" t="str">
        <f t="shared" si="56"/>
        <v>1.2.4</v>
      </c>
      <c r="H513" s="166" t="s">
        <v>1046</v>
      </c>
      <c r="I513" s="166" t="s">
        <v>1047</v>
      </c>
      <c r="J513" s="166" t="s">
        <v>1048</v>
      </c>
      <c r="K513" s="166" t="s">
        <v>841</v>
      </c>
      <c r="L513" s="167">
        <v>0</v>
      </c>
      <c r="M513" s="166">
        <v>0</v>
      </c>
      <c r="N513" s="166">
        <v>0</v>
      </c>
      <c r="O513" s="164">
        <f t="shared" si="51"/>
        <v>0</v>
      </c>
      <c r="P513" s="166">
        <v>0</v>
      </c>
      <c r="Q513" s="166">
        <v>0</v>
      </c>
      <c r="R513" s="164">
        <f>$L513*'Pivot Objective'!$C$9*P513*Q513</f>
        <v>0</v>
      </c>
      <c r="S513" s="166">
        <v>0</v>
      </c>
      <c r="T513" s="166">
        <v>0</v>
      </c>
      <c r="U513" s="164">
        <f>($L513*'Pivot Objective'!$C$9^2)*S513*T513</f>
        <v>0</v>
      </c>
      <c r="V513" s="166">
        <v>0</v>
      </c>
      <c r="W513" s="166">
        <v>0</v>
      </c>
      <c r="X513" s="164">
        <f>($L513*'Pivot Objective'!$C$9^3)*V513*W513</f>
        <v>0</v>
      </c>
      <c r="Y513" s="166">
        <v>20000</v>
      </c>
      <c r="Z513" s="166">
        <v>1</v>
      </c>
      <c r="AA513" s="164">
        <f>($L513*'Pivot Objective'!$C$9^4)*Y513*Z513</f>
        <v>0</v>
      </c>
      <c r="AB513" s="140"/>
      <c r="AC513" s="140"/>
      <c r="AD513" s="164">
        <f>($L513*'Pivot Objective'!$C$9^5)*AB513*AC513</f>
        <v>0</v>
      </c>
      <c r="AE513" s="140"/>
      <c r="AF513" s="140"/>
      <c r="AG513" s="164">
        <f>($L513*'Pivot Objective'!$C$9^6)*AE513*AF513</f>
        <v>0</v>
      </c>
      <c r="AH513" s="166">
        <v>0</v>
      </c>
      <c r="AI513" s="166">
        <v>0</v>
      </c>
      <c r="AJ513" s="164">
        <f>($L513*'Pivot Objective'!$C$9^7)*AH513*AI513</f>
        <v>0</v>
      </c>
      <c r="AK513" s="185">
        <f t="shared" si="52"/>
        <v>0</v>
      </c>
      <c r="AL513" s="186">
        <f t="shared" si="53"/>
        <v>0</v>
      </c>
    </row>
    <row r="514" spans="1:38" customFormat="1" ht="57.6" x14ac:dyDescent="0.3">
      <c r="A514" s="140" t="s">
        <v>1441</v>
      </c>
      <c r="B514" s="140">
        <v>1</v>
      </c>
      <c r="C514" s="166" t="s">
        <v>836</v>
      </c>
      <c r="D514" s="140" t="str">
        <f t="shared" si="55"/>
        <v>2</v>
      </c>
      <c r="E514" s="166" t="s">
        <v>992</v>
      </c>
      <c r="F514" s="140">
        <f t="shared" si="57"/>
        <v>4</v>
      </c>
      <c r="G514" s="140" t="str">
        <f t="shared" si="56"/>
        <v>1.2.4</v>
      </c>
      <c r="H514" s="166" t="s">
        <v>1046</v>
      </c>
      <c r="I514" s="166" t="s">
        <v>1047</v>
      </c>
      <c r="J514" s="166" t="s">
        <v>1024</v>
      </c>
      <c r="K514" s="166" t="s">
        <v>841</v>
      </c>
      <c r="L514" s="167">
        <v>0</v>
      </c>
      <c r="M514" s="166">
        <v>0</v>
      </c>
      <c r="N514" s="166">
        <v>0</v>
      </c>
      <c r="O514" s="164">
        <f t="shared" si="51"/>
        <v>0</v>
      </c>
      <c r="P514" s="166">
        <v>0</v>
      </c>
      <c r="Q514" s="166">
        <v>0</v>
      </c>
      <c r="R514" s="164">
        <f>$L514*'Pivot Objective'!$C$9*P514*Q514</f>
        <v>0</v>
      </c>
      <c r="S514" s="166">
        <v>0</v>
      </c>
      <c r="T514" s="166">
        <v>0</v>
      </c>
      <c r="U514" s="164">
        <f>($L514*'Pivot Objective'!$C$9^2)*S514*T514</f>
        <v>0</v>
      </c>
      <c r="V514" s="166">
        <v>0</v>
      </c>
      <c r="W514" s="166">
        <v>0</v>
      </c>
      <c r="X514" s="164">
        <f>($L514*'Pivot Objective'!$C$9^3)*V514*W514</f>
        <v>0</v>
      </c>
      <c r="Y514" s="166">
        <v>0</v>
      </c>
      <c r="Z514" s="166">
        <v>0</v>
      </c>
      <c r="AA514" s="164">
        <f>($L514*'Pivot Objective'!$C$9^4)*Y514*Z514</f>
        <v>0</v>
      </c>
      <c r="AB514" s="140"/>
      <c r="AC514" s="140"/>
      <c r="AD514" s="164">
        <f>($L514*'Pivot Objective'!$C$9^5)*AB514*AC514</f>
        <v>0</v>
      </c>
      <c r="AE514" s="140"/>
      <c r="AF514" s="140"/>
      <c r="AG514" s="164">
        <f>($L514*'Pivot Objective'!$C$9^6)*AE514*AF514</f>
        <v>0</v>
      </c>
      <c r="AH514" s="166">
        <v>0</v>
      </c>
      <c r="AI514" s="166">
        <v>0</v>
      </c>
      <c r="AJ514" s="164">
        <f>($L514*'Pivot Objective'!$C$9^7)*AH514*AI514</f>
        <v>0</v>
      </c>
      <c r="AK514" s="185">
        <f t="shared" si="52"/>
        <v>0</v>
      </c>
      <c r="AL514" s="186">
        <f t="shared" si="53"/>
        <v>0</v>
      </c>
    </row>
    <row r="515" spans="1:38" customFormat="1" ht="57.6" x14ac:dyDescent="0.3">
      <c r="A515" s="140" t="s">
        <v>1441</v>
      </c>
      <c r="B515" s="140">
        <v>1</v>
      </c>
      <c r="C515" s="166" t="s">
        <v>836</v>
      </c>
      <c r="D515" s="140" t="str">
        <f t="shared" si="55"/>
        <v>2</v>
      </c>
      <c r="E515" s="166" t="s">
        <v>992</v>
      </c>
      <c r="F515" s="140">
        <f t="shared" si="57"/>
        <v>4</v>
      </c>
      <c r="G515" s="140" t="str">
        <f t="shared" si="56"/>
        <v>1.2.4</v>
      </c>
      <c r="H515" s="166" t="s">
        <v>1046</v>
      </c>
      <c r="I515" s="166" t="s">
        <v>1047</v>
      </c>
      <c r="J515" s="166" t="s">
        <v>1049</v>
      </c>
      <c r="K515" s="166" t="s">
        <v>841</v>
      </c>
      <c r="L515" s="167">
        <v>0</v>
      </c>
      <c r="M515" s="166">
        <v>0</v>
      </c>
      <c r="N515" s="166">
        <v>0</v>
      </c>
      <c r="O515" s="164">
        <f t="shared" ref="O515:O578" si="58">$L515*M515*N515</f>
        <v>0</v>
      </c>
      <c r="P515" s="166">
        <v>0</v>
      </c>
      <c r="Q515" s="166">
        <v>0</v>
      </c>
      <c r="R515" s="164">
        <f>$L515*'Pivot Objective'!$C$9*P515*Q515</f>
        <v>0</v>
      </c>
      <c r="S515" s="166">
        <v>0</v>
      </c>
      <c r="T515" s="166">
        <v>0</v>
      </c>
      <c r="U515" s="164">
        <f>($L515*'Pivot Objective'!$C$9^2)*S515*T515</f>
        <v>0</v>
      </c>
      <c r="V515" s="166">
        <v>0</v>
      </c>
      <c r="W515" s="166">
        <v>0</v>
      </c>
      <c r="X515" s="164">
        <f>($L515*'Pivot Objective'!$C$9^3)*V515*W515</f>
        <v>0</v>
      </c>
      <c r="Y515" s="166">
        <v>0</v>
      </c>
      <c r="Z515" s="166">
        <v>0</v>
      </c>
      <c r="AA515" s="164">
        <f>($L515*'Pivot Objective'!$C$9^4)*Y515*Z515</f>
        <v>0</v>
      </c>
      <c r="AB515" s="140"/>
      <c r="AC515" s="140"/>
      <c r="AD515" s="164">
        <f>($L515*'Pivot Objective'!$C$9^5)*AB515*AC515</f>
        <v>0</v>
      </c>
      <c r="AE515" s="140"/>
      <c r="AF515" s="140"/>
      <c r="AG515" s="164">
        <f>($L515*'Pivot Objective'!$C$9^6)*AE515*AF515</f>
        <v>0</v>
      </c>
      <c r="AH515" s="166">
        <v>0</v>
      </c>
      <c r="AI515" s="166">
        <v>0</v>
      </c>
      <c r="AJ515" s="164">
        <f>($L515*'Pivot Objective'!$C$9^7)*AH515*AI515</f>
        <v>0</v>
      </c>
      <c r="AK515" s="185">
        <f t="shared" ref="AK515:AK578" si="59">O515+R515+U515+X515+AA515+AD515+AG515+AJ515</f>
        <v>0</v>
      </c>
      <c r="AL515" s="186">
        <f t="shared" ref="AL515:AL578" si="60">AK515/$AP$2</f>
        <v>0</v>
      </c>
    </row>
    <row r="516" spans="1:38" customFormat="1" ht="57.6" x14ac:dyDescent="0.3">
      <c r="A516" s="140" t="s">
        <v>1441</v>
      </c>
      <c r="B516" s="140">
        <v>1</v>
      </c>
      <c r="C516" s="166" t="s">
        <v>836</v>
      </c>
      <c r="D516" s="140" t="str">
        <f t="shared" si="55"/>
        <v>2</v>
      </c>
      <c r="E516" s="166" t="s">
        <v>992</v>
      </c>
      <c r="F516" s="140">
        <f t="shared" si="57"/>
        <v>4</v>
      </c>
      <c r="G516" s="140" t="str">
        <f t="shared" si="56"/>
        <v>1.2.4</v>
      </c>
      <c r="H516" s="166" t="s">
        <v>1046</v>
      </c>
      <c r="I516" s="166" t="s">
        <v>1047</v>
      </c>
      <c r="J516" s="166" t="s">
        <v>149</v>
      </c>
      <c r="K516" s="166" t="s">
        <v>707</v>
      </c>
      <c r="L516" s="167">
        <v>391991.03749999998</v>
      </c>
      <c r="M516" s="166">
        <v>2</v>
      </c>
      <c r="N516" s="166">
        <v>2</v>
      </c>
      <c r="O516" s="164">
        <f t="shared" si="58"/>
        <v>1567964.15</v>
      </c>
      <c r="P516" s="166">
        <v>5</v>
      </c>
      <c r="Q516" s="166">
        <v>5</v>
      </c>
      <c r="R516" s="164">
        <f>$L516*'Pivot Objective'!$C$9*P516*Q516</f>
        <v>11200370.664841702</v>
      </c>
      <c r="S516" s="166">
        <v>0</v>
      </c>
      <c r="T516" s="166">
        <v>0</v>
      </c>
      <c r="U516" s="164">
        <f>($L516*'Pivot Objective'!$C$9^2)*S516*T516</f>
        <v>0</v>
      </c>
      <c r="V516" s="166">
        <v>2</v>
      </c>
      <c r="W516" s="166">
        <v>2</v>
      </c>
      <c r="X516" s="164">
        <f>($L516*'Pivot Objective'!$C$9^3)*V516*W516</f>
        <v>2340910.8621271173</v>
      </c>
      <c r="Y516" s="166">
        <v>0</v>
      </c>
      <c r="Z516" s="166">
        <v>0</v>
      </c>
      <c r="AA516" s="164">
        <f>($L516*'Pivot Objective'!$C$9^4)*Y516*Z516</f>
        <v>0</v>
      </c>
      <c r="AB516" s="140"/>
      <c r="AC516" s="140"/>
      <c r="AD516" s="164">
        <f>($L516*'Pivot Objective'!$C$9^5)*AB516*AC516</f>
        <v>0</v>
      </c>
      <c r="AE516" s="140"/>
      <c r="AF516" s="140"/>
      <c r="AG516" s="164">
        <f>($L516*'Pivot Objective'!$C$9^6)*AE516*AF516</f>
        <v>0</v>
      </c>
      <c r="AH516" s="166">
        <v>2</v>
      </c>
      <c r="AI516" s="166">
        <v>2</v>
      </c>
      <c r="AJ516" s="164">
        <f>($L516*'Pivot Objective'!$C$9^7)*AH516*AI516</f>
        <v>3994384.5595926056</v>
      </c>
      <c r="AK516" s="185">
        <f t="shared" si="59"/>
        <v>19103630.236561425</v>
      </c>
      <c r="AL516" s="186">
        <f t="shared" si="60"/>
        <v>18547.213821904297</v>
      </c>
    </row>
    <row r="517" spans="1:38" customFormat="1" ht="57.6" x14ac:dyDescent="0.3">
      <c r="A517" s="140" t="s">
        <v>1441</v>
      </c>
      <c r="B517" s="140">
        <v>1</v>
      </c>
      <c r="C517" s="166" t="s">
        <v>836</v>
      </c>
      <c r="D517" s="140" t="str">
        <f t="shared" si="55"/>
        <v>2</v>
      </c>
      <c r="E517" s="166" t="s">
        <v>992</v>
      </c>
      <c r="F517" s="140">
        <f t="shared" si="57"/>
        <v>4</v>
      </c>
      <c r="G517" s="140" t="str">
        <f t="shared" si="56"/>
        <v>1.2.4</v>
      </c>
      <c r="H517" s="166" t="s">
        <v>1046</v>
      </c>
      <c r="I517" s="166" t="s">
        <v>1047</v>
      </c>
      <c r="J517" s="166" t="s">
        <v>149</v>
      </c>
      <c r="K517" s="166" t="s">
        <v>708</v>
      </c>
      <c r="L517" s="167">
        <f>980*1022</f>
        <v>1001560</v>
      </c>
      <c r="M517" s="166">
        <v>1</v>
      </c>
      <c r="N517" s="166">
        <v>25</v>
      </c>
      <c r="O517" s="164">
        <f t="shared" si="58"/>
        <v>25039000</v>
      </c>
      <c r="P517" s="166">
        <v>1</v>
      </c>
      <c r="Q517" s="166">
        <v>4</v>
      </c>
      <c r="R517" s="164">
        <f>$L517*'Pivot Objective'!$C$9*P517*Q517</f>
        <v>4578816.2156452797</v>
      </c>
      <c r="S517" s="166">
        <v>0</v>
      </c>
      <c r="T517" s="166">
        <v>0</v>
      </c>
      <c r="U517" s="164">
        <f>($L517*'Pivot Objective'!$C$9^2)*S517*T517</f>
        <v>0</v>
      </c>
      <c r="V517" s="166">
        <v>1</v>
      </c>
      <c r="W517" s="166">
        <v>25</v>
      </c>
      <c r="X517" s="164">
        <f>($L517*'Pivot Objective'!$C$9^3)*V517*W517</f>
        <v>37382275.020000227</v>
      </c>
      <c r="Y517" s="166">
        <v>0</v>
      </c>
      <c r="Z517" s="166">
        <v>0</v>
      </c>
      <c r="AA517" s="164">
        <f>($L517*'Pivot Objective'!$C$9^4)*Y517*Z517</f>
        <v>0</v>
      </c>
      <c r="AB517" s="140"/>
      <c r="AC517" s="140"/>
      <c r="AD517" s="164">
        <f>($L517*'Pivot Objective'!$C$9^5)*AB517*AC517</f>
        <v>0</v>
      </c>
      <c r="AE517" s="140"/>
      <c r="AF517" s="140"/>
      <c r="AG517" s="164">
        <f>($L517*'Pivot Objective'!$C$9^6)*AE517*AF517</f>
        <v>0</v>
      </c>
      <c r="AH517" s="166">
        <v>1</v>
      </c>
      <c r="AI517" s="166">
        <v>25</v>
      </c>
      <c r="AJ517" s="164">
        <f>($L517*'Pivot Objective'!$C$9^7)*AH517*AI517</f>
        <v>63786786.826496802</v>
      </c>
      <c r="AK517" s="185">
        <f t="shared" si="59"/>
        <v>130786878.06214231</v>
      </c>
      <c r="AL517" s="186">
        <f t="shared" si="60"/>
        <v>126977.55151664303</v>
      </c>
    </row>
    <row r="518" spans="1:38" customFormat="1" ht="57.6" x14ac:dyDescent="0.3">
      <c r="A518" s="140" t="s">
        <v>1441</v>
      </c>
      <c r="B518" s="140">
        <v>1</v>
      </c>
      <c r="C518" s="166" t="s">
        <v>836</v>
      </c>
      <c r="D518" s="140" t="str">
        <f t="shared" si="55"/>
        <v>2</v>
      </c>
      <c r="E518" s="166" t="s">
        <v>992</v>
      </c>
      <c r="F518" s="140">
        <f t="shared" si="57"/>
        <v>4</v>
      </c>
      <c r="G518" s="140" t="str">
        <f t="shared" si="56"/>
        <v>1.2.4</v>
      </c>
      <c r="H518" s="166" t="s">
        <v>1046</v>
      </c>
      <c r="I518" s="166" t="s">
        <v>1047</v>
      </c>
      <c r="J518" s="166" t="s">
        <v>895</v>
      </c>
      <c r="K518" s="166" t="s">
        <v>841</v>
      </c>
      <c r="L518" s="167">
        <v>0</v>
      </c>
      <c r="M518" s="166">
        <v>0</v>
      </c>
      <c r="N518" s="166">
        <v>0</v>
      </c>
      <c r="O518" s="164">
        <f t="shared" si="58"/>
        <v>0</v>
      </c>
      <c r="P518" s="166">
        <v>1</v>
      </c>
      <c r="Q518" s="166">
        <v>30</v>
      </c>
      <c r="R518" s="164">
        <f>$L518*'Pivot Objective'!$C$9*P518*Q518</f>
        <v>0</v>
      </c>
      <c r="S518" s="166">
        <v>0</v>
      </c>
      <c r="T518" s="166">
        <v>0</v>
      </c>
      <c r="U518" s="164">
        <f>($L518*'Pivot Objective'!$C$9^2)*S518*T518</f>
        <v>0</v>
      </c>
      <c r="V518" s="166">
        <v>0</v>
      </c>
      <c r="W518" s="166">
        <v>0</v>
      </c>
      <c r="X518" s="164">
        <f>($L518*'Pivot Objective'!$C$9^3)*V518*W518</f>
        <v>0</v>
      </c>
      <c r="Y518" s="166">
        <v>0</v>
      </c>
      <c r="Z518" s="166">
        <v>0</v>
      </c>
      <c r="AA518" s="164">
        <f>($L518*'Pivot Objective'!$C$9^4)*Y518*Z518</f>
        <v>0</v>
      </c>
      <c r="AB518" s="140"/>
      <c r="AC518" s="140"/>
      <c r="AD518" s="164">
        <f>($L518*'Pivot Objective'!$C$9^5)*AB518*AC518</f>
        <v>0</v>
      </c>
      <c r="AE518" s="140"/>
      <c r="AF518" s="140"/>
      <c r="AG518" s="164">
        <f>($L518*'Pivot Objective'!$C$9^6)*AE518*AF518</f>
        <v>0</v>
      </c>
      <c r="AH518" s="166">
        <v>0</v>
      </c>
      <c r="AI518" s="166">
        <v>0</v>
      </c>
      <c r="AJ518" s="164">
        <f>($L518*'Pivot Objective'!$C$9^7)*AH518*AI518</f>
        <v>0</v>
      </c>
      <c r="AK518" s="185">
        <f t="shared" si="59"/>
        <v>0</v>
      </c>
      <c r="AL518" s="186">
        <f t="shared" si="60"/>
        <v>0</v>
      </c>
    </row>
    <row r="519" spans="1:38" customFormat="1" ht="57.6" x14ac:dyDescent="0.3">
      <c r="A519" s="140" t="s">
        <v>1441</v>
      </c>
      <c r="B519" s="140">
        <v>1</v>
      </c>
      <c r="C519" s="166" t="s">
        <v>836</v>
      </c>
      <c r="D519" s="140" t="str">
        <f t="shared" si="55"/>
        <v>2</v>
      </c>
      <c r="E519" s="166" t="s">
        <v>992</v>
      </c>
      <c r="F519" s="140">
        <f t="shared" si="57"/>
        <v>4</v>
      </c>
      <c r="G519" s="140" t="str">
        <f t="shared" si="56"/>
        <v>1.2.4</v>
      </c>
      <c r="H519" s="166" t="s">
        <v>1046</v>
      </c>
      <c r="I519" s="166" t="s">
        <v>1047</v>
      </c>
      <c r="J519" s="166" t="s">
        <v>912</v>
      </c>
      <c r="K519" s="166" t="s">
        <v>841</v>
      </c>
      <c r="L519" s="167">
        <v>0</v>
      </c>
      <c r="M519" s="166">
        <v>0</v>
      </c>
      <c r="N519" s="166">
        <v>0</v>
      </c>
      <c r="O519" s="164">
        <f t="shared" si="58"/>
        <v>0</v>
      </c>
      <c r="P519" s="166">
        <v>5</v>
      </c>
      <c r="Q519" s="166">
        <v>5</v>
      </c>
      <c r="R519" s="164">
        <f>$L519*'Pivot Objective'!$C$9*P519*Q519</f>
        <v>0</v>
      </c>
      <c r="S519" s="166">
        <v>0</v>
      </c>
      <c r="T519" s="166">
        <v>0</v>
      </c>
      <c r="U519" s="164">
        <f>($L519*'Pivot Objective'!$C$9^2)*S519*T519</f>
        <v>0</v>
      </c>
      <c r="V519" s="166">
        <v>0</v>
      </c>
      <c r="W519" s="166">
        <v>0</v>
      </c>
      <c r="X519" s="164">
        <f>($L519*'Pivot Objective'!$C$9^3)*V519*W519</f>
        <v>0</v>
      </c>
      <c r="Y519" s="166">
        <v>0</v>
      </c>
      <c r="Z519" s="166">
        <v>0</v>
      </c>
      <c r="AA519" s="164">
        <f>($L519*'Pivot Objective'!$C$9^4)*Y519*Z519</f>
        <v>0</v>
      </c>
      <c r="AB519" s="140"/>
      <c r="AC519" s="140"/>
      <c r="AD519" s="164">
        <f>($L519*'Pivot Objective'!$C$9^5)*AB519*AC519</f>
        <v>0</v>
      </c>
      <c r="AE519" s="140"/>
      <c r="AF519" s="140"/>
      <c r="AG519" s="164">
        <f>($L519*'Pivot Objective'!$C$9^6)*AE519*AF519</f>
        <v>0</v>
      </c>
      <c r="AH519" s="166">
        <v>0</v>
      </c>
      <c r="AI519" s="166">
        <v>0</v>
      </c>
      <c r="AJ519" s="164">
        <f>($L519*'Pivot Objective'!$C$9^7)*AH519*AI519</f>
        <v>0</v>
      </c>
      <c r="AK519" s="185">
        <f t="shared" si="59"/>
        <v>0</v>
      </c>
      <c r="AL519" s="186">
        <f t="shared" si="60"/>
        <v>0</v>
      </c>
    </row>
    <row r="520" spans="1:38" customFormat="1" ht="57.6" x14ac:dyDescent="0.3">
      <c r="A520" s="140" t="s">
        <v>1441</v>
      </c>
      <c r="B520" s="140">
        <v>1</v>
      </c>
      <c r="C520" s="166" t="s">
        <v>836</v>
      </c>
      <c r="D520" s="140" t="str">
        <f t="shared" si="55"/>
        <v>2</v>
      </c>
      <c r="E520" s="166" t="s">
        <v>992</v>
      </c>
      <c r="F520" s="140">
        <f t="shared" si="57"/>
        <v>4</v>
      </c>
      <c r="G520" s="140" t="str">
        <f t="shared" si="56"/>
        <v>1.2.4</v>
      </c>
      <c r="H520" s="166" t="s">
        <v>1046</v>
      </c>
      <c r="I520" s="166" t="s">
        <v>1047</v>
      </c>
      <c r="J520" s="166" t="s">
        <v>1026</v>
      </c>
      <c r="K520" s="166" t="s">
        <v>709</v>
      </c>
      <c r="L520" s="167">
        <v>35000</v>
      </c>
      <c r="M520" s="166">
        <v>25</v>
      </c>
      <c r="N520" s="166">
        <v>5</v>
      </c>
      <c r="O520" s="164">
        <f t="shared" si="58"/>
        <v>4375000</v>
      </c>
      <c r="P520" s="166">
        <v>10</v>
      </c>
      <c r="Q520" s="166">
        <v>1</v>
      </c>
      <c r="R520" s="164">
        <f>$L520*'Pivot Objective'!$C$9*P520*Q520</f>
        <v>400022.38394999993</v>
      </c>
      <c r="S520" s="166">
        <v>0</v>
      </c>
      <c r="T520" s="166">
        <v>0</v>
      </c>
      <c r="U520" s="164">
        <f>($L520*'Pivot Objective'!$C$9^2)*S520*T520</f>
        <v>0</v>
      </c>
      <c r="V520" s="166">
        <v>25</v>
      </c>
      <c r="W520" s="166">
        <v>5</v>
      </c>
      <c r="X520" s="164">
        <f>($L520*'Pivot Objective'!$C$9^3)*V520*W520</f>
        <v>6531708.6629857821</v>
      </c>
      <c r="Y520" s="166">
        <v>0</v>
      </c>
      <c r="Z520" s="166">
        <v>0</v>
      </c>
      <c r="AA520" s="164">
        <f>($L520*'Pivot Objective'!$C$9^4)*Y520*Z520</f>
        <v>0</v>
      </c>
      <c r="AB520" s="140"/>
      <c r="AC520" s="140"/>
      <c r="AD520" s="164">
        <f>($L520*'Pivot Objective'!$C$9^5)*AB520*AC520</f>
        <v>0</v>
      </c>
      <c r="AE520" s="140"/>
      <c r="AF520" s="140"/>
      <c r="AG520" s="164">
        <f>($L520*'Pivot Objective'!$C$9^6)*AE520*AF520</f>
        <v>0</v>
      </c>
      <c r="AH520" s="166">
        <v>25</v>
      </c>
      <c r="AI520" s="166">
        <v>5</v>
      </c>
      <c r="AJ520" s="164">
        <f>($L520*'Pivot Objective'!$C$9^7)*AH520*AI520</f>
        <v>11145301.025037881</v>
      </c>
      <c r="AK520" s="185">
        <f t="shared" si="59"/>
        <v>22452032.071973663</v>
      </c>
      <c r="AL520" s="186">
        <f t="shared" si="60"/>
        <v>21798.089390265694</v>
      </c>
    </row>
    <row r="521" spans="1:38" customFormat="1" ht="57.6" x14ac:dyDescent="0.3">
      <c r="A521" s="140" t="s">
        <v>1441</v>
      </c>
      <c r="B521" s="140">
        <v>1</v>
      </c>
      <c r="C521" s="166" t="s">
        <v>836</v>
      </c>
      <c r="D521" s="140" t="str">
        <f t="shared" si="55"/>
        <v>2</v>
      </c>
      <c r="E521" s="166" t="s">
        <v>992</v>
      </c>
      <c r="F521" s="140">
        <f t="shared" si="57"/>
        <v>4</v>
      </c>
      <c r="G521" s="140" t="str">
        <f t="shared" si="56"/>
        <v>1.2.4</v>
      </c>
      <c r="H521" s="166" t="s">
        <v>1046</v>
      </c>
      <c r="I521" s="166" t="s">
        <v>1047</v>
      </c>
      <c r="J521" s="166" t="s">
        <v>1026</v>
      </c>
      <c r="K521" s="166" t="s">
        <v>716</v>
      </c>
      <c r="L521" s="167">
        <v>39000</v>
      </c>
      <c r="M521" s="166">
        <v>25</v>
      </c>
      <c r="N521" s="166">
        <v>6</v>
      </c>
      <c r="O521" s="164">
        <f t="shared" si="58"/>
        <v>5850000</v>
      </c>
      <c r="P521" s="166"/>
      <c r="Q521" s="166"/>
      <c r="R521" s="164">
        <f>$L521*'Pivot Objective'!$C$9*P521*Q521</f>
        <v>0</v>
      </c>
      <c r="S521" s="166"/>
      <c r="T521" s="166"/>
      <c r="U521" s="164">
        <f>($L521*'Pivot Objective'!$C$9^2)*S521*T521</f>
        <v>0</v>
      </c>
      <c r="V521" s="166">
        <v>25</v>
      </c>
      <c r="W521" s="166">
        <v>6</v>
      </c>
      <c r="X521" s="164">
        <f>($L521*'Pivot Objective'!$C$9^3)*V521*W521</f>
        <v>8733827.5836495608</v>
      </c>
      <c r="Y521" s="166"/>
      <c r="Z521" s="166"/>
      <c r="AA521" s="164">
        <f>($L521*'Pivot Objective'!$C$9^4)*Y521*Z521</f>
        <v>0</v>
      </c>
      <c r="AB521" s="140"/>
      <c r="AC521" s="140"/>
      <c r="AD521" s="164">
        <f>($L521*'Pivot Objective'!$C$9^5)*AB521*AC521</f>
        <v>0</v>
      </c>
      <c r="AE521" s="140"/>
      <c r="AF521" s="140"/>
      <c r="AG521" s="164">
        <f>($L521*'Pivot Objective'!$C$9^6)*AE521*AF521</f>
        <v>0</v>
      </c>
      <c r="AH521" s="166">
        <v>25</v>
      </c>
      <c r="AI521" s="166">
        <v>6</v>
      </c>
      <c r="AJ521" s="164">
        <f>($L521*'Pivot Objective'!$C$9^7)*AH521*AI521</f>
        <v>14902859.656336365</v>
      </c>
      <c r="AK521" s="185">
        <f t="shared" si="59"/>
        <v>29486687.239985928</v>
      </c>
      <c r="AL521" s="186">
        <f t="shared" si="60"/>
        <v>28627.851689306724</v>
      </c>
    </row>
    <row r="522" spans="1:38" customFormat="1" ht="57.6" x14ac:dyDescent="0.3">
      <c r="A522" s="140" t="s">
        <v>1441</v>
      </c>
      <c r="B522" s="140">
        <v>1</v>
      </c>
      <c r="C522" s="166" t="s">
        <v>836</v>
      </c>
      <c r="D522" s="140" t="str">
        <f t="shared" si="55"/>
        <v>2</v>
      </c>
      <c r="E522" s="166" t="s">
        <v>992</v>
      </c>
      <c r="F522" s="140">
        <f t="shared" si="57"/>
        <v>4</v>
      </c>
      <c r="G522" s="140" t="str">
        <f t="shared" si="56"/>
        <v>1.2.4</v>
      </c>
      <c r="H522" s="166" t="s">
        <v>1046</v>
      </c>
      <c r="I522" s="166" t="s">
        <v>1047</v>
      </c>
      <c r="J522" s="166" t="s">
        <v>1026</v>
      </c>
      <c r="K522" s="166" t="s">
        <v>1366</v>
      </c>
      <c r="L522" s="167">
        <f>1480/7</f>
        <v>211.42857142857142</v>
      </c>
      <c r="M522" s="166">
        <f>2*25*9</f>
        <v>450</v>
      </c>
      <c r="N522" s="166">
        <v>5</v>
      </c>
      <c r="O522" s="164">
        <f t="shared" si="58"/>
        <v>475714.28571428568</v>
      </c>
      <c r="P522" s="166"/>
      <c r="Q522" s="166"/>
      <c r="R522" s="164">
        <f>$L522*'Pivot Objective'!$C$9*P522*Q522</f>
        <v>0</v>
      </c>
      <c r="S522" s="166"/>
      <c r="T522" s="166"/>
      <c r="U522" s="164">
        <f>($L522*'Pivot Objective'!$C$9^2)*S522*T522</f>
        <v>0</v>
      </c>
      <c r="V522" s="166">
        <f>2*25*9</f>
        <v>450</v>
      </c>
      <c r="W522" s="166">
        <v>5</v>
      </c>
      <c r="X522" s="164">
        <f>($L522*'Pivot Objective'!$C$9^3)*V522*W522</f>
        <v>710223.34196710703</v>
      </c>
      <c r="Y522" s="166"/>
      <c r="Z522" s="166"/>
      <c r="AA522" s="164">
        <f>($L522*'Pivot Objective'!$C$9^4)*Y522*Z522</f>
        <v>0</v>
      </c>
      <c r="AB522" s="140"/>
      <c r="AC522" s="140"/>
      <c r="AD522" s="164">
        <f>($L522*'Pivot Objective'!$C$9^5)*AB522*AC522</f>
        <v>0</v>
      </c>
      <c r="AE522" s="140"/>
      <c r="AF522" s="140"/>
      <c r="AG522" s="164">
        <f>($L522*'Pivot Objective'!$C$9^6)*AE522*AF522</f>
        <v>0</v>
      </c>
      <c r="AH522" s="166">
        <f>2*25*9</f>
        <v>450</v>
      </c>
      <c r="AI522" s="166">
        <v>5</v>
      </c>
      <c r="AJ522" s="164">
        <f>($L522*'Pivot Objective'!$C$9^7)*AH522*AI522</f>
        <v>1211880.8951306494</v>
      </c>
      <c r="AK522" s="185">
        <f t="shared" si="59"/>
        <v>2397818.5228120424</v>
      </c>
      <c r="AL522" s="186">
        <f t="shared" si="60"/>
        <v>2327.9791483612062</v>
      </c>
    </row>
    <row r="523" spans="1:38" customFormat="1" ht="57.6" x14ac:dyDescent="0.3">
      <c r="A523" s="140" t="s">
        <v>1441</v>
      </c>
      <c r="B523" s="140">
        <v>1</v>
      </c>
      <c r="C523" s="166" t="s">
        <v>836</v>
      </c>
      <c r="D523" s="140" t="str">
        <f t="shared" si="55"/>
        <v>2</v>
      </c>
      <c r="E523" s="166" t="s">
        <v>992</v>
      </c>
      <c r="F523" s="140">
        <f t="shared" si="57"/>
        <v>4</v>
      </c>
      <c r="G523" s="140" t="str">
        <f t="shared" si="56"/>
        <v>1.2.4</v>
      </c>
      <c r="H523" s="166" t="s">
        <v>1046</v>
      </c>
      <c r="I523" s="166" t="s">
        <v>1047</v>
      </c>
      <c r="J523" s="166" t="s">
        <v>1026</v>
      </c>
      <c r="K523" s="166" t="s">
        <v>1299</v>
      </c>
      <c r="L523" s="167">
        <f>1480/7</f>
        <v>211.42857142857142</v>
      </c>
      <c r="M523" s="166">
        <f>2*135*9</f>
        <v>2430</v>
      </c>
      <c r="N523" s="166">
        <v>1</v>
      </c>
      <c r="O523" s="164">
        <f t="shared" si="58"/>
        <v>513771.42857142852</v>
      </c>
      <c r="P523" s="166"/>
      <c r="Q523" s="166"/>
      <c r="R523" s="164">
        <f>$L523*'Pivot Objective'!$C$9*P523*Q523</f>
        <v>0</v>
      </c>
      <c r="S523" s="166"/>
      <c r="T523" s="166"/>
      <c r="U523" s="164">
        <f>($L523*'Pivot Objective'!$C$9^2)*S523*T523</f>
        <v>0</v>
      </c>
      <c r="V523" s="166">
        <f>2*135*9</f>
        <v>2430</v>
      </c>
      <c r="W523" s="166">
        <v>1</v>
      </c>
      <c r="X523" s="164">
        <f>($L523*'Pivot Objective'!$C$9^3)*V523*W523</f>
        <v>767041.20932447549</v>
      </c>
      <c r="Y523" s="166"/>
      <c r="Z523" s="166"/>
      <c r="AA523" s="164">
        <f>($L523*'Pivot Objective'!$C$9^4)*Y523*Z523</f>
        <v>0</v>
      </c>
      <c r="AB523" s="140"/>
      <c r="AC523" s="140"/>
      <c r="AD523" s="164">
        <f>($L523*'Pivot Objective'!$C$9^5)*AB523*AC523</f>
        <v>0</v>
      </c>
      <c r="AE523" s="140"/>
      <c r="AF523" s="140"/>
      <c r="AG523" s="164">
        <f>($L523*'Pivot Objective'!$C$9^6)*AE523*AF523</f>
        <v>0</v>
      </c>
      <c r="AH523" s="166">
        <f>2*135*9</f>
        <v>2430</v>
      </c>
      <c r="AI523" s="166">
        <v>1</v>
      </c>
      <c r="AJ523" s="164">
        <f>($L523*'Pivot Objective'!$C$9^7)*AH523*AI523</f>
        <v>1308831.3667411015</v>
      </c>
      <c r="AK523" s="185">
        <f t="shared" si="59"/>
        <v>2589644.0046370057</v>
      </c>
      <c r="AL523" s="186">
        <f t="shared" si="60"/>
        <v>2514.2174802301029</v>
      </c>
    </row>
    <row r="524" spans="1:38" customFormat="1" ht="57.6" x14ac:dyDescent="0.3">
      <c r="A524" s="140" t="s">
        <v>1441</v>
      </c>
      <c r="B524" s="140">
        <v>1</v>
      </c>
      <c r="C524" s="166" t="s">
        <v>836</v>
      </c>
      <c r="D524" s="140" t="str">
        <f t="shared" si="55"/>
        <v>2</v>
      </c>
      <c r="E524" s="166" t="s">
        <v>992</v>
      </c>
      <c r="F524" s="140">
        <f t="shared" si="57"/>
        <v>4</v>
      </c>
      <c r="G524" s="140" t="str">
        <f t="shared" si="56"/>
        <v>1.2.4</v>
      </c>
      <c r="H524" s="166" t="s">
        <v>1046</v>
      </c>
      <c r="I524" s="166" t="s">
        <v>1047</v>
      </c>
      <c r="J524" s="166" t="s">
        <v>1026</v>
      </c>
      <c r="K524" s="166" t="s">
        <v>1297</v>
      </c>
      <c r="L524" s="167">
        <v>8000</v>
      </c>
      <c r="M524" s="166">
        <v>10</v>
      </c>
      <c r="N524" s="166">
        <v>1</v>
      </c>
      <c r="O524" s="164">
        <f t="shared" si="58"/>
        <v>80000</v>
      </c>
      <c r="P524" s="166">
        <v>25</v>
      </c>
      <c r="Q524" s="166">
        <v>3</v>
      </c>
      <c r="R524" s="164">
        <f>$L524*'Pivot Objective'!$C$9*P524*Q524</f>
        <v>685752.65819999995</v>
      </c>
      <c r="S524" s="166">
        <v>0</v>
      </c>
      <c r="T524" s="166">
        <v>0</v>
      </c>
      <c r="U524" s="164">
        <f>($L524*'Pivot Objective'!$C$9^2)*S524*T524</f>
        <v>0</v>
      </c>
      <c r="V524" s="166">
        <v>10</v>
      </c>
      <c r="W524" s="166">
        <v>1</v>
      </c>
      <c r="X524" s="164">
        <f>($L524*'Pivot Objective'!$C$9^3)*V524*W524</f>
        <v>119436.95840888287</v>
      </c>
      <c r="Y524" s="166">
        <v>0</v>
      </c>
      <c r="Z524" s="166">
        <v>0</v>
      </c>
      <c r="AA524" s="164">
        <f>($L524*'Pivot Objective'!$C$9^4)*Y524*Z524</f>
        <v>0</v>
      </c>
      <c r="AB524" s="140"/>
      <c r="AC524" s="140"/>
      <c r="AD524" s="164">
        <f>($L524*'Pivot Objective'!$C$9^5)*AB524*AC524</f>
        <v>0</v>
      </c>
      <c r="AE524" s="140"/>
      <c r="AF524" s="140"/>
      <c r="AG524" s="164">
        <f>($L524*'Pivot Objective'!$C$9^6)*AE524*AF524</f>
        <v>0</v>
      </c>
      <c r="AH524" s="166">
        <v>10</v>
      </c>
      <c r="AI524" s="166">
        <v>1</v>
      </c>
      <c r="AJ524" s="164">
        <f>($L524*'Pivot Objective'!$C$9^7)*AH524*AI524</f>
        <v>203799.79017212125</v>
      </c>
      <c r="AK524" s="185">
        <f t="shared" si="59"/>
        <v>1088989.406781004</v>
      </c>
      <c r="AL524" s="186">
        <f t="shared" si="60"/>
        <v>1057.2712687194214</v>
      </c>
    </row>
    <row r="525" spans="1:38" customFormat="1" ht="57.6" x14ac:dyDescent="0.3">
      <c r="A525" s="140" t="s">
        <v>1441</v>
      </c>
      <c r="B525" s="140">
        <v>1</v>
      </c>
      <c r="C525" s="166" t="s">
        <v>836</v>
      </c>
      <c r="D525" s="140" t="str">
        <f t="shared" si="55"/>
        <v>2</v>
      </c>
      <c r="E525" s="166" t="s">
        <v>992</v>
      </c>
      <c r="F525" s="140">
        <f t="shared" si="57"/>
        <v>4</v>
      </c>
      <c r="G525" s="140" t="str">
        <f t="shared" si="56"/>
        <v>1.2.4</v>
      </c>
      <c r="H525" s="166" t="s">
        <v>1046</v>
      </c>
      <c r="I525" s="166" t="s">
        <v>1047</v>
      </c>
      <c r="J525" s="166" t="s">
        <v>1026</v>
      </c>
      <c r="K525" s="166" t="s">
        <v>710</v>
      </c>
      <c r="L525" s="167">
        <v>104850</v>
      </c>
      <c r="M525" s="166">
        <v>1</v>
      </c>
      <c r="N525" s="166">
        <v>1</v>
      </c>
      <c r="O525" s="164">
        <f t="shared" si="58"/>
        <v>104850</v>
      </c>
      <c r="P525" s="166">
        <v>5000</v>
      </c>
      <c r="Q525" s="166">
        <v>1</v>
      </c>
      <c r="R525" s="164">
        <f>$L525*'Pivot Objective'!$C$9*P525*Q525</f>
        <v>599176385.10224986</v>
      </c>
      <c r="S525" s="166">
        <v>0</v>
      </c>
      <c r="T525" s="166">
        <v>0</v>
      </c>
      <c r="U525" s="164">
        <f>($L525*'Pivot Objective'!$C$9^2)*S525*T525</f>
        <v>0</v>
      </c>
      <c r="V525" s="166">
        <v>1</v>
      </c>
      <c r="W525" s="166">
        <v>1</v>
      </c>
      <c r="X525" s="164">
        <f>($L525*'Pivot Objective'!$C$9^3)*V525*W525</f>
        <v>156537.0636146421</v>
      </c>
      <c r="Y525" s="166">
        <v>0</v>
      </c>
      <c r="Z525" s="166">
        <v>0</v>
      </c>
      <c r="AA525" s="164">
        <f>($L525*'Pivot Objective'!$C$9^4)*Y525*Z525</f>
        <v>0</v>
      </c>
      <c r="AB525" s="140"/>
      <c r="AC525" s="140"/>
      <c r="AD525" s="164">
        <f>($L525*'Pivot Objective'!$C$9^5)*AB525*AC525</f>
        <v>0</v>
      </c>
      <c r="AE525" s="140"/>
      <c r="AF525" s="140"/>
      <c r="AG525" s="164">
        <f>($L525*'Pivot Objective'!$C$9^6)*AE525*AF525</f>
        <v>0</v>
      </c>
      <c r="AH525" s="166">
        <v>1</v>
      </c>
      <c r="AI525" s="166">
        <v>1</v>
      </c>
      <c r="AJ525" s="164">
        <f>($L525*'Pivot Objective'!$C$9^7)*AH525*AI525</f>
        <v>267105.09999433643</v>
      </c>
      <c r="AK525" s="185">
        <f t="shared" si="59"/>
        <v>599704877.26585877</v>
      </c>
      <c r="AL525" s="186">
        <f t="shared" si="60"/>
        <v>582237.7449183095</v>
      </c>
    </row>
    <row r="526" spans="1:38" customFormat="1" ht="57.6" x14ac:dyDescent="0.3">
      <c r="A526" s="140" t="s">
        <v>1441</v>
      </c>
      <c r="B526" s="140">
        <v>1</v>
      </c>
      <c r="C526" s="166" t="s">
        <v>836</v>
      </c>
      <c r="D526" s="140" t="str">
        <f t="shared" si="55"/>
        <v>2</v>
      </c>
      <c r="E526" s="166" t="s">
        <v>992</v>
      </c>
      <c r="F526" s="140">
        <f t="shared" si="57"/>
        <v>4</v>
      </c>
      <c r="G526" s="140" t="str">
        <f t="shared" si="56"/>
        <v>1.2.4</v>
      </c>
      <c r="H526" s="166" t="s">
        <v>1046</v>
      </c>
      <c r="I526" s="166" t="s">
        <v>1047</v>
      </c>
      <c r="J526" s="166" t="s">
        <v>163</v>
      </c>
      <c r="K526" s="166" t="s">
        <v>713</v>
      </c>
      <c r="L526" s="167">
        <v>45000</v>
      </c>
      <c r="M526" s="166">
        <v>25</v>
      </c>
      <c r="N526" s="166">
        <v>1</v>
      </c>
      <c r="O526" s="164">
        <f t="shared" si="58"/>
        <v>1125000</v>
      </c>
      <c r="P526" s="166">
        <v>1</v>
      </c>
      <c r="Q526" s="166">
        <v>1</v>
      </c>
      <c r="R526" s="164">
        <f>$L526*'Pivot Objective'!$C$9*P526*Q526</f>
        <v>51431.449364999993</v>
      </c>
      <c r="S526" s="166">
        <v>0</v>
      </c>
      <c r="T526" s="166">
        <v>0</v>
      </c>
      <c r="U526" s="164">
        <f>($L526*'Pivot Objective'!$C$9^2)*S526*T526</f>
        <v>0</v>
      </c>
      <c r="V526" s="166">
        <v>25</v>
      </c>
      <c r="W526" s="166">
        <v>1</v>
      </c>
      <c r="X526" s="164">
        <f>($L526*'Pivot Objective'!$C$9^3)*V526*W526</f>
        <v>1679582.2276249153</v>
      </c>
      <c r="Y526" s="166">
        <v>0</v>
      </c>
      <c r="Z526" s="166">
        <v>0</v>
      </c>
      <c r="AA526" s="164">
        <f>($L526*'Pivot Objective'!$C$9^4)*Y526*Z526</f>
        <v>0</v>
      </c>
      <c r="AB526" s="140"/>
      <c r="AC526" s="140"/>
      <c r="AD526" s="164">
        <f>($L526*'Pivot Objective'!$C$9^5)*AB526*AC526</f>
        <v>0</v>
      </c>
      <c r="AE526" s="140"/>
      <c r="AF526" s="140"/>
      <c r="AG526" s="164">
        <f>($L526*'Pivot Objective'!$C$9^6)*AE526*AF526</f>
        <v>0</v>
      </c>
      <c r="AH526" s="166">
        <v>25</v>
      </c>
      <c r="AI526" s="166">
        <v>1</v>
      </c>
      <c r="AJ526" s="164">
        <f>($L526*'Pivot Objective'!$C$9^7)*AH526*AI526</f>
        <v>2865934.5492954552</v>
      </c>
      <c r="AK526" s="185">
        <f t="shared" si="59"/>
        <v>5721948.2262853701</v>
      </c>
      <c r="AL526" s="186">
        <f t="shared" si="60"/>
        <v>5555.2895400828838</v>
      </c>
    </row>
    <row r="527" spans="1:38" customFormat="1" ht="57.6" x14ac:dyDescent="0.3">
      <c r="A527" s="140" t="s">
        <v>1441</v>
      </c>
      <c r="B527" s="140">
        <v>1</v>
      </c>
      <c r="C527" s="166" t="s">
        <v>836</v>
      </c>
      <c r="D527" s="140" t="str">
        <f t="shared" si="55"/>
        <v>2</v>
      </c>
      <c r="E527" s="166" t="s">
        <v>992</v>
      </c>
      <c r="F527" s="140">
        <f t="shared" ref="F527:F549" si="61">IF(H527=H526,F526,F526+1)</f>
        <v>4</v>
      </c>
      <c r="G527" s="140" t="str">
        <f t="shared" si="56"/>
        <v>1.2.4</v>
      </c>
      <c r="H527" s="166" t="s">
        <v>1046</v>
      </c>
      <c r="I527" s="166" t="s">
        <v>1047</v>
      </c>
      <c r="J527" s="166" t="s">
        <v>163</v>
      </c>
      <c r="K527" s="166" t="s">
        <v>712</v>
      </c>
      <c r="L527" s="167">
        <f>1480/7</f>
        <v>211.42857142857142</v>
      </c>
      <c r="M527" s="166">
        <v>25</v>
      </c>
      <c r="N527" s="166">
        <v>5</v>
      </c>
      <c r="O527" s="164">
        <f t="shared" si="58"/>
        <v>26428.571428571428</v>
      </c>
      <c r="P527" s="166">
        <v>25</v>
      </c>
      <c r="Q527" s="166">
        <v>1</v>
      </c>
      <c r="R527" s="164">
        <f>$L527*'Pivot Objective'!$C$9*P527*Q527</f>
        <v>6041.1543698571422</v>
      </c>
      <c r="S527" s="166">
        <v>0</v>
      </c>
      <c r="T527" s="166">
        <v>0</v>
      </c>
      <c r="U527" s="164">
        <f>($L527*'Pivot Objective'!$C$9^2)*S527*T527</f>
        <v>0</v>
      </c>
      <c r="V527" s="166">
        <v>25</v>
      </c>
      <c r="W527" s="166">
        <v>5</v>
      </c>
      <c r="X527" s="164">
        <f>($L527*'Pivot Objective'!$C$9^3)*V527*W527</f>
        <v>39456.852331505943</v>
      </c>
      <c r="Y527" s="166">
        <v>0</v>
      </c>
      <c r="Z527" s="166">
        <v>0</v>
      </c>
      <c r="AA527" s="164">
        <f>($L527*'Pivot Objective'!$C$9^4)*Y527*Z527</f>
        <v>0</v>
      </c>
      <c r="AB527" s="140"/>
      <c r="AC527" s="140"/>
      <c r="AD527" s="164">
        <f>($L527*'Pivot Objective'!$C$9^5)*AB527*AC527</f>
        <v>0</v>
      </c>
      <c r="AE527" s="140"/>
      <c r="AF527" s="140"/>
      <c r="AG527" s="164">
        <f>($L527*'Pivot Objective'!$C$9^6)*AE527*AF527</f>
        <v>0</v>
      </c>
      <c r="AH527" s="166">
        <v>25</v>
      </c>
      <c r="AI527" s="166">
        <v>5</v>
      </c>
      <c r="AJ527" s="164">
        <f>($L527*'Pivot Objective'!$C$9^7)*AH527*AI527</f>
        <v>67326.716396147196</v>
      </c>
      <c r="AK527" s="185">
        <f t="shared" si="59"/>
        <v>139253.29452608171</v>
      </c>
      <c r="AL527" s="186">
        <f t="shared" si="60"/>
        <v>135.19737332629293</v>
      </c>
    </row>
    <row r="528" spans="1:38" customFormat="1" ht="57.6" x14ac:dyDescent="0.3">
      <c r="A528" s="140" t="s">
        <v>1441</v>
      </c>
      <c r="B528" s="140">
        <v>1</v>
      </c>
      <c r="C528" s="166" t="s">
        <v>836</v>
      </c>
      <c r="D528" s="140" t="str">
        <f t="shared" si="55"/>
        <v>2</v>
      </c>
      <c r="E528" s="166" t="s">
        <v>992</v>
      </c>
      <c r="F528" s="140">
        <f t="shared" si="61"/>
        <v>4</v>
      </c>
      <c r="G528" s="140" t="str">
        <f t="shared" si="56"/>
        <v>1.2.4</v>
      </c>
      <c r="H528" s="166" t="s">
        <v>1046</v>
      </c>
      <c r="I528" s="166" t="s">
        <v>1047</v>
      </c>
      <c r="J528" s="166" t="s">
        <v>163</v>
      </c>
      <c r="K528" s="166" t="s">
        <v>1299</v>
      </c>
      <c r="L528" s="167">
        <f>1480/7</f>
        <v>211.42857142857142</v>
      </c>
      <c r="M528" s="166">
        <v>22500</v>
      </c>
      <c r="N528" s="166">
        <v>1</v>
      </c>
      <c r="O528" s="164">
        <f t="shared" si="58"/>
        <v>4757142.8571428573</v>
      </c>
      <c r="P528" s="166"/>
      <c r="Q528" s="166"/>
      <c r="R528" s="164">
        <f>$L528*'Pivot Objective'!$C$9*P528*Q528</f>
        <v>0</v>
      </c>
      <c r="S528" s="166"/>
      <c r="T528" s="166"/>
      <c r="U528" s="164">
        <f>($L528*'Pivot Objective'!$C$9^2)*S528*T528</f>
        <v>0</v>
      </c>
      <c r="V528" s="166">
        <v>22500</v>
      </c>
      <c r="W528" s="166">
        <v>1</v>
      </c>
      <c r="X528" s="164">
        <f>($L528*'Pivot Objective'!$C$9^3)*V528*W528</f>
        <v>7102233.4196710698</v>
      </c>
      <c r="Y528" s="166"/>
      <c r="Z528" s="166"/>
      <c r="AA528" s="164">
        <f>($L528*'Pivot Objective'!$C$9^4)*Y528*Z528</f>
        <v>0</v>
      </c>
      <c r="AB528" s="140"/>
      <c r="AC528" s="140"/>
      <c r="AD528" s="164">
        <f>($L528*'Pivot Objective'!$C$9^5)*AB528*AC528</f>
        <v>0</v>
      </c>
      <c r="AE528" s="140"/>
      <c r="AF528" s="140"/>
      <c r="AG528" s="164">
        <f>($L528*'Pivot Objective'!$C$9^6)*AE528*AF528</f>
        <v>0</v>
      </c>
      <c r="AH528" s="166">
        <v>22500</v>
      </c>
      <c r="AI528" s="166">
        <v>1</v>
      </c>
      <c r="AJ528" s="164">
        <f>($L528*'Pivot Objective'!$C$9^7)*AH528*AI528</f>
        <v>12118808.951306494</v>
      </c>
      <c r="AK528" s="185">
        <f t="shared" si="59"/>
        <v>23978185.228120424</v>
      </c>
      <c r="AL528" s="186">
        <f t="shared" si="60"/>
        <v>23279.791483612062</v>
      </c>
    </row>
    <row r="529" spans="1:38" customFormat="1" ht="57.6" x14ac:dyDescent="0.3">
      <c r="A529" s="140" t="s">
        <v>1441</v>
      </c>
      <c r="B529" s="140">
        <v>1</v>
      </c>
      <c r="C529" s="166" t="s">
        <v>836</v>
      </c>
      <c r="D529" s="140" t="str">
        <f t="shared" si="55"/>
        <v>2</v>
      </c>
      <c r="E529" s="166" t="s">
        <v>992</v>
      </c>
      <c r="F529" s="140">
        <f t="shared" si="61"/>
        <v>4</v>
      </c>
      <c r="G529" s="140" t="str">
        <f t="shared" si="56"/>
        <v>1.2.4</v>
      </c>
      <c r="H529" s="166" t="s">
        <v>1046</v>
      </c>
      <c r="I529" s="166" t="s">
        <v>1047</v>
      </c>
      <c r="J529" s="166" t="s">
        <v>1027</v>
      </c>
      <c r="K529" s="166" t="s">
        <v>841</v>
      </c>
      <c r="L529" s="167">
        <v>0</v>
      </c>
      <c r="M529" s="166">
        <v>0</v>
      </c>
      <c r="N529" s="166">
        <v>0</v>
      </c>
      <c r="O529" s="164">
        <f t="shared" si="58"/>
        <v>0</v>
      </c>
      <c r="P529" s="166">
        <v>4000</v>
      </c>
      <c r="Q529" s="166">
        <v>1</v>
      </c>
      <c r="R529" s="164">
        <f>$L529*'Pivot Objective'!$C$9*P529*Q529</f>
        <v>0</v>
      </c>
      <c r="S529" s="166">
        <v>0</v>
      </c>
      <c r="T529" s="166">
        <v>0</v>
      </c>
      <c r="U529" s="164">
        <f>($L529*'Pivot Objective'!$C$9^2)*S529*T529</f>
        <v>0</v>
      </c>
      <c r="V529" s="166">
        <v>0</v>
      </c>
      <c r="W529" s="166">
        <v>0</v>
      </c>
      <c r="X529" s="164">
        <f>($L529*'Pivot Objective'!$C$9^3)*V529*W529</f>
        <v>0</v>
      </c>
      <c r="Y529" s="166">
        <v>0</v>
      </c>
      <c r="Z529" s="166">
        <v>0</v>
      </c>
      <c r="AA529" s="164">
        <f>($L529*'Pivot Objective'!$C$9^4)*Y529*Z529</f>
        <v>0</v>
      </c>
      <c r="AB529" s="140"/>
      <c r="AC529" s="140"/>
      <c r="AD529" s="164">
        <f>($L529*'Pivot Objective'!$C$9^5)*AB529*AC529</f>
        <v>0</v>
      </c>
      <c r="AE529" s="140"/>
      <c r="AF529" s="140"/>
      <c r="AG529" s="164">
        <f>($L529*'Pivot Objective'!$C$9^6)*AE529*AF529</f>
        <v>0</v>
      </c>
      <c r="AH529" s="166">
        <v>0</v>
      </c>
      <c r="AI529" s="166">
        <v>0</v>
      </c>
      <c r="AJ529" s="164">
        <f>($L529*'Pivot Objective'!$C$9^7)*AH529*AI529</f>
        <v>0</v>
      </c>
      <c r="AK529" s="185">
        <f t="shared" si="59"/>
        <v>0</v>
      </c>
      <c r="AL529" s="186">
        <f t="shared" si="60"/>
        <v>0</v>
      </c>
    </row>
    <row r="530" spans="1:38" customFormat="1" ht="57.6" x14ac:dyDescent="0.3">
      <c r="A530" s="140" t="s">
        <v>1441</v>
      </c>
      <c r="B530" s="140">
        <v>1</v>
      </c>
      <c r="C530" s="166" t="s">
        <v>836</v>
      </c>
      <c r="D530" s="140" t="str">
        <f t="shared" si="55"/>
        <v>2</v>
      </c>
      <c r="E530" s="166" t="s">
        <v>992</v>
      </c>
      <c r="F530" s="140">
        <f t="shared" si="61"/>
        <v>4</v>
      </c>
      <c r="G530" s="140" t="str">
        <f t="shared" si="56"/>
        <v>1.2.4</v>
      </c>
      <c r="H530" s="166" t="s">
        <v>1046</v>
      </c>
      <c r="I530" s="166" t="s">
        <v>1047</v>
      </c>
      <c r="J530" s="166" t="s">
        <v>157</v>
      </c>
      <c r="K530" s="166" t="s">
        <v>713</v>
      </c>
      <c r="L530" s="167">
        <v>45000</v>
      </c>
      <c r="M530" s="166">
        <v>25</v>
      </c>
      <c r="N530" s="166">
        <v>5</v>
      </c>
      <c r="O530" s="164">
        <f t="shared" si="58"/>
        <v>5625000</v>
      </c>
      <c r="P530" s="166">
        <v>30</v>
      </c>
      <c r="Q530" s="166">
        <v>5</v>
      </c>
      <c r="R530" s="164">
        <f>$L530*'Pivot Objective'!$C$9*P530*Q530</f>
        <v>7714717.4047499988</v>
      </c>
      <c r="S530" s="166">
        <v>0</v>
      </c>
      <c r="T530" s="166">
        <v>0</v>
      </c>
      <c r="U530" s="164">
        <f>($L530*'Pivot Objective'!$C$9^2)*S530*T530</f>
        <v>0</v>
      </c>
      <c r="V530" s="166">
        <v>25</v>
      </c>
      <c r="W530" s="166">
        <v>5</v>
      </c>
      <c r="X530" s="164">
        <f>($L530*'Pivot Objective'!$C$9^3)*V530*W530</f>
        <v>8397911.1381245758</v>
      </c>
      <c r="Y530" s="166">
        <v>0</v>
      </c>
      <c r="Z530" s="166">
        <v>0</v>
      </c>
      <c r="AA530" s="164">
        <f>($L530*'Pivot Objective'!$C$9^4)*Y530*Z530</f>
        <v>0</v>
      </c>
      <c r="AB530" s="140"/>
      <c r="AC530" s="140"/>
      <c r="AD530" s="164">
        <f>($L530*'Pivot Objective'!$C$9^5)*AB530*AC530</f>
        <v>0</v>
      </c>
      <c r="AE530" s="140"/>
      <c r="AF530" s="140"/>
      <c r="AG530" s="164">
        <f>($L530*'Pivot Objective'!$C$9^6)*AE530*AF530</f>
        <v>0</v>
      </c>
      <c r="AH530" s="166">
        <v>25</v>
      </c>
      <c r="AI530" s="166">
        <v>5</v>
      </c>
      <c r="AJ530" s="164">
        <f>($L530*'Pivot Objective'!$C$9^7)*AH530*AI530</f>
        <v>14329672.746477276</v>
      </c>
      <c r="AK530" s="185">
        <f t="shared" si="59"/>
        <v>36067301.289351851</v>
      </c>
      <c r="AL530" s="186">
        <f t="shared" si="60"/>
        <v>35016.797368302767</v>
      </c>
    </row>
    <row r="531" spans="1:38" customFormat="1" ht="57.6" x14ac:dyDescent="0.3">
      <c r="A531" s="140" t="s">
        <v>1441</v>
      </c>
      <c r="B531" s="140">
        <v>1</v>
      </c>
      <c r="C531" s="166" t="s">
        <v>836</v>
      </c>
      <c r="D531" s="140" t="str">
        <f t="shared" si="55"/>
        <v>2</v>
      </c>
      <c r="E531" s="166" t="s">
        <v>992</v>
      </c>
      <c r="F531" s="140">
        <f t="shared" si="61"/>
        <v>4</v>
      </c>
      <c r="G531" s="140" t="str">
        <f t="shared" si="56"/>
        <v>1.2.4</v>
      </c>
      <c r="H531" s="166" t="s">
        <v>1046</v>
      </c>
      <c r="I531" s="166" t="s">
        <v>1047</v>
      </c>
      <c r="J531" s="166" t="s">
        <v>157</v>
      </c>
      <c r="K531" s="166" t="s">
        <v>712</v>
      </c>
      <c r="L531" s="167">
        <f>1480/7</f>
        <v>211.42857142857142</v>
      </c>
      <c r="M531" s="166">
        <v>25</v>
      </c>
      <c r="N531" s="166">
        <v>5</v>
      </c>
      <c r="O531" s="164">
        <f t="shared" si="58"/>
        <v>26428.571428571428</v>
      </c>
      <c r="P531" s="166">
        <v>25</v>
      </c>
      <c r="Q531" s="166">
        <v>10</v>
      </c>
      <c r="R531" s="164">
        <f>$L531*'Pivot Objective'!$C$9*P531*Q531</f>
        <v>60411.543698571419</v>
      </c>
      <c r="S531" s="166">
        <v>0</v>
      </c>
      <c r="T531" s="166">
        <v>0</v>
      </c>
      <c r="U531" s="164">
        <f>($L531*'Pivot Objective'!$C$9^2)*S531*T531</f>
        <v>0</v>
      </c>
      <c r="V531" s="166">
        <v>25</v>
      </c>
      <c r="W531" s="166">
        <v>5</v>
      </c>
      <c r="X531" s="164">
        <f>($L531*'Pivot Objective'!$C$9^3)*V531*W531</f>
        <v>39456.852331505943</v>
      </c>
      <c r="Y531" s="166">
        <v>0</v>
      </c>
      <c r="Z531" s="166">
        <v>0</v>
      </c>
      <c r="AA531" s="164">
        <f>($L531*'Pivot Objective'!$C$9^4)*Y531*Z531</f>
        <v>0</v>
      </c>
      <c r="AB531" s="140"/>
      <c r="AC531" s="140"/>
      <c r="AD531" s="164">
        <f>($L531*'Pivot Objective'!$C$9^5)*AB531*AC531</f>
        <v>0</v>
      </c>
      <c r="AE531" s="140"/>
      <c r="AF531" s="140"/>
      <c r="AG531" s="164">
        <f>($L531*'Pivot Objective'!$C$9^6)*AE531*AF531</f>
        <v>0</v>
      </c>
      <c r="AH531" s="166">
        <v>25</v>
      </c>
      <c r="AI531" s="166">
        <v>5</v>
      </c>
      <c r="AJ531" s="164">
        <f>($L531*'Pivot Objective'!$C$9^7)*AH531*AI531</f>
        <v>67326.716396147196</v>
      </c>
      <c r="AK531" s="185">
        <f t="shared" si="59"/>
        <v>193623.68385479599</v>
      </c>
      <c r="AL531" s="186">
        <f t="shared" si="60"/>
        <v>187.98415908232622</v>
      </c>
    </row>
    <row r="532" spans="1:38" customFormat="1" ht="57.6" x14ac:dyDescent="0.3">
      <c r="A532" s="140" t="s">
        <v>1441</v>
      </c>
      <c r="B532" s="140">
        <v>1</v>
      </c>
      <c r="C532" s="166" t="s">
        <v>836</v>
      </c>
      <c r="D532" s="140" t="str">
        <f t="shared" si="55"/>
        <v>2</v>
      </c>
      <c r="E532" s="166" t="s">
        <v>992</v>
      </c>
      <c r="F532" s="140">
        <f t="shared" si="61"/>
        <v>4</v>
      </c>
      <c r="G532" s="140" t="str">
        <f t="shared" si="56"/>
        <v>1.2.4</v>
      </c>
      <c r="H532" s="166" t="s">
        <v>1046</v>
      </c>
      <c r="I532" s="166" t="s">
        <v>1047</v>
      </c>
      <c r="J532" s="166" t="s">
        <v>157</v>
      </c>
      <c r="K532" s="166" t="s">
        <v>714</v>
      </c>
      <c r="L532" s="167">
        <v>10000</v>
      </c>
      <c r="M532" s="166">
        <v>15</v>
      </c>
      <c r="N532" s="166">
        <v>1</v>
      </c>
      <c r="O532" s="164">
        <f t="shared" si="58"/>
        <v>150000</v>
      </c>
      <c r="P532" s="166">
        <v>20000</v>
      </c>
      <c r="Q532" s="166">
        <v>1</v>
      </c>
      <c r="R532" s="164">
        <f>$L532*'Pivot Objective'!$C$9*P532*Q532</f>
        <v>228584219.39999998</v>
      </c>
      <c r="S532" s="166">
        <v>0</v>
      </c>
      <c r="T532" s="166">
        <v>0</v>
      </c>
      <c r="U532" s="164">
        <f>($L532*'Pivot Objective'!$C$9^2)*S532*T532</f>
        <v>0</v>
      </c>
      <c r="V532" s="166">
        <v>15</v>
      </c>
      <c r="W532" s="166">
        <v>1</v>
      </c>
      <c r="X532" s="164">
        <f>($L532*'Pivot Objective'!$C$9^3)*V532*W532</f>
        <v>223944.29701665539</v>
      </c>
      <c r="Y532" s="166">
        <v>0</v>
      </c>
      <c r="Z532" s="166">
        <v>0</v>
      </c>
      <c r="AA532" s="164">
        <f>($L532*'Pivot Objective'!$C$9^4)*Y532*Z532</f>
        <v>0</v>
      </c>
      <c r="AB532" s="140"/>
      <c r="AC532" s="140"/>
      <c r="AD532" s="164">
        <f>($L532*'Pivot Objective'!$C$9^5)*AB532*AC532</f>
        <v>0</v>
      </c>
      <c r="AE532" s="140"/>
      <c r="AF532" s="140"/>
      <c r="AG532" s="164">
        <f>($L532*'Pivot Objective'!$C$9^6)*AE532*AF532</f>
        <v>0</v>
      </c>
      <c r="AH532" s="166">
        <v>15</v>
      </c>
      <c r="AI532" s="166">
        <v>1</v>
      </c>
      <c r="AJ532" s="164">
        <f>($L532*'Pivot Objective'!$C$9^7)*AH532*AI532</f>
        <v>382124.60657272732</v>
      </c>
      <c r="AK532" s="185">
        <f t="shared" si="59"/>
        <v>229340288.30358934</v>
      </c>
      <c r="AL532" s="186">
        <f t="shared" si="60"/>
        <v>222660.47408115471</v>
      </c>
    </row>
    <row r="533" spans="1:38" customFormat="1" ht="57.6" x14ac:dyDescent="0.3">
      <c r="A533" s="140" t="s">
        <v>1441</v>
      </c>
      <c r="B533" s="140">
        <v>1</v>
      </c>
      <c r="C533" s="166" t="s">
        <v>836</v>
      </c>
      <c r="D533" s="140" t="str">
        <f t="shared" si="55"/>
        <v>2</v>
      </c>
      <c r="E533" s="166" t="s">
        <v>992</v>
      </c>
      <c r="F533" s="140">
        <f t="shared" si="61"/>
        <v>4</v>
      </c>
      <c r="G533" s="140" t="str">
        <f t="shared" si="56"/>
        <v>1.2.4</v>
      </c>
      <c r="H533" s="166" t="s">
        <v>1046</v>
      </c>
      <c r="I533" s="166" t="s">
        <v>1047</v>
      </c>
      <c r="J533" s="166" t="s">
        <v>157</v>
      </c>
      <c r="K533" s="166" t="s">
        <v>715</v>
      </c>
      <c r="L533" s="167">
        <v>302000</v>
      </c>
      <c r="M533" s="166">
        <v>15</v>
      </c>
      <c r="N533" s="166">
        <v>1</v>
      </c>
      <c r="O533" s="164">
        <f t="shared" si="58"/>
        <v>4530000</v>
      </c>
      <c r="P533" s="166">
        <v>15</v>
      </c>
      <c r="Q533" s="166">
        <v>1</v>
      </c>
      <c r="R533" s="164">
        <f>$L533*'Pivot Objective'!$C$9*P533*Q533</f>
        <v>5177432.5694099991</v>
      </c>
      <c r="S533" s="166">
        <v>0</v>
      </c>
      <c r="T533" s="166">
        <v>0</v>
      </c>
      <c r="U533" s="164">
        <f>($L533*'Pivot Objective'!$C$9^2)*S533*T533</f>
        <v>0</v>
      </c>
      <c r="V533" s="166">
        <v>15</v>
      </c>
      <c r="W533" s="166">
        <v>1</v>
      </c>
      <c r="X533" s="164">
        <f>($L533*'Pivot Objective'!$C$9^3)*V533*W533</f>
        <v>6763117.7699029921</v>
      </c>
      <c r="Y533" s="166">
        <v>0</v>
      </c>
      <c r="Z533" s="166">
        <v>0</v>
      </c>
      <c r="AA533" s="164">
        <f>($L533*'Pivot Objective'!$C$9^4)*Y533*Z533</f>
        <v>0</v>
      </c>
      <c r="AB533" s="140"/>
      <c r="AC533" s="140"/>
      <c r="AD533" s="164">
        <f>($L533*'Pivot Objective'!$C$9^5)*AB533*AC533</f>
        <v>0</v>
      </c>
      <c r="AE533" s="140"/>
      <c r="AF533" s="140"/>
      <c r="AG533" s="164">
        <f>($L533*'Pivot Objective'!$C$9^6)*AE533*AF533</f>
        <v>0</v>
      </c>
      <c r="AH533" s="166">
        <v>15</v>
      </c>
      <c r="AI533" s="166">
        <v>1</v>
      </c>
      <c r="AJ533" s="164">
        <f>($L533*'Pivot Objective'!$C$9^7)*AH533*AI533</f>
        <v>11540163.118496366</v>
      </c>
      <c r="AK533" s="185">
        <f t="shared" si="59"/>
        <v>28010713.457809359</v>
      </c>
      <c r="AL533" s="186">
        <f t="shared" si="60"/>
        <v>27194.867434766369</v>
      </c>
    </row>
    <row r="534" spans="1:38" customFormat="1" ht="57.6" x14ac:dyDescent="0.3">
      <c r="A534" s="140" t="s">
        <v>1441</v>
      </c>
      <c r="B534" s="140">
        <v>1</v>
      </c>
      <c r="C534" s="166" t="s">
        <v>836</v>
      </c>
      <c r="D534" s="140" t="str">
        <f t="shared" si="55"/>
        <v>2</v>
      </c>
      <c r="E534" s="166" t="s">
        <v>992</v>
      </c>
      <c r="F534" s="140">
        <f t="shared" si="61"/>
        <v>4</v>
      </c>
      <c r="G534" s="140" t="str">
        <f t="shared" si="56"/>
        <v>1.2.4</v>
      </c>
      <c r="H534" s="166" t="s">
        <v>1046</v>
      </c>
      <c r="I534" s="166" t="s">
        <v>1047</v>
      </c>
      <c r="J534" s="166" t="s">
        <v>1004</v>
      </c>
      <c r="K534" s="166" t="s">
        <v>709</v>
      </c>
      <c r="L534" s="167">
        <v>35000</v>
      </c>
      <c r="M534" s="166">
        <v>25</v>
      </c>
      <c r="N534" s="166">
        <v>5</v>
      </c>
      <c r="O534" s="164">
        <f t="shared" si="58"/>
        <v>4375000</v>
      </c>
      <c r="P534" s="166">
        <v>20</v>
      </c>
      <c r="Q534" s="166">
        <v>1</v>
      </c>
      <c r="R534" s="164">
        <f>$L534*'Pivot Objective'!$C$9*P534*Q534</f>
        <v>800044.76789999986</v>
      </c>
      <c r="S534" s="166">
        <v>0</v>
      </c>
      <c r="T534" s="166">
        <v>0</v>
      </c>
      <c r="U534" s="164">
        <f>($L534*'Pivot Objective'!$C$9^2)*S534*T534</f>
        <v>0</v>
      </c>
      <c r="V534" s="166">
        <v>25</v>
      </c>
      <c r="W534" s="166">
        <v>5</v>
      </c>
      <c r="X534" s="164">
        <f>($L534*'Pivot Objective'!$C$9^3)*V534*W534</f>
        <v>6531708.6629857821</v>
      </c>
      <c r="Y534" s="166">
        <v>0</v>
      </c>
      <c r="Z534" s="166">
        <v>0</v>
      </c>
      <c r="AA534" s="164">
        <f>($L534*'Pivot Objective'!$C$9^4)*Y534*Z534</f>
        <v>0</v>
      </c>
      <c r="AB534" s="140"/>
      <c r="AC534" s="140"/>
      <c r="AD534" s="164">
        <f>($L534*'Pivot Objective'!$C$9^5)*AB534*AC534</f>
        <v>0</v>
      </c>
      <c r="AE534" s="140"/>
      <c r="AF534" s="140"/>
      <c r="AG534" s="164">
        <f>($L534*'Pivot Objective'!$C$9^6)*AE534*AF534</f>
        <v>0</v>
      </c>
      <c r="AH534" s="166">
        <v>25</v>
      </c>
      <c r="AI534" s="166">
        <v>5</v>
      </c>
      <c r="AJ534" s="164">
        <f>($L534*'Pivot Objective'!$C$9^7)*AH534*AI534</f>
        <v>11145301.025037881</v>
      </c>
      <c r="AK534" s="185">
        <f t="shared" si="59"/>
        <v>22852054.455923662</v>
      </c>
      <c r="AL534" s="186">
        <f t="shared" si="60"/>
        <v>22186.460636819091</v>
      </c>
    </row>
    <row r="535" spans="1:38" customFormat="1" ht="57.6" x14ac:dyDescent="0.3">
      <c r="A535" s="140" t="s">
        <v>1441</v>
      </c>
      <c r="B535" s="140">
        <v>1</v>
      </c>
      <c r="C535" s="166" t="s">
        <v>836</v>
      </c>
      <c r="D535" s="140" t="str">
        <f t="shared" ref="D535:D598" si="62">RIGHT(A535,1)</f>
        <v>2</v>
      </c>
      <c r="E535" s="166" t="s">
        <v>992</v>
      </c>
      <c r="F535" s="140">
        <f t="shared" si="61"/>
        <v>4</v>
      </c>
      <c r="G535" s="140" t="str">
        <f t="shared" si="56"/>
        <v>1.2.4</v>
      </c>
      <c r="H535" s="166" t="s">
        <v>1046</v>
      </c>
      <c r="I535" s="166" t="s">
        <v>1047</v>
      </c>
      <c r="J535" s="166" t="s">
        <v>1004</v>
      </c>
      <c r="K535" s="166" t="s">
        <v>716</v>
      </c>
      <c r="L535" s="167">
        <v>39000</v>
      </c>
      <c r="M535" s="166">
        <v>25</v>
      </c>
      <c r="N535" s="166">
        <v>6</v>
      </c>
      <c r="O535" s="164">
        <f t="shared" si="58"/>
        <v>5850000</v>
      </c>
      <c r="P535" s="166">
        <v>25</v>
      </c>
      <c r="Q535" s="166">
        <v>5</v>
      </c>
      <c r="R535" s="164">
        <f>$L535*'Pivot Objective'!$C$9*P535*Q535</f>
        <v>5571740.347874999</v>
      </c>
      <c r="S535" s="166">
        <v>0</v>
      </c>
      <c r="T535" s="166">
        <v>0</v>
      </c>
      <c r="U535" s="164">
        <f>($L535*'Pivot Objective'!$C$9^2)*S535*T535</f>
        <v>0</v>
      </c>
      <c r="V535" s="166">
        <v>25</v>
      </c>
      <c r="W535" s="166">
        <v>6</v>
      </c>
      <c r="X535" s="164">
        <f>($L535*'Pivot Objective'!$C$9^3)*V535*W535</f>
        <v>8733827.5836495608</v>
      </c>
      <c r="Y535" s="166">
        <v>0</v>
      </c>
      <c r="Z535" s="166">
        <v>0</v>
      </c>
      <c r="AA535" s="164">
        <f>($L535*'Pivot Objective'!$C$9^4)*Y535*Z535</f>
        <v>0</v>
      </c>
      <c r="AB535" s="140"/>
      <c r="AC535" s="140"/>
      <c r="AD535" s="164">
        <f>($L535*'Pivot Objective'!$C$9^5)*AB535*AC535</f>
        <v>0</v>
      </c>
      <c r="AE535" s="140"/>
      <c r="AF535" s="140"/>
      <c r="AG535" s="164">
        <f>($L535*'Pivot Objective'!$C$9^6)*AE535*AF535</f>
        <v>0</v>
      </c>
      <c r="AH535" s="166">
        <v>25</v>
      </c>
      <c r="AI535" s="166">
        <v>6</v>
      </c>
      <c r="AJ535" s="164">
        <f>($L535*'Pivot Objective'!$C$9^7)*AH535*AI535</f>
        <v>14902859.656336365</v>
      </c>
      <c r="AK535" s="185">
        <f t="shared" si="59"/>
        <v>35058427.587860927</v>
      </c>
      <c r="AL535" s="186">
        <f t="shared" si="60"/>
        <v>34037.308337729053</v>
      </c>
    </row>
    <row r="536" spans="1:38" customFormat="1" ht="57.6" x14ac:dyDescent="0.3">
      <c r="A536" s="140" t="s">
        <v>1441</v>
      </c>
      <c r="B536" s="140">
        <v>1</v>
      </c>
      <c r="C536" s="166" t="s">
        <v>836</v>
      </c>
      <c r="D536" s="140" t="str">
        <f t="shared" si="62"/>
        <v>2</v>
      </c>
      <c r="E536" s="166" t="s">
        <v>992</v>
      </c>
      <c r="F536" s="140">
        <f t="shared" si="61"/>
        <v>4</v>
      </c>
      <c r="G536" s="140" t="str">
        <f t="shared" ref="G536:G599" si="63">B536&amp;"."&amp;D536&amp;"."&amp;F536</f>
        <v>1.2.4</v>
      </c>
      <c r="H536" s="166" t="s">
        <v>1046</v>
      </c>
      <c r="I536" s="166" t="s">
        <v>1047</v>
      </c>
      <c r="J536" s="166" t="s">
        <v>1004</v>
      </c>
      <c r="K536" s="166" t="s">
        <v>1299</v>
      </c>
      <c r="L536" s="167">
        <f>1480/7</f>
        <v>211.42857142857142</v>
      </c>
      <c r="M536" s="166">
        <f>2*135*9</f>
        <v>2430</v>
      </c>
      <c r="N536" s="166">
        <v>1</v>
      </c>
      <c r="O536" s="164">
        <f t="shared" si="58"/>
        <v>513771.42857142852</v>
      </c>
      <c r="P536" s="166"/>
      <c r="Q536" s="166"/>
      <c r="R536" s="164">
        <f>$L536*'Pivot Objective'!$C$9*P536*Q536</f>
        <v>0</v>
      </c>
      <c r="S536" s="166"/>
      <c r="T536" s="166"/>
      <c r="U536" s="164">
        <f>($L536*'Pivot Objective'!$C$9^2)*S536*T536</f>
        <v>0</v>
      </c>
      <c r="V536" s="166">
        <f>2*135*9</f>
        <v>2430</v>
      </c>
      <c r="W536" s="166">
        <v>1</v>
      </c>
      <c r="X536" s="164">
        <f>($L536*'Pivot Objective'!$C$9^3)*V536*W536</f>
        <v>767041.20932447549</v>
      </c>
      <c r="Y536" s="166"/>
      <c r="Z536" s="166"/>
      <c r="AA536" s="164">
        <f>($L536*'Pivot Objective'!$C$9^4)*Y536*Z536</f>
        <v>0</v>
      </c>
      <c r="AB536" s="140"/>
      <c r="AC536" s="140"/>
      <c r="AD536" s="164">
        <f>($L536*'Pivot Objective'!$C$9^5)*AB536*AC536</f>
        <v>0</v>
      </c>
      <c r="AE536" s="140"/>
      <c r="AF536" s="140"/>
      <c r="AG536" s="164">
        <f>($L536*'Pivot Objective'!$C$9^6)*AE536*AF536</f>
        <v>0</v>
      </c>
      <c r="AH536" s="166">
        <f>2*135*9</f>
        <v>2430</v>
      </c>
      <c r="AI536" s="166">
        <v>1</v>
      </c>
      <c r="AJ536" s="164">
        <f>($L536*'Pivot Objective'!$C$9^7)*AH536*AI536</f>
        <v>1308831.3667411015</v>
      </c>
      <c r="AK536" s="185">
        <f t="shared" si="59"/>
        <v>2589644.0046370057</v>
      </c>
      <c r="AL536" s="186">
        <f t="shared" si="60"/>
        <v>2514.2174802301029</v>
      </c>
    </row>
    <row r="537" spans="1:38" customFormat="1" ht="57.6" x14ac:dyDescent="0.3">
      <c r="A537" s="140" t="s">
        <v>1441</v>
      </c>
      <c r="B537" s="140">
        <v>1</v>
      </c>
      <c r="C537" s="166" t="s">
        <v>836</v>
      </c>
      <c r="D537" s="140" t="str">
        <f t="shared" si="62"/>
        <v>2</v>
      </c>
      <c r="E537" s="166" t="s">
        <v>992</v>
      </c>
      <c r="F537" s="140">
        <f t="shared" si="61"/>
        <v>4</v>
      </c>
      <c r="G537" s="140" t="str">
        <f t="shared" si="63"/>
        <v>1.2.4</v>
      </c>
      <c r="H537" s="166" t="s">
        <v>1046</v>
      </c>
      <c r="I537" s="166" t="s">
        <v>1047</v>
      </c>
      <c r="J537" s="166" t="s">
        <v>1004</v>
      </c>
      <c r="K537" s="166" t="s">
        <v>712</v>
      </c>
      <c r="L537" s="167">
        <f>1480/7</f>
        <v>211.42857142857142</v>
      </c>
      <c r="M537" s="166">
        <f>2*25*9</f>
        <v>450</v>
      </c>
      <c r="N537" s="166">
        <v>5</v>
      </c>
      <c r="O537" s="164">
        <f t="shared" si="58"/>
        <v>475714.28571428568</v>
      </c>
      <c r="P537" s="166">
        <v>25</v>
      </c>
      <c r="Q537" s="166">
        <v>5</v>
      </c>
      <c r="R537" s="164">
        <f>$L537*'Pivot Objective'!$C$9*P537*Q537</f>
        <v>30205.771849285709</v>
      </c>
      <c r="S537" s="166">
        <v>0</v>
      </c>
      <c r="T537" s="166">
        <v>0</v>
      </c>
      <c r="U537" s="164">
        <f>($L537*'Pivot Objective'!$C$9^2)*S537*T537</f>
        <v>0</v>
      </c>
      <c r="V537" s="166">
        <f>2*25*9</f>
        <v>450</v>
      </c>
      <c r="W537" s="166">
        <v>5</v>
      </c>
      <c r="X537" s="164">
        <f>($L537*'Pivot Objective'!$C$9^3)*V537*W537</f>
        <v>710223.34196710703</v>
      </c>
      <c r="Y537" s="166">
        <v>0</v>
      </c>
      <c r="Z537" s="166">
        <v>0</v>
      </c>
      <c r="AA537" s="164">
        <f>($L537*'Pivot Objective'!$C$9^4)*Y537*Z537</f>
        <v>0</v>
      </c>
      <c r="AB537" s="140"/>
      <c r="AC537" s="140"/>
      <c r="AD537" s="164">
        <f>($L537*'Pivot Objective'!$C$9^5)*AB537*AC537</f>
        <v>0</v>
      </c>
      <c r="AE537" s="140"/>
      <c r="AF537" s="140"/>
      <c r="AG537" s="164">
        <f>($L537*'Pivot Objective'!$C$9^6)*AE537*AF537</f>
        <v>0</v>
      </c>
      <c r="AH537" s="166">
        <f>2*25*9</f>
        <v>450</v>
      </c>
      <c r="AI537" s="166">
        <v>5</v>
      </c>
      <c r="AJ537" s="164">
        <f>($L537*'Pivot Objective'!$C$9^7)*AH537*AI537</f>
        <v>1211880.8951306494</v>
      </c>
      <c r="AK537" s="185">
        <f t="shared" si="59"/>
        <v>2428024.2946613282</v>
      </c>
      <c r="AL537" s="186">
        <f t="shared" si="60"/>
        <v>2357.3051404478915</v>
      </c>
    </row>
    <row r="538" spans="1:38" customFormat="1" ht="57.6" x14ac:dyDescent="0.3">
      <c r="A538" s="140" t="s">
        <v>1441</v>
      </c>
      <c r="B538" s="140">
        <v>1</v>
      </c>
      <c r="C538" s="166" t="s">
        <v>836</v>
      </c>
      <c r="D538" s="140" t="str">
        <f t="shared" si="62"/>
        <v>2</v>
      </c>
      <c r="E538" s="166" t="s">
        <v>992</v>
      </c>
      <c r="F538" s="140">
        <f t="shared" si="61"/>
        <v>4</v>
      </c>
      <c r="G538" s="140" t="str">
        <f t="shared" si="63"/>
        <v>1.2.4</v>
      </c>
      <c r="H538" s="166" t="s">
        <v>1046</v>
      </c>
      <c r="I538" s="166" t="s">
        <v>1047</v>
      </c>
      <c r="J538" s="166" t="s">
        <v>1028</v>
      </c>
      <c r="K538" s="166" t="s">
        <v>841</v>
      </c>
      <c r="L538" s="167">
        <v>0</v>
      </c>
      <c r="M538" s="166">
        <v>0</v>
      </c>
      <c r="N538" s="166">
        <v>0</v>
      </c>
      <c r="O538" s="164">
        <f t="shared" si="58"/>
        <v>0</v>
      </c>
      <c r="P538" s="166">
        <v>4000</v>
      </c>
      <c r="Q538" s="166">
        <v>1</v>
      </c>
      <c r="R538" s="164">
        <f>$L538*'Pivot Objective'!$C$9*P538*Q538</f>
        <v>0</v>
      </c>
      <c r="S538" s="166">
        <v>0</v>
      </c>
      <c r="T538" s="166">
        <v>0</v>
      </c>
      <c r="U538" s="164">
        <f>($L538*'Pivot Objective'!$C$9^2)*S538*T538</f>
        <v>0</v>
      </c>
      <c r="V538" s="166">
        <v>0</v>
      </c>
      <c r="W538" s="166">
        <v>0</v>
      </c>
      <c r="X538" s="164">
        <f>($L538*'Pivot Objective'!$C$9^3)*V538*W538</f>
        <v>0</v>
      </c>
      <c r="Y538" s="166">
        <v>0</v>
      </c>
      <c r="Z538" s="166">
        <v>0</v>
      </c>
      <c r="AA538" s="164">
        <f>($L538*'Pivot Objective'!$C$9^4)*Y538*Z538</f>
        <v>0</v>
      </c>
      <c r="AB538" s="140"/>
      <c r="AC538" s="140"/>
      <c r="AD538" s="164">
        <f>($L538*'Pivot Objective'!$C$9^5)*AB538*AC538</f>
        <v>0</v>
      </c>
      <c r="AE538" s="140"/>
      <c r="AF538" s="140"/>
      <c r="AG538" s="164">
        <f>($L538*'Pivot Objective'!$C$9^6)*AE538*AF538</f>
        <v>0</v>
      </c>
      <c r="AH538" s="166">
        <v>0</v>
      </c>
      <c r="AI538" s="166">
        <v>0</v>
      </c>
      <c r="AJ538" s="164">
        <f>($L538*'Pivot Objective'!$C$9^7)*AH538*AI538</f>
        <v>0</v>
      </c>
      <c r="AK538" s="185">
        <f t="shared" si="59"/>
        <v>0</v>
      </c>
      <c r="AL538" s="186">
        <f t="shared" si="60"/>
        <v>0</v>
      </c>
    </row>
    <row r="539" spans="1:38" customFormat="1" ht="57.6" x14ac:dyDescent="0.3">
      <c r="A539" s="140" t="s">
        <v>1441</v>
      </c>
      <c r="B539" s="140">
        <v>1</v>
      </c>
      <c r="C539" s="166" t="s">
        <v>836</v>
      </c>
      <c r="D539" s="140" t="str">
        <f t="shared" si="62"/>
        <v>2</v>
      </c>
      <c r="E539" s="166" t="s">
        <v>992</v>
      </c>
      <c r="F539" s="140">
        <f t="shared" si="61"/>
        <v>4</v>
      </c>
      <c r="G539" s="140" t="str">
        <f t="shared" si="63"/>
        <v>1.2.4</v>
      </c>
      <c r="H539" s="166" t="s">
        <v>1046</v>
      </c>
      <c r="I539" s="166" t="s">
        <v>1047</v>
      </c>
      <c r="J539" s="166" t="s">
        <v>168</v>
      </c>
      <c r="K539" s="166" t="s">
        <v>709</v>
      </c>
      <c r="L539" s="167">
        <v>35000</v>
      </c>
      <c r="M539" s="166">
        <v>100</v>
      </c>
      <c r="N539" s="166">
        <v>5</v>
      </c>
      <c r="O539" s="164">
        <f t="shared" si="58"/>
        <v>17500000</v>
      </c>
      <c r="P539" s="166">
        <v>25</v>
      </c>
      <c r="Q539" s="166">
        <v>5</v>
      </c>
      <c r="R539" s="164">
        <f>$L539*'Pivot Objective'!$C$9*P539*Q539</f>
        <v>5000279.7993749995</v>
      </c>
      <c r="S539" s="166">
        <v>0</v>
      </c>
      <c r="T539" s="166">
        <v>0</v>
      </c>
      <c r="U539" s="164">
        <f>($L539*'Pivot Objective'!$C$9^2)*S539*T539</f>
        <v>0</v>
      </c>
      <c r="V539" s="166">
        <v>100</v>
      </c>
      <c r="W539" s="166">
        <v>5</v>
      </c>
      <c r="X539" s="164">
        <f>($L539*'Pivot Objective'!$C$9^3)*V539*W539</f>
        <v>26126834.651943129</v>
      </c>
      <c r="Y539" s="166">
        <v>0</v>
      </c>
      <c r="Z539" s="166">
        <v>0</v>
      </c>
      <c r="AA539" s="164">
        <f>($L539*'Pivot Objective'!$C$9^4)*Y539*Z539</f>
        <v>0</v>
      </c>
      <c r="AB539" s="140"/>
      <c r="AC539" s="140"/>
      <c r="AD539" s="164">
        <f>($L539*'Pivot Objective'!$C$9^5)*AB539*AC539</f>
        <v>0</v>
      </c>
      <c r="AE539" s="140"/>
      <c r="AF539" s="140"/>
      <c r="AG539" s="164">
        <f>($L539*'Pivot Objective'!$C$9^6)*AE539*AF539</f>
        <v>0</v>
      </c>
      <c r="AH539" s="166">
        <v>100</v>
      </c>
      <c r="AI539" s="166">
        <v>5</v>
      </c>
      <c r="AJ539" s="164">
        <f>($L539*'Pivot Objective'!$C$9^7)*AH539*AI539</f>
        <v>44581204.100151524</v>
      </c>
      <c r="AK539" s="185">
        <f t="shared" si="59"/>
        <v>93208318.551469654</v>
      </c>
      <c r="AL539" s="186">
        <f t="shared" si="60"/>
        <v>90493.513156766654</v>
      </c>
    </row>
    <row r="540" spans="1:38" customFormat="1" ht="57.6" x14ac:dyDescent="0.3">
      <c r="A540" s="140" t="s">
        <v>1441</v>
      </c>
      <c r="B540" s="140">
        <v>1</v>
      </c>
      <c r="C540" s="166" t="s">
        <v>836</v>
      </c>
      <c r="D540" s="140" t="str">
        <f t="shared" si="62"/>
        <v>2</v>
      </c>
      <c r="E540" s="166" t="s">
        <v>992</v>
      </c>
      <c r="F540" s="140">
        <f t="shared" si="61"/>
        <v>4</v>
      </c>
      <c r="G540" s="140" t="str">
        <f t="shared" si="63"/>
        <v>1.2.4</v>
      </c>
      <c r="H540" s="166" t="s">
        <v>1046</v>
      </c>
      <c r="I540" s="166" t="s">
        <v>1047</v>
      </c>
      <c r="J540" s="166" t="s">
        <v>168</v>
      </c>
      <c r="K540" s="166" t="s">
        <v>716</v>
      </c>
      <c r="L540" s="167">
        <v>39000</v>
      </c>
      <c r="M540" s="166">
        <v>58</v>
      </c>
      <c r="N540" s="166">
        <v>5</v>
      </c>
      <c r="O540" s="164">
        <f t="shared" si="58"/>
        <v>11310000</v>
      </c>
      <c r="P540" s="166"/>
      <c r="Q540" s="166"/>
      <c r="R540" s="164">
        <f>$L540*'Pivot Objective'!$C$9*P540*Q540</f>
        <v>0</v>
      </c>
      <c r="S540" s="166"/>
      <c r="T540" s="166"/>
      <c r="U540" s="164">
        <f>($L540*'Pivot Objective'!$C$9^2)*S540*T540</f>
        <v>0</v>
      </c>
      <c r="V540" s="166">
        <v>58</v>
      </c>
      <c r="W540" s="166">
        <v>5</v>
      </c>
      <c r="X540" s="164">
        <f>($L540*'Pivot Objective'!$C$9^3)*V540*W540</f>
        <v>16885399.995055817</v>
      </c>
      <c r="Y540" s="166"/>
      <c r="Z540" s="166"/>
      <c r="AA540" s="164">
        <f>($L540*'Pivot Objective'!$C$9^4)*Y540*Z540</f>
        <v>0</v>
      </c>
      <c r="AB540" s="140"/>
      <c r="AC540" s="140"/>
      <c r="AD540" s="164">
        <f>($L540*'Pivot Objective'!$C$9^5)*AB540*AC540</f>
        <v>0</v>
      </c>
      <c r="AE540" s="140"/>
      <c r="AF540" s="140"/>
      <c r="AG540" s="164">
        <f>($L540*'Pivot Objective'!$C$9^6)*AE540*AF540</f>
        <v>0</v>
      </c>
      <c r="AH540" s="166">
        <v>58</v>
      </c>
      <c r="AI540" s="166">
        <v>5</v>
      </c>
      <c r="AJ540" s="164">
        <f>($L540*'Pivot Objective'!$C$9^7)*AH540*AI540</f>
        <v>28812195.335583642</v>
      </c>
      <c r="AK540" s="185">
        <f t="shared" si="59"/>
        <v>57007595.330639459</v>
      </c>
      <c r="AL540" s="186">
        <f t="shared" si="60"/>
        <v>55347.179932659667</v>
      </c>
    </row>
    <row r="541" spans="1:38" customFormat="1" ht="57.6" x14ac:dyDescent="0.3">
      <c r="A541" s="140" t="s">
        <v>1441</v>
      </c>
      <c r="B541" s="140">
        <v>1</v>
      </c>
      <c r="C541" s="166" t="s">
        <v>836</v>
      </c>
      <c r="D541" s="140" t="str">
        <f t="shared" si="62"/>
        <v>2</v>
      </c>
      <c r="E541" s="166" t="s">
        <v>992</v>
      </c>
      <c r="F541" s="140">
        <f t="shared" si="61"/>
        <v>4</v>
      </c>
      <c r="G541" s="140" t="str">
        <f t="shared" si="63"/>
        <v>1.2.4</v>
      </c>
      <c r="H541" s="166" t="s">
        <v>1046</v>
      </c>
      <c r="I541" s="166" t="s">
        <v>1047</v>
      </c>
      <c r="J541" s="166" t="s">
        <v>168</v>
      </c>
      <c r="K541" s="166" t="s">
        <v>1299</v>
      </c>
      <c r="L541" s="167">
        <f>1480/7</f>
        <v>211.42857142857142</v>
      </c>
      <c r="M541" s="166">
        <v>22500</v>
      </c>
      <c r="N541" s="166">
        <v>1</v>
      </c>
      <c r="O541" s="164">
        <f t="shared" si="58"/>
        <v>4757142.8571428573</v>
      </c>
      <c r="P541" s="166"/>
      <c r="Q541" s="166"/>
      <c r="R541" s="164">
        <f>$L541*'Pivot Objective'!$C$9*P541*Q541</f>
        <v>0</v>
      </c>
      <c r="S541" s="166"/>
      <c r="T541" s="166"/>
      <c r="U541" s="164">
        <f>($L541*'Pivot Objective'!$C$9^2)*S541*T541</f>
        <v>0</v>
      </c>
      <c r="V541" s="166">
        <v>22500</v>
      </c>
      <c r="W541" s="166">
        <v>1</v>
      </c>
      <c r="X541" s="164">
        <f>($L541*'Pivot Objective'!$C$9^3)*V541*W541</f>
        <v>7102233.4196710698</v>
      </c>
      <c r="Y541" s="166"/>
      <c r="Z541" s="166"/>
      <c r="AA541" s="164">
        <f>($L541*'Pivot Objective'!$C$9^4)*Y541*Z541</f>
        <v>0</v>
      </c>
      <c r="AB541" s="140"/>
      <c r="AC541" s="140"/>
      <c r="AD541" s="164">
        <f>($L541*'Pivot Objective'!$C$9^5)*AB541*AC541</f>
        <v>0</v>
      </c>
      <c r="AE541" s="140"/>
      <c r="AF541" s="140"/>
      <c r="AG541" s="164">
        <f>($L541*'Pivot Objective'!$C$9^6)*AE541*AF541</f>
        <v>0</v>
      </c>
      <c r="AH541" s="166">
        <v>22500</v>
      </c>
      <c r="AI541" s="166">
        <v>1</v>
      </c>
      <c r="AJ541" s="164">
        <f>($L541*'Pivot Objective'!$C$9^7)*AH541*AI541</f>
        <v>12118808.951306494</v>
      </c>
      <c r="AK541" s="185">
        <f t="shared" si="59"/>
        <v>23978185.228120424</v>
      </c>
      <c r="AL541" s="186">
        <f t="shared" si="60"/>
        <v>23279.791483612062</v>
      </c>
    </row>
    <row r="542" spans="1:38" customFormat="1" ht="57.6" x14ac:dyDescent="0.3">
      <c r="A542" s="140" t="s">
        <v>1441</v>
      </c>
      <c r="B542" s="140">
        <v>1</v>
      </c>
      <c r="C542" s="166" t="s">
        <v>836</v>
      </c>
      <c r="D542" s="140" t="str">
        <f t="shared" si="62"/>
        <v>2</v>
      </c>
      <c r="E542" s="166" t="s">
        <v>992</v>
      </c>
      <c r="F542" s="140">
        <f t="shared" si="61"/>
        <v>4</v>
      </c>
      <c r="G542" s="140" t="str">
        <f t="shared" si="63"/>
        <v>1.2.4</v>
      </c>
      <c r="H542" s="166" t="s">
        <v>1046</v>
      </c>
      <c r="I542" s="166" t="s">
        <v>1047</v>
      </c>
      <c r="J542" s="166" t="s">
        <v>168</v>
      </c>
      <c r="K542" s="166" t="s">
        <v>1029</v>
      </c>
      <c r="L542" s="167">
        <f>1480/7</f>
        <v>211.42857142857142</v>
      </c>
      <c r="M542" s="166">
        <v>100</v>
      </c>
      <c r="N542" s="166">
        <v>5</v>
      </c>
      <c r="O542" s="164">
        <f t="shared" si="58"/>
        <v>105714.28571428571</v>
      </c>
      <c r="P542" s="166">
        <v>50</v>
      </c>
      <c r="Q542" s="166">
        <v>1</v>
      </c>
      <c r="R542" s="164">
        <f>$L542*'Pivot Objective'!$C$9*P542*Q542</f>
        <v>12082.308739714284</v>
      </c>
      <c r="S542" s="166">
        <v>0</v>
      </c>
      <c r="T542" s="166">
        <v>0</v>
      </c>
      <c r="U542" s="164">
        <f>($L542*'Pivot Objective'!$C$9^2)*S542*T542</f>
        <v>0</v>
      </c>
      <c r="V542" s="166">
        <v>100</v>
      </c>
      <c r="W542" s="166">
        <v>5</v>
      </c>
      <c r="X542" s="164">
        <f>($L542*'Pivot Objective'!$C$9^3)*V542*W542</f>
        <v>157827.40932602377</v>
      </c>
      <c r="Y542" s="166">
        <v>0</v>
      </c>
      <c r="Z542" s="166">
        <v>0</v>
      </c>
      <c r="AA542" s="164">
        <f>($L542*'Pivot Objective'!$C$9^4)*Y542*Z542</f>
        <v>0</v>
      </c>
      <c r="AB542" s="140"/>
      <c r="AC542" s="140"/>
      <c r="AD542" s="164">
        <f>($L542*'Pivot Objective'!$C$9^5)*AB542*AC542</f>
        <v>0</v>
      </c>
      <c r="AE542" s="140"/>
      <c r="AF542" s="140"/>
      <c r="AG542" s="164">
        <f>($L542*'Pivot Objective'!$C$9^6)*AE542*AF542</f>
        <v>0</v>
      </c>
      <c r="AH542" s="166">
        <v>100</v>
      </c>
      <c r="AI542" s="166">
        <v>5</v>
      </c>
      <c r="AJ542" s="164">
        <f>($L542*'Pivot Objective'!$C$9^7)*AH542*AI542</f>
        <v>269306.86558458878</v>
      </c>
      <c r="AK542" s="185">
        <f t="shared" si="59"/>
        <v>544930.8693646125</v>
      </c>
      <c r="AL542" s="186">
        <f t="shared" si="60"/>
        <v>529.05909647049759</v>
      </c>
    </row>
    <row r="543" spans="1:38" customFormat="1" ht="57.6" x14ac:dyDescent="0.3">
      <c r="A543" s="140" t="s">
        <v>1441</v>
      </c>
      <c r="B543" s="140">
        <v>1</v>
      </c>
      <c r="C543" s="166" t="s">
        <v>836</v>
      </c>
      <c r="D543" s="140" t="str">
        <f t="shared" si="62"/>
        <v>2</v>
      </c>
      <c r="E543" s="166" t="s">
        <v>992</v>
      </c>
      <c r="F543" s="140">
        <f t="shared" si="61"/>
        <v>4</v>
      </c>
      <c r="G543" s="140" t="str">
        <f t="shared" si="63"/>
        <v>1.2.4</v>
      </c>
      <c r="H543" s="166" t="s">
        <v>1046</v>
      </c>
      <c r="I543" s="166" t="s">
        <v>1047</v>
      </c>
      <c r="J543" s="166" t="s">
        <v>1030</v>
      </c>
      <c r="K543" s="166" t="s">
        <v>709</v>
      </c>
      <c r="L543" s="167">
        <v>35000</v>
      </c>
      <c r="M543" s="166">
        <v>50</v>
      </c>
      <c r="N543" s="166">
        <v>1</v>
      </c>
      <c r="O543" s="164">
        <f t="shared" si="58"/>
        <v>1750000</v>
      </c>
      <c r="P543" s="166">
        <v>8000</v>
      </c>
      <c r="Q543" s="166">
        <v>1</v>
      </c>
      <c r="R543" s="164">
        <f>$L543*'Pivot Objective'!$C$9*P543*Q543</f>
        <v>320017907.15999997</v>
      </c>
      <c r="S543" s="166">
        <v>0</v>
      </c>
      <c r="T543" s="166">
        <v>0</v>
      </c>
      <c r="U543" s="164">
        <f>($L543*'Pivot Objective'!$C$9^2)*S543*T543</f>
        <v>0</v>
      </c>
      <c r="V543" s="166">
        <v>50</v>
      </c>
      <c r="W543" s="166">
        <v>1</v>
      </c>
      <c r="X543" s="164">
        <f>($L543*'Pivot Objective'!$C$9^3)*V543*W543</f>
        <v>2612683.4651943129</v>
      </c>
      <c r="Y543" s="166">
        <v>0</v>
      </c>
      <c r="Z543" s="166">
        <v>0</v>
      </c>
      <c r="AA543" s="164">
        <f>($L543*'Pivot Objective'!$C$9^4)*Y543*Z543</f>
        <v>0</v>
      </c>
      <c r="AB543" s="140"/>
      <c r="AC543" s="140"/>
      <c r="AD543" s="164">
        <f>($L543*'Pivot Objective'!$C$9^5)*AB543*AC543</f>
        <v>0</v>
      </c>
      <c r="AE543" s="140"/>
      <c r="AF543" s="140"/>
      <c r="AG543" s="164">
        <f>($L543*'Pivot Objective'!$C$9^6)*AE543*AF543</f>
        <v>0</v>
      </c>
      <c r="AH543" s="166">
        <v>50</v>
      </c>
      <c r="AI543" s="166">
        <v>1</v>
      </c>
      <c r="AJ543" s="164">
        <f>($L543*'Pivot Objective'!$C$9^7)*AH543*AI543</f>
        <v>4458120.4100151528</v>
      </c>
      <c r="AK543" s="185">
        <f t="shared" si="59"/>
        <v>328838711.03520942</v>
      </c>
      <c r="AL543" s="186">
        <f t="shared" si="60"/>
        <v>319260.8845002033</v>
      </c>
    </row>
    <row r="544" spans="1:38" customFormat="1" ht="57.6" x14ac:dyDescent="0.3">
      <c r="A544" s="140" t="s">
        <v>1441</v>
      </c>
      <c r="B544" s="140">
        <v>1</v>
      </c>
      <c r="C544" s="166" t="s">
        <v>836</v>
      </c>
      <c r="D544" s="140" t="str">
        <f t="shared" si="62"/>
        <v>2</v>
      </c>
      <c r="E544" s="166" t="s">
        <v>992</v>
      </c>
      <c r="F544" s="140">
        <f t="shared" si="61"/>
        <v>4</v>
      </c>
      <c r="G544" s="140" t="str">
        <f t="shared" si="63"/>
        <v>1.2.4</v>
      </c>
      <c r="H544" s="166" t="s">
        <v>1046</v>
      </c>
      <c r="I544" s="166" t="s">
        <v>1047</v>
      </c>
      <c r="J544" s="166" t="s">
        <v>1030</v>
      </c>
      <c r="K544" s="166" t="s">
        <v>716</v>
      </c>
      <c r="L544" s="167">
        <v>39000</v>
      </c>
      <c r="M544" s="166"/>
      <c r="N544" s="166"/>
      <c r="O544" s="164">
        <f t="shared" si="58"/>
        <v>0</v>
      </c>
      <c r="P544" s="166"/>
      <c r="Q544" s="166"/>
      <c r="R544" s="164">
        <f>$L544*'Pivot Objective'!$C$9*P544*Q544</f>
        <v>0</v>
      </c>
      <c r="S544" s="166"/>
      <c r="T544" s="166"/>
      <c r="U544" s="164">
        <f>($L544*'Pivot Objective'!$C$9^2)*S544*T544</f>
        <v>0</v>
      </c>
      <c r="V544" s="166"/>
      <c r="W544" s="166"/>
      <c r="X544" s="164">
        <f>($L544*'Pivot Objective'!$C$9^3)*V544*W544</f>
        <v>0</v>
      </c>
      <c r="Y544" s="166"/>
      <c r="Z544" s="166"/>
      <c r="AA544" s="164">
        <f>($L544*'Pivot Objective'!$C$9^4)*Y544*Z544</f>
        <v>0</v>
      </c>
      <c r="AB544" s="140"/>
      <c r="AC544" s="140"/>
      <c r="AD544" s="164">
        <f>($L544*'Pivot Objective'!$C$9^5)*AB544*AC544</f>
        <v>0</v>
      </c>
      <c r="AE544" s="140"/>
      <c r="AF544" s="140"/>
      <c r="AG544" s="164">
        <f>($L544*'Pivot Objective'!$C$9^6)*AE544*AF544</f>
        <v>0</v>
      </c>
      <c r="AH544" s="166"/>
      <c r="AI544" s="166"/>
      <c r="AJ544" s="164">
        <f>($L544*'Pivot Objective'!$C$9^7)*AH544*AI544</f>
        <v>0</v>
      </c>
      <c r="AK544" s="185">
        <f t="shared" si="59"/>
        <v>0</v>
      </c>
      <c r="AL544" s="186">
        <f t="shared" si="60"/>
        <v>0</v>
      </c>
    </row>
    <row r="545" spans="1:38" customFormat="1" ht="57.6" x14ac:dyDescent="0.3">
      <c r="A545" s="140" t="s">
        <v>1441</v>
      </c>
      <c r="B545" s="140">
        <v>1</v>
      </c>
      <c r="C545" s="166" t="s">
        <v>836</v>
      </c>
      <c r="D545" s="140" t="str">
        <f t="shared" si="62"/>
        <v>2</v>
      </c>
      <c r="E545" s="166" t="s">
        <v>992</v>
      </c>
      <c r="F545" s="140">
        <f t="shared" si="61"/>
        <v>4</v>
      </c>
      <c r="G545" s="140" t="str">
        <f t="shared" si="63"/>
        <v>1.2.4</v>
      </c>
      <c r="H545" s="166" t="s">
        <v>1046</v>
      </c>
      <c r="I545" s="166" t="s">
        <v>1047</v>
      </c>
      <c r="J545" s="166" t="s">
        <v>1030</v>
      </c>
      <c r="K545" s="166" t="s">
        <v>1366</v>
      </c>
      <c r="L545" s="167">
        <f>1480/7</f>
        <v>211.42857142857142</v>
      </c>
      <c r="M545" s="166"/>
      <c r="N545" s="166"/>
      <c r="O545" s="164">
        <f t="shared" si="58"/>
        <v>0</v>
      </c>
      <c r="P545" s="166"/>
      <c r="Q545" s="166"/>
      <c r="R545" s="164">
        <f>$L545*'Pivot Objective'!$C$9*P545*Q545</f>
        <v>0</v>
      </c>
      <c r="S545" s="166"/>
      <c r="T545" s="166"/>
      <c r="U545" s="164">
        <f>($L545*'Pivot Objective'!$C$9^2)*S545*T545</f>
        <v>0</v>
      </c>
      <c r="V545" s="166"/>
      <c r="W545" s="166"/>
      <c r="X545" s="164">
        <f>($L545*'Pivot Objective'!$C$9^3)*V545*W545</f>
        <v>0</v>
      </c>
      <c r="Y545" s="166"/>
      <c r="Z545" s="166"/>
      <c r="AA545" s="164">
        <f>($L545*'Pivot Objective'!$C$9^4)*Y545*Z545</f>
        <v>0</v>
      </c>
      <c r="AB545" s="140"/>
      <c r="AC545" s="140"/>
      <c r="AD545" s="164">
        <f>($L545*'Pivot Objective'!$C$9^5)*AB545*AC545</f>
        <v>0</v>
      </c>
      <c r="AE545" s="140"/>
      <c r="AF545" s="140"/>
      <c r="AG545" s="164">
        <f>($L545*'Pivot Objective'!$C$9^6)*AE545*AF545</f>
        <v>0</v>
      </c>
      <c r="AH545" s="166"/>
      <c r="AI545" s="166"/>
      <c r="AJ545" s="164">
        <f>($L545*'Pivot Objective'!$C$9^7)*AH545*AI545</f>
        <v>0</v>
      </c>
      <c r="AK545" s="185">
        <f t="shared" si="59"/>
        <v>0</v>
      </c>
      <c r="AL545" s="186">
        <f t="shared" si="60"/>
        <v>0</v>
      </c>
    </row>
    <row r="546" spans="1:38" customFormat="1" ht="57.6" x14ac:dyDescent="0.3">
      <c r="A546" s="140" t="s">
        <v>1441</v>
      </c>
      <c r="B546" s="140">
        <v>1</v>
      </c>
      <c r="C546" s="166" t="s">
        <v>836</v>
      </c>
      <c r="D546" s="140" t="str">
        <f t="shared" si="62"/>
        <v>2</v>
      </c>
      <c r="E546" s="166" t="s">
        <v>992</v>
      </c>
      <c r="F546" s="140">
        <f t="shared" si="61"/>
        <v>4</v>
      </c>
      <c r="G546" s="140" t="str">
        <f t="shared" si="63"/>
        <v>1.2.4</v>
      </c>
      <c r="H546" s="166" t="s">
        <v>1046</v>
      </c>
      <c r="I546" s="166" t="s">
        <v>1047</v>
      </c>
      <c r="J546" s="166" t="s">
        <v>1030</v>
      </c>
      <c r="K546" s="166" t="s">
        <v>1299</v>
      </c>
      <c r="L546" s="167">
        <f>1480/7</f>
        <v>211.42857142857142</v>
      </c>
      <c r="M546" s="166"/>
      <c r="N546" s="166"/>
      <c r="O546" s="164">
        <f t="shared" si="58"/>
        <v>0</v>
      </c>
      <c r="P546" s="166"/>
      <c r="Q546" s="166"/>
      <c r="R546" s="164">
        <f>$L546*'Pivot Objective'!$C$9*P546*Q546</f>
        <v>0</v>
      </c>
      <c r="S546" s="166"/>
      <c r="T546" s="166"/>
      <c r="U546" s="164">
        <f>($L546*'Pivot Objective'!$C$9^2)*S546*T546</f>
        <v>0</v>
      </c>
      <c r="V546" s="166"/>
      <c r="W546" s="166"/>
      <c r="X546" s="164">
        <f>($L546*'Pivot Objective'!$C$9^3)*V546*W546</f>
        <v>0</v>
      </c>
      <c r="Y546" s="166"/>
      <c r="Z546" s="166"/>
      <c r="AA546" s="164">
        <f>($L546*'Pivot Objective'!$C$9^4)*Y546*Z546</f>
        <v>0</v>
      </c>
      <c r="AB546" s="140"/>
      <c r="AC546" s="140"/>
      <c r="AD546" s="164">
        <f>($L546*'Pivot Objective'!$C$9^5)*AB546*AC546</f>
        <v>0</v>
      </c>
      <c r="AE546" s="140"/>
      <c r="AF546" s="140"/>
      <c r="AG546" s="164">
        <f>($L546*'Pivot Objective'!$C$9^6)*AE546*AF546</f>
        <v>0</v>
      </c>
      <c r="AH546" s="166"/>
      <c r="AI546" s="166"/>
      <c r="AJ546" s="164">
        <f>($L546*'Pivot Objective'!$C$9^7)*AH546*AI546</f>
        <v>0</v>
      </c>
      <c r="AK546" s="185">
        <f t="shared" si="59"/>
        <v>0</v>
      </c>
      <c r="AL546" s="186">
        <f t="shared" si="60"/>
        <v>0</v>
      </c>
    </row>
    <row r="547" spans="1:38" customFormat="1" ht="57.6" x14ac:dyDescent="0.3">
      <c r="A547" s="140" t="s">
        <v>1441</v>
      </c>
      <c r="B547" s="140">
        <v>1</v>
      </c>
      <c r="C547" s="166" t="s">
        <v>836</v>
      </c>
      <c r="D547" s="140" t="str">
        <f t="shared" si="62"/>
        <v>2</v>
      </c>
      <c r="E547" s="166" t="s">
        <v>992</v>
      </c>
      <c r="F547" s="140">
        <f t="shared" si="61"/>
        <v>4</v>
      </c>
      <c r="G547" s="140" t="str">
        <f t="shared" si="63"/>
        <v>1.2.4</v>
      </c>
      <c r="H547" s="166" t="s">
        <v>1046</v>
      </c>
      <c r="I547" s="166" t="s">
        <v>1047</v>
      </c>
      <c r="J547" s="166" t="s">
        <v>856</v>
      </c>
      <c r="K547" s="166" t="s">
        <v>841</v>
      </c>
      <c r="L547" s="167">
        <v>0</v>
      </c>
      <c r="M547" s="166">
        <v>0</v>
      </c>
      <c r="N547" s="166">
        <v>0</v>
      </c>
      <c r="O547" s="164">
        <f t="shared" si="58"/>
        <v>0</v>
      </c>
      <c r="P547" s="166">
        <v>30</v>
      </c>
      <c r="Q547" s="166">
        <v>0.5</v>
      </c>
      <c r="R547" s="164">
        <f>$L547*'Pivot Objective'!$C$9*P547*Q547</f>
        <v>0</v>
      </c>
      <c r="S547" s="166">
        <v>0</v>
      </c>
      <c r="T547" s="166">
        <v>0</v>
      </c>
      <c r="U547" s="164">
        <f>($L547*'Pivot Objective'!$C$9^2)*S547*T547</f>
        <v>0</v>
      </c>
      <c r="V547" s="166">
        <v>0</v>
      </c>
      <c r="W547" s="166">
        <v>0</v>
      </c>
      <c r="X547" s="164">
        <f>($L547*'Pivot Objective'!$C$9^3)*V547*W547</f>
        <v>0</v>
      </c>
      <c r="Y547" s="166">
        <v>0</v>
      </c>
      <c r="Z547" s="166">
        <v>0</v>
      </c>
      <c r="AA547" s="164">
        <f>($L547*'Pivot Objective'!$C$9^4)*Y547*Z547</f>
        <v>0</v>
      </c>
      <c r="AB547" s="140"/>
      <c r="AC547" s="140"/>
      <c r="AD547" s="164">
        <f>($L547*'Pivot Objective'!$C$9^5)*AB547*AC547</f>
        <v>0</v>
      </c>
      <c r="AE547" s="140"/>
      <c r="AF547" s="140"/>
      <c r="AG547" s="164">
        <f>($L547*'Pivot Objective'!$C$9^6)*AE547*AF547</f>
        <v>0</v>
      </c>
      <c r="AH547" s="166">
        <v>0</v>
      </c>
      <c r="AI547" s="166">
        <v>0</v>
      </c>
      <c r="AJ547" s="164">
        <f>($L547*'Pivot Objective'!$C$9^7)*AH547*AI547</f>
        <v>0</v>
      </c>
      <c r="AK547" s="185">
        <f t="shared" si="59"/>
        <v>0</v>
      </c>
      <c r="AL547" s="186">
        <f t="shared" si="60"/>
        <v>0</v>
      </c>
    </row>
    <row r="548" spans="1:38" customFormat="1" ht="57.6" x14ac:dyDescent="0.3">
      <c r="A548" s="140" t="s">
        <v>1441</v>
      </c>
      <c r="B548" s="140">
        <v>1</v>
      </c>
      <c r="C548" s="166" t="s">
        <v>836</v>
      </c>
      <c r="D548" s="140" t="str">
        <f t="shared" si="62"/>
        <v>2</v>
      </c>
      <c r="E548" s="166" t="s">
        <v>992</v>
      </c>
      <c r="F548" s="140">
        <f t="shared" si="61"/>
        <v>4</v>
      </c>
      <c r="G548" s="140" t="str">
        <f t="shared" si="63"/>
        <v>1.2.4</v>
      </c>
      <c r="H548" s="166" t="s">
        <v>1046</v>
      </c>
      <c r="I548" s="166" t="s">
        <v>1047</v>
      </c>
      <c r="J548" s="166" t="s">
        <v>945</v>
      </c>
      <c r="K548" s="166" t="s">
        <v>841</v>
      </c>
      <c r="L548" s="167">
        <v>0</v>
      </c>
      <c r="M548" s="166">
        <v>0</v>
      </c>
      <c r="N548" s="166">
        <v>0</v>
      </c>
      <c r="O548" s="164">
        <f t="shared" si="58"/>
        <v>0</v>
      </c>
      <c r="P548" s="166">
        <v>10</v>
      </c>
      <c r="Q548" s="166">
        <v>1</v>
      </c>
      <c r="R548" s="164">
        <f>$L548*'Pivot Objective'!$C$9*P548*Q548</f>
        <v>0</v>
      </c>
      <c r="S548" s="166">
        <v>0</v>
      </c>
      <c r="T548" s="166">
        <v>0</v>
      </c>
      <c r="U548" s="164">
        <f>($L548*'Pivot Objective'!$C$9^2)*S548*T548</f>
        <v>0</v>
      </c>
      <c r="V548" s="166">
        <v>0</v>
      </c>
      <c r="W548" s="166">
        <v>0</v>
      </c>
      <c r="X548" s="164">
        <f>($L548*'Pivot Objective'!$C$9^3)*V548*W548</f>
        <v>0</v>
      </c>
      <c r="Y548" s="166">
        <v>0</v>
      </c>
      <c r="Z548" s="166">
        <v>0</v>
      </c>
      <c r="AA548" s="164">
        <f>($L548*'Pivot Objective'!$C$9^4)*Y548*Z548</f>
        <v>0</v>
      </c>
      <c r="AB548" s="140"/>
      <c r="AC548" s="140"/>
      <c r="AD548" s="164">
        <f>($L548*'Pivot Objective'!$C$9^5)*AB548*AC548</f>
        <v>0</v>
      </c>
      <c r="AE548" s="140"/>
      <c r="AF548" s="140"/>
      <c r="AG548" s="164">
        <f>($L548*'Pivot Objective'!$C$9^6)*AE548*AF548</f>
        <v>0</v>
      </c>
      <c r="AH548" s="166">
        <v>0</v>
      </c>
      <c r="AI548" s="166">
        <v>0</v>
      </c>
      <c r="AJ548" s="164">
        <f>($L548*'Pivot Objective'!$C$9^7)*AH548*AI548</f>
        <v>0</v>
      </c>
      <c r="AK548" s="185">
        <f t="shared" si="59"/>
        <v>0</v>
      </c>
      <c r="AL548" s="186">
        <f t="shared" si="60"/>
        <v>0</v>
      </c>
    </row>
    <row r="549" spans="1:38" customFormat="1" ht="57.6" x14ac:dyDescent="0.3">
      <c r="A549" s="140" t="s">
        <v>1441</v>
      </c>
      <c r="B549" s="140">
        <v>1</v>
      </c>
      <c r="C549" s="166" t="s">
        <v>836</v>
      </c>
      <c r="D549" s="140" t="str">
        <f t="shared" si="62"/>
        <v>2</v>
      </c>
      <c r="E549" s="166" t="s">
        <v>992</v>
      </c>
      <c r="F549" s="140">
        <f t="shared" si="61"/>
        <v>4</v>
      </c>
      <c r="G549" s="140" t="str">
        <f t="shared" si="63"/>
        <v>1.2.4</v>
      </c>
      <c r="H549" s="166" t="s">
        <v>1046</v>
      </c>
      <c r="I549" s="166" t="s">
        <v>1047</v>
      </c>
      <c r="J549" s="166" t="s">
        <v>1050</v>
      </c>
      <c r="K549" s="166" t="s">
        <v>841</v>
      </c>
      <c r="L549" s="167">
        <v>0</v>
      </c>
      <c r="M549" s="166">
        <v>0</v>
      </c>
      <c r="N549" s="166">
        <v>0</v>
      </c>
      <c r="O549" s="164">
        <f t="shared" si="58"/>
        <v>0</v>
      </c>
      <c r="P549" s="166">
        <v>0</v>
      </c>
      <c r="Q549" s="166">
        <v>0</v>
      </c>
      <c r="R549" s="164">
        <f>$L549*'Pivot Objective'!$C$9*P549*Q549</f>
        <v>0</v>
      </c>
      <c r="S549" s="166">
        <v>0</v>
      </c>
      <c r="T549" s="166">
        <v>0</v>
      </c>
      <c r="U549" s="164">
        <f>($L549*'Pivot Objective'!$C$9^2)*S549*T549</f>
        <v>0</v>
      </c>
      <c r="V549" s="166">
        <v>0</v>
      </c>
      <c r="W549" s="166">
        <v>0</v>
      </c>
      <c r="X549" s="164">
        <f>($L549*'Pivot Objective'!$C$9^3)*V549*W549</f>
        <v>0</v>
      </c>
      <c r="Y549" s="166">
        <v>0</v>
      </c>
      <c r="Z549" s="166">
        <v>0</v>
      </c>
      <c r="AA549" s="164">
        <f>($L549*'Pivot Objective'!$C$9^4)*Y549*Z549</f>
        <v>0</v>
      </c>
      <c r="AB549" s="140"/>
      <c r="AC549" s="140"/>
      <c r="AD549" s="164">
        <f>($L549*'Pivot Objective'!$C$9^5)*AB549*AC549</f>
        <v>0</v>
      </c>
      <c r="AE549" s="140"/>
      <c r="AF549" s="140"/>
      <c r="AG549" s="164">
        <f>($L549*'Pivot Objective'!$C$9^6)*AE549*AF549</f>
        <v>0</v>
      </c>
      <c r="AH549" s="166">
        <v>0</v>
      </c>
      <c r="AI549" s="166">
        <v>0</v>
      </c>
      <c r="AJ549" s="164">
        <f>($L549*'Pivot Objective'!$C$9^7)*AH549*AI549</f>
        <v>0</v>
      </c>
      <c r="AK549" s="185">
        <f t="shared" si="59"/>
        <v>0</v>
      </c>
      <c r="AL549" s="186">
        <f t="shared" si="60"/>
        <v>0</v>
      </c>
    </row>
    <row r="550" spans="1:38" customFormat="1" ht="57.6" x14ac:dyDescent="0.3">
      <c r="A550" s="140" t="s">
        <v>1442</v>
      </c>
      <c r="B550" s="140">
        <v>1</v>
      </c>
      <c r="C550" s="166" t="s">
        <v>836</v>
      </c>
      <c r="D550" s="140" t="str">
        <f t="shared" si="62"/>
        <v>3</v>
      </c>
      <c r="E550" s="166" t="s">
        <v>1051</v>
      </c>
      <c r="F550" s="140">
        <v>1</v>
      </c>
      <c r="G550" s="140" t="str">
        <f t="shared" si="63"/>
        <v>1.3.1</v>
      </c>
      <c r="H550" s="166" t="s">
        <v>1688</v>
      </c>
      <c r="I550" s="166" t="s">
        <v>1053</v>
      </c>
      <c r="J550" s="166" t="s">
        <v>1054</v>
      </c>
      <c r="K550" s="166" t="s">
        <v>841</v>
      </c>
      <c r="L550" s="166">
        <v>0</v>
      </c>
      <c r="M550" s="166"/>
      <c r="N550" s="166"/>
      <c r="O550" s="164">
        <f t="shared" si="58"/>
        <v>0</v>
      </c>
      <c r="P550" s="166">
        <v>0</v>
      </c>
      <c r="Q550" s="166">
        <v>0</v>
      </c>
      <c r="R550" s="164">
        <f>$L550*'Pivot Objective'!$C$9*P550*Q550</f>
        <v>0</v>
      </c>
      <c r="S550" s="166"/>
      <c r="T550" s="166"/>
      <c r="U550" s="164">
        <f>($L550*'Pivot Objective'!$C$9^2)*S550*T550</f>
        <v>0</v>
      </c>
      <c r="V550" s="166"/>
      <c r="W550" s="166"/>
      <c r="X550" s="164">
        <f>($L550*'Pivot Objective'!$C$9^3)*V550*W550</f>
        <v>0</v>
      </c>
      <c r="Y550" s="166">
        <v>0</v>
      </c>
      <c r="Z550" s="166">
        <v>0</v>
      </c>
      <c r="AA550" s="164">
        <f>($L550*'Pivot Objective'!$C$9^4)*Y550*Z550</f>
        <v>0</v>
      </c>
      <c r="AB550" s="166"/>
      <c r="AC550" s="166"/>
      <c r="AD550" s="164">
        <f>($L550*'Pivot Objective'!$C$9^5)*AB550*AC550</f>
        <v>0</v>
      </c>
      <c r="AE550" s="166"/>
      <c r="AF550" s="166"/>
      <c r="AG550" s="164">
        <f>($L550*'Pivot Objective'!$C$9^6)*AE550*AF550</f>
        <v>0</v>
      </c>
      <c r="AH550" s="166">
        <v>0</v>
      </c>
      <c r="AI550" s="166">
        <v>0</v>
      </c>
      <c r="AJ550" s="164">
        <f>($L550*'Pivot Objective'!$C$9^7)*AH550*AI550</f>
        <v>0</v>
      </c>
      <c r="AK550" s="185">
        <f t="shared" si="59"/>
        <v>0</v>
      </c>
      <c r="AL550" s="186">
        <f t="shared" si="60"/>
        <v>0</v>
      </c>
    </row>
    <row r="551" spans="1:38" customFormat="1" ht="57.6" x14ac:dyDescent="0.3">
      <c r="A551" s="140" t="s">
        <v>1442</v>
      </c>
      <c r="B551" s="140">
        <v>1</v>
      </c>
      <c r="C551" s="166" t="s">
        <v>836</v>
      </c>
      <c r="D551" s="140" t="str">
        <f t="shared" si="62"/>
        <v>3</v>
      </c>
      <c r="E551" s="166" t="s">
        <v>1051</v>
      </c>
      <c r="F551" s="140">
        <f t="shared" ref="F551:F582" si="64">IF(H551=H550,F550,F550+1)</f>
        <v>1</v>
      </c>
      <c r="G551" s="140" t="str">
        <f t="shared" si="63"/>
        <v>1.3.1</v>
      </c>
      <c r="H551" s="166" t="s">
        <v>1688</v>
      </c>
      <c r="I551" s="166" t="s">
        <v>1053</v>
      </c>
      <c r="J551" s="166" t="s">
        <v>1055</v>
      </c>
      <c r="K551" s="166" t="s">
        <v>841</v>
      </c>
      <c r="L551" s="166">
        <v>0</v>
      </c>
      <c r="M551" s="166"/>
      <c r="N551" s="166"/>
      <c r="O551" s="164">
        <f t="shared" si="58"/>
        <v>0</v>
      </c>
      <c r="P551" s="166">
        <v>0</v>
      </c>
      <c r="Q551" s="166">
        <v>0</v>
      </c>
      <c r="R551" s="164">
        <f>$L551*'Pivot Objective'!$C$9*P551*Q551</f>
        <v>0</v>
      </c>
      <c r="S551" s="166"/>
      <c r="T551" s="166"/>
      <c r="U551" s="164">
        <f>($L551*'Pivot Objective'!$C$9^2)*S551*T551</f>
        <v>0</v>
      </c>
      <c r="V551" s="166"/>
      <c r="W551" s="166"/>
      <c r="X551" s="164">
        <f>($L551*'Pivot Objective'!$C$9^3)*V551*W551</f>
        <v>0</v>
      </c>
      <c r="Y551" s="166">
        <v>0</v>
      </c>
      <c r="Z551" s="166">
        <v>0</v>
      </c>
      <c r="AA551" s="164">
        <f>($L551*'Pivot Objective'!$C$9^4)*Y551*Z551</f>
        <v>0</v>
      </c>
      <c r="AB551" s="166"/>
      <c r="AC551" s="166"/>
      <c r="AD551" s="164">
        <f>($L551*'Pivot Objective'!$C$9^5)*AB551*AC551</f>
        <v>0</v>
      </c>
      <c r="AE551" s="166"/>
      <c r="AF551" s="166"/>
      <c r="AG551" s="164">
        <f>($L551*'Pivot Objective'!$C$9^6)*AE551*AF551</f>
        <v>0</v>
      </c>
      <c r="AH551" s="166">
        <v>0</v>
      </c>
      <c r="AI551" s="166">
        <v>0</v>
      </c>
      <c r="AJ551" s="164">
        <f>($L551*'Pivot Objective'!$C$9^7)*AH551*AI551</f>
        <v>0</v>
      </c>
      <c r="AK551" s="185">
        <f t="shared" si="59"/>
        <v>0</v>
      </c>
      <c r="AL551" s="186">
        <f t="shared" si="60"/>
        <v>0</v>
      </c>
    </row>
    <row r="552" spans="1:38" customFormat="1" ht="57.6" x14ac:dyDescent="0.3">
      <c r="A552" s="140" t="s">
        <v>1442</v>
      </c>
      <c r="B552" s="140">
        <v>1</v>
      </c>
      <c r="C552" s="166" t="s">
        <v>836</v>
      </c>
      <c r="D552" s="140" t="str">
        <f t="shared" si="62"/>
        <v>3</v>
      </c>
      <c r="E552" s="166" t="s">
        <v>1051</v>
      </c>
      <c r="F552" s="140">
        <f t="shared" si="64"/>
        <v>1</v>
      </c>
      <c r="G552" s="140" t="str">
        <f t="shared" si="63"/>
        <v>1.3.1</v>
      </c>
      <c r="H552" s="166" t="s">
        <v>1688</v>
      </c>
      <c r="I552" s="166" t="s">
        <v>1053</v>
      </c>
      <c r="J552" s="166" t="s">
        <v>1056</v>
      </c>
      <c r="K552" s="166" t="s">
        <v>841</v>
      </c>
      <c r="L552" s="166">
        <v>0</v>
      </c>
      <c r="M552" s="166"/>
      <c r="N552" s="166"/>
      <c r="O552" s="164">
        <f t="shared" si="58"/>
        <v>0</v>
      </c>
      <c r="P552" s="166">
        <v>0</v>
      </c>
      <c r="Q552" s="166">
        <v>0</v>
      </c>
      <c r="R552" s="164">
        <f>$L552*'Pivot Objective'!$C$9*P552*Q552</f>
        <v>0</v>
      </c>
      <c r="S552" s="166"/>
      <c r="T552" s="166"/>
      <c r="U552" s="164">
        <f>($L552*'Pivot Objective'!$C$9^2)*S552*T552</f>
        <v>0</v>
      </c>
      <c r="V552" s="166"/>
      <c r="W552" s="166"/>
      <c r="X552" s="164">
        <f>($L552*'Pivot Objective'!$C$9^3)*V552*W552</f>
        <v>0</v>
      </c>
      <c r="Y552" s="166">
        <v>0</v>
      </c>
      <c r="Z552" s="166">
        <v>0</v>
      </c>
      <c r="AA552" s="164">
        <f>($L552*'Pivot Objective'!$C$9^4)*Y552*Z552</f>
        <v>0</v>
      </c>
      <c r="AB552" s="166"/>
      <c r="AC552" s="166"/>
      <c r="AD552" s="164">
        <f>($L552*'Pivot Objective'!$C$9^5)*AB552*AC552</f>
        <v>0</v>
      </c>
      <c r="AE552" s="166"/>
      <c r="AF552" s="166"/>
      <c r="AG552" s="164">
        <f>($L552*'Pivot Objective'!$C$9^6)*AE552*AF552</f>
        <v>0</v>
      </c>
      <c r="AH552" s="166">
        <v>0</v>
      </c>
      <c r="AI552" s="166">
        <v>0</v>
      </c>
      <c r="AJ552" s="164">
        <f>($L552*'Pivot Objective'!$C$9^7)*AH552*AI552</f>
        <v>0</v>
      </c>
      <c r="AK552" s="185">
        <f t="shared" si="59"/>
        <v>0</v>
      </c>
      <c r="AL552" s="186">
        <f t="shared" si="60"/>
        <v>0</v>
      </c>
    </row>
    <row r="553" spans="1:38" customFormat="1" ht="57.6" x14ac:dyDescent="0.3">
      <c r="A553" s="140" t="s">
        <v>1442</v>
      </c>
      <c r="B553" s="140">
        <v>1</v>
      </c>
      <c r="C553" s="166" t="s">
        <v>836</v>
      </c>
      <c r="D553" s="140" t="str">
        <f t="shared" si="62"/>
        <v>3</v>
      </c>
      <c r="E553" s="166" t="s">
        <v>1051</v>
      </c>
      <c r="F553" s="140">
        <f t="shared" si="64"/>
        <v>1</v>
      </c>
      <c r="G553" s="140" t="str">
        <f t="shared" si="63"/>
        <v>1.3.1</v>
      </c>
      <c r="H553" s="166" t="s">
        <v>1688</v>
      </c>
      <c r="I553" s="166" t="s">
        <v>1053</v>
      </c>
      <c r="J553" s="166" t="s">
        <v>149</v>
      </c>
      <c r="K553" s="166" t="s">
        <v>707</v>
      </c>
      <c r="L553" s="166">
        <v>391991.03749999998</v>
      </c>
      <c r="M553" s="166"/>
      <c r="N553" s="166"/>
      <c r="O553" s="164">
        <f t="shared" si="58"/>
        <v>0</v>
      </c>
      <c r="P553" s="166">
        <v>2</v>
      </c>
      <c r="Q553" s="166">
        <v>2</v>
      </c>
      <c r="R553" s="164">
        <f>$L553*'Pivot Objective'!$C$9*P553*Q553</f>
        <v>1792059.3063746723</v>
      </c>
      <c r="S553" s="166"/>
      <c r="T553" s="166"/>
      <c r="U553" s="164">
        <f>($L553*'Pivot Objective'!$C$9^2)*S553*T553</f>
        <v>0</v>
      </c>
      <c r="V553" s="166"/>
      <c r="W553" s="166"/>
      <c r="X553" s="164">
        <f>($L553*'Pivot Objective'!$C$9^3)*V553*W553</f>
        <v>0</v>
      </c>
      <c r="Y553" s="166">
        <v>2</v>
      </c>
      <c r="Z553" s="166">
        <v>2</v>
      </c>
      <c r="AA553" s="164">
        <f>($L553*'Pivot Objective'!$C$9^4)*Y553*Z553</f>
        <v>2675476.4105215403</v>
      </c>
      <c r="AB553" s="166"/>
      <c r="AC553" s="166"/>
      <c r="AD553" s="164">
        <f>($L553*'Pivot Objective'!$C$9^5)*AB553*AC553</f>
        <v>0</v>
      </c>
      <c r="AE553" s="166"/>
      <c r="AF553" s="166"/>
      <c r="AG553" s="164">
        <f>($L553*'Pivot Objective'!$C$9^6)*AE553*AF553</f>
        <v>0</v>
      </c>
      <c r="AH553" s="166">
        <v>2</v>
      </c>
      <c r="AI553" s="166">
        <v>2</v>
      </c>
      <c r="AJ553" s="164">
        <f>($L553*'Pivot Objective'!$C$9^7)*AH553*AI553</f>
        <v>3994384.5595926056</v>
      </c>
      <c r="AK553" s="185">
        <f t="shared" si="59"/>
        <v>8461920.2764888182</v>
      </c>
      <c r="AL553" s="186">
        <f t="shared" si="60"/>
        <v>8215.4565791153582</v>
      </c>
    </row>
    <row r="554" spans="1:38" customFormat="1" ht="57.6" x14ac:dyDescent="0.3">
      <c r="A554" s="140" t="s">
        <v>1442</v>
      </c>
      <c r="B554" s="140">
        <v>1</v>
      </c>
      <c r="C554" s="166" t="s">
        <v>836</v>
      </c>
      <c r="D554" s="140" t="str">
        <f t="shared" si="62"/>
        <v>3</v>
      </c>
      <c r="E554" s="166" t="s">
        <v>1051</v>
      </c>
      <c r="F554" s="140">
        <f t="shared" si="64"/>
        <v>1</v>
      </c>
      <c r="G554" s="140" t="str">
        <f t="shared" si="63"/>
        <v>1.3.1</v>
      </c>
      <c r="H554" s="166" t="s">
        <v>1688</v>
      </c>
      <c r="I554" s="166" t="s">
        <v>1053</v>
      </c>
      <c r="J554" s="166" t="s">
        <v>149</v>
      </c>
      <c r="K554" s="166" t="s">
        <v>708</v>
      </c>
      <c r="L554" s="166">
        <f>980*1022</f>
        <v>1001560</v>
      </c>
      <c r="M554" s="166"/>
      <c r="N554" s="166"/>
      <c r="O554" s="164">
        <f t="shared" si="58"/>
        <v>0</v>
      </c>
      <c r="P554" s="166">
        <v>1</v>
      </c>
      <c r="Q554" s="166">
        <v>25</v>
      </c>
      <c r="R554" s="164">
        <f>$L554*'Pivot Objective'!$C$9*P554*Q554</f>
        <v>28617601.347782999</v>
      </c>
      <c r="S554" s="166"/>
      <c r="T554" s="166"/>
      <c r="U554" s="164">
        <f>($L554*'Pivot Objective'!$C$9^2)*S554*T554</f>
        <v>0</v>
      </c>
      <c r="V554" s="166"/>
      <c r="W554" s="166"/>
      <c r="X554" s="164">
        <f>($L554*'Pivot Objective'!$C$9^3)*V554*W554</f>
        <v>0</v>
      </c>
      <c r="Y554" s="166">
        <v>1</v>
      </c>
      <c r="Z554" s="166">
        <v>25</v>
      </c>
      <c r="AA554" s="164">
        <f>($L554*'Pivot Objective'!$C$9^4)*Y554*Z554</f>
        <v>42724990.774214357</v>
      </c>
      <c r="AB554" s="166"/>
      <c r="AC554" s="166"/>
      <c r="AD554" s="164">
        <f>($L554*'Pivot Objective'!$C$9^5)*AB554*AC554</f>
        <v>0</v>
      </c>
      <c r="AE554" s="166"/>
      <c r="AF554" s="166"/>
      <c r="AG554" s="164">
        <f>($L554*'Pivot Objective'!$C$9^6)*AE554*AF554</f>
        <v>0</v>
      </c>
      <c r="AH554" s="166">
        <v>1</v>
      </c>
      <c r="AI554" s="166">
        <v>25</v>
      </c>
      <c r="AJ554" s="164">
        <f>($L554*'Pivot Objective'!$C$9^7)*AH554*AI554</f>
        <v>63786786.826496802</v>
      </c>
      <c r="AK554" s="185">
        <f t="shared" si="59"/>
        <v>135129378.94849417</v>
      </c>
      <c r="AL554" s="186">
        <f t="shared" si="60"/>
        <v>131193.57179465453</v>
      </c>
    </row>
    <row r="555" spans="1:38" customFormat="1" ht="57.6" x14ac:dyDescent="0.3">
      <c r="A555" s="140" t="s">
        <v>1442</v>
      </c>
      <c r="B555" s="140">
        <v>1</v>
      </c>
      <c r="C555" s="166" t="s">
        <v>836</v>
      </c>
      <c r="D555" s="140" t="str">
        <f t="shared" si="62"/>
        <v>3</v>
      </c>
      <c r="E555" s="166" t="s">
        <v>1051</v>
      </c>
      <c r="F555" s="140">
        <f t="shared" si="64"/>
        <v>1</v>
      </c>
      <c r="G555" s="140" t="str">
        <f t="shared" si="63"/>
        <v>1.3.1</v>
      </c>
      <c r="H555" s="166" t="s">
        <v>1688</v>
      </c>
      <c r="I555" s="166" t="s">
        <v>1053</v>
      </c>
      <c r="J555" s="166" t="s">
        <v>895</v>
      </c>
      <c r="K555" s="166" t="s">
        <v>841</v>
      </c>
      <c r="L555" s="166">
        <v>0</v>
      </c>
      <c r="M555" s="166"/>
      <c r="N555" s="166"/>
      <c r="O555" s="164">
        <f t="shared" si="58"/>
        <v>0</v>
      </c>
      <c r="P555" s="166">
        <v>0</v>
      </c>
      <c r="Q555" s="166">
        <v>0</v>
      </c>
      <c r="R555" s="164">
        <f>$L555*'Pivot Objective'!$C$9*P555*Q555</f>
        <v>0</v>
      </c>
      <c r="S555" s="166"/>
      <c r="T555" s="166"/>
      <c r="U555" s="164">
        <f>($L555*'Pivot Objective'!$C$9^2)*S555*T555</f>
        <v>0</v>
      </c>
      <c r="V555" s="166"/>
      <c r="W555" s="166"/>
      <c r="X555" s="164">
        <f>($L555*'Pivot Objective'!$C$9^3)*V555*W555</f>
        <v>0</v>
      </c>
      <c r="Y555" s="166">
        <v>0</v>
      </c>
      <c r="Z555" s="166">
        <v>0</v>
      </c>
      <c r="AA555" s="164">
        <f>($L555*'Pivot Objective'!$C$9^4)*Y555*Z555</f>
        <v>0</v>
      </c>
      <c r="AB555" s="166"/>
      <c r="AC555" s="166"/>
      <c r="AD555" s="164">
        <f>($L555*'Pivot Objective'!$C$9^5)*AB555*AC555</f>
        <v>0</v>
      </c>
      <c r="AE555" s="166"/>
      <c r="AF555" s="166"/>
      <c r="AG555" s="164">
        <f>($L555*'Pivot Objective'!$C$9^6)*AE555*AF555</f>
        <v>0</v>
      </c>
      <c r="AH555" s="166">
        <v>0</v>
      </c>
      <c r="AI555" s="166">
        <v>0</v>
      </c>
      <c r="AJ555" s="164">
        <f>($L555*'Pivot Objective'!$C$9^7)*AH555*AI555</f>
        <v>0</v>
      </c>
      <c r="AK555" s="185">
        <f t="shared" si="59"/>
        <v>0</v>
      </c>
      <c r="AL555" s="186">
        <f t="shared" si="60"/>
        <v>0</v>
      </c>
    </row>
    <row r="556" spans="1:38" customFormat="1" ht="57.6" x14ac:dyDescent="0.3">
      <c r="A556" s="140" t="s">
        <v>1442</v>
      </c>
      <c r="B556" s="140">
        <v>1</v>
      </c>
      <c r="C556" s="166" t="s">
        <v>836</v>
      </c>
      <c r="D556" s="140" t="str">
        <f t="shared" si="62"/>
        <v>3</v>
      </c>
      <c r="E556" s="166" t="s">
        <v>1051</v>
      </c>
      <c r="F556" s="140">
        <f t="shared" si="64"/>
        <v>1</v>
      </c>
      <c r="G556" s="140" t="str">
        <f t="shared" si="63"/>
        <v>1.3.1</v>
      </c>
      <c r="H556" s="166" t="s">
        <v>1688</v>
      </c>
      <c r="I556" s="166" t="s">
        <v>1053</v>
      </c>
      <c r="J556" s="166" t="s">
        <v>912</v>
      </c>
      <c r="K556" s="166" t="s">
        <v>841</v>
      </c>
      <c r="L556" s="166">
        <v>0</v>
      </c>
      <c r="M556" s="166"/>
      <c r="N556" s="166"/>
      <c r="O556" s="164">
        <f t="shared" si="58"/>
        <v>0</v>
      </c>
      <c r="P556" s="166">
        <v>0</v>
      </c>
      <c r="Q556" s="166">
        <v>0</v>
      </c>
      <c r="R556" s="164">
        <f>$L556*'Pivot Objective'!$C$9*P556*Q556</f>
        <v>0</v>
      </c>
      <c r="S556" s="166"/>
      <c r="T556" s="166"/>
      <c r="U556" s="164">
        <f>($L556*'Pivot Objective'!$C$9^2)*S556*T556</f>
        <v>0</v>
      </c>
      <c r="V556" s="166"/>
      <c r="W556" s="166"/>
      <c r="X556" s="164">
        <f>($L556*'Pivot Objective'!$C$9^3)*V556*W556</f>
        <v>0</v>
      </c>
      <c r="Y556" s="166">
        <v>0</v>
      </c>
      <c r="Z556" s="166">
        <v>0</v>
      </c>
      <c r="AA556" s="164">
        <f>($L556*'Pivot Objective'!$C$9^4)*Y556*Z556</f>
        <v>0</v>
      </c>
      <c r="AB556" s="166"/>
      <c r="AC556" s="166"/>
      <c r="AD556" s="164">
        <f>($L556*'Pivot Objective'!$C$9^5)*AB556*AC556</f>
        <v>0</v>
      </c>
      <c r="AE556" s="166"/>
      <c r="AF556" s="166"/>
      <c r="AG556" s="164">
        <f>($L556*'Pivot Objective'!$C$9^6)*AE556*AF556</f>
        <v>0</v>
      </c>
      <c r="AH556" s="166">
        <v>0</v>
      </c>
      <c r="AI556" s="166">
        <v>0</v>
      </c>
      <c r="AJ556" s="164">
        <f>($L556*'Pivot Objective'!$C$9^7)*AH556*AI556</f>
        <v>0</v>
      </c>
      <c r="AK556" s="185">
        <f t="shared" si="59"/>
        <v>0</v>
      </c>
      <c r="AL556" s="186">
        <f t="shared" si="60"/>
        <v>0</v>
      </c>
    </row>
    <row r="557" spans="1:38" customFormat="1" ht="57.6" x14ac:dyDescent="0.3">
      <c r="A557" s="140" t="s">
        <v>1442</v>
      </c>
      <c r="B557" s="140">
        <v>1</v>
      </c>
      <c r="C557" s="166" t="s">
        <v>836</v>
      </c>
      <c r="D557" s="140" t="str">
        <f t="shared" si="62"/>
        <v>3</v>
      </c>
      <c r="E557" s="166" t="s">
        <v>1051</v>
      </c>
      <c r="F557" s="140">
        <f t="shared" si="64"/>
        <v>1</v>
      </c>
      <c r="G557" s="140" t="str">
        <f t="shared" si="63"/>
        <v>1.3.1</v>
      </c>
      <c r="H557" s="166" t="s">
        <v>1688</v>
      </c>
      <c r="I557" s="166" t="s">
        <v>1053</v>
      </c>
      <c r="J557" s="166" t="s">
        <v>1026</v>
      </c>
      <c r="K557" s="166" t="s">
        <v>709</v>
      </c>
      <c r="L557" s="166">
        <v>35000</v>
      </c>
      <c r="M557" s="166"/>
      <c r="N557" s="166"/>
      <c r="O557" s="164">
        <f t="shared" si="58"/>
        <v>0</v>
      </c>
      <c r="P557" s="166">
        <v>10</v>
      </c>
      <c r="Q557" s="166">
        <v>1</v>
      </c>
      <c r="R557" s="164">
        <f>$L557*'Pivot Objective'!$C$9*P557*Q557</f>
        <v>400022.38394999993</v>
      </c>
      <c r="S557" s="166"/>
      <c r="T557" s="166"/>
      <c r="U557" s="164">
        <f>($L557*'Pivot Objective'!$C$9^2)*S557*T557</f>
        <v>0</v>
      </c>
      <c r="V557" s="166"/>
      <c r="W557" s="166"/>
      <c r="X557" s="164">
        <f>($L557*'Pivot Objective'!$C$9^3)*V557*W557</f>
        <v>0</v>
      </c>
      <c r="Y557" s="166">
        <v>10</v>
      </c>
      <c r="Z557" s="166">
        <v>1</v>
      </c>
      <c r="AA557" s="164">
        <f>($L557*'Pivot Objective'!$C$9^4)*Y557*Z557</f>
        <v>597218.21043072897</v>
      </c>
      <c r="AB557" s="166"/>
      <c r="AC557" s="166"/>
      <c r="AD557" s="164">
        <f>($L557*'Pivot Objective'!$C$9^5)*AB557*AC557</f>
        <v>0</v>
      </c>
      <c r="AE557" s="166"/>
      <c r="AF557" s="166"/>
      <c r="AG557" s="164">
        <f>($L557*'Pivot Objective'!$C$9^6)*AE557*AF557</f>
        <v>0</v>
      </c>
      <c r="AH557" s="166">
        <v>10</v>
      </c>
      <c r="AI557" s="166">
        <v>1</v>
      </c>
      <c r="AJ557" s="164">
        <f>($L557*'Pivot Objective'!$C$9^7)*AH557*AI557</f>
        <v>891624.08200303046</v>
      </c>
      <c r="AK557" s="185">
        <f t="shared" si="59"/>
        <v>1888864.6763837594</v>
      </c>
      <c r="AL557" s="186">
        <f t="shared" si="60"/>
        <v>1833.8492003725819</v>
      </c>
    </row>
    <row r="558" spans="1:38" customFormat="1" ht="57.6" x14ac:dyDescent="0.3">
      <c r="A558" s="140" t="s">
        <v>1442</v>
      </c>
      <c r="B558" s="140">
        <v>1</v>
      </c>
      <c r="C558" s="166" t="s">
        <v>836</v>
      </c>
      <c r="D558" s="140" t="str">
        <f t="shared" si="62"/>
        <v>3</v>
      </c>
      <c r="E558" s="166" t="s">
        <v>1051</v>
      </c>
      <c r="F558" s="140">
        <f t="shared" si="64"/>
        <v>1</v>
      </c>
      <c r="G558" s="140" t="str">
        <f t="shared" si="63"/>
        <v>1.3.1</v>
      </c>
      <c r="H558" s="166" t="s">
        <v>1688</v>
      </c>
      <c r="I558" s="166" t="s">
        <v>1053</v>
      </c>
      <c r="J558" s="166" t="s">
        <v>1026</v>
      </c>
      <c r="K558" s="166" t="s">
        <v>1297</v>
      </c>
      <c r="L558" s="167">
        <v>8000</v>
      </c>
      <c r="M558" s="166"/>
      <c r="N558" s="166"/>
      <c r="O558" s="164">
        <f t="shared" si="58"/>
        <v>0</v>
      </c>
      <c r="P558" s="166">
        <v>25</v>
      </c>
      <c r="Q558" s="166">
        <v>1</v>
      </c>
      <c r="R558" s="164">
        <f>$L558*'Pivot Objective'!$C$9*P558*Q558</f>
        <v>228584.21939999997</v>
      </c>
      <c r="S558" s="166"/>
      <c r="T558" s="166"/>
      <c r="U558" s="164">
        <f>($L558*'Pivot Objective'!$C$9^2)*S558*T558</f>
        <v>0</v>
      </c>
      <c r="V558" s="166"/>
      <c r="W558" s="166"/>
      <c r="X558" s="164">
        <f>($L558*'Pivot Objective'!$C$9^3)*V558*W558</f>
        <v>0</v>
      </c>
      <c r="Y558" s="166">
        <v>25</v>
      </c>
      <c r="Z558" s="166">
        <v>1</v>
      </c>
      <c r="AA558" s="164">
        <f>($L558*'Pivot Objective'!$C$9^4)*Y558*Z558</f>
        <v>341267.54881755944</v>
      </c>
      <c r="AB558" s="166"/>
      <c r="AC558" s="166"/>
      <c r="AD558" s="164">
        <f>($L558*'Pivot Objective'!$C$9^5)*AB558*AC558</f>
        <v>0</v>
      </c>
      <c r="AE558" s="166"/>
      <c r="AF558" s="166"/>
      <c r="AG558" s="164">
        <f>($L558*'Pivot Objective'!$C$9^6)*AE558*AF558</f>
        <v>0</v>
      </c>
      <c r="AH558" s="166">
        <v>25</v>
      </c>
      <c r="AI558" s="166">
        <v>1</v>
      </c>
      <c r="AJ558" s="164">
        <f>($L558*'Pivot Objective'!$C$9^7)*AH558*AI558</f>
        <v>509499.47543030314</v>
      </c>
      <c r="AK558" s="185">
        <f t="shared" si="59"/>
        <v>1079351.2436478627</v>
      </c>
      <c r="AL558" s="186">
        <f t="shared" si="60"/>
        <v>1047.9138287843327</v>
      </c>
    </row>
    <row r="559" spans="1:38" customFormat="1" ht="57.6" x14ac:dyDescent="0.3">
      <c r="A559" s="140" t="s">
        <v>1442</v>
      </c>
      <c r="B559" s="140">
        <v>1</v>
      </c>
      <c r="C559" s="166" t="s">
        <v>836</v>
      </c>
      <c r="D559" s="140" t="str">
        <f t="shared" si="62"/>
        <v>3</v>
      </c>
      <c r="E559" s="166" t="s">
        <v>1051</v>
      </c>
      <c r="F559" s="140">
        <f t="shared" si="64"/>
        <v>1</v>
      </c>
      <c r="G559" s="140" t="str">
        <f t="shared" si="63"/>
        <v>1.3.1</v>
      </c>
      <c r="H559" s="166" t="s">
        <v>1688</v>
      </c>
      <c r="I559" s="166" t="s">
        <v>1053</v>
      </c>
      <c r="J559" s="166" t="s">
        <v>1026</v>
      </c>
      <c r="K559" s="166" t="s">
        <v>710</v>
      </c>
      <c r="L559" s="166">
        <v>104850</v>
      </c>
      <c r="M559" s="166"/>
      <c r="N559" s="166"/>
      <c r="O559" s="164">
        <f t="shared" si="58"/>
        <v>0</v>
      </c>
      <c r="P559" s="166">
        <v>1</v>
      </c>
      <c r="Q559" s="166">
        <v>1</v>
      </c>
      <c r="R559" s="164">
        <f>$L559*'Pivot Objective'!$C$9*P559*Q559</f>
        <v>119835.27702044998</v>
      </c>
      <c r="S559" s="166"/>
      <c r="T559" s="166"/>
      <c r="U559" s="164">
        <f>($L559*'Pivot Objective'!$C$9^2)*S559*T559</f>
        <v>0</v>
      </c>
      <c r="V559" s="166"/>
      <c r="W559" s="166"/>
      <c r="X559" s="164">
        <f>($L559*'Pivot Objective'!$C$9^3)*V559*W559</f>
        <v>0</v>
      </c>
      <c r="Y559" s="166">
        <v>1</v>
      </c>
      <c r="Z559" s="166">
        <v>1</v>
      </c>
      <c r="AA559" s="164">
        <f>($L559*'Pivot Objective'!$C$9^4)*Y559*Z559</f>
        <v>178909.51246760553</v>
      </c>
      <c r="AB559" s="166"/>
      <c r="AC559" s="166"/>
      <c r="AD559" s="164">
        <f>($L559*'Pivot Objective'!$C$9^5)*AB559*AC559</f>
        <v>0</v>
      </c>
      <c r="AE559" s="166"/>
      <c r="AF559" s="166"/>
      <c r="AG559" s="164">
        <f>($L559*'Pivot Objective'!$C$9^6)*AE559*AF559</f>
        <v>0</v>
      </c>
      <c r="AH559" s="166">
        <v>1</v>
      </c>
      <c r="AI559" s="166">
        <v>1</v>
      </c>
      <c r="AJ559" s="164">
        <f>($L559*'Pivot Objective'!$C$9^7)*AH559*AI559</f>
        <v>267105.09999433643</v>
      </c>
      <c r="AK559" s="185">
        <f t="shared" si="59"/>
        <v>565849.889482392</v>
      </c>
      <c r="AL559" s="186">
        <f t="shared" si="60"/>
        <v>549.36882474018637</v>
      </c>
    </row>
    <row r="560" spans="1:38" customFormat="1" ht="57.6" x14ac:dyDescent="0.3">
      <c r="A560" s="140" t="s">
        <v>1442</v>
      </c>
      <c r="B560" s="140">
        <v>1</v>
      </c>
      <c r="C560" s="166" t="s">
        <v>836</v>
      </c>
      <c r="D560" s="140" t="str">
        <f t="shared" si="62"/>
        <v>3</v>
      </c>
      <c r="E560" s="166" t="s">
        <v>1051</v>
      </c>
      <c r="F560" s="140">
        <f t="shared" si="64"/>
        <v>1</v>
      </c>
      <c r="G560" s="140" t="str">
        <f t="shared" si="63"/>
        <v>1.3.1</v>
      </c>
      <c r="H560" s="166" t="s">
        <v>1688</v>
      </c>
      <c r="I560" s="166" t="s">
        <v>1053</v>
      </c>
      <c r="J560" s="166" t="s">
        <v>163</v>
      </c>
      <c r="K560" s="166" t="s">
        <v>713</v>
      </c>
      <c r="L560" s="166">
        <v>45000</v>
      </c>
      <c r="M560" s="166"/>
      <c r="N560" s="166"/>
      <c r="O560" s="164">
        <f t="shared" si="58"/>
        <v>0</v>
      </c>
      <c r="P560" s="166">
        <v>10</v>
      </c>
      <c r="Q560" s="166">
        <v>1</v>
      </c>
      <c r="R560" s="164">
        <f>$L560*'Pivot Objective'!$C$9*P560*Q560</f>
        <v>514314.49364999996</v>
      </c>
      <c r="S560" s="166"/>
      <c r="T560" s="166"/>
      <c r="U560" s="164">
        <f>($L560*'Pivot Objective'!$C$9^2)*S560*T560</f>
        <v>0</v>
      </c>
      <c r="V560" s="166"/>
      <c r="W560" s="166"/>
      <c r="X560" s="164">
        <f>($L560*'Pivot Objective'!$C$9^3)*V560*W560</f>
        <v>0</v>
      </c>
      <c r="Y560" s="166">
        <v>10</v>
      </c>
      <c r="Z560" s="166">
        <v>1</v>
      </c>
      <c r="AA560" s="164">
        <f>($L560*'Pivot Objective'!$C$9^4)*Y560*Z560</f>
        <v>767851.98483950866</v>
      </c>
      <c r="AB560" s="166"/>
      <c r="AC560" s="166"/>
      <c r="AD560" s="164">
        <f>($L560*'Pivot Objective'!$C$9^5)*AB560*AC560</f>
        <v>0</v>
      </c>
      <c r="AE560" s="166"/>
      <c r="AF560" s="166"/>
      <c r="AG560" s="164">
        <f>($L560*'Pivot Objective'!$C$9^6)*AE560*AF560</f>
        <v>0</v>
      </c>
      <c r="AH560" s="166">
        <v>10</v>
      </c>
      <c r="AI560" s="166">
        <v>1</v>
      </c>
      <c r="AJ560" s="164">
        <f>($L560*'Pivot Objective'!$C$9^7)*AH560*AI560</f>
        <v>1146373.8197181821</v>
      </c>
      <c r="AK560" s="185">
        <f t="shared" si="59"/>
        <v>2428540.2982076909</v>
      </c>
      <c r="AL560" s="186">
        <f t="shared" si="60"/>
        <v>2357.8061147647486</v>
      </c>
    </row>
    <row r="561" spans="1:38" customFormat="1" ht="57.6" x14ac:dyDescent="0.3">
      <c r="A561" s="140" t="s">
        <v>1442</v>
      </c>
      <c r="B561" s="140">
        <v>1</v>
      </c>
      <c r="C561" s="166" t="s">
        <v>836</v>
      </c>
      <c r="D561" s="140" t="str">
        <f t="shared" si="62"/>
        <v>3</v>
      </c>
      <c r="E561" s="166" t="s">
        <v>1051</v>
      </c>
      <c r="F561" s="140">
        <f t="shared" si="64"/>
        <v>1</v>
      </c>
      <c r="G561" s="140" t="str">
        <f t="shared" si="63"/>
        <v>1.3.1</v>
      </c>
      <c r="H561" s="166" t="s">
        <v>1688</v>
      </c>
      <c r="I561" s="166" t="s">
        <v>1053</v>
      </c>
      <c r="J561" s="166" t="s">
        <v>163</v>
      </c>
      <c r="K561" s="166" t="s">
        <v>712</v>
      </c>
      <c r="L561" s="166">
        <f>1480/7</f>
        <v>211.42857142857142</v>
      </c>
      <c r="M561" s="166"/>
      <c r="N561" s="166"/>
      <c r="O561" s="164">
        <f t="shared" si="58"/>
        <v>0</v>
      </c>
      <c r="P561" s="166">
        <f>2*9*25</f>
        <v>450</v>
      </c>
      <c r="Q561" s="166">
        <v>1</v>
      </c>
      <c r="R561" s="164">
        <f>$L561*'Pivot Objective'!$C$9*P561*Q561</f>
        <v>108740.77865742856</v>
      </c>
      <c r="S561" s="166"/>
      <c r="T561" s="166"/>
      <c r="U561" s="164">
        <f>($L561*'Pivot Objective'!$C$9^2)*S561*T561</f>
        <v>0</v>
      </c>
      <c r="V561" s="166"/>
      <c r="W561" s="166"/>
      <c r="X561" s="164">
        <f>($L561*'Pivot Objective'!$C$9^3)*V561*W561</f>
        <v>0</v>
      </c>
      <c r="Y561" s="166">
        <f>2*9*25</f>
        <v>450</v>
      </c>
      <c r="Z561" s="166">
        <v>1</v>
      </c>
      <c r="AA561" s="164">
        <f>($L561*'Pivot Objective'!$C$9^4)*Y561*Z561</f>
        <v>162345.8482232104</v>
      </c>
      <c r="AB561" s="166"/>
      <c r="AC561" s="166"/>
      <c r="AD561" s="164">
        <f>($L561*'Pivot Objective'!$C$9^5)*AB561*AC561</f>
        <v>0</v>
      </c>
      <c r="AE561" s="166"/>
      <c r="AF561" s="166"/>
      <c r="AG561" s="164">
        <f>($L561*'Pivot Objective'!$C$9^6)*AE561*AF561</f>
        <v>0</v>
      </c>
      <c r="AH561" s="166">
        <f>2*9*25</f>
        <v>450</v>
      </c>
      <c r="AI561" s="166">
        <v>1</v>
      </c>
      <c r="AJ561" s="164">
        <f>($L561*'Pivot Objective'!$C$9^7)*AH561*AI561</f>
        <v>242376.17902612989</v>
      </c>
      <c r="AK561" s="185">
        <f t="shared" si="59"/>
        <v>513462.80590676883</v>
      </c>
      <c r="AL561" s="186">
        <f t="shared" si="60"/>
        <v>498.50757855026097</v>
      </c>
    </row>
    <row r="562" spans="1:38" customFormat="1" ht="57.6" x14ac:dyDescent="0.3">
      <c r="A562" s="140" t="s">
        <v>1442</v>
      </c>
      <c r="B562" s="140">
        <v>1</v>
      </c>
      <c r="C562" s="166" t="s">
        <v>836</v>
      </c>
      <c r="D562" s="140" t="str">
        <f t="shared" si="62"/>
        <v>3</v>
      </c>
      <c r="E562" s="166" t="s">
        <v>1051</v>
      </c>
      <c r="F562" s="140">
        <f t="shared" si="64"/>
        <v>1</v>
      </c>
      <c r="G562" s="140" t="str">
        <f t="shared" si="63"/>
        <v>1.3.1</v>
      </c>
      <c r="H562" s="166" t="s">
        <v>1688</v>
      </c>
      <c r="I562" s="166" t="s">
        <v>1053</v>
      </c>
      <c r="J562" s="166" t="s">
        <v>163</v>
      </c>
      <c r="K562" s="166" t="s">
        <v>1320</v>
      </c>
      <c r="L562" s="166">
        <f>1480/7</f>
        <v>211.42857142857142</v>
      </c>
      <c r="M562" s="166"/>
      <c r="N562" s="166"/>
      <c r="O562" s="164">
        <f t="shared" si="58"/>
        <v>0</v>
      </c>
      <c r="P562" s="166">
        <f>2*135*9</f>
        <v>2430</v>
      </c>
      <c r="Q562" s="166">
        <v>1</v>
      </c>
      <c r="R562" s="164">
        <f>$L562*'Pivot Objective'!$C$9*P562*Q562</f>
        <v>587200.20475011424</v>
      </c>
      <c r="S562" s="166"/>
      <c r="T562" s="166"/>
      <c r="U562" s="164">
        <f>($L562*'Pivot Objective'!$C$9^2)*S562*T562</f>
        <v>0</v>
      </c>
      <c r="V562" s="166"/>
      <c r="W562" s="166"/>
      <c r="X562" s="164">
        <f>($L562*'Pivot Objective'!$C$9^3)*V562*W562</f>
        <v>0</v>
      </c>
      <c r="Y562" s="166">
        <f>2*135*9</f>
        <v>2430</v>
      </c>
      <c r="Z562" s="166">
        <v>1</v>
      </c>
      <c r="AA562" s="164">
        <f>($L562*'Pivot Objective'!$C$9^4)*Y562*Z562</f>
        <v>876667.58040533611</v>
      </c>
      <c r="AB562" s="166"/>
      <c r="AC562" s="166"/>
      <c r="AD562" s="164">
        <f>($L562*'Pivot Objective'!$C$9^5)*AB562*AC562</f>
        <v>0</v>
      </c>
      <c r="AE562" s="166"/>
      <c r="AF562" s="166"/>
      <c r="AG562" s="164">
        <f>($L562*'Pivot Objective'!$C$9^6)*AE562*AF562</f>
        <v>0</v>
      </c>
      <c r="AH562" s="166">
        <f>2*135*9</f>
        <v>2430</v>
      </c>
      <c r="AI562" s="166">
        <v>1</v>
      </c>
      <c r="AJ562" s="164">
        <f>($L562*'Pivot Objective'!$C$9^7)*AH562*AI562</f>
        <v>1308831.3667411015</v>
      </c>
      <c r="AK562" s="185">
        <f t="shared" si="59"/>
        <v>2772699.1518965522</v>
      </c>
      <c r="AL562" s="186">
        <f t="shared" si="60"/>
        <v>2691.9409241714097</v>
      </c>
    </row>
    <row r="563" spans="1:38" customFormat="1" ht="57.6" x14ac:dyDescent="0.3">
      <c r="A563" s="140" t="s">
        <v>1442</v>
      </c>
      <c r="B563" s="140">
        <v>1</v>
      </c>
      <c r="C563" s="166" t="s">
        <v>836</v>
      </c>
      <c r="D563" s="140" t="str">
        <f t="shared" si="62"/>
        <v>3</v>
      </c>
      <c r="E563" s="166" t="s">
        <v>1051</v>
      </c>
      <c r="F563" s="140">
        <f t="shared" si="64"/>
        <v>1</v>
      </c>
      <c r="G563" s="140" t="str">
        <f t="shared" si="63"/>
        <v>1.3.1</v>
      </c>
      <c r="H563" s="166" t="s">
        <v>1688</v>
      </c>
      <c r="I563" s="166" t="s">
        <v>1053</v>
      </c>
      <c r="J563" s="166" t="s">
        <v>1027</v>
      </c>
      <c r="K563" s="166" t="s">
        <v>709</v>
      </c>
      <c r="L563" s="166">
        <v>35000</v>
      </c>
      <c r="M563" s="166"/>
      <c r="N563" s="166"/>
      <c r="O563" s="164">
        <f t="shared" si="58"/>
        <v>0</v>
      </c>
      <c r="P563" s="166">
        <v>30</v>
      </c>
      <c r="Q563" s="166">
        <v>5</v>
      </c>
      <c r="R563" s="164">
        <f>$L563*'Pivot Objective'!$C$9*P563*Q563</f>
        <v>6000335.7592499992</v>
      </c>
      <c r="S563" s="166"/>
      <c r="T563" s="166"/>
      <c r="U563" s="164">
        <f>($L563*'Pivot Objective'!$C$9^2)*S563*T563</f>
        <v>0</v>
      </c>
      <c r="V563" s="166"/>
      <c r="W563" s="166"/>
      <c r="X563" s="164">
        <f>($L563*'Pivot Objective'!$C$9^3)*V563*W563</f>
        <v>0</v>
      </c>
      <c r="Y563" s="166">
        <v>30</v>
      </c>
      <c r="Z563" s="166">
        <v>5</v>
      </c>
      <c r="AA563" s="164">
        <f>($L563*'Pivot Objective'!$C$9^4)*Y563*Z563</f>
        <v>8958273.1564609352</v>
      </c>
      <c r="AB563" s="166"/>
      <c r="AC563" s="166"/>
      <c r="AD563" s="164">
        <f>($L563*'Pivot Objective'!$C$9^5)*AB563*AC563</f>
        <v>0</v>
      </c>
      <c r="AE563" s="166"/>
      <c r="AF563" s="166"/>
      <c r="AG563" s="164">
        <f>($L563*'Pivot Objective'!$C$9^6)*AE563*AF563</f>
        <v>0</v>
      </c>
      <c r="AH563" s="166">
        <v>30</v>
      </c>
      <c r="AI563" s="166">
        <v>5</v>
      </c>
      <c r="AJ563" s="164">
        <f>($L563*'Pivot Objective'!$C$9^7)*AH563*AI563</f>
        <v>13374361.230045456</v>
      </c>
      <c r="AK563" s="185">
        <f t="shared" si="59"/>
        <v>28332970.14575639</v>
      </c>
      <c r="AL563" s="186">
        <f t="shared" si="60"/>
        <v>27507.73800558873</v>
      </c>
    </row>
    <row r="564" spans="1:38" customFormat="1" ht="57.6" x14ac:dyDescent="0.3">
      <c r="A564" s="140" t="s">
        <v>1442</v>
      </c>
      <c r="B564" s="140">
        <v>1</v>
      </c>
      <c r="C564" s="166" t="s">
        <v>836</v>
      </c>
      <c r="D564" s="140" t="str">
        <f t="shared" si="62"/>
        <v>3</v>
      </c>
      <c r="E564" s="166" t="s">
        <v>1051</v>
      </c>
      <c r="F564" s="140">
        <f t="shared" si="64"/>
        <v>1</v>
      </c>
      <c r="G564" s="140" t="str">
        <f t="shared" si="63"/>
        <v>1.3.1</v>
      </c>
      <c r="H564" s="166" t="s">
        <v>1688</v>
      </c>
      <c r="I564" s="166" t="s">
        <v>1053</v>
      </c>
      <c r="J564" s="166" t="s">
        <v>157</v>
      </c>
      <c r="K564" s="166" t="s">
        <v>713</v>
      </c>
      <c r="L564" s="166">
        <v>45000</v>
      </c>
      <c r="M564" s="166"/>
      <c r="N564" s="166"/>
      <c r="O564" s="164">
        <f t="shared" si="58"/>
        <v>0</v>
      </c>
      <c r="P564" s="166">
        <v>30</v>
      </c>
      <c r="Q564" s="166">
        <v>6</v>
      </c>
      <c r="R564" s="164">
        <f>$L564*'Pivot Objective'!$C$9*P564*Q564</f>
        <v>9257660.8856999986</v>
      </c>
      <c r="S564" s="166"/>
      <c r="T564" s="166"/>
      <c r="U564" s="164">
        <f>($L564*'Pivot Objective'!$C$9^2)*S564*T564</f>
        <v>0</v>
      </c>
      <c r="V564" s="166"/>
      <c r="W564" s="166"/>
      <c r="X564" s="164">
        <f>($L564*'Pivot Objective'!$C$9^3)*V564*W564</f>
        <v>0</v>
      </c>
      <c r="Y564" s="166">
        <v>30</v>
      </c>
      <c r="Z564" s="166">
        <v>6</v>
      </c>
      <c r="AA564" s="164">
        <f>($L564*'Pivot Objective'!$C$9^4)*Y564*Z564</f>
        <v>13821335.727111155</v>
      </c>
      <c r="AB564" s="166"/>
      <c r="AC564" s="166"/>
      <c r="AD564" s="164">
        <f>($L564*'Pivot Objective'!$C$9^5)*AB564*AC564</f>
        <v>0</v>
      </c>
      <c r="AE564" s="166"/>
      <c r="AF564" s="166"/>
      <c r="AG564" s="164">
        <f>($L564*'Pivot Objective'!$C$9^6)*AE564*AF564</f>
        <v>0</v>
      </c>
      <c r="AH564" s="166">
        <v>30</v>
      </c>
      <c r="AI564" s="166">
        <v>6</v>
      </c>
      <c r="AJ564" s="164">
        <f>($L564*'Pivot Objective'!$C$9^7)*AH564*AI564</f>
        <v>20634728.754927278</v>
      </c>
      <c r="AK564" s="185">
        <f t="shared" si="59"/>
        <v>43713725.367738433</v>
      </c>
      <c r="AL564" s="186">
        <f t="shared" si="60"/>
        <v>42440.510065765469</v>
      </c>
    </row>
    <row r="565" spans="1:38" customFormat="1" ht="57.6" x14ac:dyDescent="0.3">
      <c r="A565" s="140" t="s">
        <v>1442</v>
      </c>
      <c r="B565" s="140">
        <v>1</v>
      </c>
      <c r="C565" s="166" t="s">
        <v>836</v>
      </c>
      <c r="D565" s="140" t="str">
        <f t="shared" si="62"/>
        <v>3</v>
      </c>
      <c r="E565" s="166" t="s">
        <v>1051</v>
      </c>
      <c r="F565" s="140">
        <f t="shared" si="64"/>
        <v>1</v>
      </c>
      <c r="G565" s="140" t="str">
        <f t="shared" si="63"/>
        <v>1.3.1</v>
      </c>
      <c r="H565" s="166" t="s">
        <v>1688</v>
      </c>
      <c r="I565" s="166" t="s">
        <v>1053</v>
      </c>
      <c r="J565" s="166" t="s">
        <v>157</v>
      </c>
      <c r="K565" s="166" t="s">
        <v>712</v>
      </c>
      <c r="L565" s="166">
        <f>1480/7</f>
        <v>211.42857142857142</v>
      </c>
      <c r="M565" s="166"/>
      <c r="N565" s="166"/>
      <c r="O565" s="164">
        <f t="shared" si="58"/>
        <v>0</v>
      </c>
      <c r="P565" s="166">
        <f>25*2*9</f>
        <v>450</v>
      </c>
      <c r="Q565" s="166">
        <v>5</v>
      </c>
      <c r="R565" s="164">
        <f>$L565*'Pivot Objective'!$C$9*P565*Q565</f>
        <v>543703.89328714274</v>
      </c>
      <c r="S565" s="166"/>
      <c r="T565" s="166"/>
      <c r="U565" s="164">
        <f>($L565*'Pivot Objective'!$C$9^2)*S565*T565</f>
        <v>0</v>
      </c>
      <c r="V565" s="166"/>
      <c r="W565" s="166"/>
      <c r="X565" s="164">
        <f>($L565*'Pivot Objective'!$C$9^3)*V565*W565</f>
        <v>0</v>
      </c>
      <c r="Y565" s="166">
        <f>25*2*9</f>
        <v>450</v>
      </c>
      <c r="Z565" s="166">
        <v>5</v>
      </c>
      <c r="AA565" s="164">
        <f>($L565*'Pivot Objective'!$C$9^4)*Y565*Z565</f>
        <v>811729.24111605203</v>
      </c>
      <c r="AB565" s="166"/>
      <c r="AC565" s="166"/>
      <c r="AD565" s="164">
        <f>($L565*'Pivot Objective'!$C$9^5)*AB565*AC565</f>
        <v>0</v>
      </c>
      <c r="AE565" s="166"/>
      <c r="AF565" s="166"/>
      <c r="AG565" s="164">
        <f>($L565*'Pivot Objective'!$C$9^6)*AE565*AF565</f>
        <v>0</v>
      </c>
      <c r="AH565" s="166">
        <f>25*2*9</f>
        <v>450</v>
      </c>
      <c r="AI565" s="166">
        <v>5</v>
      </c>
      <c r="AJ565" s="164">
        <f>($L565*'Pivot Objective'!$C$9^7)*AH565*AI565</f>
        <v>1211880.8951306494</v>
      </c>
      <c r="AK565" s="185">
        <f t="shared" si="59"/>
        <v>2567314.0295338444</v>
      </c>
      <c r="AL565" s="186">
        <f t="shared" si="60"/>
        <v>2492.5378927513052</v>
      </c>
    </row>
    <row r="566" spans="1:38" customFormat="1" ht="57.6" x14ac:dyDescent="0.3">
      <c r="A566" s="140" t="s">
        <v>1442</v>
      </c>
      <c r="B566" s="140">
        <v>1</v>
      </c>
      <c r="C566" s="166" t="s">
        <v>836</v>
      </c>
      <c r="D566" s="140" t="str">
        <f t="shared" si="62"/>
        <v>3</v>
      </c>
      <c r="E566" s="166" t="s">
        <v>1051</v>
      </c>
      <c r="F566" s="140">
        <f t="shared" si="64"/>
        <v>1</v>
      </c>
      <c r="G566" s="140" t="str">
        <f t="shared" si="63"/>
        <v>1.3.1</v>
      </c>
      <c r="H566" s="166" t="s">
        <v>1688</v>
      </c>
      <c r="I566" s="166" t="s">
        <v>1053</v>
      </c>
      <c r="J566" s="166" t="s">
        <v>157</v>
      </c>
      <c r="K566" s="166" t="s">
        <v>1320</v>
      </c>
      <c r="L566" s="166">
        <f>1480/7</f>
        <v>211.42857142857142</v>
      </c>
      <c r="M566" s="166"/>
      <c r="N566" s="166"/>
      <c r="O566" s="164">
        <f t="shared" si="58"/>
        <v>0</v>
      </c>
      <c r="P566" s="166">
        <f>2*135*9</f>
        <v>2430</v>
      </c>
      <c r="Q566" s="166">
        <v>5</v>
      </c>
      <c r="R566" s="164">
        <f>$L566*'Pivot Objective'!$C$9*P566*Q566</f>
        <v>2936001.0237505711</v>
      </c>
      <c r="S566" s="166"/>
      <c r="T566" s="166"/>
      <c r="U566" s="164">
        <f>($L566*'Pivot Objective'!$C$9^2)*S566*T566</f>
        <v>0</v>
      </c>
      <c r="V566" s="166"/>
      <c r="W566" s="166"/>
      <c r="X566" s="164">
        <f>($L566*'Pivot Objective'!$C$9^3)*V566*W566</f>
        <v>0</v>
      </c>
      <c r="Y566" s="166">
        <f>2*135*9</f>
        <v>2430</v>
      </c>
      <c r="Z566" s="166">
        <v>5</v>
      </c>
      <c r="AA566" s="164">
        <f>($L566*'Pivot Objective'!$C$9^4)*Y566*Z566</f>
        <v>4383337.9020266803</v>
      </c>
      <c r="AB566" s="166"/>
      <c r="AC566" s="166"/>
      <c r="AD566" s="164">
        <f>($L566*'Pivot Objective'!$C$9^5)*AB566*AC566</f>
        <v>0</v>
      </c>
      <c r="AE566" s="166"/>
      <c r="AF566" s="166"/>
      <c r="AG566" s="164">
        <f>($L566*'Pivot Objective'!$C$9^6)*AE566*AF566</f>
        <v>0</v>
      </c>
      <c r="AH566" s="166">
        <f>2*135*9</f>
        <v>2430</v>
      </c>
      <c r="AI566" s="166">
        <v>5</v>
      </c>
      <c r="AJ566" s="164">
        <f>($L566*'Pivot Objective'!$C$9^7)*AH566*AI566</f>
        <v>6544156.8337055072</v>
      </c>
      <c r="AK566" s="185">
        <f t="shared" si="59"/>
        <v>13863495.759482758</v>
      </c>
      <c r="AL566" s="186">
        <f t="shared" si="60"/>
        <v>13459.704620857046</v>
      </c>
    </row>
    <row r="567" spans="1:38" customFormat="1" ht="57.6" x14ac:dyDescent="0.3">
      <c r="A567" s="140" t="s">
        <v>1442</v>
      </c>
      <c r="B567" s="140">
        <v>1</v>
      </c>
      <c r="C567" s="166" t="s">
        <v>836</v>
      </c>
      <c r="D567" s="140" t="str">
        <f t="shared" si="62"/>
        <v>3</v>
      </c>
      <c r="E567" s="166" t="s">
        <v>1051</v>
      </c>
      <c r="F567" s="140">
        <f t="shared" si="64"/>
        <v>1</v>
      </c>
      <c r="G567" s="140" t="str">
        <f t="shared" si="63"/>
        <v>1.3.1</v>
      </c>
      <c r="H567" s="166" t="s">
        <v>1688</v>
      </c>
      <c r="I567" s="166" t="s">
        <v>1053</v>
      </c>
      <c r="J567" s="166" t="s">
        <v>157</v>
      </c>
      <c r="K567" s="166" t="s">
        <v>714</v>
      </c>
      <c r="L567" s="166">
        <v>10000</v>
      </c>
      <c r="M567" s="166"/>
      <c r="N567" s="166"/>
      <c r="O567" s="164">
        <f t="shared" si="58"/>
        <v>0</v>
      </c>
      <c r="P567" s="166">
        <v>30</v>
      </c>
      <c r="Q567" s="166">
        <v>5</v>
      </c>
      <c r="R567" s="164">
        <f>$L567*'Pivot Objective'!$C$9*P567*Q567</f>
        <v>1714381.6454999999</v>
      </c>
      <c r="S567" s="166"/>
      <c r="T567" s="166"/>
      <c r="U567" s="164">
        <f>($L567*'Pivot Objective'!$C$9^2)*S567*T567</f>
        <v>0</v>
      </c>
      <c r="V567" s="166"/>
      <c r="W567" s="166"/>
      <c r="X567" s="164">
        <f>($L567*'Pivot Objective'!$C$9^3)*V567*W567</f>
        <v>0</v>
      </c>
      <c r="Y567" s="166">
        <v>30</v>
      </c>
      <c r="Z567" s="166">
        <v>5</v>
      </c>
      <c r="AA567" s="164">
        <f>($L567*'Pivot Objective'!$C$9^4)*Y567*Z567</f>
        <v>2559506.6161316959</v>
      </c>
      <c r="AB567" s="166"/>
      <c r="AC567" s="166"/>
      <c r="AD567" s="164">
        <f>($L567*'Pivot Objective'!$C$9^5)*AB567*AC567</f>
        <v>0</v>
      </c>
      <c r="AE567" s="166"/>
      <c r="AF567" s="166"/>
      <c r="AG567" s="164">
        <f>($L567*'Pivot Objective'!$C$9^6)*AE567*AF567</f>
        <v>0</v>
      </c>
      <c r="AH567" s="166">
        <v>30</v>
      </c>
      <c r="AI567" s="166">
        <v>5</v>
      </c>
      <c r="AJ567" s="164">
        <f>($L567*'Pivot Objective'!$C$9^7)*AH567*AI567</f>
        <v>3821246.065727273</v>
      </c>
      <c r="AK567" s="185">
        <f t="shared" si="59"/>
        <v>8095134.3273589686</v>
      </c>
      <c r="AL567" s="186">
        <f t="shared" si="60"/>
        <v>7859.3537158824938</v>
      </c>
    </row>
    <row r="568" spans="1:38" customFormat="1" ht="57.6" x14ac:dyDescent="0.3">
      <c r="A568" s="140" t="s">
        <v>1442</v>
      </c>
      <c r="B568" s="140">
        <v>1</v>
      </c>
      <c r="C568" s="166" t="s">
        <v>836</v>
      </c>
      <c r="D568" s="140" t="str">
        <f t="shared" si="62"/>
        <v>3</v>
      </c>
      <c r="E568" s="166" t="s">
        <v>1051</v>
      </c>
      <c r="F568" s="140">
        <f t="shared" si="64"/>
        <v>1</v>
      </c>
      <c r="G568" s="140" t="str">
        <f t="shared" si="63"/>
        <v>1.3.1</v>
      </c>
      <c r="H568" s="166" t="s">
        <v>1688</v>
      </c>
      <c r="I568" s="166" t="s">
        <v>1053</v>
      </c>
      <c r="J568" s="166" t="s">
        <v>1004</v>
      </c>
      <c r="K568" s="166" t="s">
        <v>709</v>
      </c>
      <c r="L568" s="166">
        <v>35000</v>
      </c>
      <c r="M568" s="166"/>
      <c r="N568" s="166"/>
      <c r="O568" s="164">
        <f t="shared" si="58"/>
        <v>0</v>
      </c>
      <c r="P568" s="166">
        <v>30</v>
      </c>
      <c r="Q568" s="166">
        <v>5</v>
      </c>
      <c r="R568" s="164">
        <f>$L568*'Pivot Objective'!$C$9*P568*Q568</f>
        <v>6000335.7592499992</v>
      </c>
      <c r="S568" s="166"/>
      <c r="T568" s="166"/>
      <c r="U568" s="164">
        <f>($L568*'Pivot Objective'!$C$9^2)*S568*T568</f>
        <v>0</v>
      </c>
      <c r="V568" s="166"/>
      <c r="W568" s="166"/>
      <c r="X568" s="164">
        <f>($L568*'Pivot Objective'!$C$9^3)*V568*W568</f>
        <v>0</v>
      </c>
      <c r="Y568" s="166">
        <v>30</v>
      </c>
      <c r="Z568" s="166">
        <v>5</v>
      </c>
      <c r="AA568" s="164">
        <f>($L568*'Pivot Objective'!$C$9^4)*Y568*Z568</f>
        <v>8958273.1564609352</v>
      </c>
      <c r="AB568" s="166"/>
      <c r="AC568" s="166"/>
      <c r="AD568" s="164">
        <f>($L568*'Pivot Objective'!$C$9^5)*AB568*AC568</f>
        <v>0</v>
      </c>
      <c r="AE568" s="166"/>
      <c r="AF568" s="166"/>
      <c r="AG568" s="164">
        <f>($L568*'Pivot Objective'!$C$9^6)*AE568*AF568</f>
        <v>0</v>
      </c>
      <c r="AH568" s="166">
        <v>30</v>
      </c>
      <c r="AI568" s="166">
        <v>5</v>
      </c>
      <c r="AJ568" s="164">
        <f>($L568*'Pivot Objective'!$C$9^7)*AH568*AI568</f>
        <v>13374361.230045456</v>
      </c>
      <c r="AK568" s="185">
        <f t="shared" si="59"/>
        <v>28332970.14575639</v>
      </c>
      <c r="AL568" s="186">
        <f t="shared" si="60"/>
        <v>27507.73800558873</v>
      </c>
    </row>
    <row r="569" spans="1:38" customFormat="1" ht="57.6" x14ac:dyDescent="0.3">
      <c r="A569" s="140" t="s">
        <v>1442</v>
      </c>
      <c r="B569" s="140">
        <v>1</v>
      </c>
      <c r="C569" s="166" t="s">
        <v>836</v>
      </c>
      <c r="D569" s="140" t="str">
        <f t="shared" si="62"/>
        <v>3</v>
      </c>
      <c r="E569" s="166" t="s">
        <v>1051</v>
      </c>
      <c r="F569" s="140">
        <f t="shared" si="64"/>
        <v>1</v>
      </c>
      <c r="G569" s="140" t="str">
        <f t="shared" si="63"/>
        <v>1.3.1</v>
      </c>
      <c r="H569" s="166" t="s">
        <v>1688</v>
      </c>
      <c r="I569" s="166" t="s">
        <v>1053</v>
      </c>
      <c r="J569" s="166" t="s">
        <v>1004</v>
      </c>
      <c r="K569" s="166" t="s">
        <v>716</v>
      </c>
      <c r="L569" s="166">
        <v>39000</v>
      </c>
      <c r="M569" s="166"/>
      <c r="N569" s="166"/>
      <c r="O569" s="164">
        <f t="shared" si="58"/>
        <v>0</v>
      </c>
      <c r="P569" s="166">
        <v>30</v>
      </c>
      <c r="Q569" s="166">
        <v>6</v>
      </c>
      <c r="R569" s="164">
        <f>$L569*'Pivot Objective'!$C$9*P569*Q569</f>
        <v>8023306.1009399984</v>
      </c>
      <c r="S569" s="166"/>
      <c r="T569" s="166"/>
      <c r="U569" s="164">
        <f>($L569*'Pivot Objective'!$C$9^2)*S569*T569</f>
        <v>0</v>
      </c>
      <c r="V569" s="166"/>
      <c r="W569" s="166"/>
      <c r="X569" s="164">
        <f>($L569*'Pivot Objective'!$C$9^3)*V569*W569</f>
        <v>0</v>
      </c>
      <c r="Y569" s="166">
        <v>30</v>
      </c>
      <c r="Z569" s="166">
        <v>6</v>
      </c>
      <c r="AA569" s="164">
        <f>($L569*'Pivot Objective'!$C$9^4)*Y569*Z569</f>
        <v>11978490.963496335</v>
      </c>
      <c r="AB569" s="166"/>
      <c r="AC569" s="166"/>
      <c r="AD569" s="164">
        <f>($L569*'Pivot Objective'!$C$9^5)*AB569*AC569</f>
        <v>0</v>
      </c>
      <c r="AE569" s="166"/>
      <c r="AF569" s="166"/>
      <c r="AG569" s="164">
        <f>($L569*'Pivot Objective'!$C$9^6)*AE569*AF569</f>
        <v>0</v>
      </c>
      <c r="AH569" s="166">
        <v>30</v>
      </c>
      <c r="AI569" s="166">
        <v>6</v>
      </c>
      <c r="AJ569" s="164">
        <f>($L569*'Pivot Objective'!$C$9^7)*AH569*AI569</f>
        <v>17883431.58760364</v>
      </c>
      <c r="AK569" s="185">
        <f t="shared" si="59"/>
        <v>37885228.652039975</v>
      </c>
      <c r="AL569" s="186">
        <f t="shared" si="60"/>
        <v>36781.775390330076</v>
      </c>
    </row>
    <row r="570" spans="1:38" customFormat="1" ht="57.6" x14ac:dyDescent="0.3">
      <c r="A570" s="140" t="s">
        <v>1442</v>
      </c>
      <c r="B570" s="140">
        <v>1</v>
      </c>
      <c r="C570" s="166" t="s">
        <v>836</v>
      </c>
      <c r="D570" s="140" t="str">
        <f t="shared" si="62"/>
        <v>3</v>
      </c>
      <c r="E570" s="166" t="s">
        <v>1051</v>
      </c>
      <c r="F570" s="140">
        <f t="shared" si="64"/>
        <v>1</v>
      </c>
      <c r="G570" s="140" t="str">
        <f t="shared" si="63"/>
        <v>1.3.1</v>
      </c>
      <c r="H570" s="166" t="s">
        <v>1688</v>
      </c>
      <c r="I570" s="166" t="s">
        <v>1053</v>
      </c>
      <c r="J570" s="166" t="s">
        <v>1004</v>
      </c>
      <c r="K570" s="166" t="s">
        <v>712</v>
      </c>
      <c r="L570" s="166">
        <f>1480/7</f>
        <v>211.42857142857142</v>
      </c>
      <c r="M570" s="166"/>
      <c r="N570" s="166"/>
      <c r="O570" s="164">
        <f t="shared" si="58"/>
        <v>0</v>
      </c>
      <c r="P570" s="166">
        <f>25*2*9</f>
        <v>450</v>
      </c>
      <c r="Q570" s="166">
        <v>5</v>
      </c>
      <c r="R570" s="164">
        <f>$L570*'Pivot Objective'!$C$9*P570*Q570</f>
        <v>543703.89328714274</v>
      </c>
      <c r="S570" s="166"/>
      <c r="T570" s="166"/>
      <c r="U570" s="164">
        <f>($L570*'Pivot Objective'!$C$9^2)*S570*T570</f>
        <v>0</v>
      </c>
      <c r="V570" s="166"/>
      <c r="W570" s="166"/>
      <c r="X570" s="164">
        <f>($L570*'Pivot Objective'!$C$9^3)*V570*W570</f>
        <v>0</v>
      </c>
      <c r="Y570" s="166">
        <f>25*2*9</f>
        <v>450</v>
      </c>
      <c r="Z570" s="166">
        <v>5</v>
      </c>
      <c r="AA570" s="164">
        <f>($L570*'Pivot Objective'!$C$9^4)*Y570*Z570</f>
        <v>811729.24111605203</v>
      </c>
      <c r="AB570" s="166"/>
      <c r="AC570" s="166"/>
      <c r="AD570" s="164">
        <f>($L570*'Pivot Objective'!$C$9^5)*AB570*AC570</f>
        <v>0</v>
      </c>
      <c r="AE570" s="166"/>
      <c r="AF570" s="166"/>
      <c r="AG570" s="164">
        <f>($L570*'Pivot Objective'!$C$9^6)*AE570*AF570</f>
        <v>0</v>
      </c>
      <c r="AH570" s="166">
        <f>25*2*9</f>
        <v>450</v>
      </c>
      <c r="AI570" s="166">
        <v>5</v>
      </c>
      <c r="AJ570" s="164">
        <f>($L570*'Pivot Objective'!$C$9^7)*AH570*AI570</f>
        <v>1211880.8951306494</v>
      </c>
      <c r="AK570" s="185">
        <f t="shared" si="59"/>
        <v>2567314.0295338444</v>
      </c>
      <c r="AL570" s="186">
        <f t="shared" si="60"/>
        <v>2492.5378927513052</v>
      </c>
    </row>
    <row r="571" spans="1:38" customFormat="1" ht="57.6" x14ac:dyDescent="0.3">
      <c r="A571" s="140" t="s">
        <v>1442</v>
      </c>
      <c r="B571" s="140">
        <v>1</v>
      </c>
      <c r="C571" s="166" t="s">
        <v>836</v>
      </c>
      <c r="D571" s="140" t="str">
        <f t="shared" si="62"/>
        <v>3</v>
      </c>
      <c r="E571" s="166" t="s">
        <v>1051</v>
      </c>
      <c r="F571" s="140">
        <f t="shared" si="64"/>
        <v>1</v>
      </c>
      <c r="G571" s="140" t="str">
        <f t="shared" si="63"/>
        <v>1.3.1</v>
      </c>
      <c r="H571" s="166" t="s">
        <v>1688</v>
      </c>
      <c r="I571" s="166" t="s">
        <v>1053</v>
      </c>
      <c r="J571" s="166" t="s">
        <v>1004</v>
      </c>
      <c r="K571" s="166" t="s">
        <v>1320</v>
      </c>
      <c r="L571" s="166">
        <f>1480/7</f>
        <v>211.42857142857142</v>
      </c>
      <c r="M571" s="166"/>
      <c r="N571" s="166"/>
      <c r="O571" s="164">
        <f t="shared" si="58"/>
        <v>0</v>
      </c>
      <c r="P571" s="166">
        <f>2*135*9</f>
        <v>2430</v>
      </c>
      <c r="Q571" s="166">
        <v>1</v>
      </c>
      <c r="R571" s="164">
        <f>$L571*'Pivot Objective'!$C$9*P571*Q571</f>
        <v>587200.20475011424</v>
      </c>
      <c r="S571" s="166"/>
      <c r="T571" s="166"/>
      <c r="U571" s="164">
        <f>($L571*'Pivot Objective'!$C$9^2)*S571*T571</f>
        <v>0</v>
      </c>
      <c r="V571" s="166"/>
      <c r="W571" s="166"/>
      <c r="X571" s="164">
        <f>($L571*'Pivot Objective'!$C$9^3)*V571*W571</f>
        <v>0</v>
      </c>
      <c r="Y571" s="166">
        <f>2*135*9</f>
        <v>2430</v>
      </c>
      <c r="Z571" s="166">
        <v>1</v>
      </c>
      <c r="AA571" s="164">
        <f>($L571*'Pivot Objective'!$C$9^4)*Y571*Z571</f>
        <v>876667.58040533611</v>
      </c>
      <c r="AB571" s="166"/>
      <c r="AC571" s="166"/>
      <c r="AD571" s="164">
        <f>($L571*'Pivot Objective'!$C$9^5)*AB571*AC571</f>
        <v>0</v>
      </c>
      <c r="AE571" s="166"/>
      <c r="AF571" s="166"/>
      <c r="AG571" s="164">
        <f>($L571*'Pivot Objective'!$C$9^6)*AE571*AF571</f>
        <v>0</v>
      </c>
      <c r="AH571" s="166">
        <f>2*135*9</f>
        <v>2430</v>
      </c>
      <c r="AI571" s="166">
        <v>1</v>
      </c>
      <c r="AJ571" s="164">
        <f>($L571*'Pivot Objective'!$C$9^7)*AH571*AI571</f>
        <v>1308831.3667411015</v>
      </c>
      <c r="AK571" s="185">
        <f t="shared" si="59"/>
        <v>2772699.1518965522</v>
      </c>
      <c r="AL571" s="186">
        <f t="shared" si="60"/>
        <v>2691.9409241714097</v>
      </c>
    </row>
    <row r="572" spans="1:38" customFormat="1" ht="57.6" x14ac:dyDescent="0.3">
      <c r="A572" s="140" t="s">
        <v>1442</v>
      </c>
      <c r="B572" s="140">
        <v>1</v>
      </c>
      <c r="C572" s="166" t="s">
        <v>836</v>
      </c>
      <c r="D572" s="140" t="str">
        <f t="shared" si="62"/>
        <v>3</v>
      </c>
      <c r="E572" s="166" t="s">
        <v>1051</v>
      </c>
      <c r="F572" s="140">
        <f t="shared" si="64"/>
        <v>1</v>
      </c>
      <c r="G572" s="140" t="str">
        <f t="shared" si="63"/>
        <v>1.3.1</v>
      </c>
      <c r="H572" s="166" t="s">
        <v>1688</v>
      </c>
      <c r="I572" s="166" t="s">
        <v>1053</v>
      </c>
      <c r="J572" s="166" t="s">
        <v>1319</v>
      </c>
      <c r="K572" s="166" t="s">
        <v>709</v>
      </c>
      <c r="L572" s="166">
        <v>35000</v>
      </c>
      <c r="M572" s="166"/>
      <c r="N572" s="166"/>
      <c r="O572" s="164">
        <f t="shared" si="58"/>
        <v>0</v>
      </c>
      <c r="P572" s="166">
        <v>100</v>
      </c>
      <c r="Q572" s="166">
        <v>5</v>
      </c>
      <c r="R572" s="164">
        <f>$L572*'Pivot Objective'!$C$9*P572*Q572</f>
        <v>20001119.197499998</v>
      </c>
      <c r="S572" s="166"/>
      <c r="T572" s="166"/>
      <c r="U572" s="164">
        <f>($L572*'Pivot Objective'!$C$9^2)*S572*T572</f>
        <v>0</v>
      </c>
      <c r="V572" s="166"/>
      <c r="W572" s="166"/>
      <c r="X572" s="164">
        <f>($L572*'Pivot Objective'!$C$9^3)*V572*W572</f>
        <v>0</v>
      </c>
      <c r="Y572" s="166">
        <v>100</v>
      </c>
      <c r="Z572" s="166">
        <v>5</v>
      </c>
      <c r="AA572" s="164">
        <f>($L572*'Pivot Objective'!$C$9^4)*Y572*Z572</f>
        <v>29860910.521536451</v>
      </c>
      <c r="AB572" s="166"/>
      <c r="AC572" s="166"/>
      <c r="AD572" s="164">
        <f>($L572*'Pivot Objective'!$C$9^5)*AB572*AC572</f>
        <v>0</v>
      </c>
      <c r="AE572" s="166"/>
      <c r="AF572" s="166"/>
      <c r="AG572" s="164">
        <f>($L572*'Pivot Objective'!$C$9^6)*AE572*AF572</f>
        <v>0</v>
      </c>
      <c r="AH572" s="166">
        <v>100</v>
      </c>
      <c r="AI572" s="166">
        <v>5</v>
      </c>
      <c r="AJ572" s="164">
        <f>($L572*'Pivot Objective'!$C$9^7)*AH572*AI572</f>
        <v>44581204.100151524</v>
      </c>
      <c r="AK572" s="185">
        <f t="shared" si="59"/>
        <v>94443233.819187969</v>
      </c>
      <c r="AL572" s="186">
        <f t="shared" si="60"/>
        <v>91692.460018629092</v>
      </c>
    </row>
    <row r="573" spans="1:38" customFormat="1" ht="57.6" x14ac:dyDescent="0.3">
      <c r="A573" s="140" t="s">
        <v>1442</v>
      </c>
      <c r="B573" s="140">
        <v>1</v>
      </c>
      <c r="C573" s="166" t="s">
        <v>836</v>
      </c>
      <c r="D573" s="140" t="str">
        <f t="shared" si="62"/>
        <v>3</v>
      </c>
      <c r="E573" s="166" t="s">
        <v>1051</v>
      </c>
      <c r="F573" s="140">
        <f t="shared" si="64"/>
        <v>1</v>
      </c>
      <c r="G573" s="140" t="str">
        <f t="shared" si="63"/>
        <v>1.3.1</v>
      </c>
      <c r="H573" s="166" t="s">
        <v>1688</v>
      </c>
      <c r="I573" s="166" t="s">
        <v>1053</v>
      </c>
      <c r="J573" s="166" t="s">
        <v>1319</v>
      </c>
      <c r="K573" s="166" t="s">
        <v>713</v>
      </c>
      <c r="L573" s="166">
        <v>45000</v>
      </c>
      <c r="M573" s="166"/>
      <c r="N573" s="166"/>
      <c r="O573" s="164">
        <f t="shared" si="58"/>
        <v>0</v>
      </c>
      <c r="P573" s="166">
        <v>58</v>
      </c>
      <c r="Q573" s="166">
        <v>6</v>
      </c>
      <c r="R573" s="164">
        <f>$L573*'Pivot Objective'!$C$9*P573*Q573</f>
        <v>17898144.379019998</v>
      </c>
      <c r="S573" s="166"/>
      <c r="T573" s="166"/>
      <c r="U573" s="164">
        <f>($L573*'Pivot Objective'!$C$9^2)*S573*T573</f>
        <v>0</v>
      </c>
      <c r="V573" s="166"/>
      <c r="W573" s="166"/>
      <c r="X573" s="164">
        <f>($L573*'Pivot Objective'!$C$9^3)*V573*W573</f>
        <v>0</v>
      </c>
      <c r="Y573" s="166">
        <v>58</v>
      </c>
      <c r="Z573" s="166">
        <v>6</v>
      </c>
      <c r="AA573" s="164">
        <f>($L573*'Pivot Objective'!$C$9^4)*Y573*Z573</f>
        <v>26721249.072414897</v>
      </c>
      <c r="AB573" s="166"/>
      <c r="AC573" s="166"/>
      <c r="AD573" s="164">
        <f>($L573*'Pivot Objective'!$C$9^5)*AB573*AC573</f>
        <v>0</v>
      </c>
      <c r="AE573" s="166"/>
      <c r="AF573" s="166"/>
      <c r="AG573" s="164">
        <f>($L573*'Pivot Objective'!$C$9^6)*AE573*AF573</f>
        <v>0</v>
      </c>
      <c r="AH573" s="166">
        <v>58</v>
      </c>
      <c r="AI573" s="166">
        <v>6</v>
      </c>
      <c r="AJ573" s="164">
        <f>($L573*'Pivot Objective'!$C$9^7)*AH573*AI573</f>
        <v>39893808.926192731</v>
      </c>
      <c r="AK573" s="185">
        <f t="shared" si="59"/>
        <v>84513202.377627626</v>
      </c>
      <c r="AL573" s="186">
        <f t="shared" si="60"/>
        <v>82051.652793813235</v>
      </c>
    </row>
    <row r="574" spans="1:38" customFormat="1" ht="57.6" x14ac:dyDescent="0.3">
      <c r="A574" s="140" t="s">
        <v>1442</v>
      </c>
      <c r="B574" s="140">
        <v>1</v>
      </c>
      <c r="C574" s="166" t="s">
        <v>836</v>
      </c>
      <c r="D574" s="140" t="str">
        <f t="shared" si="62"/>
        <v>3</v>
      </c>
      <c r="E574" s="166" t="s">
        <v>1051</v>
      </c>
      <c r="F574" s="140">
        <f t="shared" si="64"/>
        <v>1</v>
      </c>
      <c r="G574" s="140" t="str">
        <f t="shared" si="63"/>
        <v>1.3.1</v>
      </c>
      <c r="H574" s="166" t="s">
        <v>1688</v>
      </c>
      <c r="I574" s="166" t="s">
        <v>1053</v>
      </c>
      <c r="J574" s="166" t="s">
        <v>1319</v>
      </c>
      <c r="K574" s="166" t="s">
        <v>712</v>
      </c>
      <c r="L574" s="166">
        <f>1480/7</f>
        <v>211.42857142857142</v>
      </c>
      <c r="M574" s="166"/>
      <c r="N574" s="166"/>
      <c r="O574" s="164">
        <f t="shared" si="58"/>
        <v>0</v>
      </c>
      <c r="P574" s="166">
        <f>25*2*9</f>
        <v>450</v>
      </c>
      <c r="Q574" s="166">
        <v>5</v>
      </c>
      <c r="R574" s="164">
        <f>$L574*'Pivot Objective'!$C$9*P574*Q574</f>
        <v>543703.89328714274</v>
      </c>
      <c r="S574" s="166"/>
      <c r="T574" s="166"/>
      <c r="U574" s="164">
        <f>($L574*'Pivot Objective'!$C$9^2)*S574*T574</f>
        <v>0</v>
      </c>
      <c r="V574" s="166"/>
      <c r="W574" s="166"/>
      <c r="X574" s="164">
        <f>($L574*'Pivot Objective'!$C$9^3)*V574*W574</f>
        <v>0</v>
      </c>
      <c r="Y574" s="166">
        <f>25*2*9</f>
        <v>450</v>
      </c>
      <c r="Z574" s="166">
        <v>5</v>
      </c>
      <c r="AA574" s="164">
        <f>($L574*'Pivot Objective'!$C$9^4)*Y574*Z574</f>
        <v>811729.24111605203</v>
      </c>
      <c r="AB574" s="166"/>
      <c r="AC574" s="166"/>
      <c r="AD574" s="164">
        <f>($L574*'Pivot Objective'!$C$9^5)*AB574*AC574</f>
        <v>0</v>
      </c>
      <c r="AE574" s="166"/>
      <c r="AF574" s="166"/>
      <c r="AG574" s="164">
        <f>($L574*'Pivot Objective'!$C$9^6)*AE574*AF574</f>
        <v>0</v>
      </c>
      <c r="AH574" s="166">
        <f>25*2*9</f>
        <v>450</v>
      </c>
      <c r="AI574" s="166">
        <v>5</v>
      </c>
      <c r="AJ574" s="164">
        <f>($L574*'Pivot Objective'!$C$9^7)*AH574*AI574</f>
        <v>1211880.8951306494</v>
      </c>
      <c r="AK574" s="185">
        <f t="shared" si="59"/>
        <v>2567314.0295338444</v>
      </c>
      <c r="AL574" s="186">
        <f t="shared" si="60"/>
        <v>2492.5378927513052</v>
      </c>
    </row>
    <row r="575" spans="1:38" customFormat="1" ht="57.6" x14ac:dyDescent="0.3">
      <c r="A575" s="140" t="s">
        <v>1442</v>
      </c>
      <c r="B575" s="140">
        <v>1</v>
      </c>
      <c r="C575" s="166" t="s">
        <v>836</v>
      </c>
      <c r="D575" s="140" t="str">
        <f t="shared" si="62"/>
        <v>3</v>
      </c>
      <c r="E575" s="166" t="s">
        <v>1051</v>
      </c>
      <c r="F575" s="140">
        <f t="shared" si="64"/>
        <v>1</v>
      </c>
      <c r="G575" s="140" t="str">
        <f t="shared" si="63"/>
        <v>1.3.1</v>
      </c>
      <c r="H575" s="166" t="s">
        <v>1688</v>
      </c>
      <c r="I575" s="166" t="s">
        <v>1053</v>
      </c>
      <c r="J575" s="166" t="s">
        <v>1319</v>
      </c>
      <c r="K575" s="166" t="s">
        <v>1320</v>
      </c>
      <c r="L575" s="166">
        <f>1480/7</f>
        <v>211.42857142857142</v>
      </c>
      <c r="M575" s="166"/>
      <c r="N575" s="166"/>
      <c r="O575" s="164">
        <f t="shared" si="58"/>
        <v>0</v>
      </c>
      <c r="P575" s="166">
        <v>22500</v>
      </c>
      <c r="Q575" s="166">
        <v>1</v>
      </c>
      <c r="R575" s="164">
        <f>$L575*'Pivot Objective'!$C$9*P575*Q575</f>
        <v>5437038.9328714283</v>
      </c>
      <c r="S575" s="166"/>
      <c r="T575" s="166"/>
      <c r="U575" s="164">
        <f>($L575*'Pivot Objective'!$C$9^2)*S575*T575</f>
        <v>0</v>
      </c>
      <c r="V575" s="166"/>
      <c r="W575" s="166"/>
      <c r="X575" s="164">
        <f>($L575*'Pivot Objective'!$C$9^3)*V575*W575</f>
        <v>0</v>
      </c>
      <c r="Y575" s="166">
        <v>22500</v>
      </c>
      <c r="Z575" s="166">
        <v>1</v>
      </c>
      <c r="AA575" s="164">
        <f>($L575*'Pivot Objective'!$C$9^4)*Y575*Z575</f>
        <v>8117292.4111605193</v>
      </c>
      <c r="AB575" s="166"/>
      <c r="AC575" s="166"/>
      <c r="AD575" s="164">
        <f>($L575*'Pivot Objective'!$C$9^5)*AB575*AC575</f>
        <v>0</v>
      </c>
      <c r="AE575" s="166"/>
      <c r="AF575" s="166"/>
      <c r="AG575" s="164">
        <f>($L575*'Pivot Objective'!$C$9^6)*AE575*AF575</f>
        <v>0</v>
      </c>
      <c r="AH575" s="166">
        <v>22500</v>
      </c>
      <c r="AI575" s="166">
        <v>1</v>
      </c>
      <c r="AJ575" s="164">
        <f>($L575*'Pivot Objective'!$C$9^7)*AH575*AI575</f>
        <v>12118808.951306494</v>
      </c>
      <c r="AK575" s="185">
        <f t="shared" si="59"/>
        <v>25673140.295338444</v>
      </c>
      <c r="AL575" s="186">
        <f t="shared" si="60"/>
        <v>24925.378927513051</v>
      </c>
    </row>
    <row r="576" spans="1:38" customFormat="1" ht="57.6" x14ac:dyDescent="0.3">
      <c r="A576" s="140" t="s">
        <v>1442</v>
      </c>
      <c r="B576" s="140">
        <v>1</v>
      </c>
      <c r="C576" s="166" t="s">
        <v>836</v>
      </c>
      <c r="D576" s="140" t="str">
        <f t="shared" si="62"/>
        <v>3</v>
      </c>
      <c r="E576" s="166" t="s">
        <v>1051</v>
      </c>
      <c r="F576" s="140">
        <f t="shared" si="64"/>
        <v>1</v>
      </c>
      <c r="G576" s="140" t="str">
        <f t="shared" si="63"/>
        <v>1.3.1</v>
      </c>
      <c r="H576" s="166" t="s">
        <v>1688</v>
      </c>
      <c r="I576" s="166" t="s">
        <v>1053</v>
      </c>
      <c r="J576" s="166" t="s">
        <v>1028</v>
      </c>
      <c r="K576" s="166" t="s">
        <v>841</v>
      </c>
      <c r="L576" s="166">
        <v>0</v>
      </c>
      <c r="M576" s="166"/>
      <c r="N576" s="166"/>
      <c r="O576" s="164">
        <f t="shared" si="58"/>
        <v>0</v>
      </c>
      <c r="P576" s="166">
        <v>0</v>
      </c>
      <c r="Q576" s="166">
        <v>0</v>
      </c>
      <c r="R576" s="164">
        <f>$L576*'Pivot Objective'!$C$9*P576*Q576</f>
        <v>0</v>
      </c>
      <c r="S576" s="166"/>
      <c r="T576" s="166"/>
      <c r="U576" s="164">
        <f>($L576*'Pivot Objective'!$C$9^2)*S576*T576</f>
        <v>0</v>
      </c>
      <c r="V576" s="166"/>
      <c r="W576" s="166"/>
      <c r="X576" s="164">
        <f>($L576*'Pivot Objective'!$C$9^3)*V576*W576</f>
        <v>0</v>
      </c>
      <c r="Y576" s="166">
        <v>0</v>
      </c>
      <c r="Z576" s="166">
        <v>0</v>
      </c>
      <c r="AA576" s="164">
        <f>($L576*'Pivot Objective'!$C$9^4)*Y576*Z576</f>
        <v>0</v>
      </c>
      <c r="AB576" s="166"/>
      <c r="AC576" s="166"/>
      <c r="AD576" s="164">
        <f>($L576*'Pivot Objective'!$C$9^5)*AB576*AC576</f>
        <v>0</v>
      </c>
      <c r="AE576" s="166"/>
      <c r="AF576" s="166"/>
      <c r="AG576" s="164">
        <f>($L576*'Pivot Objective'!$C$9^6)*AE576*AF576</f>
        <v>0</v>
      </c>
      <c r="AH576" s="166">
        <v>0</v>
      </c>
      <c r="AI576" s="166">
        <v>0</v>
      </c>
      <c r="AJ576" s="164">
        <f>($L576*'Pivot Objective'!$C$9^7)*AH576*AI576</f>
        <v>0</v>
      </c>
      <c r="AK576" s="185">
        <f t="shared" si="59"/>
        <v>0</v>
      </c>
      <c r="AL576" s="186">
        <f t="shared" si="60"/>
        <v>0</v>
      </c>
    </row>
    <row r="577" spans="1:38" customFormat="1" ht="57.6" x14ac:dyDescent="0.3">
      <c r="A577" s="140" t="s">
        <v>1442</v>
      </c>
      <c r="B577" s="140">
        <v>1</v>
      </c>
      <c r="C577" s="166" t="s">
        <v>836</v>
      </c>
      <c r="D577" s="140" t="str">
        <f t="shared" si="62"/>
        <v>3</v>
      </c>
      <c r="E577" s="166" t="s">
        <v>1051</v>
      </c>
      <c r="F577" s="140">
        <f t="shared" si="64"/>
        <v>1</v>
      </c>
      <c r="G577" s="140" t="str">
        <f t="shared" si="63"/>
        <v>1.3.1</v>
      </c>
      <c r="H577" s="166" t="s">
        <v>1688</v>
      </c>
      <c r="I577" s="166" t="s">
        <v>1053</v>
      </c>
      <c r="J577" s="166" t="s">
        <v>1057</v>
      </c>
      <c r="K577" s="166" t="s">
        <v>841</v>
      </c>
      <c r="L577" s="166">
        <v>0</v>
      </c>
      <c r="M577" s="166"/>
      <c r="N577" s="166"/>
      <c r="O577" s="164">
        <f t="shared" si="58"/>
        <v>0</v>
      </c>
      <c r="P577" s="166">
        <v>0</v>
      </c>
      <c r="Q577" s="166">
        <v>0</v>
      </c>
      <c r="R577" s="164">
        <f>$L577*'Pivot Objective'!$C$9*P577*Q577</f>
        <v>0</v>
      </c>
      <c r="S577" s="166"/>
      <c r="T577" s="166"/>
      <c r="U577" s="164">
        <f>($L577*'Pivot Objective'!$C$9^2)*S577*T577</f>
        <v>0</v>
      </c>
      <c r="V577" s="166"/>
      <c r="W577" s="166"/>
      <c r="X577" s="164">
        <f>($L577*'Pivot Objective'!$C$9^3)*V577*W577</f>
        <v>0</v>
      </c>
      <c r="Y577" s="166">
        <v>0</v>
      </c>
      <c r="Z577" s="166">
        <v>0</v>
      </c>
      <c r="AA577" s="164">
        <f>($L577*'Pivot Objective'!$C$9^4)*Y577*Z577</f>
        <v>0</v>
      </c>
      <c r="AB577" s="166"/>
      <c r="AC577" s="166"/>
      <c r="AD577" s="164">
        <f>($L577*'Pivot Objective'!$C$9^5)*AB577*AC577</f>
        <v>0</v>
      </c>
      <c r="AE577" s="166"/>
      <c r="AF577" s="166"/>
      <c r="AG577" s="164">
        <f>($L577*'Pivot Objective'!$C$9^6)*AE577*AF577</f>
        <v>0</v>
      </c>
      <c r="AH577" s="166">
        <v>0</v>
      </c>
      <c r="AI577" s="166">
        <v>0</v>
      </c>
      <c r="AJ577" s="164">
        <f>($L577*'Pivot Objective'!$C$9^7)*AH577*AI577</f>
        <v>0</v>
      </c>
      <c r="AK577" s="185">
        <f t="shared" si="59"/>
        <v>0</v>
      </c>
      <c r="AL577" s="186">
        <f t="shared" si="60"/>
        <v>0</v>
      </c>
    </row>
    <row r="578" spans="1:38" customFormat="1" ht="57.6" x14ac:dyDescent="0.3">
      <c r="A578" s="140" t="s">
        <v>1442</v>
      </c>
      <c r="B578" s="140">
        <v>1</v>
      </c>
      <c r="C578" s="166" t="s">
        <v>836</v>
      </c>
      <c r="D578" s="140" t="str">
        <f t="shared" si="62"/>
        <v>3</v>
      </c>
      <c r="E578" s="166" t="s">
        <v>1051</v>
      </c>
      <c r="F578" s="140">
        <f t="shared" si="64"/>
        <v>2</v>
      </c>
      <c r="G578" s="140" t="str">
        <f t="shared" si="63"/>
        <v>1.3.2</v>
      </c>
      <c r="H578" s="166" t="s">
        <v>1689</v>
      </c>
      <c r="I578" s="166" t="s">
        <v>1059</v>
      </c>
      <c r="J578" s="166" t="s">
        <v>1048</v>
      </c>
      <c r="K578" s="166" t="s">
        <v>841</v>
      </c>
      <c r="L578" s="166">
        <v>0</v>
      </c>
      <c r="M578" s="166"/>
      <c r="N578" s="166"/>
      <c r="O578" s="164">
        <f t="shared" si="58"/>
        <v>0</v>
      </c>
      <c r="P578" s="166">
        <v>0</v>
      </c>
      <c r="Q578" s="166">
        <v>0</v>
      </c>
      <c r="R578" s="164">
        <f>$L578*'Pivot Objective'!$C$9*P578*Q578</f>
        <v>0</v>
      </c>
      <c r="S578" s="166"/>
      <c r="T578" s="166"/>
      <c r="U578" s="164">
        <f>($L578*'Pivot Objective'!$C$9^2)*S578*T578</f>
        <v>0</v>
      </c>
      <c r="V578" s="166"/>
      <c r="W578" s="166"/>
      <c r="X578" s="164">
        <f>($L578*'Pivot Objective'!$C$9^3)*V578*W578</f>
        <v>0</v>
      </c>
      <c r="Y578" s="166"/>
      <c r="Z578" s="166"/>
      <c r="AA578" s="164">
        <f>($L578*'Pivot Objective'!$C$9^4)*Y578*Z578</f>
        <v>0</v>
      </c>
      <c r="AB578" s="166">
        <v>0</v>
      </c>
      <c r="AC578" s="166">
        <v>0</v>
      </c>
      <c r="AD578" s="164">
        <f>($L578*'Pivot Objective'!$C$9^5)*AB578*AC578</f>
        <v>0</v>
      </c>
      <c r="AE578" s="166"/>
      <c r="AF578" s="166"/>
      <c r="AG578" s="164">
        <f>($L578*'Pivot Objective'!$C$9^6)*AE578*AF578</f>
        <v>0</v>
      </c>
      <c r="AH578" s="166"/>
      <c r="AI578" s="166"/>
      <c r="AJ578" s="164">
        <f>($L578*'Pivot Objective'!$C$9^7)*AH578*AI578</f>
        <v>0</v>
      </c>
      <c r="AK578" s="185">
        <f t="shared" si="59"/>
        <v>0</v>
      </c>
      <c r="AL578" s="186">
        <f t="shared" si="60"/>
        <v>0</v>
      </c>
    </row>
    <row r="579" spans="1:38" customFormat="1" ht="57.6" x14ac:dyDescent="0.3">
      <c r="A579" s="140" t="s">
        <v>1442</v>
      </c>
      <c r="B579" s="140">
        <v>1</v>
      </c>
      <c r="C579" s="166" t="s">
        <v>836</v>
      </c>
      <c r="D579" s="140" t="str">
        <f t="shared" si="62"/>
        <v>3</v>
      </c>
      <c r="E579" s="166" t="s">
        <v>1051</v>
      </c>
      <c r="F579" s="140">
        <f t="shared" si="64"/>
        <v>2</v>
      </c>
      <c r="G579" s="140" t="str">
        <f t="shared" si="63"/>
        <v>1.3.2</v>
      </c>
      <c r="H579" s="166" t="s">
        <v>1689</v>
      </c>
      <c r="I579" s="166" t="s">
        <v>1059</v>
      </c>
      <c r="J579" s="166" t="s">
        <v>1024</v>
      </c>
      <c r="K579" s="166" t="s">
        <v>841</v>
      </c>
      <c r="L579" s="166">
        <v>0</v>
      </c>
      <c r="M579" s="166"/>
      <c r="N579" s="166"/>
      <c r="O579" s="164">
        <f t="shared" ref="O579:O642" si="65">$L579*M579*N579</f>
        <v>0</v>
      </c>
      <c r="P579" s="166">
        <v>0</v>
      </c>
      <c r="Q579" s="166">
        <v>0</v>
      </c>
      <c r="R579" s="164">
        <f>$L579*'Pivot Objective'!$C$9*P579*Q579</f>
        <v>0</v>
      </c>
      <c r="S579" s="166"/>
      <c r="T579" s="166"/>
      <c r="U579" s="164">
        <f>($L579*'Pivot Objective'!$C$9^2)*S579*T579</f>
        <v>0</v>
      </c>
      <c r="V579" s="166"/>
      <c r="W579" s="166"/>
      <c r="X579" s="164">
        <f>($L579*'Pivot Objective'!$C$9^3)*V579*W579</f>
        <v>0</v>
      </c>
      <c r="Y579" s="166"/>
      <c r="Z579" s="166"/>
      <c r="AA579" s="164">
        <f>($L579*'Pivot Objective'!$C$9^4)*Y579*Z579</f>
        <v>0</v>
      </c>
      <c r="AB579" s="166">
        <v>0</v>
      </c>
      <c r="AC579" s="166">
        <v>0</v>
      </c>
      <c r="AD579" s="164">
        <f>($L579*'Pivot Objective'!$C$9^5)*AB579*AC579</f>
        <v>0</v>
      </c>
      <c r="AE579" s="166"/>
      <c r="AF579" s="166"/>
      <c r="AG579" s="164">
        <f>($L579*'Pivot Objective'!$C$9^6)*AE579*AF579</f>
        <v>0</v>
      </c>
      <c r="AH579" s="166"/>
      <c r="AI579" s="166"/>
      <c r="AJ579" s="164">
        <f>($L579*'Pivot Objective'!$C$9^7)*AH579*AI579</f>
        <v>0</v>
      </c>
      <c r="AK579" s="185">
        <f t="shared" ref="AK579:AK642" si="66">O579+R579+U579+X579+AA579+AD579+AG579+AJ579</f>
        <v>0</v>
      </c>
      <c r="AL579" s="186">
        <f t="shared" ref="AL579:AL642" si="67">AK579/$AP$2</f>
        <v>0</v>
      </c>
    </row>
    <row r="580" spans="1:38" customFormat="1" ht="57.6" x14ac:dyDescent="0.3">
      <c r="A580" s="140" t="s">
        <v>1442</v>
      </c>
      <c r="B580" s="140">
        <v>1</v>
      </c>
      <c r="C580" s="166" t="s">
        <v>836</v>
      </c>
      <c r="D580" s="140" t="str">
        <f t="shared" si="62"/>
        <v>3</v>
      </c>
      <c r="E580" s="166" t="s">
        <v>1051</v>
      </c>
      <c r="F580" s="140">
        <f t="shared" si="64"/>
        <v>2</v>
      </c>
      <c r="G580" s="140" t="str">
        <f t="shared" si="63"/>
        <v>1.3.2</v>
      </c>
      <c r="H580" s="166" t="s">
        <v>1689</v>
      </c>
      <c r="I580" s="166" t="s">
        <v>1059</v>
      </c>
      <c r="J580" s="166" t="s">
        <v>1049</v>
      </c>
      <c r="K580" s="166" t="s">
        <v>841</v>
      </c>
      <c r="L580" s="166">
        <v>0</v>
      </c>
      <c r="M580" s="166"/>
      <c r="N580" s="166"/>
      <c r="O580" s="164">
        <f t="shared" si="65"/>
        <v>0</v>
      </c>
      <c r="P580" s="166">
        <v>0</v>
      </c>
      <c r="Q580" s="166">
        <v>0</v>
      </c>
      <c r="R580" s="164">
        <f>$L580*'Pivot Objective'!$C$9*P580*Q580</f>
        <v>0</v>
      </c>
      <c r="S580" s="166"/>
      <c r="T580" s="166"/>
      <c r="U580" s="164">
        <f>($L580*'Pivot Objective'!$C$9^2)*S580*T580</f>
        <v>0</v>
      </c>
      <c r="V580" s="166"/>
      <c r="W580" s="166"/>
      <c r="X580" s="164">
        <f>($L580*'Pivot Objective'!$C$9^3)*V580*W580</f>
        <v>0</v>
      </c>
      <c r="Y580" s="166"/>
      <c r="Z580" s="166"/>
      <c r="AA580" s="164">
        <f>($L580*'Pivot Objective'!$C$9^4)*Y580*Z580</f>
        <v>0</v>
      </c>
      <c r="AB580" s="166">
        <v>0</v>
      </c>
      <c r="AC580" s="166">
        <v>0</v>
      </c>
      <c r="AD580" s="164">
        <f>($L580*'Pivot Objective'!$C$9^5)*AB580*AC580</f>
        <v>0</v>
      </c>
      <c r="AE580" s="166"/>
      <c r="AF580" s="166"/>
      <c r="AG580" s="164">
        <f>($L580*'Pivot Objective'!$C$9^6)*AE580*AF580</f>
        <v>0</v>
      </c>
      <c r="AH580" s="166"/>
      <c r="AI580" s="166"/>
      <c r="AJ580" s="164">
        <f>($L580*'Pivot Objective'!$C$9^7)*AH580*AI580</f>
        <v>0</v>
      </c>
      <c r="AK580" s="185">
        <f t="shared" si="66"/>
        <v>0</v>
      </c>
      <c r="AL580" s="186">
        <f t="shared" si="67"/>
        <v>0</v>
      </c>
    </row>
    <row r="581" spans="1:38" customFormat="1" ht="57.6" x14ac:dyDescent="0.3">
      <c r="A581" s="140" t="s">
        <v>1442</v>
      </c>
      <c r="B581" s="140">
        <v>1</v>
      </c>
      <c r="C581" s="166" t="s">
        <v>836</v>
      </c>
      <c r="D581" s="140" t="str">
        <f t="shared" si="62"/>
        <v>3</v>
      </c>
      <c r="E581" s="166" t="s">
        <v>1051</v>
      </c>
      <c r="F581" s="140">
        <f t="shared" si="64"/>
        <v>2</v>
      </c>
      <c r="G581" s="140" t="str">
        <f t="shared" si="63"/>
        <v>1.3.2</v>
      </c>
      <c r="H581" s="166" t="s">
        <v>1689</v>
      </c>
      <c r="I581" s="166" t="s">
        <v>1059</v>
      </c>
      <c r="J581" s="166" t="s">
        <v>149</v>
      </c>
      <c r="K581" s="166" t="s">
        <v>707</v>
      </c>
      <c r="L581" s="166">
        <v>391991.03749999998</v>
      </c>
      <c r="M581" s="166"/>
      <c r="N581" s="166"/>
      <c r="O581" s="164">
        <f t="shared" si="65"/>
        <v>0</v>
      </c>
      <c r="P581" s="166">
        <v>2</v>
      </c>
      <c r="Q581" s="166">
        <v>2</v>
      </c>
      <c r="R581" s="164">
        <f>$L581*'Pivot Objective'!$C$9*P581*Q581</f>
        <v>1792059.3063746723</v>
      </c>
      <c r="S581" s="166"/>
      <c r="T581" s="166"/>
      <c r="U581" s="164">
        <f>($L581*'Pivot Objective'!$C$9^2)*S581*T581</f>
        <v>0</v>
      </c>
      <c r="V581" s="166"/>
      <c r="W581" s="166"/>
      <c r="X581" s="164">
        <f>($L581*'Pivot Objective'!$C$9^3)*V581*W581</f>
        <v>0</v>
      </c>
      <c r="Y581" s="166"/>
      <c r="Z581" s="166"/>
      <c r="AA581" s="164">
        <f>($L581*'Pivot Objective'!$C$9^4)*Y581*Z581</f>
        <v>0</v>
      </c>
      <c r="AB581" s="166">
        <v>2</v>
      </c>
      <c r="AC581" s="166">
        <v>2</v>
      </c>
      <c r="AD581" s="164">
        <f>($L581*'Pivot Objective'!$C$9^5)*AB581*AC581</f>
        <v>3057858.4341109009</v>
      </c>
      <c r="AE581" s="166"/>
      <c r="AF581" s="166"/>
      <c r="AG581" s="164">
        <f>($L581*'Pivot Objective'!$C$9^6)*AE581*AF581</f>
        <v>0</v>
      </c>
      <c r="AH581" s="166"/>
      <c r="AI581" s="166"/>
      <c r="AJ581" s="164">
        <f>($L581*'Pivot Objective'!$C$9^7)*AH581*AI581</f>
        <v>0</v>
      </c>
      <c r="AK581" s="185">
        <f t="shared" si="66"/>
        <v>4849917.7404855732</v>
      </c>
      <c r="AL581" s="186">
        <f t="shared" si="67"/>
        <v>4708.6580004714306</v>
      </c>
    </row>
    <row r="582" spans="1:38" customFormat="1" ht="57.6" x14ac:dyDescent="0.3">
      <c r="A582" s="140" t="s">
        <v>1442</v>
      </c>
      <c r="B582" s="140">
        <v>1</v>
      </c>
      <c r="C582" s="166" t="s">
        <v>836</v>
      </c>
      <c r="D582" s="140" t="str">
        <f t="shared" si="62"/>
        <v>3</v>
      </c>
      <c r="E582" s="166" t="s">
        <v>1051</v>
      </c>
      <c r="F582" s="140">
        <f t="shared" si="64"/>
        <v>2</v>
      </c>
      <c r="G582" s="140" t="str">
        <f t="shared" si="63"/>
        <v>1.3.2</v>
      </c>
      <c r="H582" s="166" t="s">
        <v>1689</v>
      </c>
      <c r="I582" s="166" t="s">
        <v>1059</v>
      </c>
      <c r="J582" s="166" t="s">
        <v>149</v>
      </c>
      <c r="K582" s="166" t="s">
        <v>708</v>
      </c>
      <c r="L582" s="166">
        <f>980*1022</f>
        <v>1001560</v>
      </c>
      <c r="M582" s="166"/>
      <c r="N582" s="166"/>
      <c r="O582" s="164">
        <f t="shared" si="65"/>
        <v>0</v>
      </c>
      <c r="P582" s="166">
        <v>1</v>
      </c>
      <c r="Q582" s="166">
        <v>25</v>
      </c>
      <c r="R582" s="164">
        <f>$L582*'Pivot Objective'!$C$9*P582*Q582</f>
        <v>28617601.347782999</v>
      </c>
      <c r="S582" s="166"/>
      <c r="T582" s="166"/>
      <c r="U582" s="164">
        <f>($L582*'Pivot Objective'!$C$9^2)*S582*T582</f>
        <v>0</v>
      </c>
      <c r="V582" s="166"/>
      <c r="W582" s="166"/>
      <c r="X582" s="164">
        <f>($L582*'Pivot Objective'!$C$9^3)*V582*W582</f>
        <v>0</v>
      </c>
      <c r="Y582" s="166"/>
      <c r="Z582" s="166"/>
      <c r="AA582" s="164">
        <f>($L582*'Pivot Objective'!$C$9^4)*Y582*Z582</f>
        <v>0</v>
      </c>
      <c r="AB582" s="166">
        <v>1</v>
      </c>
      <c r="AC582" s="166">
        <v>25</v>
      </c>
      <c r="AD582" s="164">
        <f>($L582*'Pivot Objective'!$C$9^5)*AB582*AC582</f>
        <v>48831293.324979939</v>
      </c>
      <c r="AE582" s="166"/>
      <c r="AF582" s="166"/>
      <c r="AG582" s="164">
        <f>($L582*'Pivot Objective'!$C$9^6)*AE582*AF582</f>
        <v>0</v>
      </c>
      <c r="AH582" s="166"/>
      <c r="AI582" s="166"/>
      <c r="AJ582" s="164">
        <f>($L582*'Pivot Objective'!$C$9^7)*AH582*AI582</f>
        <v>0</v>
      </c>
      <c r="AK582" s="185">
        <f t="shared" si="66"/>
        <v>77448894.67276293</v>
      </c>
      <c r="AL582" s="186">
        <f t="shared" si="67"/>
        <v>75193.101624041679</v>
      </c>
    </row>
    <row r="583" spans="1:38" customFormat="1" ht="57.6" x14ac:dyDescent="0.3">
      <c r="A583" s="140" t="s">
        <v>1442</v>
      </c>
      <c r="B583" s="140">
        <v>1</v>
      </c>
      <c r="C583" s="166" t="s">
        <v>836</v>
      </c>
      <c r="D583" s="140" t="str">
        <f t="shared" si="62"/>
        <v>3</v>
      </c>
      <c r="E583" s="166" t="s">
        <v>1051</v>
      </c>
      <c r="F583" s="140">
        <f t="shared" ref="F583:F614" si="68">IF(H583=H582,F582,F582+1)</f>
        <v>2</v>
      </c>
      <c r="G583" s="140" t="str">
        <f t="shared" si="63"/>
        <v>1.3.2</v>
      </c>
      <c r="H583" s="166" t="s">
        <v>1689</v>
      </c>
      <c r="I583" s="166" t="s">
        <v>1059</v>
      </c>
      <c r="J583" s="166" t="s">
        <v>895</v>
      </c>
      <c r="K583" s="166" t="s">
        <v>841</v>
      </c>
      <c r="L583" s="166">
        <v>0</v>
      </c>
      <c r="M583" s="166"/>
      <c r="N583" s="166"/>
      <c r="O583" s="164">
        <f t="shared" si="65"/>
        <v>0</v>
      </c>
      <c r="P583" s="166">
        <v>0</v>
      </c>
      <c r="Q583" s="166">
        <v>0</v>
      </c>
      <c r="R583" s="164">
        <f>$L583*'Pivot Objective'!$C$9*P583*Q583</f>
        <v>0</v>
      </c>
      <c r="S583" s="166"/>
      <c r="T583" s="166"/>
      <c r="U583" s="164">
        <f>($L583*'Pivot Objective'!$C$9^2)*S583*T583</f>
        <v>0</v>
      </c>
      <c r="V583" s="166"/>
      <c r="W583" s="166"/>
      <c r="X583" s="164">
        <f>($L583*'Pivot Objective'!$C$9^3)*V583*W583</f>
        <v>0</v>
      </c>
      <c r="Y583" s="166"/>
      <c r="Z583" s="166"/>
      <c r="AA583" s="164">
        <f>($L583*'Pivot Objective'!$C$9^4)*Y583*Z583</f>
        <v>0</v>
      </c>
      <c r="AB583" s="166">
        <v>0</v>
      </c>
      <c r="AC583" s="166">
        <v>0</v>
      </c>
      <c r="AD583" s="164">
        <f>($L583*'Pivot Objective'!$C$9^5)*AB583*AC583</f>
        <v>0</v>
      </c>
      <c r="AE583" s="166"/>
      <c r="AF583" s="166"/>
      <c r="AG583" s="164">
        <f>($L583*'Pivot Objective'!$C$9^6)*AE583*AF583</f>
        <v>0</v>
      </c>
      <c r="AH583" s="166"/>
      <c r="AI583" s="166"/>
      <c r="AJ583" s="164">
        <f>($L583*'Pivot Objective'!$C$9^7)*AH583*AI583</f>
        <v>0</v>
      </c>
      <c r="AK583" s="185">
        <f t="shared" si="66"/>
        <v>0</v>
      </c>
      <c r="AL583" s="186">
        <f t="shared" si="67"/>
        <v>0</v>
      </c>
    </row>
    <row r="584" spans="1:38" customFormat="1" ht="57.6" x14ac:dyDescent="0.3">
      <c r="A584" s="140" t="s">
        <v>1442</v>
      </c>
      <c r="B584" s="140">
        <v>1</v>
      </c>
      <c r="C584" s="166" t="s">
        <v>836</v>
      </c>
      <c r="D584" s="140" t="str">
        <f t="shared" si="62"/>
        <v>3</v>
      </c>
      <c r="E584" s="166" t="s">
        <v>1051</v>
      </c>
      <c r="F584" s="140">
        <f t="shared" si="68"/>
        <v>2</v>
      </c>
      <c r="G584" s="140" t="str">
        <f t="shared" si="63"/>
        <v>1.3.2</v>
      </c>
      <c r="H584" s="166" t="s">
        <v>1689</v>
      </c>
      <c r="I584" s="166" t="s">
        <v>1059</v>
      </c>
      <c r="J584" s="166" t="s">
        <v>912</v>
      </c>
      <c r="K584" s="166" t="s">
        <v>841</v>
      </c>
      <c r="L584" s="166">
        <v>0</v>
      </c>
      <c r="M584" s="166"/>
      <c r="N584" s="166"/>
      <c r="O584" s="164">
        <f t="shared" si="65"/>
        <v>0</v>
      </c>
      <c r="P584" s="166">
        <v>0</v>
      </c>
      <c r="Q584" s="166">
        <v>0</v>
      </c>
      <c r="R584" s="164">
        <f>$L584*'Pivot Objective'!$C$9*P584*Q584</f>
        <v>0</v>
      </c>
      <c r="S584" s="166"/>
      <c r="T584" s="166"/>
      <c r="U584" s="164">
        <f>($L584*'Pivot Objective'!$C$9^2)*S584*T584</f>
        <v>0</v>
      </c>
      <c r="V584" s="166"/>
      <c r="W584" s="166"/>
      <c r="X584" s="164">
        <f>($L584*'Pivot Objective'!$C$9^3)*V584*W584</f>
        <v>0</v>
      </c>
      <c r="Y584" s="166"/>
      <c r="Z584" s="166"/>
      <c r="AA584" s="164">
        <f>($L584*'Pivot Objective'!$C$9^4)*Y584*Z584</f>
        <v>0</v>
      </c>
      <c r="AB584" s="166">
        <v>0</v>
      </c>
      <c r="AC584" s="166">
        <v>0</v>
      </c>
      <c r="AD584" s="164">
        <f>($L584*'Pivot Objective'!$C$9^5)*AB584*AC584</f>
        <v>0</v>
      </c>
      <c r="AE584" s="166"/>
      <c r="AF584" s="166"/>
      <c r="AG584" s="164">
        <f>($L584*'Pivot Objective'!$C$9^6)*AE584*AF584</f>
        <v>0</v>
      </c>
      <c r="AH584" s="166"/>
      <c r="AI584" s="166"/>
      <c r="AJ584" s="164">
        <f>($L584*'Pivot Objective'!$C$9^7)*AH584*AI584</f>
        <v>0</v>
      </c>
      <c r="AK584" s="185">
        <f t="shared" si="66"/>
        <v>0</v>
      </c>
      <c r="AL584" s="186">
        <f t="shared" si="67"/>
        <v>0</v>
      </c>
    </row>
    <row r="585" spans="1:38" customFormat="1" ht="57.6" x14ac:dyDescent="0.3">
      <c r="A585" s="140" t="s">
        <v>1442</v>
      </c>
      <c r="B585" s="140">
        <v>1</v>
      </c>
      <c r="C585" s="166" t="s">
        <v>836</v>
      </c>
      <c r="D585" s="140" t="str">
        <f t="shared" si="62"/>
        <v>3</v>
      </c>
      <c r="E585" s="166" t="s">
        <v>1051</v>
      </c>
      <c r="F585" s="140">
        <f t="shared" si="68"/>
        <v>2</v>
      </c>
      <c r="G585" s="140" t="str">
        <f t="shared" si="63"/>
        <v>1.3.2</v>
      </c>
      <c r="H585" s="166" t="s">
        <v>1689</v>
      </c>
      <c r="I585" s="166" t="s">
        <v>1059</v>
      </c>
      <c r="J585" s="166" t="s">
        <v>1026</v>
      </c>
      <c r="K585" s="166" t="s">
        <v>709</v>
      </c>
      <c r="L585" s="166">
        <v>35000</v>
      </c>
      <c r="M585" s="166"/>
      <c r="N585" s="166"/>
      <c r="O585" s="164">
        <f t="shared" si="65"/>
        <v>0</v>
      </c>
      <c r="P585" s="166">
        <v>30</v>
      </c>
      <c r="Q585" s="166">
        <v>5</v>
      </c>
      <c r="R585" s="164">
        <f>$L585*'Pivot Objective'!$C$9*P585*Q585</f>
        <v>6000335.7592499992</v>
      </c>
      <c r="S585" s="166"/>
      <c r="T585" s="166"/>
      <c r="U585" s="164">
        <f>($L585*'Pivot Objective'!$C$9^2)*S585*T585</f>
        <v>0</v>
      </c>
      <c r="V585" s="166"/>
      <c r="W585" s="166"/>
      <c r="X585" s="164">
        <f>($L585*'Pivot Objective'!$C$9^3)*V585*W585</f>
        <v>0</v>
      </c>
      <c r="Y585" s="166"/>
      <c r="Z585" s="166"/>
      <c r="AA585" s="164">
        <f>($L585*'Pivot Objective'!$C$9^4)*Y585*Z585</f>
        <v>0</v>
      </c>
      <c r="AB585" s="166">
        <v>30</v>
      </c>
      <c r="AC585" s="166">
        <v>5</v>
      </c>
      <c r="AD585" s="164">
        <f>($L585*'Pivot Objective'!$C$9^5)*AB585*AC585</f>
        <v>10238599.383207982</v>
      </c>
      <c r="AE585" s="166"/>
      <c r="AF585" s="166"/>
      <c r="AG585" s="164">
        <f>($L585*'Pivot Objective'!$C$9^6)*AE585*AF585</f>
        <v>0</v>
      </c>
      <c r="AH585" s="166"/>
      <c r="AI585" s="166"/>
      <c r="AJ585" s="164">
        <f>($L585*'Pivot Objective'!$C$9^7)*AH585*AI585</f>
        <v>0</v>
      </c>
      <c r="AK585" s="185">
        <f t="shared" si="66"/>
        <v>16238935.142457981</v>
      </c>
      <c r="AL585" s="186">
        <f t="shared" si="67"/>
        <v>15765.956448988331</v>
      </c>
    </row>
    <row r="586" spans="1:38" customFormat="1" ht="57.6" x14ac:dyDescent="0.3">
      <c r="A586" s="140" t="s">
        <v>1442</v>
      </c>
      <c r="B586" s="140">
        <v>1</v>
      </c>
      <c r="C586" s="166" t="s">
        <v>836</v>
      </c>
      <c r="D586" s="140" t="str">
        <f t="shared" si="62"/>
        <v>3</v>
      </c>
      <c r="E586" s="166" t="s">
        <v>1051</v>
      </c>
      <c r="F586" s="140">
        <f t="shared" si="68"/>
        <v>2</v>
      </c>
      <c r="G586" s="140" t="str">
        <f t="shared" si="63"/>
        <v>1.3.2</v>
      </c>
      <c r="H586" s="166" t="s">
        <v>1689</v>
      </c>
      <c r="I586" s="166" t="s">
        <v>1059</v>
      </c>
      <c r="J586" s="166" t="s">
        <v>1026</v>
      </c>
      <c r="K586" s="166" t="s">
        <v>1318</v>
      </c>
      <c r="L586" s="166">
        <v>8000</v>
      </c>
      <c r="M586" s="166"/>
      <c r="N586" s="166"/>
      <c r="O586" s="164">
        <f t="shared" si="65"/>
        <v>0</v>
      </c>
      <c r="P586" s="166">
        <v>10</v>
      </c>
      <c r="Q586" s="166">
        <v>1</v>
      </c>
      <c r="R586" s="164">
        <f>$L586*'Pivot Objective'!$C$9*P586*Q586</f>
        <v>91433.687760000001</v>
      </c>
      <c r="S586" s="166"/>
      <c r="T586" s="166"/>
      <c r="U586" s="164">
        <f>($L586*'Pivot Objective'!$C$9^2)*S586*T586</f>
        <v>0</v>
      </c>
      <c r="V586" s="166"/>
      <c r="W586" s="166"/>
      <c r="X586" s="164">
        <f>($L586*'Pivot Objective'!$C$9^3)*V586*W586</f>
        <v>0</v>
      </c>
      <c r="Y586" s="166"/>
      <c r="Z586" s="166"/>
      <c r="AA586" s="164">
        <f>($L586*'Pivot Objective'!$C$9^4)*Y586*Z586</f>
        <v>0</v>
      </c>
      <c r="AB586" s="166">
        <v>10</v>
      </c>
      <c r="AC586" s="166">
        <v>1</v>
      </c>
      <c r="AD586" s="164">
        <f>($L586*'Pivot Objective'!$C$9^5)*AB586*AC586</f>
        <v>156016.75250602642</v>
      </c>
      <c r="AE586" s="166"/>
      <c r="AF586" s="166"/>
      <c r="AG586" s="164">
        <f>($L586*'Pivot Objective'!$C$9^6)*AE586*AF586</f>
        <v>0</v>
      </c>
      <c r="AH586" s="166"/>
      <c r="AI586" s="166"/>
      <c r="AJ586" s="164">
        <f>($L586*'Pivot Objective'!$C$9^7)*AH586*AI586</f>
        <v>0</v>
      </c>
      <c r="AK586" s="185">
        <f t="shared" si="66"/>
        <v>247450.44026602642</v>
      </c>
      <c r="AL586" s="186">
        <f t="shared" si="67"/>
        <v>240.24314588934604</v>
      </c>
    </row>
    <row r="587" spans="1:38" customFormat="1" ht="57.6" x14ac:dyDescent="0.3">
      <c r="A587" s="140" t="s">
        <v>1442</v>
      </c>
      <c r="B587" s="140">
        <v>1</v>
      </c>
      <c r="C587" s="166" t="s">
        <v>836</v>
      </c>
      <c r="D587" s="140" t="str">
        <f t="shared" si="62"/>
        <v>3</v>
      </c>
      <c r="E587" s="166" t="s">
        <v>1051</v>
      </c>
      <c r="F587" s="140">
        <f t="shared" si="68"/>
        <v>2</v>
      </c>
      <c r="G587" s="140" t="str">
        <f t="shared" si="63"/>
        <v>1.3.2</v>
      </c>
      <c r="H587" s="166" t="s">
        <v>1689</v>
      </c>
      <c r="I587" s="166" t="s">
        <v>1059</v>
      </c>
      <c r="J587" s="166" t="s">
        <v>1026</v>
      </c>
      <c r="K587" s="166" t="s">
        <v>710</v>
      </c>
      <c r="L587" s="166">
        <v>104850</v>
      </c>
      <c r="M587" s="166"/>
      <c r="N587" s="166"/>
      <c r="O587" s="164">
        <f t="shared" si="65"/>
        <v>0</v>
      </c>
      <c r="P587" s="166">
        <v>1</v>
      </c>
      <c r="Q587" s="166">
        <v>1</v>
      </c>
      <c r="R587" s="164">
        <f>$L587*'Pivot Objective'!$C$9*P587*Q587</f>
        <v>119835.27702044998</v>
      </c>
      <c r="S587" s="166"/>
      <c r="T587" s="166"/>
      <c r="U587" s="164">
        <f>($L587*'Pivot Objective'!$C$9^2)*S587*T587</f>
        <v>0</v>
      </c>
      <c r="V587" s="166"/>
      <c r="W587" s="166"/>
      <c r="X587" s="164">
        <f>($L587*'Pivot Objective'!$C$9^3)*V587*W587</f>
        <v>0</v>
      </c>
      <c r="Y587" s="166"/>
      <c r="Z587" s="166"/>
      <c r="AA587" s="164">
        <f>($L587*'Pivot Objective'!$C$9^4)*Y587*Z587</f>
        <v>0</v>
      </c>
      <c r="AB587" s="166">
        <v>1</v>
      </c>
      <c r="AC587" s="166">
        <v>1</v>
      </c>
      <c r="AD587" s="164">
        <f>($L587*'Pivot Objective'!$C$9^5)*AB587*AC587</f>
        <v>204479.45625321087</v>
      </c>
      <c r="AE587" s="166"/>
      <c r="AF587" s="166"/>
      <c r="AG587" s="164">
        <f>($L587*'Pivot Objective'!$C$9^6)*AE587*AF587</f>
        <v>0</v>
      </c>
      <c r="AH587" s="166"/>
      <c r="AI587" s="166"/>
      <c r="AJ587" s="164">
        <f>($L587*'Pivot Objective'!$C$9^7)*AH587*AI587</f>
        <v>0</v>
      </c>
      <c r="AK587" s="185">
        <f t="shared" si="66"/>
        <v>324314.73327366088</v>
      </c>
      <c r="AL587" s="186">
        <f t="shared" si="67"/>
        <v>314.86867308122413</v>
      </c>
    </row>
    <row r="588" spans="1:38" customFormat="1" ht="57.6" x14ac:dyDescent="0.3">
      <c r="A588" s="140" t="s">
        <v>1442</v>
      </c>
      <c r="B588" s="140">
        <v>1</v>
      </c>
      <c r="C588" s="166" t="s">
        <v>836</v>
      </c>
      <c r="D588" s="140" t="str">
        <f t="shared" si="62"/>
        <v>3</v>
      </c>
      <c r="E588" s="166" t="s">
        <v>1051</v>
      </c>
      <c r="F588" s="140">
        <f t="shared" si="68"/>
        <v>2</v>
      </c>
      <c r="G588" s="140" t="str">
        <f t="shared" si="63"/>
        <v>1.3.2</v>
      </c>
      <c r="H588" s="166" t="s">
        <v>1689</v>
      </c>
      <c r="I588" s="166" t="s">
        <v>1059</v>
      </c>
      <c r="J588" s="166" t="s">
        <v>163</v>
      </c>
      <c r="K588" s="166" t="s">
        <v>713</v>
      </c>
      <c r="L588" s="166">
        <v>45000</v>
      </c>
      <c r="M588" s="166"/>
      <c r="N588" s="166"/>
      <c r="O588" s="164">
        <f t="shared" si="65"/>
        <v>0</v>
      </c>
      <c r="P588" s="166">
        <v>10</v>
      </c>
      <c r="Q588" s="166">
        <v>1</v>
      </c>
      <c r="R588" s="164">
        <f>$L588*'Pivot Objective'!$C$9*P588*Q588</f>
        <v>514314.49364999996</v>
      </c>
      <c r="S588" s="166"/>
      <c r="T588" s="166"/>
      <c r="U588" s="164">
        <f>($L588*'Pivot Objective'!$C$9^2)*S588*T588</f>
        <v>0</v>
      </c>
      <c r="V588" s="166"/>
      <c r="W588" s="166"/>
      <c r="X588" s="164">
        <f>($L588*'Pivot Objective'!$C$9^3)*V588*W588</f>
        <v>0</v>
      </c>
      <c r="Y588" s="166"/>
      <c r="Z588" s="166"/>
      <c r="AA588" s="164">
        <f>($L588*'Pivot Objective'!$C$9^4)*Y588*Z588</f>
        <v>0</v>
      </c>
      <c r="AB588" s="166">
        <v>10</v>
      </c>
      <c r="AC588" s="166">
        <v>1</v>
      </c>
      <c r="AD588" s="164">
        <f>($L588*'Pivot Objective'!$C$9^5)*AB588*AC588</f>
        <v>877594.23284639849</v>
      </c>
      <c r="AE588" s="166"/>
      <c r="AF588" s="166"/>
      <c r="AG588" s="164">
        <f>($L588*'Pivot Objective'!$C$9^6)*AE588*AF588</f>
        <v>0</v>
      </c>
      <c r="AH588" s="166"/>
      <c r="AI588" s="166"/>
      <c r="AJ588" s="164">
        <f>($L588*'Pivot Objective'!$C$9^7)*AH588*AI588</f>
        <v>0</v>
      </c>
      <c r="AK588" s="185">
        <f t="shared" si="66"/>
        <v>1391908.7264963984</v>
      </c>
      <c r="AL588" s="186">
        <f t="shared" si="67"/>
        <v>1351.3676956275713</v>
      </c>
    </row>
    <row r="589" spans="1:38" customFormat="1" ht="57.6" x14ac:dyDescent="0.3">
      <c r="A589" s="140" t="s">
        <v>1442</v>
      </c>
      <c r="B589" s="140">
        <v>1</v>
      </c>
      <c r="C589" s="166" t="s">
        <v>836</v>
      </c>
      <c r="D589" s="140" t="str">
        <f t="shared" si="62"/>
        <v>3</v>
      </c>
      <c r="E589" s="166" t="s">
        <v>1051</v>
      </c>
      <c r="F589" s="140">
        <f t="shared" si="68"/>
        <v>2</v>
      </c>
      <c r="G589" s="140" t="str">
        <f t="shared" si="63"/>
        <v>1.3.2</v>
      </c>
      <c r="H589" s="166" t="s">
        <v>1689</v>
      </c>
      <c r="I589" s="166" t="s">
        <v>1059</v>
      </c>
      <c r="J589" s="166" t="s">
        <v>163</v>
      </c>
      <c r="K589" s="166" t="s">
        <v>712</v>
      </c>
      <c r="L589" s="166">
        <f>1480/7</f>
        <v>211.42857142857142</v>
      </c>
      <c r="M589" s="166"/>
      <c r="N589" s="166"/>
      <c r="O589" s="164">
        <f t="shared" si="65"/>
        <v>0</v>
      </c>
      <c r="P589" s="166">
        <f>2*25*9</f>
        <v>450</v>
      </c>
      <c r="Q589" s="166">
        <v>1</v>
      </c>
      <c r="R589" s="164">
        <f>$L589*'Pivot Objective'!$C$9*P589*Q589</f>
        <v>108740.77865742856</v>
      </c>
      <c r="S589" s="166"/>
      <c r="T589" s="166"/>
      <c r="U589" s="164">
        <f>($L589*'Pivot Objective'!$C$9^2)*S589*T589</f>
        <v>0</v>
      </c>
      <c r="V589" s="166"/>
      <c r="W589" s="166"/>
      <c r="X589" s="164">
        <f>($L589*'Pivot Objective'!$C$9^3)*V589*W589</f>
        <v>0</v>
      </c>
      <c r="Y589" s="166"/>
      <c r="Z589" s="166"/>
      <c r="AA589" s="164">
        <f>($L589*'Pivot Objective'!$C$9^4)*Y589*Z589</f>
        <v>0</v>
      </c>
      <c r="AB589" s="166">
        <f>2*25*9</f>
        <v>450</v>
      </c>
      <c r="AC589" s="166">
        <v>1</v>
      </c>
      <c r="AD589" s="164">
        <f>($L589*'Pivot Objective'!$C$9^5)*AB589*AC589</f>
        <v>185548.49494466712</v>
      </c>
      <c r="AE589" s="166"/>
      <c r="AF589" s="166"/>
      <c r="AG589" s="164">
        <f>($L589*'Pivot Objective'!$C$9^6)*AE589*AF589</f>
        <v>0</v>
      </c>
      <c r="AH589" s="166"/>
      <c r="AI589" s="166"/>
      <c r="AJ589" s="164">
        <f>($L589*'Pivot Objective'!$C$9^7)*AH589*AI589</f>
        <v>0</v>
      </c>
      <c r="AK589" s="185">
        <f t="shared" si="66"/>
        <v>294289.27360209567</v>
      </c>
      <c r="AL589" s="186">
        <f t="shared" si="67"/>
        <v>285.71774136125794</v>
      </c>
    </row>
    <row r="590" spans="1:38" customFormat="1" ht="57.6" x14ac:dyDescent="0.3">
      <c r="A590" s="140" t="s">
        <v>1442</v>
      </c>
      <c r="B590" s="140">
        <v>1</v>
      </c>
      <c r="C590" s="166" t="s">
        <v>836</v>
      </c>
      <c r="D590" s="140" t="str">
        <f t="shared" si="62"/>
        <v>3</v>
      </c>
      <c r="E590" s="166" t="s">
        <v>1051</v>
      </c>
      <c r="F590" s="140">
        <f t="shared" si="68"/>
        <v>2</v>
      </c>
      <c r="G590" s="140" t="str">
        <f t="shared" si="63"/>
        <v>1.3.2</v>
      </c>
      <c r="H590" s="166" t="s">
        <v>1689</v>
      </c>
      <c r="I590" s="166" t="s">
        <v>1059</v>
      </c>
      <c r="J590" s="166" t="s">
        <v>163</v>
      </c>
      <c r="K590" s="166" t="s">
        <v>1320</v>
      </c>
      <c r="L590" s="166">
        <f>1480/7</f>
        <v>211.42857142857142</v>
      </c>
      <c r="M590" s="166"/>
      <c r="N590" s="166"/>
      <c r="O590" s="164">
        <f t="shared" si="65"/>
        <v>0</v>
      </c>
      <c r="P590" s="166">
        <f>2*135*9</f>
        <v>2430</v>
      </c>
      <c r="Q590" s="166">
        <v>1</v>
      </c>
      <c r="R590" s="164">
        <f>$L590*'Pivot Objective'!$C$9*P590*Q590</f>
        <v>587200.20475011424</v>
      </c>
      <c r="S590" s="166"/>
      <c r="T590" s="166"/>
      <c r="U590" s="164">
        <f>($L590*'Pivot Objective'!$C$9^2)*S590*T590</f>
        <v>0</v>
      </c>
      <c r="V590" s="166"/>
      <c r="W590" s="166"/>
      <c r="X590" s="164">
        <f>($L590*'Pivot Objective'!$C$9^3)*V590*W590</f>
        <v>0</v>
      </c>
      <c r="Y590" s="166"/>
      <c r="Z590" s="166"/>
      <c r="AA590" s="164">
        <f>($L590*'Pivot Objective'!$C$9^4)*Y590*Z590</f>
        <v>0</v>
      </c>
      <c r="AB590" s="166">
        <f>2*135*9</f>
        <v>2430</v>
      </c>
      <c r="AC590" s="166">
        <v>1</v>
      </c>
      <c r="AD590" s="164">
        <f>($L590*'Pivot Objective'!$C$9^5)*AB590*AC590</f>
        <v>1001961.8727012025</v>
      </c>
      <c r="AE590" s="166"/>
      <c r="AF590" s="166"/>
      <c r="AG590" s="164">
        <f>($L590*'Pivot Objective'!$C$9^6)*AE590*AF590</f>
        <v>0</v>
      </c>
      <c r="AH590" s="166"/>
      <c r="AI590" s="166"/>
      <c r="AJ590" s="164">
        <f>($L590*'Pivot Objective'!$C$9^7)*AH590*AI590</f>
        <v>0</v>
      </c>
      <c r="AK590" s="185">
        <f t="shared" si="66"/>
        <v>1589162.0774513166</v>
      </c>
      <c r="AL590" s="186">
        <f t="shared" si="67"/>
        <v>1542.8758033507929</v>
      </c>
    </row>
    <row r="591" spans="1:38" customFormat="1" ht="57.6" x14ac:dyDescent="0.3">
      <c r="A591" s="140" t="s">
        <v>1442</v>
      </c>
      <c r="B591" s="140">
        <v>1</v>
      </c>
      <c r="C591" s="166" t="s">
        <v>836</v>
      </c>
      <c r="D591" s="140" t="str">
        <f t="shared" si="62"/>
        <v>3</v>
      </c>
      <c r="E591" s="166" t="s">
        <v>1051</v>
      </c>
      <c r="F591" s="140">
        <f t="shared" si="68"/>
        <v>2</v>
      </c>
      <c r="G591" s="140" t="str">
        <f t="shared" si="63"/>
        <v>1.3.2</v>
      </c>
      <c r="H591" s="166" t="s">
        <v>1689</v>
      </c>
      <c r="I591" s="166" t="s">
        <v>1059</v>
      </c>
      <c r="J591" s="166" t="s">
        <v>1027</v>
      </c>
      <c r="K591" s="166" t="s">
        <v>709</v>
      </c>
      <c r="L591" s="166">
        <v>35000</v>
      </c>
      <c r="M591" s="166"/>
      <c r="N591" s="166"/>
      <c r="O591" s="164">
        <f t="shared" si="65"/>
        <v>0</v>
      </c>
      <c r="P591" s="166">
        <v>30</v>
      </c>
      <c r="Q591" s="166">
        <v>1</v>
      </c>
      <c r="R591" s="164">
        <f>$L591*'Pivot Objective'!$C$9*P591*Q591</f>
        <v>1200067.1518499998</v>
      </c>
      <c r="S591" s="166"/>
      <c r="T591" s="166"/>
      <c r="U591" s="164">
        <f>($L591*'Pivot Objective'!$C$9^2)*S591*T591</f>
        <v>0</v>
      </c>
      <c r="V591" s="166"/>
      <c r="W591" s="166"/>
      <c r="X591" s="164">
        <f>($L591*'Pivot Objective'!$C$9^3)*V591*W591</f>
        <v>0</v>
      </c>
      <c r="Y591" s="166"/>
      <c r="Z591" s="166"/>
      <c r="AA591" s="164">
        <f>($L591*'Pivot Objective'!$C$9^4)*Y591*Z591</f>
        <v>0</v>
      </c>
      <c r="AB591" s="166">
        <v>30</v>
      </c>
      <c r="AC591" s="166">
        <v>1</v>
      </c>
      <c r="AD591" s="164">
        <f>($L591*'Pivot Objective'!$C$9^5)*AB591*AC591</f>
        <v>2047719.8766415964</v>
      </c>
      <c r="AE591" s="166"/>
      <c r="AF591" s="166"/>
      <c r="AG591" s="164">
        <f>($L591*'Pivot Objective'!$C$9^6)*AE591*AF591</f>
        <v>0</v>
      </c>
      <c r="AH591" s="166"/>
      <c r="AI591" s="166"/>
      <c r="AJ591" s="164">
        <f>($L591*'Pivot Objective'!$C$9^7)*AH591*AI591</f>
        <v>0</v>
      </c>
      <c r="AK591" s="185">
        <f t="shared" si="66"/>
        <v>3247787.0284915962</v>
      </c>
      <c r="AL591" s="186">
        <f t="shared" si="67"/>
        <v>3153.1912897976663</v>
      </c>
    </row>
    <row r="592" spans="1:38" customFormat="1" ht="57.6" x14ac:dyDescent="0.3">
      <c r="A592" s="140" t="s">
        <v>1442</v>
      </c>
      <c r="B592" s="140">
        <v>1</v>
      </c>
      <c r="C592" s="166" t="s">
        <v>836</v>
      </c>
      <c r="D592" s="140" t="str">
        <f t="shared" si="62"/>
        <v>3</v>
      </c>
      <c r="E592" s="166" t="s">
        <v>1051</v>
      </c>
      <c r="F592" s="140">
        <f t="shared" si="68"/>
        <v>2</v>
      </c>
      <c r="G592" s="140" t="str">
        <f t="shared" si="63"/>
        <v>1.3.2</v>
      </c>
      <c r="H592" s="166" t="s">
        <v>1689</v>
      </c>
      <c r="I592" s="166" t="s">
        <v>1059</v>
      </c>
      <c r="J592" s="166" t="s">
        <v>157</v>
      </c>
      <c r="K592" s="166" t="s">
        <v>713</v>
      </c>
      <c r="L592" s="166">
        <v>45000</v>
      </c>
      <c r="M592" s="166"/>
      <c r="N592" s="166"/>
      <c r="O592" s="164">
        <f t="shared" si="65"/>
        <v>0</v>
      </c>
      <c r="P592" s="166">
        <v>30</v>
      </c>
      <c r="Q592" s="166">
        <v>6</v>
      </c>
      <c r="R592" s="164">
        <f>$L592*'Pivot Objective'!$C$9*P592*Q592</f>
        <v>9257660.8856999986</v>
      </c>
      <c r="S592" s="166"/>
      <c r="T592" s="166"/>
      <c r="U592" s="164">
        <f>($L592*'Pivot Objective'!$C$9^2)*S592*T592</f>
        <v>0</v>
      </c>
      <c r="V592" s="166"/>
      <c r="W592" s="166"/>
      <c r="X592" s="164">
        <f>($L592*'Pivot Objective'!$C$9^3)*V592*W592</f>
        <v>0</v>
      </c>
      <c r="Y592" s="166"/>
      <c r="Z592" s="166"/>
      <c r="AA592" s="164">
        <f>($L592*'Pivot Objective'!$C$9^4)*Y592*Z592</f>
        <v>0</v>
      </c>
      <c r="AB592" s="166">
        <v>30</v>
      </c>
      <c r="AC592" s="166">
        <v>6</v>
      </c>
      <c r="AD592" s="164">
        <f>($L592*'Pivot Objective'!$C$9^5)*AB592*AC592</f>
        <v>15796696.191235173</v>
      </c>
      <c r="AE592" s="166"/>
      <c r="AF592" s="166"/>
      <c r="AG592" s="164">
        <f>($L592*'Pivot Objective'!$C$9^6)*AE592*AF592</f>
        <v>0</v>
      </c>
      <c r="AH592" s="166"/>
      <c r="AI592" s="166"/>
      <c r="AJ592" s="164">
        <f>($L592*'Pivot Objective'!$C$9^7)*AH592*AI592</f>
        <v>0</v>
      </c>
      <c r="AK592" s="185">
        <f t="shared" si="66"/>
        <v>25054357.076935172</v>
      </c>
      <c r="AL592" s="186">
        <f t="shared" si="67"/>
        <v>24324.618521296285</v>
      </c>
    </row>
    <row r="593" spans="1:38" customFormat="1" ht="57.6" x14ac:dyDescent="0.3">
      <c r="A593" s="140" t="s">
        <v>1442</v>
      </c>
      <c r="B593" s="140">
        <v>1</v>
      </c>
      <c r="C593" s="166" t="s">
        <v>836</v>
      </c>
      <c r="D593" s="140" t="str">
        <f t="shared" si="62"/>
        <v>3</v>
      </c>
      <c r="E593" s="166" t="s">
        <v>1051</v>
      </c>
      <c r="F593" s="140">
        <f t="shared" si="68"/>
        <v>2</v>
      </c>
      <c r="G593" s="140" t="str">
        <f t="shared" si="63"/>
        <v>1.3.2</v>
      </c>
      <c r="H593" s="166" t="s">
        <v>1689</v>
      </c>
      <c r="I593" s="166" t="s">
        <v>1059</v>
      </c>
      <c r="J593" s="166" t="s">
        <v>157</v>
      </c>
      <c r="K593" s="166" t="s">
        <v>712</v>
      </c>
      <c r="L593" s="166">
        <f>1480/7</f>
        <v>211.42857142857142</v>
      </c>
      <c r="M593" s="166"/>
      <c r="N593" s="166"/>
      <c r="O593" s="164">
        <f t="shared" si="65"/>
        <v>0</v>
      </c>
      <c r="P593" s="166">
        <f>25*2*9</f>
        <v>450</v>
      </c>
      <c r="Q593" s="166">
        <v>5</v>
      </c>
      <c r="R593" s="164">
        <f>$L593*'Pivot Objective'!$C$9*P593*Q593</f>
        <v>543703.89328714274</v>
      </c>
      <c r="S593" s="166"/>
      <c r="T593" s="166"/>
      <c r="U593" s="164">
        <f>($L593*'Pivot Objective'!$C$9^2)*S593*T593</f>
        <v>0</v>
      </c>
      <c r="V593" s="166"/>
      <c r="W593" s="166"/>
      <c r="X593" s="164">
        <f>($L593*'Pivot Objective'!$C$9^3)*V593*W593</f>
        <v>0</v>
      </c>
      <c r="Y593" s="166"/>
      <c r="Z593" s="166"/>
      <c r="AA593" s="164">
        <f>($L593*'Pivot Objective'!$C$9^4)*Y593*Z593</f>
        <v>0</v>
      </c>
      <c r="AB593" s="166">
        <f>25*2*9</f>
        <v>450</v>
      </c>
      <c r="AC593" s="166">
        <v>5</v>
      </c>
      <c r="AD593" s="164">
        <f>($L593*'Pivot Objective'!$C$9^5)*AB593*AC593</f>
        <v>927742.47472333559</v>
      </c>
      <c r="AE593" s="166"/>
      <c r="AF593" s="166"/>
      <c r="AG593" s="164">
        <f>($L593*'Pivot Objective'!$C$9^6)*AE593*AF593</f>
        <v>0</v>
      </c>
      <c r="AH593" s="166"/>
      <c r="AI593" s="166"/>
      <c r="AJ593" s="164">
        <f>($L593*'Pivot Objective'!$C$9^7)*AH593*AI593</f>
        <v>0</v>
      </c>
      <c r="AK593" s="185">
        <f t="shared" si="66"/>
        <v>1471446.3680104783</v>
      </c>
      <c r="AL593" s="186">
        <f t="shared" si="67"/>
        <v>1428.5887068062896</v>
      </c>
    </row>
    <row r="594" spans="1:38" customFormat="1" ht="57.6" x14ac:dyDescent="0.3">
      <c r="A594" s="140" t="s">
        <v>1442</v>
      </c>
      <c r="B594" s="140">
        <v>1</v>
      </c>
      <c r="C594" s="166" t="s">
        <v>836</v>
      </c>
      <c r="D594" s="140" t="str">
        <f t="shared" si="62"/>
        <v>3</v>
      </c>
      <c r="E594" s="166" t="s">
        <v>1051</v>
      </c>
      <c r="F594" s="140">
        <f t="shared" si="68"/>
        <v>2</v>
      </c>
      <c r="G594" s="140" t="str">
        <f t="shared" si="63"/>
        <v>1.3.2</v>
      </c>
      <c r="H594" s="166" t="s">
        <v>1689</v>
      </c>
      <c r="I594" s="166" t="s">
        <v>1059</v>
      </c>
      <c r="J594" s="166" t="s">
        <v>157</v>
      </c>
      <c r="K594" s="166" t="s">
        <v>1320</v>
      </c>
      <c r="L594" s="166">
        <f>1480/7</f>
        <v>211.42857142857142</v>
      </c>
      <c r="M594" s="166"/>
      <c r="N594" s="166"/>
      <c r="O594" s="164">
        <f t="shared" si="65"/>
        <v>0</v>
      </c>
      <c r="P594" s="166">
        <f>2*135*9</f>
        <v>2430</v>
      </c>
      <c r="Q594" s="166">
        <v>1</v>
      </c>
      <c r="R594" s="164">
        <f>$L594*'Pivot Objective'!$C$9*P594*Q594</f>
        <v>587200.20475011424</v>
      </c>
      <c r="S594" s="166"/>
      <c r="T594" s="166"/>
      <c r="U594" s="164">
        <f>($L594*'Pivot Objective'!$C$9^2)*S594*T594</f>
        <v>0</v>
      </c>
      <c r="V594" s="166"/>
      <c r="W594" s="166"/>
      <c r="X594" s="164">
        <f>($L594*'Pivot Objective'!$C$9^3)*V594*W594</f>
        <v>0</v>
      </c>
      <c r="Y594" s="166"/>
      <c r="Z594" s="166"/>
      <c r="AA594" s="164">
        <f>($L594*'Pivot Objective'!$C$9^4)*Y594*Z594</f>
        <v>0</v>
      </c>
      <c r="AB594" s="166">
        <f>2*135*9</f>
        <v>2430</v>
      </c>
      <c r="AC594" s="166">
        <v>1</v>
      </c>
      <c r="AD594" s="164">
        <f>($L594*'Pivot Objective'!$C$9^5)*AB594*AC594</f>
        <v>1001961.8727012025</v>
      </c>
      <c r="AE594" s="166"/>
      <c r="AF594" s="166"/>
      <c r="AG594" s="164">
        <f>($L594*'Pivot Objective'!$C$9^6)*AE594*AF594</f>
        <v>0</v>
      </c>
      <c r="AH594" s="166"/>
      <c r="AI594" s="166"/>
      <c r="AJ594" s="164">
        <f>($L594*'Pivot Objective'!$C$9^7)*AH594*AI594</f>
        <v>0</v>
      </c>
      <c r="AK594" s="185">
        <f t="shared" si="66"/>
        <v>1589162.0774513166</v>
      </c>
      <c r="AL594" s="186">
        <f t="shared" si="67"/>
        <v>1542.8758033507929</v>
      </c>
    </row>
    <row r="595" spans="1:38" customFormat="1" ht="57.6" x14ac:dyDescent="0.3">
      <c r="A595" s="140" t="s">
        <v>1442</v>
      </c>
      <c r="B595" s="140">
        <v>1</v>
      </c>
      <c r="C595" s="166" t="s">
        <v>836</v>
      </c>
      <c r="D595" s="140" t="str">
        <f t="shared" si="62"/>
        <v>3</v>
      </c>
      <c r="E595" s="166" t="s">
        <v>1051</v>
      </c>
      <c r="F595" s="140">
        <f t="shared" si="68"/>
        <v>2</v>
      </c>
      <c r="G595" s="140" t="str">
        <f t="shared" si="63"/>
        <v>1.3.2</v>
      </c>
      <c r="H595" s="166" t="s">
        <v>1689</v>
      </c>
      <c r="I595" s="166" t="s">
        <v>1059</v>
      </c>
      <c r="J595" s="166" t="s">
        <v>157</v>
      </c>
      <c r="K595" s="166" t="s">
        <v>714</v>
      </c>
      <c r="L595" s="166">
        <v>10000</v>
      </c>
      <c r="M595" s="166"/>
      <c r="N595" s="166"/>
      <c r="O595" s="164">
        <f t="shared" si="65"/>
        <v>0</v>
      </c>
      <c r="P595" s="166">
        <v>30</v>
      </c>
      <c r="Q595" s="166">
        <v>5</v>
      </c>
      <c r="R595" s="164">
        <f>$L595*'Pivot Objective'!$C$9*P595*Q595</f>
        <v>1714381.6454999999</v>
      </c>
      <c r="S595" s="166"/>
      <c r="T595" s="166"/>
      <c r="U595" s="164">
        <f>($L595*'Pivot Objective'!$C$9^2)*S595*T595</f>
        <v>0</v>
      </c>
      <c r="V595" s="166"/>
      <c r="W595" s="166"/>
      <c r="X595" s="164">
        <f>($L595*'Pivot Objective'!$C$9^3)*V595*W595</f>
        <v>0</v>
      </c>
      <c r="Y595" s="166"/>
      <c r="Z595" s="166"/>
      <c r="AA595" s="164">
        <f>($L595*'Pivot Objective'!$C$9^4)*Y595*Z595</f>
        <v>0</v>
      </c>
      <c r="AB595" s="166">
        <v>30</v>
      </c>
      <c r="AC595" s="166">
        <v>5</v>
      </c>
      <c r="AD595" s="164">
        <f>($L595*'Pivot Objective'!$C$9^5)*AB595*AC595</f>
        <v>2925314.109487995</v>
      </c>
      <c r="AE595" s="166"/>
      <c r="AF595" s="166"/>
      <c r="AG595" s="164">
        <f>($L595*'Pivot Objective'!$C$9^6)*AE595*AF595</f>
        <v>0</v>
      </c>
      <c r="AH595" s="166"/>
      <c r="AI595" s="166"/>
      <c r="AJ595" s="164">
        <f>($L595*'Pivot Objective'!$C$9^7)*AH595*AI595</f>
        <v>0</v>
      </c>
      <c r="AK595" s="185">
        <f t="shared" si="66"/>
        <v>4639695.7549879951</v>
      </c>
      <c r="AL595" s="186">
        <f t="shared" si="67"/>
        <v>4504.5589854252376</v>
      </c>
    </row>
    <row r="596" spans="1:38" customFormat="1" ht="57.6" x14ac:dyDescent="0.3">
      <c r="A596" s="140" t="s">
        <v>1442</v>
      </c>
      <c r="B596" s="140">
        <v>1</v>
      </c>
      <c r="C596" s="166" t="s">
        <v>836</v>
      </c>
      <c r="D596" s="140" t="str">
        <f t="shared" si="62"/>
        <v>3</v>
      </c>
      <c r="E596" s="166" t="s">
        <v>1051</v>
      </c>
      <c r="F596" s="140">
        <f t="shared" si="68"/>
        <v>2</v>
      </c>
      <c r="G596" s="140" t="str">
        <f t="shared" si="63"/>
        <v>1.3.2</v>
      </c>
      <c r="H596" s="166" t="s">
        <v>1689</v>
      </c>
      <c r="I596" s="166" t="s">
        <v>1059</v>
      </c>
      <c r="J596" s="166" t="s">
        <v>1004</v>
      </c>
      <c r="K596" s="166" t="s">
        <v>709</v>
      </c>
      <c r="L596" s="166">
        <v>35000</v>
      </c>
      <c r="M596" s="166"/>
      <c r="N596" s="166"/>
      <c r="O596" s="164">
        <f t="shared" si="65"/>
        <v>0</v>
      </c>
      <c r="P596" s="166">
        <v>30</v>
      </c>
      <c r="Q596" s="166">
        <v>5</v>
      </c>
      <c r="R596" s="164">
        <f>$L596*'Pivot Objective'!$C$9*P596*Q596</f>
        <v>6000335.7592499992</v>
      </c>
      <c r="S596" s="166"/>
      <c r="T596" s="166"/>
      <c r="U596" s="164">
        <f>($L596*'Pivot Objective'!$C$9^2)*S596*T596</f>
        <v>0</v>
      </c>
      <c r="V596" s="166"/>
      <c r="W596" s="166"/>
      <c r="X596" s="164">
        <f>($L596*'Pivot Objective'!$C$9^3)*V596*W596</f>
        <v>0</v>
      </c>
      <c r="Y596" s="166"/>
      <c r="Z596" s="166"/>
      <c r="AA596" s="164">
        <f>($L596*'Pivot Objective'!$C$9^4)*Y596*Z596</f>
        <v>0</v>
      </c>
      <c r="AB596" s="166">
        <v>30</v>
      </c>
      <c r="AC596" s="166">
        <v>5</v>
      </c>
      <c r="AD596" s="164">
        <f>($L596*'Pivot Objective'!$C$9^5)*AB596*AC596</f>
        <v>10238599.383207982</v>
      </c>
      <c r="AE596" s="166"/>
      <c r="AF596" s="166"/>
      <c r="AG596" s="164">
        <f>($L596*'Pivot Objective'!$C$9^6)*AE596*AF596</f>
        <v>0</v>
      </c>
      <c r="AH596" s="166"/>
      <c r="AI596" s="166"/>
      <c r="AJ596" s="164">
        <f>($L596*'Pivot Objective'!$C$9^7)*AH596*AI596</f>
        <v>0</v>
      </c>
      <c r="AK596" s="185">
        <f t="shared" si="66"/>
        <v>16238935.142457981</v>
      </c>
      <c r="AL596" s="186">
        <f t="shared" si="67"/>
        <v>15765.956448988331</v>
      </c>
    </row>
    <row r="597" spans="1:38" customFormat="1" ht="57.6" x14ac:dyDescent="0.3">
      <c r="A597" s="140" t="s">
        <v>1442</v>
      </c>
      <c r="B597" s="140">
        <v>1</v>
      </c>
      <c r="C597" s="166" t="s">
        <v>836</v>
      </c>
      <c r="D597" s="140" t="str">
        <f t="shared" si="62"/>
        <v>3</v>
      </c>
      <c r="E597" s="166" t="s">
        <v>1051</v>
      </c>
      <c r="F597" s="140">
        <f t="shared" si="68"/>
        <v>2</v>
      </c>
      <c r="G597" s="140" t="str">
        <f t="shared" si="63"/>
        <v>1.3.2</v>
      </c>
      <c r="H597" s="166" t="s">
        <v>1689</v>
      </c>
      <c r="I597" s="166" t="s">
        <v>1059</v>
      </c>
      <c r="J597" s="166" t="s">
        <v>1004</v>
      </c>
      <c r="K597" s="166" t="s">
        <v>716</v>
      </c>
      <c r="L597" s="166">
        <v>39000</v>
      </c>
      <c r="M597" s="166"/>
      <c r="N597" s="166"/>
      <c r="O597" s="164">
        <f t="shared" si="65"/>
        <v>0</v>
      </c>
      <c r="P597" s="166">
        <v>30</v>
      </c>
      <c r="Q597" s="166">
        <v>6</v>
      </c>
      <c r="R597" s="164">
        <f>$L597*'Pivot Objective'!$C$9*P597*Q597</f>
        <v>8023306.1009399984</v>
      </c>
      <c r="S597" s="166"/>
      <c r="T597" s="166"/>
      <c r="U597" s="164">
        <f>($L597*'Pivot Objective'!$C$9^2)*S597*T597</f>
        <v>0</v>
      </c>
      <c r="V597" s="166"/>
      <c r="W597" s="166"/>
      <c r="X597" s="164">
        <f>($L597*'Pivot Objective'!$C$9^3)*V597*W597</f>
        <v>0</v>
      </c>
      <c r="Y597" s="166"/>
      <c r="Z597" s="166"/>
      <c r="AA597" s="164">
        <f>($L597*'Pivot Objective'!$C$9^4)*Y597*Z597</f>
        <v>0</v>
      </c>
      <c r="AB597" s="166">
        <v>30</v>
      </c>
      <c r="AC597" s="166">
        <v>6</v>
      </c>
      <c r="AD597" s="164">
        <f>($L597*'Pivot Objective'!$C$9^5)*AB597*AC597</f>
        <v>13690470.032403817</v>
      </c>
      <c r="AE597" s="166"/>
      <c r="AF597" s="166"/>
      <c r="AG597" s="164">
        <f>($L597*'Pivot Objective'!$C$9^6)*AE597*AF597</f>
        <v>0</v>
      </c>
      <c r="AH597" s="166"/>
      <c r="AI597" s="166"/>
      <c r="AJ597" s="164">
        <f>($L597*'Pivot Objective'!$C$9^7)*AH597*AI597</f>
        <v>0</v>
      </c>
      <c r="AK597" s="185">
        <f t="shared" si="66"/>
        <v>21713776.133343816</v>
      </c>
      <c r="AL597" s="186">
        <f t="shared" si="67"/>
        <v>21081.336051790113</v>
      </c>
    </row>
    <row r="598" spans="1:38" customFormat="1" ht="57.6" x14ac:dyDescent="0.3">
      <c r="A598" s="140" t="s">
        <v>1442</v>
      </c>
      <c r="B598" s="140">
        <v>1</v>
      </c>
      <c r="C598" s="166" t="s">
        <v>836</v>
      </c>
      <c r="D598" s="140" t="str">
        <f t="shared" si="62"/>
        <v>3</v>
      </c>
      <c r="E598" s="166" t="s">
        <v>1051</v>
      </c>
      <c r="F598" s="140">
        <f t="shared" si="68"/>
        <v>2</v>
      </c>
      <c r="G598" s="140" t="str">
        <f t="shared" si="63"/>
        <v>1.3.2</v>
      </c>
      <c r="H598" s="166" t="s">
        <v>1689</v>
      </c>
      <c r="I598" s="166" t="s">
        <v>1059</v>
      </c>
      <c r="J598" s="166" t="s">
        <v>1004</v>
      </c>
      <c r="K598" s="166" t="s">
        <v>712</v>
      </c>
      <c r="L598" s="166">
        <f>1480/7</f>
        <v>211.42857142857142</v>
      </c>
      <c r="M598" s="166"/>
      <c r="N598" s="166"/>
      <c r="O598" s="164">
        <f t="shared" si="65"/>
        <v>0</v>
      </c>
      <c r="P598" s="166">
        <f>25*2*9</f>
        <v>450</v>
      </c>
      <c r="Q598" s="166">
        <v>5</v>
      </c>
      <c r="R598" s="164">
        <f>$L598*'Pivot Objective'!$C$9*P598*Q598</f>
        <v>543703.89328714274</v>
      </c>
      <c r="S598" s="166"/>
      <c r="T598" s="166"/>
      <c r="U598" s="164">
        <f>($L598*'Pivot Objective'!$C$9^2)*S598*T598</f>
        <v>0</v>
      </c>
      <c r="V598" s="166"/>
      <c r="W598" s="166"/>
      <c r="X598" s="164">
        <f>($L598*'Pivot Objective'!$C$9^3)*V598*W598</f>
        <v>0</v>
      </c>
      <c r="Y598" s="166"/>
      <c r="Z598" s="166"/>
      <c r="AA598" s="164">
        <f>($L598*'Pivot Objective'!$C$9^4)*Y598*Z598</f>
        <v>0</v>
      </c>
      <c r="AB598" s="166">
        <f>25*2*9</f>
        <v>450</v>
      </c>
      <c r="AC598" s="166">
        <v>5</v>
      </c>
      <c r="AD598" s="164">
        <f>($L598*'Pivot Objective'!$C$9^5)*AB598*AC598</f>
        <v>927742.47472333559</v>
      </c>
      <c r="AE598" s="166"/>
      <c r="AF598" s="166"/>
      <c r="AG598" s="164">
        <f>($L598*'Pivot Objective'!$C$9^6)*AE598*AF598</f>
        <v>0</v>
      </c>
      <c r="AH598" s="166"/>
      <c r="AI598" s="166"/>
      <c r="AJ598" s="164">
        <f>($L598*'Pivot Objective'!$C$9^7)*AH598*AI598</f>
        <v>0</v>
      </c>
      <c r="AK598" s="185">
        <f t="shared" si="66"/>
        <v>1471446.3680104783</v>
      </c>
      <c r="AL598" s="186">
        <f t="shared" si="67"/>
        <v>1428.5887068062896</v>
      </c>
    </row>
    <row r="599" spans="1:38" customFormat="1" ht="57.6" x14ac:dyDescent="0.3">
      <c r="A599" s="140" t="s">
        <v>1442</v>
      </c>
      <c r="B599" s="140">
        <v>1</v>
      </c>
      <c r="C599" s="166" t="s">
        <v>836</v>
      </c>
      <c r="D599" s="140" t="str">
        <f t="shared" ref="D599:D662" si="69">RIGHT(A599,1)</f>
        <v>3</v>
      </c>
      <c r="E599" s="166" t="s">
        <v>1051</v>
      </c>
      <c r="F599" s="140">
        <f t="shared" si="68"/>
        <v>2</v>
      </c>
      <c r="G599" s="140" t="str">
        <f t="shared" si="63"/>
        <v>1.3.2</v>
      </c>
      <c r="H599" s="166" t="s">
        <v>1689</v>
      </c>
      <c r="I599" s="166" t="s">
        <v>1059</v>
      </c>
      <c r="J599" s="166" t="s">
        <v>1319</v>
      </c>
      <c r="K599" s="166" t="s">
        <v>709</v>
      </c>
      <c r="L599" s="166">
        <v>35000</v>
      </c>
      <c r="M599" s="166"/>
      <c r="N599" s="166"/>
      <c r="O599" s="164">
        <f t="shared" si="65"/>
        <v>0</v>
      </c>
      <c r="P599" s="166">
        <v>100</v>
      </c>
      <c r="Q599" s="166">
        <v>5</v>
      </c>
      <c r="R599" s="164">
        <f>$L599*'Pivot Objective'!$C$9*P599*Q599</f>
        <v>20001119.197499998</v>
      </c>
      <c r="S599" s="166"/>
      <c r="T599" s="166"/>
      <c r="U599" s="164">
        <f>($L599*'Pivot Objective'!$C$9^2)*S599*T599</f>
        <v>0</v>
      </c>
      <c r="V599" s="166"/>
      <c r="W599" s="166"/>
      <c r="X599" s="164">
        <f>($L599*'Pivot Objective'!$C$9^3)*V599*W599</f>
        <v>0</v>
      </c>
      <c r="Y599" s="166"/>
      <c r="Z599" s="166"/>
      <c r="AA599" s="164">
        <f>($L599*'Pivot Objective'!$C$9^4)*Y599*Z599</f>
        <v>0</v>
      </c>
      <c r="AB599" s="166">
        <v>100</v>
      </c>
      <c r="AC599" s="166">
        <v>5</v>
      </c>
      <c r="AD599" s="164">
        <f>($L599*'Pivot Objective'!$C$9^5)*AB599*AC599</f>
        <v>34128664.610693276</v>
      </c>
      <c r="AE599" s="166"/>
      <c r="AF599" s="166"/>
      <c r="AG599" s="164">
        <f>($L599*'Pivot Objective'!$C$9^6)*AE599*AF599</f>
        <v>0</v>
      </c>
      <c r="AH599" s="166"/>
      <c r="AI599" s="166"/>
      <c r="AJ599" s="164">
        <f>($L599*'Pivot Objective'!$C$9^7)*AH599*AI599</f>
        <v>0</v>
      </c>
      <c r="AK599" s="185">
        <f t="shared" si="66"/>
        <v>54129783.808193274</v>
      </c>
      <c r="AL599" s="186">
        <f t="shared" si="67"/>
        <v>52553.188163294442</v>
      </c>
    </row>
    <row r="600" spans="1:38" customFormat="1" ht="57.6" x14ac:dyDescent="0.3">
      <c r="A600" s="140" t="s">
        <v>1442</v>
      </c>
      <c r="B600" s="140">
        <v>1</v>
      </c>
      <c r="C600" s="166" t="s">
        <v>836</v>
      </c>
      <c r="D600" s="140" t="str">
        <f t="shared" si="69"/>
        <v>3</v>
      </c>
      <c r="E600" s="166" t="s">
        <v>1051</v>
      </c>
      <c r="F600" s="140">
        <f t="shared" si="68"/>
        <v>2</v>
      </c>
      <c r="G600" s="140" t="str">
        <f t="shared" ref="G600:G663" si="70">B600&amp;"."&amp;D600&amp;"."&amp;F600</f>
        <v>1.3.2</v>
      </c>
      <c r="H600" s="166" t="s">
        <v>1689</v>
      </c>
      <c r="I600" s="166" t="s">
        <v>1059</v>
      </c>
      <c r="J600" s="166" t="s">
        <v>1319</v>
      </c>
      <c r="K600" s="166" t="s">
        <v>713</v>
      </c>
      <c r="L600" s="166">
        <v>45000</v>
      </c>
      <c r="M600" s="166"/>
      <c r="N600" s="166"/>
      <c r="O600" s="164">
        <f t="shared" si="65"/>
        <v>0</v>
      </c>
      <c r="P600" s="166">
        <v>58</v>
      </c>
      <c r="Q600" s="166">
        <v>6</v>
      </c>
      <c r="R600" s="164">
        <f>$L600*'Pivot Objective'!$C$9*P600*Q600</f>
        <v>17898144.379019998</v>
      </c>
      <c r="S600" s="166"/>
      <c r="T600" s="166"/>
      <c r="U600" s="164">
        <f>($L600*'Pivot Objective'!$C$9^2)*S600*T600</f>
        <v>0</v>
      </c>
      <c r="V600" s="166"/>
      <c r="W600" s="166"/>
      <c r="X600" s="164">
        <f>($L600*'Pivot Objective'!$C$9^3)*V600*W600</f>
        <v>0</v>
      </c>
      <c r="Y600" s="166"/>
      <c r="Z600" s="166"/>
      <c r="AA600" s="164">
        <f>($L600*'Pivot Objective'!$C$9^4)*Y600*Z600</f>
        <v>0</v>
      </c>
      <c r="AB600" s="166">
        <v>58</v>
      </c>
      <c r="AC600" s="166">
        <v>6</v>
      </c>
      <c r="AD600" s="164">
        <f>($L600*'Pivot Objective'!$C$9^5)*AB600*AC600</f>
        <v>30540279.303054668</v>
      </c>
      <c r="AE600" s="166"/>
      <c r="AF600" s="166"/>
      <c r="AG600" s="164">
        <f>($L600*'Pivot Objective'!$C$9^6)*AE600*AF600</f>
        <v>0</v>
      </c>
      <c r="AH600" s="166"/>
      <c r="AI600" s="166"/>
      <c r="AJ600" s="164">
        <f>($L600*'Pivot Objective'!$C$9^7)*AH600*AI600</f>
        <v>0</v>
      </c>
      <c r="AK600" s="185">
        <f t="shared" si="66"/>
        <v>48438423.682074666</v>
      </c>
      <c r="AL600" s="186">
        <f t="shared" si="67"/>
        <v>47027.595807839483</v>
      </c>
    </row>
    <row r="601" spans="1:38" customFormat="1" ht="57.6" x14ac:dyDescent="0.3">
      <c r="A601" s="140" t="s">
        <v>1442</v>
      </c>
      <c r="B601" s="140">
        <v>1</v>
      </c>
      <c r="C601" s="166" t="s">
        <v>836</v>
      </c>
      <c r="D601" s="140" t="str">
        <f t="shared" si="69"/>
        <v>3</v>
      </c>
      <c r="E601" s="166" t="s">
        <v>1051</v>
      </c>
      <c r="F601" s="140">
        <f t="shared" si="68"/>
        <v>2</v>
      </c>
      <c r="G601" s="140" t="str">
        <f t="shared" si="70"/>
        <v>1.3.2</v>
      </c>
      <c r="H601" s="166" t="s">
        <v>1689</v>
      </c>
      <c r="I601" s="166" t="s">
        <v>1059</v>
      </c>
      <c r="J601" s="166" t="s">
        <v>1319</v>
      </c>
      <c r="K601" s="166" t="s">
        <v>712</v>
      </c>
      <c r="L601" s="166">
        <f>1480/7</f>
        <v>211.42857142857142</v>
      </c>
      <c r="M601" s="166"/>
      <c r="N601" s="166"/>
      <c r="O601" s="164">
        <f t="shared" si="65"/>
        <v>0</v>
      </c>
      <c r="P601" s="166">
        <f>25*2*9</f>
        <v>450</v>
      </c>
      <c r="Q601" s="166">
        <v>5</v>
      </c>
      <c r="R601" s="164">
        <f>$L601*'Pivot Objective'!$C$9*P601*Q601</f>
        <v>543703.89328714274</v>
      </c>
      <c r="S601" s="166"/>
      <c r="T601" s="166"/>
      <c r="U601" s="164">
        <f>($L601*'Pivot Objective'!$C$9^2)*S601*T601</f>
        <v>0</v>
      </c>
      <c r="V601" s="166"/>
      <c r="W601" s="166"/>
      <c r="X601" s="164">
        <f>($L601*'Pivot Objective'!$C$9^3)*V601*W601</f>
        <v>0</v>
      </c>
      <c r="Y601" s="166"/>
      <c r="Z601" s="166"/>
      <c r="AA601" s="164">
        <f>($L601*'Pivot Objective'!$C$9^4)*Y601*Z601</f>
        <v>0</v>
      </c>
      <c r="AB601" s="166">
        <f>25*2*9</f>
        <v>450</v>
      </c>
      <c r="AC601" s="166">
        <v>5</v>
      </c>
      <c r="AD601" s="164">
        <f>($L601*'Pivot Objective'!$C$9^5)*AB601*AC601</f>
        <v>927742.47472333559</v>
      </c>
      <c r="AE601" s="166"/>
      <c r="AF601" s="166"/>
      <c r="AG601" s="164">
        <f>($L601*'Pivot Objective'!$C$9^6)*AE601*AF601</f>
        <v>0</v>
      </c>
      <c r="AH601" s="166"/>
      <c r="AI601" s="166"/>
      <c r="AJ601" s="164">
        <f>($L601*'Pivot Objective'!$C$9^7)*AH601*AI601</f>
        <v>0</v>
      </c>
      <c r="AK601" s="185">
        <f t="shared" si="66"/>
        <v>1471446.3680104783</v>
      </c>
      <c r="AL601" s="186">
        <f t="shared" si="67"/>
        <v>1428.5887068062896</v>
      </c>
    </row>
    <row r="602" spans="1:38" customFormat="1" ht="57.6" x14ac:dyDescent="0.3">
      <c r="A602" s="140" t="s">
        <v>1442</v>
      </c>
      <c r="B602" s="140">
        <v>1</v>
      </c>
      <c r="C602" s="166" t="s">
        <v>836</v>
      </c>
      <c r="D602" s="140" t="str">
        <f t="shared" si="69"/>
        <v>3</v>
      </c>
      <c r="E602" s="166" t="s">
        <v>1051</v>
      </c>
      <c r="F602" s="140">
        <f t="shared" si="68"/>
        <v>2</v>
      </c>
      <c r="G602" s="140" t="str">
        <f t="shared" si="70"/>
        <v>1.3.2</v>
      </c>
      <c r="H602" s="166" t="s">
        <v>1689</v>
      </c>
      <c r="I602" s="166" t="s">
        <v>1059</v>
      </c>
      <c r="J602" s="166" t="s">
        <v>1319</v>
      </c>
      <c r="K602" s="166" t="s">
        <v>1320</v>
      </c>
      <c r="L602" s="166">
        <f>1480/7</f>
        <v>211.42857142857142</v>
      </c>
      <c r="M602" s="168"/>
      <c r="N602" s="166"/>
      <c r="O602" s="164">
        <f t="shared" si="65"/>
        <v>0</v>
      </c>
      <c r="P602" s="168">
        <v>22500</v>
      </c>
      <c r="Q602" s="166">
        <v>1</v>
      </c>
      <c r="R602" s="164">
        <f>$L602*'Pivot Objective'!$C$9*P602*Q602</f>
        <v>5437038.9328714283</v>
      </c>
      <c r="S602" s="166"/>
      <c r="T602" s="166"/>
      <c r="U602" s="164">
        <f>($L602*'Pivot Objective'!$C$9^2)*S602*T602</f>
        <v>0</v>
      </c>
      <c r="V602" s="166"/>
      <c r="W602" s="166"/>
      <c r="X602" s="164">
        <f>($L602*'Pivot Objective'!$C$9^3)*V602*W602</f>
        <v>0</v>
      </c>
      <c r="Y602" s="166"/>
      <c r="Z602" s="166"/>
      <c r="AA602" s="164">
        <f>($L602*'Pivot Objective'!$C$9^4)*Y602*Z602</f>
        <v>0</v>
      </c>
      <c r="AB602" s="168">
        <v>22500</v>
      </c>
      <c r="AC602" s="166">
        <v>1</v>
      </c>
      <c r="AD602" s="164">
        <f>($L602*'Pivot Objective'!$C$9^5)*AB602*AC602</f>
        <v>9277424.7472333554</v>
      </c>
      <c r="AE602" s="166"/>
      <c r="AF602" s="166"/>
      <c r="AG602" s="164">
        <f>($L602*'Pivot Objective'!$C$9^6)*AE602*AF602</f>
        <v>0</v>
      </c>
      <c r="AH602" s="166"/>
      <c r="AI602" s="166"/>
      <c r="AJ602" s="164">
        <f>($L602*'Pivot Objective'!$C$9^7)*AH602*AI602</f>
        <v>0</v>
      </c>
      <c r="AK602" s="185">
        <f t="shared" si="66"/>
        <v>14714463.680104785</v>
      </c>
      <c r="AL602" s="186">
        <f t="shared" si="67"/>
        <v>14285.887068062897</v>
      </c>
    </row>
    <row r="603" spans="1:38" customFormat="1" ht="57.6" x14ac:dyDescent="0.3">
      <c r="A603" s="140" t="s">
        <v>1442</v>
      </c>
      <c r="B603" s="140">
        <v>1</v>
      </c>
      <c r="C603" s="166" t="s">
        <v>836</v>
      </c>
      <c r="D603" s="140" t="str">
        <f t="shared" si="69"/>
        <v>3</v>
      </c>
      <c r="E603" s="166" t="s">
        <v>1051</v>
      </c>
      <c r="F603" s="140">
        <f t="shared" si="68"/>
        <v>2</v>
      </c>
      <c r="G603" s="140" t="str">
        <f t="shared" si="70"/>
        <v>1.3.2</v>
      </c>
      <c r="H603" s="166" t="s">
        <v>1689</v>
      </c>
      <c r="I603" s="166" t="s">
        <v>1059</v>
      </c>
      <c r="J603" s="166" t="s">
        <v>1060</v>
      </c>
      <c r="K603" s="166" t="s">
        <v>712</v>
      </c>
      <c r="L603" s="166">
        <f>1480/7</f>
        <v>211.42857142857142</v>
      </c>
      <c r="M603" s="166"/>
      <c r="N603" s="166"/>
      <c r="O603" s="164">
        <f t="shared" si="65"/>
        <v>0</v>
      </c>
      <c r="P603" s="166">
        <f>2*25*29</f>
        <v>1450</v>
      </c>
      <c r="Q603" s="166">
        <v>1</v>
      </c>
      <c r="R603" s="164">
        <f>$L603*'Pivot Objective'!$C$9*P603*Q603</f>
        <v>350386.95345171425</v>
      </c>
      <c r="S603" s="166"/>
      <c r="T603" s="166"/>
      <c r="U603" s="164">
        <f>($L603*'Pivot Objective'!$C$9^2)*S603*T603</f>
        <v>0</v>
      </c>
      <c r="V603" s="166"/>
      <c r="W603" s="166"/>
      <c r="X603" s="164">
        <f>($L603*'Pivot Objective'!$C$9^3)*V603*W603</f>
        <v>0</v>
      </c>
      <c r="Y603" s="166"/>
      <c r="Z603" s="166"/>
      <c r="AA603" s="164">
        <f>($L603*'Pivot Objective'!$C$9^4)*Y603*Z603</f>
        <v>0</v>
      </c>
      <c r="AB603" s="166">
        <f>2*25*29</f>
        <v>1450</v>
      </c>
      <c r="AC603" s="166">
        <v>1</v>
      </c>
      <c r="AD603" s="164">
        <f>($L603*'Pivot Objective'!$C$9^5)*AB603*AC603</f>
        <v>597878.48371059401</v>
      </c>
      <c r="AE603" s="166"/>
      <c r="AF603" s="166"/>
      <c r="AG603" s="164">
        <f>($L603*'Pivot Objective'!$C$9^6)*AE603*AF603</f>
        <v>0</v>
      </c>
      <c r="AH603" s="166"/>
      <c r="AI603" s="166"/>
      <c r="AJ603" s="164">
        <f>($L603*'Pivot Objective'!$C$9^7)*AH603*AI603</f>
        <v>0</v>
      </c>
      <c r="AK603" s="185">
        <f t="shared" si="66"/>
        <v>948265.43716230826</v>
      </c>
      <c r="AL603" s="186">
        <f t="shared" si="67"/>
        <v>920.64605549738667</v>
      </c>
    </row>
    <row r="604" spans="1:38" customFormat="1" ht="57.6" x14ac:dyDescent="0.3">
      <c r="A604" s="140" t="s">
        <v>1442</v>
      </c>
      <c r="B604" s="140">
        <v>1</v>
      </c>
      <c r="C604" s="166" t="s">
        <v>836</v>
      </c>
      <c r="D604" s="140" t="str">
        <f t="shared" si="69"/>
        <v>3</v>
      </c>
      <c r="E604" s="166" t="s">
        <v>1051</v>
      </c>
      <c r="F604" s="140">
        <f t="shared" si="68"/>
        <v>2</v>
      </c>
      <c r="G604" s="140" t="str">
        <f t="shared" si="70"/>
        <v>1.3.2</v>
      </c>
      <c r="H604" s="166" t="s">
        <v>1689</v>
      </c>
      <c r="I604" s="166" t="s">
        <v>1059</v>
      </c>
      <c r="J604" s="166" t="s">
        <v>1060</v>
      </c>
      <c r="K604" s="166" t="s">
        <v>1320</v>
      </c>
      <c r="L604" s="166">
        <f>1480/7</f>
        <v>211.42857142857142</v>
      </c>
      <c r="M604" s="166"/>
      <c r="N604" s="166"/>
      <c r="O604" s="164">
        <f t="shared" si="65"/>
        <v>0</v>
      </c>
      <c r="P604" s="166">
        <f>2*135*9</f>
        <v>2430</v>
      </c>
      <c r="Q604" s="166">
        <v>1</v>
      </c>
      <c r="R604" s="164">
        <f>$L604*'Pivot Objective'!$C$9*P604*Q604</f>
        <v>587200.20475011424</v>
      </c>
      <c r="S604" s="166"/>
      <c r="T604" s="166"/>
      <c r="U604" s="164">
        <f>($L604*'Pivot Objective'!$C$9^2)*S604*T604</f>
        <v>0</v>
      </c>
      <c r="V604" s="166"/>
      <c r="W604" s="166"/>
      <c r="X604" s="164">
        <f>($L604*'Pivot Objective'!$C$9^3)*V604*W604</f>
        <v>0</v>
      </c>
      <c r="Y604" s="166"/>
      <c r="Z604" s="166"/>
      <c r="AA604" s="164">
        <f>($L604*'Pivot Objective'!$C$9^4)*Y604*Z604</f>
        <v>0</v>
      </c>
      <c r="AB604" s="166">
        <f>2*135*9</f>
        <v>2430</v>
      </c>
      <c r="AC604" s="166">
        <v>1</v>
      </c>
      <c r="AD604" s="164">
        <f>($L604*'Pivot Objective'!$C$9^5)*AB604*AC604</f>
        <v>1001961.8727012025</v>
      </c>
      <c r="AE604" s="166"/>
      <c r="AF604" s="166"/>
      <c r="AG604" s="164">
        <f>($L604*'Pivot Objective'!$C$9^6)*AE604*AF604</f>
        <v>0</v>
      </c>
      <c r="AH604" s="166"/>
      <c r="AI604" s="166"/>
      <c r="AJ604" s="164">
        <f>($L604*'Pivot Objective'!$C$9^7)*AH604*AI604</f>
        <v>0</v>
      </c>
      <c r="AK604" s="185">
        <f t="shared" si="66"/>
        <v>1589162.0774513166</v>
      </c>
      <c r="AL604" s="186">
        <f t="shared" si="67"/>
        <v>1542.8758033507929</v>
      </c>
    </row>
    <row r="605" spans="1:38" customFormat="1" ht="57.6" x14ac:dyDescent="0.3">
      <c r="A605" s="140" t="s">
        <v>1442</v>
      </c>
      <c r="B605" s="140">
        <v>1</v>
      </c>
      <c r="C605" s="166" t="s">
        <v>836</v>
      </c>
      <c r="D605" s="140" t="str">
        <f t="shared" si="69"/>
        <v>3</v>
      </c>
      <c r="E605" s="166" t="s">
        <v>1051</v>
      </c>
      <c r="F605" s="140">
        <f t="shared" si="68"/>
        <v>2</v>
      </c>
      <c r="G605" s="140" t="str">
        <f t="shared" si="70"/>
        <v>1.3.2</v>
      </c>
      <c r="H605" s="166" t="s">
        <v>1689</v>
      </c>
      <c r="I605" s="166" t="s">
        <v>1059</v>
      </c>
      <c r="J605" s="166" t="s">
        <v>1061</v>
      </c>
      <c r="K605" s="166" t="s">
        <v>841</v>
      </c>
      <c r="L605" s="166">
        <v>0</v>
      </c>
      <c r="M605" s="166"/>
      <c r="N605" s="166"/>
      <c r="O605" s="164">
        <f t="shared" si="65"/>
        <v>0</v>
      </c>
      <c r="P605" s="166">
        <v>0</v>
      </c>
      <c r="Q605" s="166">
        <v>0</v>
      </c>
      <c r="R605" s="164">
        <f>$L605*'Pivot Objective'!$C$9*P605*Q605</f>
        <v>0</v>
      </c>
      <c r="S605" s="166"/>
      <c r="T605" s="166"/>
      <c r="U605" s="164">
        <f>($L605*'Pivot Objective'!$C$9^2)*S605*T605</f>
        <v>0</v>
      </c>
      <c r="V605" s="166"/>
      <c r="W605" s="166"/>
      <c r="X605" s="164">
        <f>($L605*'Pivot Objective'!$C$9^3)*V605*W605</f>
        <v>0</v>
      </c>
      <c r="Y605" s="166"/>
      <c r="Z605" s="166"/>
      <c r="AA605" s="164">
        <f>($L605*'Pivot Objective'!$C$9^4)*Y605*Z605</f>
        <v>0</v>
      </c>
      <c r="AB605" s="166">
        <v>0</v>
      </c>
      <c r="AC605" s="166">
        <v>0</v>
      </c>
      <c r="AD605" s="164">
        <f>($L605*'Pivot Objective'!$C$9^5)*AB605*AC605</f>
        <v>0</v>
      </c>
      <c r="AE605" s="166"/>
      <c r="AF605" s="166"/>
      <c r="AG605" s="164">
        <f>($L605*'Pivot Objective'!$C$9^6)*AE605*AF605</f>
        <v>0</v>
      </c>
      <c r="AH605" s="166"/>
      <c r="AI605" s="166"/>
      <c r="AJ605" s="164">
        <f>($L605*'Pivot Objective'!$C$9^7)*AH605*AI605</f>
        <v>0</v>
      </c>
      <c r="AK605" s="185">
        <f t="shared" si="66"/>
        <v>0</v>
      </c>
      <c r="AL605" s="186">
        <f t="shared" si="67"/>
        <v>0</v>
      </c>
    </row>
    <row r="606" spans="1:38" customFormat="1" ht="57.6" x14ac:dyDescent="0.3">
      <c r="A606" s="140" t="s">
        <v>1442</v>
      </c>
      <c r="B606" s="140">
        <v>1</v>
      </c>
      <c r="C606" s="166" t="s">
        <v>836</v>
      </c>
      <c r="D606" s="140" t="str">
        <f t="shared" si="69"/>
        <v>3</v>
      </c>
      <c r="E606" s="166" t="s">
        <v>1051</v>
      </c>
      <c r="F606" s="140">
        <f t="shared" si="68"/>
        <v>2</v>
      </c>
      <c r="G606" s="140" t="str">
        <f t="shared" si="70"/>
        <v>1.3.2</v>
      </c>
      <c r="H606" s="166" t="s">
        <v>1689</v>
      </c>
      <c r="I606" s="166" t="s">
        <v>1059</v>
      </c>
      <c r="J606" s="166" t="s">
        <v>1062</v>
      </c>
      <c r="K606" s="166" t="s">
        <v>718</v>
      </c>
      <c r="L606" s="166">
        <v>0</v>
      </c>
      <c r="M606" s="166"/>
      <c r="N606" s="166"/>
      <c r="O606" s="164">
        <f t="shared" si="65"/>
        <v>0</v>
      </c>
      <c r="P606" s="166">
        <v>0</v>
      </c>
      <c r="Q606" s="166">
        <v>0</v>
      </c>
      <c r="R606" s="164">
        <f>$L606*'Pivot Objective'!$C$9*P606*Q606</f>
        <v>0</v>
      </c>
      <c r="S606" s="166"/>
      <c r="T606" s="166"/>
      <c r="U606" s="164">
        <f>($L606*'Pivot Objective'!$C$9^2)*S606*T606</f>
        <v>0</v>
      </c>
      <c r="V606" s="166"/>
      <c r="W606" s="166"/>
      <c r="X606" s="164">
        <f>($L606*'Pivot Objective'!$C$9^3)*V606*W606</f>
        <v>0</v>
      </c>
      <c r="Y606" s="166"/>
      <c r="Z606" s="166"/>
      <c r="AA606" s="164">
        <f>($L606*'Pivot Objective'!$C$9^4)*Y606*Z606</f>
        <v>0</v>
      </c>
      <c r="AB606" s="166">
        <v>0</v>
      </c>
      <c r="AC606" s="166">
        <v>0</v>
      </c>
      <c r="AD606" s="164">
        <f>($L606*'Pivot Objective'!$C$9^5)*AB606*AC606</f>
        <v>0</v>
      </c>
      <c r="AE606" s="166"/>
      <c r="AF606" s="166"/>
      <c r="AG606" s="164">
        <f>($L606*'Pivot Objective'!$C$9^6)*AE606*AF606</f>
        <v>0</v>
      </c>
      <c r="AH606" s="166"/>
      <c r="AI606" s="166"/>
      <c r="AJ606" s="164">
        <f>($L606*'Pivot Objective'!$C$9^7)*AH606*AI606</f>
        <v>0</v>
      </c>
      <c r="AK606" s="185">
        <f t="shared" si="66"/>
        <v>0</v>
      </c>
      <c r="AL606" s="186">
        <f t="shared" si="67"/>
        <v>0</v>
      </c>
    </row>
    <row r="607" spans="1:38" customFormat="1" ht="57.6" x14ac:dyDescent="0.3">
      <c r="A607" s="140" t="s">
        <v>1442</v>
      </c>
      <c r="B607" s="140">
        <v>1</v>
      </c>
      <c r="C607" s="166" t="s">
        <v>836</v>
      </c>
      <c r="D607" s="140" t="str">
        <f t="shared" si="69"/>
        <v>3</v>
      </c>
      <c r="E607" s="166" t="s">
        <v>1051</v>
      </c>
      <c r="F607" s="140">
        <f t="shared" si="68"/>
        <v>2</v>
      </c>
      <c r="G607" s="140" t="str">
        <f t="shared" si="70"/>
        <v>1.3.2</v>
      </c>
      <c r="H607" s="166" t="s">
        <v>1689</v>
      </c>
      <c r="I607" s="166" t="s">
        <v>1059</v>
      </c>
      <c r="J607" s="166" t="s">
        <v>1031</v>
      </c>
      <c r="K607" s="166" t="s">
        <v>841</v>
      </c>
      <c r="L607" s="166">
        <v>0</v>
      </c>
      <c r="M607" s="166"/>
      <c r="N607" s="166"/>
      <c r="O607" s="164">
        <f t="shared" si="65"/>
        <v>0</v>
      </c>
      <c r="P607" s="166">
        <v>0</v>
      </c>
      <c r="Q607" s="166">
        <v>0</v>
      </c>
      <c r="R607" s="164">
        <f>$L607*'Pivot Objective'!$C$9*P607*Q607</f>
        <v>0</v>
      </c>
      <c r="S607" s="166"/>
      <c r="T607" s="166"/>
      <c r="U607" s="164">
        <f>($L607*'Pivot Objective'!$C$9^2)*S607*T607</f>
        <v>0</v>
      </c>
      <c r="V607" s="166"/>
      <c r="W607" s="166"/>
      <c r="X607" s="164">
        <f>($L607*'Pivot Objective'!$C$9^3)*V607*W607</f>
        <v>0</v>
      </c>
      <c r="Y607" s="166"/>
      <c r="Z607" s="166"/>
      <c r="AA607" s="164">
        <f>($L607*'Pivot Objective'!$C$9^4)*Y607*Z607</f>
        <v>0</v>
      </c>
      <c r="AB607" s="166">
        <v>0</v>
      </c>
      <c r="AC607" s="166">
        <v>0</v>
      </c>
      <c r="AD607" s="164">
        <f>($L607*'Pivot Objective'!$C$9^5)*AB607*AC607</f>
        <v>0</v>
      </c>
      <c r="AE607" s="166"/>
      <c r="AF607" s="166"/>
      <c r="AG607" s="164">
        <f>($L607*'Pivot Objective'!$C$9^6)*AE607*AF607</f>
        <v>0</v>
      </c>
      <c r="AH607" s="166"/>
      <c r="AI607" s="166"/>
      <c r="AJ607" s="164">
        <f>($L607*'Pivot Objective'!$C$9^7)*AH607*AI607</f>
        <v>0</v>
      </c>
      <c r="AK607" s="185">
        <f t="shared" si="66"/>
        <v>0</v>
      </c>
      <c r="AL607" s="186">
        <f t="shared" si="67"/>
        <v>0</v>
      </c>
    </row>
    <row r="608" spans="1:38" customFormat="1" ht="57.6" x14ac:dyDescent="0.3">
      <c r="A608" s="140" t="s">
        <v>1442</v>
      </c>
      <c r="B608" s="140">
        <v>1</v>
      </c>
      <c r="C608" s="166" t="s">
        <v>836</v>
      </c>
      <c r="D608" s="140" t="str">
        <f t="shared" si="69"/>
        <v>3</v>
      </c>
      <c r="E608" s="166" t="s">
        <v>1051</v>
      </c>
      <c r="F608" s="140">
        <f t="shared" si="68"/>
        <v>2</v>
      </c>
      <c r="G608" s="140" t="str">
        <f t="shared" si="70"/>
        <v>1.3.2</v>
      </c>
      <c r="H608" s="166" t="s">
        <v>1689</v>
      </c>
      <c r="I608" s="166" t="s">
        <v>1063</v>
      </c>
      <c r="J608" s="166" t="s">
        <v>176</v>
      </c>
      <c r="K608" s="166" t="s">
        <v>841</v>
      </c>
      <c r="L608" s="166">
        <v>0</v>
      </c>
      <c r="M608" s="166"/>
      <c r="N608" s="166"/>
      <c r="O608" s="164">
        <f t="shared" si="65"/>
        <v>0</v>
      </c>
      <c r="P608" s="166"/>
      <c r="Q608" s="166"/>
      <c r="R608" s="164">
        <f>$L608*'Pivot Objective'!$C$9*P608*Q608</f>
        <v>0</v>
      </c>
      <c r="S608" s="166"/>
      <c r="T608" s="166"/>
      <c r="U608" s="164">
        <f>($L608*'Pivot Objective'!$C$9^2)*S608*T608</f>
        <v>0</v>
      </c>
      <c r="V608" s="166"/>
      <c r="W608" s="166"/>
      <c r="X608" s="164">
        <f>($L608*'Pivot Objective'!$C$9^3)*V608*W608</f>
        <v>0</v>
      </c>
      <c r="Y608" s="166"/>
      <c r="Z608" s="166"/>
      <c r="AA608" s="164">
        <f>($L608*'Pivot Objective'!$C$9^4)*Y608*Z608</f>
        <v>0</v>
      </c>
      <c r="AB608" s="166"/>
      <c r="AC608" s="166"/>
      <c r="AD608" s="164">
        <f>($L608*'Pivot Objective'!$C$9^5)*AB608*AC608</f>
        <v>0</v>
      </c>
      <c r="AE608" s="166"/>
      <c r="AF608" s="166"/>
      <c r="AG608" s="164">
        <f>($L608*'Pivot Objective'!$C$9^6)*AE608*AF608</f>
        <v>0</v>
      </c>
      <c r="AH608" s="166"/>
      <c r="AI608" s="166"/>
      <c r="AJ608" s="164">
        <f>($L608*'Pivot Objective'!$C$9^7)*AH608*AI608</f>
        <v>0</v>
      </c>
      <c r="AK608" s="185">
        <f t="shared" si="66"/>
        <v>0</v>
      </c>
      <c r="AL608" s="186">
        <f t="shared" si="67"/>
        <v>0</v>
      </c>
    </row>
    <row r="609" spans="1:38" customFormat="1" ht="57.6" x14ac:dyDescent="0.3">
      <c r="A609" s="140" t="s">
        <v>1442</v>
      </c>
      <c r="B609" s="140">
        <v>1</v>
      </c>
      <c r="C609" s="166" t="s">
        <v>836</v>
      </c>
      <c r="D609" s="140" t="str">
        <f t="shared" si="69"/>
        <v>3</v>
      </c>
      <c r="E609" s="166" t="s">
        <v>1051</v>
      </c>
      <c r="F609" s="140">
        <f t="shared" si="68"/>
        <v>2</v>
      </c>
      <c r="G609" s="140" t="str">
        <f t="shared" si="70"/>
        <v>1.3.2</v>
      </c>
      <c r="H609" s="166" t="s">
        <v>1689</v>
      </c>
      <c r="I609" s="166" t="s">
        <v>1063</v>
      </c>
      <c r="J609" s="166" t="s">
        <v>1055</v>
      </c>
      <c r="K609" s="166" t="s">
        <v>841</v>
      </c>
      <c r="L609" s="166">
        <v>0</v>
      </c>
      <c r="M609" s="166"/>
      <c r="N609" s="166"/>
      <c r="O609" s="164">
        <f t="shared" si="65"/>
        <v>0</v>
      </c>
      <c r="P609" s="166"/>
      <c r="Q609" s="166"/>
      <c r="R609" s="164">
        <f>$L609*'Pivot Objective'!$C$9*P609*Q609</f>
        <v>0</v>
      </c>
      <c r="S609" s="166"/>
      <c r="T609" s="166"/>
      <c r="U609" s="164">
        <f>($L609*'Pivot Objective'!$C$9^2)*S609*T609</f>
        <v>0</v>
      </c>
      <c r="V609" s="166"/>
      <c r="W609" s="166"/>
      <c r="X609" s="164">
        <f>($L609*'Pivot Objective'!$C$9^3)*V609*W609</f>
        <v>0</v>
      </c>
      <c r="Y609" s="166"/>
      <c r="Z609" s="166"/>
      <c r="AA609" s="164">
        <f>($L609*'Pivot Objective'!$C$9^4)*Y609*Z609</f>
        <v>0</v>
      </c>
      <c r="AB609" s="166"/>
      <c r="AC609" s="166"/>
      <c r="AD609" s="164">
        <f>($L609*'Pivot Objective'!$C$9^5)*AB609*AC609</f>
        <v>0</v>
      </c>
      <c r="AE609" s="166"/>
      <c r="AF609" s="166"/>
      <c r="AG609" s="164">
        <f>($L609*'Pivot Objective'!$C$9^6)*AE609*AF609</f>
        <v>0</v>
      </c>
      <c r="AH609" s="166"/>
      <c r="AI609" s="166"/>
      <c r="AJ609" s="164">
        <f>($L609*'Pivot Objective'!$C$9^7)*AH609*AI609</f>
        <v>0</v>
      </c>
      <c r="AK609" s="185">
        <f t="shared" si="66"/>
        <v>0</v>
      </c>
      <c r="AL609" s="186">
        <f t="shared" si="67"/>
        <v>0</v>
      </c>
    </row>
    <row r="610" spans="1:38" customFormat="1" ht="57.6" x14ac:dyDescent="0.3">
      <c r="A610" s="140" t="s">
        <v>1442</v>
      </c>
      <c r="B610" s="140">
        <v>1</v>
      </c>
      <c r="C610" s="166" t="s">
        <v>836</v>
      </c>
      <c r="D610" s="140" t="str">
        <f t="shared" si="69"/>
        <v>3</v>
      </c>
      <c r="E610" s="166" t="s">
        <v>1051</v>
      </c>
      <c r="F610" s="140">
        <f t="shared" si="68"/>
        <v>2</v>
      </c>
      <c r="G610" s="140" t="str">
        <f t="shared" si="70"/>
        <v>1.3.2</v>
      </c>
      <c r="H610" s="166" t="s">
        <v>1689</v>
      </c>
      <c r="I610" s="166" t="s">
        <v>1063</v>
      </c>
      <c r="J610" s="166" t="s">
        <v>1049</v>
      </c>
      <c r="K610" s="166" t="s">
        <v>841</v>
      </c>
      <c r="L610" s="166">
        <v>0</v>
      </c>
      <c r="M610" s="166"/>
      <c r="N610" s="166"/>
      <c r="O610" s="164">
        <f t="shared" si="65"/>
        <v>0</v>
      </c>
      <c r="P610" s="166"/>
      <c r="Q610" s="166"/>
      <c r="R610" s="164">
        <f>$L610*'Pivot Objective'!$C$9*P610*Q610</f>
        <v>0</v>
      </c>
      <c r="S610" s="166"/>
      <c r="T610" s="166"/>
      <c r="U610" s="164">
        <f>($L610*'Pivot Objective'!$C$9^2)*S610*T610</f>
        <v>0</v>
      </c>
      <c r="V610" s="166"/>
      <c r="W610" s="166"/>
      <c r="X610" s="164">
        <f>($L610*'Pivot Objective'!$C$9^3)*V610*W610</f>
        <v>0</v>
      </c>
      <c r="Y610" s="166"/>
      <c r="Z610" s="166"/>
      <c r="AA610" s="164">
        <f>($L610*'Pivot Objective'!$C$9^4)*Y610*Z610</f>
        <v>0</v>
      </c>
      <c r="AB610" s="166"/>
      <c r="AC610" s="166"/>
      <c r="AD610" s="164">
        <f>($L610*'Pivot Objective'!$C$9^5)*AB610*AC610</f>
        <v>0</v>
      </c>
      <c r="AE610" s="166"/>
      <c r="AF610" s="166"/>
      <c r="AG610" s="164">
        <f>($L610*'Pivot Objective'!$C$9^6)*AE610*AF610</f>
        <v>0</v>
      </c>
      <c r="AH610" s="166"/>
      <c r="AI610" s="166"/>
      <c r="AJ610" s="164">
        <f>($L610*'Pivot Objective'!$C$9^7)*AH610*AI610</f>
        <v>0</v>
      </c>
      <c r="AK610" s="185">
        <f t="shared" si="66"/>
        <v>0</v>
      </c>
      <c r="AL610" s="186">
        <f t="shared" si="67"/>
        <v>0</v>
      </c>
    </row>
    <row r="611" spans="1:38" customFormat="1" ht="57.6" x14ac:dyDescent="0.3">
      <c r="A611" s="140" t="s">
        <v>1442</v>
      </c>
      <c r="B611" s="140">
        <v>1</v>
      </c>
      <c r="C611" s="166" t="s">
        <v>836</v>
      </c>
      <c r="D611" s="140" t="str">
        <f t="shared" si="69"/>
        <v>3</v>
      </c>
      <c r="E611" s="166" t="s">
        <v>1051</v>
      </c>
      <c r="F611" s="140">
        <f t="shared" si="68"/>
        <v>2</v>
      </c>
      <c r="G611" s="140" t="str">
        <f t="shared" si="70"/>
        <v>1.3.2</v>
      </c>
      <c r="H611" s="166" t="s">
        <v>1689</v>
      </c>
      <c r="I611" s="166" t="s">
        <v>1063</v>
      </c>
      <c r="J611" s="166" t="s">
        <v>149</v>
      </c>
      <c r="K611" s="166" t="s">
        <v>707</v>
      </c>
      <c r="L611" s="166">
        <v>391991.03749999998</v>
      </c>
      <c r="M611" s="166"/>
      <c r="N611" s="166"/>
      <c r="O611" s="164">
        <f t="shared" si="65"/>
        <v>0</v>
      </c>
      <c r="P611" s="166">
        <v>2</v>
      </c>
      <c r="Q611" s="166">
        <v>2</v>
      </c>
      <c r="R611" s="164">
        <f>$L611*'Pivot Objective'!$C$9*P611*Q611</f>
        <v>1792059.3063746723</v>
      </c>
      <c r="S611" s="166"/>
      <c r="T611" s="166"/>
      <c r="U611" s="164">
        <f>($L611*'Pivot Objective'!$C$9^2)*S611*T611</f>
        <v>0</v>
      </c>
      <c r="V611" s="166"/>
      <c r="W611" s="166"/>
      <c r="X611" s="164">
        <f>($L611*'Pivot Objective'!$C$9^3)*V611*W611</f>
        <v>0</v>
      </c>
      <c r="Y611" s="166">
        <v>2</v>
      </c>
      <c r="Z611" s="166">
        <v>2</v>
      </c>
      <c r="AA611" s="164">
        <f>($L611*'Pivot Objective'!$C$9^4)*Y611*Z611</f>
        <v>2675476.4105215403</v>
      </c>
      <c r="AB611" s="166"/>
      <c r="AC611" s="166"/>
      <c r="AD611" s="164">
        <f>($L611*'Pivot Objective'!$C$9^5)*AB611*AC611</f>
        <v>0</v>
      </c>
      <c r="AE611" s="166"/>
      <c r="AF611" s="166"/>
      <c r="AG611" s="164">
        <f>($L611*'Pivot Objective'!$C$9^6)*AE611*AF611</f>
        <v>0</v>
      </c>
      <c r="AH611" s="166">
        <v>2</v>
      </c>
      <c r="AI611" s="166">
        <v>2</v>
      </c>
      <c r="AJ611" s="164">
        <f>($L611*'Pivot Objective'!$C$9^7)*AH611*AI611</f>
        <v>3994384.5595926056</v>
      </c>
      <c r="AK611" s="185">
        <f t="shared" si="66"/>
        <v>8461920.2764888182</v>
      </c>
      <c r="AL611" s="186">
        <f t="shared" si="67"/>
        <v>8215.4565791153582</v>
      </c>
    </row>
    <row r="612" spans="1:38" customFormat="1" ht="57.6" x14ac:dyDescent="0.3">
      <c r="A612" s="140" t="s">
        <v>1442</v>
      </c>
      <c r="B612" s="140">
        <v>1</v>
      </c>
      <c r="C612" s="166" t="s">
        <v>836</v>
      </c>
      <c r="D612" s="140" t="str">
        <f t="shared" si="69"/>
        <v>3</v>
      </c>
      <c r="E612" s="166" t="s">
        <v>1051</v>
      </c>
      <c r="F612" s="140">
        <f t="shared" si="68"/>
        <v>2</v>
      </c>
      <c r="G612" s="140" t="str">
        <f t="shared" si="70"/>
        <v>1.3.2</v>
      </c>
      <c r="H612" s="166" t="s">
        <v>1689</v>
      </c>
      <c r="I612" s="166" t="s">
        <v>1063</v>
      </c>
      <c r="J612" s="166" t="s">
        <v>149</v>
      </c>
      <c r="K612" s="166" t="s">
        <v>708</v>
      </c>
      <c r="L612" s="166">
        <f>980*1022</f>
        <v>1001560</v>
      </c>
      <c r="M612" s="166"/>
      <c r="N612" s="166"/>
      <c r="O612" s="164">
        <f t="shared" si="65"/>
        <v>0</v>
      </c>
      <c r="P612" s="166">
        <v>1</v>
      </c>
      <c r="Q612" s="166">
        <v>25</v>
      </c>
      <c r="R612" s="164">
        <f>$L612*'Pivot Objective'!$C$9*P612*Q612</f>
        <v>28617601.347782999</v>
      </c>
      <c r="S612" s="166"/>
      <c r="T612" s="166"/>
      <c r="U612" s="164">
        <f>($L612*'Pivot Objective'!$C$9^2)*S612*T612</f>
        <v>0</v>
      </c>
      <c r="V612" s="166"/>
      <c r="W612" s="166"/>
      <c r="X612" s="164">
        <f>($L612*'Pivot Objective'!$C$9^3)*V612*W612</f>
        <v>0</v>
      </c>
      <c r="Y612" s="166">
        <v>1</v>
      </c>
      <c r="Z612" s="166">
        <v>25</v>
      </c>
      <c r="AA612" s="164">
        <f>($L612*'Pivot Objective'!$C$9^4)*Y612*Z612</f>
        <v>42724990.774214357</v>
      </c>
      <c r="AB612" s="166"/>
      <c r="AC612" s="166"/>
      <c r="AD612" s="164">
        <f>($L612*'Pivot Objective'!$C$9^5)*AB612*AC612</f>
        <v>0</v>
      </c>
      <c r="AE612" s="166"/>
      <c r="AF612" s="166"/>
      <c r="AG612" s="164">
        <f>($L612*'Pivot Objective'!$C$9^6)*AE612*AF612</f>
        <v>0</v>
      </c>
      <c r="AH612" s="166">
        <v>1</v>
      </c>
      <c r="AI612" s="166">
        <v>25</v>
      </c>
      <c r="AJ612" s="164">
        <f>($L612*'Pivot Objective'!$C$9^7)*AH612*AI612</f>
        <v>63786786.826496802</v>
      </c>
      <c r="AK612" s="185">
        <f t="shared" si="66"/>
        <v>135129378.94849417</v>
      </c>
      <c r="AL612" s="186">
        <f t="shared" si="67"/>
        <v>131193.57179465453</v>
      </c>
    </row>
    <row r="613" spans="1:38" customFormat="1" ht="57.6" x14ac:dyDescent="0.3">
      <c r="A613" s="140" t="s">
        <v>1442</v>
      </c>
      <c r="B613" s="140">
        <v>1</v>
      </c>
      <c r="C613" s="166" t="s">
        <v>836</v>
      </c>
      <c r="D613" s="140" t="str">
        <f t="shared" si="69"/>
        <v>3</v>
      </c>
      <c r="E613" s="166" t="s">
        <v>1051</v>
      </c>
      <c r="F613" s="140">
        <f t="shared" si="68"/>
        <v>2</v>
      </c>
      <c r="G613" s="140" t="str">
        <f t="shared" si="70"/>
        <v>1.3.2</v>
      </c>
      <c r="H613" s="166" t="s">
        <v>1689</v>
      </c>
      <c r="I613" s="166" t="s">
        <v>1063</v>
      </c>
      <c r="J613" s="166" t="s">
        <v>895</v>
      </c>
      <c r="K613" s="166" t="s">
        <v>841</v>
      </c>
      <c r="L613" s="166">
        <v>0</v>
      </c>
      <c r="M613" s="166"/>
      <c r="N613" s="166"/>
      <c r="O613" s="164">
        <f t="shared" si="65"/>
        <v>0</v>
      </c>
      <c r="P613" s="166"/>
      <c r="Q613" s="166"/>
      <c r="R613" s="164">
        <f>$L613*'Pivot Objective'!$C$9*P613*Q613</f>
        <v>0</v>
      </c>
      <c r="S613" s="166"/>
      <c r="T613" s="166"/>
      <c r="U613" s="164">
        <f>($L613*'Pivot Objective'!$C$9^2)*S613*T613</f>
        <v>0</v>
      </c>
      <c r="V613" s="166"/>
      <c r="W613" s="166"/>
      <c r="X613" s="164">
        <f>($L613*'Pivot Objective'!$C$9^3)*V613*W613</f>
        <v>0</v>
      </c>
      <c r="Y613" s="166"/>
      <c r="Z613" s="166"/>
      <c r="AA613" s="164">
        <f>($L613*'Pivot Objective'!$C$9^4)*Y613*Z613</f>
        <v>0</v>
      </c>
      <c r="AB613" s="166"/>
      <c r="AC613" s="166"/>
      <c r="AD613" s="164">
        <f>($L613*'Pivot Objective'!$C$9^5)*AB613*AC613</f>
        <v>0</v>
      </c>
      <c r="AE613" s="166"/>
      <c r="AF613" s="166"/>
      <c r="AG613" s="164">
        <f>($L613*'Pivot Objective'!$C$9^6)*AE613*AF613</f>
        <v>0</v>
      </c>
      <c r="AH613" s="166"/>
      <c r="AI613" s="166"/>
      <c r="AJ613" s="164">
        <f>($L613*'Pivot Objective'!$C$9^7)*AH613*AI613</f>
        <v>0</v>
      </c>
      <c r="AK613" s="185">
        <f t="shared" si="66"/>
        <v>0</v>
      </c>
      <c r="AL613" s="186">
        <f t="shared" si="67"/>
        <v>0</v>
      </c>
    </row>
    <row r="614" spans="1:38" customFormat="1" ht="57.6" x14ac:dyDescent="0.3">
      <c r="A614" s="140" t="s">
        <v>1442</v>
      </c>
      <c r="B614" s="140">
        <v>1</v>
      </c>
      <c r="C614" s="166" t="s">
        <v>836</v>
      </c>
      <c r="D614" s="140" t="str">
        <f t="shared" si="69"/>
        <v>3</v>
      </c>
      <c r="E614" s="166" t="s">
        <v>1051</v>
      </c>
      <c r="F614" s="140">
        <f t="shared" si="68"/>
        <v>2</v>
      </c>
      <c r="G614" s="140" t="str">
        <f t="shared" si="70"/>
        <v>1.3.2</v>
      </c>
      <c r="H614" s="166" t="s">
        <v>1689</v>
      </c>
      <c r="I614" s="166" t="s">
        <v>1063</v>
      </c>
      <c r="J614" s="166" t="s">
        <v>912</v>
      </c>
      <c r="K614" s="166" t="s">
        <v>841</v>
      </c>
      <c r="L614" s="166">
        <v>0</v>
      </c>
      <c r="M614" s="166"/>
      <c r="N614" s="166"/>
      <c r="O614" s="164">
        <f t="shared" si="65"/>
        <v>0</v>
      </c>
      <c r="P614" s="166"/>
      <c r="Q614" s="166"/>
      <c r="R614" s="164">
        <f>$L614*'Pivot Objective'!$C$9*P614*Q614</f>
        <v>0</v>
      </c>
      <c r="S614" s="166"/>
      <c r="T614" s="166"/>
      <c r="U614" s="164">
        <f>($L614*'Pivot Objective'!$C$9^2)*S614*T614</f>
        <v>0</v>
      </c>
      <c r="V614" s="166"/>
      <c r="W614" s="166"/>
      <c r="X614" s="164">
        <f>($L614*'Pivot Objective'!$C$9^3)*V614*W614</f>
        <v>0</v>
      </c>
      <c r="Y614" s="166"/>
      <c r="Z614" s="166"/>
      <c r="AA614" s="164">
        <f>($L614*'Pivot Objective'!$C$9^4)*Y614*Z614</f>
        <v>0</v>
      </c>
      <c r="AB614" s="166"/>
      <c r="AC614" s="166"/>
      <c r="AD614" s="164">
        <f>($L614*'Pivot Objective'!$C$9^5)*AB614*AC614</f>
        <v>0</v>
      </c>
      <c r="AE614" s="166"/>
      <c r="AF614" s="166"/>
      <c r="AG614" s="164">
        <f>($L614*'Pivot Objective'!$C$9^6)*AE614*AF614</f>
        <v>0</v>
      </c>
      <c r="AH614" s="166"/>
      <c r="AI614" s="166"/>
      <c r="AJ614" s="164">
        <f>($L614*'Pivot Objective'!$C$9^7)*AH614*AI614</f>
        <v>0</v>
      </c>
      <c r="AK614" s="185">
        <f t="shared" si="66"/>
        <v>0</v>
      </c>
      <c r="AL614" s="186">
        <f t="shared" si="67"/>
        <v>0</v>
      </c>
    </row>
    <row r="615" spans="1:38" customFormat="1" ht="57.6" x14ac:dyDescent="0.3">
      <c r="A615" s="140" t="s">
        <v>1442</v>
      </c>
      <c r="B615" s="140">
        <v>1</v>
      </c>
      <c r="C615" s="166" t="s">
        <v>836</v>
      </c>
      <c r="D615" s="140" t="str">
        <f t="shared" si="69"/>
        <v>3</v>
      </c>
      <c r="E615" s="166" t="s">
        <v>1051</v>
      </c>
      <c r="F615" s="140">
        <f t="shared" ref="F615:F646" si="71">IF(H615=H614,F614,F614+1)</f>
        <v>2</v>
      </c>
      <c r="G615" s="140" t="str">
        <f t="shared" si="70"/>
        <v>1.3.2</v>
      </c>
      <c r="H615" s="166" t="s">
        <v>1689</v>
      </c>
      <c r="I615" s="166" t="s">
        <v>1063</v>
      </c>
      <c r="J615" s="166" t="s">
        <v>1026</v>
      </c>
      <c r="K615" s="166" t="s">
        <v>709</v>
      </c>
      <c r="L615" s="166">
        <v>35000</v>
      </c>
      <c r="M615" s="166"/>
      <c r="N615" s="166"/>
      <c r="O615" s="164">
        <f t="shared" si="65"/>
        <v>0</v>
      </c>
      <c r="P615" s="166">
        <v>25</v>
      </c>
      <c r="Q615" s="166">
        <v>1</v>
      </c>
      <c r="R615" s="164">
        <f>$L615*'Pivot Objective'!$C$9*P615*Q615</f>
        <v>1000055.9598749998</v>
      </c>
      <c r="S615" s="166"/>
      <c r="T615" s="166"/>
      <c r="U615" s="164">
        <f>($L615*'Pivot Objective'!$C$9^2)*S615*T615</f>
        <v>0</v>
      </c>
      <c r="V615" s="166"/>
      <c r="W615" s="166"/>
      <c r="X615" s="164">
        <f>($L615*'Pivot Objective'!$C$9^3)*V615*W615</f>
        <v>0</v>
      </c>
      <c r="Y615" s="166">
        <v>25</v>
      </c>
      <c r="Z615" s="166">
        <v>1</v>
      </c>
      <c r="AA615" s="164">
        <f>($L615*'Pivot Objective'!$C$9^4)*Y615*Z615</f>
        <v>1493045.5260768225</v>
      </c>
      <c r="AB615" s="166"/>
      <c r="AC615" s="166"/>
      <c r="AD615" s="164">
        <f>($L615*'Pivot Objective'!$C$9^5)*AB615*AC615</f>
        <v>0</v>
      </c>
      <c r="AE615" s="166"/>
      <c r="AF615" s="166"/>
      <c r="AG615" s="164">
        <f>($L615*'Pivot Objective'!$C$9^6)*AE615*AF615</f>
        <v>0</v>
      </c>
      <c r="AH615" s="166">
        <v>25</v>
      </c>
      <c r="AI615" s="166">
        <v>1</v>
      </c>
      <c r="AJ615" s="164">
        <f>($L615*'Pivot Objective'!$C$9^7)*AH615*AI615</f>
        <v>2229060.2050075764</v>
      </c>
      <c r="AK615" s="185">
        <f t="shared" si="66"/>
        <v>4722161.6909593986</v>
      </c>
      <c r="AL615" s="186">
        <f t="shared" si="67"/>
        <v>4584.623000931455</v>
      </c>
    </row>
    <row r="616" spans="1:38" customFormat="1" ht="57.6" x14ac:dyDescent="0.3">
      <c r="A616" s="140" t="s">
        <v>1442</v>
      </c>
      <c r="B616" s="140">
        <v>1</v>
      </c>
      <c r="C616" s="166" t="s">
        <v>836</v>
      </c>
      <c r="D616" s="140" t="str">
        <f t="shared" si="69"/>
        <v>3</v>
      </c>
      <c r="E616" s="166" t="s">
        <v>1051</v>
      </c>
      <c r="F616" s="140">
        <f t="shared" si="71"/>
        <v>2</v>
      </c>
      <c r="G616" s="140" t="str">
        <f t="shared" si="70"/>
        <v>1.3.2</v>
      </c>
      <c r="H616" s="166" t="s">
        <v>1689</v>
      </c>
      <c r="I616" s="166" t="s">
        <v>1063</v>
      </c>
      <c r="J616" s="166" t="s">
        <v>1026</v>
      </c>
      <c r="K616" s="166" t="s">
        <v>1297</v>
      </c>
      <c r="L616" s="166">
        <v>8000</v>
      </c>
      <c r="M616" s="166"/>
      <c r="N616" s="166"/>
      <c r="O616" s="164">
        <f t="shared" si="65"/>
        <v>0</v>
      </c>
      <c r="P616" s="166">
        <v>30</v>
      </c>
      <c r="Q616" s="166">
        <v>1</v>
      </c>
      <c r="R616" s="164">
        <f>$L616*'Pivot Objective'!$C$9*P616*Q616</f>
        <v>274301.06328</v>
      </c>
      <c r="S616" s="166"/>
      <c r="T616" s="166"/>
      <c r="U616" s="164">
        <f>($L616*'Pivot Objective'!$C$9^2)*S616*T616</f>
        <v>0</v>
      </c>
      <c r="V616" s="166"/>
      <c r="W616" s="166"/>
      <c r="X616" s="164">
        <f>($L616*'Pivot Objective'!$C$9^3)*V616*W616</f>
        <v>0</v>
      </c>
      <c r="Y616" s="166">
        <v>30</v>
      </c>
      <c r="Z616" s="166">
        <v>1</v>
      </c>
      <c r="AA616" s="164">
        <f>($L616*'Pivot Objective'!$C$9^4)*Y616*Z616</f>
        <v>409521.05858107132</v>
      </c>
      <c r="AB616" s="166"/>
      <c r="AC616" s="166"/>
      <c r="AD616" s="164">
        <f>($L616*'Pivot Objective'!$C$9^5)*AB616*AC616</f>
        <v>0</v>
      </c>
      <c r="AE616" s="166"/>
      <c r="AF616" s="166"/>
      <c r="AG616" s="164">
        <f>($L616*'Pivot Objective'!$C$9^6)*AE616*AF616</f>
        <v>0</v>
      </c>
      <c r="AH616" s="166">
        <v>30</v>
      </c>
      <c r="AI616" s="166">
        <v>1</v>
      </c>
      <c r="AJ616" s="164">
        <f>($L616*'Pivot Objective'!$C$9^7)*AH616*AI616</f>
        <v>611399.37051636376</v>
      </c>
      <c r="AK616" s="185">
        <f t="shared" si="66"/>
        <v>1295221.4923774351</v>
      </c>
      <c r="AL616" s="186">
        <f t="shared" si="67"/>
        <v>1257.4965945411991</v>
      </c>
    </row>
    <row r="617" spans="1:38" customFormat="1" ht="57.6" x14ac:dyDescent="0.3">
      <c r="A617" s="140" t="s">
        <v>1442</v>
      </c>
      <c r="B617" s="140">
        <v>1</v>
      </c>
      <c r="C617" s="166" t="s">
        <v>836</v>
      </c>
      <c r="D617" s="140" t="str">
        <f t="shared" si="69"/>
        <v>3</v>
      </c>
      <c r="E617" s="166" t="s">
        <v>1051</v>
      </c>
      <c r="F617" s="140">
        <f t="shared" si="71"/>
        <v>2</v>
      </c>
      <c r="G617" s="140" t="str">
        <f t="shared" si="70"/>
        <v>1.3.2</v>
      </c>
      <c r="H617" s="166" t="s">
        <v>1689</v>
      </c>
      <c r="I617" s="166" t="s">
        <v>1063</v>
      </c>
      <c r="J617" s="166" t="s">
        <v>1026</v>
      </c>
      <c r="K617" s="166" t="s">
        <v>710</v>
      </c>
      <c r="L617" s="166">
        <v>104850</v>
      </c>
      <c r="M617" s="166"/>
      <c r="N617" s="166"/>
      <c r="O617" s="164">
        <f t="shared" si="65"/>
        <v>0</v>
      </c>
      <c r="P617" s="166">
        <v>1</v>
      </c>
      <c r="Q617" s="166">
        <v>1</v>
      </c>
      <c r="R617" s="164">
        <f>$L617*'Pivot Objective'!$C$9*P617*Q617</f>
        <v>119835.27702044998</v>
      </c>
      <c r="S617" s="166"/>
      <c r="T617" s="166"/>
      <c r="U617" s="164">
        <f>($L617*'Pivot Objective'!$C$9^2)*S617*T617</f>
        <v>0</v>
      </c>
      <c r="V617" s="166"/>
      <c r="W617" s="166"/>
      <c r="X617" s="164">
        <f>($L617*'Pivot Objective'!$C$9^3)*V617*W617</f>
        <v>0</v>
      </c>
      <c r="Y617" s="166">
        <v>1</v>
      </c>
      <c r="Z617" s="166">
        <v>1</v>
      </c>
      <c r="AA617" s="164">
        <f>($L617*'Pivot Objective'!$C$9^4)*Y617*Z617</f>
        <v>178909.51246760553</v>
      </c>
      <c r="AB617" s="166"/>
      <c r="AC617" s="166"/>
      <c r="AD617" s="164">
        <f>($L617*'Pivot Objective'!$C$9^5)*AB617*AC617</f>
        <v>0</v>
      </c>
      <c r="AE617" s="166"/>
      <c r="AF617" s="166"/>
      <c r="AG617" s="164">
        <f>($L617*'Pivot Objective'!$C$9^6)*AE617*AF617</f>
        <v>0</v>
      </c>
      <c r="AH617" s="166">
        <v>1</v>
      </c>
      <c r="AI617" s="166">
        <v>1</v>
      </c>
      <c r="AJ617" s="164">
        <f>($L617*'Pivot Objective'!$C$9^7)*AH617*AI617</f>
        <v>267105.09999433643</v>
      </c>
      <c r="AK617" s="185">
        <f t="shared" si="66"/>
        <v>565849.889482392</v>
      </c>
      <c r="AL617" s="186">
        <f t="shared" si="67"/>
        <v>549.36882474018637</v>
      </c>
    </row>
    <row r="618" spans="1:38" customFormat="1" ht="57.6" x14ac:dyDescent="0.3">
      <c r="A618" s="140" t="s">
        <v>1442</v>
      </c>
      <c r="B618" s="140">
        <v>1</v>
      </c>
      <c r="C618" s="166" t="s">
        <v>836</v>
      </c>
      <c r="D618" s="140" t="str">
        <f t="shared" si="69"/>
        <v>3</v>
      </c>
      <c r="E618" s="166" t="s">
        <v>1051</v>
      </c>
      <c r="F618" s="140">
        <f t="shared" si="71"/>
        <v>2</v>
      </c>
      <c r="G618" s="140" t="str">
        <f t="shared" si="70"/>
        <v>1.3.2</v>
      </c>
      <c r="H618" s="166" t="s">
        <v>1689</v>
      </c>
      <c r="I618" s="166" t="s">
        <v>1063</v>
      </c>
      <c r="J618" s="166" t="s">
        <v>163</v>
      </c>
      <c r="K618" s="166" t="s">
        <v>713</v>
      </c>
      <c r="L618" s="166">
        <v>45000</v>
      </c>
      <c r="M618" s="166"/>
      <c r="N618" s="166"/>
      <c r="O618" s="164">
        <f t="shared" si="65"/>
        <v>0</v>
      </c>
      <c r="P618" s="166">
        <v>25</v>
      </c>
      <c r="Q618" s="166">
        <v>1</v>
      </c>
      <c r="R618" s="164">
        <f>$L618*'Pivot Objective'!$C$9*P618*Q618</f>
        <v>1285786.2341249997</v>
      </c>
      <c r="S618" s="166"/>
      <c r="T618" s="166"/>
      <c r="U618" s="164">
        <f>($L618*'Pivot Objective'!$C$9^2)*S618*T618</f>
        <v>0</v>
      </c>
      <c r="V618" s="166"/>
      <c r="W618" s="166"/>
      <c r="X618" s="164">
        <f>($L618*'Pivot Objective'!$C$9^3)*V618*W618</f>
        <v>0</v>
      </c>
      <c r="Y618" s="166">
        <v>25</v>
      </c>
      <c r="Z618" s="166">
        <v>1</v>
      </c>
      <c r="AA618" s="164">
        <f>($L618*'Pivot Objective'!$C$9^4)*Y618*Z618</f>
        <v>1919629.9620987717</v>
      </c>
      <c r="AB618" s="166"/>
      <c r="AC618" s="166"/>
      <c r="AD618" s="164">
        <f>($L618*'Pivot Objective'!$C$9^5)*AB618*AC618</f>
        <v>0</v>
      </c>
      <c r="AE618" s="166"/>
      <c r="AF618" s="166"/>
      <c r="AG618" s="164">
        <f>($L618*'Pivot Objective'!$C$9^6)*AE618*AF618</f>
        <v>0</v>
      </c>
      <c r="AH618" s="166">
        <v>25</v>
      </c>
      <c r="AI618" s="166">
        <v>1</v>
      </c>
      <c r="AJ618" s="164">
        <f>($L618*'Pivot Objective'!$C$9^7)*AH618*AI618</f>
        <v>2865934.5492954552</v>
      </c>
      <c r="AK618" s="185">
        <f t="shared" si="66"/>
        <v>6071350.7455192264</v>
      </c>
      <c r="AL618" s="186">
        <f t="shared" si="67"/>
        <v>5894.5152869118701</v>
      </c>
    </row>
    <row r="619" spans="1:38" customFormat="1" ht="57.6" x14ac:dyDescent="0.3">
      <c r="A619" s="140" t="s">
        <v>1442</v>
      </c>
      <c r="B619" s="140">
        <v>1</v>
      </c>
      <c r="C619" s="166" t="s">
        <v>836</v>
      </c>
      <c r="D619" s="140" t="str">
        <f t="shared" si="69"/>
        <v>3</v>
      </c>
      <c r="E619" s="166" t="s">
        <v>1051</v>
      </c>
      <c r="F619" s="140">
        <f t="shared" si="71"/>
        <v>2</v>
      </c>
      <c r="G619" s="140" t="str">
        <f t="shared" si="70"/>
        <v>1.3.2</v>
      </c>
      <c r="H619" s="166" t="s">
        <v>1689</v>
      </c>
      <c r="I619" s="166" t="s">
        <v>1063</v>
      </c>
      <c r="J619" s="166" t="s">
        <v>163</v>
      </c>
      <c r="K619" s="166" t="s">
        <v>712</v>
      </c>
      <c r="L619" s="166">
        <f>1480/7</f>
        <v>211.42857142857142</v>
      </c>
      <c r="M619" s="166"/>
      <c r="N619" s="166"/>
      <c r="O619" s="164">
        <f t="shared" si="65"/>
        <v>0</v>
      </c>
      <c r="P619" s="166">
        <f>2*25*9</f>
        <v>450</v>
      </c>
      <c r="Q619" s="166">
        <v>1</v>
      </c>
      <c r="R619" s="164">
        <f>$L619*'Pivot Objective'!$C$9*P619*Q619</f>
        <v>108740.77865742856</v>
      </c>
      <c r="S619" s="166"/>
      <c r="T619" s="166"/>
      <c r="U619" s="164">
        <f>($L619*'Pivot Objective'!$C$9^2)*S619*T619</f>
        <v>0</v>
      </c>
      <c r="V619" s="166"/>
      <c r="W619" s="166"/>
      <c r="X619" s="164">
        <f>($L619*'Pivot Objective'!$C$9^3)*V619*W619</f>
        <v>0</v>
      </c>
      <c r="Y619" s="166">
        <f>2*25*9</f>
        <v>450</v>
      </c>
      <c r="Z619" s="166">
        <v>1</v>
      </c>
      <c r="AA619" s="164">
        <f>($L619*'Pivot Objective'!$C$9^4)*Y619*Z619</f>
        <v>162345.8482232104</v>
      </c>
      <c r="AB619" s="166"/>
      <c r="AC619" s="166"/>
      <c r="AD619" s="164">
        <f>($L619*'Pivot Objective'!$C$9^5)*AB619*AC619</f>
        <v>0</v>
      </c>
      <c r="AE619" s="166"/>
      <c r="AF619" s="166"/>
      <c r="AG619" s="164">
        <f>($L619*'Pivot Objective'!$C$9^6)*AE619*AF619</f>
        <v>0</v>
      </c>
      <c r="AH619" s="166">
        <f>2*25*9</f>
        <v>450</v>
      </c>
      <c r="AI619" s="166">
        <v>1</v>
      </c>
      <c r="AJ619" s="164">
        <f>($L619*'Pivot Objective'!$C$9^7)*AH619*AI619</f>
        <v>242376.17902612989</v>
      </c>
      <c r="AK619" s="185">
        <f t="shared" si="66"/>
        <v>513462.80590676883</v>
      </c>
      <c r="AL619" s="186">
        <f t="shared" si="67"/>
        <v>498.50757855026097</v>
      </c>
    </row>
    <row r="620" spans="1:38" customFormat="1" ht="57.6" x14ac:dyDescent="0.3">
      <c r="A620" s="140" t="s">
        <v>1442</v>
      </c>
      <c r="B620" s="140">
        <v>1</v>
      </c>
      <c r="C620" s="166" t="s">
        <v>836</v>
      </c>
      <c r="D620" s="140" t="str">
        <f t="shared" si="69"/>
        <v>3</v>
      </c>
      <c r="E620" s="166" t="s">
        <v>1051</v>
      </c>
      <c r="F620" s="140">
        <f t="shared" si="71"/>
        <v>2</v>
      </c>
      <c r="G620" s="140" t="str">
        <f t="shared" si="70"/>
        <v>1.3.2</v>
      </c>
      <c r="H620" s="166" t="s">
        <v>1689</v>
      </c>
      <c r="I620" s="166" t="s">
        <v>1063</v>
      </c>
      <c r="J620" s="166" t="s">
        <v>163</v>
      </c>
      <c r="K620" s="166" t="s">
        <v>1320</v>
      </c>
      <c r="L620" s="166">
        <f>1480/7</f>
        <v>211.42857142857142</v>
      </c>
      <c r="M620" s="166"/>
      <c r="N620" s="166"/>
      <c r="O620" s="164">
        <f t="shared" si="65"/>
        <v>0</v>
      </c>
      <c r="P620" s="166">
        <f>2*135*9</f>
        <v>2430</v>
      </c>
      <c r="Q620" s="166">
        <v>1</v>
      </c>
      <c r="R620" s="164">
        <f>$L620*'Pivot Objective'!$C$9*P620*Q620</f>
        <v>587200.20475011424</v>
      </c>
      <c r="S620" s="166"/>
      <c r="T620" s="166"/>
      <c r="U620" s="164">
        <f>($L620*'Pivot Objective'!$C$9^2)*S620*T620</f>
        <v>0</v>
      </c>
      <c r="V620" s="166"/>
      <c r="W620" s="166"/>
      <c r="X620" s="164">
        <f>($L620*'Pivot Objective'!$C$9^3)*V620*W620</f>
        <v>0</v>
      </c>
      <c r="Y620" s="166">
        <f>2*135*9</f>
        <v>2430</v>
      </c>
      <c r="Z620" s="166">
        <v>1</v>
      </c>
      <c r="AA620" s="164">
        <f>($L620*'Pivot Objective'!$C$9^4)*Y620*Z620</f>
        <v>876667.58040533611</v>
      </c>
      <c r="AB620" s="166"/>
      <c r="AC620" s="166"/>
      <c r="AD620" s="164">
        <f>($L620*'Pivot Objective'!$C$9^5)*AB620*AC620</f>
        <v>0</v>
      </c>
      <c r="AE620" s="166"/>
      <c r="AF620" s="166"/>
      <c r="AG620" s="164">
        <f>($L620*'Pivot Objective'!$C$9^6)*AE620*AF620</f>
        <v>0</v>
      </c>
      <c r="AH620" s="166">
        <f>2*135*9</f>
        <v>2430</v>
      </c>
      <c r="AI620" s="166">
        <v>1</v>
      </c>
      <c r="AJ620" s="164">
        <f>($L620*'Pivot Objective'!$C$9^7)*AH620*AI620</f>
        <v>1308831.3667411015</v>
      </c>
      <c r="AK620" s="185">
        <f t="shared" si="66"/>
        <v>2772699.1518965522</v>
      </c>
      <c r="AL620" s="186">
        <f t="shared" si="67"/>
        <v>2691.9409241714097</v>
      </c>
    </row>
    <row r="621" spans="1:38" customFormat="1" ht="57.6" x14ac:dyDescent="0.3">
      <c r="A621" s="140" t="s">
        <v>1442</v>
      </c>
      <c r="B621" s="140">
        <v>1</v>
      </c>
      <c r="C621" s="166" t="s">
        <v>836</v>
      </c>
      <c r="D621" s="140" t="str">
        <f t="shared" si="69"/>
        <v>3</v>
      </c>
      <c r="E621" s="166" t="s">
        <v>1051</v>
      </c>
      <c r="F621" s="140">
        <f t="shared" si="71"/>
        <v>2</v>
      </c>
      <c r="G621" s="140" t="str">
        <f t="shared" si="70"/>
        <v>1.3.2</v>
      </c>
      <c r="H621" s="166" t="s">
        <v>1689</v>
      </c>
      <c r="I621" s="166" t="s">
        <v>1063</v>
      </c>
      <c r="J621" s="166" t="s">
        <v>1027</v>
      </c>
      <c r="K621" s="166" t="s">
        <v>709</v>
      </c>
      <c r="L621" s="166">
        <v>35000</v>
      </c>
      <c r="M621" s="166"/>
      <c r="N621" s="166"/>
      <c r="O621" s="164">
        <f t="shared" si="65"/>
        <v>0</v>
      </c>
      <c r="P621" s="166">
        <v>25</v>
      </c>
      <c r="Q621" s="166">
        <v>1</v>
      </c>
      <c r="R621" s="164">
        <f>$L621*'Pivot Objective'!$C$9*P621*Q621</f>
        <v>1000055.9598749998</v>
      </c>
      <c r="S621" s="166"/>
      <c r="T621" s="166"/>
      <c r="U621" s="164">
        <f>($L621*'Pivot Objective'!$C$9^2)*S621*T621</f>
        <v>0</v>
      </c>
      <c r="V621" s="166"/>
      <c r="W621" s="166"/>
      <c r="X621" s="164">
        <f>($L621*'Pivot Objective'!$C$9^3)*V621*W621</f>
        <v>0</v>
      </c>
      <c r="Y621" s="166">
        <v>25</v>
      </c>
      <c r="Z621" s="166">
        <v>1</v>
      </c>
      <c r="AA621" s="164">
        <f>($L621*'Pivot Objective'!$C$9^4)*Y621*Z621</f>
        <v>1493045.5260768225</v>
      </c>
      <c r="AB621" s="166"/>
      <c r="AC621" s="166"/>
      <c r="AD621" s="164">
        <f>($L621*'Pivot Objective'!$C$9^5)*AB621*AC621</f>
        <v>0</v>
      </c>
      <c r="AE621" s="166"/>
      <c r="AF621" s="166"/>
      <c r="AG621" s="164">
        <f>($L621*'Pivot Objective'!$C$9^6)*AE621*AF621</f>
        <v>0</v>
      </c>
      <c r="AH621" s="166">
        <v>25</v>
      </c>
      <c r="AI621" s="166">
        <v>1</v>
      </c>
      <c r="AJ621" s="164">
        <f>($L621*'Pivot Objective'!$C$9^7)*AH621*AI621</f>
        <v>2229060.2050075764</v>
      </c>
      <c r="AK621" s="185">
        <f t="shared" si="66"/>
        <v>4722161.6909593986</v>
      </c>
      <c r="AL621" s="186">
        <f t="shared" si="67"/>
        <v>4584.623000931455</v>
      </c>
    </row>
    <row r="622" spans="1:38" customFormat="1" ht="57.6" x14ac:dyDescent="0.3">
      <c r="A622" s="140" t="s">
        <v>1442</v>
      </c>
      <c r="B622" s="140">
        <v>1</v>
      </c>
      <c r="C622" s="166" t="s">
        <v>836</v>
      </c>
      <c r="D622" s="140" t="str">
        <f t="shared" si="69"/>
        <v>3</v>
      </c>
      <c r="E622" s="166" t="s">
        <v>1051</v>
      </c>
      <c r="F622" s="140">
        <f t="shared" si="71"/>
        <v>2</v>
      </c>
      <c r="G622" s="140" t="str">
        <f t="shared" si="70"/>
        <v>1.3.2</v>
      </c>
      <c r="H622" s="166" t="s">
        <v>1689</v>
      </c>
      <c r="I622" s="166" t="s">
        <v>1063</v>
      </c>
      <c r="J622" s="166" t="s">
        <v>157</v>
      </c>
      <c r="K622" s="166" t="s">
        <v>713</v>
      </c>
      <c r="L622" s="166">
        <v>45000</v>
      </c>
      <c r="M622" s="166"/>
      <c r="N622" s="166"/>
      <c r="O622" s="164">
        <f t="shared" si="65"/>
        <v>0</v>
      </c>
      <c r="P622" s="166">
        <v>30</v>
      </c>
      <c r="Q622" s="166">
        <v>6</v>
      </c>
      <c r="R622" s="164">
        <f>$L622*'Pivot Objective'!$C$9*P622*Q622</f>
        <v>9257660.8856999986</v>
      </c>
      <c r="S622" s="166"/>
      <c r="T622" s="166"/>
      <c r="U622" s="164">
        <f>($L622*'Pivot Objective'!$C$9^2)*S622*T622</f>
        <v>0</v>
      </c>
      <c r="V622" s="166"/>
      <c r="W622" s="166"/>
      <c r="X622" s="164">
        <f>($L622*'Pivot Objective'!$C$9^3)*V622*W622</f>
        <v>0</v>
      </c>
      <c r="Y622" s="166">
        <v>30</v>
      </c>
      <c r="Z622" s="166">
        <v>6</v>
      </c>
      <c r="AA622" s="164">
        <f>($L622*'Pivot Objective'!$C$9^4)*Y622*Z622</f>
        <v>13821335.727111155</v>
      </c>
      <c r="AB622" s="166"/>
      <c r="AC622" s="166"/>
      <c r="AD622" s="164">
        <f>($L622*'Pivot Objective'!$C$9^5)*AB622*AC622</f>
        <v>0</v>
      </c>
      <c r="AE622" s="166"/>
      <c r="AF622" s="166"/>
      <c r="AG622" s="164">
        <f>($L622*'Pivot Objective'!$C$9^6)*AE622*AF622</f>
        <v>0</v>
      </c>
      <c r="AH622" s="166">
        <v>30</v>
      </c>
      <c r="AI622" s="166">
        <v>6</v>
      </c>
      <c r="AJ622" s="164">
        <f>($L622*'Pivot Objective'!$C$9^7)*AH622*AI622</f>
        <v>20634728.754927278</v>
      </c>
      <c r="AK622" s="185">
        <f t="shared" si="66"/>
        <v>43713725.367738433</v>
      </c>
      <c r="AL622" s="186">
        <f t="shared" si="67"/>
        <v>42440.510065765469</v>
      </c>
    </row>
    <row r="623" spans="1:38" customFormat="1" ht="57.6" x14ac:dyDescent="0.3">
      <c r="A623" s="140" t="s">
        <v>1442</v>
      </c>
      <c r="B623" s="140">
        <v>1</v>
      </c>
      <c r="C623" s="166" t="s">
        <v>836</v>
      </c>
      <c r="D623" s="140" t="str">
        <f t="shared" si="69"/>
        <v>3</v>
      </c>
      <c r="E623" s="166" t="s">
        <v>1051</v>
      </c>
      <c r="F623" s="140">
        <f t="shared" si="71"/>
        <v>2</v>
      </c>
      <c r="G623" s="140" t="str">
        <f t="shared" si="70"/>
        <v>1.3.2</v>
      </c>
      <c r="H623" s="166" t="s">
        <v>1689</v>
      </c>
      <c r="I623" s="166" t="s">
        <v>1063</v>
      </c>
      <c r="J623" s="166" t="s">
        <v>157</v>
      </c>
      <c r="K623" s="166" t="s">
        <v>712</v>
      </c>
      <c r="L623" s="166">
        <f>1480/7</f>
        <v>211.42857142857142</v>
      </c>
      <c r="M623" s="166"/>
      <c r="N623" s="166"/>
      <c r="O623" s="164">
        <f t="shared" si="65"/>
        <v>0</v>
      </c>
      <c r="P623" s="166">
        <f>2*25*9</f>
        <v>450</v>
      </c>
      <c r="Q623" s="166">
        <v>5</v>
      </c>
      <c r="R623" s="164">
        <f>$L623*'Pivot Objective'!$C$9*P623*Q623</f>
        <v>543703.89328714274</v>
      </c>
      <c r="S623" s="166"/>
      <c r="T623" s="166"/>
      <c r="U623" s="164">
        <f>($L623*'Pivot Objective'!$C$9^2)*S623*T623</f>
        <v>0</v>
      </c>
      <c r="V623" s="166"/>
      <c r="W623" s="166"/>
      <c r="X623" s="164">
        <f>($L623*'Pivot Objective'!$C$9^3)*V623*W623</f>
        <v>0</v>
      </c>
      <c r="Y623" s="166">
        <f>2*25*9</f>
        <v>450</v>
      </c>
      <c r="Z623" s="166">
        <v>5</v>
      </c>
      <c r="AA623" s="164">
        <f>($L623*'Pivot Objective'!$C$9^4)*Y623*Z623</f>
        <v>811729.24111605203</v>
      </c>
      <c r="AB623" s="166"/>
      <c r="AC623" s="166"/>
      <c r="AD623" s="164">
        <f>($L623*'Pivot Objective'!$C$9^5)*AB623*AC623</f>
        <v>0</v>
      </c>
      <c r="AE623" s="166"/>
      <c r="AF623" s="166"/>
      <c r="AG623" s="164">
        <f>($L623*'Pivot Objective'!$C$9^6)*AE623*AF623</f>
        <v>0</v>
      </c>
      <c r="AH623" s="166">
        <f>2*25*9</f>
        <v>450</v>
      </c>
      <c r="AI623" s="166">
        <v>5</v>
      </c>
      <c r="AJ623" s="164">
        <f>($L623*'Pivot Objective'!$C$9^7)*AH623*AI623</f>
        <v>1211880.8951306494</v>
      </c>
      <c r="AK623" s="185">
        <f t="shared" si="66"/>
        <v>2567314.0295338444</v>
      </c>
      <c r="AL623" s="186">
        <f t="shared" si="67"/>
        <v>2492.5378927513052</v>
      </c>
    </row>
    <row r="624" spans="1:38" customFormat="1" ht="57.6" x14ac:dyDescent="0.3">
      <c r="A624" s="140" t="s">
        <v>1442</v>
      </c>
      <c r="B624" s="140">
        <v>1</v>
      </c>
      <c r="C624" s="166" t="s">
        <v>836</v>
      </c>
      <c r="D624" s="140" t="str">
        <f t="shared" si="69"/>
        <v>3</v>
      </c>
      <c r="E624" s="166" t="s">
        <v>1051</v>
      </c>
      <c r="F624" s="140">
        <f t="shared" si="71"/>
        <v>2</v>
      </c>
      <c r="G624" s="140" t="str">
        <f t="shared" si="70"/>
        <v>1.3.2</v>
      </c>
      <c r="H624" s="166" t="s">
        <v>1689</v>
      </c>
      <c r="I624" s="166" t="s">
        <v>1063</v>
      </c>
      <c r="J624" s="166" t="s">
        <v>157</v>
      </c>
      <c r="K624" s="166" t="s">
        <v>1320</v>
      </c>
      <c r="L624" s="166">
        <f>1480/7</f>
        <v>211.42857142857142</v>
      </c>
      <c r="M624" s="166"/>
      <c r="N624" s="166"/>
      <c r="O624" s="164">
        <f t="shared" si="65"/>
        <v>0</v>
      </c>
      <c r="P624" s="166">
        <f>2*135*9</f>
        <v>2430</v>
      </c>
      <c r="Q624" s="166">
        <v>1</v>
      </c>
      <c r="R624" s="164">
        <f>$L624*'Pivot Objective'!$C$9*P624*Q624</f>
        <v>587200.20475011424</v>
      </c>
      <c r="S624" s="166"/>
      <c r="T624" s="166"/>
      <c r="U624" s="164">
        <f>($L624*'Pivot Objective'!$C$9^2)*S624*T624</f>
        <v>0</v>
      </c>
      <c r="V624" s="166"/>
      <c r="W624" s="166"/>
      <c r="X624" s="164">
        <f>($L624*'Pivot Objective'!$C$9^3)*V624*W624</f>
        <v>0</v>
      </c>
      <c r="Y624" s="166">
        <f>2*135*9</f>
        <v>2430</v>
      </c>
      <c r="Z624" s="166">
        <v>1</v>
      </c>
      <c r="AA624" s="164">
        <f>($L624*'Pivot Objective'!$C$9^4)*Y624*Z624</f>
        <v>876667.58040533611</v>
      </c>
      <c r="AB624" s="166"/>
      <c r="AC624" s="166"/>
      <c r="AD624" s="164">
        <f>($L624*'Pivot Objective'!$C$9^5)*AB624*AC624</f>
        <v>0</v>
      </c>
      <c r="AE624" s="166"/>
      <c r="AF624" s="166"/>
      <c r="AG624" s="164">
        <f>($L624*'Pivot Objective'!$C$9^6)*AE624*AF624</f>
        <v>0</v>
      </c>
      <c r="AH624" s="166">
        <f>2*135*9</f>
        <v>2430</v>
      </c>
      <c r="AI624" s="166">
        <v>1</v>
      </c>
      <c r="AJ624" s="164">
        <f>($L624*'Pivot Objective'!$C$9^7)*AH624*AI624</f>
        <v>1308831.3667411015</v>
      </c>
      <c r="AK624" s="185">
        <f t="shared" si="66"/>
        <v>2772699.1518965522</v>
      </c>
      <c r="AL624" s="186">
        <f t="shared" si="67"/>
        <v>2691.9409241714097</v>
      </c>
    </row>
    <row r="625" spans="1:38" customFormat="1" ht="57.6" x14ac:dyDescent="0.3">
      <c r="A625" s="140" t="s">
        <v>1442</v>
      </c>
      <c r="B625" s="140">
        <v>1</v>
      </c>
      <c r="C625" s="166" t="s">
        <v>836</v>
      </c>
      <c r="D625" s="140" t="str">
        <f t="shared" si="69"/>
        <v>3</v>
      </c>
      <c r="E625" s="166" t="s">
        <v>1051</v>
      </c>
      <c r="F625" s="140">
        <f t="shared" si="71"/>
        <v>2</v>
      </c>
      <c r="G625" s="140" t="str">
        <f t="shared" si="70"/>
        <v>1.3.2</v>
      </c>
      <c r="H625" s="166" t="s">
        <v>1689</v>
      </c>
      <c r="I625" s="166" t="s">
        <v>1063</v>
      </c>
      <c r="J625" s="166" t="s">
        <v>157</v>
      </c>
      <c r="K625" s="166" t="s">
        <v>714</v>
      </c>
      <c r="L625" s="166">
        <v>10000</v>
      </c>
      <c r="M625" s="166"/>
      <c r="N625" s="166"/>
      <c r="O625" s="164">
        <f t="shared" si="65"/>
        <v>0</v>
      </c>
      <c r="P625" s="166">
        <v>15</v>
      </c>
      <c r="Q625" s="166">
        <v>1</v>
      </c>
      <c r="R625" s="164">
        <f>$L625*'Pivot Objective'!$C$9*P625*Q625</f>
        <v>171438.16454999999</v>
      </c>
      <c r="S625" s="166"/>
      <c r="T625" s="166"/>
      <c r="U625" s="164">
        <f>($L625*'Pivot Objective'!$C$9^2)*S625*T625</f>
        <v>0</v>
      </c>
      <c r="V625" s="166"/>
      <c r="W625" s="166"/>
      <c r="X625" s="164">
        <f>($L625*'Pivot Objective'!$C$9^3)*V625*W625</f>
        <v>0</v>
      </c>
      <c r="Y625" s="166">
        <v>15</v>
      </c>
      <c r="Z625" s="166">
        <v>1</v>
      </c>
      <c r="AA625" s="164">
        <f>($L625*'Pivot Objective'!$C$9^4)*Y625*Z625</f>
        <v>255950.66161316959</v>
      </c>
      <c r="AB625" s="166"/>
      <c r="AC625" s="166"/>
      <c r="AD625" s="164">
        <f>($L625*'Pivot Objective'!$C$9^5)*AB625*AC625</f>
        <v>0</v>
      </c>
      <c r="AE625" s="166"/>
      <c r="AF625" s="166"/>
      <c r="AG625" s="164">
        <f>($L625*'Pivot Objective'!$C$9^6)*AE625*AF625</f>
        <v>0</v>
      </c>
      <c r="AH625" s="166">
        <v>15</v>
      </c>
      <c r="AI625" s="166">
        <v>1</v>
      </c>
      <c r="AJ625" s="164">
        <f>($L625*'Pivot Objective'!$C$9^7)*AH625*AI625</f>
        <v>382124.60657272732</v>
      </c>
      <c r="AK625" s="185">
        <f t="shared" si="66"/>
        <v>809513.4327358969</v>
      </c>
      <c r="AL625" s="186">
        <f t="shared" si="67"/>
        <v>785.93537158824938</v>
      </c>
    </row>
    <row r="626" spans="1:38" customFormat="1" ht="57.6" x14ac:dyDescent="0.3">
      <c r="A626" s="140" t="s">
        <v>1442</v>
      </c>
      <c r="B626" s="140">
        <v>1</v>
      </c>
      <c r="C626" s="166" t="s">
        <v>836</v>
      </c>
      <c r="D626" s="140" t="str">
        <f t="shared" si="69"/>
        <v>3</v>
      </c>
      <c r="E626" s="166" t="s">
        <v>1051</v>
      </c>
      <c r="F626" s="140">
        <f t="shared" si="71"/>
        <v>2</v>
      </c>
      <c r="G626" s="140" t="str">
        <f t="shared" si="70"/>
        <v>1.3.2</v>
      </c>
      <c r="H626" s="166" t="s">
        <v>1689</v>
      </c>
      <c r="I626" s="166" t="s">
        <v>1063</v>
      </c>
      <c r="J626" s="166" t="s">
        <v>1004</v>
      </c>
      <c r="K626" s="166" t="s">
        <v>709</v>
      </c>
      <c r="L626" s="166">
        <v>35000</v>
      </c>
      <c r="M626" s="166"/>
      <c r="N626" s="166"/>
      <c r="O626" s="164">
        <f t="shared" si="65"/>
        <v>0</v>
      </c>
      <c r="P626" s="166">
        <v>30</v>
      </c>
      <c r="Q626" s="166">
        <v>5</v>
      </c>
      <c r="R626" s="164">
        <f>$L626*'Pivot Objective'!$C$9*P626*Q626</f>
        <v>6000335.7592499992</v>
      </c>
      <c r="S626" s="166"/>
      <c r="T626" s="166"/>
      <c r="U626" s="164">
        <f>($L626*'Pivot Objective'!$C$9^2)*S626*T626</f>
        <v>0</v>
      </c>
      <c r="V626" s="166"/>
      <c r="W626" s="166"/>
      <c r="X626" s="164">
        <f>($L626*'Pivot Objective'!$C$9^3)*V626*W626</f>
        <v>0</v>
      </c>
      <c r="Y626" s="166">
        <v>30</v>
      </c>
      <c r="Z626" s="166">
        <v>5</v>
      </c>
      <c r="AA626" s="164">
        <f>($L626*'Pivot Objective'!$C$9^4)*Y626*Z626</f>
        <v>8958273.1564609352</v>
      </c>
      <c r="AB626" s="166"/>
      <c r="AC626" s="166"/>
      <c r="AD626" s="164">
        <f>($L626*'Pivot Objective'!$C$9^5)*AB626*AC626</f>
        <v>0</v>
      </c>
      <c r="AE626" s="166"/>
      <c r="AF626" s="166"/>
      <c r="AG626" s="164">
        <f>($L626*'Pivot Objective'!$C$9^6)*AE626*AF626</f>
        <v>0</v>
      </c>
      <c r="AH626" s="166">
        <v>30</v>
      </c>
      <c r="AI626" s="166">
        <v>5</v>
      </c>
      <c r="AJ626" s="164">
        <f>($L626*'Pivot Objective'!$C$9^7)*AH626*AI626</f>
        <v>13374361.230045456</v>
      </c>
      <c r="AK626" s="185">
        <f t="shared" si="66"/>
        <v>28332970.14575639</v>
      </c>
      <c r="AL626" s="186">
        <f t="shared" si="67"/>
        <v>27507.73800558873</v>
      </c>
    </row>
    <row r="627" spans="1:38" customFormat="1" ht="57.6" x14ac:dyDescent="0.3">
      <c r="A627" s="140" t="s">
        <v>1442</v>
      </c>
      <c r="B627" s="140">
        <v>1</v>
      </c>
      <c r="C627" s="166" t="s">
        <v>836</v>
      </c>
      <c r="D627" s="140" t="str">
        <f t="shared" si="69"/>
        <v>3</v>
      </c>
      <c r="E627" s="166" t="s">
        <v>1051</v>
      </c>
      <c r="F627" s="140">
        <f t="shared" si="71"/>
        <v>2</v>
      </c>
      <c r="G627" s="140" t="str">
        <f t="shared" si="70"/>
        <v>1.3.2</v>
      </c>
      <c r="H627" s="166" t="s">
        <v>1689</v>
      </c>
      <c r="I627" s="166" t="s">
        <v>1063</v>
      </c>
      <c r="J627" s="166" t="s">
        <v>1004</v>
      </c>
      <c r="K627" s="166" t="s">
        <v>716</v>
      </c>
      <c r="L627" s="166">
        <v>39000</v>
      </c>
      <c r="M627" s="166"/>
      <c r="N627" s="166"/>
      <c r="O627" s="164">
        <f t="shared" si="65"/>
        <v>0</v>
      </c>
      <c r="P627" s="166">
        <v>30</v>
      </c>
      <c r="Q627" s="166">
        <v>6</v>
      </c>
      <c r="R627" s="164">
        <f>$L627*'Pivot Objective'!$C$9*P627*Q627</f>
        <v>8023306.1009399984</v>
      </c>
      <c r="S627" s="166"/>
      <c r="T627" s="166"/>
      <c r="U627" s="164">
        <f>($L627*'Pivot Objective'!$C$9^2)*S627*T627</f>
        <v>0</v>
      </c>
      <c r="V627" s="166"/>
      <c r="W627" s="166"/>
      <c r="X627" s="164">
        <f>($L627*'Pivot Objective'!$C$9^3)*V627*W627</f>
        <v>0</v>
      </c>
      <c r="Y627" s="166">
        <v>30</v>
      </c>
      <c r="Z627" s="166">
        <v>6</v>
      </c>
      <c r="AA627" s="164">
        <f>($L627*'Pivot Objective'!$C$9^4)*Y627*Z627</f>
        <v>11978490.963496335</v>
      </c>
      <c r="AB627" s="166"/>
      <c r="AC627" s="166"/>
      <c r="AD627" s="164">
        <f>($L627*'Pivot Objective'!$C$9^5)*AB627*AC627</f>
        <v>0</v>
      </c>
      <c r="AE627" s="166"/>
      <c r="AF627" s="166"/>
      <c r="AG627" s="164">
        <f>($L627*'Pivot Objective'!$C$9^6)*AE627*AF627</f>
        <v>0</v>
      </c>
      <c r="AH627" s="166">
        <v>30</v>
      </c>
      <c r="AI627" s="166">
        <v>6</v>
      </c>
      <c r="AJ627" s="164">
        <f>($L627*'Pivot Objective'!$C$9^7)*AH627*AI627</f>
        <v>17883431.58760364</v>
      </c>
      <c r="AK627" s="185">
        <f t="shared" si="66"/>
        <v>37885228.652039975</v>
      </c>
      <c r="AL627" s="186">
        <f t="shared" si="67"/>
        <v>36781.775390330076</v>
      </c>
    </row>
    <row r="628" spans="1:38" customFormat="1" ht="57.6" x14ac:dyDescent="0.3">
      <c r="A628" s="140" t="s">
        <v>1442</v>
      </c>
      <c r="B628" s="140">
        <v>1</v>
      </c>
      <c r="C628" s="166" t="s">
        <v>836</v>
      </c>
      <c r="D628" s="140" t="str">
        <f t="shared" si="69"/>
        <v>3</v>
      </c>
      <c r="E628" s="166" t="s">
        <v>1051</v>
      </c>
      <c r="F628" s="140">
        <f t="shared" si="71"/>
        <v>2</v>
      </c>
      <c r="G628" s="140" t="str">
        <f t="shared" si="70"/>
        <v>1.3.2</v>
      </c>
      <c r="H628" s="166" t="s">
        <v>1689</v>
      </c>
      <c r="I628" s="166" t="s">
        <v>1063</v>
      </c>
      <c r="J628" s="166" t="s">
        <v>1004</v>
      </c>
      <c r="K628" s="166" t="s">
        <v>712</v>
      </c>
      <c r="L628" s="166">
        <f>1480/7</f>
        <v>211.42857142857142</v>
      </c>
      <c r="M628" s="166"/>
      <c r="N628" s="166"/>
      <c r="O628" s="164">
        <f t="shared" si="65"/>
        <v>0</v>
      </c>
      <c r="P628" s="166">
        <f>2*25*9</f>
        <v>450</v>
      </c>
      <c r="Q628" s="166">
        <v>5</v>
      </c>
      <c r="R628" s="164">
        <f>$L628*'Pivot Objective'!$C$9*P628*Q628</f>
        <v>543703.89328714274</v>
      </c>
      <c r="S628" s="166"/>
      <c r="T628" s="166"/>
      <c r="U628" s="164">
        <f>($L628*'Pivot Objective'!$C$9^2)*S628*T628</f>
        <v>0</v>
      </c>
      <c r="V628" s="166"/>
      <c r="W628" s="166"/>
      <c r="X628" s="164">
        <f>($L628*'Pivot Objective'!$C$9^3)*V628*W628</f>
        <v>0</v>
      </c>
      <c r="Y628" s="166">
        <f>2*25*9</f>
        <v>450</v>
      </c>
      <c r="Z628" s="166">
        <v>5</v>
      </c>
      <c r="AA628" s="164">
        <f>($L628*'Pivot Objective'!$C$9^4)*Y628*Z628</f>
        <v>811729.24111605203</v>
      </c>
      <c r="AB628" s="166"/>
      <c r="AC628" s="166"/>
      <c r="AD628" s="164">
        <f>($L628*'Pivot Objective'!$C$9^5)*AB628*AC628</f>
        <v>0</v>
      </c>
      <c r="AE628" s="166"/>
      <c r="AF628" s="166"/>
      <c r="AG628" s="164">
        <f>($L628*'Pivot Objective'!$C$9^6)*AE628*AF628</f>
        <v>0</v>
      </c>
      <c r="AH628" s="166">
        <f>2*25*9</f>
        <v>450</v>
      </c>
      <c r="AI628" s="166">
        <v>5</v>
      </c>
      <c r="AJ628" s="164">
        <f>($L628*'Pivot Objective'!$C$9^7)*AH628*AI628</f>
        <v>1211880.8951306494</v>
      </c>
      <c r="AK628" s="185">
        <f t="shared" si="66"/>
        <v>2567314.0295338444</v>
      </c>
      <c r="AL628" s="186">
        <f t="shared" si="67"/>
        <v>2492.5378927513052</v>
      </c>
    </row>
    <row r="629" spans="1:38" customFormat="1" ht="57.6" x14ac:dyDescent="0.3">
      <c r="A629" s="140" t="s">
        <v>1442</v>
      </c>
      <c r="B629" s="140">
        <v>1</v>
      </c>
      <c r="C629" s="166" t="s">
        <v>836</v>
      </c>
      <c r="D629" s="140" t="str">
        <f t="shared" si="69"/>
        <v>3</v>
      </c>
      <c r="E629" s="166" t="s">
        <v>1051</v>
      </c>
      <c r="F629" s="140">
        <f t="shared" si="71"/>
        <v>2</v>
      </c>
      <c r="G629" s="140" t="str">
        <f t="shared" si="70"/>
        <v>1.3.2</v>
      </c>
      <c r="H629" s="166" t="s">
        <v>1689</v>
      </c>
      <c r="I629" s="166" t="s">
        <v>1063</v>
      </c>
      <c r="J629" s="166" t="s">
        <v>1004</v>
      </c>
      <c r="K629" s="166" t="s">
        <v>1320</v>
      </c>
      <c r="L629" s="166">
        <f>1480/7</f>
        <v>211.42857142857142</v>
      </c>
      <c r="M629" s="166"/>
      <c r="N629" s="166"/>
      <c r="O629" s="164">
        <f t="shared" si="65"/>
        <v>0</v>
      </c>
      <c r="P629" s="166">
        <f>2*135*9</f>
        <v>2430</v>
      </c>
      <c r="Q629" s="166">
        <v>1</v>
      </c>
      <c r="R629" s="164">
        <f>$L629*'Pivot Objective'!$C$9*P629*Q629</f>
        <v>587200.20475011424</v>
      </c>
      <c r="S629" s="166"/>
      <c r="T629" s="166"/>
      <c r="U629" s="164">
        <f>($L629*'Pivot Objective'!$C$9^2)*S629*T629</f>
        <v>0</v>
      </c>
      <c r="V629" s="166"/>
      <c r="W629" s="166"/>
      <c r="X629" s="164">
        <f>($L629*'Pivot Objective'!$C$9^3)*V629*W629</f>
        <v>0</v>
      </c>
      <c r="Y629" s="166">
        <f>2*135*9</f>
        <v>2430</v>
      </c>
      <c r="Z629" s="166">
        <v>1</v>
      </c>
      <c r="AA629" s="164">
        <f>($L629*'Pivot Objective'!$C$9^4)*Y629*Z629</f>
        <v>876667.58040533611</v>
      </c>
      <c r="AB629" s="166"/>
      <c r="AC629" s="166"/>
      <c r="AD629" s="164">
        <f>($L629*'Pivot Objective'!$C$9^5)*AB629*AC629</f>
        <v>0</v>
      </c>
      <c r="AE629" s="166"/>
      <c r="AF629" s="166"/>
      <c r="AG629" s="164">
        <f>($L629*'Pivot Objective'!$C$9^6)*AE629*AF629</f>
        <v>0</v>
      </c>
      <c r="AH629" s="166">
        <f>2*135*9</f>
        <v>2430</v>
      </c>
      <c r="AI629" s="166">
        <v>1</v>
      </c>
      <c r="AJ629" s="164">
        <f>($L629*'Pivot Objective'!$C$9^7)*AH629*AI629</f>
        <v>1308831.3667411015</v>
      </c>
      <c r="AK629" s="185">
        <f t="shared" si="66"/>
        <v>2772699.1518965522</v>
      </c>
      <c r="AL629" s="186">
        <f t="shared" si="67"/>
        <v>2691.9409241714097</v>
      </c>
    </row>
    <row r="630" spans="1:38" customFormat="1" ht="57.6" x14ac:dyDescent="0.3">
      <c r="A630" s="140" t="s">
        <v>1442</v>
      </c>
      <c r="B630" s="140">
        <v>1</v>
      </c>
      <c r="C630" s="166" t="s">
        <v>836</v>
      </c>
      <c r="D630" s="140" t="str">
        <f t="shared" si="69"/>
        <v>3</v>
      </c>
      <c r="E630" s="166" t="s">
        <v>1051</v>
      </c>
      <c r="F630" s="140">
        <f t="shared" si="71"/>
        <v>2</v>
      </c>
      <c r="G630" s="140" t="str">
        <f t="shared" si="70"/>
        <v>1.3.2</v>
      </c>
      <c r="H630" s="166" t="s">
        <v>1689</v>
      </c>
      <c r="I630" s="166" t="s">
        <v>1063</v>
      </c>
      <c r="J630" s="166" t="s">
        <v>1319</v>
      </c>
      <c r="K630" s="166" t="s">
        <v>709</v>
      </c>
      <c r="L630" s="166">
        <v>35000</v>
      </c>
      <c r="M630" s="166"/>
      <c r="N630" s="166"/>
      <c r="O630" s="164">
        <f t="shared" si="65"/>
        <v>0</v>
      </c>
      <c r="P630" s="166">
        <v>100</v>
      </c>
      <c r="Q630" s="166">
        <v>5</v>
      </c>
      <c r="R630" s="164">
        <f>$L630*'Pivot Objective'!$C$9*P630*Q630</f>
        <v>20001119.197499998</v>
      </c>
      <c r="S630" s="166"/>
      <c r="T630" s="166"/>
      <c r="U630" s="164">
        <f>($L630*'Pivot Objective'!$C$9^2)*S630*T630</f>
        <v>0</v>
      </c>
      <c r="V630" s="166"/>
      <c r="W630" s="166"/>
      <c r="X630" s="164">
        <f>($L630*'Pivot Objective'!$C$9^3)*V630*W630</f>
        <v>0</v>
      </c>
      <c r="Y630" s="166">
        <v>100</v>
      </c>
      <c r="Z630" s="166">
        <v>5</v>
      </c>
      <c r="AA630" s="164">
        <f>($L630*'Pivot Objective'!$C$9^4)*Y630*Z630</f>
        <v>29860910.521536451</v>
      </c>
      <c r="AB630" s="166"/>
      <c r="AC630" s="166"/>
      <c r="AD630" s="164">
        <f>($L630*'Pivot Objective'!$C$9^5)*AB630*AC630</f>
        <v>0</v>
      </c>
      <c r="AE630" s="166"/>
      <c r="AF630" s="166"/>
      <c r="AG630" s="164">
        <f>($L630*'Pivot Objective'!$C$9^6)*AE630*AF630</f>
        <v>0</v>
      </c>
      <c r="AH630" s="166">
        <v>100</v>
      </c>
      <c r="AI630" s="166">
        <v>5</v>
      </c>
      <c r="AJ630" s="164">
        <f>($L630*'Pivot Objective'!$C$9^7)*AH630*AI630</f>
        <v>44581204.100151524</v>
      </c>
      <c r="AK630" s="185">
        <f t="shared" si="66"/>
        <v>94443233.819187969</v>
      </c>
      <c r="AL630" s="186">
        <f t="shared" si="67"/>
        <v>91692.460018629092</v>
      </c>
    </row>
    <row r="631" spans="1:38" customFormat="1" ht="57.6" x14ac:dyDescent="0.3">
      <c r="A631" s="140" t="s">
        <v>1442</v>
      </c>
      <c r="B631" s="140">
        <v>1</v>
      </c>
      <c r="C631" s="166" t="s">
        <v>836</v>
      </c>
      <c r="D631" s="140" t="str">
        <f t="shared" si="69"/>
        <v>3</v>
      </c>
      <c r="E631" s="166" t="s">
        <v>1051</v>
      </c>
      <c r="F631" s="140">
        <f t="shared" si="71"/>
        <v>2</v>
      </c>
      <c r="G631" s="140" t="str">
        <f t="shared" si="70"/>
        <v>1.3.2</v>
      </c>
      <c r="H631" s="166" t="s">
        <v>1689</v>
      </c>
      <c r="I631" s="166" t="s">
        <v>1063</v>
      </c>
      <c r="J631" s="166" t="s">
        <v>1319</v>
      </c>
      <c r="K631" s="166" t="s">
        <v>713</v>
      </c>
      <c r="L631" s="166">
        <v>45000</v>
      </c>
      <c r="M631" s="166"/>
      <c r="N631" s="166"/>
      <c r="O631" s="164">
        <f t="shared" si="65"/>
        <v>0</v>
      </c>
      <c r="P631" s="166">
        <v>58</v>
      </c>
      <c r="Q631" s="166">
        <v>5</v>
      </c>
      <c r="R631" s="164">
        <f>$L631*'Pivot Objective'!$C$9*P631*Q631</f>
        <v>14915120.315849997</v>
      </c>
      <c r="S631" s="166"/>
      <c r="T631" s="166"/>
      <c r="U631" s="164">
        <f>($L631*'Pivot Objective'!$C$9^2)*S631*T631</f>
        <v>0</v>
      </c>
      <c r="V631" s="166"/>
      <c r="W631" s="166"/>
      <c r="X631" s="164">
        <f>($L631*'Pivot Objective'!$C$9^3)*V631*W631</f>
        <v>0</v>
      </c>
      <c r="Y631" s="166">
        <v>58</v>
      </c>
      <c r="Z631" s="166">
        <v>5</v>
      </c>
      <c r="AA631" s="164">
        <f>($L631*'Pivot Objective'!$C$9^4)*Y631*Z631</f>
        <v>22267707.56034575</v>
      </c>
      <c r="AB631" s="166"/>
      <c r="AC631" s="166"/>
      <c r="AD631" s="164">
        <f>($L631*'Pivot Objective'!$C$9^5)*AB631*AC631</f>
        <v>0</v>
      </c>
      <c r="AE631" s="166"/>
      <c r="AF631" s="166"/>
      <c r="AG631" s="164">
        <f>($L631*'Pivot Objective'!$C$9^6)*AE631*AF631</f>
        <v>0</v>
      </c>
      <c r="AH631" s="166">
        <v>58</v>
      </c>
      <c r="AI631" s="166">
        <v>5</v>
      </c>
      <c r="AJ631" s="164">
        <f>($L631*'Pivot Objective'!$C$9^7)*AH631*AI631</f>
        <v>33244840.771827281</v>
      </c>
      <c r="AK631" s="185">
        <f t="shared" si="66"/>
        <v>70427668.648023024</v>
      </c>
      <c r="AL631" s="186">
        <f t="shared" si="67"/>
        <v>68376.377328177696</v>
      </c>
    </row>
    <row r="632" spans="1:38" customFormat="1" ht="57.6" x14ac:dyDescent="0.3">
      <c r="A632" s="140" t="s">
        <v>1442</v>
      </c>
      <c r="B632" s="140">
        <v>1</v>
      </c>
      <c r="C632" s="166" t="s">
        <v>836</v>
      </c>
      <c r="D632" s="140" t="str">
        <f t="shared" si="69"/>
        <v>3</v>
      </c>
      <c r="E632" s="166" t="s">
        <v>1051</v>
      </c>
      <c r="F632" s="140">
        <f t="shared" si="71"/>
        <v>2</v>
      </c>
      <c r="G632" s="140" t="str">
        <f t="shared" si="70"/>
        <v>1.3.2</v>
      </c>
      <c r="H632" s="166" t="s">
        <v>1689</v>
      </c>
      <c r="I632" s="166" t="s">
        <v>1063</v>
      </c>
      <c r="J632" s="166" t="s">
        <v>1319</v>
      </c>
      <c r="K632" s="166" t="s">
        <v>712</v>
      </c>
      <c r="L632" s="166">
        <f>1480/7</f>
        <v>211.42857142857142</v>
      </c>
      <c r="M632" s="166"/>
      <c r="N632" s="166"/>
      <c r="O632" s="164">
        <f t="shared" si="65"/>
        <v>0</v>
      </c>
      <c r="P632" s="166">
        <f>2*25*9</f>
        <v>450</v>
      </c>
      <c r="Q632" s="166">
        <v>5</v>
      </c>
      <c r="R632" s="164">
        <f>$L632*'Pivot Objective'!$C$9*P632*Q632</f>
        <v>543703.89328714274</v>
      </c>
      <c r="S632" s="166"/>
      <c r="T632" s="166"/>
      <c r="U632" s="164">
        <f>($L632*'Pivot Objective'!$C$9^2)*S632*T632</f>
        <v>0</v>
      </c>
      <c r="V632" s="166"/>
      <c r="W632" s="166"/>
      <c r="X632" s="164">
        <f>($L632*'Pivot Objective'!$C$9^3)*V632*W632</f>
        <v>0</v>
      </c>
      <c r="Y632" s="166">
        <f>2*25*9</f>
        <v>450</v>
      </c>
      <c r="Z632" s="166">
        <v>5</v>
      </c>
      <c r="AA632" s="164">
        <f>($L632*'Pivot Objective'!$C$9^4)*Y632*Z632</f>
        <v>811729.24111605203</v>
      </c>
      <c r="AB632" s="166"/>
      <c r="AC632" s="166"/>
      <c r="AD632" s="164">
        <f>($L632*'Pivot Objective'!$C$9^5)*AB632*AC632</f>
        <v>0</v>
      </c>
      <c r="AE632" s="166"/>
      <c r="AF632" s="166"/>
      <c r="AG632" s="164">
        <f>($L632*'Pivot Objective'!$C$9^6)*AE632*AF632</f>
        <v>0</v>
      </c>
      <c r="AH632" s="166">
        <f>2*25*9</f>
        <v>450</v>
      </c>
      <c r="AI632" s="166">
        <v>5</v>
      </c>
      <c r="AJ632" s="164">
        <f>($L632*'Pivot Objective'!$C$9^7)*AH632*AI632</f>
        <v>1211880.8951306494</v>
      </c>
      <c r="AK632" s="185">
        <f t="shared" si="66"/>
        <v>2567314.0295338444</v>
      </c>
      <c r="AL632" s="186">
        <f t="shared" si="67"/>
        <v>2492.5378927513052</v>
      </c>
    </row>
    <row r="633" spans="1:38" customFormat="1" ht="57.6" x14ac:dyDescent="0.3">
      <c r="A633" s="140" t="s">
        <v>1442</v>
      </c>
      <c r="B633" s="140">
        <v>1</v>
      </c>
      <c r="C633" s="166" t="s">
        <v>836</v>
      </c>
      <c r="D633" s="140" t="str">
        <f t="shared" si="69"/>
        <v>3</v>
      </c>
      <c r="E633" s="166" t="s">
        <v>1051</v>
      </c>
      <c r="F633" s="140">
        <f t="shared" si="71"/>
        <v>2</v>
      </c>
      <c r="G633" s="140" t="str">
        <f t="shared" si="70"/>
        <v>1.3.2</v>
      </c>
      <c r="H633" s="166" t="s">
        <v>1689</v>
      </c>
      <c r="I633" s="166" t="s">
        <v>1063</v>
      </c>
      <c r="J633" s="166" t="s">
        <v>1319</v>
      </c>
      <c r="K633" s="166" t="s">
        <v>1320</v>
      </c>
      <c r="L633" s="166">
        <f>1480/7</f>
        <v>211.42857142857142</v>
      </c>
      <c r="M633" s="166"/>
      <c r="N633" s="166"/>
      <c r="O633" s="164">
        <f t="shared" si="65"/>
        <v>0</v>
      </c>
      <c r="P633" s="166">
        <f>2*135*9</f>
        <v>2430</v>
      </c>
      <c r="Q633" s="166">
        <v>1</v>
      </c>
      <c r="R633" s="164">
        <f>$L633*'Pivot Objective'!$C$9*P633*Q633</f>
        <v>587200.20475011424</v>
      </c>
      <c r="S633" s="166"/>
      <c r="T633" s="166"/>
      <c r="U633" s="164">
        <f>($L633*'Pivot Objective'!$C$9^2)*S633*T633</f>
        <v>0</v>
      </c>
      <c r="V633" s="166"/>
      <c r="W633" s="166"/>
      <c r="X633" s="164">
        <f>($L633*'Pivot Objective'!$C$9^3)*V633*W633</f>
        <v>0</v>
      </c>
      <c r="Y633" s="166">
        <f>2*135*9</f>
        <v>2430</v>
      </c>
      <c r="Z633" s="166">
        <v>1</v>
      </c>
      <c r="AA633" s="164">
        <f>($L633*'Pivot Objective'!$C$9^4)*Y633*Z633</f>
        <v>876667.58040533611</v>
      </c>
      <c r="AB633" s="166"/>
      <c r="AC633" s="166"/>
      <c r="AD633" s="164">
        <f>($L633*'Pivot Objective'!$C$9^5)*AB633*AC633</f>
        <v>0</v>
      </c>
      <c r="AE633" s="166"/>
      <c r="AF633" s="166"/>
      <c r="AG633" s="164">
        <f>($L633*'Pivot Objective'!$C$9^6)*AE633*AF633</f>
        <v>0</v>
      </c>
      <c r="AH633" s="166">
        <f>2*135*9</f>
        <v>2430</v>
      </c>
      <c r="AI633" s="166">
        <v>1</v>
      </c>
      <c r="AJ633" s="164">
        <f>($L633*'Pivot Objective'!$C$9^7)*AH633*AI633</f>
        <v>1308831.3667411015</v>
      </c>
      <c r="AK633" s="185">
        <f t="shared" si="66"/>
        <v>2772699.1518965522</v>
      </c>
      <c r="AL633" s="186">
        <f t="shared" si="67"/>
        <v>2691.9409241714097</v>
      </c>
    </row>
    <row r="634" spans="1:38" customFormat="1" ht="57.6" x14ac:dyDescent="0.3">
      <c r="A634" s="140" t="s">
        <v>1442</v>
      </c>
      <c r="B634" s="140">
        <v>1</v>
      </c>
      <c r="C634" s="166" t="s">
        <v>836</v>
      </c>
      <c r="D634" s="140" t="str">
        <f t="shared" si="69"/>
        <v>3</v>
      </c>
      <c r="E634" s="166" t="s">
        <v>1051</v>
      </c>
      <c r="F634" s="140">
        <f t="shared" si="71"/>
        <v>2</v>
      </c>
      <c r="G634" s="140" t="str">
        <f t="shared" si="70"/>
        <v>1.3.2</v>
      </c>
      <c r="H634" s="166" t="s">
        <v>1689</v>
      </c>
      <c r="I634" s="166" t="s">
        <v>1063</v>
      </c>
      <c r="J634" s="166" t="s">
        <v>1042</v>
      </c>
      <c r="K634" s="166" t="s">
        <v>841</v>
      </c>
      <c r="L634" s="166">
        <v>0</v>
      </c>
      <c r="M634" s="166"/>
      <c r="N634" s="166"/>
      <c r="O634" s="164">
        <f t="shared" si="65"/>
        <v>0</v>
      </c>
      <c r="P634" s="166"/>
      <c r="Q634" s="166"/>
      <c r="R634" s="164">
        <f>$L634*'Pivot Objective'!$C$9*P634*Q634</f>
        <v>0</v>
      </c>
      <c r="S634" s="166"/>
      <c r="T634" s="166"/>
      <c r="U634" s="164">
        <f>($L634*'Pivot Objective'!$C$9^2)*S634*T634</f>
        <v>0</v>
      </c>
      <c r="V634" s="166"/>
      <c r="W634" s="166"/>
      <c r="X634" s="164">
        <f>($L634*'Pivot Objective'!$C$9^3)*V634*W634</f>
        <v>0</v>
      </c>
      <c r="Y634" s="166"/>
      <c r="Z634" s="166"/>
      <c r="AA634" s="164">
        <f>($L634*'Pivot Objective'!$C$9^4)*Y634*Z634</f>
        <v>0</v>
      </c>
      <c r="AB634" s="166"/>
      <c r="AC634" s="166"/>
      <c r="AD634" s="164">
        <f>($L634*'Pivot Objective'!$C$9^5)*AB634*AC634</f>
        <v>0</v>
      </c>
      <c r="AE634" s="166"/>
      <c r="AF634" s="166"/>
      <c r="AG634" s="164">
        <f>($L634*'Pivot Objective'!$C$9^6)*AE634*AF634</f>
        <v>0</v>
      </c>
      <c r="AH634" s="166"/>
      <c r="AI634" s="166"/>
      <c r="AJ634" s="164">
        <f>($L634*'Pivot Objective'!$C$9^7)*AH634*AI634</f>
        <v>0</v>
      </c>
      <c r="AK634" s="185">
        <f t="shared" si="66"/>
        <v>0</v>
      </c>
      <c r="AL634" s="186">
        <f t="shared" si="67"/>
        <v>0</v>
      </c>
    </row>
    <row r="635" spans="1:38" customFormat="1" ht="57.6" x14ac:dyDescent="0.3">
      <c r="A635" s="140" t="s">
        <v>1442</v>
      </c>
      <c r="B635" s="140">
        <v>1</v>
      </c>
      <c r="C635" s="166" t="s">
        <v>836</v>
      </c>
      <c r="D635" s="140" t="str">
        <f t="shared" si="69"/>
        <v>3</v>
      </c>
      <c r="E635" s="166" t="s">
        <v>1051</v>
      </c>
      <c r="F635" s="140">
        <f t="shared" si="71"/>
        <v>2</v>
      </c>
      <c r="G635" s="140" t="str">
        <f t="shared" si="70"/>
        <v>1.3.2</v>
      </c>
      <c r="H635" s="166" t="s">
        <v>1689</v>
      </c>
      <c r="I635" s="166" t="s">
        <v>1063</v>
      </c>
      <c r="J635" s="166" t="s">
        <v>1064</v>
      </c>
      <c r="K635" s="166" t="s">
        <v>709</v>
      </c>
      <c r="L635" s="166">
        <v>35000</v>
      </c>
      <c r="M635" s="166"/>
      <c r="N635" s="166"/>
      <c r="O635" s="164">
        <f t="shared" si="65"/>
        <v>0</v>
      </c>
      <c r="P635" s="166">
        <v>25</v>
      </c>
      <c r="Q635" s="166">
        <v>1</v>
      </c>
      <c r="R635" s="164">
        <f>$L635*'Pivot Objective'!$C$9*P635*Q635</f>
        <v>1000055.9598749998</v>
      </c>
      <c r="S635" s="166"/>
      <c r="T635" s="166"/>
      <c r="U635" s="164">
        <f>($L635*'Pivot Objective'!$C$9^2)*S635*T635</f>
        <v>0</v>
      </c>
      <c r="V635" s="166"/>
      <c r="W635" s="166"/>
      <c r="X635" s="164">
        <f>($L635*'Pivot Objective'!$C$9^3)*V635*W635</f>
        <v>0</v>
      </c>
      <c r="Y635" s="166">
        <v>25</v>
      </c>
      <c r="Z635" s="166">
        <v>1</v>
      </c>
      <c r="AA635" s="164">
        <f>($L635*'Pivot Objective'!$C$9^4)*Y635*Z635</f>
        <v>1493045.5260768225</v>
      </c>
      <c r="AB635" s="166"/>
      <c r="AC635" s="166"/>
      <c r="AD635" s="164">
        <f>($L635*'Pivot Objective'!$C$9^5)*AB635*AC635</f>
        <v>0</v>
      </c>
      <c r="AE635" s="166"/>
      <c r="AF635" s="166"/>
      <c r="AG635" s="164">
        <f>($L635*'Pivot Objective'!$C$9^6)*AE635*AF635</f>
        <v>0</v>
      </c>
      <c r="AH635" s="166">
        <v>25</v>
      </c>
      <c r="AI635" s="166">
        <v>1</v>
      </c>
      <c r="AJ635" s="164">
        <f>($L635*'Pivot Objective'!$C$9^7)*AH635*AI635</f>
        <v>2229060.2050075764</v>
      </c>
      <c r="AK635" s="185">
        <f t="shared" si="66"/>
        <v>4722161.6909593986</v>
      </c>
      <c r="AL635" s="186">
        <f t="shared" si="67"/>
        <v>4584.623000931455</v>
      </c>
    </row>
    <row r="636" spans="1:38" customFormat="1" ht="57.6" x14ac:dyDescent="0.3">
      <c r="A636" s="140" t="s">
        <v>1442</v>
      </c>
      <c r="B636" s="140">
        <v>1</v>
      </c>
      <c r="C636" s="166" t="s">
        <v>836</v>
      </c>
      <c r="D636" s="140" t="str">
        <f t="shared" si="69"/>
        <v>3</v>
      </c>
      <c r="E636" s="166" t="s">
        <v>1051</v>
      </c>
      <c r="F636" s="140">
        <f t="shared" si="71"/>
        <v>2</v>
      </c>
      <c r="G636" s="140" t="str">
        <f t="shared" si="70"/>
        <v>1.3.2</v>
      </c>
      <c r="H636" s="166" t="s">
        <v>1689</v>
      </c>
      <c r="I636" s="166" t="s">
        <v>1063</v>
      </c>
      <c r="J636" s="166" t="s">
        <v>869</v>
      </c>
      <c r="K636" s="166" t="s">
        <v>841</v>
      </c>
      <c r="L636" s="166">
        <v>0</v>
      </c>
      <c r="M636" s="166"/>
      <c r="N636" s="166"/>
      <c r="O636" s="164">
        <f t="shared" si="65"/>
        <v>0</v>
      </c>
      <c r="P636" s="166"/>
      <c r="Q636" s="166"/>
      <c r="R636" s="164">
        <f>$L636*'Pivot Objective'!$C$9*P636*Q636</f>
        <v>0</v>
      </c>
      <c r="S636" s="166"/>
      <c r="T636" s="166"/>
      <c r="U636" s="164">
        <f>($L636*'Pivot Objective'!$C$9^2)*S636*T636</f>
        <v>0</v>
      </c>
      <c r="V636" s="166"/>
      <c r="W636" s="166"/>
      <c r="X636" s="164">
        <f>($L636*'Pivot Objective'!$C$9^3)*V636*W636</f>
        <v>0</v>
      </c>
      <c r="Y636" s="166"/>
      <c r="Z636" s="166"/>
      <c r="AA636" s="164">
        <f>($L636*'Pivot Objective'!$C$9^4)*Y636*Z636</f>
        <v>0</v>
      </c>
      <c r="AB636" s="166"/>
      <c r="AC636" s="166"/>
      <c r="AD636" s="164">
        <f>($L636*'Pivot Objective'!$C$9^5)*AB636*AC636</f>
        <v>0</v>
      </c>
      <c r="AE636" s="166"/>
      <c r="AF636" s="166"/>
      <c r="AG636" s="164">
        <f>($L636*'Pivot Objective'!$C$9^6)*AE636*AF636</f>
        <v>0</v>
      </c>
      <c r="AH636" s="166"/>
      <c r="AI636" s="166"/>
      <c r="AJ636" s="164">
        <f>($L636*'Pivot Objective'!$C$9^7)*AH636*AI636</f>
        <v>0</v>
      </c>
      <c r="AK636" s="185">
        <f t="shared" si="66"/>
        <v>0</v>
      </c>
      <c r="AL636" s="186">
        <f t="shared" si="67"/>
        <v>0</v>
      </c>
    </row>
    <row r="637" spans="1:38" customFormat="1" ht="57.6" x14ac:dyDescent="0.3">
      <c r="A637" s="140" t="s">
        <v>1442</v>
      </c>
      <c r="B637" s="140">
        <v>1</v>
      </c>
      <c r="C637" s="166" t="s">
        <v>836</v>
      </c>
      <c r="D637" s="140" t="str">
        <f t="shared" si="69"/>
        <v>3</v>
      </c>
      <c r="E637" s="166" t="s">
        <v>1051</v>
      </c>
      <c r="F637" s="140">
        <f t="shared" si="71"/>
        <v>2</v>
      </c>
      <c r="G637" s="140" t="str">
        <f t="shared" si="70"/>
        <v>1.3.2</v>
      </c>
      <c r="H637" s="166" t="s">
        <v>1689</v>
      </c>
      <c r="I637" s="166" t="s">
        <v>1063</v>
      </c>
      <c r="J637" s="166" t="s">
        <v>946</v>
      </c>
      <c r="K637" s="166" t="s">
        <v>841</v>
      </c>
      <c r="L637" s="166">
        <v>0</v>
      </c>
      <c r="M637" s="166"/>
      <c r="N637" s="166"/>
      <c r="O637" s="164">
        <f t="shared" si="65"/>
        <v>0</v>
      </c>
      <c r="P637" s="166"/>
      <c r="Q637" s="166"/>
      <c r="R637" s="164">
        <f>$L637*'Pivot Objective'!$C$9*P637*Q637</f>
        <v>0</v>
      </c>
      <c r="S637" s="166"/>
      <c r="T637" s="166"/>
      <c r="U637" s="164">
        <f>($L637*'Pivot Objective'!$C$9^2)*S637*T637</f>
        <v>0</v>
      </c>
      <c r="V637" s="166"/>
      <c r="W637" s="166"/>
      <c r="X637" s="164">
        <f>($L637*'Pivot Objective'!$C$9^3)*V637*W637</f>
        <v>0</v>
      </c>
      <c r="Y637" s="166"/>
      <c r="Z637" s="166"/>
      <c r="AA637" s="164">
        <f>($L637*'Pivot Objective'!$C$9^4)*Y637*Z637</f>
        <v>0</v>
      </c>
      <c r="AB637" s="166"/>
      <c r="AC637" s="166"/>
      <c r="AD637" s="164">
        <f>($L637*'Pivot Objective'!$C$9^5)*AB637*AC637</f>
        <v>0</v>
      </c>
      <c r="AE637" s="166"/>
      <c r="AF637" s="166"/>
      <c r="AG637" s="164">
        <f>($L637*'Pivot Objective'!$C$9^6)*AE637*AF637</f>
        <v>0</v>
      </c>
      <c r="AH637" s="166"/>
      <c r="AI637" s="166"/>
      <c r="AJ637" s="164">
        <f>($L637*'Pivot Objective'!$C$9^7)*AH637*AI637</f>
        <v>0</v>
      </c>
      <c r="AK637" s="185">
        <f t="shared" si="66"/>
        <v>0</v>
      </c>
      <c r="AL637" s="186">
        <f t="shared" si="67"/>
        <v>0</v>
      </c>
    </row>
    <row r="638" spans="1:38" customFormat="1" ht="72" x14ac:dyDescent="0.3">
      <c r="A638" s="140" t="s">
        <v>1442</v>
      </c>
      <c r="B638" s="140">
        <v>1</v>
      </c>
      <c r="C638" s="166" t="s">
        <v>836</v>
      </c>
      <c r="D638" s="140" t="str">
        <f t="shared" si="69"/>
        <v>3</v>
      </c>
      <c r="E638" s="166" t="s">
        <v>1051</v>
      </c>
      <c r="F638" s="140">
        <f t="shared" si="71"/>
        <v>3</v>
      </c>
      <c r="G638" s="140" t="str">
        <f t="shared" si="70"/>
        <v>1.3.3</v>
      </c>
      <c r="H638" s="166" t="s">
        <v>1690</v>
      </c>
      <c r="I638" s="166" t="s">
        <v>1066</v>
      </c>
      <c r="J638" s="166" t="s">
        <v>1067</v>
      </c>
      <c r="K638" s="166" t="s">
        <v>709</v>
      </c>
      <c r="L638" s="166">
        <v>35000</v>
      </c>
      <c r="M638" s="166">
        <v>30</v>
      </c>
      <c r="N638" s="166">
        <v>2</v>
      </c>
      <c r="O638" s="164">
        <f t="shared" si="65"/>
        <v>2100000</v>
      </c>
      <c r="P638" s="166">
        <v>30</v>
      </c>
      <c r="Q638" s="166">
        <v>2</v>
      </c>
      <c r="R638" s="164">
        <f>$L638*'Pivot Objective'!$C$9*P638*Q638</f>
        <v>2400134.3036999996</v>
      </c>
      <c r="S638" s="166">
        <v>30</v>
      </c>
      <c r="T638" s="166">
        <v>2</v>
      </c>
      <c r="U638" s="164">
        <f>($L638*'Pivot Objective'!$C$9^2)*S638*T638</f>
        <v>2743164.1313321344</v>
      </c>
      <c r="V638" s="166">
        <v>30</v>
      </c>
      <c r="W638" s="166">
        <v>2</v>
      </c>
      <c r="X638" s="164">
        <f>($L638*'Pivot Objective'!$C$9^3)*V638*W638</f>
        <v>3135220.1582331755</v>
      </c>
      <c r="Y638" s="166">
        <v>30</v>
      </c>
      <c r="Z638" s="166">
        <v>2</v>
      </c>
      <c r="AA638" s="164">
        <f>($L638*'Pivot Objective'!$C$9^4)*Y638*Z638</f>
        <v>3583309.2625843743</v>
      </c>
      <c r="AB638" s="166">
        <v>30</v>
      </c>
      <c r="AC638" s="166">
        <v>2</v>
      </c>
      <c r="AD638" s="164">
        <f>($L638*'Pivot Objective'!$C$9^5)*AB638*AC638</f>
        <v>4095439.7532831929</v>
      </c>
      <c r="AE638" s="166">
        <v>30</v>
      </c>
      <c r="AF638" s="166">
        <v>2</v>
      </c>
      <c r="AG638" s="164">
        <f>($L638*'Pivot Objective'!$C$9^6)*AE638*AF638</f>
        <v>4680764.4955198364</v>
      </c>
      <c r="AH638" s="166">
        <v>30</v>
      </c>
      <c r="AI638" s="166">
        <v>2</v>
      </c>
      <c r="AJ638" s="164">
        <f>($L638*'Pivot Objective'!$C$9^7)*AH638*AI638</f>
        <v>5349744.4920181828</v>
      </c>
      <c r="AK638" s="185">
        <f t="shared" si="66"/>
        <v>28087776.596670892</v>
      </c>
      <c r="AL638" s="186">
        <f t="shared" si="67"/>
        <v>27269.686016185333</v>
      </c>
    </row>
    <row r="639" spans="1:38" customFormat="1" ht="72" x14ac:dyDescent="0.3">
      <c r="A639" s="140" t="s">
        <v>1442</v>
      </c>
      <c r="B639" s="140">
        <v>1</v>
      </c>
      <c r="C639" s="166" t="s">
        <v>836</v>
      </c>
      <c r="D639" s="140" t="str">
        <f t="shared" si="69"/>
        <v>3</v>
      </c>
      <c r="E639" s="166" t="s">
        <v>1051</v>
      </c>
      <c r="F639" s="140">
        <f t="shared" si="71"/>
        <v>3</v>
      </c>
      <c r="G639" s="140" t="str">
        <f t="shared" si="70"/>
        <v>1.3.3</v>
      </c>
      <c r="H639" s="166" t="s">
        <v>1690</v>
      </c>
      <c r="I639" s="166" t="s">
        <v>1066</v>
      </c>
      <c r="J639" s="166" t="s">
        <v>1067</v>
      </c>
      <c r="K639" s="166" t="s">
        <v>716</v>
      </c>
      <c r="L639" s="166">
        <v>39000</v>
      </c>
      <c r="M639" s="166">
        <v>30</v>
      </c>
      <c r="N639" s="166">
        <v>2</v>
      </c>
      <c r="O639" s="164">
        <f t="shared" si="65"/>
        <v>2340000</v>
      </c>
      <c r="P639" s="166">
        <v>30</v>
      </c>
      <c r="Q639" s="166">
        <v>2</v>
      </c>
      <c r="R639" s="164">
        <f>$L639*'Pivot Objective'!$C$9*P639*Q639</f>
        <v>2674435.3669799995</v>
      </c>
      <c r="S639" s="166">
        <v>30</v>
      </c>
      <c r="T639" s="166">
        <v>2</v>
      </c>
      <c r="U639" s="164">
        <f>($L639*'Pivot Objective'!$C$9^2)*S639*T639</f>
        <v>3056668.6034843787</v>
      </c>
      <c r="V639" s="166">
        <v>30</v>
      </c>
      <c r="W639" s="166">
        <v>2</v>
      </c>
      <c r="X639" s="164">
        <f>($L639*'Pivot Objective'!$C$9^3)*V639*W639</f>
        <v>3493531.0334598236</v>
      </c>
      <c r="Y639" s="166">
        <v>30</v>
      </c>
      <c r="Z639" s="166">
        <v>2</v>
      </c>
      <c r="AA639" s="164">
        <f>($L639*'Pivot Objective'!$C$9^4)*Y639*Z639</f>
        <v>3992830.3211654453</v>
      </c>
      <c r="AB639" s="166">
        <v>30</v>
      </c>
      <c r="AC639" s="166">
        <v>2</v>
      </c>
      <c r="AD639" s="164">
        <f>($L639*'Pivot Objective'!$C$9^5)*AB639*AC639</f>
        <v>4563490.0108012725</v>
      </c>
      <c r="AE639" s="166">
        <v>30</v>
      </c>
      <c r="AF639" s="166">
        <v>2</v>
      </c>
      <c r="AG639" s="164">
        <f>($L639*'Pivot Objective'!$C$9^6)*AE639*AF639</f>
        <v>5215709.009293532</v>
      </c>
      <c r="AH639" s="166">
        <v>30</v>
      </c>
      <c r="AI639" s="166">
        <v>2</v>
      </c>
      <c r="AJ639" s="164">
        <f>($L639*'Pivot Objective'!$C$9^7)*AH639*AI639</f>
        <v>5961143.8625345463</v>
      </c>
      <c r="AK639" s="185">
        <f t="shared" si="66"/>
        <v>31297808.207718998</v>
      </c>
      <c r="AL639" s="186">
        <f t="shared" si="67"/>
        <v>30386.221560892231</v>
      </c>
    </row>
    <row r="640" spans="1:38" customFormat="1" ht="72" x14ac:dyDescent="0.3">
      <c r="A640" s="140" t="s">
        <v>1442</v>
      </c>
      <c r="B640" s="140">
        <v>1</v>
      </c>
      <c r="C640" s="166" t="s">
        <v>836</v>
      </c>
      <c r="D640" s="140" t="str">
        <f t="shared" si="69"/>
        <v>3</v>
      </c>
      <c r="E640" s="166" t="s">
        <v>1051</v>
      </c>
      <c r="F640" s="140">
        <f t="shared" si="71"/>
        <v>3</v>
      </c>
      <c r="G640" s="140" t="str">
        <f t="shared" si="70"/>
        <v>1.3.3</v>
      </c>
      <c r="H640" s="166" t="s">
        <v>1690</v>
      </c>
      <c r="I640" s="166" t="s">
        <v>1066</v>
      </c>
      <c r="J640" s="166" t="s">
        <v>1067</v>
      </c>
      <c r="K640" s="166" t="s">
        <v>712</v>
      </c>
      <c r="L640" s="166">
        <f>1480/7</f>
        <v>211.42857142857142</v>
      </c>
      <c r="M640" s="166">
        <f>2*25*9</f>
        <v>450</v>
      </c>
      <c r="N640" s="166">
        <v>2</v>
      </c>
      <c r="O640" s="164">
        <f t="shared" si="65"/>
        <v>190285.71428571426</v>
      </c>
      <c r="P640" s="166">
        <f>2*25*9</f>
        <v>450</v>
      </c>
      <c r="Q640" s="166">
        <v>2</v>
      </c>
      <c r="R640" s="164">
        <f>$L640*'Pivot Objective'!$C$9*P640*Q640</f>
        <v>217481.55731485711</v>
      </c>
      <c r="S640" s="166">
        <f>2*25*9</f>
        <v>450</v>
      </c>
      <c r="T640" s="166">
        <v>2</v>
      </c>
      <c r="U640" s="164">
        <f>($L640*'Pivot Objective'!$C$9^2)*S640*T640</f>
        <v>248564.26006356487</v>
      </c>
      <c r="V640" s="166">
        <f>2*25*9</f>
        <v>450</v>
      </c>
      <c r="W640" s="166">
        <v>2</v>
      </c>
      <c r="X640" s="164">
        <f>($L640*'Pivot Objective'!$C$9^3)*V640*W640</f>
        <v>284089.33678684279</v>
      </c>
      <c r="Y640" s="166">
        <f>2*25*9</f>
        <v>450</v>
      </c>
      <c r="Z640" s="166">
        <v>2</v>
      </c>
      <c r="AA640" s="164">
        <f>($L640*'Pivot Objective'!$C$9^4)*Y640*Z640</f>
        <v>324691.6964464208</v>
      </c>
      <c r="AB640" s="166">
        <f>2*25*9</f>
        <v>450</v>
      </c>
      <c r="AC640" s="166">
        <v>2</v>
      </c>
      <c r="AD640" s="164">
        <f>($L640*'Pivot Objective'!$C$9^5)*AB640*AC640</f>
        <v>371096.98988933425</v>
      </c>
      <c r="AE640" s="166">
        <f>2*25*9</f>
        <v>450</v>
      </c>
      <c r="AF640" s="166">
        <v>2</v>
      </c>
      <c r="AG640" s="164">
        <f>($L640*'Pivot Objective'!$C$9^6)*AE640*AF640</f>
        <v>424134.5787777158</v>
      </c>
      <c r="AH640" s="166">
        <f>2*25*9</f>
        <v>450</v>
      </c>
      <c r="AI640" s="166">
        <v>2</v>
      </c>
      <c r="AJ640" s="164">
        <f>($L640*'Pivot Objective'!$C$9^7)*AH640*AI640</f>
        <v>484752.35805225978</v>
      </c>
      <c r="AK640" s="185">
        <f t="shared" si="66"/>
        <v>2545096.4916167096</v>
      </c>
      <c r="AL640" s="186">
        <f t="shared" si="67"/>
        <v>2470.9674675890383</v>
      </c>
    </row>
    <row r="641" spans="1:38" customFormat="1" ht="72" x14ac:dyDescent="0.3">
      <c r="A641" s="140" t="s">
        <v>1442</v>
      </c>
      <c r="B641" s="140">
        <v>1</v>
      </c>
      <c r="C641" s="166" t="s">
        <v>836</v>
      </c>
      <c r="D641" s="140" t="str">
        <f t="shared" si="69"/>
        <v>3</v>
      </c>
      <c r="E641" s="166" t="s">
        <v>1051</v>
      </c>
      <c r="F641" s="140">
        <f t="shared" si="71"/>
        <v>3</v>
      </c>
      <c r="G641" s="140" t="str">
        <f t="shared" si="70"/>
        <v>1.3.3</v>
      </c>
      <c r="H641" s="166" t="s">
        <v>1690</v>
      </c>
      <c r="I641" s="166" t="s">
        <v>1066</v>
      </c>
      <c r="J641" s="166" t="s">
        <v>1067</v>
      </c>
      <c r="K641" s="166" t="s">
        <v>1320</v>
      </c>
      <c r="L641" s="166">
        <f>1480/7</f>
        <v>211.42857142857142</v>
      </c>
      <c r="M641" s="166">
        <f>2*135*9</f>
        <v>2430</v>
      </c>
      <c r="N641" s="166">
        <v>2</v>
      </c>
      <c r="O641" s="164">
        <f t="shared" si="65"/>
        <v>1027542.857142857</v>
      </c>
      <c r="P641" s="166">
        <f>2*135*9</f>
        <v>2430</v>
      </c>
      <c r="Q641" s="166">
        <v>2</v>
      </c>
      <c r="R641" s="164">
        <f>$L641*'Pivot Objective'!$C$9*P641*Q641</f>
        <v>1174400.4095002285</v>
      </c>
      <c r="S641" s="166">
        <f>2*135*9</f>
        <v>2430</v>
      </c>
      <c r="T641" s="166">
        <v>2</v>
      </c>
      <c r="U641" s="164">
        <f>($L641*'Pivot Objective'!$C$9^2)*S641*T641</f>
        <v>1342247.0043432503</v>
      </c>
      <c r="V641" s="166">
        <f>2*135*9</f>
        <v>2430</v>
      </c>
      <c r="W641" s="166">
        <v>2</v>
      </c>
      <c r="X641" s="164">
        <f>($L641*'Pivot Objective'!$C$9^3)*V641*W641</f>
        <v>1534082.418648951</v>
      </c>
      <c r="Y641" s="166">
        <f>2*135*9</f>
        <v>2430</v>
      </c>
      <c r="Z641" s="166">
        <v>2</v>
      </c>
      <c r="AA641" s="164">
        <f>($L641*'Pivot Objective'!$C$9^4)*Y641*Z641</f>
        <v>1753335.1608106722</v>
      </c>
      <c r="AB641" s="166">
        <f>2*135*9</f>
        <v>2430</v>
      </c>
      <c r="AC641" s="166">
        <v>2</v>
      </c>
      <c r="AD641" s="164">
        <f>($L641*'Pivot Objective'!$C$9^5)*AB641*AC641</f>
        <v>2003923.745402405</v>
      </c>
      <c r="AE641" s="166">
        <f>2*135*9</f>
        <v>2430</v>
      </c>
      <c r="AF641" s="166">
        <v>2</v>
      </c>
      <c r="AG641" s="164">
        <f>($L641*'Pivot Objective'!$C$9^6)*AE641*AF641</f>
        <v>2290326.7253996651</v>
      </c>
      <c r="AH641" s="166">
        <f>2*135*9</f>
        <v>2430</v>
      </c>
      <c r="AI641" s="166">
        <v>2</v>
      </c>
      <c r="AJ641" s="164">
        <f>($L641*'Pivot Objective'!$C$9^7)*AH641*AI641</f>
        <v>2617662.733482203</v>
      </c>
      <c r="AK641" s="185">
        <f t="shared" si="66"/>
        <v>13743521.054730233</v>
      </c>
      <c r="AL641" s="186">
        <f t="shared" si="67"/>
        <v>13343.224324980809</v>
      </c>
    </row>
    <row r="642" spans="1:38" customFormat="1" ht="72" x14ac:dyDescent="0.3">
      <c r="A642" s="140" t="s">
        <v>1442</v>
      </c>
      <c r="B642" s="140">
        <v>1</v>
      </c>
      <c r="C642" s="166" t="s">
        <v>836</v>
      </c>
      <c r="D642" s="140" t="str">
        <f t="shared" si="69"/>
        <v>3</v>
      </c>
      <c r="E642" s="166" t="s">
        <v>1051</v>
      </c>
      <c r="F642" s="140">
        <f t="shared" si="71"/>
        <v>3</v>
      </c>
      <c r="G642" s="140" t="str">
        <f t="shared" si="70"/>
        <v>1.3.3</v>
      </c>
      <c r="H642" s="166" t="s">
        <v>1690</v>
      </c>
      <c r="I642" s="166" t="s">
        <v>1068</v>
      </c>
      <c r="J642" s="166" t="s">
        <v>1069</v>
      </c>
      <c r="K642" s="166" t="s">
        <v>709</v>
      </c>
      <c r="L642" s="166">
        <v>35000</v>
      </c>
      <c r="M642" s="166">
        <v>50</v>
      </c>
      <c r="N642" s="166">
        <v>4</v>
      </c>
      <c r="O642" s="164">
        <f t="shared" si="65"/>
        <v>7000000</v>
      </c>
      <c r="P642" s="166">
        <v>50</v>
      </c>
      <c r="Q642" s="166">
        <v>4</v>
      </c>
      <c r="R642" s="164">
        <f>$L642*'Pivot Objective'!$C$9*P642*Q642</f>
        <v>8000447.6789999986</v>
      </c>
      <c r="S642" s="166">
        <v>50</v>
      </c>
      <c r="T642" s="166">
        <v>4</v>
      </c>
      <c r="U642" s="164">
        <f>($L642*'Pivot Objective'!$C$9^2)*S642*T642</f>
        <v>9143880.4377737828</v>
      </c>
      <c r="V642" s="166">
        <v>50</v>
      </c>
      <c r="W642" s="166">
        <v>4</v>
      </c>
      <c r="X642" s="164">
        <f>($L642*'Pivot Objective'!$C$9^3)*V642*W642</f>
        <v>10450733.860777251</v>
      </c>
      <c r="Y642" s="166">
        <v>50</v>
      </c>
      <c r="Z642" s="166">
        <v>4</v>
      </c>
      <c r="AA642" s="164">
        <f>($L642*'Pivot Objective'!$C$9^4)*Y642*Z642</f>
        <v>11944364.20861458</v>
      </c>
      <c r="AB642" s="166">
        <v>50</v>
      </c>
      <c r="AC642" s="166">
        <v>4</v>
      </c>
      <c r="AD642" s="164">
        <f>($L642*'Pivot Objective'!$C$9^5)*AB642*AC642</f>
        <v>13651465.844277309</v>
      </c>
      <c r="AE642" s="166">
        <v>50</v>
      </c>
      <c r="AF642" s="166">
        <v>4</v>
      </c>
      <c r="AG642" s="164">
        <f>($L642*'Pivot Objective'!$C$9^6)*AE642*AF642</f>
        <v>15602548.318399454</v>
      </c>
      <c r="AH642" s="166">
        <v>50</v>
      </c>
      <c r="AI642" s="166">
        <v>4</v>
      </c>
      <c r="AJ642" s="164">
        <f>($L642*'Pivot Objective'!$C$9^7)*AH642*AI642</f>
        <v>17832481.640060611</v>
      </c>
      <c r="AK642" s="185">
        <f t="shared" si="66"/>
        <v>93625921.988902986</v>
      </c>
      <c r="AL642" s="186">
        <f t="shared" si="67"/>
        <v>90898.953387284448</v>
      </c>
    </row>
    <row r="643" spans="1:38" customFormat="1" ht="57.6" x14ac:dyDescent="0.3">
      <c r="A643" s="140" t="s">
        <v>1442</v>
      </c>
      <c r="B643" s="140">
        <v>1</v>
      </c>
      <c r="C643" s="166" t="s">
        <v>836</v>
      </c>
      <c r="D643" s="140" t="str">
        <f t="shared" si="69"/>
        <v>3</v>
      </c>
      <c r="E643" s="166" t="s">
        <v>1051</v>
      </c>
      <c r="F643" s="140">
        <f t="shared" si="71"/>
        <v>4</v>
      </c>
      <c r="G643" s="140" t="str">
        <f t="shared" si="70"/>
        <v>1.3.4</v>
      </c>
      <c r="H643" s="166" t="s">
        <v>1070</v>
      </c>
      <c r="I643" s="166" t="s">
        <v>1071</v>
      </c>
      <c r="J643" s="166" t="s">
        <v>1072</v>
      </c>
      <c r="K643" s="166" t="s">
        <v>841</v>
      </c>
      <c r="L643" s="166">
        <v>0</v>
      </c>
      <c r="M643" s="166">
        <v>40</v>
      </c>
      <c r="N643" s="166">
        <v>1</v>
      </c>
      <c r="O643" s="164">
        <f t="shared" ref="O643:O706" si="72">$L643*M643*N643</f>
        <v>0</v>
      </c>
      <c r="P643" s="166"/>
      <c r="Q643" s="166"/>
      <c r="R643" s="164">
        <f>$L643*'Pivot Objective'!$C$9*P643*Q643</f>
        <v>0</v>
      </c>
      <c r="S643" s="166"/>
      <c r="T643" s="166"/>
      <c r="U643" s="164">
        <f>($L643*'Pivot Objective'!$C$9^2)*S643*T643</f>
        <v>0</v>
      </c>
      <c r="V643" s="166"/>
      <c r="W643" s="166"/>
      <c r="X643" s="164">
        <f>($L643*'Pivot Objective'!$C$9^3)*V643*W643</f>
        <v>0</v>
      </c>
      <c r="Y643" s="166"/>
      <c r="Z643" s="166"/>
      <c r="AA643" s="164">
        <f>($L643*'Pivot Objective'!$C$9^4)*Y643*Z643</f>
        <v>0</v>
      </c>
      <c r="AB643" s="166">
        <v>40</v>
      </c>
      <c r="AC643" s="166">
        <v>1</v>
      </c>
      <c r="AD643" s="164">
        <f>($L643*'Pivot Objective'!$C$9^5)*AB643*AC643</f>
        <v>0</v>
      </c>
      <c r="AE643" s="166"/>
      <c r="AF643" s="166"/>
      <c r="AG643" s="164">
        <f>($L643*'Pivot Objective'!$C$9^6)*AE643*AF643</f>
        <v>0</v>
      </c>
      <c r="AH643" s="166"/>
      <c r="AI643" s="166"/>
      <c r="AJ643" s="164">
        <f>($L643*'Pivot Objective'!$C$9^7)*AH643*AI643</f>
        <v>0</v>
      </c>
      <c r="AK643" s="185">
        <f t="shared" ref="AK643:AK706" si="73">O643+R643+U643+X643+AA643+AD643+AG643+AJ643</f>
        <v>0</v>
      </c>
      <c r="AL643" s="186">
        <f t="shared" ref="AL643:AL706" si="74">AK643/$AP$2</f>
        <v>0</v>
      </c>
    </row>
    <row r="644" spans="1:38" customFormat="1" ht="57.6" x14ac:dyDescent="0.3">
      <c r="A644" s="140" t="s">
        <v>1442</v>
      </c>
      <c r="B644" s="140">
        <v>1</v>
      </c>
      <c r="C644" s="166" t="s">
        <v>836</v>
      </c>
      <c r="D644" s="140" t="str">
        <f t="shared" si="69"/>
        <v>3</v>
      </c>
      <c r="E644" s="166" t="s">
        <v>1051</v>
      </c>
      <c r="F644" s="140">
        <f t="shared" si="71"/>
        <v>4</v>
      </c>
      <c r="G644" s="140" t="str">
        <f t="shared" si="70"/>
        <v>1.3.4</v>
      </c>
      <c r="H644" s="166" t="s">
        <v>1070</v>
      </c>
      <c r="I644" s="166" t="s">
        <v>1071</v>
      </c>
      <c r="J644" s="166" t="s">
        <v>149</v>
      </c>
      <c r="K644" s="166" t="s">
        <v>707</v>
      </c>
      <c r="L644" s="166">
        <v>391991.03749999998</v>
      </c>
      <c r="M644" s="166">
        <v>2</v>
      </c>
      <c r="N644" s="166">
        <v>2</v>
      </c>
      <c r="O644" s="164">
        <f t="shared" si="72"/>
        <v>1567964.15</v>
      </c>
      <c r="P644" s="166"/>
      <c r="Q644" s="166"/>
      <c r="R644" s="164">
        <f>$L644*'Pivot Objective'!$C$9*P644*Q644</f>
        <v>0</v>
      </c>
      <c r="S644" s="166"/>
      <c r="T644" s="166"/>
      <c r="U644" s="164">
        <f>($L644*'Pivot Objective'!$C$9^2)*S644*T644</f>
        <v>0</v>
      </c>
      <c r="V644" s="166"/>
      <c r="W644" s="166"/>
      <c r="X644" s="164">
        <f>($L644*'Pivot Objective'!$C$9^3)*V644*W644</f>
        <v>0</v>
      </c>
      <c r="Y644" s="166"/>
      <c r="Z644" s="166"/>
      <c r="AA644" s="164">
        <f>($L644*'Pivot Objective'!$C$9^4)*Y644*Z644</f>
        <v>0</v>
      </c>
      <c r="AB644" s="166">
        <v>2</v>
      </c>
      <c r="AC644" s="166">
        <v>2</v>
      </c>
      <c r="AD644" s="164">
        <f>($L644*'Pivot Objective'!$C$9^5)*AB644*AC644</f>
        <v>3057858.4341109009</v>
      </c>
      <c r="AE644" s="166"/>
      <c r="AF644" s="166"/>
      <c r="AG644" s="164">
        <f>($L644*'Pivot Objective'!$C$9^6)*AE644*AF644</f>
        <v>0</v>
      </c>
      <c r="AH644" s="166"/>
      <c r="AI644" s="166"/>
      <c r="AJ644" s="164">
        <f>($L644*'Pivot Objective'!$C$9^7)*AH644*AI644</f>
        <v>0</v>
      </c>
      <c r="AK644" s="185">
        <f t="shared" si="73"/>
        <v>4625822.5841109008</v>
      </c>
      <c r="AL644" s="186">
        <f t="shared" si="74"/>
        <v>4491.0898874863115</v>
      </c>
    </row>
    <row r="645" spans="1:38" customFormat="1" ht="57.6" x14ac:dyDescent="0.3">
      <c r="A645" s="140" t="s">
        <v>1442</v>
      </c>
      <c r="B645" s="140">
        <v>1</v>
      </c>
      <c r="C645" s="166" t="s">
        <v>836</v>
      </c>
      <c r="D645" s="140" t="str">
        <f t="shared" si="69"/>
        <v>3</v>
      </c>
      <c r="E645" s="166" t="s">
        <v>1051</v>
      </c>
      <c r="F645" s="140">
        <f t="shared" si="71"/>
        <v>4</v>
      </c>
      <c r="G645" s="140" t="str">
        <f t="shared" si="70"/>
        <v>1.3.4</v>
      </c>
      <c r="H645" s="166" t="s">
        <v>1070</v>
      </c>
      <c r="I645" s="166" t="s">
        <v>1071</v>
      </c>
      <c r="J645" s="166" t="s">
        <v>149</v>
      </c>
      <c r="K645" s="166" t="s">
        <v>708</v>
      </c>
      <c r="L645" s="166">
        <f>980*1022</f>
        <v>1001560</v>
      </c>
      <c r="M645" s="166">
        <v>1</v>
      </c>
      <c r="N645" s="166">
        <v>25</v>
      </c>
      <c r="O645" s="164">
        <f t="shared" si="72"/>
        <v>25039000</v>
      </c>
      <c r="P645" s="166"/>
      <c r="Q645" s="166"/>
      <c r="R645" s="164">
        <f>$L645*'Pivot Objective'!$C$9*P645*Q645</f>
        <v>0</v>
      </c>
      <c r="S645" s="166"/>
      <c r="T645" s="166"/>
      <c r="U645" s="164">
        <f>($L645*'Pivot Objective'!$C$9^2)*S645*T645</f>
        <v>0</v>
      </c>
      <c r="V645" s="166"/>
      <c r="W645" s="166"/>
      <c r="X645" s="164">
        <f>($L645*'Pivot Objective'!$C$9^3)*V645*W645</f>
        <v>0</v>
      </c>
      <c r="Y645" s="166"/>
      <c r="Z645" s="166"/>
      <c r="AA645" s="164">
        <f>($L645*'Pivot Objective'!$C$9^4)*Y645*Z645</f>
        <v>0</v>
      </c>
      <c r="AB645" s="166">
        <v>1</v>
      </c>
      <c r="AC645" s="166">
        <v>25</v>
      </c>
      <c r="AD645" s="164">
        <f>($L645*'Pivot Objective'!$C$9^5)*AB645*AC645</f>
        <v>48831293.324979939</v>
      </c>
      <c r="AE645" s="166"/>
      <c r="AF645" s="166"/>
      <c r="AG645" s="164">
        <f>($L645*'Pivot Objective'!$C$9^6)*AE645*AF645</f>
        <v>0</v>
      </c>
      <c r="AH645" s="166"/>
      <c r="AI645" s="166"/>
      <c r="AJ645" s="164">
        <f>($L645*'Pivot Objective'!$C$9^7)*AH645*AI645</f>
        <v>0</v>
      </c>
      <c r="AK645" s="185">
        <f t="shared" si="73"/>
        <v>73870293.324979931</v>
      </c>
      <c r="AL645" s="186">
        <f t="shared" si="74"/>
        <v>71718.731383475664</v>
      </c>
    </row>
    <row r="646" spans="1:38" customFormat="1" ht="57.6" x14ac:dyDescent="0.3">
      <c r="A646" s="140" t="s">
        <v>1442</v>
      </c>
      <c r="B646" s="140">
        <v>1</v>
      </c>
      <c r="C646" s="166" t="s">
        <v>836</v>
      </c>
      <c r="D646" s="140" t="str">
        <f t="shared" si="69"/>
        <v>3</v>
      </c>
      <c r="E646" s="166" t="s">
        <v>1051</v>
      </c>
      <c r="F646" s="140">
        <f t="shared" si="71"/>
        <v>4</v>
      </c>
      <c r="G646" s="140" t="str">
        <f t="shared" si="70"/>
        <v>1.3.4</v>
      </c>
      <c r="H646" s="166" t="s">
        <v>1070</v>
      </c>
      <c r="I646" s="166" t="s">
        <v>1071</v>
      </c>
      <c r="J646" s="166" t="s">
        <v>895</v>
      </c>
      <c r="K646" s="166" t="s">
        <v>841</v>
      </c>
      <c r="L646" s="166">
        <v>0</v>
      </c>
      <c r="M646" s="166">
        <v>0</v>
      </c>
      <c r="N646" s="166">
        <v>0</v>
      </c>
      <c r="O646" s="164">
        <f t="shared" si="72"/>
        <v>0</v>
      </c>
      <c r="P646" s="166"/>
      <c r="Q646" s="166"/>
      <c r="R646" s="164">
        <f>$L646*'Pivot Objective'!$C$9*P646*Q646</f>
        <v>0</v>
      </c>
      <c r="S646" s="166"/>
      <c r="T646" s="166"/>
      <c r="U646" s="164">
        <f>($L646*'Pivot Objective'!$C$9^2)*S646*T646</f>
        <v>0</v>
      </c>
      <c r="V646" s="166"/>
      <c r="W646" s="166"/>
      <c r="X646" s="164">
        <f>($L646*'Pivot Objective'!$C$9^3)*V646*W646</f>
        <v>0</v>
      </c>
      <c r="Y646" s="166"/>
      <c r="Z646" s="166"/>
      <c r="AA646" s="164">
        <f>($L646*'Pivot Objective'!$C$9^4)*Y646*Z646</f>
        <v>0</v>
      </c>
      <c r="AB646" s="166">
        <v>0</v>
      </c>
      <c r="AC646" s="166">
        <v>0</v>
      </c>
      <c r="AD646" s="164">
        <f>($L646*'Pivot Objective'!$C$9^5)*AB646*AC646</f>
        <v>0</v>
      </c>
      <c r="AE646" s="166"/>
      <c r="AF646" s="166"/>
      <c r="AG646" s="164">
        <f>($L646*'Pivot Objective'!$C$9^6)*AE646*AF646</f>
        <v>0</v>
      </c>
      <c r="AH646" s="166"/>
      <c r="AI646" s="166"/>
      <c r="AJ646" s="164">
        <f>($L646*'Pivot Objective'!$C$9^7)*AH646*AI646</f>
        <v>0</v>
      </c>
      <c r="AK646" s="185">
        <f t="shared" si="73"/>
        <v>0</v>
      </c>
      <c r="AL646" s="186">
        <f t="shared" si="74"/>
        <v>0</v>
      </c>
    </row>
    <row r="647" spans="1:38" customFormat="1" ht="57.6" x14ac:dyDescent="0.3">
      <c r="A647" s="140" t="s">
        <v>1442</v>
      </c>
      <c r="B647" s="140">
        <v>1</v>
      </c>
      <c r="C647" s="166" t="s">
        <v>836</v>
      </c>
      <c r="D647" s="140" t="str">
        <f t="shared" si="69"/>
        <v>3</v>
      </c>
      <c r="E647" s="166" t="s">
        <v>1051</v>
      </c>
      <c r="F647" s="140">
        <f t="shared" ref="F647:F674" si="75">IF(H647=H646,F646,F646+1)</f>
        <v>4</v>
      </c>
      <c r="G647" s="140" t="str">
        <f t="shared" si="70"/>
        <v>1.3.4</v>
      </c>
      <c r="H647" s="166" t="s">
        <v>1070</v>
      </c>
      <c r="I647" s="166" t="s">
        <v>1071</v>
      </c>
      <c r="J647" s="166" t="s">
        <v>912</v>
      </c>
      <c r="K647" s="166" t="s">
        <v>841</v>
      </c>
      <c r="L647" s="166">
        <v>0</v>
      </c>
      <c r="M647" s="166">
        <v>0</v>
      </c>
      <c r="N647" s="166">
        <v>0</v>
      </c>
      <c r="O647" s="164">
        <f t="shared" si="72"/>
        <v>0</v>
      </c>
      <c r="P647" s="166"/>
      <c r="Q647" s="166"/>
      <c r="R647" s="164">
        <f>$L647*'Pivot Objective'!$C$9*P647*Q647</f>
        <v>0</v>
      </c>
      <c r="S647" s="166"/>
      <c r="T647" s="166"/>
      <c r="U647" s="164">
        <f>($L647*'Pivot Objective'!$C$9^2)*S647*T647</f>
        <v>0</v>
      </c>
      <c r="V647" s="166"/>
      <c r="W647" s="166"/>
      <c r="X647" s="164">
        <f>($L647*'Pivot Objective'!$C$9^3)*V647*W647</f>
        <v>0</v>
      </c>
      <c r="Y647" s="166"/>
      <c r="Z647" s="166"/>
      <c r="AA647" s="164">
        <f>($L647*'Pivot Objective'!$C$9^4)*Y647*Z647</f>
        <v>0</v>
      </c>
      <c r="AB647" s="166">
        <v>0</v>
      </c>
      <c r="AC647" s="166">
        <v>0</v>
      </c>
      <c r="AD647" s="164">
        <f>($L647*'Pivot Objective'!$C$9^5)*AB647*AC647</f>
        <v>0</v>
      </c>
      <c r="AE647" s="166"/>
      <c r="AF647" s="166"/>
      <c r="AG647" s="164">
        <f>($L647*'Pivot Objective'!$C$9^6)*AE647*AF647</f>
        <v>0</v>
      </c>
      <c r="AH647" s="166"/>
      <c r="AI647" s="166"/>
      <c r="AJ647" s="164">
        <f>($L647*'Pivot Objective'!$C$9^7)*AH647*AI647</f>
        <v>0</v>
      </c>
      <c r="AK647" s="185">
        <f t="shared" si="73"/>
        <v>0</v>
      </c>
      <c r="AL647" s="186">
        <f t="shared" si="74"/>
        <v>0</v>
      </c>
    </row>
    <row r="648" spans="1:38" customFormat="1" ht="57.6" x14ac:dyDescent="0.3">
      <c r="A648" s="140" t="s">
        <v>1442</v>
      </c>
      <c r="B648" s="140">
        <v>1</v>
      </c>
      <c r="C648" s="166" t="s">
        <v>836</v>
      </c>
      <c r="D648" s="140" t="str">
        <f t="shared" si="69"/>
        <v>3</v>
      </c>
      <c r="E648" s="166" t="s">
        <v>1051</v>
      </c>
      <c r="F648" s="140">
        <f t="shared" si="75"/>
        <v>4</v>
      </c>
      <c r="G648" s="140" t="str">
        <f t="shared" si="70"/>
        <v>1.3.4</v>
      </c>
      <c r="H648" s="166" t="s">
        <v>1070</v>
      </c>
      <c r="I648" s="166" t="s">
        <v>1071</v>
      </c>
      <c r="J648" s="166" t="s">
        <v>1026</v>
      </c>
      <c r="K648" s="166" t="s">
        <v>709</v>
      </c>
      <c r="L648" s="166">
        <v>35000</v>
      </c>
      <c r="M648" s="166">
        <v>10</v>
      </c>
      <c r="N648" s="166">
        <v>1</v>
      </c>
      <c r="O648" s="164">
        <f t="shared" si="72"/>
        <v>350000</v>
      </c>
      <c r="P648" s="166"/>
      <c r="Q648" s="166"/>
      <c r="R648" s="164">
        <f>$L648*'Pivot Objective'!$C$9*P648*Q648</f>
        <v>0</v>
      </c>
      <c r="S648" s="166"/>
      <c r="T648" s="166"/>
      <c r="U648" s="164">
        <f>($L648*'Pivot Objective'!$C$9^2)*S648*T648</f>
        <v>0</v>
      </c>
      <c r="V648" s="166"/>
      <c r="W648" s="166"/>
      <c r="X648" s="164">
        <f>($L648*'Pivot Objective'!$C$9^3)*V648*W648</f>
        <v>0</v>
      </c>
      <c r="Y648" s="166"/>
      <c r="Z648" s="166"/>
      <c r="AA648" s="164">
        <f>($L648*'Pivot Objective'!$C$9^4)*Y648*Z648</f>
        <v>0</v>
      </c>
      <c r="AB648" s="166">
        <v>10</v>
      </c>
      <c r="AC648" s="166">
        <v>1</v>
      </c>
      <c r="AD648" s="164">
        <f>($L648*'Pivot Objective'!$C$9^5)*AB648*AC648</f>
        <v>682573.29221386556</v>
      </c>
      <c r="AE648" s="166"/>
      <c r="AF648" s="166"/>
      <c r="AG648" s="164">
        <f>($L648*'Pivot Objective'!$C$9^6)*AE648*AF648</f>
        <v>0</v>
      </c>
      <c r="AH648" s="166"/>
      <c r="AI648" s="166"/>
      <c r="AJ648" s="164">
        <f>($L648*'Pivot Objective'!$C$9^7)*AH648*AI648</f>
        <v>0</v>
      </c>
      <c r="AK648" s="185">
        <f t="shared" si="73"/>
        <v>1032573.2922138656</v>
      </c>
      <c r="AL648" s="186">
        <f t="shared" si="74"/>
        <v>1002.4983419552093</v>
      </c>
    </row>
    <row r="649" spans="1:38" customFormat="1" ht="57.6" x14ac:dyDescent="0.3">
      <c r="A649" s="140" t="s">
        <v>1442</v>
      </c>
      <c r="B649" s="140">
        <v>1</v>
      </c>
      <c r="C649" s="166" t="s">
        <v>836</v>
      </c>
      <c r="D649" s="140" t="str">
        <f t="shared" si="69"/>
        <v>3</v>
      </c>
      <c r="E649" s="166" t="s">
        <v>1051</v>
      </c>
      <c r="F649" s="140">
        <f t="shared" si="75"/>
        <v>4</v>
      </c>
      <c r="G649" s="140" t="str">
        <f t="shared" si="70"/>
        <v>1.3.4</v>
      </c>
      <c r="H649" s="166" t="s">
        <v>1070</v>
      </c>
      <c r="I649" s="166" t="s">
        <v>1071</v>
      </c>
      <c r="J649" s="166" t="s">
        <v>1026</v>
      </c>
      <c r="K649" s="166" t="s">
        <v>1297</v>
      </c>
      <c r="L649" s="166">
        <v>8000</v>
      </c>
      <c r="M649" s="166">
        <v>10</v>
      </c>
      <c r="N649" s="166">
        <v>1</v>
      </c>
      <c r="O649" s="164">
        <f t="shared" si="72"/>
        <v>80000</v>
      </c>
      <c r="P649" s="166"/>
      <c r="Q649" s="166"/>
      <c r="R649" s="164">
        <f>$L649*'Pivot Objective'!$C$9*P649*Q649</f>
        <v>0</v>
      </c>
      <c r="S649" s="166"/>
      <c r="T649" s="166"/>
      <c r="U649" s="164">
        <f>($L649*'Pivot Objective'!$C$9^2)*S649*T649</f>
        <v>0</v>
      </c>
      <c r="V649" s="166"/>
      <c r="W649" s="166"/>
      <c r="X649" s="164">
        <f>($L649*'Pivot Objective'!$C$9^3)*V649*W649</f>
        <v>0</v>
      </c>
      <c r="Y649" s="166"/>
      <c r="Z649" s="166"/>
      <c r="AA649" s="164">
        <f>($L649*'Pivot Objective'!$C$9^4)*Y649*Z649</f>
        <v>0</v>
      </c>
      <c r="AB649" s="166">
        <v>10</v>
      </c>
      <c r="AC649" s="166">
        <v>1</v>
      </c>
      <c r="AD649" s="164">
        <f>($L649*'Pivot Objective'!$C$9^5)*AB649*AC649</f>
        <v>156016.75250602642</v>
      </c>
      <c r="AE649" s="166"/>
      <c r="AF649" s="166"/>
      <c r="AG649" s="164">
        <f>($L649*'Pivot Objective'!$C$9^6)*AE649*AF649</f>
        <v>0</v>
      </c>
      <c r="AH649" s="166"/>
      <c r="AI649" s="166"/>
      <c r="AJ649" s="164">
        <f>($L649*'Pivot Objective'!$C$9^7)*AH649*AI649</f>
        <v>0</v>
      </c>
      <c r="AK649" s="185">
        <f t="shared" si="73"/>
        <v>236016.75250602642</v>
      </c>
      <c r="AL649" s="186">
        <f t="shared" si="74"/>
        <v>229.1424781611907</v>
      </c>
    </row>
    <row r="650" spans="1:38" customFormat="1" ht="57.6" x14ac:dyDescent="0.3">
      <c r="A650" s="140" t="s">
        <v>1442</v>
      </c>
      <c r="B650" s="140">
        <v>1</v>
      </c>
      <c r="C650" s="166" t="s">
        <v>836</v>
      </c>
      <c r="D650" s="140" t="str">
        <f t="shared" si="69"/>
        <v>3</v>
      </c>
      <c r="E650" s="166" t="s">
        <v>1051</v>
      </c>
      <c r="F650" s="140">
        <f t="shared" si="75"/>
        <v>4</v>
      </c>
      <c r="G650" s="140" t="str">
        <f t="shared" si="70"/>
        <v>1.3.4</v>
      </c>
      <c r="H650" s="166" t="s">
        <v>1070</v>
      </c>
      <c r="I650" s="166" t="s">
        <v>1071</v>
      </c>
      <c r="J650" s="166" t="s">
        <v>1026</v>
      </c>
      <c r="K650" s="166" t="s">
        <v>710</v>
      </c>
      <c r="L650" s="166">
        <v>104850</v>
      </c>
      <c r="M650" s="166">
        <v>1</v>
      </c>
      <c r="N650" s="166">
        <v>1</v>
      </c>
      <c r="O650" s="164">
        <f t="shared" si="72"/>
        <v>104850</v>
      </c>
      <c r="P650" s="166"/>
      <c r="Q650" s="166"/>
      <c r="R650" s="164">
        <f>$L650*'Pivot Objective'!$C$9*P650*Q650</f>
        <v>0</v>
      </c>
      <c r="S650" s="166"/>
      <c r="T650" s="166"/>
      <c r="U650" s="164">
        <f>($L650*'Pivot Objective'!$C$9^2)*S650*T650</f>
        <v>0</v>
      </c>
      <c r="V650" s="166"/>
      <c r="W650" s="166"/>
      <c r="X650" s="164">
        <f>($L650*'Pivot Objective'!$C$9^3)*V650*W650</f>
        <v>0</v>
      </c>
      <c r="Y650" s="166"/>
      <c r="Z650" s="166"/>
      <c r="AA650" s="164">
        <f>($L650*'Pivot Objective'!$C$9^4)*Y650*Z650</f>
        <v>0</v>
      </c>
      <c r="AB650" s="166">
        <v>1</v>
      </c>
      <c r="AC650" s="166">
        <v>1</v>
      </c>
      <c r="AD650" s="164">
        <f>($L650*'Pivot Objective'!$C$9^5)*AB650*AC650</f>
        <v>204479.45625321087</v>
      </c>
      <c r="AE650" s="166"/>
      <c r="AF650" s="166"/>
      <c r="AG650" s="164">
        <f>($L650*'Pivot Objective'!$C$9^6)*AE650*AF650</f>
        <v>0</v>
      </c>
      <c r="AH650" s="166"/>
      <c r="AI650" s="166"/>
      <c r="AJ650" s="164">
        <f>($L650*'Pivot Objective'!$C$9^7)*AH650*AI650</f>
        <v>0</v>
      </c>
      <c r="AK650" s="185">
        <f t="shared" si="73"/>
        <v>309329.4562532109</v>
      </c>
      <c r="AL650" s="186">
        <f t="shared" si="74"/>
        <v>300.31986044001059</v>
      </c>
    </row>
    <row r="651" spans="1:38" customFormat="1" ht="57.6" x14ac:dyDescent="0.3">
      <c r="A651" s="140" t="s">
        <v>1442</v>
      </c>
      <c r="B651" s="140">
        <v>1</v>
      </c>
      <c r="C651" s="166" t="s">
        <v>836</v>
      </c>
      <c r="D651" s="140" t="str">
        <f t="shared" si="69"/>
        <v>3</v>
      </c>
      <c r="E651" s="166" t="s">
        <v>1051</v>
      </c>
      <c r="F651" s="140">
        <f t="shared" si="75"/>
        <v>4</v>
      </c>
      <c r="G651" s="140" t="str">
        <f t="shared" si="70"/>
        <v>1.3.4</v>
      </c>
      <c r="H651" s="166" t="s">
        <v>1070</v>
      </c>
      <c r="I651" s="166" t="s">
        <v>1071</v>
      </c>
      <c r="J651" s="166" t="s">
        <v>163</v>
      </c>
      <c r="K651" s="166" t="s">
        <v>713</v>
      </c>
      <c r="L651" s="166">
        <v>45000</v>
      </c>
      <c r="M651" s="166">
        <v>10</v>
      </c>
      <c r="N651" s="166">
        <v>1</v>
      </c>
      <c r="O651" s="164">
        <f t="shared" si="72"/>
        <v>450000</v>
      </c>
      <c r="P651" s="166"/>
      <c r="Q651" s="166"/>
      <c r="R651" s="164">
        <f>$L651*'Pivot Objective'!$C$9*P651*Q651</f>
        <v>0</v>
      </c>
      <c r="S651" s="166"/>
      <c r="T651" s="166"/>
      <c r="U651" s="164">
        <f>($L651*'Pivot Objective'!$C$9^2)*S651*T651</f>
        <v>0</v>
      </c>
      <c r="V651" s="166"/>
      <c r="W651" s="166"/>
      <c r="X651" s="164">
        <f>($L651*'Pivot Objective'!$C$9^3)*V651*W651</f>
        <v>0</v>
      </c>
      <c r="Y651" s="166"/>
      <c r="Z651" s="166"/>
      <c r="AA651" s="164">
        <f>($L651*'Pivot Objective'!$C$9^4)*Y651*Z651</f>
        <v>0</v>
      </c>
      <c r="AB651" s="166">
        <v>10</v>
      </c>
      <c r="AC651" s="166">
        <v>1</v>
      </c>
      <c r="AD651" s="164">
        <f>($L651*'Pivot Objective'!$C$9^5)*AB651*AC651</f>
        <v>877594.23284639849</v>
      </c>
      <c r="AE651" s="166"/>
      <c r="AF651" s="166"/>
      <c r="AG651" s="164">
        <f>($L651*'Pivot Objective'!$C$9^6)*AE651*AF651</f>
        <v>0</v>
      </c>
      <c r="AH651" s="166"/>
      <c r="AI651" s="166"/>
      <c r="AJ651" s="164">
        <f>($L651*'Pivot Objective'!$C$9^7)*AH651*AI651</f>
        <v>0</v>
      </c>
      <c r="AK651" s="185">
        <f t="shared" si="73"/>
        <v>1327594.2328463984</v>
      </c>
      <c r="AL651" s="186">
        <f t="shared" si="74"/>
        <v>1288.9264396566975</v>
      </c>
    </row>
    <row r="652" spans="1:38" customFormat="1" ht="57.6" x14ac:dyDescent="0.3">
      <c r="A652" s="140" t="s">
        <v>1442</v>
      </c>
      <c r="B652" s="140">
        <v>1</v>
      </c>
      <c r="C652" s="166" t="s">
        <v>836</v>
      </c>
      <c r="D652" s="140" t="str">
        <f t="shared" si="69"/>
        <v>3</v>
      </c>
      <c r="E652" s="166" t="s">
        <v>1051</v>
      </c>
      <c r="F652" s="140">
        <f t="shared" si="75"/>
        <v>4</v>
      </c>
      <c r="G652" s="140" t="str">
        <f t="shared" si="70"/>
        <v>1.3.4</v>
      </c>
      <c r="H652" s="166" t="s">
        <v>1070</v>
      </c>
      <c r="I652" s="166" t="s">
        <v>1071</v>
      </c>
      <c r="J652" s="166" t="s">
        <v>163</v>
      </c>
      <c r="K652" s="166" t="s">
        <v>712</v>
      </c>
      <c r="L652" s="166">
        <f>1480/7</f>
        <v>211.42857142857142</v>
      </c>
      <c r="M652" s="166">
        <v>10</v>
      </c>
      <c r="N652" s="166">
        <v>1</v>
      </c>
      <c r="O652" s="164">
        <f t="shared" si="72"/>
        <v>2114.2857142857142</v>
      </c>
      <c r="P652" s="166"/>
      <c r="Q652" s="166"/>
      <c r="R652" s="164">
        <f>$L652*'Pivot Objective'!$C$9*P652*Q652</f>
        <v>0</v>
      </c>
      <c r="S652" s="166"/>
      <c r="T652" s="166"/>
      <c r="U652" s="164">
        <f>($L652*'Pivot Objective'!$C$9^2)*S652*T652</f>
        <v>0</v>
      </c>
      <c r="V652" s="166"/>
      <c r="W652" s="166"/>
      <c r="X652" s="164">
        <f>($L652*'Pivot Objective'!$C$9^3)*V652*W652</f>
        <v>0</v>
      </c>
      <c r="Y652" s="166"/>
      <c r="Z652" s="166"/>
      <c r="AA652" s="164">
        <f>($L652*'Pivot Objective'!$C$9^4)*Y652*Z652</f>
        <v>0</v>
      </c>
      <c r="AB652" s="166">
        <v>10</v>
      </c>
      <c r="AC652" s="166">
        <v>1</v>
      </c>
      <c r="AD652" s="164">
        <f>($L652*'Pivot Objective'!$C$9^5)*AB652*AC652</f>
        <v>4123.2998876592692</v>
      </c>
      <c r="AE652" s="166"/>
      <c r="AF652" s="166"/>
      <c r="AG652" s="164">
        <f>($L652*'Pivot Objective'!$C$9^6)*AE652*AF652</f>
        <v>0</v>
      </c>
      <c r="AH652" s="166"/>
      <c r="AI652" s="166"/>
      <c r="AJ652" s="164">
        <f>($L652*'Pivot Objective'!$C$9^7)*AH652*AI652</f>
        <v>0</v>
      </c>
      <c r="AK652" s="185">
        <f t="shared" si="73"/>
        <v>6237.5856019449839</v>
      </c>
      <c r="AL652" s="186">
        <f t="shared" si="74"/>
        <v>6.0559083514028966</v>
      </c>
    </row>
    <row r="653" spans="1:38" customFormat="1" ht="57.6" x14ac:dyDescent="0.3">
      <c r="A653" s="140" t="s">
        <v>1442</v>
      </c>
      <c r="B653" s="140">
        <v>1</v>
      </c>
      <c r="C653" s="166" t="s">
        <v>836</v>
      </c>
      <c r="D653" s="140" t="str">
        <f t="shared" si="69"/>
        <v>3</v>
      </c>
      <c r="E653" s="166" t="s">
        <v>1051</v>
      </c>
      <c r="F653" s="140">
        <f t="shared" si="75"/>
        <v>4</v>
      </c>
      <c r="G653" s="140" t="str">
        <f t="shared" si="70"/>
        <v>1.3.4</v>
      </c>
      <c r="H653" s="166" t="s">
        <v>1070</v>
      </c>
      <c r="I653" s="166" t="s">
        <v>1071</v>
      </c>
      <c r="J653" s="166" t="s">
        <v>1027</v>
      </c>
      <c r="K653" s="166" t="s">
        <v>709</v>
      </c>
      <c r="L653" s="166">
        <v>35000</v>
      </c>
      <c r="M653" s="166">
        <v>30</v>
      </c>
      <c r="N653" s="166">
        <v>1</v>
      </c>
      <c r="O653" s="164">
        <f t="shared" si="72"/>
        <v>1050000</v>
      </c>
      <c r="P653" s="166"/>
      <c r="Q653" s="166"/>
      <c r="R653" s="164">
        <f>$L653*'Pivot Objective'!$C$9*P653*Q653</f>
        <v>0</v>
      </c>
      <c r="S653" s="166"/>
      <c r="T653" s="166"/>
      <c r="U653" s="164">
        <f>($L653*'Pivot Objective'!$C$9^2)*S653*T653</f>
        <v>0</v>
      </c>
      <c r="V653" s="166"/>
      <c r="W653" s="166"/>
      <c r="X653" s="164">
        <f>($L653*'Pivot Objective'!$C$9^3)*V653*W653</f>
        <v>0</v>
      </c>
      <c r="Y653" s="166"/>
      <c r="Z653" s="166"/>
      <c r="AA653" s="164">
        <f>($L653*'Pivot Objective'!$C$9^4)*Y653*Z653</f>
        <v>0</v>
      </c>
      <c r="AB653" s="166">
        <v>30</v>
      </c>
      <c r="AC653" s="166">
        <v>1</v>
      </c>
      <c r="AD653" s="164">
        <f>($L653*'Pivot Objective'!$C$9^5)*AB653*AC653</f>
        <v>2047719.8766415964</v>
      </c>
      <c r="AE653" s="166"/>
      <c r="AF653" s="166"/>
      <c r="AG653" s="164">
        <f>($L653*'Pivot Objective'!$C$9^6)*AE653*AF653</f>
        <v>0</v>
      </c>
      <c r="AH653" s="166"/>
      <c r="AI653" s="166"/>
      <c r="AJ653" s="164">
        <f>($L653*'Pivot Objective'!$C$9^7)*AH653*AI653</f>
        <v>0</v>
      </c>
      <c r="AK653" s="185">
        <f t="shared" si="73"/>
        <v>3097719.8766415967</v>
      </c>
      <c r="AL653" s="186">
        <f t="shared" si="74"/>
        <v>3007.4950258656277</v>
      </c>
    </row>
    <row r="654" spans="1:38" customFormat="1" ht="57.6" x14ac:dyDescent="0.3">
      <c r="A654" s="140" t="s">
        <v>1442</v>
      </c>
      <c r="B654" s="140">
        <v>1</v>
      </c>
      <c r="C654" s="166" t="s">
        <v>836</v>
      </c>
      <c r="D654" s="140" t="str">
        <f t="shared" si="69"/>
        <v>3</v>
      </c>
      <c r="E654" s="166" t="s">
        <v>1051</v>
      </c>
      <c r="F654" s="140">
        <f t="shared" si="75"/>
        <v>4</v>
      </c>
      <c r="G654" s="140" t="str">
        <f t="shared" si="70"/>
        <v>1.3.4</v>
      </c>
      <c r="H654" s="166" t="s">
        <v>1070</v>
      </c>
      <c r="I654" s="166" t="s">
        <v>1071</v>
      </c>
      <c r="J654" s="166" t="s">
        <v>157</v>
      </c>
      <c r="K654" s="166" t="s">
        <v>713</v>
      </c>
      <c r="L654" s="166">
        <v>45000</v>
      </c>
      <c r="M654" s="166">
        <v>30</v>
      </c>
      <c r="N654" s="166">
        <v>5</v>
      </c>
      <c r="O654" s="164">
        <f t="shared" si="72"/>
        <v>6750000</v>
      </c>
      <c r="P654" s="166">
        <v>30</v>
      </c>
      <c r="Q654" s="166">
        <v>5</v>
      </c>
      <c r="R654" s="164">
        <f>$L654*'Pivot Objective'!$C$9*P654*Q654</f>
        <v>7714717.4047499988</v>
      </c>
      <c r="S654" s="166">
        <v>30</v>
      </c>
      <c r="T654" s="166">
        <v>5</v>
      </c>
      <c r="U654" s="164">
        <f>($L654*'Pivot Objective'!$C$9^2)*S654*T654</f>
        <v>8817313.2792818621</v>
      </c>
      <c r="V654" s="166">
        <v>30</v>
      </c>
      <c r="W654" s="166">
        <v>5</v>
      </c>
      <c r="X654" s="164">
        <f>($L654*'Pivot Objective'!$C$9^3)*V654*W654</f>
        <v>10077493.365749491</v>
      </c>
      <c r="Y654" s="166">
        <v>30</v>
      </c>
      <c r="Z654" s="166">
        <v>5</v>
      </c>
      <c r="AA654" s="164">
        <f>($L654*'Pivot Objective'!$C$9^4)*Y654*Z654</f>
        <v>11517779.77259263</v>
      </c>
      <c r="AB654" s="166">
        <v>30</v>
      </c>
      <c r="AC654" s="166">
        <v>5</v>
      </c>
      <c r="AD654" s="164">
        <f>($L654*'Pivot Objective'!$C$9^5)*AB654*AC654</f>
        <v>13163913.492695978</v>
      </c>
      <c r="AE654" s="166">
        <v>30</v>
      </c>
      <c r="AF654" s="166">
        <v>5</v>
      </c>
      <c r="AG654" s="164">
        <f>($L654*'Pivot Objective'!$C$9^6)*AE654*AF654</f>
        <v>15045314.44988519</v>
      </c>
      <c r="AH654" s="166">
        <v>30</v>
      </c>
      <c r="AI654" s="166">
        <v>5</v>
      </c>
      <c r="AJ654" s="164">
        <f>($L654*'Pivot Objective'!$C$9^7)*AH654*AI654</f>
        <v>17195607.295772731</v>
      </c>
      <c r="AK654" s="185">
        <f t="shared" si="73"/>
        <v>90282139.060727894</v>
      </c>
      <c r="AL654" s="186">
        <f t="shared" si="74"/>
        <v>87652.562194881451</v>
      </c>
    </row>
    <row r="655" spans="1:38" customFormat="1" ht="57.6" x14ac:dyDescent="0.3">
      <c r="A655" s="140" t="s">
        <v>1442</v>
      </c>
      <c r="B655" s="140">
        <v>1</v>
      </c>
      <c r="C655" s="166" t="s">
        <v>836</v>
      </c>
      <c r="D655" s="140" t="str">
        <f t="shared" si="69"/>
        <v>3</v>
      </c>
      <c r="E655" s="166" t="s">
        <v>1051</v>
      </c>
      <c r="F655" s="140">
        <f t="shared" si="75"/>
        <v>4</v>
      </c>
      <c r="G655" s="140" t="str">
        <f t="shared" si="70"/>
        <v>1.3.4</v>
      </c>
      <c r="H655" s="166" t="s">
        <v>1070</v>
      </c>
      <c r="I655" s="166" t="s">
        <v>1071</v>
      </c>
      <c r="J655" s="166" t="s">
        <v>157</v>
      </c>
      <c r="K655" s="166" t="s">
        <v>712</v>
      </c>
      <c r="L655" s="166">
        <f>1480/7</f>
        <v>211.42857142857142</v>
      </c>
      <c r="M655" s="166">
        <f>2*25*9</f>
        <v>450</v>
      </c>
      <c r="N655" s="166">
        <v>5</v>
      </c>
      <c r="O655" s="164">
        <f t="shared" si="72"/>
        <v>475714.28571428568</v>
      </c>
      <c r="P655" s="166">
        <f>2*25*9</f>
        <v>450</v>
      </c>
      <c r="Q655" s="166">
        <v>5</v>
      </c>
      <c r="R655" s="164">
        <f>$L655*'Pivot Objective'!$C$9*P655*Q655</f>
        <v>543703.89328714274</v>
      </c>
      <c r="S655" s="166">
        <f>2*25*9</f>
        <v>450</v>
      </c>
      <c r="T655" s="166">
        <v>5</v>
      </c>
      <c r="U655" s="164">
        <f>($L655*'Pivot Objective'!$C$9^2)*S655*T655</f>
        <v>621410.65015891218</v>
      </c>
      <c r="V655" s="166">
        <f>2*25*9</f>
        <v>450</v>
      </c>
      <c r="W655" s="166">
        <v>5</v>
      </c>
      <c r="X655" s="164">
        <f>($L655*'Pivot Objective'!$C$9^3)*V655*W655</f>
        <v>710223.34196710703</v>
      </c>
      <c r="Y655" s="166">
        <f>2*25*9</f>
        <v>450</v>
      </c>
      <c r="Z655" s="166">
        <v>5</v>
      </c>
      <c r="AA655" s="164">
        <f>($L655*'Pivot Objective'!$C$9^4)*Y655*Z655</f>
        <v>811729.24111605203</v>
      </c>
      <c r="AB655" s="166">
        <f>2*25*9</f>
        <v>450</v>
      </c>
      <c r="AC655" s="166">
        <v>5</v>
      </c>
      <c r="AD655" s="164">
        <f>($L655*'Pivot Objective'!$C$9^5)*AB655*AC655</f>
        <v>927742.47472333559</v>
      </c>
      <c r="AE655" s="166">
        <f>2*25*9</f>
        <v>450</v>
      </c>
      <c r="AF655" s="166">
        <v>5</v>
      </c>
      <c r="AG655" s="164">
        <f>($L655*'Pivot Objective'!$C$9^6)*AE655*AF655</f>
        <v>1060336.4469442894</v>
      </c>
      <c r="AH655" s="166">
        <f>2*25*9</f>
        <v>450</v>
      </c>
      <c r="AI655" s="166">
        <v>5</v>
      </c>
      <c r="AJ655" s="164">
        <f>($L655*'Pivot Objective'!$C$9^7)*AH655*AI655</f>
        <v>1211880.8951306494</v>
      </c>
      <c r="AK655" s="185">
        <f t="shared" si="73"/>
        <v>6362741.2290417738</v>
      </c>
      <c r="AL655" s="186">
        <f t="shared" si="74"/>
        <v>6177.4186689725957</v>
      </c>
    </row>
    <row r="656" spans="1:38" customFormat="1" ht="57.6" x14ac:dyDescent="0.3">
      <c r="A656" s="140" t="s">
        <v>1442</v>
      </c>
      <c r="B656" s="140">
        <v>1</v>
      </c>
      <c r="C656" s="166" t="s">
        <v>836</v>
      </c>
      <c r="D656" s="140" t="str">
        <f t="shared" si="69"/>
        <v>3</v>
      </c>
      <c r="E656" s="166" t="s">
        <v>1051</v>
      </c>
      <c r="F656" s="140">
        <f t="shared" si="75"/>
        <v>4</v>
      </c>
      <c r="G656" s="140" t="str">
        <f t="shared" si="70"/>
        <v>1.3.4</v>
      </c>
      <c r="H656" s="166" t="s">
        <v>1070</v>
      </c>
      <c r="I656" s="166" t="s">
        <v>1071</v>
      </c>
      <c r="J656" s="166" t="s">
        <v>157</v>
      </c>
      <c r="K656" s="166" t="s">
        <v>1320</v>
      </c>
      <c r="L656" s="166">
        <f>1480/7</f>
        <v>211.42857142857142</v>
      </c>
      <c r="M656" s="166">
        <f>2*135*9</f>
        <v>2430</v>
      </c>
      <c r="N656" s="166">
        <v>1</v>
      </c>
      <c r="O656" s="164">
        <f t="shared" si="72"/>
        <v>513771.42857142852</v>
      </c>
      <c r="P656" s="166">
        <f>2*135*9</f>
        <v>2430</v>
      </c>
      <c r="Q656" s="166">
        <v>1</v>
      </c>
      <c r="R656" s="164">
        <f>$L656*'Pivot Objective'!$C$9*P656*Q656</f>
        <v>587200.20475011424</v>
      </c>
      <c r="S656" s="166">
        <f>2*135*9</f>
        <v>2430</v>
      </c>
      <c r="T656" s="166">
        <v>1</v>
      </c>
      <c r="U656" s="164">
        <f>($L656*'Pivot Objective'!$C$9^2)*S656*T656</f>
        <v>671123.50217162515</v>
      </c>
      <c r="V656" s="166">
        <f>2*135*9</f>
        <v>2430</v>
      </c>
      <c r="W656" s="166">
        <v>1</v>
      </c>
      <c r="X656" s="164">
        <f>($L656*'Pivot Objective'!$C$9^3)*V656*W656</f>
        <v>767041.20932447549</v>
      </c>
      <c r="Y656" s="166">
        <f>2*135*9</f>
        <v>2430</v>
      </c>
      <c r="Z656" s="166">
        <v>1</v>
      </c>
      <c r="AA656" s="164">
        <f>($L656*'Pivot Objective'!$C$9^4)*Y656*Z656</f>
        <v>876667.58040533611</v>
      </c>
      <c r="AB656" s="166">
        <f>2*135*9</f>
        <v>2430</v>
      </c>
      <c r="AC656" s="166">
        <v>1</v>
      </c>
      <c r="AD656" s="164">
        <f>($L656*'Pivot Objective'!$C$9^5)*AB656*AC656</f>
        <v>1001961.8727012025</v>
      </c>
      <c r="AE656" s="166">
        <f>2*135*9</f>
        <v>2430</v>
      </c>
      <c r="AF656" s="166">
        <v>1</v>
      </c>
      <c r="AG656" s="164">
        <f>($L656*'Pivot Objective'!$C$9^6)*AE656*AF656</f>
        <v>1145163.3626998325</v>
      </c>
      <c r="AH656" s="166">
        <f>2*135*9</f>
        <v>2430</v>
      </c>
      <c r="AI656" s="166">
        <v>1</v>
      </c>
      <c r="AJ656" s="164">
        <f>($L656*'Pivot Objective'!$C$9^7)*AH656*AI656</f>
        <v>1308831.3667411015</v>
      </c>
      <c r="AK656" s="185">
        <f t="shared" si="73"/>
        <v>6871760.5273651164</v>
      </c>
      <c r="AL656" s="186">
        <f t="shared" si="74"/>
        <v>6671.6121624904044</v>
      </c>
    </row>
    <row r="657" spans="1:38" customFormat="1" ht="57.6" x14ac:dyDescent="0.3">
      <c r="A657" s="140" t="s">
        <v>1442</v>
      </c>
      <c r="B657" s="140">
        <v>1</v>
      </c>
      <c r="C657" s="166" t="s">
        <v>836</v>
      </c>
      <c r="D657" s="140" t="str">
        <f t="shared" si="69"/>
        <v>3</v>
      </c>
      <c r="E657" s="166" t="s">
        <v>1051</v>
      </c>
      <c r="F657" s="140">
        <f t="shared" si="75"/>
        <v>4</v>
      </c>
      <c r="G657" s="140" t="str">
        <f t="shared" si="70"/>
        <v>1.3.4</v>
      </c>
      <c r="H657" s="166" t="s">
        <v>1070</v>
      </c>
      <c r="I657" s="166" t="s">
        <v>1071</v>
      </c>
      <c r="J657" s="166" t="s">
        <v>157</v>
      </c>
      <c r="K657" s="166" t="s">
        <v>714</v>
      </c>
      <c r="L657" s="166">
        <v>10000</v>
      </c>
      <c r="M657" s="166">
        <v>15</v>
      </c>
      <c r="N657" s="166">
        <v>1</v>
      </c>
      <c r="O657" s="164">
        <f t="shared" si="72"/>
        <v>150000</v>
      </c>
      <c r="P657" s="166">
        <v>15</v>
      </c>
      <c r="Q657" s="166">
        <v>1</v>
      </c>
      <c r="R657" s="164">
        <f>$L657*'Pivot Objective'!$C$9*P657*Q657</f>
        <v>171438.16454999999</v>
      </c>
      <c r="S657" s="166">
        <v>15</v>
      </c>
      <c r="T657" s="166">
        <v>1</v>
      </c>
      <c r="U657" s="164">
        <f>($L657*'Pivot Objective'!$C$9^2)*S657*T657</f>
        <v>195940.29509515248</v>
      </c>
      <c r="V657" s="166">
        <v>15</v>
      </c>
      <c r="W657" s="166">
        <v>1</v>
      </c>
      <c r="X657" s="164">
        <f>($L657*'Pivot Objective'!$C$9^3)*V657*W657</f>
        <v>223944.29701665539</v>
      </c>
      <c r="Y657" s="166">
        <v>15</v>
      </c>
      <c r="Z657" s="166">
        <v>1</v>
      </c>
      <c r="AA657" s="164">
        <f>($L657*'Pivot Objective'!$C$9^4)*Y657*Z657</f>
        <v>255950.66161316959</v>
      </c>
      <c r="AB657" s="166">
        <v>15</v>
      </c>
      <c r="AC657" s="166">
        <v>1</v>
      </c>
      <c r="AD657" s="164">
        <f>($L657*'Pivot Objective'!$C$9^5)*AB657*AC657</f>
        <v>292531.41094879952</v>
      </c>
      <c r="AE657" s="166">
        <v>15</v>
      </c>
      <c r="AF657" s="166">
        <v>1</v>
      </c>
      <c r="AG657" s="164">
        <f>($L657*'Pivot Objective'!$C$9^6)*AE657*AF657</f>
        <v>334340.32110855979</v>
      </c>
      <c r="AH657" s="166">
        <v>15</v>
      </c>
      <c r="AI657" s="166">
        <v>1</v>
      </c>
      <c r="AJ657" s="164">
        <f>($L657*'Pivot Objective'!$C$9^7)*AH657*AI657</f>
        <v>382124.60657272732</v>
      </c>
      <c r="AK657" s="185">
        <f t="shared" si="73"/>
        <v>2006269.756905064</v>
      </c>
      <c r="AL657" s="186">
        <f t="shared" si="74"/>
        <v>1947.8347154418097</v>
      </c>
    </row>
    <row r="658" spans="1:38" customFormat="1" ht="57.6" x14ac:dyDescent="0.3">
      <c r="A658" s="140" t="s">
        <v>1442</v>
      </c>
      <c r="B658" s="140">
        <v>1</v>
      </c>
      <c r="C658" s="166" t="s">
        <v>836</v>
      </c>
      <c r="D658" s="140" t="str">
        <f t="shared" si="69"/>
        <v>3</v>
      </c>
      <c r="E658" s="166" t="s">
        <v>1051</v>
      </c>
      <c r="F658" s="140">
        <f t="shared" si="75"/>
        <v>4</v>
      </c>
      <c r="G658" s="140" t="str">
        <f t="shared" si="70"/>
        <v>1.3.4</v>
      </c>
      <c r="H658" s="166" t="s">
        <v>1070</v>
      </c>
      <c r="I658" s="166" t="s">
        <v>1071</v>
      </c>
      <c r="J658" s="166" t="s">
        <v>1004</v>
      </c>
      <c r="K658" s="166" t="s">
        <v>709</v>
      </c>
      <c r="L658" s="166">
        <v>35000</v>
      </c>
      <c r="M658" s="166">
        <v>30</v>
      </c>
      <c r="N658" s="166">
        <v>5</v>
      </c>
      <c r="O658" s="164">
        <f t="shared" si="72"/>
        <v>5250000</v>
      </c>
      <c r="P658" s="166">
        <v>30</v>
      </c>
      <c r="Q658" s="166">
        <v>5</v>
      </c>
      <c r="R658" s="164">
        <f>$L658*'Pivot Objective'!$C$9*P658*Q658</f>
        <v>6000335.7592499992</v>
      </c>
      <c r="S658" s="166">
        <v>30</v>
      </c>
      <c r="T658" s="166">
        <v>5</v>
      </c>
      <c r="U658" s="164">
        <f>($L658*'Pivot Objective'!$C$9^2)*S658*T658</f>
        <v>6857910.3283303361</v>
      </c>
      <c r="V658" s="166">
        <v>30</v>
      </c>
      <c r="W658" s="166">
        <v>5</v>
      </c>
      <c r="X658" s="164">
        <f>($L658*'Pivot Objective'!$C$9^3)*V658*W658</f>
        <v>7838050.3955829386</v>
      </c>
      <c r="Y658" s="166">
        <v>30</v>
      </c>
      <c r="Z658" s="166">
        <v>5</v>
      </c>
      <c r="AA658" s="164">
        <f>($L658*'Pivot Objective'!$C$9^4)*Y658*Z658</f>
        <v>8958273.1564609352</v>
      </c>
      <c r="AB658" s="166">
        <v>30</v>
      </c>
      <c r="AC658" s="166">
        <v>5</v>
      </c>
      <c r="AD658" s="164">
        <f>($L658*'Pivot Objective'!$C$9^5)*AB658*AC658</f>
        <v>10238599.383207982</v>
      </c>
      <c r="AE658" s="166">
        <v>30</v>
      </c>
      <c r="AF658" s="166">
        <v>5</v>
      </c>
      <c r="AG658" s="164">
        <f>($L658*'Pivot Objective'!$C$9^6)*AE658*AF658</f>
        <v>11701911.238799591</v>
      </c>
      <c r="AH658" s="166">
        <v>30</v>
      </c>
      <c r="AI658" s="166">
        <v>5</v>
      </c>
      <c r="AJ658" s="164">
        <f>($L658*'Pivot Objective'!$C$9^7)*AH658*AI658</f>
        <v>13374361.230045456</v>
      </c>
      <c r="AK658" s="185">
        <f t="shared" si="73"/>
        <v>70219441.49167724</v>
      </c>
      <c r="AL658" s="186">
        <f t="shared" si="74"/>
        <v>68174.215040463343</v>
      </c>
    </row>
    <row r="659" spans="1:38" customFormat="1" ht="57.6" x14ac:dyDescent="0.3">
      <c r="A659" s="140" t="s">
        <v>1442</v>
      </c>
      <c r="B659" s="140">
        <v>1</v>
      </c>
      <c r="C659" s="166" t="s">
        <v>836</v>
      </c>
      <c r="D659" s="140" t="str">
        <f t="shared" si="69"/>
        <v>3</v>
      </c>
      <c r="E659" s="166" t="s">
        <v>1051</v>
      </c>
      <c r="F659" s="140">
        <f t="shared" si="75"/>
        <v>4</v>
      </c>
      <c r="G659" s="140" t="str">
        <f t="shared" si="70"/>
        <v>1.3.4</v>
      </c>
      <c r="H659" s="166" t="s">
        <v>1070</v>
      </c>
      <c r="I659" s="166" t="s">
        <v>1071</v>
      </c>
      <c r="J659" s="166" t="s">
        <v>1004</v>
      </c>
      <c r="K659" s="166" t="s">
        <v>716</v>
      </c>
      <c r="L659" s="166">
        <v>39000</v>
      </c>
      <c r="M659" s="166">
        <v>30</v>
      </c>
      <c r="N659" s="166">
        <v>6</v>
      </c>
      <c r="O659" s="164">
        <f t="shared" si="72"/>
        <v>7020000</v>
      </c>
      <c r="P659" s="166">
        <v>30</v>
      </c>
      <c r="Q659" s="166">
        <v>6</v>
      </c>
      <c r="R659" s="164">
        <f>$L659*'Pivot Objective'!$C$9*P659*Q659</f>
        <v>8023306.1009399984</v>
      </c>
      <c r="S659" s="166">
        <v>30</v>
      </c>
      <c r="T659" s="166">
        <v>6</v>
      </c>
      <c r="U659" s="164">
        <f>($L659*'Pivot Objective'!$C$9^2)*S659*T659</f>
        <v>9170005.8104531355</v>
      </c>
      <c r="V659" s="166">
        <v>30</v>
      </c>
      <c r="W659" s="166">
        <v>6</v>
      </c>
      <c r="X659" s="164">
        <f>($L659*'Pivot Objective'!$C$9^3)*V659*W659</f>
        <v>10480593.100379471</v>
      </c>
      <c r="Y659" s="166">
        <v>30</v>
      </c>
      <c r="Z659" s="166">
        <v>6</v>
      </c>
      <c r="AA659" s="164">
        <f>($L659*'Pivot Objective'!$C$9^4)*Y659*Z659</f>
        <v>11978490.963496335</v>
      </c>
      <c r="AB659" s="166">
        <v>30</v>
      </c>
      <c r="AC659" s="166">
        <v>6</v>
      </c>
      <c r="AD659" s="164">
        <f>($L659*'Pivot Objective'!$C$9^5)*AB659*AC659</f>
        <v>13690470.032403817</v>
      </c>
      <c r="AE659" s="166">
        <v>30</v>
      </c>
      <c r="AF659" s="166">
        <v>6</v>
      </c>
      <c r="AG659" s="164">
        <f>($L659*'Pivot Objective'!$C$9^6)*AE659*AF659</f>
        <v>15647127.027880596</v>
      </c>
      <c r="AH659" s="166">
        <v>30</v>
      </c>
      <c r="AI659" s="166">
        <v>6</v>
      </c>
      <c r="AJ659" s="164">
        <f>($L659*'Pivot Objective'!$C$9^7)*AH659*AI659</f>
        <v>17883431.58760364</v>
      </c>
      <c r="AK659" s="185">
        <f t="shared" si="73"/>
        <v>93893424.623156995</v>
      </c>
      <c r="AL659" s="186">
        <f t="shared" si="74"/>
        <v>91158.664682676696</v>
      </c>
    </row>
    <row r="660" spans="1:38" customFormat="1" ht="57.6" x14ac:dyDescent="0.3">
      <c r="A660" s="140" t="s">
        <v>1442</v>
      </c>
      <c r="B660" s="140">
        <v>1</v>
      </c>
      <c r="C660" s="166" t="s">
        <v>836</v>
      </c>
      <c r="D660" s="140" t="str">
        <f t="shared" si="69"/>
        <v>3</v>
      </c>
      <c r="E660" s="166" t="s">
        <v>1051</v>
      </c>
      <c r="F660" s="140">
        <f t="shared" si="75"/>
        <v>4</v>
      </c>
      <c r="G660" s="140" t="str">
        <f t="shared" si="70"/>
        <v>1.3.4</v>
      </c>
      <c r="H660" s="166" t="s">
        <v>1070</v>
      </c>
      <c r="I660" s="166" t="s">
        <v>1071</v>
      </c>
      <c r="J660" s="166" t="s">
        <v>1004</v>
      </c>
      <c r="K660" s="166" t="s">
        <v>712</v>
      </c>
      <c r="L660" s="166">
        <f>1480/7</f>
        <v>211.42857142857142</v>
      </c>
      <c r="M660" s="166">
        <f>2*25*9</f>
        <v>450</v>
      </c>
      <c r="N660" s="166">
        <v>5</v>
      </c>
      <c r="O660" s="164">
        <f t="shared" si="72"/>
        <v>475714.28571428568</v>
      </c>
      <c r="P660" s="166">
        <f>2*25*9</f>
        <v>450</v>
      </c>
      <c r="Q660" s="166">
        <v>5</v>
      </c>
      <c r="R660" s="164">
        <f>$L660*'Pivot Objective'!$C$9*P660*Q660</f>
        <v>543703.89328714274</v>
      </c>
      <c r="S660" s="166">
        <f>2*25*9</f>
        <v>450</v>
      </c>
      <c r="T660" s="166">
        <v>5</v>
      </c>
      <c r="U660" s="164">
        <f>($L660*'Pivot Objective'!$C$9^2)*S660*T660</f>
        <v>621410.65015891218</v>
      </c>
      <c r="V660" s="166">
        <f>2*25*9</f>
        <v>450</v>
      </c>
      <c r="W660" s="166">
        <v>5</v>
      </c>
      <c r="X660" s="164">
        <f>($L660*'Pivot Objective'!$C$9^3)*V660*W660</f>
        <v>710223.34196710703</v>
      </c>
      <c r="Y660" s="166">
        <f>2*25*9</f>
        <v>450</v>
      </c>
      <c r="Z660" s="166">
        <v>5</v>
      </c>
      <c r="AA660" s="164">
        <f>($L660*'Pivot Objective'!$C$9^4)*Y660*Z660</f>
        <v>811729.24111605203</v>
      </c>
      <c r="AB660" s="166">
        <f>2*25*9</f>
        <v>450</v>
      </c>
      <c r="AC660" s="166">
        <v>5</v>
      </c>
      <c r="AD660" s="164">
        <f>($L660*'Pivot Objective'!$C$9^5)*AB660*AC660</f>
        <v>927742.47472333559</v>
      </c>
      <c r="AE660" s="166">
        <f>2*25*9</f>
        <v>450</v>
      </c>
      <c r="AF660" s="166">
        <v>5</v>
      </c>
      <c r="AG660" s="164">
        <f>($L660*'Pivot Objective'!$C$9^6)*AE660*AF660</f>
        <v>1060336.4469442894</v>
      </c>
      <c r="AH660" s="166">
        <f>2*25*9</f>
        <v>450</v>
      </c>
      <c r="AI660" s="166">
        <v>5</v>
      </c>
      <c r="AJ660" s="164">
        <f>($L660*'Pivot Objective'!$C$9^7)*AH660*AI660</f>
        <v>1211880.8951306494</v>
      </c>
      <c r="AK660" s="185">
        <f t="shared" si="73"/>
        <v>6362741.2290417738</v>
      </c>
      <c r="AL660" s="186">
        <f t="shared" si="74"/>
        <v>6177.4186689725957</v>
      </c>
    </row>
    <row r="661" spans="1:38" customFormat="1" ht="57.6" x14ac:dyDescent="0.3">
      <c r="A661" s="140" t="s">
        <v>1442</v>
      </c>
      <c r="B661" s="140">
        <v>1</v>
      </c>
      <c r="C661" s="166" t="s">
        <v>836</v>
      </c>
      <c r="D661" s="140" t="str">
        <f t="shared" si="69"/>
        <v>3</v>
      </c>
      <c r="E661" s="166" t="s">
        <v>1051</v>
      </c>
      <c r="F661" s="140">
        <f t="shared" si="75"/>
        <v>4</v>
      </c>
      <c r="G661" s="140" t="str">
        <f t="shared" si="70"/>
        <v>1.3.4</v>
      </c>
      <c r="H661" s="166" t="s">
        <v>1070</v>
      </c>
      <c r="I661" s="166" t="s">
        <v>1071</v>
      </c>
      <c r="J661" s="166" t="s">
        <v>1004</v>
      </c>
      <c r="K661" s="166" t="s">
        <v>1320</v>
      </c>
      <c r="L661" s="166">
        <f>1480/7</f>
        <v>211.42857142857142</v>
      </c>
      <c r="M661" s="166">
        <f>2*135*9</f>
        <v>2430</v>
      </c>
      <c r="N661" s="166">
        <v>1</v>
      </c>
      <c r="O661" s="164">
        <f t="shared" si="72"/>
        <v>513771.42857142852</v>
      </c>
      <c r="P661" s="166">
        <f>2*135*9</f>
        <v>2430</v>
      </c>
      <c r="Q661" s="166">
        <v>1</v>
      </c>
      <c r="R661" s="164">
        <f>$L661*'Pivot Objective'!$C$9*P661*Q661</f>
        <v>587200.20475011424</v>
      </c>
      <c r="S661" s="166">
        <f>2*135*9</f>
        <v>2430</v>
      </c>
      <c r="T661" s="166">
        <v>1</v>
      </c>
      <c r="U661" s="164">
        <f>($L661*'Pivot Objective'!$C$9^2)*S661*T661</f>
        <v>671123.50217162515</v>
      </c>
      <c r="V661" s="166">
        <f>2*135*9</f>
        <v>2430</v>
      </c>
      <c r="W661" s="166">
        <v>1</v>
      </c>
      <c r="X661" s="164">
        <f>($L661*'Pivot Objective'!$C$9^3)*V661*W661</f>
        <v>767041.20932447549</v>
      </c>
      <c r="Y661" s="166">
        <f>2*135*9</f>
        <v>2430</v>
      </c>
      <c r="Z661" s="166">
        <v>1</v>
      </c>
      <c r="AA661" s="164">
        <f>($L661*'Pivot Objective'!$C$9^4)*Y661*Z661</f>
        <v>876667.58040533611</v>
      </c>
      <c r="AB661" s="166">
        <f>2*135*9</f>
        <v>2430</v>
      </c>
      <c r="AC661" s="166">
        <v>1</v>
      </c>
      <c r="AD661" s="164">
        <f>($L661*'Pivot Objective'!$C$9^5)*AB661*AC661</f>
        <v>1001961.8727012025</v>
      </c>
      <c r="AE661" s="166">
        <f>2*135*9</f>
        <v>2430</v>
      </c>
      <c r="AF661" s="166">
        <v>1</v>
      </c>
      <c r="AG661" s="164">
        <f>($L661*'Pivot Objective'!$C$9^6)*AE661*AF661</f>
        <v>1145163.3626998325</v>
      </c>
      <c r="AH661" s="166">
        <f>2*135*9</f>
        <v>2430</v>
      </c>
      <c r="AI661" s="166">
        <v>1</v>
      </c>
      <c r="AJ661" s="164">
        <f>($L661*'Pivot Objective'!$C$9^7)*AH661*AI661</f>
        <v>1308831.3667411015</v>
      </c>
      <c r="AK661" s="185">
        <f t="shared" si="73"/>
        <v>6871760.5273651164</v>
      </c>
      <c r="AL661" s="186">
        <f t="shared" si="74"/>
        <v>6671.6121624904044</v>
      </c>
    </row>
    <row r="662" spans="1:38" customFormat="1" ht="57.6" x14ac:dyDescent="0.3">
      <c r="A662" s="140" t="s">
        <v>1442</v>
      </c>
      <c r="B662" s="140">
        <v>1</v>
      </c>
      <c r="C662" s="166" t="s">
        <v>836</v>
      </c>
      <c r="D662" s="140" t="str">
        <f t="shared" si="69"/>
        <v>3</v>
      </c>
      <c r="E662" s="166" t="s">
        <v>1051</v>
      </c>
      <c r="F662" s="140">
        <f t="shared" si="75"/>
        <v>4</v>
      </c>
      <c r="G662" s="140" t="str">
        <f t="shared" si="70"/>
        <v>1.3.4</v>
      </c>
      <c r="H662" s="166" t="s">
        <v>1070</v>
      </c>
      <c r="I662" s="166" t="s">
        <v>1071</v>
      </c>
      <c r="J662" s="166" t="s">
        <v>1042</v>
      </c>
      <c r="K662" s="166" t="s">
        <v>841</v>
      </c>
      <c r="L662" s="166">
        <v>0</v>
      </c>
      <c r="M662" s="166">
        <v>0</v>
      </c>
      <c r="N662" s="166">
        <v>0</v>
      </c>
      <c r="O662" s="164">
        <f t="shared" si="72"/>
        <v>0</v>
      </c>
      <c r="P662" s="166">
        <v>0</v>
      </c>
      <c r="Q662" s="166">
        <v>0</v>
      </c>
      <c r="R662" s="164">
        <f>$L662*'Pivot Objective'!$C$9*P662*Q662</f>
        <v>0</v>
      </c>
      <c r="S662" s="166">
        <v>0</v>
      </c>
      <c r="T662" s="166">
        <v>0</v>
      </c>
      <c r="U662" s="164">
        <f>($L662*'Pivot Objective'!$C$9^2)*S662*T662</f>
        <v>0</v>
      </c>
      <c r="V662" s="166">
        <v>0</v>
      </c>
      <c r="W662" s="166">
        <v>0</v>
      </c>
      <c r="X662" s="164">
        <f>($L662*'Pivot Objective'!$C$9^3)*V662*W662</f>
        <v>0</v>
      </c>
      <c r="Y662" s="166">
        <v>0</v>
      </c>
      <c r="Z662" s="166">
        <v>0</v>
      </c>
      <c r="AA662" s="164">
        <f>($L662*'Pivot Objective'!$C$9^4)*Y662*Z662</f>
        <v>0</v>
      </c>
      <c r="AB662" s="166">
        <v>0</v>
      </c>
      <c r="AC662" s="166">
        <v>0</v>
      </c>
      <c r="AD662" s="164">
        <f>($L662*'Pivot Objective'!$C$9^5)*AB662*AC662</f>
        <v>0</v>
      </c>
      <c r="AE662" s="166">
        <v>0</v>
      </c>
      <c r="AF662" s="166">
        <v>0</v>
      </c>
      <c r="AG662" s="164">
        <f>($L662*'Pivot Objective'!$C$9^6)*AE662*AF662</f>
        <v>0</v>
      </c>
      <c r="AH662" s="166">
        <v>0</v>
      </c>
      <c r="AI662" s="166">
        <v>0</v>
      </c>
      <c r="AJ662" s="164">
        <f>($L662*'Pivot Objective'!$C$9^7)*AH662*AI662</f>
        <v>0</v>
      </c>
      <c r="AK662" s="185">
        <f t="shared" si="73"/>
        <v>0</v>
      </c>
      <c r="AL662" s="186">
        <f t="shared" si="74"/>
        <v>0</v>
      </c>
    </row>
    <row r="663" spans="1:38" customFormat="1" ht="57.6" x14ac:dyDescent="0.3">
      <c r="A663" s="140" t="s">
        <v>1442</v>
      </c>
      <c r="B663" s="140">
        <v>1</v>
      </c>
      <c r="C663" s="166" t="s">
        <v>836</v>
      </c>
      <c r="D663" s="140" t="str">
        <f t="shared" ref="D663:D752" si="76">RIGHT(A663,1)</f>
        <v>3</v>
      </c>
      <c r="E663" s="166" t="s">
        <v>1051</v>
      </c>
      <c r="F663" s="140">
        <f t="shared" si="75"/>
        <v>4</v>
      </c>
      <c r="G663" s="140" t="str">
        <f t="shared" si="70"/>
        <v>1.3.4</v>
      </c>
      <c r="H663" s="166" t="s">
        <v>1070</v>
      </c>
      <c r="I663" s="166" t="s">
        <v>1071</v>
      </c>
      <c r="J663" s="166" t="s">
        <v>177</v>
      </c>
      <c r="K663" s="166" t="s">
        <v>709</v>
      </c>
      <c r="L663" s="166">
        <v>35000</v>
      </c>
      <c r="M663" s="166">
        <v>100</v>
      </c>
      <c r="N663" s="166">
        <v>5</v>
      </c>
      <c r="O663" s="164">
        <f t="shared" si="72"/>
        <v>17500000</v>
      </c>
      <c r="P663" s="166">
        <v>100</v>
      </c>
      <c r="Q663" s="166">
        <v>5</v>
      </c>
      <c r="R663" s="164">
        <f>$L663*'Pivot Objective'!$C$9*P663*Q663</f>
        <v>20001119.197499998</v>
      </c>
      <c r="S663" s="166">
        <v>100</v>
      </c>
      <c r="T663" s="166">
        <v>5</v>
      </c>
      <c r="U663" s="164">
        <f>($L663*'Pivot Objective'!$C$9^2)*S663*T663</f>
        <v>22859701.094434455</v>
      </c>
      <c r="V663" s="166">
        <v>100</v>
      </c>
      <c r="W663" s="166">
        <v>5</v>
      </c>
      <c r="X663" s="164">
        <f>($L663*'Pivot Objective'!$C$9^3)*V663*W663</f>
        <v>26126834.651943129</v>
      </c>
      <c r="Y663" s="166">
        <v>100</v>
      </c>
      <c r="Z663" s="166">
        <v>5</v>
      </c>
      <c r="AA663" s="164">
        <f>($L663*'Pivot Objective'!$C$9^4)*Y663*Z663</f>
        <v>29860910.521536451</v>
      </c>
      <c r="AB663" s="166">
        <v>100</v>
      </c>
      <c r="AC663" s="166">
        <v>5</v>
      </c>
      <c r="AD663" s="164">
        <f>($L663*'Pivot Objective'!$C$9^5)*AB663*AC663</f>
        <v>34128664.610693276</v>
      </c>
      <c r="AE663" s="166">
        <v>100</v>
      </c>
      <c r="AF663" s="166">
        <v>5</v>
      </c>
      <c r="AG663" s="164">
        <f>($L663*'Pivot Objective'!$C$9^6)*AE663*AF663</f>
        <v>39006370.795998633</v>
      </c>
      <c r="AH663" s="166">
        <v>100</v>
      </c>
      <c r="AI663" s="166">
        <v>5</v>
      </c>
      <c r="AJ663" s="164">
        <f>($L663*'Pivot Objective'!$C$9^7)*AH663*AI663</f>
        <v>44581204.100151524</v>
      </c>
      <c r="AK663" s="185">
        <f t="shared" si="73"/>
        <v>234064804.97225749</v>
      </c>
      <c r="AL663" s="186">
        <f t="shared" si="74"/>
        <v>227247.38346821116</v>
      </c>
    </row>
    <row r="664" spans="1:38" customFormat="1" ht="57.6" x14ac:dyDescent="0.3">
      <c r="A664" s="140" t="s">
        <v>1442</v>
      </c>
      <c r="B664" s="140">
        <v>1</v>
      </c>
      <c r="C664" s="166" t="s">
        <v>836</v>
      </c>
      <c r="D664" s="140" t="str">
        <f t="shared" si="76"/>
        <v>3</v>
      </c>
      <c r="E664" s="166" t="s">
        <v>1051</v>
      </c>
      <c r="F664" s="140">
        <f t="shared" si="75"/>
        <v>4</v>
      </c>
      <c r="G664" s="140" t="str">
        <f t="shared" ref="G664:G753" si="77">B664&amp;"."&amp;D664&amp;"."&amp;F664</f>
        <v>1.3.4</v>
      </c>
      <c r="H664" s="166" t="s">
        <v>1070</v>
      </c>
      <c r="I664" s="166" t="s">
        <v>1071</v>
      </c>
      <c r="J664" s="166" t="s">
        <v>177</v>
      </c>
      <c r="K664" s="166" t="s">
        <v>716</v>
      </c>
      <c r="L664" s="166">
        <v>39000</v>
      </c>
      <c r="M664" s="166">
        <v>58</v>
      </c>
      <c r="N664" s="166">
        <v>6</v>
      </c>
      <c r="O664" s="164">
        <f t="shared" si="72"/>
        <v>13572000</v>
      </c>
      <c r="P664" s="166">
        <v>58</v>
      </c>
      <c r="Q664" s="166">
        <v>6</v>
      </c>
      <c r="R664" s="164">
        <f>$L664*'Pivot Objective'!$C$9*P664*Q664</f>
        <v>15511725.128483998</v>
      </c>
      <c r="S664" s="166">
        <v>58</v>
      </c>
      <c r="T664" s="166">
        <v>6</v>
      </c>
      <c r="U664" s="164">
        <f>($L664*'Pivot Objective'!$C$9^2)*S664*T664</f>
        <v>17728677.900209397</v>
      </c>
      <c r="V664" s="166">
        <v>58</v>
      </c>
      <c r="W664" s="166">
        <v>6</v>
      </c>
      <c r="X664" s="164">
        <f>($L664*'Pivot Objective'!$C$9^3)*V664*W664</f>
        <v>20262479.99406698</v>
      </c>
      <c r="Y664" s="166">
        <v>58</v>
      </c>
      <c r="Z664" s="166">
        <v>6</v>
      </c>
      <c r="AA664" s="164">
        <f>($L664*'Pivot Objective'!$C$9^4)*Y664*Z664</f>
        <v>23158415.862759583</v>
      </c>
      <c r="AB664" s="166">
        <v>58</v>
      </c>
      <c r="AC664" s="166">
        <v>6</v>
      </c>
      <c r="AD664" s="164">
        <f>($L664*'Pivot Objective'!$C$9^5)*AB664*AC664</f>
        <v>26468242.06264738</v>
      </c>
      <c r="AE664" s="166">
        <v>58</v>
      </c>
      <c r="AF664" s="166">
        <v>6</v>
      </c>
      <c r="AG664" s="164">
        <f>($L664*'Pivot Objective'!$C$9^6)*AE664*AF664</f>
        <v>30251112.253902487</v>
      </c>
      <c r="AH664" s="166">
        <v>58</v>
      </c>
      <c r="AI664" s="166">
        <v>6</v>
      </c>
      <c r="AJ664" s="164">
        <f>($L664*'Pivot Objective'!$C$9^7)*AH664*AI664</f>
        <v>34574634.402700365</v>
      </c>
      <c r="AK664" s="185">
        <f t="shared" si="73"/>
        <v>181527287.60477018</v>
      </c>
      <c r="AL664" s="186">
        <f t="shared" si="74"/>
        <v>176240.08505317493</v>
      </c>
    </row>
    <row r="665" spans="1:38" customFormat="1" ht="57.6" x14ac:dyDescent="0.3">
      <c r="A665" s="140" t="s">
        <v>1442</v>
      </c>
      <c r="B665" s="140">
        <v>1</v>
      </c>
      <c r="C665" s="166" t="s">
        <v>836</v>
      </c>
      <c r="D665" s="140" t="str">
        <f t="shared" si="76"/>
        <v>3</v>
      </c>
      <c r="E665" s="166" t="s">
        <v>1051</v>
      </c>
      <c r="F665" s="140">
        <f t="shared" si="75"/>
        <v>4</v>
      </c>
      <c r="G665" s="140" t="str">
        <f t="shared" si="77"/>
        <v>1.3.4</v>
      </c>
      <c r="H665" s="166" t="s">
        <v>1070</v>
      </c>
      <c r="I665" s="166" t="s">
        <v>1071</v>
      </c>
      <c r="J665" s="166" t="s">
        <v>177</v>
      </c>
      <c r="K665" s="166" t="s">
        <v>712</v>
      </c>
      <c r="L665" s="166">
        <f>1480/7</f>
        <v>211.42857142857142</v>
      </c>
      <c r="M665" s="166">
        <f>2*25*9</f>
        <v>450</v>
      </c>
      <c r="N665" s="166">
        <v>5</v>
      </c>
      <c r="O665" s="164">
        <f t="shared" si="72"/>
        <v>475714.28571428568</v>
      </c>
      <c r="P665" s="166">
        <f>2*25*9</f>
        <v>450</v>
      </c>
      <c r="Q665" s="166">
        <v>5</v>
      </c>
      <c r="R665" s="164">
        <f>$L665*'Pivot Objective'!$C$9*P665*Q665</f>
        <v>543703.89328714274</v>
      </c>
      <c r="S665" s="166">
        <f>2*25*9</f>
        <v>450</v>
      </c>
      <c r="T665" s="166">
        <v>5</v>
      </c>
      <c r="U665" s="164">
        <f>($L665*'Pivot Objective'!$C$9^2)*S665*T665</f>
        <v>621410.65015891218</v>
      </c>
      <c r="V665" s="166">
        <f>2*25*9</f>
        <v>450</v>
      </c>
      <c r="W665" s="166">
        <v>5</v>
      </c>
      <c r="X665" s="164">
        <f>($L665*'Pivot Objective'!$C$9^3)*V665*W665</f>
        <v>710223.34196710703</v>
      </c>
      <c r="Y665" s="166">
        <f>2*25*9</f>
        <v>450</v>
      </c>
      <c r="Z665" s="166">
        <v>5</v>
      </c>
      <c r="AA665" s="164">
        <f>($L665*'Pivot Objective'!$C$9^4)*Y665*Z665</f>
        <v>811729.24111605203</v>
      </c>
      <c r="AB665" s="166">
        <f>2*25*9</f>
        <v>450</v>
      </c>
      <c r="AC665" s="166">
        <v>5</v>
      </c>
      <c r="AD665" s="164">
        <f>($L665*'Pivot Objective'!$C$9^5)*AB665*AC665</f>
        <v>927742.47472333559</v>
      </c>
      <c r="AE665" s="166">
        <f>2*25*9</f>
        <v>450</v>
      </c>
      <c r="AF665" s="166">
        <v>5</v>
      </c>
      <c r="AG665" s="164">
        <f>($L665*'Pivot Objective'!$C$9^6)*AE665*AF665</f>
        <v>1060336.4469442894</v>
      </c>
      <c r="AH665" s="166">
        <f>2*25*9</f>
        <v>450</v>
      </c>
      <c r="AI665" s="166">
        <v>5</v>
      </c>
      <c r="AJ665" s="164">
        <f>($L665*'Pivot Objective'!$C$9^7)*AH665*AI665</f>
        <v>1211880.8951306494</v>
      </c>
      <c r="AK665" s="185">
        <f t="shared" si="73"/>
        <v>6362741.2290417738</v>
      </c>
      <c r="AL665" s="186">
        <f t="shared" si="74"/>
        <v>6177.4186689725957</v>
      </c>
    </row>
    <row r="666" spans="1:38" customFormat="1" ht="57.6" x14ac:dyDescent="0.3">
      <c r="A666" s="140" t="s">
        <v>1442</v>
      </c>
      <c r="B666" s="140">
        <v>1</v>
      </c>
      <c r="C666" s="166" t="s">
        <v>836</v>
      </c>
      <c r="D666" s="140" t="str">
        <f t="shared" si="76"/>
        <v>3</v>
      </c>
      <c r="E666" s="166" t="s">
        <v>1051</v>
      </c>
      <c r="F666" s="140">
        <f t="shared" si="75"/>
        <v>4</v>
      </c>
      <c r="G666" s="140" t="str">
        <f t="shared" si="77"/>
        <v>1.3.4</v>
      </c>
      <c r="H666" s="166" t="s">
        <v>1070</v>
      </c>
      <c r="I666" s="166" t="s">
        <v>1071</v>
      </c>
      <c r="J666" s="166" t="s">
        <v>177</v>
      </c>
      <c r="K666" s="166" t="s">
        <v>1320</v>
      </c>
      <c r="L666" s="166">
        <f>1480/7</f>
        <v>211.42857142857142</v>
      </c>
      <c r="M666" s="166">
        <v>22500</v>
      </c>
      <c r="N666" s="166">
        <v>1</v>
      </c>
      <c r="O666" s="164">
        <f t="shared" si="72"/>
        <v>4757142.8571428573</v>
      </c>
      <c r="P666" s="166">
        <v>22500</v>
      </c>
      <c r="Q666" s="166">
        <v>1</v>
      </c>
      <c r="R666" s="164">
        <f>$L666*'Pivot Objective'!$C$9*P666*Q666</f>
        <v>5437038.9328714283</v>
      </c>
      <c r="S666" s="166">
        <v>22500</v>
      </c>
      <c r="T666" s="166">
        <v>1</v>
      </c>
      <c r="U666" s="164">
        <f>($L666*'Pivot Objective'!$C$9^2)*S666*T666</f>
        <v>6214106.5015891213</v>
      </c>
      <c r="V666" s="166">
        <v>22500</v>
      </c>
      <c r="W666" s="166">
        <v>1</v>
      </c>
      <c r="X666" s="164">
        <f>($L666*'Pivot Objective'!$C$9^3)*V666*W666</f>
        <v>7102233.4196710698</v>
      </c>
      <c r="Y666" s="166">
        <v>22500</v>
      </c>
      <c r="Z666" s="166">
        <v>1</v>
      </c>
      <c r="AA666" s="164">
        <f>($L666*'Pivot Objective'!$C$9^4)*Y666*Z666</f>
        <v>8117292.4111605193</v>
      </c>
      <c r="AB666" s="166">
        <v>22500</v>
      </c>
      <c r="AC666" s="166">
        <v>1</v>
      </c>
      <c r="AD666" s="164">
        <f>($L666*'Pivot Objective'!$C$9^5)*AB666*AC666</f>
        <v>9277424.7472333554</v>
      </c>
      <c r="AE666" s="166">
        <v>22500</v>
      </c>
      <c r="AF666" s="166">
        <v>1</v>
      </c>
      <c r="AG666" s="164">
        <f>($L666*'Pivot Objective'!$C$9^6)*AE666*AF666</f>
        <v>10603364.469442895</v>
      </c>
      <c r="AH666" s="166">
        <v>22500</v>
      </c>
      <c r="AI666" s="166">
        <v>1</v>
      </c>
      <c r="AJ666" s="164">
        <f>($L666*'Pivot Objective'!$C$9^7)*AH666*AI666</f>
        <v>12118808.951306494</v>
      </c>
      <c r="AK666" s="185">
        <f t="shared" si="73"/>
        <v>63627412.290417738</v>
      </c>
      <c r="AL666" s="186">
        <f t="shared" si="74"/>
        <v>61774.186689725961</v>
      </c>
    </row>
    <row r="667" spans="1:38" customFormat="1" ht="57.6" x14ac:dyDescent="0.3">
      <c r="A667" s="140" t="s">
        <v>1442</v>
      </c>
      <c r="B667" s="140">
        <v>1</v>
      </c>
      <c r="C667" s="166" t="s">
        <v>836</v>
      </c>
      <c r="D667" s="140" t="str">
        <f t="shared" si="76"/>
        <v>3</v>
      </c>
      <c r="E667" s="166" t="s">
        <v>1051</v>
      </c>
      <c r="F667" s="140">
        <f t="shared" si="75"/>
        <v>4</v>
      </c>
      <c r="G667" s="140" t="str">
        <f t="shared" si="77"/>
        <v>1.3.4</v>
      </c>
      <c r="H667" s="166" t="s">
        <v>1070</v>
      </c>
      <c r="I667" s="166" t="s">
        <v>1071</v>
      </c>
      <c r="J667" s="166" t="s">
        <v>1073</v>
      </c>
      <c r="K667" s="166" t="s">
        <v>709</v>
      </c>
      <c r="L667" s="166">
        <v>35000</v>
      </c>
      <c r="M667" s="166">
        <v>50</v>
      </c>
      <c r="N667" s="166">
        <v>1</v>
      </c>
      <c r="O667" s="164">
        <f t="shared" si="72"/>
        <v>1750000</v>
      </c>
      <c r="P667" s="166">
        <v>50</v>
      </c>
      <c r="Q667" s="166">
        <v>1</v>
      </c>
      <c r="R667" s="164">
        <f>$L667*'Pivot Objective'!$C$9*P667*Q667</f>
        <v>2000111.9197499997</v>
      </c>
      <c r="S667" s="166">
        <v>50</v>
      </c>
      <c r="T667" s="166">
        <v>1</v>
      </c>
      <c r="U667" s="164">
        <f>($L667*'Pivot Objective'!$C$9^2)*S667*T667</f>
        <v>2285970.1094434457</v>
      </c>
      <c r="V667" s="166">
        <v>50</v>
      </c>
      <c r="W667" s="166">
        <v>1</v>
      </c>
      <c r="X667" s="164">
        <f>($L667*'Pivot Objective'!$C$9^3)*V667*W667</f>
        <v>2612683.4651943129</v>
      </c>
      <c r="Y667" s="166">
        <v>50</v>
      </c>
      <c r="Z667" s="166">
        <v>1</v>
      </c>
      <c r="AA667" s="164">
        <f>($L667*'Pivot Objective'!$C$9^4)*Y667*Z667</f>
        <v>2986091.0521536451</v>
      </c>
      <c r="AB667" s="166">
        <v>50</v>
      </c>
      <c r="AC667" s="166">
        <v>1</v>
      </c>
      <c r="AD667" s="164">
        <f>($L667*'Pivot Objective'!$C$9^5)*AB667*AC667</f>
        <v>3412866.4610693273</v>
      </c>
      <c r="AE667" s="166">
        <v>50</v>
      </c>
      <c r="AF667" s="166">
        <v>1</v>
      </c>
      <c r="AG667" s="164">
        <f>($L667*'Pivot Objective'!$C$9^6)*AE667*AF667</f>
        <v>3900637.0795998634</v>
      </c>
      <c r="AH667" s="166">
        <v>50</v>
      </c>
      <c r="AI667" s="166">
        <v>1</v>
      </c>
      <c r="AJ667" s="164">
        <f>($L667*'Pivot Objective'!$C$9^7)*AH667*AI667</f>
        <v>4458120.4100151528</v>
      </c>
      <c r="AK667" s="185">
        <f t="shared" si="73"/>
        <v>23406480.497225747</v>
      </c>
      <c r="AL667" s="186">
        <f t="shared" si="74"/>
        <v>22724.738346821112</v>
      </c>
    </row>
    <row r="668" spans="1:38" customFormat="1" ht="57.6" x14ac:dyDescent="0.3">
      <c r="A668" s="140" t="s">
        <v>1442</v>
      </c>
      <c r="B668" s="140">
        <v>1</v>
      </c>
      <c r="C668" s="166" t="s">
        <v>836</v>
      </c>
      <c r="D668" s="140" t="str">
        <f t="shared" si="76"/>
        <v>3</v>
      </c>
      <c r="E668" s="166" t="s">
        <v>1051</v>
      </c>
      <c r="F668" s="140">
        <f t="shared" si="75"/>
        <v>4</v>
      </c>
      <c r="G668" s="140" t="str">
        <f t="shared" si="77"/>
        <v>1.3.4</v>
      </c>
      <c r="H668" s="166" t="s">
        <v>1070</v>
      </c>
      <c r="I668" s="166" t="s">
        <v>1071</v>
      </c>
      <c r="J668" s="166" t="s">
        <v>1074</v>
      </c>
      <c r="K668" s="166" t="s">
        <v>841</v>
      </c>
      <c r="L668" s="166">
        <v>0</v>
      </c>
      <c r="M668" s="166">
        <v>50</v>
      </c>
      <c r="N668" s="166">
        <v>1</v>
      </c>
      <c r="O668" s="164">
        <f t="shared" si="72"/>
        <v>0</v>
      </c>
      <c r="P668" s="166">
        <v>0</v>
      </c>
      <c r="Q668" s="166">
        <v>0</v>
      </c>
      <c r="R668" s="164">
        <f>$L668*'Pivot Objective'!$C$9*P668*Q668</f>
        <v>0</v>
      </c>
      <c r="S668" s="166">
        <v>0</v>
      </c>
      <c r="T668" s="166">
        <v>0</v>
      </c>
      <c r="U668" s="164">
        <f>($L668*'Pivot Objective'!$C$9^2)*S668*T668</f>
        <v>0</v>
      </c>
      <c r="V668" s="166">
        <v>0</v>
      </c>
      <c r="W668" s="166">
        <v>0</v>
      </c>
      <c r="X668" s="164">
        <f>($L668*'Pivot Objective'!$C$9^3)*V668*W668</f>
        <v>0</v>
      </c>
      <c r="Y668" s="166">
        <v>0</v>
      </c>
      <c r="Z668" s="166">
        <v>0</v>
      </c>
      <c r="AA668" s="164">
        <f>($L668*'Pivot Objective'!$C$9^4)*Y668*Z668</f>
        <v>0</v>
      </c>
      <c r="AB668" s="166">
        <v>0</v>
      </c>
      <c r="AC668" s="166">
        <v>0</v>
      </c>
      <c r="AD668" s="164">
        <f>($L668*'Pivot Objective'!$C$9^5)*AB668*AC668</f>
        <v>0</v>
      </c>
      <c r="AE668" s="166">
        <v>0</v>
      </c>
      <c r="AF668" s="166">
        <v>0</v>
      </c>
      <c r="AG668" s="164">
        <f>($L668*'Pivot Objective'!$C$9^6)*AE668*AF668</f>
        <v>0</v>
      </c>
      <c r="AH668" s="166">
        <v>0</v>
      </c>
      <c r="AI668" s="166">
        <v>0</v>
      </c>
      <c r="AJ668" s="164">
        <f>($L668*'Pivot Objective'!$C$9^7)*AH668*AI668</f>
        <v>0</v>
      </c>
      <c r="AK668" s="185">
        <f t="shared" si="73"/>
        <v>0</v>
      </c>
      <c r="AL668" s="186">
        <f t="shared" si="74"/>
        <v>0</v>
      </c>
    </row>
    <row r="669" spans="1:38" customFormat="1" ht="57.6" x14ac:dyDescent="0.3">
      <c r="A669" s="140" t="s">
        <v>1442</v>
      </c>
      <c r="B669" s="140">
        <v>1</v>
      </c>
      <c r="C669" s="166" t="s">
        <v>836</v>
      </c>
      <c r="D669" s="140" t="str">
        <f t="shared" si="76"/>
        <v>3</v>
      </c>
      <c r="E669" s="166" t="s">
        <v>1051</v>
      </c>
      <c r="F669" s="140">
        <f t="shared" si="75"/>
        <v>4</v>
      </c>
      <c r="G669" s="140" t="str">
        <f t="shared" si="77"/>
        <v>1.3.4</v>
      </c>
      <c r="H669" s="166" t="s">
        <v>1070</v>
      </c>
      <c r="I669" s="166" t="s">
        <v>1071</v>
      </c>
      <c r="J669" s="166" t="s">
        <v>1075</v>
      </c>
      <c r="K669" s="166" t="s">
        <v>709</v>
      </c>
      <c r="L669" s="166">
        <v>35000</v>
      </c>
      <c r="M669" s="166">
        <v>30</v>
      </c>
      <c r="N669" s="166">
        <v>5</v>
      </c>
      <c r="O669" s="164">
        <f t="shared" si="72"/>
        <v>5250000</v>
      </c>
      <c r="P669" s="166">
        <v>30</v>
      </c>
      <c r="Q669" s="166">
        <v>5</v>
      </c>
      <c r="R669" s="164">
        <f>$L669*'Pivot Objective'!$C$9*P669*Q669</f>
        <v>6000335.7592499992</v>
      </c>
      <c r="S669" s="166">
        <v>30</v>
      </c>
      <c r="T669" s="166">
        <v>5</v>
      </c>
      <c r="U669" s="164">
        <f>($L669*'Pivot Objective'!$C$9^2)*S669*T669</f>
        <v>6857910.3283303361</v>
      </c>
      <c r="V669" s="166">
        <v>30</v>
      </c>
      <c r="W669" s="166">
        <v>5</v>
      </c>
      <c r="X669" s="164">
        <f>($L669*'Pivot Objective'!$C$9^3)*V669*W669</f>
        <v>7838050.3955829386</v>
      </c>
      <c r="Y669" s="166">
        <v>30</v>
      </c>
      <c r="Z669" s="166">
        <v>5</v>
      </c>
      <c r="AA669" s="164">
        <f>($L669*'Pivot Objective'!$C$9^4)*Y669*Z669</f>
        <v>8958273.1564609352</v>
      </c>
      <c r="AB669" s="166">
        <v>30</v>
      </c>
      <c r="AC669" s="166">
        <v>5</v>
      </c>
      <c r="AD669" s="164">
        <f>($L669*'Pivot Objective'!$C$9^5)*AB669*AC669</f>
        <v>10238599.383207982</v>
      </c>
      <c r="AE669" s="166">
        <v>30</v>
      </c>
      <c r="AF669" s="166">
        <v>5</v>
      </c>
      <c r="AG669" s="164">
        <f>($L669*'Pivot Objective'!$C$9^6)*AE669*AF669</f>
        <v>11701911.238799591</v>
      </c>
      <c r="AH669" s="166">
        <v>30</v>
      </c>
      <c r="AI669" s="166">
        <v>5</v>
      </c>
      <c r="AJ669" s="164">
        <f>($L669*'Pivot Objective'!$C$9^7)*AH669*AI669</f>
        <v>13374361.230045456</v>
      </c>
      <c r="AK669" s="185">
        <f t="shared" si="73"/>
        <v>70219441.49167724</v>
      </c>
      <c r="AL669" s="186">
        <f t="shared" si="74"/>
        <v>68174.215040463343</v>
      </c>
    </row>
    <row r="670" spans="1:38" customFormat="1" ht="57.6" x14ac:dyDescent="0.3">
      <c r="A670" s="140" t="s">
        <v>1442</v>
      </c>
      <c r="B670" s="140">
        <v>1</v>
      </c>
      <c r="C670" s="166" t="s">
        <v>836</v>
      </c>
      <c r="D670" s="140" t="str">
        <f t="shared" si="76"/>
        <v>3</v>
      </c>
      <c r="E670" s="166" t="s">
        <v>1051</v>
      </c>
      <c r="F670" s="140">
        <f t="shared" si="75"/>
        <v>4</v>
      </c>
      <c r="G670" s="140" t="str">
        <f t="shared" si="77"/>
        <v>1.3.4</v>
      </c>
      <c r="H670" s="166" t="s">
        <v>1070</v>
      </c>
      <c r="I670" s="166" t="s">
        <v>1071</v>
      </c>
      <c r="J670" s="166" t="s">
        <v>1075</v>
      </c>
      <c r="K670" s="166" t="s">
        <v>716</v>
      </c>
      <c r="L670" s="166">
        <v>39000</v>
      </c>
      <c r="M670" s="166">
        <v>30</v>
      </c>
      <c r="N670" s="166">
        <v>6</v>
      </c>
      <c r="O670" s="164">
        <f t="shared" si="72"/>
        <v>7020000</v>
      </c>
      <c r="P670" s="166">
        <v>30</v>
      </c>
      <c r="Q670" s="166">
        <v>6</v>
      </c>
      <c r="R670" s="164">
        <f>$L670*'Pivot Objective'!$C$9*P670*Q670</f>
        <v>8023306.1009399984</v>
      </c>
      <c r="S670" s="166">
        <v>30</v>
      </c>
      <c r="T670" s="166">
        <v>6</v>
      </c>
      <c r="U670" s="164">
        <f>($L670*'Pivot Objective'!$C$9^2)*S670*T670</f>
        <v>9170005.8104531355</v>
      </c>
      <c r="V670" s="166">
        <v>30</v>
      </c>
      <c r="W670" s="166">
        <v>6</v>
      </c>
      <c r="X670" s="164">
        <f>($L670*'Pivot Objective'!$C$9^3)*V670*W670</f>
        <v>10480593.100379471</v>
      </c>
      <c r="Y670" s="166">
        <v>30</v>
      </c>
      <c r="Z670" s="166">
        <v>6</v>
      </c>
      <c r="AA670" s="164">
        <f>($L670*'Pivot Objective'!$C$9^4)*Y670*Z670</f>
        <v>11978490.963496335</v>
      </c>
      <c r="AB670" s="166">
        <v>30</v>
      </c>
      <c r="AC670" s="166">
        <v>6</v>
      </c>
      <c r="AD670" s="164">
        <f>($L670*'Pivot Objective'!$C$9^5)*AB670*AC670</f>
        <v>13690470.032403817</v>
      </c>
      <c r="AE670" s="166">
        <v>30</v>
      </c>
      <c r="AF670" s="166">
        <v>6</v>
      </c>
      <c r="AG670" s="164">
        <f>($L670*'Pivot Objective'!$C$9^6)*AE670*AF670</f>
        <v>15647127.027880596</v>
      </c>
      <c r="AH670" s="166">
        <v>30</v>
      </c>
      <c r="AI670" s="166">
        <v>6</v>
      </c>
      <c r="AJ670" s="164">
        <f>($L670*'Pivot Objective'!$C$9^7)*AH670*AI670</f>
        <v>17883431.58760364</v>
      </c>
      <c r="AK670" s="185">
        <f t="shared" si="73"/>
        <v>93893424.623156995</v>
      </c>
      <c r="AL670" s="186">
        <f t="shared" si="74"/>
        <v>91158.664682676696</v>
      </c>
    </row>
    <row r="671" spans="1:38" customFormat="1" ht="57.6" x14ac:dyDescent="0.3">
      <c r="A671" s="140" t="s">
        <v>1442</v>
      </c>
      <c r="B671" s="140">
        <v>1</v>
      </c>
      <c r="C671" s="166" t="s">
        <v>836</v>
      </c>
      <c r="D671" s="140" t="str">
        <f t="shared" si="76"/>
        <v>3</v>
      </c>
      <c r="E671" s="166" t="s">
        <v>1051</v>
      </c>
      <c r="F671" s="140">
        <f t="shared" si="75"/>
        <v>4</v>
      </c>
      <c r="G671" s="140" t="str">
        <f t="shared" si="77"/>
        <v>1.3.4</v>
      </c>
      <c r="H671" s="166" t="s">
        <v>1070</v>
      </c>
      <c r="I671" s="166" t="s">
        <v>1071</v>
      </c>
      <c r="J671" s="166" t="s">
        <v>1075</v>
      </c>
      <c r="K671" s="166" t="s">
        <v>712</v>
      </c>
      <c r="L671" s="166">
        <f>1480/7</f>
        <v>211.42857142857142</v>
      </c>
      <c r="M671" s="166">
        <f>2*25*9</f>
        <v>450</v>
      </c>
      <c r="N671" s="166">
        <v>5</v>
      </c>
      <c r="O671" s="164">
        <f t="shared" si="72"/>
        <v>475714.28571428568</v>
      </c>
      <c r="P671" s="166">
        <f>2*25*9</f>
        <v>450</v>
      </c>
      <c r="Q671" s="166">
        <v>5</v>
      </c>
      <c r="R671" s="164">
        <f>$L671*'Pivot Objective'!$C$9*P671*Q671</f>
        <v>543703.89328714274</v>
      </c>
      <c r="S671" s="166">
        <f>2*25*9</f>
        <v>450</v>
      </c>
      <c r="T671" s="166">
        <v>5</v>
      </c>
      <c r="U671" s="164">
        <f>($L671*'Pivot Objective'!$C$9^2)*S671*T671</f>
        <v>621410.65015891218</v>
      </c>
      <c r="V671" s="166">
        <f>2*25*9</f>
        <v>450</v>
      </c>
      <c r="W671" s="166">
        <v>5</v>
      </c>
      <c r="X671" s="164">
        <f>($L671*'Pivot Objective'!$C$9^3)*V671*W671</f>
        <v>710223.34196710703</v>
      </c>
      <c r="Y671" s="166">
        <f>2*25*9</f>
        <v>450</v>
      </c>
      <c r="Z671" s="166">
        <v>5</v>
      </c>
      <c r="AA671" s="164">
        <f>($L671*'Pivot Objective'!$C$9^4)*Y671*Z671</f>
        <v>811729.24111605203</v>
      </c>
      <c r="AB671" s="166">
        <f>2*25*9</f>
        <v>450</v>
      </c>
      <c r="AC671" s="166">
        <v>5</v>
      </c>
      <c r="AD671" s="164">
        <f>($L671*'Pivot Objective'!$C$9^5)*AB671*AC671</f>
        <v>927742.47472333559</v>
      </c>
      <c r="AE671" s="166">
        <f>2*25*9</f>
        <v>450</v>
      </c>
      <c r="AF671" s="166">
        <v>5</v>
      </c>
      <c r="AG671" s="164">
        <f>($L671*'Pivot Objective'!$C$9^6)*AE671*AF671</f>
        <v>1060336.4469442894</v>
      </c>
      <c r="AH671" s="166">
        <f>2*25*9</f>
        <v>450</v>
      </c>
      <c r="AI671" s="166">
        <v>5</v>
      </c>
      <c r="AJ671" s="164">
        <f>($L671*'Pivot Objective'!$C$9^7)*AH671*AI671</f>
        <v>1211880.8951306494</v>
      </c>
      <c r="AK671" s="185">
        <f t="shared" si="73"/>
        <v>6362741.2290417738</v>
      </c>
      <c r="AL671" s="186">
        <f t="shared" si="74"/>
        <v>6177.4186689725957</v>
      </c>
    </row>
    <row r="672" spans="1:38" customFormat="1" ht="57.6" x14ac:dyDescent="0.3">
      <c r="A672" s="140" t="s">
        <v>1442</v>
      </c>
      <c r="B672" s="140">
        <v>1</v>
      </c>
      <c r="C672" s="166" t="s">
        <v>836</v>
      </c>
      <c r="D672" s="140" t="str">
        <f t="shared" si="76"/>
        <v>3</v>
      </c>
      <c r="E672" s="166" t="s">
        <v>1051</v>
      </c>
      <c r="F672" s="140">
        <f t="shared" si="75"/>
        <v>4</v>
      </c>
      <c r="G672" s="140" t="str">
        <f t="shared" si="77"/>
        <v>1.3.4</v>
      </c>
      <c r="H672" s="166" t="s">
        <v>1070</v>
      </c>
      <c r="I672" s="166" t="s">
        <v>1071</v>
      </c>
      <c r="J672" s="166" t="s">
        <v>1075</v>
      </c>
      <c r="K672" s="166" t="s">
        <v>1320</v>
      </c>
      <c r="L672" s="166">
        <f>1480/7</f>
        <v>211.42857142857142</v>
      </c>
      <c r="M672" s="166">
        <f>2*135*9</f>
        <v>2430</v>
      </c>
      <c r="N672" s="166">
        <v>1</v>
      </c>
      <c r="O672" s="164">
        <f t="shared" si="72"/>
        <v>513771.42857142852</v>
      </c>
      <c r="P672" s="166">
        <f>2*135*9</f>
        <v>2430</v>
      </c>
      <c r="Q672" s="166">
        <v>1</v>
      </c>
      <c r="R672" s="164">
        <f>$L672*'Pivot Objective'!$C$9*P672*Q672</f>
        <v>587200.20475011424</v>
      </c>
      <c r="S672" s="166">
        <f>2*135*9</f>
        <v>2430</v>
      </c>
      <c r="T672" s="166">
        <v>1</v>
      </c>
      <c r="U672" s="164">
        <f>($L672*'Pivot Objective'!$C$9^2)*S672*T672</f>
        <v>671123.50217162515</v>
      </c>
      <c r="V672" s="166">
        <f>2*135*9</f>
        <v>2430</v>
      </c>
      <c r="W672" s="166">
        <v>1</v>
      </c>
      <c r="X672" s="164">
        <f>($L672*'Pivot Objective'!$C$9^3)*V672*W672</f>
        <v>767041.20932447549</v>
      </c>
      <c r="Y672" s="166">
        <f>2*135*9</f>
        <v>2430</v>
      </c>
      <c r="Z672" s="166">
        <v>1</v>
      </c>
      <c r="AA672" s="164">
        <f>($L672*'Pivot Objective'!$C$9^4)*Y672*Z672</f>
        <v>876667.58040533611</v>
      </c>
      <c r="AB672" s="166">
        <f>2*135*9</f>
        <v>2430</v>
      </c>
      <c r="AC672" s="166">
        <v>1</v>
      </c>
      <c r="AD672" s="164">
        <f>($L672*'Pivot Objective'!$C$9^5)*AB672*AC672</f>
        <v>1001961.8727012025</v>
      </c>
      <c r="AE672" s="166">
        <f>2*135*9</f>
        <v>2430</v>
      </c>
      <c r="AF672" s="166">
        <v>1</v>
      </c>
      <c r="AG672" s="164">
        <f>($L672*'Pivot Objective'!$C$9^6)*AE672*AF672</f>
        <v>1145163.3626998325</v>
      </c>
      <c r="AH672" s="166">
        <f>2*135*9</f>
        <v>2430</v>
      </c>
      <c r="AI672" s="166">
        <v>1</v>
      </c>
      <c r="AJ672" s="164">
        <f>($L672*'Pivot Objective'!$C$9^7)*AH672*AI672</f>
        <v>1308831.3667411015</v>
      </c>
      <c r="AK672" s="185">
        <f t="shared" si="73"/>
        <v>6871760.5273651164</v>
      </c>
      <c r="AL672" s="186">
        <f t="shared" si="74"/>
        <v>6671.6121624904044</v>
      </c>
    </row>
    <row r="673" spans="1:38" customFormat="1" ht="57.6" x14ac:dyDescent="0.3">
      <c r="A673" s="140" t="s">
        <v>1442</v>
      </c>
      <c r="B673" s="140">
        <v>1</v>
      </c>
      <c r="C673" s="166" t="s">
        <v>836</v>
      </c>
      <c r="D673" s="140" t="str">
        <f t="shared" si="76"/>
        <v>3</v>
      </c>
      <c r="E673" s="166" t="s">
        <v>1051</v>
      </c>
      <c r="F673" s="140">
        <f t="shared" si="75"/>
        <v>4</v>
      </c>
      <c r="G673" s="140" t="str">
        <f t="shared" si="77"/>
        <v>1.3.4</v>
      </c>
      <c r="H673" s="166" t="s">
        <v>1070</v>
      </c>
      <c r="I673" s="166" t="s">
        <v>1071</v>
      </c>
      <c r="J673" s="166" t="s">
        <v>869</v>
      </c>
      <c r="K673" s="166" t="s">
        <v>841</v>
      </c>
      <c r="L673" s="166">
        <v>0</v>
      </c>
      <c r="M673" s="166">
        <v>0</v>
      </c>
      <c r="N673" s="166">
        <v>0</v>
      </c>
      <c r="O673" s="164">
        <f t="shared" si="72"/>
        <v>0</v>
      </c>
      <c r="P673" s="166">
        <v>0</v>
      </c>
      <c r="Q673" s="166">
        <v>0</v>
      </c>
      <c r="R673" s="164">
        <f>$L673*'Pivot Objective'!$C$9*P673*Q673</f>
        <v>0</v>
      </c>
      <c r="S673" s="166">
        <v>0</v>
      </c>
      <c r="T673" s="166">
        <v>0</v>
      </c>
      <c r="U673" s="164">
        <f>($L673*'Pivot Objective'!$C$9^2)*S673*T673</f>
        <v>0</v>
      </c>
      <c r="V673" s="166">
        <v>0</v>
      </c>
      <c r="W673" s="166">
        <v>0</v>
      </c>
      <c r="X673" s="164">
        <f>($L673*'Pivot Objective'!$C$9^3)*V673*W673</f>
        <v>0</v>
      </c>
      <c r="Y673" s="166">
        <v>0</v>
      </c>
      <c r="Z673" s="166">
        <v>0</v>
      </c>
      <c r="AA673" s="164">
        <f>($L673*'Pivot Objective'!$C$9^4)*Y673*Z673</f>
        <v>0</v>
      </c>
      <c r="AB673" s="166">
        <v>0</v>
      </c>
      <c r="AC673" s="166">
        <v>0</v>
      </c>
      <c r="AD673" s="164">
        <f>($L673*'Pivot Objective'!$C$9^5)*AB673*AC673</f>
        <v>0</v>
      </c>
      <c r="AE673" s="166">
        <v>0</v>
      </c>
      <c r="AF673" s="166">
        <v>0</v>
      </c>
      <c r="AG673" s="164">
        <f>($L673*'Pivot Objective'!$C$9^6)*AE673*AF673</f>
        <v>0</v>
      </c>
      <c r="AH673" s="166">
        <v>0</v>
      </c>
      <c r="AI673" s="166">
        <v>0</v>
      </c>
      <c r="AJ673" s="164">
        <f>($L673*'Pivot Objective'!$C$9^7)*AH673*AI673</f>
        <v>0</v>
      </c>
      <c r="AK673" s="185">
        <f t="shared" si="73"/>
        <v>0</v>
      </c>
      <c r="AL673" s="186">
        <f t="shared" si="74"/>
        <v>0</v>
      </c>
    </row>
    <row r="674" spans="1:38" customFormat="1" ht="57.6" x14ac:dyDescent="0.3">
      <c r="A674" s="140" t="s">
        <v>1442</v>
      </c>
      <c r="B674" s="140">
        <v>1</v>
      </c>
      <c r="C674" s="166" t="s">
        <v>836</v>
      </c>
      <c r="D674" s="140" t="str">
        <f t="shared" si="76"/>
        <v>3</v>
      </c>
      <c r="E674" s="166" t="s">
        <v>1051</v>
      </c>
      <c r="F674" s="140">
        <f t="shared" si="75"/>
        <v>4</v>
      </c>
      <c r="G674" s="140" t="str">
        <f t="shared" si="77"/>
        <v>1.3.4</v>
      </c>
      <c r="H674" s="166" t="s">
        <v>1070</v>
      </c>
      <c r="I674" s="166" t="s">
        <v>1071</v>
      </c>
      <c r="J674" s="166" t="s">
        <v>946</v>
      </c>
      <c r="K674" s="166" t="s">
        <v>841</v>
      </c>
      <c r="L674" s="166">
        <v>0</v>
      </c>
      <c r="M674" s="166">
        <v>0</v>
      </c>
      <c r="N674" s="166">
        <v>0</v>
      </c>
      <c r="O674" s="164">
        <f t="shared" si="72"/>
        <v>0</v>
      </c>
      <c r="P674" s="166">
        <v>0</v>
      </c>
      <c r="Q674" s="166">
        <v>0</v>
      </c>
      <c r="R674" s="164">
        <f>$L674*'Pivot Objective'!$C$9*P674*Q674</f>
        <v>0</v>
      </c>
      <c r="S674" s="166">
        <v>0</v>
      </c>
      <c r="T674" s="166">
        <v>0</v>
      </c>
      <c r="U674" s="164">
        <f>($L674*'Pivot Objective'!$C$9^2)*S674*T674</f>
        <v>0</v>
      </c>
      <c r="V674" s="166">
        <v>0</v>
      </c>
      <c r="W674" s="166">
        <v>0</v>
      </c>
      <c r="X674" s="164">
        <f>($L674*'Pivot Objective'!$C$9^3)*V674*W674</f>
        <v>0</v>
      </c>
      <c r="Y674" s="166">
        <v>0</v>
      </c>
      <c r="Z674" s="166">
        <v>0</v>
      </c>
      <c r="AA674" s="164">
        <f>($L674*'Pivot Objective'!$C$9^4)*Y674*Z674</f>
        <v>0</v>
      </c>
      <c r="AB674" s="166">
        <v>0</v>
      </c>
      <c r="AC674" s="166">
        <v>0</v>
      </c>
      <c r="AD674" s="164">
        <f>($L674*'Pivot Objective'!$C$9^5)*AB674*AC674</f>
        <v>0</v>
      </c>
      <c r="AE674" s="166">
        <v>0</v>
      </c>
      <c r="AF674" s="166">
        <v>0</v>
      </c>
      <c r="AG674" s="164">
        <f>($L674*'Pivot Objective'!$C$9^6)*AE674*AF674</f>
        <v>0</v>
      </c>
      <c r="AH674" s="166">
        <v>0</v>
      </c>
      <c r="AI674" s="166">
        <v>0</v>
      </c>
      <c r="AJ674" s="164">
        <f>($L674*'Pivot Objective'!$C$9^7)*AH674*AI674</f>
        <v>0</v>
      </c>
      <c r="AK674" s="185">
        <f t="shared" si="73"/>
        <v>0</v>
      </c>
      <c r="AL674" s="186">
        <f t="shared" si="74"/>
        <v>0</v>
      </c>
    </row>
    <row r="675" spans="1:38" customFormat="1" ht="57.6" x14ac:dyDescent="0.3">
      <c r="A675" s="140" t="s">
        <v>1442</v>
      </c>
      <c r="B675" s="140">
        <v>1</v>
      </c>
      <c r="C675" s="166" t="s">
        <v>836</v>
      </c>
      <c r="D675" s="140" t="str">
        <f t="shared" ref="D675:D700" si="78">RIGHT(A675,1)</f>
        <v>3</v>
      </c>
      <c r="E675" s="166" t="s">
        <v>1051</v>
      </c>
      <c r="F675" s="140">
        <f t="shared" ref="F675:F700" si="79">IF(H675=H674,F674,F674+1)</f>
        <v>5</v>
      </c>
      <c r="G675" s="140" t="str">
        <f t="shared" ref="G675:G700" si="80">B675&amp;"."&amp;D675&amp;"."&amp;F675</f>
        <v>1.3.5</v>
      </c>
      <c r="H675" s="166" t="s">
        <v>1660</v>
      </c>
      <c r="I675" s="166"/>
      <c r="J675" s="166" t="s">
        <v>1661</v>
      </c>
      <c r="K675" s="166" t="s">
        <v>718</v>
      </c>
      <c r="L675" s="166">
        <v>0</v>
      </c>
      <c r="M675" s="166"/>
      <c r="N675" s="166"/>
      <c r="O675" s="164">
        <f t="shared" si="72"/>
        <v>0</v>
      </c>
      <c r="P675" s="166"/>
      <c r="Q675" s="166"/>
      <c r="R675" s="164">
        <f>$L675*'Pivot Objective'!$C$9*P675*Q675</f>
        <v>0</v>
      </c>
      <c r="S675" s="166"/>
      <c r="T675" s="166"/>
      <c r="U675" s="164">
        <f>($L675*'Pivot Objective'!$C$9^2)*S675*T675</f>
        <v>0</v>
      </c>
      <c r="V675" s="166"/>
      <c r="W675" s="166"/>
      <c r="X675" s="164">
        <f>($L675*'Pivot Objective'!$C$9^3)*V675*W675</f>
        <v>0</v>
      </c>
      <c r="Y675" s="166"/>
      <c r="Z675" s="166"/>
      <c r="AA675" s="164">
        <f>($L675*'Pivot Objective'!$C$9^4)*Y675*Z675</f>
        <v>0</v>
      </c>
      <c r="AB675" s="166"/>
      <c r="AC675" s="166"/>
      <c r="AD675" s="164">
        <f>($L675*'Pivot Objective'!$C$9^5)*AB675*AC675</f>
        <v>0</v>
      </c>
      <c r="AE675" s="166"/>
      <c r="AF675" s="166"/>
      <c r="AG675" s="164">
        <f>($L675*'Pivot Objective'!$C$9^6)*AE675*AF675</f>
        <v>0</v>
      </c>
      <c r="AH675" s="166"/>
      <c r="AI675" s="166"/>
      <c r="AJ675" s="164">
        <f>($L675*'Pivot Objective'!$C$9^7)*AH675*AI675</f>
        <v>0</v>
      </c>
      <c r="AK675" s="185">
        <f t="shared" si="73"/>
        <v>0</v>
      </c>
      <c r="AL675" s="186">
        <f t="shared" si="74"/>
        <v>0</v>
      </c>
    </row>
    <row r="676" spans="1:38" customFormat="1" ht="57.6" x14ac:dyDescent="0.3">
      <c r="A676" s="140" t="s">
        <v>1442</v>
      </c>
      <c r="B676" s="140">
        <v>1</v>
      </c>
      <c r="C676" s="166" t="s">
        <v>836</v>
      </c>
      <c r="D676" s="140" t="str">
        <f t="shared" si="78"/>
        <v>3</v>
      </c>
      <c r="E676" s="166" t="s">
        <v>1051</v>
      </c>
      <c r="F676" s="140">
        <f t="shared" si="79"/>
        <v>5</v>
      </c>
      <c r="G676" s="140" t="str">
        <f t="shared" si="80"/>
        <v>1.3.5</v>
      </c>
      <c r="H676" s="166" t="s">
        <v>1660</v>
      </c>
      <c r="I676" s="166"/>
      <c r="J676" s="166" t="s">
        <v>1055</v>
      </c>
      <c r="K676" s="166" t="s">
        <v>1662</v>
      </c>
      <c r="L676" s="166">
        <v>35000</v>
      </c>
      <c r="M676" s="166">
        <v>15</v>
      </c>
      <c r="N676" s="166">
        <v>2</v>
      </c>
      <c r="O676" s="164">
        <f t="shared" si="72"/>
        <v>1050000</v>
      </c>
      <c r="P676" s="166"/>
      <c r="Q676" s="166"/>
      <c r="R676" s="164">
        <f>$L676*'Pivot Objective'!$C$9*P676*Q676</f>
        <v>0</v>
      </c>
      <c r="S676" s="166"/>
      <c r="T676" s="166"/>
      <c r="U676" s="164">
        <f>($L676*'Pivot Objective'!$C$9^2)*S676*T676</f>
        <v>0</v>
      </c>
      <c r="V676" s="166"/>
      <c r="W676" s="166"/>
      <c r="X676" s="164">
        <f>($L676*'Pivot Objective'!$C$9^3)*V676*W676</f>
        <v>0</v>
      </c>
      <c r="Y676" s="166"/>
      <c r="Z676" s="166"/>
      <c r="AA676" s="164">
        <f>($L676*'Pivot Objective'!$C$9^4)*Y676*Z676</f>
        <v>0</v>
      </c>
      <c r="AB676" s="166"/>
      <c r="AC676" s="166"/>
      <c r="AD676" s="164">
        <f>($L676*'Pivot Objective'!$C$9^5)*AB676*AC676</f>
        <v>0</v>
      </c>
      <c r="AE676" s="166"/>
      <c r="AF676" s="166"/>
      <c r="AG676" s="164">
        <f>($L676*'Pivot Objective'!$C$9^6)*AE676*AF676</f>
        <v>0</v>
      </c>
      <c r="AH676" s="166"/>
      <c r="AI676" s="166"/>
      <c r="AJ676" s="164">
        <f>($L676*'Pivot Objective'!$C$9^7)*AH676*AI676</f>
        <v>0</v>
      </c>
      <c r="AK676" s="185">
        <f t="shared" si="73"/>
        <v>1050000</v>
      </c>
      <c r="AL676" s="186">
        <f t="shared" si="74"/>
        <v>1019.4174757281553</v>
      </c>
    </row>
    <row r="677" spans="1:38" customFormat="1" ht="57.6" x14ac:dyDescent="0.3">
      <c r="A677" s="140" t="s">
        <v>1442</v>
      </c>
      <c r="B677" s="140">
        <v>1</v>
      </c>
      <c r="C677" s="166" t="s">
        <v>836</v>
      </c>
      <c r="D677" s="140" t="str">
        <f t="shared" si="78"/>
        <v>3</v>
      </c>
      <c r="E677" s="166" t="s">
        <v>1051</v>
      </c>
      <c r="F677" s="140">
        <f t="shared" si="79"/>
        <v>5</v>
      </c>
      <c r="G677" s="140" t="str">
        <f t="shared" si="80"/>
        <v>1.3.5</v>
      </c>
      <c r="H677" s="166" t="s">
        <v>1660</v>
      </c>
      <c r="I677" s="166"/>
      <c r="J677" s="166" t="s">
        <v>1055</v>
      </c>
      <c r="K677" s="166" t="s">
        <v>716</v>
      </c>
      <c r="L677" s="166">
        <v>39000</v>
      </c>
      <c r="M677" s="166">
        <v>15</v>
      </c>
      <c r="N677" s="166">
        <v>3</v>
      </c>
      <c r="O677" s="164">
        <f t="shared" si="72"/>
        <v>1755000</v>
      </c>
      <c r="P677" s="166"/>
      <c r="Q677" s="166"/>
      <c r="R677" s="164">
        <f>$L677*'Pivot Objective'!$C$9*P677*Q677</f>
        <v>0</v>
      </c>
      <c r="S677" s="166"/>
      <c r="T677" s="166"/>
      <c r="U677" s="164">
        <f>($L677*'Pivot Objective'!$C$9^2)*S677*T677</f>
        <v>0</v>
      </c>
      <c r="V677" s="166"/>
      <c r="W677" s="166"/>
      <c r="X677" s="164">
        <f>($L677*'Pivot Objective'!$C$9^3)*V677*W677</f>
        <v>0</v>
      </c>
      <c r="Y677" s="166"/>
      <c r="Z677" s="166"/>
      <c r="AA677" s="164">
        <f>($L677*'Pivot Objective'!$C$9^4)*Y677*Z677</f>
        <v>0</v>
      </c>
      <c r="AB677" s="166"/>
      <c r="AC677" s="166"/>
      <c r="AD677" s="164">
        <f>($L677*'Pivot Objective'!$C$9^5)*AB677*AC677</f>
        <v>0</v>
      </c>
      <c r="AE677" s="166"/>
      <c r="AF677" s="166"/>
      <c r="AG677" s="164">
        <f>($L677*'Pivot Objective'!$C$9^6)*AE677*AF677</f>
        <v>0</v>
      </c>
      <c r="AH677" s="166"/>
      <c r="AI677" s="166"/>
      <c r="AJ677" s="164">
        <f>($L677*'Pivot Objective'!$C$9^7)*AH677*AI677</f>
        <v>0</v>
      </c>
      <c r="AK677" s="185">
        <f t="shared" si="73"/>
        <v>1755000</v>
      </c>
      <c r="AL677" s="186">
        <f t="shared" si="74"/>
        <v>1703.8834951456311</v>
      </c>
    </row>
    <row r="678" spans="1:38" customFormat="1" ht="57.6" x14ac:dyDescent="0.3">
      <c r="A678" s="140" t="s">
        <v>1442</v>
      </c>
      <c r="B678" s="140">
        <v>1</v>
      </c>
      <c r="C678" s="166" t="s">
        <v>836</v>
      </c>
      <c r="D678" s="140" t="str">
        <f t="shared" si="78"/>
        <v>3</v>
      </c>
      <c r="E678" s="166" t="s">
        <v>1051</v>
      </c>
      <c r="F678" s="140">
        <f t="shared" si="79"/>
        <v>5</v>
      </c>
      <c r="G678" s="140" t="str">
        <f t="shared" si="80"/>
        <v>1.3.5</v>
      </c>
      <c r="H678" s="166" t="s">
        <v>1660</v>
      </c>
      <c r="I678" s="166"/>
      <c r="J678" s="166" t="s">
        <v>1055</v>
      </c>
      <c r="K678" s="166" t="s">
        <v>712</v>
      </c>
      <c r="L678" s="166">
        <v>285.60000000000002</v>
      </c>
      <c r="M678" s="166">
        <v>450</v>
      </c>
      <c r="N678" s="166">
        <v>2</v>
      </c>
      <c r="O678" s="164">
        <f t="shared" si="72"/>
        <v>257040.00000000003</v>
      </c>
      <c r="P678" s="166"/>
      <c r="Q678" s="166"/>
      <c r="R678" s="164">
        <f>$L678*'Pivot Objective'!$C$9*P678*Q678</f>
        <v>0</v>
      </c>
      <c r="S678" s="166"/>
      <c r="T678" s="166"/>
      <c r="U678" s="164">
        <f>($L678*'Pivot Objective'!$C$9^2)*S678*T678</f>
        <v>0</v>
      </c>
      <c r="V678" s="166"/>
      <c r="W678" s="166"/>
      <c r="X678" s="164">
        <f>($L678*'Pivot Objective'!$C$9^3)*V678*W678</f>
        <v>0</v>
      </c>
      <c r="Y678" s="166"/>
      <c r="Z678" s="166"/>
      <c r="AA678" s="164">
        <f>($L678*'Pivot Objective'!$C$9^4)*Y678*Z678</f>
        <v>0</v>
      </c>
      <c r="AB678" s="166"/>
      <c r="AC678" s="166"/>
      <c r="AD678" s="164">
        <f>($L678*'Pivot Objective'!$C$9^5)*AB678*AC678</f>
        <v>0</v>
      </c>
      <c r="AE678" s="166"/>
      <c r="AF678" s="166"/>
      <c r="AG678" s="164">
        <f>($L678*'Pivot Objective'!$C$9^6)*AE678*AF678</f>
        <v>0</v>
      </c>
      <c r="AH678" s="166"/>
      <c r="AI678" s="166"/>
      <c r="AJ678" s="164">
        <f>($L678*'Pivot Objective'!$C$9^7)*AH678*AI678</f>
        <v>0</v>
      </c>
      <c r="AK678" s="185">
        <f t="shared" si="73"/>
        <v>257040.00000000003</v>
      </c>
      <c r="AL678" s="186">
        <f t="shared" si="74"/>
        <v>249.55339805825247</v>
      </c>
    </row>
    <row r="679" spans="1:38" customFormat="1" ht="57.6" x14ac:dyDescent="0.3">
      <c r="A679" s="140" t="s">
        <v>1442</v>
      </c>
      <c r="B679" s="140">
        <v>1</v>
      </c>
      <c r="C679" s="166" t="s">
        <v>836</v>
      </c>
      <c r="D679" s="140" t="str">
        <f t="shared" si="78"/>
        <v>3</v>
      </c>
      <c r="E679" s="166" t="s">
        <v>1051</v>
      </c>
      <c r="F679" s="140">
        <f t="shared" si="79"/>
        <v>5</v>
      </c>
      <c r="G679" s="140" t="str">
        <f t="shared" si="80"/>
        <v>1.3.5</v>
      </c>
      <c r="H679" s="166" t="s">
        <v>1660</v>
      </c>
      <c r="I679" s="166"/>
      <c r="J679" s="166" t="s">
        <v>1055</v>
      </c>
      <c r="K679" s="166" t="s">
        <v>1320</v>
      </c>
      <c r="L679" s="166">
        <v>285.60000000000002</v>
      </c>
      <c r="M679" s="166">
        <v>2430</v>
      </c>
      <c r="N679" s="166">
        <v>1</v>
      </c>
      <c r="O679" s="164">
        <f t="shared" si="72"/>
        <v>694008</v>
      </c>
      <c r="P679" s="166"/>
      <c r="Q679" s="166"/>
      <c r="R679" s="164">
        <f>$L679*'Pivot Objective'!$C$9*P679*Q679</f>
        <v>0</v>
      </c>
      <c r="S679" s="166"/>
      <c r="T679" s="166"/>
      <c r="U679" s="164">
        <f>($L679*'Pivot Objective'!$C$9^2)*S679*T679</f>
        <v>0</v>
      </c>
      <c r="V679" s="166"/>
      <c r="W679" s="166"/>
      <c r="X679" s="164">
        <f>($L679*'Pivot Objective'!$C$9^3)*V679*W679</f>
        <v>0</v>
      </c>
      <c r="Y679" s="166"/>
      <c r="Z679" s="166"/>
      <c r="AA679" s="164">
        <f>($L679*'Pivot Objective'!$C$9^4)*Y679*Z679</f>
        <v>0</v>
      </c>
      <c r="AB679" s="166"/>
      <c r="AC679" s="166"/>
      <c r="AD679" s="164">
        <f>($L679*'Pivot Objective'!$C$9^5)*AB679*AC679</f>
        <v>0</v>
      </c>
      <c r="AE679" s="166"/>
      <c r="AF679" s="166"/>
      <c r="AG679" s="164">
        <f>($L679*'Pivot Objective'!$C$9^6)*AE679*AF679</f>
        <v>0</v>
      </c>
      <c r="AH679" s="166"/>
      <c r="AI679" s="166"/>
      <c r="AJ679" s="164">
        <f>($L679*'Pivot Objective'!$C$9^7)*AH679*AI679</f>
        <v>0</v>
      </c>
      <c r="AK679" s="185">
        <f t="shared" si="73"/>
        <v>694008</v>
      </c>
      <c r="AL679" s="186">
        <f t="shared" si="74"/>
        <v>673.79417475728155</v>
      </c>
    </row>
    <row r="680" spans="1:38" customFormat="1" ht="57.6" x14ac:dyDescent="0.3">
      <c r="A680" s="140" t="s">
        <v>1442</v>
      </c>
      <c r="B680" s="140">
        <v>1</v>
      </c>
      <c r="C680" s="166" t="s">
        <v>836</v>
      </c>
      <c r="D680" s="140" t="str">
        <f t="shared" si="78"/>
        <v>3</v>
      </c>
      <c r="E680" s="166" t="s">
        <v>1051</v>
      </c>
      <c r="F680" s="140">
        <f t="shared" si="79"/>
        <v>5</v>
      </c>
      <c r="G680" s="140" t="str">
        <f t="shared" si="80"/>
        <v>1.3.5</v>
      </c>
      <c r="H680" s="166" t="s">
        <v>1660</v>
      </c>
      <c r="I680" s="166"/>
      <c r="J680" s="166" t="s">
        <v>1663</v>
      </c>
      <c r="K680" s="166" t="s">
        <v>1662</v>
      </c>
      <c r="L680" s="166">
        <v>35000</v>
      </c>
      <c r="M680" s="166">
        <v>15</v>
      </c>
      <c r="N680" s="166">
        <v>4</v>
      </c>
      <c r="O680" s="164">
        <f t="shared" si="72"/>
        <v>2100000</v>
      </c>
      <c r="P680" s="166"/>
      <c r="Q680" s="166"/>
      <c r="R680" s="164">
        <f>$L680*'Pivot Objective'!$C$9*P680*Q680</f>
        <v>0</v>
      </c>
      <c r="S680" s="166"/>
      <c r="T680" s="166"/>
      <c r="U680" s="164">
        <f>($L680*'Pivot Objective'!$C$9^2)*S680*T680</f>
        <v>0</v>
      </c>
      <c r="V680" s="166"/>
      <c r="W680" s="166"/>
      <c r="X680" s="164">
        <f>($L680*'Pivot Objective'!$C$9^3)*V680*W680</f>
        <v>0</v>
      </c>
      <c r="Y680" s="166"/>
      <c r="Z680" s="166"/>
      <c r="AA680" s="164">
        <f>($L680*'Pivot Objective'!$C$9^4)*Y680*Z680</f>
        <v>0</v>
      </c>
      <c r="AB680" s="166"/>
      <c r="AC680" s="166"/>
      <c r="AD680" s="164">
        <f>($L680*'Pivot Objective'!$C$9^5)*AB680*AC680</f>
        <v>0</v>
      </c>
      <c r="AE680" s="166"/>
      <c r="AF680" s="166"/>
      <c r="AG680" s="164">
        <f>($L680*'Pivot Objective'!$C$9^6)*AE680*AF680</f>
        <v>0</v>
      </c>
      <c r="AH680" s="166"/>
      <c r="AI680" s="166"/>
      <c r="AJ680" s="164">
        <f>($L680*'Pivot Objective'!$C$9^7)*AH680*AI680</f>
        <v>0</v>
      </c>
      <c r="AK680" s="185">
        <f t="shared" si="73"/>
        <v>2100000</v>
      </c>
      <c r="AL680" s="186">
        <f t="shared" si="74"/>
        <v>2038.8349514563106</v>
      </c>
    </row>
    <row r="681" spans="1:38" customFormat="1" ht="57.6" x14ac:dyDescent="0.3">
      <c r="A681" s="140" t="s">
        <v>1442</v>
      </c>
      <c r="B681" s="140">
        <v>1</v>
      </c>
      <c r="C681" s="166" t="s">
        <v>836</v>
      </c>
      <c r="D681" s="140" t="str">
        <f t="shared" si="78"/>
        <v>3</v>
      </c>
      <c r="E681" s="166" t="s">
        <v>1051</v>
      </c>
      <c r="F681" s="140">
        <f t="shared" si="79"/>
        <v>5</v>
      </c>
      <c r="G681" s="140" t="str">
        <f t="shared" si="80"/>
        <v>1.3.5</v>
      </c>
      <c r="H681" s="166" t="s">
        <v>1660</v>
      </c>
      <c r="I681" s="166"/>
      <c r="J681" s="166" t="s">
        <v>1663</v>
      </c>
      <c r="K681" s="166" t="s">
        <v>716</v>
      </c>
      <c r="L681" s="166">
        <v>39000</v>
      </c>
      <c r="M681" s="166">
        <v>15</v>
      </c>
      <c r="N681" s="166">
        <v>5</v>
      </c>
      <c r="O681" s="164">
        <f t="shared" si="72"/>
        <v>2925000</v>
      </c>
      <c r="P681" s="166"/>
      <c r="Q681" s="166"/>
      <c r="R681" s="164">
        <f>$L681*'Pivot Objective'!$C$9*P681*Q681</f>
        <v>0</v>
      </c>
      <c r="S681" s="166"/>
      <c r="T681" s="166"/>
      <c r="U681" s="164">
        <f>($L681*'Pivot Objective'!$C$9^2)*S681*T681</f>
        <v>0</v>
      </c>
      <c r="V681" s="166"/>
      <c r="W681" s="166"/>
      <c r="X681" s="164">
        <f>($L681*'Pivot Objective'!$C$9^3)*V681*W681</f>
        <v>0</v>
      </c>
      <c r="Y681" s="166"/>
      <c r="Z681" s="166"/>
      <c r="AA681" s="164">
        <f>($L681*'Pivot Objective'!$C$9^4)*Y681*Z681</f>
        <v>0</v>
      </c>
      <c r="AB681" s="166"/>
      <c r="AC681" s="166"/>
      <c r="AD681" s="164">
        <f>($L681*'Pivot Objective'!$C$9^5)*AB681*AC681</f>
        <v>0</v>
      </c>
      <c r="AE681" s="166"/>
      <c r="AF681" s="166"/>
      <c r="AG681" s="164">
        <f>($L681*'Pivot Objective'!$C$9^6)*AE681*AF681</f>
        <v>0</v>
      </c>
      <c r="AH681" s="166"/>
      <c r="AI681" s="166"/>
      <c r="AJ681" s="164">
        <f>($L681*'Pivot Objective'!$C$9^7)*AH681*AI681</f>
        <v>0</v>
      </c>
      <c r="AK681" s="185">
        <f t="shared" si="73"/>
        <v>2925000</v>
      </c>
      <c r="AL681" s="186">
        <f t="shared" si="74"/>
        <v>2839.8058252427186</v>
      </c>
    </row>
    <row r="682" spans="1:38" customFormat="1" ht="57.6" x14ac:dyDescent="0.3">
      <c r="A682" s="140" t="s">
        <v>1442</v>
      </c>
      <c r="B682" s="140">
        <v>1</v>
      </c>
      <c r="C682" s="166" t="s">
        <v>836</v>
      </c>
      <c r="D682" s="140" t="str">
        <f t="shared" si="78"/>
        <v>3</v>
      </c>
      <c r="E682" s="166" t="s">
        <v>1051</v>
      </c>
      <c r="F682" s="140">
        <f t="shared" si="79"/>
        <v>5</v>
      </c>
      <c r="G682" s="140" t="str">
        <f t="shared" si="80"/>
        <v>1.3.5</v>
      </c>
      <c r="H682" s="166" t="s">
        <v>1660</v>
      </c>
      <c r="I682" s="166"/>
      <c r="J682" s="166" t="s">
        <v>1663</v>
      </c>
      <c r="K682" s="166" t="s">
        <v>712</v>
      </c>
      <c r="L682" s="166">
        <v>285.60000000000002</v>
      </c>
      <c r="M682" s="166">
        <v>450</v>
      </c>
      <c r="N682" s="166">
        <v>4</v>
      </c>
      <c r="O682" s="164">
        <f t="shared" si="72"/>
        <v>514080.00000000006</v>
      </c>
      <c r="P682" s="166"/>
      <c r="Q682" s="166"/>
      <c r="R682" s="164">
        <f>$L682*'Pivot Objective'!$C$9*P682*Q682</f>
        <v>0</v>
      </c>
      <c r="S682" s="166"/>
      <c r="T682" s="166"/>
      <c r="U682" s="164">
        <f>($L682*'Pivot Objective'!$C$9^2)*S682*T682</f>
        <v>0</v>
      </c>
      <c r="V682" s="166"/>
      <c r="W682" s="166"/>
      <c r="X682" s="164">
        <f>($L682*'Pivot Objective'!$C$9^3)*V682*W682</f>
        <v>0</v>
      </c>
      <c r="Y682" s="166"/>
      <c r="Z682" s="166"/>
      <c r="AA682" s="164">
        <f>($L682*'Pivot Objective'!$C$9^4)*Y682*Z682</f>
        <v>0</v>
      </c>
      <c r="AB682" s="166"/>
      <c r="AC682" s="166"/>
      <c r="AD682" s="164">
        <f>($L682*'Pivot Objective'!$C$9^5)*AB682*AC682</f>
        <v>0</v>
      </c>
      <c r="AE682" s="166"/>
      <c r="AF682" s="166"/>
      <c r="AG682" s="164">
        <f>($L682*'Pivot Objective'!$C$9^6)*AE682*AF682</f>
        <v>0</v>
      </c>
      <c r="AH682" s="166"/>
      <c r="AI682" s="166"/>
      <c r="AJ682" s="164">
        <f>($L682*'Pivot Objective'!$C$9^7)*AH682*AI682</f>
        <v>0</v>
      </c>
      <c r="AK682" s="185">
        <f t="shared" si="73"/>
        <v>514080.00000000006</v>
      </c>
      <c r="AL682" s="186">
        <f t="shared" si="74"/>
        <v>499.10679611650494</v>
      </c>
    </row>
    <row r="683" spans="1:38" customFormat="1" ht="57.6" x14ac:dyDescent="0.3">
      <c r="A683" s="140" t="s">
        <v>1442</v>
      </c>
      <c r="B683" s="140">
        <v>1</v>
      </c>
      <c r="C683" s="166" t="s">
        <v>836</v>
      </c>
      <c r="D683" s="140" t="str">
        <f t="shared" si="78"/>
        <v>3</v>
      </c>
      <c r="E683" s="166" t="s">
        <v>1051</v>
      </c>
      <c r="F683" s="140">
        <f t="shared" si="79"/>
        <v>5</v>
      </c>
      <c r="G683" s="140" t="str">
        <f t="shared" si="80"/>
        <v>1.3.5</v>
      </c>
      <c r="H683" s="166" t="s">
        <v>1660</v>
      </c>
      <c r="I683" s="166"/>
      <c r="J683" s="166" t="s">
        <v>1663</v>
      </c>
      <c r="K683" s="166" t="s">
        <v>1320</v>
      </c>
      <c r="L683" s="166">
        <v>285.60000000000002</v>
      </c>
      <c r="M683" s="166">
        <v>2430</v>
      </c>
      <c r="N683" s="166">
        <v>1</v>
      </c>
      <c r="O683" s="164">
        <f t="shared" si="72"/>
        <v>694008</v>
      </c>
      <c r="P683" s="166"/>
      <c r="Q683" s="166"/>
      <c r="R683" s="164">
        <f>$L683*'Pivot Objective'!$C$9*P683*Q683</f>
        <v>0</v>
      </c>
      <c r="S683" s="166"/>
      <c r="T683" s="166"/>
      <c r="U683" s="164">
        <f>($L683*'Pivot Objective'!$C$9^2)*S683*T683</f>
        <v>0</v>
      </c>
      <c r="V683" s="166"/>
      <c r="W683" s="166"/>
      <c r="X683" s="164">
        <f>($L683*'Pivot Objective'!$C$9^3)*V683*W683</f>
        <v>0</v>
      </c>
      <c r="Y683" s="166"/>
      <c r="Z683" s="166"/>
      <c r="AA683" s="164">
        <f>($L683*'Pivot Objective'!$C$9^4)*Y683*Z683</f>
        <v>0</v>
      </c>
      <c r="AB683" s="166"/>
      <c r="AC683" s="166"/>
      <c r="AD683" s="164">
        <f>($L683*'Pivot Objective'!$C$9^5)*AB683*AC683</f>
        <v>0</v>
      </c>
      <c r="AE683" s="166"/>
      <c r="AF683" s="166"/>
      <c r="AG683" s="164">
        <f>($L683*'Pivot Objective'!$C$9^6)*AE683*AF683</f>
        <v>0</v>
      </c>
      <c r="AH683" s="166"/>
      <c r="AI683" s="166"/>
      <c r="AJ683" s="164">
        <f>($L683*'Pivot Objective'!$C$9^7)*AH683*AI683</f>
        <v>0</v>
      </c>
      <c r="AK683" s="185">
        <f t="shared" si="73"/>
        <v>694008</v>
      </c>
      <c r="AL683" s="186">
        <f t="shared" si="74"/>
        <v>673.79417475728155</v>
      </c>
    </row>
    <row r="684" spans="1:38" customFormat="1" ht="57.6" x14ac:dyDescent="0.3">
      <c r="A684" s="140" t="s">
        <v>1442</v>
      </c>
      <c r="B684" s="140">
        <v>1</v>
      </c>
      <c r="C684" s="166" t="s">
        <v>836</v>
      </c>
      <c r="D684" s="140" t="str">
        <f t="shared" si="78"/>
        <v>3</v>
      </c>
      <c r="E684" s="166" t="s">
        <v>1051</v>
      </c>
      <c r="F684" s="140">
        <f t="shared" si="79"/>
        <v>5</v>
      </c>
      <c r="G684" s="140" t="str">
        <f t="shared" si="80"/>
        <v>1.3.5</v>
      </c>
      <c r="H684" s="166" t="s">
        <v>1660</v>
      </c>
      <c r="I684" s="166"/>
      <c r="J684" s="166" t="s">
        <v>1664</v>
      </c>
      <c r="K684" s="166" t="s">
        <v>1662</v>
      </c>
      <c r="L684" s="166">
        <v>35000</v>
      </c>
      <c r="M684" s="166">
        <v>15</v>
      </c>
      <c r="N684" s="166">
        <v>2</v>
      </c>
      <c r="O684" s="164">
        <f t="shared" si="72"/>
        <v>1050000</v>
      </c>
      <c r="P684" s="166"/>
      <c r="Q684" s="166"/>
      <c r="R684" s="164">
        <f>$L684*'Pivot Objective'!$C$9*P684*Q684</f>
        <v>0</v>
      </c>
      <c r="S684" s="166"/>
      <c r="T684" s="166"/>
      <c r="U684" s="164">
        <f>($L684*'Pivot Objective'!$C$9^2)*S684*T684</f>
        <v>0</v>
      </c>
      <c r="V684" s="166"/>
      <c r="W684" s="166"/>
      <c r="X684" s="164">
        <f>($L684*'Pivot Objective'!$C$9^3)*V684*W684</f>
        <v>0</v>
      </c>
      <c r="Y684" s="166"/>
      <c r="Z684" s="166"/>
      <c r="AA684" s="164">
        <f>($L684*'Pivot Objective'!$C$9^4)*Y684*Z684</f>
        <v>0</v>
      </c>
      <c r="AB684" s="166"/>
      <c r="AC684" s="166"/>
      <c r="AD684" s="164">
        <f>($L684*'Pivot Objective'!$C$9^5)*AB684*AC684</f>
        <v>0</v>
      </c>
      <c r="AE684" s="166"/>
      <c r="AF684" s="166"/>
      <c r="AG684" s="164">
        <f>($L684*'Pivot Objective'!$C$9^6)*AE684*AF684</f>
        <v>0</v>
      </c>
      <c r="AH684" s="166"/>
      <c r="AI684" s="166"/>
      <c r="AJ684" s="164">
        <f>($L684*'Pivot Objective'!$C$9^7)*AH684*AI684</f>
        <v>0</v>
      </c>
      <c r="AK684" s="185">
        <f t="shared" si="73"/>
        <v>1050000</v>
      </c>
      <c r="AL684" s="186">
        <f t="shared" si="74"/>
        <v>1019.4174757281553</v>
      </c>
    </row>
    <row r="685" spans="1:38" customFormat="1" ht="57.6" x14ac:dyDescent="0.3">
      <c r="A685" s="140" t="s">
        <v>1442</v>
      </c>
      <c r="B685" s="140">
        <v>1</v>
      </c>
      <c r="C685" s="166" t="s">
        <v>836</v>
      </c>
      <c r="D685" s="140" t="str">
        <f t="shared" si="78"/>
        <v>3</v>
      </c>
      <c r="E685" s="166" t="s">
        <v>1051</v>
      </c>
      <c r="F685" s="140">
        <f t="shared" si="79"/>
        <v>5</v>
      </c>
      <c r="G685" s="140" t="str">
        <f t="shared" si="80"/>
        <v>1.3.5</v>
      </c>
      <c r="H685" s="166" t="s">
        <v>1660</v>
      </c>
      <c r="I685" s="166"/>
      <c r="J685" s="166" t="s">
        <v>1664</v>
      </c>
      <c r="K685" s="166" t="s">
        <v>716</v>
      </c>
      <c r="L685" s="166">
        <v>39000</v>
      </c>
      <c r="M685" s="166">
        <v>15</v>
      </c>
      <c r="N685" s="166">
        <v>3</v>
      </c>
      <c r="O685" s="164">
        <f t="shared" si="72"/>
        <v>1755000</v>
      </c>
      <c r="P685" s="166"/>
      <c r="Q685" s="166"/>
      <c r="R685" s="164">
        <f>$L685*'Pivot Objective'!$C$9*P685*Q685</f>
        <v>0</v>
      </c>
      <c r="S685" s="166"/>
      <c r="T685" s="166"/>
      <c r="U685" s="164">
        <f>($L685*'Pivot Objective'!$C$9^2)*S685*T685</f>
        <v>0</v>
      </c>
      <c r="V685" s="166"/>
      <c r="W685" s="166"/>
      <c r="X685" s="164">
        <f>($L685*'Pivot Objective'!$C$9^3)*V685*W685</f>
        <v>0</v>
      </c>
      <c r="Y685" s="166"/>
      <c r="Z685" s="166"/>
      <c r="AA685" s="164">
        <f>($L685*'Pivot Objective'!$C$9^4)*Y685*Z685</f>
        <v>0</v>
      </c>
      <c r="AB685" s="166"/>
      <c r="AC685" s="166"/>
      <c r="AD685" s="164">
        <f>($L685*'Pivot Objective'!$C$9^5)*AB685*AC685</f>
        <v>0</v>
      </c>
      <c r="AE685" s="166"/>
      <c r="AF685" s="166"/>
      <c r="AG685" s="164">
        <f>($L685*'Pivot Objective'!$C$9^6)*AE685*AF685</f>
        <v>0</v>
      </c>
      <c r="AH685" s="166"/>
      <c r="AI685" s="166"/>
      <c r="AJ685" s="164">
        <f>($L685*'Pivot Objective'!$C$9^7)*AH685*AI685</f>
        <v>0</v>
      </c>
      <c r="AK685" s="185">
        <f t="shared" si="73"/>
        <v>1755000</v>
      </c>
      <c r="AL685" s="186">
        <f t="shared" si="74"/>
        <v>1703.8834951456311</v>
      </c>
    </row>
    <row r="686" spans="1:38" customFormat="1" ht="57.6" x14ac:dyDescent="0.3">
      <c r="A686" s="140" t="s">
        <v>1442</v>
      </c>
      <c r="B686" s="140">
        <v>1</v>
      </c>
      <c r="C686" s="166" t="s">
        <v>836</v>
      </c>
      <c r="D686" s="140" t="str">
        <f t="shared" si="78"/>
        <v>3</v>
      </c>
      <c r="E686" s="166" t="s">
        <v>1051</v>
      </c>
      <c r="F686" s="140">
        <f t="shared" si="79"/>
        <v>5</v>
      </c>
      <c r="G686" s="140" t="str">
        <f t="shared" si="80"/>
        <v>1.3.5</v>
      </c>
      <c r="H686" s="166" t="s">
        <v>1660</v>
      </c>
      <c r="I686" s="166"/>
      <c r="J686" s="166" t="s">
        <v>1664</v>
      </c>
      <c r="K686" s="166" t="s">
        <v>712</v>
      </c>
      <c r="L686" s="166">
        <v>285.60000000000002</v>
      </c>
      <c r="M686" s="166">
        <v>450</v>
      </c>
      <c r="N686" s="166">
        <v>2</v>
      </c>
      <c r="O686" s="164">
        <f t="shared" si="72"/>
        <v>257040.00000000003</v>
      </c>
      <c r="P686" s="166"/>
      <c r="Q686" s="166"/>
      <c r="R686" s="164">
        <f>$L686*'Pivot Objective'!$C$9*P686*Q686</f>
        <v>0</v>
      </c>
      <c r="S686" s="166"/>
      <c r="T686" s="166"/>
      <c r="U686" s="164">
        <f>($L686*'Pivot Objective'!$C$9^2)*S686*T686</f>
        <v>0</v>
      </c>
      <c r="V686" s="166"/>
      <c r="W686" s="166"/>
      <c r="X686" s="164">
        <f>($L686*'Pivot Objective'!$C$9^3)*V686*W686</f>
        <v>0</v>
      </c>
      <c r="Y686" s="166"/>
      <c r="Z686" s="166"/>
      <c r="AA686" s="164">
        <f>($L686*'Pivot Objective'!$C$9^4)*Y686*Z686</f>
        <v>0</v>
      </c>
      <c r="AB686" s="166"/>
      <c r="AC686" s="166"/>
      <c r="AD686" s="164">
        <f>($L686*'Pivot Objective'!$C$9^5)*AB686*AC686</f>
        <v>0</v>
      </c>
      <c r="AE686" s="166"/>
      <c r="AF686" s="166"/>
      <c r="AG686" s="164">
        <f>($L686*'Pivot Objective'!$C$9^6)*AE686*AF686</f>
        <v>0</v>
      </c>
      <c r="AH686" s="166"/>
      <c r="AI686" s="166"/>
      <c r="AJ686" s="164">
        <f>($L686*'Pivot Objective'!$C$9^7)*AH686*AI686</f>
        <v>0</v>
      </c>
      <c r="AK686" s="185">
        <f t="shared" si="73"/>
        <v>257040.00000000003</v>
      </c>
      <c r="AL686" s="186">
        <f t="shared" si="74"/>
        <v>249.55339805825247</v>
      </c>
    </row>
    <row r="687" spans="1:38" customFormat="1" ht="57.6" x14ac:dyDescent="0.3">
      <c r="A687" s="140" t="s">
        <v>1442</v>
      </c>
      <c r="B687" s="140">
        <v>1</v>
      </c>
      <c r="C687" s="166" t="s">
        <v>836</v>
      </c>
      <c r="D687" s="140" t="str">
        <f t="shared" si="78"/>
        <v>3</v>
      </c>
      <c r="E687" s="166" t="s">
        <v>1051</v>
      </c>
      <c r="F687" s="140">
        <f t="shared" si="79"/>
        <v>5</v>
      </c>
      <c r="G687" s="140" t="str">
        <f t="shared" si="80"/>
        <v>1.3.5</v>
      </c>
      <c r="H687" s="166" t="s">
        <v>1660</v>
      </c>
      <c r="I687" s="166"/>
      <c r="J687" s="166" t="s">
        <v>1664</v>
      </c>
      <c r="K687" s="166" t="s">
        <v>1320</v>
      </c>
      <c r="L687" s="166">
        <v>285.60000000000002</v>
      </c>
      <c r="M687" s="166">
        <v>2430</v>
      </c>
      <c r="N687" s="166">
        <v>1</v>
      </c>
      <c r="O687" s="164">
        <f t="shared" si="72"/>
        <v>694008</v>
      </c>
      <c r="P687" s="166"/>
      <c r="Q687" s="166"/>
      <c r="R687" s="164">
        <f>$L687*'Pivot Objective'!$C$9*P687*Q687</f>
        <v>0</v>
      </c>
      <c r="S687" s="166"/>
      <c r="T687" s="166"/>
      <c r="U687" s="164">
        <f>($L687*'Pivot Objective'!$C$9^2)*S687*T687</f>
        <v>0</v>
      </c>
      <c r="V687" s="166"/>
      <c r="W687" s="166"/>
      <c r="X687" s="164">
        <f>($L687*'Pivot Objective'!$C$9^3)*V687*W687</f>
        <v>0</v>
      </c>
      <c r="Y687" s="166"/>
      <c r="Z687" s="166"/>
      <c r="AA687" s="164">
        <f>($L687*'Pivot Objective'!$C$9^4)*Y687*Z687</f>
        <v>0</v>
      </c>
      <c r="AB687" s="166"/>
      <c r="AC687" s="166"/>
      <c r="AD687" s="164">
        <f>($L687*'Pivot Objective'!$C$9^5)*AB687*AC687</f>
        <v>0</v>
      </c>
      <c r="AE687" s="166"/>
      <c r="AF687" s="166"/>
      <c r="AG687" s="164">
        <f>($L687*'Pivot Objective'!$C$9^6)*AE687*AF687</f>
        <v>0</v>
      </c>
      <c r="AH687" s="166"/>
      <c r="AI687" s="166"/>
      <c r="AJ687" s="164">
        <f>($L687*'Pivot Objective'!$C$9^7)*AH687*AI687</f>
        <v>0</v>
      </c>
      <c r="AK687" s="185">
        <f t="shared" si="73"/>
        <v>694008</v>
      </c>
      <c r="AL687" s="186">
        <f t="shared" si="74"/>
        <v>673.79417475728155</v>
      </c>
    </row>
    <row r="688" spans="1:38" customFormat="1" ht="57.6" x14ac:dyDescent="0.3">
      <c r="A688" s="140" t="s">
        <v>1442</v>
      </c>
      <c r="B688" s="140">
        <v>1</v>
      </c>
      <c r="C688" s="166" t="s">
        <v>836</v>
      </c>
      <c r="D688" s="140" t="str">
        <f t="shared" si="78"/>
        <v>3</v>
      </c>
      <c r="E688" s="166" t="s">
        <v>1051</v>
      </c>
      <c r="F688" s="140">
        <f t="shared" si="79"/>
        <v>5</v>
      </c>
      <c r="G688" s="140" t="str">
        <f t="shared" si="80"/>
        <v>1.3.5</v>
      </c>
      <c r="H688" s="166" t="s">
        <v>1660</v>
      </c>
      <c r="I688" s="166"/>
      <c r="J688" s="166" t="s">
        <v>1665</v>
      </c>
      <c r="K688" s="166" t="s">
        <v>1662</v>
      </c>
      <c r="L688" s="166">
        <v>35000</v>
      </c>
      <c r="M688" s="166">
        <v>15</v>
      </c>
      <c r="N688" s="166">
        <v>1</v>
      </c>
      <c r="O688" s="164">
        <f t="shared" si="72"/>
        <v>525000</v>
      </c>
      <c r="P688" s="166"/>
      <c r="Q688" s="166"/>
      <c r="R688" s="164">
        <f>$L688*'Pivot Objective'!$C$9*P688*Q688</f>
        <v>0</v>
      </c>
      <c r="S688" s="166"/>
      <c r="T688" s="166"/>
      <c r="U688" s="164">
        <f>($L688*'Pivot Objective'!$C$9^2)*S688*T688</f>
        <v>0</v>
      </c>
      <c r="V688" s="166"/>
      <c r="W688" s="166"/>
      <c r="X688" s="164">
        <f>($L688*'Pivot Objective'!$C$9^3)*V688*W688</f>
        <v>0</v>
      </c>
      <c r="Y688" s="166"/>
      <c r="Z688" s="166"/>
      <c r="AA688" s="164">
        <f>($L688*'Pivot Objective'!$C$9^4)*Y688*Z688</f>
        <v>0</v>
      </c>
      <c r="AB688" s="166"/>
      <c r="AC688" s="166"/>
      <c r="AD688" s="164">
        <f>($L688*'Pivot Objective'!$C$9^5)*AB688*AC688</f>
        <v>0</v>
      </c>
      <c r="AE688" s="166"/>
      <c r="AF688" s="166"/>
      <c r="AG688" s="164">
        <f>($L688*'Pivot Objective'!$C$9^6)*AE688*AF688</f>
        <v>0</v>
      </c>
      <c r="AH688" s="166"/>
      <c r="AI688" s="166"/>
      <c r="AJ688" s="164">
        <f>($L688*'Pivot Objective'!$C$9^7)*AH688*AI688</f>
        <v>0</v>
      </c>
      <c r="AK688" s="185">
        <f t="shared" si="73"/>
        <v>525000</v>
      </c>
      <c r="AL688" s="186">
        <f t="shared" si="74"/>
        <v>509.70873786407765</v>
      </c>
    </row>
    <row r="689" spans="1:38" customFormat="1" ht="57.6" x14ac:dyDescent="0.3">
      <c r="A689" s="140" t="s">
        <v>1442</v>
      </c>
      <c r="B689" s="140">
        <v>1</v>
      </c>
      <c r="C689" s="166" t="s">
        <v>836</v>
      </c>
      <c r="D689" s="140" t="str">
        <f t="shared" si="78"/>
        <v>3</v>
      </c>
      <c r="E689" s="166" t="s">
        <v>1051</v>
      </c>
      <c r="F689" s="140">
        <f t="shared" si="79"/>
        <v>5</v>
      </c>
      <c r="G689" s="140" t="str">
        <f t="shared" si="80"/>
        <v>1.3.5</v>
      </c>
      <c r="H689" s="166" t="s">
        <v>1660</v>
      </c>
      <c r="I689" s="166"/>
      <c r="J689" s="166" t="s">
        <v>1666</v>
      </c>
      <c r="K689" s="166" t="s">
        <v>716</v>
      </c>
      <c r="L689" s="166">
        <v>39000</v>
      </c>
      <c r="M689" s="166">
        <v>15</v>
      </c>
      <c r="N689" s="166">
        <v>10</v>
      </c>
      <c r="O689" s="164">
        <f t="shared" si="72"/>
        <v>5850000</v>
      </c>
      <c r="P689" s="166"/>
      <c r="Q689" s="166"/>
      <c r="R689" s="164">
        <f>$L689*'Pivot Objective'!$C$9*P689*Q689</f>
        <v>0</v>
      </c>
      <c r="S689" s="166"/>
      <c r="T689" s="166"/>
      <c r="U689" s="164">
        <f>($L689*'Pivot Objective'!$C$9^2)*S689*T689</f>
        <v>0</v>
      </c>
      <c r="V689" s="166"/>
      <c r="W689" s="166"/>
      <c r="X689" s="164">
        <f>($L689*'Pivot Objective'!$C$9^3)*V689*W689</f>
        <v>0</v>
      </c>
      <c r="Y689" s="166"/>
      <c r="Z689" s="166"/>
      <c r="AA689" s="164">
        <f>($L689*'Pivot Objective'!$C$9^4)*Y689*Z689</f>
        <v>0</v>
      </c>
      <c r="AB689" s="166"/>
      <c r="AC689" s="166"/>
      <c r="AD689" s="164">
        <f>($L689*'Pivot Objective'!$C$9^5)*AB689*AC689</f>
        <v>0</v>
      </c>
      <c r="AE689" s="166"/>
      <c r="AF689" s="166"/>
      <c r="AG689" s="164">
        <f>($L689*'Pivot Objective'!$C$9^6)*AE689*AF689</f>
        <v>0</v>
      </c>
      <c r="AH689" s="166"/>
      <c r="AI689" s="166"/>
      <c r="AJ689" s="164">
        <f>($L689*'Pivot Objective'!$C$9^7)*AH689*AI689</f>
        <v>0</v>
      </c>
      <c r="AK689" s="185">
        <f t="shared" si="73"/>
        <v>5850000</v>
      </c>
      <c r="AL689" s="186">
        <f t="shared" si="74"/>
        <v>5679.6116504854372</v>
      </c>
    </row>
    <row r="690" spans="1:38" customFormat="1" ht="57.6" x14ac:dyDescent="0.3">
      <c r="A690" s="140" t="s">
        <v>1442</v>
      </c>
      <c r="B690" s="140">
        <v>1</v>
      </c>
      <c r="C690" s="166" t="s">
        <v>836</v>
      </c>
      <c r="D690" s="140" t="str">
        <f t="shared" si="78"/>
        <v>3</v>
      </c>
      <c r="E690" s="166" t="s">
        <v>1051</v>
      </c>
      <c r="F690" s="140">
        <f t="shared" si="79"/>
        <v>5</v>
      </c>
      <c r="G690" s="140" t="str">
        <f t="shared" si="80"/>
        <v>1.3.5</v>
      </c>
      <c r="H690" s="166" t="s">
        <v>1660</v>
      </c>
      <c r="I690" s="166"/>
      <c r="J690" s="166" t="s">
        <v>1666</v>
      </c>
      <c r="K690" s="166" t="s">
        <v>712</v>
      </c>
      <c r="L690" s="166">
        <v>285.60000000000002</v>
      </c>
      <c r="M690" s="166">
        <v>450</v>
      </c>
      <c r="N690" s="166">
        <v>10</v>
      </c>
      <c r="O690" s="164">
        <f t="shared" si="72"/>
        <v>1285200.0000000002</v>
      </c>
      <c r="P690" s="166"/>
      <c r="Q690" s="166"/>
      <c r="R690" s="164">
        <f>$L690*'Pivot Objective'!$C$9*P690*Q690</f>
        <v>0</v>
      </c>
      <c r="S690" s="166"/>
      <c r="T690" s="166"/>
      <c r="U690" s="164">
        <f>($L690*'Pivot Objective'!$C$9^2)*S690*T690</f>
        <v>0</v>
      </c>
      <c r="V690" s="166"/>
      <c r="W690" s="166"/>
      <c r="X690" s="164">
        <f>($L690*'Pivot Objective'!$C$9^3)*V690*W690</f>
        <v>0</v>
      </c>
      <c r="Y690" s="166"/>
      <c r="Z690" s="166"/>
      <c r="AA690" s="164">
        <f>($L690*'Pivot Objective'!$C$9^4)*Y690*Z690</f>
        <v>0</v>
      </c>
      <c r="AB690" s="166"/>
      <c r="AC690" s="166"/>
      <c r="AD690" s="164">
        <f>($L690*'Pivot Objective'!$C$9^5)*AB690*AC690</f>
        <v>0</v>
      </c>
      <c r="AE690" s="166"/>
      <c r="AF690" s="166"/>
      <c r="AG690" s="164">
        <f>($L690*'Pivot Objective'!$C$9^6)*AE690*AF690</f>
        <v>0</v>
      </c>
      <c r="AH690" s="166"/>
      <c r="AI690" s="166"/>
      <c r="AJ690" s="164">
        <f>($L690*'Pivot Objective'!$C$9^7)*AH690*AI690</f>
        <v>0</v>
      </c>
      <c r="AK690" s="185">
        <f t="shared" si="73"/>
        <v>1285200.0000000002</v>
      </c>
      <c r="AL690" s="186">
        <f t="shared" si="74"/>
        <v>1247.7669902912623</v>
      </c>
    </row>
    <row r="691" spans="1:38" customFormat="1" ht="57.6" x14ac:dyDescent="0.3">
      <c r="A691" s="140" t="s">
        <v>1442</v>
      </c>
      <c r="B691" s="140">
        <v>1</v>
      </c>
      <c r="C691" s="166" t="s">
        <v>836</v>
      </c>
      <c r="D691" s="140" t="str">
        <f t="shared" si="78"/>
        <v>3</v>
      </c>
      <c r="E691" s="166" t="s">
        <v>1051</v>
      </c>
      <c r="F691" s="140">
        <f t="shared" si="79"/>
        <v>5</v>
      </c>
      <c r="G691" s="140" t="str">
        <f t="shared" si="80"/>
        <v>1.3.5</v>
      </c>
      <c r="H691" s="166" t="s">
        <v>1660</v>
      </c>
      <c r="I691" s="166"/>
      <c r="J691" s="166" t="s">
        <v>1666</v>
      </c>
      <c r="K691" s="166" t="s">
        <v>1320</v>
      </c>
      <c r="L691" s="166">
        <v>285.60000000000002</v>
      </c>
      <c r="M691" s="166">
        <v>17376</v>
      </c>
      <c r="N691" s="166">
        <v>1</v>
      </c>
      <c r="O691" s="164">
        <f t="shared" si="72"/>
        <v>4962585.6000000006</v>
      </c>
      <c r="P691" s="166"/>
      <c r="Q691" s="166"/>
      <c r="R691" s="164">
        <f>$L691*'Pivot Objective'!$C$9*P691*Q691</f>
        <v>0</v>
      </c>
      <c r="S691" s="166"/>
      <c r="T691" s="166"/>
      <c r="U691" s="164">
        <f>($L691*'Pivot Objective'!$C$9^2)*S691*T691</f>
        <v>0</v>
      </c>
      <c r="V691" s="166"/>
      <c r="W691" s="166"/>
      <c r="X691" s="164">
        <f>($L691*'Pivot Objective'!$C$9^3)*V691*W691</f>
        <v>0</v>
      </c>
      <c r="Y691" s="166"/>
      <c r="Z691" s="166"/>
      <c r="AA691" s="164">
        <f>($L691*'Pivot Objective'!$C$9^4)*Y691*Z691</f>
        <v>0</v>
      </c>
      <c r="AB691" s="166"/>
      <c r="AC691" s="166"/>
      <c r="AD691" s="164">
        <f>($L691*'Pivot Objective'!$C$9^5)*AB691*AC691</f>
        <v>0</v>
      </c>
      <c r="AE691" s="166"/>
      <c r="AF691" s="166"/>
      <c r="AG691" s="164">
        <f>($L691*'Pivot Objective'!$C$9^6)*AE691*AF691</f>
        <v>0</v>
      </c>
      <c r="AH691" s="166"/>
      <c r="AI691" s="166"/>
      <c r="AJ691" s="164">
        <f>($L691*'Pivot Objective'!$C$9^7)*AH691*AI691</f>
        <v>0</v>
      </c>
      <c r="AK691" s="185">
        <f t="shared" si="73"/>
        <v>4962585.6000000006</v>
      </c>
      <c r="AL691" s="186">
        <f t="shared" si="74"/>
        <v>4818.0442718446611</v>
      </c>
    </row>
    <row r="692" spans="1:38" customFormat="1" ht="57.6" x14ac:dyDescent="0.3">
      <c r="A692" s="140" t="s">
        <v>1442</v>
      </c>
      <c r="B692" s="140">
        <v>1</v>
      </c>
      <c r="C692" s="166" t="s">
        <v>836</v>
      </c>
      <c r="D692" s="140" t="str">
        <f t="shared" si="78"/>
        <v>3</v>
      </c>
      <c r="E692" s="166" t="s">
        <v>1051</v>
      </c>
      <c r="F692" s="140">
        <f t="shared" si="79"/>
        <v>6</v>
      </c>
      <c r="G692" s="140" t="str">
        <f t="shared" si="80"/>
        <v>1.3.6</v>
      </c>
      <c r="H692" s="166" t="s">
        <v>1667</v>
      </c>
      <c r="I692" s="166"/>
      <c r="J692" s="166" t="s">
        <v>1668</v>
      </c>
      <c r="K692" s="166" t="s">
        <v>841</v>
      </c>
      <c r="L692" s="166"/>
      <c r="M692" s="166"/>
      <c r="N692" s="166"/>
      <c r="O692" s="164">
        <f t="shared" si="72"/>
        <v>0</v>
      </c>
      <c r="P692" s="166"/>
      <c r="Q692" s="166"/>
      <c r="R692" s="164">
        <f>$L692*'Pivot Objective'!$C$9*P692*Q692</f>
        <v>0</v>
      </c>
      <c r="S692" s="166"/>
      <c r="T692" s="166"/>
      <c r="U692" s="164">
        <f>($L692*'Pivot Objective'!$C$9^2)*S692*T692</f>
        <v>0</v>
      </c>
      <c r="V692" s="166"/>
      <c r="W692" s="166"/>
      <c r="X692" s="164">
        <f>($L692*'Pivot Objective'!$C$9^3)*V692*W692</f>
        <v>0</v>
      </c>
      <c r="Y692" s="166"/>
      <c r="Z692" s="166"/>
      <c r="AA692" s="164">
        <f>($L692*'Pivot Objective'!$C$9^4)*Y692*Z692</f>
        <v>0</v>
      </c>
      <c r="AB692" s="166"/>
      <c r="AC692" s="166"/>
      <c r="AD692" s="164">
        <f>($L692*'Pivot Objective'!$C$9^5)*AB692*AC692</f>
        <v>0</v>
      </c>
      <c r="AE692" s="166"/>
      <c r="AF692" s="166"/>
      <c r="AG692" s="164">
        <f>($L692*'Pivot Objective'!$C$9^6)*AE692*AF692</f>
        <v>0</v>
      </c>
      <c r="AH692" s="166"/>
      <c r="AI692" s="166"/>
      <c r="AJ692" s="164">
        <f>($L692*'Pivot Objective'!$C$9^7)*AH692*AI692</f>
        <v>0</v>
      </c>
      <c r="AK692" s="185">
        <f t="shared" si="73"/>
        <v>0</v>
      </c>
      <c r="AL692" s="186">
        <f t="shared" si="74"/>
        <v>0</v>
      </c>
    </row>
    <row r="693" spans="1:38" customFormat="1" ht="57.6" x14ac:dyDescent="0.3">
      <c r="A693" s="140" t="s">
        <v>1442</v>
      </c>
      <c r="B693" s="140">
        <v>1</v>
      </c>
      <c r="C693" s="166" t="s">
        <v>836</v>
      </c>
      <c r="D693" s="140" t="str">
        <f t="shared" si="78"/>
        <v>3</v>
      </c>
      <c r="E693" s="166" t="s">
        <v>1051</v>
      </c>
      <c r="F693" s="140">
        <f t="shared" si="79"/>
        <v>6</v>
      </c>
      <c r="G693" s="140" t="str">
        <f t="shared" si="80"/>
        <v>1.3.6</v>
      </c>
      <c r="H693" s="166" t="s">
        <v>1667</v>
      </c>
      <c r="I693" s="166"/>
      <c r="J693" s="166" t="s">
        <v>1055</v>
      </c>
      <c r="K693" s="166" t="s">
        <v>709</v>
      </c>
      <c r="L693" s="166">
        <v>35000</v>
      </c>
      <c r="M693" s="166">
        <v>25</v>
      </c>
      <c r="N693" s="166">
        <v>3</v>
      </c>
      <c r="O693" s="164">
        <f t="shared" si="72"/>
        <v>2625000</v>
      </c>
      <c r="P693" s="166"/>
      <c r="Q693" s="166"/>
      <c r="R693" s="164">
        <f>$L693*'Pivot Objective'!$C$9*P693*Q693</f>
        <v>0</v>
      </c>
      <c r="S693" s="166"/>
      <c r="T693" s="166"/>
      <c r="U693" s="164">
        <f>($L693*'Pivot Objective'!$C$9^2)*S693*T693</f>
        <v>0</v>
      </c>
      <c r="V693" s="166"/>
      <c r="W693" s="166"/>
      <c r="X693" s="164">
        <f>($L693*'Pivot Objective'!$C$9^3)*V693*W693</f>
        <v>0</v>
      </c>
      <c r="Y693" s="166"/>
      <c r="Z693" s="166"/>
      <c r="AA693" s="164">
        <f>($L693*'Pivot Objective'!$C$9^4)*Y693*Z693</f>
        <v>0</v>
      </c>
      <c r="AB693" s="166"/>
      <c r="AC693" s="166"/>
      <c r="AD693" s="164">
        <f>($L693*'Pivot Objective'!$C$9^5)*AB693*AC693</f>
        <v>0</v>
      </c>
      <c r="AE693" s="166"/>
      <c r="AF693" s="166"/>
      <c r="AG693" s="164">
        <f>($L693*'Pivot Objective'!$C$9^6)*AE693*AF693</f>
        <v>0</v>
      </c>
      <c r="AH693" s="166"/>
      <c r="AI693" s="166"/>
      <c r="AJ693" s="164">
        <f>($L693*'Pivot Objective'!$C$9^7)*AH693*AI693</f>
        <v>0</v>
      </c>
      <c r="AK693" s="185">
        <f t="shared" si="73"/>
        <v>2625000</v>
      </c>
      <c r="AL693" s="186">
        <f t="shared" si="74"/>
        <v>2548.5436893203882</v>
      </c>
    </row>
    <row r="694" spans="1:38" customFormat="1" ht="57.6" x14ac:dyDescent="0.3">
      <c r="A694" s="140" t="s">
        <v>1442</v>
      </c>
      <c r="B694" s="140">
        <v>1</v>
      </c>
      <c r="C694" s="166" t="s">
        <v>836</v>
      </c>
      <c r="D694" s="140" t="str">
        <f t="shared" si="78"/>
        <v>3</v>
      </c>
      <c r="E694" s="166" t="s">
        <v>1051</v>
      </c>
      <c r="F694" s="140">
        <f t="shared" si="79"/>
        <v>6</v>
      </c>
      <c r="G694" s="140" t="str">
        <f t="shared" si="80"/>
        <v>1.3.6</v>
      </c>
      <c r="H694" s="166" t="s">
        <v>1667</v>
      </c>
      <c r="I694" s="166"/>
      <c r="J694" s="166" t="s">
        <v>1055</v>
      </c>
      <c r="K694" s="166" t="s">
        <v>716</v>
      </c>
      <c r="L694" s="166">
        <v>39000</v>
      </c>
      <c r="M694" s="166">
        <v>25</v>
      </c>
      <c r="N694" s="166">
        <v>4</v>
      </c>
      <c r="O694" s="164">
        <f t="shared" si="72"/>
        <v>3900000</v>
      </c>
      <c r="P694" s="166"/>
      <c r="Q694" s="166"/>
      <c r="R694" s="164">
        <f>$L694*'Pivot Objective'!$C$9*P694*Q694</f>
        <v>0</v>
      </c>
      <c r="S694" s="166"/>
      <c r="T694" s="166"/>
      <c r="U694" s="164">
        <f>($L694*'Pivot Objective'!$C$9^2)*S694*T694</f>
        <v>0</v>
      </c>
      <c r="V694" s="166"/>
      <c r="W694" s="166"/>
      <c r="X694" s="164">
        <f>($L694*'Pivot Objective'!$C$9^3)*V694*W694</f>
        <v>0</v>
      </c>
      <c r="Y694" s="166"/>
      <c r="Z694" s="166"/>
      <c r="AA694" s="164">
        <f>($L694*'Pivot Objective'!$C$9^4)*Y694*Z694</f>
        <v>0</v>
      </c>
      <c r="AB694" s="166"/>
      <c r="AC694" s="166"/>
      <c r="AD694" s="164">
        <f>($L694*'Pivot Objective'!$C$9^5)*AB694*AC694</f>
        <v>0</v>
      </c>
      <c r="AE694" s="166"/>
      <c r="AF694" s="166"/>
      <c r="AG694" s="164">
        <f>($L694*'Pivot Objective'!$C$9^6)*AE694*AF694</f>
        <v>0</v>
      </c>
      <c r="AH694" s="166"/>
      <c r="AI694" s="166"/>
      <c r="AJ694" s="164">
        <f>($L694*'Pivot Objective'!$C$9^7)*AH694*AI694</f>
        <v>0</v>
      </c>
      <c r="AK694" s="185">
        <f t="shared" si="73"/>
        <v>3900000</v>
      </c>
      <c r="AL694" s="186">
        <f t="shared" si="74"/>
        <v>3786.4077669902913</v>
      </c>
    </row>
    <row r="695" spans="1:38" customFormat="1" ht="57.6" x14ac:dyDescent="0.3">
      <c r="A695" s="140" t="s">
        <v>1442</v>
      </c>
      <c r="B695" s="140">
        <v>1</v>
      </c>
      <c r="C695" s="166" t="s">
        <v>836</v>
      </c>
      <c r="D695" s="140" t="str">
        <f t="shared" si="78"/>
        <v>3</v>
      </c>
      <c r="E695" s="166" t="s">
        <v>1051</v>
      </c>
      <c r="F695" s="140">
        <f t="shared" si="79"/>
        <v>6</v>
      </c>
      <c r="G695" s="140" t="str">
        <f t="shared" si="80"/>
        <v>1.3.6</v>
      </c>
      <c r="H695" s="166" t="s">
        <v>1667</v>
      </c>
      <c r="I695" s="166"/>
      <c r="J695" s="166" t="s">
        <v>1055</v>
      </c>
      <c r="K695" s="166" t="s">
        <v>712</v>
      </c>
      <c r="L695" s="166">
        <v>285.60000000000002</v>
      </c>
      <c r="M695" s="166">
        <v>450</v>
      </c>
      <c r="N695" s="166">
        <v>3</v>
      </c>
      <c r="O695" s="164">
        <f t="shared" si="72"/>
        <v>385560.00000000006</v>
      </c>
      <c r="P695" s="166"/>
      <c r="Q695" s="166"/>
      <c r="R695" s="164">
        <f>$L695*'Pivot Objective'!$C$9*P695*Q695</f>
        <v>0</v>
      </c>
      <c r="S695" s="166"/>
      <c r="T695" s="166"/>
      <c r="U695" s="164">
        <f>($L695*'Pivot Objective'!$C$9^2)*S695*T695</f>
        <v>0</v>
      </c>
      <c r="V695" s="166"/>
      <c r="W695" s="166"/>
      <c r="X695" s="164">
        <f>($L695*'Pivot Objective'!$C$9^3)*V695*W695</f>
        <v>0</v>
      </c>
      <c r="Y695" s="166"/>
      <c r="Z695" s="166"/>
      <c r="AA695" s="164">
        <f>($L695*'Pivot Objective'!$C$9^4)*Y695*Z695</f>
        <v>0</v>
      </c>
      <c r="AB695" s="166"/>
      <c r="AC695" s="166"/>
      <c r="AD695" s="164">
        <f>($L695*'Pivot Objective'!$C$9^5)*AB695*AC695</f>
        <v>0</v>
      </c>
      <c r="AE695" s="166"/>
      <c r="AF695" s="166"/>
      <c r="AG695" s="164">
        <f>($L695*'Pivot Objective'!$C$9^6)*AE695*AF695</f>
        <v>0</v>
      </c>
      <c r="AH695" s="166"/>
      <c r="AI695" s="166"/>
      <c r="AJ695" s="164">
        <f>($L695*'Pivot Objective'!$C$9^7)*AH695*AI695</f>
        <v>0</v>
      </c>
      <c r="AK695" s="185">
        <f t="shared" si="73"/>
        <v>385560.00000000006</v>
      </c>
      <c r="AL695" s="186">
        <f t="shared" si="74"/>
        <v>374.3300970873787</v>
      </c>
    </row>
    <row r="696" spans="1:38" customFormat="1" ht="57.6" x14ac:dyDescent="0.3">
      <c r="A696" s="140" t="s">
        <v>1442</v>
      </c>
      <c r="B696" s="140">
        <v>1</v>
      </c>
      <c r="C696" s="166" t="s">
        <v>836</v>
      </c>
      <c r="D696" s="140" t="str">
        <f t="shared" si="78"/>
        <v>3</v>
      </c>
      <c r="E696" s="166" t="s">
        <v>1051</v>
      </c>
      <c r="F696" s="140">
        <f t="shared" si="79"/>
        <v>6</v>
      </c>
      <c r="G696" s="140" t="str">
        <f t="shared" si="80"/>
        <v>1.3.6</v>
      </c>
      <c r="H696" s="166" t="s">
        <v>1667</v>
      </c>
      <c r="I696" s="166"/>
      <c r="J696" s="166" t="s">
        <v>1055</v>
      </c>
      <c r="K696" s="166" t="s">
        <v>1320</v>
      </c>
      <c r="L696" s="166">
        <v>285.60000000000002</v>
      </c>
      <c r="M696" s="166">
        <v>2430</v>
      </c>
      <c r="N696" s="166">
        <v>1</v>
      </c>
      <c r="O696" s="164">
        <f t="shared" si="72"/>
        <v>694008</v>
      </c>
      <c r="P696" s="166"/>
      <c r="Q696" s="166"/>
      <c r="R696" s="164">
        <f>$L696*'Pivot Objective'!$C$9*P696*Q696</f>
        <v>0</v>
      </c>
      <c r="S696" s="166"/>
      <c r="T696" s="166"/>
      <c r="U696" s="164">
        <f>($L696*'Pivot Objective'!$C$9^2)*S696*T696</f>
        <v>0</v>
      </c>
      <c r="V696" s="166"/>
      <c r="W696" s="166"/>
      <c r="X696" s="164">
        <f>($L696*'Pivot Objective'!$C$9^3)*V696*W696</f>
        <v>0</v>
      </c>
      <c r="Y696" s="166"/>
      <c r="Z696" s="166"/>
      <c r="AA696" s="164">
        <f>($L696*'Pivot Objective'!$C$9^4)*Y696*Z696</f>
        <v>0</v>
      </c>
      <c r="AB696" s="166"/>
      <c r="AC696" s="166"/>
      <c r="AD696" s="164">
        <f>($L696*'Pivot Objective'!$C$9^5)*AB696*AC696</f>
        <v>0</v>
      </c>
      <c r="AE696" s="166"/>
      <c r="AF696" s="166"/>
      <c r="AG696" s="164">
        <f>($L696*'Pivot Objective'!$C$9^6)*AE696*AF696</f>
        <v>0</v>
      </c>
      <c r="AH696" s="166"/>
      <c r="AI696" s="166"/>
      <c r="AJ696" s="164">
        <f>($L696*'Pivot Objective'!$C$9^7)*AH696*AI696</f>
        <v>0</v>
      </c>
      <c r="AK696" s="185">
        <f t="shared" si="73"/>
        <v>694008</v>
      </c>
      <c r="AL696" s="186">
        <f t="shared" si="74"/>
        <v>673.79417475728155</v>
      </c>
    </row>
    <row r="697" spans="1:38" customFormat="1" ht="57.6" x14ac:dyDescent="0.3">
      <c r="A697" s="140" t="s">
        <v>1442</v>
      </c>
      <c r="B697" s="140">
        <v>1</v>
      </c>
      <c r="C697" s="166" t="s">
        <v>836</v>
      </c>
      <c r="D697" s="140" t="str">
        <f t="shared" si="78"/>
        <v>3</v>
      </c>
      <c r="E697" s="166" t="s">
        <v>1051</v>
      </c>
      <c r="F697" s="140">
        <f t="shared" si="79"/>
        <v>6</v>
      </c>
      <c r="G697" s="140" t="str">
        <f t="shared" si="80"/>
        <v>1.3.6</v>
      </c>
      <c r="H697" s="166" t="s">
        <v>1667</v>
      </c>
      <c r="I697" s="166"/>
      <c r="J697" s="166" t="s">
        <v>149</v>
      </c>
      <c r="K697" s="166" t="s">
        <v>707</v>
      </c>
      <c r="L697" s="166">
        <v>391991.03749999998</v>
      </c>
      <c r="M697" s="166">
        <v>2</v>
      </c>
      <c r="N697" s="166">
        <v>2</v>
      </c>
      <c r="O697" s="164">
        <f t="shared" si="72"/>
        <v>1567964.15</v>
      </c>
      <c r="P697" s="166"/>
      <c r="Q697" s="166"/>
      <c r="R697" s="164">
        <f>$L697*'Pivot Objective'!$C$9*P697*Q697</f>
        <v>0</v>
      </c>
      <c r="S697" s="166"/>
      <c r="T697" s="166"/>
      <c r="U697" s="164">
        <f>($L697*'Pivot Objective'!$C$9^2)*S697*T697</f>
        <v>0</v>
      </c>
      <c r="V697" s="166"/>
      <c r="W697" s="166"/>
      <c r="X697" s="164">
        <f>($L697*'Pivot Objective'!$C$9^3)*V697*W697</f>
        <v>0</v>
      </c>
      <c r="Y697" s="166"/>
      <c r="Z697" s="166"/>
      <c r="AA697" s="164">
        <f>($L697*'Pivot Objective'!$C$9^4)*Y697*Z697</f>
        <v>0</v>
      </c>
      <c r="AB697" s="166"/>
      <c r="AC697" s="166"/>
      <c r="AD697" s="164">
        <f>($L697*'Pivot Objective'!$C$9^5)*AB697*AC697</f>
        <v>0</v>
      </c>
      <c r="AE697" s="166"/>
      <c r="AF697" s="166"/>
      <c r="AG697" s="164">
        <f>($L697*'Pivot Objective'!$C$9^6)*AE697*AF697</f>
        <v>0</v>
      </c>
      <c r="AH697" s="166"/>
      <c r="AI697" s="166"/>
      <c r="AJ697" s="164">
        <f>($L697*'Pivot Objective'!$C$9^7)*AH697*AI697</f>
        <v>0</v>
      </c>
      <c r="AK697" s="185">
        <f t="shared" si="73"/>
        <v>1567964.15</v>
      </c>
      <c r="AL697" s="186">
        <f t="shared" si="74"/>
        <v>1522.2952912621358</v>
      </c>
    </row>
    <row r="698" spans="1:38" customFormat="1" ht="57.6" x14ac:dyDescent="0.3">
      <c r="A698" s="140" t="s">
        <v>1442</v>
      </c>
      <c r="B698" s="140">
        <v>1</v>
      </c>
      <c r="C698" s="166" t="s">
        <v>836</v>
      </c>
      <c r="D698" s="140" t="str">
        <f t="shared" si="78"/>
        <v>3</v>
      </c>
      <c r="E698" s="166" t="s">
        <v>1051</v>
      </c>
      <c r="F698" s="140">
        <f t="shared" si="79"/>
        <v>6</v>
      </c>
      <c r="G698" s="140" t="str">
        <f t="shared" si="80"/>
        <v>1.3.6</v>
      </c>
      <c r="H698" s="166" t="s">
        <v>1667</v>
      </c>
      <c r="I698" s="166"/>
      <c r="J698" s="166" t="s">
        <v>149</v>
      </c>
      <c r="K698" s="166" t="s">
        <v>708</v>
      </c>
      <c r="L698" s="166">
        <v>1009400</v>
      </c>
      <c r="M698" s="166">
        <v>1</v>
      </c>
      <c r="N698" s="166">
        <v>25</v>
      </c>
      <c r="O698" s="164">
        <f t="shared" si="72"/>
        <v>25235000</v>
      </c>
      <c r="P698" s="166"/>
      <c r="Q698" s="166"/>
      <c r="R698" s="164">
        <f>$L698*'Pivot Objective'!$C$9*P698*Q698</f>
        <v>0</v>
      </c>
      <c r="S698" s="166"/>
      <c r="T698" s="166"/>
      <c r="U698" s="164">
        <f>($L698*'Pivot Objective'!$C$9^2)*S698*T698</f>
        <v>0</v>
      </c>
      <c r="V698" s="166"/>
      <c r="W698" s="166"/>
      <c r="X698" s="164">
        <f>($L698*'Pivot Objective'!$C$9^3)*V698*W698</f>
        <v>0</v>
      </c>
      <c r="Y698" s="166"/>
      <c r="Z698" s="166"/>
      <c r="AA698" s="164">
        <f>($L698*'Pivot Objective'!$C$9^4)*Y698*Z698</f>
        <v>0</v>
      </c>
      <c r="AB698" s="166"/>
      <c r="AC698" s="166"/>
      <c r="AD698" s="164">
        <f>($L698*'Pivot Objective'!$C$9^5)*AB698*AC698</f>
        <v>0</v>
      </c>
      <c r="AE698" s="166"/>
      <c r="AF698" s="166"/>
      <c r="AG698" s="164">
        <f>($L698*'Pivot Objective'!$C$9^6)*AE698*AF698</f>
        <v>0</v>
      </c>
      <c r="AH698" s="166"/>
      <c r="AI698" s="166"/>
      <c r="AJ698" s="164">
        <f>($L698*'Pivot Objective'!$C$9^7)*AH698*AI698</f>
        <v>0</v>
      </c>
      <c r="AK698" s="185">
        <f t="shared" si="73"/>
        <v>25235000</v>
      </c>
      <c r="AL698" s="186">
        <f t="shared" si="74"/>
        <v>24500</v>
      </c>
    </row>
    <row r="699" spans="1:38" customFormat="1" ht="57.6" x14ac:dyDescent="0.3">
      <c r="A699" s="140" t="s">
        <v>1442</v>
      </c>
      <c r="B699" s="140">
        <v>1</v>
      </c>
      <c r="C699" s="166" t="s">
        <v>836</v>
      </c>
      <c r="D699" s="140" t="str">
        <f t="shared" si="78"/>
        <v>3</v>
      </c>
      <c r="E699" s="166" t="s">
        <v>1051</v>
      </c>
      <c r="F699" s="140">
        <f t="shared" si="79"/>
        <v>6</v>
      </c>
      <c r="G699" s="140" t="str">
        <f t="shared" si="80"/>
        <v>1.3.6</v>
      </c>
      <c r="H699" s="166" t="s">
        <v>1667</v>
      </c>
      <c r="I699" s="166"/>
      <c r="J699" s="166" t="s">
        <v>1669</v>
      </c>
      <c r="K699" s="166" t="s">
        <v>709</v>
      </c>
      <c r="L699" s="166">
        <v>35000</v>
      </c>
      <c r="M699" s="166">
        <v>25</v>
      </c>
      <c r="N699" s="166">
        <v>1</v>
      </c>
      <c r="O699" s="164">
        <f t="shared" si="72"/>
        <v>875000</v>
      </c>
      <c r="P699" s="166"/>
      <c r="Q699" s="166"/>
      <c r="R699" s="164">
        <f>$L699*'Pivot Objective'!$C$9*P699*Q699</f>
        <v>0</v>
      </c>
      <c r="S699" s="166"/>
      <c r="T699" s="166"/>
      <c r="U699" s="164">
        <f>($L699*'Pivot Objective'!$C$9^2)*S699*T699</f>
        <v>0</v>
      </c>
      <c r="V699" s="166"/>
      <c r="W699" s="166"/>
      <c r="X699" s="164">
        <f>($L699*'Pivot Objective'!$C$9^3)*V699*W699</f>
        <v>0</v>
      </c>
      <c r="Y699" s="166"/>
      <c r="Z699" s="166"/>
      <c r="AA699" s="164">
        <f>($L699*'Pivot Objective'!$C$9^4)*Y699*Z699</f>
        <v>0</v>
      </c>
      <c r="AB699" s="166"/>
      <c r="AC699" s="166"/>
      <c r="AD699" s="164">
        <f>($L699*'Pivot Objective'!$C$9^5)*AB699*AC699</f>
        <v>0</v>
      </c>
      <c r="AE699" s="166"/>
      <c r="AF699" s="166"/>
      <c r="AG699" s="164">
        <f>($L699*'Pivot Objective'!$C$9^6)*AE699*AF699</f>
        <v>0</v>
      </c>
      <c r="AH699" s="166"/>
      <c r="AI699" s="166"/>
      <c r="AJ699" s="164">
        <f>($L699*'Pivot Objective'!$C$9^7)*AH699*AI699</f>
        <v>0</v>
      </c>
      <c r="AK699" s="185">
        <f t="shared" si="73"/>
        <v>875000</v>
      </c>
      <c r="AL699" s="186">
        <f t="shared" si="74"/>
        <v>849.51456310679612</v>
      </c>
    </row>
    <row r="700" spans="1:38" customFormat="1" ht="57.6" x14ac:dyDescent="0.3">
      <c r="A700" s="140" t="s">
        <v>1442</v>
      </c>
      <c r="B700" s="140">
        <v>1</v>
      </c>
      <c r="C700" s="166" t="s">
        <v>836</v>
      </c>
      <c r="D700" s="140" t="str">
        <f t="shared" si="78"/>
        <v>3</v>
      </c>
      <c r="E700" s="166" t="s">
        <v>1051</v>
      </c>
      <c r="F700" s="140">
        <f t="shared" si="79"/>
        <v>6</v>
      </c>
      <c r="G700" s="140" t="str">
        <f t="shared" si="80"/>
        <v>1.3.6</v>
      </c>
      <c r="H700" s="166" t="s">
        <v>1667</v>
      </c>
      <c r="I700" s="166"/>
      <c r="J700" s="166" t="s">
        <v>1670</v>
      </c>
      <c r="K700" s="166" t="s">
        <v>709</v>
      </c>
      <c r="L700" s="166">
        <v>35000</v>
      </c>
      <c r="M700" s="166">
        <v>25</v>
      </c>
      <c r="N700" s="166">
        <v>1</v>
      </c>
      <c r="O700" s="164">
        <f t="shared" si="72"/>
        <v>875000</v>
      </c>
      <c r="P700" s="166"/>
      <c r="Q700" s="166"/>
      <c r="R700" s="164">
        <f>$L700*'Pivot Objective'!$C$9*P700*Q700</f>
        <v>0</v>
      </c>
      <c r="S700" s="166"/>
      <c r="T700" s="166"/>
      <c r="U700" s="164">
        <f>($L700*'Pivot Objective'!$C$9^2)*S700*T700</f>
        <v>0</v>
      </c>
      <c r="V700" s="166"/>
      <c r="W700" s="166"/>
      <c r="X700" s="164">
        <f>($L700*'Pivot Objective'!$C$9^3)*V700*W700</f>
        <v>0</v>
      </c>
      <c r="Y700" s="166"/>
      <c r="Z700" s="166"/>
      <c r="AA700" s="164">
        <f>($L700*'Pivot Objective'!$C$9^4)*Y700*Z700</f>
        <v>0</v>
      </c>
      <c r="AB700" s="166"/>
      <c r="AC700" s="166"/>
      <c r="AD700" s="164">
        <f>($L700*'Pivot Objective'!$C$9^5)*AB700*AC700</f>
        <v>0</v>
      </c>
      <c r="AE700" s="166"/>
      <c r="AF700" s="166"/>
      <c r="AG700" s="164">
        <f>($L700*'Pivot Objective'!$C$9^6)*AE700*AF700</f>
        <v>0</v>
      </c>
      <c r="AH700" s="166"/>
      <c r="AI700" s="166"/>
      <c r="AJ700" s="164">
        <f>($L700*'Pivot Objective'!$C$9^7)*AH700*AI700</f>
        <v>0</v>
      </c>
      <c r="AK700" s="185">
        <f t="shared" si="73"/>
        <v>875000</v>
      </c>
      <c r="AL700" s="186">
        <f t="shared" si="74"/>
        <v>849.51456310679612</v>
      </c>
    </row>
    <row r="701" spans="1:38" customFormat="1" ht="72" x14ac:dyDescent="0.3">
      <c r="A701" s="140" t="s">
        <v>1443</v>
      </c>
      <c r="B701" s="140">
        <v>1</v>
      </c>
      <c r="C701" s="166" t="s">
        <v>836</v>
      </c>
      <c r="D701" s="140" t="str">
        <f t="shared" si="76"/>
        <v>4</v>
      </c>
      <c r="E701" s="166" t="s">
        <v>1721</v>
      </c>
      <c r="F701" s="140">
        <v>1</v>
      </c>
      <c r="G701" s="140" t="str">
        <f t="shared" si="77"/>
        <v>1.4.1</v>
      </c>
      <c r="H701" s="166" t="s">
        <v>1692</v>
      </c>
      <c r="I701" s="166" t="s">
        <v>1078</v>
      </c>
      <c r="J701" s="166" t="s">
        <v>155</v>
      </c>
      <c r="K701" s="166" t="s">
        <v>841</v>
      </c>
      <c r="L701" s="166">
        <v>0</v>
      </c>
      <c r="M701" s="166"/>
      <c r="N701" s="166"/>
      <c r="O701" s="164">
        <f t="shared" si="72"/>
        <v>0</v>
      </c>
      <c r="P701" s="166"/>
      <c r="Q701" s="166"/>
      <c r="R701" s="164">
        <f>$L701*'Pivot Objective'!$C$9*P701*Q701</f>
        <v>0</v>
      </c>
      <c r="S701" s="166">
        <v>0</v>
      </c>
      <c r="T701" s="166">
        <v>0</v>
      </c>
      <c r="U701" s="164">
        <f>($L701*'Pivot Objective'!$C$9^2)*S701*T701</f>
        <v>0</v>
      </c>
      <c r="V701" s="166"/>
      <c r="W701" s="166"/>
      <c r="X701" s="164">
        <f>($L701*'Pivot Objective'!$C$9^3)*V701*W701</f>
        <v>0</v>
      </c>
      <c r="Y701" s="166"/>
      <c r="Z701" s="166"/>
      <c r="AA701" s="164">
        <f>($L701*'Pivot Objective'!$C$9^4)*Y701*Z701</f>
        <v>0</v>
      </c>
      <c r="AB701" s="166">
        <v>0</v>
      </c>
      <c r="AC701" s="166">
        <v>0</v>
      </c>
      <c r="AD701" s="164">
        <f>($L701*'Pivot Objective'!$C$9^5)*AB701*AC701</f>
        <v>0</v>
      </c>
      <c r="AE701" s="166"/>
      <c r="AF701" s="166"/>
      <c r="AG701" s="164">
        <f>($L701*'Pivot Objective'!$C$9^6)*AE701*AF701</f>
        <v>0</v>
      </c>
      <c r="AH701" s="166">
        <v>0</v>
      </c>
      <c r="AI701" s="166">
        <v>0</v>
      </c>
      <c r="AJ701" s="164">
        <f>($L701*'Pivot Objective'!$C$9^7)*AH701*AI701</f>
        <v>0</v>
      </c>
      <c r="AK701" s="185">
        <f t="shared" si="73"/>
        <v>0</v>
      </c>
      <c r="AL701" s="186">
        <f t="shared" si="74"/>
        <v>0</v>
      </c>
    </row>
    <row r="702" spans="1:38" customFormat="1" ht="72" x14ac:dyDescent="0.3">
      <c r="A702" s="140" t="s">
        <v>1443</v>
      </c>
      <c r="B702" s="140">
        <v>1</v>
      </c>
      <c r="C702" s="166" t="s">
        <v>836</v>
      </c>
      <c r="D702" s="140" t="str">
        <f t="shared" si="76"/>
        <v>4</v>
      </c>
      <c r="E702" s="166" t="s">
        <v>1721</v>
      </c>
      <c r="F702" s="140">
        <f t="shared" ref="F702:F733" si="81">IF(H702=H701,F701,F701+1)</f>
        <v>1</v>
      </c>
      <c r="G702" s="140" t="str">
        <f t="shared" si="77"/>
        <v>1.4.1</v>
      </c>
      <c r="H702" s="166" t="s">
        <v>1692</v>
      </c>
      <c r="I702" s="166" t="s">
        <v>1078</v>
      </c>
      <c r="J702" s="166" t="s">
        <v>1079</v>
      </c>
      <c r="K702" s="166" t="s">
        <v>709</v>
      </c>
      <c r="L702" s="166">
        <v>35000</v>
      </c>
      <c r="M702" s="166"/>
      <c r="N702" s="166"/>
      <c r="O702" s="164">
        <f t="shared" si="72"/>
        <v>0</v>
      </c>
      <c r="P702" s="166"/>
      <c r="Q702" s="166"/>
      <c r="R702" s="164">
        <f>$L702*'Pivot Objective'!$C$9*P702*Q702</f>
        <v>0</v>
      </c>
      <c r="S702" s="166">
        <v>30</v>
      </c>
      <c r="T702" s="166">
        <v>5</v>
      </c>
      <c r="U702" s="164">
        <f>($L702*'Pivot Objective'!$C$9^2)*S702*T702</f>
        <v>6857910.3283303361</v>
      </c>
      <c r="V702" s="166"/>
      <c r="W702" s="166"/>
      <c r="X702" s="164">
        <f>($L702*'Pivot Objective'!$C$9^3)*V702*W702</f>
        <v>0</v>
      </c>
      <c r="Y702" s="166"/>
      <c r="Z702" s="166"/>
      <c r="AA702" s="164">
        <f>($L702*'Pivot Objective'!$C$9^4)*Y702*Z702</f>
        <v>0</v>
      </c>
      <c r="AB702" s="166">
        <v>30</v>
      </c>
      <c r="AC702" s="166">
        <v>5</v>
      </c>
      <c r="AD702" s="164">
        <f>($L702*'Pivot Objective'!$C$9^5)*AB702*AC702</f>
        <v>10238599.383207982</v>
      </c>
      <c r="AE702" s="140"/>
      <c r="AF702" s="140"/>
      <c r="AG702" s="164">
        <f>($L702*'Pivot Objective'!$C$9^6)*AE702*AF702</f>
        <v>0</v>
      </c>
      <c r="AH702" s="166">
        <v>30</v>
      </c>
      <c r="AI702" s="166">
        <v>5</v>
      </c>
      <c r="AJ702" s="164">
        <f>($L702*'Pivot Objective'!$C$9^7)*AH702*AI702</f>
        <v>13374361.230045456</v>
      </c>
      <c r="AK702" s="185">
        <f t="shared" si="73"/>
        <v>30470870.941583775</v>
      </c>
      <c r="AL702" s="186">
        <f t="shared" si="74"/>
        <v>29583.369846197838</v>
      </c>
    </row>
    <row r="703" spans="1:38" customFormat="1" ht="72" x14ac:dyDescent="0.3">
      <c r="A703" s="140" t="s">
        <v>1443</v>
      </c>
      <c r="B703" s="140">
        <v>1</v>
      </c>
      <c r="C703" s="166" t="s">
        <v>836</v>
      </c>
      <c r="D703" s="140" t="str">
        <f t="shared" si="76"/>
        <v>4</v>
      </c>
      <c r="E703" s="166" t="s">
        <v>1721</v>
      </c>
      <c r="F703" s="140">
        <f t="shared" si="81"/>
        <v>1</v>
      </c>
      <c r="G703" s="140" t="str">
        <f t="shared" si="77"/>
        <v>1.4.1</v>
      </c>
      <c r="H703" s="166" t="s">
        <v>1692</v>
      </c>
      <c r="I703" s="166" t="s">
        <v>1078</v>
      </c>
      <c r="J703" s="166" t="s">
        <v>1079</v>
      </c>
      <c r="K703" s="166" t="s">
        <v>716</v>
      </c>
      <c r="L703" s="166">
        <v>39000</v>
      </c>
      <c r="M703" s="166"/>
      <c r="N703" s="166"/>
      <c r="O703" s="164">
        <f t="shared" si="72"/>
        <v>0</v>
      </c>
      <c r="P703" s="166"/>
      <c r="Q703" s="166"/>
      <c r="R703" s="164">
        <f>$L703*'Pivot Objective'!$C$9*P703*Q703</f>
        <v>0</v>
      </c>
      <c r="S703" s="166">
        <v>30</v>
      </c>
      <c r="T703" s="166">
        <v>6</v>
      </c>
      <c r="U703" s="164">
        <f>($L703*'Pivot Objective'!$C$9^2)*S703*T703</f>
        <v>9170005.8104531355</v>
      </c>
      <c r="V703" s="166"/>
      <c r="W703" s="166"/>
      <c r="X703" s="164">
        <f>($L703*'Pivot Objective'!$C$9^3)*V703*W703</f>
        <v>0</v>
      </c>
      <c r="Y703" s="166"/>
      <c r="Z703" s="166"/>
      <c r="AA703" s="164">
        <f>($L703*'Pivot Objective'!$C$9^4)*Y703*Z703</f>
        <v>0</v>
      </c>
      <c r="AB703" s="166">
        <v>30</v>
      </c>
      <c r="AC703" s="166">
        <v>6</v>
      </c>
      <c r="AD703" s="164">
        <f>($L703*'Pivot Objective'!$C$9^5)*AB703*AC703</f>
        <v>13690470.032403817</v>
      </c>
      <c r="AE703" s="140"/>
      <c r="AF703" s="140"/>
      <c r="AG703" s="164">
        <f>($L703*'Pivot Objective'!$C$9^6)*AE703*AF703</f>
        <v>0</v>
      </c>
      <c r="AH703" s="166">
        <v>30</v>
      </c>
      <c r="AI703" s="166">
        <v>6</v>
      </c>
      <c r="AJ703" s="164">
        <f>($L703*'Pivot Objective'!$C$9^7)*AH703*AI703</f>
        <v>17883431.58760364</v>
      </c>
      <c r="AK703" s="185">
        <f t="shared" si="73"/>
        <v>40743907.430460587</v>
      </c>
      <c r="AL703" s="186">
        <f t="shared" si="74"/>
        <v>39557.191680058822</v>
      </c>
    </row>
    <row r="704" spans="1:38" customFormat="1" ht="72" x14ac:dyDescent="0.3">
      <c r="A704" s="140" t="s">
        <v>1443</v>
      </c>
      <c r="B704" s="140">
        <v>1</v>
      </c>
      <c r="C704" s="166" t="s">
        <v>836</v>
      </c>
      <c r="D704" s="140" t="str">
        <f t="shared" si="76"/>
        <v>4</v>
      </c>
      <c r="E704" s="166" t="s">
        <v>1721</v>
      </c>
      <c r="F704" s="140">
        <f t="shared" si="81"/>
        <v>1</v>
      </c>
      <c r="G704" s="140" t="str">
        <f t="shared" si="77"/>
        <v>1.4.1</v>
      </c>
      <c r="H704" s="166" t="s">
        <v>1692</v>
      </c>
      <c r="I704" s="166" t="s">
        <v>1078</v>
      </c>
      <c r="J704" s="166" t="s">
        <v>1079</v>
      </c>
      <c r="K704" s="166" t="s">
        <v>712</v>
      </c>
      <c r="L704" s="166">
        <f>1480/7</f>
        <v>211.42857142857142</v>
      </c>
      <c r="M704" s="166"/>
      <c r="N704" s="166"/>
      <c r="O704" s="164">
        <f t="shared" si="72"/>
        <v>0</v>
      </c>
      <c r="P704" s="166"/>
      <c r="Q704" s="166"/>
      <c r="R704" s="164">
        <f>$L704*'Pivot Objective'!$C$9*P704*Q704</f>
        <v>0</v>
      </c>
      <c r="S704" s="166">
        <f>2*25*9</f>
        <v>450</v>
      </c>
      <c r="T704" s="166">
        <v>5</v>
      </c>
      <c r="U704" s="164">
        <f>($L704*'Pivot Objective'!$C$9^2)*S704*T704</f>
        <v>621410.65015891218</v>
      </c>
      <c r="V704" s="166"/>
      <c r="W704" s="166"/>
      <c r="X704" s="164">
        <f>($L704*'Pivot Objective'!$C$9^3)*V704*W704</f>
        <v>0</v>
      </c>
      <c r="Y704" s="166"/>
      <c r="Z704" s="166"/>
      <c r="AA704" s="164">
        <f>($L704*'Pivot Objective'!$C$9^4)*Y704*Z704</f>
        <v>0</v>
      </c>
      <c r="AB704" s="166">
        <f>2*25*9</f>
        <v>450</v>
      </c>
      <c r="AC704" s="166">
        <v>5</v>
      </c>
      <c r="AD704" s="164">
        <f>($L704*'Pivot Objective'!$C$9^5)*AB704*AC704</f>
        <v>927742.47472333559</v>
      </c>
      <c r="AE704" s="140"/>
      <c r="AF704" s="140"/>
      <c r="AG704" s="164">
        <f>($L704*'Pivot Objective'!$C$9^6)*AE704*AF704</f>
        <v>0</v>
      </c>
      <c r="AH704" s="166">
        <f>2*25*9</f>
        <v>450</v>
      </c>
      <c r="AI704" s="166">
        <v>5</v>
      </c>
      <c r="AJ704" s="164">
        <f>($L704*'Pivot Objective'!$C$9^7)*AH704*AI704</f>
        <v>1211880.8951306494</v>
      </c>
      <c r="AK704" s="185">
        <f t="shared" si="73"/>
        <v>2761034.0200128974</v>
      </c>
      <c r="AL704" s="186">
        <f t="shared" si="74"/>
        <v>2680.6155534105801</v>
      </c>
    </row>
    <row r="705" spans="1:38" customFormat="1" ht="72" x14ac:dyDescent="0.3">
      <c r="A705" s="140" t="s">
        <v>1443</v>
      </c>
      <c r="B705" s="140">
        <v>1</v>
      </c>
      <c r="C705" s="166" t="s">
        <v>836</v>
      </c>
      <c r="D705" s="140" t="str">
        <f t="shared" si="76"/>
        <v>4</v>
      </c>
      <c r="E705" s="166" t="s">
        <v>1721</v>
      </c>
      <c r="F705" s="140">
        <f t="shared" si="81"/>
        <v>1</v>
      </c>
      <c r="G705" s="140" t="str">
        <f t="shared" si="77"/>
        <v>1.4.1</v>
      </c>
      <c r="H705" s="166" t="s">
        <v>1692</v>
      </c>
      <c r="I705" s="166" t="s">
        <v>1078</v>
      </c>
      <c r="J705" s="166" t="s">
        <v>1079</v>
      </c>
      <c r="K705" s="166" t="s">
        <v>1320</v>
      </c>
      <c r="L705" s="166">
        <f>1480/7</f>
        <v>211.42857142857142</v>
      </c>
      <c r="M705" s="166"/>
      <c r="N705" s="166"/>
      <c r="O705" s="164">
        <f t="shared" si="72"/>
        <v>0</v>
      </c>
      <c r="P705" s="166"/>
      <c r="Q705" s="166"/>
      <c r="R705" s="164">
        <f>$L705*'Pivot Objective'!$C$9*P705*Q705</f>
        <v>0</v>
      </c>
      <c r="S705" s="166">
        <f>2*135*9</f>
        <v>2430</v>
      </c>
      <c r="T705" s="166">
        <v>1</v>
      </c>
      <c r="U705" s="164">
        <f>($L705*'Pivot Objective'!$C$9^2)*S705*T705</f>
        <v>671123.50217162515</v>
      </c>
      <c r="V705" s="166"/>
      <c r="W705" s="166"/>
      <c r="X705" s="164">
        <f>($L705*'Pivot Objective'!$C$9^3)*V705*W705</f>
        <v>0</v>
      </c>
      <c r="Y705" s="166"/>
      <c r="Z705" s="166"/>
      <c r="AA705" s="164">
        <f>($L705*'Pivot Objective'!$C$9^4)*Y705*Z705</f>
        <v>0</v>
      </c>
      <c r="AB705" s="166">
        <f>2*135*9</f>
        <v>2430</v>
      </c>
      <c r="AC705" s="166">
        <v>1</v>
      </c>
      <c r="AD705" s="164">
        <f>($L705*'Pivot Objective'!$C$9^5)*AB705*AC705</f>
        <v>1001961.8727012025</v>
      </c>
      <c r="AE705" s="140"/>
      <c r="AF705" s="140"/>
      <c r="AG705" s="164">
        <f>($L705*'Pivot Objective'!$C$9^6)*AE705*AF705</f>
        <v>0</v>
      </c>
      <c r="AH705" s="166">
        <f>2*135*9</f>
        <v>2430</v>
      </c>
      <c r="AI705" s="166">
        <v>1</v>
      </c>
      <c r="AJ705" s="164">
        <f>($L705*'Pivot Objective'!$C$9^7)*AH705*AI705</f>
        <v>1308831.3667411015</v>
      </c>
      <c r="AK705" s="185">
        <f t="shared" si="73"/>
        <v>2981916.7416139292</v>
      </c>
      <c r="AL705" s="186">
        <f t="shared" si="74"/>
        <v>2895.0647976834261</v>
      </c>
    </row>
    <row r="706" spans="1:38" customFormat="1" ht="72" x14ac:dyDescent="0.3">
      <c r="A706" s="140" t="s">
        <v>1443</v>
      </c>
      <c r="B706" s="140">
        <v>1</v>
      </c>
      <c r="C706" s="166" t="s">
        <v>836</v>
      </c>
      <c r="D706" s="140" t="str">
        <f t="shared" si="76"/>
        <v>4</v>
      </c>
      <c r="E706" s="166" t="s">
        <v>1721</v>
      </c>
      <c r="F706" s="140">
        <f t="shared" si="81"/>
        <v>1</v>
      </c>
      <c r="G706" s="140" t="str">
        <f t="shared" si="77"/>
        <v>1.4.1</v>
      </c>
      <c r="H706" s="166" t="s">
        <v>1692</v>
      </c>
      <c r="I706" s="166" t="s">
        <v>1078</v>
      </c>
      <c r="J706" s="166" t="s">
        <v>1080</v>
      </c>
      <c r="K706" s="166" t="s">
        <v>841</v>
      </c>
      <c r="L706" s="166">
        <v>0</v>
      </c>
      <c r="M706" s="166"/>
      <c r="N706" s="166"/>
      <c r="O706" s="164">
        <f t="shared" si="72"/>
        <v>0</v>
      </c>
      <c r="P706" s="166"/>
      <c r="Q706" s="166"/>
      <c r="R706" s="164">
        <f>$L706*'Pivot Objective'!$C$9*P706*Q706</f>
        <v>0</v>
      </c>
      <c r="S706" s="166">
        <v>8000</v>
      </c>
      <c r="T706" s="166">
        <v>1</v>
      </c>
      <c r="U706" s="164">
        <f>($L706*'Pivot Objective'!$C$9^2)*S706*T706</f>
        <v>0</v>
      </c>
      <c r="V706" s="166"/>
      <c r="W706" s="166"/>
      <c r="X706" s="164">
        <f>($L706*'Pivot Objective'!$C$9^3)*V706*W706</f>
        <v>0</v>
      </c>
      <c r="Y706" s="166"/>
      <c r="Z706" s="166"/>
      <c r="AA706" s="164">
        <f>($L706*'Pivot Objective'!$C$9^4)*Y706*Z706</f>
        <v>0</v>
      </c>
      <c r="AB706" s="166">
        <v>8000</v>
      </c>
      <c r="AC706" s="166">
        <v>1</v>
      </c>
      <c r="AD706" s="164">
        <f>($L706*'Pivot Objective'!$C$9^5)*AB706*AC706</f>
        <v>0</v>
      </c>
      <c r="AE706" s="140"/>
      <c r="AF706" s="140"/>
      <c r="AG706" s="164">
        <f>($L706*'Pivot Objective'!$C$9^6)*AE706*AF706</f>
        <v>0</v>
      </c>
      <c r="AH706" s="166">
        <v>8000</v>
      </c>
      <c r="AI706" s="166">
        <v>1</v>
      </c>
      <c r="AJ706" s="164">
        <f>($L706*'Pivot Objective'!$C$9^7)*AH706*AI706</f>
        <v>0</v>
      </c>
      <c r="AK706" s="185">
        <f t="shared" si="73"/>
        <v>0</v>
      </c>
      <c r="AL706" s="186">
        <f t="shared" si="74"/>
        <v>0</v>
      </c>
    </row>
    <row r="707" spans="1:38" customFormat="1" ht="72" x14ac:dyDescent="0.3">
      <c r="A707" s="140" t="s">
        <v>1443</v>
      </c>
      <c r="B707" s="140">
        <v>1</v>
      </c>
      <c r="C707" s="166" t="s">
        <v>836</v>
      </c>
      <c r="D707" s="140" t="str">
        <f t="shared" si="76"/>
        <v>4</v>
      </c>
      <c r="E707" s="166" t="s">
        <v>1721</v>
      </c>
      <c r="F707" s="140">
        <f t="shared" si="81"/>
        <v>1</v>
      </c>
      <c r="G707" s="140" t="str">
        <f t="shared" si="77"/>
        <v>1.4.1</v>
      </c>
      <c r="H707" s="166" t="s">
        <v>1692</v>
      </c>
      <c r="I707" s="166" t="s">
        <v>1078</v>
      </c>
      <c r="J707" s="166" t="s">
        <v>1081</v>
      </c>
      <c r="K707" s="166" t="s">
        <v>841</v>
      </c>
      <c r="L707" s="166">
        <v>0</v>
      </c>
      <c r="M707" s="166"/>
      <c r="N707" s="166"/>
      <c r="O707" s="164">
        <f t="shared" ref="O707:O770" si="82">$L707*M707*N707</f>
        <v>0</v>
      </c>
      <c r="P707" s="166"/>
      <c r="Q707" s="166"/>
      <c r="R707" s="164">
        <f>$L707*'Pivot Objective'!$C$9*P707*Q707</f>
        <v>0</v>
      </c>
      <c r="S707" s="166">
        <v>50</v>
      </c>
      <c r="T707" s="166">
        <v>1</v>
      </c>
      <c r="U707" s="164">
        <f>($L707*'Pivot Objective'!$C$9^2)*S707*T707</f>
        <v>0</v>
      </c>
      <c r="V707" s="166"/>
      <c r="W707" s="166"/>
      <c r="X707" s="164">
        <f>($L707*'Pivot Objective'!$C$9^3)*V707*W707</f>
        <v>0</v>
      </c>
      <c r="Y707" s="166"/>
      <c r="Z707" s="166"/>
      <c r="AA707" s="164">
        <f>($L707*'Pivot Objective'!$C$9^4)*Y707*Z707</f>
        <v>0</v>
      </c>
      <c r="AB707" s="166">
        <v>50</v>
      </c>
      <c r="AC707" s="166">
        <v>1</v>
      </c>
      <c r="AD707" s="164">
        <f>($L707*'Pivot Objective'!$C$9^5)*AB707*AC707</f>
        <v>0</v>
      </c>
      <c r="AE707" s="140"/>
      <c r="AF707" s="140"/>
      <c r="AG707" s="164">
        <f>($L707*'Pivot Objective'!$C$9^6)*AE707*AF707</f>
        <v>0</v>
      </c>
      <c r="AH707" s="166">
        <v>50</v>
      </c>
      <c r="AI707" s="166">
        <v>1</v>
      </c>
      <c r="AJ707" s="164">
        <f>($L707*'Pivot Objective'!$C$9^7)*AH707*AI707</f>
        <v>0</v>
      </c>
      <c r="AK707" s="185">
        <f t="shared" ref="AK707:AK770" si="83">O707+R707+U707+X707+AA707+AD707+AG707+AJ707</f>
        <v>0</v>
      </c>
      <c r="AL707" s="186">
        <f t="shared" ref="AL707:AL770" si="84">AK707/$AP$2</f>
        <v>0</v>
      </c>
    </row>
    <row r="708" spans="1:38" customFormat="1" ht="72" x14ac:dyDescent="0.3">
      <c r="A708" s="140" t="s">
        <v>1443</v>
      </c>
      <c r="B708" s="140">
        <v>1</v>
      </c>
      <c r="C708" s="166" t="s">
        <v>836</v>
      </c>
      <c r="D708" s="140" t="str">
        <f t="shared" si="76"/>
        <v>4</v>
      </c>
      <c r="E708" s="166" t="s">
        <v>1721</v>
      </c>
      <c r="F708" s="140">
        <f t="shared" si="81"/>
        <v>1</v>
      </c>
      <c r="G708" s="140" t="str">
        <f t="shared" si="77"/>
        <v>1.4.1</v>
      </c>
      <c r="H708" s="166" t="s">
        <v>1692</v>
      </c>
      <c r="I708" s="166" t="s">
        <v>1082</v>
      </c>
      <c r="J708" s="166" t="s">
        <v>1083</v>
      </c>
      <c r="K708" s="166" t="s">
        <v>841</v>
      </c>
      <c r="L708" s="166">
        <v>0</v>
      </c>
      <c r="M708" s="166"/>
      <c r="N708" s="166"/>
      <c r="O708" s="164">
        <f t="shared" si="82"/>
        <v>0</v>
      </c>
      <c r="P708" s="166"/>
      <c r="Q708" s="166"/>
      <c r="R708" s="164">
        <f>$L708*'Pivot Objective'!$C$9*P708*Q708</f>
        <v>0</v>
      </c>
      <c r="S708" s="166">
        <v>50</v>
      </c>
      <c r="T708" s="166">
        <v>1</v>
      </c>
      <c r="U708" s="164">
        <f>($L708*'Pivot Objective'!$C$9^2)*S708*T708</f>
        <v>0</v>
      </c>
      <c r="V708" s="166"/>
      <c r="W708" s="166"/>
      <c r="X708" s="164">
        <f>($L708*'Pivot Objective'!$C$9^3)*V708*W708</f>
        <v>0</v>
      </c>
      <c r="Y708" s="166"/>
      <c r="Z708" s="166"/>
      <c r="AA708" s="164">
        <f>($L708*'Pivot Objective'!$C$9^4)*Y708*Z708</f>
        <v>0</v>
      </c>
      <c r="AB708" s="166">
        <v>50</v>
      </c>
      <c r="AC708" s="166">
        <v>1</v>
      </c>
      <c r="AD708" s="164">
        <f>($L708*'Pivot Objective'!$C$9^5)*AB708*AC708</f>
        <v>0</v>
      </c>
      <c r="AE708" s="140"/>
      <c r="AF708" s="140"/>
      <c r="AG708" s="164">
        <f>($L708*'Pivot Objective'!$C$9^6)*AE708*AF708</f>
        <v>0</v>
      </c>
      <c r="AH708" s="166">
        <v>50</v>
      </c>
      <c r="AI708" s="166">
        <v>1</v>
      </c>
      <c r="AJ708" s="164">
        <f>($L708*'Pivot Objective'!$C$9^7)*AH708*AI708</f>
        <v>0</v>
      </c>
      <c r="AK708" s="185">
        <f t="shared" si="83"/>
        <v>0</v>
      </c>
      <c r="AL708" s="186">
        <f t="shared" si="84"/>
        <v>0</v>
      </c>
    </row>
    <row r="709" spans="1:38" customFormat="1" ht="72" x14ac:dyDescent="0.3">
      <c r="A709" s="140" t="s">
        <v>1443</v>
      </c>
      <c r="B709" s="140">
        <v>1</v>
      </c>
      <c r="C709" s="166" t="s">
        <v>836</v>
      </c>
      <c r="D709" s="140" t="str">
        <f t="shared" si="76"/>
        <v>4</v>
      </c>
      <c r="E709" s="166" t="s">
        <v>1721</v>
      </c>
      <c r="F709" s="140">
        <f t="shared" si="81"/>
        <v>1</v>
      </c>
      <c r="G709" s="140" t="str">
        <f t="shared" si="77"/>
        <v>1.4.1</v>
      </c>
      <c r="H709" s="166" t="s">
        <v>1692</v>
      </c>
      <c r="I709" s="166" t="s">
        <v>1082</v>
      </c>
      <c r="J709" s="166" t="s">
        <v>1084</v>
      </c>
      <c r="K709" s="166" t="s">
        <v>841</v>
      </c>
      <c r="L709" s="166">
        <v>0</v>
      </c>
      <c r="M709" s="166"/>
      <c r="N709" s="166"/>
      <c r="O709" s="164">
        <f t="shared" si="82"/>
        <v>0</v>
      </c>
      <c r="P709" s="166"/>
      <c r="Q709" s="166"/>
      <c r="R709" s="164">
        <f>$L709*'Pivot Objective'!$C$9*P709*Q709</f>
        <v>0</v>
      </c>
      <c r="S709" s="166">
        <v>20</v>
      </c>
      <c r="T709" s="166">
        <v>1</v>
      </c>
      <c r="U709" s="164">
        <f>($L709*'Pivot Objective'!$C$9^2)*S709*T709</f>
        <v>0</v>
      </c>
      <c r="V709" s="166"/>
      <c r="W709" s="166"/>
      <c r="X709" s="164">
        <f>($L709*'Pivot Objective'!$C$9^3)*V709*W709</f>
        <v>0</v>
      </c>
      <c r="Y709" s="166"/>
      <c r="Z709" s="166"/>
      <c r="AA709" s="164">
        <f>($L709*'Pivot Objective'!$C$9^4)*Y709*Z709</f>
        <v>0</v>
      </c>
      <c r="AB709" s="166">
        <v>20</v>
      </c>
      <c r="AC709" s="166">
        <v>1</v>
      </c>
      <c r="AD709" s="164">
        <f>($L709*'Pivot Objective'!$C$9^5)*AB709*AC709</f>
        <v>0</v>
      </c>
      <c r="AE709" s="140"/>
      <c r="AF709" s="140"/>
      <c r="AG709" s="164">
        <f>($L709*'Pivot Objective'!$C$9^6)*AE709*AF709</f>
        <v>0</v>
      </c>
      <c r="AH709" s="166">
        <v>20</v>
      </c>
      <c r="AI709" s="166">
        <v>1</v>
      </c>
      <c r="AJ709" s="164">
        <f>($L709*'Pivot Objective'!$C$9^7)*AH709*AI709</f>
        <v>0</v>
      </c>
      <c r="AK709" s="185">
        <f t="shared" si="83"/>
        <v>0</v>
      </c>
      <c r="AL709" s="186">
        <f t="shared" si="84"/>
        <v>0</v>
      </c>
    </row>
    <row r="710" spans="1:38" customFormat="1" ht="72" x14ac:dyDescent="0.3">
      <c r="A710" s="140" t="s">
        <v>1443</v>
      </c>
      <c r="B710" s="140">
        <v>1</v>
      </c>
      <c r="C710" s="166" t="s">
        <v>836</v>
      </c>
      <c r="D710" s="140" t="str">
        <f t="shared" si="76"/>
        <v>4</v>
      </c>
      <c r="E710" s="166" t="s">
        <v>1721</v>
      </c>
      <c r="F710" s="140">
        <f t="shared" si="81"/>
        <v>1</v>
      </c>
      <c r="G710" s="140" t="str">
        <f t="shared" si="77"/>
        <v>1.4.1</v>
      </c>
      <c r="H710" s="166" t="s">
        <v>1692</v>
      </c>
      <c r="I710" s="166" t="s">
        <v>1082</v>
      </c>
      <c r="J710" s="166" t="s">
        <v>1085</v>
      </c>
      <c r="K710" s="166" t="s">
        <v>841</v>
      </c>
      <c r="L710" s="166">
        <v>0</v>
      </c>
      <c r="M710" s="166"/>
      <c r="N710" s="166"/>
      <c r="O710" s="164">
        <f t="shared" si="82"/>
        <v>0</v>
      </c>
      <c r="P710" s="166"/>
      <c r="Q710" s="166"/>
      <c r="R710" s="164">
        <f>$L710*'Pivot Objective'!$C$9*P710*Q710</f>
        <v>0</v>
      </c>
      <c r="S710" s="166">
        <v>5</v>
      </c>
      <c r="T710" s="166">
        <v>5</v>
      </c>
      <c r="U710" s="164">
        <f>($L710*'Pivot Objective'!$C$9^2)*S710*T710</f>
        <v>0</v>
      </c>
      <c r="V710" s="166"/>
      <c r="W710" s="166"/>
      <c r="X710" s="164">
        <f>($L710*'Pivot Objective'!$C$9^3)*V710*W710</f>
        <v>0</v>
      </c>
      <c r="Y710" s="166"/>
      <c r="Z710" s="166"/>
      <c r="AA710" s="164">
        <f>($L710*'Pivot Objective'!$C$9^4)*Y710*Z710</f>
        <v>0</v>
      </c>
      <c r="AB710" s="166">
        <v>5</v>
      </c>
      <c r="AC710" s="166">
        <v>5</v>
      </c>
      <c r="AD710" s="164">
        <f>($L710*'Pivot Objective'!$C$9^5)*AB710*AC710</f>
        <v>0</v>
      </c>
      <c r="AE710" s="140"/>
      <c r="AF710" s="140"/>
      <c r="AG710" s="164">
        <f>($L710*'Pivot Objective'!$C$9^6)*AE710*AF710</f>
        <v>0</v>
      </c>
      <c r="AH710" s="166">
        <v>5</v>
      </c>
      <c r="AI710" s="166">
        <v>5</v>
      </c>
      <c r="AJ710" s="164">
        <f>($L710*'Pivot Objective'!$C$9^7)*AH710*AI710</f>
        <v>0</v>
      </c>
      <c r="AK710" s="185">
        <f t="shared" si="83"/>
        <v>0</v>
      </c>
      <c r="AL710" s="186">
        <f t="shared" si="84"/>
        <v>0</v>
      </c>
    </row>
    <row r="711" spans="1:38" customFormat="1" ht="72" x14ac:dyDescent="0.3">
      <c r="A711" s="140" t="s">
        <v>1443</v>
      </c>
      <c r="B711" s="140">
        <v>1</v>
      </c>
      <c r="C711" s="166" t="s">
        <v>836</v>
      </c>
      <c r="D711" s="140" t="str">
        <f t="shared" si="76"/>
        <v>4</v>
      </c>
      <c r="E711" s="166" t="s">
        <v>1721</v>
      </c>
      <c r="F711" s="140">
        <f t="shared" si="81"/>
        <v>1</v>
      </c>
      <c r="G711" s="140" t="str">
        <f t="shared" si="77"/>
        <v>1.4.1</v>
      </c>
      <c r="H711" s="166" t="s">
        <v>1692</v>
      </c>
      <c r="I711" s="166" t="s">
        <v>1086</v>
      </c>
      <c r="J711" s="166" t="s">
        <v>1087</v>
      </c>
      <c r="K711" s="166" t="s">
        <v>709</v>
      </c>
      <c r="L711" s="166">
        <v>35000</v>
      </c>
      <c r="M711" s="166"/>
      <c r="N711" s="166"/>
      <c r="O711" s="164">
        <f t="shared" si="82"/>
        <v>0</v>
      </c>
      <c r="P711" s="166"/>
      <c r="Q711" s="166"/>
      <c r="R711" s="164">
        <f>$L711*'Pivot Objective'!$C$9*P711*Q711</f>
        <v>0</v>
      </c>
      <c r="S711" s="166">
        <v>11</v>
      </c>
      <c r="T711" s="166">
        <v>3</v>
      </c>
      <c r="U711" s="164">
        <f>($L711*'Pivot Objective'!$C$9^2)*S711*T711</f>
        <v>1508740.2722326741</v>
      </c>
      <c r="V711" s="166"/>
      <c r="W711" s="166"/>
      <c r="X711" s="164">
        <f>($L711*'Pivot Objective'!$C$9^3)*V711*W711</f>
        <v>0</v>
      </c>
      <c r="Y711" s="166"/>
      <c r="Z711" s="166"/>
      <c r="AA711" s="164">
        <f>($L711*'Pivot Objective'!$C$9^4)*Y711*Z711</f>
        <v>0</v>
      </c>
      <c r="AB711" s="166">
        <v>11</v>
      </c>
      <c r="AC711" s="166">
        <v>3</v>
      </c>
      <c r="AD711" s="164">
        <f>($L711*'Pivot Objective'!$C$9^5)*AB711*AC711</f>
        <v>2252491.8643057561</v>
      </c>
      <c r="AE711" s="140"/>
      <c r="AF711" s="140"/>
      <c r="AG711" s="164">
        <f>($L711*'Pivot Objective'!$C$9^6)*AE711*AF711</f>
        <v>0</v>
      </c>
      <c r="AH711" s="166">
        <v>11</v>
      </c>
      <c r="AI711" s="166">
        <v>3</v>
      </c>
      <c r="AJ711" s="164">
        <f>($L711*'Pivot Objective'!$C$9^7)*AH711*AI711</f>
        <v>2942359.4706100007</v>
      </c>
      <c r="AK711" s="185">
        <f t="shared" si="83"/>
        <v>6703591.6071484312</v>
      </c>
      <c r="AL711" s="186">
        <f t="shared" si="84"/>
        <v>6508.3413661635259</v>
      </c>
    </row>
    <row r="712" spans="1:38" customFormat="1" ht="72" x14ac:dyDescent="0.3">
      <c r="A712" s="140" t="s">
        <v>1443</v>
      </c>
      <c r="B712" s="140">
        <v>1</v>
      </c>
      <c r="C712" s="166" t="s">
        <v>836</v>
      </c>
      <c r="D712" s="140" t="str">
        <f t="shared" si="76"/>
        <v>4</v>
      </c>
      <c r="E712" s="166" t="s">
        <v>1721</v>
      </c>
      <c r="F712" s="140">
        <f t="shared" si="81"/>
        <v>1</v>
      </c>
      <c r="G712" s="140" t="str">
        <f t="shared" si="77"/>
        <v>1.4.1</v>
      </c>
      <c r="H712" s="166" t="s">
        <v>1692</v>
      </c>
      <c r="I712" s="166" t="s">
        <v>1086</v>
      </c>
      <c r="J712" s="166" t="s">
        <v>1087</v>
      </c>
      <c r="K712" s="166" t="s">
        <v>716</v>
      </c>
      <c r="L712" s="166">
        <v>39000</v>
      </c>
      <c r="M712" s="166"/>
      <c r="N712" s="166"/>
      <c r="O712" s="164">
        <f t="shared" si="82"/>
        <v>0</v>
      </c>
      <c r="P712" s="166"/>
      <c r="Q712" s="166"/>
      <c r="R712" s="164">
        <f>$L712*'Pivot Objective'!$C$9*P712*Q712</f>
        <v>0</v>
      </c>
      <c r="S712" s="166">
        <v>11</v>
      </c>
      <c r="T712" s="166">
        <v>3</v>
      </c>
      <c r="U712" s="164">
        <f>($L712*'Pivot Objective'!$C$9^2)*S712*T712</f>
        <v>1681167.7319164081</v>
      </c>
      <c r="V712" s="166"/>
      <c r="W712" s="166"/>
      <c r="X712" s="164">
        <f>($L712*'Pivot Objective'!$C$9^3)*V712*W712</f>
        <v>0</v>
      </c>
      <c r="Y712" s="166"/>
      <c r="Z712" s="166"/>
      <c r="AA712" s="164">
        <f>($L712*'Pivot Objective'!$C$9^4)*Y712*Z712</f>
        <v>0</v>
      </c>
      <c r="AB712" s="166">
        <v>11</v>
      </c>
      <c r="AC712" s="166">
        <v>3</v>
      </c>
      <c r="AD712" s="164">
        <f>($L712*'Pivot Objective'!$C$9^5)*AB712*AC712</f>
        <v>2509919.5059406999</v>
      </c>
      <c r="AE712" s="140"/>
      <c r="AF712" s="140"/>
      <c r="AG712" s="164">
        <f>($L712*'Pivot Objective'!$C$9^6)*AE712*AF712</f>
        <v>0</v>
      </c>
      <c r="AH712" s="166">
        <v>11</v>
      </c>
      <c r="AI712" s="166">
        <v>3</v>
      </c>
      <c r="AJ712" s="164">
        <f>($L712*'Pivot Objective'!$C$9^7)*AH712*AI712</f>
        <v>3278629.1243940005</v>
      </c>
      <c r="AK712" s="185">
        <f t="shared" si="83"/>
        <v>7469716.3622511085</v>
      </c>
      <c r="AL712" s="186">
        <f t="shared" si="84"/>
        <v>7252.1518080107853</v>
      </c>
    </row>
    <row r="713" spans="1:38" customFormat="1" ht="72" x14ac:dyDescent="0.3">
      <c r="A713" s="140" t="s">
        <v>1443</v>
      </c>
      <c r="B713" s="140">
        <v>1</v>
      </c>
      <c r="C713" s="166" t="s">
        <v>836</v>
      </c>
      <c r="D713" s="140" t="str">
        <f t="shared" si="76"/>
        <v>4</v>
      </c>
      <c r="E713" s="166" t="s">
        <v>1721</v>
      </c>
      <c r="F713" s="140">
        <f t="shared" si="81"/>
        <v>1</v>
      </c>
      <c r="G713" s="140" t="str">
        <f t="shared" si="77"/>
        <v>1.4.1</v>
      </c>
      <c r="H713" s="166" t="s">
        <v>1692</v>
      </c>
      <c r="I713" s="166" t="s">
        <v>1086</v>
      </c>
      <c r="J713" s="166" t="s">
        <v>1087</v>
      </c>
      <c r="K713" s="166" t="s">
        <v>712</v>
      </c>
      <c r="L713" s="166">
        <f>1480/7</f>
        <v>211.42857142857142</v>
      </c>
      <c r="M713" s="166"/>
      <c r="N713" s="166"/>
      <c r="O713" s="164">
        <f t="shared" si="82"/>
        <v>0</v>
      </c>
      <c r="P713" s="166"/>
      <c r="Q713" s="166"/>
      <c r="R713" s="164">
        <f>$L713*'Pivot Objective'!$C$9*P713*Q713</f>
        <v>0</v>
      </c>
      <c r="S713" s="166">
        <f>2*25*9</f>
        <v>450</v>
      </c>
      <c r="T713" s="166">
        <v>3</v>
      </c>
      <c r="U713" s="164">
        <f>($L713*'Pivot Objective'!$C$9^2)*S713*T713</f>
        <v>372846.39009534731</v>
      </c>
      <c r="V713" s="166"/>
      <c r="W713" s="166"/>
      <c r="X713" s="164">
        <f>($L713*'Pivot Objective'!$C$9^3)*V713*W713</f>
        <v>0</v>
      </c>
      <c r="Y713" s="166"/>
      <c r="Z713" s="166"/>
      <c r="AA713" s="164">
        <f>($L713*'Pivot Objective'!$C$9^4)*Y713*Z713</f>
        <v>0</v>
      </c>
      <c r="AB713" s="166">
        <f>2*25*9</f>
        <v>450</v>
      </c>
      <c r="AC713" s="166">
        <v>3</v>
      </c>
      <c r="AD713" s="164">
        <f>($L713*'Pivot Objective'!$C$9^5)*AB713*AC713</f>
        <v>556645.4848340014</v>
      </c>
      <c r="AE713" s="140"/>
      <c r="AF713" s="140"/>
      <c r="AG713" s="164">
        <f>($L713*'Pivot Objective'!$C$9^6)*AE713*AF713</f>
        <v>0</v>
      </c>
      <c r="AH713" s="166">
        <f>2*25*9</f>
        <v>450</v>
      </c>
      <c r="AI713" s="166">
        <v>3</v>
      </c>
      <c r="AJ713" s="164">
        <f>($L713*'Pivot Objective'!$C$9^7)*AH713*AI713</f>
        <v>727128.53707838967</v>
      </c>
      <c r="AK713" s="185">
        <f t="shared" si="83"/>
        <v>1656620.4120077384</v>
      </c>
      <c r="AL713" s="186">
        <f t="shared" si="84"/>
        <v>1608.3693320463478</v>
      </c>
    </row>
    <row r="714" spans="1:38" customFormat="1" ht="72" x14ac:dyDescent="0.3">
      <c r="A714" s="140" t="s">
        <v>1443</v>
      </c>
      <c r="B714" s="140">
        <v>1</v>
      </c>
      <c r="C714" s="166" t="s">
        <v>836</v>
      </c>
      <c r="D714" s="140" t="str">
        <f t="shared" si="76"/>
        <v>4</v>
      </c>
      <c r="E714" s="166" t="s">
        <v>1721</v>
      </c>
      <c r="F714" s="140">
        <f t="shared" si="81"/>
        <v>1</v>
      </c>
      <c r="G714" s="140" t="str">
        <f t="shared" si="77"/>
        <v>1.4.1</v>
      </c>
      <c r="H714" s="166" t="s">
        <v>1692</v>
      </c>
      <c r="I714" s="166" t="s">
        <v>1086</v>
      </c>
      <c r="J714" s="166" t="s">
        <v>1087</v>
      </c>
      <c r="K714" s="166" t="s">
        <v>1320</v>
      </c>
      <c r="L714" s="166">
        <f>1480/7</f>
        <v>211.42857142857142</v>
      </c>
      <c r="M714" s="166"/>
      <c r="N714" s="166"/>
      <c r="O714" s="164">
        <f t="shared" si="82"/>
        <v>0</v>
      </c>
      <c r="P714" s="166"/>
      <c r="Q714" s="166"/>
      <c r="R714" s="164">
        <f>$L714*'Pivot Objective'!$C$9*P714*Q714</f>
        <v>0</v>
      </c>
      <c r="S714" s="166">
        <f>2*135*9</f>
        <v>2430</v>
      </c>
      <c r="T714" s="166">
        <v>1</v>
      </c>
      <c r="U714" s="164">
        <f>($L714*'Pivot Objective'!$C$9^2)*S714*T714</f>
        <v>671123.50217162515</v>
      </c>
      <c r="V714" s="166"/>
      <c r="W714" s="166"/>
      <c r="X714" s="164">
        <f>($L714*'Pivot Objective'!$C$9^3)*V714*W714</f>
        <v>0</v>
      </c>
      <c r="Y714" s="166"/>
      <c r="Z714" s="166"/>
      <c r="AA714" s="164">
        <f>($L714*'Pivot Objective'!$C$9^4)*Y714*Z714</f>
        <v>0</v>
      </c>
      <c r="AB714" s="166">
        <f>2*135*9</f>
        <v>2430</v>
      </c>
      <c r="AC714" s="166">
        <v>1</v>
      </c>
      <c r="AD714" s="164">
        <f>($L714*'Pivot Objective'!$C$9^5)*AB714*AC714</f>
        <v>1001961.8727012025</v>
      </c>
      <c r="AE714" s="140"/>
      <c r="AF714" s="140"/>
      <c r="AG714" s="164">
        <f>($L714*'Pivot Objective'!$C$9^6)*AE714*AF714</f>
        <v>0</v>
      </c>
      <c r="AH714" s="166">
        <f>2*135*9</f>
        <v>2430</v>
      </c>
      <c r="AI714" s="166">
        <v>1</v>
      </c>
      <c r="AJ714" s="164">
        <f>($L714*'Pivot Objective'!$C$9^7)*AH714*AI714</f>
        <v>1308831.3667411015</v>
      </c>
      <c r="AK714" s="185">
        <f t="shared" si="83"/>
        <v>2981916.7416139292</v>
      </c>
      <c r="AL714" s="186">
        <f t="shared" si="84"/>
        <v>2895.0647976834261</v>
      </c>
    </row>
    <row r="715" spans="1:38" customFormat="1" ht="72" x14ac:dyDescent="0.3">
      <c r="A715" s="140" t="s">
        <v>1443</v>
      </c>
      <c r="B715" s="140">
        <v>1</v>
      </c>
      <c r="C715" s="166" t="s">
        <v>836</v>
      </c>
      <c r="D715" s="140" t="str">
        <f t="shared" si="76"/>
        <v>4</v>
      </c>
      <c r="E715" s="166" t="s">
        <v>1721</v>
      </c>
      <c r="F715" s="140">
        <f t="shared" si="81"/>
        <v>1</v>
      </c>
      <c r="G715" s="140" t="str">
        <f t="shared" si="77"/>
        <v>1.4.1</v>
      </c>
      <c r="H715" s="166" t="s">
        <v>1692</v>
      </c>
      <c r="I715" s="166" t="s">
        <v>1088</v>
      </c>
      <c r="J715" s="166" t="s">
        <v>1089</v>
      </c>
      <c r="K715" s="166" t="s">
        <v>709</v>
      </c>
      <c r="L715" s="166">
        <v>35000</v>
      </c>
      <c r="M715" s="166"/>
      <c r="N715" s="166"/>
      <c r="O715" s="164">
        <f t="shared" si="82"/>
        <v>0</v>
      </c>
      <c r="P715" s="166"/>
      <c r="Q715" s="166"/>
      <c r="R715" s="164">
        <f>$L715*'Pivot Objective'!$C$9*P715*Q715</f>
        <v>0</v>
      </c>
      <c r="S715" s="166">
        <v>11</v>
      </c>
      <c r="T715" s="166">
        <v>3</v>
      </c>
      <c r="U715" s="164">
        <f>($L715*'Pivot Objective'!$C$9^2)*S715*T715</f>
        <v>1508740.2722326741</v>
      </c>
      <c r="V715" s="166"/>
      <c r="W715" s="166"/>
      <c r="X715" s="164">
        <f>($L715*'Pivot Objective'!$C$9^3)*V715*W715</f>
        <v>0</v>
      </c>
      <c r="Y715" s="166"/>
      <c r="Z715" s="166"/>
      <c r="AA715" s="164">
        <f>($L715*'Pivot Objective'!$C$9^4)*Y715*Z715</f>
        <v>0</v>
      </c>
      <c r="AB715" s="166">
        <v>11</v>
      </c>
      <c r="AC715" s="166">
        <v>3</v>
      </c>
      <c r="AD715" s="164">
        <f>($L715*'Pivot Objective'!$C$9^5)*AB715*AC715</f>
        <v>2252491.8643057561</v>
      </c>
      <c r="AE715" s="140"/>
      <c r="AF715" s="140"/>
      <c r="AG715" s="164">
        <f>($L715*'Pivot Objective'!$C$9^6)*AE715*AF715</f>
        <v>0</v>
      </c>
      <c r="AH715" s="166">
        <v>11</v>
      </c>
      <c r="AI715" s="166">
        <v>3</v>
      </c>
      <c r="AJ715" s="164">
        <f>($L715*'Pivot Objective'!$C$9^7)*AH715*AI715</f>
        <v>2942359.4706100007</v>
      </c>
      <c r="AK715" s="185">
        <f t="shared" si="83"/>
        <v>6703591.6071484312</v>
      </c>
      <c r="AL715" s="186">
        <f t="shared" si="84"/>
        <v>6508.3413661635259</v>
      </c>
    </row>
    <row r="716" spans="1:38" customFormat="1" ht="72" x14ac:dyDescent="0.3">
      <c r="A716" s="140" t="s">
        <v>1443</v>
      </c>
      <c r="B716" s="140">
        <v>1</v>
      </c>
      <c r="C716" s="166" t="s">
        <v>836</v>
      </c>
      <c r="D716" s="140" t="str">
        <f t="shared" si="76"/>
        <v>4</v>
      </c>
      <c r="E716" s="166" t="s">
        <v>1721</v>
      </c>
      <c r="F716" s="140">
        <f t="shared" si="81"/>
        <v>1</v>
      </c>
      <c r="G716" s="140" t="str">
        <f t="shared" si="77"/>
        <v>1.4.1</v>
      </c>
      <c r="H716" s="166" t="s">
        <v>1692</v>
      </c>
      <c r="I716" s="166" t="s">
        <v>1088</v>
      </c>
      <c r="J716" s="166" t="s">
        <v>1089</v>
      </c>
      <c r="K716" s="166" t="s">
        <v>716</v>
      </c>
      <c r="L716" s="166">
        <v>39000</v>
      </c>
      <c r="M716" s="166"/>
      <c r="N716" s="166"/>
      <c r="O716" s="164">
        <f t="shared" si="82"/>
        <v>0</v>
      </c>
      <c r="P716" s="166"/>
      <c r="Q716" s="166"/>
      <c r="R716" s="164">
        <f>$L716*'Pivot Objective'!$C$9*P716*Q716</f>
        <v>0</v>
      </c>
      <c r="S716" s="166">
        <v>11</v>
      </c>
      <c r="T716" s="166">
        <v>3</v>
      </c>
      <c r="U716" s="164">
        <f>($L716*'Pivot Objective'!$C$9^2)*S716*T716</f>
        <v>1681167.7319164081</v>
      </c>
      <c r="V716" s="166"/>
      <c r="W716" s="166"/>
      <c r="X716" s="164">
        <f>($L716*'Pivot Objective'!$C$9^3)*V716*W716</f>
        <v>0</v>
      </c>
      <c r="Y716" s="166"/>
      <c r="Z716" s="166"/>
      <c r="AA716" s="164">
        <f>($L716*'Pivot Objective'!$C$9^4)*Y716*Z716</f>
        <v>0</v>
      </c>
      <c r="AB716" s="166">
        <v>11</v>
      </c>
      <c r="AC716" s="166">
        <v>3</v>
      </c>
      <c r="AD716" s="164">
        <f>($L716*'Pivot Objective'!$C$9^5)*AB716*AC716</f>
        <v>2509919.5059406999</v>
      </c>
      <c r="AE716" s="140"/>
      <c r="AF716" s="140"/>
      <c r="AG716" s="164">
        <f>($L716*'Pivot Objective'!$C$9^6)*AE716*AF716</f>
        <v>0</v>
      </c>
      <c r="AH716" s="166">
        <v>11</v>
      </c>
      <c r="AI716" s="166">
        <v>3</v>
      </c>
      <c r="AJ716" s="164">
        <f>($L716*'Pivot Objective'!$C$9^7)*AH716*AI716</f>
        <v>3278629.1243940005</v>
      </c>
      <c r="AK716" s="185">
        <f t="shared" si="83"/>
        <v>7469716.3622511085</v>
      </c>
      <c r="AL716" s="186">
        <f t="shared" si="84"/>
        <v>7252.1518080107853</v>
      </c>
    </row>
    <row r="717" spans="1:38" customFormat="1" ht="72" x14ac:dyDescent="0.3">
      <c r="A717" s="140" t="s">
        <v>1443</v>
      </c>
      <c r="B717" s="140">
        <v>1</v>
      </c>
      <c r="C717" s="166" t="s">
        <v>836</v>
      </c>
      <c r="D717" s="140" t="str">
        <f t="shared" si="76"/>
        <v>4</v>
      </c>
      <c r="E717" s="166" t="s">
        <v>1721</v>
      </c>
      <c r="F717" s="140">
        <f t="shared" si="81"/>
        <v>1</v>
      </c>
      <c r="G717" s="140" t="str">
        <f t="shared" si="77"/>
        <v>1.4.1</v>
      </c>
      <c r="H717" s="166" t="s">
        <v>1692</v>
      </c>
      <c r="I717" s="166" t="s">
        <v>1088</v>
      </c>
      <c r="J717" s="166" t="s">
        <v>1089</v>
      </c>
      <c r="K717" s="166" t="s">
        <v>712</v>
      </c>
      <c r="L717" s="166">
        <f>1480/7</f>
        <v>211.42857142857142</v>
      </c>
      <c r="M717" s="166"/>
      <c r="N717" s="166"/>
      <c r="O717" s="164">
        <f t="shared" si="82"/>
        <v>0</v>
      </c>
      <c r="P717" s="166"/>
      <c r="Q717" s="166"/>
      <c r="R717" s="164">
        <f>$L717*'Pivot Objective'!$C$9*P717*Q717</f>
        <v>0</v>
      </c>
      <c r="S717" s="166">
        <f>2*25*9</f>
        <v>450</v>
      </c>
      <c r="T717" s="166">
        <v>3</v>
      </c>
      <c r="U717" s="164">
        <f>($L717*'Pivot Objective'!$C$9^2)*S717*T717</f>
        <v>372846.39009534731</v>
      </c>
      <c r="V717" s="166"/>
      <c r="W717" s="166"/>
      <c r="X717" s="164">
        <f>($L717*'Pivot Objective'!$C$9^3)*V717*W717</f>
        <v>0</v>
      </c>
      <c r="Y717" s="166"/>
      <c r="Z717" s="166"/>
      <c r="AA717" s="164">
        <f>($L717*'Pivot Objective'!$C$9^4)*Y717*Z717</f>
        <v>0</v>
      </c>
      <c r="AB717" s="166">
        <f>2*25*9</f>
        <v>450</v>
      </c>
      <c r="AC717" s="166">
        <v>3</v>
      </c>
      <c r="AD717" s="164">
        <f>($L717*'Pivot Objective'!$C$9^5)*AB717*AC717</f>
        <v>556645.4848340014</v>
      </c>
      <c r="AE717" s="140"/>
      <c r="AF717" s="140"/>
      <c r="AG717" s="164">
        <f>($L717*'Pivot Objective'!$C$9^6)*AE717*AF717</f>
        <v>0</v>
      </c>
      <c r="AH717" s="166">
        <f>2*25*9</f>
        <v>450</v>
      </c>
      <c r="AI717" s="166">
        <v>3</v>
      </c>
      <c r="AJ717" s="164">
        <f>($L717*'Pivot Objective'!$C$9^7)*AH717*AI717</f>
        <v>727128.53707838967</v>
      </c>
      <c r="AK717" s="185">
        <f t="shared" si="83"/>
        <v>1656620.4120077384</v>
      </c>
      <c r="AL717" s="186">
        <f t="shared" si="84"/>
        <v>1608.3693320463478</v>
      </c>
    </row>
    <row r="718" spans="1:38" customFormat="1" ht="72" x14ac:dyDescent="0.3">
      <c r="A718" s="140" t="s">
        <v>1443</v>
      </c>
      <c r="B718" s="140">
        <v>1</v>
      </c>
      <c r="C718" s="166" t="s">
        <v>836</v>
      </c>
      <c r="D718" s="140" t="str">
        <f t="shared" si="76"/>
        <v>4</v>
      </c>
      <c r="E718" s="166" t="s">
        <v>1721</v>
      </c>
      <c r="F718" s="140">
        <f t="shared" si="81"/>
        <v>1</v>
      </c>
      <c r="G718" s="140" t="str">
        <f t="shared" si="77"/>
        <v>1.4.1</v>
      </c>
      <c r="H718" s="166" t="s">
        <v>1692</v>
      </c>
      <c r="I718" s="166" t="s">
        <v>1088</v>
      </c>
      <c r="J718" s="166" t="s">
        <v>1089</v>
      </c>
      <c r="K718" s="166" t="s">
        <v>1320</v>
      </c>
      <c r="L718" s="166">
        <f>1480/7</f>
        <v>211.42857142857142</v>
      </c>
      <c r="M718" s="166"/>
      <c r="N718" s="166"/>
      <c r="O718" s="164">
        <f t="shared" si="82"/>
        <v>0</v>
      </c>
      <c r="P718" s="166"/>
      <c r="Q718" s="166"/>
      <c r="R718" s="164">
        <f>$L718*'Pivot Objective'!$C$9*P718*Q718</f>
        <v>0</v>
      </c>
      <c r="S718" s="166">
        <f>2*135*9</f>
        <v>2430</v>
      </c>
      <c r="T718" s="166">
        <v>1</v>
      </c>
      <c r="U718" s="164">
        <f>($L718*'Pivot Objective'!$C$9^2)*S718*T718</f>
        <v>671123.50217162515</v>
      </c>
      <c r="V718" s="166"/>
      <c r="W718" s="166"/>
      <c r="X718" s="164">
        <f>($L718*'Pivot Objective'!$C$9^3)*V718*W718</f>
        <v>0</v>
      </c>
      <c r="Y718" s="166"/>
      <c r="Z718" s="166"/>
      <c r="AA718" s="164">
        <f>($L718*'Pivot Objective'!$C$9^4)*Y718*Z718</f>
        <v>0</v>
      </c>
      <c r="AB718" s="166">
        <f>2*135*9</f>
        <v>2430</v>
      </c>
      <c r="AC718" s="166">
        <v>1</v>
      </c>
      <c r="AD718" s="164">
        <f>($L718*'Pivot Objective'!$C$9^5)*AB718*AC718</f>
        <v>1001961.8727012025</v>
      </c>
      <c r="AE718" s="140"/>
      <c r="AF718" s="140"/>
      <c r="AG718" s="164">
        <f>($L718*'Pivot Objective'!$C$9^6)*AE718*AF718</f>
        <v>0</v>
      </c>
      <c r="AH718" s="166">
        <f>2*135*9</f>
        <v>2430</v>
      </c>
      <c r="AI718" s="166">
        <v>1</v>
      </c>
      <c r="AJ718" s="164">
        <f>($L718*'Pivot Objective'!$C$9^7)*AH718*AI718</f>
        <v>1308831.3667411015</v>
      </c>
      <c r="AK718" s="185">
        <f t="shared" si="83"/>
        <v>2981916.7416139292</v>
      </c>
      <c r="AL718" s="186">
        <f t="shared" si="84"/>
        <v>2895.0647976834261</v>
      </c>
    </row>
    <row r="719" spans="1:38" customFormat="1" ht="72" x14ac:dyDescent="0.3">
      <c r="A719" s="140" t="s">
        <v>1443</v>
      </c>
      <c r="B719" s="140">
        <v>1</v>
      </c>
      <c r="C719" s="166" t="s">
        <v>836</v>
      </c>
      <c r="D719" s="140" t="str">
        <f t="shared" si="76"/>
        <v>4</v>
      </c>
      <c r="E719" s="166" t="s">
        <v>1721</v>
      </c>
      <c r="F719" s="140">
        <f t="shared" si="81"/>
        <v>1</v>
      </c>
      <c r="G719" s="140" t="str">
        <f t="shared" si="77"/>
        <v>1.4.1</v>
      </c>
      <c r="H719" s="166" t="s">
        <v>1692</v>
      </c>
      <c r="I719" s="166" t="s">
        <v>1090</v>
      </c>
      <c r="J719" s="166" t="s">
        <v>1091</v>
      </c>
      <c r="K719" s="166" t="s">
        <v>841</v>
      </c>
      <c r="L719" s="166">
        <v>0</v>
      </c>
      <c r="M719" s="166"/>
      <c r="N719" s="166"/>
      <c r="O719" s="164">
        <f t="shared" si="82"/>
        <v>0</v>
      </c>
      <c r="P719" s="166"/>
      <c r="Q719" s="166"/>
      <c r="R719" s="164">
        <f>$L719*'Pivot Objective'!$C$9*P719*Q719</f>
        <v>0</v>
      </c>
      <c r="S719" s="166">
        <v>0</v>
      </c>
      <c r="T719" s="166">
        <v>1</v>
      </c>
      <c r="U719" s="164">
        <f>($L719*'Pivot Objective'!$C$9^2)*S719*T719</f>
        <v>0</v>
      </c>
      <c r="V719" s="166"/>
      <c r="W719" s="166"/>
      <c r="X719" s="164">
        <f>($L719*'Pivot Objective'!$C$9^3)*V719*W719</f>
        <v>0</v>
      </c>
      <c r="Y719" s="166"/>
      <c r="Z719" s="166"/>
      <c r="AA719" s="164">
        <f>($L719*'Pivot Objective'!$C$9^4)*Y719*Z719</f>
        <v>0</v>
      </c>
      <c r="AB719" s="166">
        <v>0</v>
      </c>
      <c r="AC719" s="166">
        <v>1</v>
      </c>
      <c r="AD719" s="164">
        <f>($L719*'Pivot Objective'!$C$9^5)*AB719*AC719</f>
        <v>0</v>
      </c>
      <c r="AE719" s="140"/>
      <c r="AF719" s="140"/>
      <c r="AG719" s="164">
        <f>($L719*'Pivot Objective'!$C$9^6)*AE719*AF719</f>
        <v>0</v>
      </c>
      <c r="AH719" s="166">
        <v>0</v>
      </c>
      <c r="AI719" s="166">
        <v>1</v>
      </c>
      <c r="AJ719" s="164">
        <f>($L719*'Pivot Objective'!$C$9^7)*AH719*AI719</f>
        <v>0</v>
      </c>
      <c r="AK719" s="185">
        <f t="shared" si="83"/>
        <v>0</v>
      </c>
      <c r="AL719" s="186">
        <f t="shared" si="84"/>
        <v>0</v>
      </c>
    </row>
    <row r="720" spans="1:38" customFormat="1" ht="72" x14ac:dyDescent="0.3">
      <c r="A720" s="140" t="s">
        <v>1443</v>
      </c>
      <c r="B720" s="140">
        <v>1</v>
      </c>
      <c r="C720" s="166" t="s">
        <v>836</v>
      </c>
      <c r="D720" s="140" t="str">
        <f t="shared" si="76"/>
        <v>4</v>
      </c>
      <c r="E720" s="166" t="s">
        <v>1721</v>
      </c>
      <c r="F720" s="140">
        <f t="shared" si="81"/>
        <v>1</v>
      </c>
      <c r="G720" s="140" t="str">
        <f t="shared" si="77"/>
        <v>1.4.1</v>
      </c>
      <c r="H720" s="166" t="s">
        <v>1692</v>
      </c>
      <c r="I720" s="166" t="s">
        <v>1092</v>
      </c>
      <c r="J720" s="166" t="s">
        <v>946</v>
      </c>
      <c r="K720" s="166" t="s">
        <v>841</v>
      </c>
      <c r="L720" s="166">
        <v>0</v>
      </c>
      <c r="M720" s="166"/>
      <c r="N720" s="166"/>
      <c r="O720" s="164">
        <f t="shared" si="82"/>
        <v>0</v>
      </c>
      <c r="P720" s="166"/>
      <c r="Q720" s="166"/>
      <c r="R720" s="164">
        <f>$L720*'Pivot Objective'!$C$9*P720*Q720</f>
        <v>0</v>
      </c>
      <c r="S720" s="166">
        <v>0</v>
      </c>
      <c r="T720" s="166">
        <v>0</v>
      </c>
      <c r="U720" s="164">
        <f>($L720*'Pivot Objective'!$C$9^2)*S720*T720</f>
        <v>0</v>
      </c>
      <c r="V720" s="166"/>
      <c r="W720" s="166"/>
      <c r="X720" s="164">
        <f>($L720*'Pivot Objective'!$C$9^3)*V720*W720</f>
        <v>0</v>
      </c>
      <c r="Y720" s="166"/>
      <c r="Z720" s="166"/>
      <c r="AA720" s="164">
        <f>($L720*'Pivot Objective'!$C$9^4)*Y720*Z720</f>
        <v>0</v>
      </c>
      <c r="AB720" s="166">
        <v>0</v>
      </c>
      <c r="AC720" s="166">
        <v>0</v>
      </c>
      <c r="AD720" s="164">
        <f>($L720*'Pivot Objective'!$C$9^5)*AB720*AC720</f>
        <v>0</v>
      </c>
      <c r="AE720" s="140"/>
      <c r="AF720" s="140"/>
      <c r="AG720" s="164">
        <f>($L720*'Pivot Objective'!$C$9^6)*AE720*AF720</f>
        <v>0</v>
      </c>
      <c r="AH720" s="166">
        <v>0</v>
      </c>
      <c r="AI720" s="166">
        <v>0</v>
      </c>
      <c r="AJ720" s="164">
        <f>($L720*'Pivot Objective'!$C$9^7)*AH720*AI720</f>
        <v>0</v>
      </c>
      <c r="AK720" s="185">
        <f t="shared" si="83"/>
        <v>0</v>
      </c>
      <c r="AL720" s="186">
        <f t="shared" si="84"/>
        <v>0</v>
      </c>
    </row>
    <row r="721" spans="1:38" customFormat="1" ht="72" x14ac:dyDescent="0.3">
      <c r="A721" s="140" t="s">
        <v>1443</v>
      </c>
      <c r="B721" s="140">
        <v>1</v>
      </c>
      <c r="C721" s="168" t="s">
        <v>836</v>
      </c>
      <c r="D721" s="140" t="str">
        <f t="shared" si="76"/>
        <v>4</v>
      </c>
      <c r="E721" s="166" t="s">
        <v>1721</v>
      </c>
      <c r="F721" s="140">
        <f t="shared" si="81"/>
        <v>1</v>
      </c>
      <c r="G721" s="140" t="str">
        <f t="shared" si="77"/>
        <v>1.4.1</v>
      </c>
      <c r="H721" s="166" t="s">
        <v>1692</v>
      </c>
      <c r="I721" s="166" t="s">
        <v>1093</v>
      </c>
      <c r="J721" s="166" t="s">
        <v>1094</v>
      </c>
      <c r="K721" s="166" t="s">
        <v>709</v>
      </c>
      <c r="L721" s="166">
        <v>35000</v>
      </c>
      <c r="M721" s="166"/>
      <c r="N721" s="166"/>
      <c r="O721" s="164">
        <f t="shared" si="82"/>
        <v>0</v>
      </c>
      <c r="P721" s="166"/>
      <c r="Q721" s="166"/>
      <c r="R721" s="164">
        <f>$L721*'Pivot Objective'!$C$9*P721*Q721</f>
        <v>0</v>
      </c>
      <c r="S721" s="166"/>
      <c r="T721" s="166"/>
      <c r="U721" s="164">
        <f>($L721*'Pivot Objective'!$C$9^2)*S721*T721</f>
        <v>0</v>
      </c>
      <c r="V721" s="166">
        <v>30</v>
      </c>
      <c r="W721" s="166">
        <v>5</v>
      </c>
      <c r="X721" s="164">
        <f>($L721*'Pivot Objective'!$C$9^3)*V721*W721</f>
        <v>7838050.3955829386</v>
      </c>
      <c r="Y721" s="166">
        <v>30</v>
      </c>
      <c r="Z721" s="166">
        <v>5</v>
      </c>
      <c r="AA721" s="164">
        <f>($L721*'Pivot Objective'!$C$9^4)*Y721*Z721</f>
        <v>8958273.1564609352</v>
      </c>
      <c r="AB721" s="166">
        <v>30</v>
      </c>
      <c r="AC721" s="166">
        <v>5</v>
      </c>
      <c r="AD721" s="164">
        <f>($L721*'Pivot Objective'!$C$9^5)*AB721*AC721</f>
        <v>10238599.383207982</v>
      </c>
      <c r="AE721" s="166">
        <v>30</v>
      </c>
      <c r="AF721" s="166">
        <v>5</v>
      </c>
      <c r="AG721" s="164">
        <f>($L721*'Pivot Objective'!$C$9^6)*AE721*AF721</f>
        <v>11701911.238799591</v>
      </c>
      <c r="AH721" s="166">
        <v>30</v>
      </c>
      <c r="AI721" s="166">
        <v>5</v>
      </c>
      <c r="AJ721" s="164">
        <f>($L721*'Pivot Objective'!$C$9^7)*AH721*AI721</f>
        <v>13374361.230045456</v>
      </c>
      <c r="AK721" s="185">
        <f t="shared" si="83"/>
        <v>52111195.404096901</v>
      </c>
      <c r="AL721" s="186">
        <f t="shared" si="84"/>
        <v>50593.393596210582</v>
      </c>
    </row>
    <row r="722" spans="1:38" customFormat="1" ht="57.6" x14ac:dyDescent="0.3">
      <c r="A722" s="140" t="s">
        <v>1443</v>
      </c>
      <c r="B722" s="140">
        <v>1</v>
      </c>
      <c r="C722" s="166" t="s">
        <v>836</v>
      </c>
      <c r="D722" s="140" t="str">
        <f t="shared" si="76"/>
        <v>4</v>
      </c>
      <c r="E722" s="166" t="s">
        <v>1721</v>
      </c>
      <c r="F722" s="140">
        <f t="shared" si="81"/>
        <v>2</v>
      </c>
      <c r="G722" s="140" t="str">
        <f t="shared" si="77"/>
        <v>1.4.2</v>
      </c>
      <c r="H722" s="166" t="s">
        <v>1095</v>
      </c>
      <c r="I722" s="166" t="s">
        <v>1096</v>
      </c>
      <c r="J722" s="166" t="s">
        <v>1097</v>
      </c>
      <c r="K722" s="166" t="s">
        <v>709</v>
      </c>
      <c r="L722" s="166">
        <v>35000</v>
      </c>
      <c r="M722" s="166"/>
      <c r="N722" s="166"/>
      <c r="O722" s="164">
        <f t="shared" si="82"/>
        <v>0</v>
      </c>
      <c r="P722" s="166"/>
      <c r="Q722" s="166"/>
      <c r="R722" s="164">
        <f>$L722*'Pivot Objective'!$C$9*P722*Q722</f>
        <v>0</v>
      </c>
      <c r="S722" s="166"/>
      <c r="T722" s="166"/>
      <c r="U722" s="164">
        <f>($L722*'Pivot Objective'!$C$9^2)*S722*T722</f>
        <v>0</v>
      </c>
      <c r="V722" s="166">
        <v>41</v>
      </c>
      <c r="W722" s="166">
        <v>3</v>
      </c>
      <c r="X722" s="164">
        <f>($L722*'Pivot Objective'!$C$9^3)*V722*W722</f>
        <v>6427201.3243780099</v>
      </c>
      <c r="Y722" s="166"/>
      <c r="Z722" s="166"/>
      <c r="AA722" s="164">
        <f>($L722*'Pivot Objective'!$C$9^4)*Y722*Z722</f>
        <v>0</v>
      </c>
      <c r="AB722" s="140"/>
      <c r="AC722" s="140"/>
      <c r="AD722" s="164">
        <f>($L722*'Pivot Objective'!$C$9^5)*AB722*AC722</f>
        <v>0</v>
      </c>
      <c r="AE722" s="166">
        <v>41</v>
      </c>
      <c r="AF722" s="166">
        <v>3</v>
      </c>
      <c r="AG722" s="164">
        <f>($L722*'Pivot Objective'!$C$9^6)*AE722*AF722</f>
        <v>9595567.2158156652</v>
      </c>
      <c r="AH722" s="140"/>
      <c r="AI722" s="140"/>
      <c r="AJ722" s="164">
        <f>($L722*'Pivot Objective'!$C$9^7)*AH722*AI722</f>
        <v>0</v>
      </c>
      <c r="AK722" s="185">
        <f t="shared" si="83"/>
        <v>16022768.540193675</v>
      </c>
      <c r="AL722" s="186">
        <f t="shared" si="84"/>
        <v>15556.085961353083</v>
      </c>
    </row>
    <row r="723" spans="1:38" customFormat="1" ht="57.6" x14ac:dyDescent="0.3">
      <c r="A723" s="140" t="s">
        <v>1443</v>
      </c>
      <c r="B723" s="140">
        <v>1</v>
      </c>
      <c r="C723" s="166" t="s">
        <v>836</v>
      </c>
      <c r="D723" s="140" t="str">
        <f t="shared" si="76"/>
        <v>4</v>
      </c>
      <c r="E723" s="166" t="s">
        <v>1721</v>
      </c>
      <c r="F723" s="140">
        <f t="shared" si="81"/>
        <v>2</v>
      </c>
      <c r="G723" s="140" t="str">
        <f t="shared" si="77"/>
        <v>1.4.2</v>
      </c>
      <c r="H723" s="166" t="s">
        <v>1095</v>
      </c>
      <c r="I723" s="166" t="s">
        <v>1096</v>
      </c>
      <c r="J723" s="166" t="s">
        <v>1097</v>
      </c>
      <c r="K723" s="166" t="s">
        <v>716</v>
      </c>
      <c r="L723" s="166">
        <v>39000</v>
      </c>
      <c r="M723" s="166"/>
      <c r="N723" s="166"/>
      <c r="O723" s="164">
        <f t="shared" si="82"/>
        <v>0</v>
      </c>
      <c r="P723" s="166"/>
      <c r="Q723" s="166"/>
      <c r="R723" s="164">
        <f>$L723*'Pivot Objective'!$C$9*P723*Q723</f>
        <v>0</v>
      </c>
      <c r="S723" s="166"/>
      <c r="T723" s="166"/>
      <c r="U723" s="164">
        <f>($L723*'Pivot Objective'!$C$9^2)*S723*T723</f>
        <v>0</v>
      </c>
      <c r="V723" s="166">
        <v>41</v>
      </c>
      <c r="W723" s="166">
        <v>4</v>
      </c>
      <c r="X723" s="164">
        <f>($L723*'Pivot Objective'!$C$9^3)*V723*W723</f>
        <v>9548984.8247901853</v>
      </c>
      <c r="Y723" s="166"/>
      <c r="Z723" s="166"/>
      <c r="AA723" s="164">
        <f>($L723*'Pivot Objective'!$C$9^4)*Y723*Z723</f>
        <v>0</v>
      </c>
      <c r="AB723" s="140"/>
      <c r="AC723" s="140"/>
      <c r="AD723" s="164">
        <f>($L723*'Pivot Objective'!$C$9^5)*AB723*AC723</f>
        <v>0</v>
      </c>
      <c r="AE723" s="166">
        <v>41</v>
      </c>
      <c r="AF723" s="166">
        <v>4</v>
      </c>
      <c r="AG723" s="164">
        <f>($L723*'Pivot Objective'!$C$9^6)*AE723*AF723</f>
        <v>14256271.292068988</v>
      </c>
      <c r="AH723" s="140"/>
      <c r="AI723" s="140"/>
      <c r="AJ723" s="164">
        <f>($L723*'Pivot Objective'!$C$9^7)*AH723*AI723</f>
        <v>0</v>
      </c>
      <c r="AK723" s="185">
        <f t="shared" si="83"/>
        <v>23805256.116859175</v>
      </c>
      <c r="AL723" s="186">
        <f t="shared" si="84"/>
        <v>23111.899142581722</v>
      </c>
    </row>
    <row r="724" spans="1:38" customFormat="1" ht="57.6" x14ac:dyDescent="0.3">
      <c r="A724" s="140" t="s">
        <v>1443</v>
      </c>
      <c r="B724" s="140">
        <v>1</v>
      </c>
      <c r="C724" s="166" t="s">
        <v>836</v>
      </c>
      <c r="D724" s="140" t="str">
        <f t="shared" si="76"/>
        <v>4</v>
      </c>
      <c r="E724" s="166" t="s">
        <v>1721</v>
      </c>
      <c r="F724" s="140">
        <f t="shared" si="81"/>
        <v>2</v>
      </c>
      <c r="G724" s="140" t="str">
        <f t="shared" si="77"/>
        <v>1.4.2</v>
      </c>
      <c r="H724" s="166" t="s">
        <v>1095</v>
      </c>
      <c r="I724" s="166" t="s">
        <v>1096</v>
      </c>
      <c r="J724" s="166" t="s">
        <v>1097</v>
      </c>
      <c r="K724" s="166" t="s">
        <v>712</v>
      </c>
      <c r="L724" s="166">
        <f>1480/7</f>
        <v>211.42857142857142</v>
      </c>
      <c r="M724" s="166"/>
      <c r="N724" s="166"/>
      <c r="O724" s="164">
        <f t="shared" si="82"/>
        <v>0</v>
      </c>
      <c r="P724" s="166"/>
      <c r="Q724" s="166"/>
      <c r="R724" s="164">
        <f>$L724*'Pivot Objective'!$C$9*P724*Q724</f>
        <v>0</v>
      </c>
      <c r="S724" s="166"/>
      <c r="T724" s="166"/>
      <c r="U724" s="164">
        <f>($L724*'Pivot Objective'!$C$9^2)*S724*T724</f>
        <v>0</v>
      </c>
      <c r="V724" s="166">
        <f>2*25*9</f>
        <v>450</v>
      </c>
      <c r="W724" s="166">
        <v>3</v>
      </c>
      <c r="X724" s="164">
        <f>($L724*'Pivot Objective'!$C$9^3)*V724*W724</f>
        <v>426134.00518026418</v>
      </c>
      <c r="Y724" s="166"/>
      <c r="Z724" s="166"/>
      <c r="AA724" s="164">
        <f>($L724*'Pivot Objective'!$C$9^4)*Y724*Z724</f>
        <v>0</v>
      </c>
      <c r="AB724" s="140"/>
      <c r="AC724" s="140"/>
      <c r="AD724" s="164">
        <f>($L724*'Pivot Objective'!$C$9^5)*AB724*AC724</f>
        <v>0</v>
      </c>
      <c r="AE724" s="166">
        <f>2*25*9</f>
        <v>450</v>
      </c>
      <c r="AF724" s="166">
        <v>3</v>
      </c>
      <c r="AG724" s="164">
        <f>($L724*'Pivot Objective'!$C$9^6)*AE724*AF724</f>
        <v>636201.86816657369</v>
      </c>
      <c r="AH724" s="140"/>
      <c r="AI724" s="140"/>
      <c r="AJ724" s="164">
        <f>($L724*'Pivot Objective'!$C$9^7)*AH724*AI724</f>
        <v>0</v>
      </c>
      <c r="AK724" s="185">
        <f t="shared" si="83"/>
        <v>1062335.8733468379</v>
      </c>
      <c r="AL724" s="186">
        <f t="shared" si="84"/>
        <v>1031.3940517930466</v>
      </c>
    </row>
    <row r="725" spans="1:38" customFormat="1" ht="57.6" x14ac:dyDescent="0.3">
      <c r="A725" s="140" t="s">
        <v>1443</v>
      </c>
      <c r="B725" s="140">
        <v>1</v>
      </c>
      <c r="C725" s="166" t="s">
        <v>836</v>
      </c>
      <c r="D725" s="140" t="str">
        <f t="shared" si="76"/>
        <v>4</v>
      </c>
      <c r="E725" s="166" t="s">
        <v>1721</v>
      </c>
      <c r="F725" s="140">
        <f t="shared" si="81"/>
        <v>2</v>
      </c>
      <c r="G725" s="140" t="str">
        <f t="shared" si="77"/>
        <v>1.4.2</v>
      </c>
      <c r="H725" s="166" t="s">
        <v>1095</v>
      </c>
      <c r="I725" s="166" t="s">
        <v>1096</v>
      </c>
      <c r="J725" s="166" t="s">
        <v>1097</v>
      </c>
      <c r="K725" s="166" t="s">
        <v>1320</v>
      </c>
      <c r="L725" s="166">
        <f>1480/7</f>
        <v>211.42857142857142</v>
      </c>
      <c r="M725" s="166"/>
      <c r="N725" s="166"/>
      <c r="O725" s="164">
        <f t="shared" si="82"/>
        <v>0</v>
      </c>
      <c r="P725" s="166"/>
      <c r="Q725" s="166"/>
      <c r="R725" s="164">
        <f>$L725*'Pivot Objective'!$C$9*P725*Q725</f>
        <v>0</v>
      </c>
      <c r="S725" s="166"/>
      <c r="T725" s="166"/>
      <c r="U725" s="164">
        <f>($L725*'Pivot Objective'!$C$9^2)*S725*T725</f>
        <v>0</v>
      </c>
      <c r="V725" s="166">
        <f>2*135*9</f>
        <v>2430</v>
      </c>
      <c r="W725" s="166">
        <v>1</v>
      </c>
      <c r="X725" s="164">
        <f>($L725*'Pivot Objective'!$C$9^3)*V725*W725</f>
        <v>767041.20932447549</v>
      </c>
      <c r="Y725" s="166"/>
      <c r="Z725" s="166"/>
      <c r="AA725" s="164">
        <f>($L725*'Pivot Objective'!$C$9^4)*Y725*Z725</f>
        <v>0</v>
      </c>
      <c r="AB725" s="140"/>
      <c r="AC725" s="140"/>
      <c r="AD725" s="164">
        <f>($L725*'Pivot Objective'!$C$9^5)*AB725*AC725</f>
        <v>0</v>
      </c>
      <c r="AE725" s="166">
        <f>2*135*9</f>
        <v>2430</v>
      </c>
      <c r="AF725" s="166">
        <v>1</v>
      </c>
      <c r="AG725" s="164">
        <f>($L725*'Pivot Objective'!$C$9^6)*AE725*AF725</f>
        <v>1145163.3626998325</v>
      </c>
      <c r="AH725" s="140"/>
      <c r="AI725" s="140"/>
      <c r="AJ725" s="164">
        <f>($L725*'Pivot Objective'!$C$9^7)*AH725*AI725</f>
        <v>0</v>
      </c>
      <c r="AK725" s="185">
        <f t="shared" si="83"/>
        <v>1912204.5720243081</v>
      </c>
      <c r="AL725" s="186">
        <f t="shared" si="84"/>
        <v>1856.5092932274836</v>
      </c>
    </row>
    <row r="726" spans="1:38" customFormat="1" ht="57.6" x14ac:dyDescent="0.3">
      <c r="A726" s="140" t="s">
        <v>1443</v>
      </c>
      <c r="B726" s="140">
        <v>1</v>
      </c>
      <c r="C726" s="166" t="s">
        <v>836</v>
      </c>
      <c r="D726" s="140" t="str">
        <f t="shared" si="76"/>
        <v>4</v>
      </c>
      <c r="E726" s="166" t="s">
        <v>1721</v>
      </c>
      <c r="F726" s="140">
        <f t="shared" si="81"/>
        <v>2</v>
      </c>
      <c r="G726" s="140" t="str">
        <f t="shared" si="77"/>
        <v>1.4.2</v>
      </c>
      <c r="H726" s="166" t="s">
        <v>1095</v>
      </c>
      <c r="I726" s="166" t="s">
        <v>1098</v>
      </c>
      <c r="J726" s="166" t="s">
        <v>1099</v>
      </c>
      <c r="K726" s="166" t="s">
        <v>709</v>
      </c>
      <c r="L726" s="166">
        <v>35000</v>
      </c>
      <c r="M726" s="140"/>
      <c r="N726" s="166"/>
      <c r="O726" s="164">
        <f t="shared" si="82"/>
        <v>0</v>
      </c>
      <c r="P726" s="166"/>
      <c r="Q726" s="166"/>
      <c r="R726" s="164">
        <f>$L726*'Pivot Objective'!$C$9*P726*Q726</f>
        <v>0</v>
      </c>
      <c r="S726" s="166"/>
      <c r="T726" s="166"/>
      <c r="U726" s="164">
        <f>($L726*'Pivot Objective'!$C$9^2)*S726*T726</f>
        <v>0</v>
      </c>
      <c r="V726" s="140">
        <v>41</v>
      </c>
      <c r="W726" s="166">
        <v>1</v>
      </c>
      <c r="X726" s="164">
        <f>($L726*'Pivot Objective'!$C$9^3)*V726*W726</f>
        <v>2142400.4414593368</v>
      </c>
      <c r="Y726" s="166"/>
      <c r="Z726" s="166"/>
      <c r="AA726" s="164">
        <f>($L726*'Pivot Objective'!$C$9^4)*Y726*Z726</f>
        <v>0</v>
      </c>
      <c r="AB726" s="140"/>
      <c r="AC726" s="140"/>
      <c r="AD726" s="164">
        <f>($L726*'Pivot Objective'!$C$9^5)*AB726*AC726</f>
        <v>0</v>
      </c>
      <c r="AE726" s="140">
        <v>41</v>
      </c>
      <c r="AF726" s="166">
        <v>1</v>
      </c>
      <c r="AG726" s="164">
        <f>($L726*'Pivot Objective'!$C$9^6)*AE726*AF726</f>
        <v>3198522.4052718882</v>
      </c>
      <c r="AH726" s="140"/>
      <c r="AI726" s="140"/>
      <c r="AJ726" s="164">
        <f>($L726*'Pivot Objective'!$C$9^7)*AH726*AI726</f>
        <v>0</v>
      </c>
      <c r="AK726" s="185">
        <f t="shared" si="83"/>
        <v>5340922.846731225</v>
      </c>
      <c r="AL726" s="186">
        <f t="shared" si="84"/>
        <v>5185.3619871176943</v>
      </c>
    </row>
    <row r="727" spans="1:38" customFormat="1" ht="57.6" x14ac:dyDescent="0.3">
      <c r="A727" s="140" t="s">
        <v>1443</v>
      </c>
      <c r="B727" s="140">
        <v>1</v>
      </c>
      <c r="C727" s="166" t="s">
        <v>836</v>
      </c>
      <c r="D727" s="140" t="str">
        <f t="shared" si="76"/>
        <v>4</v>
      </c>
      <c r="E727" s="166" t="s">
        <v>1721</v>
      </c>
      <c r="F727" s="140">
        <f t="shared" si="81"/>
        <v>2</v>
      </c>
      <c r="G727" s="140" t="str">
        <f t="shared" si="77"/>
        <v>1.4.2</v>
      </c>
      <c r="H727" s="166" t="s">
        <v>1095</v>
      </c>
      <c r="I727" s="166" t="s">
        <v>1098</v>
      </c>
      <c r="J727" s="166" t="s">
        <v>1099</v>
      </c>
      <c r="K727" s="166" t="s">
        <v>716</v>
      </c>
      <c r="L727" s="166">
        <v>39000</v>
      </c>
      <c r="M727" s="166"/>
      <c r="N727" s="166"/>
      <c r="O727" s="164">
        <f t="shared" si="82"/>
        <v>0</v>
      </c>
      <c r="P727" s="166"/>
      <c r="Q727" s="166"/>
      <c r="R727" s="164">
        <f>$L727*'Pivot Objective'!$C$9*P727*Q727</f>
        <v>0</v>
      </c>
      <c r="S727" s="166"/>
      <c r="T727" s="166"/>
      <c r="U727" s="164">
        <f>($L727*'Pivot Objective'!$C$9^2)*S727*T727</f>
        <v>0</v>
      </c>
      <c r="V727" s="166">
        <v>41</v>
      </c>
      <c r="W727" s="166">
        <v>1</v>
      </c>
      <c r="X727" s="164">
        <f>($L727*'Pivot Objective'!$C$9^3)*V727*W727</f>
        <v>2387246.2061975463</v>
      </c>
      <c r="Y727" s="166"/>
      <c r="Z727" s="166"/>
      <c r="AA727" s="164">
        <f>($L727*'Pivot Objective'!$C$9^4)*Y727*Z727</f>
        <v>0</v>
      </c>
      <c r="AB727" s="140"/>
      <c r="AC727" s="140"/>
      <c r="AD727" s="164">
        <f>($L727*'Pivot Objective'!$C$9^5)*AB727*AC727</f>
        <v>0</v>
      </c>
      <c r="AE727" s="166">
        <v>41</v>
      </c>
      <c r="AF727" s="166">
        <v>1</v>
      </c>
      <c r="AG727" s="164">
        <f>($L727*'Pivot Objective'!$C$9^6)*AE727*AF727</f>
        <v>3564067.823017247</v>
      </c>
      <c r="AH727" s="140"/>
      <c r="AI727" s="140"/>
      <c r="AJ727" s="164">
        <f>($L727*'Pivot Objective'!$C$9^7)*AH727*AI727</f>
        <v>0</v>
      </c>
      <c r="AK727" s="185">
        <f t="shared" si="83"/>
        <v>5951314.0292147938</v>
      </c>
      <c r="AL727" s="186">
        <f t="shared" si="84"/>
        <v>5777.9747856454305</v>
      </c>
    </row>
    <row r="728" spans="1:38" customFormat="1" ht="57.6" x14ac:dyDescent="0.3">
      <c r="A728" s="140" t="s">
        <v>1443</v>
      </c>
      <c r="B728" s="140">
        <v>1</v>
      </c>
      <c r="C728" s="166" t="s">
        <v>836</v>
      </c>
      <c r="D728" s="140" t="str">
        <f t="shared" si="76"/>
        <v>4</v>
      </c>
      <c r="E728" s="166" t="s">
        <v>1721</v>
      </c>
      <c r="F728" s="140">
        <f t="shared" si="81"/>
        <v>2</v>
      </c>
      <c r="G728" s="140" t="str">
        <f t="shared" si="77"/>
        <v>1.4.2</v>
      </c>
      <c r="H728" s="166" t="s">
        <v>1095</v>
      </c>
      <c r="I728" s="166" t="s">
        <v>1098</v>
      </c>
      <c r="J728" s="166" t="s">
        <v>1099</v>
      </c>
      <c r="K728" s="166" t="s">
        <v>712</v>
      </c>
      <c r="L728" s="166">
        <f>1480/7</f>
        <v>211.42857142857142</v>
      </c>
      <c r="M728" s="166"/>
      <c r="N728" s="166"/>
      <c r="O728" s="164">
        <f t="shared" si="82"/>
        <v>0</v>
      </c>
      <c r="P728" s="166"/>
      <c r="Q728" s="166"/>
      <c r="R728" s="164">
        <f>$L728*'Pivot Objective'!$C$9*P728*Q728</f>
        <v>0</v>
      </c>
      <c r="S728" s="166"/>
      <c r="T728" s="166"/>
      <c r="U728" s="164">
        <f>($L728*'Pivot Objective'!$C$9^2)*S728*T728</f>
        <v>0</v>
      </c>
      <c r="V728" s="166">
        <f>2*25*9</f>
        <v>450</v>
      </c>
      <c r="W728" s="166">
        <v>1</v>
      </c>
      <c r="X728" s="164">
        <f>($L728*'Pivot Objective'!$C$9^3)*V728*W728</f>
        <v>142044.66839342139</v>
      </c>
      <c r="Y728" s="166"/>
      <c r="Z728" s="166"/>
      <c r="AA728" s="164">
        <f>($L728*'Pivot Objective'!$C$9^4)*Y728*Z728</f>
        <v>0</v>
      </c>
      <c r="AB728" s="140"/>
      <c r="AC728" s="140"/>
      <c r="AD728" s="164">
        <f>($L728*'Pivot Objective'!$C$9^5)*AB728*AC728</f>
        <v>0</v>
      </c>
      <c r="AE728" s="166">
        <f>2*25*9</f>
        <v>450</v>
      </c>
      <c r="AF728" s="166">
        <v>1</v>
      </c>
      <c r="AG728" s="164">
        <f>($L728*'Pivot Objective'!$C$9^6)*AE728*AF728</f>
        <v>212067.2893888579</v>
      </c>
      <c r="AH728" s="140"/>
      <c r="AI728" s="140"/>
      <c r="AJ728" s="164">
        <f>($L728*'Pivot Objective'!$C$9^7)*AH728*AI728</f>
        <v>0</v>
      </c>
      <c r="AK728" s="185">
        <f t="shared" si="83"/>
        <v>354111.95778227929</v>
      </c>
      <c r="AL728" s="186">
        <f t="shared" si="84"/>
        <v>343.7980172643488</v>
      </c>
    </row>
    <row r="729" spans="1:38" customFormat="1" ht="57.6" x14ac:dyDescent="0.3">
      <c r="A729" s="140" t="s">
        <v>1443</v>
      </c>
      <c r="B729" s="140">
        <v>1</v>
      </c>
      <c r="C729" s="166" t="s">
        <v>836</v>
      </c>
      <c r="D729" s="140" t="str">
        <f t="shared" si="76"/>
        <v>4</v>
      </c>
      <c r="E729" s="166" t="s">
        <v>1721</v>
      </c>
      <c r="F729" s="140">
        <f t="shared" si="81"/>
        <v>2</v>
      </c>
      <c r="G729" s="140" t="str">
        <f t="shared" si="77"/>
        <v>1.4.2</v>
      </c>
      <c r="H729" s="166" t="s">
        <v>1095</v>
      </c>
      <c r="I729" s="166" t="s">
        <v>1098</v>
      </c>
      <c r="J729" s="166" t="s">
        <v>1099</v>
      </c>
      <c r="K729" s="166" t="s">
        <v>1320</v>
      </c>
      <c r="L729" s="166">
        <f>1480/7</f>
        <v>211.42857142857142</v>
      </c>
      <c r="M729" s="166"/>
      <c r="N729" s="166"/>
      <c r="O729" s="164">
        <f t="shared" si="82"/>
        <v>0</v>
      </c>
      <c r="P729" s="166"/>
      <c r="Q729" s="166"/>
      <c r="R729" s="164">
        <f>$L729*'Pivot Objective'!$C$9*P729*Q729</f>
        <v>0</v>
      </c>
      <c r="S729" s="166"/>
      <c r="T729" s="166"/>
      <c r="U729" s="164">
        <f>($L729*'Pivot Objective'!$C$9^2)*S729*T729</f>
        <v>0</v>
      </c>
      <c r="V729" s="166">
        <f>2*135*9</f>
        <v>2430</v>
      </c>
      <c r="W729" s="166">
        <v>1</v>
      </c>
      <c r="X729" s="164">
        <f>($L729*'Pivot Objective'!$C$9^3)*V729*W729</f>
        <v>767041.20932447549</v>
      </c>
      <c r="Y729" s="166"/>
      <c r="Z729" s="166"/>
      <c r="AA729" s="164">
        <f>($L729*'Pivot Objective'!$C$9^4)*Y729*Z729</f>
        <v>0</v>
      </c>
      <c r="AB729" s="140"/>
      <c r="AC729" s="140"/>
      <c r="AD729" s="164">
        <f>($L729*'Pivot Objective'!$C$9^5)*AB729*AC729</f>
        <v>0</v>
      </c>
      <c r="AE729" s="166">
        <f>2*135*9</f>
        <v>2430</v>
      </c>
      <c r="AF729" s="166">
        <v>1</v>
      </c>
      <c r="AG729" s="164">
        <f>($L729*'Pivot Objective'!$C$9^6)*AE729*AF729</f>
        <v>1145163.3626998325</v>
      </c>
      <c r="AH729" s="140"/>
      <c r="AI729" s="140"/>
      <c r="AJ729" s="164">
        <f>($L729*'Pivot Objective'!$C$9^7)*AH729*AI729</f>
        <v>0</v>
      </c>
      <c r="AK729" s="185">
        <f t="shared" si="83"/>
        <v>1912204.5720243081</v>
      </c>
      <c r="AL729" s="186">
        <f t="shared" si="84"/>
        <v>1856.5092932274836</v>
      </c>
    </row>
    <row r="730" spans="1:38" customFormat="1" ht="57.6" x14ac:dyDescent="0.3">
      <c r="A730" s="140" t="s">
        <v>1443</v>
      </c>
      <c r="B730" s="140">
        <v>1</v>
      </c>
      <c r="C730" s="166" t="s">
        <v>836</v>
      </c>
      <c r="D730" s="140" t="str">
        <f t="shared" si="76"/>
        <v>4</v>
      </c>
      <c r="E730" s="166" t="s">
        <v>1721</v>
      </c>
      <c r="F730" s="140">
        <f t="shared" si="81"/>
        <v>3</v>
      </c>
      <c r="G730" s="140" t="str">
        <f t="shared" si="77"/>
        <v>1.4.3</v>
      </c>
      <c r="H730" s="166" t="s">
        <v>1100</v>
      </c>
      <c r="I730" s="166" t="s">
        <v>1101</v>
      </c>
      <c r="J730" s="166" t="s">
        <v>176</v>
      </c>
      <c r="K730" s="166" t="s">
        <v>841</v>
      </c>
      <c r="L730" s="166">
        <v>0</v>
      </c>
      <c r="M730" s="166"/>
      <c r="N730" s="166"/>
      <c r="O730" s="164">
        <f t="shared" si="82"/>
        <v>0</v>
      </c>
      <c r="P730" s="166">
        <v>0</v>
      </c>
      <c r="Q730" s="166">
        <v>0</v>
      </c>
      <c r="R730" s="164">
        <f>$L730*'Pivot Objective'!$C$9*P730*Q730</f>
        <v>0</v>
      </c>
      <c r="S730" s="166"/>
      <c r="T730" s="166"/>
      <c r="U730" s="164">
        <f>($L730*'Pivot Objective'!$C$9^2)*S730*T730</f>
        <v>0</v>
      </c>
      <c r="V730" s="166"/>
      <c r="W730" s="166"/>
      <c r="X730" s="164">
        <f>($L730*'Pivot Objective'!$C$9^3)*V730*W730</f>
        <v>0</v>
      </c>
      <c r="Y730" s="166">
        <v>0</v>
      </c>
      <c r="Z730" s="166">
        <v>0</v>
      </c>
      <c r="AA730" s="164">
        <f>($L730*'Pivot Objective'!$C$9^4)*Y730*Z730</f>
        <v>0</v>
      </c>
      <c r="AB730" s="140"/>
      <c r="AC730" s="140"/>
      <c r="AD730" s="164">
        <f>($L730*'Pivot Objective'!$C$9^5)*AB730*AC730</f>
        <v>0</v>
      </c>
      <c r="AE730" s="140"/>
      <c r="AF730" s="140"/>
      <c r="AG730" s="164">
        <f>($L730*'Pivot Objective'!$C$9^6)*AE730*AF730</f>
        <v>0</v>
      </c>
      <c r="AH730" s="166">
        <v>0</v>
      </c>
      <c r="AI730" s="166">
        <v>0</v>
      </c>
      <c r="AJ730" s="164">
        <f>($L730*'Pivot Objective'!$C$9^7)*AH730*AI730</f>
        <v>0</v>
      </c>
      <c r="AK730" s="185">
        <f t="shared" si="83"/>
        <v>0</v>
      </c>
      <c r="AL730" s="186">
        <f t="shared" si="84"/>
        <v>0</v>
      </c>
    </row>
    <row r="731" spans="1:38" customFormat="1" ht="57.6" x14ac:dyDescent="0.3">
      <c r="A731" s="140" t="s">
        <v>1443</v>
      </c>
      <c r="B731" s="140">
        <v>1</v>
      </c>
      <c r="C731" s="166" t="s">
        <v>836</v>
      </c>
      <c r="D731" s="140" t="str">
        <f t="shared" si="76"/>
        <v>4</v>
      </c>
      <c r="E731" s="166" t="s">
        <v>1721</v>
      </c>
      <c r="F731" s="140">
        <f t="shared" si="81"/>
        <v>3</v>
      </c>
      <c r="G731" s="140" t="str">
        <f t="shared" si="77"/>
        <v>1.4.3</v>
      </c>
      <c r="H731" s="166" t="s">
        <v>1100</v>
      </c>
      <c r="I731" s="166" t="s">
        <v>1101</v>
      </c>
      <c r="J731" s="166" t="s">
        <v>1102</v>
      </c>
      <c r="K731" s="166" t="s">
        <v>841</v>
      </c>
      <c r="L731" s="166">
        <v>0</v>
      </c>
      <c r="M731" s="166"/>
      <c r="N731" s="166"/>
      <c r="O731" s="164">
        <f t="shared" si="82"/>
        <v>0</v>
      </c>
      <c r="P731" s="166">
        <v>3</v>
      </c>
      <c r="Q731" s="166">
        <v>5</v>
      </c>
      <c r="R731" s="164">
        <f>$L731*'Pivot Objective'!$C$9*P731*Q731</f>
        <v>0</v>
      </c>
      <c r="S731" s="166"/>
      <c r="T731" s="166"/>
      <c r="U731" s="164">
        <f>($L731*'Pivot Objective'!$C$9^2)*S731*T731</f>
        <v>0</v>
      </c>
      <c r="V731" s="166"/>
      <c r="W731" s="166"/>
      <c r="X731" s="164">
        <f>($L731*'Pivot Objective'!$C$9^3)*V731*W731</f>
        <v>0</v>
      </c>
      <c r="Y731" s="166">
        <v>3</v>
      </c>
      <c r="Z731" s="166">
        <v>5</v>
      </c>
      <c r="AA731" s="164">
        <f>($L731*'Pivot Objective'!$C$9^4)*Y731*Z731</f>
        <v>0</v>
      </c>
      <c r="AB731" s="140"/>
      <c r="AC731" s="140"/>
      <c r="AD731" s="164">
        <f>($L731*'Pivot Objective'!$C$9^5)*AB731*AC731</f>
        <v>0</v>
      </c>
      <c r="AE731" s="140"/>
      <c r="AF731" s="140"/>
      <c r="AG731" s="164">
        <f>($L731*'Pivot Objective'!$C$9^6)*AE731*AF731</f>
        <v>0</v>
      </c>
      <c r="AH731" s="166">
        <v>3</v>
      </c>
      <c r="AI731" s="166">
        <v>5</v>
      </c>
      <c r="AJ731" s="164">
        <f>($L731*'Pivot Objective'!$C$9^7)*AH731*AI731</f>
        <v>0</v>
      </c>
      <c r="AK731" s="185">
        <f t="shared" si="83"/>
        <v>0</v>
      </c>
      <c r="AL731" s="186">
        <f t="shared" si="84"/>
        <v>0</v>
      </c>
    </row>
    <row r="732" spans="1:38" customFormat="1" ht="57.6" x14ac:dyDescent="0.3">
      <c r="A732" s="140" t="s">
        <v>1443</v>
      </c>
      <c r="B732" s="140">
        <v>1</v>
      </c>
      <c r="C732" s="166" t="s">
        <v>836</v>
      </c>
      <c r="D732" s="140" t="str">
        <f t="shared" si="76"/>
        <v>4</v>
      </c>
      <c r="E732" s="166" t="s">
        <v>1721</v>
      </c>
      <c r="F732" s="140">
        <f t="shared" si="81"/>
        <v>3</v>
      </c>
      <c r="G732" s="140" t="str">
        <f t="shared" si="77"/>
        <v>1.4.3</v>
      </c>
      <c r="H732" s="166" t="s">
        <v>1100</v>
      </c>
      <c r="I732" s="166" t="s">
        <v>1101</v>
      </c>
      <c r="J732" s="166" t="s">
        <v>1103</v>
      </c>
      <c r="K732" s="166" t="s">
        <v>1323</v>
      </c>
      <c r="L732" s="166">
        <v>391991.03749999998</v>
      </c>
      <c r="M732" s="166"/>
      <c r="N732" s="166"/>
      <c r="O732" s="164">
        <f t="shared" si="82"/>
        <v>0</v>
      </c>
      <c r="P732" s="166">
        <v>1</v>
      </c>
      <c r="Q732" s="166">
        <v>1</v>
      </c>
      <c r="R732" s="164">
        <f>$L732*'Pivot Objective'!$C$9*P732*Q732</f>
        <v>448014.82659366808</v>
      </c>
      <c r="S732" s="166"/>
      <c r="T732" s="166"/>
      <c r="U732" s="164">
        <f>($L732*'Pivot Objective'!$C$9^2)*S732*T732</f>
        <v>0</v>
      </c>
      <c r="V732" s="166"/>
      <c r="W732" s="166"/>
      <c r="X732" s="164">
        <f>($L732*'Pivot Objective'!$C$9^3)*V732*W732</f>
        <v>0</v>
      </c>
      <c r="Y732" s="166">
        <v>1</v>
      </c>
      <c r="Z732" s="166">
        <v>1</v>
      </c>
      <c r="AA732" s="164">
        <f>($L732*'Pivot Objective'!$C$9^4)*Y732*Z732</f>
        <v>668869.10263038508</v>
      </c>
      <c r="AB732" s="140"/>
      <c r="AC732" s="140"/>
      <c r="AD732" s="164">
        <f>($L732*'Pivot Objective'!$C$9^5)*AB732*AC732</f>
        <v>0</v>
      </c>
      <c r="AE732" s="140"/>
      <c r="AF732" s="140"/>
      <c r="AG732" s="164">
        <f>($L732*'Pivot Objective'!$C$9^6)*AE732*AF732</f>
        <v>0</v>
      </c>
      <c r="AH732" s="166">
        <v>1</v>
      </c>
      <c r="AI732" s="166">
        <v>1</v>
      </c>
      <c r="AJ732" s="164">
        <f>($L732*'Pivot Objective'!$C$9^7)*AH732*AI732</f>
        <v>998596.13989815139</v>
      </c>
      <c r="AK732" s="185">
        <f t="shared" si="83"/>
        <v>2115480.0691222046</v>
      </c>
      <c r="AL732" s="186">
        <f t="shared" si="84"/>
        <v>2053.8641447788395</v>
      </c>
    </row>
    <row r="733" spans="1:38" customFormat="1" ht="57.6" x14ac:dyDescent="0.3">
      <c r="A733" s="140" t="s">
        <v>1443</v>
      </c>
      <c r="B733" s="140">
        <v>1</v>
      </c>
      <c r="C733" s="166" t="s">
        <v>836</v>
      </c>
      <c r="D733" s="140" t="str">
        <f t="shared" si="76"/>
        <v>4</v>
      </c>
      <c r="E733" s="166" t="s">
        <v>1721</v>
      </c>
      <c r="F733" s="140">
        <f t="shared" si="81"/>
        <v>3</v>
      </c>
      <c r="G733" s="140" t="str">
        <f t="shared" si="77"/>
        <v>1.4.3</v>
      </c>
      <c r="H733" s="166" t="s">
        <v>1100</v>
      </c>
      <c r="I733" s="166" t="s">
        <v>1101</v>
      </c>
      <c r="J733" s="166" t="s">
        <v>1103</v>
      </c>
      <c r="K733" s="166" t="s">
        <v>720</v>
      </c>
      <c r="L733" s="166">
        <f>980*1022</f>
        <v>1001560</v>
      </c>
      <c r="M733" s="166"/>
      <c r="N733" s="166"/>
      <c r="O733" s="164">
        <f t="shared" si="82"/>
        <v>0</v>
      </c>
      <c r="P733" s="166">
        <v>1</v>
      </c>
      <c r="Q733" s="166">
        <v>25</v>
      </c>
      <c r="R733" s="164">
        <f>$L733*'Pivot Objective'!$C$9*P733*Q733</f>
        <v>28617601.347782999</v>
      </c>
      <c r="S733" s="166"/>
      <c r="T733" s="166"/>
      <c r="U733" s="164">
        <f>($L733*'Pivot Objective'!$C$9^2)*S733*T733</f>
        <v>0</v>
      </c>
      <c r="V733" s="166"/>
      <c r="W733" s="166"/>
      <c r="X733" s="164">
        <f>($L733*'Pivot Objective'!$C$9^3)*V733*W733</f>
        <v>0</v>
      </c>
      <c r="Y733" s="166">
        <v>1</v>
      </c>
      <c r="Z733" s="166">
        <v>25</v>
      </c>
      <c r="AA733" s="164">
        <f>($L733*'Pivot Objective'!$C$9^4)*Y733*Z733</f>
        <v>42724990.774214357</v>
      </c>
      <c r="AB733" s="140"/>
      <c r="AC733" s="140"/>
      <c r="AD733" s="164">
        <f>($L733*'Pivot Objective'!$C$9^5)*AB733*AC733</f>
        <v>0</v>
      </c>
      <c r="AE733" s="140"/>
      <c r="AF733" s="140"/>
      <c r="AG733" s="164">
        <f>($L733*'Pivot Objective'!$C$9^6)*AE733*AF733</f>
        <v>0</v>
      </c>
      <c r="AH733" s="166">
        <v>1</v>
      </c>
      <c r="AI733" s="166">
        <v>25</v>
      </c>
      <c r="AJ733" s="164">
        <f>($L733*'Pivot Objective'!$C$9^7)*AH733*AI733</f>
        <v>63786786.826496802</v>
      </c>
      <c r="AK733" s="185">
        <f t="shared" si="83"/>
        <v>135129378.94849417</v>
      </c>
      <c r="AL733" s="186">
        <f t="shared" si="84"/>
        <v>131193.57179465453</v>
      </c>
    </row>
    <row r="734" spans="1:38" customFormat="1" ht="57.6" x14ac:dyDescent="0.3">
      <c r="A734" s="140" t="s">
        <v>1443</v>
      </c>
      <c r="B734" s="140">
        <v>1</v>
      </c>
      <c r="C734" s="166" t="s">
        <v>836</v>
      </c>
      <c r="D734" s="140" t="str">
        <f t="shared" si="76"/>
        <v>4</v>
      </c>
      <c r="E734" s="166" t="s">
        <v>1721</v>
      </c>
      <c r="F734" s="140">
        <f t="shared" ref="F734:F765" si="85">IF(H734=H733,F733,F733+1)</f>
        <v>3</v>
      </c>
      <c r="G734" s="140" t="str">
        <f t="shared" si="77"/>
        <v>1.4.3</v>
      </c>
      <c r="H734" s="166" t="s">
        <v>1100</v>
      </c>
      <c r="I734" s="166" t="s">
        <v>1101</v>
      </c>
      <c r="J734" s="166" t="s">
        <v>895</v>
      </c>
      <c r="K734" s="166" t="s">
        <v>841</v>
      </c>
      <c r="L734" s="166">
        <v>0</v>
      </c>
      <c r="M734" s="166"/>
      <c r="N734" s="166"/>
      <c r="O734" s="164">
        <f t="shared" si="82"/>
        <v>0</v>
      </c>
      <c r="P734" s="166">
        <v>1</v>
      </c>
      <c r="Q734" s="166">
        <v>30</v>
      </c>
      <c r="R734" s="164">
        <f>$L734*'Pivot Objective'!$C$9*P734*Q734</f>
        <v>0</v>
      </c>
      <c r="S734" s="166"/>
      <c r="T734" s="166"/>
      <c r="U734" s="164">
        <f>($L734*'Pivot Objective'!$C$9^2)*S734*T734</f>
        <v>0</v>
      </c>
      <c r="V734" s="166"/>
      <c r="W734" s="166"/>
      <c r="X734" s="164">
        <f>($L734*'Pivot Objective'!$C$9^3)*V734*W734</f>
        <v>0</v>
      </c>
      <c r="Y734" s="166">
        <v>1</v>
      </c>
      <c r="Z734" s="166">
        <v>30</v>
      </c>
      <c r="AA734" s="164">
        <f>($L734*'Pivot Objective'!$C$9^4)*Y734*Z734</f>
        <v>0</v>
      </c>
      <c r="AB734" s="140"/>
      <c r="AC734" s="140"/>
      <c r="AD734" s="164">
        <f>($L734*'Pivot Objective'!$C$9^5)*AB734*AC734</f>
        <v>0</v>
      </c>
      <c r="AE734" s="140"/>
      <c r="AF734" s="140"/>
      <c r="AG734" s="164">
        <f>($L734*'Pivot Objective'!$C$9^6)*AE734*AF734</f>
        <v>0</v>
      </c>
      <c r="AH734" s="166">
        <v>1</v>
      </c>
      <c r="AI734" s="166">
        <v>30</v>
      </c>
      <c r="AJ734" s="164">
        <f>($L734*'Pivot Objective'!$C$9^7)*AH734*AI734</f>
        <v>0</v>
      </c>
      <c r="AK734" s="185">
        <f t="shared" si="83"/>
        <v>0</v>
      </c>
      <c r="AL734" s="186">
        <f t="shared" si="84"/>
        <v>0</v>
      </c>
    </row>
    <row r="735" spans="1:38" customFormat="1" ht="57.6" x14ac:dyDescent="0.3">
      <c r="A735" s="140" t="s">
        <v>1443</v>
      </c>
      <c r="B735" s="140">
        <v>1</v>
      </c>
      <c r="C735" s="166" t="s">
        <v>836</v>
      </c>
      <c r="D735" s="140" t="str">
        <f t="shared" si="76"/>
        <v>4</v>
      </c>
      <c r="E735" s="166" t="s">
        <v>1721</v>
      </c>
      <c r="F735" s="140">
        <f t="shared" si="85"/>
        <v>3</v>
      </c>
      <c r="G735" s="140" t="str">
        <f t="shared" si="77"/>
        <v>1.4.3</v>
      </c>
      <c r="H735" s="166" t="s">
        <v>1100</v>
      </c>
      <c r="I735" s="166" t="s">
        <v>1101</v>
      </c>
      <c r="J735" s="166" t="s">
        <v>912</v>
      </c>
      <c r="K735" s="166" t="s">
        <v>841</v>
      </c>
      <c r="L735" s="166">
        <v>0</v>
      </c>
      <c r="M735" s="166"/>
      <c r="N735" s="166"/>
      <c r="O735" s="164">
        <f t="shared" si="82"/>
        <v>0</v>
      </c>
      <c r="P735" s="166">
        <v>5</v>
      </c>
      <c r="Q735" s="166">
        <v>5</v>
      </c>
      <c r="R735" s="164">
        <f>$L735*'Pivot Objective'!$C$9*P735*Q735</f>
        <v>0</v>
      </c>
      <c r="S735" s="166"/>
      <c r="T735" s="166"/>
      <c r="U735" s="164">
        <f>($L735*'Pivot Objective'!$C$9^2)*S735*T735</f>
        <v>0</v>
      </c>
      <c r="V735" s="166"/>
      <c r="W735" s="166"/>
      <c r="X735" s="164">
        <f>($L735*'Pivot Objective'!$C$9^3)*V735*W735</f>
        <v>0</v>
      </c>
      <c r="Y735" s="166">
        <v>5</v>
      </c>
      <c r="Z735" s="166">
        <v>5</v>
      </c>
      <c r="AA735" s="164">
        <f>($L735*'Pivot Objective'!$C$9^4)*Y735*Z735</f>
        <v>0</v>
      </c>
      <c r="AB735" s="140"/>
      <c r="AC735" s="140"/>
      <c r="AD735" s="164">
        <f>($L735*'Pivot Objective'!$C$9^5)*AB735*AC735</f>
        <v>0</v>
      </c>
      <c r="AE735" s="140"/>
      <c r="AF735" s="140"/>
      <c r="AG735" s="164">
        <f>($L735*'Pivot Objective'!$C$9^6)*AE735*AF735</f>
        <v>0</v>
      </c>
      <c r="AH735" s="166">
        <v>5</v>
      </c>
      <c r="AI735" s="166">
        <v>5</v>
      </c>
      <c r="AJ735" s="164">
        <f>($L735*'Pivot Objective'!$C$9^7)*AH735*AI735</f>
        <v>0</v>
      </c>
      <c r="AK735" s="185">
        <f t="shared" si="83"/>
        <v>0</v>
      </c>
      <c r="AL735" s="186">
        <f t="shared" si="84"/>
        <v>0</v>
      </c>
    </row>
    <row r="736" spans="1:38" customFormat="1" ht="57.6" x14ac:dyDescent="0.3">
      <c r="A736" s="140" t="s">
        <v>1443</v>
      </c>
      <c r="B736" s="140">
        <v>1</v>
      </c>
      <c r="C736" s="166" t="s">
        <v>836</v>
      </c>
      <c r="D736" s="140" t="str">
        <f t="shared" si="76"/>
        <v>4</v>
      </c>
      <c r="E736" s="166" t="s">
        <v>1721</v>
      </c>
      <c r="F736" s="140">
        <f t="shared" si="85"/>
        <v>3</v>
      </c>
      <c r="G736" s="140" t="str">
        <f t="shared" si="77"/>
        <v>1.4.3</v>
      </c>
      <c r="H736" s="166" t="s">
        <v>1100</v>
      </c>
      <c r="I736" s="166" t="s">
        <v>1101</v>
      </c>
      <c r="J736" s="166" t="s">
        <v>1026</v>
      </c>
      <c r="K736" s="166" t="s">
        <v>709</v>
      </c>
      <c r="L736" s="166">
        <v>35000</v>
      </c>
      <c r="M736" s="166"/>
      <c r="N736" s="166"/>
      <c r="O736" s="164">
        <f t="shared" si="82"/>
        <v>0</v>
      </c>
      <c r="P736" s="166">
        <v>30</v>
      </c>
      <c r="Q736" s="166">
        <v>1</v>
      </c>
      <c r="R736" s="164">
        <f>$L736*'Pivot Objective'!$C$9*P736*Q736</f>
        <v>1200067.1518499998</v>
      </c>
      <c r="S736" s="166"/>
      <c r="T736" s="166"/>
      <c r="U736" s="164">
        <f>($L736*'Pivot Objective'!$C$9^2)*S736*T736</f>
        <v>0</v>
      </c>
      <c r="V736" s="166"/>
      <c r="W736" s="166"/>
      <c r="X736" s="164">
        <f>($L736*'Pivot Objective'!$C$9^3)*V736*W736</f>
        <v>0</v>
      </c>
      <c r="Y736" s="166">
        <v>30</v>
      </c>
      <c r="Z736" s="166">
        <v>1</v>
      </c>
      <c r="AA736" s="164">
        <f>($L736*'Pivot Objective'!$C$9^4)*Y736*Z736</f>
        <v>1791654.6312921871</v>
      </c>
      <c r="AB736" s="140"/>
      <c r="AC736" s="140"/>
      <c r="AD736" s="164">
        <f>($L736*'Pivot Objective'!$C$9^5)*AB736*AC736</f>
        <v>0</v>
      </c>
      <c r="AE736" s="140"/>
      <c r="AF736" s="140"/>
      <c r="AG736" s="164">
        <f>($L736*'Pivot Objective'!$C$9^6)*AE736*AF736</f>
        <v>0</v>
      </c>
      <c r="AH736" s="166">
        <v>30</v>
      </c>
      <c r="AI736" s="166">
        <v>1</v>
      </c>
      <c r="AJ736" s="164">
        <f>($L736*'Pivot Objective'!$C$9^7)*AH736*AI736</f>
        <v>2674872.2460090914</v>
      </c>
      <c r="AK736" s="185">
        <f t="shared" si="83"/>
        <v>5666594.0291512776</v>
      </c>
      <c r="AL736" s="186">
        <f t="shared" si="84"/>
        <v>5501.5476011177452</v>
      </c>
    </row>
    <row r="737" spans="1:38" customFormat="1" ht="57.6" x14ac:dyDescent="0.3">
      <c r="A737" s="140" t="s">
        <v>1443</v>
      </c>
      <c r="B737" s="140">
        <v>1</v>
      </c>
      <c r="C737" s="166" t="s">
        <v>836</v>
      </c>
      <c r="D737" s="140" t="str">
        <f t="shared" si="76"/>
        <v>4</v>
      </c>
      <c r="E737" s="166" t="s">
        <v>1721</v>
      </c>
      <c r="F737" s="140">
        <f t="shared" si="85"/>
        <v>3</v>
      </c>
      <c r="G737" s="140" t="str">
        <f t="shared" si="77"/>
        <v>1.4.3</v>
      </c>
      <c r="H737" s="166" t="s">
        <v>1100</v>
      </c>
      <c r="I737" s="166" t="s">
        <v>1101</v>
      </c>
      <c r="J737" s="166" t="s">
        <v>1026</v>
      </c>
      <c r="K737" s="166" t="s">
        <v>1297</v>
      </c>
      <c r="L737" s="166">
        <v>8000</v>
      </c>
      <c r="M737" s="166"/>
      <c r="N737" s="166"/>
      <c r="O737" s="164">
        <f t="shared" si="82"/>
        <v>0</v>
      </c>
      <c r="P737" s="166">
        <v>30</v>
      </c>
      <c r="Q737" s="166">
        <v>1</v>
      </c>
      <c r="R737" s="164">
        <f>$L737*'Pivot Objective'!$C$9*P737*Q737</f>
        <v>274301.06328</v>
      </c>
      <c r="S737" s="166"/>
      <c r="T737" s="166"/>
      <c r="U737" s="164">
        <f>($L737*'Pivot Objective'!$C$9^2)*S737*T737</f>
        <v>0</v>
      </c>
      <c r="V737" s="166"/>
      <c r="W737" s="166"/>
      <c r="X737" s="164">
        <f>($L737*'Pivot Objective'!$C$9^3)*V737*W737</f>
        <v>0</v>
      </c>
      <c r="Y737" s="166">
        <v>30</v>
      </c>
      <c r="Z737" s="166">
        <v>1</v>
      </c>
      <c r="AA737" s="164">
        <f>($L737*'Pivot Objective'!$C$9^4)*Y737*Z737</f>
        <v>409521.05858107132</v>
      </c>
      <c r="AB737" s="140"/>
      <c r="AC737" s="140"/>
      <c r="AD737" s="164">
        <f>($L737*'Pivot Objective'!$C$9^5)*AB737*AC737</f>
        <v>0</v>
      </c>
      <c r="AE737" s="140"/>
      <c r="AF737" s="140"/>
      <c r="AG737" s="164">
        <f>($L737*'Pivot Objective'!$C$9^6)*AE737*AF737</f>
        <v>0</v>
      </c>
      <c r="AH737" s="166">
        <v>30</v>
      </c>
      <c r="AI737" s="166">
        <v>1</v>
      </c>
      <c r="AJ737" s="164">
        <f>($L737*'Pivot Objective'!$C$9^7)*AH737*AI737</f>
        <v>611399.37051636376</v>
      </c>
      <c r="AK737" s="185">
        <f t="shared" si="83"/>
        <v>1295221.4923774351</v>
      </c>
      <c r="AL737" s="186">
        <f t="shared" si="84"/>
        <v>1257.4965945411991</v>
      </c>
    </row>
    <row r="738" spans="1:38" customFormat="1" ht="57.6" x14ac:dyDescent="0.3">
      <c r="A738" s="140" t="s">
        <v>1443</v>
      </c>
      <c r="B738" s="140">
        <v>1</v>
      </c>
      <c r="C738" s="166" t="s">
        <v>836</v>
      </c>
      <c r="D738" s="140" t="str">
        <f t="shared" si="76"/>
        <v>4</v>
      </c>
      <c r="E738" s="166" t="s">
        <v>1721</v>
      </c>
      <c r="F738" s="140">
        <f t="shared" si="85"/>
        <v>3</v>
      </c>
      <c r="G738" s="140" t="str">
        <f t="shared" si="77"/>
        <v>1.4.3</v>
      </c>
      <c r="H738" s="166" t="s">
        <v>1100</v>
      </c>
      <c r="I738" s="166" t="s">
        <v>1101</v>
      </c>
      <c r="J738" s="166" t="s">
        <v>1026</v>
      </c>
      <c r="K738" s="166" t="s">
        <v>710</v>
      </c>
      <c r="L738" s="166">
        <v>104850</v>
      </c>
      <c r="M738" s="166"/>
      <c r="N738" s="166"/>
      <c r="O738" s="164">
        <f t="shared" si="82"/>
        <v>0</v>
      </c>
      <c r="P738" s="166">
        <v>1</v>
      </c>
      <c r="Q738" s="166">
        <v>1</v>
      </c>
      <c r="R738" s="164">
        <f>$L738*'Pivot Objective'!$C$9*P738*Q738</f>
        <v>119835.27702044998</v>
      </c>
      <c r="S738" s="166"/>
      <c r="T738" s="166"/>
      <c r="U738" s="164">
        <f>($L738*'Pivot Objective'!$C$9^2)*S738*T738</f>
        <v>0</v>
      </c>
      <c r="V738" s="166"/>
      <c r="W738" s="166"/>
      <c r="X738" s="164">
        <f>($L738*'Pivot Objective'!$C$9^3)*V738*W738</f>
        <v>0</v>
      </c>
      <c r="Y738" s="166">
        <v>1</v>
      </c>
      <c r="Z738" s="166">
        <v>1</v>
      </c>
      <c r="AA738" s="164">
        <f>($L738*'Pivot Objective'!$C$9^4)*Y738*Z738</f>
        <v>178909.51246760553</v>
      </c>
      <c r="AB738" s="140"/>
      <c r="AC738" s="140"/>
      <c r="AD738" s="164">
        <f>($L738*'Pivot Objective'!$C$9^5)*AB738*AC738</f>
        <v>0</v>
      </c>
      <c r="AE738" s="140"/>
      <c r="AF738" s="140"/>
      <c r="AG738" s="164">
        <f>($L738*'Pivot Objective'!$C$9^6)*AE738*AF738</f>
        <v>0</v>
      </c>
      <c r="AH738" s="166">
        <v>1</v>
      </c>
      <c r="AI738" s="166">
        <v>1</v>
      </c>
      <c r="AJ738" s="164">
        <f>($L738*'Pivot Objective'!$C$9^7)*AH738*AI738</f>
        <v>267105.09999433643</v>
      </c>
      <c r="AK738" s="185">
        <f t="shared" si="83"/>
        <v>565849.889482392</v>
      </c>
      <c r="AL738" s="186">
        <f t="shared" si="84"/>
        <v>549.36882474018637</v>
      </c>
    </row>
    <row r="739" spans="1:38" customFormat="1" ht="57.6" x14ac:dyDescent="0.3">
      <c r="A739" s="140" t="s">
        <v>1443</v>
      </c>
      <c r="B739" s="140">
        <v>1</v>
      </c>
      <c r="C739" s="166" t="s">
        <v>836</v>
      </c>
      <c r="D739" s="140" t="str">
        <f t="shared" si="76"/>
        <v>4</v>
      </c>
      <c r="E739" s="166" t="s">
        <v>1721</v>
      </c>
      <c r="F739" s="140">
        <f t="shared" si="85"/>
        <v>3</v>
      </c>
      <c r="G739" s="140" t="str">
        <f t="shared" si="77"/>
        <v>1.4.3</v>
      </c>
      <c r="H739" s="166" t="s">
        <v>1100</v>
      </c>
      <c r="I739" s="166" t="s">
        <v>1101</v>
      </c>
      <c r="J739" s="166" t="s">
        <v>163</v>
      </c>
      <c r="K739" s="166" t="s">
        <v>713</v>
      </c>
      <c r="L739" s="166">
        <v>45000</v>
      </c>
      <c r="M739" s="166"/>
      <c r="N739" s="166"/>
      <c r="O739" s="164">
        <f t="shared" si="82"/>
        <v>0</v>
      </c>
      <c r="P739" s="166">
        <v>30</v>
      </c>
      <c r="Q739" s="166">
        <v>1</v>
      </c>
      <c r="R739" s="164">
        <f>$L739*'Pivot Objective'!$C$9*P739*Q739</f>
        <v>1542943.4809499998</v>
      </c>
      <c r="S739" s="166"/>
      <c r="T739" s="166"/>
      <c r="U739" s="164">
        <f>($L739*'Pivot Objective'!$C$9^2)*S739*T739</f>
        <v>0</v>
      </c>
      <c r="V739" s="166"/>
      <c r="W739" s="166"/>
      <c r="X739" s="164">
        <f>($L739*'Pivot Objective'!$C$9^3)*V739*W739</f>
        <v>0</v>
      </c>
      <c r="Y739" s="166">
        <v>30</v>
      </c>
      <c r="Z739" s="166">
        <v>1</v>
      </c>
      <c r="AA739" s="164">
        <f>($L739*'Pivot Objective'!$C$9^4)*Y739*Z739</f>
        <v>2303555.9545185259</v>
      </c>
      <c r="AB739" s="140"/>
      <c r="AC739" s="140"/>
      <c r="AD739" s="164">
        <f>($L739*'Pivot Objective'!$C$9^5)*AB739*AC739</f>
        <v>0</v>
      </c>
      <c r="AE739" s="140"/>
      <c r="AF739" s="140"/>
      <c r="AG739" s="164">
        <f>($L739*'Pivot Objective'!$C$9^6)*AE739*AF739</f>
        <v>0</v>
      </c>
      <c r="AH739" s="166">
        <v>30</v>
      </c>
      <c r="AI739" s="166">
        <v>1</v>
      </c>
      <c r="AJ739" s="164">
        <f>($L739*'Pivot Objective'!$C$9^7)*AH739*AI739</f>
        <v>3439121.4591545463</v>
      </c>
      <c r="AK739" s="185">
        <f t="shared" si="83"/>
        <v>7285620.8946230719</v>
      </c>
      <c r="AL739" s="186">
        <f t="shared" si="84"/>
        <v>7073.4183442942449</v>
      </c>
    </row>
    <row r="740" spans="1:38" customFormat="1" ht="57.6" x14ac:dyDescent="0.3">
      <c r="A740" s="140" t="s">
        <v>1443</v>
      </c>
      <c r="B740" s="140">
        <v>1</v>
      </c>
      <c r="C740" s="166" t="s">
        <v>836</v>
      </c>
      <c r="D740" s="140" t="str">
        <f t="shared" si="76"/>
        <v>4</v>
      </c>
      <c r="E740" s="166" t="s">
        <v>1721</v>
      </c>
      <c r="F740" s="140">
        <f t="shared" si="85"/>
        <v>3</v>
      </c>
      <c r="G740" s="140" t="str">
        <f t="shared" si="77"/>
        <v>1.4.3</v>
      </c>
      <c r="H740" s="166" t="s">
        <v>1100</v>
      </c>
      <c r="I740" s="166" t="s">
        <v>1101</v>
      </c>
      <c r="J740" s="166" t="s">
        <v>163</v>
      </c>
      <c r="K740" s="166" t="s">
        <v>712</v>
      </c>
      <c r="L740" s="166">
        <f>1480/7</f>
        <v>211.42857142857142</v>
      </c>
      <c r="M740" s="166"/>
      <c r="N740" s="166"/>
      <c r="O740" s="164">
        <f t="shared" si="82"/>
        <v>0</v>
      </c>
      <c r="P740" s="166">
        <f>2*25*9</f>
        <v>450</v>
      </c>
      <c r="Q740" s="166">
        <v>1</v>
      </c>
      <c r="R740" s="164">
        <f>$L740*'Pivot Objective'!$C$9*P740*Q740</f>
        <v>108740.77865742856</v>
      </c>
      <c r="S740" s="166"/>
      <c r="T740" s="166"/>
      <c r="U740" s="164">
        <f>($L740*'Pivot Objective'!$C$9^2)*S740*T740</f>
        <v>0</v>
      </c>
      <c r="V740" s="166"/>
      <c r="W740" s="166"/>
      <c r="X740" s="164">
        <f>($L740*'Pivot Objective'!$C$9^3)*V740*W740</f>
        <v>0</v>
      </c>
      <c r="Y740" s="166">
        <f>2*25*9</f>
        <v>450</v>
      </c>
      <c r="Z740" s="166">
        <v>1</v>
      </c>
      <c r="AA740" s="164">
        <f>($L740*'Pivot Objective'!$C$9^4)*Y740*Z740</f>
        <v>162345.8482232104</v>
      </c>
      <c r="AB740" s="140"/>
      <c r="AC740" s="140"/>
      <c r="AD740" s="164">
        <f>($L740*'Pivot Objective'!$C$9^5)*AB740*AC740</f>
        <v>0</v>
      </c>
      <c r="AE740" s="140"/>
      <c r="AF740" s="140"/>
      <c r="AG740" s="164">
        <f>($L740*'Pivot Objective'!$C$9^6)*AE740*AF740</f>
        <v>0</v>
      </c>
      <c r="AH740" s="166">
        <f>2*25*9</f>
        <v>450</v>
      </c>
      <c r="AI740" s="166">
        <v>1</v>
      </c>
      <c r="AJ740" s="164">
        <f>($L740*'Pivot Objective'!$C$9^7)*AH740*AI740</f>
        <v>242376.17902612989</v>
      </c>
      <c r="AK740" s="185">
        <f t="shared" si="83"/>
        <v>513462.80590676883</v>
      </c>
      <c r="AL740" s="186">
        <f t="shared" si="84"/>
        <v>498.50757855026097</v>
      </c>
    </row>
    <row r="741" spans="1:38" customFormat="1" ht="57.6" x14ac:dyDescent="0.3">
      <c r="A741" s="140" t="s">
        <v>1443</v>
      </c>
      <c r="B741" s="140">
        <v>1</v>
      </c>
      <c r="C741" s="166" t="s">
        <v>836</v>
      </c>
      <c r="D741" s="140" t="str">
        <f t="shared" si="76"/>
        <v>4</v>
      </c>
      <c r="E741" s="166" t="s">
        <v>1721</v>
      </c>
      <c r="F741" s="140">
        <f t="shared" si="85"/>
        <v>3</v>
      </c>
      <c r="G741" s="140" t="str">
        <f t="shared" si="77"/>
        <v>1.4.3</v>
      </c>
      <c r="H741" s="166" t="s">
        <v>1100</v>
      </c>
      <c r="I741" s="166" t="s">
        <v>1101</v>
      </c>
      <c r="J741" s="166" t="s">
        <v>163</v>
      </c>
      <c r="K741" s="166" t="s">
        <v>1320</v>
      </c>
      <c r="L741" s="166">
        <f>1480/7</f>
        <v>211.42857142857142</v>
      </c>
      <c r="M741" s="166"/>
      <c r="N741" s="166"/>
      <c r="O741" s="164">
        <f t="shared" si="82"/>
        <v>0</v>
      </c>
      <c r="P741" s="166">
        <f>2*135*9</f>
        <v>2430</v>
      </c>
      <c r="Q741" s="166">
        <v>1</v>
      </c>
      <c r="R741" s="164">
        <f>$L741*'Pivot Objective'!$C$9*P741*Q741</f>
        <v>587200.20475011424</v>
      </c>
      <c r="S741" s="166"/>
      <c r="T741" s="166"/>
      <c r="U741" s="164">
        <f>($L741*'Pivot Objective'!$C$9^2)*S741*T741</f>
        <v>0</v>
      </c>
      <c r="V741" s="166"/>
      <c r="W741" s="166"/>
      <c r="X741" s="164">
        <f>($L741*'Pivot Objective'!$C$9^3)*V741*W741</f>
        <v>0</v>
      </c>
      <c r="Y741" s="166">
        <f>2*135*9</f>
        <v>2430</v>
      </c>
      <c r="Z741" s="166">
        <v>1</v>
      </c>
      <c r="AA741" s="164">
        <f>($L741*'Pivot Objective'!$C$9^4)*Y741*Z741</f>
        <v>876667.58040533611</v>
      </c>
      <c r="AB741" s="140"/>
      <c r="AC741" s="140"/>
      <c r="AD741" s="164">
        <f>($L741*'Pivot Objective'!$C$9^5)*AB741*AC741</f>
        <v>0</v>
      </c>
      <c r="AE741" s="140"/>
      <c r="AF741" s="140"/>
      <c r="AG741" s="164">
        <f>($L741*'Pivot Objective'!$C$9^6)*AE741*AF741</f>
        <v>0</v>
      </c>
      <c r="AH741" s="166">
        <f>2*135*9</f>
        <v>2430</v>
      </c>
      <c r="AI741" s="166">
        <v>1</v>
      </c>
      <c r="AJ741" s="164">
        <f>($L741*'Pivot Objective'!$C$9^7)*AH741*AI741</f>
        <v>1308831.3667411015</v>
      </c>
      <c r="AK741" s="185">
        <f t="shared" si="83"/>
        <v>2772699.1518965522</v>
      </c>
      <c r="AL741" s="186">
        <f t="shared" si="84"/>
        <v>2691.9409241714097</v>
      </c>
    </row>
    <row r="742" spans="1:38" customFormat="1" ht="57.6" x14ac:dyDescent="0.3">
      <c r="A742" s="140" t="s">
        <v>1443</v>
      </c>
      <c r="B742" s="140">
        <v>1</v>
      </c>
      <c r="C742" s="166" t="s">
        <v>836</v>
      </c>
      <c r="D742" s="140" t="str">
        <f t="shared" si="76"/>
        <v>4</v>
      </c>
      <c r="E742" s="166" t="s">
        <v>1721</v>
      </c>
      <c r="F742" s="140">
        <f t="shared" si="85"/>
        <v>3</v>
      </c>
      <c r="G742" s="140" t="str">
        <f t="shared" si="77"/>
        <v>1.4.3</v>
      </c>
      <c r="H742" s="166" t="s">
        <v>1100</v>
      </c>
      <c r="I742" s="166" t="s">
        <v>1101</v>
      </c>
      <c r="J742" s="166" t="s">
        <v>1027</v>
      </c>
      <c r="K742" s="166" t="s">
        <v>709</v>
      </c>
      <c r="L742" s="166">
        <v>35000</v>
      </c>
      <c r="M742" s="166"/>
      <c r="N742" s="166"/>
      <c r="O742" s="164">
        <f t="shared" si="82"/>
        <v>0</v>
      </c>
      <c r="P742" s="166">
        <v>30</v>
      </c>
      <c r="Q742" s="166">
        <v>1</v>
      </c>
      <c r="R742" s="164">
        <f>$L742*'Pivot Objective'!$C$9*P742*Q742</f>
        <v>1200067.1518499998</v>
      </c>
      <c r="S742" s="166"/>
      <c r="T742" s="166"/>
      <c r="U742" s="164">
        <f>($L742*'Pivot Objective'!$C$9^2)*S742*T742</f>
        <v>0</v>
      </c>
      <c r="V742" s="166"/>
      <c r="W742" s="166"/>
      <c r="X742" s="164">
        <f>($L742*'Pivot Objective'!$C$9^3)*V742*W742</f>
        <v>0</v>
      </c>
      <c r="Y742" s="166">
        <v>30</v>
      </c>
      <c r="Z742" s="166">
        <v>1</v>
      </c>
      <c r="AA742" s="164">
        <f>($L742*'Pivot Objective'!$C$9^4)*Y742*Z742</f>
        <v>1791654.6312921871</v>
      </c>
      <c r="AB742" s="140"/>
      <c r="AC742" s="140"/>
      <c r="AD742" s="164">
        <f>($L742*'Pivot Objective'!$C$9^5)*AB742*AC742</f>
        <v>0</v>
      </c>
      <c r="AE742" s="140"/>
      <c r="AF742" s="140"/>
      <c r="AG742" s="164">
        <f>($L742*'Pivot Objective'!$C$9^6)*AE742*AF742</f>
        <v>0</v>
      </c>
      <c r="AH742" s="166">
        <v>30</v>
      </c>
      <c r="AI742" s="166">
        <v>1</v>
      </c>
      <c r="AJ742" s="164">
        <f>($L742*'Pivot Objective'!$C$9^7)*AH742*AI742</f>
        <v>2674872.2460090914</v>
      </c>
      <c r="AK742" s="185">
        <f t="shared" si="83"/>
        <v>5666594.0291512776</v>
      </c>
      <c r="AL742" s="186">
        <f t="shared" si="84"/>
        <v>5501.5476011177452</v>
      </c>
    </row>
    <row r="743" spans="1:38" customFormat="1" ht="57.6" x14ac:dyDescent="0.3">
      <c r="A743" s="140" t="s">
        <v>1443</v>
      </c>
      <c r="B743" s="140">
        <v>1</v>
      </c>
      <c r="C743" s="166" t="s">
        <v>836</v>
      </c>
      <c r="D743" s="140" t="str">
        <f t="shared" si="76"/>
        <v>4</v>
      </c>
      <c r="E743" s="166" t="s">
        <v>1721</v>
      </c>
      <c r="F743" s="140">
        <f t="shared" si="85"/>
        <v>3</v>
      </c>
      <c r="G743" s="140" t="str">
        <f t="shared" si="77"/>
        <v>1.4.3</v>
      </c>
      <c r="H743" s="166" t="s">
        <v>1100</v>
      </c>
      <c r="I743" s="166" t="s">
        <v>1101</v>
      </c>
      <c r="J743" s="166" t="s">
        <v>157</v>
      </c>
      <c r="K743" s="166" t="s">
        <v>713</v>
      </c>
      <c r="L743" s="166">
        <v>45000</v>
      </c>
      <c r="M743" s="166"/>
      <c r="N743" s="166"/>
      <c r="O743" s="164">
        <f t="shared" si="82"/>
        <v>0</v>
      </c>
      <c r="P743" s="166">
        <v>30</v>
      </c>
      <c r="Q743" s="166">
        <v>5</v>
      </c>
      <c r="R743" s="164">
        <f>$L743*'Pivot Objective'!$C$9*P743*Q743</f>
        <v>7714717.4047499988</v>
      </c>
      <c r="S743" s="166"/>
      <c r="T743" s="166"/>
      <c r="U743" s="164">
        <f>($L743*'Pivot Objective'!$C$9^2)*S743*T743</f>
        <v>0</v>
      </c>
      <c r="V743" s="166"/>
      <c r="W743" s="166"/>
      <c r="X743" s="164">
        <f>($L743*'Pivot Objective'!$C$9^3)*V743*W743</f>
        <v>0</v>
      </c>
      <c r="Y743" s="166">
        <v>30</v>
      </c>
      <c r="Z743" s="166">
        <v>5</v>
      </c>
      <c r="AA743" s="164">
        <f>($L743*'Pivot Objective'!$C$9^4)*Y743*Z743</f>
        <v>11517779.77259263</v>
      </c>
      <c r="AB743" s="140"/>
      <c r="AC743" s="140"/>
      <c r="AD743" s="164">
        <f>($L743*'Pivot Objective'!$C$9^5)*AB743*AC743</f>
        <v>0</v>
      </c>
      <c r="AE743" s="140"/>
      <c r="AF743" s="140"/>
      <c r="AG743" s="164">
        <f>($L743*'Pivot Objective'!$C$9^6)*AE743*AF743</f>
        <v>0</v>
      </c>
      <c r="AH743" s="166">
        <v>30</v>
      </c>
      <c r="AI743" s="166">
        <v>5</v>
      </c>
      <c r="AJ743" s="164">
        <f>($L743*'Pivot Objective'!$C$9^7)*AH743*AI743</f>
        <v>17195607.295772731</v>
      </c>
      <c r="AK743" s="185">
        <f t="shared" si="83"/>
        <v>36428104.473115362</v>
      </c>
      <c r="AL743" s="186">
        <f t="shared" si="84"/>
        <v>35367.091721471224</v>
      </c>
    </row>
    <row r="744" spans="1:38" customFormat="1" ht="57.6" x14ac:dyDescent="0.3">
      <c r="A744" s="140" t="s">
        <v>1443</v>
      </c>
      <c r="B744" s="140">
        <v>1</v>
      </c>
      <c r="C744" s="166" t="s">
        <v>836</v>
      </c>
      <c r="D744" s="140" t="str">
        <f t="shared" si="76"/>
        <v>4</v>
      </c>
      <c r="E744" s="166" t="s">
        <v>1721</v>
      </c>
      <c r="F744" s="140">
        <f t="shared" si="85"/>
        <v>3</v>
      </c>
      <c r="G744" s="140" t="str">
        <f t="shared" si="77"/>
        <v>1.4.3</v>
      </c>
      <c r="H744" s="166" t="s">
        <v>1100</v>
      </c>
      <c r="I744" s="166" t="s">
        <v>1101</v>
      </c>
      <c r="J744" s="166" t="s">
        <v>157</v>
      </c>
      <c r="K744" s="166" t="s">
        <v>712</v>
      </c>
      <c r="L744" s="166">
        <f>1480/7</f>
        <v>211.42857142857142</v>
      </c>
      <c r="M744" s="166"/>
      <c r="N744" s="166"/>
      <c r="O744" s="164">
        <f t="shared" si="82"/>
        <v>0</v>
      </c>
      <c r="P744" s="166">
        <f>2*25*9</f>
        <v>450</v>
      </c>
      <c r="Q744" s="166">
        <v>5</v>
      </c>
      <c r="R744" s="164">
        <f>$L744*'Pivot Objective'!$C$9*P744*Q744</f>
        <v>543703.89328714274</v>
      </c>
      <c r="S744" s="166"/>
      <c r="T744" s="166"/>
      <c r="U744" s="164">
        <f>($L744*'Pivot Objective'!$C$9^2)*S744*T744</f>
        <v>0</v>
      </c>
      <c r="V744" s="166"/>
      <c r="W744" s="166"/>
      <c r="X744" s="164">
        <f>($L744*'Pivot Objective'!$C$9^3)*V744*W744</f>
        <v>0</v>
      </c>
      <c r="Y744" s="166">
        <f>2*25*9</f>
        <v>450</v>
      </c>
      <c r="Z744" s="166">
        <v>5</v>
      </c>
      <c r="AA744" s="164">
        <f>($L744*'Pivot Objective'!$C$9^4)*Y744*Z744</f>
        <v>811729.24111605203</v>
      </c>
      <c r="AB744" s="140"/>
      <c r="AC744" s="140"/>
      <c r="AD744" s="164">
        <f>($L744*'Pivot Objective'!$C$9^5)*AB744*AC744</f>
        <v>0</v>
      </c>
      <c r="AE744" s="140"/>
      <c r="AF744" s="140"/>
      <c r="AG744" s="164">
        <f>($L744*'Pivot Objective'!$C$9^6)*AE744*AF744</f>
        <v>0</v>
      </c>
      <c r="AH744" s="166">
        <f>2*25*9</f>
        <v>450</v>
      </c>
      <c r="AI744" s="166">
        <v>5</v>
      </c>
      <c r="AJ744" s="164">
        <f>($L744*'Pivot Objective'!$C$9^7)*AH744*AI744</f>
        <v>1211880.8951306494</v>
      </c>
      <c r="AK744" s="185">
        <f t="shared" si="83"/>
        <v>2567314.0295338444</v>
      </c>
      <c r="AL744" s="186">
        <f t="shared" si="84"/>
        <v>2492.5378927513052</v>
      </c>
    </row>
    <row r="745" spans="1:38" customFormat="1" ht="57.6" x14ac:dyDescent="0.3">
      <c r="A745" s="140" t="s">
        <v>1443</v>
      </c>
      <c r="B745" s="140">
        <v>1</v>
      </c>
      <c r="C745" s="166" t="s">
        <v>836</v>
      </c>
      <c r="D745" s="140" t="str">
        <f t="shared" si="76"/>
        <v>4</v>
      </c>
      <c r="E745" s="166" t="s">
        <v>1721</v>
      </c>
      <c r="F745" s="140">
        <f t="shared" si="85"/>
        <v>3</v>
      </c>
      <c r="G745" s="140" t="str">
        <f t="shared" si="77"/>
        <v>1.4.3</v>
      </c>
      <c r="H745" s="166" t="s">
        <v>1100</v>
      </c>
      <c r="I745" s="166" t="s">
        <v>1101</v>
      </c>
      <c r="J745" s="166" t="s">
        <v>157</v>
      </c>
      <c r="K745" s="166" t="s">
        <v>1320</v>
      </c>
      <c r="L745" s="166">
        <f>1480/7</f>
        <v>211.42857142857142</v>
      </c>
      <c r="M745" s="166"/>
      <c r="N745" s="166"/>
      <c r="O745" s="164">
        <f t="shared" si="82"/>
        <v>0</v>
      </c>
      <c r="P745" s="166">
        <f>2*135*9</f>
        <v>2430</v>
      </c>
      <c r="Q745" s="166">
        <v>1</v>
      </c>
      <c r="R745" s="164">
        <f>$L745*'Pivot Objective'!$C$9*P745*Q745</f>
        <v>587200.20475011424</v>
      </c>
      <c r="S745" s="166"/>
      <c r="T745" s="166"/>
      <c r="U745" s="164">
        <f>($L745*'Pivot Objective'!$C$9^2)*S745*T745</f>
        <v>0</v>
      </c>
      <c r="V745" s="166"/>
      <c r="W745" s="166"/>
      <c r="X745" s="164">
        <f>($L745*'Pivot Objective'!$C$9^3)*V745*W745</f>
        <v>0</v>
      </c>
      <c r="Y745" s="166">
        <f>2*135*9</f>
        <v>2430</v>
      </c>
      <c r="Z745" s="166">
        <v>1</v>
      </c>
      <c r="AA745" s="164">
        <f>($L745*'Pivot Objective'!$C$9^4)*Y745*Z745</f>
        <v>876667.58040533611</v>
      </c>
      <c r="AB745" s="140"/>
      <c r="AC745" s="140"/>
      <c r="AD745" s="164">
        <f>($L745*'Pivot Objective'!$C$9^5)*AB745*AC745</f>
        <v>0</v>
      </c>
      <c r="AE745" s="140"/>
      <c r="AF745" s="140"/>
      <c r="AG745" s="164">
        <f>($L745*'Pivot Objective'!$C$9^6)*AE745*AF745</f>
        <v>0</v>
      </c>
      <c r="AH745" s="166">
        <f>2*135*9</f>
        <v>2430</v>
      </c>
      <c r="AI745" s="166">
        <v>1</v>
      </c>
      <c r="AJ745" s="164">
        <f>($L745*'Pivot Objective'!$C$9^7)*AH745*AI745</f>
        <v>1308831.3667411015</v>
      </c>
      <c r="AK745" s="185">
        <f t="shared" si="83"/>
        <v>2772699.1518965522</v>
      </c>
      <c r="AL745" s="186">
        <f t="shared" si="84"/>
        <v>2691.9409241714097</v>
      </c>
    </row>
    <row r="746" spans="1:38" customFormat="1" ht="57.6" x14ac:dyDescent="0.3">
      <c r="A746" s="140" t="s">
        <v>1443</v>
      </c>
      <c r="B746" s="140">
        <v>1</v>
      </c>
      <c r="C746" s="166" t="s">
        <v>836</v>
      </c>
      <c r="D746" s="140" t="str">
        <f t="shared" si="76"/>
        <v>4</v>
      </c>
      <c r="E746" s="166" t="s">
        <v>1721</v>
      </c>
      <c r="F746" s="140">
        <f t="shared" si="85"/>
        <v>3</v>
      </c>
      <c r="G746" s="140" t="str">
        <f t="shared" si="77"/>
        <v>1.4.3</v>
      </c>
      <c r="H746" s="166" t="s">
        <v>1100</v>
      </c>
      <c r="I746" s="166" t="s">
        <v>1101</v>
      </c>
      <c r="J746" s="166" t="s">
        <v>157</v>
      </c>
      <c r="K746" s="166" t="s">
        <v>1041</v>
      </c>
      <c r="L746" s="166">
        <v>10000</v>
      </c>
      <c r="M746" s="166"/>
      <c r="N746" s="166"/>
      <c r="O746" s="164">
        <f t="shared" si="82"/>
        <v>0</v>
      </c>
      <c r="P746" s="166">
        <v>15</v>
      </c>
      <c r="Q746" s="166">
        <v>1</v>
      </c>
      <c r="R746" s="164">
        <f>$L746*'Pivot Objective'!$C$9*P746*Q746</f>
        <v>171438.16454999999</v>
      </c>
      <c r="S746" s="166"/>
      <c r="T746" s="166"/>
      <c r="U746" s="164">
        <f>($L746*'Pivot Objective'!$C$9^2)*S746*T746</f>
        <v>0</v>
      </c>
      <c r="V746" s="166"/>
      <c r="W746" s="166"/>
      <c r="X746" s="164">
        <f>($L746*'Pivot Objective'!$C$9^3)*V746*W746</f>
        <v>0</v>
      </c>
      <c r="Y746" s="166">
        <v>15</v>
      </c>
      <c r="Z746" s="166">
        <v>1</v>
      </c>
      <c r="AA746" s="164">
        <f>($L746*'Pivot Objective'!$C$9^4)*Y746*Z746</f>
        <v>255950.66161316959</v>
      </c>
      <c r="AB746" s="140"/>
      <c r="AC746" s="140"/>
      <c r="AD746" s="164">
        <f>($L746*'Pivot Objective'!$C$9^5)*AB746*AC746</f>
        <v>0</v>
      </c>
      <c r="AE746" s="140"/>
      <c r="AF746" s="140"/>
      <c r="AG746" s="164">
        <f>($L746*'Pivot Objective'!$C$9^6)*AE746*AF746</f>
        <v>0</v>
      </c>
      <c r="AH746" s="166">
        <v>15</v>
      </c>
      <c r="AI746" s="166">
        <v>1</v>
      </c>
      <c r="AJ746" s="164">
        <f>($L746*'Pivot Objective'!$C$9^7)*AH746*AI746</f>
        <v>382124.60657272732</v>
      </c>
      <c r="AK746" s="185">
        <f t="shared" si="83"/>
        <v>809513.4327358969</v>
      </c>
      <c r="AL746" s="186">
        <f t="shared" si="84"/>
        <v>785.93537158824938</v>
      </c>
    </row>
    <row r="747" spans="1:38" customFormat="1" ht="57.6" x14ac:dyDescent="0.3">
      <c r="A747" s="140" t="s">
        <v>1443</v>
      </c>
      <c r="B747" s="140">
        <v>1</v>
      </c>
      <c r="C747" s="166" t="s">
        <v>836</v>
      </c>
      <c r="D747" s="140" t="str">
        <f t="shared" si="76"/>
        <v>4</v>
      </c>
      <c r="E747" s="166" t="s">
        <v>1721</v>
      </c>
      <c r="F747" s="140">
        <f t="shared" si="85"/>
        <v>3</v>
      </c>
      <c r="G747" s="140" t="str">
        <f t="shared" si="77"/>
        <v>1.4.3</v>
      </c>
      <c r="H747" s="166" t="s">
        <v>1100</v>
      </c>
      <c r="I747" s="166" t="s">
        <v>1101</v>
      </c>
      <c r="J747" s="166" t="s">
        <v>1004</v>
      </c>
      <c r="K747" s="166" t="s">
        <v>709</v>
      </c>
      <c r="L747" s="166">
        <v>35000</v>
      </c>
      <c r="M747" s="166"/>
      <c r="N747" s="166"/>
      <c r="O747" s="164">
        <f t="shared" si="82"/>
        <v>0</v>
      </c>
      <c r="P747" s="166">
        <v>30</v>
      </c>
      <c r="Q747" s="166">
        <v>5</v>
      </c>
      <c r="R747" s="164">
        <f>$L747*'Pivot Objective'!$C$9*P747*Q747</f>
        <v>6000335.7592499992</v>
      </c>
      <c r="S747" s="166"/>
      <c r="T747" s="166"/>
      <c r="U747" s="164">
        <f>($L747*'Pivot Objective'!$C$9^2)*S747*T747</f>
        <v>0</v>
      </c>
      <c r="V747" s="166"/>
      <c r="W747" s="166"/>
      <c r="X747" s="164">
        <f>($L747*'Pivot Objective'!$C$9^3)*V747*W747</f>
        <v>0</v>
      </c>
      <c r="Y747" s="166">
        <v>30</v>
      </c>
      <c r="Z747" s="166">
        <v>5</v>
      </c>
      <c r="AA747" s="164">
        <f>($L747*'Pivot Objective'!$C$9^4)*Y747*Z747</f>
        <v>8958273.1564609352</v>
      </c>
      <c r="AB747" s="140"/>
      <c r="AC747" s="140"/>
      <c r="AD747" s="164">
        <f>($L747*'Pivot Objective'!$C$9^5)*AB747*AC747</f>
        <v>0</v>
      </c>
      <c r="AE747" s="140"/>
      <c r="AF747" s="140"/>
      <c r="AG747" s="164">
        <f>($L747*'Pivot Objective'!$C$9^6)*AE747*AF747</f>
        <v>0</v>
      </c>
      <c r="AH747" s="166">
        <v>30</v>
      </c>
      <c r="AI747" s="166">
        <v>5</v>
      </c>
      <c r="AJ747" s="164">
        <f>($L747*'Pivot Objective'!$C$9^7)*AH747*AI747</f>
        <v>13374361.230045456</v>
      </c>
      <c r="AK747" s="185">
        <f t="shared" si="83"/>
        <v>28332970.14575639</v>
      </c>
      <c r="AL747" s="186">
        <f t="shared" si="84"/>
        <v>27507.73800558873</v>
      </c>
    </row>
    <row r="748" spans="1:38" customFormat="1" ht="57.6" x14ac:dyDescent="0.3">
      <c r="A748" s="140" t="s">
        <v>1443</v>
      </c>
      <c r="B748" s="140">
        <v>1</v>
      </c>
      <c r="C748" s="166" t="s">
        <v>836</v>
      </c>
      <c r="D748" s="140" t="str">
        <f t="shared" si="76"/>
        <v>4</v>
      </c>
      <c r="E748" s="166" t="s">
        <v>1721</v>
      </c>
      <c r="F748" s="140">
        <f t="shared" si="85"/>
        <v>3</v>
      </c>
      <c r="G748" s="140" t="str">
        <f t="shared" si="77"/>
        <v>1.4.3</v>
      </c>
      <c r="H748" s="166" t="s">
        <v>1100</v>
      </c>
      <c r="I748" s="166" t="s">
        <v>1101</v>
      </c>
      <c r="J748" s="166" t="s">
        <v>1004</v>
      </c>
      <c r="K748" s="166" t="s">
        <v>716</v>
      </c>
      <c r="L748" s="166">
        <v>39000</v>
      </c>
      <c r="M748" s="166"/>
      <c r="N748" s="166"/>
      <c r="O748" s="164">
        <f t="shared" si="82"/>
        <v>0</v>
      </c>
      <c r="P748" s="166">
        <v>30</v>
      </c>
      <c r="Q748" s="166">
        <v>5</v>
      </c>
      <c r="R748" s="164">
        <f>$L748*'Pivot Objective'!$C$9*P748*Q748</f>
        <v>6686088.4174499987</v>
      </c>
      <c r="S748" s="166"/>
      <c r="T748" s="166"/>
      <c r="U748" s="164">
        <f>($L748*'Pivot Objective'!$C$9^2)*S748*T748</f>
        <v>0</v>
      </c>
      <c r="V748" s="166"/>
      <c r="W748" s="166"/>
      <c r="X748" s="164">
        <f>($L748*'Pivot Objective'!$C$9^3)*V748*W748</f>
        <v>0</v>
      </c>
      <c r="Y748" s="166">
        <v>30</v>
      </c>
      <c r="Z748" s="166">
        <v>5</v>
      </c>
      <c r="AA748" s="164">
        <f>($L748*'Pivot Objective'!$C$9^4)*Y748*Z748</f>
        <v>9982075.8029136136</v>
      </c>
      <c r="AB748" s="140"/>
      <c r="AC748" s="140"/>
      <c r="AD748" s="164">
        <f>($L748*'Pivot Objective'!$C$9^5)*AB748*AC748</f>
        <v>0</v>
      </c>
      <c r="AE748" s="140"/>
      <c r="AF748" s="140"/>
      <c r="AG748" s="164">
        <f>($L748*'Pivot Objective'!$C$9^6)*AE748*AF748</f>
        <v>0</v>
      </c>
      <c r="AH748" s="166">
        <v>30</v>
      </c>
      <c r="AI748" s="166">
        <v>5</v>
      </c>
      <c r="AJ748" s="164">
        <f>($L748*'Pivot Objective'!$C$9^7)*AH748*AI748</f>
        <v>14902859.656336365</v>
      </c>
      <c r="AK748" s="185">
        <f t="shared" si="83"/>
        <v>31571023.876699977</v>
      </c>
      <c r="AL748" s="186">
        <f t="shared" si="84"/>
        <v>30651.479491941725</v>
      </c>
    </row>
    <row r="749" spans="1:38" customFormat="1" ht="57.6" x14ac:dyDescent="0.3">
      <c r="A749" s="140" t="s">
        <v>1443</v>
      </c>
      <c r="B749" s="140">
        <v>1</v>
      </c>
      <c r="C749" s="166" t="s">
        <v>836</v>
      </c>
      <c r="D749" s="140" t="str">
        <f t="shared" si="76"/>
        <v>4</v>
      </c>
      <c r="E749" s="166" t="s">
        <v>1721</v>
      </c>
      <c r="F749" s="140">
        <f t="shared" si="85"/>
        <v>3</v>
      </c>
      <c r="G749" s="140" t="str">
        <f t="shared" si="77"/>
        <v>1.4.3</v>
      </c>
      <c r="H749" s="166" t="s">
        <v>1100</v>
      </c>
      <c r="I749" s="166" t="s">
        <v>1101</v>
      </c>
      <c r="J749" s="166" t="s">
        <v>1004</v>
      </c>
      <c r="K749" s="166" t="s">
        <v>712</v>
      </c>
      <c r="L749" s="166">
        <f>1480/7</f>
        <v>211.42857142857142</v>
      </c>
      <c r="M749" s="166"/>
      <c r="N749" s="166"/>
      <c r="O749" s="164">
        <f t="shared" si="82"/>
        <v>0</v>
      </c>
      <c r="P749" s="166">
        <f>2*25*9</f>
        <v>450</v>
      </c>
      <c r="Q749" s="166">
        <v>5</v>
      </c>
      <c r="R749" s="164">
        <f>$L749*'Pivot Objective'!$C$9*P749*Q749</f>
        <v>543703.89328714274</v>
      </c>
      <c r="S749" s="166"/>
      <c r="T749" s="166"/>
      <c r="U749" s="164">
        <f>($L749*'Pivot Objective'!$C$9^2)*S749*T749</f>
        <v>0</v>
      </c>
      <c r="V749" s="166"/>
      <c r="W749" s="166"/>
      <c r="X749" s="164">
        <f>($L749*'Pivot Objective'!$C$9^3)*V749*W749</f>
        <v>0</v>
      </c>
      <c r="Y749" s="166">
        <f>2*25*9</f>
        <v>450</v>
      </c>
      <c r="Z749" s="166">
        <v>5</v>
      </c>
      <c r="AA749" s="164">
        <f>($L749*'Pivot Objective'!$C$9^4)*Y749*Z749</f>
        <v>811729.24111605203</v>
      </c>
      <c r="AB749" s="140"/>
      <c r="AC749" s="140"/>
      <c r="AD749" s="164">
        <f>($L749*'Pivot Objective'!$C$9^5)*AB749*AC749</f>
        <v>0</v>
      </c>
      <c r="AE749" s="140"/>
      <c r="AF749" s="140"/>
      <c r="AG749" s="164">
        <f>($L749*'Pivot Objective'!$C$9^6)*AE749*AF749</f>
        <v>0</v>
      </c>
      <c r="AH749" s="166">
        <f>2*25*9</f>
        <v>450</v>
      </c>
      <c r="AI749" s="166">
        <v>5</v>
      </c>
      <c r="AJ749" s="164">
        <f>($L749*'Pivot Objective'!$C$9^7)*AH749*AI749</f>
        <v>1211880.8951306494</v>
      </c>
      <c r="AK749" s="185">
        <f t="shared" si="83"/>
        <v>2567314.0295338444</v>
      </c>
      <c r="AL749" s="186">
        <f t="shared" si="84"/>
        <v>2492.5378927513052</v>
      </c>
    </row>
    <row r="750" spans="1:38" customFormat="1" ht="57.6" x14ac:dyDescent="0.3">
      <c r="A750" s="140" t="s">
        <v>1443</v>
      </c>
      <c r="B750" s="140">
        <v>1</v>
      </c>
      <c r="C750" s="166" t="s">
        <v>836</v>
      </c>
      <c r="D750" s="140" t="str">
        <f t="shared" si="76"/>
        <v>4</v>
      </c>
      <c r="E750" s="166" t="s">
        <v>1721</v>
      </c>
      <c r="F750" s="140">
        <f t="shared" si="85"/>
        <v>3</v>
      </c>
      <c r="G750" s="140" t="str">
        <f t="shared" si="77"/>
        <v>1.4.3</v>
      </c>
      <c r="H750" s="166" t="s">
        <v>1100</v>
      </c>
      <c r="I750" s="166" t="s">
        <v>1101</v>
      </c>
      <c r="J750" s="166" t="s">
        <v>1004</v>
      </c>
      <c r="K750" s="166" t="s">
        <v>1320</v>
      </c>
      <c r="L750" s="166">
        <f>1480/7</f>
        <v>211.42857142857142</v>
      </c>
      <c r="M750" s="166"/>
      <c r="N750" s="166"/>
      <c r="O750" s="164">
        <f t="shared" si="82"/>
        <v>0</v>
      </c>
      <c r="P750" s="166">
        <f>2*135*9</f>
        <v>2430</v>
      </c>
      <c r="Q750" s="166">
        <v>1</v>
      </c>
      <c r="R750" s="164">
        <f>$L750*'Pivot Objective'!$C$9*P750*Q750</f>
        <v>587200.20475011424</v>
      </c>
      <c r="S750" s="166"/>
      <c r="T750" s="166"/>
      <c r="U750" s="164">
        <f>($L750*'Pivot Objective'!$C$9^2)*S750*T750</f>
        <v>0</v>
      </c>
      <c r="V750" s="166"/>
      <c r="W750" s="166"/>
      <c r="X750" s="164">
        <f>($L750*'Pivot Objective'!$C$9^3)*V750*W750</f>
        <v>0</v>
      </c>
      <c r="Y750" s="166">
        <f>2*135*9</f>
        <v>2430</v>
      </c>
      <c r="Z750" s="166">
        <v>1</v>
      </c>
      <c r="AA750" s="164">
        <f>($L750*'Pivot Objective'!$C$9^4)*Y750*Z750</f>
        <v>876667.58040533611</v>
      </c>
      <c r="AB750" s="140"/>
      <c r="AC750" s="140"/>
      <c r="AD750" s="164">
        <f>($L750*'Pivot Objective'!$C$9^5)*AB750*AC750</f>
        <v>0</v>
      </c>
      <c r="AE750" s="140"/>
      <c r="AF750" s="140"/>
      <c r="AG750" s="164">
        <f>($L750*'Pivot Objective'!$C$9^6)*AE750*AF750</f>
        <v>0</v>
      </c>
      <c r="AH750" s="166">
        <f>2*135*9</f>
        <v>2430</v>
      </c>
      <c r="AI750" s="166">
        <v>1</v>
      </c>
      <c r="AJ750" s="164">
        <f>($L750*'Pivot Objective'!$C$9^7)*AH750*AI750</f>
        <v>1308831.3667411015</v>
      </c>
      <c r="AK750" s="185">
        <f t="shared" si="83"/>
        <v>2772699.1518965522</v>
      </c>
      <c r="AL750" s="186">
        <f t="shared" si="84"/>
        <v>2691.9409241714097</v>
      </c>
    </row>
    <row r="751" spans="1:38" customFormat="1" ht="57.6" x14ac:dyDescent="0.3">
      <c r="A751" s="140" t="s">
        <v>1443</v>
      </c>
      <c r="B751" s="140">
        <v>1</v>
      </c>
      <c r="C751" s="166" t="s">
        <v>836</v>
      </c>
      <c r="D751" s="140" t="str">
        <f t="shared" si="76"/>
        <v>4</v>
      </c>
      <c r="E751" s="166" t="s">
        <v>1721</v>
      </c>
      <c r="F751" s="140">
        <f t="shared" si="85"/>
        <v>3</v>
      </c>
      <c r="G751" s="140" t="str">
        <f t="shared" si="77"/>
        <v>1.4.3</v>
      </c>
      <c r="H751" s="166" t="s">
        <v>1100</v>
      </c>
      <c r="I751" s="166" t="s">
        <v>1101</v>
      </c>
      <c r="J751" s="166" t="s">
        <v>1104</v>
      </c>
      <c r="K751" s="166" t="s">
        <v>841</v>
      </c>
      <c r="L751" s="166">
        <v>0</v>
      </c>
      <c r="M751" s="166"/>
      <c r="N751" s="166"/>
      <c r="O751" s="164">
        <f t="shared" si="82"/>
        <v>0</v>
      </c>
      <c r="P751" s="166">
        <v>15</v>
      </c>
      <c r="Q751" s="166">
        <v>1</v>
      </c>
      <c r="R751" s="164">
        <f>$L751*'Pivot Objective'!$C$9*P751*Q751</f>
        <v>0</v>
      </c>
      <c r="S751" s="166"/>
      <c r="T751" s="166"/>
      <c r="U751" s="164">
        <f>($L751*'Pivot Objective'!$C$9^2)*S751*T751</f>
        <v>0</v>
      </c>
      <c r="V751" s="166"/>
      <c r="W751" s="166"/>
      <c r="X751" s="164">
        <f>($L751*'Pivot Objective'!$C$9^3)*V751*W751</f>
        <v>0</v>
      </c>
      <c r="Y751" s="166">
        <v>15</v>
      </c>
      <c r="Z751" s="166">
        <v>1</v>
      </c>
      <c r="AA751" s="164">
        <f>($L751*'Pivot Objective'!$C$9^4)*Y751*Z751</f>
        <v>0</v>
      </c>
      <c r="AB751" s="140"/>
      <c r="AC751" s="140"/>
      <c r="AD751" s="164">
        <f>($L751*'Pivot Objective'!$C$9^5)*AB751*AC751</f>
        <v>0</v>
      </c>
      <c r="AE751" s="140"/>
      <c r="AF751" s="140"/>
      <c r="AG751" s="164">
        <f>($L751*'Pivot Objective'!$C$9^6)*AE751*AF751</f>
        <v>0</v>
      </c>
      <c r="AH751" s="166">
        <v>15</v>
      </c>
      <c r="AI751" s="166">
        <v>1</v>
      </c>
      <c r="AJ751" s="164">
        <f>($L751*'Pivot Objective'!$C$9^7)*AH751*AI751</f>
        <v>0</v>
      </c>
      <c r="AK751" s="185">
        <f t="shared" si="83"/>
        <v>0</v>
      </c>
      <c r="AL751" s="186">
        <f t="shared" si="84"/>
        <v>0</v>
      </c>
    </row>
    <row r="752" spans="1:38" customFormat="1" ht="57.6" x14ac:dyDescent="0.3">
      <c r="A752" s="140" t="s">
        <v>1443</v>
      </c>
      <c r="B752" s="140">
        <v>1</v>
      </c>
      <c r="C752" s="166" t="s">
        <v>836</v>
      </c>
      <c r="D752" s="140" t="str">
        <f t="shared" si="76"/>
        <v>4</v>
      </c>
      <c r="E752" s="166" t="s">
        <v>1721</v>
      </c>
      <c r="F752" s="140">
        <f t="shared" si="85"/>
        <v>3</v>
      </c>
      <c r="G752" s="140" t="str">
        <f t="shared" si="77"/>
        <v>1.4.3</v>
      </c>
      <c r="H752" s="166" t="s">
        <v>1100</v>
      </c>
      <c r="I752" s="166" t="s">
        <v>1101</v>
      </c>
      <c r="J752" s="166" t="s">
        <v>168</v>
      </c>
      <c r="K752" s="166" t="s">
        <v>716</v>
      </c>
      <c r="L752" s="166">
        <v>39000</v>
      </c>
      <c r="M752" s="166"/>
      <c r="N752" s="166"/>
      <c r="O752" s="164">
        <f t="shared" si="82"/>
        <v>0</v>
      </c>
      <c r="P752" s="166">
        <v>58</v>
      </c>
      <c r="Q752" s="166">
        <v>5</v>
      </c>
      <c r="R752" s="164">
        <f>$L752*'Pivot Objective'!$C$9*P752*Q752</f>
        <v>12926437.607069999</v>
      </c>
      <c r="S752" s="166"/>
      <c r="T752" s="166"/>
      <c r="U752" s="164">
        <f>($L752*'Pivot Objective'!$C$9^2)*S752*T752</f>
        <v>0</v>
      </c>
      <c r="V752" s="166"/>
      <c r="W752" s="166"/>
      <c r="X752" s="164">
        <f>($L752*'Pivot Objective'!$C$9^3)*V752*W752</f>
        <v>0</v>
      </c>
      <c r="Y752" s="166">
        <v>58</v>
      </c>
      <c r="Z752" s="166">
        <v>5</v>
      </c>
      <c r="AA752" s="164">
        <f>($L752*'Pivot Objective'!$C$9^4)*Y752*Z752</f>
        <v>19298679.885632988</v>
      </c>
      <c r="AB752" s="140"/>
      <c r="AC752" s="140"/>
      <c r="AD752" s="164">
        <f>($L752*'Pivot Objective'!$C$9^5)*AB752*AC752</f>
        <v>0</v>
      </c>
      <c r="AE752" s="140"/>
      <c r="AF752" s="140"/>
      <c r="AG752" s="164">
        <f>($L752*'Pivot Objective'!$C$9^6)*AE752*AF752</f>
        <v>0</v>
      </c>
      <c r="AH752" s="166">
        <v>58</v>
      </c>
      <c r="AI752" s="166">
        <v>5</v>
      </c>
      <c r="AJ752" s="164">
        <f>($L752*'Pivot Objective'!$C$9^7)*AH752*AI752</f>
        <v>28812195.335583642</v>
      </c>
      <c r="AK752" s="185">
        <f t="shared" si="83"/>
        <v>61037312.828286633</v>
      </c>
      <c r="AL752" s="186">
        <f t="shared" si="84"/>
        <v>59259.527017754015</v>
      </c>
    </row>
    <row r="753" spans="1:38" customFormat="1" ht="57.6" x14ac:dyDescent="0.3">
      <c r="A753" s="140" t="s">
        <v>1443</v>
      </c>
      <c r="B753" s="140">
        <v>1</v>
      </c>
      <c r="C753" s="166" t="s">
        <v>836</v>
      </c>
      <c r="D753" s="140" t="str">
        <f t="shared" ref="D753:D816" si="86">RIGHT(A753,1)</f>
        <v>4</v>
      </c>
      <c r="E753" s="166" t="s">
        <v>1721</v>
      </c>
      <c r="F753" s="140">
        <f t="shared" si="85"/>
        <v>3</v>
      </c>
      <c r="G753" s="140" t="str">
        <f t="shared" si="77"/>
        <v>1.4.3</v>
      </c>
      <c r="H753" s="166" t="s">
        <v>1100</v>
      </c>
      <c r="I753" s="166" t="s">
        <v>1101</v>
      </c>
      <c r="J753" s="166" t="s">
        <v>168</v>
      </c>
      <c r="K753" s="166" t="s">
        <v>709</v>
      </c>
      <c r="L753" s="166">
        <v>35000</v>
      </c>
      <c r="M753" s="166"/>
      <c r="N753" s="166"/>
      <c r="O753" s="164">
        <f t="shared" si="82"/>
        <v>0</v>
      </c>
      <c r="P753" s="166">
        <v>100</v>
      </c>
      <c r="Q753" s="166">
        <v>5</v>
      </c>
      <c r="R753" s="164">
        <f>$L753*'Pivot Objective'!$C$9*P753*Q753</f>
        <v>20001119.197499998</v>
      </c>
      <c r="S753" s="166"/>
      <c r="T753" s="166"/>
      <c r="U753" s="164">
        <f>($L753*'Pivot Objective'!$C$9^2)*S753*T753</f>
        <v>0</v>
      </c>
      <c r="V753" s="166"/>
      <c r="W753" s="166"/>
      <c r="X753" s="164">
        <f>($L753*'Pivot Objective'!$C$9^3)*V753*W753</f>
        <v>0</v>
      </c>
      <c r="Y753" s="166">
        <v>100</v>
      </c>
      <c r="Z753" s="166">
        <v>5</v>
      </c>
      <c r="AA753" s="164">
        <f>($L753*'Pivot Objective'!$C$9^4)*Y753*Z753</f>
        <v>29860910.521536451</v>
      </c>
      <c r="AB753" s="140"/>
      <c r="AC753" s="140"/>
      <c r="AD753" s="164">
        <f>($L753*'Pivot Objective'!$C$9^5)*AB753*AC753</f>
        <v>0</v>
      </c>
      <c r="AE753" s="140"/>
      <c r="AF753" s="140"/>
      <c r="AG753" s="164">
        <f>($L753*'Pivot Objective'!$C$9^6)*AE753*AF753</f>
        <v>0</v>
      </c>
      <c r="AH753" s="166">
        <v>100</v>
      </c>
      <c r="AI753" s="166">
        <v>5</v>
      </c>
      <c r="AJ753" s="164">
        <f>($L753*'Pivot Objective'!$C$9^7)*AH753*AI753</f>
        <v>44581204.100151524</v>
      </c>
      <c r="AK753" s="185">
        <f t="shared" si="83"/>
        <v>94443233.819187969</v>
      </c>
      <c r="AL753" s="186">
        <f t="shared" si="84"/>
        <v>91692.460018629092</v>
      </c>
    </row>
    <row r="754" spans="1:38" customFormat="1" ht="57.6" x14ac:dyDescent="0.3">
      <c r="A754" s="140" t="s">
        <v>1443</v>
      </c>
      <c r="B754" s="140">
        <v>1</v>
      </c>
      <c r="C754" s="166" t="s">
        <v>836</v>
      </c>
      <c r="D754" s="140" t="str">
        <f t="shared" si="86"/>
        <v>4</v>
      </c>
      <c r="E754" s="166" t="s">
        <v>1721</v>
      </c>
      <c r="F754" s="140">
        <f t="shared" si="85"/>
        <v>3</v>
      </c>
      <c r="G754" s="140" t="str">
        <f t="shared" ref="G754:G817" si="87">B754&amp;"."&amp;D754&amp;"."&amp;F754</f>
        <v>1.4.3</v>
      </c>
      <c r="H754" s="166" t="s">
        <v>1100</v>
      </c>
      <c r="I754" s="166" t="s">
        <v>1101</v>
      </c>
      <c r="J754" s="166" t="s">
        <v>168</v>
      </c>
      <c r="K754" s="166" t="s">
        <v>712</v>
      </c>
      <c r="L754" s="166">
        <f>1480/7</f>
        <v>211.42857142857142</v>
      </c>
      <c r="M754" s="166"/>
      <c r="N754" s="166"/>
      <c r="O754" s="164">
        <f t="shared" si="82"/>
        <v>0</v>
      </c>
      <c r="P754" s="166">
        <f>2*25*9</f>
        <v>450</v>
      </c>
      <c r="Q754" s="166">
        <v>5</v>
      </c>
      <c r="R754" s="164">
        <f>$L754*'Pivot Objective'!$C$9*P754*Q754</f>
        <v>543703.89328714274</v>
      </c>
      <c r="S754" s="166"/>
      <c r="T754" s="166"/>
      <c r="U754" s="164">
        <f>($L754*'Pivot Objective'!$C$9^2)*S754*T754</f>
        <v>0</v>
      </c>
      <c r="V754" s="166"/>
      <c r="W754" s="166"/>
      <c r="X754" s="164">
        <f>($L754*'Pivot Objective'!$C$9^3)*V754*W754</f>
        <v>0</v>
      </c>
      <c r="Y754" s="166">
        <f>2*25*9</f>
        <v>450</v>
      </c>
      <c r="Z754" s="166">
        <v>5</v>
      </c>
      <c r="AA754" s="164">
        <f>($L754*'Pivot Objective'!$C$9^4)*Y754*Z754</f>
        <v>811729.24111605203</v>
      </c>
      <c r="AB754" s="140"/>
      <c r="AC754" s="140"/>
      <c r="AD754" s="164">
        <f>($L754*'Pivot Objective'!$C$9^5)*AB754*AC754</f>
        <v>0</v>
      </c>
      <c r="AE754" s="140"/>
      <c r="AF754" s="140"/>
      <c r="AG754" s="164">
        <f>($L754*'Pivot Objective'!$C$9^6)*AE754*AF754</f>
        <v>0</v>
      </c>
      <c r="AH754" s="166">
        <f>2*25*9</f>
        <v>450</v>
      </c>
      <c r="AI754" s="166">
        <v>5</v>
      </c>
      <c r="AJ754" s="164">
        <f>($L754*'Pivot Objective'!$C$9^7)*AH754*AI754</f>
        <v>1211880.8951306494</v>
      </c>
      <c r="AK754" s="185">
        <f t="shared" si="83"/>
        <v>2567314.0295338444</v>
      </c>
      <c r="AL754" s="186">
        <f t="shared" si="84"/>
        <v>2492.5378927513052</v>
      </c>
    </row>
    <row r="755" spans="1:38" customFormat="1" ht="57.6" x14ac:dyDescent="0.3">
      <c r="A755" s="140" t="s">
        <v>1443</v>
      </c>
      <c r="B755" s="140">
        <v>1</v>
      </c>
      <c r="C755" s="166" t="s">
        <v>836</v>
      </c>
      <c r="D755" s="140" t="str">
        <f t="shared" si="86"/>
        <v>4</v>
      </c>
      <c r="E755" s="166" t="s">
        <v>1721</v>
      </c>
      <c r="F755" s="140">
        <f t="shared" si="85"/>
        <v>3</v>
      </c>
      <c r="G755" s="140" t="str">
        <f t="shared" si="87"/>
        <v>1.4.3</v>
      </c>
      <c r="H755" s="166" t="s">
        <v>1100</v>
      </c>
      <c r="I755" s="166" t="s">
        <v>1101</v>
      </c>
      <c r="J755" s="166" t="s">
        <v>168</v>
      </c>
      <c r="K755" s="166" t="s">
        <v>1322</v>
      </c>
      <c r="L755" s="166">
        <f>1480/7</f>
        <v>211.42857142857142</v>
      </c>
      <c r="M755" s="166"/>
      <c r="N755" s="166"/>
      <c r="O755" s="164">
        <f t="shared" si="82"/>
        <v>0</v>
      </c>
      <c r="P755" s="166">
        <v>22500</v>
      </c>
      <c r="Q755" s="166">
        <v>1</v>
      </c>
      <c r="R755" s="164">
        <f>$L755*'Pivot Objective'!$C$9*P755*Q755</f>
        <v>5437038.9328714283</v>
      </c>
      <c r="S755" s="166"/>
      <c r="T755" s="166"/>
      <c r="U755" s="164">
        <f>($L755*'Pivot Objective'!$C$9^2)*S755*T755</f>
        <v>0</v>
      </c>
      <c r="V755" s="166"/>
      <c r="W755" s="166"/>
      <c r="X755" s="164">
        <f>($L755*'Pivot Objective'!$C$9^3)*V755*W755</f>
        <v>0</v>
      </c>
      <c r="Y755" s="166">
        <v>22500</v>
      </c>
      <c r="Z755" s="166">
        <v>1</v>
      </c>
      <c r="AA755" s="164">
        <f>($L755*'Pivot Objective'!$C$9^4)*Y755*Z755</f>
        <v>8117292.4111605193</v>
      </c>
      <c r="AB755" s="140"/>
      <c r="AC755" s="140"/>
      <c r="AD755" s="164">
        <f>($L755*'Pivot Objective'!$C$9^5)*AB755*AC755</f>
        <v>0</v>
      </c>
      <c r="AE755" s="140"/>
      <c r="AF755" s="140"/>
      <c r="AG755" s="164">
        <f>($L755*'Pivot Objective'!$C$9^6)*AE755*AF755</f>
        <v>0</v>
      </c>
      <c r="AH755" s="166">
        <v>22500</v>
      </c>
      <c r="AI755" s="166">
        <v>1</v>
      </c>
      <c r="AJ755" s="164">
        <f>($L755*'Pivot Objective'!$C$9^7)*AH755*AI755</f>
        <v>12118808.951306494</v>
      </c>
      <c r="AK755" s="185">
        <f t="shared" si="83"/>
        <v>25673140.295338444</v>
      </c>
      <c r="AL755" s="186">
        <f t="shared" si="84"/>
        <v>24925.378927513051</v>
      </c>
    </row>
    <row r="756" spans="1:38" customFormat="1" ht="57.6" x14ac:dyDescent="0.3">
      <c r="A756" s="140" t="s">
        <v>1443</v>
      </c>
      <c r="B756" s="140">
        <v>1</v>
      </c>
      <c r="C756" s="166" t="s">
        <v>836</v>
      </c>
      <c r="D756" s="140" t="str">
        <f t="shared" si="86"/>
        <v>4</v>
      </c>
      <c r="E756" s="166" t="s">
        <v>1721</v>
      </c>
      <c r="F756" s="140">
        <f t="shared" si="85"/>
        <v>3</v>
      </c>
      <c r="G756" s="140" t="str">
        <f t="shared" si="87"/>
        <v>1.4.3</v>
      </c>
      <c r="H756" s="166" t="s">
        <v>1100</v>
      </c>
      <c r="I756" s="166" t="s">
        <v>1101</v>
      </c>
      <c r="J756" s="166" t="s">
        <v>178</v>
      </c>
      <c r="K756" s="166" t="s">
        <v>1297</v>
      </c>
      <c r="L756" s="166">
        <v>8000</v>
      </c>
      <c r="M756" s="166"/>
      <c r="N756" s="166"/>
      <c r="O756" s="164">
        <f t="shared" si="82"/>
        <v>0</v>
      </c>
      <c r="P756" s="166">
        <v>100</v>
      </c>
      <c r="Q756" s="166">
        <v>1</v>
      </c>
      <c r="R756" s="164">
        <f>$L756*'Pivot Objective'!$C$9*P756*Q756</f>
        <v>914336.87759999989</v>
      </c>
      <c r="S756" s="166"/>
      <c r="T756" s="166"/>
      <c r="U756" s="164">
        <f>($L756*'Pivot Objective'!$C$9^2)*S756*T756</f>
        <v>0</v>
      </c>
      <c r="V756" s="166"/>
      <c r="W756" s="166"/>
      <c r="X756" s="164">
        <f>($L756*'Pivot Objective'!$C$9^3)*V756*W756</f>
        <v>0</v>
      </c>
      <c r="Y756" s="166">
        <v>100</v>
      </c>
      <c r="Z756" s="166">
        <v>1</v>
      </c>
      <c r="AA756" s="164">
        <f>($L756*'Pivot Objective'!$C$9^4)*Y756*Z756</f>
        <v>1365070.1952702377</v>
      </c>
      <c r="AB756" s="140"/>
      <c r="AC756" s="140"/>
      <c r="AD756" s="164">
        <f>($L756*'Pivot Objective'!$C$9^5)*AB756*AC756</f>
        <v>0</v>
      </c>
      <c r="AE756" s="140"/>
      <c r="AF756" s="140"/>
      <c r="AG756" s="164">
        <f>($L756*'Pivot Objective'!$C$9^6)*AE756*AF756</f>
        <v>0</v>
      </c>
      <c r="AH756" s="166">
        <v>100</v>
      </c>
      <c r="AI756" s="166">
        <v>1</v>
      </c>
      <c r="AJ756" s="164">
        <f>($L756*'Pivot Objective'!$C$9^7)*AH756*AI756</f>
        <v>2037997.9017212125</v>
      </c>
      <c r="AK756" s="185">
        <f t="shared" si="83"/>
        <v>4317404.9745914508</v>
      </c>
      <c r="AL756" s="186">
        <f t="shared" si="84"/>
        <v>4191.6553151373309</v>
      </c>
    </row>
    <row r="757" spans="1:38" customFormat="1" ht="57.6" x14ac:dyDescent="0.3">
      <c r="A757" s="140" t="s">
        <v>1443</v>
      </c>
      <c r="B757" s="140">
        <v>1</v>
      </c>
      <c r="C757" s="166" t="s">
        <v>836</v>
      </c>
      <c r="D757" s="140" t="str">
        <f t="shared" si="86"/>
        <v>4</v>
      </c>
      <c r="E757" s="166" t="s">
        <v>1721</v>
      </c>
      <c r="F757" s="140">
        <f t="shared" si="85"/>
        <v>3</v>
      </c>
      <c r="G757" s="140" t="str">
        <f t="shared" si="87"/>
        <v>1.4.3</v>
      </c>
      <c r="H757" s="166" t="s">
        <v>1100</v>
      </c>
      <c r="I757" s="166" t="s">
        <v>1101</v>
      </c>
      <c r="J757" s="166" t="s">
        <v>178</v>
      </c>
      <c r="K757" s="166" t="s">
        <v>717</v>
      </c>
      <c r="L757" s="166">
        <v>104850</v>
      </c>
      <c r="M757" s="166"/>
      <c r="N757" s="166"/>
      <c r="O757" s="164">
        <f t="shared" si="82"/>
        <v>0</v>
      </c>
      <c r="P757" s="166">
        <v>1</v>
      </c>
      <c r="Q757" s="166">
        <v>1</v>
      </c>
      <c r="R757" s="164">
        <f>$L757*'Pivot Objective'!$C$9*P757*Q757</f>
        <v>119835.27702044998</v>
      </c>
      <c r="S757" s="166"/>
      <c r="T757" s="166"/>
      <c r="U757" s="164">
        <f>($L757*'Pivot Objective'!$C$9^2)*S757*T757</f>
        <v>0</v>
      </c>
      <c r="V757" s="166"/>
      <c r="W757" s="166"/>
      <c r="X757" s="164">
        <f>($L757*'Pivot Objective'!$C$9^3)*V757*W757</f>
        <v>0</v>
      </c>
      <c r="Y757" s="166">
        <v>1</v>
      </c>
      <c r="Z757" s="166">
        <v>1</v>
      </c>
      <c r="AA757" s="164">
        <f>($L757*'Pivot Objective'!$C$9^4)*Y757*Z757</f>
        <v>178909.51246760553</v>
      </c>
      <c r="AB757" s="140"/>
      <c r="AC757" s="140"/>
      <c r="AD757" s="164">
        <f>($L757*'Pivot Objective'!$C$9^5)*AB757*AC757</f>
        <v>0</v>
      </c>
      <c r="AE757" s="140"/>
      <c r="AF757" s="140"/>
      <c r="AG757" s="164">
        <f>($L757*'Pivot Objective'!$C$9^6)*AE757*AF757</f>
        <v>0</v>
      </c>
      <c r="AH757" s="166">
        <v>1</v>
      </c>
      <c r="AI757" s="166">
        <v>1</v>
      </c>
      <c r="AJ757" s="164">
        <f>($L757*'Pivot Objective'!$C$9^7)*AH757*AI757</f>
        <v>267105.09999433643</v>
      </c>
      <c r="AK757" s="185">
        <f t="shared" si="83"/>
        <v>565849.889482392</v>
      </c>
      <c r="AL757" s="186">
        <f t="shared" si="84"/>
        <v>549.36882474018637</v>
      </c>
    </row>
    <row r="758" spans="1:38" customFormat="1" ht="57.6" x14ac:dyDescent="0.3">
      <c r="A758" s="140" t="s">
        <v>1443</v>
      </c>
      <c r="B758" s="140">
        <v>1</v>
      </c>
      <c r="C758" s="166" t="s">
        <v>836</v>
      </c>
      <c r="D758" s="140" t="str">
        <f t="shared" si="86"/>
        <v>4</v>
      </c>
      <c r="E758" s="166" t="s">
        <v>1721</v>
      </c>
      <c r="F758" s="140">
        <f t="shared" si="85"/>
        <v>3</v>
      </c>
      <c r="G758" s="140" t="str">
        <f t="shared" si="87"/>
        <v>1.4.3</v>
      </c>
      <c r="H758" s="166" t="s">
        <v>1100</v>
      </c>
      <c r="I758" s="166" t="s">
        <v>1101</v>
      </c>
      <c r="J758" s="166" t="s">
        <v>178</v>
      </c>
      <c r="K758" s="166" t="s">
        <v>709</v>
      </c>
      <c r="L758" s="166">
        <v>28000</v>
      </c>
      <c r="M758" s="166"/>
      <c r="N758" s="166"/>
      <c r="O758" s="164">
        <f t="shared" si="82"/>
        <v>0</v>
      </c>
      <c r="P758" s="166">
        <v>100</v>
      </c>
      <c r="Q758" s="166">
        <v>1</v>
      </c>
      <c r="R758" s="164">
        <f>$L758*'Pivot Objective'!$C$9*P758*Q758</f>
        <v>3200179.0715999994</v>
      </c>
      <c r="S758" s="166"/>
      <c r="T758" s="166"/>
      <c r="U758" s="164">
        <f>($L758*'Pivot Objective'!$C$9^2)*S758*T758</f>
        <v>0</v>
      </c>
      <c r="V758" s="166"/>
      <c r="W758" s="166"/>
      <c r="X758" s="164">
        <f>($L758*'Pivot Objective'!$C$9^3)*V758*W758</f>
        <v>0</v>
      </c>
      <c r="Y758" s="166">
        <v>100</v>
      </c>
      <c r="Z758" s="166">
        <v>1</v>
      </c>
      <c r="AA758" s="164">
        <f>($L758*'Pivot Objective'!$C$9^4)*Y758*Z758</f>
        <v>4777745.6834458318</v>
      </c>
      <c r="AB758" s="140"/>
      <c r="AC758" s="140"/>
      <c r="AD758" s="164">
        <f>($L758*'Pivot Objective'!$C$9^5)*AB758*AC758</f>
        <v>0</v>
      </c>
      <c r="AE758" s="140"/>
      <c r="AF758" s="140"/>
      <c r="AG758" s="164">
        <f>($L758*'Pivot Objective'!$C$9^6)*AE758*AF758</f>
        <v>0</v>
      </c>
      <c r="AH758" s="166">
        <v>100</v>
      </c>
      <c r="AI758" s="166">
        <v>1</v>
      </c>
      <c r="AJ758" s="164">
        <f>($L758*'Pivot Objective'!$C$9^7)*AH758*AI758</f>
        <v>7132992.6560242446</v>
      </c>
      <c r="AK758" s="185">
        <f t="shared" si="83"/>
        <v>15110917.411070075</v>
      </c>
      <c r="AL758" s="186">
        <f t="shared" si="84"/>
        <v>14670.793602980655</v>
      </c>
    </row>
    <row r="759" spans="1:38" customFormat="1" ht="57.6" x14ac:dyDescent="0.3">
      <c r="A759" s="140" t="s">
        <v>1443</v>
      </c>
      <c r="B759" s="140">
        <v>1</v>
      </c>
      <c r="C759" s="166" t="s">
        <v>836</v>
      </c>
      <c r="D759" s="140" t="str">
        <f t="shared" si="86"/>
        <v>4</v>
      </c>
      <c r="E759" s="166" t="s">
        <v>1721</v>
      </c>
      <c r="F759" s="140">
        <f t="shared" si="85"/>
        <v>3</v>
      </c>
      <c r="G759" s="140" t="str">
        <f t="shared" si="87"/>
        <v>1.4.3</v>
      </c>
      <c r="H759" s="166" t="s">
        <v>1100</v>
      </c>
      <c r="I759" s="166" t="s">
        <v>1101</v>
      </c>
      <c r="J759" s="166" t="s">
        <v>178</v>
      </c>
      <c r="K759" s="166" t="s">
        <v>716</v>
      </c>
      <c r="L759" s="166">
        <v>39000</v>
      </c>
      <c r="M759" s="166"/>
      <c r="N759" s="166"/>
      <c r="O759" s="164">
        <f t="shared" si="82"/>
        <v>0</v>
      </c>
      <c r="P759" s="166">
        <v>58</v>
      </c>
      <c r="Q759" s="166">
        <v>1</v>
      </c>
      <c r="R759" s="164">
        <f>$L759*'Pivot Objective'!$C$9*P759*Q759</f>
        <v>2585287.5214139996</v>
      </c>
      <c r="S759" s="166"/>
      <c r="T759" s="166"/>
      <c r="U759" s="164">
        <f>($L759*'Pivot Objective'!$C$9^2)*S759*T759</f>
        <v>0</v>
      </c>
      <c r="V759" s="166"/>
      <c r="W759" s="166"/>
      <c r="X759" s="164">
        <f>($L759*'Pivot Objective'!$C$9^3)*V759*W759</f>
        <v>0</v>
      </c>
      <c r="Y759" s="166">
        <v>58</v>
      </c>
      <c r="Z759" s="166">
        <v>1</v>
      </c>
      <c r="AA759" s="164">
        <f>($L759*'Pivot Objective'!$C$9^4)*Y759*Z759</f>
        <v>3859735.9771265974</v>
      </c>
      <c r="AB759" s="140"/>
      <c r="AC759" s="140"/>
      <c r="AD759" s="164">
        <f>($L759*'Pivot Objective'!$C$9^5)*AB759*AC759</f>
        <v>0</v>
      </c>
      <c r="AE759" s="140"/>
      <c r="AF759" s="140"/>
      <c r="AG759" s="164">
        <f>($L759*'Pivot Objective'!$C$9^6)*AE759*AF759</f>
        <v>0</v>
      </c>
      <c r="AH759" s="166">
        <v>58</v>
      </c>
      <c r="AI759" s="166">
        <v>1</v>
      </c>
      <c r="AJ759" s="164">
        <f>($L759*'Pivot Objective'!$C$9^7)*AH759*AI759</f>
        <v>5762439.0671167281</v>
      </c>
      <c r="AK759" s="185">
        <f t="shared" si="83"/>
        <v>12207462.565657325</v>
      </c>
      <c r="AL759" s="186">
        <f t="shared" si="84"/>
        <v>11851.905403550802</v>
      </c>
    </row>
    <row r="760" spans="1:38" customFormat="1" ht="57.6" x14ac:dyDescent="0.3">
      <c r="A760" s="140" t="s">
        <v>1443</v>
      </c>
      <c r="B760" s="140">
        <v>1</v>
      </c>
      <c r="C760" s="166" t="s">
        <v>836</v>
      </c>
      <c r="D760" s="140" t="str">
        <f t="shared" si="86"/>
        <v>4</v>
      </c>
      <c r="E760" s="166" t="s">
        <v>1721</v>
      </c>
      <c r="F760" s="140">
        <f t="shared" si="85"/>
        <v>3</v>
      </c>
      <c r="G760" s="140" t="str">
        <f t="shared" si="87"/>
        <v>1.4.3</v>
      </c>
      <c r="H760" s="166" t="s">
        <v>1100</v>
      </c>
      <c r="I760" s="166" t="s">
        <v>1101</v>
      </c>
      <c r="J760" s="166" t="s">
        <v>178</v>
      </c>
      <c r="K760" s="166" t="s">
        <v>1029</v>
      </c>
      <c r="L760" s="166">
        <f>1480/7</f>
        <v>211.42857142857142</v>
      </c>
      <c r="M760" s="166"/>
      <c r="N760" s="166"/>
      <c r="O760" s="164">
        <f t="shared" si="82"/>
        <v>0</v>
      </c>
      <c r="P760" s="166">
        <f>2*25*9</f>
        <v>450</v>
      </c>
      <c r="Q760" s="166">
        <v>1</v>
      </c>
      <c r="R760" s="164">
        <f>$L760*'Pivot Objective'!$C$9*P760*Q760</f>
        <v>108740.77865742856</v>
      </c>
      <c r="S760" s="166"/>
      <c r="T760" s="166"/>
      <c r="U760" s="164">
        <f>($L760*'Pivot Objective'!$C$9^2)*S760*T760</f>
        <v>0</v>
      </c>
      <c r="V760" s="166"/>
      <c r="W760" s="166"/>
      <c r="X760" s="164">
        <f>($L760*'Pivot Objective'!$C$9^3)*V760*W760</f>
        <v>0</v>
      </c>
      <c r="Y760" s="166">
        <f>2*25*9</f>
        <v>450</v>
      </c>
      <c r="Z760" s="166">
        <v>1</v>
      </c>
      <c r="AA760" s="164">
        <f>($L760*'Pivot Objective'!$C$9^4)*Y760*Z760</f>
        <v>162345.8482232104</v>
      </c>
      <c r="AB760" s="140"/>
      <c r="AC760" s="140"/>
      <c r="AD760" s="164">
        <f>($L760*'Pivot Objective'!$C$9^5)*AB760*AC760</f>
        <v>0</v>
      </c>
      <c r="AE760" s="140"/>
      <c r="AF760" s="140"/>
      <c r="AG760" s="164">
        <f>($L760*'Pivot Objective'!$C$9^6)*AE760*AF760</f>
        <v>0</v>
      </c>
      <c r="AH760" s="166">
        <f>2*25*9</f>
        <v>450</v>
      </c>
      <c r="AI760" s="166">
        <v>1</v>
      </c>
      <c r="AJ760" s="164">
        <f>($L760*'Pivot Objective'!$C$9^7)*AH760*AI760</f>
        <v>242376.17902612989</v>
      </c>
      <c r="AK760" s="185">
        <f t="shared" si="83"/>
        <v>513462.80590676883</v>
      </c>
      <c r="AL760" s="186">
        <f t="shared" si="84"/>
        <v>498.50757855026097</v>
      </c>
    </row>
    <row r="761" spans="1:38" customFormat="1" ht="57.6" x14ac:dyDescent="0.3">
      <c r="A761" s="140" t="s">
        <v>1443</v>
      </c>
      <c r="B761" s="140">
        <v>1</v>
      </c>
      <c r="C761" s="166" t="s">
        <v>836</v>
      </c>
      <c r="D761" s="140" t="str">
        <f t="shared" si="86"/>
        <v>4</v>
      </c>
      <c r="E761" s="166" t="s">
        <v>1721</v>
      </c>
      <c r="F761" s="140">
        <f t="shared" si="85"/>
        <v>3</v>
      </c>
      <c r="G761" s="140" t="str">
        <f t="shared" si="87"/>
        <v>1.4.3</v>
      </c>
      <c r="H761" s="166" t="s">
        <v>1100</v>
      </c>
      <c r="I761" s="166" t="s">
        <v>1101</v>
      </c>
      <c r="J761" s="166" t="s">
        <v>1105</v>
      </c>
      <c r="K761" s="166" t="s">
        <v>709</v>
      </c>
      <c r="L761" s="166">
        <v>28000</v>
      </c>
      <c r="M761" s="166"/>
      <c r="N761" s="166"/>
      <c r="O761" s="164">
        <f t="shared" si="82"/>
        <v>0</v>
      </c>
      <c r="P761" s="166">
        <v>15</v>
      </c>
      <c r="Q761" s="166">
        <v>5</v>
      </c>
      <c r="R761" s="164">
        <f>$L761*'Pivot Objective'!$C$9*P761*Q761</f>
        <v>2400134.3036999996</v>
      </c>
      <c r="S761" s="166"/>
      <c r="T761" s="166"/>
      <c r="U761" s="164">
        <f>($L761*'Pivot Objective'!$C$9^2)*S761*T761</f>
        <v>0</v>
      </c>
      <c r="V761" s="166"/>
      <c r="W761" s="166"/>
      <c r="X761" s="164">
        <f>($L761*'Pivot Objective'!$C$9^3)*V761*W761</f>
        <v>0</v>
      </c>
      <c r="Y761" s="166">
        <v>15</v>
      </c>
      <c r="Z761" s="166">
        <v>5</v>
      </c>
      <c r="AA761" s="164">
        <f>($L761*'Pivot Objective'!$C$9^4)*Y761*Z761</f>
        <v>3583309.2625843738</v>
      </c>
      <c r="AB761" s="140"/>
      <c r="AC761" s="140"/>
      <c r="AD761" s="164">
        <f>($L761*'Pivot Objective'!$C$9^5)*AB761*AC761</f>
        <v>0</v>
      </c>
      <c r="AE761" s="140"/>
      <c r="AF761" s="140"/>
      <c r="AG761" s="164">
        <f>($L761*'Pivot Objective'!$C$9^6)*AE761*AF761</f>
        <v>0</v>
      </c>
      <c r="AH761" s="166">
        <v>15</v>
      </c>
      <c r="AI761" s="166">
        <v>5</v>
      </c>
      <c r="AJ761" s="164">
        <f>($L761*'Pivot Objective'!$C$9^7)*AH761*AI761</f>
        <v>5349744.4920181837</v>
      </c>
      <c r="AK761" s="185">
        <f t="shared" si="83"/>
        <v>11333188.058302557</v>
      </c>
      <c r="AL761" s="186">
        <f t="shared" si="84"/>
        <v>11003.095202235492</v>
      </c>
    </row>
    <row r="762" spans="1:38" customFormat="1" ht="57.6" x14ac:dyDescent="0.3">
      <c r="A762" s="140" t="s">
        <v>1443</v>
      </c>
      <c r="B762" s="140">
        <v>1</v>
      </c>
      <c r="C762" s="166" t="s">
        <v>836</v>
      </c>
      <c r="D762" s="140" t="str">
        <f t="shared" si="86"/>
        <v>4</v>
      </c>
      <c r="E762" s="166" t="s">
        <v>1721</v>
      </c>
      <c r="F762" s="140">
        <f t="shared" si="85"/>
        <v>3</v>
      </c>
      <c r="G762" s="140" t="str">
        <f t="shared" si="87"/>
        <v>1.4.3</v>
      </c>
      <c r="H762" s="166" t="s">
        <v>1100</v>
      </c>
      <c r="I762" s="166" t="s">
        <v>1101</v>
      </c>
      <c r="J762" s="166" t="s">
        <v>1105</v>
      </c>
      <c r="K762" s="166" t="s">
        <v>716</v>
      </c>
      <c r="L762" s="166">
        <v>39000</v>
      </c>
      <c r="M762" s="166"/>
      <c r="N762" s="166"/>
      <c r="O762" s="164">
        <f t="shared" si="82"/>
        <v>0</v>
      </c>
      <c r="P762" s="166">
        <v>15</v>
      </c>
      <c r="Q762" s="166">
        <v>6</v>
      </c>
      <c r="R762" s="164">
        <f>$L762*'Pivot Objective'!$C$9*P762*Q762</f>
        <v>4011653.0504699992</v>
      </c>
      <c r="S762" s="166"/>
      <c r="T762" s="166"/>
      <c r="U762" s="164">
        <f>($L762*'Pivot Objective'!$C$9^2)*S762*T762</f>
        <v>0</v>
      </c>
      <c r="V762" s="166"/>
      <c r="W762" s="166"/>
      <c r="X762" s="164">
        <f>($L762*'Pivot Objective'!$C$9^3)*V762*W762</f>
        <v>0</v>
      </c>
      <c r="Y762" s="166">
        <v>15</v>
      </c>
      <c r="Z762" s="166">
        <v>6</v>
      </c>
      <c r="AA762" s="164">
        <f>($L762*'Pivot Objective'!$C$9^4)*Y762*Z762</f>
        <v>5989245.4817481674</v>
      </c>
      <c r="AB762" s="140"/>
      <c r="AC762" s="140"/>
      <c r="AD762" s="164">
        <f>($L762*'Pivot Objective'!$C$9^5)*AB762*AC762</f>
        <v>0</v>
      </c>
      <c r="AE762" s="140"/>
      <c r="AF762" s="140"/>
      <c r="AG762" s="164">
        <f>($L762*'Pivot Objective'!$C$9^6)*AE762*AF762</f>
        <v>0</v>
      </c>
      <c r="AH762" s="166">
        <v>15</v>
      </c>
      <c r="AI762" s="166">
        <v>6</v>
      </c>
      <c r="AJ762" s="164">
        <f>($L762*'Pivot Objective'!$C$9^7)*AH762*AI762</f>
        <v>8941715.7938018199</v>
      </c>
      <c r="AK762" s="185">
        <f t="shared" si="83"/>
        <v>18942614.326019987</v>
      </c>
      <c r="AL762" s="186">
        <f t="shared" si="84"/>
        <v>18390.887695165038</v>
      </c>
    </row>
    <row r="763" spans="1:38" customFormat="1" ht="57.6" x14ac:dyDescent="0.3">
      <c r="A763" s="140" t="s">
        <v>1443</v>
      </c>
      <c r="B763" s="140">
        <v>1</v>
      </c>
      <c r="C763" s="166" t="s">
        <v>836</v>
      </c>
      <c r="D763" s="140" t="str">
        <f t="shared" si="86"/>
        <v>4</v>
      </c>
      <c r="E763" s="166" t="s">
        <v>1721</v>
      </c>
      <c r="F763" s="140">
        <f t="shared" si="85"/>
        <v>3</v>
      </c>
      <c r="G763" s="140" t="str">
        <f t="shared" si="87"/>
        <v>1.4.3</v>
      </c>
      <c r="H763" s="166" t="s">
        <v>1100</v>
      </c>
      <c r="I763" s="166" t="s">
        <v>1106</v>
      </c>
      <c r="J763" s="166" t="s">
        <v>1107</v>
      </c>
      <c r="K763" s="166" t="s">
        <v>841</v>
      </c>
      <c r="L763" s="166">
        <v>0</v>
      </c>
      <c r="M763" s="166"/>
      <c r="N763" s="166"/>
      <c r="O763" s="164">
        <f t="shared" si="82"/>
        <v>0</v>
      </c>
      <c r="P763" s="166"/>
      <c r="Q763" s="166"/>
      <c r="R763" s="164">
        <f>$L763*'Pivot Objective'!$C$9*P763*Q763</f>
        <v>0</v>
      </c>
      <c r="S763" s="166">
        <v>10</v>
      </c>
      <c r="T763" s="166">
        <v>5</v>
      </c>
      <c r="U763" s="164">
        <f>($L763*'Pivot Objective'!$C$9^2)*S763*T763</f>
        <v>0</v>
      </c>
      <c r="V763" s="166"/>
      <c r="W763" s="166"/>
      <c r="X763" s="164">
        <f>($L763*'Pivot Objective'!$C$9^3)*V763*W763</f>
        <v>0</v>
      </c>
      <c r="Y763" s="166"/>
      <c r="Z763" s="166"/>
      <c r="AA763" s="164">
        <f>($L763*'Pivot Objective'!$C$9^4)*Y763*Z763</f>
        <v>0</v>
      </c>
      <c r="AB763" s="166">
        <v>10</v>
      </c>
      <c r="AC763" s="166">
        <v>5</v>
      </c>
      <c r="AD763" s="164">
        <f>($L763*'Pivot Objective'!$C$9^5)*AB763*AC763</f>
        <v>0</v>
      </c>
      <c r="AE763" s="140"/>
      <c r="AF763" s="140"/>
      <c r="AG763" s="164">
        <f>($L763*'Pivot Objective'!$C$9^6)*AE763*AF763</f>
        <v>0</v>
      </c>
      <c r="AH763" s="140"/>
      <c r="AI763" s="140"/>
      <c r="AJ763" s="164">
        <f>($L763*'Pivot Objective'!$C$9^7)*AH763*AI763</f>
        <v>0</v>
      </c>
      <c r="AK763" s="185">
        <f t="shared" si="83"/>
        <v>0</v>
      </c>
      <c r="AL763" s="186">
        <f t="shared" si="84"/>
        <v>0</v>
      </c>
    </row>
    <row r="764" spans="1:38" customFormat="1" ht="57.6" x14ac:dyDescent="0.3">
      <c r="A764" s="140" t="s">
        <v>1443</v>
      </c>
      <c r="B764" s="140">
        <v>1</v>
      </c>
      <c r="C764" s="166" t="s">
        <v>836</v>
      </c>
      <c r="D764" s="140" t="str">
        <f t="shared" si="86"/>
        <v>4</v>
      </c>
      <c r="E764" s="166" t="s">
        <v>1721</v>
      </c>
      <c r="F764" s="140">
        <f t="shared" si="85"/>
        <v>3</v>
      </c>
      <c r="G764" s="140" t="str">
        <f t="shared" si="87"/>
        <v>1.4.3</v>
      </c>
      <c r="H764" s="166" t="s">
        <v>1100</v>
      </c>
      <c r="I764" s="166" t="s">
        <v>1106</v>
      </c>
      <c r="J764" s="166" t="s">
        <v>1108</v>
      </c>
      <c r="K764" s="166" t="s">
        <v>707</v>
      </c>
      <c r="L764" s="166">
        <v>391991.03749999998</v>
      </c>
      <c r="M764" s="166"/>
      <c r="N764" s="166"/>
      <c r="O764" s="164">
        <f t="shared" si="82"/>
        <v>0</v>
      </c>
      <c r="P764" s="166"/>
      <c r="Q764" s="166"/>
      <c r="R764" s="164">
        <f>$L764*'Pivot Objective'!$C$9*P764*Q764</f>
        <v>0</v>
      </c>
      <c r="S764" s="166">
        <v>2</v>
      </c>
      <c r="T764" s="166">
        <v>2</v>
      </c>
      <c r="U764" s="164">
        <f>($L764*'Pivot Objective'!$C$9^2)*S764*T764</f>
        <v>2048182.3883307995</v>
      </c>
      <c r="V764" s="166"/>
      <c r="W764" s="166"/>
      <c r="X764" s="164">
        <f>($L764*'Pivot Objective'!$C$9^3)*V764*W764</f>
        <v>0</v>
      </c>
      <c r="Y764" s="166"/>
      <c r="Z764" s="166"/>
      <c r="AA764" s="164">
        <f>($L764*'Pivot Objective'!$C$9^4)*Y764*Z764</f>
        <v>0</v>
      </c>
      <c r="AB764" s="166">
        <v>2</v>
      </c>
      <c r="AC764" s="166">
        <v>2</v>
      </c>
      <c r="AD764" s="164">
        <f>($L764*'Pivot Objective'!$C$9^5)*AB764*AC764</f>
        <v>3057858.4341109009</v>
      </c>
      <c r="AE764" s="140"/>
      <c r="AF764" s="140"/>
      <c r="AG764" s="164">
        <f>($L764*'Pivot Objective'!$C$9^6)*AE764*AF764</f>
        <v>0</v>
      </c>
      <c r="AH764" s="140"/>
      <c r="AI764" s="140"/>
      <c r="AJ764" s="164">
        <f>($L764*'Pivot Objective'!$C$9^7)*AH764*AI764</f>
        <v>0</v>
      </c>
      <c r="AK764" s="185">
        <f t="shared" si="83"/>
        <v>5106040.8224417008</v>
      </c>
      <c r="AL764" s="186">
        <f t="shared" si="84"/>
        <v>4957.3211868366025</v>
      </c>
    </row>
    <row r="765" spans="1:38" customFormat="1" ht="57.6" x14ac:dyDescent="0.3">
      <c r="A765" s="140" t="s">
        <v>1443</v>
      </c>
      <c r="B765" s="140">
        <v>1</v>
      </c>
      <c r="C765" s="166" t="s">
        <v>836</v>
      </c>
      <c r="D765" s="140" t="str">
        <f t="shared" si="86"/>
        <v>4</v>
      </c>
      <c r="E765" s="166" t="s">
        <v>1721</v>
      </c>
      <c r="F765" s="140">
        <f t="shared" si="85"/>
        <v>3</v>
      </c>
      <c r="G765" s="140" t="str">
        <f t="shared" si="87"/>
        <v>1.4.3</v>
      </c>
      <c r="H765" s="166" t="s">
        <v>1100</v>
      </c>
      <c r="I765" s="166" t="s">
        <v>1106</v>
      </c>
      <c r="J765" s="166" t="s">
        <v>1109</v>
      </c>
      <c r="K765" s="166" t="s">
        <v>1110</v>
      </c>
      <c r="L765" s="166">
        <f>980*1022</f>
        <v>1001560</v>
      </c>
      <c r="M765" s="166"/>
      <c r="N765" s="166"/>
      <c r="O765" s="164">
        <f t="shared" si="82"/>
        <v>0</v>
      </c>
      <c r="P765" s="166"/>
      <c r="Q765" s="166"/>
      <c r="R765" s="164">
        <f>$L765*'Pivot Objective'!$C$9*P765*Q765</f>
        <v>0</v>
      </c>
      <c r="S765" s="166">
        <v>1</v>
      </c>
      <c r="T765" s="166">
        <v>1</v>
      </c>
      <c r="U765" s="164">
        <f>($L765*'Pivot Objective'!$C$9^2)*S765*T765</f>
        <v>1308306.4130366729</v>
      </c>
      <c r="V765" s="166"/>
      <c r="W765" s="166"/>
      <c r="X765" s="164">
        <f>($L765*'Pivot Objective'!$C$9^3)*V765*W765</f>
        <v>0</v>
      </c>
      <c r="Y765" s="166"/>
      <c r="Z765" s="166"/>
      <c r="AA765" s="164">
        <f>($L765*'Pivot Objective'!$C$9^4)*Y765*Z765</f>
        <v>0</v>
      </c>
      <c r="AB765" s="166">
        <v>1</v>
      </c>
      <c r="AC765" s="166">
        <v>1</v>
      </c>
      <c r="AD765" s="164">
        <f>($L765*'Pivot Objective'!$C$9^5)*AB765*AC765</f>
        <v>1953251.7329991977</v>
      </c>
      <c r="AE765" s="140"/>
      <c r="AF765" s="140"/>
      <c r="AG765" s="164">
        <f>($L765*'Pivot Objective'!$C$9^6)*AE765*AF765</f>
        <v>0</v>
      </c>
      <c r="AH765" s="140"/>
      <c r="AI765" s="140"/>
      <c r="AJ765" s="164">
        <f>($L765*'Pivot Objective'!$C$9^7)*AH765*AI765</f>
        <v>0</v>
      </c>
      <c r="AK765" s="185">
        <f t="shared" si="83"/>
        <v>3261558.1460358705</v>
      </c>
      <c r="AL765" s="186">
        <f t="shared" si="84"/>
        <v>3166.5613068309422</v>
      </c>
    </row>
    <row r="766" spans="1:38" customFormat="1" ht="86.4" x14ac:dyDescent="0.3">
      <c r="A766" s="140" t="s">
        <v>1444</v>
      </c>
      <c r="B766" s="140">
        <v>1</v>
      </c>
      <c r="C766" s="166" t="s">
        <v>836</v>
      </c>
      <c r="D766" s="140" t="str">
        <f t="shared" si="86"/>
        <v>5</v>
      </c>
      <c r="E766" s="166" t="s">
        <v>1446</v>
      </c>
      <c r="F766" s="140">
        <v>1</v>
      </c>
      <c r="G766" s="140" t="str">
        <f t="shared" si="87"/>
        <v>1.5.1</v>
      </c>
      <c r="H766" s="166" t="s">
        <v>1447</v>
      </c>
      <c r="I766" s="166" t="s">
        <v>1448</v>
      </c>
      <c r="J766" s="166" t="s">
        <v>1449</v>
      </c>
      <c r="K766" s="166" t="s">
        <v>1450</v>
      </c>
      <c r="L766" s="166">
        <v>0</v>
      </c>
      <c r="M766" s="169"/>
      <c r="N766" s="166"/>
      <c r="O766" s="164">
        <f t="shared" si="82"/>
        <v>0</v>
      </c>
      <c r="P766" s="169">
        <v>0</v>
      </c>
      <c r="Q766" s="166">
        <v>0</v>
      </c>
      <c r="R766" s="164">
        <f>$L766*'Pivot Objective'!$C$9*P766*Q766</f>
        <v>0</v>
      </c>
      <c r="S766" s="166"/>
      <c r="T766" s="166"/>
      <c r="U766" s="164">
        <f>($L766*'Pivot Objective'!$C$9^2)*S766*T766</f>
        <v>0</v>
      </c>
      <c r="V766" s="166"/>
      <c r="W766" s="166"/>
      <c r="X766" s="164">
        <f>($L766*'Pivot Objective'!$C$9^3)*V766*W766</f>
        <v>0</v>
      </c>
      <c r="Y766" s="166"/>
      <c r="Z766" s="166"/>
      <c r="AA766" s="164">
        <f>($L766*'Pivot Objective'!$C$9^4)*Y766*Z766</f>
        <v>0</v>
      </c>
      <c r="AB766" s="166"/>
      <c r="AC766" s="166"/>
      <c r="AD766" s="164">
        <f>($L766*'Pivot Objective'!$C$9^5)*AB766*AC766</f>
        <v>0</v>
      </c>
      <c r="AE766" s="166">
        <v>0</v>
      </c>
      <c r="AF766" s="166">
        <v>0</v>
      </c>
      <c r="AG766" s="164">
        <f>($L766*'Pivot Objective'!$C$9^6)*AE766*AF766</f>
        <v>0</v>
      </c>
      <c r="AH766" s="166">
        <v>0</v>
      </c>
      <c r="AI766" s="166">
        <v>0</v>
      </c>
      <c r="AJ766" s="164">
        <f>($L766*'Pivot Objective'!$C$9^7)*AH766*AI766</f>
        <v>0</v>
      </c>
      <c r="AK766" s="185">
        <f t="shared" si="83"/>
        <v>0</v>
      </c>
      <c r="AL766" s="186">
        <f t="shared" si="84"/>
        <v>0</v>
      </c>
    </row>
    <row r="767" spans="1:38" customFormat="1" ht="86.4" x14ac:dyDescent="0.3">
      <c r="A767" s="140" t="s">
        <v>1444</v>
      </c>
      <c r="B767" s="140">
        <v>1</v>
      </c>
      <c r="C767" s="166" t="s">
        <v>836</v>
      </c>
      <c r="D767" s="140" t="str">
        <f t="shared" si="86"/>
        <v>5</v>
      </c>
      <c r="E767" s="166" t="s">
        <v>1446</v>
      </c>
      <c r="F767" s="140">
        <f t="shared" ref="F767:F798" si="88">IF(H767=H766,F766,F766+1)</f>
        <v>1</v>
      </c>
      <c r="G767" s="140" t="str">
        <f t="shared" si="87"/>
        <v>1.5.1</v>
      </c>
      <c r="H767" s="166" t="s">
        <v>1447</v>
      </c>
      <c r="I767" s="166" t="s">
        <v>1448</v>
      </c>
      <c r="J767" s="166" t="s">
        <v>1449</v>
      </c>
      <c r="K767" s="166" t="s">
        <v>1451</v>
      </c>
      <c r="L767" s="166">
        <v>0</v>
      </c>
      <c r="M767" s="169"/>
      <c r="N767" s="166"/>
      <c r="O767" s="164">
        <f t="shared" si="82"/>
        <v>0</v>
      </c>
      <c r="P767" s="169">
        <v>0</v>
      </c>
      <c r="Q767" s="166">
        <v>0</v>
      </c>
      <c r="R767" s="164">
        <f>$L767*'Pivot Objective'!$C$9*P767*Q767</f>
        <v>0</v>
      </c>
      <c r="S767" s="166"/>
      <c r="T767" s="166"/>
      <c r="U767" s="164">
        <f>($L767*'Pivot Objective'!$C$9^2)*S767*T767</f>
        <v>0</v>
      </c>
      <c r="V767" s="166"/>
      <c r="W767" s="166"/>
      <c r="X767" s="164">
        <f>($L767*'Pivot Objective'!$C$9^3)*V767*W767</f>
        <v>0</v>
      </c>
      <c r="Y767" s="166"/>
      <c r="Z767" s="166"/>
      <c r="AA767" s="164">
        <f>($L767*'Pivot Objective'!$C$9^4)*Y767*Z767</f>
        <v>0</v>
      </c>
      <c r="AB767" s="140"/>
      <c r="AC767" s="140"/>
      <c r="AD767" s="164">
        <f>($L767*'Pivot Objective'!$C$9^5)*AB767*AC767</f>
        <v>0</v>
      </c>
      <c r="AE767" s="140"/>
      <c r="AF767" s="140"/>
      <c r="AG767" s="164">
        <f>($L767*'Pivot Objective'!$C$9^6)*AE767*AF767</f>
        <v>0</v>
      </c>
      <c r="AH767" s="140"/>
      <c r="AI767" s="140"/>
      <c r="AJ767" s="164">
        <f>($L767*'Pivot Objective'!$C$9^7)*AH767*AI767</f>
        <v>0</v>
      </c>
      <c r="AK767" s="185">
        <f t="shared" si="83"/>
        <v>0</v>
      </c>
      <c r="AL767" s="186">
        <f t="shared" si="84"/>
        <v>0</v>
      </c>
    </row>
    <row r="768" spans="1:38" customFormat="1" ht="86.4" x14ac:dyDescent="0.3">
      <c r="A768" s="140" t="s">
        <v>1444</v>
      </c>
      <c r="B768" s="140">
        <v>1</v>
      </c>
      <c r="C768" s="166" t="s">
        <v>836</v>
      </c>
      <c r="D768" s="140" t="str">
        <f t="shared" si="86"/>
        <v>5</v>
      </c>
      <c r="E768" s="166" t="s">
        <v>1446</v>
      </c>
      <c r="F768" s="140">
        <f t="shared" si="88"/>
        <v>1</v>
      </c>
      <c r="G768" s="140" t="str">
        <f t="shared" si="87"/>
        <v>1.5.1</v>
      </c>
      <c r="H768" s="166" t="s">
        <v>1447</v>
      </c>
      <c r="I768" s="166" t="s">
        <v>1448</v>
      </c>
      <c r="J768" s="166" t="s">
        <v>1449</v>
      </c>
      <c r="K768" s="166" t="s">
        <v>1452</v>
      </c>
      <c r="L768" s="166">
        <f>980*1022</f>
        <v>1001560</v>
      </c>
      <c r="M768" s="169"/>
      <c r="N768" s="166"/>
      <c r="O768" s="164">
        <f t="shared" si="82"/>
        <v>0</v>
      </c>
      <c r="P768" s="169">
        <v>1</v>
      </c>
      <c r="Q768" s="166">
        <v>30</v>
      </c>
      <c r="R768" s="164">
        <f>$L768*'Pivot Objective'!$C$9*P768*Q768</f>
        <v>34341121.617339596</v>
      </c>
      <c r="S768" s="166"/>
      <c r="T768" s="166"/>
      <c r="U768" s="164">
        <f>($L768*'Pivot Objective'!$C$9^2)*S768*T768</f>
        <v>0</v>
      </c>
      <c r="V768" s="166"/>
      <c r="W768" s="166"/>
      <c r="X768" s="164">
        <f>($L768*'Pivot Objective'!$C$9^3)*V768*W768</f>
        <v>0</v>
      </c>
      <c r="Y768" s="166"/>
      <c r="Z768" s="166"/>
      <c r="AA768" s="164">
        <f>($L768*'Pivot Objective'!$C$9^4)*Y768*Z768</f>
        <v>0</v>
      </c>
      <c r="AB768" s="140"/>
      <c r="AC768" s="140"/>
      <c r="AD768" s="164">
        <f>($L768*'Pivot Objective'!$C$9^5)*AB768*AC768</f>
        <v>0</v>
      </c>
      <c r="AE768" s="140"/>
      <c r="AF768" s="140"/>
      <c r="AG768" s="164">
        <f>($L768*'Pivot Objective'!$C$9^6)*AE768*AF768</f>
        <v>0</v>
      </c>
      <c r="AH768" s="140"/>
      <c r="AI768" s="140"/>
      <c r="AJ768" s="164">
        <f>($L768*'Pivot Objective'!$C$9^7)*AH768*AI768</f>
        <v>0</v>
      </c>
      <c r="AK768" s="185">
        <f t="shared" si="83"/>
        <v>34341121.617339596</v>
      </c>
      <c r="AL768" s="186">
        <f t="shared" si="84"/>
        <v>33340.89477411611</v>
      </c>
    </row>
    <row r="769" spans="1:38" customFormat="1" ht="86.4" x14ac:dyDescent="0.3">
      <c r="A769" s="140" t="s">
        <v>1444</v>
      </c>
      <c r="B769" s="140">
        <v>1</v>
      </c>
      <c r="C769" s="166" t="s">
        <v>836</v>
      </c>
      <c r="D769" s="140" t="str">
        <f t="shared" si="86"/>
        <v>5</v>
      </c>
      <c r="E769" s="166" t="s">
        <v>1446</v>
      </c>
      <c r="F769" s="140">
        <f t="shared" si="88"/>
        <v>1</v>
      </c>
      <c r="G769" s="140" t="str">
        <f t="shared" si="87"/>
        <v>1.5.1</v>
      </c>
      <c r="H769" s="166" t="s">
        <v>1447</v>
      </c>
      <c r="I769" s="166" t="s">
        <v>1448</v>
      </c>
      <c r="J769" s="166" t="s">
        <v>1449</v>
      </c>
      <c r="K769" s="166" t="s">
        <v>1453</v>
      </c>
      <c r="L769" s="166">
        <v>35000</v>
      </c>
      <c r="M769" s="169"/>
      <c r="N769" s="166"/>
      <c r="O769" s="164">
        <f t="shared" si="82"/>
        <v>0</v>
      </c>
      <c r="P769" s="169">
        <v>30</v>
      </c>
      <c r="Q769" s="166">
        <v>5</v>
      </c>
      <c r="R769" s="164">
        <f>$L769*'Pivot Objective'!$C$9*P769*Q769</f>
        <v>6000335.7592499992</v>
      </c>
      <c r="S769" s="166"/>
      <c r="T769" s="166"/>
      <c r="U769" s="164">
        <f>($L769*'Pivot Objective'!$C$9^2)*S769*T769</f>
        <v>0</v>
      </c>
      <c r="V769" s="166"/>
      <c r="W769" s="166"/>
      <c r="X769" s="164">
        <f>($L769*'Pivot Objective'!$C$9^3)*V769*W769</f>
        <v>0</v>
      </c>
      <c r="Y769" s="166"/>
      <c r="Z769" s="166"/>
      <c r="AA769" s="164">
        <f>($L769*'Pivot Objective'!$C$9^4)*Y769*Z769</f>
        <v>0</v>
      </c>
      <c r="AB769" s="140"/>
      <c r="AC769" s="140"/>
      <c r="AD769" s="164">
        <f>($L769*'Pivot Objective'!$C$9^5)*AB769*AC769</f>
        <v>0</v>
      </c>
      <c r="AE769" s="140"/>
      <c r="AF769" s="140"/>
      <c r="AG769" s="164">
        <f>($L769*'Pivot Objective'!$C$9^6)*AE769*AF769</f>
        <v>0</v>
      </c>
      <c r="AH769" s="140"/>
      <c r="AI769" s="140"/>
      <c r="AJ769" s="164">
        <f>($L769*'Pivot Objective'!$C$9^7)*AH769*AI769</f>
        <v>0</v>
      </c>
      <c r="AK769" s="185">
        <f t="shared" si="83"/>
        <v>6000335.7592499992</v>
      </c>
      <c r="AL769" s="186">
        <f t="shared" si="84"/>
        <v>5825.56869830097</v>
      </c>
    </row>
    <row r="770" spans="1:38" customFormat="1" ht="86.4" x14ac:dyDescent="0.3">
      <c r="A770" s="140" t="s">
        <v>1444</v>
      </c>
      <c r="B770" s="140">
        <v>1</v>
      </c>
      <c r="C770" s="166" t="s">
        <v>836</v>
      </c>
      <c r="D770" s="140" t="str">
        <f t="shared" si="86"/>
        <v>5</v>
      </c>
      <c r="E770" s="166" t="s">
        <v>1446</v>
      </c>
      <c r="F770" s="140">
        <f t="shared" si="88"/>
        <v>1</v>
      </c>
      <c r="G770" s="140" t="str">
        <f t="shared" si="87"/>
        <v>1.5.1</v>
      </c>
      <c r="H770" s="166" t="s">
        <v>1447</v>
      </c>
      <c r="I770" s="166" t="s">
        <v>1448</v>
      </c>
      <c r="J770" s="166" t="s">
        <v>1449</v>
      </c>
      <c r="K770" s="166" t="s">
        <v>716</v>
      </c>
      <c r="L770" s="166">
        <v>39000</v>
      </c>
      <c r="M770" s="169"/>
      <c r="N770" s="166"/>
      <c r="O770" s="164">
        <f t="shared" si="82"/>
        <v>0</v>
      </c>
      <c r="P770" s="169">
        <v>30</v>
      </c>
      <c r="Q770" s="166">
        <v>6</v>
      </c>
      <c r="R770" s="164">
        <f>$L770*'Pivot Objective'!$C$9*P770*Q770</f>
        <v>8023306.1009399984</v>
      </c>
      <c r="S770" s="166"/>
      <c r="T770" s="166"/>
      <c r="U770" s="164">
        <f>($L770*'Pivot Objective'!$C$9^2)*S770*T770</f>
        <v>0</v>
      </c>
      <c r="V770" s="166"/>
      <c r="W770" s="166"/>
      <c r="X770" s="164">
        <f>($L770*'Pivot Objective'!$C$9^3)*V770*W770</f>
        <v>0</v>
      </c>
      <c r="Y770" s="166"/>
      <c r="Z770" s="166"/>
      <c r="AA770" s="164">
        <f>($L770*'Pivot Objective'!$C$9^4)*Y770*Z770</f>
        <v>0</v>
      </c>
      <c r="AB770" s="140"/>
      <c r="AC770" s="140"/>
      <c r="AD770" s="164">
        <f>($L770*'Pivot Objective'!$C$9^5)*AB770*AC770</f>
        <v>0</v>
      </c>
      <c r="AE770" s="140"/>
      <c r="AF770" s="140"/>
      <c r="AG770" s="164">
        <f>($L770*'Pivot Objective'!$C$9^6)*AE770*AF770</f>
        <v>0</v>
      </c>
      <c r="AH770" s="140"/>
      <c r="AI770" s="140"/>
      <c r="AJ770" s="164">
        <f>($L770*'Pivot Objective'!$C$9^7)*AH770*AI770</f>
        <v>0</v>
      </c>
      <c r="AK770" s="185">
        <f t="shared" si="83"/>
        <v>8023306.1009399984</v>
      </c>
      <c r="AL770" s="186">
        <f t="shared" si="84"/>
        <v>7789.6175737281537</v>
      </c>
    </row>
    <row r="771" spans="1:38" customFormat="1" ht="86.4" x14ac:dyDescent="0.3">
      <c r="A771" s="140" t="s">
        <v>1444</v>
      </c>
      <c r="B771" s="140">
        <v>1</v>
      </c>
      <c r="C771" s="166" t="s">
        <v>836</v>
      </c>
      <c r="D771" s="140" t="str">
        <f t="shared" si="86"/>
        <v>5</v>
      </c>
      <c r="E771" s="166" t="s">
        <v>1446</v>
      </c>
      <c r="F771" s="140">
        <f t="shared" si="88"/>
        <v>1</v>
      </c>
      <c r="G771" s="140" t="str">
        <f t="shared" si="87"/>
        <v>1.5.1</v>
      </c>
      <c r="H771" s="166" t="s">
        <v>1447</v>
      </c>
      <c r="I771" s="166" t="s">
        <v>1448</v>
      </c>
      <c r="J771" s="166" t="s">
        <v>1449</v>
      </c>
      <c r="K771" s="166" t="s">
        <v>712</v>
      </c>
      <c r="L771" s="166">
        <f>1480/7</f>
        <v>211.42857142857142</v>
      </c>
      <c r="M771" s="169"/>
      <c r="N771" s="166"/>
      <c r="O771" s="164">
        <f t="shared" ref="O771:O834" si="89">$L771*M771*N771</f>
        <v>0</v>
      </c>
      <c r="P771" s="169">
        <f>2*25*9</f>
        <v>450</v>
      </c>
      <c r="Q771" s="166">
        <v>5</v>
      </c>
      <c r="R771" s="164">
        <f>$L771*'Pivot Objective'!$C$9*P771*Q771</f>
        <v>543703.89328714274</v>
      </c>
      <c r="S771" s="166"/>
      <c r="T771" s="166"/>
      <c r="U771" s="164">
        <f>($L771*'Pivot Objective'!$C$9^2)*S771*T771</f>
        <v>0</v>
      </c>
      <c r="V771" s="166"/>
      <c r="W771" s="166"/>
      <c r="X771" s="164">
        <f>($L771*'Pivot Objective'!$C$9^3)*V771*W771</f>
        <v>0</v>
      </c>
      <c r="Y771" s="166"/>
      <c r="Z771" s="166"/>
      <c r="AA771" s="164">
        <f>($L771*'Pivot Objective'!$C$9^4)*Y771*Z771</f>
        <v>0</v>
      </c>
      <c r="AB771" s="140"/>
      <c r="AC771" s="140"/>
      <c r="AD771" s="164">
        <f>($L771*'Pivot Objective'!$C$9^5)*AB771*AC771</f>
        <v>0</v>
      </c>
      <c r="AE771" s="140"/>
      <c r="AF771" s="140"/>
      <c r="AG771" s="164">
        <f>($L771*'Pivot Objective'!$C$9^6)*AE771*AF771</f>
        <v>0</v>
      </c>
      <c r="AH771" s="140"/>
      <c r="AI771" s="140"/>
      <c r="AJ771" s="164">
        <f>($L771*'Pivot Objective'!$C$9^7)*AH771*AI771</f>
        <v>0</v>
      </c>
      <c r="AK771" s="185">
        <f t="shared" ref="AK771:AK834" si="90">O771+R771+U771+X771+AA771+AD771+AG771+AJ771</f>
        <v>543703.89328714274</v>
      </c>
      <c r="AL771" s="186">
        <f t="shared" ref="AL771:AL834" si="91">AK771/$AP$2</f>
        <v>527.86785756033271</v>
      </c>
    </row>
    <row r="772" spans="1:38" customFormat="1" ht="86.4" x14ac:dyDescent="0.3">
      <c r="A772" s="140" t="s">
        <v>1444</v>
      </c>
      <c r="B772" s="140">
        <v>1</v>
      </c>
      <c r="C772" s="166" t="s">
        <v>836</v>
      </c>
      <c r="D772" s="140" t="str">
        <f t="shared" si="86"/>
        <v>5</v>
      </c>
      <c r="E772" s="166" t="s">
        <v>1446</v>
      </c>
      <c r="F772" s="140">
        <f t="shared" si="88"/>
        <v>1</v>
      </c>
      <c r="G772" s="140" t="str">
        <f t="shared" si="87"/>
        <v>1.5.1</v>
      </c>
      <c r="H772" s="166" t="s">
        <v>1447</v>
      </c>
      <c r="I772" s="166" t="s">
        <v>1448</v>
      </c>
      <c r="J772" s="166" t="s">
        <v>1449</v>
      </c>
      <c r="K772" s="166" t="s">
        <v>1320</v>
      </c>
      <c r="L772" s="166">
        <f>1480/7</f>
        <v>211.42857142857142</v>
      </c>
      <c r="M772" s="169"/>
      <c r="N772" s="166"/>
      <c r="O772" s="164">
        <f t="shared" si="89"/>
        <v>0</v>
      </c>
      <c r="P772" s="169">
        <f>2*135*9</f>
        <v>2430</v>
      </c>
      <c r="Q772" s="166">
        <v>1</v>
      </c>
      <c r="R772" s="164">
        <f>$L772*'Pivot Objective'!$C$9*P772*Q772</f>
        <v>587200.20475011424</v>
      </c>
      <c r="S772" s="166"/>
      <c r="T772" s="166"/>
      <c r="U772" s="164">
        <f>($L772*'Pivot Objective'!$C$9^2)*S772*T772</f>
        <v>0</v>
      </c>
      <c r="V772" s="166"/>
      <c r="W772" s="166"/>
      <c r="X772" s="164">
        <f>($L772*'Pivot Objective'!$C$9^3)*V772*W772</f>
        <v>0</v>
      </c>
      <c r="Y772" s="166"/>
      <c r="Z772" s="166"/>
      <c r="AA772" s="164">
        <f>($L772*'Pivot Objective'!$C$9^4)*Y772*Z772</f>
        <v>0</v>
      </c>
      <c r="AB772" s="140"/>
      <c r="AC772" s="140"/>
      <c r="AD772" s="164">
        <f>($L772*'Pivot Objective'!$C$9^5)*AB772*AC772</f>
        <v>0</v>
      </c>
      <c r="AE772" s="140"/>
      <c r="AF772" s="140"/>
      <c r="AG772" s="164">
        <f>($L772*'Pivot Objective'!$C$9^6)*AE772*AF772</f>
        <v>0</v>
      </c>
      <c r="AH772" s="140"/>
      <c r="AI772" s="140"/>
      <c r="AJ772" s="164">
        <f>($L772*'Pivot Objective'!$C$9^7)*AH772*AI772</f>
        <v>0</v>
      </c>
      <c r="AK772" s="185">
        <f t="shared" si="90"/>
        <v>587200.20475011424</v>
      </c>
      <c r="AL772" s="186">
        <f t="shared" si="91"/>
        <v>570.0972861651594</v>
      </c>
    </row>
    <row r="773" spans="1:38" customFormat="1" ht="86.4" x14ac:dyDescent="0.3">
      <c r="A773" s="140" t="s">
        <v>1444</v>
      </c>
      <c r="B773" s="140">
        <v>1</v>
      </c>
      <c r="C773" s="166" t="s">
        <v>836</v>
      </c>
      <c r="D773" s="140" t="str">
        <f t="shared" si="86"/>
        <v>5</v>
      </c>
      <c r="E773" s="166" t="s">
        <v>1446</v>
      </c>
      <c r="F773" s="140">
        <f t="shared" si="88"/>
        <v>1</v>
      </c>
      <c r="G773" s="140" t="str">
        <f t="shared" si="87"/>
        <v>1.5.1</v>
      </c>
      <c r="H773" s="166" t="s">
        <v>1447</v>
      </c>
      <c r="I773" s="166" t="s">
        <v>1448</v>
      </c>
      <c r="J773" s="166" t="s">
        <v>1454</v>
      </c>
      <c r="K773" s="166" t="s">
        <v>1455</v>
      </c>
      <c r="L773" s="166">
        <v>35000</v>
      </c>
      <c r="M773" s="169"/>
      <c r="N773" s="166"/>
      <c r="O773" s="164">
        <f t="shared" si="89"/>
        <v>0</v>
      </c>
      <c r="P773" s="169">
        <v>30</v>
      </c>
      <c r="Q773" s="166">
        <v>10</v>
      </c>
      <c r="R773" s="164">
        <f>$L773*'Pivot Objective'!$C$9*P773*Q773</f>
        <v>12000671.518499998</v>
      </c>
      <c r="S773" s="166"/>
      <c r="T773" s="166"/>
      <c r="U773" s="164">
        <f>($L773*'Pivot Objective'!$C$9^2)*S773*T773</f>
        <v>0</v>
      </c>
      <c r="V773" s="166"/>
      <c r="W773" s="166"/>
      <c r="X773" s="164">
        <f>($L773*'Pivot Objective'!$C$9^3)*V773*W773</f>
        <v>0</v>
      </c>
      <c r="Y773" s="166"/>
      <c r="Z773" s="166"/>
      <c r="AA773" s="164">
        <f>($L773*'Pivot Objective'!$C$9^4)*Y773*Z773</f>
        <v>0</v>
      </c>
      <c r="AB773" s="140"/>
      <c r="AC773" s="140"/>
      <c r="AD773" s="164">
        <f>($L773*'Pivot Objective'!$C$9^5)*AB773*AC773</f>
        <v>0</v>
      </c>
      <c r="AE773" s="140"/>
      <c r="AF773" s="140"/>
      <c r="AG773" s="164">
        <f>($L773*'Pivot Objective'!$C$9^6)*AE773*AF773</f>
        <v>0</v>
      </c>
      <c r="AH773" s="140"/>
      <c r="AI773" s="140"/>
      <c r="AJ773" s="164">
        <f>($L773*'Pivot Objective'!$C$9^7)*AH773*AI773</f>
        <v>0</v>
      </c>
      <c r="AK773" s="185">
        <f t="shared" si="90"/>
        <v>12000671.518499998</v>
      </c>
      <c r="AL773" s="186">
        <f t="shared" si="91"/>
        <v>11651.13739660194</v>
      </c>
    </row>
    <row r="774" spans="1:38" customFormat="1" ht="86.4" x14ac:dyDescent="0.3">
      <c r="A774" s="140" t="s">
        <v>1444</v>
      </c>
      <c r="B774" s="140">
        <v>1</v>
      </c>
      <c r="C774" s="166" t="s">
        <v>836</v>
      </c>
      <c r="D774" s="140" t="str">
        <f t="shared" si="86"/>
        <v>5</v>
      </c>
      <c r="E774" s="166" t="s">
        <v>1446</v>
      </c>
      <c r="F774" s="140">
        <f t="shared" si="88"/>
        <v>1</v>
      </c>
      <c r="G774" s="140" t="str">
        <f t="shared" si="87"/>
        <v>1.5.1</v>
      </c>
      <c r="H774" s="166" t="s">
        <v>1447</v>
      </c>
      <c r="I774" s="166" t="s">
        <v>1448</v>
      </c>
      <c r="J774" s="166" t="s">
        <v>1454</v>
      </c>
      <c r="K774" s="166" t="s">
        <v>716</v>
      </c>
      <c r="L774" s="166">
        <v>39000</v>
      </c>
      <c r="M774" s="169"/>
      <c r="N774" s="166"/>
      <c r="O774" s="164">
        <f t="shared" si="89"/>
        <v>0</v>
      </c>
      <c r="P774" s="169">
        <v>30</v>
      </c>
      <c r="Q774" s="166">
        <v>12</v>
      </c>
      <c r="R774" s="164">
        <f>$L774*'Pivot Objective'!$C$9*P774*Q774</f>
        <v>16046612.201879997</v>
      </c>
      <c r="S774" s="166"/>
      <c r="T774" s="166"/>
      <c r="U774" s="164">
        <f>($L774*'Pivot Objective'!$C$9^2)*S774*T774</f>
        <v>0</v>
      </c>
      <c r="V774" s="166"/>
      <c r="W774" s="166"/>
      <c r="X774" s="164">
        <f>($L774*'Pivot Objective'!$C$9^3)*V774*W774</f>
        <v>0</v>
      </c>
      <c r="Y774" s="166"/>
      <c r="Z774" s="166"/>
      <c r="AA774" s="164">
        <f>($L774*'Pivot Objective'!$C$9^4)*Y774*Z774</f>
        <v>0</v>
      </c>
      <c r="AB774" s="140"/>
      <c r="AC774" s="140"/>
      <c r="AD774" s="164">
        <f>($L774*'Pivot Objective'!$C$9^5)*AB774*AC774</f>
        <v>0</v>
      </c>
      <c r="AE774" s="140"/>
      <c r="AF774" s="140"/>
      <c r="AG774" s="164">
        <f>($L774*'Pivot Objective'!$C$9^6)*AE774*AF774</f>
        <v>0</v>
      </c>
      <c r="AH774" s="140"/>
      <c r="AI774" s="140"/>
      <c r="AJ774" s="164">
        <f>($L774*'Pivot Objective'!$C$9^7)*AH774*AI774</f>
        <v>0</v>
      </c>
      <c r="AK774" s="185">
        <f t="shared" si="90"/>
        <v>16046612.201879997</v>
      </c>
      <c r="AL774" s="186">
        <f t="shared" si="91"/>
        <v>15579.235147456307</v>
      </c>
    </row>
    <row r="775" spans="1:38" customFormat="1" ht="86.4" x14ac:dyDescent="0.3">
      <c r="A775" s="140" t="s">
        <v>1444</v>
      </c>
      <c r="B775" s="140">
        <v>1</v>
      </c>
      <c r="C775" s="166" t="s">
        <v>836</v>
      </c>
      <c r="D775" s="140" t="str">
        <f t="shared" si="86"/>
        <v>5</v>
      </c>
      <c r="E775" s="166" t="s">
        <v>1446</v>
      </c>
      <c r="F775" s="140">
        <f t="shared" si="88"/>
        <v>1</v>
      </c>
      <c r="G775" s="140" t="str">
        <f t="shared" si="87"/>
        <v>1.5.1</v>
      </c>
      <c r="H775" s="166" t="s">
        <v>1447</v>
      </c>
      <c r="I775" s="166" t="s">
        <v>1448</v>
      </c>
      <c r="J775" s="166" t="s">
        <v>1454</v>
      </c>
      <c r="K775" s="166" t="s">
        <v>712</v>
      </c>
      <c r="L775" s="166">
        <f>1480/7</f>
        <v>211.42857142857142</v>
      </c>
      <c r="M775" s="169"/>
      <c r="N775" s="166"/>
      <c r="O775" s="164">
        <f t="shared" si="89"/>
        <v>0</v>
      </c>
      <c r="P775" s="169">
        <f>2*25*9</f>
        <v>450</v>
      </c>
      <c r="Q775" s="166">
        <v>10</v>
      </c>
      <c r="R775" s="164">
        <f>$L775*'Pivot Objective'!$C$9*P775*Q775</f>
        <v>1087407.7865742855</v>
      </c>
      <c r="S775" s="166"/>
      <c r="T775" s="166"/>
      <c r="U775" s="164">
        <f>($L775*'Pivot Objective'!$C$9^2)*S775*T775</f>
        <v>0</v>
      </c>
      <c r="V775" s="166"/>
      <c r="W775" s="166"/>
      <c r="X775" s="164">
        <f>($L775*'Pivot Objective'!$C$9^3)*V775*W775</f>
        <v>0</v>
      </c>
      <c r="Y775" s="166"/>
      <c r="Z775" s="166"/>
      <c r="AA775" s="164">
        <f>($L775*'Pivot Objective'!$C$9^4)*Y775*Z775</f>
        <v>0</v>
      </c>
      <c r="AB775" s="140"/>
      <c r="AC775" s="140"/>
      <c r="AD775" s="164">
        <f>($L775*'Pivot Objective'!$C$9^5)*AB775*AC775</f>
        <v>0</v>
      </c>
      <c r="AE775" s="140"/>
      <c r="AF775" s="140"/>
      <c r="AG775" s="164">
        <f>($L775*'Pivot Objective'!$C$9^6)*AE775*AF775</f>
        <v>0</v>
      </c>
      <c r="AH775" s="140"/>
      <c r="AI775" s="140"/>
      <c r="AJ775" s="164">
        <f>($L775*'Pivot Objective'!$C$9^7)*AH775*AI775</f>
        <v>0</v>
      </c>
      <c r="AK775" s="185">
        <f t="shared" si="90"/>
        <v>1087407.7865742855</v>
      </c>
      <c r="AL775" s="186">
        <f t="shared" si="91"/>
        <v>1055.7357151206654</v>
      </c>
    </row>
    <row r="776" spans="1:38" customFormat="1" ht="86.4" x14ac:dyDescent="0.3">
      <c r="A776" s="140" t="s">
        <v>1444</v>
      </c>
      <c r="B776" s="140">
        <v>1</v>
      </c>
      <c r="C776" s="166" t="s">
        <v>836</v>
      </c>
      <c r="D776" s="140" t="str">
        <f t="shared" si="86"/>
        <v>5</v>
      </c>
      <c r="E776" s="166" t="s">
        <v>1446</v>
      </c>
      <c r="F776" s="140">
        <f t="shared" si="88"/>
        <v>1</v>
      </c>
      <c r="G776" s="140" t="str">
        <f t="shared" si="87"/>
        <v>1.5.1</v>
      </c>
      <c r="H776" s="166" t="s">
        <v>1447</v>
      </c>
      <c r="I776" s="166" t="s">
        <v>1448</v>
      </c>
      <c r="J776" s="166" t="s">
        <v>1454</v>
      </c>
      <c r="K776" s="166" t="s">
        <v>1320</v>
      </c>
      <c r="L776" s="166">
        <f>1480/7</f>
        <v>211.42857142857142</v>
      </c>
      <c r="M776" s="169"/>
      <c r="N776" s="166"/>
      <c r="O776" s="164">
        <f t="shared" si="89"/>
        <v>0</v>
      </c>
      <c r="P776" s="169">
        <f>2*135*9</f>
        <v>2430</v>
      </c>
      <c r="Q776" s="166">
        <v>2</v>
      </c>
      <c r="R776" s="164">
        <f>$L776*'Pivot Objective'!$C$9*P776*Q776</f>
        <v>1174400.4095002285</v>
      </c>
      <c r="S776" s="166"/>
      <c r="T776" s="166"/>
      <c r="U776" s="164">
        <f>($L776*'Pivot Objective'!$C$9^2)*S776*T776</f>
        <v>0</v>
      </c>
      <c r="V776" s="166"/>
      <c r="W776" s="166"/>
      <c r="X776" s="164">
        <f>($L776*'Pivot Objective'!$C$9^3)*V776*W776</f>
        <v>0</v>
      </c>
      <c r="Y776" s="166"/>
      <c r="Z776" s="166"/>
      <c r="AA776" s="164">
        <f>($L776*'Pivot Objective'!$C$9^4)*Y776*Z776</f>
        <v>0</v>
      </c>
      <c r="AB776" s="140"/>
      <c r="AC776" s="140"/>
      <c r="AD776" s="164">
        <f>($L776*'Pivot Objective'!$C$9^5)*AB776*AC776</f>
        <v>0</v>
      </c>
      <c r="AE776" s="140"/>
      <c r="AF776" s="140"/>
      <c r="AG776" s="164">
        <f>($L776*'Pivot Objective'!$C$9^6)*AE776*AF776</f>
        <v>0</v>
      </c>
      <c r="AH776" s="140"/>
      <c r="AI776" s="140"/>
      <c r="AJ776" s="164">
        <f>($L776*'Pivot Objective'!$C$9^7)*AH776*AI776</f>
        <v>0</v>
      </c>
      <c r="AK776" s="185">
        <f t="shared" si="90"/>
        <v>1174400.4095002285</v>
      </c>
      <c r="AL776" s="186">
        <f t="shared" si="91"/>
        <v>1140.1945723303188</v>
      </c>
    </row>
    <row r="777" spans="1:38" customFormat="1" ht="86.4" x14ac:dyDescent="0.3">
      <c r="A777" s="140" t="s">
        <v>1444</v>
      </c>
      <c r="B777" s="140">
        <v>1</v>
      </c>
      <c r="C777" s="166" t="s">
        <v>836</v>
      </c>
      <c r="D777" s="140" t="str">
        <f t="shared" si="86"/>
        <v>5</v>
      </c>
      <c r="E777" s="166" t="s">
        <v>1446</v>
      </c>
      <c r="F777" s="140">
        <f t="shared" si="88"/>
        <v>1</v>
      </c>
      <c r="G777" s="140" t="str">
        <f t="shared" si="87"/>
        <v>1.5.1</v>
      </c>
      <c r="H777" s="166" t="s">
        <v>1447</v>
      </c>
      <c r="I777" s="166" t="s">
        <v>1456</v>
      </c>
      <c r="J777" s="166" t="s">
        <v>1457</v>
      </c>
      <c r="K777" s="166" t="s">
        <v>1458</v>
      </c>
      <c r="L777" s="166">
        <v>35000</v>
      </c>
      <c r="M777" s="169"/>
      <c r="N777" s="166"/>
      <c r="O777" s="164">
        <f t="shared" si="89"/>
        <v>0</v>
      </c>
      <c r="P777" s="169">
        <v>30</v>
      </c>
      <c r="Q777" s="166">
        <v>2</v>
      </c>
      <c r="R777" s="164">
        <f>$L777*'Pivot Objective'!$C$9*P777*Q777</f>
        <v>2400134.3036999996</v>
      </c>
      <c r="S777" s="166"/>
      <c r="T777" s="166"/>
      <c r="U777" s="164">
        <f>($L777*'Pivot Objective'!$C$9^2)*S777*T777</f>
        <v>0</v>
      </c>
      <c r="V777" s="166"/>
      <c r="W777" s="166"/>
      <c r="X777" s="164">
        <f>($L777*'Pivot Objective'!$C$9^3)*V777*W777</f>
        <v>0</v>
      </c>
      <c r="Y777" s="166"/>
      <c r="Z777" s="166"/>
      <c r="AA777" s="164">
        <f>($L777*'Pivot Objective'!$C$9^4)*Y777*Z777</f>
        <v>0</v>
      </c>
      <c r="AB777" s="140"/>
      <c r="AC777" s="140"/>
      <c r="AD777" s="164">
        <f>($L777*'Pivot Objective'!$C$9^5)*AB777*AC777</f>
        <v>0</v>
      </c>
      <c r="AE777" s="140"/>
      <c r="AF777" s="140"/>
      <c r="AG777" s="164">
        <f>($L777*'Pivot Objective'!$C$9^6)*AE777*AF777</f>
        <v>0</v>
      </c>
      <c r="AH777" s="140"/>
      <c r="AI777" s="140"/>
      <c r="AJ777" s="164">
        <f>($L777*'Pivot Objective'!$C$9^7)*AH777*AI777</f>
        <v>0</v>
      </c>
      <c r="AK777" s="185">
        <f t="shared" si="90"/>
        <v>2400134.3036999996</v>
      </c>
      <c r="AL777" s="186">
        <f t="shared" si="91"/>
        <v>2330.2274793203878</v>
      </c>
    </row>
    <row r="778" spans="1:38" customFormat="1" ht="86.4" x14ac:dyDescent="0.3">
      <c r="A778" s="140" t="s">
        <v>1444</v>
      </c>
      <c r="B778" s="140">
        <v>1</v>
      </c>
      <c r="C778" s="166" t="s">
        <v>836</v>
      </c>
      <c r="D778" s="140" t="str">
        <f t="shared" si="86"/>
        <v>5</v>
      </c>
      <c r="E778" s="166" t="s">
        <v>1446</v>
      </c>
      <c r="F778" s="140">
        <f t="shared" si="88"/>
        <v>1</v>
      </c>
      <c r="G778" s="140" t="str">
        <f t="shared" si="87"/>
        <v>1.5.1</v>
      </c>
      <c r="H778" s="166" t="s">
        <v>1447</v>
      </c>
      <c r="I778" s="166" t="s">
        <v>1456</v>
      </c>
      <c r="J778" s="166" t="s">
        <v>1457</v>
      </c>
      <c r="K778" s="166" t="s">
        <v>716</v>
      </c>
      <c r="L778" s="166">
        <v>39000</v>
      </c>
      <c r="M778" s="169"/>
      <c r="N778" s="166"/>
      <c r="O778" s="164">
        <f t="shared" si="89"/>
        <v>0</v>
      </c>
      <c r="P778" s="169">
        <v>30</v>
      </c>
      <c r="Q778" s="166">
        <v>3</v>
      </c>
      <c r="R778" s="164">
        <f>$L778*'Pivot Objective'!$C$9*P778*Q778</f>
        <v>4011653.0504699992</v>
      </c>
      <c r="S778" s="166"/>
      <c r="T778" s="166"/>
      <c r="U778" s="164">
        <f>($L778*'Pivot Objective'!$C$9^2)*S778*T778</f>
        <v>0</v>
      </c>
      <c r="V778" s="166"/>
      <c r="W778" s="166"/>
      <c r="X778" s="164">
        <f>($L778*'Pivot Objective'!$C$9^3)*V778*W778</f>
        <v>0</v>
      </c>
      <c r="Y778" s="166"/>
      <c r="Z778" s="166"/>
      <c r="AA778" s="164">
        <f>($L778*'Pivot Objective'!$C$9^4)*Y778*Z778</f>
        <v>0</v>
      </c>
      <c r="AB778" s="140"/>
      <c r="AC778" s="140"/>
      <c r="AD778" s="164">
        <f>($L778*'Pivot Objective'!$C$9^5)*AB778*AC778</f>
        <v>0</v>
      </c>
      <c r="AE778" s="140"/>
      <c r="AF778" s="140"/>
      <c r="AG778" s="164">
        <f>($L778*'Pivot Objective'!$C$9^6)*AE778*AF778</f>
        <v>0</v>
      </c>
      <c r="AH778" s="140"/>
      <c r="AI778" s="140"/>
      <c r="AJ778" s="164">
        <f>($L778*'Pivot Objective'!$C$9^7)*AH778*AI778</f>
        <v>0</v>
      </c>
      <c r="AK778" s="185">
        <f t="shared" si="90"/>
        <v>4011653.0504699992</v>
      </c>
      <c r="AL778" s="186">
        <f t="shared" si="91"/>
        <v>3894.8087868640769</v>
      </c>
    </row>
    <row r="779" spans="1:38" customFormat="1" ht="86.4" x14ac:dyDescent="0.3">
      <c r="A779" s="140" t="s">
        <v>1444</v>
      </c>
      <c r="B779" s="140">
        <v>1</v>
      </c>
      <c r="C779" s="166" t="s">
        <v>836</v>
      </c>
      <c r="D779" s="140" t="str">
        <f t="shared" si="86"/>
        <v>5</v>
      </c>
      <c r="E779" s="166" t="s">
        <v>1446</v>
      </c>
      <c r="F779" s="140">
        <f t="shared" si="88"/>
        <v>1</v>
      </c>
      <c r="G779" s="140" t="str">
        <f t="shared" si="87"/>
        <v>1.5.1</v>
      </c>
      <c r="H779" s="166" t="s">
        <v>1447</v>
      </c>
      <c r="I779" s="166" t="s">
        <v>1456</v>
      </c>
      <c r="J779" s="166" t="s">
        <v>1457</v>
      </c>
      <c r="K779" s="166" t="s">
        <v>712</v>
      </c>
      <c r="L779" s="166">
        <f>1480/7</f>
        <v>211.42857142857142</v>
      </c>
      <c r="M779" s="169"/>
      <c r="N779" s="166"/>
      <c r="O779" s="164">
        <f t="shared" si="89"/>
        <v>0</v>
      </c>
      <c r="P779" s="169">
        <f>2*25*9</f>
        <v>450</v>
      </c>
      <c r="Q779" s="166">
        <v>2</v>
      </c>
      <c r="R779" s="164">
        <f>$L779*'Pivot Objective'!$C$9*P779*Q779</f>
        <v>217481.55731485711</v>
      </c>
      <c r="S779" s="166"/>
      <c r="T779" s="166"/>
      <c r="U779" s="164">
        <f>($L779*'Pivot Objective'!$C$9^2)*S779*T779</f>
        <v>0</v>
      </c>
      <c r="V779" s="166"/>
      <c r="W779" s="166"/>
      <c r="X779" s="164">
        <f>($L779*'Pivot Objective'!$C$9^3)*V779*W779</f>
        <v>0</v>
      </c>
      <c r="Y779" s="166"/>
      <c r="Z779" s="166"/>
      <c r="AA779" s="164">
        <f>($L779*'Pivot Objective'!$C$9^4)*Y779*Z779</f>
        <v>0</v>
      </c>
      <c r="AB779" s="140"/>
      <c r="AC779" s="140"/>
      <c r="AD779" s="164">
        <f>($L779*'Pivot Objective'!$C$9^5)*AB779*AC779</f>
        <v>0</v>
      </c>
      <c r="AE779" s="140"/>
      <c r="AF779" s="140"/>
      <c r="AG779" s="164">
        <f>($L779*'Pivot Objective'!$C$9^6)*AE779*AF779</f>
        <v>0</v>
      </c>
      <c r="AH779" s="140"/>
      <c r="AI779" s="140"/>
      <c r="AJ779" s="164">
        <f>($L779*'Pivot Objective'!$C$9^7)*AH779*AI779</f>
        <v>0</v>
      </c>
      <c r="AK779" s="185">
        <f t="shared" si="90"/>
        <v>217481.55731485711</v>
      </c>
      <c r="AL779" s="186">
        <f t="shared" si="91"/>
        <v>211.14714302413313</v>
      </c>
    </row>
    <row r="780" spans="1:38" customFormat="1" ht="86.4" x14ac:dyDescent="0.3">
      <c r="A780" s="140" t="s">
        <v>1444</v>
      </c>
      <c r="B780" s="140">
        <v>1</v>
      </c>
      <c r="C780" s="166" t="s">
        <v>836</v>
      </c>
      <c r="D780" s="140" t="str">
        <f t="shared" si="86"/>
        <v>5</v>
      </c>
      <c r="E780" s="166" t="s">
        <v>1446</v>
      </c>
      <c r="F780" s="140">
        <f t="shared" si="88"/>
        <v>1</v>
      </c>
      <c r="G780" s="140" t="str">
        <f t="shared" si="87"/>
        <v>1.5.1</v>
      </c>
      <c r="H780" s="166" t="s">
        <v>1447</v>
      </c>
      <c r="I780" s="166" t="s">
        <v>1456</v>
      </c>
      <c r="J780" s="166" t="s">
        <v>1457</v>
      </c>
      <c r="K780" s="166" t="s">
        <v>1320</v>
      </c>
      <c r="L780" s="166">
        <f>1480/7</f>
        <v>211.42857142857142</v>
      </c>
      <c r="M780" s="169"/>
      <c r="N780" s="166"/>
      <c r="O780" s="164">
        <f t="shared" si="89"/>
        <v>0</v>
      </c>
      <c r="P780" s="169">
        <f>2*135*9</f>
        <v>2430</v>
      </c>
      <c r="Q780" s="166">
        <v>1</v>
      </c>
      <c r="R780" s="164">
        <f>$L780*'Pivot Objective'!$C$9*P780*Q780</f>
        <v>587200.20475011424</v>
      </c>
      <c r="S780" s="166"/>
      <c r="T780" s="166"/>
      <c r="U780" s="164">
        <f>($L780*'Pivot Objective'!$C$9^2)*S780*T780</f>
        <v>0</v>
      </c>
      <c r="V780" s="166"/>
      <c r="W780" s="166"/>
      <c r="X780" s="164">
        <f>($L780*'Pivot Objective'!$C$9^3)*V780*W780</f>
        <v>0</v>
      </c>
      <c r="Y780" s="166"/>
      <c r="Z780" s="166"/>
      <c r="AA780" s="164">
        <f>($L780*'Pivot Objective'!$C$9^4)*Y780*Z780</f>
        <v>0</v>
      </c>
      <c r="AB780" s="140"/>
      <c r="AC780" s="140"/>
      <c r="AD780" s="164">
        <f>($L780*'Pivot Objective'!$C$9^5)*AB780*AC780</f>
        <v>0</v>
      </c>
      <c r="AE780" s="140"/>
      <c r="AF780" s="140"/>
      <c r="AG780" s="164">
        <f>($L780*'Pivot Objective'!$C$9^6)*AE780*AF780</f>
        <v>0</v>
      </c>
      <c r="AH780" s="140"/>
      <c r="AI780" s="140"/>
      <c r="AJ780" s="164">
        <f>($L780*'Pivot Objective'!$C$9^7)*AH780*AI780</f>
        <v>0</v>
      </c>
      <c r="AK780" s="185">
        <f t="shared" si="90"/>
        <v>587200.20475011424</v>
      </c>
      <c r="AL780" s="186">
        <f t="shared" si="91"/>
        <v>570.0972861651594</v>
      </c>
    </row>
    <row r="781" spans="1:38" customFormat="1" ht="86.4" x14ac:dyDescent="0.3">
      <c r="A781" s="140" t="s">
        <v>1444</v>
      </c>
      <c r="B781" s="140">
        <v>1</v>
      </c>
      <c r="C781" s="166" t="s">
        <v>836</v>
      </c>
      <c r="D781" s="140" t="str">
        <f t="shared" si="86"/>
        <v>5</v>
      </c>
      <c r="E781" s="166" t="s">
        <v>1446</v>
      </c>
      <c r="F781" s="140">
        <f t="shared" si="88"/>
        <v>1</v>
      </c>
      <c r="G781" s="140" t="str">
        <f t="shared" si="87"/>
        <v>1.5.1</v>
      </c>
      <c r="H781" s="166" t="s">
        <v>1447</v>
      </c>
      <c r="I781" s="166" t="s">
        <v>1456</v>
      </c>
      <c r="J781" s="166" t="s">
        <v>1459</v>
      </c>
      <c r="K781" s="166" t="s">
        <v>1460</v>
      </c>
      <c r="L781" s="166">
        <v>35000</v>
      </c>
      <c r="M781" s="169"/>
      <c r="N781" s="166"/>
      <c r="O781" s="164">
        <f t="shared" si="89"/>
        <v>0</v>
      </c>
      <c r="P781" s="169">
        <v>30</v>
      </c>
      <c r="Q781" s="166">
        <v>8</v>
      </c>
      <c r="R781" s="164">
        <f>$L781*'Pivot Objective'!$C$9*P781*Q781</f>
        <v>9600537.2147999983</v>
      </c>
      <c r="S781" s="166"/>
      <c r="T781" s="166"/>
      <c r="U781" s="164">
        <f>($L781*'Pivot Objective'!$C$9^2)*S781*T781</f>
        <v>0</v>
      </c>
      <c r="V781" s="166"/>
      <c r="W781" s="166"/>
      <c r="X781" s="164">
        <f>($L781*'Pivot Objective'!$C$9^3)*V781*W781</f>
        <v>0</v>
      </c>
      <c r="Y781" s="166"/>
      <c r="Z781" s="166"/>
      <c r="AA781" s="164">
        <f>($L781*'Pivot Objective'!$C$9^4)*Y781*Z781</f>
        <v>0</v>
      </c>
      <c r="AB781" s="140"/>
      <c r="AC781" s="140"/>
      <c r="AD781" s="164">
        <f>($L781*'Pivot Objective'!$C$9^5)*AB781*AC781</f>
        <v>0</v>
      </c>
      <c r="AE781" s="140"/>
      <c r="AF781" s="140"/>
      <c r="AG781" s="164">
        <f>($L781*'Pivot Objective'!$C$9^6)*AE781*AF781</f>
        <v>0</v>
      </c>
      <c r="AH781" s="140"/>
      <c r="AI781" s="140"/>
      <c r="AJ781" s="164">
        <f>($L781*'Pivot Objective'!$C$9^7)*AH781*AI781</f>
        <v>0</v>
      </c>
      <c r="AK781" s="185">
        <f t="shared" si="90"/>
        <v>9600537.2147999983</v>
      </c>
      <c r="AL781" s="186">
        <f t="shared" si="91"/>
        <v>9320.9099172815513</v>
      </c>
    </row>
    <row r="782" spans="1:38" customFormat="1" ht="86.4" x14ac:dyDescent="0.3">
      <c r="A782" s="140" t="s">
        <v>1444</v>
      </c>
      <c r="B782" s="140">
        <v>1</v>
      </c>
      <c r="C782" s="166" t="s">
        <v>836</v>
      </c>
      <c r="D782" s="140" t="str">
        <f t="shared" si="86"/>
        <v>5</v>
      </c>
      <c r="E782" s="166" t="s">
        <v>1446</v>
      </c>
      <c r="F782" s="140">
        <f t="shared" si="88"/>
        <v>1</v>
      </c>
      <c r="G782" s="140" t="str">
        <f t="shared" si="87"/>
        <v>1.5.1</v>
      </c>
      <c r="H782" s="166" t="s">
        <v>1447</v>
      </c>
      <c r="I782" s="166" t="s">
        <v>1456</v>
      </c>
      <c r="J782" s="166" t="s">
        <v>1459</v>
      </c>
      <c r="K782" s="166" t="s">
        <v>716</v>
      </c>
      <c r="L782" s="166">
        <v>39000</v>
      </c>
      <c r="M782" s="169"/>
      <c r="N782" s="166"/>
      <c r="O782" s="164">
        <f t="shared" si="89"/>
        <v>0</v>
      </c>
      <c r="P782" s="169">
        <v>30</v>
      </c>
      <c r="Q782" s="166">
        <v>10</v>
      </c>
      <c r="R782" s="164">
        <f>$L782*'Pivot Objective'!$C$9*P782*Q782</f>
        <v>13372176.834899997</v>
      </c>
      <c r="S782" s="166"/>
      <c r="T782" s="166"/>
      <c r="U782" s="164">
        <f>($L782*'Pivot Objective'!$C$9^2)*S782*T782</f>
        <v>0</v>
      </c>
      <c r="V782" s="166"/>
      <c r="W782" s="166"/>
      <c r="X782" s="164">
        <f>($L782*'Pivot Objective'!$C$9^3)*V782*W782</f>
        <v>0</v>
      </c>
      <c r="Y782" s="166"/>
      <c r="Z782" s="166"/>
      <c r="AA782" s="164">
        <f>($L782*'Pivot Objective'!$C$9^4)*Y782*Z782</f>
        <v>0</v>
      </c>
      <c r="AB782" s="140"/>
      <c r="AC782" s="140"/>
      <c r="AD782" s="164">
        <f>($L782*'Pivot Objective'!$C$9^5)*AB782*AC782</f>
        <v>0</v>
      </c>
      <c r="AE782" s="140"/>
      <c r="AF782" s="140"/>
      <c r="AG782" s="164">
        <f>($L782*'Pivot Objective'!$C$9^6)*AE782*AF782</f>
        <v>0</v>
      </c>
      <c r="AH782" s="140"/>
      <c r="AI782" s="140"/>
      <c r="AJ782" s="164">
        <f>($L782*'Pivot Objective'!$C$9^7)*AH782*AI782</f>
        <v>0</v>
      </c>
      <c r="AK782" s="185">
        <f t="shared" si="90"/>
        <v>13372176.834899997</v>
      </c>
      <c r="AL782" s="186">
        <f t="shared" si="91"/>
        <v>12982.695956213589</v>
      </c>
    </row>
    <row r="783" spans="1:38" customFormat="1" ht="86.4" x14ac:dyDescent="0.3">
      <c r="A783" s="140" t="s">
        <v>1444</v>
      </c>
      <c r="B783" s="140">
        <v>1</v>
      </c>
      <c r="C783" s="166" t="s">
        <v>836</v>
      </c>
      <c r="D783" s="140" t="str">
        <f t="shared" si="86"/>
        <v>5</v>
      </c>
      <c r="E783" s="166" t="s">
        <v>1446</v>
      </c>
      <c r="F783" s="140">
        <f t="shared" si="88"/>
        <v>1</v>
      </c>
      <c r="G783" s="140" t="str">
        <f t="shared" si="87"/>
        <v>1.5.1</v>
      </c>
      <c r="H783" s="166" t="s">
        <v>1447</v>
      </c>
      <c r="I783" s="166" t="s">
        <v>1456</v>
      </c>
      <c r="J783" s="166" t="s">
        <v>1459</v>
      </c>
      <c r="K783" s="166" t="s">
        <v>712</v>
      </c>
      <c r="L783" s="166">
        <f>1480/7</f>
        <v>211.42857142857142</v>
      </c>
      <c r="M783" s="169"/>
      <c r="N783" s="166"/>
      <c r="O783" s="164">
        <f t="shared" si="89"/>
        <v>0</v>
      </c>
      <c r="P783" s="169">
        <f>2*25*9</f>
        <v>450</v>
      </c>
      <c r="Q783" s="166">
        <v>4</v>
      </c>
      <c r="R783" s="164">
        <f>$L783*'Pivot Objective'!$C$9*P783*Q783</f>
        <v>434963.11462971423</v>
      </c>
      <c r="S783" s="166"/>
      <c r="T783" s="166"/>
      <c r="U783" s="164">
        <f>($L783*'Pivot Objective'!$C$9^2)*S783*T783</f>
        <v>0</v>
      </c>
      <c r="V783" s="166"/>
      <c r="W783" s="166"/>
      <c r="X783" s="164">
        <f>($L783*'Pivot Objective'!$C$9^3)*V783*W783</f>
        <v>0</v>
      </c>
      <c r="Y783" s="166"/>
      <c r="Z783" s="166"/>
      <c r="AA783" s="164">
        <f>($L783*'Pivot Objective'!$C$9^4)*Y783*Z783</f>
        <v>0</v>
      </c>
      <c r="AB783" s="140"/>
      <c r="AC783" s="140"/>
      <c r="AD783" s="164">
        <f>($L783*'Pivot Objective'!$C$9^5)*AB783*AC783</f>
        <v>0</v>
      </c>
      <c r="AE783" s="140"/>
      <c r="AF783" s="140"/>
      <c r="AG783" s="164">
        <f>($L783*'Pivot Objective'!$C$9^6)*AE783*AF783</f>
        <v>0</v>
      </c>
      <c r="AH783" s="140"/>
      <c r="AI783" s="140"/>
      <c r="AJ783" s="164">
        <f>($L783*'Pivot Objective'!$C$9^7)*AH783*AI783</f>
        <v>0</v>
      </c>
      <c r="AK783" s="185">
        <f t="shared" si="90"/>
        <v>434963.11462971423</v>
      </c>
      <c r="AL783" s="186">
        <f t="shared" si="91"/>
        <v>422.29428604826626</v>
      </c>
    </row>
    <row r="784" spans="1:38" customFormat="1" ht="86.4" x14ac:dyDescent="0.3">
      <c r="A784" s="140" t="s">
        <v>1444</v>
      </c>
      <c r="B784" s="140">
        <v>1</v>
      </c>
      <c r="C784" s="166" t="s">
        <v>836</v>
      </c>
      <c r="D784" s="140" t="str">
        <f t="shared" si="86"/>
        <v>5</v>
      </c>
      <c r="E784" s="166" t="s">
        <v>1446</v>
      </c>
      <c r="F784" s="140">
        <f t="shared" si="88"/>
        <v>1</v>
      </c>
      <c r="G784" s="140" t="str">
        <f t="shared" si="87"/>
        <v>1.5.1</v>
      </c>
      <c r="H784" s="166" t="s">
        <v>1447</v>
      </c>
      <c r="I784" s="166" t="s">
        <v>1456</v>
      </c>
      <c r="J784" s="166" t="s">
        <v>1459</v>
      </c>
      <c r="K784" s="166" t="s">
        <v>1320</v>
      </c>
      <c r="L784" s="166">
        <f>1480/7</f>
        <v>211.42857142857142</v>
      </c>
      <c r="M784" s="169"/>
      <c r="N784" s="166"/>
      <c r="O784" s="164">
        <f t="shared" si="89"/>
        <v>0</v>
      </c>
      <c r="P784" s="169">
        <f>2*135*9</f>
        <v>2430</v>
      </c>
      <c r="Q784" s="166">
        <v>2</v>
      </c>
      <c r="R784" s="164">
        <f>$L784*'Pivot Objective'!$C$9*P784*Q784</f>
        <v>1174400.4095002285</v>
      </c>
      <c r="S784" s="166"/>
      <c r="T784" s="166"/>
      <c r="U784" s="164">
        <f>($L784*'Pivot Objective'!$C$9^2)*S784*T784</f>
        <v>0</v>
      </c>
      <c r="V784" s="166"/>
      <c r="W784" s="166"/>
      <c r="X784" s="164">
        <f>($L784*'Pivot Objective'!$C$9^3)*V784*W784</f>
        <v>0</v>
      </c>
      <c r="Y784" s="166"/>
      <c r="Z784" s="166"/>
      <c r="AA784" s="164">
        <f>($L784*'Pivot Objective'!$C$9^4)*Y784*Z784</f>
        <v>0</v>
      </c>
      <c r="AB784" s="140"/>
      <c r="AC784" s="140"/>
      <c r="AD784" s="164">
        <f>($L784*'Pivot Objective'!$C$9^5)*AB784*AC784</f>
        <v>0</v>
      </c>
      <c r="AE784" s="140"/>
      <c r="AF784" s="140"/>
      <c r="AG784" s="164">
        <f>($L784*'Pivot Objective'!$C$9^6)*AE784*AF784</f>
        <v>0</v>
      </c>
      <c r="AH784" s="140"/>
      <c r="AI784" s="140"/>
      <c r="AJ784" s="164">
        <f>($L784*'Pivot Objective'!$C$9^7)*AH784*AI784</f>
        <v>0</v>
      </c>
      <c r="AK784" s="185">
        <f t="shared" si="90"/>
        <v>1174400.4095002285</v>
      </c>
      <c r="AL784" s="186">
        <f t="shared" si="91"/>
        <v>1140.1945723303188</v>
      </c>
    </row>
    <row r="785" spans="1:38" customFormat="1" ht="86.4" x14ac:dyDescent="0.3">
      <c r="A785" s="140" t="s">
        <v>1444</v>
      </c>
      <c r="B785" s="140">
        <v>1</v>
      </c>
      <c r="C785" s="166" t="s">
        <v>836</v>
      </c>
      <c r="D785" s="140" t="str">
        <f t="shared" si="86"/>
        <v>5</v>
      </c>
      <c r="E785" s="166" t="s">
        <v>1446</v>
      </c>
      <c r="F785" s="140">
        <f t="shared" si="88"/>
        <v>1</v>
      </c>
      <c r="G785" s="140" t="str">
        <f t="shared" si="87"/>
        <v>1.5.1</v>
      </c>
      <c r="H785" s="166" t="s">
        <v>1447</v>
      </c>
      <c r="I785" s="166" t="s">
        <v>1456</v>
      </c>
      <c r="J785" s="166" t="s">
        <v>1461</v>
      </c>
      <c r="K785" s="166" t="s">
        <v>718</v>
      </c>
      <c r="L785" s="166">
        <v>0</v>
      </c>
      <c r="M785" s="169"/>
      <c r="N785" s="166"/>
      <c r="O785" s="164">
        <f t="shared" si="89"/>
        <v>0</v>
      </c>
      <c r="P785" s="169">
        <v>0</v>
      </c>
      <c r="Q785" s="166">
        <v>0</v>
      </c>
      <c r="R785" s="164">
        <f>$L785*'Pivot Objective'!$C$9*P785*Q785</f>
        <v>0</v>
      </c>
      <c r="S785" s="166"/>
      <c r="T785" s="166"/>
      <c r="U785" s="164">
        <f>($L785*'Pivot Objective'!$C$9^2)*S785*T785</f>
        <v>0</v>
      </c>
      <c r="V785" s="166"/>
      <c r="W785" s="166"/>
      <c r="X785" s="164">
        <f>($L785*'Pivot Objective'!$C$9^3)*V785*W785</f>
        <v>0</v>
      </c>
      <c r="Y785" s="166"/>
      <c r="Z785" s="166"/>
      <c r="AA785" s="164">
        <f>($L785*'Pivot Objective'!$C$9^4)*Y785*Z785</f>
        <v>0</v>
      </c>
      <c r="AB785" s="140"/>
      <c r="AC785" s="140"/>
      <c r="AD785" s="164">
        <f>($L785*'Pivot Objective'!$C$9^5)*AB785*AC785</f>
        <v>0</v>
      </c>
      <c r="AE785" s="140"/>
      <c r="AF785" s="140"/>
      <c r="AG785" s="164">
        <f>($L785*'Pivot Objective'!$C$9^6)*AE785*AF785</f>
        <v>0</v>
      </c>
      <c r="AH785" s="140"/>
      <c r="AI785" s="140"/>
      <c r="AJ785" s="164">
        <f>($L785*'Pivot Objective'!$C$9^7)*AH785*AI785</f>
        <v>0</v>
      </c>
      <c r="AK785" s="185">
        <f t="shared" si="90"/>
        <v>0</v>
      </c>
      <c r="AL785" s="186">
        <f t="shared" si="91"/>
        <v>0</v>
      </c>
    </row>
    <row r="786" spans="1:38" customFormat="1" ht="86.4" x14ac:dyDescent="0.3">
      <c r="A786" s="140" t="s">
        <v>1444</v>
      </c>
      <c r="B786" s="140">
        <v>1</v>
      </c>
      <c r="C786" s="166" t="s">
        <v>836</v>
      </c>
      <c r="D786" s="140" t="str">
        <f t="shared" si="86"/>
        <v>5</v>
      </c>
      <c r="E786" s="166" t="s">
        <v>1446</v>
      </c>
      <c r="F786" s="140">
        <f t="shared" si="88"/>
        <v>1</v>
      </c>
      <c r="G786" s="140" t="str">
        <f t="shared" si="87"/>
        <v>1.5.1</v>
      </c>
      <c r="H786" s="166" t="s">
        <v>1447</v>
      </c>
      <c r="I786" s="166" t="s">
        <v>1456</v>
      </c>
      <c r="J786" s="166" t="s">
        <v>1462</v>
      </c>
      <c r="K786" s="166" t="s">
        <v>718</v>
      </c>
      <c r="L786" s="166">
        <v>0</v>
      </c>
      <c r="M786" s="169"/>
      <c r="N786" s="166"/>
      <c r="O786" s="164">
        <f t="shared" si="89"/>
        <v>0</v>
      </c>
      <c r="P786" s="169">
        <v>0</v>
      </c>
      <c r="Q786" s="166">
        <v>0</v>
      </c>
      <c r="R786" s="164">
        <f>$L786*'Pivot Objective'!$C$9*P786*Q786</f>
        <v>0</v>
      </c>
      <c r="S786" s="166"/>
      <c r="T786" s="166"/>
      <c r="U786" s="164">
        <f>($L786*'Pivot Objective'!$C$9^2)*S786*T786</f>
        <v>0</v>
      </c>
      <c r="V786" s="166"/>
      <c r="W786" s="166"/>
      <c r="X786" s="164">
        <f>($L786*'Pivot Objective'!$C$9^3)*V786*W786</f>
        <v>0</v>
      </c>
      <c r="Y786" s="166"/>
      <c r="Z786" s="166"/>
      <c r="AA786" s="164">
        <f>($L786*'Pivot Objective'!$C$9^4)*Y786*Z786</f>
        <v>0</v>
      </c>
      <c r="AB786" s="140"/>
      <c r="AC786" s="140"/>
      <c r="AD786" s="164">
        <f>($L786*'Pivot Objective'!$C$9^5)*AB786*AC786</f>
        <v>0</v>
      </c>
      <c r="AE786" s="140"/>
      <c r="AF786" s="140"/>
      <c r="AG786" s="164">
        <f>($L786*'Pivot Objective'!$C$9^6)*AE786*AF786</f>
        <v>0</v>
      </c>
      <c r="AH786" s="140"/>
      <c r="AI786" s="140"/>
      <c r="AJ786" s="164">
        <f>($L786*'Pivot Objective'!$C$9^7)*AH786*AI786</f>
        <v>0</v>
      </c>
      <c r="AK786" s="185">
        <f t="shared" si="90"/>
        <v>0</v>
      </c>
      <c r="AL786" s="186">
        <f t="shared" si="91"/>
        <v>0</v>
      </c>
    </row>
    <row r="787" spans="1:38" customFormat="1" ht="86.4" x14ac:dyDescent="0.3">
      <c r="A787" s="140" t="s">
        <v>1444</v>
      </c>
      <c r="B787" s="140">
        <v>1</v>
      </c>
      <c r="C787" s="166" t="s">
        <v>836</v>
      </c>
      <c r="D787" s="140" t="str">
        <f t="shared" si="86"/>
        <v>5</v>
      </c>
      <c r="E787" s="166" t="s">
        <v>1446</v>
      </c>
      <c r="F787" s="140">
        <f t="shared" si="88"/>
        <v>1</v>
      </c>
      <c r="G787" s="140" t="str">
        <f t="shared" si="87"/>
        <v>1.5.1</v>
      </c>
      <c r="H787" s="166" t="s">
        <v>1447</v>
      </c>
      <c r="I787" s="166" t="s">
        <v>1456</v>
      </c>
      <c r="J787" s="166" t="s">
        <v>1463</v>
      </c>
      <c r="K787" s="166" t="s">
        <v>1464</v>
      </c>
      <c r="L787" s="166">
        <v>35000</v>
      </c>
      <c r="M787" s="169"/>
      <c r="N787" s="166"/>
      <c r="O787" s="164">
        <f t="shared" si="89"/>
        <v>0</v>
      </c>
      <c r="P787" s="166"/>
      <c r="Q787" s="166"/>
      <c r="R787" s="164">
        <f>$L787*'Pivot Objective'!$C$9*P787*Q787</f>
        <v>0</v>
      </c>
      <c r="S787" s="169">
        <v>50</v>
      </c>
      <c r="T787" s="166">
        <v>5</v>
      </c>
      <c r="U787" s="164">
        <f>($L787*'Pivot Objective'!$C$9^2)*S787*T787</f>
        <v>11429850.547217228</v>
      </c>
      <c r="V787" s="169">
        <v>50</v>
      </c>
      <c r="W787" s="166">
        <v>5</v>
      </c>
      <c r="X787" s="164">
        <f>($L787*'Pivot Objective'!$C$9^3)*V787*W787</f>
        <v>13063417.325971564</v>
      </c>
      <c r="Y787" s="169">
        <v>50</v>
      </c>
      <c r="Z787" s="166">
        <v>5</v>
      </c>
      <c r="AA787" s="164">
        <f>($L787*'Pivot Objective'!$C$9^4)*Y787*Z787</f>
        <v>14930455.260768225</v>
      </c>
      <c r="AB787" s="169">
        <v>50</v>
      </c>
      <c r="AC787" s="166">
        <v>5</v>
      </c>
      <c r="AD787" s="164">
        <f>($L787*'Pivot Objective'!$C$9^5)*AB787*AC787</f>
        <v>17064332.305346638</v>
      </c>
      <c r="AE787" s="169">
        <v>50</v>
      </c>
      <c r="AF787" s="166">
        <v>5</v>
      </c>
      <c r="AG787" s="164">
        <f>($L787*'Pivot Objective'!$C$9^6)*AE787*AF787</f>
        <v>19503185.397999316</v>
      </c>
      <c r="AH787" s="169">
        <v>50</v>
      </c>
      <c r="AI787" s="166">
        <v>5</v>
      </c>
      <c r="AJ787" s="164">
        <f>($L787*'Pivot Objective'!$C$9^7)*AH787*AI787</f>
        <v>22290602.050075762</v>
      </c>
      <c r="AK787" s="185">
        <f t="shared" si="90"/>
        <v>98281842.887378752</v>
      </c>
      <c r="AL787" s="186">
        <f t="shared" si="91"/>
        <v>95419.264939202665</v>
      </c>
    </row>
    <row r="788" spans="1:38" customFormat="1" ht="86.4" x14ac:dyDescent="0.3">
      <c r="A788" s="140" t="s">
        <v>1444</v>
      </c>
      <c r="B788" s="140">
        <v>1</v>
      </c>
      <c r="C788" s="166" t="s">
        <v>836</v>
      </c>
      <c r="D788" s="140" t="str">
        <f t="shared" si="86"/>
        <v>5</v>
      </c>
      <c r="E788" s="166" t="s">
        <v>1446</v>
      </c>
      <c r="F788" s="140">
        <f t="shared" si="88"/>
        <v>1</v>
      </c>
      <c r="G788" s="140" t="str">
        <f t="shared" si="87"/>
        <v>1.5.1</v>
      </c>
      <c r="H788" s="166" t="s">
        <v>1447</v>
      </c>
      <c r="I788" s="166" t="s">
        <v>1456</v>
      </c>
      <c r="J788" s="166" t="s">
        <v>1463</v>
      </c>
      <c r="K788" s="166" t="s">
        <v>716</v>
      </c>
      <c r="L788" s="166">
        <v>39000</v>
      </c>
      <c r="M788" s="169"/>
      <c r="N788" s="166"/>
      <c r="O788" s="164">
        <f t="shared" si="89"/>
        <v>0</v>
      </c>
      <c r="P788" s="166"/>
      <c r="Q788" s="166"/>
      <c r="R788" s="164">
        <f>$L788*'Pivot Objective'!$C$9*P788*Q788</f>
        <v>0</v>
      </c>
      <c r="S788" s="169">
        <v>10</v>
      </c>
      <c r="T788" s="166">
        <v>6</v>
      </c>
      <c r="U788" s="164">
        <f>($L788*'Pivot Objective'!$C$9^2)*S788*T788</f>
        <v>3056668.6034843787</v>
      </c>
      <c r="V788" s="169">
        <v>10</v>
      </c>
      <c r="W788" s="166">
        <v>6</v>
      </c>
      <c r="X788" s="164">
        <f>($L788*'Pivot Objective'!$C$9^3)*V788*W788</f>
        <v>3493531.0334598236</v>
      </c>
      <c r="Y788" s="169">
        <v>10</v>
      </c>
      <c r="Z788" s="166">
        <v>6</v>
      </c>
      <c r="AA788" s="164">
        <f>($L788*'Pivot Objective'!$C$9^4)*Y788*Z788</f>
        <v>3992830.3211654453</v>
      </c>
      <c r="AB788" s="169">
        <v>10</v>
      </c>
      <c r="AC788" s="166">
        <v>6</v>
      </c>
      <c r="AD788" s="164">
        <f>($L788*'Pivot Objective'!$C$9^5)*AB788*AC788</f>
        <v>4563490.0108012725</v>
      </c>
      <c r="AE788" s="169">
        <v>10</v>
      </c>
      <c r="AF788" s="166">
        <v>6</v>
      </c>
      <c r="AG788" s="164">
        <f>($L788*'Pivot Objective'!$C$9^6)*AE788*AF788</f>
        <v>5215709.009293532</v>
      </c>
      <c r="AH788" s="169">
        <v>10</v>
      </c>
      <c r="AI788" s="166">
        <v>6</v>
      </c>
      <c r="AJ788" s="164">
        <f>($L788*'Pivot Objective'!$C$9^7)*AH788*AI788</f>
        <v>5961143.8625345463</v>
      </c>
      <c r="AK788" s="185">
        <f t="shared" si="90"/>
        <v>26283372.840738997</v>
      </c>
      <c r="AL788" s="186">
        <f t="shared" si="91"/>
        <v>25517.837709455336</v>
      </c>
    </row>
    <row r="789" spans="1:38" customFormat="1" ht="86.4" x14ac:dyDescent="0.3">
      <c r="A789" s="140" t="s">
        <v>1444</v>
      </c>
      <c r="B789" s="140">
        <v>1</v>
      </c>
      <c r="C789" s="166" t="s">
        <v>836</v>
      </c>
      <c r="D789" s="140" t="str">
        <f t="shared" si="86"/>
        <v>5</v>
      </c>
      <c r="E789" s="166" t="s">
        <v>1446</v>
      </c>
      <c r="F789" s="140">
        <f t="shared" si="88"/>
        <v>1</v>
      </c>
      <c r="G789" s="140" t="str">
        <f t="shared" si="87"/>
        <v>1.5.1</v>
      </c>
      <c r="H789" s="166" t="s">
        <v>1447</v>
      </c>
      <c r="I789" s="166" t="s">
        <v>1456</v>
      </c>
      <c r="J789" s="166" t="s">
        <v>1463</v>
      </c>
      <c r="K789" s="166" t="s">
        <v>712</v>
      </c>
      <c r="L789" s="166">
        <f>1480/7</f>
        <v>211.42857142857142</v>
      </c>
      <c r="M789" s="169"/>
      <c r="N789" s="166"/>
      <c r="O789" s="164">
        <f t="shared" si="89"/>
        <v>0</v>
      </c>
      <c r="P789" s="166"/>
      <c r="Q789" s="166"/>
      <c r="R789" s="164">
        <f>$L789*'Pivot Objective'!$C$9*P789*Q789</f>
        <v>0</v>
      </c>
      <c r="S789" s="169">
        <f>2*25*9</f>
        <v>450</v>
      </c>
      <c r="T789" s="166">
        <v>5</v>
      </c>
      <c r="U789" s="164">
        <f>($L789*'Pivot Objective'!$C$9^2)*S789*T789</f>
        <v>621410.65015891218</v>
      </c>
      <c r="V789" s="169">
        <f>2*25*9</f>
        <v>450</v>
      </c>
      <c r="W789" s="166">
        <v>5</v>
      </c>
      <c r="X789" s="164">
        <f>($L789*'Pivot Objective'!$C$9^3)*V789*W789</f>
        <v>710223.34196710703</v>
      </c>
      <c r="Y789" s="169">
        <f>2*25*9</f>
        <v>450</v>
      </c>
      <c r="Z789" s="166">
        <v>5</v>
      </c>
      <c r="AA789" s="164">
        <f>($L789*'Pivot Objective'!$C$9^4)*Y789*Z789</f>
        <v>811729.24111605203</v>
      </c>
      <c r="AB789" s="169">
        <f>2*25*9</f>
        <v>450</v>
      </c>
      <c r="AC789" s="166">
        <v>5</v>
      </c>
      <c r="AD789" s="164">
        <f>($L789*'Pivot Objective'!$C$9^5)*AB789*AC789</f>
        <v>927742.47472333559</v>
      </c>
      <c r="AE789" s="169">
        <f>2*25*9</f>
        <v>450</v>
      </c>
      <c r="AF789" s="166">
        <v>5</v>
      </c>
      <c r="AG789" s="164">
        <f>($L789*'Pivot Objective'!$C$9^6)*AE789*AF789</f>
        <v>1060336.4469442894</v>
      </c>
      <c r="AH789" s="169">
        <f>2*25*9</f>
        <v>450</v>
      </c>
      <c r="AI789" s="166">
        <v>5</v>
      </c>
      <c r="AJ789" s="164">
        <f>($L789*'Pivot Objective'!$C$9^7)*AH789*AI789</f>
        <v>1211880.8951306494</v>
      </c>
      <c r="AK789" s="185">
        <f t="shared" si="90"/>
        <v>5343323.0500403456</v>
      </c>
      <c r="AL789" s="186">
        <f t="shared" si="91"/>
        <v>5187.6922815925682</v>
      </c>
    </row>
    <row r="790" spans="1:38" customFormat="1" ht="86.4" x14ac:dyDescent="0.3">
      <c r="A790" s="140" t="s">
        <v>1444</v>
      </c>
      <c r="B790" s="140">
        <v>1</v>
      </c>
      <c r="C790" s="166" t="s">
        <v>836</v>
      </c>
      <c r="D790" s="140" t="str">
        <f t="shared" si="86"/>
        <v>5</v>
      </c>
      <c r="E790" s="166" t="s">
        <v>1446</v>
      </c>
      <c r="F790" s="140">
        <f t="shared" si="88"/>
        <v>1</v>
      </c>
      <c r="G790" s="140" t="str">
        <f t="shared" si="87"/>
        <v>1.5.1</v>
      </c>
      <c r="H790" s="166" t="s">
        <v>1447</v>
      </c>
      <c r="I790" s="166" t="s">
        <v>1456</v>
      </c>
      <c r="J790" s="166" t="s">
        <v>1463</v>
      </c>
      <c r="K790" s="166" t="s">
        <v>1320</v>
      </c>
      <c r="L790" s="166">
        <f>1480/7</f>
        <v>211.42857142857142</v>
      </c>
      <c r="M790" s="169"/>
      <c r="N790" s="166"/>
      <c r="O790" s="164">
        <f t="shared" si="89"/>
        <v>0</v>
      </c>
      <c r="P790" s="166"/>
      <c r="Q790" s="166"/>
      <c r="R790" s="164">
        <f>$L790*'Pivot Objective'!$C$9*P790*Q790</f>
        <v>0</v>
      </c>
      <c r="S790" s="169">
        <f>2*135*9</f>
        <v>2430</v>
      </c>
      <c r="T790" s="166">
        <v>1</v>
      </c>
      <c r="U790" s="164">
        <f>($L790*'Pivot Objective'!$C$9^2)*S790*T790</f>
        <v>671123.50217162515</v>
      </c>
      <c r="V790" s="169">
        <f>2*135*9</f>
        <v>2430</v>
      </c>
      <c r="W790" s="166">
        <v>1</v>
      </c>
      <c r="X790" s="164">
        <f>($L790*'Pivot Objective'!$C$9^3)*V790*W790</f>
        <v>767041.20932447549</v>
      </c>
      <c r="Y790" s="169">
        <f>2*135*9</f>
        <v>2430</v>
      </c>
      <c r="Z790" s="166">
        <v>1</v>
      </c>
      <c r="AA790" s="164">
        <f>($L790*'Pivot Objective'!$C$9^4)*Y790*Z790</f>
        <v>876667.58040533611</v>
      </c>
      <c r="AB790" s="169">
        <f>2*135*9</f>
        <v>2430</v>
      </c>
      <c r="AC790" s="166">
        <v>1</v>
      </c>
      <c r="AD790" s="164">
        <f>($L790*'Pivot Objective'!$C$9^5)*AB790*AC790</f>
        <v>1001961.8727012025</v>
      </c>
      <c r="AE790" s="169">
        <f>2*135*9</f>
        <v>2430</v>
      </c>
      <c r="AF790" s="166">
        <v>1</v>
      </c>
      <c r="AG790" s="164">
        <f>($L790*'Pivot Objective'!$C$9^6)*AE790*AF790</f>
        <v>1145163.3626998325</v>
      </c>
      <c r="AH790" s="169">
        <f>2*135*9</f>
        <v>2430</v>
      </c>
      <c r="AI790" s="166">
        <v>1</v>
      </c>
      <c r="AJ790" s="164">
        <f>($L790*'Pivot Objective'!$C$9^7)*AH790*AI790</f>
        <v>1308831.3667411015</v>
      </c>
      <c r="AK790" s="185">
        <f t="shared" si="90"/>
        <v>5770788.8940435732</v>
      </c>
      <c r="AL790" s="186">
        <f t="shared" si="91"/>
        <v>5602.7076641199737</v>
      </c>
    </row>
    <row r="791" spans="1:38" customFormat="1" ht="86.4" x14ac:dyDescent="0.3">
      <c r="A791" s="140" t="s">
        <v>1444</v>
      </c>
      <c r="B791" s="140">
        <v>1</v>
      </c>
      <c r="C791" s="166" t="s">
        <v>836</v>
      </c>
      <c r="D791" s="140" t="str">
        <f t="shared" si="86"/>
        <v>5</v>
      </c>
      <c r="E791" s="166" t="s">
        <v>1446</v>
      </c>
      <c r="F791" s="140">
        <f t="shared" si="88"/>
        <v>1</v>
      </c>
      <c r="G791" s="140" t="str">
        <f t="shared" si="87"/>
        <v>1.5.1</v>
      </c>
      <c r="H791" s="166" t="s">
        <v>1447</v>
      </c>
      <c r="I791" s="166" t="s">
        <v>1465</v>
      </c>
      <c r="J791" s="166" t="s">
        <v>1466</v>
      </c>
      <c r="K791" s="166" t="s">
        <v>709</v>
      </c>
      <c r="L791" s="166">
        <v>35000</v>
      </c>
      <c r="M791" s="169"/>
      <c r="N791" s="166"/>
      <c r="O791" s="164">
        <f t="shared" si="89"/>
        <v>0</v>
      </c>
      <c r="P791" s="166"/>
      <c r="Q791" s="166"/>
      <c r="R791" s="164">
        <f>$L791*'Pivot Objective'!$C$9*P791*Q791</f>
        <v>0</v>
      </c>
      <c r="S791" s="169">
        <v>30</v>
      </c>
      <c r="T791" s="166">
        <v>10</v>
      </c>
      <c r="U791" s="164">
        <f>($L791*'Pivot Objective'!$C$9^2)*S791*T791</f>
        <v>13715820.656660672</v>
      </c>
      <c r="V791" s="169">
        <v>30</v>
      </c>
      <c r="W791" s="166">
        <v>10</v>
      </c>
      <c r="X791" s="164">
        <f>($L791*'Pivot Objective'!$C$9^3)*V791*W791</f>
        <v>15676100.791165877</v>
      </c>
      <c r="Y791" s="169">
        <v>30</v>
      </c>
      <c r="Z791" s="166">
        <v>10</v>
      </c>
      <c r="AA791" s="164">
        <f>($L791*'Pivot Objective'!$C$9^4)*Y791*Z791</f>
        <v>17916546.31292187</v>
      </c>
      <c r="AB791" s="169">
        <v>30</v>
      </c>
      <c r="AC791" s="166">
        <v>10</v>
      </c>
      <c r="AD791" s="164">
        <f>($L791*'Pivot Objective'!$C$9^5)*AB791*AC791</f>
        <v>20477198.766415965</v>
      </c>
      <c r="AE791" s="169">
        <v>30</v>
      </c>
      <c r="AF791" s="166">
        <v>10</v>
      </c>
      <c r="AG791" s="164">
        <f>($L791*'Pivot Objective'!$C$9^6)*AE791*AF791</f>
        <v>23403822.477599181</v>
      </c>
      <c r="AH791" s="169">
        <v>30</v>
      </c>
      <c r="AI791" s="166">
        <v>10</v>
      </c>
      <c r="AJ791" s="164">
        <f>($L791*'Pivot Objective'!$C$9^7)*AH791*AI791</f>
        <v>26748722.460090913</v>
      </c>
      <c r="AK791" s="185">
        <f t="shared" si="90"/>
        <v>117938211.46485448</v>
      </c>
      <c r="AL791" s="186">
        <f t="shared" si="91"/>
        <v>114503.11792704319</v>
      </c>
    </row>
    <row r="792" spans="1:38" customFormat="1" ht="86.4" x14ac:dyDescent="0.3">
      <c r="A792" s="140" t="s">
        <v>1444</v>
      </c>
      <c r="B792" s="140">
        <v>1</v>
      </c>
      <c r="C792" s="166" t="s">
        <v>836</v>
      </c>
      <c r="D792" s="140" t="str">
        <f t="shared" si="86"/>
        <v>5</v>
      </c>
      <c r="E792" s="166" t="s">
        <v>1446</v>
      </c>
      <c r="F792" s="140">
        <f t="shared" si="88"/>
        <v>1</v>
      </c>
      <c r="G792" s="140" t="str">
        <f t="shared" si="87"/>
        <v>1.5.1</v>
      </c>
      <c r="H792" s="166" t="s">
        <v>1447</v>
      </c>
      <c r="I792" s="166" t="s">
        <v>1465</v>
      </c>
      <c r="J792" s="166" t="s">
        <v>1466</v>
      </c>
      <c r="K792" s="166" t="s">
        <v>716</v>
      </c>
      <c r="L792" s="166">
        <v>39000</v>
      </c>
      <c r="M792" s="169"/>
      <c r="N792" s="166"/>
      <c r="O792" s="164">
        <f t="shared" si="89"/>
        <v>0</v>
      </c>
      <c r="P792" s="166"/>
      <c r="Q792" s="166"/>
      <c r="R792" s="164">
        <f>$L792*'Pivot Objective'!$C$9*P792*Q792</f>
        <v>0</v>
      </c>
      <c r="S792" s="169">
        <v>30</v>
      </c>
      <c r="T792" s="166">
        <v>12</v>
      </c>
      <c r="U792" s="164">
        <f>($L792*'Pivot Objective'!$C$9^2)*S792*T792</f>
        <v>18340011.620906271</v>
      </c>
      <c r="V792" s="169">
        <v>30</v>
      </c>
      <c r="W792" s="166">
        <v>12</v>
      </c>
      <c r="X792" s="164">
        <f>($L792*'Pivot Objective'!$C$9^3)*V792*W792</f>
        <v>20961186.200758941</v>
      </c>
      <c r="Y792" s="169">
        <v>30</v>
      </c>
      <c r="Z792" s="166">
        <v>12</v>
      </c>
      <c r="AA792" s="164">
        <f>($L792*'Pivot Objective'!$C$9^4)*Y792*Z792</f>
        <v>23956981.92699267</v>
      </c>
      <c r="AB792" s="169">
        <v>30</v>
      </c>
      <c r="AC792" s="166">
        <v>12</v>
      </c>
      <c r="AD792" s="164">
        <f>($L792*'Pivot Objective'!$C$9^5)*AB792*AC792</f>
        <v>27380940.064807635</v>
      </c>
      <c r="AE792" s="169">
        <v>30</v>
      </c>
      <c r="AF792" s="166">
        <v>12</v>
      </c>
      <c r="AG792" s="164">
        <f>($L792*'Pivot Objective'!$C$9^6)*AE792*AF792</f>
        <v>31294254.055761192</v>
      </c>
      <c r="AH792" s="169">
        <v>30</v>
      </c>
      <c r="AI792" s="166">
        <v>12</v>
      </c>
      <c r="AJ792" s="164">
        <f>($L792*'Pivot Objective'!$C$9^7)*AH792*AI792</f>
        <v>35766863.17520728</v>
      </c>
      <c r="AK792" s="185">
        <f t="shared" si="90"/>
        <v>157700237.04443398</v>
      </c>
      <c r="AL792" s="186">
        <f t="shared" si="91"/>
        <v>153107.02625673203</v>
      </c>
    </row>
    <row r="793" spans="1:38" customFormat="1" ht="86.4" x14ac:dyDescent="0.3">
      <c r="A793" s="140" t="s">
        <v>1444</v>
      </c>
      <c r="B793" s="140">
        <v>1</v>
      </c>
      <c r="C793" s="166" t="s">
        <v>836</v>
      </c>
      <c r="D793" s="140" t="str">
        <f t="shared" si="86"/>
        <v>5</v>
      </c>
      <c r="E793" s="166" t="s">
        <v>1446</v>
      </c>
      <c r="F793" s="140">
        <f t="shared" si="88"/>
        <v>1</v>
      </c>
      <c r="G793" s="140" t="str">
        <f t="shared" si="87"/>
        <v>1.5.1</v>
      </c>
      <c r="H793" s="166" t="s">
        <v>1447</v>
      </c>
      <c r="I793" s="166" t="s">
        <v>1465</v>
      </c>
      <c r="J793" s="166" t="s">
        <v>1466</v>
      </c>
      <c r="K793" s="166" t="s">
        <v>712</v>
      </c>
      <c r="L793" s="166">
        <f>1480/7</f>
        <v>211.42857142857142</v>
      </c>
      <c r="M793" s="169"/>
      <c r="N793" s="166"/>
      <c r="O793" s="164">
        <f t="shared" si="89"/>
        <v>0</v>
      </c>
      <c r="P793" s="166"/>
      <c r="Q793" s="166"/>
      <c r="R793" s="164">
        <f>$L793*'Pivot Objective'!$C$9*P793*Q793</f>
        <v>0</v>
      </c>
      <c r="S793" s="169">
        <f>2*25*9</f>
        <v>450</v>
      </c>
      <c r="T793" s="166">
        <v>10</v>
      </c>
      <c r="U793" s="164">
        <f>($L793*'Pivot Objective'!$C$9^2)*S793*T793</f>
        <v>1242821.3003178244</v>
      </c>
      <c r="V793" s="169">
        <f>2*25*9</f>
        <v>450</v>
      </c>
      <c r="W793" s="166">
        <v>10</v>
      </c>
      <c r="X793" s="164">
        <f>($L793*'Pivot Objective'!$C$9^3)*V793*W793</f>
        <v>1420446.6839342141</v>
      </c>
      <c r="Y793" s="169">
        <f>2*25*9</f>
        <v>450</v>
      </c>
      <c r="Z793" s="166">
        <v>10</v>
      </c>
      <c r="AA793" s="164">
        <f>($L793*'Pivot Objective'!$C$9^4)*Y793*Z793</f>
        <v>1623458.4822321041</v>
      </c>
      <c r="AB793" s="169">
        <f>2*25*9</f>
        <v>450</v>
      </c>
      <c r="AC793" s="166">
        <v>10</v>
      </c>
      <c r="AD793" s="164">
        <f>($L793*'Pivot Objective'!$C$9^5)*AB793*AC793</f>
        <v>1855484.9494466712</v>
      </c>
      <c r="AE793" s="169">
        <f>2*25*9</f>
        <v>450</v>
      </c>
      <c r="AF793" s="166">
        <v>10</v>
      </c>
      <c r="AG793" s="164">
        <f>($L793*'Pivot Objective'!$C$9^6)*AE793*AF793</f>
        <v>2120672.8938885788</v>
      </c>
      <c r="AH793" s="169">
        <f>2*25*9</f>
        <v>450</v>
      </c>
      <c r="AI793" s="166">
        <v>10</v>
      </c>
      <c r="AJ793" s="164">
        <f>($L793*'Pivot Objective'!$C$9^7)*AH793*AI793</f>
        <v>2423761.7902612989</v>
      </c>
      <c r="AK793" s="185">
        <f t="shared" si="90"/>
        <v>10686646.100080691</v>
      </c>
      <c r="AL793" s="186">
        <f t="shared" si="91"/>
        <v>10375.384563185136</v>
      </c>
    </row>
    <row r="794" spans="1:38" customFormat="1" ht="86.4" x14ac:dyDescent="0.3">
      <c r="A794" s="140" t="s">
        <v>1444</v>
      </c>
      <c r="B794" s="140">
        <v>1</v>
      </c>
      <c r="C794" s="166" t="s">
        <v>836</v>
      </c>
      <c r="D794" s="140" t="str">
        <f t="shared" si="86"/>
        <v>5</v>
      </c>
      <c r="E794" s="166" t="s">
        <v>1446</v>
      </c>
      <c r="F794" s="140">
        <f t="shared" si="88"/>
        <v>1</v>
      </c>
      <c r="G794" s="140" t="str">
        <f t="shared" si="87"/>
        <v>1.5.1</v>
      </c>
      <c r="H794" s="166" t="s">
        <v>1447</v>
      </c>
      <c r="I794" s="166" t="s">
        <v>1465</v>
      </c>
      <c r="J794" s="166" t="s">
        <v>1466</v>
      </c>
      <c r="K794" s="166" t="s">
        <v>1320</v>
      </c>
      <c r="L794" s="166">
        <f>1480/7</f>
        <v>211.42857142857142</v>
      </c>
      <c r="M794" s="169"/>
      <c r="N794" s="166"/>
      <c r="O794" s="164">
        <f t="shared" si="89"/>
        <v>0</v>
      </c>
      <c r="P794" s="166"/>
      <c r="Q794" s="166"/>
      <c r="R794" s="164">
        <f>$L794*'Pivot Objective'!$C$9*P794*Q794</f>
        <v>0</v>
      </c>
      <c r="S794" s="169">
        <f>2*135*9</f>
        <v>2430</v>
      </c>
      <c r="T794" s="166">
        <v>2</v>
      </c>
      <c r="U794" s="164">
        <f>($L794*'Pivot Objective'!$C$9^2)*S794*T794</f>
        <v>1342247.0043432503</v>
      </c>
      <c r="V794" s="169">
        <f>2*135*9</f>
        <v>2430</v>
      </c>
      <c r="W794" s="166">
        <v>2</v>
      </c>
      <c r="X794" s="164">
        <f>($L794*'Pivot Objective'!$C$9^3)*V794*W794</f>
        <v>1534082.418648951</v>
      </c>
      <c r="Y794" s="169">
        <f>2*135*9</f>
        <v>2430</v>
      </c>
      <c r="Z794" s="166">
        <v>2</v>
      </c>
      <c r="AA794" s="164">
        <f>($L794*'Pivot Objective'!$C$9^4)*Y794*Z794</f>
        <v>1753335.1608106722</v>
      </c>
      <c r="AB794" s="169">
        <f>2*135*9</f>
        <v>2430</v>
      </c>
      <c r="AC794" s="166">
        <v>2</v>
      </c>
      <c r="AD794" s="164">
        <f>($L794*'Pivot Objective'!$C$9^5)*AB794*AC794</f>
        <v>2003923.745402405</v>
      </c>
      <c r="AE794" s="169">
        <f>2*135*9</f>
        <v>2430</v>
      </c>
      <c r="AF794" s="166">
        <v>2</v>
      </c>
      <c r="AG794" s="164">
        <f>($L794*'Pivot Objective'!$C$9^6)*AE794*AF794</f>
        <v>2290326.7253996651</v>
      </c>
      <c r="AH794" s="169">
        <f>2*135*9</f>
        <v>2430</v>
      </c>
      <c r="AI794" s="166">
        <v>2</v>
      </c>
      <c r="AJ794" s="164">
        <f>($L794*'Pivot Objective'!$C$9^7)*AH794*AI794</f>
        <v>2617662.733482203</v>
      </c>
      <c r="AK794" s="185">
        <f t="shared" si="90"/>
        <v>11541577.788087146</v>
      </c>
      <c r="AL794" s="186">
        <f t="shared" si="91"/>
        <v>11205.415328239947</v>
      </c>
    </row>
    <row r="795" spans="1:38" customFormat="1" ht="86.4" x14ac:dyDescent="0.3">
      <c r="A795" s="140" t="s">
        <v>1444</v>
      </c>
      <c r="B795" s="140">
        <v>1</v>
      </c>
      <c r="C795" s="166" t="s">
        <v>836</v>
      </c>
      <c r="D795" s="140" t="str">
        <f t="shared" si="86"/>
        <v>5</v>
      </c>
      <c r="E795" s="166" t="s">
        <v>1446</v>
      </c>
      <c r="F795" s="140">
        <f t="shared" si="88"/>
        <v>1</v>
      </c>
      <c r="G795" s="140" t="str">
        <f t="shared" si="87"/>
        <v>1.5.1</v>
      </c>
      <c r="H795" s="166" t="s">
        <v>1447</v>
      </c>
      <c r="I795" s="166" t="s">
        <v>1465</v>
      </c>
      <c r="J795" s="166" t="s">
        <v>1467</v>
      </c>
      <c r="K795" s="166" t="s">
        <v>709</v>
      </c>
      <c r="L795" s="166">
        <v>35000</v>
      </c>
      <c r="M795" s="169"/>
      <c r="N795" s="166"/>
      <c r="O795" s="164">
        <f t="shared" si="89"/>
        <v>0</v>
      </c>
      <c r="P795" s="166"/>
      <c r="Q795" s="166"/>
      <c r="R795" s="164">
        <f>$L795*'Pivot Objective'!$C$9*P795*Q795</f>
        <v>0</v>
      </c>
      <c r="S795" s="169">
        <v>50</v>
      </c>
      <c r="T795" s="166">
        <v>1</v>
      </c>
      <c r="U795" s="164">
        <f>($L795*'Pivot Objective'!$C$9^2)*S795*T795</f>
        <v>2285970.1094434457</v>
      </c>
      <c r="V795" s="169">
        <v>50</v>
      </c>
      <c r="W795" s="166">
        <v>1</v>
      </c>
      <c r="X795" s="164">
        <f>($L795*'Pivot Objective'!$C$9^3)*V795*W795</f>
        <v>2612683.4651943129</v>
      </c>
      <c r="Y795" s="169">
        <v>50</v>
      </c>
      <c r="Z795" s="166">
        <v>1</v>
      </c>
      <c r="AA795" s="164">
        <f>($L795*'Pivot Objective'!$C$9^4)*Y795*Z795</f>
        <v>2986091.0521536451</v>
      </c>
      <c r="AB795" s="169">
        <v>50</v>
      </c>
      <c r="AC795" s="166">
        <v>1</v>
      </c>
      <c r="AD795" s="164">
        <f>($L795*'Pivot Objective'!$C$9^5)*AB795*AC795</f>
        <v>3412866.4610693273</v>
      </c>
      <c r="AE795" s="169">
        <v>50</v>
      </c>
      <c r="AF795" s="166">
        <v>1</v>
      </c>
      <c r="AG795" s="164">
        <f>($L795*'Pivot Objective'!$C$9^6)*AE795*AF795</f>
        <v>3900637.0795998634</v>
      </c>
      <c r="AH795" s="169">
        <v>50</v>
      </c>
      <c r="AI795" s="166">
        <v>1</v>
      </c>
      <c r="AJ795" s="164">
        <f>($L795*'Pivot Objective'!$C$9^7)*AH795*AI795</f>
        <v>4458120.4100151528</v>
      </c>
      <c r="AK795" s="185">
        <f t="shared" si="90"/>
        <v>19656368.577475749</v>
      </c>
      <c r="AL795" s="186">
        <f t="shared" si="91"/>
        <v>19083.852987840532</v>
      </c>
    </row>
    <row r="796" spans="1:38" customFormat="1" ht="86.4" x14ac:dyDescent="0.3">
      <c r="A796" s="140" t="s">
        <v>1444</v>
      </c>
      <c r="B796" s="140">
        <v>1</v>
      </c>
      <c r="C796" s="166" t="s">
        <v>836</v>
      </c>
      <c r="D796" s="140" t="str">
        <f t="shared" si="86"/>
        <v>5</v>
      </c>
      <c r="E796" s="166" t="s">
        <v>1446</v>
      </c>
      <c r="F796" s="140">
        <f t="shared" si="88"/>
        <v>1</v>
      </c>
      <c r="G796" s="140" t="str">
        <f t="shared" si="87"/>
        <v>1.5.1</v>
      </c>
      <c r="H796" s="166" t="s">
        <v>1447</v>
      </c>
      <c r="I796" s="166" t="s">
        <v>1465</v>
      </c>
      <c r="J796" s="166" t="s">
        <v>1074</v>
      </c>
      <c r="K796" s="166" t="s">
        <v>841</v>
      </c>
      <c r="L796" s="166">
        <v>0</v>
      </c>
      <c r="M796" s="169"/>
      <c r="N796" s="166"/>
      <c r="O796" s="164">
        <f t="shared" si="89"/>
        <v>0</v>
      </c>
      <c r="P796" s="166"/>
      <c r="Q796" s="166"/>
      <c r="R796" s="164">
        <f>$L796*'Pivot Objective'!$C$9*P796*Q796</f>
        <v>0</v>
      </c>
      <c r="S796" s="169">
        <v>30</v>
      </c>
      <c r="T796" s="166">
        <v>0</v>
      </c>
      <c r="U796" s="164">
        <f>($L796*'Pivot Objective'!$C$9^2)*S796*T796</f>
        <v>0</v>
      </c>
      <c r="V796" s="169">
        <v>30</v>
      </c>
      <c r="W796" s="166">
        <v>0</v>
      </c>
      <c r="X796" s="164">
        <f>($L796*'Pivot Objective'!$C$9^3)*V796*W796</f>
        <v>0</v>
      </c>
      <c r="Y796" s="169">
        <v>30</v>
      </c>
      <c r="Z796" s="166">
        <v>0</v>
      </c>
      <c r="AA796" s="164">
        <f>($L796*'Pivot Objective'!$C$9^4)*Y796*Z796</f>
        <v>0</v>
      </c>
      <c r="AB796" s="169">
        <v>30</v>
      </c>
      <c r="AC796" s="166">
        <v>0</v>
      </c>
      <c r="AD796" s="164">
        <f>($L796*'Pivot Objective'!$C$9^5)*AB796*AC796</f>
        <v>0</v>
      </c>
      <c r="AE796" s="169">
        <v>30</v>
      </c>
      <c r="AF796" s="166">
        <v>0</v>
      </c>
      <c r="AG796" s="164">
        <f>($L796*'Pivot Objective'!$C$9^6)*AE796*AF796</f>
        <v>0</v>
      </c>
      <c r="AH796" s="169">
        <v>30</v>
      </c>
      <c r="AI796" s="166">
        <v>0</v>
      </c>
      <c r="AJ796" s="164">
        <f>($L796*'Pivot Objective'!$C$9^7)*AH796*AI796</f>
        <v>0</v>
      </c>
      <c r="AK796" s="185">
        <f t="shared" si="90"/>
        <v>0</v>
      </c>
      <c r="AL796" s="186">
        <f t="shared" si="91"/>
        <v>0</v>
      </c>
    </row>
    <row r="797" spans="1:38" customFormat="1" ht="86.4" x14ac:dyDescent="0.3">
      <c r="A797" s="140" t="s">
        <v>1444</v>
      </c>
      <c r="B797" s="140">
        <v>1</v>
      </c>
      <c r="C797" s="166" t="s">
        <v>836</v>
      </c>
      <c r="D797" s="140" t="str">
        <f t="shared" si="86"/>
        <v>5</v>
      </c>
      <c r="E797" s="166" t="s">
        <v>1446</v>
      </c>
      <c r="F797" s="140">
        <f t="shared" si="88"/>
        <v>1</v>
      </c>
      <c r="G797" s="140" t="str">
        <f t="shared" si="87"/>
        <v>1.5.1</v>
      </c>
      <c r="H797" s="166" t="s">
        <v>1447</v>
      </c>
      <c r="I797" s="166" t="s">
        <v>1465</v>
      </c>
      <c r="J797" s="166" t="s">
        <v>1468</v>
      </c>
      <c r="K797" s="166" t="s">
        <v>709</v>
      </c>
      <c r="L797" s="167">
        <v>35000</v>
      </c>
      <c r="M797" s="169"/>
      <c r="N797" s="166"/>
      <c r="O797" s="164">
        <f t="shared" si="89"/>
        <v>0</v>
      </c>
      <c r="P797" s="166"/>
      <c r="Q797" s="166"/>
      <c r="R797" s="164">
        <f>$L797*'Pivot Objective'!$C$9*P797*Q797</f>
        <v>0</v>
      </c>
      <c r="S797" s="169">
        <v>100</v>
      </c>
      <c r="T797" s="166">
        <v>1</v>
      </c>
      <c r="U797" s="164">
        <f>($L797*'Pivot Objective'!$C$9^2)*S797*T797</f>
        <v>4571940.2188868914</v>
      </c>
      <c r="V797" s="169">
        <v>100</v>
      </c>
      <c r="W797" s="166">
        <v>1</v>
      </c>
      <c r="X797" s="164">
        <f>($L797*'Pivot Objective'!$C$9^3)*V797*W797</f>
        <v>5225366.9303886257</v>
      </c>
      <c r="Y797" s="169">
        <v>100</v>
      </c>
      <c r="Z797" s="166">
        <v>1</v>
      </c>
      <c r="AA797" s="164">
        <f>($L797*'Pivot Objective'!$C$9^4)*Y797*Z797</f>
        <v>5972182.1043072902</v>
      </c>
      <c r="AB797" s="169">
        <v>100</v>
      </c>
      <c r="AC797" s="166">
        <v>1</v>
      </c>
      <c r="AD797" s="164">
        <f>($L797*'Pivot Objective'!$C$9^5)*AB797*AC797</f>
        <v>6825732.9221386546</v>
      </c>
      <c r="AE797" s="169">
        <v>100</v>
      </c>
      <c r="AF797" s="166">
        <v>1</v>
      </c>
      <c r="AG797" s="164">
        <f>($L797*'Pivot Objective'!$C$9^6)*AE797*AF797</f>
        <v>7801274.1591997268</v>
      </c>
      <c r="AH797" s="169">
        <v>100</v>
      </c>
      <c r="AI797" s="166">
        <v>1</v>
      </c>
      <c r="AJ797" s="164">
        <f>($L797*'Pivot Objective'!$C$9^7)*AH797*AI797</f>
        <v>8916240.8200303055</v>
      </c>
      <c r="AK797" s="185">
        <f t="shared" si="90"/>
        <v>39312737.154951498</v>
      </c>
      <c r="AL797" s="186">
        <f t="shared" si="91"/>
        <v>38167.705975681063</v>
      </c>
    </row>
    <row r="798" spans="1:38" customFormat="1" ht="86.4" x14ac:dyDescent="0.3">
      <c r="A798" s="140" t="s">
        <v>1444</v>
      </c>
      <c r="B798" s="140">
        <v>1</v>
      </c>
      <c r="C798" s="166" t="s">
        <v>836</v>
      </c>
      <c r="D798" s="140" t="str">
        <f t="shared" si="86"/>
        <v>5</v>
      </c>
      <c r="E798" s="166" t="s">
        <v>1446</v>
      </c>
      <c r="F798" s="140">
        <f t="shared" si="88"/>
        <v>1</v>
      </c>
      <c r="G798" s="140" t="str">
        <f t="shared" si="87"/>
        <v>1.5.1</v>
      </c>
      <c r="H798" s="166" t="s">
        <v>1447</v>
      </c>
      <c r="I798" s="166" t="s">
        <v>1465</v>
      </c>
      <c r="J798" s="166" t="s">
        <v>1468</v>
      </c>
      <c r="K798" s="166" t="s">
        <v>1297</v>
      </c>
      <c r="L798" s="167">
        <v>8000</v>
      </c>
      <c r="M798" s="169"/>
      <c r="N798" s="166"/>
      <c r="O798" s="164">
        <f t="shared" si="89"/>
        <v>0</v>
      </c>
      <c r="P798" s="166"/>
      <c r="Q798" s="166"/>
      <c r="R798" s="164">
        <f>$L798*'Pivot Objective'!$C$9*P798*Q798</f>
        <v>0</v>
      </c>
      <c r="S798" s="169">
        <v>10</v>
      </c>
      <c r="T798" s="166">
        <v>1</v>
      </c>
      <c r="U798" s="164">
        <f>($L798*'Pivot Objective'!$C$9^2)*S798*T798</f>
        <v>104501.49071741465</v>
      </c>
      <c r="V798" s="169">
        <v>10</v>
      </c>
      <c r="W798" s="166">
        <v>1</v>
      </c>
      <c r="X798" s="164">
        <f>($L798*'Pivot Objective'!$C$9^3)*V798*W798</f>
        <v>119436.95840888287</v>
      </c>
      <c r="Y798" s="169">
        <v>10</v>
      </c>
      <c r="Z798" s="166">
        <v>1</v>
      </c>
      <c r="AA798" s="164">
        <f>($L798*'Pivot Objective'!$C$9^4)*Y798*Z798</f>
        <v>136507.01952702377</v>
      </c>
      <c r="AB798" s="169">
        <v>10</v>
      </c>
      <c r="AC798" s="166">
        <v>1</v>
      </c>
      <c r="AD798" s="164">
        <f>($L798*'Pivot Objective'!$C$9^5)*AB798*AC798</f>
        <v>156016.75250602642</v>
      </c>
      <c r="AE798" s="169">
        <v>10</v>
      </c>
      <c r="AF798" s="166">
        <v>1</v>
      </c>
      <c r="AG798" s="164">
        <f>($L798*'Pivot Objective'!$C$9^6)*AE798*AF798</f>
        <v>178314.83792456522</v>
      </c>
      <c r="AH798" s="169">
        <v>10</v>
      </c>
      <c r="AI798" s="166">
        <v>1</v>
      </c>
      <c r="AJ798" s="164">
        <f>($L798*'Pivot Objective'!$C$9^7)*AH798*AI798</f>
        <v>203799.79017212125</v>
      </c>
      <c r="AK798" s="185">
        <f t="shared" si="90"/>
        <v>898576.84925603413</v>
      </c>
      <c r="AL798" s="186">
        <f t="shared" si="91"/>
        <v>872.40470801556717</v>
      </c>
    </row>
    <row r="799" spans="1:38" customFormat="1" ht="86.4" x14ac:dyDescent="0.3">
      <c r="A799" s="140" t="s">
        <v>1444</v>
      </c>
      <c r="B799" s="140">
        <v>1</v>
      </c>
      <c r="C799" s="166" t="s">
        <v>836</v>
      </c>
      <c r="D799" s="140" t="str">
        <f t="shared" si="86"/>
        <v>5</v>
      </c>
      <c r="E799" s="166" t="s">
        <v>1446</v>
      </c>
      <c r="F799" s="140">
        <f t="shared" ref="F799:F830" si="92">IF(H799=H798,F798,F798+1)</f>
        <v>1</v>
      </c>
      <c r="G799" s="140" t="str">
        <f t="shared" si="87"/>
        <v>1.5.1</v>
      </c>
      <c r="H799" s="166" t="s">
        <v>1447</v>
      </c>
      <c r="I799" s="166" t="s">
        <v>1465</v>
      </c>
      <c r="J799" s="166" t="s">
        <v>1468</v>
      </c>
      <c r="K799" s="166" t="s">
        <v>710</v>
      </c>
      <c r="L799" s="167">
        <v>104850</v>
      </c>
      <c r="M799" s="169"/>
      <c r="N799" s="166"/>
      <c r="O799" s="164">
        <f t="shared" si="89"/>
        <v>0</v>
      </c>
      <c r="P799" s="166"/>
      <c r="Q799" s="166"/>
      <c r="R799" s="164">
        <f>$L799*'Pivot Objective'!$C$9*P799*Q799</f>
        <v>0</v>
      </c>
      <c r="S799" s="169">
        <v>1</v>
      </c>
      <c r="T799" s="166">
        <v>1</v>
      </c>
      <c r="U799" s="164">
        <f>($L799*'Pivot Objective'!$C$9^2)*S799*T799</f>
        <v>136962.26627151159</v>
      </c>
      <c r="V799" s="169">
        <v>1</v>
      </c>
      <c r="W799" s="166">
        <v>1</v>
      </c>
      <c r="X799" s="164">
        <f>($L799*'Pivot Objective'!$C$9^3)*V799*W799</f>
        <v>156537.0636146421</v>
      </c>
      <c r="Y799" s="169">
        <v>1</v>
      </c>
      <c r="Z799" s="166">
        <v>1</v>
      </c>
      <c r="AA799" s="164">
        <f>($L799*'Pivot Objective'!$C$9^4)*Y799*Z799</f>
        <v>178909.51246760553</v>
      </c>
      <c r="AB799" s="169">
        <v>1</v>
      </c>
      <c r="AC799" s="166">
        <v>1</v>
      </c>
      <c r="AD799" s="164">
        <f>($L799*'Pivot Objective'!$C$9^5)*AB799*AC799</f>
        <v>204479.45625321087</v>
      </c>
      <c r="AE799" s="169">
        <v>1</v>
      </c>
      <c r="AF799" s="166">
        <v>1</v>
      </c>
      <c r="AG799" s="164">
        <f>($L799*'Pivot Objective'!$C$9^6)*AE799*AF799</f>
        <v>233703.88445488326</v>
      </c>
      <c r="AH799" s="169">
        <v>1</v>
      </c>
      <c r="AI799" s="166">
        <v>1</v>
      </c>
      <c r="AJ799" s="164">
        <f>($L799*'Pivot Objective'!$C$9^7)*AH799*AI799</f>
        <v>267105.09999433643</v>
      </c>
      <c r="AK799" s="185">
        <f t="shared" si="90"/>
        <v>1177697.2830561898</v>
      </c>
      <c r="AL799" s="186">
        <f t="shared" si="91"/>
        <v>1143.3954204429026</v>
      </c>
    </row>
    <row r="800" spans="1:38" customFormat="1" ht="86.4" x14ac:dyDescent="0.3">
      <c r="A800" s="140" t="s">
        <v>1444</v>
      </c>
      <c r="B800" s="140">
        <v>1</v>
      </c>
      <c r="C800" s="166" t="s">
        <v>836</v>
      </c>
      <c r="D800" s="140" t="str">
        <f t="shared" si="86"/>
        <v>5</v>
      </c>
      <c r="E800" s="166" t="s">
        <v>1446</v>
      </c>
      <c r="F800" s="140">
        <f t="shared" si="92"/>
        <v>1</v>
      </c>
      <c r="G800" s="140" t="str">
        <f t="shared" si="87"/>
        <v>1.5.1</v>
      </c>
      <c r="H800" s="166" t="s">
        <v>1447</v>
      </c>
      <c r="I800" s="166" t="s">
        <v>1465</v>
      </c>
      <c r="J800" s="166" t="s">
        <v>1468</v>
      </c>
      <c r="K800" s="166" t="s">
        <v>712</v>
      </c>
      <c r="L800" s="167">
        <f>1480/7</f>
        <v>211.42857142857142</v>
      </c>
      <c r="M800" s="169"/>
      <c r="N800" s="166"/>
      <c r="O800" s="164">
        <f t="shared" si="89"/>
        <v>0</v>
      </c>
      <c r="P800" s="166"/>
      <c r="Q800" s="166"/>
      <c r="R800" s="164">
        <f>$L800*'Pivot Objective'!$C$9*P800*Q800</f>
        <v>0</v>
      </c>
      <c r="S800" s="169">
        <v>58</v>
      </c>
      <c r="T800" s="166">
        <v>10</v>
      </c>
      <c r="U800" s="164">
        <f>($L800*'Pivot Objective'!$C$9^2)*S800*T800</f>
        <v>160185.85648540847</v>
      </c>
      <c r="V800" s="169">
        <v>58</v>
      </c>
      <c r="W800" s="166">
        <v>10</v>
      </c>
      <c r="X800" s="164">
        <f>($L800*'Pivot Objective'!$C$9^3)*V800*W800</f>
        <v>183079.7948181876</v>
      </c>
      <c r="Y800" s="169">
        <v>58</v>
      </c>
      <c r="Z800" s="166">
        <v>10</v>
      </c>
      <c r="AA800" s="164">
        <f>($L800*'Pivot Objective'!$C$9^4)*Y800*Z800</f>
        <v>209245.75993213785</v>
      </c>
      <c r="AB800" s="169">
        <v>58</v>
      </c>
      <c r="AC800" s="166">
        <v>10</v>
      </c>
      <c r="AD800" s="164">
        <f>($L800*'Pivot Objective'!$C$9^5)*AB800*AC800</f>
        <v>239151.39348423763</v>
      </c>
      <c r="AE800" s="169">
        <v>58</v>
      </c>
      <c r="AF800" s="166">
        <v>10</v>
      </c>
      <c r="AG800" s="164">
        <f>($L800*'Pivot Objective'!$C$9^6)*AE800*AF800</f>
        <v>273331.17299008352</v>
      </c>
      <c r="AH800" s="169">
        <v>58</v>
      </c>
      <c r="AI800" s="166">
        <v>10</v>
      </c>
      <c r="AJ800" s="164">
        <f>($L800*'Pivot Objective'!$C$9^7)*AH800*AI800</f>
        <v>312395.96407812298</v>
      </c>
      <c r="AK800" s="185">
        <f t="shared" si="90"/>
        <v>1377389.9417881779</v>
      </c>
      <c r="AL800" s="186">
        <f t="shared" si="91"/>
        <v>1337.2717881438621</v>
      </c>
    </row>
    <row r="801" spans="1:38" customFormat="1" ht="86.4" x14ac:dyDescent="0.3">
      <c r="A801" s="140" t="s">
        <v>1444</v>
      </c>
      <c r="B801" s="140">
        <v>1</v>
      </c>
      <c r="C801" s="166" t="s">
        <v>836</v>
      </c>
      <c r="D801" s="140" t="str">
        <f t="shared" si="86"/>
        <v>5</v>
      </c>
      <c r="E801" s="166" t="s">
        <v>1446</v>
      </c>
      <c r="F801" s="140">
        <f t="shared" si="92"/>
        <v>1</v>
      </c>
      <c r="G801" s="140" t="str">
        <f t="shared" si="87"/>
        <v>1.5.1</v>
      </c>
      <c r="H801" s="166" t="s">
        <v>1447</v>
      </c>
      <c r="I801" s="166" t="s">
        <v>1465</v>
      </c>
      <c r="J801" s="166" t="s">
        <v>1468</v>
      </c>
      <c r="K801" s="166" t="s">
        <v>1299</v>
      </c>
      <c r="L801" s="167">
        <f>1480/7</f>
        <v>211.42857142857142</v>
      </c>
      <c r="M801" s="169"/>
      <c r="N801" s="166"/>
      <c r="O801" s="164">
        <f t="shared" si="89"/>
        <v>0</v>
      </c>
      <c r="P801" s="166"/>
      <c r="Q801" s="166"/>
      <c r="R801" s="164">
        <f>$L801*'Pivot Objective'!$C$9*P801*Q801</f>
        <v>0</v>
      </c>
      <c r="S801" s="169">
        <v>22500</v>
      </c>
      <c r="T801" s="166">
        <v>10</v>
      </c>
      <c r="U801" s="164">
        <f>($L801*'Pivot Objective'!$C$9^2)*S801*T801</f>
        <v>62141065.015891209</v>
      </c>
      <c r="V801" s="169">
        <v>22500</v>
      </c>
      <c r="W801" s="166">
        <v>10</v>
      </c>
      <c r="X801" s="164">
        <f>($L801*'Pivot Objective'!$C$9^3)*V801*W801</f>
        <v>71022334.196710706</v>
      </c>
      <c r="Y801" s="169">
        <v>22500</v>
      </c>
      <c r="Z801" s="166">
        <v>10</v>
      </c>
      <c r="AA801" s="164">
        <f>($L801*'Pivot Objective'!$C$9^4)*Y801*Z801</f>
        <v>81172924.111605197</v>
      </c>
      <c r="AB801" s="169">
        <v>22500</v>
      </c>
      <c r="AC801" s="166">
        <v>10</v>
      </c>
      <c r="AD801" s="164">
        <f>($L801*'Pivot Objective'!$C$9^5)*AB801*AC801</f>
        <v>92774247.47233355</v>
      </c>
      <c r="AE801" s="169">
        <v>22500</v>
      </c>
      <c r="AF801" s="166">
        <v>10</v>
      </c>
      <c r="AG801" s="164">
        <f>($L801*'Pivot Objective'!$C$9^6)*AE801*AF801</f>
        <v>106033644.69442895</v>
      </c>
      <c r="AH801" s="169">
        <v>22500</v>
      </c>
      <c r="AI801" s="166">
        <v>10</v>
      </c>
      <c r="AJ801" s="164">
        <f>($L801*'Pivot Objective'!$C$9^7)*AH801*AI801</f>
        <v>121188089.51306494</v>
      </c>
      <c r="AK801" s="185">
        <f t="shared" si="90"/>
        <v>534332305.00403458</v>
      </c>
      <c r="AL801" s="186">
        <f t="shared" si="91"/>
        <v>518769.22815925686</v>
      </c>
    </row>
    <row r="802" spans="1:38" customFormat="1" ht="86.4" x14ac:dyDescent="0.3">
      <c r="A802" s="140" t="s">
        <v>1444</v>
      </c>
      <c r="B802" s="140">
        <v>1</v>
      </c>
      <c r="C802" s="166" t="s">
        <v>836</v>
      </c>
      <c r="D802" s="140" t="str">
        <f t="shared" si="86"/>
        <v>5</v>
      </c>
      <c r="E802" s="166" t="s">
        <v>1446</v>
      </c>
      <c r="F802" s="140">
        <f t="shared" si="92"/>
        <v>1</v>
      </c>
      <c r="G802" s="140" t="str">
        <f t="shared" si="87"/>
        <v>1.5.1</v>
      </c>
      <c r="H802" s="166" t="s">
        <v>1447</v>
      </c>
      <c r="I802" s="166" t="s">
        <v>1469</v>
      </c>
      <c r="J802" s="143" t="s">
        <v>840</v>
      </c>
      <c r="K802" s="143" t="s">
        <v>841</v>
      </c>
      <c r="L802" s="144">
        <v>0</v>
      </c>
      <c r="M802" s="170"/>
      <c r="N802" s="145"/>
      <c r="O802" s="164">
        <f t="shared" si="89"/>
        <v>0</v>
      </c>
      <c r="P802" s="170">
        <v>0</v>
      </c>
      <c r="Q802" s="145">
        <v>0</v>
      </c>
      <c r="R802" s="164">
        <f>$L802*'Pivot Objective'!$C$9*P802*Q802</f>
        <v>0</v>
      </c>
      <c r="S802" s="166"/>
      <c r="T802" s="166"/>
      <c r="U802" s="164">
        <f>($L802*'Pivot Objective'!$C$9^2)*S802*T802</f>
        <v>0</v>
      </c>
      <c r="V802" s="166"/>
      <c r="W802" s="166"/>
      <c r="X802" s="164">
        <f>($L802*'Pivot Objective'!$C$9^3)*V802*W802</f>
        <v>0</v>
      </c>
      <c r="Y802" s="166"/>
      <c r="Z802" s="166"/>
      <c r="AA802" s="164">
        <f>($L802*'Pivot Objective'!$C$9^4)*Y802*Z802</f>
        <v>0</v>
      </c>
      <c r="AB802" s="170">
        <v>0</v>
      </c>
      <c r="AC802" s="145">
        <v>0</v>
      </c>
      <c r="AD802" s="164">
        <f>($L802*'Pivot Objective'!$C$9^5)*AB802*AC802</f>
        <v>0</v>
      </c>
      <c r="AE802" s="140"/>
      <c r="AF802" s="140"/>
      <c r="AG802" s="164">
        <f>($L802*'Pivot Objective'!$C$9^6)*AE802*AF802</f>
        <v>0</v>
      </c>
      <c r="AH802" s="140"/>
      <c r="AI802" s="140"/>
      <c r="AJ802" s="164">
        <f>($L802*'Pivot Objective'!$C$9^7)*AH802*AI802</f>
        <v>0</v>
      </c>
      <c r="AK802" s="185">
        <f t="shared" si="90"/>
        <v>0</v>
      </c>
      <c r="AL802" s="186">
        <f t="shared" si="91"/>
        <v>0</v>
      </c>
    </row>
    <row r="803" spans="1:38" customFormat="1" ht="86.4" x14ac:dyDescent="0.3">
      <c r="A803" s="140" t="s">
        <v>1444</v>
      </c>
      <c r="B803" s="140">
        <v>1</v>
      </c>
      <c r="C803" s="166" t="s">
        <v>836</v>
      </c>
      <c r="D803" s="140" t="str">
        <f t="shared" si="86"/>
        <v>5</v>
      </c>
      <c r="E803" s="166" t="s">
        <v>1446</v>
      </c>
      <c r="F803" s="140">
        <f t="shared" si="92"/>
        <v>1</v>
      </c>
      <c r="G803" s="140" t="str">
        <f t="shared" si="87"/>
        <v>1.5.1</v>
      </c>
      <c r="H803" s="166" t="s">
        <v>1447</v>
      </c>
      <c r="I803" s="166" t="s">
        <v>1469</v>
      </c>
      <c r="J803" s="143" t="s">
        <v>842</v>
      </c>
      <c r="K803" s="143" t="s">
        <v>841</v>
      </c>
      <c r="L803" s="144">
        <v>0</v>
      </c>
      <c r="M803" s="170"/>
      <c r="N803" s="145"/>
      <c r="O803" s="164">
        <f t="shared" si="89"/>
        <v>0</v>
      </c>
      <c r="P803" s="170">
        <v>0</v>
      </c>
      <c r="Q803" s="145">
        <v>0</v>
      </c>
      <c r="R803" s="164">
        <f>$L803*'Pivot Objective'!$C$9*P803*Q803</f>
        <v>0</v>
      </c>
      <c r="S803" s="166"/>
      <c r="T803" s="166"/>
      <c r="U803" s="164">
        <f>($L803*'Pivot Objective'!$C$9^2)*S803*T803</f>
        <v>0</v>
      </c>
      <c r="V803" s="166"/>
      <c r="W803" s="166"/>
      <c r="X803" s="164">
        <f>($L803*'Pivot Objective'!$C$9^3)*V803*W803</f>
        <v>0</v>
      </c>
      <c r="Y803" s="166"/>
      <c r="Z803" s="166"/>
      <c r="AA803" s="164">
        <f>($L803*'Pivot Objective'!$C$9^4)*Y803*Z803</f>
        <v>0</v>
      </c>
      <c r="AB803" s="170">
        <v>0</v>
      </c>
      <c r="AC803" s="145">
        <v>0</v>
      </c>
      <c r="AD803" s="164">
        <f>($L803*'Pivot Objective'!$C$9^5)*AB803*AC803</f>
        <v>0</v>
      </c>
      <c r="AE803" s="140"/>
      <c r="AF803" s="140"/>
      <c r="AG803" s="164">
        <f>($L803*'Pivot Objective'!$C$9^6)*AE803*AF803</f>
        <v>0</v>
      </c>
      <c r="AH803" s="140"/>
      <c r="AI803" s="140"/>
      <c r="AJ803" s="164">
        <f>($L803*'Pivot Objective'!$C$9^7)*AH803*AI803</f>
        <v>0</v>
      </c>
      <c r="AK803" s="185">
        <f t="shared" si="90"/>
        <v>0</v>
      </c>
      <c r="AL803" s="186">
        <f t="shared" si="91"/>
        <v>0</v>
      </c>
    </row>
    <row r="804" spans="1:38" customFormat="1" ht="86.4" x14ac:dyDescent="0.3">
      <c r="A804" s="140" t="s">
        <v>1444</v>
      </c>
      <c r="B804" s="140">
        <v>1</v>
      </c>
      <c r="C804" s="166" t="s">
        <v>836</v>
      </c>
      <c r="D804" s="140" t="str">
        <f t="shared" si="86"/>
        <v>5</v>
      </c>
      <c r="E804" s="166" t="s">
        <v>1446</v>
      </c>
      <c r="F804" s="140">
        <f t="shared" si="92"/>
        <v>1</v>
      </c>
      <c r="G804" s="140" t="str">
        <f t="shared" si="87"/>
        <v>1.5.1</v>
      </c>
      <c r="H804" s="166" t="s">
        <v>1447</v>
      </c>
      <c r="I804" s="166" t="s">
        <v>1469</v>
      </c>
      <c r="J804" s="143" t="s">
        <v>843</v>
      </c>
      <c r="K804" s="143" t="s">
        <v>709</v>
      </c>
      <c r="L804" s="144">
        <v>35000</v>
      </c>
      <c r="M804" s="170"/>
      <c r="N804" s="145"/>
      <c r="O804" s="164">
        <f t="shared" si="89"/>
        <v>0</v>
      </c>
      <c r="P804" s="170">
        <v>10</v>
      </c>
      <c r="Q804" s="145">
        <v>2</v>
      </c>
      <c r="R804" s="164">
        <f>$L804*'Pivot Objective'!$C$9*P804*Q804</f>
        <v>800044.76789999986</v>
      </c>
      <c r="S804" s="166"/>
      <c r="T804" s="166"/>
      <c r="U804" s="164">
        <f>($L804*'Pivot Objective'!$C$9^2)*S804*T804</f>
        <v>0</v>
      </c>
      <c r="V804" s="166"/>
      <c r="W804" s="166"/>
      <c r="X804" s="164">
        <f>($L804*'Pivot Objective'!$C$9^3)*V804*W804</f>
        <v>0</v>
      </c>
      <c r="Y804" s="166"/>
      <c r="Z804" s="166"/>
      <c r="AA804" s="164">
        <f>($L804*'Pivot Objective'!$C$9^4)*Y804*Z804</f>
        <v>0</v>
      </c>
      <c r="AB804" s="170">
        <v>10</v>
      </c>
      <c r="AC804" s="145">
        <v>2</v>
      </c>
      <c r="AD804" s="164">
        <f>($L804*'Pivot Objective'!$C$9^5)*AB804*AC804</f>
        <v>1365146.5844277311</v>
      </c>
      <c r="AE804" s="140"/>
      <c r="AF804" s="140"/>
      <c r="AG804" s="164">
        <f>($L804*'Pivot Objective'!$C$9^6)*AE804*AF804</f>
        <v>0</v>
      </c>
      <c r="AH804" s="140"/>
      <c r="AI804" s="140"/>
      <c r="AJ804" s="164">
        <f>($L804*'Pivot Objective'!$C$9^7)*AH804*AI804</f>
        <v>0</v>
      </c>
      <c r="AK804" s="185">
        <f t="shared" si="90"/>
        <v>2165191.352327731</v>
      </c>
      <c r="AL804" s="186">
        <f t="shared" si="91"/>
        <v>2102.1275265317777</v>
      </c>
    </row>
    <row r="805" spans="1:38" customFormat="1" ht="86.4" x14ac:dyDescent="0.3">
      <c r="A805" s="140" t="s">
        <v>1444</v>
      </c>
      <c r="B805" s="140">
        <v>1</v>
      </c>
      <c r="C805" s="166" t="s">
        <v>836</v>
      </c>
      <c r="D805" s="140" t="str">
        <f t="shared" si="86"/>
        <v>5</v>
      </c>
      <c r="E805" s="166" t="s">
        <v>1446</v>
      </c>
      <c r="F805" s="140">
        <f t="shared" si="92"/>
        <v>1</v>
      </c>
      <c r="G805" s="140" t="str">
        <f t="shared" si="87"/>
        <v>1.5.1</v>
      </c>
      <c r="H805" s="166" t="s">
        <v>1447</v>
      </c>
      <c r="I805" s="166" t="s">
        <v>1469</v>
      </c>
      <c r="J805" s="143" t="s">
        <v>149</v>
      </c>
      <c r="K805" s="143" t="s">
        <v>707</v>
      </c>
      <c r="L805" s="144">
        <v>391991.03749999998</v>
      </c>
      <c r="M805" s="170"/>
      <c r="N805" s="145"/>
      <c r="O805" s="164">
        <f t="shared" si="89"/>
        <v>0</v>
      </c>
      <c r="P805" s="170">
        <v>2</v>
      </c>
      <c r="Q805" s="145">
        <v>2</v>
      </c>
      <c r="R805" s="164">
        <f>$L805*'Pivot Objective'!$C$9*P805*Q805</f>
        <v>1792059.3063746723</v>
      </c>
      <c r="S805" s="166"/>
      <c r="T805" s="166"/>
      <c r="U805" s="164">
        <f>($L805*'Pivot Objective'!$C$9^2)*S805*T805</f>
        <v>0</v>
      </c>
      <c r="V805" s="166"/>
      <c r="W805" s="166"/>
      <c r="X805" s="164">
        <f>($L805*'Pivot Objective'!$C$9^3)*V805*W805</f>
        <v>0</v>
      </c>
      <c r="Y805" s="166"/>
      <c r="Z805" s="166"/>
      <c r="AA805" s="164">
        <f>($L805*'Pivot Objective'!$C$9^4)*Y805*Z805</f>
        <v>0</v>
      </c>
      <c r="AB805" s="170">
        <v>2</v>
      </c>
      <c r="AC805" s="145">
        <v>2</v>
      </c>
      <c r="AD805" s="164">
        <f>($L805*'Pivot Objective'!$C$9^5)*AB805*AC805</f>
        <v>3057858.4341109009</v>
      </c>
      <c r="AE805" s="140"/>
      <c r="AF805" s="140"/>
      <c r="AG805" s="164">
        <f>($L805*'Pivot Objective'!$C$9^6)*AE805*AF805</f>
        <v>0</v>
      </c>
      <c r="AH805" s="140"/>
      <c r="AI805" s="140"/>
      <c r="AJ805" s="164">
        <f>($L805*'Pivot Objective'!$C$9^7)*AH805*AI805</f>
        <v>0</v>
      </c>
      <c r="AK805" s="185">
        <f t="shared" si="90"/>
        <v>4849917.7404855732</v>
      </c>
      <c r="AL805" s="186">
        <f t="shared" si="91"/>
        <v>4708.6580004714306</v>
      </c>
    </row>
    <row r="806" spans="1:38" customFormat="1" ht="86.4" x14ac:dyDescent="0.3">
      <c r="A806" s="140" t="s">
        <v>1444</v>
      </c>
      <c r="B806" s="140">
        <v>1</v>
      </c>
      <c r="C806" s="166" t="s">
        <v>836</v>
      </c>
      <c r="D806" s="140" t="str">
        <f t="shared" si="86"/>
        <v>5</v>
      </c>
      <c r="E806" s="166" t="s">
        <v>1446</v>
      </c>
      <c r="F806" s="140">
        <f t="shared" si="92"/>
        <v>1</v>
      </c>
      <c r="G806" s="140" t="str">
        <f t="shared" si="87"/>
        <v>1.5.1</v>
      </c>
      <c r="H806" s="166" t="s">
        <v>1447</v>
      </c>
      <c r="I806" s="166" t="s">
        <v>1469</v>
      </c>
      <c r="J806" s="143" t="s">
        <v>149</v>
      </c>
      <c r="K806" s="143" t="s">
        <v>708</v>
      </c>
      <c r="L806" s="144">
        <f>500*1022</f>
        <v>511000</v>
      </c>
      <c r="M806" s="170"/>
      <c r="N806" s="145"/>
      <c r="O806" s="164">
        <f t="shared" si="89"/>
        <v>0</v>
      </c>
      <c r="P806" s="170">
        <v>1</v>
      </c>
      <c r="Q806" s="145">
        <v>25</v>
      </c>
      <c r="R806" s="164">
        <f>$L806*'Pivot Objective'!$C$9*P806*Q806</f>
        <v>14600817.014174998</v>
      </c>
      <c r="S806" s="166"/>
      <c r="T806" s="166"/>
      <c r="U806" s="164">
        <f>($L806*'Pivot Objective'!$C$9^2)*S806*T806</f>
        <v>0</v>
      </c>
      <c r="V806" s="166"/>
      <c r="W806" s="166"/>
      <c r="X806" s="164">
        <f>($L806*'Pivot Objective'!$C$9^3)*V806*W806</f>
        <v>0</v>
      </c>
      <c r="Y806" s="166"/>
      <c r="Z806" s="166"/>
      <c r="AA806" s="164">
        <f>($L806*'Pivot Objective'!$C$9^4)*Y806*Z806</f>
        <v>0</v>
      </c>
      <c r="AB806" s="170">
        <v>1</v>
      </c>
      <c r="AC806" s="145">
        <v>25</v>
      </c>
      <c r="AD806" s="164">
        <f>($L806*'Pivot Objective'!$C$9^5)*AB806*AC806</f>
        <v>24913925.165806092</v>
      </c>
      <c r="AE806" s="140"/>
      <c r="AF806" s="140"/>
      <c r="AG806" s="164">
        <f>($L806*'Pivot Objective'!$C$9^6)*AE806*AF806</f>
        <v>0</v>
      </c>
      <c r="AH806" s="140"/>
      <c r="AI806" s="140"/>
      <c r="AJ806" s="164">
        <f>($L806*'Pivot Objective'!$C$9^7)*AH806*AI806</f>
        <v>0</v>
      </c>
      <c r="AK806" s="185">
        <f t="shared" si="90"/>
        <v>39514742.17998109</v>
      </c>
      <c r="AL806" s="186">
        <f t="shared" si="91"/>
        <v>38363.827359204945</v>
      </c>
    </row>
    <row r="807" spans="1:38" customFormat="1" ht="86.4" x14ac:dyDescent="0.3">
      <c r="A807" s="140" t="s">
        <v>1444</v>
      </c>
      <c r="B807" s="140">
        <v>1</v>
      </c>
      <c r="C807" s="166" t="s">
        <v>836</v>
      </c>
      <c r="D807" s="140" t="str">
        <f t="shared" si="86"/>
        <v>5</v>
      </c>
      <c r="E807" s="166" t="s">
        <v>1446</v>
      </c>
      <c r="F807" s="140">
        <f t="shared" si="92"/>
        <v>1</v>
      </c>
      <c r="G807" s="140" t="str">
        <f t="shared" si="87"/>
        <v>1.5.1</v>
      </c>
      <c r="H807" s="166" t="s">
        <v>1447</v>
      </c>
      <c r="I807" s="166" t="s">
        <v>1469</v>
      </c>
      <c r="J807" s="143" t="s">
        <v>150</v>
      </c>
      <c r="K807" s="143" t="s">
        <v>841</v>
      </c>
      <c r="L807" s="144">
        <v>0</v>
      </c>
      <c r="M807" s="170"/>
      <c r="N807" s="145"/>
      <c r="O807" s="164">
        <f t="shared" si="89"/>
        <v>0</v>
      </c>
      <c r="P807" s="170">
        <v>0</v>
      </c>
      <c r="Q807" s="145">
        <v>0</v>
      </c>
      <c r="R807" s="164">
        <f>$L807*'Pivot Objective'!$C$9*P807*Q807</f>
        <v>0</v>
      </c>
      <c r="S807" s="166"/>
      <c r="T807" s="166"/>
      <c r="U807" s="164">
        <f>($L807*'Pivot Objective'!$C$9^2)*S807*T807</f>
        <v>0</v>
      </c>
      <c r="V807" s="166"/>
      <c r="W807" s="166"/>
      <c r="X807" s="164">
        <f>($L807*'Pivot Objective'!$C$9^3)*V807*W807</f>
        <v>0</v>
      </c>
      <c r="Y807" s="166"/>
      <c r="Z807" s="166"/>
      <c r="AA807" s="164">
        <f>($L807*'Pivot Objective'!$C$9^4)*Y807*Z807</f>
        <v>0</v>
      </c>
      <c r="AB807" s="170">
        <v>0</v>
      </c>
      <c r="AC807" s="145">
        <v>0</v>
      </c>
      <c r="AD807" s="164">
        <f>($L807*'Pivot Objective'!$C$9^5)*AB807*AC807</f>
        <v>0</v>
      </c>
      <c r="AE807" s="140"/>
      <c r="AF807" s="140"/>
      <c r="AG807" s="164">
        <f>($L807*'Pivot Objective'!$C$9^6)*AE807*AF807</f>
        <v>0</v>
      </c>
      <c r="AH807" s="140"/>
      <c r="AI807" s="140"/>
      <c r="AJ807" s="164">
        <f>($L807*'Pivot Objective'!$C$9^7)*AH807*AI807</f>
        <v>0</v>
      </c>
      <c r="AK807" s="185">
        <f t="shared" si="90"/>
        <v>0</v>
      </c>
      <c r="AL807" s="186">
        <f t="shared" si="91"/>
        <v>0</v>
      </c>
    </row>
    <row r="808" spans="1:38" customFormat="1" ht="86.4" x14ac:dyDescent="0.3">
      <c r="A808" s="140" t="s">
        <v>1444</v>
      </c>
      <c r="B808" s="140">
        <v>1</v>
      </c>
      <c r="C808" s="166" t="s">
        <v>836</v>
      </c>
      <c r="D808" s="140" t="str">
        <f t="shared" si="86"/>
        <v>5</v>
      </c>
      <c r="E808" s="166" t="s">
        <v>1446</v>
      </c>
      <c r="F808" s="140">
        <f t="shared" si="92"/>
        <v>1</v>
      </c>
      <c r="G808" s="140" t="str">
        <f t="shared" si="87"/>
        <v>1.5.1</v>
      </c>
      <c r="H808" s="166" t="s">
        <v>1447</v>
      </c>
      <c r="I808" s="166" t="s">
        <v>1469</v>
      </c>
      <c r="J808" s="143" t="s">
        <v>1304</v>
      </c>
      <c r="K808" s="143" t="s">
        <v>709</v>
      </c>
      <c r="L808" s="144">
        <v>35000</v>
      </c>
      <c r="M808" s="170"/>
      <c r="N808" s="145"/>
      <c r="O808" s="164">
        <f t="shared" si="89"/>
        <v>0</v>
      </c>
      <c r="P808" s="170">
        <v>26</v>
      </c>
      <c r="Q808" s="145">
        <v>5</v>
      </c>
      <c r="R808" s="164">
        <f>$L808*'Pivot Objective'!$C$9*P808*Q808</f>
        <v>5200290.9913499989</v>
      </c>
      <c r="S808" s="166"/>
      <c r="T808" s="166"/>
      <c r="U808" s="164">
        <f>($L808*'Pivot Objective'!$C$9^2)*S808*T808</f>
        <v>0</v>
      </c>
      <c r="V808" s="166"/>
      <c r="W808" s="166"/>
      <c r="X808" s="164">
        <f>($L808*'Pivot Objective'!$C$9^3)*V808*W808</f>
        <v>0</v>
      </c>
      <c r="Y808" s="166"/>
      <c r="Z808" s="166"/>
      <c r="AA808" s="164">
        <f>($L808*'Pivot Objective'!$C$9^4)*Y808*Z808</f>
        <v>0</v>
      </c>
      <c r="AB808" s="170">
        <v>26</v>
      </c>
      <c r="AC808" s="145">
        <v>5</v>
      </c>
      <c r="AD808" s="164">
        <f>($L808*'Pivot Objective'!$C$9^5)*AB808*AC808</f>
        <v>8873452.7987802513</v>
      </c>
      <c r="AE808" s="140"/>
      <c r="AF808" s="140"/>
      <c r="AG808" s="164">
        <f>($L808*'Pivot Objective'!$C$9^6)*AE808*AF808</f>
        <v>0</v>
      </c>
      <c r="AH808" s="140"/>
      <c r="AI808" s="140"/>
      <c r="AJ808" s="164">
        <f>($L808*'Pivot Objective'!$C$9^7)*AH808*AI808</f>
        <v>0</v>
      </c>
      <c r="AK808" s="185">
        <f t="shared" si="90"/>
        <v>14073743.79013025</v>
      </c>
      <c r="AL808" s="186">
        <f t="shared" si="91"/>
        <v>13663.828922456554</v>
      </c>
    </row>
    <row r="809" spans="1:38" customFormat="1" ht="86.4" x14ac:dyDescent="0.3">
      <c r="A809" s="140" t="s">
        <v>1444</v>
      </c>
      <c r="B809" s="140">
        <v>1</v>
      </c>
      <c r="C809" s="166" t="s">
        <v>836</v>
      </c>
      <c r="D809" s="140" t="str">
        <f t="shared" si="86"/>
        <v>5</v>
      </c>
      <c r="E809" s="166" t="s">
        <v>1446</v>
      </c>
      <c r="F809" s="140">
        <f t="shared" si="92"/>
        <v>1</v>
      </c>
      <c r="G809" s="140" t="str">
        <f t="shared" si="87"/>
        <v>1.5.1</v>
      </c>
      <c r="H809" s="166" t="s">
        <v>1447</v>
      </c>
      <c r="I809" s="166" t="s">
        <v>1469</v>
      </c>
      <c r="J809" s="143" t="s">
        <v>1304</v>
      </c>
      <c r="K809" s="143" t="s">
        <v>716</v>
      </c>
      <c r="L809" s="144">
        <v>39000</v>
      </c>
      <c r="M809" s="170"/>
      <c r="N809" s="145"/>
      <c r="O809" s="164">
        <f t="shared" si="89"/>
        <v>0</v>
      </c>
      <c r="P809" s="170">
        <v>26</v>
      </c>
      <c r="Q809" s="145">
        <v>6</v>
      </c>
      <c r="R809" s="164">
        <f>$L809*'Pivot Objective'!$C$9*P809*Q809</f>
        <v>6953531.9541479982</v>
      </c>
      <c r="S809" s="166"/>
      <c r="T809" s="166"/>
      <c r="U809" s="164">
        <f>($L809*'Pivot Objective'!$C$9^2)*S809*T809</f>
        <v>0</v>
      </c>
      <c r="V809" s="166"/>
      <c r="W809" s="166"/>
      <c r="X809" s="164">
        <f>($L809*'Pivot Objective'!$C$9^3)*V809*W809</f>
        <v>0</v>
      </c>
      <c r="Y809" s="166"/>
      <c r="Z809" s="166"/>
      <c r="AA809" s="164">
        <f>($L809*'Pivot Objective'!$C$9^4)*Y809*Z809</f>
        <v>0</v>
      </c>
      <c r="AB809" s="170">
        <v>26</v>
      </c>
      <c r="AC809" s="145">
        <v>6</v>
      </c>
      <c r="AD809" s="164">
        <f>($L809*'Pivot Objective'!$C$9^5)*AB809*AC809</f>
        <v>11865074.02808331</v>
      </c>
      <c r="AE809" s="140"/>
      <c r="AF809" s="140"/>
      <c r="AG809" s="164">
        <f>($L809*'Pivot Objective'!$C$9^6)*AE809*AF809</f>
        <v>0</v>
      </c>
      <c r="AH809" s="140"/>
      <c r="AI809" s="140"/>
      <c r="AJ809" s="164">
        <f>($L809*'Pivot Objective'!$C$9^7)*AH809*AI809</f>
        <v>0</v>
      </c>
      <c r="AK809" s="185">
        <f t="shared" si="90"/>
        <v>18818605.982231308</v>
      </c>
      <c r="AL809" s="186">
        <f t="shared" si="91"/>
        <v>18270.491244884764</v>
      </c>
    </row>
    <row r="810" spans="1:38" customFormat="1" ht="86.4" x14ac:dyDescent="0.3">
      <c r="A810" s="140" t="s">
        <v>1444</v>
      </c>
      <c r="B810" s="140">
        <v>1</v>
      </c>
      <c r="C810" s="166" t="s">
        <v>836</v>
      </c>
      <c r="D810" s="140" t="str">
        <f t="shared" si="86"/>
        <v>5</v>
      </c>
      <c r="E810" s="166" t="s">
        <v>1446</v>
      </c>
      <c r="F810" s="140">
        <f t="shared" si="92"/>
        <v>1</v>
      </c>
      <c r="G810" s="140" t="str">
        <f t="shared" si="87"/>
        <v>1.5.1</v>
      </c>
      <c r="H810" s="166" t="s">
        <v>1447</v>
      </c>
      <c r="I810" s="166" t="s">
        <v>1469</v>
      </c>
      <c r="J810" s="143" t="s">
        <v>1304</v>
      </c>
      <c r="K810" s="143" t="s">
        <v>1306</v>
      </c>
      <c r="L810" s="144">
        <v>211.43</v>
      </c>
      <c r="M810" s="170"/>
      <c r="N810" s="145"/>
      <c r="O810" s="164">
        <f t="shared" si="89"/>
        <v>0</v>
      </c>
      <c r="P810" s="170">
        <f>135*2*9</f>
        <v>2430</v>
      </c>
      <c r="Q810" s="145">
        <v>1</v>
      </c>
      <c r="R810" s="164">
        <f>$L810*'Pivot Objective'!$C$9*P810*Q810</f>
        <v>587204.17231906531</v>
      </c>
      <c r="S810" s="166"/>
      <c r="T810" s="166"/>
      <c r="U810" s="164">
        <f>($L810*'Pivot Objective'!$C$9^2)*S810*T810</f>
        <v>0</v>
      </c>
      <c r="V810" s="166"/>
      <c r="W810" s="166"/>
      <c r="X810" s="164">
        <f>($L810*'Pivot Objective'!$C$9^3)*V810*W810</f>
        <v>0</v>
      </c>
      <c r="Y810" s="166"/>
      <c r="Z810" s="166"/>
      <c r="AA810" s="164">
        <f>($L810*'Pivot Objective'!$C$9^4)*Y810*Z810</f>
        <v>0</v>
      </c>
      <c r="AB810" s="170">
        <f>135*2*9</f>
        <v>2430</v>
      </c>
      <c r="AC810" s="145">
        <v>1</v>
      </c>
      <c r="AD810" s="164">
        <f>($L810*'Pivot Objective'!$C$9^5)*AB810*AC810</f>
        <v>1001968.642713856</v>
      </c>
      <c r="AE810" s="140"/>
      <c r="AF810" s="140"/>
      <c r="AG810" s="164">
        <f>($L810*'Pivot Objective'!$C$9^6)*AE810*AF810</f>
        <v>0</v>
      </c>
      <c r="AH810" s="140"/>
      <c r="AI810" s="140"/>
      <c r="AJ810" s="164">
        <f>($L810*'Pivot Objective'!$C$9^7)*AH810*AI810</f>
        <v>0</v>
      </c>
      <c r="AK810" s="185">
        <f t="shared" si="90"/>
        <v>1589172.8150329213</v>
      </c>
      <c r="AL810" s="186">
        <f t="shared" si="91"/>
        <v>1542.8862281873021</v>
      </c>
    </row>
    <row r="811" spans="1:38" customFormat="1" ht="86.4" x14ac:dyDescent="0.3">
      <c r="A811" s="140" t="s">
        <v>1444</v>
      </c>
      <c r="B811" s="140">
        <v>1</v>
      </c>
      <c r="C811" s="166" t="s">
        <v>836</v>
      </c>
      <c r="D811" s="140" t="str">
        <f t="shared" si="86"/>
        <v>5</v>
      </c>
      <c r="E811" s="166" t="s">
        <v>1446</v>
      </c>
      <c r="F811" s="140">
        <f t="shared" si="92"/>
        <v>1</v>
      </c>
      <c r="G811" s="140" t="str">
        <f t="shared" si="87"/>
        <v>1.5.1</v>
      </c>
      <c r="H811" s="166" t="s">
        <v>1447</v>
      </c>
      <c r="I811" s="166" t="s">
        <v>1469</v>
      </c>
      <c r="J811" s="143" t="s">
        <v>1304</v>
      </c>
      <c r="K811" s="143" t="s">
        <v>1307</v>
      </c>
      <c r="L811" s="144">
        <f>1480/7</f>
        <v>211.42857142857142</v>
      </c>
      <c r="M811" s="170"/>
      <c r="N811" s="145"/>
      <c r="O811" s="164">
        <f t="shared" si="89"/>
        <v>0</v>
      </c>
      <c r="P811" s="170">
        <f>25*9*2</f>
        <v>450</v>
      </c>
      <c r="Q811" s="145">
        <v>5</v>
      </c>
      <c r="R811" s="164">
        <f>$L811*'Pivot Objective'!$C$9*P811*Q811</f>
        <v>543703.89328714274</v>
      </c>
      <c r="S811" s="166"/>
      <c r="T811" s="166"/>
      <c r="U811" s="164">
        <f>($L811*'Pivot Objective'!$C$9^2)*S811*T811</f>
        <v>0</v>
      </c>
      <c r="V811" s="166"/>
      <c r="W811" s="166"/>
      <c r="X811" s="164">
        <f>($L811*'Pivot Objective'!$C$9^3)*V811*W811</f>
        <v>0</v>
      </c>
      <c r="Y811" s="166"/>
      <c r="Z811" s="166"/>
      <c r="AA811" s="164">
        <f>($L811*'Pivot Objective'!$C$9^4)*Y811*Z811</f>
        <v>0</v>
      </c>
      <c r="AB811" s="170">
        <f>25*9*2</f>
        <v>450</v>
      </c>
      <c r="AC811" s="145">
        <v>5</v>
      </c>
      <c r="AD811" s="164">
        <f>($L811*'Pivot Objective'!$C$9^5)*AB811*AC811</f>
        <v>927742.47472333559</v>
      </c>
      <c r="AE811" s="140"/>
      <c r="AF811" s="140"/>
      <c r="AG811" s="164">
        <f>($L811*'Pivot Objective'!$C$9^6)*AE811*AF811</f>
        <v>0</v>
      </c>
      <c r="AH811" s="140"/>
      <c r="AI811" s="140"/>
      <c r="AJ811" s="164">
        <f>($L811*'Pivot Objective'!$C$9^7)*AH811*AI811</f>
        <v>0</v>
      </c>
      <c r="AK811" s="185">
        <f t="shared" si="90"/>
        <v>1471446.3680104783</v>
      </c>
      <c r="AL811" s="186">
        <f t="shared" si="91"/>
        <v>1428.5887068062896</v>
      </c>
    </row>
    <row r="812" spans="1:38" customFormat="1" ht="86.4" x14ac:dyDescent="0.3">
      <c r="A812" s="140" t="s">
        <v>1444</v>
      </c>
      <c r="B812" s="140">
        <v>1</v>
      </c>
      <c r="C812" s="166" t="s">
        <v>836</v>
      </c>
      <c r="D812" s="140" t="str">
        <f t="shared" si="86"/>
        <v>5</v>
      </c>
      <c r="E812" s="166" t="s">
        <v>1446</v>
      </c>
      <c r="F812" s="140">
        <f t="shared" si="92"/>
        <v>1</v>
      </c>
      <c r="G812" s="140" t="str">
        <f t="shared" si="87"/>
        <v>1.5.1</v>
      </c>
      <c r="H812" s="166" t="s">
        <v>1447</v>
      </c>
      <c r="I812" s="166" t="s">
        <v>1469</v>
      </c>
      <c r="J812" s="143" t="s">
        <v>1305</v>
      </c>
      <c r="K812" s="143" t="s">
        <v>710</v>
      </c>
      <c r="L812" s="144">
        <v>104850</v>
      </c>
      <c r="M812" s="170"/>
      <c r="N812" s="145"/>
      <c r="O812" s="164">
        <f t="shared" si="89"/>
        <v>0</v>
      </c>
      <c r="P812" s="170">
        <v>1</v>
      </c>
      <c r="Q812" s="145">
        <v>1</v>
      </c>
      <c r="R812" s="164">
        <f>$L812*'Pivot Objective'!$C$9*P812*Q812</f>
        <v>119835.27702044998</v>
      </c>
      <c r="S812" s="166"/>
      <c r="T812" s="166"/>
      <c r="U812" s="164">
        <f>($L812*'Pivot Objective'!$C$9^2)*S812*T812</f>
        <v>0</v>
      </c>
      <c r="V812" s="166"/>
      <c r="W812" s="166"/>
      <c r="X812" s="164">
        <f>($L812*'Pivot Objective'!$C$9^3)*V812*W812</f>
        <v>0</v>
      </c>
      <c r="Y812" s="166"/>
      <c r="Z812" s="166"/>
      <c r="AA812" s="164">
        <f>($L812*'Pivot Objective'!$C$9^4)*Y812*Z812</f>
        <v>0</v>
      </c>
      <c r="AB812" s="170">
        <v>1</v>
      </c>
      <c r="AC812" s="145">
        <v>1</v>
      </c>
      <c r="AD812" s="164">
        <f>($L812*'Pivot Objective'!$C$9^5)*AB812*AC812</f>
        <v>204479.45625321087</v>
      </c>
      <c r="AE812" s="140"/>
      <c r="AF812" s="140"/>
      <c r="AG812" s="164">
        <f>($L812*'Pivot Objective'!$C$9^6)*AE812*AF812</f>
        <v>0</v>
      </c>
      <c r="AH812" s="140"/>
      <c r="AI812" s="140"/>
      <c r="AJ812" s="164">
        <f>($L812*'Pivot Objective'!$C$9^7)*AH812*AI812</f>
        <v>0</v>
      </c>
      <c r="AK812" s="185">
        <f t="shared" si="90"/>
        <v>324314.73327366088</v>
      </c>
      <c r="AL812" s="186">
        <f t="shared" si="91"/>
        <v>314.86867308122413</v>
      </c>
    </row>
    <row r="813" spans="1:38" customFormat="1" ht="86.4" x14ac:dyDescent="0.3">
      <c r="A813" s="140" t="s">
        <v>1444</v>
      </c>
      <c r="B813" s="140">
        <v>1</v>
      </c>
      <c r="C813" s="166" t="s">
        <v>836</v>
      </c>
      <c r="D813" s="140" t="str">
        <f t="shared" si="86"/>
        <v>5</v>
      </c>
      <c r="E813" s="166" t="s">
        <v>1446</v>
      </c>
      <c r="F813" s="140">
        <f t="shared" si="92"/>
        <v>1</v>
      </c>
      <c r="G813" s="140" t="str">
        <f t="shared" si="87"/>
        <v>1.5.1</v>
      </c>
      <c r="H813" s="166" t="s">
        <v>1447</v>
      </c>
      <c r="I813" s="166" t="s">
        <v>1469</v>
      </c>
      <c r="J813" s="143" t="s">
        <v>844</v>
      </c>
      <c r="K813" s="143" t="s">
        <v>1308</v>
      </c>
      <c r="L813" s="144">
        <v>8000</v>
      </c>
      <c r="M813" s="170"/>
      <c r="N813" s="145"/>
      <c r="O813" s="164">
        <f t="shared" si="89"/>
        <v>0</v>
      </c>
      <c r="P813" s="170">
        <v>10</v>
      </c>
      <c r="Q813" s="145">
        <v>1</v>
      </c>
      <c r="R813" s="164">
        <f>$L813*'Pivot Objective'!$C$9*P813*Q813</f>
        <v>91433.687760000001</v>
      </c>
      <c r="S813" s="166"/>
      <c r="T813" s="166"/>
      <c r="U813" s="164">
        <f>($L813*'Pivot Objective'!$C$9^2)*S813*T813</f>
        <v>0</v>
      </c>
      <c r="V813" s="166"/>
      <c r="W813" s="166"/>
      <c r="X813" s="164">
        <f>($L813*'Pivot Objective'!$C$9^3)*V813*W813</f>
        <v>0</v>
      </c>
      <c r="Y813" s="166"/>
      <c r="Z813" s="166"/>
      <c r="AA813" s="164">
        <f>($L813*'Pivot Objective'!$C$9^4)*Y813*Z813</f>
        <v>0</v>
      </c>
      <c r="AB813" s="170">
        <v>10</v>
      </c>
      <c r="AC813" s="145">
        <v>1</v>
      </c>
      <c r="AD813" s="164">
        <f>($L813*'Pivot Objective'!$C$9^5)*AB813*AC813</f>
        <v>156016.75250602642</v>
      </c>
      <c r="AE813" s="140"/>
      <c r="AF813" s="140"/>
      <c r="AG813" s="164">
        <f>($L813*'Pivot Objective'!$C$9^6)*AE813*AF813</f>
        <v>0</v>
      </c>
      <c r="AH813" s="140"/>
      <c r="AI813" s="140"/>
      <c r="AJ813" s="164">
        <f>($L813*'Pivot Objective'!$C$9^7)*AH813*AI813</f>
        <v>0</v>
      </c>
      <c r="AK813" s="185">
        <f t="shared" si="90"/>
        <v>247450.44026602642</v>
      </c>
      <c r="AL813" s="186">
        <f t="shared" si="91"/>
        <v>240.24314588934604</v>
      </c>
    </row>
    <row r="814" spans="1:38" customFormat="1" ht="86.4" x14ac:dyDescent="0.3">
      <c r="A814" s="140" t="s">
        <v>1444</v>
      </c>
      <c r="B814" s="140">
        <v>1</v>
      </c>
      <c r="C814" s="166" t="s">
        <v>836</v>
      </c>
      <c r="D814" s="140" t="str">
        <f t="shared" si="86"/>
        <v>5</v>
      </c>
      <c r="E814" s="166" t="s">
        <v>1446</v>
      </c>
      <c r="F814" s="140">
        <f t="shared" si="92"/>
        <v>1</v>
      </c>
      <c r="G814" s="140" t="str">
        <f t="shared" si="87"/>
        <v>1.5.1</v>
      </c>
      <c r="H814" s="166" t="s">
        <v>1447</v>
      </c>
      <c r="I814" s="166" t="s">
        <v>1469</v>
      </c>
      <c r="J814" s="143" t="s">
        <v>845</v>
      </c>
      <c r="K814" s="143" t="s">
        <v>1310</v>
      </c>
      <c r="L814" s="144">
        <f>1480/7</f>
        <v>211.42857142857142</v>
      </c>
      <c r="M814" s="170"/>
      <c r="N814" s="145"/>
      <c r="O814" s="164">
        <f t="shared" si="89"/>
        <v>0</v>
      </c>
      <c r="P814" s="170">
        <f>9*180*2</f>
        <v>3240</v>
      </c>
      <c r="Q814" s="145">
        <v>1</v>
      </c>
      <c r="R814" s="164">
        <f>$L814*'Pivot Objective'!$C$9*P814*Q814</f>
        <v>782933.60633348557</v>
      </c>
      <c r="S814" s="166"/>
      <c r="T814" s="166"/>
      <c r="U814" s="164">
        <f>($L814*'Pivot Objective'!$C$9^2)*S814*T814</f>
        <v>0</v>
      </c>
      <c r="V814" s="166"/>
      <c r="W814" s="166"/>
      <c r="X814" s="164">
        <f>($L814*'Pivot Objective'!$C$9^3)*V814*W814</f>
        <v>0</v>
      </c>
      <c r="Y814" s="166"/>
      <c r="Z814" s="166"/>
      <c r="AA814" s="164">
        <f>($L814*'Pivot Objective'!$C$9^4)*Y814*Z814</f>
        <v>0</v>
      </c>
      <c r="AB814" s="170">
        <f>9*180*2</f>
        <v>3240</v>
      </c>
      <c r="AC814" s="145">
        <v>1</v>
      </c>
      <c r="AD814" s="164">
        <f>($L814*'Pivot Objective'!$C$9^5)*AB814*AC814</f>
        <v>1335949.1636016034</v>
      </c>
      <c r="AE814" s="140"/>
      <c r="AF814" s="140"/>
      <c r="AG814" s="164">
        <f>($L814*'Pivot Objective'!$C$9^6)*AE814*AF814</f>
        <v>0</v>
      </c>
      <c r="AH814" s="140"/>
      <c r="AI814" s="140"/>
      <c r="AJ814" s="164">
        <f>($L814*'Pivot Objective'!$C$9^7)*AH814*AI814</f>
        <v>0</v>
      </c>
      <c r="AK814" s="185">
        <f t="shared" si="90"/>
        <v>2118882.7699350892</v>
      </c>
      <c r="AL814" s="186">
        <f t="shared" si="91"/>
        <v>2057.1677378010572</v>
      </c>
    </row>
    <row r="815" spans="1:38" customFormat="1" ht="86.4" x14ac:dyDescent="0.3">
      <c r="A815" s="140" t="s">
        <v>1444</v>
      </c>
      <c r="B815" s="140">
        <v>1</v>
      </c>
      <c r="C815" s="166" t="s">
        <v>836</v>
      </c>
      <c r="D815" s="140" t="str">
        <f t="shared" si="86"/>
        <v>5</v>
      </c>
      <c r="E815" s="166" t="s">
        <v>1446</v>
      </c>
      <c r="F815" s="140">
        <f t="shared" si="92"/>
        <v>1</v>
      </c>
      <c r="G815" s="140" t="str">
        <f t="shared" si="87"/>
        <v>1.5.1</v>
      </c>
      <c r="H815" s="166" t="s">
        <v>1447</v>
      </c>
      <c r="I815" s="166" t="s">
        <v>1469</v>
      </c>
      <c r="J815" s="143" t="s">
        <v>845</v>
      </c>
      <c r="K815" s="143" t="s">
        <v>1309</v>
      </c>
      <c r="L815" s="144">
        <f>1480/7</f>
        <v>211.42857142857142</v>
      </c>
      <c r="M815" s="170"/>
      <c r="N815" s="145"/>
      <c r="O815" s="164">
        <f t="shared" si="89"/>
        <v>0</v>
      </c>
      <c r="P815" s="170">
        <f>9*50*2</f>
        <v>900</v>
      </c>
      <c r="Q815" s="145">
        <v>2</v>
      </c>
      <c r="R815" s="164">
        <f>$L815*'Pivot Objective'!$C$9*P815*Q815</f>
        <v>434963.11462971423</v>
      </c>
      <c r="S815" s="166"/>
      <c r="T815" s="166"/>
      <c r="U815" s="164">
        <f>($L815*'Pivot Objective'!$C$9^2)*S815*T815</f>
        <v>0</v>
      </c>
      <c r="V815" s="166"/>
      <c r="W815" s="166"/>
      <c r="X815" s="164">
        <f>($L815*'Pivot Objective'!$C$9^3)*V815*W815</f>
        <v>0</v>
      </c>
      <c r="Y815" s="166"/>
      <c r="Z815" s="166"/>
      <c r="AA815" s="164">
        <f>($L815*'Pivot Objective'!$C$9^4)*Y815*Z815</f>
        <v>0</v>
      </c>
      <c r="AB815" s="170">
        <f>9*50*2</f>
        <v>900</v>
      </c>
      <c r="AC815" s="145">
        <v>2</v>
      </c>
      <c r="AD815" s="164">
        <f>($L815*'Pivot Objective'!$C$9^5)*AB815*AC815</f>
        <v>742193.97977866849</v>
      </c>
      <c r="AE815" s="140"/>
      <c r="AF815" s="140"/>
      <c r="AG815" s="164">
        <f>($L815*'Pivot Objective'!$C$9^6)*AE815*AF815</f>
        <v>0</v>
      </c>
      <c r="AH815" s="140"/>
      <c r="AI815" s="140"/>
      <c r="AJ815" s="164">
        <f>($L815*'Pivot Objective'!$C$9^7)*AH815*AI815</f>
        <v>0</v>
      </c>
      <c r="AK815" s="185">
        <f t="shared" si="90"/>
        <v>1177157.0944083827</v>
      </c>
      <c r="AL815" s="186">
        <f t="shared" si="91"/>
        <v>1142.8709654450317</v>
      </c>
    </row>
    <row r="816" spans="1:38" customFormat="1" ht="86.4" x14ac:dyDescent="0.3">
      <c r="A816" s="140" t="s">
        <v>1444</v>
      </c>
      <c r="B816" s="140">
        <v>1</v>
      </c>
      <c r="C816" s="166" t="s">
        <v>836</v>
      </c>
      <c r="D816" s="140" t="str">
        <f t="shared" si="86"/>
        <v>5</v>
      </c>
      <c r="E816" s="166" t="s">
        <v>1446</v>
      </c>
      <c r="F816" s="140">
        <f t="shared" si="92"/>
        <v>1</v>
      </c>
      <c r="G816" s="140" t="str">
        <f t="shared" si="87"/>
        <v>1.5.1</v>
      </c>
      <c r="H816" s="166" t="s">
        <v>1447</v>
      </c>
      <c r="I816" s="166" t="s">
        <v>1469</v>
      </c>
      <c r="J816" s="143" t="s">
        <v>845</v>
      </c>
      <c r="K816" s="143" t="s">
        <v>713</v>
      </c>
      <c r="L816" s="144">
        <v>45000</v>
      </c>
      <c r="M816" s="170"/>
      <c r="N816" s="145"/>
      <c r="O816" s="164">
        <f t="shared" si="89"/>
        <v>0</v>
      </c>
      <c r="P816" s="170">
        <v>25</v>
      </c>
      <c r="Q816" s="145">
        <v>3</v>
      </c>
      <c r="R816" s="164">
        <f>$L816*'Pivot Objective'!$C$9*P816*Q816</f>
        <v>3857358.7023749994</v>
      </c>
      <c r="S816" s="166"/>
      <c r="T816" s="166"/>
      <c r="U816" s="164">
        <f>($L816*'Pivot Objective'!$C$9^2)*S816*T816</f>
        <v>0</v>
      </c>
      <c r="V816" s="166"/>
      <c r="W816" s="166"/>
      <c r="X816" s="164">
        <f>($L816*'Pivot Objective'!$C$9^3)*V816*W816</f>
        <v>0</v>
      </c>
      <c r="Y816" s="166"/>
      <c r="Z816" s="166"/>
      <c r="AA816" s="164">
        <f>($L816*'Pivot Objective'!$C$9^4)*Y816*Z816</f>
        <v>0</v>
      </c>
      <c r="AB816" s="170">
        <v>25</v>
      </c>
      <c r="AC816" s="145">
        <v>3</v>
      </c>
      <c r="AD816" s="164">
        <f>($L816*'Pivot Objective'!$C$9^5)*AB816*AC816</f>
        <v>6581956.746347988</v>
      </c>
      <c r="AE816" s="140"/>
      <c r="AF816" s="140"/>
      <c r="AG816" s="164">
        <f>($L816*'Pivot Objective'!$C$9^6)*AE816*AF816</f>
        <v>0</v>
      </c>
      <c r="AH816" s="140"/>
      <c r="AI816" s="140"/>
      <c r="AJ816" s="164">
        <f>($L816*'Pivot Objective'!$C$9^7)*AH816*AI816</f>
        <v>0</v>
      </c>
      <c r="AK816" s="185">
        <f t="shared" si="90"/>
        <v>10439315.448722988</v>
      </c>
      <c r="AL816" s="186">
        <f t="shared" si="91"/>
        <v>10135.257717206785</v>
      </c>
    </row>
    <row r="817" spans="1:38" customFormat="1" ht="86.4" x14ac:dyDescent="0.3">
      <c r="A817" s="140" t="s">
        <v>1444</v>
      </c>
      <c r="B817" s="140">
        <v>1</v>
      </c>
      <c r="C817" s="166" t="s">
        <v>836</v>
      </c>
      <c r="D817" s="140" t="str">
        <f t="shared" ref="D817:D880" si="93">RIGHT(A817,1)</f>
        <v>5</v>
      </c>
      <c r="E817" s="166" t="s">
        <v>1446</v>
      </c>
      <c r="F817" s="140">
        <f t="shared" si="92"/>
        <v>1</v>
      </c>
      <c r="G817" s="140" t="str">
        <f t="shared" si="87"/>
        <v>1.5.1</v>
      </c>
      <c r="H817" s="166" t="s">
        <v>1447</v>
      </c>
      <c r="I817" s="166" t="s">
        <v>1469</v>
      </c>
      <c r="J817" s="143" t="s">
        <v>846</v>
      </c>
      <c r="K817" s="143" t="s">
        <v>709</v>
      </c>
      <c r="L817" s="144">
        <v>35000</v>
      </c>
      <c r="M817" s="170"/>
      <c r="N817" s="145"/>
      <c r="O817" s="164">
        <f t="shared" si="89"/>
        <v>0</v>
      </c>
      <c r="P817" s="170">
        <v>26</v>
      </c>
      <c r="Q817" s="145">
        <v>1</v>
      </c>
      <c r="R817" s="164">
        <f>$L817*'Pivot Objective'!$C$9*P817*Q817</f>
        <v>1040058.1982699998</v>
      </c>
      <c r="S817" s="166"/>
      <c r="T817" s="166"/>
      <c r="U817" s="164">
        <f>($L817*'Pivot Objective'!$C$9^2)*S817*T817</f>
        <v>0</v>
      </c>
      <c r="V817" s="166"/>
      <c r="W817" s="166"/>
      <c r="X817" s="164">
        <f>($L817*'Pivot Objective'!$C$9^3)*V817*W817</f>
        <v>0</v>
      </c>
      <c r="Y817" s="166"/>
      <c r="Z817" s="166"/>
      <c r="AA817" s="164">
        <f>($L817*'Pivot Objective'!$C$9^4)*Y817*Z817</f>
        <v>0</v>
      </c>
      <c r="AB817" s="170">
        <v>26</v>
      </c>
      <c r="AC817" s="145">
        <v>1</v>
      </c>
      <c r="AD817" s="164">
        <f>($L817*'Pivot Objective'!$C$9^5)*AB817*AC817</f>
        <v>1774690.5597560504</v>
      </c>
      <c r="AE817" s="140"/>
      <c r="AF817" s="140"/>
      <c r="AG817" s="164">
        <f>($L817*'Pivot Objective'!$C$9^6)*AE817*AF817</f>
        <v>0</v>
      </c>
      <c r="AH817" s="140"/>
      <c r="AI817" s="140"/>
      <c r="AJ817" s="164">
        <f>($L817*'Pivot Objective'!$C$9^7)*AH817*AI817</f>
        <v>0</v>
      </c>
      <c r="AK817" s="185">
        <f t="shared" si="90"/>
        <v>2814748.7580260504</v>
      </c>
      <c r="AL817" s="186">
        <f t="shared" si="91"/>
        <v>2732.765784491311</v>
      </c>
    </row>
    <row r="818" spans="1:38" customFormat="1" ht="86.4" x14ac:dyDescent="0.3">
      <c r="A818" s="140" t="s">
        <v>1444</v>
      </c>
      <c r="B818" s="140">
        <v>1</v>
      </c>
      <c r="C818" s="166" t="s">
        <v>836</v>
      </c>
      <c r="D818" s="140" t="str">
        <f t="shared" si="93"/>
        <v>5</v>
      </c>
      <c r="E818" s="166" t="s">
        <v>1446</v>
      </c>
      <c r="F818" s="140">
        <f t="shared" si="92"/>
        <v>1</v>
      </c>
      <c r="G818" s="140" t="str">
        <f t="shared" ref="G818:G881" si="94">B818&amp;"."&amp;D818&amp;"."&amp;F818</f>
        <v>1.5.1</v>
      </c>
      <c r="H818" s="166" t="s">
        <v>1447</v>
      </c>
      <c r="I818" s="166" t="s">
        <v>1469</v>
      </c>
      <c r="J818" s="143" t="s">
        <v>151</v>
      </c>
      <c r="K818" s="143" t="s">
        <v>713</v>
      </c>
      <c r="L818" s="144">
        <v>45000</v>
      </c>
      <c r="M818" s="170"/>
      <c r="N818" s="145"/>
      <c r="O818" s="164">
        <f t="shared" si="89"/>
        <v>0</v>
      </c>
      <c r="P818" s="170">
        <v>26</v>
      </c>
      <c r="Q818" s="145">
        <v>6</v>
      </c>
      <c r="R818" s="164">
        <f>$L818*'Pivot Objective'!$C$9*P818*Q818</f>
        <v>8023306.1009399984</v>
      </c>
      <c r="S818" s="166"/>
      <c r="T818" s="166"/>
      <c r="U818" s="164">
        <f>($L818*'Pivot Objective'!$C$9^2)*S818*T818</f>
        <v>0</v>
      </c>
      <c r="V818" s="166"/>
      <c r="W818" s="166"/>
      <c r="X818" s="164">
        <f>($L818*'Pivot Objective'!$C$9^3)*V818*W818</f>
        <v>0</v>
      </c>
      <c r="Y818" s="166"/>
      <c r="Z818" s="166"/>
      <c r="AA818" s="164">
        <f>($L818*'Pivot Objective'!$C$9^4)*Y818*Z818</f>
        <v>0</v>
      </c>
      <c r="AB818" s="170">
        <v>26</v>
      </c>
      <c r="AC818" s="145">
        <v>6</v>
      </c>
      <c r="AD818" s="164">
        <f>($L818*'Pivot Objective'!$C$9^5)*AB818*AC818</f>
        <v>13690470.032403817</v>
      </c>
      <c r="AE818" s="140"/>
      <c r="AF818" s="140"/>
      <c r="AG818" s="164">
        <f>($L818*'Pivot Objective'!$C$9^6)*AE818*AF818</f>
        <v>0</v>
      </c>
      <c r="AH818" s="140"/>
      <c r="AI818" s="140"/>
      <c r="AJ818" s="164">
        <f>($L818*'Pivot Objective'!$C$9^7)*AH818*AI818</f>
        <v>0</v>
      </c>
      <c r="AK818" s="185">
        <f t="shared" si="90"/>
        <v>21713776.133343816</v>
      </c>
      <c r="AL818" s="186">
        <f t="shared" si="91"/>
        <v>21081.336051790113</v>
      </c>
    </row>
    <row r="819" spans="1:38" customFormat="1" ht="86.4" x14ac:dyDescent="0.3">
      <c r="A819" s="140" t="s">
        <v>1444</v>
      </c>
      <c r="B819" s="140">
        <v>1</v>
      </c>
      <c r="C819" s="166" t="s">
        <v>836</v>
      </c>
      <c r="D819" s="140" t="str">
        <f t="shared" si="93"/>
        <v>5</v>
      </c>
      <c r="E819" s="166" t="s">
        <v>1446</v>
      </c>
      <c r="F819" s="140">
        <f t="shared" si="92"/>
        <v>1</v>
      </c>
      <c r="G819" s="140" t="str">
        <f t="shared" si="94"/>
        <v>1.5.1</v>
      </c>
      <c r="H819" s="166" t="s">
        <v>1447</v>
      </c>
      <c r="I819" s="166" t="s">
        <v>1469</v>
      </c>
      <c r="J819" s="143" t="s">
        <v>151</v>
      </c>
      <c r="K819" s="143" t="s">
        <v>1311</v>
      </c>
      <c r="L819" s="144">
        <v>211.43</v>
      </c>
      <c r="M819" s="170"/>
      <c r="N819" s="145"/>
      <c r="O819" s="164">
        <f t="shared" si="89"/>
        <v>0</v>
      </c>
      <c r="P819" s="170">
        <v>22500</v>
      </c>
      <c r="Q819" s="145">
        <v>1</v>
      </c>
      <c r="R819" s="164">
        <f>$L819*'Pivot Objective'!$C$9*P819*Q819</f>
        <v>5437075.6696209749</v>
      </c>
      <c r="S819" s="166"/>
      <c r="T819" s="166"/>
      <c r="U819" s="164">
        <f>($L819*'Pivot Objective'!$C$9^2)*S819*T819</f>
        <v>0</v>
      </c>
      <c r="V819" s="166"/>
      <c r="W819" s="166"/>
      <c r="X819" s="164">
        <f>($L819*'Pivot Objective'!$C$9^3)*V819*W819</f>
        <v>0</v>
      </c>
      <c r="Y819" s="166"/>
      <c r="Z819" s="166"/>
      <c r="AA819" s="164">
        <f>($L819*'Pivot Objective'!$C$9^4)*Y819*Z819</f>
        <v>0</v>
      </c>
      <c r="AB819" s="170">
        <v>22500</v>
      </c>
      <c r="AC819" s="145">
        <v>1</v>
      </c>
      <c r="AD819" s="164">
        <f>($L819*'Pivot Objective'!$C$9^5)*AB819*AC819</f>
        <v>9277487.4325357024</v>
      </c>
      <c r="AE819" s="140"/>
      <c r="AF819" s="140"/>
      <c r="AG819" s="164">
        <f>($L819*'Pivot Objective'!$C$9^6)*AE819*AF819</f>
        <v>0</v>
      </c>
      <c r="AH819" s="140"/>
      <c r="AI819" s="140"/>
      <c r="AJ819" s="164">
        <f>($L819*'Pivot Objective'!$C$9^7)*AH819*AI819</f>
        <v>0</v>
      </c>
      <c r="AK819" s="185">
        <f t="shared" si="90"/>
        <v>14714563.102156676</v>
      </c>
      <c r="AL819" s="186">
        <f t="shared" si="91"/>
        <v>14285.98359432687</v>
      </c>
    </row>
    <row r="820" spans="1:38" customFormat="1" ht="86.4" x14ac:dyDescent="0.3">
      <c r="A820" s="140" t="s">
        <v>1444</v>
      </c>
      <c r="B820" s="140">
        <v>1</v>
      </c>
      <c r="C820" s="166" t="s">
        <v>836</v>
      </c>
      <c r="D820" s="140" t="str">
        <f t="shared" si="93"/>
        <v>5</v>
      </c>
      <c r="E820" s="166" t="s">
        <v>1446</v>
      </c>
      <c r="F820" s="140">
        <f t="shared" si="92"/>
        <v>1</v>
      </c>
      <c r="G820" s="140" t="str">
        <f t="shared" si="94"/>
        <v>1.5.1</v>
      </c>
      <c r="H820" s="166" t="s">
        <v>1447</v>
      </c>
      <c r="I820" s="166" t="s">
        <v>1469</v>
      </c>
      <c r="J820" s="143" t="s">
        <v>151</v>
      </c>
      <c r="K820" s="143" t="s">
        <v>712</v>
      </c>
      <c r="L820" s="144">
        <f>1480/7</f>
        <v>211.42857142857142</v>
      </c>
      <c r="M820" s="170"/>
      <c r="N820" s="145"/>
      <c r="O820" s="164">
        <f t="shared" si="89"/>
        <v>0</v>
      </c>
      <c r="P820" s="170">
        <f>9*100</f>
        <v>900</v>
      </c>
      <c r="Q820" s="145">
        <v>5</v>
      </c>
      <c r="R820" s="164">
        <f>$L820*'Pivot Objective'!$C$9*P820*Q820</f>
        <v>1087407.7865742855</v>
      </c>
      <c r="S820" s="166"/>
      <c r="T820" s="166"/>
      <c r="U820" s="164">
        <f>($L820*'Pivot Objective'!$C$9^2)*S820*T820</f>
        <v>0</v>
      </c>
      <c r="V820" s="166"/>
      <c r="W820" s="166"/>
      <c r="X820" s="164">
        <f>($L820*'Pivot Objective'!$C$9^3)*V820*W820</f>
        <v>0</v>
      </c>
      <c r="Y820" s="166"/>
      <c r="Z820" s="166"/>
      <c r="AA820" s="164">
        <f>($L820*'Pivot Objective'!$C$9^4)*Y820*Z820</f>
        <v>0</v>
      </c>
      <c r="AB820" s="170">
        <f>9*100</f>
        <v>900</v>
      </c>
      <c r="AC820" s="145">
        <v>5</v>
      </c>
      <c r="AD820" s="164">
        <f>($L820*'Pivot Objective'!$C$9^5)*AB820*AC820</f>
        <v>1855484.9494466712</v>
      </c>
      <c r="AE820" s="140"/>
      <c r="AF820" s="140"/>
      <c r="AG820" s="164">
        <f>($L820*'Pivot Objective'!$C$9^6)*AE820*AF820</f>
        <v>0</v>
      </c>
      <c r="AH820" s="140"/>
      <c r="AI820" s="140"/>
      <c r="AJ820" s="164">
        <f>($L820*'Pivot Objective'!$C$9^7)*AH820*AI820</f>
        <v>0</v>
      </c>
      <c r="AK820" s="185">
        <f t="shared" si="90"/>
        <v>2942892.7360209567</v>
      </c>
      <c r="AL820" s="186">
        <f t="shared" si="91"/>
        <v>2857.1774136125791</v>
      </c>
    </row>
    <row r="821" spans="1:38" customFormat="1" ht="86.4" x14ac:dyDescent="0.3">
      <c r="A821" s="140" t="s">
        <v>1444</v>
      </c>
      <c r="B821" s="140">
        <v>1</v>
      </c>
      <c r="C821" s="166" t="s">
        <v>836</v>
      </c>
      <c r="D821" s="140" t="str">
        <f t="shared" si="93"/>
        <v>5</v>
      </c>
      <c r="E821" s="166" t="s">
        <v>1446</v>
      </c>
      <c r="F821" s="140">
        <f t="shared" si="92"/>
        <v>1</v>
      </c>
      <c r="G821" s="140" t="str">
        <f t="shared" si="94"/>
        <v>1.5.1</v>
      </c>
      <c r="H821" s="166" t="s">
        <v>1447</v>
      </c>
      <c r="I821" s="166" t="s">
        <v>1469</v>
      </c>
      <c r="J821" s="143" t="s">
        <v>151</v>
      </c>
      <c r="K821" s="143" t="s">
        <v>714</v>
      </c>
      <c r="L821" s="144">
        <v>10000</v>
      </c>
      <c r="M821" s="170"/>
      <c r="N821" s="145"/>
      <c r="O821" s="164">
        <f t="shared" si="89"/>
        <v>0</v>
      </c>
      <c r="P821" s="170">
        <v>20</v>
      </c>
      <c r="Q821" s="145">
        <v>1</v>
      </c>
      <c r="R821" s="164">
        <f>$L821*'Pivot Objective'!$C$9*P821*Q821</f>
        <v>228584.21939999997</v>
      </c>
      <c r="S821" s="166"/>
      <c r="T821" s="166"/>
      <c r="U821" s="164">
        <f>($L821*'Pivot Objective'!$C$9^2)*S821*T821</f>
        <v>0</v>
      </c>
      <c r="V821" s="166"/>
      <c r="W821" s="166"/>
      <c r="X821" s="164">
        <f>($L821*'Pivot Objective'!$C$9^3)*V821*W821</f>
        <v>0</v>
      </c>
      <c r="Y821" s="166"/>
      <c r="Z821" s="166"/>
      <c r="AA821" s="164">
        <f>($L821*'Pivot Objective'!$C$9^4)*Y821*Z821</f>
        <v>0</v>
      </c>
      <c r="AB821" s="170">
        <v>20</v>
      </c>
      <c r="AC821" s="145">
        <v>1</v>
      </c>
      <c r="AD821" s="164">
        <f>($L821*'Pivot Objective'!$C$9^5)*AB821*AC821</f>
        <v>390041.88126506604</v>
      </c>
      <c r="AE821" s="140"/>
      <c r="AF821" s="140"/>
      <c r="AG821" s="164">
        <f>($L821*'Pivot Objective'!$C$9^6)*AE821*AF821</f>
        <v>0</v>
      </c>
      <c r="AH821" s="140"/>
      <c r="AI821" s="140"/>
      <c r="AJ821" s="164">
        <f>($L821*'Pivot Objective'!$C$9^7)*AH821*AI821</f>
        <v>0</v>
      </c>
      <c r="AK821" s="185">
        <f t="shared" si="90"/>
        <v>618626.10066506604</v>
      </c>
      <c r="AL821" s="186">
        <f t="shared" si="91"/>
        <v>600.60786472336508</v>
      </c>
    </row>
    <row r="822" spans="1:38" customFormat="1" ht="86.4" x14ac:dyDescent="0.3">
      <c r="A822" s="140" t="s">
        <v>1444</v>
      </c>
      <c r="B822" s="140">
        <v>1</v>
      </c>
      <c r="C822" s="166" t="s">
        <v>836</v>
      </c>
      <c r="D822" s="140" t="str">
        <f t="shared" si="93"/>
        <v>5</v>
      </c>
      <c r="E822" s="166" t="s">
        <v>1446</v>
      </c>
      <c r="F822" s="140">
        <f t="shared" si="92"/>
        <v>1</v>
      </c>
      <c r="G822" s="140" t="str">
        <f t="shared" si="94"/>
        <v>1.5.1</v>
      </c>
      <c r="H822" s="166" t="s">
        <v>1447</v>
      </c>
      <c r="I822" s="166" t="s">
        <v>1469</v>
      </c>
      <c r="J822" s="143" t="s">
        <v>151</v>
      </c>
      <c r="K822" s="143" t="s">
        <v>715</v>
      </c>
      <c r="L822" s="144">
        <v>302000</v>
      </c>
      <c r="M822" s="170"/>
      <c r="N822" s="145"/>
      <c r="O822" s="164">
        <f t="shared" si="89"/>
        <v>0</v>
      </c>
      <c r="P822" s="170">
        <v>26</v>
      </c>
      <c r="Q822" s="145">
        <v>1</v>
      </c>
      <c r="R822" s="164">
        <f>$L822*'Pivot Objective'!$C$9*P822*Q822</f>
        <v>8974216.4536439981</v>
      </c>
      <c r="S822" s="166"/>
      <c r="T822" s="166"/>
      <c r="U822" s="164">
        <f>($L822*'Pivot Objective'!$C$9^2)*S822*T822</f>
        <v>0</v>
      </c>
      <c r="V822" s="166"/>
      <c r="W822" s="166"/>
      <c r="X822" s="164">
        <f>($L822*'Pivot Objective'!$C$9^3)*V822*W822</f>
        <v>0</v>
      </c>
      <c r="Y822" s="166"/>
      <c r="Z822" s="166"/>
      <c r="AA822" s="164">
        <f>($L822*'Pivot Objective'!$C$9^4)*Y822*Z822</f>
        <v>0</v>
      </c>
      <c r="AB822" s="170">
        <v>26</v>
      </c>
      <c r="AC822" s="145">
        <v>1</v>
      </c>
      <c r="AD822" s="164">
        <f>($L822*'Pivot Objective'!$C$9^5)*AB822*AC822</f>
        <v>15313044.258466493</v>
      </c>
      <c r="AE822" s="140"/>
      <c r="AF822" s="140"/>
      <c r="AG822" s="164">
        <f>($L822*'Pivot Objective'!$C$9^6)*AE822*AF822</f>
        <v>0</v>
      </c>
      <c r="AH822" s="140"/>
      <c r="AI822" s="140"/>
      <c r="AJ822" s="164">
        <f>($L822*'Pivot Objective'!$C$9^7)*AH822*AI822</f>
        <v>0</v>
      </c>
      <c r="AK822" s="185">
        <f t="shared" si="90"/>
        <v>24287260.71211049</v>
      </c>
      <c r="AL822" s="186">
        <f t="shared" si="91"/>
        <v>23579.864769039312</v>
      </c>
    </row>
    <row r="823" spans="1:38" customFormat="1" ht="86.4" x14ac:dyDescent="0.3">
      <c r="A823" s="140" t="s">
        <v>1444</v>
      </c>
      <c r="B823" s="140">
        <v>1</v>
      </c>
      <c r="C823" s="166" t="s">
        <v>836</v>
      </c>
      <c r="D823" s="140" t="str">
        <f t="shared" si="93"/>
        <v>5</v>
      </c>
      <c r="E823" s="166" t="s">
        <v>1446</v>
      </c>
      <c r="F823" s="140">
        <f t="shared" si="92"/>
        <v>1</v>
      </c>
      <c r="G823" s="140" t="str">
        <f t="shared" si="94"/>
        <v>1.5.1</v>
      </c>
      <c r="H823" s="166" t="s">
        <v>1447</v>
      </c>
      <c r="I823" s="166" t="s">
        <v>1469</v>
      </c>
      <c r="J823" s="143" t="s">
        <v>152</v>
      </c>
      <c r="K823" s="143" t="s">
        <v>709</v>
      </c>
      <c r="L823" s="144">
        <v>35000</v>
      </c>
      <c r="M823" s="170"/>
      <c r="N823" s="145"/>
      <c r="O823" s="164">
        <f t="shared" si="89"/>
        <v>0</v>
      </c>
      <c r="P823" s="170">
        <v>26</v>
      </c>
      <c r="Q823" s="145">
        <v>5</v>
      </c>
      <c r="R823" s="164">
        <f>$L823*'Pivot Objective'!$C$9*P823*Q823</f>
        <v>5200290.9913499989</v>
      </c>
      <c r="S823" s="166"/>
      <c r="T823" s="166"/>
      <c r="U823" s="164">
        <f>($L823*'Pivot Objective'!$C$9^2)*S823*T823</f>
        <v>0</v>
      </c>
      <c r="V823" s="166"/>
      <c r="W823" s="166"/>
      <c r="X823" s="164">
        <f>($L823*'Pivot Objective'!$C$9^3)*V823*W823</f>
        <v>0</v>
      </c>
      <c r="Y823" s="166"/>
      <c r="Z823" s="166"/>
      <c r="AA823" s="164">
        <f>($L823*'Pivot Objective'!$C$9^4)*Y823*Z823</f>
        <v>0</v>
      </c>
      <c r="AB823" s="170">
        <v>26</v>
      </c>
      <c r="AC823" s="145">
        <v>5</v>
      </c>
      <c r="AD823" s="164">
        <f>($L823*'Pivot Objective'!$C$9^5)*AB823*AC823</f>
        <v>8873452.7987802513</v>
      </c>
      <c r="AE823" s="140"/>
      <c r="AF823" s="140"/>
      <c r="AG823" s="164">
        <f>($L823*'Pivot Objective'!$C$9^6)*AE823*AF823</f>
        <v>0</v>
      </c>
      <c r="AH823" s="140"/>
      <c r="AI823" s="140"/>
      <c r="AJ823" s="164">
        <f>($L823*'Pivot Objective'!$C$9^7)*AH823*AI823</f>
        <v>0</v>
      </c>
      <c r="AK823" s="185">
        <f t="shared" si="90"/>
        <v>14073743.79013025</v>
      </c>
      <c r="AL823" s="186">
        <f t="shared" si="91"/>
        <v>13663.828922456554</v>
      </c>
    </row>
    <row r="824" spans="1:38" customFormat="1" ht="86.4" x14ac:dyDescent="0.3">
      <c r="A824" s="140" t="s">
        <v>1444</v>
      </c>
      <c r="B824" s="140">
        <v>1</v>
      </c>
      <c r="C824" s="166" t="s">
        <v>836</v>
      </c>
      <c r="D824" s="140" t="str">
        <f t="shared" si="93"/>
        <v>5</v>
      </c>
      <c r="E824" s="166" t="s">
        <v>1446</v>
      </c>
      <c r="F824" s="140">
        <f t="shared" si="92"/>
        <v>1</v>
      </c>
      <c r="G824" s="140" t="str">
        <f t="shared" si="94"/>
        <v>1.5.1</v>
      </c>
      <c r="H824" s="166" t="s">
        <v>1447</v>
      </c>
      <c r="I824" s="166" t="s">
        <v>1469</v>
      </c>
      <c r="J824" s="143" t="s">
        <v>152</v>
      </c>
      <c r="K824" s="143" t="s">
        <v>712</v>
      </c>
      <c r="L824" s="144">
        <f>1480/7</f>
        <v>211.42857142857142</v>
      </c>
      <c r="M824" s="170"/>
      <c r="N824" s="145"/>
      <c r="O824" s="164">
        <f t="shared" si="89"/>
        <v>0</v>
      </c>
      <c r="P824" s="170">
        <f>2*9*25</f>
        <v>450</v>
      </c>
      <c r="Q824" s="145">
        <v>5</v>
      </c>
      <c r="R824" s="164">
        <f>$L824*'Pivot Objective'!$C$9*P824*Q824</f>
        <v>543703.89328714274</v>
      </c>
      <c r="S824" s="166"/>
      <c r="T824" s="166"/>
      <c r="U824" s="164">
        <f>($L824*'Pivot Objective'!$C$9^2)*S824*T824</f>
        <v>0</v>
      </c>
      <c r="V824" s="166"/>
      <c r="W824" s="166"/>
      <c r="X824" s="164">
        <f>($L824*'Pivot Objective'!$C$9^3)*V824*W824</f>
        <v>0</v>
      </c>
      <c r="Y824" s="166"/>
      <c r="Z824" s="166"/>
      <c r="AA824" s="164">
        <f>($L824*'Pivot Objective'!$C$9^4)*Y824*Z824</f>
        <v>0</v>
      </c>
      <c r="AB824" s="170">
        <f>2*9*25</f>
        <v>450</v>
      </c>
      <c r="AC824" s="145">
        <v>5</v>
      </c>
      <c r="AD824" s="164">
        <f>($L824*'Pivot Objective'!$C$9^5)*AB824*AC824</f>
        <v>927742.47472333559</v>
      </c>
      <c r="AE824" s="140"/>
      <c r="AF824" s="140"/>
      <c r="AG824" s="164">
        <f>($L824*'Pivot Objective'!$C$9^6)*AE824*AF824</f>
        <v>0</v>
      </c>
      <c r="AH824" s="140"/>
      <c r="AI824" s="140"/>
      <c r="AJ824" s="164">
        <f>($L824*'Pivot Objective'!$C$9^7)*AH824*AI824</f>
        <v>0</v>
      </c>
      <c r="AK824" s="185">
        <f t="shared" si="90"/>
        <v>1471446.3680104783</v>
      </c>
      <c r="AL824" s="186">
        <f t="shared" si="91"/>
        <v>1428.5887068062896</v>
      </c>
    </row>
    <row r="825" spans="1:38" customFormat="1" ht="86.4" x14ac:dyDescent="0.3">
      <c r="A825" s="140" t="s">
        <v>1444</v>
      </c>
      <c r="B825" s="140">
        <v>1</v>
      </c>
      <c r="C825" s="166" t="s">
        <v>836</v>
      </c>
      <c r="D825" s="140" t="str">
        <f t="shared" si="93"/>
        <v>5</v>
      </c>
      <c r="E825" s="166" t="s">
        <v>1446</v>
      </c>
      <c r="F825" s="140">
        <f t="shared" si="92"/>
        <v>1</v>
      </c>
      <c r="G825" s="140" t="str">
        <f t="shared" si="94"/>
        <v>1.5.1</v>
      </c>
      <c r="H825" s="166" t="s">
        <v>1447</v>
      </c>
      <c r="I825" s="166" t="s">
        <v>1469</v>
      </c>
      <c r="J825" s="143" t="s">
        <v>152</v>
      </c>
      <c r="K825" s="143" t="s">
        <v>1312</v>
      </c>
      <c r="L825" s="144">
        <f>1480/7</f>
        <v>211.42857142857142</v>
      </c>
      <c r="M825" s="170"/>
      <c r="N825" s="145"/>
      <c r="O825" s="164">
        <f t="shared" si="89"/>
        <v>0</v>
      </c>
      <c r="P825" s="170">
        <f>150*2*9</f>
        <v>2700</v>
      </c>
      <c r="Q825" s="145">
        <v>1</v>
      </c>
      <c r="R825" s="164">
        <f>$L825*'Pivot Objective'!$C$9*P825*Q825</f>
        <v>652444.67194457131</v>
      </c>
      <c r="S825" s="166"/>
      <c r="T825" s="166"/>
      <c r="U825" s="164">
        <f>($L825*'Pivot Objective'!$C$9^2)*S825*T825</f>
        <v>0</v>
      </c>
      <c r="V825" s="166"/>
      <c r="W825" s="166"/>
      <c r="X825" s="164">
        <f>($L825*'Pivot Objective'!$C$9^3)*V825*W825</f>
        <v>0</v>
      </c>
      <c r="Y825" s="166"/>
      <c r="Z825" s="166"/>
      <c r="AA825" s="164">
        <f>($L825*'Pivot Objective'!$C$9^4)*Y825*Z825</f>
        <v>0</v>
      </c>
      <c r="AB825" s="170">
        <f>150*2*9</f>
        <v>2700</v>
      </c>
      <c r="AC825" s="145">
        <v>1</v>
      </c>
      <c r="AD825" s="164">
        <f>($L825*'Pivot Objective'!$C$9^5)*AB825*AC825</f>
        <v>1113290.9696680028</v>
      </c>
      <c r="AE825" s="140"/>
      <c r="AF825" s="140"/>
      <c r="AG825" s="164">
        <f>($L825*'Pivot Objective'!$C$9^6)*AE825*AF825</f>
        <v>0</v>
      </c>
      <c r="AH825" s="140"/>
      <c r="AI825" s="140"/>
      <c r="AJ825" s="164">
        <f>($L825*'Pivot Objective'!$C$9^7)*AH825*AI825</f>
        <v>0</v>
      </c>
      <c r="AK825" s="185">
        <f t="shared" si="90"/>
        <v>1765735.641612574</v>
      </c>
      <c r="AL825" s="186">
        <f t="shared" si="91"/>
        <v>1714.3064481675476</v>
      </c>
    </row>
    <row r="826" spans="1:38" customFormat="1" ht="86.4" x14ac:dyDescent="0.3">
      <c r="A826" s="140" t="s">
        <v>1444</v>
      </c>
      <c r="B826" s="140">
        <v>1</v>
      </c>
      <c r="C826" s="166" t="s">
        <v>836</v>
      </c>
      <c r="D826" s="140" t="str">
        <f t="shared" si="93"/>
        <v>5</v>
      </c>
      <c r="E826" s="166" t="s">
        <v>1446</v>
      </c>
      <c r="F826" s="140">
        <f t="shared" si="92"/>
        <v>1</v>
      </c>
      <c r="G826" s="140" t="str">
        <f t="shared" si="94"/>
        <v>1.5.1</v>
      </c>
      <c r="H826" s="166" t="s">
        <v>1447</v>
      </c>
      <c r="I826" s="166" t="s">
        <v>1469</v>
      </c>
      <c r="J826" s="143" t="s">
        <v>152</v>
      </c>
      <c r="K826" s="143" t="s">
        <v>716</v>
      </c>
      <c r="L826" s="144">
        <v>39000</v>
      </c>
      <c r="M826" s="170"/>
      <c r="N826" s="145"/>
      <c r="O826" s="164">
        <f t="shared" si="89"/>
        <v>0</v>
      </c>
      <c r="P826" s="170">
        <v>26</v>
      </c>
      <c r="Q826" s="145">
        <v>6</v>
      </c>
      <c r="R826" s="164">
        <f>$L826*'Pivot Objective'!$C$9*P826*Q826</f>
        <v>6953531.9541479982</v>
      </c>
      <c r="S826" s="166"/>
      <c r="T826" s="166"/>
      <c r="U826" s="164">
        <f>($L826*'Pivot Objective'!$C$9^2)*S826*T826</f>
        <v>0</v>
      </c>
      <c r="V826" s="166"/>
      <c r="W826" s="166"/>
      <c r="X826" s="164">
        <f>($L826*'Pivot Objective'!$C$9^3)*V826*W826</f>
        <v>0</v>
      </c>
      <c r="Y826" s="166"/>
      <c r="Z826" s="166"/>
      <c r="AA826" s="164">
        <f>($L826*'Pivot Objective'!$C$9^4)*Y826*Z826</f>
        <v>0</v>
      </c>
      <c r="AB826" s="170">
        <v>26</v>
      </c>
      <c r="AC826" s="145">
        <v>6</v>
      </c>
      <c r="AD826" s="164">
        <f>($L826*'Pivot Objective'!$C$9^5)*AB826*AC826</f>
        <v>11865074.02808331</v>
      </c>
      <c r="AE826" s="140"/>
      <c r="AF826" s="140"/>
      <c r="AG826" s="164">
        <f>($L826*'Pivot Objective'!$C$9^6)*AE826*AF826</f>
        <v>0</v>
      </c>
      <c r="AH826" s="140"/>
      <c r="AI826" s="140"/>
      <c r="AJ826" s="164">
        <f>($L826*'Pivot Objective'!$C$9^7)*AH826*AI826</f>
        <v>0</v>
      </c>
      <c r="AK826" s="185">
        <f t="shared" si="90"/>
        <v>18818605.982231308</v>
      </c>
      <c r="AL826" s="186">
        <f t="shared" si="91"/>
        <v>18270.491244884764</v>
      </c>
    </row>
    <row r="827" spans="1:38" customFormat="1" ht="86.4" x14ac:dyDescent="0.3">
      <c r="A827" s="140" t="s">
        <v>1444</v>
      </c>
      <c r="B827" s="140">
        <v>1</v>
      </c>
      <c r="C827" s="166" t="s">
        <v>836</v>
      </c>
      <c r="D827" s="140" t="str">
        <f t="shared" si="93"/>
        <v>5</v>
      </c>
      <c r="E827" s="166" t="s">
        <v>1446</v>
      </c>
      <c r="F827" s="140">
        <f t="shared" si="92"/>
        <v>1</v>
      </c>
      <c r="G827" s="140" t="str">
        <f t="shared" si="94"/>
        <v>1.5.1</v>
      </c>
      <c r="H827" s="166" t="s">
        <v>1447</v>
      </c>
      <c r="I827" s="166" t="s">
        <v>1469</v>
      </c>
      <c r="J827" s="143" t="s">
        <v>847</v>
      </c>
      <c r="K827" s="143" t="s">
        <v>841</v>
      </c>
      <c r="L827" s="144">
        <v>0</v>
      </c>
      <c r="M827" s="170"/>
      <c r="N827" s="145"/>
      <c r="O827" s="164">
        <f t="shared" si="89"/>
        <v>0</v>
      </c>
      <c r="P827" s="170">
        <v>25</v>
      </c>
      <c r="Q827" s="145">
        <v>5</v>
      </c>
      <c r="R827" s="164">
        <f>$L827*'Pivot Objective'!$C$9*P827*Q827</f>
        <v>0</v>
      </c>
      <c r="S827" s="166"/>
      <c r="T827" s="166"/>
      <c r="U827" s="164">
        <f>($L827*'Pivot Objective'!$C$9^2)*S827*T827</f>
        <v>0</v>
      </c>
      <c r="V827" s="166"/>
      <c r="W827" s="166"/>
      <c r="X827" s="164">
        <f>($L827*'Pivot Objective'!$C$9^3)*V827*W827</f>
        <v>0</v>
      </c>
      <c r="Y827" s="166"/>
      <c r="Z827" s="166"/>
      <c r="AA827" s="164">
        <f>($L827*'Pivot Objective'!$C$9^4)*Y827*Z827</f>
        <v>0</v>
      </c>
      <c r="AB827" s="170">
        <v>25</v>
      </c>
      <c r="AC827" s="145">
        <v>5</v>
      </c>
      <c r="AD827" s="164">
        <f>($L827*'Pivot Objective'!$C$9^5)*AB827*AC827</f>
        <v>0</v>
      </c>
      <c r="AE827" s="140"/>
      <c r="AF827" s="140"/>
      <c r="AG827" s="164">
        <f>($L827*'Pivot Objective'!$C$9^6)*AE827*AF827</f>
        <v>0</v>
      </c>
      <c r="AH827" s="140"/>
      <c r="AI827" s="140"/>
      <c r="AJ827" s="164">
        <f>($L827*'Pivot Objective'!$C$9^7)*AH827*AI827</f>
        <v>0</v>
      </c>
      <c r="AK827" s="185">
        <f t="shared" si="90"/>
        <v>0</v>
      </c>
      <c r="AL827" s="186">
        <f t="shared" si="91"/>
        <v>0</v>
      </c>
    </row>
    <row r="828" spans="1:38" customFormat="1" ht="86.4" x14ac:dyDescent="0.3">
      <c r="A828" s="140" t="s">
        <v>1444</v>
      </c>
      <c r="B828" s="140">
        <v>1</v>
      </c>
      <c r="C828" s="166" t="s">
        <v>836</v>
      </c>
      <c r="D828" s="140" t="str">
        <f t="shared" si="93"/>
        <v>5</v>
      </c>
      <c r="E828" s="166" t="s">
        <v>1446</v>
      </c>
      <c r="F828" s="140">
        <f t="shared" si="92"/>
        <v>1</v>
      </c>
      <c r="G828" s="140" t="str">
        <f t="shared" si="94"/>
        <v>1.5.1</v>
      </c>
      <c r="H828" s="166" t="s">
        <v>1447</v>
      </c>
      <c r="I828" s="166" t="s">
        <v>1469</v>
      </c>
      <c r="J828" s="143" t="s">
        <v>1298</v>
      </c>
      <c r="K828" s="143" t="s">
        <v>709</v>
      </c>
      <c r="L828" s="144">
        <v>35000</v>
      </c>
      <c r="M828" s="170"/>
      <c r="N828" s="145"/>
      <c r="O828" s="164">
        <f t="shared" si="89"/>
        <v>0</v>
      </c>
      <c r="P828" s="170">
        <v>100</v>
      </c>
      <c r="Q828" s="145">
        <v>1</v>
      </c>
      <c r="R828" s="164">
        <f>$L828*'Pivot Objective'!$C$9*P828*Q828</f>
        <v>4000223.8394999993</v>
      </c>
      <c r="S828" s="166"/>
      <c r="T828" s="166"/>
      <c r="U828" s="164">
        <f>($L828*'Pivot Objective'!$C$9^2)*S828*T828</f>
        <v>0</v>
      </c>
      <c r="V828" s="166"/>
      <c r="W828" s="166"/>
      <c r="X828" s="164">
        <f>($L828*'Pivot Objective'!$C$9^3)*V828*W828</f>
        <v>0</v>
      </c>
      <c r="Y828" s="166"/>
      <c r="Z828" s="166"/>
      <c r="AA828" s="164">
        <f>($L828*'Pivot Objective'!$C$9^4)*Y828*Z828</f>
        <v>0</v>
      </c>
      <c r="AB828" s="170">
        <v>100</v>
      </c>
      <c r="AC828" s="145">
        <v>1</v>
      </c>
      <c r="AD828" s="164">
        <f>($L828*'Pivot Objective'!$C$9^5)*AB828*AC828</f>
        <v>6825732.9221386546</v>
      </c>
      <c r="AE828" s="140"/>
      <c r="AF828" s="140"/>
      <c r="AG828" s="164">
        <f>($L828*'Pivot Objective'!$C$9^6)*AE828*AF828</f>
        <v>0</v>
      </c>
      <c r="AH828" s="140"/>
      <c r="AI828" s="140"/>
      <c r="AJ828" s="164">
        <f>($L828*'Pivot Objective'!$C$9^7)*AH828*AI828</f>
        <v>0</v>
      </c>
      <c r="AK828" s="185">
        <f t="shared" si="90"/>
        <v>10825956.761638654</v>
      </c>
      <c r="AL828" s="186">
        <f t="shared" si="91"/>
        <v>10510.637632658887</v>
      </c>
    </row>
    <row r="829" spans="1:38" customFormat="1" ht="86.4" x14ac:dyDescent="0.3">
      <c r="A829" s="140" t="s">
        <v>1444</v>
      </c>
      <c r="B829" s="140">
        <v>1</v>
      </c>
      <c r="C829" s="166" t="s">
        <v>836</v>
      </c>
      <c r="D829" s="140" t="str">
        <f t="shared" si="93"/>
        <v>5</v>
      </c>
      <c r="E829" s="166" t="s">
        <v>1446</v>
      </c>
      <c r="F829" s="140">
        <f t="shared" si="92"/>
        <v>1</v>
      </c>
      <c r="G829" s="140" t="str">
        <f t="shared" si="94"/>
        <v>1.5.1</v>
      </c>
      <c r="H829" s="166" t="s">
        <v>1447</v>
      </c>
      <c r="I829" s="166" t="s">
        <v>1469</v>
      </c>
      <c r="J829" s="143" t="s">
        <v>1298</v>
      </c>
      <c r="K829" s="143" t="s">
        <v>716</v>
      </c>
      <c r="L829" s="144">
        <v>39000</v>
      </c>
      <c r="M829" s="170"/>
      <c r="N829" s="145"/>
      <c r="O829" s="164">
        <f t="shared" si="89"/>
        <v>0</v>
      </c>
      <c r="P829" s="170">
        <v>58</v>
      </c>
      <c r="Q829" s="145">
        <v>2</v>
      </c>
      <c r="R829" s="164">
        <f>$L829*'Pivot Objective'!$C$9*P829*Q829</f>
        <v>5170575.0428279992</v>
      </c>
      <c r="S829" s="166"/>
      <c r="T829" s="166"/>
      <c r="U829" s="164">
        <f>($L829*'Pivot Objective'!$C$9^2)*S829*T829</f>
        <v>0</v>
      </c>
      <c r="V829" s="166"/>
      <c r="W829" s="166"/>
      <c r="X829" s="164">
        <f>($L829*'Pivot Objective'!$C$9^3)*V829*W829</f>
        <v>0</v>
      </c>
      <c r="Y829" s="166"/>
      <c r="Z829" s="166"/>
      <c r="AA829" s="164">
        <f>($L829*'Pivot Objective'!$C$9^4)*Y829*Z829</f>
        <v>0</v>
      </c>
      <c r="AB829" s="170">
        <v>58</v>
      </c>
      <c r="AC829" s="145">
        <v>2</v>
      </c>
      <c r="AD829" s="164">
        <f>($L829*'Pivot Objective'!$C$9^5)*AB829*AC829</f>
        <v>8822747.3542157933</v>
      </c>
      <c r="AE829" s="140"/>
      <c r="AF829" s="140"/>
      <c r="AG829" s="164">
        <f>($L829*'Pivot Objective'!$C$9^6)*AE829*AF829</f>
        <v>0</v>
      </c>
      <c r="AH829" s="140"/>
      <c r="AI829" s="140"/>
      <c r="AJ829" s="164">
        <f>($L829*'Pivot Objective'!$C$9^7)*AH829*AI829</f>
        <v>0</v>
      </c>
      <c r="AK829" s="185">
        <f t="shared" si="90"/>
        <v>13993322.397043793</v>
      </c>
      <c r="AL829" s="186">
        <f t="shared" si="91"/>
        <v>13585.749900042518</v>
      </c>
    </row>
    <row r="830" spans="1:38" customFormat="1" ht="86.4" x14ac:dyDescent="0.3">
      <c r="A830" s="140" t="s">
        <v>1444</v>
      </c>
      <c r="B830" s="140">
        <v>1</v>
      </c>
      <c r="C830" s="166" t="s">
        <v>836</v>
      </c>
      <c r="D830" s="140" t="str">
        <f t="shared" si="93"/>
        <v>5</v>
      </c>
      <c r="E830" s="166" t="s">
        <v>1446</v>
      </c>
      <c r="F830" s="140">
        <f t="shared" si="92"/>
        <v>1</v>
      </c>
      <c r="G830" s="140" t="str">
        <f t="shared" si="94"/>
        <v>1.5.1</v>
      </c>
      <c r="H830" s="166" t="s">
        <v>1447</v>
      </c>
      <c r="I830" s="166" t="s">
        <v>1469</v>
      </c>
      <c r="J830" s="143" t="s">
        <v>154</v>
      </c>
      <c r="K830" s="143" t="s">
        <v>1297</v>
      </c>
      <c r="L830" s="144">
        <v>8000</v>
      </c>
      <c r="M830" s="170"/>
      <c r="N830" s="145"/>
      <c r="O830" s="164">
        <f t="shared" si="89"/>
        <v>0</v>
      </c>
      <c r="P830" s="170">
        <v>10</v>
      </c>
      <c r="Q830" s="145">
        <v>1</v>
      </c>
      <c r="R830" s="164">
        <f>$L830*'Pivot Objective'!$C$9*P830*Q830</f>
        <v>91433.687760000001</v>
      </c>
      <c r="S830" s="166"/>
      <c r="T830" s="166"/>
      <c r="U830" s="164">
        <f>($L830*'Pivot Objective'!$C$9^2)*S830*T830</f>
        <v>0</v>
      </c>
      <c r="V830" s="166"/>
      <c r="W830" s="166"/>
      <c r="X830" s="164">
        <f>($L830*'Pivot Objective'!$C$9^3)*V830*W830</f>
        <v>0</v>
      </c>
      <c r="Y830" s="166"/>
      <c r="Z830" s="166"/>
      <c r="AA830" s="164">
        <f>($L830*'Pivot Objective'!$C$9^4)*Y830*Z830</f>
        <v>0</v>
      </c>
      <c r="AB830" s="170">
        <v>10</v>
      </c>
      <c r="AC830" s="145">
        <v>1</v>
      </c>
      <c r="AD830" s="164">
        <f>($L830*'Pivot Objective'!$C$9^5)*AB830*AC830</f>
        <v>156016.75250602642</v>
      </c>
      <c r="AE830" s="140"/>
      <c r="AF830" s="140"/>
      <c r="AG830" s="164">
        <f>($L830*'Pivot Objective'!$C$9^6)*AE830*AF830</f>
        <v>0</v>
      </c>
      <c r="AH830" s="140"/>
      <c r="AI830" s="140"/>
      <c r="AJ830" s="164">
        <f>($L830*'Pivot Objective'!$C$9^7)*AH830*AI830</f>
        <v>0</v>
      </c>
      <c r="AK830" s="185">
        <f t="shared" si="90"/>
        <v>247450.44026602642</v>
      </c>
      <c r="AL830" s="186">
        <f t="shared" si="91"/>
        <v>240.24314588934604</v>
      </c>
    </row>
    <row r="831" spans="1:38" customFormat="1" ht="86.4" x14ac:dyDescent="0.3">
      <c r="A831" s="140" t="s">
        <v>1444</v>
      </c>
      <c r="B831" s="140">
        <v>1</v>
      </c>
      <c r="C831" s="166" t="s">
        <v>836</v>
      </c>
      <c r="D831" s="140" t="str">
        <f t="shared" si="93"/>
        <v>5</v>
      </c>
      <c r="E831" s="166" t="s">
        <v>1446</v>
      </c>
      <c r="F831" s="140">
        <f t="shared" ref="F831:F862" si="95">IF(H831=H830,F830,F830+1)</f>
        <v>1</v>
      </c>
      <c r="G831" s="140" t="str">
        <f t="shared" si="94"/>
        <v>1.5.1</v>
      </c>
      <c r="H831" s="166" t="s">
        <v>1447</v>
      </c>
      <c r="I831" s="166" t="s">
        <v>1469</v>
      </c>
      <c r="J831" s="143" t="s">
        <v>154</v>
      </c>
      <c r="K831" s="143" t="s">
        <v>717</v>
      </c>
      <c r="L831" s="144">
        <v>104850</v>
      </c>
      <c r="M831" s="170"/>
      <c r="N831" s="145"/>
      <c r="O831" s="164">
        <f t="shared" si="89"/>
        <v>0</v>
      </c>
      <c r="P831" s="170">
        <v>1</v>
      </c>
      <c r="Q831" s="145">
        <v>1</v>
      </c>
      <c r="R831" s="164">
        <f>$L831*'Pivot Objective'!$C$9*P831*Q831</f>
        <v>119835.27702044998</v>
      </c>
      <c r="S831" s="166"/>
      <c r="T831" s="166"/>
      <c r="U831" s="164">
        <f>($L831*'Pivot Objective'!$C$9^2)*S831*T831</f>
        <v>0</v>
      </c>
      <c r="V831" s="166"/>
      <c r="W831" s="166"/>
      <c r="X831" s="164">
        <f>($L831*'Pivot Objective'!$C$9^3)*V831*W831</f>
        <v>0</v>
      </c>
      <c r="Y831" s="166"/>
      <c r="Z831" s="166"/>
      <c r="AA831" s="164">
        <f>($L831*'Pivot Objective'!$C$9^4)*Y831*Z831</f>
        <v>0</v>
      </c>
      <c r="AB831" s="170">
        <v>1</v>
      </c>
      <c r="AC831" s="145">
        <v>1</v>
      </c>
      <c r="AD831" s="164">
        <f>($L831*'Pivot Objective'!$C$9^5)*AB831*AC831</f>
        <v>204479.45625321087</v>
      </c>
      <c r="AE831" s="140"/>
      <c r="AF831" s="140"/>
      <c r="AG831" s="164">
        <f>($L831*'Pivot Objective'!$C$9^6)*AE831*AF831</f>
        <v>0</v>
      </c>
      <c r="AH831" s="140"/>
      <c r="AI831" s="140"/>
      <c r="AJ831" s="164">
        <f>($L831*'Pivot Objective'!$C$9^7)*AH831*AI831</f>
        <v>0</v>
      </c>
      <c r="AK831" s="185">
        <f t="shared" si="90"/>
        <v>324314.73327366088</v>
      </c>
      <c r="AL831" s="186">
        <f t="shared" si="91"/>
        <v>314.86867308122413</v>
      </c>
    </row>
    <row r="832" spans="1:38" customFormat="1" ht="86.4" x14ac:dyDescent="0.3">
      <c r="A832" s="140" t="s">
        <v>1444</v>
      </c>
      <c r="B832" s="140">
        <v>1</v>
      </c>
      <c r="C832" s="166" t="s">
        <v>836</v>
      </c>
      <c r="D832" s="140" t="str">
        <f t="shared" si="93"/>
        <v>5</v>
      </c>
      <c r="E832" s="166" t="s">
        <v>1446</v>
      </c>
      <c r="F832" s="140">
        <f t="shared" si="95"/>
        <v>1</v>
      </c>
      <c r="G832" s="140" t="str">
        <f t="shared" si="94"/>
        <v>1.5.1</v>
      </c>
      <c r="H832" s="166" t="s">
        <v>1447</v>
      </c>
      <c r="I832" s="166" t="s">
        <v>1469</v>
      </c>
      <c r="J832" s="143" t="s">
        <v>154</v>
      </c>
      <c r="K832" s="143" t="s">
        <v>1299</v>
      </c>
      <c r="L832" s="144">
        <f>1480/7</f>
        <v>211.42857142857142</v>
      </c>
      <c r="M832" s="170"/>
      <c r="N832" s="145"/>
      <c r="O832" s="164">
        <f t="shared" si="89"/>
        <v>0</v>
      </c>
      <c r="P832" s="170">
        <v>22500</v>
      </c>
      <c r="Q832" s="145">
        <v>1</v>
      </c>
      <c r="R832" s="164">
        <f>$L832*'Pivot Objective'!$C$9*P832*Q832</f>
        <v>5437038.9328714283</v>
      </c>
      <c r="S832" s="166"/>
      <c r="T832" s="166"/>
      <c r="U832" s="164">
        <f>($L832*'Pivot Objective'!$C$9^2)*S832*T832</f>
        <v>0</v>
      </c>
      <c r="V832" s="166"/>
      <c r="W832" s="166"/>
      <c r="X832" s="164">
        <f>($L832*'Pivot Objective'!$C$9^3)*V832*W832</f>
        <v>0</v>
      </c>
      <c r="Y832" s="166"/>
      <c r="Z832" s="166"/>
      <c r="AA832" s="164">
        <f>($L832*'Pivot Objective'!$C$9^4)*Y832*Z832</f>
        <v>0</v>
      </c>
      <c r="AB832" s="170">
        <v>22500</v>
      </c>
      <c r="AC832" s="145">
        <v>1</v>
      </c>
      <c r="AD832" s="164">
        <f>($L832*'Pivot Objective'!$C$9^5)*AB832*AC832</f>
        <v>9277424.7472333554</v>
      </c>
      <c r="AE832" s="140"/>
      <c r="AF832" s="140"/>
      <c r="AG832" s="164">
        <f>($L832*'Pivot Objective'!$C$9^6)*AE832*AF832</f>
        <v>0</v>
      </c>
      <c r="AH832" s="140"/>
      <c r="AI832" s="140"/>
      <c r="AJ832" s="164">
        <f>($L832*'Pivot Objective'!$C$9^7)*AH832*AI832</f>
        <v>0</v>
      </c>
      <c r="AK832" s="185">
        <f t="shared" si="90"/>
        <v>14714463.680104785</v>
      </c>
      <c r="AL832" s="186">
        <f t="shared" si="91"/>
        <v>14285.887068062897</v>
      </c>
    </row>
    <row r="833" spans="1:38" customFormat="1" ht="86.4" x14ac:dyDescent="0.3">
      <c r="A833" s="140" t="s">
        <v>1444</v>
      </c>
      <c r="B833" s="140">
        <v>1</v>
      </c>
      <c r="C833" s="166" t="s">
        <v>836</v>
      </c>
      <c r="D833" s="140" t="str">
        <f t="shared" si="93"/>
        <v>5</v>
      </c>
      <c r="E833" s="166" t="s">
        <v>1446</v>
      </c>
      <c r="F833" s="140">
        <f t="shared" si="95"/>
        <v>1</v>
      </c>
      <c r="G833" s="140" t="str">
        <f t="shared" si="94"/>
        <v>1.5.1</v>
      </c>
      <c r="H833" s="166" t="s">
        <v>1447</v>
      </c>
      <c r="I833" s="166" t="s">
        <v>1469</v>
      </c>
      <c r="J833" s="143" t="s">
        <v>154</v>
      </c>
      <c r="K833" s="143" t="s">
        <v>712</v>
      </c>
      <c r="L833" s="144">
        <f>1480/7</f>
        <v>211.42857142857142</v>
      </c>
      <c r="M833" s="170"/>
      <c r="N833" s="145"/>
      <c r="O833" s="164">
        <f t="shared" si="89"/>
        <v>0</v>
      </c>
      <c r="P833" s="170">
        <v>60</v>
      </c>
      <c r="Q833" s="145">
        <v>29</v>
      </c>
      <c r="R833" s="164">
        <f>$L833*'Pivot Objective'!$C$9*P833*Q833</f>
        <v>420464.34414205706</v>
      </c>
      <c r="S833" s="166"/>
      <c r="T833" s="166"/>
      <c r="U833" s="164">
        <f>($L833*'Pivot Objective'!$C$9^2)*S833*T833</f>
        <v>0</v>
      </c>
      <c r="V833" s="166"/>
      <c r="W833" s="166"/>
      <c r="X833" s="164">
        <f>($L833*'Pivot Objective'!$C$9^3)*V833*W833</f>
        <v>0</v>
      </c>
      <c r="Y833" s="166"/>
      <c r="Z833" s="166"/>
      <c r="AA833" s="164">
        <f>($L833*'Pivot Objective'!$C$9^4)*Y833*Z833</f>
        <v>0</v>
      </c>
      <c r="AB833" s="170">
        <v>60</v>
      </c>
      <c r="AC833" s="145">
        <v>29</v>
      </c>
      <c r="AD833" s="164">
        <f>($L833*'Pivot Objective'!$C$9^5)*AB833*AC833</f>
        <v>717454.18045271293</v>
      </c>
      <c r="AE833" s="140"/>
      <c r="AF833" s="140"/>
      <c r="AG833" s="164">
        <f>($L833*'Pivot Objective'!$C$9^6)*AE833*AF833</f>
        <v>0</v>
      </c>
      <c r="AH833" s="140"/>
      <c r="AI833" s="140"/>
      <c r="AJ833" s="164">
        <f>($L833*'Pivot Objective'!$C$9^7)*AH833*AI833</f>
        <v>0</v>
      </c>
      <c r="AK833" s="185">
        <f t="shared" si="90"/>
        <v>1137918.52459477</v>
      </c>
      <c r="AL833" s="186">
        <f t="shared" si="91"/>
        <v>1104.7752665968642</v>
      </c>
    </row>
    <row r="834" spans="1:38" customFormat="1" ht="86.4" x14ac:dyDescent="0.3">
      <c r="A834" s="140" t="s">
        <v>1444</v>
      </c>
      <c r="B834" s="140">
        <v>1</v>
      </c>
      <c r="C834" s="166" t="s">
        <v>836</v>
      </c>
      <c r="D834" s="140" t="str">
        <f t="shared" si="93"/>
        <v>5</v>
      </c>
      <c r="E834" s="166" t="s">
        <v>1446</v>
      </c>
      <c r="F834" s="140">
        <f t="shared" si="95"/>
        <v>1</v>
      </c>
      <c r="G834" s="140" t="str">
        <f t="shared" si="94"/>
        <v>1.5.1</v>
      </c>
      <c r="H834" s="166" t="s">
        <v>1447</v>
      </c>
      <c r="I834" s="166" t="s">
        <v>1469</v>
      </c>
      <c r="J834" s="143" t="s">
        <v>848</v>
      </c>
      <c r="K834" s="143" t="s">
        <v>841</v>
      </c>
      <c r="L834" s="144">
        <v>0</v>
      </c>
      <c r="M834" s="170"/>
      <c r="N834" s="145"/>
      <c r="O834" s="164">
        <f t="shared" si="89"/>
        <v>0</v>
      </c>
      <c r="P834" s="170">
        <v>0</v>
      </c>
      <c r="Q834" s="145">
        <v>0</v>
      </c>
      <c r="R834" s="164">
        <f>$L834*'Pivot Objective'!$C$9*P834*Q834</f>
        <v>0</v>
      </c>
      <c r="S834" s="166"/>
      <c r="T834" s="166"/>
      <c r="U834" s="164">
        <f>($L834*'Pivot Objective'!$C$9^2)*S834*T834</f>
        <v>0</v>
      </c>
      <c r="V834" s="166"/>
      <c r="W834" s="166"/>
      <c r="X834" s="164">
        <f>($L834*'Pivot Objective'!$C$9^3)*V834*W834</f>
        <v>0</v>
      </c>
      <c r="Y834" s="166"/>
      <c r="Z834" s="166"/>
      <c r="AA834" s="164">
        <f>($L834*'Pivot Objective'!$C$9^4)*Y834*Z834</f>
        <v>0</v>
      </c>
      <c r="AB834" s="170">
        <v>0</v>
      </c>
      <c r="AC834" s="145">
        <v>0</v>
      </c>
      <c r="AD834" s="164">
        <f>($L834*'Pivot Objective'!$C$9^5)*AB834*AC834</f>
        <v>0</v>
      </c>
      <c r="AE834" s="140"/>
      <c r="AF834" s="140"/>
      <c r="AG834" s="164">
        <f>($L834*'Pivot Objective'!$C$9^6)*AE834*AF834</f>
        <v>0</v>
      </c>
      <c r="AH834" s="140"/>
      <c r="AI834" s="140"/>
      <c r="AJ834" s="164">
        <f>($L834*'Pivot Objective'!$C$9^7)*AH834*AI834</f>
        <v>0</v>
      </c>
      <c r="AK834" s="185">
        <f t="shared" si="90"/>
        <v>0</v>
      </c>
      <c r="AL834" s="186">
        <f t="shared" si="91"/>
        <v>0</v>
      </c>
    </row>
    <row r="835" spans="1:38" customFormat="1" ht="72" x14ac:dyDescent="0.3">
      <c r="A835" s="140" t="s">
        <v>1444</v>
      </c>
      <c r="B835" s="140">
        <v>1</v>
      </c>
      <c r="C835" s="166" t="s">
        <v>836</v>
      </c>
      <c r="D835" s="140" t="str">
        <f t="shared" si="93"/>
        <v>5</v>
      </c>
      <c r="E835" s="166" t="s">
        <v>1446</v>
      </c>
      <c r="F835" s="140">
        <f t="shared" si="95"/>
        <v>2</v>
      </c>
      <c r="G835" s="140" t="str">
        <f t="shared" si="94"/>
        <v>1.5.2</v>
      </c>
      <c r="H835" s="166" t="s">
        <v>1470</v>
      </c>
      <c r="I835" s="166" t="s">
        <v>1471</v>
      </c>
      <c r="J835" s="166" t="s">
        <v>841</v>
      </c>
      <c r="K835" s="166" t="s">
        <v>841</v>
      </c>
      <c r="L835" s="166">
        <v>0</v>
      </c>
      <c r="M835" s="169"/>
      <c r="N835" s="166"/>
      <c r="O835" s="164">
        <f t="shared" ref="O835:O898" si="96">$L835*M835*N835</f>
        <v>0</v>
      </c>
      <c r="P835" s="166"/>
      <c r="Q835" s="166"/>
      <c r="R835" s="164">
        <f>$L835*'Pivot Objective'!$C$9*P835*Q835</f>
        <v>0</v>
      </c>
      <c r="S835" s="169">
        <v>0</v>
      </c>
      <c r="T835" s="166">
        <v>0</v>
      </c>
      <c r="U835" s="164">
        <f>($L835*'Pivot Objective'!$C$9^2)*S835*T835</f>
        <v>0</v>
      </c>
      <c r="V835" s="169">
        <v>0</v>
      </c>
      <c r="W835" s="166">
        <v>0</v>
      </c>
      <c r="X835" s="164">
        <f>($L835*'Pivot Objective'!$C$9^3)*V835*W835</f>
        <v>0</v>
      </c>
      <c r="Y835" s="169">
        <v>0</v>
      </c>
      <c r="Z835" s="166">
        <v>0</v>
      </c>
      <c r="AA835" s="164">
        <f>($L835*'Pivot Objective'!$C$9^4)*Y835*Z835</f>
        <v>0</v>
      </c>
      <c r="AB835" s="169">
        <v>0</v>
      </c>
      <c r="AC835" s="166">
        <v>0</v>
      </c>
      <c r="AD835" s="164">
        <f>($L835*'Pivot Objective'!$C$9^5)*AB835*AC835</f>
        <v>0</v>
      </c>
      <c r="AE835" s="169">
        <v>0</v>
      </c>
      <c r="AF835" s="166">
        <v>0</v>
      </c>
      <c r="AG835" s="164">
        <f>($L835*'Pivot Objective'!$C$9^6)*AE835*AF835</f>
        <v>0</v>
      </c>
      <c r="AH835" s="169">
        <v>0</v>
      </c>
      <c r="AI835" s="166">
        <v>0</v>
      </c>
      <c r="AJ835" s="164">
        <f>($L835*'Pivot Objective'!$C$9^7)*AH835*AI835</f>
        <v>0</v>
      </c>
      <c r="AK835" s="185">
        <f t="shared" ref="AK835:AK898" si="97">O835+R835+U835+X835+AA835+AD835+AG835+AJ835</f>
        <v>0</v>
      </c>
      <c r="AL835" s="186">
        <f t="shared" ref="AL835:AL898" si="98">AK835/$AP$2</f>
        <v>0</v>
      </c>
    </row>
    <row r="836" spans="1:38" customFormat="1" ht="72" x14ac:dyDescent="0.3">
      <c r="A836" s="140" t="s">
        <v>1444</v>
      </c>
      <c r="B836" s="140">
        <v>1</v>
      </c>
      <c r="C836" s="166" t="s">
        <v>836</v>
      </c>
      <c r="D836" s="140" t="str">
        <f t="shared" si="93"/>
        <v>5</v>
      </c>
      <c r="E836" s="166" t="s">
        <v>1446</v>
      </c>
      <c r="F836" s="140">
        <f t="shared" si="95"/>
        <v>2</v>
      </c>
      <c r="G836" s="140" t="str">
        <f t="shared" si="94"/>
        <v>1.5.2</v>
      </c>
      <c r="H836" s="166" t="s">
        <v>1470</v>
      </c>
      <c r="I836" s="166" t="s">
        <v>1472</v>
      </c>
      <c r="J836" s="166" t="s">
        <v>841</v>
      </c>
      <c r="K836" s="166" t="s">
        <v>841</v>
      </c>
      <c r="L836" s="166">
        <v>0</v>
      </c>
      <c r="M836" s="169"/>
      <c r="N836" s="166"/>
      <c r="O836" s="164">
        <f t="shared" si="96"/>
        <v>0</v>
      </c>
      <c r="P836" s="166"/>
      <c r="Q836" s="166"/>
      <c r="R836" s="164">
        <f>$L836*'Pivot Objective'!$C$9*P836*Q836</f>
        <v>0</v>
      </c>
      <c r="S836" s="169">
        <v>0</v>
      </c>
      <c r="T836" s="166">
        <v>0</v>
      </c>
      <c r="U836" s="164">
        <f>($L836*'Pivot Objective'!$C$9^2)*S836*T836</f>
        <v>0</v>
      </c>
      <c r="V836" s="169">
        <v>0</v>
      </c>
      <c r="W836" s="166">
        <v>0</v>
      </c>
      <c r="X836" s="164">
        <f>($L836*'Pivot Objective'!$C$9^3)*V836*W836</f>
        <v>0</v>
      </c>
      <c r="Y836" s="169">
        <v>0</v>
      </c>
      <c r="Z836" s="166">
        <v>0</v>
      </c>
      <c r="AA836" s="164">
        <f>($L836*'Pivot Objective'!$C$9^4)*Y836*Z836</f>
        <v>0</v>
      </c>
      <c r="AB836" s="169">
        <v>0</v>
      </c>
      <c r="AC836" s="166">
        <v>0</v>
      </c>
      <c r="AD836" s="164">
        <f>($L836*'Pivot Objective'!$C$9^5)*AB836*AC836</f>
        <v>0</v>
      </c>
      <c r="AE836" s="169">
        <v>0</v>
      </c>
      <c r="AF836" s="166">
        <v>0</v>
      </c>
      <c r="AG836" s="164">
        <f>($L836*'Pivot Objective'!$C$9^6)*AE836*AF836</f>
        <v>0</v>
      </c>
      <c r="AH836" s="169">
        <v>0</v>
      </c>
      <c r="AI836" s="166">
        <v>0</v>
      </c>
      <c r="AJ836" s="164">
        <f>($L836*'Pivot Objective'!$C$9^7)*AH836*AI836</f>
        <v>0</v>
      </c>
      <c r="AK836" s="185">
        <f t="shared" si="97"/>
        <v>0</v>
      </c>
      <c r="AL836" s="186">
        <f t="shared" si="98"/>
        <v>0</v>
      </c>
    </row>
    <row r="837" spans="1:38" customFormat="1" ht="72" x14ac:dyDescent="0.3">
      <c r="A837" s="140" t="s">
        <v>1444</v>
      </c>
      <c r="B837" s="140">
        <v>1</v>
      </c>
      <c r="C837" s="166" t="s">
        <v>836</v>
      </c>
      <c r="D837" s="140" t="str">
        <f t="shared" si="93"/>
        <v>5</v>
      </c>
      <c r="E837" s="166" t="s">
        <v>1446</v>
      </c>
      <c r="F837" s="140">
        <f t="shared" si="95"/>
        <v>2</v>
      </c>
      <c r="G837" s="140" t="str">
        <f t="shared" si="94"/>
        <v>1.5.2</v>
      </c>
      <c r="H837" s="166" t="s">
        <v>1470</v>
      </c>
      <c r="I837" s="166" t="s">
        <v>1473</v>
      </c>
      <c r="J837" s="166" t="s">
        <v>718</v>
      </c>
      <c r="K837" s="166" t="s">
        <v>718</v>
      </c>
      <c r="L837" s="166">
        <v>0</v>
      </c>
      <c r="M837" s="169"/>
      <c r="N837" s="166"/>
      <c r="O837" s="164">
        <f t="shared" si="96"/>
        <v>0</v>
      </c>
      <c r="P837" s="166"/>
      <c r="Q837" s="166"/>
      <c r="R837" s="164">
        <f>$L837*'Pivot Objective'!$C$9*P837*Q837</f>
        <v>0</v>
      </c>
      <c r="S837" s="169">
        <v>0</v>
      </c>
      <c r="T837" s="166">
        <v>0</v>
      </c>
      <c r="U837" s="164">
        <f>($L837*'Pivot Objective'!$C$9^2)*S837*T837</f>
        <v>0</v>
      </c>
      <c r="V837" s="169">
        <v>0</v>
      </c>
      <c r="W837" s="166">
        <v>0</v>
      </c>
      <c r="X837" s="164">
        <f>($L837*'Pivot Objective'!$C$9^3)*V837*W837</f>
        <v>0</v>
      </c>
      <c r="Y837" s="169">
        <v>0</v>
      </c>
      <c r="Z837" s="166">
        <v>0</v>
      </c>
      <c r="AA837" s="164">
        <f>($L837*'Pivot Objective'!$C$9^4)*Y837*Z837</f>
        <v>0</v>
      </c>
      <c r="AB837" s="169">
        <v>0</v>
      </c>
      <c r="AC837" s="166">
        <v>0</v>
      </c>
      <c r="AD837" s="164">
        <f>($L837*'Pivot Objective'!$C$9^5)*AB837*AC837</f>
        <v>0</v>
      </c>
      <c r="AE837" s="169">
        <v>0</v>
      </c>
      <c r="AF837" s="166">
        <v>0</v>
      </c>
      <c r="AG837" s="164">
        <f>($L837*'Pivot Objective'!$C$9^6)*AE837*AF837</f>
        <v>0</v>
      </c>
      <c r="AH837" s="169">
        <v>0</v>
      </c>
      <c r="AI837" s="166">
        <v>0</v>
      </c>
      <c r="AJ837" s="164">
        <f>($L837*'Pivot Objective'!$C$9^7)*AH837*AI837</f>
        <v>0</v>
      </c>
      <c r="AK837" s="185">
        <f t="shared" si="97"/>
        <v>0</v>
      </c>
      <c r="AL837" s="186">
        <f t="shared" si="98"/>
        <v>0</v>
      </c>
    </row>
    <row r="838" spans="1:38" customFormat="1" ht="72" x14ac:dyDescent="0.3">
      <c r="A838" s="140" t="s">
        <v>1444</v>
      </c>
      <c r="B838" s="140">
        <v>1</v>
      </c>
      <c r="C838" s="166" t="s">
        <v>836</v>
      </c>
      <c r="D838" s="140" t="str">
        <f t="shared" si="93"/>
        <v>5</v>
      </c>
      <c r="E838" s="166" t="s">
        <v>1446</v>
      </c>
      <c r="F838" s="140">
        <f t="shared" si="95"/>
        <v>2</v>
      </c>
      <c r="G838" s="140" t="str">
        <f t="shared" si="94"/>
        <v>1.5.2</v>
      </c>
      <c r="H838" s="166" t="s">
        <v>1470</v>
      </c>
      <c r="I838" s="166" t="s">
        <v>1474</v>
      </c>
      <c r="J838" s="166" t="s">
        <v>1475</v>
      </c>
      <c r="K838" s="166" t="s">
        <v>709</v>
      </c>
      <c r="L838" s="166">
        <v>35000</v>
      </c>
      <c r="M838" s="169"/>
      <c r="N838" s="166"/>
      <c r="O838" s="164">
        <f t="shared" si="96"/>
        <v>0</v>
      </c>
      <c r="P838" s="166"/>
      <c r="Q838" s="166"/>
      <c r="R838" s="164">
        <f>$L838*'Pivot Objective'!$C$9*P838*Q838</f>
        <v>0</v>
      </c>
      <c r="S838" s="169">
        <v>30</v>
      </c>
      <c r="T838" s="166">
        <v>5</v>
      </c>
      <c r="U838" s="164">
        <f>($L838*'Pivot Objective'!$C$9^2)*S838*T838</f>
        <v>6857910.3283303361</v>
      </c>
      <c r="V838" s="169">
        <v>30</v>
      </c>
      <c r="W838" s="166">
        <v>5</v>
      </c>
      <c r="X838" s="164">
        <f>($L838*'Pivot Objective'!$C$9^3)*V838*W838</f>
        <v>7838050.3955829386</v>
      </c>
      <c r="Y838" s="169">
        <v>30</v>
      </c>
      <c r="Z838" s="166">
        <v>5</v>
      </c>
      <c r="AA838" s="164">
        <f>($L838*'Pivot Objective'!$C$9^4)*Y838*Z838</f>
        <v>8958273.1564609352</v>
      </c>
      <c r="AB838" s="169">
        <v>30</v>
      </c>
      <c r="AC838" s="166">
        <v>5</v>
      </c>
      <c r="AD838" s="164">
        <f>($L838*'Pivot Objective'!$C$9^5)*AB838*AC838</f>
        <v>10238599.383207982</v>
      </c>
      <c r="AE838" s="169">
        <v>30</v>
      </c>
      <c r="AF838" s="166">
        <v>5</v>
      </c>
      <c r="AG838" s="164">
        <f>($L838*'Pivot Objective'!$C$9^6)*AE838*AF838</f>
        <v>11701911.238799591</v>
      </c>
      <c r="AH838" s="169">
        <v>30</v>
      </c>
      <c r="AI838" s="166">
        <v>5</v>
      </c>
      <c r="AJ838" s="164">
        <f>($L838*'Pivot Objective'!$C$9^7)*AH838*AI838</f>
        <v>13374361.230045456</v>
      </c>
      <c r="AK838" s="185">
        <f t="shared" si="97"/>
        <v>58969105.732427239</v>
      </c>
      <c r="AL838" s="186">
        <f t="shared" si="98"/>
        <v>57251.558963521595</v>
      </c>
    </row>
    <row r="839" spans="1:38" customFormat="1" ht="72" x14ac:dyDescent="0.3">
      <c r="A839" s="140" t="s">
        <v>1444</v>
      </c>
      <c r="B839" s="140">
        <v>1</v>
      </c>
      <c r="C839" s="166" t="s">
        <v>836</v>
      </c>
      <c r="D839" s="140" t="str">
        <f t="shared" si="93"/>
        <v>5</v>
      </c>
      <c r="E839" s="166" t="s">
        <v>1446</v>
      </c>
      <c r="F839" s="140">
        <f t="shared" si="95"/>
        <v>2</v>
      </c>
      <c r="G839" s="140" t="str">
        <f t="shared" si="94"/>
        <v>1.5.2</v>
      </c>
      <c r="H839" s="166" t="s">
        <v>1470</v>
      </c>
      <c r="I839" s="166" t="s">
        <v>1474</v>
      </c>
      <c r="J839" s="166" t="s">
        <v>1475</v>
      </c>
      <c r="K839" s="166" t="s">
        <v>716</v>
      </c>
      <c r="L839" s="166">
        <v>39000</v>
      </c>
      <c r="M839" s="169"/>
      <c r="N839" s="166"/>
      <c r="O839" s="164">
        <f t="shared" si="96"/>
        <v>0</v>
      </c>
      <c r="P839" s="166"/>
      <c r="Q839" s="166"/>
      <c r="R839" s="164">
        <f>$L839*'Pivot Objective'!$C$9*P839*Q839</f>
        <v>0</v>
      </c>
      <c r="S839" s="169">
        <v>30</v>
      </c>
      <c r="T839" s="166">
        <v>6</v>
      </c>
      <c r="U839" s="164">
        <f>($L839*'Pivot Objective'!$C$9^2)*S839*T839</f>
        <v>9170005.8104531355</v>
      </c>
      <c r="V839" s="169">
        <v>30</v>
      </c>
      <c r="W839" s="166">
        <v>6</v>
      </c>
      <c r="X839" s="164">
        <f>($L839*'Pivot Objective'!$C$9^3)*V839*W839</f>
        <v>10480593.100379471</v>
      </c>
      <c r="Y839" s="169">
        <v>30</v>
      </c>
      <c r="Z839" s="166">
        <v>6</v>
      </c>
      <c r="AA839" s="164">
        <f>($L839*'Pivot Objective'!$C$9^4)*Y839*Z839</f>
        <v>11978490.963496335</v>
      </c>
      <c r="AB839" s="169">
        <v>30</v>
      </c>
      <c r="AC839" s="166">
        <v>6</v>
      </c>
      <c r="AD839" s="164">
        <f>($L839*'Pivot Objective'!$C$9^5)*AB839*AC839</f>
        <v>13690470.032403817</v>
      </c>
      <c r="AE839" s="169">
        <v>30</v>
      </c>
      <c r="AF839" s="166">
        <v>6</v>
      </c>
      <c r="AG839" s="164">
        <f>($L839*'Pivot Objective'!$C$9^6)*AE839*AF839</f>
        <v>15647127.027880596</v>
      </c>
      <c r="AH839" s="169">
        <v>30</v>
      </c>
      <c r="AI839" s="166">
        <v>6</v>
      </c>
      <c r="AJ839" s="164">
        <f>($L839*'Pivot Objective'!$C$9^7)*AH839*AI839</f>
        <v>17883431.58760364</v>
      </c>
      <c r="AK839" s="185">
        <f t="shared" si="97"/>
        <v>78850118.522216991</v>
      </c>
      <c r="AL839" s="186">
        <f t="shared" si="98"/>
        <v>76553.513128366016</v>
      </c>
    </row>
    <row r="840" spans="1:38" customFormat="1" ht="72" x14ac:dyDescent="0.3">
      <c r="A840" s="140" t="s">
        <v>1444</v>
      </c>
      <c r="B840" s="140">
        <v>1</v>
      </c>
      <c r="C840" s="166" t="s">
        <v>836</v>
      </c>
      <c r="D840" s="140" t="str">
        <f t="shared" si="93"/>
        <v>5</v>
      </c>
      <c r="E840" s="166" t="s">
        <v>1446</v>
      </c>
      <c r="F840" s="140">
        <f t="shared" si="95"/>
        <v>2</v>
      </c>
      <c r="G840" s="140" t="str">
        <f t="shared" si="94"/>
        <v>1.5.2</v>
      </c>
      <c r="H840" s="166" t="s">
        <v>1470</v>
      </c>
      <c r="I840" s="166" t="s">
        <v>1474</v>
      </c>
      <c r="J840" s="166" t="s">
        <v>1475</v>
      </c>
      <c r="K840" s="166" t="s">
        <v>712</v>
      </c>
      <c r="L840" s="166">
        <f>1480/7</f>
        <v>211.42857142857142</v>
      </c>
      <c r="M840" s="170"/>
      <c r="N840" s="166"/>
      <c r="O840" s="164">
        <f t="shared" si="96"/>
        <v>0</v>
      </c>
      <c r="P840" s="166"/>
      <c r="Q840" s="166"/>
      <c r="R840" s="164">
        <f>$L840*'Pivot Objective'!$C$9*P840*Q840</f>
        <v>0</v>
      </c>
      <c r="S840" s="170">
        <f>2*9*25</f>
        <v>450</v>
      </c>
      <c r="T840" s="166">
        <v>5</v>
      </c>
      <c r="U840" s="164">
        <f>($L840*'Pivot Objective'!$C$9^2)*S840*T840</f>
        <v>621410.65015891218</v>
      </c>
      <c r="V840" s="170">
        <f>2*9*25</f>
        <v>450</v>
      </c>
      <c r="W840" s="166">
        <v>5</v>
      </c>
      <c r="X840" s="164">
        <f>($L840*'Pivot Objective'!$C$9^3)*V840*W840</f>
        <v>710223.34196710703</v>
      </c>
      <c r="Y840" s="170">
        <f>2*9*25</f>
        <v>450</v>
      </c>
      <c r="Z840" s="166">
        <v>5</v>
      </c>
      <c r="AA840" s="164">
        <f>($L840*'Pivot Objective'!$C$9^4)*Y840*Z840</f>
        <v>811729.24111605203</v>
      </c>
      <c r="AB840" s="170">
        <f>2*9*25</f>
        <v>450</v>
      </c>
      <c r="AC840" s="166">
        <v>5</v>
      </c>
      <c r="AD840" s="164">
        <f>($L840*'Pivot Objective'!$C$9^5)*AB840*AC840</f>
        <v>927742.47472333559</v>
      </c>
      <c r="AE840" s="170">
        <f>2*9*25</f>
        <v>450</v>
      </c>
      <c r="AF840" s="166">
        <v>5</v>
      </c>
      <c r="AG840" s="164">
        <f>($L840*'Pivot Objective'!$C$9^6)*AE840*AF840</f>
        <v>1060336.4469442894</v>
      </c>
      <c r="AH840" s="170">
        <f>2*9*25</f>
        <v>450</v>
      </c>
      <c r="AI840" s="166">
        <v>5</v>
      </c>
      <c r="AJ840" s="164">
        <f>($L840*'Pivot Objective'!$C$9^7)*AH840*AI840</f>
        <v>1211880.8951306494</v>
      </c>
      <c r="AK840" s="185">
        <f t="shared" si="97"/>
        <v>5343323.0500403456</v>
      </c>
      <c r="AL840" s="186">
        <f t="shared" si="98"/>
        <v>5187.6922815925682</v>
      </c>
    </row>
    <row r="841" spans="1:38" customFormat="1" ht="72" x14ac:dyDescent="0.3">
      <c r="A841" s="140" t="s">
        <v>1444</v>
      </c>
      <c r="B841" s="140">
        <v>1</v>
      </c>
      <c r="C841" s="166" t="s">
        <v>836</v>
      </c>
      <c r="D841" s="140" t="str">
        <f t="shared" si="93"/>
        <v>5</v>
      </c>
      <c r="E841" s="166" t="s">
        <v>1446</v>
      </c>
      <c r="F841" s="140">
        <f t="shared" si="95"/>
        <v>2</v>
      </c>
      <c r="G841" s="140" t="str">
        <f t="shared" si="94"/>
        <v>1.5.2</v>
      </c>
      <c r="H841" s="166" t="s">
        <v>1470</v>
      </c>
      <c r="I841" s="166" t="s">
        <v>1474</v>
      </c>
      <c r="J841" s="166" t="s">
        <v>1475</v>
      </c>
      <c r="K841" s="166" t="s">
        <v>1299</v>
      </c>
      <c r="L841" s="166">
        <f>1480/7</f>
        <v>211.42857142857142</v>
      </c>
      <c r="M841" s="170"/>
      <c r="N841" s="166"/>
      <c r="O841" s="164">
        <f t="shared" si="96"/>
        <v>0</v>
      </c>
      <c r="P841" s="166"/>
      <c r="Q841" s="166"/>
      <c r="R841" s="164">
        <f>$L841*'Pivot Objective'!$C$9*P841*Q841</f>
        <v>0</v>
      </c>
      <c r="S841" s="170">
        <f>150*2*9</f>
        <v>2700</v>
      </c>
      <c r="T841" s="166">
        <v>1</v>
      </c>
      <c r="U841" s="164">
        <f>($L841*'Pivot Objective'!$C$9^2)*S841*T841</f>
        <v>745692.78019069461</v>
      </c>
      <c r="V841" s="170">
        <f>150*2*9</f>
        <v>2700</v>
      </c>
      <c r="W841" s="166">
        <v>1</v>
      </c>
      <c r="X841" s="164">
        <f>($L841*'Pivot Objective'!$C$9^3)*V841*W841</f>
        <v>852268.01036052837</v>
      </c>
      <c r="Y841" s="170">
        <f>150*2*9</f>
        <v>2700</v>
      </c>
      <c r="Z841" s="166">
        <v>1</v>
      </c>
      <c r="AA841" s="164">
        <f>($L841*'Pivot Objective'!$C$9^4)*Y841*Z841</f>
        <v>974075.08933926234</v>
      </c>
      <c r="AB841" s="170">
        <f>150*2*9</f>
        <v>2700</v>
      </c>
      <c r="AC841" s="166">
        <v>1</v>
      </c>
      <c r="AD841" s="164">
        <f>($L841*'Pivot Objective'!$C$9^5)*AB841*AC841</f>
        <v>1113290.9696680028</v>
      </c>
      <c r="AE841" s="170">
        <f>150*2*9</f>
        <v>2700</v>
      </c>
      <c r="AF841" s="166">
        <v>1</v>
      </c>
      <c r="AG841" s="164">
        <f>($L841*'Pivot Objective'!$C$9^6)*AE841*AF841</f>
        <v>1272403.7363331474</v>
      </c>
      <c r="AH841" s="170">
        <f>150*2*9</f>
        <v>2700</v>
      </c>
      <c r="AI841" s="166">
        <v>1</v>
      </c>
      <c r="AJ841" s="164">
        <f>($L841*'Pivot Objective'!$C$9^7)*AH841*AI841</f>
        <v>1454257.0741567793</v>
      </c>
      <c r="AK841" s="185">
        <f t="shared" si="97"/>
        <v>6411987.660048414</v>
      </c>
      <c r="AL841" s="186">
        <f t="shared" si="98"/>
        <v>6225.2307379110816</v>
      </c>
    </row>
    <row r="842" spans="1:38" customFormat="1" ht="72" x14ac:dyDescent="0.3">
      <c r="A842" s="140" t="s">
        <v>1444</v>
      </c>
      <c r="B842" s="140">
        <v>1</v>
      </c>
      <c r="C842" s="166" t="s">
        <v>836</v>
      </c>
      <c r="D842" s="140" t="str">
        <f t="shared" si="93"/>
        <v>5</v>
      </c>
      <c r="E842" s="166" t="s">
        <v>1446</v>
      </c>
      <c r="F842" s="140">
        <f t="shared" si="95"/>
        <v>2</v>
      </c>
      <c r="G842" s="140" t="str">
        <f t="shared" si="94"/>
        <v>1.5.2</v>
      </c>
      <c r="H842" s="166" t="s">
        <v>1470</v>
      </c>
      <c r="I842" s="166" t="s">
        <v>1474</v>
      </c>
      <c r="J842" s="166" t="s">
        <v>1476</v>
      </c>
      <c r="K842" s="166" t="s">
        <v>709</v>
      </c>
      <c r="L842" s="166">
        <v>35000</v>
      </c>
      <c r="M842" s="169"/>
      <c r="N842" s="166"/>
      <c r="O842" s="164">
        <f t="shared" si="96"/>
        <v>0</v>
      </c>
      <c r="P842" s="166"/>
      <c r="Q842" s="166"/>
      <c r="R842" s="164">
        <f>$L842*'Pivot Objective'!$C$9*P842*Q842</f>
        <v>0</v>
      </c>
      <c r="S842" s="169">
        <v>500</v>
      </c>
      <c r="T842" s="166">
        <v>5</v>
      </c>
      <c r="U842" s="164">
        <f>($L842*'Pivot Objective'!$C$9^2)*S842*T842</f>
        <v>114298505.47217228</v>
      </c>
      <c r="V842" s="169">
        <v>500</v>
      </c>
      <c r="W842" s="166">
        <v>5</v>
      </c>
      <c r="X842" s="164">
        <f>($L842*'Pivot Objective'!$C$9^3)*V842*W842</f>
        <v>130634173.25971565</v>
      </c>
      <c r="Y842" s="169">
        <v>500</v>
      </c>
      <c r="Z842" s="166">
        <v>5</v>
      </c>
      <c r="AA842" s="164">
        <f>($L842*'Pivot Objective'!$C$9^4)*Y842*Z842</f>
        <v>149304552.60768226</v>
      </c>
      <c r="AB842" s="169">
        <v>500</v>
      </c>
      <c r="AC842" s="166">
        <v>5</v>
      </c>
      <c r="AD842" s="164">
        <f>($L842*'Pivot Objective'!$C$9^5)*AB842*AC842</f>
        <v>170643323.05346638</v>
      </c>
      <c r="AE842" s="169">
        <v>500</v>
      </c>
      <c r="AF842" s="166">
        <v>5</v>
      </c>
      <c r="AG842" s="164">
        <f>($L842*'Pivot Objective'!$C$9^6)*AE842*AF842</f>
        <v>195031853.97999316</v>
      </c>
      <c r="AH842" s="169">
        <v>500</v>
      </c>
      <c r="AI842" s="166">
        <v>5</v>
      </c>
      <c r="AJ842" s="164">
        <f>($L842*'Pivot Objective'!$C$9^7)*AH842*AI842</f>
        <v>222906020.50075763</v>
      </c>
      <c r="AK842" s="185">
        <f t="shared" si="97"/>
        <v>982818428.8737874</v>
      </c>
      <c r="AL842" s="186">
        <f t="shared" si="98"/>
        <v>954192.64939202659</v>
      </c>
    </row>
    <row r="843" spans="1:38" customFormat="1" ht="72" x14ac:dyDescent="0.3">
      <c r="A843" s="140" t="s">
        <v>1444</v>
      </c>
      <c r="B843" s="140">
        <v>1</v>
      </c>
      <c r="C843" s="166" t="s">
        <v>836</v>
      </c>
      <c r="D843" s="140" t="str">
        <f t="shared" si="93"/>
        <v>5</v>
      </c>
      <c r="E843" s="166" t="s">
        <v>1446</v>
      </c>
      <c r="F843" s="140">
        <f t="shared" si="95"/>
        <v>2</v>
      </c>
      <c r="G843" s="140" t="str">
        <f t="shared" si="94"/>
        <v>1.5.2</v>
      </c>
      <c r="H843" s="166" t="s">
        <v>1470</v>
      </c>
      <c r="I843" s="166" t="s">
        <v>1474</v>
      </c>
      <c r="J843" s="166" t="s">
        <v>1476</v>
      </c>
      <c r="K843" s="166" t="s">
        <v>716</v>
      </c>
      <c r="L843" s="166">
        <v>39000</v>
      </c>
      <c r="M843" s="169"/>
      <c r="N843" s="166"/>
      <c r="O843" s="164">
        <f t="shared" si="96"/>
        <v>0</v>
      </c>
      <c r="P843" s="166"/>
      <c r="Q843" s="166"/>
      <c r="R843" s="164">
        <f>$L843*'Pivot Objective'!$C$9*P843*Q843</f>
        <v>0</v>
      </c>
      <c r="S843" s="169">
        <v>100</v>
      </c>
      <c r="T843" s="166">
        <v>6</v>
      </c>
      <c r="U843" s="164">
        <f>($L843*'Pivot Objective'!$C$9^2)*S843*T843</f>
        <v>30566686.034843788</v>
      </c>
      <c r="V843" s="169">
        <v>100</v>
      </c>
      <c r="W843" s="166">
        <v>6</v>
      </c>
      <c r="X843" s="164">
        <f>($L843*'Pivot Objective'!$C$9^3)*V843*W843</f>
        <v>34935310.334598243</v>
      </c>
      <c r="Y843" s="169">
        <v>100</v>
      </c>
      <c r="Z843" s="166">
        <v>6</v>
      </c>
      <c r="AA843" s="164">
        <f>($L843*'Pivot Objective'!$C$9^4)*Y843*Z843</f>
        <v>39928303.211654454</v>
      </c>
      <c r="AB843" s="169">
        <v>100</v>
      </c>
      <c r="AC843" s="166">
        <v>6</v>
      </c>
      <c r="AD843" s="164">
        <f>($L843*'Pivot Objective'!$C$9^5)*AB843*AC843</f>
        <v>45634900.108012728</v>
      </c>
      <c r="AE843" s="169">
        <v>100</v>
      </c>
      <c r="AF843" s="166">
        <v>6</v>
      </c>
      <c r="AG843" s="164">
        <f>($L843*'Pivot Objective'!$C$9^6)*AE843*AF843</f>
        <v>52157090.092935324</v>
      </c>
      <c r="AH843" s="169">
        <v>100</v>
      </c>
      <c r="AI843" s="166">
        <v>6</v>
      </c>
      <c r="AJ843" s="164">
        <f>($L843*'Pivot Objective'!$C$9^7)*AH843*AI843</f>
        <v>59611438.625345461</v>
      </c>
      <c r="AK843" s="185">
        <f t="shared" si="97"/>
        <v>262833728.40739</v>
      </c>
      <c r="AL843" s="186">
        <f t="shared" si="98"/>
        <v>255178.37709455341</v>
      </c>
    </row>
    <row r="844" spans="1:38" customFormat="1" ht="72" x14ac:dyDescent="0.3">
      <c r="A844" s="140" t="s">
        <v>1444</v>
      </c>
      <c r="B844" s="140">
        <v>1</v>
      </c>
      <c r="C844" s="166" t="s">
        <v>836</v>
      </c>
      <c r="D844" s="140" t="str">
        <f t="shared" si="93"/>
        <v>5</v>
      </c>
      <c r="E844" s="166" t="s">
        <v>1446</v>
      </c>
      <c r="F844" s="140">
        <f t="shared" si="95"/>
        <v>2</v>
      </c>
      <c r="G844" s="140" t="str">
        <f t="shared" si="94"/>
        <v>1.5.2</v>
      </c>
      <c r="H844" s="166" t="s">
        <v>1470</v>
      </c>
      <c r="I844" s="166" t="s">
        <v>1474</v>
      </c>
      <c r="J844" s="166" t="s">
        <v>1476</v>
      </c>
      <c r="K844" s="166" t="s">
        <v>712</v>
      </c>
      <c r="L844" s="166">
        <f>1480/7</f>
        <v>211.42857142857142</v>
      </c>
      <c r="M844" s="169"/>
      <c r="N844" s="166"/>
      <c r="O844" s="164">
        <f t="shared" si="96"/>
        <v>0</v>
      </c>
      <c r="P844" s="166"/>
      <c r="Q844" s="166"/>
      <c r="R844" s="164">
        <f>$L844*'Pivot Objective'!$C$9*P844*Q844</f>
        <v>0</v>
      </c>
      <c r="S844" s="169">
        <f>2*55*25</f>
        <v>2750</v>
      </c>
      <c r="T844" s="166">
        <v>5</v>
      </c>
      <c r="U844" s="164">
        <f>($L844*'Pivot Objective'!$C$9^2)*S844*T844</f>
        <v>3797509.5287489076</v>
      </c>
      <c r="V844" s="169">
        <f>2*55*25</f>
        <v>2750</v>
      </c>
      <c r="W844" s="166">
        <v>5</v>
      </c>
      <c r="X844" s="164">
        <f>($L844*'Pivot Objective'!$C$9^3)*V844*W844</f>
        <v>4340253.756465653</v>
      </c>
      <c r="Y844" s="169">
        <f>2*55*25</f>
        <v>2750</v>
      </c>
      <c r="Z844" s="166">
        <v>5</v>
      </c>
      <c r="AA844" s="164">
        <f>($L844*'Pivot Objective'!$C$9^4)*Y844*Z844</f>
        <v>4960567.5845980952</v>
      </c>
      <c r="AB844" s="169">
        <f>2*55*25</f>
        <v>2750</v>
      </c>
      <c r="AC844" s="166">
        <v>5</v>
      </c>
      <c r="AD844" s="164">
        <f>($L844*'Pivot Objective'!$C$9^5)*AB844*AC844</f>
        <v>5669537.3455314953</v>
      </c>
      <c r="AE844" s="169">
        <f>2*55*25</f>
        <v>2750</v>
      </c>
      <c r="AF844" s="166">
        <v>5</v>
      </c>
      <c r="AG844" s="164">
        <f>($L844*'Pivot Objective'!$C$9^6)*AE844*AF844</f>
        <v>6479833.8424373241</v>
      </c>
      <c r="AH844" s="169">
        <f>2*55*25</f>
        <v>2750</v>
      </c>
      <c r="AI844" s="166">
        <v>5</v>
      </c>
      <c r="AJ844" s="164">
        <f>($L844*'Pivot Objective'!$C$9^7)*AH844*AI844</f>
        <v>7405938.8035761919</v>
      </c>
      <c r="AK844" s="185">
        <f t="shared" si="97"/>
        <v>32653640.861357667</v>
      </c>
      <c r="AL844" s="186">
        <f t="shared" si="98"/>
        <v>31702.563943065696</v>
      </c>
    </row>
    <row r="845" spans="1:38" customFormat="1" ht="72" x14ac:dyDescent="0.3">
      <c r="A845" s="140" t="s">
        <v>1444</v>
      </c>
      <c r="B845" s="140">
        <v>1</v>
      </c>
      <c r="C845" s="166" t="s">
        <v>836</v>
      </c>
      <c r="D845" s="140" t="str">
        <f t="shared" si="93"/>
        <v>5</v>
      </c>
      <c r="E845" s="166" t="s">
        <v>1446</v>
      </c>
      <c r="F845" s="140">
        <f t="shared" si="95"/>
        <v>2</v>
      </c>
      <c r="G845" s="140" t="str">
        <f t="shared" si="94"/>
        <v>1.5.2</v>
      </c>
      <c r="H845" s="166" t="s">
        <v>1470</v>
      </c>
      <c r="I845" s="166" t="s">
        <v>1474</v>
      </c>
      <c r="J845" s="166" t="s">
        <v>1476</v>
      </c>
      <c r="K845" s="166" t="s">
        <v>1299</v>
      </c>
      <c r="L845" s="166">
        <f>1480/7</f>
        <v>211.42857142857142</v>
      </c>
      <c r="M845" s="169"/>
      <c r="N845" s="166"/>
      <c r="O845" s="164">
        <f t="shared" si="96"/>
        <v>0</v>
      </c>
      <c r="P845" s="166"/>
      <c r="Q845" s="166"/>
      <c r="R845" s="164">
        <f>$L845*'Pivot Objective'!$C$9*P845*Q845</f>
        <v>0</v>
      </c>
      <c r="S845" s="169">
        <f>150*2*55</f>
        <v>16500</v>
      </c>
      <c r="T845" s="166">
        <v>1</v>
      </c>
      <c r="U845" s="164">
        <f>($L845*'Pivot Objective'!$C$9^2)*S845*T845</f>
        <v>4557011.4344986891</v>
      </c>
      <c r="V845" s="169">
        <f>150*2*55</f>
        <v>16500</v>
      </c>
      <c r="W845" s="166">
        <v>1</v>
      </c>
      <c r="X845" s="164">
        <f>($L845*'Pivot Objective'!$C$9^3)*V845*W845</f>
        <v>5208304.5077587841</v>
      </c>
      <c r="Y845" s="169">
        <f>150*2*55</f>
        <v>16500</v>
      </c>
      <c r="Z845" s="166">
        <v>1</v>
      </c>
      <c r="AA845" s="164">
        <f>($L845*'Pivot Objective'!$C$9^4)*Y845*Z845</f>
        <v>5952681.1015177146</v>
      </c>
      <c r="AB845" s="169">
        <f>150*2*55</f>
        <v>16500</v>
      </c>
      <c r="AC845" s="166">
        <v>1</v>
      </c>
      <c r="AD845" s="164">
        <f>($L845*'Pivot Objective'!$C$9^5)*AB845*AC845</f>
        <v>6803444.8146377942</v>
      </c>
      <c r="AE845" s="169">
        <f>150*2*55</f>
        <v>16500</v>
      </c>
      <c r="AF845" s="166">
        <v>1</v>
      </c>
      <c r="AG845" s="164">
        <f>($L845*'Pivot Objective'!$C$9^6)*AE845*AF845</f>
        <v>7775800.6109247888</v>
      </c>
      <c r="AH845" s="169">
        <f>150*2*55</f>
        <v>16500</v>
      </c>
      <c r="AI845" s="166">
        <v>1</v>
      </c>
      <c r="AJ845" s="164">
        <f>($L845*'Pivot Objective'!$C$9^7)*AH845*AI845</f>
        <v>8887126.5642914288</v>
      </c>
      <c r="AK845" s="185">
        <f t="shared" si="97"/>
        <v>39184369.033629194</v>
      </c>
      <c r="AL845" s="186">
        <f t="shared" si="98"/>
        <v>38043.076731678826</v>
      </c>
    </row>
    <row r="846" spans="1:38" customFormat="1" ht="72" x14ac:dyDescent="0.3">
      <c r="A846" s="140" t="s">
        <v>1444</v>
      </c>
      <c r="B846" s="140">
        <v>1</v>
      </c>
      <c r="C846" s="166" t="s">
        <v>836</v>
      </c>
      <c r="D846" s="140" t="str">
        <f t="shared" si="93"/>
        <v>5</v>
      </c>
      <c r="E846" s="166" t="s">
        <v>1446</v>
      </c>
      <c r="F846" s="140">
        <f t="shared" si="95"/>
        <v>2</v>
      </c>
      <c r="G846" s="140" t="str">
        <f t="shared" si="94"/>
        <v>1.5.2</v>
      </c>
      <c r="H846" s="166" t="s">
        <v>1470</v>
      </c>
      <c r="I846" s="166" t="s">
        <v>1474</v>
      </c>
      <c r="J846" s="166" t="s">
        <v>1477</v>
      </c>
      <c r="K846" s="166">
        <f>10000*1022</f>
        <v>10220000</v>
      </c>
      <c r="L846" s="166">
        <f>10000*1022</f>
        <v>10220000</v>
      </c>
      <c r="M846" s="169"/>
      <c r="N846" s="166"/>
      <c r="O846" s="164">
        <f t="shared" si="96"/>
        <v>0</v>
      </c>
      <c r="P846" s="166"/>
      <c r="Q846" s="166"/>
      <c r="R846" s="164">
        <f>$L846*'Pivot Objective'!$C$9*P846*Q846</f>
        <v>0</v>
      </c>
      <c r="S846" s="169">
        <v>1</v>
      </c>
      <c r="T846" s="166">
        <v>1</v>
      </c>
      <c r="U846" s="164">
        <f>($L846*'Pivot Objective'!$C$9^2)*S846*T846</f>
        <v>13350065.439149722</v>
      </c>
      <c r="V846" s="169">
        <v>1</v>
      </c>
      <c r="W846" s="166">
        <v>1</v>
      </c>
      <c r="X846" s="164">
        <f>($L846*'Pivot Objective'!$C$9^3)*V846*W846</f>
        <v>15258071.436734786</v>
      </c>
      <c r="Y846" s="169">
        <v>1</v>
      </c>
      <c r="Z846" s="166">
        <v>1</v>
      </c>
      <c r="AA846" s="164">
        <f>($L846*'Pivot Objective'!$C$9^4)*Y846*Z846</f>
        <v>17438771.744577289</v>
      </c>
      <c r="AB846" s="169">
        <v>1</v>
      </c>
      <c r="AC846" s="166">
        <v>1</v>
      </c>
      <c r="AD846" s="164">
        <f>($L846*'Pivot Objective'!$C$9^5)*AB846*AC846</f>
        <v>19931140.132644873</v>
      </c>
      <c r="AE846" s="169">
        <v>1</v>
      </c>
      <c r="AF846" s="166">
        <v>1</v>
      </c>
      <c r="AG846" s="164">
        <f>($L846*'Pivot Objective'!$C$9^6)*AE846*AF846</f>
        <v>22779720.544863205</v>
      </c>
      <c r="AH846" s="169">
        <v>1</v>
      </c>
      <c r="AI846" s="166">
        <v>1</v>
      </c>
      <c r="AJ846" s="164">
        <f>($L846*'Pivot Objective'!$C$9^7)*AH846*AI846</f>
        <v>26035423.194488492</v>
      </c>
      <c r="AK846" s="185">
        <f t="shared" si="97"/>
        <v>114793192.49245837</v>
      </c>
      <c r="AL846" s="186">
        <f t="shared" si="98"/>
        <v>111449.70144898871</v>
      </c>
    </row>
    <row r="847" spans="1:38" customFormat="1" ht="72" x14ac:dyDescent="0.3">
      <c r="A847" s="140" t="s">
        <v>1444</v>
      </c>
      <c r="B847" s="140">
        <v>1</v>
      </c>
      <c r="C847" s="166" t="s">
        <v>836</v>
      </c>
      <c r="D847" s="140" t="str">
        <f t="shared" si="93"/>
        <v>5</v>
      </c>
      <c r="E847" s="166" t="s">
        <v>1446</v>
      </c>
      <c r="F847" s="140">
        <f t="shared" si="95"/>
        <v>3</v>
      </c>
      <c r="G847" s="140" t="str">
        <f t="shared" si="94"/>
        <v>1.5.3</v>
      </c>
      <c r="H847" s="166" t="s">
        <v>1478</v>
      </c>
      <c r="I847" s="171" t="s">
        <v>1115</v>
      </c>
      <c r="J847" s="171" t="s">
        <v>155</v>
      </c>
      <c r="K847" s="171" t="s">
        <v>841</v>
      </c>
      <c r="L847" s="166">
        <v>0</v>
      </c>
      <c r="M847" s="169"/>
      <c r="N847" s="166"/>
      <c r="O847" s="164">
        <f t="shared" si="96"/>
        <v>0</v>
      </c>
      <c r="P847" s="169">
        <v>0</v>
      </c>
      <c r="Q847" s="166">
        <v>0</v>
      </c>
      <c r="R847" s="164">
        <f>$L847*'Pivot Objective'!$C$9*P847*Q847</f>
        <v>0</v>
      </c>
      <c r="S847" s="169">
        <v>0</v>
      </c>
      <c r="T847" s="166">
        <v>0</v>
      </c>
      <c r="U847" s="164">
        <f>($L847*'Pivot Objective'!$C$9^2)*S847*T847</f>
        <v>0</v>
      </c>
      <c r="V847" s="169">
        <v>0</v>
      </c>
      <c r="W847" s="166">
        <v>0</v>
      </c>
      <c r="X847" s="164">
        <f>($L847*'Pivot Objective'!$C$9^3)*V847*W847</f>
        <v>0</v>
      </c>
      <c r="Y847" s="169">
        <v>0</v>
      </c>
      <c r="Z847" s="166">
        <v>0</v>
      </c>
      <c r="AA847" s="164">
        <f>($L847*'Pivot Objective'!$C$9^4)*Y847*Z847</f>
        <v>0</v>
      </c>
      <c r="AB847" s="169">
        <v>0</v>
      </c>
      <c r="AC847" s="166">
        <v>0</v>
      </c>
      <c r="AD847" s="164">
        <f>($L847*'Pivot Objective'!$C$9^5)*AB847*AC847</f>
        <v>0</v>
      </c>
      <c r="AE847" s="169">
        <v>0</v>
      </c>
      <c r="AF847" s="166">
        <v>0</v>
      </c>
      <c r="AG847" s="164">
        <f>($L847*'Pivot Objective'!$C$9^6)*AE847*AF847</f>
        <v>0</v>
      </c>
      <c r="AH847" s="169">
        <v>0</v>
      </c>
      <c r="AI847" s="166">
        <v>0</v>
      </c>
      <c r="AJ847" s="164">
        <f>($L847*'Pivot Objective'!$C$9^7)*AH847*AI847</f>
        <v>0</v>
      </c>
      <c r="AK847" s="185">
        <f t="shared" si="97"/>
        <v>0</v>
      </c>
      <c r="AL847" s="186">
        <f t="shared" si="98"/>
        <v>0</v>
      </c>
    </row>
    <row r="848" spans="1:38" customFormat="1" ht="72" x14ac:dyDescent="0.3">
      <c r="A848" s="140" t="s">
        <v>1444</v>
      </c>
      <c r="B848" s="140">
        <v>1</v>
      </c>
      <c r="C848" s="166" t="s">
        <v>836</v>
      </c>
      <c r="D848" s="140" t="str">
        <f t="shared" si="93"/>
        <v>5</v>
      </c>
      <c r="E848" s="166" t="s">
        <v>1446</v>
      </c>
      <c r="F848" s="140">
        <f t="shared" si="95"/>
        <v>3</v>
      </c>
      <c r="G848" s="140" t="str">
        <f t="shared" si="94"/>
        <v>1.5.3</v>
      </c>
      <c r="H848" s="166" t="s">
        <v>1478</v>
      </c>
      <c r="I848" s="171" t="s">
        <v>1115</v>
      </c>
      <c r="J848" s="171" t="s">
        <v>1116</v>
      </c>
      <c r="K848" s="171" t="s">
        <v>709</v>
      </c>
      <c r="L848" s="166">
        <v>35000</v>
      </c>
      <c r="M848" s="169"/>
      <c r="N848" s="166"/>
      <c r="O848" s="164">
        <f t="shared" si="96"/>
        <v>0</v>
      </c>
      <c r="P848" s="169">
        <v>50</v>
      </c>
      <c r="Q848" s="166">
        <v>1</v>
      </c>
      <c r="R848" s="164">
        <f>$L848*'Pivot Objective'!$C$9*P848*Q848</f>
        <v>2000111.9197499997</v>
      </c>
      <c r="S848" s="169">
        <v>50</v>
      </c>
      <c r="T848" s="166">
        <v>1</v>
      </c>
      <c r="U848" s="164">
        <f>($L848*'Pivot Objective'!$C$9^2)*S848*T848</f>
        <v>2285970.1094434457</v>
      </c>
      <c r="V848" s="169">
        <v>50</v>
      </c>
      <c r="W848" s="166">
        <v>1</v>
      </c>
      <c r="X848" s="164">
        <f>($L848*'Pivot Objective'!$C$9^3)*V848*W848</f>
        <v>2612683.4651943129</v>
      </c>
      <c r="Y848" s="169">
        <v>50</v>
      </c>
      <c r="Z848" s="166">
        <v>1</v>
      </c>
      <c r="AA848" s="164">
        <f>($L848*'Pivot Objective'!$C$9^4)*Y848*Z848</f>
        <v>2986091.0521536451</v>
      </c>
      <c r="AB848" s="169">
        <v>50</v>
      </c>
      <c r="AC848" s="166">
        <v>1</v>
      </c>
      <c r="AD848" s="164">
        <f>($L848*'Pivot Objective'!$C$9^5)*AB848*AC848</f>
        <v>3412866.4610693273</v>
      </c>
      <c r="AE848" s="169">
        <v>50</v>
      </c>
      <c r="AF848" s="166">
        <v>1</v>
      </c>
      <c r="AG848" s="164">
        <f>($L848*'Pivot Objective'!$C$9^6)*AE848*AF848</f>
        <v>3900637.0795998634</v>
      </c>
      <c r="AH848" s="169">
        <v>50</v>
      </c>
      <c r="AI848" s="166">
        <v>1</v>
      </c>
      <c r="AJ848" s="164">
        <f>($L848*'Pivot Objective'!$C$9^7)*AH848*AI848</f>
        <v>4458120.4100151528</v>
      </c>
      <c r="AK848" s="185">
        <f t="shared" si="97"/>
        <v>21656480.497225747</v>
      </c>
      <c r="AL848" s="186">
        <f t="shared" si="98"/>
        <v>21025.709220607521</v>
      </c>
    </row>
    <row r="849" spans="1:38" customFormat="1" ht="72" x14ac:dyDescent="0.3">
      <c r="A849" s="140" t="s">
        <v>1444</v>
      </c>
      <c r="B849" s="140">
        <v>1</v>
      </c>
      <c r="C849" s="166" t="s">
        <v>836</v>
      </c>
      <c r="D849" s="140" t="str">
        <f t="shared" si="93"/>
        <v>5</v>
      </c>
      <c r="E849" s="166" t="s">
        <v>1446</v>
      </c>
      <c r="F849" s="140">
        <f t="shared" si="95"/>
        <v>3</v>
      </c>
      <c r="G849" s="140" t="str">
        <f t="shared" si="94"/>
        <v>1.5.3</v>
      </c>
      <c r="H849" s="166" t="s">
        <v>1478</v>
      </c>
      <c r="I849" s="171" t="s">
        <v>1115</v>
      </c>
      <c r="J849" s="171" t="s">
        <v>1117</v>
      </c>
      <c r="K849" s="171" t="s">
        <v>716</v>
      </c>
      <c r="L849" s="166">
        <v>39000</v>
      </c>
      <c r="M849" s="169"/>
      <c r="N849" s="166"/>
      <c r="O849" s="164">
        <f t="shared" si="96"/>
        <v>0</v>
      </c>
      <c r="P849" s="169">
        <v>20</v>
      </c>
      <c r="Q849" s="166">
        <v>9</v>
      </c>
      <c r="R849" s="164">
        <f>$L849*'Pivot Objective'!$C$9*P849*Q849</f>
        <v>8023306.1009399984</v>
      </c>
      <c r="S849" s="169">
        <v>20</v>
      </c>
      <c r="T849" s="166">
        <v>9</v>
      </c>
      <c r="U849" s="164">
        <f>($L849*'Pivot Objective'!$C$9^2)*S849*T849</f>
        <v>9170005.8104531355</v>
      </c>
      <c r="V849" s="169">
        <v>20</v>
      </c>
      <c r="W849" s="166">
        <v>9</v>
      </c>
      <c r="X849" s="164">
        <f>($L849*'Pivot Objective'!$C$9^3)*V849*W849</f>
        <v>10480593.100379471</v>
      </c>
      <c r="Y849" s="169">
        <v>20</v>
      </c>
      <c r="Z849" s="166">
        <v>9</v>
      </c>
      <c r="AA849" s="164">
        <f>($L849*'Pivot Objective'!$C$9^4)*Y849*Z849</f>
        <v>11978490.963496337</v>
      </c>
      <c r="AB849" s="169">
        <v>20</v>
      </c>
      <c r="AC849" s="166">
        <v>9</v>
      </c>
      <c r="AD849" s="164">
        <f>($L849*'Pivot Objective'!$C$9^5)*AB849*AC849</f>
        <v>13690470.032403819</v>
      </c>
      <c r="AE849" s="169">
        <v>20</v>
      </c>
      <c r="AF849" s="166">
        <v>9</v>
      </c>
      <c r="AG849" s="164">
        <f>($L849*'Pivot Objective'!$C$9^6)*AE849*AF849</f>
        <v>15647127.027880598</v>
      </c>
      <c r="AH849" s="169">
        <v>20</v>
      </c>
      <c r="AI849" s="166">
        <v>9</v>
      </c>
      <c r="AJ849" s="164">
        <f>($L849*'Pivot Objective'!$C$9^7)*AH849*AI849</f>
        <v>17883431.58760364</v>
      </c>
      <c r="AK849" s="185">
        <f t="shared" si="97"/>
        <v>86873424.623157009</v>
      </c>
      <c r="AL849" s="186">
        <f t="shared" si="98"/>
        <v>84343.130702094189</v>
      </c>
    </row>
    <row r="850" spans="1:38" customFormat="1" ht="72" x14ac:dyDescent="0.3">
      <c r="A850" s="140" t="s">
        <v>1444</v>
      </c>
      <c r="B850" s="140">
        <v>1</v>
      </c>
      <c r="C850" s="166" t="s">
        <v>836</v>
      </c>
      <c r="D850" s="140" t="str">
        <f t="shared" si="93"/>
        <v>5</v>
      </c>
      <c r="E850" s="166" t="s">
        <v>1446</v>
      </c>
      <c r="F850" s="140">
        <f t="shared" si="95"/>
        <v>3</v>
      </c>
      <c r="G850" s="140" t="str">
        <f t="shared" si="94"/>
        <v>1.5.3</v>
      </c>
      <c r="H850" s="166" t="s">
        <v>1478</v>
      </c>
      <c r="I850" s="171" t="s">
        <v>1115</v>
      </c>
      <c r="J850" s="171" t="s">
        <v>1117</v>
      </c>
      <c r="K850" s="171" t="s">
        <v>709</v>
      </c>
      <c r="L850" s="166">
        <v>35000</v>
      </c>
      <c r="M850" s="169"/>
      <c r="N850" s="166"/>
      <c r="O850" s="164">
        <f t="shared" si="96"/>
        <v>0</v>
      </c>
      <c r="P850" s="169">
        <v>20</v>
      </c>
      <c r="Q850" s="166">
        <v>6</v>
      </c>
      <c r="R850" s="164">
        <f>$L850*'Pivot Objective'!$C$9*P850*Q850</f>
        <v>4800268.6073999992</v>
      </c>
      <c r="S850" s="169">
        <v>20</v>
      </c>
      <c r="T850" s="166">
        <v>6</v>
      </c>
      <c r="U850" s="164">
        <f>($L850*'Pivot Objective'!$C$9^2)*S850*T850</f>
        <v>5486328.2626642687</v>
      </c>
      <c r="V850" s="169">
        <v>20</v>
      </c>
      <c r="W850" s="166">
        <v>6</v>
      </c>
      <c r="X850" s="164">
        <f>($L850*'Pivot Objective'!$C$9^3)*V850*W850</f>
        <v>6270440.3164663501</v>
      </c>
      <c r="Y850" s="169">
        <v>20</v>
      </c>
      <c r="Z850" s="166">
        <v>6</v>
      </c>
      <c r="AA850" s="164">
        <f>($L850*'Pivot Objective'!$C$9^4)*Y850*Z850</f>
        <v>7166618.5251687476</v>
      </c>
      <c r="AB850" s="169">
        <v>20</v>
      </c>
      <c r="AC850" s="166">
        <v>6</v>
      </c>
      <c r="AD850" s="164">
        <f>($L850*'Pivot Objective'!$C$9^5)*AB850*AC850</f>
        <v>8190879.5065663867</v>
      </c>
      <c r="AE850" s="169">
        <v>20</v>
      </c>
      <c r="AF850" s="166">
        <v>6</v>
      </c>
      <c r="AG850" s="164">
        <f>($L850*'Pivot Objective'!$C$9^6)*AE850*AF850</f>
        <v>9361528.9910396729</v>
      </c>
      <c r="AH850" s="169">
        <v>20</v>
      </c>
      <c r="AI850" s="166">
        <v>6</v>
      </c>
      <c r="AJ850" s="164">
        <f>($L850*'Pivot Objective'!$C$9^7)*AH850*AI850</f>
        <v>10699488.984036366</v>
      </c>
      <c r="AK850" s="185">
        <f t="shared" si="97"/>
        <v>51975553.193341792</v>
      </c>
      <c r="AL850" s="186">
        <f t="shared" si="98"/>
        <v>50461.702129458048</v>
      </c>
    </row>
    <row r="851" spans="1:38" customFormat="1" ht="72" x14ac:dyDescent="0.3">
      <c r="A851" s="140" t="s">
        <v>1444</v>
      </c>
      <c r="B851" s="140">
        <v>1</v>
      </c>
      <c r="C851" s="166" t="s">
        <v>836</v>
      </c>
      <c r="D851" s="140" t="str">
        <f t="shared" si="93"/>
        <v>5</v>
      </c>
      <c r="E851" s="166" t="s">
        <v>1446</v>
      </c>
      <c r="F851" s="140">
        <f t="shared" si="95"/>
        <v>3</v>
      </c>
      <c r="G851" s="140" t="str">
        <f t="shared" si="94"/>
        <v>1.5.3</v>
      </c>
      <c r="H851" s="166" t="s">
        <v>1478</v>
      </c>
      <c r="I851" s="171" t="s">
        <v>1115</v>
      </c>
      <c r="J851" s="171" t="s">
        <v>1117</v>
      </c>
      <c r="K851" s="171" t="s">
        <v>1029</v>
      </c>
      <c r="L851" s="166">
        <f>1480/7</f>
        <v>211.42857142857142</v>
      </c>
      <c r="M851" s="170"/>
      <c r="N851" s="166"/>
      <c r="O851" s="164">
        <f t="shared" si="96"/>
        <v>0</v>
      </c>
      <c r="P851" s="170">
        <f>2*9*25</f>
        <v>450</v>
      </c>
      <c r="Q851" s="166">
        <v>6</v>
      </c>
      <c r="R851" s="164">
        <f>$L851*'Pivot Objective'!$C$9*P851*Q851</f>
        <v>652444.67194457131</v>
      </c>
      <c r="S851" s="170">
        <f>2*9*25</f>
        <v>450</v>
      </c>
      <c r="T851" s="166">
        <v>6</v>
      </c>
      <c r="U851" s="164">
        <f>($L851*'Pivot Objective'!$C$9^2)*S851*T851</f>
        <v>745692.78019069461</v>
      </c>
      <c r="V851" s="170">
        <f>2*9*25</f>
        <v>450</v>
      </c>
      <c r="W851" s="166">
        <v>6</v>
      </c>
      <c r="X851" s="164">
        <f>($L851*'Pivot Objective'!$C$9^3)*V851*W851</f>
        <v>852268.01036052837</v>
      </c>
      <c r="Y851" s="170">
        <f>2*9*25</f>
        <v>450</v>
      </c>
      <c r="Z851" s="166">
        <v>6</v>
      </c>
      <c r="AA851" s="164">
        <f>($L851*'Pivot Objective'!$C$9^4)*Y851*Z851</f>
        <v>974075.08933926234</v>
      </c>
      <c r="AB851" s="170">
        <f>2*9*25</f>
        <v>450</v>
      </c>
      <c r="AC851" s="166">
        <v>6</v>
      </c>
      <c r="AD851" s="164">
        <f>($L851*'Pivot Objective'!$C$9^5)*AB851*AC851</f>
        <v>1113290.9696680028</v>
      </c>
      <c r="AE851" s="170">
        <f>2*9*25</f>
        <v>450</v>
      </c>
      <c r="AF851" s="166">
        <v>6</v>
      </c>
      <c r="AG851" s="164">
        <f>($L851*'Pivot Objective'!$C$9^6)*AE851*AF851</f>
        <v>1272403.7363331474</v>
      </c>
      <c r="AH851" s="170">
        <f>2*9*25</f>
        <v>450</v>
      </c>
      <c r="AI851" s="166">
        <v>6</v>
      </c>
      <c r="AJ851" s="164">
        <f>($L851*'Pivot Objective'!$C$9^7)*AH851*AI851</f>
        <v>1454257.0741567793</v>
      </c>
      <c r="AK851" s="185">
        <f t="shared" si="97"/>
        <v>7064432.3319929857</v>
      </c>
      <c r="AL851" s="186">
        <f t="shared" si="98"/>
        <v>6858.6721669834815</v>
      </c>
    </row>
    <row r="852" spans="1:38" customFormat="1" ht="72" x14ac:dyDescent="0.3">
      <c r="A852" s="140" t="s">
        <v>1444</v>
      </c>
      <c r="B852" s="140">
        <v>1</v>
      </c>
      <c r="C852" s="166" t="s">
        <v>836</v>
      </c>
      <c r="D852" s="140" t="str">
        <f t="shared" si="93"/>
        <v>5</v>
      </c>
      <c r="E852" s="166" t="s">
        <v>1446</v>
      </c>
      <c r="F852" s="140">
        <f t="shared" si="95"/>
        <v>3</v>
      </c>
      <c r="G852" s="140" t="str">
        <f t="shared" si="94"/>
        <v>1.5.3</v>
      </c>
      <c r="H852" s="166" t="s">
        <v>1478</v>
      </c>
      <c r="I852" s="171" t="s">
        <v>1115</v>
      </c>
      <c r="J852" s="171" t="s">
        <v>1117</v>
      </c>
      <c r="K852" s="171" t="s">
        <v>1336</v>
      </c>
      <c r="L852" s="166">
        <f>1480/7</f>
        <v>211.42857142857142</v>
      </c>
      <c r="M852" s="170"/>
      <c r="N852" s="166"/>
      <c r="O852" s="164">
        <f t="shared" si="96"/>
        <v>0</v>
      </c>
      <c r="P852" s="170">
        <f>150*2*9</f>
        <v>2700</v>
      </c>
      <c r="Q852" s="166">
        <v>3</v>
      </c>
      <c r="R852" s="164">
        <f>$L852*'Pivot Objective'!$C$9*P852*Q852</f>
        <v>1957334.015833714</v>
      </c>
      <c r="S852" s="170">
        <f>150*2*9</f>
        <v>2700</v>
      </c>
      <c r="T852" s="166">
        <v>3</v>
      </c>
      <c r="U852" s="164">
        <f>($L852*'Pivot Objective'!$C$9^2)*S852*T852</f>
        <v>2237078.3405720838</v>
      </c>
      <c r="V852" s="170">
        <f>150*2*9</f>
        <v>2700</v>
      </c>
      <c r="W852" s="166">
        <v>3</v>
      </c>
      <c r="X852" s="164">
        <f>($L852*'Pivot Objective'!$C$9^3)*V852*W852</f>
        <v>2556804.0310815852</v>
      </c>
      <c r="Y852" s="170">
        <f>150*2*9</f>
        <v>2700</v>
      </c>
      <c r="Z852" s="166">
        <v>3</v>
      </c>
      <c r="AA852" s="164">
        <f>($L852*'Pivot Objective'!$C$9^4)*Y852*Z852</f>
        <v>2922225.268017787</v>
      </c>
      <c r="AB852" s="170">
        <f>150*2*9</f>
        <v>2700</v>
      </c>
      <c r="AC852" s="166">
        <v>3</v>
      </c>
      <c r="AD852" s="164">
        <f>($L852*'Pivot Objective'!$C$9^5)*AB852*AC852</f>
        <v>3339872.9090040084</v>
      </c>
      <c r="AE852" s="170">
        <f>150*2*9</f>
        <v>2700</v>
      </c>
      <c r="AF852" s="166">
        <v>3</v>
      </c>
      <c r="AG852" s="164">
        <f>($L852*'Pivot Objective'!$C$9^6)*AE852*AF852</f>
        <v>3817211.2089994419</v>
      </c>
      <c r="AH852" s="170">
        <f>150*2*9</f>
        <v>2700</v>
      </c>
      <c r="AI852" s="166">
        <v>3</v>
      </c>
      <c r="AJ852" s="164">
        <f>($L852*'Pivot Objective'!$C$9^7)*AH852*AI852</f>
        <v>4362771.2224703375</v>
      </c>
      <c r="AK852" s="185">
        <f t="shared" si="97"/>
        <v>21193296.995978959</v>
      </c>
      <c r="AL852" s="186">
        <f t="shared" si="98"/>
        <v>20576.016500950445</v>
      </c>
    </row>
    <row r="853" spans="1:38" customFormat="1" ht="57.6" x14ac:dyDescent="0.3">
      <c r="A853" s="140" t="s">
        <v>1444</v>
      </c>
      <c r="B853" s="140">
        <v>1</v>
      </c>
      <c r="C853" s="166" t="s">
        <v>836</v>
      </c>
      <c r="D853" s="140" t="str">
        <f t="shared" si="93"/>
        <v>5</v>
      </c>
      <c r="E853" s="166" t="s">
        <v>1446</v>
      </c>
      <c r="F853" s="140">
        <f t="shared" si="95"/>
        <v>3</v>
      </c>
      <c r="G853" s="140" t="str">
        <f t="shared" si="94"/>
        <v>1.5.3</v>
      </c>
      <c r="H853" s="166" t="s">
        <v>1478</v>
      </c>
      <c r="I853" s="171" t="s">
        <v>1118</v>
      </c>
      <c r="J853" s="171" t="s">
        <v>1119</v>
      </c>
      <c r="K853" s="171" t="s">
        <v>709</v>
      </c>
      <c r="L853" s="166">
        <v>35000</v>
      </c>
      <c r="M853" s="169"/>
      <c r="N853" s="166"/>
      <c r="O853" s="164">
        <f t="shared" si="96"/>
        <v>0</v>
      </c>
      <c r="P853" s="169">
        <v>30</v>
      </c>
      <c r="Q853" s="166">
        <v>5</v>
      </c>
      <c r="R853" s="164">
        <f>$L853*'Pivot Objective'!$C$9*P853*Q853</f>
        <v>6000335.7592499992</v>
      </c>
      <c r="S853" s="169">
        <v>30</v>
      </c>
      <c r="T853" s="166">
        <v>5</v>
      </c>
      <c r="U853" s="164">
        <f>($L853*'Pivot Objective'!$C$9^2)*S853*T853</f>
        <v>6857910.3283303361</v>
      </c>
      <c r="V853" s="169">
        <v>30</v>
      </c>
      <c r="W853" s="166">
        <v>5</v>
      </c>
      <c r="X853" s="164">
        <f>($L853*'Pivot Objective'!$C$9^3)*V853*W853</f>
        <v>7838050.3955829386</v>
      </c>
      <c r="Y853" s="169">
        <v>30</v>
      </c>
      <c r="Z853" s="166">
        <v>5</v>
      </c>
      <c r="AA853" s="164">
        <f>($L853*'Pivot Objective'!$C$9^4)*Y853*Z853</f>
        <v>8958273.1564609352</v>
      </c>
      <c r="AB853" s="169">
        <v>30</v>
      </c>
      <c r="AC853" s="166">
        <v>5</v>
      </c>
      <c r="AD853" s="164">
        <f>($L853*'Pivot Objective'!$C$9^5)*AB853*AC853</f>
        <v>10238599.383207982</v>
      </c>
      <c r="AE853" s="169">
        <v>30</v>
      </c>
      <c r="AF853" s="166">
        <v>5</v>
      </c>
      <c r="AG853" s="164">
        <f>($L853*'Pivot Objective'!$C$9^6)*AE853*AF853</f>
        <v>11701911.238799591</v>
      </c>
      <c r="AH853" s="169">
        <v>30</v>
      </c>
      <c r="AI853" s="166">
        <v>5</v>
      </c>
      <c r="AJ853" s="164">
        <f>($L853*'Pivot Objective'!$C$9^7)*AH853*AI853</f>
        <v>13374361.230045456</v>
      </c>
      <c r="AK853" s="185">
        <f t="shared" si="97"/>
        <v>64969441.49167724</v>
      </c>
      <c r="AL853" s="186">
        <f t="shared" si="98"/>
        <v>63077.12766182256</v>
      </c>
    </row>
    <row r="854" spans="1:38" customFormat="1" ht="57.6" x14ac:dyDescent="0.3">
      <c r="A854" s="140" t="s">
        <v>1444</v>
      </c>
      <c r="B854" s="140">
        <v>1</v>
      </c>
      <c r="C854" s="166" t="s">
        <v>836</v>
      </c>
      <c r="D854" s="140" t="str">
        <f t="shared" si="93"/>
        <v>5</v>
      </c>
      <c r="E854" s="166" t="s">
        <v>1446</v>
      </c>
      <c r="F854" s="140">
        <f t="shared" si="95"/>
        <v>3</v>
      </c>
      <c r="G854" s="140" t="str">
        <f t="shared" si="94"/>
        <v>1.5.3</v>
      </c>
      <c r="H854" s="166" t="s">
        <v>1478</v>
      </c>
      <c r="I854" s="171" t="s">
        <v>1118</v>
      </c>
      <c r="J854" s="171" t="s">
        <v>1119</v>
      </c>
      <c r="K854" s="171" t="s">
        <v>716</v>
      </c>
      <c r="L854" s="166">
        <v>39000</v>
      </c>
      <c r="M854" s="169"/>
      <c r="N854" s="166"/>
      <c r="O854" s="164">
        <f t="shared" si="96"/>
        <v>0</v>
      </c>
      <c r="P854" s="169">
        <v>30</v>
      </c>
      <c r="Q854" s="166">
        <v>6</v>
      </c>
      <c r="R854" s="164">
        <f>$L854*'Pivot Objective'!$C$9*P854*Q854</f>
        <v>8023306.1009399984</v>
      </c>
      <c r="S854" s="169">
        <v>30</v>
      </c>
      <c r="T854" s="166">
        <v>6</v>
      </c>
      <c r="U854" s="164">
        <f>($L854*'Pivot Objective'!$C$9^2)*S854*T854</f>
        <v>9170005.8104531355</v>
      </c>
      <c r="V854" s="169">
        <v>30</v>
      </c>
      <c r="W854" s="166">
        <v>6</v>
      </c>
      <c r="X854" s="164">
        <f>($L854*'Pivot Objective'!$C$9^3)*V854*W854</f>
        <v>10480593.100379471</v>
      </c>
      <c r="Y854" s="169">
        <v>30</v>
      </c>
      <c r="Z854" s="166">
        <v>6</v>
      </c>
      <c r="AA854" s="164">
        <f>($L854*'Pivot Objective'!$C$9^4)*Y854*Z854</f>
        <v>11978490.963496335</v>
      </c>
      <c r="AB854" s="169">
        <v>30</v>
      </c>
      <c r="AC854" s="166">
        <v>6</v>
      </c>
      <c r="AD854" s="164">
        <f>($L854*'Pivot Objective'!$C$9^5)*AB854*AC854</f>
        <v>13690470.032403817</v>
      </c>
      <c r="AE854" s="169">
        <v>30</v>
      </c>
      <c r="AF854" s="166">
        <v>6</v>
      </c>
      <c r="AG854" s="164">
        <f>($L854*'Pivot Objective'!$C$9^6)*AE854*AF854</f>
        <v>15647127.027880596</v>
      </c>
      <c r="AH854" s="169">
        <v>30</v>
      </c>
      <c r="AI854" s="166">
        <v>6</v>
      </c>
      <c r="AJ854" s="164">
        <f>($L854*'Pivot Objective'!$C$9^7)*AH854*AI854</f>
        <v>17883431.58760364</v>
      </c>
      <c r="AK854" s="185">
        <f t="shared" si="97"/>
        <v>86873424.623157009</v>
      </c>
      <c r="AL854" s="186">
        <f t="shared" si="98"/>
        <v>84343.130702094189</v>
      </c>
    </row>
    <row r="855" spans="1:38" customFormat="1" ht="57.6" x14ac:dyDescent="0.3">
      <c r="A855" s="140" t="s">
        <v>1444</v>
      </c>
      <c r="B855" s="140">
        <v>1</v>
      </c>
      <c r="C855" s="166" t="s">
        <v>836</v>
      </c>
      <c r="D855" s="140" t="str">
        <f t="shared" si="93"/>
        <v>5</v>
      </c>
      <c r="E855" s="166" t="s">
        <v>1446</v>
      </c>
      <c r="F855" s="140">
        <f t="shared" si="95"/>
        <v>3</v>
      </c>
      <c r="G855" s="140" t="str">
        <f t="shared" si="94"/>
        <v>1.5.3</v>
      </c>
      <c r="H855" s="166" t="s">
        <v>1478</v>
      </c>
      <c r="I855" s="171" t="s">
        <v>1118</v>
      </c>
      <c r="J855" s="171" t="s">
        <v>1119</v>
      </c>
      <c r="K855" s="171" t="s">
        <v>712</v>
      </c>
      <c r="L855" s="166">
        <f>1480/7</f>
        <v>211.42857142857142</v>
      </c>
      <c r="M855" s="170"/>
      <c r="N855" s="166"/>
      <c r="O855" s="164">
        <f t="shared" si="96"/>
        <v>0</v>
      </c>
      <c r="P855" s="170">
        <f>2*9*25</f>
        <v>450</v>
      </c>
      <c r="Q855" s="166">
        <v>5</v>
      </c>
      <c r="R855" s="164">
        <f>$L855*'Pivot Objective'!$C$9*P855*Q855</f>
        <v>543703.89328714274</v>
      </c>
      <c r="S855" s="170">
        <f>2*9*25</f>
        <v>450</v>
      </c>
      <c r="T855" s="166">
        <v>5</v>
      </c>
      <c r="U855" s="164">
        <f>($L855*'Pivot Objective'!$C$9^2)*S855*T855</f>
        <v>621410.65015891218</v>
      </c>
      <c r="V855" s="170">
        <f>2*9*25</f>
        <v>450</v>
      </c>
      <c r="W855" s="166">
        <v>5</v>
      </c>
      <c r="X855" s="164">
        <f>($L855*'Pivot Objective'!$C$9^3)*V855*W855</f>
        <v>710223.34196710703</v>
      </c>
      <c r="Y855" s="170">
        <f>2*9*25</f>
        <v>450</v>
      </c>
      <c r="Z855" s="166">
        <v>5</v>
      </c>
      <c r="AA855" s="164">
        <f>($L855*'Pivot Objective'!$C$9^4)*Y855*Z855</f>
        <v>811729.24111605203</v>
      </c>
      <c r="AB855" s="170">
        <f>2*9*25</f>
        <v>450</v>
      </c>
      <c r="AC855" s="166">
        <v>5</v>
      </c>
      <c r="AD855" s="164">
        <f>($L855*'Pivot Objective'!$C$9^5)*AB855*AC855</f>
        <v>927742.47472333559</v>
      </c>
      <c r="AE855" s="170">
        <f>2*9*25</f>
        <v>450</v>
      </c>
      <c r="AF855" s="166">
        <v>5</v>
      </c>
      <c r="AG855" s="164">
        <f>($L855*'Pivot Objective'!$C$9^6)*AE855*AF855</f>
        <v>1060336.4469442894</v>
      </c>
      <c r="AH855" s="170">
        <f>2*9*25</f>
        <v>450</v>
      </c>
      <c r="AI855" s="166">
        <v>5</v>
      </c>
      <c r="AJ855" s="164">
        <f>($L855*'Pivot Objective'!$C$9^7)*AH855*AI855</f>
        <v>1211880.8951306494</v>
      </c>
      <c r="AK855" s="185">
        <f t="shared" si="97"/>
        <v>5887026.9433274884</v>
      </c>
      <c r="AL855" s="186">
        <f t="shared" si="98"/>
        <v>5715.5601391529017</v>
      </c>
    </row>
    <row r="856" spans="1:38" customFormat="1" ht="57.6" x14ac:dyDescent="0.3">
      <c r="A856" s="140" t="s">
        <v>1444</v>
      </c>
      <c r="B856" s="140">
        <v>1</v>
      </c>
      <c r="C856" s="166" t="s">
        <v>836</v>
      </c>
      <c r="D856" s="140" t="str">
        <f t="shared" si="93"/>
        <v>5</v>
      </c>
      <c r="E856" s="166" t="s">
        <v>1446</v>
      </c>
      <c r="F856" s="140">
        <f t="shared" si="95"/>
        <v>3</v>
      </c>
      <c r="G856" s="140" t="str">
        <f t="shared" si="94"/>
        <v>1.5.3</v>
      </c>
      <c r="H856" s="166" t="s">
        <v>1478</v>
      </c>
      <c r="I856" s="171" t="s">
        <v>1118</v>
      </c>
      <c r="J856" s="171" t="s">
        <v>1119</v>
      </c>
      <c r="K856" s="171" t="s">
        <v>1336</v>
      </c>
      <c r="L856" s="166">
        <f>1480/7</f>
        <v>211.42857142857142</v>
      </c>
      <c r="M856" s="170"/>
      <c r="N856" s="166"/>
      <c r="O856" s="164">
        <f t="shared" si="96"/>
        <v>0</v>
      </c>
      <c r="P856" s="170">
        <f>150*2*9</f>
        <v>2700</v>
      </c>
      <c r="Q856" s="166">
        <v>1</v>
      </c>
      <c r="R856" s="164">
        <f>$L856*'Pivot Objective'!$C$9*P856*Q856</f>
        <v>652444.67194457131</v>
      </c>
      <c r="S856" s="170">
        <f>150*2*9</f>
        <v>2700</v>
      </c>
      <c r="T856" s="166">
        <v>1</v>
      </c>
      <c r="U856" s="164">
        <f>($L856*'Pivot Objective'!$C$9^2)*S856*T856</f>
        <v>745692.78019069461</v>
      </c>
      <c r="V856" s="170">
        <f>150*2*9</f>
        <v>2700</v>
      </c>
      <c r="W856" s="166">
        <v>1</v>
      </c>
      <c r="X856" s="164">
        <f>($L856*'Pivot Objective'!$C$9^3)*V856*W856</f>
        <v>852268.01036052837</v>
      </c>
      <c r="Y856" s="170">
        <f>150*2*9</f>
        <v>2700</v>
      </c>
      <c r="Z856" s="166">
        <v>1</v>
      </c>
      <c r="AA856" s="164">
        <f>($L856*'Pivot Objective'!$C$9^4)*Y856*Z856</f>
        <v>974075.08933926234</v>
      </c>
      <c r="AB856" s="170">
        <f>150*2*9</f>
        <v>2700</v>
      </c>
      <c r="AC856" s="166">
        <v>1</v>
      </c>
      <c r="AD856" s="164">
        <f>($L856*'Pivot Objective'!$C$9^5)*AB856*AC856</f>
        <v>1113290.9696680028</v>
      </c>
      <c r="AE856" s="170">
        <f>150*2*9</f>
        <v>2700</v>
      </c>
      <c r="AF856" s="166">
        <v>1</v>
      </c>
      <c r="AG856" s="164">
        <f>($L856*'Pivot Objective'!$C$9^6)*AE856*AF856</f>
        <v>1272403.7363331474</v>
      </c>
      <c r="AH856" s="170">
        <f>150*2*9</f>
        <v>2700</v>
      </c>
      <c r="AI856" s="166">
        <v>1</v>
      </c>
      <c r="AJ856" s="164">
        <f>($L856*'Pivot Objective'!$C$9^7)*AH856*AI856</f>
        <v>1454257.0741567793</v>
      </c>
      <c r="AK856" s="185">
        <f t="shared" si="97"/>
        <v>7064432.3319929857</v>
      </c>
      <c r="AL856" s="186">
        <f t="shared" si="98"/>
        <v>6858.6721669834815</v>
      </c>
    </row>
    <row r="857" spans="1:38" customFormat="1" ht="57.6" x14ac:dyDescent="0.3">
      <c r="A857" s="140" t="s">
        <v>1444</v>
      </c>
      <c r="B857" s="140">
        <v>1</v>
      </c>
      <c r="C857" s="166" t="s">
        <v>836</v>
      </c>
      <c r="D857" s="140" t="str">
        <f t="shared" si="93"/>
        <v>5</v>
      </c>
      <c r="E857" s="166" t="s">
        <v>1446</v>
      </c>
      <c r="F857" s="140">
        <f t="shared" si="95"/>
        <v>3</v>
      </c>
      <c r="G857" s="140" t="str">
        <f t="shared" si="94"/>
        <v>1.5.3</v>
      </c>
      <c r="H857" s="166" t="s">
        <v>1478</v>
      </c>
      <c r="I857" s="171" t="s">
        <v>1120</v>
      </c>
      <c r="J857" s="171" t="s">
        <v>1121</v>
      </c>
      <c r="K857" s="171" t="s">
        <v>841</v>
      </c>
      <c r="L857" s="166">
        <v>0</v>
      </c>
      <c r="M857" s="169"/>
      <c r="N857" s="166"/>
      <c r="O857" s="164">
        <f t="shared" si="96"/>
        <v>0</v>
      </c>
      <c r="P857" s="169">
        <v>0</v>
      </c>
      <c r="Q857" s="166">
        <v>0</v>
      </c>
      <c r="R857" s="164">
        <f>$L857*'Pivot Objective'!$C$9*P857*Q857</f>
        <v>0</v>
      </c>
      <c r="S857" s="169">
        <v>0</v>
      </c>
      <c r="T857" s="166">
        <v>0</v>
      </c>
      <c r="U857" s="164">
        <f>($L857*'Pivot Objective'!$C$9^2)*S857*T857</f>
        <v>0</v>
      </c>
      <c r="V857" s="169">
        <v>0</v>
      </c>
      <c r="W857" s="166">
        <v>0</v>
      </c>
      <c r="X857" s="164">
        <f>($L857*'Pivot Objective'!$C$9^3)*V857*W857</f>
        <v>0</v>
      </c>
      <c r="Y857" s="169">
        <v>0</v>
      </c>
      <c r="Z857" s="166">
        <v>0</v>
      </c>
      <c r="AA857" s="164">
        <f>($L857*'Pivot Objective'!$C$9^4)*Y857*Z857</f>
        <v>0</v>
      </c>
      <c r="AB857" s="169">
        <v>0</v>
      </c>
      <c r="AC857" s="166">
        <v>0</v>
      </c>
      <c r="AD857" s="164">
        <f>($L857*'Pivot Objective'!$C$9^5)*AB857*AC857</f>
        <v>0</v>
      </c>
      <c r="AE857" s="169">
        <v>0</v>
      </c>
      <c r="AF857" s="166">
        <v>0</v>
      </c>
      <c r="AG857" s="164">
        <f>($L857*'Pivot Objective'!$C$9^6)*AE857*AF857</f>
        <v>0</v>
      </c>
      <c r="AH857" s="169">
        <v>0</v>
      </c>
      <c r="AI857" s="166">
        <v>0</v>
      </c>
      <c r="AJ857" s="164">
        <f>($L857*'Pivot Objective'!$C$9^7)*AH857*AI857</f>
        <v>0</v>
      </c>
      <c r="AK857" s="185">
        <f t="shared" si="97"/>
        <v>0</v>
      </c>
      <c r="AL857" s="186">
        <f t="shared" si="98"/>
        <v>0</v>
      </c>
    </row>
    <row r="858" spans="1:38" customFormat="1" ht="57.6" x14ac:dyDescent="0.3">
      <c r="A858" s="140" t="s">
        <v>1444</v>
      </c>
      <c r="B858" s="140">
        <v>1</v>
      </c>
      <c r="C858" s="166" t="s">
        <v>836</v>
      </c>
      <c r="D858" s="140" t="str">
        <f t="shared" si="93"/>
        <v>5</v>
      </c>
      <c r="E858" s="166" t="s">
        <v>1446</v>
      </c>
      <c r="F858" s="140">
        <f t="shared" si="95"/>
        <v>3</v>
      </c>
      <c r="G858" s="140" t="str">
        <f t="shared" si="94"/>
        <v>1.5.3</v>
      </c>
      <c r="H858" s="166" t="s">
        <v>1478</v>
      </c>
      <c r="I858" s="171" t="s">
        <v>1120</v>
      </c>
      <c r="J858" s="171" t="s">
        <v>179</v>
      </c>
      <c r="K858" s="171" t="s">
        <v>713</v>
      </c>
      <c r="L858" s="166">
        <v>45000</v>
      </c>
      <c r="M858" s="169"/>
      <c r="N858" s="166"/>
      <c r="O858" s="164">
        <f t="shared" si="96"/>
        <v>0</v>
      </c>
      <c r="P858" s="169">
        <v>30</v>
      </c>
      <c r="Q858" s="166">
        <v>6</v>
      </c>
      <c r="R858" s="164">
        <f>$L858*'Pivot Objective'!$C$9*P858*Q858</f>
        <v>9257660.8856999986</v>
      </c>
      <c r="S858" s="169">
        <v>30</v>
      </c>
      <c r="T858" s="166">
        <v>6</v>
      </c>
      <c r="U858" s="164">
        <f>($L858*'Pivot Objective'!$C$9^2)*S858*T858</f>
        <v>10580775.935138233</v>
      </c>
      <c r="V858" s="169">
        <v>30</v>
      </c>
      <c r="W858" s="166">
        <v>6</v>
      </c>
      <c r="X858" s="164">
        <f>($L858*'Pivot Objective'!$C$9^3)*V858*W858</f>
        <v>12092992.03889939</v>
      </c>
      <c r="Y858" s="169">
        <v>30</v>
      </c>
      <c r="Z858" s="166">
        <v>6</v>
      </c>
      <c r="AA858" s="164">
        <f>($L858*'Pivot Objective'!$C$9^4)*Y858*Z858</f>
        <v>13821335.727111155</v>
      </c>
      <c r="AB858" s="169">
        <v>30</v>
      </c>
      <c r="AC858" s="166">
        <v>6</v>
      </c>
      <c r="AD858" s="164">
        <f>($L858*'Pivot Objective'!$C$9^5)*AB858*AC858</f>
        <v>15796696.191235173</v>
      </c>
      <c r="AE858" s="169">
        <v>30</v>
      </c>
      <c r="AF858" s="166">
        <v>6</v>
      </c>
      <c r="AG858" s="164">
        <f>($L858*'Pivot Objective'!$C$9^6)*AE858*AF858</f>
        <v>18054377.339862227</v>
      </c>
      <c r="AH858" s="169">
        <v>30</v>
      </c>
      <c r="AI858" s="166">
        <v>6</v>
      </c>
      <c r="AJ858" s="164">
        <f>($L858*'Pivot Objective'!$C$9^7)*AH858*AI858</f>
        <v>20634728.754927278</v>
      </c>
      <c r="AK858" s="185">
        <f t="shared" si="97"/>
        <v>100238566.87287346</v>
      </c>
      <c r="AL858" s="186">
        <f t="shared" si="98"/>
        <v>97318.996963954807</v>
      </c>
    </row>
    <row r="859" spans="1:38" customFormat="1" ht="57.6" x14ac:dyDescent="0.3">
      <c r="A859" s="140" t="s">
        <v>1444</v>
      </c>
      <c r="B859" s="140">
        <v>1</v>
      </c>
      <c r="C859" s="166" t="s">
        <v>836</v>
      </c>
      <c r="D859" s="140" t="str">
        <f t="shared" si="93"/>
        <v>5</v>
      </c>
      <c r="E859" s="166" t="s">
        <v>1446</v>
      </c>
      <c r="F859" s="140">
        <f t="shared" si="95"/>
        <v>3</v>
      </c>
      <c r="G859" s="140" t="str">
        <f t="shared" si="94"/>
        <v>1.5.3</v>
      </c>
      <c r="H859" s="166" t="s">
        <v>1478</v>
      </c>
      <c r="I859" s="171" t="s">
        <v>1120</v>
      </c>
      <c r="J859" s="171" t="s">
        <v>179</v>
      </c>
      <c r="K859" s="171" t="s">
        <v>712</v>
      </c>
      <c r="L859" s="166">
        <f>1480/7</f>
        <v>211.42857142857142</v>
      </c>
      <c r="M859" s="170"/>
      <c r="N859" s="166"/>
      <c r="O859" s="164">
        <f t="shared" si="96"/>
        <v>0</v>
      </c>
      <c r="P859" s="170">
        <f>2*9*25</f>
        <v>450</v>
      </c>
      <c r="Q859" s="166">
        <v>5</v>
      </c>
      <c r="R859" s="164">
        <f>$L859*'Pivot Objective'!$C$9*P859*Q859</f>
        <v>543703.89328714274</v>
      </c>
      <c r="S859" s="170">
        <f>2*9*25</f>
        <v>450</v>
      </c>
      <c r="T859" s="166">
        <v>5</v>
      </c>
      <c r="U859" s="164">
        <f>($L859*'Pivot Objective'!$C$9^2)*S859*T859</f>
        <v>621410.65015891218</v>
      </c>
      <c r="V859" s="170">
        <f>2*9*25</f>
        <v>450</v>
      </c>
      <c r="W859" s="166">
        <v>5</v>
      </c>
      <c r="X859" s="164">
        <f>($L859*'Pivot Objective'!$C$9^3)*V859*W859</f>
        <v>710223.34196710703</v>
      </c>
      <c r="Y859" s="170">
        <f>2*9*25</f>
        <v>450</v>
      </c>
      <c r="Z859" s="166">
        <v>5</v>
      </c>
      <c r="AA859" s="164">
        <f>($L859*'Pivot Objective'!$C$9^4)*Y859*Z859</f>
        <v>811729.24111605203</v>
      </c>
      <c r="AB859" s="170">
        <f>2*9*25</f>
        <v>450</v>
      </c>
      <c r="AC859" s="166">
        <v>5</v>
      </c>
      <c r="AD859" s="164">
        <f>($L859*'Pivot Objective'!$C$9^5)*AB859*AC859</f>
        <v>927742.47472333559</v>
      </c>
      <c r="AE859" s="170">
        <f>2*9*25</f>
        <v>450</v>
      </c>
      <c r="AF859" s="166">
        <v>5</v>
      </c>
      <c r="AG859" s="164">
        <f>($L859*'Pivot Objective'!$C$9^6)*AE859*AF859</f>
        <v>1060336.4469442894</v>
      </c>
      <c r="AH859" s="170">
        <f>2*9*25</f>
        <v>450</v>
      </c>
      <c r="AI859" s="166">
        <v>5</v>
      </c>
      <c r="AJ859" s="164">
        <f>($L859*'Pivot Objective'!$C$9^7)*AH859*AI859</f>
        <v>1211880.8951306494</v>
      </c>
      <c r="AK859" s="185">
        <f t="shared" si="97"/>
        <v>5887026.9433274884</v>
      </c>
      <c r="AL859" s="186">
        <f t="shared" si="98"/>
        <v>5715.5601391529017</v>
      </c>
    </row>
    <row r="860" spans="1:38" customFormat="1" ht="57.6" x14ac:dyDescent="0.3">
      <c r="A860" s="140" t="s">
        <v>1444</v>
      </c>
      <c r="B860" s="140">
        <v>1</v>
      </c>
      <c r="C860" s="166" t="s">
        <v>836</v>
      </c>
      <c r="D860" s="140" t="str">
        <f t="shared" si="93"/>
        <v>5</v>
      </c>
      <c r="E860" s="166" t="s">
        <v>1446</v>
      </c>
      <c r="F860" s="140">
        <f t="shared" si="95"/>
        <v>3</v>
      </c>
      <c r="G860" s="140" t="str">
        <f t="shared" si="94"/>
        <v>1.5.3</v>
      </c>
      <c r="H860" s="166" t="s">
        <v>1478</v>
      </c>
      <c r="I860" s="171" t="s">
        <v>1120</v>
      </c>
      <c r="J860" s="171" t="s">
        <v>179</v>
      </c>
      <c r="K860" s="171" t="s">
        <v>1336</v>
      </c>
      <c r="L860" s="166">
        <f>1480/7</f>
        <v>211.42857142857142</v>
      </c>
      <c r="M860" s="170"/>
      <c r="N860" s="166"/>
      <c r="O860" s="164">
        <f t="shared" si="96"/>
        <v>0</v>
      </c>
      <c r="P860" s="170">
        <f>150*2*9</f>
        <v>2700</v>
      </c>
      <c r="Q860" s="166">
        <v>1</v>
      </c>
      <c r="R860" s="164">
        <f>$L860*'Pivot Objective'!$C$9*P860*Q860</f>
        <v>652444.67194457131</v>
      </c>
      <c r="S860" s="170">
        <f>150*2*9</f>
        <v>2700</v>
      </c>
      <c r="T860" s="166">
        <v>1</v>
      </c>
      <c r="U860" s="164">
        <f>($L860*'Pivot Objective'!$C$9^2)*S860*T860</f>
        <v>745692.78019069461</v>
      </c>
      <c r="V860" s="170">
        <f>150*2*9</f>
        <v>2700</v>
      </c>
      <c r="W860" s="166">
        <v>1</v>
      </c>
      <c r="X860" s="164">
        <f>($L860*'Pivot Objective'!$C$9^3)*V860*W860</f>
        <v>852268.01036052837</v>
      </c>
      <c r="Y860" s="170">
        <f>150*2*9</f>
        <v>2700</v>
      </c>
      <c r="Z860" s="166">
        <v>1</v>
      </c>
      <c r="AA860" s="164">
        <f>($L860*'Pivot Objective'!$C$9^4)*Y860*Z860</f>
        <v>974075.08933926234</v>
      </c>
      <c r="AB860" s="170">
        <f>150*2*9</f>
        <v>2700</v>
      </c>
      <c r="AC860" s="166">
        <v>1</v>
      </c>
      <c r="AD860" s="164">
        <f>($L860*'Pivot Objective'!$C$9^5)*AB860*AC860</f>
        <v>1113290.9696680028</v>
      </c>
      <c r="AE860" s="170">
        <f>150*2*9</f>
        <v>2700</v>
      </c>
      <c r="AF860" s="166">
        <v>1</v>
      </c>
      <c r="AG860" s="164">
        <f>($L860*'Pivot Objective'!$C$9^6)*AE860*AF860</f>
        <v>1272403.7363331474</v>
      </c>
      <c r="AH860" s="170">
        <f>150*2*9</f>
        <v>2700</v>
      </c>
      <c r="AI860" s="166">
        <v>1</v>
      </c>
      <c r="AJ860" s="164">
        <f>($L860*'Pivot Objective'!$C$9^7)*AH860*AI860</f>
        <v>1454257.0741567793</v>
      </c>
      <c r="AK860" s="185">
        <f t="shared" si="97"/>
        <v>7064432.3319929857</v>
      </c>
      <c r="AL860" s="186">
        <f t="shared" si="98"/>
        <v>6858.6721669834815</v>
      </c>
    </row>
    <row r="861" spans="1:38" customFormat="1" ht="57.6" x14ac:dyDescent="0.3">
      <c r="A861" s="140" t="s">
        <v>1444</v>
      </c>
      <c r="B861" s="140">
        <v>1</v>
      </c>
      <c r="C861" s="166" t="s">
        <v>836</v>
      </c>
      <c r="D861" s="140" t="str">
        <f t="shared" si="93"/>
        <v>5</v>
      </c>
      <c r="E861" s="166" t="s">
        <v>1446</v>
      </c>
      <c r="F861" s="140">
        <f t="shared" si="95"/>
        <v>3</v>
      </c>
      <c r="G861" s="140" t="str">
        <f t="shared" si="94"/>
        <v>1.5.3</v>
      </c>
      <c r="H861" s="166" t="s">
        <v>1478</v>
      </c>
      <c r="I861" s="171" t="s">
        <v>1120</v>
      </c>
      <c r="J861" s="171" t="s">
        <v>179</v>
      </c>
      <c r="K861" s="171" t="s">
        <v>714</v>
      </c>
      <c r="L861" s="166">
        <v>10000</v>
      </c>
      <c r="M861" s="169"/>
      <c r="N861" s="166"/>
      <c r="O861" s="164">
        <f t="shared" si="96"/>
        <v>0</v>
      </c>
      <c r="P861" s="169">
        <v>15</v>
      </c>
      <c r="Q861" s="166">
        <v>1</v>
      </c>
      <c r="R861" s="164">
        <f>$L861*'Pivot Objective'!$C$9*P861*Q861</f>
        <v>171438.16454999999</v>
      </c>
      <c r="S861" s="169">
        <v>15</v>
      </c>
      <c r="T861" s="166">
        <v>1</v>
      </c>
      <c r="U861" s="164">
        <f>($L861*'Pivot Objective'!$C$9^2)*S861*T861</f>
        <v>195940.29509515248</v>
      </c>
      <c r="V861" s="169">
        <v>15</v>
      </c>
      <c r="W861" s="166">
        <v>1</v>
      </c>
      <c r="X861" s="164">
        <f>($L861*'Pivot Objective'!$C$9^3)*V861*W861</f>
        <v>223944.29701665539</v>
      </c>
      <c r="Y861" s="169">
        <v>15</v>
      </c>
      <c r="Z861" s="166">
        <v>1</v>
      </c>
      <c r="AA861" s="164">
        <f>($L861*'Pivot Objective'!$C$9^4)*Y861*Z861</f>
        <v>255950.66161316959</v>
      </c>
      <c r="AB861" s="169">
        <v>15</v>
      </c>
      <c r="AC861" s="166">
        <v>1</v>
      </c>
      <c r="AD861" s="164">
        <f>($L861*'Pivot Objective'!$C$9^5)*AB861*AC861</f>
        <v>292531.41094879952</v>
      </c>
      <c r="AE861" s="169">
        <v>15</v>
      </c>
      <c r="AF861" s="166">
        <v>1</v>
      </c>
      <c r="AG861" s="164">
        <f>($L861*'Pivot Objective'!$C$9^6)*AE861*AF861</f>
        <v>334340.32110855979</v>
      </c>
      <c r="AH861" s="169">
        <v>15</v>
      </c>
      <c r="AI861" s="166">
        <v>1</v>
      </c>
      <c r="AJ861" s="164">
        <f>($L861*'Pivot Objective'!$C$9^7)*AH861*AI861</f>
        <v>382124.60657272732</v>
      </c>
      <c r="AK861" s="185">
        <f t="shared" si="97"/>
        <v>1856269.756905064</v>
      </c>
      <c r="AL861" s="186">
        <f t="shared" si="98"/>
        <v>1802.2036474806446</v>
      </c>
    </row>
    <row r="862" spans="1:38" customFormat="1" ht="57.6" x14ac:dyDescent="0.3">
      <c r="A862" s="140" t="s">
        <v>1444</v>
      </c>
      <c r="B862" s="140">
        <v>1</v>
      </c>
      <c r="C862" s="166" t="s">
        <v>836</v>
      </c>
      <c r="D862" s="140" t="str">
        <f t="shared" si="93"/>
        <v>5</v>
      </c>
      <c r="E862" s="166" t="s">
        <v>1446</v>
      </c>
      <c r="F862" s="140">
        <f t="shared" si="95"/>
        <v>3</v>
      </c>
      <c r="G862" s="140" t="str">
        <f t="shared" si="94"/>
        <v>1.5.3</v>
      </c>
      <c r="H862" s="166" t="s">
        <v>1478</v>
      </c>
      <c r="I862" s="171" t="s">
        <v>1120</v>
      </c>
      <c r="J862" s="171" t="s">
        <v>1004</v>
      </c>
      <c r="K862" s="171" t="s">
        <v>716</v>
      </c>
      <c r="L862" s="172">
        <v>39000</v>
      </c>
      <c r="M862" s="173"/>
      <c r="N862" s="172"/>
      <c r="O862" s="164">
        <f t="shared" si="96"/>
        <v>0</v>
      </c>
      <c r="P862" s="173">
        <v>30</v>
      </c>
      <c r="Q862" s="172">
        <v>6</v>
      </c>
      <c r="R862" s="164">
        <f>$L862*'Pivot Objective'!$C$9*P862*Q862</f>
        <v>8023306.1009399984</v>
      </c>
      <c r="S862" s="173">
        <v>30</v>
      </c>
      <c r="T862" s="172">
        <v>6</v>
      </c>
      <c r="U862" s="164">
        <f>($L862*'Pivot Objective'!$C$9^2)*S862*T862</f>
        <v>9170005.8104531355</v>
      </c>
      <c r="V862" s="173">
        <v>30</v>
      </c>
      <c r="W862" s="172">
        <v>6</v>
      </c>
      <c r="X862" s="164">
        <f>($L862*'Pivot Objective'!$C$9^3)*V862*W862</f>
        <v>10480593.100379471</v>
      </c>
      <c r="Y862" s="173">
        <v>30</v>
      </c>
      <c r="Z862" s="172">
        <v>6</v>
      </c>
      <c r="AA862" s="164">
        <f>($L862*'Pivot Objective'!$C$9^4)*Y862*Z862</f>
        <v>11978490.963496335</v>
      </c>
      <c r="AB862" s="173">
        <v>30</v>
      </c>
      <c r="AC862" s="172">
        <v>6</v>
      </c>
      <c r="AD862" s="164">
        <f>($L862*'Pivot Objective'!$C$9^5)*AB862*AC862</f>
        <v>13690470.032403817</v>
      </c>
      <c r="AE862" s="173">
        <v>30</v>
      </c>
      <c r="AF862" s="172">
        <v>6</v>
      </c>
      <c r="AG862" s="164">
        <f>($L862*'Pivot Objective'!$C$9^6)*AE862*AF862</f>
        <v>15647127.027880596</v>
      </c>
      <c r="AH862" s="173">
        <v>30</v>
      </c>
      <c r="AI862" s="172">
        <v>6</v>
      </c>
      <c r="AJ862" s="164">
        <f>($L862*'Pivot Objective'!$C$9^7)*AH862*AI862</f>
        <v>17883431.58760364</v>
      </c>
      <c r="AK862" s="185">
        <f t="shared" si="97"/>
        <v>86873424.623157009</v>
      </c>
      <c r="AL862" s="186">
        <f t="shared" si="98"/>
        <v>84343.130702094189</v>
      </c>
    </row>
    <row r="863" spans="1:38" customFormat="1" ht="57.6" x14ac:dyDescent="0.3">
      <c r="A863" s="140" t="s">
        <v>1444</v>
      </c>
      <c r="B863" s="140">
        <v>1</v>
      </c>
      <c r="C863" s="166" t="s">
        <v>836</v>
      </c>
      <c r="D863" s="140" t="str">
        <f t="shared" si="93"/>
        <v>5</v>
      </c>
      <c r="E863" s="166" t="s">
        <v>1446</v>
      </c>
      <c r="F863" s="140">
        <f t="shared" ref="F863:F896" si="99">IF(H863=H862,F862,F862+1)</f>
        <v>3</v>
      </c>
      <c r="G863" s="140" t="str">
        <f t="shared" si="94"/>
        <v>1.5.3</v>
      </c>
      <c r="H863" s="166" t="s">
        <v>1478</v>
      </c>
      <c r="I863" s="171" t="s">
        <v>1120</v>
      </c>
      <c r="J863" s="171" t="s">
        <v>1004</v>
      </c>
      <c r="K863" s="171" t="s">
        <v>709</v>
      </c>
      <c r="L863" s="166">
        <v>35000</v>
      </c>
      <c r="M863" s="169"/>
      <c r="N863" s="166"/>
      <c r="O863" s="164">
        <f t="shared" si="96"/>
        <v>0</v>
      </c>
      <c r="P863" s="169">
        <v>30</v>
      </c>
      <c r="Q863" s="166">
        <v>5</v>
      </c>
      <c r="R863" s="164">
        <f>$L863*'Pivot Objective'!$C$9*P863*Q863</f>
        <v>6000335.7592499992</v>
      </c>
      <c r="S863" s="169">
        <v>30</v>
      </c>
      <c r="T863" s="166">
        <v>5</v>
      </c>
      <c r="U863" s="164">
        <f>($L863*'Pivot Objective'!$C$9^2)*S863*T863</f>
        <v>6857910.3283303361</v>
      </c>
      <c r="V863" s="169">
        <v>30</v>
      </c>
      <c r="W863" s="166">
        <v>5</v>
      </c>
      <c r="X863" s="164">
        <f>($L863*'Pivot Objective'!$C$9^3)*V863*W863</f>
        <v>7838050.3955829386</v>
      </c>
      <c r="Y863" s="169">
        <v>30</v>
      </c>
      <c r="Z863" s="166">
        <v>5</v>
      </c>
      <c r="AA863" s="164">
        <f>($L863*'Pivot Objective'!$C$9^4)*Y863*Z863</f>
        <v>8958273.1564609352</v>
      </c>
      <c r="AB863" s="169">
        <v>30</v>
      </c>
      <c r="AC863" s="166">
        <v>5</v>
      </c>
      <c r="AD863" s="164">
        <f>($L863*'Pivot Objective'!$C$9^5)*AB863*AC863</f>
        <v>10238599.383207982</v>
      </c>
      <c r="AE863" s="169">
        <v>30</v>
      </c>
      <c r="AF863" s="166">
        <v>5</v>
      </c>
      <c r="AG863" s="164">
        <f>($L863*'Pivot Objective'!$C$9^6)*AE863*AF863</f>
        <v>11701911.238799591</v>
      </c>
      <c r="AH863" s="169">
        <v>30</v>
      </c>
      <c r="AI863" s="166">
        <v>5</v>
      </c>
      <c r="AJ863" s="164">
        <f>($L863*'Pivot Objective'!$C$9^7)*AH863*AI863</f>
        <v>13374361.230045456</v>
      </c>
      <c r="AK863" s="185">
        <f t="shared" si="97"/>
        <v>64969441.49167724</v>
      </c>
      <c r="AL863" s="186">
        <f t="shared" si="98"/>
        <v>63077.12766182256</v>
      </c>
    </row>
    <row r="864" spans="1:38" customFormat="1" ht="57.6" x14ac:dyDescent="0.3">
      <c r="A864" s="140" t="s">
        <v>1444</v>
      </c>
      <c r="B864" s="140">
        <v>1</v>
      </c>
      <c r="C864" s="166" t="s">
        <v>836</v>
      </c>
      <c r="D864" s="140" t="str">
        <f t="shared" si="93"/>
        <v>5</v>
      </c>
      <c r="E864" s="166" t="s">
        <v>1446</v>
      </c>
      <c r="F864" s="140">
        <f t="shared" si="99"/>
        <v>3</v>
      </c>
      <c r="G864" s="140" t="str">
        <f t="shared" si="94"/>
        <v>1.5.3</v>
      </c>
      <c r="H864" s="166" t="s">
        <v>1478</v>
      </c>
      <c r="I864" s="171" t="s">
        <v>1120</v>
      </c>
      <c r="J864" s="171" t="s">
        <v>1004</v>
      </c>
      <c r="K864" s="171" t="s">
        <v>712</v>
      </c>
      <c r="L864" s="166">
        <f>1480/7</f>
        <v>211.42857142857142</v>
      </c>
      <c r="M864" s="170"/>
      <c r="N864" s="166"/>
      <c r="O864" s="164">
        <f t="shared" si="96"/>
        <v>0</v>
      </c>
      <c r="P864" s="170">
        <f>2*9*25</f>
        <v>450</v>
      </c>
      <c r="Q864" s="166">
        <v>5</v>
      </c>
      <c r="R864" s="164">
        <f>$L864*'Pivot Objective'!$C$9*P864*Q864</f>
        <v>543703.89328714274</v>
      </c>
      <c r="S864" s="170">
        <f>2*9*25</f>
        <v>450</v>
      </c>
      <c r="T864" s="166">
        <v>5</v>
      </c>
      <c r="U864" s="164">
        <f>($L864*'Pivot Objective'!$C$9^2)*S864*T864</f>
        <v>621410.65015891218</v>
      </c>
      <c r="V864" s="170">
        <f>2*9*25</f>
        <v>450</v>
      </c>
      <c r="W864" s="166">
        <v>5</v>
      </c>
      <c r="X864" s="164">
        <f>($L864*'Pivot Objective'!$C$9^3)*V864*W864</f>
        <v>710223.34196710703</v>
      </c>
      <c r="Y864" s="170">
        <f>2*9*25</f>
        <v>450</v>
      </c>
      <c r="Z864" s="166">
        <v>5</v>
      </c>
      <c r="AA864" s="164">
        <f>($L864*'Pivot Objective'!$C$9^4)*Y864*Z864</f>
        <v>811729.24111605203</v>
      </c>
      <c r="AB864" s="170">
        <f>2*9*25</f>
        <v>450</v>
      </c>
      <c r="AC864" s="166">
        <v>5</v>
      </c>
      <c r="AD864" s="164">
        <f>($L864*'Pivot Objective'!$C$9^5)*AB864*AC864</f>
        <v>927742.47472333559</v>
      </c>
      <c r="AE864" s="170">
        <f>2*9*25</f>
        <v>450</v>
      </c>
      <c r="AF864" s="166">
        <v>5</v>
      </c>
      <c r="AG864" s="164">
        <f>($L864*'Pivot Objective'!$C$9^6)*AE864*AF864</f>
        <v>1060336.4469442894</v>
      </c>
      <c r="AH864" s="170">
        <f>2*9*25</f>
        <v>450</v>
      </c>
      <c r="AI864" s="166">
        <v>5</v>
      </c>
      <c r="AJ864" s="164">
        <f>($L864*'Pivot Objective'!$C$9^7)*AH864*AI864</f>
        <v>1211880.8951306494</v>
      </c>
      <c r="AK864" s="185">
        <f t="shared" si="97"/>
        <v>5887026.9433274884</v>
      </c>
      <c r="AL864" s="186">
        <f t="shared" si="98"/>
        <v>5715.5601391529017</v>
      </c>
    </row>
    <row r="865" spans="1:38" customFormat="1" ht="57.6" x14ac:dyDescent="0.3">
      <c r="A865" s="140" t="s">
        <v>1444</v>
      </c>
      <c r="B865" s="140">
        <v>1</v>
      </c>
      <c r="C865" s="166" t="s">
        <v>836</v>
      </c>
      <c r="D865" s="140" t="str">
        <f t="shared" si="93"/>
        <v>5</v>
      </c>
      <c r="E865" s="166" t="s">
        <v>1446</v>
      </c>
      <c r="F865" s="140">
        <f t="shared" si="99"/>
        <v>3</v>
      </c>
      <c r="G865" s="140" t="str">
        <f t="shared" si="94"/>
        <v>1.5.3</v>
      </c>
      <c r="H865" s="166" t="s">
        <v>1478</v>
      </c>
      <c r="I865" s="171" t="s">
        <v>1120</v>
      </c>
      <c r="J865" s="171" t="s">
        <v>1004</v>
      </c>
      <c r="K865" s="171" t="s">
        <v>1336</v>
      </c>
      <c r="L865" s="166">
        <f>1480/7</f>
        <v>211.42857142857142</v>
      </c>
      <c r="M865" s="170"/>
      <c r="N865" s="166"/>
      <c r="O865" s="164">
        <f t="shared" si="96"/>
        <v>0</v>
      </c>
      <c r="P865" s="170">
        <f>150*2*9</f>
        <v>2700</v>
      </c>
      <c r="Q865" s="166">
        <v>1</v>
      </c>
      <c r="R865" s="164">
        <f>$L865*'Pivot Objective'!$C$9*P865*Q865</f>
        <v>652444.67194457131</v>
      </c>
      <c r="S865" s="170">
        <f>150*2*9</f>
        <v>2700</v>
      </c>
      <c r="T865" s="166">
        <v>1</v>
      </c>
      <c r="U865" s="164">
        <f>($L865*'Pivot Objective'!$C$9^2)*S865*T865</f>
        <v>745692.78019069461</v>
      </c>
      <c r="V865" s="170">
        <f>150*2*9</f>
        <v>2700</v>
      </c>
      <c r="W865" s="166">
        <v>1</v>
      </c>
      <c r="X865" s="164">
        <f>($L865*'Pivot Objective'!$C$9^3)*V865*W865</f>
        <v>852268.01036052837</v>
      </c>
      <c r="Y865" s="170">
        <f>150*2*9</f>
        <v>2700</v>
      </c>
      <c r="Z865" s="166">
        <v>1</v>
      </c>
      <c r="AA865" s="164">
        <f>($L865*'Pivot Objective'!$C$9^4)*Y865*Z865</f>
        <v>974075.08933926234</v>
      </c>
      <c r="AB865" s="170">
        <f>150*2*9</f>
        <v>2700</v>
      </c>
      <c r="AC865" s="166">
        <v>1</v>
      </c>
      <c r="AD865" s="164">
        <f>($L865*'Pivot Objective'!$C$9^5)*AB865*AC865</f>
        <v>1113290.9696680028</v>
      </c>
      <c r="AE865" s="170">
        <f>150*2*9</f>
        <v>2700</v>
      </c>
      <c r="AF865" s="166">
        <v>1</v>
      </c>
      <c r="AG865" s="164">
        <f>($L865*'Pivot Objective'!$C$9^6)*AE865*AF865</f>
        <v>1272403.7363331474</v>
      </c>
      <c r="AH865" s="170">
        <f>150*2*9</f>
        <v>2700</v>
      </c>
      <c r="AI865" s="166">
        <v>1</v>
      </c>
      <c r="AJ865" s="164">
        <f>($L865*'Pivot Objective'!$C$9^7)*AH865*AI865</f>
        <v>1454257.0741567793</v>
      </c>
      <c r="AK865" s="185">
        <f t="shared" si="97"/>
        <v>7064432.3319929857</v>
      </c>
      <c r="AL865" s="186">
        <f t="shared" si="98"/>
        <v>6858.6721669834815</v>
      </c>
    </row>
    <row r="866" spans="1:38" customFormat="1" ht="57.6" x14ac:dyDescent="0.3">
      <c r="A866" s="140" t="s">
        <v>1444</v>
      </c>
      <c r="B866" s="140">
        <v>1</v>
      </c>
      <c r="C866" s="166" t="s">
        <v>836</v>
      </c>
      <c r="D866" s="140" t="str">
        <f t="shared" si="93"/>
        <v>5</v>
      </c>
      <c r="E866" s="166" t="s">
        <v>1446</v>
      </c>
      <c r="F866" s="140">
        <f t="shared" si="99"/>
        <v>3</v>
      </c>
      <c r="G866" s="140" t="str">
        <f t="shared" si="94"/>
        <v>1.5.3</v>
      </c>
      <c r="H866" s="166" t="s">
        <v>1478</v>
      </c>
      <c r="I866" s="171" t="s">
        <v>1120</v>
      </c>
      <c r="J866" s="171" t="s">
        <v>180</v>
      </c>
      <c r="K866" s="171" t="s">
        <v>716</v>
      </c>
      <c r="L866" s="166">
        <v>39000</v>
      </c>
      <c r="M866" s="169"/>
      <c r="N866" s="166"/>
      <c r="O866" s="164">
        <f t="shared" si="96"/>
        <v>0</v>
      </c>
      <c r="P866" s="169">
        <v>30</v>
      </c>
      <c r="Q866" s="166">
        <v>6</v>
      </c>
      <c r="R866" s="164">
        <f>$L866*'Pivot Objective'!$C$9*P866*Q866</f>
        <v>8023306.1009399984</v>
      </c>
      <c r="S866" s="169">
        <v>30</v>
      </c>
      <c r="T866" s="166">
        <v>6</v>
      </c>
      <c r="U866" s="164">
        <f>($L866*'Pivot Objective'!$C$9^2)*S866*T866</f>
        <v>9170005.8104531355</v>
      </c>
      <c r="V866" s="169">
        <v>30</v>
      </c>
      <c r="W866" s="166">
        <v>6</v>
      </c>
      <c r="X866" s="164">
        <f>($L866*'Pivot Objective'!$C$9^3)*V866*W866</f>
        <v>10480593.100379471</v>
      </c>
      <c r="Y866" s="169">
        <v>30</v>
      </c>
      <c r="Z866" s="166">
        <v>6</v>
      </c>
      <c r="AA866" s="164">
        <f>($L866*'Pivot Objective'!$C$9^4)*Y866*Z866</f>
        <v>11978490.963496335</v>
      </c>
      <c r="AB866" s="169">
        <v>30</v>
      </c>
      <c r="AC866" s="166">
        <v>6</v>
      </c>
      <c r="AD866" s="164">
        <f>($L866*'Pivot Objective'!$C$9^5)*AB866*AC866</f>
        <v>13690470.032403817</v>
      </c>
      <c r="AE866" s="169">
        <v>30</v>
      </c>
      <c r="AF866" s="166">
        <v>6</v>
      </c>
      <c r="AG866" s="164">
        <f>($L866*'Pivot Objective'!$C$9^6)*AE866*AF866</f>
        <v>15647127.027880596</v>
      </c>
      <c r="AH866" s="169">
        <v>30</v>
      </c>
      <c r="AI866" s="166">
        <v>6</v>
      </c>
      <c r="AJ866" s="164">
        <f>($L866*'Pivot Objective'!$C$9^7)*AH866*AI866</f>
        <v>17883431.58760364</v>
      </c>
      <c r="AK866" s="185">
        <f t="shared" si="97"/>
        <v>86873424.623157009</v>
      </c>
      <c r="AL866" s="186">
        <f t="shared" si="98"/>
        <v>84343.130702094189</v>
      </c>
    </row>
    <row r="867" spans="1:38" customFormat="1" ht="57.6" x14ac:dyDescent="0.3">
      <c r="A867" s="140" t="s">
        <v>1444</v>
      </c>
      <c r="B867" s="140">
        <v>1</v>
      </c>
      <c r="C867" s="166" t="s">
        <v>836</v>
      </c>
      <c r="D867" s="140" t="str">
        <f t="shared" si="93"/>
        <v>5</v>
      </c>
      <c r="E867" s="166" t="s">
        <v>1446</v>
      </c>
      <c r="F867" s="140">
        <f t="shared" si="99"/>
        <v>3</v>
      </c>
      <c r="G867" s="140" t="str">
        <f t="shared" si="94"/>
        <v>1.5.3</v>
      </c>
      <c r="H867" s="166" t="s">
        <v>1478</v>
      </c>
      <c r="I867" s="171" t="s">
        <v>1120</v>
      </c>
      <c r="J867" s="171" t="s">
        <v>180</v>
      </c>
      <c r="K867" s="171" t="s">
        <v>709</v>
      </c>
      <c r="L867" s="166">
        <v>35000</v>
      </c>
      <c r="M867" s="169"/>
      <c r="N867" s="166"/>
      <c r="O867" s="164">
        <f t="shared" si="96"/>
        <v>0</v>
      </c>
      <c r="P867" s="169">
        <v>30</v>
      </c>
      <c r="Q867" s="166">
        <v>5</v>
      </c>
      <c r="R867" s="164">
        <f>$L867*'Pivot Objective'!$C$9*P867*Q867</f>
        <v>6000335.7592499992</v>
      </c>
      <c r="S867" s="169">
        <v>30</v>
      </c>
      <c r="T867" s="166">
        <v>5</v>
      </c>
      <c r="U867" s="164">
        <f>($L867*'Pivot Objective'!$C$9^2)*S867*T867</f>
        <v>6857910.3283303361</v>
      </c>
      <c r="V867" s="169">
        <v>30</v>
      </c>
      <c r="W867" s="166">
        <v>5</v>
      </c>
      <c r="X867" s="164">
        <f>($L867*'Pivot Objective'!$C$9^3)*V867*W867</f>
        <v>7838050.3955829386</v>
      </c>
      <c r="Y867" s="169">
        <v>30</v>
      </c>
      <c r="Z867" s="166">
        <v>5</v>
      </c>
      <c r="AA867" s="164">
        <f>($L867*'Pivot Objective'!$C$9^4)*Y867*Z867</f>
        <v>8958273.1564609352</v>
      </c>
      <c r="AB867" s="169">
        <v>30</v>
      </c>
      <c r="AC867" s="166">
        <v>5</v>
      </c>
      <c r="AD867" s="164">
        <f>($L867*'Pivot Objective'!$C$9^5)*AB867*AC867</f>
        <v>10238599.383207982</v>
      </c>
      <c r="AE867" s="169">
        <v>30</v>
      </c>
      <c r="AF867" s="166">
        <v>5</v>
      </c>
      <c r="AG867" s="164">
        <f>($L867*'Pivot Objective'!$C$9^6)*AE867*AF867</f>
        <v>11701911.238799591</v>
      </c>
      <c r="AH867" s="169">
        <v>30</v>
      </c>
      <c r="AI867" s="166">
        <v>5</v>
      </c>
      <c r="AJ867" s="164">
        <f>($L867*'Pivot Objective'!$C$9^7)*AH867*AI867</f>
        <v>13374361.230045456</v>
      </c>
      <c r="AK867" s="185">
        <f t="shared" si="97"/>
        <v>64969441.49167724</v>
      </c>
      <c r="AL867" s="186">
        <f t="shared" si="98"/>
        <v>63077.12766182256</v>
      </c>
    </row>
    <row r="868" spans="1:38" customFormat="1" ht="57.6" x14ac:dyDescent="0.3">
      <c r="A868" s="140" t="s">
        <v>1444</v>
      </c>
      <c r="B868" s="140">
        <v>1</v>
      </c>
      <c r="C868" s="166" t="s">
        <v>836</v>
      </c>
      <c r="D868" s="140" t="str">
        <f t="shared" si="93"/>
        <v>5</v>
      </c>
      <c r="E868" s="166" t="s">
        <v>1446</v>
      </c>
      <c r="F868" s="140">
        <f t="shared" si="99"/>
        <v>3</v>
      </c>
      <c r="G868" s="140" t="str">
        <f t="shared" si="94"/>
        <v>1.5.3</v>
      </c>
      <c r="H868" s="166" t="s">
        <v>1478</v>
      </c>
      <c r="I868" s="171" t="s">
        <v>1120</v>
      </c>
      <c r="J868" s="171" t="s">
        <v>180</v>
      </c>
      <c r="K868" s="171" t="s">
        <v>712</v>
      </c>
      <c r="L868" s="166">
        <f>1480/7</f>
        <v>211.42857142857142</v>
      </c>
      <c r="M868" s="170"/>
      <c r="N868" s="166"/>
      <c r="O868" s="164">
        <f t="shared" si="96"/>
        <v>0</v>
      </c>
      <c r="P868" s="170">
        <f>2*9*25</f>
        <v>450</v>
      </c>
      <c r="Q868" s="166">
        <v>5</v>
      </c>
      <c r="R868" s="164">
        <f>$L868*'Pivot Objective'!$C$9*P868*Q868</f>
        <v>543703.89328714274</v>
      </c>
      <c r="S868" s="170">
        <f>2*9*25</f>
        <v>450</v>
      </c>
      <c r="T868" s="166">
        <v>5</v>
      </c>
      <c r="U868" s="164">
        <f>($L868*'Pivot Objective'!$C$9^2)*S868*T868</f>
        <v>621410.65015891218</v>
      </c>
      <c r="V868" s="170">
        <f>2*9*25</f>
        <v>450</v>
      </c>
      <c r="W868" s="166">
        <v>5</v>
      </c>
      <c r="X868" s="164">
        <f>($L868*'Pivot Objective'!$C$9^3)*V868*W868</f>
        <v>710223.34196710703</v>
      </c>
      <c r="Y868" s="170">
        <f>2*9*25</f>
        <v>450</v>
      </c>
      <c r="Z868" s="166">
        <v>5</v>
      </c>
      <c r="AA868" s="164">
        <f>($L868*'Pivot Objective'!$C$9^4)*Y868*Z868</f>
        <v>811729.24111605203</v>
      </c>
      <c r="AB868" s="170">
        <f>2*9*25</f>
        <v>450</v>
      </c>
      <c r="AC868" s="166">
        <v>5</v>
      </c>
      <c r="AD868" s="164">
        <f>($L868*'Pivot Objective'!$C$9^5)*AB868*AC868</f>
        <v>927742.47472333559</v>
      </c>
      <c r="AE868" s="170">
        <f>2*9*25</f>
        <v>450</v>
      </c>
      <c r="AF868" s="166">
        <v>5</v>
      </c>
      <c r="AG868" s="164">
        <f>($L868*'Pivot Objective'!$C$9^6)*AE868*AF868</f>
        <v>1060336.4469442894</v>
      </c>
      <c r="AH868" s="170">
        <f>2*9*25</f>
        <v>450</v>
      </c>
      <c r="AI868" s="166">
        <v>5</v>
      </c>
      <c r="AJ868" s="164">
        <f>($L868*'Pivot Objective'!$C$9^7)*AH868*AI868</f>
        <v>1211880.8951306494</v>
      </c>
      <c r="AK868" s="185">
        <f t="shared" si="97"/>
        <v>5887026.9433274884</v>
      </c>
      <c r="AL868" s="186">
        <f t="shared" si="98"/>
        <v>5715.5601391529017</v>
      </c>
    </row>
    <row r="869" spans="1:38" customFormat="1" ht="57.6" x14ac:dyDescent="0.3">
      <c r="A869" s="140" t="s">
        <v>1444</v>
      </c>
      <c r="B869" s="140">
        <v>1</v>
      </c>
      <c r="C869" s="166" t="s">
        <v>836</v>
      </c>
      <c r="D869" s="140" t="str">
        <f t="shared" si="93"/>
        <v>5</v>
      </c>
      <c r="E869" s="166" t="s">
        <v>1446</v>
      </c>
      <c r="F869" s="140">
        <f t="shared" si="99"/>
        <v>3</v>
      </c>
      <c r="G869" s="140" t="str">
        <f t="shared" si="94"/>
        <v>1.5.3</v>
      </c>
      <c r="H869" s="166" t="s">
        <v>1478</v>
      </c>
      <c r="I869" s="171" t="s">
        <v>1120</v>
      </c>
      <c r="J869" s="171" t="s">
        <v>180</v>
      </c>
      <c r="K869" s="171" t="s">
        <v>1336</v>
      </c>
      <c r="L869" s="166">
        <f>1480/7</f>
        <v>211.42857142857142</v>
      </c>
      <c r="M869" s="170"/>
      <c r="N869" s="166"/>
      <c r="O869" s="164">
        <f t="shared" si="96"/>
        <v>0</v>
      </c>
      <c r="P869" s="170">
        <f>150*2*9</f>
        <v>2700</v>
      </c>
      <c r="Q869" s="166">
        <v>1</v>
      </c>
      <c r="R869" s="164">
        <f>$L869*'Pivot Objective'!$C$9*P869*Q869</f>
        <v>652444.67194457131</v>
      </c>
      <c r="S869" s="170">
        <f>150*2*9</f>
        <v>2700</v>
      </c>
      <c r="T869" s="166">
        <v>1</v>
      </c>
      <c r="U869" s="164">
        <f>($L869*'Pivot Objective'!$C$9^2)*S869*T869</f>
        <v>745692.78019069461</v>
      </c>
      <c r="V869" s="170">
        <f>150*2*9</f>
        <v>2700</v>
      </c>
      <c r="W869" s="166">
        <v>1</v>
      </c>
      <c r="X869" s="164">
        <f>($L869*'Pivot Objective'!$C$9^3)*V869*W869</f>
        <v>852268.01036052837</v>
      </c>
      <c r="Y869" s="170">
        <f>150*2*9</f>
        <v>2700</v>
      </c>
      <c r="Z869" s="166">
        <v>1</v>
      </c>
      <c r="AA869" s="164">
        <f>($L869*'Pivot Objective'!$C$9^4)*Y869*Z869</f>
        <v>974075.08933926234</v>
      </c>
      <c r="AB869" s="170">
        <f>150*2*9</f>
        <v>2700</v>
      </c>
      <c r="AC869" s="166">
        <v>1</v>
      </c>
      <c r="AD869" s="164">
        <f>($L869*'Pivot Objective'!$C$9^5)*AB869*AC869</f>
        <v>1113290.9696680028</v>
      </c>
      <c r="AE869" s="170">
        <f>150*2*9</f>
        <v>2700</v>
      </c>
      <c r="AF869" s="166">
        <v>1</v>
      </c>
      <c r="AG869" s="164">
        <f>($L869*'Pivot Objective'!$C$9^6)*AE869*AF869</f>
        <v>1272403.7363331474</v>
      </c>
      <c r="AH869" s="170">
        <f>150*2*9</f>
        <v>2700</v>
      </c>
      <c r="AI869" s="166">
        <v>1</v>
      </c>
      <c r="AJ869" s="164">
        <f>($L869*'Pivot Objective'!$C$9^7)*AH869*AI869</f>
        <v>1454257.0741567793</v>
      </c>
      <c r="AK869" s="185">
        <f t="shared" si="97"/>
        <v>7064432.3319929857</v>
      </c>
      <c r="AL869" s="186">
        <f t="shared" si="98"/>
        <v>6858.6721669834815</v>
      </c>
    </row>
    <row r="870" spans="1:38" customFormat="1" ht="57.6" x14ac:dyDescent="0.3">
      <c r="A870" s="140" t="s">
        <v>1444</v>
      </c>
      <c r="B870" s="140">
        <v>1</v>
      </c>
      <c r="C870" s="166" t="s">
        <v>836</v>
      </c>
      <c r="D870" s="140" t="str">
        <f t="shared" si="93"/>
        <v>5</v>
      </c>
      <c r="E870" s="166" t="s">
        <v>1446</v>
      </c>
      <c r="F870" s="140">
        <f t="shared" si="99"/>
        <v>3</v>
      </c>
      <c r="G870" s="140" t="str">
        <f t="shared" si="94"/>
        <v>1.5.3</v>
      </c>
      <c r="H870" s="166" t="s">
        <v>1478</v>
      </c>
      <c r="I870" s="171" t="s">
        <v>1120</v>
      </c>
      <c r="J870" s="171" t="s">
        <v>280</v>
      </c>
      <c r="K870" s="171" t="s">
        <v>709</v>
      </c>
      <c r="L870" s="166">
        <v>35000</v>
      </c>
      <c r="M870" s="169"/>
      <c r="N870" s="166"/>
      <c r="O870" s="164">
        <f t="shared" si="96"/>
        <v>0</v>
      </c>
      <c r="P870" s="169">
        <v>100</v>
      </c>
      <c r="Q870" s="166">
        <v>5</v>
      </c>
      <c r="R870" s="164">
        <f>$L870*'Pivot Objective'!$C$9*P870*Q870</f>
        <v>20001119.197499998</v>
      </c>
      <c r="S870" s="169">
        <v>100</v>
      </c>
      <c r="T870" s="166">
        <v>5</v>
      </c>
      <c r="U870" s="164">
        <f>($L870*'Pivot Objective'!$C$9^2)*S870*T870</f>
        <v>22859701.094434455</v>
      </c>
      <c r="V870" s="169">
        <v>100</v>
      </c>
      <c r="W870" s="166">
        <v>5</v>
      </c>
      <c r="X870" s="164">
        <f>($L870*'Pivot Objective'!$C$9^3)*V870*W870</f>
        <v>26126834.651943129</v>
      </c>
      <c r="Y870" s="169">
        <v>100</v>
      </c>
      <c r="Z870" s="166">
        <v>5</v>
      </c>
      <c r="AA870" s="164">
        <f>($L870*'Pivot Objective'!$C$9^4)*Y870*Z870</f>
        <v>29860910.521536451</v>
      </c>
      <c r="AB870" s="169">
        <v>100</v>
      </c>
      <c r="AC870" s="166">
        <v>5</v>
      </c>
      <c r="AD870" s="164">
        <f>($L870*'Pivot Objective'!$C$9^5)*AB870*AC870</f>
        <v>34128664.610693276</v>
      </c>
      <c r="AE870" s="169">
        <v>100</v>
      </c>
      <c r="AF870" s="166">
        <v>5</v>
      </c>
      <c r="AG870" s="164">
        <f>($L870*'Pivot Objective'!$C$9^6)*AE870*AF870</f>
        <v>39006370.795998633</v>
      </c>
      <c r="AH870" s="169">
        <v>100</v>
      </c>
      <c r="AI870" s="166">
        <v>5</v>
      </c>
      <c r="AJ870" s="164">
        <f>($L870*'Pivot Objective'!$C$9^7)*AH870*AI870</f>
        <v>44581204.100151524</v>
      </c>
      <c r="AK870" s="185">
        <f t="shared" si="97"/>
        <v>216564804.97225749</v>
      </c>
      <c r="AL870" s="186">
        <f t="shared" si="98"/>
        <v>210257.09220607523</v>
      </c>
    </row>
    <row r="871" spans="1:38" customFormat="1" ht="57.6" x14ac:dyDescent="0.3">
      <c r="A871" s="140" t="s">
        <v>1444</v>
      </c>
      <c r="B871" s="140">
        <v>1</v>
      </c>
      <c r="C871" s="166" t="s">
        <v>836</v>
      </c>
      <c r="D871" s="140" t="str">
        <f t="shared" si="93"/>
        <v>5</v>
      </c>
      <c r="E871" s="166" t="s">
        <v>1446</v>
      </c>
      <c r="F871" s="140">
        <f t="shared" si="99"/>
        <v>3</v>
      </c>
      <c r="G871" s="140" t="str">
        <f t="shared" si="94"/>
        <v>1.5.3</v>
      </c>
      <c r="H871" s="166" t="s">
        <v>1478</v>
      </c>
      <c r="I871" s="171" t="s">
        <v>1120</v>
      </c>
      <c r="J871" s="171" t="s">
        <v>280</v>
      </c>
      <c r="K871" s="171" t="s">
        <v>716</v>
      </c>
      <c r="L871" s="166">
        <v>39000</v>
      </c>
      <c r="M871" s="169"/>
      <c r="N871" s="166"/>
      <c r="O871" s="164">
        <f t="shared" si="96"/>
        <v>0</v>
      </c>
      <c r="P871" s="169">
        <v>58</v>
      </c>
      <c r="Q871" s="166">
        <v>5</v>
      </c>
      <c r="R871" s="164">
        <f>$L871*'Pivot Objective'!$C$9*P871*Q871</f>
        <v>12926437.607069999</v>
      </c>
      <c r="S871" s="169">
        <v>58</v>
      </c>
      <c r="T871" s="166">
        <v>5</v>
      </c>
      <c r="U871" s="164">
        <f>($L871*'Pivot Objective'!$C$9^2)*S871*T871</f>
        <v>14773898.250174496</v>
      </c>
      <c r="V871" s="169">
        <v>58</v>
      </c>
      <c r="W871" s="166">
        <v>5</v>
      </c>
      <c r="X871" s="164">
        <f>($L871*'Pivot Objective'!$C$9^3)*V871*W871</f>
        <v>16885399.995055817</v>
      </c>
      <c r="Y871" s="169">
        <v>58</v>
      </c>
      <c r="Z871" s="166">
        <v>5</v>
      </c>
      <c r="AA871" s="164">
        <f>($L871*'Pivot Objective'!$C$9^4)*Y871*Z871</f>
        <v>19298679.885632988</v>
      </c>
      <c r="AB871" s="169">
        <v>58</v>
      </c>
      <c r="AC871" s="166">
        <v>5</v>
      </c>
      <c r="AD871" s="164">
        <f>($L871*'Pivot Objective'!$C$9^5)*AB871*AC871</f>
        <v>22056868.385539483</v>
      </c>
      <c r="AE871" s="169">
        <v>58</v>
      </c>
      <c r="AF871" s="166">
        <v>5</v>
      </c>
      <c r="AG871" s="164">
        <f>($L871*'Pivot Objective'!$C$9^6)*AE871*AF871</f>
        <v>25209260.211585406</v>
      </c>
      <c r="AH871" s="169">
        <v>58</v>
      </c>
      <c r="AI871" s="166">
        <v>5</v>
      </c>
      <c r="AJ871" s="164">
        <f>($L871*'Pivot Objective'!$C$9^7)*AH871*AI871</f>
        <v>28812195.335583642</v>
      </c>
      <c r="AK871" s="185">
        <f t="shared" si="97"/>
        <v>139962739.67064184</v>
      </c>
      <c r="AL871" s="186">
        <f t="shared" si="98"/>
        <v>135886.15502004063</v>
      </c>
    </row>
    <row r="872" spans="1:38" customFormat="1" ht="57.6" x14ac:dyDescent="0.3">
      <c r="A872" s="140" t="s">
        <v>1444</v>
      </c>
      <c r="B872" s="140">
        <v>1</v>
      </c>
      <c r="C872" s="166" t="s">
        <v>836</v>
      </c>
      <c r="D872" s="140" t="str">
        <f t="shared" si="93"/>
        <v>5</v>
      </c>
      <c r="E872" s="166" t="s">
        <v>1446</v>
      </c>
      <c r="F872" s="140">
        <f t="shared" si="99"/>
        <v>3</v>
      </c>
      <c r="G872" s="140" t="str">
        <f t="shared" si="94"/>
        <v>1.5.3</v>
      </c>
      <c r="H872" s="166" t="s">
        <v>1478</v>
      </c>
      <c r="I872" s="171" t="s">
        <v>1120</v>
      </c>
      <c r="J872" s="171" t="s">
        <v>280</v>
      </c>
      <c r="K872" s="171" t="s">
        <v>712</v>
      </c>
      <c r="L872" s="166">
        <f>1480/7</f>
        <v>211.42857142857142</v>
      </c>
      <c r="M872" s="169"/>
      <c r="N872" s="166"/>
      <c r="O872" s="164">
        <f t="shared" si="96"/>
        <v>0</v>
      </c>
      <c r="P872" s="169">
        <f>2*25*29</f>
        <v>1450</v>
      </c>
      <c r="Q872" s="166">
        <v>5</v>
      </c>
      <c r="R872" s="164">
        <f>$L872*'Pivot Objective'!$C$9*P872*Q872</f>
        <v>1751934.7672585712</v>
      </c>
      <c r="S872" s="169">
        <f>2*25*29</f>
        <v>1450</v>
      </c>
      <c r="T872" s="166">
        <v>5</v>
      </c>
      <c r="U872" s="164">
        <f>($L872*'Pivot Objective'!$C$9^2)*S872*T872</f>
        <v>2002323.2060676059</v>
      </c>
      <c r="V872" s="169">
        <f>2*25*29</f>
        <v>1450</v>
      </c>
      <c r="W872" s="166">
        <v>5</v>
      </c>
      <c r="X872" s="164">
        <f>($L872*'Pivot Objective'!$C$9^3)*V872*W872</f>
        <v>2288497.4352273447</v>
      </c>
      <c r="Y872" s="169">
        <f>2*25*29</f>
        <v>1450</v>
      </c>
      <c r="Z872" s="166">
        <v>5</v>
      </c>
      <c r="AA872" s="164">
        <f>($L872*'Pivot Objective'!$C$9^4)*Y872*Z872</f>
        <v>2615571.999151723</v>
      </c>
      <c r="AB872" s="169">
        <f>2*25*29</f>
        <v>1450</v>
      </c>
      <c r="AC872" s="166">
        <v>5</v>
      </c>
      <c r="AD872" s="164">
        <f>($L872*'Pivot Objective'!$C$9^5)*AB872*AC872</f>
        <v>2989392.41855297</v>
      </c>
      <c r="AE872" s="169">
        <f>2*25*29</f>
        <v>1450</v>
      </c>
      <c r="AF872" s="166">
        <v>5</v>
      </c>
      <c r="AG872" s="164">
        <f>($L872*'Pivot Objective'!$C$9^6)*AE872*AF872</f>
        <v>3416639.6623760439</v>
      </c>
      <c r="AH872" s="169">
        <f>2*25*29</f>
        <v>1450</v>
      </c>
      <c r="AI872" s="166">
        <v>5</v>
      </c>
      <c r="AJ872" s="164">
        <f>($L872*'Pivot Objective'!$C$9^7)*AH872*AI872</f>
        <v>3904949.5509765372</v>
      </c>
      <c r="AK872" s="185">
        <f t="shared" si="97"/>
        <v>18969309.039610796</v>
      </c>
      <c r="AL872" s="186">
        <f t="shared" si="98"/>
        <v>18416.804892826014</v>
      </c>
    </row>
    <row r="873" spans="1:38" customFormat="1" ht="57.6" x14ac:dyDescent="0.3">
      <c r="A873" s="140" t="s">
        <v>1444</v>
      </c>
      <c r="B873" s="140">
        <v>1</v>
      </c>
      <c r="C873" s="166" t="s">
        <v>836</v>
      </c>
      <c r="D873" s="140" t="str">
        <f t="shared" si="93"/>
        <v>5</v>
      </c>
      <c r="E873" s="166" t="s">
        <v>1446</v>
      </c>
      <c r="F873" s="140">
        <f t="shared" si="99"/>
        <v>3</v>
      </c>
      <c r="G873" s="140" t="str">
        <f t="shared" si="94"/>
        <v>1.5.3</v>
      </c>
      <c r="H873" s="166" t="s">
        <v>1478</v>
      </c>
      <c r="I873" s="171" t="s">
        <v>1120</v>
      </c>
      <c r="J873" s="171" t="s">
        <v>280</v>
      </c>
      <c r="K873" s="171" t="s">
        <v>1336</v>
      </c>
      <c r="L873" s="166">
        <f>1480/7</f>
        <v>211.42857142857142</v>
      </c>
      <c r="M873" s="169"/>
      <c r="N873" s="166"/>
      <c r="O873" s="164">
        <f t="shared" si="96"/>
        <v>0</v>
      </c>
      <c r="P873" s="169">
        <v>22500</v>
      </c>
      <c r="Q873" s="166">
        <v>1</v>
      </c>
      <c r="R873" s="164">
        <f>$L873*'Pivot Objective'!$C$9*P873*Q873</f>
        <v>5437038.9328714283</v>
      </c>
      <c r="S873" s="169">
        <v>22500</v>
      </c>
      <c r="T873" s="166">
        <v>1</v>
      </c>
      <c r="U873" s="164">
        <f>($L873*'Pivot Objective'!$C$9^2)*S873*T873</f>
        <v>6214106.5015891213</v>
      </c>
      <c r="V873" s="169">
        <v>22500</v>
      </c>
      <c r="W873" s="166">
        <v>1</v>
      </c>
      <c r="X873" s="164">
        <f>($L873*'Pivot Objective'!$C$9^3)*V873*W873</f>
        <v>7102233.4196710698</v>
      </c>
      <c r="Y873" s="169">
        <v>22500</v>
      </c>
      <c r="Z873" s="166">
        <v>1</v>
      </c>
      <c r="AA873" s="164">
        <f>($L873*'Pivot Objective'!$C$9^4)*Y873*Z873</f>
        <v>8117292.4111605193</v>
      </c>
      <c r="AB873" s="169">
        <v>22500</v>
      </c>
      <c r="AC873" s="166">
        <v>1</v>
      </c>
      <c r="AD873" s="164">
        <f>($L873*'Pivot Objective'!$C$9^5)*AB873*AC873</f>
        <v>9277424.7472333554</v>
      </c>
      <c r="AE873" s="169">
        <v>22500</v>
      </c>
      <c r="AF873" s="166">
        <v>1</v>
      </c>
      <c r="AG873" s="164">
        <f>($L873*'Pivot Objective'!$C$9^6)*AE873*AF873</f>
        <v>10603364.469442895</v>
      </c>
      <c r="AH873" s="169">
        <v>22500</v>
      </c>
      <c r="AI873" s="166">
        <v>1</v>
      </c>
      <c r="AJ873" s="164">
        <f>($L873*'Pivot Objective'!$C$9^7)*AH873*AI873</f>
        <v>12118808.951306494</v>
      </c>
      <c r="AK873" s="185">
        <f t="shared" si="97"/>
        <v>58870269.43327488</v>
      </c>
      <c r="AL873" s="186">
        <f t="shared" si="98"/>
        <v>57155.60139152901</v>
      </c>
    </row>
    <row r="874" spans="1:38" customFormat="1" ht="57.6" x14ac:dyDescent="0.3">
      <c r="A874" s="140" t="s">
        <v>1444</v>
      </c>
      <c r="B874" s="140">
        <v>1</v>
      </c>
      <c r="C874" s="166" t="s">
        <v>836</v>
      </c>
      <c r="D874" s="140" t="str">
        <f t="shared" si="93"/>
        <v>5</v>
      </c>
      <c r="E874" s="166" t="s">
        <v>1446</v>
      </c>
      <c r="F874" s="140">
        <f t="shared" si="99"/>
        <v>3</v>
      </c>
      <c r="G874" s="140" t="str">
        <f t="shared" si="94"/>
        <v>1.5.3</v>
      </c>
      <c r="H874" s="166" t="s">
        <v>1478</v>
      </c>
      <c r="I874" s="171" t="s">
        <v>1120</v>
      </c>
      <c r="J874" s="171" t="s">
        <v>171</v>
      </c>
      <c r="K874" s="171" t="s">
        <v>709</v>
      </c>
      <c r="L874" s="166">
        <v>35000</v>
      </c>
      <c r="M874" s="169"/>
      <c r="N874" s="166"/>
      <c r="O874" s="164">
        <f t="shared" si="96"/>
        <v>0</v>
      </c>
      <c r="P874" s="169">
        <v>100</v>
      </c>
      <c r="Q874" s="166">
        <v>1</v>
      </c>
      <c r="R874" s="164">
        <f>$L874*'Pivot Objective'!$C$9*P874*Q874</f>
        <v>4000223.8394999993</v>
      </c>
      <c r="S874" s="169">
        <v>100</v>
      </c>
      <c r="T874" s="166">
        <v>1</v>
      </c>
      <c r="U874" s="164">
        <f>($L874*'Pivot Objective'!$C$9^2)*S874*T874</f>
        <v>4571940.2188868914</v>
      </c>
      <c r="V874" s="169">
        <v>100</v>
      </c>
      <c r="W874" s="166">
        <v>1</v>
      </c>
      <c r="X874" s="164">
        <f>($L874*'Pivot Objective'!$C$9^3)*V874*W874</f>
        <v>5225366.9303886257</v>
      </c>
      <c r="Y874" s="169">
        <v>100</v>
      </c>
      <c r="Z874" s="166">
        <v>1</v>
      </c>
      <c r="AA874" s="164">
        <f>($L874*'Pivot Objective'!$C$9^4)*Y874*Z874</f>
        <v>5972182.1043072902</v>
      </c>
      <c r="AB874" s="169">
        <v>100</v>
      </c>
      <c r="AC874" s="166">
        <v>1</v>
      </c>
      <c r="AD874" s="164">
        <f>($L874*'Pivot Objective'!$C$9^5)*AB874*AC874</f>
        <v>6825732.9221386546</v>
      </c>
      <c r="AE874" s="169">
        <v>100</v>
      </c>
      <c r="AF874" s="166">
        <v>1</v>
      </c>
      <c r="AG874" s="164">
        <f>($L874*'Pivot Objective'!$C$9^6)*AE874*AF874</f>
        <v>7801274.1591997268</v>
      </c>
      <c r="AH874" s="169">
        <v>100</v>
      </c>
      <c r="AI874" s="166">
        <v>1</v>
      </c>
      <c r="AJ874" s="164">
        <f>($L874*'Pivot Objective'!$C$9^7)*AH874*AI874</f>
        <v>8916240.8200303055</v>
      </c>
      <c r="AK874" s="185">
        <f t="shared" si="97"/>
        <v>43312960.994451493</v>
      </c>
      <c r="AL874" s="186">
        <f t="shared" si="98"/>
        <v>42051.418441215043</v>
      </c>
    </row>
    <row r="875" spans="1:38" customFormat="1" ht="57.6" x14ac:dyDescent="0.3">
      <c r="A875" s="140" t="s">
        <v>1444</v>
      </c>
      <c r="B875" s="140">
        <v>1</v>
      </c>
      <c r="C875" s="166" t="s">
        <v>836</v>
      </c>
      <c r="D875" s="140" t="str">
        <f t="shared" si="93"/>
        <v>5</v>
      </c>
      <c r="E875" s="166" t="s">
        <v>1446</v>
      </c>
      <c r="F875" s="140">
        <f t="shared" si="99"/>
        <v>3</v>
      </c>
      <c r="G875" s="140" t="str">
        <f t="shared" si="94"/>
        <v>1.5.3</v>
      </c>
      <c r="H875" s="166" t="s">
        <v>1478</v>
      </c>
      <c r="I875" s="171" t="s">
        <v>1120</v>
      </c>
      <c r="J875" s="171" t="s">
        <v>171</v>
      </c>
      <c r="K875" s="171" t="s">
        <v>1297</v>
      </c>
      <c r="L875" s="166">
        <v>8000</v>
      </c>
      <c r="M875" s="169"/>
      <c r="N875" s="166"/>
      <c r="O875" s="164">
        <f t="shared" si="96"/>
        <v>0</v>
      </c>
      <c r="P875" s="169">
        <v>10</v>
      </c>
      <c r="Q875" s="166">
        <v>1</v>
      </c>
      <c r="R875" s="164">
        <f>$L875*'Pivot Objective'!$C$9*P875*Q875</f>
        <v>91433.687760000001</v>
      </c>
      <c r="S875" s="169">
        <v>10</v>
      </c>
      <c r="T875" s="166">
        <v>1</v>
      </c>
      <c r="U875" s="164">
        <f>($L875*'Pivot Objective'!$C$9^2)*S875*T875</f>
        <v>104501.49071741465</v>
      </c>
      <c r="V875" s="169">
        <v>10</v>
      </c>
      <c r="W875" s="166">
        <v>1</v>
      </c>
      <c r="X875" s="164">
        <f>($L875*'Pivot Objective'!$C$9^3)*V875*W875</f>
        <v>119436.95840888287</v>
      </c>
      <c r="Y875" s="169">
        <v>10</v>
      </c>
      <c r="Z875" s="166">
        <v>1</v>
      </c>
      <c r="AA875" s="164">
        <f>($L875*'Pivot Objective'!$C$9^4)*Y875*Z875</f>
        <v>136507.01952702377</v>
      </c>
      <c r="AB875" s="169">
        <v>10</v>
      </c>
      <c r="AC875" s="166">
        <v>1</v>
      </c>
      <c r="AD875" s="164">
        <f>($L875*'Pivot Objective'!$C$9^5)*AB875*AC875</f>
        <v>156016.75250602642</v>
      </c>
      <c r="AE875" s="169">
        <v>10</v>
      </c>
      <c r="AF875" s="166">
        <v>1</v>
      </c>
      <c r="AG875" s="164">
        <f>($L875*'Pivot Objective'!$C$9^6)*AE875*AF875</f>
        <v>178314.83792456522</v>
      </c>
      <c r="AH875" s="169">
        <v>10</v>
      </c>
      <c r="AI875" s="166">
        <v>1</v>
      </c>
      <c r="AJ875" s="164">
        <f>($L875*'Pivot Objective'!$C$9^7)*AH875*AI875</f>
        <v>203799.79017212125</v>
      </c>
      <c r="AK875" s="185">
        <f t="shared" si="97"/>
        <v>990010.53701603413</v>
      </c>
      <c r="AL875" s="186">
        <f t="shared" si="98"/>
        <v>961.17527865634383</v>
      </c>
    </row>
    <row r="876" spans="1:38" customFormat="1" ht="57.6" x14ac:dyDescent="0.3">
      <c r="A876" s="140" t="s">
        <v>1444</v>
      </c>
      <c r="B876" s="140">
        <v>1</v>
      </c>
      <c r="C876" s="166" t="s">
        <v>836</v>
      </c>
      <c r="D876" s="140" t="str">
        <f t="shared" si="93"/>
        <v>5</v>
      </c>
      <c r="E876" s="166" t="s">
        <v>1446</v>
      </c>
      <c r="F876" s="140">
        <f t="shared" si="99"/>
        <v>3</v>
      </c>
      <c r="G876" s="140" t="str">
        <f t="shared" si="94"/>
        <v>1.5.3</v>
      </c>
      <c r="H876" s="166" t="s">
        <v>1478</v>
      </c>
      <c r="I876" s="171" t="s">
        <v>1120</v>
      </c>
      <c r="J876" s="171" t="s">
        <v>171</v>
      </c>
      <c r="K876" s="171" t="s">
        <v>717</v>
      </c>
      <c r="L876" s="167">
        <v>104850</v>
      </c>
      <c r="M876" s="169"/>
      <c r="N876" s="166"/>
      <c r="O876" s="164">
        <f t="shared" si="96"/>
        <v>0</v>
      </c>
      <c r="P876" s="169">
        <v>1</v>
      </c>
      <c r="Q876" s="166">
        <v>1</v>
      </c>
      <c r="R876" s="164">
        <f>$L876*'Pivot Objective'!$C$9*P876*Q876</f>
        <v>119835.27702044998</v>
      </c>
      <c r="S876" s="169">
        <v>1</v>
      </c>
      <c r="T876" s="166">
        <v>1</v>
      </c>
      <c r="U876" s="164">
        <f>($L876*'Pivot Objective'!$C$9^2)*S876*T876</f>
        <v>136962.26627151159</v>
      </c>
      <c r="V876" s="169">
        <v>1</v>
      </c>
      <c r="W876" s="166">
        <v>1</v>
      </c>
      <c r="X876" s="164">
        <f>($L876*'Pivot Objective'!$C$9^3)*V876*W876</f>
        <v>156537.0636146421</v>
      </c>
      <c r="Y876" s="169">
        <v>1</v>
      </c>
      <c r="Z876" s="166">
        <v>1</v>
      </c>
      <c r="AA876" s="164">
        <f>($L876*'Pivot Objective'!$C$9^4)*Y876*Z876</f>
        <v>178909.51246760553</v>
      </c>
      <c r="AB876" s="169">
        <v>1</v>
      </c>
      <c r="AC876" s="166">
        <v>1</v>
      </c>
      <c r="AD876" s="164">
        <f>($L876*'Pivot Objective'!$C$9^5)*AB876*AC876</f>
        <v>204479.45625321087</v>
      </c>
      <c r="AE876" s="169">
        <v>1</v>
      </c>
      <c r="AF876" s="166">
        <v>1</v>
      </c>
      <c r="AG876" s="164">
        <f>($L876*'Pivot Objective'!$C$9^6)*AE876*AF876</f>
        <v>233703.88445488326</v>
      </c>
      <c r="AH876" s="169">
        <v>1</v>
      </c>
      <c r="AI876" s="166">
        <v>1</v>
      </c>
      <c r="AJ876" s="164">
        <f>($L876*'Pivot Objective'!$C$9^7)*AH876*AI876</f>
        <v>267105.09999433643</v>
      </c>
      <c r="AK876" s="185">
        <f t="shared" si="97"/>
        <v>1297532.5600766398</v>
      </c>
      <c r="AL876" s="186">
        <f t="shared" si="98"/>
        <v>1259.7403495889707</v>
      </c>
    </row>
    <row r="877" spans="1:38" customFormat="1" ht="57.6" x14ac:dyDescent="0.3">
      <c r="A877" s="140" t="s">
        <v>1444</v>
      </c>
      <c r="B877" s="140">
        <v>1</v>
      </c>
      <c r="C877" s="166" t="s">
        <v>836</v>
      </c>
      <c r="D877" s="140" t="str">
        <f t="shared" si="93"/>
        <v>5</v>
      </c>
      <c r="E877" s="166" t="s">
        <v>1446</v>
      </c>
      <c r="F877" s="140">
        <f t="shared" si="99"/>
        <v>4</v>
      </c>
      <c r="G877" s="140" t="str">
        <f t="shared" si="94"/>
        <v>1.5.4</v>
      </c>
      <c r="H877" s="166" t="s">
        <v>1479</v>
      </c>
      <c r="I877" s="171" t="s">
        <v>1122</v>
      </c>
      <c r="J877" s="171" t="s">
        <v>1123</v>
      </c>
      <c r="K877" s="171" t="s">
        <v>709</v>
      </c>
      <c r="L877" s="166">
        <v>35000</v>
      </c>
      <c r="M877" s="169">
        <v>20</v>
      </c>
      <c r="N877" s="166">
        <v>5</v>
      </c>
      <c r="O877" s="164">
        <f t="shared" si="96"/>
        <v>3500000</v>
      </c>
      <c r="P877" s="169">
        <v>20</v>
      </c>
      <c r="Q877" s="166">
        <v>5</v>
      </c>
      <c r="R877" s="164">
        <f>$L877*'Pivot Objective'!$C$9*P877*Q877</f>
        <v>4000223.8394999993</v>
      </c>
      <c r="S877" s="169">
        <v>20</v>
      </c>
      <c r="T877" s="166">
        <v>5</v>
      </c>
      <c r="U877" s="164">
        <f>($L877*'Pivot Objective'!$C$9^2)*S877*T877</f>
        <v>4571940.2188868904</v>
      </c>
      <c r="V877" s="169">
        <v>20</v>
      </c>
      <c r="W877" s="166">
        <v>5</v>
      </c>
      <c r="X877" s="164">
        <f>($L877*'Pivot Objective'!$C$9^3)*V877*W877</f>
        <v>5225366.9303886257</v>
      </c>
      <c r="Y877" s="169">
        <v>20</v>
      </c>
      <c r="Z877" s="166">
        <v>5</v>
      </c>
      <c r="AA877" s="164">
        <f>($L877*'Pivot Objective'!$C$9^4)*Y877*Z877</f>
        <v>5972182.1043072902</v>
      </c>
      <c r="AB877" s="169">
        <v>20</v>
      </c>
      <c r="AC877" s="166">
        <v>5</v>
      </c>
      <c r="AD877" s="164">
        <f>($L877*'Pivot Objective'!$C$9^5)*AB877*AC877</f>
        <v>6825732.9221386556</v>
      </c>
      <c r="AE877" s="169">
        <v>20</v>
      </c>
      <c r="AF877" s="166">
        <v>5</v>
      </c>
      <c r="AG877" s="164">
        <f>($L877*'Pivot Objective'!$C$9^6)*AE877*AF877</f>
        <v>7801274.1591997268</v>
      </c>
      <c r="AH877" s="169">
        <v>20</v>
      </c>
      <c r="AI877" s="166">
        <v>5</v>
      </c>
      <c r="AJ877" s="164">
        <f>($L877*'Pivot Objective'!$C$9^7)*AH877*AI877</f>
        <v>8916240.8200303055</v>
      </c>
      <c r="AK877" s="185">
        <f t="shared" si="97"/>
        <v>46812960.994451493</v>
      </c>
      <c r="AL877" s="186">
        <f t="shared" si="98"/>
        <v>45449.476693642224</v>
      </c>
    </row>
    <row r="878" spans="1:38" customFormat="1" ht="57.6" x14ac:dyDescent="0.3">
      <c r="A878" s="140" t="s">
        <v>1444</v>
      </c>
      <c r="B878" s="140">
        <v>1</v>
      </c>
      <c r="C878" s="166" t="s">
        <v>836</v>
      </c>
      <c r="D878" s="140" t="str">
        <f t="shared" si="93"/>
        <v>5</v>
      </c>
      <c r="E878" s="166" t="s">
        <v>1446</v>
      </c>
      <c r="F878" s="140">
        <f t="shared" si="99"/>
        <v>4</v>
      </c>
      <c r="G878" s="140" t="str">
        <f t="shared" si="94"/>
        <v>1.5.4</v>
      </c>
      <c r="H878" s="166" t="s">
        <v>1479</v>
      </c>
      <c r="I878" s="171" t="s">
        <v>1122</v>
      </c>
      <c r="J878" s="171" t="s">
        <v>1123</v>
      </c>
      <c r="K878" s="171" t="s">
        <v>716</v>
      </c>
      <c r="L878" s="166">
        <v>39000</v>
      </c>
      <c r="M878" s="169">
        <v>20</v>
      </c>
      <c r="N878" s="166">
        <v>6</v>
      </c>
      <c r="O878" s="164">
        <f t="shared" si="96"/>
        <v>4680000</v>
      </c>
      <c r="P878" s="169">
        <v>20</v>
      </c>
      <c r="Q878" s="166">
        <v>6</v>
      </c>
      <c r="R878" s="164">
        <f>$L878*'Pivot Objective'!$C$9*P878*Q878</f>
        <v>5348870.7339599989</v>
      </c>
      <c r="S878" s="169">
        <v>20</v>
      </c>
      <c r="T878" s="166">
        <v>6</v>
      </c>
      <c r="U878" s="164">
        <f>($L878*'Pivot Objective'!$C$9^2)*S878*T878</f>
        <v>6113337.2069687573</v>
      </c>
      <c r="V878" s="169">
        <v>20</v>
      </c>
      <c r="W878" s="166">
        <v>6</v>
      </c>
      <c r="X878" s="164">
        <f>($L878*'Pivot Objective'!$C$9^3)*V878*W878</f>
        <v>6987062.0669196472</v>
      </c>
      <c r="Y878" s="169">
        <v>20</v>
      </c>
      <c r="Z878" s="166">
        <v>6</v>
      </c>
      <c r="AA878" s="164">
        <f>($L878*'Pivot Objective'!$C$9^4)*Y878*Z878</f>
        <v>7985660.6423308905</v>
      </c>
      <c r="AB878" s="169">
        <v>20</v>
      </c>
      <c r="AC878" s="166">
        <v>6</v>
      </c>
      <c r="AD878" s="164">
        <f>($L878*'Pivot Objective'!$C$9^5)*AB878*AC878</f>
        <v>9126980.0216025449</v>
      </c>
      <c r="AE878" s="169">
        <v>20</v>
      </c>
      <c r="AF878" s="166">
        <v>6</v>
      </c>
      <c r="AG878" s="164">
        <f>($L878*'Pivot Objective'!$C$9^6)*AE878*AF878</f>
        <v>10431418.018587064</v>
      </c>
      <c r="AH878" s="169">
        <v>20</v>
      </c>
      <c r="AI878" s="166">
        <v>6</v>
      </c>
      <c r="AJ878" s="164">
        <f>($L878*'Pivot Objective'!$C$9^7)*AH878*AI878</f>
        <v>11922287.725069093</v>
      </c>
      <c r="AK878" s="185">
        <f t="shared" si="97"/>
        <v>62595616.415437996</v>
      </c>
      <c r="AL878" s="186">
        <f t="shared" si="98"/>
        <v>60772.443121784461</v>
      </c>
    </row>
    <row r="879" spans="1:38" customFormat="1" ht="57.6" x14ac:dyDescent="0.3">
      <c r="A879" s="140" t="s">
        <v>1444</v>
      </c>
      <c r="B879" s="140">
        <v>1</v>
      </c>
      <c r="C879" s="166" t="s">
        <v>836</v>
      </c>
      <c r="D879" s="140" t="str">
        <f t="shared" si="93"/>
        <v>5</v>
      </c>
      <c r="E879" s="166" t="s">
        <v>1446</v>
      </c>
      <c r="F879" s="140">
        <f t="shared" si="99"/>
        <v>4</v>
      </c>
      <c r="G879" s="140" t="str">
        <f t="shared" si="94"/>
        <v>1.5.4</v>
      </c>
      <c r="H879" s="166" t="s">
        <v>1479</v>
      </c>
      <c r="I879" s="171" t="s">
        <v>1122</v>
      </c>
      <c r="J879" s="171" t="s">
        <v>1123</v>
      </c>
      <c r="K879" s="171" t="s">
        <v>712</v>
      </c>
      <c r="L879" s="166">
        <f>1480/7</f>
        <v>211.42857142857142</v>
      </c>
      <c r="M879" s="169">
        <f>2*25*9</f>
        <v>450</v>
      </c>
      <c r="N879" s="166">
        <v>5</v>
      </c>
      <c r="O879" s="164">
        <f t="shared" si="96"/>
        <v>475714.28571428568</v>
      </c>
      <c r="P879" s="169">
        <f>2*25*9</f>
        <v>450</v>
      </c>
      <c r="Q879" s="166">
        <v>5</v>
      </c>
      <c r="R879" s="164">
        <f>$L879*'Pivot Objective'!$C$9*P879*Q879</f>
        <v>543703.89328714274</v>
      </c>
      <c r="S879" s="169">
        <f>2*25*9</f>
        <v>450</v>
      </c>
      <c r="T879" s="166">
        <v>5</v>
      </c>
      <c r="U879" s="164">
        <f>($L879*'Pivot Objective'!$C$9^2)*S879*T879</f>
        <v>621410.65015891218</v>
      </c>
      <c r="V879" s="169">
        <f>2*25*9</f>
        <v>450</v>
      </c>
      <c r="W879" s="166">
        <v>5</v>
      </c>
      <c r="X879" s="164">
        <f>($L879*'Pivot Objective'!$C$9^3)*V879*W879</f>
        <v>710223.34196710703</v>
      </c>
      <c r="Y879" s="169">
        <f>2*25*9</f>
        <v>450</v>
      </c>
      <c r="Z879" s="166">
        <v>5</v>
      </c>
      <c r="AA879" s="164">
        <f>($L879*'Pivot Objective'!$C$9^4)*Y879*Z879</f>
        <v>811729.24111605203</v>
      </c>
      <c r="AB879" s="169">
        <f>2*25*9</f>
        <v>450</v>
      </c>
      <c r="AC879" s="166">
        <v>5</v>
      </c>
      <c r="AD879" s="164">
        <f>($L879*'Pivot Objective'!$C$9^5)*AB879*AC879</f>
        <v>927742.47472333559</v>
      </c>
      <c r="AE879" s="169">
        <f>2*25*9</f>
        <v>450</v>
      </c>
      <c r="AF879" s="166">
        <v>5</v>
      </c>
      <c r="AG879" s="164">
        <f>($L879*'Pivot Objective'!$C$9^6)*AE879*AF879</f>
        <v>1060336.4469442894</v>
      </c>
      <c r="AH879" s="169">
        <f>2*25*9</f>
        <v>450</v>
      </c>
      <c r="AI879" s="166">
        <v>5</v>
      </c>
      <c r="AJ879" s="164">
        <f>($L879*'Pivot Objective'!$C$9^7)*AH879*AI879</f>
        <v>1211880.8951306494</v>
      </c>
      <c r="AK879" s="185">
        <f t="shared" si="97"/>
        <v>6362741.2290417738</v>
      </c>
      <c r="AL879" s="186">
        <f t="shared" si="98"/>
        <v>6177.4186689725957</v>
      </c>
    </row>
    <row r="880" spans="1:38" customFormat="1" ht="57.6" x14ac:dyDescent="0.3">
      <c r="A880" s="140" t="s">
        <v>1444</v>
      </c>
      <c r="B880" s="140">
        <v>1</v>
      </c>
      <c r="C880" s="166" t="s">
        <v>836</v>
      </c>
      <c r="D880" s="140" t="str">
        <f t="shared" si="93"/>
        <v>5</v>
      </c>
      <c r="E880" s="166" t="s">
        <v>1446</v>
      </c>
      <c r="F880" s="140">
        <f t="shared" si="99"/>
        <v>4</v>
      </c>
      <c r="G880" s="140" t="str">
        <f t="shared" si="94"/>
        <v>1.5.4</v>
      </c>
      <c r="H880" s="166" t="s">
        <v>1479</v>
      </c>
      <c r="I880" s="171" t="s">
        <v>1122</v>
      </c>
      <c r="J880" s="171" t="s">
        <v>1123</v>
      </c>
      <c r="K880" s="171" t="s">
        <v>1336</v>
      </c>
      <c r="L880" s="166">
        <f>1480/7</f>
        <v>211.42857142857142</v>
      </c>
      <c r="M880" s="169">
        <f>2*135*9</f>
        <v>2430</v>
      </c>
      <c r="N880" s="166">
        <v>1</v>
      </c>
      <c r="O880" s="164">
        <f t="shared" si="96"/>
        <v>513771.42857142852</v>
      </c>
      <c r="P880" s="169">
        <f>2*135*9</f>
        <v>2430</v>
      </c>
      <c r="Q880" s="166">
        <v>1</v>
      </c>
      <c r="R880" s="164">
        <f>$L880*'Pivot Objective'!$C$9*P880*Q880</f>
        <v>587200.20475011424</v>
      </c>
      <c r="S880" s="169">
        <f>2*135*9</f>
        <v>2430</v>
      </c>
      <c r="T880" s="166">
        <v>1</v>
      </c>
      <c r="U880" s="164">
        <f>($L880*'Pivot Objective'!$C$9^2)*S880*T880</f>
        <v>671123.50217162515</v>
      </c>
      <c r="V880" s="169">
        <f>2*135*9</f>
        <v>2430</v>
      </c>
      <c r="W880" s="166">
        <v>1</v>
      </c>
      <c r="X880" s="164">
        <f>($L880*'Pivot Objective'!$C$9^3)*V880*W880</f>
        <v>767041.20932447549</v>
      </c>
      <c r="Y880" s="169">
        <f>2*135*9</f>
        <v>2430</v>
      </c>
      <c r="Z880" s="166">
        <v>1</v>
      </c>
      <c r="AA880" s="164">
        <f>($L880*'Pivot Objective'!$C$9^4)*Y880*Z880</f>
        <v>876667.58040533611</v>
      </c>
      <c r="AB880" s="169">
        <f>2*135*9</f>
        <v>2430</v>
      </c>
      <c r="AC880" s="166">
        <v>1</v>
      </c>
      <c r="AD880" s="164">
        <f>($L880*'Pivot Objective'!$C$9^5)*AB880*AC880</f>
        <v>1001961.8727012025</v>
      </c>
      <c r="AE880" s="169">
        <f>2*135*9</f>
        <v>2430</v>
      </c>
      <c r="AF880" s="166">
        <v>1</v>
      </c>
      <c r="AG880" s="164">
        <f>($L880*'Pivot Objective'!$C$9^6)*AE880*AF880</f>
        <v>1145163.3626998325</v>
      </c>
      <c r="AH880" s="169">
        <f>2*135*9</f>
        <v>2430</v>
      </c>
      <c r="AI880" s="166">
        <v>1</v>
      </c>
      <c r="AJ880" s="164">
        <f>($L880*'Pivot Objective'!$C$9^7)*AH880*AI880</f>
        <v>1308831.3667411015</v>
      </c>
      <c r="AK880" s="185">
        <f t="shared" si="97"/>
        <v>6871760.5273651164</v>
      </c>
      <c r="AL880" s="186">
        <f t="shared" si="98"/>
        <v>6671.6121624904044</v>
      </c>
    </row>
    <row r="881" spans="1:38" customFormat="1" ht="57.6" x14ac:dyDescent="0.3">
      <c r="A881" s="140" t="s">
        <v>1444</v>
      </c>
      <c r="B881" s="140">
        <v>1</v>
      </c>
      <c r="C881" s="166" t="s">
        <v>836</v>
      </c>
      <c r="D881" s="140" t="str">
        <f t="shared" ref="D881:D944" si="100">RIGHT(A881,1)</f>
        <v>5</v>
      </c>
      <c r="E881" s="166" t="s">
        <v>1446</v>
      </c>
      <c r="F881" s="140">
        <f t="shared" si="99"/>
        <v>4</v>
      </c>
      <c r="G881" s="140" t="str">
        <f t="shared" si="94"/>
        <v>1.5.4</v>
      </c>
      <c r="H881" s="166" t="s">
        <v>1479</v>
      </c>
      <c r="I881" s="171" t="s">
        <v>1124</v>
      </c>
      <c r="J881" s="171" t="s">
        <v>1125</v>
      </c>
      <c r="K881" s="171" t="s">
        <v>841</v>
      </c>
      <c r="L881" s="166">
        <v>0</v>
      </c>
      <c r="M881" s="169">
        <v>0</v>
      </c>
      <c r="N881" s="166">
        <v>0</v>
      </c>
      <c r="O881" s="164">
        <f t="shared" si="96"/>
        <v>0</v>
      </c>
      <c r="P881" s="169">
        <v>0</v>
      </c>
      <c r="Q881" s="166">
        <v>0</v>
      </c>
      <c r="R881" s="164">
        <f>$L881*'Pivot Objective'!$C$9*P881*Q881</f>
        <v>0</v>
      </c>
      <c r="S881" s="169">
        <v>0</v>
      </c>
      <c r="T881" s="166">
        <v>0</v>
      </c>
      <c r="U881" s="164">
        <f>($L881*'Pivot Objective'!$C$9^2)*S881*T881</f>
        <v>0</v>
      </c>
      <c r="V881" s="169">
        <v>0</v>
      </c>
      <c r="W881" s="166">
        <v>0</v>
      </c>
      <c r="X881" s="164">
        <f>($L881*'Pivot Objective'!$C$9^3)*V881*W881</f>
        <v>0</v>
      </c>
      <c r="Y881" s="169">
        <v>0</v>
      </c>
      <c r="Z881" s="166">
        <v>0</v>
      </c>
      <c r="AA881" s="164">
        <f>($L881*'Pivot Objective'!$C$9^4)*Y881*Z881</f>
        <v>0</v>
      </c>
      <c r="AB881" s="169">
        <v>0</v>
      </c>
      <c r="AC881" s="166">
        <v>0</v>
      </c>
      <c r="AD881" s="164">
        <f>($L881*'Pivot Objective'!$C$9^5)*AB881*AC881</f>
        <v>0</v>
      </c>
      <c r="AE881" s="169">
        <v>0</v>
      </c>
      <c r="AF881" s="166">
        <v>0</v>
      </c>
      <c r="AG881" s="164">
        <f>($L881*'Pivot Objective'!$C$9^6)*AE881*AF881</f>
        <v>0</v>
      </c>
      <c r="AH881" s="169">
        <v>0</v>
      </c>
      <c r="AI881" s="166">
        <v>0</v>
      </c>
      <c r="AJ881" s="164">
        <f>($L881*'Pivot Objective'!$C$9^7)*AH881*AI881</f>
        <v>0</v>
      </c>
      <c r="AK881" s="185">
        <f t="shared" si="97"/>
        <v>0</v>
      </c>
      <c r="AL881" s="186">
        <f t="shared" si="98"/>
        <v>0</v>
      </c>
    </row>
    <row r="882" spans="1:38" customFormat="1" ht="57.6" x14ac:dyDescent="0.3">
      <c r="A882" s="140" t="s">
        <v>1444</v>
      </c>
      <c r="B882" s="140">
        <v>1</v>
      </c>
      <c r="C882" s="166" t="s">
        <v>836</v>
      </c>
      <c r="D882" s="140" t="str">
        <f t="shared" si="100"/>
        <v>5</v>
      </c>
      <c r="E882" s="166" t="s">
        <v>1446</v>
      </c>
      <c r="F882" s="140">
        <f t="shared" si="99"/>
        <v>4</v>
      </c>
      <c r="G882" s="140" t="str">
        <f t="shared" ref="G882:G945" si="101">B882&amp;"."&amp;D882&amp;"."&amp;F882</f>
        <v>1.5.4</v>
      </c>
      <c r="H882" s="166" t="s">
        <v>1479</v>
      </c>
      <c r="I882" s="171" t="s">
        <v>1124</v>
      </c>
      <c r="J882" s="171" t="s">
        <v>1126</v>
      </c>
      <c r="K882" s="171" t="s">
        <v>709</v>
      </c>
      <c r="L882" s="166">
        <v>35000</v>
      </c>
      <c r="M882" s="169">
        <v>30</v>
      </c>
      <c r="N882" s="166">
        <v>5</v>
      </c>
      <c r="O882" s="164">
        <f t="shared" si="96"/>
        <v>5250000</v>
      </c>
      <c r="P882" s="169">
        <v>30</v>
      </c>
      <c r="Q882" s="166">
        <v>5</v>
      </c>
      <c r="R882" s="164">
        <f>$L882*'Pivot Objective'!$C$9*P882*Q882</f>
        <v>6000335.7592499992</v>
      </c>
      <c r="S882" s="169">
        <v>30</v>
      </c>
      <c r="T882" s="166">
        <v>5</v>
      </c>
      <c r="U882" s="164">
        <f>($L882*'Pivot Objective'!$C$9^2)*S882*T882</f>
        <v>6857910.3283303361</v>
      </c>
      <c r="V882" s="169">
        <v>30</v>
      </c>
      <c r="W882" s="166">
        <v>5</v>
      </c>
      <c r="X882" s="164">
        <f>($L882*'Pivot Objective'!$C$9^3)*V882*W882</f>
        <v>7838050.3955829386</v>
      </c>
      <c r="Y882" s="169">
        <v>30</v>
      </c>
      <c r="Z882" s="166">
        <v>5</v>
      </c>
      <c r="AA882" s="164">
        <f>($L882*'Pivot Objective'!$C$9^4)*Y882*Z882</f>
        <v>8958273.1564609352</v>
      </c>
      <c r="AB882" s="169">
        <v>30</v>
      </c>
      <c r="AC882" s="166">
        <v>5</v>
      </c>
      <c r="AD882" s="164">
        <f>($L882*'Pivot Objective'!$C$9^5)*AB882*AC882</f>
        <v>10238599.383207982</v>
      </c>
      <c r="AE882" s="169">
        <v>30</v>
      </c>
      <c r="AF882" s="166">
        <v>5</v>
      </c>
      <c r="AG882" s="164">
        <f>($L882*'Pivot Objective'!$C$9^6)*AE882*AF882</f>
        <v>11701911.238799591</v>
      </c>
      <c r="AH882" s="169">
        <v>30</v>
      </c>
      <c r="AI882" s="166">
        <v>5</v>
      </c>
      <c r="AJ882" s="164">
        <f>($L882*'Pivot Objective'!$C$9^7)*AH882*AI882</f>
        <v>13374361.230045456</v>
      </c>
      <c r="AK882" s="185">
        <f t="shared" si="97"/>
        <v>70219441.49167724</v>
      </c>
      <c r="AL882" s="186">
        <f t="shared" si="98"/>
        <v>68174.215040463343</v>
      </c>
    </row>
    <row r="883" spans="1:38" customFormat="1" ht="57.6" x14ac:dyDescent="0.3">
      <c r="A883" s="140" t="s">
        <v>1444</v>
      </c>
      <c r="B883" s="140">
        <v>1</v>
      </c>
      <c r="C883" s="166" t="s">
        <v>836</v>
      </c>
      <c r="D883" s="140" t="str">
        <f t="shared" si="100"/>
        <v>5</v>
      </c>
      <c r="E883" s="166" t="s">
        <v>1446</v>
      </c>
      <c r="F883" s="140">
        <f t="shared" si="99"/>
        <v>4</v>
      </c>
      <c r="G883" s="140" t="str">
        <f t="shared" si="101"/>
        <v>1.5.4</v>
      </c>
      <c r="H883" s="166" t="s">
        <v>1479</v>
      </c>
      <c r="I883" s="171" t="s">
        <v>1124</v>
      </c>
      <c r="J883" s="171" t="s">
        <v>1126</v>
      </c>
      <c r="K883" s="171" t="s">
        <v>716</v>
      </c>
      <c r="L883" s="166">
        <v>39000</v>
      </c>
      <c r="M883" s="174">
        <v>30</v>
      </c>
      <c r="N883" s="166">
        <v>6</v>
      </c>
      <c r="O883" s="164">
        <f t="shared" si="96"/>
        <v>7020000</v>
      </c>
      <c r="P883" s="174">
        <v>30</v>
      </c>
      <c r="Q883" s="166">
        <v>6</v>
      </c>
      <c r="R883" s="164">
        <f>$L883*'Pivot Objective'!$C$9*P883*Q883</f>
        <v>8023306.1009399984</v>
      </c>
      <c r="S883" s="174">
        <v>30</v>
      </c>
      <c r="T883" s="166">
        <v>6</v>
      </c>
      <c r="U883" s="164">
        <f>($L883*'Pivot Objective'!$C$9^2)*S883*T883</f>
        <v>9170005.8104531355</v>
      </c>
      <c r="V883" s="174">
        <v>30</v>
      </c>
      <c r="W883" s="166">
        <v>6</v>
      </c>
      <c r="X883" s="164">
        <f>($L883*'Pivot Objective'!$C$9^3)*V883*W883</f>
        <v>10480593.100379471</v>
      </c>
      <c r="Y883" s="174">
        <v>30</v>
      </c>
      <c r="Z883" s="166">
        <v>6</v>
      </c>
      <c r="AA883" s="164">
        <f>($L883*'Pivot Objective'!$C$9^4)*Y883*Z883</f>
        <v>11978490.963496335</v>
      </c>
      <c r="AB883" s="174">
        <v>30</v>
      </c>
      <c r="AC883" s="166">
        <v>6</v>
      </c>
      <c r="AD883" s="164">
        <f>($L883*'Pivot Objective'!$C$9^5)*AB883*AC883</f>
        <v>13690470.032403817</v>
      </c>
      <c r="AE883" s="174">
        <v>30</v>
      </c>
      <c r="AF883" s="166">
        <v>6</v>
      </c>
      <c r="AG883" s="164">
        <f>($L883*'Pivot Objective'!$C$9^6)*AE883*AF883</f>
        <v>15647127.027880596</v>
      </c>
      <c r="AH883" s="174">
        <v>30</v>
      </c>
      <c r="AI883" s="166">
        <v>6</v>
      </c>
      <c r="AJ883" s="164">
        <f>($L883*'Pivot Objective'!$C$9^7)*AH883*AI883</f>
        <v>17883431.58760364</v>
      </c>
      <c r="AK883" s="185">
        <f t="shared" si="97"/>
        <v>93893424.623156995</v>
      </c>
      <c r="AL883" s="186">
        <f t="shared" si="98"/>
        <v>91158.664682676696</v>
      </c>
    </row>
    <row r="884" spans="1:38" customFormat="1" ht="57.6" x14ac:dyDescent="0.3">
      <c r="A884" s="140" t="s">
        <v>1444</v>
      </c>
      <c r="B884" s="140">
        <v>1</v>
      </c>
      <c r="C884" s="166" t="s">
        <v>836</v>
      </c>
      <c r="D884" s="140" t="str">
        <f t="shared" si="100"/>
        <v>5</v>
      </c>
      <c r="E884" s="166" t="s">
        <v>1446</v>
      </c>
      <c r="F884" s="140">
        <f t="shared" si="99"/>
        <v>4</v>
      </c>
      <c r="G884" s="140" t="str">
        <f t="shared" si="101"/>
        <v>1.5.4</v>
      </c>
      <c r="H884" s="166" t="s">
        <v>1479</v>
      </c>
      <c r="I884" s="171" t="s">
        <v>1124</v>
      </c>
      <c r="J884" s="171" t="s">
        <v>1126</v>
      </c>
      <c r="K884" s="171" t="s">
        <v>712</v>
      </c>
      <c r="L884" s="166">
        <f>1480/7</f>
        <v>211.42857142857142</v>
      </c>
      <c r="M884" s="169">
        <f>2*25*9</f>
        <v>450</v>
      </c>
      <c r="N884" s="166">
        <v>5</v>
      </c>
      <c r="O884" s="164">
        <f t="shared" si="96"/>
        <v>475714.28571428568</v>
      </c>
      <c r="P884" s="169">
        <f>2*25*9</f>
        <v>450</v>
      </c>
      <c r="Q884" s="166">
        <v>5</v>
      </c>
      <c r="R884" s="164">
        <f>$L884*'Pivot Objective'!$C$9*P884*Q884</f>
        <v>543703.89328714274</v>
      </c>
      <c r="S884" s="169">
        <f>2*25*9</f>
        <v>450</v>
      </c>
      <c r="T884" s="166">
        <v>5</v>
      </c>
      <c r="U884" s="164">
        <f>($L884*'Pivot Objective'!$C$9^2)*S884*T884</f>
        <v>621410.65015891218</v>
      </c>
      <c r="V884" s="169">
        <f>2*25*9</f>
        <v>450</v>
      </c>
      <c r="W884" s="166">
        <v>5</v>
      </c>
      <c r="X884" s="164">
        <f>($L884*'Pivot Objective'!$C$9^3)*V884*W884</f>
        <v>710223.34196710703</v>
      </c>
      <c r="Y884" s="169">
        <f>2*25*9</f>
        <v>450</v>
      </c>
      <c r="Z884" s="166">
        <v>5</v>
      </c>
      <c r="AA884" s="164">
        <f>($L884*'Pivot Objective'!$C$9^4)*Y884*Z884</f>
        <v>811729.24111605203</v>
      </c>
      <c r="AB884" s="169">
        <f>2*25*9</f>
        <v>450</v>
      </c>
      <c r="AC884" s="166">
        <v>5</v>
      </c>
      <c r="AD884" s="164">
        <f>($L884*'Pivot Objective'!$C$9^5)*AB884*AC884</f>
        <v>927742.47472333559</v>
      </c>
      <c r="AE884" s="169">
        <f>2*25*9</f>
        <v>450</v>
      </c>
      <c r="AF884" s="166">
        <v>5</v>
      </c>
      <c r="AG884" s="164">
        <f>($L884*'Pivot Objective'!$C$9^6)*AE884*AF884</f>
        <v>1060336.4469442894</v>
      </c>
      <c r="AH884" s="169">
        <f>2*25*9</f>
        <v>450</v>
      </c>
      <c r="AI884" s="166">
        <v>5</v>
      </c>
      <c r="AJ884" s="164">
        <f>($L884*'Pivot Objective'!$C$9^7)*AH884*AI884</f>
        <v>1211880.8951306494</v>
      </c>
      <c r="AK884" s="185">
        <f t="shared" si="97"/>
        <v>6362741.2290417738</v>
      </c>
      <c r="AL884" s="186">
        <f t="shared" si="98"/>
        <v>6177.4186689725957</v>
      </c>
    </row>
    <row r="885" spans="1:38" customFormat="1" ht="57.6" x14ac:dyDescent="0.3">
      <c r="A885" s="140" t="s">
        <v>1444</v>
      </c>
      <c r="B885" s="140">
        <v>1</v>
      </c>
      <c r="C885" s="166" t="s">
        <v>836</v>
      </c>
      <c r="D885" s="140" t="str">
        <f t="shared" si="100"/>
        <v>5</v>
      </c>
      <c r="E885" s="166" t="s">
        <v>1446</v>
      </c>
      <c r="F885" s="140">
        <f t="shared" si="99"/>
        <v>4</v>
      </c>
      <c r="G885" s="140" t="str">
        <f t="shared" si="101"/>
        <v>1.5.4</v>
      </c>
      <c r="H885" s="166" t="s">
        <v>1479</v>
      </c>
      <c r="I885" s="171" t="s">
        <v>1124</v>
      </c>
      <c r="J885" s="171" t="s">
        <v>1126</v>
      </c>
      <c r="K885" s="171" t="s">
        <v>1336</v>
      </c>
      <c r="L885" s="166">
        <f>1480/7</f>
        <v>211.42857142857142</v>
      </c>
      <c r="M885" s="169">
        <f>2*135*9</f>
        <v>2430</v>
      </c>
      <c r="N885" s="166">
        <v>1</v>
      </c>
      <c r="O885" s="164">
        <f t="shared" si="96"/>
        <v>513771.42857142852</v>
      </c>
      <c r="P885" s="169">
        <f>2*135*9</f>
        <v>2430</v>
      </c>
      <c r="Q885" s="166">
        <v>1</v>
      </c>
      <c r="R885" s="164">
        <f>$L885*'Pivot Objective'!$C$9*P885*Q885</f>
        <v>587200.20475011424</v>
      </c>
      <c r="S885" s="169">
        <f>2*135*9</f>
        <v>2430</v>
      </c>
      <c r="T885" s="166">
        <v>1</v>
      </c>
      <c r="U885" s="164">
        <f>($L885*'Pivot Objective'!$C$9^2)*S885*T885</f>
        <v>671123.50217162515</v>
      </c>
      <c r="V885" s="169">
        <f>2*135*9</f>
        <v>2430</v>
      </c>
      <c r="W885" s="166">
        <v>1</v>
      </c>
      <c r="X885" s="164">
        <f>($L885*'Pivot Objective'!$C$9^3)*V885*W885</f>
        <v>767041.20932447549</v>
      </c>
      <c r="Y885" s="169">
        <f>2*135*9</f>
        <v>2430</v>
      </c>
      <c r="Z885" s="166">
        <v>1</v>
      </c>
      <c r="AA885" s="164">
        <f>($L885*'Pivot Objective'!$C$9^4)*Y885*Z885</f>
        <v>876667.58040533611</v>
      </c>
      <c r="AB885" s="169">
        <f>2*135*9</f>
        <v>2430</v>
      </c>
      <c r="AC885" s="166">
        <v>1</v>
      </c>
      <c r="AD885" s="164">
        <f>($L885*'Pivot Objective'!$C$9^5)*AB885*AC885</f>
        <v>1001961.8727012025</v>
      </c>
      <c r="AE885" s="169">
        <f>2*135*9</f>
        <v>2430</v>
      </c>
      <c r="AF885" s="166">
        <v>1</v>
      </c>
      <c r="AG885" s="164">
        <f>($L885*'Pivot Objective'!$C$9^6)*AE885*AF885</f>
        <v>1145163.3626998325</v>
      </c>
      <c r="AH885" s="169">
        <f>2*135*9</f>
        <v>2430</v>
      </c>
      <c r="AI885" s="166">
        <v>1</v>
      </c>
      <c r="AJ885" s="164">
        <f>($L885*'Pivot Objective'!$C$9^7)*AH885*AI885</f>
        <v>1308831.3667411015</v>
      </c>
      <c r="AK885" s="185">
        <f t="shared" si="97"/>
        <v>6871760.5273651164</v>
      </c>
      <c r="AL885" s="186">
        <f t="shared" si="98"/>
        <v>6671.6121624904044</v>
      </c>
    </row>
    <row r="886" spans="1:38" customFormat="1" ht="57.6" x14ac:dyDescent="0.3">
      <c r="A886" s="140" t="s">
        <v>1444</v>
      </c>
      <c r="B886" s="140">
        <v>1</v>
      </c>
      <c r="C886" s="166" t="s">
        <v>836</v>
      </c>
      <c r="D886" s="140" t="str">
        <f t="shared" si="100"/>
        <v>5</v>
      </c>
      <c r="E886" s="166" t="s">
        <v>1446</v>
      </c>
      <c r="F886" s="140">
        <f t="shared" si="99"/>
        <v>4</v>
      </c>
      <c r="G886" s="140" t="str">
        <f t="shared" si="101"/>
        <v>1.5.4</v>
      </c>
      <c r="H886" s="166" t="s">
        <v>1479</v>
      </c>
      <c r="I886" s="171" t="s">
        <v>1124</v>
      </c>
      <c r="J886" s="171" t="s">
        <v>1127</v>
      </c>
      <c r="K886" s="171" t="s">
        <v>841</v>
      </c>
      <c r="L886" s="166">
        <v>0</v>
      </c>
      <c r="M886" s="169">
        <v>0</v>
      </c>
      <c r="N886" s="166">
        <v>0</v>
      </c>
      <c r="O886" s="164">
        <f t="shared" si="96"/>
        <v>0</v>
      </c>
      <c r="P886" s="169">
        <v>0</v>
      </c>
      <c r="Q886" s="166">
        <v>0</v>
      </c>
      <c r="R886" s="164">
        <f>$L886*'Pivot Objective'!$C$9*P886*Q886</f>
        <v>0</v>
      </c>
      <c r="S886" s="169">
        <v>0</v>
      </c>
      <c r="T886" s="166">
        <v>0</v>
      </c>
      <c r="U886" s="164">
        <f>($L886*'Pivot Objective'!$C$9^2)*S886*T886</f>
        <v>0</v>
      </c>
      <c r="V886" s="169">
        <v>0</v>
      </c>
      <c r="W886" s="166">
        <v>0</v>
      </c>
      <c r="X886" s="164">
        <f>($L886*'Pivot Objective'!$C$9^3)*V886*W886</f>
        <v>0</v>
      </c>
      <c r="Y886" s="169">
        <v>0</v>
      </c>
      <c r="Z886" s="166">
        <v>0</v>
      </c>
      <c r="AA886" s="164">
        <f>($L886*'Pivot Objective'!$C$9^4)*Y886*Z886</f>
        <v>0</v>
      </c>
      <c r="AB886" s="169">
        <v>0</v>
      </c>
      <c r="AC886" s="166">
        <v>0</v>
      </c>
      <c r="AD886" s="164">
        <f>($L886*'Pivot Objective'!$C$9^5)*AB886*AC886</f>
        <v>0</v>
      </c>
      <c r="AE886" s="169">
        <v>0</v>
      </c>
      <c r="AF886" s="166">
        <v>0</v>
      </c>
      <c r="AG886" s="164">
        <f>($L886*'Pivot Objective'!$C$9^6)*AE886*AF886</f>
        <v>0</v>
      </c>
      <c r="AH886" s="169">
        <v>0</v>
      </c>
      <c r="AI886" s="166">
        <v>0</v>
      </c>
      <c r="AJ886" s="164">
        <f>($L886*'Pivot Objective'!$C$9^7)*AH886*AI886</f>
        <v>0</v>
      </c>
      <c r="AK886" s="185">
        <f t="shared" si="97"/>
        <v>0</v>
      </c>
      <c r="AL886" s="186">
        <f t="shared" si="98"/>
        <v>0</v>
      </c>
    </row>
    <row r="887" spans="1:38" customFormat="1" ht="57.6" x14ac:dyDescent="0.3">
      <c r="A887" s="140" t="s">
        <v>1444</v>
      </c>
      <c r="B887" s="140">
        <v>1</v>
      </c>
      <c r="C887" s="166" t="s">
        <v>836</v>
      </c>
      <c r="D887" s="140" t="str">
        <f t="shared" si="100"/>
        <v>5</v>
      </c>
      <c r="E887" s="166" t="s">
        <v>1446</v>
      </c>
      <c r="F887" s="140">
        <f t="shared" si="99"/>
        <v>4</v>
      </c>
      <c r="G887" s="140" t="str">
        <f t="shared" si="101"/>
        <v>1.5.4</v>
      </c>
      <c r="H887" s="166" t="s">
        <v>1479</v>
      </c>
      <c r="I887" s="171" t="s">
        <v>1129</v>
      </c>
      <c r="J887" s="171" t="s">
        <v>1130</v>
      </c>
      <c r="K887" s="171" t="s">
        <v>841</v>
      </c>
      <c r="L887" s="166">
        <v>0</v>
      </c>
      <c r="M887" s="169">
        <v>0</v>
      </c>
      <c r="N887" s="166">
        <v>0</v>
      </c>
      <c r="O887" s="164">
        <f t="shared" si="96"/>
        <v>0</v>
      </c>
      <c r="P887" s="169">
        <v>0</v>
      </c>
      <c r="Q887" s="166">
        <v>0</v>
      </c>
      <c r="R887" s="164">
        <f>$L887*'Pivot Objective'!$C$9*P887*Q887</f>
        <v>0</v>
      </c>
      <c r="S887" s="169">
        <v>0</v>
      </c>
      <c r="T887" s="166">
        <v>0</v>
      </c>
      <c r="U887" s="164">
        <f>($L887*'Pivot Objective'!$C$9^2)*S887*T887</f>
        <v>0</v>
      </c>
      <c r="V887" s="169">
        <v>0</v>
      </c>
      <c r="W887" s="166">
        <v>0</v>
      </c>
      <c r="X887" s="164">
        <f>($L887*'Pivot Objective'!$C$9^3)*V887*W887</f>
        <v>0</v>
      </c>
      <c r="Y887" s="169">
        <v>0</v>
      </c>
      <c r="Z887" s="166">
        <v>0</v>
      </c>
      <c r="AA887" s="164">
        <f>($L887*'Pivot Objective'!$C$9^4)*Y887*Z887</f>
        <v>0</v>
      </c>
      <c r="AB887" s="169">
        <v>0</v>
      </c>
      <c r="AC887" s="166">
        <v>0</v>
      </c>
      <c r="AD887" s="164">
        <f>($L887*'Pivot Objective'!$C$9^5)*AB887*AC887</f>
        <v>0</v>
      </c>
      <c r="AE887" s="169">
        <v>0</v>
      </c>
      <c r="AF887" s="166">
        <v>0</v>
      </c>
      <c r="AG887" s="164">
        <f>($L887*'Pivot Objective'!$C$9^6)*AE887*AF887</f>
        <v>0</v>
      </c>
      <c r="AH887" s="169">
        <v>0</v>
      </c>
      <c r="AI887" s="166">
        <v>0</v>
      </c>
      <c r="AJ887" s="164">
        <f>($L887*'Pivot Objective'!$C$9^7)*AH887*AI887</f>
        <v>0</v>
      </c>
      <c r="AK887" s="185">
        <f t="shared" si="97"/>
        <v>0</v>
      </c>
      <c r="AL887" s="186">
        <f t="shared" si="98"/>
        <v>0</v>
      </c>
    </row>
    <row r="888" spans="1:38" customFormat="1" ht="57.6" x14ac:dyDescent="0.3">
      <c r="A888" s="140" t="s">
        <v>1444</v>
      </c>
      <c r="B888" s="140">
        <v>1</v>
      </c>
      <c r="C888" s="166" t="s">
        <v>836</v>
      </c>
      <c r="D888" s="140" t="str">
        <f t="shared" si="100"/>
        <v>5</v>
      </c>
      <c r="E888" s="166" t="s">
        <v>1446</v>
      </c>
      <c r="F888" s="140">
        <f t="shared" si="99"/>
        <v>4</v>
      </c>
      <c r="G888" s="140" t="str">
        <f t="shared" si="101"/>
        <v>1.5.4</v>
      </c>
      <c r="H888" s="166" t="s">
        <v>1479</v>
      </c>
      <c r="I888" s="171" t="s">
        <v>1129</v>
      </c>
      <c r="J888" s="171" t="s">
        <v>1131</v>
      </c>
      <c r="K888" s="171" t="s">
        <v>709</v>
      </c>
      <c r="L888" s="166">
        <v>35000</v>
      </c>
      <c r="M888" s="169">
        <v>20</v>
      </c>
      <c r="N888" s="166">
        <v>2</v>
      </c>
      <c r="O888" s="164">
        <f t="shared" si="96"/>
        <v>1400000</v>
      </c>
      <c r="P888" s="169">
        <v>20</v>
      </c>
      <c r="Q888" s="166">
        <v>2</v>
      </c>
      <c r="R888" s="164">
        <f>$L888*'Pivot Objective'!$C$9*P888*Q888</f>
        <v>1600089.5357999997</v>
      </c>
      <c r="S888" s="169">
        <v>20</v>
      </c>
      <c r="T888" s="166">
        <v>2</v>
      </c>
      <c r="U888" s="164">
        <f>($L888*'Pivot Objective'!$C$9^2)*S888*T888</f>
        <v>1828776.0875547563</v>
      </c>
      <c r="V888" s="169">
        <v>20</v>
      </c>
      <c r="W888" s="166">
        <v>2</v>
      </c>
      <c r="X888" s="164">
        <f>($L888*'Pivot Objective'!$C$9^3)*V888*W888</f>
        <v>2090146.7721554502</v>
      </c>
      <c r="Y888" s="169">
        <v>20</v>
      </c>
      <c r="Z888" s="166">
        <v>2</v>
      </c>
      <c r="AA888" s="164">
        <f>($L888*'Pivot Objective'!$C$9^4)*Y888*Z888</f>
        <v>2388872.8417229159</v>
      </c>
      <c r="AB888" s="169">
        <v>20</v>
      </c>
      <c r="AC888" s="166">
        <v>2</v>
      </c>
      <c r="AD888" s="164">
        <f>($L888*'Pivot Objective'!$C$9^5)*AB888*AC888</f>
        <v>2730293.1688554622</v>
      </c>
      <c r="AE888" s="169">
        <v>20</v>
      </c>
      <c r="AF888" s="166">
        <v>2</v>
      </c>
      <c r="AG888" s="164">
        <f>($L888*'Pivot Objective'!$C$9^6)*AE888*AF888</f>
        <v>3120509.6636798908</v>
      </c>
      <c r="AH888" s="169">
        <v>20</v>
      </c>
      <c r="AI888" s="166">
        <v>2</v>
      </c>
      <c r="AJ888" s="164">
        <f>($L888*'Pivot Objective'!$C$9^7)*AH888*AI888</f>
        <v>3566496.3280121218</v>
      </c>
      <c r="AK888" s="185">
        <f t="shared" si="97"/>
        <v>18725184.397780597</v>
      </c>
      <c r="AL888" s="186">
        <f t="shared" si="98"/>
        <v>18179.790677456891</v>
      </c>
    </row>
    <row r="889" spans="1:38" customFormat="1" ht="57.6" x14ac:dyDescent="0.3">
      <c r="A889" s="140" t="s">
        <v>1444</v>
      </c>
      <c r="B889" s="140">
        <v>1</v>
      </c>
      <c r="C889" s="166" t="s">
        <v>836</v>
      </c>
      <c r="D889" s="140" t="str">
        <f t="shared" si="100"/>
        <v>5</v>
      </c>
      <c r="E889" s="166" t="s">
        <v>1446</v>
      </c>
      <c r="F889" s="140">
        <f t="shared" si="99"/>
        <v>4</v>
      </c>
      <c r="G889" s="140" t="str">
        <f t="shared" si="101"/>
        <v>1.5.4</v>
      </c>
      <c r="H889" s="166" t="s">
        <v>1479</v>
      </c>
      <c r="I889" s="171" t="s">
        <v>1129</v>
      </c>
      <c r="J889" s="171" t="s">
        <v>1131</v>
      </c>
      <c r="K889" s="171" t="s">
        <v>716</v>
      </c>
      <c r="L889" s="166">
        <v>39000</v>
      </c>
      <c r="M889" s="169">
        <v>20</v>
      </c>
      <c r="N889" s="166">
        <v>3</v>
      </c>
      <c r="O889" s="164">
        <f t="shared" si="96"/>
        <v>2340000</v>
      </c>
      <c r="P889" s="169">
        <v>20</v>
      </c>
      <c r="Q889" s="166">
        <v>3</v>
      </c>
      <c r="R889" s="164">
        <f>$L889*'Pivot Objective'!$C$9*P889*Q889</f>
        <v>2674435.3669799995</v>
      </c>
      <c r="S889" s="169">
        <v>20</v>
      </c>
      <c r="T889" s="166">
        <v>3</v>
      </c>
      <c r="U889" s="164">
        <f>($L889*'Pivot Objective'!$C$9^2)*S889*T889</f>
        <v>3056668.6034843787</v>
      </c>
      <c r="V889" s="169">
        <v>20</v>
      </c>
      <c r="W889" s="166">
        <v>3</v>
      </c>
      <c r="X889" s="164">
        <f>($L889*'Pivot Objective'!$C$9^3)*V889*W889</f>
        <v>3493531.0334598236</v>
      </c>
      <c r="Y889" s="169">
        <v>20</v>
      </c>
      <c r="Z889" s="166">
        <v>3</v>
      </c>
      <c r="AA889" s="164">
        <f>($L889*'Pivot Objective'!$C$9^4)*Y889*Z889</f>
        <v>3992830.3211654453</v>
      </c>
      <c r="AB889" s="169">
        <v>20</v>
      </c>
      <c r="AC889" s="166">
        <v>3</v>
      </c>
      <c r="AD889" s="164">
        <f>($L889*'Pivot Objective'!$C$9^5)*AB889*AC889</f>
        <v>4563490.0108012725</v>
      </c>
      <c r="AE889" s="169">
        <v>20</v>
      </c>
      <c r="AF889" s="166">
        <v>3</v>
      </c>
      <c r="AG889" s="164">
        <f>($L889*'Pivot Objective'!$C$9^6)*AE889*AF889</f>
        <v>5215709.009293532</v>
      </c>
      <c r="AH889" s="169">
        <v>20</v>
      </c>
      <c r="AI889" s="166">
        <v>3</v>
      </c>
      <c r="AJ889" s="164">
        <f>($L889*'Pivot Objective'!$C$9^7)*AH889*AI889</f>
        <v>5961143.8625345463</v>
      </c>
      <c r="AK889" s="185">
        <f t="shared" si="97"/>
        <v>31297808.207718998</v>
      </c>
      <c r="AL889" s="186">
        <f t="shared" si="98"/>
        <v>30386.221560892231</v>
      </c>
    </row>
    <row r="890" spans="1:38" customFormat="1" ht="57.6" x14ac:dyDescent="0.3">
      <c r="A890" s="140" t="s">
        <v>1444</v>
      </c>
      <c r="B890" s="140">
        <v>1</v>
      </c>
      <c r="C890" s="166" t="s">
        <v>836</v>
      </c>
      <c r="D890" s="140" t="str">
        <f t="shared" si="100"/>
        <v>5</v>
      </c>
      <c r="E890" s="166" t="s">
        <v>1446</v>
      </c>
      <c r="F890" s="140">
        <f t="shared" si="99"/>
        <v>4</v>
      </c>
      <c r="G890" s="140" t="str">
        <f t="shared" si="101"/>
        <v>1.5.4</v>
      </c>
      <c r="H890" s="166" t="s">
        <v>1479</v>
      </c>
      <c r="I890" s="171" t="s">
        <v>1129</v>
      </c>
      <c r="J890" s="171" t="s">
        <v>1131</v>
      </c>
      <c r="K890" s="171" t="s">
        <v>721</v>
      </c>
      <c r="L890" s="166">
        <v>80000</v>
      </c>
      <c r="M890" s="169">
        <v>30</v>
      </c>
      <c r="N890" s="166">
        <v>3</v>
      </c>
      <c r="O890" s="164">
        <f t="shared" si="96"/>
        <v>7200000</v>
      </c>
      <c r="P890" s="169">
        <v>30</v>
      </c>
      <c r="Q890" s="166">
        <v>3</v>
      </c>
      <c r="R890" s="164">
        <f>$L890*'Pivot Objective'!$C$9*P890*Q890</f>
        <v>8229031.8983999994</v>
      </c>
      <c r="S890" s="169">
        <v>30</v>
      </c>
      <c r="T890" s="166">
        <v>3</v>
      </c>
      <c r="U890" s="164">
        <f>($L890*'Pivot Objective'!$C$9^2)*S890*T890</f>
        <v>9405134.1645673197</v>
      </c>
      <c r="V890" s="169">
        <v>30</v>
      </c>
      <c r="W890" s="166">
        <v>3</v>
      </c>
      <c r="X890" s="164">
        <f>($L890*'Pivot Objective'!$C$9^3)*V890*W890</f>
        <v>10749326.256799459</v>
      </c>
      <c r="Y890" s="169">
        <v>30</v>
      </c>
      <c r="Z890" s="166">
        <v>3</v>
      </c>
      <c r="AA890" s="164">
        <f>($L890*'Pivot Objective'!$C$9^4)*Y890*Z890</f>
        <v>12285631.75743214</v>
      </c>
      <c r="AB890" s="169">
        <v>30</v>
      </c>
      <c r="AC890" s="166">
        <v>3</v>
      </c>
      <c r="AD890" s="164">
        <f>($L890*'Pivot Objective'!$C$9^5)*AB890*AC890</f>
        <v>14041507.725542378</v>
      </c>
      <c r="AE890" s="169">
        <v>30</v>
      </c>
      <c r="AF890" s="166">
        <v>3</v>
      </c>
      <c r="AG890" s="164">
        <f>($L890*'Pivot Objective'!$C$9^6)*AE890*AF890</f>
        <v>16048335.413210869</v>
      </c>
      <c r="AH890" s="169">
        <v>30</v>
      </c>
      <c r="AI890" s="166">
        <v>3</v>
      </c>
      <c r="AJ890" s="164">
        <f>($L890*'Pivot Objective'!$C$9^7)*AH890*AI890</f>
        <v>18341981.115490913</v>
      </c>
      <c r="AK890" s="185">
        <f t="shared" si="97"/>
        <v>96300948.331443071</v>
      </c>
      <c r="AL890" s="186">
        <f t="shared" si="98"/>
        <v>93496.066341206868</v>
      </c>
    </row>
    <row r="891" spans="1:38" customFormat="1" ht="57.6" x14ac:dyDescent="0.3">
      <c r="A891" s="140" t="s">
        <v>1444</v>
      </c>
      <c r="B891" s="140">
        <v>1</v>
      </c>
      <c r="C891" s="166" t="s">
        <v>836</v>
      </c>
      <c r="D891" s="140" t="str">
        <f t="shared" si="100"/>
        <v>5</v>
      </c>
      <c r="E891" s="166" t="s">
        <v>1446</v>
      </c>
      <c r="F891" s="140">
        <f t="shared" si="99"/>
        <v>4</v>
      </c>
      <c r="G891" s="140" t="str">
        <f t="shared" si="101"/>
        <v>1.5.4</v>
      </c>
      <c r="H891" s="166" t="s">
        <v>1479</v>
      </c>
      <c r="I891" s="171" t="s">
        <v>1129</v>
      </c>
      <c r="J891" s="171" t="s">
        <v>1131</v>
      </c>
      <c r="K891" s="171" t="s">
        <v>712</v>
      </c>
      <c r="L891" s="166">
        <f>1480/7</f>
        <v>211.42857142857142</v>
      </c>
      <c r="M891" s="169">
        <f>2*25*9</f>
        <v>450</v>
      </c>
      <c r="N891" s="166">
        <v>2</v>
      </c>
      <c r="O891" s="164">
        <f t="shared" si="96"/>
        <v>190285.71428571426</v>
      </c>
      <c r="P891" s="169">
        <f>2*25*9</f>
        <v>450</v>
      </c>
      <c r="Q891" s="166">
        <v>2</v>
      </c>
      <c r="R891" s="164">
        <f>$L891*'Pivot Objective'!$C$9*P891*Q891</f>
        <v>217481.55731485711</v>
      </c>
      <c r="S891" s="169">
        <f>2*25*9</f>
        <v>450</v>
      </c>
      <c r="T891" s="166">
        <v>2</v>
      </c>
      <c r="U891" s="164">
        <f>($L891*'Pivot Objective'!$C$9^2)*S891*T891</f>
        <v>248564.26006356487</v>
      </c>
      <c r="V891" s="169">
        <f>2*25*9</f>
        <v>450</v>
      </c>
      <c r="W891" s="166">
        <v>2</v>
      </c>
      <c r="X891" s="164">
        <f>($L891*'Pivot Objective'!$C$9^3)*V891*W891</f>
        <v>284089.33678684279</v>
      </c>
      <c r="Y891" s="169">
        <f>2*25*9</f>
        <v>450</v>
      </c>
      <c r="Z891" s="166">
        <v>2</v>
      </c>
      <c r="AA891" s="164">
        <f>($L891*'Pivot Objective'!$C$9^4)*Y891*Z891</f>
        <v>324691.6964464208</v>
      </c>
      <c r="AB891" s="169">
        <f>2*25*9</f>
        <v>450</v>
      </c>
      <c r="AC891" s="166">
        <v>2</v>
      </c>
      <c r="AD891" s="164">
        <f>($L891*'Pivot Objective'!$C$9^5)*AB891*AC891</f>
        <v>371096.98988933425</v>
      </c>
      <c r="AE891" s="169">
        <f>2*25*9</f>
        <v>450</v>
      </c>
      <c r="AF891" s="166">
        <v>2</v>
      </c>
      <c r="AG891" s="164">
        <f>($L891*'Pivot Objective'!$C$9^6)*AE891*AF891</f>
        <v>424134.5787777158</v>
      </c>
      <c r="AH891" s="169">
        <f>2*25*9</f>
        <v>450</v>
      </c>
      <c r="AI891" s="166">
        <v>2</v>
      </c>
      <c r="AJ891" s="164">
        <f>($L891*'Pivot Objective'!$C$9^7)*AH891*AI891</f>
        <v>484752.35805225978</v>
      </c>
      <c r="AK891" s="185">
        <f t="shared" si="97"/>
        <v>2545096.4916167096</v>
      </c>
      <c r="AL891" s="186">
        <f t="shared" si="98"/>
        <v>2470.9674675890383</v>
      </c>
    </row>
    <row r="892" spans="1:38" customFormat="1" ht="57.6" x14ac:dyDescent="0.3">
      <c r="A892" s="140" t="s">
        <v>1444</v>
      </c>
      <c r="B892" s="140">
        <v>1</v>
      </c>
      <c r="C892" s="166" t="s">
        <v>836</v>
      </c>
      <c r="D892" s="140" t="str">
        <f t="shared" si="100"/>
        <v>5</v>
      </c>
      <c r="E892" s="166" t="s">
        <v>1446</v>
      </c>
      <c r="F892" s="140">
        <f t="shared" si="99"/>
        <v>4</v>
      </c>
      <c r="G892" s="140" t="str">
        <f t="shared" si="101"/>
        <v>1.5.4</v>
      </c>
      <c r="H892" s="166" t="s">
        <v>1479</v>
      </c>
      <c r="I892" s="171" t="s">
        <v>1129</v>
      </c>
      <c r="J892" s="171" t="s">
        <v>1131</v>
      </c>
      <c r="K892" s="171" t="s">
        <v>1336</v>
      </c>
      <c r="L892" s="166">
        <f>1480/7</f>
        <v>211.42857142857142</v>
      </c>
      <c r="M892" s="169">
        <f>2*135*9</f>
        <v>2430</v>
      </c>
      <c r="N892" s="166">
        <v>1</v>
      </c>
      <c r="O892" s="164">
        <f t="shared" si="96"/>
        <v>513771.42857142852</v>
      </c>
      <c r="P892" s="169">
        <f>2*135*9</f>
        <v>2430</v>
      </c>
      <c r="Q892" s="166">
        <v>1</v>
      </c>
      <c r="R892" s="164">
        <f>$L892*'Pivot Objective'!$C$9*P892*Q892</f>
        <v>587200.20475011424</v>
      </c>
      <c r="S892" s="169">
        <f>2*135*9</f>
        <v>2430</v>
      </c>
      <c r="T892" s="166">
        <v>1</v>
      </c>
      <c r="U892" s="164">
        <f>($L892*'Pivot Objective'!$C$9^2)*S892*T892</f>
        <v>671123.50217162515</v>
      </c>
      <c r="V892" s="169">
        <f>2*135*9</f>
        <v>2430</v>
      </c>
      <c r="W892" s="166">
        <v>1</v>
      </c>
      <c r="X892" s="164">
        <f>($L892*'Pivot Objective'!$C$9^3)*V892*W892</f>
        <v>767041.20932447549</v>
      </c>
      <c r="Y892" s="169">
        <f>2*135*9</f>
        <v>2430</v>
      </c>
      <c r="Z892" s="166">
        <v>1</v>
      </c>
      <c r="AA892" s="164">
        <f>($L892*'Pivot Objective'!$C$9^4)*Y892*Z892</f>
        <v>876667.58040533611</v>
      </c>
      <c r="AB892" s="169">
        <f>2*135*9</f>
        <v>2430</v>
      </c>
      <c r="AC892" s="166">
        <v>1</v>
      </c>
      <c r="AD892" s="164">
        <f>($L892*'Pivot Objective'!$C$9^5)*AB892*AC892</f>
        <v>1001961.8727012025</v>
      </c>
      <c r="AE892" s="169">
        <f>2*135*9</f>
        <v>2430</v>
      </c>
      <c r="AF892" s="166">
        <v>1</v>
      </c>
      <c r="AG892" s="164">
        <f>($L892*'Pivot Objective'!$C$9^6)*AE892*AF892</f>
        <v>1145163.3626998325</v>
      </c>
      <c r="AH892" s="169">
        <f>2*135*9</f>
        <v>2430</v>
      </c>
      <c r="AI892" s="166">
        <v>1</v>
      </c>
      <c r="AJ892" s="164">
        <f>($L892*'Pivot Objective'!$C$9^7)*AH892*AI892</f>
        <v>1308831.3667411015</v>
      </c>
      <c r="AK892" s="185">
        <f t="shared" si="97"/>
        <v>6871760.5273651164</v>
      </c>
      <c r="AL892" s="186">
        <f t="shared" si="98"/>
        <v>6671.6121624904044</v>
      </c>
    </row>
    <row r="893" spans="1:38" customFormat="1" ht="57.6" x14ac:dyDescent="0.3">
      <c r="A893" s="140" t="s">
        <v>1444</v>
      </c>
      <c r="B893" s="140">
        <v>1</v>
      </c>
      <c r="C893" s="166" t="s">
        <v>836</v>
      </c>
      <c r="D893" s="140" t="str">
        <f t="shared" si="100"/>
        <v>5</v>
      </c>
      <c r="E893" s="166" t="s">
        <v>1446</v>
      </c>
      <c r="F893" s="140">
        <f t="shared" si="99"/>
        <v>4</v>
      </c>
      <c r="G893" s="140" t="str">
        <f t="shared" si="101"/>
        <v>1.5.4</v>
      </c>
      <c r="H893" s="166" t="s">
        <v>1479</v>
      </c>
      <c r="I893" s="171" t="s">
        <v>1132</v>
      </c>
      <c r="J893" s="171" t="s">
        <v>1133</v>
      </c>
      <c r="K893" s="171" t="s">
        <v>841</v>
      </c>
      <c r="L893" s="166">
        <v>0</v>
      </c>
      <c r="M893" s="169">
        <v>0</v>
      </c>
      <c r="N893" s="166">
        <v>0</v>
      </c>
      <c r="O893" s="164">
        <f t="shared" si="96"/>
        <v>0</v>
      </c>
      <c r="P893" s="169">
        <v>0</v>
      </c>
      <c r="Q893" s="166">
        <v>0</v>
      </c>
      <c r="R893" s="164">
        <f>$L893*'Pivot Objective'!$C$9*P893*Q893</f>
        <v>0</v>
      </c>
      <c r="S893" s="169">
        <v>0</v>
      </c>
      <c r="T893" s="166">
        <v>0</v>
      </c>
      <c r="U893" s="164">
        <f>($L893*'Pivot Objective'!$C$9^2)*S893*T893</f>
        <v>0</v>
      </c>
      <c r="V893" s="169">
        <v>0</v>
      </c>
      <c r="W893" s="166">
        <v>0</v>
      </c>
      <c r="X893" s="164">
        <f>($L893*'Pivot Objective'!$C$9^3)*V893*W893</f>
        <v>0</v>
      </c>
      <c r="Y893" s="169">
        <v>0</v>
      </c>
      <c r="Z893" s="166">
        <v>0</v>
      </c>
      <c r="AA893" s="164">
        <f>($L893*'Pivot Objective'!$C$9^4)*Y893*Z893</f>
        <v>0</v>
      </c>
      <c r="AB893" s="169">
        <v>0</v>
      </c>
      <c r="AC893" s="166">
        <v>0</v>
      </c>
      <c r="AD893" s="164">
        <f>($L893*'Pivot Objective'!$C$9^5)*AB893*AC893</f>
        <v>0</v>
      </c>
      <c r="AE893" s="169">
        <v>0</v>
      </c>
      <c r="AF893" s="166">
        <v>0</v>
      </c>
      <c r="AG893" s="164">
        <f>($L893*'Pivot Objective'!$C$9^6)*AE893*AF893</f>
        <v>0</v>
      </c>
      <c r="AH893" s="169">
        <v>0</v>
      </c>
      <c r="AI893" s="166">
        <v>0</v>
      </c>
      <c r="AJ893" s="164">
        <f>($L893*'Pivot Objective'!$C$9^7)*AH893*AI893</f>
        <v>0</v>
      </c>
      <c r="AK893" s="185">
        <f t="shared" si="97"/>
        <v>0</v>
      </c>
      <c r="AL893" s="186">
        <f t="shared" si="98"/>
        <v>0</v>
      </c>
    </row>
    <row r="894" spans="1:38" customFormat="1" ht="57.6" x14ac:dyDescent="0.3">
      <c r="A894" s="140" t="s">
        <v>1444</v>
      </c>
      <c r="B894" s="140">
        <v>1</v>
      </c>
      <c r="C894" s="166" t="s">
        <v>836</v>
      </c>
      <c r="D894" s="140" t="str">
        <f t="shared" si="100"/>
        <v>5</v>
      </c>
      <c r="E894" s="166" t="s">
        <v>1446</v>
      </c>
      <c r="F894" s="140">
        <f t="shared" si="99"/>
        <v>4</v>
      </c>
      <c r="G894" s="140" t="str">
        <f t="shared" si="101"/>
        <v>1.5.4</v>
      </c>
      <c r="H894" s="166" t="s">
        <v>1479</v>
      </c>
      <c r="I894" s="171" t="s">
        <v>1132</v>
      </c>
      <c r="J894" s="171" t="s">
        <v>1134</v>
      </c>
      <c r="K894" s="171" t="s">
        <v>722</v>
      </c>
      <c r="L894" s="166">
        <v>10682.15</v>
      </c>
      <c r="M894" s="169">
        <v>30</v>
      </c>
      <c r="N894" s="166">
        <v>120</v>
      </c>
      <c r="O894" s="164">
        <f t="shared" si="96"/>
        <v>38455740</v>
      </c>
      <c r="P894" s="169">
        <v>30</v>
      </c>
      <c r="Q894" s="166">
        <v>120</v>
      </c>
      <c r="R894" s="164">
        <f>$L894*'Pivot Objective'!$C$9*P894*Q894</f>
        <v>43951876.546746768</v>
      </c>
      <c r="S894" s="169">
        <v>30</v>
      </c>
      <c r="T894" s="166">
        <v>120</v>
      </c>
      <c r="U894" s="164">
        <f>($L894*'Pivot Objective'!$C$9^2)*S894*T894</f>
        <v>50233526.958016396</v>
      </c>
      <c r="V894" s="169">
        <v>30</v>
      </c>
      <c r="W894" s="166">
        <v>120</v>
      </c>
      <c r="X894" s="164">
        <f>($L894*'Pivot Objective'!$C$9^3)*V894*W894</f>
        <v>57412957.737035163</v>
      </c>
      <c r="Y894" s="169">
        <v>30</v>
      </c>
      <c r="Z894" s="166">
        <v>120</v>
      </c>
      <c r="AA894" s="164">
        <f>($L894*'Pivot Objective'!$C$9^4)*Y894*Z894</f>
        <v>65618480.638826855</v>
      </c>
      <c r="AB894" s="169">
        <v>30</v>
      </c>
      <c r="AC894" s="166">
        <v>120</v>
      </c>
      <c r="AD894" s="164">
        <f>($L894*'Pivot Objective'!$C$9^5)*AB894*AC894</f>
        <v>74996745.875201255</v>
      </c>
      <c r="AE894" s="169">
        <v>30</v>
      </c>
      <c r="AF894" s="166">
        <v>120</v>
      </c>
      <c r="AG894" s="164">
        <f>($L894*'Pivot Objective'!$C$9^6)*AE894*AF894</f>
        <v>85715363.067115232</v>
      </c>
      <c r="AH894" s="169">
        <v>30</v>
      </c>
      <c r="AI894" s="166">
        <v>120</v>
      </c>
      <c r="AJ894" s="164">
        <f>($L894*'Pivot Objective'!$C$9^7)*AH894*AI894</f>
        <v>97965896.786420628</v>
      </c>
      <c r="AK894" s="185">
        <f t="shared" si="97"/>
        <v>514350587.6093623</v>
      </c>
      <c r="AL894" s="186">
        <f t="shared" si="98"/>
        <v>499369.50253336143</v>
      </c>
    </row>
    <row r="895" spans="1:38" customFormat="1" ht="57.6" x14ac:dyDescent="0.3">
      <c r="A895" s="140" t="s">
        <v>1444</v>
      </c>
      <c r="B895" s="140">
        <v>1</v>
      </c>
      <c r="C895" s="166" t="s">
        <v>836</v>
      </c>
      <c r="D895" s="140" t="str">
        <f t="shared" si="100"/>
        <v>5</v>
      </c>
      <c r="E895" s="166" t="s">
        <v>1446</v>
      </c>
      <c r="F895" s="140">
        <f t="shared" si="99"/>
        <v>4</v>
      </c>
      <c r="G895" s="140" t="str">
        <f t="shared" si="101"/>
        <v>1.5.4</v>
      </c>
      <c r="H895" s="166" t="s">
        <v>1479</v>
      </c>
      <c r="I895" s="171" t="s">
        <v>1132</v>
      </c>
      <c r="J895" s="171" t="s">
        <v>1134</v>
      </c>
      <c r="K895" s="171" t="s">
        <v>1135</v>
      </c>
      <c r="L895" s="166">
        <v>11824.04</v>
      </c>
      <c r="M895" s="169">
        <v>4</v>
      </c>
      <c r="N895" s="166">
        <v>120</v>
      </c>
      <c r="O895" s="164">
        <f t="shared" si="96"/>
        <v>5675539.2000000002</v>
      </c>
      <c r="P895" s="169">
        <v>4</v>
      </c>
      <c r="Q895" s="166">
        <v>120</v>
      </c>
      <c r="R895" s="164">
        <f>$L895*'Pivot Objective'!$C$9*P895*Q895</f>
        <v>6486693.4885305027</v>
      </c>
      <c r="S895" s="169">
        <v>4</v>
      </c>
      <c r="T895" s="166">
        <v>120</v>
      </c>
      <c r="U895" s="164">
        <f>($L895*'Pivot Objective'!$C$9^2)*S895*T895</f>
        <v>7413778.8378140386</v>
      </c>
      <c r="V895" s="169">
        <v>4</v>
      </c>
      <c r="W895" s="166">
        <v>120</v>
      </c>
      <c r="X895" s="164">
        <f>($L895*'Pivot Objective'!$C$9^3)*V895*W895</f>
        <v>8473364.2422298063</v>
      </c>
      <c r="Y895" s="169">
        <v>4</v>
      </c>
      <c r="Z895" s="166">
        <v>120</v>
      </c>
      <c r="AA895" s="164">
        <f>($L895*'Pivot Objective'!$C$9^4)*Y895*Z895</f>
        <v>9684386.7550098617</v>
      </c>
      <c r="AB895" s="169">
        <v>4</v>
      </c>
      <c r="AC895" s="166">
        <v>120</v>
      </c>
      <c r="AD895" s="164">
        <f>($L895*'Pivot Objective'!$C$9^5)*AB895*AC895</f>
        <v>11068489.933808139</v>
      </c>
      <c r="AE895" s="169">
        <v>4</v>
      </c>
      <c r="AF895" s="166">
        <v>120</v>
      </c>
      <c r="AG895" s="164">
        <f>($L895*'Pivot Objective'!$C$9^6)*AE895*AF895</f>
        <v>12650410.657281457</v>
      </c>
      <c r="AH895" s="169">
        <v>4</v>
      </c>
      <c r="AI895" s="166">
        <v>120</v>
      </c>
      <c r="AJ895" s="164">
        <f>($L895*'Pivot Objective'!$C$9^7)*AH895*AI895</f>
        <v>14458421.225920614</v>
      </c>
      <c r="AK895" s="185">
        <f t="shared" si="97"/>
        <v>75911084.340594426</v>
      </c>
      <c r="AL895" s="186">
        <f t="shared" si="98"/>
        <v>73700.081884072264</v>
      </c>
    </row>
    <row r="896" spans="1:38" customFormat="1" ht="57.6" x14ac:dyDescent="0.3">
      <c r="A896" s="140" t="s">
        <v>1444</v>
      </c>
      <c r="B896" s="140">
        <v>1</v>
      </c>
      <c r="C896" s="166" t="s">
        <v>836</v>
      </c>
      <c r="D896" s="140" t="str">
        <f t="shared" si="100"/>
        <v>5</v>
      </c>
      <c r="E896" s="166" t="s">
        <v>1446</v>
      </c>
      <c r="F896" s="140">
        <f t="shared" si="99"/>
        <v>4</v>
      </c>
      <c r="G896" s="140" t="str">
        <f t="shared" si="101"/>
        <v>1.5.4</v>
      </c>
      <c r="H896" s="166" t="s">
        <v>1479</v>
      </c>
      <c r="I896" s="171" t="s">
        <v>1132</v>
      </c>
      <c r="J896" s="171" t="s">
        <v>1134</v>
      </c>
      <c r="K896" s="171" t="s">
        <v>723</v>
      </c>
      <c r="L896" s="166">
        <v>70133.84</v>
      </c>
      <c r="M896" s="169">
        <v>4</v>
      </c>
      <c r="N896" s="166">
        <v>120</v>
      </c>
      <c r="O896" s="164">
        <f t="shared" si="96"/>
        <v>33664243.199999996</v>
      </c>
      <c r="P896" s="169">
        <v>4</v>
      </c>
      <c r="Q896" s="166">
        <v>120</v>
      </c>
      <c r="R896" s="164">
        <f>$L896*'Pivot Objective'!$C$9*P896*Q896</f>
        <v>38475573.767818786</v>
      </c>
      <c r="S896" s="169">
        <v>4</v>
      </c>
      <c r="T896" s="166">
        <v>120</v>
      </c>
      <c r="U896" s="164">
        <f>($L896*'Pivot Objective'!$C$9^2)*S896*T896</f>
        <v>43974544.978419863</v>
      </c>
      <c r="V896" s="169">
        <v>4</v>
      </c>
      <c r="W896" s="166">
        <v>120</v>
      </c>
      <c r="X896" s="164">
        <f>($L896*'Pivot Objective'!$C$9^3)*V896*W896</f>
        <v>50259435.186811469</v>
      </c>
      <c r="Y896" s="169">
        <v>4</v>
      </c>
      <c r="Z896" s="166">
        <v>120</v>
      </c>
      <c r="AA896" s="164">
        <f>($L896*'Pivot Objective'!$C$9^4)*Y896*Z896</f>
        <v>57442568.798310958</v>
      </c>
      <c r="AB896" s="169">
        <v>4</v>
      </c>
      <c r="AC896" s="166">
        <v>120</v>
      </c>
      <c r="AD896" s="164">
        <f>($L896*'Pivot Objective'!$C$9^5)*AB896*AC896</f>
        <v>65652323.745463528</v>
      </c>
      <c r="AE896" s="169">
        <v>4</v>
      </c>
      <c r="AF896" s="166">
        <v>120</v>
      </c>
      <c r="AG896" s="164">
        <f>($L896*'Pivot Objective'!$C$9^6)*AE896*AF896</f>
        <v>75035425.875764325</v>
      </c>
      <c r="AH896" s="169">
        <v>4</v>
      </c>
      <c r="AI896" s="166">
        <v>120</v>
      </c>
      <c r="AJ896" s="164">
        <f>($L896*'Pivot Objective'!$C$9^7)*AH896*AI896</f>
        <v>85759571.255790755</v>
      </c>
      <c r="AK896" s="185">
        <f t="shared" si="97"/>
        <v>450263686.80837971</v>
      </c>
      <c r="AL896" s="186">
        <f t="shared" si="98"/>
        <v>437149.21049357252</v>
      </c>
    </row>
    <row r="897" spans="1:38" customFormat="1" ht="57.6" x14ac:dyDescent="0.3">
      <c r="A897" s="140" t="s">
        <v>1445</v>
      </c>
      <c r="B897" s="140">
        <v>1</v>
      </c>
      <c r="C897" s="166" t="s">
        <v>836</v>
      </c>
      <c r="D897" s="140" t="str">
        <f t="shared" si="100"/>
        <v>6</v>
      </c>
      <c r="E897" s="166" t="s">
        <v>1136</v>
      </c>
      <c r="F897" s="140">
        <v>1</v>
      </c>
      <c r="G897" s="140" t="str">
        <f t="shared" si="101"/>
        <v>1.6.1</v>
      </c>
      <c r="H897" s="166" t="s">
        <v>1710</v>
      </c>
      <c r="I897" s="166" t="s">
        <v>1138</v>
      </c>
      <c r="J897" s="166" t="s">
        <v>1140</v>
      </c>
      <c r="K897" s="175"/>
      <c r="L897" s="176">
        <v>2060000000</v>
      </c>
      <c r="M897" s="166">
        <v>2</v>
      </c>
      <c r="N897" s="166">
        <v>2</v>
      </c>
      <c r="O897" s="164">
        <f t="shared" si="96"/>
        <v>8240000000</v>
      </c>
      <c r="P897" s="166"/>
      <c r="Q897" s="166"/>
      <c r="R897" s="164">
        <f>$L897*'Pivot Objective'!$C$9*P897*Q897</f>
        <v>0</v>
      </c>
      <c r="S897" s="166"/>
      <c r="T897" s="166"/>
      <c r="U897" s="164">
        <f>($L897*'Pivot Objective'!$C$9^2)*S897*T897</f>
        <v>0</v>
      </c>
      <c r="V897" s="166"/>
      <c r="W897" s="166"/>
      <c r="X897" s="164">
        <f>($L897*'Pivot Objective'!$C$9^3)*V897*W897</f>
        <v>0</v>
      </c>
      <c r="Y897" s="166"/>
      <c r="Z897" s="166"/>
      <c r="AA897" s="164">
        <f>($L897*'Pivot Objective'!$C$9^4)*Y897*Z897</f>
        <v>0</v>
      </c>
      <c r="AB897" s="166"/>
      <c r="AC897" s="166"/>
      <c r="AD897" s="164">
        <f>($L897*'Pivot Objective'!$C$9^5)*AB897*AC897</f>
        <v>0</v>
      </c>
      <c r="AE897" s="166">
        <v>2</v>
      </c>
      <c r="AF897" s="166">
        <v>2</v>
      </c>
      <c r="AG897" s="164">
        <f>($L897*'Pivot Objective'!$C$9^6)*AE897*AF897</f>
        <v>18366428306.230217</v>
      </c>
      <c r="AH897" s="166"/>
      <c r="AI897" s="166"/>
      <c r="AJ897" s="164">
        <f>($L897*'Pivot Objective'!$C$9^7)*AH897*AI897</f>
        <v>0</v>
      </c>
      <c r="AK897" s="185">
        <f t="shared" si="97"/>
        <v>26606428306.230217</v>
      </c>
      <c r="AL897" s="186">
        <f t="shared" si="98"/>
        <v>25831483.792456523</v>
      </c>
    </row>
    <row r="898" spans="1:38" customFormat="1" ht="57.6" x14ac:dyDescent="0.3">
      <c r="A898" s="140" t="s">
        <v>1445</v>
      </c>
      <c r="B898" s="140">
        <v>1</v>
      </c>
      <c r="C898" s="166" t="s">
        <v>836</v>
      </c>
      <c r="D898" s="140" t="str">
        <f t="shared" si="100"/>
        <v>6</v>
      </c>
      <c r="E898" s="166" t="s">
        <v>1136</v>
      </c>
      <c r="F898" s="140">
        <f t="shared" ref="F898:F929" si="102">IF(H898=H897,F897,F897+1)</f>
        <v>1</v>
      </c>
      <c r="G898" s="140" t="str">
        <f t="shared" si="101"/>
        <v>1.6.1</v>
      </c>
      <c r="H898" s="166" t="s">
        <v>1710</v>
      </c>
      <c r="I898" s="166" t="s">
        <v>1138</v>
      </c>
      <c r="J898" s="166" t="s">
        <v>1331</v>
      </c>
      <c r="K898" s="176" t="s">
        <v>709</v>
      </c>
      <c r="L898" s="176">
        <v>35000</v>
      </c>
      <c r="M898" s="166">
        <v>30</v>
      </c>
      <c r="N898" s="166">
        <v>10</v>
      </c>
      <c r="O898" s="164">
        <f t="shared" si="96"/>
        <v>10500000</v>
      </c>
      <c r="P898" s="166"/>
      <c r="Q898" s="166"/>
      <c r="R898" s="164">
        <f>$L898*'Pivot Objective'!$C$9*P898*Q898</f>
        <v>0</v>
      </c>
      <c r="S898" s="166"/>
      <c r="T898" s="166"/>
      <c r="U898" s="164">
        <f>($L898*'Pivot Objective'!$C$9^2)*S898*T898</f>
        <v>0</v>
      </c>
      <c r="V898" s="166"/>
      <c r="W898" s="166"/>
      <c r="X898" s="164">
        <f>($L898*'Pivot Objective'!$C$9^3)*V898*W898</f>
        <v>0</v>
      </c>
      <c r="Y898" s="166"/>
      <c r="Z898" s="166"/>
      <c r="AA898" s="164">
        <f>($L898*'Pivot Objective'!$C$9^4)*Y898*Z898</f>
        <v>0</v>
      </c>
      <c r="AB898" s="166"/>
      <c r="AC898" s="166"/>
      <c r="AD898" s="164">
        <f>($L898*'Pivot Objective'!$C$9^5)*AB898*AC898</f>
        <v>0</v>
      </c>
      <c r="AE898" s="166">
        <v>30</v>
      </c>
      <c r="AF898" s="166">
        <v>10</v>
      </c>
      <c r="AG898" s="164">
        <f>($L898*'Pivot Objective'!$C$9^6)*AE898*AF898</f>
        <v>23403822.477599181</v>
      </c>
      <c r="AH898" s="166"/>
      <c r="AI898" s="166"/>
      <c r="AJ898" s="164">
        <f>($L898*'Pivot Objective'!$C$9^7)*AH898*AI898</f>
        <v>0</v>
      </c>
      <c r="AK898" s="185">
        <f t="shared" si="97"/>
        <v>33903822.477599181</v>
      </c>
      <c r="AL898" s="186">
        <f t="shared" si="98"/>
        <v>32916.332502523474</v>
      </c>
    </row>
    <row r="899" spans="1:38" customFormat="1" ht="57.6" x14ac:dyDescent="0.3">
      <c r="A899" s="140" t="s">
        <v>1445</v>
      </c>
      <c r="B899" s="140">
        <v>1</v>
      </c>
      <c r="C899" s="166" t="s">
        <v>836</v>
      </c>
      <c r="D899" s="140" t="str">
        <f t="shared" si="100"/>
        <v>6</v>
      </c>
      <c r="E899" s="166" t="s">
        <v>1136</v>
      </c>
      <c r="F899" s="140">
        <f t="shared" si="102"/>
        <v>1</v>
      </c>
      <c r="G899" s="140" t="str">
        <f t="shared" si="101"/>
        <v>1.6.1</v>
      </c>
      <c r="H899" s="166" t="s">
        <v>1710</v>
      </c>
      <c r="I899" s="166" t="s">
        <v>1138</v>
      </c>
      <c r="J899" s="166" t="s">
        <v>1328</v>
      </c>
      <c r="K899" s="176" t="s">
        <v>1329</v>
      </c>
      <c r="L899" s="166">
        <v>0</v>
      </c>
      <c r="M899" s="166">
        <v>0</v>
      </c>
      <c r="N899" s="166">
        <v>0</v>
      </c>
      <c r="O899" s="164">
        <f t="shared" ref="O899:O962" si="103">$L899*M899*N899</f>
        <v>0</v>
      </c>
      <c r="P899" s="166"/>
      <c r="Q899" s="166"/>
      <c r="R899" s="164">
        <f>$L899*'Pivot Objective'!$C$9*P899*Q899</f>
        <v>0</v>
      </c>
      <c r="S899" s="166"/>
      <c r="T899" s="166"/>
      <c r="U899" s="164">
        <f>($L899*'Pivot Objective'!$C$9^2)*S899*T899</f>
        <v>0</v>
      </c>
      <c r="V899" s="166"/>
      <c r="W899" s="166"/>
      <c r="X899" s="164">
        <f>($L899*'Pivot Objective'!$C$9^3)*V899*W899</f>
        <v>0</v>
      </c>
      <c r="Y899" s="166"/>
      <c r="Z899" s="166"/>
      <c r="AA899" s="164">
        <f>($L899*'Pivot Objective'!$C$9^4)*Y899*Z899</f>
        <v>0</v>
      </c>
      <c r="AB899" s="166"/>
      <c r="AC899" s="166"/>
      <c r="AD899" s="164">
        <f>($L899*'Pivot Objective'!$C$9^5)*AB899*AC899</f>
        <v>0</v>
      </c>
      <c r="AE899" s="166">
        <v>0</v>
      </c>
      <c r="AF899" s="166">
        <v>0</v>
      </c>
      <c r="AG899" s="164">
        <f>($L899*'Pivot Objective'!$C$9^6)*AE899*AF899</f>
        <v>0</v>
      </c>
      <c r="AH899" s="166"/>
      <c r="AI899" s="166"/>
      <c r="AJ899" s="164">
        <f>($L899*'Pivot Objective'!$C$9^7)*AH899*AI899</f>
        <v>0</v>
      </c>
      <c r="AK899" s="185">
        <f t="shared" ref="AK899:AK962" si="104">O899+R899+U899+X899+AA899+AD899+AG899+AJ899</f>
        <v>0</v>
      </c>
      <c r="AL899" s="186">
        <f t="shared" ref="AL899:AL962" si="105">AK899/$AP$2</f>
        <v>0</v>
      </c>
    </row>
    <row r="900" spans="1:38" customFormat="1" ht="57.6" x14ac:dyDescent="0.3">
      <c r="A900" s="140" t="s">
        <v>1445</v>
      </c>
      <c r="B900" s="140">
        <v>1</v>
      </c>
      <c r="C900" s="166" t="s">
        <v>836</v>
      </c>
      <c r="D900" s="140" t="str">
        <f t="shared" si="100"/>
        <v>6</v>
      </c>
      <c r="E900" s="166" t="s">
        <v>1136</v>
      </c>
      <c r="F900" s="140">
        <f t="shared" si="102"/>
        <v>1</v>
      </c>
      <c r="G900" s="140" t="str">
        <f t="shared" si="101"/>
        <v>1.6.1</v>
      </c>
      <c r="H900" s="166" t="s">
        <v>1710</v>
      </c>
      <c r="I900" s="166" t="s">
        <v>1138</v>
      </c>
      <c r="J900" s="166" t="s">
        <v>1330</v>
      </c>
      <c r="K900" s="176" t="s">
        <v>709</v>
      </c>
      <c r="L900" s="166">
        <v>35000</v>
      </c>
      <c r="M900" s="166">
        <v>60</v>
      </c>
      <c r="N900" s="166">
        <v>2</v>
      </c>
      <c r="O900" s="164">
        <f t="shared" si="103"/>
        <v>4200000</v>
      </c>
      <c r="P900" s="166"/>
      <c r="Q900" s="166"/>
      <c r="R900" s="164">
        <f>$L900*'Pivot Objective'!$C$9*P900*Q900</f>
        <v>0</v>
      </c>
      <c r="S900" s="166"/>
      <c r="T900" s="166"/>
      <c r="U900" s="164">
        <f>($L900*'Pivot Objective'!$C$9^2)*S900*T900</f>
        <v>0</v>
      </c>
      <c r="V900" s="166"/>
      <c r="W900" s="166"/>
      <c r="X900" s="164">
        <f>($L900*'Pivot Objective'!$C$9^3)*V900*W900</f>
        <v>0</v>
      </c>
      <c r="Y900" s="166"/>
      <c r="Z900" s="166"/>
      <c r="AA900" s="164">
        <f>($L900*'Pivot Objective'!$C$9^4)*Y900*Z900</f>
        <v>0</v>
      </c>
      <c r="AB900" s="166"/>
      <c r="AC900" s="166"/>
      <c r="AD900" s="164">
        <f>($L900*'Pivot Objective'!$C$9^5)*AB900*AC900</f>
        <v>0</v>
      </c>
      <c r="AE900" s="166">
        <v>60</v>
      </c>
      <c r="AF900" s="166">
        <v>2</v>
      </c>
      <c r="AG900" s="164">
        <f>($L900*'Pivot Objective'!$C$9^6)*AE900*AF900</f>
        <v>9361528.9910396729</v>
      </c>
      <c r="AH900" s="166"/>
      <c r="AI900" s="166"/>
      <c r="AJ900" s="164">
        <f>($L900*'Pivot Objective'!$C$9^7)*AH900*AI900</f>
        <v>0</v>
      </c>
      <c r="AK900" s="185">
        <f t="shared" si="104"/>
        <v>13561528.991039673</v>
      </c>
      <c r="AL900" s="186">
        <f t="shared" si="105"/>
        <v>13166.533001009391</v>
      </c>
    </row>
    <row r="901" spans="1:38" customFormat="1" ht="57.6" x14ac:dyDescent="0.3">
      <c r="A901" s="140" t="s">
        <v>1445</v>
      </c>
      <c r="B901" s="140">
        <v>1</v>
      </c>
      <c r="C901" s="166" t="s">
        <v>836</v>
      </c>
      <c r="D901" s="140" t="str">
        <f t="shared" si="100"/>
        <v>6</v>
      </c>
      <c r="E901" s="166" t="s">
        <v>1136</v>
      </c>
      <c r="F901" s="140">
        <f t="shared" si="102"/>
        <v>1</v>
      </c>
      <c r="G901" s="140" t="str">
        <f t="shared" si="101"/>
        <v>1.6.1</v>
      </c>
      <c r="H901" s="166" t="s">
        <v>1710</v>
      </c>
      <c r="I901" s="166" t="s">
        <v>1138</v>
      </c>
      <c r="J901" s="166" t="s">
        <v>1332</v>
      </c>
      <c r="K901" s="166" t="s">
        <v>709</v>
      </c>
      <c r="L901" s="176">
        <v>35000</v>
      </c>
      <c r="M901" s="166">
        <v>60</v>
      </c>
      <c r="N901" s="166">
        <v>2</v>
      </c>
      <c r="O901" s="164">
        <f t="shared" si="103"/>
        <v>4200000</v>
      </c>
      <c r="P901" s="166"/>
      <c r="Q901" s="166"/>
      <c r="R901" s="164">
        <f>$L901*'Pivot Objective'!$C$9*P901*Q901</f>
        <v>0</v>
      </c>
      <c r="S901" s="166"/>
      <c r="T901" s="166"/>
      <c r="U901" s="164">
        <f>($L901*'Pivot Objective'!$C$9^2)*S901*T901</f>
        <v>0</v>
      </c>
      <c r="V901" s="166"/>
      <c r="W901" s="166"/>
      <c r="X901" s="164">
        <f>($L901*'Pivot Objective'!$C$9^3)*V901*W901</f>
        <v>0</v>
      </c>
      <c r="Y901" s="166"/>
      <c r="Z901" s="166"/>
      <c r="AA901" s="164">
        <f>($L901*'Pivot Objective'!$C$9^4)*Y901*Z901</f>
        <v>0</v>
      </c>
      <c r="AB901" s="166"/>
      <c r="AC901" s="166"/>
      <c r="AD901" s="164">
        <f>($L901*'Pivot Objective'!$C$9^5)*AB901*AC901</f>
        <v>0</v>
      </c>
      <c r="AE901" s="166">
        <v>60</v>
      </c>
      <c r="AF901" s="166">
        <v>2</v>
      </c>
      <c r="AG901" s="164">
        <f>($L901*'Pivot Objective'!$C$9^6)*AE901*AF901</f>
        <v>9361528.9910396729</v>
      </c>
      <c r="AH901" s="166"/>
      <c r="AI901" s="166"/>
      <c r="AJ901" s="164">
        <f>($L901*'Pivot Objective'!$C$9^7)*AH901*AI901</f>
        <v>0</v>
      </c>
      <c r="AK901" s="185">
        <f t="shared" si="104"/>
        <v>13561528.991039673</v>
      </c>
      <c r="AL901" s="186">
        <f t="shared" si="105"/>
        <v>13166.533001009391</v>
      </c>
    </row>
    <row r="902" spans="1:38" customFormat="1" ht="57.6" x14ac:dyDescent="0.3">
      <c r="A902" s="140" t="s">
        <v>1445</v>
      </c>
      <c r="B902" s="140">
        <v>1</v>
      </c>
      <c r="C902" s="166" t="s">
        <v>836</v>
      </c>
      <c r="D902" s="140" t="str">
        <f t="shared" si="100"/>
        <v>6</v>
      </c>
      <c r="E902" s="166" t="s">
        <v>1136</v>
      </c>
      <c r="F902" s="140">
        <f t="shared" si="102"/>
        <v>1</v>
      </c>
      <c r="G902" s="140" t="str">
        <f t="shared" si="101"/>
        <v>1.6.1</v>
      </c>
      <c r="H902" s="166" t="s">
        <v>1710</v>
      </c>
      <c r="I902" s="166" t="s">
        <v>1138</v>
      </c>
      <c r="J902" s="166" t="s">
        <v>1333</v>
      </c>
      <c r="K902" s="166" t="s">
        <v>1329</v>
      </c>
      <c r="L902" s="176">
        <v>0</v>
      </c>
      <c r="M902" s="166">
        <v>0</v>
      </c>
      <c r="N902" s="166">
        <v>0</v>
      </c>
      <c r="O902" s="164">
        <f t="shared" si="103"/>
        <v>0</v>
      </c>
      <c r="P902" s="166"/>
      <c r="Q902" s="166"/>
      <c r="R902" s="164">
        <f>$L902*'Pivot Objective'!$C$9*P902*Q902</f>
        <v>0</v>
      </c>
      <c r="S902" s="166"/>
      <c r="T902" s="166"/>
      <c r="U902" s="164">
        <f>($L902*'Pivot Objective'!$C$9^2)*S902*T902</f>
        <v>0</v>
      </c>
      <c r="V902" s="166"/>
      <c r="W902" s="166"/>
      <c r="X902" s="164">
        <f>($L902*'Pivot Objective'!$C$9^3)*V902*W902</f>
        <v>0</v>
      </c>
      <c r="Y902" s="166"/>
      <c r="Z902" s="166"/>
      <c r="AA902" s="164">
        <f>($L902*'Pivot Objective'!$C$9^4)*Y902*Z902</f>
        <v>0</v>
      </c>
      <c r="AB902" s="166"/>
      <c r="AC902" s="166"/>
      <c r="AD902" s="164">
        <f>($L902*'Pivot Objective'!$C$9^5)*AB902*AC902</f>
        <v>0</v>
      </c>
      <c r="AE902" s="166">
        <v>0</v>
      </c>
      <c r="AF902" s="166">
        <v>0</v>
      </c>
      <c r="AG902" s="164">
        <f>($L902*'Pivot Objective'!$C$9^6)*AE902*AF902</f>
        <v>0</v>
      </c>
      <c r="AH902" s="166"/>
      <c r="AI902" s="166"/>
      <c r="AJ902" s="164">
        <f>($L902*'Pivot Objective'!$C$9^7)*AH902*AI902</f>
        <v>0</v>
      </c>
      <c r="AK902" s="185">
        <f t="shared" si="104"/>
        <v>0</v>
      </c>
      <c r="AL902" s="186">
        <f t="shared" si="105"/>
        <v>0</v>
      </c>
    </row>
    <row r="903" spans="1:38" customFormat="1" ht="57.6" x14ac:dyDescent="0.3">
      <c r="A903" s="140" t="s">
        <v>1445</v>
      </c>
      <c r="B903" s="140">
        <v>1</v>
      </c>
      <c r="C903" s="166" t="s">
        <v>836</v>
      </c>
      <c r="D903" s="140" t="str">
        <f t="shared" si="100"/>
        <v>6</v>
      </c>
      <c r="E903" s="166" t="s">
        <v>1136</v>
      </c>
      <c r="F903" s="140">
        <f t="shared" si="102"/>
        <v>1</v>
      </c>
      <c r="G903" s="140" t="str">
        <f t="shared" si="101"/>
        <v>1.6.1</v>
      </c>
      <c r="H903" s="166" t="s">
        <v>1710</v>
      </c>
      <c r="I903" s="166" t="s">
        <v>1138</v>
      </c>
      <c r="J903" s="166" t="s">
        <v>1334</v>
      </c>
      <c r="K903" s="166" t="s">
        <v>709</v>
      </c>
      <c r="L903" s="176">
        <v>35000</v>
      </c>
      <c r="M903" s="166">
        <v>15</v>
      </c>
      <c r="N903" s="166">
        <v>6</v>
      </c>
      <c r="O903" s="164">
        <f t="shared" si="103"/>
        <v>3150000</v>
      </c>
      <c r="P903" s="166"/>
      <c r="Q903" s="166"/>
      <c r="R903" s="164">
        <f>$L903*'Pivot Objective'!$C$9*P903*Q903</f>
        <v>0</v>
      </c>
      <c r="S903" s="166"/>
      <c r="T903" s="166"/>
      <c r="U903" s="164">
        <f>($L903*'Pivot Objective'!$C$9^2)*S903*T903</f>
        <v>0</v>
      </c>
      <c r="V903" s="166"/>
      <c r="W903" s="166"/>
      <c r="X903" s="164">
        <f>($L903*'Pivot Objective'!$C$9^3)*V903*W903</f>
        <v>0</v>
      </c>
      <c r="Y903" s="166"/>
      <c r="Z903" s="166"/>
      <c r="AA903" s="164">
        <f>($L903*'Pivot Objective'!$C$9^4)*Y903*Z903</f>
        <v>0</v>
      </c>
      <c r="AB903" s="166"/>
      <c r="AC903" s="166"/>
      <c r="AD903" s="164">
        <f>($L903*'Pivot Objective'!$C$9^5)*AB903*AC903</f>
        <v>0</v>
      </c>
      <c r="AE903" s="166">
        <v>15</v>
      </c>
      <c r="AF903" s="166">
        <v>6</v>
      </c>
      <c r="AG903" s="164">
        <f>($L903*'Pivot Objective'!$C$9^6)*AE903*AF903</f>
        <v>7021146.7432797551</v>
      </c>
      <c r="AH903" s="166"/>
      <c r="AI903" s="166"/>
      <c r="AJ903" s="164">
        <f>($L903*'Pivot Objective'!$C$9^7)*AH903*AI903</f>
        <v>0</v>
      </c>
      <c r="AK903" s="185">
        <f t="shared" si="104"/>
        <v>10171146.743279755</v>
      </c>
      <c r="AL903" s="186">
        <f t="shared" si="105"/>
        <v>9874.8997507570439</v>
      </c>
    </row>
    <row r="904" spans="1:38" customFormat="1" ht="57.6" x14ac:dyDescent="0.3">
      <c r="A904" s="140" t="s">
        <v>1445</v>
      </c>
      <c r="B904" s="140">
        <v>1</v>
      </c>
      <c r="C904" s="166" t="s">
        <v>836</v>
      </c>
      <c r="D904" s="140" t="str">
        <f t="shared" si="100"/>
        <v>6</v>
      </c>
      <c r="E904" s="166" t="s">
        <v>1136</v>
      </c>
      <c r="F904" s="140">
        <f t="shared" si="102"/>
        <v>1</v>
      </c>
      <c r="G904" s="140" t="str">
        <f t="shared" si="101"/>
        <v>1.6.1</v>
      </c>
      <c r="H904" s="166" t="s">
        <v>1710</v>
      </c>
      <c r="I904" s="166" t="s">
        <v>1138</v>
      </c>
      <c r="J904" s="166" t="s">
        <v>1334</v>
      </c>
      <c r="K904" s="166" t="s">
        <v>716</v>
      </c>
      <c r="L904" s="166">
        <v>39000</v>
      </c>
      <c r="M904" s="166"/>
      <c r="N904" s="166">
        <v>8</v>
      </c>
      <c r="O904" s="164">
        <f t="shared" si="103"/>
        <v>0</v>
      </c>
      <c r="P904" s="166"/>
      <c r="Q904" s="166"/>
      <c r="R904" s="164">
        <f>$L904*'Pivot Objective'!$C$9*P904*Q904</f>
        <v>0</v>
      </c>
      <c r="S904" s="166"/>
      <c r="T904" s="166"/>
      <c r="U904" s="164">
        <f>($L904*'Pivot Objective'!$C$9^2)*S904*T904</f>
        <v>0</v>
      </c>
      <c r="V904" s="166"/>
      <c r="W904" s="166"/>
      <c r="X904" s="164">
        <f>($L904*'Pivot Objective'!$C$9^3)*V904*W904</f>
        <v>0</v>
      </c>
      <c r="Y904" s="166"/>
      <c r="Z904" s="166"/>
      <c r="AA904" s="164">
        <f>($L904*'Pivot Objective'!$C$9^4)*Y904*Z904</f>
        <v>0</v>
      </c>
      <c r="AB904" s="166"/>
      <c r="AC904" s="166"/>
      <c r="AD904" s="164">
        <f>($L904*'Pivot Objective'!$C$9^5)*AB904*AC904</f>
        <v>0</v>
      </c>
      <c r="AE904" s="166"/>
      <c r="AF904" s="166">
        <v>8</v>
      </c>
      <c r="AG904" s="164">
        <f>($L904*'Pivot Objective'!$C$9^6)*AE904*AF904</f>
        <v>0</v>
      </c>
      <c r="AH904" s="166"/>
      <c r="AI904" s="166"/>
      <c r="AJ904" s="164">
        <f>($L904*'Pivot Objective'!$C$9^7)*AH904*AI904</f>
        <v>0</v>
      </c>
      <c r="AK904" s="185">
        <f t="shared" si="104"/>
        <v>0</v>
      </c>
      <c r="AL904" s="186">
        <f t="shared" si="105"/>
        <v>0</v>
      </c>
    </row>
    <row r="905" spans="1:38" customFormat="1" ht="57.6" x14ac:dyDescent="0.3">
      <c r="A905" s="140" t="s">
        <v>1445</v>
      </c>
      <c r="B905" s="140">
        <v>1</v>
      </c>
      <c r="C905" s="166" t="s">
        <v>836</v>
      </c>
      <c r="D905" s="140" t="str">
        <f t="shared" si="100"/>
        <v>6</v>
      </c>
      <c r="E905" s="166" t="s">
        <v>1136</v>
      </c>
      <c r="F905" s="140">
        <f t="shared" si="102"/>
        <v>1</v>
      </c>
      <c r="G905" s="140" t="str">
        <f t="shared" si="101"/>
        <v>1.6.1</v>
      </c>
      <c r="H905" s="166" t="s">
        <v>1710</v>
      </c>
      <c r="I905" s="166" t="s">
        <v>1138</v>
      </c>
      <c r="J905" s="166" t="s">
        <v>1334</v>
      </c>
      <c r="K905" s="166" t="s">
        <v>712</v>
      </c>
      <c r="L905" s="166">
        <v>285.60000000000002</v>
      </c>
      <c r="M905" s="166">
        <v>250</v>
      </c>
      <c r="N905" s="166">
        <v>6</v>
      </c>
      <c r="O905" s="164">
        <f t="shared" si="103"/>
        <v>428400</v>
      </c>
      <c r="P905" s="166"/>
      <c r="Q905" s="166"/>
      <c r="R905" s="164">
        <f>$L905*'Pivot Objective'!$C$9*P905*Q905</f>
        <v>0</v>
      </c>
      <c r="S905" s="166"/>
      <c r="T905" s="166"/>
      <c r="U905" s="164">
        <f>($L905*'Pivot Objective'!$C$9^2)*S905*T905</f>
        <v>0</v>
      </c>
      <c r="V905" s="166"/>
      <c r="W905" s="166"/>
      <c r="X905" s="164">
        <f>($L905*'Pivot Objective'!$C$9^3)*V905*W905</f>
        <v>0</v>
      </c>
      <c r="Y905" s="166"/>
      <c r="Z905" s="166"/>
      <c r="AA905" s="164">
        <f>($L905*'Pivot Objective'!$C$9^4)*Y905*Z905</f>
        <v>0</v>
      </c>
      <c r="AB905" s="166"/>
      <c r="AC905" s="166"/>
      <c r="AD905" s="164">
        <f>($L905*'Pivot Objective'!$C$9^5)*AB905*AC905</f>
        <v>0</v>
      </c>
      <c r="AE905" s="166">
        <v>250</v>
      </c>
      <c r="AF905" s="166">
        <v>6</v>
      </c>
      <c r="AG905" s="164">
        <f>($L905*'Pivot Objective'!$C$9^6)*AE905*AF905</f>
        <v>954875.95708604669</v>
      </c>
      <c r="AH905" s="166"/>
      <c r="AI905" s="166"/>
      <c r="AJ905" s="164">
        <f>($L905*'Pivot Objective'!$C$9^7)*AH905*AI905</f>
        <v>0</v>
      </c>
      <c r="AK905" s="185">
        <f t="shared" si="104"/>
        <v>1383275.9570860467</v>
      </c>
      <c r="AL905" s="186">
        <f t="shared" si="105"/>
        <v>1342.9863661029578</v>
      </c>
    </row>
    <row r="906" spans="1:38" customFormat="1" ht="57.6" x14ac:dyDescent="0.3">
      <c r="A906" s="140" t="s">
        <v>1445</v>
      </c>
      <c r="B906" s="140">
        <v>1</v>
      </c>
      <c r="C906" s="166" t="s">
        <v>836</v>
      </c>
      <c r="D906" s="140" t="str">
        <f t="shared" si="100"/>
        <v>6</v>
      </c>
      <c r="E906" s="166" t="s">
        <v>1136</v>
      </c>
      <c r="F906" s="140">
        <f t="shared" si="102"/>
        <v>1</v>
      </c>
      <c r="G906" s="140" t="str">
        <f t="shared" si="101"/>
        <v>1.6.1</v>
      </c>
      <c r="H906" s="166" t="s">
        <v>1710</v>
      </c>
      <c r="I906" s="166" t="s">
        <v>1138</v>
      </c>
      <c r="J906" s="166" t="s">
        <v>1334</v>
      </c>
      <c r="K906" s="166" t="s">
        <v>1336</v>
      </c>
      <c r="L906" s="166">
        <v>285.60000000000002</v>
      </c>
      <c r="M906" s="166">
        <v>1350</v>
      </c>
      <c r="N906" s="166">
        <v>2</v>
      </c>
      <c r="O906" s="164">
        <f t="shared" si="103"/>
        <v>771120.00000000012</v>
      </c>
      <c r="P906" s="166"/>
      <c r="Q906" s="166"/>
      <c r="R906" s="164">
        <f>$L906*'Pivot Objective'!$C$9*P906*Q906</f>
        <v>0</v>
      </c>
      <c r="S906" s="166"/>
      <c r="T906" s="166"/>
      <c r="U906" s="164">
        <f>($L906*'Pivot Objective'!$C$9^2)*S906*T906</f>
        <v>0</v>
      </c>
      <c r="V906" s="166"/>
      <c r="W906" s="166"/>
      <c r="X906" s="164">
        <f>($L906*'Pivot Objective'!$C$9^3)*V906*W906</f>
        <v>0</v>
      </c>
      <c r="Y906" s="166"/>
      <c r="Z906" s="166"/>
      <c r="AA906" s="164">
        <f>($L906*'Pivot Objective'!$C$9^4)*Y906*Z906</f>
        <v>0</v>
      </c>
      <c r="AB906" s="166"/>
      <c r="AC906" s="166"/>
      <c r="AD906" s="164">
        <f>($L906*'Pivot Objective'!$C$9^5)*AB906*AC906</f>
        <v>0</v>
      </c>
      <c r="AE906" s="166">
        <v>1350</v>
      </c>
      <c r="AF906" s="166">
        <v>2</v>
      </c>
      <c r="AG906" s="164">
        <f>($L906*'Pivot Objective'!$C$9^6)*AE906*AF906</f>
        <v>1718776.722754884</v>
      </c>
      <c r="AH906" s="166"/>
      <c r="AI906" s="166"/>
      <c r="AJ906" s="164">
        <f>($L906*'Pivot Objective'!$C$9^7)*AH906*AI906</f>
        <v>0</v>
      </c>
      <c r="AK906" s="185">
        <f t="shared" si="104"/>
        <v>2489896.722754884</v>
      </c>
      <c r="AL906" s="186">
        <f t="shared" si="105"/>
        <v>2417.3754589853243</v>
      </c>
    </row>
    <row r="907" spans="1:38" customFormat="1" ht="57.6" x14ac:dyDescent="0.3">
      <c r="A907" s="140" t="s">
        <v>1445</v>
      </c>
      <c r="B907" s="140">
        <v>1</v>
      </c>
      <c r="C907" s="166" t="s">
        <v>836</v>
      </c>
      <c r="D907" s="140" t="str">
        <f t="shared" si="100"/>
        <v>6</v>
      </c>
      <c r="E907" s="166" t="s">
        <v>1136</v>
      </c>
      <c r="F907" s="140">
        <f t="shared" si="102"/>
        <v>1</v>
      </c>
      <c r="G907" s="140" t="str">
        <f t="shared" si="101"/>
        <v>1.6.1</v>
      </c>
      <c r="H907" s="166" t="s">
        <v>1710</v>
      </c>
      <c r="I907" s="166" t="s">
        <v>1138</v>
      </c>
      <c r="J907" s="166" t="s">
        <v>1335</v>
      </c>
      <c r="K907" s="166" t="s">
        <v>709</v>
      </c>
      <c r="L907" s="176">
        <v>35000</v>
      </c>
      <c r="M907" s="166">
        <v>15</v>
      </c>
      <c r="N907" s="166">
        <v>2</v>
      </c>
      <c r="O907" s="164">
        <f t="shared" si="103"/>
        <v>1050000</v>
      </c>
      <c r="P907" s="166"/>
      <c r="Q907" s="166"/>
      <c r="R907" s="164">
        <f>$L907*'Pivot Objective'!$C$9*P907*Q907</f>
        <v>0</v>
      </c>
      <c r="S907" s="166"/>
      <c r="T907" s="166"/>
      <c r="U907" s="164">
        <f>($L907*'Pivot Objective'!$C$9^2)*S907*T907</f>
        <v>0</v>
      </c>
      <c r="V907" s="166"/>
      <c r="W907" s="166"/>
      <c r="X907" s="164">
        <f>($L907*'Pivot Objective'!$C$9^3)*V907*W907</f>
        <v>0</v>
      </c>
      <c r="Y907" s="166"/>
      <c r="Z907" s="166"/>
      <c r="AA907" s="164">
        <f>($L907*'Pivot Objective'!$C$9^4)*Y907*Z907</f>
        <v>0</v>
      </c>
      <c r="AB907" s="166"/>
      <c r="AC907" s="166"/>
      <c r="AD907" s="164">
        <f>($L907*'Pivot Objective'!$C$9^5)*AB907*AC907</f>
        <v>0</v>
      </c>
      <c r="AE907" s="166">
        <v>15</v>
      </c>
      <c r="AF907" s="166">
        <v>2</v>
      </c>
      <c r="AG907" s="164">
        <f>($L907*'Pivot Objective'!$C$9^6)*AE907*AF907</f>
        <v>2340382.2477599182</v>
      </c>
      <c r="AH907" s="166"/>
      <c r="AI907" s="166"/>
      <c r="AJ907" s="164">
        <f>($L907*'Pivot Objective'!$C$9^7)*AH907*AI907</f>
        <v>0</v>
      </c>
      <c r="AK907" s="185">
        <f t="shared" si="104"/>
        <v>3390382.2477599182</v>
      </c>
      <c r="AL907" s="186">
        <f t="shared" si="105"/>
        <v>3291.6332502523478</v>
      </c>
    </row>
    <row r="908" spans="1:38" customFormat="1" ht="57.6" x14ac:dyDescent="0.3">
      <c r="A908" s="140" t="s">
        <v>1445</v>
      </c>
      <c r="B908" s="140">
        <v>1</v>
      </c>
      <c r="C908" s="166" t="s">
        <v>836</v>
      </c>
      <c r="D908" s="140" t="str">
        <f t="shared" si="100"/>
        <v>6</v>
      </c>
      <c r="E908" s="166" t="s">
        <v>1136</v>
      </c>
      <c r="F908" s="140">
        <f t="shared" si="102"/>
        <v>1</v>
      </c>
      <c r="G908" s="140" t="str">
        <f t="shared" si="101"/>
        <v>1.6.1</v>
      </c>
      <c r="H908" s="166" t="s">
        <v>1710</v>
      </c>
      <c r="I908" s="166" t="s">
        <v>1138</v>
      </c>
      <c r="J908" s="166" t="s">
        <v>1335</v>
      </c>
      <c r="K908" s="166" t="s">
        <v>716</v>
      </c>
      <c r="L908" s="166">
        <v>39000</v>
      </c>
      <c r="M908" s="166">
        <v>15</v>
      </c>
      <c r="N908" s="166">
        <v>3</v>
      </c>
      <c r="O908" s="164">
        <f t="shared" si="103"/>
        <v>1755000</v>
      </c>
      <c r="P908" s="166"/>
      <c r="Q908" s="166"/>
      <c r="R908" s="164">
        <f>$L908*'Pivot Objective'!$C$9*P908*Q908</f>
        <v>0</v>
      </c>
      <c r="S908" s="166"/>
      <c r="T908" s="166"/>
      <c r="U908" s="164">
        <f>($L908*'Pivot Objective'!$C$9^2)*S908*T908</f>
        <v>0</v>
      </c>
      <c r="V908" s="166"/>
      <c r="W908" s="166"/>
      <c r="X908" s="164">
        <f>($L908*'Pivot Objective'!$C$9^3)*V908*W908</f>
        <v>0</v>
      </c>
      <c r="Y908" s="166"/>
      <c r="Z908" s="166"/>
      <c r="AA908" s="164">
        <f>($L908*'Pivot Objective'!$C$9^4)*Y908*Z908</f>
        <v>0</v>
      </c>
      <c r="AB908" s="166"/>
      <c r="AC908" s="166"/>
      <c r="AD908" s="164">
        <f>($L908*'Pivot Objective'!$C$9^5)*AB908*AC908</f>
        <v>0</v>
      </c>
      <c r="AE908" s="166">
        <v>15</v>
      </c>
      <c r="AF908" s="166">
        <v>3</v>
      </c>
      <c r="AG908" s="164">
        <f>($L908*'Pivot Objective'!$C$9^6)*AE908*AF908</f>
        <v>3911781.756970149</v>
      </c>
      <c r="AH908" s="166"/>
      <c r="AI908" s="166"/>
      <c r="AJ908" s="164">
        <f>($L908*'Pivot Objective'!$C$9^7)*AH908*AI908</f>
        <v>0</v>
      </c>
      <c r="AK908" s="185">
        <f t="shared" si="104"/>
        <v>5666781.7569701485</v>
      </c>
      <c r="AL908" s="186">
        <f t="shared" si="105"/>
        <v>5501.7298611360666</v>
      </c>
    </row>
    <row r="909" spans="1:38" customFormat="1" ht="57.6" x14ac:dyDescent="0.3">
      <c r="A909" s="140" t="s">
        <v>1445</v>
      </c>
      <c r="B909" s="140">
        <v>1</v>
      </c>
      <c r="C909" s="166" t="s">
        <v>836</v>
      </c>
      <c r="D909" s="140" t="str">
        <f t="shared" si="100"/>
        <v>6</v>
      </c>
      <c r="E909" s="166" t="s">
        <v>1136</v>
      </c>
      <c r="F909" s="140">
        <f t="shared" si="102"/>
        <v>1</v>
      </c>
      <c r="G909" s="140" t="str">
        <f t="shared" si="101"/>
        <v>1.6.1</v>
      </c>
      <c r="H909" s="166" t="s">
        <v>1710</v>
      </c>
      <c r="I909" s="166" t="s">
        <v>1138</v>
      </c>
      <c r="J909" s="166" t="s">
        <v>1335</v>
      </c>
      <c r="K909" s="166" t="s">
        <v>712</v>
      </c>
      <c r="L909" s="166">
        <v>285.60000000000002</v>
      </c>
      <c r="M909" s="166">
        <v>250</v>
      </c>
      <c r="N909" s="166">
        <v>2</v>
      </c>
      <c r="O909" s="164">
        <f t="shared" si="103"/>
        <v>142800</v>
      </c>
      <c r="P909" s="166"/>
      <c r="Q909" s="166"/>
      <c r="R909" s="164">
        <f>$L909*'Pivot Objective'!$C$9*P909*Q909</f>
        <v>0</v>
      </c>
      <c r="S909" s="166"/>
      <c r="T909" s="166"/>
      <c r="U909" s="164">
        <f>($L909*'Pivot Objective'!$C$9^2)*S909*T909</f>
        <v>0</v>
      </c>
      <c r="V909" s="166"/>
      <c r="W909" s="166"/>
      <c r="X909" s="164">
        <f>($L909*'Pivot Objective'!$C$9^3)*V909*W909</f>
        <v>0</v>
      </c>
      <c r="Y909" s="166"/>
      <c r="Z909" s="166"/>
      <c r="AA909" s="164">
        <f>($L909*'Pivot Objective'!$C$9^4)*Y909*Z909</f>
        <v>0</v>
      </c>
      <c r="AB909" s="166"/>
      <c r="AC909" s="166"/>
      <c r="AD909" s="164">
        <f>($L909*'Pivot Objective'!$C$9^5)*AB909*AC909</f>
        <v>0</v>
      </c>
      <c r="AE909" s="166">
        <v>250</v>
      </c>
      <c r="AF909" s="166">
        <v>2</v>
      </c>
      <c r="AG909" s="164">
        <f>($L909*'Pivot Objective'!$C$9^6)*AE909*AF909</f>
        <v>318291.98569534888</v>
      </c>
      <c r="AH909" s="166"/>
      <c r="AI909" s="166"/>
      <c r="AJ909" s="164">
        <f>($L909*'Pivot Objective'!$C$9^7)*AH909*AI909</f>
        <v>0</v>
      </c>
      <c r="AK909" s="185">
        <f t="shared" si="104"/>
        <v>461091.98569534888</v>
      </c>
      <c r="AL909" s="186">
        <f t="shared" si="105"/>
        <v>447.66212203431928</v>
      </c>
    </row>
    <row r="910" spans="1:38" customFormat="1" ht="57.6" x14ac:dyDescent="0.3">
      <c r="A910" s="140" t="s">
        <v>1445</v>
      </c>
      <c r="B910" s="140">
        <v>1</v>
      </c>
      <c r="C910" s="166" t="s">
        <v>836</v>
      </c>
      <c r="D910" s="140" t="str">
        <f t="shared" si="100"/>
        <v>6</v>
      </c>
      <c r="E910" s="166" t="s">
        <v>1136</v>
      </c>
      <c r="F910" s="140">
        <f t="shared" si="102"/>
        <v>1</v>
      </c>
      <c r="G910" s="140" t="str">
        <f t="shared" si="101"/>
        <v>1.6.1</v>
      </c>
      <c r="H910" s="166" t="s">
        <v>1710</v>
      </c>
      <c r="I910" s="166" t="s">
        <v>1138</v>
      </c>
      <c r="J910" s="166" t="s">
        <v>1335</v>
      </c>
      <c r="K910" s="166" t="s">
        <v>1336</v>
      </c>
      <c r="L910" s="166">
        <v>285.60000000000002</v>
      </c>
      <c r="M910" s="166">
        <v>1350</v>
      </c>
      <c r="N910" s="166">
        <v>1</v>
      </c>
      <c r="O910" s="164">
        <f t="shared" si="103"/>
        <v>385560.00000000006</v>
      </c>
      <c r="P910" s="166"/>
      <c r="Q910" s="166"/>
      <c r="R910" s="164">
        <f>$L910*'Pivot Objective'!$C$9*P910*Q910</f>
        <v>0</v>
      </c>
      <c r="S910" s="166"/>
      <c r="T910" s="166"/>
      <c r="U910" s="164">
        <f>($L910*'Pivot Objective'!$C$9^2)*S910*T910</f>
        <v>0</v>
      </c>
      <c r="V910" s="166"/>
      <c r="W910" s="166"/>
      <c r="X910" s="164">
        <f>($L910*'Pivot Objective'!$C$9^3)*V910*W910</f>
        <v>0</v>
      </c>
      <c r="Y910" s="166"/>
      <c r="Z910" s="166"/>
      <c r="AA910" s="164">
        <f>($L910*'Pivot Objective'!$C$9^4)*Y910*Z910</f>
        <v>0</v>
      </c>
      <c r="AB910" s="166"/>
      <c r="AC910" s="166"/>
      <c r="AD910" s="164">
        <f>($L910*'Pivot Objective'!$C$9^5)*AB910*AC910</f>
        <v>0</v>
      </c>
      <c r="AE910" s="166">
        <v>1350</v>
      </c>
      <c r="AF910" s="166">
        <v>1</v>
      </c>
      <c r="AG910" s="164">
        <f>($L910*'Pivot Objective'!$C$9^6)*AE910*AF910</f>
        <v>859388.36137744202</v>
      </c>
      <c r="AH910" s="166"/>
      <c r="AI910" s="166"/>
      <c r="AJ910" s="164">
        <f>($L910*'Pivot Objective'!$C$9^7)*AH910*AI910</f>
        <v>0</v>
      </c>
      <c r="AK910" s="185">
        <f t="shared" si="104"/>
        <v>1244948.361377442</v>
      </c>
      <c r="AL910" s="186">
        <f t="shared" si="105"/>
        <v>1208.6877294926621</v>
      </c>
    </row>
    <row r="911" spans="1:38" customFormat="1" ht="57.6" x14ac:dyDescent="0.3">
      <c r="A911" s="140" t="s">
        <v>1445</v>
      </c>
      <c r="B911" s="140">
        <v>1</v>
      </c>
      <c r="C911" s="166" t="s">
        <v>836</v>
      </c>
      <c r="D911" s="140" t="str">
        <f t="shared" si="100"/>
        <v>6</v>
      </c>
      <c r="E911" s="166" t="s">
        <v>1136</v>
      </c>
      <c r="F911" s="140">
        <f t="shared" si="102"/>
        <v>1</v>
      </c>
      <c r="G911" s="140" t="str">
        <f t="shared" si="101"/>
        <v>1.6.1</v>
      </c>
      <c r="H911" s="166" t="s">
        <v>1710</v>
      </c>
      <c r="I911" s="166" t="s">
        <v>1138</v>
      </c>
      <c r="J911" s="166" t="s">
        <v>1337</v>
      </c>
      <c r="K911" s="166" t="s">
        <v>1338</v>
      </c>
      <c r="L911" s="176">
        <v>0</v>
      </c>
      <c r="M911" s="166">
        <v>12</v>
      </c>
      <c r="N911" s="166">
        <v>1</v>
      </c>
      <c r="O911" s="164">
        <f t="shared" si="103"/>
        <v>0</v>
      </c>
      <c r="P911" s="166"/>
      <c r="Q911" s="166"/>
      <c r="R911" s="164">
        <f>$L911*'Pivot Objective'!$C$9*P911*Q911</f>
        <v>0</v>
      </c>
      <c r="S911" s="166"/>
      <c r="T911" s="166"/>
      <c r="U911" s="164">
        <f>($L911*'Pivot Objective'!$C$9^2)*S911*T911</f>
        <v>0</v>
      </c>
      <c r="V911" s="166"/>
      <c r="W911" s="166"/>
      <c r="X911" s="164">
        <f>($L911*'Pivot Objective'!$C$9^3)*V911*W911</f>
        <v>0</v>
      </c>
      <c r="Y911" s="166"/>
      <c r="Z911" s="166"/>
      <c r="AA911" s="164">
        <f>($L911*'Pivot Objective'!$C$9^4)*Y911*Z911</f>
        <v>0</v>
      </c>
      <c r="AB911" s="166"/>
      <c r="AC911" s="166"/>
      <c r="AD911" s="164">
        <f>($L911*'Pivot Objective'!$C$9^5)*AB911*AC911</f>
        <v>0</v>
      </c>
      <c r="AE911" s="166">
        <v>12</v>
      </c>
      <c r="AF911" s="166">
        <v>1</v>
      </c>
      <c r="AG911" s="164">
        <f>($L911*'Pivot Objective'!$C$9^6)*AE911*AF911</f>
        <v>0</v>
      </c>
      <c r="AH911" s="166"/>
      <c r="AI911" s="166"/>
      <c r="AJ911" s="164">
        <f>($L911*'Pivot Objective'!$C$9^7)*AH911*AI911</f>
        <v>0</v>
      </c>
      <c r="AK911" s="185">
        <f t="shared" si="104"/>
        <v>0</v>
      </c>
      <c r="AL911" s="186">
        <f t="shared" si="105"/>
        <v>0</v>
      </c>
    </row>
    <row r="912" spans="1:38" customFormat="1" ht="57.6" x14ac:dyDescent="0.3">
      <c r="A912" s="140" t="s">
        <v>1445</v>
      </c>
      <c r="B912" s="140">
        <v>1</v>
      </c>
      <c r="C912" s="166" t="s">
        <v>836</v>
      </c>
      <c r="D912" s="140" t="str">
        <f t="shared" si="100"/>
        <v>6</v>
      </c>
      <c r="E912" s="166" t="s">
        <v>1136</v>
      </c>
      <c r="F912" s="140">
        <f t="shared" si="102"/>
        <v>1</v>
      </c>
      <c r="G912" s="140" t="str">
        <f t="shared" si="101"/>
        <v>1.6.1</v>
      </c>
      <c r="H912" s="166" t="s">
        <v>1710</v>
      </c>
      <c r="I912" s="166" t="s">
        <v>1138</v>
      </c>
      <c r="J912" s="166" t="s">
        <v>1337</v>
      </c>
      <c r="K912" s="166" t="s">
        <v>713</v>
      </c>
      <c r="L912" s="166">
        <v>45000</v>
      </c>
      <c r="M912" s="166">
        <v>12</v>
      </c>
      <c r="N912" s="166">
        <v>2</v>
      </c>
      <c r="O912" s="164">
        <f t="shared" si="103"/>
        <v>1080000</v>
      </c>
      <c r="P912" s="166"/>
      <c r="Q912" s="166"/>
      <c r="R912" s="164">
        <f>$L912*'Pivot Objective'!$C$9*P912*Q912</f>
        <v>0</v>
      </c>
      <c r="S912" s="166"/>
      <c r="T912" s="166"/>
      <c r="U912" s="164">
        <f>($L912*'Pivot Objective'!$C$9^2)*S912*T912</f>
        <v>0</v>
      </c>
      <c r="V912" s="166"/>
      <c r="W912" s="166"/>
      <c r="X912" s="164">
        <f>($L912*'Pivot Objective'!$C$9^3)*V912*W912</f>
        <v>0</v>
      </c>
      <c r="Y912" s="166"/>
      <c r="Z912" s="166"/>
      <c r="AA912" s="164">
        <f>($L912*'Pivot Objective'!$C$9^4)*Y912*Z912</f>
        <v>0</v>
      </c>
      <c r="AB912" s="166"/>
      <c r="AC912" s="166"/>
      <c r="AD912" s="164">
        <f>($L912*'Pivot Objective'!$C$9^5)*AB912*AC912</f>
        <v>0</v>
      </c>
      <c r="AE912" s="166">
        <v>12</v>
      </c>
      <c r="AF912" s="166">
        <v>2</v>
      </c>
      <c r="AG912" s="164">
        <f>($L912*'Pivot Objective'!$C$9^6)*AE912*AF912</f>
        <v>2407250.3119816305</v>
      </c>
      <c r="AH912" s="166"/>
      <c r="AI912" s="166"/>
      <c r="AJ912" s="164">
        <f>($L912*'Pivot Objective'!$C$9^7)*AH912*AI912</f>
        <v>0</v>
      </c>
      <c r="AK912" s="185">
        <f t="shared" si="104"/>
        <v>3487250.3119816305</v>
      </c>
      <c r="AL912" s="186">
        <f t="shared" si="105"/>
        <v>3385.6799145452724</v>
      </c>
    </row>
    <row r="913" spans="1:38" customFormat="1" ht="57.6" x14ac:dyDescent="0.3">
      <c r="A913" s="140" t="s">
        <v>1445</v>
      </c>
      <c r="B913" s="140">
        <v>1</v>
      </c>
      <c r="C913" s="166" t="s">
        <v>836</v>
      </c>
      <c r="D913" s="140" t="str">
        <f t="shared" si="100"/>
        <v>6</v>
      </c>
      <c r="E913" s="166" t="s">
        <v>1136</v>
      </c>
      <c r="F913" s="140">
        <f t="shared" si="102"/>
        <v>1</v>
      </c>
      <c r="G913" s="140" t="str">
        <f t="shared" si="101"/>
        <v>1.6.1</v>
      </c>
      <c r="H913" s="166" t="s">
        <v>1710</v>
      </c>
      <c r="I913" s="166" t="s">
        <v>1138</v>
      </c>
      <c r="J913" s="166" t="s">
        <v>1337</v>
      </c>
      <c r="K913" s="166" t="s">
        <v>712</v>
      </c>
      <c r="L913" s="166">
        <v>285.60000000000002</v>
      </c>
      <c r="M913" s="166">
        <v>250</v>
      </c>
      <c r="N913" s="166">
        <v>2</v>
      </c>
      <c r="O913" s="164">
        <f t="shared" si="103"/>
        <v>142800</v>
      </c>
      <c r="P913" s="166"/>
      <c r="Q913" s="166"/>
      <c r="R913" s="164">
        <f>$L913*'Pivot Objective'!$C$9*P913*Q913</f>
        <v>0</v>
      </c>
      <c r="S913" s="166"/>
      <c r="T913" s="166"/>
      <c r="U913" s="164">
        <f>($L913*'Pivot Objective'!$C$9^2)*S913*T913</f>
        <v>0</v>
      </c>
      <c r="V913" s="166"/>
      <c r="W913" s="166"/>
      <c r="X913" s="164">
        <f>($L913*'Pivot Objective'!$C$9^3)*V913*W913</f>
        <v>0</v>
      </c>
      <c r="Y913" s="166"/>
      <c r="Z913" s="166"/>
      <c r="AA913" s="164">
        <f>($L913*'Pivot Objective'!$C$9^4)*Y913*Z913</f>
        <v>0</v>
      </c>
      <c r="AB913" s="166"/>
      <c r="AC913" s="166"/>
      <c r="AD913" s="164">
        <f>($L913*'Pivot Objective'!$C$9^5)*AB913*AC913</f>
        <v>0</v>
      </c>
      <c r="AE913" s="166">
        <v>250</v>
      </c>
      <c r="AF913" s="166">
        <v>2</v>
      </c>
      <c r="AG913" s="164">
        <f>($L913*'Pivot Objective'!$C$9^6)*AE913*AF913</f>
        <v>318291.98569534888</v>
      </c>
      <c r="AH913" s="166"/>
      <c r="AI913" s="166"/>
      <c r="AJ913" s="164">
        <f>($L913*'Pivot Objective'!$C$9^7)*AH913*AI913</f>
        <v>0</v>
      </c>
      <c r="AK913" s="185">
        <f t="shared" si="104"/>
        <v>461091.98569534888</v>
      </c>
      <c r="AL913" s="186">
        <f t="shared" si="105"/>
        <v>447.66212203431928</v>
      </c>
    </row>
    <row r="914" spans="1:38" customFormat="1" ht="57.6" x14ac:dyDescent="0.3">
      <c r="A914" s="140" t="s">
        <v>1445</v>
      </c>
      <c r="B914" s="140">
        <v>1</v>
      </c>
      <c r="C914" s="166" t="s">
        <v>836</v>
      </c>
      <c r="D914" s="140" t="str">
        <f t="shared" si="100"/>
        <v>6</v>
      </c>
      <c r="E914" s="166" t="s">
        <v>1136</v>
      </c>
      <c r="F914" s="140">
        <f t="shared" si="102"/>
        <v>1</v>
      </c>
      <c r="G914" s="140" t="str">
        <f t="shared" si="101"/>
        <v>1.6.1</v>
      </c>
      <c r="H914" s="166" t="s">
        <v>1710</v>
      </c>
      <c r="I914" s="166" t="s">
        <v>1138</v>
      </c>
      <c r="J914" s="166" t="s">
        <v>1337</v>
      </c>
      <c r="K914" s="166" t="s">
        <v>1336</v>
      </c>
      <c r="L914" s="166">
        <v>285.60000000000002</v>
      </c>
      <c r="M914" s="166">
        <v>1350</v>
      </c>
      <c r="N914" s="166">
        <v>1</v>
      </c>
      <c r="O914" s="164">
        <f t="shared" si="103"/>
        <v>385560.00000000006</v>
      </c>
      <c r="P914" s="166"/>
      <c r="Q914" s="166"/>
      <c r="R914" s="164">
        <f>$L914*'Pivot Objective'!$C$9*P914*Q914</f>
        <v>0</v>
      </c>
      <c r="S914" s="166"/>
      <c r="T914" s="166"/>
      <c r="U914" s="164">
        <f>($L914*'Pivot Objective'!$C$9^2)*S914*T914</f>
        <v>0</v>
      </c>
      <c r="V914" s="166"/>
      <c r="W914" s="166"/>
      <c r="X914" s="164">
        <f>($L914*'Pivot Objective'!$C$9^3)*V914*W914</f>
        <v>0</v>
      </c>
      <c r="Y914" s="166"/>
      <c r="Z914" s="166"/>
      <c r="AA914" s="164">
        <f>($L914*'Pivot Objective'!$C$9^4)*Y914*Z914</f>
        <v>0</v>
      </c>
      <c r="AB914" s="166"/>
      <c r="AC914" s="166"/>
      <c r="AD914" s="164">
        <f>($L914*'Pivot Objective'!$C$9^5)*AB914*AC914</f>
        <v>0</v>
      </c>
      <c r="AE914" s="166">
        <v>1350</v>
      </c>
      <c r="AF914" s="166">
        <v>1</v>
      </c>
      <c r="AG914" s="164">
        <f>($L914*'Pivot Objective'!$C$9^6)*AE914*AF914</f>
        <v>859388.36137744202</v>
      </c>
      <c r="AH914" s="166"/>
      <c r="AI914" s="166"/>
      <c r="AJ914" s="164">
        <f>($L914*'Pivot Objective'!$C$9^7)*AH914*AI914</f>
        <v>0</v>
      </c>
      <c r="AK914" s="185">
        <f t="shared" si="104"/>
        <v>1244948.361377442</v>
      </c>
      <c r="AL914" s="186">
        <f t="shared" si="105"/>
        <v>1208.6877294926621</v>
      </c>
    </row>
    <row r="915" spans="1:38" customFormat="1" ht="57.6" x14ac:dyDescent="0.3">
      <c r="A915" s="140" t="s">
        <v>1445</v>
      </c>
      <c r="B915" s="140">
        <v>1</v>
      </c>
      <c r="C915" s="166" t="s">
        <v>836</v>
      </c>
      <c r="D915" s="140" t="str">
        <f t="shared" si="100"/>
        <v>6</v>
      </c>
      <c r="E915" s="166" t="s">
        <v>1136</v>
      </c>
      <c r="F915" s="140">
        <f t="shared" si="102"/>
        <v>1</v>
      </c>
      <c r="G915" s="140" t="str">
        <f t="shared" si="101"/>
        <v>1.6.1</v>
      </c>
      <c r="H915" s="166" t="s">
        <v>1710</v>
      </c>
      <c r="I915" s="166" t="s">
        <v>1138</v>
      </c>
      <c r="J915" s="166" t="s">
        <v>1339</v>
      </c>
      <c r="K915" s="166" t="s">
        <v>709</v>
      </c>
      <c r="L915" s="176">
        <v>35000</v>
      </c>
      <c r="M915" s="166">
        <v>20</v>
      </c>
      <c r="N915" s="166">
        <v>2</v>
      </c>
      <c r="O915" s="164">
        <f t="shared" si="103"/>
        <v>1400000</v>
      </c>
      <c r="P915" s="166"/>
      <c r="Q915" s="166"/>
      <c r="R915" s="164">
        <f>$L915*'Pivot Objective'!$C$9*P915*Q915</f>
        <v>0</v>
      </c>
      <c r="S915" s="166"/>
      <c r="T915" s="166"/>
      <c r="U915" s="164">
        <f>($L915*'Pivot Objective'!$C$9^2)*S915*T915</f>
        <v>0</v>
      </c>
      <c r="V915" s="166"/>
      <c r="W915" s="166"/>
      <c r="X915" s="164">
        <f>($L915*'Pivot Objective'!$C$9^3)*V915*W915</f>
        <v>0</v>
      </c>
      <c r="Y915" s="166"/>
      <c r="Z915" s="166"/>
      <c r="AA915" s="164">
        <f>($L915*'Pivot Objective'!$C$9^4)*Y915*Z915</f>
        <v>0</v>
      </c>
      <c r="AB915" s="166"/>
      <c r="AC915" s="166"/>
      <c r="AD915" s="164">
        <f>($L915*'Pivot Objective'!$C$9^5)*AB915*AC915</f>
        <v>0</v>
      </c>
      <c r="AE915" s="166">
        <v>20</v>
      </c>
      <c r="AF915" s="166">
        <v>2</v>
      </c>
      <c r="AG915" s="164">
        <f>($L915*'Pivot Objective'!$C$9^6)*AE915*AF915</f>
        <v>3120509.6636798908</v>
      </c>
      <c r="AH915" s="166"/>
      <c r="AI915" s="166"/>
      <c r="AJ915" s="164">
        <f>($L915*'Pivot Objective'!$C$9^7)*AH915*AI915</f>
        <v>0</v>
      </c>
      <c r="AK915" s="185">
        <f t="shared" si="104"/>
        <v>4520509.6636798903</v>
      </c>
      <c r="AL915" s="186">
        <f t="shared" si="105"/>
        <v>4388.8443336697965</v>
      </c>
    </row>
    <row r="916" spans="1:38" customFormat="1" ht="57.6" x14ac:dyDescent="0.3">
      <c r="A916" s="140" t="s">
        <v>1445</v>
      </c>
      <c r="B916" s="140">
        <v>1</v>
      </c>
      <c r="C916" s="166" t="s">
        <v>836</v>
      </c>
      <c r="D916" s="140" t="str">
        <f t="shared" si="100"/>
        <v>6</v>
      </c>
      <c r="E916" s="166" t="s">
        <v>1136</v>
      </c>
      <c r="F916" s="140">
        <f t="shared" si="102"/>
        <v>1</v>
      </c>
      <c r="G916" s="140" t="str">
        <f t="shared" si="101"/>
        <v>1.6.1</v>
      </c>
      <c r="H916" s="166" t="s">
        <v>1710</v>
      </c>
      <c r="I916" s="166" t="s">
        <v>1138</v>
      </c>
      <c r="J916" s="166" t="s">
        <v>1339</v>
      </c>
      <c r="K916" s="166" t="s">
        <v>716</v>
      </c>
      <c r="L916" s="176">
        <v>39000</v>
      </c>
      <c r="M916" s="166">
        <v>20</v>
      </c>
      <c r="N916" s="166">
        <v>3</v>
      </c>
      <c r="O916" s="164">
        <f t="shared" si="103"/>
        <v>2340000</v>
      </c>
      <c r="P916" s="166"/>
      <c r="Q916" s="166"/>
      <c r="R916" s="164">
        <f>$L916*'Pivot Objective'!$C$9*P916*Q916</f>
        <v>0</v>
      </c>
      <c r="S916" s="166"/>
      <c r="T916" s="166"/>
      <c r="U916" s="164">
        <f>($L916*'Pivot Objective'!$C$9^2)*S916*T916</f>
        <v>0</v>
      </c>
      <c r="V916" s="166"/>
      <c r="W916" s="166"/>
      <c r="X916" s="164">
        <f>($L916*'Pivot Objective'!$C$9^3)*V916*W916</f>
        <v>0</v>
      </c>
      <c r="Y916" s="166"/>
      <c r="Z916" s="166"/>
      <c r="AA916" s="164">
        <f>($L916*'Pivot Objective'!$C$9^4)*Y916*Z916</f>
        <v>0</v>
      </c>
      <c r="AB916" s="166"/>
      <c r="AC916" s="166"/>
      <c r="AD916" s="164">
        <f>($L916*'Pivot Objective'!$C$9^5)*AB916*AC916</f>
        <v>0</v>
      </c>
      <c r="AE916" s="166">
        <v>20</v>
      </c>
      <c r="AF916" s="166">
        <v>3</v>
      </c>
      <c r="AG916" s="164">
        <f>($L916*'Pivot Objective'!$C$9^6)*AE916*AF916</f>
        <v>5215709.009293532</v>
      </c>
      <c r="AH916" s="166"/>
      <c r="AI916" s="166"/>
      <c r="AJ916" s="164">
        <f>($L916*'Pivot Objective'!$C$9^7)*AH916*AI916</f>
        <v>0</v>
      </c>
      <c r="AK916" s="185">
        <f t="shared" si="104"/>
        <v>7555709.009293532</v>
      </c>
      <c r="AL916" s="186">
        <f t="shared" si="105"/>
        <v>7335.6398148480894</v>
      </c>
    </row>
    <row r="917" spans="1:38" customFormat="1" ht="57.6" x14ac:dyDescent="0.3">
      <c r="A917" s="140" t="s">
        <v>1445</v>
      </c>
      <c r="B917" s="140">
        <v>1</v>
      </c>
      <c r="C917" s="166" t="s">
        <v>836</v>
      </c>
      <c r="D917" s="140" t="str">
        <f t="shared" si="100"/>
        <v>6</v>
      </c>
      <c r="E917" s="166" t="s">
        <v>1136</v>
      </c>
      <c r="F917" s="140">
        <f t="shared" si="102"/>
        <v>1</v>
      </c>
      <c r="G917" s="140" t="str">
        <f t="shared" si="101"/>
        <v>1.6.1</v>
      </c>
      <c r="H917" s="166" t="s">
        <v>1710</v>
      </c>
      <c r="I917" s="166" t="s">
        <v>1138</v>
      </c>
      <c r="J917" s="166" t="s">
        <v>1339</v>
      </c>
      <c r="K917" s="166" t="s">
        <v>712</v>
      </c>
      <c r="L917" s="166">
        <v>285.60000000000002</v>
      </c>
      <c r="M917" s="166">
        <v>250</v>
      </c>
      <c r="N917" s="166">
        <v>2</v>
      </c>
      <c r="O917" s="164">
        <f t="shared" si="103"/>
        <v>142800</v>
      </c>
      <c r="P917" s="166"/>
      <c r="Q917" s="166"/>
      <c r="R917" s="164">
        <f>$L917*'Pivot Objective'!$C$9*P917*Q917</f>
        <v>0</v>
      </c>
      <c r="S917" s="166"/>
      <c r="T917" s="166"/>
      <c r="U917" s="164">
        <f>($L917*'Pivot Objective'!$C$9^2)*S917*T917</f>
        <v>0</v>
      </c>
      <c r="V917" s="166"/>
      <c r="W917" s="166"/>
      <c r="X917" s="164">
        <f>($L917*'Pivot Objective'!$C$9^3)*V917*W917</f>
        <v>0</v>
      </c>
      <c r="Y917" s="166"/>
      <c r="Z917" s="166"/>
      <c r="AA917" s="164">
        <f>($L917*'Pivot Objective'!$C$9^4)*Y917*Z917</f>
        <v>0</v>
      </c>
      <c r="AB917" s="166"/>
      <c r="AC917" s="166"/>
      <c r="AD917" s="164">
        <f>($L917*'Pivot Objective'!$C$9^5)*AB917*AC917</f>
        <v>0</v>
      </c>
      <c r="AE917" s="166">
        <v>250</v>
      </c>
      <c r="AF917" s="166">
        <v>2</v>
      </c>
      <c r="AG917" s="164">
        <f>($L917*'Pivot Objective'!$C$9^6)*AE917*AF917</f>
        <v>318291.98569534888</v>
      </c>
      <c r="AH917" s="166"/>
      <c r="AI917" s="166"/>
      <c r="AJ917" s="164">
        <f>($L917*'Pivot Objective'!$C$9^7)*AH917*AI917</f>
        <v>0</v>
      </c>
      <c r="AK917" s="185">
        <f t="shared" si="104"/>
        <v>461091.98569534888</v>
      </c>
      <c r="AL917" s="186">
        <f t="shared" si="105"/>
        <v>447.66212203431928</v>
      </c>
    </row>
    <row r="918" spans="1:38" customFormat="1" ht="57.6" x14ac:dyDescent="0.3">
      <c r="A918" s="140" t="s">
        <v>1445</v>
      </c>
      <c r="B918" s="140">
        <v>1</v>
      </c>
      <c r="C918" s="166" t="s">
        <v>836</v>
      </c>
      <c r="D918" s="140" t="str">
        <f t="shared" si="100"/>
        <v>6</v>
      </c>
      <c r="E918" s="166" t="s">
        <v>1136</v>
      </c>
      <c r="F918" s="140">
        <f t="shared" si="102"/>
        <v>1</v>
      </c>
      <c r="G918" s="140" t="str">
        <f t="shared" si="101"/>
        <v>1.6.1</v>
      </c>
      <c r="H918" s="166" t="s">
        <v>1710</v>
      </c>
      <c r="I918" s="166" t="s">
        <v>1138</v>
      </c>
      <c r="J918" s="166" t="s">
        <v>1339</v>
      </c>
      <c r="K918" s="166" t="s">
        <v>1336</v>
      </c>
      <c r="L918" s="166">
        <v>285.60000000000002</v>
      </c>
      <c r="M918" s="166">
        <v>1350</v>
      </c>
      <c r="N918" s="166">
        <v>1</v>
      </c>
      <c r="O918" s="164">
        <f t="shared" si="103"/>
        <v>385560.00000000006</v>
      </c>
      <c r="P918" s="166"/>
      <c r="Q918" s="166"/>
      <c r="R918" s="164">
        <f>$L918*'Pivot Objective'!$C$9*P918*Q918</f>
        <v>0</v>
      </c>
      <c r="S918" s="166"/>
      <c r="T918" s="166"/>
      <c r="U918" s="164">
        <f>($L918*'Pivot Objective'!$C$9^2)*S918*T918</f>
        <v>0</v>
      </c>
      <c r="V918" s="166"/>
      <c r="W918" s="166"/>
      <c r="X918" s="164">
        <f>($L918*'Pivot Objective'!$C$9^3)*V918*W918</f>
        <v>0</v>
      </c>
      <c r="Y918" s="166"/>
      <c r="Z918" s="166"/>
      <c r="AA918" s="164">
        <f>($L918*'Pivot Objective'!$C$9^4)*Y918*Z918</f>
        <v>0</v>
      </c>
      <c r="AB918" s="166"/>
      <c r="AC918" s="166"/>
      <c r="AD918" s="164">
        <f>($L918*'Pivot Objective'!$C$9^5)*AB918*AC918</f>
        <v>0</v>
      </c>
      <c r="AE918" s="166">
        <v>1350</v>
      </c>
      <c r="AF918" s="166">
        <v>1</v>
      </c>
      <c r="AG918" s="164">
        <f>($L918*'Pivot Objective'!$C$9^6)*AE918*AF918</f>
        <v>859388.36137744202</v>
      </c>
      <c r="AH918" s="166"/>
      <c r="AI918" s="166"/>
      <c r="AJ918" s="164">
        <f>($L918*'Pivot Objective'!$C$9^7)*AH918*AI918</f>
        <v>0</v>
      </c>
      <c r="AK918" s="185">
        <f t="shared" si="104"/>
        <v>1244948.361377442</v>
      </c>
      <c r="AL918" s="186">
        <f t="shared" si="105"/>
        <v>1208.6877294926621</v>
      </c>
    </row>
    <row r="919" spans="1:38" customFormat="1" ht="57.6" x14ac:dyDescent="0.3">
      <c r="A919" s="140" t="s">
        <v>1445</v>
      </c>
      <c r="B919" s="140">
        <v>1</v>
      </c>
      <c r="C919" s="166" t="s">
        <v>836</v>
      </c>
      <c r="D919" s="140" t="str">
        <f t="shared" si="100"/>
        <v>6</v>
      </c>
      <c r="E919" s="166" t="s">
        <v>1136</v>
      </c>
      <c r="F919" s="140">
        <f t="shared" si="102"/>
        <v>1</v>
      </c>
      <c r="G919" s="140" t="str">
        <f t="shared" si="101"/>
        <v>1.6.1</v>
      </c>
      <c r="H919" s="166" t="s">
        <v>1710</v>
      </c>
      <c r="I919" s="166" t="s">
        <v>1327</v>
      </c>
      <c r="J919" s="143" t="s">
        <v>840</v>
      </c>
      <c r="K919" s="143" t="s">
        <v>841</v>
      </c>
      <c r="L919" s="144">
        <v>0</v>
      </c>
      <c r="M919" s="145">
        <v>0</v>
      </c>
      <c r="N919" s="145">
        <v>0</v>
      </c>
      <c r="O919" s="164">
        <f t="shared" si="103"/>
        <v>0</v>
      </c>
      <c r="P919" s="166"/>
      <c r="Q919" s="166"/>
      <c r="R919" s="164">
        <f>$L919*'Pivot Objective'!$C$9*P919*Q919</f>
        <v>0</v>
      </c>
      <c r="S919" s="166"/>
      <c r="T919" s="166"/>
      <c r="U919" s="164">
        <f>($L919*'Pivot Objective'!$C$9^2)*S919*T919</f>
        <v>0</v>
      </c>
      <c r="V919" s="166"/>
      <c r="W919" s="166"/>
      <c r="X919" s="164">
        <f>($L919*'Pivot Objective'!$C$9^3)*V919*W919</f>
        <v>0</v>
      </c>
      <c r="Y919" s="166"/>
      <c r="Z919" s="166"/>
      <c r="AA919" s="164">
        <f>($L919*'Pivot Objective'!$C$9^4)*Y919*Z919</f>
        <v>0</v>
      </c>
      <c r="AB919" s="166"/>
      <c r="AC919" s="166"/>
      <c r="AD919" s="164">
        <f>($L919*'Pivot Objective'!$C$9^5)*AB919*AC919</f>
        <v>0</v>
      </c>
      <c r="AE919" s="145">
        <v>0</v>
      </c>
      <c r="AF919" s="145">
        <v>0</v>
      </c>
      <c r="AG919" s="164">
        <f>($L919*'Pivot Objective'!$C$9^6)*AE919*AF919</f>
        <v>0</v>
      </c>
      <c r="AH919" s="166"/>
      <c r="AI919" s="166"/>
      <c r="AJ919" s="164">
        <f>($L919*'Pivot Objective'!$C$9^7)*AH919*AI919</f>
        <v>0</v>
      </c>
      <c r="AK919" s="185">
        <f t="shared" si="104"/>
        <v>0</v>
      </c>
      <c r="AL919" s="186">
        <f t="shared" si="105"/>
        <v>0</v>
      </c>
    </row>
    <row r="920" spans="1:38" customFormat="1" ht="57.6" x14ac:dyDescent="0.3">
      <c r="A920" s="140" t="s">
        <v>1445</v>
      </c>
      <c r="B920" s="140">
        <v>1</v>
      </c>
      <c r="C920" s="166" t="s">
        <v>836</v>
      </c>
      <c r="D920" s="140" t="str">
        <f t="shared" si="100"/>
        <v>6</v>
      </c>
      <c r="E920" s="166" t="s">
        <v>1136</v>
      </c>
      <c r="F920" s="140">
        <f t="shared" si="102"/>
        <v>1</v>
      </c>
      <c r="G920" s="140" t="str">
        <f t="shared" si="101"/>
        <v>1.6.1</v>
      </c>
      <c r="H920" s="166" t="s">
        <v>1710</v>
      </c>
      <c r="I920" s="166" t="s">
        <v>1343</v>
      </c>
      <c r="J920" s="143" t="s">
        <v>1342</v>
      </c>
      <c r="K920" s="143" t="s">
        <v>841</v>
      </c>
      <c r="L920" s="144">
        <v>0</v>
      </c>
      <c r="M920" s="145">
        <v>0</v>
      </c>
      <c r="N920" s="145">
        <v>0</v>
      </c>
      <c r="O920" s="164">
        <f t="shared" si="103"/>
        <v>0</v>
      </c>
      <c r="P920" s="166"/>
      <c r="Q920" s="166"/>
      <c r="R920" s="164">
        <f>$L920*'Pivot Objective'!$C$9*P920*Q920</f>
        <v>0</v>
      </c>
      <c r="S920" s="166"/>
      <c r="T920" s="166"/>
      <c r="U920" s="164">
        <f>($L920*'Pivot Objective'!$C$9^2)*S920*T920</f>
        <v>0</v>
      </c>
      <c r="V920" s="166"/>
      <c r="W920" s="166"/>
      <c r="X920" s="164">
        <f>($L920*'Pivot Objective'!$C$9^3)*V920*W920</f>
        <v>0</v>
      </c>
      <c r="Y920" s="166"/>
      <c r="Z920" s="166"/>
      <c r="AA920" s="164">
        <f>($L920*'Pivot Objective'!$C$9^4)*Y920*Z920</f>
        <v>0</v>
      </c>
      <c r="AB920" s="166"/>
      <c r="AC920" s="166"/>
      <c r="AD920" s="164">
        <f>($L920*'Pivot Objective'!$C$9^5)*AB920*AC920</f>
        <v>0</v>
      </c>
      <c r="AE920" s="145">
        <v>0</v>
      </c>
      <c r="AF920" s="145">
        <v>0</v>
      </c>
      <c r="AG920" s="164">
        <f>($L920*'Pivot Objective'!$C$9^6)*AE920*AF920</f>
        <v>0</v>
      </c>
      <c r="AH920" s="166"/>
      <c r="AI920" s="166"/>
      <c r="AJ920" s="164">
        <f>($L920*'Pivot Objective'!$C$9^7)*AH920*AI920</f>
        <v>0</v>
      </c>
      <c r="AK920" s="185">
        <f t="shared" si="104"/>
        <v>0</v>
      </c>
      <c r="AL920" s="186">
        <f t="shared" si="105"/>
        <v>0</v>
      </c>
    </row>
    <row r="921" spans="1:38" customFormat="1" ht="57.6" x14ac:dyDescent="0.3">
      <c r="A921" s="140" t="s">
        <v>1445</v>
      </c>
      <c r="B921" s="140">
        <v>1</v>
      </c>
      <c r="C921" s="166" t="s">
        <v>836</v>
      </c>
      <c r="D921" s="140" t="str">
        <f t="shared" si="100"/>
        <v>6</v>
      </c>
      <c r="E921" s="166" t="s">
        <v>1136</v>
      </c>
      <c r="F921" s="140">
        <f t="shared" si="102"/>
        <v>1</v>
      </c>
      <c r="G921" s="140" t="str">
        <f t="shared" si="101"/>
        <v>1.6.1</v>
      </c>
      <c r="H921" s="166" t="s">
        <v>1710</v>
      </c>
      <c r="I921" s="166" t="s">
        <v>1327</v>
      </c>
      <c r="J921" s="143" t="s">
        <v>1344</v>
      </c>
      <c r="K921" s="143" t="s">
        <v>709</v>
      </c>
      <c r="L921" s="144">
        <v>35000</v>
      </c>
      <c r="M921" s="145">
        <v>10</v>
      </c>
      <c r="N921" s="145">
        <v>2</v>
      </c>
      <c r="O921" s="164">
        <f t="shared" si="103"/>
        <v>700000</v>
      </c>
      <c r="P921" s="166"/>
      <c r="Q921" s="166"/>
      <c r="R921" s="164">
        <f>$L921*'Pivot Objective'!$C$9*P921*Q921</f>
        <v>0</v>
      </c>
      <c r="S921" s="166"/>
      <c r="T921" s="166"/>
      <c r="U921" s="164">
        <f>($L921*'Pivot Objective'!$C$9^2)*S921*T921</f>
        <v>0</v>
      </c>
      <c r="V921" s="166"/>
      <c r="W921" s="166"/>
      <c r="X921" s="164">
        <f>($L921*'Pivot Objective'!$C$9^3)*V921*W921</f>
        <v>0</v>
      </c>
      <c r="Y921" s="166"/>
      <c r="Z921" s="166"/>
      <c r="AA921" s="164">
        <f>($L921*'Pivot Objective'!$C$9^4)*Y921*Z921</f>
        <v>0</v>
      </c>
      <c r="AB921" s="166"/>
      <c r="AC921" s="166"/>
      <c r="AD921" s="164">
        <f>($L921*'Pivot Objective'!$C$9^5)*AB921*AC921</f>
        <v>0</v>
      </c>
      <c r="AE921" s="145">
        <v>10</v>
      </c>
      <c r="AF921" s="145">
        <v>2</v>
      </c>
      <c r="AG921" s="164">
        <f>($L921*'Pivot Objective'!$C$9^6)*AE921*AF921</f>
        <v>1560254.8318399454</v>
      </c>
      <c r="AH921" s="166"/>
      <c r="AI921" s="166"/>
      <c r="AJ921" s="164">
        <f>($L921*'Pivot Objective'!$C$9^7)*AH921*AI921</f>
        <v>0</v>
      </c>
      <c r="AK921" s="185">
        <f t="shared" si="104"/>
        <v>2260254.8318399452</v>
      </c>
      <c r="AL921" s="186">
        <f t="shared" si="105"/>
        <v>2194.4221668348982</v>
      </c>
    </row>
    <row r="922" spans="1:38" customFormat="1" ht="57.6" x14ac:dyDescent="0.3">
      <c r="A922" s="140" t="s">
        <v>1445</v>
      </c>
      <c r="B922" s="140">
        <v>1</v>
      </c>
      <c r="C922" s="166" t="s">
        <v>836</v>
      </c>
      <c r="D922" s="140" t="str">
        <f t="shared" si="100"/>
        <v>6</v>
      </c>
      <c r="E922" s="166" t="s">
        <v>1136</v>
      </c>
      <c r="F922" s="140">
        <f t="shared" si="102"/>
        <v>1</v>
      </c>
      <c r="G922" s="140" t="str">
        <f t="shared" si="101"/>
        <v>1.6.1</v>
      </c>
      <c r="H922" s="166" t="s">
        <v>1710</v>
      </c>
      <c r="I922" s="166" t="s">
        <v>1327</v>
      </c>
      <c r="J922" s="143" t="s">
        <v>149</v>
      </c>
      <c r="K922" s="143" t="s">
        <v>707</v>
      </c>
      <c r="L922" s="144">
        <v>391991.03749999998</v>
      </c>
      <c r="M922" s="145">
        <v>2</v>
      </c>
      <c r="N922" s="145">
        <v>2</v>
      </c>
      <c r="O922" s="164">
        <f t="shared" si="103"/>
        <v>1567964.15</v>
      </c>
      <c r="P922" s="166"/>
      <c r="Q922" s="166"/>
      <c r="R922" s="164">
        <f>$L922*'Pivot Objective'!$C$9*P922*Q922</f>
        <v>0</v>
      </c>
      <c r="S922" s="166"/>
      <c r="T922" s="166"/>
      <c r="U922" s="164">
        <f>($L922*'Pivot Objective'!$C$9^2)*S922*T922</f>
        <v>0</v>
      </c>
      <c r="V922" s="166"/>
      <c r="W922" s="166"/>
      <c r="X922" s="164">
        <f>($L922*'Pivot Objective'!$C$9^3)*V922*W922</f>
        <v>0</v>
      </c>
      <c r="Y922" s="166"/>
      <c r="Z922" s="166"/>
      <c r="AA922" s="164">
        <f>($L922*'Pivot Objective'!$C$9^4)*Y922*Z922</f>
        <v>0</v>
      </c>
      <c r="AB922" s="166"/>
      <c r="AC922" s="166"/>
      <c r="AD922" s="164">
        <f>($L922*'Pivot Objective'!$C$9^5)*AB922*AC922</f>
        <v>0</v>
      </c>
      <c r="AE922" s="145">
        <v>2</v>
      </c>
      <c r="AF922" s="145">
        <v>2</v>
      </c>
      <c r="AG922" s="164">
        <f>($L922*'Pivot Objective'!$C$9^6)*AE922*AF922</f>
        <v>3494890.915984733</v>
      </c>
      <c r="AH922" s="166"/>
      <c r="AI922" s="166"/>
      <c r="AJ922" s="164">
        <f>($L922*'Pivot Objective'!$C$9^7)*AH922*AI922</f>
        <v>0</v>
      </c>
      <c r="AK922" s="185">
        <f t="shared" si="104"/>
        <v>5062855.0659847334</v>
      </c>
      <c r="AL922" s="186">
        <f t="shared" si="105"/>
        <v>4915.3932679463433</v>
      </c>
    </row>
    <row r="923" spans="1:38" customFormat="1" ht="57.6" x14ac:dyDescent="0.3">
      <c r="A923" s="140" t="s">
        <v>1445</v>
      </c>
      <c r="B923" s="140">
        <v>1</v>
      </c>
      <c r="C923" s="166" t="s">
        <v>836</v>
      </c>
      <c r="D923" s="140" t="str">
        <f t="shared" si="100"/>
        <v>6</v>
      </c>
      <c r="E923" s="166" t="s">
        <v>1136</v>
      </c>
      <c r="F923" s="140">
        <f t="shared" si="102"/>
        <v>1</v>
      </c>
      <c r="G923" s="140" t="str">
        <f t="shared" si="101"/>
        <v>1.6.1</v>
      </c>
      <c r="H923" s="166" t="s">
        <v>1710</v>
      </c>
      <c r="I923" s="166" t="s">
        <v>1327</v>
      </c>
      <c r="J923" s="143" t="s">
        <v>149</v>
      </c>
      <c r="K923" s="143" t="s">
        <v>708</v>
      </c>
      <c r="L923" s="144">
        <v>515000</v>
      </c>
      <c r="M923" s="145">
        <v>1</v>
      </c>
      <c r="N923" s="145">
        <v>25</v>
      </c>
      <c r="O923" s="164">
        <f t="shared" si="103"/>
        <v>12875000</v>
      </c>
      <c r="P923" s="166"/>
      <c r="Q923" s="166"/>
      <c r="R923" s="164">
        <f>$L923*'Pivot Objective'!$C$9*P923*Q923</f>
        <v>0</v>
      </c>
      <c r="S923" s="166"/>
      <c r="T923" s="166"/>
      <c r="U923" s="164">
        <f>($L923*'Pivot Objective'!$C$9^2)*S923*T923</f>
        <v>0</v>
      </c>
      <c r="V923" s="166"/>
      <c r="W923" s="166"/>
      <c r="X923" s="164">
        <f>($L923*'Pivot Objective'!$C$9^3)*V923*W923</f>
        <v>0</v>
      </c>
      <c r="Y923" s="166"/>
      <c r="Z923" s="166"/>
      <c r="AA923" s="164">
        <f>($L923*'Pivot Objective'!$C$9^4)*Y923*Z923</f>
        <v>0</v>
      </c>
      <c r="AB923" s="166"/>
      <c r="AC923" s="166"/>
      <c r="AD923" s="164">
        <f>($L923*'Pivot Objective'!$C$9^5)*AB923*AC923</f>
        <v>0</v>
      </c>
      <c r="AE923" s="145">
        <v>1</v>
      </c>
      <c r="AF923" s="145">
        <v>25</v>
      </c>
      <c r="AG923" s="164">
        <f>($L923*'Pivot Objective'!$C$9^6)*AE923*AF923</f>
        <v>28697544.228484713</v>
      </c>
      <c r="AH923" s="166"/>
      <c r="AI923" s="166"/>
      <c r="AJ923" s="164">
        <f>($L923*'Pivot Objective'!$C$9^7)*AH923*AI923</f>
        <v>0</v>
      </c>
      <c r="AK923" s="185">
        <f t="shared" si="104"/>
        <v>41572544.228484713</v>
      </c>
      <c r="AL923" s="186">
        <f t="shared" si="105"/>
        <v>40361.693425713311</v>
      </c>
    </row>
    <row r="924" spans="1:38" customFormat="1" ht="57.6" x14ac:dyDescent="0.3">
      <c r="A924" s="140" t="s">
        <v>1445</v>
      </c>
      <c r="B924" s="140">
        <v>1</v>
      </c>
      <c r="C924" s="166" t="s">
        <v>836</v>
      </c>
      <c r="D924" s="140" t="str">
        <f t="shared" si="100"/>
        <v>6</v>
      </c>
      <c r="E924" s="166" t="s">
        <v>1136</v>
      </c>
      <c r="F924" s="140">
        <f t="shared" si="102"/>
        <v>1</v>
      </c>
      <c r="G924" s="140" t="str">
        <f t="shared" si="101"/>
        <v>1.6.1</v>
      </c>
      <c r="H924" s="166" t="s">
        <v>1710</v>
      </c>
      <c r="I924" s="166" t="s">
        <v>1327</v>
      </c>
      <c r="J924" s="143" t="s">
        <v>150</v>
      </c>
      <c r="K924" s="143" t="s">
        <v>841</v>
      </c>
      <c r="L924" s="144">
        <v>0</v>
      </c>
      <c r="M924" s="145"/>
      <c r="N924" s="145"/>
      <c r="O924" s="164">
        <f t="shared" si="103"/>
        <v>0</v>
      </c>
      <c r="P924" s="166"/>
      <c r="Q924" s="166"/>
      <c r="R924" s="164">
        <f>$L924*'Pivot Objective'!$C$9*P924*Q924</f>
        <v>0</v>
      </c>
      <c r="S924" s="166"/>
      <c r="T924" s="166"/>
      <c r="U924" s="164">
        <f>($L924*'Pivot Objective'!$C$9^2)*S924*T924</f>
        <v>0</v>
      </c>
      <c r="V924" s="166"/>
      <c r="W924" s="166"/>
      <c r="X924" s="164">
        <f>($L924*'Pivot Objective'!$C$9^3)*V924*W924</f>
        <v>0</v>
      </c>
      <c r="Y924" s="166"/>
      <c r="Z924" s="166"/>
      <c r="AA924" s="164">
        <f>($L924*'Pivot Objective'!$C$9^4)*Y924*Z924</f>
        <v>0</v>
      </c>
      <c r="AB924" s="166"/>
      <c r="AC924" s="166"/>
      <c r="AD924" s="164">
        <f>($L924*'Pivot Objective'!$C$9^5)*AB924*AC924</f>
        <v>0</v>
      </c>
      <c r="AE924" s="145"/>
      <c r="AF924" s="145"/>
      <c r="AG924" s="164">
        <f>($L924*'Pivot Objective'!$C$9^6)*AE924*AF924</f>
        <v>0</v>
      </c>
      <c r="AH924" s="166"/>
      <c r="AI924" s="166"/>
      <c r="AJ924" s="164">
        <f>($L924*'Pivot Objective'!$C$9^7)*AH924*AI924</f>
        <v>0</v>
      </c>
      <c r="AK924" s="185">
        <f t="shared" si="104"/>
        <v>0</v>
      </c>
      <c r="AL924" s="186">
        <f t="shared" si="105"/>
        <v>0</v>
      </c>
    </row>
    <row r="925" spans="1:38" customFormat="1" ht="57.6" x14ac:dyDescent="0.3">
      <c r="A925" s="140" t="s">
        <v>1445</v>
      </c>
      <c r="B925" s="140">
        <v>1</v>
      </c>
      <c r="C925" s="166" t="s">
        <v>836</v>
      </c>
      <c r="D925" s="140" t="str">
        <f t="shared" si="100"/>
        <v>6</v>
      </c>
      <c r="E925" s="166" t="s">
        <v>1136</v>
      </c>
      <c r="F925" s="140">
        <f t="shared" si="102"/>
        <v>1</v>
      </c>
      <c r="G925" s="140" t="str">
        <f t="shared" si="101"/>
        <v>1.6.1</v>
      </c>
      <c r="H925" s="166" t="s">
        <v>1710</v>
      </c>
      <c r="I925" s="166" t="s">
        <v>1327</v>
      </c>
      <c r="J925" s="143" t="s">
        <v>1304</v>
      </c>
      <c r="K925" s="143" t="s">
        <v>709</v>
      </c>
      <c r="L925" s="144">
        <v>35000</v>
      </c>
      <c r="M925" s="145">
        <v>26</v>
      </c>
      <c r="N925" s="145">
        <v>5</v>
      </c>
      <c r="O925" s="164">
        <f t="shared" si="103"/>
        <v>4550000</v>
      </c>
      <c r="P925" s="166"/>
      <c r="Q925" s="166"/>
      <c r="R925" s="164">
        <f>$L925*'Pivot Objective'!$C$9*P925*Q925</f>
        <v>0</v>
      </c>
      <c r="S925" s="166"/>
      <c r="T925" s="166"/>
      <c r="U925" s="164">
        <f>($L925*'Pivot Objective'!$C$9^2)*S925*T925</f>
        <v>0</v>
      </c>
      <c r="V925" s="166"/>
      <c r="W925" s="166"/>
      <c r="X925" s="164">
        <f>($L925*'Pivot Objective'!$C$9^3)*V925*W925</f>
        <v>0</v>
      </c>
      <c r="Y925" s="166"/>
      <c r="Z925" s="166"/>
      <c r="AA925" s="164">
        <f>($L925*'Pivot Objective'!$C$9^4)*Y925*Z925</f>
        <v>0</v>
      </c>
      <c r="AB925" s="166"/>
      <c r="AC925" s="166"/>
      <c r="AD925" s="164">
        <f>($L925*'Pivot Objective'!$C$9^5)*AB925*AC925</f>
        <v>0</v>
      </c>
      <c r="AE925" s="145">
        <v>26</v>
      </c>
      <c r="AF925" s="145">
        <v>5</v>
      </c>
      <c r="AG925" s="164">
        <f>($L925*'Pivot Objective'!$C$9^6)*AE925*AF925</f>
        <v>10141656.406959645</v>
      </c>
      <c r="AH925" s="166"/>
      <c r="AI925" s="166"/>
      <c r="AJ925" s="164">
        <f>($L925*'Pivot Objective'!$C$9^7)*AH925*AI925</f>
        <v>0</v>
      </c>
      <c r="AK925" s="185">
        <f t="shared" si="104"/>
        <v>14691656.406959645</v>
      </c>
      <c r="AL925" s="186">
        <f t="shared" si="105"/>
        <v>14263.74408442684</v>
      </c>
    </row>
    <row r="926" spans="1:38" customFormat="1" ht="57.6" x14ac:dyDescent="0.3">
      <c r="A926" s="140" t="s">
        <v>1445</v>
      </c>
      <c r="B926" s="140">
        <v>1</v>
      </c>
      <c r="C926" s="166" t="s">
        <v>836</v>
      </c>
      <c r="D926" s="140" t="str">
        <f t="shared" si="100"/>
        <v>6</v>
      </c>
      <c r="E926" s="166" t="s">
        <v>1136</v>
      </c>
      <c r="F926" s="140">
        <f t="shared" si="102"/>
        <v>1</v>
      </c>
      <c r="G926" s="140" t="str">
        <f t="shared" si="101"/>
        <v>1.6.1</v>
      </c>
      <c r="H926" s="166" t="s">
        <v>1710</v>
      </c>
      <c r="I926" s="166" t="s">
        <v>1327</v>
      </c>
      <c r="J926" s="143" t="s">
        <v>1304</v>
      </c>
      <c r="K926" s="143" t="s">
        <v>716</v>
      </c>
      <c r="L926" s="144">
        <v>39000</v>
      </c>
      <c r="M926" s="145">
        <v>26</v>
      </c>
      <c r="N926" s="145">
        <v>6</v>
      </c>
      <c r="O926" s="164">
        <f t="shared" si="103"/>
        <v>6084000</v>
      </c>
      <c r="P926" s="166"/>
      <c r="Q926" s="166"/>
      <c r="R926" s="164">
        <f>$L926*'Pivot Objective'!$C$9*P926*Q926</f>
        <v>0</v>
      </c>
      <c r="S926" s="166"/>
      <c r="T926" s="166"/>
      <c r="U926" s="164">
        <f>($L926*'Pivot Objective'!$C$9^2)*S926*T926</f>
        <v>0</v>
      </c>
      <c r="V926" s="166"/>
      <c r="W926" s="166"/>
      <c r="X926" s="164">
        <f>($L926*'Pivot Objective'!$C$9^3)*V926*W926</f>
        <v>0</v>
      </c>
      <c r="Y926" s="166"/>
      <c r="Z926" s="166"/>
      <c r="AA926" s="164">
        <f>($L926*'Pivot Objective'!$C$9^4)*Y926*Z926</f>
        <v>0</v>
      </c>
      <c r="AB926" s="166"/>
      <c r="AC926" s="166"/>
      <c r="AD926" s="164">
        <f>($L926*'Pivot Objective'!$C$9^5)*AB926*AC926</f>
        <v>0</v>
      </c>
      <c r="AE926" s="145">
        <v>26</v>
      </c>
      <c r="AF926" s="145">
        <v>6</v>
      </c>
      <c r="AG926" s="164">
        <f>($L926*'Pivot Objective'!$C$9^6)*AE926*AF926</f>
        <v>13560843.424163185</v>
      </c>
      <c r="AH926" s="166"/>
      <c r="AI926" s="166"/>
      <c r="AJ926" s="164">
        <f>($L926*'Pivot Objective'!$C$9^7)*AH926*AI926</f>
        <v>0</v>
      </c>
      <c r="AK926" s="185">
        <f t="shared" si="104"/>
        <v>19644843.424163185</v>
      </c>
      <c r="AL926" s="186">
        <f t="shared" si="105"/>
        <v>19072.663518605033</v>
      </c>
    </row>
    <row r="927" spans="1:38" customFormat="1" ht="57.6" x14ac:dyDescent="0.3">
      <c r="A927" s="140" t="s">
        <v>1445</v>
      </c>
      <c r="B927" s="140">
        <v>1</v>
      </c>
      <c r="C927" s="166" t="s">
        <v>836</v>
      </c>
      <c r="D927" s="140" t="str">
        <f t="shared" si="100"/>
        <v>6</v>
      </c>
      <c r="E927" s="166" t="s">
        <v>1136</v>
      </c>
      <c r="F927" s="140">
        <f t="shared" si="102"/>
        <v>1</v>
      </c>
      <c r="G927" s="140" t="str">
        <f t="shared" si="101"/>
        <v>1.6.1</v>
      </c>
      <c r="H927" s="166" t="s">
        <v>1710</v>
      </c>
      <c r="I927" s="166" t="s">
        <v>1327</v>
      </c>
      <c r="J927" s="143" t="s">
        <v>1304</v>
      </c>
      <c r="K927" s="143" t="s">
        <v>1306</v>
      </c>
      <c r="L927" s="144">
        <v>211.43</v>
      </c>
      <c r="M927" s="145">
        <v>2430</v>
      </c>
      <c r="N927" s="145">
        <v>1</v>
      </c>
      <c r="O927" s="164">
        <f t="shared" si="103"/>
        <v>513774.9</v>
      </c>
      <c r="P927" s="166"/>
      <c r="Q927" s="166"/>
      <c r="R927" s="164">
        <f>$L927*'Pivot Objective'!$C$9*P927*Q927</f>
        <v>0</v>
      </c>
      <c r="S927" s="166"/>
      <c r="T927" s="166"/>
      <c r="U927" s="164">
        <f>($L927*'Pivot Objective'!$C$9^2)*S927*T927</f>
        <v>0</v>
      </c>
      <c r="V927" s="166"/>
      <c r="W927" s="166"/>
      <c r="X927" s="164">
        <f>($L927*'Pivot Objective'!$C$9^3)*V927*W927</f>
        <v>0</v>
      </c>
      <c r="Y927" s="166"/>
      <c r="Z927" s="166"/>
      <c r="AA927" s="164">
        <f>($L927*'Pivot Objective'!$C$9^4)*Y927*Z927</f>
        <v>0</v>
      </c>
      <c r="AB927" s="166"/>
      <c r="AC927" s="166"/>
      <c r="AD927" s="164">
        <f>($L927*'Pivot Objective'!$C$9^5)*AB927*AC927</f>
        <v>0</v>
      </c>
      <c r="AE927" s="145">
        <v>2430</v>
      </c>
      <c r="AF927" s="145">
        <v>1</v>
      </c>
      <c r="AG927" s="164">
        <f>($L927*'Pivot Objective'!$C$9^6)*AE927*AF927</f>
        <v>1145171.1002901213</v>
      </c>
      <c r="AH927" s="166"/>
      <c r="AI927" s="166"/>
      <c r="AJ927" s="164">
        <f>($L927*'Pivot Objective'!$C$9^7)*AH927*AI927</f>
        <v>0</v>
      </c>
      <c r="AK927" s="185">
        <f t="shared" si="104"/>
        <v>1658946.0002901214</v>
      </c>
      <c r="AL927" s="186">
        <f t="shared" si="105"/>
        <v>1610.6271847476908</v>
      </c>
    </row>
    <row r="928" spans="1:38" customFormat="1" ht="57.6" x14ac:dyDescent="0.3">
      <c r="A928" s="140" t="s">
        <v>1445</v>
      </c>
      <c r="B928" s="140">
        <v>1</v>
      </c>
      <c r="C928" s="166" t="s">
        <v>836</v>
      </c>
      <c r="D928" s="140" t="str">
        <f t="shared" si="100"/>
        <v>6</v>
      </c>
      <c r="E928" s="166" t="s">
        <v>1136</v>
      </c>
      <c r="F928" s="140">
        <f t="shared" si="102"/>
        <v>1</v>
      </c>
      <c r="G928" s="140" t="str">
        <f t="shared" si="101"/>
        <v>1.6.1</v>
      </c>
      <c r="H928" s="166" t="s">
        <v>1710</v>
      </c>
      <c r="I928" s="166" t="s">
        <v>1327</v>
      </c>
      <c r="J928" s="143" t="s">
        <v>1304</v>
      </c>
      <c r="K928" s="143" t="s">
        <v>1307</v>
      </c>
      <c r="L928" s="144">
        <v>285.60000000000002</v>
      </c>
      <c r="M928" s="145">
        <v>450</v>
      </c>
      <c r="N928" s="145">
        <v>5</v>
      </c>
      <c r="O928" s="164">
        <f t="shared" si="103"/>
        <v>642600.00000000012</v>
      </c>
      <c r="P928" s="166"/>
      <c r="Q928" s="166"/>
      <c r="R928" s="164">
        <f>$L928*'Pivot Objective'!$C$9*P928*Q928</f>
        <v>0</v>
      </c>
      <c r="S928" s="166"/>
      <c r="T928" s="166"/>
      <c r="U928" s="164">
        <f>($L928*'Pivot Objective'!$C$9^2)*S928*T928</f>
        <v>0</v>
      </c>
      <c r="V928" s="166"/>
      <c r="W928" s="166"/>
      <c r="X928" s="164">
        <f>($L928*'Pivot Objective'!$C$9^3)*V928*W928</f>
        <v>0</v>
      </c>
      <c r="Y928" s="166"/>
      <c r="Z928" s="166"/>
      <c r="AA928" s="164">
        <f>($L928*'Pivot Objective'!$C$9^4)*Y928*Z928</f>
        <v>0</v>
      </c>
      <c r="AB928" s="166"/>
      <c r="AC928" s="166"/>
      <c r="AD928" s="164">
        <f>($L928*'Pivot Objective'!$C$9^5)*AB928*AC928</f>
        <v>0</v>
      </c>
      <c r="AE928" s="145">
        <v>450</v>
      </c>
      <c r="AF928" s="145">
        <v>5</v>
      </c>
      <c r="AG928" s="164">
        <f>($L928*'Pivot Objective'!$C$9^6)*AE928*AF928</f>
        <v>1432313.93562907</v>
      </c>
      <c r="AH928" s="166"/>
      <c r="AI928" s="166"/>
      <c r="AJ928" s="164">
        <f>($L928*'Pivot Objective'!$C$9^7)*AH928*AI928</f>
        <v>0</v>
      </c>
      <c r="AK928" s="185">
        <f t="shared" si="104"/>
        <v>2074913.9356290703</v>
      </c>
      <c r="AL928" s="186">
        <f t="shared" si="105"/>
        <v>2014.4795491544371</v>
      </c>
    </row>
    <row r="929" spans="1:38" customFormat="1" ht="57.6" x14ac:dyDescent="0.3">
      <c r="A929" s="140" t="s">
        <v>1445</v>
      </c>
      <c r="B929" s="140">
        <v>1</v>
      </c>
      <c r="C929" s="166" t="s">
        <v>836</v>
      </c>
      <c r="D929" s="140" t="str">
        <f t="shared" si="100"/>
        <v>6</v>
      </c>
      <c r="E929" s="166" t="s">
        <v>1136</v>
      </c>
      <c r="F929" s="140">
        <f t="shared" si="102"/>
        <v>1</v>
      </c>
      <c r="G929" s="140" t="str">
        <f t="shared" si="101"/>
        <v>1.6.1</v>
      </c>
      <c r="H929" s="166" t="s">
        <v>1710</v>
      </c>
      <c r="I929" s="166" t="s">
        <v>1327</v>
      </c>
      <c r="J929" s="143" t="s">
        <v>1305</v>
      </c>
      <c r="K929" s="143" t="s">
        <v>710</v>
      </c>
      <c r="L929" s="144">
        <v>104850</v>
      </c>
      <c r="M929" s="145">
        <v>1</v>
      </c>
      <c r="N929" s="145">
        <v>1</v>
      </c>
      <c r="O929" s="164">
        <f t="shared" si="103"/>
        <v>104850</v>
      </c>
      <c r="P929" s="166"/>
      <c r="Q929" s="166"/>
      <c r="R929" s="164">
        <f>$L929*'Pivot Objective'!$C$9*P929*Q929</f>
        <v>0</v>
      </c>
      <c r="S929" s="166"/>
      <c r="T929" s="166"/>
      <c r="U929" s="164">
        <f>($L929*'Pivot Objective'!$C$9^2)*S929*T929</f>
        <v>0</v>
      </c>
      <c r="V929" s="166"/>
      <c r="W929" s="166"/>
      <c r="X929" s="164">
        <f>($L929*'Pivot Objective'!$C$9^3)*V929*W929</f>
        <v>0</v>
      </c>
      <c r="Y929" s="166"/>
      <c r="Z929" s="166"/>
      <c r="AA929" s="164">
        <f>($L929*'Pivot Objective'!$C$9^4)*Y929*Z929</f>
        <v>0</v>
      </c>
      <c r="AB929" s="166"/>
      <c r="AC929" s="166"/>
      <c r="AD929" s="164">
        <f>($L929*'Pivot Objective'!$C$9^5)*AB929*AC929</f>
        <v>0</v>
      </c>
      <c r="AE929" s="145">
        <v>1</v>
      </c>
      <c r="AF929" s="145">
        <v>1</v>
      </c>
      <c r="AG929" s="164">
        <f>($L929*'Pivot Objective'!$C$9^6)*AE929*AF929</f>
        <v>233703.88445488326</v>
      </c>
      <c r="AH929" s="166"/>
      <c r="AI929" s="166"/>
      <c r="AJ929" s="164">
        <f>($L929*'Pivot Objective'!$C$9^7)*AH929*AI929</f>
        <v>0</v>
      </c>
      <c r="AK929" s="185">
        <f t="shared" si="104"/>
        <v>338553.88445488329</v>
      </c>
      <c r="AL929" s="186">
        <f t="shared" si="105"/>
        <v>328.69309170377016</v>
      </c>
    </row>
    <row r="930" spans="1:38" customFormat="1" ht="57.6" x14ac:dyDescent="0.3">
      <c r="A930" s="140" t="s">
        <v>1445</v>
      </c>
      <c r="B930" s="140">
        <v>1</v>
      </c>
      <c r="C930" s="166" t="s">
        <v>836</v>
      </c>
      <c r="D930" s="140" t="str">
        <f t="shared" si="100"/>
        <v>6</v>
      </c>
      <c r="E930" s="166" t="s">
        <v>1136</v>
      </c>
      <c r="F930" s="140">
        <f t="shared" ref="F930:F961" si="106">IF(H930=H929,F929,F929+1)</f>
        <v>1</v>
      </c>
      <c r="G930" s="140" t="str">
        <f t="shared" si="101"/>
        <v>1.6.1</v>
      </c>
      <c r="H930" s="166" t="s">
        <v>1710</v>
      </c>
      <c r="I930" s="166" t="s">
        <v>1327</v>
      </c>
      <c r="J930" s="143" t="s">
        <v>844</v>
      </c>
      <c r="K930" s="143" t="s">
        <v>1308</v>
      </c>
      <c r="L930" s="144">
        <v>8000</v>
      </c>
      <c r="M930" s="145">
        <v>10</v>
      </c>
      <c r="N930" s="145">
        <v>1</v>
      </c>
      <c r="O930" s="164">
        <f t="shared" si="103"/>
        <v>80000</v>
      </c>
      <c r="P930" s="166"/>
      <c r="Q930" s="166"/>
      <c r="R930" s="164">
        <f>$L930*'Pivot Objective'!$C$9*P930*Q930</f>
        <v>0</v>
      </c>
      <c r="S930" s="166"/>
      <c r="T930" s="166"/>
      <c r="U930" s="164">
        <f>($L930*'Pivot Objective'!$C$9^2)*S930*T930</f>
        <v>0</v>
      </c>
      <c r="V930" s="166"/>
      <c r="W930" s="166"/>
      <c r="X930" s="164">
        <f>($L930*'Pivot Objective'!$C$9^3)*V930*W930</f>
        <v>0</v>
      </c>
      <c r="Y930" s="166"/>
      <c r="Z930" s="166"/>
      <c r="AA930" s="164">
        <f>($L930*'Pivot Objective'!$C$9^4)*Y930*Z930</f>
        <v>0</v>
      </c>
      <c r="AB930" s="166"/>
      <c r="AC930" s="166"/>
      <c r="AD930" s="164">
        <f>($L930*'Pivot Objective'!$C$9^5)*AB930*AC930</f>
        <v>0</v>
      </c>
      <c r="AE930" s="145">
        <v>10</v>
      </c>
      <c r="AF930" s="145">
        <v>1</v>
      </c>
      <c r="AG930" s="164">
        <f>($L930*'Pivot Objective'!$C$9^6)*AE930*AF930</f>
        <v>178314.83792456522</v>
      </c>
      <c r="AH930" s="166"/>
      <c r="AI930" s="166"/>
      <c r="AJ930" s="164">
        <f>($L930*'Pivot Objective'!$C$9^7)*AH930*AI930</f>
        <v>0</v>
      </c>
      <c r="AK930" s="185">
        <f t="shared" si="104"/>
        <v>258314.83792456522</v>
      </c>
      <c r="AL930" s="186">
        <f t="shared" si="105"/>
        <v>250.79110478113128</v>
      </c>
    </row>
    <row r="931" spans="1:38" customFormat="1" ht="57.6" x14ac:dyDescent="0.3">
      <c r="A931" s="140" t="s">
        <v>1445</v>
      </c>
      <c r="B931" s="140">
        <v>1</v>
      </c>
      <c r="C931" s="166" t="s">
        <v>836</v>
      </c>
      <c r="D931" s="140" t="str">
        <f t="shared" si="100"/>
        <v>6</v>
      </c>
      <c r="E931" s="166" t="s">
        <v>1136</v>
      </c>
      <c r="F931" s="140">
        <f t="shared" si="106"/>
        <v>1</v>
      </c>
      <c r="G931" s="140" t="str">
        <f t="shared" si="101"/>
        <v>1.6.1</v>
      </c>
      <c r="H931" s="166" t="s">
        <v>1710</v>
      </c>
      <c r="I931" s="166" t="s">
        <v>1327</v>
      </c>
      <c r="J931" s="143" t="s">
        <v>845</v>
      </c>
      <c r="K931" s="143" t="s">
        <v>1310</v>
      </c>
      <c r="L931" s="144">
        <v>285.60000000000002</v>
      </c>
      <c r="M931" s="145">
        <v>3240</v>
      </c>
      <c r="N931" s="145">
        <v>1</v>
      </c>
      <c r="O931" s="164">
        <f t="shared" si="103"/>
        <v>925344.00000000012</v>
      </c>
      <c r="P931" s="166"/>
      <c r="Q931" s="166"/>
      <c r="R931" s="164">
        <f>$L931*'Pivot Objective'!$C$9*P931*Q931</f>
        <v>0</v>
      </c>
      <c r="S931" s="166"/>
      <c r="T931" s="166"/>
      <c r="U931" s="164">
        <f>($L931*'Pivot Objective'!$C$9^2)*S931*T931</f>
        <v>0</v>
      </c>
      <c r="V931" s="166"/>
      <c r="W931" s="166"/>
      <c r="X931" s="164">
        <f>($L931*'Pivot Objective'!$C$9^3)*V931*W931</f>
        <v>0</v>
      </c>
      <c r="Y931" s="166"/>
      <c r="Z931" s="166"/>
      <c r="AA931" s="164">
        <f>($L931*'Pivot Objective'!$C$9^4)*Y931*Z931</f>
        <v>0</v>
      </c>
      <c r="AB931" s="166"/>
      <c r="AC931" s="166"/>
      <c r="AD931" s="164">
        <f>($L931*'Pivot Objective'!$C$9^5)*AB931*AC931</f>
        <v>0</v>
      </c>
      <c r="AE931" s="145">
        <v>3240</v>
      </c>
      <c r="AF931" s="145">
        <v>1</v>
      </c>
      <c r="AG931" s="164">
        <f>($L931*'Pivot Objective'!$C$9^6)*AE931*AF931</f>
        <v>2062532.0673058608</v>
      </c>
      <c r="AH931" s="166"/>
      <c r="AI931" s="166"/>
      <c r="AJ931" s="164">
        <f>($L931*'Pivot Objective'!$C$9^7)*AH931*AI931</f>
        <v>0</v>
      </c>
      <c r="AK931" s="185">
        <f t="shared" si="104"/>
        <v>2987876.067305861</v>
      </c>
      <c r="AL931" s="186">
        <f t="shared" si="105"/>
        <v>2900.8505507823893</v>
      </c>
    </row>
    <row r="932" spans="1:38" customFormat="1" ht="57.6" x14ac:dyDescent="0.3">
      <c r="A932" s="140" t="s">
        <v>1445</v>
      </c>
      <c r="B932" s="140">
        <v>1</v>
      </c>
      <c r="C932" s="166" t="s">
        <v>836</v>
      </c>
      <c r="D932" s="140" t="str">
        <f t="shared" si="100"/>
        <v>6</v>
      </c>
      <c r="E932" s="166" t="s">
        <v>1136</v>
      </c>
      <c r="F932" s="140">
        <f t="shared" si="106"/>
        <v>1</v>
      </c>
      <c r="G932" s="140" t="str">
        <f t="shared" si="101"/>
        <v>1.6.1</v>
      </c>
      <c r="H932" s="166" t="s">
        <v>1710</v>
      </c>
      <c r="I932" s="166" t="s">
        <v>1327</v>
      </c>
      <c r="J932" s="143" t="s">
        <v>845</v>
      </c>
      <c r="K932" s="143" t="s">
        <v>1309</v>
      </c>
      <c r="L932" s="144">
        <v>285.60000000000002</v>
      </c>
      <c r="M932" s="145">
        <v>900</v>
      </c>
      <c r="N932" s="145">
        <v>2</v>
      </c>
      <c r="O932" s="164">
        <f t="shared" si="103"/>
        <v>514080.00000000006</v>
      </c>
      <c r="P932" s="166"/>
      <c r="Q932" s="166"/>
      <c r="R932" s="164">
        <f>$L932*'Pivot Objective'!$C$9*P932*Q932</f>
        <v>0</v>
      </c>
      <c r="S932" s="166"/>
      <c r="T932" s="166"/>
      <c r="U932" s="164">
        <f>($L932*'Pivot Objective'!$C$9^2)*S932*T932</f>
        <v>0</v>
      </c>
      <c r="V932" s="166"/>
      <c r="W932" s="166"/>
      <c r="X932" s="164">
        <f>($L932*'Pivot Objective'!$C$9^3)*V932*W932</f>
        <v>0</v>
      </c>
      <c r="Y932" s="166"/>
      <c r="Z932" s="166"/>
      <c r="AA932" s="164">
        <f>($L932*'Pivot Objective'!$C$9^4)*Y932*Z932</f>
        <v>0</v>
      </c>
      <c r="AB932" s="166"/>
      <c r="AC932" s="166"/>
      <c r="AD932" s="164">
        <f>($L932*'Pivot Objective'!$C$9^5)*AB932*AC932</f>
        <v>0</v>
      </c>
      <c r="AE932" s="145">
        <v>900</v>
      </c>
      <c r="AF932" s="145">
        <v>2</v>
      </c>
      <c r="AG932" s="164">
        <f>($L932*'Pivot Objective'!$C$9^6)*AE932*AF932</f>
        <v>1145851.148503256</v>
      </c>
      <c r="AH932" s="166"/>
      <c r="AI932" s="166"/>
      <c r="AJ932" s="164">
        <f>($L932*'Pivot Objective'!$C$9^7)*AH932*AI932</f>
        <v>0</v>
      </c>
      <c r="AK932" s="185">
        <f t="shared" si="104"/>
        <v>1659931.148503256</v>
      </c>
      <c r="AL932" s="186">
        <f t="shared" si="105"/>
        <v>1611.5836393235495</v>
      </c>
    </row>
    <row r="933" spans="1:38" customFormat="1" ht="57.6" x14ac:dyDescent="0.3">
      <c r="A933" s="140" t="s">
        <v>1445</v>
      </c>
      <c r="B933" s="140">
        <v>1</v>
      </c>
      <c r="C933" s="166" t="s">
        <v>836</v>
      </c>
      <c r="D933" s="140" t="str">
        <f t="shared" si="100"/>
        <v>6</v>
      </c>
      <c r="E933" s="166" t="s">
        <v>1136</v>
      </c>
      <c r="F933" s="140">
        <f t="shared" si="106"/>
        <v>1</v>
      </c>
      <c r="G933" s="140" t="str">
        <f t="shared" si="101"/>
        <v>1.6.1</v>
      </c>
      <c r="H933" s="166" t="s">
        <v>1710</v>
      </c>
      <c r="I933" s="166" t="s">
        <v>1327</v>
      </c>
      <c r="J933" s="143" t="s">
        <v>845</v>
      </c>
      <c r="K933" s="143" t="s">
        <v>713</v>
      </c>
      <c r="L933" s="144">
        <v>45000</v>
      </c>
      <c r="M933" s="145">
        <v>25</v>
      </c>
      <c r="N933" s="145">
        <v>3</v>
      </c>
      <c r="O933" s="164">
        <f t="shared" si="103"/>
        <v>3375000</v>
      </c>
      <c r="P933" s="166"/>
      <c r="Q933" s="166"/>
      <c r="R933" s="164">
        <f>$L933*'Pivot Objective'!$C$9*P933*Q933</f>
        <v>0</v>
      </c>
      <c r="S933" s="166"/>
      <c r="T933" s="166"/>
      <c r="U933" s="164">
        <f>($L933*'Pivot Objective'!$C$9^2)*S933*T933</f>
        <v>0</v>
      </c>
      <c r="V933" s="166"/>
      <c r="W933" s="166"/>
      <c r="X933" s="164">
        <f>($L933*'Pivot Objective'!$C$9^3)*V933*W933</f>
        <v>0</v>
      </c>
      <c r="Y933" s="166"/>
      <c r="Z933" s="166"/>
      <c r="AA933" s="164">
        <f>($L933*'Pivot Objective'!$C$9^4)*Y933*Z933</f>
        <v>0</v>
      </c>
      <c r="AB933" s="166"/>
      <c r="AC933" s="166"/>
      <c r="AD933" s="164">
        <f>($L933*'Pivot Objective'!$C$9^5)*AB933*AC933</f>
        <v>0</v>
      </c>
      <c r="AE933" s="145">
        <v>25</v>
      </c>
      <c r="AF933" s="145">
        <v>3</v>
      </c>
      <c r="AG933" s="164">
        <f>($L933*'Pivot Objective'!$C$9^6)*AE933*AF933</f>
        <v>7522657.2249425948</v>
      </c>
      <c r="AH933" s="166"/>
      <c r="AI933" s="166"/>
      <c r="AJ933" s="164">
        <f>($L933*'Pivot Objective'!$C$9^7)*AH933*AI933</f>
        <v>0</v>
      </c>
      <c r="AK933" s="185">
        <f t="shared" si="104"/>
        <v>10897657.224942595</v>
      </c>
      <c r="AL933" s="186">
        <f t="shared" si="105"/>
        <v>10580.249732953975</v>
      </c>
    </row>
    <row r="934" spans="1:38" customFormat="1" ht="57.6" x14ac:dyDescent="0.3">
      <c r="A934" s="140" t="s">
        <v>1445</v>
      </c>
      <c r="B934" s="140">
        <v>1</v>
      </c>
      <c r="C934" s="166" t="s">
        <v>836</v>
      </c>
      <c r="D934" s="140" t="str">
        <f t="shared" si="100"/>
        <v>6</v>
      </c>
      <c r="E934" s="166" t="s">
        <v>1136</v>
      </c>
      <c r="F934" s="140">
        <f t="shared" si="106"/>
        <v>1</v>
      </c>
      <c r="G934" s="140" t="str">
        <f t="shared" si="101"/>
        <v>1.6.1</v>
      </c>
      <c r="H934" s="166" t="s">
        <v>1710</v>
      </c>
      <c r="I934" s="166" t="s">
        <v>1327</v>
      </c>
      <c r="J934" s="143" t="s">
        <v>846</v>
      </c>
      <c r="K934" s="143" t="s">
        <v>709</v>
      </c>
      <c r="L934" s="144">
        <v>35000</v>
      </c>
      <c r="M934" s="145">
        <v>26</v>
      </c>
      <c r="N934" s="145">
        <v>1</v>
      </c>
      <c r="O934" s="164">
        <f t="shared" si="103"/>
        <v>910000</v>
      </c>
      <c r="P934" s="166"/>
      <c r="Q934" s="166"/>
      <c r="R934" s="164">
        <f>$L934*'Pivot Objective'!$C$9*P934*Q934</f>
        <v>0</v>
      </c>
      <c r="S934" s="166"/>
      <c r="T934" s="166"/>
      <c r="U934" s="164">
        <f>($L934*'Pivot Objective'!$C$9^2)*S934*T934</f>
        <v>0</v>
      </c>
      <c r="V934" s="166"/>
      <c r="W934" s="166"/>
      <c r="X934" s="164">
        <f>($L934*'Pivot Objective'!$C$9^3)*V934*W934</f>
        <v>0</v>
      </c>
      <c r="Y934" s="166"/>
      <c r="Z934" s="166"/>
      <c r="AA934" s="164">
        <f>($L934*'Pivot Objective'!$C$9^4)*Y934*Z934</f>
        <v>0</v>
      </c>
      <c r="AB934" s="166"/>
      <c r="AC934" s="166"/>
      <c r="AD934" s="164">
        <f>($L934*'Pivot Objective'!$C$9^5)*AB934*AC934</f>
        <v>0</v>
      </c>
      <c r="AE934" s="145">
        <v>26</v>
      </c>
      <c r="AF934" s="145">
        <v>1</v>
      </c>
      <c r="AG934" s="164">
        <f>($L934*'Pivot Objective'!$C$9^6)*AE934*AF934</f>
        <v>2028331.2813919289</v>
      </c>
      <c r="AH934" s="166"/>
      <c r="AI934" s="166"/>
      <c r="AJ934" s="164">
        <f>($L934*'Pivot Objective'!$C$9^7)*AH934*AI934</f>
        <v>0</v>
      </c>
      <c r="AK934" s="185">
        <f t="shared" si="104"/>
        <v>2938331.2813919289</v>
      </c>
      <c r="AL934" s="186">
        <f t="shared" si="105"/>
        <v>2852.7488168853679</v>
      </c>
    </row>
    <row r="935" spans="1:38" customFormat="1" ht="57.6" x14ac:dyDescent="0.3">
      <c r="A935" s="140" t="s">
        <v>1445</v>
      </c>
      <c r="B935" s="140">
        <v>1</v>
      </c>
      <c r="C935" s="166" t="s">
        <v>836</v>
      </c>
      <c r="D935" s="140" t="str">
        <f t="shared" si="100"/>
        <v>6</v>
      </c>
      <c r="E935" s="166" t="s">
        <v>1136</v>
      </c>
      <c r="F935" s="140">
        <f t="shared" si="106"/>
        <v>1</v>
      </c>
      <c r="G935" s="140" t="str">
        <f t="shared" si="101"/>
        <v>1.6.1</v>
      </c>
      <c r="H935" s="166" t="s">
        <v>1710</v>
      </c>
      <c r="I935" s="166" t="s">
        <v>1327</v>
      </c>
      <c r="J935" s="143" t="s">
        <v>151</v>
      </c>
      <c r="K935" s="143" t="s">
        <v>713</v>
      </c>
      <c r="L935" s="144">
        <v>45000</v>
      </c>
      <c r="M935" s="145">
        <v>26</v>
      </c>
      <c r="N935" s="145">
        <v>6</v>
      </c>
      <c r="O935" s="164">
        <f t="shared" si="103"/>
        <v>7020000</v>
      </c>
      <c r="P935" s="166"/>
      <c r="Q935" s="166"/>
      <c r="R935" s="164">
        <f>$L935*'Pivot Objective'!$C$9*P935*Q935</f>
        <v>0</v>
      </c>
      <c r="S935" s="166"/>
      <c r="T935" s="166"/>
      <c r="U935" s="164">
        <f>($L935*'Pivot Objective'!$C$9^2)*S935*T935</f>
        <v>0</v>
      </c>
      <c r="V935" s="166"/>
      <c r="W935" s="166"/>
      <c r="X935" s="164">
        <f>($L935*'Pivot Objective'!$C$9^3)*V935*W935</f>
        <v>0</v>
      </c>
      <c r="Y935" s="166"/>
      <c r="Z935" s="166"/>
      <c r="AA935" s="164">
        <f>($L935*'Pivot Objective'!$C$9^4)*Y935*Z935</f>
        <v>0</v>
      </c>
      <c r="AB935" s="166"/>
      <c r="AC935" s="166"/>
      <c r="AD935" s="164">
        <f>($L935*'Pivot Objective'!$C$9^5)*AB935*AC935</f>
        <v>0</v>
      </c>
      <c r="AE935" s="145">
        <v>26</v>
      </c>
      <c r="AF935" s="145">
        <v>6</v>
      </c>
      <c r="AG935" s="164">
        <f>($L935*'Pivot Objective'!$C$9^6)*AE935*AF935</f>
        <v>15647127.027880598</v>
      </c>
      <c r="AH935" s="166"/>
      <c r="AI935" s="166"/>
      <c r="AJ935" s="164">
        <f>($L935*'Pivot Objective'!$C$9^7)*AH935*AI935</f>
        <v>0</v>
      </c>
      <c r="AK935" s="185">
        <f t="shared" si="104"/>
        <v>22667127.027880598</v>
      </c>
      <c r="AL935" s="186">
        <f t="shared" si="105"/>
        <v>22006.91944454427</v>
      </c>
    </row>
    <row r="936" spans="1:38" customFormat="1" ht="57.6" x14ac:dyDescent="0.3">
      <c r="A936" s="140" t="s">
        <v>1445</v>
      </c>
      <c r="B936" s="140">
        <v>1</v>
      </c>
      <c r="C936" s="166" t="s">
        <v>836</v>
      </c>
      <c r="D936" s="140" t="str">
        <f t="shared" si="100"/>
        <v>6</v>
      </c>
      <c r="E936" s="166" t="s">
        <v>1136</v>
      </c>
      <c r="F936" s="140">
        <f t="shared" si="106"/>
        <v>1</v>
      </c>
      <c r="G936" s="140" t="str">
        <f t="shared" si="101"/>
        <v>1.6.1</v>
      </c>
      <c r="H936" s="166" t="s">
        <v>1710</v>
      </c>
      <c r="I936" s="166" t="s">
        <v>1327</v>
      </c>
      <c r="J936" s="143" t="s">
        <v>151</v>
      </c>
      <c r="K936" s="143" t="s">
        <v>1311</v>
      </c>
      <c r="L936" s="144">
        <v>211.43</v>
      </c>
      <c r="M936" s="145">
        <v>22500</v>
      </c>
      <c r="N936" s="145">
        <v>1</v>
      </c>
      <c r="O936" s="164">
        <f t="shared" si="103"/>
        <v>4757175</v>
      </c>
      <c r="P936" s="166"/>
      <c r="Q936" s="166"/>
      <c r="R936" s="164">
        <f>$L936*'Pivot Objective'!$C$9*P936*Q936</f>
        <v>0</v>
      </c>
      <c r="S936" s="166"/>
      <c r="T936" s="166"/>
      <c r="U936" s="164">
        <f>($L936*'Pivot Objective'!$C$9^2)*S936*T936</f>
        <v>0</v>
      </c>
      <c r="V936" s="166"/>
      <c r="W936" s="166"/>
      <c r="X936" s="164">
        <f>($L936*'Pivot Objective'!$C$9^3)*V936*W936</f>
        <v>0</v>
      </c>
      <c r="Y936" s="166"/>
      <c r="Z936" s="166"/>
      <c r="AA936" s="164">
        <f>($L936*'Pivot Objective'!$C$9^4)*Y936*Z936</f>
        <v>0</v>
      </c>
      <c r="AB936" s="166"/>
      <c r="AC936" s="166"/>
      <c r="AD936" s="164">
        <f>($L936*'Pivot Objective'!$C$9^5)*AB936*AC936</f>
        <v>0</v>
      </c>
      <c r="AE936" s="145">
        <v>22500</v>
      </c>
      <c r="AF936" s="145">
        <v>1</v>
      </c>
      <c r="AG936" s="164">
        <f>($L936*'Pivot Objective'!$C$9^6)*AE936*AF936</f>
        <v>10603436.113797419</v>
      </c>
      <c r="AH936" s="166"/>
      <c r="AI936" s="166"/>
      <c r="AJ936" s="164">
        <f>($L936*'Pivot Objective'!$C$9^7)*AH936*AI936</f>
        <v>0</v>
      </c>
      <c r="AK936" s="185">
        <f t="shared" si="104"/>
        <v>15360611.113797419</v>
      </c>
      <c r="AL936" s="186">
        <f t="shared" si="105"/>
        <v>14913.214673589728</v>
      </c>
    </row>
    <row r="937" spans="1:38" customFormat="1" ht="57.6" x14ac:dyDescent="0.3">
      <c r="A937" s="140" t="s">
        <v>1445</v>
      </c>
      <c r="B937" s="140">
        <v>1</v>
      </c>
      <c r="C937" s="166" t="s">
        <v>836</v>
      </c>
      <c r="D937" s="140" t="str">
        <f t="shared" si="100"/>
        <v>6</v>
      </c>
      <c r="E937" s="166" t="s">
        <v>1136</v>
      </c>
      <c r="F937" s="140">
        <f t="shared" si="106"/>
        <v>1</v>
      </c>
      <c r="G937" s="140" t="str">
        <f t="shared" si="101"/>
        <v>1.6.1</v>
      </c>
      <c r="H937" s="166" t="s">
        <v>1710</v>
      </c>
      <c r="I937" s="166" t="s">
        <v>1327</v>
      </c>
      <c r="J937" s="143" t="s">
        <v>151</v>
      </c>
      <c r="K937" s="143" t="s">
        <v>712</v>
      </c>
      <c r="L937" s="144">
        <v>285.60000000000002</v>
      </c>
      <c r="M937" s="145">
        <v>900</v>
      </c>
      <c r="N937" s="145">
        <v>5</v>
      </c>
      <c r="O937" s="164">
        <f t="shared" si="103"/>
        <v>1285200.0000000002</v>
      </c>
      <c r="P937" s="166"/>
      <c r="Q937" s="166"/>
      <c r="R937" s="164">
        <f>$L937*'Pivot Objective'!$C$9*P937*Q937</f>
        <v>0</v>
      </c>
      <c r="S937" s="166"/>
      <c r="T937" s="166"/>
      <c r="U937" s="164">
        <f>($L937*'Pivot Objective'!$C$9^2)*S937*T937</f>
        <v>0</v>
      </c>
      <c r="V937" s="166"/>
      <c r="W937" s="166"/>
      <c r="X937" s="164">
        <f>($L937*'Pivot Objective'!$C$9^3)*V937*W937</f>
        <v>0</v>
      </c>
      <c r="Y937" s="166"/>
      <c r="Z937" s="166"/>
      <c r="AA937" s="164">
        <f>($L937*'Pivot Objective'!$C$9^4)*Y937*Z937</f>
        <v>0</v>
      </c>
      <c r="AB937" s="166"/>
      <c r="AC937" s="166"/>
      <c r="AD937" s="164">
        <f>($L937*'Pivot Objective'!$C$9^5)*AB937*AC937</f>
        <v>0</v>
      </c>
      <c r="AE937" s="145">
        <v>900</v>
      </c>
      <c r="AF937" s="145">
        <v>5</v>
      </c>
      <c r="AG937" s="164">
        <f>($L937*'Pivot Objective'!$C$9^6)*AE937*AF937</f>
        <v>2864627.8712581401</v>
      </c>
      <c r="AH937" s="166"/>
      <c r="AI937" s="166"/>
      <c r="AJ937" s="164">
        <f>($L937*'Pivot Objective'!$C$9^7)*AH937*AI937</f>
        <v>0</v>
      </c>
      <c r="AK937" s="185">
        <f t="shared" si="104"/>
        <v>4149827.8712581405</v>
      </c>
      <c r="AL937" s="186">
        <f t="shared" si="105"/>
        <v>4028.9590983088742</v>
      </c>
    </row>
    <row r="938" spans="1:38" customFormat="1" ht="57.6" x14ac:dyDescent="0.3">
      <c r="A938" s="140" t="s">
        <v>1445</v>
      </c>
      <c r="B938" s="140">
        <v>1</v>
      </c>
      <c r="C938" s="166" t="s">
        <v>836</v>
      </c>
      <c r="D938" s="140" t="str">
        <f t="shared" si="100"/>
        <v>6</v>
      </c>
      <c r="E938" s="166" t="s">
        <v>1136</v>
      </c>
      <c r="F938" s="140">
        <f t="shared" si="106"/>
        <v>1</v>
      </c>
      <c r="G938" s="140" t="str">
        <f t="shared" si="101"/>
        <v>1.6.1</v>
      </c>
      <c r="H938" s="166" t="s">
        <v>1710</v>
      </c>
      <c r="I938" s="166" t="s">
        <v>1327</v>
      </c>
      <c r="J938" s="143" t="s">
        <v>151</v>
      </c>
      <c r="K938" s="143" t="s">
        <v>714</v>
      </c>
      <c r="L938" s="144">
        <v>10000</v>
      </c>
      <c r="M938" s="145">
        <v>20</v>
      </c>
      <c r="N938" s="145">
        <v>1</v>
      </c>
      <c r="O938" s="164">
        <f t="shared" si="103"/>
        <v>200000</v>
      </c>
      <c r="P938" s="166"/>
      <c r="Q938" s="166"/>
      <c r="R938" s="164">
        <f>$L938*'Pivot Objective'!$C$9*P938*Q938</f>
        <v>0</v>
      </c>
      <c r="S938" s="166"/>
      <c r="T938" s="166"/>
      <c r="U938" s="164">
        <f>($L938*'Pivot Objective'!$C$9^2)*S938*T938</f>
        <v>0</v>
      </c>
      <c r="V938" s="166"/>
      <c r="W938" s="166"/>
      <c r="X938" s="164">
        <f>($L938*'Pivot Objective'!$C$9^3)*V938*W938</f>
        <v>0</v>
      </c>
      <c r="Y938" s="166"/>
      <c r="Z938" s="166"/>
      <c r="AA938" s="164">
        <f>($L938*'Pivot Objective'!$C$9^4)*Y938*Z938</f>
        <v>0</v>
      </c>
      <c r="AB938" s="166"/>
      <c r="AC938" s="166"/>
      <c r="AD938" s="164">
        <f>($L938*'Pivot Objective'!$C$9^5)*AB938*AC938</f>
        <v>0</v>
      </c>
      <c r="AE938" s="145">
        <v>20</v>
      </c>
      <c r="AF938" s="145">
        <v>1</v>
      </c>
      <c r="AG938" s="164">
        <f>($L938*'Pivot Objective'!$C$9^6)*AE938*AF938</f>
        <v>445787.09481141303</v>
      </c>
      <c r="AH938" s="166"/>
      <c r="AI938" s="166"/>
      <c r="AJ938" s="164">
        <f>($L938*'Pivot Objective'!$C$9^7)*AH938*AI938</f>
        <v>0</v>
      </c>
      <c r="AK938" s="185">
        <f t="shared" si="104"/>
        <v>645787.09481141297</v>
      </c>
      <c r="AL938" s="186">
        <f t="shared" si="105"/>
        <v>626.97776195282813</v>
      </c>
    </row>
    <row r="939" spans="1:38" customFormat="1" ht="57.6" x14ac:dyDescent="0.3">
      <c r="A939" s="140" t="s">
        <v>1445</v>
      </c>
      <c r="B939" s="140">
        <v>1</v>
      </c>
      <c r="C939" s="166" t="s">
        <v>836</v>
      </c>
      <c r="D939" s="140" t="str">
        <f t="shared" si="100"/>
        <v>6</v>
      </c>
      <c r="E939" s="166" t="s">
        <v>1136</v>
      </c>
      <c r="F939" s="140">
        <f t="shared" si="106"/>
        <v>1</v>
      </c>
      <c r="G939" s="140" t="str">
        <f t="shared" si="101"/>
        <v>1.6.1</v>
      </c>
      <c r="H939" s="166" t="s">
        <v>1710</v>
      </c>
      <c r="I939" s="166" t="s">
        <v>1327</v>
      </c>
      <c r="J939" s="143" t="s">
        <v>151</v>
      </c>
      <c r="K939" s="143" t="s">
        <v>715</v>
      </c>
      <c r="L939" s="144">
        <v>302000</v>
      </c>
      <c r="M939" s="145">
        <v>26</v>
      </c>
      <c r="N939" s="145">
        <v>1</v>
      </c>
      <c r="O939" s="164">
        <f t="shared" si="103"/>
        <v>7852000</v>
      </c>
      <c r="P939" s="166"/>
      <c r="Q939" s="166"/>
      <c r="R939" s="164">
        <f>$L939*'Pivot Objective'!$C$9*P939*Q939</f>
        <v>0</v>
      </c>
      <c r="S939" s="166"/>
      <c r="T939" s="166"/>
      <c r="U939" s="164">
        <f>($L939*'Pivot Objective'!$C$9^2)*S939*T939</f>
        <v>0</v>
      </c>
      <c r="V939" s="166"/>
      <c r="W939" s="166"/>
      <c r="X939" s="164">
        <f>($L939*'Pivot Objective'!$C$9^3)*V939*W939</f>
        <v>0</v>
      </c>
      <c r="Y939" s="166"/>
      <c r="Z939" s="166"/>
      <c r="AA939" s="164">
        <f>($L939*'Pivot Objective'!$C$9^4)*Y939*Z939</f>
        <v>0</v>
      </c>
      <c r="AB939" s="166"/>
      <c r="AC939" s="166"/>
      <c r="AD939" s="164">
        <f>($L939*'Pivot Objective'!$C$9^5)*AB939*AC939</f>
        <v>0</v>
      </c>
      <c r="AE939" s="145">
        <v>26</v>
      </c>
      <c r="AF939" s="145">
        <v>1</v>
      </c>
      <c r="AG939" s="164">
        <f>($L939*'Pivot Objective'!$C$9^6)*AE939*AF939</f>
        <v>17501601.342296075</v>
      </c>
      <c r="AH939" s="166"/>
      <c r="AI939" s="166"/>
      <c r="AJ939" s="164">
        <f>($L939*'Pivot Objective'!$C$9^7)*AH939*AI939</f>
        <v>0</v>
      </c>
      <c r="AK939" s="185">
        <f t="shared" si="104"/>
        <v>25353601.342296075</v>
      </c>
      <c r="AL939" s="186">
        <f t="shared" si="105"/>
        <v>24615.146934268036</v>
      </c>
    </row>
    <row r="940" spans="1:38" customFormat="1" ht="57.6" x14ac:dyDescent="0.3">
      <c r="A940" s="140" t="s">
        <v>1445</v>
      </c>
      <c r="B940" s="140">
        <v>1</v>
      </c>
      <c r="C940" s="166" t="s">
        <v>836</v>
      </c>
      <c r="D940" s="140" t="str">
        <f t="shared" si="100"/>
        <v>6</v>
      </c>
      <c r="E940" s="166" t="s">
        <v>1136</v>
      </c>
      <c r="F940" s="140">
        <f t="shared" si="106"/>
        <v>1</v>
      </c>
      <c r="G940" s="140" t="str">
        <f t="shared" si="101"/>
        <v>1.6.1</v>
      </c>
      <c r="H940" s="166" t="s">
        <v>1710</v>
      </c>
      <c r="I940" s="166" t="s">
        <v>1327</v>
      </c>
      <c r="J940" s="143" t="s">
        <v>152</v>
      </c>
      <c r="K940" s="143" t="s">
        <v>709</v>
      </c>
      <c r="L940" s="144">
        <v>35000</v>
      </c>
      <c r="M940" s="145">
        <v>26</v>
      </c>
      <c r="N940" s="145">
        <v>5</v>
      </c>
      <c r="O940" s="164">
        <f t="shared" si="103"/>
        <v>4550000</v>
      </c>
      <c r="P940" s="166"/>
      <c r="Q940" s="166"/>
      <c r="R940" s="164">
        <f>$L940*'Pivot Objective'!$C$9*P940*Q940</f>
        <v>0</v>
      </c>
      <c r="S940" s="166"/>
      <c r="T940" s="166"/>
      <c r="U940" s="164">
        <f>($L940*'Pivot Objective'!$C$9^2)*S940*T940</f>
        <v>0</v>
      </c>
      <c r="V940" s="166"/>
      <c r="W940" s="166"/>
      <c r="X940" s="164">
        <f>($L940*'Pivot Objective'!$C$9^3)*V940*W940</f>
        <v>0</v>
      </c>
      <c r="Y940" s="166"/>
      <c r="Z940" s="166"/>
      <c r="AA940" s="164">
        <f>($L940*'Pivot Objective'!$C$9^4)*Y940*Z940</f>
        <v>0</v>
      </c>
      <c r="AB940" s="166"/>
      <c r="AC940" s="166"/>
      <c r="AD940" s="164">
        <f>($L940*'Pivot Objective'!$C$9^5)*AB940*AC940</f>
        <v>0</v>
      </c>
      <c r="AE940" s="145">
        <v>26</v>
      </c>
      <c r="AF940" s="145">
        <v>5</v>
      </c>
      <c r="AG940" s="164">
        <f>($L940*'Pivot Objective'!$C$9^6)*AE940*AF940</f>
        <v>10141656.406959645</v>
      </c>
      <c r="AH940" s="166"/>
      <c r="AI940" s="166"/>
      <c r="AJ940" s="164">
        <f>($L940*'Pivot Objective'!$C$9^7)*AH940*AI940</f>
        <v>0</v>
      </c>
      <c r="AK940" s="185">
        <f t="shared" si="104"/>
        <v>14691656.406959645</v>
      </c>
      <c r="AL940" s="186">
        <f t="shared" si="105"/>
        <v>14263.74408442684</v>
      </c>
    </row>
    <row r="941" spans="1:38" customFormat="1" ht="57.6" x14ac:dyDescent="0.3">
      <c r="A941" s="140" t="s">
        <v>1445</v>
      </c>
      <c r="B941" s="140">
        <v>1</v>
      </c>
      <c r="C941" s="166" t="s">
        <v>836</v>
      </c>
      <c r="D941" s="140" t="str">
        <f t="shared" si="100"/>
        <v>6</v>
      </c>
      <c r="E941" s="166" t="s">
        <v>1136</v>
      </c>
      <c r="F941" s="140">
        <f t="shared" si="106"/>
        <v>1</v>
      </c>
      <c r="G941" s="140" t="str">
        <f t="shared" si="101"/>
        <v>1.6.1</v>
      </c>
      <c r="H941" s="166" t="s">
        <v>1710</v>
      </c>
      <c r="I941" s="166" t="s">
        <v>1327</v>
      </c>
      <c r="J941" s="143" t="s">
        <v>152</v>
      </c>
      <c r="K941" s="143" t="s">
        <v>712</v>
      </c>
      <c r="L941" s="144">
        <v>285.60000000000002</v>
      </c>
      <c r="M941" s="145">
        <v>450</v>
      </c>
      <c r="N941" s="145">
        <v>5</v>
      </c>
      <c r="O941" s="164">
        <f t="shared" si="103"/>
        <v>642600.00000000012</v>
      </c>
      <c r="P941" s="166"/>
      <c r="Q941" s="166"/>
      <c r="R941" s="164">
        <f>$L941*'Pivot Objective'!$C$9*P941*Q941</f>
        <v>0</v>
      </c>
      <c r="S941" s="166"/>
      <c r="T941" s="166"/>
      <c r="U941" s="164">
        <f>($L941*'Pivot Objective'!$C$9^2)*S941*T941</f>
        <v>0</v>
      </c>
      <c r="V941" s="166"/>
      <c r="W941" s="166"/>
      <c r="X941" s="164">
        <f>($L941*'Pivot Objective'!$C$9^3)*V941*W941</f>
        <v>0</v>
      </c>
      <c r="Y941" s="166"/>
      <c r="Z941" s="166"/>
      <c r="AA941" s="164">
        <f>($L941*'Pivot Objective'!$C$9^4)*Y941*Z941</f>
        <v>0</v>
      </c>
      <c r="AB941" s="166"/>
      <c r="AC941" s="166"/>
      <c r="AD941" s="164">
        <f>($L941*'Pivot Objective'!$C$9^5)*AB941*AC941</f>
        <v>0</v>
      </c>
      <c r="AE941" s="145">
        <v>450</v>
      </c>
      <c r="AF941" s="145">
        <v>5</v>
      </c>
      <c r="AG941" s="164">
        <f>($L941*'Pivot Objective'!$C$9^6)*AE941*AF941</f>
        <v>1432313.93562907</v>
      </c>
      <c r="AH941" s="166"/>
      <c r="AI941" s="166"/>
      <c r="AJ941" s="164">
        <f>($L941*'Pivot Objective'!$C$9^7)*AH941*AI941</f>
        <v>0</v>
      </c>
      <c r="AK941" s="185">
        <f t="shared" si="104"/>
        <v>2074913.9356290703</v>
      </c>
      <c r="AL941" s="186">
        <f t="shared" si="105"/>
        <v>2014.4795491544371</v>
      </c>
    </row>
    <row r="942" spans="1:38" customFormat="1" ht="57.6" x14ac:dyDescent="0.3">
      <c r="A942" s="140" t="s">
        <v>1445</v>
      </c>
      <c r="B942" s="140">
        <v>1</v>
      </c>
      <c r="C942" s="166" t="s">
        <v>836</v>
      </c>
      <c r="D942" s="140" t="str">
        <f t="shared" si="100"/>
        <v>6</v>
      </c>
      <c r="E942" s="166" t="s">
        <v>1136</v>
      </c>
      <c r="F942" s="140">
        <f t="shared" si="106"/>
        <v>1</v>
      </c>
      <c r="G942" s="140" t="str">
        <f t="shared" si="101"/>
        <v>1.6.1</v>
      </c>
      <c r="H942" s="166" t="s">
        <v>1710</v>
      </c>
      <c r="I942" s="166" t="s">
        <v>1327</v>
      </c>
      <c r="J942" s="143" t="s">
        <v>152</v>
      </c>
      <c r="K942" s="143" t="s">
        <v>1312</v>
      </c>
      <c r="L942" s="144">
        <v>285.60000000000002</v>
      </c>
      <c r="M942" s="145">
        <v>2700</v>
      </c>
      <c r="N942" s="145">
        <v>1</v>
      </c>
      <c r="O942" s="164">
        <f t="shared" si="103"/>
        <v>771120.00000000012</v>
      </c>
      <c r="P942" s="166"/>
      <c r="Q942" s="166"/>
      <c r="R942" s="164">
        <f>$L942*'Pivot Objective'!$C$9*P942*Q942</f>
        <v>0</v>
      </c>
      <c r="S942" s="166"/>
      <c r="T942" s="166"/>
      <c r="U942" s="164">
        <f>($L942*'Pivot Objective'!$C$9^2)*S942*T942</f>
        <v>0</v>
      </c>
      <c r="V942" s="166"/>
      <c r="W942" s="166"/>
      <c r="X942" s="164">
        <f>($L942*'Pivot Objective'!$C$9^3)*V942*W942</f>
        <v>0</v>
      </c>
      <c r="Y942" s="166"/>
      <c r="Z942" s="166"/>
      <c r="AA942" s="164">
        <f>($L942*'Pivot Objective'!$C$9^4)*Y942*Z942</f>
        <v>0</v>
      </c>
      <c r="AB942" s="166"/>
      <c r="AC942" s="166"/>
      <c r="AD942" s="164">
        <f>($L942*'Pivot Objective'!$C$9^5)*AB942*AC942</f>
        <v>0</v>
      </c>
      <c r="AE942" s="145">
        <v>2700</v>
      </c>
      <c r="AF942" s="145">
        <v>1</v>
      </c>
      <c r="AG942" s="164">
        <f>($L942*'Pivot Objective'!$C$9^6)*AE942*AF942</f>
        <v>1718776.722754884</v>
      </c>
      <c r="AH942" s="166"/>
      <c r="AI942" s="166"/>
      <c r="AJ942" s="164">
        <f>($L942*'Pivot Objective'!$C$9^7)*AH942*AI942</f>
        <v>0</v>
      </c>
      <c r="AK942" s="185">
        <f t="shared" si="104"/>
        <v>2489896.722754884</v>
      </c>
      <c r="AL942" s="186">
        <f t="shared" si="105"/>
        <v>2417.3754589853243</v>
      </c>
    </row>
    <row r="943" spans="1:38" customFormat="1" ht="57.6" x14ac:dyDescent="0.3">
      <c r="A943" s="140" t="s">
        <v>1445</v>
      </c>
      <c r="B943" s="140">
        <v>1</v>
      </c>
      <c r="C943" s="166" t="s">
        <v>836</v>
      </c>
      <c r="D943" s="140" t="str">
        <f t="shared" si="100"/>
        <v>6</v>
      </c>
      <c r="E943" s="166" t="s">
        <v>1136</v>
      </c>
      <c r="F943" s="140">
        <f t="shared" si="106"/>
        <v>1</v>
      </c>
      <c r="G943" s="140" t="str">
        <f t="shared" si="101"/>
        <v>1.6.1</v>
      </c>
      <c r="H943" s="166" t="s">
        <v>1710</v>
      </c>
      <c r="I943" s="166" t="s">
        <v>1327</v>
      </c>
      <c r="J943" s="143" t="s">
        <v>152</v>
      </c>
      <c r="K943" s="143" t="s">
        <v>716</v>
      </c>
      <c r="L943" s="144">
        <v>39000</v>
      </c>
      <c r="M943" s="145">
        <v>26</v>
      </c>
      <c r="N943" s="145">
        <v>6</v>
      </c>
      <c r="O943" s="164">
        <f t="shared" si="103"/>
        <v>6084000</v>
      </c>
      <c r="P943" s="166"/>
      <c r="Q943" s="166"/>
      <c r="R943" s="164">
        <f>$L943*'Pivot Objective'!$C$9*P943*Q943</f>
        <v>0</v>
      </c>
      <c r="S943" s="166"/>
      <c r="T943" s="166"/>
      <c r="U943" s="164">
        <f>($L943*'Pivot Objective'!$C$9^2)*S943*T943</f>
        <v>0</v>
      </c>
      <c r="V943" s="166"/>
      <c r="W943" s="166"/>
      <c r="X943" s="164">
        <f>($L943*'Pivot Objective'!$C$9^3)*V943*W943</f>
        <v>0</v>
      </c>
      <c r="Y943" s="166"/>
      <c r="Z943" s="166"/>
      <c r="AA943" s="164">
        <f>($L943*'Pivot Objective'!$C$9^4)*Y943*Z943</f>
        <v>0</v>
      </c>
      <c r="AB943" s="166"/>
      <c r="AC943" s="166"/>
      <c r="AD943" s="164">
        <f>($L943*'Pivot Objective'!$C$9^5)*AB943*AC943</f>
        <v>0</v>
      </c>
      <c r="AE943" s="145">
        <v>26</v>
      </c>
      <c r="AF943" s="145">
        <v>6</v>
      </c>
      <c r="AG943" s="164">
        <f>($L943*'Pivot Objective'!$C$9^6)*AE943*AF943</f>
        <v>13560843.424163185</v>
      </c>
      <c r="AH943" s="166"/>
      <c r="AI943" s="166"/>
      <c r="AJ943" s="164">
        <f>($L943*'Pivot Objective'!$C$9^7)*AH943*AI943</f>
        <v>0</v>
      </c>
      <c r="AK943" s="185">
        <f t="shared" si="104"/>
        <v>19644843.424163185</v>
      </c>
      <c r="AL943" s="186">
        <f t="shared" si="105"/>
        <v>19072.663518605033</v>
      </c>
    </row>
    <row r="944" spans="1:38" customFormat="1" ht="57.6" x14ac:dyDescent="0.3">
      <c r="A944" s="140" t="s">
        <v>1445</v>
      </c>
      <c r="B944" s="140">
        <v>1</v>
      </c>
      <c r="C944" s="166" t="s">
        <v>836</v>
      </c>
      <c r="D944" s="140" t="str">
        <f t="shared" si="100"/>
        <v>6</v>
      </c>
      <c r="E944" s="166" t="s">
        <v>1136</v>
      </c>
      <c r="F944" s="140">
        <f t="shared" si="106"/>
        <v>1</v>
      </c>
      <c r="G944" s="140" t="str">
        <f t="shared" si="101"/>
        <v>1.6.1</v>
      </c>
      <c r="H944" s="166" t="s">
        <v>1710</v>
      </c>
      <c r="I944" s="166" t="s">
        <v>1327</v>
      </c>
      <c r="J944" s="143" t="s">
        <v>847</v>
      </c>
      <c r="K944" s="143" t="s">
        <v>841</v>
      </c>
      <c r="L944" s="144">
        <v>0</v>
      </c>
      <c r="M944" s="145">
        <v>25</v>
      </c>
      <c r="N944" s="145">
        <v>5</v>
      </c>
      <c r="O944" s="164">
        <f t="shared" si="103"/>
        <v>0</v>
      </c>
      <c r="P944" s="166"/>
      <c r="Q944" s="166"/>
      <c r="R944" s="164">
        <f>$L944*'Pivot Objective'!$C$9*P944*Q944</f>
        <v>0</v>
      </c>
      <c r="S944" s="166"/>
      <c r="T944" s="166"/>
      <c r="U944" s="164">
        <f>($L944*'Pivot Objective'!$C$9^2)*S944*T944</f>
        <v>0</v>
      </c>
      <c r="V944" s="166"/>
      <c r="W944" s="166"/>
      <c r="X944" s="164">
        <f>($L944*'Pivot Objective'!$C$9^3)*V944*W944</f>
        <v>0</v>
      </c>
      <c r="Y944" s="166"/>
      <c r="Z944" s="166"/>
      <c r="AA944" s="164">
        <f>($L944*'Pivot Objective'!$C$9^4)*Y944*Z944</f>
        <v>0</v>
      </c>
      <c r="AB944" s="166"/>
      <c r="AC944" s="166"/>
      <c r="AD944" s="164">
        <f>($L944*'Pivot Objective'!$C$9^5)*AB944*AC944</f>
        <v>0</v>
      </c>
      <c r="AE944" s="145">
        <v>25</v>
      </c>
      <c r="AF944" s="145">
        <v>5</v>
      </c>
      <c r="AG944" s="164">
        <f>($L944*'Pivot Objective'!$C$9^6)*AE944*AF944</f>
        <v>0</v>
      </c>
      <c r="AH944" s="166"/>
      <c r="AI944" s="166"/>
      <c r="AJ944" s="164">
        <f>($L944*'Pivot Objective'!$C$9^7)*AH944*AI944</f>
        <v>0</v>
      </c>
      <c r="AK944" s="185">
        <f t="shared" si="104"/>
        <v>0</v>
      </c>
      <c r="AL944" s="186">
        <f t="shared" si="105"/>
        <v>0</v>
      </c>
    </row>
    <row r="945" spans="1:38" customFormat="1" ht="57.6" x14ac:dyDescent="0.3">
      <c r="A945" s="140" t="s">
        <v>1445</v>
      </c>
      <c r="B945" s="140">
        <v>1</v>
      </c>
      <c r="C945" s="166" t="s">
        <v>836</v>
      </c>
      <c r="D945" s="140" t="str">
        <f t="shared" ref="D945:D1008" si="107">RIGHT(A945,1)</f>
        <v>6</v>
      </c>
      <c r="E945" s="166" t="s">
        <v>1136</v>
      </c>
      <c r="F945" s="140">
        <f t="shared" si="106"/>
        <v>1</v>
      </c>
      <c r="G945" s="140" t="str">
        <f t="shared" si="101"/>
        <v>1.6.1</v>
      </c>
      <c r="H945" s="166" t="s">
        <v>1710</v>
      </c>
      <c r="I945" s="166" t="s">
        <v>1327</v>
      </c>
      <c r="J945" s="143" t="s">
        <v>1298</v>
      </c>
      <c r="K945" s="143" t="s">
        <v>709</v>
      </c>
      <c r="L945" s="144">
        <v>35000</v>
      </c>
      <c r="M945" s="145">
        <v>75</v>
      </c>
      <c r="N945" s="145">
        <v>1</v>
      </c>
      <c r="O945" s="164">
        <f t="shared" si="103"/>
        <v>2625000</v>
      </c>
      <c r="P945" s="166"/>
      <c r="Q945" s="166"/>
      <c r="R945" s="164">
        <f>$L945*'Pivot Objective'!$C$9*P945*Q945</f>
        <v>0</v>
      </c>
      <c r="S945" s="166"/>
      <c r="T945" s="166"/>
      <c r="U945" s="164">
        <f>($L945*'Pivot Objective'!$C$9^2)*S945*T945</f>
        <v>0</v>
      </c>
      <c r="V945" s="166"/>
      <c r="W945" s="166"/>
      <c r="X945" s="164">
        <f>($L945*'Pivot Objective'!$C$9^3)*V945*W945</f>
        <v>0</v>
      </c>
      <c r="Y945" s="166"/>
      <c r="Z945" s="166"/>
      <c r="AA945" s="164">
        <f>($L945*'Pivot Objective'!$C$9^4)*Y945*Z945</f>
        <v>0</v>
      </c>
      <c r="AB945" s="166"/>
      <c r="AC945" s="166"/>
      <c r="AD945" s="164">
        <f>($L945*'Pivot Objective'!$C$9^5)*AB945*AC945</f>
        <v>0</v>
      </c>
      <c r="AE945" s="145">
        <v>75</v>
      </c>
      <c r="AF945" s="145">
        <v>1</v>
      </c>
      <c r="AG945" s="164">
        <f>($L945*'Pivot Objective'!$C$9^6)*AE945*AF945</f>
        <v>5850955.6193997953</v>
      </c>
      <c r="AH945" s="166"/>
      <c r="AI945" s="166"/>
      <c r="AJ945" s="164">
        <f>($L945*'Pivot Objective'!$C$9^7)*AH945*AI945</f>
        <v>0</v>
      </c>
      <c r="AK945" s="185">
        <f t="shared" si="104"/>
        <v>8475955.6193997953</v>
      </c>
      <c r="AL945" s="186">
        <f t="shared" si="105"/>
        <v>8229.0831256308684</v>
      </c>
    </row>
    <row r="946" spans="1:38" customFormat="1" ht="57.6" x14ac:dyDescent="0.3">
      <c r="A946" s="140" t="s">
        <v>1445</v>
      </c>
      <c r="B946" s="140">
        <v>1</v>
      </c>
      <c r="C946" s="166" t="s">
        <v>836</v>
      </c>
      <c r="D946" s="140" t="str">
        <f t="shared" si="107"/>
        <v>6</v>
      </c>
      <c r="E946" s="166" t="s">
        <v>1136</v>
      </c>
      <c r="F946" s="140">
        <f t="shared" si="106"/>
        <v>1</v>
      </c>
      <c r="G946" s="140" t="str">
        <f t="shared" ref="G946:G1009" si="108">B946&amp;"."&amp;D946&amp;"."&amp;F946</f>
        <v>1.6.1</v>
      </c>
      <c r="H946" s="166" t="s">
        <v>1710</v>
      </c>
      <c r="I946" s="166" t="s">
        <v>1327</v>
      </c>
      <c r="J946" s="143" t="s">
        <v>1298</v>
      </c>
      <c r="K946" s="143" t="s">
        <v>716</v>
      </c>
      <c r="L946" s="144">
        <v>39000</v>
      </c>
      <c r="M946" s="145">
        <v>58</v>
      </c>
      <c r="N946" s="145">
        <v>2</v>
      </c>
      <c r="O946" s="164">
        <f t="shared" si="103"/>
        <v>4524000</v>
      </c>
      <c r="P946" s="166"/>
      <c r="Q946" s="166"/>
      <c r="R946" s="164">
        <f>$L946*'Pivot Objective'!$C$9*P946*Q946</f>
        <v>0</v>
      </c>
      <c r="S946" s="166"/>
      <c r="T946" s="166"/>
      <c r="U946" s="164">
        <f>($L946*'Pivot Objective'!$C$9^2)*S946*T946</f>
        <v>0</v>
      </c>
      <c r="V946" s="166"/>
      <c r="W946" s="166"/>
      <c r="X946" s="164">
        <f>($L946*'Pivot Objective'!$C$9^3)*V946*W946</f>
        <v>0</v>
      </c>
      <c r="Y946" s="166"/>
      <c r="Z946" s="166"/>
      <c r="AA946" s="164">
        <f>($L946*'Pivot Objective'!$C$9^4)*Y946*Z946</f>
        <v>0</v>
      </c>
      <c r="AB946" s="166"/>
      <c r="AC946" s="166"/>
      <c r="AD946" s="164">
        <f>($L946*'Pivot Objective'!$C$9^5)*AB946*AC946</f>
        <v>0</v>
      </c>
      <c r="AE946" s="145">
        <v>58</v>
      </c>
      <c r="AF946" s="145">
        <v>2</v>
      </c>
      <c r="AG946" s="164">
        <f>($L946*'Pivot Objective'!$C$9^6)*AE946*AF946</f>
        <v>10083704.084634162</v>
      </c>
      <c r="AH946" s="166"/>
      <c r="AI946" s="166"/>
      <c r="AJ946" s="164">
        <f>($L946*'Pivot Objective'!$C$9^7)*AH946*AI946</f>
        <v>0</v>
      </c>
      <c r="AK946" s="185">
        <f t="shared" si="104"/>
        <v>14607704.084634162</v>
      </c>
      <c r="AL946" s="186">
        <f t="shared" si="105"/>
        <v>14182.236975372973</v>
      </c>
    </row>
    <row r="947" spans="1:38" customFormat="1" ht="57.6" x14ac:dyDescent="0.3">
      <c r="A947" s="140" t="s">
        <v>1445</v>
      </c>
      <c r="B947" s="140">
        <v>1</v>
      </c>
      <c r="C947" s="166" t="s">
        <v>836</v>
      </c>
      <c r="D947" s="140" t="str">
        <f t="shared" si="107"/>
        <v>6</v>
      </c>
      <c r="E947" s="166" t="s">
        <v>1136</v>
      </c>
      <c r="F947" s="140">
        <f t="shared" si="106"/>
        <v>1</v>
      </c>
      <c r="G947" s="140" t="str">
        <f t="shared" si="108"/>
        <v>1.6.1</v>
      </c>
      <c r="H947" s="166" t="s">
        <v>1710</v>
      </c>
      <c r="I947" s="166" t="s">
        <v>1327</v>
      </c>
      <c r="J947" s="143" t="s">
        <v>154</v>
      </c>
      <c r="K947" s="143" t="s">
        <v>1297</v>
      </c>
      <c r="L947" s="144">
        <v>8000</v>
      </c>
      <c r="M947" s="145">
        <v>10</v>
      </c>
      <c r="N947" s="145">
        <v>1</v>
      </c>
      <c r="O947" s="164">
        <f t="shared" si="103"/>
        <v>80000</v>
      </c>
      <c r="P947" s="166"/>
      <c r="Q947" s="166"/>
      <c r="R947" s="164">
        <f>$L947*'Pivot Objective'!$C$9*P947*Q947</f>
        <v>0</v>
      </c>
      <c r="S947" s="166"/>
      <c r="T947" s="166"/>
      <c r="U947" s="164">
        <f>($L947*'Pivot Objective'!$C$9^2)*S947*T947</f>
        <v>0</v>
      </c>
      <c r="V947" s="166"/>
      <c r="W947" s="166"/>
      <c r="X947" s="164">
        <f>($L947*'Pivot Objective'!$C$9^3)*V947*W947</f>
        <v>0</v>
      </c>
      <c r="Y947" s="166"/>
      <c r="Z947" s="166"/>
      <c r="AA947" s="164">
        <f>($L947*'Pivot Objective'!$C$9^4)*Y947*Z947</f>
        <v>0</v>
      </c>
      <c r="AB947" s="166"/>
      <c r="AC947" s="166"/>
      <c r="AD947" s="164">
        <f>($L947*'Pivot Objective'!$C$9^5)*AB947*AC947</f>
        <v>0</v>
      </c>
      <c r="AE947" s="145">
        <v>10</v>
      </c>
      <c r="AF947" s="145">
        <v>1</v>
      </c>
      <c r="AG947" s="164">
        <f>($L947*'Pivot Objective'!$C$9^6)*AE947*AF947</f>
        <v>178314.83792456522</v>
      </c>
      <c r="AH947" s="166"/>
      <c r="AI947" s="166"/>
      <c r="AJ947" s="164">
        <f>($L947*'Pivot Objective'!$C$9^7)*AH947*AI947</f>
        <v>0</v>
      </c>
      <c r="AK947" s="185">
        <f t="shared" si="104"/>
        <v>258314.83792456522</v>
      </c>
      <c r="AL947" s="186">
        <f t="shared" si="105"/>
        <v>250.79110478113128</v>
      </c>
    </row>
    <row r="948" spans="1:38" customFormat="1" ht="57.6" x14ac:dyDescent="0.3">
      <c r="A948" s="140" t="s">
        <v>1445</v>
      </c>
      <c r="B948" s="140">
        <v>1</v>
      </c>
      <c r="C948" s="166" t="s">
        <v>836</v>
      </c>
      <c r="D948" s="140" t="str">
        <f t="shared" si="107"/>
        <v>6</v>
      </c>
      <c r="E948" s="166" t="s">
        <v>1136</v>
      </c>
      <c r="F948" s="140">
        <f t="shared" si="106"/>
        <v>1</v>
      </c>
      <c r="G948" s="140" t="str">
        <f t="shared" si="108"/>
        <v>1.6.1</v>
      </c>
      <c r="H948" s="166" t="s">
        <v>1710</v>
      </c>
      <c r="I948" s="166" t="s">
        <v>1327</v>
      </c>
      <c r="J948" s="143" t="s">
        <v>154</v>
      </c>
      <c r="K948" s="143" t="s">
        <v>717</v>
      </c>
      <c r="L948" s="144">
        <v>104850</v>
      </c>
      <c r="M948" s="145">
        <v>1</v>
      </c>
      <c r="N948" s="145">
        <v>1</v>
      </c>
      <c r="O948" s="164">
        <f t="shared" si="103"/>
        <v>104850</v>
      </c>
      <c r="P948" s="166"/>
      <c r="Q948" s="166"/>
      <c r="R948" s="164">
        <f>$L948*'Pivot Objective'!$C$9*P948*Q948</f>
        <v>0</v>
      </c>
      <c r="S948" s="166"/>
      <c r="T948" s="166"/>
      <c r="U948" s="164">
        <f>($L948*'Pivot Objective'!$C$9^2)*S948*T948</f>
        <v>0</v>
      </c>
      <c r="V948" s="166"/>
      <c r="W948" s="166"/>
      <c r="X948" s="164">
        <f>($L948*'Pivot Objective'!$C$9^3)*V948*W948</f>
        <v>0</v>
      </c>
      <c r="Y948" s="166"/>
      <c r="Z948" s="166"/>
      <c r="AA948" s="164">
        <f>($L948*'Pivot Objective'!$C$9^4)*Y948*Z948</f>
        <v>0</v>
      </c>
      <c r="AB948" s="166"/>
      <c r="AC948" s="166"/>
      <c r="AD948" s="164">
        <f>($L948*'Pivot Objective'!$C$9^5)*AB948*AC948</f>
        <v>0</v>
      </c>
      <c r="AE948" s="145">
        <v>1</v>
      </c>
      <c r="AF948" s="145">
        <v>1</v>
      </c>
      <c r="AG948" s="164">
        <f>($L948*'Pivot Objective'!$C$9^6)*AE948*AF948</f>
        <v>233703.88445488326</v>
      </c>
      <c r="AH948" s="166"/>
      <c r="AI948" s="166"/>
      <c r="AJ948" s="164">
        <f>($L948*'Pivot Objective'!$C$9^7)*AH948*AI948</f>
        <v>0</v>
      </c>
      <c r="AK948" s="185">
        <f t="shared" si="104"/>
        <v>338553.88445488329</v>
      </c>
      <c r="AL948" s="186">
        <f t="shared" si="105"/>
        <v>328.69309170377016</v>
      </c>
    </row>
    <row r="949" spans="1:38" customFormat="1" ht="57.6" x14ac:dyDescent="0.3">
      <c r="A949" s="140" t="s">
        <v>1445</v>
      </c>
      <c r="B949" s="140">
        <v>1</v>
      </c>
      <c r="C949" s="166" t="s">
        <v>836</v>
      </c>
      <c r="D949" s="140" t="str">
        <f t="shared" si="107"/>
        <v>6</v>
      </c>
      <c r="E949" s="166" t="s">
        <v>1136</v>
      </c>
      <c r="F949" s="140">
        <f t="shared" si="106"/>
        <v>1</v>
      </c>
      <c r="G949" s="140" t="str">
        <f t="shared" si="108"/>
        <v>1.6.1</v>
      </c>
      <c r="H949" s="166" t="s">
        <v>1710</v>
      </c>
      <c r="I949" s="166" t="s">
        <v>1327</v>
      </c>
      <c r="J949" s="143" t="s">
        <v>154</v>
      </c>
      <c r="K949" s="143" t="s">
        <v>1299</v>
      </c>
      <c r="L949" s="144">
        <v>285.60000000000002</v>
      </c>
      <c r="M949" s="145">
        <v>22500</v>
      </c>
      <c r="N949" s="145">
        <v>1</v>
      </c>
      <c r="O949" s="164">
        <f t="shared" si="103"/>
        <v>6426000.0000000009</v>
      </c>
      <c r="P949" s="166"/>
      <c r="Q949" s="166"/>
      <c r="R949" s="164">
        <f>$L949*'Pivot Objective'!$C$9*P949*Q949</f>
        <v>0</v>
      </c>
      <c r="S949" s="166"/>
      <c r="T949" s="166"/>
      <c r="U949" s="164">
        <f>($L949*'Pivot Objective'!$C$9^2)*S949*T949</f>
        <v>0</v>
      </c>
      <c r="V949" s="166"/>
      <c r="W949" s="166"/>
      <c r="X949" s="164">
        <f>($L949*'Pivot Objective'!$C$9^3)*V949*W949</f>
        <v>0</v>
      </c>
      <c r="Y949" s="166"/>
      <c r="Z949" s="166"/>
      <c r="AA949" s="164">
        <f>($L949*'Pivot Objective'!$C$9^4)*Y949*Z949</f>
        <v>0</v>
      </c>
      <c r="AB949" s="166"/>
      <c r="AC949" s="166"/>
      <c r="AD949" s="164">
        <f>($L949*'Pivot Objective'!$C$9^5)*AB949*AC949</f>
        <v>0</v>
      </c>
      <c r="AE949" s="145">
        <v>22500</v>
      </c>
      <c r="AF949" s="145">
        <v>1</v>
      </c>
      <c r="AG949" s="164">
        <f>($L949*'Pivot Objective'!$C$9^6)*AE949*AF949</f>
        <v>14323139.3562907</v>
      </c>
      <c r="AH949" s="166"/>
      <c r="AI949" s="166"/>
      <c r="AJ949" s="164">
        <f>($L949*'Pivot Objective'!$C$9^7)*AH949*AI949</f>
        <v>0</v>
      </c>
      <c r="AK949" s="185">
        <f t="shared" si="104"/>
        <v>20749139.356290702</v>
      </c>
      <c r="AL949" s="186">
        <f t="shared" si="105"/>
        <v>20144.79549154437</v>
      </c>
    </row>
    <row r="950" spans="1:38" customFormat="1" ht="57.6" x14ac:dyDescent="0.3">
      <c r="A950" s="140" t="s">
        <v>1445</v>
      </c>
      <c r="B950" s="140">
        <v>1</v>
      </c>
      <c r="C950" s="166" t="s">
        <v>836</v>
      </c>
      <c r="D950" s="140" t="str">
        <f t="shared" si="107"/>
        <v>6</v>
      </c>
      <c r="E950" s="166" t="s">
        <v>1136</v>
      </c>
      <c r="F950" s="140">
        <f t="shared" si="106"/>
        <v>1</v>
      </c>
      <c r="G950" s="140" t="str">
        <f t="shared" si="108"/>
        <v>1.6.1</v>
      </c>
      <c r="H950" s="166" t="s">
        <v>1710</v>
      </c>
      <c r="I950" s="166" t="s">
        <v>1327</v>
      </c>
      <c r="J950" s="143" t="s">
        <v>154</v>
      </c>
      <c r="K950" s="143" t="s">
        <v>712</v>
      </c>
      <c r="L950" s="144">
        <v>285.60000000000002</v>
      </c>
      <c r="M950" s="145">
        <v>60</v>
      </c>
      <c r="N950" s="145">
        <v>1</v>
      </c>
      <c r="O950" s="164">
        <f t="shared" si="103"/>
        <v>17136</v>
      </c>
      <c r="P950" s="166"/>
      <c r="Q950" s="166"/>
      <c r="R950" s="164">
        <f>$L950*'Pivot Objective'!$C$9*P950*Q950</f>
        <v>0</v>
      </c>
      <c r="S950" s="166"/>
      <c r="T950" s="166"/>
      <c r="U950" s="164">
        <f>($L950*'Pivot Objective'!$C$9^2)*S950*T950</f>
        <v>0</v>
      </c>
      <c r="V950" s="166"/>
      <c r="W950" s="166"/>
      <c r="X950" s="164">
        <f>($L950*'Pivot Objective'!$C$9^3)*V950*W950</f>
        <v>0</v>
      </c>
      <c r="Y950" s="166"/>
      <c r="Z950" s="166"/>
      <c r="AA950" s="164">
        <f>($L950*'Pivot Objective'!$C$9^4)*Y950*Z950</f>
        <v>0</v>
      </c>
      <c r="AB950" s="166"/>
      <c r="AC950" s="166"/>
      <c r="AD950" s="164">
        <f>($L950*'Pivot Objective'!$C$9^5)*AB950*AC950</f>
        <v>0</v>
      </c>
      <c r="AE950" s="145">
        <v>60</v>
      </c>
      <c r="AF950" s="145">
        <v>1</v>
      </c>
      <c r="AG950" s="164">
        <f>($L950*'Pivot Objective'!$C$9^6)*AE950*AF950</f>
        <v>38195.038283441871</v>
      </c>
      <c r="AH950" s="166"/>
      <c r="AI950" s="166"/>
      <c r="AJ950" s="164">
        <f>($L950*'Pivot Objective'!$C$9^7)*AH950*AI950</f>
        <v>0</v>
      </c>
      <c r="AK950" s="185">
        <f t="shared" si="104"/>
        <v>55331.038283441871</v>
      </c>
      <c r="AL950" s="186">
        <f t="shared" si="105"/>
        <v>53.719454644118322</v>
      </c>
    </row>
    <row r="951" spans="1:38" customFormat="1" ht="57.6" x14ac:dyDescent="0.3">
      <c r="A951" s="140" t="s">
        <v>1445</v>
      </c>
      <c r="B951" s="140">
        <v>1</v>
      </c>
      <c r="C951" s="166" t="s">
        <v>836</v>
      </c>
      <c r="D951" s="140" t="str">
        <f t="shared" si="107"/>
        <v>6</v>
      </c>
      <c r="E951" s="166" t="s">
        <v>1136</v>
      </c>
      <c r="F951" s="140">
        <f t="shared" si="106"/>
        <v>1</v>
      </c>
      <c r="G951" s="140" t="str">
        <f t="shared" si="108"/>
        <v>1.6.1</v>
      </c>
      <c r="H951" s="166" t="s">
        <v>1710</v>
      </c>
      <c r="I951" s="166" t="s">
        <v>1327</v>
      </c>
      <c r="J951" s="143" t="s">
        <v>1341</v>
      </c>
      <c r="K951" s="143" t="s">
        <v>841</v>
      </c>
      <c r="L951" s="144">
        <v>0</v>
      </c>
      <c r="M951" s="145">
        <v>0</v>
      </c>
      <c r="N951" s="145">
        <v>0</v>
      </c>
      <c r="O951" s="164">
        <f t="shared" si="103"/>
        <v>0</v>
      </c>
      <c r="P951" s="166"/>
      <c r="Q951" s="166"/>
      <c r="R951" s="164">
        <f>$L951*'Pivot Objective'!$C$9*P951*Q951</f>
        <v>0</v>
      </c>
      <c r="S951" s="166"/>
      <c r="T951" s="166"/>
      <c r="U951" s="164">
        <f>($L951*'Pivot Objective'!$C$9^2)*S951*T951</f>
        <v>0</v>
      </c>
      <c r="V951" s="166"/>
      <c r="W951" s="166"/>
      <c r="X951" s="164">
        <f>($L951*'Pivot Objective'!$C$9^3)*V951*W951</f>
        <v>0</v>
      </c>
      <c r="Y951" s="166"/>
      <c r="Z951" s="166"/>
      <c r="AA951" s="164">
        <f>($L951*'Pivot Objective'!$C$9^4)*Y951*Z951</f>
        <v>0</v>
      </c>
      <c r="AB951" s="166"/>
      <c r="AC951" s="166"/>
      <c r="AD951" s="164">
        <f>($L951*'Pivot Objective'!$C$9^5)*AB951*AC951</f>
        <v>0</v>
      </c>
      <c r="AE951" s="145">
        <v>0</v>
      </c>
      <c r="AF951" s="145">
        <v>0</v>
      </c>
      <c r="AG951" s="164">
        <f>($L951*'Pivot Objective'!$C$9^6)*AE951*AF951</f>
        <v>0</v>
      </c>
      <c r="AH951" s="166"/>
      <c r="AI951" s="166"/>
      <c r="AJ951" s="164">
        <f>($L951*'Pivot Objective'!$C$9^7)*AH951*AI951</f>
        <v>0</v>
      </c>
      <c r="AK951" s="185">
        <f t="shared" si="104"/>
        <v>0</v>
      </c>
      <c r="AL951" s="186">
        <f t="shared" si="105"/>
        <v>0</v>
      </c>
    </row>
    <row r="952" spans="1:38" customFormat="1" ht="57.6" x14ac:dyDescent="0.3">
      <c r="A952" s="140" t="s">
        <v>1445</v>
      </c>
      <c r="B952" s="140">
        <v>1</v>
      </c>
      <c r="C952" s="166" t="s">
        <v>836</v>
      </c>
      <c r="D952" s="140" t="str">
        <f t="shared" si="107"/>
        <v>6</v>
      </c>
      <c r="E952" s="166" t="s">
        <v>1136</v>
      </c>
      <c r="F952" s="140">
        <f t="shared" si="106"/>
        <v>1</v>
      </c>
      <c r="G952" s="140" t="str">
        <f t="shared" si="108"/>
        <v>1.6.1</v>
      </c>
      <c r="H952" s="166" t="s">
        <v>1710</v>
      </c>
      <c r="I952" s="166" t="s">
        <v>1141</v>
      </c>
      <c r="J952" s="166" t="s">
        <v>1340</v>
      </c>
      <c r="K952" s="166" t="s">
        <v>709</v>
      </c>
      <c r="L952" s="166">
        <v>35000</v>
      </c>
      <c r="M952" s="166">
        <v>30</v>
      </c>
      <c r="N952" s="166">
        <v>15</v>
      </c>
      <c r="O952" s="164">
        <f t="shared" si="103"/>
        <v>15750000</v>
      </c>
      <c r="P952" s="166"/>
      <c r="Q952" s="166"/>
      <c r="R952" s="164">
        <f>$L952*'Pivot Objective'!$C$9*P952*Q952</f>
        <v>0</v>
      </c>
      <c r="S952" s="166"/>
      <c r="T952" s="166"/>
      <c r="U952" s="164">
        <f>($L952*'Pivot Objective'!$C$9^2)*S952*T952</f>
        <v>0</v>
      </c>
      <c r="V952" s="166"/>
      <c r="W952" s="166"/>
      <c r="X952" s="164">
        <f>($L952*'Pivot Objective'!$C$9^3)*V952*W952</f>
        <v>0</v>
      </c>
      <c r="Y952" s="166"/>
      <c r="Z952" s="166"/>
      <c r="AA952" s="164">
        <f>($L952*'Pivot Objective'!$C$9^4)*Y952*Z952</f>
        <v>0</v>
      </c>
      <c r="AB952" s="140"/>
      <c r="AC952" s="140"/>
      <c r="AD952" s="164">
        <f>($L952*'Pivot Objective'!$C$9^5)*AB952*AC952</f>
        <v>0</v>
      </c>
      <c r="AE952" s="166">
        <v>30</v>
      </c>
      <c r="AF952" s="166">
        <v>15</v>
      </c>
      <c r="AG952" s="164">
        <f>($L952*'Pivot Objective'!$C$9^6)*AE952*AF952</f>
        <v>35105733.716398776</v>
      </c>
      <c r="AH952" s="140"/>
      <c r="AI952" s="140"/>
      <c r="AJ952" s="164">
        <f>($L952*'Pivot Objective'!$C$9^7)*AH952*AI952</f>
        <v>0</v>
      </c>
      <c r="AK952" s="185">
        <f t="shared" si="104"/>
        <v>50855733.716398776</v>
      </c>
      <c r="AL952" s="186">
        <f t="shared" si="105"/>
        <v>49374.498753785221</v>
      </c>
    </row>
    <row r="953" spans="1:38" customFormat="1" ht="57.6" x14ac:dyDescent="0.3">
      <c r="A953" s="140" t="s">
        <v>1445</v>
      </c>
      <c r="B953" s="140">
        <v>1</v>
      </c>
      <c r="C953" s="166" t="s">
        <v>836</v>
      </c>
      <c r="D953" s="140" t="str">
        <f t="shared" si="107"/>
        <v>6</v>
      </c>
      <c r="E953" s="166" t="s">
        <v>1136</v>
      </c>
      <c r="F953" s="140">
        <f t="shared" si="106"/>
        <v>1</v>
      </c>
      <c r="G953" s="140" t="str">
        <f t="shared" si="108"/>
        <v>1.6.1</v>
      </c>
      <c r="H953" s="166" t="s">
        <v>1710</v>
      </c>
      <c r="I953" s="166" t="s">
        <v>1141</v>
      </c>
      <c r="J953" s="166" t="s">
        <v>1143</v>
      </c>
      <c r="K953" s="166" t="s">
        <v>841</v>
      </c>
      <c r="L953" s="166">
        <v>0</v>
      </c>
      <c r="M953" s="166">
        <v>0</v>
      </c>
      <c r="N953" s="166">
        <v>0</v>
      </c>
      <c r="O953" s="164">
        <f t="shared" si="103"/>
        <v>0</v>
      </c>
      <c r="P953" s="166"/>
      <c r="Q953" s="166"/>
      <c r="R953" s="164">
        <f>$L953*'Pivot Objective'!$C$9*P953*Q953</f>
        <v>0</v>
      </c>
      <c r="S953" s="166"/>
      <c r="T953" s="166"/>
      <c r="U953" s="164">
        <f>($L953*'Pivot Objective'!$C$9^2)*S953*T953</f>
        <v>0</v>
      </c>
      <c r="V953" s="166"/>
      <c r="W953" s="166"/>
      <c r="X953" s="164">
        <f>($L953*'Pivot Objective'!$C$9^3)*V953*W953</f>
        <v>0</v>
      </c>
      <c r="Y953" s="166"/>
      <c r="Z953" s="166"/>
      <c r="AA953" s="164">
        <f>($L953*'Pivot Objective'!$C$9^4)*Y953*Z953</f>
        <v>0</v>
      </c>
      <c r="AB953" s="140"/>
      <c r="AC953" s="140"/>
      <c r="AD953" s="164">
        <f>($L953*'Pivot Objective'!$C$9^5)*AB953*AC953</f>
        <v>0</v>
      </c>
      <c r="AE953" s="166">
        <v>0</v>
      </c>
      <c r="AF953" s="166">
        <v>0</v>
      </c>
      <c r="AG953" s="164">
        <f>($L953*'Pivot Objective'!$C$9^6)*AE953*AF953</f>
        <v>0</v>
      </c>
      <c r="AH953" s="140"/>
      <c r="AI953" s="140"/>
      <c r="AJ953" s="164">
        <f>($L953*'Pivot Objective'!$C$9^7)*AH953*AI953</f>
        <v>0</v>
      </c>
      <c r="AK953" s="185">
        <f t="shared" si="104"/>
        <v>0</v>
      </c>
      <c r="AL953" s="186">
        <f t="shared" si="105"/>
        <v>0</v>
      </c>
    </row>
    <row r="954" spans="1:38" customFormat="1" ht="57.6" x14ac:dyDescent="0.3">
      <c r="A954" s="140" t="s">
        <v>1445</v>
      </c>
      <c r="B954" s="140">
        <v>1</v>
      </c>
      <c r="C954" s="166" t="s">
        <v>836</v>
      </c>
      <c r="D954" s="140" t="str">
        <f t="shared" si="107"/>
        <v>6</v>
      </c>
      <c r="E954" s="166" t="s">
        <v>1136</v>
      </c>
      <c r="F954" s="140">
        <f t="shared" si="106"/>
        <v>1</v>
      </c>
      <c r="G954" s="140" t="str">
        <f t="shared" si="108"/>
        <v>1.6.1</v>
      </c>
      <c r="H954" s="166" t="s">
        <v>1710</v>
      </c>
      <c r="I954" s="166" t="s">
        <v>1141</v>
      </c>
      <c r="J954" s="166" t="s">
        <v>1144</v>
      </c>
      <c r="K954" s="166" t="s">
        <v>709</v>
      </c>
      <c r="L954" s="166">
        <v>35000</v>
      </c>
      <c r="M954" s="166">
        <v>20</v>
      </c>
      <c r="N954" s="166">
        <v>1</v>
      </c>
      <c r="O954" s="164">
        <f t="shared" si="103"/>
        <v>700000</v>
      </c>
      <c r="P954" s="166"/>
      <c r="Q954" s="166"/>
      <c r="R954" s="164">
        <f>$L954*'Pivot Objective'!$C$9*P954*Q954</f>
        <v>0</v>
      </c>
      <c r="S954" s="166"/>
      <c r="T954" s="166"/>
      <c r="U954" s="164">
        <f>($L954*'Pivot Objective'!$C$9^2)*S954*T954</f>
        <v>0</v>
      </c>
      <c r="V954" s="166"/>
      <c r="W954" s="166"/>
      <c r="X954" s="164">
        <f>($L954*'Pivot Objective'!$C$9^3)*V954*W954</f>
        <v>0</v>
      </c>
      <c r="Y954" s="166"/>
      <c r="Z954" s="166"/>
      <c r="AA954" s="164">
        <f>($L954*'Pivot Objective'!$C$9^4)*Y954*Z954</f>
        <v>0</v>
      </c>
      <c r="AB954" s="140"/>
      <c r="AC954" s="140"/>
      <c r="AD954" s="164">
        <f>($L954*'Pivot Objective'!$C$9^5)*AB954*AC954</f>
        <v>0</v>
      </c>
      <c r="AE954" s="166">
        <v>20</v>
      </c>
      <c r="AF954" s="166">
        <v>1</v>
      </c>
      <c r="AG954" s="164">
        <f>($L954*'Pivot Objective'!$C$9^6)*AE954*AF954</f>
        <v>1560254.8318399454</v>
      </c>
      <c r="AH954" s="140"/>
      <c r="AI954" s="140"/>
      <c r="AJ954" s="164">
        <f>($L954*'Pivot Objective'!$C$9^7)*AH954*AI954</f>
        <v>0</v>
      </c>
      <c r="AK954" s="185">
        <f t="shared" si="104"/>
        <v>2260254.8318399452</v>
      </c>
      <c r="AL954" s="186">
        <f t="shared" si="105"/>
        <v>2194.4221668348982</v>
      </c>
    </row>
    <row r="955" spans="1:38" customFormat="1" ht="57.6" x14ac:dyDescent="0.3">
      <c r="A955" s="140" t="s">
        <v>1445</v>
      </c>
      <c r="B955" s="140">
        <v>1</v>
      </c>
      <c r="C955" s="166" t="s">
        <v>836</v>
      </c>
      <c r="D955" s="140" t="str">
        <f t="shared" si="107"/>
        <v>6</v>
      </c>
      <c r="E955" s="166" t="s">
        <v>1136</v>
      </c>
      <c r="F955" s="140">
        <f t="shared" si="106"/>
        <v>1</v>
      </c>
      <c r="G955" s="140" t="str">
        <f t="shared" si="108"/>
        <v>1.6.1</v>
      </c>
      <c r="H955" s="166" t="s">
        <v>1710</v>
      </c>
      <c r="I955" s="166" t="s">
        <v>1141</v>
      </c>
      <c r="J955" s="166" t="s">
        <v>1145</v>
      </c>
      <c r="K955" s="166" t="s">
        <v>841</v>
      </c>
      <c r="L955" s="166">
        <v>0</v>
      </c>
      <c r="M955" s="166">
        <v>20</v>
      </c>
      <c r="N955" s="166">
        <v>2</v>
      </c>
      <c r="O955" s="164">
        <f t="shared" si="103"/>
        <v>0</v>
      </c>
      <c r="P955" s="166"/>
      <c r="Q955" s="166"/>
      <c r="R955" s="164">
        <f>$L955*'Pivot Objective'!$C$9*P955*Q955</f>
        <v>0</v>
      </c>
      <c r="S955" s="166"/>
      <c r="T955" s="166"/>
      <c r="U955" s="164">
        <f>($L955*'Pivot Objective'!$C$9^2)*S955*T955</f>
        <v>0</v>
      </c>
      <c r="V955" s="166"/>
      <c r="W955" s="166"/>
      <c r="X955" s="164">
        <f>($L955*'Pivot Objective'!$C$9^3)*V955*W955</f>
        <v>0</v>
      </c>
      <c r="Y955" s="166"/>
      <c r="Z955" s="166"/>
      <c r="AA955" s="164">
        <f>($L955*'Pivot Objective'!$C$9^4)*Y955*Z955</f>
        <v>0</v>
      </c>
      <c r="AB955" s="140"/>
      <c r="AC955" s="140"/>
      <c r="AD955" s="164">
        <f>($L955*'Pivot Objective'!$C$9^5)*AB955*AC955</f>
        <v>0</v>
      </c>
      <c r="AE955" s="166">
        <v>20</v>
      </c>
      <c r="AF955" s="166">
        <v>2</v>
      </c>
      <c r="AG955" s="164">
        <f>($L955*'Pivot Objective'!$C$9^6)*AE955*AF955</f>
        <v>0</v>
      </c>
      <c r="AH955" s="140"/>
      <c r="AI955" s="140"/>
      <c r="AJ955" s="164">
        <f>($L955*'Pivot Objective'!$C$9^7)*AH955*AI955</f>
        <v>0</v>
      </c>
      <c r="AK955" s="185">
        <f t="shared" si="104"/>
        <v>0</v>
      </c>
      <c r="AL955" s="186">
        <f t="shared" si="105"/>
        <v>0</v>
      </c>
    </row>
    <row r="956" spans="1:38" customFormat="1" ht="57.6" x14ac:dyDescent="0.3">
      <c r="A956" s="140" t="s">
        <v>1445</v>
      </c>
      <c r="B956" s="140">
        <v>1</v>
      </c>
      <c r="C956" s="166" t="s">
        <v>836</v>
      </c>
      <c r="D956" s="140" t="str">
        <f t="shared" si="107"/>
        <v>6</v>
      </c>
      <c r="E956" s="166" t="s">
        <v>1136</v>
      </c>
      <c r="F956" s="140">
        <f t="shared" si="106"/>
        <v>1</v>
      </c>
      <c r="G956" s="140" t="str">
        <f t="shared" si="108"/>
        <v>1.6.1</v>
      </c>
      <c r="H956" s="166" t="s">
        <v>1710</v>
      </c>
      <c r="I956" s="166" t="s">
        <v>1141</v>
      </c>
      <c r="J956" s="166" t="s">
        <v>1146</v>
      </c>
      <c r="K956" s="166" t="s">
        <v>841</v>
      </c>
      <c r="L956" s="166">
        <v>0</v>
      </c>
      <c r="M956" s="166">
        <v>10</v>
      </c>
      <c r="N956" s="166">
        <v>1</v>
      </c>
      <c r="O956" s="164">
        <f t="shared" si="103"/>
        <v>0</v>
      </c>
      <c r="P956" s="166"/>
      <c r="Q956" s="166"/>
      <c r="R956" s="164">
        <f>$L956*'Pivot Objective'!$C$9*P956*Q956</f>
        <v>0</v>
      </c>
      <c r="S956" s="166"/>
      <c r="T956" s="166"/>
      <c r="U956" s="164">
        <f>($L956*'Pivot Objective'!$C$9^2)*S956*T956</f>
        <v>0</v>
      </c>
      <c r="V956" s="166"/>
      <c r="W956" s="166"/>
      <c r="X956" s="164">
        <f>($L956*'Pivot Objective'!$C$9^3)*V956*W956</f>
        <v>0</v>
      </c>
      <c r="Y956" s="166"/>
      <c r="Z956" s="166"/>
      <c r="AA956" s="164">
        <f>($L956*'Pivot Objective'!$C$9^4)*Y956*Z956</f>
        <v>0</v>
      </c>
      <c r="AB956" s="140"/>
      <c r="AC956" s="140"/>
      <c r="AD956" s="164">
        <f>($L956*'Pivot Objective'!$C$9^5)*AB956*AC956</f>
        <v>0</v>
      </c>
      <c r="AE956" s="166">
        <v>10</v>
      </c>
      <c r="AF956" s="166">
        <v>1</v>
      </c>
      <c r="AG956" s="164">
        <f>($L956*'Pivot Objective'!$C$9^6)*AE956*AF956</f>
        <v>0</v>
      </c>
      <c r="AH956" s="140"/>
      <c r="AI956" s="140"/>
      <c r="AJ956" s="164">
        <f>($L956*'Pivot Objective'!$C$9^7)*AH956*AI956</f>
        <v>0</v>
      </c>
      <c r="AK956" s="185">
        <f t="shared" si="104"/>
        <v>0</v>
      </c>
      <c r="AL956" s="186">
        <f t="shared" si="105"/>
        <v>0</v>
      </c>
    </row>
    <row r="957" spans="1:38" customFormat="1" ht="57.6" x14ac:dyDescent="0.3">
      <c r="A957" s="140" t="s">
        <v>1445</v>
      </c>
      <c r="B957" s="140">
        <v>1</v>
      </c>
      <c r="C957" s="166" t="s">
        <v>836</v>
      </c>
      <c r="D957" s="140" t="str">
        <f t="shared" si="107"/>
        <v>6</v>
      </c>
      <c r="E957" s="166" t="s">
        <v>1136</v>
      </c>
      <c r="F957" s="140">
        <f t="shared" si="106"/>
        <v>1</v>
      </c>
      <c r="G957" s="140" t="str">
        <f t="shared" si="108"/>
        <v>1.6.1</v>
      </c>
      <c r="H957" s="166" t="s">
        <v>1710</v>
      </c>
      <c r="I957" s="166" t="s">
        <v>1141</v>
      </c>
      <c r="J957" s="166" t="s">
        <v>1147</v>
      </c>
      <c r="K957" s="166" t="s">
        <v>841</v>
      </c>
      <c r="L957" s="166">
        <v>0</v>
      </c>
      <c r="M957" s="166">
        <v>2</v>
      </c>
      <c r="N957" s="166">
        <v>1</v>
      </c>
      <c r="O957" s="164">
        <f t="shared" si="103"/>
        <v>0</v>
      </c>
      <c r="P957" s="166"/>
      <c r="Q957" s="166"/>
      <c r="R957" s="164">
        <f>$L957*'Pivot Objective'!$C$9*P957*Q957</f>
        <v>0</v>
      </c>
      <c r="S957" s="166"/>
      <c r="T957" s="166"/>
      <c r="U957" s="164">
        <f>($L957*'Pivot Objective'!$C$9^2)*S957*T957</f>
        <v>0</v>
      </c>
      <c r="V957" s="166"/>
      <c r="W957" s="166"/>
      <c r="X957" s="164">
        <f>($L957*'Pivot Objective'!$C$9^3)*V957*W957</f>
        <v>0</v>
      </c>
      <c r="Y957" s="166"/>
      <c r="Z957" s="166"/>
      <c r="AA957" s="164">
        <f>($L957*'Pivot Objective'!$C$9^4)*Y957*Z957</f>
        <v>0</v>
      </c>
      <c r="AB957" s="140"/>
      <c r="AC957" s="140"/>
      <c r="AD957" s="164">
        <f>($L957*'Pivot Objective'!$C$9^5)*AB957*AC957</f>
        <v>0</v>
      </c>
      <c r="AE957" s="166">
        <v>2</v>
      </c>
      <c r="AF957" s="166">
        <v>1</v>
      </c>
      <c r="AG957" s="164">
        <f>($L957*'Pivot Objective'!$C$9^6)*AE957*AF957</f>
        <v>0</v>
      </c>
      <c r="AH957" s="140"/>
      <c r="AI957" s="140"/>
      <c r="AJ957" s="164">
        <f>($L957*'Pivot Objective'!$C$9^7)*AH957*AI957</f>
        <v>0</v>
      </c>
      <c r="AK957" s="185">
        <f t="shared" si="104"/>
        <v>0</v>
      </c>
      <c r="AL957" s="186">
        <f t="shared" si="105"/>
        <v>0</v>
      </c>
    </row>
    <row r="958" spans="1:38" customFormat="1" ht="57.6" x14ac:dyDescent="0.3">
      <c r="A958" s="140" t="s">
        <v>1445</v>
      </c>
      <c r="B958" s="140">
        <v>1</v>
      </c>
      <c r="C958" s="166" t="s">
        <v>836</v>
      </c>
      <c r="D958" s="140" t="str">
        <f t="shared" si="107"/>
        <v>6</v>
      </c>
      <c r="E958" s="166" t="s">
        <v>1136</v>
      </c>
      <c r="F958" s="140">
        <f t="shared" si="106"/>
        <v>1</v>
      </c>
      <c r="G958" s="140" t="str">
        <f t="shared" si="108"/>
        <v>1.6.1</v>
      </c>
      <c r="H958" s="166" t="s">
        <v>1710</v>
      </c>
      <c r="I958" s="166" t="s">
        <v>1141</v>
      </c>
      <c r="J958" s="166" t="s">
        <v>1148</v>
      </c>
      <c r="K958" s="166" t="s">
        <v>709</v>
      </c>
      <c r="L958" s="166">
        <v>35000</v>
      </c>
      <c r="M958" s="166">
        <v>60</v>
      </c>
      <c r="N958" s="166">
        <v>1</v>
      </c>
      <c r="O958" s="164">
        <f t="shared" si="103"/>
        <v>2100000</v>
      </c>
      <c r="P958" s="166"/>
      <c r="Q958" s="166"/>
      <c r="R958" s="164">
        <f>$L958*'Pivot Objective'!$C$9*P958*Q958</f>
        <v>0</v>
      </c>
      <c r="S958" s="166"/>
      <c r="T958" s="166"/>
      <c r="U958" s="164">
        <f>($L958*'Pivot Objective'!$C$9^2)*S958*T958</f>
        <v>0</v>
      </c>
      <c r="V958" s="166"/>
      <c r="W958" s="166"/>
      <c r="X958" s="164">
        <f>($L958*'Pivot Objective'!$C$9^3)*V958*W958</f>
        <v>0</v>
      </c>
      <c r="Y958" s="166"/>
      <c r="Z958" s="166"/>
      <c r="AA958" s="164">
        <f>($L958*'Pivot Objective'!$C$9^4)*Y958*Z958</f>
        <v>0</v>
      </c>
      <c r="AB958" s="140"/>
      <c r="AC958" s="140"/>
      <c r="AD958" s="164">
        <f>($L958*'Pivot Objective'!$C$9^5)*AB958*AC958</f>
        <v>0</v>
      </c>
      <c r="AE958" s="166">
        <v>60</v>
      </c>
      <c r="AF958" s="166">
        <v>1</v>
      </c>
      <c r="AG958" s="164">
        <f>($L958*'Pivot Objective'!$C$9^6)*AE958*AF958</f>
        <v>4680764.4955198364</v>
      </c>
      <c r="AH958" s="140"/>
      <c r="AI958" s="140"/>
      <c r="AJ958" s="164">
        <f>($L958*'Pivot Objective'!$C$9^7)*AH958*AI958</f>
        <v>0</v>
      </c>
      <c r="AK958" s="185">
        <f t="shared" si="104"/>
        <v>6780764.4955198364</v>
      </c>
      <c r="AL958" s="186">
        <f t="shared" si="105"/>
        <v>6583.2665005046956</v>
      </c>
    </row>
    <row r="959" spans="1:38" customFormat="1" ht="57.6" x14ac:dyDescent="0.3">
      <c r="A959" s="140" t="s">
        <v>1445</v>
      </c>
      <c r="B959" s="140">
        <v>1</v>
      </c>
      <c r="C959" s="166" t="s">
        <v>836</v>
      </c>
      <c r="D959" s="140" t="str">
        <f t="shared" si="107"/>
        <v>6</v>
      </c>
      <c r="E959" s="166" t="s">
        <v>1136</v>
      </c>
      <c r="F959" s="140">
        <f t="shared" si="106"/>
        <v>1</v>
      </c>
      <c r="G959" s="140" t="str">
        <f t="shared" si="108"/>
        <v>1.6.1</v>
      </c>
      <c r="H959" s="166" t="s">
        <v>1710</v>
      </c>
      <c r="I959" s="166" t="s">
        <v>1141</v>
      </c>
      <c r="J959" s="166" t="s">
        <v>1149</v>
      </c>
      <c r="K959" s="166" t="s">
        <v>841</v>
      </c>
      <c r="L959" s="166">
        <v>0</v>
      </c>
      <c r="M959" s="166">
        <v>15</v>
      </c>
      <c r="N959" s="166">
        <v>1</v>
      </c>
      <c r="O959" s="164">
        <f t="shared" si="103"/>
        <v>0</v>
      </c>
      <c r="P959" s="166"/>
      <c r="Q959" s="166"/>
      <c r="R959" s="164">
        <f>$L959*'Pivot Objective'!$C$9*P959*Q959</f>
        <v>0</v>
      </c>
      <c r="S959" s="166"/>
      <c r="T959" s="166"/>
      <c r="U959" s="164">
        <f>($L959*'Pivot Objective'!$C$9^2)*S959*T959</f>
        <v>0</v>
      </c>
      <c r="V959" s="166"/>
      <c r="W959" s="166"/>
      <c r="X959" s="164">
        <f>($L959*'Pivot Objective'!$C$9^3)*V959*W959</f>
        <v>0</v>
      </c>
      <c r="Y959" s="166"/>
      <c r="Z959" s="166"/>
      <c r="AA959" s="164">
        <f>($L959*'Pivot Objective'!$C$9^4)*Y959*Z959</f>
        <v>0</v>
      </c>
      <c r="AB959" s="140"/>
      <c r="AC959" s="140"/>
      <c r="AD959" s="164">
        <f>($L959*'Pivot Objective'!$C$9^5)*AB959*AC959</f>
        <v>0</v>
      </c>
      <c r="AE959" s="166">
        <v>15</v>
      </c>
      <c r="AF959" s="166">
        <v>1</v>
      </c>
      <c r="AG959" s="164">
        <f>($L959*'Pivot Objective'!$C$9^6)*AE959*AF959</f>
        <v>0</v>
      </c>
      <c r="AH959" s="140"/>
      <c r="AI959" s="140"/>
      <c r="AJ959" s="164">
        <f>($L959*'Pivot Objective'!$C$9^7)*AH959*AI959</f>
        <v>0</v>
      </c>
      <c r="AK959" s="185">
        <f t="shared" si="104"/>
        <v>0</v>
      </c>
      <c r="AL959" s="186">
        <f t="shared" si="105"/>
        <v>0</v>
      </c>
    </row>
    <row r="960" spans="1:38" customFormat="1" ht="57.6" x14ac:dyDescent="0.3">
      <c r="A960" s="140" t="s">
        <v>1445</v>
      </c>
      <c r="B960" s="140">
        <v>1</v>
      </c>
      <c r="C960" s="166" t="s">
        <v>836</v>
      </c>
      <c r="D960" s="140" t="str">
        <f t="shared" si="107"/>
        <v>6</v>
      </c>
      <c r="E960" s="166" t="s">
        <v>1136</v>
      </c>
      <c r="F960" s="140">
        <f t="shared" si="106"/>
        <v>1</v>
      </c>
      <c r="G960" s="140" t="str">
        <f t="shared" si="108"/>
        <v>1.6.1</v>
      </c>
      <c r="H960" s="166" t="s">
        <v>1710</v>
      </c>
      <c r="I960" s="166" t="s">
        <v>1141</v>
      </c>
      <c r="J960" s="166" t="s">
        <v>1150</v>
      </c>
      <c r="K960" s="166" t="s">
        <v>841</v>
      </c>
      <c r="L960" s="166">
        <v>0</v>
      </c>
      <c r="M960" s="166">
        <v>10</v>
      </c>
      <c r="N960" s="166">
        <v>1</v>
      </c>
      <c r="O960" s="164">
        <f t="shared" si="103"/>
        <v>0</v>
      </c>
      <c r="P960" s="166"/>
      <c r="Q960" s="166"/>
      <c r="R960" s="164">
        <f>$L960*'Pivot Objective'!$C$9*P960*Q960</f>
        <v>0</v>
      </c>
      <c r="S960" s="166"/>
      <c r="T960" s="166"/>
      <c r="U960" s="164">
        <f>($L960*'Pivot Objective'!$C$9^2)*S960*T960</f>
        <v>0</v>
      </c>
      <c r="V960" s="166"/>
      <c r="W960" s="166"/>
      <c r="X960" s="164">
        <f>($L960*'Pivot Objective'!$C$9^3)*V960*W960</f>
        <v>0</v>
      </c>
      <c r="Y960" s="166"/>
      <c r="Z960" s="166"/>
      <c r="AA960" s="164">
        <f>($L960*'Pivot Objective'!$C$9^4)*Y960*Z960</f>
        <v>0</v>
      </c>
      <c r="AB960" s="140"/>
      <c r="AC960" s="140"/>
      <c r="AD960" s="164">
        <f>($L960*'Pivot Objective'!$C$9^5)*AB960*AC960</f>
        <v>0</v>
      </c>
      <c r="AE960" s="166">
        <v>10</v>
      </c>
      <c r="AF960" s="166">
        <v>1</v>
      </c>
      <c r="AG960" s="164">
        <f>($L960*'Pivot Objective'!$C$9^6)*AE960*AF960</f>
        <v>0</v>
      </c>
      <c r="AH960" s="140"/>
      <c r="AI960" s="140"/>
      <c r="AJ960" s="164">
        <f>($L960*'Pivot Objective'!$C$9^7)*AH960*AI960</f>
        <v>0</v>
      </c>
      <c r="AK960" s="185">
        <f t="shared" si="104"/>
        <v>0</v>
      </c>
      <c r="AL960" s="186">
        <f t="shared" si="105"/>
        <v>0</v>
      </c>
    </row>
    <row r="961" spans="1:38" customFormat="1" ht="57.6" x14ac:dyDescent="0.3">
      <c r="A961" s="140" t="s">
        <v>1445</v>
      </c>
      <c r="B961" s="140">
        <v>1</v>
      </c>
      <c r="C961" s="166" t="s">
        <v>836</v>
      </c>
      <c r="D961" s="140" t="str">
        <f t="shared" si="107"/>
        <v>6</v>
      </c>
      <c r="E961" s="166" t="s">
        <v>1136</v>
      </c>
      <c r="F961" s="140">
        <f t="shared" si="106"/>
        <v>1</v>
      </c>
      <c r="G961" s="140" t="str">
        <f t="shared" si="108"/>
        <v>1.6.1</v>
      </c>
      <c r="H961" s="166" t="s">
        <v>1710</v>
      </c>
      <c r="I961" s="166" t="s">
        <v>1151</v>
      </c>
      <c r="J961" s="166" t="s">
        <v>1054</v>
      </c>
      <c r="K961" s="166" t="s">
        <v>841</v>
      </c>
      <c r="L961" s="166">
        <v>0</v>
      </c>
      <c r="M961" s="166"/>
      <c r="N961" s="166"/>
      <c r="O961" s="164">
        <f t="shared" si="103"/>
        <v>0</v>
      </c>
      <c r="P961" s="166">
        <v>0</v>
      </c>
      <c r="Q961" s="166">
        <v>0</v>
      </c>
      <c r="R961" s="164">
        <f>$L961*'Pivot Objective'!$C$9*P961*Q961</f>
        <v>0</v>
      </c>
      <c r="S961" s="166">
        <v>0</v>
      </c>
      <c r="T961" s="166">
        <v>0</v>
      </c>
      <c r="U961" s="164">
        <f>($L961*'Pivot Objective'!$C$9^2)*S961*T961</f>
        <v>0</v>
      </c>
      <c r="V961" s="166">
        <v>0</v>
      </c>
      <c r="W961" s="166">
        <v>0</v>
      </c>
      <c r="X961" s="164">
        <f>($L961*'Pivot Objective'!$C$9^3)*V961*W961</f>
        <v>0</v>
      </c>
      <c r="Y961" s="166">
        <v>5</v>
      </c>
      <c r="Z961" s="166">
        <v>1</v>
      </c>
      <c r="AA961" s="164">
        <f>($L961*'Pivot Objective'!$C$9^4)*Y961*Z961</f>
        <v>0</v>
      </c>
      <c r="AB961" s="140"/>
      <c r="AC961" s="140"/>
      <c r="AD961" s="164">
        <f>($L961*'Pivot Objective'!$C$9^5)*AB961*AC961</f>
        <v>0</v>
      </c>
      <c r="AE961" s="140"/>
      <c r="AF961" s="140"/>
      <c r="AG961" s="164">
        <f>($L961*'Pivot Objective'!$C$9^6)*AE961*AF961</f>
        <v>0</v>
      </c>
      <c r="AH961" s="166">
        <v>5</v>
      </c>
      <c r="AI961" s="166">
        <v>1</v>
      </c>
      <c r="AJ961" s="164">
        <f>($L961*'Pivot Objective'!$C$9^7)*AH961*AI961</f>
        <v>0</v>
      </c>
      <c r="AK961" s="185">
        <f t="shared" si="104"/>
        <v>0</v>
      </c>
      <c r="AL961" s="186">
        <f t="shared" si="105"/>
        <v>0</v>
      </c>
    </row>
    <row r="962" spans="1:38" customFormat="1" ht="57.6" x14ac:dyDescent="0.3">
      <c r="A962" s="140" t="s">
        <v>1445</v>
      </c>
      <c r="B962" s="140">
        <v>1</v>
      </c>
      <c r="C962" s="166" t="s">
        <v>836</v>
      </c>
      <c r="D962" s="140" t="str">
        <f t="shared" si="107"/>
        <v>6</v>
      </c>
      <c r="E962" s="166" t="s">
        <v>1136</v>
      </c>
      <c r="F962" s="140">
        <f t="shared" ref="F962:F993" si="109">IF(H962=H961,F961,F961+1)</f>
        <v>1</v>
      </c>
      <c r="G962" s="140" t="str">
        <f t="shared" si="108"/>
        <v>1.6.1</v>
      </c>
      <c r="H962" s="166" t="s">
        <v>1710</v>
      </c>
      <c r="I962" s="166" t="s">
        <v>1151</v>
      </c>
      <c r="J962" s="166" t="s">
        <v>158</v>
      </c>
      <c r="K962" s="166" t="s">
        <v>709</v>
      </c>
      <c r="L962" s="166">
        <v>35000</v>
      </c>
      <c r="M962" s="166"/>
      <c r="N962" s="166"/>
      <c r="O962" s="164">
        <f t="shared" si="103"/>
        <v>0</v>
      </c>
      <c r="P962" s="166">
        <v>20</v>
      </c>
      <c r="Q962" s="166">
        <v>1</v>
      </c>
      <c r="R962" s="164">
        <f>$L962*'Pivot Objective'!$C$9*P962*Q962</f>
        <v>800044.76789999986</v>
      </c>
      <c r="S962" s="166">
        <v>0</v>
      </c>
      <c r="T962" s="166">
        <v>0</v>
      </c>
      <c r="U962" s="164">
        <f>($L962*'Pivot Objective'!$C$9^2)*S962*T962</f>
        <v>0</v>
      </c>
      <c r="V962" s="166">
        <v>0</v>
      </c>
      <c r="W962" s="166">
        <v>0</v>
      </c>
      <c r="X962" s="164">
        <f>($L962*'Pivot Objective'!$C$9^3)*V962*W962</f>
        <v>0</v>
      </c>
      <c r="Y962" s="166">
        <v>20</v>
      </c>
      <c r="Z962" s="166">
        <v>1</v>
      </c>
      <c r="AA962" s="164">
        <f>($L962*'Pivot Objective'!$C$9^4)*Y962*Z962</f>
        <v>1194436.4208614579</v>
      </c>
      <c r="AB962" s="140"/>
      <c r="AC962" s="140"/>
      <c r="AD962" s="164">
        <f>($L962*'Pivot Objective'!$C$9^5)*AB962*AC962</f>
        <v>0</v>
      </c>
      <c r="AE962" s="140"/>
      <c r="AF962" s="140"/>
      <c r="AG962" s="164">
        <f>($L962*'Pivot Objective'!$C$9^6)*AE962*AF962</f>
        <v>0</v>
      </c>
      <c r="AH962" s="166">
        <v>20</v>
      </c>
      <c r="AI962" s="166">
        <v>1</v>
      </c>
      <c r="AJ962" s="164">
        <f>($L962*'Pivot Objective'!$C$9^7)*AH962*AI962</f>
        <v>1783248.1640060609</v>
      </c>
      <c r="AK962" s="185">
        <f t="shared" si="104"/>
        <v>3777729.3527675187</v>
      </c>
      <c r="AL962" s="186">
        <f t="shared" si="105"/>
        <v>3667.6984007451638</v>
      </c>
    </row>
    <row r="963" spans="1:38" customFormat="1" ht="57.6" x14ac:dyDescent="0.3">
      <c r="A963" s="140" t="s">
        <v>1445</v>
      </c>
      <c r="B963" s="140">
        <v>1</v>
      </c>
      <c r="C963" s="166" t="s">
        <v>836</v>
      </c>
      <c r="D963" s="140" t="str">
        <f t="shared" si="107"/>
        <v>6</v>
      </c>
      <c r="E963" s="166" t="s">
        <v>1136</v>
      </c>
      <c r="F963" s="140">
        <f t="shared" si="109"/>
        <v>1</v>
      </c>
      <c r="G963" s="140" t="str">
        <f t="shared" si="108"/>
        <v>1.6.1</v>
      </c>
      <c r="H963" s="166" t="s">
        <v>1710</v>
      </c>
      <c r="I963" s="166" t="s">
        <v>1151</v>
      </c>
      <c r="J963" s="166" t="s">
        <v>182</v>
      </c>
      <c r="K963" s="166" t="s">
        <v>841</v>
      </c>
      <c r="L963" s="166">
        <v>0</v>
      </c>
      <c r="M963" s="166"/>
      <c r="N963" s="166"/>
      <c r="O963" s="164">
        <f t="shared" ref="O963:O1026" si="110">$L963*M963*N963</f>
        <v>0</v>
      </c>
      <c r="P963" s="166">
        <v>15</v>
      </c>
      <c r="Q963" s="166">
        <v>1</v>
      </c>
      <c r="R963" s="164">
        <f>$L963*'Pivot Objective'!$C$9*P963*Q963</f>
        <v>0</v>
      </c>
      <c r="S963" s="166">
        <v>0</v>
      </c>
      <c r="T963" s="166">
        <v>0</v>
      </c>
      <c r="U963" s="164">
        <f>($L963*'Pivot Objective'!$C$9^2)*S963*T963</f>
        <v>0</v>
      </c>
      <c r="V963" s="166">
        <v>0</v>
      </c>
      <c r="W963" s="166">
        <v>0</v>
      </c>
      <c r="X963" s="164">
        <f>($L963*'Pivot Objective'!$C$9^3)*V963*W963</f>
        <v>0</v>
      </c>
      <c r="Y963" s="166">
        <v>15</v>
      </c>
      <c r="Z963" s="166">
        <v>1</v>
      </c>
      <c r="AA963" s="164">
        <f>($L963*'Pivot Objective'!$C$9^4)*Y963*Z963</f>
        <v>0</v>
      </c>
      <c r="AB963" s="140"/>
      <c r="AC963" s="140"/>
      <c r="AD963" s="164">
        <f>($L963*'Pivot Objective'!$C$9^5)*AB963*AC963</f>
        <v>0</v>
      </c>
      <c r="AE963" s="140"/>
      <c r="AF963" s="140"/>
      <c r="AG963" s="164">
        <f>($L963*'Pivot Objective'!$C$9^6)*AE963*AF963</f>
        <v>0</v>
      </c>
      <c r="AH963" s="166">
        <v>15</v>
      </c>
      <c r="AI963" s="166">
        <v>1</v>
      </c>
      <c r="AJ963" s="164">
        <f>($L963*'Pivot Objective'!$C$9^7)*AH963*AI963</f>
        <v>0</v>
      </c>
      <c r="AK963" s="185">
        <f t="shared" ref="AK963:AK1026" si="111">O963+R963+U963+X963+AA963+AD963+AG963+AJ963</f>
        <v>0</v>
      </c>
      <c r="AL963" s="186">
        <f t="shared" ref="AL963:AL1026" si="112">AK963/$AP$2</f>
        <v>0</v>
      </c>
    </row>
    <row r="964" spans="1:38" customFormat="1" ht="57.6" x14ac:dyDescent="0.3">
      <c r="A964" s="140" t="s">
        <v>1445</v>
      </c>
      <c r="B964" s="140">
        <v>1</v>
      </c>
      <c r="C964" s="166" t="s">
        <v>836</v>
      </c>
      <c r="D964" s="140" t="str">
        <f t="shared" si="107"/>
        <v>6</v>
      </c>
      <c r="E964" s="166" t="s">
        <v>1136</v>
      </c>
      <c r="F964" s="140">
        <f t="shared" si="109"/>
        <v>1</v>
      </c>
      <c r="G964" s="140" t="str">
        <f t="shared" si="108"/>
        <v>1.6.1</v>
      </c>
      <c r="H964" s="166" t="s">
        <v>1710</v>
      </c>
      <c r="I964" s="166" t="s">
        <v>1151</v>
      </c>
      <c r="J964" s="166" t="s">
        <v>1152</v>
      </c>
      <c r="K964" s="166" t="s">
        <v>707</v>
      </c>
      <c r="L964" s="166">
        <v>391991.03749999998</v>
      </c>
      <c r="M964" s="166"/>
      <c r="N964" s="166"/>
      <c r="O964" s="164">
        <f t="shared" si="110"/>
        <v>0</v>
      </c>
      <c r="P964" s="166">
        <v>2</v>
      </c>
      <c r="Q964" s="166">
        <v>2</v>
      </c>
      <c r="R964" s="164">
        <f>$L964*'Pivot Objective'!$C$9*P964*Q964</f>
        <v>1792059.3063746723</v>
      </c>
      <c r="S964" s="166">
        <v>0</v>
      </c>
      <c r="T964" s="166">
        <v>0</v>
      </c>
      <c r="U964" s="164">
        <f>($L964*'Pivot Objective'!$C$9^2)*S964*T964</f>
        <v>0</v>
      </c>
      <c r="V964" s="166">
        <v>0</v>
      </c>
      <c r="W964" s="166">
        <v>0</v>
      </c>
      <c r="X964" s="164">
        <f>($L964*'Pivot Objective'!$C$9^3)*V964*W964</f>
        <v>0</v>
      </c>
      <c r="Y964" s="166">
        <v>2</v>
      </c>
      <c r="Z964" s="166">
        <v>2</v>
      </c>
      <c r="AA964" s="164">
        <f>($L964*'Pivot Objective'!$C$9^4)*Y964*Z964</f>
        <v>2675476.4105215403</v>
      </c>
      <c r="AB964" s="140"/>
      <c r="AC964" s="140"/>
      <c r="AD964" s="164">
        <f>($L964*'Pivot Objective'!$C$9^5)*AB964*AC964</f>
        <v>0</v>
      </c>
      <c r="AE964" s="140"/>
      <c r="AF964" s="140"/>
      <c r="AG964" s="164">
        <f>($L964*'Pivot Objective'!$C$9^6)*AE964*AF964</f>
        <v>0</v>
      </c>
      <c r="AH964" s="166">
        <v>2</v>
      </c>
      <c r="AI964" s="166">
        <v>2</v>
      </c>
      <c r="AJ964" s="164">
        <f>($L964*'Pivot Objective'!$C$9^7)*AH964*AI964</f>
        <v>3994384.5595926056</v>
      </c>
      <c r="AK964" s="185">
        <f t="shared" si="111"/>
        <v>8461920.2764888182</v>
      </c>
      <c r="AL964" s="186">
        <f t="shared" si="112"/>
        <v>8215.4565791153582</v>
      </c>
    </row>
    <row r="965" spans="1:38" customFormat="1" ht="57.6" x14ac:dyDescent="0.3">
      <c r="A965" s="140" t="s">
        <v>1445</v>
      </c>
      <c r="B965" s="140">
        <v>1</v>
      </c>
      <c r="C965" s="166" t="s">
        <v>836</v>
      </c>
      <c r="D965" s="140" t="str">
        <f t="shared" si="107"/>
        <v>6</v>
      </c>
      <c r="E965" s="166" t="s">
        <v>1136</v>
      </c>
      <c r="F965" s="140">
        <f t="shared" si="109"/>
        <v>1</v>
      </c>
      <c r="G965" s="140" t="str">
        <f t="shared" si="108"/>
        <v>1.6.1</v>
      </c>
      <c r="H965" s="166" t="s">
        <v>1710</v>
      </c>
      <c r="I965" s="166" t="s">
        <v>1151</v>
      </c>
      <c r="J965" s="166" t="s">
        <v>1152</v>
      </c>
      <c r="K965" s="166" t="s">
        <v>708</v>
      </c>
      <c r="L965" s="166">
        <v>1009400</v>
      </c>
      <c r="M965" s="166"/>
      <c r="N965" s="166"/>
      <c r="O965" s="164">
        <f t="shared" si="110"/>
        <v>0</v>
      </c>
      <c r="P965" s="166">
        <v>1</v>
      </c>
      <c r="Q965" s="166">
        <v>25</v>
      </c>
      <c r="R965" s="164">
        <f>$L965*'Pivot Objective'!$C$9*P965*Q965</f>
        <v>28841613.882794999</v>
      </c>
      <c r="S965" s="166">
        <v>0</v>
      </c>
      <c r="T965" s="166">
        <v>0</v>
      </c>
      <c r="U965" s="164">
        <f>($L965*'Pivot Objective'!$C$9^2)*S965*T965</f>
        <v>0</v>
      </c>
      <c r="V965" s="166">
        <v>0</v>
      </c>
      <c r="W965" s="166">
        <v>0</v>
      </c>
      <c r="X965" s="164">
        <f>($L965*'Pivot Objective'!$C$9^3)*V965*W965</f>
        <v>0</v>
      </c>
      <c r="Y965" s="166">
        <v>1</v>
      </c>
      <c r="Z965" s="166">
        <v>25</v>
      </c>
      <c r="AA965" s="164">
        <f>($L965*'Pivot Objective'!$C$9^4)*Y965*Z965</f>
        <v>43059432.972055562</v>
      </c>
      <c r="AB965" s="140"/>
      <c r="AC965" s="140"/>
      <c r="AD965" s="164">
        <f>($L965*'Pivot Objective'!$C$9^5)*AB965*AC965</f>
        <v>0</v>
      </c>
      <c r="AE965" s="140"/>
      <c r="AF965" s="140"/>
      <c r="AG965" s="164">
        <f>($L965*'Pivot Objective'!$C$9^6)*AE965*AF965</f>
        <v>0</v>
      </c>
      <c r="AH965" s="166">
        <v>1</v>
      </c>
      <c r="AI965" s="166">
        <v>25</v>
      </c>
      <c r="AJ965" s="164">
        <f>($L965*'Pivot Objective'!$C$9^7)*AH965*AI965</f>
        <v>64286096.312418498</v>
      </c>
      <c r="AK965" s="185">
        <f t="shared" si="111"/>
        <v>136187143.16726905</v>
      </c>
      <c r="AL965" s="186">
        <f t="shared" si="112"/>
        <v>132220.52734686315</v>
      </c>
    </row>
    <row r="966" spans="1:38" customFormat="1" ht="57.6" x14ac:dyDescent="0.3">
      <c r="A966" s="140" t="s">
        <v>1445</v>
      </c>
      <c r="B966" s="140">
        <v>1</v>
      </c>
      <c r="C966" s="166" t="s">
        <v>836</v>
      </c>
      <c r="D966" s="140" t="str">
        <f t="shared" si="107"/>
        <v>6</v>
      </c>
      <c r="E966" s="166" t="s">
        <v>1136</v>
      </c>
      <c r="F966" s="140">
        <f t="shared" si="109"/>
        <v>1</v>
      </c>
      <c r="G966" s="140" t="str">
        <f t="shared" si="108"/>
        <v>1.6.1</v>
      </c>
      <c r="H966" s="166" t="s">
        <v>1710</v>
      </c>
      <c r="I966" s="166" t="s">
        <v>1151</v>
      </c>
      <c r="J966" s="166" t="s">
        <v>1153</v>
      </c>
      <c r="K966" s="166" t="s">
        <v>716</v>
      </c>
      <c r="L966" s="166">
        <v>39000</v>
      </c>
      <c r="M966" s="166"/>
      <c r="N966" s="166"/>
      <c r="O966" s="164">
        <f t="shared" si="110"/>
        <v>0</v>
      </c>
      <c r="P966" s="166">
        <v>30</v>
      </c>
      <c r="Q966" s="166">
        <v>12</v>
      </c>
      <c r="R966" s="164">
        <f>$L966*'Pivot Objective'!$C$9*P966*Q966</f>
        <v>16046612.201879997</v>
      </c>
      <c r="S966" s="166">
        <v>0</v>
      </c>
      <c r="T966" s="166">
        <v>0</v>
      </c>
      <c r="U966" s="164">
        <f>($L966*'Pivot Objective'!$C$9^2)*S966*T966</f>
        <v>0</v>
      </c>
      <c r="V966" s="166">
        <v>0</v>
      </c>
      <c r="W966" s="166">
        <v>0</v>
      </c>
      <c r="X966" s="164">
        <f>($L966*'Pivot Objective'!$C$9^3)*V966*W966</f>
        <v>0</v>
      </c>
      <c r="Y966" s="166">
        <v>30</v>
      </c>
      <c r="Z966" s="166">
        <v>12</v>
      </c>
      <c r="AA966" s="164">
        <f>($L966*'Pivot Objective'!$C$9^4)*Y966*Z966</f>
        <v>23956981.92699267</v>
      </c>
      <c r="AB966" s="140"/>
      <c r="AC966" s="140"/>
      <c r="AD966" s="164">
        <f>($L966*'Pivot Objective'!$C$9^5)*AB966*AC966</f>
        <v>0</v>
      </c>
      <c r="AE966" s="140"/>
      <c r="AF966" s="140"/>
      <c r="AG966" s="164">
        <f>($L966*'Pivot Objective'!$C$9^6)*AE966*AF966</f>
        <v>0</v>
      </c>
      <c r="AH966" s="166">
        <v>30</v>
      </c>
      <c r="AI966" s="166">
        <v>12</v>
      </c>
      <c r="AJ966" s="164">
        <f>($L966*'Pivot Objective'!$C$9^7)*AH966*AI966</f>
        <v>35766863.17520728</v>
      </c>
      <c r="AK966" s="185">
        <f t="shared" si="111"/>
        <v>75770457.30407995</v>
      </c>
      <c r="AL966" s="186">
        <f t="shared" si="112"/>
        <v>73563.550780660153</v>
      </c>
    </row>
    <row r="967" spans="1:38" customFormat="1" ht="57.6" x14ac:dyDescent="0.3">
      <c r="A967" s="140" t="s">
        <v>1445</v>
      </c>
      <c r="B967" s="140">
        <v>1</v>
      </c>
      <c r="C967" s="166" t="s">
        <v>836</v>
      </c>
      <c r="D967" s="140" t="str">
        <f t="shared" si="107"/>
        <v>6</v>
      </c>
      <c r="E967" s="166" t="s">
        <v>1136</v>
      </c>
      <c r="F967" s="140">
        <f t="shared" si="109"/>
        <v>1</v>
      </c>
      <c r="G967" s="140" t="str">
        <f t="shared" si="108"/>
        <v>1.6.1</v>
      </c>
      <c r="H967" s="166" t="s">
        <v>1710</v>
      </c>
      <c r="I967" s="166" t="s">
        <v>1151</v>
      </c>
      <c r="J967" s="166" t="s">
        <v>1153</v>
      </c>
      <c r="K967" s="166" t="s">
        <v>709</v>
      </c>
      <c r="L967" s="166">
        <v>35000</v>
      </c>
      <c r="M967" s="166"/>
      <c r="N967" s="166"/>
      <c r="O967" s="164">
        <f t="shared" si="110"/>
        <v>0</v>
      </c>
      <c r="P967" s="166">
        <v>30</v>
      </c>
      <c r="Q967" s="166">
        <v>9</v>
      </c>
      <c r="R967" s="164">
        <f>$L967*'Pivot Objective'!$C$9*P967*Q967</f>
        <v>10800604.366649998</v>
      </c>
      <c r="S967" s="166">
        <v>0</v>
      </c>
      <c r="T967" s="166">
        <v>0</v>
      </c>
      <c r="U967" s="164">
        <f>($L967*'Pivot Objective'!$C$9^2)*S967*T967</f>
        <v>0</v>
      </c>
      <c r="V967" s="166">
        <v>0</v>
      </c>
      <c r="W967" s="166">
        <v>0</v>
      </c>
      <c r="X967" s="164">
        <f>($L967*'Pivot Objective'!$C$9^3)*V967*W967</f>
        <v>0</v>
      </c>
      <c r="Y967" s="166">
        <v>30</v>
      </c>
      <c r="Z967" s="166">
        <v>9</v>
      </c>
      <c r="AA967" s="164">
        <f>($L967*'Pivot Objective'!$C$9^4)*Y967*Z967</f>
        <v>16124891.681629684</v>
      </c>
      <c r="AB967" s="140"/>
      <c r="AC967" s="140"/>
      <c r="AD967" s="164">
        <f>($L967*'Pivot Objective'!$C$9^5)*AB967*AC967</f>
        <v>0</v>
      </c>
      <c r="AE967" s="140"/>
      <c r="AF967" s="140"/>
      <c r="AG967" s="164">
        <f>($L967*'Pivot Objective'!$C$9^6)*AE967*AF967</f>
        <v>0</v>
      </c>
      <c r="AH967" s="166">
        <v>30</v>
      </c>
      <c r="AI967" s="166">
        <v>9</v>
      </c>
      <c r="AJ967" s="164">
        <f>($L967*'Pivot Objective'!$C$9^7)*AH967*AI967</f>
        <v>24073850.214081824</v>
      </c>
      <c r="AK967" s="185">
        <f t="shared" si="111"/>
        <v>50999346.262361504</v>
      </c>
      <c r="AL967" s="186">
        <f t="shared" si="112"/>
        <v>49513.928410059714</v>
      </c>
    </row>
    <row r="968" spans="1:38" customFormat="1" ht="57.6" x14ac:dyDescent="0.3">
      <c r="A968" s="140" t="s">
        <v>1445</v>
      </c>
      <c r="B968" s="140">
        <v>1</v>
      </c>
      <c r="C968" s="166" t="s">
        <v>836</v>
      </c>
      <c r="D968" s="140" t="str">
        <f t="shared" si="107"/>
        <v>6</v>
      </c>
      <c r="E968" s="166" t="s">
        <v>1136</v>
      </c>
      <c r="F968" s="140">
        <f t="shared" si="109"/>
        <v>1</v>
      </c>
      <c r="G968" s="140" t="str">
        <f t="shared" si="108"/>
        <v>1.6.1</v>
      </c>
      <c r="H968" s="166" t="s">
        <v>1710</v>
      </c>
      <c r="I968" s="166" t="s">
        <v>1151</v>
      </c>
      <c r="J968" s="166" t="s">
        <v>1153</v>
      </c>
      <c r="K968" s="166" t="s">
        <v>712</v>
      </c>
      <c r="L968" s="166">
        <v>285.60000000000002</v>
      </c>
      <c r="M968" s="166"/>
      <c r="N968" s="166"/>
      <c r="O968" s="164">
        <f t="shared" si="110"/>
        <v>0</v>
      </c>
      <c r="P968" s="166">
        <v>450</v>
      </c>
      <c r="Q968" s="166">
        <v>9</v>
      </c>
      <c r="R968" s="164">
        <f>$L968*'Pivot Objective'!$C$9*P968*Q968</f>
        <v>1321993.9744779598</v>
      </c>
      <c r="S968" s="166">
        <v>0</v>
      </c>
      <c r="T968" s="166">
        <v>0</v>
      </c>
      <c r="U968" s="164">
        <f>($L968*'Pivot Objective'!$C$9^2)*S968*T968</f>
        <v>0</v>
      </c>
      <c r="V968" s="166">
        <v>0</v>
      </c>
      <c r="W968" s="166">
        <v>0</v>
      </c>
      <c r="X968" s="164">
        <f>($L968*'Pivot Objective'!$C$9^3)*V968*W968</f>
        <v>0</v>
      </c>
      <c r="Y968" s="166">
        <v>450</v>
      </c>
      <c r="Z968" s="166">
        <v>9</v>
      </c>
      <c r="AA968" s="164">
        <f>($L968*'Pivot Objective'!$C$9^4)*Y968*Z968</f>
        <v>1973686.7418314733</v>
      </c>
      <c r="AB968" s="140"/>
      <c r="AC968" s="140"/>
      <c r="AD968" s="164">
        <f>($L968*'Pivot Objective'!$C$9^5)*AB968*AC968</f>
        <v>0</v>
      </c>
      <c r="AE968" s="140"/>
      <c r="AF968" s="140"/>
      <c r="AG968" s="164">
        <f>($L968*'Pivot Objective'!$C$9^6)*AE968*AF968</f>
        <v>0</v>
      </c>
      <c r="AH968" s="166">
        <v>450</v>
      </c>
      <c r="AI968" s="166">
        <v>9</v>
      </c>
      <c r="AJ968" s="164">
        <f>($L968*'Pivot Objective'!$C$9^7)*AH968*AI968</f>
        <v>2946639.2662036158</v>
      </c>
      <c r="AK968" s="185">
        <f t="shared" si="111"/>
        <v>6242319.9825130487</v>
      </c>
      <c r="AL968" s="186">
        <f t="shared" si="112"/>
        <v>6060.5048373913096</v>
      </c>
    </row>
    <row r="969" spans="1:38" customFormat="1" ht="57.6" x14ac:dyDescent="0.3">
      <c r="A969" s="140" t="s">
        <v>1445</v>
      </c>
      <c r="B969" s="140">
        <v>1</v>
      </c>
      <c r="C969" s="166" t="s">
        <v>836</v>
      </c>
      <c r="D969" s="140" t="str">
        <f t="shared" si="107"/>
        <v>6</v>
      </c>
      <c r="E969" s="166" t="s">
        <v>1136</v>
      </c>
      <c r="F969" s="140">
        <f t="shared" si="109"/>
        <v>1</v>
      </c>
      <c r="G969" s="140" t="str">
        <f t="shared" si="108"/>
        <v>1.6.1</v>
      </c>
      <c r="H969" s="166" t="s">
        <v>1710</v>
      </c>
      <c r="I969" s="166" t="s">
        <v>1151</v>
      </c>
      <c r="J969" s="166" t="s">
        <v>1154</v>
      </c>
      <c r="K969" s="166" t="s">
        <v>709</v>
      </c>
      <c r="L969" s="166">
        <v>35000</v>
      </c>
      <c r="M969" s="166"/>
      <c r="N969" s="166"/>
      <c r="O969" s="164">
        <f t="shared" si="110"/>
        <v>0</v>
      </c>
      <c r="P969" s="166">
        <v>30</v>
      </c>
      <c r="Q969" s="166">
        <v>1</v>
      </c>
      <c r="R969" s="164">
        <f>$L969*'Pivot Objective'!$C$9*P969*Q969</f>
        <v>1200067.1518499998</v>
      </c>
      <c r="S969" s="166">
        <v>0</v>
      </c>
      <c r="T969" s="166">
        <v>0</v>
      </c>
      <c r="U969" s="164">
        <f>($L969*'Pivot Objective'!$C$9^2)*S969*T969</f>
        <v>0</v>
      </c>
      <c r="V969" s="166">
        <v>0</v>
      </c>
      <c r="W969" s="166">
        <v>0</v>
      </c>
      <c r="X969" s="164">
        <f>($L969*'Pivot Objective'!$C$9^3)*V969*W969</f>
        <v>0</v>
      </c>
      <c r="Y969" s="166">
        <v>30</v>
      </c>
      <c r="Z969" s="166">
        <v>1</v>
      </c>
      <c r="AA969" s="164">
        <f>($L969*'Pivot Objective'!$C$9^4)*Y969*Z969</f>
        <v>1791654.6312921871</v>
      </c>
      <c r="AB969" s="140"/>
      <c r="AC969" s="140"/>
      <c r="AD969" s="164">
        <f>($L969*'Pivot Objective'!$C$9^5)*AB969*AC969</f>
        <v>0</v>
      </c>
      <c r="AE969" s="140"/>
      <c r="AF969" s="140"/>
      <c r="AG969" s="164">
        <f>($L969*'Pivot Objective'!$C$9^6)*AE969*AF969</f>
        <v>0</v>
      </c>
      <c r="AH969" s="166">
        <v>30</v>
      </c>
      <c r="AI969" s="166">
        <v>1</v>
      </c>
      <c r="AJ969" s="164">
        <f>($L969*'Pivot Objective'!$C$9^7)*AH969*AI969</f>
        <v>2674872.2460090914</v>
      </c>
      <c r="AK969" s="185">
        <f t="shared" si="111"/>
        <v>5666594.0291512776</v>
      </c>
      <c r="AL969" s="186">
        <f t="shared" si="112"/>
        <v>5501.5476011177452</v>
      </c>
    </row>
    <row r="970" spans="1:38" customFormat="1" ht="57.6" x14ac:dyDescent="0.3">
      <c r="A970" s="140" t="s">
        <v>1445</v>
      </c>
      <c r="B970" s="140">
        <v>1</v>
      </c>
      <c r="C970" s="166" t="s">
        <v>836</v>
      </c>
      <c r="D970" s="140" t="str">
        <f t="shared" si="107"/>
        <v>6</v>
      </c>
      <c r="E970" s="166" t="s">
        <v>1136</v>
      </c>
      <c r="F970" s="140">
        <f t="shared" si="109"/>
        <v>1</v>
      </c>
      <c r="G970" s="140" t="str">
        <f t="shared" si="108"/>
        <v>1.6.1</v>
      </c>
      <c r="H970" s="166" t="s">
        <v>1710</v>
      </c>
      <c r="I970" s="166" t="s">
        <v>1151</v>
      </c>
      <c r="J970" s="166" t="s">
        <v>1155</v>
      </c>
      <c r="K970" s="166" t="s">
        <v>709</v>
      </c>
      <c r="L970" s="166">
        <v>35000</v>
      </c>
      <c r="M970" s="166"/>
      <c r="N970" s="166"/>
      <c r="O970" s="164">
        <f t="shared" si="110"/>
        <v>0</v>
      </c>
      <c r="P970" s="166">
        <v>60</v>
      </c>
      <c r="Q970" s="166">
        <v>1</v>
      </c>
      <c r="R970" s="164">
        <f>$L970*'Pivot Objective'!$C$9*P970*Q970</f>
        <v>2400134.3036999996</v>
      </c>
      <c r="S970" s="166">
        <v>0</v>
      </c>
      <c r="T970" s="166">
        <v>0</v>
      </c>
      <c r="U970" s="164">
        <f>($L970*'Pivot Objective'!$C$9^2)*S970*T970</f>
        <v>0</v>
      </c>
      <c r="V970" s="166">
        <v>0</v>
      </c>
      <c r="W970" s="166">
        <v>0</v>
      </c>
      <c r="X970" s="164">
        <f>($L970*'Pivot Objective'!$C$9^3)*V970*W970</f>
        <v>0</v>
      </c>
      <c r="Y970" s="166">
        <v>60</v>
      </c>
      <c r="Z970" s="166">
        <v>1</v>
      </c>
      <c r="AA970" s="164">
        <f>($L970*'Pivot Objective'!$C$9^4)*Y970*Z970</f>
        <v>3583309.2625843743</v>
      </c>
      <c r="AB970" s="140"/>
      <c r="AC970" s="140"/>
      <c r="AD970" s="164">
        <f>($L970*'Pivot Objective'!$C$9^5)*AB970*AC970</f>
        <v>0</v>
      </c>
      <c r="AE970" s="140"/>
      <c r="AF970" s="140"/>
      <c r="AG970" s="164">
        <f>($L970*'Pivot Objective'!$C$9^6)*AE970*AF970</f>
        <v>0</v>
      </c>
      <c r="AH970" s="166">
        <v>60</v>
      </c>
      <c r="AI970" s="166">
        <v>1</v>
      </c>
      <c r="AJ970" s="164">
        <f>($L970*'Pivot Objective'!$C$9^7)*AH970*AI970</f>
        <v>5349744.4920181828</v>
      </c>
      <c r="AK970" s="185">
        <f t="shared" si="111"/>
        <v>11333188.058302555</v>
      </c>
      <c r="AL970" s="186">
        <f t="shared" si="112"/>
        <v>11003.09520223549</v>
      </c>
    </row>
    <row r="971" spans="1:38" customFormat="1" ht="57.6" x14ac:dyDescent="0.3">
      <c r="A971" s="140" t="s">
        <v>1445</v>
      </c>
      <c r="B971" s="140">
        <v>1</v>
      </c>
      <c r="C971" s="166" t="s">
        <v>836</v>
      </c>
      <c r="D971" s="140" t="str">
        <f t="shared" si="107"/>
        <v>6</v>
      </c>
      <c r="E971" s="166" t="s">
        <v>1136</v>
      </c>
      <c r="F971" s="140">
        <f t="shared" si="109"/>
        <v>1</v>
      </c>
      <c r="G971" s="140" t="str">
        <f t="shared" si="108"/>
        <v>1.6.1</v>
      </c>
      <c r="H971" s="166" t="s">
        <v>1710</v>
      </c>
      <c r="I971" s="166" t="s">
        <v>1151</v>
      </c>
      <c r="J971" s="166" t="s">
        <v>1156</v>
      </c>
      <c r="K971" s="166" t="s">
        <v>709</v>
      </c>
      <c r="L971" s="166">
        <v>35000</v>
      </c>
      <c r="M971" s="166"/>
      <c r="N971" s="166"/>
      <c r="O971" s="164">
        <f t="shared" si="110"/>
        <v>0</v>
      </c>
      <c r="P971" s="166">
        <v>100</v>
      </c>
      <c r="Q971" s="166">
        <v>1</v>
      </c>
      <c r="R971" s="164">
        <f>$L971*'Pivot Objective'!$C$9*P971*Q971</f>
        <v>4000223.8394999993</v>
      </c>
      <c r="S971" s="166">
        <v>0</v>
      </c>
      <c r="T971" s="166">
        <v>0</v>
      </c>
      <c r="U971" s="164">
        <f>($L971*'Pivot Objective'!$C$9^2)*S971*T971</f>
        <v>0</v>
      </c>
      <c r="V971" s="166">
        <v>0</v>
      </c>
      <c r="W971" s="166">
        <v>0</v>
      </c>
      <c r="X971" s="164">
        <f>($L971*'Pivot Objective'!$C$9^3)*V971*W971</f>
        <v>0</v>
      </c>
      <c r="Y971" s="166">
        <v>100</v>
      </c>
      <c r="Z971" s="166">
        <v>1</v>
      </c>
      <c r="AA971" s="164">
        <f>($L971*'Pivot Objective'!$C$9^4)*Y971*Z971</f>
        <v>5972182.1043072902</v>
      </c>
      <c r="AB971" s="140"/>
      <c r="AC971" s="140"/>
      <c r="AD971" s="164">
        <f>($L971*'Pivot Objective'!$C$9^5)*AB971*AC971</f>
        <v>0</v>
      </c>
      <c r="AE971" s="140"/>
      <c r="AF971" s="140"/>
      <c r="AG971" s="164">
        <f>($L971*'Pivot Objective'!$C$9^6)*AE971*AF971</f>
        <v>0</v>
      </c>
      <c r="AH971" s="166">
        <v>100</v>
      </c>
      <c r="AI971" s="166">
        <v>1</v>
      </c>
      <c r="AJ971" s="164">
        <f>($L971*'Pivot Objective'!$C$9^7)*AH971*AI971</f>
        <v>8916240.8200303055</v>
      </c>
      <c r="AK971" s="185">
        <f t="shared" si="111"/>
        <v>18888646.763837595</v>
      </c>
      <c r="AL971" s="186">
        <f t="shared" si="112"/>
        <v>18338.49200372582</v>
      </c>
    </row>
    <row r="972" spans="1:38" customFormat="1" ht="57.6" x14ac:dyDescent="0.3">
      <c r="A972" s="140" t="s">
        <v>1445</v>
      </c>
      <c r="B972" s="140">
        <v>1</v>
      </c>
      <c r="C972" s="166" t="s">
        <v>836</v>
      </c>
      <c r="D972" s="140" t="str">
        <f t="shared" si="107"/>
        <v>6</v>
      </c>
      <c r="E972" s="166" t="s">
        <v>1136</v>
      </c>
      <c r="F972" s="140">
        <f t="shared" si="109"/>
        <v>1</v>
      </c>
      <c r="G972" s="140" t="str">
        <f t="shared" si="108"/>
        <v>1.6.1</v>
      </c>
      <c r="H972" s="166" t="s">
        <v>1710</v>
      </c>
      <c r="I972" s="166" t="s">
        <v>1151</v>
      </c>
      <c r="J972" s="166" t="s">
        <v>1156</v>
      </c>
      <c r="K972" s="166" t="s">
        <v>716</v>
      </c>
      <c r="L972" s="166">
        <v>39000</v>
      </c>
      <c r="M972" s="166"/>
      <c r="N972" s="166"/>
      <c r="O972" s="164">
        <f t="shared" si="110"/>
        <v>0</v>
      </c>
      <c r="P972" s="166">
        <v>58</v>
      </c>
      <c r="Q972" s="166">
        <v>1</v>
      </c>
      <c r="R972" s="164">
        <f>$L972*'Pivot Objective'!$C$9*P972*Q972</f>
        <v>2585287.5214139996</v>
      </c>
      <c r="S972" s="166">
        <v>0</v>
      </c>
      <c r="T972" s="166">
        <v>0</v>
      </c>
      <c r="U972" s="164">
        <f>($L972*'Pivot Objective'!$C$9^2)*S972*T972</f>
        <v>0</v>
      </c>
      <c r="V972" s="166">
        <v>0</v>
      </c>
      <c r="W972" s="166">
        <v>0</v>
      </c>
      <c r="X972" s="164">
        <f>($L972*'Pivot Objective'!$C$9^3)*V972*W972</f>
        <v>0</v>
      </c>
      <c r="Y972" s="166">
        <v>58</v>
      </c>
      <c r="Z972" s="166">
        <v>1</v>
      </c>
      <c r="AA972" s="164">
        <f>($L972*'Pivot Objective'!$C$9^4)*Y972*Z972</f>
        <v>3859735.9771265974</v>
      </c>
      <c r="AB972" s="140"/>
      <c r="AC972" s="140"/>
      <c r="AD972" s="164">
        <f>($L972*'Pivot Objective'!$C$9^5)*AB972*AC972</f>
        <v>0</v>
      </c>
      <c r="AE972" s="140"/>
      <c r="AF972" s="140"/>
      <c r="AG972" s="164">
        <f>($L972*'Pivot Objective'!$C$9^6)*AE972*AF972</f>
        <v>0</v>
      </c>
      <c r="AH972" s="166">
        <v>58</v>
      </c>
      <c r="AI972" s="166">
        <v>1</v>
      </c>
      <c r="AJ972" s="164">
        <f>($L972*'Pivot Objective'!$C$9^7)*AH972*AI972</f>
        <v>5762439.0671167281</v>
      </c>
      <c r="AK972" s="185">
        <f t="shared" si="111"/>
        <v>12207462.565657325</v>
      </c>
      <c r="AL972" s="186">
        <f t="shared" si="112"/>
        <v>11851.905403550802</v>
      </c>
    </row>
    <row r="973" spans="1:38" customFormat="1" ht="57.6" x14ac:dyDescent="0.3">
      <c r="A973" s="140" t="s">
        <v>1445</v>
      </c>
      <c r="B973" s="140">
        <v>1</v>
      </c>
      <c r="C973" s="166" t="s">
        <v>836</v>
      </c>
      <c r="D973" s="140" t="str">
        <f t="shared" si="107"/>
        <v>6</v>
      </c>
      <c r="E973" s="166" t="s">
        <v>1136</v>
      </c>
      <c r="F973" s="140">
        <f t="shared" si="109"/>
        <v>1</v>
      </c>
      <c r="G973" s="140" t="str">
        <f t="shared" si="108"/>
        <v>1.6.1</v>
      </c>
      <c r="H973" s="166" t="s">
        <v>1710</v>
      </c>
      <c r="I973" s="166" t="s">
        <v>1151</v>
      </c>
      <c r="J973" s="166" t="s">
        <v>1156</v>
      </c>
      <c r="K973" s="166" t="s">
        <v>1297</v>
      </c>
      <c r="L973" s="166">
        <v>8000</v>
      </c>
      <c r="M973" s="166"/>
      <c r="N973" s="166"/>
      <c r="O973" s="164">
        <f t="shared" si="110"/>
        <v>0</v>
      </c>
      <c r="P973" s="166">
        <v>10</v>
      </c>
      <c r="Q973" s="166">
        <v>1</v>
      </c>
      <c r="R973" s="164">
        <f>$L973*'Pivot Objective'!$C$9*P973*Q973</f>
        <v>91433.687760000001</v>
      </c>
      <c r="S973" s="166">
        <v>0</v>
      </c>
      <c r="T973" s="166">
        <v>0</v>
      </c>
      <c r="U973" s="164">
        <f>($L973*'Pivot Objective'!$C$9^2)*S973*T973</f>
        <v>0</v>
      </c>
      <c r="V973" s="166">
        <v>0</v>
      </c>
      <c r="W973" s="166">
        <v>0</v>
      </c>
      <c r="X973" s="164">
        <f>($L973*'Pivot Objective'!$C$9^3)*V973*W973</f>
        <v>0</v>
      </c>
      <c r="Y973" s="166">
        <v>10</v>
      </c>
      <c r="Z973" s="166">
        <v>1</v>
      </c>
      <c r="AA973" s="164">
        <f>($L973*'Pivot Objective'!$C$9^4)*Y973*Z973</f>
        <v>136507.01952702377</v>
      </c>
      <c r="AB973" s="140"/>
      <c r="AC973" s="140"/>
      <c r="AD973" s="164">
        <f>($L973*'Pivot Objective'!$C$9^5)*AB973*AC973</f>
        <v>0</v>
      </c>
      <c r="AE973" s="140"/>
      <c r="AF973" s="140"/>
      <c r="AG973" s="164">
        <f>($L973*'Pivot Objective'!$C$9^6)*AE973*AF973</f>
        <v>0</v>
      </c>
      <c r="AH973" s="166">
        <v>10</v>
      </c>
      <c r="AI973" s="166">
        <v>1</v>
      </c>
      <c r="AJ973" s="164">
        <f>($L973*'Pivot Objective'!$C$9^7)*AH973*AI973</f>
        <v>203799.79017212125</v>
      </c>
      <c r="AK973" s="185">
        <f t="shared" si="111"/>
        <v>431740.49745914503</v>
      </c>
      <c r="AL973" s="186">
        <f t="shared" si="112"/>
        <v>419.16553151373301</v>
      </c>
    </row>
    <row r="974" spans="1:38" customFormat="1" ht="57.6" x14ac:dyDescent="0.3">
      <c r="A974" s="140" t="s">
        <v>1445</v>
      </c>
      <c r="B974" s="140">
        <v>1</v>
      </c>
      <c r="C974" s="166" t="s">
        <v>836</v>
      </c>
      <c r="D974" s="140" t="str">
        <f t="shared" si="107"/>
        <v>6</v>
      </c>
      <c r="E974" s="166" t="s">
        <v>1136</v>
      </c>
      <c r="F974" s="140">
        <f t="shared" si="109"/>
        <v>1</v>
      </c>
      <c r="G974" s="140" t="str">
        <f t="shared" si="108"/>
        <v>1.6.1</v>
      </c>
      <c r="H974" s="166" t="s">
        <v>1710</v>
      </c>
      <c r="I974" s="166" t="s">
        <v>1151</v>
      </c>
      <c r="J974" s="166" t="s">
        <v>1156</v>
      </c>
      <c r="K974" s="166" t="s">
        <v>710</v>
      </c>
      <c r="L974" s="166">
        <v>104850</v>
      </c>
      <c r="M974" s="166"/>
      <c r="N974" s="166"/>
      <c r="O974" s="164">
        <f t="shared" si="110"/>
        <v>0</v>
      </c>
      <c r="P974" s="166">
        <v>1</v>
      </c>
      <c r="Q974" s="166">
        <v>1</v>
      </c>
      <c r="R974" s="164">
        <f>$L974*'Pivot Objective'!$C$9*P974*Q974</f>
        <v>119835.27702044998</v>
      </c>
      <c r="S974" s="166">
        <v>0</v>
      </c>
      <c r="T974" s="166">
        <v>0</v>
      </c>
      <c r="U974" s="164">
        <f>($L974*'Pivot Objective'!$C$9^2)*S974*T974</f>
        <v>0</v>
      </c>
      <c r="V974" s="166">
        <v>0</v>
      </c>
      <c r="W974" s="166">
        <v>0</v>
      </c>
      <c r="X974" s="164">
        <f>($L974*'Pivot Objective'!$C$9^3)*V974*W974</f>
        <v>0</v>
      </c>
      <c r="Y974" s="166">
        <v>1</v>
      </c>
      <c r="Z974" s="166">
        <v>1</v>
      </c>
      <c r="AA974" s="164">
        <f>($L974*'Pivot Objective'!$C$9^4)*Y974*Z974</f>
        <v>178909.51246760553</v>
      </c>
      <c r="AB974" s="140"/>
      <c r="AC974" s="140"/>
      <c r="AD974" s="164">
        <f>($L974*'Pivot Objective'!$C$9^5)*AB974*AC974</f>
        <v>0</v>
      </c>
      <c r="AE974" s="140"/>
      <c r="AF974" s="140"/>
      <c r="AG974" s="164">
        <f>($L974*'Pivot Objective'!$C$9^6)*AE974*AF974</f>
        <v>0</v>
      </c>
      <c r="AH974" s="166">
        <v>1</v>
      </c>
      <c r="AI974" s="166">
        <v>1</v>
      </c>
      <c r="AJ974" s="164">
        <f>($L974*'Pivot Objective'!$C$9^7)*AH974*AI974</f>
        <v>267105.09999433643</v>
      </c>
      <c r="AK974" s="185">
        <f t="shared" si="111"/>
        <v>565849.889482392</v>
      </c>
      <c r="AL974" s="186">
        <f t="shared" si="112"/>
        <v>549.36882474018637</v>
      </c>
    </row>
    <row r="975" spans="1:38" customFormat="1" ht="57.6" x14ac:dyDescent="0.3">
      <c r="A975" s="140" t="s">
        <v>1445</v>
      </c>
      <c r="B975" s="140">
        <v>1</v>
      </c>
      <c r="C975" s="166" t="s">
        <v>836</v>
      </c>
      <c r="D975" s="140" t="str">
        <f t="shared" si="107"/>
        <v>6</v>
      </c>
      <c r="E975" s="166" t="s">
        <v>1136</v>
      </c>
      <c r="F975" s="140">
        <f t="shared" si="109"/>
        <v>1</v>
      </c>
      <c r="G975" s="140" t="str">
        <f t="shared" si="108"/>
        <v>1.6.1</v>
      </c>
      <c r="H975" s="166" t="s">
        <v>1710</v>
      </c>
      <c r="I975" s="166" t="s">
        <v>1151</v>
      </c>
      <c r="J975" s="166" t="s">
        <v>1156</v>
      </c>
      <c r="K975" s="166" t="s">
        <v>712</v>
      </c>
      <c r="L975" s="166">
        <v>285.60000000000002</v>
      </c>
      <c r="M975" s="166"/>
      <c r="N975" s="166"/>
      <c r="O975" s="164">
        <f t="shared" si="110"/>
        <v>0</v>
      </c>
      <c r="P975" s="166">
        <v>450</v>
      </c>
      <c r="Q975" s="166">
        <v>1</v>
      </c>
      <c r="R975" s="164">
        <f>$L975*'Pivot Objective'!$C$9*P975*Q975</f>
        <v>146888.21938643997</v>
      </c>
      <c r="S975" s="166">
        <v>0</v>
      </c>
      <c r="T975" s="166">
        <v>0</v>
      </c>
      <c r="U975" s="164">
        <f>($L975*'Pivot Objective'!$C$9^2)*S975*T975</f>
        <v>0</v>
      </c>
      <c r="V975" s="166">
        <v>0</v>
      </c>
      <c r="W975" s="166">
        <v>0</v>
      </c>
      <c r="X975" s="164">
        <f>($L975*'Pivot Objective'!$C$9^3)*V975*W975</f>
        <v>0</v>
      </c>
      <c r="Y975" s="166">
        <v>450</v>
      </c>
      <c r="Z975" s="166">
        <v>1</v>
      </c>
      <c r="AA975" s="164">
        <f>($L975*'Pivot Objective'!$C$9^4)*Y975*Z975</f>
        <v>219298.52687016371</v>
      </c>
      <c r="AB975" s="140"/>
      <c r="AC975" s="140"/>
      <c r="AD975" s="164">
        <f>($L975*'Pivot Objective'!$C$9^5)*AB975*AC975</f>
        <v>0</v>
      </c>
      <c r="AE975" s="140"/>
      <c r="AF975" s="140"/>
      <c r="AG975" s="164">
        <f>($L975*'Pivot Objective'!$C$9^6)*AE975*AF975</f>
        <v>0</v>
      </c>
      <c r="AH975" s="166">
        <v>450</v>
      </c>
      <c r="AI975" s="166">
        <v>1</v>
      </c>
      <c r="AJ975" s="164">
        <f>($L975*'Pivot Objective'!$C$9^7)*AH975*AI975</f>
        <v>327404.36291151284</v>
      </c>
      <c r="AK975" s="185">
        <f t="shared" si="111"/>
        <v>693591.10916811647</v>
      </c>
      <c r="AL975" s="186">
        <f t="shared" si="112"/>
        <v>673.38942637681214</v>
      </c>
    </row>
    <row r="976" spans="1:38" customFormat="1" ht="57.6" x14ac:dyDescent="0.3">
      <c r="A976" s="140" t="s">
        <v>1445</v>
      </c>
      <c r="B976" s="140">
        <v>1</v>
      </c>
      <c r="C976" s="166" t="s">
        <v>836</v>
      </c>
      <c r="D976" s="140" t="str">
        <f t="shared" si="107"/>
        <v>6</v>
      </c>
      <c r="E976" s="166" t="s">
        <v>1136</v>
      </c>
      <c r="F976" s="140">
        <f t="shared" si="109"/>
        <v>1</v>
      </c>
      <c r="G976" s="140" t="str">
        <f t="shared" si="108"/>
        <v>1.6.1</v>
      </c>
      <c r="H976" s="166" t="s">
        <v>1710</v>
      </c>
      <c r="I976" s="166" t="s">
        <v>1151</v>
      </c>
      <c r="J976" s="166" t="s">
        <v>1156</v>
      </c>
      <c r="K976" s="166" t="s">
        <v>1326</v>
      </c>
      <c r="L976" s="166">
        <v>285.60000000000002</v>
      </c>
      <c r="M976" s="166"/>
      <c r="N976" s="166"/>
      <c r="O976" s="164">
        <f t="shared" si="110"/>
        <v>0</v>
      </c>
      <c r="P976" s="166">
        <v>2430</v>
      </c>
      <c r="Q976" s="166">
        <v>1</v>
      </c>
      <c r="R976" s="164">
        <f>$L976*'Pivot Objective'!$C$9*P976*Q976</f>
        <v>793196.38468677597</v>
      </c>
      <c r="S976" s="166"/>
      <c r="T976" s="166"/>
      <c r="U976" s="164">
        <f>($L976*'Pivot Objective'!$C$9^2)*S976*T976</f>
        <v>0</v>
      </c>
      <c r="V976" s="166"/>
      <c r="W976" s="166"/>
      <c r="X976" s="164">
        <f>($L976*'Pivot Objective'!$C$9^3)*V976*W976</f>
        <v>0</v>
      </c>
      <c r="Y976" s="166">
        <v>2430</v>
      </c>
      <c r="Z976" s="166">
        <v>1</v>
      </c>
      <c r="AA976" s="164">
        <f>($L976*'Pivot Objective'!$C$9^4)*Y976*Z976</f>
        <v>1184212.045098884</v>
      </c>
      <c r="AB976" s="140"/>
      <c r="AC976" s="140"/>
      <c r="AD976" s="164">
        <f>($L976*'Pivot Objective'!$C$9^5)*AB976*AC976</f>
        <v>0</v>
      </c>
      <c r="AE976" s="140"/>
      <c r="AF976" s="140"/>
      <c r="AG976" s="164">
        <f>($L976*'Pivot Objective'!$C$9^6)*AE976*AF976</f>
        <v>0</v>
      </c>
      <c r="AH976" s="166">
        <v>2430</v>
      </c>
      <c r="AI976" s="166">
        <v>1</v>
      </c>
      <c r="AJ976" s="164">
        <f>($L976*'Pivot Objective'!$C$9^7)*AH976*AI976</f>
        <v>1767983.5597221693</v>
      </c>
      <c r="AK976" s="185">
        <f t="shared" si="111"/>
        <v>3745391.9895078293</v>
      </c>
      <c r="AL976" s="186">
        <f t="shared" si="112"/>
        <v>3636.3029024347857</v>
      </c>
    </row>
    <row r="977" spans="1:38" customFormat="1" ht="57.6" x14ac:dyDescent="0.3">
      <c r="A977" s="140" t="s">
        <v>1445</v>
      </c>
      <c r="B977" s="140">
        <v>1</v>
      </c>
      <c r="C977" s="166" t="s">
        <v>836</v>
      </c>
      <c r="D977" s="140" t="str">
        <f t="shared" si="107"/>
        <v>6</v>
      </c>
      <c r="E977" s="166" t="s">
        <v>1136</v>
      </c>
      <c r="F977" s="140">
        <f t="shared" si="109"/>
        <v>1</v>
      </c>
      <c r="G977" s="140" t="str">
        <f t="shared" si="108"/>
        <v>1.6.1</v>
      </c>
      <c r="H977" s="166" t="s">
        <v>1710</v>
      </c>
      <c r="I977" s="166" t="s">
        <v>1157</v>
      </c>
      <c r="J977" s="166" t="s">
        <v>176</v>
      </c>
      <c r="K977" s="166" t="s">
        <v>841</v>
      </c>
      <c r="L977" s="166">
        <v>0</v>
      </c>
      <c r="M977" s="166">
        <v>6000</v>
      </c>
      <c r="N977" s="166">
        <v>1</v>
      </c>
      <c r="O977" s="164">
        <f t="shared" si="110"/>
        <v>0</v>
      </c>
      <c r="P977" s="166">
        <v>0</v>
      </c>
      <c r="Q977" s="166">
        <v>0</v>
      </c>
      <c r="R977" s="164">
        <f>$L977*'Pivot Objective'!$C$9*P977*Q977</f>
        <v>0</v>
      </c>
      <c r="S977" s="166">
        <v>0</v>
      </c>
      <c r="T977" s="166">
        <v>0</v>
      </c>
      <c r="U977" s="164">
        <f>($L977*'Pivot Objective'!$C$9^2)*S977*T977</f>
        <v>0</v>
      </c>
      <c r="V977" s="166">
        <v>0</v>
      </c>
      <c r="W977" s="166">
        <v>0</v>
      </c>
      <c r="X977" s="164">
        <f>($L977*'Pivot Objective'!$C$9^3)*V977*W977</f>
        <v>0</v>
      </c>
      <c r="Y977" s="166">
        <v>6000</v>
      </c>
      <c r="Z977" s="166">
        <v>1</v>
      </c>
      <c r="AA977" s="164">
        <f>($L977*'Pivot Objective'!$C$9^4)*Y977*Z977</f>
        <v>0</v>
      </c>
      <c r="AB977" s="140"/>
      <c r="AC977" s="140"/>
      <c r="AD977" s="164">
        <f>($L977*'Pivot Objective'!$C$9^5)*AB977*AC977</f>
        <v>0</v>
      </c>
      <c r="AE977" s="140"/>
      <c r="AF977" s="140"/>
      <c r="AG977" s="164">
        <f>($L977*'Pivot Objective'!$C$9^6)*AE977*AF977</f>
        <v>0</v>
      </c>
      <c r="AH977" s="140"/>
      <c r="AI977" s="140"/>
      <c r="AJ977" s="164">
        <f>($L977*'Pivot Objective'!$C$9^7)*AH977*AI977</f>
        <v>0</v>
      </c>
      <c r="AK977" s="185">
        <f t="shared" si="111"/>
        <v>0</v>
      </c>
      <c r="AL977" s="186">
        <f t="shared" si="112"/>
        <v>0</v>
      </c>
    </row>
    <row r="978" spans="1:38" customFormat="1" ht="57.6" x14ac:dyDescent="0.3">
      <c r="A978" s="140" t="s">
        <v>1445</v>
      </c>
      <c r="B978" s="140">
        <v>1</v>
      </c>
      <c r="C978" s="166" t="s">
        <v>836</v>
      </c>
      <c r="D978" s="140" t="str">
        <f t="shared" si="107"/>
        <v>6</v>
      </c>
      <c r="E978" s="166" t="s">
        <v>1136</v>
      </c>
      <c r="F978" s="140">
        <f t="shared" si="109"/>
        <v>1</v>
      </c>
      <c r="G978" s="140" t="str">
        <f t="shared" si="108"/>
        <v>1.6.1</v>
      </c>
      <c r="H978" s="166" t="s">
        <v>1710</v>
      </c>
      <c r="I978" s="166" t="s">
        <v>1157</v>
      </c>
      <c r="J978" s="166" t="s">
        <v>1158</v>
      </c>
      <c r="K978" s="166" t="s">
        <v>716</v>
      </c>
      <c r="L978" s="166">
        <v>39000</v>
      </c>
      <c r="M978" s="166"/>
      <c r="N978" s="166"/>
      <c r="O978" s="164">
        <f t="shared" si="110"/>
        <v>0</v>
      </c>
      <c r="P978" s="166">
        <v>30</v>
      </c>
      <c r="Q978" s="166">
        <v>0</v>
      </c>
      <c r="R978" s="164">
        <f>$L978*'Pivot Objective'!$C$9*P978*Q978</f>
        <v>0</v>
      </c>
      <c r="S978" s="166">
        <v>0</v>
      </c>
      <c r="T978" s="166">
        <v>0</v>
      </c>
      <c r="U978" s="164">
        <f>($L978*'Pivot Objective'!$C$9^2)*S978*T978</f>
        <v>0</v>
      </c>
      <c r="V978" s="166">
        <v>0</v>
      </c>
      <c r="W978" s="166">
        <v>0</v>
      </c>
      <c r="X978" s="164">
        <f>($L978*'Pivot Objective'!$C$9^3)*V978*W978</f>
        <v>0</v>
      </c>
      <c r="Y978" s="166">
        <v>0</v>
      </c>
      <c r="Z978" s="166">
        <v>0</v>
      </c>
      <c r="AA978" s="164">
        <f>($L978*'Pivot Objective'!$C$9^4)*Y978*Z978</f>
        <v>0</v>
      </c>
      <c r="AB978" s="140"/>
      <c r="AC978" s="140"/>
      <c r="AD978" s="164">
        <f>($L978*'Pivot Objective'!$C$9^5)*AB978*AC978</f>
        <v>0</v>
      </c>
      <c r="AE978" s="140"/>
      <c r="AF978" s="140"/>
      <c r="AG978" s="164">
        <f>($L978*'Pivot Objective'!$C$9^6)*AE978*AF978</f>
        <v>0</v>
      </c>
      <c r="AH978" s="140"/>
      <c r="AI978" s="140"/>
      <c r="AJ978" s="164">
        <f>($L978*'Pivot Objective'!$C$9^7)*AH978*AI978</f>
        <v>0</v>
      </c>
      <c r="AK978" s="185">
        <f t="shared" si="111"/>
        <v>0</v>
      </c>
      <c r="AL978" s="186">
        <f t="shared" si="112"/>
        <v>0</v>
      </c>
    </row>
    <row r="979" spans="1:38" customFormat="1" ht="57.6" x14ac:dyDescent="0.3">
      <c r="A979" s="140" t="s">
        <v>1445</v>
      </c>
      <c r="B979" s="140">
        <v>1</v>
      </c>
      <c r="C979" s="166" t="s">
        <v>836</v>
      </c>
      <c r="D979" s="140" t="str">
        <f t="shared" si="107"/>
        <v>6</v>
      </c>
      <c r="E979" s="166" t="s">
        <v>1136</v>
      </c>
      <c r="F979" s="140">
        <f t="shared" si="109"/>
        <v>1</v>
      </c>
      <c r="G979" s="140" t="str">
        <f t="shared" si="108"/>
        <v>1.6.1</v>
      </c>
      <c r="H979" s="166" t="s">
        <v>1710</v>
      </c>
      <c r="I979" s="166" t="s">
        <v>1157</v>
      </c>
      <c r="J979" s="166" t="s">
        <v>1345</v>
      </c>
      <c r="K979" s="166" t="s">
        <v>709</v>
      </c>
      <c r="L979" s="166">
        <v>35000</v>
      </c>
      <c r="M979" s="166"/>
      <c r="N979" s="166"/>
      <c r="O979" s="164">
        <f t="shared" si="110"/>
        <v>0</v>
      </c>
      <c r="P979" s="166">
        <v>30</v>
      </c>
      <c r="Q979" s="166">
        <v>15</v>
      </c>
      <c r="R979" s="164">
        <f>$L979*'Pivot Objective'!$C$9*P979*Q979</f>
        <v>18001007.277749997</v>
      </c>
      <c r="S979" s="166">
        <v>0</v>
      </c>
      <c r="T979" s="166">
        <v>0</v>
      </c>
      <c r="U979" s="164">
        <f>($L979*'Pivot Objective'!$C$9^2)*S979*T979</f>
        <v>0</v>
      </c>
      <c r="V979" s="166">
        <v>0</v>
      </c>
      <c r="W979" s="166">
        <v>0</v>
      </c>
      <c r="X979" s="164">
        <f>($L979*'Pivot Objective'!$C$9^3)*V979*W979</f>
        <v>0</v>
      </c>
      <c r="Y979" s="166">
        <v>0</v>
      </c>
      <c r="Z979" s="166">
        <v>0</v>
      </c>
      <c r="AA979" s="164">
        <f>($L979*'Pivot Objective'!$C$9^4)*Y979*Z979</f>
        <v>0</v>
      </c>
      <c r="AB979" s="140"/>
      <c r="AC979" s="140"/>
      <c r="AD979" s="164">
        <f>($L979*'Pivot Objective'!$C$9^5)*AB979*AC979</f>
        <v>0</v>
      </c>
      <c r="AE979" s="140"/>
      <c r="AF979" s="140"/>
      <c r="AG979" s="164">
        <f>($L979*'Pivot Objective'!$C$9^6)*AE979*AF979</f>
        <v>0</v>
      </c>
      <c r="AH979" s="140"/>
      <c r="AI979" s="140"/>
      <c r="AJ979" s="164">
        <f>($L979*'Pivot Objective'!$C$9^7)*AH979*AI979</f>
        <v>0</v>
      </c>
      <c r="AK979" s="185">
        <f t="shared" si="111"/>
        <v>18001007.277749997</v>
      </c>
      <c r="AL979" s="186">
        <f t="shared" si="112"/>
        <v>17476.706094902911</v>
      </c>
    </row>
    <row r="980" spans="1:38" customFormat="1" ht="57.6" x14ac:dyDescent="0.3">
      <c r="A980" s="140" t="s">
        <v>1445</v>
      </c>
      <c r="B980" s="140">
        <v>1</v>
      </c>
      <c r="C980" s="166" t="s">
        <v>836</v>
      </c>
      <c r="D980" s="140" t="str">
        <f t="shared" si="107"/>
        <v>6</v>
      </c>
      <c r="E980" s="166" t="s">
        <v>1136</v>
      </c>
      <c r="F980" s="140">
        <f t="shared" si="109"/>
        <v>1</v>
      </c>
      <c r="G980" s="140" t="str">
        <f t="shared" si="108"/>
        <v>1.6.1</v>
      </c>
      <c r="H980" s="166" t="s">
        <v>1710</v>
      </c>
      <c r="I980" s="166" t="s">
        <v>1157</v>
      </c>
      <c r="J980" s="166" t="s">
        <v>1158</v>
      </c>
      <c r="K980" s="166" t="s">
        <v>712</v>
      </c>
      <c r="L980" s="166">
        <v>285.60000000000002</v>
      </c>
      <c r="M980" s="166"/>
      <c r="N980" s="166"/>
      <c r="O980" s="164">
        <f t="shared" si="110"/>
        <v>0</v>
      </c>
      <c r="P980" s="166">
        <v>450</v>
      </c>
      <c r="Q980" s="166">
        <v>15</v>
      </c>
      <c r="R980" s="164">
        <f>$L980*'Pivot Objective'!$C$9*P980*Q980</f>
        <v>2203323.2907965998</v>
      </c>
      <c r="S980" s="166">
        <v>0</v>
      </c>
      <c r="T980" s="166">
        <v>0</v>
      </c>
      <c r="U980" s="164">
        <f>($L980*'Pivot Objective'!$C$9^2)*S980*T980</f>
        <v>0</v>
      </c>
      <c r="V980" s="166">
        <v>0</v>
      </c>
      <c r="W980" s="166">
        <v>0</v>
      </c>
      <c r="X980" s="164">
        <f>($L980*'Pivot Objective'!$C$9^3)*V980*W980</f>
        <v>0</v>
      </c>
      <c r="Y980" s="166">
        <v>0</v>
      </c>
      <c r="Z980" s="166">
        <v>0</v>
      </c>
      <c r="AA980" s="164">
        <f>($L980*'Pivot Objective'!$C$9^4)*Y980*Z980</f>
        <v>0</v>
      </c>
      <c r="AB980" s="140"/>
      <c r="AC980" s="140"/>
      <c r="AD980" s="164">
        <f>($L980*'Pivot Objective'!$C$9^5)*AB980*AC980</f>
        <v>0</v>
      </c>
      <c r="AE980" s="140"/>
      <c r="AF980" s="140"/>
      <c r="AG980" s="164">
        <f>($L980*'Pivot Objective'!$C$9^6)*AE980*AF980</f>
        <v>0</v>
      </c>
      <c r="AH980" s="140"/>
      <c r="AI980" s="140"/>
      <c r="AJ980" s="164">
        <f>($L980*'Pivot Objective'!$C$9^7)*AH980*AI980</f>
        <v>0</v>
      </c>
      <c r="AK980" s="185">
        <f t="shared" si="111"/>
        <v>2203323.2907965998</v>
      </c>
      <c r="AL980" s="186">
        <f t="shared" si="112"/>
        <v>2139.1488260161163</v>
      </c>
    </row>
    <row r="981" spans="1:38" customFormat="1" ht="57.6" x14ac:dyDescent="0.3">
      <c r="A981" s="140" t="s">
        <v>1445</v>
      </c>
      <c r="B981" s="140">
        <v>1</v>
      </c>
      <c r="C981" s="166" t="s">
        <v>836</v>
      </c>
      <c r="D981" s="140" t="str">
        <f t="shared" si="107"/>
        <v>6</v>
      </c>
      <c r="E981" s="166" t="s">
        <v>1136</v>
      </c>
      <c r="F981" s="140">
        <f t="shared" si="109"/>
        <v>1</v>
      </c>
      <c r="G981" s="140" t="str">
        <f t="shared" si="108"/>
        <v>1.6.1</v>
      </c>
      <c r="H981" s="166" t="s">
        <v>1710</v>
      </c>
      <c r="I981" s="166" t="s">
        <v>1157</v>
      </c>
      <c r="J981" s="166" t="s">
        <v>1158</v>
      </c>
      <c r="K981" s="166" t="s">
        <v>1326</v>
      </c>
      <c r="L981" s="166">
        <v>285.60000000000002</v>
      </c>
      <c r="M981" s="166"/>
      <c r="N981" s="166"/>
      <c r="O981" s="164">
        <f t="shared" si="110"/>
        <v>0</v>
      </c>
      <c r="P981" s="166">
        <v>2430</v>
      </c>
      <c r="Q981" s="166">
        <v>3</v>
      </c>
      <c r="R981" s="164">
        <f>$L981*'Pivot Objective'!$C$9*P981*Q981</f>
        <v>2379589.1540603279</v>
      </c>
      <c r="S981" s="166"/>
      <c r="T981" s="166"/>
      <c r="U981" s="164">
        <f>($L981*'Pivot Objective'!$C$9^2)*S981*T981</f>
        <v>0</v>
      </c>
      <c r="V981" s="166"/>
      <c r="W981" s="166"/>
      <c r="X981" s="164">
        <f>($L981*'Pivot Objective'!$C$9^3)*V981*W981</f>
        <v>0</v>
      </c>
      <c r="Y981" s="166"/>
      <c r="Z981" s="166"/>
      <c r="AA981" s="164">
        <f>($L981*'Pivot Objective'!$C$9^4)*Y981*Z981</f>
        <v>0</v>
      </c>
      <c r="AB981" s="140"/>
      <c r="AC981" s="140"/>
      <c r="AD981" s="164">
        <f>($L981*'Pivot Objective'!$C$9^5)*AB981*AC981</f>
        <v>0</v>
      </c>
      <c r="AE981" s="140"/>
      <c r="AF981" s="140"/>
      <c r="AG981" s="164">
        <f>($L981*'Pivot Objective'!$C$9^6)*AE981*AF981</f>
        <v>0</v>
      </c>
      <c r="AH981" s="140"/>
      <c r="AI981" s="140"/>
      <c r="AJ981" s="164">
        <f>($L981*'Pivot Objective'!$C$9^7)*AH981*AI981</f>
        <v>0</v>
      </c>
      <c r="AK981" s="185">
        <f t="shared" si="111"/>
        <v>2379589.1540603279</v>
      </c>
      <c r="AL981" s="186">
        <f t="shared" si="112"/>
        <v>2310.2807320974057</v>
      </c>
    </row>
    <row r="982" spans="1:38" customFormat="1" ht="57.6" x14ac:dyDescent="0.3">
      <c r="A982" s="140" t="s">
        <v>1445</v>
      </c>
      <c r="B982" s="140">
        <v>1</v>
      </c>
      <c r="C982" s="166" t="s">
        <v>836</v>
      </c>
      <c r="D982" s="140" t="str">
        <f t="shared" si="107"/>
        <v>6</v>
      </c>
      <c r="E982" s="166" t="s">
        <v>1136</v>
      </c>
      <c r="F982" s="140">
        <f t="shared" si="109"/>
        <v>1</v>
      </c>
      <c r="G982" s="140" t="str">
        <f t="shared" si="108"/>
        <v>1.6.1</v>
      </c>
      <c r="H982" s="166" t="s">
        <v>1710</v>
      </c>
      <c r="I982" s="166" t="s">
        <v>1157</v>
      </c>
      <c r="J982" s="166" t="s">
        <v>1102</v>
      </c>
      <c r="K982" s="166" t="s">
        <v>841</v>
      </c>
      <c r="L982" s="166">
        <v>0</v>
      </c>
      <c r="M982" s="166"/>
      <c r="N982" s="166"/>
      <c r="O982" s="164">
        <f t="shared" si="110"/>
        <v>0</v>
      </c>
      <c r="P982" s="166">
        <v>20000</v>
      </c>
      <c r="Q982" s="166">
        <v>1</v>
      </c>
      <c r="R982" s="164">
        <f>$L982*'Pivot Objective'!$C$9*P982*Q982</f>
        <v>0</v>
      </c>
      <c r="S982" s="166">
        <v>0</v>
      </c>
      <c r="T982" s="166">
        <v>0</v>
      </c>
      <c r="U982" s="164">
        <f>($L982*'Pivot Objective'!$C$9^2)*S982*T982</f>
        <v>0</v>
      </c>
      <c r="V982" s="166">
        <v>0</v>
      </c>
      <c r="W982" s="166">
        <v>0</v>
      </c>
      <c r="X982" s="164">
        <f>($L982*'Pivot Objective'!$C$9^3)*V982*W982</f>
        <v>0</v>
      </c>
      <c r="Y982" s="166">
        <v>0</v>
      </c>
      <c r="Z982" s="166">
        <v>0</v>
      </c>
      <c r="AA982" s="164">
        <f>($L982*'Pivot Objective'!$C$9^4)*Y982*Z982</f>
        <v>0</v>
      </c>
      <c r="AB982" s="140"/>
      <c r="AC982" s="140"/>
      <c r="AD982" s="164">
        <f>($L982*'Pivot Objective'!$C$9^5)*AB982*AC982</f>
        <v>0</v>
      </c>
      <c r="AE982" s="140"/>
      <c r="AF982" s="140"/>
      <c r="AG982" s="164">
        <f>($L982*'Pivot Objective'!$C$9^6)*AE982*AF982</f>
        <v>0</v>
      </c>
      <c r="AH982" s="140"/>
      <c r="AI982" s="140"/>
      <c r="AJ982" s="164">
        <f>($L982*'Pivot Objective'!$C$9^7)*AH982*AI982</f>
        <v>0</v>
      </c>
      <c r="AK982" s="185">
        <f t="shared" si="111"/>
        <v>0</v>
      </c>
      <c r="AL982" s="186">
        <f t="shared" si="112"/>
        <v>0</v>
      </c>
    </row>
    <row r="983" spans="1:38" customFormat="1" ht="57.6" x14ac:dyDescent="0.3">
      <c r="A983" s="140" t="s">
        <v>1445</v>
      </c>
      <c r="B983" s="140">
        <v>1</v>
      </c>
      <c r="C983" s="166" t="s">
        <v>836</v>
      </c>
      <c r="D983" s="140" t="str">
        <f t="shared" si="107"/>
        <v>6</v>
      </c>
      <c r="E983" s="166" t="s">
        <v>1136</v>
      </c>
      <c r="F983" s="140">
        <f t="shared" si="109"/>
        <v>1</v>
      </c>
      <c r="G983" s="140" t="str">
        <f t="shared" si="108"/>
        <v>1.6.1</v>
      </c>
      <c r="H983" s="166" t="s">
        <v>1710</v>
      </c>
      <c r="I983" s="166" t="s">
        <v>1157</v>
      </c>
      <c r="J983" s="166" t="s">
        <v>149</v>
      </c>
      <c r="K983" s="166" t="s">
        <v>707</v>
      </c>
      <c r="L983" s="166">
        <v>391991.03749999998</v>
      </c>
      <c r="M983" s="166"/>
      <c r="N983" s="166"/>
      <c r="O983" s="164">
        <f t="shared" si="110"/>
        <v>0</v>
      </c>
      <c r="P983" s="166">
        <v>2</v>
      </c>
      <c r="Q983" s="166">
        <v>2</v>
      </c>
      <c r="R983" s="164">
        <f>$L983*'Pivot Objective'!$C$9*P983*Q983</f>
        <v>1792059.3063746723</v>
      </c>
      <c r="S983" s="166">
        <v>0</v>
      </c>
      <c r="T983" s="166">
        <v>0</v>
      </c>
      <c r="U983" s="164">
        <f>($L983*'Pivot Objective'!$C$9^2)*S983*T983</f>
        <v>0</v>
      </c>
      <c r="V983" s="166">
        <v>0</v>
      </c>
      <c r="W983" s="166">
        <v>0</v>
      </c>
      <c r="X983" s="164">
        <f>($L983*'Pivot Objective'!$C$9^3)*V983*W983</f>
        <v>0</v>
      </c>
      <c r="Y983" s="166">
        <v>0</v>
      </c>
      <c r="Z983" s="166">
        <v>0</v>
      </c>
      <c r="AA983" s="164">
        <f>($L983*'Pivot Objective'!$C$9^4)*Y983*Z983</f>
        <v>0</v>
      </c>
      <c r="AB983" s="140"/>
      <c r="AC983" s="140"/>
      <c r="AD983" s="164">
        <f>($L983*'Pivot Objective'!$C$9^5)*AB983*AC983</f>
        <v>0</v>
      </c>
      <c r="AE983" s="140"/>
      <c r="AF983" s="140"/>
      <c r="AG983" s="164">
        <f>($L983*'Pivot Objective'!$C$9^6)*AE983*AF983</f>
        <v>0</v>
      </c>
      <c r="AH983" s="140"/>
      <c r="AI983" s="140"/>
      <c r="AJ983" s="164">
        <f>($L983*'Pivot Objective'!$C$9^7)*AH983*AI983</f>
        <v>0</v>
      </c>
      <c r="AK983" s="185">
        <f t="shared" si="111"/>
        <v>1792059.3063746723</v>
      </c>
      <c r="AL983" s="186">
        <f t="shared" si="112"/>
        <v>1739.8634042472547</v>
      </c>
    </row>
    <row r="984" spans="1:38" customFormat="1" ht="57.6" x14ac:dyDescent="0.3">
      <c r="A984" s="140" t="s">
        <v>1445</v>
      </c>
      <c r="B984" s="140">
        <v>1</v>
      </c>
      <c r="C984" s="166" t="s">
        <v>836</v>
      </c>
      <c r="D984" s="140" t="str">
        <f t="shared" si="107"/>
        <v>6</v>
      </c>
      <c r="E984" s="166" t="s">
        <v>1136</v>
      </c>
      <c r="F984" s="140">
        <f t="shared" si="109"/>
        <v>1</v>
      </c>
      <c r="G984" s="140" t="str">
        <f t="shared" si="108"/>
        <v>1.6.1</v>
      </c>
      <c r="H984" s="166" t="s">
        <v>1710</v>
      </c>
      <c r="I984" s="166" t="s">
        <v>1157</v>
      </c>
      <c r="J984" s="166" t="s">
        <v>149</v>
      </c>
      <c r="K984" s="166" t="s">
        <v>708</v>
      </c>
      <c r="L984" s="166">
        <v>1009400</v>
      </c>
      <c r="M984" s="166"/>
      <c r="N984" s="166"/>
      <c r="O984" s="164">
        <f t="shared" si="110"/>
        <v>0</v>
      </c>
      <c r="P984" s="166">
        <v>1</v>
      </c>
      <c r="Q984" s="166">
        <v>25</v>
      </c>
      <c r="R984" s="164">
        <f>$L984*'Pivot Objective'!$C$9*P984*Q984</f>
        <v>28841613.882794999</v>
      </c>
      <c r="S984" s="166">
        <v>0</v>
      </c>
      <c r="T984" s="166">
        <v>0</v>
      </c>
      <c r="U984" s="164">
        <f>($L984*'Pivot Objective'!$C$9^2)*S984*T984</f>
        <v>0</v>
      </c>
      <c r="V984" s="166">
        <v>0</v>
      </c>
      <c r="W984" s="166">
        <v>0</v>
      </c>
      <c r="X984" s="164">
        <f>($L984*'Pivot Objective'!$C$9^3)*V984*W984</f>
        <v>0</v>
      </c>
      <c r="Y984" s="166">
        <v>0</v>
      </c>
      <c r="Z984" s="166">
        <v>0</v>
      </c>
      <c r="AA984" s="164">
        <f>($L984*'Pivot Objective'!$C$9^4)*Y984*Z984</f>
        <v>0</v>
      </c>
      <c r="AB984" s="140"/>
      <c r="AC984" s="140"/>
      <c r="AD984" s="164">
        <f>($L984*'Pivot Objective'!$C$9^5)*AB984*AC984</f>
        <v>0</v>
      </c>
      <c r="AE984" s="140"/>
      <c r="AF984" s="140"/>
      <c r="AG984" s="164">
        <f>($L984*'Pivot Objective'!$C$9^6)*AE984*AF984</f>
        <v>0</v>
      </c>
      <c r="AH984" s="140"/>
      <c r="AI984" s="140"/>
      <c r="AJ984" s="164">
        <f>($L984*'Pivot Objective'!$C$9^7)*AH984*AI984</f>
        <v>0</v>
      </c>
      <c r="AK984" s="185">
        <f t="shared" si="111"/>
        <v>28841613.882794999</v>
      </c>
      <c r="AL984" s="186">
        <f t="shared" si="112"/>
        <v>28001.566876499997</v>
      </c>
    </row>
    <row r="985" spans="1:38" customFormat="1" ht="57.6" x14ac:dyDescent="0.3">
      <c r="A985" s="140" t="s">
        <v>1445</v>
      </c>
      <c r="B985" s="140">
        <v>1</v>
      </c>
      <c r="C985" s="166" t="s">
        <v>836</v>
      </c>
      <c r="D985" s="140" t="str">
        <f t="shared" si="107"/>
        <v>6</v>
      </c>
      <c r="E985" s="166" t="s">
        <v>1136</v>
      </c>
      <c r="F985" s="140">
        <f t="shared" si="109"/>
        <v>1</v>
      </c>
      <c r="G985" s="140" t="str">
        <f t="shared" si="108"/>
        <v>1.6.1</v>
      </c>
      <c r="H985" s="166" t="s">
        <v>1710</v>
      </c>
      <c r="I985" s="166" t="s">
        <v>1157</v>
      </c>
      <c r="J985" s="166" t="s">
        <v>174</v>
      </c>
      <c r="K985" s="166" t="s">
        <v>841</v>
      </c>
      <c r="L985" s="166">
        <v>0</v>
      </c>
      <c r="M985" s="166"/>
      <c r="N985" s="166"/>
      <c r="O985" s="164">
        <f t="shared" si="110"/>
        <v>0</v>
      </c>
      <c r="P985" s="166">
        <v>1</v>
      </c>
      <c r="Q985" s="166">
        <v>40</v>
      </c>
      <c r="R985" s="164">
        <f>$L985*'Pivot Objective'!$C$9*P985*Q985</f>
        <v>0</v>
      </c>
      <c r="S985" s="166">
        <v>0</v>
      </c>
      <c r="T985" s="166">
        <v>0</v>
      </c>
      <c r="U985" s="164">
        <f>($L985*'Pivot Objective'!$C$9^2)*S985*T985</f>
        <v>0</v>
      </c>
      <c r="V985" s="166">
        <v>0</v>
      </c>
      <c r="W985" s="166">
        <v>0</v>
      </c>
      <c r="X985" s="164">
        <f>($L985*'Pivot Objective'!$C$9^3)*V985*W985</f>
        <v>0</v>
      </c>
      <c r="Y985" s="166">
        <v>0</v>
      </c>
      <c r="Z985" s="166">
        <v>0</v>
      </c>
      <c r="AA985" s="164">
        <f>($L985*'Pivot Objective'!$C$9^4)*Y985*Z985</f>
        <v>0</v>
      </c>
      <c r="AB985" s="140"/>
      <c r="AC985" s="140"/>
      <c r="AD985" s="164">
        <f>($L985*'Pivot Objective'!$C$9^5)*AB985*AC985</f>
        <v>0</v>
      </c>
      <c r="AE985" s="140"/>
      <c r="AF985" s="140"/>
      <c r="AG985" s="164">
        <f>($L985*'Pivot Objective'!$C$9^6)*AE985*AF985</f>
        <v>0</v>
      </c>
      <c r="AH985" s="140"/>
      <c r="AI985" s="140"/>
      <c r="AJ985" s="164">
        <f>($L985*'Pivot Objective'!$C$9^7)*AH985*AI985</f>
        <v>0</v>
      </c>
      <c r="AK985" s="185">
        <f t="shared" si="111"/>
        <v>0</v>
      </c>
      <c r="AL985" s="186">
        <f t="shared" si="112"/>
        <v>0</v>
      </c>
    </row>
    <row r="986" spans="1:38" customFormat="1" ht="57.6" x14ac:dyDescent="0.3">
      <c r="A986" s="140" t="s">
        <v>1445</v>
      </c>
      <c r="B986" s="140">
        <v>1</v>
      </c>
      <c r="C986" s="166" t="s">
        <v>836</v>
      </c>
      <c r="D986" s="140" t="str">
        <f t="shared" si="107"/>
        <v>6</v>
      </c>
      <c r="E986" s="166" t="s">
        <v>1136</v>
      </c>
      <c r="F986" s="140">
        <f t="shared" si="109"/>
        <v>1</v>
      </c>
      <c r="G986" s="140" t="str">
        <f t="shared" si="108"/>
        <v>1.6.1</v>
      </c>
      <c r="H986" s="166" t="s">
        <v>1710</v>
      </c>
      <c r="I986" s="166" t="s">
        <v>1157</v>
      </c>
      <c r="J986" s="166" t="s">
        <v>1015</v>
      </c>
      <c r="K986" s="166" t="s">
        <v>709</v>
      </c>
      <c r="L986" s="166">
        <v>35000</v>
      </c>
      <c r="M986" s="166"/>
      <c r="N986" s="166"/>
      <c r="O986" s="164">
        <f t="shared" si="110"/>
        <v>0</v>
      </c>
      <c r="P986" s="166">
        <v>25</v>
      </c>
      <c r="Q986" s="166">
        <v>5</v>
      </c>
      <c r="R986" s="164">
        <f>$L986*'Pivot Objective'!$C$9*P986*Q986</f>
        <v>5000279.7993749995</v>
      </c>
      <c r="S986" s="166">
        <v>0</v>
      </c>
      <c r="T986" s="166">
        <v>0</v>
      </c>
      <c r="U986" s="164">
        <f>($L986*'Pivot Objective'!$C$9^2)*S986*T986</f>
        <v>0</v>
      </c>
      <c r="V986" s="166">
        <v>0</v>
      </c>
      <c r="W986" s="166">
        <v>0</v>
      </c>
      <c r="X986" s="164">
        <f>($L986*'Pivot Objective'!$C$9^3)*V986*W986</f>
        <v>0</v>
      </c>
      <c r="Y986" s="166">
        <v>0</v>
      </c>
      <c r="Z986" s="166">
        <v>0</v>
      </c>
      <c r="AA986" s="164">
        <f>($L986*'Pivot Objective'!$C$9^4)*Y986*Z986</f>
        <v>0</v>
      </c>
      <c r="AB986" s="140"/>
      <c r="AC986" s="140"/>
      <c r="AD986" s="164">
        <f>($L986*'Pivot Objective'!$C$9^5)*AB986*AC986</f>
        <v>0</v>
      </c>
      <c r="AE986" s="140"/>
      <c r="AF986" s="140"/>
      <c r="AG986" s="164">
        <f>($L986*'Pivot Objective'!$C$9^6)*AE986*AF986</f>
        <v>0</v>
      </c>
      <c r="AH986" s="140"/>
      <c r="AI986" s="140"/>
      <c r="AJ986" s="164">
        <f>($L986*'Pivot Objective'!$C$9^7)*AH986*AI986</f>
        <v>0</v>
      </c>
      <c r="AK986" s="185">
        <f t="shared" si="111"/>
        <v>5000279.7993749995</v>
      </c>
      <c r="AL986" s="186">
        <f t="shared" si="112"/>
        <v>4854.6405819174752</v>
      </c>
    </row>
    <row r="987" spans="1:38" customFormat="1" ht="57.6" x14ac:dyDescent="0.3">
      <c r="A987" s="140" t="s">
        <v>1445</v>
      </c>
      <c r="B987" s="140">
        <v>1</v>
      </c>
      <c r="C987" s="166" t="s">
        <v>836</v>
      </c>
      <c r="D987" s="140" t="str">
        <f t="shared" si="107"/>
        <v>6</v>
      </c>
      <c r="E987" s="166" t="s">
        <v>1136</v>
      </c>
      <c r="F987" s="140">
        <f t="shared" si="109"/>
        <v>1</v>
      </c>
      <c r="G987" s="140" t="str">
        <f t="shared" si="108"/>
        <v>1.6.1</v>
      </c>
      <c r="H987" s="166" t="s">
        <v>1710</v>
      </c>
      <c r="I987" s="166" t="s">
        <v>1157</v>
      </c>
      <c r="J987" s="166" t="s">
        <v>1015</v>
      </c>
      <c r="K987" s="166" t="s">
        <v>1297</v>
      </c>
      <c r="L987" s="166">
        <v>8000</v>
      </c>
      <c r="M987" s="166"/>
      <c r="N987" s="166"/>
      <c r="O987" s="164">
        <f t="shared" si="110"/>
        <v>0</v>
      </c>
      <c r="P987" s="166">
        <v>25</v>
      </c>
      <c r="Q987" s="166">
        <v>5</v>
      </c>
      <c r="R987" s="164">
        <f>$L987*'Pivot Objective'!$C$9*P987*Q987</f>
        <v>1142921.0969999998</v>
      </c>
      <c r="S987" s="166">
        <v>0</v>
      </c>
      <c r="T987" s="166">
        <v>0</v>
      </c>
      <c r="U987" s="164">
        <f>($L987*'Pivot Objective'!$C$9^2)*S987*T987</f>
        <v>0</v>
      </c>
      <c r="V987" s="166">
        <v>0</v>
      </c>
      <c r="W987" s="166">
        <v>0</v>
      </c>
      <c r="X987" s="164">
        <f>($L987*'Pivot Objective'!$C$9^3)*V987*W987</f>
        <v>0</v>
      </c>
      <c r="Y987" s="166">
        <v>0</v>
      </c>
      <c r="Z987" s="166">
        <v>0</v>
      </c>
      <c r="AA987" s="164">
        <f>($L987*'Pivot Objective'!$C$9^4)*Y987*Z987</f>
        <v>0</v>
      </c>
      <c r="AB987" s="140"/>
      <c r="AC987" s="140"/>
      <c r="AD987" s="164">
        <f>($L987*'Pivot Objective'!$C$9^5)*AB987*AC987</f>
        <v>0</v>
      </c>
      <c r="AE987" s="140"/>
      <c r="AF987" s="140"/>
      <c r="AG987" s="164">
        <f>($L987*'Pivot Objective'!$C$9^6)*AE987*AF987</f>
        <v>0</v>
      </c>
      <c r="AH987" s="140"/>
      <c r="AI987" s="140"/>
      <c r="AJ987" s="164">
        <f>($L987*'Pivot Objective'!$C$9^7)*AH987*AI987</f>
        <v>0</v>
      </c>
      <c r="AK987" s="185">
        <f t="shared" si="111"/>
        <v>1142921.0969999998</v>
      </c>
      <c r="AL987" s="186">
        <f t="shared" si="112"/>
        <v>1109.6321330097085</v>
      </c>
    </row>
    <row r="988" spans="1:38" customFormat="1" ht="57.6" x14ac:dyDescent="0.3">
      <c r="A988" s="140" t="s">
        <v>1445</v>
      </c>
      <c r="B988" s="140">
        <v>1</v>
      </c>
      <c r="C988" s="166" t="s">
        <v>836</v>
      </c>
      <c r="D988" s="140" t="str">
        <f t="shared" si="107"/>
        <v>6</v>
      </c>
      <c r="E988" s="166" t="s">
        <v>1136</v>
      </c>
      <c r="F988" s="140">
        <f t="shared" si="109"/>
        <v>1</v>
      </c>
      <c r="G988" s="140" t="str">
        <f t="shared" si="108"/>
        <v>1.6.1</v>
      </c>
      <c r="H988" s="166" t="s">
        <v>1710</v>
      </c>
      <c r="I988" s="166" t="s">
        <v>1157</v>
      </c>
      <c r="J988" s="166" t="s">
        <v>1015</v>
      </c>
      <c r="K988" s="166" t="s">
        <v>710</v>
      </c>
      <c r="L988" s="166">
        <v>104850</v>
      </c>
      <c r="M988" s="166"/>
      <c r="N988" s="166"/>
      <c r="O988" s="164">
        <f t="shared" si="110"/>
        <v>0</v>
      </c>
      <c r="P988" s="166">
        <v>1</v>
      </c>
      <c r="Q988" s="166">
        <v>1</v>
      </c>
      <c r="R988" s="164">
        <f>$L988*'Pivot Objective'!$C$9*P988*Q988</f>
        <v>119835.27702044998</v>
      </c>
      <c r="S988" s="166">
        <v>0</v>
      </c>
      <c r="T988" s="166">
        <v>0</v>
      </c>
      <c r="U988" s="164">
        <f>($L988*'Pivot Objective'!$C$9^2)*S988*T988</f>
        <v>0</v>
      </c>
      <c r="V988" s="166">
        <v>0</v>
      </c>
      <c r="W988" s="166">
        <v>0</v>
      </c>
      <c r="X988" s="164">
        <f>($L988*'Pivot Objective'!$C$9^3)*V988*W988</f>
        <v>0</v>
      </c>
      <c r="Y988" s="166">
        <v>0</v>
      </c>
      <c r="Z988" s="166">
        <v>0</v>
      </c>
      <c r="AA988" s="164">
        <f>($L988*'Pivot Objective'!$C$9^4)*Y988*Z988</f>
        <v>0</v>
      </c>
      <c r="AB988" s="140"/>
      <c r="AC988" s="140"/>
      <c r="AD988" s="164">
        <f>($L988*'Pivot Objective'!$C$9^5)*AB988*AC988</f>
        <v>0</v>
      </c>
      <c r="AE988" s="140"/>
      <c r="AF988" s="140"/>
      <c r="AG988" s="164">
        <f>($L988*'Pivot Objective'!$C$9^6)*AE988*AF988</f>
        <v>0</v>
      </c>
      <c r="AH988" s="140"/>
      <c r="AI988" s="140"/>
      <c r="AJ988" s="164">
        <f>($L988*'Pivot Objective'!$C$9^7)*AH988*AI988</f>
        <v>0</v>
      </c>
      <c r="AK988" s="185">
        <f t="shared" si="111"/>
        <v>119835.27702044998</v>
      </c>
      <c r="AL988" s="186">
        <f t="shared" si="112"/>
        <v>116.34492914606794</v>
      </c>
    </row>
    <row r="989" spans="1:38" customFormat="1" ht="57.6" x14ac:dyDescent="0.3">
      <c r="A989" s="140" t="s">
        <v>1445</v>
      </c>
      <c r="B989" s="140">
        <v>1</v>
      </c>
      <c r="C989" s="166" t="s">
        <v>836</v>
      </c>
      <c r="D989" s="140" t="str">
        <f t="shared" si="107"/>
        <v>6</v>
      </c>
      <c r="E989" s="166" t="s">
        <v>1136</v>
      </c>
      <c r="F989" s="140">
        <f t="shared" si="109"/>
        <v>1</v>
      </c>
      <c r="G989" s="140" t="str">
        <f t="shared" si="108"/>
        <v>1.6.1</v>
      </c>
      <c r="H989" s="166" t="s">
        <v>1710</v>
      </c>
      <c r="I989" s="166" t="s">
        <v>1157</v>
      </c>
      <c r="J989" s="166" t="s">
        <v>1159</v>
      </c>
      <c r="K989" s="166" t="s">
        <v>713</v>
      </c>
      <c r="L989" s="166">
        <v>45000</v>
      </c>
      <c r="M989" s="166"/>
      <c r="N989" s="166"/>
      <c r="O989" s="164">
        <f t="shared" si="110"/>
        <v>0</v>
      </c>
      <c r="P989" s="166">
        <v>25</v>
      </c>
      <c r="Q989" s="166">
        <v>3</v>
      </c>
      <c r="R989" s="164">
        <f>$L989*'Pivot Objective'!$C$9*P989*Q989</f>
        <v>3857358.7023749994</v>
      </c>
      <c r="S989" s="166">
        <v>0</v>
      </c>
      <c r="T989" s="166">
        <v>0</v>
      </c>
      <c r="U989" s="164">
        <f>($L989*'Pivot Objective'!$C$9^2)*S989*T989</f>
        <v>0</v>
      </c>
      <c r="V989" s="166">
        <v>0</v>
      </c>
      <c r="W989" s="166">
        <v>0</v>
      </c>
      <c r="X989" s="164">
        <f>($L989*'Pivot Objective'!$C$9^3)*V989*W989</f>
        <v>0</v>
      </c>
      <c r="Y989" s="166">
        <v>0</v>
      </c>
      <c r="Z989" s="166">
        <v>0</v>
      </c>
      <c r="AA989" s="164">
        <f>($L989*'Pivot Objective'!$C$9^4)*Y989*Z989</f>
        <v>0</v>
      </c>
      <c r="AB989" s="140"/>
      <c r="AC989" s="140"/>
      <c r="AD989" s="164">
        <f>($L989*'Pivot Objective'!$C$9^5)*AB989*AC989</f>
        <v>0</v>
      </c>
      <c r="AE989" s="140"/>
      <c r="AF989" s="140"/>
      <c r="AG989" s="164">
        <f>($L989*'Pivot Objective'!$C$9^6)*AE989*AF989</f>
        <v>0</v>
      </c>
      <c r="AH989" s="140"/>
      <c r="AI989" s="140"/>
      <c r="AJ989" s="164">
        <f>($L989*'Pivot Objective'!$C$9^7)*AH989*AI989</f>
        <v>0</v>
      </c>
      <c r="AK989" s="185">
        <f t="shared" si="111"/>
        <v>3857358.7023749994</v>
      </c>
      <c r="AL989" s="186">
        <f t="shared" si="112"/>
        <v>3745.0084489077663</v>
      </c>
    </row>
    <row r="990" spans="1:38" customFormat="1" ht="57.6" x14ac:dyDescent="0.3">
      <c r="A990" s="140" t="s">
        <v>1445</v>
      </c>
      <c r="B990" s="140">
        <v>1</v>
      </c>
      <c r="C990" s="166" t="s">
        <v>836</v>
      </c>
      <c r="D990" s="140" t="str">
        <f t="shared" si="107"/>
        <v>6</v>
      </c>
      <c r="E990" s="166" t="s">
        <v>1136</v>
      </c>
      <c r="F990" s="140">
        <f t="shared" si="109"/>
        <v>1</v>
      </c>
      <c r="G990" s="140" t="str">
        <f t="shared" si="108"/>
        <v>1.6.1</v>
      </c>
      <c r="H990" s="166" t="s">
        <v>1710</v>
      </c>
      <c r="I990" s="166" t="s">
        <v>1157</v>
      </c>
      <c r="J990" s="166" t="s">
        <v>1159</v>
      </c>
      <c r="K990" s="166" t="s">
        <v>712</v>
      </c>
      <c r="L990" s="166">
        <v>285.60000000000002</v>
      </c>
      <c r="M990" s="166"/>
      <c r="N990" s="166"/>
      <c r="O990" s="164">
        <f t="shared" si="110"/>
        <v>0</v>
      </c>
      <c r="P990" s="166">
        <v>25</v>
      </c>
      <c r="Q990" s="166">
        <v>3</v>
      </c>
      <c r="R990" s="164">
        <f>$L990*'Pivot Objective'!$C$9*P990*Q990</f>
        <v>24481.369897739998</v>
      </c>
      <c r="S990" s="166">
        <v>0</v>
      </c>
      <c r="T990" s="166">
        <v>0</v>
      </c>
      <c r="U990" s="164">
        <f>($L990*'Pivot Objective'!$C$9^2)*S990*T990</f>
        <v>0</v>
      </c>
      <c r="V990" s="166">
        <v>0</v>
      </c>
      <c r="W990" s="166">
        <v>0</v>
      </c>
      <c r="X990" s="164">
        <f>($L990*'Pivot Objective'!$C$9^3)*V990*W990</f>
        <v>0</v>
      </c>
      <c r="Y990" s="166">
        <v>0</v>
      </c>
      <c r="Z990" s="166">
        <v>0</v>
      </c>
      <c r="AA990" s="164">
        <f>($L990*'Pivot Objective'!$C$9^4)*Y990*Z990</f>
        <v>0</v>
      </c>
      <c r="AB990" s="140"/>
      <c r="AC990" s="140"/>
      <c r="AD990" s="164">
        <f>($L990*'Pivot Objective'!$C$9^5)*AB990*AC990</f>
        <v>0</v>
      </c>
      <c r="AE990" s="140"/>
      <c r="AF990" s="140"/>
      <c r="AG990" s="164">
        <f>($L990*'Pivot Objective'!$C$9^6)*AE990*AF990</f>
        <v>0</v>
      </c>
      <c r="AH990" s="140"/>
      <c r="AI990" s="140"/>
      <c r="AJ990" s="164">
        <f>($L990*'Pivot Objective'!$C$9^7)*AH990*AI990</f>
        <v>0</v>
      </c>
      <c r="AK990" s="185">
        <f t="shared" si="111"/>
        <v>24481.369897739998</v>
      </c>
      <c r="AL990" s="186">
        <f t="shared" si="112"/>
        <v>23.768320289067958</v>
      </c>
    </row>
    <row r="991" spans="1:38" customFormat="1" ht="57.6" x14ac:dyDescent="0.3">
      <c r="A991" s="140" t="s">
        <v>1445</v>
      </c>
      <c r="B991" s="140">
        <v>1</v>
      </c>
      <c r="C991" s="166" t="s">
        <v>836</v>
      </c>
      <c r="D991" s="140" t="str">
        <f t="shared" si="107"/>
        <v>6</v>
      </c>
      <c r="E991" s="166" t="s">
        <v>1136</v>
      </c>
      <c r="F991" s="140">
        <f t="shared" si="109"/>
        <v>1</v>
      </c>
      <c r="G991" s="140" t="str">
        <f t="shared" si="108"/>
        <v>1.6.1</v>
      </c>
      <c r="H991" s="166" t="s">
        <v>1710</v>
      </c>
      <c r="I991" s="166" t="s">
        <v>1157</v>
      </c>
      <c r="J991" s="166"/>
      <c r="K991" s="166" t="s">
        <v>1326</v>
      </c>
      <c r="L991" s="166">
        <v>285.60000000000002</v>
      </c>
      <c r="M991" s="166"/>
      <c r="N991" s="166"/>
      <c r="O991" s="164">
        <f t="shared" si="110"/>
        <v>0</v>
      </c>
      <c r="P991" s="166">
        <v>25</v>
      </c>
      <c r="Q991" s="166">
        <v>1</v>
      </c>
      <c r="R991" s="164">
        <f>$L991*'Pivot Objective'!$C$9*P991*Q991</f>
        <v>8160.4566325799997</v>
      </c>
      <c r="S991" s="166"/>
      <c r="T991" s="166"/>
      <c r="U991" s="164">
        <f>($L991*'Pivot Objective'!$C$9^2)*S991*T991</f>
        <v>0</v>
      </c>
      <c r="V991" s="166"/>
      <c r="W991" s="166"/>
      <c r="X991" s="164">
        <f>($L991*'Pivot Objective'!$C$9^3)*V991*W991</f>
        <v>0</v>
      </c>
      <c r="Y991" s="166"/>
      <c r="Z991" s="166"/>
      <c r="AA991" s="164">
        <f>($L991*'Pivot Objective'!$C$9^4)*Y991*Z991</f>
        <v>0</v>
      </c>
      <c r="AB991" s="140"/>
      <c r="AC991" s="140"/>
      <c r="AD991" s="164">
        <f>($L991*'Pivot Objective'!$C$9^5)*AB991*AC991</f>
        <v>0</v>
      </c>
      <c r="AE991" s="140"/>
      <c r="AF991" s="140"/>
      <c r="AG991" s="164">
        <f>($L991*'Pivot Objective'!$C$9^6)*AE991*AF991</f>
        <v>0</v>
      </c>
      <c r="AH991" s="140"/>
      <c r="AI991" s="140"/>
      <c r="AJ991" s="164">
        <f>($L991*'Pivot Objective'!$C$9^7)*AH991*AI991</f>
        <v>0</v>
      </c>
      <c r="AK991" s="185">
        <f t="shared" si="111"/>
        <v>8160.4566325799997</v>
      </c>
      <c r="AL991" s="186">
        <f t="shared" si="112"/>
        <v>7.92277342968932</v>
      </c>
    </row>
    <row r="992" spans="1:38" customFormat="1" ht="57.6" x14ac:dyDescent="0.3">
      <c r="A992" s="140" t="s">
        <v>1445</v>
      </c>
      <c r="B992" s="140">
        <v>1</v>
      </c>
      <c r="C992" s="166" t="s">
        <v>836</v>
      </c>
      <c r="D992" s="140" t="str">
        <f t="shared" si="107"/>
        <v>6</v>
      </c>
      <c r="E992" s="166" t="s">
        <v>1136</v>
      </c>
      <c r="F992" s="140">
        <f t="shared" si="109"/>
        <v>1</v>
      </c>
      <c r="G992" s="140" t="str">
        <f t="shared" si="108"/>
        <v>1.6.1</v>
      </c>
      <c r="H992" s="166" t="s">
        <v>1710</v>
      </c>
      <c r="I992" s="166" t="s">
        <v>1157</v>
      </c>
      <c r="J992" s="166" t="s">
        <v>1160</v>
      </c>
      <c r="K992" s="166" t="s">
        <v>713</v>
      </c>
      <c r="L992" s="166">
        <v>45000</v>
      </c>
      <c r="M992" s="166"/>
      <c r="N992" s="166"/>
      <c r="O992" s="164">
        <f t="shared" si="110"/>
        <v>0</v>
      </c>
      <c r="P992" s="166">
        <v>25</v>
      </c>
      <c r="Q992" s="166">
        <v>6</v>
      </c>
      <c r="R992" s="164">
        <f>$L992*'Pivot Objective'!$C$9*P992*Q992</f>
        <v>7714717.4047499988</v>
      </c>
      <c r="S992" s="166">
        <v>0</v>
      </c>
      <c r="T992" s="166">
        <v>0</v>
      </c>
      <c r="U992" s="164">
        <f>($L992*'Pivot Objective'!$C$9^2)*S992*T992</f>
        <v>0</v>
      </c>
      <c r="V992" s="166">
        <v>0</v>
      </c>
      <c r="W992" s="166">
        <v>0</v>
      </c>
      <c r="X992" s="164">
        <f>($L992*'Pivot Objective'!$C$9^3)*V992*W992</f>
        <v>0</v>
      </c>
      <c r="Y992" s="166">
        <v>0</v>
      </c>
      <c r="Z992" s="166">
        <v>0</v>
      </c>
      <c r="AA992" s="164">
        <f>($L992*'Pivot Objective'!$C$9^4)*Y992*Z992</f>
        <v>0</v>
      </c>
      <c r="AB992" s="140"/>
      <c r="AC992" s="140"/>
      <c r="AD992" s="164">
        <f>($L992*'Pivot Objective'!$C$9^5)*AB992*AC992</f>
        <v>0</v>
      </c>
      <c r="AE992" s="140"/>
      <c r="AF992" s="140"/>
      <c r="AG992" s="164">
        <f>($L992*'Pivot Objective'!$C$9^6)*AE992*AF992</f>
        <v>0</v>
      </c>
      <c r="AH992" s="140"/>
      <c r="AI992" s="140"/>
      <c r="AJ992" s="164">
        <f>($L992*'Pivot Objective'!$C$9^7)*AH992*AI992</f>
        <v>0</v>
      </c>
      <c r="AK992" s="185">
        <f t="shared" si="111"/>
        <v>7714717.4047499988</v>
      </c>
      <c r="AL992" s="186">
        <f t="shared" si="112"/>
        <v>7490.0168978155325</v>
      </c>
    </row>
    <row r="993" spans="1:38" customFormat="1" ht="57.6" x14ac:dyDescent="0.3">
      <c r="A993" s="140" t="s">
        <v>1445</v>
      </c>
      <c r="B993" s="140">
        <v>1</v>
      </c>
      <c r="C993" s="166" t="s">
        <v>836</v>
      </c>
      <c r="D993" s="140" t="str">
        <f t="shared" si="107"/>
        <v>6</v>
      </c>
      <c r="E993" s="166" t="s">
        <v>1136</v>
      </c>
      <c r="F993" s="140">
        <f t="shared" si="109"/>
        <v>1</v>
      </c>
      <c r="G993" s="140" t="str">
        <f t="shared" si="108"/>
        <v>1.6.1</v>
      </c>
      <c r="H993" s="166" t="s">
        <v>1710</v>
      </c>
      <c r="I993" s="166" t="s">
        <v>1157</v>
      </c>
      <c r="J993" s="166" t="s">
        <v>1160</v>
      </c>
      <c r="K993" s="166" t="s">
        <v>712</v>
      </c>
      <c r="L993" s="166">
        <v>285.60000000000002</v>
      </c>
      <c r="M993" s="166"/>
      <c r="N993" s="166"/>
      <c r="O993" s="164">
        <f t="shared" si="110"/>
        <v>0</v>
      </c>
      <c r="P993" s="166">
        <v>25</v>
      </c>
      <c r="Q993" s="166">
        <v>5</v>
      </c>
      <c r="R993" s="164">
        <f>$L993*'Pivot Objective'!$C$9*P993*Q993</f>
        <v>40802.283162899999</v>
      </c>
      <c r="S993" s="166">
        <v>0</v>
      </c>
      <c r="T993" s="166">
        <v>0</v>
      </c>
      <c r="U993" s="164">
        <f>($L993*'Pivot Objective'!$C$9^2)*S993*T993</f>
        <v>0</v>
      </c>
      <c r="V993" s="166">
        <v>0</v>
      </c>
      <c r="W993" s="166">
        <v>0</v>
      </c>
      <c r="X993" s="164">
        <f>($L993*'Pivot Objective'!$C$9^3)*V993*W993</f>
        <v>0</v>
      </c>
      <c r="Y993" s="166">
        <v>0</v>
      </c>
      <c r="Z993" s="166">
        <v>0</v>
      </c>
      <c r="AA993" s="164">
        <f>($L993*'Pivot Objective'!$C$9^4)*Y993*Z993</f>
        <v>0</v>
      </c>
      <c r="AB993" s="140"/>
      <c r="AC993" s="140"/>
      <c r="AD993" s="164">
        <f>($L993*'Pivot Objective'!$C$9^5)*AB993*AC993</f>
        <v>0</v>
      </c>
      <c r="AE993" s="140"/>
      <c r="AF993" s="140"/>
      <c r="AG993" s="164">
        <f>($L993*'Pivot Objective'!$C$9^6)*AE993*AF993</f>
        <v>0</v>
      </c>
      <c r="AH993" s="140"/>
      <c r="AI993" s="140"/>
      <c r="AJ993" s="164">
        <f>($L993*'Pivot Objective'!$C$9^7)*AH993*AI993</f>
        <v>0</v>
      </c>
      <c r="AK993" s="185">
        <f t="shared" si="111"/>
        <v>40802.283162899999</v>
      </c>
      <c r="AL993" s="186">
        <f t="shared" si="112"/>
        <v>39.613867148446602</v>
      </c>
    </row>
    <row r="994" spans="1:38" customFormat="1" ht="57.6" x14ac:dyDescent="0.3">
      <c r="A994" s="140" t="s">
        <v>1445</v>
      </c>
      <c r="B994" s="140">
        <v>1</v>
      </c>
      <c r="C994" s="166" t="s">
        <v>836</v>
      </c>
      <c r="D994" s="140" t="str">
        <f t="shared" si="107"/>
        <v>6</v>
      </c>
      <c r="E994" s="166" t="s">
        <v>1136</v>
      </c>
      <c r="F994" s="140">
        <f t="shared" ref="F994:F1021" si="113">IF(H994=H993,F993,F993+1)</f>
        <v>1</v>
      </c>
      <c r="G994" s="140" t="str">
        <f t="shared" si="108"/>
        <v>1.6.1</v>
      </c>
      <c r="H994" s="166" t="s">
        <v>1710</v>
      </c>
      <c r="I994" s="166" t="s">
        <v>1157</v>
      </c>
      <c r="J994" s="166" t="s">
        <v>1160</v>
      </c>
      <c r="K994" s="166" t="s">
        <v>714</v>
      </c>
      <c r="L994" s="166">
        <v>10000</v>
      </c>
      <c r="M994" s="166"/>
      <c r="N994" s="166"/>
      <c r="O994" s="164">
        <f t="shared" si="110"/>
        <v>0</v>
      </c>
      <c r="P994" s="166">
        <v>15</v>
      </c>
      <c r="Q994" s="166">
        <v>1</v>
      </c>
      <c r="R994" s="164">
        <f>$L994*'Pivot Objective'!$C$9*P994*Q994</f>
        <v>171438.16454999999</v>
      </c>
      <c r="S994" s="166">
        <v>0</v>
      </c>
      <c r="T994" s="166">
        <v>0</v>
      </c>
      <c r="U994" s="164">
        <f>($L994*'Pivot Objective'!$C$9^2)*S994*T994</f>
        <v>0</v>
      </c>
      <c r="V994" s="166">
        <v>0</v>
      </c>
      <c r="W994" s="166">
        <v>0</v>
      </c>
      <c r="X994" s="164">
        <f>($L994*'Pivot Objective'!$C$9^3)*V994*W994</f>
        <v>0</v>
      </c>
      <c r="Y994" s="166">
        <v>0</v>
      </c>
      <c r="Z994" s="166">
        <v>0</v>
      </c>
      <c r="AA994" s="164">
        <f>($L994*'Pivot Objective'!$C$9^4)*Y994*Z994</f>
        <v>0</v>
      </c>
      <c r="AB994" s="140"/>
      <c r="AC994" s="140"/>
      <c r="AD994" s="164">
        <f>($L994*'Pivot Objective'!$C$9^5)*AB994*AC994</f>
        <v>0</v>
      </c>
      <c r="AE994" s="140"/>
      <c r="AF994" s="140"/>
      <c r="AG994" s="164">
        <f>($L994*'Pivot Objective'!$C$9^6)*AE994*AF994</f>
        <v>0</v>
      </c>
      <c r="AH994" s="140"/>
      <c r="AI994" s="140"/>
      <c r="AJ994" s="164">
        <f>($L994*'Pivot Objective'!$C$9^7)*AH994*AI994</f>
        <v>0</v>
      </c>
      <c r="AK994" s="185">
        <f t="shared" si="111"/>
        <v>171438.16454999999</v>
      </c>
      <c r="AL994" s="186">
        <f t="shared" si="112"/>
        <v>166.44481995145631</v>
      </c>
    </row>
    <row r="995" spans="1:38" customFormat="1" ht="57.6" x14ac:dyDescent="0.3">
      <c r="A995" s="140" t="s">
        <v>1445</v>
      </c>
      <c r="B995" s="140">
        <v>1</v>
      </c>
      <c r="C995" s="166" t="s">
        <v>836</v>
      </c>
      <c r="D995" s="140" t="str">
        <f t="shared" si="107"/>
        <v>6</v>
      </c>
      <c r="E995" s="166" t="s">
        <v>1136</v>
      </c>
      <c r="F995" s="140">
        <f t="shared" si="113"/>
        <v>1</v>
      </c>
      <c r="G995" s="140" t="str">
        <f t="shared" si="108"/>
        <v>1.6.1</v>
      </c>
      <c r="H995" s="166" t="s">
        <v>1710</v>
      </c>
      <c r="I995" s="166" t="s">
        <v>1157</v>
      </c>
      <c r="J995" s="166" t="s">
        <v>1004</v>
      </c>
      <c r="K995" s="166" t="s">
        <v>709</v>
      </c>
      <c r="L995" s="166">
        <v>35000</v>
      </c>
      <c r="M995" s="166"/>
      <c r="N995" s="166"/>
      <c r="O995" s="164">
        <f t="shared" si="110"/>
        <v>0</v>
      </c>
      <c r="P995" s="166">
        <v>25</v>
      </c>
      <c r="Q995" s="166">
        <v>5</v>
      </c>
      <c r="R995" s="164">
        <f>$L995*'Pivot Objective'!$C$9*P995*Q995</f>
        <v>5000279.7993749995</v>
      </c>
      <c r="S995" s="166">
        <v>0</v>
      </c>
      <c r="T995" s="166">
        <v>0</v>
      </c>
      <c r="U995" s="164">
        <f>($L995*'Pivot Objective'!$C$9^2)*S995*T995</f>
        <v>0</v>
      </c>
      <c r="V995" s="166">
        <v>0</v>
      </c>
      <c r="W995" s="166">
        <v>0</v>
      </c>
      <c r="X995" s="164">
        <f>($L995*'Pivot Objective'!$C$9^3)*V995*W995</f>
        <v>0</v>
      </c>
      <c r="Y995" s="166">
        <v>0</v>
      </c>
      <c r="Z995" s="166">
        <v>0</v>
      </c>
      <c r="AA995" s="164">
        <f>($L995*'Pivot Objective'!$C$9^4)*Y995*Z995</f>
        <v>0</v>
      </c>
      <c r="AB995" s="140"/>
      <c r="AC995" s="140"/>
      <c r="AD995" s="164">
        <f>($L995*'Pivot Objective'!$C$9^5)*AB995*AC995</f>
        <v>0</v>
      </c>
      <c r="AE995" s="140"/>
      <c r="AF995" s="140"/>
      <c r="AG995" s="164">
        <f>($L995*'Pivot Objective'!$C$9^6)*AE995*AF995</f>
        <v>0</v>
      </c>
      <c r="AH995" s="140"/>
      <c r="AI995" s="140"/>
      <c r="AJ995" s="164">
        <f>($L995*'Pivot Objective'!$C$9^7)*AH995*AI995</f>
        <v>0</v>
      </c>
      <c r="AK995" s="185">
        <f t="shared" si="111"/>
        <v>5000279.7993749995</v>
      </c>
      <c r="AL995" s="186">
        <f t="shared" si="112"/>
        <v>4854.6405819174752</v>
      </c>
    </row>
    <row r="996" spans="1:38" customFormat="1" ht="57.6" x14ac:dyDescent="0.3">
      <c r="A996" s="140" t="s">
        <v>1445</v>
      </c>
      <c r="B996" s="140">
        <v>1</v>
      </c>
      <c r="C996" s="166" t="s">
        <v>836</v>
      </c>
      <c r="D996" s="140" t="str">
        <f t="shared" si="107"/>
        <v>6</v>
      </c>
      <c r="E996" s="166" t="s">
        <v>1136</v>
      </c>
      <c r="F996" s="140">
        <f t="shared" si="113"/>
        <v>1</v>
      </c>
      <c r="G996" s="140" t="str">
        <f t="shared" si="108"/>
        <v>1.6.1</v>
      </c>
      <c r="H996" s="166" t="s">
        <v>1710</v>
      </c>
      <c r="I996" s="166" t="s">
        <v>1157</v>
      </c>
      <c r="J996" s="166" t="s">
        <v>1004</v>
      </c>
      <c r="K996" s="166" t="s">
        <v>716</v>
      </c>
      <c r="L996" s="166">
        <v>39000</v>
      </c>
      <c r="M996" s="166"/>
      <c r="N996" s="166"/>
      <c r="O996" s="164">
        <f t="shared" si="110"/>
        <v>0</v>
      </c>
      <c r="P996" s="166">
        <v>25</v>
      </c>
      <c r="Q996" s="166">
        <v>5</v>
      </c>
      <c r="R996" s="164">
        <f>$L996*'Pivot Objective'!$C$9*P996*Q996</f>
        <v>5571740.347874999</v>
      </c>
      <c r="S996" s="166">
        <v>0</v>
      </c>
      <c r="T996" s="166">
        <v>0</v>
      </c>
      <c r="U996" s="164">
        <f>($L996*'Pivot Objective'!$C$9^2)*S996*T996</f>
        <v>0</v>
      </c>
      <c r="V996" s="166">
        <v>0</v>
      </c>
      <c r="W996" s="166">
        <v>0</v>
      </c>
      <c r="X996" s="164">
        <f>($L996*'Pivot Objective'!$C$9^3)*V996*W996</f>
        <v>0</v>
      </c>
      <c r="Y996" s="166">
        <v>0</v>
      </c>
      <c r="Z996" s="166">
        <v>0</v>
      </c>
      <c r="AA996" s="164">
        <f>($L996*'Pivot Objective'!$C$9^4)*Y996*Z996</f>
        <v>0</v>
      </c>
      <c r="AB996" s="140"/>
      <c r="AC996" s="140"/>
      <c r="AD996" s="164">
        <f>($L996*'Pivot Objective'!$C$9^5)*AB996*AC996</f>
        <v>0</v>
      </c>
      <c r="AE996" s="140"/>
      <c r="AF996" s="140"/>
      <c r="AG996" s="164">
        <f>($L996*'Pivot Objective'!$C$9^6)*AE996*AF996</f>
        <v>0</v>
      </c>
      <c r="AH996" s="140"/>
      <c r="AI996" s="140"/>
      <c r="AJ996" s="164">
        <f>($L996*'Pivot Objective'!$C$9^7)*AH996*AI996</f>
        <v>0</v>
      </c>
      <c r="AK996" s="185">
        <f t="shared" si="111"/>
        <v>5571740.347874999</v>
      </c>
      <c r="AL996" s="186">
        <f t="shared" si="112"/>
        <v>5409.4566484223287</v>
      </c>
    </row>
    <row r="997" spans="1:38" customFormat="1" ht="57.6" x14ac:dyDescent="0.3">
      <c r="A997" s="140" t="s">
        <v>1445</v>
      </c>
      <c r="B997" s="140">
        <v>1</v>
      </c>
      <c r="C997" s="166" t="s">
        <v>836</v>
      </c>
      <c r="D997" s="140" t="str">
        <f t="shared" si="107"/>
        <v>6</v>
      </c>
      <c r="E997" s="166" t="s">
        <v>1136</v>
      </c>
      <c r="F997" s="140">
        <f t="shared" si="113"/>
        <v>1</v>
      </c>
      <c r="G997" s="140" t="str">
        <f t="shared" si="108"/>
        <v>1.6.1</v>
      </c>
      <c r="H997" s="166" t="s">
        <v>1710</v>
      </c>
      <c r="I997" s="166" t="s">
        <v>1157</v>
      </c>
      <c r="J997" s="166" t="s">
        <v>1004</v>
      </c>
      <c r="K997" s="166" t="s">
        <v>712</v>
      </c>
      <c r="L997" s="166">
        <v>285.60000000000002</v>
      </c>
      <c r="M997" s="166"/>
      <c r="N997" s="166"/>
      <c r="O997" s="164">
        <f t="shared" si="110"/>
        <v>0</v>
      </c>
      <c r="P997" s="166">
        <v>25</v>
      </c>
      <c r="Q997" s="166">
        <v>5</v>
      </c>
      <c r="R997" s="164">
        <f>$L997*'Pivot Objective'!$C$9*P997*Q997</f>
        <v>40802.283162899999</v>
      </c>
      <c r="S997" s="166">
        <v>0</v>
      </c>
      <c r="T997" s="166">
        <v>0</v>
      </c>
      <c r="U997" s="164">
        <f>($L997*'Pivot Objective'!$C$9^2)*S997*T997</f>
        <v>0</v>
      </c>
      <c r="V997" s="166">
        <v>0</v>
      </c>
      <c r="W997" s="166">
        <v>0</v>
      </c>
      <c r="X997" s="164">
        <f>($L997*'Pivot Objective'!$C$9^3)*V997*W997</f>
        <v>0</v>
      </c>
      <c r="Y997" s="166">
        <v>0</v>
      </c>
      <c r="Z997" s="166">
        <v>0</v>
      </c>
      <c r="AA997" s="164">
        <f>($L997*'Pivot Objective'!$C$9^4)*Y997*Z997</f>
        <v>0</v>
      </c>
      <c r="AB997" s="140"/>
      <c r="AC997" s="140"/>
      <c r="AD997" s="164">
        <f>($L997*'Pivot Objective'!$C$9^5)*AB997*AC997</f>
        <v>0</v>
      </c>
      <c r="AE997" s="140"/>
      <c r="AF997" s="140"/>
      <c r="AG997" s="164">
        <f>($L997*'Pivot Objective'!$C$9^6)*AE997*AF997</f>
        <v>0</v>
      </c>
      <c r="AH997" s="140"/>
      <c r="AI997" s="140"/>
      <c r="AJ997" s="164">
        <f>($L997*'Pivot Objective'!$C$9^7)*AH997*AI997</f>
        <v>0</v>
      </c>
      <c r="AK997" s="185">
        <f t="shared" si="111"/>
        <v>40802.283162899999</v>
      </c>
      <c r="AL997" s="186">
        <f t="shared" si="112"/>
        <v>39.613867148446602</v>
      </c>
    </row>
    <row r="998" spans="1:38" customFormat="1" ht="57.6" x14ac:dyDescent="0.3">
      <c r="A998" s="140" t="s">
        <v>1445</v>
      </c>
      <c r="B998" s="140">
        <v>1</v>
      </c>
      <c r="C998" s="166" t="s">
        <v>836</v>
      </c>
      <c r="D998" s="140" t="str">
        <f t="shared" si="107"/>
        <v>6</v>
      </c>
      <c r="E998" s="166" t="s">
        <v>1136</v>
      </c>
      <c r="F998" s="140">
        <f t="shared" si="113"/>
        <v>1</v>
      </c>
      <c r="G998" s="140" t="str">
        <f t="shared" si="108"/>
        <v>1.6.1</v>
      </c>
      <c r="H998" s="166" t="s">
        <v>1710</v>
      </c>
      <c r="I998" s="166" t="s">
        <v>1157</v>
      </c>
      <c r="J998" s="166" t="s">
        <v>1004</v>
      </c>
      <c r="K998" s="166" t="s">
        <v>1326</v>
      </c>
      <c r="L998" s="166">
        <v>285.60000000000002</v>
      </c>
      <c r="M998" s="166"/>
      <c r="N998" s="166"/>
      <c r="O998" s="164">
        <f t="shared" si="110"/>
        <v>0</v>
      </c>
      <c r="P998" s="166">
        <v>2430</v>
      </c>
      <c r="Q998" s="166">
        <v>1</v>
      </c>
      <c r="R998" s="164">
        <f>$L998*'Pivot Objective'!$C$9*P998*Q998</f>
        <v>793196.38468677597</v>
      </c>
      <c r="S998" s="166"/>
      <c r="T998" s="166"/>
      <c r="U998" s="164">
        <f>($L998*'Pivot Objective'!$C$9^2)*S998*T998</f>
        <v>0</v>
      </c>
      <c r="V998" s="166"/>
      <c r="W998" s="166"/>
      <c r="X998" s="164">
        <f>($L998*'Pivot Objective'!$C$9^3)*V998*W998</f>
        <v>0</v>
      </c>
      <c r="Y998" s="166"/>
      <c r="Z998" s="166"/>
      <c r="AA998" s="164">
        <f>($L998*'Pivot Objective'!$C$9^4)*Y998*Z998</f>
        <v>0</v>
      </c>
      <c r="AB998" s="140"/>
      <c r="AC998" s="140"/>
      <c r="AD998" s="164">
        <f>($L998*'Pivot Objective'!$C$9^5)*AB998*AC998</f>
        <v>0</v>
      </c>
      <c r="AE998" s="140"/>
      <c r="AF998" s="140"/>
      <c r="AG998" s="164">
        <f>($L998*'Pivot Objective'!$C$9^6)*AE998*AF998</f>
        <v>0</v>
      </c>
      <c r="AH998" s="140"/>
      <c r="AI998" s="140"/>
      <c r="AJ998" s="164">
        <f>($L998*'Pivot Objective'!$C$9^7)*AH998*AI998</f>
        <v>0</v>
      </c>
      <c r="AK998" s="185">
        <f t="shared" si="111"/>
        <v>793196.38468677597</v>
      </c>
      <c r="AL998" s="186">
        <f t="shared" si="112"/>
        <v>770.09357736580193</v>
      </c>
    </row>
    <row r="999" spans="1:38" customFormat="1" ht="57.6" x14ac:dyDescent="0.3">
      <c r="A999" s="140" t="s">
        <v>1445</v>
      </c>
      <c r="B999" s="140">
        <v>1</v>
      </c>
      <c r="C999" s="166" t="s">
        <v>836</v>
      </c>
      <c r="D999" s="140" t="str">
        <f t="shared" si="107"/>
        <v>6</v>
      </c>
      <c r="E999" s="166" t="s">
        <v>1136</v>
      </c>
      <c r="F999" s="140">
        <f t="shared" si="113"/>
        <v>1</v>
      </c>
      <c r="G999" s="140" t="str">
        <f t="shared" si="108"/>
        <v>1.6.1</v>
      </c>
      <c r="H999" s="166" t="s">
        <v>1710</v>
      </c>
      <c r="I999" s="166" t="s">
        <v>1157</v>
      </c>
      <c r="J999" s="166" t="s">
        <v>1161</v>
      </c>
      <c r="K999" s="166" t="s">
        <v>841</v>
      </c>
      <c r="L999" s="166">
        <v>0</v>
      </c>
      <c r="M999" s="166"/>
      <c r="N999" s="166"/>
      <c r="O999" s="164">
        <f t="shared" si="110"/>
        <v>0</v>
      </c>
      <c r="P999" s="166">
        <v>4000</v>
      </c>
      <c r="Q999" s="166">
        <v>1</v>
      </c>
      <c r="R999" s="164">
        <f>$L999*'Pivot Objective'!$C$9*P999*Q999</f>
        <v>0</v>
      </c>
      <c r="S999" s="166">
        <v>0</v>
      </c>
      <c r="T999" s="166">
        <v>0</v>
      </c>
      <c r="U999" s="164">
        <f>($L999*'Pivot Objective'!$C$9^2)*S999*T999</f>
        <v>0</v>
      </c>
      <c r="V999" s="166">
        <v>0</v>
      </c>
      <c r="W999" s="166">
        <v>0</v>
      </c>
      <c r="X999" s="164">
        <f>($L999*'Pivot Objective'!$C$9^3)*V999*W999</f>
        <v>0</v>
      </c>
      <c r="Y999" s="166">
        <v>0</v>
      </c>
      <c r="Z999" s="166">
        <v>0</v>
      </c>
      <c r="AA999" s="164">
        <f>($L999*'Pivot Objective'!$C$9^4)*Y999*Z999</f>
        <v>0</v>
      </c>
      <c r="AB999" s="140"/>
      <c r="AC999" s="140"/>
      <c r="AD999" s="164">
        <f>($L999*'Pivot Objective'!$C$9^5)*AB999*AC999</f>
        <v>0</v>
      </c>
      <c r="AE999" s="140"/>
      <c r="AF999" s="140"/>
      <c r="AG999" s="164">
        <f>($L999*'Pivot Objective'!$C$9^6)*AE999*AF999</f>
        <v>0</v>
      </c>
      <c r="AH999" s="140"/>
      <c r="AI999" s="140"/>
      <c r="AJ999" s="164">
        <f>($L999*'Pivot Objective'!$C$9^7)*AH999*AI999</f>
        <v>0</v>
      </c>
      <c r="AK999" s="185">
        <f t="shared" si="111"/>
        <v>0</v>
      </c>
      <c r="AL999" s="186">
        <f t="shared" si="112"/>
        <v>0</v>
      </c>
    </row>
    <row r="1000" spans="1:38" customFormat="1" ht="57.6" x14ac:dyDescent="0.3">
      <c r="A1000" s="140" t="s">
        <v>1445</v>
      </c>
      <c r="B1000" s="140">
        <v>1</v>
      </c>
      <c r="C1000" s="166" t="s">
        <v>836</v>
      </c>
      <c r="D1000" s="140" t="str">
        <f t="shared" si="107"/>
        <v>6</v>
      </c>
      <c r="E1000" s="166" t="s">
        <v>1136</v>
      </c>
      <c r="F1000" s="140">
        <f t="shared" si="113"/>
        <v>1</v>
      </c>
      <c r="G1000" s="140" t="str">
        <f t="shared" si="108"/>
        <v>1.6.1</v>
      </c>
      <c r="H1000" s="166" t="s">
        <v>1710</v>
      </c>
      <c r="I1000" s="166" t="s">
        <v>1157</v>
      </c>
      <c r="J1000" s="166" t="s">
        <v>177</v>
      </c>
      <c r="K1000" s="166" t="s">
        <v>709</v>
      </c>
      <c r="L1000" s="166">
        <v>35000</v>
      </c>
      <c r="M1000" s="166"/>
      <c r="N1000" s="166"/>
      <c r="O1000" s="164">
        <f t="shared" si="110"/>
        <v>0</v>
      </c>
      <c r="P1000" s="166">
        <v>100</v>
      </c>
      <c r="Q1000" s="166">
        <v>5</v>
      </c>
      <c r="R1000" s="164">
        <f>$L1000*'Pivot Objective'!$C$9*P1000*Q1000</f>
        <v>20001119.197499998</v>
      </c>
      <c r="S1000" s="166">
        <v>0</v>
      </c>
      <c r="T1000" s="166">
        <v>0</v>
      </c>
      <c r="U1000" s="164">
        <f>($L1000*'Pivot Objective'!$C$9^2)*S1000*T1000</f>
        <v>0</v>
      </c>
      <c r="V1000" s="166">
        <v>0</v>
      </c>
      <c r="W1000" s="166">
        <v>0</v>
      </c>
      <c r="X1000" s="164">
        <f>($L1000*'Pivot Objective'!$C$9^3)*V1000*W1000</f>
        <v>0</v>
      </c>
      <c r="Y1000" s="166">
        <v>0</v>
      </c>
      <c r="Z1000" s="166">
        <v>0</v>
      </c>
      <c r="AA1000" s="164">
        <f>($L1000*'Pivot Objective'!$C$9^4)*Y1000*Z1000</f>
        <v>0</v>
      </c>
      <c r="AB1000" s="140"/>
      <c r="AC1000" s="140"/>
      <c r="AD1000" s="164">
        <f>($L1000*'Pivot Objective'!$C$9^5)*AB1000*AC1000</f>
        <v>0</v>
      </c>
      <c r="AE1000" s="140"/>
      <c r="AF1000" s="140"/>
      <c r="AG1000" s="164">
        <f>($L1000*'Pivot Objective'!$C$9^6)*AE1000*AF1000</f>
        <v>0</v>
      </c>
      <c r="AH1000" s="140"/>
      <c r="AI1000" s="140"/>
      <c r="AJ1000" s="164">
        <f>($L1000*'Pivot Objective'!$C$9^7)*AH1000*AI1000</f>
        <v>0</v>
      </c>
      <c r="AK1000" s="185">
        <f t="shared" si="111"/>
        <v>20001119.197499998</v>
      </c>
      <c r="AL1000" s="186">
        <f t="shared" si="112"/>
        <v>19418.562327669901</v>
      </c>
    </row>
    <row r="1001" spans="1:38" customFormat="1" ht="57.6" x14ac:dyDescent="0.3">
      <c r="A1001" s="140" t="s">
        <v>1445</v>
      </c>
      <c r="B1001" s="140">
        <v>1</v>
      </c>
      <c r="C1001" s="166" t="s">
        <v>836</v>
      </c>
      <c r="D1001" s="140" t="str">
        <f t="shared" si="107"/>
        <v>6</v>
      </c>
      <c r="E1001" s="166" t="s">
        <v>1136</v>
      </c>
      <c r="F1001" s="140">
        <f t="shared" si="113"/>
        <v>1</v>
      </c>
      <c r="G1001" s="140" t="str">
        <f t="shared" si="108"/>
        <v>1.6.1</v>
      </c>
      <c r="H1001" s="166" t="s">
        <v>1710</v>
      </c>
      <c r="I1001" s="166" t="s">
        <v>1157</v>
      </c>
      <c r="J1001" s="166" t="s">
        <v>177</v>
      </c>
      <c r="K1001" s="166" t="s">
        <v>716</v>
      </c>
      <c r="L1001" s="166">
        <v>39000</v>
      </c>
      <c r="M1001" s="166"/>
      <c r="N1001" s="166"/>
      <c r="O1001" s="164">
        <f t="shared" si="110"/>
        <v>0</v>
      </c>
      <c r="P1001" s="166">
        <v>58</v>
      </c>
      <c r="Q1001" s="166">
        <v>6</v>
      </c>
      <c r="R1001" s="164">
        <f>$L1001*'Pivot Objective'!$C$9*P1001*Q1001</f>
        <v>15511725.128483998</v>
      </c>
      <c r="S1001" s="166">
        <v>0</v>
      </c>
      <c r="T1001" s="166">
        <v>0</v>
      </c>
      <c r="U1001" s="164">
        <f>($L1001*'Pivot Objective'!$C$9^2)*S1001*T1001</f>
        <v>0</v>
      </c>
      <c r="V1001" s="166">
        <v>0</v>
      </c>
      <c r="W1001" s="166">
        <v>0</v>
      </c>
      <c r="X1001" s="164">
        <f>($L1001*'Pivot Objective'!$C$9^3)*V1001*W1001</f>
        <v>0</v>
      </c>
      <c r="Y1001" s="166">
        <v>0</v>
      </c>
      <c r="Z1001" s="166">
        <v>0</v>
      </c>
      <c r="AA1001" s="164">
        <f>($L1001*'Pivot Objective'!$C$9^4)*Y1001*Z1001</f>
        <v>0</v>
      </c>
      <c r="AB1001" s="140"/>
      <c r="AC1001" s="140"/>
      <c r="AD1001" s="164">
        <f>($L1001*'Pivot Objective'!$C$9^5)*AB1001*AC1001</f>
        <v>0</v>
      </c>
      <c r="AE1001" s="140"/>
      <c r="AF1001" s="140"/>
      <c r="AG1001" s="164">
        <f>($L1001*'Pivot Objective'!$C$9^6)*AE1001*AF1001</f>
        <v>0</v>
      </c>
      <c r="AH1001" s="140"/>
      <c r="AI1001" s="140"/>
      <c r="AJ1001" s="164">
        <f>($L1001*'Pivot Objective'!$C$9^7)*AH1001*AI1001</f>
        <v>0</v>
      </c>
      <c r="AK1001" s="185">
        <f t="shared" si="111"/>
        <v>15511725.128483998</v>
      </c>
      <c r="AL1001" s="186">
        <f t="shared" si="112"/>
        <v>15059.927309207766</v>
      </c>
    </row>
    <row r="1002" spans="1:38" customFormat="1" ht="57.6" x14ac:dyDescent="0.3">
      <c r="A1002" s="140" t="s">
        <v>1445</v>
      </c>
      <c r="B1002" s="140">
        <v>1</v>
      </c>
      <c r="C1002" s="166" t="s">
        <v>836</v>
      </c>
      <c r="D1002" s="140" t="str">
        <f t="shared" si="107"/>
        <v>6</v>
      </c>
      <c r="E1002" s="166" t="s">
        <v>1136</v>
      </c>
      <c r="F1002" s="140">
        <f t="shared" si="113"/>
        <v>1</v>
      </c>
      <c r="G1002" s="140" t="str">
        <f t="shared" si="108"/>
        <v>1.6.1</v>
      </c>
      <c r="H1002" s="166" t="s">
        <v>1710</v>
      </c>
      <c r="I1002" s="166" t="s">
        <v>1157</v>
      </c>
      <c r="J1002" s="166" t="s">
        <v>177</v>
      </c>
      <c r="K1002" s="166" t="s">
        <v>712</v>
      </c>
      <c r="L1002" s="166">
        <v>285.60000000000002</v>
      </c>
      <c r="M1002" s="166"/>
      <c r="N1002" s="166"/>
      <c r="O1002" s="164">
        <f t="shared" si="110"/>
        <v>0</v>
      </c>
      <c r="P1002" s="166">
        <v>450</v>
      </c>
      <c r="Q1002" s="166">
        <v>5</v>
      </c>
      <c r="R1002" s="164">
        <f>$L1002*'Pivot Objective'!$C$9*P1002*Q1002</f>
        <v>734441.0969321999</v>
      </c>
      <c r="S1002" s="166">
        <v>0</v>
      </c>
      <c r="T1002" s="166">
        <v>0</v>
      </c>
      <c r="U1002" s="164">
        <f>($L1002*'Pivot Objective'!$C$9^2)*S1002*T1002</f>
        <v>0</v>
      </c>
      <c r="V1002" s="166">
        <v>0</v>
      </c>
      <c r="W1002" s="166">
        <v>0</v>
      </c>
      <c r="X1002" s="164">
        <f>($L1002*'Pivot Objective'!$C$9^3)*V1002*W1002</f>
        <v>0</v>
      </c>
      <c r="Y1002" s="166">
        <v>0</v>
      </c>
      <c r="Z1002" s="166">
        <v>0</v>
      </c>
      <c r="AA1002" s="164">
        <f>($L1002*'Pivot Objective'!$C$9^4)*Y1002*Z1002</f>
        <v>0</v>
      </c>
      <c r="AB1002" s="140"/>
      <c r="AC1002" s="140"/>
      <c r="AD1002" s="164">
        <f>($L1002*'Pivot Objective'!$C$9^5)*AB1002*AC1002</f>
        <v>0</v>
      </c>
      <c r="AE1002" s="140"/>
      <c r="AF1002" s="140"/>
      <c r="AG1002" s="164">
        <f>($L1002*'Pivot Objective'!$C$9^6)*AE1002*AF1002</f>
        <v>0</v>
      </c>
      <c r="AH1002" s="140"/>
      <c r="AI1002" s="140"/>
      <c r="AJ1002" s="164">
        <f>($L1002*'Pivot Objective'!$C$9^7)*AH1002*AI1002</f>
        <v>0</v>
      </c>
      <c r="AK1002" s="185">
        <f t="shared" si="111"/>
        <v>734441.0969321999</v>
      </c>
      <c r="AL1002" s="186">
        <f t="shared" si="112"/>
        <v>713.04960867203874</v>
      </c>
    </row>
    <row r="1003" spans="1:38" customFormat="1" ht="57.6" x14ac:dyDescent="0.3">
      <c r="A1003" s="140" t="s">
        <v>1445</v>
      </c>
      <c r="B1003" s="140">
        <v>1</v>
      </c>
      <c r="C1003" s="166" t="s">
        <v>836</v>
      </c>
      <c r="D1003" s="140" t="str">
        <f t="shared" si="107"/>
        <v>6</v>
      </c>
      <c r="E1003" s="166" t="s">
        <v>1136</v>
      </c>
      <c r="F1003" s="140">
        <f t="shared" si="113"/>
        <v>1</v>
      </c>
      <c r="G1003" s="140" t="str">
        <f t="shared" si="108"/>
        <v>1.6.1</v>
      </c>
      <c r="H1003" s="166" t="s">
        <v>1710</v>
      </c>
      <c r="I1003" s="166" t="s">
        <v>1157</v>
      </c>
      <c r="J1003" s="166" t="s">
        <v>177</v>
      </c>
      <c r="K1003" s="166" t="s">
        <v>1326</v>
      </c>
      <c r="L1003" s="166">
        <v>285.60000000000002</v>
      </c>
      <c r="M1003" s="166"/>
      <c r="N1003" s="166"/>
      <c r="O1003" s="164">
        <f t="shared" si="110"/>
        <v>0</v>
      </c>
      <c r="P1003" s="166">
        <v>2430</v>
      </c>
      <c r="Q1003" s="166">
        <v>1</v>
      </c>
      <c r="R1003" s="164">
        <f>$L1003*'Pivot Objective'!$C$9*P1003*Q1003</f>
        <v>793196.38468677597</v>
      </c>
      <c r="S1003" s="166"/>
      <c r="T1003" s="166"/>
      <c r="U1003" s="164">
        <f>($L1003*'Pivot Objective'!$C$9^2)*S1003*T1003</f>
        <v>0</v>
      </c>
      <c r="V1003" s="166"/>
      <c r="W1003" s="166"/>
      <c r="X1003" s="164">
        <f>($L1003*'Pivot Objective'!$C$9^3)*V1003*W1003</f>
        <v>0</v>
      </c>
      <c r="Y1003" s="166"/>
      <c r="Z1003" s="166"/>
      <c r="AA1003" s="164">
        <f>($L1003*'Pivot Objective'!$C$9^4)*Y1003*Z1003</f>
        <v>0</v>
      </c>
      <c r="AB1003" s="140"/>
      <c r="AC1003" s="140"/>
      <c r="AD1003" s="164">
        <f>($L1003*'Pivot Objective'!$C$9^5)*AB1003*AC1003</f>
        <v>0</v>
      </c>
      <c r="AE1003" s="140"/>
      <c r="AF1003" s="140"/>
      <c r="AG1003" s="164">
        <f>($L1003*'Pivot Objective'!$C$9^6)*AE1003*AF1003</f>
        <v>0</v>
      </c>
      <c r="AH1003" s="140"/>
      <c r="AI1003" s="140"/>
      <c r="AJ1003" s="164">
        <f>($L1003*'Pivot Objective'!$C$9^7)*AH1003*AI1003</f>
        <v>0</v>
      </c>
      <c r="AK1003" s="185">
        <f t="shared" si="111"/>
        <v>793196.38468677597</v>
      </c>
      <c r="AL1003" s="186">
        <f t="shared" si="112"/>
        <v>770.09357736580193</v>
      </c>
    </row>
    <row r="1004" spans="1:38" customFormat="1" ht="57.6" x14ac:dyDescent="0.3">
      <c r="A1004" s="140" t="s">
        <v>1445</v>
      </c>
      <c r="B1004" s="140">
        <v>1</v>
      </c>
      <c r="C1004" s="166" t="s">
        <v>836</v>
      </c>
      <c r="D1004" s="140" t="str">
        <f t="shared" si="107"/>
        <v>6</v>
      </c>
      <c r="E1004" s="166" t="s">
        <v>1136</v>
      </c>
      <c r="F1004" s="140">
        <f t="shared" si="113"/>
        <v>1</v>
      </c>
      <c r="G1004" s="140" t="str">
        <f t="shared" si="108"/>
        <v>1.6.1</v>
      </c>
      <c r="H1004" s="166" t="s">
        <v>1710</v>
      </c>
      <c r="I1004" s="166" t="s">
        <v>1157</v>
      </c>
      <c r="J1004" s="166" t="s">
        <v>1162</v>
      </c>
      <c r="K1004" s="166" t="s">
        <v>709</v>
      </c>
      <c r="L1004" s="166">
        <v>35000</v>
      </c>
      <c r="M1004" s="166"/>
      <c r="N1004" s="166"/>
      <c r="O1004" s="164">
        <f t="shared" si="110"/>
        <v>0</v>
      </c>
      <c r="P1004" s="166">
        <v>30</v>
      </c>
      <c r="Q1004" s="166">
        <v>1</v>
      </c>
      <c r="R1004" s="164">
        <f>$L1004*'Pivot Objective'!$C$9*P1004*Q1004</f>
        <v>1200067.1518499998</v>
      </c>
      <c r="S1004" s="166">
        <v>0</v>
      </c>
      <c r="T1004" s="166">
        <v>0</v>
      </c>
      <c r="U1004" s="164">
        <f>($L1004*'Pivot Objective'!$C$9^2)*S1004*T1004</f>
        <v>0</v>
      </c>
      <c r="V1004" s="166">
        <v>0</v>
      </c>
      <c r="W1004" s="166">
        <v>0</v>
      </c>
      <c r="X1004" s="164">
        <f>($L1004*'Pivot Objective'!$C$9^3)*V1004*W1004</f>
        <v>0</v>
      </c>
      <c r="Y1004" s="166">
        <v>0</v>
      </c>
      <c r="Z1004" s="166">
        <v>0</v>
      </c>
      <c r="AA1004" s="164">
        <f>($L1004*'Pivot Objective'!$C$9^4)*Y1004*Z1004</f>
        <v>0</v>
      </c>
      <c r="AB1004" s="140"/>
      <c r="AC1004" s="140"/>
      <c r="AD1004" s="164">
        <f>($L1004*'Pivot Objective'!$C$9^5)*AB1004*AC1004</f>
        <v>0</v>
      </c>
      <c r="AE1004" s="140"/>
      <c r="AF1004" s="140"/>
      <c r="AG1004" s="164">
        <f>($L1004*'Pivot Objective'!$C$9^6)*AE1004*AF1004</f>
        <v>0</v>
      </c>
      <c r="AH1004" s="140"/>
      <c r="AI1004" s="140"/>
      <c r="AJ1004" s="164">
        <f>($L1004*'Pivot Objective'!$C$9^7)*AH1004*AI1004</f>
        <v>0</v>
      </c>
      <c r="AK1004" s="185">
        <f t="shared" si="111"/>
        <v>1200067.1518499998</v>
      </c>
      <c r="AL1004" s="186">
        <f t="shared" si="112"/>
        <v>1165.1137396601939</v>
      </c>
    </row>
    <row r="1005" spans="1:38" customFormat="1" ht="57.6" x14ac:dyDescent="0.3">
      <c r="A1005" s="140" t="s">
        <v>1445</v>
      </c>
      <c r="B1005" s="140">
        <v>1</v>
      </c>
      <c r="C1005" s="166" t="s">
        <v>836</v>
      </c>
      <c r="D1005" s="140" t="str">
        <f t="shared" si="107"/>
        <v>6</v>
      </c>
      <c r="E1005" s="166" t="s">
        <v>1136</v>
      </c>
      <c r="F1005" s="140">
        <f t="shared" si="113"/>
        <v>1</v>
      </c>
      <c r="G1005" s="140" t="str">
        <f t="shared" si="108"/>
        <v>1.6.1</v>
      </c>
      <c r="H1005" s="166" t="s">
        <v>1710</v>
      </c>
      <c r="I1005" s="166" t="s">
        <v>1163</v>
      </c>
      <c r="J1005" s="166" t="s">
        <v>1062</v>
      </c>
      <c r="K1005" s="166" t="s">
        <v>841</v>
      </c>
      <c r="L1005" s="166">
        <v>0</v>
      </c>
      <c r="M1005" s="166"/>
      <c r="N1005" s="166"/>
      <c r="O1005" s="164">
        <f t="shared" si="110"/>
        <v>0</v>
      </c>
      <c r="P1005" s="166">
        <v>20</v>
      </c>
      <c r="Q1005" s="166">
        <v>0.5</v>
      </c>
      <c r="R1005" s="164">
        <f>$L1005*'Pivot Objective'!$C$9*P1005*Q1005</f>
        <v>0</v>
      </c>
      <c r="S1005" s="166">
        <v>0</v>
      </c>
      <c r="T1005" s="166">
        <v>0</v>
      </c>
      <c r="U1005" s="164">
        <f>($L1005*'Pivot Objective'!$C$9^2)*S1005*T1005</f>
        <v>0</v>
      </c>
      <c r="V1005" s="166">
        <v>0</v>
      </c>
      <c r="W1005" s="166">
        <v>0</v>
      </c>
      <c r="X1005" s="164">
        <f>($L1005*'Pivot Objective'!$C$9^3)*V1005*W1005</f>
        <v>0</v>
      </c>
      <c r="Y1005" s="166">
        <v>0</v>
      </c>
      <c r="Z1005" s="166">
        <v>0</v>
      </c>
      <c r="AA1005" s="164">
        <f>($L1005*'Pivot Objective'!$C$9^4)*Y1005*Z1005</f>
        <v>0</v>
      </c>
      <c r="AB1005" s="140"/>
      <c r="AC1005" s="140"/>
      <c r="AD1005" s="164">
        <f>($L1005*'Pivot Objective'!$C$9^5)*AB1005*AC1005</f>
        <v>0</v>
      </c>
      <c r="AE1005" s="140"/>
      <c r="AF1005" s="140"/>
      <c r="AG1005" s="164">
        <f>($L1005*'Pivot Objective'!$C$9^6)*AE1005*AF1005</f>
        <v>0</v>
      </c>
      <c r="AH1005" s="140"/>
      <c r="AI1005" s="140"/>
      <c r="AJ1005" s="164">
        <f>($L1005*'Pivot Objective'!$C$9^7)*AH1005*AI1005</f>
        <v>0</v>
      </c>
      <c r="AK1005" s="185">
        <f t="shared" si="111"/>
        <v>0</v>
      </c>
      <c r="AL1005" s="186">
        <f t="shared" si="112"/>
        <v>0</v>
      </c>
    </row>
    <row r="1006" spans="1:38" customFormat="1" ht="57.6" x14ac:dyDescent="0.3">
      <c r="A1006" s="140" t="s">
        <v>1445</v>
      </c>
      <c r="B1006" s="140">
        <v>1</v>
      </c>
      <c r="C1006" s="166" t="s">
        <v>836</v>
      </c>
      <c r="D1006" s="140" t="str">
        <f t="shared" si="107"/>
        <v>6</v>
      </c>
      <c r="E1006" s="166" t="s">
        <v>1136</v>
      </c>
      <c r="F1006" s="140">
        <f t="shared" si="113"/>
        <v>1</v>
      </c>
      <c r="G1006" s="140" t="str">
        <f t="shared" si="108"/>
        <v>1.6.1</v>
      </c>
      <c r="H1006" s="166" t="s">
        <v>1710</v>
      </c>
      <c r="I1006" s="166" t="s">
        <v>1164</v>
      </c>
      <c r="J1006" s="166" t="s">
        <v>155</v>
      </c>
      <c r="K1006" s="166" t="s">
        <v>841</v>
      </c>
      <c r="L1006" s="166">
        <v>0</v>
      </c>
      <c r="M1006" s="166"/>
      <c r="N1006" s="166"/>
      <c r="O1006" s="164">
        <f t="shared" si="110"/>
        <v>0</v>
      </c>
      <c r="P1006" s="166"/>
      <c r="Q1006" s="166"/>
      <c r="R1006" s="164">
        <f>$L1006*'Pivot Objective'!$C$9*P1006*Q1006</f>
        <v>0</v>
      </c>
      <c r="S1006" s="166">
        <v>0</v>
      </c>
      <c r="T1006" s="166">
        <v>0</v>
      </c>
      <c r="U1006" s="164">
        <f>($L1006*'Pivot Objective'!$C$9^2)*S1006*T1006</f>
        <v>0</v>
      </c>
      <c r="V1006" s="166"/>
      <c r="W1006" s="166"/>
      <c r="X1006" s="164">
        <f>($L1006*'Pivot Objective'!$C$9^3)*V1006*W1006</f>
        <v>0</v>
      </c>
      <c r="Y1006" s="166"/>
      <c r="Z1006" s="166"/>
      <c r="AA1006" s="164">
        <f>($L1006*'Pivot Objective'!$C$9^4)*Y1006*Z1006</f>
        <v>0</v>
      </c>
      <c r="AB1006" s="166">
        <v>0</v>
      </c>
      <c r="AC1006" s="166">
        <v>0</v>
      </c>
      <c r="AD1006" s="164">
        <f>($L1006*'Pivot Objective'!$C$9^5)*AB1006*AC1006</f>
        <v>0</v>
      </c>
      <c r="AE1006" s="140"/>
      <c r="AF1006" s="140"/>
      <c r="AG1006" s="164">
        <f>($L1006*'Pivot Objective'!$C$9^6)*AE1006*AF1006</f>
        <v>0</v>
      </c>
      <c r="AH1006" s="140"/>
      <c r="AI1006" s="140"/>
      <c r="AJ1006" s="164">
        <f>($L1006*'Pivot Objective'!$C$9^7)*AH1006*AI1006</f>
        <v>0</v>
      </c>
      <c r="AK1006" s="185">
        <f t="shared" si="111"/>
        <v>0</v>
      </c>
      <c r="AL1006" s="186">
        <f t="shared" si="112"/>
        <v>0</v>
      </c>
    </row>
    <row r="1007" spans="1:38" customFormat="1" ht="57.6" x14ac:dyDescent="0.3">
      <c r="A1007" s="140" t="s">
        <v>1445</v>
      </c>
      <c r="B1007" s="140">
        <v>1</v>
      </c>
      <c r="C1007" s="166" t="s">
        <v>836</v>
      </c>
      <c r="D1007" s="140" t="str">
        <f t="shared" si="107"/>
        <v>6</v>
      </c>
      <c r="E1007" s="166" t="s">
        <v>1136</v>
      </c>
      <c r="F1007" s="140">
        <f t="shared" si="113"/>
        <v>1</v>
      </c>
      <c r="G1007" s="140" t="str">
        <f t="shared" si="108"/>
        <v>1.6.1</v>
      </c>
      <c r="H1007" s="166" t="s">
        <v>1710</v>
      </c>
      <c r="I1007" s="166" t="s">
        <v>1164</v>
      </c>
      <c r="J1007" s="166" t="s">
        <v>169</v>
      </c>
      <c r="K1007" s="166" t="s">
        <v>841</v>
      </c>
      <c r="L1007" s="166">
        <v>0</v>
      </c>
      <c r="M1007" s="166"/>
      <c r="N1007" s="166"/>
      <c r="O1007" s="164">
        <f t="shared" si="110"/>
        <v>0</v>
      </c>
      <c r="P1007" s="166"/>
      <c r="Q1007" s="166"/>
      <c r="R1007" s="164">
        <f>$L1007*'Pivot Objective'!$C$9*P1007*Q1007</f>
        <v>0</v>
      </c>
      <c r="S1007" s="166">
        <v>0</v>
      </c>
      <c r="T1007" s="166">
        <v>0</v>
      </c>
      <c r="U1007" s="164">
        <f>($L1007*'Pivot Objective'!$C$9^2)*S1007*T1007</f>
        <v>0</v>
      </c>
      <c r="V1007" s="166"/>
      <c r="W1007" s="166"/>
      <c r="X1007" s="164">
        <f>($L1007*'Pivot Objective'!$C$9^3)*V1007*W1007</f>
        <v>0</v>
      </c>
      <c r="Y1007" s="166"/>
      <c r="Z1007" s="166"/>
      <c r="AA1007" s="164">
        <f>($L1007*'Pivot Objective'!$C$9^4)*Y1007*Z1007</f>
        <v>0</v>
      </c>
      <c r="AB1007" s="166">
        <v>0</v>
      </c>
      <c r="AC1007" s="166">
        <v>0</v>
      </c>
      <c r="AD1007" s="164">
        <f>($L1007*'Pivot Objective'!$C$9^5)*AB1007*AC1007</f>
        <v>0</v>
      </c>
      <c r="AE1007" s="140"/>
      <c r="AF1007" s="140"/>
      <c r="AG1007" s="164">
        <f>($L1007*'Pivot Objective'!$C$9^6)*AE1007*AF1007</f>
        <v>0</v>
      </c>
      <c r="AH1007" s="140"/>
      <c r="AI1007" s="140"/>
      <c r="AJ1007" s="164">
        <f>($L1007*'Pivot Objective'!$C$9^7)*AH1007*AI1007</f>
        <v>0</v>
      </c>
      <c r="AK1007" s="185">
        <f t="shared" si="111"/>
        <v>0</v>
      </c>
      <c r="AL1007" s="186">
        <f t="shared" si="112"/>
        <v>0</v>
      </c>
    </row>
    <row r="1008" spans="1:38" customFormat="1" ht="57.6" x14ac:dyDescent="0.3">
      <c r="A1008" s="140" t="s">
        <v>1445</v>
      </c>
      <c r="B1008" s="140">
        <v>1</v>
      </c>
      <c r="C1008" s="166" t="s">
        <v>836</v>
      </c>
      <c r="D1008" s="140" t="str">
        <f t="shared" si="107"/>
        <v>6</v>
      </c>
      <c r="E1008" s="166" t="s">
        <v>1136</v>
      </c>
      <c r="F1008" s="140">
        <f t="shared" si="113"/>
        <v>1</v>
      </c>
      <c r="G1008" s="140" t="str">
        <f t="shared" si="108"/>
        <v>1.6.1</v>
      </c>
      <c r="H1008" s="166" t="s">
        <v>1710</v>
      </c>
      <c r="I1008" s="166" t="s">
        <v>1164</v>
      </c>
      <c r="J1008" s="166" t="s">
        <v>1165</v>
      </c>
      <c r="K1008" s="166" t="s">
        <v>707</v>
      </c>
      <c r="L1008" s="166">
        <v>391991.03749999998</v>
      </c>
      <c r="M1008" s="166"/>
      <c r="N1008" s="166"/>
      <c r="O1008" s="164">
        <f t="shared" si="110"/>
        <v>0</v>
      </c>
      <c r="P1008" s="166"/>
      <c r="Q1008" s="166"/>
      <c r="R1008" s="164">
        <f>$L1008*'Pivot Objective'!$C$9*P1008*Q1008</f>
        <v>0</v>
      </c>
      <c r="S1008" s="166">
        <v>2</v>
      </c>
      <c r="T1008" s="166">
        <v>2</v>
      </c>
      <c r="U1008" s="164">
        <f>($L1008*'Pivot Objective'!$C$9^2)*S1008*T1008</f>
        <v>2048182.3883307995</v>
      </c>
      <c r="V1008" s="166"/>
      <c r="W1008" s="166"/>
      <c r="X1008" s="164">
        <f>($L1008*'Pivot Objective'!$C$9^3)*V1008*W1008</f>
        <v>0</v>
      </c>
      <c r="Y1008" s="166"/>
      <c r="Z1008" s="166"/>
      <c r="AA1008" s="164">
        <f>($L1008*'Pivot Objective'!$C$9^4)*Y1008*Z1008</f>
        <v>0</v>
      </c>
      <c r="AB1008" s="166">
        <v>2</v>
      </c>
      <c r="AC1008" s="166">
        <v>2</v>
      </c>
      <c r="AD1008" s="164">
        <f>($L1008*'Pivot Objective'!$C$9^5)*AB1008*AC1008</f>
        <v>3057858.4341109009</v>
      </c>
      <c r="AE1008" s="140"/>
      <c r="AF1008" s="140"/>
      <c r="AG1008" s="164">
        <f>($L1008*'Pivot Objective'!$C$9^6)*AE1008*AF1008</f>
        <v>0</v>
      </c>
      <c r="AH1008" s="140"/>
      <c r="AI1008" s="140"/>
      <c r="AJ1008" s="164">
        <f>($L1008*'Pivot Objective'!$C$9^7)*AH1008*AI1008</f>
        <v>0</v>
      </c>
      <c r="AK1008" s="185">
        <f t="shared" si="111"/>
        <v>5106040.8224417008</v>
      </c>
      <c r="AL1008" s="186">
        <f t="shared" si="112"/>
        <v>4957.3211868366025</v>
      </c>
    </row>
    <row r="1009" spans="1:38" customFormat="1" ht="57.6" x14ac:dyDescent="0.3">
      <c r="A1009" s="140" t="s">
        <v>1445</v>
      </c>
      <c r="B1009" s="140">
        <v>1</v>
      </c>
      <c r="C1009" s="166" t="s">
        <v>836</v>
      </c>
      <c r="D1009" s="140" t="str">
        <f t="shared" ref="D1009:D1087" si="114">RIGHT(A1009,1)</f>
        <v>6</v>
      </c>
      <c r="E1009" s="166" t="s">
        <v>1136</v>
      </c>
      <c r="F1009" s="140">
        <f t="shared" si="113"/>
        <v>1</v>
      </c>
      <c r="G1009" s="140" t="str">
        <f t="shared" si="108"/>
        <v>1.6.1</v>
      </c>
      <c r="H1009" s="166" t="s">
        <v>1710</v>
      </c>
      <c r="I1009" s="166" t="s">
        <v>1164</v>
      </c>
      <c r="J1009" s="166" t="s">
        <v>1165</v>
      </c>
      <c r="K1009" s="166" t="s">
        <v>708</v>
      </c>
      <c r="L1009" s="166">
        <v>1009400</v>
      </c>
      <c r="M1009" s="166"/>
      <c r="N1009" s="166"/>
      <c r="O1009" s="164">
        <f t="shared" si="110"/>
        <v>0</v>
      </c>
      <c r="P1009" s="166"/>
      <c r="Q1009" s="166"/>
      <c r="R1009" s="164">
        <f>$L1009*'Pivot Objective'!$C$9*P1009*Q1009</f>
        <v>0</v>
      </c>
      <c r="S1009" s="166">
        <v>1</v>
      </c>
      <c r="T1009" s="166">
        <v>25</v>
      </c>
      <c r="U1009" s="164">
        <f>($L1009*'Pivot Objective'!$C$9^2)*S1009*T1009</f>
        <v>32963688.978174485</v>
      </c>
      <c r="V1009" s="166"/>
      <c r="W1009" s="166"/>
      <c r="X1009" s="164">
        <f>($L1009*'Pivot Objective'!$C$9^3)*V1009*W1009</f>
        <v>0</v>
      </c>
      <c r="Y1009" s="166"/>
      <c r="Z1009" s="166"/>
      <c r="AA1009" s="164">
        <f>($L1009*'Pivot Objective'!$C$9^4)*Y1009*Z1009</f>
        <v>0</v>
      </c>
      <c r="AB1009" s="166">
        <v>1</v>
      </c>
      <c r="AC1009" s="166">
        <v>25</v>
      </c>
      <c r="AD1009" s="164">
        <f>($L1009*'Pivot Objective'!$C$9^5)*AB1009*AC1009</f>
        <v>49213534.36861971</v>
      </c>
      <c r="AE1009" s="140"/>
      <c r="AF1009" s="140"/>
      <c r="AG1009" s="164">
        <f>($L1009*'Pivot Objective'!$C$9^6)*AE1009*AF1009</f>
        <v>0</v>
      </c>
      <c r="AH1009" s="140"/>
      <c r="AI1009" s="140"/>
      <c r="AJ1009" s="164">
        <f>($L1009*'Pivot Objective'!$C$9^7)*AH1009*AI1009</f>
        <v>0</v>
      </c>
      <c r="AK1009" s="185">
        <f t="shared" si="111"/>
        <v>82177223.346794188</v>
      </c>
      <c r="AL1009" s="186">
        <f t="shared" si="112"/>
        <v>79783.711987178816</v>
      </c>
    </row>
    <row r="1010" spans="1:38" customFormat="1" ht="57.6" x14ac:dyDescent="0.3">
      <c r="A1010" s="140" t="s">
        <v>1445</v>
      </c>
      <c r="B1010" s="140">
        <v>1</v>
      </c>
      <c r="C1010" s="166" t="s">
        <v>836</v>
      </c>
      <c r="D1010" s="140" t="str">
        <f t="shared" si="114"/>
        <v>6</v>
      </c>
      <c r="E1010" s="166" t="s">
        <v>1136</v>
      </c>
      <c r="F1010" s="140">
        <f t="shared" si="113"/>
        <v>1</v>
      </c>
      <c r="G1010" s="140" t="str">
        <f t="shared" ref="G1010:G1088" si="115">B1010&amp;"."&amp;D1010&amp;"."&amp;F1010</f>
        <v>1.6.1</v>
      </c>
      <c r="H1010" s="166" t="s">
        <v>1710</v>
      </c>
      <c r="I1010" s="166" t="s">
        <v>1164</v>
      </c>
      <c r="J1010" s="166" t="s">
        <v>1166</v>
      </c>
      <c r="K1010" s="166" t="s">
        <v>724</v>
      </c>
      <c r="L1010" s="166">
        <v>425000</v>
      </c>
      <c r="M1010" s="166"/>
      <c r="N1010" s="166"/>
      <c r="O1010" s="164">
        <f t="shared" si="110"/>
        <v>0</v>
      </c>
      <c r="P1010" s="166"/>
      <c r="Q1010" s="166"/>
      <c r="R1010" s="164">
        <f>$L1010*'Pivot Objective'!$C$9*P1010*Q1010</f>
        <v>0</v>
      </c>
      <c r="S1010" s="166">
        <v>200</v>
      </c>
      <c r="T1010" s="166">
        <v>1</v>
      </c>
      <c r="U1010" s="164">
        <f>($L1010*'Pivot Objective'!$C$9^2)*S1010*T1010</f>
        <v>111032833.88725308</v>
      </c>
      <c r="V1010" s="166"/>
      <c r="W1010" s="166"/>
      <c r="X1010" s="164">
        <f>($L1010*'Pivot Objective'!$C$9^3)*V1010*W1010</f>
        <v>0</v>
      </c>
      <c r="Y1010" s="166"/>
      <c r="Z1010" s="166"/>
      <c r="AA1010" s="164">
        <f>($L1010*'Pivot Objective'!$C$9^4)*Y1010*Z1010</f>
        <v>0</v>
      </c>
      <c r="AB1010" s="166">
        <v>200</v>
      </c>
      <c r="AC1010" s="166">
        <v>1</v>
      </c>
      <c r="AD1010" s="164">
        <f>($L1010*'Pivot Objective'!$C$9^5)*AB1010*AC1010</f>
        <v>165767799.53765306</v>
      </c>
      <c r="AE1010" s="140"/>
      <c r="AF1010" s="140"/>
      <c r="AG1010" s="164">
        <f>($L1010*'Pivot Objective'!$C$9^6)*AE1010*AF1010</f>
        <v>0</v>
      </c>
      <c r="AH1010" s="140"/>
      <c r="AI1010" s="140"/>
      <c r="AJ1010" s="164">
        <f>($L1010*'Pivot Objective'!$C$9^7)*AH1010*AI1010</f>
        <v>0</v>
      </c>
      <c r="AK1010" s="185">
        <f t="shared" si="111"/>
        <v>276800633.42490613</v>
      </c>
      <c r="AL1010" s="186">
        <f t="shared" si="112"/>
        <v>268738.47905330692</v>
      </c>
    </row>
    <row r="1011" spans="1:38" customFormat="1" ht="57.6" x14ac:dyDescent="0.3">
      <c r="A1011" s="140" t="s">
        <v>1445</v>
      </c>
      <c r="B1011" s="140">
        <v>1</v>
      </c>
      <c r="C1011" s="166" t="s">
        <v>836</v>
      </c>
      <c r="D1011" s="140" t="str">
        <f t="shared" si="114"/>
        <v>6</v>
      </c>
      <c r="E1011" s="166" t="s">
        <v>1136</v>
      </c>
      <c r="F1011" s="140">
        <f t="shared" si="113"/>
        <v>1</v>
      </c>
      <c r="G1011" s="140" t="str">
        <f t="shared" si="115"/>
        <v>1.6.1</v>
      </c>
      <c r="H1011" s="166" t="s">
        <v>1710</v>
      </c>
      <c r="I1011" s="166" t="s">
        <v>1164</v>
      </c>
      <c r="J1011" s="166" t="s">
        <v>1166</v>
      </c>
      <c r="K1011" s="166" t="s">
        <v>1167</v>
      </c>
      <c r="L1011" s="166">
        <v>400000</v>
      </c>
      <c r="M1011" s="166"/>
      <c r="N1011" s="166"/>
      <c r="O1011" s="164">
        <f t="shared" si="110"/>
        <v>0</v>
      </c>
      <c r="P1011" s="166"/>
      <c r="Q1011" s="166"/>
      <c r="R1011" s="164">
        <f>$L1011*'Pivot Objective'!$C$9*P1011*Q1011</f>
        <v>0</v>
      </c>
      <c r="S1011" s="166">
        <v>200</v>
      </c>
      <c r="T1011" s="166">
        <v>1</v>
      </c>
      <c r="U1011" s="164">
        <f>($L1011*'Pivot Objective'!$C$9^2)*S1011*T1011</f>
        <v>104501490.71741466</v>
      </c>
      <c r="V1011" s="166"/>
      <c r="W1011" s="166"/>
      <c r="X1011" s="164">
        <f>($L1011*'Pivot Objective'!$C$9^3)*V1011*W1011</f>
        <v>0</v>
      </c>
      <c r="Y1011" s="166"/>
      <c r="Z1011" s="166"/>
      <c r="AA1011" s="164">
        <f>($L1011*'Pivot Objective'!$C$9^4)*Y1011*Z1011</f>
        <v>0</v>
      </c>
      <c r="AB1011" s="166">
        <v>200</v>
      </c>
      <c r="AC1011" s="166">
        <v>1</v>
      </c>
      <c r="AD1011" s="164">
        <f>($L1011*'Pivot Objective'!$C$9^5)*AB1011*AC1011</f>
        <v>156016752.50602642</v>
      </c>
      <c r="AE1011" s="140"/>
      <c r="AF1011" s="140"/>
      <c r="AG1011" s="164">
        <f>($L1011*'Pivot Objective'!$C$9^6)*AE1011*AF1011</f>
        <v>0</v>
      </c>
      <c r="AH1011" s="140"/>
      <c r="AI1011" s="140"/>
      <c r="AJ1011" s="164">
        <f>($L1011*'Pivot Objective'!$C$9^7)*AH1011*AI1011</f>
        <v>0</v>
      </c>
      <c r="AK1011" s="185">
        <f t="shared" si="111"/>
        <v>260518243.22344106</v>
      </c>
      <c r="AL1011" s="186">
        <f t="shared" si="112"/>
        <v>252930.33322664181</v>
      </c>
    </row>
    <row r="1012" spans="1:38" customFormat="1" ht="57.6" x14ac:dyDescent="0.3">
      <c r="A1012" s="140" t="s">
        <v>1445</v>
      </c>
      <c r="B1012" s="140">
        <v>1</v>
      </c>
      <c r="C1012" s="166" t="s">
        <v>836</v>
      </c>
      <c r="D1012" s="140" t="str">
        <f t="shared" si="114"/>
        <v>6</v>
      </c>
      <c r="E1012" s="166" t="s">
        <v>1136</v>
      </c>
      <c r="F1012" s="140">
        <f t="shared" si="113"/>
        <v>1</v>
      </c>
      <c r="G1012" s="140" t="str">
        <f t="shared" si="115"/>
        <v>1.6.1</v>
      </c>
      <c r="H1012" s="166" t="s">
        <v>1710</v>
      </c>
      <c r="I1012" s="166" t="s">
        <v>1164</v>
      </c>
      <c r="J1012" s="166" t="s">
        <v>1166</v>
      </c>
      <c r="K1012" s="166" t="s">
        <v>1168</v>
      </c>
      <c r="L1012" s="166">
        <v>35000</v>
      </c>
      <c r="M1012" s="166"/>
      <c r="N1012" s="166"/>
      <c r="O1012" s="164">
        <f t="shared" si="110"/>
        <v>0</v>
      </c>
      <c r="P1012" s="166"/>
      <c r="Q1012" s="166"/>
      <c r="R1012" s="164">
        <f>$L1012*'Pivot Objective'!$C$9*P1012*Q1012</f>
        <v>0</v>
      </c>
      <c r="S1012" s="166">
        <v>200</v>
      </c>
      <c r="T1012" s="166">
        <v>1</v>
      </c>
      <c r="U1012" s="164">
        <f>($L1012*'Pivot Objective'!$C$9^2)*S1012*T1012</f>
        <v>9143880.4377737828</v>
      </c>
      <c r="V1012" s="166"/>
      <c r="W1012" s="166"/>
      <c r="X1012" s="164">
        <f>($L1012*'Pivot Objective'!$C$9^3)*V1012*W1012</f>
        <v>0</v>
      </c>
      <c r="Y1012" s="166"/>
      <c r="Z1012" s="166"/>
      <c r="AA1012" s="164">
        <f>($L1012*'Pivot Objective'!$C$9^4)*Y1012*Z1012</f>
        <v>0</v>
      </c>
      <c r="AB1012" s="166">
        <v>200</v>
      </c>
      <c r="AC1012" s="166">
        <v>1</v>
      </c>
      <c r="AD1012" s="164">
        <f>($L1012*'Pivot Objective'!$C$9^5)*AB1012*AC1012</f>
        <v>13651465.844277309</v>
      </c>
      <c r="AE1012" s="140"/>
      <c r="AF1012" s="140"/>
      <c r="AG1012" s="164">
        <f>($L1012*'Pivot Objective'!$C$9^6)*AE1012*AF1012</f>
        <v>0</v>
      </c>
      <c r="AH1012" s="140"/>
      <c r="AI1012" s="140"/>
      <c r="AJ1012" s="164">
        <f>($L1012*'Pivot Objective'!$C$9^7)*AH1012*AI1012</f>
        <v>0</v>
      </c>
      <c r="AK1012" s="185">
        <f t="shared" si="111"/>
        <v>22795346.282051094</v>
      </c>
      <c r="AL1012" s="186">
        <f t="shared" si="112"/>
        <v>22131.404157331159</v>
      </c>
    </row>
    <row r="1013" spans="1:38" customFormat="1" ht="57.6" x14ac:dyDescent="0.3">
      <c r="A1013" s="140" t="s">
        <v>1445</v>
      </c>
      <c r="B1013" s="140">
        <v>1</v>
      </c>
      <c r="C1013" s="166" t="s">
        <v>836</v>
      </c>
      <c r="D1013" s="140" t="str">
        <f t="shared" si="114"/>
        <v>6</v>
      </c>
      <c r="E1013" s="166" t="s">
        <v>1136</v>
      </c>
      <c r="F1013" s="140">
        <f t="shared" si="113"/>
        <v>1</v>
      </c>
      <c r="G1013" s="140" t="str">
        <f t="shared" si="115"/>
        <v>1.6.1</v>
      </c>
      <c r="H1013" s="166" t="s">
        <v>1710</v>
      </c>
      <c r="I1013" s="166" t="s">
        <v>1169</v>
      </c>
      <c r="J1013" s="166" t="s">
        <v>1170</v>
      </c>
      <c r="K1013" s="166" t="s">
        <v>713</v>
      </c>
      <c r="L1013" s="166">
        <v>45000</v>
      </c>
      <c r="M1013" s="166"/>
      <c r="N1013" s="166"/>
      <c r="O1013" s="164">
        <f t="shared" si="110"/>
        <v>0</v>
      </c>
      <c r="P1013" s="166"/>
      <c r="Q1013" s="166"/>
      <c r="R1013" s="164">
        <f>$L1013*'Pivot Objective'!$C$9*P1013*Q1013</f>
        <v>0</v>
      </c>
      <c r="S1013" s="166">
        <v>25</v>
      </c>
      <c r="T1013" s="166">
        <v>20</v>
      </c>
      <c r="U1013" s="164">
        <f>($L1013*'Pivot Objective'!$C$9^2)*S1013*T1013</f>
        <v>29391044.264272876</v>
      </c>
      <c r="V1013" s="166"/>
      <c r="W1013" s="166"/>
      <c r="X1013" s="164">
        <f>($L1013*'Pivot Objective'!$C$9^3)*V1013*W1013</f>
        <v>0</v>
      </c>
      <c r="Y1013" s="166"/>
      <c r="Z1013" s="166"/>
      <c r="AA1013" s="164">
        <f>($L1013*'Pivot Objective'!$C$9^4)*Y1013*Z1013</f>
        <v>0</v>
      </c>
      <c r="AB1013" s="166">
        <v>25</v>
      </c>
      <c r="AC1013" s="166">
        <v>20</v>
      </c>
      <c r="AD1013" s="164">
        <f>($L1013*'Pivot Objective'!$C$9^5)*AB1013*AC1013</f>
        <v>43879711.642319925</v>
      </c>
      <c r="AE1013" s="140"/>
      <c r="AF1013" s="140"/>
      <c r="AG1013" s="164">
        <f>($L1013*'Pivot Objective'!$C$9^6)*AE1013*AF1013</f>
        <v>0</v>
      </c>
      <c r="AH1013" s="140"/>
      <c r="AI1013" s="140"/>
      <c r="AJ1013" s="164">
        <f>($L1013*'Pivot Objective'!$C$9^7)*AH1013*AI1013</f>
        <v>0</v>
      </c>
      <c r="AK1013" s="185">
        <f t="shared" si="111"/>
        <v>73270755.906592801</v>
      </c>
      <c r="AL1013" s="186">
        <f t="shared" si="112"/>
        <v>71136.656219993005</v>
      </c>
    </row>
    <row r="1014" spans="1:38" customFormat="1" ht="57.6" x14ac:dyDescent="0.3">
      <c r="A1014" s="140" t="s">
        <v>1445</v>
      </c>
      <c r="B1014" s="140">
        <v>1</v>
      </c>
      <c r="C1014" s="166" t="s">
        <v>836</v>
      </c>
      <c r="D1014" s="140" t="str">
        <f t="shared" si="114"/>
        <v>6</v>
      </c>
      <c r="E1014" s="166" t="s">
        <v>1136</v>
      </c>
      <c r="F1014" s="140">
        <f t="shared" si="113"/>
        <v>1</v>
      </c>
      <c r="G1014" s="140" t="str">
        <f t="shared" si="115"/>
        <v>1.6.1</v>
      </c>
      <c r="H1014" s="166" t="s">
        <v>1710</v>
      </c>
      <c r="I1014" s="166" t="s">
        <v>1169</v>
      </c>
      <c r="J1014" s="166" t="s">
        <v>1170</v>
      </c>
      <c r="K1014" s="166" t="s">
        <v>712</v>
      </c>
      <c r="L1014" s="166">
        <v>285.60000000000002</v>
      </c>
      <c r="M1014" s="166"/>
      <c r="N1014" s="166"/>
      <c r="O1014" s="164">
        <f t="shared" si="110"/>
        <v>0</v>
      </c>
      <c r="P1014" s="166"/>
      <c r="Q1014" s="166"/>
      <c r="R1014" s="164">
        <f>$L1014*'Pivot Objective'!$C$9*P1014*Q1014</f>
        <v>0</v>
      </c>
      <c r="S1014" s="166">
        <v>450</v>
      </c>
      <c r="T1014" s="166">
        <v>20</v>
      </c>
      <c r="U1014" s="164">
        <f>($L1014*'Pivot Objective'!$C$9^2)*S1014*T1014</f>
        <v>3357632.896750533</v>
      </c>
      <c r="V1014" s="166"/>
      <c r="W1014" s="166"/>
      <c r="X1014" s="164">
        <f>($L1014*'Pivot Objective'!$C$9^3)*V1014*W1014</f>
        <v>0</v>
      </c>
      <c r="Y1014" s="166"/>
      <c r="Z1014" s="166"/>
      <c r="AA1014" s="164">
        <f>($L1014*'Pivot Objective'!$C$9^4)*Y1014*Z1014</f>
        <v>0</v>
      </c>
      <c r="AB1014" s="166">
        <v>450</v>
      </c>
      <c r="AC1014" s="166">
        <v>20</v>
      </c>
      <c r="AD1014" s="164">
        <f>($L1014*'Pivot Objective'!$C$9^5)*AB1014*AC1014</f>
        <v>5012818.2580186287</v>
      </c>
      <c r="AE1014" s="140"/>
      <c r="AF1014" s="140"/>
      <c r="AG1014" s="164">
        <f>($L1014*'Pivot Objective'!$C$9^6)*AE1014*AF1014</f>
        <v>0</v>
      </c>
      <c r="AH1014" s="140"/>
      <c r="AI1014" s="140"/>
      <c r="AJ1014" s="164">
        <f>($L1014*'Pivot Objective'!$C$9^7)*AH1014*AI1014</f>
        <v>0</v>
      </c>
      <c r="AK1014" s="185">
        <f t="shared" si="111"/>
        <v>8370451.1547691617</v>
      </c>
      <c r="AL1014" s="186">
        <f t="shared" si="112"/>
        <v>8126.6516065720016</v>
      </c>
    </row>
    <row r="1015" spans="1:38" customFormat="1" ht="57.6" x14ac:dyDescent="0.3">
      <c r="A1015" s="140" t="s">
        <v>1445</v>
      </c>
      <c r="B1015" s="140">
        <v>1</v>
      </c>
      <c r="C1015" s="166" t="s">
        <v>836</v>
      </c>
      <c r="D1015" s="140" t="str">
        <f t="shared" si="114"/>
        <v>6</v>
      </c>
      <c r="E1015" s="166" t="s">
        <v>1136</v>
      </c>
      <c r="F1015" s="140">
        <f t="shared" si="113"/>
        <v>1</v>
      </c>
      <c r="G1015" s="140" t="str">
        <f t="shared" si="115"/>
        <v>1.6.1</v>
      </c>
      <c r="H1015" s="166" t="s">
        <v>1710</v>
      </c>
      <c r="I1015" s="166" t="s">
        <v>1169</v>
      </c>
      <c r="J1015" s="166" t="s">
        <v>1170</v>
      </c>
      <c r="K1015" s="166" t="s">
        <v>725</v>
      </c>
      <c r="L1015" s="166">
        <v>51500000</v>
      </c>
      <c r="M1015" s="166"/>
      <c r="N1015" s="166"/>
      <c r="O1015" s="164">
        <f t="shared" si="110"/>
        <v>0</v>
      </c>
      <c r="P1015" s="166"/>
      <c r="Q1015" s="166"/>
      <c r="R1015" s="164">
        <f>$L1015*'Pivot Objective'!$C$9*P1015*Q1015</f>
        <v>0</v>
      </c>
      <c r="S1015" s="166">
        <v>5</v>
      </c>
      <c r="T1015" s="166">
        <v>1</v>
      </c>
      <c r="U1015" s="164">
        <f>($L1015*'Pivot Objective'!$C$9^2)*S1015*T1015</f>
        <v>336364173.24667841</v>
      </c>
      <c r="V1015" s="166"/>
      <c r="W1015" s="166"/>
      <c r="X1015" s="164">
        <f>($L1015*'Pivot Objective'!$C$9^3)*V1015*W1015</f>
        <v>0</v>
      </c>
      <c r="Y1015" s="166"/>
      <c r="Z1015" s="166"/>
      <c r="AA1015" s="164">
        <f>($L1015*'Pivot Objective'!$C$9^4)*Y1015*Z1015</f>
        <v>0</v>
      </c>
      <c r="AB1015" s="166">
        <v>5</v>
      </c>
      <c r="AC1015" s="166">
        <v>1</v>
      </c>
      <c r="AD1015" s="164">
        <f>($L1015*'Pivot Objective'!$C$9^5)*AB1015*AC1015</f>
        <v>502178922.1287725</v>
      </c>
      <c r="AE1015" s="140"/>
      <c r="AF1015" s="140"/>
      <c r="AG1015" s="164">
        <f>($L1015*'Pivot Objective'!$C$9^6)*AE1015*AF1015</f>
        <v>0</v>
      </c>
      <c r="AH1015" s="140"/>
      <c r="AI1015" s="140"/>
      <c r="AJ1015" s="164">
        <f>($L1015*'Pivot Objective'!$C$9^7)*AH1015*AI1015</f>
        <v>0</v>
      </c>
      <c r="AK1015" s="185">
        <f t="shared" si="111"/>
        <v>838543095.37545085</v>
      </c>
      <c r="AL1015" s="186">
        <f t="shared" si="112"/>
        <v>814119.5100732533</v>
      </c>
    </row>
    <row r="1016" spans="1:38" customFormat="1" ht="57.6" x14ac:dyDescent="0.3">
      <c r="A1016" s="140" t="s">
        <v>1445</v>
      </c>
      <c r="B1016" s="140">
        <v>1</v>
      </c>
      <c r="C1016" s="166" t="s">
        <v>836</v>
      </c>
      <c r="D1016" s="140" t="str">
        <f t="shared" si="114"/>
        <v>6</v>
      </c>
      <c r="E1016" s="166" t="s">
        <v>1136</v>
      </c>
      <c r="F1016" s="140">
        <f t="shared" si="113"/>
        <v>1</v>
      </c>
      <c r="G1016" s="140" t="str">
        <f t="shared" si="115"/>
        <v>1.6.1</v>
      </c>
      <c r="H1016" s="166" t="s">
        <v>1710</v>
      </c>
      <c r="I1016" s="166" t="s">
        <v>1169</v>
      </c>
      <c r="J1016" s="166" t="s">
        <v>1171</v>
      </c>
      <c r="K1016" s="166" t="s">
        <v>841</v>
      </c>
      <c r="L1016" s="166">
        <v>0</v>
      </c>
      <c r="M1016" s="166"/>
      <c r="N1016" s="166"/>
      <c r="O1016" s="164">
        <f t="shared" si="110"/>
        <v>0</v>
      </c>
      <c r="P1016" s="166"/>
      <c r="Q1016" s="166"/>
      <c r="R1016" s="164">
        <f>$L1016*'Pivot Objective'!$C$9*P1016*Q1016</f>
        <v>0</v>
      </c>
      <c r="S1016" s="166">
        <v>0</v>
      </c>
      <c r="T1016" s="166">
        <v>0</v>
      </c>
      <c r="U1016" s="164">
        <f>($L1016*'Pivot Objective'!$C$9^2)*S1016*T1016</f>
        <v>0</v>
      </c>
      <c r="V1016" s="166"/>
      <c r="W1016" s="166"/>
      <c r="X1016" s="164">
        <f>($L1016*'Pivot Objective'!$C$9^3)*V1016*W1016</f>
        <v>0</v>
      </c>
      <c r="Y1016" s="166"/>
      <c r="Z1016" s="166"/>
      <c r="AA1016" s="164">
        <f>($L1016*'Pivot Objective'!$C$9^4)*Y1016*Z1016</f>
        <v>0</v>
      </c>
      <c r="AB1016" s="166">
        <v>0</v>
      </c>
      <c r="AC1016" s="166">
        <v>0</v>
      </c>
      <c r="AD1016" s="164">
        <f>($L1016*'Pivot Objective'!$C$9^5)*AB1016*AC1016</f>
        <v>0</v>
      </c>
      <c r="AE1016" s="140"/>
      <c r="AF1016" s="140"/>
      <c r="AG1016" s="164">
        <f>($L1016*'Pivot Objective'!$C$9^6)*AE1016*AF1016</f>
        <v>0</v>
      </c>
      <c r="AH1016" s="140"/>
      <c r="AI1016" s="140"/>
      <c r="AJ1016" s="164">
        <f>($L1016*'Pivot Objective'!$C$9^7)*AH1016*AI1016</f>
        <v>0</v>
      </c>
      <c r="AK1016" s="185">
        <f t="shared" si="111"/>
        <v>0</v>
      </c>
      <c r="AL1016" s="186">
        <f t="shared" si="112"/>
        <v>0</v>
      </c>
    </row>
    <row r="1017" spans="1:38" customFormat="1" ht="57.6" x14ac:dyDescent="0.3">
      <c r="A1017" s="140" t="s">
        <v>1445</v>
      </c>
      <c r="B1017" s="140">
        <v>1</v>
      </c>
      <c r="C1017" s="166" t="s">
        <v>836</v>
      </c>
      <c r="D1017" s="140" t="str">
        <f t="shared" si="114"/>
        <v>6</v>
      </c>
      <c r="E1017" s="166" t="s">
        <v>1136</v>
      </c>
      <c r="F1017" s="140">
        <f t="shared" si="113"/>
        <v>1</v>
      </c>
      <c r="G1017" s="140" t="str">
        <f t="shared" si="115"/>
        <v>1.6.1</v>
      </c>
      <c r="H1017" s="166" t="s">
        <v>1710</v>
      </c>
      <c r="I1017" s="166" t="s">
        <v>1172</v>
      </c>
      <c r="J1017" s="166" t="s">
        <v>1173</v>
      </c>
      <c r="K1017" s="166" t="s">
        <v>709</v>
      </c>
      <c r="L1017" s="166">
        <v>35000</v>
      </c>
      <c r="M1017" s="166">
        <v>40</v>
      </c>
      <c r="N1017" s="166">
        <v>5</v>
      </c>
      <c r="O1017" s="164">
        <f t="shared" si="110"/>
        <v>7000000</v>
      </c>
      <c r="P1017" s="166">
        <v>40</v>
      </c>
      <c r="Q1017" s="166">
        <v>5</v>
      </c>
      <c r="R1017" s="164">
        <f>$L1017*'Pivot Objective'!$C$9*P1017*Q1017</f>
        <v>8000447.6789999986</v>
      </c>
      <c r="S1017" s="166">
        <v>40</v>
      </c>
      <c r="T1017" s="166">
        <v>5</v>
      </c>
      <c r="U1017" s="164">
        <f>($L1017*'Pivot Objective'!$C$9^2)*S1017*T1017</f>
        <v>9143880.4377737809</v>
      </c>
      <c r="V1017" s="166">
        <v>40</v>
      </c>
      <c r="W1017" s="166">
        <v>5</v>
      </c>
      <c r="X1017" s="164">
        <f>($L1017*'Pivot Objective'!$C$9^3)*V1017*W1017</f>
        <v>10450733.860777251</v>
      </c>
      <c r="Y1017" s="166">
        <v>40</v>
      </c>
      <c r="Z1017" s="166">
        <v>5</v>
      </c>
      <c r="AA1017" s="164">
        <f>($L1017*'Pivot Objective'!$C$9^4)*Y1017*Z1017</f>
        <v>11944364.20861458</v>
      </c>
      <c r="AB1017" s="166">
        <v>40</v>
      </c>
      <c r="AC1017" s="166">
        <v>5</v>
      </c>
      <c r="AD1017" s="164">
        <f>($L1017*'Pivot Objective'!$C$9^5)*AB1017*AC1017</f>
        <v>13651465.844277311</v>
      </c>
      <c r="AE1017" s="166">
        <v>40</v>
      </c>
      <c r="AF1017" s="166">
        <v>5</v>
      </c>
      <c r="AG1017" s="164">
        <f>($L1017*'Pivot Objective'!$C$9^6)*AE1017*AF1017</f>
        <v>15602548.318399454</v>
      </c>
      <c r="AH1017" s="166">
        <v>40</v>
      </c>
      <c r="AI1017" s="166">
        <v>5</v>
      </c>
      <c r="AJ1017" s="164">
        <f>($L1017*'Pivot Objective'!$C$9^7)*AH1017*AI1017</f>
        <v>17832481.640060611</v>
      </c>
      <c r="AK1017" s="185">
        <f t="shared" si="111"/>
        <v>93625921.988902986</v>
      </c>
      <c r="AL1017" s="186">
        <f t="shared" si="112"/>
        <v>90898.953387284448</v>
      </c>
    </row>
    <row r="1018" spans="1:38" customFormat="1" ht="57.6" x14ac:dyDescent="0.3">
      <c r="A1018" s="140" t="s">
        <v>1445</v>
      </c>
      <c r="B1018" s="140">
        <v>1</v>
      </c>
      <c r="C1018" s="166" t="s">
        <v>836</v>
      </c>
      <c r="D1018" s="140" t="str">
        <f t="shared" si="114"/>
        <v>6</v>
      </c>
      <c r="E1018" s="166" t="s">
        <v>1136</v>
      </c>
      <c r="F1018" s="140">
        <f t="shared" si="113"/>
        <v>1</v>
      </c>
      <c r="G1018" s="140" t="str">
        <f t="shared" si="115"/>
        <v>1.6.1</v>
      </c>
      <c r="H1018" s="166" t="s">
        <v>1710</v>
      </c>
      <c r="I1018" s="166" t="s">
        <v>1172</v>
      </c>
      <c r="J1018" s="166" t="s">
        <v>1173</v>
      </c>
      <c r="K1018" s="166" t="s">
        <v>716</v>
      </c>
      <c r="L1018" s="166">
        <v>39000</v>
      </c>
      <c r="M1018" s="166">
        <v>40</v>
      </c>
      <c r="N1018" s="166">
        <v>5</v>
      </c>
      <c r="O1018" s="164">
        <f t="shared" si="110"/>
        <v>7800000</v>
      </c>
      <c r="P1018" s="166">
        <v>40</v>
      </c>
      <c r="Q1018" s="166">
        <v>5</v>
      </c>
      <c r="R1018" s="164">
        <f>$L1018*'Pivot Objective'!$C$9*P1018*Q1018</f>
        <v>8914784.5565999988</v>
      </c>
      <c r="S1018" s="166">
        <v>40</v>
      </c>
      <c r="T1018" s="166">
        <v>5</v>
      </c>
      <c r="U1018" s="164">
        <f>($L1018*'Pivot Objective'!$C$9^2)*S1018*T1018</f>
        <v>10188895.344947929</v>
      </c>
      <c r="V1018" s="166">
        <v>40</v>
      </c>
      <c r="W1018" s="166">
        <v>5</v>
      </c>
      <c r="X1018" s="164">
        <f>($L1018*'Pivot Objective'!$C$9^3)*V1018*W1018</f>
        <v>11645103.44486608</v>
      </c>
      <c r="Y1018" s="166">
        <v>40</v>
      </c>
      <c r="Z1018" s="166">
        <v>5</v>
      </c>
      <c r="AA1018" s="164">
        <f>($L1018*'Pivot Objective'!$C$9^4)*Y1018*Z1018</f>
        <v>13309434.403884819</v>
      </c>
      <c r="AB1018" s="166">
        <v>40</v>
      </c>
      <c r="AC1018" s="166">
        <v>5</v>
      </c>
      <c r="AD1018" s="164">
        <f>($L1018*'Pivot Objective'!$C$9^5)*AB1018*AC1018</f>
        <v>15211633.369337577</v>
      </c>
      <c r="AE1018" s="166">
        <v>40</v>
      </c>
      <c r="AF1018" s="166">
        <v>5</v>
      </c>
      <c r="AG1018" s="164">
        <f>($L1018*'Pivot Objective'!$C$9^6)*AE1018*AF1018</f>
        <v>17385696.697645109</v>
      </c>
      <c r="AH1018" s="166">
        <v>40</v>
      </c>
      <c r="AI1018" s="166">
        <v>5</v>
      </c>
      <c r="AJ1018" s="164">
        <f>($L1018*'Pivot Objective'!$C$9^7)*AH1018*AI1018</f>
        <v>19870479.54178182</v>
      </c>
      <c r="AK1018" s="185">
        <f t="shared" si="111"/>
        <v>104326027.35906333</v>
      </c>
      <c r="AL1018" s="186">
        <f t="shared" si="112"/>
        <v>101287.4052029741</v>
      </c>
    </row>
    <row r="1019" spans="1:38" customFormat="1" ht="57.6" x14ac:dyDescent="0.3">
      <c r="A1019" s="140" t="s">
        <v>1445</v>
      </c>
      <c r="B1019" s="140">
        <v>1</v>
      </c>
      <c r="C1019" s="166" t="s">
        <v>836</v>
      </c>
      <c r="D1019" s="140" t="str">
        <f t="shared" si="114"/>
        <v>6</v>
      </c>
      <c r="E1019" s="166" t="s">
        <v>1136</v>
      </c>
      <c r="F1019" s="140">
        <f t="shared" si="113"/>
        <v>1</v>
      </c>
      <c r="G1019" s="140" t="str">
        <f t="shared" si="115"/>
        <v>1.6.1</v>
      </c>
      <c r="H1019" s="166" t="s">
        <v>1710</v>
      </c>
      <c r="I1019" s="166" t="s">
        <v>1172</v>
      </c>
      <c r="J1019" s="166" t="s">
        <v>1173</v>
      </c>
      <c r="K1019" s="166" t="s">
        <v>712</v>
      </c>
      <c r="L1019" s="166">
        <v>285.60000000000002</v>
      </c>
      <c r="M1019" s="166">
        <v>500</v>
      </c>
      <c r="N1019" s="166">
        <v>5</v>
      </c>
      <c r="O1019" s="164">
        <f t="shared" si="110"/>
        <v>714000</v>
      </c>
      <c r="P1019" s="166">
        <v>500</v>
      </c>
      <c r="Q1019" s="166">
        <v>5</v>
      </c>
      <c r="R1019" s="164">
        <f>$L1019*'Pivot Objective'!$C$9*P1019*Q1019</f>
        <v>816045.66325800004</v>
      </c>
      <c r="S1019" s="166">
        <v>500</v>
      </c>
      <c r="T1019" s="166">
        <v>5</v>
      </c>
      <c r="U1019" s="164">
        <f>($L1019*'Pivot Objective'!$C$9^2)*S1019*T1019</f>
        <v>932675.80465292605</v>
      </c>
      <c r="V1019" s="166">
        <v>500</v>
      </c>
      <c r="W1019" s="166">
        <v>5</v>
      </c>
      <c r="X1019" s="164">
        <f>($L1019*'Pivot Objective'!$C$9^3)*V1019*W1019</f>
        <v>1065974.8537992798</v>
      </c>
      <c r="Y1019" s="166">
        <v>500</v>
      </c>
      <c r="Z1019" s="166">
        <v>5</v>
      </c>
      <c r="AA1019" s="164">
        <f>($L1019*'Pivot Objective'!$C$9^4)*Y1019*Z1019</f>
        <v>1218325.1492786873</v>
      </c>
      <c r="AB1019" s="166">
        <v>500</v>
      </c>
      <c r="AC1019" s="166">
        <v>5</v>
      </c>
      <c r="AD1019" s="164">
        <f>($L1019*'Pivot Objective'!$C$9^5)*AB1019*AC1019</f>
        <v>1392449.5161162857</v>
      </c>
      <c r="AE1019" s="166">
        <v>500</v>
      </c>
      <c r="AF1019" s="166">
        <v>5</v>
      </c>
      <c r="AG1019" s="164">
        <f>($L1019*'Pivot Objective'!$C$9^6)*AE1019*AF1019</f>
        <v>1591459.9284767443</v>
      </c>
      <c r="AH1019" s="166">
        <v>500</v>
      </c>
      <c r="AI1019" s="166">
        <v>5</v>
      </c>
      <c r="AJ1019" s="164">
        <f>($L1019*'Pivot Objective'!$C$9^7)*AH1019*AI1019</f>
        <v>1818913.1272861825</v>
      </c>
      <c r="AK1019" s="185">
        <f t="shared" si="111"/>
        <v>9549844.0428681057</v>
      </c>
      <c r="AL1019" s="186">
        <f t="shared" si="112"/>
        <v>9271.6932455030146</v>
      </c>
    </row>
    <row r="1020" spans="1:38" customFormat="1" ht="57.6" x14ac:dyDescent="0.3">
      <c r="A1020" s="140" t="s">
        <v>1445</v>
      </c>
      <c r="B1020" s="140">
        <v>1</v>
      </c>
      <c r="C1020" s="166" t="s">
        <v>836</v>
      </c>
      <c r="D1020" s="140" t="str">
        <f t="shared" si="114"/>
        <v>6</v>
      </c>
      <c r="E1020" s="166" t="s">
        <v>1136</v>
      </c>
      <c r="F1020" s="140">
        <f t="shared" si="113"/>
        <v>1</v>
      </c>
      <c r="G1020" s="140" t="str">
        <f t="shared" si="115"/>
        <v>1.6.1</v>
      </c>
      <c r="H1020" s="166" t="s">
        <v>1710</v>
      </c>
      <c r="I1020" s="166" t="s">
        <v>1172</v>
      </c>
      <c r="J1020" s="166" t="s">
        <v>1173</v>
      </c>
      <c r="K1020" s="166" t="s">
        <v>1326</v>
      </c>
      <c r="L1020" s="166">
        <v>285.60000000000002</v>
      </c>
      <c r="M1020" s="166">
        <v>2700</v>
      </c>
      <c r="N1020" s="166">
        <v>1</v>
      </c>
      <c r="O1020" s="164">
        <f t="shared" si="110"/>
        <v>771120.00000000012</v>
      </c>
      <c r="P1020" s="166">
        <v>2700</v>
      </c>
      <c r="Q1020" s="166">
        <v>1</v>
      </c>
      <c r="R1020" s="164">
        <f>$L1020*'Pivot Objective'!$C$9*P1020*Q1020</f>
        <v>881329.3163186399</v>
      </c>
      <c r="S1020" s="166">
        <v>2700</v>
      </c>
      <c r="T1020" s="166">
        <v>1</v>
      </c>
      <c r="U1020" s="164">
        <f>($L1020*'Pivot Objective'!$C$9^2)*S1020*T1020</f>
        <v>1007289.8690251601</v>
      </c>
      <c r="V1020" s="166">
        <v>2700</v>
      </c>
      <c r="W1020" s="166">
        <v>1</v>
      </c>
      <c r="X1020" s="164">
        <f>($L1020*'Pivot Objective'!$C$9^3)*V1020*W1020</f>
        <v>1151252.8421032222</v>
      </c>
      <c r="Y1020" s="166">
        <v>2700</v>
      </c>
      <c r="Z1020" s="166">
        <v>1</v>
      </c>
      <c r="AA1020" s="164">
        <f>($L1020*'Pivot Objective'!$C$9^4)*Y1020*Z1020</f>
        <v>1315791.1612209822</v>
      </c>
      <c r="AB1020" s="166">
        <v>2700</v>
      </c>
      <c r="AC1020" s="166">
        <v>1</v>
      </c>
      <c r="AD1020" s="164">
        <f>($L1020*'Pivot Objective'!$C$9^5)*AB1020*AC1020</f>
        <v>1503845.4774055886</v>
      </c>
      <c r="AE1020" s="166">
        <v>2700</v>
      </c>
      <c r="AF1020" s="166">
        <v>1</v>
      </c>
      <c r="AG1020" s="164">
        <f>($L1020*'Pivot Objective'!$C$9^6)*AE1020*AF1020</f>
        <v>1718776.722754884</v>
      </c>
      <c r="AH1020" s="166">
        <v>2700</v>
      </c>
      <c r="AI1020" s="166">
        <v>1</v>
      </c>
      <c r="AJ1020" s="164">
        <f>($L1020*'Pivot Objective'!$C$9^7)*AH1020*AI1020</f>
        <v>1964426.1774690768</v>
      </c>
      <c r="AK1020" s="185">
        <f t="shared" si="111"/>
        <v>10313831.566297555</v>
      </c>
      <c r="AL1020" s="186">
        <f t="shared" si="112"/>
        <v>10013.428705143258</v>
      </c>
    </row>
    <row r="1021" spans="1:38" customFormat="1" ht="57.6" x14ac:dyDescent="0.3">
      <c r="A1021" s="140" t="s">
        <v>1445</v>
      </c>
      <c r="B1021" s="140">
        <v>1</v>
      </c>
      <c r="C1021" s="166" t="s">
        <v>836</v>
      </c>
      <c r="D1021" s="140" t="str">
        <f t="shared" si="114"/>
        <v>6</v>
      </c>
      <c r="E1021" s="166" t="s">
        <v>1136</v>
      </c>
      <c r="F1021" s="140">
        <f t="shared" si="113"/>
        <v>1</v>
      </c>
      <c r="G1021" s="140" t="str">
        <f t="shared" si="115"/>
        <v>1.6.1</v>
      </c>
      <c r="H1021" s="166" t="s">
        <v>1710</v>
      </c>
      <c r="I1021" s="166" t="s">
        <v>1174</v>
      </c>
      <c r="J1021" s="166" t="s">
        <v>1175</v>
      </c>
      <c r="K1021" s="166" t="s">
        <v>841</v>
      </c>
      <c r="L1021" s="166">
        <v>0</v>
      </c>
      <c r="M1021" s="166">
        <v>8000</v>
      </c>
      <c r="N1021" s="166">
        <v>1</v>
      </c>
      <c r="O1021" s="164">
        <f t="shared" si="110"/>
        <v>0</v>
      </c>
      <c r="P1021" s="166">
        <v>8000</v>
      </c>
      <c r="Q1021" s="166">
        <v>1</v>
      </c>
      <c r="R1021" s="164">
        <f>$L1021*'Pivot Objective'!$C$9*P1021*Q1021</f>
        <v>0</v>
      </c>
      <c r="S1021" s="166">
        <v>8000</v>
      </c>
      <c r="T1021" s="166">
        <v>1</v>
      </c>
      <c r="U1021" s="164">
        <f>($L1021*'Pivot Objective'!$C$9^2)*S1021*T1021</f>
        <v>0</v>
      </c>
      <c r="V1021" s="166">
        <v>8000</v>
      </c>
      <c r="W1021" s="166">
        <v>1</v>
      </c>
      <c r="X1021" s="164">
        <f>($L1021*'Pivot Objective'!$C$9^3)*V1021*W1021</f>
        <v>0</v>
      </c>
      <c r="Y1021" s="166">
        <v>8000</v>
      </c>
      <c r="Z1021" s="166">
        <v>1</v>
      </c>
      <c r="AA1021" s="164">
        <f>($L1021*'Pivot Objective'!$C$9^4)*Y1021*Z1021</f>
        <v>0</v>
      </c>
      <c r="AB1021" s="166">
        <v>8000</v>
      </c>
      <c r="AC1021" s="166">
        <v>1</v>
      </c>
      <c r="AD1021" s="164">
        <f>($L1021*'Pivot Objective'!$C$9^5)*AB1021*AC1021</f>
        <v>0</v>
      </c>
      <c r="AE1021" s="166">
        <v>8000</v>
      </c>
      <c r="AF1021" s="166">
        <v>1</v>
      </c>
      <c r="AG1021" s="164">
        <f>($L1021*'Pivot Objective'!$C$9^6)*AE1021*AF1021</f>
        <v>0</v>
      </c>
      <c r="AH1021" s="166">
        <v>8000</v>
      </c>
      <c r="AI1021" s="166">
        <v>1</v>
      </c>
      <c r="AJ1021" s="164">
        <f>($L1021*'Pivot Objective'!$C$9^7)*AH1021*AI1021</f>
        <v>0</v>
      </c>
      <c r="AK1021" s="185">
        <f t="shared" si="111"/>
        <v>0</v>
      </c>
      <c r="AL1021" s="186">
        <f t="shared" si="112"/>
        <v>0</v>
      </c>
    </row>
    <row r="1022" spans="1:38" customFormat="1" ht="57.6" x14ac:dyDescent="0.3">
      <c r="A1022" s="140" t="s">
        <v>1445</v>
      </c>
      <c r="B1022" s="140">
        <v>1</v>
      </c>
      <c r="C1022" s="166" t="s">
        <v>836</v>
      </c>
      <c r="D1022" s="140" t="str">
        <f t="shared" ref="D1022:D1036" si="116">RIGHT(A1022,1)</f>
        <v>6</v>
      </c>
      <c r="E1022" s="166" t="s">
        <v>1136</v>
      </c>
      <c r="F1022" s="140">
        <f t="shared" ref="F1022:F1036" si="117">IF(H1022=H1021,F1021,F1021+1)</f>
        <v>2</v>
      </c>
      <c r="G1022" s="140" t="str">
        <f t="shared" ref="G1022:G1036" si="118">B1022&amp;"."&amp;D1022&amp;"."&amp;F1022</f>
        <v>1.6.2</v>
      </c>
      <c r="H1022" s="166" t="s">
        <v>1631</v>
      </c>
      <c r="I1022" s="166" t="s">
        <v>1631</v>
      </c>
      <c r="J1022" s="166" t="s">
        <v>1632</v>
      </c>
      <c r="K1022" s="166" t="s">
        <v>709</v>
      </c>
      <c r="L1022" s="166">
        <v>35000</v>
      </c>
      <c r="M1022" s="166">
        <v>30</v>
      </c>
      <c r="N1022" s="166">
        <v>10</v>
      </c>
      <c r="O1022" s="164">
        <f t="shared" si="110"/>
        <v>10500000</v>
      </c>
      <c r="P1022" s="166">
        <v>30</v>
      </c>
      <c r="Q1022" s="166">
        <v>10</v>
      </c>
      <c r="R1022" s="164">
        <f>$L1022*'Pivot Objective'!$C$9*P1022*Q1022</f>
        <v>12000671.518499998</v>
      </c>
      <c r="S1022" s="166">
        <v>30</v>
      </c>
      <c r="T1022" s="166">
        <v>10</v>
      </c>
      <c r="U1022" s="164">
        <f>($L1022*'Pivot Objective'!$C$9^2)*S1022*T1022</f>
        <v>13715820.656660672</v>
      </c>
      <c r="V1022" s="166">
        <v>30</v>
      </c>
      <c r="W1022" s="166">
        <v>10</v>
      </c>
      <c r="X1022" s="164">
        <f>($L1022*'Pivot Objective'!$C$9^3)*V1022*W1022</f>
        <v>15676100.791165877</v>
      </c>
      <c r="Y1022" s="166">
        <v>30</v>
      </c>
      <c r="Z1022" s="166">
        <v>10</v>
      </c>
      <c r="AA1022" s="164">
        <f>($L1022*'Pivot Objective'!$C$9^4)*Y1022*Z1022</f>
        <v>17916546.31292187</v>
      </c>
      <c r="AB1022" s="166">
        <v>30</v>
      </c>
      <c r="AC1022" s="166">
        <v>10</v>
      </c>
      <c r="AD1022" s="164">
        <f>($L1022*'Pivot Objective'!$C$9^5)*AB1022*AC1022</f>
        <v>20477198.766415965</v>
      </c>
      <c r="AE1022" s="166">
        <v>30</v>
      </c>
      <c r="AF1022" s="166">
        <v>10</v>
      </c>
      <c r="AG1022" s="164">
        <f>($L1022*'Pivot Objective'!$C$9^6)*AE1022*AF1022</f>
        <v>23403822.477599181</v>
      </c>
      <c r="AH1022" s="166">
        <v>30</v>
      </c>
      <c r="AI1022" s="166">
        <v>10</v>
      </c>
      <c r="AJ1022" s="164">
        <f>($L1022*'Pivot Objective'!$C$9^7)*AH1022*AI1022</f>
        <v>26748722.460090913</v>
      </c>
      <c r="AK1022" s="185">
        <f t="shared" si="111"/>
        <v>140438882.98335448</v>
      </c>
      <c r="AL1022" s="186">
        <f t="shared" si="112"/>
        <v>136348.43008092669</v>
      </c>
    </row>
    <row r="1023" spans="1:38" customFormat="1" ht="57.6" x14ac:dyDescent="0.3">
      <c r="A1023" s="140" t="s">
        <v>1445</v>
      </c>
      <c r="B1023" s="140">
        <v>1</v>
      </c>
      <c r="C1023" s="166" t="s">
        <v>836</v>
      </c>
      <c r="D1023" s="140" t="str">
        <f t="shared" si="116"/>
        <v>6</v>
      </c>
      <c r="E1023" s="166" t="s">
        <v>1136</v>
      </c>
      <c r="F1023" s="140">
        <f t="shared" si="117"/>
        <v>2</v>
      </c>
      <c r="G1023" s="140" t="str">
        <f t="shared" si="118"/>
        <v>1.6.2</v>
      </c>
      <c r="H1023" s="166" t="s">
        <v>1631</v>
      </c>
      <c r="I1023" s="166" t="s">
        <v>1631</v>
      </c>
      <c r="J1023" s="166" t="s">
        <v>1632</v>
      </c>
      <c r="K1023" s="166" t="s">
        <v>716</v>
      </c>
      <c r="L1023" s="166">
        <v>39000</v>
      </c>
      <c r="M1023" s="166">
        <v>30</v>
      </c>
      <c r="N1023" s="166">
        <v>12</v>
      </c>
      <c r="O1023" s="164">
        <f t="shared" si="110"/>
        <v>14040000</v>
      </c>
      <c r="P1023" s="166">
        <v>30</v>
      </c>
      <c r="Q1023" s="166">
        <v>12</v>
      </c>
      <c r="R1023" s="164">
        <f>$L1023*'Pivot Objective'!$C$9*P1023*Q1023</f>
        <v>16046612.201879997</v>
      </c>
      <c r="S1023" s="166">
        <v>30</v>
      </c>
      <c r="T1023" s="166">
        <v>12</v>
      </c>
      <c r="U1023" s="164">
        <f>($L1023*'Pivot Objective'!$C$9^2)*S1023*T1023</f>
        <v>18340011.620906271</v>
      </c>
      <c r="V1023" s="166">
        <v>30</v>
      </c>
      <c r="W1023" s="166">
        <v>12</v>
      </c>
      <c r="X1023" s="164">
        <f>($L1023*'Pivot Objective'!$C$9^3)*V1023*W1023</f>
        <v>20961186.200758941</v>
      </c>
      <c r="Y1023" s="166">
        <v>30</v>
      </c>
      <c r="Z1023" s="166">
        <v>12</v>
      </c>
      <c r="AA1023" s="164">
        <f>($L1023*'Pivot Objective'!$C$9^4)*Y1023*Z1023</f>
        <v>23956981.92699267</v>
      </c>
      <c r="AB1023" s="166">
        <v>30</v>
      </c>
      <c r="AC1023" s="166">
        <v>12</v>
      </c>
      <c r="AD1023" s="164">
        <f>($L1023*'Pivot Objective'!$C$9^5)*AB1023*AC1023</f>
        <v>27380940.064807635</v>
      </c>
      <c r="AE1023" s="166">
        <v>30</v>
      </c>
      <c r="AF1023" s="166">
        <v>12</v>
      </c>
      <c r="AG1023" s="164">
        <f>($L1023*'Pivot Objective'!$C$9^6)*AE1023*AF1023</f>
        <v>31294254.055761192</v>
      </c>
      <c r="AH1023" s="166">
        <v>30</v>
      </c>
      <c r="AI1023" s="166">
        <v>12</v>
      </c>
      <c r="AJ1023" s="164">
        <f>($L1023*'Pivot Objective'!$C$9^7)*AH1023*AI1023</f>
        <v>35766863.17520728</v>
      </c>
      <c r="AK1023" s="185">
        <f t="shared" si="111"/>
        <v>187786849.24631399</v>
      </c>
      <c r="AL1023" s="186">
        <f t="shared" si="112"/>
        <v>182317.32936535339</v>
      </c>
    </row>
    <row r="1024" spans="1:38" customFormat="1" ht="57.6" x14ac:dyDescent="0.3">
      <c r="A1024" s="140" t="s">
        <v>1445</v>
      </c>
      <c r="B1024" s="140">
        <v>1</v>
      </c>
      <c r="C1024" s="166" t="s">
        <v>836</v>
      </c>
      <c r="D1024" s="140" t="str">
        <f t="shared" si="116"/>
        <v>6</v>
      </c>
      <c r="E1024" s="166" t="s">
        <v>1136</v>
      </c>
      <c r="F1024" s="140">
        <f t="shared" si="117"/>
        <v>2</v>
      </c>
      <c r="G1024" s="140" t="str">
        <f t="shared" si="118"/>
        <v>1.6.2</v>
      </c>
      <c r="H1024" s="166" t="s">
        <v>1631</v>
      </c>
      <c r="I1024" s="166" t="s">
        <v>1631</v>
      </c>
      <c r="J1024" s="166" t="s">
        <v>1632</v>
      </c>
      <c r="K1024" s="166" t="s">
        <v>712</v>
      </c>
      <c r="L1024" s="166">
        <v>285.60000000000002</v>
      </c>
      <c r="M1024" s="166">
        <v>2700</v>
      </c>
      <c r="N1024" s="166">
        <v>2</v>
      </c>
      <c r="O1024" s="164">
        <f t="shared" si="110"/>
        <v>1542240.0000000002</v>
      </c>
      <c r="P1024" s="166">
        <v>2700</v>
      </c>
      <c r="Q1024" s="166">
        <v>2</v>
      </c>
      <c r="R1024" s="164">
        <f>$L1024*'Pivot Objective'!$C$9*P1024*Q1024</f>
        <v>1762658.6326372798</v>
      </c>
      <c r="S1024" s="166">
        <v>2700</v>
      </c>
      <c r="T1024" s="166">
        <v>2</v>
      </c>
      <c r="U1024" s="164">
        <f>($L1024*'Pivot Objective'!$C$9^2)*S1024*T1024</f>
        <v>2014579.7380503202</v>
      </c>
      <c r="V1024" s="166">
        <v>2700</v>
      </c>
      <c r="W1024" s="166">
        <v>2</v>
      </c>
      <c r="X1024" s="164">
        <f>($L1024*'Pivot Objective'!$C$9^3)*V1024*W1024</f>
        <v>2302505.6842064443</v>
      </c>
      <c r="Y1024" s="166">
        <v>2700</v>
      </c>
      <c r="Z1024" s="166">
        <v>2</v>
      </c>
      <c r="AA1024" s="164">
        <f>($L1024*'Pivot Objective'!$C$9^4)*Y1024*Z1024</f>
        <v>2631582.3224419644</v>
      </c>
      <c r="AB1024" s="166">
        <v>2700</v>
      </c>
      <c r="AC1024" s="166">
        <v>2</v>
      </c>
      <c r="AD1024" s="164">
        <f>($L1024*'Pivot Objective'!$C$9^5)*AB1024*AC1024</f>
        <v>3007690.9548111772</v>
      </c>
      <c r="AE1024" s="166">
        <v>2700</v>
      </c>
      <c r="AF1024" s="166">
        <v>2</v>
      </c>
      <c r="AG1024" s="164">
        <f>($L1024*'Pivot Objective'!$C$9^6)*AE1024*AF1024</f>
        <v>3437553.4455097681</v>
      </c>
      <c r="AH1024" s="166">
        <v>2700</v>
      </c>
      <c r="AI1024" s="166">
        <v>2</v>
      </c>
      <c r="AJ1024" s="164">
        <f>($L1024*'Pivot Objective'!$C$9^7)*AH1024*AI1024</f>
        <v>3928852.3549381536</v>
      </c>
      <c r="AK1024" s="185">
        <f t="shared" si="111"/>
        <v>20627663.132595111</v>
      </c>
      <c r="AL1024" s="186">
        <f t="shared" si="112"/>
        <v>20026.857410286517</v>
      </c>
    </row>
    <row r="1025" spans="1:38" customFormat="1" ht="57.6" x14ac:dyDescent="0.3">
      <c r="A1025" s="140" t="s">
        <v>1445</v>
      </c>
      <c r="B1025" s="140">
        <v>1</v>
      </c>
      <c r="C1025" s="166" t="s">
        <v>836</v>
      </c>
      <c r="D1025" s="140" t="str">
        <f t="shared" si="116"/>
        <v>6</v>
      </c>
      <c r="E1025" s="166" t="s">
        <v>1136</v>
      </c>
      <c r="F1025" s="140">
        <f t="shared" si="117"/>
        <v>2</v>
      </c>
      <c r="G1025" s="140" t="str">
        <f t="shared" si="118"/>
        <v>1.6.2</v>
      </c>
      <c r="H1025" s="166" t="s">
        <v>1631</v>
      </c>
      <c r="I1025" s="166" t="s">
        <v>1631</v>
      </c>
      <c r="J1025" s="166" t="s">
        <v>1632</v>
      </c>
      <c r="K1025" s="166" t="s">
        <v>1326</v>
      </c>
      <c r="L1025" s="166">
        <v>285.60000000000002</v>
      </c>
      <c r="M1025" s="166">
        <v>1000</v>
      </c>
      <c r="N1025" s="166">
        <v>10</v>
      </c>
      <c r="O1025" s="164">
        <f t="shared" si="110"/>
        <v>2856000</v>
      </c>
      <c r="P1025" s="166">
        <v>1000</v>
      </c>
      <c r="Q1025" s="166">
        <v>10</v>
      </c>
      <c r="R1025" s="164">
        <f>$L1025*'Pivot Objective'!$C$9*P1025*Q1025</f>
        <v>3264182.6530320002</v>
      </c>
      <c r="S1025" s="166">
        <v>1000</v>
      </c>
      <c r="T1025" s="166">
        <v>10</v>
      </c>
      <c r="U1025" s="164">
        <f>($L1025*'Pivot Objective'!$C$9^2)*S1025*T1025</f>
        <v>3730703.2186117042</v>
      </c>
      <c r="V1025" s="166">
        <v>1000</v>
      </c>
      <c r="W1025" s="166">
        <v>10</v>
      </c>
      <c r="X1025" s="164">
        <f>($L1025*'Pivot Objective'!$C$9^3)*V1025*W1025</f>
        <v>4263899.4151971191</v>
      </c>
      <c r="Y1025" s="166">
        <v>1000</v>
      </c>
      <c r="Z1025" s="166">
        <v>10</v>
      </c>
      <c r="AA1025" s="164">
        <f>($L1025*'Pivot Objective'!$C$9^4)*Y1025*Z1025</f>
        <v>4873300.5971147493</v>
      </c>
      <c r="AB1025" s="166">
        <v>1000</v>
      </c>
      <c r="AC1025" s="166">
        <v>10</v>
      </c>
      <c r="AD1025" s="164">
        <f>($L1025*'Pivot Objective'!$C$9^5)*AB1025*AC1025</f>
        <v>5569798.0644651428</v>
      </c>
      <c r="AE1025" s="166">
        <v>1000</v>
      </c>
      <c r="AF1025" s="166">
        <v>10</v>
      </c>
      <c r="AG1025" s="164">
        <f>($L1025*'Pivot Objective'!$C$9^6)*AE1025*AF1025</f>
        <v>6365839.7139069773</v>
      </c>
      <c r="AH1025" s="166">
        <v>1000</v>
      </c>
      <c r="AI1025" s="166">
        <v>10</v>
      </c>
      <c r="AJ1025" s="164">
        <f>($L1025*'Pivot Objective'!$C$9^7)*AH1025*AI1025</f>
        <v>7275652.5091447299</v>
      </c>
      <c r="AK1025" s="185">
        <f t="shared" si="111"/>
        <v>38199376.171472423</v>
      </c>
      <c r="AL1025" s="186">
        <f t="shared" si="112"/>
        <v>37086.772982012058</v>
      </c>
    </row>
    <row r="1026" spans="1:38" customFormat="1" ht="57.6" x14ac:dyDescent="0.3">
      <c r="A1026" s="140" t="s">
        <v>1445</v>
      </c>
      <c r="B1026" s="140">
        <v>1</v>
      </c>
      <c r="C1026" s="166" t="s">
        <v>836</v>
      </c>
      <c r="D1026" s="140" t="str">
        <f t="shared" si="116"/>
        <v>6</v>
      </c>
      <c r="E1026" s="166" t="s">
        <v>1136</v>
      </c>
      <c r="F1026" s="140">
        <f t="shared" si="117"/>
        <v>3</v>
      </c>
      <c r="G1026" s="140" t="str">
        <f t="shared" si="118"/>
        <v>1.6.3</v>
      </c>
      <c r="H1026" s="166" t="s">
        <v>1693</v>
      </c>
      <c r="I1026" s="166" t="s">
        <v>1633</v>
      </c>
      <c r="J1026" s="166" t="s">
        <v>1634</v>
      </c>
      <c r="K1026" s="166" t="s">
        <v>709</v>
      </c>
      <c r="L1026" s="166">
        <v>35000</v>
      </c>
      <c r="M1026" s="166">
        <v>30</v>
      </c>
      <c r="N1026" s="166">
        <v>10</v>
      </c>
      <c r="O1026" s="164">
        <f t="shared" si="110"/>
        <v>10500000</v>
      </c>
      <c r="P1026" s="166">
        <v>30</v>
      </c>
      <c r="Q1026" s="166">
        <v>10</v>
      </c>
      <c r="R1026" s="164">
        <f>$L1026*'Pivot Objective'!$C$9*P1026*Q1026</f>
        <v>12000671.518499998</v>
      </c>
      <c r="S1026" s="166">
        <v>30</v>
      </c>
      <c r="T1026" s="166">
        <v>10</v>
      </c>
      <c r="U1026" s="164">
        <f>($L1026*'Pivot Objective'!$C$9^2)*S1026*T1026</f>
        <v>13715820.656660672</v>
      </c>
      <c r="V1026" s="166">
        <v>30</v>
      </c>
      <c r="W1026" s="166">
        <v>10</v>
      </c>
      <c r="X1026" s="164">
        <f>($L1026*'Pivot Objective'!$C$9^3)*V1026*W1026</f>
        <v>15676100.791165877</v>
      </c>
      <c r="Y1026" s="166">
        <v>30</v>
      </c>
      <c r="Z1026" s="166">
        <v>10</v>
      </c>
      <c r="AA1026" s="164">
        <f>($L1026*'Pivot Objective'!$C$9^4)*Y1026*Z1026</f>
        <v>17916546.31292187</v>
      </c>
      <c r="AB1026" s="166">
        <v>30</v>
      </c>
      <c r="AC1026" s="166">
        <v>10</v>
      </c>
      <c r="AD1026" s="164">
        <f>($L1026*'Pivot Objective'!$C$9^5)*AB1026*AC1026</f>
        <v>20477198.766415965</v>
      </c>
      <c r="AE1026" s="166">
        <v>30</v>
      </c>
      <c r="AF1026" s="166">
        <v>10</v>
      </c>
      <c r="AG1026" s="164">
        <f>($L1026*'Pivot Objective'!$C$9^6)*AE1026*AF1026</f>
        <v>23403822.477599181</v>
      </c>
      <c r="AH1026" s="166">
        <v>30</v>
      </c>
      <c r="AI1026" s="166">
        <v>10</v>
      </c>
      <c r="AJ1026" s="164">
        <f>($L1026*'Pivot Objective'!$C$9^7)*AH1026*AI1026</f>
        <v>26748722.460090913</v>
      </c>
      <c r="AK1026" s="185">
        <f t="shared" si="111"/>
        <v>140438882.98335448</v>
      </c>
      <c r="AL1026" s="186">
        <f t="shared" si="112"/>
        <v>136348.43008092669</v>
      </c>
    </row>
    <row r="1027" spans="1:38" customFormat="1" ht="57.6" x14ac:dyDescent="0.3">
      <c r="A1027" s="140" t="s">
        <v>1445</v>
      </c>
      <c r="B1027" s="140">
        <v>1</v>
      </c>
      <c r="C1027" s="166" t="s">
        <v>836</v>
      </c>
      <c r="D1027" s="140" t="str">
        <f t="shared" si="116"/>
        <v>6</v>
      </c>
      <c r="E1027" s="166" t="s">
        <v>1136</v>
      </c>
      <c r="F1027" s="140">
        <f t="shared" si="117"/>
        <v>3</v>
      </c>
      <c r="G1027" s="140" t="str">
        <f t="shared" si="118"/>
        <v>1.6.3</v>
      </c>
      <c r="H1027" s="166" t="s">
        <v>1693</v>
      </c>
      <c r="I1027" s="166" t="s">
        <v>1633</v>
      </c>
      <c r="J1027" s="166" t="s">
        <v>1634</v>
      </c>
      <c r="K1027" s="166" t="s">
        <v>716</v>
      </c>
      <c r="L1027" s="166">
        <v>39000</v>
      </c>
      <c r="M1027" s="166">
        <v>30</v>
      </c>
      <c r="N1027" s="166">
        <v>12</v>
      </c>
      <c r="O1027" s="164">
        <f t="shared" ref="O1027:O1090" si="119">$L1027*M1027*N1027</f>
        <v>14040000</v>
      </c>
      <c r="P1027" s="166">
        <v>30</v>
      </c>
      <c r="Q1027" s="166">
        <v>12</v>
      </c>
      <c r="R1027" s="164">
        <f>$L1027*'Pivot Objective'!$C$9*P1027*Q1027</f>
        <v>16046612.201879997</v>
      </c>
      <c r="S1027" s="166">
        <v>30</v>
      </c>
      <c r="T1027" s="166">
        <v>12</v>
      </c>
      <c r="U1027" s="164">
        <f>($L1027*'Pivot Objective'!$C$9^2)*S1027*T1027</f>
        <v>18340011.620906271</v>
      </c>
      <c r="V1027" s="166">
        <v>30</v>
      </c>
      <c r="W1027" s="166">
        <v>12</v>
      </c>
      <c r="X1027" s="164">
        <f>($L1027*'Pivot Objective'!$C$9^3)*V1027*W1027</f>
        <v>20961186.200758941</v>
      </c>
      <c r="Y1027" s="166">
        <v>30</v>
      </c>
      <c r="Z1027" s="166">
        <v>12</v>
      </c>
      <c r="AA1027" s="164">
        <f>($L1027*'Pivot Objective'!$C$9^4)*Y1027*Z1027</f>
        <v>23956981.92699267</v>
      </c>
      <c r="AB1027" s="166">
        <v>30</v>
      </c>
      <c r="AC1027" s="166">
        <v>12</v>
      </c>
      <c r="AD1027" s="164">
        <f>($L1027*'Pivot Objective'!$C$9^5)*AB1027*AC1027</f>
        <v>27380940.064807635</v>
      </c>
      <c r="AE1027" s="166">
        <v>30</v>
      </c>
      <c r="AF1027" s="166">
        <v>12</v>
      </c>
      <c r="AG1027" s="164">
        <f>($L1027*'Pivot Objective'!$C$9^6)*AE1027*AF1027</f>
        <v>31294254.055761192</v>
      </c>
      <c r="AH1027" s="166">
        <v>30</v>
      </c>
      <c r="AI1027" s="166">
        <v>12</v>
      </c>
      <c r="AJ1027" s="164">
        <f>($L1027*'Pivot Objective'!$C$9^7)*AH1027*AI1027</f>
        <v>35766863.17520728</v>
      </c>
      <c r="AK1027" s="185">
        <f t="shared" ref="AK1027:AK1090" si="120">O1027+R1027+U1027+X1027+AA1027+AD1027+AG1027+AJ1027</f>
        <v>187786849.24631399</v>
      </c>
      <c r="AL1027" s="186">
        <f t="shared" ref="AL1027:AL1090" si="121">AK1027/$AP$2</f>
        <v>182317.32936535339</v>
      </c>
    </row>
    <row r="1028" spans="1:38" customFormat="1" ht="57.6" x14ac:dyDescent="0.3">
      <c r="A1028" s="140" t="s">
        <v>1445</v>
      </c>
      <c r="B1028" s="140">
        <v>1</v>
      </c>
      <c r="C1028" s="166" t="s">
        <v>836</v>
      </c>
      <c r="D1028" s="140" t="str">
        <f t="shared" si="116"/>
        <v>6</v>
      </c>
      <c r="E1028" s="166" t="s">
        <v>1136</v>
      </c>
      <c r="F1028" s="140">
        <f t="shared" si="117"/>
        <v>3</v>
      </c>
      <c r="G1028" s="140" t="str">
        <f t="shared" si="118"/>
        <v>1.6.3</v>
      </c>
      <c r="H1028" s="166" t="s">
        <v>1693</v>
      </c>
      <c r="I1028" s="166" t="s">
        <v>1633</v>
      </c>
      <c r="J1028" s="166" t="s">
        <v>1634</v>
      </c>
      <c r="K1028" s="166" t="s">
        <v>712</v>
      </c>
      <c r="L1028" s="166">
        <v>285.60000000000002</v>
      </c>
      <c r="M1028" s="166">
        <v>2700</v>
      </c>
      <c r="N1028" s="166">
        <v>2</v>
      </c>
      <c r="O1028" s="164">
        <f t="shared" si="119"/>
        <v>1542240.0000000002</v>
      </c>
      <c r="P1028" s="166">
        <v>2700</v>
      </c>
      <c r="Q1028" s="166">
        <v>2</v>
      </c>
      <c r="R1028" s="164">
        <f>$L1028*'Pivot Objective'!$C$9*P1028*Q1028</f>
        <v>1762658.6326372798</v>
      </c>
      <c r="S1028" s="166">
        <v>2700</v>
      </c>
      <c r="T1028" s="166">
        <v>2</v>
      </c>
      <c r="U1028" s="164">
        <f>($L1028*'Pivot Objective'!$C$9^2)*S1028*T1028</f>
        <v>2014579.7380503202</v>
      </c>
      <c r="V1028" s="166">
        <v>2700</v>
      </c>
      <c r="W1028" s="166">
        <v>2</v>
      </c>
      <c r="X1028" s="164">
        <f>($L1028*'Pivot Objective'!$C$9^3)*V1028*W1028</f>
        <v>2302505.6842064443</v>
      </c>
      <c r="Y1028" s="166">
        <v>2700</v>
      </c>
      <c r="Z1028" s="166">
        <v>2</v>
      </c>
      <c r="AA1028" s="164">
        <f>($L1028*'Pivot Objective'!$C$9^4)*Y1028*Z1028</f>
        <v>2631582.3224419644</v>
      </c>
      <c r="AB1028" s="166">
        <v>2700</v>
      </c>
      <c r="AC1028" s="166">
        <v>2</v>
      </c>
      <c r="AD1028" s="164">
        <f>($L1028*'Pivot Objective'!$C$9^5)*AB1028*AC1028</f>
        <v>3007690.9548111772</v>
      </c>
      <c r="AE1028" s="166">
        <v>2700</v>
      </c>
      <c r="AF1028" s="166">
        <v>2</v>
      </c>
      <c r="AG1028" s="164">
        <f>($L1028*'Pivot Objective'!$C$9^6)*AE1028*AF1028</f>
        <v>3437553.4455097681</v>
      </c>
      <c r="AH1028" s="166">
        <v>2700</v>
      </c>
      <c r="AI1028" s="166">
        <v>2</v>
      </c>
      <c r="AJ1028" s="164">
        <f>($L1028*'Pivot Objective'!$C$9^7)*AH1028*AI1028</f>
        <v>3928852.3549381536</v>
      </c>
      <c r="AK1028" s="185">
        <f t="shared" si="120"/>
        <v>20627663.132595111</v>
      </c>
      <c r="AL1028" s="186">
        <f t="shared" si="121"/>
        <v>20026.857410286517</v>
      </c>
    </row>
    <row r="1029" spans="1:38" customFormat="1" ht="57.6" x14ac:dyDescent="0.3">
      <c r="A1029" s="140" t="s">
        <v>1445</v>
      </c>
      <c r="B1029" s="140">
        <v>1</v>
      </c>
      <c r="C1029" s="166" t="s">
        <v>836</v>
      </c>
      <c r="D1029" s="140" t="str">
        <f t="shared" si="116"/>
        <v>6</v>
      </c>
      <c r="E1029" s="166" t="s">
        <v>1136</v>
      </c>
      <c r="F1029" s="140">
        <f t="shared" si="117"/>
        <v>3</v>
      </c>
      <c r="G1029" s="140" t="str">
        <f t="shared" si="118"/>
        <v>1.6.3</v>
      </c>
      <c r="H1029" s="166" t="s">
        <v>1693</v>
      </c>
      <c r="I1029" s="166" t="s">
        <v>1633</v>
      </c>
      <c r="J1029" s="166" t="s">
        <v>1634</v>
      </c>
      <c r="K1029" s="166" t="s">
        <v>1326</v>
      </c>
      <c r="L1029" s="166">
        <v>285.60000000000002</v>
      </c>
      <c r="M1029" s="166">
        <v>1000</v>
      </c>
      <c r="N1029" s="166">
        <v>10</v>
      </c>
      <c r="O1029" s="164">
        <f t="shared" si="119"/>
        <v>2856000</v>
      </c>
      <c r="P1029" s="166">
        <v>1000</v>
      </c>
      <c r="Q1029" s="166">
        <v>10</v>
      </c>
      <c r="R1029" s="164">
        <f>$L1029*'Pivot Objective'!$C$9*P1029*Q1029</f>
        <v>3264182.6530320002</v>
      </c>
      <c r="S1029" s="166">
        <v>1000</v>
      </c>
      <c r="T1029" s="166">
        <v>10</v>
      </c>
      <c r="U1029" s="164">
        <f>($L1029*'Pivot Objective'!$C$9^2)*S1029*T1029</f>
        <v>3730703.2186117042</v>
      </c>
      <c r="V1029" s="166">
        <v>1000</v>
      </c>
      <c r="W1029" s="166">
        <v>10</v>
      </c>
      <c r="X1029" s="164">
        <f>($L1029*'Pivot Objective'!$C$9^3)*V1029*W1029</f>
        <v>4263899.4151971191</v>
      </c>
      <c r="Y1029" s="166">
        <v>1000</v>
      </c>
      <c r="Z1029" s="166">
        <v>10</v>
      </c>
      <c r="AA1029" s="164">
        <f>($L1029*'Pivot Objective'!$C$9^4)*Y1029*Z1029</f>
        <v>4873300.5971147493</v>
      </c>
      <c r="AB1029" s="166">
        <v>1000</v>
      </c>
      <c r="AC1029" s="166">
        <v>10</v>
      </c>
      <c r="AD1029" s="164">
        <f>($L1029*'Pivot Objective'!$C$9^5)*AB1029*AC1029</f>
        <v>5569798.0644651428</v>
      </c>
      <c r="AE1029" s="166">
        <v>1000</v>
      </c>
      <c r="AF1029" s="166">
        <v>10</v>
      </c>
      <c r="AG1029" s="164">
        <f>($L1029*'Pivot Objective'!$C$9^6)*AE1029*AF1029</f>
        <v>6365839.7139069773</v>
      </c>
      <c r="AH1029" s="166">
        <v>1000</v>
      </c>
      <c r="AI1029" s="166">
        <v>10</v>
      </c>
      <c r="AJ1029" s="164">
        <f>($L1029*'Pivot Objective'!$C$9^7)*AH1029*AI1029</f>
        <v>7275652.5091447299</v>
      </c>
      <c r="AK1029" s="185">
        <f t="shared" si="120"/>
        <v>38199376.171472423</v>
      </c>
      <c r="AL1029" s="186">
        <f t="shared" si="121"/>
        <v>37086.772982012058</v>
      </c>
    </row>
    <row r="1030" spans="1:38" customFormat="1" ht="57.6" x14ac:dyDescent="0.3">
      <c r="A1030" s="140" t="s">
        <v>1445</v>
      </c>
      <c r="B1030" s="140">
        <v>1</v>
      </c>
      <c r="C1030" s="166" t="s">
        <v>836</v>
      </c>
      <c r="D1030" s="140" t="str">
        <f t="shared" si="116"/>
        <v>6</v>
      </c>
      <c r="E1030" s="166" t="s">
        <v>1136</v>
      </c>
      <c r="F1030" s="140">
        <f t="shared" si="117"/>
        <v>4</v>
      </c>
      <c r="G1030" s="140" t="str">
        <f t="shared" si="118"/>
        <v>1.6.4</v>
      </c>
      <c r="H1030" s="166" t="s">
        <v>1635</v>
      </c>
      <c r="I1030" s="166" t="s">
        <v>1640</v>
      </c>
      <c r="J1030" s="166" t="s">
        <v>1636</v>
      </c>
      <c r="K1030" s="166" t="s">
        <v>841</v>
      </c>
      <c r="L1030" s="166">
        <v>0</v>
      </c>
      <c r="M1030" s="166"/>
      <c r="N1030" s="166"/>
      <c r="O1030" s="164">
        <f t="shared" si="119"/>
        <v>0</v>
      </c>
      <c r="P1030" s="166"/>
      <c r="Q1030" s="166"/>
      <c r="R1030" s="164">
        <f>$L1030*'Pivot Objective'!$C$9*P1030*Q1030</f>
        <v>0</v>
      </c>
      <c r="S1030" s="166"/>
      <c r="T1030" s="166"/>
      <c r="U1030" s="164">
        <f>($L1030*'Pivot Objective'!$C$9^2)*S1030*T1030</f>
        <v>0</v>
      </c>
      <c r="V1030" s="166"/>
      <c r="W1030" s="166"/>
      <c r="X1030" s="164">
        <f>($L1030*'Pivot Objective'!$C$9^3)*V1030*W1030</f>
        <v>0</v>
      </c>
      <c r="Y1030" s="166"/>
      <c r="Z1030" s="166"/>
      <c r="AA1030" s="164">
        <f>($L1030*'Pivot Objective'!$C$9^4)*Y1030*Z1030</f>
        <v>0</v>
      </c>
      <c r="AB1030" s="166"/>
      <c r="AC1030" s="166"/>
      <c r="AD1030" s="164">
        <f>($L1030*'Pivot Objective'!$C$9^5)*AB1030*AC1030</f>
        <v>0</v>
      </c>
      <c r="AE1030" s="166"/>
      <c r="AF1030" s="166"/>
      <c r="AG1030" s="164">
        <f>($L1030*'Pivot Objective'!$C$9^6)*AE1030*AF1030</f>
        <v>0</v>
      </c>
      <c r="AH1030" s="166"/>
      <c r="AI1030" s="166"/>
      <c r="AJ1030" s="164">
        <f>($L1030*'Pivot Objective'!$C$9^7)*AH1030*AI1030</f>
        <v>0</v>
      </c>
      <c r="AK1030" s="185">
        <f t="shared" si="120"/>
        <v>0</v>
      </c>
      <c r="AL1030" s="186">
        <f t="shared" si="121"/>
        <v>0</v>
      </c>
    </row>
    <row r="1031" spans="1:38" customFormat="1" ht="57.6" x14ac:dyDescent="0.3">
      <c r="A1031" s="140" t="s">
        <v>1445</v>
      </c>
      <c r="B1031" s="140">
        <v>1</v>
      </c>
      <c r="C1031" s="166" t="s">
        <v>836</v>
      </c>
      <c r="D1031" s="140" t="str">
        <f t="shared" si="116"/>
        <v>6</v>
      </c>
      <c r="E1031" s="166" t="s">
        <v>1136</v>
      </c>
      <c r="F1031" s="140">
        <f t="shared" si="117"/>
        <v>4</v>
      </c>
      <c r="G1031" s="140" t="str">
        <f t="shared" si="118"/>
        <v>1.6.4</v>
      </c>
      <c r="H1031" s="166" t="s">
        <v>1635</v>
      </c>
      <c r="I1031" s="166" t="s">
        <v>1640</v>
      </c>
      <c r="J1031" s="166" t="s">
        <v>1637</v>
      </c>
      <c r="K1031" s="166" t="s">
        <v>707</v>
      </c>
      <c r="L1031" s="166">
        <v>391991.03749999998</v>
      </c>
      <c r="M1031" s="166">
        <v>2</v>
      </c>
      <c r="N1031" s="166">
        <v>2</v>
      </c>
      <c r="O1031" s="164">
        <f t="shared" si="119"/>
        <v>1567964.15</v>
      </c>
      <c r="P1031" s="166">
        <v>2</v>
      </c>
      <c r="Q1031" s="166">
        <v>2</v>
      </c>
      <c r="R1031" s="164">
        <f>$L1031*'Pivot Objective'!$C$9*P1031*Q1031</f>
        <v>1792059.3063746723</v>
      </c>
      <c r="S1031" s="166"/>
      <c r="T1031" s="166"/>
      <c r="U1031" s="164">
        <f>($L1031*'Pivot Objective'!$C$9^2)*S1031*T1031</f>
        <v>0</v>
      </c>
      <c r="V1031" s="166"/>
      <c r="W1031" s="166"/>
      <c r="X1031" s="164">
        <f>($L1031*'Pivot Objective'!$C$9^3)*V1031*W1031</f>
        <v>0</v>
      </c>
      <c r="Y1031" s="166"/>
      <c r="Z1031" s="166"/>
      <c r="AA1031" s="164">
        <f>($L1031*'Pivot Objective'!$C$9^4)*Y1031*Z1031</f>
        <v>0</v>
      </c>
      <c r="AB1031" s="166"/>
      <c r="AC1031" s="166"/>
      <c r="AD1031" s="164">
        <f>($L1031*'Pivot Objective'!$C$9^5)*AB1031*AC1031</f>
        <v>0</v>
      </c>
      <c r="AE1031" s="166">
        <v>2</v>
      </c>
      <c r="AF1031" s="166">
        <v>2</v>
      </c>
      <c r="AG1031" s="164">
        <f>($L1031*'Pivot Objective'!$C$9^6)*AE1031*AF1031</f>
        <v>3494890.915984733</v>
      </c>
      <c r="AH1031" s="166"/>
      <c r="AI1031" s="166"/>
      <c r="AJ1031" s="164">
        <f>($L1031*'Pivot Objective'!$C$9^7)*AH1031*AI1031</f>
        <v>0</v>
      </c>
      <c r="AK1031" s="185">
        <f t="shared" si="120"/>
        <v>6854914.3723594053</v>
      </c>
      <c r="AL1031" s="186">
        <f t="shared" si="121"/>
        <v>6655.2566721935973</v>
      </c>
    </row>
    <row r="1032" spans="1:38" customFormat="1" ht="57.6" x14ac:dyDescent="0.3">
      <c r="A1032" s="140" t="s">
        <v>1445</v>
      </c>
      <c r="B1032" s="140">
        <v>1</v>
      </c>
      <c r="C1032" s="166" t="s">
        <v>836</v>
      </c>
      <c r="D1032" s="140" t="str">
        <f t="shared" si="116"/>
        <v>6</v>
      </c>
      <c r="E1032" s="166" t="s">
        <v>1136</v>
      </c>
      <c r="F1032" s="140">
        <f t="shared" si="117"/>
        <v>4</v>
      </c>
      <c r="G1032" s="140" t="str">
        <f t="shared" si="118"/>
        <v>1.6.4</v>
      </c>
      <c r="H1032" s="166" t="s">
        <v>1635</v>
      </c>
      <c r="I1032" s="166" t="s">
        <v>1640</v>
      </c>
      <c r="J1032" s="166" t="s">
        <v>1637</v>
      </c>
      <c r="K1032" s="166" t="s">
        <v>708</v>
      </c>
      <c r="L1032" s="166">
        <v>515000</v>
      </c>
      <c r="M1032" s="166">
        <v>1</v>
      </c>
      <c r="N1032" s="166">
        <v>25</v>
      </c>
      <c r="O1032" s="164">
        <f t="shared" si="119"/>
        <v>12875000</v>
      </c>
      <c r="P1032" s="166">
        <v>1</v>
      </c>
      <c r="Q1032" s="166">
        <v>25</v>
      </c>
      <c r="R1032" s="164">
        <f>$L1032*'Pivot Objective'!$C$9*P1032*Q1032</f>
        <v>14715109.123875</v>
      </c>
      <c r="S1032" s="166"/>
      <c r="T1032" s="166"/>
      <c r="U1032" s="164">
        <f>($L1032*'Pivot Objective'!$C$9^2)*S1032*T1032</f>
        <v>0</v>
      </c>
      <c r="V1032" s="166"/>
      <c r="W1032" s="166"/>
      <c r="X1032" s="164">
        <f>($L1032*'Pivot Objective'!$C$9^3)*V1032*W1032</f>
        <v>0</v>
      </c>
      <c r="Y1032" s="166"/>
      <c r="Z1032" s="166"/>
      <c r="AA1032" s="164">
        <f>($L1032*'Pivot Objective'!$C$9^4)*Y1032*Z1032</f>
        <v>0</v>
      </c>
      <c r="AB1032" s="166"/>
      <c r="AC1032" s="166"/>
      <c r="AD1032" s="164">
        <f>($L1032*'Pivot Objective'!$C$9^5)*AB1032*AC1032</f>
        <v>0</v>
      </c>
      <c r="AE1032" s="166">
        <v>1</v>
      </c>
      <c r="AF1032" s="166">
        <v>25</v>
      </c>
      <c r="AG1032" s="164">
        <f>($L1032*'Pivot Objective'!$C$9^6)*AE1032*AF1032</f>
        <v>28697544.228484713</v>
      </c>
      <c r="AH1032" s="166"/>
      <c r="AI1032" s="166"/>
      <c r="AJ1032" s="164">
        <f>($L1032*'Pivot Objective'!$C$9^7)*AH1032*AI1032</f>
        <v>0</v>
      </c>
      <c r="AK1032" s="185">
        <f t="shared" si="120"/>
        <v>56287653.352359712</v>
      </c>
      <c r="AL1032" s="186">
        <f t="shared" si="121"/>
        <v>54648.207138213314</v>
      </c>
    </row>
    <row r="1033" spans="1:38" customFormat="1" ht="57.6" x14ac:dyDescent="0.3">
      <c r="A1033" s="140" t="s">
        <v>1445</v>
      </c>
      <c r="B1033" s="140">
        <v>1</v>
      </c>
      <c r="C1033" s="166" t="s">
        <v>836</v>
      </c>
      <c r="D1033" s="140" t="str">
        <f t="shared" si="116"/>
        <v>6</v>
      </c>
      <c r="E1033" s="166" t="s">
        <v>1136</v>
      </c>
      <c r="F1033" s="140">
        <f t="shared" si="117"/>
        <v>4</v>
      </c>
      <c r="G1033" s="140" t="str">
        <f t="shared" si="118"/>
        <v>1.6.4</v>
      </c>
      <c r="H1033" s="166" t="s">
        <v>1635</v>
      </c>
      <c r="I1033" s="166" t="s">
        <v>1640</v>
      </c>
      <c r="J1033" s="166" t="s">
        <v>177</v>
      </c>
      <c r="K1033" s="166" t="s">
        <v>709</v>
      </c>
      <c r="L1033" s="166">
        <v>35000</v>
      </c>
      <c r="M1033" s="166">
        <v>100</v>
      </c>
      <c r="N1033" s="166">
        <v>3</v>
      </c>
      <c r="O1033" s="164">
        <f t="shared" si="119"/>
        <v>10500000</v>
      </c>
      <c r="P1033" s="166">
        <v>100</v>
      </c>
      <c r="Q1033" s="166">
        <v>3</v>
      </c>
      <c r="R1033" s="164">
        <f>$L1033*'Pivot Objective'!$C$9*P1033*Q1033</f>
        <v>12000671.518499998</v>
      </c>
      <c r="S1033" s="166"/>
      <c r="T1033" s="166"/>
      <c r="U1033" s="164">
        <f>($L1033*'Pivot Objective'!$C$9^2)*S1033*T1033</f>
        <v>0</v>
      </c>
      <c r="V1033" s="166"/>
      <c r="W1033" s="166"/>
      <c r="X1033" s="164">
        <f>($L1033*'Pivot Objective'!$C$9^3)*V1033*W1033</f>
        <v>0</v>
      </c>
      <c r="Y1033" s="166"/>
      <c r="Z1033" s="166"/>
      <c r="AA1033" s="164">
        <f>($L1033*'Pivot Objective'!$C$9^4)*Y1033*Z1033</f>
        <v>0</v>
      </c>
      <c r="AB1033" s="166"/>
      <c r="AC1033" s="166"/>
      <c r="AD1033" s="164">
        <f>($L1033*'Pivot Objective'!$C$9^5)*AB1033*AC1033</f>
        <v>0</v>
      </c>
      <c r="AE1033" s="166">
        <v>100</v>
      </c>
      <c r="AF1033" s="166">
        <v>3</v>
      </c>
      <c r="AG1033" s="164">
        <f>($L1033*'Pivot Objective'!$C$9^6)*AE1033*AF1033</f>
        <v>23403822.477599181</v>
      </c>
      <c r="AH1033" s="166"/>
      <c r="AI1033" s="166"/>
      <c r="AJ1033" s="164">
        <f>($L1033*'Pivot Objective'!$C$9^7)*AH1033*AI1033</f>
        <v>0</v>
      </c>
      <c r="AK1033" s="185">
        <f t="shared" si="120"/>
        <v>45904493.996099181</v>
      </c>
      <c r="AL1033" s="186">
        <f t="shared" si="121"/>
        <v>44567.469899125419</v>
      </c>
    </row>
    <row r="1034" spans="1:38" customFormat="1" ht="57.6" x14ac:dyDescent="0.3">
      <c r="A1034" s="140" t="s">
        <v>1445</v>
      </c>
      <c r="B1034" s="140">
        <v>1</v>
      </c>
      <c r="C1034" s="166" t="s">
        <v>836</v>
      </c>
      <c r="D1034" s="140" t="str">
        <f t="shared" si="116"/>
        <v>6</v>
      </c>
      <c r="E1034" s="166" t="s">
        <v>1136</v>
      </c>
      <c r="F1034" s="140">
        <f t="shared" si="117"/>
        <v>4</v>
      </c>
      <c r="G1034" s="140" t="str">
        <f t="shared" si="118"/>
        <v>1.6.4</v>
      </c>
      <c r="H1034" s="166" t="s">
        <v>1635</v>
      </c>
      <c r="I1034" s="166" t="s">
        <v>1640</v>
      </c>
      <c r="J1034" s="166" t="s">
        <v>177</v>
      </c>
      <c r="K1034" s="166" t="s">
        <v>716</v>
      </c>
      <c r="L1034" s="166">
        <v>39000</v>
      </c>
      <c r="M1034" s="166">
        <v>58</v>
      </c>
      <c r="N1034" s="166">
        <v>4</v>
      </c>
      <c r="O1034" s="164">
        <f t="shared" si="119"/>
        <v>9048000</v>
      </c>
      <c r="P1034" s="166">
        <v>58</v>
      </c>
      <c r="Q1034" s="166">
        <v>4</v>
      </c>
      <c r="R1034" s="164">
        <f>$L1034*'Pivot Objective'!$C$9*P1034*Q1034</f>
        <v>10341150.085655998</v>
      </c>
      <c r="S1034" s="166"/>
      <c r="T1034" s="166"/>
      <c r="U1034" s="164">
        <f>($L1034*'Pivot Objective'!$C$9^2)*S1034*T1034</f>
        <v>0</v>
      </c>
      <c r="V1034" s="166"/>
      <c r="W1034" s="166"/>
      <c r="X1034" s="164">
        <f>($L1034*'Pivot Objective'!$C$9^3)*V1034*W1034</f>
        <v>0</v>
      </c>
      <c r="Y1034" s="166"/>
      <c r="Z1034" s="166"/>
      <c r="AA1034" s="164">
        <f>($L1034*'Pivot Objective'!$C$9^4)*Y1034*Z1034</f>
        <v>0</v>
      </c>
      <c r="AB1034" s="166"/>
      <c r="AC1034" s="166"/>
      <c r="AD1034" s="164">
        <f>($L1034*'Pivot Objective'!$C$9^5)*AB1034*AC1034</f>
        <v>0</v>
      </c>
      <c r="AE1034" s="166">
        <v>58</v>
      </c>
      <c r="AF1034" s="166">
        <v>4</v>
      </c>
      <c r="AG1034" s="164">
        <f>($L1034*'Pivot Objective'!$C$9^6)*AE1034*AF1034</f>
        <v>20167408.169268325</v>
      </c>
      <c r="AH1034" s="166"/>
      <c r="AI1034" s="166"/>
      <c r="AJ1034" s="164">
        <f>($L1034*'Pivot Objective'!$C$9^7)*AH1034*AI1034</f>
        <v>0</v>
      </c>
      <c r="AK1034" s="185">
        <f t="shared" si="120"/>
        <v>39556558.254924327</v>
      </c>
      <c r="AL1034" s="186">
        <f t="shared" si="121"/>
        <v>38404.425490217793</v>
      </c>
    </row>
    <row r="1035" spans="1:38" customFormat="1" ht="57.6" x14ac:dyDescent="0.3">
      <c r="A1035" s="140" t="s">
        <v>1445</v>
      </c>
      <c r="B1035" s="140">
        <v>1</v>
      </c>
      <c r="C1035" s="166" t="s">
        <v>836</v>
      </c>
      <c r="D1035" s="140" t="str">
        <f t="shared" si="116"/>
        <v>6</v>
      </c>
      <c r="E1035" s="166" t="s">
        <v>1136</v>
      </c>
      <c r="F1035" s="140">
        <f t="shared" si="117"/>
        <v>4</v>
      </c>
      <c r="G1035" s="140" t="str">
        <f t="shared" si="118"/>
        <v>1.6.4</v>
      </c>
      <c r="H1035" s="166" t="s">
        <v>1635</v>
      </c>
      <c r="I1035" s="166" t="s">
        <v>1640</v>
      </c>
      <c r="J1035" s="166" t="s">
        <v>177</v>
      </c>
      <c r="K1035" s="166" t="s">
        <v>1638</v>
      </c>
      <c r="L1035" s="166">
        <v>285.60000000000002</v>
      </c>
      <c r="M1035" s="166">
        <v>17376</v>
      </c>
      <c r="N1035" s="166">
        <v>1</v>
      </c>
      <c r="O1035" s="164">
        <f t="shared" si="119"/>
        <v>4962585.6000000006</v>
      </c>
      <c r="P1035" s="166">
        <v>17376</v>
      </c>
      <c r="Q1035" s="166">
        <v>1</v>
      </c>
      <c r="R1035" s="164">
        <f>$L1035*'Pivot Objective'!$C$9*P1035*Q1035</f>
        <v>5671843.7779084025</v>
      </c>
      <c r="S1035" s="166"/>
      <c r="T1035" s="166"/>
      <c r="U1035" s="164">
        <f>($L1035*'Pivot Objective'!$C$9^2)*S1035*T1035</f>
        <v>0</v>
      </c>
      <c r="V1035" s="166"/>
      <c r="W1035" s="166"/>
      <c r="X1035" s="164">
        <f>($L1035*'Pivot Objective'!$C$9^3)*V1035*W1035</f>
        <v>0</v>
      </c>
      <c r="Y1035" s="166"/>
      <c r="Z1035" s="166"/>
      <c r="AA1035" s="164">
        <f>($L1035*'Pivot Objective'!$C$9^4)*Y1035*Z1035</f>
        <v>0</v>
      </c>
      <c r="AB1035" s="166"/>
      <c r="AC1035" s="166"/>
      <c r="AD1035" s="164">
        <f>($L1035*'Pivot Objective'!$C$9^5)*AB1035*AC1035</f>
        <v>0</v>
      </c>
      <c r="AE1035" s="166">
        <v>17376</v>
      </c>
      <c r="AF1035" s="166">
        <v>1</v>
      </c>
      <c r="AG1035" s="164">
        <f>($L1035*'Pivot Objective'!$C$9^6)*AE1035*AF1035</f>
        <v>11061283.086884765</v>
      </c>
      <c r="AH1035" s="166"/>
      <c r="AI1035" s="166"/>
      <c r="AJ1035" s="164">
        <f>($L1035*'Pivot Objective'!$C$9^7)*AH1035*AI1035</f>
        <v>0</v>
      </c>
      <c r="AK1035" s="185">
        <f t="shared" si="120"/>
        <v>21695712.464793168</v>
      </c>
      <c r="AL1035" s="186">
        <f t="shared" si="121"/>
        <v>21063.798509507931</v>
      </c>
    </row>
    <row r="1036" spans="1:38" customFormat="1" ht="57.6" x14ac:dyDescent="0.3">
      <c r="A1036" s="140" t="s">
        <v>1445</v>
      </c>
      <c r="B1036" s="140">
        <v>1</v>
      </c>
      <c r="C1036" s="166" t="s">
        <v>836</v>
      </c>
      <c r="D1036" s="140" t="str">
        <f t="shared" si="116"/>
        <v>6</v>
      </c>
      <c r="E1036" s="166" t="s">
        <v>1136</v>
      </c>
      <c r="F1036" s="140">
        <f t="shared" si="117"/>
        <v>4</v>
      </c>
      <c r="G1036" s="140" t="str">
        <f t="shared" si="118"/>
        <v>1.6.4</v>
      </c>
      <c r="H1036" s="166" t="s">
        <v>1635</v>
      </c>
      <c r="I1036" s="166" t="s">
        <v>1640</v>
      </c>
      <c r="J1036" s="166" t="s">
        <v>177</v>
      </c>
      <c r="K1036" s="166" t="s">
        <v>1639</v>
      </c>
      <c r="L1036" s="166">
        <v>285.60000000000002</v>
      </c>
      <c r="M1036" s="166">
        <v>4350</v>
      </c>
      <c r="N1036" s="166">
        <v>1</v>
      </c>
      <c r="O1036" s="164">
        <f t="shared" si="119"/>
        <v>1242360</v>
      </c>
      <c r="P1036" s="166">
        <v>4350</v>
      </c>
      <c r="Q1036" s="166">
        <v>1</v>
      </c>
      <c r="R1036" s="164">
        <f>$L1036*'Pivot Objective'!$C$9*P1036*Q1036</f>
        <v>1419919.4540689199</v>
      </c>
      <c r="S1036" s="166"/>
      <c r="T1036" s="166"/>
      <c r="U1036" s="164">
        <f>($L1036*'Pivot Objective'!$C$9^2)*S1036*T1036</f>
        <v>0</v>
      </c>
      <c r="V1036" s="166"/>
      <c r="W1036" s="166"/>
      <c r="X1036" s="164">
        <f>($L1036*'Pivot Objective'!$C$9^3)*V1036*W1036</f>
        <v>0</v>
      </c>
      <c r="Y1036" s="166"/>
      <c r="Z1036" s="166"/>
      <c r="AA1036" s="164">
        <f>($L1036*'Pivot Objective'!$C$9^4)*Y1036*Z1036</f>
        <v>0</v>
      </c>
      <c r="AB1036" s="166"/>
      <c r="AC1036" s="166"/>
      <c r="AD1036" s="164">
        <f>($L1036*'Pivot Objective'!$C$9^5)*AB1036*AC1036</f>
        <v>0</v>
      </c>
      <c r="AE1036" s="166">
        <v>4350</v>
      </c>
      <c r="AF1036" s="166">
        <v>1</v>
      </c>
      <c r="AG1036" s="164">
        <f>($L1036*'Pivot Objective'!$C$9^6)*AE1036*AF1036</f>
        <v>2769140.2755495356</v>
      </c>
      <c r="AH1036" s="166"/>
      <c r="AI1036" s="166"/>
      <c r="AJ1036" s="164">
        <f>($L1036*'Pivot Objective'!$C$9^7)*AH1036*AI1036</f>
        <v>0</v>
      </c>
      <c r="AK1036" s="185">
        <f t="shared" si="120"/>
        <v>5431419.7296184553</v>
      </c>
      <c r="AL1036" s="186">
        <f t="shared" si="121"/>
        <v>5273.22303846452</v>
      </c>
    </row>
    <row r="1037" spans="1:38" customFormat="1" ht="86.4" x14ac:dyDescent="0.3">
      <c r="A1037" s="140" t="s">
        <v>1480</v>
      </c>
      <c r="B1037" s="140">
        <v>2</v>
      </c>
      <c r="C1037" s="166" t="s">
        <v>983</v>
      </c>
      <c r="D1037" s="140" t="str">
        <f t="shared" si="114"/>
        <v>1</v>
      </c>
      <c r="E1037" s="166" t="s">
        <v>1176</v>
      </c>
      <c r="F1037" s="140">
        <v>1</v>
      </c>
      <c r="G1037" s="140" t="str">
        <f t="shared" si="115"/>
        <v>2.1.1</v>
      </c>
      <c r="H1037" s="166" t="s">
        <v>1711</v>
      </c>
      <c r="I1037" s="166" t="s">
        <v>1178</v>
      </c>
      <c r="J1037" s="166" t="s">
        <v>1179</v>
      </c>
      <c r="K1037" s="166" t="s">
        <v>709</v>
      </c>
      <c r="L1037" s="177">
        <v>35000</v>
      </c>
      <c r="M1037" s="166">
        <v>40</v>
      </c>
      <c r="N1037" s="166">
        <v>5</v>
      </c>
      <c r="O1037" s="164">
        <f t="shared" si="119"/>
        <v>7000000</v>
      </c>
      <c r="P1037" s="166">
        <v>40</v>
      </c>
      <c r="Q1037" s="166">
        <v>5</v>
      </c>
      <c r="R1037" s="164">
        <f>$L1037*'Pivot Objective'!$C$9*P1037*Q1037</f>
        <v>8000447.6789999986</v>
      </c>
      <c r="S1037" s="166">
        <v>40</v>
      </c>
      <c r="T1037" s="166">
        <v>5</v>
      </c>
      <c r="U1037" s="164">
        <f>($L1037*'Pivot Objective'!$C$9^2)*S1037*T1037</f>
        <v>9143880.4377737809</v>
      </c>
      <c r="V1037" s="166">
        <v>40</v>
      </c>
      <c r="W1037" s="166">
        <v>5</v>
      </c>
      <c r="X1037" s="164">
        <f>($L1037*'Pivot Objective'!$C$9^3)*V1037*W1037</f>
        <v>10450733.860777251</v>
      </c>
      <c r="Y1037" s="166">
        <v>40</v>
      </c>
      <c r="Z1037" s="166">
        <v>5</v>
      </c>
      <c r="AA1037" s="164">
        <f>($L1037*'Pivot Objective'!$C$9^4)*Y1037*Z1037</f>
        <v>11944364.20861458</v>
      </c>
      <c r="AB1037" s="166">
        <v>40</v>
      </c>
      <c r="AC1037" s="166">
        <v>5</v>
      </c>
      <c r="AD1037" s="164">
        <f>($L1037*'Pivot Objective'!$C$9^5)*AB1037*AC1037</f>
        <v>13651465.844277311</v>
      </c>
      <c r="AE1037" s="166">
        <v>40</v>
      </c>
      <c r="AF1037" s="166">
        <v>5</v>
      </c>
      <c r="AG1037" s="164">
        <f>($L1037*'Pivot Objective'!$C$9^6)*AE1037*AF1037</f>
        <v>15602548.318399454</v>
      </c>
      <c r="AH1037" s="166">
        <v>40</v>
      </c>
      <c r="AI1037" s="166">
        <v>5</v>
      </c>
      <c r="AJ1037" s="164">
        <f>($L1037*'Pivot Objective'!$C$9^7)*AH1037*AI1037</f>
        <v>17832481.640060611</v>
      </c>
      <c r="AK1037" s="185">
        <f t="shared" si="120"/>
        <v>93625921.988902986</v>
      </c>
      <c r="AL1037" s="186">
        <f t="shared" si="121"/>
        <v>90898.953387284448</v>
      </c>
    </row>
    <row r="1038" spans="1:38" customFormat="1" ht="86.4" x14ac:dyDescent="0.3">
      <c r="A1038" s="140" t="s">
        <v>1480</v>
      </c>
      <c r="B1038" s="140">
        <v>2</v>
      </c>
      <c r="C1038" s="166" t="s">
        <v>983</v>
      </c>
      <c r="D1038" s="140" t="str">
        <f t="shared" si="114"/>
        <v>1</v>
      </c>
      <c r="E1038" s="166" t="s">
        <v>1176</v>
      </c>
      <c r="F1038" s="140">
        <f t="shared" ref="F1038:F1069" si="122">IF(H1038=H1037,F1037,F1037+1)</f>
        <v>1</v>
      </c>
      <c r="G1038" s="140" t="str">
        <f t="shared" si="115"/>
        <v>2.1.1</v>
      </c>
      <c r="H1038" s="166" t="s">
        <v>1711</v>
      </c>
      <c r="I1038" s="166" t="s">
        <v>1180</v>
      </c>
      <c r="J1038" s="166" t="s">
        <v>158</v>
      </c>
      <c r="K1038" s="166" t="s">
        <v>841</v>
      </c>
      <c r="L1038" s="177">
        <v>0</v>
      </c>
      <c r="M1038" s="166">
        <v>0</v>
      </c>
      <c r="N1038" s="166">
        <v>0</v>
      </c>
      <c r="O1038" s="164">
        <f t="shared" si="119"/>
        <v>0</v>
      </c>
      <c r="P1038" s="166">
        <v>0</v>
      </c>
      <c r="Q1038" s="166">
        <v>0</v>
      </c>
      <c r="R1038" s="164">
        <f>$L1038*'Pivot Objective'!$C$9*P1038*Q1038</f>
        <v>0</v>
      </c>
      <c r="S1038" s="166">
        <v>0</v>
      </c>
      <c r="T1038" s="166">
        <v>0</v>
      </c>
      <c r="U1038" s="164">
        <f>($L1038*'Pivot Objective'!$C$9^2)*S1038*T1038</f>
        <v>0</v>
      </c>
      <c r="V1038" s="166">
        <v>0</v>
      </c>
      <c r="W1038" s="166">
        <v>0</v>
      </c>
      <c r="X1038" s="164">
        <f>($L1038*'Pivot Objective'!$C$9^3)*V1038*W1038</f>
        <v>0</v>
      </c>
      <c r="Y1038" s="166">
        <v>0</v>
      </c>
      <c r="Z1038" s="166">
        <v>0</v>
      </c>
      <c r="AA1038" s="164">
        <f>($L1038*'Pivot Objective'!$C$9^4)*Y1038*Z1038</f>
        <v>0</v>
      </c>
      <c r="AB1038" s="140"/>
      <c r="AC1038" s="140"/>
      <c r="AD1038" s="164">
        <f>($L1038*'Pivot Objective'!$C$9^5)*AB1038*AC1038</f>
        <v>0</v>
      </c>
      <c r="AE1038" s="140"/>
      <c r="AF1038" s="140"/>
      <c r="AG1038" s="164">
        <f>($L1038*'Pivot Objective'!$C$9^6)*AE1038*AF1038</f>
        <v>0</v>
      </c>
      <c r="AH1038" s="140"/>
      <c r="AI1038" s="140"/>
      <c r="AJ1038" s="164">
        <f>($L1038*'Pivot Objective'!$C$9^7)*AH1038*AI1038</f>
        <v>0</v>
      </c>
      <c r="AK1038" s="185">
        <f t="shared" si="120"/>
        <v>0</v>
      </c>
      <c r="AL1038" s="186">
        <f t="shared" si="121"/>
        <v>0</v>
      </c>
    </row>
    <row r="1039" spans="1:38" customFormat="1" ht="86.4" x14ac:dyDescent="0.3">
      <c r="A1039" s="140" t="s">
        <v>1480</v>
      </c>
      <c r="B1039" s="140">
        <v>2</v>
      </c>
      <c r="C1039" s="166" t="s">
        <v>983</v>
      </c>
      <c r="D1039" s="140" t="str">
        <f t="shared" si="114"/>
        <v>1</v>
      </c>
      <c r="E1039" s="166" t="s">
        <v>1176</v>
      </c>
      <c r="F1039" s="140">
        <f t="shared" si="122"/>
        <v>1</v>
      </c>
      <c r="G1039" s="140" t="str">
        <f t="shared" si="115"/>
        <v>2.1.1</v>
      </c>
      <c r="H1039" s="166" t="s">
        <v>1711</v>
      </c>
      <c r="I1039" s="166" t="s">
        <v>1180</v>
      </c>
      <c r="J1039" s="166" t="s">
        <v>1025</v>
      </c>
      <c r="K1039" s="166" t="s">
        <v>841</v>
      </c>
      <c r="L1039" s="177">
        <v>0</v>
      </c>
      <c r="M1039" s="166">
        <v>0</v>
      </c>
      <c r="N1039" s="166">
        <v>0</v>
      </c>
      <c r="O1039" s="164">
        <f t="shared" si="119"/>
        <v>0</v>
      </c>
      <c r="P1039" s="166">
        <v>0</v>
      </c>
      <c r="Q1039" s="166">
        <v>0</v>
      </c>
      <c r="R1039" s="164">
        <f>$L1039*'Pivot Objective'!$C$9*P1039*Q1039</f>
        <v>0</v>
      </c>
      <c r="S1039" s="166">
        <v>0</v>
      </c>
      <c r="T1039" s="166">
        <v>0</v>
      </c>
      <c r="U1039" s="164">
        <f>($L1039*'Pivot Objective'!$C$9^2)*S1039*T1039</f>
        <v>0</v>
      </c>
      <c r="V1039" s="166">
        <v>0</v>
      </c>
      <c r="W1039" s="166">
        <v>0</v>
      </c>
      <c r="X1039" s="164">
        <f>($L1039*'Pivot Objective'!$C$9^3)*V1039*W1039</f>
        <v>0</v>
      </c>
      <c r="Y1039" s="166">
        <v>0</v>
      </c>
      <c r="Z1039" s="166">
        <v>0</v>
      </c>
      <c r="AA1039" s="164">
        <f>($L1039*'Pivot Objective'!$C$9^4)*Y1039*Z1039</f>
        <v>0</v>
      </c>
      <c r="AB1039" s="140"/>
      <c r="AC1039" s="140"/>
      <c r="AD1039" s="164">
        <f>($L1039*'Pivot Objective'!$C$9^5)*AB1039*AC1039</f>
        <v>0</v>
      </c>
      <c r="AE1039" s="140"/>
      <c r="AF1039" s="140"/>
      <c r="AG1039" s="164">
        <f>($L1039*'Pivot Objective'!$C$9^6)*AE1039*AF1039</f>
        <v>0</v>
      </c>
      <c r="AH1039" s="140"/>
      <c r="AI1039" s="140"/>
      <c r="AJ1039" s="164">
        <f>($L1039*'Pivot Objective'!$C$9^7)*AH1039*AI1039</f>
        <v>0</v>
      </c>
      <c r="AK1039" s="185">
        <f t="shared" si="120"/>
        <v>0</v>
      </c>
      <c r="AL1039" s="186">
        <f t="shared" si="121"/>
        <v>0</v>
      </c>
    </row>
    <row r="1040" spans="1:38" customFormat="1" ht="86.4" x14ac:dyDescent="0.3">
      <c r="A1040" s="140" t="s">
        <v>1480</v>
      </c>
      <c r="B1040" s="140">
        <v>2</v>
      </c>
      <c r="C1040" s="166" t="s">
        <v>983</v>
      </c>
      <c r="D1040" s="140" t="str">
        <f t="shared" si="114"/>
        <v>1</v>
      </c>
      <c r="E1040" s="166" t="s">
        <v>1176</v>
      </c>
      <c r="F1040" s="140">
        <f t="shared" si="122"/>
        <v>1</v>
      </c>
      <c r="G1040" s="140" t="str">
        <f t="shared" si="115"/>
        <v>2.1.1</v>
      </c>
      <c r="H1040" s="166" t="s">
        <v>1711</v>
      </c>
      <c r="I1040" s="166" t="s">
        <v>1180</v>
      </c>
      <c r="J1040" s="166" t="s">
        <v>149</v>
      </c>
      <c r="K1040" s="166" t="s">
        <v>707</v>
      </c>
      <c r="L1040" s="177">
        <v>391991.03749999998</v>
      </c>
      <c r="M1040" s="166">
        <v>2</v>
      </c>
      <c r="N1040" s="166">
        <v>2</v>
      </c>
      <c r="O1040" s="164">
        <f t="shared" si="119"/>
        <v>1567964.15</v>
      </c>
      <c r="P1040" s="166">
        <v>2</v>
      </c>
      <c r="Q1040" s="166">
        <v>2</v>
      </c>
      <c r="R1040" s="164">
        <f>$L1040*'Pivot Objective'!$C$9*P1040*Q1040</f>
        <v>1792059.3063746723</v>
      </c>
      <c r="S1040" s="166">
        <v>2</v>
      </c>
      <c r="T1040" s="166">
        <v>2</v>
      </c>
      <c r="U1040" s="164">
        <f>($L1040*'Pivot Objective'!$C$9^2)*S1040*T1040</f>
        <v>2048182.3883307995</v>
      </c>
      <c r="V1040" s="166">
        <v>2</v>
      </c>
      <c r="W1040" s="166">
        <v>2</v>
      </c>
      <c r="X1040" s="164">
        <f>($L1040*'Pivot Objective'!$C$9^3)*V1040*W1040</f>
        <v>2340910.8621271173</v>
      </c>
      <c r="Y1040" s="166">
        <v>2</v>
      </c>
      <c r="Z1040" s="166">
        <v>2</v>
      </c>
      <c r="AA1040" s="164">
        <f>($L1040*'Pivot Objective'!$C$9^4)*Y1040*Z1040</f>
        <v>2675476.4105215403</v>
      </c>
      <c r="AB1040" s="166">
        <v>2</v>
      </c>
      <c r="AC1040" s="166">
        <v>2</v>
      </c>
      <c r="AD1040" s="164">
        <f>($L1040*'Pivot Objective'!$C$9^5)*AB1040*AC1040</f>
        <v>3057858.4341109009</v>
      </c>
      <c r="AE1040" s="166">
        <v>2</v>
      </c>
      <c r="AF1040" s="166">
        <v>2</v>
      </c>
      <c r="AG1040" s="164">
        <f>($L1040*'Pivot Objective'!$C$9^6)*AE1040*AF1040</f>
        <v>3494890.915984733</v>
      </c>
      <c r="AH1040" s="166">
        <v>2</v>
      </c>
      <c r="AI1040" s="166">
        <v>2</v>
      </c>
      <c r="AJ1040" s="164">
        <f>($L1040*'Pivot Objective'!$C$9^7)*AH1040*AI1040</f>
        <v>3994384.5595926056</v>
      </c>
      <c r="AK1040" s="185">
        <f t="shared" si="120"/>
        <v>20971727.027042367</v>
      </c>
      <c r="AL1040" s="186">
        <f t="shared" si="121"/>
        <v>20360.900026254723</v>
      </c>
    </row>
    <row r="1041" spans="1:38" customFormat="1" ht="86.4" x14ac:dyDescent="0.3">
      <c r="A1041" s="140" t="s">
        <v>1480</v>
      </c>
      <c r="B1041" s="140">
        <v>2</v>
      </c>
      <c r="C1041" s="166" t="s">
        <v>983</v>
      </c>
      <c r="D1041" s="140" t="str">
        <f t="shared" si="114"/>
        <v>1</v>
      </c>
      <c r="E1041" s="166" t="s">
        <v>1176</v>
      </c>
      <c r="F1041" s="140">
        <f t="shared" si="122"/>
        <v>1</v>
      </c>
      <c r="G1041" s="140" t="str">
        <f t="shared" si="115"/>
        <v>2.1.1</v>
      </c>
      <c r="H1041" s="166" t="s">
        <v>1711</v>
      </c>
      <c r="I1041" s="166" t="s">
        <v>1180</v>
      </c>
      <c r="J1041" s="166" t="s">
        <v>149</v>
      </c>
      <c r="K1041" s="166" t="s">
        <v>708</v>
      </c>
      <c r="L1041" s="177">
        <f>500*1022</f>
        <v>511000</v>
      </c>
      <c r="M1041" s="166">
        <v>1</v>
      </c>
      <c r="N1041" s="166">
        <v>25</v>
      </c>
      <c r="O1041" s="164">
        <f t="shared" si="119"/>
        <v>12775000</v>
      </c>
      <c r="P1041" s="166">
        <v>0</v>
      </c>
      <c r="Q1041" s="166">
        <v>0</v>
      </c>
      <c r="R1041" s="164">
        <f>$L1041*'Pivot Objective'!$C$9*P1041*Q1041</f>
        <v>0</v>
      </c>
      <c r="S1041" s="166">
        <v>0</v>
      </c>
      <c r="T1041" s="166">
        <v>0</v>
      </c>
      <c r="U1041" s="164">
        <f>($L1041*'Pivot Objective'!$C$9^2)*S1041*T1041</f>
        <v>0</v>
      </c>
      <c r="V1041" s="166">
        <v>0</v>
      </c>
      <c r="W1041" s="166">
        <v>0</v>
      </c>
      <c r="X1041" s="164">
        <f>($L1041*'Pivot Objective'!$C$9^3)*V1041*W1041</f>
        <v>0</v>
      </c>
      <c r="Y1041" s="166">
        <v>0</v>
      </c>
      <c r="Z1041" s="166">
        <v>0</v>
      </c>
      <c r="AA1041" s="164">
        <f>($L1041*'Pivot Objective'!$C$9^4)*Y1041*Z1041</f>
        <v>0</v>
      </c>
      <c r="AB1041" s="166">
        <v>0</v>
      </c>
      <c r="AC1041" s="166">
        <v>0</v>
      </c>
      <c r="AD1041" s="164">
        <f>($L1041*'Pivot Objective'!$C$9^5)*AB1041*AC1041</f>
        <v>0</v>
      </c>
      <c r="AE1041" s="140"/>
      <c r="AF1041" s="140"/>
      <c r="AG1041" s="164">
        <f>($L1041*'Pivot Objective'!$C$9^6)*AE1041*AF1041</f>
        <v>0</v>
      </c>
      <c r="AH1041" s="140"/>
      <c r="AI1041" s="140"/>
      <c r="AJ1041" s="164">
        <f>($L1041*'Pivot Objective'!$C$9^7)*AH1041*AI1041</f>
        <v>0</v>
      </c>
      <c r="AK1041" s="185">
        <f t="shared" si="120"/>
        <v>12775000</v>
      </c>
      <c r="AL1041" s="186">
        <f t="shared" si="121"/>
        <v>12402.912621359223</v>
      </c>
    </row>
    <row r="1042" spans="1:38" customFormat="1" ht="86.4" x14ac:dyDescent="0.3">
      <c r="A1042" s="140" t="s">
        <v>1480</v>
      </c>
      <c r="B1042" s="140">
        <v>2</v>
      </c>
      <c r="C1042" s="166" t="s">
        <v>983</v>
      </c>
      <c r="D1042" s="140" t="str">
        <f t="shared" si="114"/>
        <v>1</v>
      </c>
      <c r="E1042" s="166" t="s">
        <v>1176</v>
      </c>
      <c r="F1042" s="140">
        <f t="shared" si="122"/>
        <v>1</v>
      </c>
      <c r="G1042" s="140" t="str">
        <f t="shared" si="115"/>
        <v>2.1.1</v>
      </c>
      <c r="H1042" s="166" t="s">
        <v>1711</v>
      </c>
      <c r="I1042" s="166" t="s">
        <v>1180</v>
      </c>
      <c r="J1042" s="166" t="s">
        <v>1181</v>
      </c>
      <c r="K1042" s="166" t="s">
        <v>841</v>
      </c>
      <c r="L1042" s="177">
        <v>0</v>
      </c>
      <c r="M1042" s="166">
        <v>1</v>
      </c>
      <c r="N1042" s="166">
        <v>40</v>
      </c>
      <c r="O1042" s="164">
        <f t="shared" si="119"/>
        <v>0</v>
      </c>
      <c r="P1042" s="166">
        <v>0</v>
      </c>
      <c r="Q1042" s="166">
        <v>0</v>
      </c>
      <c r="R1042" s="164">
        <f>$L1042*'Pivot Objective'!$C$9*P1042*Q1042</f>
        <v>0</v>
      </c>
      <c r="S1042" s="166">
        <v>0</v>
      </c>
      <c r="T1042" s="166">
        <v>0</v>
      </c>
      <c r="U1042" s="164">
        <f>($L1042*'Pivot Objective'!$C$9^2)*S1042*T1042</f>
        <v>0</v>
      </c>
      <c r="V1042" s="166">
        <v>0</v>
      </c>
      <c r="W1042" s="166">
        <v>0</v>
      </c>
      <c r="X1042" s="164">
        <f>($L1042*'Pivot Objective'!$C$9^3)*V1042*W1042</f>
        <v>0</v>
      </c>
      <c r="Y1042" s="166">
        <v>0</v>
      </c>
      <c r="Z1042" s="166">
        <v>0</v>
      </c>
      <c r="AA1042" s="164">
        <f>($L1042*'Pivot Objective'!$C$9^4)*Y1042*Z1042</f>
        <v>0</v>
      </c>
      <c r="AB1042" s="140"/>
      <c r="AC1042" s="140"/>
      <c r="AD1042" s="164">
        <f>($L1042*'Pivot Objective'!$C$9^5)*AB1042*AC1042</f>
        <v>0</v>
      </c>
      <c r="AE1042" s="140"/>
      <c r="AF1042" s="140"/>
      <c r="AG1042" s="164">
        <f>($L1042*'Pivot Objective'!$C$9^6)*AE1042*AF1042</f>
        <v>0</v>
      </c>
      <c r="AH1042" s="140"/>
      <c r="AI1042" s="140"/>
      <c r="AJ1042" s="164">
        <f>($L1042*'Pivot Objective'!$C$9^7)*AH1042*AI1042</f>
        <v>0</v>
      </c>
      <c r="AK1042" s="185">
        <f t="shared" si="120"/>
        <v>0</v>
      </c>
      <c r="AL1042" s="186">
        <f t="shared" si="121"/>
        <v>0</v>
      </c>
    </row>
    <row r="1043" spans="1:38" customFormat="1" ht="86.4" x14ac:dyDescent="0.3">
      <c r="A1043" s="140" t="s">
        <v>1480</v>
      </c>
      <c r="B1043" s="140">
        <v>2</v>
      </c>
      <c r="C1043" s="166" t="s">
        <v>983</v>
      </c>
      <c r="D1043" s="140" t="str">
        <f t="shared" si="114"/>
        <v>1</v>
      </c>
      <c r="E1043" s="166" t="s">
        <v>1176</v>
      </c>
      <c r="F1043" s="140">
        <f t="shared" si="122"/>
        <v>1</v>
      </c>
      <c r="G1043" s="140" t="str">
        <f t="shared" si="115"/>
        <v>2.1.1</v>
      </c>
      <c r="H1043" s="166" t="s">
        <v>1711</v>
      </c>
      <c r="I1043" s="166" t="s">
        <v>1180</v>
      </c>
      <c r="J1043" s="166" t="s">
        <v>1015</v>
      </c>
      <c r="K1043" s="166" t="s">
        <v>709</v>
      </c>
      <c r="L1043" s="177">
        <v>35000</v>
      </c>
      <c r="M1043" s="166">
        <v>25</v>
      </c>
      <c r="N1043" s="166">
        <v>5</v>
      </c>
      <c r="O1043" s="164">
        <f t="shared" si="119"/>
        <v>4375000</v>
      </c>
      <c r="P1043" s="166">
        <v>0</v>
      </c>
      <c r="Q1043" s="166">
        <v>0</v>
      </c>
      <c r="R1043" s="164">
        <f>$L1043*'Pivot Objective'!$C$9*P1043*Q1043</f>
        <v>0</v>
      </c>
      <c r="S1043" s="166">
        <v>0</v>
      </c>
      <c r="T1043" s="166">
        <v>0</v>
      </c>
      <c r="U1043" s="164">
        <f>($L1043*'Pivot Objective'!$C$9^2)*S1043*T1043</f>
        <v>0</v>
      </c>
      <c r="V1043" s="166">
        <v>0</v>
      </c>
      <c r="W1043" s="166">
        <v>0</v>
      </c>
      <c r="X1043" s="164">
        <f>($L1043*'Pivot Objective'!$C$9^3)*V1043*W1043</f>
        <v>0</v>
      </c>
      <c r="Y1043" s="166">
        <v>0</v>
      </c>
      <c r="Z1043" s="166">
        <v>0</v>
      </c>
      <c r="AA1043" s="164">
        <f>($L1043*'Pivot Objective'!$C$9^4)*Y1043*Z1043</f>
        <v>0</v>
      </c>
      <c r="AB1043" s="140"/>
      <c r="AC1043" s="140"/>
      <c r="AD1043" s="164">
        <f>($L1043*'Pivot Objective'!$C$9^5)*AB1043*AC1043</f>
        <v>0</v>
      </c>
      <c r="AE1043" s="140"/>
      <c r="AF1043" s="140"/>
      <c r="AG1043" s="164">
        <f>($L1043*'Pivot Objective'!$C$9^6)*AE1043*AF1043</f>
        <v>0</v>
      </c>
      <c r="AH1043" s="140"/>
      <c r="AI1043" s="140"/>
      <c r="AJ1043" s="164">
        <f>($L1043*'Pivot Objective'!$C$9^7)*AH1043*AI1043</f>
        <v>0</v>
      </c>
      <c r="AK1043" s="185">
        <f t="shared" si="120"/>
        <v>4375000</v>
      </c>
      <c r="AL1043" s="186">
        <f t="shared" si="121"/>
        <v>4247.5728155339802</v>
      </c>
    </row>
    <row r="1044" spans="1:38" customFormat="1" ht="86.4" x14ac:dyDescent="0.3">
      <c r="A1044" s="140" t="s">
        <v>1480</v>
      </c>
      <c r="B1044" s="140">
        <v>2</v>
      </c>
      <c r="C1044" s="166" t="s">
        <v>983</v>
      </c>
      <c r="D1044" s="140" t="str">
        <f t="shared" si="114"/>
        <v>1</v>
      </c>
      <c r="E1044" s="166" t="s">
        <v>1176</v>
      </c>
      <c r="F1044" s="140">
        <f t="shared" si="122"/>
        <v>1</v>
      </c>
      <c r="G1044" s="140" t="str">
        <f t="shared" si="115"/>
        <v>2.1.1</v>
      </c>
      <c r="H1044" s="166" t="s">
        <v>1711</v>
      </c>
      <c r="I1044" s="166" t="s">
        <v>1180</v>
      </c>
      <c r="J1044" s="166" t="s">
        <v>1159</v>
      </c>
      <c r="K1044" s="166" t="s">
        <v>713</v>
      </c>
      <c r="L1044" s="177">
        <v>45000</v>
      </c>
      <c r="M1044" s="166">
        <v>25</v>
      </c>
      <c r="N1044" s="166">
        <v>2</v>
      </c>
      <c r="O1044" s="164">
        <f t="shared" si="119"/>
        <v>2250000</v>
      </c>
      <c r="P1044" s="166">
        <v>0</v>
      </c>
      <c r="Q1044" s="166">
        <v>0</v>
      </c>
      <c r="R1044" s="164">
        <f>$L1044*'Pivot Objective'!$C$9*P1044*Q1044</f>
        <v>0</v>
      </c>
      <c r="S1044" s="166">
        <v>0</v>
      </c>
      <c r="T1044" s="166">
        <v>0</v>
      </c>
      <c r="U1044" s="164">
        <f>($L1044*'Pivot Objective'!$C$9^2)*S1044*T1044</f>
        <v>0</v>
      </c>
      <c r="V1044" s="166">
        <v>0</v>
      </c>
      <c r="W1044" s="166">
        <v>0</v>
      </c>
      <c r="X1044" s="164">
        <f>($L1044*'Pivot Objective'!$C$9^3)*V1044*W1044</f>
        <v>0</v>
      </c>
      <c r="Y1044" s="166">
        <v>0</v>
      </c>
      <c r="Z1044" s="166">
        <v>0</v>
      </c>
      <c r="AA1044" s="164">
        <f>($L1044*'Pivot Objective'!$C$9^4)*Y1044*Z1044</f>
        <v>0</v>
      </c>
      <c r="AB1044" s="140"/>
      <c r="AC1044" s="140"/>
      <c r="AD1044" s="164">
        <f>($L1044*'Pivot Objective'!$C$9^5)*AB1044*AC1044</f>
        <v>0</v>
      </c>
      <c r="AE1044" s="140"/>
      <c r="AF1044" s="140"/>
      <c r="AG1044" s="164">
        <f>($L1044*'Pivot Objective'!$C$9^6)*AE1044*AF1044</f>
        <v>0</v>
      </c>
      <c r="AH1044" s="140"/>
      <c r="AI1044" s="140"/>
      <c r="AJ1044" s="164">
        <f>($L1044*'Pivot Objective'!$C$9^7)*AH1044*AI1044</f>
        <v>0</v>
      </c>
      <c r="AK1044" s="185">
        <f t="shared" si="120"/>
        <v>2250000</v>
      </c>
      <c r="AL1044" s="186">
        <f t="shared" si="121"/>
        <v>2184.4660194174758</v>
      </c>
    </row>
    <row r="1045" spans="1:38" customFormat="1" ht="86.4" x14ac:dyDescent="0.3">
      <c r="A1045" s="140" t="s">
        <v>1480</v>
      </c>
      <c r="B1045" s="140">
        <v>2</v>
      </c>
      <c r="C1045" s="166" t="s">
        <v>983</v>
      </c>
      <c r="D1045" s="140" t="str">
        <f t="shared" si="114"/>
        <v>1</v>
      </c>
      <c r="E1045" s="166" t="s">
        <v>1176</v>
      </c>
      <c r="F1045" s="140">
        <f t="shared" si="122"/>
        <v>1</v>
      </c>
      <c r="G1045" s="140" t="str">
        <f t="shared" si="115"/>
        <v>2.1.1</v>
      </c>
      <c r="H1045" s="166" t="s">
        <v>1711</v>
      </c>
      <c r="I1045" s="166" t="s">
        <v>1180</v>
      </c>
      <c r="J1045" s="166" t="s">
        <v>1159</v>
      </c>
      <c r="K1045" s="166" t="s">
        <v>1350</v>
      </c>
      <c r="L1045" s="177">
        <f>1480/7</f>
        <v>211.42857142857142</v>
      </c>
      <c r="M1045" s="166">
        <f>2*135*9</f>
        <v>2430</v>
      </c>
      <c r="N1045" s="166">
        <v>1</v>
      </c>
      <c r="O1045" s="164">
        <f t="shared" si="119"/>
        <v>513771.42857142852</v>
      </c>
      <c r="P1045" s="166"/>
      <c r="Q1045" s="166"/>
      <c r="R1045" s="164">
        <f>$L1045*'Pivot Objective'!$C$9*P1045*Q1045</f>
        <v>0</v>
      </c>
      <c r="S1045" s="166"/>
      <c r="T1045" s="166"/>
      <c r="U1045" s="164">
        <f>($L1045*'Pivot Objective'!$C$9^2)*S1045*T1045</f>
        <v>0</v>
      </c>
      <c r="V1045" s="166"/>
      <c r="W1045" s="166"/>
      <c r="X1045" s="164">
        <f>($L1045*'Pivot Objective'!$C$9^3)*V1045*W1045</f>
        <v>0</v>
      </c>
      <c r="Y1045" s="166"/>
      <c r="Z1045" s="166"/>
      <c r="AA1045" s="164">
        <f>($L1045*'Pivot Objective'!$C$9^4)*Y1045*Z1045</f>
        <v>0</v>
      </c>
      <c r="AB1045" s="140"/>
      <c r="AC1045" s="140"/>
      <c r="AD1045" s="164">
        <f>($L1045*'Pivot Objective'!$C$9^5)*AB1045*AC1045</f>
        <v>0</v>
      </c>
      <c r="AE1045" s="140"/>
      <c r="AF1045" s="140"/>
      <c r="AG1045" s="164">
        <f>($L1045*'Pivot Objective'!$C$9^6)*AE1045*AF1045</f>
        <v>0</v>
      </c>
      <c r="AH1045" s="140"/>
      <c r="AI1045" s="140"/>
      <c r="AJ1045" s="164">
        <f>($L1045*'Pivot Objective'!$C$9^7)*AH1045*AI1045</f>
        <v>0</v>
      </c>
      <c r="AK1045" s="185">
        <f t="shared" si="120"/>
        <v>513771.42857142852</v>
      </c>
      <c r="AL1045" s="186">
        <f t="shared" si="121"/>
        <v>498.80721220527039</v>
      </c>
    </row>
    <row r="1046" spans="1:38" customFormat="1" ht="86.4" x14ac:dyDescent="0.3">
      <c r="A1046" s="140" t="s">
        <v>1480</v>
      </c>
      <c r="B1046" s="140">
        <v>2</v>
      </c>
      <c r="C1046" s="166" t="s">
        <v>983</v>
      </c>
      <c r="D1046" s="140" t="str">
        <f t="shared" si="114"/>
        <v>1</v>
      </c>
      <c r="E1046" s="166" t="s">
        <v>1176</v>
      </c>
      <c r="F1046" s="140">
        <f t="shared" si="122"/>
        <v>1</v>
      </c>
      <c r="G1046" s="140" t="str">
        <f t="shared" si="115"/>
        <v>2.1.1</v>
      </c>
      <c r="H1046" s="166" t="s">
        <v>1711</v>
      </c>
      <c r="I1046" s="166" t="s">
        <v>1180</v>
      </c>
      <c r="J1046" s="166" t="s">
        <v>1159</v>
      </c>
      <c r="K1046" s="166" t="s">
        <v>712</v>
      </c>
      <c r="L1046" s="177">
        <f>1480/7</f>
        <v>211.42857142857142</v>
      </c>
      <c r="M1046" s="166">
        <f>25*2*9</f>
        <v>450</v>
      </c>
      <c r="N1046" s="166">
        <v>1</v>
      </c>
      <c r="O1046" s="164">
        <f t="shared" si="119"/>
        <v>95142.85714285713</v>
      </c>
      <c r="P1046" s="166">
        <v>0</v>
      </c>
      <c r="Q1046" s="166">
        <v>0</v>
      </c>
      <c r="R1046" s="164">
        <f>$L1046*'Pivot Objective'!$C$9*P1046*Q1046</f>
        <v>0</v>
      </c>
      <c r="S1046" s="166">
        <v>0</v>
      </c>
      <c r="T1046" s="166">
        <v>0</v>
      </c>
      <c r="U1046" s="164">
        <f>($L1046*'Pivot Objective'!$C$9^2)*S1046*T1046</f>
        <v>0</v>
      </c>
      <c r="V1046" s="166">
        <v>0</v>
      </c>
      <c r="W1046" s="166">
        <v>0</v>
      </c>
      <c r="X1046" s="164">
        <f>($L1046*'Pivot Objective'!$C$9^3)*V1046*W1046</f>
        <v>0</v>
      </c>
      <c r="Y1046" s="166">
        <v>0</v>
      </c>
      <c r="Z1046" s="166">
        <v>0</v>
      </c>
      <c r="AA1046" s="164">
        <f>($L1046*'Pivot Objective'!$C$9^4)*Y1046*Z1046</f>
        <v>0</v>
      </c>
      <c r="AB1046" s="140"/>
      <c r="AC1046" s="140"/>
      <c r="AD1046" s="164">
        <f>($L1046*'Pivot Objective'!$C$9^5)*AB1046*AC1046</f>
        <v>0</v>
      </c>
      <c r="AE1046" s="140"/>
      <c r="AF1046" s="140"/>
      <c r="AG1046" s="164">
        <f>($L1046*'Pivot Objective'!$C$9^6)*AE1046*AF1046</f>
        <v>0</v>
      </c>
      <c r="AH1046" s="140"/>
      <c r="AI1046" s="140"/>
      <c r="AJ1046" s="164">
        <f>($L1046*'Pivot Objective'!$C$9^7)*AH1046*AI1046</f>
        <v>0</v>
      </c>
      <c r="AK1046" s="185">
        <f t="shared" si="120"/>
        <v>95142.85714285713</v>
      </c>
      <c r="AL1046" s="186">
        <f t="shared" si="121"/>
        <v>92.371705963938965</v>
      </c>
    </row>
    <row r="1047" spans="1:38" customFormat="1" ht="86.4" x14ac:dyDescent="0.3">
      <c r="A1047" s="140" t="s">
        <v>1480</v>
      </c>
      <c r="B1047" s="140">
        <v>2</v>
      </c>
      <c r="C1047" s="166" t="s">
        <v>983</v>
      </c>
      <c r="D1047" s="140" t="str">
        <f t="shared" si="114"/>
        <v>1</v>
      </c>
      <c r="E1047" s="166" t="s">
        <v>1176</v>
      </c>
      <c r="F1047" s="140">
        <f t="shared" si="122"/>
        <v>1</v>
      </c>
      <c r="G1047" s="140" t="str">
        <f t="shared" si="115"/>
        <v>2.1.1</v>
      </c>
      <c r="H1047" s="166" t="s">
        <v>1711</v>
      </c>
      <c r="I1047" s="166" t="s">
        <v>1180</v>
      </c>
      <c r="J1047" s="166" t="s">
        <v>1017</v>
      </c>
      <c r="K1047" s="166" t="s">
        <v>709</v>
      </c>
      <c r="L1047" s="177">
        <v>35000</v>
      </c>
      <c r="M1047" s="166">
        <v>25</v>
      </c>
      <c r="N1047" s="166">
        <v>1</v>
      </c>
      <c r="O1047" s="164">
        <f t="shared" si="119"/>
        <v>875000</v>
      </c>
      <c r="P1047" s="166">
        <v>0</v>
      </c>
      <c r="Q1047" s="166">
        <v>0</v>
      </c>
      <c r="R1047" s="164">
        <f>$L1047*'Pivot Objective'!$C$9*P1047*Q1047</f>
        <v>0</v>
      </c>
      <c r="S1047" s="166">
        <v>0</v>
      </c>
      <c r="T1047" s="166">
        <v>0</v>
      </c>
      <c r="U1047" s="164">
        <f>($L1047*'Pivot Objective'!$C$9^2)*S1047*T1047</f>
        <v>0</v>
      </c>
      <c r="V1047" s="166">
        <v>0</v>
      </c>
      <c r="W1047" s="166">
        <v>0</v>
      </c>
      <c r="X1047" s="164">
        <f>($L1047*'Pivot Objective'!$C$9^3)*V1047*W1047</f>
        <v>0</v>
      </c>
      <c r="Y1047" s="166">
        <v>0</v>
      </c>
      <c r="Z1047" s="166">
        <v>0</v>
      </c>
      <c r="AA1047" s="164">
        <f>($L1047*'Pivot Objective'!$C$9^4)*Y1047*Z1047</f>
        <v>0</v>
      </c>
      <c r="AB1047" s="140"/>
      <c r="AC1047" s="140"/>
      <c r="AD1047" s="164">
        <f>($L1047*'Pivot Objective'!$C$9^5)*AB1047*AC1047</f>
        <v>0</v>
      </c>
      <c r="AE1047" s="140"/>
      <c r="AF1047" s="140"/>
      <c r="AG1047" s="164">
        <f>($L1047*'Pivot Objective'!$C$9^6)*AE1047*AF1047</f>
        <v>0</v>
      </c>
      <c r="AH1047" s="140"/>
      <c r="AI1047" s="140"/>
      <c r="AJ1047" s="164">
        <f>($L1047*'Pivot Objective'!$C$9^7)*AH1047*AI1047</f>
        <v>0</v>
      </c>
      <c r="AK1047" s="185">
        <f t="shared" si="120"/>
        <v>875000</v>
      </c>
      <c r="AL1047" s="186">
        <f t="shared" si="121"/>
        <v>849.51456310679612</v>
      </c>
    </row>
    <row r="1048" spans="1:38" customFormat="1" ht="86.4" x14ac:dyDescent="0.3">
      <c r="A1048" s="140" t="s">
        <v>1480</v>
      </c>
      <c r="B1048" s="140">
        <v>2</v>
      </c>
      <c r="C1048" s="166" t="s">
        <v>983</v>
      </c>
      <c r="D1048" s="140" t="str">
        <f t="shared" si="114"/>
        <v>1</v>
      </c>
      <c r="E1048" s="166" t="s">
        <v>1176</v>
      </c>
      <c r="F1048" s="140">
        <f t="shared" si="122"/>
        <v>1</v>
      </c>
      <c r="G1048" s="140" t="str">
        <f t="shared" si="115"/>
        <v>2.1.1</v>
      </c>
      <c r="H1048" s="166" t="s">
        <v>1711</v>
      </c>
      <c r="I1048" s="166" t="s">
        <v>1180</v>
      </c>
      <c r="J1048" s="166" t="s">
        <v>1182</v>
      </c>
      <c r="K1048" s="166" t="s">
        <v>713</v>
      </c>
      <c r="L1048" s="177">
        <v>45000</v>
      </c>
      <c r="M1048" s="166">
        <v>25</v>
      </c>
      <c r="N1048" s="166">
        <v>6</v>
      </c>
      <c r="O1048" s="164">
        <f t="shared" si="119"/>
        <v>6750000</v>
      </c>
      <c r="P1048" s="166">
        <v>0</v>
      </c>
      <c r="Q1048" s="166">
        <v>0</v>
      </c>
      <c r="R1048" s="164">
        <f>$L1048*'Pivot Objective'!$C$9*P1048*Q1048</f>
        <v>0</v>
      </c>
      <c r="S1048" s="166">
        <v>0</v>
      </c>
      <c r="T1048" s="166">
        <v>0</v>
      </c>
      <c r="U1048" s="164">
        <f>($L1048*'Pivot Objective'!$C$9^2)*S1048*T1048</f>
        <v>0</v>
      </c>
      <c r="V1048" s="166">
        <v>0</v>
      </c>
      <c r="W1048" s="166">
        <v>0</v>
      </c>
      <c r="X1048" s="164">
        <f>($L1048*'Pivot Objective'!$C$9^3)*V1048*W1048</f>
        <v>0</v>
      </c>
      <c r="Y1048" s="166">
        <v>0</v>
      </c>
      <c r="Z1048" s="166">
        <v>0</v>
      </c>
      <c r="AA1048" s="164">
        <f>($L1048*'Pivot Objective'!$C$9^4)*Y1048*Z1048</f>
        <v>0</v>
      </c>
      <c r="AB1048" s="140"/>
      <c r="AC1048" s="140"/>
      <c r="AD1048" s="164">
        <f>($L1048*'Pivot Objective'!$C$9^5)*AB1048*AC1048</f>
        <v>0</v>
      </c>
      <c r="AE1048" s="140"/>
      <c r="AF1048" s="140"/>
      <c r="AG1048" s="164">
        <f>($L1048*'Pivot Objective'!$C$9^6)*AE1048*AF1048</f>
        <v>0</v>
      </c>
      <c r="AH1048" s="140"/>
      <c r="AI1048" s="140"/>
      <c r="AJ1048" s="164">
        <f>($L1048*'Pivot Objective'!$C$9^7)*AH1048*AI1048</f>
        <v>0</v>
      </c>
      <c r="AK1048" s="185">
        <f t="shared" si="120"/>
        <v>6750000</v>
      </c>
      <c r="AL1048" s="186">
        <f t="shared" si="121"/>
        <v>6553.3980582524273</v>
      </c>
    </row>
    <row r="1049" spans="1:38" customFormat="1" ht="86.4" x14ac:dyDescent="0.3">
      <c r="A1049" s="140" t="s">
        <v>1480</v>
      </c>
      <c r="B1049" s="140">
        <v>2</v>
      </c>
      <c r="C1049" s="166" t="s">
        <v>983</v>
      </c>
      <c r="D1049" s="140" t="str">
        <f t="shared" si="114"/>
        <v>1</v>
      </c>
      <c r="E1049" s="166" t="s">
        <v>1176</v>
      </c>
      <c r="F1049" s="140">
        <f t="shared" si="122"/>
        <v>1</v>
      </c>
      <c r="G1049" s="140" t="str">
        <f t="shared" si="115"/>
        <v>2.1.1</v>
      </c>
      <c r="H1049" s="166" t="s">
        <v>1711</v>
      </c>
      <c r="I1049" s="166" t="s">
        <v>1180</v>
      </c>
      <c r="J1049" s="166" t="s">
        <v>1182</v>
      </c>
      <c r="K1049" s="166" t="s">
        <v>712</v>
      </c>
      <c r="L1049" s="177">
        <f>1480/7</f>
        <v>211.42857142857142</v>
      </c>
      <c r="M1049" s="166">
        <f>25*2*9</f>
        <v>450</v>
      </c>
      <c r="N1049" s="166">
        <v>5</v>
      </c>
      <c r="O1049" s="164">
        <f t="shared" si="119"/>
        <v>475714.28571428568</v>
      </c>
      <c r="P1049" s="166">
        <v>0</v>
      </c>
      <c r="Q1049" s="166">
        <v>0</v>
      </c>
      <c r="R1049" s="164">
        <f>$L1049*'Pivot Objective'!$C$9*P1049*Q1049</f>
        <v>0</v>
      </c>
      <c r="S1049" s="166">
        <v>0</v>
      </c>
      <c r="T1049" s="166">
        <v>0</v>
      </c>
      <c r="U1049" s="164">
        <f>($L1049*'Pivot Objective'!$C$9^2)*S1049*T1049</f>
        <v>0</v>
      </c>
      <c r="V1049" s="166">
        <v>0</v>
      </c>
      <c r="W1049" s="166">
        <v>0</v>
      </c>
      <c r="X1049" s="164">
        <f>($L1049*'Pivot Objective'!$C$9^3)*V1049*W1049</f>
        <v>0</v>
      </c>
      <c r="Y1049" s="166">
        <v>0</v>
      </c>
      <c r="Z1049" s="166">
        <v>0</v>
      </c>
      <c r="AA1049" s="164">
        <f>($L1049*'Pivot Objective'!$C$9^4)*Y1049*Z1049</f>
        <v>0</v>
      </c>
      <c r="AB1049" s="140"/>
      <c r="AC1049" s="140"/>
      <c r="AD1049" s="164">
        <f>($L1049*'Pivot Objective'!$C$9^5)*AB1049*AC1049</f>
        <v>0</v>
      </c>
      <c r="AE1049" s="140"/>
      <c r="AF1049" s="140"/>
      <c r="AG1049" s="164">
        <f>($L1049*'Pivot Objective'!$C$9^6)*AE1049*AF1049</f>
        <v>0</v>
      </c>
      <c r="AH1049" s="140"/>
      <c r="AI1049" s="140"/>
      <c r="AJ1049" s="164">
        <f>($L1049*'Pivot Objective'!$C$9^7)*AH1049*AI1049</f>
        <v>0</v>
      </c>
      <c r="AK1049" s="185">
        <f t="shared" si="120"/>
        <v>475714.28571428568</v>
      </c>
      <c r="AL1049" s="186">
        <f t="shared" si="121"/>
        <v>461.85852981969481</v>
      </c>
    </row>
    <row r="1050" spans="1:38" customFormat="1" ht="86.4" x14ac:dyDescent="0.3">
      <c r="A1050" s="140" t="s">
        <v>1480</v>
      </c>
      <c r="B1050" s="140">
        <v>2</v>
      </c>
      <c r="C1050" s="166" t="s">
        <v>983</v>
      </c>
      <c r="D1050" s="140" t="str">
        <f t="shared" si="114"/>
        <v>1</v>
      </c>
      <c r="E1050" s="166" t="s">
        <v>1176</v>
      </c>
      <c r="F1050" s="140">
        <f t="shared" si="122"/>
        <v>1</v>
      </c>
      <c r="G1050" s="140" t="str">
        <f t="shared" si="115"/>
        <v>2.1.1</v>
      </c>
      <c r="H1050" s="166" t="s">
        <v>1711</v>
      </c>
      <c r="I1050" s="166" t="s">
        <v>1180</v>
      </c>
      <c r="J1050" s="166" t="s">
        <v>1182</v>
      </c>
      <c r="K1050" s="166" t="s">
        <v>714</v>
      </c>
      <c r="L1050" s="177">
        <v>10000</v>
      </c>
      <c r="M1050" s="166">
        <v>15</v>
      </c>
      <c r="N1050" s="166">
        <v>1</v>
      </c>
      <c r="O1050" s="164">
        <f t="shared" si="119"/>
        <v>150000</v>
      </c>
      <c r="P1050" s="166">
        <v>0</v>
      </c>
      <c r="Q1050" s="166">
        <v>0</v>
      </c>
      <c r="R1050" s="164">
        <f>$L1050*'Pivot Objective'!$C$9*P1050*Q1050</f>
        <v>0</v>
      </c>
      <c r="S1050" s="166">
        <v>0</v>
      </c>
      <c r="T1050" s="166">
        <v>0</v>
      </c>
      <c r="U1050" s="164">
        <f>($L1050*'Pivot Objective'!$C$9^2)*S1050*T1050</f>
        <v>0</v>
      </c>
      <c r="V1050" s="166">
        <v>0</v>
      </c>
      <c r="W1050" s="166">
        <v>0</v>
      </c>
      <c r="X1050" s="164">
        <f>($L1050*'Pivot Objective'!$C$9^3)*V1050*W1050</f>
        <v>0</v>
      </c>
      <c r="Y1050" s="166">
        <v>0</v>
      </c>
      <c r="Z1050" s="166">
        <v>0</v>
      </c>
      <c r="AA1050" s="164">
        <f>($L1050*'Pivot Objective'!$C$9^4)*Y1050*Z1050</f>
        <v>0</v>
      </c>
      <c r="AB1050" s="140"/>
      <c r="AC1050" s="140"/>
      <c r="AD1050" s="164">
        <f>($L1050*'Pivot Objective'!$C$9^5)*AB1050*AC1050</f>
        <v>0</v>
      </c>
      <c r="AE1050" s="140"/>
      <c r="AF1050" s="140"/>
      <c r="AG1050" s="164">
        <f>($L1050*'Pivot Objective'!$C$9^6)*AE1050*AF1050</f>
        <v>0</v>
      </c>
      <c r="AH1050" s="140"/>
      <c r="AI1050" s="140"/>
      <c r="AJ1050" s="164">
        <f>($L1050*'Pivot Objective'!$C$9^7)*AH1050*AI1050</f>
        <v>0</v>
      </c>
      <c r="AK1050" s="185">
        <f t="shared" si="120"/>
        <v>150000</v>
      </c>
      <c r="AL1050" s="186">
        <f t="shared" si="121"/>
        <v>145.63106796116506</v>
      </c>
    </row>
    <row r="1051" spans="1:38" customFormat="1" ht="86.4" x14ac:dyDescent="0.3">
      <c r="A1051" s="140" t="s">
        <v>1480</v>
      </c>
      <c r="B1051" s="140">
        <v>2</v>
      </c>
      <c r="C1051" s="166" t="s">
        <v>983</v>
      </c>
      <c r="D1051" s="140" t="str">
        <f t="shared" si="114"/>
        <v>1</v>
      </c>
      <c r="E1051" s="166" t="s">
        <v>1176</v>
      </c>
      <c r="F1051" s="140">
        <f t="shared" si="122"/>
        <v>1</v>
      </c>
      <c r="G1051" s="140" t="str">
        <f t="shared" si="115"/>
        <v>2.1.1</v>
      </c>
      <c r="H1051" s="166" t="s">
        <v>1711</v>
      </c>
      <c r="I1051" s="166" t="s">
        <v>1180</v>
      </c>
      <c r="J1051" s="166" t="s">
        <v>1182</v>
      </c>
      <c r="K1051" s="166" t="s">
        <v>1350</v>
      </c>
      <c r="L1051" s="177">
        <f>1480/7</f>
        <v>211.42857142857142</v>
      </c>
      <c r="M1051" s="166">
        <f>2*135*9</f>
        <v>2430</v>
      </c>
      <c r="N1051" s="166">
        <v>1</v>
      </c>
      <c r="O1051" s="164">
        <f t="shared" si="119"/>
        <v>513771.42857142852</v>
      </c>
      <c r="P1051" s="166"/>
      <c r="Q1051" s="166"/>
      <c r="R1051" s="164">
        <f>$L1051*'Pivot Objective'!$C$9*P1051*Q1051</f>
        <v>0</v>
      </c>
      <c r="S1051" s="166"/>
      <c r="T1051" s="166"/>
      <c r="U1051" s="164">
        <f>($L1051*'Pivot Objective'!$C$9^2)*S1051*T1051</f>
        <v>0</v>
      </c>
      <c r="V1051" s="166"/>
      <c r="W1051" s="166"/>
      <c r="X1051" s="164">
        <f>($L1051*'Pivot Objective'!$C$9^3)*V1051*W1051</f>
        <v>0</v>
      </c>
      <c r="Y1051" s="166"/>
      <c r="Z1051" s="166"/>
      <c r="AA1051" s="164">
        <f>($L1051*'Pivot Objective'!$C$9^4)*Y1051*Z1051</f>
        <v>0</v>
      </c>
      <c r="AB1051" s="140"/>
      <c r="AC1051" s="140"/>
      <c r="AD1051" s="164">
        <f>($L1051*'Pivot Objective'!$C$9^5)*AB1051*AC1051</f>
        <v>0</v>
      </c>
      <c r="AE1051" s="140"/>
      <c r="AF1051" s="140"/>
      <c r="AG1051" s="164">
        <f>($L1051*'Pivot Objective'!$C$9^6)*AE1051*AF1051</f>
        <v>0</v>
      </c>
      <c r="AH1051" s="140"/>
      <c r="AI1051" s="140"/>
      <c r="AJ1051" s="164">
        <f>($L1051*'Pivot Objective'!$C$9^7)*AH1051*AI1051</f>
        <v>0</v>
      </c>
      <c r="AK1051" s="185">
        <f t="shared" si="120"/>
        <v>513771.42857142852</v>
      </c>
      <c r="AL1051" s="186">
        <f t="shared" si="121"/>
        <v>498.80721220527039</v>
      </c>
    </row>
    <row r="1052" spans="1:38" customFormat="1" ht="86.4" x14ac:dyDescent="0.3">
      <c r="A1052" s="140" t="s">
        <v>1480</v>
      </c>
      <c r="B1052" s="140">
        <v>2</v>
      </c>
      <c r="C1052" s="166" t="s">
        <v>983</v>
      </c>
      <c r="D1052" s="140" t="str">
        <f t="shared" si="114"/>
        <v>1</v>
      </c>
      <c r="E1052" s="166" t="s">
        <v>1176</v>
      </c>
      <c r="F1052" s="140">
        <f t="shared" si="122"/>
        <v>1</v>
      </c>
      <c r="G1052" s="140" t="str">
        <f t="shared" si="115"/>
        <v>2.1.1</v>
      </c>
      <c r="H1052" s="166" t="s">
        <v>1711</v>
      </c>
      <c r="I1052" s="166" t="s">
        <v>1180</v>
      </c>
      <c r="J1052" s="166" t="s">
        <v>1004</v>
      </c>
      <c r="K1052" s="166" t="s">
        <v>709</v>
      </c>
      <c r="L1052" s="177">
        <v>35000</v>
      </c>
      <c r="M1052" s="166">
        <v>25</v>
      </c>
      <c r="N1052" s="166">
        <v>5</v>
      </c>
      <c r="O1052" s="164">
        <f t="shared" si="119"/>
        <v>4375000</v>
      </c>
      <c r="P1052" s="166">
        <v>0</v>
      </c>
      <c r="Q1052" s="166">
        <v>0</v>
      </c>
      <c r="R1052" s="164">
        <f>$L1052*'Pivot Objective'!$C$9*P1052*Q1052</f>
        <v>0</v>
      </c>
      <c r="S1052" s="166">
        <v>0</v>
      </c>
      <c r="T1052" s="166">
        <v>0</v>
      </c>
      <c r="U1052" s="164">
        <f>($L1052*'Pivot Objective'!$C$9^2)*S1052*T1052</f>
        <v>0</v>
      </c>
      <c r="V1052" s="166">
        <v>0</v>
      </c>
      <c r="W1052" s="166">
        <v>0</v>
      </c>
      <c r="X1052" s="164">
        <f>($L1052*'Pivot Objective'!$C$9^3)*V1052*W1052</f>
        <v>0</v>
      </c>
      <c r="Y1052" s="166">
        <v>0</v>
      </c>
      <c r="Z1052" s="166">
        <v>0</v>
      </c>
      <c r="AA1052" s="164">
        <f>($L1052*'Pivot Objective'!$C$9^4)*Y1052*Z1052</f>
        <v>0</v>
      </c>
      <c r="AB1052" s="140"/>
      <c r="AC1052" s="140"/>
      <c r="AD1052" s="164">
        <f>($L1052*'Pivot Objective'!$C$9^5)*AB1052*AC1052</f>
        <v>0</v>
      </c>
      <c r="AE1052" s="140"/>
      <c r="AF1052" s="140"/>
      <c r="AG1052" s="164">
        <f>($L1052*'Pivot Objective'!$C$9^6)*AE1052*AF1052</f>
        <v>0</v>
      </c>
      <c r="AH1052" s="140"/>
      <c r="AI1052" s="140"/>
      <c r="AJ1052" s="164">
        <f>($L1052*'Pivot Objective'!$C$9^7)*AH1052*AI1052</f>
        <v>0</v>
      </c>
      <c r="AK1052" s="185">
        <f t="shared" si="120"/>
        <v>4375000</v>
      </c>
      <c r="AL1052" s="186">
        <f t="shared" si="121"/>
        <v>4247.5728155339802</v>
      </c>
    </row>
    <row r="1053" spans="1:38" customFormat="1" ht="86.4" x14ac:dyDescent="0.3">
      <c r="A1053" s="140" t="s">
        <v>1480</v>
      </c>
      <c r="B1053" s="140">
        <v>2</v>
      </c>
      <c r="C1053" s="166" t="s">
        <v>983</v>
      </c>
      <c r="D1053" s="140" t="str">
        <f t="shared" si="114"/>
        <v>1</v>
      </c>
      <c r="E1053" s="166" t="s">
        <v>1176</v>
      </c>
      <c r="F1053" s="140">
        <f t="shared" si="122"/>
        <v>1</v>
      </c>
      <c r="G1053" s="140" t="str">
        <f t="shared" si="115"/>
        <v>2.1.1</v>
      </c>
      <c r="H1053" s="166" t="s">
        <v>1711</v>
      </c>
      <c r="I1053" s="166" t="s">
        <v>1180</v>
      </c>
      <c r="J1053" s="166" t="s">
        <v>1004</v>
      </c>
      <c r="K1053" s="166" t="s">
        <v>716</v>
      </c>
      <c r="L1053" s="177">
        <v>39000</v>
      </c>
      <c r="M1053" s="166">
        <v>25</v>
      </c>
      <c r="N1053" s="166">
        <v>6</v>
      </c>
      <c r="O1053" s="164">
        <f t="shared" si="119"/>
        <v>5850000</v>
      </c>
      <c r="P1053" s="166">
        <v>0</v>
      </c>
      <c r="Q1053" s="166">
        <v>0</v>
      </c>
      <c r="R1053" s="164">
        <f>$L1053*'Pivot Objective'!$C$9*P1053*Q1053</f>
        <v>0</v>
      </c>
      <c r="S1053" s="166">
        <v>0</v>
      </c>
      <c r="T1053" s="166">
        <v>0</v>
      </c>
      <c r="U1053" s="164">
        <f>($L1053*'Pivot Objective'!$C$9^2)*S1053*T1053</f>
        <v>0</v>
      </c>
      <c r="V1053" s="166">
        <v>0</v>
      </c>
      <c r="W1053" s="166">
        <v>0</v>
      </c>
      <c r="X1053" s="164">
        <f>($L1053*'Pivot Objective'!$C$9^3)*V1053*W1053</f>
        <v>0</v>
      </c>
      <c r="Y1053" s="166">
        <v>0</v>
      </c>
      <c r="Z1053" s="166">
        <v>0</v>
      </c>
      <c r="AA1053" s="164">
        <f>($L1053*'Pivot Objective'!$C$9^4)*Y1053*Z1053</f>
        <v>0</v>
      </c>
      <c r="AB1053" s="140"/>
      <c r="AC1053" s="140"/>
      <c r="AD1053" s="164">
        <f>($L1053*'Pivot Objective'!$C$9^5)*AB1053*AC1053</f>
        <v>0</v>
      </c>
      <c r="AE1053" s="140"/>
      <c r="AF1053" s="140"/>
      <c r="AG1053" s="164">
        <f>($L1053*'Pivot Objective'!$C$9^6)*AE1053*AF1053</f>
        <v>0</v>
      </c>
      <c r="AH1053" s="140"/>
      <c r="AI1053" s="140"/>
      <c r="AJ1053" s="164">
        <f>($L1053*'Pivot Objective'!$C$9^7)*AH1053*AI1053</f>
        <v>0</v>
      </c>
      <c r="AK1053" s="185">
        <f t="shared" si="120"/>
        <v>5850000</v>
      </c>
      <c r="AL1053" s="186">
        <f t="shared" si="121"/>
        <v>5679.6116504854372</v>
      </c>
    </row>
    <row r="1054" spans="1:38" customFormat="1" ht="86.4" x14ac:dyDescent="0.3">
      <c r="A1054" s="140" t="s">
        <v>1480</v>
      </c>
      <c r="B1054" s="140">
        <v>2</v>
      </c>
      <c r="C1054" s="166" t="s">
        <v>983</v>
      </c>
      <c r="D1054" s="140" t="str">
        <f t="shared" si="114"/>
        <v>1</v>
      </c>
      <c r="E1054" s="166" t="s">
        <v>1176</v>
      </c>
      <c r="F1054" s="140">
        <f t="shared" si="122"/>
        <v>1</v>
      </c>
      <c r="G1054" s="140" t="str">
        <f t="shared" si="115"/>
        <v>2.1.1</v>
      </c>
      <c r="H1054" s="166" t="s">
        <v>1711</v>
      </c>
      <c r="I1054" s="166" t="s">
        <v>1180</v>
      </c>
      <c r="J1054" s="166" t="s">
        <v>1004</v>
      </c>
      <c r="K1054" s="166" t="s">
        <v>712</v>
      </c>
      <c r="L1054" s="177">
        <f>1480/7</f>
        <v>211.42857142857142</v>
      </c>
      <c r="M1054" s="166">
        <f>25*2*9</f>
        <v>450</v>
      </c>
      <c r="N1054" s="166">
        <v>5</v>
      </c>
      <c r="O1054" s="164">
        <f t="shared" si="119"/>
        <v>475714.28571428568</v>
      </c>
      <c r="P1054" s="166">
        <v>0</v>
      </c>
      <c r="Q1054" s="166">
        <v>0</v>
      </c>
      <c r="R1054" s="164">
        <f>$L1054*'Pivot Objective'!$C$9*P1054*Q1054</f>
        <v>0</v>
      </c>
      <c r="S1054" s="166">
        <v>0</v>
      </c>
      <c r="T1054" s="166">
        <v>0</v>
      </c>
      <c r="U1054" s="164">
        <f>($L1054*'Pivot Objective'!$C$9^2)*S1054*T1054</f>
        <v>0</v>
      </c>
      <c r="V1054" s="166">
        <v>0</v>
      </c>
      <c r="W1054" s="166">
        <v>0</v>
      </c>
      <c r="X1054" s="164">
        <f>($L1054*'Pivot Objective'!$C$9^3)*V1054*W1054</f>
        <v>0</v>
      </c>
      <c r="Y1054" s="166">
        <v>0</v>
      </c>
      <c r="Z1054" s="166">
        <v>0</v>
      </c>
      <c r="AA1054" s="164">
        <f>($L1054*'Pivot Objective'!$C$9^4)*Y1054*Z1054</f>
        <v>0</v>
      </c>
      <c r="AB1054" s="140"/>
      <c r="AC1054" s="140"/>
      <c r="AD1054" s="164">
        <f>($L1054*'Pivot Objective'!$C$9^5)*AB1054*AC1054</f>
        <v>0</v>
      </c>
      <c r="AE1054" s="140"/>
      <c r="AF1054" s="140"/>
      <c r="AG1054" s="164">
        <f>($L1054*'Pivot Objective'!$C$9^6)*AE1054*AF1054</f>
        <v>0</v>
      </c>
      <c r="AH1054" s="140"/>
      <c r="AI1054" s="140"/>
      <c r="AJ1054" s="164">
        <f>($L1054*'Pivot Objective'!$C$9^7)*AH1054*AI1054</f>
        <v>0</v>
      </c>
      <c r="AK1054" s="185">
        <f t="shared" si="120"/>
        <v>475714.28571428568</v>
      </c>
      <c r="AL1054" s="186">
        <f t="shared" si="121"/>
        <v>461.85852981969481</v>
      </c>
    </row>
    <row r="1055" spans="1:38" customFormat="1" ht="86.4" x14ac:dyDescent="0.3">
      <c r="A1055" s="140" t="s">
        <v>1480</v>
      </c>
      <c r="B1055" s="140">
        <v>2</v>
      </c>
      <c r="C1055" s="166" t="s">
        <v>983</v>
      </c>
      <c r="D1055" s="140" t="str">
        <f t="shared" si="114"/>
        <v>1</v>
      </c>
      <c r="E1055" s="166" t="s">
        <v>1176</v>
      </c>
      <c r="F1055" s="140">
        <f t="shared" si="122"/>
        <v>1</v>
      </c>
      <c r="G1055" s="140" t="str">
        <f t="shared" si="115"/>
        <v>2.1.1</v>
      </c>
      <c r="H1055" s="166" t="s">
        <v>1711</v>
      </c>
      <c r="I1055" s="166" t="s">
        <v>1180</v>
      </c>
      <c r="J1055" s="166" t="s">
        <v>1183</v>
      </c>
      <c r="K1055" s="166" t="s">
        <v>841</v>
      </c>
      <c r="L1055" s="177">
        <v>0</v>
      </c>
      <c r="M1055" s="166">
        <v>4000</v>
      </c>
      <c r="N1055" s="166">
        <v>1</v>
      </c>
      <c r="O1055" s="164">
        <f t="shared" si="119"/>
        <v>0</v>
      </c>
      <c r="P1055" s="166">
        <v>0</v>
      </c>
      <c r="Q1055" s="166">
        <v>0</v>
      </c>
      <c r="R1055" s="164">
        <f>$L1055*'Pivot Objective'!$C$9*P1055*Q1055</f>
        <v>0</v>
      </c>
      <c r="S1055" s="166">
        <v>0</v>
      </c>
      <c r="T1055" s="166">
        <v>0</v>
      </c>
      <c r="U1055" s="164">
        <f>($L1055*'Pivot Objective'!$C$9^2)*S1055*T1055</f>
        <v>0</v>
      </c>
      <c r="V1055" s="166">
        <v>0</v>
      </c>
      <c r="W1055" s="166">
        <v>0</v>
      </c>
      <c r="X1055" s="164">
        <f>($L1055*'Pivot Objective'!$C$9^3)*V1055*W1055</f>
        <v>0</v>
      </c>
      <c r="Y1055" s="166">
        <v>0</v>
      </c>
      <c r="Z1055" s="166">
        <v>0</v>
      </c>
      <c r="AA1055" s="164">
        <f>($L1055*'Pivot Objective'!$C$9^4)*Y1055*Z1055</f>
        <v>0</v>
      </c>
      <c r="AB1055" s="140"/>
      <c r="AC1055" s="140"/>
      <c r="AD1055" s="164">
        <f>($L1055*'Pivot Objective'!$C$9^5)*AB1055*AC1055</f>
        <v>0</v>
      </c>
      <c r="AE1055" s="140"/>
      <c r="AF1055" s="140"/>
      <c r="AG1055" s="164">
        <f>($L1055*'Pivot Objective'!$C$9^6)*AE1055*AF1055</f>
        <v>0</v>
      </c>
      <c r="AH1055" s="140"/>
      <c r="AI1055" s="140"/>
      <c r="AJ1055" s="164">
        <f>($L1055*'Pivot Objective'!$C$9^7)*AH1055*AI1055</f>
        <v>0</v>
      </c>
      <c r="AK1055" s="185">
        <f t="shared" si="120"/>
        <v>0</v>
      </c>
      <c r="AL1055" s="186">
        <f t="shared" si="121"/>
        <v>0</v>
      </c>
    </row>
    <row r="1056" spans="1:38" customFormat="1" ht="86.4" x14ac:dyDescent="0.3">
      <c r="A1056" s="140" t="s">
        <v>1480</v>
      </c>
      <c r="B1056" s="140">
        <v>2</v>
      </c>
      <c r="C1056" s="166" t="s">
        <v>983</v>
      </c>
      <c r="D1056" s="140" t="str">
        <f t="shared" si="114"/>
        <v>1</v>
      </c>
      <c r="E1056" s="166" t="s">
        <v>1176</v>
      </c>
      <c r="F1056" s="140">
        <f t="shared" si="122"/>
        <v>1</v>
      </c>
      <c r="G1056" s="140" t="str">
        <f t="shared" si="115"/>
        <v>2.1.1</v>
      </c>
      <c r="H1056" s="166" t="s">
        <v>1711</v>
      </c>
      <c r="I1056" s="166" t="s">
        <v>1180</v>
      </c>
      <c r="J1056" s="166" t="s">
        <v>168</v>
      </c>
      <c r="K1056" s="166" t="s">
        <v>709</v>
      </c>
      <c r="L1056" s="177">
        <v>35000</v>
      </c>
      <c r="M1056" s="166">
        <v>100</v>
      </c>
      <c r="N1056" s="166">
        <v>1</v>
      </c>
      <c r="O1056" s="164">
        <f t="shared" si="119"/>
        <v>3500000</v>
      </c>
      <c r="P1056" s="166">
        <v>0</v>
      </c>
      <c r="Q1056" s="166">
        <v>0</v>
      </c>
      <c r="R1056" s="164">
        <f>$L1056*'Pivot Objective'!$C$9*P1056*Q1056</f>
        <v>0</v>
      </c>
      <c r="S1056" s="166">
        <v>0</v>
      </c>
      <c r="T1056" s="166">
        <v>0</v>
      </c>
      <c r="U1056" s="164">
        <f>($L1056*'Pivot Objective'!$C$9^2)*S1056*T1056</f>
        <v>0</v>
      </c>
      <c r="V1056" s="166">
        <v>0</v>
      </c>
      <c r="W1056" s="166">
        <v>0</v>
      </c>
      <c r="X1056" s="164">
        <f>($L1056*'Pivot Objective'!$C$9^3)*V1056*W1056</f>
        <v>0</v>
      </c>
      <c r="Y1056" s="166">
        <v>0</v>
      </c>
      <c r="Z1056" s="166">
        <v>0</v>
      </c>
      <c r="AA1056" s="164">
        <f>($L1056*'Pivot Objective'!$C$9^4)*Y1056*Z1056</f>
        <v>0</v>
      </c>
      <c r="AB1056" s="140"/>
      <c r="AC1056" s="140"/>
      <c r="AD1056" s="164">
        <f>($L1056*'Pivot Objective'!$C$9^5)*AB1056*AC1056</f>
        <v>0</v>
      </c>
      <c r="AE1056" s="140"/>
      <c r="AF1056" s="140"/>
      <c r="AG1056" s="164">
        <f>($L1056*'Pivot Objective'!$C$9^6)*AE1056*AF1056</f>
        <v>0</v>
      </c>
      <c r="AH1056" s="140"/>
      <c r="AI1056" s="140"/>
      <c r="AJ1056" s="164">
        <f>($L1056*'Pivot Objective'!$C$9^7)*AH1056*AI1056</f>
        <v>0</v>
      </c>
      <c r="AK1056" s="185">
        <f t="shared" si="120"/>
        <v>3500000</v>
      </c>
      <c r="AL1056" s="186">
        <f t="shared" si="121"/>
        <v>3398.0582524271845</v>
      </c>
    </row>
    <row r="1057" spans="1:38" customFormat="1" ht="86.4" x14ac:dyDescent="0.3">
      <c r="A1057" s="140" t="s">
        <v>1480</v>
      </c>
      <c r="B1057" s="140">
        <v>2</v>
      </c>
      <c r="C1057" s="166" t="s">
        <v>983</v>
      </c>
      <c r="D1057" s="140" t="str">
        <f t="shared" si="114"/>
        <v>1</v>
      </c>
      <c r="E1057" s="166" t="s">
        <v>1176</v>
      </c>
      <c r="F1057" s="140">
        <f t="shared" si="122"/>
        <v>1</v>
      </c>
      <c r="G1057" s="140" t="str">
        <f t="shared" si="115"/>
        <v>2.1.1</v>
      </c>
      <c r="H1057" s="166" t="s">
        <v>1711</v>
      </c>
      <c r="I1057" s="166" t="s">
        <v>1180</v>
      </c>
      <c r="J1057" s="166" t="s">
        <v>168</v>
      </c>
      <c r="K1057" s="166" t="s">
        <v>716</v>
      </c>
      <c r="L1057" s="177">
        <v>39000</v>
      </c>
      <c r="M1057" s="166">
        <v>58</v>
      </c>
      <c r="N1057" s="166">
        <v>2</v>
      </c>
      <c r="O1057" s="164">
        <f t="shared" si="119"/>
        <v>4524000</v>
      </c>
      <c r="P1057" s="166">
        <v>0</v>
      </c>
      <c r="Q1057" s="166">
        <v>0</v>
      </c>
      <c r="R1057" s="164">
        <f>$L1057*'Pivot Objective'!$C$9*P1057*Q1057</f>
        <v>0</v>
      </c>
      <c r="S1057" s="166">
        <v>0</v>
      </c>
      <c r="T1057" s="166">
        <v>0</v>
      </c>
      <c r="U1057" s="164">
        <f>($L1057*'Pivot Objective'!$C$9^2)*S1057*T1057</f>
        <v>0</v>
      </c>
      <c r="V1057" s="166">
        <v>0</v>
      </c>
      <c r="W1057" s="166">
        <v>0</v>
      </c>
      <c r="X1057" s="164">
        <f>($L1057*'Pivot Objective'!$C$9^3)*V1057*W1057</f>
        <v>0</v>
      </c>
      <c r="Y1057" s="166">
        <v>0</v>
      </c>
      <c r="Z1057" s="166">
        <v>0</v>
      </c>
      <c r="AA1057" s="164">
        <f>($L1057*'Pivot Objective'!$C$9^4)*Y1057*Z1057</f>
        <v>0</v>
      </c>
      <c r="AB1057" s="140"/>
      <c r="AC1057" s="140"/>
      <c r="AD1057" s="164">
        <f>($L1057*'Pivot Objective'!$C$9^5)*AB1057*AC1057</f>
        <v>0</v>
      </c>
      <c r="AE1057" s="140"/>
      <c r="AF1057" s="140"/>
      <c r="AG1057" s="164">
        <f>($L1057*'Pivot Objective'!$C$9^6)*AE1057*AF1057</f>
        <v>0</v>
      </c>
      <c r="AH1057" s="140"/>
      <c r="AI1057" s="140"/>
      <c r="AJ1057" s="164">
        <f>($L1057*'Pivot Objective'!$C$9^7)*AH1057*AI1057</f>
        <v>0</v>
      </c>
      <c r="AK1057" s="185">
        <f t="shared" si="120"/>
        <v>4524000</v>
      </c>
      <c r="AL1057" s="186">
        <f t="shared" si="121"/>
        <v>4392.2330097087379</v>
      </c>
    </row>
    <row r="1058" spans="1:38" customFormat="1" ht="86.4" x14ac:dyDescent="0.3">
      <c r="A1058" s="140" t="s">
        <v>1480</v>
      </c>
      <c r="B1058" s="140">
        <v>2</v>
      </c>
      <c r="C1058" s="166" t="s">
        <v>983</v>
      </c>
      <c r="D1058" s="140" t="str">
        <f t="shared" si="114"/>
        <v>1</v>
      </c>
      <c r="E1058" s="166" t="s">
        <v>1176</v>
      </c>
      <c r="F1058" s="140">
        <f t="shared" si="122"/>
        <v>1</v>
      </c>
      <c r="G1058" s="140" t="str">
        <f t="shared" si="115"/>
        <v>2.1.1</v>
      </c>
      <c r="H1058" s="166" t="s">
        <v>1711</v>
      </c>
      <c r="I1058" s="166" t="s">
        <v>1180</v>
      </c>
      <c r="J1058" s="166" t="s">
        <v>168</v>
      </c>
      <c r="K1058" s="166" t="s">
        <v>1350</v>
      </c>
      <c r="L1058" s="177">
        <f>1480/7</f>
        <v>211.42857142857142</v>
      </c>
      <c r="M1058" s="166">
        <f>2*135*9</f>
        <v>2430</v>
      </c>
      <c r="N1058" s="166">
        <v>1</v>
      </c>
      <c r="O1058" s="164">
        <f t="shared" si="119"/>
        <v>513771.42857142852</v>
      </c>
      <c r="P1058" s="166"/>
      <c r="Q1058" s="166"/>
      <c r="R1058" s="164">
        <f>$L1058*'Pivot Objective'!$C$9*P1058*Q1058</f>
        <v>0</v>
      </c>
      <c r="S1058" s="166"/>
      <c r="T1058" s="166"/>
      <c r="U1058" s="164">
        <f>($L1058*'Pivot Objective'!$C$9^2)*S1058*T1058</f>
        <v>0</v>
      </c>
      <c r="V1058" s="166"/>
      <c r="W1058" s="166"/>
      <c r="X1058" s="164">
        <f>($L1058*'Pivot Objective'!$C$9^3)*V1058*W1058</f>
        <v>0</v>
      </c>
      <c r="Y1058" s="166"/>
      <c r="Z1058" s="166"/>
      <c r="AA1058" s="164">
        <f>($L1058*'Pivot Objective'!$C$9^4)*Y1058*Z1058</f>
        <v>0</v>
      </c>
      <c r="AB1058" s="140"/>
      <c r="AC1058" s="140"/>
      <c r="AD1058" s="164">
        <f>($L1058*'Pivot Objective'!$C$9^5)*AB1058*AC1058</f>
        <v>0</v>
      </c>
      <c r="AE1058" s="140"/>
      <c r="AF1058" s="140"/>
      <c r="AG1058" s="164">
        <f>($L1058*'Pivot Objective'!$C$9^6)*AE1058*AF1058</f>
        <v>0</v>
      </c>
      <c r="AH1058" s="140"/>
      <c r="AI1058" s="140"/>
      <c r="AJ1058" s="164">
        <f>($L1058*'Pivot Objective'!$C$9^7)*AH1058*AI1058</f>
        <v>0</v>
      </c>
      <c r="AK1058" s="185">
        <f t="shared" si="120"/>
        <v>513771.42857142852</v>
      </c>
      <c r="AL1058" s="186">
        <f t="shared" si="121"/>
        <v>498.80721220527039</v>
      </c>
    </row>
    <row r="1059" spans="1:38" customFormat="1" ht="86.4" x14ac:dyDescent="0.3">
      <c r="A1059" s="140" t="s">
        <v>1480</v>
      </c>
      <c r="B1059" s="140">
        <v>2</v>
      </c>
      <c r="C1059" s="166" t="s">
        <v>983</v>
      </c>
      <c r="D1059" s="140" t="str">
        <f t="shared" si="114"/>
        <v>1</v>
      </c>
      <c r="E1059" s="166" t="s">
        <v>1176</v>
      </c>
      <c r="F1059" s="140">
        <f t="shared" si="122"/>
        <v>1</v>
      </c>
      <c r="G1059" s="140" t="str">
        <f t="shared" si="115"/>
        <v>2.1.1</v>
      </c>
      <c r="H1059" s="166" t="s">
        <v>1711</v>
      </c>
      <c r="I1059" s="166" t="s">
        <v>1180</v>
      </c>
      <c r="J1059" s="166" t="s">
        <v>168</v>
      </c>
      <c r="K1059" s="166" t="s">
        <v>712</v>
      </c>
      <c r="L1059" s="177">
        <f>1480/7</f>
        <v>211.42857142857142</v>
      </c>
      <c r="M1059" s="166">
        <f>25*2*9</f>
        <v>450</v>
      </c>
      <c r="N1059" s="166">
        <v>1</v>
      </c>
      <c r="O1059" s="164">
        <f t="shared" si="119"/>
        <v>95142.85714285713</v>
      </c>
      <c r="P1059" s="166">
        <v>0</v>
      </c>
      <c r="Q1059" s="166">
        <v>0</v>
      </c>
      <c r="R1059" s="164">
        <f>$L1059*'Pivot Objective'!$C$9*P1059*Q1059</f>
        <v>0</v>
      </c>
      <c r="S1059" s="166">
        <v>0</v>
      </c>
      <c r="T1059" s="166">
        <v>0</v>
      </c>
      <c r="U1059" s="164">
        <f>($L1059*'Pivot Objective'!$C$9^2)*S1059*T1059</f>
        <v>0</v>
      </c>
      <c r="V1059" s="166">
        <v>0</v>
      </c>
      <c r="W1059" s="166">
        <v>0</v>
      </c>
      <c r="X1059" s="164">
        <f>($L1059*'Pivot Objective'!$C$9^3)*V1059*W1059</f>
        <v>0</v>
      </c>
      <c r="Y1059" s="166">
        <v>0</v>
      </c>
      <c r="Z1059" s="166">
        <v>0</v>
      </c>
      <c r="AA1059" s="164">
        <f>($L1059*'Pivot Objective'!$C$9^4)*Y1059*Z1059</f>
        <v>0</v>
      </c>
      <c r="AB1059" s="140"/>
      <c r="AC1059" s="140"/>
      <c r="AD1059" s="164">
        <f>($L1059*'Pivot Objective'!$C$9^5)*AB1059*AC1059</f>
        <v>0</v>
      </c>
      <c r="AE1059" s="140"/>
      <c r="AF1059" s="140"/>
      <c r="AG1059" s="164">
        <f>($L1059*'Pivot Objective'!$C$9^6)*AE1059*AF1059</f>
        <v>0</v>
      </c>
      <c r="AH1059" s="140"/>
      <c r="AI1059" s="140"/>
      <c r="AJ1059" s="164">
        <f>($L1059*'Pivot Objective'!$C$9^7)*AH1059*AI1059</f>
        <v>0</v>
      </c>
      <c r="AK1059" s="185">
        <f t="shared" si="120"/>
        <v>95142.85714285713</v>
      </c>
      <c r="AL1059" s="186">
        <f t="shared" si="121"/>
        <v>92.371705963938965</v>
      </c>
    </row>
    <row r="1060" spans="1:38" customFormat="1" ht="86.4" x14ac:dyDescent="0.3">
      <c r="A1060" s="140" t="s">
        <v>1480</v>
      </c>
      <c r="B1060" s="140">
        <v>2</v>
      </c>
      <c r="C1060" s="166" t="s">
        <v>983</v>
      </c>
      <c r="D1060" s="140" t="str">
        <f t="shared" si="114"/>
        <v>1</v>
      </c>
      <c r="E1060" s="166" t="s">
        <v>1176</v>
      </c>
      <c r="F1060" s="140">
        <f t="shared" si="122"/>
        <v>1</v>
      </c>
      <c r="G1060" s="140" t="str">
        <f t="shared" si="115"/>
        <v>2.1.1</v>
      </c>
      <c r="H1060" s="166" t="s">
        <v>1711</v>
      </c>
      <c r="I1060" s="166" t="s">
        <v>1180</v>
      </c>
      <c r="J1060" s="166" t="s">
        <v>154</v>
      </c>
      <c r="K1060" s="166" t="s">
        <v>709</v>
      </c>
      <c r="L1060" s="177">
        <v>35000</v>
      </c>
      <c r="M1060" s="166">
        <v>100</v>
      </c>
      <c r="N1060" s="166">
        <v>1</v>
      </c>
      <c r="O1060" s="164">
        <f t="shared" si="119"/>
        <v>3500000</v>
      </c>
      <c r="P1060" s="166">
        <v>0</v>
      </c>
      <c r="Q1060" s="166">
        <v>0</v>
      </c>
      <c r="R1060" s="164">
        <f>$L1060*'Pivot Objective'!$C$9*P1060*Q1060</f>
        <v>0</v>
      </c>
      <c r="S1060" s="166">
        <v>0</v>
      </c>
      <c r="T1060" s="166">
        <v>0</v>
      </c>
      <c r="U1060" s="164">
        <f>($L1060*'Pivot Objective'!$C$9^2)*S1060*T1060</f>
        <v>0</v>
      </c>
      <c r="V1060" s="166">
        <v>0</v>
      </c>
      <c r="W1060" s="166">
        <v>0</v>
      </c>
      <c r="X1060" s="164">
        <f>($L1060*'Pivot Objective'!$C$9^3)*V1060*W1060</f>
        <v>0</v>
      </c>
      <c r="Y1060" s="166">
        <v>0</v>
      </c>
      <c r="Z1060" s="166">
        <v>0</v>
      </c>
      <c r="AA1060" s="164">
        <f>($L1060*'Pivot Objective'!$C$9^4)*Y1060*Z1060</f>
        <v>0</v>
      </c>
      <c r="AB1060" s="140"/>
      <c r="AC1060" s="140"/>
      <c r="AD1060" s="164">
        <f>($L1060*'Pivot Objective'!$C$9^5)*AB1060*AC1060</f>
        <v>0</v>
      </c>
      <c r="AE1060" s="140"/>
      <c r="AF1060" s="140"/>
      <c r="AG1060" s="164">
        <f>($L1060*'Pivot Objective'!$C$9^6)*AE1060*AF1060</f>
        <v>0</v>
      </c>
      <c r="AH1060" s="140"/>
      <c r="AI1060" s="140"/>
      <c r="AJ1060" s="164">
        <f>($L1060*'Pivot Objective'!$C$9^7)*AH1060*AI1060</f>
        <v>0</v>
      </c>
      <c r="AK1060" s="185">
        <f t="shared" si="120"/>
        <v>3500000</v>
      </c>
      <c r="AL1060" s="186">
        <f t="shared" si="121"/>
        <v>3398.0582524271845</v>
      </c>
    </row>
    <row r="1061" spans="1:38" customFormat="1" ht="86.4" x14ac:dyDescent="0.3">
      <c r="A1061" s="140" t="s">
        <v>1480</v>
      </c>
      <c r="B1061" s="140">
        <v>2</v>
      </c>
      <c r="C1061" s="166" t="s">
        <v>983</v>
      </c>
      <c r="D1061" s="140" t="str">
        <f t="shared" si="114"/>
        <v>1</v>
      </c>
      <c r="E1061" s="166" t="s">
        <v>1176</v>
      </c>
      <c r="F1061" s="140">
        <f t="shared" si="122"/>
        <v>1</v>
      </c>
      <c r="G1061" s="140" t="str">
        <f t="shared" si="115"/>
        <v>2.1.1</v>
      </c>
      <c r="H1061" s="166" t="s">
        <v>1711</v>
      </c>
      <c r="I1061" s="166" t="s">
        <v>1180</v>
      </c>
      <c r="J1061" s="166" t="s">
        <v>154</v>
      </c>
      <c r="K1061" s="166" t="s">
        <v>716</v>
      </c>
      <c r="L1061" s="177">
        <v>39000</v>
      </c>
      <c r="M1061" s="166">
        <v>100</v>
      </c>
      <c r="N1061" s="166">
        <v>2</v>
      </c>
      <c r="O1061" s="164">
        <f t="shared" si="119"/>
        <v>7800000</v>
      </c>
      <c r="P1061" s="166">
        <v>0</v>
      </c>
      <c r="Q1061" s="166">
        <v>0</v>
      </c>
      <c r="R1061" s="164">
        <f>$L1061*'Pivot Objective'!$C$9*P1061*Q1061</f>
        <v>0</v>
      </c>
      <c r="S1061" s="166">
        <v>0</v>
      </c>
      <c r="T1061" s="166">
        <v>0</v>
      </c>
      <c r="U1061" s="164">
        <f>($L1061*'Pivot Objective'!$C$9^2)*S1061*T1061</f>
        <v>0</v>
      </c>
      <c r="V1061" s="166">
        <v>0</v>
      </c>
      <c r="W1061" s="166">
        <v>0</v>
      </c>
      <c r="X1061" s="164">
        <f>($L1061*'Pivot Objective'!$C$9^3)*V1061*W1061</f>
        <v>0</v>
      </c>
      <c r="Y1061" s="166">
        <v>0</v>
      </c>
      <c r="Z1061" s="166">
        <v>0</v>
      </c>
      <c r="AA1061" s="164">
        <f>($L1061*'Pivot Objective'!$C$9^4)*Y1061*Z1061</f>
        <v>0</v>
      </c>
      <c r="AB1061" s="140"/>
      <c r="AC1061" s="140"/>
      <c r="AD1061" s="164">
        <f>($L1061*'Pivot Objective'!$C$9^5)*AB1061*AC1061</f>
        <v>0</v>
      </c>
      <c r="AE1061" s="140"/>
      <c r="AF1061" s="140"/>
      <c r="AG1061" s="164">
        <f>($L1061*'Pivot Objective'!$C$9^6)*AE1061*AF1061</f>
        <v>0</v>
      </c>
      <c r="AH1061" s="140"/>
      <c r="AI1061" s="140"/>
      <c r="AJ1061" s="164">
        <f>($L1061*'Pivot Objective'!$C$9^7)*AH1061*AI1061</f>
        <v>0</v>
      </c>
      <c r="AK1061" s="185">
        <f t="shared" si="120"/>
        <v>7800000</v>
      </c>
      <c r="AL1061" s="186">
        <f t="shared" si="121"/>
        <v>7572.8155339805826</v>
      </c>
    </row>
    <row r="1062" spans="1:38" customFormat="1" ht="86.4" x14ac:dyDescent="0.3">
      <c r="A1062" s="140" t="s">
        <v>1480</v>
      </c>
      <c r="B1062" s="140">
        <v>2</v>
      </c>
      <c r="C1062" s="166" t="s">
        <v>983</v>
      </c>
      <c r="D1062" s="140" t="str">
        <f t="shared" si="114"/>
        <v>1</v>
      </c>
      <c r="E1062" s="166" t="s">
        <v>1176</v>
      </c>
      <c r="F1062" s="140">
        <f t="shared" si="122"/>
        <v>1</v>
      </c>
      <c r="G1062" s="140" t="str">
        <f t="shared" si="115"/>
        <v>2.1.1</v>
      </c>
      <c r="H1062" s="166" t="s">
        <v>1711</v>
      </c>
      <c r="I1062" s="166" t="s">
        <v>1180</v>
      </c>
      <c r="J1062" s="166" t="s">
        <v>154</v>
      </c>
      <c r="K1062" s="166" t="s">
        <v>1297</v>
      </c>
      <c r="L1062" s="177">
        <v>8000</v>
      </c>
      <c r="M1062" s="166">
        <v>10</v>
      </c>
      <c r="N1062" s="166">
        <v>1</v>
      </c>
      <c r="O1062" s="164">
        <f t="shared" si="119"/>
        <v>80000</v>
      </c>
      <c r="P1062" s="166">
        <v>0</v>
      </c>
      <c r="Q1062" s="166">
        <v>0</v>
      </c>
      <c r="R1062" s="164">
        <f>$L1062*'Pivot Objective'!$C$9*P1062*Q1062</f>
        <v>0</v>
      </c>
      <c r="S1062" s="166">
        <v>0</v>
      </c>
      <c r="T1062" s="166">
        <v>0</v>
      </c>
      <c r="U1062" s="164">
        <f>($L1062*'Pivot Objective'!$C$9^2)*S1062*T1062</f>
        <v>0</v>
      </c>
      <c r="V1062" s="166">
        <v>0</v>
      </c>
      <c r="W1062" s="166">
        <v>0</v>
      </c>
      <c r="X1062" s="164">
        <f>($L1062*'Pivot Objective'!$C$9^3)*V1062*W1062</f>
        <v>0</v>
      </c>
      <c r="Y1062" s="166">
        <v>0</v>
      </c>
      <c r="Z1062" s="166">
        <v>0</v>
      </c>
      <c r="AA1062" s="164">
        <f>($L1062*'Pivot Objective'!$C$9^4)*Y1062*Z1062</f>
        <v>0</v>
      </c>
      <c r="AB1062" s="140"/>
      <c r="AC1062" s="140"/>
      <c r="AD1062" s="164">
        <f>($L1062*'Pivot Objective'!$C$9^5)*AB1062*AC1062</f>
        <v>0</v>
      </c>
      <c r="AE1062" s="140"/>
      <c r="AF1062" s="140"/>
      <c r="AG1062" s="164">
        <f>($L1062*'Pivot Objective'!$C$9^6)*AE1062*AF1062</f>
        <v>0</v>
      </c>
      <c r="AH1062" s="140"/>
      <c r="AI1062" s="140"/>
      <c r="AJ1062" s="164">
        <f>($L1062*'Pivot Objective'!$C$9^7)*AH1062*AI1062</f>
        <v>0</v>
      </c>
      <c r="AK1062" s="185">
        <f t="shared" si="120"/>
        <v>80000</v>
      </c>
      <c r="AL1062" s="186">
        <f t="shared" si="121"/>
        <v>77.669902912621353</v>
      </c>
    </row>
    <row r="1063" spans="1:38" customFormat="1" ht="86.4" x14ac:dyDescent="0.3">
      <c r="A1063" s="140" t="s">
        <v>1480</v>
      </c>
      <c r="B1063" s="140">
        <v>2</v>
      </c>
      <c r="C1063" s="166" t="s">
        <v>983</v>
      </c>
      <c r="D1063" s="140" t="str">
        <f t="shared" si="114"/>
        <v>1</v>
      </c>
      <c r="E1063" s="166" t="s">
        <v>1176</v>
      </c>
      <c r="F1063" s="140">
        <f t="shared" si="122"/>
        <v>1</v>
      </c>
      <c r="G1063" s="140" t="str">
        <f t="shared" si="115"/>
        <v>2.1.1</v>
      </c>
      <c r="H1063" s="166" t="s">
        <v>1711</v>
      </c>
      <c r="I1063" s="166" t="s">
        <v>1180</v>
      </c>
      <c r="J1063" s="166" t="s">
        <v>154</v>
      </c>
      <c r="K1063" s="166" t="s">
        <v>710</v>
      </c>
      <c r="L1063" s="177">
        <v>104850</v>
      </c>
      <c r="M1063" s="166">
        <v>1</v>
      </c>
      <c r="N1063" s="166">
        <v>1</v>
      </c>
      <c r="O1063" s="164">
        <f t="shared" si="119"/>
        <v>104850</v>
      </c>
      <c r="P1063" s="166">
        <v>0</v>
      </c>
      <c r="Q1063" s="166">
        <v>0</v>
      </c>
      <c r="R1063" s="164">
        <f>$L1063*'Pivot Objective'!$C$9*P1063*Q1063</f>
        <v>0</v>
      </c>
      <c r="S1063" s="166">
        <v>0</v>
      </c>
      <c r="T1063" s="166">
        <v>0</v>
      </c>
      <c r="U1063" s="164">
        <f>($L1063*'Pivot Objective'!$C$9^2)*S1063*T1063</f>
        <v>0</v>
      </c>
      <c r="V1063" s="166">
        <v>0</v>
      </c>
      <c r="W1063" s="166">
        <v>0</v>
      </c>
      <c r="X1063" s="164">
        <f>($L1063*'Pivot Objective'!$C$9^3)*V1063*W1063</f>
        <v>0</v>
      </c>
      <c r="Y1063" s="166">
        <v>0</v>
      </c>
      <c r="Z1063" s="166">
        <v>0</v>
      </c>
      <c r="AA1063" s="164">
        <f>($L1063*'Pivot Objective'!$C$9^4)*Y1063*Z1063</f>
        <v>0</v>
      </c>
      <c r="AB1063" s="140"/>
      <c r="AC1063" s="140"/>
      <c r="AD1063" s="164">
        <f>($L1063*'Pivot Objective'!$C$9^5)*AB1063*AC1063</f>
        <v>0</v>
      </c>
      <c r="AE1063" s="140"/>
      <c r="AF1063" s="140"/>
      <c r="AG1063" s="164">
        <f>($L1063*'Pivot Objective'!$C$9^6)*AE1063*AF1063</f>
        <v>0</v>
      </c>
      <c r="AH1063" s="140"/>
      <c r="AI1063" s="140"/>
      <c r="AJ1063" s="164">
        <f>($L1063*'Pivot Objective'!$C$9^7)*AH1063*AI1063</f>
        <v>0</v>
      </c>
      <c r="AK1063" s="185">
        <f t="shared" si="120"/>
        <v>104850</v>
      </c>
      <c r="AL1063" s="186">
        <f t="shared" si="121"/>
        <v>101.79611650485437</v>
      </c>
    </row>
    <row r="1064" spans="1:38" customFormat="1" ht="86.4" x14ac:dyDescent="0.3">
      <c r="A1064" s="140" t="s">
        <v>1480</v>
      </c>
      <c r="B1064" s="140">
        <v>2</v>
      </c>
      <c r="C1064" s="166" t="s">
        <v>983</v>
      </c>
      <c r="D1064" s="140" t="str">
        <f t="shared" si="114"/>
        <v>1</v>
      </c>
      <c r="E1064" s="166" t="s">
        <v>1176</v>
      </c>
      <c r="F1064" s="140">
        <f t="shared" si="122"/>
        <v>1</v>
      </c>
      <c r="G1064" s="140" t="str">
        <f t="shared" si="115"/>
        <v>2.1.1</v>
      </c>
      <c r="H1064" s="166" t="s">
        <v>1711</v>
      </c>
      <c r="I1064" s="166" t="s">
        <v>1180</v>
      </c>
      <c r="J1064" s="166" t="s">
        <v>154</v>
      </c>
      <c r="K1064" s="166" t="s">
        <v>1350</v>
      </c>
      <c r="L1064" s="177">
        <f>1480/7</f>
        <v>211.42857142857142</v>
      </c>
      <c r="M1064" s="166">
        <f>2*135*29</f>
        <v>7830</v>
      </c>
      <c r="N1064" s="166">
        <v>1</v>
      </c>
      <c r="O1064" s="164">
        <f t="shared" si="119"/>
        <v>1655485.7142857141</v>
      </c>
      <c r="P1064" s="166"/>
      <c r="Q1064" s="166"/>
      <c r="R1064" s="164">
        <f>$L1064*'Pivot Objective'!$C$9*P1064*Q1064</f>
        <v>0</v>
      </c>
      <c r="S1064" s="166"/>
      <c r="T1064" s="166"/>
      <c r="U1064" s="164">
        <f>($L1064*'Pivot Objective'!$C$9^2)*S1064*T1064</f>
        <v>0</v>
      </c>
      <c r="V1064" s="166"/>
      <c r="W1064" s="166"/>
      <c r="X1064" s="164">
        <f>($L1064*'Pivot Objective'!$C$9^3)*V1064*W1064</f>
        <v>0</v>
      </c>
      <c r="Y1064" s="166"/>
      <c r="Z1064" s="166"/>
      <c r="AA1064" s="164">
        <f>($L1064*'Pivot Objective'!$C$9^4)*Y1064*Z1064</f>
        <v>0</v>
      </c>
      <c r="AB1064" s="140"/>
      <c r="AC1064" s="140"/>
      <c r="AD1064" s="164">
        <f>($L1064*'Pivot Objective'!$C$9^5)*AB1064*AC1064</f>
        <v>0</v>
      </c>
      <c r="AE1064" s="140"/>
      <c r="AF1064" s="140"/>
      <c r="AG1064" s="164">
        <f>($L1064*'Pivot Objective'!$C$9^6)*AE1064*AF1064</f>
        <v>0</v>
      </c>
      <c r="AH1064" s="140"/>
      <c r="AI1064" s="140"/>
      <c r="AJ1064" s="164">
        <f>($L1064*'Pivot Objective'!$C$9^7)*AH1064*AI1064</f>
        <v>0</v>
      </c>
      <c r="AK1064" s="185">
        <f t="shared" si="120"/>
        <v>1655485.7142857141</v>
      </c>
      <c r="AL1064" s="186">
        <f t="shared" si="121"/>
        <v>1607.267683772538</v>
      </c>
    </row>
    <row r="1065" spans="1:38" customFormat="1" ht="86.4" x14ac:dyDescent="0.3">
      <c r="A1065" s="140" t="s">
        <v>1480</v>
      </c>
      <c r="B1065" s="140">
        <v>2</v>
      </c>
      <c r="C1065" s="166" t="s">
        <v>983</v>
      </c>
      <c r="D1065" s="140" t="str">
        <f t="shared" si="114"/>
        <v>1</v>
      </c>
      <c r="E1065" s="166" t="s">
        <v>1176</v>
      </c>
      <c r="F1065" s="140">
        <f t="shared" si="122"/>
        <v>1</v>
      </c>
      <c r="G1065" s="140" t="str">
        <f t="shared" si="115"/>
        <v>2.1.1</v>
      </c>
      <c r="H1065" s="166" t="s">
        <v>1711</v>
      </c>
      <c r="I1065" s="166" t="s">
        <v>1180</v>
      </c>
      <c r="J1065" s="166" t="s">
        <v>154</v>
      </c>
      <c r="K1065" s="166" t="s">
        <v>712</v>
      </c>
      <c r="L1065" s="177">
        <f>1480/7</f>
        <v>211.42857142857142</v>
      </c>
      <c r="M1065" s="166">
        <f>25*2*29</f>
        <v>1450</v>
      </c>
      <c r="N1065" s="166">
        <v>1</v>
      </c>
      <c r="O1065" s="164">
        <f t="shared" si="119"/>
        <v>306571.42857142858</v>
      </c>
      <c r="P1065" s="166">
        <v>0</v>
      </c>
      <c r="Q1065" s="166">
        <v>0</v>
      </c>
      <c r="R1065" s="164">
        <f>$L1065*'Pivot Objective'!$C$9*P1065*Q1065</f>
        <v>0</v>
      </c>
      <c r="S1065" s="166">
        <v>0</v>
      </c>
      <c r="T1065" s="166">
        <v>0</v>
      </c>
      <c r="U1065" s="164">
        <f>($L1065*'Pivot Objective'!$C$9^2)*S1065*T1065</f>
        <v>0</v>
      </c>
      <c r="V1065" s="166">
        <v>0</v>
      </c>
      <c r="W1065" s="166">
        <v>0</v>
      </c>
      <c r="X1065" s="164">
        <f>($L1065*'Pivot Objective'!$C$9^3)*V1065*W1065</f>
        <v>0</v>
      </c>
      <c r="Y1065" s="166">
        <v>0</v>
      </c>
      <c r="Z1065" s="166">
        <v>0</v>
      </c>
      <c r="AA1065" s="164">
        <f>($L1065*'Pivot Objective'!$C$9^4)*Y1065*Z1065</f>
        <v>0</v>
      </c>
      <c r="AB1065" s="140"/>
      <c r="AC1065" s="140"/>
      <c r="AD1065" s="164">
        <f>($L1065*'Pivot Objective'!$C$9^5)*AB1065*AC1065</f>
        <v>0</v>
      </c>
      <c r="AE1065" s="140"/>
      <c r="AF1065" s="140"/>
      <c r="AG1065" s="164">
        <f>($L1065*'Pivot Objective'!$C$9^6)*AE1065*AF1065</f>
        <v>0</v>
      </c>
      <c r="AH1065" s="140"/>
      <c r="AI1065" s="140"/>
      <c r="AJ1065" s="164">
        <f>($L1065*'Pivot Objective'!$C$9^7)*AH1065*AI1065</f>
        <v>0</v>
      </c>
      <c r="AK1065" s="185">
        <f t="shared" si="120"/>
        <v>306571.42857142858</v>
      </c>
      <c r="AL1065" s="186">
        <f t="shared" si="121"/>
        <v>297.64216366158115</v>
      </c>
    </row>
    <row r="1066" spans="1:38" customFormat="1" ht="86.4" x14ac:dyDescent="0.3">
      <c r="A1066" s="140" t="s">
        <v>1480</v>
      </c>
      <c r="B1066" s="140">
        <v>2</v>
      </c>
      <c r="C1066" s="166" t="s">
        <v>983</v>
      </c>
      <c r="D1066" s="140" t="str">
        <f t="shared" si="114"/>
        <v>1</v>
      </c>
      <c r="E1066" s="166" t="s">
        <v>1176</v>
      </c>
      <c r="F1066" s="140">
        <f t="shared" si="122"/>
        <v>1</v>
      </c>
      <c r="G1066" s="140" t="str">
        <f t="shared" si="115"/>
        <v>2.1.1</v>
      </c>
      <c r="H1066" s="166" t="s">
        <v>1711</v>
      </c>
      <c r="I1066" s="166" t="s">
        <v>1180</v>
      </c>
      <c r="J1066" s="166" t="s">
        <v>1184</v>
      </c>
      <c r="K1066" s="166" t="s">
        <v>841</v>
      </c>
      <c r="L1066" s="177">
        <v>0</v>
      </c>
      <c r="M1066" s="166">
        <v>8000</v>
      </c>
      <c r="N1066" s="166">
        <v>1</v>
      </c>
      <c r="O1066" s="164">
        <f t="shared" si="119"/>
        <v>0</v>
      </c>
      <c r="P1066" s="166">
        <v>0</v>
      </c>
      <c r="Q1066" s="166">
        <v>0</v>
      </c>
      <c r="R1066" s="164">
        <f>$L1066*'Pivot Objective'!$C$9*P1066*Q1066</f>
        <v>0</v>
      </c>
      <c r="S1066" s="166">
        <v>0</v>
      </c>
      <c r="T1066" s="166">
        <v>0</v>
      </c>
      <c r="U1066" s="164">
        <f>($L1066*'Pivot Objective'!$C$9^2)*S1066*T1066</f>
        <v>0</v>
      </c>
      <c r="V1066" s="166">
        <v>0</v>
      </c>
      <c r="W1066" s="166">
        <v>0</v>
      </c>
      <c r="X1066" s="164">
        <f>($L1066*'Pivot Objective'!$C$9^3)*V1066*W1066</f>
        <v>0</v>
      </c>
      <c r="Y1066" s="166">
        <v>0</v>
      </c>
      <c r="Z1066" s="166">
        <v>0</v>
      </c>
      <c r="AA1066" s="164">
        <f>($L1066*'Pivot Objective'!$C$9^4)*Y1066*Z1066</f>
        <v>0</v>
      </c>
      <c r="AB1066" s="140"/>
      <c r="AC1066" s="140"/>
      <c r="AD1066" s="164">
        <f>($L1066*'Pivot Objective'!$C$9^5)*AB1066*AC1066</f>
        <v>0</v>
      </c>
      <c r="AE1066" s="140"/>
      <c r="AF1066" s="140"/>
      <c r="AG1066" s="164">
        <f>($L1066*'Pivot Objective'!$C$9^6)*AE1066*AF1066</f>
        <v>0</v>
      </c>
      <c r="AH1066" s="140"/>
      <c r="AI1066" s="140"/>
      <c r="AJ1066" s="164">
        <f>($L1066*'Pivot Objective'!$C$9^7)*AH1066*AI1066</f>
        <v>0</v>
      </c>
      <c r="AK1066" s="185">
        <f t="shared" si="120"/>
        <v>0</v>
      </c>
      <c r="AL1066" s="186">
        <f t="shared" si="121"/>
        <v>0</v>
      </c>
    </row>
    <row r="1067" spans="1:38" customFormat="1" ht="86.4" x14ac:dyDescent="0.3">
      <c r="A1067" s="140" t="s">
        <v>1480</v>
      </c>
      <c r="B1067" s="140">
        <v>2</v>
      </c>
      <c r="C1067" s="166" t="s">
        <v>983</v>
      </c>
      <c r="D1067" s="140" t="str">
        <f t="shared" si="114"/>
        <v>1</v>
      </c>
      <c r="E1067" s="166" t="s">
        <v>1176</v>
      </c>
      <c r="F1067" s="140">
        <f t="shared" si="122"/>
        <v>1</v>
      </c>
      <c r="G1067" s="140" t="str">
        <f t="shared" si="115"/>
        <v>2.1.1</v>
      </c>
      <c r="H1067" s="166" t="s">
        <v>1711</v>
      </c>
      <c r="I1067" s="166" t="s">
        <v>1185</v>
      </c>
      <c r="J1067" s="166" t="s">
        <v>1186</v>
      </c>
      <c r="K1067" s="166" t="s">
        <v>841</v>
      </c>
      <c r="L1067" s="177">
        <v>0</v>
      </c>
      <c r="M1067" s="166">
        <v>0</v>
      </c>
      <c r="N1067" s="166">
        <v>0</v>
      </c>
      <c r="O1067" s="164">
        <f t="shared" si="119"/>
        <v>0</v>
      </c>
      <c r="P1067" s="166">
        <v>0</v>
      </c>
      <c r="Q1067" s="166">
        <v>0</v>
      </c>
      <c r="R1067" s="164">
        <f>$L1067*'Pivot Objective'!$C$9*P1067*Q1067</f>
        <v>0</v>
      </c>
      <c r="S1067" s="166">
        <v>0</v>
      </c>
      <c r="T1067" s="166">
        <v>0</v>
      </c>
      <c r="U1067" s="164">
        <f>($L1067*'Pivot Objective'!$C$9^2)*S1067*T1067</f>
        <v>0</v>
      </c>
      <c r="V1067" s="166">
        <v>0</v>
      </c>
      <c r="W1067" s="166">
        <v>0</v>
      </c>
      <c r="X1067" s="164">
        <f>($L1067*'Pivot Objective'!$C$9^3)*V1067*W1067</f>
        <v>0</v>
      </c>
      <c r="Y1067" s="166">
        <v>0</v>
      </c>
      <c r="Z1067" s="166">
        <v>0</v>
      </c>
      <c r="AA1067" s="164">
        <f>($L1067*'Pivot Objective'!$C$9^4)*Y1067*Z1067</f>
        <v>0</v>
      </c>
      <c r="AB1067" s="140"/>
      <c r="AC1067" s="140"/>
      <c r="AD1067" s="164">
        <f>($L1067*'Pivot Objective'!$C$9^5)*AB1067*AC1067</f>
        <v>0</v>
      </c>
      <c r="AE1067" s="140"/>
      <c r="AF1067" s="140"/>
      <c r="AG1067" s="164">
        <f>($L1067*'Pivot Objective'!$C$9^6)*AE1067*AF1067</f>
        <v>0</v>
      </c>
      <c r="AH1067" s="140"/>
      <c r="AI1067" s="140"/>
      <c r="AJ1067" s="164">
        <f>($L1067*'Pivot Objective'!$C$9^7)*AH1067*AI1067</f>
        <v>0</v>
      </c>
      <c r="AK1067" s="185">
        <f t="shared" si="120"/>
        <v>0</v>
      </c>
      <c r="AL1067" s="186">
        <f t="shared" si="121"/>
        <v>0</v>
      </c>
    </row>
    <row r="1068" spans="1:38" customFormat="1" ht="86.4" x14ac:dyDescent="0.3">
      <c r="A1068" s="140" t="s">
        <v>1480</v>
      </c>
      <c r="B1068" s="140">
        <v>2</v>
      </c>
      <c r="C1068" s="166" t="s">
        <v>983</v>
      </c>
      <c r="D1068" s="140" t="str">
        <f t="shared" si="114"/>
        <v>1</v>
      </c>
      <c r="E1068" s="166" t="s">
        <v>1176</v>
      </c>
      <c r="F1068" s="140">
        <f t="shared" si="122"/>
        <v>1</v>
      </c>
      <c r="G1068" s="140" t="str">
        <f t="shared" si="115"/>
        <v>2.1.1</v>
      </c>
      <c r="H1068" s="166" t="s">
        <v>1711</v>
      </c>
      <c r="I1068" s="166" t="s">
        <v>1185</v>
      </c>
      <c r="J1068" s="166" t="s">
        <v>1187</v>
      </c>
      <c r="K1068" s="166" t="s">
        <v>841</v>
      </c>
      <c r="L1068" s="177">
        <v>0</v>
      </c>
      <c r="M1068" s="166">
        <v>0</v>
      </c>
      <c r="N1068" s="166">
        <v>0</v>
      </c>
      <c r="O1068" s="164">
        <f t="shared" si="119"/>
        <v>0</v>
      </c>
      <c r="P1068" s="166">
        <v>0</v>
      </c>
      <c r="Q1068" s="166">
        <v>0</v>
      </c>
      <c r="R1068" s="164">
        <f>$L1068*'Pivot Objective'!$C$9*P1068*Q1068</f>
        <v>0</v>
      </c>
      <c r="S1068" s="166">
        <v>0</v>
      </c>
      <c r="T1068" s="166">
        <v>0</v>
      </c>
      <c r="U1068" s="164">
        <f>($L1068*'Pivot Objective'!$C$9^2)*S1068*T1068</f>
        <v>0</v>
      </c>
      <c r="V1068" s="166">
        <v>0</v>
      </c>
      <c r="W1068" s="166">
        <v>0</v>
      </c>
      <c r="X1068" s="164">
        <f>($L1068*'Pivot Objective'!$C$9^3)*V1068*W1068</f>
        <v>0</v>
      </c>
      <c r="Y1068" s="166">
        <v>0</v>
      </c>
      <c r="Z1068" s="166">
        <v>0</v>
      </c>
      <c r="AA1068" s="164">
        <f>($L1068*'Pivot Objective'!$C$9^4)*Y1068*Z1068</f>
        <v>0</v>
      </c>
      <c r="AB1068" s="140"/>
      <c r="AC1068" s="140"/>
      <c r="AD1068" s="164">
        <f>($L1068*'Pivot Objective'!$C$9^5)*AB1068*AC1068</f>
        <v>0</v>
      </c>
      <c r="AE1068" s="140"/>
      <c r="AF1068" s="140"/>
      <c r="AG1068" s="164">
        <f>($L1068*'Pivot Objective'!$C$9^6)*AE1068*AF1068</f>
        <v>0</v>
      </c>
      <c r="AH1068" s="140"/>
      <c r="AI1068" s="140"/>
      <c r="AJ1068" s="164">
        <f>($L1068*'Pivot Objective'!$C$9^7)*AH1068*AI1068</f>
        <v>0</v>
      </c>
      <c r="AK1068" s="185">
        <f t="shared" si="120"/>
        <v>0</v>
      </c>
      <c r="AL1068" s="186">
        <f t="shared" si="121"/>
        <v>0</v>
      </c>
    </row>
    <row r="1069" spans="1:38" customFormat="1" ht="86.4" x14ac:dyDescent="0.3">
      <c r="A1069" s="140" t="s">
        <v>1480</v>
      </c>
      <c r="B1069" s="140">
        <v>2</v>
      </c>
      <c r="C1069" s="166" t="s">
        <v>983</v>
      </c>
      <c r="D1069" s="140" t="str">
        <f t="shared" si="114"/>
        <v>1</v>
      </c>
      <c r="E1069" s="166" t="s">
        <v>1176</v>
      </c>
      <c r="F1069" s="140">
        <f t="shared" si="122"/>
        <v>1</v>
      </c>
      <c r="G1069" s="140" t="str">
        <f t="shared" si="115"/>
        <v>2.1.1</v>
      </c>
      <c r="H1069" s="166" t="s">
        <v>1711</v>
      </c>
      <c r="I1069" s="166" t="s">
        <v>1185</v>
      </c>
      <c r="J1069" s="166" t="s">
        <v>1188</v>
      </c>
      <c r="K1069" s="166" t="s">
        <v>841</v>
      </c>
      <c r="L1069" s="177">
        <v>0</v>
      </c>
      <c r="M1069" s="166">
        <v>0</v>
      </c>
      <c r="N1069" s="166">
        <v>0</v>
      </c>
      <c r="O1069" s="164">
        <f t="shared" si="119"/>
        <v>0</v>
      </c>
      <c r="P1069" s="166">
        <v>0</v>
      </c>
      <c r="Q1069" s="166">
        <v>0</v>
      </c>
      <c r="R1069" s="164">
        <f>$L1069*'Pivot Objective'!$C$9*P1069*Q1069</f>
        <v>0</v>
      </c>
      <c r="S1069" s="166">
        <v>0</v>
      </c>
      <c r="T1069" s="166">
        <v>0</v>
      </c>
      <c r="U1069" s="164">
        <f>($L1069*'Pivot Objective'!$C$9^2)*S1069*T1069</f>
        <v>0</v>
      </c>
      <c r="V1069" s="166">
        <v>0</v>
      </c>
      <c r="W1069" s="166">
        <v>0</v>
      </c>
      <c r="X1069" s="164">
        <f>($L1069*'Pivot Objective'!$C$9^3)*V1069*W1069</f>
        <v>0</v>
      </c>
      <c r="Y1069" s="166">
        <v>0</v>
      </c>
      <c r="Z1069" s="166">
        <v>0</v>
      </c>
      <c r="AA1069" s="164">
        <f>($L1069*'Pivot Objective'!$C$9^4)*Y1069*Z1069</f>
        <v>0</v>
      </c>
      <c r="AB1069" s="140"/>
      <c r="AC1069" s="140"/>
      <c r="AD1069" s="164">
        <f>($L1069*'Pivot Objective'!$C$9^5)*AB1069*AC1069</f>
        <v>0</v>
      </c>
      <c r="AE1069" s="140"/>
      <c r="AF1069" s="140"/>
      <c r="AG1069" s="164">
        <f>($L1069*'Pivot Objective'!$C$9^6)*AE1069*AF1069</f>
        <v>0</v>
      </c>
      <c r="AH1069" s="140"/>
      <c r="AI1069" s="140"/>
      <c r="AJ1069" s="164">
        <f>($L1069*'Pivot Objective'!$C$9^7)*AH1069*AI1069</f>
        <v>0</v>
      </c>
      <c r="AK1069" s="185">
        <f t="shared" si="120"/>
        <v>0</v>
      </c>
      <c r="AL1069" s="186">
        <f t="shared" si="121"/>
        <v>0</v>
      </c>
    </row>
    <row r="1070" spans="1:38" customFormat="1" ht="86.4" x14ac:dyDescent="0.3">
      <c r="A1070" s="140" t="s">
        <v>1480</v>
      </c>
      <c r="B1070" s="140">
        <v>2</v>
      </c>
      <c r="C1070" s="166" t="s">
        <v>983</v>
      </c>
      <c r="D1070" s="140" t="str">
        <f t="shared" si="114"/>
        <v>1</v>
      </c>
      <c r="E1070" s="166" t="s">
        <v>1176</v>
      </c>
      <c r="F1070" s="140">
        <f t="shared" ref="F1070:F1101" si="123">IF(H1070=H1069,F1069,F1069+1)</f>
        <v>1</v>
      </c>
      <c r="G1070" s="140" t="str">
        <f t="shared" si="115"/>
        <v>2.1.1</v>
      </c>
      <c r="H1070" s="166" t="s">
        <v>1711</v>
      </c>
      <c r="I1070" s="166" t="s">
        <v>1185</v>
      </c>
      <c r="J1070" s="166" t="s">
        <v>1189</v>
      </c>
      <c r="K1070" s="166" t="s">
        <v>709</v>
      </c>
      <c r="L1070" s="177">
        <v>35000</v>
      </c>
      <c r="M1070" s="166">
        <v>40</v>
      </c>
      <c r="N1070" s="166">
        <v>1</v>
      </c>
      <c r="O1070" s="164">
        <f t="shared" si="119"/>
        <v>1400000</v>
      </c>
      <c r="P1070" s="166">
        <v>40</v>
      </c>
      <c r="Q1070" s="166">
        <v>1</v>
      </c>
      <c r="R1070" s="164">
        <f>$L1070*'Pivot Objective'!$C$9*P1070*Q1070</f>
        <v>1600089.5357999997</v>
      </c>
      <c r="S1070" s="166">
        <v>40</v>
      </c>
      <c r="T1070" s="166">
        <v>1</v>
      </c>
      <c r="U1070" s="164">
        <f>($L1070*'Pivot Objective'!$C$9^2)*S1070*T1070</f>
        <v>1828776.0875547563</v>
      </c>
      <c r="V1070" s="166">
        <v>40</v>
      </c>
      <c r="W1070" s="166">
        <v>1</v>
      </c>
      <c r="X1070" s="164">
        <f>($L1070*'Pivot Objective'!$C$9^3)*V1070*W1070</f>
        <v>2090146.7721554502</v>
      </c>
      <c r="Y1070" s="166">
        <v>40</v>
      </c>
      <c r="Z1070" s="166">
        <v>1</v>
      </c>
      <c r="AA1070" s="164">
        <f>($L1070*'Pivot Objective'!$C$9^4)*Y1070*Z1070</f>
        <v>2388872.8417229159</v>
      </c>
      <c r="AB1070" s="140">
        <v>40</v>
      </c>
      <c r="AC1070" s="140">
        <v>1</v>
      </c>
      <c r="AD1070" s="164">
        <f>($L1070*'Pivot Objective'!$C$9^5)*AB1070*AC1070</f>
        <v>2730293.1688554622</v>
      </c>
      <c r="AE1070" s="140">
        <v>40</v>
      </c>
      <c r="AF1070" s="140">
        <v>1</v>
      </c>
      <c r="AG1070" s="164">
        <f>($L1070*'Pivot Objective'!$C$9^6)*AE1070*AF1070</f>
        <v>3120509.6636798908</v>
      </c>
      <c r="AH1070" s="140">
        <v>40</v>
      </c>
      <c r="AI1070" s="140">
        <v>1</v>
      </c>
      <c r="AJ1070" s="164">
        <f>($L1070*'Pivot Objective'!$C$9^7)*AH1070*AI1070</f>
        <v>3566496.3280121218</v>
      </c>
      <c r="AK1070" s="185">
        <f t="shared" si="120"/>
        <v>18725184.397780597</v>
      </c>
      <c r="AL1070" s="186">
        <f t="shared" si="121"/>
        <v>18179.790677456891</v>
      </c>
    </row>
    <row r="1071" spans="1:38" customFormat="1" ht="86.4" x14ac:dyDescent="0.3">
      <c r="A1071" s="140" t="s">
        <v>1480</v>
      </c>
      <c r="B1071" s="140">
        <v>2</v>
      </c>
      <c r="C1071" s="166" t="s">
        <v>983</v>
      </c>
      <c r="D1071" s="140" t="str">
        <f t="shared" si="114"/>
        <v>1</v>
      </c>
      <c r="E1071" s="166" t="s">
        <v>1176</v>
      </c>
      <c r="F1071" s="140">
        <f t="shared" si="123"/>
        <v>1</v>
      </c>
      <c r="G1071" s="140" t="str">
        <f t="shared" si="115"/>
        <v>2.1.1</v>
      </c>
      <c r="H1071" s="166" t="s">
        <v>1711</v>
      </c>
      <c r="I1071" s="166" t="s">
        <v>1185</v>
      </c>
      <c r="J1071" s="166" t="s">
        <v>1190</v>
      </c>
      <c r="K1071" s="166" t="s">
        <v>709</v>
      </c>
      <c r="L1071" s="177">
        <v>35000</v>
      </c>
      <c r="M1071" s="166">
        <v>40</v>
      </c>
      <c r="N1071" s="166">
        <v>1</v>
      </c>
      <c r="O1071" s="164">
        <f t="shared" si="119"/>
        <v>1400000</v>
      </c>
      <c r="P1071" s="166">
        <v>40</v>
      </c>
      <c r="Q1071" s="166">
        <v>1</v>
      </c>
      <c r="R1071" s="164">
        <f>$L1071*'Pivot Objective'!$C$9*P1071*Q1071</f>
        <v>1600089.5357999997</v>
      </c>
      <c r="S1071" s="166">
        <v>40</v>
      </c>
      <c r="T1071" s="166">
        <v>1</v>
      </c>
      <c r="U1071" s="164">
        <f>($L1071*'Pivot Objective'!$C$9^2)*S1071*T1071</f>
        <v>1828776.0875547563</v>
      </c>
      <c r="V1071" s="166">
        <v>40</v>
      </c>
      <c r="W1071" s="166">
        <v>1</v>
      </c>
      <c r="X1071" s="164">
        <f>($L1071*'Pivot Objective'!$C$9^3)*V1071*W1071</f>
        <v>2090146.7721554502</v>
      </c>
      <c r="Y1071" s="166">
        <v>40</v>
      </c>
      <c r="Z1071" s="166">
        <v>1</v>
      </c>
      <c r="AA1071" s="164">
        <f>($L1071*'Pivot Objective'!$C$9^4)*Y1071*Z1071</f>
        <v>2388872.8417229159</v>
      </c>
      <c r="AB1071" s="140">
        <v>40</v>
      </c>
      <c r="AC1071" s="140">
        <v>1</v>
      </c>
      <c r="AD1071" s="164">
        <f>($L1071*'Pivot Objective'!$C$9^5)*AB1071*AC1071</f>
        <v>2730293.1688554622</v>
      </c>
      <c r="AE1071" s="140">
        <v>40</v>
      </c>
      <c r="AF1071" s="140">
        <v>1</v>
      </c>
      <c r="AG1071" s="164">
        <f>($L1071*'Pivot Objective'!$C$9^6)*AE1071*AF1071</f>
        <v>3120509.6636798908</v>
      </c>
      <c r="AH1071" s="140">
        <v>40</v>
      </c>
      <c r="AI1071" s="140">
        <v>1</v>
      </c>
      <c r="AJ1071" s="164">
        <f>($L1071*'Pivot Objective'!$C$9^7)*AH1071*AI1071</f>
        <v>3566496.3280121218</v>
      </c>
      <c r="AK1071" s="185">
        <f t="shared" si="120"/>
        <v>18725184.397780597</v>
      </c>
      <c r="AL1071" s="186">
        <f t="shared" si="121"/>
        <v>18179.790677456891</v>
      </c>
    </row>
    <row r="1072" spans="1:38" customFormat="1" ht="86.4" x14ac:dyDescent="0.3">
      <c r="A1072" s="140" t="s">
        <v>1480</v>
      </c>
      <c r="B1072" s="140">
        <v>2</v>
      </c>
      <c r="C1072" s="166" t="s">
        <v>983</v>
      </c>
      <c r="D1072" s="140" t="str">
        <f t="shared" si="114"/>
        <v>1</v>
      </c>
      <c r="E1072" s="166" t="s">
        <v>1176</v>
      </c>
      <c r="F1072" s="140">
        <f t="shared" si="123"/>
        <v>1</v>
      </c>
      <c r="G1072" s="140" t="str">
        <f t="shared" si="115"/>
        <v>2.1.1</v>
      </c>
      <c r="H1072" s="166" t="s">
        <v>1711</v>
      </c>
      <c r="I1072" s="166" t="s">
        <v>1191</v>
      </c>
      <c r="J1072" s="166" t="s">
        <v>1192</v>
      </c>
      <c r="K1072" s="166" t="s">
        <v>841</v>
      </c>
      <c r="L1072" s="177">
        <v>0</v>
      </c>
      <c r="M1072" s="166">
        <v>0</v>
      </c>
      <c r="N1072" s="166">
        <v>0</v>
      </c>
      <c r="O1072" s="164">
        <f t="shared" si="119"/>
        <v>0</v>
      </c>
      <c r="P1072" s="166">
        <v>0</v>
      </c>
      <c r="Q1072" s="166">
        <v>0</v>
      </c>
      <c r="R1072" s="164">
        <f>$L1072*'Pivot Objective'!$C$9*P1072*Q1072</f>
        <v>0</v>
      </c>
      <c r="S1072" s="166">
        <v>0</v>
      </c>
      <c r="T1072" s="166">
        <v>0</v>
      </c>
      <c r="U1072" s="164">
        <f>($L1072*'Pivot Objective'!$C$9^2)*S1072*T1072</f>
        <v>0</v>
      </c>
      <c r="V1072" s="166">
        <v>0</v>
      </c>
      <c r="W1072" s="166">
        <v>0</v>
      </c>
      <c r="X1072" s="164">
        <f>($L1072*'Pivot Objective'!$C$9^3)*V1072*W1072</f>
        <v>0</v>
      </c>
      <c r="Y1072" s="166">
        <v>0</v>
      </c>
      <c r="Z1072" s="166">
        <v>0</v>
      </c>
      <c r="AA1072" s="164">
        <f>($L1072*'Pivot Objective'!$C$9^4)*Y1072*Z1072</f>
        <v>0</v>
      </c>
      <c r="AB1072" s="140"/>
      <c r="AC1072" s="140"/>
      <c r="AD1072" s="164">
        <f>($L1072*'Pivot Objective'!$C$9^5)*AB1072*AC1072</f>
        <v>0</v>
      </c>
      <c r="AE1072" s="140"/>
      <c r="AF1072" s="140"/>
      <c r="AG1072" s="164">
        <f>($L1072*'Pivot Objective'!$C$9^6)*AE1072*AF1072</f>
        <v>0</v>
      </c>
      <c r="AH1072" s="140"/>
      <c r="AI1072" s="140"/>
      <c r="AJ1072" s="164">
        <f>($L1072*'Pivot Objective'!$C$9^7)*AH1072*AI1072</f>
        <v>0</v>
      </c>
      <c r="AK1072" s="185">
        <f t="shared" si="120"/>
        <v>0</v>
      </c>
      <c r="AL1072" s="186">
        <f t="shared" si="121"/>
        <v>0</v>
      </c>
    </row>
    <row r="1073" spans="1:38" customFormat="1" ht="86.4" x14ac:dyDescent="0.3">
      <c r="A1073" s="140" t="s">
        <v>1480</v>
      </c>
      <c r="B1073" s="140">
        <v>2</v>
      </c>
      <c r="C1073" s="166" t="s">
        <v>983</v>
      </c>
      <c r="D1073" s="140" t="str">
        <f t="shared" si="114"/>
        <v>1</v>
      </c>
      <c r="E1073" s="166" t="s">
        <v>1176</v>
      </c>
      <c r="F1073" s="140">
        <f t="shared" si="123"/>
        <v>1</v>
      </c>
      <c r="G1073" s="140" t="str">
        <f t="shared" si="115"/>
        <v>2.1.1</v>
      </c>
      <c r="H1073" s="166" t="s">
        <v>1711</v>
      </c>
      <c r="I1073" s="166" t="s">
        <v>1191</v>
      </c>
      <c r="J1073" s="166" t="s">
        <v>1193</v>
      </c>
      <c r="K1073" s="166" t="s">
        <v>709</v>
      </c>
      <c r="L1073" s="177">
        <v>35000</v>
      </c>
      <c r="M1073" s="166">
        <v>40</v>
      </c>
      <c r="N1073" s="166">
        <v>2</v>
      </c>
      <c r="O1073" s="164">
        <f t="shared" si="119"/>
        <v>2800000</v>
      </c>
      <c r="P1073" s="166">
        <v>40</v>
      </c>
      <c r="Q1073" s="166">
        <v>2</v>
      </c>
      <c r="R1073" s="164">
        <f>$L1073*'Pivot Objective'!$C$9*P1073*Q1073</f>
        <v>3200179.0715999994</v>
      </c>
      <c r="S1073" s="166">
        <v>40</v>
      </c>
      <c r="T1073" s="166">
        <v>2</v>
      </c>
      <c r="U1073" s="164">
        <f>($L1073*'Pivot Objective'!$C$9^2)*S1073*T1073</f>
        <v>3657552.1751095126</v>
      </c>
      <c r="V1073" s="166">
        <v>40</v>
      </c>
      <c r="W1073" s="166">
        <v>2</v>
      </c>
      <c r="X1073" s="164">
        <f>($L1073*'Pivot Objective'!$C$9^3)*V1073*W1073</f>
        <v>4180293.5443109004</v>
      </c>
      <c r="Y1073" s="166">
        <v>40</v>
      </c>
      <c r="Z1073" s="166">
        <v>5</v>
      </c>
      <c r="AA1073" s="164">
        <f>($L1073*'Pivot Objective'!$C$9^4)*Y1073*Z1073</f>
        <v>11944364.20861458</v>
      </c>
      <c r="AB1073" s="166">
        <v>40</v>
      </c>
      <c r="AC1073" s="166">
        <v>5</v>
      </c>
      <c r="AD1073" s="164">
        <f>($L1073*'Pivot Objective'!$C$9^5)*AB1073*AC1073</f>
        <v>13651465.844277311</v>
      </c>
      <c r="AE1073" s="166">
        <v>40</v>
      </c>
      <c r="AF1073" s="166">
        <v>5</v>
      </c>
      <c r="AG1073" s="164">
        <f>($L1073*'Pivot Objective'!$C$9^6)*AE1073*AF1073</f>
        <v>15602548.318399454</v>
      </c>
      <c r="AH1073" s="166">
        <v>40</v>
      </c>
      <c r="AI1073" s="166">
        <v>5</v>
      </c>
      <c r="AJ1073" s="164">
        <f>($L1073*'Pivot Objective'!$C$9^7)*AH1073*AI1073</f>
        <v>17832481.640060611</v>
      </c>
      <c r="AK1073" s="185">
        <f t="shared" si="120"/>
        <v>72868884.802372366</v>
      </c>
      <c r="AL1073" s="186">
        <f t="shared" si="121"/>
        <v>70746.490099390649</v>
      </c>
    </row>
    <row r="1074" spans="1:38" customFormat="1" ht="86.4" x14ac:dyDescent="0.3">
      <c r="A1074" s="140" t="s">
        <v>1480</v>
      </c>
      <c r="B1074" s="140">
        <v>2</v>
      </c>
      <c r="C1074" s="166" t="s">
        <v>983</v>
      </c>
      <c r="D1074" s="140" t="str">
        <f t="shared" si="114"/>
        <v>1</v>
      </c>
      <c r="E1074" s="166" t="s">
        <v>1176</v>
      </c>
      <c r="F1074" s="140">
        <f t="shared" si="123"/>
        <v>1</v>
      </c>
      <c r="G1074" s="140" t="str">
        <f t="shared" si="115"/>
        <v>2.1.1</v>
      </c>
      <c r="H1074" s="166" t="s">
        <v>1711</v>
      </c>
      <c r="I1074" s="166" t="s">
        <v>1191</v>
      </c>
      <c r="J1074" s="166" t="s">
        <v>1193</v>
      </c>
      <c r="K1074" s="166" t="s">
        <v>712</v>
      </c>
      <c r="L1074" s="177">
        <f>1480/7</f>
        <v>211.42857142857142</v>
      </c>
      <c r="M1074" s="166">
        <f>25*2*15</f>
        <v>750</v>
      </c>
      <c r="N1074" s="166">
        <v>2</v>
      </c>
      <c r="O1074" s="164">
        <f t="shared" si="119"/>
        <v>317142.8571428571</v>
      </c>
      <c r="P1074" s="166">
        <f>25*2*15</f>
        <v>750</v>
      </c>
      <c r="Q1074" s="166">
        <v>2</v>
      </c>
      <c r="R1074" s="164">
        <f>$L1074*'Pivot Objective'!$C$9*P1074*Q1074</f>
        <v>362469.26219142851</v>
      </c>
      <c r="S1074" s="166">
        <f>25*15*2</f>
        <v>750</v>
      </c>
      <c r="T1074" s="166">
        <v>2</v>
      </c>
      <c r="U1074" s="164">
        <f>($L1074*'Pivot Objective'!$C$9^2)*S1074*T1074</f>
        <v>414273.7667726081</v>
      </c>
      <c r="V1074" s="166">
        <f>25*15*2</f>
        <v>750</v>
      </c>
      <c r="W1074" s="166">
        <v>2</v>
      </c>
      <c r="X1074" s="164">
        <f>($L1074*'Pivot Objective'!$C$9^3)*V1074*W1074</f>
        <v>473482.22797807131</v>
      </c>
      <c r="Y1074" s="166">
        <f>25*15*2</f>
        <v>750</v>
      </c>
      <c r="Z1074" s="166">
        <v>2</v>
      </c>
      <c r="AA1074" s="164">
        <f>($L1074*'Pivot Objective'!$C$9^4)*Y1074*Z1074</f>
        <v>541152.82741070131</v>
      </c>
      <c r="AB1074" s="166">
        <f>25*2*15</f>
        <v>750</v>
      </c>
      <c r="AC1074" s="140">
        <v>2</v>
      </c>
      <c r="AD1074" s="164">
        <f>($L1074*'Pivot Objective'!$C$9^5)*AB1074*AC1074</f>
        <v>618494.98314889043</v>
      </c>
      <c r="AE1074" s="140">
        <f>25*2*15</f>
        <v>750</v>
      </c>
      <c r="AF1074" s="140">
        <v>2</v>
      </c>
      <c r="AG1074" s="164">
        <f>($L1074*'Pivot Objective'!$C$9^6)*AE1074*AF1074</f>
        <v>706890.96462952625</v>
      </c>
      <c r="AH1074" s="140">
        <f>25*15*2</f>
        <v>750</v>
      </c>
      <c r="AI1074" s="140">
        <v>2</v>
      </c>
      <c r="AJ1074" s="164">
        <f>($L1074*'Pivot Objective'!$C$9^7)*AH1074*AI1074</f>
        <v>807920.59675376629</v>
      </c>
      <c r="AK1074" s="185">
        <f t="shared" si="120"/>
        <v>4241827.4860278498</v>
      </c>
      <c r="AL1074" s="186">
        <f t="shared" si="121"/>
        <v>4118.279112648398</v>
      </c>
    </row>
    <row r="1075" spans="1:38" customFormat="1" ht="86.4" x14ac:dyDescent="0.3">
      <c r="A1075" s="140" t="s">
        <v>1480</v>
      </c>
      <c r="B1075" s="140">
        <v>2</v>
      </c>
      <c r="C1075" s="166" t="s">
        <v>983</v>
      </c>
      <c r="D1075" s="140" t="str">
        <f t="shared" si="114"/>
        <v>1</v>
      </c>
      <c r="E1075" s="166" t="s">
        <v>1176</v>
      </c>
      <c r="F1075" s="140">
        <f t="shared" si="123"/>
        <v>1</v>
      </c>
      <c r="G1075" s="140" t="str">
        <f t="shared" si="115"/>
        <v>2.1.1</v>
      </c>
      <c r="H1075" s="166" t="s">
        <v>1711</v>
      </c>
      <c r="I1075" s="166" t="s">
        <v>1191</v>
      </c>
      <c r="J1075" s="166" t="s">
        <v>1194</v>
      </c>
      <c r="K1075" s="166" t="s">
        <v>709</v>
      </c>
      <c r="L1075" s="177">
        <v>35000</v>
      </c>
      <c r="M1075" s="166">
        <v>40</v>
      </c>
      <c r="N1075" s="166">
        <v>5</v>
      </c>
      <c r="O1075" s="164">
        <f t="shared" si="119"/>
        <v>7000000</v>
      </c>
      <c r="P1075" s="166">
        <v>40</v>
      </c>
      <c r="Q1075" s="166">
        <v>2</v>
      </c>
      <c r="R1075" s="164">
        <f>$L1075*'Pivot Objective'!$C$9*P1075*Q1075</f>
        <v>3200179.0715999994</v>
      </c>
      <c r="S1075" s="166">
        <v>40</v>
      </c>
      <c r="T1075" s="166">
        <v>2</v>
      </c>
      <c r="U1075" s="164">
        <f>($L1075*'Pivot Objective'!$C$9^2)*S1075*T1075</f>
        <v>3657552.1751095126</v>
      </c>
      <c r="V1075" s="166">
        <v>40</v>
      </c>
      <c r="W1075" s="166">
        <v>2</v>
      </c>
      <c r="X1075" s="164">
        <f>($L1075*'Pivot Objective'!$C$9^3)*V1075*W1075</f>
        <v>4180293.5443109004</v>
      </c>
      <c r="Y1075" s="166">
        <v>40</v>
      </c>
      <c r="Z1075" s="166">
        <v>2</v>
      </c>
      <c r="AA1075" s="164">
        <f>($L1075*'Pivot Objective'!$C$9^4)*Y1075*Z1075</f>
        <v>4777745.6834458318</v>
      </c>
      <c r="AB1075" s="140"/>
      <c r="AC1075" s="140"/>
      <c r="AD1075" s="164">
        <f>($L1075*'Pivot Objective'!$C$9^5)*AB1075*AC1075</f>
        <v>0</v>
      </c>
      <c r="AE1075" s="140"/>
      <c r="AF1075" s="140"/>
      <c r="AG1075" s="164">
        <f>($L1075*'Pivot Objective'!$C$9^6)*AE1075*AF1075</f>
        <v>0</v>
      </c>
      <c r="AH1075" s="140"/>
      <c r="AI1075" s="140"/>
      <c r="AJ1075" s="164">
        <f>($L1075*'Pivot Objective'!$C$9^7)*AH1075*AI1075</f>
        <v>0</v>
      </c>
      <c r="AK1075" s="185">
        <f t="shared" si="120"/>
        <v>22815770.474466242</v>
      </c>
      <c r="AL1075" s="186">
        <f t="shared" si="121"/>
        <v>22151.233470355575</v>
      </c>
    </row>
    <row r="1076" spans="1:38" customFormat="1" ht="86.4" x14ac:dyDescent="0.3">
      <c r="A1076" s="140" t="s">
        <v>1480</v>
      </c>
      <c r="B1076" s="140">
        <v>2</v>
      </c>
      <c r="C1076" s="166" t="s">
        <v>983</v>
      </c>
      <c r="D1076" s="140" t="str">
        <f t="shared" si="114"/>
        <v>1</v>
      </c>
      <c r="E1076" s="166" t="s">
        <v>1176</v>
      </c>
      <c r="F1076" s="140">
        <f t="shared" si="123"/>
        <v>1</v>
      </c>
      <c r="G1076" s="140" t="str">
        <f t="shared" si="115"/>
        <v>2.1.1</v>
      </c>
      <c r="H1076" s="166" t="s">
        <v>1711</v>
      </c>
      <c r="I1076" s="166" t="s">
        <v>1191</v>
      </c>
      <c r="J1076" s="166" t="s">
        <v>1194</v>
      </c>
      <c r="K1076" s="166" t="s">
        <v>716</v>
      </c>
      <c r="L1076" s="177">
        <v>39000</v>
      </c>
      <c r="M1076" s="166">
        <v>30</v>
      </c>
      <c r="N1076" s="166">
        <v>6</v>
      </c>
      <c r="O1076" s="164">
        <f t="shared" si="119"/>
        <v>7020000</v>
      </c>
      <c r="P1076" s="166">
        <v>30</v>
      </c>
      <c r="Q1076" s="166">
        <v>6</v>
      </c>
      <c r="R1076" s="164">
        <f>$L1076*'Pivot Objective'!$C$9*P1076*Q1076</f>
        <v>8023306.1009399984</v>
      </c>
      <c r="S1076" s="166">
        <v>30</v>
      </c>
      <c r="T1076" s="166">
        <v>6</v>
      </c>
      <c r="U1076" s="164">
        <f>($L1076*'Pivot Objective'!$C$9^2)*S1076*T1076</f>
        <v>9170005.8104531355</v>
      </c>
      <c r="V1076" s="166">
        <v>30</v>
      </c>
      <c r="W1076" s="166">
        <v>6</v>
      </c>
      <c r="X1076" s="164">
        <f>($L1076*'Pivot Objective'!$C$9^3)*V1076*W1076</f>
        <v>10480593.100379471</v>
      </c>
      <c r="Y1076" s="166">
        <v>30</v>
      </c>
      <c r="Z1076" s="166">
        <v>6</v>
      </c>
      <c r="AA1076" s="164">
        <f>($L1076*'Pivot Objective'!$C$9^4)*Y1076*Z1076</f>
        <v>11978490.963496335</v>
      </c>
      <c r="AB1076" s="166">
        <v>30</v>
      </c>
      <c r="AC1076" s="166">
        <v>6</v>
      </c>
      <c r="AD1076" s="164">
        <f>($L1076*'Pivot Objective'!$C$9^5)*AB1076*AC1076</f>
        <v>13690470.032403817</v>
      </c>
      <c r="AE1076" s="166">
        <v>30</v>
      </c>
      <c r="AF1076" s="166">
        <v>6</v>
      </c>
      <c r="AG1076" s="164">
        <f>($L1076*'Pivot Objective'!$C$9^6)*AE1076*AF1076</f>
        <v>15647127.027880596</v>
      </c>
      <c r="AH1076" s="166">
        <v>30</v>
      </c>
      <c r="AI1076" s="166">
        <v>6</v>
      </c>
      <c r="AJ1076" s="164">
        <f>($L1076*'Pivot Objective'!$C$9^7)*AH1076*AI1076</f>
        <v>17883431.58760364</v>
      </c>
      <c r="AK1076" s="185">
        <f t="shared" si="120"/>
        <v>93893424.623156995</v>
      </c>
      <c r="AL1076" s="186">
        <f t="shared" si="121"/>
        <v>91158.664682676696</v>
      </c>
    </row>
    <row r="1077" spans="1:38" customFormat="1" ht="86.4" x14ac:dyDescent="0.3">
      <c r="A1077" s="140" t="s">
        <v>1480</v>
      </c>
      <c r="B1077" s="140">
        <v>2</v>
      </c>
      <c r="C1077" s="166" t="s">
        <v>983</v>
      </c>
      <c r="D1077" s="140" t="str">
        <f t="shared" si="114"/>
        <v>1</v>
      </c>
      <c r="E1077" s="166" t="s">
        <v>1176</v>
      </c>
      <c r="F1077" s="140">
        <f t="shared" si="123"/>
        <v>1</v>
      </c>
      <c r="G1077" s="140" t="str">
        <f t="shared" si="115"/>
        <v>2.1.1</v>
      </c>
      <c r="H1077" s="166" t="s">
        <v>1711</v>
      </c>
      <c r="I1077" s="166" t="s">
        <v>1191</v>
      </c>
      <c r="J1077" s="166" t="s">
        <v>1194</v>
      </c>
      <c r="K1077" s="166" t="s">
        <v>712</v>
      </c>
      <c r="L1077" s="177">
        <f>1480/7</f>
        <v>211.42857142857142</v>
      </c>
      <c r="M1077" s="166">
        <f>25*2*10</f>
        <v>500</v>
      </c>
      <c r="N1077" s="166">
        <v>5</v>
      </c>
      <c r="O1077" s="164">
        <f t="shared" si="119"/>
        <v>528571.42857142852</v>
      </c>
      <c r="P1077" s="166">
        <v>500</v>
      </c>
      <c r="Q1077" s="166">
        <v>5</v>
      </c>
      <c r="R1077" s="164">
        <f>$L1077*'Pivot Objective'!$C$9*P1077*Q1077</f>
        <v>604115.43698571413</v>
      </c>
      <c r="S1077" s="166">
        <v>500</v>
      </c>
      <c r="T1077" s="166">
        <v>5</v>
      </c>
      <c r="U1077" s="164">
        <f>($L1077*'Pivot Objective'!$C$9^2)*S1077*T1077</f>
        <v>690456.27795434685</v>
      </c>
      <c r="V1077" s="166">
        <v>500</v>
      </c>
      <c r="W1077" s="166">
        <v>5</v>
      </c>
      <c r="X1077" s="164">
        <f>($L1077*'Pivot Objective'!$C$9^3)*V1077*W1077</f>
        <v>789137.04663011886</v>
      </c>
      <c r="Y1077" s="166">
        <v>500</v>
      </c>
      <c r="Z1077" s="166">
        <v>5</v>
      </c>
      <c r="AA1077" s="164">
        <f>($L1077*'Pivot Objective'!$C$9^4)*Y1077*Z1077</f>
        <v>901921.3790178356</v>
      </c>
      <c r="AB1077" s="166">
        <v>500</v>
      </c>
      <c r="AC1077" s="166">
        <v>5</v>
      </c>
      <c r="AD1077" s="164">
        <f>($L1077*'Pivot Objective'!$C$9^5)*AB1077*AC1077</f>
        <v>1030824.9719148173</v>
      </c>
      <c r="AE1077" s="166">
        <v>500</v>
      </c>
      <c r="AF1077" s="166">
        <v>5</v>
      </c>
      <c r="AG1077" s="164">
        <f>($L1077*'Pivot Objective'!$C$9^6)*AE1077*AF1077</f>
        <v>1178151.6077158772</v>
      </c>
      <c r="AH1077" s="166">
        <v>500</v>
      </c>
      <c r="AI1077" s="166">
        <v>5</v>
      </c>
      <c r="AJ1077" s="164">
        <f>($L1077*'Pivot Objective'!$C$9^7)*AH1077*AI1077</f>
        <v>1346534.327922944</v>
      </c>
      <c r="AK1077" s="185">
        <f t="shared" si="120"/>
        <v>7069712.4767130818</v>
      </c>
      <c r="AL1077" s="186">
        <f t="shared" si="121"/>
        <v>6863.7985210806619</v>
      </c>
    </row>
    <row r="1078" spans="1:38" customFormat="1" ht="86.4" x14ac:dyDescent="0.3">
      <c r="A1078" s="140" t="s">
        <v>1480</v>
      </c>
      <c r="B1078" s="140">
        <v>2</v>
      </c>
      <c r="C1078" s="166" t="s">
        <v>983</v>
      </c>
      <c r="D1078" s="140" t="str">
        <f t="shared" si="114"/>
        <v>1</v>
      </c>
      <c r="E1078" s="166" t="s">
        <v>1176</v>
      </c>
      <c r="F1078" s="140">
        <f t="shared" si="123"/>
        <v>1</v>
      </c>
      <c r="G1078" s="140" t="str">
        <f t="shared" si="115"/>
        <v>2.1.1</v>
      </c>
      <c r="H1078" s="166" t="s">
        <v>1711</v>
      </c>
      <c r="I1078" s="166" t="s">
        <v>1191</v>
      </c>
      <c r="J1078" s="166" t="s">
        <v>1194</v>
      </c>
      <c r="K1078" s="166" t="s">
        <v>1350</v>
      </c>
      <c r="L1078" s="177">
        <f>1480/7</f>
        <v>211.42857142857142</v>
      </c>
      <c r="M1078" s="166">
        <f>2*135*500</f>
        <v>135000</v>
      </c>
      <c r="N1078" s="166">
        <v>1</v>
      </c>
      <c r="O1078" s="164">
        <f t="shared" si="119"/>
        <v>28542857.142857142</v>
      </c>
      <c r="P1078" s="166">
        <f>2*135*500</f>
        <v>135000</v>
      </c>
      <c r="Q1078" s="166">
        <v>1</v>
      </c>
      <c r="R1078" s="164">
        <f>$L1078*'Pivot Objective'!$C$9*P1078*Q1078</f>
        <v>32622233.597228568</v>
      </c>
      <c r="S1078" s="166">
        <f>2*135*500</f>
        <v>135000</v>
      </c>
      <c r="T1078" s="166">
        <v>1</v>
      </c>
      <c r="U1078" s="164">
        <f>($L1078*'Pivot Objective'!$C$9^2)*S1078*T1078</f>
        <v>37284639.009534732</v>
      </c>
      <c r="V1078" s="166">
        <f>2*135*500</f>
        <v>135000</v>
      </c>
      <c r="W1078" s="166">
        <v>1</v>
      </c>
      <c r="X1078" s="164">
        <f>($L1078*'Pivot Objective'!$C$9^3)*V1078*W1078</f>
        <v>42613400.518026419</v>
      </c>
      <c r="Y1078" s="166">
        <f>2*135*500</f>
        <v>135000</v>
      </c>
      <c r="Z1078" s="166">
        <v>1</v>
      </c>
      <c r="AA1078" s="164">
        <f>($L1078*'Pivot Objective'!$C$9^4)*Y1078*Z1078</f>
        <v>48703754.46696312</v>
      </c>
      <c r="AB1078" s="140">
        <f>2*135*500</f>
        <v>135000</v>
      </c>
      <c r="AC1078" s="166">
        <v>1</v>
      </c>
      <c r="AD1078" s="164">
        <f>($L1078*'Pivot Objective'!$C$9^5)*AB1078*AC1078</f>
        <v>55664548.483400136</v>
      </c>
      <c r="AE1078" s="140">
        <f>2*135*500</f>
        <v>135000</v>
      </c>
      <c r="AF1078" s="166">
        <v>1</v>
      </c>
      <c r="AG1078" s="164">
        <f>($L1078*'Pivot Objective'!$C$9^6)*AE1078*AF1078</f>
        <v>63620186.816657364</v>
      </c>
      <c r="AH1078" s="140">
        <f>2*135*500</f>
        <v>135000</v>
      </c>
      <c r="AI1078" s="166">
        <v>1</v>
      </c>
      <c r="AJ1078" s="164">
        <f>($L1078*'Pivot Objective'!$C$9^7)*AH1078*AI1078</f>
        <v>72712853.707838967</v>
      </c>
      <c r="AK1078" s="185">
        <f t="shared" si="120"/>
        <v>381764473.74250644</v>
      </c>
      <c r="AL1078" s="186">
        <f t="shared" si="121"/>
        <v>370645.12013835576</v>
      </c>
    </row>
    <row r="1079" spans="1:38" customFormat="1" ht="86.4" x14ac:dyDescent="0.3">
      <c r="A1079" s="140" t="s">
        <v>1480</v>
      </c>
      <c r="B1079" s="140">
        <v>2</v>
      </c>
      <c r="C1079" s="166" t="s">
        <v>983</v>
      </c>
      <c r="D1079" s="140" t="str">
        <f t="shared" si="114"/>
        <v>1</v>
      </c>
      <c r="E1079" s="166" t="s">
        <v>1176</v>
      </c>
      <c r="F1079" s="140">
        <f t="shared" si="123"/>
        <v>1</v>
      </c>
      <c r="G1079" s="140" t="str">
        <f t="shared" si="115"/>
        <v>2.1.1</v>
      </c>
      <c r="H1079" s="166" t="s">
        <v>1711</v>
      </c>
      <c r="I1079" s="166" t="s">
        <v>1195</v>
      </c>
      <c r="J1079" s="166" t="s">
        <v>1196</v>
      </c>
      <c r="K1079" s="166" t="s">
        <v>841</v>
      </c>
      <c r="L1079" s="177">
        <v>0</v>
      </c>
      <c r="M1079" s="166">
        <v>0</v>
      </c>
      <c r="N1079" s="166">
        <v>0</v>
      </c>
      <c r="O1079" s="164">
        <f t="shared" si="119"/>
        <v>0</v>
      </c>
      <c r="P1079" s="166">
        <v>0</v>
      </c>
      <c r="Q1079" s="166">
        <v>0</v>
      </c>
      <c r="R1079" s="164">
        <f>$L1079*'Pivot Objective'!$C$9*P1079*Q1079</f>
        <v>0</v>
      </c>
      <c r="S1079" s="166">
        <v>0</v>
      </c>
      <c r="T1079" s="166">
        <v>0</v>
      </c>
      <c r="U1079" s="164">
        <f>($L1079*'Pivot Objective'!$C$9^2)*S1079*T1079</f>
        <v>0</v>
      </c>
      <c r="V1079" s="166">
        <v>0</v>
      </c>
      <c r="W1079" s="166">
        <v>0</v>
      </c>
      <c r="X1079" s="164">
        <f>($L1079*'Pivot Objective'!$C$9^3)*V1079*W1079</f>
        <v>0</v>
      </c>
      <c r="Y1079" s="166">
        <v>8000</v>
      </c>
      <c r="Z1079" s="166">
        <v>1</v>
      </c>
      <c r="AA1079" s="164">
        <f>($L1079*'Pivot Objective'!$C$9^4)*Y1079*Z1079</f>
        <v>0</v>
      </c>
      <c r="AB1079" s="140"/>
      <c r="AC1079" s="140"/>
      <c r="AD1079" s="164">
        <f>($L1079*'Pivot Objective'!$C$9^5)*AB1079*AC1079</f>
        <v>0</v>
      </c>
      <c r="AE1079" s="140"/>
      <c r="AF1079" s="140"/>
      <c r="AG1079" s="164">
        <f>($L1079*'Pivot Objective'!$C$9^6)*AE1079*AF1079</f>
        <v>0</v>
      </c>
      <c r="AH1079" s="140"/>
      <c r="AI1079" s="140"/>
      <c r="AJ1079" s="164">
        <f>($L1079*'Pivot Objective'!$C$9^7)*AH1079*AI1079</f>
        <v>0</v>
      </c>
      <c r="AK1079" s="185">
        <f t="shared" si="120"/>
        <v>0</v>
      </c>
      <c r="AL1079" s="186">
        <f t="shared" si="121"/>
        <v>0</v>
      </c>
    </row>
    <row r="1080" spans="1:38" customFormat="1" ht="86.4" x14ac:dyDescent="0.3">
      <c r="A1080" s="140" t="s">
        <v>1480</v>
      </c>
      <c r="B1080" s="140">
        <v>2</v>
      </c>
      <c r="C1080" s="166" t="s">
        <v>983</v>
      </c>
      <c r="D1080" s="140" t="str">
        <f t="shared" si="114"/>
        <v>1</v>
      </c>
      <c r="E1080" s="166" t="s">
        <v>1176</v>
      </c>
      <c r="F1080" s="140">
        <f t="shared" si="123"/>
        <v>1</v>
      </c>
      <c r="G1080" s="140" t="str">
        <f t="shared" si="115"/>
        <v>2.1.1</v>
      </c>
      <c r="H1080" s="166" t="s">
        <v>1711</v>
      </c>
      <c r="I1080" s="166" t="s">
        <v>1195</v>
      </c>
      <c r="J1080" s="166" t="s">
        <v>1197</v>
      </c>
      <c r="K1080" s="166" t="s">
        <v>841</v>
      </c>
      <c r="L1080" s="177">
        <v>0</v>
      </c>
      <c r="M1080" s="166">
        <v>0</v>
      </c>
      <c r="N1080" s="166">
        <v>0</v>
      </c>
      <c r="O1080" s="164">
        <f t="shared" si="119"/>
        <v>0</v>
      </c>
      <c r="P1080" s="166">
        <v>0</v>
      </c>
      <c r="Q1080" s="166">
        <v>0</v>
      </c>
      <c r="R1080" s="164">
        <f>$L1080*'Pivot Objective'!$C$9*P1080*Q1080</f>
        <v>0</v>
      </c>
      <c r="S1080" s="166">
        <v>0</v>
      </c>
      <c r="T1080" s="166">
        <v>0</v>
      </c>
      <c r="U1080" s="164">
        <f>($L1080*'Pivot Objective'!$C$9^2)*S1080*T1080</f>
        <v>0</v>
      </c>
      <c r="V1080" s="166">
        <v>0</v>
      </c>
      <c r="W1080" s="166">
        <v>0</v>
      </c>
      <c r="X1080" s="164">
        <f>($L1080*'Pivot Objective'!$C$9^3)*V1080*W1080</f>
        <v>0</v>
      </c>
      <c r="Y1080" s="166">
        <v>0</v>
      </c>
      <c r="Z1080" s="166">
        <v>0</v>
      </c>
      <c r="AA1080" s="164">
        <f>($L1080*'Pivot Objective'!$C$9^4)*Y1080*Z1080</f>
        <v>0</v>
      </c>
      <c r="AB1080" s="140"/>
      <c r="AC1080" s="140"/>
      <c r="AD1080" s="164">
        <f>($L1080*'Pivot Objective'!$C$9^5)*AB1080*AC1080</f>
        <v>0</v>
      </c>
      <c r="AE1080" s="140"/>
      <c r="AF1080" s="140"/>
      <c r="AG1080" s="164">
        <f>($L1080*'Pivot Objective'!$C$9^6)*AE1080*AF1080</f>
        <v>0</v>
      </c>
      <c r="AH1080" s="140"/>
      <c r="AI1080" s="140"/>
      <c r="AJ1080" s="164">
        <f>($L1080*'Pivot Objective'!$C$9^7)*AH1080*AI1080</f>
        <v>0</v>
      </c>
      <c r="AK1080" s="185">
        <f t="shared" si="120"/>
        <v>0</v>
      </c>
      <c r="AL1080" s="186">
        <f t="shared" si="121"/>
        <v>0</v>
      </c>
    </row>
    <row r="1081" spans="1:38" customFormat="1" ht="86.4" x14ac:dyDescent="0.3">
      <c r="A1081" s="140" t="s">
        <v>1480</v>
      </c>
      <c r="B1081" s="140">
        <v>2</v>
      </c>
      <c r="C1081" s="166" t="s">
        <v>983</v>
      </c>
      <c r="D1081" s="140" t="str">
        <f t="shared" si="114"/>
        <v>1</v>
      </c>
      <c r="E1081" s="166" t="s">
        <v>1176</v>
      </c>
      <c r="F1081" s="140">
        <f t="shared" si="123"/>
        <v>1</v>
      </c>
      <c r="G1081" s="140" t="str">
        <f t="shared" si="115"/>
        <v>2.1.1</v>
      </c>
      <c r="H1081" s="166" t="s">
        <v>1711</v>
      </c>
      <c r="I1081" s="166" t="s">
        <v>1195</v>
      </c>
      <c r="J1081" s="166" t="s">
        <v>1198</v>
      </c>
      <c r="K1081" s="166" t="s">
        <v>709</v>
      </c>
      <c r="L1081" s="177">
        <v>35000</v>
      </c>
      <c r="M1081" s="166"/>
      <c r="N1081" s="166"/>
      <c r="O1081" s="164">
        <f t="shared" si="119"/>
        <v>0</v>
      </c>
      <c r="P1081" s="166">
        <v>100</v>
      </c>
      <c r="Q1081" s="166">
        <v>5</v>
      </c>
      <c r="R1081" s="164">
        <f>$L1081*'Pivot Objective'!$C$9*P1081*Q1081</f>
        <v>20001119.197499998</v>
      </c>
      <c r="S1081" s="166">
        <v>0</v>
      </c>
      <c r="T1081" s="166">
        <v>0</v>
      </c>
      <c r="U1081" s="164">
        <f>($L1081*'Pivot Objective'!$C$9^2)*S1081*T1081</f>
        <v>0</v>
      </c>
      <c r="V1081" s="166">
        <v>100</v>
      </c>
      <c r="W1081" s="166">
        <v>5</v>
      </c>
      <c r="X1081" s="164">
        <f>($L1081*'Pivot Objective'!$C$9^3)*V1081*W1081</f>
        <v>26126834.651943129</v>
      </c>
      <c r="Y1081" s="166">
        <v>0</v>
      </c>
      <c r="Z1081" s="166">
        <v>0</v>
      </c>
      <c r="AA1081" s="164">
        <f>($L1081*'Pivot Objective'!$C$9^4)*Y1081*Z1081</f>
        <v>0</v>
      </c>
      <c r="AB1081" s="166">
        <v>100</v>
      </c>
      <c r="AC1081" s="166">
        <v>5</v>
      </c>
      <c r="AD1081" s="164">
        <f>($L1081*'Pivot Objective'!$C$9^5)*AB1081*AC1081</f>
        <v>34128664.610693276</v>
      </c>
      <c r="AE1081" s="140"/>
      <c r="AF1081" s="166"/>
      <c r="AG1081" s="164">
        <f>($L1081*'Pivot Objective'!$C$9^6)*AE1081*AF1081</f>
        <v>0</v>
      </c>
      <c r="AH1081" s="140">
        <v>100</v>
      </c>
      <c r="AI1081" s="166">
        <v>5</v>
      </c>
      <c r="AJ1081" s="164">
        <f>($L1081*'Pivot Objective'!$C$9^7)*AH1081*AI1081</f>
        <v>44581204.100151524</v>
      </c>
      <c r="AK1081" s="185">
        <f t="shared" si="120"/>
        <v>124837822.56028792</v>
      </c>
      <c r="AL1081" s="186">
        <f t="shared" si="121"/>
        <v>121201.76947600768</v>
      </c>
    </row>
    <row r="1082" spans="1:38" customFormat="1" ht="86.4" x14ac:dyDescent="0.3">
      <c r="A1082" s="140" t="s">
        <v>1480</v>
      </c>
      <c r="B1082" s="140">
        <v>2</v>
      </c>
      <c r="C1082" s="166" t="s">
        <v>983</v>
      </c>
      <c r="D1082" s="140" t="str">
        <f t="shared" si="114"/>
        <v>1</v>
      </c>
      <c r="E1082" s="166" t="s">
        <v>1176</v>
      </c>
      <c r="F1082" s="140">
        <f t="shared" si="123"/>
        <v>1</v>
      </c>
      <c r="G1082" s="140" t="str">
        <f t="shared" si="115"/>
        <v>2.1.1</v>
      </c>
      <c r="H1082" s="166" t="s">
        <v>1711</v>
      </c>
      <c r="I1082" s="166" t="s">
        <v>1195</v>
      </c>
      <c r="J1082" s="166" t="s">
        <v>1198</v>
      </c>
      <c r="K1082" s="166" t="s">
        <v>716</v>
      </c>
      <c r="L1082" s="177">
        <v>39000</v>
      </c>
      <c r="M1082" s="166"/>
      <c r="N1082" s="166"/>
      <c r="O1082" s="164">
        <f t="shared" si="119"/>
        <v>0</v>
      </c>
      <c r="P1082" s="166">
        <v>58</v>
      </c>
      <c r="Q1082" s="166">
        <v>6</v>
      </c>
      <c r="R1082" s="164">
        <f>$L1082*'Pivot Objective'!$C$9*P1082*Q1082</f>
        <v>15511725.128483998</v>
      </c>
      <c r="S1082" s="166">
        <v>0</v>
      </c>
      <c r="T1082" s="166">
        <v>0</v>
      </c>
      <c r="U1082" s="164">
        <f>($L1082*'Pivot Objective'!$C$9^2)*S1082*T1082</f>
        <v>0</v>
      </c>
      <c r="V1082" s="166">
        <v>58</v>
      </c>
      <c r="W1082" s="166">
        <v>6</v>
      </c>
      <c r="X1082" s="164">
        <f>($L1082*'Pivot Objective'!$C$9^3)*V1082*W1082</f>
        <v>20262479.99406698</v>
      </c>
      <c r="Y1082" s="166">
        <v>0</v>
      </c>
      <c r="Z1082" s="166">
        <v>0</v>
      </c>
      <c r="AA1082" s="164">
        <f>($L1082*'Pivot Objective'!$C$9^4)*Y1082*Z1082</f>
        <v>0</v>
      </c>
      <c r="AB1082" s="166">
        <v>58</v>
      </c>
      <c r="AC1082" s="166">
        <v>6</v>
      </c>
      <c r="AD1082" s="164">
        <f>($L1082*'Pivot Objective'!$C$9^5)*AB1082*AC1082</f>
        <v>26468242.06264738</v>
      </c>
      <c r="AE1082" s="140"/>
      <c r="AF1082" s="140"/>
      <c r="AG1082" s="164">
        <f>($L1082*'Pivot Objective'!$C$9^6)*AE1082*AF1082</f>
        <v>0</v>
      </c>
      <c r="AH1082" s="140">
        <v>58</v>
      </c>
      <c r="AI1082" s="166">
        <v>6</v>
      </c>
      <c r="AJ1082" s="164">
        <f>($L1082*'Pivot Objective'!$C$9^7)*AH1082*AI1082</f>
        <v>34574634.402700365</v>
      </c>
      <c r="AK1082" s="185">
        <f t="shared" si="120"/>
        <v>96817081.587898731</v>
      </c>
      <c r="AL1082" s="186">
        <f t="shared" si="121"/>
        <v>93997.166590192937</v>
      </c>
    </row>
    <row r="1083" spans="1:38" customFormat="1" ht="86.4" x14ac:dyDescent="0.3">
      <c r="A1083" s="140" t="s">
        <v>1480</v>
      </c>
      <c r="B1083" s="140">
        <v>2</v>
      </c>
      <c r="C1083" s="166" t="s">
        <v>983</v>
      </c>
      <c r="D1083" s="140" t="str">
        <f t="shared" si="114"/>
        <v>1</v>
      </c>
      <c r="E1083" s="166" t="s">
        <v>1176</v>
      </c>
      <c r="F1083" s="140">
        <f t="shared" si="123"/>
        <v>1</v>
      </c>
      <c r="G1083" s="140" t="str">
        <f t="shared" si="115"/>
        <v>2.1.1</v>
      </c>
      <c r="H1083" s="166" t="s">
        <v>1711</v>
      </c>
      <c r="I1083" s="166" t="s">
        <v>1195</v>
      </c>
      <c r="J1083" s="166" t="s">
        <v>1198</v>
      </c>
      <c r="K1083" s="166" t="s">
        <v>1350</v>
      </c>
      <c r="L1083" s="177">
        <f>1480/7</f>
        <v>211.42857142857142</v>
      </c>
      <c r="M1083" s="140"/>
      <c r="N1083" s="140"/>
      <c r="O1083" s="164">
        <f t="shared" si="119"/>
        <v>0</v>
      </c>
      <c r="P1083" s="166">
        <f>2*135*29</f>
        <v>7830</v>
      </c>
      <c r="Q1083" s="166">
        <v>1</v>
      </c>
      <c r="R1083" s="164">
        <f>$L1083*'Pivot Objective'!$C$9*P1083*Q1083</f>
        <v>1892089.548639257</v>
      </c>
      <c r="S1083" s="166"/>
      <c r="T1083" s="166"/>
      <c r="U1083" s="164">
        <f>($L1083*'Pivot Objective'!$C$9^2)*S1083*T1083</f>
        <v>0</v>
      </c>
      <c r="V1083" s="166">
        <f>2*135*29</f>
        <v>7830</v>
      </c>
      <c r="W1083" s="166">
        <v>1</v>
      </c>
      <c r="X1083" s="164">
        <f>($L1083*'Pivot Objective'!$C$9^3)*V1083*W1083</f>
        <v>2471577.2300455323</v>
      </c>
      <c r="Y1083" s="166"/>
      <c r="Z1083" s="166"/>
      <c r="AA1083" s="164">
        <f>($L1083*'Pivot Objective'!$C$9^4)*Y1083*Z1083</f>
        <v>0</v>
      </c>
      <c r="AB1083" s="140">
        <f>2*135*29</f>
        <v>7830</v>
      </c>
      <c r="AC1083" s="140">
        <v>1</v>
      </c>
      <c r="AD1083" s="164">
        <f>($L1083*'Pivot Objective'!$C$9^5)*AB1083*AC1083</f>
        <v>3228543.8120372081</v>
      </c>
      <c r="AE1083" s="140"/>
      <c r="AF1083" s="140"/>
      <c r="AG1083" s="164">
        <f>($L1083*'Pivot Objective'!$C$9^6)*AE1083*AF1083</f>
        <v>0</v>
      </c>
      <c r="AH1083" s="140">
        <f>2*135*29</f>
        <v>7830</v>
      </c>
      <c r="AI1083" s="140">
        <v>1</v>
      </c>
      <c r="AJ1083" s="164">
        <f>($L1083*'Pivot Objective'!$C$9^7)*AH1083*AI1083</f>
        <v>4217345.5150546599</v>
      </c>
      <c r="AK1083" s="185">
        <f t="shared" si="120"/>
        <v>11809556.105776656</v>
      </c>
      <c r="AL1083" s="186">
        <f t="shared" si="121"/>
        <v>11465.588452210346</v>
      </c>
    </row>
    <row r="1084" spans="1:38" customFormat="1" ht="86.4" x14ac:dyDescent="0.3">
      <c r="A1084" s="140" t="s">
        <v>1480</v>
      </c>
      <c r="B1084" s="140">
        <v>2</v>
      </c>
      <c r="C1084" s="166" t="s">
        <v>983</v>
      </c>
      <c r="D1084" s="140" t="str">
        <f t="shared" si="114"/>
        <v>1</v>
      </c>
      <c r="E1084" s="166" t="s">
        <v>1176</v>
      </c>
      <c r="F1084" s="140">
        <f t="shared" si="123"/>
        <v>1</v>
      </c>
      <c r="G1084" s="140" t="str">
        <f t="shared" si="115"/>
        <v>2.1.1</v>
      </c>
      <c r="H1084" s="166" t="s">
        <v>1711</v>
      </c>
      <c r="I1084" s="166" t="s">
        <v>1195</v>
      </c>
      <c r="J1084" s="166" t="s">
        <v>1198</v>
      </c>
      <c r="K1084" s="166" t="s">
        <v>712</v>
      </c>
      <c r="L1084" s="177">
        <f>1480/7</f>
        <v>211.42857142857142</v>
      </c>
      <c r="M1084" s="166"/>
      <c r="N1084" s="166"/>
      <c r="O1084" s="164">
        <f t="shared" si="119"/>
        <v>0</v>
      </c>
      <c r="P1084" s="166">
        <f>2*25*29</f>
        <v>1450</v>
      </c>
      <c r="Q1084" s="166">
        <v>5</v>
      </c>
      <c r="R1084" s="164">
        <f>$L1084*'Pivot Objective'!$C$9*P1084*Q1084</f>
        <v>1751934.7672585712</v>
      </c>
      <c r="S1084" s="166">
        <v>0</v>
      </c>
      <c r="T1084" s="166">
        <v>0</v>
      </c>
      <c r="U1084" s="164">
        <f>($L1084*'Pivot Objective'!$C$9^2)*S1084*T1084</f>
        <v>0</v>
      </c>
      <c r="V1084" s="166">
        <f>25*2*29</f>
        <v>1450</v>
      </c>
      <c r="W1084" s="166">
        <v>5</v>
      </c>
      <c r="X1084" s="164">
        <f>($L1084*'Pivot Objective'!$C$9^3)*V1084*W1084</f>
        <v>2288497.4352273447</v>
      </c>
      <c r="Y1084" s="166">
        <v>0</v>
      </c>
      <c r="Z1084" s="166">
        <v>0</v>
      </c>
      <c r="AA1084" s="164">
        <f>($L1084*'Pivot Objective'!$C$9^4)*Y1084*Z1084</f>
        <v>0</v>
      </c>
      <c r="AB1084" s="140">
        <f>25*2*29</f>
        <v>1450</v>
      </c>
      <c r="AC1084" s="140">
        <v>5</v>
      </c>
      <c r="AD1084" s="164">
        <f>($L1084*'Pivot Objective'!$C$9^5)*AB1084*AC1084</f>
        <v>2989392.41855297</v>
      </c>
      <c r="AE1084" s="140"/>
      <c r="AF1084" s="140"/>
      <c r="AG1084" s="164">
        <f>($L1084*'Pivot Objective'!$C$9^6)*AE1084*AF1084</f>
        <v>0</v>
      </c>
      <c r="AH1084" s="140">
        <f>2*25*29</f>
        <v>1450</v>
      </c>
      <c r="AI1084" s="140">
        <v>5</v>
      </c>
      <c r="AJ1084" s="164">
        <f>($L1084*'Pivot Objective'!$C$9^7)*AH1084*AI1084</f>
        <v>3904949.5509765372</v>
      </c>
      <c r="AK1084" s="185">
        <f t="shared" si="120"/>
        <v>10934774.172015423</v>
      </c>
      <c r="AL1084" s="186">
        <f t="shared" si="121"/>
        <v>10616.285603898468</v>
      </c>
    </row>
    <row r="1085" spans="1:38" customFormat="1" ht="86.4" x14ac:dyDescent="0.3">
      <c r="A1085" s="140" t="s">
        <v>1480</v>
      </c>
      <c r="B1085" s="140">
        <v>2</v>
      </c>
      <c r="C1085" s="166" t="s">
        <v>983</v>
      </c>
      <c r="D1085" s="140" t="str">
        <f t="shared" si="114"/>
        <v>1</v>
      </c>
      <c r="E1085" s="166" t="s">
        <v>1176</v>
      </c>
      <c r="F1085" s="140">
        <f t="shared" si="123"/>
        <v>1</v>
      </c>
      <c r="G1085" s="140" t="str">
        <f t="shared" si="115"/>
        <v>2.1.1</v>
      </c>
      <c r="H1085" s="166" t="s">
        <v>1711</v>
      </c>
      <c r="I1085" s="166" t="s">
        <v>1195</v>
      </c>
      <c r="J1085" s="166" t="s">
        <v>1199</v>
      </c>
      <c r="K1085" s="166" t="s">
        <v>841</v>
      </c>
      <c r="L1085" s="177">
        <v>0</v>
      </c>
      <c r="M1085" s="166">
        <v>0</v>
      </c>
      <c r="N1085" s="166">
        <v>0</v>
      </c>
      <c r="O1085" s="164">
        <f t="shared" si="119"/>
        <v>0</v>
      </c>
      <c r="P1085" s="166">
        <v>0</v>
      </c>
      <c r="Q1085" s="166">
        <v>0</v>
      </c>
      <c r="R1085" s="164">
        <f>$L1085*'Pivot Objective'!$C$9*P1085*Q1085</f>
        <v>0</v>
      </c>
      <c r="S1085" s="166">
        <v>0</v>
      </c>
      <c r="T1085" s="166">
        <v>0</v>
      </c>
      <c r="U1085" s="164">
        <f>($L1085*'Pivot Objective'!$C$9^2)*S1085*T1085</f>
        <v>0</v>
      </c>
      <c r="V1085" s="166">
        <v>0</v>
      </c>
      <c r="W1085" s="166">
        <v>0</v>
      </c>
      <c r="X1085" s="164">
        <f>($L1085*'Pivot Objective'!$C$9^3)*V1085*W1085</f>
        <v>0</v>
      </c>
      <c r="Y1085" s="166">
        <v>0</v>
      </c>
      <c r="Z1085" s="166">
        <v>0</v>
      </c>
      <c r="AA1085" s="164">
        <f>($L1085*'Pivot Objective'!$C$9^4)*Y1085*Z1085</f>
        <v>0</v>
      </c>
      <c r="AB1085" s="140"/>
      <c r="AC1085" s="140"/>
      <c r="AD1085" s="164">
        <f>($L1085*'Pivot Objective'!$C$9^5)*AB1085*AC1085</f>
        <v>0</v>
      </c>
      <c r="AE1085" s="140"/>
      <c r="AF1085" s="140"/>
      <c r="AG1085" s="164">
        <f>($L1085*'Pivot Objective'!$C$9^6)*AE1085*AF1085</f>
        <v>0</v>
      </c>
      <c r="AH1085" s="140"/>
      <c r="AI1085" s="140"/>
      <c r="AJ1085" s="164">
        <f>($L1085*'Pivot Objective'!$C$9^7)*AH1085*AI1085</f>
        <v>0</v>
      </c>
      <c r="AK1085" s="185">
        <f t="shared" si="120"/>
        <v>0</v>
      </c>
      <c r="AL1085" s="186">
        <f t="shared" si="121"/>
        <v>0</v>
      </c>
    </row>
    <row r="1086" spans="1:38" customFormat="1" ht="86.4" x14ac:dyDescent="0.3">
      <c r="A1086" s="140" t="s">
        <v>1480</v>
      </c>
      <c r="B1086" s="140">
        <v>2</v>
      </c>
      <c r="C1086" s="166" t="s">
        <v>983</v>
      </c>
      <c r="D1086" s="140" t="str">
        <f t="shared" si="114"/>
        <v>1</v>
      </c>
      <c r="E1086" s="166" t="s">
        <v>1176</v>
      </c>
      <c r="F1086" s="140">
        <f t="shared" si="123"/>
        <v>1</v>
      </c>
      <c r="G1086" s="140" t="str">
        <f t="shared" si="115"/>
        <v>2.1.1</v>
      </c>
      <c r="H1086" s="166" t="s">
        <v>1711</v>
      </c>
      <c r="I1086" s="166" t="s">
        <v>1200</v>
      </c>
      <c r="J1086" s="166" t="s">
        <v>1201</v>
      </c>
      <c r="K1086" s="166" t="s">
        <v>709</v>
      </c>
      <c r="L1086" s="177">
        <v>35000</v>
      </c>
      <c r="M1086" s="166">
        <v>50</v>
      </c>
      <c r="N1086" s="166">
        <v>1</v>
      </c>
      <c r="O1086" s="164">
        <f t="shared" si="119"/>
        <v>1750000</v>
      </c>
      <c r="P1086" s="166">
        <v>50</v>
      </c>
      <c r="Q1086" s="166">
        <v>1</v>
      </c>
      <c r="R1086" s="164">
        <f>$L1086*'Pivot Objective'!$C$9*P1086*Q1086</f>
        <v>2000111.9197499997</v>
      </c>
      <c r="S1086" s="166">
        <v>50</v>
      </c>
      <c r="T1086" s="166">
        <v>1</v>
      </c>
      <c r="U1086" s="164">
        <f>($L1086*'Pivot Objective'!$C$9^2)*S1086*T1086</f>
        <v>2285970.1094434457</v>
      </c>
      <c r="V1086" s="166">
        <v>50</v>
      </c>
      <c r="W1086" s="166">
        <v>1</v>
      </c>
      <c r="X1086" s="164">
        <f>($L1086*'Pivot Objective'!$C$9^3)*V1086*W1086</f>
        <v>2612683.4651943129</v>
      </c>
      <c r="Y1086" s="166">
        <v>50</v>
      </c>
      <c r="Z1086" s="166">
        <v>1</v>
      </c>
      <c r="AA1086" s="164">
        <f>($L1086*'Pivot Objective'!$C$9^4)*Y1086*Z1086</f>
        <v>2986091.0521536451</v>
      </c>
      <c r="AB1086" s="166">
        <v>50</v>
      </c>
      <c r="AC1086" s="166">
        <v>1</v>
      </c>
      <c r="AD1086" s="164">
        <f>($L1086*'Pivot Objective'!$C$9^5)*AB1086*AC1086</f>
        <v>3412866.4610693273</v>
      </c>
      <c r="AE1086" s="166">
        <v>50</v>
      </c>
      <c r="AF1086" s="166">
        <v>1</v>
      </c>
      <c r="AG1086" s="164">
        <f>($L1086*'Pivot Objective'!$C$9^6)*AE1086*AF1086</f>
        <v>3900637.0795998634</v>
      </c>
      <c r="AH1086" s="140">
        <v>50</v>
      </c>
      <c r="AI1086" s="140">
        <v>1</v>
      </c>
      <c r="AJ1086" s="164">
        <f>($L1086*'Pivot Objective'!$C$9^7)*AH1086*AI1086</f>
        <v>4458120.4100151528</v>
      </c>
      <c r="AK1086" s="185">
        <f t="shared" si="120"/>
        <v>23406480.497225747</v>
      </c>
      <c r="AL1086" s="186">
        <f t="shared" si="121"/>
        <v>22724.738346821112</v>
      </c>
    </row>
    <row r="1087" spans="1:38" customFormat="1" ht="86.4" x14ac:dyDescent="0.3">
      <c r="A1087" s="140" t="s">
        <v>1480</v>
      </c>
      <c r="B1087" s="140">
        <v>2</v>
      </c>
      <c r="C1087" s="166" t="s">
        <v>983</v>
      </c>
      <c r="D1087" s="140" t="str">
        <f t="shared" si="114"/>
        <v>1</v>
      </c>
      <c r="E1087" s="166" t="s">
        <v>1176</v>
      </c>
      <c r="F1087" s="140">
        <f t="shared" si="123"/>
        <v>1</v>
      </c>
      <c r="G1087" s="140" t="str">
        <f t="shared" si="115"/>
        <v>2.1.1</v>
      </c>
      <c r="H1087" s="166" t="s">
        <v>1711</v>
      </c>
      <c r="I1087" s="166" t="s">
        <v>1202</v>
      </c>
      <c r="J1087" s="166" t="s">
        <v>1203</v>
      </c>
      <c r="K1087" s="166" t="s">
        <v>841</v>
      </c>
      <c r="L1087" s="177">
        <v>0</v>
      </c>
      <c r="M1087" s="166">
        <v>40</v>
      </c>
      <c r="N1087" s="166">
        <v>1</v>
      </c>
      <c r="O1087" s="164">
        <f t="shared" si="119"/>
        <v>0</v>
      </c>
      <c r="P1087" s="166">
        <v>40</v>
      </c>
      <c r="Q1087" s="166">
        <v>1</v>
      </c>
      <c r="R1087" s="164">
        <f>$L1087*'Pivot Objective'!$C$9*P1087*Q1087</f>
        <v>0</v>
      </c>
      <c r="S1087" s="166">
        <v>40</v>
      </c>
      <c r="T1087" s="166">
        <v>1</v>
      </c>
      <c r="U1087" s="164">
        <f>($L1087*'Pivot Objective'!$C$9^2)*S1087*T1087</f>
        <v>0</v>
      </c>
      <c r="V1087" s="166">
        <v>40</v>
      </c>
      <c r="W1087" s="166">
        <v>1</v>
      </c>
      <c r="X1087" s="164">
        <f>($L1087*'Pivot Objective'!$C$9^3)*V1087*W1087</f>
        <v>0</v>
      </c>
      <c r="Y1087" s="166">
        <v>40</v>
      </c>
      <c r="Z1087" s="166">
        <v>1</v>
      </c>
      <c r="AA1087" s="164">
        <f>($L1087*'Pivot Objective'!$C$9^4)*Y1087*Z1087</f>
        <v>0</v>
      </c>
      <c r="AB1087" s="140"/>
      <c r="AC1087" s="140"/>
      <c r="AD1087" s="164">
        <f>($L1087*'Pivot Objective'!$C$9^5)*AB1087*AC1087</f>
        <v>0</v>
      </c>
      <c r="AE1087" s="140"/>
      <c r="AF1087" s="140"/>
      <c r="AG1087" s="164">
        <f>($L1087*'Pivot Objective'!$C$9^6)*AE1087*AF1087</f>
        <v>0</v>
      </c>
      <c r="AH1087" s="140"/>
      <c r="AI1087" s="140"/>
      <c r="AJ1087" s="164">
        <f>($L1087*'Pivot Objective'!$C$9^7)*AH1087*AI1087</f>
        <v>0</v>
      </c>
      <c r="AK1087" s="185">
        <f t="shared" si="120"/>
        <v>0</v>
      </c>
      <c r="AL1087" s="186">
        <f t="shared" si="121"/>
        <v>0</v>
      </c>
    </row>
    <row r="1088" spans="1:38" customFormat="1" ht="86.4" x14ac:dyDescent="0.3">
      <c r="A1088" s="140" t="s">
        <v>1480</v>
      </c>
      <c r="B1088" s="140">
        <v>2</v>
      </c>
      <c r="C1088" s="166" t="s">
        <v>983</v>
      </c>
      <c r="D1088" s="140" t="str">
        <f t="shared" ref="D1088:D1151" si="124">RIGHT(A1088,1)</f>
        <v>1</v>
      </c>
      <c r="E1088" s="166" t="s">
        <v>1176</v>
      </c>
      <c r="F1088" s="140">
        <f t="shared" si="123"/>
        <v>1</v>
      </c>
      <c r="G1088" s="140" t="str">
        <f t="shared" si="115"/>
        <v>2.1.1</v>
      </c>
      <c r="H1088" s="166" t="s">
        <v>1711</v>
      </c>
      <c r="I1088" s="166" t="s">
        <v>1202</v>
      </c>
      <c r="J1088" s="166" t="s">
        <v>1204</v>
      </c>
      <c r="K1088" s="166" t="s">
        <v>841</v>
      </c>
      <c r="L1088" s="177">
        <v>0</v>
      </c>
      <c r="M1088" s="166">
        <v>0</v>
      </c>
      <c r="N1088" s="166">
        <v>0</v>
      </c>
      <c r="O1088" s="164">
        <f t="shared" si="119"/>
        <v>0</v>
      </c>
      <c r="P1088" s="166">
        <v>0</v>
      </c>
      <c r="Q1088" s="166">
        <v>0</v>
      </c>
      <c r="R1088" s="164">
        <f>$L1088*'Pivot Objective'!$C$9*P1088*Q1088</f>
        <v>0</v>
      </c>
      <c r="S1088" s="166">
        <v>0</v>
      </c>
      <c r="T1088" s="166">
        <v>0</v>
      </c>
      <c r="U1088" s="164">
        <f>($L1088*'Pivot Objective'!$C$9^2)*S1088*T1088</f>
        <v>0</v>
      </c>
      <c r="V1088" s="166">
        <v>0</v>
      </c>
      <c r="W1088" s="166">
        <v>0</v>
      </c>
      <c r="X1088" s="164">
        <f>($L1088*'Pivot Objective'!$C$9^3)*V1088*W1088</f>
        <v>0</v>
      </c>
      <c r="Y1088" s="166">
        <v>0</v>
      </c>
      <c r="Z1088" s="166">
        <v>0</v>
      </c>
      <c r="AA1088" s="164">
        <f>($L1088*'Pivot Objective'!$C$9^4)*Y1088*Z1088</f>
        <v>0</v>
      </c>
      <c r="AB1088" s="140"/>
      <c r="AC1088" s="140"/>
      <c r="AD1088" s="164">
        <f>($L1088*'Pivot Objective'!$C$9^5)*AB1088*AC1088</f>
        <v>0</v>
      </c>
      <c r="AE1088" s="140"/>
      <c r="AF1088" s="140"/>
      <c r="AG1088" s="164">
        <f>($L1088*'Pivot Objective'!$C$9^6)*AE1088*AF1088</f>
        <v>0</v>
      </c>
      <c r="AH1088" s="140"/>
      <c r="AI1088" s="140"/>
      <c r="AJ1088" s="164">
        <f>($L1088*'Pivot Objective'!$C$9^7)*AH1088*AI1088</f>
        <v>0</v>
      </c>
      <c r="AK1088" s="185">
        <f t="shared" si="120"/>
        <v>0</v>
      </c>
      <c r="AL1088" s="186">
        <f t="shared" si="121"/>
        <v>0</v>
      </c>
    </row>
    <row r="1089" spans="1:38" customFormat="1" ht="57.6" x14ac:dyDescent="0.3">
      <c r="A1089" s="140" t="s">
        <v>1480</v>
      </c>
      <c r="B1089" s="140">
        <v>2</v>
      </c>
      <c r="C1089" s="166" t="s">
        <v>983</v>
      </c>
      <c r="D1089" s="140" t="str">
        <f t="shared" si="124"/>
        <v>1</v>
      </c>
      <c r="E1089" s="166" t="s">
        <v>1176</v>
      </c>
      <c r="F1089" s="140">
        <f t="shared" si="123"/>
        <v>2</v>
      </c>
      <c r="G1089" s="140" t="str">
        <f t="shared" ref="G1089:G1152" si="125">B1089&amp;"."&amp;D1089&amp;"."&amp;F1089</f>
        <v>2.1.2</v>
      </c>
      <c r="H1089" s="166" t="s">
        <v>1205</v>
      </c>
      <c r="I1089" s="166" t="s">
        <v>1206</v>
      </c>
      <c r="J1089" s="166" t="s">
        <v>1207</v>
      </c>
      <c r="K1089" s="166" t="s">
        <v>709</v>
      </c>
      <c r="L1089" s="177">
        <v>35000</v>
      </c>
      <c r="M1089" s="166">
        <v>60</v>
      </c>
      <c r="N1089" s="166">
        <v>5</v>
      </c>
      <c r="O1089" s="164">
        <f t="shared" si="119"/>
        <v>10500000</v>
      </c>
      <c r="P1089" s="166">
        <v>60</v>
      </c>
      <c r="Q1089" s="166">
        <v>5</v>
      </c>
      <c r="R1089" s="164">
        <f>$L1089*'Pivot Objective'!$C$9*P1089*Q1089</f>
        <v>12000671.518499998</v>
      </c>
      <c r="S1089" s="166">
        <v>60</v>
      </c>
      <c r="T1089" s="166">
        <v>5</v>
      </c>
      <c r="U1089" s="164">
        <f>($L1089*'Pivot Objective'!$C$9^2)*S1089*T1089</f>
        <v>13715820.656660672</v>
      </c>
      <c r="V1089" s="166">
        <v>60</v>
      </c>
      <c r="W1089" s="166">
        <v>5</v>
      </c>
      <c r="X1089" s="164">
        <f>($L1089*'Pivot Objective'!$C$9^3)*V1089*W1089</f>
        <v>15676100.791165877</v>
      </c>
      <c r="Y1089" s="166">
        <v>60</v>
      </c>
      <c r="Z1089" s="166">
        <v>5</v>
      </c>
      <c r="AA1089" s="164">
        <f>($L1089*'Pivot Objective'!$C$9^4)*Y1089*Z1089</f>
        <v>17916546.31292187</v>
      </c>
      <c r="AB1089" s="166">
        <v>60</v>
      </c>
      <c r="AC1089" s="166">
        <v>5</v>
      </c>
      <c r="AD1089" s="164">
        <f>($L1089*'Pivot Objective'!$C$9^5)*AB1089*AC1089</f>
        <v>20477198.766415965</v>
      </c>
      <c r="AE1089" s="166">
        <v>60</v>
      </c>
      <c r="AF1089" s="166">
        <v>5</v>
      </c>
      <c r="AG1089" s="164">
        <f>($L1089*'Pivot Objective'!$C$9^6)*AE1089*AF1089</f>
        <v>23403822.477599181</v>
      </c>
      <c r="AH1089" s="166">
        <v>60</v>
      </c>
      <c r="AI1089" s="166">
        <v>5</v>
      </c>
      <c r="AJ1089" s="164">
        <f>($L1089*'Pivot Objective'!$C$9^7)*AH1089*AI1089</f>
        <v>26748722.460090913</v>
      </c>
      <c r="AK1089" s="185">
        <f t="shared" si="120"/>
        <v>140438882.98335448</v>
      </c>
      <c r="AL1089" s="186">
        <f t="shared" si="121"/>
        <v>136348.43008092669</v>
      </c>
    </row>
    <row r="1090" spans="1:38" customFormat="1" ht="57.6" x14ac:dyDescent="0.3">
      <c r="A1090" s="140" t="s">
        <v>1480</v>
      </c>
      <c r="B1090" s="140">
        <v>2</v>
      </c>
      <c r="C1090" s="166" t="s">
        <v>983</v>
      </c>
      <c r="D1090" s="140" t="str">
        <f t="shared" si="124"/>
        <v>1</v>
      </c>
      <c r="E1090" s="166" t="s">
        <v>1176</v>
      </c>
      <c r="F1090" s="140">
        <f t="shared" si="123"/>
        <v>2</v>
      </c>
      <c r="G1090" s="140" t="str">
        <f t="shared" si="125"/>
        <v>2.1.2</v>
      </c>
      <c r="H1090" s="166" t="s">
        <v>1205</v>
      </c>
      <c r="I1090" s="166" t="s">
        <v>1206</v>
      </c>
      <c r="J1090" s="166" t="s">
        <v>1207</v>
      </c>
      <c r="K1090" s="166" t="s">
        <v>716</v>
      </c>
      <c r="L1090" s="177">
        <v>39000</v>
      </c>
      <c r="M1090" s="166">
        <v>60</v>
      </c>
      <c r="N1090" s="166">
        <v>5</v>
      </c>
      <c r="O1090" s="164">
        <f t="shared" si="119"/>
        <v>11700000</v>
      </c>
      <c r="P1090" s="166">
        <v>60</v>
      </c>
      <c r="Q1090" s="166">
        <v>5</v>
      </c>
      <c r="R1090" s="164">
        <f>$L1090*'Pivot Objective'!$C$9*P1090*Q1090</f>
        <v>13372176.834899997</v>
      </c>
      <c r="S1090" s="166">
        <v>60</v>
      </c>
      <c r="T1090" s="166">
        <v>5</v>
      </c>
      <c r="U1090" s="164">
        <f>($L1090*'Pivot Objective'!$C$9^2)*S1090*T1090</f>
        <v>15283343.017421894</v>
      </c>
      <c r="V1090" s="166">
        <v>60</v>
      </c>
      <c r="W1090" s="166">
        <v>5</v>
      </c>
      <c r="X1090" s="164">
        <f>($L1090*'Pivot Objective'!$C$9^3)*V1090*W1090</f>
        <v>17467655.167299118</v>
      </c>
      <c r="Y1090" s="166">
        <v>60</v>
      </c>
      <c r="Z1090" s="166">
        <v>5</v>
      </c>
      <c r="AA1090" s="164">
        <f>($L1090*'Pivot Objective'!$C$9^4)*Y1090*Z1090</f>
        <v>19964151.605827227</v>
      </c>
      <c r="AB1090" s="166">
        <v>60</v>
      </c>
      <c r="AC1090" s="166">
        <v>5</v>
      </c>
      <c r="AD1090" s="164">
        <f>($L1090*'Pivot Objective'!$C$9^5)*AB1090*AC1090</f>
        <v>22817450.05400636</v>
      </c>
      <c r="AE1090" s="166">
        <v>60</v>
      </c>
      <c r="AF1090" s="166">
        <v>5</v>
      </c>
      <c r="AG1090" s="164">
        <f>($L1090*'Pivot Objective'!$C$9^6)*AE1090*AF1090</f>
        <v>26078545.046467662</v>
      </c>
      <c r="AH1090" s="166">
        <v>60</v>
      </c>
      <c r="AI1090" s="166">
        <v>5</v>
      </c>
      <c r="AJ1090" s="164">
        <f>($L1090*'Pivot Objective'!$C$9^7)*AH1090*AI1090</f>
        <v>29805719.312672731</v>
      </c>
      <c r="AK1090" s="185">
        <f t="shared" si="120"/>
        <v>156489041.03859499</v>
      </c>
      <c r="AL1090" s="186">
        <f t="shared" si="121"/>
        <v>151931.10780446115</v>
      </c>
    </row>
    <row r="1091" spans="1:38" customFormat="1" ht="57.6" x14ac:dyDescent="0.3">
      <c r="A1091" s="140" t="s">
        <v>1480</v>
      </c>
      <c r="B1091" s="140">
        <v>2</v>
      </c>
      <c r="C1091" s="166" t="s">
        <v>983</v>
      </c>
      <c r="D1091" s="140" t="str">
        <f t="shared" si="124"/>
        <v>1</v>
      </c>
      <c r="E1091" s="166" t="s">
        <v>1176</v>
      </c>
      <c r="F1091" s="140">
        <f t="shared" si="123"/>
        <v>2</v>
      </c>
      <c r="G1091" s="140" t="str">
        <f t="shared" si="125"/>
        <v>2.1.2</v>
      </c>
      <c r="H1091" s="166" t="s">
        <v>1205</v>
      </c>
      <c r="I1091" s="166" t="s">
        <v>1206</v>
      </c>
      <c r="J1091" s="166" t="s">
        <v>1207</v>
      </c>
      <c r="K1091" s="166" t="s">
        <v>712</v>
      </c>
      <c r="L1091" s="177">
        <f>1480/7</f>
        <v>211.42857142857142</v>
      </c>
      <c r="M1091" s="166">
        <f>25*2*30</f>
        <v>1500</v>
      </c>
      <c r="N1091" s="166">
        <v>5</v>
      </c>
      <c r="O1091" s="164">
        <f t="shared" ref="O1091:O1154" si="126">$L1091*M1091*N1091</f>
        <v>1585714.2857142854</v>
      </c>
      <c r="P1091" s="166">
        <f>25*2*30</f>
        <v>1500</v>
      </c>
      <c r="Q1091" s="166">
        <v>5</v>
      </c>
      <c r="R1091" s="164">
        <f>$L1091*'Pivot Objective'!$C$9*P1091*Q1091</f>
        <v>1812346.3109571426</v>
      </c>
      <c r="S1091" s="166">
        <f>25*2*30</f>
        <v>1500</v>
      </c>
      <c r="T1091" s="166">
        <v>5</v>
      </c>
      <c r="U1091" s="164">
        <f>($L1091*'Pivot Objective'!$C$9^2)*S1091*T1091</f>
        <v>2071368.8338630404</v>
      </c>
      <c r="V1091" s="166">
        <f>25*2*30</f>
        <v>1500</v>
      </c>
      <c r="W1091" s="166">
        <v>5</v>
      </c>
      <c r="X1091" s="164">
        <f>($L1091*'Pivot Objective'!$C$9^3)*V1091*W1091</f>
        <v>2367411.1398903565</v>
      </c>
      <c r="Y1091" s="166">
        <f>25*2*30</f>
        <v>1500</v>
      </c>
      <c r="Z1091" s="166">
        <v>5</v>
      </c>
      <c r="AA1091" s="164">
        <f>($L1091*'Pivot Objective'!$C$9^4)*Y1091*Z1091</f>
        <v>2705764.1370535064</v>
      </c>
      <c r="AB1091" s="140">
        <f>25*2*30</f>
        <v>1500</v>
      </c>
      <c r="AC1091" s="140">
        <v>5</v>
      </c>
      <c r="AD1091" s="164">
        <f>($L1091*'Pivot Objective'!$C$9^5)*AB1091*AC1091</f>
        <v>3092474.9157444523</v>
      </c>
      <c r="AE1091" s="140">
        <f>25*2*30</f>
        <v>1500</v>
      </c>
      <c r="AF1091" s="140">
        <v>5</v>
      </c>
      <c r="AG1091" s="164">
        <f>($L1091*'Pivot Objective'!$C$9^6)*AE1091*AF1091</f>
        <v>3534454.8231476313</v>
      </c>
      <c r="AH1091" s="140">
        <f>25*2*30</f>
        <v>1500</v>
      </c>
      <c r="AI1091" s="140">
        <v>5</v>
      </c>
      <c r="AJ1091" s="164">
        <f>($L1091*'Pivot Objective'!$C$9^7)*AH1091*AI1091</f>
        <v>4039602.9837688315</v>
      </c>
      <c r="AK1091" s="185">
        <f t="shared" ref="AK1091:AK1154" si="127">O1091+R1091+U1091+X1091+AA1091+AD1091+AG1091+AJ1091</f>
        <v>21209137.430139247</v>
      </c>
      <c r="AL1091" s="186">
        <f t="shared" ref="AL1091:AL1154" si="128">AK1091/$AP$2</f>
        <v>20591.395563241989</v>
      </c>
    </row>
    <row r="1092" spans="1:38" customFormat="1" ht="57.6" x14ac:dyDescent="0.3">
      <c r="A1092" s="140" t="s">
        <v>1480</v>
      </c>
      <c r="B1092" s="140">
        <v>2</v>
      </c>
      <c r="C1092" s="166" t="s">
        <v>983</v>
      </c>
      <c r="D1092" s="140" t="str">
        <f t="shared" si="124"/>
        <v>1</v>
      </c>
      <c r="E1092" s="166" t="s">
        <v>1176</v>
      </c>
      <c r="F1092" s="140">
        <f t="shared" si="123"/>
        <v>2</v>
      </c>
      <c r="G1092" s="140" t="str">
        <f t="shared" si="125"/>
        <v>2.1.2</v>
      </c>
      <c r="H1092" s="166" t="s">
        <v>1205</v>
      </c>
      <c r="I1092" s="166" t="s">
        <v>1206</v>
      </c>
      <c r="J1092" s="166" t="s">
        <v>1207</v>
      </c>
      <c r="K1092" s="166" t="s">
        <v>1350</v>
      </c>
      <c r="L1092" s="177">
        <f>1480/7</f>
        <v>211.42857142857142</v>
      </c>
      <c r="M1092" s="166">
        <f>2*135*30</f>
        <v>8100</v>
      </c>
      <c r="N1092" s="166">
        <v>1</v>
      </c>
      <c r="O1092" s="164">
        <f t="shared" si="126"/>
        <v>1712571.4285714284</v>
      </c>
      <c r="P1092" s="166">
        <f>2*135*30</f>
        <v>8100</v>
      </c>
      <c r="Q1092" s="166">
        <v>1</v>
      </c>
      <c r="R1092" s="164">
        <f>$L1092*'Pivot Objective'!$C$9*P1092*Q1092</f>
        <v>1957334.015833714</v>
      </c>
      <c r="S1092" s="166">
        <f>2*135*30</f>
        <v>8100</v>
      </c>
      <c r="T1092" s="166">
        <v>1</v>
      </c>
      <c r="U1092" s="164">
        <f>($L1092*'Pivot Objective'!$C$9^2)*S1092*T1092</f>
        <v>2237078.3405720838</v>
      </c>
      <c r="V1092" s="166">
        <f>2*135*30</f>
        <v>8100</v>
      </c>
      <c r="W1092" s="166">
        <v>1</v>
      </c>
      <c r="X1092" s="164">
        <f>($L1092*'Pivot Objective'!$C$9^3)*V1092*W1092</f>
        <v>2556804.0310815852</v>
      </c>
      <c r="Y1092" s="166">
        <f>2*135*30</f>
        <v>8100</v>
      </c>
      <c r="Z1092" s="166">
        <v>1</v>
      </c>
      <c r="AA1092" s="164">
        <f>($L1092*'Pivot Objective'!$C$9^4)*Y1092*Z1092</f>
        <v>2922225.268017787</v>
      </c>
      <c r="AB1092" s="140">
        <f>2*135*30</f>
        <v>8100</v>
      </c>
      <c r="AC1092" s="140">
        <v>1</v>
      </c>
      <c r="AD1092" s="164">
        <f>($L1092*'Pivot Objective'!$C$9^5)*AB1092*AC1092</f>
        <v>3339872.9090040084</v>
      </c>
      <c r="AE1092" s="140">
        <f>2*135*30</f>
        <v>8100</v>
      </c>
      <c r="AF1092" s="140">
        <v>1</v>
      </c>
      <c r="AG1092" s="164">
        <f>($L1092*'Pivot Objective'!$C$9^6)*AE1092*AF1092</f>
        <v>3817211.2089994419</v>
      </c>
      <c r="AH1092" s="140">
        <f>2*135*30</f>
        <v>8100</v>
      </c>
      <c r="AI1092" s="140">
        <v>1</v>
      </c>
      <c r="AJ1092" s="164">
        <f>($L1092*'Pivot Objective'!$C$9^7)*AH1092*AI1092</f>
        <v>4362771.2224703375</v>
      </c>
      <c r="AK1092" s="185">
        <f t="shared" si="127"/>
        <v>22905868.424550384</v>
      </c>
      <c r="AL1092" s="186">
        <f t="shared" si="128"/>
        <v>22238.707208301345</v>
      </c>
    </row>
    <row r="1093" spans="1:38" customFormat="1" ht="57.6" x14ac:dyDescent="0.3">
      <c r="A1093" s="140" t="s">
        <v>1480</v>
      </c>
      <c r="B1093" s="140">
        <v>2</v>
      </c>
      <c r="C1093" s="166" t="s">
        <v>983</v>
      </c>
      <c r="D1093" s="140" t="str">
        <f t="shared" si="124"/>
        <v>1</v>
      </c>
      <c r="E1093" s="166" t="s">
        <v>1176</v>
      </c>
      <c r="F1093" s="140">
        <f t="shared" si="123"/>
        <v>2</v>
      </c>
      <c r="G1093" s="140" t="str">
        <f t="shared" si="125"/>
        <v>2.1.2</v>
      </c>
      <c r="H1093" s="166" t="s">
        <v>1205</v>
      </c>
      <c r="I1093" s="166" t="s">
        <v>1206</v>
      </c>
      <c r="J1093" s="166" t="s">
        <v>1208</v>
      </c>
      <c r="K1093" s="166" t="s">
        <v>841</v>
      </c>
      <c r="L1093" s="177">
        <v>0</v>
      </c>
      <c r="M1093" s="166">
        <v>0</v>
      </c>
      <c r="N1093" s="166">
        <v>0</v>
      </c>
      <c r="O1093" s="164">
        <f t="shared" si="126"/>
        <v>0</v>
      </c>
      <c r="P1093" s="166">
        <v>0</v>
      </c>
      <c r="Q1093" s="166">
        <v>0</v>
      </c>
      <c r="R1093" s="164">
        <f>$L1093*'Pivot Objective'!$C$9*P1093*Q1093</f>
        <v>0</v>
      </c>
      <c r="S1093" s="166">
        <v>4000</v>
      </c>
      <c r="T1093" s="166">
        <v>12</v>
      </c>
      <c r="U1093" s="164">
        <f>($L1093*'Pivot Objective'!$C$9^2)*S1093*T1093</f>
        <v>0</v>
      </c>
      <c r="V1093" s="166">
        <v>4000</v>
      </c>
      <c r="W1093" s="166">
        <v>12</v>
      </c>
      <c r="X1093" s="164">
        <f>($L1093*'Pivot Objective'!$C$9^3)*V1093*W1093</f>
        <v>0</v>
      </c>
      <c r="Y1093" s="166">
        <v>4000</v>
      </c>
      <c r="Z1093" s="166">
        <v>12</v>
      </c>
      <c r="AA1093" s="164">
        <f>($L1093*'Pivot Objective'!$C$9^4)*Y1093*Z1093</f>
        <v>0</v>
      </c>
      <c r="AB1093" s="140"/>
      <c r="AC1093" s="140"/>
      <c r="AD1093" s="164">
        <f>($L1093*'Pivot Objective'!$C$9^5)*AB1093*AC1093</f>
        <v>0</v>
      </c>
      <c r="AE1093" s="140"/>
      <c r="AF1093" s="140"/>
      <c r="AG1093" s="164">
        <f>($L1093*'Pivot Objective'!$C$9^6)*AE1093*AF1093</f>
        <v>0</v>
      </c>
      <c r="AH1093" s="140"/>
      <c r="AI1093" s="140"/>
      <c r="AJ1093" s="164">
        <f>($L1093*'Pivot Objective'!$C$9^7)*AH1093*AI1093</f>
        <v>0</v>
      </c>
      <c r="AK1093" s="185">
        <f t="shared" si="127"/>
        <v>0</v>
      </c>
      <c r="AL1093" s="186">
        <f t="shared" si="128"/>
        <v>0</v>
      </c>
    </row>
    <row r="1094" spans="1:38" customFormat="1" ht="57.6" x14ac:dyDescent="0.3">
      <c r="A1094" s="140" t="s">
        <v>1480</v>
      </c>
      <c r="B1094" s="140">
        <v>2</v>
      </c>
      <c r="C1094" s="166" t="s">
        <v>983</v>
      </c>
      <c r="D1094" s="140" t="str">
        <f t="shared" si="124"/>
        <v>1</v>
      </c>
      <c r="E1094" s="166" t="s">
        <v>1176</v>
      </c>
      <c r="F1094" s="140">
        <f t="shared" si="123"/>
        <v>2</v>
      </c>
      <c r="G1094" s="140" t="str">
        <f t="shared" si="125"/>
        <v>2.1.2</v>
      </c>
      <c r="H1094" s="166" t="s">
        <v>1205</v>
      </c>
      <c r="I1094" s="166" t="s">
        <v>1209</v>
      </c>
      <c r="J1094" s="166" t="s">
        <v>1210</v>
      </c>
      <c r="K1094" s="166" t="s">
        <v>841</v>
      </c>
      <c r="L1094" s="177">
        <v>0</v>
      </c>
      <c r="M1094" s="166">
        <v>0</v>
      </c>
      <c r="N1094" s="166">
        <v>0</v>
      </c>
      <c r="O1094" s="164">
        <f t="shared" si="126"/>
        <v>0</v>
      </c>
      <c r="P1094" s="166">
        <v>0</v>
      </c>
      <c r="Q1094" s="166">
        <v>0</v>
      </c>
      <c r="R1094" s="164">
        <f>$L1094*'Pivot Objective'!$C$9*P1094*Q1094</f>
        <v>0</v>
      </c>
      <c r="S1094" s="166">
        <v>0</v>
      </c>
      <c r="T1094" s="166">
        <v>0</v>
      </c>
      <c r="U1094" s="164">
        <f>($L1094*'Pivot Objective'!$C$9^2)*S1094*T1094</f>
        <v>0</v>
      </c>
      <c r="V1094" s="166">
        <v>0</v>
      </c>
      <c r="W1094" s="166">
        <v>0</v>
      </c>
      <c r="X1094" s="164">
        <f>($L1094*'Pivot Objective'!$C$9^3)*V1094*W1094</f>
        <v>0</v>
      </c>
      <c r="Y1094" s="166">
        <v>0</v>
      </c>
      <c r="Z1094" s="166">
        <v>0</v>
      </c>
      <c r="AA1094" s="164">
        <f>($L1094*'Pivot Objective'!$C$9^4)*Y1094*Z1094</f>
        <v>0</v>
      </c>
      <c r="AB1094" s="140"/>
      <c r="AC1094" s="140"/>
      <c r="AD1094" s="164">
        <f>($L1094*'Pivot Objective'!$C$9^5)*AB1094*AC1094</f>
        <v>0</v>
      </c>
      <c r="AE1094" s="140"/>
      <c r="AF1094" s="140"/>
      <c r="AG1094" s="164">
        <f>($L1094*'Pivot Objective'!$C$9^6)*AE1094*AF1094</f>
        <v>0</v>
      </c>
      <c r="AH1094" s="140"/>
      <c r="AI1094" s="140"/>
      <c r="AJ1094" s="164">
        <f>($L1094*'Pivot Objective'!$C$9^7)*AH1094*AI1094</f>
        <v>0</v>
      </c>
      <c r="AK1094" s="185">
        <f t="shared" si="127"/>
        <v>0</v>
      </c>
      <c r="AL1094" s="186">
        <f t="shared" si="128"/>
        <v>0</v>
      </c>
    </row>
    <row r="1095" spans="1:38" customFormat="1" ht="57.6" x14ac:dyDescent="0.3">
      <c r="A1095" s="140" t="s">
        <v>1480</v>
      </c>
      <c r="B1095" s="140">
        <v>2</v>
      </c>
      <c r="C1095" s="166" t="s">
        <v>983</v>
      </c>
      <c r="D1095" s="140" t="str">
        <f t="shared" si="124"/>
        <v>1</v>
      </c>
      <c r="E1095" s="166" t="s">
        <v>1176</v>
      </c>
      <c r="F1095" s="140">
        <f t="shared" si="123"/>
        <v>2</v>
      </c>
      <c r="G1095" s="140" t="str">
        <f t="shared" si="125"/>
        <v>2.1.2</v>
      </c>
      <c r="H1095" s="166" t="s">
        <v>1205</v>
      </c>
      <c r="I1095" s="166" t="s">
        <v>1209</v>
      </c>
      <c r="J1095" s="166" t="s">
        <v>1211</v>
      </c>
      <c r="K1095" s="166" t="s">
        <v>841</v>
      </c>
      <c r="L1095" s="177">
        <v>0</v>
      </c>
      <c r="M1095" s="166">
        <v>20</v>
      </c>
      <c r="N1095" s="166">
        <v>4</v>
      </c>
      <c r="O1095" s="164">
        <f t="shared" si="126"/>
        <v>0</v>
      </c>
      <c r="P1095" s="166">
        <v>20</v>
      </c>
      <c r="Q1095" s="166">
        <v>4</v>
      </c>
      <c r="R1095" s="164">
        <f>$L1095*'Pivot Objective'!$C$9*P1095*Q1095</f>
        <v>0</v>
      </c>
      <c r="S1095" s="166">
        <v>20</v>
      </c>
      <c r="T1095" s="166">
        <v>4</v>
      </c>
      <c r="U1095" s="164">
        <f>($L1095*'Pivot Objective'!$C$9^2)*S1095*T1095</f>
        <v>0</v>
      </c>
      <c r="V1095" s="166">
        <v>20</v>
      </c>
      <c r="W1095" s="166">
        <v>4</v>
      </c>
      <c r="X1095" s="164">
        <f>($L1095*'Pivot Objective'!$C$9^3)*V1095*W1095</f>
        <v>0</v>
      </c>
      <c r="Y1095" s="166">
        <v>20</v>
      </c>
      <c r="Z1095" s="166">
        <v>4</v>
      </c>
      <c r="AA1095" s="164">
        <f>($L1095*'Pivot Objective'!$C$9^4)*Y1095*Z1095</f>
        <v>0</v>
      </c>
      <c r="AB1095" s="140"/>
      <c r="AC1095" s="140"/>
      <c r="AD1095" s="164">
        <f>($L1095*'Pivot Objective'!$C$9^5)*AB1095*AC1095</f>
        <v>0</v>
      </c>
      <c r="AE1095" s="140"/>
      <c r="AF1095" s="140"/>
      <c r="AG1095" s="164">
        <f>($L1095*'Pivot Objective'!$C$9^6)*AE1095*AF1095</f>
        <v>0</v>
      </c>
      <c r="AH1095" s="140"/>
      <c r="AI1095" s="140"/>
      <c r="AJ1095" s="164">
        <f>($L1095*'Pivot Objective'!$C$9^7)*AH1095*AI1095</f>
        <v>0</v>
      </c>
      <c r="AK1095" s="185">
        <f t="shared" si="127"/>
        <v>0</v>
      </c>
      <c r="AL1095" s="186">
        <f t="shared" si="128"/>
        <v>0</v>
      </c>
    </row>
    <row r="1096" spans="1:38" customFormat="1" ht="57.6" x14ac:dyDescent="0.3">
      <c r="A1096" s="140" t="s">
        <v>1480</v>
      </c>
      <c r="B1096" s="140">
        <v>2</v>
      </c>
      <c r="C1096" s="166" t="s">
        <v>983</v>
      </c>
      <c r="D1096" s="140" t="str">
        <f t="shared" si="124"/>
        <v>1</v>
      </c>
      <c r="E1096" s="166" t="s">
        <v>1176</v>
      </c>
      <c r="F1096" s="140">
        <f t="shared" si="123"/>
        <v>2</v>
      </c>
      <c r="G1096" s="140" t="str">
        <f t="shared" si="125"/>
        <v>2.1.2</v>
      </c>
      <c r="H1096" s="166" t="s">
        <v>1205</v>
      </c>
      <c r="I1096" s="166" t="s">
        <v>1212</v>
      </c>
      <c r="J1096" s="166" t="s">
        <v>1213</v>
      </c>
      <c r="K1096" s="166" t="s">
        <v>841</v>
      </c>
      <c r="L1096" s="177">
        <v>0</v>
      </c>
      <c r="M1096" s="166">
        <v>0</v>
      </c>
      <c r="N1096" s="166">
        <v>0</v>
      </c>
      <c r="O1096" s="164">
        <f t="shared" si="126"/>
        <v>0</v>
      </c>
      <c r="P1096" s="166">
        <v>0</v>
      </c>
      <c r="Q1096" s="166">
        <v>0</v>
      </c>
      <c r="R1096" s="164">
        <f>$L1096*'Pivot Objective'!$C$9*P1096*Q1096</f>
        <v>0</v>
      </c>
      <c r="S1096" s="166">
        <v>0</v>
      </c>
      <c r="T1096" s="166">
        <v>0</v>
      </c>
      <c r="U1096" s="164">
        <f>($L1096*'Pivot Objective'!$C$9^2)*S1096*T1096</f>
        <v>0</v>
      </c>
      <c r="V1096" s="166">
        <v>0</v>
      </c>
      <c r="W1096" s="166">
        <v>0</v>
      </c>
      <c r="X1096" s="164">
        <f>($L1096*'Pivot Objective'!$C$9^3)*V1096*W1096</f>
        <v>0</v>
      </c>
      <c r="Y1096" s="166">
        <v>0</v>
      </c>
      <c r="Z1096" s="166">
        <v>0</v>
      </c>
      <c r="AA1096" s="164">
        <f>($L1096*'Pivot Objective'!$C$9^4)*Y1096*Z1096</f>
        <v>0</v>
      </c>
      <c r="AB1096" s="140"/>
      <c r="AC1096" s="140"/>
      <c r="AD1096" s="164">
        <f>($L1096*'Pivot Objective'!$C$9^5)*AB1096*AC1096</f>
        <v>0</v>
      </c>
      <c r="AE1096" s="140"/>
      <c r="AF1096" s="140"/>
      <c r="AG1096" s="164">
        <f>($L1096*'Pivot Objective'!$C$9^6)*AE1096*AF1096</f>
        <v>0</v>
      </c>
      <c r="AH1096" s="140"/>
      <c r="AI1096" s="140"/>
      <c r="AJ1096" s="164">
        <f>($L1096*'Pivot Objective'!$C$9^7)*AH1096*AI1096</f>
        <v>0</v>
      </c>
      <c r="AK1096" s="185">
        <f t="shared" si="127"/>
        <v>0</v>
      </c>
      <c r="AL1096" s="186">
        <f t="shared" si="128"/>
        <v>0</v>
      </c>
    </row>
    <row r="1097" spans="1:38" customFormat="1" ht="57.6" x14ac:dyDescent="0.3">
      <c r="A1097" s="140" t="s">
        <v>1480</v>
      </c>
      <c r="B1097" s="140">
        <v>2</v>
      </c>
      <c r="C1097" s="166" t="s">
        <v>983</v>
      </c>
      <c r="D1097" s="140" t="str">
        <f t="shared" si="124"/>
        <v>1</v>
      </c>
      <c r="E1097" s="166" t="s">
        <v>1176</v>
      </c>
      <c r="F1097" s="140">
        <f t="shared" si="123"/>
        <v>2</v>
      </c>
      <c r="G1097" s="140" t="str">
        <f t="shared" si="125"/>
        <v>2.1.2</v>
      </c>
      <c r="H1097" s="166" t="s">
        <v>1205</v>
      </c>
      <c r="I1097" s="166" t="s">
        <v>1212</v>
      </c>
      <c r="J1097" s="166" t="s">
        <v>1214</v>
      </c>
      <c r="K1097" s="166" t="s">
        <v>841</v>
      </c>
      <c r="L1097" s="177">
        <v>0</v>
      </c>
      <c r="M1097" s="166">
        <v>0</v>
      </c>
      <c r="N1097" s="166">
        <v>0</v>
      </c>
      <c r="O1097" s="164">
        <f t="shared" si="126"/>
        <v>0</v>
      </c>
      <c r="P1097" s="166">
        <v>0</v>
      </c>
      <c r="Q1097" s="166">
        <v>0</v>
      </c>
      <c r="R1097" s="164">
        <f>$L1097*'Pivot Objective'!$C$9*P1097*Q1097</f>
        <v>0</v>
      </c>
      <c r="S1097" s="166">
        <v>0</v>
      </c>
      <c r="T1097" s="166">
        <v>0</v>
      </c>
      <c r="U1097" s="164">
        <f>($L1097*'Pivot Objective'!$C$9^2)*S1097*T1097</f>
        <v>0</v>
      </c>
      <c r="V1097" s="166">
        <v>0</v>
      </c>
      <c r="W1097" s="166">
        <v>0</v>
      </c>
      <c r="X1097" s="164">
        <f>($L1097*'Pivot Objective'!$C$9^3)*V1097*W1097</f>
        <v>0</v>
      </c>
      <c r="Y1097" s="166">
        <v>0</v>
      </c>
      <c r="Z1097" s="166">
        <v>0</v>
      </c>
      <c r="AA1097" s="164">
        <f>($L1097*'Pivot Objective'!$C$9^4)*Y1097*Z1097</f>
        <v>0</v>
      </c>
      <c r="AB1097" s="140"/>
      <c r="AC1097" s="140"/>
      <c r="AD1097" s="164">
        <f>($L1097*'Pivot Objective'!$C$9^5)*AB1097*AC1097</f>
        <v>0</v>
      </c>
      <c r="AE1097" s="140"/>
      <c r="AF1097" s="140"/>
      <c r="AG1097" s="164">
        <f>($L1097*'Pivot Objective'!$C$9^6)*AE1097*AF1097</f>
        <v>0</v>
      </c>
      <c r="AH1097" s="140"/>
      <c r="AI1097" s="140"/>
      <c r="AJ1097" s="164">
        <f>($L1097*'Pivot Objective'!$C$9^7)*AH1097*AI1097</f>
        <v>0</v>
      </c>
      <c r="AK1097" s="185">
        <f t="shared" si="127"/>
        <v>0</v>
      </c>
      <c r="AL1097" s="186">
        <f t="shared" si="128"/>
        <v>0</v>
      </c>
    </row>
    <row r="1098" spans="1:38" customFormat="1" ht="57.6" x14ac:dyDescent="0.3">
      <c r="A1098" s="140" t="s">
        <v>1480</v>
      </c>
      <c r="B1098" s="140">
        <v>2</v>
      </c>
      <c r="C1098" s="166" t="s">
        <v>983</v>
      </c>
      <c r="D1098" s="140" t="str">
        <f t="shared" si="124"/>
        <v>1</v>
      </c>
      <c r="E1098" s="166" t="s">
        <v>1176</v>
      </c>
      <c r="F1098" s="140">
        <f t="shared" si="123"/>
        <v>2</v>
      </c>
      <c r="G1098" s="140" t="str">
        <f t="shared" si="125"/>
        <v>2.1.2</v>
      </c>
      <c r="H1098" s="166" t="s">
        <v>1205</v>
      </c>
      <c r="I1098" s="166" t="s">
        <v>1212</v>
      </c>
      <c r="J1098" s="166" t="s">
        <v>1215</v>
      </c>
      <c r="K1098" s="166" t="s">
        <v>841</v>
      </c>
      <c r="L1098" s="177">
        <v>0</v>
      </c>
      <c r="M1098" s="166">
        <v>0</v>
      </c>
      <c r="N1098" s="166">
        <v>0</v>
      </c>
      <c r="O1098" s="164">
        <f t="shared" si="126"/>
        <v>0</v>
      </c>
      <c r="P1098" s="166">
        <v>0</v>
      </c>
      <c r="Q1098" s="166">
        <v>0</v>
      </c>
      <c r="R1098" s="164">
        <f>$L1098*'Pivot Objective'!$C$9*P1098*Q1098</f>
        <v>0</v>
      </c>
      <c r="S1098" s="166">
        <v>0</v>
      </c>
      <c r="T1098" s="166">
        <v>0</v>
      </c>
      <c r="U1098" s="164">
        <f>($L1098*'Pivot Objective'!$C$9^2)*S1098*T1098</f>
        <v>0</v>
      </c>
      <c r="V1098" s="166">
        <v>0</v>
      </c>
      <c r="W1098" s="166">
        <v>0</v>
      </c>
      <c r="X1098" s="164">
        <f>($L1098*'Pivot Objective'!$C$9^3)*V1098*W1098</f>
        <v>0</v>
      </c>
      <c r="Y1098" s="166">
        <v>0</v>
      </c>
      <c r="Z1098" s="166">
        <v>0</v>
      </c>
      <c r="AA1098" s="164">
        <f>($L1098*'Pivot Objective'!$C$9^4)*Y1098*Z1098</f>
        <v>0</v>
      </c>
      <c r="AB1098" s="140"/>
      <c r="AC1098" s="140"/>
      <c r="AD1098" s="164">
        <f>($L1098*'Pivot Objective'!$C$9^5)*AB1098*AC1098</f>
        <v>0</v>
      </c>
      <c r="AE1098" s="140"/>
      <c r="AF1098" s="140"/>
      <c r="AG1098" s="164">
        <f>($L1098*'Pivot Objective'!$C$9^6)*AE1098*AF1098</f>
        <v>0</v>
      </c>
      <c r="AH1098" s="140"/>
      <c r="AI1098" s="140"/>
      <c r="AJ1098" s="164">
        <f>($L1098*'Pivot Objective'!$C$9^7)*AH1098*AI1098</f>
        <v>0</v>
      </c>
      <c r="AK1098" s="185">
        <f t="shared" si="127"/>
        <v>0</v>
      </c>
      <c r="AL1098" s="186">
        <f t="shared" si="128"/>
        <v>0</v>
      </c>
    </row>
    <row r="1099" spans="1:38" customFormat="1" ht="57.6" x14ac:dyDescent="0.3">
      <c r="A1099" s="140" t="s">
        <v>1480</v>
      </c>
      <c r="B1099" s="140">
        <v>2</v>
      </c>
      <c r="C1099" s="166" t="s">
        <v>983</v>
      </c>
      <c r="D1099" s="140" t="str">
        <f t="shared" si="124"/>
        <v>1</v>
      </c>
      <c r="E1099" s="166" t="s">
        <v>1176</v>
      </c>
      <c r="F1099" s="140">
        <f t="shared" si="123"/>
        <v>2</v>
      </c>
      <c r="G1099" s="140" t="str">
        <f t="shared" si="125"/>
        <v>2.1.2</v>
      </c>
      <c r="H1099" s="166" t="s">
        <v>1205</v>
      </c>
      <c r="I1099" s="166" t="s">
        <v>1212</v>
      </c>
      <c r="J1099" s="166" t="s">
        <v>1216</v>
      </c>
      <c r="K1099" s="166" t="s">
        <v>709</v>
      </c>
      <c r="L1099" s="177">
        <v>35000</v>
      </c>
      <c r="M1099" s="166">
        <v>25</v>
      </c>
      <c r="N1099" s="166">
        <v>5</v>
      </c>
      <c r="O1099" s="164">
        <f t="shared" si="126"/>
        <v>4375000</v>
      </c>
      <c r="P1099" s="166">
        <v>0</v>
      </c>
      <c r="Q1099" s="166">
        <v>0</v>
      </c>
      <c r="R1099" s="164">
        <f>$L1099*'Pivot Objective'!$C$9*P1099*Q1099</f>
        <v>0</v>
      </c>
      <c r="S1099" s="166">
        <v>0</v>
      </c>
      <c r="T1099" s="166">
        <v>0</v>
      </c>
      <c r="U1099" s="164">
        <f>($L1099*'Pivot Objective'!$C$9^2)*S1099*T1099</f>
        <v>0</v>
      </c>
      <c r="V1099" s="166">
        <v>0</v>
      </c>
      <c r="W1099" s="166">
        <v>0</v>
      </c>
      <c r="X1099" s="164">
        <f>($L1099*'Pivot Objective'!$C$9^3)*V1099*W1099</f>
        <v>0</v>
      </c>
      <c r="Y1099" s="166">
        <v>0</v>
      </c>
      <c r="Z1099" s="166">
        <v>0</v>
      </c>
      <c r="AA1099" s="164">
        <f>($L1099*'Pivot Objective'!$C$9^4)*Y1099*Z1099</f>
        <v>0</v>
      </c>
      <c r="AB1099" s="140"/>
      <c r="AC1099" s="140"/>
      <c r="AD1099" s="164">
        <f>($L1099*'Pivot Objective'!$C$9^5)*AB1099*AC1099</f>
        <v>0</v>
      </c>
      <c r="AE1099" s="140"/>
      <c r="AF1099" s="140"/>
      <c r="AG1099" s="164">
        <f>($L1099*'Pivot Objective'!$C$9^6)*AE1099*AF1099</f>
        <v>0</v>
      </c>
      <c r="AH1099" s="140"/>
      <c r="AI1099" s="140"/>
      <c r="AJ1099" s="164">
        <f>($L1099*'Pivot Objective'!$C$9^7)*AH1099*AI1099</f>
        <v>0</v>
      </c>
      <c r="AK1099" s="185">
        <f t="shared" si="127"/>
        <v>4375000</v>
      </c>
      <c r="AL1099" s="186">
        <f t="shared" si="128"/>
        <v>4247.5728155339802</v>
      </c>
    </row>
    <row r="1100" spans="1:38" customFormat="1" ht="57.6" x14ac:dyDescent="0.3">
      <c r="A1100" s="140" t="s">
        <v>1480</v>
      </c>
      <c r="B1100" s="140">
        <v>2</v>
      </c>
      <c r="C1100" s="166" t="s">
        <v>983</v>
      </c>
      <c r="D1100" s="140" t="str">
        <f t="shared" si="124"/>
        <v>1</v>
      </c>
      <c r="E1100" s="166" t="s">
        <v>1176</v>
      </c>
      <c r="F1100" s="140">
        <f t="shared" si="123"/>
        <v>2</v>
      </c>
      <c r="G1100" s="140" t="str">
        <f t="shared" si="125"/>
        <v>2.1.2</v>
      </c>
      <c r="H1100" s="166" t="s">
        <v>1205</v>
      </c>
      <c r="I1100" s="166" t="s">
        <v>1212</v>
      </c>
      <c r="J1100" s="166" t="s">
        <v>1216</v>
      </c>
      <c r="K1100" s="166" t="s">
        <v>716</v>
      </c>
      <c r="L1100" s="177">
        <v>39000</v>
      </c>
      <c r="M1100" s="166">
        <v>25</v>
      </c>
      <c r="N1100" s="166">
        <v>10</v>
      </c>
      <c r="O1100" s="164">
        <f t="shared" si="126"/>
        <v>9750000</v>
      </c>
      <c r="P1100" s="166">
        <v>25</v>
      </c>
      <c r="Q1100" s="166">
        <v>10</v>
      </c>
      <c r="R1100" s="164">
        <f>$L1100*'Pivot Objective'!$C$9*P1100*Q1100</f>
        <v>11143480.695749998</v>
      </c>
      <c r="S1100" s="166">
        <v>25</v>
      </c>
      <c r="T1100" s="166">
        <v>10</v>
      </c>
      <c r="U1100" s="164">
        <f>($L1100*'Pivot Objective'!$C$9^2)*S1100*T1100</f>
        <v>12736119.18118491</v>
      </c>
      <c r="V1100" s="166">
        <v>25</v>
      </c>
      <c r="W1100" s="166">
        <v>10</v>
      </c>
      <c r="X1100" s="164">
        <f>($L1100*'Pivot Objective'!$C$9^3)*V1100*W1100</f>
        <v>14556379.306082599</v>
      </c>
      <c r="Y1100" s="166">
        <v>25</v>
      </c>
      <c r="Z1100" s="166">
        <v>10</v>
      </c>
      <c r="AA1100" s="164">
        <f>($L1100*'Pivot Objective'!$C$9^4)*Y1100*Z1100</f>
        <v>16636793.004856024</v>
      </c>
      <c r="AB1100" s="166">
        <v>25</v>
      </c>
      <c r="AC1100" s="166">
        <v>10</v>
      </c>
      <c r="AD1100" s="164">
        <f>($L1100*'Pivot Objective'!$C$9^5)*AB1100*AC1100</f>
        <v>19014541.711671971</v>
      </c>
      <c r="AE1100" s="166">
        <v>25</v>
      </c>
      <c r="AF1100" s="166">
        <v>10</v>
      </c>
      <c r="AG1100" s="164">
        <f>($L1100*'Pivot Objective'!$C$9^6)*AE1100*AF1100</f>
        <v>21732120.872056387</v>
      </c>
      <c r="AH1100" s="166">
        <v>25</v>
      </c>
      <c r="AI1100" s="166">
        <v>10</v>
      </c>
      <c r="AJ1100" s="164">
        <f>($L1100*'Pivot Objective'!$C$9^7)*AH1100*AI1100</f>
        <v>24838099.427227274</v>
      </c>
      <c r="AK1100" s="185">
        <f t="shared" si="127"/>
        <v>130407534.19882916</v>
      </c>
      <c r="AL1100" s="186">
        <f t="shared" si="128"/>
        <v>126609.25650371762</v>
      </c>
    </row>
    <row r="1101" spans="1:38" customFormat="1" ht="57.6" x14ac:dyDescent="0.3">
      <c r="A1101" s="140" t="s">
        <v>1480</v>
      </c>
      <c r="B1101" s="140">
        <v>2</v>
      </c>
      <c r="C1101" s="166" t="s">
        <v>983</v>
      </c>
      <c r="D1101" s="140" t="str">
        <f t="shared" si="124"/>
        <v>1</v>
      </c>
      <c r="E1101" s="166" t="s">
        <v>1176</v>
      </c>
      <c r="F1101" s="140">
        <f t="shared" si="123"/>
        <v>2</v>
      </c>
      <c r="G1101" s="140" t="str">
        <f t="shared" si="125"/>
        <v>2.1.2</v>
      </c>
      <c r="H1101" s="166" t="s">
        <v>1205</v>
      </c>
      <c r="I1101" s="166" t="s">
        <v>1212</v>
      </c>
      <c r="J1101" s="166" t="s">
        <v>1216</v>
      </c>
      <c r="K1101" s="166" t="s">
        <v>712</v>
      </c>
      <c r="L1101" s="177">
        <f>1480/7</f>
        <v>211.42857142857142</v>
      </c>
      <c r="M1101" s="166">
        <f>25*2*9</f>
        <v>450</v>
      </c>
      <c r="N1101" s="166">
        <v>10</v>
      </c>
      <c r="O1101" s="164">
        <f t="shared" si="126"/>
        <v>951428.57142857136</v>
      </c>
      <c r="P1101" s="166">
        <f>25*2*9</f>
        <v>450</v>
      </c>
      <c r="Q1101" s="166">
        <v>10</v>
      </c>
      <c r="R1101" s="164">
        <f>$L1101*'Pivot Objective'!$C$9*P1101*Q1101</f>
        <v>1087407.7865742855</v>
      </c>
      <c r="S1101" s="166">
        <f>25*2*9</f>
        <v>450</v>
      </c>
      <c r="T1101" s="166">
        <v>10</v>
      </c>
      <c r="U1101" s="164">
        <f>($L1101*'Pivot Objective'!$C$9^2)*S1101*T1101</f>
        <v>1242821.3003178244</v>
      </c>
      <c r="V1101" s="166">
        <f>25*2*9</f>
        <v>450</v>
      </c>
      <c r="W1101" s="166">
        <v>10</v>
      </c>
      <c r="X1101" s="164">
        <f>($L1101*'Pivot Objective'!$C$9^3)*V1101*W1101</f>
        <v>1420446.6839342141</v>
      </c>
      <c r="Y1101" s="166">
        <f>25*2*9</f>
        <v>450</v>
      </c>
      <c r="Z1101" s="166">
        <v>10</v>
      </c>
      <c r="AA1101" s="164">
        <f>($L1101*'Pivot Objective'!$C$9^4)*Y1101*Z1101</f>
        <v>1623458.4822321041</v>
      </c>
      <c r="AB1101" s="140">
        <f>25*2*9</f>
        <v>450</v>
      </c>
      <c r="AC1101" s="140">
        <v>10</v>
      </c>
      <c r="AD1101" s="164">
        <f>($L1101*'Pivot Objective'!$C$9^5)*AB1101*AC1101</f>
        <v>1855484.9494466712</v>
      </c>
      <c r="AE1101" s="140">
        <f>25*2*9</f>
        <v>450</v>
      </c>
      <c r="AF1101" s="140">
        <v>10</v>
      </c>
      <c r="AG1101" s="164">
        <f>($L1101*'Pivot Objective'!$C$9^6)*AE1101*AF1101</f>
        <v>2120672.8938885788</v>
      </c>
      <c r="AH1101" s="140">
        <f>25*2*9</f>
        <v>450</v>
      </c>
      <c r="AI1101" s="140">
        <v>10</v>
      </c>
      <c r="AJ1101" s="164">
        <f>($L1101*'Pivot Objective'!$C$9^7)*AH1101*AI1101</f>
        <v>2423761.7902612989</v>
      </c>
      <c r="AK1101" s="185">
        <f t="shared" si="127"/>
        <v>12725482.458083548</v>
      </c>
      <c r="AL1101" s="186">
        <f t="shared" si="128"/>
        <v>12354.837337945191</v>
      </c>
    </row>
    <row r="1102" spans="1:38" customFormat="1" ht="57.6" x14ac:dyDescent="0.3">
      <c r="A1102" s="140" t="s">
        <v>1480</v>
      </c>
      <c r="B1102" s="140">
        <v>2</v>
      </c>
      <c r="C1102" s="166" t="s">
        <v>983</v>
      </c>
      <c r="D1102" s="140" t="str">
        <f t="shared" si="124"/>
        <v>1</v>
      </c>
      <c r="E1102" s="166" t="s">
        <v>1176</v>
      </c>
      <c r="F1102" s="140">
        <f t="shared" ref="F1102:F1133" si="129">IF(H1102=H1101,F1101,F1101+1)</f>
        <v>2</v>
      </c>
      <c r="G1102" s="140" t="str">
        <f t="shared" si="125"/>
        <v>2.1.2</v>
      </c>
      <c r="H1102" s="166" t="s">
        <v>1205</v>
      </c>
      <c r="I1102" s="166" t="s">
        <v>1212</v>
      </c>
      <c r="J1102" s="166" t="s">
        <v>1368</v>
      </c>
      <c r="K1102" s="166" t="s">
        <v>1350</v>
      </c>
      <c r="L1102" s="177">
        <f>1480/7</f>
        <v>211.42857142857142</v>
      </c>
      <c r="M1102" s="166">
        <f>2*135*9</f>
        <v>2430</v>
      </c>
      <c r="N1102" s="166">
        <v>1</v>
      </c>
      <c r="O1102" s="164">
        <f t="shared" si="126"/>
        <v>513771.42857142852</v>
      </c>
      <c r="P1102" s="166">
        <f>2*135*9</f>
        <v>2430</v>
      </c>
      <c r="Q1102" s="166">
        <v>1</v>
      </c>
      <c r="R1102" s="164">
        <f>$L1102*'Pivot Objective'!$C$9*P1102*Q1102</f>
        <v>587200.20475011424</v>
      </c>
      <c r="S1102" s="166">
        <f>2*135*9</f>
        <v>2430</v>
      </c>
      <c r="T1102" s="166">
        <v>1</v>
      </c>
      <c r="U1102" s="164">
        <f>($L1102*'Pivot Objective'!$C$9^2)*S1102*T1102</f>
        <v>671123.50217162515</v>
      </c>
      <c r="V1102" s="166">
        <f>2*135*9</f>
        <v>2430</v>
      </c>
      <c r="W1102" s="166">
        <v>1</v>
      </c>
      <c r="X1102" s="164">
        <f>($L1102*'Pivot Objective'!$C$9^3)*V1102*W1102</f>
        <v>767041.20932447549</v>
      </c>
      <c r="Y1102" s="166">
        <f>2*135*9</f>
        <v>2430</v>
      </c>
      <c r="Z1102" s="166">
        <v>1</v>
      </c>
      <c r="AA1102" s="164">
        <f>($L1102*'Pivot Objective'!$C$9^4)*Y1102*Z1102</f>
        <v>876667.58040533611</v>
      </c>
      <c r="AB1102" s="140">
        <f>2*135*9</f>
        <v>2430</v>
      </c>
      <c r="AC1102" s="140">
        <v>1</v>
      </c>
      <c r="AD1102" s="164">
        <f>($L1102*'Pivot Objective'!$C$9^5)*AB1102*AC1102</f>
        <v>1001961.8727012025</v>
      </c>
      <c r="AE1102" s="140">
        <f>2*135*9</f>
        <v>2430</v>
      </c>
      <c r="AF1102" s="140">
        <v>1</v>
      </c>
      <c r="AG1102" s="164">
        <f>($L1102*'Pivot Objective'!$C$9^6)*AE1102*AF1102</f>
        <v>1145163.3626998325</v>
      </c>
      <c r="AH1102" s="140">
        <f>2*135*9</f>
        <v>2430</v>
      </c>
      <c r="AI1102" s="140">
        <v>1</v>
      </c>
      <c r="AJ1102" s="164">
        <f>($L1102*'Pivot Objective'!$C$9^7)*AH1102*AI1102</f>
        <v>1308831.3667411015</v>
      </c>
      <c r="AK1102" s="185">
        <f t="shared" si="127"/>
        <v>6871760.5273651164</v>
      </c>
      <c r="AL1102" s="186">
        <f t="shared" si="128"/>
        <v>6671.6121624904044</v>
      </c>
    </row>
    <row r="1103" spans="1:38" customFormat="1" ht="57.6" x14ac:dyDescent="0.3">
      <c r="A1103" s="140" t="s">
        <v>1480</v>
      </c>
      <c r="B1103" s="140">
        <v>2</v>
      </c>
      <c r="C1103" s="166" t="s">
        <v>983</v>
      </c>
      <c r="D1103" s="140" t="str">
        <f t="shared" si="124"/>
        <v>1</v>
      </c>
      <c r="E1103" s="166" t="s">
        <v>1176</v>
      </c>
      <c r="F1103" s="140">
        <f t="shared" si="129"/>
        <v>2</v>
      </c>
      <c r="G1103" s="140" t="str">
        <f t="shared" si="125"/>
        <v>2.1.2</v>
      </c>
      <c r="H1103" s="166" t="s">
        <v>1205</v>
      </c>
      <c r="I1103" s="166" t="s">
        <v>1212</v>
      </c>
      <c r="J1103" s="166" t="s">
        <v>1217</v>
      </c>
      <c r="K1103" s="166" t="s">
        <v>841</v>
      </c>
      <c r="L1103" s="177">
        <v>0</v>
      </c>
      <c r="M1103" s="166">
        <v>4000</v>
      </c>
      <c r="N1103" s="166">
        <v>2</v>
      </c>
      <c r="O1103" s="164">
        <f t="shared" si="126"/>
        <v>0</v>
      </c>
      <c r="P1103" s="166">
        <v>4000</v>
      </c>
      <c r="Q1103" s="166">
        <v>2</v>
      </c>
      <c r="R1103" s="164">
        <f>$L1103*'Pivot Objective'!$C$9*P1103*Q1103</f>
        <v>0</v>
      </c>
      <c r="S1103" s="166">
        <v>4000</v>
      </c>
      <c r="T1103" s="166">
        <v>2</v>
      </c>
      <c r="U1103" s="164">
        <f>($L1103*'Pivot Objective'!$C$9^2)*S1103*T1103</f>
        <v>0</v>
      </c>
      <c r="V1103" s="166">
        <v>4000</v>
      </c>
      <c r="W1103" s="166">
        <v>2</v>
      </c>
      <c r="X1103" s="164">
        <f>($L1103*'Pivot Objective'!$C$9^3)*V1103*W1103</f>
        <v>0</v>
      </c>
      <c r="Y1103" s="166">
        <v>4000</v>
      </c>
      <c r="Z1103" s="166">
        <v>2</v>
      </c>
      <c r="AA1103" s="164">
        <f>($L1103*'Pivot Objective'!$C$9^4)*Y1103*Z1103</f>
        <v>0</v>
      </c>
      <c r="AB1103" s="140"/>
      <c r="AC1103" s="140"/>
      <c r="AD1103" s="164">
        <f>($L1103*'Pivot Objective'!$C$9^5)*AB1103*AC1103</f>
        <v>0</v>
      </c>
      <c r="AE1103" s="140"/>
      <c r="AF1103" s="140"/>
      <c r="AG1103" s="164">
        <f>($L1103*'Pivot Objective'!$C$9^6)*AE1103*AF1103</f>
        <v>0</v>
      </c>
      <c r="AH1103" s="140"/>
      <c r="AI1103" s="140"/>
      <c r="AJ1103" s="164">
        <f>($L1103*'Pivot Objective'!$C$9^7)*AH1103*AI1103</f>
        <v>0</v>
      </c>
      <c r="AK1103" s="185">
        <f t="shared" si="127"/>
        <v>0</v>
      </c>
      <c r="AL1103" s="186">
        <f t="shared" si="128"/>
        <v>0</v>
      </c>
    </row>
    <row r="1104" spans="1:38" customFormat="1" ht="57.6" x14ac:dyDescent="0.3">
      <c r="A1104" s="140" t="s">
        <v>1480</v>
      </c>
      <c r="B1104" s="140">
        <v>2</v>
      </c>
      <c r="C1104" s="166" t="s">
        <v>983</v>
      </c>
      <c r="D1104" s="140" t="str">
        <f t="shared" si="124"/>
        <v>1</v>
      </c>
      <c r="E1104" s="166" t="s">
        <v>1176</v>
      </c>
      <c r="F1104" s="140">
        <f t="shared" si="129"/>
        <v>2</v>
      </c>
      <c r="G1104" s="140" t="str">
        <f t="shared" si="125"/>
        <v>2.1.2</v>
      </c>
      <c r="H1104" s="166" t="s">
        <v>1205</v>
      </c>
      <c r="I1104" s="166" t="s">
        <v>1218</v>
      </c>
      <c r="J1104" s="166" t="s">
        <v>1219</v>
      </c>
      <c r="K1104" s="166" t="s">
        <v>709</v>
      </c>
      <c r="L1104" s="177">
        <v>35000</v>
      </c>
      <c r="M1104" s="166">
        <v>25</v>
      </c>
      <c r="N1104" s="166">
        <v>3</v>
      </c>
      <c r="O1104" s="164">
        <f t="shared" si="126"/>
        <v>2625000</v>
      </c>
      <c r="P1104" s="166">
        <v>0</v>
      </c>
      <c r="Q1104" s="166">
        <v>0</v>
      </c>
      <c r="R1104" s="164">
        <f>$L1104*'Pivot Objective'!$C$9*P1104*Q1104</f>
        <v>0</v>
      </c>
      <c r="S1104" s="166">
        <v>0</v>
      </c>
      <c r="T1104" s="166">
        <v>0</v>
      </c>
      <c r="U1104" s="164">
        <f>($L1104*'Pivot Objective'!$C$9^2)*S1104*T1104</f>
        <v>0</v>
      </c>
      <c r="V1104" s="166">
        <v>0</v>
      </c>
      <c r="W1104" s="166">
        <v>0</v>
      </c>
      <c r="X1104" s="164">
        <f>($L1104*'Pivot Objective'!$C$9^3)*V1104*W1104</f>
        <v>0</v>
      </c>
      <c r="Y1104" s="166">
        <v>0</v>
      </c>
      <c r="Z1104" s="166">
        <v>0</v>
      </c>
      <c r="AA1104" s="164">
        <f>($L1104*'Pivot Objective'!$C$9^4)*Y1104*Z1104</f>
        <v>0</v>
      </c>
      <c r="AB1104" s="140"/>
      <c r="AC1104" s="140"/>
      <c r="AD1104" s="164">
        <f>($L1104*'Pivot Objective'!$C$9^5)*AB1104*AC1104</f>
        <v>0</v>
      </c>
      <c r="AE1104" s="140"/>
      <c r="AF1104" s="140"/>
      <c r="AG1104" s="164">
        <f>($L1104*'Pivot Objective'!$C$9^6)*AE1104*AF1104</f>
        <v>0</v>
      </c>
      <c r="AH1104" s="140"/>
      <c r="AI1104" s="140"/>
      <c r="AJ1104" s="164">
        <f>($L1104*'Pivot Objective'!$C$9^7)*AH1104*AI1104</f>
        <v>0</v>
      </c>
      <c r="AK1104" s="185">
        <f t="shared" si="127"/>
        <v>2625000</v>
      </c>
      <c r="AL1104" s="186">
        <f t="shared" si="128"/>
        <v>2548.5436893203882</v>
      </c>
    </row>
    <row r="1105" spans="1:38" customFormat="1" ht="57.6" x14ac:dyDescent="0.3">
      <c r="A1105" s="140" t="s">
        <v>1480</v>
      </c>
      <c r="B1105" s="140">
        <v>2</v>
      </c>
      <c r="C1105" s="166" t="s">
        <v>983</v>
      </c>
      <c r="D1105" s="140" t="str">
        <f t="shared" si="124"/>
        <v>1</v>
      </c>
      <c r="E1105" s="166" t="s">
        <v>1176</v>
      </c>
      <c r="F1105" s="140">
        <f t="shared" si="129"/>
        <v>2</v>
      </c>
      <c r="G1105" s="140" t="str">
        <f t="shared" si="125"/>
        <v>2.1.2</v>
      </c>
      <c r="H1105" s="166" t="s">
        <v>1205</v>
      </c>
      <c r="I1105" s="166" t="s">
        <v>1218</v>
      </c>
      <c r="J1105" s="166" t="s">
        <v>1219</v>
      </c>
      <c r="K1105" s="166" t="s">
        <v>716</v>
      </c>
      <c r="L1105" s="177">
        <v>39000</v>
      </c>
      <c r="M1105" s="140"/>
      <c r="N1105" s="140"/>
      <c r="O1105" s="164">
        <f t="shared" si="126"/>
        <v>0</v>
      </c>
      <c r="P1105" s="166"/>
      <c r="Q1105" s="166"/>
      <c r="R1105" s="164">
        <f>$L1105*'Pivot Objective'!$C$9*P1105*Q1105</f>
        <v>0</v>
      </c>
      <c r="S1105" s="166">
        <v>25</v>
      </c>
      <c r="T1105" s="166">
        <v>4</v>
      </c>
      <c r="U1105" s="164">
        <f>($L1105*'Pivot Objective'!$C$9^2)*S1105*T1105</f>
        <v>5094447.6724739643</v>
      </c>
      <c r="V1105" s="166"/>
      <c r="W1105" s="166"/>
      <c r="X1105" s="164">
        <f>($L1105*'Pivot Objective'!$C$9^3)*V1105*W1105</f>
        <v>0</v>
      </c>
      <c r="Y1105" s="166">
        <v>25</v>
      </c>
      <c r="Z1105" s="166">
        <v>4</v>
      </c>
      <c r="AA1105" s="164">
        <f>($L1105*'Pivot Objective'!$C$9^4)*Y1105*Z1105</f>
        <v>6654717.2019424094</v>
      </c>
      <c r="AB1105" s="140"/>
      <c r="AC1105" s="140"/>
      <c r="AD1105" s="164">
        <f>($L1105*'Pivot Objective'!$C$9^5)*AB1105*AC1105</f>
        <v>0</v>
      </c>
      <c r="AE1105" s="140"/>
      <c r="AF1105" s="140"/>
      <c r="AG1105" s="164">
        <f>($L1105*'Pivot Objective'!$C$9^6)*AE1105*AF1105</f>
        <v>0</v>
      </c>
      <c r="AH1105" s="140"/>
      <c r="AI1105" s="140"/>
      <c r="AJ1105" s="164">
        <f>($L1105*'Pivot Objective'!$C$9^7)*AH1105*AI1105</f>
        <v>0</v>
      </c>
      <c r="AK1105" s="185">
        <f t="shared" si="127"/>
        <v>11749164.874416374</v>
      </c>
      <c r="AL1105" s="186">
        <f t="shared" si="128"/>
        <v>11406.95618875376</v>
      </c>
    </row>
    <row r="1106" spans="1:38" customFormat="1" ht="57.6" x14ac:dyDescent="0.3">
      <c r="A1106" s="140" t="s">
        <v>1480</v>
      </c>
      <c r="B1106" s="140">
        <v>2</v>
      </c>
      <c r="C1106" s="166" t="s">
        <v>983</v>
      </c>
      <c r="D1106" s="140" t="str">
        <f t="shared" si="124"/>
        <v>1</v>
      </c>
      <c r="E1106" s="166" t="s">
        <v>1176</v>
      </c>
      <c r="F1106" s="140">
        <f t="shared" si="129"/>
        <v>2</v>
      </c>
      <c r="G1106" s="140" t="str">
        <f t="shared" si="125"/>
        <v>2.1.2</v>
      </c>
      <c r="H1106" s="166" t="s">
        <v>1205</v>
      </c>
      <c r="I1106" s="166" t="s">
        <v>1218</v>
      </c>
      <c r="J1106" s="166" t="s">
        <v>1219</v>
      </c>
      <c r="K1106" s="166" t="s">
        <v>712</v>
      </c>
      <c r="L1106" s="177">
        <f>1480/7</f>
        <v>211.42857142857142</v>
      </c>
      <c r="M1106" s="140"/>
      <c r="N1106" s="140"/>
      <c r="O1106" s="164">
        <f t="shared" si="126"/>
        <v>0</v>
      </c>
      <c r="P1106" s="166"/>
      <c r="Q1106" s="166"/>
      <c r="R1106" s="164">
        <f>$L1106*'Pivot Objective'!$C$9*P1106*Q1106</f>
        <v>0</v>
      </c>
      <c r="S1106" s="166">
        <f>25*2*9</f>
        <v>450</v>
      </c>
      <c r="T1106" s="166">
        <v>3</v>
      </c>
      <c r="U1106" s="164">
        <f>($L1106*'Pivot Objective'!$C$9^2)*S1106*T1106</f>
        <v>372846.39009534731</v>
      </c>
      <c r="V1106" s="166"/>
      <c r="W1106" s="166"/>
      <c r="X1106" s="164">
        <f>($L1106*'Pivot Objective'!$C$9^3)*V1106*W1106</f>
        <v>0</v>
      </c>
      <c r="Y1106" s="166">
        <f>25*2*9</f>
        <v>450</v>
      </c>
      <c r="Z1106" s="166">
        <v>3</v>
      </c>
      <c r="AA1106" s="164">
        <f>($L1106*'Pivot Objective'!$C$9^4)*Y1106*Z1106</f>
        <v>487037.54466963117</v>
      </c>
      <c r="AB1106" s="140"/>
      <c r="AC1106" s="140"/>
      <c r="AD1106" s="164">
        <f>($L1106*'Pivot Objective'!$C$9^5)*AB1106*AC1106</f>
        <v>0</v>
      </c>
      <c r="AE1106" s="140"/>
      <c r="AF1106" s="140"/>
      <c r="AG1106" s="164">
        <f>($L1106*'Pivot Objective'!$C$9^6)*AE1106*AF1106</f>
        <v>0</v>
      </c>
      <c r="AH1106" s="140"/>
      <c r="AI1106" s="140"/>
      <c r="AJ1106" s="164">
        <f>($L1106*'Pivot Objective'!$C$9^7)*AH1106*AI1106</f>
        <v>0</v>
      </c>
      <c r="AK1106" s="185">
        <f t="shared" si="127"/>
        <v>859883.93476497848</v>
      </c>
      <c r="AL1106" s="186">
        <f t="shared" si="128"/>
        <v>834.838771616484</v>
      </c>
    </row>
    <row r="1107" spans="1:38" customFormat="1" ht="57.6" x14ac:dyDescent="0.3">
      <c r="A1107" s="140" t="s">
        <v>1480</v>
      </c>
      <c r="B1107" s="140">
        <v>2</v>
      </c>
      <c r="C1107" s="166" t="s">
        <v>983</v>
      </c>
      <c r="D1107" s="140" t="str">
        <f t="shared" si="124"/>
        <v>1</v>
      </c>
      <c r="E1107" s="166" t="s">
        <v>1176</v>
      </c>
      <c r="F1107" s="140">
        <f t="shared" si="129"/>
        <v>2</v>
      </c>
      <c r="G1107" s="140" t="str">
        <f t="shared" si="125"/>
        <v>2.1.2</v>
      </c>
      <c r="H1107" s="166" t="s">
        <v>1205</v>
      </c>
      <c r="I1107" s="166" t="s">
        <v>1218</v>
      </c>
      <c r="J1107" s="166" t="s">
        <v>1219</v>
      </c>
      <c r="K1107" s="166" t="s">
        <v>1350</v>
      </c>
      <c r="L1107" s="177">
        <f>1480/7</f>
        <v>211.42857142857142</v>
      </c>
      <c r="M1107" s="140"/>
      <c r="N1107" s="140"/>
      <c r="O1107" s="164">
        <f t="shared" si="126"/>
        <v>0</v>
      </c>
      <c r="P1107" s="166">
        <v>0</v>
      </c>
      <c r="Q1107" s="166">
        <v>0</v>
      </c>
      <c r="R1107" s="164">
        <f>$L1107*'Pivot Objective'!$C$9*P1107*Q1107</f>
        <v>0</v>
      </c>
      <c r="S1107" s="166">
        <f>2*135*9</f>
        <v>2430</v>
      </c>
      <c r="T1107" s="166">
        <v>1</v>
      </c>
      <c r="U1107" s="164">
        <f>($L1107*'Pivot Objective'!$C$9^2)*S1107*T1107</f>
        <v>671123.50217162515</v>
      </c>
      <c r="V1107" s="166">
        <v>0</v>
      </c>
      <c r="W1107" s="166">
        <v>0</v>
      </c>
      <c r="X1107" s="164">
        <f>($L1107*'Pivot Objective'!$C$9^3)*V1107*W1107</f>
        <v>0</v>
      </c>
      <c r="Y1107" s="166">
        <f>2*135*9</f>
        <v>2430</v>
      </c>
      <c r="Z1107" s="166">
        <v>1</v>
      </c>
      <c r="AA1107" s="164">
        <f>($L1107*'Pivot Objective'!$C$9^4)*Y1107*Z1107</f>
        <v>876667.58040533611</v>
      </c>
      <c r="AB1107" s="140"/>
      <c r="AC1107" s="140"/>
      <c r="AD1107" s="164">
        <f>($L1107*'Pivot Objective'!$C$9^5)*AB1107*AC1107</f>
        <v>0</v>
      </c>
      <c r="AE1107" s="140"/>
      <c r="AF1107" s="140"/>
      <c r="AG1107" s="164">
        <f>($L1107*'Pivot Objective'!$C$9^6)*AE1107*AF1107</f>
        <v>0</v>
      </c>
      <c r="AH1107" s="140"/>
      <c r="AI1107" s="140"/>
      <c r="AJ1107" s="164">
        <f>($L1107*'Pivot Objective'!$C$9^7)*AH1107*AI1107</f>
        <v>0</v>
      </c>
      <c r="AK1107" s="185">
        <f t="shared" si="127"/>
        <v>1547791.0825769613</v>
      </c>
      <c r="AL1107" s="186">
        <f t="shared" si="128"/>
        <v>1502.709788909671</v>
      </c>
    </row>
    <row r="1108" spans="1:38" customFormat="1" ht="57.6" x14ac:dyDescent="0.3">
      <c r="A1108" s="140" t="s">
        <v>1480</v>
      </c>
      <c r="B1108" s="140">
        <v>2</v>
      </c>
      <c r="C1108" s="166" t="s">
        <v>983</v>
      </c>
      <c r="D1108" s="140" t="str">
        <f t="shared" si="124"/>
        <v>1</v>
      </c>
      <c r="E1108" s="166" t="s">
        <v>1176</v>
      </c>
      <c r="F1108" s="140">
        <f t="shared" si="129"/>
        <v>2</v>
      </c>
      <c r="G1108" s="140" t="str">
        <f t="shared" si="125"/>
        <v>2.1.2</v>
      </c>
      <c r="H1108" s="166" t="s">
        <v>1205</v>
      </c>
      <c r="I1108" s="166" t="s">
        <v>1218</v>
      </c>
      <c r="J1108" s="166" t="s">
        <v>1220</v>
      </c>
      <c r="K1108" s="166" t="s">
        <v>841</v>
      </c>
      <c r="L1108" s="177">
        <v>0</v>
      </c>
      <c r="M1108" s="166">
        <v>0</v>
      </c>
      <c r="N1108" s="166">
        <v>0</v>
      </c>
      <c r="O1108" s="164">
        <f t="shared" si="126"/>
        <v>0</v>
      </c>
      <c r="P1108" s="166">
        <v>25</v>
      </c>
      <c r="Q1108" s="166">
        <v>2</v>
      </c>
      <c r="R1108" s="164">
        <f>$L1108*'Pivot Objective'!$C$9*P1108*Q1108</f>
        <v>0</v>
      </c>
      <c r="S1108" s="166">
        <v>0</v>
      </c>
      <c r="T1108" s="166">
        <v>0</v>
      </c>
      <c r="U1108" s="164">
        <f>($L1108*'Pivot Objective'!$C$9^2)*S1108*T1108</f>
        <v>0</v>
      </c>
      <c r="V1108" s="166">
        <v>0</v>
      </c>
      <c r="W1108" s="166">
        <v>0</v>
      </c>
      <c r="X1108" s="164">
        <f>($L1108*'Pivot Objective'!$C$9^3)*V1108*W1108</f>
        <v>0</v>
      </c>
      <c r="Y1108" s="166">
        <v>0</v>
      </c>
      <c r="Z1108" s="166">
        <v>0</v>
      </c>
      <c r="AA1108" s="164">
        <f>($L1108*'Pivot Objective'!$C$9^4)*Y1108*Z1108</f>
        <v>0</v>
      </c>
      <c r="AB1108" s="140"/>
      <c r="AC1108" s="140"/>
      <c r="AD1108" s="164">
        <f>($L1108*'Pivot Objective'!$C$9^5)*AB1108*AC1108</f>
        <v>0</v>
      </c>
      <c r="AE1108" s="140"/>
      <c r="AF1108" s="140"/>
      <c r="AG1108" s="164">
        <f>($L1108*'Pivot Objective'!$C$9^6)*AE1108*AF1108</f>
        <v>0</v>
      </c>
      <c r="AH1108" s="140"/>
      <c r="AI1108" s="140"/>
      <c r="AJ1108" s="164">
        <f>($L1108*'Pivot Objective'!$C$9^7)*AH1108*AI1108</f>
        <v>0</v>
      </c>
      <c r="AK1108" s="185">
        <f t="shared" si="127"/>
        <v>0</v>
      </c>
      <c r="AL1108" s="186">
        <f t="shared" si="128"/>
        <v>0</v>
      </c>
    </row>
    <row r="1109" spans="1:38" customFormat="1" ht="100.8" x14ac:dyDescent="0.3">
      <c r="A1109" s="140" t="s">
        <v>1480</v>
      </c>
      <c r="B1109" s="140">
        <v>2</v>
      </c>
      <c r="C1109" s="166" t="s">
        <v>983</v>
      </c>
      <c r="D1109" s="140" t="str">
        <f t="shared" si="124"/>
        <v>1</v>
      </c>
      <c r="E1109" s="166" t="s">
        <v>1176</v>
      </c>
      <c r="F1109" s="140">
        <f t="shared" si="129"/>
        <v>3</v>
      </c>
      <c r="G1109" s="140" t="str">
        <f t="shared" si="125"/>
        <v>2.1.3</v>
      </c>
      <c r="H1109" s="166" t="s">
        <v>1694</v>
      </c>
      <c r="I1109" s="166" t="s">
        <v>1222</v>
      </c>
      <c r="J1109" s="166" t="s">
        <v>1223</v>
      </c>
      <c r="K1109" s="166" t="s">
        <v>841</v>
      </c>
      <c r="L1109" s="177">
        <v>0</v>
      </c>
      <c r="M1109" s="166">
        <v>0</v>
      </c>
      <c r="N1109" s="166">
        <v>0</v>
      </c>
      <c r="O1109" s="164">
        <f t="shared" si="126"/>
        <v>0</v>
      </c>
      <c r="P1109" s="166">
        <v>15</v>
      </c>
      <c r="Q1109" s="166">
        <v>1</v>
      </c>
      <c r="R1109" s="164">
        <f>$L1109*'Pivot Objective'!$C$9*P1109*Q1109</f>
        <v>0</v>
      </c>
      <c r="S1109" s="166">
        <v>0</v>
      </c>
      <c r="T1109" s="166">
        <v>0</v>
      </c>
      <c r="U1109" s="164">
        <f>($L1109*'Pivot Objective'!$C$9^2)*S1109*T1109</f>
        <v>0</v>
      </c>
      <c r="V1109" s="166">
        <v>0</v>
      </c>
      <c r="W1109" s="166">
        <v>0</v>
      </c>
      <c r="X1109" s="164">
        <f>($L1109*'Pivot Objective'!$C$9^3)*V1109*W1109</f>
        <v>0</v>
      </c>
      <c r="Y1109" s="166">
        <v>0</v>
      </c>
      <c r="Z1109" s="166">
        <v>0</v>
      </c>
      <c r="AA1109" s="164">
        <f>($L1109*'Pivot Objective'!$C$9^4)*Y1109*Z1109</f>
        <v>0</v>
      </c>
      <c r="AB1109" s="140"/>
      <c r="AC1109" s="140"/>
      <c r="AD1109" s="164">
        <f>($L1109*'Pivot Objective'!$C$9^5)*AB1109*AC1109</f>
        <v>0</v>
      </c>
      <c r="AE1109" s="140"/>
      <c r="AF1109" s="140"/>
      <c r="AG1109" s="164">
        <f>($L1109*'Pivot Objective'!$C$9^6)*AE1109*AF1109</f>
        <v>0</v>
      </c>
      <c r="AH1109" s="140"/>
      <c r="AI1109" s="140"/>
      <c r="AJ1109" s="164">
        <f>($L1109*'Pivot Objective'!$C$9^7)*AH1109*AI1109</f>
        <v>0</v>
      </c>
      <c r="AK1109" s="185">
        <f t="shared" si="127"/>
        <v>0</v>
      </c>
      <c r="AL1109" s="186">
        <f t="shared" si="128"/>
        <v>0</v>
      </c>
    </row>
    <row r="1110" spans="1:38" customFormat="1" ht="100.8" x14ac:dyDescent="0.3">
      <c r="A1110" s="140" t="s">
        <v>1480</v>
      </c>
      <c r="B1110" s="140">
        <v>2</v>
      </c>
      <c r="C1110" s="166" t="s">
        <v>983</v>
      </c>
      <c r="D1110" s="140" t="str">
        <f t="shared" si="124"/>
        <v>1</v>
      </c>
      <c r="E1110" s="166" t="s">
        <v>1176</v>
      </c>
      <c r="F1110" s="140">
        <f t="shared" si="129"/>
        <v>3</v>
      </c>
      <c r="G1110" s="140" t="str">
        <f t="shared" si="125"/>
        <v>2.1.3</v>
      </c>
      <c r="H1110" s="166" t="s">
        <v>1694</v>
      </c>
      <c r="I1110" s="166" t="s">
        <v>1224</v>
      </c>
      <c r="J1110" s="166" t="s">
        <v>1225</v>
      </c>
      <c r="K1110" s="166" t="s">
        <v>709</v>
      </c>
      <c r="L1110" s="177">
        <v>35000</v>
      </c>
      <c r="M1110" s="166">
        <v>200</v>
      </c>
      <c r="N1110" s="166">
        <f>3*5</f>
        <v>15</v>
      </c>
      <c r="O1110" s="164">
        <f t="shared" si="126"/>
        <v>105000000</v>
      </c>
      <c r="P1110" s="166">
        <v>0</v>
      </c>
      <c r="Q1110" s="166">
        <v>0</v>
      </c>
      <c r="R1110" s="164">
        <f>$L1110*'Pivot Objective'!$C$9*P1110*Q1110</f>
        <v>0</v>
      </c>
      <c r="S1110" s="166">
        <v>0</v>
      </c>
      <c r="T1110" s="166">
        <v>0</v>
      </c>
      <c r="U1110" s="164">
        <f>($L1110*'Pivot Objective'!$C$9^2)*S1110*T1110</f>
        <v>0</v>
      </c>
      <c r="V1110" s="166">
        <v>5</v>
      </c>
      <c r="W1110" s="166">
        <v>5</v>
      </c>
      <c r="X1110" s="164">
        <f>($L1110*'Pivot Objective'!$C$9^3)*V1110*W1110</f>
        <v>1306341.7325971564</v>
      </c>
      <c r="Y1110" s="166">
        <v>0</v>
      </c>
      <c r="Z1110" s="166">
        <v>0</v>
      </c>
      <c r="AA1110" s="164">
        <f>($L1110*'Pivot Objective'!$C$9^4)*Y1110*Z1110</f>
        <v>0</v>
      </c>
      <c r="AB1110" s="140"/>
      <c r="AC1110" s="140"/>
      <c r="AD1110" s="164">
        <f>($L1110*'Pivot Objective'!$C$9^5)*AB1110*AC1110</f>
        <v>0</v>
      </c>
      <c r="AE1110" s="140"/>
      <c r="AF1110" s="140"/>
      <c r="AG1110" s="164">
        <f>($L1110*'Pivot Objective'!$C$9^6)*AE1110*AF1110</f>
        <v>0</v>
      </c>
      <c r="AH1110" s="140"/>
      <c r="AI1110" s="140"/>
      <c r="AJ1110" s="164">
        <f>($L1110*'Pivot Objective'!$C$9^7)*AH1110*AI1110</f>
        <v>0</v>
      </c>
      <c r="AK1110" s="185">
        <f t="shared" si="127"/>
        <v>106306341.73259716</v>
      </c>
      <c r="AL1110" s="186">
        <f t="shared" si="128"/>
        <v>103210.04051708462</v>
      </c>
    </row>
    <row r="1111" spans="1:38" customFormat="1" ht="100.8" x14ac:dyDescent="0.3">
      <c r="A1111" s="140" t="s">
        <v>1480</v>
      </c>
      <c r="B1111" s="140">
        <v>2</v>
      </c>
      <c r="C1111" s="166" t="s">
        <v>983</v>
      </c>
      <c r="D1111" s="140" t="str">
        <f t="shared" si="124"/>
        <v>1</v>
      </c>
      <c r="E1111" s="166" t="s">
        <v>1176</v>
      </c>
      <c r="F1111" s="140">
        <f t="shared" si="129"/>
        <v>3</v>
      </c>
      <c r="G1111" s="140" t="str">
        <f t="shared" si="125"/>
        <v>2.1.3</v>
      </c>
      <c r="H1111" s="166" t="s">
        <v>1694</v>
      </c>
      <c r="I1111" s="166" t="s">
        <v>1224</v>
      </c>
      <c r="J1111" s="166" t="s">
        <v>1226</v>
      </c>
      <c r="K1111" s="166" t="s">
        <v>841</v>
      </c>
      <c r="L1111" s="177">
        <v>0</v>
      </c>
      <c r="M1111" s="166">
        <v>0</v>
      </c>
      <c r="N1111" s="166">
        <v>0</v>
      </c>
      <c r="O1111" s="164">
        <f t="shared" si="126"/>
        <v>0</v>
      </c>
      <c r="P1111" s="166">
        <v>0</v>
      </c>
      <c r="Q1111" s="166">
        <v>0</v>
      </c>
      <c r="R1111" s="164">
        <f>$L1111*'Pivot Objective'!$C$9*P1111*Q1111</f>
        <v>0</v>
      </c>
      <c r="S1111" s="166">
        <v>0</v>
      </c>
      <c r="T1111" s="166">
        <v>0</v>
      </c>
      <c r="U1111" s="164">
        <f>($L1111*'Pivot Objective'!$C$9^2)*S1111*T1111</f>
        <v>0</v>
      </c>
      <c r="V1111" s="166">
        <v>15</v>
      </c>
      <c r="W1111" s="166">
        <v>3</v>
      </c>
      <c r="X1111" s="164">
        <f>($L1111*'Pivot Objective'!$C$9^3)*V1111*W1111</f>
        <v>0</v>
      </c>
      <c r="Y1111" s="166">
        <v>0</v>
      </c>
      <c r="Z1111" s="166">
        <v>0</v>
      </c>
      <c r="AA1111" s="164">
        <f>($L1111*'Pivot Objective'!$C$9^4)*Y1111*Z1111</f>
        <v>0</v>
      </c>
      <c r="AB1111" s="140"/>
      <c r="AC1111" s="140"/>
      <c r="AD1111" s="164">
        <f>($L1111*'Pivot Objective'!$C$9^5)*AB1111*AC1111</f>
        <v>0</v>
      </c>
      <c r="AE1111" s="140"/>
      <c r="AF1111" s="140"/>
      <c r="AG1111" s="164">
        <f>($L1111*'Pivot Objective'!$C$9^6)*AE1111*AF1111</f>
        <v>0</v>
      </c>
      <c r="AH1111" s="140"/>
      <c r="AI1111" s="140"/>
      <c r="AJ1111" s="164">
        <f>($L1111*'Pivot Objective'!$C$9^7)*AH1111*AI1111</f>
        <v>0</v>
      </c>
      <c r="AK1111" s="185">
        <f t="shared" si="127"/>
        <v>0</v>
      </c>
      <c r="AL1111" s="186">
        <f t="shared" si="128"/>
        <v>0</v>
      </c>
    </row>
    <row r="1112" spans="1:38" customFormat="1" ht="100.8" x14ac:dyDescent="0.3">
      <c r="A1112" s="140" t="s">
        <v>1480</v>
      </c>
      <c r="B1112" s="140">
        <v>2</v>
      </c>
      <c r="C1112" s="166" t="s">
        <v>983</v>
      </c>
      <c r="D1112" s="140" t="str">
        <f t="shared" si="124"/>
        <v>1</v>
      </c>
      <c r="E1112" s="166" t="s">
        <v>1176</v>
      </c>
      <c r="F1112" s="140">
        <f t="shared" si="129"/>
        <v>3</v>
      </c>
      <c r="G1112" s="140" t="str">
        <f t="shared" si="125"/>
        <v>2.1.3</v>
      </c>
      <c r="H1112" s="166" t="s">
        <v>1694</v>
      </c>
      <c r="I1112" s="166" t="s">
        <v>1224</v>
      </c>
      <c r="J1112" s="166" t="s">
        <v>1227</v>
      </c>
      <c r="K1112" s="166" t="s">
        <v>709</v>
      </c>
      <c r="L1112" s="177">
        <v>35000</v>
      </c>
      <c r="M1112" s="140"/>
      <c r="N1112" s="140"/>
      <c r="O1112" s="164">
        <f t="shared" si="126"/>
        <v>0</v>
      </c>
      <c r="P1112" s="166">
        <v>0</v>
      </c>
      <c r="Q1112" s="166">
        <v>0</v>
      </c>
      <c r="R1112" s="164">
        <f>$L1112*'Pivot Objective'!$C$9*P1112*Q1112</f>
        <v>0</v>
      </c>
      <c r="S1112" s="166">
        <v>1000</v>
      </c>
      <c r="T1112" s="166">
        <v>3</v>
      </c>
      <c r="U1112" s="164">
        <f>($L1112*'Pivot Objective'!$C$9^2)*S1112*T1112</f>
        <v>137158206.56660673</v>
      </c>
      <c r="V1112" s="166">
        <v>0</v>
      </c>
      <c r="W1112" s="166">
        <v>0</v>
      </c>
      <c r="X1112" s="164">
        <f>($L1112*'Pivot Objective'!$C$9^3)*V1112*W1112</f>
        <v>0</v>
      </c>
      <c r="Y1112" s="166">
        <v>0</v>
      </c>
      <c r="Z1112" s="166">
        <v>0</v>
      </c>
      <c r="AA1112" s="164">
        <f>($L1112*'Pivot Objective'!$C$9^4)*Y1112*Z1112</f>
        <v>0</v>
      </c>
      <c r="AB1112" s="140"/>
      <c r="AC1112" s="140"/>
      <c r="AD1112" s="164">
        <f>($L1112*'Pivot Objective'!$C$9^5)*AB1112*AC1112</f>
        <v>0</v>
      </c>
      <c r="AE1112" s="166">
        <v>1000</v>
      </c>
      <c r="AF1112" s="166">
        <v>3</v>
      </c>
      <c r="AG1112" s="164">
        <f>($L1112*'Pivot Objective'!$C$9^6)*AE1112*AF1112</f>
        <v>234038224.7759918</v>
      </c>
      <c r="AH1112" s="140"/>
      <c r="AI1112" s="140"/>
      <c r="AJ1112" s="164">
        <f>($L1112*'Pivot Objective'!$C$9^7)*AH1112*AI1112</f>
        <v>0</v>
      </c>
      <c r="AK1112" s="185">
        <f t="shared" si="127"/>
        <v>371196431.34259856</v>
      </c>
      <c r="AL1112" s="186">
        <f t="shared" si="128"/>
        <v>360384.8847986394</v>
      </c>
    </row>
    <row r="1113" spans="1:38" customFormat="1" ht="100.8" x14ac:dyDescent="0.3">
      <c r="A1113" s="140" t="s">
        <v>1480</v>
      </c>
      <c r="B1113" s="140">
        <v>2</v>
      </c>
      <c r="C1113" s="166" t="s">
        <v>983</v>
      </c>
      <c r="D1113" s="140" t="str">
        <f t="shared" si="124"/>
        <v>1</v>
      </c>
      <c r="E1113" s="166" t="s">
        <v>1176</v>
      </c>
      <c r="F1113" s="140">
        <f t="shared" si="129"/>
        <v>3</v>
      </c>
      <c r="G1113" s="140" t="str">
        <f t="shared" si="125"/>
        <v>2.1.3</v>
      </c>
      <c r="H1113" s="166" t="s">
        <v>1694</v>
      </c>
      <c r="I1113" s="166" t="s">
        <v>1224</v>
      </c>
      <c r="J1113" s="166" t="s">
        <v>1227</v>
      </c>
      <c r="K1113" s="166" t="s">
        <v>716</v>
      </c>
      <c r="L1113" s="177">
        <v>39000</v>
      </c>
      <c r="M1113" s="140"/>
      <c r="N1113" s="140"/>
      <c r="O1113" s="164">
        <f t="shared" si="126"/>
        <v>0</v>
      </c>
      <c r="P1113" s="166">
        <v>0</v>
      </c>
      <c r="Q1113" s="166">
        <v>0</v>
      </c>
      <c r="R1113" s="164">
        <f>$L1113*'Pivot Objective'!$C$9*P1113*Q1113</f>
        <v>0</v>
      </c>
      <c r="S1113" s="166">
        <v>1000</v>
      </c>
      <c r="T1113" s="166">
        <v>4</v>
      </c>
      <c r="U1113" s="164">
        <f>($L1113*'Pivot Objective'!$C$9^2)*S1113*T1113</f>
        <v>203777906.89895859</v>
      </c>
      <c r="V1113" s="166">
        <v>150</v>
      </c>
      <c r="W1113" s="166">
        <v>2</v>
      </c>
      <c r="X1113" s="164">
        <f>($L1113*'Pivot Objective'!$C$9^3)*V1113*W1113</f>
        <v>17467655.167299118</v>
      </c>
      <c r="Y1113" s="166">
        <v>0</v>
      </c>
      <c r="Z1113" s="166">
        <v>0</v>
      </c>
      <c r="AA1113" s="164">
        <f>($L1113*'Pivot Objective'!$C$9^4)*Y1113*Z1113</f>
        <v>0</v>
      </c>
      <c r="AB1113" s="140"/>
      <c r="AC1113" s="140"/>
      <c r="AD1113" s="164">
        <f>($L1113*'Pivot Objective'!$C$9^5)*AB1113*AC1113</f>
        <v>0</v>
      </c>
      <c r="AE1113" s="166">
        <v>1000</v>
      </c>
      <c r="AF1113" s="166">
        <v>4</v>
      </c>
      <c r="AG1113" s="164">
        <f>($L1113*'Pivot Objective'!$C$9^6)*AE1113*AF1113</f>
        <v>347713933.95290214</v>
      </c>
      <c r="AH1113" s="140"/>
      <c r="AI1113" s="140"/>
      <c r="AJ1113" s="164">
        <f>($L1113*'Pivot Objective'!$C$9^7)*AH1113*AI1113</f>
        <v>0</v>
      </c>
      <c r="AK1113" s="185">
        <f t="shared" si="127"/>
        <v>568959496.01915979</v>
      </c>
      <c r="AL1113" s="186">
        <f t="shared" si="128"/>
        <v>552387.86021277646</v>
      </c>
    </row>
    <row r="1114" spans="1:38" customFormat="1" ht="100.8" x14ac:dyDescent="0.3">
      <c r="A1114" s="140" t="s">
        <v>1480</v>
      </c>
      <c r="B1114" s="140">
        <v>2</v>
      </c>
      <c r="C1114" s="166" t="s">
        <v>983</v>
      </c>
      <c r="D1114" s="140" t="str">
        <f t="shared" si="124"/>
        <v>1</v>
      </c>
      <c r="E1114" s="166" t="s">
        <v>1176</v>
      </c>
      <c r="F1114" s="140">
        <f t="shared" si="129"/>
        <v>3</v>
      </c>
      <c r="G1114" s="140" t="str">
        <f t="shared" si="125"/>
        <v>2.1.3</v>
      </c>
      <c r="H1114" s="166" t="s">
        <v>1694</v>
      </c>
      <c r="I1114" s="166" t="s">
        <v>1224</v>
      </c>
      <c r="J1114" s="166" t="s">
        <v>1227</v>
      </c>
      <c r="K1114" s="166" t="s">
        <v>1350</v>
      </c>
      <c r="L1114" s="177">
        <f>1480/7</f>
        <v>211.42857142857142</v>
      </c>
      <c r="M1114" s="140"/>
      <c r="N1114" s="140"/>
      <c r="O1114" s="164">
        <f t="shared" si="126"/>
        <v>0</v>
      </c>
      <c r="P1114" s="166"/>
      <c r="Q1114" s="166"/>
      <c r="R1114" s="164">
        <f>$L1114*'Pivot Objective'!$C$9*P1114*Q1114</f>
        <v>0</v>
      </c>
      <c r="S1114" s="166">
        <f>22500*3</f>
        <v>67500</v>
      </c>
      <c r="T1114" s="166">
        <v>1</v>
      </c>
      <c r="U1114" s="164">
        <f>($L1114*'Pivot Objective'!$C$9^2)*S1114*T1114</f>
        <v>18642319.504767366</v>
      </c>
      <c r="V1114" s="166"/>
      <c r="W1114" s="166"/>
      <c r="X1114" s="164">
        <f>($L1114*'Pivot Objective'!$C$9^3)*V1114*W1114</f>
        <v>0</v>
      </c>
      <c r="Y1114" s="166"/>
      <c r="Z1114" s="166"/>
      <c r="AA1114" s="164">
        <f>($L1114*'Pivot Objective'!$C$9^4)*Y1114*Z1114</f>
        <v>0</v>
      </c>
      <c r="AB1114" s="140"/>
      <c r="AC1114" s="140"/>
      <c r="AD1114" s="164">
        <f>($L1114*'Pivot Objective'!$C$9^5)*AB1114*AC1114</f>
        <v>0</v>
      </c>
      <c r="AE1114" s="166">
        <f>22500*3</f>
        <v>67500</v>
      </c>
      <c r="AF1114" s="166">
        <v>1</v>
      </c>
      <c r="AG1114" s="164">
        <f>($L1114*'Pivot Objective'!$C$9^6)*AE1114*AF1114</f>
        <v>31810093.408328682</v>
      </c>
      <c r="AH1114" s="140"/>
      <c r="AI1114" s="140"/>
      <c r="AJ1114" s="164">
        <f>($L1114*'Pivot Objective'!$C$9^7)*AH1114*AI1114</f>
        <v>0</v>
      </c>
      <c r="AK1114" s="185">
        <f t="shared" si="127"/>
        <v>50452412.913096048</v>
      </c>
      <c r="AL1114" s="186">
        <f t="shared" si="128"/>
        <v>48982.925158345679</v>
      </c>
    </row>
    <row r="1115" spans="1:38" customFormat="1" ht="100.8" x14ac:dyDescent="0.3">
      <c r="A1115" s="140" t="s">
        <v>1480</v>
      </c>
      <c r="B1115" s="140">
        <v>2</v>
      </c>
      <c r="C1115" s="166" t="s">
        <v>983</v>
      </c>
      <c r="D1115" s="140" t="str">
        <f t="shared" si="124"/>
        <v>1</v>
      </c>
      <c r="E1115" s="166" t="s">
        <v>1176</v>
      </c>
      <c r="F1115" s="140">
        <f t="shared" si="129"/>
        <v>3</v>
      </c>
      <c r="G1115" s="140" t="str">
        <f t="shared" si="125"/>
        <v>2.1.3</v>
      </c>
      <c r="H1115" s="166" t="s">
        <v>1694</v>
      </c>
      <c r="I1115" s="166" t="s">
        <v>1224</v>
      </c>
      <c r="J1115" s="166" t="s">
        <v>1227</v>
      </c>
      <c r="K1115" s="166" t="s">
        <v>712</v>
      </c>
      <c r="L1115" s="177">
        <f>1480/7</f>
        <v>211.42857142857142</v>
      </c>
      <c r="M1115" s="140"/>
      <c r="N1115" s="140"/>
      <c r="O1115" s="164">
        <f t="shared" si="126"/>
        <v>0</v>
      </c>
      <c r="P1115" s="166">
        <v>0</v>
      </c>
      <c r="Q1115" s="166">
        <v>0</v>
      </c>
      <c r="R1115" s="164">
        <f>$L1115*'Pivot Objective'!$C$9*P1115*Q1115</f>
        <v>0</v>
      </c>
      <c r="S1115" s="166">
        <v>45000</v>
      </c>
      <c r="T1115" s="166">
        <v>3</v>
      </c>
      <c r="U1115" s="164">
        <f>($L1115*'Pivot Objective'!$C$9^2)*S1115*T1115</f>
        <v>37284639.009534732</v>
      </c>
      <c r="V1115" s="166">
        <v>140</v>
      </c>
      <c r="W1115" s="166">
        <v>3</v>
      </c>
      <c r="X1115" s="164">
        <f>($L1115*'Pivot Objective'!$C$9^3)*V1115*W1115</f>
        <v>132575.02383385994</v>
      </c>
      <c r="Y1115" s="166">
        <v>0</v>
      </c>
      <c r="Z1115" s="166">
        <v>0</v>
      </c>
      <c r="AA1115" s="164">
        <f>($L1115*'Pivot Objective'!$C$9^4)*Y1115*Z1115</f>
        <v>0</v>
      </c>
      <c r="AB1115" s="140"/>
      <c r="AC1115" s="140"/>
      <c r="AD1115" s="164">
        <f>($L1115*'Pivot Objective'!$C$9^5)*AB1115*AC1115</f>
        <v>0</v>
      </c>
      <c r="AE1115" s="166">
        <v>45000</v>
      </c>
      <c r="AF1115" s="166">
        <v>3</v>
      </c>
      <c r="AG1115" s="164">
        <f>($L1115*'Pivot Objective'!$C$9^6)*AE1115*AF1115</f>
        <v>63620186.816657364</v>
      </c>
      <c r="AH1115" s="140"/>
      <c r="AI1115" s="140"/>
      <c r="AJ1115" s="164">
        <f>($L1115*'Pivot Objective'!$C$9^7)*AH1115*AI1115</f>
        <v>0</v>
      </c>
      <c r="AK1115" s="185">
        <f t="shared" si="127"/>
        <v>101037400.85002595</v>
      </c>
      <c r="AL1115" s="186">
        <f t="shared" si="128"/>
        <v>98094.563932064033</v>
      </c>
    </row>
    <row r="1116" spans="1:38" customFormat="1" ht="100.8" x14ac:dyDescent="0.3">
      <c r="A1116" s="140" t="s">
        <v>1480</v>
      </c>
      <c r="B1116" s="140">
        <v>2</v>
      </c>
      <c r="C1116" s="166" t="s">
        <v>983</v>
      </c>
      <c r="D1116" s="140" t="str">
        <f t="shared" si="124"/>
        <v>1</v>
      </c>
      <c r="E1116" s="166" t="s">
        <v>1176</v>
      </c>
      <c r="F1116" s="140">
        <f t="shared" si="129"/>
        <v>3</v>
      </c>
      <c r="G1116" s="140" t="str">
        <f t="shared" si="125"/>
        <v>2.1.3</v>
      </c>
      <c r="H1116" s="166" t="s">
        <v>1694</v>
      </c>
      <c r="I1116" s="166" t="s">
        <v>1228</v>
      </c>
      <c r="J1116" s="166" t="s">
        <v>1229</v>
      </c>
      <c r="K1116" s="166" t="s">
        <v>709</v>
      </c>
      <c r="L1116" s="177">
        <v>35000</v>
      </c>
      <c r="M1116" s="140"/>
      <c r="N1116" s="140"/>
      <c r="O1116" s="164">
        <f t="shared" si="126"/>
        <v>0</v>
      </c>
      <c r="P1116" s="166">
        <v>0</v>
      </c>
      <c r="Q1116" s="166">
        <v>0</v>
      </c>
      <c r="R1116" s="164">
        <f>$L1116*'Pivot Objective'!$C$9*P1116*Q1116</f>
        <v>0</v>
      </c>
      <c r="S1116" s="166">
        <v>0</v>
      </c>
      <c r="T1116" s="166">
        <v>0</v>
      </c>
      <c r="U1116" s="164">
        <f>($L1116*'Pivot Objective'!$C$9^2)*S1116*T1116</f>
        <v>0</v>
      </c>
      <c r="V1116" s="166">
        <v>25</v>
      </c>
      <c r="W1116" s="166">
        <v>15</v>
      </c>
      <c r="X1116" s="164">
        <f>($L1116*'Pivot Objective'!$C$9^3)*V1116*W1116</f>
        <v>19595125.988957345</v>
      </c>
      <c r="Y1116" s="166">
        <v>0</v>
      </c>
      <c r="Z1116" s="166">
        <v>0</v>
      </c>
      <c r="AA1116" s="164">
        <f>($L1116*'Pivot Objective'!$C$9^4)*Y1116*Z1116</f>
        <v>0</v>
      </c>
      <c r="AB1116" s="140"/>
      <c r="AC1116" s="140"/>
      <c r="AD1116" s="164">
        <f>($L1116*'Pivot Objective'!$C$9^5)*AB1116*AC1116</f>
        <v>0</v>
      </c>
      <c r="AE1116" s="140"/>
      <c r="AF1116" s="140"/>
      <c r="AG1116" s="164">
        <f>($L1116*'Pivot Objective'!$C$9^6)*AE1116*AF1116</f>
        <v>0</v>
      </c>
      <c r="AH1116" s="140"/>
      <c r="AI1116" s="140"/>
      <c r="AJ1116" s="164">
        <f>($L1116*'Pivot Objective'!$C$9^7)*AH1116*AI1116</f>
        <v>0</v>
      </c>
      <c r="AK1116" s="185">
        <f t="shared" si="127"/>
        <v>19595125.988957345</v>
      </c>
      <c r="AL1116" s="186">
        <f t="shared" si="128"/>
        <v>19024.394164036257</v>
      </c>
    </row>
    <row r="1117" spans="1:38" customFormat="1" ht="100.8" x14ac:dyDescent="0.3">
      <c r="A1117" s="140" t="s">
        <v>1480</v>
      </c>
      <c r="B1117" s="140">
        <v>2</v>
      </c>
      <c r="C1117" s="166" t="s">
        <v>983</v>
      </c>
      <c r="D1117" s="140" t="str">
        <f t="shared" si="124"/>
        <v>1</v>
      </c>
      <c r="E1117" s="166" t="s">
        <v>1176</v>
      </c>
      <c r="F1117" s="140">
        <f t="shared" si="129"/>
        <v>3</v>
      </c>
      <c r="G1117" s="140" t="str">
        <f t="shared" si="125"/>
        <v>2.1.3</v>
      </c>
      <c r="H1117" s="166" t="s">
        <v>1694</v>
      </c>
      <c r="I1117" s="166" t="s">
        <v>1228</v>
      </c>
      <c r="J1117" s="166" t="s">
        <v>1229</v>
      </c>
      <c r="K1117" s="166" t="s">
        <v>716</v>
      </c>
      <c r="L1117" s="177">
        <v>39000</v>
      </c>
      <c r="M1117" s="140"/>
      <c r="N1117" s="140"/>
      <c r="O1117" s="164">
        <f t="shared" si="126"/>
        <v>0</v>
      </c>
      <c r="P1117" s="166">
        <v>0</v>
      </c>
      <c r="Q1117" s="166">
        <v>0</v>
      </c>
      <c r="R1117" s="164">
        <f>$L1117*'Pivot Objective'!$C$9*P1117*Q1117</f>
        <v>0</v>
      </c>
      <c r="S1117" s="166">
        <v>0</v>
      </c>
      <c r="T1117" s="166">
        <v>0</v>
      </c>
      <c r="U1117" s="164">
        <f>($L1117*'Pivot Objective'!$C$9^2)*S1117*T1117</f>
        <v>0</v>
      </c>
      <c r="V1117" s="166">
        <v>25</v>
      </c>
      <c r="W1117" s="166">
        <v>6</v>
      </c>
      <c r="X1117" s="164">
        <f>($L1117*'Pivot Objective'!$C$9^3)*V1117*W1117</f>
        <v>8733827.5836495608</v>
      </c>
      <c r="Y1117" s="166">
        <v>0</v>
      </c>
      <c r="Z1117" s="166">
        <v>0</v>
      </c>
      <c r="AA1117" s="164">
        <f>($L1117*'Pivot Objective'!$C$9^4)*Y1117*Z1117</f>
        <v>0</v>
      </c>
      <c r="AB1117" s="140"/>
      <c r="AC1117" s="140"/>
      <c r="AD1117" s="164">
        <f>($L1117*'Pivot Objective'!$C$9^5)*AB1117*AC1117</f>
        <v>0</v>
      </c>
      <c r="AE1117" s="140"/>
      <c r="AF1117" s="140"/>
      <c r="AG1117" s="164">
        <f>($L1117*'Pivot Objective'!$C$9^6)*AE1117*AF1117</f>
        <v>0</v>
      </c>
      <c r="AH1117" s="140"/>
      <c r="AI1117" s="140"/>
      <c r="AJ1117" s="164">
        <f>($L1117*'Pivot Objective'!$C$9^7)*AH1117*AI1117</f>
        <v>0</v>
      </c>
      <c r="AK1117" s="185">
        <f t="shared" si="127"/>
        <v>8733827.5836495608</v>
      </c>
      <c r="AL1117" s="186">
        <f t="shared" si="128"/>
        <v>8479.4442559704476</v>
      </c>
    </row>
    <row r="1118" spans="1:38" customFormat="1" ht="100.8" x14ac:dyDescent="0.3">
      <c r="A1118" s="140" t="s">
        <v>1480</v>
      </c>
      <c r="B1118" s="140">
        <v>2</v>
      </c>
      <c r="C1118" s="166" t="s">
        <v>983</v>
      </c>
      <c r="D1118" s="140" t="str">
        <f t="shared" si="124"/>
        <v>1</v>
      </c>
      <c r="E1118" s="166" t="s">
        <v>1176</v>
      </c>
      <c r="F1118" s="140">
        <f t="shared" si="129"/>
        <v>3</v>
      </c>
      <c r="G1118" s="140" t="str">
        <f t="shared" si="125"/>
        <v>2.1.3</v>
      </c>
      <c r="H1118" s="166" t="s">
        <v>1694</v>
      </c>
      <c r="I1118" s="166" t="s">
        <v>1228</v>
      </c>
      <c r="J1118" s="166" t="s">
        <v>1229</v>
      </c>
      <c r="K1118" s="166" t="s">
        <v>1350</v>
      </c>
      <c r="L1118" s="177">
        <f>1480/7</f>
        <v>211.42857142857142</v>
      </c>
      <c r="M1118" s="140"/>
      <c r="N1118" s="140"/>
      <c r="O1118" s="164">
        <f t="shared" si="126"/>
        <v>0</v>
      </c>
      <c r="P1118" s="166"/>
      <c r="Q1118" s="166"/>
      <c r="R1118" s="164">
        <f>$L1118*'Pivot Objective'!$C$9*P1118*Q1118</f>
        <v>0</v>
      </c>
      <c r="S1118" s="166"/>
      <c r="T1118" s="166"/>
      <c r="U1118" s="164">
        <f>($L1118*'Pivot Objective'!$C$9^2)*S1118*T1118</f>
        <v>0</v>
      </c>
      <c r="V1118" s="166">
        <f>2*135*9</f>
        <v>2430</v>
      </c>
      <c r="W1118" s="166">
        <v>3</v>
      </c>
      <c r="X1118" s="164">
        <f>($L1118*'Pivot Objective'!$C$9^3)*V1118*W1118</f>
        <v>2301123.6279734266</v>
      </c>
      <c r="Y1118" s="166"/>
      <c r="Z1118" s="166"/>
      <c r="AA1118" s="164">
        <f>($L1118*'Pivot Objective'!$C$9^4)*Y1118*Z1118</f>
        <v>0</v>
      </c>
      <c r="AB1118" s="140"/>
      <c r="AC1118" s="140"/>
      <c r="AD1118" s="164">
        <f>($L1118*'Pivot Objective'!$C$9^5)*AB1118*AC1118</f>
        <v>0</v>
      </c>
      <c r="AE1118" s="140"/>
      <c r="AF1118" s="140"/>
      <c r="AG1118" s="164">
        <f>($L1118*'Pivot Objective'!$C$9^6)*AE1118*AF1118</f>
        <v>0</v>
      </c>
      <c r="AH1118" s="140"/>
      <c r="AI1118" s="140"/>
      <c r="AJ1118" s="164">
        <f>($L1118*'Pivot Objective'!$C$9^7)*AH1118*AI1118</f>
        <v>0</v>
      </c>
      <c r="AK1118" s="185">
        <f t="shared" si="127"/>
        <v>2301123.6279734266</v>
      </c>
      <c r="AL1118" s="186">
        <f t="shared" si="128"/>
        <v>2234.1006096829383</v>
      </c>
    </row>
    <row r="1119" spans="1:38" customFormat="1" ht="100.8" x14ac:dyDescent="0.3">
      <c r="A1119" s="140" t="s">
        <v>1480</v>
      </c>
      <c r="B1119" s="140">
        <v>2</v>
      </c>
      <c r="C1119" s="166" t="s">
        <v>983</v>
      </c>
      <c r="D1119" s="140" t="str">
        <f t="shared" si="124"/>
        <v>1</v>
      </c>
      <c r="E1119" s="166" t="s">
        <v>1176</v>
      </c>
      <c r="F1119" s="140">
        <f t="shared" si="129"/>
        <v>3</v>
      </c>
      <c r="G1119" s="140" t="str">
        <f t="shared" si="125"/>
        <v>2.1.3</v>
      </c>
      <c r="H1119" s="166" t="s">
        <v>1694</v>
      </c>
      <c r="I1119" s="166" t="s">
        <v>1228</v>
      </c>
      <c r="J1119" s="166" t="s">
        <v>1229</v>
      </c>
      <c r="K1119" s="166" t="s">
        <v>712</v>
      </c>
      <c r="L1119" s="178">
        <f>1480/7</f>
        <v>211.42857142857142</v>
      </c>
      <c r="M1119" s="140"/>
      <c r="N1119" s="140"/>
      <c r="O1119" s="164">
        <f t="shared" si="126"/>
        <v>0</v>
      </c>
      <c r="P1119" s="166">
        <v>0</v>
      </c>
      <c r="Q1119" s="166">
        <v>0</v>
      </c>
      <c r="R1119" s="164">
        <f>$L1119*'Pivot Objective'!$C$9*P1119*Q1119</f>
        <v>0</v>
      </c>
      <c r="S1119" s="166">
        <v>0</v>
      </c>
      <c r="T1119" s="166">
        <v>0</v>
      </c>
      <c r="U1119" s="164">
        <f>($L1119*'Pivot Objective'!$C$9^2)*S1119*T1119</f>
        <v>0</v>
      </c>
      <c r="V1119" s="179">
        <f>25*2*9</f>
        <v>450</v>
      </c>
      <c r="W1119" s="166">
        <v>15</v>
      </c>
      <c r="X1119" s="164">
        <f>($L1119*'Pivot Objective'!$C$9^3)*V1119*W1119</f>
        <v>2130670.0259013209</v>
      </c>
      <c r="Y1119" s="166">
        <v>0</v>
      </c>
      <c r="Z1119" s="166">
        <v>0</v>
      </c>
      <c r="AA1119" s="164">
        <f>($L1119*'Pivot Objective'!$C$9^4)*Y1119*Z1119</f>
        <v>0</v>
      </c>
      <c r="AB1119" s="140"/>
      <c r="AC1119" s="140"/>
      <c r="AD1119" s="164">
        <f>($L1119*'Pivot Objective'!$C$9^5)*AB1119*AC1119</f>
        <v>0</v>
      </c>
      <c r="AE1119" s="140"/>
      <c r="AF1119" s="140"/>
      <c r="AG1119" s="164">
        <f>($L1119*'Pivot Objective'!$C$9^6)*AE1119*AF1119</f>
        <v>0</v>
      </c>
      <c r="AH1119" s="140"/>
      <c r="AI1119" s="140"/>
      <c r="AJ1119" s="164">
        <f>($L1119*'Pivot Objective'!$C$9^7)*AH1119*AI1119</f>
        <v>0</v>
      </c>
      <c r="AK1119" s="185">
        <f t="shared" si="127"/>
        <v>2130670.0259013209</v>
      </c>
      <c r="AL1119" s="186">
        <f t="shared" si="128"/>
        <v>2068.6116756323504</v>
      </c>
    </row>
    <row r="1120" spans="1:38" customFormat="1" ht="100.8" x14ac:dyDescent="0.3">
      <c r="A1120" s="140" t="s">
        <v>1480</v>
      </c>
      <c r="B1120" s="140">
        <v>2</v>
      </c>
      <c r="C1120" s="166" t="s">
        <v>983</v>
      </c>
      <c r="D1120" s="140" t="str">
        <f t="shared" si="124"/>
        <v>1</v>
      </c>
      <c r="E1120" s="166" t="s">
        <v>1176</v>
      </c>
      <c r="F1120" s="140">
        <f t="shared" si="129"/>
        <v>3</v>
      </c>
      <c r="G1120" s="140" t="str">
        <f t="shared" si="125"/>
        <v>2.1.3</v>
      </c>
      <c r="H1120" s="166" t="s">
        <v>1694</v>
      </c>
      <c r="I1120" s="166" t="s">
        <v>1228</v>
      </c>
      <c r="J1120" s="166" t="s">
        <v>1230</v>
      </c>
      <c r="K1120" s="166" t="s">
        <v>841</v>
      </c>
      <c r="L1120" s="177">
        <v>0</v>
      </c>
      <c r="M1120" s="166">
        <v>0</v>
      </c>
      <c r="N1120" s="166">
        <v>0</v>
      </c>
      <c r="O1120" s="164">
        <f t="shared" si="126"/>
        <v>0</v>
      </c>
      <c r="P1120" s="166">
        <v>0</v>
      </c>
      <c r="Q1120" s="166">
        <v>0</v>
      </c>
      <c r="R1120" s="164">
        <f>$L1120*'Pivot Objective'!$C$9*P1120*Q1120</f>
        <v>0</v>
      </c>
      <c r="S1120" s="166">
        <v>0</v>
      </c>
      <c r="T1120" s="166">
        <v>0</v>
      </c>
      <c r="U1120" s="164">
        <f>($L1120*'Pivot Objective'!$C$9^2)*S1120*T1120</f>
        <v>0</v>
      </c>
      <c r="V1120" s="166">
        <v>8000</v>
      </c>
      <c r="W1120" s="166">
        <v>1</v>
      </c>
      <c r="X1120" s="164">
        <f>($L1120*'Pivot Objective'!$C$9^3)*V1120*W1120</f>
        <v>0</v>
      </c>
      <c r="Y1120" s="166">
        <v>0</v>
      </c>
      <c r="Z1120" s="166">
        <v>0</v>
      </c>
      <c r="AA1120" s="164">
        <f>($L1120*'Pivot Objective'!$C$9^4)*Y1120*Z1120</f>
        <v>0</v>
      </c>
      <c r="AB1120" s="140"/>
      <c r="AC1120" s="140"/>
      <c r="AD1120" s="164">
        <f>($L1120*'Pivot Objective'!$C$9^5)*AB1120*AC1120</f>
        <v>0</v>
      </c>
      <c r="AE1120" s="140"/>
      <c r="AF1120" s="140"/>
      <c r="AG1120" s="164">
        <f>($L1120*'Pivot Objective'!$C$9^6)*AE1120*AF1120</f>
        <v>0</v>
      </c>
      <c r="AH1120" s="140"/>
      <c r="AI1120" s="140"/>
      <c r="AJ1120" s="164">
        <f>($L1120*'Pivot Objective'!$C$9^7)*AH1120*AI1120</f>
        <v>0</v>
      </c>
      <c r="AK1120" s="185">
        <f t="shared" si="127"/>
        <v>0</v>
      </c>
      <c r="AL1120" s="186">
        <f t="shared" si="128"/>
        <v>0</v>
      </c>
    </row>
    <row r="1121" spans="1:38" customFormat="1" ht="100.8" x14ac:dyDescent="0.3">
      <c r="A1121" s="140" t="s">
        <v>1480</v>
      </c>
      <c r="B1121" s="140">
        <v>2</v>
      </c>
      <c r="C1121" s="166" t="s">
        <v>983</v>
      </c>
      <c r="D1121" s="140" t="str">
        <f t="shared" si="124"/>
        <v>1</v>
      </c>
      <c r="E1121" s="166" t="s">
        <v>1176</v>
      </c>
      <c r="F1121" s="140">
        <f t="shared" si="129"/>
        <v>3</v>
      </c>
      <c r="G1121" s="140" t="str">
        <f t="shared" si="125"/>
        <v>2.1.3</v>
      </c>
      <c r="H1121" s="166" t="s">
        <v>1694</v>
      </c>
      <c r="I1121" s="166" t="s">
        <v>1228</v>
      </c>
      <c r="J1121" s="166" t="s">
        <v>1231</v>
      </c>
      <c r="K1121" s="166" t="s">
        <v>841</v>
      </c>
      <c r="L1121" s="177">
        <v>0</v>
      </c>
      <c r="M1121" s="166">
        <v>0</v>
      </c>
      <c r="N1121" s="166">
        <v>0</v>
      </c>
      <c r="O1121" s="164">
        <f t="shared" si="126"/>
        <v>0</v>
      </c>
      <c r="P1121" s="166">
        <v>0</v>
      </c>
      <c r="Q1121" s="166">
        <v>0</v>
      </c>
      <c r="R1121" s="164">
        <f>$L1121*'Pivot Objective'!$C$9*P1121*Q1121</f>
        <v>0</v>
      </c>
      <c r="S1121" s="166">
        <v>0</v>
      </c>
      <c r="T1121" s="166">
        <v>0</v>
      </c>
      <c r="U1121" s="164">
        <f>($L1121*'Pivot Objective'!$C$9^2)*S1121*T1121</f>
        <v>0</v>
      </c>
      <c r="V1121" s="166">
        <v>5</v>
      </c>
      <c r="W1121" s="166">
        <v>1</v>
      </c>
      <c r="X1121" s="164">
        <f>($L1121*'Pivot Objective'!$C$9^3)*V1121*W1121</f>
        <v>0</v>
      </c>
      <c r="Y1121" s="166">
        <v>0</v>
      </c>
      <c r="Z1121" s="166">
        <v>0</v>
      </c>
      <c r="AA1121" s="164">
        <f>($L1121*'Pivot Objective'!$C$9^4)*Y1121*Z1121</f>
        <v>0</v>
      </c>
      <c r="AB1121" s="140"/>
      <c r="AC1121" s="140"/>
      <c r="AD1121" s="164">
        <f>($L1121*'Pivot Objective'!$C$9^5)*AB1121*AC1121</f>
        <v>0</v>
      </c>
      <c r="AE1121" s="140"/>
      <c r="AF1121" s="140"/>
      <c r="AG1121" s="164">
        <f>($L1121*'Pivot Objective'!$C$9^6)*AE1121*AF1121</f>
        <v>0</v>
      </c>
      <c r="AH1121" s="140"/>
      <c r="AI1121" s="140"/>
      <c r="AJ1121" s="164">
        <f>($L1121*'Pivot Objective'!$C$9^7)*AH1121*AI1121</f>
        <v>0</v>
      </c>
      <c r="AK1121" s="185">
        <f t="shared" si="127"/>
        <v>0</v>
      </c>
      <c r="AL1121" s="186">
        <f t="shared" si="128"/>
        <v>0</v>
      </c>
    </row>
    <row r="1122" spans="1:38" customFormat="1" ht="100.8" x14ac:dyDescent="0.3">
      <c r="A1122" s="140" t="s">
        <v>1480</v>
      </c>
      <c r="B1122" s="140">
        <v>2</v>
      </c>
      <c r="C1122" s="166" t="s">
        <v>983</v>
      </c>
      <c r="D1122" s="140" t="str">
        <f t="shared" si="124"/>
        <v>1</v>
      </c>
      <c r="E1122" s="166" t="s">
        <v>1176</v>
      </c>
      <c r="F1122" s="140">
        <f t="shared" si="129"/>
        <v>3</v>
      </c>
      <c r="G1122" s="140" t="str">
        <f t="shared" si="125"/>
        <v>2.1.3</v>
      </c>
      <c r="H1122" s="166" t="s">
        <v>1694</v>
      </c>
      <c r="I1122" s="166" t="s">
        <v>1228</v>
      </c>
      <c r="J1122" s="166" t="s">
        <v>1232</v>
      </c>
      <c r="K1122" s="166" t="s">
        <v>709</v>
      </c>
      <c r="L1122" s="177">
        <v>35000</v>
      </c>
      <c r="M1122" s="140"/>
      <c r="N1122" s="140"/>
      <c r="O1122" s="164">
        <f t="shared" si="126"/>
        <v>0</v>
      </c>
      <c r="P1122" s="166">
        <v>0</v>
      </c>
      <c r="Q1122" s="166">
        <v>0</v>
      </c>
      <c r="R1122" s="164">
        <f>$L1122*'Pivot Objective'!$C$9*P1122*Q1122</f>
        <v>0</v>
      </c>
      <c r="S1122" s="166">
        <v>0</v>
      </c>
      <c r="T1122" s="166">
        <v>0</v>
      </c>
      <c r="U1122" s="164">
        <f>($L1122*'Pivot Objective'!$C$9^2)*S1122*T1122</f>
        <v>0</v>
      </c>
      <c r="V1122" s="166">
        <v>0</v>
      </c>
      <c r="W1122" s="166">
        <v>0</v>
      </c>
      <c r="X1122" s="164">
        <f>($L1122*'Pivot Objective'!$C$9^3)*V1122*W1122</f>
        <v>0</v>
      </c>
      <c r="Y1122" s="166">
        <f>100*5</f>
        <v>500</v>
      </c>
      <c r="Z1122" s="166">
        <v>5</v>
      </c>
      <c r="AA1122" s="164">
        <f>($L1122*'Pivot Objective'!$C$9^4)*Y1122*Z1122</f>
        <v>149304552.60768226</v>
      </c>
      <c r="AB1122" s="140"/>
      <c r="AC1122" s="140"/>
      <c r="AD1122" s="164">
        <f>($L1122*'Pivot Objective'!$C$9^5)*AB1122*AC1122</f>
        <v>0</v>
      </c>
      <c r="AE1122" s="140"/>
      <c r="AF1122" s="140"/>
      <c r="AG1122" s="164">
        <f>($L1122*'Pivot Objective'!$C$9^6)*AE1122*AF1122</f>
        <v>0</v>
      </c>
      <c r="AH1122" s="140"/>
      <c r="AI1122" s="140"/>
      <c r="AJ1122" s="164">
        <f>($L1122*'Pivot Objective'!$C$9^7)*AH1122*AI1122</f>
        <v>0</v>
      </c>
      <c r="AK1122" s="185">
        <f t="shared" si="127"/>
        <v>149304552.60768226</v>
      </c>
      <c r="AL1122" s="186">
        <f t="shared" si="128"/>
        <v>144955.87631813812</v>
      </c>
    </row>
    <row r="1123" spans="1:38" customFormat="1" ht="100.8" x14ac:dyDescent="0.3">
      <c r="A1123" s="140" t="s">
        <v>1480</v>
      </c>
      <c r="B1123" s="140">
        <v>2</v>
      </c>
      <c r="C1123" s="166" t="s">
        <v>983</v>
      </c>
      <c r="D1123" s="140" t="str">
        <f t="shared" si="124"/>
        <v>1</v>
      </c>
      <c r="E1123" s="166" t="s">
        <v>1176</v>
      </c>
      <c r="F1123" s="140">
        <f t="shared" si="129"/>
        <v>3</v>
      </c>
      <c r="G1123" s="140" t="str">
        <f t="shared" si="125"/>
        <v>2.1.3</v>
      </c>
      <c r="H1123" s="166" t="s">
        <v>1694</v>
      </c>
      <c r="I1123" s="166" t="s">
        <v>1228</v>
      </c>
      <c r="J1123" s="166" t="s">
        <v>1232</v>
      </c>
      <c r="K1123" s="166" t="s">
        <v>716</v>
      </c>
      <c r="L1123" s="177">
        <v>39000</v>
      </c>
      <c r="M1123" s="140"/>
      <c r="N1123" s="140"/>
      <c r="O1123" s="164">
        <f t="shared" si="126"/>
        <v>0</v>
      </c>
      <c r="P1123" s="166">
        <v>0</v>
      </c>
      <c r="Q1123" s="166">
        <v>0</v>
      </c>
      <c r="R1123" s="164">
        <f>$L1123*'Pivot Objective'!$C$9*P1123*Q1123</f>
        <v>0</v>
      </c>
      <c r="S1123" s="166">
        <v>0</v>
      </c>
      <c r="T1123" s="166">
        <v>0</v>
      </c>
      <c r="U1123" s="164">
        <f>($L1123*'Pivot Objective'!$C$9^2)*S1123*T1123</f>
        <v>0</v>
      </c>
      <c r="V1123" s="166">
        <v>30</v>
      </c>
      <c r="W1123" s="166">
        <v>5</v>
      </c>
      <c r="X1123" s="164">
        <f>($L1123*'Pivot Objective'!$C$9^3)*V1123*W1123</f>
        <v>8733827.5836495589</v>
      </c>
      <c r="Y1123" s="166">
        <v>500</v>
      </c>
      <c r="Z1123" s="166">
        <v>10</v>
      </c>
      <c r="AA1123" s="164">
        <f>($L1123*'Pivot Objective'!$C$9^4)*Y1123*Z1123</f>
        <v>332735860.09712046</v>
      </c>
      <c r="AB1123" s="140"/>
      <c r="AC1123" s="140"/>
      <c r="AD1123" s="164">
        <f>($L1123*'Pivot Objective'!$C$9^5)*AB1123*AC1123</f>
        <v>0</v>
      </c>
      <c r="AE1123" s="140"/>
      <c r="AF1123" s="140"/>
      <c r="AG1123" s="164">
        <f>($L1123*'Pivot Objective'!$C$9^6)*AE1123*AF1123</f>
        <v>0</v>
      </c>
      <c r="AH1123" s="140"/>
      <c r="AI1123" s="140"/>
      <c r="AJ1123" s="164">
        <f>($L1123*'Pivot Objective'!$C$9^7)*AH1123*AI1123</f>
        <v>0</v>
      </c>
      <c r="AK1123" s="185">
        <f t="shared" si="127"/>
        <v>341469687.68077004</v>
      </c>
      <c r="AL1123" s="186">
        <f t="shared" si="128"/>
        <v>331523.96862210683</v>
      </c>
    </row>
    <row r="1124" spans="1:38" customFormat="1" ht="100.8" x14ac:dyDescent="0.3">
      <c r="A1124" s="140" t="s">
        <v>1480</v>
      </c>
      <c r="B1124" s="140">
        <v>2</v>
      </c>
      <c r="C1124" s="166" t="s">
        <v>983</v>
      </c>
      <c r="D1124" s="140" t="str">
        <f t="shared" si="124"/>
        <v>1</v>
      </c>
      <c r="E1124" s="166" t="s">
        <v>1176</v>
      </c>
      <c r="F1124" s="140">
        <f t="shared" si="129"/>
        <v>3</v>
      </c>
      <c r="G1124" s="140" t="str">
        <f t="shared" si="125"/>
        <v>2.1.3</v>
      </c>
      <c r="H1124" s="166" t="s">
        <v>1694</v>
      </c>
      <c r="I1124" s="166" t="s">
        <v>1228</v>
      </c>
      <c r="J1124" s="166" t="s">
        <v>1232</v>
      </c>
      <c r="K1124" s="166" t="s">
        <v>1350</v>
      </c>
      <c r="L1124" s="177">
        <f>1480/7</f>
        <v>211.42857142857142</v>
      </c>
      <c r="M1124" s="140"/>
      <c r="N1124" s="140"/>
      <c r="O1124" s="164">
        <f t="shared" si="126"/>
        <v>0</v>
      </c>
      <c r="P1124" s="166"/>
      <c r="Q1124" s="166"/>
      <c r="R1124" s="164">
        <f>$L1124*'Pivot Objective'!$C$9*P1124*Q1124</f>
        <v>0</v>
      </c>
      <c r="S1124" s="166"/>
      <c r="T1124" s="166"/>
      <c r="U1124" s="164">
        <f>($L1124*'Pivot Objective'!$C$9^2)*S1124*T1124</f>
        <v>0</v>
      </c>
      <c r="V1124" s="166"/>
      <c r="W1124" s="166"/>
      <c r="X1124" s="164">
        <f>($L1124*'Pivot Objective'!$C$9^3)*V1124*W1124</f>
        <v>0</v>
      </c>
      <c r="Y1124" s="166">
        <f>22500*2</f>
        <v>45000</v>
      </c>
      <c r="Z1124" s="166">
        <v>5</v>
      </c>
      <c r="AA1124" s="164">
        <f>($L1124*'Pivot Objective'!$C$9^4)*Y1124*Z1124</f>
        <v>81172924.111605197</v>
      </c>
      <c r="AB1124" s="140"/>
      <c r="AC1124" s="140"/>
      <c r="AD1124" s="164">
        <f>($L1124*'Pivot Objective'!$C$9^5)*AB1124*AC1124</f>
        <v>0</v>
      </c>
      <c r="AE1124" s="140"/>
      <c r="AF1124" s="140"/>
      <c r="AG1124" s="164">
        <f>($L1124*'Pivot Objective'!$C$9^6)*AE1124*AF1124</f>
        <v>0</v>
      </c>
      <c r="AH1124" s="140"/>
      <c r="AI1124" s="140"/>
      <c r="AJ1124" s="164">
        <f>($L1124*'Pivot Objective'!$C$9^7)*AH1124*AI1124</f>
        <v>0</v>
      </c>
      <c r="AK1124" s="185">
        <f t="shared" si="127"/>
        <v>81172924.111605197</v>
      </c>
      <c r="AL1124" s="186">
        <f t="shared" si="128"/>
        <v>78808.664186024456</v>
      </c>
    </row>
    <row r="1125" spans="1:38" customFormat="1" ht="100.8" x14ac:dyDescent="0.3">
      <c r="A1125" s="140" t="s">
        <v>1480</v>
      </c>
      <c r="B1125" s="140">
        <v>2</v>
      </c>
      <c r="C1125" s="166" t="s">
        <v>983</v>
      </c>
      <c r="D1125" s="140" t="str">
        <f t="shared" si="124"/>
        <v>1</v>
      </c>
      <c r="E1125" s="166" t="s">
        <v>1176</v>
      </c>
      <c r="F1125" s="140">
        <f t="shared" si="129"/>
        <v>3</v>
      </c>
      <c r="G1125" s="140" t="str">
        <f t="shared" si="125"/>
        <v>2.1.3</v>
      </c>
      <c r="H1125" s="166" t="s">
        <v>1694</v>
      </c>
      <c r="I1125" s="166" t="s">
        <v>1228</v>
      </c>
      <c r="J1125" s="166" t="s">
        <v>1232</v>
      </c>
      <c r="K1125" s="166" t="s">
        <v>712</v>
      </c>
      <c r="L1125" s="177">
        <f>1480/7</f>
        <v>211.42857142857142</v>
      </c>
      <c r="M1125" s="140"/>
      <c r="N1125" s="140"/>
      <c r="O1125" s="164">
        <f t="shared" si="126"/>
        <v>0</v>
      </c>
      <c r="P1125" s="166">
        <v>0</v>
      </c>
      <c r="Q1125" s="166">
        <v>0</v>
      </c>
      <c r="R1125" s="164">
        <f>$L1125*'Pivot Objective'!$C$9*P1125*Q1125</f>
        <v>0</v>
      </c>
      <c r="S1125" s="166">
        <v>0</v>
      </c>
      <c r="T1125" s="166">
        <v>0</v>
      </c>
      <c r="U1125" s="164">
        <f>($L1125*'Pivot Objective'!$C$9^2)*S1125*T1125</f>
        <v>0</v>
      </c>
      <c r="V1125" s="166">
        <v>30</v>
      </c>
      <c r="W1125" s="166">
        <v>5</v>
      </c>
      <c r="X1125" s="164">
        <f>($L1125*'Pivot Objective'!$C$9^3)*V1125*W1125</f>
        <v>47348.222797807131</v>
      </c>
      <c r="Y1125" s="166">
        <v>22500</v>
      </c>
      <c r="Z1125" s="166">
        <v>5</v>
      </c>
      <c r="AA1125" s="164">
        <f>($L1125*'Pivot Objective'!$C$9^4)*Y1125*Z1125</f>
        <v>40586462.055802599</v>
      </c>
      <c r="AB1125" s="140"/>
      <c r="AC1125" s="140"/>
      <c r="AD1125" s="164">
        <f>($L1125*'Pivot Objective'!$C$9^5)*AB1125*AC1125</f>
        <v>0</v>
      </c>
      <c r="AE1125" s="140"/>
      <c r="AF1125" s="140"/>
      <c r="AG1125" s="164">
        <f>($L1125*'Pivot Objective'!$C$9^6)*AE1125*AF1125</f>
        <v>0</v>
      </c>
      <c r="AH1125" s="140"/>
      <c r="AI1125" s="140"/>
      <c r="AJ1125" s="164">
        <f>($L1125*'Pivot Objective'!$C$9^7)*AH1125*AI1125</f>
        <v>0</v>
      </c>
      <c r="AK1125" s="185">
        <f t="shared" si="127"/>
        <v>40633810.278600402</v>
      </c>
      <c r="AL1125" s="186">
        <f t="shared" si="128"/>
        <v>39450.301241359615</v>
      </c>
    </row>
    <row r="1126" spans="1:38" customFormat="1" ht="100.8" x14ac:dyDescent="0.3">
      <c r="A1126" s="140" t="s">
        <v>1480</v>
      </c>
      <c r="B1126" s="140">
        <v>2</v>
      </c>
      <c r="C1126" s="166" t="s">
        <v>983</v>
      </c>
      <c r="D1126" s="140" t="str">
        <f t="shared" si="124"/>
        <v>1</v>
      </c>
      <c r="E1126" s="166" t="s">
        <v>1176</v>
      </c>
      <c r="F1126" s="140">
        <f t="shared" si="129"/>
        <v>3</v>
      </c>
      <c r="G1126" s="140" t="str">
        <f t="shared" si="125"/>
        <v>2.1.3</v>
      </c>
      <c r="H1126" s="166" t="s">
        <v>1694</v>
      </c>
      <c r="I1126" s="166" t="s">
        <v>1228</v>
      </c>
      <c r="J1126" s="166" t="s">
        <v>1233</v>
      </c>
      <c r="K1126" s="166" t="s">
        <v>841</v>
      </c>
      <c r="L1126" s="177">
        <v>0</v>
      </c>
      <c r="M1126" s="166">
        <v>0</v>
      </c>
      <c r="N1126" s="166">
        <v>0</v>
      </c>
      <c r="O1126" s="164">
        <f t="shared" si="126"/>
        <v>0</v>
      </c>
      <c r="P1126" s="166">
        <v>0</v>
      </c>
      <c r="Q1126" s="166">
        <v>0</v>
      </c>
      <c r="R1126" s="164">
        <f>$L1126*'Pivot Objective'!$C$9*P1126*Q1126</f>
        <v>0</v>
      </c>
      <c r="S1126" s="166">
        <v>0</v>
      </c>
      <c r="T1126" s="166">
        <v>0</v>
      </c>
      <c r="U1126" s="164">
        <f>($L1126*'Pivot Objective'!$C$9^2)*S1126*T1126</f>
        <v>0</v>
      </c>
      <c r="V1126" s="166">
        <v>20000</v>
      </c>
      <c r="W1126" s="166">
        <v>1</v>
      </c>
      <c r="X1126" s="164">
        <f>($L1126*'Pivot Objective'!$C$9^3)*V1126*W1126</f>
        <v>0</v>
      </c>
      <c r="Y1126" s="166">
        <v>0</v>
      </c>
      <c r="Z1126" s="166">
        <v>0</v>
      </c>
      <c r="AA1126" s="164">
        <f>($L1126*'Pivot Objective'!$C$9^4)*Y1126*Z1126</f>
        <v>0</v>
      </c>
      <c r="AB1126" s="140"/>
      <c r="AC1126" s="140"/>
      <c r="AD1126" s="164">
        <f>($L1126*'Pivot Objective'!$C$9^5)*AB1126*AC1126</f>
        <v>0</v>
      </c>
      <c r="AE1126" s="140"/>
      <c r="AF1126" s="140"/>
      <c r="AG1126" s="164">
        <f>($L1126*'Pivot Objective'!$C$9^6)*AE1126*AF1126</f>
        <v>0</v>
      </c>
      <c r="AH1126" s="140"/>
      <c r="AI1126" s="140"/>
      <c r="AJ1126" s="164">
        <f>($L1126*'Pivot Objective'!$C$9^7)*AH1126*AI1126</f>
        <v>0</v>
      </c>
      <c r="AK1126" s="185">
        <f t="shared" si="127"/>
        <v>0</v>
      </c>
      <c r="AL1126" s="186">
        <f t="shared" si="128"/>
        <v>0</v>
      </c>
    </row>
    <row r="1127" spans="1:38" customFormat="1" ht="100.8" x14ac:dyDescent="0.3">
      <c r="A1127" s="140" t="s">
        <v>1480</v>
      </c>
      <c r="B1127" s="140">
        <v>2</v>
      </c>
      <c r="C1127" s="166" t="s">
        <v>983</v>
      </c>
      <c r="D1127" s="140" t="str">
        <f t="shared" si="124"/>
        <v>1</v>
      </c>
      <c r="E1127" s="166" t="s">
        <v>1176</v>
      </c>
      <c r="F1127" s="140">
        <f t="shared" si="129"/>
        <v>3</v>
      </c>
      <c r="G1127" s="140" t="str">
        <f t="shared" si="125"/>
        <v>2.1.3</v>
      </c>
      <c r="H1127" s="166" t="s">
        <v>1694</v>
      </c>
      <c r="I1127" s="166" t="s">
        <v>1228</v>
      </c>
      <c r="J1127" s="166" t="s">
        <v>1234</v>
      </c>
      <c r="K1127" s="166" t="s">
        <v>841</v>
      </c>
      <c r="L1127" s="177">
        <v>0</v>
      </c>
      <c r="M1127" s="166">
        <v>0</v>
      </c>
      <c r="N1127" s="166">
        <v>0</v>
      </c>
      <c r="O1127" s="164">
        <f t="shared" si="126"/>
        <v>0</v>
      </c>
      <c r="P1127" s="166">
        <v>0</v>
      </c>
      <c r="Q1127" s="166">
        <v>0</v>
      </c>
      <c r="R1127" s="164">
        <f>$L1127*'Pivot Objective'!$C$9*P1127*Q1127</f>
        <v>0</v>
      </c>
      <c r="S1127" s="166">
        <v>0</v>
      </c>
      <c r="T1127" s="166">
        <v>0</v>
      </c>
      <c r="U1127" s="164">
        <f>($L1127*'Pivot Objective'!$C$9^2)*S1127*T1127</f>
        <v>0</v>
      </c>
      <c r="V1127" s="166">
        <v>15</v>
      </c>
      <c r="W1127" s="166">
        <v>2</v>
      </c>
      <c r="X1127" s="164">
        <f>($L1127*'Pivot Objective'!$C$9^3)*V1127*W1127</f>
        <v>0</v>
      </c>
      <c r="Y1127" s="166">
        <v>0</v>
      </c>
      <c r="Z1127" s="166">
        <v>0</v>
      </c>
      <c r="AA1127" s="164">
        <f>($L1127*'Pivot Objective'!$C$9^4)*Y1127*Z1127</f>
        <v>0</v>
      </c>
      <c r="AB1127" s="140"/>
      <c r="AC1127" s="140"/>
      <c r="AD1127" s="164">
        <f>($L1127*'Pivot Objective'!$C$9^5)*AB1127*AC1127</f>
        <v>0</v>
      </c>
      <c r="AE1127" s="140"/>
      <c r="AF1127" s="140"/>
      <c r="AG1127" s="164">
        <f>($L1127*'Pivot Objective'!$C$9^6)*AE1127*AF1127</f>
        <v>0</v>
      </c>
      <c r="AH1127" s="140"/>
      <c r="AI1127" s="140"/>
      <c r="AJ1127" s="164">
        <f>($L1127*'Pivot Objective'!$C$9^7)*AH1127*AI1127</f>
        <v>0</v>
      </c>
      <c r="AK1127" s="185">
        <f t="shared" si="127"/>
        <v>0</v>
      </c>
      <c r="AL1127" s="186">
        <f t="shared" si="128"/>
        <v>0</v>
      </c>
    </row>
    <row r="1128" spans="1:38" customFormat="1" ht="100.8" x14ac:dyDescent="0.3">
      <c r="A1128" s="140" t="s">
        <v>1480</v>
      </c>
      <c r="B1128" s="140">
        <v>2</v>
      </c>
      <c r="C1128" s="166" t="s">
        <v>983</v>
      </c>
      <c r="D1128" s="140" t="str">
        <f t="shared" si="124"/>
        <v>1</v>
      </c>
      <c r="E1128" s="166" t="s">
        <v>1176</v>
      </c>
      <c r="F1128" s="140">
        <f t="shared" si="129"/>
        <v>3</v>
      </c>
      <c r="G1128" s="140" t="str">
        <f t="shared" si="125"/>
        <v>2.1.3</v>
      </c>
      <c r="H1128" s="166" t="s">
        <v>1694</v>
      </c>
      <c r="I1128" s="166" t="s">
        <v>1228</v>
      </c>
      <c r="J1128" s="166" t="s">
        <v>1235</v>
      </c>
      <c r="K1128" s="166" t="s">
        <v>841</v>
      </c>
      <c r="L1128" s="177">
        <v>0</v>
      </c>
      <c r="M1128" s="166">
        <v>0</v>
      </c>
      <c r="N1128" s="166">
        <v>0</v>
      </c>
      <c r="O1128" s="164">
        <f t="shared" si="126"/>
        <v>0</v>
      </c>
      <c r="P1128" s="166">
        <v>0</v>
      </c>
      <c r="Q1128" s="166">
        <v>0</v>
      </c>
      <c r="R1128" s="164">
        <f>$L1128*'Pivot Objective'!$C$9*P1128*Q1128</f>
        <v>0</v>
      </c>
      <c r="S1128" s="166">
        <v>0</v>
      </c>
      <c r="T1128" s="166">
        <v>0</v>
      </c>
      <c r="U1128" s="164">
        <f>($L1128*'Pivot Objective'!$C$9^2)*S1128*T1128</f>
        <v>0</v>
      </c>
      <c r="V1128" s="166">
        <v>3</v>
      </c>
      <c r="W1128" s="166">
        <v>5</v>
      </c>
      <c r="X1128" s="164">
        <f>($L1128*'Pivot Objective'!$C$9^3)*V1128*W1128</f>
        <v>0</v>
      </c>
      <c r="Y1128" s="166">
        <v>0</v>
      </c>
      <c r="Z1128" s="166">
        <v>0</v>
      </c>
      <c r="AA1128" s="164">
        <f>($L1128*'Pivot Objective'!$C$9^4)*Y1128*Z1128</f>
        <v>0</v>
      </c>
      <c r="AB1128" s="140"/>
      <c r="AC1128" s="140"/>
      <c r="AD1128" s="164">
        <f>($L1128*'Pivot Objective'!$C$9^5)*AB1128*AC1128</f>
        <v>0</v>
      </c>
      <c r="AE1128" s="140"/>
      <c r="AF1128" s="140"/>
      <c r="AG1128" s="164">
        <f>($L1128*'Pivot Objective'!$C$9^6)*AE1128*AF1128</f>
        <v>0</v>
      </c>
      <c r="AH1128" s="140"/>
      <c r="AI1128" s="140"/>
      <c r="AJ1128" s="164">
        <f>($L1128*'Pivot Objective'!$C$9^7)*AH1128*AI1128</f>
        <v>0</v>
      </c>
      <c r="AK1128" s="185">
        <f t="shared" si="127"/>
        <v>0</v>
      </c>
      <c r="AL1128" s="186">
        <f t="shared" si="128"/>
        <v>0</v>
      </c>
    </row>
    <row r="1129" spans="1:38" customFormat="1" ht="100.8" x14ac:dyDescent="0.3">
      <c r="A1129" s="140" t="s">
        <v>1480</v>
      </c>
      <c r="B1129" s="140">
        <v>2</v>
      </c>
      <c r="C1129" s="166" t="s">
        <v>983</v>
      </c>
      <c r="D1129" s="140" t="str">
        <f t="shared" si="124"/>
        <v>1</v>
      </c>
      <c r="E1129" s="166" t="s">
        <v>1176</v>
      </c>
      <c r="F1129" s="140">
        <f t="shared" si="129"/>
        <v>3</v>
      </c>
      <c r="G1129" s="140" t="str">
        <f t="shared" si="125"/>
        <v>2.1.3</v>
      </c>
      <c r="H1129" s="166" t="s">
        <v>1694</v>
      </c>
      <c r="I1129" s="166" t="s">
        <v>1228</v>
      </c>
      <c r="J1129" s="166" t="s">
        <v>1236</v>
      </c>
      <c r="K1129" s="166" t="s">
        <v>709</v>
      </c>
      <c r="L1129" s="177">
        <v>35000</v>
      </c>
      <c r="M1129" s="166">
        <v>100</v>
      </c>
      <c r="N1129" s="166">
        <v>15</v>
      </c>
      <c r="O1129" s="164">
        <f t="shared" si="126"/>
        <v>52500000</v>
      </c>
      <c r="P1129" s="166">
        <v>0</v>
      </c>
      <c r="Q1129" s="166">
        <v>0</v>
      </c>
      <c r="R1129" s="164">
        <f>$L1129*'Pivot Objective'!$C$9*P1129*Q1129</f>
        <v>0</v>
      </c>
      <c r="S1129" s="166">
        <v>0</v>
      </c>
      <c r="T1129" s="166">
        <v>0</v>
      </c>
      <c r="U1129" s="164">
        <f>($L1129*'Pivot Objective'!$C$9^2)*S1129*T1129</f>
        <v>0</v>
      </c>
      <c r="V1129" s="166"/>
      <c r="W1129" s="166"/>
      <c r="X1129" s="164">
        <f>($L1129*'Pivot Objective'!$C$9^3)*V1129*W1129</f>
        <v>0</v>
      </c>
      <c r="Y1129" s="166">
        <v>100</v>
      </c>
      <c r="Z1129" s="166">
        <v>15</v>
      </c>
      <c r="AA1129" s="164">
        <f>($L1129*'Pivot Objective'!$C$9^4)*Y1129*Z1129</f>
        <v>89582731.564609349</v>
      </c>
      <c r="AB1129" s="140"/>
      <c r="AC1129" s="140"/>
      <c r="AD1129" s="164">
        <f>($L1129*'Pivot Objective'!$C$9^5)*AB1129*AC1129</f>
        <v>0</v>
      </c>
      <c r="AE1129" s="140"/>
      <c r="AF1129" s="140"/>
      <c r="AG1129" s="164">
        <f>($L1129*'Pivot Objective'!$C$9^6)*AE1129*AF1129</f>
        <v>0</v>
      </c>
      <c r="AH1129" s="140"/>
      <c r="AI1129" s="140"/>
      <c r="AJ1129" s="164">
        <f>($L1129*'Pivot Objective'!$C$9^7)*AH1129*AI1129</f>
        <v>0</v>
      </c>
      <c r="AK1129" s="185">
        <f t="shared" si="127"/>
        <v>142082731.56460935</v>
      </c>
      <c r="AL1129" s="186">
        <f t="shared" si="128"/>
        <v>137944.39957729063</v>
      </c>
    </row>
    <row r="1130" spans="1:38" customFormat="1" ht="100.8" x14ac:dyDescent="0.3">
      <c r="A1130" s="140" t="s">
        <v>1480</v>
      </c>
      <c r="B1130" s="140">
        <v>2</v>
      </c>
      <c r="C1130" s="166" t="s">
        <v>983</v>
      </c>
      <c r="D1130" s="140" t="str">
        <f t="shared" si="124"/>
        <v>1</v>
      </c>
      <c r="E1130" s="166" t="s">
        <v>1176</v>
      </c>
      <c r="F1130" s="140">
        <f t="shared" si="129"/>
        <v>3</v>
      </c>
      <c r="G1130" s="140" t="str">
        <f t="shared" si="125"/>
        <v>2.1.3</v>
      </c>
      <c r="H1130" s="166" t="s">
        <v>1694</v>
      </c>
      <c r="I1130" s="166" t="s">
        <v>1228</v>
      </c>
      <c r="J1130" s="166" t="s">
        <v>1236</v>
      </c>
      <c r="K1130" s="166" t="s">
        <v>716</v>
      </c>
      <c r="L1130" s="177">
        <v>39000</v>
      </c>
      <c r="M1130" s="166">
        <v>100</v>
      </c>
      <c r="N1130" s="166">
        <v>15</v>
      </c>
      <c r="O1130" s="164">
        <f t="shared" si="126"/>
        <v>58500000</v>
      </c>
      <c r="P1130" s="166">
        <v>0</v>
      </c>
      <c r="Q1130" s="166">
        <v>0</v>
      </c>
      <c r="R1130" s="164">
        <f>$L1130*'Pivot Objective'!$C$9*P1130*Q1130</f>
        <v>0</v>
      </c>
      <c r="S1130" s="166">
        <v>0</v>
      </c>
      <c r="T1130" s="166">
        <v>0</v>
      </c>
      <c r="U1130" s="164">
        <f>($L1130*'Pivot Objective'!$C$9^2)*S1130*T1130</f>
        <v>0</v>
      </c>
      <c r="V1130" s="166"/>
      <c r="W1130" s="166"/>
      <c r="X1130" s="164">
        <f>($L1130*'Pivot Objective'!$C$9^3)*V1130*W1130</f>
        <v>0</v>
      </c>
      <c r="Y1130" s="166">
        <v>100</v>
      </c>
      <c r="Z1130" s="166">
        <v>15</v>
      </c>
      <c r="AA1130" s="164">
        <f>($L1130*'Pivot Objective'!$C$9^4)*Y1130*Z1130</f>
        <v>99820758.029136136</v>
      </c>
      <c r="AB1130" s="140"/>
      <c r="AC1130" s="140"/>
      <c r="AD1130" s="164">
        <f>($L1130*'Pivot Objective'!$C$9^5)*AB1130*AC1130</f>
        <v>0</v>
      </c>
      <c r="AE1130" s="140"/>
      <c r="AF1130" s="140"/>
      <c r="AG1130" s="164">
        <f>($L1130*'Pivot Objective'!$C$9^6)*AE1130*AF1130</f>
        <v>0</v>
      </c>
      <c r="AH1130" s="140"/>
      <c r="AI1130" s="140"/>
      <c r="AJ1130" s="164">
        <f>($L1130*'Pivot Objective'!$C$9^7)*AH1130*AI1130</f>
        <v>0</v>
      </c>
      <c r="AK1130" s="185">
        <f t="shared" si="127"/>
        <v>158320758.02913612</v>
      </c>
      <c r="AL1130" s="186">
        <f t="shared" si="128"/>
        <v>153709.47381469526</v>
      </c>
    </row>
    <row r="1131" spans="1:38" customFormat="1" ht="100.8" x14ac:dyDescent="0.3">
      <c r="A1131" s="140" t="s">
        <v>1480</v>
      </c>
      <c r="B1131" s="140">
        <v>2</v>
      </c>
      <c r="C1131" s="166" t="s">
        <v>983</v>
      </c>
      <c r="D1131" s="140" t="str">
        <f t="shared" si="124"/>
        <v>1</v>
      </c>
      <c r="E1131" s="166" t="s">
        <v>1176</v>
      </c>
      <c r="F1131" s="140">
        <f t="shared" si="129"/>
        <v>3</v>
      </c>
      <c r="G1131" s="140" t="str">
        <f t="shared" si="125"/>
        <v>2.1.3</v>
      </c>
      <c r="H1131" s="166" t="s">
        <v>1694</v>
      </c>
      <c r="I1131" s="166" t="s">
        <v>1228</v>
      </c>
      <c r="J1131" s="166" t="s">
        <v>1236</v>
      </c>
      <c r="K1131" s="166" t="s">
        <v>712</v>
      </c>
      <c r="L1131" s="177">
        <f>1480/7</f>
        <v>211.42857142857142</v>
      </c>
      <c r="M1131" s="166">
        <f>25*2*29</f>
        <v>1450</v>
      </c>
      <c r="N1131" s="166">
        <v>15</v>
      </c>
      <c r="O1131" s="164">
        <f t="shared" si="126"/>
        <v>4598571.4285714291</v>
      </c>
      <c r="P1131" s="166">
        <v>0</v>
      </c>
      <c r="Q1131" s="166">
        <v>0</v>
      </c>
      <c r="R1131" s="164">
        <f>$L1131*'Pivot Objective'!$C$9*P1131*Q1131</f>
        <v>0</v>
      </c>
      <c r="S1131" s="166">
        <v>0</v>
      </c>
      <c r="T1131" s="166">
        <v>0</v>
      </c>
      <c r="U1131" s="164">
        <f>($L1131*'Pivot Objective'!$C$9^2)*S1131*T1131</f>
        <v>0</v>
      </c>
      <c r="V1131" s="166"/>
      <c r="W1131" s="166"/>
      <c r="X1131" s="164">
        <f>($L1131*'Pivot Objective'!$C$9^3)*V1131*W1131</f>
        <v>0</v>
      </c>
      <c r="Y1131" s="166">
        <f>25*2*29</f>
        <v>1450</v>
      </c>
      <c r="Z1131" s="166">
        <v>15</v>
      </c>
      <c r="AA1131" s="164">
        <f>($L1131*'Pivot Objective'!$C$9^4)*Y1131*Z1131</f>
        <v>7846715.9974551685</v>
      </c>
      <c r="AB1131" s="140"/>
      <c r="AC1131" s="140"/>
      <c r="AD1131" s="164">
        <f>($L1131*'Pivot Objective'!$C$9^5)*AB1131*AC1131</f>
        <v>0</v>
      </c>
      <c r="AE1131" s="140"/>
      <c r="AF1131" s="140"/>
      <c r="AG1131" s="164">
        <f>($L1131*'Pivot Objective'!$C$9^6)*AE1131*AF1131</f>
        <v>0</v>
      </c>
      <c r="AH1131" s="140"/>
      <c r="AI1131" s="140"/>
      <c r="AJ1131" s="164">
        <f>($L1131*'Pivot Objective'!$C$9^7)*AH1131*AI1131</f>
        <v>0</v>
      </c>
      <c r="AK1131" s="185">
        <f t="shared" si="127"/>
        <v>12445287.426026598</v>
      </c>
      <c r="AL1131" s="186">
        <f t="shared" si="128"/>
        <v>12082.803326239415</v>
      </c>
    </row>
    <row r="1132" spans="1:38" customFormat="1" ht="100.8" x14ac:dyDescent="0.3">
      <c r="A1132" s="140" t="s">
        <v>1480</v>
      </c>
      <c r="B1132" s="140">
        <v>2</v>
      </c>
      <c r="C1132" s="166" t="s">
        <v>983</v>
      </c>
      <c r="D1132" s="140" t="str">
        <f t="shared" si="124"/>
        <v>1</v>
      </c>
      <c r="E1132" s="166" t="s">
        <v>1176</v>
      </c>
      <c r="F1132" s="140">
        <f t="shared" si="129"/>
        <v>3</v>
      </c>
      <c r="G1132" s="140" t="str">
        <f t="shared" si="125"/>
        <v>2.1.3</v>
      </c>
      <c r="H1132" s="166" t="s">
        <v>1694</v>
      </c>
      <c r="I1132" s="166" t="s">
        <v>1228</v>
      </c>
      <c r="J1132" s="166" t="s">
        <v>1236</v>
      </c>
      <c r="K1132" s="166" t="s">
        <v>1350</v>
      </c>
      <c r="L1132" s="177">
        <f>1480/7</f>
        <v>211.42857142857142</v>
      </c>
      <c r="M1132" s="166">
        <f>2*135*29</f>
        <v>7830</v>
      </c>
      <c r="N1132" s="166">
        <v>15</v>
      </c>
      <c r="O1132" s="164">
        <f t="shared" si="126"/>
        <v>24832285.714285713</v>
      </c>
      <c r="P1132" s="166"/>
      <c r="Q1132" s="166"/>
      <c r="R1132" s="164">
        <f>$L1132*'Pivot Objective'!$C$9*P1132*Q1132</f>
        <v>0</v>
      </c>
      <c r="S1132" s="166"/>
      <c r="T1132" s="166"/>
      <c r="U1132" s="164">
        <f>($L1132*'Pivot Objective'!$C$9^2)*S1132*T1132</f>
        <v>0</v>
      </c>
      <c r="V1132" s="166"/>
      <c r="W1132" s="166"/>
      <c r="X1132" s="164">
        <f>($L1132*'Pivot Objective'!$C$9^3)*V1132*W1132</f>
        <v>0</v>
      </c>
      <c r="Y1132" s="166">
        <f>2*135*29</f>
        <v>7830</v>
      </c>
      <c r="Z1132" s="166">
        <v>15</v>
      </c>
      <c r="AA1132" s="164">
        <f>($L1132*'Pivot Objective'!$C$9^4)*Y1132*Z1132</f>
        <v>42372266.386257917</v>
      </c>
      <c r="AB1132" s="140"/>
      <c r="AC1132" s="140"/>
      <c r="AD1132" s="164">
        <f>($L1132*'Pivot Objective'!$C$9^5)*AB1132*AC1132</f>
        <v>0</v>
      </c>
      <c r="AE1132" s="140"/>
      <c r="AF1132" s="140"/>
      <c r="AG1132" s="164">
        <f>($L1132*'Pivot Objective'!$C$9^6)*AE1132*AF1132</f>
        <v>0</v>
      </c>
      <c r="AH1132" s="140"/>
      <c r="AI1132" s="140"/>
      <c r="AJ1132" s="164">
        <f>($L1132*'Pivot Objective'!$C$9^7)*AH1132*AI1132</f>
        <v>0</v>
      </c>
      <c r="AK1132" s="185">
        <f t="shared" si="127"/>
        <v>67204552.100543633</v>
      </c>
      <c r="AL1132" s="186">
        <f t="shared" si="128"/>
        <v>65247.137961692846</v>
      </c>
    </row>
    <row r="1133" spans="1:38" customFormat="1" ht="100.8" x14ac:dyDescent="0.3">
      <c r="A1133" s="140" t="s">
        <v>1480</v>
      </c>
      <c r="B1133" s="140">
        <v>2</v>
      </c>
      <c r="C1133" s="166" t="s">
        <v>983</v>
      </c>
      <c r="D1133" s="140" t="str">
        <f t="shared" si="124"/>
        <v>1</v>
      </c>
      <c r="E1133" s="166" t="s">
        <v>1176</v>
      </c>
      <c r="F1133" s="140">
        <f t="shared" si="129"/>
        <v>3</v>
      </c>
      <c r="G1133" s="140" t="str">
        <f t="shared" si="125"/>
        <v>2.1.3</v>
      </c>
      <c r="H1133" s="166" t="s">
        <v>1694</v>
      </c>
      <c r="I1133" s="166" t="s">
        <v>1228</v>
      </c>
      <c r="J1133" s="166" t="s">
        <v>1237</v>
      </c>
      <c r="K1133" s="166" t="s">
        <v>841</v>
      </c>
      <c r="L1133" s="177">
        <v>0</v>
      </c>
      <c r="M1133" s="166">
        <v>0</v>
      </c>
      <c r="N1133" s="166">
        <v>0</v>
      </c>
      <c r="O1133" s="164">
        <f t="shared" si="126"/>
        <v>0</v>
      </c>
      <c r="P1133" s="166">
        <v>0</v>
      </c>
      <c r="Q1133" s="166">
        <v>0</v>
      </c>
      <c r="R1133" s="164">
        <f>$L1133*'Pivot Objective'!$C$9*P1133*Q1133</f>
        <v>0</v>
      </c>
      <c r="S1133" s="166">
        <v>0</v>
      </c>
      <c r="T1133" s="166">
        <v>0</v>
      </c>
      <c r="U1133" s="164">
        <f>($L1133*'Pivot Objective'!$C$9^2)*S1133*T1133</f>
        <v>0</v>
      </c>
      <c r="V1133" s="166">
        <v>4000</v>
      </c>
      <c r="W1133" s="166">
        <v>1</v>
      </c>
      <c r="X1133" s="164">
        <f>($L1133*'Pivot Objective'!$C$9^3)*V1133*W1133</f>
        <v>0</v>
      </c>
      <c r="Y1133" s="166">
        <v>0</v>
      </c>
      <c r="Z1133" s="166">
        <v>0</v>
      </c>
      <c r="AA1133" s="164">
        <f>($L1133*'Pivot Objective'!$C$9^4)*Y1133*Z1133</f>
        <v>0</v>
      </c>
      <c r="AB1133" s="140"/>
      <c r="AC1133" s="140"/>
      <c r="AD1133" s="164">
        <f>($L1133*'Pivot Objective'!$C$9^5)*AB1133*AC1133</f>
        <v>0</v>
      </c>
      <c r="AE1133" s="140"/>
      <c r="AF1133" s="140"/>
      <c r="AG1133" s="164">
        <f>($L1133*'Pivot Objective'!$C$9^6)*AE1133*AF1133</f>
        <v>0</v>
      </c>
      <c r="AH1133" s="140"/>
      <c r="AI1133" s="140"/>
      <c r="AJ1133" s="164">
        <f>($L1133*'Pivot Objective'!$C$9^7)*AH1133*AI1133</f>
        <v>0</v>
      </c>
      <c r="AK1133" s="185">
        <f t="shared" si="127"/>
        <v>0</v>
      </c>
      <c r="AL1133" s="186">
        <f t="shared" si="128"/>
        <v>0</v>
      </c>
    </row>
    <row r="1134" spans="1:38" customFormat="1" ht="43.2" x14ac:dyDescent="0.3">
      <c r="A1134" s="140" t="s">
        <v>1480</v>
      </c>
      <c r="B1134" s="140">
        <v>2</v>
      </c>
      <c r="C1134" s="166" t="s">
        <v>983</v>
      </c>
      <c r="D1134" s="140" t="str">
        <f t="shared" si="124"/>
        <v>1</v>
      </c>
      <c r="E1134" s="166" t="s">
        <v>1176</v>
      </c>
      <c r="F1134" s="140">
        <f t="shared" ref="F1134:F1165" si="130">IF(H1134=H1133,F1133,F1133+1)</f>
        <v>4</v>
      </c>
      <c r="G1134" s="140" t="str">
        <f t="shared" si="125"/>
        <v>2.1.4</v>
      </c>
      <c r="H1134" s="166" t="s">
        <v>1238</v>
      </c>
      <c r="I1134" s="166" t="s">
        <v>0</v>
      </c>
      <c r="J1134" s="166" t="s">
        <v>1239</v>
      </c>
      <c r="K1134" s="166" t="s">
        <v>841</v>
      </c>
      <c r="L1134" s="177">
        <v>0</v>
      </c>
      <c r="M1134" s="166">
        <v>0</v>
      </c>
      <c r="N1134" s="166">
        <v>0</v>
      </c>
      <c r="O1134" s="164">
        <f t="shared" si="126"/>
        <v>0</v>
      </c>
      <c r="P1134" s="166">
        <v>0</v>
      </c>
      <c r="Q1134" s="166">
        <v>0</v>
      </c>
      <c r="R1134" s="164">
        <f>$L1134*'Pivot Objective'!$C$9*P1134*Q1134</f>
        <v>0</v>
      </c>
      <c r="S1134" s="166">
        <v>0</v>
      </c>
      <c r="T1134" s="166">
        <v>0</v>
      </c>
      <c r="U1134" s="164">
        <f>($L1134*'Pivot Objective'!$C$9^2)*S1134*T1134</f>
        <v>0</v>
      </c>
      <c r="V1134" s="166">
        <v>100</v>
      </c>
      <c r="W1134" s="166">
        <v>1</v>
      </c>
      <c r="X1134" s="164">
        <f>($L1134*'Pivot Objective'!$C$9^3)*V1134*W1134</f>
        <v>0</v>
      </c>
      <c r="Y1134" s="166">
        <v>0</v>
      </c>
      <c r="Z1134" s="166">
        <v>0</v>
      </c>
      <c r="AA1134" s="164">
        <f>($L1134*'Pivot Objective'!$C$9^4)*Y1134*Z1134</f>
        <v>0</v>
      </c>
      <c r="AB1134" s="140"/>
      <c r="AC1134" s="140"/>
      <c r="AD1134" s="164">
        <f>($L1134*'Pivot Objective'!$C$9^5)*AB1134*AC1134</f>
        <v>0</v>
      </c>
      <c r="AE1134" s="140"/>
      <c r="AF1134" s="140"/>
      <c r="AG1134" s="164">
        <f>($L1134*'Pivot Objective'!$C$9^6)*AE1134*AF1134</f>
        <v>0</v>
      </c>
      <c r="AH1134" s="140"/>
      <c r="AI1134" s="140"/>
      <c r="AJ1134" s="164">
        <f>($L1134*'Pivot Objective'!$C$9^7)*AH1134*AI1134</f>
        <v>0</v>
      </c>
      <c r="AK1134" s="185">
        <f t="shared" si="127"/>
        <v>0</v>
      </c>
      <c r="AL1134" s="186">
        <f t="shared" si="128"/>
        <v>0</v>
      </c>
    </row>
    <row r="1135" spans="1:38" customFormat="1" ht="43.2" x14ac:dyDescent="0.3">
      <c r="A1135" s="140" t="s">
        <v>1480</v>
      </c>
      <c r="B1135" s="140">
        <v>2</v>
      </c>
      <c r="C1135" s="166" t="s">
        <v>983</v>
      </c>
      <c r="D1135" s="140" t="str">
        <f t="shared" si="124"/>
        <v>1</v>
      </c>
      <c r="E1135" s="166" t="s">
        <v>1176</v>
      </c>
      <c r="F1135" s="140">
        <f t="shared" si="130"/>
        <v>4</v>
      </c>
      <c r="G1135" s="140" t="str">
        <f t="shared" si="125"/>
        <v>2.1.4</v>
      </c>
      <c r="H1135" s="166" t="s">
        <v>1238</v>
      </c>
      <c r="I1135" s="166" t="s">
        <v>1240</v>
      </c>
      <c r="J1135" s="166" t="s">
        <v>169</v>
      </c>
      <c r="K1135" s="166" t="s">
        <v>841</v>
      </c>
      <c r="L1135" s="177">
        <v>0</v>
      </c>
      <c r="M1135" s="166">
        <v>0</v>
      </c>
      <c r="N1135" s="166">
        <v>0</v>
      </c>
      <c r="O1135" s="164">
        <f t="shared" si="126"/>
        <v>0</v>
      </c>
      <c r="P1135" s="166">
        <v>0</v>
      </c>
      <c r="Q1135" s="166">
        <v>0</v>
      </c>
      <c r="R1135" s="164">
        <f>$L1135*'Pivot Objective'!$C$9*P1135*Q1135</f>
        <v>0</v>
      </c>
      <c r="S1135" s="166">
        <v>0</v>
      </c>
      <c r="T1135" s="166">
        <v>0</v>
      </c>
      <c r="U1135" s="164">
        <f>($L1135*'Pivot Objective'!$C$9^2)*S1135*T1135</f>
        <v>0</v>
      </c>
      <c r="V1135" s="166">
        <v>0</v>
      </c>
      <c r="W1135" s="166">
        <v>0</v>
      </c>
      <c r="X1135" s="164">
        <f>($L1135*'Pivot Objective'!$C$9^3)*V1135*W1135</f>
        <v>0</v>
      </c>
      <c r="Y1135" s="166">
        <v>0</v>
      </c>
      <c r="Z1135" s="166">
        <v>0</v>
      </c>
      <c r="AA1135" s="164">
        <f>($L1135*'Pivot Objective'!$C$9^4)*Y1135*Z1135</f>
        <v>0</v>
      </c>
      <c r="AB1135" s="140"/>
      <c r="AC1135" s="140"/>
      <c r="AD1135" s="164">
        <f>($L1135*'Pivot Objective'!$C$9^5)*AB1135*AC1135</f>
        <v>0</v>
      </c>
      <c r="AE1135" s="140"/>
      <c r="AF1135" s="140"/>
      <c r="AG1135" s="164">
        <f>($L1135*'Pivot Objective'!$C$9^6)*AE1135*AF1135</f>
        <v>0</v>
      </c>
      <c r="AH1135" s="140"/>
      <c r="AI1135" s="140"/>
      <c r="AJ1135" s="164">
        <f>($L1135*'Pivot Objective'!$C$9^7)*AH1135*AI1135</f>
        <v>0</v>
      </c>
      <c r="AK1135" s="185">
        <f t="shared" si="127"/>
        <v>0</v>
      </c>
      <c r="AL1135" s="186">
        <f t="shared" si="128"/>
        <v>0</v>
      </c>
    </row>
    <row r="1136" spans="1:38" customFormat="1" ht="43.2" x14ac:dyDescent="0.3">
      <c r="A1136" s="140" t="s">
        <v>1480</v>
      </c>
      <c r="B1136" s="140">
        <v>2</v>
      </c>
      <c r="C1136" s="166" t="s">
        <v>983</v>
      </c>
      <c r="D1136" s="140" t="str">
        <f t="shared" si="124"/>
        <v>1</v>
      </c>
      <c r="E1136" s="166" t="s">
        <v>1176</v>
      </c>
      <c r="F1136" s="140">
        <f t="shared" si="130"/>
        <v>4</v>
      </c>
      <c r="G1136" s="140" t="str">
        <f t="shared" si="125"/>
        <v>2.1.4</v>
      </c>
      <c r="H1136" s="166" t="s">
        <v>1238</v>
      </c>
      <c r="I1136" s="166" t="s">
        <v>1240</v>
      </c>
      <c r="J1136" s="166" t="s">
        <v>1025</v>
      </c>
      <c r="K1136" s="166" t="s">
        <v>841</v>
      </c>
      <c r="L1136" s="177">
        <v>0</v>
      </c>
      <c r="M1136" s="166">
        <v>0</v>
      </c>
      <c r="N1136" s="166">
        <v>0</v>
      </c>
      <c r="O1136" s="164">
        <f t="shared" si="126"/>
        <v>0</v>
      </c>
      <c r="P1136" s="166">
        <v>20</v>
      </c>
      <c r="Q1136" s="166">
        <v>1</v>
      </c>
      <c r="R1136" s="164">
        <f>$L1136*'Pivot Objective'!$C$9*P1136*Q1136</f>
        <v>0</v>
      </c>
      <c r="S1136" s="166">
        <v>0</v>
      </c>
      <c r="T1136" s="166">
        <v>0</v>
      </c>
      <c r="U1136" s="164">
        <f>($L1136*'Pivot Objective'!$C$9^2)*S1136*T1136</f>
        <v>0</v>
      </c>
      <c r="V1136" s="166">
        <v>0</v>
      </c>
      <c r="W1136" s="166">
        <v>0</v>
      </c>
      <c r="X1136" s="164">
        <f>($L1136*'Pivot Objective'!$C$9^3)*V1136*W1136</f>
        <v>0</v>
      </c>
      <c r="Y1136" s="166">
        <v>0</v>
      </c>
      <c r="Z1136" s="166">
        <v>0</v>
      </c>
      <c r="AA1136" s="164">
        <f>($L1136*'Pivot Objective'!$C$9^4)*Y1136*Z1136</f>
        <v>0</v>
      </c>
      <c r="AB1136" s="140"/>
      <c r="AC1136" s="140"/>
      <c r="AD1136" s="164">
        <f>($L1136*'Pivot Objective'!$C$9^5)*AB1136*AC1136</f>
        <v>0</v>
      </c>
      <c r="AE1136" s="140"/>
      <c r="AF1136" s="140"/>
      <c r="AG1136" s="164">
        <f>($L1136*'Pivot Objective'!$C$9^6)*AE1136*AF1136</f>
        <v>0</v>
      </c>
      <c r="AH1136" s="140"/>
      <c r="AI1136" s="140"/>
      <c r="AJ1136" s="164">
        <f>($L1136*'Pivot Objective'!$C$9^7)*AH1136*AI1136</f>
        <v>0</v>
      </c>
      <c r="AK1136" s="185">
        <f t="shared" si="127"/>
        <v>0</v>
      </c>
      <c r="AL1136" s="186">
        <f t="shared" si="128"/>
        <v>0</v>
      </c>
    </row>
    <row r="1137" spans="1:38" customFormat="1" ht="43.2" x14ac:dyDescent="0.3">
      <c r="A1137" s="140" t="s">
        <v>1480</v>
      </c>
      <c r="B1137" s="140">
        <v>2</v>
      </c>
      <c r="C1137" s="166" t="s">
        <v>983</v>
      </c>
      <c r="D1137" s="140" t="str">
        <f t="shared" si="124"/>
        <v>1</v>
      </c>
      <c r="E1137" s="166" t="s">
        <v>1176</v>
      </c>
      <c r="F1137" s="140">
        <f t="shared" si="130"/>
        <v>4</v>
      </c>
      <c r="G1137" s="140" t="str">
        <f t="shared" si="125"/>
        <v>2.1.4</v>
      </c>
      <c r="H1137" s="166" t="s">
        <v>1238</v>
      </c>
      <c r="I1137" s="166" t="s">
        <v>1240</v>
      </c>
      <c r="J1137" s="166" t="s">
        <v>149</v>
      </c>
      <c r="K1137" s="166" t="s">
        <v>707</v>
      </c>
      <c r="L1137" s="177">
        <v>391991.03749999998</v>
      </c>
      <c r="M1137" s="166">
        <v>1</v>
      </c>
      <c r="N1137" s="166">
        <v>1</v>
      </c>
      <c r="O1137" s="164">
        <f t="shared" si="126"/>
        <v>391991.03749999998</v>
      </c>
      <c r="P1137" s="166">
        <v>5</v>
      </c>
      <c r="Q1137" s="166">
        <v>5</v>
      </c>
      <c r="R1137" s="164">
        <f>$L1137*'Pivot Objective'!$C$9*P1137*Q1137</f>
        <v>11200370.664841702</v>
      </c>
      <c r="S1137" s="166">
        <v>0</v>
      </c>
      <c r="T1137" s="166">
        <v>0</v>
      </c>
      <c r="U1137" s="164">
        <f>($L1137*'Pivot Objective'!$C$9^2)*S1137*T1137</f>
        <v>0</v>
      </c>
      <c r="V1137" s="166">
        <v>0</v>
      </c>
      <c r="W1137" s="166">
        <v>0</v>
      </c>
      <c r="X1137" s="164">
        <f>($L1137*'Pivot Objective'!$C$9^3)*V1137*W1137</f>
        <v>0</v>
      </c>
      <c r="Y1137" s="166">
        <v>0</v>
      </c>
      <c r="Z1137" s="166">
        <v>0</v>
      </c>
      <c r="AA1137" s="164">
        <f>($L1137*'Pivot Objective'!$C$9^4)*Y1137*Z1137</f>
        <v>0</v>
      </c>
      <c r="AB1137" s="140"/>
      <c r="AC1137" s="140"/>
      <c r="AD1137" s="164">
        <f>($L1137*'Pivot Objective'!$C$9^5)*AB1137*AC1137</f>
        <v>0</v>
      </c>
      <c r="AE1137" s="140"/>
      <c r="AF1137" s="140"/>
      <c r="AG1137" s="164">
        <f>($L1137*'Pivot Objective'!$C$9^6)*AE1137*AF1137</f>
        <v>0</v>
      </c>
      <c r="AH1137" s="140"/>
      <c r="AI1137" s="140"/>
      <c r="AJ1137" s="164">
        <f>($L1137*'Pivot Objective'!$C$9^7)*AH1137*AI1137</f>
        <v>0</v>
      </c>
      <c r="AK1137" s="185">
        <f t="shared" si="127"/>
        <v>11592361.702341702</v>
      </c>
      <c r="AL1137" s="186">
        <f t="shared" si="128"/>
        <v>11254.720099360875</v>
      </c>
    </row>
    <row r="1138" spans="1:38" customFormat="1" ht="43.2" x14ac:dyDescent="0.3">
      <c r="A1138" s="140" t="s">
        <v>1480</v>
      </c>
      <c r="B1138" s="140">
        <v>2</v>
      </c>
      <c r="C1138" s="166" t="s">
        <v>983</v>
      </c>
      <c r="D1138" s="140" t="str">
        <f t="shared" si="124"/>
        <v>1</v>
      </c>
      <c r="E1138" s="166" t="s">
        <v>1176</v>
      </c>
      <c r="F1138" s="140">
        <f t="shared" si="130"/>
        <v>4</v>
      </c>
      <c r="G1138" s="140" t="str">
        <f t="shared" si="125"/>
        <v>2.1.4</v>
      </c>
      <c r="H1138" s="166" t="s">
        <v>1238</v>
      </c>
      <c r="I1138" s="166" t="s">
        <v>1240</v>
      </c>
      <c r="J1138" s="166" t="s">
        <v>149</v>
      </c>
      <c r="K1138" s="166" t="s">
        <v>708</v>
      </c>
      <c r="L1138" s="177">
        <f>500*1022</f>
        <v>511000</v>
      </c>
      <c r="M1138" s="166">
        <v>1</v>
      </c>
      <c r="N1138" s="166">
        <v>10</v>
      </c>
      <c r="O1138" s="164">
        <f t="shared" si="126"/>
        <v>5110000</v>
      </c>
      <c r="P1138" s="166">
        <v>1</v>
      </c>
      <c r="Q1138" s="166">
        <v>4</v>
      </c>
      <c r="R1138" s="164">
        <f>$L1138*'Pivot Objective'!$C$9*P1138*Q1138</f>
        <v>2336130.7222679998</v>
      </c>
      <c r="S1138" s="166">
        <v>0</v>
      </c>
      <c r="T1138" s="166">
        <v>0</v>
      </c>
      <c r="U1138" s="164">
        <f>($L1138*'Pivot Objective'!$C$9^2)*S1138*T1138</f>
        <v>0</v>
      </c>
      <c r="V1138" s="166">
        <v>0</v>
      </c>
      <c r="W1138" s="166">
        <v>0</v>
      </c>
      <c r="X1138" s="164">
        <f>($L1138*'Pivot Objective'!$C$9^3)*V1138*W1138</f>
        <v>0</v>
      </c>
      <c r="Y1138" s="166">
        <v>0</v>
      </c>
      <c r="Z1138" s="166">
        <v>0</v>
      </c>
      <c r="AA1138" s="164">
        <f>($L1138*'Pivot Objective'!$C$9^4)*Y1138*Z1138</f>
        <v>0</v>
      </c>
      <c r="AB1138" s="140"/>
      <c r="AC1138" s="140"/>
      <c r="AD1138" s="164">
        <f>($L1138*'Pivot Objective'!$C$9^5)*AB1138*AC1138</f>
        <v>0</v>
      </c>
      <c r="AE1138" s="140"/>
      <c r="AF1138" s="140"/>
      <c r="AG1138" s="164">
        <f>($L1138*'Pivot Objective'!$C$9^6)*AE1138*AF1138</f>
        <v>0</v>
      </c>
      <c r="AH1138" s="140"/>
      <c r="AI1138" s="140"/>
      <c r="AJ1138" s="164">
        <f>($L1138*'Pivot Objective'!$C$9^7)*AH1138*AI1138</f>
        <v>0</v>
      </c>
      <c r="AK1138" s="185">
        <f t="shared" si="127"/>
        <v>7446130.7222680002</v>
      </c>
      <c r="AL1138" s="186">
        <f t="shared" si="128"/>
        <v>7229.2531284155339</v>
      </c>
    </row>
    <row r="1139" spans="1:38" customFormat="1" ht="43.2" x14ac:dyDescent="0.3">
      <c r="A1139" s="140" t="s">
        <v>1480</v>
      </c>
      <c r="B1139" s="140">
        <v>2</v>
      </c>
      <c r="C1139" s="166" t="s">
        <v>983</v>
      </c>
      <c r="D1139" s="140" t="str">
        <f t="shared" si="124"/>
        <v>1</v>
      </c>
      <c r="E1139" s="166" t="s">
        <v>1176</v>
      </c>
      <c r="F1139" s="140">
        <f t="shared" si="130"/>
        <v>4</v>
      </c>
      <c r="G1139" s="140" t="str">
        <f t="shared" si="125"/>
        <v>2.1.4</v>
      </c>
      <c r="H1139" s="166" t="s">
        <v>1238</v>
      </c>
      <c r="I1139" s="166" t="s">
        <v>1240</v>
      </c>
      <c r="J1139" s="166" t="s">
        <v>168</v>
      </c>
      <c r="K1139" s="166" t="s">
        <v>709</v>
      </c>
      <c r="L1139" s="177">
        <v>35000</v>
      </c>
      <c r="M1139" s="166">
        <v>100</v>
      </c>
      <c r="N1139" s="166">
        <v>1</v>
      </c>
      <c r="O1139" s="164">
        <f t="shared" si="126"/>
        <v>3500000</v>
      </c>
      <c r="P1139" s="166"/>
      <c r="Q1139" s="166"/>
      <c r="R1139" s="164">
        <f>$L1139*'Pivot Objective'!$C$9*P1139*Q1139</f>
        <v>0</v>
      </c>
      <c r="S1139" s="166"/>
      <c r="T1139" s="166"/>
      <c r="U1139" s="164">
        <f>($L1139*'Pivot Objective'!$C$9^2)*S1139*T1139</f>
        <v>0</v>
      </c>
      <c r="V1139" s="166"/>
      <c r="W1139" s="166"/>
      <c r="X1139" s="164">
        <f>($L1139*'Pivot Objective'!$C$9^3)*V1139*W1139</f>
        <v>0</v>
      </c>
      <c r="Y1139" s="166"/>
      <c r="Z1139" s="166"/>
      <c r="AA1139" s="164">
        <f>($L1139*'Pivot Objective'!$C$9^4)*Y1139*Z1139</f>
        <v>0</v>
      </c>
      <c r="AB1139" s="140"/>
      <c r="AC1139" s="140"/>
      <c r="AD1139" s="164">
        <f>($L1139*'Pivot Objective'!$C$9^5)*AB1139*AC1139</f>
        <v>0</v>
      </c>
      <c r="AE1139" s="140"/>
      <c r="AF1139" s="140"/>
      <c r="AG1139" s="164">
        <f>($L1139*'Pivot Objective'!$C$9^6)*AE1139*AF1139</f>
        <v>0</v>
      </c>
      <c r="AH1139" s="140"/>
      <c r="AI1139" s="140"/>
      <c r="AJ1139" s="164">
        <f>($L1139*'Pivot Objective'!$C$9^7)*AH1139*AI1139</f>
        <v>0</v>
      </c>
      <c r="AK1139" s="185">
        <f t="shared" si="127"/>
        <v>3500000</v>
      </c>
      <c r="AL1139" s="186">
        <f t="shared" si="128"/>
        <v>3398.0582524271845</v>
      </c>
    </row>
    <row r="1140" spans="1:38" customFormat="1" ht="43.2" x14ac:dyDescent="0.3">
      <c r="A1140" s="140" t="s">
        <v>1480</v>
      </c>
      <c r="B1140" s="140">
        <v>2</v>
      </c>
      <c r="C1140" s="166" t="s">
        <v>983</v>
      </c>
      <c r="D1140" s="140" t="str">
        <f t="shared" si="124"/>
        <v>1</v>
      </c>
      <c r="E1140" s="166" t="s">
        <v>1176</v>
      </c>
      <c r="F1140" s="140">
        <f t="shared" si="130"/>
        <v>4</v>
      </c>
      <c r="G1140" s="140" t="str">
        <f t="shared" si="125"/>
        <v>2.1.4</v>
      </c>
      <c r="H1140" s="166" t="s">
        <v>1238</v>
      </c>
      <c r="I1140" s="166" t="s">
        <v>1240</v>
      </c>
      <c r="J1140" s="166" t="s">
        <v>168</v>
      </c>
      <c r="K1140" s="166" t="s">
        <v>716</v>
      </c>
      <c r="L1140" s="177">
        <v>39000</v>
      </c>
      <c r="M1140" s="166">
        <v>58</v>
      </c>
      <c r="N1140" s="166">
        <v>2</v>
      </c>
      <c r="O1140" s="164">
        <f t="shared" si="126"/>
        <v>4524000</v>
      </c>
      <c r="P1140" s="166"/>
      <c r="Q1140" s="166"/>
      <c r="R1140" s="164">
        <f>$L1140*'Pivot Objective'!$C$9*P1140*Q1140</f>
        <v>0</v>
      </c>
      <c r="S1140" s="166"/>
      <c r="T1140" s="166"/>
      <c r="U1140" s="164">
        <f>($L1140*'Pivot Objective'!$C$9^2)*S1140*T1140</f>
        <v>0</v>
      </c>
      <c r="V1140" s="166"/>
      <c r="W1140" s="166"/>
      <c r="X1140" s="164">
        <f>($L1140*'Pivot Objective'!$C$9^3)*V1140*W1140</f>
        <v>0</v>
      </c>
      <c r="Y1140" s="166"/>
      <c r="Z1140" s="166"/>
      <c r="AA1140" s="164">
        <f>($L1140*'Pivot Objective'!$C$9^4)*Y1140*Z1140</f>
        <v>0</v>
      </c>
      <c r="AB1140" s="140"/>
      <c r="AC1140" s="140"/>
      <c r="AD1140" s="164">
        <f>($L1140*'Pivot Objective'!$C$9^5)*AB1140*AC1140</f>
        <v>0</v>
      </c>
      <c r="AE1140" s="140"/>
      <c r="AF1140" s="140"/>
      <c r="AG1140" s="164">
        <f>($L1140*'Pivot Objective'!$C$9^6)*AE1140*AF1140</f>
        <v>0</v>
      </c>
      <c r="AH1140" s="140"/>
      <c r="AI1140" s="140"/>
      <c r="AJ1140" s="164">
        <f>($L1140*'Pivot Objective'!$C$9^7)*AH1140*AI1140</f>
        <v>0</v>
      </c>
      <c r="AK1140" s="185">
        <f t="shared" si="127"/>
        <v>4524000</v>
      </c>
      <c r="AL1140" s="186">
        <f t="shared" si="128"/>
        <v>4392.2330097087379</v>
      </c>
    </row>
    <row r="1141" spans="1:38" customFormat="1" ht="43.2" x14ac:dyDescent="0.3">
      <c r="A1141" s="140" t="s">
        <v>1480</v>
      </c>
      <c r="B1141" s="140">
        <v>2</v>
      </c>
      <c r="C1141" s="166" t="s">
        <v>983</v>
      </c>
      <c r="D1141" s="140" t="str">
        <f t="shared" si="124"/>
        <v>1</v>
      </c>
      <c r="E1141" s="166" t="s">
        <v>1176</v>
      </c>
      <c r="F1141" s="140">
        <f t="shared" si="130"/>
        <v>4</v>
      </c>
      <c r="G1141" s="140" t="str">
        <f t="shared" si="125"/>
        <v>2.1.4</v>
      </c>
      <c r="H1141" s="166" t="s">
        <v>1238</v>
      </c>
      <c r="I1141" s="166" t="s">
        <v>1240</v>
      </c>
      <c r="J1141" s="166" t="s">
        <v>168</v>
      </c>
      <c r="K1141" s="166" t="s">
        <v>1350</v>
      </c>
      <c r="L1141" s="177">
        <f>1480/7</f>
        <v>211.42857142857142</v>
      </c>
      <c r="M1141" s="166">
        <f>2*135*29</f>
        <v>7830</v>
      </c>
      <c r="N1141" s="166">
        <v>1</v>
      </c>
      <c r="O1141" s="164">
        <f t="shared" si="126"/>
        <v>1655485.7142857141</v>
      </c>
      <c r="P1141" s="166"/>
      <c r="Q1141" s="166"/>
      <c r="R1141" s="164">
        <f>$L1141*'Pivot Objective'!$C$9*P1141*Q1141</f>
        <v>0</v>
      </c>
      <c r="S1141" s="166"/>
      <c r="T1141" s="166"/>
      <c r="U1141" s="164">
        <f>($L1141*'Pivot Objective'!$C$9^2)*S1141*T1141</f>
        <v>0</v>
      </c>
      <c r="V1141" s="166"/>
      <c r="W1141" s="166"/>
      <c r="X1141" s="164">
        <f>($L1141*'Pivot Objective'!$C$9^3)*V1141*W1141</f>
        <v>0</v>
      </c>
      <c r="Y1141" s="166"/>
      <c r="Z1141" s="166"/>
      <c r="AA1141" s="164">
        <f>($L1141*'Pivot Objective'!$C$9^4)*Y1141*Z1141</f>
        <v>0</v>
      </c>
      <c r="AB1141" s="140"/>
      <c r="AC1141" s="140"/>
      <c r="AD1141" s="164">
        <f>($L1141*'Pivot Objective'!$C$9^5)*AB1141*AC1141</f>
        <v>0</v>
      </c>
      <c r="AE1141" s="140"/>
      <c r="AF1141" s="140"/>
      <c r="AG1141" s="164">
        <f>($L1141*'Pivot Objective'!$C$9^6)*AE1141*AF1141</f>
        <v>0</v>
      </c>
      <c r="AH1141" s="140"/>
      <c r="AI1141" s="140"/>
      <c r="AJ1141" s="164">
        <f>($L1141*'Pivot Objective'!$C$9^7)*AH1141*AI1141</f>
        <v>0</v>
      </c>
      <c r="AK1141" s="185">
        <f t="shared" si="127"/>
        <v>1655485.7142857141</v>
      </c>
      <c r="AL1141" s="186">
        <f t="shared" si="128"/>
        <v>1607.267683772538</v>
      </c>
    </row>
    <row r="1142" spans="1:38" customFormat="1" ht="43.2" x14ac:dyDescent="0.3">
      <c r="A1142" s="140" t="s">
        <v>1480</v>
      </c>
      <c r="B1142" s="140">
        <v>2</v>
      </c>
      <c r="C1142" s="166" t="s">
        <v>983</v>
      </c>
      <c r="D1142" s="140" t="str">
        <f t="shared" si="124"/>
        <v>1</v>
      </c>
      <c r="E1142" s="166" t="s">
        <v>1176</v>
      </c>
      <c r="F1142" s="140">
        <f t="shared" si="130"/>
        <v>4</v>
      </c>
      <c r="G1142" s="140" t="str">
        <f t="shared" si="125"/>
        <v>2.1.4</v>
      </c>
      <c r="H1142" s="166" t="s">
        <v>1238</v>
      </c>
      <c r="I1142" s="166" t="s">
        <v>1240</v>
      </c>
      <c r="J1142" s="166" t="s">
        <v>168</v>
      </c>
      <c r="K1142" s="166" t="s">
        <v>712</v>
      </c>
      <c r="L1142" s="177">
        <f>1480/7</f>
        <v>211.42857142857142</v>
      </c>
      <c r="M1142" s="166">
        <f>2*25*10</f>
        <v>500</v>
      </c>
      <c r="N1142" s="166">
        <v>1</v>
      </c>
      <c r="O1142" s="164">
        <f t="shared" si="126"/>
        <v>105714.28571428571</v>
      </c>
      <c r="P1142" s="166">
        <v>4000</v>
      </c>
      <c r="Q1142" s="166">
        <v>1</v>
      </c>
      <c r="R1142" s="164">
        <f>$L1142*'Pivot Objective'!$C$9*P1142*Q1142</f>
        <v>966584.6991771427</v>
      </c>
      <c r="S1142" s="166">
        <v>0</v>
      </c>
      <c r="T1142" s="166">
        <v>0</v>
      </c>
      <c r="U1142" s="164">
        <f>($L1142*'Pivot Objective'!$C$9^2)*S1142*T1142</f>
        <v>0</v>
      </c>
      <c r="V1142" s="166">
        <v>0</v>
      </c>
      <c r="W1142" s="166">
        <v>0</v>
      </c>
      <c r="X1142" s="164">
        <f>($L1142*'Pivot Objective'!$C$9^3)*V1142*W1142</f>
        <v>0</v>
      </c>
      <c r="Y1142" s="166">
        <v>0</v>
      </c>
      <c r="Z1142" s="166">
        <v>0</v>
      </c>
      <c r="AA1142" s="164">
        <f>($L1142*'Pivot Objective'!$C$9^4)*Y1142*Z1142</f>
        <v>0</v>
      </c>
      <c r="AB1142" s="140"/>
      <c r="AC1142" s="140"/>
      <c r="AD1142" s="164">
        <f>($L1142*'Pivot Objective'!$C$9^5)*AB1142*AC1142</f>
        <v>0</v>
      </c>
      <c r="AE1142" s="140"/>
      <c r="AF1142" s="140"/>
      <c r="AG1142" s="164">
        <f>($L1142*'Pivot Objective'!$C$9^6)*AE1142*AF1142</f>
        <v>0</v>
      </c>
      <c r="AH1142" s="140"/>
      <c r="AI1142" s="140"/>
      <c r="AJ1142" s="164">
        <f>($L1142*'Pivot Objective'!$C$9^7)*AH1142*AI1142</f>
        <v>0</v>
      </c>
      <c r="AK1142" s="185">
        <f t="shared" si="127"/>
        <v>1072298.9848914284</v>
      </c>
      <c r="AL1142" s="186">
        <f t="shared" si="128"/>
        <v>1041.066975622746</v>
      </c>
    </row>
    <row r="1143" spans="1:38" customFormat="1" ht="43.2" x14ac:dyDescent="0.3">
      <c r="A1143" s="140" t="s">
        <v>1480</v>
      </c>
      <c r="B1143" s="140">
        <v>2</v>
      </c>
      <c r="C1143" s="166" t="s">
        <v>983</v>
      </c>
      <c r="D1143" s="140" t="str">
        <f t="shared" si="124"/>
        <v>1</v>
      </c>
      <c r="E1143" s="166" t="s">
        <v>1176</v>
      </c>
      <c r="F1143" s="140">
        <f t="shared" si="130"/>
        <v>4</v>
      </c>
      <c r="G1143" s="140" t="str">
        <f t="shared" si="125"/>
        <v>2.1.4</v>
      </c>
      <c r="H1143" s="166" t="s">
        <v>1238</v>
      </c>
      <c r="I1143" s="166" t="s">
        <v>1240</v>
      </c>
      <c r="J1143" s="166" t="s">
        <v>1242</v>
      </c>
      <c r="K1143" s="166" t="s">
        <v>841</v>
      </c>
      <c r="L1143" s="177">
        <v>0</v>
      </c>
      <c r="M1143" s="166">
        <v>0</v>
      </c>
      <c r="N1143" s="166">
        <v>0</v>
      </c>
      <c r="O1143" s="164">
        <f t="shared" si="126"/>
        <v>0</v>
      </c>
      <c r="P1143" s="166">
        <v>35</v>
      </c>
      <c r="Q1143" s="166">
        <v>0.5</v>
      </c>
      <c r="R1143" s="164">
        <f>$L1143*'Pivot Objective'!$C$9*P1143*Q1143</f>
        <v>0</v>
      </c>
      <c r="S1143" s="166">
        <v>0</v>
      </c>
      <c r="T1143" s="166">
        <v>0</v>
      </c>
      <c r="U1143" s="164">
        <f>($L1143*'Pivot Objective'!$C$9^2)*S1143*T1143</f>
        <v>0</v>
      </c>
      <c r="V1143" s="166">
        <v>0</v>
      </c>
      <c r="W1143" s="166">
        <v>0</v>
      </c>
      <c r="X1143" s="164">
        <f>($L1143*'Pivot Objective'!$C$9^3)*V1143*W1143</f>
        <v>0</v>
      </c>
      <c r="Y1143" s="166">
        <v>0</v>
      </c>
      <c r="Z1143" s="166">
        <v>0</v>
      </c>
      <c r="AA1143" s="164">
        <f>($L1143*'Pivot Objective'!$C$9^4)*Y1143*Z1143</f>
        <v>0</v>
      </c>
      <c r="AB1143" s="140"/>
      <c r="AC1143" s="140"/>
      <c r="AD1143" s="164">
        <f>($L1143*'Pivot Objective'!$C$9^5)*AB1143*AC1143</f>
        <v>0</v>
      </c>
      <c r="AE1143" s="140"/>
      <c r="AF1143" s="140"/>
      <c r="AG1143" s="164">
        <f>($L1143*'Pivot Objective'!$C$9^6)*AE1143*AF1143</f>
        <v>0</v>
      </c>
      <c r="AH1143" s="140"/>
      <c r="AI1143" s="140"/>
      <c r="AJ1143" s="164">
        <f>($L1143*'Pivot Objective'!$C$9^7)*AH1143*AI1143</f>
        <v>0</v>
      </c>
      <c r="AK1143" s="185">
        <f t="shared" si="127"/>
        <v>0</v>
      </c>
      <c r="AL1143" s="186">
        <f t="shared" si="128"/>
        <v>0</v>
      </c>
    </row>
    <row r="1144" spans="1:38" customFormat="1" ht="43.2" x14ac:dyDescent="0.3">
      <c r="A1144" s="140" t="s">
        <v>1480</v>
      </c>
      <c r="B1144" s="140">
        <v>2</v>
      </c>
      <c r="C1144" s="166" t="s">
        <v>983</v>
      </c>
      <c r="D1144" s="140" t="str">
        <f t="shared" si="124"/>
        <v>1</v>
      </c>
      <c r="E1144" s="166" t="s">
        <v>1176</v>
      </c>
      <c r="F1144" s="140">
        <f t="shared" si="130"/>
        <v>4</v>
      </c>
      <c r="G1144" s="140" t="str">
        <f t="shared" si="125"/>
        <v>2.1.4</v>
      </c>
      <c r="H1144" s="166" t="s">
        <v>1238</v>
      </c>
      <c r="I1144" s="166" t="s">
        <v>1243</v>
      </c>
      <c r="J1144" s="166" t="s">
        <v>1025</v>
      </c>
      <c r="K1144" s="166" t="s">
        <v>841</v>
      </c>
      <c r="L1144" s="177">
        <v>0</v>
      </c>
      <c r="M1144" s="166">
        <v>0</v>
      </c>
      <c r="N1144" s="166">
        <v>0</v>
      </c>
      <c r="O1144" s="164">
        <f t="shared" si="126"/>
        <v>0</v>
      </c>
      <c r="P1144" s="166">
        <v>0</v>
      </c>
      <c r="Q1144" s="166">
        <v>0</v>
      </c>
      <c r="R1144" s="164">
        <f>$L1144*'Pivot Objective'!$C$9*P1144*Q1144</f>
        <v>0</v>
      </c>
      <c r="S1144" s="166">
        <v>0</v>
      </c>
      <c r="T1144" s="166">
        <v>0</v>
      </c>
      <c r="U1144" s="164">
        <f>($L1144*'Pivot Objective'!$C$9^2)*S1144*T1144</f>
        <v>0</v>
      </c>
      <c r="V1144" s="166">
        <v>0</v>
      </c>
      <c r="W1144" s="166">
        <v>0</v>
      </c>
      <c r="X1144" s="164">
        <f>($L1144*'Pivot Objective'!$C$9^3)*V1144*W1144</f>
        <v>0</v>
      </c>
      <c r="Y1144" s="166">
        <v>0</v>
      </c>
      <c r="Z1144" s="166">
        <v>0</v>
      </c>
      <c r="AA1144" s="164">
        <f>($L1144*'Pivot Objective'!$C$9^4)*Y1144*Z1144</f>
        <v>0</v>
      </c>
      <c r="AB1144" s="140"/>
      <c r="AC1144" s="140"/>
      <c r="AD1144" s="164">
        <f>($L1144*'Pivot Objective'!$C$9^5)*AB1144*AC1144</f>
        <v>0</v>
      </c>
      <c r="AE1144" s="140"/>
      <c r="AF1144" s="140"/>
      <c r="AG1144" s="164">
        <f>($L1144*'Pivot Objective'!$C$9^6)*AE1144*AF1144</f>
        <v>0</v>
      </c>
      <c r="AH1144" s="140"/>
      <c r="AI1144" s="140"/>
      <c r="AJ1144" s="164">
        <f>($L1144*'Pivot Objective'!$C$9^7)*AH1144*AI1144</f>
        <v>0</v>
      </c>
      <c r="AK1144" s="185">
        <f t="shared" si="127"/>
        <v>0</v>
      </c>
      <c r="AL1144" s="186">
        <f t="shared" si="128"/>
        <v>0</v>
      </c>
    </row>
    <row r="1145" spans="1:38" customFormat="1" ht="43.2" x14ac:dyDescent="0.3">
      <c r="A1145" s="140" t="s">
        <v>1480</v>
      </c>
      <c r="B1145" s="140">
        <v>2</v>
      </c>
      <c r="C1145" s="166" t="s">
        <v>983</v>
      </c>
      <c r="D1145" s="140" t="str">
        <f t="shared" si="124"/>
        <v>1</v>
      </c>
      <c r="E1145" s="166" t="s">
        <v>1176</v>
      </c>
      <c r="F1145" s="140">
        <f t="shared" si="130"/>
        <v>4</v>
      </c>
      <c r="G1145" s="140" t="str">
        <f t="shared" si="125"/>
        <v>2.1.4</v>
      </c>
      <c r="H1145" s="166" t="s">
        <v>1238</v>
      </c>
      <c r="I1145" s="166" t="s">
        <v>1243</v>
      </c>
      <c r="J1145" s="166" t="s">
        <v>149</v>
      </c>
      <c r="K1145" s="166" t="s">
        <v>707</v>
      </c>
      <c r="L1145" s="177">
        <v>391991.03749999998</v>
      </c>
      <c r="M1145" s="166">
        <v>2</v>
      </c>
      <c r="N1145" s="166">
        <v>2</v>
      </c>
      <c r="O1145" s="164">
        <f t="shared" si="126"/>
        <v>1567964.15</v>
      </c>
      <c r="P1145" s="166">
        <v>0</v>
      </c>
      <c r="Q1145" s="166">
        <v>0</v>
      </c>
      <c r="R1145" s="164">
        <f>$L1145*'Pivot Objective'!$C$9*P1145*Q1145</f>
        <v>0</v>
      </c>
      <c r="S1145" s="166">
        <v>0</v>
      </c>
      <c r="T1145" s="166">
        <v>0</v>
      </c>
      <c r="U1145" s="164">
        <f>($L1145*'Pivot Objective'!$C$9^2)*S1145*T1145</f>
        <v>0</v>
      </c>
      <c r="V1145" s="166">
        <v>0</v>
      </c>
      <c r="W1145" s="166">
        <v>0</v>
      </c>
      <c r="X1145" s="164">
        <f>($L1145*'Pivot Objective'!$C$9^3)*V1145*W1145</f>
        <v>0</v>
      </c>
      <c r="Y1145" s="166">
        <v>0</v>
      </c>
      <c r="Z1145" s="166">
        <v>0</v>
      </c>
      <c r="AA1145" s="164">
        <f>($L1145*'Pivot Objective'!$C$9^4)*Y1145*Z1145</f>
        <v>0</v>
      </c>
      <c r="AB1145" s="140"/>
      <c r="AC1145" s="140"/>
      <c r="AD1145" s="164">
        <f>($L1145*'Pivot Objective'!$C$9^5)*AB1145*AC1145</f>
        <v>0</v>
      </c>
      <c r="AE1145" s="140"/>
      <c r="AF1145" s="140"/>
      <c r="AG1145" s="164">
        <f>($L1145*'Pivot Objective'!$C$9^6)*AE1145*AF1145</f>
        <v>0</v>
      </c>
      <c r="AH1145" s="140"/>
      <c r="AI1145" s="140"/>
      <c r="AJ1145" s="164">
        <f>($L1145*'Pivot Objective'!$C$9^7)*AH1145*AI1145</f>
        <v>0</v>
      </c>
      <c r="AK1145" s="185">
        <f t="shared" si="127"/>
        <v>1567964.15</v>
      </c>
      <c r="AL1145" s="186">
        <f t="shared" si="128"/>
        <v>1522.2952912621358</v>
      </c>
    </row>
    <row r="1146" spans="1:38" customFormat="1" ht="43.2" x14ac:dyDescent="0.3">
      <c r="A1146" s="140" t="s">
        <v>1480</v>
      </c>
      <c r="B1146" s="140">
        <v>2</v>
      </c>
      <c r="C1146" s="166" t="s">
        <v>983</v>
      </c>
      <c r="D1146" s="140" t="str">
        <f t="shared" si="124"/>
        <v>1</v>
      </c>
      <c r="E1146" s="166" t="s">
        <v>1176</v>
      </c>
      <c r="F1146" s="140">
        <f t="shared" si="130"/>
        <v>4</v>
      </c>
      <c r="G1146" s="140" t="str">
        <f t="shared" si="125"/>
        <v>2.1.4</v>
      </c>
      <c r="H1146" s="166" t="s">
        <v>1238</v>
      </c>
      <c r="I1146" s="166" t="s">
        <v>1243</v>
      </c>
      <c r="J1146" s="166" t="s">
        <v>149</v>
      </c>
      <c r="K1146" s="166" t="s">
        <v>708</v>
      </c>
      <c r="L1146" s="177">
        <f>500*1022</f>
        <v>511000</v>
      </c>
      <c r="M1146" s="166">
        <v>1</v>
      </c>
      <c r="N1146" s="166">
        <v>25</v>
      </c>
      <c r="O1146" s="164">
        <f t="shared" si="126"/>
        <v>12775000</v>
      </c>
      <c r="P1146" s="166">
        <v>0</v>
      </c>
      <c r="Q1146" s="166">
        <v>0</v>
      </c>
      <c r="R1146" s="164">
        <f>$L1146*'Pivot Objective'!$C$9*P1146*Q1146</f>
        <v>0</v>
      </c>
      <c r="S1146" s="166">
        <v>0</v>
      </c>
      <c r="T1146" s="166">
        <v>0</v>
      </c>
      <c r="U1146" s="164">
        <f>($L1146*'Pivot Objective'!$C$9^2)*S1146*T1146</f>
        <v>0</v>
      </c>
      <c r="V1146" s="166">
        <v>0</v>
      </c>
      <c r="W1146" s="166">
        <v>0</v>
      </c>
      <c r="X1146" s="164">
        <f>($L1146*'Pivot Objective'!$C$9^3)*V1146*W1146</f>
        <v>0</v>
      </c>
      <c r="Y1146" s="166">
        <v>1</v>
      </c>
      <c r="Z1146" s="166">
        <v>4</v>
      </c>
      <c r="AA1146" s="164">
        <f>($L1146*'Pivot Objective'!$C$9^4)*Y1146*Z1146</f>
        <v>3487754.3489154573</v>
      </c>
      <c r="AB1146" s="140"/>
      <c r="AC1146" s="140"/>
      <c r="AD1146" s="164">
        <f>($L1146*'Pivot Objective'!$C$9^5)*AB1146*AC1146</f>
        <v>0</v>
      </c>
      <c r="AE1146" s="140"/>
      <c r="AF1146" s="140"/>
      <c r="AG1146" s="164">
        <f>($L1146*'Pivot Objective'!$C$9^6)*AE1146*AF1146</f>
        <v>0</v>
      </c>
      <c r="AH1146" s="140"/>
      <c r="AI1146" s="140"/>
      <c r="AJ1146" s="164">
        <f>($L1146*'Pivot Objective'!$C$9^7)*AH1146*AI1146</f>
        <v>0</v>
      </c>
      <c r="AK1146" s="185">
        <f t="shared" si="127"/>
        <v>16262754.348915458</v>
      </c>
      <c r="AL1146" s="186">
        <f t="shared" si="128"/>
        <v>15789.081892150929</v>
      </c>
    </row>
    <row r="1147" spans="1:38" customFormat="1" ht="43.2" x14ac:dyDescent="0.3">
      <c r="A1147" s="140" t="s">
        <v>1480</v>
      </c>
      <c r="B1147" s="140">
        <v>2</v>
      </c>
      <c r="C1147" s="166" t="s">
        <v>983</v>
      </c>
      <c r="D1147" s="140" t="str">
        <f t="shared" si="124"/>
        <v>1</v>
      </c>
      <c r="E1147" s="166" t="s">
        <v>1176</v>
      </c>
      <c r="F1147" s="140">
        <f t="shared" si="130"/>
        <v>4</v>
      </c>
      <c r="G1147" s="140" t="str">
        <f t="shared" si="125"/>
        <v>2.1.4</v>
      </c>
      <c r="H1147" s="166" t="s">
        <v>1238</v>
      </c>
      <c r="I1147" s="166" t="s">
        <v>1243</v>
      </c>
      <c r="J1147" s="166" t="s">
        <v>1181</v>
      </c>
      <c r="K1147" s="166" t="s">
        <v>841</v>
      </c>
      <c r="L1147" s="177">
        <v>0</v>
      </c>
      <c r="M1147" s="166">
        <v>0</v>
      </c>
      <c r="N1147" s="166">
        <v>0</v>
      </c>
      <c r="O1147" s="164">
        <f t="shared" si="126"/>
        <v>0</v>
      </c>
      <c r="P1147" s="166">
        <v>0</v>
      </c>
      <c r="Q1147" s="166">
        <v>0</v>
      </c>
      <c r="R1147" s="164">
        <f>$L1147*'Pivot Objective'!$C$9*P1147*Q1147</f>
        <v>0</v>
      </c>
      <c r="S1147" s="166">
        <v>0</v>
      </c>
      <c r="T1147" s="166">
        <v>0</v>
      </c>
      <c r="U1147" s="164">
        <f>($L1147*'Pivot Objective'!$C$9^2)*S1147*T1147</f>
        <v>0</v>
      </c>
      <c r="V1147" s="166">
        <v>0</v>
      </c>
      <c r="W1147" s="166">
        <v>0</v>
      </c>
      <c r="X1147" s="164">
        <f>($L1147*'Pivot Objective'!$C$9^3)*V1147*W1147</f>
        <v>0</v>
      </c>
      <c r="Y1147" s="166">
        <v>1</v>
      </c>
      <c r="Z1147" s="166">
        <v>40</v>
      </c>
      <c r="AA1147" s="164">
        <f>($L1147*'Pivot Objective'!$C$9^4)*Y1147*Z1147</f>
        <v>0</v>
      </c>
      <c r="AB1147" s="140"/>
      <c r="AC1147" s="140"/>
      <c r="AD1147" s="164">
        <f>($L1147*'Pivot Objective'!$C$9^5)*AB1147*AC1147</f>
        <v>0</v>
      </c>
      <c r="AE1147" s="140"/>
      <c r="AF1147" s="140"/>
      <c r="AG1147" s="164">
        <f>($L1147*'Pivot Objective'!$C$9^6)*AE1147*AF1147</f>
        <v>0</v>
      </c>
      <c r="AH1147" s="140"/>
      <c r="AI1147" s="140"/>
      <c r="AJ1147" s="164">
        <f>($L1147*'Pivot Objective'!$C$9^7)*AH1147*AI1147</f>
        <v>0</v>
      </c>
      <c r="AK1147" s="185">
        <f t="shared" si="127"/>
        <v>0</v>
      </c>
      <c r="AL1147" s="186">
        <f t="shared" si="128"/>
        <v>0</v>
      </c>
    </row>
    <row r="1148" spans="1:38" customFormat="1" ht="43.2" x14ac:dyDescent="0.3">
      <c r="A1148" s="140" t="s">
        <v>1480</v>
      </c>
      <c r="B1148" s="140">
        <v>2</v>
      </c>
      <c r="C1148" s="166" t="s">
        <v>983</v>
      </c>
      <c r="D1148" s="140" t="str">
        <f t="shared" si="124"/>
        <v>1</v>
      </c>
      <c r="E1148" s="166" t="s">
        <v>1176</v>
      </c>
      <c r="F1148" s="140">
        <f t="shared" si="130"/>
        <v>4</v>
      </c>
      <c r="G1148" s="140" t="str">
        <f t="shared" si="125"/>
        <v>2.1.4</v>
      </c>
      <c r="H1148" s="166" t="s">
        <v>1238</v>
      </c>
      <c r="I1148" s="166" t="s">
        <v>1243</v>
      </c>
      <c r="J1148" s="166" t="s">
        <v>1015</v>
      </c>
      <c r="K1148" s="166" t="s">
        <v>709</v>
      </c>
      <c r="L1148" s="177">
        <v>35000</v>
      </c>
      <c r="M1148" s="166">
        <v>30</v>
      </c>
      <c r="N1148" s="166">
        <v>2</v>
      </c>
      <c r="O1148" s="164">
        <f t="shared" si="126"/>
        <v>2100000</v>
      </c>
      <c r="P1148" s="166">
        <v>0</v>
      </c>
      <c r="Q1148" s="166">
        <v>0</v>
      </c>
      <c r="R1148" s="164">
        <f>$L1148*'Pivot Objective'!$C$9*P1148*Q1148</f>
        <v>0</v>
      </c>
      <c r="S1148" s="166">
        <v>0</v>
      </c>
      <c r="T1148" s="166">
        <v>0</v>
      </c>
      <c r="U1148" s="164">
        <f>($L1148*'Pivot Objective'!$C$9^2)*S1148*T1148</f>
        <v>0</v>
      </c>
      <c r="V1148" s="166">
        <v>0</v>
      </c>
      <c r="W1148" s="166">
        <v>0</v>
      </c>
      <c r="X1148" s="164">
        <f>($L1148*'Pivot Objective'!$C$9^3)*V1148*W1148</f>
        <v>0</v>
      </c>
      <c r="Y1148" s="166">
        <v>5</v>
      </c>
      <c r="Z1148" s="166">
        <v>5</v>
      </c>
      <c r="AA1148" s="164">
        <f>($L1148*'Pivot Objective'!$C$9^4)*Y1148*Z1148</f>
        <v>1493045.5260768225</v>
      </c>
      <c r="AB1148" s="140"/>
      <c r="AC1148" s="140"/>
      <c r="AD1148" s="164">
        <f>($L1148*'Pivot Objective'!$C$9^5)*AB1148*AC1148</f>
        <v>0</v>
      </c>
      <c r="AE1148" s="140"/>
      <c r="AF1148" s="140"/>
      <c r="AG1148" s="164">
        <f>($L1148*'Pivot Objective'!$C$9^6)*AE1148*AF1148</f>
        <v>0</v>
      </c>
      <c r="AH1148" s="140"/>
      <c r="AI1148" s="140"/>
      <c r="AJ1148" s="164">
        <f>($L1148*'Pivot Objective'!$C$9^7)*AH1148*AI1148</f>
        <v>0</v>
      </c>
      <c r="AK1148" s="185">
        <f t="shared" si="127"/>
        <v>3593045.5260768225</v>
      </c>
      <c r="AL1148" s="186">
        <f t="shared" si="128"/>
        <v>3488.3937146376916</v>
      </c>
    </row>
    <row r="1149" spans="1:38" customFormat="1" ht="43.2" x14ac:dyDescent="0.3">
      <c r="A1149" s="140" t="s">
        <v>1480</v>
      </c>
      <c r="B1149" s="140">
        <v>2</v>
      </c>
      <c r="C1149" s="166" t="s">
        <v>983</v>
      </c>
      <c r="D1149" s="140" t="str">
        <f t="shared" si="124"/>
        <v>1</v>
      </c>
      <c r="E1149" s="166" t="s">
        <v>1176</v>
      </c>
      <c r="F1149" s="140">
        <f t="shared" si="130"/>
        <v>4</v>
      </c>
      <c r="G1149" s="140" t="str">
        <f t="shared" si="125"/>
        <v>2.1.4</v>
      </c>
      <c r="H1149" s="166" t="s">
        <v>1238</v>
      </c>
      <c r="I1149" s="166" t="s">
        <v>1243</v>
      </c>
      <c r="J1149" s="166" t="s">
        <v>1015</v>
      </c>
      <c r="K1149" s="166" t="s">
        <v>716</v>
      </c>
      <c r="L1149" s="177">
        <v>39000</v>
      </c>
      <c r="M1149" s="166">
        <v>30</v>
      </c>
      <c r="N1149" s="166">
        <v>3</v>
      </c>
      <c r="O1149" s="164">
        <f t="shared" si="126"/>
        <v>3510000</v>
      </c>
      <c r="P1149" s="166"/>
      <c r="Q1149" s="166"/>
      <c r="R1149" s="164">
        <f>$L1149*'Pivot Objective'!$C$9*P1149*Q1149</f>
        <v>0</v>
      </c>
      <c r="S1149" s="166"/>
      <c r="T1149" s="166"/>
      <c r="U1149" s="164">
        <f>($L1149*'Pivot Objective'!$C$9^2)*S1149*T1149</f>
        <v>0</v>
      </c>
      <c r="V1149" s="166"/>
      <c r="W1149" s="166"/>
      <c r="X1149" s="164">
        <f>($L1149*'Pivot Objective'!$C$9^3)*V1149*W1149</f>
        <v>0</v>
      </c>
      <c r="Y1149" s="166"/>
      <c r="Z1149" s="166"/>
      <c r="AA1149" s="164">
        <f>($L1149*'Pivot Objective'!$C$9^4)*Y1149*Z1149</f>
        <v>0</v>
      </c>
      <c r="AB1149" s="140"/>
      <c r="AC1149" s="140"/>
      <c r="AD1149" s="164">
        <f>($L1149*'Pivot Objective'!$C$9^5)*AB1149*AC1149</f>
        <v>0</v>
      </c>
      <c r="AE1149" s="140"/>
      <c r="AF1149" s="140"/>
      <c r="AG1149" s="164">
        <f>($L1149*'Pivot Objective'!$C$9^6)*AE1149*AF1149</f>
        <v>0</v>
      </c>
      <c r="AH1149" s="140"/>
      <c r="AI1149" s="140"/>
      <c r="AJ1149" s="164">
        <f>($L1149*'Pivot Objective'!$C$9^7)*AH1149*AI1149</f>
        <v>0</v>
      </c>
      <c r="AK1149" s="185">
        <f t="shared" si="127"/>
        <v>3510000</v>
      </c>
      <c r="AL1149" s="186">
        <f t="shared" si="128"/>
        <v>3407.7669902912621</v>
      </c>
    </row>
    <row r="1150" spans="1:38" customFormat="1" ht="43.2" x14ac:dyDescent="0.3">
      <c r="A1150" s="140" t="s">
        <v>1480</v>
      </c>
      <c r="B1150" s="140">
        <v>2</v>
      </c>
      <c r="C1150" s="166" t="s">
        <v>983</v>
      </c>
      <c r="D1150" s="140" t="str">
        <f t="shared" si="124"/>
        <v>1</v>
      </c>
      <c r="E1150" s="166" t="s">
        <v>1176</v>
      </c>
      <c r="F1150" s="140">
        <f t="shared" si="130"/>
        <v>4</v>
      </c>
      <c r="G1150" s="140" t="str">
        <f t="shared" si="125"/>
        <v>2.1.4</v>
      </c>
      <c r="H1150" s="166" t="s">
        <v>1238</v>
      </c>
      <c r="I1150" s="166" t="s">
        <v>1243</v>
      </c>
      <c r="J1150" s="166" t="s">
        <v>1015</v>
      </c>
      <c r="K1150" s="166" t="s">
        <v>712</v>
      </c>
      <c r="L1150" s="177">
        <f>1480/7</f>
        <v>211.42857142857142</v>
      </c>
      <c r="M1150" s="166">
        <f>25*2*10</f>
        <v>500</v>
      </c>
      <c r="N1150" s="166">
        <v>3</v>
      </c>
      <c r="O1150" s="164">
        <f t="shared" si="126"/>
        <v>317142.85714285716</v>
      </c>
      <c r="P1150" s="166"/>
      <c r="Q1150" s="166"/>
      <c r="R1150" s="164">
        <f>$L1150*'Pivot Objective'!$C$9*P1150*Q1150</f>
        <v>0</v>
      </c>
      <c r="S1150" s="166"/>
      <c r="T1150" s="166"/>
      <c r="U1150" s="164">
        <f>($L1150*'Pivot Objective'!$C$9^2)*S1150*T1150</f>
        <v>0</v>
      </c>
      <c r="V1150" s="166"/>
      <c r="W1150" s="166"/>
      <c r="X1150" s="164">
        <f>($L1150*'Pivot Objective'!$C$9^3)*V1150*W1150</f>
        <v>0</v>
      </c>
      <c r="Y1150" s="166"/>
      <c r="Z1150" s="166"/>
      <c r="AA1150" s="164">
        <f>($L1150*'Pivot Objective'!$C$9^4)*Y1150*Z1150</f>
        <v>0</v>
      </c>
      <c r="AB1150" s="140"/>
      <c r="AC1150" s="140"/>
      <c r="AD1150" s="164">
        <f>($L1150*'Pivot Objective'!$C$9^5)*AB1150*AC1150</f>
        <v>0</v>
      </c>
      <c r="AE1150" s="140"/>
      <c r="AF1150" s="140"/>
      <c r="AG1150" s="164">
        <f>($L1150*'Pivot Objective'!$C$9^6)*AE1150*AF1150</f>
        <v>0</v>
      </c>
      <c r="AH1150" s="140"/>
      <c r="AI1150" s="140"/>
      <c r="AJ1150" s="164">
        <f>($L1150*'Pivot Objective'!$C$9^7)*AH1150*AI1150</f>
        <v>0</v>
      </c>
      <c r="AK1150" s="185">
        <f t="shared" si="127"/>
        <v>317142.85714285716</v>
      </c>
      <c r="AL1150" s="186">
        <f t="shared" si="128"/>
        <v>307.90568654646324</v>
      </c>
    </row>
    <row r="1151" spans="1:38" customFormat="1" ht="43.2" x14ac:dyDescent="0.3">
      <c r="A1151" s="140" t="s">
        <v>1480</v>
      </c>
      <c r="B1151" s="140">
        <v>2</v>
      </c>
      <c r="C1151" s="166" t="s">
        <v>983</v>
      </c>
      <c r="D1151" s="140" t="str">
        <f t="shared" si="124"/>
        <v>1</v>
      </c>
      <c r="E1151" s="166" t="s">
        <v>1176</v>
      </c>
      <c r="F1151" s="140">
        <f t="shared" si="130"/>
        <v>4</v>
      </c>
      <c r="G1151" s="140" t="str">
        <f t="shared" si="125"/>
        <v>2.1.4</v>
      </c>
      <c r="H1151" s="166" t="s">
        <v>1238</v>
      </c>
      <c r="I1151" s="166" t="s">
        <v>1243</v>
      </c>
      <c r="J1151" s="166" t="s">
        <v>1015</v>
      </c>
      <c r="K1151" s="166" t="s">
        <v>1350</v>
      </c>
      <c r="L1151" s="177">
        <f>1480/7</f>
        <v>211.42857142857142</v>
      </c>
      <c r="M1151" s="166">
        <f>2*135*10</f>
        <v>2700</v>
      </c>
      <c r="N1151" s="166"/>
      <c r="O1151" s="164">
        <f t="shared" si="126"/>
        <v>0</v>
      </c>
      <c r="P1151" s="166"/>
      <c r="Q1151" s="166"/>
      <c r="R1151" s="164">
        <f>$L1151*'Pivot Objective'!$C$9*P1151*Q1151</f>
        <v>0</v>
      </c>
      <c r="S1151" s="166"/>
      <c r="T1151" s="166"/>
      <c r="U1151" s="164">
        <f>($L1151*'Pivot Objective'!$C$9^2)*S1151*T1151</f>
        <v>0</v>
      </c>
      <c r="V1151" s="166"/>
      <c r="W1151" s="166"/>
      <c r="X1151" s="164">
        <f>($L1151*'Pivot Objective'!$C$9^3)*V1151*W1151</f>
        <v>0</v>
      </c>
      <c r="Y1151" s="166"/>
      <c r="Z1151" s="166"/>
      <c r="AA1151" s="164">
        <f>($L1151*'Pivot Objective'!$C$9^4)*Y1151*Z1151</f>
        <v>0</v>
      </c>
      <c r="AB1151" s="140"/>
      <c r="AC1151" s="140"/>
      <c r="AD1151" s="164">
        <f>($L1151*'Pivot Objective'!$C$9^5)*AB1151*AC1151</f>
        <v>0</v>
      </c>
      <c r="AE1151" s="140"/>
      <c r="AF1151" s="140"/>
      <c r="AG1151" s="164">
        <f>($L1151*'Pivot Objective'!$C$9^6)*AE1151*AF1151</f>
        <v>0</v>
      </c>
      <c r="AH1151" s="140"/>
      <c r="AI1151" s="140"/>
      <c r="AJ1151" s="164">
        <f>($L1151*'Pivot Objective'!$C$9^7)*AH1151*AI1151</f>
        <v>0</v>
      </c>
      <c r="AK1151" s="185">
        <f t="shared" si="127"/>
        <v>0</v>
      </c>
      <c r="AL1151" s="186">
        <f t="shared" si="128"/>
        <v>0</v>
      </c>
    </row>
    <row r="1152" spans="1:38" customFormat="1" ht="43.2" x14ac:dyDescent="0.3">
      <c r="A1152" s="140" t="s">
        <v>1480</v>
      </c>
      <c r="B1152" s="140">
        <v>2</v>
      </c>
      <c r="C1152" s="166" t="s">
        <v>983</v>
      </c>
      <c r="D1152" s="140" t="str">
        <f t="shared" ref="D1152:D1215" si="131">RIGHT(A1152,1)</f>
        <v>1</v>
      </c>
      <c r="E1152" s="166" t="s">
        <v>1176</v>
      </c>
      <c r="F1152" s="140">
        <f t="shared" si="130"/>
        <v>4</v>
      </c>
      <c r="G1152" s="140" t="str">
        <f t="shared" si="125"/>
        <v>2.1.4</v>
      </c>
      <c r="H1152" s="166" t="s">
        <v>1238</v>
      </c>
      <c r="I1152" s="166" t="s">
        <v>1243</v>
      </c>
      <c r="J1152" s="166" t="s">
        <v>1159</v>
      </c>
      <c r="K1152" s="166" t="s">
        <v>713</v>
      </c>
      <c r="L1152" s="177">
        <v>45000</v>
      </c>
      <c r="M1152" s="166">
        <v>25</v>
      </c>
      <c r="N1152" s="166">
        <v>2</v>
      </c>
      <c r="O1152" s="164">
        <f t="shared" si="126"/>
        <v>2250000</v>
      </c>
      <c r="P1152" s="166">
        <v>0</v>
      </c>
      <c r="Q1152" s="166">
        <v>0</v>
      </c>
      <c r="R1152" s="164">
        <f>$L1152*'Pivot Objective'!$C$9*P1152*Q1152</f>
        <v>0</v>
      </c>
      <c r="S1152" s="166">
        <v>0</v>
      </c>
      <c r="T1152" s="166">
        <v>0</v>
      </c>
      <c r="U1152" s="164">
        <f>($L1152*'Pivot Objective'!$C$9^2)*S1152*T1152</f>
        <v>0</v>
      </c>
      <c r="V1152" s="166">
        <v>0</v>
      </c>
      <c r="W1152" s="166">
        <v>0</v>
      </c>
      <c r="X1152" s="164">
        <f>($L1152*'Pivot Objective'!$C$9^3)*V1152*W1152</f>
        <v>0</v>
      </c>
      <c r="Y1152" s="166">
        <v>25</v>
      </c>
      <c r="Z1152" s="166">
        <v>3</v>
      </c>
      <c r="AA1152" s="164">
        <f>($L1152*'Pivot Objective'!$C$9^4)*Y1152*Z1152</f>
        <v>5758889.8862963151</v>
      </c>
      <c r="AB1152" s="140"/>
      <c r="AC1152" s="140"/>
      <c r="AD1152" s="164">
        <f>($L1152*'Pivot Objective'!$C$9^5)*AB1152*AC1152</f>
        <v>0</v>
      </c>
      <c r="AE1152" s="140"/>
      <c r="AF1152" s="140"/>
      <c r="AG1152" s="164">
        <f>($L1152*'Pivot Objective'!$C$9^6)*AE1152*AF1152</f>
        <v>0</v>
      </c>
      <c r="AH1152" s="140"/>
      <c r="AI1152" s="140"/>
      <c r="AJ1152" s="164">
        <f>($L1152*'Pivot Objective'!$C$9^7)*AH1152*AI1152</f>
        <v>0</v>
      </c>
      <c r="AK1152" s="185">
        <f t="shared" si="127"/>
        <v>8008889.8862963151</v>
      </c>
      <c r="AL1152" s="186">
        <f t="shared" si="128"/>
        <v>7775.621248831374</v>
      </c>
    </row>
    <row r="1153" spans="1:38" customFormat="1" ht="43.2" x14ac:dyDescent="0.3">
      <c r="A1153" s="140" t="s">
        <v>1480</v>
      </c>
      <c r="B1153" s="140">
        <v>2</v>
      </c>
      <c r="C1153" s="166" t="s">
        <v>983</v>
      </c>
      <c r="D1153" s="140" t="str">
        <f t="shared" si="131"/>
        <v>1</v>
      </c>
      <c r="E1153" s="166" t="s">
        <v>1176</v>
      </c>
      <c r="F1153" s="140">
        <f t="shared" si="130"/>
        <v>4</v>
      </c>
      <c r="G1153" s="140" t="str">
        <f t="shared" ref="G1153:G1216" si="132">B1153&amp;"."&amp;D1153&amp;"."&amp;F1153</f>
        <v>2.1.4</v>
      </c>
      <c r="H1153" s="166" t="s">
        <v>1238</v>
      </c>
      <c r="I1153" s="166" t="s">
        <v>1243</v>
      </c>
      <c r="J1153" s="166" t="s">
        <v>1159</v>
      </c>
      <c r="K1153" s="166" t="s">
        <v>1350</v>
      </c>
      <c r="L1153" s="177">
        <f>1480/7</f>
        <v>211.42857142857142</v>
      </c>
      <c r="M1153" s="166">
        <f>2*135*9</f>
        <v>2430</v>
      </c>
      <c r="N1153" s="166">
        <v>1</v>
      </c>
      <c r="O1153" s="164">
        <f t="shared" si="126"/>
        <v>513771.42857142852</v>
      </c>
      <c r="P1153" s="166"/>
      <c r="Q1153" s="166"/>
      <c r="R1153" s="164">
        <f>$L1153*'Pivot Objective'!$C$9*P1153*Q1153</f>
        <v>0</v>
      </c>
      <c r="S1153" s="166"/>
      <c r="T1153" s="166"/>
      <c r="U1153" s="164">
        <f>($L1153*'Pivot Objective'!$C$9^2)*S1153*T1153</f>
        <v>0</v>
      </c>
      <c r="V1153" s="166"/>
      <c r="W1153" s="166"/>
      <c r="X1153" s="164">
        <f>($L1153*'Pivot Objective'!$C$9^3)*V1153*W1153</f>
        <v>0</v>
      </c>
      <c r="Y1153" s="166"/>
      <c r="Z1153" s="166"/>
      <c r="AA1153" s="164">
        <f>($L1153*'Pivot Objective'!$C$9^4)*Y1153*Z1153</f>
        <v>0</v>
      </c>
      <c r="AB1153" s="140"/>
      <c r="AC1153" s="140"/>
      <c r="AD1153" s="164">
        <f>($L1153*'Pivot Objective'!$C$9^5)*AB1153*AC1153</f>
        <v>0</v>
      </c>
      <c r="AE1153" s="140"/>
      <c r="AF1153" s="140"/>
      <c r="AG1153" s="164">
        <f>($L1153*'Pivot Objective'!$C$9^6)*AE1153*AF1153</f>
        <v>0</v>
      </c>
      <c r="AH1153" s="140"/>
      <c r="AI1153" s="140"/>
      <c r="AJ1153" s="164">
        <f>($L1153*'Pivot Objective'!$C$9^7)*AH1153*AI1153</f>
        <v>0</v>
      </c>
      <c r="AK1153" s="185">
        <f t="shared" si="127"/>
        <v>513771.42857142852</v>
      </c>
      <c r="AL1153" s="186">
        <f t="shared" si="128"/>
        <v>498.80721220527039</v>
      </c>
    </row>
    <row r="1154" spans="1:38" customFormat="1" ht="43.2" x14ac:dyDescent="0.3">
      <c r="A1154" s="140" t="s">
        <v>1480</v>
      </c>
      <c r="B1154" s="140">
        <v>2</v>
      </c>
      <c r="C1154" s="166" t="s">
        <v>983</v>
      </c>
      <c r="D1154" s="140" t="str">
        <f t="shared" si="131"/>
        <v>1</v>
      </c>
      <c r="E1154" s="166" t="s">
        <v>1176</v>
      </c>
      <c r="F1154" s="140">
        <f t="shared" si="130"/>
        <v>4</v>
      </c>
      <c r="G1154" s="140" t="str">
        <f t="shared" si="132"/>
        <v>2.1.4</v>
      </c>
      <c r="H1154" s="166" t="s">
        <v>1238</v>
      </c>
      <c r="I1154" s="166" t="s">
        <v>1243</v>
      </c>
      <c r="J1154" s="166" t="s">
        <v>1159</v>
      </c>
      <c r="K1154" s="166" t="s">
        <v>712</v>
      </c>
      <c r="L1154" s="177">
        <f>1480/7</f>
        <v>211.42857142857142</v>
      </c>
      <c r="M1154" s="166">
        <f>25*2*9</f>
        <v>450</v>
      </c>
      <c r="N1154" s="166">
        <v>1</v>
      </c>
      <c r="O1154" s="164">
        <f t="shared" si="126"/>
        <v>95142.85714285713</v>
      </c>
      <c r="P1154" s="166">
        <v>0</v>
      </c>
      <c r="Q1154" s="166">
        <v>0</v>
      </c>
      <c r="R1154" s="164">
        <f>$L1154*'Pivot Objective'!$C$9*P1154*Q1154</f>
        <v>0</v>
      </c>
      <c r="S1154" s="166">
        <v>0</v>
      </c>
      <c r="T1154" s="166">
        <v>0</v>
      </c>
      <c r="U1154" s="164">
        <f>($L1154*'Pivot Objective'!$C$9^2)*S1154*T1154</f>
        <v>0</v>
      </c>
      <c r="V1154" s="166">
        <v>0</v>
      </c>
      <c r="W1154" s="166">
        <v>0</v>
      </c>
      <c r="X1154" s="164">
        <f>($L1154*'Pivot Objective'!$C$9^3)*V1154*W1154</f>
        <v>0</v>
      </c>
      <c r="Y1154" s="166">
        <v>25</v>
      </c>
      <c r="Z1154" s="166">
        <v>1</v>
      </c>
      <c r="AA1154" s="164">
        <f>($L1154*'Pivot Objective'!$C$9^4)*Y1154*Z1154</f>
        <v>9019.2137901783553</v>
      </c>
      <c r="AB1154" s="140"/>
      <c r="AC1154" s="140"/>
      <c r="AD1154" s="164">
        <f>($L1154*'Pivot Objective'!$C$9^5)*AB1154*AC1154</f>
        <v>0</v>
      </c>
      <c r="AE1154" s="140"/>
      <c r="AF1154" s="140"/>
      <c r="AG1154" s="164">
        <f>($L1154*'Pivot Objective'!$C$9^6)*AE1154*AF1154</f>
        <v>0</v>
      </c>
      <c r="AH1154" s="140"/>
      <c r="AI1154" s="140"/>
      <c r="AJ1154" s="164">
        <f>($L1154*'Pivot Objective'!$C$9^7)*AH1154*AI1154</f>
        <v>0</v>
      </c>
      <c r="AK1154" s="185">
        <f t="shared" si="127"/>
        <v>104162.07093303549</v>
      </c>
      <c r="AL1154" s="186">
        <f t="shared" si="128"/>
        <v>101.12822420683057</v>
      </c>
    </row>
    <row r="1155" spans="1:38" customFormat="1" ht="43.2" x14ac:dyDescent="0.3">
      <c r="A1155" s="140" t="s">
        <v>1480</v>
      </c>
      <c r="B1155" s="140">
        <v>2</v>
      </c>
      <c r="C1155" s="166" t="s">
        <v>983</v>
      </c>
      <c r="D1155" s="140" t="str">
        <f t="shared" si="131"/>
        <v>1</v>
      </c>
      <c r="E1155" s="166" t="s">
        <v>1176</v>
      </c>
      <c r="F1155" s="140">
        <f t="shared" si="130"/>
        <v>4</v>
      </c>
      <c r="G1155" s="140" t="str">
        <f t="shared" si="132"/>
        <v>2.1.4</v>
      </c>
      <c r="H1155" s="166" t="s">
        <v>1238</v>
      </c>
      <c r="I1155" s="166" t="s">
        <v>1243</v>
      </c>
      <c r="J1155" s="166" t="s">
        <v>1017</v>
      </c>
      <c r="K1155" s="166" t="s">
        <v>709</v>
      </c>
      <c r="L1155" s="177">
        <v>35000</v>
      </c>
      <c r="M1155" s="166">
        <v>25</v>
      </c>
      <c r="N1155" s="166">
        <v>1</v>
      </c>
      <c r="O1155" s="164">
        <f t="shared" ref="O1155:O1218" si="133">$L1155*M1155*N1155</f>
        <v>875000</v>
      </c>
      <c r="P1155" s="166">
        <v>0</v>
      </c>
      <c r="Q1155" s="166">
        <v>0</v>
      </c>
      <c r="R1155" s="164">
        <f>$L1155*'Pivot Objective'!$C$9*P1155*Q1155</f>
        <v>0</v>
      </c>
      <c r="S1155" s="166">
        <v>0</v>
      </c>
      <c r="T1155" s="166">
        <v>0</v>
      </c>
      <c r="U1155" s="164">
        <f>($L1155*'Pivot Objective'!$C$9^2)*S1155*T1155</f>
        <v>0</v>
      </c>
      <c r="V1155" s="166">
        <v>0</v>
      </c>
      <c r="W1155" s="166">
        <v>0</v>
      </c>
      <c r="X1155" s="164">
        <f>($L1155*'Pivot Objective'!$C$9^3)*V1155*W1155</f>
        <v>0</v>
      </c>
      <c r="Y1155" s="166">
        <v>4000</v>
      </c>
      <c r="Z1155" s="166">
        <v>1</v>
      </c>
      <c r="AA1155" s="164">
        <f>($L1155*'Pivot Objective'!$C$9^4)*Y1155*Z1155</f>
        <v>238887284.17229161</v>
      </c>
      <c r="AB1155" s="140"/>
      <c r="AC1155" s="140"/>
      <c r="AD1155" s="164">
        <f>($L1155*'Pivot Objective'!$C$9^5)*AB1155*AC1155</f>
        <v>0</v>
      </c>
      <c r="AE1155" s="140"/>
      <c r="AF1155" s="140"/>
      <c r="AG1155" s="164">
        <f>($L1155*'Pivot Objective'!$C$9^6)*AE1155*AF1155</f>
        <v>0</v>
      </c>
      <c r="AH1155" s="140"/>
      <c r="AI1155" s="140"/>
      <c r="AJ1155" s="164">
        <f>($L1155*'Pivot Objective'!$C$9^7)*AH1155*AI1155</f>
        <v>0</v>
      </c>
      <c r="AK1155" s="185">
        <f t="shared" ref="AK1155:AK1218" si="134">O1155+R1155+U1155+X1155+AA1155+AD1155+AG1155+AJ1155</f>
        <v>239762284.17229161</v>
      </c>
      <c r="AL1155" s="186">
        <f t="shared" ref="AL1155:AL1218" si="135">AK1155/$AP$2</f>
        <v>232778.91667212779</v>
      </c>
    </row>
    <row r="1156" spans="1:38" customFormat="1" ht="43.2" x14ac:dyDescent="0.3">
      <c r="A1156" s="140" t="s">
        <v>1480</v>
      </c>
      <c r="B1156" s="140">
        <v>2</v>
      </c>
      <c r="C1156" s="166" t="s">
        <v>983</v>
      </c>
      <c r="D1156" s="140" t="str">
        <f t="shared" si="131"/>
        <v>1</v>
      </c>
      <c r="E1156" s="166" t="s">
        <v>1176</v>
      </c>
      <c r="F1156" s="140">
        <f t="shared" si="130"/>
        <v>4</v>
      </c>
      <c r="G1156" s="140" t="str">
        <f t="shared" si="132"/>
        <v>2.1.4</v>
      </c>
      <c r="H1156" s="166" t="s">
        <v>1238</v>
      </c>
      <c r="I1156" s="166" t="s">
        <v>1243</v>
      </c>
      <c r="J1156" s="166" t="s">
        <v>1182</v>
      </c>
      <c r="K1156" s="166" t="s">
        <v>713</v>
      </c>
      <c r="L1156" s="177">
        <v>45000</v>
      </c>
      <c r="M1156" s="166">
        <v>25</v>
      </c>
      <c r="N1156" s="166">
        <v>6</v>
      </c>
      <c r="O1156" s="164">
        <f t="shared" si="133"/>
        <v>6750000</v>
      </c>
      <c r="P1156" s="166">
        <v>0</v>
      </c>
      <c r="Q1156" s="166">
        <v>0</v>
      </c>
      <c r="R1156" s="164">
        <f>$L1156*'Pivot Objective'!$C$9*P1156*Q1156</f>
        <v>0</v>
      </c>
      <c r="S1156" s="166">
        <v>0</v>
      </c>
      <c r="T1156" s="166">
        <v>0</v>
      </c>
      <c r="U1156" s="164">
        <f>($L1156*'Pivot Objective'!$C$9^2)*S1156*T1156</f>
        <v>0</v>
      </c>
      <c r="V1156" s="166">
        <v>0</v>
      </c>
      <c r="W1156" s="166">
        <v>0</v>
      </c>
      <c r="X1156" s="164">
        <f>($L1156*'Pivot Objective'!$C$9^3)*V1156*W1156</f>
        <v>0</v>
      </c>
      <c r="Y1156" s="166">
        <v>30</v>
      </c>
      <c r="Z1156" s="166">
        <v>1</v>
      </c>
      <c r="AA1156" s="164">
        <f>($L1156*'Pivot Objective'!$C$9^4)*Y1156*Z1156</f>
        <v>2303555.9545185259</v>
      </c>
      <c r="AB1156" s="140"/>
      <c r="AC1156" s="140"/>
      <c r="AD1156" s="164">
        <f>($L1156*'Pivot Objective'!$C$9^5)*AB1156*AC1156</f>
        <v>0</v>
      </c>
      <c r="AE1156" s="140"/>
      <c r="AF1156" s="140"/>
      <c r="AG1156" s="164">
        <f>($L1156*'Pivot Objective'!$C$9^6)*AE1156*AF1156</f>
        <v>0</v>
      </c>
      <c r="AH1156" s="140"/>
      <c r="AI1156" s="140"/>
      <c r="AJ1156" s="164">
        <f>($L1156*'Pivot Objective'!$C$9^7)*AH1156*AI1156</f>
        <v>0</v>
      </c>
      <c r="AK1156" s="185">
        <f t="shared" si="134"/>
        <v>9053555.9545185268</v>
      </c>
      <c r="AL1156" s="186">
        <f t="shared" si="135"/>
        <v>8789.8601500179866</v>
      </c>
    </row>
    <row r="1157" spans="1:38" customFormat="1" ht="43.2" x14ac:dyDescent="0.3">
      <c r="A1157" s="140" t="s">
        <v>1480</v>
      </c>
      <c r="B1157" s="140">
        <v>2</v>
      </c>
      <c r="C1157" s="166" t="s">
        <v>983</v>
      </c>
      <c r="D1157" s="140" t="str">
        <f t="shared" si="131"/>
        <v>1</v>
      </c>
      <c r="E1157" s="166" t="s">
        <v>1176</v>
      </c>
      <c r="F1157" s="140">
        <f t="shared" si="130"/>
        <v>4</v>
      </c>
      <c r="G1157" s="140" t="str">
        <f t="shared" si="132"/>
        <v>2.1.4</v>
      </c>
      <c r="H1157" s="166" t="s">
        <v>1238</v>
      </c>
      <c r="I1157" s="166" t="s">
        <v>1243</v>
      </c>
      <c r="J1157" s="166" t="s">
        <v>1182</v>
      </c>
      <c r="K1157" s="166" t="s">
        <v>712</v>
      </c>
      <c r="L1157" s="177">
        <f>1480/7</f>
        <v>211.42857142857142</v>
      </c>
      <c r="M1157" s="166">
        <f>25*2*9</f>
        <v>450</v>
      </c>
      <c r="N1157" s="166">
        <v>5</v>
      </c>
      <c r="O1157" s="164">
        <f t="shared" si="133"/>
        <v>475714.28571428568</v>
      </c>
      <c r="P1157" s="166">
        <v>0</v>
      </c>
      <c r="Q1157" s="166">
        <v>0</v>
      </c>
      <c r="R1157" s="164">
        <f>$L1157*'Pivot Objective'!$C$9*P1157*Q1157</f>
        <v>0</v>
      </c>
      <c r="S1157" s="166">
        <v>0</v>
      </c>
      <c r="T1157" s="166">
        <v>0</v>
      </c>
      <c r="U1157" s="164">
        <f>($L1157*'Pivot Objective'!$C$9^2)*S1157*T1157</f>
        <v>0</v>
      </c>
      <c r="V1157" s="166">
        <v>0</v>
      </c>
      <c r="W1157" s="166">
        <v>0</v>
      </c>
      <c r="X1157" s="164">
        <f>($L1157*'Pivot Objective'!$C$9^3)*V1157*W1157</f>
        <v>0</v>
      </c>
      <c r="Y1157" s="166">
        <v>25</v>
      </c>
      <c r="Z1157" s="166">
        <v>10</v>
      </c>
      <c r="AA1157" s="164">
        <f>($L1157*'Pivot Objective'!$C$9^4)*Y1157*Z1157</f>
        <v>90192.137901783557</v>
      </c>
      <c r="AB1157" s="140"/>
      <c r="AC1157" s="140"/>
      <c r="AD1157" s="164">
        <f>($L1157*'Pivot Objective'!$C$9^5)*AB1157*AC1157</f>
        <v>0</v>
      </c>
      <c r="AE1157" s="140"/>
      <c r="AF1157" s="140"/>
      <c r="AG1157" s="164">
        <f>($L1157*'Pivot Objective'!$C$9^6)*AE1157*AF1157</f>
        <v>0</v>
      </c>
      <c r="AH1157" s="140"/>
      <c r="AI1157" s="140"/>
      <c r="AJ1157" s="164">
        <f>($L1157*'Pivot Objective'!$C$9^7)*AH1157*AI1157</f>
        <v>0</v>
      </c>
      <c r="AK1157" s="185">
        <f t="shared" si="134"/>
        <v>565906.42361606925</v>
      </c>
      <c r="AL1157" s="186">
        <f t="shared" si="135"/>
        <v>549.42371224861097</v>
      </c>
    </row>
    <row r="1158" spans="1:38" customFormat="1" ht="43.2" x14ac:dyDescent="0.3">
      <c r="A1158" s="140" t="s">
        <v>1480</v>
      </c>
      <c r="B1158" s="140">
        <v>2</v>
      </c>
      <c r="C1158" s="166" t="s">
        <v>983</v>
      </c>
      <c r="D1158" s="140" t="str">
        <f t="shared" si="131"/>
        <v>1</v>
      </c>
      <c r="E1158" s="166" t="s">
        <v>1176</v>
      </c>
      <c r="F1158" s="140">
        <f t="shared" si="130"/>
        <v>4</v>
      </c>
      <c r="G1158" s="140" t="str">
        <f t="shared" si="132"/>
        <v>2.1.4</v>
      </c>
      <c r="H1158" s="166" t="s">
        <v>1238</v>
      </c>
      <c r="I1158" s="166" t="s">
        <v>1243</v>
      </c>
      <c r="J1158" s="166" t="s">
        <v>1182</v>
      </c>
      <c r="K1158" s="166" t="s">
        <v>1350</v>
      </c>
      <c r="L1158" s="177">
        <f>1480/7</f>
        <v>211.42857142857142</v>
      </c>
      <c r="M1158" s="166">
        <f>2*135*9</f>
        <v>2430</v>
      </c>
      <c r="N1158" s="166">
        <v>1</v>
      </c>
      <c r="O1158" s="164">
        <f t="shared" si="133"/>
        <v>513771.42857142852</v>
      </c>
      <c r="P1158" s="166"/>
      <c r="Q1158" s="166"/>
      <c r="R1158" s="164">
        <f>$L1158*'Pivot Objective'!$C$9*P1158*Q1158</f>
        <v>0</v>
      </c>
      <c r="S1158" s="166"/>
      <c r="T1158" s="166"/>
      <c r="U1158" s="164">
        <f>($L1158*'Pivot Objective'!$C$9^2)*S1158*T1158</f>
        <v>0</v>
      </c>
      <c r="V1158" s="166"/>
      <c r="W1158" s="166"/>
      <c r="X1158" s="164">
        <f>($L1158*'Pivot Objective'!$C$9^3)*V1158*W1158</f>
        <v>0</v>
      </c>
      <c r="Y1158" s="166"/>
      <c r="Z1158" s="166"/>
      <c r="AA1158" s="164">
        <f>($L1158*'Pivot Objective'!$C$9^4)*Y1158*Z1158</f>
        <v>0</v>
      </c>
      <c r="AB1158" s="140"/>
      <c r="AC1158" s="140"/>
      <c r="AD1158" s="164">
        <f>($L1158*'Pivot Objective'!$C$9^5)*AB1158*AC1158</f>
        <v>0</v>
      </c>
      <c r="AE1158" s="140"/>
      <c r="AF1158" s="140"/>
      <c r="AG1158" s="164">
        <f>($L1158*'Pivot Objective'!$C$9^6)*AE1158*AF1158</f>
        <v>0</v>
      </c>
      <c r="AH1158" s="140"/>
      <c r="AI1158" s="140"/>
      <c r="AJ1158" s="164">
        <f>($L1158*'Pivot Objective'!$C$9^7)*AH1158*AI1158</f>
        <v>0</v>
      </c>
      <c r="AK1158" s="185">
        <f t="shared" si="134"/>
        <v>513771.42857142852</v>
      </c>
      <c r="AL1158" s="186">
        <f t="shared" si="135"/>
        <v>498.80721220527039</v>
      </c>
    </row>
    <row r="1159" spans="1:38" customFormat="1" ht="43.2" x14ac:dyDescent="0.3">
      <c r="A1159" s="140" t="s">
        <v>1480</v>
      </c>
      <c r="B1159" s="140">
        <v>2</v>
      </c>
      <c r="C1159" s="166" t="s">
        <v>983</v>
      </c>
      <c r="D1159" s="140" t="str">
        <f t="shared" si="131"/>
        <v>1</v>
      </c>
      <c r="E1159" s="166" t="s">
        <v>1176</v>
      </c>
      <c r="F1159" s="140">
        <f t="shared" si="130"/>
        <v>4</v>
      </c>
      <c r="G1159" s="140" t="str">
        <f t="shared" si="132"/>
        <v>2.1.4</v>
      </c>
      <c r="H1159" s="166" t="s">
        <v>1238</v>
      </c>
      <c r="I1159" s="166" t="s">
        <v>1243</v>
      </c>
      <c r="J1159" s="166" t="s">
        <v>1182</v>
      </c>
      <c r="K1159" s="166" t="s">
        <v>714</v>
      </c>
      <c r="L1159" s="177">
        <v>10000</v>
      </c>
      <c r="M1159" s="166">
        <v>15</v>
      </c>
      <c r="N1159" s="166">
        <v>1</v>
      </c>
      <c r="O1159" s="164">
        <f t="shared" si="133"/>
        <v>150000</v>
      </c>
      <c r="P1159" s="166">
        <v>0</v>
      </c>
      <c r="Q1159" s="166">
        <v>0</v>
      </c>
      <c r="R1159" s="164">
        <f>$L1159*'Pivot Objective'!$C$9*P1159*Q1159</f>
        <v>0</v>
      </c>
      <c r="S1159" s="166">
        <v>0</v>
      </c>
      <c r="T1159" s="166">
        <v>0</v>
      </c>
      <c r="U1159" s="164">
        <f>($L1159*'Pivot Objective'!$C$9^2)*S1159*T1159</f>
        <v>0</v>
      </c>
      <c r="V1159" s="166">
        <v>0</v>
      </c>
      <c r="W1159" s="166">
        <v>0</v>
      </c>
      <c r="X1159" s="164">
        <f>($L1159*'Pivot Objective'!$C$9^3)*V1159*W1159</f>
        <v>0</v>
      </c>
      <c r="Y1159" s="166">
        <v>20000</v>
      </c>
      <c r="Z1159" s="166">
        <v>1</v>
      </c>
      <c r="AA1159" s="164">
        <f>($L1159*'Pivot Objective'!$C$9^4)*Y1159*Z1159</f>
        <v>341267548.81755942</v>
      </c>
      <c r="AB1159" s="140"/>
      <c r="AC1159" s="140"/>
      <c r="AD1159" s="164">
        <f>($L1159*'Pivot Objective'!$C$9^5)*AB1159*AC1159</f>
        <v>0</v>
      </c>
      <c r="AE1159" s="140"/>
      <c r="AF1159" s="140"/>
      <c r="AG1159" s="164">
        <f>($L1159*'Pivot Objective'!$C$9^6)*AE1159*AF1159</f>
        <v>0</v>
      </c>
      <c r="AH1159" s="140"/>
      <c r="AI1159" s="140"/>
      <c r="AJ1159" s="164">
        <f>($L1159*'Pivot Objective'!$C$9^7)*AH1159*AI1159</f>
        <v>0</v>
      </c>
      <c r="AK1159" s="185">
        <f t="shared" si="134"/>
        <v>341417548.81755942</v>
      </c>
      <c r="AL1159" s="186">
        <f t="shared" si="135"/>
        <v>331473.34836656257</v>
      </c>
    </row>
    <row r="1160" spans="1:38" customFormat="1" ht="43.2" x14ac:dyDescent="0.3">
      <c r="A1160" s="140" t="s">
        <v>1480</v>
      </c>
      <c r="B1160" s="140">
        <v>2</v>
      </c>
      <c r="C1160" s="166" t="s">
        <v>983</v>
      </c>
      <c r="D1160" s="140" t="str">
        <f t="shared" si="131"/>
        <v>1</v>
      </c>
      <c r="E1160" s="166" t="s">
        <v>1176</v>
      </c>
      <c r="F1160" s="140">
        <f t="shared" si="130"/>
        <v>4</v>
      </c>
      <c r="G1160" s="140" t="str">
        <f t="shared" si="132"/>
        <v>2.1.4</v>
      </c>
      <c r="H1160" s="166" t="s">
        <v>1238</v>
      </c>
      <c r="I1160" s="166" t="s">
        <v>1243</v>
      </c>
      <c r="J1160" s="166" t="s">
        <v>1004</v>
      </c>
      <c r="K1160" s="166" t="s">
        <v>709</v>
      </c>
      <c r="L1160" s="177">
        <v>35000</v>
      </c>
      <c r="M1160" s="166">
        <v>25</v>
      </c>
      <c r="N1160" s="166">
        <v>5</v>
      </c>
      <c r="O1160" s="164">
        <f t="shared" si="133"/>
        <v>4375000</v>
      </c>
      <c r="P1160" s="166">
        <v>0</v>
      </c>
      <c r="Q1160" s="166">
        <v>0</v>
      </c>
      <c r="R1160" s="164">
        <f>$L1160*'Pivot Objective'!$C$9*P1160*Q1160</f>
        <v>0</v>
      </c>
      <c r="S1160" s="166">
        <v>0</v>
      </c>
      <c r="T1160" s="166">
        <v>0</v>
      </c>
      <c r="U1160" s="164">
        <f>($L1160*'Pivot Objective'!$C$9^2)*S1160*T1160</f>
        <v>0</v>
      </c>
      <c r="V1160" s="166">
        <v>0</v>
      </c>
      <c r="W1160" s="166">
        <v>0</v>
      </c>
      <c r="X1160" s="164">
        <f>($L1160*'Pivot Objective'!$C$9^3)*V1160*W1160</f>
        <v>0</v>
      </c>
      <c r="Y1160" s="166">
        <v>15</v>
      </c>
      <c r="Z1160" s="166">
        <v>1</v>
      </c>
      <c r="AA1160" s="164">
        <f>($L1160*'Pivot Objective'!$C$9^4)*Y1160*Z1160</f>
        <v>895827.31564609357</v>
      </c>
      <c r="AB1160" s="140"/>
      <c r="AC1160" s="140"/>
      <c r="AD1160" s="164">
        <f>($L1160*'Pivot Objective'!$C$9^5)*AB1160*AC1160</f>
        <v>0</v>
      </c>
      <c r="AE1160" s="140"/>
      <c r="AF1160" s="140"/>
      <c r="AG1160" s="164">
        <f>($L1160*'Pivot Objective'!$C$9^6)*AE1160*AF1160</f>
        <v>0</v>
      </c>
      <c r="AH1160" s="140"/>
      <c r="AI1160" s="140"/>
      <c r="AJ1160" s="164">
        <f>($L1160*'Pivot Objective'!$C$9^7)*AH1160*AI1160</f>
        <v>0</v>
      </c>
      <c r="AK1160" s="185">
        <f t="shared" si="134"/>
        <v>5270827.3156460933</v>
      </c>
      <c r="AL1160" s="186">
        <f t="shared" si="135"/>
        <v>5117.3080734428095</v>
      </c>
    </row>
    <row r="1161" spans="1:38" customFormat="1" ht="43.2" x14ac:dyDescent="0.3">
      <c r="A1161" s="140" t="s">
        <v>1480</v>
      </c>
      <c r="B1161" s="140">
        <v>2</v>
      </c>
      <c r="C1161" s="166" t="s">
        <v>983</v>
      </c>
      <c r="D1161" s="140" t="str">
        <f t="shared" si="131"/>
        <v>1</v>
      </c>
      <c r="E1161" s="166" t="s">
        <v>1176</v>
      </c>
      <c r="F1161" s="140">
        <f t="shared" si="130"/>
        <v>4</v>
      </c>
      <c r="G1161" s="140" t="str">
        <f t="shared" si="132"/>
        <v>2.1.4</v>
      </c>
      <c r="H1161" s="166" t="s">
        <v>1238</v>
      </c>
      <c r="I1161" s="166" t="s">
        <v>1243</v>
      </c>
      <c r="J1161" s="166" t="s">
        <v>1004</v>
      </c>
      <c r="K1161" s="166" t="s">
        <v>716</v>
      </c>
      <c r="L1161" s="177">
        <v>39000</v>
      </c>
      <c r="M1161" s="166">
        <v>25</v>
      </c>
      <c r="N1161" s="166">
        <v>6</v>
      </c>
      <c r="O1161" s="164">
        <f t="shared" si="133"/>
        <v>5850000</v>
      </c>
      <c r="P1161" s="166">
        <v>0</v>
      </c>
      <c r="Q1161" s="166">
        <v>0</v>
      </c>
      <c r="R1161" s="164">
        <f>$L1161*'Pivot Objective'!$C$9*P1161*Q1161</f>
        <v>0</v>
      </c>
      <c r="S1161" s="166">
        <v>0</v>
      </c>
      <c r="T1161" s="166">
        <v>0</v>
      </c>
      <c r="U1161" s="164">
        <f>($L1161*'Pivot Objective'!$C$9^2)*S1161*T1161</f>
        <v>0</v>
      </c>
      <c r="V1161" s="166">
        <v>0</v>
      </c>
      <c r="W1161" s="166">
        <v>0</v>
      </c>
      <c r="X1161" s="164">
        <f>($L1161*'Pivot Objective'!$C$9^3)*V1161*W1161</f>
        <v>0</v>
      </c>
      <c r="Y1161" s="166">
        <v>25</v>
      </c>
      <c r="Z1161" s="166">
        <v>5</v>
      </c>
      <c r="AA1161" s="164">
        <f>($L1161*'Pivot Objective'!$C$9^4)*Y1161*Z1161</f>
        <v>8318396.502428012</v>
      </c>
      <c r="AB1161" s="140"/>
      <c r="AC1161" s="140"/>
      <c r="AD1161" s="164">
        <f>($L1161*'Pivot Objective'!$C$9^5)*AB1161*AC1161</f>
        <v>0</v>
      </c>
      <c r="AE1161" s="140"/>
      <c r="AF1161" s="140"/>
      <c r="AG1161" s="164">
        <f>($L1161*'Pivot Objective'!$C$9^6)*AE1161*AF1161</f>
        <v>0</v>
      </c>
      <c r="AH1161" s="140"/>
      <c r="AI1161" s="140"/>
      <c r="AJ1161" s="164">
        <f>($L1161*'Pivot Objective'!$C$9^7)*AH1161*AI1161</f>
        <v>0</v>
      </c>
      <c r="AK1161" s="185">
        <f t="shared" si="134"/>
        <v>14168396.502428012</v>
      </c>
      <c r="AL1161" s="186">
        <f t="shared" si="135"/>
        <v>13755.724759638846</v>
      </c>
    </row>
    <row r="1162" spans="1:38" customFormat="1" ht="43.2" x14ac:dyDescent="0.3">
      <c r="A1162" s="140" t="s">
        <v>1480</v>
      </c>
      <c r="B1162" s="140">
        <v>2</v>
      </c>
      <c r="C1162" s="166" t="s">
        <v>983</v>
      </c>
      <c r="D1162" s="140" t="str">
        <f t="shared" si="131"/>
        <v>1</v>
      </c>
      <c r="E1162" s="166" t="s">
        <v>1176</v>
      </c>
      <c r="F1162" s="140">
        <f t="shared" si="130"/>
        <v>4</v>
      </c>
      <c r="G1162" s="140" t="str">
        <f t="shared" si="132"/>
        <v>2.1.4</v>
      </c>
      <c r="H1162" s="166" t="s">
        <v>1238</v>
      </c>
      <c r="I1162" s="166" t="s">
        <v>1243</v>
      </c>
      <c r="J1162" s="166" t="s">
        <v>1004</v>
      </c>
      <c r="K1162" s="166" t="s">
        <v>1350</v>
      </c>
      <c r="L1162" s="177">
        <f>1480/7</f>
        <v>211.42857142857142</v>
      </c>
      <c r="M1162" s="166">
        <f>2*135*9</f>
        <v>2430</v>
      </c>
      <c r="N1162" s="166">
        <v>1</v>
      </c>
      <c r="O1162" s="164">
        <f t="shared" si="133"/>
        <v>513771.42857142852</v>
      </c>
      <c r="P1162" s="166"/>
      <c r="Q1162" s="166"/>
      <c r="R1162" s="164">
        <f>$L1162*'Pivot Objective'!$C$9*P1162*Q1162</f>
        <v>0</v>
      </c>
      <c r="S1162" s="166"/>
      <c r="T1162" s="166"/>
      <c r="U1162" s="164">
        <f>($L1162*'Pivot Objective'!$C$9^2)*S1162*T1162</f>
        <v>0</v>
      </c>
      <c r="V1162" s="166"/>
      <c r="W1162" s="166"/>
      <c r="X1162" s="164">
        <f>($L1162*'Pivot Objective'!$C$9^3)*V1162*W1162</f>
        <v>0</v>
      </c>
      <c r="Y1162" s="166"/>
      <c r="Z1162" s="166"/>
      <c r="AA1162" s="164">
        <f>($L1162*'Pivot Objective'!$C$9^4)*Y1162*Z1162</f>
        <v>0</v>
      </c>
      <c r="AB1162" s="140"/>
      <c r="AC1162" s="140"/>
      <c r="AD1162" s="164">
        <f>($L1162*'Pivot Objective'!$C$9^5)*AB1162*AC1162</f>
        <v>0</v>
      </c>
      <c r="AE1162" s="140"/>
      <c r="AF1162" s="140"/>
      <c r="AG1162" s="164">
        <f>($L1162*'Pivot Objective'!$C$9^6)*AE1162*AF1162</f>
        <v>0</v>
      </c>
      <c r="AH1162" s="140"/>
      <c r="AI1162" s="140"/>
      <c r="AJ1162" s="164">
        <f>($L1162*'Pivot Objective'!$C$9^7)*AH1162*AI1162</f>
        <v>0</v>
      </c>
      <c r="AK1162" s="185">
        <f t="shared" si="134"/>
        <v>513771.42857142852</v>
      </c>
      <c r="AL1162" s="186">
        <f t="shared" si="135"/>
        <v>498.80721220527039</v>
      </c>
    </row>
    <row r="1163" spans="1:38" customFormat="1" ht="43.2" x14ac:dyDescent="0.3">
      <c r="A1163" s="140" t="s">
        <v>1480</v>
      </c>
      <c r="B1163" s="140">
        <v>2</v>
      </c>
      <c r="C1163" s="166" t="s">
        <v>983</v>
      </c>
      <c r="D1163" s="140" t="str">
        <f t="shared" si="131"/>
        <v>1</v>
      </c>
      <c r="E1163" s="166" t="s">
        <v>1176</v>
      </c>
      <c r="F1163" s="140">
        <f t="shared" si="130"/>
        <v>4</v>
      </c>
      <c r="G1163" s="140" t="str">
        <f t="shared" si="132"/>
        <v>2.1.4</v>
      </c>
      <c r="H1163" s="166" t="s">
        <v>1238</v>
      </c>
      <c r="I1163" s="166" t="s">
        <v>1243</v>
      </c>
      <c r="J1163" s="166" t="s">
        <v>1004</v>
      </c>
      <c r="K1163" s="166" t="s">
        <v>712</v>
      </c>
      <c r="L1163" s="177">
        <f>1480/7</f>
        <v>211.42857142857142</v>
      </c>
      <c r="M1163" s="166">
        <f>25*2*9</f>
        <v>450</v>
      </c>
      <c r="N1163" s="166">
        <v>5</v>
      </c>
      <c r="O1163" s="164">
        <f t="shared" si="133"/>
        <v>475714.28571428568</v>
      </c>
      <c r="P1163" s="166">
        <v>0</v>
      </c>
      <c r="Q1163" s="166">
        <v>0</v>
      </c>
      <c r="R1163" s="164">
        <f>$L1163*'Pivot Objective'!$C$9*P1163*Q1163</f>
        <v>0</v>
      </c>
      <c r="S1163" s="166">
        <v>0</v>
      </c>
      <c r="T1163" s="166">
        <v>0</v>
      </c>
      <c r="U1163" s="164">
        <f>($L1163*'Pivot Objective'!$C$9^2)*S1163*T1163</f>
        <v>0</v>
      </c>
      <c r="V1163" s="166">
        <v>0</v>
      </c>
      <c r="W1163" s="166">
        <v>0</v>
      </c>
      <c r="X1163" s="164">
        <f>($L1163*'Pivot Objective'!$C$9^3)*V1163*W1163</f>
        <v>0</v>
      </c>
      <c r="Y1163" s="166">
        <v>25</v>
      </c>
      <c r="Z1163" s="166">
        <v>5</v>
      </c>
      <c r="AA1163" s="164">
        <f>($L1163*'Pivot Objective'!$C$9^4)*Y1163*Z1163</f>
        <v>45096.068950891779</v>
      </c>
      <c r="AB1163" s="140"/>
      <c r="AC1163" s="140"/>
      <c r="AD1163" s="164">
        <f>($L1163*'Pivot Objective'!$C$9^5)*AB1163*AC1163</f>
        <v>0</v>
      </c>
      <c r="AE1163" s="140"/>
      <c r="AF1163" s="140"/>
      <c r="AG1163" s="164">
        <f>($L1163*'Pivot Objective'!$C$9^6)*AE1163*AF1163</f>
        <v>0</v>
      </c>
      <c r="AH1163" s="140"/>
      <c r="AI1163" s="140"/>
      <c r="AJ1163" s="164">
        <f>($L1163*'Pivot Objective'!$C$9^7)*AH1163*AI1163</f>
        <v>0</v>
      </c>
      <c r="AK1163" s="185">
        <f t="shared" si="134"/>
        <v>520810.35466517747</v>
      </c>
      <c r="AL1163" s="186">
        <f t="shared" si="135"/>
        <v>505.64112103415289</v>
      </c>
    </row>
    <row r="1164" spans="1:38" customFormat="1" ht="43.2" x14ac:dyDescent="0.3">
      <c r="A1164" s="140" t="s">
        <v>1480</v>
      </c>
      <c r="B1164" s="140">
        <v>2</v>
      </c>
      <c r="C1164" s="166" t="s">
        <v>983</v>
      </c>
      <c r="D1164" s="140" t="str">
        <f t="shared" si="131"/>
        <v>1</v>
      </c>
      <c r="E1164" s="166" t="s">
        <v>1176</v>
      </c>
      <c r="F1164" s="140">
        <f t="shared" si="130"/>
        <v>4</v>
      </c>
      <c r="G1164" s="140" t="str">
        <f t="shared" si="132"/>
        <v>2.1.4</v>
      </c>
      <c r="H1164" s="166" t="s">
        <v>1238</v>
      </c>
      <c r="I1164" s="166" t="s">
        <v>1243</v>
      </c>
      <c r="J1164" s="166" t="s">
        <v>1042</v>
      </c>
      <c r="K1164" s="166" t="s">
        <v>841</v>
      </c>
      <c r="L1164" s="177">
        <v>0</v>
      </c>
      <c r="M1164" s="166">
        <v>0</v>
      </c>
      <c r="N1164" s="166">
        <v>0</v>
      </c>
      <c r="O1164" s="164">
        <f t="shared" si="133"/>
        <v>0</v>
      </c>
      <c r="P1164" s="166">
        <v>0</v>
      </c>
      <c r="Q1164" s="166">
        <v>0</v>
      </c>
      <c r="R1164" s="164">
        <f>$L1164*'Pivot Objective'!$C$9*P1164*Q1164</f>
        <v>0</v>
      </c>
      <c r="S1164" s="166">
        <v>0</v>
      </c>
      <c r="T1164" s="166">
        <v>0</v>
      </c>
      <c r="U1164" s="164">
        <f>($L1164*'Pivot Objective'!$C$9^2)*S1164*T1164</f>
        <v>0</v>
      </c>
      <c r="V1164" s="166">
        <v>0</v>
      </c>
      <c r="W1164" s="166">
        <v>0</v>
      </c>
      <c r="X1164" s="164">
        <f>($L1164*'Pivot Objective'!$C$9^3)*V1164*W1164</f>
        <v>0</v>
      </c>
      <c r="Y1164" s="166">
        <v>4000</v>
      </c>
      <c r="Z1164" s="166">
        <v>1</v>
      </c>
      <c r="AA1164" s="164">
        <f>($L1164*'Pivot Objective'!$C$9^4)*Y1164*Z1164</f>
        <v>0</v>
      </c>
      <c r="AB1164" s="140"/>
      <c r="AC1164" s="140"/>
      <c r="AD1164" s="164">
        <f>($L1164*'Pivot Objective'!$C$9^5)*AB1164*AC1164</f>
        <v>0</v>
      </c>
      <c r="AE1164" s="140"/>
      <c r="AF1164" s="140"/>
      <c r="AG1164" s="164">
        <f>($L1164*'Pivot Objective'!$C$9^6)*AE1164*AF1164</f>
        <v>0</v>
      </c>
      <c r="AH1164" s="140"/>
      <c r="AI1164" s="140"/>
      <c r="AJ1164" s="164">
        <f>($L1164*'Pivot Objective'!$C$9^7)*AH1164*AI1164</f>
        <v>0</v>
      </c>
      <c r="AK1164" s="185">
        <f t="shared" si="134"/>
        <v>0</v>
      </c>
      <c r="AL1164" s="186">
        <f t="shared" si="135"/>
        <v>0</v>
      </c>
    </row>
    <row r="1165" spans="1:38" customFormat="1" ht="43.2" x14ac:dyDescent="0.3">
      <c r="A1165" s="140" t="s">
        <v>1480</v>
      </c>
      <c r="B1165" s="140">
        <v>2</v>
      </c>
      <c r="C1165" s="166" t="s">
        <v>983</v>
      </c>
      <c r="D1165" s="140" t="str">
        <f t="shared" si="131"/>
        <v>1</v>
      </c>
      <c r="E1165" s="166" t="s">
        <v>1176</v>
      </c>
      <c r="F1165" s="140">
        <f t="shared" si="130"/>
        <v>4</v>
      </c>
      <c r="G1165" s="140" t="str">
        <f t="shared" si="132"/>
        <v>2.1.4</v>
      </c>
      <c r="H1165" s="166" t="s">
        <v>1238</v>
      </c>
      <c r="I1165" s="166" t="s">
        <v>1243</v>
      </c>
      <c r="J1165" s="166" t="s">
        <v>1369</v>
      </c>
      <c r="K1165" s="166" t="s">
        <v>709</v>
      </c>
      <c r="L1165" s="177">
        <v>35000</v>
      </c>
      <c r="M1165" s="166">
        <v>100</v>
      </c>
      <c r="N1165" s="166">
        <v>1</v>
      </c>
      <c r="O1165" s="164">
        <f t="shared" si="133"/>
        <v>3500000</v>
      </c>
      <c r="P1165" s="166"/>
      <c r="Q1165" s="166"/>
      <c r="R1165" s="164">
        <f>$L1165*'Pivot Objective'!$C$9*P1165*Q1165</f>
        <v>0</v>
      </c>
      <c r="S1165" s="166"/>
      <c r="T1165" s="166"/>
      <c r="U1165" s="164">
        <f>($L1165*'Pivot Objective'!$C$9^2)*S1165*T1165</f>
        <v>0</v>
      </c>
      <c r="V1165" s="166"/>
      <c r="W1165" s="166"/>
      <c r="X1165" s="164">
        <f>($L1165*'Pivot Objective'!$C$9^3)*V1165*W1165</f>
        <v>0</v>
      </c>
      <c r="Y1165" s="166"/>
      <c r="Z1165" s="166"/>
      <c r="AA1165" s="164">
        <f>($L1165*'Pivot Objective'!$C$9^4)*Y1165*Z1165</f>
        <v>0</v>
      </c>
      <c r="AB1165" s="140"/>
      <c r="AC1165" s="140"/>
      <c r="AD1165" s="164">
        <f>($L1165*'Pivot Objective'!$C$9^5)*AB1165*AC1165</f>
        <v>0</v>
      </c>
      <c r="AE1165" s="140"/>
      <c r="AF1165" s="140"/>
      <c r="AG1165" s="164">
        <f>($L1165*'Pivot Objective'!$C$9^6)*AE1165*AF1165</f>
        <v>0</v>
      </c>
      <c r="AH1165" s="140"/>
      <c r="AI1165" s="140"/>
      <c r="AJ1165" s="164">
        <f>($L1165*'Pivot Objective'!$C$9^7)*AH1165*AI1165</f>
        <v>0</v>
      </c>
      <c r="AK1165" s="185">
        <f t="shared" si="134"/>
        <v>3500000</v>
      </c>
      <c r="AL1165" s="186">
        <f t="shared" si="135"/>
        <v>3398.0582524271845</v>
      </c>
    </row>
    <row r="1166" spans="1:38" customFormat="1" ht="43.2" x14ac:dyDescent="0.3">
      <c r="A1166" s="140" t="s">
        <v>1480</v>
      </c>
      <c r="B1166" s="140">
        <v>2</v>
      </c>
      <c r="C1166" s="166" t="s">
        <v>983</v>
      </c>
      <c r="D1166" s="140" t="str">
        <f t="shared" si="131"/>
        <v>1</v>
      </c>
      <c r="E1166" s="166" t="s">
        <v>1176</v>
      </c>
      <c r="F1166" s="140">
        <f t="shared" ref="F1166:F1184" si="136">IF(H1166=H1165,F1165,F1165+1)</f>
        <v>4</v>
      </c>
      <c r="G1166" s="140" t="str">
        <f t="shared" si="132"/>
        <v>2.1.4</v>
      </c>
      <c r="H1166" s="166" t="s">
        <v>1238</v>
      </c>
      <c r="I1166" s="166" t="s">
        <v>1243</v>
      </c>
      <c r="J1166" s="166" t="s">
        <v>1369</v>
      </c>
      <c r="K1166" s="166" t="s">
        <v>716</v>
      </c>
      <c r="L1166" s="177">
        <v>39000</v>
      </c>
      <c r="M1166" s="166">
        <v>58</v>
      </c>
      <c r="N1166" s="166">
        <v>2</v>
      </c>
      <c r="O1166" s="164">
        <f t="shared" si="133"/>
        <v>4524000</v>
      </c>
      <c r="P1166" s="166"/>
      <c r="Q1166" s="166"/>
      <c r="R1166" s="164">
        <f>$L1166*'Pivot Objective'!$C$9*P1166*Q1166</f>
        <v>0</v>
      </c>
      <c r="S1166" s="166"/>
      <c r="T1166" s="166"/>
      <c r="U1166" s="164">
        <f>($L1166*'Pivot Objective'!$C$9^2)*S1166*T1166</f>
        <v>0</v>
      </c>
      <c r="V1166" s="166"/>
      <c r="W1166" s="166"/>
      <c r="X1166" s="164">
        <f>($L1166*'Pivot Objective'!$C$9^3)*V1166*W1166</f>
        <v>0</v>
      </c>
      <c r="Y1166" s="166"/>
      <c r="Z1166" s="166"/>
      <c r="AA1166" s="164">
        <f>($L1166*'Pivot Objective'!$C$9^4)*Y1166*Z1166</f>
        <v>0</v>
      </c>
      <c r="AB1166" s="140"/>
      <c r="AC1166" s="140"/>
      <c r="AD1166" s="164">
        <f>($L1166*'Pivot Objective'!$C$9^5)*AB1166*AC1166</f>
        <v>0</v>
      </c>
      <c r="AE1166" s="140"/>
      <c r="AF1166" s="140"/>
      <c r="AG1166" s="164">
        <f>($L1166*'Pivot Objective'!$C$9^6)*AE1166*AF1166</f>
        <v>0</v>
      </c>
      <c r="AH1166" s="140"/>
      <c r="AI1166" s="140"/>
      <c r="AJ1166" s="164">
        <f>($L1166*'Pivot Objective'!$C$9^7)*AH1166*AI1166</f>
        <v>0</v>
      </c>
      <c r="AK1166" s="185">
        <f t="shared" si="134"/>
        <v>4524000</v>
      </c>
      <c r="AL1166" s="186">
        <f t="shared" si="135"/>
        <v>4392.2330097087379</v>
      </c>
    </row>
    <row r="1167" spans="1:38" customFormat="1" ht="43.2" x14ac:dyDescent="0.3">
      <c r="A1167" s="140" t="s">
        <v>1480</v>
      </c>
      <c r="B1167" s="140">
        <v>2</v>
      </c>
      <c r="C1167" s="166" t="s">
        <v>983</v>
      </c>
      <c r="D1167" s="140" t="str">
        <f t="shared" si="131"/>
        <v>1</v>
      </c>
      <c r="E1167" s="166" t="s">
        <v>1176</v>
      </c>
      <c r="F1167" s="140">
        <f t="shared" si="136"/>
        <v>4</v>
      </c>
      <c r="G1167" s="140" t="str">
        <f t="shared" si="132"/>
        <v>2.1.4</v>
      </c>
      <c r="H1167" s="166" t="s">
        <v>1238</v>
      </c>
      <c r="I1167" s="166" t="s">
        <v>1243</v>
      </c>
      <c r="J1167" s="166" t="s">
        <v>1369</v>
      </c>
      <c r="K1167" s="166" t="s">
        <v>712</v>
      </c>
      <c r="L1167" s="177">
        <f>1480/7</f>
        <v>211.42857142857142</v>
      </c>
      <c r="M1167" s="166">
        <f>2*25*29</f>
        <v>1450</v>
      </c>
      <c r="N1167" s="166">
        <v>1</v>
      </c>
      <c r="O1167" s="164">
        <f t="shared" si="133"/>
        <v>306571.42857142858</v>
      </c>
      <c r="P1167" s="166"/>
      <c r="Q1167" s="166"/>
      <c r="R1167" s="164">
        <f>$L1167*'Pivot Objective'!$C$9*P1167*Q1167</f>
        <v>0</v>
      </c>
      <c r="S1167" s="166"/>
      <c r="T1167" s="166"/>
      <c r="U1167" s="164">
        <f>($L1167*'Pivot Objective'!$C$9^2)*S1167*T1167</f>
        <v>0</v>
      </c>
      <c r="V1167" s="166"/>
      <c r="W1167" s="166"/>
      <c r="X1167" s="164">
        <f>($L1167*'Pivot Objective'!$C$9^3)*V1167*W1167</f>
        <v>0</v>
      </c>
      <c r="Y1167" s="166"/>
      <c r="Z1167" s="166"/>
      <c r="AA1167" s="164">
        <f>($L1167*'Pivot Objective'!$C$9^4)*Y1167*Z1167</f>
        <v>0</v>
      </c>
      <c r="AB1167" s="140"/>
      <c r="AC1167" s="140"/>
      <c r="AD1167" s="164">
        <f>($L1167*'Pivot Objective'!$C$9^5)*AB1167*AC1167</f>
        <v>0</v>
      </c>
      <c r="AE1167" s="140"/>
      <c r="AF1167" s="140"/>
      <c r="AG1167" s="164">
        <f>($L1167*'Pivot Objective'!$C$9^6)*AE1167*AF1167</f>
        <v>0</v>
      </c>
      <c r="AH1167" s="140"/>
      <c r="AI1167" s="140"/>
      <c r="AJ1167" s="164">
        <f>($L1167*'Pivot Objective'!$C$9^7)*AH1167*AI1167</f>
        <v>0</v>
      </c>
      <c r="AK1167" s="185">
        <f t="shared" si="134"/>
        <v>306571.42857142858</v>
      </c>
      <c r="AL1167" s="186">
        <f t="shared" si="135"/>
        <v>297.64216366158115</v>
      </c>
    </row>
    <row r="1168" spans="1:38" customFormat="1" ht="43.2" x14ac:dyDescent="0.3">
      <c r="A1168" s="140" t="s">
        <v>1480</v>
      </c>
      <c r="B1168" s="140">
        <v>2</v>
      </c>
      <c r="C1168" s="166" t="s">
        <v>983</v>
      </c>
      <c r="D1168" s="140" t="str">
        <f t="shared" si="131"/>
        <v>1</v>
      </c>
      <c r="E1168" s="166" t="s">
        <v>1176</v>
      </c>
      <c r="F1168" s="140">
        <f t="shared" si="136"/>
        <v>4</v>
      </c>
      <c r="G1168" s="140" t="str">
        <f t="shared" si="132"/>
        <v>2.1.4</v>
      </c>
      <c r="H1168" s="166" t="s">
        <v>1238</v>
      </c>
      <c r="I1168" s="166" t="s">
        <v>1243</v>
      </c>
      <c r="J1168" s="166" t="s">
        <v>1369</v>
      </c>
      <c r="K1168" s="166" t="s">
        <v>1350</v>
      </c>
      <c r="L1168" s="177">
        <f>1480/7</f>
        <v>211.42857142857142</v>
      </c>
      <c r="M1168" s="166">
        <f>2*135*29</f>
        <v>7830</v>
      </c>
      <c r="N1168" s="166">
        <v>1</v>
      </c>
      <c r="O1168" s="164">
        <f t="shared" si="133"/>
        <v>1655485.7142857141</v>
      </c>
      <c r="P1168" s="166"/>
      <c r="Q1168" s="166"/>
      <c r="R1168" s="164">
        <f>$L1168*'Pivot Objective'!$C$9*P1168*Q1168</f>
        <v>0</v>
      </c>
      <c r="S1168" s="166"/>
      <c r="T1168" s="166"/>
      <c r="U1168" s="164">
        <f>($L1168*'Pivot Objective'!$C$9^2)*S1168*T1168</f>
        <v>0</v>
      </c>
      <c r="V1168" s="166"/>
      <c r="W1168" s="166"/>
      <c r="X1168" s="164">
        <f>($L1168*'Pivot Objective'!$C$9^3)*V1168*W1168</f>
        <v>0</v>
      </c>
      <c r="Y1168" s="166"/>
      <c r="Z1168" s="166"/>
      <c r="AA1168" s="164">
        <f>($L1168*'Pivot Objective'!$C$9^4)*Y1168*Z1168</f>
        <v>0</v>
      </c>
      <c r="AB1168" s="140"/>
      <c r="AC1168" s="140"/>
      <c r="AD1168" s="164">
        <f>($L1168*'Pivot Objective'!$C$9^5)*AB1168*AC1168</f>
        <v>0</v>
      </c>
      <c r="AE1168" s="140"/>
      <c r="AF1168" s="140"/>
      <c r="AG1168" s="164">
        <f>($L1168*'Pivot Objective'!$C$9^6)*AE1168*AF1168</f>
        <v>0</v>
      </c>
      <c r="AH1168" s="140"/>
      <c r="AI1168" s="140"/>
      <c r="AJ1168" s="164">
        <f>($L1168*'Pivot Objective'!$C$9^7)*AH1168*AI1168</f>
        <v>0</v>
      </c>
      <c r="AK1168" s="185">
        <f t="shared" si="134"/>
        <v>1655485.7142857141</v>
      </c>
      <c r="AL1168" s="186">
        <f t="shared" si="135"/>
        <v>1607.267683772538</v>
      </c>
    </row>
    <row r="1169" spans="1:38" customFormat="1" ht="43.2" x14ac:dyDescent="0.3">
      <c r="A1169" s="140" t="s">
        <v>1480</v>
      </c>
      <c r="B1169" s="140">
        <v>2</v>
      </c>
      <c r="C1169" s="166" t="s">
        <v>983</v>
      </c>
      <c r="D1169" s="140" t="str">
        <f t="shared" si="131"/>
        <v>1</v>
      </c>
      <c r="E1169" s="166" t="s">
        <v>1176</v>
      </c>
      <c r="F1169" s="140">
        <f t="shared" si="136"/>
        <v>4</v>
      </c>
      <c r="G1169" s="140" t="str">
        <f t="shared" si="132"/>
        <v>2.1.4</v>
      </c>
      <c r="H1169" s="166" t="s">
        <v>1238</v>
      </c>
      <c r="I1169" s="166" t="s">
        <v>1243</v>
      </c>
      <c r="J1169" s="166" t="s">
        <v>154</v>
      </c>
      <c r="K1169" s="166" t="s">
        <v>841</v>
      </c>
      <c r="L1169" s="177">
        <v>0</v>
      </c>
      <c r="M1169" s="166">
        <v>0</v>
      </c>
      <c r="N1169" s="166">
        <v>0</v>
      </c>
      <c r="O1169" s="164">
        <f t="shared" si="133"/>
        <v>0</v>
      </c>
      <c r="P1169" s="166">
        <v>0</v>
      </c>
      <c r="Q1169" s="166">
        <v>0</v>
      </c>
      <c r="R1169" s="164">
        <f>$L1169*'Pivot Objective'!$C$9*P1169*Q1169</f>
        <v>0</v>
      </c>
      <c r="S1169" s="166">
        <v>0</v>
      </c>
      <c r="T1169" s="166">
        <v>0</v>
      </c>
      <c r="U1169" s="164">
        <f>($L1169*'Pivot Objective'!$C$9^2)*S1169*T1169</f>
        <v>0</v>
      </c>
      <c r="V1169" s="166">
        <v>0</v>
      </c>
      <c r="W1169" s="166">
        <v>0</v>
      </c>
      <c r="X1169" s="164">
        <f>($L1169*'Pivot Objective'!$C$9^3)*V1169*W1169</f>
        <v>0</v>
      </c>
      <c r="Y1169" s="166">
        <v>0</v>
      </c>
      <c r="Z1169" s="166">
        <v>0</v>
      </c>
      <c r="AA1169" s="164">
        <f>($L1169*'Pivot Objective'!$C$9^4)*Y1169*Z1169</f>
        <v>0</v>
      </c>
      <c r="AB1169" s="140"/>
      <c r="AC1169" s="140"/>
      <c r="AD1169" s="164">
        <f>($L1169*'Pivot Objective'!$C$9^5)*AB1169*AC1169</f>
        <v>0</v>
      </c>
      <c r="AE1169" s="140"/>
      <c r="AF1169" s="140"/>
      <c r="AG1169" s="164">
        <f>($L1169*'Pivot Objective'!$C$9^6)*AE1169*AF1169</f>
        <v>0</v>
      </c>
      <c r="AH1169" s="140"/>
      <c r="AI1169" s="140"/>
      <c r="AJ1169" s="164">
        <f>($L1169*'Pivot Objective'!$C$9^7)*AH1169*AI1169</f>
        <v>0</v>
      </c>
      <c r="AK1169" s="185">
        <f t="shared" si="134"/>
        <v>0</v>
      </c>
      <c r="AL1169" s="186">
        <f t="shared" si="135"/>
        <v>0</v>
      </c>
    </row>
    <row r="1170" spans="1:38" customFormat="1" ht="43.2" x14ac:dyDescent="0.3">
      <c r="A1170" s="140" t="s">
        <v>1480</v>
      </c>
      <c r="B1170" s="140">
        <v>2</v>
      </c>
      <c r="C1170" s="166" t="s">
        <v>983</v>
      </c>
      <c r="D1170" s="140" t="str">
        <f t="shared" si="131"/>
        <v>1</v>
      </c>
      <c r="E1170" s="166" t="s">
        <v>1176</v>
      </c>
      <c r="F1170" s="140">
        <f t="shared" si="136"/>
        <v>4</v>
      </c>
      <c r="G1170" s="140" t="str">
        <f t="shared" si="132"/>
        <v>2.1.4</v>
      </c>
      <c r="H1170" s="166" t="s">
        <v>1238</v>
      </c>
      <c r="I1170" s="166" t="s">
        <v>1191</v>
      </c>
      <c r="J1170" s="166" t="s">
        <v>1244</v>
      </c>
      <c r="K1170" s="166" t="s">
        <v>709</v>
      </c>
      <c r="L1170" s="177">
        <v>35000</v>
      </c>
      <c r="M1170" s="166">
        <v>25</v>
      </c>
      <c r="N1170" s="166">
        <v>1</v>
      </c>
      <c r="O1170" s="164">
        <f t="shared" si="133"/>
        <v>875000</v>
      </c>
      <c r="P1170" s="166">
        <v>0</v>
      </c>
      <c r="Q1170" s="166">
        <v>0</v>
      </c>
      <c r="R1170" s="164">
        <f>$L1170*'Pivot Objective'!$C$9*P1170*Q1170</f>
        <v>0</v>
      </c>
      <c r="S1170" s="166">
        <v>0</v>
      </c>
      <c r="T1170" s="166">
        <v>0</v>
      </c>
      <c r="U1170" s="164">
        <f>($L1170*'Pivot Objective'!$C$9^2)*S1170*T1170</f>
        <v>0</v>
      </c>
      <c r="V1170" s="166">
        <v>0</v>
      </c>
      <c r="W1170" s="166">
        <v>0</v>
      </c>
      <c r="X1170" s="164">
        <f>($L1170*'Pivot Objective'!$C$9^3)*V1170*W1170</f>
        <v>0</v>
      </c>
      <c r="Y1170" s="166">
        <v>0</v>
      </c>
      <c r="Z1170" s="166">
        <v>0</v>
      </c>
      <c r="AA1170" s="164">
        <f>($L1170*'Pivot Objective'!$C$9^4)*Y1170*Z1170</f>
        <v>0</v>
      </c>
      <c r="AB1170" s="140"/>
      <c r="AC1170" s="140"/>
      <c r="AD1170" s="164">
        <f>($L1170*'Pivot Objective'!$C$9^5)*AB1170*AC1170</f>
        <v>0</v>
      </c>
      <c r="AE1170" s="140"/>
      <c r="AF1170" s="140"/>
      <c r="AG1170" s="164">
        <f>($L1170*'Pivot Objective'!$C$9^6)*AE1170*AF1170</f>
        <v>0</v>
      </c>
      <c r="AH1170" s="140"/>
      <c r="AI1170" s="140"/>
      <c r="AJ1170" s="164">
        <f>($L1170*'Pivot Objective'!$C$9^7)*AH1170*AI1170</f>
        <v>0</v>
      </c>
      <c r="AK1170" s="185">
        <f t="shared" si="134"/>
        <v>875000</v>
      </c>
      <c r="AL1170" s="186">
        <f t="shared" si="135"/>
        <v>849.51456310679612</v>
      </c>
    </row>
    <row r="1171" spans="1:38" customFormat="1" ht="43.2" x14ac:dyDescent="0.3">
      <c r="A1171" s="140" t="s">
        <v>1480</v>
      </c>
      <c r="B1171" s="140">
        <v>2</v>
      </c>
      <c r="C1171" s="166" t="s">
        <v>983</v>
      </c>
      <c r="D1171" s="140" t="str">
        <f t="shared" si="131"/>
        <v>1</v>
      </c>
      <c r="E1171" s="166" t="s">
        <v>1176</v>
      </c>
      <c r="F1171" s="140">
        <f t="shared" si="136"/>
        <v>4</v>
      </c>
      <c r="G1171" s="140" t="str">
        <f t="shared" si="132"/>
        <v>2.1.4</v>
      </c>
      <c r="H1171" s="166" t="s">
        <v>1238</v>
      </c>
      <c r="I1171" s="166" t="s">
        <v>1191</v>
      </c>
      <c r="J1171" s="166" t="s">
        <v>1192</v>
      </c>
      <c r="K1171" s="166" t="s">
        <v>841</v>
      </c>
      <c r="L1171" s="177">
        <v>0</v>
      </c>
      <c r="M1171" s="166">
        <v>0</v>
      </c>
      <c r="N1171" s="166">
        <v>0</v>
      </c>
      <c r="O1171" s="164">
        <f t="shared" si="133"/>
        <v>0</v>
      </c>
      <c r="P1171" s="166">
        <v>0</v>
      </c>
      <c r="Q1171" s="166">
        <v>0</v>
      </c>
      <c r="R1171" s="164">
        <f>$L1171*'Pivot Objective'!$C$9*P1171*Q1171</f>
        <v>0</v>
      </c>
      <c r="S1171" s="166">
        <v>20</v>
      </c>
      <c r="T1171" s="166">
        <v>1</v>
      </c>
      <c r="U1171" s="164">
        <f>($L1171*'Pivot Objective'!$C$9^2)*S1171*T1171</f>
        <v>0</v>
      </c>
      <c r="V1171" s="166">
        <v>0</v>
      </c>
      <c r="W1171" s="166">
        <v>0</v>
      </c>
      <c r="X1171" s="164">
        <f>($L1171*'Pivot Objective'!$C$9^3)*V1171*W1171</f>
        <v>0</v>
      </c>
      <c r="Y1171" s="166">
        <v>0</v>
      </c>
      <c r="Z1171" s="166">
        <v>0</v>
      </c>
      <c r="AA1171" s="164">
        <f>($L1171*'Pivot Objective'!$C$9^4)*Y1171*Z1171</f>
        <v>0</v>
      </c>
      <c r="AB1171" s="140"/>
      <c r="AC1171" s="140"/>
      <c r="AD1171" s="164">
        <f>($L1171*'Pivot Objective'!$C$9^5)*AB1171*AC1171</f>
        <v>0</v>
      </c>
      <c r="AE1171" s="140"/>
      <c r="AF1171" s="140"/>
      <c r="AG1171" s="164">
        <f>($L1171*'Pivot Objective'!$C$9^6)*AE1171*AF1171</f>
        <v>0</v>
      </c>
      <c r="AH1171" s="140"/>
      <c r="AI1171" s="140"/>
      <c r="AJ1171" s="164">
        <f>($L1171*'Pivot Objective'!$C$9^7)*AH1171*AI1171</f>
        <v>0</v>
      </c>
      <c r="AK1171" s="185">
        <f t="shared" si="134"/>
        <v>0</v>
      </c>
      <c r="AL1171" s="186">
        <f t="shared" si="135"/>
        <v>0</v>
      </c>
    </row>
    <row r="1172" spans="1:38" customFormat="1" ht="43.2" x14ac:dyDescent="0.3">
      <c r="A1172" s="140" t="s">
        <v>1480</v>
      </c>
      <c r="B1172" s="140">
        <v>2</v>
      </c>
      <c r="C1172" s="166" t="s">
        <v>983</v>
      </c>
      <c r="D1172" s="140" t="str">
        <f t="shared" si="131"/>
        <v>1</v>
      </c>
      <c r="E1172" s="166" t="s">
        <v>1176</v>
      </c>
      <c r="F1172" s="140">
        <f t="shared" si="136"/>
        <v>4</v>
      </c>
      <c r="G1172" s="140" t="str">
        <f t="shared" si="132"/>
        <v>2.1.4</v>
      </c>
      <c r="H1172" s="166" t="s">
        <v>1238</v>
      </c>
      <c r="I1172" s="166" t="s">
        <v>1191</v>
      </c>
      <c r="J1172" s="166" t="s">
        <v>1245</v>
      </c>
      <c r="K1172" s="166" t="s">
        <v>709</v>
      </c>
      <c r="L1172" s="177">
        <v>0</v>
      </c>
      <c r="M1172" s="166">
        <v>0</v>
      </c>
      <c r="N1172" s="166">
        <v>0</v>
      </c>
      <c r="O1172" s="164">
        <f t="shared" si="133"/>
        <v>0</v>
      </c>
      <c r="P1172" s="166">
        <v>0</v>
      </c>
      <c r="Q1172" s="166">
        <v>0</v>
      </c>
      <c r="R1172" s="164">
        <f>$L1172*'Pivot Objective'!$C$9*P1172*Q1172</f>
        <v>0</v>
      </c>
      <c r="S1172" s="166">
        <v>0</v>
      </c>
      <c r="T1172" s="166">
        <v>0</v>
      </c>
      <c r="U1172" s="164">
        <f>($L1172*'Pivot Objective'!$C$9^2)*S1172*T1172</f>
        <v>0</v>
      </c>
      <c r="V1172" s="166">
        <v>0</v>
      </c>
      <c r="W1172" s="166">
        <v>0</v>
      </c>
      <c r="X1172" s="164">
        <f>($L1172*'Pivot Objective'!$C$9^3)*V1172*W1172</f>
        <v>0</v>
      </c>
      <c r="Y1172" s="166">
        <v>0</v>
      </c>
      <c r="Z1172" s="166">
        <v>0</v>
      </c>
      <c r="AA1172" s="164">
        <f>($L1172*'Pivot Objective'!$C$9^4)*Y1172*Z1172</f>
        <v>0</v>
      </c>
      <c r="AB1172" s="140"/>
      <c r="AC1172" s="140"/>
      <c r="AD1172" s="164">
        <f>($L1172*'Pivot Objective'!$C$9^5)*AB1172*AC1172</f>
        <v>0</v>
      </c>
      <c r="AE1172" s="140"/>
      <c r="AF1172" s="140"/>
      <c r="AG1172" s="164">
        <f>($L1172*'Pivot Objective'!$C$9^6)*AE1172*AF1172</f>
        <v>0</v>
      </c>
      <c r="AH1172" s="140"/>
      <c r="AI1172" s="140"/>
      <c r="AJ1172" s="164">
        <f>($L1172*'Pivot Objective'!$C$9^7)*AH1172*AI1172</f>
        <v>0</v>
      </c>
      <c r="AK1172" s="185">
        <f t="shared" si="134"/>
        <v>0</v>
      </c>
      <c r="AL1172" s="186">
        <f t="shared" si="135"/>
        <v>0</v>
      </c>
    </row>
    <row r="1173" spans="1:38" customFormat="1" ht="43.2" x14ac:dyDescent="0.3">
      <c r="A1173" s="140" t="s">
        <v>1480</v>
      </c>
      <c r="B1173" s="140">
        <v>2</v>
      </c>
      <c r="C1173" s="166" t="s">
        <v>983</v>
      </c>
      <c r="D1173" s="140" t="str">
        <f t="shared" si="131"/>
        <v>1</v>
      </c>
      <c r="E1173" s="166" t="s">
        <v>1176</v>
      </c>
      <c r="F1173" s="140">
        <f t="shared" si="136"/>
        <v>4</v>
      </c>
      <c r="G1173" s="140" t="str">
        <f t="shared" si="132"/>
        <v>2.1.4</v>
      </c>
      <c r="H1173" s="166" t="s">
        <v>1238</v>
      </c>
      <c r="I1173" s="166" t="s">
        <v>1191</v>
      </c>
      <c r="J1173" s="166" t="s">
        <v>1246</v>
      </c>
      <c r="K1173" s="166" t="s">
        <v>718</v>
      </c>
      <c r="L1173" s="177">
        <v>0</v>
      </c>
      <c r="M1173" s="166">
        <v>0</v>
      </c>
      <c r="N1173" s="166">
        <v>0</v>
      </c>
      <c r="O1173" s="164">
        <f t="shared" si="133"/>
        <v>0</v>
      </c>
      <c r="P1173" s="166">
        <v>0</v>
      </c>
      <c r="Q1173" s="166">
        <v>0</v>
      </c>
      <c r="R1173" s="164">
        <f>$L1173*'Pivot Objective'!$C$9*P1173*Q1173</f>
        <v>0</v>
      </c>
      <c r="S1173" s="166">
        <v>0</v>
      </c>
      <c r="T1173" s="166">
        <v>0</v>
      </c>
      <c r="U1173" s="164">
        <f>($L1173*'Pivot Objective'!$C$9^2)*S1173*T1173</f>
        <v>0</v>
      </c>
      <c r="V1173" s="166">
        <v>0</v>
      </c>
      <c r="W1173" s="166">
        <v>0</v>
      </c>
      <c r="X1173" s="164">
        <f>($L1173*'Pivot Objective'!$C$9^3)*V1173*W1173</f>
        <v>0</v>
      </c>
      <c r="Y1173" s="166">
        <v>0</v>
      </c>
      <c r="Z1173" s="166">
        <v>0</v>
      </c>
      <c r="AA1173" s="164">
        <f>($L1173*'Pivot Objective'!$C$9^4)*Y1173*Z1173</f>
        <v>0</v>
      </c>
      <c r="AB1173" s="140"/>
      <c r="AC1173" s="140"/>
      <c r="AD1173" s="164">
        <f>($L1173*'Pivot Objective'!$C$9^5)*AB1173*AC1173</f>
        <v>0</v>
      </c>
      <c r="AE1173" s="140"/>
      <c r="AF1173" s="140"/>
      <c r="AG1173" s="164">
        <f>($L1173*'Pivot Objective'!$C$9^6)*AE1173*AF1173</f>
        <v>0</v>
      </c>
      <c r="AH1173" s="140"/>
      <c r="AI1173" s="140"/>
      <c r="AJ1173" s="164">
        <f>($L1173*'Pivot Objective'!$C$9^7)*AH1173*AI1173</f>
        <v>0</v>
      </c>
      <c r="AK1173" s="185">
        <f t="shared" si="134"/>
        <v>0</v>
      </c>
      <c r="AL1173" s="186">
        <f t="shared" si="135"/>
        <v>0</v>
      </c>
    </row>
    <row r="1174" spans="1:38" customFormat="1" ht="43.2" x14ac:dyDescent="0.3">
      <c r="A1174" s="140" t="s">
        <v>1480</v>
      </c>
      <c r="B1174" s="140">
        <v>2</v>
      </c>
      <c r="C1174" s="166" t="s">
        <v>983</v>
      </c>
      <c r="D1174" s="140" t="str">
        <f t="shared" si="131"/>
        <v>1</v>
      </c>
      <c r="E1174" s="166" t="s">
        <v>1176</v>
      </c>
      <c r="F1174" s="140">
        <f t="shared" si="136"/>
        <v>4</v>
      </c>
      <c r="G1174" s="140" t="str">
        <f t="shared" si="132"/>
        <v>2.1.4</v>
      </c>
      <c r="H1174" s="166" t="s">
        <v>1238</v>
      </c>
      <c r="I1174" s="166" t="s">
        <v>1195</v>
      </c>
      <c r="J1174" s="166" t="s">
        <v>1247</v>
      </c>
      <c r="K1174" s="166" t="s">
        <v>709</v>
      </c>
      <c r="L1174" s="177">
        <v>0</v>
      </c>
      <c r="M1174" s="166">
        <v>0</v>
      </c>
      <c r="N1174" s="166">
        <v>0</v>
      </c>
      <c r="O1174" s="164">
        <f t="shared" si="133"/>
        <v>0</v>
      </c>
      <c r="P1174" s="166">
        <v>0</v>
      </c>
      <c r="Q1174" s="166">
        <v>0</v>
      </c>
      <c r="R1174" s="164">
        <f>$L1174*'Pivot Objective'!$C$9*P1174*Q1174</f>
        <v>0</v>
      </c>
      <c r="S1174" s="166">
        <v>0</v>
      </c>
      <c r="T1174" s="166">
        <v>0</v>
      </c>
      <c r="U1174" s="164">
        <f>($L1174*'Pivot Objective'!$C$9^2)*S1174*T1174</f>
        <v>0</v>
      </c>
      <c r="V1174" s="166">
        <v>0</v>
      </c>
      <c r="W1174" s="166">
        <v>0</v>
      </c>
      <c r="X1174" s="164">
        <f>($L1174*'Pivot Objective'!$C$9^3)*V1174*W1174</f>
        <v>0</v>
      </c>
      <c r="Y1174" s="166">
        <v>0</v>
      </c>
      <c r="Z1174" s="166">
        <v>0</v>
      </c>
      <c r="AA1174" s="164">
        <f>($L1174*'Pivot Objective'!$C$9^4)*Y1174*Z1174</f>
        <v>0</v>
      </c>
      <c r="AB1174" s="140"/>
      <c r="AC1174" s="140"/>
      <c r="AD1174" s="164">
        <f>($L1174*'Pivot Objective'!$C$9^5)*AB1174*AC1174</f>
        <v>0</v>
      </c>
      <c r="AE1174" s="140"/>
      <c r="AF1174" s="140"/>
      <c r="AG1174" s="164">
        <f>($L1174*'Pivot Objective'!$C$9^6)*AE1174*AF1174</f>
        <v>0</v>
      </c>
      <c r="AH1174" s="140"/>
      <c r="AI1174" s="140"/>
      <c r="AJ1174" s="164">
        <f>($L1174*'Pivot Objective'!$C$9^7)*AH1174*AI1174</f>
        <v>0</v>
      </c>
      <c r="AK1174" s="185">
        <f t="shared" si="134"/>
        <v>0</v>
      </c>
      <c r="AL1174" s="186">
        <f t="shared" si="135"/>
        <v>0</v>
      </c>
    </row>
    <row r="1175" spans="1:38" customFormat="1" ht="43.2" x14ac:dyDescent="0.3">
      <c r="A1175" s="140" t="s">
        <v>1480</v>
      </c>
      <c r="B1175" s="140">
        <v>2</v>
      </c>
      <c r="C1175" s="166" t="s">
        <v>983</v>
      </c>
      <c r="D1175" s="140" t="str">
        <f t="shared" si="131"/>
        <v>1</v>
      </c>
      <c r="E1175" s="166" t="s">
        <v>1176</v>
      </c>
      <c r="F1175" s="140">
        <f t="shared" si="136"/>
        <v>4</v>
      </c>
      <c r="G1175" s="140" t="str">
        <f t="shared" si="132"/>
        <v>2.1.4</v>
      </c>
      <c r="H1175" s="166" t="s">
        <v>1238</v>
      </c>
      <c r="I1175" s="166" t="s">
        <v>1195</v>
      </c>
      <c r="J1175" s="166" t="s">
        <v>1248</v>
      </c>
      <c r="K1175" s="166" t="s">
        <v>707</v>
      </c>
      <c r="L1175" s="177">
        <v>391991.03749999998</v>
      </c>
      <c r="M1175" s="166">
        <v>2</v>
      </c>
      <c r="N1175" s="166">
        <v>2</v>
      </c>
      <c r="O1175" s="164">
        <f t="shared" si="133"/>
        <v>1567964.15</v>
      </c>
      <c r="P1175" s="166">
        <v>0</v>
      </c>
      <c r="Q1175" s="166">
        <v>0</v>
      </c>
      <c r="R1175" s="164">
        <f>$L1175*'Pivot Objective'!$C$9*P1175*Q1175</f>
        <v>0</v>
      </c>
      <c r="S1175" s="166">
        <v>0</v>
      </c>
      <c r="T1175" s="166">
        <v>0</v>
      </c>
      <c r="U1175" s="164">
        <f>($L1175*'Pivot Objective'!$C$9^2)*S1175*T1175</f>
        <v>0</v>
      </c>
      <c r="V1175" s="166">
        <v>0</v>
      </c>
      <c r="W1175" s="166">
        <v>0</v>
      </c>
      <c r="X1175" s="164">
        <f>($L1175*'Pivot Objective'!$C$9^3)*V1175*W1175</f>
        <v>0</v>
      </c>
      <c r="Y1175" s="166">
        <v>0</v>
      </c>
      <c r="Z1175" s="166">
        <v>0</v>
      </c>
      <c r="AA1175" s="164">
        <f>($L1175*'Pivot Objective'!$C$9^4)*Y1175*Z1175</f>
        <v>0</v>
      </c>
      <c r="AB1175" s="140"/>
      <c r="AC1175" s="140"/>
      <c r="AD1175" s="164">
        <f>($L1175*'Pivot Objective'!$C$9^5)*AB1175*AC1175</f>
        <v>0</v>
      </c>
      <c r="AE1175" s="140"/>
      <c r="AF1175" s="140"/>
      <c r="AG1175" s="164">
        <f>($L1175*'Pivot Objective'!$C$9^6)*AE1175*AF1175</f>
        <v>0</v>
      </c>
      <c r="AH1175" s="140"/>
      <c r="AI1175" s="140"/>
      <c r="AJ1175" s="164">
        <f>($L1175*'Pivot Objective'!$C$9^7)*AH1175*AI1175</f>
        <v>0</v>
      </c>
      <c r="AK1175" s="185">
        <f t="shared" si="134"/>
        <v>1567964.15</v>
      </c>
      <c r="AL1175" s="186">
        <f t="shared" si="135"/>
        <v>1522.2952912621358</v>
      </c>
    </row>
    <row r="1176" spans="1:38" customFormat="1" ht="43.2" x14ac:dyDescent="0.3">
      <c r="A1176" s="140" t="s">
        <v>1480</v>
      </c>
      <c r="B1176" s="140">
        <v>2</v>
      </c>
      <c r="C1176" s="166" t="s">
        <v>983</v>
      </c>
      <c r="D1176" s="140" t="str">
        <f t="shared" si="131"/>
        <v>1</v>
      </c>
      <c r="E1176" s="166" t="s">
        <v>1176</v>
      </c>
      <c r="F1176" s="140">
        <f t="shared" si="136"/>
        <v>4</v>
      </c>
      <c r="G1176" s="140" t="str">
        <f t="shared" si="132"/>
        <v>2.1.4</v>
      </c>
      <c r="H1176" s="166" t="s">
        <v>1238</v>
      </c>
      <c r="I1176" s="166" t="s">
        <v>1195</v>
      </c>
      <c r="J1176" s="166" t="s">
        <v>1196</v>
      </c>
      <c r="K1176" s="166" t="s">
        <v>841</v>
      </c>
      <c r="L1176" s="177">
        <v>0</v>
      </c>
      <c r="M1176" s="166">
        <v>0</v>
      </c>
      <c r="N1176" s="166">
        <v>0</v>
      </c>
      <c r="O1176" s="164">
        <f t="shared" si="133"/>
        <v>0</v>
      </c>
      <c r="P1176" s="166">
        <v>0</v>
      </c>
      <c r="Q1176" s="166">
        <v>0</v>
      </c>
      <c r="R1176" s="164">
        <f>$L1176*'Pivot Objective'!$C$9*P1176*Q1176</f>
        <v>0</v>
      </c>
      <c r="S1176" s="166">
        <v>1</v>
      </c>
      <c r="T1176" s="166">
        <v>4</v>
      </c>
      <c r="U1176" s="164">
        <f>($L1176*'Pivot Objective'!$C$9^2)*S1176*T1176</f>
        <v>0</v>
      </c>
      <c r="V1176" s="166">
        <v>0</v>
      </c>
      <c r="W1176" s="166">
        <v>0</v>
      </c>
      <c r="X1176" s="164">
        <f>($L1176*'Pivot Objective'!$C$9^3)*V1176*W1176</f>
        <v>0</v>
      </c>
      <c r="Y1176" s="166">
        <v>0</v>
      </c>
      <c r="Z1176" s="166">
        <v>0</v>
      </c>
      <c r="AA1176" s="164">
        <f>($L1176*'Pivot Objective'!$C$9^4)*Y1176*Z1176</f>
        <v>0</v>
      </c>
      <c r="AB1176" s="140"/>
      <c r="AC1176" s="140"/>
      <c r="AD1176" s="164">
        <f>($L1176*'Pivot Objective'!$C$9^5)*AB1176*AC1176</f>
        <v>0</v>
      </c>
      <c r="AE1176" s="140"/>
      <c r="AF1176" s="140"/>
      <c r="AG1176" s="164">
        <f>($L1176*'Pivot Objective'!$C$9^6)*AE1176*AF1176</f>
        <v>0</v>
      </c>
      <c r="AH1176" s="140"/>
      <c r="AI1176" s="140"/>
      <c r="AJ1176" s="164">
        <f>($L1176*'Pivot Objective'!$C$9^7)*AH1176*AI1176</f>
        <v>0</v>
      </c>
      <c r="AK1176" s="185">
        <f t="shared" si="134"/>
        <v>0</v>
      </c>
      <c r="AL1176" s="186">
        <f t="shared" si="135"/>
        <v>0</v>
      </c>
    </row>
    <row r="1177" spans="1:38" customFormat="1" ht="43.2" x14ac:dyDescent="0.3">
      <c r="A1177" s="140" t="s">
        <v>1480</v>
      </c>
      <c r="B1177" s="140">
        <v>2</v>
      </c>
      <c r="C1177" s="166" t="s">
        <v>983</v>
      </c>
      <c r="D1177" s="140" t="str">
        <f t="shared" si="131"/>
        <v>1</v>
      </c>
      <c r="E1177" s="166" t="s">
        <v>1176</v>
      </c>
      <c r="F1177" s="140">
        <f t="shared" si="136"/>
        <v>4</v>
      </c>
      <c r="G1177" s="140" t="str">
        <f t="shared" si="132"/>
        <v>2.1.4</v>
      </c>
      <c r="H1177" s="166" t="s">
        <v>1238</v>
      </c>
      <c r="I1177" s="166" t="s">
        <v>1195</v>
      </c>
      <c r="J1177" s="166" t="s">
        <v>1197</v>
      </c>
      <c r="K1177" s="166" t="s">
        <v>841</v>
      </c>
      <c r="L1177" s="177">
        <v>0</v>
      </c>
      <c r="M1177" s="166">
        <v>0</v>
      </c>
      <c r="N1177" s="166">
        <v>0</v>
      </c>
      <c r="O1177" s="164">
        <f t="shared" si="133"/>
        <v>0</v>
      </c>
      <c r="P1177" s="166">
        <v>0</v>
      </c>
      <c r="Q1177" s="166">
        <v>0</v>
      </c>
      <c r="R1177" s="164">
        <f>$L1177*'Pivot Objective'!$C$9*P1177*Q1177</f>
        <v>0</v>
      </c>
      <c r="S1177" s="166">
        <v>0</v>
      </c>
      <c r="T1177" s="166">
        <v>0</v>
      </c>
      <c r="U1177" s="164">
        <f>($L1177*'Pivot Objective'!$C$9^2)*S1177*T1177</f>
        <v>0</v>
      </c>
      <c r="V1177" s="166">
        <v>0</v>
      </c>
      <c r="W1177" s="166">
        <v>0</v>
      </c>
      <c r="X1177" s="164">
        <f>($L1177*'Pivot Objective'!$C$9^3)*V1177*W1177</f>
        <v>0</v>
      </c>
      <c r="Y1177" s="166">
        <v>0</v>
      </c>
      <c r="Z1177" s="166">
        <v>0</v>
      </c>
      <c r="AA1177" s="164">
        <f>($L1177*'Pivot Objective'!$C$9^4)*Y1177*Z1177</f>
        <v>0</v>
      </c>
      <c r="AB1177" s="140"/>
      <c r="AC1177" s="140"/>
      <c r="AD1177" s="164">
        <f>($L1177*'Pivot Objective'!$C$9^5)*AB1177*AC1177</f>
        <v>0</v>
      </c>
      <c r="AE1177" s="140"/>
      <c r="AF1177" s="140"/>
      <c r="AG1177" s="164">
        <f>($L1177*'Pivot Objective'!$C$9^6)*AE1177*AF1177</f>
        <v>0</v>
      </c>
      <c r="AH1177" s="140"/>
      <c r="AI1177" s="140"/>
      <c r="AJ1177" s="164">
        <f>($L1177*'Pivot Objective'!$C$9^7)*AH1177*AI1177</f>
        <v>0</v>
      </c>
      <c r="AK1177" s="185">
        <f t="shared" si="134"/>
        <v>0</v>
      </c>
      <c r="AL1177" s="186">
        <f t="shared" si="135"/>
        <v>0</v>
      </c>
    </row>
    <row r="1178" spans="1:38" customFormat="1" ht="43.2" x14ac:dyDescent="0.3">
      <c r="A1178" s="140" t="s">
        <v>1480</v>
      </c>
      <c r="B1178" s="140">
        <v>2</v>
      </c>
      <c r="C1178" s="166" t="s">
        <v>983</v>
      </c>
      <c r="D1178" s="140" t="str">
        <f t="shared" si="131"/>
        <v>1</v>
      </c>
      <c r="E1178" s="166" t="s">
        <v>1176</v>
      </c>
      <c r="F1178" s="140">
        <f t="shared" si="136"/>
        <v>4</v>
      </c>
      <c r="G1178" s="140" t="str">
        <f t="shared" si="132"/>
        <v>2.1.4</v>
      </c>
      <c r="H1178" s="166" t="s">
        <v>1238</v>
      </c>
      <c r="I1178" s="166" t="s">
        <v>1249</v>
      </c>
      <c r="J1178" s="166" t="s">
        <v>1250</v>
      </c>
      <c r="K1178" s="166" t="s">
        <v>709</v>
      </c>
      <c r="L1178" s="177">
        <v>35000</v>
      </c>
      <c r="M1178" s="166">
        <v>25</v>
      </c>
      <c r="N1178" s="166">
        <v>2</v>
      </c>
      <c r="O1178" s="164">
        <f t="shared" si="133"/>
        <v>1750000</v>
      </c>
      <c r="P1178" s="166">
        <v>0</v>
      </c>
      <c r="Q1178" s="166">
        <v>0</v>
      </c>
      <c r="R1178" s="164">
        <f>$L1178*'Pivot Objective'!$C$9*P1178*Q1178</f>
        <v>0</v>
      </c>
      <c r="S1178" s="166">
        <v>0</v>
      </c>
      <c r="T1178" s="166">
        <v>0</v>
      </c>
      <c r="U1178" s="164">
        <f>($L1178*'Pivot Objective'!$C$9^2)*S1178*T1178</f>
        <v>0</v>
      </c>
      <c r="V1178" s="166">
        <v>0</v>
      </c>
      <c r="W1178" s="166">
        <v>0</v>
      </c>
      <c r="X1178" s="164">
        <f>($L1178*'Pivot Objective'!$C$9^3)*V1178*W1178</f>
        <v>0</v>
      </c>
      <c r="Y1178" s="166">
        <v>0</v>
      </c>
      <c r="Z1178" s="166">
        <v>0</v>
      </c>
      <c r="AA1178" s="164">
        <f>($L1178*'Pivot Objective'!$C$9^4)*Y1178*Z1178</f>
        <v>0</v>
      </c>
      <c r="AB1178" s="140"/>
      <c r="AC1178" s="140"/>
      <c r="AD1178" s="164">
        <f>($L1178*'Pivot Objective'!$C$9^5)*AB1178*AC1178</f>
        <v>0</v>
      </c>
      <c r="AE1178" s="140"/>
      <c r="AF1178" s="140"/>
      <c r="AG1178" s="164">
        <f>($L1178*'Pivot Objective'!$C$9^6)*AE1178*AF1178</f>
        <v>0</v>
      </c>
      <c r="AH1178" s="140"/>
      <c r="AI1178" s="140"/>
      <c r="AJ1178" s="164">
        <f>($L1178*'Pivot Objective'!$C$9^7)*AH1178*AI1178</f>
        <v>0</v>
      </c>
      <c r="AK1178" s="185">
        <f t="shared" si="134"/>
        <v>1750000</v>
      </c>
      <c r="AL1178" s="186">
        <f t="shared" si="135"/>
        <v>1699.0291262135922</v>
      </c>
    </row>
    <row r="1179" spans="1:38" customFormat="1" ht="43.2" x14ac:dyDescent="0.3">
      <c r="A1179" s="140" t="s">
        <v>1480</v>
      </c>
      <c r="B1179" s="140">
        <v>2</v>
      </c>
      <c r="C1179" s="166" t="s">
        <v>983</v>
      </c>
      <c r="D1179" s="140" t="str">
        <f t="shared" si="131"/>
        <v>1</v>
      </c>
      <c r="E1179" s="166" t="s">
        <v>1176</v>
      </c>
      <c r="F1179" s="140">
        <f t="shared" si="136"/>
        <v>4</v>
      </c>
      <c r="G1179" s="140" t="str">
        <f t="shared" si="132"/>
        <v>2.1.4</v>
      </c>
      <c r="H1179" s="166" t="s">
        <v>1238</v>
      </c>
      <c r="I1179" s="166" t="s">
        <v>1251</v>
      </c>
      <c r="J1179" s="166" t="s">
        <v>1203</v>
      </c>
      <c r="K1179" s="166" t="s">
        <v>841</v>
      </c>
      <c r="L1179" s="177">
        <v>0</v>
      </c>
      <c r="M1179" s="166">
        <v>20</v>
      </c>
      <c r="N1179" s="166">
        <v>4</v>
      </c>
      <c r="O1179" s="164">
        <f t="shared" si="133"/>
        <v>0</v>
      </c>
      <c r="P1179" s="166">
        <v>20</v>
      </c>
      <c r="Q1179" s="166">
        <v>4</v>
      </c>
      <c r="R1179" s="164">
        <f>$L1179*'Pivot Objective'!$C$9*P1179*Q1179</f>
        <v>0</v>
      </c>
      <c r="S1179" s="166">
        <v>20</v>
      </c>
      <c r="T1179" s="166">
        <v>4</v>
      </c>
      <c r="U1179" s="164">
        <f>($L1179*'Pivot Objective'!$C$9^2)*S1179*T1179</f>
        <v>0</v>
      </c>
      <c r="V1179" s="166">
        <v>20</v>
      </c>
      <c r="W1179" s="166">
        <v>4</v>
      </c>
      <c r="X1179" s="164">
        <f>($L1179*'Pivot Objective'!$C$9^3)*V1179*W1179</f>
        <v>0</v>
      </c>
      <c r="Y1179" s="166">
        <v>20</v>
      </c>
      <c r="Z1179" s="166">
        <v>4</v>
      </c>
      <c r="AA1179" s="164">
        <f>($L1179*'Pivot Objective'!$C$9^4)*Y1179*Z1179</f>
        <v>0</v>
      </c>
      <c r="AB1179" s="140"/>
      <c r="AC1179" s="140"/>
      <c r="AD1179" s="164">
        <f>($L1179*'Pivot Objective'!$C$9^5)*AB1179*AC1179</f>
        <v>0</v>
      </c>
      <c r="AE1179" s="140"/>
      <c r="AF1179" s="140"/>
      <c r="AG1179" s="164">
        <f>($L1179*'Pivot Objective'!$C$9^6)*AE1179*AF1179</f>
        <v>0</v>
      </c>
      <c r="AH1179" s="140"/>
      <c r="AI1179" s="140"/>
      <c r="AJ1179" s="164">
        <f>($L1179*'Pivot Objective'!$C$9^7)*AH1179*AI1179</f>
        <v>0</v>
      </c>
      <c r="AK1179" s="185">
        <f t="shared" si="134"/>
        <v>0</v>
      </c>
      <c r="AL1179" s="186">
        <f t="shared" si="135"/>
        <v>0</v>
      </c>
    </row>
    <row r="1180" spans="1:38" customFormat="1" ht="43.2" x14ac:dyDescent="0.3">
      <c r="A1180" s="140" t="s">
        <v>1480</v>
      </c>
      <c r="B1180" s="140">
        <v>2</v>
      </c>
      <c r="C1180" s="166" t="s">
        <v>983</v>
      </c>
      <c r="D1180" s="140" t="str">
        <f t="shared" si="131"/>
        <v>1</v>
      </c>
      <c r="E1180" s="166" t="s">
        <v>1176</v>
      </c>
      <c r="F1180" s="140">
        <f t="shared" si="136"/>
        <v>4</v>
      </c>
      <c r="G1180" s="140" t="str">
        <f t="shared" si="132"/>
        <v>2.1.4</v>
      </c>
      <c r="H1180" s="166" t="s">
        <v>1238</v>
      </c>
      <c r="I1180" s="166" t="s">
        <v>1251</v>
      </c>
      <c r="J1180" s="166" t="s">
        <v>1204</v>
      </c>
      <c r="K1180" s="166" t="s">
        <v>841</v>
      </c>
      <c r="L1180" s="177">
        <v>0</v>
      </c>
      <c r="M1180" s="166">
        <v>0</v>
      </c>
      <c r="N1180" s="166">
        <v>0</v>
      </c>
      <c r="O1180" s="164">
        <f t="shared" si="133"/>
        <v>0</v>
      </c>
      <c r="P1180" s="166">
        <v>0</v>
      </c>
      <c r="Q1180" s="166">
        <v>0</v>
      </c>
      <c r="R1180" s="164">
        <f>$L1180*'Pivot Objective'!$C$9*P1180*Q1180</f>
        <v>0</v>
      </c>
      <c r="S1180" s="166">
        <v>0</v>
      </c>
      <c r="T1180" s="166">
        <v>0</v>
      </c>
      <c r="U1180" s="164">
        <f>($L1180*'Pivot Objective'!$C$9^2)*S1180*T1180</f>
        <v>0</v>
      </c>
      <c r="V1180" s="166">
        <v>0</v>
      </c>
      <c r="W1180" s="166">
        <v>0</v>
      </c>
      <c r="X1180" s="164">
        <f>($L1180*'Pivot Objective'!$C$9^3)*V1180*W1180</f>
        <v>0</v>
      </c>
      <c r="Y1180" s="166">
        <v>0</v>
      </c>
      <c r="Z1180" s="166">
        <v>0</v>
      </c>
      <c r="AA1180" s="164">
        <f>($L1180*'Pivot Objective'!$C$9^4)*Y1180*Z1180</f>
        <v>0</v>
      </c>
      <c r="AB1180" s="140"/>
      <c r="AC1180" s="140"/>
      <c r="AD1180" s="164">
        <f>($L1180*'Pivot Objective'!$C$9^5)*AB1180*AC1180</f>
        <v>0</v>
      </c>
      <c r="AE1180" s="140"/>
      <c r="AF1180" s="140"/>
      <c r="AG1180" s="164">
        <f>($L1180*'Pivot Objective'!$C$9^6)*AE1180*AF1180</f>
        <v>0</v>
      </c>
      <c r="AH1180" s="140"/>
      <c r="AI1180" s="140"/>
      <c r="AJ1180" s="164">
        <f>($L1180*'Pivot Objective'!$C$9^7)*AH1180*AI1180</f>
        <v>0</v>
      </c>
      <c r="AK1180" s="185">
        <f t="shared" si="134"/>
        <v>0</v>
      </c>
      <c r="AL1180" s="186">
        <f t="shared" si="135"/>
        <v>0</v>
      </c>
    </row>
    <row r="1181" spans="1:38" customFormat="1" ht="43.2" x14ac:dyDescent="0.3">
      <c r="A1181" s="140" t="s">
        <v>1480</v>
      </c>
      <c r="B1181" s="140">
        <v>2</v>
      </c>
      <c r="C1181" s="166" t="s">
        <v>983</v>
      </c>
      <c r="D1181" s="140" t="str">
        <f t="shared" si="131"/>
        <v>1</v>
      </c>
      <c r="E1181" s="166" t="s">
        <v>1176</v>
      </c>
      <c r="F1181" s="140">
        <f t="shared" si="136"/>
        <v>4</v>
      </c>
      <c r="G1181" s="140" t="str">
        <f t="shared" si="132"/>
        <v>2.1.4</v>
      </c>
      <c r="H1181" s="166" t="s">
        <v>1238</v>
      </c>
      <c r="I1181" s="166" t="s">
        <v>1252</v>
      </c>
      <c r="J1181" s="166" t="s">
        <v>169</v>
      </c>
      <c r="K1181" s="166" t="s">
        <v>841</v>
      </c>
      <c r="L1181" s="177">
        <v>0</v>
      </c>
      <c r="M1181" s="166">
        <v>0</v>
      </c>
      <c r="N1181" s="166">
        <v>0</v>
      </c>
      <c r="O1181" s="164">
        <f t="shared" si="133"/>
        <v>0</v>
      </c>
      <c r="P1181" s="166">
        <v>0</v>
      </c>
      <c r="Q1181" s="166">
        <v>0</v>
      </c>
      <c r="R1181" s="164">
        <f>$L1181*'Pivot Objective'!$C$9*P1181*Q1181</f>
        <v>0</v>
      </c>
      <c r="S1181" s="166">
        <v>0</v>
      </c>
      <c r="T1181" s="166">
        <v>0</v>
      </c>
      <c r="U1181" s="164">
        <f>($L1181*'Pivot Objective'!$C$9^2)*S1181*T1181</f>
        <v>0</v>
      </c>
      <c r="V1181" s="166">
        <v>0</v>
      </c>
      <c r="W1181" s="166">
        <v>0</v>
      </c>
      <c r="X1181" s="164">
        <f>($L1181*'Pivot Objective'!$C$9^3)*V1181*W1181</f>
        <v>0</v>
      </c>
      <c r="Y1181" s="166">
        <v>0</v>
      </c>
      <c r="Z1181" s="166">
        <v>0</v>
      </c>
      <c r="AA1181" s="164">
        <f>($L1181*'Pivot Objective'!$C$9^4)*Y1181*Z1181</f>
        <v>0</v>
      </c>
      <c r="AB1181" s="140"/>
      <c r="AC1181" s="140"/>
      <c r="AD1181" s="164">
        <f>($L1181*'Pivot Objective'!$C$9^5)*AB1181*AC1181</f>
        <v>0</v>
      </c>
      <c r="AE1181" s="140"/>
      <c r="AF1181" s="140"/>
      <c r="AG1181" s="164">
        <f>($L1181*'Pivot Objective'!$C$9^6)*AE1181*AF1181</f>
        <v>0</v>
      </c>
      <c r="AH1181" s="140"/>
      <c r="AI1181" s="140"/>
      <c r="AJ1181" s="164">
        <f>($L1181*'Pivot Objective'!$C$9^7)*AH1181*AI1181</f>
        <v>0</v>
      </c>
      <c r="AK1181" s="185">
        <f t="shared" si="134"/>
        <v>0</v>
      </c>
      <c r="AL1181" s="186">
        <f t="shared" si="135"/>
        <v>0</v>
      </c>
    </row>
    <row r="1182" spans="1:38" customFormat="1" ht="43.2" x14ac:dyDescent="0.3">
      <c r="A1182" s="140" t="s">
        <v>1480</v>
      </c>
      <c r="B1182" s="140">
        <v>2</v>
      </c>
      <c r="C1182" s="166" t="s">
        <v>983</v>
      </c>
      <c r="D1182" s="140" t="str">
        <f t="shared" si="131"/>
        <v>1</v>
      </c>
      <c r="E1182" s="166" t="s">
        <v>1176</v>
      </c>
      <c r="F1182" s="140">
        <f t="shared" si="136"/>
        <v>4</v>
      </c>
      <c r="G1182" s="140" t="str">
        <f t="shared" si="132"/>
        <v>2.1.4</v>
      </c>
      <c r="H1182" s="166" t="s">
        <v>1238</v>
      </c>
      <c r="I1182" s="166" t="s">
        <v>1252</v>
      </c>
      <c r="J1182" s="166" t="s">
        <v>1025</v>
      </c>
      <c r="K1182" s="166" t="s">
        <v>841</v>
      </c>
      <c r="L1182" s="177">
        <v>0</v>
      </c>
      <c r="M1182" s="166">
        <v>0</v>
      </c>
      <c r="N1182" s="166">
        <v>0</v>
      </c>
      <c r="O1182" s="164">
        <f t="shared" si="133"/>
        <v>0</v>
      </c>
      <c r="P1182" s="166">
        <v>0</v>
      </c>
      <c r="Q1182" s="166">
        <v>0</v>
      </c>
      <c r="R1182" s="164">
        <f>$L1182*'Pivot Objective'!$C$9*P1182*Q1182</f>
        <v>0</v>
      </c>
      <c r="S1182" s="166">
        <v>0</v>
      </c>
      <c r="T1182" s="166">
        <v>0</v>
      </c>
      <c r="U1182" s="164">
        <f>($L1182*'Pivot Objective'!$C$9^2)*S1182*T1182</f>
        <v>0</v>
      </c>
      <c r="V1182" s="166">
        <v>0</v>
      </c>
      <c r="W1182" s="166">
        <v>0</v>
      </c>
      <c r="X1182" s="164">
        <f>($L1182*'Pivot Objective'!$C$9^3)*V1182*W1182</f>
        <v>0</v>
      </c>
      <c r="Y1182" s="166">
        <v>0</v>
      </c>
      <c r="Z1182" s="166">
        <v>0</v>
      </c>
      <c r="AA1182" s="164">
        <f>($L1182*'Pivot Objective'!$C$9^4)*Y1182*Z1182</f>
        <v>0</v>
      </c>
      <c r="AB1182" s="140"/>
      <c r="AC1182" s="140"/>
      <c r="AD1182" s="164">
        <f>($L1182*'Pivot Objective'!$C$9^5)*AB1182*AC1182</f>
        <v>0</v>
      </c>
      <c r="AE1182" s="140"/>
      <c r="AF1182" s="140"/>
      <c r="AG1182" s="164">
        <f>($L1182*'Pivot Objective'!$C$9^6)*AE1182*AF1182</f>
        <v>0</v>
      </c>
      <c r="AH1182" s="140"/>
      <c r="AI1182" s="140"/>
      <c r="AJ1182" s="164">
        <f>($L1182*'Pivot Objective'!$C$9^7)*AH1182*AI1182</f>
        <v>0</v>
      </c>
      <c r="AK1182" s="185">
        <f t="shared" si="134"/>
        <v>0</v>
      </c>
      <c r="AL1182" s="186">
        <f t="shared" si="135"/>
        <v>0</v>
      </c>
    </row>
    <row r="1183" spans="1:38" customFormat="1" ht="43.2" x14ac:dyDescent="0.3">
      <c r="A1183" s="140" t="s">
        <v>1480</v>
      </c>
      <c r="B1183" s="140">
        <v>2</v>
      </c>
      <c r="C1183" s="166" t="s">
        <v>983</v>
      </c>
      <c r="D1183" s="140" t="str">
        <f t="shared" si="131"/>
        <v>1</v>
      </c>
      <c r="E1183" s="166" t="s">
        <v>1176</v>
      </c>
      <c r="F1183" s="140">
        <f t="shared" si="136"/>
        <v>4</v>
      </c>
      <c r="G1183" s="140" t="str">
        <f t="shared" si="132"/>
        <v>2.1.4</v>
      </c>
      <c r="H1183" s="166" t="s">
        <v>1238</v>
      </c>
      <c r="I1183" s="166" t="s">
        <v>1252</v>
      </c>
      <c r="J1183" s="166" t="s">
        <v>149</v>
      </c>
      <c r="K1183" s="166" t="s">
        <v>707</v>
      </c>
      <c r="L1183" s="177">
        <v>391991.03749999998</v>
      </c>
      <c r="M1183" s="140"/>
      <c r="N1183" s="140"/>
      <c r="O1183" s="164">
        <f t="shared" si="133"/>
        <v>0</v>
      </c>
      <c r="P1183" s="166">
        <v>2</v>
      </c>
      <c r="Q1183" s="166">
        <v>2</v>
      </c>
      <c r="R1183" s="164">
        <f>$L1183*'Pivot Objective'!$C$9*P1183*Q1183</f>
        <v>1792059.3063746723</v>
      </c>
      <c r="S1183" s="166">
        <v>0</v>
      </c>
      <c r="T1183" s="166">
        <v>0</v>
      </c>
      <c r="U1183" s="164">
        <f>($L1183*'Pivot Objective'!$C$9^2)*S1183*T1183</f>
        <v>0</v>
      </c>
      <c r="V1183" s="166">
        <v>0</v>
      </c>
      <c r="W1183" s="166">
        <v>0</v>
      </c>
      <c r="X1183" s="164">
        <f>($L1183*'Pivot Objective'!$C$9^3)*V1183*W1183</f>
        <v>0</v>
      </c>
      <c r="Y1183" s="166">
        <v>0</v>
      </c>
      <c r="Z1183" s="166">
        <v>0</v>
      </c>
      <c r="AA1183" s="164">
        <f>($L1183*'Pivot Objective'!$C$9^4)*Y1183*Z1183</f>
        <v>0</v>
      </c>
      <c r="AB1183" s="140"/>
      <c r="AC1183" s="140"/>
      <c r="AD1183" s="164">
        <f>($L1183*'Pivot Objective'!$C$9^5)*AB1183*AC1183</f>
        <v>0</v>
      </c>
      <c r="AE1183" s="140"/>
      <c r="AF1183" s="140"/>
      <c r="AG1183" s="164">
        <f>($L1183*'Pivot Objective'!$C$9^6)*AE1183*AF1183</f>
        <v>0</v>
      </c>
      <c r="AH1183" s="140"/>
      <c r="AI1183" s="140"/>
      <c r="AJ1183" s="164">
        <f>($L1183*'Pivot Objective'!$C$9^7)*AH1183*AI1183</f>
        <v>0</v>
      </c>
      <c r="AK1183" s="185">
        <f t="shared" si="134"/>
        <v>1792059.3063746723</v>
      </c>
      <c r="AL1183" s="186">
        <f t="shared" si="135"/>
        <v>1739.8634042472547</v>
      </c>
    </row>
    <row r="1184" spans="1:38" customFormat="1" ht="43.2" x14ac:dyDescent="0.3">
      <c r="A1184" s="140" t="s">
        <v>1480</v>
      </c>
      <c r="B1184" s="140">
        <v>2</v>
      </c>
      <c r="C1184" s="166" t="s">
        <v>983</v>
      </c>
      <c r="D1184" s="140" t="str">
        <f t="shared" si="131"/>
        <v>1</v>
      </c>
      <c r="E1184" s="166" t="s">
        <v>1176</v>
      </c>
      <c r="F1184" s="140">
        <f t="shared" si="136"/>
        <v>4</v>
      </c>
      <c r="G1184" s="140" t="str">
        <f t="shared" si="132"/>
        <v>2.1.4</v>
      </c>
      <c r="H1184" s="166" t="s">
        <v>1238</v>
      </c>
      <c r="I1184" s="166" t="s">
        <v>1252</v>
      </c>
      <c r="J1184" s="166" t="s">
        <v>149</v>
      </c>
      <c r="K1184" s="166" t="s">
        <v>708</v>
      </c>
      <c r="L1184" s="177">
        <f>42000*1022</f>
        <v>42924000</v>
      </c>
      <c r="M1184" s="140"/>
      <c r="N1184" s="140"/>
      <c r="O1184" s="164">
        <f t="shared" si="133"/>
        <v>0</v>
      </c>
      <c r="P1184" s="166"/>
      <c r="Q1184" s="166"/>
      <c r="R1184" s="164">
        <f>$L1184*'Pivot Objective'!$C$9*P1184*Q1184</f>
        <v>0</v>
      </c>
      <c r="S1184" s="166">
        <v>1</v>
      </c>
      <c r="T1184" s="166">
        <v>25</v>
      </c>
      <c r="U1184" s="164">
        <f>($L1184*'Pivot Objective'!$C$9^2)*S1184*T1184</f>
        <v>1401756871.1107209</v>
      </c>
      <c r="V1184" s="166">
        <v>1</v>
      </c>
      <c r="W1184" s="166">
        <v>25</v>
      </c>
      <c r="X1184" s="164">
        <f>($L1184*'Pivot Objective'!$C$9^3)*V1184*W1184</f>
        <v>1602097500.8571527</v>
      </c>
      <c r="Y1184" s="166">
        <v>1</v>
      </c>
      <c r="Z1184" s="166">
        <v>25</v>
      </c>
      <c r="AA1184" s="164">
        <f>($L1184*'Pivot Objective'!$C$9^4)*Y1184*Z1184</f>
        <v>1831071033.1806154</v>
      </c>
      <c r="AB1184" s="166">
        <v>1</v>
      </c>
      <c r="AC1184" s="166">
        <v>25</v>
      </c>
      <c r="AD1184" s="164">
        <f>($L1184*'Pivot Objective'!$C$9^5)*AB1184*AC1184</f>
        <v>2092769713.927712</v>
      </c>
      <c r="AE1184" s="166">
        <v>1</v>
      </c>
      <c r="AF1184" s="166">
        <v>25</v>
      </c>
      <c r="AG1184" s="164">
        <f>($L1184*'Pivot Objective'!$C$9^6)*AE1184*AF1184</f>
        <v>2391870657.2106366</v>
      </c>
      <c r="AH1184" s="166">
        <v>1</v>
      </c>
      <c r="AI1184" s="166">
        <v>25</v>
      </c>
      <c r="AJ1184" s="164">
        <f>($L1184*'Pivot Objective'!$C$9^7)*AH1184*AI1184</f>
        <v>2733719435.4212914</v>
      </c>
      <c r="AK1184" s="185">
        <f t="shared" si="134"/>
        <v>12053285211.708128</v>
      </c>
      <c r="AL1184" s="186">
        <f t="shared" si="135"/>
        <v>11702218.652143814</v>
      </c>
    </row>
    <row r="1185" spans="1:38" customFormat="1" ht="86.4" x14ac:dyDescent="0.3">
      <c r="A1185" s="140" t="s">
        <v>1481</v>
      </c>
      <c r="B1185" s="140">
        <v>2</v>
      </c>
      <c r="C1185" s="166" t="s">
        <v>983</v>
      </c>
      <c r="D1185" s="140" t="str">
        <f t="shared" si="131"/>
        <v>2</v>
      </c>
      <c r="E1185" s="166" t="s">
        <v>1255</v>
      </c>
      <c r="F1185" s="140">
        <v>1</v>
      </c>
      <c r="G1185" s="140" t="str">
        <f t="shared" si="132"/>
        <v>2.2.1</v>
      </c>
      <c r="H1185" s="166" t="s">
        <v>1712</v>
      </c>
      <c r="I1185" s="166" t="s">
        <v>1257</v>
      </c>
      <c r="J1185" s="166" t="s">
        <v>1258</v>
      </c>
      <c r="K1185" s="166" t="s">
        <v>709</v>
      </c>
      <c r="L1185" s="166">
        <v>35000</v>
      </c>
      <c r="M1185" s="166">
        <v>25</v>
      </c>
      <c r="N1185" s="166">
        <v>1</v>
      </c>
      <c r="O1185" s="164">
        <f t="shared" si="133"/>
        <v>875000</v>
      </c>
      <c r="P1185" s="166">
        <v>25</v>
      </c>
      <c r="Q1185" s="166">
        <v>1</v>
      </c>
      <c r="R1185" s="164">
        <f>$L1185*'Pivot Objective'!$C$9*P1185*Q1185</f>
        <v>1000055.9598749998</v>
      </c>
      <c r="S1185" s="166">
        <v>0</v>
      </c>
      <c r="T1185" s="166">
        <v>0</v>
      </c>
      <c r="U1185" s="164">
        <f>($L1185*'Pivot Objective'!$C$9^2)*S1185*T1185</f>
        <v>0</v>
      </c>
      <c r="V1185" s="166">
        <v>0</v>
      </c>
      <c r="W1185" s="166">
        <v>0</v>
      </c>
      <c r="X1185" s="164">
        <f>($L1185*'Pivot Objective'!$C$9^3)*V1185*W1185</f>
        <v>0</v>
      </c>
      <c r="Y1185" s="166">
        <v>0</v>
      </c>
      <c r="Z1185" s="166">
        <v>0</v>
      </c>
      <c r="AA1185" s="164">
        <f>($L1185*'Pivot Objective'!$C$9^4)*Y1185*Z1185</f>
        <v>0</v>
      </c>
      <c r="AB1185" s="140"/>
      <c r="AC1185" s="140"/>
      <c r="AD1185" s="164">
        <f>($L1185*'Pivot Objective'!$C$9^5)*AB1185*AC1185</f>
        <v>0</v>
      </c>
      <c r="AE1185" s="140"/>
      <c r="AF1185" s="140"/>
      <c r="AG1185" s="164">
        <f>($L1185*'Pivot Objective'!$C$9^6)*AE1185*AF1185</f>
        <v>0</v>
      </c>
      <c r="AH1185" s="140"/>
      <c r="AI1185" s="140"/>
      <c r="AJ1185" s="164">
        <f>($L1185*'Pivot Objective'!$C$9^7)*AH1185*AI1185</f>
        <v>0</v>
      </c>
      <c r="AK1185" s="185">
        <f t="shared" si="134"/>
        <v>1875055.9598749997</v>
      </c>
      <c r="AL1185" s="186">
        <f t="shared" si="135"/>
        <v>1820.4426794902911</v>
      </c>
    </row>
    <row r="1186" spans="1:38" customFormat="1" ht="86.4" x14ac:dyDescent="0.3">
      <c r="A1186" s="140" t="s">
        <v>1481</v>
      </c>
      <c r="B1186" s="140">
        <v>2</v>
      </c>
      <c r="C1186" s="166" t="s">
        <v>983</v>
      </c>
      <c r="D1186" s="140" t="str">
        <f t="shared" si="131"/>
        <v>2</v>
      </c>
      <c r="E1186" s="166" t="s">
        <v>1255</v>
      </c>
      <c r="F1186" s="140">
        <f t="shared" ref="F1186:F1220" si="137">IF(H1186=H1185,F1185,F1185+1)</f>
        <v>1</v>
      </c>
      <c r="G1186" s="140" t="str">
        <f t="shared" si="132"/>
        <v>2.2.1</v>
      </c>
      <c r="H1186" s="166" t="s">
        <v>1712</v>
      </c>
      <c r="I1186" s="166" t="s">
        <v>1259</v>
      </c>
      <c r="J1186" s="166" t="s">
        <v>1260</v>
      </c>
      <c r="K1186" s="166" t="s">
        <v>709</v>
      </c>
      <c r="L1186" s="166">
        <v>35000</v>
      </c>
      <c r="M1186" s="166">
        <v>25</v>
      </c>
      <c r="N1186" s="166">
        <v>5</v>
      </c>
      <c r="O1186" s="164">
        <f t="shared" si="133"/>
        <v>4375000</v>
      </c>
      <c r="P1186" s="166">
        <v>25</v>
      </c>
      <c r="Q1186" s="166">
        <v>5</v>
      </c>
      <c r="R1186" s="164">
        <f>$L1186*'Pivot Objective'!$C$9*P1186*Q1186</f>
        <v>5000279.7993749995</v>
      </c>
      <c r="S1186" s="166">
        <v>0</v>
      </c>
      <c r="T1186" s="166">
        <v>0</v>
      </c>
      <c r="U1186" s="164">
        <f>($L1186*'Pivot Objective'!$C$9^2)*S1186*T1186</f>
        <v>0</v>
      </c>
      <c r="V1186" s="166">
        <v>0</v>
      </c>
      <c r="W1186" s="166">
        <v>0</v>
      </c>
      <c r="X1186" s="164">
        <f>($L1186*'Pivot Objective'!$C$9^3)*V1186*W1186</f>
        <v>0</v>
      </c>
      <c r="Y1186" s="166">
        <v>0</v>
      </c>
      <c r="Z1186" s="166">
        <v>0</v>
      </c>
      <c r="AA1186" s="164">
        <f>($L1186*'Pivot Objective'!$C$9^4)*Y1186*Z1186</f>
        <v>0</v>
      </c>
      <c r="AB1186" s="140"/>
      <c r="AC1186" s="140"/>
      <c r="AD1186" s="164">
        <f>($L1186*'Pivot Objective'!$C$9^5)*AB1186*AC1186</f>
        <v>0</v>
      </c>
      <c r="AE1186" s="140"/>
      <c r="AF1186" s="140"/>
      <c r="AG1186" s="164">
        <f>($L1186*'Pivot Objective'!$C$9^6)*AE1186*AF1186</f>
        <v>0</v>
      </c>
      <c r="AH1186" s="140"/>
      <c r="AI1186" s="140"/>
      <c r="AJ1186" s="164">
        <f>($L1186*'Pivot Objective'!$C$9^7)*AH1186*AI1186</f>
        <v>0</v>
      </c>
      <c r="AK1186" s="185">
        <f t="shared" si="134"/>
        <v>9375279.7993749995</v>
      </c>
      <c r="AL1186" s="186">
        <f t="shared" si="135"/>
        <v>9102.2133974514563</v>
      </c>
    </row>
    <row r="1187" spans="1:38" customFormat="1" ht="86.4" x14ac:dyDescent="0.3">
      <c r="A1187" s="140" t="s">
        <v>1481</v>
      </c>
      <c r="B1187" s="140">
        <v>2</v>
      </c>
      <c r="C1187" s="166" t="s">
        <v>983</v>
      </c>
      <c r="D1187" s="140" t="str">
        <f t="shared" si="131"/>
        <v>2</v>
      </c>
      <c r="E1187" s="166" t="s">
        <v>1255</v>
      </c>
      <c r="F1187" s="140">
        <f t="shared" si="137"/>
        <v>1</v>
      </c>
      <c r="G1187" s="140" t="str">
        <f t="shared" si="132"/>
        <v>2.2.1</v>
      </c>
      <c r="H1187" s="166" t="s">
        <v>1712</v>
      </c>
      <c r="I1187" s="166" t="s">
        <v>1261</v>
      </c>
      <c r="J1187" s="166" t="s">
        <v>1262</v>
      </c>
      <c r="K1187" s="166" t="s">
        <v>709</v>
      </c>
      <c r="L1187" s="166">
        <v>35000</v>
      </c>
      <c r="M1187" s="166">
        <v>40</v>
      </c>
      <c r="N1187" s="166">
        <v>5</v>
      </c>
      <c r="O1187" s="164">
        <f t="shared" si="133"/>
        <v>7000000</v>
      </c>
      <c r="P1187" s="166">
        <v>10</v>
      </c>
      <c r="Q1187" s="166">
        <v>1</v>
      </c>
      <c r="R1187" s="164">
        <f>$L1187*'Pivot Objective'!$C$9*P1187*Q1187</f>
        <v>400022.38394999993</v>
      </c>
      <c r="S1187" s="166">
        <v>0</v>
      </c>
      <c r="T1187" s="166">
        <v>0</v>
      </c>
      <c r="U1187" s="164">
        <f>($L1187*'Pivot Objective'!$C$9^2)*S1187*T1187</f>
        <v>0</v>
      </c>
      <c r="V1187" s="166">
        <v>0</v>
      </c>
      <c r="W1187" s="166">
        <v>0</v>
      </c>
      <c r="X1187" s="164">
        <f>($L1187*'Pivot Objective'!$C$9^3)*V1187*W1187</f>
        <v>0</v>
      </c>
      <c r="Y1187" s="166">
        <v>40</v>
      </c>
      <c r="Z1187" s="166">
        <v>5</v>
      </c>
      <c r="AA1187" s="164">
        <f>($L1187*'Pivot Objective'!$C$9^4)*Y1187*Z1187</f>
        <v>11944364.20861458</v>
      </c>
      <c r="AB1187" s="140"/>
      <c r="AC1187" s="140"/>
      <c r="AD1187" s="164">
        <f>($L1187*'Pivot Objective'!$C$9^5)*AB1187*AC1187</f>
        <v>0</v>
      </c>
      <c r="AE1187" s="140"/>
      <c r="AF1187" s="140"/>
      <c r="AG1187" s="164">
        <f>($L1187*'Pivot Objective'!$C$9^6)*AE1187*AF1187</f>
        <v>0</v>
      </c>
      <c r="AH1187" s="140"/>
      <c r="AI1187" s="140"/>
      <c r="AJ1187" s="164">
        <f>($L1187*'Pivot Objective'!$C$9^7)*AH1187*AI1187</f>
        <v>0</v>
      </c>
      <c r="AK1187" s="185">
        <f t="shared" si="134"/>
        <v>19344386.592564579</v>
      </c>
      <c r="AL1187" s="186">
        <f t="shared" si="135"/>
        <v>18780.957856858815</v>
      </c>
    </row>
    <row r="1188" spans="1:38" customFormat="1" ht="86.4" x14ac:dyDescent="0.3">
      <c r="A1188" s="140" t="s">
        <v>1481</v>
      </c>
      <c r="B1188" s="140">
        <v>2</v>
      </c>
      <c r="C1188" s="166" t="s">
        <v>983</v>
      </c>
      <c r="D1188" s="140" t="str">
        <f t="shared" si="131"/>
        <v>2</v>
      </c>
      <c r="E1188" s="166" t="s">
        <v>1255</v>
      </c>
      <c r="F1188" s="140">
        <f t="shared" si="137"/>
        <v>1</v>
      </c>
      <c r="G1188" s="140" t="str">
        <f t="shared" si="132"/>
        <v>2.2.1</v>
      </c>
      <c r="H1188" s="166" t="s">
        <v>1712</v>
      </c>
      <c r="I1188" s="166" t="s">
        <v>1261</v>
      </c>
      <c r="J1188" s="166" t="s">
        <v>1262</v>
      </c>
      <c r="K1188" s="166" t="s">
        <v>716</v>
      </c>
      <c r="L1188" s="166">
        <v>39000</v>
      </c>
      <c r="M1188" s="166">
        <v>40</v>
      </c>
      <c r="N1188" s="166">
        <v>6</v>
      </c>
      <c r="O1188" s="164">
        <f t="shared" si="133"/>
        <v>9360000</v>
      </c>
      <c r="P1188" s="166">
        <v>0</v>
      </c>
      <c r="Q1188" s="166">
        <v>0</v>
      </c>
      <c r="R1188" s="164">
        <f>$L1188*'Pivot Objective'!$C$9*P1188*Q1188</f>
        <v>0</v>
      </c>
      <c r="S1188" s="166">
        <v>0</v>
      </c>
      <c r="T1188" s="166">
        <v>0</v>
      </c>
      <c r="U1188" s="164">
        <f>($L1188*'Pivot Objective'!$C$9^2)*S1188*T1188</f>
        <v>0</v>
      </c>
      <c r="V1188" s="166">
        <v>0</v>
      </c>
      <c r="W1188" s="166">
        <v>0</v>
      </c>
      <c r="X1188" s="164">
        <f>($L1188*'Pivot Objective'!$C$9^3)*V1188*W1188</f>
        <v>0</v>
      </c>
      <c r="Y1188" s="166">
        <v>40</v>
      </c>
      <c r="Z1188" s="166">
        <v>6</v>
      </c>
      <c r="AA1188" s="164">
        <f>($L1188*'Pivot Objective'!$C$9^4)*Y1188*Z1188</f>
        <v>15971321.284661781</v>
      </c>
      <c r="AB1188" s="140"/>
      <c r="AC1188" s="140"/>
      <c r="AD1188" s="164">
        <f>($L1188*'Pivot Objective'!$C$9^5)*AB1188*AC1188</f>
        <v>0</v>
      </c>
      <c r="AE1188" s="140"/>
      <c r="AF1188" s="140"/>
      <c r="AG1188" s="164">
        <f>($L1188*'Pivot Objective'!$C$9^6)*AE1188*AF1188</f>
        <v>0</v>
      </c>
      <c r="AH1188" s="140"/>
      <c r="AI1188" s="140"/>
      <c r="AJ1188" s="164">
        <f>($L1188*'Pivot Objective'!$C$9^7)*AH1188*AI1188</f>
        <v>0</v>
      </c>
      <c r="AK1188" s="185">
        <f t="shared" si="134"/>
        <v>25331321.284661781</v>
      </c>
      <c r="AL1188" s="186">
        <f t="shared" si="135"/>
        <v>24593.515810351244</v>
      </c>
    </row>
    <row r="1189" spans="1:38" customFormat="1" ht="86.4" x14ac:dyDescent="0.3">
      <c r="A1189" s="140" t="s">
        <v>1481</v>
      </c>
      <c r="B1189" s="140">
        <v>2</v>
      </c>
      <c r="C1189" s="166" t="s">
        <v>983</v>
      </c>
      <c r="D1189" s="140" t="str">
        <f t="shared" si="131"/>
        <v>2</v>
      </c>
      <c r="E1189" s="166" t="s">
        <v>1255</v>
      </c>
      <c r="F1189" s="140">
        <f t="shared" si="137"/>
        <v>1</v>
      </c>
      <c r="G1189" s="140" t="str">
        <f t="shared" si="132"/>
        <v>2.2.1</v>
      </c>
      <c r="H1189" s="166" t="s">
        <v>1712</v>
      </c>
      <c r="I1189" s="166" t="s">
        <v>1261</v>
      </c>
      <c r="J1189" s="166" t="s">
        <v>1262</v>
      </c>
      <c r="K1189" s="166" t="s">
        <v>712</v>
      </c>
      <c r="L1189" s="179">
        <f>1480/7</f>
        <v>211.42857142857142</v>
      </c>
      <c r="M1189" s="166">
        <f>2*25*15</f>
        <v>750</v>
      </c>
      <c r="N1189" s="166">
        <v>5</v>
      </c>
      <c r="O1189" s="164">
        <f t="shared" si="133"/>
        <v>792857.14285714272</v>
      </c>
      <c r="P1189" s="166">
        <v>0</v>
      </c>
      <c r="Q1189" s="166">
        <v>0</v>
      </c>
      <c r="R1189" s="164">
        <f>$L1189*'Pivot Objective'!$C$9*P1189*Q1189</f>
        <v>0</v>
      </c>
      <c r="S1189" s="166">
        <v>0</v>
      </c>
      <c r="T1189" s="166">
        <v>0</v>
      </c>
      <c r="U1189" s="164">
        <f>($L1189*'Pivot Objective'!$C$9^2)*S1189*T1189</f>
        <v>0</v>
      </c>
      <c r="V1189" s="166">
        <v>0</v>
      </c>
      <c r="W1189" s="166">
        <v>0</v>
      </c>
      <c r="X1189" s="164">
        <f>($L1189*'Pivot Objective'!$C$9^3)*V1189*W1189</f>
        <v>0</v>
      </c>
      <c r="Y1189" s="166">
        <f>2*25*9</f>
        <v>450</v>
      </c>
      <c r="Z1189" s="166">
        <v>5</v>
      </c>
      <c r="AA1189" s="164">
        <f>($L1189*'Pivot Objective'!$C$9^4)*Y1189*Z1189</f>
        <v>811729.24111605203</v>
      </c>
      <c r="AB1189" s="140"/>
      <c r="AC1189" s="140"/>
      <c r="AD1189" s="164">
        <f>($L1189*'Pivot Objective'!$C$9^5)*AB1189*AC1189</f>
        <v>0</v>
      </c>
      <c r="AE1189" s="140"/>
      <c r="AF1189" s="140"/>
      <c r="AG1189" s="164">
        <f>($L1189*'Pivot Objective'!$C$9^6)*AE1189*AF1189</f>
        <v>0</v>
      </c>
      <c r="AH1189" s="140"/>
      <c r="AI1189" s="140"/>
      <c r="AJ1189" s="164">
        <f>($L1189*'Pivot Objective'!$C$9^7)*AH1189*AI1189</f>
        <v>0</v>
      </c>
      <c r="AK1189" s="185">
        <f t="shared" si="134"/>
        <v>1604586.3839731948</v>
      </c>
      <c r="AL1189" s="186">
        <f t="shared" si="135"/>
        <v>1557.8508582264026</v>
      </c>
    </row>
    <row r="1190" spans="1:38" customFormat="1" ht="86.4" x14ac:dyDescent="0.3">
      <c r="A1190" s="140" t="s">
        <v>1481</v>
      </c>
      <c r="B1190" s="140">
        <v>2</v>
      </c>
      <c r="C1190" s="166" t="s">
        <v>983</v>
      </c>
      <c r="D1190" s="140" t="str">
        <f t="shared" si="131"/>
        <v>2</v>
      </c>
      <c r="E1190" s="166" t="s">
        <v>1255</v>
      </c>
      <c r="F1190" s="140">
        <f t="shared" si="137"/>
        <v>1</v>
      </c>
      <c r="G1190" s="140" t="str">
        <f t="shared" si="132"/>
        <v>2.2.1</v>
      </c>
      <c r="H1190" s="166" t="s">
        <v>1712</v>
      </c>
      <c r="I1190" s="166" t="s">
        <v>1261</v>
      </c>
      <c r="J1190" s="166" t="s">
        <v>1262</v>
      </c>
      <c r="K1190" s="166" t="s">
        <v>1299</v>
      </c>
      <c r="L1190" s="179">
        <f>1480/7</f>
        <v>211.42857142857142</v>
      </c>
      <c r="M1190" s="166">
        <f>2*135*15</f>
        <v>4050</v>
      </c>
      <c r="N1190" s="166">
        <v>1</v>
      </c>
      <c r="O1190" s="164">
        <f t="shared" si="133"/>
        <v>856285.7142857142</v>
      </c>
      <c r="P1190" s="166"/>
      <c r="Q1190" s="166"/>
      <c r="R1190" s="164">
        <f>$L1190*'Pivot Objective'!$C$9*P1190*Q1190</f>
        <v>0</v>
      </c>
      <c r="S1190" s="166"/>
      <c r="T1190" s="166"/>
      <c r="U1190" s="164">
        <f>($L1190*'Pivot Objective'!$C$9^2)*S1190*T1190</f>
        <v>0</v>
      </c>
      <c r="V1190" s="166"/>
      <c r="W1190" s="166"/>
      <c r="X1190" s="164">
        <f>($L1190*'Pivot Objective'!$C$9^3)*V1190*W1190</f>
        <v>0</v>
      </c>
      <c r="Y1190" s="166">
        <f>2*135*9</f>
        <v>2430</v>
      </c>
      <c r="Z1190" s="166">
        <v>1</v>
      </c>
      <c r="AA1190" s="164">
        <f>($L1190*'Pivot Objective'!$C$9^4)*Y1190*Z1190</f>
        <v>876667.58040533611</v>
      </c>
      <c r="AB1190" s="140"/>
      <c r="AC1190" s="140"/>
      <c r="AD1190" s="164">
        <f>($L1190*'Pivot Objective'!$C$9^5)*AB1190*AC1190</f>
        <v>0</v>
      </c>
      <c r="AE1190" s="140"/>
      <c r="AF1190" s="140"/>
      <c r="AG1190" s="164">
        <f>($L1190*'Pivot Objective'!$C$9^6)*AE1190*AF1190</f>
        <v>0</v>
      </c>
      <c r="AH1190" s="140"/>
      <c r="AI1190" s="140"/>
      <c r="AJ1190" s="164">
        <f>($L1190*'Pivot Objective'!$C$9^7)*AH1190*AI1190</f>
        <v>0</v>
      </c>
      <c r="AK1190" s="185">
        <f t="shared" si="134"/>
        <v>1732953.2946910504</v>
      </c>
      <c r="AL1190" s="186">
        <f t="shared" si="135"/>
        <v>1682.478926884515</v>
      </c>
    </row>
    <row r="1191" spans="1:38" customFormat="1" ht="86.4" x14ac:dyDescent="0.3">
      <c r="A1191" s="140" t="s">
        <v>1481</v>
      </c>
      <c r="B1191" s="140">
        <v>2</v>
      </c>
      <c r="C1191" s="166" t="s">
        <v>983</v>
      </c>
      <c r="D1191" s="140" t="str">
        <f t="shared" si="131"/>
        <v>2</v>
      </c>
      <c r="E1191" s="166" t="s">
        <v>1255</v>
      </c>
      <c r="F1191" s="140">
        <f t="shared" si="137"/>
        <v>1</v>
      </c>
      <c r="G1191" s="140" t="str">
        <f t="shared" si="132"/>
        <v>2.2.1</v>
      </c>
      <c r="H1191" s="166" t="s">
        <v>1712</v>
      </c>
      <c r="I1191" s="166" t="s">
        <v>1263</v>
      </c>
      <c r="J1191" s="166" t="s">
        <v>1264</v>
      </c>
      <c r="K1191" s="166" t="s">
        <v>709</v>
      </c>
      <c r="L1191" s="166">
        <v>35000</v>
      </c>
      <c r="M1191" s="166">
        <v>1000</v>
      </c>
      <c r="N1191" s="166">
        <v>1</v>
      </c>
      <c r="O1191" s="164">
        <f t="shared" si="133"/>
        <v>35000000</v>
      </c>
      <c r="P1191" s="166">
        <v>1000</v>
      </c>
      <c r="Q1191" s="166">
        <v>1</v>
      </c>
      <c r="R1191" s="164">
        <f>$L1191*'Pivot Objective'!$C$9*P1191*Q1191</f>
        <v>40002238.394999996</v>
      </c>
      <c r="S1191" s="166">
        <v>0</v>
      </c>
      <c r="T1191" s="166">
        <v>0</v>
      </c>
      <c r="U1191" s="164">
        <f>($L1191*'Pivot Objective'!$C$9^2)*S1191*T1191</f>
        <v>0</v>
      </c>
      <c r="V1191" s="166">
        <v>0</v>
      </c>
      <c r="W1191" s="166">
        <v>0</v>
      </c>
      <c r="X1191" s="164">
        <f>($L1191*'Pivot Objective'!$C$9^3)*V1191*W1191</f>
        <v>0</v>
      </c>
      <c r="Y1191" s="166">
        <v>1000</v>
      </c>
      <c r="Z1191" s="166">
        <v>1</v>
      </c>
      <c r="AA1191" s="164">
        <f>($L1191*'Pivot Objective'!$C$9^4)*Y1191*Z1191</f>
        <v>59721821.043072902</v>
      </c>
      <c r="AB1191" s="140"/>
      <c r="AC1191" s="140"/>
      <c r="AD1191" s="164">
        <f>($L1191*'Pivot Objective'!$C$9^5)*AB1191*AC1191</f>
        <v>0</v>
      </c>
      <c r="AE1191" s="166">
        <v>1000</v>
      </c>
      <c r="AF1191" s="166">
        <v>1</v>
      </c>
      <c r="AG1191" s="164">
        <f>($L1191*'Pivot Objective'!$C$9^6)*AE1191*AF1191</f>
        <v>78012741.591997266</v>
      </c>
      <c r="AH1191" s="140"/>
      <c r="AI1191" s="140"/>
      <c r="AJ1191" s="164">
        <f>($L1191*'Pivot Objective'!$C$9^7)*AH1191*AI1191</f>
        <v>0</v>
      </c>
      <c r="AK1191" s="185">
        <f t="shared" si="134"/>
        <v>212736801.03007016</v>
      </c>
      <c r="AL1191" s="186">
        <f t="shared" si="135"/>
        <v>206540.58352433995</v>
      </c>
    </row>
    <row r="1192" spans="1:38" customFormat="1" ht="86.4" x14ac:dyDescent="0.3">
      <c r="A1192" s="140" t="s">
        <v>1481</v>
      </c>
      <c r="B1192" s="140">
        <v>2</v>
      </c>
      <c r="C1192" s="166" t="s">
        <v>983</v>
      </c>
      <c r="D1192" s="140" t="str">
        <f t="shared" si="131"/>
        <v>2</v>
      </c>
      <c r="E1192" s="166" t="s">
        <v>1255</v>
      </c>
      <c r="F1192" s="140">
        <f t="shared" si="137"/>
        <v>1</v>
      </c>
      <c r="G1192" s="140" t="str">
        <f t="shared" si="132"/>
        <v>2.2.1</v>
      </c>
      <c r="H1192" s="166" t="s">
        <v>1712</v>
      </c>
      <c r="I1192" s="166" t="s">
        <v>1263</v>
      </c>
      <c r="J1192" s="166" t="s">
        <v>1264</v>
      </c>
      <c r="K1192" s="166" t="s">
        <v>716</v>
      </c>
      <c r="L1192" s="166">
        <v>39000</v>
      </c>
      <c r="M1192" s="166">
        <v>1000</v>
      </c>
      <c r="N1192" s="166">
        <v>1</v>
      </c>
      <c r="O1192" s="164">
        <f t="shared" si="133"/>
        <v>39000000</v>
      </c>
      <c r="P1192" s="166">
        <v>1000</v>
      </c>
      <c r="Q1192" s="166">
        <v>1</v>
      </c>
      <c r="R1192" s="164">
        <f>$L1192*'Pivot Objective'!$C$9*P1192*Q1192</f>
        <v>44573922.782999992</v>
      </c>
      <c r="S1192" s="166">
        <v>0</v>
      </c>
      <c r="T1192" s="166">
        <v>0</v>
      </c>
      <c r="U1192" s="164">
        <f>($L1192*'Pivot Objective'!$C$9^2)*S1192*T1192</f>
        <v>0</v>
      </c>
      <c r="V1192" s="166">
        <v>0</v>
      </c>
      <c r="W1192" s="166">
        <v>0</v>
      </c>
      <c r="X1192" s="164">
        <f>($L1192*'Pivot Objective'!$C$9^3)*V1192*W1192</f>
        <v>0</v>
      </c>
      <c r="Y1192" s="166">
        <v>1000</v>
      </c>
      <c r="Z1192" s="166">
        <v>1</v>
      </c>
      <c r="AA1192" s="164">
        <f>($L1192*'Pivot Objective'!$C$9^4)*Y1192*Z1192</f>
        <v>66547172.019424088</v>
      </c>
      <c r="AB1192" s="140"/>
      <c r="AC1192" s="140"/>
      <c r="AD1192" s="164">
        <f>($L1192*'Pivot Objective'!$C$9^5)*AB1192*AC1192</f>
        <v>0</v>
      </c>
      <c r="AE1192" s="166">
        <v>1000</v>
      </c>
      <c r="AF1192" s="166">
        <v>1</v>
      </c>
      <c r="AG1192" s="164">
        <f>($L1192*'Pivot Objective'!$C$9^6)*AE1192*AF1192</f>
        <v>86928483.488225535</v>
      </c>
      <c r="AH1192" s="140"/>
      <c r="AI1192" s="140"/>
      <c r="AJ1192" s="164">
        <f>($L1192*'Pivot Objective'!$C$9^7)*AH1192*AI1192</f>
        <v>0</v>
      </c>
      <c r="AK1192" s="185">
        <f t="shared" si="134"/>
        <v>237049578.29064959</v>
      </c>
      <c r="AL1192" s="186">
        <f t="shared" si="135"/>
        <v>230145.22164140738</v>
      </c>
    </row>
    <row r="1193" spans="1:38" customFormat="1" ht="86.4" x14ac:dyDescent="0.3">
      <c r="A1193" s="140" t="s">
        <v>1481</v>
      </c>
      <c r="B1193" s="140">
        <v>2</v>
      </c>
      <c r="C1193" s="166" t="s">
        <v>983</v>
      </c>
      <c r="D1193" s="140" t="str">
        <f t="shared" si="131"/>
        <v>2</v>
      </c>
      <c r="E1193" s="166" t="s">
        <v>1255</v>
      </c>
      <c r="F1193" s="140">
        <f t="shared" si="137"/>
        <v>1</v>
      </c>
      <c r="G1193" s="140" t="str">
        <f t="shared" si="132"/>
        <v>2.2.1</v>
      </c>
      <c r="H1193" s="166" t="s">
        <v>1712</v>
      </c>
      <c r="I1193" s="166" t="s">
        <v>1263</v>
      </c>
      <c r="J1193" s="166" t="s">
        <v>1264</v>
      </c>
      <c r="K1193" s="166" t="s">
        <v>712</v>
      </c>
      <c r="L1193" s="179">
        <f>1480/7</f>
        <v>211.42857142857142</v>
      </c>
      <c r="M1193" s="166">
        <v>14500</v>
      </c>
      <c r="N1193" s="166">
        <v>1</v>
      </c>
      <c r="O1193" s="164">
        <f t="shared" si="133"/>
        <v>3065714.2857142854</v>
      </c>
      <c r="P1193" s="166">
        <v>14500</v>
      </c>
      <c r="Q1193" s="166">
        <v>1</v>
      </c>
      <c r="R1193" s="164">
        <f>$L1193*'Pivot Objective'!$C$9*P1193*Q1193</f>
        <v>3503869.5345171425</v>
      </c>
      <c r="S1193" s="166">
        <v>0</v>
      </c>
      <c r="T1193" s="166">
        <v>0</v>
      </c>
      <c r="U1193" s="164">
        <f>($L1193*'Pivot Objective'!$C$9^2)*S1193*T1193</f>
        <v>0</v>
      </c>
      <c r="V1193" s="166">
        <v>0</v>
      </c>
      <c r="W1193" s="166">
        <v>0</v>
      </c>
      <c r="X1193" s="164">
        <f>($L1193*'Pivot Objective'!$C$9^3)*V1193*W1193</f>
        <v>0</v>
      </c>
      <c r="Y1193" s="166">
        <v>14500</v>
      </c>
      <c r="Z1193" s="166">
        <v>1</v>
      </c>
      <c r="AA1193" s="164">
        <f>($L1193*'Pivot Objective'!$C$9^4)*Y1193*Z1193</f>
        <v>5231143.998303446</v>
      </c>
      <c r="AB1193" s="140"/>
      <c r="AC1193" s="140"/>
      <c r="AD1193" s="164">
        <f>($L1193*'Pivot Objective'!$C$9^5)*AB1193*AC1193</f>
        <v>0</v>
      </c>
      <c r="AE1193" s="166">
        <v>14500</v>
      </c>
      <c r="AF1193" s="166">
        <v>1</v>
      </c>
      <c r="AG1193" s="164">
        <f>($L1193*'Pivot Objective'!$C$9^6)*AE1193*AF1193</f>
        <v>6833279.3247520877</v>
      </c>
      <c r="AH1193" s="140"/>
      <c r="AI1193" s="140"/>
      <c r="AJ1193" s="164">
        <f>($L1193*'Pivot Objective'!$C$9^7)*AH1193*AI1193</f>
        <v>0</v>
      </c>
      <c r="AK1193" s="185">
        <f t="shared" si="134"/>
        <v>18634007.143286962</v>
      </c>
      <c r="AL1193" s="186">
        <f t="shared" si="135"/>
        <v>18091.26907115239</v>
      </c>
    </row>
    <row r="1194" spans="1:38" customFormat="1" ht="86.4" x14ac:dyDescent="0.3">
      <c r="A1194" s="140" t="s">
        <v>1481</v>
      </c>
      <c r="B1194" s="140">
        <v>2</v>
      </c>
      <c r="C1194" s="166" t="s">
        <v>983</v>
      </c>
      <c r="D1194" s="140" t="str">
        <f t="shared" si="131"/>
        <v>2</v>
      </c>
      <c r="E1194" s="166" t="s">
        <v>1255</v>
      </c>
      <c r="F1194" s="140">
        <f t="shared" si="137"/>
        <v>1</v>
      </c>
      <c r="G1194" s="140" t="str">
        <f t="shared" si="132"/>
        <v>2.2.1</v>
      </c>
      <c r="H1194" s="166" t="s">
        <v>1712</v>
      </c>
      <c r="I1194" s="166" t="s">
        <v>1263</v>
      </c>
      <c r="J1194" s="166" t="s">
        <v>1264</v>
      </c>
      <c r="K1194" s="166" t="s">
        <v>1299</v>
      </c>
      <c r="L1194" s="179">
        <f>1480/7</f>
        <v>211.42857142857142</v>
      </c>
      <c r="M1194" s="166">
        <f>22500*2</f>
        <v>45000</v>
      </c>
      <c r="N1194" s="166">
        <v>1</v>
      </c>
      <c r="O1194" s="164">
        <f t="shared" si="133"/>
        <v>9514285.7142857146</v>
      </c>
      <c r="P1194" s="166">
        <f>22500*2</f>
        <v>45000</v>
      </c>
      <c r="Q1194" s="166">
        <v>1</v>
      </c>
      <c r="R1194" s="164">
        <f>$L1194*'Pivot Objective'!$C$9*P1194*Q1194</f>
        <v>10874077.865742857</v>
      </c>
      <c r="S1194" s="166"/>
      <c r="T1194" s="166"/>
      <c r="U1194" s="164">
        <f>($L1194*'Pivot Objective'!$C$9^2)*S1194*T1194</f>
        <v>0</v>
      </c>
      <c r="V1194" s="166"/>
      <c r="W1194" s="166"/>
      <c r="X1194" s="164">
        <f>($L1194*'Pivot Objective'!$C$9^3)*V1194*W1194</f>
        <v>0</v>
      </c>
      <c r="Y1194" s="166">
        <f>22500*2</f>
        <v>45000</v>
      </c>
      <c r="Z1194" s="166">
        <v>1</v>
      </c>
      <c r="AA1194" s="164">
        <f>($L1194*'Pivot Objective'!$C$9^4)*Y1194*Z1194</f>
        <v>16234584.822321039</v>
      </c>
      <c r="AB1194" s="140"/>
      <c r="AC1194" s="140"/>
      <c r="AD1194" s="164">
        <f>($L1194*'Pivot Objective'!$C$9^5)*AB1194*AC1194</f>
        <v>0</v>
      </c>
      <c r="AE1194" s="166">
        <f>22500*2</f>
        <v>45000</v>
      </c>
      <c r="AF1194" s="166">
        <v>1</v>
      </c>
      <c r="AG1194" s="164">
        <f>($L1194*'Pivot Objective'!$C$9^6)*AE1194*AF1194</f>
        <v>21206728.938885789</v>
      </c>
      <c r="AH1194" s="140"/>
      <c r="AI1194" s="140"/>
      <c r="AJ1194" s="164">
        <f>($L1194*'Pivot Objective'!$C$9^7)*AH1194*AI1194</f>
        <v>0</v>
      </c>
      <c r="AK1194" s="185">
        <f t="shared" si="134"/>
        <v>57829677.341235399</v>
      </c>
      <c r="AL1194" s="186">
        <f t="shared" si="135"/>
        <v>56145.317807024658</v>
      </c>
    </row>
    <row r="1195" spans="1:38" customFormat="1" ht="86.4" x14ac:dyDescent="0.3">
      <c r="A1195" s="140" t="s">
        <v>1481</v>
      </c>
      <c r="B1195" s="140">
        <v>2</v>
      </c>
      <c r="C1195" s="166" t="s">
        <v>983</v>
      </c>
      <c r="D1195" s="140" t="str">
        <f t="shared" si="131"/>
        <v>2</v>
      </c>
      <c r="E1195" s="166" t="s">
        <v>1255</v>
      </c>
      <c r="F1195" s="140">
        <f t="shared" si="137"/>
        <v>1</v>
      </c>
      <c r="G1195" s="140" t="str">
        <f t="shared" si="132"/>
        <v>2.2.1</v>
      </c>
      <c r="H1195" s="166" t="s">
        <v>1712</v>
      </c>
      <c r="I1195" s="166" t="s">
        <v>1265</v>
      </c>
      <c r="J1195" s="166" t="s">
        <v>1266</v>
      </c>
      <c r="K1195" s="166" t="s">
        <v>709</v>
      </c>
      <c r="L1195" s="166">
        <v>35000</v>
      </c>
      <c r="M1195" s="166">
        <v>100</v>
      </c>
      <c r="N1195" s="166">
        <v>2</v>
      </c>
      <c r="O1195" s="164">
        <f t="shared" si="133"/>
        <v>7000000</v>
      </c>
      <c r="P1195" s="166">
        <v>20000</v>
      </c>
      <c r="Q1195" s="166">
        <v>5</v>
      </c>
      <c r="R1195" s="164">
        <f>$L1195*'Pivot Objective'!$C$9*P1195*Q1195</f>
        <v>4000223839.499999</v>
      </c>
      <c r="S1195" s="166">
        <v>0</v>
      </c>
      <c r="T1195" s="166">
        <v>0</v>
      </c>
      <c r="U1195" s="164">
        <f>($L1195*'Pivot Objective'!$C$9^2)*S1195*T1195</f>
        <v>0</v>
      </c>
      <c r="V1195" s="166">
        <v>0</v>
      </c>
      <c r="W1195" s="166">
        <v>0</v>
      </c>
      <c r="X1195" s="164">
        <f>($L1195*'Pivot Objective'!$C$9^3)*V1195*W1195</f>
        <v>0</v>
      </c>
      <c r="Y1195" s="166">
        <v>0</v>
      </c>
      <c r="Z1195" s="166">
        <v>0</v>
      </c>
      <c r="AA1195" s="164">
        <f>($L1195*'Pivot Objective'!$C$9^4)*Y1195*Z1195</f>
        <v>0</v>
      </c>
      <c r="AB1195" s="140"/>
      <c r="AC1195" s="140"/>
      <c r="AD1195" s="164">
        <f>($L1195*'Pivot Objective'!$C$9^5)*AB1195*AC1195</f>
        <v>0</v>
      </c>
      <c r="AE1195" s="140"/>
      <c r="AF1195" s="140"/>
      <c r="AG1195" s="164">
        <f>($L1195*'Pivot Objective'!$C$9^6)*AE1195*AF1195</f>
        <v>0</v>
      </c>
      <c r="AH1195" s="140"/>
      <c r="AI1195" s="140"/>
      <c r="AJ1195" s="164">
        <f>($L1195*'Pivot Objective'!$C$9^7)*AH1195*AI1195</f>
        <v>0</v>
      </c>
      <c r="AK1195" s="185">
        <f t="shared" si="134"/>
        <v>4007223839.499999</v>
      </c>
      <c r="AL1195" s="186">
        <f t="shared" si="135"/>
        <v>3890508.5820388342</v>
      </c>
    </row>
    <row r="1196" spans="1:38" customFormat="1" ht="86.4" x14ac:dyDescent="0.3">
      <c r="A1196" s="140" t="s">
        <v>1481</v>
      </c>
      <c r="B1196" s="140">
        <v>2</v>
      </c>
      <c r="C1196" s="166" t="s">
        <v>983</v>
      </c>
      <c r="D1196" s="140" t="str">
        <f t="shared" si="131"/>
        <v>2</v>
      </c>
      <c r="E1196" s="166" t="s">
        <v>1255</v>
      </c>
      <c r="F1196" s="140">
        <f t="shared" si="137"/>
        <v>1</v>
      </c>
      <c r="G1196" s="140" t="str">
        <f t="shared" si="132"/>
        <v>2.2.1</v>
      </c>
      <c r="H1196" s="166" t="s">
        <v>1712</v>
      </c>
      <c r="I1196" s="166" t="s">
        <v>1265</v>
      </c>
      <c r="J1196" s="166" t="s">
        <v>1266</v>
      </c>
      <c r="K1196" s="166" t="s">
        <v>716</v>
      </c>
      <c r="L1196" s="166">
        <v>39000</v>
      </c>
      <c r="M1196" s="166">
        <v>58</v>
      </c>
      <c r="N1196" s="166">
        <v>2</v>
      </c>
      <c r="O1196" s="164">
        <f t="shared" si="133"/>
        <v>4524000</v>
      </c>
      <c r="P1196" s="166"/>
      <c r="Q1196" s="166"/>
      <c r="R1196" s="164">
        <f>$L1196*'Pivot Objective'!$C$9*P1196*Q1196</f>
        <v>0</v>
      </c>
      <c r="S1196" s="166"/>
      <c r="T1196" s="166"/>
      <c r="U1196" s="164">
        <f>($L1196*'Pivot Objective'!$C$9^2)*S1196*T1196</f>
        <v>0</v>
      </c>
      <c r="V1196" s="166"/>
      <c r="W1196" s="166"/>
      <c r="X1196" s="164">
        <f>($L1196*'Pivot Objective'!$C$9^3)*V1196*W1196</f>
        <v>0</v>
      </c>
      <c r="Y1196" s="166"/>
      <c r="Z1196" s="166"/>
      <c r="AA1196" s="164">
        <f>($L1196*'Pivot Objective'!$C$9^4)*Y1196*Z1196</f>
        <v>0</v>
      </c>
      <c r="AB1196" s="140"/>
      <c r="AC1196" s="140"/>
      <c r="AD1196" s="164">
        <f>($L1196*'Pivot Objective'!$C$9^5)*AB1196*AC1196</f>
        <v>0</v>
      </c>
      <c r="AE1196" s="140"/>
      <c r="AF1196" s="140"/>
      <c r="AG1196" s="164">
        <f>($L1196*'Pivot Objective'!$C$9^6)*AE1196*AF1196</f>
        <v>0</v>
      </c>
      <c r="AH1196" s="140"/>
      <c r="AI1196" s="140"/>
      <c r="AJ1196" s="164">
        <f>($L1196*'Pivot Objective'!$C$9^7)*AH1196*AI1196</f>
        <v>0</v>
      </c>
      <c r="AK1196" s="185">
        <f t="shared" si="134"/>
        <v>4524000</v>
      </c>
      <c r="AL1196" s="186">
        <f t="shared" si="135"/>
        <v>4392.2330097087379</v>
      </c>
    </row>
    <row r="1197" spans="1:38" customFormat="1" ht="86.4" x14ac:dyDescent="0.3">
      <c r="A1197" s="140" t="s">
        <v>1481</v>
      </c>
      <c r="B1197" s="140">
        <v>2</v>
      </c>
      <c r="C1197" s="166" t="s">
        <v>983</v>
      </c>
      <c r="D1197" s="140" t="str">
        <f t="shared" si="131"/>
        <v>2</v>
      </c>
      <c r="E1197" s="166" t="s">
        <v>1255</v>
      </c>
      <c r="F1197" s="140">
        <f t="shared" si="137"/>
        <v>1</v>
      </c>
      <c r="G1197" s="140" t="str">
        <f t="shared" si="132"/>
        <v>2.2.1</v>
      </c>
      <c r="H1197" s="166" t="s">
        <v>1712</v>
      </c>
      <c r="I1197" s="166" t="s">
        <v>1265</v>
      </c>
      <c r="J1197" s="166" t="s">
        <v>1266</v>
      </c>
      <c r="K1197" s="166" t="s">
        <v>712</v>
      </c>
      <c r="L1197" s="179">
        <f>1480/7</f>
        <v>211.42857142857142</v>
      </c>
      <c r="M1197" s="166">
        <f>2*25*29</f>
        <v>1450</v>
      </c>
      <c r="N1197" s="166">
        <v>2</v>
      </c>
      <c r="O1197" s="164">
        <f t="shared" si="133"/>
        <v>613142.85714285716</v>
      </c>
      <c r="P1197" s="166"/>
      <c r="Q1197" s="166"/>
      <c r="R1197" s="164">
        <f>$L1197*'Pivot Objective'!$C$9*P1197*Q1197</f>
        <v>0</v>
      </c>
      <c r="S1197" s="166"/>
      <c r="T1197" s="166"/>
      <c r="U1197" s="164">
        <f>($L1197*'Pivot Objective'!$C$9^2)*S1197*T1197</f>
        <v>0</v>
      </c>
      <c r="V1197" s="166"/>
      <c r="W1197" s="166"/>
      <c r="X1197" s="164">
        <f>($L1197*'Pivot Objective'!$C$9^3)*V1197*W1197</f>
        <v>0</v>
      </c>
      <c r="Y1197" s="166"/>
      <c r="Z1197" s="166"/>
      <c r="AA1197" s="164">
        <f>($L1197*'Pivot Objective'!$C$9^4)*Y1197*Z1197</f>
        <v>0</v>
      </c>
      <c r="AB1197" s="140"/>
      <c r="AC1197" s="140"/>
      <c r="AD1197" s="164">
        <f>($L1197*'Pivot Objective'!$C$9^5)*AB1197*AC1197</f>
        <v>0</v>
      </c>
      <c r="AE1197" s="140"/>
      <c r="AF1197" s="140"/>
      <c r="AG1197" s="164">
        <f>($L1197*'Pivot Objective'!$C$9^6)*AE1197*AF1197</f>
        <v>0</v>
      </c>
      <c r="AH1197" s="140"/>
      <c r="AI1197" s="140"/>
      <c r="AJ1197" s="164">
        <f>($L1197*'Pivot Objective'!$C$9^7)*AH1197*AI1197</f>
        <v>0</v>
      </c>
      <c r="AK1197" s="185">
        <f t="shared" si="134"/>
        <v>613142.85714285716</v>
      </c>
      <c r="AL1197" s="186">
        <f t="shared" si="135"/>
        <v>595.2843273231623</v>
      </c>
    </row>
    <row r="1198" spans="1:38" customFormat="1" ht="86.4" x14ac:dyDescent="0.3">
      <c r="A1198" s="140" t="s">
        <v>1481</v>
      </c>
      <c r="B1198" s="140">
        <v>2</v>
      </c>
      <c r="C1198" s="166" t="s">
        <v>983</v>
      </c>
      <c r="D1198" s="140" t="str">
        <f t="shared" si="131"/>
        <v>2</v>
      </c>
      <c r="E1198" s="166" t="s">
        <v>1255</v>
      </c>
      <c r="F1198" s="140">
        <f t="shared" si="137"/>
        <v>1</v>
      </c>
      <c r="G1198" s="140" t="str">
        <f t="shared" si="132"/>
        <v>2.2.1</v>
      </c>
      <c r="H1198" s="166" t="s">
        <v>1712</v>
      </c>
      <c r="I1198" s="166" t="s">
        <v>1265</v>
      </c>
      <c r="J1198" s="166" t="s">
        <v>1266</v>
      </c>
      <c r="K1198" s="166" t="s">
        <v>1299</v>
      </c>
      <c r="L1198" s="179">
        <f>1480/7</f>
        <v>211.42857142857142</v>
      </c>
      <c r="M1198" s="166">
        <v>22500</v>
      </c>
      <c r="N1198" s="166">
        <v>1</v>
      </c>
      <c r="O1198" s="164">
        <f t="shared" si="133"/>
        <v>4757142.8571428573</v>
      </c>
      <c r="P1198" s="166"/>
      <c r="Q1198" s="166"/>
      <c r="R1198" s="164">
        <f>$L1198*'Pivot Objective'!$C$9*P1198*Q1198</f>
        <v>0</v>
      </c>
      <c r="S1198" s="166"/>
      <c r="T1198" s="166"/>
      <c r="U1198" s="164">
        <f>($L1198*'Pivot Objective'!$C$9^2)*S1198*T1198</f>
        <v>0</v>
      </c>
      <c r="V1198" s="166"/>
      <c r="W1198" s="166"/>
      <c r="X1198" s="164">
        <f>($L1198*'Pivot Objective'!$C$9^3)*V1198*W1198</f>
        <v>0</v>
      </c>
      <c r="Y1198" s="166"/>
      <c r="Z1198" s="166"/>
      <c r="AA1198" s="164">
        <f>($L1198*'Pivot Objective'!$C$9^4)*Y1198*Z1198</f>
        <v>0</v>
      </c>
      <c r="AB1198" s="140"/>
      <c r="AC1198" s="140"/>
      <c r="AD1198" s="164">
        <f>($L1198*'Pivot Objective'!$C$9^5)*AB1198*AC1198</f>
        <v>0</v>
      </c>
      <c r="AE1198" s="140"/>
      <c r="AF1198" s="140"/>
      <c r="AG1198" s="164">
        <f>($L1198*'Pivot Objective'!$C$9^6)*AE1198*AF1198</f>
        <v>0</v>
      </c>
      <c r="AH1198" s="140"/>
      <c r="AI1198" s="140"/>
      <c r="AJ1198" s="164">
        <f>($L1198*'Pivot Objective'!$C$9^7)*AH1198*AI1198</f>
        <v>0</v>
      </c>
      <c r="AK1198" s="185">
        <f t="shared" si="134"/>
        <v>4757142.8571428573</v>
      </c>
      <c r="AL1198" s="186">
        <f t="shared" si="135"/>
        <v>4618.5852981969492</v>
      </c>
    </row>
    <row r="1199" spans="1:38" customFormat="1" ht="86.4" x14ac:dyDescent="0.3">
      <c r="A1199" s="140" t="s">
        <v>1481</v>
      </c>
      <c r="B1199" s="140">
        <v>2</v>
      </c>
      <c r="C1199" s="166" t="s">
        <v>983</v>
      </c>
      <c r="D1199" s="140" t="str">
        <f t="shared" si="131"/>
        <v>2</v>
      </c>
      <c r="E1199" s="166" t="s">
        <v>1255</v>
      </c>
      <c r="F1199" s="140">
        <f t="shared" si="137"/>
        <v>1</v>
      </c>
      <c r="G1199" s="140" t="str">
        <f t="shared" si="132"/>
        <v>2.2.1</v>
      </c>
      <c r="H1199" s="166" t="s">
        <v>1712</v>
      </c>
      <c r="I1199" s="166" t="s">
        <v>1267</v>
      </c>
      <c r="J1199" s="166" t="s">
        <v>1179</v>
      </c>
      <c r="K1199" s="166" t="s">
        <v>841</v>
      </c>
      <c r="L1199" s="166">
        <v>0</v>
      </c>
      <c r="M1199" s="166">
        <v>0</v>
      </c>
      <c r="N1199" s="166">
        <v>0</v>
      </c>
      <c r="O1199" s="164">
        <f t="shared" si="133"/>
        <v>0</v>
      </c>
      <c r="P1199" s="166">
        <v>0</v>
      </c>
      <c r="Q1199" s="166">
        <v>0</v>
      </c>
      <c r="R1199" s="164">
        <f>$L1199*'Pivot Objective'!$C$9*P1199*Q1199</f>
        <v>0</v>
      </c>
      <c r="S1199" s="166">
        <v>0</v>
      </c>
      <c r="T1199" s="166">
        <v>0</v>
      </c>
      <c r="U1199" s="164">
        <f>($L1199*'Pivot Objective'!$C$9^2)*S1199*T1199</f>
        <v>0</v>
      </c>
      <c r="V1199" s="166">
        <v>0</v>
      </c>
      <c r="W1199" s="166">
        <v>0</v>
      </c>
      <c r="X1199" s="164">
        <f>($L1199*'Pivot Objective'!$C$9^3)*V1199*W1199</f>
        <v>0</v>
      </c>
      <c r="Y1199" s="166">
        <v>0</v>
      </c>
      <c r="Z1199" s="166">
        <v>0</v>
      </c>
      <c r="AA1199" s="164">
        <f>($L1199*'Pivot Objective'!$C$9^4)*Y1199*Z1199</f>
        <v>0</v>
      </c>
      <c r="AB1199" s="140"/>
      <c r="AC1199" s="140"/>
      <c r="AD1199" s="164">
        <f>($L1199*'Pivot Objective'!$C$9^5)*AB1199*AC1199</f>
        <v>0</v>
      </c>
      <c r="AE1199" s="140"/>
      <c r="AF1199" s="140"/>
      <c r="AG1199" s="164">
        <f>($L1199*'Pivot Objective'!$C$9^6)*AE1199*AF1199</f>
        <v>0</v>
      </c>
      <c r="AH1199" s="140"/>
      <c r="AI1199" s="140"/>
      <c r="AJ1199" s="164">
        <f>($L1199*'Pivot Objective'!$C$9^7)*AH1199*AI1199</f>
        <v>0</v>
      </c>
      <c r="AK1199" s="185">
        <f t="shared" si="134"/>
        <v>0</v>
      </c>
      <c r="AL1199" s="186">
        <f t="shared" si="135"/>
        <v>0</v>
      </c>
    </row>
    <row r="1200" spans="1:38" customFormat="1" ht="86.4" x14ac:dyDescent="0.3">
      <c r="A1200" s="140" t="s">
        <v>1481</v>
      </c>
      <c r="B1200" s="140">
        <v>2</v>
      </c>
      <c r="C1200" s="166" t="s">
        <v>983</v>
      </c>
      <c r="D1200" s="140" t="str">
        <f t="shared" si="131"/>
        <v>2</v>
      </c>
      <c r="E1200" s="166" t="s">
        <v>1255</v>
      </c>
      <c r="F1200" s="140">
        <f t="shared" si="137"/>
        <v>1</v>
      </c>
      <c r="G1200" s="140" t="str">
        <f t="shared" si="132"/>
        <v>2.2.1</v>
      </c>
      <c r="H1200" s="166" t="s">
        <v>1712</v>
      </c>
      <c r="I1200" s="166" t="s">
        <v>1268</v>
      </c>
      <c r="J1200" s="166" t="s">
        <v>1269</v>
      </c>
      <c r="K1200" s="166" t="s">
        <v>709</v>
      </c>
      <c r="L1200" s="166">
        <v>35000</v>
      </c>
      <c r="M1200" s="166">
        <v>25</v>
      </c>
      <c r="N1200" s="166">
        <f>5*3</f>
        <v>15</v>
      </c>
      <c r="O1200" s="164">
        <f t="shared" si="133"/>
        <v>13125000</v>
      </c>
      <c r="P1200" s="166">
        <v>25</v>
      </c>
      <c r="Q1200" s="166">
        <f>5*3</f>
        <v>15</v>
      </c>
      <c r="R1200" s="164">
        <f>$L1200*'Pivot Objective'!$C$9*P1200*Q1200</f>
        <v>15000839.398124997</v>
      </c>
      <c r="S1200" s="166">
        <v>0</v>
      </c>
      <c r="T1200" s="166">
        <v>0</v>
      </c>
      <c r="U1200" s="164">
        <f>($L1200*'Pivot Objective'!$C$9^2)*S1200*T1200</f>
        <v>0</v>
      </c>
      <c r="V1200" s="166">
        <v>0</v>
      </c>
      <c r="W1200" s="166">
        <v>0</v>
      </c>
      <c r="X1200" s="164">
        <f>($L1200*'Pivot Objective'!$C$9^3)*V1200*W1200</f>
        <v>0</v>
      </c>
      <c r="Y1200" s="166">
        <v>0</v>
      </c>
      <c r="Z1200" s="166">
        <v>0</v>
      </c>
      <c r="AA1200" s="164">
        <f>($L1200*'Pivot Objective'!$C$9^4)*Y1200*Z1200</f>
        <v>0</v>
      </c>
      <c r="AB1200" s="166">
        <v>25</v>
      </c>
      <c r="AC1200" s="166">
        <f>5*3</f>
        <v>15</v>
      </c>
      <c r="AD1200" s="164">
        <f>($L1200*'Pivot Objective'!$C$9^5)*AB1200*AC1200</f>
        <v>25596498.458019953</v>
      </c>
      <c r="AE1200" s="140"/>
      <c r="AF1200" s="140"/>
      <c r="AG1200" s="164">
        <f>($L1200*'Pivot Objective'!$C$9^6)*AE1200*AF1200</f>
        <v>0</v>
      </c>
      <c r="AH1200" s="140"/>
      <c r="AI1200" s="140"/>
      <c r="AJ1200" s="164">
        <f>($L1200*'Pivot Objective'!$C$9^7)*AH1200*AI1200</f>
        <v>0</v>
      </c>
      <c r="AK1200" s="185">
        <f t="shared" si="134"/>
        <v>53722337.85614495</v>
      </c>
      <c r="AL1200" s="186">
        <f t="shared" si="135"/>
        <v>52157.609569072767</v>
      </c>
    </row>
    <row r="1201" spans="1:38" customFormat="1" ht="86.4" x14ac:dyDescent="0.3">
      <c r="A1201" s="140" t="s">
        <v>1481</v>
      </c>
      <c r="B1201" s="140">
        <v>2</v>
      </c>
      <c r="C1201" s="166" t="s">
        <v>983</v>
      </c>
      <c r="D1201" s="140" t="str">
        <f t="shared" si="131"/>
        <v>2</v>
      </c>
      <c r="E1201" s="166" t="s">
        <v>1255</v>
      </c>
      <c r="F1201" s="140">
        <f t="shared" si="137"/>
        <v>1</v>
      </c>
      <c r="G1201" s="140" t="str">
        <f t="shared" si="132"/>
        <v>2.2.1</v>
      </c>
      <c r="H1201" s="166" t="s">
        <v>1712</v>
      </c>
      <c r="I1201" s="166" t="s">
        <v>1268</v>
      </c>
      <c r="J1201" s="166" t="s">
        <v>1269</v>
      </c>
      <c r="K1201" s="166" t="s">
        <v>716</v>
      </c>
      <c r="L1201" s="166">
        <v>39000</v>
      </c>
      <c r="M1201" s="166">
        <v>25</v>
      </c>
      <c r="N1201" s="166">
        <f>6*3</f>
        <v>18</v>
      </c>
      <c r="O1201" s="164">
        <f t="shared" si="133"/>
        <v>17550000</v>
      </c>
      <c r="P1201" s="166">
        <v>25</v>
      </c>
      <c r="Q1201" s="166">
        <f>6*3</f>
        <v>18</v>
      </c>
      <c r="R1201" s="164">
        <f>$L1201*'Pivot Objective'!$C$9*P1201*Q1201</f>
        <v>20058265.252349999</v>
      </c>
      <c r="S1201" s="166">
        <v>0</v>
      </c>
      <c r="T1201" s="166">
        <v>0</v>
      </c>
      <c r="U1201" s="164">
        <f>($L1201*'Pivot Objective'!$C$9^2)*S1201*T1201</f>
        <v>0</v>
      </c>
      <c r="V1201" s="166">
        <v>0</v>
      </c>
      <c r="W1201" s="166">
        <v>0</v>
      </c>
      <c r="X1201" s="164">
        <f>($L1201*'Pivot Objective'!$C$9^3)*V1201*W1201</f>
        <v>0</v>
      </c>
      <c r="Y1201" s="166">
        <v>0</v>
      </c>
      <c r="Z1201" s="166">
        <v>0</v>
      </c>
      <c r="AA1201" s="164">
        <f>($L1201*'Pivot Objective'!$C$9^4)*Y1201*Z1201</f>
        <v>0</v>
      </c>
      <c r="AB1201" s="166">
        <v>25</v>
      </c>
      <c r="AC1201" s="166">
        <f>6*3</f>
        <v>18</v>
      </c>
      <c r="AD1201" s="164">
        <f>($L1201*'Pivot Objective'!$C$9^5)*AB1201*AC1201</f>
        <v>34226175.081009544</v>
      </c>
      <c r="AE1201" s="140"/>
      <c r="AF1201" s="140"/>
      <c r="AG1201" s="164">
        <f>($L1201*'Pivot Objective'!$C$9^6)*AE1201*AF1201</f>
        <v>0</v>
      </c>
      <c r="AH1201" s="140"/>
      <c r="AI1201" s="140"/>
      <c r="AJ1201" s="164">
        <f>($L1201*'Pivot Objective'!$C$9^7)*AH1201*AI1201</f>
        <v>0</v>
      </c>
      <c r="AK1201" s="185">
        <f t="shared" si="134"/>
        <v>71834440.33335954</v>
      </c>
      <c r="AL1201" s="186">
        <f t="shared" si="135"/>
        <v>69742.175080931585</v>
      </c>
    </row>
    <row r="1202" spans="1:38" customFormat="1" ht="86.4" x14ac:dyDescent="0.3">
      <c r="A1202" s="140" t="s">
        <v>1481</v>
      </c>
      <c r="B1202" s="140">
        <v>2</v>
      </c>
      <c r="C1202" s="166" t="s">
        <v>983</v>
      </c>
      <c r="D1202" s="140" t="str">
        <f t="shared" si="131"/>
        <v>2</v>
      </c>
      <c r="E1202" s="166" t="s">
        <v>1255</v>
      </c>
      <c r="F1202" s="140">
        <f t="shared" si="137"/>
        <v>1</v>
      </c>
      <c r="G1202" s="140" t="str">
        <f t="shared" si="132"/>
        <v>2.2.1</v>
      </c>
      <c r="H1202" s="166" t="s">
        <v>1712</v>
      </c>
      <c r="I1202" s="166" t="s">
        <v>1268</v>
      </c>
      <c r="J1202" s="166" t="s">
        <v>1269</v>
      </c>
      <c r="K1202" s="166" t="s">
        <v>712</v>
      </c>
      <c r="L1202" s="179">
        <f>1480/7</f>
        <v>211.42857142857142</v>
      </c>
      <c r="M1202" s="179">
        <f>2*25*9</f>
        <v>450</v>
      </c>
      <c r="N1202" s="166">
        <f>5*3</f>
        <v>15</v>
      </c>
      <c r="O1202" s="164">
        <f t="shared" si="133"/>
        <v>1427142.857142857</v>
      </c>
      <c r="P1202" s="179">
        <f>2*25*9</f>
        <v>450</v>
      </c>
      <c r="Q1202" s="166">
        <f>5*3</f>
        <v>15</v>
      </c>
      <c r="R1202" s="164">
        <f>$L1202*'Pivot Objective'!$C$9*P1202*Q1202</f>
        <v>1631111.6798614284</v>
      </c>
      <c r="S1202" s="166">
        <v>0</v>
      </c>
      <c r="T1202" s="166">
        <v>0</v>
      </c>
      <c r="U1202" s="164">
        <f>($L1202*'Pivot Objective'!$C$9^2)*S1202*T1202</f>
        <v>0</v>
      </c>
      <c r="V1202" s="166">
        <v>0</v>
      </c>
      <c r="W1202" s="166">
        <v>0</v>
      </c>
      <c r="X1202" s="164">
        <f>($L1202*'Pivot Objective'!$C$9^3)*V1202*W1202</f>
        <v>0</v>
      </c>
      <c r="Y1202" s="166">
        <v>0</v>
      </c>
      <c r="Z1202" s="166">
        <v>0</v>
      </c>
      <c r="AA1202" s="164">
        <f>($L1202*'Pivot Objective'!$C$9^4)*Y1202*Z1202</f>
        <v>0</v>
      </c>
      <c r="AB1202" s="179">
        <f>2*25*9</f>
        <v>450</v>
      </c>
      <c r="AC1202" s="166">
        <f>5*3</f>
        <v>15</v>
      </c>
      <c r="AD1202" s="164">
        <f>($L1202*'Pivot Objective'!$C$9^5)*AB1202*AC1202</f>
        <v>2783227.424170007</v>
      </c>
      <c r="AE1202" s="140"/>
      <c r="AF1202" s="140"/>
      <c r="AG1202" s="164">
        <f>($L1202*'Pivot Objective'!$C$9^6)*AE1202*AF1202</f>
        <v>0</v>
      </c>
      <c r="AH1202" s="140"/>
      <c r="AI1202" s="140"/>
      <c r="AJ1202" s="164">
        <f>($L1202*'Pivot Objective'!$C$9^7)*AH1202*AI1202</f>
        <v>0</v>
      </c>
      <c r="AK1202" s="185">
        <f t="shared" si="134"/>
        <v>5841481.9611742925</v>
      </c>
      <c r="AL1202" s="186">
        <f t="shared" si="135"/>
        <v>5671.3417098779537</v>
      </c>
    </row>
    <row r="1203" spans="1:38" customFormat="1" ht="86.4" x14ac:dyDescent="0.3">
      <c r="A1203" s="140" t="s">
        <v>1481</v>
      </c>
      <c r="B1203" s="140">
        <v>2</v>
      </c>
      <c r="C1203" s="166" t="s">
        <v>983</v>
      </c>
      <c r="D1203" s="140" t="str">
        <f t="shared" si="131"/>
        <v>2</v>
      </c>
      <c r="E1203" s="166" t="s">
        <v>1255</v>
      </c>
      <c r="F1203" s="140">
        <f t="shared" si="137"/>
        <v>1</v>
      </c>
      <c r="G1203" s="140" t="str">
        <f t="shared" si="132"/>
        <v>2.2.1</v>
      </c>
      <c r="H1203" s="166" t="s">
        <v>1712</v>
      </c>
      <c r="I1203" s="166" t="s">
        <v>1268</v>
      </c>
      <c r="J1203" s="166" t="s">
        <v>1269</v>
      </c>
      <c r="K1203" s="166" t="s">
        <v>1299</v>
      </c>
      <c r="L1203" s="179">
        <f>1480/7</f>
        <v>211.42857142857142</v>
      </c>
      <c r="M1203" s="179">
        <f>2*135*9</f>
        <v>2430</v>
      </c>
      <c r="N1203" s="166">
        <v>3</v>
      </c>
      <c r="O1203" s="164">
        <f t="shared" si="133"/>
        <v>1541314.2857142854</v>
      </c>
      <c r="P1203" s="179">
        <f>2*135*9</f>
        <v>2430</v>
      </c>
      <c r="Q1203" s="166">
        <v>3</v>
      </c>
      <c r="R1203" s="164">
        <f>$L1203*'Pivot Objective'!$C$9*P1203*Q1203</f>
        <v>1761600.6142503428</v>
      </c>
      <c r="S1203" s="166"/>
      <c r="T1203" s="166"/>
      <c r="U1203" s="164">
        <f>($L1203*'Pivot Objective'!$C$9^2)*S1203*T1203</f>
        <v>0</v>
      </c>
      <c r="V1203" s="166"/>
      <c r="W1203" s="166"/>
      <c r="X1203" s="164">
        <f>($L1203*'Pivot Objective'!$C$9^3)*V1203*W1203</f>
        <v>0</v>
      </c>
      <c r="Y1203" s="166"/>
      <c r="Z1203" s="166"/>
      <c r="AA1203" s="164">
        <f>($L1203*'Pivot Objective'!$C$9^4)*Y1203*Z1203</f>
        <v>0</v>
      </c>
      <c r="AB1203" s="179">
        <f>2*135*9</f>
        <v>2430</v>
      </c>
      <c r="AC1203" s="166">
        <v>3</v>
      </c>
      <c r="AD1203" s="164">
        <f>($L1203*'Pivot Objective'!$C$9^5)*AB1203*AC1203</f>
        <v>3005885.6181036076</v>
      </c>
      <c r="AE1203" s="140"/>
      <c r="AF1203" s="140"/>
      <c r="AG1203" s="164">
        <f>($L1203*'Pivot Objective'!$C$9^6)*AE1203*AF1203</f>
        <v>0</v>
      </c>
      <c r="AH1203" s="140"/>
      <c r="AI1203" s="140"/>
      <c r="AJ1203" s="164">
        <f>($L1203*'Pivot Objective'!$C$9^7)*AH1203*AI1203</f>
        <v>0</v>
      </c>
      <c r="AK1203" s="185">
        <f t="shared" si="134"/>
        <v>6308800.5180682354</v>
      </c>
      <c r="AL1203" s="186">
        <f t="shared" si="135"/>
        <v>6125.0490466681895</v>
      </c>
    </row>
    <row r="1204" spans="1:38" customFormat="1" ht="86.4" x14ac:dyDescent="0.3">
      <c r="A1204" s="140" t="s">
        <v>1481</v>
      </c>
      <c r="B1204" s="140">
        <v>2</v>
      </c>
      <c r="C1204" s="166" t="s">
        <v>983</v>
      </c>
      <c r="D1204" s="140" t="str">
        <f t="shared" si="131"/>
        <v>2</v>
      </c>
      <c r="E1204" s="166" t="s">
        <v>1255</v>
      </c>
      <c r="F1204" s="140">
        <f t="shared" si="137"/>
        <v>1</v>
      </c>
      <c r="G1204" s="140" t="str">
        <f t="shared" si="132"/>
        <v>2.2.1</v>
      </c>
      <c r="H1204" s="166" t="s">
        <v>1712</v>
      </c>
      <c r="I1204" s="166" t="s">
        <v>1268</v>
      </c>
      <c r="J1204" s="166" t="s">
        <v>1270</v>
      </c>
      <c r="K1204" s="166" t="s">
        <v>709</v>
      </c>
      <c r="L1204" s="166">
        <v>35000</v>
      </c>
      <c r="M1204" s="166">
        <v>50</v>
      </c>
      <c r="N1204" s="166">
        <v>1</v>
      </c>
      <c r="O1204" s="164">
        <f t="shared" si="133"/>
        <v>1750000</v>
      </c>
      <c r="P1204" s="166">
        <v>50</v>
      </c>
      <c r="Q1204" s="166">
        <v>1</v>
      </c>
      <c r="R1204" s="164">
        <f>$L1204*'Pivot Objective'!$C$9*P1204*Q1204</f>
        <v>2000111.9197499997</v>
      </c>
      <c r="S1204" s="166">
        <v>0</v>
      </c>
      <c r="T1204" s="166">
        <v>0</v>
      </c>
      <c r="U1204" s="164">
        <f>($L1204*'Pivot Objective'!$C$9^2)*S1204*T1204</f>
        <v>0</v>
      </c>
      <c r="V1204" s="166">
        <v>0</v>
      </c>
      <c r="W1204" s="166">
        <v>0</v>
      </c>
      <c r="X1204" s="164">
        <f>($L1204*'Pivot Objective'!$C$9^3)*V1204*W1204</f>
        <v>0</v>
      </c>
      <c r="Y1204" s="166">
        <v>0</v>
      </c>
      <c r="Z1204" s="166">
        <v>0</v>
      </c>
      <c r="AA1204" s="164">
        <f>($L1204*'Pivot Objective'!$C$9^4)*Y1204*Z1204</f>
        <v>0</v>
      </c>
      <c r="AB1204" s="166">
        <v>50</v>
      </c>
      <c r="AC1204" s="166">
        <v>1</v>
      </c>
      <c r="AD1204" s="164">
        <f>($L1204*'Pivot Objective'!$C$9^5)*AB1204*AC1204</f>
        <v>3412866.4610693273</v>
      </c>
      <c r="AE1204" s="140"/>
      <c r="AF1204" s="140"/>
      <c r="AG1204" s="164">
        <f>($L1204*'Pivot Objective'!$C$9^6)*AE1204*AF1204</f>
        <v>0</v>
      </c>
      <c r="AH1204" s="140"/>
      <c r="AI1204" s="140"/>
      <c r="AJ1204" s="164">
        <f>($L1204*'Pivot Objective'!$C$9^7)*AH1204*AI1204</f>
        <v>0</v>
      </c>
      <c r="AK1204" s="185">
        <f t="shared" si="134"/>
        <v>7162978.3808193263</v>
      </c>
      <c r="AL1204" s="186">
        <f t="shared" si="135"/>
        <v>6954.3479425430351</v>
      </c>
    </row>
    <row r="1205" spans="1:38" customFormat="1" ht="86.4" x14ac:dyDescent="0.3">
      <c r="A1205" s="140" t="s">
        <v>1481</v>
      </c>
      <c r="B1205" s="140">
        <v>2</v>
      </c>
      <c r="C1205" s="166" t="s">
        <v>983</v>
      </c>
      <c r="D1205" s="140" t="str">
        <f t="shared" si="131"/>
        <v>2</v>
      </c>
      <c r="E1205" s="166" t="s">
        <v>1255</v>
      </c>
      <c r="F1205" s="140">
        <f t="shared" si="137"/>
        <v>1</v>
      </c>
      <c r="G1205" s="140" t="str">
        <f t="shared" si="132"/>
        <v>2.2.1</v>
      </c>
      <c r="H1205" s="166" t="s">
        <v>1712</v>
      </c>
      <c r="I1205" s="166" t="s">
        <v>1268</v>
      </c>
      <c r="J1205" s="166" t="s">
        <v>1271</v>
      </c>
      <c r="K1205" s="166" t="s">
        <v>841</v>
      </c>
      <c r="L1205" s="166">
        <v>0</v>
      </c>
      <c r="M1205" s="166">
        <v>0</v>
      </c>
      <c r="N1205" s="166">
        <v>0</v>
      </c>
      <c r="O1205" s="164">
        <f t="shared" si="133"/>
        <v>0</v>
      </c>
      <c r="P1205" s="166">
        <v>0</v>
      </c>
      <c r="Q1205" s="166">
        <v>0</v>
      </c>
      <c r="R1205" s="164">
        <f>$L1205*'Pivot Objective'!$C$9*P1205*Q1205</f>
        <v>0</v>
      </c>
      <c r="S1205" s="166">
        <v>0</v>
      </c>
      <c r="T1205" s="166">
        <v>0</v>
      </c>
      <c r="U1205" s="164">
        <f>($L1205*'Pivot Objective'!$C$9^2)*S1205*T1205</f>
        <v>0</v>
      </c>
      <c r="V1205" s="166">
        <v>0</v>
      </c>
      <c r="W1205" s="166">
        <v>0</v>
      </c>
      <c r="X1205" s="164">
        <f>($L1205*'Pivot Objective'!$C$9^3)*V1205*W1205</f>
        <v>0</v>
      </c>
      <c r="Y1205" s="166">
        <v>0</v>
      </c>
      <c r="Z1205" s="166">
        <v>0</v>
      </c>
      <c r="AA1205" s="164">
        <f>($L1205*'Pivot Objective'!$C$9^4)*Y1205*Z1205</f>
        <v>0</v>
      </c>
      <c r="AB1205" s="166">
        <v>0</v>
      </c>
      <c r="AC1205" s="166">
        <v>0</v>
      </c>
      <c r="AD1205" s="164">
        <f>($L1205*'Pivot Objective'!$C$9^5)*AB1205*AC1205</f>
        <v>0</v>
      </c>
      <c r="AE1205" s="140"/>
      <c r="AF1205" s="140"/>
      <c r="AG1205" s="164">
        <f>($L1205*'Pivot Objective'!$C$9^6)*AE1205*AF1205</f>
        <v>0</v>
      </c>
      <c r="AH1205" s="140"/>
      <c r="AI1205" s="140"/>
      <c r="AJ1205" s="164">
        <f>($L1205*'Pivot Objective'!$C$9^7)*AH1205*AI1205</f>
        <v>0</v>
      </c>
      <c r="AK1205" s="185">
        <f t="shared" si="134"/>
        <v>0</v>
      </c>
      <c r="AL1205" s="186">
        <f t="shared" si="135"/>
        <v>0</v>
      </c>
    </row>
    <row r="1206" spans="1:38" customFormat="1" ht="86.4" x14ac:dyDescent="0.3">
      <c r="A1206" s="140" t="s">
        <v>1481</v>
      </c>
      <c r="B1206" s="140">
        <v>2</v>
      </c>
      <c r="C1206" s="166" t="s">
        <v>983</v>
      </c>
      <c r="D1206" s="140" t="str">
        <f t="shared" si="131"/>
        <v>2</v>
      </c>
      <c r="E1206" s="166" t="s">
        <v>1255</v>
      </c>
      <c r="F1206" s="140">
        <f t="shared" si="137"/>
        <v>1</v>
      </c>
      <c r="G1206" s="140" t="str">
        <f t="shared" si="132"/>
        <v>2.2.1</v>
      </c>
      <c r="H1206" s="166" t="s">
        <v>1712</v>
      </c>
      <c r="I1206" s="166" t="s">
        <v>1268</v>
      </c>
      <c r="J1206" s="166" t="s">
        <v>1272</v>
      </c>
      <c r="K1206" s="166" t="s">
        <v>709</v>
      </c>
      <c r="L1206" s="166">
        <v>35000</v>
      </c>
      <c r="M1206" s="166">
        <v>25</v>
      </c>
      <c r="N1206" s="166">
        <f>5*3</f>
        <v>15</v>
      </c>
      <c r="O1206" s="164">
        <f t="shared" si="133"/>
        <v>13125000</v>
      </c>
      <c r="P1206" s="166">
        <v>25</v>
      </c>
      <c r="Q1206" s="166">
        <f>5*3</f>
        <v>15</v>
      </c>
      <c r="R1206" s="164">
        <f>$L1206*'Pivot Objective'!$C$9*P1206*Q1206</f>
        <v>15000839.398124997</v>
      </c>
      <c r="S1206" s="166">
        <v>0</v>
      </c>
      <c r="T1206" s="166">
        <v>0</v>
      </c>
      <c r="U1206" s="164">
        <f>($L1206*'Pivot Objective'!$C$9^2)*S1206*T1206</f>
        <v>0</v>
      </c>
      <c r="V1206" s="166">
        <v>0</v>
      </c>
      <c r="W1206" s="166">
        <v>0</v>
      </c>
      <c r="X1206" s="164">
        <f>($L1206*'Pivot Objective'!$C$9^3)*V1206*W1206</f>
        <v>0</v>
      </c>
      <c r="Y1206" s="166">
        <v>0</v>
      </c>
      <c r="Z1206" s="166">
        <v>0</v>
      </c>
      <c r="AA1206" s="164">
        <f>($L1206*'Pivot Objective'!$C$9^4)*Y1206*Z1206</f>
        <v>0</v>
      </c>
      <c r="AB1206" s="166">
        <v>25</v>
      </c>
      <c r="AC1206" s="166">
        <f>5*3</f>
        <v>15</v>
      </c>
      <c r="AD1206" s="164">
        <f>($L1206*'Pivot Objective'!$C$9^5)*AB1206*AC1206</f>
        <v>25596498.458019953</v>
      </c>
      <c r="AE1206" s="140"/>
      <c r="AF1206" s="140"/>
      <c r="AG1206" s="164">
        <f>($L1206*'Pivot Objective'!$C$9^6)*AE1206*AF1206</f>
        <v>0</v>
      </c>
      <c r="AH1206" s="140"/>
      <c r="AI1206" s="140"/>
      <c r="AJ1206" s="164">
        <f>($L1206*'Pivot Objective'!$C$9^7)*AH1206*AI1206</f>
        <v>0</v>
      </c>
      <c r="AK1206" s="185">
        <f t="shared" si="134"/>
        <v>53722337.85614495</v>
      </c>
      <c r="AL1206" s="186">
        <f t="shared" si="135"/>
        <v>52157.609569072767</v>
      </c>
    </row>
    <row r="1207" spans="1:38" customFormat="1" ht="86.4" x14ac:dyDescent="0.3">
      <c r="A1207" s="140" t="s">
        <v>1481</v>
      </c>
      <c r="B1207" s="140">
        <v>2</v>
      </c>
      <c r="C1207" s="166" t="s">
        <v>983</v>
      </c>
      <c r="D1207" s="140" t="str">
        <f t="shared" si="131"/>
        <v>2</v>
      </c>
      <c r="E1207" s="166" t="s">
        <v>1255</v>
      </c>
      <c r="F1207" s="140">
        <f t="shared" si="137"/>
        <v>1</v>
      </c>
      <c r="G1207" s="140" t="str">
        <f t="shared" si="132"/>
        <v>2.2.1</v>
      </c>
      <c r="H1207" s="166" t="s">
        <v>1712</v>
      </c>
      <c r="I1207" s="166" t="s">
        <v>1268</v>
      </c>
      <c r="J1207" s="166" t="s">
        <v>1272</v>
      </c>
      <c r="K1207" s="166" t="s">
        <v>716</v>
      </c>
      <c r="L1207" s="166">
        <v>39000</v>
      </c>
      <c r="M1207" s="166">
        <v>25</v>
      </c>
      <c r="N1207" s="166">
        <f>5*3</f>
        <v>15</v>
      </c>
      <c r="O1207" s="164">
        <f t="shared" si="133"/>
        <v>14625000</v>
      </c>
      <c r="P1207" s="166">
        <v>25</v>
      </c>
      <c r="Q1207" s="166">
        <f>5*3</f>
        <v>15</v>
      </c>
      <c r="R1207" s="164">
        <f>$L1207*'Pivot Objective'!$C$9*P1207*Q1207</f>
        <v>16715221.043624997</v>
      </c>
      <c r="S1207" s="166">
        <v>0</v>
      </c>
      <c r="T1207" s="166">
        <v>0</v>
      </c>
      <c r="U1207" s="164">
        <f>($L1207*'Pivot Objective'!$C$9^2)*S1207*T1207</f>
        <v>0</v>
      </c>
      <c r="V1207" s="166">
        <v>0</v>
      </c>
      <c r="W1207" s="166">
        <v>0</v>
      </c>
      <c r="X1207" s="164">
        <f>($L1207*'Pivot Objective'!$C$9^3)*V1207*W1207</f>
        <v>0</v>
      </c>
      <c r="Y1207" s="166">
        <v>0</v>
      </c>
      <c r="Z1207" s="166">
        <v>0</v>
      </c>
      <c r="AA1207" s="164">
        <f>($L1207*'Pivot Objective'!$C$9^4)*Y1207*Z1207</f>
        <v>0</v>
      </c>
      <c r="AB1207" s="166">
        <v>25</v>
      </c>
      <c r="AC1207" s="166">
        <f>5*3</f>
        <v>15</v>
      </c>
      <c r="AD1207" s="164">
        <f>($L1207*'Pivot Objective'!$C$9^5)*AB1207*AC1207</f>
        <v>28521812.567507952</v>
      </c>
      <c r="AE1207" s="140"/>
      <c r="AF1207" s="140"/>
      <c r="AG1207" s="164">
        <f>($L1207*'Pivot Objective'!$C$9^6)*AE1207*AF1207</f>
        <v>0</v>
      </c>
      <c r="AH1207" s="140"/>
      <c r="AI1207" s="140"/>
      <c r="AJ1207" s="164">
        <f>($L1207*'Pivot Objective'!$C$9^7)*AH1207*AI1207</f>
        <v>0</v>
      </c>
      <c r="AK1207" s="185">
        <f t="shared" si="134"/>
        <v>59862033.61113295</v>
      </c>
      <c r="AL1207" s="186">
        <f t="shared" si="135"/>
        <v>58118.479234109662</v>
      </c>
    </row>
    <row r="1208" spans="1:38" customFormat="1" ht="86.4" x14ac:dyDescent="0.3">
      <c r="A1208" s="140" t="s">
        <v>1481</v>
      </c>
      <c r="B1208" s="140">
        <v>2</v>
      </c>
      <c r="C1208" s="166" t="s">
        <v>983</v>
      </c>
      <c r="D1208" s="140" t="str">
        <f t="shared" si="131"/>
        <v>2</v>
      </c>
      <c r="E1208" s="166" t="s">
        <v>1255</v>
      </c>
      <c r="F1208" s="140">
        <f t="shared" si="137"/>
        <v>1</v>
      </c>
      <c r="G1208" s="140" t="str">
        <f t="shared" si="132"/>
        <v>2.2.1</v>
      </c>
      <c r="H1208" s="166" t="s">
        <v>1712</v>
      </c>
      <c r="I1208" s="166" t="s">
        <v>1268</v>
      </c>
      <c r="J1208" s="166" t="s">
        <v>1272</v>
      </c>
      <c r="K1208" s="166" t="s">
        <v>712</v>
      </c>
      <c r="L1208" s="179">
        <f>1480/7</f>
        <v>211.42857142857142</v>
      </c>
      <c r="M1208" s="166">
        <f>2*25*9</f>
        <v>450</v>
      </c>
      <c r="N1208" s="166">
        <f>5*3</f>
        <v>15</v>
      </c>
      <c r="O1208" s="164">
        <f t="shared" si="133"/>
        <v>1427142.857142857</v>
      </c>
      <c r="P1208" s="166">
        <f>2*25*9</f>
        <v>450</v>
      </c>
      <c r="Q1208" s="166">
        <f>5*3</f>
        <v>15</v>
      </c>
      <c r="R1208" s="164">
        <f>$L1208*'Pivot Objective'!$C$9*P1208*Q1208</f>
        <v>1631111.6798614284</v>
      </c>
      <c r="S1208" s="166">
        <v>0</v>
      </c>
      <c r="T1208" s="166">
        <v>0</v>
      </c>
      <c r="U1208" s="164">
        <f>($L1208*'Pivot Objective'!$C$9^2)*S1208*T1208</f>
        <v>0</v>
      </c>
      <c r="V1208" s="166">
        <v>0</v>
      </c>
      <c r="W1208" s="166">
        <v>0</v>
      </c>
      <c r="X1208" s="164">
        <f>($L1208*'Pivot Objective'!$C$9^3)*V1208*W1208</f>
        <v>0</v>
      </c>
      <c r="Y1208" s="166">
        <v>0</v>
      </c>
      <c r="Z1208" s="166">
        <v>0</v>
      </c>
      <c r="AA1208" s="164">
        <f>($L1208*'Pivot Objective'!$C$9^4)*Y1208*Z1208</f>
        <v>0</v>
      </c>
      <c r="AB1208" s="166">
        <f>2*25*9</f>
        <v>450</v>
      </c>
      <c r="AC1208" s="166">
        <f>5*3</f>
        <v>15</v>
      </c>
      <c r="AD1208" s="164">
        <f>($L1208*'Pivot Objective'!$C$9^5)*AB1208*AC1208</f>
        <v>2783227.424170007</v>
      </c>
      <c r="AE1208" s="140"/>
      <c r="AF1208" s="140"/>
      <c r="AG1208" s="164">
        <f>($L1208*'Pivot Objective'!$C$9^6)*AE1208*AF1208</f>
        <v>0</v>
      </c>
      <c r="AH1208" s="140"/>
      <c r="AI1208" s="140"/>
      <c r="AJ1208" s="164">
        <f>($L1208*'Pivot Objective'!$C$9^7)*AH1208*AI1208</f>
        <v>0</v>
      </c>
      <c r="AK1208" s="185">
        <f t="shared" si="134"/>
        <v>5841481.9611742925</v>
      </c>
      <c r="AL1208" s="186">
        <f t="shared" si="135"/>
        <v>5671.3417098779537</v>
      </c>
    </row>
    <row r="1209" spans="1:38" customFormat="1" ht="86.4" x14ac:dyDescent="0.3">
      <c r="A1209" s="140" t="s">
        <v>1481</v>
      </c>
      <c r="B1209" s="140">
        <v>2</v>
      </c>
      <c r="C1209" s="166" t="s">
        <v>983</v>
      </c>
      <c r="D1209" s="140" t="str">
        <f t="shared" si="131"/>
        <v>2</v>
      </c>
      <c r="E1209" s="166" t="s">
        <v>1255</v>
      </c>
      <c r="F1209" s="140">
        <f t="shared" si="137"/>
        <v>1</v>
      </c>
      <c r="G1209" s="140" t="str">
        <f t="shared" si="132"/>
        <v>2.2.1</v>
      </c>
      <c r="H1209" s="166" t="s">
        <v>1712</v>
      </c>
      <c r="I1209" s="166" t="s">
        <v>1268</v>
      </c>
      <c r="J1209" s="166" t="s">
        <v>1272</v>
      </c>
      <c r="K1209" s="166" t="s">
        <v>1299</v>
      </c>
      <c r="L1209" s="179">
        <f>1480/7</f>
        <v>211.42857142857142</v>
      </c>
      <c r="M1209" s="166">
        <f>2*135*9</f>
        <v>2430</v>
      </c>
      <c r="N1209" s="166">
        <v>1</v>
      </c>
      <c r="O1209" s="164">
        <f t="shared" si="133"/>
        <v>513771.42857142852</v>
      </c>
      <c r="P1209" s="166">
        <f>2*135*9</f>
        <v>2430</v>
      </c>
      <c r="Q1209" s="166">
        <v>1</v>
      </c>
      <c r="R1209" s="164">
        <f>$L1209*'Pivot Objective'!$C$9*P1209*Q1209</f>
        <v>587200.20475011424</v>
      </c>
      <c r="S1209" s="166"/>
      <c r="T1209" s="166"/>
      <c r="U1209" s="164">
        <f>($L1209*'Pivot Objective'!$C$9^2)*S1209*T1209</f>
        <v>0</v>
      </c>
      <c r="V1209" s="166"/>
      <c r="W1209" s="166"/>
      <c r="X1209" s="164">
        <f>($L1209*'Pivot Objective'!$C$9^3)*V1209*W1209</f>
        <v>0</v>
      </c>
      <c r="Y1209" s="166"/>
      <c r="Z1209" s="166"/>
      <c r="AA1209" s="164">
        <f>($L1209*'Pivot Objective'!$C$9^4)*Y1209*Z1209</f>
        <v>0</v>
      </c>
      <c r="AB1209" s="166">
        <f>2*135*9</f>
        <v>2430</v>
      </c>
      <c r="AC1209" s="166">
        <v>1</v>
      </c>
      <c r="AD1209" s="164">
        <f>($L1209*'Pivot Objective'!$C$9^5)*AB1209*AC1209</f>
        <v>1001961.8727012025</v>
      </c>
      <c r="AE1209" s="140"/>
      <c r="AF1209" s="140"/>
      <c r="AG1209" s="164">
        <f>($L1209*'Pivot Objective'!$C$9^6)*AE1209*AF1209</f>
        <v>0</v>
      </c>
      <c r="AH1209" s="140"/>
      <c r="AI1209" s="140"/>
      <c r="AJ1209" s="164">
        <f>($L1209*'Pivot Objective'!$C$9^7)*AH1209*AI1209</f>
        <v>0</v>
      </c>
      <c r="AK1209" s="185">
        <f t="shared" si="134"/>
        <v>2102933.5060227453</v>
      </c>
      <c r="AL1209" s="186">
        <f t="shared" si="135"/>
        <v>2041.6830155560633</v>
      </c>
    </row>
    <row r="1210" spans="1:38" customFormat="1" ht="86.4" x14ac:dyDescent="0.3">
      <c r="A1210" s="140" t="s">
        <v>1481</v>
      </c>
      <c r="B1210" s="140">
        <v>2</v>
      </c>
      <c r="C1210" s="166" t="s">
        <v>983</v>
      </c>
      <c r="D1210" s="140" t="str">
        <f t="shared" si="131"/>
        <v>2</v>
      </c>
      <c r="E1210" s="166" t="s">
        <v>1255</v>
      </c>
      <c r="F1210" s="140">
        <f t="shared" si="137"/>
        <v>1</v>
      </c>
      <c r="G1210" s="140" t="str">
        <f t="shared" si="132"/>
        <v>2.2.1</v>
      </c>
      <c r="H1210" s="166" t="s">
        <v>1712</v>
      </c>
      <c r="I1210" s="166" t="s">
        <v>1268</v>
      </c>
      <c r="J1210" s="166" t="s">
        <v>1156</v>
      </c>
      <c r="K1210" s="166" t="s">
        <v>709</v>
      </c>
      <c r="L1210" s="166">
        <v>35000</v>
      </c>
      <c r="M1210" s="166">
        <v>100</v>
      </c>
      <c r="N1210" s="166">
        <v>5</v>
      </c>
      <c r="O1210" s="164">
        <f t="shared" si="133"/>
        <v>17500000</v>
      </c>
      <c r="P1210" s="166">
        <v>100</v>
      </c>
      <c r="Q1210" s="166">
        <v>5</v>
      </c>
      <c r="R1210" s="164">
        <f>$L1210*'Pivot Objective'!$C$9*P1210*Q1210</f>
        <v>20001119.197499998</v>
      </c>
      <c r="S1210" s="166">
        <v>0</v>
      </c>
      <c r="T1210" s="166">
        <v>0</v>
      </c>
      <c r="U1210" s="164">
        <f>($L1210*'Pivot Objective'!$C$9^2)*S1210*T1210</f>
        <v>0</v>
      </c>
      <c r="V1210" s="166">
        <v>0</v>
      </c>
      <c r="W1210" s="166">
        <v>0</v>
      </c>
      <c r="X1210" s="164">
        <f>($L1210*'Pivot Objective'!$C$9^3)*V1210*W1210</f>
        <v>0</v>
      </c>
      <c r="Y1210" s="166">
        <v>0</v>
      </c>
      <c r="Z1210" s="166">
        <v>0</v>
      </c>
      <c r="AA1210" s="164">
        <f>($L1210*'Pivot Objective'!$C$9^4)*Y1210*Z1210</f>
        <v>0</v>
      </c>
      <c r="AB1210" s="166">
        <v>100</v>
      </c>
      <c r="AC1210" s="166">
        <v>5</v>
      </c>
      <c r="AD1210" s="164">
        <f>($L1210*'Pivot Objective'!$C$9^5)*AB1210*AC1210</f>
        <v>34128664.610693276</v>
      </c>
      <c r="AE1210" s="140"/>
      <c r="AF1210" s="140"/>
      <c r="AG1210" s="164">
        <f>($L1210*'Pivot Objective'!$C$9^6)*AE1210*AF1210</f>
        <v>0</v>
      </c>
      <c r="AH1210" s="140"/>
      <c r="AI1210" s="140"/>
      <c r="AJ1210" s="164">
        <f>($L1210*'Pivot Objective'!$C$9^7)*AH1210*AI1210</f>
        <v>0</v>
      </c>
      <c r="AK1210" s="185">
        <f t="shared" si="134"/>
        <v>71629783.808193266</v>
      </c>
      <c r="AL1210" s="186">
        <f t="shared" si="135"/>
        <v>69543.479425430356</v>
      </c>
    </row>
    <row r="1211" spans="1:38" customFormat="1" ht="86.4" x14ac:dyDescent="0.3">
      <c r="A1211" s="140" t="s">
        <v>1481</v>
      </c>
      <c r="B1211" s="140">
        <v>2</v>
      </c>
      <c r="C1211" s="166" t="s">
        <v>983</v>
      </c>
      <c r="D1211" s="140" t="str">
        <f t="shared" si="131"/>
        <v>2</v>
      </c>
      <c r="E1211" s="166" t="s">
        <v>1255</v>
      </c>
      <c r="F1211" s="140">
        <f t="shared" si="137"/>
        <v>1</v>
      </c>
      <c r="G1211" s="140" t="str">
        <f t="shared" si="132"/>
        <v>2.2.1</v>
      </c>
      <c r="H1211" s="166" t="s">
        <v>1712</v>
      </c>
      <c r="I1211" s="166" t="s">
        <v>1268</v>
      </c>
      <c r="J1211" s="166" t="s">
        <v>1156</v>
      </c>
      <c r="K1211" s="166" t="s">
        <v>716</v>
      </c>
      <c r="L1211" s="166">
        <v>39000</v>
      </c>
      <c r="M1211" s="166">
        <v>58</v>
      </c>
      <c r="N1211" s="166">
        <v>5</v>
      </c>
      <c r="O1211" s="164">
        <f t="shared" si="133"/>
        <v>11310000</v>
      </c>
      <c r="P1211" s="166">
        <v>58</v>
      </c>
      <c r="Q1211" s="166">
        <v>5</v>
      </c>
      <c r="R1211" s="164">
        <f>$L1211*'Pivot Objective'!$C$9*P1211*Q1211</f>
        <v>12926437.607069999</v>
      </c>
      <c r="S1211" s="166">
        <v>0</v>
      </c>
      <c r="T1211" s="166">
        <v>0</v>
      </c>
      <c r="U1211" s="164">
        <f>($L1211*'Pivot Objective'!$C$9^2)*S1211*T1211</f>
        <v>0</v>
      </c>
      <c r="V1211" s="166">
        <v>0</v>
      </c>
      <c r="W1211" s="166">
        <v>0</v>
      </c>
      <c r="X1211" s="164">
        <f>($L1211*'Pivot Objective'!$C$9^3)*V1211*W1211</f>
        <v>0</v>
      </c>
      <c r="Y1211" s="166">
        <v>0</v>
      </c>
      <c r="Z1211" s="166">
        <v>0</v>
      </c>
      <c r="AA1211" s="164">
        <f>($L1211*'Pivot Objective'!$C$9^4)*Y1211*Z1211</f>
        <v>0</v>
      </c>
      <c r="AB1211" s="166">
        <v>58</v>
      </c>
      <c r="AC1211" s="166">
        <v>5</v>
      </c>
      <c r="AD1211" s="164">
        <f>($L1211*'Pivot Objective'!$C$9^5)*AB1211*AC1211</f>
        <v>22056868.385539483</v>
      </c>
      <c r="AE1211" s="140"/>
      <c r="AF1211" s="140"/>
      <c r="AG1211" s="164">
        <f>($L1211*'Pivot Objective'!$C$9^6)*AE1211*AF1211</f>
        <v>0</v>
      </c>
      <c r="AH1211" s="140"/>
      <c r="AI1211" s="140"/>
      <c r="AJ1211" s="164">
        <f>($L1211*'Pivot Objective'!$C$9^7)*AH1211*AI1211</f>
        <v>0</v>
      </c>
      <c r="AK1211" s="185">
        <f t="shared" si="134"/>
        <v>46293305.992609486</v>
      </c>
      <c r="AL1211" s="186">
        <f t="shared" si="135"/>
        <v>44944.957274378139</v>
      </c>
    </row>
    <row r="1212" spans="1:38" customFormat="1" ht="86.4" x14ac:dyDescent="0.3">
      <c r="A1212" s="140" t="s">
        <v>1481</v>
      </c>
      <c r="B1212" s="140">
        <v>2</v>
      </c>
      <c r="C1212" s="166" t="s">
        <v>983</v>
      </c>
      <c r="D1212" s="140" t="str">
        <f t="shared" si="131"/>
        <v>2</v>
      </c>
      <c r="E1212" s="166" t="s">
        <v>1255</v>
      </c>
      <c r="F1212" s="140">
        <f t="shared" si="137"/>
        <v>1</v>
      </c>
      <c r="G1212" s="140" t="str">
        <f t="shared" si="132"/>
        <v>2.2.1</v>
      </c>
      <c r="H1212" s="166" t="s">
        <v>1712</v>
      </c>
      <c r="I1212" s="166" t="s">
        <v>1268</v>
      </c>
      <c r="J1212" s="166" t="s">
        <v>1156</v>
      </c>
      <c r="K1212" s="166" t="s">
        <v>712</v>
      </c>
      <c r="L1212" s="179">
        <f>1480/7</f>
        <v>211.42857142857142</v>
      </c>
      <c r="M1212" s="166">
        <f>2*25*29</f>
        <v>1450</v>
      </c>
      <c r="N1212" s="166">
        <v>5</v>
      </c>
      <c r="O1212" s="164">
        <f t="shared" si="133"/>
        <v>1532857.142857143</v>
      </c>
      <c r="P1212" s="166">
        <f>2*25*29</f>
        <v>1450</v>
      </c>
      <c r="Q1212" s="166">
        <v>5</v>
      </c>
      <c r="R1212" s="164">
        <f>$L1212*'Pivot Objective'!$C$9*P1212*Q1212</f>
        <v>1751934.7672585712</v>
      </c>
      <c r="S1212" s="166"/>
      <c r="T1212" s="166"/>
      <c r="U1212" s="164">
        <f>($L1212*'Pivot Objective'!$C$9^2)*S1212*T1212</f>
        <v>0</v>
      </c>
      <c r="V1212" s="166"/>
      <c r="W1212" s="166"/>
      <c r="X1212" s="164">
        <f>($L1212*'Pivot Objective'!$C$9^3)*V1212*W1212</f>
        <v>0</v>
      </c>
      <c r="Y1212" s="166"/>
      <c r="Z1212" s="166"/>
      <c r="AA1212" s="164">
        <f>($L1212*'Pivot Objective'!$C$9^4)*Y1212*Z1212</f>
        <v>0</v>
      </c>
      <c r="AB1212" s="166">
        <f>2*25*29</f>
        <v>1450</v>
      </c>
      <c r="AC1212" s="166">
        <v>5</v>
      </c>
      <c r="AD1212" s="164">
        <f>($L1212*'Pivot Objective'!$C$9^5)*AB1212*AC1212</f>
        <v>2989392.41855297</v>
      </c>
      <c r="AE1212" s="140"/>
      <c r="AF1212" s="140"/>
      <c r="AG1212" s="164">
        <f>($L1212*'Pivot Objective'!$C$9^6)*AE1212*AF1212</f>
        <v>0</v>
      </c>
      <c r="AH1212" s="140"/>
      <c r="AI1212" s="140"/>
      <c r="AJ1212" s="164">
        <f>($L1212*'Pivot Objective'!$C$9^7)*AH1212*AI1212</f>
        <v>0</v>
      </c>
      <c r="AK1212" s="185">
        <f t="shared" si="134"/>
        <v>6274184.3286686838</v>
      </c>
      <c r="AL1212" s="186">
        <f t="shared" si="135"/>
        <v>6091.4410957948385</v>
      </c>
    </row>
    <row r="1213" spans="1:38" customFormat="1" ht="86.4" x14ac:dyDescent="0.3">
      <c r="A1213" s="140" t="s">
        <v>1481</v>
      </c>
      <c r="B1213" s="140">
        <v>2</v>
      </c>
      <c r="C1213" s="166" t="s">
        <v>983</v>
      </c>
      <c r="D1213" s="140" t="str">
        <f t="shared" si="131"/>
        <v>2</v>
      </c>
      <c r="E1213" s="166" t="s">
        <v>1255</v>
      </c>
      <c r="F1213" s="140">
        <f t="shared" si="137"/>
        <v>1</v>
      </c>
      <c r="G1213" s="140" t="str">
        <f t="shared" si="132"/>
        <v>2.2.1</v>
      </c>
      <c r="H1213" s="166" t="s">
        <v>1712</v>
      </c>
      <c r="I1213" s="166" t="s">
        <v>1268</v>
      </c>
      <c r="J1213" s="166" t="s">
        <v>1156</v>
      </c>
      <c r="K1213" s="166" t="s">
        <v>1299</v>
      </c>
      <c r="L1213" s="179">
        <f>1480/7</f>
        <v>211.42857142857142</v>
      </c>
      <c r="M1213" s="166">
        <v>22500</v>
      </c>
      <c r="N1213" s="166">
        <v>1</v>
      </c>
      <c r="O1213" s="164">
        <f t="shared" si="133"/>
        <v>4757142.8571428573</v>
      </c>
      <c r="P1213" s="166">
        <v>22500</v>
      </c>
      <c r="Q1213" s="166">
        <v>1</v>
      </c>
      <c r="R1213" s="164">
        <f>$L1213*'Pivot Objective'!$C$9*P1213*Q1213</f>
        <v>5437038.9328714283</v>
      </c>
      <c r="S1213" s="166"/>
      <c r="T1213" s="166"/>
      <c r="U1213" s="164">
        <f>($L1213*'Pivot Objective'!$C$9^2)*S1213*T1213</f>
        <v>0</v>
      </c>
      <c r="V1213" s="166"/>
      <c r="W1213" s="166"/>
      <c r="X1213" s="164">
        <f>($L1213*'Pivot Objective'!$C$9^3)*V1213*W1213</f>
        <v>0</v>
      </c>
      <c r="Y1213" s="166"/>
      <c r="Z1213" s="166"/>
      <c r="AA1213" s="164">
        <f>($L1213*'Pivot Objective'!$C$9^4)*Y1213*Z1213</f>
        <v>0</v>
      </c>
      <c r="AB1213" s="166">
        <v>22500</v>
      </c>
      <c r="AC1213" s="166">
        <v>1</v>
      </c>
      <c r="AD1213" s="164">
        <f>($L1213*'Pivot Objective'!$C$9^5)*AB1213*AC1213</f>
        <v>9277424.7472333554</v>
      </c>
      <c r="AE1213" s="140"/>
      <c r="AF1213" s="140"/>
      <c r="AG1213" s="164">
        <f>($L1213*'Pivot Objective'!$C$9^6)*AE1213*AF1213</f>
        <v>0</v>
      </c>
      <c r="AH1213" s="140"/>
      <c r="AI1213" s="140"/>
      <c r="AJ1213" s="164">
        <f>($L1213*'Pivot Objective'!$C$9^7)*AH1213*AI1213</f>
        <v>0</v>
      </c>
      <c r="AK1213" s="185">
        <f t="shared" si="134"/>
        <v>19471606.537247643</v>
      </c>
      <c r="AL1213" s="186">
        <f t="shared" si="135"/>
        <v>18904.472366259848</v>
      </c>
    </row>
    <row r="1214" spans="1:38" customFormat="1" ht="86.4" x14ac:dyDescent="0.3">
      <c r="A1214" s="140" t="s">
        <v>1481</v>
      </c>
      <c r="B1214" s="140">
        <v>2</v>
      </c>
      <c r="C1214" s="166" t="s">
        <v>983</v>
      </c>
      <c r="D1214" s="140" t="str">
        <f t="shared" si="131"/>
        <v>2</v>
      </c>
      <c r="E1214" s="166" t="s">
        <v>1255</v>
      </c>
      <c r="F1214" s="140">
        <f t="shared" si="137"/>
        <v>1</v>
      </c>
      <c r="G1214" s="140" t="str">
        <f t="shared" si="132"/>
        <v>2.2.1</v>
      </c>
      <c r="H1214" s="166" t="s">
        <v>1712</v>
      </c>
      <c r="I1214" s="166" t="s">
        <v>1268</v>
      </c>
      <c r="J1214" s="166" t="s">
        <v>1156</v>
      </c>
      <c r="K1214" s="166" t="s">
        <v>711</v>
      </c>
      <c r="L1214" s="166">
        <v>70</v>
      </c>
      <c r="M1214" s="166">
        <v>0</v>
      </c>
      <c r="N1214" s="166">
        <v>0</v>
      </c>
      <c r="O1214" s="164">
        <f t="shared" si="133"/>
        <v>0</v>
      </c>
      <c r="P1214" s="166">
        <v>0</v>
      </c>
      <c r="Q1214" s="166">
        <v>0</v>
      </c>
      <c r="R1214" s="164">
        <f>$L1214*'Pivot Objective'!$C$9*P1214*Q1214</f>
        <v>0</v>
      </c>
      <c r="S1214" s="166">
        <v>0</v>
      </c>
      <c r="T1214" s="166">
        <v>0</v>
      </c>
      <c r="U1214" s="164">
        <f>($L1214*'Pivot Objective'!$C$9^2)*S1214*T1214</f>
        <v>0</v>
      </c>
      <c r="V1214" s="166">
        <v>0</v>
      </c>
      <c r="W1214" s="166">
        <v>0</v>
      </c>
      <c r="X1214" s="164">
        <f>($L1214*'Pivot Objective'!$C$9^3)*V1214*W1214</f>
        <v>0</v>
      </c>
      <c r="Y1214" s="166">
        <v>0</v>
      </c>
      <c r="Z1214" s="166">
        <v>0</v>
      </c>
      <c r="AA1214" s="164">
        <f>($L1214*'Pivot Objective'!$C$9^4)*Y1214*Z1214</f>
        <v>0</v>
      </c>
      <c r="AB1214" s="166">
        <v>0</v>
      </c>
      <c r="AC1214" s="166">
        <v>0</v>
      </c>
      <c r="AD1214" s="164">
        <f>($L1214*'Pivot Objective'!$C$9^5)*AB1214*AC1214</f>
        <v>0</v>
      </c>
      <c r="AE1214" s="140"/>
      <c r="AF1214" s="140"/>
      <c r="AG1214" s="164">
        <f>($L1214*'Pivot Objective'!$C$9^6)*AE1214*AF1214</f>
        <v>0</v>
      </c>
      <c r="AH1214" s="140"/>
      <c r="AI1214" s="140"/>
      <c r="AJ1214" s="164">
        <f>($L1214*'Pivot Objective'!$C$9^7)*AH1214*AI1214</f>
        <v>0</v>
      </c>
      <c r="AK1214" s="185">
        <f t="shared" si="134"/>
        <v>0</v>
      </c>
      <c r="AL1214" s="186">
        <f t="shared" si="135"/>
        <v>0</v>
      </c>
    </row>
    <row r="1215" spans="1:38" customFormat="1" ht="86.4" x14ac:dyDescent="0.3">
      <c r="A1215" s="140" t="s">
        <v>1481</v>
      </c>
      <c r="B1215" s="140">
        <v>2</v>
      </c>
      <c r="C1215" s="166" t="s">
        <v>983</v>
      </c>
      <c r="D1215" s="140" t="str">
        <f t="shared" si="131"/>
        <v>2</v>
      </c>
      <c r="E1215" s="166" t="s">
        <v>1255</v>
      </c>
      <c r="F1215" s="140">
        <f t="shared" si="137"/>
        <v>1</v>
      </c>
      <c r="G1215" s="140" t="str">
        <f t="shared" si="132"/>
        <v>2.2.1</v>
      </c>
      <c r="H1215" s="166" t="s">
        <v>1712</v>
      </c>
      <c r="I1215" s="166" t="s">
        <v>1268</v>
      </c>
      <c r="J1215" s="166" t="s">
        <v>1156</v>
      </c>
      <c r="K1215" s="166" t="s">
        <v>710</v>
      </c>
      <c r="L1215" s="166">
        <v>104850</v>
      </c>
      <c r="M1215" s="166">
        <v>1</v>
      </c>
      <c r="N1215" s="166">
        <v>1</v>
      </c>
      <c r="O1215" s="164">
        <f t="shared" si="133"/>
        <v>104850</v>
      </c>
      <c r="P1215" s="166">
        <v>1</v>
      </c>
      <c r="Q1215" s="166">
        <v>1</v>
      </c>
      <c r="R1215" s="164">
        <f>$L1215*'Pivot Objective'!$C$9*P1215*Q1215</f>
        <v>119835.27702044998</v>
      </c>
      <c r="S1215" s="166">
        <v>0</v>
      </c>
      <c r="T1215" s="166">
        <v>0</v>
      </c>
      <c r="U1215" s="164">
        <f>($L1215*'Pivot Objective'!$C$9^2)*S1215*T1215</f>
        <v>0</v>
      </c>
      <c r="V1215" s="166">
        <v>0</v>
      </c>
      <c r="W1215" s="166">
        <v>0</v>
      </c>
      <c r="X1215" s="164">
        <f>($L1215*'Pivot Objective'!$C$9^3)*V1215*W1215</f>
        <v>0</v>
      </c>
      <c r="Y1215" s="166">
        <v>0</v>
      </c>
      <c r="Z1215" s="166">
        <v>0</v>
      </c>
      <c r="AA1215" s="164">
        <f>($L1215*'Pivot Objective'!$C$9^4)*Y1215*Z1215</f>
        <v>0</v>
      </c>
      <c r="AB1215" s="166">
        <v>1</v>
      </c>
      <c r="AC1215" s="166">
        <v>1</v>
      </c>
      <c r="AD1215" s="164">
        <f>($L1215*'Pivot Objective'!$C$9^5)*AB1215*AC1215</f>
        <v>204479.45625321087</v>
      </c>
      <c r="AE1215" s="140"/>
      <c r="AF1215" s="140"/>
      <c r="AG1215" s="164">
        <f>($L1215*'Pivot Objective'!$C$9^6)*AE1215*AF1215</f>
        <v>0</v>
      </c>
      <c r="AH1215" s="140"/>
      <c r="AI1215" s="140"/>
      <c r="AJ1215" s="164">
        <f>($L1215*'Pivot Objective'!$C$9^7)*AH1215*AI1215</f>
        <v>0</v>
      </c>
      <c r="AK1215" s="185">
        <f t="shared" si="134"/>
        <v>429164.73327366088</v>
      </c>
      <c r="AL1215" s="186">
        <f t="shared" si="135"/>
        <v>416.66478958607854</v>
      </c>
    </row>
    <row r="1216" spans="1:38" customFormat="1" ht="86.4" x14ac:dyDescent="0.3">
      <c r="A1216" s="140" t="s">
        <v>1481</v>
      </c>
      <c r="B1216" s="140">
        <v>2</v>
      </c>
      <c r="C1216" s="166" t="s">
        <v>983</v>
      </c>
      <c r="D1216" s="140" t="str">
        <f t="shared" ref="D1216:D1329" si="138">RIGHT(A1216,1)</f>
        <v>2</v>
      </c>
      <c r="E1216" s="166" t="s">
        <v>1255</v>
      </c>
      <c r="F1216" s="140">
        <f t="shared" si="137"/>
        <v>1</v>
      </c>
      <c r="G1216" s="140" t="str">
        <f t="shared" si="132"/>
        <v>2.2.1</v>
      </c>
      <c r="H1216" s="166" t="s">
        <v>1712</v>
      </c>
      <c r="I1216" s="166" t="s">
        <v>1268</v>
      </c>
      <c r="J1216" s="166" t="s">
        <v>1156</v>
      </c>
      <c r="K1216" s="166" t="s">
        <v>712</v>
      </c>
      <c r="L1216" s="179">
        <f>1480/7</f>
        <v>211.42857142857142</v>
      </c>
      <c r="M1216" s="166">
        <v>0</v>
      </c>
      <c r="N1216" s="166">
        <v>0</v>
      </c>
      <c r="O1216" s="164">
        <f t="shared" si="133"/>
        <v>0</v>
      </c>
      <c r="P1216" s="166">
        <v>0</v>
      </c>
      <c r="Q1216" s="166">
        <v>0</v>
      </c>
      <c r="R1216" s="164">
        <f>$L1216*'Pivot Objective'!$C$9*P1216*Q1216</f>
        <v>0</v>
      </c>
      <c r="S1216" s="166">
        <v>0</v>
      </c>
      <c r="T1216" s="166">
        <v>0</v>
      </c>
      <c r="U1216" s="164">
        <f>($L1216*'Pivot Objective'!$C$9^2)*S1216*T1216</f>
        <v>0</v>
      </c>
      <c r="V1216" s="166">
        <v>0</v>
      </c>
      <c r="W1216" s="166">
        <v>0</v>
      </c>
      <c r="X1216" s="164">
        <f>($L1216*'Pivot Objective'!$C$9^3)*V1216*W1216</f>
        <v>0</v>
      </c>
      <c r="Y1216" s="166">
        <v>0</v>
      </c>
      <c r="Z1216" s="166">
        <v>0</v>
      </c>
      <c r="AA1216" s="164">
        <f>($L1216*'Pivot Objective'!$C$9^4)*Y1216*Z1216</f>
        <v>0</v>
      </c>
      <c r="AB1216" s="166">
        <v>0</v>
      </c>
      <c r="AC1216" s="166">
        <v>0</v>
      </c>
      <c r="AD1216" s="164">
        <f>($L1216*'Pivot Objective'!$C$9^5)*AB1216*AC1216</f>
        <v>0</v>
      </c>
      <c r="AE1216" s="140"/>
      <c r="AF1216" s="140"/>
      <c r="AG1216" s="164">
        <f>($L1216*'Pivot Objective'!$C$9^6)*AE1216*AF1216</f>
        <v>0</v>
      </c>
      <c r="AH1216" s="140"/>
      <c r="AI1216" s="140"/>
      <c r="AJ1216" s="164">
        <f>($L1216*'Pivot Objective'!$C$9^7)*AH1216*AI1216</f>
        <v>0</v>
      </c>
      <c r="AK1216" s="185">
        <f t="shared" si="134"/>
        <v>0</v>
      </c>
      <c r="AL1216" s="186">
        <f t="shared" si="135"/>
        <v>0</v>
      </c>
    </row>
    <row r="1217" spans="1:38" customFormat="1" ht="72" x14ac:dyDescent="0.3">
      <c r="A1217" s="140" t="s">
        <v>1481</v>
      </c>
      <c r="B1217" s="140">
        <v>2</v>
      </c>
      <c r="C1217" s="166" t="s">
        <v>983</v>
      </c>
      <c r="D1217" s="140" t="str">
        <f t="shared" si="138"/>
        <v>2</v>
      </c>
      <c r="E1217" s="166" t="s">
        <v>1255</v>
      </c>
      <c r="F1217" s="140">
        <f t="shared" si="137"/>
        <v>2</v>
      </c>
      <c r="G1217" s="140" t="str">
        <f t="shared" ref="G1217:G1330" si="139">B1217&amp;"."&amp;D1217&amp;"."&amp;F1217</f>
        <v>2.2.2</v>
      </c>
      <c r="H1217" s="166" t="s">
        <v>1273</v>
      </c>
      <c r="I1217" s="166" t="s">
        <v>1370</v>
      </c>
      <c r="J1217" s="166" t="s">
        <v>1275</v>
      </c>
      <c r="K1217" s="166" t="s">
        <v>709</v>
      </c>
      <c r="L1217" s="166">
        <v>35000</v>
      </c>
      <c r="M1217" s="166">
        <v>25</v>
      </c>
      <c r="N1217" s="166">
        <v>5</v>
      </c>
      <c r="O1217" s="164">
        <f t="shared" si="133"/>
        <v>4375000</v>
      </c>
      <c r="P1217" s="166">
        <v>20000</v>
      </c>
      <c r="Q1217" s="166">
        <v>1</v>
      </c>
      <c r="R1217" s="164">
        <f>$L1217*'Pivot Objective'!$C$9*P1217*Q1217</f>
        <v>800044767.89999986</v>
      </c>
      <c r="S1217" s="166">
        <v>25</v>
      </c>
      <c r="T1217" s="166">
        <v>5</v>
      </c>
      <c r="U1217" s="164">
        <f>($L1217*'Pivot Objective'!$C$9^2)*S1217*T1217</f>
        <v>5714925.2736086138</v>
      </c>
      <c r="V1217" s="166">
        <v>0</v>
      </c>
      <c r="W1217" s="166">
        <v>0</v>
      </c>
      <c r="X1217" s="164">
        <f>($L1217*'Pivot Objective'!$C$9^3)*V1217*W1217</f>
        <v>0</v>
      </c>
      <c r="Y1217" s="166">
        <v>0</v>
      </c>
      <c r="Z1217" s="166">
        <v>0</v>
      </c>
      <c r="AA1217" s="164">
        <f>($L1217*'Pivot Objective'!$C$9^4)*Y1217*Z1217</f>
        <v>0</v>
      </c>
      <c r="AB1217" s="140"/>
      <c r="AC1217" s="140"/>
      <c r="AD1217" s="164">
        <f>($L1217*'Pivot Objective'!$C$9^5)*AB1217*AC1217</f>
        <v>0</v>
      </c>
      <c r="AE1217" s="140"/>
      <c r="AF1217" s="140"/>
      <c r="AG1217" s="164">
        <f>($L1217*'Pivot Objective'!$C$9^6)*AE1217*AF1217</f>
        <v>0</v>
      </c>
      <c r="AH1217" s="166">
        <v>25</v>
      </c>
      <c r="AI1217" s="166">
        <v>5</v>
      </c>
      <c r="AJ1217" s="164">
        <f>($L1217*'Pivot Objective'!$C$9^7)*AH1217*AI1217</f>
        <v>11145301.025037881</v>
      </c>
      <c r="AK1217" s="185">
        <f t="shared" si="134"/>
        <v>821279994.19864631</v>
      </c>
      <c r="AL1217" s="186">
        <f t="shared" si="135"/>
        <v>797359.21766858862</v>
      </c>
    </row>
    <row r="1218" spans="1:38" customFormat="1" ht="72" x14ac:dyDescent="0.3">
      <c r="A1218" s="140" t="s">
        <v>1481</v>
      </c>
      <c r="B1218" s="140">
        <v>2</v>
      </c>
      <c r="C1218" s="166" t="s">
        <v>983</v>
      </c>
      <c r="D1218" s="140" t="str">
        <f t="shared" si="138"/>
        <v>2</v>
      </c>
      <c r="E1218" s="166" t="s">
        <v>1255</v>
      </c>
      <c r="F1218" s="140">
        <f t="shared" si="137"/>
        <v>2</v>
      </c>
      <c r="G1218" s="140" t="str">
        <f t="shared" si="139"/>
        <v>2.2.2</v>
      </c>
      <c r="H1218" s="166" t="s">
        <v>1273</v>
      </c>
      <c r="I1218" s="166" t="s">
        <v>1370</v>
      </c>
      <c r="J1218" s="166" t="s">
        <v>1275</v>
      </c>
      <c r="K1218" s="166" t="s">
        <v>716</v>
      </c>
      <c r="L1218" s="166">
        <v>39000</v>
      </c>
      <c r="M1218" s="166">
        <v>25</v>
      </c>
      <c r="N1218" s="166">
        <v>6</v>
      </c>
      <c r="O1218" s="164">
        <f t="shared" si="133"/>
        <v>5850000</v>
      </c>
      <c r="P1218" s="166">
        <v>0</v>
      </c>
      <c r="Q1218" s="166">
        <v>0</v>
      </c>
      <c r="R1218" s="164">
        <f>$L1218*'Pivot Objective'!$C$9*P1218*Q1218</f>
        <v>0</v>
      </c>
      <c r="S1218" s="166">
        <v>25</v>
      </c>
      <c r="T1218" s="166">
        <v>6</v>
      </c>
      <c r="U1218" s="164">
        <f>($L1218*'Pivot Objective'!$C$9^2)*S1218*T1218</f>
        <v>7641671.5087109469</v>
      </c>
      <c r="V1218" s="166">
        <v>0</v>
      </c>
      <c r="W1218" s="166">
        <v>0</v>
      </c>
      <c r="X1218" s="164">
        <f>($L1218*'Pivot Objective'!$C$9^3)*V1218*W1218</f>
        <v>0</v>
      </c>
      <c r="Y1218" s="166">
        <v>15</v>
      </c>
      <c r="Z1218" s="166">
        <v>5</v>
      </c>
      <c r="AA1218" s="164">
        <f>($L1218*'Pivot Objective'!$C$9^4)*Y1218*Z1218</f>
        <v>4991037.9014568068</v>
      </c>
      <c r="AB1218" s="140"/>
      <c r="AC1218" s="140"/>
      <c r="AD1218" s="164">
        <f>($L1218*'Pivot Objective'!$C$9^5)*AB1218*AC1218</f>
        <v>0</v>
      </c>
      <c r="AE1218" s="140"/>
      <c r="AF1218" s="140"/>
      <c r="AG1218" s="164">
        <f>($L1218*'Pivot Objective'!$C$9^6)*AE1218*AF1218</f>
        <v>0</v>
      </c>
      <c r="AH1218" s="166">
        <v>25</v>
      </c>
      <c r="AI1218" s="166">
        <v>6</v>
      </c>
      <c r="AJ1218" s="164">
        <f>($L1218*'Pivot Objective'!$C$9^7)*AH1218*AI1218</f>
        <v>14902859.656336365</v>
      </c>
      <c r="AK1218" s="185">
        <f t="shared" si="134"/>
        <v>33385569.066504121</v>
      </c>
      <c r="AL1218" s="186">
        <f t="shared" si="135"/>
        <v>32413.173850974876</v>
      </c>
    </row>
    <row r="1219" spans="1:38" customFormat="1" ht="72" x14ac:dyDescent="0.3">
      <c r="A1219" s="140" t="s">
        <v>1481</v>
      </c>
      <c r="B1219" s="140">
        <v>2</v>
      </c>
      <c r="C1219" s="166" t="s">
        <v>983</v>
      </c>
      <c r="D1219" s="140" t="str">
        <f t="shared" si="138"/>
        <v>2</v>
      </c>
      <c r="E1219" s="166" t="s">
        <v>1255</v>
      </c>
      <c r="F1219" s="140">
        <f t="shared" si="137"/>
        <v>2</v>
      </c>
      <c r="G1219" s="140" t="str">
        <f t="shared" si="139"/>
        <v>2.2.2</v>
      </c>
      <c r="H1219" s="166" t="s">
        <v>1273</v>
      </c>
      <c r="I1219" s="166" t="s">
        <v>1370</v>
      </c>
      <c r="J1219" s="166" t="s">
        <v>1275</v>
      </c>
      <c r="K1219" s="166" t="s">
        <v>712</v>
      </c>
      <c r="L1219" s="179">
        <f>1480/7</f>
        <v>211.42857142857142</v>
      </c>
      <c r="M1219" s="166">
        <f>2*25*9</f>
        <v>450</v>
      </c>
      <c r="N1219" s="166">
        <v>5</v>
      </c>
      <c r="O1219" s="164">
        <f t="shared" ref="O1219:O1282" si="140">$L1219*M1219*N1219</f>
        <v>475714.28571428568</v>
      </c>
      <c r="P1219" s="166">
        <v>0</v>
      </c>
      <c r="Q1219" s="166">
        <v>0</v>
      </c>
      <c r="R1219" s="164">
        <f>$L1219*'Pivot Objective'!$C$9*P1219*Q1219</f>
        <v>0</v>
      </c>
      <c r="S1219" s="166">
        <f>2*25*9</f>
        <v>450</v>
      </c>
      <c r="T1219" s="166">
        <v>5</v>
      </c>
      <c r="U1219" s="164">
        <f>($L1219*'Pivot Objective'!$C$9^2)*S1219*T1219</f>
        <v>621410.65015891218</v>
      </c>
      <c r="V1219" s="166">
        <v>0</v>
      </c>
      <c r="W1219" s="166">
        <v>0</v>
      </c>
      <c r="X1219" s="164">
        <f>($L1219*'Pivot Objective'!$C$9^3)*V1219*W1219</f>
        <v>0</v>
      </c>
      <c r="Y1219" s="166">
        <v>15</v>
      </c>
      <c r="Z1219" s="166">
        <v>5</v>
      </c>
      <c r="AA1219" s="164">
        <f>($L1219*'Pivot Objective'!$C$9^4)*Y1219*Z1219</f>
        <v>27057.641370535064</v>
      </c>
      <c r="AB1219" s="140"/>
      <c r="AC1219" s="140"/>
      <c r="AD1219" s="164">
        <f>($L1219*'Pivot Objective'!$C$9^5)*AB1219*AC1219</f>
        <v>0</v>
      </c>
      <c r="AE1219" s="140"/>
      <c r="AF1219" s="140"/>
      <c r="AG1219" s="164">
        <f>($L1219*'Pivot Objective'!$C$9^6)*AE1219*AF1219</f>
        <v>0</v>
      </c>
      <c r="AH1219" s="166">
        <f>2*25*9</f>
        <v>450</v>
      </c>
      <c r="AI1219" s="166">
        <v>5</v>
      </c>
      <c r="AJ1219" s="164">
        <f>($L1219*'Pivot Objective'!$C$9^7)*AH1219*AI1219</f>
        <v>1211880.8951306494</v>
      </c>
      <c r="AK1219" s="185">
        <f t="shared" ref="AK1219:AK1282" si="141">O1219+R1219+U1219+X1219+AA1219+AD1219+AG1219+AJ1219</f>
        <v>2336063.4723743824</v>
      </c>
      <c r="AL1219" s="186">
        <f t="shared" ref="AL1219:AL1282" si="142">AK1219/$AP$2</f>
        <v>2268.0227887129927</v>
      </c>
    </row>
    <row r="1220" spans="1:38" customFormat="1" ht="72" x14ac:dyDescent="0.3">
      <c r="A1220" s="140" t="s">
        <v>1481</v>
      </c>
      <c r="B1220" s="140">
        <v>2</v>
      </c>
      <c r="C1220" s="166" t="s">
        <v>983</v>
      </c>
      <c r="D1220" s="140" t="str">
        <f t="shared" si="138"/>
        <v>2</v>
      </c>
      <c r="E1220" s="166" t="s">
        <v>1255</v>
      </c>
      <c r="F1220" s="140">
        <f t="shared" si="137"/>
        <v>2</v>
      </c>
      <c r="G1220" s="140" t="str">
        <f t="shared" si="139"/>
        <v>2.2.2</v>
      </c>
      <c r="H1220" s="166" t="s">
        <v>1273</v>
      </c>
      <c r="I1220" s="166" t="s">
        <v>1370</v>
      </c>
      <c r="J1220" s="166" t="s">
        <v>1275</v>
      </c>
      <c r="K1220" s="166" t="s">
        <v>1299</v>
      </c>
      <c r="L1220" s="179">
        <f>1480/7</f>
        <v>211.42857142857142</v>
      </c>
      <c r="M1220" s="166">
        <f>2*135*9</f>
        <v>2430</v>
      </c>
      <c r="N1220" s="166">
        <v>1</v>
      </c>
      <c r="O1220" s="164">
        <f t="shared" si="140"/>
        <v>513771.42857142852</v>
      </c>
      <c r="P1220" s="166"/>
      <c r="Q1220" s="166"/>
      <c r="R1220" s="164">
        <f>$L1220*'Pivot Objective'!$C$9*P1220*Q1220</f>
        <v>0</v>
      </c>
      <c r="S1220" s="166">
        <f>2*135*9</f>
        <v>2430</v>
      </c>
      <c r="T1220" s="166">
        <v>1</v>
      </c>
      <c r="U1220" s="164">
        <f>($L1220*'Pivot Objective'!$C$9^2)*S1220*T1220</f>
        <v>671123.50217162515</v>
      </c>
      <c r="V1220" s="166"/>
      <c r="W1220" s="166"/>
      <c r="X1220" s="164">
        <f>($L1220*'Pivot Objective'!$C$9^3)*V1220*W1220</f>
        <v>0</v>
      </c>
      <c r="Y1220" s="166"/>
      <c r="Z1220" s="166"/>
      <c r="AA1220" s="164">
        <f>($L1220*'Pivot Objective'!$C$9^4)*Y1220*Z1220</f>
        <v>0</v>
      </c>
      <c r="AB1220" s="140"/>
      <c r="AC1220" s="140"/>
      <c r="AD1220" s="164">
        <f>($L1220*'Pivot Objective'!$C$9^5)*AB1220*AC1220</f>
        <v>0</v>
      </c>
      <c r="AE1220" s="140"/>
      <c r="AF1220" s="140"/>
      <c r="AG1220" s="164">
        <f>($L1220*'Pivot Objective'!$C$9^6)*AE1220*AF1220</f>
        <v>0</v>
      </c>
      <c r="AH1220" s="166">
        <f>2*135*9</f>
        <v>2430</v>
      </c>
      <c r="AI1220" s="166">
        <v>1</v>
      </c>
      <c r="AJ1220" s="164">
        <f>($L1220*'Pivot Objective'!$C$9^7)*AH1220*AI1220</f>
        <v>1308831.3667411015</v>
      </c>
      <c r="AK1220" s="185">
        <f t="shared" si="141"/>
        <v>2493726.2974841548</v>
      </c>
      <c r="AL1220" s="186">
        <f t="shared" si="142"/>
        <v>2421.093492703063</v>
      </c>
    </row>
    <row r="1221" spans="1:38" customFormat="1" ht="43.2" x14ac:dyDescent="0.3">
      <c r="A1221" s="140" t="s">
        <v>1482</v>
      </c>
      <c r="B1221" s="140">
        <v>2</v>
      </c>
      <c r="C1221" s="166" t="s">
        <v>983</v>
      </c>
      <c r="D1221" s="140" t="str">
        <f t="shared" si="138"/>
        <v>3</v>
      </c>
      <c r="E1221" s="166" t="s">
        <v>1280</v>
      </c>
      <c r="F1221" s="140">
        <v>1</v>
      </c>
      <c r="G1221" s="140" t="str">
        <f t="shared" si="139"/>
        <v>2.3.1</v>
      </c>
      <c r="H1221" s="166" t="s">
        <v>1281</v>
      </c>
      <c r="I1221" s="166" t="s">
        <v>1282</v>
      </c>
      <c r="J1221" s="166" t="s">
        <v>1283</v>
      </c>
      <c r="K1221" s="166" t="s">
        <v>841</v>
      </c>
      <c r="L1221" s="177">
        <v>0</v>
      </c>
      <c r="M1221" s="166">
        <v>0</v>
      </c>
      <c r="N1221" s="166">
        <v>0</v>
      </c>
      <c r="O1221" s="164">
        <f t="shared" si="140"/>
        <v>0</v>
      </c>
      <c r="P1221" s="166">
        <v>0</v>
      </c>
      <c r="Q1221" s="166">
        <v>0</v>
      </c>
      <c r="R1221" s="164">
        <f>$L1221*'Pivot Objective'!$C$9*P1221*Q1221</f>
        <v>0</v>
      </c>
      <c r="S1221" s="166">
        <v>0</v>
      </c>
      <c r="T1221" s="166">
        <v>0</v>
      </c>
      <c r="U1221" s="164">
        <f>($L1221*'Pivot Objective'!$C$9^2)*S1221*T1221</f>
        <v>0</v>
      </c>
      <c r="V1221" s="166">
        <v>0</v>
      </c>
      <c r="W1221" s="166">
        <v>0</v>
      </c>
      <c r="X1221" s="164">
        <f>($L1221*'Pivot Objective'!$C$9^3)*V1221*W1221</f>
        <v>0</v>
      </c>
      <c r="Y1221" s="166">
        <v>50000</v>
      </c>
      <c r="Z1221" s="166">
        <v>1</v>
      </c>
      <c r="AA1221" s="164">
        <f>($L1221*'Pivot Objective'!$C$9^4)*Y1221*Z1221</f>
        <v>0</v>
      </c>
      <c r="AB1221" s="140"/>
      <c r="AC1221" s="140"/>
      <c r="AD1221" s="164">
        <f>($L1221*'Pivot Objective'!$C$9^5)*AB1221*AC1221</f>
        <v>0</v>
      </c>
      <c r="AE1221" s="140"/>
      <c r="AF1221" s="140"/>
      <c r="AG1221" s="164">
        <f>($L1221*'Pivot Objective'!$C$9^6)*AE1221*AF1221</f>
        <v>0</v>
      </c>
      <c r="AH1221" s="140"/>
      <c r="AI1221" s="140"/>
      <c r="AJ1221" s="164">
        <f>($L1221*'Pivot Objective'!$C$9^7)*AH1221*AI1221</f>
        <v>0</v>
      </c>
      <c r="AK1221" s="185">
        <f t="shared" si="141"/>
        <v>0</v>
      </c>
      <c r="AL1221" s="186">
        <f t="shared" si="142"/>
        <v>0</v>
      </c>
    </row>
    <row r="1222" spans="1:38" customFormat="1" ht="43.2" x14ac:dyDescent="0.3">
      <c r="A1222" s="140" t="s">
        <v>1482</v>
      </c>
      <c r="B1222" s="140">
        <v>2</v>
      </c>
      <c r="C1222" s="166" t="s">
        <v>983</v>
      </c>
      <c r="D1222" s="140" t="str">
        <f t="shared" si="138"/>
        <v>3</v>
      </c>
      <c r="E1222" s="166" t="s">
        <v>1280</v>
      </c>
      <c r="F1222" s="140">
        <f t="shared" ref="F1222:F1252" si="143">IF(H1222=H1221,F1221,F1221+1)</f>
        <v>1</v>
      </c>
      <c r="G1222" s="140" t="str">
        <f t="shared" si="139"/>
        <v>2.3.1</v>
      </c>
      <c r="H1222" s="166" t="s">
        <v>1281</v>
      </c>
      <c r="I1222" s="166" t="s">
        <v>1282</v>
      </c>
      <c r="J1222" s="166" t="s">
        <v>1284</v>
      </c>
      <c r="K1222" s="166" t="s">
        <v>709</v>
      </c>
      <c r="L1222" s="177">
        <v>35000</v>
      </c>
      <c r="M1222" s="140"/>
      <c r="N1222" s="140"/>
      <c r="O1222" s="164">
        <f t="shared" si="140"/>
        <v>0</v>
      </c>
      <c r="P1222" s="166">
        <v>25</v>
      </c>
      <c r="Q1222" s="166">
        <v>1</v>
      </c>
      <c r="R1222" s="164">
        <f>$L1222*'Pivot Objective'!$C$9*P1222*Q1222</f>
        <v>1000055.9598749998</v>
      </c>
      <c r="S1222" s="166">
        <v>0</v>
      </c>
      <c r="T1222" s="166">
        <v>0</v>
      </c>
      <c r="U1222" s="164">
        <f>($L1222*'Pivot Objective'!$C$9^2)*S1222*T1222</f>
        <v>0</v>
      </c>
      <c r="V1222" s="166">
        <v>0</v>
      </c>
      <c r="W1222" s="166">
        <v>0</v>
      </c>
      <c r="X1222" s="164">
        <f>($L1222*'Pivot Objective'!$C$9^3)*V1222*W1222</f>
        <v>0</v>
      </c>
      <c r="Y1222" s="166">
        <v>0</v>
      </c>
      <c r="Z1222" s="166">
        <v>0</v>
      </c>
      <c r="AA1222" s="164">
        <f>($L1222*'Pivot Objective'!$C$9^4)*Y1222*Z1222</f>
        <v>0</v>
      </c>
      <c r="AB1222" s="140"/>
      <c r="AC1222" s="140"/>
      <c r="AD1222" s="164">
        <f>($L1222*'Pivot Objective'!$C$9^5)*AB1222*AC1222</f>
        <v>0</v>
      </c>
      <c r="AE1222" s="140"/>
      <c r="AF1222" s="140"/>
      <c r="AG1222" s="164">
        <f>($L1222*'Pivot Objective'!$C$9^6)*AE1222*AF1222</f>
        <v>0</v>
      </c>
      <c r="AH1222" s="140"/>
      <c r="AI1222" s="140"/>
      <c r="AJ1222" s="164">
        <f>($L1222*'Pivot Objective'!$C$9^7)*AH1222*AI1222</f>
        <v>0</v>
      </c>
      <c r="AK1222" s="185">
        <f t="shared" si="141"/>
        <v>1000055.9598749998</v>
      </c>
      <c r="AL1222" s="186">
        <f t="shared" si="142"/>
        <v>970.92811638349497</v>
      </c>
    </row>
    <row r="1223" spans="1:38" customFormat="1" ht="43.2" x14ac:dyDescent="0.3">
      <c r="A1223" s="140" t="s">
        <v>1482</v>
      </c>
      <c r="B1223" s="140">
        <v>2</v>
      </c>
      <c r="C1223" s="166" t="s">
        <v>983</v>
      </c>
      <c r="D1223" s="140" t="str">
        <f t="shared" si="138"/>
        <v>3</v>
      </c>
      <c r="E1223" s="166" t="s">
        <v>1280</v>
      </c>
      <c r="F1223" s="140">
        <f t="shared" si="143"/>
        <v>1</v>
      </c>
      <c r="G1223" s="140" t="str">
        <f t="shared" si="139"/>
        <v>2.3.1</v>
      </c>
      <c r="H1223" s="166" t="s">
        <v>1281</v>
      </c>
      <c r="I1223" s="166" t="s">
        <v>1285</v>
      </c>
      <c r="J1223" s="166" t="s">
        <v>1286</v>
      </c>
      <c r="K1223" s="166" t="s">
        <v>709</v>
      </c>
      <c r="L1223" s="177">
        <v>35000</v>
      </c>
      <c r="M1223" s="140"/>
      <c r="N1223" s="140"/>
      <c r="O1223" s="164">
        <f t="shared" si="140"/>
        <v>0</v>
      </c>
      <c r="P1223" s="166">
        <v>25</v>
      </c>
      <c r="Q1223" s="166">
        <v>1</v>
      </c>
      <c r="R1223" s="164">
        <f>$L1223*'Pivot Objective'!$C$9*P1223*Q1223</f>
        <v>1000055.9598749998</v>
      </c>
      <c r="S1223" s="166">
        <v>0</v>
      </c>
      <c r="T1223" s="166">
        <v>0</v>
      </c>
      <c r="U1223" s="164">
        <f>($L1223*'Pivot Objective'!$C$9^2)*S1223*T1223</f>
        <v>0</v>
      </c>
      <c r="V1223" s="166">
        <v>0</v>
      </c>
      <c r="W1223" s="166">
        <v>0</v>
      </c>
      <c r="X1223" s="164">
        <f>($L1223*'Pivot Objective'!$C$9^3)*V1223*W1223</f>
        <v>0</v>
      </c>
      <c r="Y1223" s="166">
        <v>0</v>
      </c>
      <c r="Z1223" s="166">
        <v>0</v>
      </c>
      <c r="AA1223" s="164">
        <f>($L1223*'Pivot Objective'!$C$9^4)*Y1223*Z1223</f>
        <v>0</v>
      </c>
      <c r="AB1223" s="140"/>
      <c r="AC1223" s="140"/>
      <c r="AD1223" s="164">
        <f>($L1223*'Pivot Objective'!$C$9^5)*AB1223*AC1223</f>
        <v>0</v>
      </c>
      <c r="AE1223" s="140"/>
      <c r="AF1223" s="140"/>
      <c r="AG1223" s="164">
        <f>($L1223*'Pivot Objective'!$C$9^6)*AE1223*AF1223</f>
        <v>0</v>
      </c>
      <c r="AH1223" s="140"/>
      <c r="AI1223" s="140"/>
      <c r="AJ1223" s="164">
        <f>($L1223*'Pivot Objective'!$C$9^7)*AH1223*AI1223</f>
        <v>0</v>
      </c>
      <c r="AK1223" s="185">
        <f t="shared" si="141"/>
        <v>1000055.9598749998</v>
      </c>
      <c r="AL1223" s="186">
        <f t="shared" si="142"/>
        <v>970.92811638349497</v>
      </c>
    </row>
    <row r="1224" spans="1:38" customFormat="1" ht="57.6" x14ac:dyDescent="0.3">
      <c r="A1224" s="140" t="s">
        <v>1482</v>
      </c>
      <c r="B1224" s="140">
        <v>2</v>
      </c>
      <c r="C1224" s="166" t="s">
        <v>983</v>
      </c>
      <c r="D1224" s="140" t="str">
        <f t="shared" si="138"/>
        <v>3</v>
      </c>
      <c r="E1224" s="166" t="s">
        <v>1280</v>
      </c>
      <c r="F1224" s="140">
        <f t="shared" si="143"/>
        <v>2</v>
      </c>
      <c r="G1224" s="140" t="str">
        <f t="shared" si="139"/>
        <v>2.3.2</v>
      </c>
      <c r="H1224" s="166" t="s">
        <v>1287</v>
      </c>
      <c r="I1224" s="166" t="s">
        <v>1288</v>
      </c>
      <c r="J1224" s="166" t="s">
        <v>1289</v>
      </c>
      <c r="K1224" s="166" t="s">
        <v>709</v>
      </c>
      <c r="L1224" s="177">
        <v>35000</v>
      </c>
      <c r="M1224" s="166">
        <v>25</v>
      </c>
      <c r="N1224" s="166">
        <v>1</v>
      </c>
      <c r="O1224" s="164">
        <f t="shared" si="140"/>
        <v>875000</v>
      </c>
      <c r="P1224" s="166">
        <v>25</v>
      </c>
      <c r="Q1224" s="166">
        <v>1</v>
      </c>
      <c r="R1224" s="164">
        <f>$L1224*'Pivot Objective'!$C$9*P1224*Q1224</f>
        <v>1000055.9598749998</v>
      </c>
      <c r="S1224" s="166">
        <v>25</v>
      </c>
      <c r="T1224" s="166">
        <v>1</v>
      </c>
      <c r="U1224" s="164">
        <f>($L1224*'Pivot Objective'!$C$9^2)*S1224*T1224</f>
        <v>1142985.0547217228</v>
      </c>
      <c r="V1224" s="166">
        <v>25</v>
      </c>
      <c r="W1224" s="166">
        <v>1</v>
      </c>
      <c r="X1224" s="164">
        <f>($L1224*'Pivot Objective'!$C$9^3)*V1224*W1224</f>
        <v>1306341.7325971564</v>
      </c>
      <c r="Y1224" s="166">
        <v>25</v>
      </c>
      <c r="Z1224" s="166">
        <v>1</v>
      </c>
      <c r="AA1224" s="164">
        <f>($L1224*'Pivot Objective'!$C$9^4)*Y1224*Z1224</f>
        <v>1493045.5260768225</v>
      </c>
      <c r="AB1224" s="140">
        <v>25</v>
      </c>
      <c r="AC1224" s="140">
        <v>1</v>
      </c>
      <c r="AD1224" s="164">
        <f>($L1224*'Pivot Objective'!$C$9^5)*AB1224*AC1224</f>
        <v>1706433.2305346637</v>
      </c>
      <c r="AE1224" s="140">
        <v>25</v>
      </c>
      <c r="AF1224" s="140">
        <v>1</v>
      </c>
      <c r="AG1224" s="164">
        <f>($L1224*'Pivot Objective'!$C$9^6)*AE1224*AF1224</f>
        <v>1950318.5397999317</v>
      </c>
      <c r="AH1224" s="140">
        <v>25</v>
      </c>
      <c r="AI1224" s="140">
        <v>1</v>
      </c>
      <c r="AJ1224" s="164">
        <f>($L1224*'Pivot Objective'!$C$9^7)*AH1224*AI1224</f>
        <v>2229060.2050075764</v>
      </c>
      <c r="AK1224" s="185">
        <f t="shared" si="141"/>
        <v>11703240.248612873</v>
      </c>
      <c r="AL1224" s="186">
        <f t="shared" si="142"/>
        <v>11362.369173410556</v>
      </c>
    </row>
    <row r="1225" spans="1:38" customFormat="1" ht="57.6" x14ac:dyDescent="0.3">
      <c r="A1225" s="140" t="s">
        <v>1482</v>
      </c>
      <c r="B1225" s="140">
        <v>2</v>
      </c>
      <c r="C1225" s="166" t="s">
        <v>983</v>
      </c>
      <c r="D1225" s="140" t="str">
        <f t="shared" si="138"/>
        <v>3</v>
      </c>
      <c r="E1225" s="166" t="s">
        <v>1280</v>
      </c>
      <c r="F1225" s="140">
        <f t="shared" si="143"/>
        <v>2</v>
      </c>
      <c r="G1225" s="140" t="str">
        <f t="shared" si="139"/>
        <v>2.3.2</v>
      </c>
      <c r="H1225" s="166" t="s">
        <v>1287</v>
      </c>
      <c r="I1225" s="166" t="s">
        <v>1290</v>
      </c>
      <c r="J1225" s="166" t="s">
        <v>169</v>
      </c>
      <c r="K1225" s="166" t="s">
        <v>709</v>
      </c>
      <c r="L1225" s="177">
        <v>35000</v>
      </c>
      <c r="M1225" s="166">
        <v>25</v>
      </c>
      <c r="N1225" s="166">
        <v>1</v>
      </c>
      <c r="O1225" s="164">
        <f t="shared" si="140"/>
        <v>875000</v>
      </c>
      <c r="P1225" s="166">
        <v>25</v>
      </c>
      <c r="Q1225" s="166">
        <v>1</v>
      </c>
      <c r="R1225" s="164">
        <f>$L1225*'Pivot Objective'!$C$9*P1225*Q1225</f>
        <v>1000055.9598749998</v>
      </c>
      <c r="S1225" s="166">
        <v>25</v>
      </c>
      <c r="T1225" s="166">
        <v>1</v>
      </c>
      <c r="U1225" s="164">
        <f>($L1225*'Pivot Objective'!$C$9^2)*S1225*T1225</f>
        <v>1142985.0547217228</v>
      </c>
      <c r="V1225" s="166">
        <v>25</v>
      </c>
      <c r="W1225" s="166">
        <v>1</v>
      </c>
      <c r="X1225" s="164">
        <f>($L1225*'Pivot Objective'!$C$9^3)*V1225*W1225</f>
        <v>1306341.7325971564</v>
      </c>
      <c r="Y1225" s="166">
        <v>25</v>
      </c>
      <c r="Z1225" s="166">
        <v>1</v>
      </c>
      <c r="AA1225" s="164">
        <f>($L1225*'Pivot Objective'!$C$9^4)*Y1225*Z1225</f>
        <v>1493045.5260768225</v>
      </c>
      <c r="AB1225" s="140">
        <v>25</v>
      </c>
      <c r="AC1225" s="140">
        <v>1</v>
      </c>
      <c r="AD1225" s="164">
        <f>($L1225*'Pivot Objective'!$C$9^5)*AB1225*AC1225</f>
        <v>1706433.2305346637</v>
      </c>
      <c r="AE1225" s="140">
        <v>25</v>
      </c>
      <c r="AF1225" s="140">
        <v>1</v>
      </c>
      <c r="AG1225" s="164">
        <f>($L1225*'Pivot Objective'!$C$9^6)*AE1225*AF1225</f>
        <v>1950318.5397999317</v>
      </c>
      <c r="AH1225" s="140">
        <v>25</v>
      </c>
      <c r="AI1225" s="140">
        <v>1</v>
      </c>
      <c r="AJ1225" s="164">
        <f>($L1225*'Pivot Objective'!$C$9^7)*AH1225*AI1225</f>
        <v>2229060.2050075764</v>
      </c>
      <c r="AK1225" s="185">
        <f t="shared" si="141"/>
        <v>11703240.248612873</v>
      </c>
      <c r="AL1225" s="186">
        <f t="shared" si="142"/>
        <v>11362.369173410556</v>
      </c>
    </row>
    <row r="1226" spans="1:38" customFormat="1" ht="57.6" x14ac:dyDescent="0.3">
      <c r="A1226" s="140" t="s">
        <v>1482</v>
      </c>
      <c r="B1226" s="140">
        <v>2</v>
      </c>
      <c r="C1226" s="166" t="s">
        <v>983</v>
      </c>
      <c r="D1226" s="140" t="str">
        <f t="shared" si="138"/>
        <v>3</v>
      </c>
      <c r="E1226" s="166" t="s">
        <v>1280</v>
      </c>
      <c r="F1226" s="140">
        <f t="shared" si="143"/>
        <v>2</v>
      </c>
      <c r="G1226" s="140" t="str">
        <f t="shared" si="139"/>
        <v>2.3.2</v>
      </c>
      <c r="H1226" s="166" t="s">
        <v>1287</v>
      </c>
      <c r="I1226" s="166" t="s">
        <v>1290</v>
      </c>
      <c r="J1226" s="166" t="s">
        <v>1025</v>
      </c>
      <c r="K1226" s="166" t="s">
        <v>841</v>
      </c>
      <c r="L1226" s="177">
        <v>0</v>
      </c>
      <c r="M1226" s="166">
        <v>0</v>
      </c>
      <c r="N1226" s="166">
        <v>0</v>
      </c>
      <c r="O1226" s="164">
        <f t="shared" si="140"/>
        <v>0</v>
      </c>
      <c r="P1226" s="166">
        <v>0</v>
      </c>
      <c r="Q1226" s="166">
        <v>0</v>
      </c>
      <c r="R1226" s="164">
        <f>$L1226*'Pivot Objective'!$C$9*P1226*Q1226</f>
        <v>0</v>
      </c>
      <c r="S1226" s="166">
        <v>0</v>
      </c>
      <c r="T1226" s="166">
        <v>0</v>
      </c>
      <c r="U1226" s="164">
        <f>($L1226*'Pivot Objective'!$C$9^2)*S1226*T1226</f>
        <v>0</v>
      </c>
      <c r="V1226" s="166">
        <v>0</v>
      </c>
      <c r="W1226" s="166">
        <v>0</v>
      </c>
      <c r="X1226" s="164">
        <f>($L1226*'Pivot Objective'!$C$9^3)*V1226*W1226</f>
        <v>0</v>
      </c>
      <c r="Y1226" s="166">
        <v>0</v>
      </c>
      <c r="Z1226" s="166">
        <v>0</v>
      </c>
      <c r="AA1226" s="164">
        <f>($L1226*'Pivot Objective'!$C$9^4)*Y1226*Z1226</f>
        <v>0</v>
      </c>
      <c r="AB1226" s="140">
        <v>0</v>
      </c>
      <c r="AC1226" s="140">
        <v>0</v>
      </c>
      <c r="AD1226" s="164">
        <f>($L1226*'Pivot Objective'!$C$9^5)*AB1226*AC1226</f>
        <v>0</v>
      </c>
      <c r="AE1226" s="140">
        <v>0</v>
      </c>
      <c r="AF1226" s="140">
        <v>0</v>
      </c>
      <c r="AG1226" s="164">
        <f>($L1226*'Pivot Objective'!$C$9^6)*AE1226*AF1226</f>
        <v>0</v>
      </c>
      <c r="AH1226" s="140">
        <v>0</v>
      </c>
      <c r="AI1226" s="140">
        <v>0</v>
      </c>
      <c r="AJ1226" s="164">
        <f>($L1226*'Pivot Objective'!$C$9^7)*AH1226*AI1226</f>
        <v>0</v>
      </c>
      <c r="AK1226" s="185">
        <f t="shared" si="141"/>
        <v>0</v>
      </c>
      <c r="AL1226" s="186">
        <f t="shared" si="142"/>
        <v>0</v>
      </c>
    </row>
    <row r="1227" spans="1:38" customFormat="1" ht="57.6" x14ac:dyDescent="0.3">
      <c r="A1227" s="140" t="s">
        <v>1482</v>
      </c>
      <c r="B1227" s="140">
        <v>2</v>
      </c>
      <c r="C1227" s="166" t="s">
        <v>983</v>
      </c>
      <c r="D1227" s="140" t="str">
        <f t="shared" si="138"/>
        <v>3</v>
      </c>
      <c r="E1227" s="166" t="s">
        <v>1280</v>
      </c>
      <c r="F1227" s="140">
        <f t="shared" si="143"/>
        <v>2</v>
      </c>
      <c r="G1227" s="140" t="str">
        <f t="shared" si="139"/>
        <v>2.3.2</v>
      </c>
      <c r="H1227" s="166" t="s">
        <v>1287</v>
      </c>
      <c r="I1227" s="166" t="s">
        <v>1290</v>
      </c>
      <c r="J1227" s="166" t="s">
        <v>149</v>
      </c>
      <c r="K1227" s="166" t="s">
        <v>707</v>
      </c>
      <c r="L1227" s="177">
        <v>391991.03749999998</v>
      </c>
      <c r="M1227" s="166">
        <v>2</v>
      </c>
      <c r="N1227" s="166">
        <v>2</v>
      </c>
      <c r="O1227" s="164">
        <f t="shared" si="140"/>
        <v>1567964.15</v>
      </c>
      <c r="P1227" s="166">
        <v>2</v>
      </c>
      <c r="Q1227" s="166">
        <v>2</v>
      </c>
      <c r="R1227" s="164">
        <f>$L1227*'Pivot Objective'!$C$9*P1227*Q1227</f>
        <v>1792059.3063746723</v>
      </c>
      <c r="S1227" s="166">
        <v>2</v>
      </c>
      <c r="T1227" s="166">
        <v>2</v>
      </c>
      <c r="U1227" s="164">
        <f>($L1227*'Pivot Objective'!$C$9^2)*S1227*T1227</f>
        <v>2048182.3883307995</v>
      </c>
      <c r="V1227" s="166">
        <v>2</v>
      </c>
      <c r="W1227" s="166">
        <v>2</v>
      </c>
      <c r="X1227" s="164">
        <f>($L1227*'Pivot Objective'!$C$9^3)*V1227*W1227</f>
        <v>2340910.8621271173</v>
      </c>
      <c r="Y1227" s="166">
        <v>2</v>
      </c>
      <c r="Z1227" s="166">
        <v>2</v>
      </c>
      <c r="AA1227" s="164">
        <f>($L1227*'Pivot Objective'!$C$9^4)*Y1227*Z1227</f>
        <v>2675476.4105215403</v>
      </c>
      <c r="AB1227" s="140">
        <v>2</v>
      </c>
      <c r="AC1227" s="140">
        <v>2</v>
      </c>
      <c r="AD1227" s="164">
        <f>($L1227*'Pivot Objective'!$C$9^5)*AB1227*AC1227</f>
        <v>3057858.4341109009</v>
      </c>
      <c r="AE1227" s="140">
        <v>2</v>
      </c>
      <c r="AF1227" s="140">
        <v>2</v>
      </c>
      <c r="AG1227" s="164">
        <f>($L1227*'Pivot Objective'!$C$9^6)*AE1227*AF1227</f>
        <v>3494890.915984733</v>
      </c>
      <c r="AH1227" s="140">
        <v>2</v>
      </c>
      <c r="AI1227" s="140">
        <v>2</v>
      </c>
      <c r="AJ1227" s="164">
        <f>($L1227*'Pivot Objective'!$C$9^7)*AH1227*AI1227</f>
        <v>3994384.5595926056</v>
      </c>
      <c r="AK1227" s="185">
        <f t="shared" si="141"/>
        <v>20971727.027042367</v>
      </c>
      <c r="AL1227" s="186">
        <f t="shared" si="142"/>
        <v>20360.900026254723</v>
      </c>
    </row>
    <row r="1228" spans="1:38" customFormat="1" ht="57.6" x14ac:dyDescent="0.3">
      <c r="A1228" s="140" t="s">
        <v>1482</v>
      </c>
      <c r="B1228" s="140">
        <v>2</v>
      </c>
      <c r="C1228" s="166" t="s">
        <v>983</v>
      </c>
      <c r="D1228" s="140" t="str">
        <f t="shared" si="138"/>
        <v>3</v>
      </c>
      <c r="E1228" s="166" t="s">
        <v>1280</v>
      </c>
      <c r="F1228" s="140">
        <f t="shared" si="143"/>
        <v>2</v>
      </c>
      <c r="G1228" s="140" t="str">
        <f t="shared" si="139"/>
        <v>2.3.2</v>
      </c>
      <c r="H1228" s="166" t="s">
        <v>1287</v>
      </c>
      <c r="I1228" s="166" t="s">
        <v>1290</v>
      </c>
      <c r="J1228" s="166" t="s">
        <v>149</v>
      </c>
      <c r="K1228" s="166" t="s">
        <v>708</v>
      </c>
      <c r="L1228" s="177">
        <f>500*1022</f>
        <v>511000</v>
      </c>
      <c r="M1228" s="166">
        <v>1</v>
      </c>
      <c r="N1228" s="166">
        <v>25</v>
      </c>
      <c r="O1228" s="164">
        <f t="shared" si="140"/>
        <v>12775000</v>
      </c>
      <c r="P1228" s="166">
        <v>1</v>
      </c>
      <c r="Q1228" s="166">
        <v>25</v>
      </c>
      <c r="R1228" s="164">
        <f>$L1228*'Pivot Objective'!$C$9*P1228*Q1228</f>
        <v>14600817.014174998</v>
      </c>
      <c r="S1228" s="166">
        <v>1</v>
      </c>
      <c r="T1228" s="166">
        <v>25</v>
      </c>
      <c r="U1228" s="164">
        <f>($L1228*'Pivot Objective'!$C$9^2)*S1228*T1228</f>
        <v>16687581.798937155</v>
      </c>
      <c r="V1228" s="166">
        <v>1</v>
      </c>
      <c r="W1228" s="166">
        <v>25</v>
      </c>
      <c r="X1228" s="164">
        <f>($L1228*'Pivot Objective'!$C$9^3)*V1228*W1228</f>
        <v>19072589.295918483</v>
      </c>
      <c r="Y1228" s="166">
        <v>1</v>
      </c>
      <c r="Z1228" s="166">
        <v>25</v>
      </c>
      <c r="AA1228" s="164">
        <f>($L1228*'Pivot Objective'!$C$9^4)*Y1228*Z1228</f>
        <v>21798464.680721607</v>
      </c>
      <c r="AB1228" s="140">
        <v>1</v>
      </c>
      <c r="AC1228" s="140">
        <v>25</v>
      </c>
      <c r="AD1228" s="164">
        <f>($L1228*'Pivot Objective'!$C$9^5)*AB1228*AC1228</f>
        <v>24913925.165806092</v>
      </c>
      <c r="AE1228" s="140">
        <v>1</v>
      </c>
      <c r="AF1228" s="140">
        <v>25</v>
      </c>
      <c r="AG1228" s="164">
        <f>($L1228*'Pivot Objective'!$C$9^6)*AE1228*AF1228</f>
        <v>28474650.681079004</v>
      </c>
      <c r="AH1228" s="140">
        <v>1</v>
      </c>
      <c r="AI1228" s="140">
        <v>25</v>
      </c>
      <c r="AJ1228" s="164">
        <f>($L1228*'Pivot Objective'!$C$9^7)*AH1228*AI1228</f>
        <v>32544278.993110616</v>
      </c>
      <c r="AK1228" s="185">
        <f t="shared" si="141"/>
        <v>170867307.62974796</v>
      </c>
      <c r="AL1228" s="186">
        <f t="shared" si="142"/>
        <v>165890.58993179412</v>
      </c>
    </row>
    <row r="1229" spans="1:38" customFormat="1" ht="57.6" x14ac:dyDescent="0.3">
      <c r="A1229" s="140" t="s">
        <v>1482</v>
      </c>
      <c r="B1229" s="140">
        <v>2</v>
      </c>
      <c r="C1229" s="166" t="s">
        <v>983</v>
      </c>
      <c r="D1229" s="140" t="str">
        <f t="shared" si="138"/>
        <v>3</v>
      </c>
      <c r="E1229" s="166" t="s">
        <v>1280</v>
      </c>
      <c r="F1229" s="140">
        <f t="shared" si="143"/>
        <v>2</v>
      </c>
      <c r="G1229" s="140" t="str">
        <f t="shared" si="139"/>
        <v>2.3.2</v>
      </c>
      <c r="H1229" s="166" t="s">
        <v>1287</v>
      </c>
      <c r="I1229" s="166" t="s">
        <v>1290</v>
      </c>
      <c r="J1229" s="166" t="s">
        <v>1181</v>
      </c>
      <c r="K1229" s="166" t="s">
        <v>841</v>
      </c>
      <c r="L1229" s="177">
        <v>0</v>
      </c>
      <c r="M1229" s="166">
        <v>0</v>
      </c>
      <c r="N1229" s="166">
        <v>0</v>
      </c>
      <c r="O1229" s="164">
        <f t="shared" si="140"/>
        <v>0</v>
      </c>
      <c r="P1229" s="166">
        <v>0</v>
      </c>
      <c r="Q1229" s="166">
        <v>0</v>
      </c>
      <c r="R1229" s="164">
        <f>$L1229*'Pivot Objective'!$C$9*P1229*Q1229</f>
        <v>0</v>
      </c>
      <c r="S1229" s="166">
        <v>0</v>
      </c>
      <c r="T1229" s="166">
        <v>0</v>
      </c>
      <c r="U1229" s="164">
        <f>($L1229*'Pivot Objective'!$C$9^2)*S1229*T1229</f>
        <v>0</v>
      </c>
      <c r="V1229" s="166">
        <v>0</v>
      </c>
      <c r="W1229" s="166">
        <v>0</v>
      </c>
      <c r="X1229" s="164">
        <f>($L1229*'Pivot Objective'!$C$9^3)*V1229*W1229</f>
        <v>0</v>
      </c>
      <c r="Y1229" s="166">
        <v>0</v>
      </c>
      <c r="Z1229" s="166">
        <v>0</v>
      </c>
      <c r="AA1229" s="164">
        <f>($L1229*'Pivot Objective'!$C$9^4)*Y1229*Z1229</f>
        <v>0</v>
      </c>
      <c r="AB1229" s="140">
        <v>0</v>
      </c>
      <c r="AC1229" s="140">
        <v>0</v>
      </c>
      <c r="AD1229" s="164">
        <f>($L1229*'Pivot Objective'!$C$9^5)*AB1229*AC1229</f>
        <v>0</v>
      </c>
      <c r="AE1229" s="140">
        <v>0</v>
      </c>
      <c r="AF1229" s="140">
        <v>0</v>
      </c>
      <c r="AG1229" s="164">
        <f>($L1229*'Pivot Objective'!$C$9^6)*AE1229*AF1229</f>
        <v>0</v>
      </c>
      <c r="AH1229" s="140">
        <v>0</v>
      </c>
      <c r="AI1229" s="140">
        <v>0</v>
      </c>
      <c r="AJ1229" s="164">
        <f>($L1229*'Pivot Objective'!$C$9^7)*AH1229*AI1229</f>
        <v>0</v>
      </c>
      <c r="AK1229" s="185">
        <f t="shared" si="141"/>
        <v>0</v>
      </c>
      <c r="AL1229" s="186">
        <f t="shared" si="142"/>
        <v>0</v>
      </c>
    </row>
    <row r="1230" spans="1:38" customFormat="1" ht="57.6" x14ac:dyDescent="0.3">
      <c r="A1230" s="140" t="s">
        <v>1482</v>
      </c>
      <c r="B1230" s="140">
        <v>2</v>
      </c>
      <c r="C1230" s="166" t="s">
        <v>983</v>
      </c>
      <c r="D1230" s="140" t="str">
        <f t="shared" si="138"/>
        <v>3</v>
      </c>
      <c r="E1230" s="166" t="s">
        <v>1280</v>
      </c>
      <c r="F1230" s="140">
        <f t="shared" si="143"/>
        <v>2</v>
      </c>
      <c r="G1230" s="140" t="str">
        <f t="shared" si="139"/>
        <v>2.3.2</v>
      </c>
      <c r="H1230" s="166" t="s">
        <v>1287</v>
      </c>
      <c r="I1230" s="166" t="s">
        <v>1290</v>
      </c>
      <c r="J1230" s="166" t="s">
        <v>1015</v>
      </c>
      <c r="K1230" s="166" t="s">
        <v>709</v>
      </c>
      <c r="L1230" s="177">
        <v>35000</v>
      </c>
      <c r="M1230" s="166">
        <v>25</v>
      </c>
      <c r="N1230" s="166">
        <v>5</v>
      </c>
      <c r="O1230" s="164">
        <f t="shared" si="140"/>
        <v>4375000</v>
      </c>
      <c r="P1230" s="166">
        <v>25</v>
      </c>
      <c r="Q1230" s="166">
        <v>5</v>
      </c>
      <c r="R1230" s="164">
        <f>$L1230*'Pivot Objective'!$C$9*P1230*Q1230</f>
        <v>5000279.7993749995</v>
      </c>
      <c r="S1230" s="166">
        <v>25</v>
      </c>
      <c r="T1230" s="166">
        <v>5</v>
      </c>
      <c r="U1230" s="164">
        <f>($L1230*'Pivot Objective'!$C$9^2)*S1230*T1230</f>
        <v>5714925.2736086138</v>
      </c>
      <c r="V1230" s="166">
        <v>25</v>
      </c>
      <c r="W1230" s="166">
        <v>5</v>
      </c>
      <c r="X1230" s="164">
        <f>($L1230*'Pivot Objective'!$C$9^3)*V1230*W1230</f>
        <v>6531708.6629857821</v>
      </c>
      <c r="Y1230" s="166">
        <v>25</v>
      </c>
      <c r="Z1230" s="166">
        <v>5</v>
      </c>
      <c r="AA1230" s="164">
        <f>($L1230*'Pivot Objective'!$C$9^4)*Y1230*Z1230</f>
        <v>7465227.6303841127</v>
      </c>
      <c r="AB1230" s="140">
        <v>25</v>
      </c>
      <c r="AC1230" s="140">
        <v>5</v>
      </c>
      <c r="AD1230" s="164">
        <f>($L1230*'Pivot Objective'!$C$9^5)*AB1230*AC1230</f>
        <v>8532166.152673319</v>
      </c>
      <c r="AE1230" s="140">
        <v>25</v>
      </c>
      <c r="AF1230" s="140">
        <v>5</v>
      </c>
      <c r="AG1230" s="164">
        <f>($L1230*'Pivot Objective'!$C$9^6)*AE1230*AF1230</f>
        <v>9751592.6989996582</v>
      </c>
      <c r="AH1230" s="140">
        <v>25</v>
      </c>
      <c r="AI1230" s="140">
        <v>5</v>
      </c>
      <c r="AJ1230" s="164">
        <f>($L1230*'Pivot Objective'!$C$9^7)*AH1230*AI1230</f>
        <v>11145301.025037881</v>
      </c>
      <c r="AK1230" s="185">
        <f t="shared" si="141"/>
        <v>58516201.243064374</v>
      </c>
      <c r="AL1230" s="186">
        <f t="shared" si="142"/>
        <v>56811.845867052791</v>
      </c>
    </row>
    <row r="1231" spans="1:38" customFormat="1" ht="57.6" x14ac:dyDescent="0.3">
      <c r="A1231" s="140" t="s">
        <v>1482</v>
      </c>
      <c r="B1231" s="140">
        <v>2</v>
      </c>
      <c r="C1231" s="166" t="s">
        <v>983</v>
      </c>
      <c r="D1231" s="140" t="str">
        <f t="shared" si="138"/>
        <v>3</v>
      </c>
      <c r="E1231" s="166" t="s">
        <v>1280</v>
      </c>
      <c r="F1231" s="140">
        <f t="shared" si="143"/>
        <v>2</v>
      </c>
      <c r="G1231" s="140" t="str">
        <f t="shared" si="139"/>
        <v>2.3.2</v>
      </c>
      <c r="H1231" s="166" t="s">
        <v>1287</v>
      </c>
      <c r="I1231" s="166" t="s">
        <v>1290</v>
      </c>
      <c r="J1231" s="166" t="s">
        <v>1015</v>
      </c>
      <c r="K1231" s="166" t="s">
        <v>716</v>
      </c>
      <c r="L1231" s="177">
        <v>39000</v>
      </c>
      <c r="M1231" s="166">
        <v>25</v>
      </c>
      <c r="N1231" s="166">
        <v>6</v>
      </c>
      <c r="O1231" s="164">
        <f t="shared" si="140"/>
        <v>5850000</v>
      </c>
      <c r="P1231" s="166">
        <v>25</v>
      </c>
      <c r="Q1231" s="166">
        <v>6</v>
      </c>
      <c r="R1231" s="164">
        <f>$L1231*'Pivot Objective'!$C$9*P1231*Q1231</f>
        <v>6686088.4174499996</v>
      </c>
      <c r="S1231" s="166">
        <v>25</v>
      </c>
      <c r="T1231" s="166">
        <v>6</v>
      </c>
      <c r="U1231" s="164">
        <f>($L1231*'Pivot Objective'!$C$9^2)*S1231*T1231</f>
        <v>7641671.5087109469</v>
      </c>
      <c r="V1231" s="166">
        <v>25</v>
      </c>
      <c r="W1231" s="166">
        <v>6</v>
      </c>
      <c r="X1231" s="164">
        <f>($L1231*'Pivot Objective'!$C$9^3)*V1231*W1231</f>
        <v>8733827.5836495608</v>
      </c>
      <c r="Y1231" s="166">
        <v>25</v>
      </c>
      <c r="Z1231" s="166">
        <v>6</v>
      </c>
      <c r="AA1231" s="164">
        <f>($L1231*'Pivot Objective'!$C$9^4)*Y1231*Z1231</f>
        <v>9982075.8029136136</v>
      </c>
      <c r="AB1231" s="140">
        <v>25</v>
      </c>
      <c r="AC1231" s="140">
        <v>6</v>
      </c>
      <c r="AD1231" s="164">
        <f>($L1231*'Pivot Objective'!$C$9^5)*AB1231*AC1231</f>
        <v>11408725.027003182</v>
      </c>
      <c r="AE1231" s="140">
        <v>25</v>
      </c>
      <c r="AF1231" s="140">
        <v>6</v>
      </c>
      <c r="AG1231" s="164">
        <f>($L1231*'Pivot Objective'!$C$9^6)*AE1231*AF1231</f>
        <v>13039272.523233831</v>
      </c>
      <c r="AH1231" s="140">
        <v>25</v>
      </c>
      <c r="AI1231" s="140">
        <v>6</v>
      </c>
      <c r="AJ1231" s="164">
        <f>($L1231*'Pivot Objective'!$C$9^7)*AH1231*AI1231</f>
        <v>14902859.656336365</v>
      </c>
      <c r="AK1231" s="185">
        <f t="shared" si="141"/>
        <v>78244520.519297495</v>
      </c>
      <c r="AL1231" s="186">
        <f t="shared" si="142"/>
        <v>75965.553902230575</v>
      </c>
    </row>
    <row r="1232" spans="1:38" customFormat="1" ht="57.6" x14ac:dyDescent="0.3">
      <c r="A1232" s="140" t="s">
        <v>1482</v>
      </c>
      <c r="B1232" s="140">
        <v>2</v>
      </c>
      <c r="C1232" s="166" t="s">
        <v>983</v>
      </c>
      <c r="D1232" s="140" t="str">
        <f t="shared" si="138"/>
        <v>3</v>
      </c>
      <c r="E1232" s="166" t="s">
        <v>1280</v>
      </c>
      <c r="F1232" s="140">
        <f t="shared" si="143"/>
        <v>2</v>
      </c>
      <c r="G1232" s="140" t="str">
        <f t="shared" si="139"/>
        <v>2.3.2</v>
      </c>
      <c r="H1232" s="166" t="s">
        <v>1287</v>
      </c>
      <c r="I1232" s="166" t="s">
        <v>1290</v>
      </c>
      <c r="J1232" s="166" t="s">
        <v>1015</v>
      </c>
      <c r="K1232" s="166" t="s">
        <v>1371</v>
      </c>
      <c r="L1232" s="177">
        <f>1480/7</f>
        <v>211.42857142857142</v>
      </c>
      <c r="M1232" s="166">
        <f>2*135*9</f>
        <v>2430</v>
      </c>
      <c r="N1232" s="166">
        <v>1</v>
      </c>
      <c r="O1232" s="164">
        <f t="shared" si="140"/>
        <v>513771.42857142852</v>
      </c>
      <c r="P1232" s="166">
        <f>2*135*9</f>
        <v>2430</v>
      </c>
      <c r="Q1232" s="166">
        <v>1</v>
      </c>
      <c r="R1232" s="164">
        <f>$L1232*'Pivot Objective'!$C$9*P1232*Q1232</f>
        <v>587200.20475011424</v>
      </c>
      <c r="S1232" s="166">
        <f>2*135*9</f>
        <v>2430</v>
      </c>
      <c r="T1232" s="166">
        <v>1</v>
      </c>
      <c r="U1232" s="164">
        <f>($L1232*'Pivot Objective'!$C$9^2)*S1232*T1232</f>
        <v>671123.50217162515</v>
      </c>
      <c r="V1232" s="166">
        <f>2*135*9</f>
        <v>2430</v>
      </c>
      <c r="W1232" s="166">
        <v>1</v>
      </c>
      <c r="X1232" s="164">
        <f>($L1232*'Pivot Objective'!$C$9^3)*V1232*W1232</f>
        <v>767041.20932447549</v>
      </c>
      <c r="Y1232" s="166">
        <f>2*135*9</f>
        <v>2430</v>
      </c>
      <c r="Z1232" s="166">
        <v>1</v>
      </c>
      <c r="AA1232" s="164">
        <f>($L1232*'Pivot Objective'!$C$9^4)*Y1232*Z1232</f>
        <v>876667.58040533611</v>
      </c>
      <c r="AB1232" s="140">
        <f>2*135*9</f>
        <v>2430</v>
      </c>
      <c r="AC1232" s="140">
        <v>1</v>
      </c>
      <c r="AD1232" s="164">
        <f>($L1232*'Pivot Objective'!$C$9^5)*AB1232*AC1232</f>
        <v>1001961.8727012025</v>
      </c>
      <c r="AE1232" s="140">
        <f>2*135*9</f>
        <v>2430</v>
      </c>
      <c r="AF1232" s="140">
        <v>1</v>
      </c>
      <c r="AG1232" s="164">
        <f>($L1232*'Pivot Objective'!$C$9^6)*AE1232*AF1232</f>
        <v>1145163.3626998325</v>
      </c>
      <c r="AH1232" s="140">
        <f>2*135*9</f>
        <v>2430</v>
      </c>
      <c r="AI1232" s="140">
        <v>1</v>
      </c>
      <c r="AJ1232" s="164">
        <f>($L1232*'Pivot Objective'!$C$9^7)*AH1232*AI1232</f>
        <v>1308831.3667411015</v>
      </c>
      <c r="AK1232" s="185">
        <f t="shared" si="141"/>
        <v>6871760.5273651164</v>
      </c>
      <c r="AL1232" s="186">
        <f t="shared" si="142"/>
        <v>6671.6121624904044</v>
      </c>
    </row>
    <row r="1233" spans="1:38" customFormat="1" ht="57.6" x14ac:dyDescent="0.3">
      <c r="A1233" s="140" t="s">
        <v>1482</v>
      </c>
      <c r="B1233" s="140">
        <v>2</v>
      </c>
      <c r="C1233" s="166" t="s">
        <v>983</v>
      </c>
      <c r="D1233" s="140" t="str">
        <f t="shared" si="138"/>
        <v>3</v>
      </c>
      <c r="E1233" s="166" t="s">
        <v>1280</v>
      </c>
      <c r="F1233" s="140">
        <f t="shared" si="143"/>
        <v>2</v>
      </c>
      <c r="G1233" s="140" t="str">
        <f t="shared" si="139"/>
        <v>2.3.2</v>
      </c>
      <c r="H1233" s="166" t="s">
        <v>1287</v>
      </c>
      <c r="I1233" s="166" t="s">
        <v>1290</v>
      </c>
      <c r="J1233" s="166" t="s">
        <v>1015</v>
      </c>
      <c r="K1233" s="166" t="s">
        <v>712</v>
      </c>
      <c r="L1233" s="177">
        <f>1480/7</f>
        <v>211.42857142857142</v>
      </c>
      <c r="M1233" s="166">
        <f>25*2*9</f>
        <v>450</v>
      </c>
      <c r="N1233" s="166">
        <v>5</v>
      </c>
      <c r="O1233" s="164">
        <f t="shared" si="140"/>
        <v>475714.28571428568</v>
      </c>
      <c r="P1233" s="166">
        <f>25*2*9</f>
        <v>450</v>
      </c>
      <c r="Q1233" s="166">
        <v>5</v>
      </c>
      <c r="R1233" s="164">
        <f>$L1233*'Pivot Objective'!$C$9*P1233*Q1233</f>
        <v>543703.89328714274</v>
      </c>
      <c r="S1233" s="166">
        <f>25*2*9</f>
        <v>450</v>
      </c>
      <c r="T1233" s="166">
        <v>5</v>
      </c>
      <c r="U1233" s="164">
        <f>($L1233*'Pivot Objective'!$C$9^2)*S1233*T1233</f>
        <v>621410.65015891218</v>
      </c>
      <c r="V1233" s="166">
        <f>25*2*9</f>
        <v>450</v>
      </c>
      <c r="W1233" s="166">
        <v>5</v>
      </c>
      <c r="X1233" s="164">
        <f>($L1233*'Pivot Objective'!$C$9^3)*V1233*W1233</f>
        <v>710223.34196710703</v>
      </c>
      <c r="Y1233" s="166">
        <f>25*2*9</f>
        <v>450</v>
      </c>
      <c r="Z1233" s="166">
        <v>5</v>
      </c>
      <c r="AA1233" s="164">
        <f>($L1233*'Pivot Objective'!$C$9^4)*Y1233*Z1233</f>
        <v>811729.24111605203</v>
      </c>
      <c r="AB1233" s="140">
        <f>25*2*9</f>
        <v>450</v>
      </c>
      <c r="AC1233" s="140">
        <v>5</v>
      </c>
      <c r="AD1233" s="164">
        <f>($L1233*'Pivot Objective'!$C$9^5)*AB1233*AC1233</f>
        <v>927742.47472333559</v>
      </c>
      <c r="AE1233" s="140">
        <f>25*2*9</f>
        <v>450</v>
      </c>
      <c r="AF1233" s="140">
        <v>5</v>
      </c>
      <c r="AG1233" s="164">
        <f>($L1233*'Pivot Objective'!$C$9^6)*AE1233*AF1233</f>
        <v>1060336.4469442894</v>
      </c>
      <c r="AH1233" s="140">
        <f>25*2*9</f>
        <v>450</v>
      </c>
      <c r="AI1233" s="140">
        <v>5</v>
      </c>
      <c r="AJ1233" s="164">
        <f>($L1233*'Pivot Objective'!$C$9^7)*AH1233*AI1233</f>
        <v>1211880.8951306494</v>
      </c>
      <c r="AK1233" s="185">
        <f t="shared" si="141"/>
        <v>6362741.2290417738</v>
      </c>
      <c r="AL1233" s="186">
        <f t="shared" si="142"/>
        <v>6177.4186689725957</v>
      </c>
    </row>
    <row r="1234" spans="1:38" customFormat="1" ht="57.6" x14ac:dyDescent="0.3">
      <c r="A1234" s="140" t="s">
        <v>1482</v>
      </c>
      <c r="B1234" s="140">
        <v>2</v>
      </c>
      <c r="C1234" s="166" t="s">
        <v>983</v>
      </c>
      <c r="D1234" s="140" t="str">
        <f t="shared" si="138"/>
        <v>3</v>
      </c>
      <c r="E1234" s="166" t="s">
        <v>1280</v>
      </c>
      <c r="F1234" s="140">
        <f t="shared" si="143"/>
        <v>2</v>
      </c>
      <c r="G1234" s="140" t="str">
        <f t="shared" si="139"/>
        <v>2.3.2</v>
      </c>
      <c r="H1234" s="166" t="s">
        <v>1287</v>
      </c>
      <c r="I1234" s="166" t="s">
        <v>1290</v>
      </c>
      <c r="J1234" s="166" t="s">
        <v>1015</v>
      </c>
      <c r="K1234" s="166" t="s">
        <v>1297</v>
      </c>
      <c r="L1234" s="177">
        <v>8000</v>
      </c>
      <c r="M1234" s="166">
        <v>10</v>
      </c>
      <c r="N1234" s="166">
        <v>1</v>
      </c>
      <c r="O1234" s="164">
        <f t="shared" si="140"/>
        <v>80000</v>
      </c>
      <c r="P1234" s="166">
        <v>10</v>
      </c>
      <c r="Q1234" s="166">
        <v>1</v>
      </c>
      <c r="R1234" s="164">
        <f>$L1234*'Pivot Objective'!$C$9*P1234*Q1234</f>
        <v>91433.687760000001</v>
      </c>
      <c r="S1234" s="166">
        <v>10</v>
      </c>
      <c r="T1234" s="166">
        <v>1</v>
      </c>
      <c r="U1234" s="164">
        <f>($L1234*'Pivot Objective'!$C$9^2)*S1234*T1234</f>
        <v>104501.49071741465</v>
      </c>
      <c r="V1234" s="166">
        <v>10</v>
      </c>
      <c r="W1234" s="166">
        <v>1</v>
      </c>
      <c r="X1234" s="164">
        <f>($L1234*'Pivot Objective'!$C$9^3)*V1234*W1234</f>
        <v>119436.95840888287</v>
      </c>
      <c r="Y1234" s="166">
        <v>10</v>
      </c>
      <c r="Z1234" s="166">
        <v>1</v>
      </c>
      <c r="AA1234" s="164">
        <f>($L1234*'Pivot Objective'!$C$9^4)*Y1234*Z1234</f>
        <v>136507.01952702377</v>
      </c>
      <c r="AB1234" s="140">
        <v>10</v>
      </c>
      <c r="AC1234" s="140">
        <v>1</v>
      </c>
      <c r="AD1234" s="164">
        <f>($L1234*'Pivot Objective'!$C$9^5)*AB1234*AC1234</f>
        <v>156016.75250602642</v>
      </c>
      <c r="AE1234" s="140">
        <v>10</v>
      </c>
      <c r="AF1234" s="140">
        <v>1</v>
      </c>
      <c r="AG1234" s="164">
        <f>($L1234*'Pivot Objective'!$C$9^6)*AE1234*AF1234</f>
        <v>178314.83792456522</v>
      </c>
      <c r="AH1234" s="140">
        <v>10</v>
      </c>
      <c r="AI1234" s="140">
        <v>1</v>
      </c>
      <c r="AJ1234" s="164">
        <f>($L1234*'Pivot Objective'!$C$9^7)*AH1234*AI1234</f>
        <v>203799.79017212125</v>
      </c>
      <c r="AK1234" s="185">
        <f t="shared" si="141"/>
        <v>1070010.5370160341</v>
      </c>
      <c r="AL1234" s="186">
        <f t="shared" si="142"/>
        <v>1038.8451815689652</v>
      </c>
    </row>
    <row r="1235" spans="1:38" customFormat="1" ht="57.6" x14ac:dyDescent="0.3">
      <c r="A1235" s="140" t="s">
        <v>1482</v>
      </c>
      <c r="B1235" s="140">
        <v>2</v>
      </c>
      <c r="C1235" s="166" t="s">
        <v>983</v>
      </c>
      <c r="D1235" s="140" t="str">
        <f t="shared" si="138"/>
        <v>3</v>
      </c>
      <c r="E1235" s="166" t="s">
        <v>1280</v>
      </c>
      <c r="F1235" s="140">
        <f t="shared" si="143"/>
        <v>2</v>
      </c>
      <c r="G1235" s="140" t="str">
        <f t="shared" si="139"/>
        <v>2.3.2</v>
      </c>
      <c r="H1235" s="166" t="s">
        <v>1287</v>
      </c>
      <c r="I1235" s="166" t="s">
        <v>1290</v>
      </c>
      <c r="J1235" s="166" t="s">
        <v>1015</v>
      </c>
      <c r="K1235" s="166" t="s">
        <v>710</v>
      </c>
      <c r="L1235" s="177">
        <v>104850</v>
      </c>
      <c r="M1235" s="166">
        <v>1</v>
      </c>
      <c r="N1235" s="166">
        <v>1</v>
      </c>
      <c r="O1235" s="164">
        <f t="shared" si="140"/>
        <v>104850</v>
      </c>
      <c r="P1235" s="166">
        <v>1</v>
      </c>
      <c r="Q1235" s="166">
        <v>1</v>
      </c>
      <c r="R1235" s="164">
        <f>$L1235*'Pivot Objective'!$C$9*P1235*Q1235</f>
        <v>119835.27702044998</v>
      </c>
      <c r="S1235" s="166">
        <v>1</v>
      </c>
      <c r="T1235" s="166">
        <v>1</v>
      </c>
      <c r="U1235" s="164">
        <f>($L1235*'Pivot Objective'!$C$9^2)*S1235*T1235</f>
        <v>136962.26627151159</v>
      </c>
      <c r="V1235" s="166">
        <v>1</v>
      </c>
      <c r="W1235" s="166">
        <v>1</v>
      </c>
      <c r="X1235" s="164">
        <f>($L1235*'Pivot Objective'!$C$9^3)*V1235*W1235</f>
        <v>156537.0636146421</v>
      </c>
      <c r="Y1235" s="166">
        <v>1</v>
      </c>
      <c r="Z1235" s="166">
        <v>1</v>
      </c>
      <c r="AA1235" s="164">
        <f>($L1235*'Pivot Objective'!$C$9^4)*Y1235*Z1235</f>
        <v>178909.51246760553</v>
      </c>
      <c r="AB1235" s="140">
        <v>1</v>
      </c>
      <c r="AC1235" s="140">
        <v>1</v>
      </c>
      <c r="AD1235" s="164">
        <f>($L1235*'Pivot Objective'!$C$9^5)*AB1235*AC1235</f>
        <v>204479.45625321087</v>
      </c>
      <c r="AE1235" s="140">
        <v>1</v>
      </c>
      <c r="AF1235" s="140">
        <v>1</v>
      </c>
      <c r="AG1235" s="164">
        <f>($L1235*'Pivot Objective'!$C$9^6)*AE1235*AF1235</f>
        <v>233703.88445488326</v>
      </c>
      <c r="AH1235" s="140">
        <v>1</v>
      </c>
      <c r="AI1235" s="140">
        <v>1</v>
      </c>
      <c r="AJ1235" s="164">
        <f>($L1235*'Pivot Objective'!$C$9^7)*AH1235*AI1235</f>
        <v>267105.09999433643</v>
      </c>
      <c r="AK1235" s="185">
        <f t="shared" si="141"/>
        <v>1402382.5600766398</v>
      </c>
      <c r="AL1235" s="186">
        <f t="shared" si="142"/>
        <v>1361.5364660938251</v>
      </c>
    </row>
    <row r="1236" spans="1:38" customFormat="1" ht="57.6" x14ac:dyDescent="0.3">
      <c r="A1236" s="140" t="s">
        <v>1482</v>
      </c>
      <c r="B1236" s="140">
        <v>2</v>
      </c>
      <c r="C1236" s="166" t="s">
        <v>983</v>
      </c>
      <c r="D1236" s="140" t="str">
        <f t="shared" si="138"/>
        <v>3</v>
      </c>
      <c r="E1236" s="166" t="s">
        <v>1280</v>
      </c>
      <c r="F1236" s="140">
        <f t="shared" si="143"/>
        <v>2</v>
      </c>
      <c r="G1236" s="140" t="str">
        <f t="shared" si="139"/>
        <v>2.3.2</v>
      </c>
      <c r="H1236" s="166" t="s">
        <v>1287</v>
      </c>
      <c r="I1236" s="166" t="s">
        <v>1290</v>
      </c>
      <c r="J1236" s="166" t="s">
        <v>1015</v>
      </c>
      <c r="K1236" s="166" t="s">
        <v>835</v>
      </c>
      <c r="L1236" s="177">
        <v>8000</v>
      </c>
      <c r="M1236" s="166">
        <v>10</v>
      </c>
      <c r="N1236" s="166">
        <v>1</v>
      </c>
      <c r="O1236" s="164">
        <f t="shared" si="140"/>
        <v>80000</v>
      </c>
      <c r="P1236" s="166">
        <v>10</v>
      </c>
      <c r="Q1236" s="166">
        <v>1</v>
      </c>
      <c r="R1236" s="164">
        <f>$L1236*'Pivot Objective'!$C$9*P1236*Q1236</f>
        <v>91433.687760000001</v>
      </c>
      <c r="S1236" s="166">
        <v>10</v>
      </c>
      <c r="T1236" s="166">
        <v>1</v>
      </c>
      <c r="U1236" s="164">
        <f>($L1236*'Pivot Objective'!$C$9^2)*S1236*T1236</f>
        <v>104501.49071741465</v>
      </c>
      <c r="V1236" s="166">
        <v>10</v>
      </c>
      <c r="W1236" s="166">
        <v>1</v>
      </c>
      <c r="X1236" s="164">
        <f>($L1236*'Pivot Objective'!$C$9^3)*V1236*W1236</f>
        <v>119436.95840888287</v>
      </c>
      <c r="Y1236" s="166">
        <v>10</v>
      </c>
      <c r="Z1236" s="166">
        <v>1</v>
      </c>
      <c r="AA1236" s="164">
        <f>($L1236*'Pivot Objective'!$C$9^4)*Y1236*Z1236</f>
        <v>136507.01952702377</v>
      </c>
      <c r="AB1236" s="140">
        <v>10</v>
      </c>
      <c r="AC1236" s="140">
        <v>1</v>
      </c>
      <c r="AD1236" s="164">
        <f>($L1236*'Pivot Objective'!$C$9^5)*AB1236*AC1236</f>
        <v>156016.75250602642</v>
      </c>
      <c r="AE1236" s="140">
        <v>10</v>
      </c>
      <c r="AF1236" s="140">
        <v>1</v>
      </c>
      <c r="AG1236" s="164">
        <f>($L1236*'Pivot Objective'!$C$9^6)*AE1236*AF1236</f>
        <v>178314.83792456522</v>
      </c>
      <c r="AH1236" s="140">
        <v>10</v>
      </c>
      <c r="AI1236" s="140">
        <v>1</v>
      </c>
      <c r="AJ1236" s="164">
        <f>($L1236*'Pivot Objective'!$C$9^7)*AH1236*AI1236</f>
        <v>203799.79017212125</v>
      </c>
      <c r="AK1236" s="185">
        <f t="shared" si="141"/>
        <v>1070010.5370160341</v>
      </c>
      <c r="AL1236" s="186">
        <f t="shared" si="142"/>
        <v>1038.8451815689652</v>
      </c>
    </row>
    <row r="1237" spans="1:38" customFormat="1" ht="57.6" x14ac:dyDescent="0.3">
      <c r="A1237" s="140" t="s">
        <v>1482</v>
      </c>
      <c r="B1237" s="140">
        <v>2</v>
      </c>
      <c r="C1237" s="166" t="s">
        <v>983</v>
      </c>
      <c r="D1237" s="140" t="str">
        <f t="shared" si="138"/>
        <v>3</v>
      </c>
      <c r="E1237" s="166" t="s">
        <v>1280</v>
      </c>
      <c r="F1237" s="140">
        <f t="shared" si="143"/>
        <v>2</v>
      </c>
      <c r="G1237" s="140" t="str">
        <f t="shared" si="139"/>
        <v>2.3.2</v>
      </c>
      <c r="H1237" s="166" t="s">
        <v>1287</v>
      </c>
      <c r="I1237" s="166" t="s">
        <v>1290</v>
      </c>
      <c r="J1237" s="166" t="s">
        <v>1159</v>
      </c>
      <c r="K1237" s="166" t="s">
        <v>713</v>
      </c>
      <c r="L1237" s="177">
        <v>45000</v>
      </c>
      <c r="M1237" s="166">
        <v>25</v>
      </c>
      <c r="N1237" s="166">
        <v>2</v>
      </c>
      <c r="O1237" s="164">
        <f t="shared" si="140"/>
        <v>2250000</v>
      </c>
      <c r="P1237" s="166">
        <v>25</v>
      </c>
      <c r="Q1237" s="166">
        <v>2</v>
      </c>
      <c r="R1237" s="164">
        <f>$L1237*'Pivot Objective'!$C$9*P1237*Q1237</f>
        <v>2571572.4682499995</v>
      </c>
      <c r="S1237" s="166">
        <v>25</v>
      </c>
      <c r="T1237" s="166">
        <v>2</v>
      </c>
      <c r="U1237" s="164">
        <f>($L1237*'Pivot Objective'!$C$9^2)*S1237*T1237</f>
        <v>2939104.4264272875</v>
      </c>
      <c r="V1237" s="166">
        <v>25</v>
      </c>
      <c r="W1237" s="166">
        <v>2</v>
      </c>
      <c r="X1237" s="164">
        <f>($L1237*'Pivot Objective'!$C$9^3)*V1237*W1237</f>
        <v>3359164.4552498306</v>
      </c>
      <c r="Y1237" s="166">
        <v>25</v>
      </c>
      <c r="Z1237" s="166">
        <v>2</v>
      </c>
      <c r="AA1237" s="164">
        <f>($L1237*'Pivot Objective'!$C$9^4)*Y1237*Z1237</f>
        <v>3839259.9241975434</v>
      </c>
      <c r="AB1237" s="140">
        <v>25</v>
      </c>
      <c r="AC1237" s="140">
        <v>2</v>
      </c>
      <c r="AD1237" s="164">
        <f>($L1237*'Pivot Objective'!$C$9^5)*AB1237*AC1237</f>
        <v>4387971.1642319923</v>
      </c>
      <c r="AE1237" s="140">
        <v>25</v>
      </c>
      <c r="AF1237" s="140">
        <v>2</v>
      </c>
      <c r="AG1237" s="164">
        <f>($L1237*'Pivot Objective'!$C$9^6)*AE1237*AF1237</f>
        <v>5015104.8166283965</v>
      </c>
      <c r="AH1237" s="140">
        <v>25</v>
      </c>
      <c r="AI1237" s="140">
        <v>2</v>
      </c>
      <c r="AJ1237" s="164">
        <f>($L1237*'Pivot Objective'!$C$9^7)*AH1237*AI1237</f>
        <v>5731869.0985909104</v>
      </c>
      <c r="AK1237" s="185">
        <f t="shared" si="141"/>
        <v>30094046.35357596</v>
      </c>
      <c r="AL1237" s="186">
        <f t="shared" si="142"/>
        <v>29217.520731627144</v>
      </c>
    </row>
    <row r="1238" spans="1:38" customFormat="1" ht="57.6" x14ac:dyDescent="0.3">
      <c r="A1238" s="140" t="s">
        <v>1482</v>
      </c>
      <c r="B1238" s="140">
        <v>2</v>
      </c>
      <c r="C1238" s="166" t="s">
        <v>983</v>
      </c>
      <c r="D1238" s="140" t="str">
        <f t="shared" si="138"/>
        <v>3</v>
      </c>
      <c r="E1238" s="166" t="s">
        <v>1280</v>
      </c>
      <c r="F1238" s="140">
        <f t="shared" si="143"/>
        <v>2</v>
      </c>
      <c r="G1238" s="140" t="str">
        <f t="shared" si="139"/>
        <v>2.3.2</v>
      </c>
      <c r="H1238" s="166" t="s">
        <v>1287</v>
      </c>
      <c r="I1238" s="166" t="s">
        <v>1290</v>
      </c>
      <c r="J1238" s="166" t="s">
        <v>1159</v>
      </c>
      <c r="K1238" s="166" t="s">
        <v>1371</v>
      </c>
      <c r="L1238" s="177">
        <f>1480/7</f>
        <v>211.42857142857142</v>
      </c>
      <c r="M1238" s="166">
        <f>2*135*9</f>
        <v>2430</v>
      </c>
      <c r="N1238" s="166">
        <v>1</v>
      </c>
      <c r="O1238" s="164">
        <f t="shared" si="140"/>
        <v>513771.42857142852</v>
      </c>
      <c r="P1238" s="166">
        <f>2*135*9</f>
        <v>2430</v>
      </c>
      <c r="Q1238" s="166">
        <v>1</v>
      </c>
      <c r="R1238" s="164">
        <f>$L1238*'Pivot Objective'!$C$9*P1238*Q1238</f>
        <v>587200.20475011424</v>
      </c>
      <c r="S1238" s="166">
        <f>2*135*9</f>
        <v>2430</v>
      </c>
      <c r="T1238" s="166">
        <v>1</v>
      </c>
      <c r="U1238" s="164">
        <f>($L1238*'Pivot Objective'!$C$9^2)*S1238*T1238</f>
        <v>671123.50217162515</v>
      </c>
      <c r="V1238" s="166">
        <f>2*135*9</f>
        <v>2430</v>
      </c>
      <c r="W1238" s="166">
        <v>1</v>
      </c>
      <c r="X1238" s="164">
        <f>($L1238*'Pivot Objective'!$C$9^3)*V1238*W1238</f>
        <v>767041.20932447549</v>
      </c>
      <c r="Y1238" s="166">
        <f>2*135*9</f>
        <v>2430</v>
      </c>
      <c r="Z1238" s="166">
        <v>1</v>
      </c>
      <c r="AA1238" s="164">
        <f>($L1238*'Pivot Objective'!$C$9^4)*Y1238*Z1238</f>
        <v>876667.58040533611</v>
      </c>
      <c r="AB1238" s="140">
        <f>2*135*9</f>
        <v>2430</v>
      </c>
      <c r="AC1238" s="140">
        <v>1</v>
      </c>
      <c r="AD1238" s="164">
        <f>($L1238*'Pivot Objective'!$C$9^5)*AB1238*AC1238</f>
        <v>1001961.8727012025</v>
      </c>
      <c r="AE1238" s="140">
        <f>2*135*9</f>
        <v>2430</v>
      </c>
      <c r="AF1238" s="140">
        <v>1</v>
      </c>
      <c r="AG1238" s="164">
        <f>($L1238*'Pivot Objective'!$C$9^6)*AE1238*AF1238</f>
        <v>1145163.3626998325</v>
      </c>
      <c r="AH1238" s="140">
        <f>2*135*9</f>
        <v>2430</v>
      </c>
      <c r="AI1238" s="140">
        <v>1</v>
      </c>
      <c r="AJ1238" s="164">
        <f>($L1238*'Pivot Objective'!$C$9^7)*AH1238*AI1238</f>
        <v>1308831.3667411015</v>
      </c>
      <c r="AK1238" s="185">
        <f t="shared" si="141"/>
        <v>6871760.5273651164</v>
      </c>
      <c r="AL1238" s="186">
        <f t="shared" si="142"/>
        <v>6671.6121624904044</v>
      </c>
    </row>
    <row r="1239" spans="1:38" customFormat="1" ht="57.6" x14ac:dyDescent="0.3">
      <c r="A1239" s="140" t="s">
        <v>1482</v>
      </c>
      <c r="B1239" s="140">
        <v>2</v>
      </c>
      <c r="C1239" s="166" t="s">
        <v>983</v>
      </c>
      <c r="D1239" s="140" t="str">
        <f t="shared" si="138"/>
        <v>3</v>
      </c>
      <c r="E1239" s="166" t="s">
        <v>1280</v>
      </c>
      <c r="F1239" s="140">
        <f t="shared" si="143"/>
        <v>2</v>
      </c>
      <c r="G1239" s="140" t="str">
        <f t="shared" si="139"/>
        <v>2.3.2</v>
      </c>
      <c r="H1239" s="166" t="s">
        <v>1287</v>
      </c>
      <c r="I1239" s="166" t="s">
        <v>1290</v>
      </c>
      <c r="J1239" s="166" t="s">
        <v>1159</v>
      </c>
      <c r="K1239" s="166" t="s">
        <v>712</v>
      </c>
      <c r="L1239" s="177">
        <f>1480/7</f>
        <v>211.42857142857142</v>
      </c>
      <c r="M1239" s="166">
        <f>25*2*9</f>
        <v>450</v>
      </c>
      <c r="N1239" s="166">
        <v>1</v>
      </c>
      <c r="O1239" s="164">
        <f t="shared" si="140"/>
        <v>95142.85714285713</v>
      </c>
      <c r="P1239" s="166">
        <f>25*2*9</f>
        <v>450</v>
      </c>
      <c r="Q1239" s="166">
        <v>1</v>
      </c>
      <c r="R1239" s="164">
        <f>$L1239*'Pivot Objective'!$C$9*P1239*Q1239</f>
        <v>108740.77865742856</v>
      </c>
      <c r="S1239" s="166">
        <f>25*2*9</f>
        <v>450</v>
      </c>
      <c r="T1239" s="166">
        <v>1</v>
      </c>
      <c r="U1239" s="164">
        <f>($L1239*'Pivot Objective'!$C$9^2)*S1239*T1239</f>
        <v>124282.13003178244</v>
      </c>
      <c r="V1239" s="166">
        <f>25*2*9</f>
        <v>450</v>
      </c>
      <c r="W1239" s="166">
        <v>1</v>
      </c>
      <c r="X1239" s="164">
        <f>($L1239*'Pivot Objective'!$C$9^3)*V1239*W1239</f>
        <v>142044.66839342139</v>
      </c>
      <c r="Y1239" s="166">
        <f>25*2*9</f>
        <v>450</v>
      </c>
      <c r="Z1239" s="166">
        <v>1</v>
      </c>
      <c r="AA1239" s="164">
        <f>($L1239*'Pivot Objective'!$C$9^4)*Y1239*Z1239</f>
        <v>162345.8482232104</v>
      </c>
      <c r="AB1239" s="140">
        <f>25*2*9</f>
        <v>450</v>
      </c>
      <c r="AC1239" s="140">
        <v>1</v>
      </c>
      <c r="AD1239" s="164">
        <f>($L1239*'Pivot Objective'!$C$9^5)*AB1239*AC1239</f>
        <v>185548.49494466712</v>
      </c>
      <c r="AE1239" s="140">
        <f>25*2*9</f>
        <v>450</v>
      </c>
      <c r="AF1239" s="140">
        <v>1</v>
      </c>
      <c r="AG1239" s="164">
        <f>($L1239*'Pivot Objective'!$C$9^6)*AE1239*AF1239</f>
        <v>212067.2893888579</v>
      </c>
      <c r="AH1239" s="140">
        <f>25*2*9</f>
        <v>450</v>
      </c>
      <c r="AI1239" s="140">
        <v>1</v>
      </c>
      <c r="AJ1239" s="164">
        <f>($L1239*'Pivot Objective'!$C$9^7)*AH1239*AI1239</f>
        <v>242376.17902612989</v>
      </c>
      <c r="AK1239" s="185">
        <f t="shared" si="141"/>
        <v>1272548.2458083548</v>
      </c>
      <c r="AL1239" s="186">
        <f t="shared" si="142"/>
        <v>1235.4837337945191</v>
      </c>
    </row>
    <row r="1240" spans="1:38" customFormat="1" ht="57.6" x14ac:dyDescent="0.3">
      <c r="A1240" s="140" t="s">
        <v>1482</v>
      </c>
      <c r="B1240" s="140">
        <v>2</v>
      </c>
      <c r="C1240" s="166" t="s">
        <v>983</v>
      </c>
      <c r="D1240" s="140" t="str">
        <f t="shared" si="138"/>
        <v>3</v>
      </c>
      <c r="E1240" s="166" t="s">
        <v>1280</v>
      </c>
      <c r="F1240" s="140">
        <f t="shared" si="143"/>
        <v>2</v>
      </c>
      <c r="G1240" s="140" t="str">
        <f t="shared" si="139"/>
        <v>2.3.2</v>
      </c>
      <c r="H1240" s="166" t="s">
        <v>1287</v>
      </c>
      <c r="I1240" s="166" t="s">
        <v>1290</v>
      </c>
      <c r="J1240" s="166" t="s">
        <v>1017</v>
      </c>
      <c r="K1240" s="166" t="s">
        <v>709</v>
      </c>
      <c r="L1240" s="177">
        <v>35000</v>
      </c>
      <c r="M1240" s="166">
        <v>25</v>
      </c>
      <c r="N1240" s="166">
        <v>1</v>
      </c>
      <c r="O1240" s="164">
        <f t="shared" si="140"/>
        <v>875000</v>
      </c>
      <c r="P1240" s="166">
        <v>25</v>
      </c>
      <c r="Q1240" s="166">
        <v>1</v>
      </c>
      <c r="R1240" s="164">
        <f>$L1240*'Pivot Objective'!$C$9*P1240*Q1240</f>
        <v>1000055.9598749998</v>
      </c>
      <c r="S1240" s="166">
        <v>25</v>
      </c>
      <c r="T1240" s="166">
        <v>1</v>
      </c>
      <c r="U1240" s="164">
        <f>($L1240*'Pivot Objective'!$C$9^2)*S1240*T1240</f>
        <v>1142985.0547217228</v>
      </c>
      <c r="V1240" s="166">
        <v>25</v>
      </c>
      <c r="W1240" s="166">
        <v>1</v>
      </c>
      <c r="X1240" s="164">
        <f>($L1240*'Pivot Objective'!$C$9^3)*V1240*W1240</f>
        <v>1306341.7325971564</v>
      </c>
      <c r="Y1240" s="166">
        <v>25</v>
      </c>
      <c r="Z1240" s="166">
        <v>1</v>
      </c>
      <c r="AA1240" s="164">
        <f>($L1240*'Pivot Objective'!$C$9^4)*Y1240*Z1240</f>
        <v>1493045.5260768225</v>
      </c>
      <c r="AB1240" s="140">
        <v>25</v>
      </c>
      <c r="AC1240" s="140">
        <v>1</v>
      </c>
      <c r="AD1240" s="164">
        <f>($L1240*'Pivot Objective'!$C$9^5)*AB1240*AC1240</f>
        <v>1706433.2305346637</v>
      </c>
      <c r="AE1240" s="140">
        <v>25</v>
      </c>
      <c r="AF1240" s="140">
        <v>1</v>
      </c>
      <c r="AG1240" s="164">
        <f>($L1240*'Pivot Objective'!$C$9^6)*AE1240*AF1240</f>
        <v>1950318.5397999317</v>
      </c>
      <c r="AH1240" s="140">
        <v>25</v>
      </c>
      <c r="AI1240" s="140">
        <v>1</v>
      </c>
      <c r="AJ1240" s="164">
        <f>($L1240*'Pivot Objective'!$C$9^7)*AH1240*AI1240</f>
        <v>2229060.2050075764</v>
      </c>
      <c r="AK1240" s="185">
        <f t="shared" si="141"/>
        <v>11703240.248612873</v>
      </c>
      <c r="AL1240" s="186">
        <f t="shared" si="142"/>
        <v>11362.369173410556</v>
      </c>
    </row>
    <row r="1241" spans="1:38" customFormat="1" ht="57.6" x14ac:dyDescent="0.3">
      <c r="A1241" s="140" t="s">
        <v>1482</v>
      </c>
      <c r="B1241" s="140">
        <v>2</v>
      </c>
      <c r="C1241" s="166" t="s">
        <v>983</v>
      </c>
      <c r="D1241" s="140" t="str">
        <f t="shared" si="138"/>
        <v>3</v>
      </c>
      <c r="E1241" s="166" t="s">
        <v>1280</v>
      </c>
      <c r="F1241" s="140">
        <f t="shared" si="143"/>
        <v>2</v>
      </c>
      <c r="G1241" s="140" t="str">
        <f t="shared" si="139"/>
        <v>2.3.2</v>
      </c>
      <c r="H1241" s="166" t="s">
        <v>1287</v>
      </c>
      <c r="I1241" s="166" t="s">
        <v>1290</v>
      </c>
      <c r="J1241" s="166" t="s">
        <v>168</v>
      </c>
      <c r="K1241" s="166" t="s">
        <v>709</v>
      </c>
      <c r="L1241" s="177">
        <v>35000</v>
      </c>
      <c r="M1241" s="166">
        <v>100</v>
      </c>
      <c r="N1241" s="166">
        <v>1</v>
      </c>
      <c r="O1241" s="164">
        <f t="shared" si="140"/>
        <v>3500000</v>
      </c>
      <c r="P1241" s="166">
        <v>100</v>
      </c>
      <c r="Q1241" s="166">
        <v>1</v>
      </c>
      <c r="R1241" s="164">
        <f>$L1241*'Pivot Objective'!$C$9*P1241*Q1241</f>
        <v>4000223.8394999993</v>
      </c>
      <c r="S1241" s="166">
        <v>100</v>
      </c>
      <c r="T1241" s="166">
        <v>1</v>
      </c>
      <c r="U1241" s="164">
        <f>($L1241*'Pivot Objective'!$C$9^2)*S1241*T1241</f>
        <v>4571940.2188868914</v>
      </c>
      <c r="V1241" s="166">
        <v>100</v>
      </c>
      <c r="W1241" s="166">
        <v>1</v>
      </c>
      <c r="X1241" s="164">
        <f>($L1241*'Pivot Objective'!$C$9^3)*V1241*W1241</f>
        <v>5225366.9303886257</v>
      </c>
      <c r="Y1241" s="166">
        <v>100</v>
      </c>
      <c r="Z1241" s="166">
        <v>1</v>
      </c>
      <c r="AA1241" s="164">
        <f>($L1241*'Pivot Objective'!$C$9^4)*Y1241*Z1241</f>
        <v>5972182.1043072902</v>
      </c>
      <c r="AB1241" s="140">
        <v>100</v>
      </c>
      <c r="AC1241" s="140">
        <v>1</v>
      </c>
      <c r="AD1241" s="164">
        <f>($L1241*'Pivot Objective'!$C$9^5)*AB1241*AC1241</f>
        <v>6825732.9221386546</v>
      </c>
      <c r="AE1241" s="140">
        <v>100</v>
      </c>
      <c r="AF1241" s="140">
        <v>1</v>
      </c>
      <c r="AG1241" s="164">
        <f>($L1241*'Pivot Objective'!$C$9^6)*AE1241*AF1241</f>
        <v>7801274.1591997268</v>
      </c>
      <c r="AH1241" s="140">
        <v>100</v>
      </c>
      <c r="AI1241" s="140">
        <v>1</v>
      </c>
      <c r="AJ1241" s="164">
        <f>($L1241*'Pivot Objective'!$C$9^7)*AH1241*AI1241</f>
        <v>8916240.8200303055</v>
      </c>
      <c r="AK1241" s="185">
        <f t="shared" si="141"/>
        <v>46812960.994451493</v>
      </c>
      <c r="AL1241" s="186">
        <f t="shared" si="142"/>
        <v>45449.476693642224</v>
      </c>
    </row>
    <row r="1242" spans="1:38" customFormat="1" ht="57.6" x14ac:dyDescent="0.3">
      <c r="A1242" s="140" t="s">
        <v>1482</v>
      </c>
      <c r="B1242" s="140">
        <v>2</v>
      </c>
      <c r="C1242" s="166" t="s">
        <v>983</v>
      </c>
      <c r="D1242" s="140" t="str">
        <f t="shared" si="138"/>
        <v>3</v>
      </c>
      <c r="E1242" s="166" t="s">
        <v>1280</v>
      </c>
      <c r="F1242" s="140">
        <f t="shared" si="143"/>
        <v>2</v>
      </c>
      <c r="G1242" s="140" t="str">
        <f t="shared" si="139"/>
        <v>2.3.2</v>
      </c>
      <c r="H1242" s="166" t="s">
        <v>1287</v>
      </c>
      <c r="I1242" s="166" t="s">
        <v>1290</v>
      </c>
      <c r="J1242" s="166" t="s">
        <v>168</v>
      </c>
      <c r="K1242" s="166" t="s">
        <v>716</v>
      </c>
      <c r="L1242" s="177">
        <v>39000</v>
      </c>
      <c r="M1242" s="166">
        <v>58</v>
      </c>
      <c r="N1242" s="166">
        <v>2</v>
      </c>
      <c r="O1242" s="164">
        <f t="shared" si="140"/>
        <v>4524000</v>
      </c>
      <c r="P1242" s="166">
        <v>58</v>
      </c>
      <c r="Q1242" s="166">
        <v>2</v>
      </c>
      <c r="R1242" s="164">
        <f>$L1242*'Pivot Objective'!$C$9*P1242*Q1242</f>
        <v>5170575.0428279992</v>
      </c>
      <c r="S1242" s="166">
        <v>58</v>
      </c>
      <c r="T1242" s="166">
        <v>2</v>
      </c>
      <c r="U1242" s="164">
        <f>($L1242*'Pivot Objective'!$C$9^2)*S1242*T1242</f>
        <v>5909559.3000697987</v>
      </c>
      <c r="V1242" s="166">
        <v>58</v>
      </c>
      <c r="W1242" s="166">
        <v>2</v>
      </c>
      <c r="X1242" s="164">
        <f>($L1242*'Pivot Objective'!$C$9^3)*V1242*W1242</f>
        <v>6754159.9980223263</v>
      </c>
      <c r="Y1242" s="166">
        <v>58</v>
      </c>
      <c r="Z1242" s="166">
        <v>2</v>
      </c>
      <c r="AA1242" s="164">
        <f>($L1242*'Pivot Objective'!$C$9^4)*Y1242*Z1242</f>
        <v>7719471.9542531949</v>
      </c>
      <c r="AB1242" s="140">
        <v>58</v>
      </c>
      <c r="AC1242" s="140">
        <v>2</v>
      </c>
      <c r="AD1242" s="164">
        <f>($L1242*'Pivot Objective'!$C$9^5)*AB1242*AC1242</f>
        <v>8822747.3542157933</v>
      </c>
      <c r="AE1242" s="140">
        <v>58</v>
      </c>
      <c r="AF1242" s="140">
        <v>2</v>
      </c>
      <c r="AG1242" s="164">
        <f>($L1242*'Pivot Objective'!$C$9^6)*AE1242*AF1242</f>
        <v>10083704.084634162</v>
      </c>
      <c r="AH1242" s="140">
        <v>58</v>
      </c>
      <c r="AI1242" s="140">
        <v>2</v>
      </c>
      <c r="AJ1242" s="164">
        <f>($L1242*'Pivot Objective'!$C$9^7)*AH1242*AI1242</f>
        <v>11524878.134233456</v>
      </c>
      <c r="AK1242" s="185">
        <f t="shared" si="141"/>
        <v>60509095.868256733</v>
      </c>
      <c r="AL1242" s="186">
        <f t="shared" si="142"/>
        <v>58746.695017724982</v>
      </c>
    </row>
    <row r="1243" spans="1:38" customFormat="1" ht="57.6" x14ac:dyDescent="0.3">
      <c r="A1243" s="140" t="s">
        <v>1482</v>
      </c>
      <c r="B1243" s="140">
        <v>2</v>
      </c>
      <c r="C1243" s="166" t="s">
        <v>983</v>
      </c>
      <c r="D1243" s="140" t="str">
        <f t="shared" si="138"/>
        <v>3</v>
      </c>
      <c r="E1243" s="166" t="s">
        <v>1280</v>
      </c>
      <c r="F1243" s="140">
        <f t="shared" si="143"/>
        <v>2</v>
      </c>
      <c r="G1243" s="140" t="str">
        <f t="shared" si="139"/>
        <v>2.3.2</v>
      </c>
      <c r="H1243" s="166" t="s">
        <v>1287</v>
      </c>
      <c r="I1243" s="166" t="s">
        <v>1290</v>
      </c>
      <c r="J1243" s="166" t="s">
        <v>168</v>
      </c>
      <c r="K1243" s="166" t="s">
        <v>1371</v>
      </c>
      <c r="L1243" s="177">
        <f>1480/7</f>
        <v>211.42857142857142</v>
      </c>
      <c r="M1243" s="166">
        <f>2*135*29</f>
        <v>7830</v>
      </c>
      <c r="N1243" s="166">
        <v>1</v>
      </c>
      <c r="O1243" s="164">
        <f t="shared" si="140"/>
        <v>1655485.7142857141</v>
      </c>
      <c r="P1243" s="166">
        <f>2*135*29</f>
        <v>7830</v>
      </c>
      <c r="Q1243" s="166">
        <v>1</v>
      </c>
      <c r="R1243" s="164">
        <f>$L1243*'Pivot Objective'!$C$9*P1243*Q1243</f>
        <v>1892089.548639257</v>
      </c>
      <c r="S1243" s="166">
        <f>2*135*29</f>
        <v>7830</v>
      </c>
      <c r="T1243" s="166">
        <v>1</v>
      </c>
      <c r="U1243" s="164">
        <f>($L1243*'Pivot Objective'!$C$9^2)*S1243*T1243</f>
        <v>2162509.0625530141</v>
      </c>
      <c r="V1243" s="166">
        <f>2*135*29</f>
        <v>7830</v>
      </c>
      <c r="W1243" s="166">
        <v>1</v>
      </c>
      <c r="X1243" s="164">
        <f>($L1243*'Pivot Objective'!$C$9^3)*V1243*W1243</f>
        <v>2471577.2300455323</v>
      </c>
      <c r="Y1243" s="166">
        <f>2*135*29</f>
        <v>7830</v>
      </c>
      <c r="Z1243" s="166">
        <v>1</v>
      </c>
      <c r="AA1243" s="164">
        <f>($L1243*'Pivot Objective'!$C$9^4)*Y1243*Z1243</f>
        <v>2824817.759083861</v>
      </c>
      <c r="AB1243" s="140">
        <f>2*135*29</f>
        <v>7830</v>
      </c>
      <c r="AC1243" s="140">
        <v>1</v>
      </c>
      <c r="AD1243" s="164">
        <f>($L1243*'Pivot Objective'!$C$9^5)*AB1243*AC1243</f>
        <v>3228543.8120372081</v>
      </c>
      <c r="AE1243" s="140">
        <f>2*135*29</f>
        <v>7830</v>
      </c>
      <c r="AF1243" s="140">
        <v>1</v>
      </c>
      <c r="AG1243" s="164">
        <f>($L1243*'Pivot Objective'!$C$9^6)*AE1243*AF1243</f>
        <v>3689970.8353661271</v>
      </c>
      <c r="AH1243" s="140">
        <f>2*135*29</f>
        <v>7830</v>
      </c>
      <c r="AI1243" s="140">
        <v>1</v>
      </c>
      <c r="AJ1243" s="164">
        <f>($L1243*'Pivot Objective'!$C$9^7)*AH1243*AI1243</f>
        <v>4217345.5150546599</v>
      </c>
      <c r="AK1243" s="185">
        <f t="shared" si="141"/>
        <v>22142339.477065377</v>
      </c>
      <c r="AL1243" s="186">
        <f t="shared" si="142"/>
        <v>21497.416968024638</v>
      </c>
    </row>
    <row r="1244" spans="1:38" customFormat="1" ht="57.6" x14ac:dyDescent="0.3">
      <c r="A1244" s="140" t="s">
        <v>1482</v>
      </c>
      <c r="B1244" s="140">
        <v>2</v>
      </c>
      <c r="C1244" s="166" t="s">
        <v>983</v>
      </c>
      <c r="D1244" s="140" t="str">
        <f t="shared" si="138"/>
        <v>3</v>
      </c>
      <c r="E1244" s="166" t="s">
        <v>1280</v>
      </c>
      <c r="F1244" s="140">
        <f t="shared" si="143"/>
        <v>2</v>
      </c>
      <c r="G1244" s="140" t="str">
        <f t="shared" si="139"/>
        <v>2.3.2</v>
      </c>
      <c r="H1244" s="166" t="s">
        <v>1287</v>
      </c>
      <c r="I1244" s="166" t="s">
        <v>1290</v>
      </c>
      <c r="J1244" s="166" t="s">
        <v>168</v>
      </c>
      <c r="K1244" s="166" t="s">
        <v>712</v>
      </c>
      <c r="L1244" s="177">
        <f>1480/7</f>
        <v>211.42857142857142</v>
      </c>
      <c r="M1244" s="166">
        <f>25*2*29</f>
        <v>1450</v>
      </c>
      <c r="N1244" s="166">
        <v>1</v>
      </c>
      <c r="O1244" s="164">
        <f t="shared" si="140"/>
        <v>306571.42857142858</v>
      </c>
      <c r="P1244" s="166">
        <f>25*2*29</f>
        <v>1450</v>
      </c>
      <c r="Q1244" s="166">
        <v>1</v>
      </c>
      <c r="R1244" s="164">
        <f>$L1244*'Pivot Objective'!$C$9*P1244*Q1244</f>
        <v>350386.95345171425</v>
      </c>
      <c r="S1244" s="166">
        <f>25*2*29</f>
        <v>1450</v>
      </c>
      <c r="T1244" s="166">
        <v>1</v>
      </c>
      <c r="U1244" s="164">
        <f>($L1244*'Pivot Objective'!$C$9^2)*S1244*T1244</f>
        <v>400464.64121352119</v>
      </c>
      <c r="V1244" s="166">
        <f>25*2*29</f>
        <v>1450</v>
      </c>
      <c r="W1244" s="166">
        <v>1</v>
      </c>
      <c r="X1244" s="164">
        <f>($L1244*'Pivot Objective'!$C$9^3)*V1244*W1244</f>
        <v>457699.48704546894</v>
      </c>
      <c r="Y1244" s="166">
        <f>25*2*29</f>
        <v>1450</v>
      </c>
      <c r="Z1244" s="166">
        <v>1</v>
      </c>
      <c r="AA1244" s="164">
        <f>($L1244*'Pivot Objective'!$C$9^4)*Y1244*Z1244</f>
        <v>523114.3998303446</v>
      </c>
      <c r="AB1244" s="140">
        <f>25*2*29</f>
        <v>1450</v>
      </c>
      <c r="AC1244" s="140">
        <v>1</v>
      </c>
      <c r="AD1244" s="164">
        <f>($L1244*'Pivot Objective'!$C$9^5)*AB1244*AC1244</f>
        <v>597878.48371059401</v>
      </c>
      <c r="AE1244" s="140">
        <f>25*2*29</f>
        <v>1450</v>
      </c>
      <c r="AF1244" s="140">
        <v>1</v>
      </c>
      <c r="AG1244" s="164">
        <f>($L1244*'Pivot Objective'!$C$9^6)*AE1244*AF1244</f>
        <v>683327.93247520877</v>
      </c>
      <c r="AH1244" s="140">
        <f>25*2*29</f>
        <v>1450</v>
      </c>
      <c r="AI1244" s="140">
        <v>1</v>
      </c>
      <c r="AJ1244" s="164">
        <f>($L1244*'Pivot Objective'!$C$9^7)*AH1244*AI1244</f>
        <v>780989.91019530746</v>
      </c>
      <c r="AK1244" s="185">
        <f t="shared" si="141"/>
        <v>4100433.2364935875</v>
      </c>
      <c r="AL1244" s="186">
        <f t="shared" si="142"/>
        <v>3981.0031422267839</v>
      </c>
    </row>
    <row r="1245" spans="1:38" customFormat="1" ht="57.6" x14ac:dyDescent="0.3">
      <c r="A1245" s="140" t="s">
        <v>1482</v>
      </c>
      <c r="B1245" s="140">
        <v>2</v>
      </c>
      <c r="C1245" s="166" t="s">
        <v>983</v>
      </c>
      <c r="D1245" s="140" t="str">
        <f t="shared" si="138"/>
        <v>3</v>
      </c>
      <c r="E1245" s="166" t="s">
        <v>1280</v>
      </c>
      <c r="F1245" s="140">
        <f t="shared" si="143"/>
        <v>2</v>
      </c>
      <c r="G1245" s="140" t="str">
        <f t="shared" si="139"/>
        <v>2.3.2</v>
      </c>
      <c r="H1245" s="166" t="s">
        <v>1287</v>
      </c>
      <c r="I1245" s="166" t="s">
        <v>1290</v>
      </c>
      <c r="J1245" s="166" t="s">
        <v>1156</v>
      </c>
      <c r="K1245" s="166" t="s">
        <v>709</v>
      </c>
      <c r="L1245" s="177">
        <v>35000</v>
      </c>
      <c r="M1245" s="166">
        <v>100</v>
      </c>
      <c r="N1245" s="166">
        <v>1</v>
      </c>
      <c r="O1245" s="164">
        <f t="shared" si="140"/>
        <v>3500000</v>
      </c>
      <c r="P1245" s="166">
        <v>100</v>
      </c>
      <c r="Q1245" s="166">
        <v>1</v>
      </c>
      <c r="R1245" s="164">
        <f>$L1245*'Pivot Objective'!$C$9*P1245*Q1245</f>
        <v>4000223.8394999993</v>
      </c>
      <c r="S1245" s="166">
        <v>100</v>
      </c>
      <c r="T1245" s="166">
        <v>1</v>
      </c>
      <c r="U1245" s="164">
        <f>($L1245*'Pivot Objective'!$C$9^2)*S1245*T1245</f>
        <v>4571940.2188868914</v>
      </c>
      <c r="V1245" s="166">
        <v>100</v>
      </c>
      <c r="W1245" s="166">
        <v>1</v>
      </c>
      <c r="X1245" s="164">
        <f>($L1245*'Pivot Objective'!$C$9^3)*V1245*W1245</f>
        <v>5225366.9303886257</v>
      </c>
      <c r="Y1245" s="166">
        <v>100</v>
      </c>
      <c r="Z1245" s="166">
        <v>1</v>
      </c>
      <c r="AA1245" s="164">
        <f>($L1245*'Pivot Objective'!$C$9^4)*Y1245*Z1245</f>
        <v>5972182.1043072902</v>
      </c>
      <c r="AB1245" s="140">
        <v>100</v>
      </c>
      <c r="AC1245" s="140">
        <v>1</v>
      </c>
      <c r="AD1245" s="164">
        <f>($L1245*'Pivot Objective'!$C$9^5)*AB1245*AC1245</f>
        <v>6825732.9221386546</v>
      </c>
      <c r="AE1245" s="140">
        <v>100</v>
      </c>
      <c r="AF1245" s="140">
        <v>1</v>
      </c>
      <c r="AG1245" s="164">
        <f>($L1245*'Pivot Objective'!$C$9^6)*AE1245*AF1245</f>
        <v>7801274.1591997268</v>
      </c>
      <c r="AH1245" s="140">
        <v>100</v>
      </c>
      <c r="AI1245" s="140">
        <v>1</v>
      </c>
      <c r="AJ1245" s="164">
        <f>($L1245*'Pivot Objective'!$C$9^7)*AH1245*AI1245</f>
        <v>8916240.8200303055</v>
      </c>
      <c r="AK1245" s="185">
        <f t="shared" si="141"/>
        <v>46812960.994451493</v>
      </c>
      <c r="AL1245" s="186">
        <f t="shared" si="142"/>
        <v>45449.476693642224</v>
      </c>
    </row>
    <row r="1246" spans="1:38" customFormat="1" ht="57.6" x14ac:dyDescent="0.3">
      <c r="A1246" s="140" t="s">
        <v>1482</v>
      </c>
      <c r="B1246" s="140">
        <v>2</v>
      </c>
      <c r="C1246" s="166" t="s">
        <v>983</v>
      </c>
      <c r="D1246" s="140" t="str">
        <f t="shared" si="138"/>
        <v>3</v>
      </c>
      <c r="E1246" s="166" t="s">
        <v>1280</v>
      </c>
      <c r="F1246" s="140">
        <f t="shared" si="143"/>
        <v>2</v>
      </c>
      <c r="G1246" s="140" t="str">
        <f t="shared" si="139"/>
        <v>2.3.2</v>
      </c>
      <c r="H1246" s="166" t="s">
        <v>1287</v>
      </c>
      <c r="I1246" s="166" t="s">
        <v>1290</v>
      </c>
      <c r="J1246" s="166" t="s">
        <v>1156</v>
      </c>
      <c r="K1246" s="166" t="s">
        <v>716</v>
      </c>
      <c r="L1246" s="177">
        <v>39000</v>
      </c>
      <c r="M1246" s="166">
        <v>58</v>
      </c>
      <c r="N1246" s="166">
        <v>2</v>
      </c>
      <c r="O1246" s="164">
        <f t="shared" si="140"/>
        <v>4524000</v>
      </c>
      <c r="P1246" s="166">
        <v>58</v>
      </c>
      <c r="Q1246" s="166">
        <v>2</v>
      </c>
      <c r="R1246" s="164">
        <f>$L1246*'Pivot Objective'!$C$9*P1246*Q1246</f>
        <v>5170575.0428279992</v>
      </c>
      <c r="S1246" s="166">
        <v>58</v>
      </c>
      <c r="T1246" s="166">
        <v>2</v>
      </c>
      <c r="U1246" s="164">
        <f>($L1246*'Pivot Objective'!$C$9^2)*S1246*T1246</f>
        <v>5909559.3000697987</v>
      </c>
      <c r="V1246" s="166">
        <v>58</v>
      </c>
      <c r="W1246" s="166">
        <v>2</v>
      </c>
      <c r="X1246" s="164">
        <f>($L1246*'Pivot Objective'!$C$9^3)*V1246*W1246</f>
        <v>6754159.9980223263</v>
      </c>
      <c r="Y1246" s="166">
        <v>58</v>
      </c>
      <c r="Z1246" s="166">
        <v>2</v>
      </c>
      <c r="AA1246" s="164">
        <f>($L1246*'Pivot Objective'!$C$9^4)*Y1246*Z1246</f>
        <v>7719471.9542531949</v>
      </c>
      <c r="AB1246" s="140">
        <v>58</v>
      </c>
      <c r="AC1246" s="140">
        <v>2</v>
      </c>
      <c r="AD1246" s="164">
        <f>($L1246*'Pivot Objective'!$C$9^5)*AB1246*AC1246</f>
        <v>8822747.3542157933</v>
      </c>
      <c r="AE1246" s="140">
        <v>58</v>
      </c>
      <c r="AF1246" s="140">
        <v>2</v>
      </c>
      <c r="AG1246" s="164">
        <f>($L1246*'Pivot Objective'!$C$9^6)*AE1246*AF1246</f>
        <v>10083704.084634162</v>
      </c>
      <c r="AH1246" s="140">
        <v>58</v>
      </c>
      <c r="AI1246" s="140">
        <v>2</v>
      </c>
      <c r="AJ1246" s="164">
        <f>($L1246*'Pivot Objective'!$C$9^7)*AH1246*AI1246</f>
        <v>11524878.134233456</v>
      </c>
      <c r="AK1246" s="185">
        <f t="shared" si="141"/>
        <v>60509095.868256733</v>
      </c>
      <c r="AL1246" s="186">
        <f t="shared" si="142"/>
        <v>58746.695017724982</v>
      </c>
    </row>
    <row r="1247" spans="1:38" customFormat="1" ht="57.6" x14ac:dyDescent="0.3">
      <c r="A1247" s="140" t="s">
        <v>1482</v>
      </c>
      <c r="B1247" s="140">
        <v>2</v>
      </c>
      <c r="C1247" s="166" t="s">
        <v>983</v>
      </c>
      <c r="D1247" s="140" t="str">
        <f t="shared" si="138"/>
        <v>3</v>
      </c>
      <c r="E1247" s="166" t="s">
        <v>1280</v>
      </c>
      <c r="F1247" s="140">
        <f t="shared" si="143"/>
        <v>2</v>
      </c>
      <c r="G1247" s="140" t="str">
        <f t="shared" si="139"/>
        <v>2.3.2</v>
      </c>
      <c r="H1247" s="166" t="s">
        <v>1287</v>
      </c>
      <c r="I1247" s="166" t="s">
        <v>1290</v>
      </c>
      <c r="J1247" s="166" t="s">
        <v>1156</v>
      </c>
      <c r="K1247" s="166" t="s">
        <v>1297</v>
      </c>
      <c r="L1247" s="177">
        <v>8000</v>
      </c>
      <c r="M1247" s="166">
        <v>10</v>
      </c>
      <c r="N1247" s="166">
        <v>1</v>
      </c>
      <c r="O1247" s="164">
        <f t="shared" si="140"/>
        <v>80000</v>
      </c>
      <c r="P1247" s="166">
        <v>10</v>
      </c>
      <c r="Q1247" s="166">
        <v>1</v>
      </c>
      <c r="R1247" s="164">
        <f>$L1247*'Pivot Objective'!$C$9*P1247*Q1247</f>
        <v>91433.687760000001</v>
      </c>
      <c r="S1247" s="166">
        <v>10</v>
      </c>
      <c r="T1247" s="166">
        <v>1</v>
      </c>
      <c r="U1247" s="164">
        <f>($L1247*'Pivot Objective'!$C$9^2)*S1247*T1247</f>
        <v>104501.49071741465</v>
      </c>
      <c r="V1247" s="166">
        <v>10</v>
      </c>
      <c r="W1247" s="166">
        <v>1</v>
      </c>
      <c r="X1247" s="164">
        <f>($L1247*'Pivot Objective'!$C$9^3)*V1247*W1247</f>
        <v>119436.95840888287</v>
      </c>
      <c r="Y1247" s="166">
        <v>10</v>
      </c>
      <c r="Z1247" s="166">
        <v>1</v>
      </c>
      <c r="AA1247" s="164">
        <f>($L1247*'Pivot Objective'!$C$9^4)*Y1247*Z1247</f>
        <v>136507.01952702377</v>
      </c>
      <c r="AB1247" s="140">
        <v>10</v>
      </c>
      <c r="AC1247" s="140">
        <v>1</v>
      </c>
      <c r="AD1247" s="164">
        <f>($L1247*'Pivot Objective'!$C$9^5)*AB1247*AC1247</f>
        <v>156016.75250602642</v>
      </c>
      <c r="AE1247" s="140">
        <v>10</v>
      </c>
      <c r="AF1247" s="140">
        <v>1</v>
      </c>
      <c r="AG1247" s="164">
        <f>($L1247*'Pivot Objective'!$C$9^6)*AE1247*AF1247</f>
        <v>178314.83792456522</v>
      </c>
      <c r="AH1247" s="140">
        <v>10</v>
      </c>
      <c r="AI1247" s="140">
        <v>1</v>
      </c>
      <c r="AJ1247" s="164">
        <f>($L1247*'Pivot Objective'!$C$9^7)*AH1247*AI1247</f>
        <v>203799.79017212125</v>
      </c>
      <c r="AK1247" s="185">
        <f t="shared" si="141"/>
        <v>1070010.5370160341</v>
      </c>
      <c r="AL1247" s="186">
        <f t="shared" si="142"/>
        <v>1038.8451815689652</v>
      </c>
    </row>
    <row r="1248" spans="1:38" customFormat="1" ht="57.6" x14ac:dyDescent="0.3">
      <c r="A1248" s="140" t="s">
        <v>1482</v>
      </c>
      <c r="B1248" s="140">
        <v>2</v>
      </c>
      <c r="C1248" s="166" t="s">
        <v>983</v>
      </c>
      <c r="D1248" s="140" t="str">
        <f t="shared" si="138"/>
        <v>3</v>
      </c>
      <c r="E1248" s="166" t="s">
        <v>1280</v>
      </c>
      <c r="F1248" s="140">
        <f t="shared" si="143"/>
        <v>2</v>
      </c>
      <c r="G1248" s="140" t="str">
        <f t="shared" si="139"/>
        <v>2.3.2</v>
      </c>
      <c r="H1248" s="166" t="s">
        <v>1287</v>
      </c>
      <c r="I1248" s="166" t="s">
        <v>1290</v>
      </c>
      <c r="J1248" s="166" t="s">
        <v>1156</v>
      </c>
      <c r="K1248" s="166" t="s">
        <v>710</v>
      </c>
      <c r="L1248" s="177">
        <v>104850</v>
      </c>
      <c r="M1248" s="166">
        <v>1</v>
      </c>
      <c r="N1248" s="166">
        <v>1</v>
      </c>
      <c r="O1248" s="164">
        <f t="shared" si="140"/>
        <v>104850</v>
      </c>
      <c r="P1248" s="166">
        <v>1</v>
      </c>
      <c r="Q1248" s="166">
        <v>1</v>
      </c>
      <c r="R1248" s="164">
        <f>$L1248*'Pivot Objective'!$C$9*P1248*Q1248</f>
        <v>119835.27702044998</v>
      </c>
      <c r="S1248" s="166">
        <v>1</v>
      </c>
      <c r="T1248" s="166">
        <v>1</v>
      </c>
      <c r="U1248" s="164">
        <f>($L1248*'Pivot Objective'!$C$9^2)*S1248*T1248</f>
        <v>136962.26627151159</v>
      </c>
      <c r="V1248" s="166">
        <v>1</v>
      </c>
      <c r="W1248" s="166">
        <v>1</v>
      </c>
      <c r="X1248" s="164">
        <f>($L1248*'Pivot Objective'!$C$9^3)*V1248*W1248</f>
        <v>156537.0636146421</v>
      </c>
      <c r="Y1248" s="166">
        <v>1</v>
      </c>
      <c r="Z1248" s="166">
        <v>1</v>
      </c>
      <c r="AA1248" s="164">
        <f>($L1248*'Pivot Objective'!$C$9^4)*Y1248*Z1248</f>
        <v>178909.51246760553</v>
      </c>
      <c r="AB1248" s="140">
        <v>1</v>
      </c>
      <c r="AC1248" s="140">
        <v>1</v>
      </c>
      <c r="AD1248" s="164">
        <f>($L1248*'Pivot Objective'!$C$9^5)*AB1248*AC1248</f>
        <v>204479.45625321087</v>
      </c>
      <c r="AE1248" s="140">
        <v>1</v>
      </c>
      <c r="AF1248" s="140">
        <v>1</v>
      </c>
      <c r="AG1248" s="164">
        <f>($L1248*'Pivot Objective'!$C$9^6)*AE1248*AF1248</f>
        <v>233703.88445488326</v>
      </c>
      <c r="AH1248" s="140">
        <v>1</v>
      </c>
      <c r="AI1248" s="140">
        <v>1</v>
      </c>
      <c r="AJ1248" s="164">
        <f>($L1248*'Pivot Objective'!$C$9^7)*AH1248*AI1248</f>
        <v>267105.09999433643</v>
      </c>
      <c r="AK1248" s="185">
        <f t="shared" si="141"/>
        <v>1402382.5600766398</v>
      </c>
      <c r="AL1248" s="186">
        <f t="shared" si="142"/>
        <v>1361.5364660938251</v>
      </c>
    </row>
    <row r="1249" spans="1:39" customFormat="1" ht="57.6" x14ac:dyDescent="0.3">
      <c r="A1249" s="140" t="s">
        <v>1482</v>
      </c>
      <c r="B1249" s="140">
        <v>2</v>
      </c>
      <c r="C1249" s="166" t="s">
        <v>983</v>
      </c>
      <c r="D1249" s="140" t="str">
        <f t="shared" si="138"/>
        <v>3</v>
      </c>
      <c r="E1249" s="166" t="s">
        <v>1280</v>
      </c>
      <c r="F1249" s="140">
        <f t="shared" si="143"/>
        <v>2</v>
      </c>
      <c r="G1249" s="140" t="str">
        <f t="shared" si="139"/>
        <v>2.3.2</v>
      </c>
      <c r="H1249" s="166" t="s">
        <v>1287</v>
      </c>
      <c r="I1249" s="166" t="s">
        <v>1290</v>
      </c>
      <c r="J1249" s="166" t="s">
        <v>1156</v>
      </c>
      <c r="K1249" s="166" t="s">
        <v>1371</v>
      </c>
      <c r="L1249" s="177">
        <f>1480/7</f>
        <v>211.42857142857142</v>
      </c>
      <c r="M1249" s="166">
        <f>2*135*29</f>
        <v>7830</v>
      </c>
      <c r="N1249" s="166">
        <v>1</v>
      </c>
      <c r="O1249" s="164">
        <f t="shared" si="140"/>
        <v>1655485.7142857141</v>
      </c>
      <c r="P1249" s="166">
        <f>2*135*29</f>
        <v>7830</v>
      </c>
      <c r="Q1249" s="166">
        <v>1</v>
      </c>
      <c r="R1249" s="164">
        <f>$L1249*'Pivot Objective'!$C$9*P1249*Q1249</f>
        <v>1892089.548639257</v>
      </c>
      <c r="S1249" s="166">
        <f>2*135*29</f>
        <v>7830</v>
      </c>
      <c r="T1249" s="166">
        <v>1</v>
      </c>
      <c r="U1249" s="164">
        <f>($L1249*'Pivot Objective'!$C$9^2)*S1249*T1249</f>
        <v>2162509.0625530141</v>
      </c>
      <c r="V1249" s="166">
        <f>2*135*29</f>
        <v>7830</v>
      </c>
      <c r="W1249" s="166">
        <v>1</v>
      </c>
      <c r="X1249" s="164">
        <f>($L1249*'Pivot Objective'!$C$9^3)*V1249*W1249</f>
        <v>2471577.2300455323</v>
      </c>
      <c r="Y1249" s="166">
        <f>2*135*29</f>
        <v>7830</v>
      </c>
      <c r="Z1249" s="166">
        <v>1</v>
      </c>
      <c r="AA1249" s="164">
        <f>($L1249*'Pivot Objective'!$C$9^4)*Y1249*Z1249</f>
        <v>2824817.759083861</v>
      </c>
      <c r="AB1249" s="140">
        <f>2*135*29</f>
        <v>7830</v>
      </c>
      <c r="AC1249" s="140">
        <v>1</v>
      </c>
      <c r="AD1249" s="164">
        <f>($L1249*'Pivot Objective'!$C$9^5)*AB1249*AC1249</f>
        <v>3228543.8120372081</v>
      </c>
      <c r="AE1249" s="140">
        <f>2*135*29</f>
        <v>7830</v>
      </c>
      <c r="AF1249" s="140">
        <v>1</v>
      </c>
      <c r="AG1249" s="164">
        <f>($L1249*'Pivot Objective'!$C$9^6)*AE1249*AF1249</f>
        <v>3689970.8353661271</v>
      </c>
      <c r="AH1249" s="140">
        <f>2*135*29</f>
        <v>7830</v>
      </c>
      <c r="AI1249" s="140">
        <v>1</v>
      </c>
      <c r="AJ1249" s="164">
        <f>($L1249*'Pivot Objective'!$C$9^7)*AH1249*AI1249</f>
        <v>4217345.5150546599</v>
      </c>
      <c r="AK1249" s="185">
        <f t="shared" si="141"/>
        <v>22142339.477065377</v>
      </c>
      <c r="AL1249" s="186">
        <f t="shared" si="142"/>
        <v>21497.416968024638</v>
      </c>
    </row>
    <row r="1250" spans="1:39" customFormat="1" ht="57.6" x14ac:dyDescent="0.3">
      <c r="A1250" s="140" t="s">
        <v>1482</v>
      </c>
      <c r="B1250" s="140">
        <v>2</v>
      </c>
      <c r="C1250" s="166" t="s">
        <v>983</v>
      </c>
      <c r="D1250" s="140" t="str">
        <f t="shared" si="138"/>
        <v>3</v>
      </c>
      <c r="E1250" s="166" t="s">
        <v>1280</v>
      </c>
      <c r="F1250" s="140">
        <f t="shared" si="143"/>
        <v>2</v>
      </c>
      <c r="G1250" s="140" t="str">
        <f t="shared" si="139"/>
        <v>2.3.2</v>
      </c>
      <c r="H1250" s="166" t="s">
        <v>1287</v>
      </c>
      <c r="I1250" s="166" t="s">
        <v>1290</v>
      </c>
      <c r="J1250" s="166" t="s">
        <v>1156</v>
      </c>
      <c r="K1250" s="166" t="s">
        <v>712</v>
      </c>
      <c r="L1250" s="177">
        <f>1480/7</f>
        <v>211.42857142857142</v>
      </c>
      <c r="M1250" s="166">
        <f>25*2*29</f>
        <v>1450</v>
      </c>
      <c r="N1250" s="166">
        <v>1</v>
      </c>
      <c r="O1250" s="164">
        <f t="shared" si="140"/>
        <v>306571.42857142858</v>
      </c>
      <c r="P1250" s="166">
        <f>25*2*29</f>
        <v>1450</v>
      </c>
      <c r="Q1250" s="166">
        <v>1</v>
      </c>
      <c r="R1250" s="164">
        <f>$L1250*'Pivot Objective'!$C$9*P1250*Q1250</f>
        <v>350386.95345171425</v>
      </c>
      <c r="S1250" s="166">
        <f>25*2*29</f>
        <v>1450</v>
      </c>
      <c r="T1250" s="166">
        <v>1</v>
      </c>
      <c r="U1250" s="164">
        <f>($L1250*'Pivot Objective'!$C$9^2)*S1250*T1250</f>
        <v>400464.64121352119</v>
      </c>
      <c r="V1250" s="166">
        <f>25*2*29</f>
        <v>1450</v>
      </c>
      <c r="W1250" s="166">
        <v>1</v>
      </c>
      <c r="X1250" s="164">
        <f>($L1250*'Pivot Objective'!$C$9^3)*V1250*W1250</f>
        <v>457699.48704546894</v>
      </c>
      <c r="Y1250" s="166">
        <f>25*2*29</f>
        <v>1450</v>
      </c>
      <c r="Z1250" s="166">
        <v>1</v>
      </c>
      <c r="AA1250" s="164">
        <f>($L1250*'Pivot Objective'!$C$9^4)*Y1250*Z1250</f>
        <v>523114.3998303446</v>
      </c>
      <c r="AB1250" s="140">
        <f>25*2*29</f>
        <v>1450</v>
      </c>
      <c r="AC1250" s="140">
        <v>1</v>
      </c>
      <c r="AD1250" s="164">
        <f>($L1250*'Pivot Objective'!$C$9^5)*AB1250*AC1250</f>
        <v>597878.48371059401</v>
      </c>
      <c r="AE1250" s="140">
        <f>25*2*29</f>
        <v>1450</v>
      </c>
      <c r="AF1250" s="140">
        <v>1</v>
      </c>
      <c r="AG1250" s="164">
        <f>($L1250*'Pivot Objective'!$C$9^6)*AE1250*AF1250</f>
        <v>683327.93247520877</v>
      </c>
      <c r="AH1250" s="140">
        <f>25*2*29</f>
        <v>1450</v>
      </c>
      <c r="AI1250" s="140">
        <v>1</v>
      </c>
      <c r="AJ1250" s="164">
        <f>($L1250*'Pivot Objective'!$C$9^7)*AH1250*AI1250</f>
        <v>780989.91019530746</v>
      </c>
      <c r="AK1250" s="185">
        <f t="shared" si="141"/>
        <v>4100433.2364935875</v>
      </c>
      <c r="AL1250" s="186">
        <f t="shared" si="142"/>
        <v>3981.0031422267839</v>
      </c>
    </row>
    <row r="1251" spans="1:39" customFormat="1" ht="57.6" x14ac:dyDescent="0.3">
      <c r="A1251" s="140" t="s">
        <v>1482</v>
      </c>
      <c r="B1251" s="140">
        <v>2</v>
      </c>
      <c r="C1251" s="166" t="s">
        <v>983</v>
      </c>
      <c r="D1251" s="140" t="str">
        <f t="shared" si="138"/>
        <v>3</v>
      </c>
      <c r="E1251" s="166" t="s">
        <v>1280</v>
      </c>
      <c r="F1251" s="140">
        <f t="shared" si="143"/>
        <v>2</v>
      </c>
      <c r="G1251" s="140" t="str">
        <f t="shared" si="139"/>
        <v>2.3.2</v>
      </c>
      <c r="H1251" s="166" t="s">
        <v>1287</v>
      </c>
      <c r="I1251" s="166" t="s">
        <v>1291</v>
      </c>
      <c r="J1251" s="166" t="s">
        <v>1292</v>
      </c>
      <c r="K1251" s="166" t="s">
        <v>841</v>
      </c>
      <c r="L1251" s="177">
        <v>0</v>
      </c>
      <c r="M1251" s="166">
        <v>0</v>
      </c>
      <c r="N1251" s="166">
        <v>0</v>
      </c>
      <c r="O1251" s="164">
        <f t="shared" si="140"/>
        <v>0</v>
      </c>
      <c r="P1251" s="166">
        <v>0</v>
      </c>
      <c r="Q1251" s="166">
        <v>0</v>
      </c>
      <c r="R1251" s="164">
        <f>$L1251*'Pivot Objective'!$C$9*P1251*Q1251</f>
        <v>0</v>
      </c>
      <c r="S1251" s="166">
        <v>0</v>
      </c>
      <c r="T1251" s="166">
        <v>0</v>
      </c>
      <c r="U1251" s="164">
        <f>($L1251*'Pivot Objective'!$C$9^2)*S1251*T1251</f>
        <v>0</v>
      </c>
      <c r="V1251" s="166">
        <v>0</v>
      </c>
      <c r="W1251" s="166">
        <v>0</v>
      </c>
      <c r="X1251" s="164">
        <f>($L1251*'Pivot Objective'!$C$9^3)*V1251*W1251</f>
        <v>0</v>
      </c>
      <c r="Y1251" s="166">
        <v>0</v>
      </c>
      <c r="Z1251" s="166">
        <v>0</v>
      </c>
      <c r="AA1251" s="164">
        <f>($L1251*'Pivot Objective'!$C$9^4)*Y1251*Z1251</f>
        <v>0</v>
      </c>
      <c r="AB1251" s="140">
        <v>0</v>
      </c>
      <c r="AC1251" s="140">
        <v>0</v>
      </c>
      <c r="AD1251" s="164">
        <f>($L1251*'Pivot Objective'!$C$9^5)*AB1251*AC1251</f>
        <v>0</v>
      </c>
      <c r="AE1251" s="140">
        <v>0</v>
      </c>
      <c r="AF1251" s="140">
        <v>0</v>
      </c>
      <c r="AG1251" s="164">
        <f>($L1251*'Pivot Objective'!$C$9^6)*AE1251*AF1251</f>
        <v>0</v>
      </c>
      <c r="AH1251" s="140">
        <v>0</v>
      </c>
      <c r="AI1251" s="140">
        <v>0</v>
      </c>
      <c r="AJ1251" s="164">
        <f>($L1251*'Pivot Objective'!$C$9^7)*AH1251*AI1251</f>
        <v>0</v>
      </c>
      <c r="AK1251" s="185">
        <f t="shared" si="141"/>
        <v>0</v>
      </c>
      <c r="AL1251" s="186">
        <f t="shared" si="142"/>
        <v>0</v>
      </c>
    </row>
    <row r="1252" spans="1:39" customFormat="1" ht="57.6" x14ac:dyDescent="0.3">
      <c r="A1252" s="140" t="s">
        <v>1482</v>
      </c>
      <c r="B1252" s="140">
        <v>2</v>
      </c>
      <c r="C1252" s="166" t="s">
        <v>983</v>
      </c>
      <c r="D1252" s="140" t="str">
        <f t="shared" si="138"/>
        <v>3</v>
      </c>
      <c r="E1252" s="166" t="s">
        <v>1280</v>
      </c>
      <c r="F1252" s="140">
        <f t="shared" si="143"/>
        <v>2</v>
      </c>
      <c r="G1252" s="140" t="str">
        <f t="shared" si="139"/>
        <v>2.3.2</v>
      </c>
      <c r="H1252" s="166" t="s">
        <v>1287</v>
      </c>
      <c r="I1252" s="166" t="s">
        <v>1291</v>
      </c>
      <c r="J1252" s="166" t="s">
        <v>1293</v>
      </c>
      <c r="K1252" s="166" t="s">
        <v>841</v>
      </c>
      <c r="L1252" s="177">
        <v>0</v>
      </c>
      <c r="M1252" s="166">
        <v>0</v>
      </c>
      <c r="N1252" s="166">
        <v>0</v>
      </c>
      <c r="O1252" s="164">
        <f t="shared" si="140"/>
        <v>0</v>
      </c>
      <c r="P1252" s="166">
        <v>0</v>
      </c>
      <c r="Q1252" s="166">
        <v>0</v>
      </c>
      <c r="R1252" s="164">
        <f>$L1252*'Pivot Objective'!$C$9*P1252*Q1252</f>
        <v>0</v>
      </c>
      <c r="S1252" s="166">
        <v>0</v>
      </c>
      <c r="T1252" s="166">
        <v>0</v>
      </c>
      <c r="U1252" s="164">
        <f>($L1252*'Pivot Objective'!$C$9^2)*S1252*T1252</f>
        <v>0</v>
      </c>
      <c r="V1252" s="166">
        <v>0</v>
      </c>
      <c r="W1252" s="166">
        <v>0</v>
      </c>
      <c r="X1252" s="164">
        <f>($L1252*'Pivot Objective'!$C$9^3)*V1252*W1252</f>
        <v>0</v>
      </c>
      <c r="Y1252" s="166">
        <v>0</v>
      </c>
      <c r="Z1252" s="166">
        <v>0</v>
      </c>
      <c r="AA1252" s="164">
        <f>($L1252*'Pivot Objective'!$C$9^4)*Y1252*Z1252</f>
        <v>0</v>
      </c>
      <c r="AB1252" s="140">
        <v>0</v>
      </c>
      <c r="AC1252" s="140">
        <v>0</v>
      </c>
      <c r="AD1252" s="164">
        <f>($L1252*'Pivot Objective'!$C$9^5)*AB1252*AC1252</f>
        <v>0</v>
      </c>
      <c r="AE1252" s="140">
        <v>0</v>
      </c>
      <c r="AF1252" s="140">
        <v>0</v>
      </c>
      <c r="AG1252" s="164">
        <f>($L1252*'Pivot Objective'!$C$9^6)*AE1252*AF1252</f>
        <v>0</v>
      </c>
      <c r="AH1252" s="140">
        <v>0</v>
      </c>
      <c r="AI1252" s="140">
        <v>0</v>
      </c>
      <c r="AJ1252" s="164">
        <f>($L1252*'Pivot Objective'!$C$9^7)*AH1252*AI1252</f>
        <v>0</v>
      </c>
      <c r="AK1252" s="185">
        <f t="shared" si="141"/>
        <v>0</v>
      </c>
      <c r="AL1252" s="186">
        <f t="shared" si="142"/>
        <v>0</v>
      </c>
    </row>
    <row r="1253" spans="1:39" ht="43.2" x14ac:dyDescent="0.3">
      <c r="A1253" s="140" t="s">
        <v>1482</v>
      </c>
      <c r="B1253" s="140">
        <v>2</v>
      </c>
      <c r="C1253" s="166" t="s">
        <v>983</v>
      </c>
      <c r="D1253" s="151" t="str">
        <f t="shared" ref="D1253:D1278" si="144">RIGHT(A1253,1)</f>
        <v>3</v>
      </c>
      <c r="E1253" s="166" t="s">
        <v>1280</v>
      </c>
      <c r="F1253" s="140">
        <f t="shared" ref="F1253" si="145">IF(H1253=H1252,F1252,F1252+1)</f>
        <v>3</v>
      </c>
      <c r="G1253" s="140" t="str">
        <f t="shared" ref="G1253" si="146">B1253&amp;"."&amp;D1253&amp;"."&amp;F1253</f>
        <v>2.3.3</v>
      </c>
      <c r="H1253" s="156" t="s">
        <v>1713</v>
      </c>
      <c r="I1253" s="159" t="s">
        <v>893</v>
      </c>
      <c r="J1253" s="159" t="s">
        <v>894</v>
      </c>
      <c r="K1253" s="159" t="s">
        <v>841</v>
      </c>
      <c r="L1253" s="160">
        <v>0</v>
      </c>
      <c r="M1253" s="161">
        <v>20000</v>
      </c>
      <c r="N1253" s="161">
        <v>8</v>
      </c>
      <c r="O1253" s="164">
        <f t="shared" si="140"/>
        <v>0</v>
      </c>
      <c r="P1253" s="161">
        <v>20000</v>
      </c>
      <c r="Q1253" s="161">
        <v>8</v>
      </c>
      <c r="R1253" s="164">
        <f>$L1253*'Pivot Objective'!$C$9*P1253*Q1253</f>
        <v>0</v>
      </c>
      <c r="S1253" s="161">
        <v>20000</v>
      </c>
      <c r="T1253" s="161">
        <v>8</v>
      </c>
      <c r="U1253" s="164">
        <f>($L1253*'Pivot Objective'!$C$9^2)*S1253*T1253</f>
        <v>0</v>
      </c>
      <c r="V1253" s="161">
        <v>20000</v>
      </c>
      <c r="W1253" s="161">
        <v>8</v>
      </c>
      <c r="X1253" s="164">
        <f>($L1253*'Pivot Objective'!$C$9^3)*V1253*W1253</f>
        <v>0</v>
      </c>
      <c r="Y1253" s="161">
        <v>20000</v>
      </c>
      <c r="Z1253" s="161">
        <v>8</v>
      </c>
      <c r="AA1253" s="164">
        <f>($L1253*'Pivot Objective'!$C$9^4)*Y1253*Z1253</f>
        <v>0</v>
      </c>
      <c r="AB1253" s="151"/>
      <c r="AC1253" s="151"/>
      <c r="AD1253" s="164">
        <f>($L1253*'Pivot Objective'!$C$9^5)*AB1253*AC1253</f>
        <v>0</v>
      </c>
      <c r="AE1253" s="151"/>
      <c r="AF1253" s="151"/>
      <c r="AG1253" s="164">
        <f>($L1253*'Pivot Objective'!$C$9^6)*AE1253*AF1253</f>
        <v>0</v>
      </c>
      <c r="AH1253" s="151"/>
      <c r="AI1253" s="151"/>
      <c r="AJ1253" s="164">
        <f>($L1253*'Pivot Objective'!$C$9^7)*AH1253*AI1253</f>
        <v>0</v>
      </c>
      <c r="AK1253" s="185">
        <f t="shared" si="141"/>
        <v>0</v>
      </c>
      <c r="AL1253" s="186">
        <f t="shared" si="142"/>
        <v>0</v>
      </c>
      <c r="AM1253" s="157"/>
    </row>
    <row r="1254" spans="1:39" ht="43.2" x14ac:dyDescent="0.3">
      <c r="A1254" s="151" t="s">
        <v>1482</v>
      </c>
      <c r="B1254" s="151">
        <v>2</v>
      </c>
      <c r="C1254" s="166" t="s">
        <v>983</v>
      </c>
      <c r="D1254" s="151" t="str">
        <f t="shared" si="144"/>
        <v>3</v>
      </c>
      <c r="E1254" s="166" t="s">
        <v>1280</v>
      </c>
      <c r="F1254" s="151">
        <f t="shared" ref="F1254:F1293" si="147">IF(H1254=H1253,F1253,F1253+1)</f>
        <v>3</v>
      </c>
      <c r="G1254" s="151" t="str">
        <f t="shared" ref="G1254:G1293" si="148">B1254&amp;"."&amp;D1254&amp;"."&amp;F1254</f>
        <v>2.3.3</v>
      </c>
      <c r="H1254" s="156" t="s">
        <v>1713</v>
      </c>
      <c r="I1254" s="159" t="s">
        <v>893</v>
      </c>
      <c r="J1254" s="159" t="s">
        <v>149</v>
      </c>
      <c r="K1254" s="159" t="s">
        <v>707</v>
      </c>
      <c r="L1254" s="160">
        <v>391991.03749999998</v>
      </c>
      <c r="M1254" s="161">
        <v>2</v>
      </c>
      <c r="N1254" s="161">
        <v>2</v>
      </c>
      <c r="O1254" s="164">
        <f t="shared" si="140"/>
        <v>1567964.15</v>
      </c>
      <c r="P1254" s="161">
        <v>0</v>
      </c>
      <c r="Q1254" s="161">
        <v>0</v>
      </c>
      <c r="R1254" s="164">
        <f>$L1254*'Pivot Objective'!$C$9*P1254*Q1254</f>
        <v>0</v>
      </c>
      <c r="S1254" s="161">
        <v>0</v>
      </c>
      <c r="T1254" s="161">
        <v>0</v>
      </c>
      <c r="U1254" s="164">
        <f>($L1254*'Pivot Objective'!$C$9^2)*S1254*T1254</f>
        <v>0</v>
      </c>
      <c r="V1254" s="161">
        <v>0</v>
      </c>
      <c r="W1254" s="161">
        <v>0</v>
      </c>
      <c r="X1254" s="164">
        <f>($L1254*'Pivot Objective'!$C$9^3)*V1254*W1254</f>
        <v>0</v>
      </c>
      <c r="Y1254" s="161">
        <v>0</v>
      </c>
      <c r="Z1254" s="161">
        <v>0</v>
      </c>
      <c r="AA1254" s="164">
        <f>($L1254*'Pivot Objective'!$C$9^4)*Y1254*Z1254</f>
        <v>0</v>
      </c>
      <c r="AB1254" s="151"/>
      <c r="AC1254" s="151"/>
      <c r="AD1254" s="164">
        <f>($L1254*'Pivot Objective'!$C$9^5)*AB1254*AC1254</f>
        <v>0</v>
      </c>
      <c r="AE1254" s="151"/>
      <c r="AF1254" s="151"/>
      <c r="AG1254" s="164">
        <f>($L1254*'Pivot Objective'!$C$9^6)*AE1254*AF1254</f>
        <v>0</v>
      </c>
      <c r="AH1254" s="151"/>
      <c r="AI1254" s="151"/>
      <c r="AJ1254" s="164">
        <f>($L1254*'Pivot Objective'!$C$9^7)*AH1254*AI1254</f>
        <v>0</v>
      </c>
      <c r="AK1254" s="185">
        <f t="shared" si="141"/>
        <v>1567964.15</v>
      </c>
      <c r="AL1254" s="186">
        <f t="shared" si="142"/>
        <v>1522.2952912621358</v>
      </c>
      <c r="AM1254" s="157"/>
    </row>
    <row r="1255" spans="1:39" ht="43.2" x14ac:dyDescent="0.3">
      <c r="A1255" s="151" t="s">
        <v>1482</v>
      </c>
      <c r="B1255" s="151">
        <v>2</v>
      </c>
      <c r="C1255" s="166" t="s">
        <v>983</v>
      </c>
      <c r="D1255" s="151" t="str">
        <f t="shared" si="144"/>
        <v>3</v>
      </c>
      <c r="E1255" s="166" t="s">
        <v>1280</v>
      </c>
      <c r="F1255" s="151">
        <f t="shared" si="147"/>
        <v>3</v>
      </c>
      <c r="G1255" s="151" t="str">
        <f t="shared" si="148"/>
        <v>2.3.3</v>
      </c>
      <c r="H1255" s="156" t="s">
        <v>1713</v>
      </c>
      <c r="I1255" s="159" t="s">
        <v>893</v>
      </c>
      <c r="J1255" s="159" t="s">
        <v>149</v>
      </c>
      <c r="K1255" s="159" t="s">
        <v>708</v>
      </c>
      <c r="L1255" s="160">
        <f>500*1022</f>
        <v>511000</v>
      </c>
      <c r="M1255" s="161">
        <v>1</v>
      </c>
      <c r="N1255" s="161">
        <v>25</v>
      </c>
      <c r="O1255" s="164">
        <f t="shared" si="140"/>
        <v>12775000</v>
      </c>
      <c r="P1255" s="161">
        <v>1</v>
      </c>
      <c r="Q1255" s="161">
        <v>6</v>
      </c>
      <c r="R1255" s="164">
        <f>$L1255*'Pivot Objective'!$C$9*P1255*Q1255</f>
        <v>3504196.0834019994</v>
      </c>
      <c r="S1255" s="161">
        <v>1</v>
      </c>
      <c r="T1255" s="161">
        <v>6</v>
      </c>
      <c r="U1255" s="164">
        <f>($L1255*'Pivot Objective'!$C$9^2)*S1255*T1255</f>
        <v>4005019.631744917</v>
      </c>
      <c r="V1255" s="161">
        <v>1</v>
      </c>
      <c r="W1255" s="161">
        <v>6</v>
      </c>
      <c r="X1255" s="164">
        <f>($L1255*'Pivot Objective'!$C$9^3)*V1255*W1255</f>
        <v>4577421.4310204359</v>
      </c>
      <c r="Y1255" s="161">
        <v>0</v>
      </c>
      <c r="Z1255" s="161">
        <v>0</v>
      </c>
      <c r="AA1255" s="164">
        <f>($L1255*'Pivot Objective'!$C$9^4)*Y1255*Z1255</f>
        <v>0</v>
      </c>
      <c r="AB1255" s="151"/>
      <c r="AC1255" s="151"/>
      <c r="AD1255" s="164">
        <f>($L1255*'Pivot Objective'!$C$9^5)*AB1255*AC1255</f>
        <v>0</v>
      </c>
      <c r="AE1255" s="151"/>
      <c r="AF1255" s="151"/>
      <c r="AG1255" s="164">
        <f>($L1255*'Pivot Objective'!$C$9^6)*AE1255*AF1255</f>
        <v>0</v>
      </c>
      <c r="AH1255" s="151"/>
      <c r="AI1255" s="151"/>
      <c r="AJ1255" s="164">
        <f>($L1255*'Pivot Objective'!$C$9^7)*AH1255*AI1255</f>
        <v>0</v>
      </c>
      <c r="AK1255" s="185">
        <f t="shared" si="141"/>
        <v>24861637.146167353</v>
      </c>
      <c r="AL1255" s="186">
        <f t="shared" si="142"/>
        <v>24137.511792395489</v>
      </c>
      <c r="AM1255" s="157"/>
    </row>
    <row r="1256" spans="1:39" ht="43.2" x14ac:dyDescent="0.3">
      <c r="A1256" s="151" t="s">
        <v>1482</v>
      </c>
      <c r="B1256" s="151">
        <v>2</v>
      </c>
      <c r="C1256" s="166" t="s">
        <v>983</v>
      </c>
      <c r="D1256" s="151" t="str">
        <f t="shared" si="144"/>
        <v>3</v>
      </c>
      <c r="E1256" s="166" t="s">
        <v>1280</v>
      </c>
      <c r="F1256" s="151">
        <f t="shared" si="147"/>
        <v>3</v>
      </c>
      <c r="G1256" s="151" t="str">
        <f t="shared" si="148"/>
        <v>2.3.3</v>
      </c>
      <c r="H1256" s="156" t="s">
        <v>1713</v>
      </c>
      <c r="I1256" s="159" t="s">
        <v>893</v>
      </c>
      <c r="J1256" s="159" t="s">
        <v>895</v>
      </c>
      <c r="K1256" s="159" t="s">
        <v>841</v>
      </c>
      <c r="L1256" s="160">
        <v>0</v>
      </c>
      <c r="M1256" s="161">
        <v>0</v>
      </c>
      <c r="N1256" s="161">
        <v>0</v>
      </c>
      <c r="O1256" s="164">
        <f t="shared" si="140"/>
        <v>0</v>
      </c>
      <c r="P1256" s="161">
        <v>1</v>
      </c>
      <c r="Q1256" s="161">
        <v>50</v>
      </c>
      <c r="R1256" s="164">
        <f>$L1256*'Pivot Objective'!$C$9*P1256*Q1256</f>
        <v>0</v>
      </c>
      <c r="S1256" s="161">
        <v>1</v>
      </c>
      <c r="T1256" s="161">
        <v>50</v>
      </c>
      <c r="U1256" s="164">
        <f>($L1256*'Pivot Objective'!$C$9^2)*S1256*T1256</f>
        <v>0</v>
      </c>
      <c r="V1256" s="161">
        <v>1</v>
      </c>
      <c r="W1256" s="161">
        <v>50</v>
      </c>
      <c r="X1256" s="164">
        <f>($L1256*'Pivot Objective'!$C$9^3)*V1256*W1256</f>
        <v>0</v>
      </c>
      <c r="Y1256" s="161">
        <v>0</v>
      </c>
      <c r="Z1256" s="161">
        <v>0</v>
      </c>
      <c r="AA1256" s="164">
        <f>($L1256*'Pivot Objective'!$C$9^4)*Y1256*Z1256</f>
        <v>0</v>
      </c>
      <c r="AB1256" s="151"/>
      <c r="AC1256" s="151"/>
      <c r="AD1256" s="164">
        <f>($L1256*'Pivot Objective'!$C$9^5)*AB1256*AC1256</f>
        <v>0</v>
      </c>
      <c r="AE1256" s="151"/>
      <c r="AF1256" s="151"/>
      <c r="AG1256" s="164">
        <f>($L1256*'Pivot Objective'!$C$9^6)*AE1256*AF1256</f>
        <v>0</v>
      </c>
      <c r="AH1256" s="151"/>
      <c r="AI1256" s="151"/>
      <c r="AJ1256" s="164">
        <f>($L1256*'Pivot Objective'!$C$9^7)*AH1256*AI1256</f>
        <v>0</v>
      </c>
      <c r="AK1256" s="185">
        <f t="shared" si="141"/>
        <v>0</v>
      </c>
      <c r="AL1256" s="186">
        <f t="shared" si="142"/>
        <v>0</v>
      </c>
      <c r="AM1256" s="157"/>
    </row>
    <row r="1257" spans="1:39" ht="43.2" x14ac:dyDescent="0.3">
      <c r="A1257" s="151" t="s">
        <v>1482</v>
      </c>
      <c r="B1257" s="151">
        <v>2</v>
      </c>
      <c r="C1257" s="166" t="s">
        <v>983</v>
      </c>
      <c r="D1257" s="151" t="str">
        <f t="shared" si="144"/>
        <v>3</v>
      </c>
      <c r="E1257" s="166" t="s">
        <v>1280</v>
      </c>
      <c r="F1257" s="151">
        <f t="shared" si="147"/>
        <v>3</v>
      </c>
      <c r="G1257" s="151" t="str">
        <f t="shared" si="148"/>
        <v>2.3.3</v>
      </c>
      <c r="H1257" s="156" t="s">
        <v>1713</v>
      </c>
      <c r="I1257" s="159" t="s">
        <v>893</v>
      </c>
      <c r="J1257" s="159" t="s">
        <v>896</v>
      </c>
      <c r="K1257" s="159" t="s">
        <v>709</v>
      </c>
      <c r="L1257" s="160">
        <v>35000</v>
      </c>
      <c r="M1257" s="161">
        <v>25</v>
      </c>
      <c r="N1257" s="161">
        <v>5</v>
      </c>
      <c r="O1257" s="164">
        <f t="shared" si="140"/>
        <v>4375000</v>
      </c>
      <c r="P1257" s="161">
        <v>5</v>
      </c>
      <c r="Q1257" s="161">
        <v>14</v>
      </c>
      <c r="R1257" s="164">
        <f>$L1257*'Pivot Objective'!$C$9*P1257*Q1257</f>
        <v>2800156.6876499997</v>
      </c>
      <c r="S1257" s="161">
        <v>5</v>
      </c>
      <c r="T1257" s="161">
        <v>14</v>
      </c>
      <c r="U1257" s="164">
        <f>($L1257*'Pivot Objective'!$C$9^2)*S1257*T1257</f>
        <v>3200358.1532208235</v>
      </c>
      <c r="V1257" s="161">
        <v>5</v>
      </c>
      <c r="W1257" s="161">
        <v>14</v>
      </c>
      <c r="X1257" s="164">
        <f>($L1257*'Pivot Objective'!$C$9^3)*V1257*W1257</f>
        <v>3657756.8512720377</v>
      </c>
      <c r="Y1257" s="161">
        <v>0</v>
      </c>
      <c r="Z1257" s="161">
        <v>0</v>
      </c>
      <c r="AA1257" s="164">
        <f>($L1257*'Pivot Objective'!$C$9^4)*Y1257*Z1257</f>
        <v>0</v>
      </c>
      <c r="AB1257" s="151"/>
      <c r="AC1257" s="151"/>
      <c r="AD1257" s="164">
        <f>($L1257*'Pivot Objective'!$C$9^5)*AB1257*AC1257</f>
        <v>0</v>
      </c>
      <c r="AE1257" s="151"/>
      <c r="AF1257" s="151"/>
      <c r="AG1257" s="164">
        <f>($L1257*'Pivot Objective'!$C$9^6)*AE1257*AF1257</f>
        <v>0</v>
      </c>
      <c r="AH1257" s="151"/>
      <c r="AI1257" s="151"/>
      <c r="AJ1257" s="164">
        <f>($L1257*'Pivot Objective'!$C$9^7)*AH1257*AI1257</f>
        <v>0</v>
      </c>
      <c r="AK1257" s="185">
        <f t="shared" si="141"/>
        <v>14033271.692142861</v>
      </c>
      <c r="AL1257" s="186">
        <f t="shared" si="142"/>
        <v>13624.535623439671</v>
      </c>
      <c r="AM1257" s="157"/>
    </row>
    <row r="1258" spans="1:39" ht="43.2" x14ac:dyDescent="0.3">
      <c r="A1258" s="151" t="s">
        <v>1482</v>
      </c>
      <c r="B1258" s="151">
        <v>2</v>
      </c>
      <c r="C1258" s="166" t="s">
        <v>983</v>
      </c>
      <c r="D1258" s="151" t="str">
        <f t="shared" si="144"/>
        <v>3</v>
      </c>
      <c r="E1258" s="166" t="s">
        <v>1280</v>
      </c>
      <c r="F1258" s="151">
        <f t="shared" si="147"/>
        <v>3</v>
      </c>
      <c r="G1258" s="151" t="str">
        <f t="shared" si="148"/>
        <v>2.3.3</v>
      </c>
      <c r="H1258" s="156" t="s">
        <v>1713</v>
      </c>
      <c r="I1258" s="159" t="s">
        <v>893</v>
      </c>
      <c r="J1258" s="159" t="s">
        <v>896</v>
      </c>
      <c r="K1258" s="159" t="s">
        <v>710</v>
      </c>
      <c r="L1258" s="160">
        <v>104850</v>
      </c>
      <c r="M1258" s="161">
        <v>1</v>
      </c>
      <c r="N1258" s="161">
        <v>1</v>
      </c>
      <c r="O1258" s="164">
        <f t="shared" si="140"/>
        <v>104850</v>
      </c>
      <c r="P1258" s="161">
        <v>25</v>
      </c>
      <c r="Q1258" s="161">
        <v>3</v>
      </c>
      <c r="R1258" s="164">
        <f>$L1258*'Pivot Objective'!$C$9*P1258*Q1258</f>
        <v>8987645.776533749</v>
      </c>
      <c r="S1258" s="161">
        <v>25</v>
      </c>
      <c r="T1258" s="161">
        <v>3</v>
      </c>
      <c r="U1258" s="164">
        <f>($L1258*'Pivot Objective'!$C$9^2)*S1258*T1258</f>
        <v>10272169.970363369</v>
      </c>
      <c r="V1258" s="161">
        <v>25</v>
      </c>
      <c r="W1258" s="161">
        <v>3</v>
      </c>
      <c r="X1258" s="164">
        <f>($L1258*'Pivot Objective'!$C$9^3)*V1258*W1258</f>
        <v>11740279.771098157</v>
      </c>
      <c r="Y1258" s="161">
        <v>0</v>
      </c>
      <c r="Z1258" s="161">
        <v>0</v>
      </c>
      <c r="AA1258" s="164">
        <f>($L1258*'Pivot Objective'!$C$9^4)*Y1258*Z1258</f>
        <v>0</v>
      </c>
      <c r="AB1258" s="151"/>
      <c r="AC1258" s="151"/>
      <c r="AD1258" s="164">
        <f>($L1258*'Pivot Objective'!$C$9^5)*AB1258*AC1258</f>
        <v>0</v>
      </c>
      <c r="AE1258" s="151"/>
      <c r="AF1258" s="151"/>
      <c r="AG1258" s="164">
        <f>($L1258*'Pivot Objective'!$C$9^6)*AE1258*AF1258</f>
        <v>0</v>
      </c>
      <c r="AH1258" s="151"/>
      <c r="AI1258" s="151"/>
      <c r="AJ1258" s="164">
        <f>($L1258*'Pivot Objective'!$C$9^7)*AH1258*AI1258</f>
        <v>0</v>
      </c>
      <c r="AK1258" s="185">
        <f t="shared" si="141"/>
        <v>31104945.517995276</v>
      </c>
      <c r="AL1258" s="186">
        <f t="shared" si="142"/>
        <v>30198.976231063374</v>
      </c>
      <c r="AM1258" s="157"/>
    </row>
    <row r="1259" spans="1:39" ht="43.2" x14ac:dyDescent="0.3">
      <c r="A1259" s="151" t="s">
        <v>1482</v>
      </c>
      <c r="B1259" s="151">
        <v>2</v>
      </c>
      <c r="C1259" s="166" t="s">
        <v>983</v>
      </c>
      <c r="D1259" s="151" t="str">
        <f t="shared" si="144"/>
        <v>3</v>
      </c>
      <c r="E1259" s="166" t="s">
        <v>1280</v>
      </c>
      <c r="F1259" s="151">
        <f t="shared" si="147"/>
        <v>3</v>
      </c>
      <c r="G1259" s="151" t="str">
        <f t="shared" si="148"/>
        <v>2.3.3</v>
      </c>
      <c r="H1259" s="156" t="s">
        <v>1713</v>
      </c>
      <c r="I1259" s="159" t="s">
        <v>893</v>
      </c>
      <c r="J1259" s="159" t="s">
        <v>896</v>
      </c>
      <c r="K1259" s="159" t="s">
        <v>1297</v>
      </c>
      <c r="L1259" s="160">
        <v>8000</v>
      </c>
      <c r="M1259" s="161">
        <v>10</v>
      </c>
      <c r="N1259" s="161">
        <v>1</v>
      </c>
      <c r="O1259" s="164">
        <f t="shared" si="140"/>
        <v>80000</v>
      </c>
      <c r="P1259" s="161">
        <v>1</v>
      </c>
      <c r="Q1259" s="161">
        <v>1</v>
      </c>
      <c r="R1259" s="164">
        <f>$L1259*'Pivot Objective'!$C$9*P1259*Q1259</f>
        <v>9143.3687759999993</v>
      </c>
      <c r="S1259" s="161">
        <v>1</v>
      </c>
      <c r="T1259" s="161">
        <v>1</v>
      </c>
      <c r="U1259" s="164">
        <f>($L1259*'Pivot Objective'!$C$9^2)*S1259*T1259</f>
        <v>10450.149071741465</v>
      </c>
      <c r="V1259" s="161">
        <v>1</v>
      </c>
      <c r="W1259" s="161">
        <v>1</v>
      </c>
      <c r="X1259" s="164">
        <f>($L1259*'Pivot Objective'!$C$9^3)*V1259*W1259</f>
        <v>11943.695840888287</v>
      </c>
      <c r="Y1259" s="161">
        <v>0</v>
      </c>
      <c r="Z1259" s="161">
        <v>0</v>
      </c>
      <c r="AA1259" s="164">
        <f>($L1259*'Pivot Objective'!$C$9^4)*Y1259*Z1259</f>
        <v>0</v>
      </c>
      <c r="AB1259" s="151"/>
      <c r="AC1259" s="151"/>
      <c r="AD1259" s="164">
        <f>($L1259*'Pivot Objective'!$C$9^5)*AB1259*AC1259</f>
        <v>0</v>
      </c>
      <c r="AE1259" s="151"/>
      <c r="AF1259" s="151"/>
      <c r="AG1259" s="164">
        <f>($L1259*'Pivot Objective'!$C$9^6)*AE1259*AF1259</f>
        <v>0</v>
      </c>
      <c r="AH1259" s="151"/>
      <c r="AI1259" s="151"/>
      <c r="AJ1259" s="164">
        <f>($L1259*'Pivot Objective'!$C$9^7)*AH1259*AI1259</f>
        <v>0</v>
      </c>
      <c r="AK1259" s="185">
        <f t="shared" si="141"/>
        <v>111537.21368862977</v>
      </c>
      <c r="AL1259" s="186">
        <f t="shared" si="142"/>
        <v>108.28855697925221</v>
      </c>
      <c r="AM1259" s="157"/>
    </row>
    <row r="1260" spans="1:39" ht="43.2" x14ac:dyDescent="0.3">
      <c r="A1260" s="151" t="s">
        <v>1482</v>
      </c>
      <c r="B1260" s="151">
        <v>2</v>
      </c>
      <c r="C1260" s="166" t="s">
        <v>983</v>
      </c>
      <c r="D1260" s="151" t="str">
        <f t="shared" si="144"/>
        <v>3</v>
      </c>
      <c r="E1260" s="166" t="s">
        <v>1280</v>
      </c>
      <c r="F1260" s="151">
        <f t="shared" si="147"/>
        <v>3</v>
      </c>
      <c r="G1260" s="151" t="str">
        <f t="shared" si="148"/>
        <v>2.3.3</v>
      </c>
      <c r="H1260" s="156" t="s">
        <v>1713</v>
      </c>
      <c r="I1260" s="159" t="s">
        <v>893</v>
      </c>
      <c r="J1260" s="159" t="s">
        <v>163</v>
      </c>
      <c r="K1260" s="159" t="s">
        <v>713</v>
      </c>
      <c r="L1260" s="160">
        <v>45000</v>
      </c>
      <c r="M1260" s="161">
        <v>25</v>
      </c>
      <c r="N1260" s="161">
        <v>6</v>
      </c>
      <c r="O1260" s="164">
        <f t="shared" si="140"/>
        <v>6750000</v>
      </c>
      <c r="P1260" s="161">
        <v>15</v>
      </c>
      <c r="Q1260" s="161">
        <v>1</v>
      </c>
      <c r="R1260" s="164">
        <f>$L1260*'Pivot Objective'!$C$9*P1260*Q1260</f>
        <v>771471.74047499988</v>
      </c>
      <c r="S1260" s="161">
        <v>15</v>
      </c>
      <c r="T1260" s="161">
        <v>1</v>
      </c>
      <c r="U1260" s="164">
        <f>($L1260*'Pivot Objective'!$C$9^2)*S1260*T1260</f>
        <v>881731.32792818616</v>
      </c>
      <c r="V1260" s="161">
        <v>15</v>
      </c>
      <c r="W1260" s="161">
        <v>1</v>
      </c>
      <c r="X1260" s="164">
        <f>($L1260*'Pivot Objective'!$C$9^3)*V1260*W1260</f>
        <v>1007749.3365749492</v>
      </c>
      <c r="Y1260" s="161">
        <v>0</v>
      </c>
      <c r="Z1260" s="161">
        <v>0</v>
      </c>
      <c r="AA1260" s="164">
        <f>($L1260*'Pivot Objective'!$C$9^4)*Y1260*Z1260</f>
        <v>0</v>
      </c>
      <c r="AB1260" s="151"/>
      <c r="AC1260" s="151"/>
      <c r="AD1260" s="164">
        <f>($L1260*'Pivot Objective'!$C$9^5)*AB1260*AC1260</f>
        <v>0</v>
      </c>
      <c r="AE1260" s="151"/>
      <c r="AF1260" s="151"/>
      <c r="AG1260" s="164">
        <f>($L1260*'Pivot Objective'!$C$9^6)*AE1260*AF1260</f>
        <v>0</v>
      </c>
      <c r="AH1260" s="151"/>
      <c r="AI1260" s="151"/>
      <c r="AJ1260" s="164">
        <f>($L1260*'Pivot Objective'!$C$9^7)*AH1260*AI1260</f>
        <v>0</v>
      </c>
      <c r="AK1260" s="185">
        <f t="shared" si="141"/>
        <v>9410952.4049781356</v>
      </c>
      <c r="AL1260" s="186">
        <f t="shared" si="142"/>
        <v>9136.8469951244042</v>
      </c>
      <c r="AM1260" s="157"/>
    </row>
    <row r="1261" spans="1:39" ht="43.2" x14ac:dyDescent="0.3">
      <c r="A1261" s="151" t="s">
        <v>1482</v>
      </c>
      <c r="B1261" s="151">
        <v>2</v>
      </c>
      <c r="C1261" s="166" t="s">
        <v>983</v>
      </c>
      <c r="D1261" s="151" t="str">
        <f t="shared" si="144"/>
        <v>3</v>
      </c>
      <c r="E1261" s="166" t="s">
        <v>1280</v>
      </c>
      <c r="F1261" s="151">
        <f t="shared" si="147"/>
        <v>3</v>
      </c>
      <c r="G1261" s="151" t="str">
        <f t="shared" si="148"/>
        <v>2.3.3</v>
      </c>
      <c r="H1261" s="156" t="s">
        <v>1713</v>
      </c>
      <c r="I1261" s="159" t="s">
        <v>893</v>
      </c>
      <c r="J1261" s="159" t="s">
        <v>163</v>
      </c>
      <c r="K1261" s="159" t="s">
        <v>712</v>
      </c>
      <c r="L1261" s="160">
        <f>1999/7</f>
        <v>285.57142857142856</v>
      </c>
      <c r="M1261" s="161">
        <f>25*2*9</f>
        <v>450</v>
      </c>
      <c r="N1261" s="161">
        <v>1</v>
      </c>
      <c r="O1261" s="164">
        <f t="shared" si="140"/>
        <v>128507.14285714286</v>
      </c>
      <c r="P1261" s="161">
        <v>25</v>
      </c>
      <c r="Q1261" s="161">
        <v>1</v>
      </c>
      <c r="R1261" s="164">
        <f>$L1261*'Pivot Objective'!$C$9*P1261*Q1261</f>
        <v>8159.6402603678553</v>
      </c>
      <c r="S1261" s="161">
        <v>25</v>
      </c>
      <c r="T1261" s="161">
        <v>1</v>
      </c>
      <c r="U1261" s="164">
        <f>($L1261*'Pivot Objective'!$C$9^2)*S1261*T1261</f>
        <v>9325.8249975049948</v>
      </c>
      <c r="V1261" s="161">
        <v>25</v>
      </c>
      <c r="W1261" s="161">
        <v>1</v>
      </c>
      <c r="X1261" s="164">
        <f>($L1261*'Pivot Objective'!$C$9^3)*V1261*W1261</f>
        <v>10658.682136578431</v>
      </c>
      <c r="Y1261" s="161">
        <v>0</v>
      </c>
      <c r="Z1261" s="161">
        <v>0</v>
      </c>
      <c r="AA1261" s="164">
        <f>($L1261*'Pivot Objective'!$C$9^4)*Y1261*Z1261</f>
        <v>0</v>
      </c>
      <c r="AB1261" s="151"/>
      <c r="AC1261" s="151"/>
      <c r="AD1261" s="164">
        <f>($L1261*'Pivot Objective'!$C$9^5)*AB1261*AC1261</f>
        <v>0</v>
      </c>
      <c r="AE1261" s="151"/>
      <c r="AF1261" s="151"/>
      <c r="AG1261" s="164">
        <f>($L1261*'Pivot Objective'!$C$9^6)*AE1261*AF1261</f>
        <v>0</v>
      </c>
      <c r="AH1261" s="151"/>
      <c r="AI1261" s="151"/>
      <c r="AJ1261" s="164">
        <f>($L1261*'Pivot Objective'!$C$9^7)*AH1261*AI1261</f>
        <v>0</v>
      </c>
      <c r="AK1261" s="185">
        <f t="shared" si="141"/>
        <v>156651.29025159412</v>
      </c>
      <c r="AL1261" s="186">
        <f t="shared" si="142"/>
        <v>152.08863131222731</v>
      </c>
      <c r="AM1261" s="157"/>
    </row>
    <row r="1262" spans="1:39" ht="43.2" x14ac:dyDescent="0.3">
      <c r="A1262" s="151" t="s">
        <v>1482</v>
      </c>
      <c r="B1262" s="151">
        <v>2</v>
      </c>
      <c r="C1262" s="166" t="s">
        <v>983</v>
      </c>
      <c r="D1262" s="151" t="str">
        <f t="shared" si="144"/>
        <v>3</v>
      </c>
      <c r="E1262" s="166" t="s">
        <v>1280</v>
      </c>
      <c r="F1262" s="151">
        <f t="shared" si="147"/>
        <v>3</v>
      </c>
      <c r="G1262" s="151" t="str">
        <f t="shared" si="148"/>
        <v>2.3.3</v>
      </c>
      <c r="H1262" s="156" t="s">
        <v>1713</v>
      </c>
      <c r="I1262" s="159" t="s">
        <v>893</v>
      </c>
      <c r="J1262" s="159" t="s">
        <v>163</v>
      </c>
      <c r="K1262" s="159" t="s">
        <v>1350</v>
      </c>
      <c r="L1262" s="160">
        <f>1999/7</f>
        <v>285.57142857142856</v>
      </c>
      <c r="M1262" s="161">
        <f>2*135*9</f>
        <v>2430</v>
      </c>
      <c r="N1262" s="161">
        <v>1</v>
      </c>
      <c r="O1262" s="164">
        <f t="shared" si="140"/>
        <v>693938.57142857136</v>
      </c>
      <c r="P1262" s="161"/>
      <c r="Q1262" s="161"/>
      <c r="R1262" s="164">
        <f>$L1262*'Pivot Objective'!$C$9*P1262*Q1262</f>
        <v>0</v>
      </c>
      <c r="S1262" s="161"/>
      <c r="T1262" s="161"/>
      <c r="U1262" s="164">
        <f>($L1262*'Pivot Objective'!$C$9^2)*S1262*T1262</f>
        <v>0</v>
      </c>
      <c r="V1262" s="161"/>
      <c r="W1262" s="161"/>
      <c r="X1262" s="164">
        <f>($L1262*'Pivot Objective'!$C$9^3)*V1262*W1262</f>
        <v>0</v>
      </c>
      <c r="Y1262" s="161"/>
      <c r="Z1262" s="161"/>
      <c r="AA1262" s="164">
        <f>($L1262*'Pivot Objective'!$C$9^4)*Y1262*Z1262</f>
        <v>0</v>
      </c>
      <c r="AB1262" s="151"/>
      <c r="AC1262" s="151"/>
      <c r="AD1262" s="164">
        <f>($L1262*'Pivot Objective'!$C$9^5)*AB1262*AC1262</f>
        <v>0</v>
      </c>
      <c r="AE1262" s="151"/>
      <c r="AF1262" s="151"/>
      <c r="AG1262" s="164">
        <f>($L1262*'Pivot Objective'!$C$9^6)*AE1262*AF1262</f>
        <v>0</v>
      </c>
      <c r="AH1262" s="151"/>
      <c r="AI1262" s="151"/>
      <c r="AJ1262" s="164">
        <f>($L1262*'Pivot Objective'!$C$9^7)*AH1262*AI1262</f>
        <v>0</v>
      </c>
      <c r="AK1262" s="185">
        <f t="shared" si="141"/>
        <v>693938.57142857136</v>
      </c>
      <c r="AL1262" s="186">
        <f t="shared" si="142"/>
        <v>673.72676837725373</v>
      </c>
      <c r="AM1262" s="157"/>
    </row>
    <row r="1263" spans="1:39" ht="43.2" x14ac:dyDescent="0.3">
      <c r="A1263" s="151" t="s">
        <v>1482</v>
      </c>
      <c r="B1263" s="151">
        <v>2</v>
      </c>
      <c r="C1263" s="166" t="s">
        <v>983</v>
      </c>
      <c r="D1263" s="151" t="str">
        <f t="shared" si="144"/>
        <v>3</v>
      </c>
      <c r="E1263" s="166" t="s">
        <v>1280</v>
      </c>
      <c r="F1263" s="151">
        <f t="shared" si="147"/>
        <v>3</v>
      </c>
      <c r="G1263" s="151" t="str">
        <f t="shared" si="148"/>
        <v>2.3.3</v>
      </c>
      <c r="H1263" s="156" t="s">
        <v>1713</v>
      </c>
      <c r="I1263" s="159" t="s">
        <v>893</v>
      </c>
      <c r="J1263" s="159" t="s">
        <v>846</v>
      </c>
      <c r="K1263" s="159" t="s">
        <v>709</v>
      </c>
      <c r="L1263" s="160">
        <v>35000</v>
      </c>
      <c r="M1263" s="161">
        <v>100</v>
      </c>
      <c r="N1263" s="161">
        <v>1</v>
      </c>
      <c r="O1263" s="164">
        <f t="shared" si="140"/>
        <v>3500000</v>
      </c>
      <c r="P1263" s="161">
        <v>4000</v>
      </c>
      <c r="Q1263" s="161">
        <v>1</v>
      </c>
      <c r="R1263" s="164">
        <f>$L1263*'Pivot Objective'!$C$9*P1263*Q1263</f>
        <v>160008953.57999998</v>
      </c>
      <c r="S1263" s="161">
        <v>4000</v>
      </c>
      <c r="T1263" s="161">
        <v>1</v>
      </c>
      <c r="U1263" s="164">
        <f>($L1263*'Pivot Objective'!$C$9^2)*S1263*T1263</f>
        <v>182877608.75547564</v>
      </c>
      <c r="V1263" s="161">
        <v>4000</v>
      </c>
      <c r="W1263" s="161">
        <v>1</v>
      </c>
      <c r="X1263" s="164">
        <f>($L1263*'Pivot Objective'!$C$9^3)*V1263*W1263</f>
        <v>209014677.21554503</v>
      </c>
      <c r="Y1263" s="161">
        <v>0</v>
      </c>
      <c r="Z1263" s="161">
        <v>0</v>
      </c>
      <c r="AA1263" s="164">
        <f>($L1263*'Pivot Objective'!$C$9^4)*Y1263*Z1263</f>
        <v>0</v>
      </c>
      <c r="AB1263" s="151"/>
      <c r="AC1263" s="151"/>
      <c r="AD1263" s="164">
        <f>($L1263*'Pivot Objective'!$C$9^5)*AB1263*AC1263</f>
        <v>0</v>
      </c>
      <c r="AE1263" s="151"/>
      <c r="AF1263" s="151"/>
      <c r="AG1263" s="164">
        <f>($L1263*'Pivot Objective'!$C$9^6)*AE1263*AF1263</f>
        <v>0</v>
      </c>
      <c r="AH1263" s="151"/>
      <c r="AI1263" s="151"/>
      <c r="AJ1263" s="164">
        <f>($L1263*'Pivot Objective'!$C$9^7)*AH1263*AI1263</f>
        <v>0</v>
      </c>
      <c r="AK1263" s="185">
        <f t="shared" si="141"/>
        <v>555401239.55102062</v>
      </c>
      <c r="AL1263" s="186">
        <f t="shared" si="142"/>
        <v>539224.50441846659</v>
      </c>
      <c r="AM1263" s="157"/>
    </row>
    <row r="1264" spans="1:39" ht="43.2" x14ac:dyDescent="0.3">
      <c r="A1264" s="151" t="s">
        <v>1482</v>
      </c>
      <c r="B1264" s="151">
        <v>2</v>
      </c>
      <c r="C1264" s="166" t="s">
        <v>983</v>
      </c>
      <c r="D1264" s="151" t="str">
        <f t="shared" si="144"/>
        <v>3</v>
      </c>
      <c r="E1264" s="166" t="s">
        <v>1280</v>
      </c>
      <c r="F1264" s="151">
        <f t="shared" si="147"/>
        <v>3</v>
      </c>
      <c r="G1264" s="151" t="str">
        <f t="shared" si="148"/>
        <v>2.3.3</v>
      </c>
      <c r="H1264" s="156" t="s">
        <v>1713</v>
      </c>
      <c r="I1264" s="159" t="s">
        <v>893</v>
      </c>
      <c r="J1264" s="159" t="s">
        <v>151</v>
      </c>
      <c r="K1264" s="159" t="s">
        <v>713</v>
      </c>
      <c r="L1264" s="160">
        <v>45000</v>
      </c>
      <c r="M1264" s="161">
        <v>25</v>
      </c>
      <c r="N1264" s="161">
        <v>6</v>
      </c>
      <c r="O1264" s="164">
        <f t="shared" si="140"/>
        <v>6750000</v>
      </c>
      <c r="P1264" s="161">
        <v>25</v>
      </c>
      <c r="Q1264" s="161">
        <v>1</v>
      </c>
      <c r="R1264" s="164">
        <f>$L1264*'Pivot Objective'!$C$9*P1264*Q1264</f>
        <v>1285786.2341249997</v>
      </c>
      <c r="S1264" s="161">
        <v>25</v>
      </c>
      <c r="T1264" s="161">
        <v>1</v>
      </c>
      <c r="U1264" s="164">
        <f>($L1264*'Pivot Objective'!$C$9^2)*S1264*T1264</f>
        <v>1469552.2132136438</v>
      </c>
      <c r="V1264" s="161">
        <v>25</v>
      </c>
      <c r="W1264" s="161">
        <v>1</v>
      </c>
      <c r="X1264" s="164">
        <f>($L1264*'Pivot Objective'!$C$9^3)*V1264*W1264</f>
        <v>1679582.2276249153</v>
      </c>
      <c r="Y1264" s="161">
        <v>0</v>
      </c>
      <c r="Z1264" s="161">
        <v>0</v>
      </c>
      <c r="AA1264" s="164">
        <f>($L1264*'Pivot Objective'!$C$9^4)*Y1264*Z1264</f>
        <v>0</v>
      </c>
      <c r="AB1264" s="151"/>
      <c r="AC1264" s="151"/>
      <c r="AD1264" s="164">
        <f>($L1264*'Pivot Objective'!$C$9^5)*AB1264*AC1264</f>
        <v>0</v>
      </c>
      <c r="AE1264" s="151"/>
      <c r="AF1264" s="151"/>
      <c r="AG1264" s="164">
        <f>($L1264*'Pivot Objective'!$C$9^6)*AE1264*AF1264</f>
        <v>0</v>
      </c>
      <c r="AH1264" s="151"/>
      <c r="AI1264" s="151"/>
      <c r="AJ1264" s="164">
        <f>($L1264*'Pivot Objective'!$C$9^7)*AH1264*AI1264</f>
        <v>0</v>
      </c>
      <c r="AK1264" s="185">
        <f t="shared" si="141"/>
        <v>11184920.674963558</v>
      </c>
      <c r="AL1264" s="186">
        <f t="shared" si="142"/>
        <v>10859.146286372386</v>
      </c>
      <c r="AM1264" s="157"/>
    </row>
    <row r="1265" spans="1:39" ht="43.2" x14ac:dyDescent="0.3">
      <c r="A1265" s="151" t="s">
        <v>1482</v>
      </c>
      <c r="B1265" s="151">
        <v>2</v>
      </c>
      <c r="C1265" s="166" t="s">
        <v>983</v>
      </c>
      <c r="D1265" s="151" t="str">
        <f t="shared" si="144"/>
        <v>3</v>
      </c>
      <c r="E1265" s="166" t="s">
        <v>1280</v>
      </c>
      <c r="F1265" s="151">
        <f t="shared" si="147"/>
        <v>3</v>
      </c>
      <c r="G1265" s="151" t="str">
        <f t="shared" si="148"/>
        <v>2.3.3</v>
      </c>
      <c r="H1265" s="156" t="s">
        <v>1713</v>
      </c>
      <c r="I1265" s="159" t="s">
        <v>893</v>
      </c>
      <c r="J1265" s="159" t="s">
        <v>151</v>
      </c>
      <c r="K1265" s="159" t="s">
        <v>712</v>
      </c>
      <c r="L1265" s="160">
        <f>1999/7</f>
        <v>285.57142857142856</v>
      </c>
      <c r="M1265" s="161">
        <f>25*2*9</f>
        <v>450</v>
      </c>
      <c r="N1265" s="161">
        <v>5</v>
      </c>
      <c r="O1265" s="164">
        <f t="shared" si="140"/>
        <v>642535.71428571432</v>
      </c>
      <c r="P1265" s="161">
        <v>25</v>
      </c>
      <c r="Q1265" s="161">
        <v>10</v>
      </c>
      <c r="R1265" s="164">
        <f>$L1265*'Pivot Objective'!$C$9*P1265*Q1265</f>
        <v>81596.402603678551</v>
      </c>
      <c r="S1265" s="161">
        <v>25</v>
      </c>
      <c r="T1265" s="161">
        <v>10</v>
      </c>
      <c r="U1265" s="164">
        <f>($L1265*'Pivot Objective'!$C$9^2)*S1265*T1265</f>
        <v>93258.249975049956</v>
      </c>
      <c r="V1265" s="161">
        <v>25</v>
      </c>
      <c r="W1265" s="161">
        <v>10</v>
      </c>
      <c r="X1265" s="164">
        <f>($L1265*'Pivot Objective'!$C$9^3)*V1265*W1265</f>
        <v>106586.8213657843</v>
      </c>
      <c r="Y1265" s="161">
        <v>0</v>
      </c>
      <c r="Z1265" s="161">
        <v>0</v>
      </c>
      <c r="AA1265" s="164">
        <f>($L1265*'Pivot Objective'!$C$9^4)*Y1265*Z1265</f>
        <v>0</v>
      </c>
      <c r="AB1265" s="151"/>
      <c r="AC1265" s="151"/>
      <c r="AD1265" s="164">
        <f>($L1265*'Pivot Objective'!$C$9^5)*AB1265*AC1265</f>
        <v>0</v>
      </c>
      <c r="AE1265" s="151"/>
      <c r="AF1265" s="151"/>
      <c r="AG1265" s="164">
        <f>($L1265*'Pivot Objective'!$C$9^6)*AE1265*AF1265</f>
        <v>0</v>
      </c>
      <c r="AH1265" s="151"/>
      <c r="AI1265" s="151"/>
      <c r="AJ1265" s="164">
        <f>($L1265*'Pivot Objective'!$C$9^7)*AH1265*AI1265</f>
        <v>0</v>
      </c>
      <c r="AK1265" s="185">
        <f t="shared" si="141"/>
        <v>923977.1882302271</v>
      </c>
      <c r="AL1265" s="186">
        <f t="shared" si="142"/>
        <v>897.06523129148263</v>
      </c>
      <c r="AM1265" s="157"/>
    </row>
    <row r="1266" spans="1:39" ht="43.2" x14ac:dyDescent="0.3">
      <c r="A1266" s="151" t="s">
        <v>1482</v>
      </c>
      <c r="B1266" s="151">
        <v>2</v>
      </c>
      <c r="C1266" s="166" t="s">
        <v>983</v>
      </c>
      <c r="D1266" s="151" t="str">
        <f t="shared" si="144"/>
        <v>3</v>
      </c>
      <c r="E1266" s="166" t="s">
        <v>1280</v>
      </c>
      <c r="F1266" s="151">
        <f t="shared" si="147"/>
        <v>3</v>
      </c>
      <c r="G1266" s="151" t="str">
        <f t="shared" si="148"/>
        <v>2.3.3</v>
      </c>
      <c r="H1266" s="156" t="s">
        <v>1713</v>
      </c>
      <c r="I1266" s="159" t="s">
        <v>893</v>
      </c>
      <c r="J1266" s="159" t="s">
        <v>151</v>
      </c>
      <c r="K1266" s="159" t="s">
        <v>1299</v>
      </c>
      <c r="L1266" s="160">
        <f>1999/7</f>
        <v>285.57142857142856</v>
      </c>
      <c r="M1266" s="161">
        <f>2*135*9</f>
        <v>2430</v>
      </c>
      <c r="N1266" s="161">
        <v>1</v>
      </c>
      <c r="O1266" s="164">
        <f t="shared" si="140"/>
        <v>693938.57142857136</v>
      </c>
      <c r="P1266" s="161"/>
      <c r="Q1266" s="161"/>
      <c r="R1266" s="164">
        <f>$L1266*'Pivot Objective'!$C$9*P1266*Q1266</f>
        <v>0</v>
      </c>
      <c r="S1266" s="161"/>
      <c r="T1266" s="161"/>
      <c r="U1266" s="164">
        <f>($L1266*'Pivot Objective'!$C$9^2)*S1266*T1266</f>
        <v>0</v>
      </c>
      <c r="V1266" s="161"/>
      <c r="W1266" s="161"/>
      <c r="X1266" s="164">
        <f>($L1266*'Pivot Objective'!$C$9^3)*V1266*W1266</f>
        <v>0</v>
      </c>
      <c r="Y1266" s="161"/>
      <c r="Z1266" s="161"/>
      <c r="AA1266" s="164">
        <f>($L1266*'Pivot Objective'!$C$9^4)*Y1266*Z1266</f>
        <v>0</v>
      </c>
      <c r="AB1266" s="151"/>
      <c r="AC1266" s="151"/>
      <c r="AD1266" s="164">
        <f>($L1266*'Pivot Objective'!$C$9^5)*AB1266*AC1266</f>
        <v>0</v>
      </c>
      <c r="AE1266" s="151"/>
      <c r="AF1266" s="151"/>
      <c r="AG1266" s="164">
        <f>($L1266*'Pivot Objective'!$C$9^6)*AE1266*AF1266</f>
        <v>0</v>
      </c>
      <c r="AH1266" s="151"/>
      <c r="AI1266" s="151"/>
      <c r="AJ1266" s="164">
        <f>($L1266*'Pivot Objective'!$C$9^7)*AH1266*AI1266</f>
        <v>0</v>
      </c>
      <c r="AK1266" s="185">
        <f t="shared" si="141"/>
        <v>693938.57142857136</v>
      </c>
      <c r="AL1266" s="186">
        <f t="shared" si="142"/>
        <v>673.72676837725373</v>
      </c>
      <c r="AM1266" s="157"/>
    </row>
    <row r="1267" spans="1:39" ht="43.2" x14ac:dyDescent="0.3">
      <c r="A1267" s="151" t="s">
        <v>1482</v>
      </c>
      <c r="B1267" s="151">
        <v>2</v>
      </c>
      <c r="C1267" s="166" t="s">
        <v>983</v>
      </c>
      <c r="D1267" s="151" t="str">
        <f t="shared" si="144"/>
        <v>3</v>
      </c>
      <c r="E1267" s="166" t="s">
        <v>1280</v>
      </c>
      <c r="F1267" s="151">
        <f t="shared" si="147"/>
        <v>3</v>
      </c>
      <c r="G1267" s="151" t="str">
        <f t="shared" si="148"/>
        <v>2.3.3</v>
      </c>
      <c r="H1267" s="156" t="s">
        <v>1713</v>
      </c>
      <c r="I1267" s="159" t="s">
        <v>893</v>
      </c>
      <c r="J1267" s="159" t="s">
        <v>151</v>
      </c>
      <c r="K1267" s="159" t="s">
        <v>714</v>
      </c>
      <c r="L1267" s="160">
        <v>10000</v>
      </c>
      <c r="M1267" s="161">
        <v>15</v>
      </c>
      <c r="N1267" s="161">
        <v>1</v>
      </c>
      <c r="O1267" s="164">
        <f t="shared" si="140"/>
        <v>150000</v>
      </c>
      <c r="P1267" s="161">
        <v>20000</v>
      </c>
      <c r="Q1267" s="161">
        <v>1</v>
      </c>
      <c r="R1267" s="164">
        <f>$L1267*'Pivot Objective'!$C$9*P1267*Q1267</f>
        <v>228584219.39999998</v>
      </c>
      <c r="S1267" s="161">
        <v>20000</v>
      </c>
      <c r="T1267" s="161">
        <v>1</v>
      </c>
      <c r="U1267" s="164">
        <f>($L1267*'Pivot Objective'!$C$9^2)*S1267*T1267</f>
        <v>261253726.79353666</v>
      </c>
      <c r="V1267" s="161">
        <v>20000</v>
      </c>
      <c r="W1267" s="161">
        <v>1</v>
      </c>
      <c r="X1267" s="164">
        <f>($L1267*'Pivot Objective'!$C$9^3)*V1267*W1267</f>
        <v>298592396.0222072</v>
      </c>
      <c r="Y1267" s="161">
        <v>0</v>
      </c>
      <c r="Z1267" s="161">
        <v>0</v>
      </c>
      <c r="AA1267" s="164">
        <f>($L1267*'Pivot Objective'!$C$9^4)*Y1267*Z1267</f>
        <v>0</v>
      </c>
      <c r="AB1267" s="151"/>
      <c r="AC1267" s="151"/>
      <c r="AD1267" s="164">
        <f>($L1267*'Pivot Objective'!$C$9^5)*AB1267*AC1267</f>
        <v>0</v>
      </c>
      <c r="AE1267" s="151"/>
      <c r="AF1267" s="151"/>
      <c r="AG1267" s="164">
        <f>($L1267*'Pivot Objective'!$C$9^6)*AE1267*AF1267</f>
        <v>0</v>
      </c>
      <c r="AH1267" s="151"/>
      <c r="AI1267" s="151"/>
      <c r="AJ1267" s="164">
        <f>($L1267*'Pivot Objective'!$C$9^7)*AH1267*AI1267</f>
        <v>0</v>
      </c>
      <c r="AK1267" s="185">
        <f t="shared" si="141"/>
        <v>788580342.21574378</v>
      </c>
      <c r="AL1267" s="186">
        <f t="shared" si="142"/>
        <v>765611.98273373186</v>
      </c>
      <c r="AM1267" s="157"/>
    </row>
    <row r="1268" spans="1:39" ht="43.2" x14ac:dyDescent="0.3">
      <c r="A1268" s="151" t="s">
        <v>1482</v>
      </c>
      <c r="B1268" s="151">
        <v>2</v>
      </c>
      <c r="C1268" s="166" t="s">
        <v>983</v>
      </c>
      <c r="D1268" s="151" t="str">
        <f t="shared" si="144"/>
        <v>3</v>
      </c>
      <c r="E1268" s="166" t="s">
        <v>1280</v>
      </c>
      <c r="F1268" s="151">
        <f t="shared" si="147"/>
        <v>3</v>
      </c>
      <c r="G1268" s="151" t="str">
        <f t="shared" si="148"/>
        <v>2.3.3</v>
      </c>
      <c r="H1268" s="156" t="s">
        <v>1713</v>
      </c>
      <c r="I1268" s="159" t="s">
        <v>893</v>
      </c>
      <c r="J1268" s="159" t="s">
        <v>151</v>
      </c>
      <c r="K1268" s="159" t="s">
        <v>715</v>
      </c>
      <c r="L1268" s="160">
        <v>302000</v>
      </c>
      <c r="M1268" s="161">
        <v>15</v>
      </c>
      <c r="N1268" s="161">
        <v>1</v>
      </c>
      <c r="O1268" s="164">
        <f t="shared" si="140"/>
        <v>4530000</v>
      </c>
      <c r="P1268" s="161">
        <v>15</v>
      </c>
      <c r="Q1268" s="161">
        <v>1</v>
      </c>
      <c r="R1268" s="164">
        <f>$L1268*'Pivot Objective'!$C$9*P1268*Q1268</f>
        <v>5177432.5694099991</v>
      </c>
      <c r="S1268" s="161">
        <v>15</v>
      </c>
      <c r="T1268" s="161">
        <v>1</v>
      </c>
      <c r="U1268" s="164">
        <f>($L1268*'Pivot Objective'!$C$9^2)*S1268*T1268</f>
        <v>5917396.9118736051</v>
      </c>
      <c r="V1268" s="161">
        <v>15</v>
      </c>
      <c r="W1268" s="161">
        <v>1</v>
      </c>
      <c r="X1268" s="164">
        <f>($L1268*'Pivot Objective'!$C$9^3)*V1268*W1268</f>
        <v>6763117.7699029921</v>
      </c>
      <c r="Y1268" s="161">
        <v>0</v>
      </c>
      <c r="Z1268" s="161">
        <v>0</v>
      </c>
      <c r="AA1268" s="164">
        <f>($L1268*'Pivot Objective'!$C$9^4)*Y1268*Z1268</f>
        <v>0</v>
      </c>
      <c r="AB1268" s="151"/>
      <c r="AC1268" s="151"/>
      <c r="AD1268" s="164">
        <f>($L1268*'Pivot Objective'!$C$9^5)*AB1268*AC1268</f>
        <v>0</v>
      </c>
      <c r="AE1268" s="151"/>
      <c r="AF1268" s="151"/>
      <c r="AG1268" s="164">
        <f>($L1268*'Pivot Objective'!$C$9^6)*AE1268*AF1268</f>
        <v>0</v>
      </c>
      <c r="AH1268" s="151"/>
      <c r="AI1268" s="151"/>
      <c r="AJ1268" s="164">
        <f>($L1268*'Pivot Objective'!$C$9^7)*AH1268*AI1268</f>
        <v>0</v>
      </c>
      <c r="AK1268" s="185">
        <f t="shared" si="141"/>
        <v>22387947.251186598</v>
      </c>
      <c r="AL1268" s="186">
        <f t="shared" si="142"/>
        <v>21735.87111765689</v>
      </c>
      <c r="AM1268" s="157"/>
    </row>
    <row r="1269" spans="1:39" ht="43.2" x14ac:dyDescent="0.3">
      <c r="A1269" s="151" t="s">
        <v>1482</v>
      </c>
      <c r="B1269" s="151">
        <v>2</v>
      </c>
      <c r="C1269" s="166" t="s">
        <v>983</v>
      </c>
      <c r="D1269" s="151" t="str">
        <f t="shared" si="144"/>
        <v>3</v>
      </c>
      <c r="E1269" s="166" t="s">
        <v>1280</v>
      </c>
      <c r="F1269" s="151">
        <f t="shared" si="147"/>
        <v>3</v>
      </c>
      <c r="G1269" s="151" t="str">
        <f t="shared" si="148"/>
        <v>2.3.3</v>
      </c>
      <c r="H1269" s="156" t="s">
        <v>1713</v>
      </c>
      <c r="I1269" s="159" t="s">
        <v>893</v>
      </c>
      <c r="J1269" s="159" t="s">
        <v>152</v>
      </c>
      <c r="K1269" s="159" t="s">
        <v>709</v>
      </c>
      <c r="L1269" s="160">
        <v>35000</v>
      </c>
      <c r="M1269" s="161">
        <v>25</v>
      </c>
      <c r="N1269" s="161">
        <v>5</v>
      </c>
      <c r="O1269" s="164">
        <f t="shared" si="140"/>
        <v>4375000</v>
      </c>
      <c r="P1269" s="161">
        <v>20</v>
      </c>
      <c r="Q1269" s="161">
        <v>1</v>
      </c>
      <c r="R1269" s="164">
        <f>$L1269*'Pivot Objective'!$C$9*P1269*Q1269</f>
        <v>800044.76789999986</v>
      </c>
      <c r="S1269" s="161">
        <v>20</v>
      </c>
      <c r="T1269" s="161">
        <v>1</v>
      </c>
      <c r="U1269" s="164">
        <f>($L1269*'Pivot Objective'!$C$9^2)*S1269*T1269</f>
        <v>914388.04377737816</v>
      </c>
      <c r="V1269" s="161">
        <v>20</v>
      </c>
      <c r="W1269" s="161">
        <v>1</v>
      </c>
      <c r="X1269" s="164">
        <f>($L1269*'Pivot Objective'!$C$9^3)*V1269*W1269</f>
        <v>1045073.3860777251</v>
      </c>
      <c r="Y1269" s="161">
        <v>0</v>
      </c>
      <c r="Z1269" s="161">
        <v>0</v>
      </c>
      <c r="AA1269" s="164">
        <f>($L1269*'Pivot Objective'!$C$9^4)*Y1269*Z1269</f>
        <v>0</v>
      </c>
      <c r="AB1269" s="151"/>
      <c r="AC1269" s="151"/>
      <c r="AD1269" s="164">
        <f>($L1269*'Pivot Objective'!$C$9^5)*AB1269*AC1269</f>
        <v>0</v>
      </c>
      <c r="AE1269" s="151"/>
      <c r="AF1269" s="151"/>
      <c r="AG1269" s="164">
        <f>($L1269*'Pivot Objective'!$C$9^6)*AE1269*AF1269</f>
        <v>0</v>
      </c>
      <c r="AH1269" s="151"/>
      <c r="AI1269" s="151"/>
      <c r="AJ1269" s="164">
        <f>($L1269*'Pivot Objective'!$C$9^7)*AH1269*AI1269</f>
        <v>0</v>
      </c>
      <c r="AK1269" s="185">
        <f t="shared" si="141"/>
        <v>7134506.197755103</v>
      </c>
      <c r="AL1269" s="186">
        <f t="shared" si="142"/>
        <v>6926.7050463641781</v>
      </c>
      <c r="AM1269" s="157"/>
    </row>
    <row r="1270" spans="1:39" ht="43.2" x14ac:dyDescent="0.3">
      <c r="A1270" s="151" t="s">
        <v>1482</v>
      </c>
      <c r="B1270" s="151">
        <v>2</v>
      </c>
      <c r="C1270" s="166" t="s">
        <v>983</v>
      </c>
      <c r="D1270" s="151" t="str">
        <f t="shared" si="144"/>
        <v>3</v>
      </c>
      <c r="E1270" s="166" t="s">
        <v>1280</v>
      </c>
      <c r="F1270" s="151">
        <f t="shared" si="147"/>
        <v>3</v>
      </c>
      <c r="G1270" s="151" t="str">
        <f t="shared" si="148"/>
        <v>2.3.3</v>
      </c>
      <c r="H1270" s="156" t="s">
        <v>1713</v>
      </c>
      <c r="I1270" s="159" t="s">
        <v>893</v>
      </c>
      <c r="J1270" s="159" t="s">
        <v>152</v>
      </c>
      <c r="K1270" s="159" t="s">
        <v>712</v>
      </c>
      <c r="L1270" s="160">
        <f>1999/7</f>
        <v>285.57142857142856</v>
      </c>
      <c r="M1270" s="161">
        <f>25*2*9</f>
        <v>450</v>
      </c>
      <c r="N1270" s="161">
        <v>5</v>
      </c>
      <c r="O1270" s="164">
        <f t="shared" si="140"/>
        <v>642535.71428571432</v>
      </c>
      <c r="P1270" s="161">
        <v>25</v>
      </c>
      <c r="Q1270" s="161">
        <v>10</v>
      </c>
      <c r="R1270" s="164">
        <f>$L1270*'Pivot Objective'!$C$9*P1270*Q1270</f>
        <v>81596.402603678551</v>
      </c>
      <c r="S1270" s="161">
        <v>25</v>
      </c>
      <c r="T1270" s="161">
        <v>10</v>
      </c>
      <c r="U1270" s="164">
        <f>($L1270*'Pivot Objective'!$C$9^2)*S1270*T1270</f>
        <v>93258.249975049956</v>
      </c>
      <c r="V1270" s="161">
        <v>25</v>
      </c>
      <c r="W1270" s="161">
        <v>10</v>
      </c>
      <c r="X1270" s="164">
        <f>($L1270*'Pivot Objective'!$C$9^3)*V1270*W1270</f>
        <v>106586.8213657843</v>
      </c>
      <c r="Y1270" s="161">
        <v>0</v>
      </c>
      <c r="Z1270" s="161">
        <v>0</v>
      </c>
      <c r="AA1270" s="164">
        <f>($L1270*'Pivot Objective'!$C$9^4)*Y1270*Z1270</f>
        <v>0</v>
      </c>
      <c r="AB1270" s="151"/>
      <c r="AC1270" s="151"/>
      <c r="AD1270" s="164">
        <f>($L1270*'Pivot Objective'!$C$9^5)*AB1270*AC1270</f>
        <v>0</v>
      </c>
      <c r="AE1270" s="151"/>
      <c r="AF1270" s="151"/>
      <c r="AG1270" s="164">
        <f>($L1270*'Pivot Objective'!$C$9^6)*AE1270*AF1270</f>
        <v>0</v>
      </c>
      <c r="AH1270" s="151"/>
      <c r="AI1270" s="151"/>
      <c r="AJ1270" s="164">
        <f>($L1270*'Pivot Objective'!$C$9^7)*AH1270*AI1270</f>
        <v>0</v>
      </c>
      <c r="AK1270" s="185">
        <f t="shared" si="141"/>
        <v>923977.1882302271</v>
      </c>
      <c r="AL1270" s="186">
        <f t="shared" si="142"/>
        <v>897.06523129148263</v>
      </c>
      <c r="AM1270" s="157"/>
    </row>
    <row r="1271" spans="1:39" ht="43.2" x14ac:dyDescent="0.3">
      <c r="A1271" s="151" t="s">
        <v>1482</v>
      </c>
      <c r="B1271" s="151">
        <v>2</v>
      </c>
      <c r="C1271" s="166" t="s">
        <v>983</v>
      </c>
      <c r="D1271" s="151" t="str">
        <f t="shared" si="144"/>
        <v>3</v>
      </c>
      <c r="E1271" s="166" t="s">
        <v>1280</v>
      </c>
      <c r="F1271" s="151">
        <f t="shared" si="147"/>
        <v>3</v>
      </c>
      <c r="G1271" s="151" t="str">
        <f t="shared" si="148"/>
        <v>2.3.3</v>
      </c>
      <c r="H1271" s="156" t="s">
        <v>1713</v>
      </c>
      <c r="I1271" s="159" t="s">
        <v>893</v>
      </c>
      <c r="J1271" s="159" t="s">
        <v>152</v>
      </c>
      <c r="K1271" s="159" t="s">
        <v>716</v>
      </c>
      <c r="L1271" s="160">
        <v>39000</v>
      </c>
      <c r="M1271" s="161">
        <v>25</v>
      </c>
      <c r="N1271" s="161">
        <v>6</v>
      </c>
      <c r="O1271" s="164">
        <f t="shared" si="140"/>
        <v>5850000</v>
      </c>
      <c r="P1271" s="161">
        <v>4000</v>
      </c>
      <c r="Q1271" s="161">
        <v>1</v>
      </c>
      <c r="R1271" s="164">
        <f>$L1271*'Pivot Objective'!$C$9*P1271*Q1271</f>
        <v>178295691.13199997</v>
      </c>
      <c r="S1271" s="161">
        <v>4000</v>
      </c>
      <c r="T1271" s="161">
        <v>1</v>
      </c>
      <c r="U1271" s="164">
        <f>($L1271*'Pivot Objective'!$C$9^2)*S1271*T1271</f>
        <v>203777906.89895859</v>
      </c>
      <c r="V1271" s="161">
        <v>4000</v>
      </c>
      <c r="W1271" s="161">
        <v>1</v>
      </c>
      <c r="X1271" s="164">
        <f>($L1271*'Pivot Objective'!$C$9^3)*V1271*W1271</f>
        <v>232902068.89732158</v>
      </c>
      <c r="Y1271" s="161">
        <v>0</v>
      </c>
      <c r="Z1271" s="161">
        <v>0</v>
      </c>
      <c r="AA1271" s="164">
        <f>($L1271*'Pivot Objective'!$C$9^4)*Y1271*Z1271</f>
        <v>0</v>
      </c>
      <c r="AB1271" s="151"/>
      <c r="AC1271" s="151"/>
      <c r="AD1271" s="164">
        <f>($L1271*'Pivot Objective'!$C$9^5)*AB1271*AC1271</f>
        <v>0</v>
      </c>
      <c r="AE1271" s="151"/>
      <c r="AF1271" s="151"/>
      <c r="AG1271" s="164">
        <f>($L1271*'Pivot Objective'!$C$9^6)*AE1271*AF1271</f>
        <v>0</v>
      </c>
      <c r="AH1271" s="151"/>
      <c r="AI1271" s="151"/>
      <c r="AJ1271" s="164">
        <f>($L1271*'Pivot Objective'!$C$9^7)*AH1271*AI1271</f>
        <v>0</v>
      </c>
      <c r="AK1271" s="185">
        <f t="shared" si="141"/>
        <v>620825666.92828012</v>
      </c>
      <c r="AL1271" s="186">
        <f t="shared" si="142"/>
        <v>602743.3659497865</v>
      </c>
      <c r="AM1271" s="157"/>
    </row>
    <row r="1272" spans="1:39" ht="43.2" x14ac:dyDescent="0.3">
      <c r="A1272" s="151" t="s">
        <v>1482</v>
      </c>
      <c r="B1272" s="151">
        <v>2</v>
      </c>
      <c r="C1272" s="166" t="s">
        <v>983</v>
      </c>
      <c r="D1272" s="151" t="str">
        <f t="shared" si="144"/>
        <v>3</v>
      </c>
      <c r="E1272" s="166" t="s">
        <v>1280</v>
      </c>
      <c r="F1272" s="151">
        <f t="shared" si="147"/>
        <v>3</v>
      </c>
      <c r="G1272" s="151" t="str">
        <f t="shared" si="148"/>
        <v>2.3.3</v>
      </c>
      <c r="H1272" s="156" t="s">
        <v>1713</v>
      </c>
      <c r="I1272" s="159" t="s">
        <v>893</v>
      </c>
      <c r="J1272" s="159" t="s">
        <v>152</v>
      </c>
      <c r="K1272" s="159" t="s">
        <v>1299</v>
      </c>
      <c r="L1272" s="160">
        <f>1999/7</f>
        <v>285.57142857142856</v>
      </c>
      <c r="M1272" s="161">
        <f>2*135*9</f>
        <v>2430</v>
      </c>
      <c r="N1272" s="161">
        <v>1</v>
      </c>
      <c r="O1272" s="164">
        <f t="shared" si="140"/>
        <v>693938.57142857136</v>
      </c>
      <c r="P1272" s="161"/>
      <c r="Q1272" s="161"/>
      <c r="R1272" s="164">
        <f>$L1272*'Pivot Objective'!$C$9*P1272*Q1272</f>
        <v>0</v>
      </c>
      <c r="S1272" s="161"/>
      <c r="T1272" s="161"/>
      <c r="U1272" s="164">
        <f>($L1272*'Pivot Objective'!$C$9^2)*S1272*T1272</f>
        <v>0</v>
      </c>
      <c r="V1272" s="161"/>
      <c r="W1272" s="161"/>
      <c r="X1272" s="164">
        <f>($L1272*'Pivot Objective'!$C$9^3)*V1272*W1272</f>
        <v>0</v>
      </c>
      <c r="Y1272" s="161"/>
      <c r="Z1272" s="161"/>
      <c r="AA1272" s="164">
        <f>($L1272*'Pivot Objective'!$C$9^4)*Y1272*Z1272</f>
        <v>0</v>
      </c>
      <c r="AB1272" s="151"/>
      <c r="AC1272" s="151"/>
      <c r="AD1272" s="164">
        <f>($L1272*'Pivot Objective'!$C$9^5)*AB1272*AC1272</f>
        <v>0</v>
      </c>
      <c r="AE1272" s="151"/>
      <c r="AF1272" s="151"/>
      <c r="AG1272" s="164">
        <f>($L1272*'Pivot Objective'!$C$9^6)*AE1272*AF1272</f>
        <v>0</v>
      </c>
      <c r="AH1272" s="151"/>
      <c r="AI1272" s="151"/>
      <c r="AJ1272" s="164">
        <f>($L1272*'Pivot Objective'!$C$9^7)*AH1272*AI1272</f>
        <v>0</v>
      </c>
      <c r="AK1272" s="185">
        <f t="shared" si="141"/>
        <v>693938.57142857136</v>
      </c>
      <c r="AL1272" s="186">
        <f t="shared" si="142"/>
        <v>673.72676837725373</v>
      </c>
      <c r="AM1272" s="157"/>
    </row>
    <row r="1273" spans="1:39" ht="43.2" x14ac:dyDescent="0.3">
      <c r="A1273" s="151" t="s">
        <v>1482</v>
      </c>
      <c r="B1273" s="151">
        <v>2</v>
      </c>
      <c r="C1273" s="166" t="s">
        <v>983</v>
      </c>
      <c r="D1273" s="151" t="str">
        <f t="shared" si="144"/>
        <v>3</v>
      </c>
      <c r="E1273" s="166" t="s">
        <v>1280</v>
      </c>
      <c r="F1273" s="151">
        <f t="shared" si="147"/>
        <v>3</v>
      </c>
      <c r="G1273" s="151" t="str">
        <f t="shared" si="148"/>
        <v>2.3.3</v>
      </c>
      <c r="H1273" s="156" t="s">
        <v>1713</v>
      </c>
      <c r="I1273" s="159" t="s">
        <v>893</v>
      </c>
      <c r="J1273" s="159" t="s">
        <v>861</v>
      </c>
      <c r="K1273" s="159" t="s">
        <v>841</v>
      </c>
      <c r="L1273" s="160">
        <v>0</v>
      </c>
      <c r="M1273" s="161">
        <v>0</v>
      </c>
      <c r="N1273" s="161">
        <v>0</v>
      </c>
      <c r="O1273" s="164">
        <f t="shared" si="140"/>
        <v>0</v>
      </c>
      <c r="P1273" s="161">
        <v>25</v>
      </c>
      <c r="Q1273" s="161">
        <v>10</v>
      </c>
      <c r="R1273" s="164">
        <f>$L1273*'Pivot Objective'!$C$9*P1273*Q1273</f>
        <v>0</v>
      </c>
      <c r="S1273" s="161">
        <v>25</v>
      </c>
      <c r="T1273" s="161">
        <v>10</v>
      </c>
      <c r="U1273" s="164">
        <f>($L1273*'Pivot Objective'!$C$9^2)*S1273*T1273</f>
        <v>0</v>
      </c>
      <c r="V1273" s="161">
        <v>25</v>
      </c>
      <c r="W1273" s="161">
        <v>10</v>
      </c>
      <c r="X1273" s="164">
        <f>($L1273*'Pivot Objective'!$C$9^3)*V1273*W1273</f>
        <v>0</v>
      </c>
      <c r="Y1273" s="161">
        <v>0</v>
      </c>
      <c r="Z1273" s="161">
        <v>0</v>
      </c>
      <c r="AA1273" s="164">
        <f>($L1273*'Pivot Objective'!$C$9^4)*Y1273*Z1273</f>
        <v>0</v>
      </c>
      <c r="AB1273" s="151"/>
      <c r="AC1273" s="151"/>
      <c r="AD1273" s="164">
        <f>($L1273*'Pivot Objective'!$C$9^5)*AB1273*AC1273</f>
        <v>0</v>
      </c>
      <c r="AE1273" s="151"/>
      <c r="AF1273" s="151"/>
      <c r="AG1273" s="164">
        <f>($L1273*'Pivot Objective'!$C$9^6)*AE1273*AF1273</f>
        <v>0</v>
      </c>
      <c r="AH1273" s="151"/>
      <c r="AI1273" s="151"/>
      <c r="AJ1273" s="164">
        <f>($L1273*'Pivot Objective'!$C$9^7)*AH1273*AI1273</f>
        <v>0</v>
      </c>
      <c r="AK1273" s="185">
        <f t="shared" si="141"/>
        <v>0</v>
      </c>
      <c r="AL1273" s="186">
        <f t="shared" si="142"/>
        <v>0</v>
      </c>
      <c r="AM1273" s="157"/>
    </row>
    <row r="1274" spans="1:39" ht="43.2" x14ac:dyDescent="0.3">
      <c r="A1274" s="151" t="s">
        <v>1482</v>
      </c>
      <c r="B1274" s="151">
        <v>2</v>
      </c>
      <c r="C1274" s="166" t="s">
        <v>983</v>
      </c>
      <c r="D1274" s="151" t="str">
        <f t="shared" si="144"/>
        <v>3</v>
      </c>
      <c r="E1274" s="166" t="s">
        <v>1280</v>
      </c>
      <c r="F1274" s="151">
        <f t="shared" si="147"/>
        <v>3</v>
      </c>
      <c r="G1274" s="151" t="str">
        <f t="shared" si="148"/>
        <v>2.3.3</v>
      </c>
      <c r="H1274" s="156" t="s">
        <v>1713</v>
      </c>
      <c r="I1274" s="159" t="s">
        <v>893</v>
      </c>
      <c r="J1274" s="159" t="s">
        <v>1319</v>
      </c>
      <c r="K1274" s="159" t="s">
        <v>709</v>
      </c>
      <c r="L1274" s="160">
        <v>35000</v>
      </c>
      <c r="M1274" s="161">
        <v>100</v>
      </c>
      <c r="N1274" s="161">
        <v>1</v>
      </c>
      <c r="O1274" s="164">
        <f t="shared" si="140"/>
        <v>3500000</v>
      </c>
      <c r="P1274" s="161"/>
      <c r="Q1274" s="161"/>
      <c r="R1274" s="164">
        <f>$L1274*'Pivot Objective'!$C$9*P1274*Q1274</f>
        <v>0</v>
      </c>
      <c r="S1274" s="161"/>
      <c r="T1274" s="161"/>
      <c r="U1274" s="164">
        <f>($L1274*'Pivot Objective'!$C$9^2)*S1274*T1274</f>
        <v>0</v>
      </c>
      <c r="V1274" s="161"/>
      <c r="W1274" s="161"/>
      <c r="X1274" s="164">
        <f>($L1274*'Pivot Objective'!$C$9^3)*V1274*W1274</f>
        <v>0</v>
      </c>
      <c r="Y1274" s="161"/>
      <c r="Z1274" s="161"/>
      <c r="AA1274" s="164">
        <f>($L1274*'Pivot Objective'!$C$9^4)*Y1274*Z1274</f>
        <v>0</v>
      </c>
      <c r="AB1274" s="151"/>
      <c r="AC1274" s="151"/>
      <c r="AD1274" s="164">
        <f>($L1274*'Pivot Objective'!$C$9^5)*AB1274*AC1274</f>
        <v>0</v>
      </c>
      <c r="AE1274" s="151"/>
      <c r="AF1274" s="151"/>
      <c r="AG1274" s="164">
        <f>($L1274*'Pivot Objective'!$C$9^6)*AE1274*AF1274</f>
        <v>0</v>
      </c>
      <c r="AH1274" s="151"/>
      <c r="AI1274" s="151"/>
      <c r="AJ1274" s="164">
        <f>($L1274*'Pivot Objective'!$C$9^7)*AH1274*AI1274</f>
        <v>0</v>
      </c>
      <c r="AK1274" s="185">
        <f t="shared" si="141"/>
        <v>3500000</v>
      </c>
      <c r="AL1274" s="186">
        <f t="shared" si="142"/>
        <v>3398.0582524271845</v>
      </c>
      <c r="AM1274" s="157"/>
    </row>
    <row r="1275" spans="1:39" ht="43.2" x14ac:dyDescent="0.3">
      <c r="A1275" s="151" t="s">
        <v>1482</v>
      </c>
      <c r="B1275" s="151">
        <v>2</v>
      </c>
      <c r="C1275" s="166" t="s">
        <v>983</v>
      </c>
      <c r="D1275" s="151" t="str">
        <f t="shared" si="144"/>
        <v>3</v>
      </c>
      <c r="E1275" s="166" t="s">
        <v>1280</v>
      </c>
      <c r="F1275" s="151">
        <f t="shared" si="147"/>
        <v>3</v>
      </c>
      <c r="G1275" s="151" t="str">
        <f t="shared" si="148"/>
        <v>2.3.3</v>
      </c>
      <c r="H1275" s="156" t="s">
        <v>1713</v>
      </c>
      <c r="I1275" s="159" t="s">
        <v>893</v>
      </c>
      <c r="J1275" s="159" t="s">
        <v>1319</v>
      </c>
      <c r="K1275" s="159" t="s">
        <v>716</v>
      </c>
      <c r="L1275" s="160">
        <v>39000</v>
      </c>
      <c r="M1275" s="161">
        <v>58</v>
      </c>
      <c r="N1275" s="161">
        <v>2</v>
      </c>
      <c r="O1275" s="164">
        <f t="shared" si="140"/>
        <v>4524000</v>
      </c>
      <c r="P1275" s="161"/>
      <c r="Q1275" s="161"/>
      <c r="R1275" s="164">
        <f>$L1275*'Pivot Objective'!$C$9*P1275*Q1275</f>
        <v>0</v>
      </c>
      <c r="S1275" s="161"/>
      <c r="T1275" s="161"/>
      <c r="U1275" s="164">
        <f>($L1275*'Pivot Objective'!$C$9^2)*S1275*T1275</f>
        <v>0</v>
      </c>
      <c r="V1275" s="161"/>
      <c r="W1275" s="161"/>
      <c r="X1275" s="164">
        <f>($L1275*'Pivot Objective'!$C$9^3)*V1275*W1275</f>
        <v>0</v>
      </c>
      <c r="Y1275" s="161"/>
      <c r="Z1275" s="161"/>
      <c r="AA1275" s="164">
        <f>($L1275*'Pivot Objective'!$C$9^4)*Y1275*Z1275</f>
        <v>0</v>
      </c>
      <c r="AB1275" s="151"/>
      <c r="AC1275" s="151"/>
      <c r="AD1275" s="164">
        <f>($L1275*'Pivot Objective'!$C$9^5)*AB1275*AC1275</f>
        <v>0</v>
      </c>
      <c r="AE1275" s="151"/>
      <c r="AF1275" s="151"/>
      <c r="AG1275" s="164">
        <f>($L1275*'Pivot Objective'!$C$9^6)*AE1275*AF1275</f>
        <v>0</v>
      </c>
      <c r="AH1275" s="151"/>
      <c r="AI1275" s="151"/>
      <c r="AJ1275" s="164">
        <f>($L1275*'Pivot Objective'!$C$9^7)*AH1275*AI1275</f>
        <v>0</v>
      </c>
      <c r="AK1275" s="185">
        <f t="shared" si="141"/>
        <v>4524000</v>
      </c>
      <c r="AL1275" s="186">
        <f t="shared" si="142"/>
        <v>4392.2330097087379</v>
      </c>
      <c r="AM1275" s="157"/>
    </row>
    <row r="1276" spans="1:39" ht="43.2" x14ac:dyDescent="0.3">
      <c r="A1276" s="151" t="s">
        <v>1482</v>
      </c>
      <c r="B1276" s="151">
        <v>2</v>
      </c>
      <c r="C1276" s="166" t="s">
        <v>983</v>
      </c>
      <c r="D1276" s="151" t="str">
        <f t="shared" si="144"/>
        <v>3</v>
      </c>
      <c r="E1276" s="166" t="s">
        <v>1280</v>
      </c>
      <c r="F1276" s="151">
        <f t="shared" si="147"/>
        <v>3</v>
      </c>
      <c r="G1276" s="151" t="str">
        <f t="shared" si="148"/>
        <v>2.3.3</v>
      </c>
      <c r="H1276" s="156" t="s">
        <v>1713</v>
      </c>
      <c r="I1276" s="159" t="s">
        <v>893</v>
      </c>
      <c r="J1276" s="159" t="s">
        <v>1319</v>
      </c>
      <c r="K1276" s="159" t="s">
        <v>1350</v>
      </c>
      <c r="L1276" s="160">
        <f>1999/7</f>
        <v>285.57142857142856</v>
      </c>
      <c r="M1276" s="161">
        <f>25*2*29</f>
        <v>1450</v>
      </c>
      <c r="N1276" s="161">
        <v>1</v>
      </c>
      <c r="O1276" s="164">
        <f t="shared" si="140"/>
        <v>414078.57142857142</v>
      </c>
      <c r="P1276" s="161"/>
      <c r="Q1276" s="161"/>
      <c r="R1276" s="164">
        <f>$L1276*'Pivot Objective'!$C$9*P1276*Q1276</f>
        <v>0</v>
      </c>
      <c r="S1276" s="161"/>
      <c r="T1276" s="161"/>
      <c r="U1276" s="164">
        <f>($L1276*'Pivot Objective'!$C$9^2)*S1276*T1276</f>
        <v>0</v>
      </c>
      <c r="V1276" s="161"/>
      <c r="W1276" s="161"/>
      <c r="X1276" s="164">
        <f>($L1276*'Pivot Objective'!$C$9^3)*V1276*W1276</f>
        <v>0</v>
      </c>
      <c r="Y1276" s="161"/>
      <c r="Z1276" s="161"/>
      <c r="AA1276" s="164">
        <f>($L1276*'Pivot Objective'!$C$9^4)*Y1276*Z1276</f>
        <v>0</v>
      </c>
      <c r="AB1276" s="151"/>
      <c r="AC1276" s="151"/>
      <c r="AD1276" s="164">
        <f>($L1276*'Pivot Objective'!$C$9^5)*AB1276*AC1276</f>
        <v>0</v>
      </c>
      <c r="AE1276" s="151"/>
      <c r="AF1276" s="151"/>
      <c r="AG1276" s="164">
        <f>($L1276*'Pivot Objective'!$C$9^6)*AE1276*AF1276</f>
        <v>0</v>
      </c>
      <c r="AH1276" s="151"/>
      <c r="AI1276" s="151"/>
      <c r="AJ1276" s="164">
        <f>($L1276*'Pivot Objective'!$C$9^7)*AH1276*AI1276</f>
        <v>0</v>
      </c>
      <c r="AK1276" s="185">
        <f t="shared" si="141"/>
        <v>414078.57142857142</v>
      </c>
      <c r="AL1276" s="186">
        <f t="shared" si="142"/>
        <v>402.01803051317614</v>
      </c>
      <c r="AM1276" s="157"/>
    </row>
    <row r="1277" spans="1:39" ht="43.2" x14ac:dyDescent="0.3">
      <c r="A1277" s="151" t="s">
        <v>1482</v>
      </c>
      <c r="B1277" s="151">
        <v>2</v>
      </c>
      <c r="C1277" s="166" t="s">
        <v>983</v>
      </c>
      <c r="D1277" s="151" t="str">
        <f t="shared" si="144"/>
        <v>3</v>
      </c>
      <c r="E1277" s="166" t="s">
        <v>1280</v>
      </c>
      <c r="F1277" s="151">
        <f t="shared" si="147"/>
        <v>3</v>
      </c>
      <c r="G1277" s="151" t="str">
        <f t="shared" si="148"/>
        <v>2.3.3</v>
      </c>
      <c r="H1277" s="156" t="s">
        <v>1713</v>
      </c>
      <c r="I1277" s="159" t="s">
        <v>893</v>
      </c>
      <c r="J1277" s="159" t="s">
        <v>1319</v>
      </c>
      <c r="K1277" s="159" t="s">
        <v>712</v>
      </c>
      <c r="L1277" s="160">
        <f>1999/7</f>
        <v>285.57142857142856</v>
      </c>
      <c r="M1277" s="161">
        <f>2*135*29</f>
        <v>7830</v>
      </c>
      <c r="N1277" s="161">
        <v>1</v>
      </c>
      <c r="O1277" s="164">
        <f t="shared" si="140"/>
        <v>2236024.2857142854</v>
      </c>
      <c r="P1277" s="161"/>
      <c r="Q1277" s="161"/>
      <c r="R1277" s="164">
        <f>$L1277*'Pivot Objective'!$C$9*P1277*Q1277</f>
        <v>0</v>
      </c>
      <c r="S1277" s="161"/>
      <c r="T1277" s="161"/>
      <c r="U1277" s="164">
        <f>($L1277*'Pivot Objective'!$C$9^2)*S1277*T1277</f>
        <v>0</v>
      </c>
      <c r="V1277" s="161"/>
      <c r="W1277" s="161"/>
      <c r="X1277" s="164">
        <f>($L1277*'Pivot Objective'!$C$9^3)*V1277*W1277</f>
        <v>0</v>
      </c>
      <c r="Y1277" s="161"/>
      <c r="Z1277" s="161"/>
      <c r="AA1277" s="164">
        <f>($L1277*'Pivot Objective'!$C$9^4)*Y1277*Z1277</f>
        <v>0</v>
      </c>
      <c r="AB1277" s="151"/>
      <c r="AC1277" s="151"/>
      <c r="AD1277" s="164">
        <f>($L1277*'Pivot Objective'!$C$9^5)*AB1277*AC1277</f>
        <v>0</v>
      </c>
      <c r="AE1277" s="151"/>
      <c r="AF1277" s="151"/>
      <c r="AG1277" s="164">
        <f>($L1277*'Pivot Objective'!$C$9^6)*AE1277*AF1277</f>
        <v>0</v>
      </c>
      <c r="AH1277" s="151"/>
      <c r="AI1277" s="151"/>
      <c r="AJ1277" s="164">
        <f>($L1277*'Pivot Objective'!$C$9^7)*AH1277*AI1277</f>
        <v>0</v>
      </c>
      <c r="AK1277" s="185">
        <f t="shared" si="141"/>
        <v>2236024.2857142854</v>
      </c>
      <c r="AL1277" s="186">
        <f t="shared" si="142"/>
        <v>2170.8973647711509</v>
      </c>
      <c r="AM1277" s="157"/>
    </row>
    <row r="1278" spans="1:39" ht="43.2" x14ac:dyDescent="0.3">
      <c r="A1278" s="151" t="s">
        <v>1482</v>
      </c>
      <c r="B1278" s="151">
        <v>2</v>
      </c>
      <c r="C1278" s="166" t="s">
        <v>983</v>
      </c>
      <c r="D1278" s="151" t="str">
        <f t="shared" si="144"/>
        <v>3</v>
      </c>
      <c r="E1278" s="166" t="s">
        <v>1280</v>
      </c>
      <c r="F1278" s="151">
        <f t="shared" si="147"/>
        <v>3</v>
      </c>
      <c r="G1278" s="151" t="str">
        <f t="shared" si="148"/>
        <v>2.3.3</v>
      </c>
      <c r="H1278" s="156" t="s">
        <v>1713</v>
      </c>
      <c r="I1278" s="159" t="s">
        <v>893</v>
      </c>
      <c r="J1278" s="159" t="s">
        <v>897</v>
      </c>
      <c r="K1278" s="159" t="s">
        <v>841</v>
      </c>
      <c r="L1278" s="160">
        <v>0</v>
      </c>
      <c r="M1278" s="161">
        <v>0</v>
      </c>
      <c r="N1278" s="161">
        <v>0</v>
      </c>
      <c r="O1278" s="164">
        <f t="shared" si="140"/>
        <v>0</v>
      </c>
      <c r="P1278" s="161">
        <v>0</v>
      </c>
      <c r="Q1278" s="161">
        <v>0</v>
      </c>
      <c r="R1278" s="164">
        <f>$L1278*'Pivot Objective'!$C$9*P1278*Q1278</f>
        <v>0</v>
      </c>
      <c r="S1278" s="161">
        <v>0</v>
      </c>
      <c r="T1278" s="161">
        <v>0</v>
      </c>
      <c r="U1278" s="164">
        <f>($L1278*'Pivot Objective'!$C$9^2)*S1278*T1278</f>
        <v>0</v>
      </c>
      <c r="V1278" s="161">
        <v>0</v>
      </c>
      <c r="W1278" s="161">
        <v>0</v>
      </c>
      <c r="X1278" s="164">
        <f>($L1278*'Pivot Objective'!$C$9^3)*V1278*W1278</f>
        <v>0</v>
      </c>
      <c r="Y1278" s="161">
        <v>0</v>
      </c>
      <c r="Z1278" s="161">
        <v>0</v>
      </c>
      <c r="AA1278" s="164">
        <f>($L1278*'Pivot Objective'!$C$9^4)*Y1278*Z1278</f>
        <v>0</v>
      </c>
      <c r="AB1278" s="151"/>
      <c r="AC1278" s="151"/>
      <c r="AD1278" s="164">
        <f>($L1278*'Pivot Objective'!$C$9^5)*AB1278*AC1278</f>
        <v>0</v>
      </c>
      <c r="AE1278" s="151"/>
      <c r="AF1278" s="151"/>
      <c r="AG1278" s="164">
        <f>($L1278*'Pivot Objective'!$C$9^6)*AE1278*AF1278</f>
        <v>0</v>
      </c>
      <c r="AH1278" s="151"/>
      <c r="AI1278" s="151"/>
      <c r="AJ1278" s="164">
        <f>($L1278*'Pivot Objective'!$C$9^7)*AH1278*AI1278</f>
        <v>0</v>
      </c>
      <c r="AK1278" s="185">
        <f t="shared" si="141"/>
        <v>0</v>
      </c>
      <c r="AL1278" s="186">
        <f t="shared" si="142"/>
        <v>0</v>
      </c>
      <c r="AM1278" s="157"/>
    </row>
    <row r="1279" spans="1:39" customFormat="1" ht="43.2" x14ac:dyDescent="0.3">
      <c r="A1279" s="140" t="s">
        <v>1482</v>
      </c>
      <c r="B1279" s="140">
        <v>2</v>
      </c>
      <c r="C1279" s="166" t="s">
        <v>983</v>
      </c>
      <c r="D1279" s="140" t="str">
        <f t="shared" ref="D1279" si="149">RIGHT(A1279,1)</f>
        <v>3</v>
      </c>
      <c r="E1279" s="166" t="s">
        <v>1280</v>
      </c>
      <c r="F1279" s="151">
        <f t="shared" si="147"/>
        <v>4</v>
      </c>
      <c r="G1279" s="151" t="str">
        <f t="shared" si="148"/>
        <v>2.3.4</v>
      </c>
      <c r="H1279" s="166" t="s">
        <v>1613</v>
      </c>
      <c r="I1279" s="166" t="s">
        <v>1628</v>
      </c>
      <c r="J1279" s="166" t="s">
        <v>1628</v>
      </c>
      <c r="K1279" s="166" t="s">
        <v>1614</v>
      </c>
      <c r="L1279" s="177">
        <v>35000</v>
      </c>
      <c r="M1279" s="166">
        <v>25</v>
      </c>
      <c r="N1279" s="166">
        <v>8</v>
      </c>
      <c r="O1279" s="164">
        <f t="shared" si="140"/>
        <v>7000000</v>
      </c>
      <c r="P1279" s="166">
        <v>25</v>
      </c>
      <c r="Q1279" s="166">
        <v>8</v>
      </c>
      <c r="R1279" s="164">
        <f>$L1279*'Pivot Objective'!$C$9*P1279*Q1279</f>
        <v>8000447.6789999986</v>
      </c>
      <c r="S1279" s="166">
        <v>25</v>
      </c>
      <c r="T1279" s="166">
        <v>8</v>
      </c>
      <c r="U1279" s="164">
        <f>($L1279*'Pivot Objective'!$C$9^2)*S1279*T1279</f>
        <v>9143880.4377737828</v>
      </c>
      <c r="V1279" s="166">
        <v>0</v>
      </c>
      <c r="W1279" s="166">
        <v>0</v>
      </c>
      <c r="X1279" s="164">
        <f>($L1279*'Pivot Objective'!$C$9^3)*V1279*W1279</f>
        <v>0</v>
      </c>
      <c r="Y1279" s="166">
        <v>0</v>
      </c>
      <c r="Z1279" s="166">
        <v>0</v>
      </c>
      <c r="AA1279" s="164">
        <f>($L1279*'Pivot Objective'!$C$9^4)*Y1279*Z1279</f>
        <v>0</v>
      </c>
      <c r="AB1279" s="140">
        <v>25</v>
      </c>
      <c r="AC1279" s="140">
        <v>8</v>
      </c>
      <c r="AD1279" s="164">
        <f>($L1279*'Pivot Objective'!$C$9^5)*AB1279*AC1279</f>
        <v>13651465.844277309</v>
      </c>
      <c r="AE1279" s="140">
        <v>0</v>
      </c>
      <c r="AF1279" s="140">
        <v>0</v>
      </c>
      <c r="AG1279" s="164">
        <f>($L1279*'Pivot Objective'!$C$9^6)*AE1279*AF1279</f>
        <v>0</v>
      </c>
      <c r="AH1279" s="140">
        <v>0</v>
      </c>
      <c r="AI1279" s="140">
        <v>0</v>
      </c>
      <c r="AJ1279" s="164">
        <f>($L1279*'Pivot Objective'!$C$9^7)*AH1279*AI1279</f>
        <v>0</v>
      </c>
      <c r="AK1279" s="185">
        <f t="shared" si="141"/>
        <v>37795793.961051092</v>
      </c>
      <c r="AL1279" s="186">
        <f t="shared" si="142"/>
        <v>36694.945593253484</v>
      </c>
    </row>
    <row r="1280" spans="1:39" customFormat="1" ht="43.2" x14ac:dyDescent="0.3">
      <c r="A1280" s="140" t="s">
        <v>1482</v>
      </c>
      <c r="B1280" s="140">
        <v>2</v>
      </c>
      <c r="C1280" s="166" t="s">
        <v>983</v>
      </c>
      <c r="D1280" s="140" t="str">
        <f t="shared" ref="D1280:D1292" si="150">RIGHT(A1280,1)</f>
        <v>3</v>
      </c>
      <c r="E1280" s="166" t="s">
        <v>1280</v>
      </c>
      <c r="F1280" s="151">
        <f t="shared" si="147"/>
        <v>5</v>
      </c>
      <c r="G1280" s="151" t="str">
        <f t="shared" si="148"/>
        <v>2.3.5</v>
      </c>
      <c r="H1280" s="166" t="s">
        <v>668</v>
      </c>
      <c r="I1280" s="166" t="s">
        <v>95</v>
      </c>
      <c r="J1280" s="166" t="s">
        <v>214</v>
      </c>
      <c r="K1280" s="166" t="s">
        <v>718</v>
      </c>
      <c r="L1280" s="177">
        <v>0</v>
      </c>
      <c r="M1280" s="166">
        <v>0</v>
      </c>
      <c r="N1280" s="166">
        <v>0</v>
      </c>
      <c r="O1280" s="164">
        <f t="shared" si="140"/>
        <v>0</v>
      </c>
      <c r="P1280" s="166">
        <v>0</v>
      </c>
      <c r="Q1280" s="166">
        <v>0</v>
      </c>
      <c r="R1280" s="164">
        <f>$L1280*'Pivot Objective'!$C$9*P1280*Q1280</f>
        <v>0</v>
      </c>
      <c r="S1280" s="166">
        <v>0</v>
      </c>
      <c r="T1280" s="166">
        <v>0</v>
      </c>
      <c r="U1280" s="164">
        <f>($L1280*'Pivot Objective'!$C$9^2)*S1280*T1280</f>
        <v>0</v>
      </c>
      <c r="V1280" s="166">
        <v>0</v>
      </c>
      <c r="W1280" s="166">
        <v>0</v>
      </c>
      <c r="X1280" s="164">
        <f>($L1280*'Pivot Objective'!$C$9^3)*V1280*W1280</f>
        <v>0</v>
      </c>
      <c r="Y1280" s="166">
        <v>0</v>
      </c>
      <c r="Z1280" s="166">
        <v>0</v>
      </c>
      <c r="AA1280" s="164">
        <f>($L1280*'Pivot Objective'!$C$9^4)*Y1280*Z1280</f>
        <v>0</v>
      </c>
      <c r="AB1280" s="166">
        <v>0</v>
      </c>
      <c r="AC1280" s="166">
        <v>0</v>
      </c>
      <c r="AD1280" s="164">
        <f>($L1280*'Pivot Objective'!$C$9^5)*AB1280*AC1280</f>
        <v>0</v>
      </c>
      <c r="AE1280" s="166">
        <v>0</v>
      </c>
      <c r="AF1280" s="166">
        <v>0</v>
      </c>
      <c r="AG1280" s="164">
        <f>($L1280*'Pivot Objective'!$C$9^6)*AE1280*AF1280</f>
        <v>0</v>
      </c>
      <c r="AH1280" s="166">
        <v>0</v>
      </c>
      <c r="AI1280" s="166">
        <v>0</v>
      </c>
      <c r="AJ1280" s="164">
        <f>($L1280*'Pivot Objective'!$C$9^7)*AH1280*AI1280</f>
        <v>0</v>
      </c>
      <c r="AK1280" s="185">
        <f t="shared" si="141"/>
        <v>0</v>
      </c>
      <c r="AL1280" s="186">
        <f t="shared" si="142"/>
        <v>0</v>
      </c>
    </row>
    <row r="1281" spans="1:39" customFormat="1" ht="43.2" x14ac:dyDescent="0.3">
      <c r="A1281" s="140" t="s">
        <v>1482</v>
      </c>
      <c r="B1281" s="140">
        <v>2</v>
      </c>
      <c r="C1281" s="166" t="s">
        <v>983</v>
      </c>
      <c r="D1281" s="140" t="str">
        <f t="shared" si="150"/>
        <v>3</v>
      </c>
      <c r="E1281" s="166" t="s">
        <v>1280</v>
      </c>
      <c r="F1281" s="140">
        <f t="shared" si="147"/>
        <v>5</v>
      </c>
      <c r="G1281" s="140" t="str">
        <f t="shared" si="148"/>
        <v>2.3.5</v>
      </c>
      <c r="H1281" s="166" t="s">
        <v>668</v>
      </c>
      <c r="I1281" s="166" t="s">
        <v>95</v>
      </c>
      <c r="J1281" s="166" t="s">
        <v>234</v>
      </c>
      <c r="K1281" s="166" t="s">
        <v>718</v>
      </c>
      <c r="L1281" s="177">
        <v>0</v>
      </c>
      <c r="M1281" s="166">
        <v>0</v>
      </c>
      <c r="N1281" s="166">
        <v>0</v>
      </c>
      <c r="O1281" s="164">
        <f t="shared" si="140"/>
        <v>0</v>
      </c>
      <c r="P1281" s="166">
        <v>0</v>
      </c>
      <c r="Q1281" s="166">
        <v>0</v>
      </c>
      <c r="R1281" s="164">
        <f>$L1281*'Pivot Objective'!$C$9*P1281*Q1281</f>
        <v>0</v>
      </c>
      <c r="S1281" s="166">
        <v>0</v>
      </c>
      <c r="T1281" s="166">
        <v>0</v>
      </c>
      <c r="U1281" s="164">
        <f>($L1281*'Pivot Objective'!$C$9^2)*S1281*T1281</f>
        <v>0</v>
      </c>
      <c r="V1281" s="166">
        <v>0</v>
      </c>
      <c r="W1281" s="166">
        <v>0</v>
      </c>
      <c r="X1281" s="164">
        <f>($L1281*'Pivot Objective'!$C$9^3)*V1281*W1281</f>
        <v>0</v>
      </c>
      <c r="Y1281" s="166">
        <v>0</v>
      </c>
      <c r="Z1281" s="166">
        <v>0</v>
      </c>
      <c r="AA1281" s="164">
        <f>($L1281*'Pivot Objective'!$C$9^4)*Y1281*Z1281</f>
        <v>0</v>
      </c>
      <c r="AB1281" s="166">
        <v>0</v>
      </c>
      <c r="AC1281" s="166">
        <v>0</v>
      </c>
      <c r="AD1281" s="164">
        <f>($L1281*'Pivot Objective'!$C$9^5)*AB1281*AC1281</f>
        <v>0</v>
      </c>
      <c r="AE1281" s="166">
        <v>0</v>
      </c>
      <c r="AF1281" s="166">
        <v>0</v>
      </c>
      <c r="AG1281" s="164">
        <f>($L1281*'Pivot Objective'!$C$9^6)*AE1281*AF1281</f>
        <v>0</v>
      </c>
      <c r="AH1281" s="166">
        <v>0</v>
      </c>
      <c r="AI1281" s="166">
        <v>0</v>
      </c>
      <c r="AJ1281" s="164">
        <f>($L1281*'Pivot Objective'!$C$9^7)*AH1281*AI1281</f>
        <v>0</v>
      </c>
      <c r="AK1281" s="185">
        <f t="shared" si="141"/>
        <v>0</v>
      </c>
      <c r="AL1281" s="186">
        <f t="shared" si="142"/>
        <v>0</v>
      </c>
    </row>
    <row r="1282" spans="1:39" customFormat="1" ht="43.2" x14ac:dyDescent="0.3">
      <c r="A1282" s="140" t="s">
        <v>1482</v>
      </c>
      <c r="B1282" s="140">
        <v>2</v>
      </c>
      <c r="C1282" s="166" t="s">
        <v>983</v>
      </c>
      <c r="D1282" s="140" t="str">
        <f t="shared" si="150"/>
        <v>3</v>
      </c>
      <c r="E1282" s="166" t="s">
        <v>1280</v>
      </c>
      <c r="F1282" s="140">
        <f t="shared" si="147"/>
        <v>5</v>
      </c>
      <c r="G1282" s="140" t="str">
        <f t="shared" si="148"/>
        <v>2.3.5</v>
      </c>
      <c r="H1282" s="166" t="s">
        <v>668</v>
      </c>
      <c r="I1282" s="166" t="s">
        <v>95</v>
      </c>
      <c r="J1282" s="166" t="s">
        <v>149</v>
      </c>
      <c r="K1282" s="166" t="s">
        <v>707</v>
      </c>
      <c r="L1282" s="177">
        <v>391991.03749999998</v>
      </c>
      <c r="M1282" s="166">
        <v>2</v>
      </c>
      <c r="N1282" s="166">
        <v>2</v>
      </c>
      <c r="O1282" s="164">
        <f t="shared" si="140"/>
        <v>1567964.15</v>
      </c>
      <c r="P1282" s="166">
        <v>0</v>
      </c>
      <c r="Q1282" s="166">
        <v>0</v>
      </c>
      <c r="R1282" s="164">
        <f>$L1282*'Pivot Objective'!$C$9*P1282*Q1282</f>
        <v>0</v>
      </c>
      <c r="S1282" s="166">
        <v>0</v>
      </c>
      <c r="T1282" s="166">
        <v>0</v>
      </c>
      <c r="U1282" s="164">
        <f>($L1282*'Pivot Objective'!$C$9^2)*S1282*T1282</f>
        <v>0</v>
      </c>
      <c r="V1282" s="166">
        <v>0</v>
      </c>
      <c r="W1282" s="166">
        <v>0</v>
      </c>
      <c r="X1282" s="164">
        <f>($L1282*'Pivot Objective'!$C$9^3)*V1282*W1282</f>
        <v>0</v>
      </c>
      <c r="Y1282" s="166">
        <v>0</v>
      </c>
      <c r="Z1282" s="166">
        <v>0</v>
      </c>
      <c r="AA1282" s="164">
        <f>($L1282*'Pivot Objective'!$C$9^4)*Y1282*Z1282</f>
        <v>0</v>
      </c>
      <c r="AB1282" s="166">
        <v>0</v>
      </c>
      <c r="AC1282" s="166">
        <v>0</v>
      </c>
      <c r="AD1282" s="164">
        <f>($L1282*'Pivot Objective'!$C$9^5)*AB1282*AC1282</f>
        <v>0</v>
      </c>
      <c r="AE1282" s="166">
        <v>0</v>
      </c>
      <c r="AF1282" s="166">
        <v>0</v>
      </c>
      <c r="AG1282" s="164">
        <f>($L1282*'Pivot Objective'!$C$9^6)*AE1282*AF1282</f>
        <v>0</v>
      </c>
      <c r="AH1282" s="166">
        <v>0</v>
      </c>
      <c r="AI1282" s="166">
        <v>0</v>
      </c>
      <c r="AJ1282" s="164">
        <f>($L1282*'Pivot Objective'!$C$9^7)*AH1282*AI1282</f>
        <v>0</v>
      </c>
      <c r="AK1282" s="185">
        <f t="shared" si="141"/>
        <v>1567964.15</v>
      </c>
      <c r="AL1282" s="186">
        <f t="shared" si="142"/>
        <v>1522.2952912621358</v>
      </c>
    </row>
    <row r="1283" spans="1:39" customFormat="1" ht="43.2" x14ac:dyDescent="0.3">
      <c r="A1283" s="140" t="s">
        <v>1482</v>
      </c>
      <c r="B1283" s="140">
        <v>2</v>
      </c>
      <c r="C1283" s="166" t="s">
        <v>983</v>
      </c>
      <c r="D1283" s="140" t="str">
        <f t="shared" si="150"/>
        <v>3</v>
      </c>
      <c r="E1283" s="166" t="s">
        <v>1280</v>
      </c>
      <c r="F1283" s="140">
        <f t="shared" si="147"/>
        <v>5</v>
      </c>
      <c r="G1283" s="140" t="str">
        <f t="shared" si="148"/>
        <v>2.3.5</v>
      </c>
      <c r="H1283" s="166" t="s">
        <v>668</v>
      </c>
      <c r="I1283" s="166" t="s">
        <v>95</v>
      </c>
      <c r="J1283" s="166" t="s">
        <v>149</v>
      </c>
      <c r="K1283" s="166" t="s">
        <v>708</v>
      </c>
      <c r="L1283" s="177">
        <f>500*1022</f>
        <v>511000</v>
      </c>
      <c r="M1283" s="166"/>
      <c r="N1283" s="166"/>
      <c r="O1283" s="164">
        <f t="shared" ref="O1283:O1346" si="151">$L1283*M1283*N1283</f>
        <v>0</v>
      </c>
      <c r="P1283" s="166">
        <v>1</v>
      </c>
      <c r="Q1283" s="166">
        <v>25</v>
      </c>
      <c r="R1283" s="164">
        <f>$L1283*'Pivot Objective'!$C$9*P1283*Q1283</f>
        <v>14600817.014174998</v>
      </c>
      <c r="S1283" s="166">
        <v>0</v>
      </c>
      <c r="T1283" s="166">
        <v>0</v>
      </c>
      <c r="U1283" s="164">
        <f>($L1283*'Pivot Objective'!$C$9^2)*S1283*T1283</f>
        <v>0</v>
      </c>
      <c r="V1283" s="166">
        <v>0</v>
      </c>
      <c r="W1283" s="166">
        <v>0</v>
      </c>
      <c r="X1283" s="164">
        <f>($L1283*'Pivot Objective'!$C$9^3)*V1283*W1283</f>
        <v>0</v>
      </c>
      <c r="Y1283" s="166">
        <v>0</v>
      </c>
      <c r="Z1283" s="166">
        <v>0</v>
      </c>
      <c r="AA1283" s="164">
        <f>($L1283*'Pivot Objective'!$C$9^4)*Y1283*Z1283</f>
        <v>0</v>
      </c>
      <c r="AB1283" s="166">
        <v>0</v>
      </c>
      <c r="AC1283" s="166">
        <v>0</v>
      </c>
      <c r="AD1283" s="164">
        <f>($L1283*'Pivot Objective'!$C$9^5)*AB1283*AC1283</f>
        <v>0</v>
      </c>
      <c r="AE1283" s="166">
        <v>1</v>
      </c>
      <c r="AF1283" s="166">
        <v>25</v>
      </c>
      <c r="AG1283" s="164">
        <f>($L1283*'Pivot Objective'!$C$9^6)*AE1283*AF1283</f>
        <v>28474650.681079004</v>
      </c>
      <c r="AH1283" s="166">
        <v>0</v>
      </c>
      <c r="AI1283" s="166">
        <v>0</v>
      </c>
      <c r="AJ1283" s="164">
        <f>($L1283*'Pivot Objective'!$C$9^7)*AH1283*AI1283</f>
        <v>0</v>
      </c>
      <c r="AK1283" s="185">
        <f t="shared" ref="AK1283:AK1346" si="152">O1283+R1283+U1283+X1283+AA1283+AD1283+AG1283+AJ1283</f>
        <v>43075467.695253998</v>
      </c>
      <c r="AL1283" s="186">
        <f t="shared" ref="AL1283:AL1346" si="153">AK1283/$AP$2</f>
        <v>41820.842422576694</v>
      </c>
    </row>
    <row r="1284" spans="1:39" customFormat="1" ht="43.2" x14ac:dyDescent="0.3">
      <c r="A1284" s="140" t="s">
        <v>1482</v>
      </c>
      <c r="B1284" s="140">
        <v>2</v>
      </c>
      <c r="C1284" s="166" t="s">
        <v>983</v>
      </c>
      <c r="D1284" s="140" t="str">
        <f t="shared" si="150"/>
        <v>3</v>
      </c>
      <c r="E1284" s="166" t="s">
        <v>1280</v>
      </c>
      <c r="F1284" s="140">
        <f t="shared" si="147"/>
        <v>5</v>
      </c>
      <c r="G1284" s="140" t="str">
        <f t="shared" si="148"/>
        <v>2.3.5</v>
      </c>
      <c r="H1284" s="166" t="s">
        <v>668</v>
      </c>
      <c r="I1284" s="166" t="s">
        <v>95</v>
      </c>
      <c r="J1284" s="166" t="s">
        <v>491</v>
      </c>
      <c r="K1284" s="166" t="s">
        <v>709</v>
      </c>
      <c r="L1284" s="177">
        <v>0</v>
      </c>
      <c r="M1284" s="166"/>
      <c r="N1284" s="166"/>
      <c r="O1284" s="164">
        <f t="shared" si="151"/>
        <v>0</v>
      </c>
      <c r="P1284" s="166">
        <v>0</v>
      </c>
      <c r="Q1284" s="166">
        <v>0</v>
      </c>
      <c r="R1284" s="164">
        <f>$L1284*'Pivot Objective'!$C$9*P1284*Q1284</f>
        <v>0</v>
      </c>
      <c r="S1284" s="166">
        <v>0</v>
      </c>
      <c r="T1284" s="166">
        <v>0</v>
      </c>
      <c r="U1284" s="164">
        <f>($L1284*'Pivot Objective'!$C$9^2)*S1284*T1284</f>
        <v>0</v>
      </c>
      <c r="V1284" s="166">
        <v>0</v>
      </c>
      <c r="W1284" s="166">
        <v>0</v>
      </c>
      <c r="X1284" s="164">
        <f>($L1284*'Pivot Objective'!$C$9^3)*V1284*W1284</f>
        <v>0</v>
      </c>
      <c r="Y1284" s="166">
        <v>0</v>
      </c>
      <c r="Z1284" s="166">
        <v>0</v>
      </c>
      <c r="AA1284" s="164">
        <f>($L1284*'Pivot Objective'!$C$9^4)*Y1284*Z1284</f>
        <v>0</v>
      </c>
      <c r="AB1284" s="166">
        <v>0</v>
      </c>
      <c r="AC1284" s="166">
        <v>0</v>
      </c>
      <c r="AD1284" s="164">
        <f>($L1284*'Pivot Objective'!$C$9^5)*AB1284*AC1284</f>
        <v>0</v>
      </c>
      <c r="AE1284" s="166">
        <v>0</v>
      </c>
      <c r="AF1284" s="166">
        <v>0</v>
      </c>
      <c r="AG1284" s="164">
        <f>($L1284*'Pivot Objective'!$C$9^6)*AE1284*AF1284</f>
        <v>0</v>
      </c>
      <c r="AH1284" s="166">
        <v>0</v>
      </c>
      <c r="AI1284" s="166">
        <v>0</v>
      </c>
      <c r="AJ1284" s="164">
        <f>($L1284*'Pivot Objective'!$C$9^7)*AH1284*AI1284</f>
        <v>0</v>
      </c>
      <c r="AK1284" s="185">
        <f t="shared" si="152"/>
        <v>0</v>
      </c>
      <c r="AL1284" s="186">
        <f t="shared" si="153"/>
        <v>0</v>
      </c>
    </row>
    <row r="1285" spans="1:39" customFormat="1" ht="43.2" x14ac:dyDescent="0.3">
      <c r="A1285" s="140" t="s">
        <v>1482</v>
      </c>
      <c r="B1285" s="140">
        <v>2</v>
      </c>
      <c r="C1285" s="166" t="s">
        <v>983</v>
      </c>
      <c r="D1285" s="140" t="str">
        <f t="shared" si="150"/>
        <v>3</v>
      </c>
      <c r="E1285" s="166" t="s">
        <v>1280</v>
      </c>
      <c r="F1285" s="140">
        <f t="shared" si="147"/>
        <v>5</v>
      </c>
      <c r="G1285" s="140" t="str">
        <f t="shared" si="148"/>
        <v>2.3.5</v>
      </c>
      <c r="H1285" s="166" t="s">
        <v>668</v>
      </c>
      <c r="I1285" s="166" t="s">
        <v>95</v>
      </c>
      <c r="J1285" s="166" t="s">
        <v>493</v>
      </c>
      <c r="K1285" s="166" t="s">
        <v>713</v>
      </c>
      <c r="L1285" s="177">
        <v>45000</v>
      </c>
      <c r="M1285" s="166"/>
      <c r="N1285" s="166"/>
      <c r="O1285" s="164">
        <f t="shared" si="151"/>
        <v>0</v>
      </c>
      <c r="P1285" s="166">
        <v>30</v>
      </c>
      <c r="Q1285" s="166">
        <v>6</v>
      </c>
      <c r="R1285" s="164">
        <f>$L1285*'Pivot Objective'!$C$9*P1285*Q1285</f>
        <v>9257660.8856999986</v>
      </c>
      <c r="S1285" s="166">
        <v>0</v>
      </c>
      <c r="T1285" s="166">
        <v>0</v>
      </c>
      <c r="U1285" s="164">
        <f>($L1285*'Pivot Objective'!$C$9^2)*S1285*T1285</f>
        <v>0</v>
      </c>
      <c r="V1285" s="166">
        <v>0</v>
      </c>
      <c r="W1285" s="166">
        <v>0</v>
      </c>
      <c r="X1285" s="164">
        <f>($L1285*'Pivot Objective'!$C$9^3)*V1285*W1285</f>
        <v>0</v>
      </c>
      <c r="Y1285" s="166">
        <v>0</v>
      </c>
      <c r="Z1285" s="166">
        <v>0</v>
      </c>
      <c r="AA1285" s="164">
        <f>($L1285*'Pivot Objective'!$C$9^4)*Y1285*Z1285</f>
        <v>0</v>
      </c>
      <c r="AB1285" s="166">
        <v>0</v>
      </c>
      <c r="AC1285" s="166">
        <v>0</v>
      </c>
      <c r="AD1285" s="164">
        <f>($L1285*'Pivot Objective'!$C$9^5)*AB1285*AC1285</f>
        <v>0</v>
      </c>
      <c r="AE1285" s="166">
        <v>30</v>
      </c>
      <c r="AF1285" s="166">
        <v>6</v>
      </c>
      <c r="AG1285" s="164">
        <f>($L1285*'Pivot Objective'!$C$9^6)*AE1285*AF1285</f>
        <v>18054377.339862227</v>
      </c>
      <c r="AH1285" s="166">
        <v>0</v>
      </c>
      <c r="AI1285" s="166">
        <v>0</v>
      </c>
      <c r="AJ1285" s="164">
        <f>($L1285*'Pivot Objective'!$C$9^7)*AH1285*AI1285</f>
        <v>0</v>
      </c>
      <c r="AK1285" s="185">
        <f t="shared" si="152"/>
        <v>27312038.225562226</v>
      </c>
      <c r="AL1285" s="186">
        <f t="shared" si="153"/>
        <v>26516.541966565266</v>
      </c>
    </row>
    <row r="1286" spans="1:39" customFormat="1" ht="43.2" x14ac:dyDescent="0.3">
      <c r="A1286" s="140" t="s">
        <v>1482</v>
      </c>
      <c r="B1286" s="140">
        <v>2</v>
      </c>
      <c r="C1286" s="166" t="s">
        <v>983</v>
      </c>
      <c r="D1286" s="140" t="str">
        <f t="shared" si="150"/>
        <v>3</v>
      </c>
      <c r="E1286" s="166" t="s">
        <v>1280</v>
      </c>
      <c r="F1286" s="140">
        <f t="shared" si="147"/>
        <v>5</v>
      </c>
      <c r="G1286" s="140" t="str">
        <f t="shared" si="148"/>
        <v>2.3.5</v>
      </c>
      <c r="H1286" s="166" t="s">
        <v>668</v>
      </c>
      <c r="I1286" s="166" t="s">
        <v>95</v>
      </c>
      <c r="J1286" s="166" t="s">
        <v>493</v>
      </c>
      <c r="K1286" s="166" t="s">
        <v>712</v>
      </c>
      <c r="L1286" s="177">
        <f>1480/7</f>
        <v>211.42857142857142</v>
      </c>
      <c r="M1286" s="166"/>
      <c r="N1286" s="166"/>
      <c r="O1286" s="164">
        <f t="shared" si="151"/>
        <v>0</v>
      </c>
      <c r="P1286" s="166">
        <v>500</v>
      </c>
      <c r="Q1286" s="166">
        <v>5</v>
      </c>
      <c r="R1286" s="164">
        <f>$L1286*'Pivot Objective'!$C$9*P1286*Q1286</f>
        <v>604115.43698571413</v>
      </c>
      <c r="S1286" s="166">
        <v>0</v>
      </c>
      <c r="T1286" s="166">
        <v>0</v>
      </c>
      <c r="U1286" s="164">
        <f>($L1286*'Pivot Objective'!$C$9^2)*S1286*T1286</f>
        <v>0</v>
      </c>
      <c r="V1286" s="166">
        <v>0</v>
      </c>
      <c r="W1286" s="166">
        <v>0</v>
      </c>
      <c r="X1286" s="164">
        <f>($L1286*'Pivot Objective'!$C$9^3)*V1286*W1286</f>
        <v>0</v>
      </c>
      <c r="Y1286" s="166">
        <v>0</v>
      </c>
      <c r="Z1286" s="166">
        <v>0</v>
      </c>
      <c r="AA1286" s="164">
        <f>($L1286*'Pivot Objective'!$C$9^4)*Y1286*Z1286</f>
        <v>0</v>
      </c>
      <c r="AB1286" s="166">
        <v>0</v>
      </c>
      <c r="AC1286" s="166">
        <v>0</v>
      </c>
      <c r="AD1286" s="164">
        <f>($L1286*'Pivot Objective'!$C$9^5)*AB1286*AC1286</f>
        <v>0</v>
      </c>
      <c r="AE1286" s="166">
        <v>500</v>
      </c>
      <c r="AF1286" s="166">
        <v>5</v>
      </c>
      <c r="AG1286" s="164">
        <f>($L1286*'Pivot Objective'!$C$9^6)*AE1286*AF1286</f>
        <v>1178151.6077158772</v>
      </c>
      <c r="AH1286" s="166">
        <v>0</v>
      </c>
      <c r="AI1286" s="166">
        <v>0</v>
      </c>
      <c r="AJ1286" s="164">
        <f>($L1286*'Pivot Objective'!$C$9^7)*AH1286*AI1286</f>
        <v>0</v>
      </c>
      <c r="AK1286" s="185">
        <f t="shared" si="152"/>
        <v>1782267.0447015914</v>
      </c>
      <c r="AL1286" s="186">
        <f t="shared" si="153"/>
        <v>1730.356354079215</v>
      </c>
    </row>
    <row r="1287" spans="1:39" customFormat="1" ht="43.2" x14ac:dyDescent="0.3">
      <c r="A1287" s="140" t="s">
        <v>1482</v>
      </c>
      <c r="B1287" s="140">
        <v>2</v>
      </c>
      <c r="C1287" s="166" t="s">
        <v>983</v>
      </c>
      <c r="D1287" s="140" t="str">
        <f t="shared" si="150"/>
        <v>3</v>
      </c>
      <c r="E1287" s="166" t="s">
        <v>1280</v>
      </c>
      <c r="F1287" s="140">
        <f t="shared" si="147"/>
        <v>5</v>
      </c>
      <c r="G1287" s="140" t="str">
        <f t="shared" si="148"/>
        <v>2.3.5</v>
      </c>
      <c r="H1287" s="166" t="s">
        <v>668</v>
      </c>
      <c r="I1287" s="166" t="s">
        <v>95</v>
      </c>
      <c r="J1287" s="166" t="s">
        <v>232</v>
      </c>
      <c r="K1287" s="166" t="s">
        <v>718</v>
      </c>
      <c r="L1287" s="177">
        <v>0</v>
      </c>
      <c r="M1287" s="166">
        <v>0</v>
      </c>
      <c r="N1287" s="166">
        <v>0</v>
      </c>
      <c r="O1287" s="164">
        <f t="shared" si="151"/>
        <v>0</v>
      </c>
      <c r="P1287" s="166">
        <v>0</v>
      </c>
      <c r="Q1287" s="166">
        <v>0</v>
      </c>
      <c r="R1287" s="164">
        <f>$L1287*'Pivot Objective'!$C$9*P1287*Q1287</f>
        <v>0</v>
      </c>
      <c r="S1287" s="166">
        <v>0</v>
      </c>
      <c r="T1287" s="166">
        <v>0</v>
      </c>
      <c r="U1287" s="164">
        <f>($L1287*'Pivot Objective'!$C$9^2)*S1287*T1287</f>
        <v>0</v>
      </c>
      <c r="V1287" s="166">
        <v>0</v>
      </c>
      <c r="W1287" s="166">
        <v>0</v>
      </c>
      <c r="X1287" s="164">
        <f>($L1287*'Pivot Objective'!$C$9^3)*V1287*W1287</f>
        <v>0</v>
      </c>
      <c r="Y1287" s="166">
        <v>0</v>
      </c>
      <c r="Z1287" s="166">
        <v>0</v>
      </c>
      <c r="AA1287" s="164">
        <f>($L1287*'Pivot Objective'!$C$9^4)*Y1287*Z1287</f>
        <v>0</v>
      </c>
      <c r="AB1287" s="166">
        <v>0</v>
      </c>
      <c r="AC1287" s="166">
        <v>0</v>
      </c>
      <c r="AD1287" s="164">
        <f>($L1287*'Pivot Objective'!$C$9^5)*AB1287*AC1287</f>
        <v>0</v>
      </c>
      <c r="AE1287" s="166">
        <v>0</v>
      </c>
      <c r="AF1287" s="166">
        <v>0</v>
      </c>
      <c r="AG1287" s="164">
        <f>($L1287*'Pivot Objective'!$C$9^6)*AE1287*AF1287</f>
        <v>0</v>
      </c>
      <c r="AH1287" s="166">
        <v>0</v>
      </c>
      <c r="AI1287" s="166">
        <v>0</v>
      </c>
      <c r="AJ1287" s="164">
        <f>($L1287*'Pivot Objective'!$C$9^7)*AH1287*AI1287</f>
        <v>0</v>
      </c>
      <c r="AK1287" s="185">
        <f t="shared" si="152"/>
        <v>0</v>
      </c>
      <c r="AL1287" s="186">
        <f t="shared" si="153"/>
        <v>0</v>
      </c>
    </row>
    <row r="1288" spans="1:39" customFormat="1" ht="43.2" x14ac:dyDescent="0.3">
      <c r="A1288" s="140" t="s">
        <v>1482</v>
      </c>
      <c r="B1288" s="140">
        <v>2</v>
      </c>
      <c r="C1288" s="166" t="s">
        <v>983</v>
      </c>
      <c r="D1288" s="140" t="str">
        <f t="shared" si="150"/>
        <v>3</v>
      </c>
      <c r="E1288" s="166" t="s">
        <v>1280</v>
      </c>
      <c r="F1288" s="140">
        <f t="shared" si="147"/>
        <v>5</v>
      </c>
      <c r="G1288" s="140" t="str">
        <f t="shared" si="148"/>
        <v>2.3.5</v>
      </c>
      <c r="H1288" s="166" t="s">
        <v>668</v>
      </c>
      <c r="I1288" s="166" t="s">
        <v>95</v>
      </c>
      <c r="J1288" s="166" t="s">
        <v>494</v>
      </c>
      <c r="K1288" s="166" t="s">
        <v>709</v>
      </c>
      <c r="L1288" s="177">
        <v>35000</v>
      </c>
      <c r="M1288" s="140"/>
      <c r="N1288" s="140"/>
      <c r="O1288" s="164">
        <f t="shared" si="151"/>
        <v>0</v>
      </c>
      <c r="P1288" s="166">
        <v>100</v>
      </c>
      <c r="Q1288" s="166">
        <v>5</v>
      </c>
      <c r="R1288" s="164">
        <f>$L1288*'Pivot Objective'!$C$9*P1288*Q1288</f>
        <v>20001119.197499998</v>
      </c>
      <c r="S1288" s="166">
        <v>0</v>
      </c>
      <c r="T1288" s="166">
        <v>0</v>
      </c>
      <c r="U1288" s="164">
        <f>($L1288*'Pivot Objective'!$C$9^2)*S1288*T1288</f>
        <v>0</v>
      </c>
      <c r="V1288" s="166">
        <v>0</v>
      </c>
      <c r="W1288" s="166">
        <v>0</v>
      </c>
      <c r="X1288" s="164">
        <f>($L1288*'Pivot Objective'!$C$9^3)*V1288*W1288</f>
        <v>0</v>
      </c>
      <c r="Y1288" s="166">
        <v>0</v>
      </c>
      <c r="Z1288" s="166">
        <v>0</v>
      </c>
      <c r="AA1288" s="164">
        <f>($L1288*'Pivot Objective'!$C$9^4)*Y1288*Z1288</f>
        <v>0</v>
      </c>
      <c r="AB1288" s="166">
        <v>0</v>
      </c>
      <c r="AC1288" s="166">
        <v>0</v>
      </c>
      <c r="AD1288" s="164">
        <f>($L1288*'Pivot Objective'!$C$9^5)*AB1288*AC1288</f>
        <v>0</v>
      </c>
      <c r="AE1288" s="166">
        <v>100</v>
      </c>
      <c r="AF1288" s="166">
        <v>5</v>
      </c>
      <c r="AG1288" s="164">
        <f>($L1288*'Pivot Objective'!$C$9^6)*AE1288*AF1288</f>
        <v>39006370.795998633</v>
      </c>
      <c r="AH1288" s="166">
        <v>0</v>
      </c>
      <c r="AI1288" s="166">
        <v>0</v>
      </c>
      <c r="AJ1288" s="164">
        <f>($L1288*'Pivot Objective'!$C$9^7)*AH1288*AI1288</f>
        <v>0</v>
      </c>
      <c r="AK1288" s="185">
        <f t="shared" si="152"/>
        <v>59007489.993498631</v>
      </c>
      <c r="AL1288" s="186">
        <f t="shared" si="153"/>
        <v>57288.825236406439</v>
      </c>
    </row>
    <row r="1289" spans="1:39" customFormat="1" ht="43.2" x14ac:dyDescent="0.3">
      <c r="A1289" s="140" t="s">
        <v>1482</v>
      </c>
      <c r="B1289" s="140">
        <v>2</v>
      </c>
      <c r="C1289" s="166" t="s">
        <v>983</v>
      </c>
      <c r="D1289" s="140" t="str">
        <f t="shared" si="150"/>
        <v>3</v>
      </c>
      <c r="E1289" s="166" t="s">
        <v>1280</v>
      </c>
      <c r="F1289" s="140">
        <f t="shared" si="147"/>
        <v>5</v>
      </c>
      <c r="G1289" s="140" t="str">
        <f t="shared" si="148"/>
        <v>2.3.5</v>
      </c>
      <c r="H1289" s="166" t="s">
        <v>668</v>
      </c>
      <c r="I1289" s="166" t="s">
        <v>95</v>
      </c>
      <c r="J1289" s="166" t="s">
        <v>494</v>
      </c>
      <c r="K1289" s="166" t="s">
        <v>716</v>
      </c>
      <c r="L1289" s="177">
        <v>39000</v>
      </c>
      <c r="M1289" s="140"/>
      <c r="N1289" s="140"/>
      <c r="O1289" s="164">
        <f t="shared" si="151"/>
        <v>0</v>
      </c>
      <c r="P1289" s="166">
        <v>58</v>
      </c>
      <c r="Q1289" s="166">
        <v>6</v>
      </c>
      <c r="R1289" s="164">
        <f>$L1289*'Pivot Objective'!$C$9*P1289*Q1289</f>
        <v>15511725.128483998</v>
      </c>
      <c r="S1289" s="166">
        <v>0</v>
      </c>
      <c r="T1289" s="166">
        <v>0</v>
      </c>
      <c r="U1289" s="164">
        <f>($L1289*'Pivot Objective'!$C$9^2)*S1289*T1289</f>
        <v>0</v>
      </c>
      <c r="V1289" s="166">
        <v>0</v>
      </c>
      <c r="W1289" s="166">
        <v>0</v>
      </c>
      <c r="X1289" s="164">
        <f>($L1289*'Pivot Objective'!$C$9^3)*V1289*W1289</f>
        <v>0</v>
      </c>
      <c r="Y1289" s="166">
        <v>0</v>
      </c>
      <c r="Z1289" s="166">
        <v>0</v>
      </c>
      <c r="AA1289" s="164">
        <f>($L1289*'Pivot Objective'!$C$9^4)*Y1289*Z1289</f>
        <v>0</v>
      </c>
      <c r="AB1289" s="166">
        <v>0</v>
      </c>
      <c r="AC1289" s="166">
        <v>0</v>
      </c>
      <c r="AD1289" s="164">
        <f>($L1289*'Pivot Objective'!$C$9^5)*AB1289*AC1289</f>
        <v>0</v>
      </c>
      <c r="AE1289" s="166">
        <v>58</v>
      </c>
      <c r="AF1289" s="166">
        <v>6</v>
      </c>
      <c r="AG1289" s="164">
        <f>($L1289*'Pivot Objective'!$C$9^6)*AE1289*AF1289</f>
        <v>30251112.253902487</v>
      </c>
      <c r="AH1289" s="166">
        <v>0</v>
      </c>
      <c r="AI1289" s="166">
        <v>0</v>
      </c>
      <c r="AJ1289" s="164">
        <f>($L1289*'Pivot Objective'!$C$9^7)*AH1289*AI1289</f>
        <v>0</v>
      </c>
      <c r="AK1289" s="185">
        <f t="shared" si="152"/>
        <v>45762837.382386483</v>
      </c>
      <c r="AL1289" s="186">
        <f t="shared" si="153"/>
        <v>44429.93920620047</v>
      </c>
    </row>
    <row r="1290" spans="1:39" customFormat="1" ht="43.2" x14ac:dyDescent="0.3">
      <c r="A1290" s="140" t="s">
        <v>1482</v>
      </c>
      <c r="B1290" s="140">
        <v>2</v>
      </c>
      <c r="C1290" s="166" t="s">
        <v>983</v>
      </c>
      <c r="D1290" s="140" t="str">
        <f t="shared" si="150"/>
        <v>3</v>
      </c>
      <c r="E1290" s="166" t="s">
        <v>1280</v>
      </c>
      <c r="F1290" s="140">
        <f t="shared" si="147"/>
        <v>5</v>
      </c>
      <c r="G1290" s="140" t="str">
        <f t="shared" si="148"/>
        <v>2.3.5</v>
      </c>
      <c r="H1290" s="166" t="s">
        <v>668</v>
      </c>
      <c r="I1290" s="166" t="s">
        <v>95</v>
      </c>
      <c r="J1290" s="166" t="s">
        <v>494</v>
      </c>
      <c r="K1290" s="166" t="s">
        <v>1371</v>
      </c>
      <c r="L1290" s="177">
        <f>1480/7</f>
        <v>211.42857142857142</v>
      </c>
      <c r="M1290" s="140"/>
      <c r="N1290" s="140"/>
      <c r="O1290" s="164">
        <f t="shared" si="151"/>
        <v>0</v>
      </c>
      <c r="P1290" s="166">
        <f>135*2*29</f>
        <v>7830</v>
      </c>
      <c r="Q1290" s="166">
        <v>1</v>
      </c>
      <c r="R1290" s="164">
        <f>$L1290*'Pivot Objective'!$C$9*P1290*Q1290</f>
        <v>1892089.548639257</v>
      </c>
      <c r="S1290" s="166">
        <v>0</v>
      </c>
      <c r="T1290" s="166">
        <v>0</v>
      </c>
      <c r="U1290" s="164">
        <f>($L1290*'Pivot Objective'!$C$9^2)*S1290*T1290</f>
        <v>0</v>
      </c>
      <c r="V1290" s="166">
        <v>0</v>
      </c>
      <c r="W1290" s="166">
        <v>0</v>
      </c>
      <c r="X1290" s="164">
        <f>($L1290*'Pivot Objective'!$C$9^3)*V1290*W1290</f>
        <v>0</v>
      </c>
      <c r="Y1290" s="166">
        <v>0</v>
      </c>
      <c r="Z1290" s="166">
        <v>0</v>
      </c>
      <c r="AA1290" s="164">
        <f>($L1290*'Pivot Objective'!$C$9^4)*Y1290*Z1290</f>
        <v>0</v>
      </c>
      <c r="AB1290" s="166">
        <v>0</v>
      </c>
      <c r="AC1290" s="166">
        <v>0</v>
      </c>
      <c r="AD1290" s="164">
        <f>($L1290*'Pivot Objective'!$C$9^5)*AB1290*AC1290</f>
        <v>0</v>
      </c>
      <c r="AE1290" s="166">
        <v>7830</v>
      </c>
      <c r="AF1290" s="166">
        <v>1</v>
      </c>
      <c r="AG1290" s="164">
        <f>($L1290*'Pivot Objective'!$C$9^6)*AE1290*AF1290</f>
        <v>3689970.8353661271</v>
      </c>
      <c r="AH1290" s="166">
        <v>0</v>
      </c>
      <c r="AI1290" s="166">
        <v>0</v>
      </c>
      <c r="AJ1290" s="164">
        <f>($L1290*'Pivot Objective'!$C$9^7)*AH1290*AI1290</f>
        <v>0</v>
      </c>
      <c r="AK1290" s="185">
        <f t="shared" si="152"/>
        <v>5582060.3840053845</v>
      </c>
      <c r="AL1290" s="186">
        <f t="shared" si="153"/>
        <v>5419.4761009761014</v>
      </c>
    </row>
    <row r="1291" spans="1:39" customFormat="1" ht="43.2" x14ac:dyDescent="0.3">
      <c r="A1291" s="140" t="s">
        <v>1482</v>
      </c>
      <c r="B1291" s="140">
        <v>2</v>
      </c>
      <c r="C1291" s="166" t="s">
        <v>983</v>
      </c>
      <c r="D1291" s="140" t="str">
        <f t="shared" si="150"/>
        <v>3</v>
      </c>
      <c r="E1291" s="166" t="s">
        <v>1280</v>
      </c>
      <c r="F1291" s="140">
        <f t="shared" si="147"/>
        <v>5</v>
      </c>
      <c r="G1291" s="140" t="str">
        <f t="shared" si="148"/>
        <v>2.3.5</v>
      </c>
      <c r="H1291" s="166" t="s">
        <v>668</v>
      </c>
      <c r="I1291" s="166" t="s">
        <v>95</v>
      </c>
      <c r="J1291" s="166" t="s">
        <v>494</v>
      </c>
      <c r="K1291" s="166" t="s">
        <v>712</v>
      </c>
      <c r="L1291" s="177">
        <f>1480/7</f>
        <v>211.42857142857142</v>
      </c>
      <c r="M1291" s="140"/>
      <c r="N1291" s="140"/>
      <c r="O1291" s="164">
        <f t="shared" si="151"/>
        <v>0</v>
      </c>
      <c r="P1291" s="166">
        <f>25*2*29</f>
        <v>1450</v>
      </c>
      <c r="Q1291" s="166">
        <v>5</v>
      </c>
      <c r="R1291" s="164">
        <f>$L1291*'Pivot Objective'!$C$9*P1291*Q1291</f>
        <v>1751934.7672585712</v>
      </c>
      <c r="S1291" s="166">
        <v>0</v>
      </c>
      <c r="T1291" s="166">
        <v>0</v>
      </c>
      <c r="U1291" s="164">
        <f>($L1291*'Pivot Objective'!$C$9^2)*S1291*T1291</f>
        <v>0</v>
      </c>
      <c r="V1291" s="166">
        <v>0</v>
      </c>
      <c r="W1291" s="166">
        <v>0</v>
      </c>
      <c r="X1291" s="164">
        <f>($L1291*'Pivot Objective'!$C$9^3)*V1291*W1291</f>
        <v>0</v>
      </c>
      <c r="Y1291" s="166">
        <v>0</v>
      </c>
      <c r="Z1291" s="166">
        <v>0</v>
      </c>
      <c r="AA1291" s="164">
        <f>($L1291*'Pivot Objective'!$C$9^4)*Y1291*Z1291</f>
        <v>0</v>
      </c>
      <c r="AB1291" s="166">
        <v>0</v>
      </c>
      <c r="AC1291" s="166">
        <v>0</v>
      </c>
      <c r="AD1291" s="164">
        <f>($L1291*'Pivot Objective'!$C$9^5)*AB1291*AC1291</f>
        <v>0</v>
      </c>
      <c r="AE1291" s="166">
        <v>1450</v>
      </c>
      <c r="AF1291" s="166">
        <v>5</v>
      </c>
      <c r="AG1291" s="164">
        <f>($L1291*'Pivot Objective'!$C$9^6)*AE1291*AF1291</f>
        <v>3416639.6623760439</v>
      </c>
      <c r="AH1291" s="166">
        <v>0</v>
      </c>
      <c r="AI1291" s="166">
        <v>0</v>
      </c>
      <c r="AJ1291" s="164">
        <f>($L1291*'Pivot Objective'!$C$9^7)*AH1291*AI1291</f>
        <v>0</v>
      </c>
      <c r="AK1291" s="185">
        <f t="shared" si="152"/>
        <v>5168574.4296346148</v>
      </c>
      <c r="AL1291" s="186">
        <f t="shared" si="153"/>
        <v>5018.0334268297229</v>
      </c>
    </row>
    <row r="1292" spans="1:39" customFormat="1" ht="43.2" x14ac:dyDescent="0.3">
      <c r="A1292" s="140" t="s">
        <v>1482</v>
      </c>
      <c r="B1292" s="140">
        <v>2</v>
      </c>
      <c r="C1292" s="166" t="s">
        <v>983</v>
      </c>
      <c r="D1292" s="140" t="str">
        <f t="shared" si="150"/>
        <v>3</v>
      </c>
      <c r="E1292" s="166" t="s">
        <v>1280</v>
      </c>
      <c r="F1292" s="140">
        <f t="shared" si="147"/>
        <v>5</v>
      </c>
      <c r="G1292" s="140" t="str">
        <f t="shared" si="148"/>
        <v>2.3.5</v>
      </c>
      <c r="H1292" s="166" t="s">
        <v>668</v>
      </c>
      <c r="I1292" s="166" t="s">
        <v>95</v>
      </c>
      <c r="J1292" s="166" t="s">
        <v>434</v>
      </c>
      <c r="K1292" s="166" t="s">
        <v>1297</v>
      </c>
      <c r="L1292" s="177">
        <v>8000</v>
      </c>
      <c r="M1292" s="140"/>
      <c r="N1292" s="140"/>
      <c r="O1292" s="164">
        <f t="shared" si="151"/>
        <v>0</v>
      </c>
      <c r="P1292" s="166">
        <v>5</v>
      </c>
      <c r="Q1292" s="166">
        <v>1</v>
      </c>
      <c r="R1292" s="164">
        <f>$L1292*'Pivot Objective'!$C$9*P1292*Q1292</f>
        <v>45716.84388</v>
      </c>
      <c r="S1292" s="166">
        <v>0</v>
      </c>
      <c r="T1292" s="166">
        <v>0</v>
      </c>
      <c r="U1292" s="164">
        <f>($L1292*'Pivot Objective'!$C$9^2)*S1292*T1292</f>
        <v>0</v>
      </c>
      <c r="V1292" s="166">
        <v>0</v>
      </c>
      <c r="W1292" s="166">
        <v>0</v>
      </c>
      <c r="X1292" s="164">
        <f>($L1292*'Pivot Objective'!$C$9^3)*V1292*W1292</f>
        <v>0</v>
      </c>
      <c r="Y1292" s="166">
        <v>0</v>
      </c>
      <c r="Z1292" s="166">
        <v>0</v>
      </c>
      <c r="AA1292" s="164">
        <f>($L1292*'Pivot Objective'!$C$9^4)*Y1292*Z1292</f>
        <v>0</v>
      </c>
      <c r="AB1292" s="166">
        <v>0</v>
      </c>
      <c r="AC1292" s="166">
        <v>0</v>
      </c>
      <c r="AD1292" s="164">
        <f>($L1292*'Pivot Objective'!$C$9^5)*AB1292*AC1292</f>
        <v>0</v>
      </c>
      <c r="AE1292" s="166">
        <v>5</v>
      </c>
      <c r="AF1292" s="166">
        <v>1</v>
      </c>
      <c r="AG1292" s="164">
        <f>($L1292*'Pivot Objective'!$C$9^6)*AE1292*AF1292</f>
        <v>89157.418962282609</v>
      </c>
      <c r="AH1292" s="166">
        <v>0</v>
      </c>
      <c r="AI1292" s="166">
        <v>0</v>
      </c>
      <c r="AJ1292" s="164">
        <f>($L1292*'Pivot Objective'!$C$9^7)*AH1292*AI1292</f>
        <v>0</v>
      </c>
      <c r="AK1292" s="185">
        <f t="shared" si="152"/>
        <v>134874.26284228259</v>
      </c>
      <c r="AL1292" s="186">
        <f t="shared" si="153"/>
        <v>130.94588625464328</v>
      </c>
    </row>
    <row r="1293" spans="1:39" ht="43.2" x14ac:dyDescent="0.3">
      <c r="A1293" s="151" t="s">
        <v>1482</v>
      </c>
      <c r="B1293" s="151">
        <v>2</v>
      </c>
      <c r="C1293" s="166" t="s">
        <v>983</v>
      </c>
      <c r="D1293" s="151" t="str">
        <f t="shared" ref="D1293:D1302" si="154">RIGHT(A1293,1)</f>
        <v>3</v>
      </c>
      <c r="E1293" s="166" t="s">
        <v>1280</v>
      </c>
      <c r="F1293" s="140">
        <f t="shared" si="147"/>
        <v>6</v>
      </c>
      <c r="G1293" s="140" t="str">
        <f t="shared" si="148"/>
        <v>2.3.6</v>
      </c>
      <c r="H1293" s="156" t="s">
        <v>1610</v>
      </c>
      <c r="I1293" s="159" t="s">
        <v>1611</v>
      </c>
      <c r="J1293" s="159" t="s">
        <v>841</v>
      </c>
      <c r="K1293" s="159">
        <v>0</v>
      </c>
      <c r="L1293" s="160">
        <v>0</v>
      </c>
      <c r="M1293" s="161"/>
      <c r="N1293" s="161">
        <v>0</v>
      </c>
      <c r="O1293" s="164">
        <f t="shared" si="151"/>
        <v>0</v>
      </c>
      <c r="P1293" s="161">
        <v>0</v>
      </c>
      <c r="Q1293" s="161">
        <v>0</v>
      </c>
      <c r="R1293" s="164">
        <f>$L1293*'Pivot Objective'!$C$9*P1293*Q1293</f>
        <v>0</v>
      </c>
      <c r="S1293" s="161">
        <v>0</v>
      </c>
      <c r="T1293" s="161">
        <v>0</v>
      </c>
      <c r="U1293" s="164">
        <f>($L1293*'Pivot Objective'!$C$9^2)*S1293*T1293</f>
        <v>0</v>
      </c>
      <c r="V1293" s="161">
        <v>0</v>
      </c>
      <c r="W1293" s="161">
        <v>0</v>
      </c>
      <c r="X1293" s="164">
        <f>($L1293*'Pivot Objective'!$C$9^3)*V1293*W1293</f>
        <v>0</v>
      </c>
      <c r="Y1293" s="161">
        <v>0</v>
      </c>
      <c r="Z1293" s="161">
        <v>0</v>
      </c>
      <c r="AA1293" s="164">
        <f>($L1293*'Pivot Objective'!$C$9^4)*Y1293*Z1293</f>
        <v>0</v>
      </c>
      <c r="AB1293" s="151">
        <v>0</v>
      </c>
      <c r="AC1293" s="151">
        <v>0</v>
      </c>
      <c r="AD1293" s="164">
        <f>($L1293*'Pivot Objective'!$C$9^5)*AB1293*AC1293</f>
        <v>0</v>
      </c>
      <c r="AE1293" s="151">
        <v>0</v>
      </c>
      <c r="AF1293" s="151">
        <v>0</v>
      </c>
      <c r="AG1293" s="164">
        <f>($L1293*'Pivot Objective'!$C$9^6)*AE1293*AF1293</f>
        <v>0</v>
      </c>
      <c r="AH1293" s="151">
        <v>0</v>
      </c>
      <c r="AI1293" s="151">
        <v>0</v>
      </c>
      <c r="AJ1293" s="164">
        <f>($L1293*'Pivot Objective'!$C$9^7)*AH1293*AI1293</f>
        <v>0</v>
      </c>
      <c r="AK1293" s="185">
        <f t="shared" si="152"/>
        <v>0</v>
      </c>
      <c r="AL1293" s="186">
        <f t="shared" si="153"/>
        <v>0</v>
      </c>
      <c r="AM1293" s="157"/>
    </row>
    <row r="1294" spans="1:39" ht="43.2" x14ac:dyDescent="0.3">
      <c r="A1294" s="151" t="s">
        <v>1482</v>
      </c>
      <c r="B1294" s="151">
        <v>2</v>
      </c>
      <c r="C1294" s="166" t="s">
        <v>983</v>
      </c>
      <c r="D1294" s="151" t="str">
        <f t="shared" si="154"/>
        <v>3</v>
      </c>
      <c r="E1294" s="166" t="s">
        <v>1280</v>
      </c>
      <c r="F1294" s="151">
        <f t="shared" ref="F1294:F1302" si="155">IF(H1294=H1293,F1293,F1293+1)</f>
        <v>6</v>
      </c>
      <c r="G1294" s="151" t="str">
        <f t="shared" ref="G1294:G1302" si="156">B1294&amp;"."&amp;D1294&amp;"."&amp;F1294</f>
        <v>2.3.6</v>
      </c>
      <c r="H1294" s="156" t="s">
        <v>1610</v>
      </c>
      <c r="I1294" s="159" t="s">
        <v>1612</v>
      </c>
      <c r="J1294" s="159" t="s">
        <v>841</v>
      </c>
      <c r="K1294" s="159">
        <v>0</v>
      </c>
      <c r="L1294" s="160">
        <v>0</v>
      </c>
      <c r="M1294" s="161"/>
      <c r="N1294" s="161">
        <v>0</v>
      </c>
      <c r="O1294" s="164">
        <f t="shared" si="151"/>
        <v>0</v>
      </c>
      <c r="P1294" s="161">
        <v>0</v>
      </c>
      <c r="Q1294" s="161">
        <v>0</v>
      </c>
      <c r="R1294" s="164">
        <f>$L1294*'Pivot Objective'!$C$9*P1294*Q1294</f>
        <v>0</v>
      </c>
      <c r="S1294" s="161">
        <v>0</v>
      </c>
      <c r="T1294" s="161">
        <v>0</v>
      </c>
      <c r="U1294" s="164">
        <f>($L1294*'Pivot Objective'!$C$9^2)*S1294*T1294</f>
        <v>0</v>
      </c>
      <c r="V1294" s="161">
        <v>0</v>
      </c>
      <c r="W1294" s="161">
        <v>0</v>
      </c>
      <c r="X1294" s="164">
        <f>($L1294*'Pivot Objective'!$C$9^3)*V1294*W1294</f>
        <v>0</v>
      </c>
      <c r="Y1294" s="161">
        <v>0</v>
      </c>
      <c r="Z1294" s="161">
        <v>0</v>
      </c>
      <c r="AA1294" s="164">
        <f>($L1294*'Pivot Objective'!$C$9^4)*Y1294*Z1294</f>
        <v>0</v>
      </c>
      <c r="AB1294" s="151">
        <v>0</v>
      </c>
      <c r="AC1294" s="151">
        <v>0</v>
      </c>
      <c r="AD1294" s="164">
        <f>($L1294*'Pivot Objective'!$C$9^5)*AB1294*AC1294</f>
        <v>0</v>
      </c>
      <c r="AE1294" s="151">
        <v>0</v>
      </c>
      <c r="AF1294" s="151">
        <v>0</v>
      </c>
      <c r="AG1294" s="164">
        <f>($L1294*'Pivot Objective'!$C$9^6)*AE1294*AF1294</f>
        <v>0</v>
      </c>
      <c r="AH1294" s="151">
        <v>0</v>
      </c>
      <c r="AI1294" s="151">
        <v>0</v>
      </c>
      <c r="AJ1294" s="164">
        <f>($L1294*'Pivot Objective'!$C$9^7)*AH1294*AI1294</f>
        <v>0</v>
      </c>
      <c r="AK1294" s="185">
        <f t="shared" si="152"/>
        <v>0</v>
      </c>
      <c r="AL1294" s="186">
        <f t="shared" si="153"/>
        <v>0</v>
      </c>
      <c r="AM1294" s="157"/>
    </row>
    <row r="1295" spans="1:39" ht="43.2" x14ac:dyDescent="0.3">
      <c r="A1295" s="151" t="s">
        <v>1482</v>
      </c>
      <c r="B1295" s="151">
        <v>2</v>
      </c>
      <c r="C1295" s="166" t="s">
        <v>983</v>
      </c>
      <c r="D1295" s="151" t="str">
        <f t="shared" si="154"/>
        <v>3</v>
      </c>
      <c r="E1295" s="166" t="s">
        <v>1280</v>
      </c>
      <c r="F1295" s="151">
        <f t="shared" si="155"/>
        <v>6</v>
      </c>
      <c r="G1295" s="151" t="str">
        <f t="shared" si="156"/>
        <v>2.3.6</v>
      </c>
      <c r="H1295" s="156" t="s">
        <v>1610</v>
      </c>
      <c r="I1295" s="159" t="s">
        <v>1630</v>
      </c>
      <c r="J1295" s="159" t="s">
        <v>1619</v>
      </c>
      <c r="K1295" s="159">
        <v>0</v>
      </c>
      <c r="L1295" s="160">
        <v>0</v>
      </c>
      <c r="M1295" s="161"/>
      <c r="N1295" s="161">
        <v>0</v>
      </c>
      <c r="O1295" s="164">
        <f t="shared" si="151"/>
        <v>0</v>
      </c>
      <c r="P1295" s="161">
        <v>0</v>
      </c>
      <c r="Q1295" s="161">
        <v>0</v>
      </c>
      <c r="R1295" s="164">
        <f>$L1295*'Pivot Objective'!$C$9*P1295*Q1295</f>
        <v>0</v>
      </c>
      <c r="S1295" s="161">
        <v>4</v>
      </c>
      <c r="T1295" s="161">
        <v>0</v>
      </c>
      <c r="U1295" s="164">
        <f>($L1295*'Pivot Objective'!$C$9^2)*S1295*T1295</f>
        <v>0</v>
      </c>
      <c r="V1295" s="161">
        <v>0</v>
      </c>
      <c r="W1295" s="161">
        <v>0</v>
      </c>
      <c r="X1295" s="164">
        <f>($L1295*'Pivot Objective'!$C$9^3)*V1295*W1295</f>
        <v>0</v>
      </c>
      <c r="Y1295" s="161">
        <v>0</v>
      </c>
      <c r="Z1295" s="161">
        <v>0</v>
      </c>
      <c r="AA1295" s="164">
        <f>($L1295*'Pivot Objective'!$C$9^4)*Y1295*Z1295</f>
        <v>0</v>
      </c>
      <c r="AB1295" s="151">
        <v>4</v>
      </c>
      <c r="AC1295" s="151">
        <v>0</v>
      </c>
      <c r="AD1295" s="164">
        <f>($L1295*'Pivot Objective'!$C$9^5)*AB1295*AC1295</f>
        <v>0</v>
      </c>
      <c r="AE1295" s="151">
        <v>0</v>
      </c>
      <c r="AF1295" s="151">
        <v>0</v>
      </c>
      <c r="AG1295" s="164">
        <f>($L1295*'Pivot Objective'!$C$9^6)*AE1295*AF1295</f>
        <v>0</v>
      </c>
      <c r="AH1295" s="151">
        <v>0</v>
      </c>
      <c r="AI1295" s="151">
        <v>0</v>
      </c>
      <c r="AJ1295" s="164">
        <f>($L1295*'Pivot Objective'!$C$9^7)*AH1295*AI1295</f>
        <v>0</v>
      </c>
      <c r="AK1295" s="185">
        <f t="shared" si="152"/>
        <v>0</v>
      </c>
      <c r="AL1295" s="186">
        <f t="shared" si="153"/>
        <v>0</v>
      </c>
      <c r="AM1295" s="157"/>
    </row>
    <row r="1296" spans="1:39" ht="43.2" x14ac:dyDescent="0.3">
      <c r="A1296" s="151" t="s">
        <v>1482</v>
      </c>
      <c r="B1296" s="151">
        <v>2</v>
      </c>
      <c r="C1296" s="166" t="s">
        <v>983</v>
      </c>
      <c r="D1296" s="151" t="str">
        <f t="shared" si="154"/>
        <v>3</v>
      </c>
      <c r="E1296" s="166" t="s">
        <v>1280</v>
      </c>
      <c r="F1296" s="151">
        <f t="shared" si="155"/>
        <v>6</v>
      </c>
      <c r="G1296" s="151" t="str">
        <f t="shared" si="156"/>
        <v>2.3.6</v>
      </c>
      <c r="H1296" s="156" t="s">
        <v>1610</v>
      </c>
      <c r="I1296" s="159" t="s">
        <v>1630</v>
      </c>
      <c r="J1296" s="159" t="s">
        <v>1620</v>
      </c>
      <c r="K1296" s="159">
        <v>391991.03749999998</v>
      </c>
      <c r="L1296" s="160">
        <v>391991.03749999998</v>
      </c>
      <c r="M1296" s="161"/>
      <c r="N1296" s="161">
        <v>0</v>
      </c>
      <c r="O1296" s="164">
        <f t="shared" ref="O1296:O1302" si="157">$L1296*M1296*N1296</f>
        <v>0</v>
      </c>
      <c r="P1296" s="161">
        <v>0</v>
      </c>
      <c r="Q1296" s="161">
        <v>0</v>
      </c>
      <c r="R1296" s="164">
        <f>$L1296*'Pivot Objective'!$C$9*P1296*Q1296</f>
        <v>0</v>
      </c>
      <c r="S1296" s="161">
        <v>2</v>
      </c>
      <c r="T1296" s="161">
        <v>2</v>
      </c>
      <c r="U1296" s="164">
        <f>($L1296*'Pivot Objective'!$C$9^2)*S1296*T1296</f>
        <v>2048182.3883307995</v>
      </c>
      <c r="V1296" s="161">
        <v>0</v>
      </c>
      <c r="W1296" s="161">
        <v>0</v>
      </c>
      <c r="X1296" s="164">
        <f>($L1296*'Pivot Objective'!$C$9^3)*V1296*W1296</f>
        <v>0</v>
      </c>
      <c r="Y1296" s="161">
        <v>0</v>
      </c>
      <c r="Z1296" s="161">
        <v>0</v>
      </c>
      <c r="AA1296" s="164">
        <f>($L1296*'Pivot Objective'!$C$9^4)*Y1296*Z1296</f>
        <v>0</v>
      </c>
      <c r="AB1296" s="151">
        <v>2</v>
      </c>
      <c r="AC1296" s="161">
        <v>2</v>
      </c>
      <c r="AD1296" s="164">
        <f>($L1296*'Pivot Objective'!$C$9^5)*AB1296*AC1296</f>
        <v>3057858.4341109009</v>
      </c>
      <c r="AE1296" s="151">
        <v>0</v>
      </c>
      <c r="AF1296" s="151">
        <v>0</v>
      </c>
      <c r="AG1296" s="164">
        <f>($L1296*'Pivot Objective'!$C$9^6)*AE1296*AF1296</f>
        <v>0</v>
      </c>
      <c r="AH1296" s="151">
        <v>0</v>
      </c>
      <c r="AI1296" s="151">
        <v>0</v>
      </c>
      <c r="AJ1296" s="164">
        <f>($L1296*'Pivot Objective'!$C$9^7)*AH1296*AI1296</f>
        <v>0</v>
      </c>
      <c r="AK1296" s="185">
        <f t="shared" si="152"/>
        <v>5106040.8224417008</v>
      </c>
      <c r="AL1296" s="186">
        <f t="shared" si="153"/>
        <v>4957.3211868366025</v>
      </c>
      <c r="AM1296" s="157"/>
    </row>
    <row r="1297" spans="1:39" ht="43.2" x14ac:dyDescent="0.3">
      <c r="A1297" s="151" t="s">
        <v>1482</v>
      </c>
      <c r="B1297" s="151">
        <v>2</v>
      </c>
      <c r="C1297" s="166" t="s">
        <v>983</v>
      </c>
      <c r="D1297" s="151" t="str">
        <f t="shared" si="154"/>
        <v>3</v>
      </c>
      <c r="E1297" s="166" t="s">
        <v>1280</v>
      </c>
      <c r="F1297" s="151">
        <f t="shared" si="155"/>
        <v>6</v>
      </c>
      <c r="G1297" s="151" t="str">
        <f t="shared" si="156"/>
        <v>2.3.6</v>
      </c>
      <c r="H1297" s="156" t="s">
        <v>1610</v>
      </c>
      <c r="I1297" s="159" t="s">
        <v>1630</v>
      </c>
      <c r="J1297" s="159" t="s">
        <v>1622</v>
      </c>
      <c r="K1297" s="159">
        <v>515000</v>
      </c>
      <c r="L1297" s="160">
        <v>515000</v>
      </c>
      <c r="M1297" s="161"/>
      <c r="N1297" s="161">
        <v>0</v>
      </c>
      <c r="O1297" s="164">
        <f t="shared" si="157"/>
        <v>0</v>
      </c>
      <c r="P1297" s="161">
        <v>0</v>
      </c>
      <c r="Q1297" s="161">
        <v>0</v>
      </c>
      <c r="R1297" s="164">
        <f>$L1297*'Pivot Objective'!$C$9*P1297*Q1297</f>
        <v>0</v>
      </c>
      <c r="S1297" s="161">
        <v>25</v>
      </c>
      <c r="T1297" s="161">
        <v>1</v>
      </c>
      <c r="U1297" s="164">
        <f>($L1297*'Pivot Objective'!$C$9^2)*S1297*T1297</f>
        <v>16818208.662333921</v>
      </c>
      <c r="V1297" s="161">
        <v>0</v>
      </c>
      <c r="W1297" s="161">
        <v>0</v>
      </c>
      <c r="X1297" s="164">
        <f>($L1297*'Pivot Objective'!$C$9^3)*V1297*W1297</f>
        <v>0</v>
      </c>
      <c r="Y1297" s="161">
        <v>0</v>
      </c>
      <c r="Z1297" s="161">
        <v>0</v>
      </c>
      <c r="AA1297" s="164">
        <f>($L1297*'Pivot Objective'!$C$9^4)*Y1297*Z1297</f>
        <v>0</v>
      </c>
      <c r="AB1297" s="151">
        <v>25</v>
      </c>
      <c r="AC1297" s="161">
        <v>1</v>
      </c>
      <c r="AD1297" s="164">
        <f>($L1297*'Pivot Objective'!$C$9^5)*AB1297*AC1297</f>
        <v>25108946.106438626</v>
      </c>
      <c r="AE1297" s="151">
        <v>0</v>
      </c>
      <c r="AF1297" s="151">
        <v>0</v>
      </c>
      <c r="AG1297" s="164">
        <f>($L1297*'Pivot Objective'!$C$9^6)*AE1297*AF1297</f>
        <v>0</v>
      </c>
      <c r="AH1297" s="151">
        <v>0</v>
      </c>
      <c r="AI1297" s="151">
        <v>0</v>
      </c>
      <c r="AJ1297" s="164">
        <f>($L1297*'Pivot Objective'!$C$9^7)*AH1297*AI1297</f>
        <v>0</v>
      </c>
      <c r="AK1297" s="185">
        <f t="shared" si="152"/>
        <v>41927154.768772542</v>
      </c>
      <c r="AL1297" s="186">
        <f t="shared" si="153"/>
        <v>40705.975503662659</v>
      </c>
      <c r="AM1297" s="157"/>
    </row>
    <row r="1298" spans="1:39" ht="43.2" x14ac:dyDescent="0.3">
      <c r="A1298" s="151" t="s">
        <v>1482</v>
      </c>
      <c r="B1298" s="151">
        <v>2</v>
      </c>
      <c r="C1298" s="166" t="s">
        <v>983</v>
      </c>
      <c r="D1298" s="151" t="str">
        <f t="shared" si="154"/>
        <v>3</v>
      </c>
      <c r="E1298" s="166" t="s">
        <v>1280</v>
      </c>
      <c r="F1298" s="151">
        <f t="shared" si="155"/>
        <v>6</v>
      </c>
      <c r="G1298" s="151" t="str">
        <f t="shared" si="156"/>
        <v>2.3.6</v>
      </c>
      <c r="H1298" s="156" t="s">
        <v>1610</v>
      </c>
      <c r="I1298" s="159" t="s">
        <v>168</v>
      </c>
      <c r="J1298" s="159" t="s">
        <v>709</v>
      </c>
      <c r="K1298" s="159">
        <v>35000</v>
      </c>
      <c r="L1298" s="160">
        <v>35000</v>
      </c>
      <c r="M1298" s="161"/>
      <c r="N1298" s="161">
        <v>0</v>
      </c>
      <c r="O1298" s="164">
        <f t="shared" si="157"/>
        <v>0</v>
      </c>
      <c r="P1298" s="161">
        <v>0</v>
      </c>
      <c r="Q1298" s="161">
        <v>0</v>
      </c>
      <c r="R1298" s="164">
        <f>$L1298*'Pivot Objective'!$C$9*P1298*Q1298</f>
        <v>0</v>
      </c>
      <c r="S1298" s="161">
        <v>2</v>
      </c>
      <c r="T1298" s="161">
        <v>100</v>
      </c>
      <c r="U1298" s="164">
        <f>($L1298*'Pivot Objective'!$C$9^2)*S1298*T1298</f>
        <v>9143880.4377737828</v>
      </c>
      <c r="V1298" s="161">
        <v>0</v>
      </c>
      <c r="W1298" s="161"/>
      <c r="X1298" s="164">
        <f>($L1298*'Pivot Objective'!$C$9^3)*V1298*W1298</f>
        <v>0</v>
      </c>
      <c r="Y1298" s="161">
        <v>0</v>
      </c>
      <c r="Z1298" s="161"/>
      <c r="AA1298" s="164">
        <f>($L1298*'Pivot Objective'!$C$9^4)*Y1298*Z1298</f>
        <v>0</v>
      </c>
      <c r="AB1298" s="151">
        <v>2</v>
      </c>
      <c r="AC1298" s="161">
        <v>100</v>
      </c>
      <c r="AD1298" s="164">
        <f>($L1298*'Pivot Objective'!$C$9^5)*AB1298*AC1298</f>
        <v>13651465.844277309</v>
      </c>
      <c r="AE1298" s="151">
        <v>0</v>
      </c>
      <c r="AF1298" s="151"/>
      <c r="AG1298" s="164">
        <f>($L1298*'Pivot Objective'!$C$9^6)*AE1298*AF1298</f>
        <v>0</v>
      </c>
      <c r="AH1298" s="151">
        <v>0</v>
      </c>
      <c r="AI1298" s="151"/>
      <c r="AJ1298" s="164">
        <f>($L1298*'Pivot Objective'!$C$9^7)*AH1298*AI1298</f>
        <v>0</v>
      </c>
      <c r="AK1298" s="185">
        <f t="shared" si="152"/>
        <v>22795346.282051094</v>
      </c>
      <c r="AL1298" s="186">
        <f t="shared" si="153"/>
        <v>22131.404157331159</v>
      </c>
      <c r="AM1298" s="157"/>
    </row>
    <row r="1299" spans="1:39" ht="43.2" x14ac:dyDescent="0.3">
      <c r="A1299" s="151" t="s">
        <v>1482</v>
      </c>
      <c r="B1299" s="151">
        <v>2</v>
      </c>
      <c r="C1299" s="166" t="s">
        <v>983</v>
      </c>
      <c r="D1299" s="151" t="str">
        <f t="shared" si="154"/>
        <v>3</v>
      </c>
      <c r="E1299" s="166" t="s">
        <v>1280</v>
      </c>
      <c r="F1299" s="151">
        <f t="shared" si="155"/>
        <v>6</v>
      </c>
      <c r="G1299" s="151" t="str">
        <f t="shared" si="156"/>
        <v>2.3.6</v>
      </c>
      <c r="H1299" s="156" t="s">
        <v>1610</v>
      </c>
      <c r="I1299" s="159" t="s">
        <v>168</v>
      </c>
      <c r="J1299" s="159" t="s">
        <v>716</v>
      </c>
      <c r="K1299" s="159">
        <v>39000</v>
      </c>
      <c r="L1299" s="160">
        <v>39000</v>
      </c>
      <c r="M1299" s="161"/>
      <c r="N1299" s="161">
        <v>0</v>
      </c>
      <c r="O1299" s="164">
        <f t="shared" si="157"/>
        <v>0</v>
      </c>
      <c r="P1299" s="161">
        <v>0</v>
      </c>
      <c r="Q1299" s="161">
        <v>0</v>
      </c>
      <c r="R1299" s="164">
        <f>$L1299*'Pivot Objective'!$C$9*P1299*Q1299</f>
        <v>0</v>
      </c>
      <c r="S1299" s="161">
        <v>3</v>
      </c>
      <c r="T1299" s="161">
        <v>58</v>
      </c>
      <c r="U1299" s="164">
        <f>($L1299*'Pivot Objective'!$C$9^2)*S1299*T1299</f>
        <v>8864338.9501046985</v>
      </c>
      <c r="V1299" s="161">
        <v>0</v>
      </c>
      <c r="W1299" s="161"/>
      <c r="X1299" s="164">
        <f>($L1299*'Pivot Objective'!$C$9^3)*V1299*W1299</f>
        <v>0</v>
      </c>
      <c r="Y1299" s="161">
        <v>0</v>
      </c>
      <c r="Z1299" s="161"/>
      <c r="AA1299" s="164">
        <f>($L1299*'Pivot Objective'!$C$9^4)*Y1299*Z1299</f>
        <v>0</v>
      </c>
      <c r="AB1299" s="151">
        <v>3</v>
      </c>
      <c r="AC1299" s="161">
        <v>58</v>
      </c>
      <c r="AD1299" s="164">
        <f>($L1299*'Pivot Objective'!$C$9^5)*AB1299*AC1299</f>
        <v>13234121.03132369</v>
      </c>
      <c r="AE1299" s="151">
        <v>0</v>
      </c>
      <c r="AF1299" s="151"/>
      <c r="AG1299" s="164">
        <f>($L1299*'Pivot Objective'!$C$9^6)*AE1299*AF1299</f>
        <v>0</v>
      </c>
      <c r="AH1299" s="151">
        <v>0</v>
      </c>
      <c r="AI1299" s="151"/>
      <c r="AJ1299" s="164">
        <f>($L1299*'Pivot Objective'!$C$9^7)*AH1299*AI1299</f>
        <v>0</v>
      </c>
      <c r="AK1299" s="185">
        <f t="shared" si="152"/>
        <v>22098459.981428389</v>
      </c>
      <c r="AL1299" s="186">
        <f t="shared" si="153"/>
        <v>21454.815515949893</v>
      </c>
      <c r="AM1299" s="157"/>
    </row>
    <row r="1300" spans="1:39" ht="43.2" x14ac:dyDescent="0.3">
      <c r="A1300" s="151" t="s">
        <v>1482</v>
      </c>
      <c r="B1300" s="151">
        <v>2</v>
      </c>
      <c r="C1300" s="166" t="s">
        <v>983</v>
      </c>
      <c r="D1300" s="151" t="str">
        <f t="shared" si="154"/>
        <v>3</v>
      </c>
      <c r="E1300" s="166" t="s">
        <v>1280</v>
      </c>
      <c r="F1300" s="151">
        <f t="shared" si="155"/>
        <v>6</v>
      </c>
      <c r="G1300" s="151" t="str">
        <f t="shared" si="156"/>
        <v>2.3.6</v>
      </c>
      <c r="H1300" s="156" t="s">
        <v>1610</v>
      </c>
      <c r="I1300" s="159" t="s">
        <v>168</v>
      </c>
      <c r="J1300" s="159" t="s">
        <v>712</v>
      </c>
      <c r="K1300" s="159">
        <v>285.60000000000002</v>
      </c>
      <c r="L1300" s="160">
        <v>285.60000000000002</v>
      </c>
      <c r="M1300" s="161"/>
      <c r="N1300" s="161">
        <v>0</v>
      </c>
      <c r="O1300" s="164">
        <f t="shared" si="157"/>
        <v>0</v>
      </c>
      <c r="P1300" s="161">
        <v>0</v>
      </c>
      <c r="Q1300" s="161">
        <v>0</v>
      </c>
      <c r="R1300" s="164">
        <f>$L1300*'Pivot Objective'!$C$9*P1300*Q1300</f>
        <v>0</v>
      </c>
      <c r="S1300" s="161">
        <v>1</v>
      </c>
      <c r="T1300" s="161">
        <v>1450</v>
      </c>
      <c r="U1300" s="164">
        <f>($L1300*'Pivot Objective'!$C$9^2)*S1300*T1300</f>
        <v>540951.96669869707</v>
      </c>
      <c r="V1300" s="161">
        <v>0</v>
      </c>
      <c r="W1300" s="161"/>
      <c r="X1300" s="164">
        <f>($L1300*'Pivot Objective'!$C$9^3)*V1300*W1300</f>
        <v>0</v>
      </c>
      <c r="Y1300" s="161">
        <v>0</v>
      </c>
      <c r="Z1300" s="161"/>
      <c r="AA1300" s="164">
        <f>($L1300*'Pivot Objective'!$C$9^4)*Y1300*Z1300</f>
        <v>0</v>
      </c>
      <c r="AB1300" s="151">
        <v>1</v>
      </c>
      <c r="AC1300" s="161">
        <v>1450</v>
      </c>
      <c r="AD1300" s="164">
        <f>($L1300*'Pivot Objective'!$C$9^5)*AB1300*AC1300</f>
        <v>807620.71934744576</v>
      </c>
      <c r="AE1300" s="151">
        <v>0</v>
      </c>
      <c r="AF1300" s="151"/>
      <c r="AG1300" s="164">
        <f>($L1300*'Pivot Objective'!$C$9^6)*AE1300*AF1300</f>
        <v>0</v>
      </c>
      <c r="AH1300" s="151">
        <v>0</v>
      </c>
      <c r="AI1300" s="151"/>
      <c r="AJ1300" s="164">
        <f>($L1300*'Pivot Objective'!$C$9^7)*AH1300*AI1300</f>
        <v>0</v>
      </c>
      <c r="AK1300" s="185">
        <f t="shared" si="152"/>
        <v>1348572.6860461428</v>
      </c>
      <c r="AL1300" s="186">
        <f t="shared" si="153"/>
        <v>1309.2938699477115</v>
      </c>
      <c r="AM1300" s="157"/>
    </row>
    <row r="1301" spans="1:39" ht="43.2" x14ac:dyDescent="0.3">
      <c r="A1301" s="151" t="s">
        <v>1482</v>
      </c>
      <c r="B1301" s="151">
        <v>2</v>
      </c>
      <c r="C1301" s="166" t="s">
        <v>983</v>
      </c>
      <c r="D1301" s="151" t="str">
        <f t="shared" si="154"/>
        <v>3</v>
      </c>
      <c r="E1301" s="166" t="s">
        <v>1280</v>
      </c>
      <c r="F1301" s="151">
        <f t="shared" si="155"/>
        <v>6</v>
      </c>
      <c r="G1301" s="151" t="str">
        <f t="shared" si="156"/>
        <v>2.3.6</v>
      </c>
      <c r="H1301" s="156" t="s">
        <v>1610</v>
      </c>
      <c r="I1301" s="159" t="s">
        <v>168</v>
      </c>
      <c r="J1301" s="159" t="s">
        <v>1350</v>
      </c>
      <c r="K1301" s="159">
        <v>285.60000000000002</v>
      </c>
      <c r="L1301" s="160">
        <v>285.60000000000002</v>
      </c>
      <c r="M1301" s="161"/>
      <c r="N1301" s="161">
        <v>0</v>
      </c>
      <c r="O1301" s="164">
        <f t="shared" si="157"/>
        <v>0</v>
      </c>
      <c r="P1301" s="161">
        <v>0</v>
      </c>
      <c r="Q1301" s="161">
        <v>0</v>
      </c>
      <c r="R1301" s="164">
        <f>$L1301*'Pivot Objective'!$C$9*P1301*Q1301</f>
        <v>0</v>
      </c>
      <c r="S1301" s="161">
        <v>1</v>
      </c>
      <c r="T1301" s="161">
        <v>16736</v>
      </c>
      <c r="U1301" s="164">
        <f>($L1301*'Pivot Objective'!$C$9^2)*S1301*T1301</f>
        <v>6243704.9066685475</v>
      </c>
      <c r="V1301" s="161">
        <v>0</v>
      </c>
      <c r="W1301" s="161"/>
      <c r="X1301" s="164">
        <f>($L1301*'Pivot Objective'!$C$9^3)*V1301*W1301</f>
        <v>0</v>
      </c>
      <c r="Y1301" s="161">
        <v>0</v>
      </c>
      <c r="Z1301" s="161"/>
      <c r="AA1301" s="164">
        <f>($L1301*'Pivot Objective'!$C$9^4)*Y1301*Z1301</f>
        <v>0</v>
      </c>
      <c r="AB1301" s="151">
        <v>1</v>
      </c>
      <c r="AC1301" s="161">
        <v>16736</v>
      </c>
      <c r="AD1301" s="164">
        <f>($L1301*'Pivot Objective'!$C$9^5)*AB1301*AC1301</f>
        <v>9321614.040688863</v>
      </c>
      <c r="AE1301" s="151">
        <v>0</v>
      </c>
      <c r="AF1301" s="151"/>
      <c r="AG1301" s="164">
        <f>($L1301*'Pivot Objective'!$C$9^6)*AE1301*AF1301</f>
        <v>0</v>
      </c>
      <c r="AH1301" s="151">
        <v>0</v>
      </c>
      <c r="AI1301" s="151"/>
      <c r="AJ1301" s="164">
        <f>($L1301*'Pivot Objective'!$C$9^7)*AH1301*AI1301</f>
        <v>0</v>
      </c>
      <c r="AK1301" s="185">
        <f t="shared" si="152"/>
        <v>15565318.947357411</v>
      </c>
      <c r="AL1301" s="186">
        <f t="shared" si="153"/>
        <v>15111.960143065447</v>
      </c>
      <c r="AM1301" s="157"/>
    </row>
    <row r="1302" spans="1:39" ht="43.2" x14ac:dyDescent="0.3">
      <c r="A1302" s="151" t="s">
        <v>1482</v>
      </c>
      <c r="B1302" s="151">
        <v>2</v>
      </c>
      <c r="C1302" s="166" t="s">
        <v>983</v>
      </c>
      <c r="D1302" s="151" t="str">
        <f t="shared" si="154"/>
        <v>3</v>
      </c>
      <c r="E1302" s="166" t="s">
        <v>1280</v>
      </c>
      <c r="F1302" s="151">
        <f t="shared" si="155"/>
        <v>6</v>
      </c>
      <c r="G1302" s="151" t="str">
        <f t="shared" si="156"/>
        <v>2.3.6</v>
      </c>
      <c r="H1302" s="156" t="s">
        <v>1610</v>
      </c>
      <c r="I1302" s="159" t="s">
        <v>156</v>
      </c>
      <c r="J1302" s="159" t="s">
        <v>841</v>
      </c>
      <c r="K1302" s="159">
        <v>0</v>
      </c>
      <c r="L1302" s="160">
        <v>0</v>
      </c>
      <c r="M1302" s="161"/>
      <c r="N1302" s="161">
        <v>0</v>
      </c>
      <c r="O1302" s="164">
        <f t="shared" si="157"/>
        <v>0</v>
      </c>
      <c r="P1302" s="161">
        <v>0</v>
      </c>
      <c r="Q1302" s="161">
        <v>0</v>
      </c>
      <c r="R1302" s="164">
        <f>$L1302*'Pivot Objective'!$C$9*P1302*Q1302</f>
        <v>0</v>
      </c>
      <c r="S1302" s="161">
        <v>0</v>
      </c>
      <c r="T1302" s="161">
        <v>0</v>
      </c>
      <c r="U1302" s="164">
        <f>($L1302*'Pivot Objective'!$C$9^2)*S1302*T1302</f>
        <v>0</v>
      </c>
      <c r="V1302" s="161">
        <v>0</v>
      </c>
      <c r="W1302" s="161"/>
      <c r="X1302" s="164">
        <f>($L1302*'Pivot Objective'!$C$9^3)*V1302*W1302</f>
        <v>0</v>
      </c>
      <c r="Y1302" s="161">
        <v>0</v>
      </c>
      <c r="Z1302" s="161"/>
      <c r="AA1302" s="164">
        <f>($L1302*'Pivot Objective'!$C$9^4)*Y1302*Z1302</f>
        <v>0</v>
      </c>
      <c r="AB1302" s="151">
        <v>0</v>
      </c>
      <c r="AC1302" s="151">
        <v>0</v>
      </c>
      <c r="AD1302" s="164">
        <f>($L1302*'Pivot Objective'!$C$9^5)*AB1302*AC1302</f>
        <v>0</v>
      </c>
      <c r="AE1302" s="151">
        <v>0</v>
      </c>
      <c r="AF1302" s="151"/>
      <c r="AG1302" s="164">
        <f>($L1302*'Pivot Objective'!$C$9^6)*AE1302*AF1302</f>
        <v>0</v>
      </c>
      <c r="AH1302" s="151">
        <v>0</v>
      </c>
      <c r="AI1302" s="151"/>
      <c r="AJ1302" s="164">
        <f>($L1302*'Pivot Objective'!$C$9^7)*AH1302*AI1302</f>
        <v>0</v>
      </c>
      <c r="AK1302" s="185">
        <f t="shared" si="152"/>
        <v>0</v>
      </c>
      <c r="AL1302" s="186">
        <f t="shared" si="153"/>
        <v>0</v>
      </c>
      <c r="AM1302" s="157"/>
    </row>
    <row r="1303" spans="1:39" customFormat="1" ht="72" x14ac:dyDescent="0.3">
      <c r="A1303" s="140" t="s">
        <v>1484</v>
      </c>
      <c r="B1303" s="140">
        <v>3</v>
      </c>
      <c r="C1303" s="166" t="s">
        <v>696</v>
      </c>
      <c r="D1303" s="140" t="str">
        <f t="shared" si="138"/>
        <v>1</v>
      </c>
      <c r="E1303" s="166" t="s">
        <v>689</v>
      </c>
      <c r="F1303" s="140">
        <v>1</v>
      </c>
      <c r="G1303" s="140" t="str">
        <f t="shared" si="139"/>
        <v>3.1.1</v>
      </c>
      <c r="H1303" s="166" t="s">
        <v>1714</v>
      </c>
      <c r="I1303" s="166" t="s">
        <v>1</v>
      </c>
      <c r="J1303" s="166" t="s">
        <v>185</v>
      </c>
      <c r="K1303" s="166" t="s">
        <v>718</v>
      </c>
      <c r="L1303" s="177">
        <v>0</v>
      </c>
      <c r="M1303" s="166">
        <v>0</v>
      </c>
      <c r="N1303" s="166">
        <v>0</v>
      </c>
      <c r="O1303" s="164">
        <f t="shared" si="151"/>
        <v>0</v>
      </c>
      <c r="P1303" s="166">
        <v>0</v>
      </c>
      <c r="Q1303" s="166">
        <v>0</v>
      </c>
      <c r="R1303" s="164">
        <f>$L1303*'Pivot Objective'!$C$9*P1303*Q1303</f>
        <v>0</v>
      </c>
      <c r="S1303" s="166">
        <v>0</v>
      </c>
      <c r="T1303" s="166">
        <v>0</v>
      </c>
      <c r="U1303" s="164">
        <f>($L1303*'Pivot Objective'!$C$9^2)*S1303*T1303</f>
        <v>0</v>
      </c>
      <c r="V1303" s="166">
        <v>0</v>
      </c>
      <c r="W1303" s="166">
        <v>0</v>
      </c>
      <c r="X1303" s="164">
        <f>($L1303*'Pivot Objective'!$C$9^3)*V1303*W1303</f>
        <v>0</v>
      </c>
      <c r="Y1303" s="166">
        <v>0</v>
      </c>
      <c r="Z1303" s="166">
        <v>0</v>
      </c>
      <c r="AA1303" s="164">
        <f>($L1303*'Pivot Objective'!$C$9^4)*Y1303*Z1303</f>
        <v>0</v>
      </c>
      <c r="AB1303" s="166">
        <v>0</v>
      </c>
      <c r="AC1303" s="166">
        <v>0</v>
      </c>
      <c r="AD1303" s="164">
        <f>($L1303*'Pivot Objective'!$C$9^5)*AB1303*AC1303</f>
        <v>0</v>
      </c>
      <c r="AE1303" s="166">
        <v>0</v>
      </c>
      <c r="AF1303" s="166">
        <v>0</v>
      </c>
      <c r="AG1303" s="164">
        <f>($L1303*'Pivot Objective'!$C$9^6)*AE1303*AF1303</f>
        <v>0</v>
      </c>
      <c r="AH1303" s="166">
        <v>0</v>
      </c>
      <c r="AI1303" s="166">
        <v>0</v>
      </c>
      <c r="AJ1303" s="164">
        <f>($L1303*'Pivot Objective'!$C$9^7)*AH1303*AI1303</f>
        <v>0</v>
      </c>
      <c r="AK1303" s="185">
        <f t="shared" si="152"/>
        <v>0</v>
      </c>
      <c r="AL1303" s="186">
        <f t="shared" si="153"/>
        <v>0</v>
      </c>
    </row>
    <row r="1304" spans="1:39" customFormat="1" ht="72" x14ac:dyDescent="0.3">
      <c r="A1304" s="140" t="s">
        <v>1484</v>
      </c>
      <c r="B1304" s="140">
        <v>3</v>
      </c>
      <c r="C1304" s="166" t="s">
        <v>696</v>
      </c>
      <c r="D1304" s="140" t="str">
        <f t="shared" si="138"/>
        <v>1</v>
      </c>
      <c r="E1304" s="166" t="s">
        <v>689</v>
      </c>
      <c r="F1304" s="140">
        <f t="shared" ref="F1304:F1367" si="158">IF(H1304=H1303,F1303,F1303+1)</f>
        <v>1</v>
      </c>
      <c r="G1304" s="140" t="str">
        <f t="shared" si="139"/>
        <v>3.1.1</v>
      </c>
      <c r="H1304" s="166" t="s">
        <v>1714</v>
      </c>
      <c r="I1304" s="166" t="s">
        <v>1</v>
      </c>
      <c r="J1304" s="166" t="s">
        <v>186</v>
      </c>
      <c r="K1304" s="166" t="s">
        <v>718</v>
      </c>
      <c r="L1304" s="177">
        <v>0</v>
      </c>
      <c r="M1304" s="166">
        <v>0</v>
      </c>
      <c r="N1304" s="166">
        <v>0</v>
      </c>
      <c r="O1304" s="164">
        <f t="shared" si="151"/>
        <v>0</v>
      </c>
      <c r="P1304" s="166">
        <v>0</v>
      </c>
      <c r="Q1304" s="166">
        <v>0</v>
      </c>
      <c r="R1304" s="164">
        <f>$L1304*'Pivot Objective'!$C$9*P1304*Q1304</f>
        <v>0</v>
      </c>
      <c r="S1304" s="166">
        <v>0</v>
      </c>
      <c r="T1304" s="166">
        <v>0</v>
      </c>
      <c r="U1304" s="164">
        <f>($L1304*'Pivot Objective'!$C$9^2)*S1304*T1304</f>
        <v>0</v>
      </c>
      <c r="V1304" s="166">
        <v>0</v>
      </c>
      <c r="W1304" s="166">
        <v>0</v>
      </c>
      <c r="X1304" s="164">
        <f>($L1304*'Pivot Objective'!$C$9^3)*V1304*W1304</f>
        <v>0</v>
      </c>
      <c r="Y1304" s="166">
        <v>0</v>
      </c>
      <c r="Z1304" s="166">
        <v>0</v>
      </c>
      <c r="AA1304" s="164">
        <f>($L1304*'Pivot Objective'!$C$9^4)*Y1304*Z1304</f>
        <v>0</v>
      </c>
      <c r="AB1304" s="166">
        <v>0</v>
      </c>
      <c r="AC1304" s="166">
        <v>0</v>
      </c>
      <c r="AD1304" s="164">
        <f>($L1304*'Pivot Objective'!$C$9^5)*AB1304*AC1304</f>
        <v>0</v>
      </c>
      <c r="AE1304" s="166">
        <v>0</v>
      </c>
      <c r="AF1304" s="166">
        <v>0</v>
      </c>
      <c r="AG1304" s="164">
        <f>($L1304*'Pivot Objective'!$C$9^6)*AE1304*AF1304</f>
        <v>0</v>
      </c>
      <c r="AH1304" s="166">
        <v>0</v>
      </c>
      <c r="AI1304" s="166">
        <v>0</v>
      </c>
      <c r="AJ1304" s="164">
        <f>($L1304*'Pivot Objective'!$C$9^7)*AH1304*AI1304</f>
        <v>0</v>
      </c>
      <c r="AK1304" s="185">
        <f t="shared" si="152"/>
        <v>0</v>
      </c>
      <c r="AL1304" s="186">
        <f t="shared" si="153"/>
        <v>0</v>
      </c>
    </row>
    <row r="1305" spans="1:39" customFormat="1" ht="72" x14ac:dyDescent="0.3">
      <c r="A1305" s="140" t="s">
        <v>1484</v>
      </c>
      <c r="B1305" s="140">
        <v>3</v>
      </c>
      <c r="C1305" s="166" t="s">
        <v>696</v>
      </c>
      <c r="D1305" s="140" t="str">
        <f t="shared" si="138"/>
        <v>1</v>
      </c>
      <c r="E1305" s="166" t="s">
        <v>689</v>
      </c>
      <c r="F1305" s="140">
        <f t="shared" si="158"/>
        <v>1</v>
      </c>
      <c r="G1305" s="140" t="str">
        <f t="shared" si="139"/>
        <v>3.1.1</v>
      </c>
      <c r="H1305" s="166" t="s">
        <v>1714</v>
      </c>
      <c r="I1305" s="166" t="s">
        <v>2</v>
      </c>
      <c r="J1305" s="166" t="s">
        <v>187</v>
      </c>
      <c r="K1305" s="166" t="s">
        <v>716</v>
      </c>
      <c r="L1305" s="177">
        <v>39000</v>
      </c>
      <c r="M1305" s="166">
        <v>25</v>
      </c>
      <c r="N1305" s="166">
        <v>5</v>
      </c>
      <c r="O1305" s="164">
        <f t="shared" si="151"/>
        <v>4875000</v>
      </c>
      <c r="P1305" s="166">
        <v>0</v>
      </c>
      <c r="Q1305" s="166">
        <v>0</v>
      </c>
      <c r="R1305" s="164">
        <f>$L1305*'Pivot Objective'!$C$9*P1305*Q1305</f>
        <v>0</v>
      </c>
      <c r="S1305" s="166">
        <v>0</v>
      </c>
      <c r="T1305" s="166">
        <v>0</v>
      </c>
      <c r="U1305" s="164">
        <f>($L1305*'Pivot Objective'!$C$9^2)*S1305*T1305</f>
        <v>0</v>
      </c>
      <c r="V1305" s="166">
        <v>0</v>
      </c>
      <c r="W1305" s="166">
        <v>0</v>
      </c>
      <c r="X1305" s="164">
        <f>($L1305*'Pivot Objective'!$C$9^3)*V1305*W1305</f>
        <v>0</v>
      </c>
      <c r="Y1305" s="166"/>
      <c r="Z1305" s="166"/>
      <c r="AA1305" s="164">
        <f>($L1305*'Pivot Objective'!$C$9^4)*Y1305*Z1305</f>
        <v>0</v>
      </c>
      <c r="AB1305" s="166">
        <v>0</v>
      </c>
      <c r="AC1305" s="166">
        <v>0</v>
      </c>
      <c r="AD1305" s="164">
        <f>($L1305*'Pivot Objective'!$C$9^5)*AB1305*AC1305</f>
        <v>0</v>
      </c>
      <c r="AE1305" s="166">
        <v>0</v>
      </c>
      <c r="AF1305" s="166">
        <v>0</v>
      </c>
      <c r="AG1305" s="164">
        <f>($L1305*'Pivot Objective'!$C$9^6)*AE1305*AF1305</f>
        <v>0</v>
      </c>
      <c r="AH1305" s="166">
        <v>25</v>
      </c>
      <c r="AI1305" s="166">
        <v>5</v>
      </c>
      <c r="AJ1305" s="164">
        <f>($L1305*'Pivot Objective'!$C$9^7)*AH1305*AI1305</f>
        <v>12419049.713613637</v>
      </c>
      <c r="AK1305" s="185">
        <f t="shared" si="152"/>
        <v>17294049.713613637</v>
      </c>
      <c r="AL1305" s="186">
        <f t="shared" si="153"/>
        <v>16790.33952778023</v>
      </c>
    </row>
    <row r="1306" spans="1:39" customFormat="1" ht="72" x14ac:dyDescent="0.3">
      <c r="A1306" s="140" t="s">
        <v>1484</v>
      </c>
      <c r="B1306" s="140">
        <v>3</v>
      </c>
      <c r="C1306" s="166" t="s">
        <v>696</v>
      </c>
      <c r="D1306" s="140" t="str">
        <f t="shared" si="138"/>
        <v>1</v>
      </c>
      <c r="E1306" s="166" t="s">
        <v>689</v>
      </c>
      <c r="F1306" s="140">
        <f t="shared" si="158"/>
        <v>1</v>
      </c>
      <c r="G1306" s="140" t="str">
        <f t="shared" si="139"/>
        <v>3.1.1</v>
      </c>
      <c r="H1306" s="166" t="s">
        <v>1714</v>
      </c>
      <c r="I1306" s="166" t="s">
        <v>2</v>
      </c>
      <c r="J1306" s="166" t="s">
        <v>187</v>
      </c>
      <c r="K1306" s="166" t="s">
        <v>1350</v>
      </c>
      <c r="L1306" s="177">
        <f>1480/7</f>
        <v>211.42857142857142</v>
      </c>
      <c r="M1306" s="166">
        <f>2*135*9</f>
        <v>2430</v>
      </c>
      <c r="N1306" s="166">
        <v>1</v>
      </c>
      <c r="O1306" s="164">
        <f t="shared" si="151"/>
        <v>513771.42857142852</v>
      </c>
      <c r="P1306" s="166"/>
      <c r="Q1306" s="166"/>
      <c r="R1306" s="164">
        <f>$L1306*'Pivot Objective'!$C$9*P1306*Q1306</f>
        <v>0</v>
      </c>
      <c r="S1306" s="166"/>
      <c r="T1306" s="166"/>
      <c r="U1306" s="164">
        <f>($L1306*'Pivot Objective'!$C$9^2)*S1306*T1306</f>
        <v>0</v>
      </c>
      <c r="V1306" s="166"/>
      <c r="W1306" s="166"/>
      <c r="X1306" s="164">
        <f>($L1306*'Pivot Objective'!$C$9^3)*V1306*W1306</f>
        <v>0</v>
      </c>
      <c r="Y1306" s="166"/>
      <c r="Z1306" s="166"/>
      <c r="AA1306" s="164">
        <f>($L1306*'Pivot Objective'!$C$9^4)*Y1306*Z1306</f>
        <v>0</v>
      </c>
      <c r="AB1306" s="166"/>
      <c r="AC1306" s="166"/>
      <c r="AD1306" s="164">
        <f>($L1306*'Pivot Objective'!$C$9^5)*AB1306*AC1306</f>
        <v>0</v>
      </c>
      <c r="AE1306" s="166"/>
      <c r="AF1306" s="166"/>
      <c r="AG1306" s="164">
        <f>($L1306*'Pivot Objective'!$C$9^6)*AE1306*AF1306</f>
        <v>0</v>
      </c>
      <c r="AH1306" s="166">
        <f>2*135*9</f>
        <v>2430</v>
      </c>
      <c r="AI1306" s="166">
        <v>1</v>
      </c>
      <c r="AJ1306" s="164">
        <f>($L1306*'Pivot Objective'!$C$9^7)*AH1306*AI1306</f>
        <v>1308831.3667411015</v>
      </c>
      <c r="AK1306" s="185">
        <f t="shared" si="152"/>
        <v>1822602.7953125299</v>
      </c>
      <c r="AL1306" s="186">
        <f t="shared" si="153"/>
        <v>1769.5172770024562</v>
      </c>
    </row>
    <row r="1307" spans="1:39" customFormat="1" ht="72" x14ac:dyDescent="0.3">
      <c r="A1307" s="140" t="s">
        <v>1484</v>
      </c>
      <c r="B1307" s="140">
        <v>3</v>
      </c>
      <c r="C1307" s="166" t="s">
        <v>696</v>
      </c>
      <c r="D1307" s="140" t="str">
        <f t="shared" si="138"/>
        <v>1</v>
      </c>
      <c r="E1307" s="166" t="s">
        <v>689</v>
      </c>
      <c r="F1307" s="140">
        <f t="shared" si="158"/>
        <v>1</v>
      </c>
      <c r="G1307" s="140" t="str">
        <f t="shared" si="139"/>
        <v>3.1.1</v>
      </c>
      <c r="H1307" s="166" t="s">
        <v>1714</v>
      </c>
      <c r="I1307" s="166" t="s">
        <v>2</v>
      </c>
      <c r="J1307" s="166" t="s">
        <v>187</v>
      </c>
      <c r="K1307" s="166" t="s">
        <v>712</v>
      </c>
      <c r="L1307" s="177">
        <f>1480/7</f>
        <v>211.42857142857142</v>
      </c>
      <c r="M1307" s="166">
        <f>25*2*9</f>
        <v>450</v>
      </c>
      <c r="N1307" s="166">
        <v>5</v>
      </c>
      <c r="O1307" s="164">
        <f t="shared" si="151"/>
        <v>475714.28571428568</v>
      </c>
      <c r="P1307" s="166">
        <v>0</v>
      </c>
      <c r="Q1307" s="166">
        <v>0</v>
      </c>
      <c r="R1307" s="164">
        <f>$L1307*'Pivot Objective'!$C$9*P1307*Q1307</f>
        <v>0</v>
      </c>
      <c r="S1307" s="166">
        <v>0</v>
      </c>
      <c r="T1307" s="166">
        <v>0</v>
      </c>
      <c r="U1307" s="164">
        <f>($L1307*'Pivot Objective'!$C$9^2)*S1307*T1307</f>
        <v>0</v>
      </c>
      <c r="V1307" s="166">
        <v>0</v>
      </c>
      <c r="W1307" s="166">
        <v>0</v>
      </c>
      <c r="X1307" s="164">
        <f>($L1307*'Pivot Objective'!$C$9^3)*V1307*W1307</f>
        <v>0</v>
      </c>
      <c r="Y1307" s="166">
        <v>20000</v>
      </c>
      <c r="Z1307" s="166">
        <v>1</v>
      </c>
      <c r="AA1307" s="164">
        <f>($L1307*'Pivot Objective'!$C$9^4)*Y1307*Z1307</f>
        <v>7215371.0321426839</v>
      </c>
      <c r="AB1307" s="166">
        <v>0</v>
      </c>
      <c r="AC1307" s="166">
        <v>0</v>
      </c>
      <c r="AD1307" s="164">
        <f>($L1307*'Pivot Objective'!$C$9^5)*AB1307*AC1307</f>
        <v>0</v>
      </c>
      <c r="AE1307" s="166">
        <v>0</v>
      </c>
      <c r="AF1307" s="166">
        <v>0</v>
      </c>
      <c r="AG1307" s="164">
        <f>($L1307*'Pivot Objective'!$C$9^6)*AE1307*AF1307</f>
        <v>0</v>
      </c>
      <c r="AH1307" s="166">
        <f>25*2*9</f>
        <v>450</v>
      </c>
      <c r="AI1307" s="166">
        <v>5</v>
      </c>
      <c r="AJ1307" s="164">
        <f>($L1307*'Pivot Objective'!$C$9^7)*AH1307*AI1307</f>
        <v>1211880.8951306494</v>
      </c>
      <c r="AK1307" s="185">
        <f t="shared" si="152"/>
        <v>8902966.2129876185</v>
      </c>
      <c r="AL1307" s="186">
        <f t="shared" si="153"/>
        <v>8643.6565174637071</v>
      </c>
    </row>
    <row r="1308" spans="1:39" customFormat="1" ht="72" x14ac:dyDescent="0.3">
      <c r="A1308" s="140" t="s">
        <v>1484</v>
      </c>
      <c r="B1308" s="140">
        <v>3</v>
      </c>
      <c r="C1308" s="166" t="s">
        <v>696</v>
      </c>
      <c r="D1308" s="140" t="str">
        <f t="shared" si="138"/>
        <v>1</v>
      </c>
      <c r="E1308" s="166" t="s">
        <v>689</v>
      </c>
      <c r="F1308" s="140">
        <f t="shared" si="158"/>
        <v>1</v>
      </c>
      <c r="G1308" s="140" t="str">
        <f t="shared" si="139"/>
        <v>3.1.1</v>
      </c>
      <c r="H1308" s="166" t="s">
        <v>1714</v>
      </c>
      <c r="I1308" s="166" t="s">
        <v>2</v>
      </c>
      <c r="J1308" s="166" t="s">
        <v>187</v>
      </c>
      <c r="K1308" s="166" t="s">
        <v>709</v>
      </c>
      <c r="L1308" s="177">
        <v>35000</v>
      </c>
      <c r="M1308" s="166">
        <v>25</v>
      </c>
      <c r="N1308" s="166">
        <v>5</v>
      </c>
      <c r="O1308" s="164">
        <f t="shared" si="151"/>
        <v>4375000</v>
      </c>
      <c r="P1308" s="166">
        <v>0</v>
      </c>
      <c r="Q1308" s="166">
        <v>0</v>
      </c>
      <c r="R1308" s="164">
        <f>$L1308*'Pivot Objective'!$C$9*P1308*Q1308</f>
        <v>0</v>
      </c>
      <c r="S1308" s="166">
        <v>0</v>
      </c>
      <c r="T1308" s="166">
        <v>0</v>
      </c>
      <c r="U1308" s="164">
        <f>($L1308*'Pivot Objective'!$C$9^2)*S1308*T1308</f>
        <v>0</v>
      </c>
      <c r="V1308" s="166">
        <v>0</v>
      </c>
      <c r="W1308" s="166">
        <v>0</v>
      </c>
      <c r="X1308" s="164">
        <f>($L1308*'Pivot Objective'!$C$9^3)*V1308*W1308</f>
        <v>0</v>
      </c>
      <c r="Y1308" s="166">
        <v>40</v>
      </c>
      <c r="Z1308" s="166">
        <v>10</v>
      </c>
      <c r="AA1308" s="164">
        <f>($L1308*'Pivot Objective'!$C$9^4)*Y1308*Z1308</f>
        <v>23888728.417229161</v>
      </c>
      <c r="AB1308" s="166">
        <v>0</v>
      </c>
      <c r="AC1308" s="166">
        <v>0</v>
      </c>
      <c r="AD1308" s="164">
        <f>($L1308*'Pivot Objective'!$C$9^5)*AB1308*AC1308</f>
        <v>0</v>
      </c>
      <c r="AE1308" s="166">
        <v>0</v>
      </c>
      <c r="AF1308" s="166">
        <v>0</v>
      </c>
      <c r="AG1308" s="164">
        <f>($L1308*'Pivot Objective'!$C$9^6)*AE1308*AF1308</f>
        <v>0</v>
      </c>
      <c r="AH1308" s="166">
        <v>25</v>
      </c>
      <c r="AI1308" s="166">
        <v>5</v>
      </c>
      <c r="AJ1308" s="164">
        <f>($L1308*'Pivot Objective'!$C$9^7)*AH1308*AI1308</f>
        <v>11145301.025037881</v>
      </c>
      <c r="AK1308" s="185">
        <f t="shared" si="152"/>
        <v>39409029.442267045</v>
      </c>
      <c r="AL1308" s="186">
        <f t="shared" si="153"/>
        <v>38261.193633268973</v>
      </c>
    </row>
    <row r="1309" spans="1:39" customFormat="1" ht="72" x14ac:dyDescent="0.3">
      <c r="A1309" s="140" t="s">
        <v>1484</v>
      </c>
      <c r="B1309" s="140">
        <v>3</v>
      </c>
      <c r="C1309" s="166" t="s">
        <v>696</v>
      </c>
      <c r="D1309" s="140" t="str">
        <f t="shared" si="138"/>
        <v>1</v>
      </c>
      <c r="E1309" s="166" t="s">
        <v>689</v>
      </c>
      <c r="F1309" s="140">
        <f t="shared" si="158"/>
        <v>1</v>
      </c>
      <c r="G1309" s="140" t="str">
        <f t="shared" si="139"/>
        <v>3.1.1</v>
      </c>
      <c r="H1309" s="166" t="s">
        <v>1714</v>
      </c>
      <c r="I1309" s="166" t="s">
        <v>2</v>
      </c>
      <c r="J1309" s="166" t="s">
        <v>188</v>
      </c>
      <c r="K1309" s="166" t="s">
        <v>716</v>
      </c>
      <c r="L1309" s="177">
        <v>39000</v>
      </c>
      <c r="M1309" s="166">
        <v>58</v>
      </c>
      <c r="N1309" s="166">
        <v>5</v>
      </c>
      <c r="O1309" s="164">
        <f t="shared" si="151"/>
        <v>11310000</v>
      </c>
      <c r="P1309" s="166">
        <v>0</v>
      </c>
      <c r="Q1309" s="166">
        <v>0</v>
      </c>
      <c r="R1309" s="164">
        <f>$L1309*'Pivot Objective'!$C$9*P1309*Q1309</f>
        <v>0</v>
      </c>
      <c r="S1309" s="166">
        <v>0</v>
      </c>
      <c r="T1309" s="166">
        <v>0</v>
      </c>
      <c r="U1309" s="164">
        <f>($L1309*'Pivot Objective'!$C$9^2)*S1309*T1309</f>
        <v>0</v>
      </c>
      <c r="V1309" s="166">
        <v>0</v>
      </c>
      <c r="W1309" s="166">
        <v>0</v>
      </c>
      <c r="X1309" s="164">
        <f>($L1309*'Pivot Objective'!$C$9^3)*V1309*W1309</f>
        <v>0</v>
      </c>
      <c r="Y1309" s="166">
        <v>40</v>
      </c>
      <c r="Z1309" s="166">
        <v>3</v>
      </c>
      <c r="AA1309" s="164">
        <f>($L1309*'Pivot Objective'!$C$9^4)*Y1309*Z1309</f>
        <v>7985660.6423308905</v>
      </c>
      <c r="AB1309" s="166">
        <v>0</v>
      </c>
      <c r="AC1309" s="166">
        <v>0</v>
      </c>
      <c r="AD1309" s="164">
        <f>($L1309*'Pivot Objective'!$C$9^5)*AB1309*AC1309</f>
        <v>0</v>
      </c>
      <c r="AE1309" s="166">
        <v>0</v>
      </c>
      <c r="AF1309" s="166">
        <v>0</v>
      </c>
      <c r="AG1309" s="164">
        <f>($L1309*'Pivot Objective'!$C$9^6)*AE1309*AF1309</f>
        <v>0</v>
      </c>
      <c r="AH1309" s="166">
        <v>58</v>
      </c>
      <c r="AI1309" s="166">
        <v>5</v>
      </c>
      <c r="AJ1309" s="164">
        <f>($L1309*'Pivot Objective'!$C$9^7)*AH1309*AI1309</f>
        <v>28812195.335583642</v>
      </c>
      <c r="AK1309" s="185">
        <f t="shared" si="152"/>
        <v>48107855.977914535</v>
      </c>
      <c r="AL1309" s="186">
        <f t="shared" si="153"/>
        <v>46706.656289237413</v>
      </c>
    </row>
    <row r="1310" spans="1:39" customFormat="1" ht="72" x14ac:dyDescent="0.3">
      <c r="A1310" s="140" t="s">
        <v>1484</v>
      </c>
      <c r="B1310" s="140">
        <v>3</v>
      </c>
      <c r="C1310" s="166" t="s">
        <v>696</v>
      </c>
      <c r="D1310" s="140" t="str">
        <f t="shared" si="138"/>
        <v>1</v>
      </c>
      <c r="E1310" s="166" t="s">
        <v>689</v>
      </c>
      <c r="F1310" s="140">
        <f t="shared" si="158"/>
        <v>1</v>
      </c>
      <c r="G1310" s="140" t="str">
        <f t="shared" si="139"/>
        <v>3.1.1</v>
      </c>
      <c r="H1310" s="166" t="s">
        <v>1714</v>
      </c>
      <c r="I1310" s="166" t="s">
        <v>2</v>
      </c>
      <c r="J1310" s="166" t="s">
        <v>188</v>
      </c>
      <c r="K1310" s="166" t="s">
        <v>709</v>
      </c>
      <c r="L1310" s="177">
        <v>35000</v>
      </c>
      <c r="M1310" s="166">
        <v>100</v>
      </c>
      <c r="N1310" s="166">
        <v>5</v>
      </c>
      <c r="O1310" s="164">
        <f t="shared" si="151"/>
        <v>17500000</v>
      </c>
      <c r="P1310" s="166">
        <v>0</v>
      </c>
      <c r="Q1310" s="166">
        <v>0</v>
      </c>
      <c r="R1310" s="164">
        <f>$L1310*'Pivot Objective'!$C$9*P1310*Q1310</f>
        <v>0</v>
      </c>
      <c r="S1310" s="166">
        <v>0</v>
      </c>
      <c r="T1310" s="166">
        <v>0</v>
      </c>
      <c r="U1310" s="164">
        <f>($L1310*'Pivot Objective'!$C$9^2)*S1310*T1310</f>
        <v>0</v>
      </c>
      <c r="V1310" s="166">
        <v>0</v>
      </c>
      <c r="W1310" s="166">
        <v>0</v>
      </c>
      <c r="X1310" s="164">
        <f>($L1310*'Pivot Objective'!$C$9^3)*V1310*W1310</f>
        <v>0</v>
      </c>
      <c r="Y1310" s="166">
        <v>40</v>
      </c>
      <c r="Z1310" s="166">
        <v>3</v>
      </c>
      <c r="AA1310" s="164">
        <f>($L1310*'Pivot Objective'!$C$9^4)*Y1310*Z1310</f>
        <v>7166618.5251687476</v>
      </c>
      <c r="AB1310" s="166">
        <v>0</v>
      </c>
      <c r="AC1310" s="166">
        <v>0</v>
      </c>
      <c r="AD1310" s="164">
        <f>($L1310*'Pivot Objective'!$C$9^5)*AB1310*AC1310</f>
        <v>0</v>
      </c>
      <c r="AE1310" s="166">
        <v>0</v>
      </c>
      <c r="AF1310" s="166">
        <v>0</v>
      </c>
      <c r="AG1310" s="164">
        <f>($L1310*'Pivot Objective'!$C$9^6)*AE1310*AF1310</f>
        <v>0</v>
      </c>
      <c r="AH1310" s="166">
        <v>100</v>
      </c>
      <c r="AI1310" s="166">
        <v>5</v>
      </c>
      <c r="AJ1310" s="164">
        <f>($L1310*'Pivot Objective'!$C$9^7)*AH1310*AI1310</f>
        <v>44581204.100151524</v>
      </c>
      <c r="AK1310" s="185">
        <f t="shared" si="152"/>
        <v>69247822.625320271</v>
      </c>
      <c r="AL1310" s="186">
        <f t="shared" si="153"/>
        <v>67230.895752738128</v>
      </c>
    </row>
    <row r="1311" spans="1:39" customFormat="1" ht="72" x14ac:dyDescent="0.3">
      <c r="A1311" s="140" t="s">
        <v>1484</v>
      </c>
      <c r="B1311" s="140">
        <v>3</v>
      </c>
      <c r="C1311" s="166" t="s">
        <v>696</v>
      </c>
      <c r="D1311" s="140" t="str">
        <f t="shared" si="138"/>
        <v>1</v>
      </c>
      <c r="E1311" s="166" t="s">
        <v>689</v>
      </c>
      <c r="F1311" s="140">
        <f t="shared" si="158"/>
        <v>1</v>
      </c>
      <c r="G1311" s="140" t="str">
        <f t="shared" si="139"/>
        <v>3.1.1</v>
      </c>
      <c r="H1311" s="166" t="s">
        <v>1714</v>
      </c>
      <c r="I1311" s="166" t="s">
        <v>2</v>
      </c>
      <c r="J1311" s="166" t="s">
        <v>188</v>
      </c>
      <c r="K1311" s="166" t="s">
        <v>1350</v>
      </c>
      <c r="L1311" s="177">
        <f>1480/7</f>
        <v>211.42857142857142</v>
      </c>
      <c r="M1311" s="166">
        <f>2*135*29</f>
        <v>7830</v>
      </c>
      <c r="N1311" s="166">
        <v>1</v>
      </c>
      <c r="O1311" s="164">
        <f t="shared" si="151"/>
        <v>1655485.7142857141</v>
      </c>
      <c r="P1311" s="166"/>
      <c r="Q1311" s="166"/>
      <c r="R1311" s="164">
        <f>$L1311*'Pivot Objective'!$C$9*P1311*Q1311</f>
        <v>0</v>
      </c>
      <c r="S1311" s="166"/>
      <c r="T1311" s="166"/>
      <c r="U1311" s="164">
        <f>($L1311*'Pivot Objective'!$C$9^2)*S1311*T1311</f>
        <v>0</v>
      </c>
      <c r="V1311" s="166"/>
      <c r="W1311" s="166"/>
      <c r="X1311" s="164">
        <f>($L1311*'Pivot Objective'!$C$9^3)*V1311*W1311</f>
        <v>0</v>
      </c>
      <c r="Y1311" s="166"/>
      <c r="Z1311" s="166"/>
      <c r="AA1311" s="164">
        <f>($L1311*'Pivot Objective'!$C$9^4)*Y1311*Z1311</f>
        <v>0</v>
      </c>
      <c r="AB1311" s="166"/>
      <c r="AC1311" s="166"/>
      <c r="AD1311" s="164">
        <f>($L1311*'Pivot Objective'!$C$9^5)*AB1311*AC1311</f>
        <v>0</v>
      </c>
      <c r="AE1311" s="166"/>
      <c r="AF1311" s="166"/>
      <c r="AG1311" s="164">
        <f>($L1311*'Pivot Objective'!$C$9^6)*AE1311*AF1311</f>
        <v>0</v>
      </c>
      <c r="AH1311" s="166">
        <f>2*135*29</f>
        <v>7830</v>
      </c>
      <c r="AI1311" s="166">
        <v>1</v>
      </c>
      <c r="AJ1311" s="164">
        <f>($L1311*'Pivot Objective'!$C$9^7)*AH1311*AI1311</f>
        <v>4217345.5150546599</v>
      </c>
      <c r="AK1311" s="185">
        <f t="shared" si="152"/>
        <v>5872831.2293403745</v>
      </c>
      <c r="AL1311" s="186">
        <f t="shared" si="153"/>
        <v>5701.7778925634702</v>
      </c>
    </row>
    <row r="1312" spans="1:39" customFormat="1" ht="72" x14ac:dyDescent="0.3">
      <c r="A1312" s="140" t="s">
        <v>1484</v>
      </c>
      <c r="B1312" s="140">
        <v>3</v>
      </c>
      <c r="C1312" s="166" t="s">
        <v>696</v>
      </c>
      <c r="D1312" s="140" t="str">
        <f t="shared" si="138"/>
        <v>1</v>
      </c>
      <c r="E1312" s="166" t="s">
        <v>689</v>
      </c>
      <c r="F1312" s="140">
        <f t="shared" si="158"/>
        <v>1</v>
      </c>
      <c r="G1312" s="140" t="str">
        <f t="shared" si="139"/>
        <v>3.1.1</v>
      </c>
      <c r="H1312" s="166" t="s">
        <v>1714</v>
      </c>
      <c r="I1312" s="166" t="s">
        <v>2</v>
      </c>
      <c r="J1312" s="166" t="s">
        <v>188</v>
      </c>
      <c r="K1312" s="166" t="s">
        <v>712</v>
      </c>
      <c r="L1312" s="177">
        <f>1480/7</f>
        <v>211.42857142857142</v>
      </c>
      <c r="M1312" s="166">
        <f>25*2*29</f>
        <v>1450</v>
      </c>
      <c r="N1312" s="166">
        <v>5</v>
      </c>
      <c r="O1312" s="164">
        <f t="shared" si="151"/>
        <v>1532857.142857143</v>
      </c>
      <c r="P1312" s="166">
        <v>0</v>
      </c>
      <c r="Q1312" s="166">
        <v>0</v>
      </c>
      <c r="R1312" s="164">
        <f>$L1312*'Pivot Objective'!$C$9*P1312*Q1312</f>
        <v>0</v>
      </c>
      <c r="S1312" s="166">
        <v>0</v>
      </c>
      <c r="T1312" s="166">
        <v>0</v>
      </c>
      <c r="U1312" s="164">
        <f>($L1312*'Pivot Objective'!$C$9^2)*S1312*T1312</f>
        <v>0</v>
      </c>
      <c r="V1312" s="166">
        <v>0</v>
      </c>
      <c r="W1312" s="166">
        <v>0</v>
      </c>
      <c r="X1312" s="164">
        <f>($L1312*'Pivot Objective'!$C$9^3)*V1312*W1312</f>
        <v>0</v>
      </c>
      <c r="Y1312" s="166">
        <v>8000</v>
      </c>
      <c r="Z1312" s="166">
        <v>1</v>
      </c>
      <c r="AA1312" s="164">
        <f>($L1312*'Pivot Objective'!$C$9^4)*Y1312*Z1312</f>
        <v>2886148.4128570738</v>
      </c>
      <c r="AB1312" s="166">
        <v>0</v>
      </c>
      <c r="AC1312" s="166">
        <v>0</v>
      </c>
      <c r="AD1312" s="164">
        <f>($L1312*'Pivot Objective'!$C$9^5)*AB1312*AC1312</f>
        <v>0</v>
      </c>
      <c r="AE1312" s="166">
        <v>0</v>
      </c>
      <c r="AF1312" s="166">
        <v>0</v>
      </c>
      <c r="AG1312" s="164">
        <f>($L1312*'Pivot Objective'!$C$9^6)*AE1312*AF1312</f>
        <v>0</v>
      </c>
      <c r="AH1312" s="166">
        <f>25*2*29</f>
        <v>1450</v>
      </c>
      <c r="AI1312" s="166">
        <v>5</v>
      </c>
      <c r="AJ1312" s="164">
        <f>($L1312*'Pivot Objective'!$C$9^7)*AH1312*AI1312</f>
        <v>3904949.5509765372</v>
      </c>
      <c r="AK1312" s="185">
        <f t="shared" si="152"/>
        <v>8323955.1066907542</v>
      </c>
      <c r="AL1312" s="186">
        <f t="shared" si="153"/>
        <v>8081.509812321121</v>
      </c>
    </row>
    <row r="1313" spans="1:38" customFormat="1" ht="72" x14ac:dyDescent="0.3">
      <c r="A1313" s="140" t="s">
        <v>1484</v>
      </c>
      <c r="B1313" s="140">
        <v>3</v>
      </c>
      <c r="C1313" s="166" t="s">
        <v>696</v>
      </c>
      <c r="D1313" s="140" t="str">
        <f t="shared" si="138"/>
        <v>1</v>
      </c>
      <c r="E1313" s="166" t="s">
        <v>689</v>
      </c>
      <c r="F1313" s="140">
        <f t="shared" si="158"/>
        <v>1</v>
      </c>
      <c r="G1313" s="140" t="str">
        <f t="shared" si="139"/>
        <v>3.1.1</v>
      </c>
      <c r="H1313" s="166" t="s">
        <v>1714</v>
      </c>
      <c r="I1313" s="166" t="s">
        <v>2</v>
      </c>
      <c r="J1313" s="166" t="s">
        <v>1372</v>
      </c>
      <c r="K1313" s="166" t="s">
        <v>716</v>
      </c>
      <c r="L1313" s="177">
        <v>39000</v>
      </c>
      <c r="M1313" s="166">
        <v>25</v>
      </c>
      <c r="N1313" s="166">
        <v>5</v>
      </c>
      <c r="O1313" s="164">
        <f t="shared" si="151"/>
        <v>4875000</v>
      </c>
      <c r="P1313" s="166">
        <v>0</v>
      </c>
      <c r="Q1313" s="166">
        <v>0</v>
      </c>
      <c r="R1313" s="164">
        <f>$L1313*'Pivot Objective'!$C$9*P1313*Q1313</f>
        <v>0</v>
      </c>
      <c r="S1313" s="166">
        <v>0</v>
      </c>
      <c r="T1313" s="166">
        <v>0</v>
      </c>
      <c r="U1313" s="164">
        <f>($L1313*'Pivot Objective'!$C$9^2)*S1313*T1313</f>
        <v>0</v>
      </c>
      <c r="V1313" s="166">
        <v>0</v>
      </c>
      <c r="W1313" s="166">
        <v>0</v>
      </c>
      <c r="X1313" s="164">
        <f>($L1313*'Pivot Objective'!$C$9^3)*V1313*W1313</f>
        <v>0</v>
      </c>
      <c r="Y1313" s="166">
        <v>40</v>
      </c>
      <c r="Z1313" s="166">
        <v>2</v>
      </c>
      <c r="AA1313" s="164">
        <f>($L1313*'Pivot Objective'!$C$9^4)*Y1313*Z1313</f>
        <v>5323773.7615539273</v>
      </c>
      <c r="AB1313" s="166">
        <v>0</v>
      </c>
      <c r="AC1313" s="166">
        <v>0</v>
      </c>
      <c r="AD1313" s="164">
        <f>($L1313*'Pivot Objective'!$C$9^5)*AB1313*AC1313</f>
        <v>0</v>
      </c>
      <c r="AE1313" s="166">
        <v>0</v>
      </c>
      <c r="AF1313" s="166">
        <v>0</v>
      </c>
      <c r="AG1313" s="164">
        <f>($L1313*'Pivot Objective'!$C$9^6)*AE1313*AF1313</f>
        <v>0</v>
      </c>
      <c r="AH1313" s="166">
        <v>25</v>
      </c>
      <c r="AI1313" s="166">
        <v>5</v>
      </c>
      <c r="AJ1313" s="164">
        <f>($L1313*'Pivot Objective'!$C$9^7)*AH1313*AI1313</f>
        <v>12419049.713613637</v>
      </c>
      <c r="AK1313" s="185">
        <f t="shared" si="152"/>
        <v>22617823.475167565</v>
      </c>
      <c r="AL1313" s="186">
        <f t="shared" si="153"/>
        <v>21959.051917638411</v>
      </c>
    </row>
    <row r="1314" spans="1:38" customFormat="1" ht="72" x14ac:dyDescent="0.3">
      <c r="A1314" s="140" t="s">
        <v>1484</v>
      </c>
      <c r="B1314" s="140">
        <v>3</v>
      </c>
      <c r="C1314" s="166" t="s">
        <v>696</v>
      </c>
      <c r="D1314" s="140" t="str">
        <f t="shared" si="138"/>
        <v>1</v>
      </c>
      <c r="E1314" s="166" t="s">
        <v>689</v>
      </c>
      <c r="F1314" s="140">
        <f t="shared" si="158"/>
        <v>1</v>
      </c>
      <c r="G1314" s="140" t="str">
        <f t="shared" si="139"/>
        <v>3.1.1</v>
      </c>
      <c r="H1314" s="166" t="s">
        <v>1714</v>
      </c>
      <c r="I1314" s="166" t="s">
        <v>2</v>
      </c>
      <c r="J1314" s="166" t="s">
        <v>1372</v>
      </c>
      <c r="K1314" s="166" t="s">
        <v>709</v>
      </c>
      <c r="L1314" s="177">
        <v>35000</v>
      </c>
      <c r="M1314" s="166">
        <v>25</v>
      </c>
      <c r="N1314" s="166">
        <v>5</v>
      </c>
      <c r="O1314" s="164">
        <f t="shared" si="151"/>
        <v>4375000</v>
      </c>
      <c r="P1314" s="166">
        <v>0</v>
      </c>
      <c r="Q1314" s="166">
        <v>0</v>
      </c>
      <c r="R1314" s="164">
        <f>$L1314*'Pivot Objective'!$C$9*P1314*Q1314</f>
        <v>0</v>
      </c>
      <c r="S1314" s="166">
        <v>0</v>
      </c>
      <c r="T1314" s="166">
        <v>0</v>
      </c>
      <c r="U1314" s="164">
        <f>($L1314*'Pivot Objective'!$C$9^2)*S1314*T1314</f>
        <v>0</v>
      </c>
      <c r="V1314" s="166">
        <v>0</v>
      </c>
      <c r="W1314" s="166">
        <v>0</v>
      </c>
      <c r="X1314" s="164">
        <f>($L1314*'Pivot Objective'!$C$9^3)*V1314*W1314</f>
        <v>0</v>
      </c>
      <c r="Y1314" s="166">
        <v>40</v>
      </c>
      <c r="Z1314" s="166">
        <v>2</v>
      </c>
      <c r="AA1314" s="164">
        <f>($L1314*'Pivot Objective'!$C$9^4)*Y1314*Z1314</f>
        <v>4777745.6834458318</v>
      </c>
      <c r="AB1314" s="166">
        <v>0</v>
      </c>
      <c r="AC1314" s="166">
        <v>0</v>
      </c>
      <c r="AD1314" s="164">
        <f>($L1314*'Pivot Objective'!$C$9^5)*AB1314*AC1314</f>
        <v>0</v>
      </c>
      <c r="AE1314" s="166">
        <v>0</v>
      </c>
      <c r="AF1314" s="166">
        <v>0</v>
      </c>
      <c r="AG1314" s="164">
        <f>($L1314*'Pivot Objective'!$C$9^6)*AE1314*AF1314</f>
        <v>0</v>
      </c>
      <c r="AH1314" s="166">
        <v>25</v>
      </c>
      <c r="AI1314" s="166">
        <v>5</v>
      </c>
      <c r="AJ1314" s="164">
        <f>($L1314*'Pivot Objective'!$C$9^7)*AH1314*AI1314</f>
        <v>11145301.025037881</v>
      </c>
      <c r="AK1314" s="185">
        <f t="shared" si="152"/>
        <v>20298046.708483711</v>
      </c>
      <c r="AL1314" s="186">
        <f t="shared" si="153"/>
        <v>19706.841464547291</v>
      </c>
    </row>
    <row r="1315" spans="1:38" customFormat="1" ht="72" x14ac:dyDescent="0.3">
      <c r="A1315" s="140" t="s">
        <v>1484</v>
      </c>
      <c r="B1315" s="140">
        <v>3</v>
      </c>
      <c r="C1315" s="166" t="s">
        <v>696</v>
      </c>
      <c r="D1315" s="140" t="str">
        <f t="shared" si="138"/>
        <v>1</v>
      </c>
      <c r="E1315" s="166" t="s">
        <v>689</v>
      </c>
      <c r="F1315" s="140">
        <f t="shared" si="158"/>
        <v>1</v>
      </c>
      <c r="G1315" s="140" t="str">
        <f t="shared" si="139"/>
        <v>3.1.1</v>
      </c>
      <c r="H1315" s="166" t="s">
        <v>1714</v>
      </c>
      <c r="I1315" s="166" t="s">
        <v>2</v>
      </c>
      <c r="J1315" s="166" t="s">
        <v>1372</v>
      </c>
      <c r="K1315" s="166" t="s">
        <v>1350</v>
      </c>
      <c r="L1315" s="177">
        <f>1480/7</f>
        <v>211.42857142857142</v>
      </c>
      <c r="M1315" s="166">
        <f>2*135*9</f>
        <v>2430</v>
      </c>
      <c r="N1315" s="166">
        <v>1</v>
      </c>
      <c r="O1315" s="164">
        <f t="shared" si="151"/>
        <v>513771.42857142852</v>
      </c>
      <c r="P1315" s="166"/>
      <c r="Q1315" s="166"/>
      <c r="R1315" s="164">
        <f>$L1315*'Pivot Objective'!$C$9*P1315*Q1315</f>
        <v>0</v>
      </c>
      <c r="S1315" s="166"/>
      <c r="T1315" s="166"/>
      <c r="U1315" s="164">
        <f>($L1315*'Pivot Objective'!$C$9^2)*S1315*T1315</f>
        <v>0</v>
      </c>
      <c r="V1315" s="166"/>
      <c r="W1315" s="166"/>
      <c r="X1315" s="164">
        <f>($L1315*'Pivot Objective'!$C$9^3)*V1315*W1315</f>
        <v>0</v>
      </c>
      <c r="Y1315" s="166"/>
      <c r="Z1315" s="166"/>
      <c r="AA1315" s="164">
        <f>($L1315*'Pivot Objective'!$C$9^4)*Y1315*Z1315</f>
        <v>0</v>
      </c>
      <c r="AB1315" s="166"/>
      <c r="AC1315" s="166"/>
      <c r="AD1315" s="164">
        <f>($L1315*'Pivot Objective'!$C$9^5)*AB1315*AC1315</f>
        <v>0</v>
      </c>
      <c r="AE1315" s="166"/>
      <c r="AF1315" s="166"/>
      <c r="AG1315" s="164">
        <f>($L1315*'Pivot Objective'!$C$9^6)*AE1315*AF1315</f>
        <v>0</v>
      </c>
      <c r="AH1315" s="166">
        <f>2*135*9</f>
        <v>2430</v>
      </c>
      <c r="AI1315" s="166">
        <v>1</v>
      </c>
      <c r="AJ1315" s="164">
        <f>($L1315*'Pivot Objective'!$C$9^7)*AH1315*AI1315</f>
        <v>1308831.3667411015</v>
      </c>
      <c r="AK1315" s="185">
        <f t="shared" si="152"/>
        <v>1822602.7953125299</v>
      </c>
      <c r="AL1315" s="186">
        <f t="shared" si="153"/>
        <v>1769.5172770024562</v>
      </c>
    </row>
    <row r="1316" spans="1:38" customFormat="1" ht="72" x14ac:dyDescent="0.3">
      <c r="A1316" s="140" t="s">
        <v>1484</v>
      </c>
      <c r="B1316" s="140">
        <v>3</v>
      </c>
      <c r="C1316" s="166" t="s">
        <v>696</v>
      </c>
      <c r="D1316" s="140" t="str">
        <f t="shared" si="138"/>
        <v>1</v>
      </c>
      <c r="E1316" s="166" t="s">
        <v>689</v>
      </c>
      <c r="F1316" s="140">
        <f t="shared" si="158"/>
        <v>1</v>
      </c>
      <c r="G1316" s="140" t="str">
        <f t="shared" si="139"/>
        <v>3.1.1</v>
      </c>
      <c r="H1316" s="166" t="s">
        <v>1714</v>
      </c>
      <c r="I1316" s="166" t="s">
        <v>2</v>
      </c>
      <c r="J1316" s="166" t="s">
        <v>1372</v>
      </c>
      <c r="K1316" s="166" t="s">
        <v>712</v>
      </c>
      <c r="L1316" s="177">
        <f>1480/7</f>
        <v>211.42857142857142</v>
      </c>
      <c r="M1316" s="166">
        <f>25*2*9</f>
        <v>450</v>
      </c>
      <c r="N1316" s="166">
        <v>5</v>
      </c>
      <c r="O1316" s="164">
        <f t="shared" si="151"/>
        <v>475714.28571428568</v>
      </c>
      <c r="P1316" s="166">
        <v>0</v>
      </c>
      <c r="Q1316" s="166">
        <v>0</v>
      </c>
      <c r="R1316" s="164">
        <f>$L1316*'Pivot Objective'!$C$9*P1316*Q1316</f>
        <v>0</v>
      </c>
      <c r="S1316" s="166">
        <v>0</v>
      </c>
      <c r="T1316" s="166">
        <v>0</v>
      </c>
      <c r="U1316" s="164">
        <f>($L1316*'Pivot Objective'!$C$9^2)*S1316*T1316</f>
        <v>0</v>
      </c>
      <c r="V1316" s="166">
        <v>0</v>
      </c>
      <c r="W1316" s="166">
        <v>0</v>
      </c>
      <c r="X1316" s="164">
        <f>($L1316*'Pivot Objective'!$C$9^3)*V1316*W1316</f>
        <v>0</v>
      </c>
      <c r="Y1316" s="166">
        <v>15000</v>
      </c>
      <c r="Z1316" s="166">
        <v>1</v>
      </c>
      <c r="AA1316" s="164">
        <f>($L1316*'Pivot Objective'!$C$9^4)*Y1316*Z1316</f>
        <v>5411528.2741070129</v>
      </c>
      <c r="AB1316" s="166">
        <v>0</v>
      </c>
      <c r="AC1316" s="166">
        <v>0</v>
      </c>
      <c r="AD1316" s="164">
        <f>($L1316*'Pivot Objective'!$C$9^5)*AB1316*AC1316</f>
        <v>0</v>
      </c>
      <c r="AE1316" s="166">
        <v>0</v>
      </c>
      <c r="AF1316" s="166">
        <v>0</v>
      </c>
      <c r="AG1316" s="164">
        <f>($L1316*'Pivot Objective'!$C$9^6)*AE1316*AF1316</f>
        <v>0</v>
      </c>
      <c r="AH1316" s="166">
        <f>25*2*9</f>
        <v>450</v>
      </c>
      <c r="AI1316" s="166">
        <v>5</v>
      </c>
      <c r="AJ1316" s="164">
        <f>($L1316*'Pivot Objective'!$C$9^7)*AH1316*AI1316</f>
        <v>1211880.8951306494</v>
      </c>
      <c r="AK1316" s="185">
        <f t="shared" si="152"/>
        <v>7099123.4549519476</v>
      </c>
      <c r="AL1316" s="186">
        <f t="shared" si="153"/>
        <v>6892.3528688853858</v>
      </c>
    </row>
    <row r="1317" spans="1:38" customFormat="1" ht="72" x14ac:dyDescent="0.3">
      <c r="A1317" s="140" t="s">
        <v>1484</v>
      </c>
      <c r="B1317" s="140">
        <v>3</v>
      </c>
      <c r="C1317" s="166" t="s">
        <v>696</v>
      </c>
      <c r="D1317" s="140" t="str">
        <f t="shared" si="138"/>
        <v>1</v>
      </c>
      <c r="E1317" s="166" t="s">
        <v>689</v>
      </c>
      <c r="F1317" s="140">
        <f t="shared" si="158"/>
        <v>1</v>
      </c>
      <c r="G1317" s="140" t="str">
        <f t="shared" si="139"/>
        <v>3.1.1</v>
      </c>
      <c r="H1317" s="166" t="s">
        <v>1714</v>
      </c>
      <c r="I1317" s="166" t="s">
        <v>3</v>
      </c>
      <c r="J1317" s="166" t="s">
        <v>190</v>
      </c>
      <c r="K1317" s="166" t="s">
        <v>716</v>
      </c>
      <c r="L1317" s="177">
        <v>39000</v>
      </c>
      <c r="M1317" s="166">
        <v>25</v>
      </c>
      <c r="N1317" s="166">
        <v>5</v>
      </c>
      <c r="O1317" s="164">
        <f t="shared" si="151"/>
        <v>4875000</v>
      </c>
      <c r="P1317" s="166">
        <v>0</v>
      </c>
      <c r="Q1317" s="166">
        <v>0</v>
      </c>
      <c r="R1317" s="164">
        <f>$L1317*'Pivot Objective'!$C$9*P1317*Q1317</f>
        <v>0</v>
      </c>
      <c r="S1317" s="166">
        <v>0</v>
      </c>
      <c r="T1317" s="166">
        <v>0</v>
      </c>
      <c r="U1317" s="164">
        <f>($L1317*'Pivot Objective'!$C$9^2)*S1317*T1317</f>
        <v>0</v>
      </c>
      <c r="V1317" s="166">
        <v>0</v>
      </c>
      <c r="W1317" s="166">
        <v>0</v>
      </c>
      <c r="X1317" s="164">
        <f>($L1317*'Pivot Objective'!$C$9^3)*V1317*W1317</f>
        <v>0</v>
      </c>
      <c r="Y1317" s="166">
        <v>20</v>
      </c>
      <c r="Z1317" s="166">
        <v>10</v>
      </c>
      <c r="AA1317" s="164">
        <f>($L1317*'Pivot Objective'!$C$9^4)*Y1317*Z1317</f>
        <v>13309434.403884819</v>
      </c>
      <c r="AB1317" s="166">
        <v>0</v>
      </c>
      <c r="AC1317" s="166">
        <v>0</v>
      </c>
      <c r="AD1317" s="164">
        <f>($L1317*'Pivot Objective'!$C$9^5)*AB1317*AC1317</f>
        <v>0</v>
      </c>
      <c r="AE1317" s="166">
        <v>0</v>
      </c>
      <c r="AF1317" s="166">
        <v>0</v>
      </c>
      <c r="AG1317" s="164">
        <f>($L1317*'Pivot Objective'!$C$9^6)*AE1317*AF1317</f>
        <v>0</v>
      </c>
      <c r="AH1317" s="166">
        <v>25</v>
      </c>
      <c r="AI1317" s="166">
        <v>5</v>
      </c>
      <c r="AJ1317" s="164">
        <f>($L1317*'Pivot Objective'!$C$9^7)*AH1317*AI1317</f>
        <v>12419049.713613637</v>
      </c>
      <c r="AK1317" s="185">
        <f t="shared" si="152"/>
        <v>30603484.117498457</v>
      </c>
      <c r="AL1317" s="186">
        <f t="shared" si="153"/>
        <v>29712.120502425685</v>
      </c>
    </row>
    <row r="1318" spans="1:38" customFormat="1" ht="72" x14ac:dyDescent="0.3">
      <c r="A1318" s="140" t="s">
        <v>1484</v>
      </c>
      <c r="B1318" s="140">
        <v>3</v>
      </c>
      <c r="C1318" s="166" t="s">
        <v>696</v>
      </c>
      <c r="D1318" s="140" t="str">
        <f t="shared" si="138"/>
        <v>1</v>
      </c>
      <c r="E1318" s="166" t="s">
        <v>689</v>
      </c>
      <c r="F1318" s="140">
        <f t="shared" si="158"/>
        <v>1</v>
      </c>
      <c r="G1318" s="140" t="str">
        <f t="shared" si="139"/>
        <v>3.1.1</v>
      </c>
      <c r="H1318" s="166" t="s">
        <v>1714</v>
      </c>
      <c r="I1318" s="166" t="s">
        <v>3</v>
      </c>
      <c r="J1318" s="166" t="s">
        <v>190</v>
      </c>
      <c r="K1318" s="166" t="s">
        <v>709</v>
      </c>
      <c r="L1318" s="177">
        <v>35000</v>
      </c>
      <c r="M1318" s="166">
        <v>25</v>
      </c>
      <c r="N1318" s="166">
        <v>5</v>
      </c>
      <c r="O1318" s="164">
        <f t="shared" si="151"/>
        <v>4375000</v>
      </c>
      <c r="P1318" s="166">
        <v>0</v>
      </c>
      <c r="Q1318" s="166">
        <v>0</v>
      </c>
      <c r="R1318" s="164">
        <f>$L1318*'Pivot Objective'!$C$9*P1318*Q1318</f>
        <v>0</v>
      </c>
      <c r="S1318" s="166">
        <v>0</v>
      </c>
      <c r="T1318" s="166">
        <v>0</v>
      </c>
      <c r="U1318" s="164">
        <f>($L1318*'Pivot Objective'!$C$9^2)*S1318*T1318</f>
        <v>0</v>
      </c>
      <c r="V1318" s="166">
        <v>0</v>
      </c>
      <c r="W1318" s="166">
        <v>0</v>
      </c>
      <c r="X1318" s="164">
        <f>($L1318*'Pivot Objective'!$C$9^3)*V1318*W1318</f>
        <v>0</v>
      </c>
      <c r="Y1318" s="166">
        <v>20</v>
      </c>
      <c r="Z1318" s="166">
        <v>10</v>
      </c>
      <c r="AA1318" s="164">
        <f>($L1318*'Pivot Objective'!$C$9^4)*Y1318*Z1318</f>
        <v>11944364.20861458</v>
      </c>
      <c r="AB1318" s="166">
        <v>0</v>
      </c>
      <c r="AC1318" s="166">
        <v>0</v>
      </c>
      <c r="AD1318" s="164">
        <f>($L1318*'Pivot Objective'!$C$9^5)*AB1318*AC1318</f>
        <v>0</v>
      </c>
      <c r="AE1318" s="166">
        <v>0</v>
      </c>
      <c r="AF1318" s="166">
        <v>0</v>
      </c>
      <c r="AG1318" s="164">
        <f>($L1318*'Pivot Objective'!$C$9^6)*AE1318*AF1318</f>
        <v>0</v>
      </c>
      <c r="AH1318" s="166">
        <v>25</v>
      </c>
      <c r="AI1318" s="166">
        <v>5</v>
      </c>
      <c r="AJ1318" s="164">
        <f>($L1318*'Pivot Objective'!$C$9^7)*AH1318*AI1318</f>
        <v>11145301.025037881</v>
      </c>
      <c r="AK1318" s="185">
        <f t="shared" si="152"/>
        <v>27464665.233652461</v>
      </c>
      <c r="AL1318" s="186">
        <f t="shared" si="153"/>
        <v>26664.723527817925</v>
      </c>
    </row>
    <row r="1319" spans="1:38" customFormat="1" ht="72" x14ac:dyDescent="0.3">
      <c r="A1319" s="140" t="s">
        <v>1484</v>
      </c>
      <c r="B1319" s="140">
        <v>3</v>
      </c>
      <c r="C1319" s="166" t="s">
        <v>696</v>
      </c>
      <c r="D1319" s="140" t="str">
        <f t="shared" si="138"/>
        <v>1</v>
      </c>
      <c r="E1319" s="166" t="s">
        <v>689</v>
      </c>
      <c r="F1319" s="140">
        <f t="shared" si="158"/>
        <v>1</v>
      </c>
      <c r="G1319" s="140" t="str">
        <f t="shared" si="139"/>
        <v>3.1.1</v>
      </c>
      <c r="H1319" s="166" t="s">
        <v>1714</v>
      </c>
      <c r="I1319" s="166" t="s">
        <v>3</v>
      </c>
      <c r="J1319" s="166" t="s">
        <v>190</v>
      </c>
      <c r="K1319" s="166" t="s">
        <v>712</v>
      </c>
      <c r="L1319" s="177">
        <f>1480/7</f>
        <v>211.42857142857142</v>
      </c>
      <c r="M1319" s="166">
        <f>25*2*9</f>
        <v>450</v>
      </c>
      <c r="N1319" s="166">
        <v>5</v>
      </c>
      <c r="O1319" s="164">
        <f t="shared" si="151"/>
        <v>475714.28571428568</v>
      </c>
      <c r="P1319" s="166">
        <v>0</v>
      </c>
      <c r="Q1319" s="166">
        <v>0</v>
      </c>
      <c r="R1319" s="164">
        <f>$L1319*'Pivot Objective'!$C$9*P1319*Q1319</f>
        <v>0</v>
      </c>
      <c r="S1319" s="166">
        <v>0</v>
      </c>
      <c r="T1319" s="166">
        <v>0</v>
      </c>
      <c r="U1319" s="164">
        <f>($L1319*'Pivot Objective'!$C$9^2)*S1319*T1319</f>
        <v>0</v>
      </c>
      <c r="V1319" s="166">
        <v>0</v>
      </c>
      <c r="W1319" s="166">
        <v>0</v>
      </c>
      <c r="X1319" s="164">
        <f>($L1319*'Pivot Objective'!$C$9^3)*V1319*W1319</f>
        <v>0</v>
      </c>
      <c r="Y1319" s="166">
        <v>20000</v>
      </c>
      <c r="Z1319" s="166">
        <v>1</v>
      </c>
      <c r="AA1319" s="164">
        <f>($L1319*'Pivot Objective'!$C$9^4)*Y1319*Z1319</f>
        <v>7215371.0321426839</v>
      </c>
      <c r="AB1319" s="166">
        <v>0</v>
      </c>
      <c r="AC1319" s="166">
        <v>0</v>
      </c>
      <c r="AD1319" s="164">
        <f>($L1319*'Pivot Objective'!$C$9^5)*AB1319*AC1319</f>
        <v>0</v>
      </c>
      <c r="AE1319" s="166">
        <v>0</v>
      </c>
      <c r="AF1319" s="166">
        <v>0</v>
      </c>
      <c r="AG1319" s="164">
        <f>($L1319*'Pivot Objective'!$C$9^6)*AE1319*AF1319</f>
        <v>0</v>
      </c>
      <c r="AH1319" s="166">
        <f>25*2*9</f>
        <v>450</v>
      </c>
      <c r="AI1319" s="166">
        <v>5</v>
      </c>
      <c r="AJ1319" s="164">
        <f>($L1319*'Pivot Objective'!$C$9^7)*AH1319*AI1319</f>
        <v>1211880.8951306494</v>
      </c>
      <c r="AK1319" s="185">
        <f t="shared" si="152"/>
        <v>8902966.2129876185</v>
      </c>
      <c r="AL1319" s="186">
        <f t="shared" si="153"/>
        <v>8643.6565174637071</v>
      </c>
    </row>
    <row r="1320" spans="1:38" customFormat="1" ht="72" x14ac:dyDescent="0.3">
      <c r="A1320" s="140" t="s">
        <v>1484</v>
      </c>
      <c r="B1320" s="140">
        <v>3</v>
      </c>
      <c r="C1320" s="166" t="s">
        <v>696</v>
      </c>
      <c r="D1320" s="140" t="str">
        <f t="shared" si="138"/>
        <v>1</v>
      </c>
      <c r="E1320" s="166" t="s">
        <v>689</v>
      </c>
      <c r="F1320" s="140">
        <f t="shared" si="158"/>
        <v>1</v>
      </c>
      <c r="G1320" s="140" t="str">
        <f t="shared" si="139"/>
        <v>3.1.1</v>
      </c>
      <c r="H1320" s="166" t="s">
        <v>1714</v>
      </c>
      <c r="I1320" s="166" t="s">
        <v>3</v>
      </c>
      <c r="J1320" s="166" t="s">
        <v>190</v>
      </c>
      <c r="K1320" s="166" t="s">
        <v>1350</v>
      </c>
      <c r="L1320" s="177">
        <f>1480/7</f>
        <v>211.42857142857142</v>
      </c>
      <c r="M1320" s="166">
        <f>2*135*9</f>
        <v>2430</v>
      </c>
      <c r="N1320" s="166">
        <v>1</v>
      </c>
      <c r="O1320" s="164">
        <f t="shared" si="151"/>
        <v>513771.42857142852</v>
      </c>
      <c r="P1320" s="166"/>
      <c r="Q1320" s="166"/>
      <c r="R1320" s="164">
        <f>$L1320*'Pivot Objective'!$C$9*P1320*Q1320</f>
        <v>0</v>
      </c>
      <c r="S1320" s="166"/>
      <c r="T1320" s="166"/>
      <c r="U1320" s="164">
        <f>($L1320*'Pivot Objective'!$C$9^2)*S1320*T1320</f>
        <v>0</v>
      </c>
      <c r="V1320" s="166"/>
      <c r="W1320" s="166"/>
      <c r="X1320" s="164">
        <f>($L1320*'Pivot Objective'!$C$9^3)*V1320*W1320</f>
        <v>0</v>
      </c>
      <c r="Y1320" s="166"/>
      <c r="Z1320" s="166"/>
      <c r="AA1320" s="164">
        <f>($L1320*'Pivot Objective'!$C$9^4)*Y1320*Z1320</f>
        <v>0</v>
      </c>
      <c r="AB1320" s="166"/>
      <c r="AC1320" s="166"/>
      <c r="AD1320" s="164">
        <f>($L1320*'Pivot Objective'!$C$9^5)*AB1320*AC1320</f>
        <v>0</v>
      </c>
      <c r="AE1320" s="166"/>
      <c r="AF1320" s="166"/>
      <c r="AG1320" s="164">
        <f>($L1320*'Pivot Objective'!$C$9^6)*AE1320*AF1320</f>
        <v>0</v>
      </c>
      <c r="AH1320" s="166">
        <f>2*135*9</f>
        <v>2430</v>
      </c>
      <c r="AI1320" s="166">
        <v>1</v>
      </c>
      <c r="AJ1320" s="164">
        <f>($L1320*'Pivot Objective'!$C$9^7)*AH1320*AI1320</f>
        <v>1308831.3667411015</v>
      </c>
      <c r="AK1320" s="185">
        <f t="shared" si="152"/>
        <v>1822602.7953125299</v>
      </c>
      <c r="AL1320" s="186">
        <f t="shared" si="153"/>
        <v>1769.5172770024562</v>
      </c>
    </row>
    <row r="1321" spans="1:38" customFormat="1" ht="72" x14ac:dyDescent="0.3">
      <c r="A1321" s="140" t="s">
        <v>1484</v>
      </c>
      <c r="B1321" s="140">
        <v>3</v>
      </c>
      <c r="C1321" s="166" t="s">
        <v>696</v>
      </c>
      <c r="D1321" s="140" t="str">
        <f t="shared" si="138"/>
        <v>1</v>
      </c>
      <c r="E1321" s="166" t="s">
        <v>689</v>
      </c>
      <c r="F1321" s="140">
        <f t="shared" si="158"/>
        <v>1</v>
      </c>
      <c r="G1321" s="140" t="str">
        <f t="shared" si="139"/>
        <v>3.1.1</v>
      </c>
      <c r="H1321" s="166" t="s">
        <v>1714</v>
      </c>
      <c r="I1321" s="166" t="s">
        <v>3</v>
      </c>
      <c r="J1321" s="166" t="s">
        <v>191</v>
      </c>
      <c r="K1321" s="166" t="s">
        <v>716</v>
      </c>
      <c r="L1321" s="177">
        <v>39000</v>
      </c>
      <c r="M1321" s="166">
        <v>58</v>
      </c>
      <c r="N1321" s="166">
        <v>3</v>
      </c>
      <c r="O1321" s="164">
        <f t="shared" si="151"/>
        <v>6786000</v>
      </c>
      <c r="P1321" s="166">
        <v>0</v>
      </c>
      <c r="Q1321" s="166">
        <v>0</v>
      </c>
      <c r="R1321" s="164">
        <f>$L1321*'Pivot Objective'!$C$9*P1321*Q1321</f>
        <v>0</v>
      </c>
      <c r="S1321" s="166">
        <v>0</v>
      </c>
      <c r="T1321" s="166">
        <v>0</v>
      </c>
      <c r="U1321" s="164">
        <f>($L1321*'Pivot Objective'!$C$9^2)*S1321*T1321</f>
        <v>0</v>
      </c>
      <c r="V1321" s="166">
        <v>0</v>
      </c>
      <c r="W1321" s="166">
        <v>0</v>
      </c>
      <c r="X1321" s="164">
        <f>($L1321*'Pivot Objective'!$C$9^3)*V1321*W1321</f>
        <v>0</v>
      </c>
      <c r="Y1321" s="166">
        <v>20</v>
      </c>
      <c r="Z1321" s="166">
        <v>10</v>
      </c>
      <c r="AA1321" s="164">
        <f>($L1321*'Pivot Objective'!$C$9^4)*Y1321*Z1321</f>
        <v>13309434.403884819</v>
      </c>
      <c r="AB1321" s="166">
        <v>0</v>
      </c>
      <c r="AC1321" s="166">
        <v>0</v>
      </c>
      <c r="AD1321" s="164">
        <f>($L1321*'Pivot Objective'!$C$9^5)*AB1321*AC1321</f>
        <v>0</v>
      </c>
      <c r="AE1321" s="166">
        <v>0</v>
      </c>
      <c r="AF1321" s="166">
        <v>0</v>
      </c>
      <c r="AG1321" s="164">
        <f>($L1321*'Pivot Objective'!$C$9^6)*AE1321*AF1321</f>
        <v>0</v>
      </c>
      <c r="AH1321" s="166">
        <v>58</v>
      </c>
      <c r="AI1321" s="166">
        <v>3</v>
      </c>
      <c r="AJ1321" s="164">
        <f>($L1321*'Pivot Objective'!$C$9^7)*AH1321*AI1321</f>
        <v>17287317.201350182</v>
      </c>
      <c r="AK1321" s="185">
        <f t="shared" si="152"/>
        <v>37382751.605235003</v>
      </c>
      <c r="AL1321" s="186">
        <f t="shared" si="153"/>
        <v>36293.933597315539</v>
      </c>
    </row>
    <row r="1322" spans="1:38" customFormat="1" ht="72" x14ac:dyDescent="0.3">
      <c r="A1322" s="140" t="s">
        <v>1484</v>
      </c>
      <c r="B1322" s="140">
        <v>3</v>
      </c>
      <c r="C1322" s="166" t="s">
        <v>696</v>
      </c>
      <c r="D1322" s="140" t="str">
        <f t="shared" si="138"/>
        <v>1</v>
      </c>
      <c r="E1322" s="166" t="s">
        <v>689</v>
      </c>
      <c r="F1322" s="140">
        <f t="shared" si="158"/>
        <v>1</v>
      </c>
      <c r="G1322" s="140" t="str">
        <f t="shared" si="139"/>
        <v>3.1.1</v>
      </c>
      <c r="H1322" s="166" t="s">
        <v>1714</v>
      </c>
      <c r="I1322" s="166" t="s">
        <v>3</v>
      </c>
      <c r="J1322" s="166" t="s">
        <v>191</v>
      </c>
      <c r="K1322" s="166" t="s">
        <v>709</v>
      </c>
      <c r="L1322" s="177">
        <v>35000</v>
      </c>
      <c r="M1322" s="166">
        <v>100</v>
      </c>
      <c r="N1322" s="166">
        <v>2</v>
      </c>
      <c r="O1322" s="164">
        <f t="shared" si="151"/>
        <v>7000000</v>
      </c>
      <c r="P1322" s="166">
        <v>0</v>
      </c>
      <c r="Q1322" s="166">
        <v>0</v>
      </c>
      <c r="R1322" s="164">
        <f>$L1322*'Pivot Objective'!$C$9*P1322*Q1322</f>
        <v>0</v>
      </c>
      <c r="S1322" s="166">
        <v>0</v>
      </c>
      <c r="T1322" s="166">
        <v>0</v>
      </c>
      <c r="U1322" s="164">
        <f>($L1322*'Pivot Objective'!$C$9^2)*S1322*T1322</f>
        <v>0</v>
      </c>
      <c r="V1322" s="166">
        <v>0</v>
      </c>
      <c r="W1322" s="166">
        <v>0</v>
      </c>
      <c r="X1322" s="164">
        <f>($L1322*'Pivot Objective'!$C$9^3)*V1322*W1322</f>
        <v>0</v>
      </c>
      <c r="Y1322" s="166">
        <v>20</v>
      </c>
      <c r="Z1322" s="166">
        <v>10</v>
      </c>
      <c r="AA1322" s="164">
        <f>($L1322*'Pivot Objective'!$C$9^4)*Y1322*Z1322</f>
        <v>11944364.20861458</v>
      </c>
      <c r="AB1322" s="166">
        <v>0</v>
      </c>
      <c r="AC1322" s="166">
        <v>0</v>
      </c>
      <c r="AD1322" s="164">
        <f>($L1322*'Pivot Objective'!$C$9^5)*AB1322*AC1322</f>
        <v>0</v>
      </c>
      <c r="AE1322" s="166">
        <v>0</v>
      </c>
      <c r="AF1322" s="166">
        <v>0</v>
      </c>
      <c r="AG1322" s="164">
        <f>($L1322*'Pivot Objective'!$C$9^6)*AE1322*AF1322</f>
        <v>0</v>
      </c>
      <c r="AH1322" s="166">
        <v>100</v>
      </c>
      <c r="AI1322" s="166">
        <v>2</v>
      </c>
      <c r="AJ1322" s="164">
        <f>($L1322*'Pivot Objective'!$C$9^7)*AH1322*AI1322</f>
        <v>17832481.640060611</v>
      </c>
      <c r="AK1322" s="185">
        <f t="shared" si="152"/>
        <v>36776845.848675191</v>
      </c>
      <c r="AL1322" s="186">
        <f t="shared" si="153"/>
        <v>35705.675581238051</v>
      </c>
    </row>
    <row r="1323" spans="1:38" customFormat="1" ht="72" x14ac:dyDescent="0.3">
      <c r="A1323" s="140" t="s">
        <v>1484</v>
      </c>
      <c r="B1323" s="140">
        <v>3</v>
      </c>
      <c r="C1323" s="166" t="s">
        <v>696</v>
      </c>
      <c r="D1323" s="140" t="str">
        <f t="shared" si="138"/>
        <v>1</v>
      </c>
      <c r="E1323" s="166" t="s">
        <v>689</v>
      </c>
      <c r="F1323" s="140">
        <f t="shared" si="158"/>
        <v>1</v>
      </c>
      <c r="G1323" s="140" t="str">
        <f t="shared" si="139"/>
        <v>3.1.1</v>
      </c>
      <c r="H1323" s="166" t="s">
        <v>1714</v>
      </c>
      <c r="I1323" s="166" t="s">
        <v>3</v>
      </c>
      <c r="J1323" s="166" t="s">
        <v>191</v>
      </c>
      <c r="K1323" s="166" t="s">
        <v>712</v>
      </c>
      <c r="L1323" s="177">
        <f>1480/7</f>
        <v>211.42857142857142</v>
      </c>
      <c r="M1323" s="166">
        <f>25*2*29</f>
        <v>1450</v>
      </c>
      <c r="N1323" s="166">
        <v>2</v>
      </c>
      <c r="O1323" s="164">
        <f t="shared" si="151"/>
        <v>613142.85714285716</v>
      </c>
      <c r="P1323" s="166">
        <v>0</v>
      </c>
      <c r="Q1323" s="166">
        <v>0</v>
      </c>
      <c r="R1323" s="164">
        <f>$L1323*'Pivot Objective'!$C$9*P1323*Q1323</f>
        <v>0</v>
      </c>
      <c r="S1323" s="166">
        <v>0</v>
      </c>
      <c r="T1323" s="166">
        <v>0</v>
      </c>
      <c r="U1323" s="164">
        <f>($L1323*'Pivot Objective'!$C$9^2)*S1323*T1323</f>
        <v>0</v>
      </c>
      <c r="V1323" s="166">
        <v>0</v>
      </c>
      <c r="W1323" s="166">
        <v>0</v>
      </c>
      <c r="X1323" s="164">
        <f>($L1323*'Pivot Objective'!$C$9^3)*V1323*W1323</f>
        <v>0</v>
      </c>
      <c r="Y1323" s="166">
        <v>20000</v>
      </c>
      <c r="Z1323" s="166">
        <v>1</v>
      </c>
      <c r="AA1323" s="164">
        <f>($L1323*'Pivot Objective'!$C$9^4)*Y1323*Z1323</f>
        <v>7215371.0321426839</v>
      </c>
      <c r="AB1323" s="166">
        <v>0</v>
      </c>
      <c r="AC1323" s="166">
        <v>0</v>
      </c>
      <c r="AD1323" s="164">
        <f>($L1323*'Pivot Objective'!$C$9^5)*AB1323*AC1323</f>
        <v>0</v>
      </c>
      <c r="AE1323" s="166">
        <v>0</v>
      </c>
      <c r="AF1323" s="166">
        <v>0</v>
      </c>
      <c r="AG1323" s="164">
        <f>($L1323*'Pivot Objective'!$C$9^6)*AE1323*AF1323</f>
        <v>0</v>
      </c>
      <c r="AH1323" s="166">
        <f>25*2*29</f>
        <v>1450</v>
      </c>
      <c r="AI1323" s="166">
        <v>2</v>
      </c>
      <c r="AJ1323" s="164">
        <f>($L1323*'Pivot Objective'!$C$9^7)*AH1323*AI1323</f>
        <v>1561979.8203906149</v>
      </c>
      <c r="AK1323" s="185">
        <f t="shared" si="152"/>
        <v>9390493.7096761558</v>
      </c>
      <c r="AL1323" s="186">
        <f t="shared" si="153"/>
        <v>9116.9841841516081</v>
      </c>
    </row>
    <row r="1324" spans="1:38" customFormat="1" ht="72" x14ac:dyDescent="0.3">
      <c r="A1324" s="140" t="s">
        <v>1484</v>
      </c>
      <c r="B1324" s="140">
        <v>3</v>
      </c>
      <c r="C1324" s="166" t="s">
        <v>696</v>
      </c>
      <c r="D1324" s="140" t="str">
        <f t="shared" si="138"/>
        <v>1</v>
      </c>
      <c r="E1324" s="166" t="s">
        <v>689</v>
      </c>
      <c r="F1324" s="140">
        <f t="shared" si="158"/>
        <v>1</v>
      </c>
      <c r="G1324" s="140" t="str">
        <f t="shared" si="139"/>
        <v>3.1.1</v>
      </c>
      <c r="H1324" s="166" t="s">
        <v>1714</v>
      </c>
      <c r="I1324" s="166" t="s">
        <v>3</v>
      </c>
      <c r="J1324" s="166" t="s">
        <v>191</v>
      </c>
      <c r="K1324" s="166" t="s">
        <v>1350</v>
      </c>
      <c r="L1324" s="177">
        <f>1480/7</f>
        <v>211.42857142857142</v>
      </c>
      <c r="M1324" s="166">
        <f>2*135*29</f>
        <v>7830</v>
      </c>
      <c r="N1324" s="166">
        <v>1</v>
      </c>
      <c r="O1324" s="164">
        <f t="shared" si="151"/>
        <v>1655485.7142857141</v>
      </c>
      <c r="P1324" s="166"/>
      <c r="Q1324" s="166"/>
      <c r="R1324" s="164">
        <f>$L1324*'Pivot Objective'!$C$9*P1324*Q1324</f>
        <v>0</v>
      </c>
      <c r="S1324" s="166"/>
      <c r="T1324" s="166"/>
      <c r="U1324" s="164">
        <f>($L1324*'Pivot Objective'!$C$9^2)*S1324*T1324</f>
        <v>0</v>
      </c>
      <c r="V1324" s="166"/>
      <c r="W1324" s="166"/>
      <c r="X1324" s="164">
        <f>($L1324*'Pivot Objective'!$C$9^3)*V1324*W1324</f>
        <v>0</v>
      </c>
      <c r="Y1324" s="166"/>
      <c r="Z1324" s="166"/>
      <c r="AA1324" s="164">
        <f>($L1324*'Pivot Objective'!$C$9^4)*Y1324*Z1324</f>
        <v>0</v>
      </c>
      <c r="AB1324" s="166"/>
      <c r="AC1324" s="166"/>
      <c r="AD1324" s="164">
        <f>($L1324*'Pivot Objective'!$C$9^5)*AB1324*AC1324</f>
        <v>0</v>
      </c>
      <c r="AE1324" s="166"/>
      <c r="AF1324" s="166"/>
      <c r="AG1324" s="164">
        <f>($L1324*'Pivot Objective'!$C$9^6)*AE1324*AF1324</f>
        <v>0</v>
      </c>
      <c r="AH1324" s="166">
        <f>2*135*29</f>
        <v>7830</v>
      </c>
      <c r="AI1324" s="166">
        <v>1</v>
      </c>
      <c r="AJ1324" s="164">
        <f>($L1324*'Pivot Objective'!$C$9^7)*AH1324*AI1324</f>
        <v>4217345.5150546599</v>
      </c>
      <c r="AK1324" s="185">
        <f t="shared" si="152"/>
        <v>5872831.2293403745</v>
      </c>
      <c r="AL1324" s="186">
        <f t="shared" si="153"/>
        <v>5701.7778925634702</v>
      </c>
    </row>
    <row r="1325" spans="1:38" customFormat="1" ht="72" x14ac:dyDescent="0.3">
      <c r="A1325" s="140" t="s">
        <v>1484</v>
      </c>
      <c r="B1325" s="140">
        <v>3</v>
      </c>
      <c r="C1325" s="166" t="s">
        <v>696</v>
      </c>
      <c r="D1325" s="140" t="str">
        <f t="shared" si="138"/>
        <v>1</v>
      </c>
      <c r="E1325" s="166" t="s">
        <v>689</v>
      </c>
      <c r="F1325" s="140">
        <f t="shared" si="158"/>
        <v>1</v>
      </c>
      <c r="G1325" s="140" t="str">
        <f t="shared" si="139"/>
        <v>3.1.1</v>
      </c>
      <c r="H1325" s="166" t="s">
        <v>1714</v>
      </c>
      <c r="I1325" s="166" t="s">
        <v>3</v>
      </c>
      <c r="J1325" s="166" t="s">
        <v>1373</v>
      </c>
      <c r="K1325" s="166" t="s">
        <v>716</v>
      </c>
      <c r="L1325" s="177">
        <v>39000</v>
      </c>
      <c r="M1325" s="166">
        <v>25</v>
      </c>
      <c r="N1325" s="166">
        <v>5</v>
      </c>
      <c r="O1325" s="164">
        <f t="shared" si="151"/>
        <v>4875000</v>
      </c>
      <c r="P1325" s="166">
        <v>0</v>
      </c>
      <c r="Q1325" s="166">
        <v>0</v>
      </c>
      <c r="R1325" s="164">
        <f>$L1325*'Pivot Objective'!$C$9*P1325*Q1325</f>
        <v>0</v>
      </c>
      <c r="S1325" s="166">
        <v>0</v>
      </c>
      <c r="T1325" s="166">
        <v>0</v>
      </c>
      <c r="U1325" s="164">
        <f>($L1325*'Pivot Objective'!$C$9^2)*S1325*T1325</f>
        <v>0</v>
      </c>
      <c r="V1325" s="166">
        <v>0</v>
      </c>
      <c r="W1325" s="166">
        <v>0</v>
      </c>
      <c r="X1325" s="164">
        <f>($L1325*'Pivot Objective'!$C$9^3)*V1325*W1325</f>
        <v>0</v>
      </c>
      <c r="Y1325" s="166">
        <v>20</v>
      </c>
      <c r="Z1325" s="166">
        <v>2</v>
      </c>
      <c r="AA1325" s="164">
        <f>($L1325*'Pivot Objective'!$C$9^4)*Y1325*Z1325</f>
        <v>2661886.8807769637</v>
      </c>
      <c r="AB1325" s="166">
        <v>0</v>
      </c>
      <c r="AC1325" s="166">
        <v>0</v>
      </c>
      <c r="AD1325" s="164">
        <f>($L1325*'Pivot Objective'!$C$9^5)*AB1325*AC1325</f>
        <v>0</v>
      </c>
      <c r="AE1325" s="166">
        <v>0</v>
      </c>
      <c r="AF1325" s="166">
        <v>0</v>
      </c>
      <c r="AG1325" s="164">
        <f>($L1325*'Pivot Objective'!$C$9^6)*AE1325*AF1325</f>
        <v>0</v>
      </c>
      <c r="AH1325" s="166">
        <v>25</v>
      </c>
      <c r="AI1325" s="166">
        <v>5</v>
      </c>
      <c r="AJ1325" s="164">
        <f>($L1325*'Pivot Objective'!$C$9^7)*AH1325*AI1325</f>
        <v>12419049.713613637</v>
      </c>
      <c r="AK1325" s="185">
        <f t="shared" si="152"/>
        <v>19955936.594390601</v>
      </c>
      <c r="AL1325" s="186">
        <f t="shared" si="153"/>
        <v>19374.695722709323</v>
      </c>
    </row>
    <row r="1326" spans="1:38" customFormat="1" ht="72" x14ac:dyDescent="0.3">
      <c r="A1326" s="140" t="s">
        <v>1484</v>
      </c>
      <c r="B1326" s="140">
        <v>3</v>
      </c>
      <c r="C1326" s="166" t="s">
        <v>696</v>
      </c>
      <c r="D1326" s="140" t="str">
        <f t="shared" si="138"/>
        <v>1</v>
      </c>
      <c r="E1326" s="166" t="s">
        <v>689</v>
      </c>
      <c r="F1326" s="140">
        <f t="shared" si="158"/>
        <v>1</v>
      </c>
      <c r="G1326" s="140" t="str">
        <f t="shared" si="139"/>
        <v>3.1.1</v>
      </c>
      <c r="H1326" s="166" t="s">
        <v>1714</v>
      </c>
      <c r="I1326" s="166" t="s">
        <v>3</v>
      </c>
      <c r="J1326" s="166" t="s">
        <v>1373</v>
      </c>
      <c r="K1326" s="166" t="s">
        <v>709</v>
      </c>
      <c r="L1326" s="177">
        <v>35000</v>
      </c>
      <c r="M1326" s="166">
        <v>25</v>
      </c>
      <c r="N1326" s="166">
        <v>5</v>
      </c>
      <c r="O1326" s="164">
        <f t="shared" si="151"/>
        <v>4375000</v>
      </c>
      <c r="P1326" s="166">
        <v>0</v>
      </c>
      <c r="Q1326" s="166">
        <v>0</v>
      </c>
      <c r="R1326" s="164">
        <f>$L1326*'Pivot Objective'!$C$9*P1326*Q1326</f>
        <v>0</v>
      </c>
      <c r="S1326" s="166">
        <v>0</v>
      </c>
      <c r="T1326" s="166">
        <v>0</v>
      </c>
      <c r="U1326" s="164">
        <f>($L1326*'Pivot Objective'!$C$9^2)*S1326*T1326</f>
        <v>0</v>
      </c>
      <c r="V1326" s="166">
        <v>0</v>
      </c>
      <c r="W1326" s="166">
        <v>0</v>
      </c>
      <c r="X1326" s="164">
        <f>($L1326*'Pivot Objective'!$C$9^3)*V1326*W1326</f>
        <v>0</v>
      </c>
      <c r="Y1326" s="166">
        <v>20</v>
      </c>
      <c r="Z1326" s="166">
        <v>2</v>
      </c>
      <c r="AA1326" s="164">
        <f>($L1326*'Pivot Objective'!$C$9^4)*Y1326*Z1326</f>
        <v>2388872.8417229159</v>
      </c>
      <c r="AB1326" s="166">
        <v>0</v>
      </c>
      <c r="AC1326" s="166">
        <v>0</v>
      </c>
      <c r="AD1326" s="164">
        <f>($L1326*'Pivot Objective'!$C$9^5)*AB1326*AC1326</f>
        <v>0</v>
      </c>
      <c r="AE1326" s="166">
        <v>0</v>
      </c>
      <c r="AF1326" s="166">
        <v>0</v>
      </c>
      <c r="AG1326" s="164">
        <f>($L1326*'Pivot Objective'!$C$9^6)*AE1326*AF1326</f>
        <v>0</v>
      </c>
      <c r="AH1326" s="166">
        <v>25</v>
      </c>
      <c r="AI1326" s="166">
        <v>5</v>
      </c>
      <c r="AJ1326" s="164">
        <f>($L1326*'Pivot Objective'!$C$9^7)*AH1326*AI1326</f>
        <v>11145301.025037881</v>
      </c>
      <c r="AK1326" s="185">
        <f t="shared" si="152"/>
        <v>17909173.866760798</v>
      </c>
      <c r="AL1326" s="186">
        <f t="shared" si="153"/>
        <v>17387.547443457086</v>
      </c>
    </row>
    <row r="1327" spans="1:38" customFormat="1" ht="72" x14ac:dyDescent="0.3">
      <c r="A1327" s="140" t="s">
        <v>1484</v>
      </c>
      <c r="B1327" s="140">
        <v>3</v>
      </c>
      <c r="C1327" s="166" t="s">
        <v>696</v>
      </c>
      <c r="D1327" s="140" t="str">
        <f t="shared" si="138"/>
        <v>1</v>
      </c>
      <c r="E1327" s="166" t="s">
        <v>689</v>
      </c>
      <c r="F1327" s="140">
        <f t="shared" si="158"/>
        <v>1</v>
      </c>
      <c r="G1327" s="140" t="str">
        <f t="shared" si="139"/>
        <v>3.1.1</v>
      </c>
      <c r="H1327" s="166" t="s">
        <v>1714</v>
      </c>
      <c r="I1327" s="166" t="s">
        <v>3</v>
      </c>
      <c r="J1327" s="166" t="s">
        <v>1373</v>
      </c>
      <c r="K1327" s="166" t="s">
        <v>712</v>
      </c>
      <c r="L1327" s="177">
        <f>1480/7</f>
        <v>211.42857142857142</v>
      </c>
      <c r="M1327" s="166">
        <f>25*2*9</f>
        <v>450</v>
      </c>
      <c r="N1327" s="166">
        <v>5</v>
      </c>
      <c r="O1327" s="164">
        <f t="shared" si="151"/>
        <v>475714.28571428568</v>
      </c>
      <c r="P1327" s="166">
        <v>0</v>
      </c>
      <c r="Q1327" s="166">
        <v>0</v>
      </c>
      <c r="R1327" s="164">
        <f>$L1327*'Pivot Objective'!$C$9*P1327*Q1327</f>
        <v>0</v>
      </c>
      <c r="S1327" s="166">
        <v>0</v>
      </c>
      <c r="T1327" s="166">
        <v>0</v>
      </c>
      <c r="U1327" s="164">
        <f>($L1327*'Pivot Objective'!$C$9^2)*S1327*T1327</f>
        <v>0</v>
      </c>
      <c r="V1327" s="166">
        <v>0</v>
      </c>
      <c r="W1327" s="166">
        <v>0</v>
      </c>
      <c r="X1327" s="164">
        <f>($L1327*'Pivot Objective'!$C$9^3)*V1327*W1327</f>
        <v>0</v>
      </c>
      <c r="Y1327" s="166">
        <v>8000</v>
      </c>
      <c r="Z1327" s="166">
        <v>1</v>
      </c>
      <c r="AA1327" s="164">
        <f>($L1327*'Pivot Objective'!$C$9^4)*Y1327*Z1327</f>
        <v>2886148.4128570738</v>
      </c>
      <c r="AB1327" s="166">
        <v>0</v>
      </c>
      <c r="AC1327" s="166">
        <v>0</v>
      </c>
      <c r="AD1327" s="164">
        <f>($L1327*'Pivot Objective'!$C$9^5)*AB1327*AC1327</f>
        <v>0</v>
      </c>
      <c r="AE1327" s="166">
        <v>0</v>
      </c>
      <c r="AF1327" s="166">
        <v>0</v>
      </c>
      <c r="AG1327" s="164">
        <f>($L1327*'Pivot Objective'!$C$9^6)*AE1327*AF1327</f>
        <v>0</v>
      </c>
      <c r="AH1327" s="166">
        <f>25*2*9</f>
        <v>450</v>
      </c>
      <c r="AI1327" s="166">
        <v>5</v>
      </c>
      <c r="AJ1327" s="164">
        <f>($L1327*'Pivot Objective'!$C$9^7)*AH1327*AI1327</f>
        <v>1211880.8951306494</v>
      </c>
      <c r="AK1327" s="185">
        <f t="shared" si="152"/>
        <v>4573743.5937020089</v>
      </c>
      <c r="AL1327" s="186">
        <f t="shared" si="153"/>
        <v>4440.5277608757369</v>
      </c>
    </row>
    <row r="1328" spans="1:38" customFormat="1" ht="72" x14ac:dyDescent="0.3">
      <c r="A1328" s="140" t="s">
        <v>1484</v>
      </c>
      <c r="B1328" s="140">
        <v>3</v>
      </c>
      <c r="C1328" s="166" t="s">
        <v>696</v>
      </c>
      <c r="D1328" s="140" t="str">
        <f t="shared" si="138"/>
        <v>1</v>
      </c>
      <c r="E1328" s="166" t="s">
        <v>689</v>
      </c>
      <c r="F1328" s="140">
        <f t="shared" si="158"/>
        <v>1</v>
      </c>
      <c r="G1328" s="140" t="str">
        <f t="shared" si="139"/>
        <v>3.1.1</v>
      </c>
      <c r="H1328" s="166" t="s">
        <v>1714</v>
      </c>
      <c r="I1328" s="166" t="s">
        <v>3</v>
      </c>
      <c r="J1328" s="166" t="s">
        <v>1373</v>
      </c>
      <c r="K1328" s="166" t="s">
        <v>1350</v>
      </c>
      <c r="L1328" s="177">
        <f>1480/7</f>
        <v>211.42857142857142</v>
      </c>
      <c r="M1328" s="166">
        <f>2*135*9</f>
        <v>2430</v>
      </c>
      <c r="N1328" s="166">
        <v>1</v>
      </c>
      <c r="O1328" s="164">
        <f t="shared" si="151"/>
        <v>513771.42857142852</v>
      </c>
      <c r="P1328" s="166"/>
      <c r="Q1328" s="166"/>
      <c r="R1328" s="164">
        <f>$L1328*'Pivot Objective'!$C$9*P1328*Q1328</f>
        <v>0</v>
      </c>
      <c r="S1328" s="166"/>
      <c r="T1328" s="166"/>
      <c r="U1328" s="164">
        <f>($L1328*'Pivot Objective'!$C$9^2)*S1328*T1328</f>
        <v>0</v>
      </c>
      <c r="V1328" s="166"/>
      <c r="W1328" s="166"/>
      <c r="X1328" s="164">
        <f>($L1328*'Pivot Objective'!$C$9^3)*V1328*W1328</f>
        <v>0</v>
      </c>
      <c r="Y1328" s="166"/>
      <c r="Z1328" s="166"/>
      <c r="AA1328" s="164">
        <f>($L1328*'Pivot Objective'!$C$9^4)*Y1328*Z1328</f>
        <v>0</v>
      </c>
      <c r="AB1328" s="166"/>
      <c r="AC1328" s="166"/>
      <c r="AD1328" s="164">
        <f>($L1328*'Pivot Objective'!$C$9^5)*AB1328*AC1328</f>
        <v>0</v>
      </c>
      <c r="AE1328" s="166"/>
      <c r="AF1328" s="166"/>
      <c r="AG1328" s="164">
        <f>($L1328*'Pivot Objective'!$C$9^6)*AE1328*AF1328</f>
        <v>0</v>
      </c>
      <c r="AH1328" s="166">
        <f>2*135*9</f>
        <v>2430</v>
      </c>
      <c r="AI1328" s="166">
        <v>1</v>
      </c>
      <c r="AJ1328" s="164">
        <f>($L1328*'Pivot Objective'!$C$9^7)*AH1328*AI1328</f>
        <v>1308831.3667411015</v>
      </c>
      <c r="AK1328" s="185">
        <f t="shared" si="152"/>
        <v>1822602.7953125299</v>
      </c>
      <c r="AL1328" s="186">
        <f t="shared" si="153"/>
        <v>1769.5172770024562</v>
      </c>
    </row>
    <row r="1329" spans="1:38" customFormat="1" ht="72" x14ac:dyDescent="0.3">
      <c r="A1329" s="140" t="s">
        <v>1484</v>
      </c>
      <c r="B1329" s="140">
        <v>3</v>
      </c>
      <c r="C1329" s="166" t="s">
        <v>696</v>
      </c>
      <c r="D1329" s="140" t="str">
        <f t="shared" si="138"/>
        <v>1</v>
      </c>
      <c r="E1329" s="166" t="s">
        <v>689</v>
      </c>
      <c r="F1329" s="140">
        <f t="shared" si="158"/>
        <v>1</v>
      </c>
      <c r="G1329" s="140" t="str">
        <f t="shared" si="139"/>
        <v>3.1.1</v>
      </c>
      <c r="H1329" s="166" t="s">
        <v>1714</v>
      </c>
      <c r="I1329" s="166" t="s">
        <v>4</v>
      </c>
      <c r="J1329" s="166" t="s">
        <v>193</v>
      </c>
      <c r="K1329" s="166" t="s">
        <v>716</v>
      </c>
      <c r="L1329" s="177">
        <v>39000</v>
      </c>
      <c r="M1329" s="166">
        <v>25</v>
      </c>
      <c r="N1329" s="166">
        <v>6</v>
      </c>
      <c r="O1329" s="164">
        <f t="shared" si="151"/>
        <v>5850000</v>
      </c>
      <c r="P1329" s="166">
        <v>0</v>
      </c>
      <c r="Q1329" s="166">
        <v>0</v>
      </c>
      <c r="R1329" s="164">
        <f>$L1329*'Pivot Objective'!$C$9*P1329*Q1329</f>
        <v>0</v>
      </c>
      <c r="S1329" s="166">
        <v>0</v>
      </c>
      <c r="T1329" s="166">
        <v>0</v>
      </c>
      <c r="U1329" s="164">
        <f>($L1329*'Pivot Objective'!$C$9^2)*S1329*T1329</f>
        <v>0</v>
      </c>
      <c r="V1329" s="166">
        <v>0</v>
      </c>
      <c r="W1329" s="166">
        <v>0</v>
      </c>
      <c r="X1329" s="164">
        <f>($L1329*'Pivot Objective'!$C$9^3)*V1329*W1329</f>
        <v>0</v>
      </c>
      <c r="Y1329" s="166">
        <v>30</v>
      </c>
      <c r="Z1329" s="166">
        <v>10</v>
      </c>
      <c r="AA1329" s="164">
        <f>($L1329*'Pivot Objective'!$C$9^4)*Y1329*Z1329</f>
        <v>19964151.605827227</v>
      </c>
      <c r="AB1329" s="166">
        <v>0</v>
      </c>
      <c r="AC1329" s="166">
        <v>0</v>
      </c>
      <c r="AD1329" s="164">
        <f>($L1329*'Pivot Objective'!$C$9^5)*AB1329*AC1329</f>
        <v>0</v>
      </c>
      <c r="AE1329" s="166">
        <v>0</v>
      </c>
      <c r="AF1329" s="166">
        <v>0</v>
      </c>
      <c r="AG1329" s="164">
        <f>($L1329*'Pivot Objective'!$C$9^6)*AE1329*AF1329</f>
        <v>0</v>
      </c>
      <c r="AH1329" s="166">
        <v>25</v>
      </c>
      <c r="AI1329" s="166">
        <v>6</v>
      </c>
      <c r="AJ1329" s="164">
        <f>($L1329*'Pivot Objective'!$C$9^7)*AH1329*AI1329</f>
        <v>14902859.656336365</v>
      </c>
      <c r="AK1329" s="185">
        <f t="shared" si="152"/>
        <v>40717011.262163594</v>
      </c>
      <c r="AL1329" s="186">
        <f t="shared" si="153"/>
        <v>39531.078895304461</v>
      </c>
    </row>
    <row r="1330" spans="1:38" customFormat="1" ht="72" x14ac:dyDescent="0.3">
      <c r="A1330" s="140" t="s">
        <v>1484</v>
      </c>
      <c r="B1330" s="140">
        <v>3</v>
      </c>
      <c r="C1330" s="166" t="s">
        <v>696</v>
      </c>
      <c r="D1330" s="140" t="str">
        <f t="shared" ref="D1330:D1393" si="159">RIGHT(A1330,1)</f>
        <v>1</v>
      </c>
      <c r="E1330" s="166" t="s">
        <v>689</v>
      </c>
      <c r="F1330" s="140">
        <f t="shared" si="158"/>
        <v>1</v>
      </c>
      <c r="G1330" s="140" t="str">
        <f t="shared" si="139"/>
        <v>3.1.1</v>
      </c>
      <c r="H1330" s="166" t="s">
        <v>1714</v>
      </c>
      <c r="I1330" s="166" t="s">
        <v>4</v>
      </c>
      <c r="J1330" s="166" t="s">
        <v>193</v>
      </c>
      <c r="K1330" s="166" t="s">
        <v>709</v>
      </c>
      <c r="L1330" s="177">
        <v>35000</v>
      </c>
      <c r="M1330" s="166">
        <v>25</v>
      </c>
      <c r="N1330" s="166">
        <v>5</v>
      </c>
      <c r="O1330" s="164">
        <f t="shared" si="151"/>
        <v>4375000</v>
      </c>
      <c r="P1330" s="166">
        <v>0</v>
      </c>
      <c r="Q1330" s="166">
        <v>0</v>
      </c>
      <c r="R1330" s="164">
        <f>$L1330*'Pivot Objective'!$C$9*P1330*Q1330</f>
        <v>0</v>
      </c>
      <c r="S1330" s="166">
        <v>0</v>
      </c>
      <c r="T1330" s="166">
        <v>0</v>
      </c>
      <c r="U1330" s="164">
        <f>($L1330*'Pivot Objective'!$C$9^2)*S1330*T1330</f>
        <v>0</v>
      </c>
      <c r="V1330" s="166">
        <v>0</v>
      </c>
      <c r="W1330" s="166">
        <v>0</v>
      </c>
      <c r="X1330" s="164">
        <f>($L1330*'Pivot Objective'!$C$9^3)*V1330*W1330</f>
        <v>0</v>
      </c>
      <c r="Y1330" s="166">
        <v>30</v>
      </c>
      <c r="Z1330" s="166">
        <v>10</v>
      </c>
      <c r="AA1330" s="164">
        <f>($L1330*'Pivot Objective'!$C$9^4)*Y1330*Z1330</f>
        <v>17916546.31292187</v>
      </c>
      <c r="AB1330" s="166">
        <v>0</v>
      </c>
      <c r="AC1330" s="166">
        <v>0</v>
      </c>
      <c r="AD1330" s="164">
        <f>($L1330*'Pivot Objective'!$C$9^5)*AB1330*AC1330</f>
        <v>0</v>
      </c>
      <c r="AE1330" s="166">
        <v>0</v>
      </c>
      <c r="AF1330" s="166">
        <v>0</v>
      </c>
      <c r="AG1330" s="164">
        <f>($L1330*'Pivot Objective'!$C$9^6)*AE1330*AF1330</f>
        <v>0</v>
      </c>
      <c r="AH1330" s="166">
        <v>25</v>
      </c>
      <c r="AI1330" s="166">
        <v>5</v>
      </c>
      <c r="AJ1330" s="164">
        <f>($L1330*'Pivot Objective'!$C$9^7)*AH1330*AI1330</f>
        <v>11145301.025037881</v>
      </c>
      <c r="AK1330" s="185">
        <f t="shared" si="152"/>
        <v>33436847.337959751</v>
      </c>
      <c r="AL1330" s="186">
        <f t="shared" si="153"/>
        <v>32462.958580543447</v>
      </c>
    </row>
    <row r="1331" spans="1:38" customFormat="1" ht="72" x14ac:dyDescent="0.3">
      <c r="A1331" s="140" t="s">
        <v>1484</v>
      </c>
      <c r="B1331" s="140">
        <v>3</v>
      </c>
      <c r="C1331" s="166" t="s">
        <v>696</v>
      </c>
      <c r="D1331" s="140" t="str">
        <f t="shared" si="159"/>
        <v>1</v>
      </c>
      <c r="E1331" s="166" t="s">
        <v>689</v>
      </c>
      <c r="F1331" s="140">
        <f t="shared" si="158"/>
        <v>1</v>
      </c>
      <c r="G1331" s="140" t="str">
        <f t="shared" ref="G1331:G1394" si="160">B1331&amp;"."&amp;D1331&amp;"."&amp;F1331</f>
        <v>3.1.1</v>
      </c>
      <c r="H1331" s="166" t="s">
        <v>1714</v>
      </c>
      <c r="I1331" s="166" t="s">
        <v>4</v>
      </c>
      <c r="J1331" s="166" t="s">
        <v>193</v>
      </c>
      <c r="K1331" s="166" t="s">
        <v>712</v>
      </c>
      <c r="L1331" s="177">
        <f>1480/7</f>
        <v>211.42857142857142</v>
      </c>
      <c r="M1331" s="166">
        <f>25*2*9</f>
        <v>450</v>
      </c>
      <c r="N1331" s="166">
        <v>5</v>
      </c>
      <c r="O1331" s="164">
        <f t="shared" si="151"/>
        <v>475714.28571428568</v>
      </c>
      <c r="P1331" s="166">
        <v>0</v>
      </c>
      <c r="Q1331" s="166">
        <v>0</v>
      </c>
      <c r="R1331" s="164">
        <f>$L1331*'Pivot Objective'!$C$9*P1331*Q1331</f>
        <v>0</v>
      </c>
      <c r="S1331" s="166">
        <v>0</v>
      </c>
      <c r="T1331" s="166">
        <v>0</v>
      </c>
      <c r="U1331" s="164">
        <f>($L1331*'Pivot Objective'!$C$9^2)*S1331*T1331</f>
        <v>0</v>
      </c>
      <c r="V1331" s="166">
        <v>0</v>
      </c>
      <c r="W1331" s="166">
        <v>0</v>
      </c>
      <c r="X1331" s="164">
        <f>($L1331*'Pivot Objective'!$C$9^3)*V1331*W1331</f>
        <v>0</v>
      </c>
      <c r="Y1331" s="166">
        <v>8000</v>
      </c>
      <c r="Z1331" s="166">
        <v>1</v>
      </c>
      <c r="AA1331" s="164">
        <f>($L1331*'Pivot Objective'!$C$9^4)*Y1331*Z1331</f>
        <v>2886148.4128570738</v>
      </c>
      <c r="AB1331" s="166">
        <v>0</v>
      </c>
      <c r="AC1331" s="166">
        <v>0</v>
      </c>
      <c r="AD1331" s="164">
        <f>($L1331*'Pivot Objective'!$C$9^5)*AB1331*AC1331</f>
        <v>0</v>
      </c>
      <c r="AE1331" s="166">
        <v>0</v>
      </c>
      <c r="AF1331" s="166">
        <v>0</v>
      </c>
      <c r="AG1331" s="164">
        <f>($L1331*'Pivot Objective'!$C$9^6)*AE1331*AF1331</f>
        <v>0</v>
      </c>
      <c r="AH1331" s="166">
        <f>25*2*9</f>
        <v>450</v>
      </c>
      <c r="AI1331" s="166">
        <v>5</v>
      </c>
      <c r="AJ1331" s="164">
        <f>($L1331*'Pivot Objective'!$C$9^7)*AH1331*AI1331</f>
        <v>1211880.8951306494</v>
      </c>
      <c r="AK1331" s="185">
        <f t="shared" si="152"/>
        <v>4573743.5937020089</v>
      </c>
      <c r="AL1331" s="186">
        <f t="shared" si="153"/>
        <v>4440.5277608757369</v>
      </c>
    </row>
    <row r="1332" spans="1:38" customFormat="1" ht="72" x14ac:dyDescent="0.3">
      <c r="A1332" s="140" t="s">
        <v>1484</v>
      </c>
      <c r="B1332" s="140">
        <v>3</v>
      </c>
      <c r="C1332" s="166" t="s">
        <v>696</v>
      </c>
      <c r="D1332" s="140" t="str">
        <f t="shared" si="159"/>
        <v>1</v>
      </c>
      <c r="E1332" s="166" t="s">
        <v>689</v>
      </c>
      <c r="F1332" s="140">
        <f t="shared" si="158"/>
        <v>1</v>
      </c>
      <c r="G1332" s="140" t="str">
        <f t="shared" si="160"/>
        <v>3.1.1</v>
      </c>
      <c r="H1332" s="166" t="s">
        <v>1714</v>
      </c>
      <c r="I1332" s="166" t="s">
        <v>4</v>
      </c>
      <c r="J1332" s="166" t="s">
        <v>194</v>
      </c>
      <c r="K1332" s="166" t="s">
        <v>716</v>
      </c>
      <c r="L1332" s="177">
        <v>39000</v>
      </c>
      <c r="M1332" s="166">
        <v>58</v>
      </c>
      <c r="N1332" s="166">
        <v>5</v>
      </c>
      <c r="O1332" s="164">
        <f t="shared" si="151"/>
        <v>11310000</v>
      </c>
      <c r="P1332" s="166">
        <v>0</v>
      </c>
      <c r="Q1332" s="166">
        <v>0</v>
      </c>
      <c r="R1332" s="164">
        <f>$L1332*'Pivot Objective'!$C$9*P1332*Q1332</f>
        <v>0</v>
      </c>
      <c r="S1332" s="166">
        <v>0</v>
      </c>
      <c r="T1332" s="166">
        <v>0</v>
      </c>
      <c r="U1332" s="164">
        <f>($L1332*'Pivot Objective'!$C$9^2)*S1332*T1332</f>
        <v>0</v>
      </c>
      <c r="V1332" s="166">
        <v>0</v>
      </c>
      <c r="W1332" s="166">
        <v>0</v>
      </c>
      <c r="X1332" s="164">
        <f>($L1332*'Pivot Objective'!$C$9^3)*V1332*W1332</f>
        <v>0</v>
      </c>
      <c r="Y1332" s="166">
        <v>20</v>
      </c>
      <c r="Z1332" s="166">
        <v>10</v>
      </c>
      <c r="AA1332" s="164">
        <f>($L1332*'Pivot Objective'!$C$9^4)*Y1332*Z1332</f>
        <v>13309434.403884819</v>
      </c>
      <c r="AB1332" s="166">
        <v>0</v>
      </c>
      <c r="AC1332" s="166">
        <v>0</v>
      </c>
      <c r="AD1332" s="164">
        <f>($L1332*'Pivot Objective'!$C$9^5)*AB1332*AC1332</f>
        <v>0</v>
      </c>
      <c r="AE1332" s="166">
        <v>0</v>
      </c>
      <c r="AF1332" s="166">
        <v>0</v>
      </c>
      <c r="AG1332" s="164">
        <f>($L1332*'Pivot Objective'!$C$9^6)*AE1332*AF1332</f>
        <v>0</v>
      </c>
      <c r="AH1332" s="166">
        <v>58</v>
      </c>
      <c r="AI1332" s="166">
        <v>5</v>
      </c>
      <c r="AJ1332" s="164">
        <f>($L1332*'Pivot Objective'!$C$9^7)*AH1332*AI1332</f>
        <v>28812195.335583642</v>
      </c>
      <c r="AK1332" s="185">
        <f t="shared" si="152"/>
        <v>53431629.739468463</v>
      </c>
      <c r="AL1332" s="186">
        <f t="shared" si="153"/>
        <v>51875.368679095598</v>
      </c>
    </row>
    <row r="1333" spans="1:38" customFormat="1" ht="72" x14ac:dyDescent="0.3">
      <c r="A1333" s="140" t="s">
        <v>1484</v>
      </c>
      <c r="B1333" s="140">
        <v>3</v>
      </c>
      <c r="C1333" s="166" t="s">
        <v>696</v>
      </c>
      <c r="D1333" s="140" t="str">
        <f t="shared" si="159"/>
        <v>1</v>
      </c>
      <c r="E1333" s="166" t="s">
        <v>689</v>
      </c>
      <c r="F1333" s="140">
        <f t="shared" si="158"/>
        <v>1</v>
      </c>
      <c r="G1333" s="140" t="str">
        <f t="shared" si="160"/>
        <v>3.1.1</v>
      </c>
      <c r="H1333" s="166" t="s">
        <v>1714</v>
      </c>
      <c r="I1333" s="166" t="s">
        <v>4</v>
      </c>
      <c r="J1333" s="166" t="s">
        <v>194</v>
      </c>
      <c r="K1333" s="166" t="s">
        <v>709</v>
      </c>
      <c r="L1333" s="177">
        <v>35000</v>
      </c>
      <c r="M1333" s="166">
        <v>100</v>
      </c>
      <c r="N1333" s="166">
        <v>5</v>
      </c>
      <c r="O1333" s="164">
        <f t="shared" si="151"/>
        <v>17500000</v>
      </c>
      <c r="P1333" s="166">
        <v>0</v>
      </c>
      <c r="Q1333" s="166">
        <v>0</v>
      </c>
      <c r="R1333" s="164">
        <f>$L1333*'Pivot Objective'!$C$9*P1333*Q1333</f>
        <v>0</v>
      </c>
      <c r="S1333" s="166">
        <v>0</v>
      </c>
      <c r="T1333" s="166">
        <v>0</v>
      </c>
      <c r="U1333" s="164">
        <f>($L1333*'Pivot Objective'!$C$9^2)*S1333*T1333</f>
        <v>0</v>
      </c>
      <c r="V1333" s="166">
        <v>0</v>
      </c>
      <c r="W1333" s="166">
        <v>0</v>
      </c>
      <c r="X1333" s="164">
        <f>($L1333*'Pivot Objective'!$C$9^3)*V1333*W1333</f>
        <v>0</v>
      </c>
      <c r="Y1333" s="166">
        <v>20</v>
      </c>
      <c r="Z1333" s="166">
        <v>10</v>
      </c>
      <c r="AA1333" s="164">
        <f>($L1333*'Pivot Objective'!$C$9^4)*Y1333*Z1333</f>
        <v>11944364.20861458</v>
      </c>
      <c r="AB1333" s="166">
        <v>0</v>
      </c>
      <c r="AC1333" s="166">
        <v>0</v>
      </c>
      <c r="AD1333" s="164">
        <f>($L1333*'Pivot Objective'!$C$9^5)*AB1333*AC1333</f>
        <v>0</v>
      </c>
      <c r="AE1333" s="166">
        <v>0</v>
      </c>
      <c r="AF1333" s="166">
        <v>0</v>
      </c>
      <c r="AG1333" s="164">
        <f>($L1333*'Pivot Objective'!$C$9^6)*AE1333*AF1333</f>
        <v>0</v>
      </c>
      <c r="AH1333" s="166">
        <v>100</v>
      </c>
      <c r="AI1333" s="166">
        <v>5</v>
      </c>
      <c r="AJ1333" s="164">
        <f>($L1333*'Pivot Objective'!$C$9^7)*AH1333*AI1333</f>
        <v>44581204.100151524</v>
      </c>
      <c r="AK1333" s="185">
        <f t="shared" si="152"/>
        <v>74025568.308766097</v>
      </c>
      <c r="AL1333" s="186">
        <f t="shared" si="153"/>
        <v>71869.483794918546</v>
      </c>
    </row>
    <row r="1334" spans="1:38" customFormat="1" ht="72" x14ac:dyDescent="0.3">
      <c r="A1334" s="140" t="s">
        <v>1484</v>
      </c>
      <c r="B1334" s="140">
        <v>3</v>
      </c>
      <c r="C1334" s="166" t="s">
        <v>696</v>
      </c>
      <c r="D1334" s="140" t="str">
        <f t="shared" si="159"/>
        <v>1</v>
      </c>
      <c r="E1334" s="166" t="s">
        <v>689</v>
      </c>
      <c r="F1334" s="140">
        <f t="shared" si="158"/>
        <v>1</v>
      </c>
      <c r="G1334" s="140" t="str">
        <f t="shared" si="160"/>
        <v>3.1.1</v>
      </c>
      <c r="H1334" s="166" t="s">
        <v>1714</v>
      </c>
      <c r="I1334" s="166" t="s">
        <v>4</v>
      </c>
      <c r="J1334" s="166" t="s">
        <v>194</v>
      </c>
      <c r="K1334" s="166" t="s">
        <v>712</v>
      </c>
      <c r="L1334" s="177">
        <f>1480/7</f>
        <v>211.42857142857142</v>
      </c>
      <c r="M1334" s="166">
        <f>25*2*29</f>
        <v>1450</v>
      </c>
      <c r="N1334" s="166">
        <v>5</v>
      </c>
      <c r="O1334" s="164">
        <f t="shared" si="151"/>
        <v>1532857.142857143</v>
      </c>
      <c r="P1334" s="166">
        <v>0</v>
      </c>
      <c r="Q1334" s="166">
        <v>0</v>
      </c>
      <c r="R1334" s="164">
        <f>$L1334*'Pivot Objective'!$C$9*P1334*Q1334</f>
        <v>0</v>
      </c>
      <c r="S1334" s="166">
        <v>0</v>
      </c>
      <c r="T1334" s="166">
        <v>0</v>
      </c>
      <c r="U1334" s="164">
        <f>($L1334*'Pivot Objective'!$C$9^2)*S1334*T1334</f>
        <v>0</v>
      </c>
      <c r="V1334" s="166">
        <v>0</v>
      </c>
      <c r="W1334" s="166">
        <v>0</v>
      </c>
      <c r="X1334" s="164">
        <f>($L1334*'Pivot Objective'!$C$9^3)*V1334*W1334</f>
        <v>0</v>
      </c>
      <c r="Y1334" s="166">
        <v>8000</v>
      </c>
      <c r="Z1334" s="166">
        <v>1</v>
      </c>
      <c r="AA1334" s="164">
        <f>($L1334*'Pivot Objective'!$C$9^4)*Y1334*Z1334</f>
        <v>2886148.4128570738</v>
      </c>
      <c r="AB1334" s="166">
        <v>0</v>
      </c>
      <c r="AC1334" s="166">
        <v>0</v>
      </c>
      <c r="AD1334" s="164">
        <f>($L1334*'Pivot Objective'!$C$9^5)*AB1334*AC1334</f>
        <v>0</v>
      </c>
      <c r="AE1334" s="166">
        <v>0</v>
      </c>
      <c r="AF1334" s="166">
        <v>0</v>
      </c>
      <c r="AG1334" s="164">
        <f>($L1334*'Pivot Objective'!$C$9^6)*AE1334*AF1334</f>
        <v>0</v>
      </c>
      <c r="AH1334" s="166">
        <f>25*2*29</f>
        <v>1450</v>
      </c>
      <c r="AI1334" s="166">
        <v>5</v>
      </c>
      <c r="AJ1334" s="164">
        <f>($L1334*'Pivot Objective'!$C$9^7)*AH1334*AI1334</f>
        <v>3904949.5509765372</v>
      </c>
      <c r="AK1334" s="185">
        <f t="shared" si="152"/>
        <v>8323955.1066907542</v>
      </c>
      <c r="AL1334" s="186">
        <f t="shared" si="153"/>
        <v>8081.509812321121</v>
      </c>
    </row>
    <row r="1335" spans="1:38" customFormat="1" ht="72" x14ac:dyDescent="0.3">
      <c r="A1335" s="140" t="s">
        <v>1484</v>
      </c>
      <c r="B1335" s="140">
        <v>3</v>
      </c>
      <c r="C1335" s="166" t="s">
        <v>696</v>
      </c>
      <c r="D1335" s="140" t="str">
        <f t="shared" si="159"/>
        <v>1</v>
      </c>
      <c r="E1335" s="166" t="s">
        <v>689</v>
      </c>
      <c r="F1335" s="140">
        <f t="shared" si="158"/>
        <v>1</v>
      </c>
      <c r="G1335" s="140" t="str">
        <f t="shared" si="160"/>
        <v>3.1.1</v>
      </c>
      <c r="H1335" s="166" t="s">
        <v>1714</v>
      </c>
      <c r="I1335" s="166" t="s">
        <v>4</v>
      </c>
      <c r="J1335" s="166" t="s">
        <v>194</v>
      </c>
      <c r="K1335" s="166" t="s">
        <v>1350</v>
      </c>
      <c r="L1335" s="177">
        <f>1480/7</f>
        <v>211.42857142857142</v>
      </c>
      <c r="M1335" s="166">
        <f>2*135*29</f>
        <v>7830</v>
      </c>
      <c r="N1335" s="166">
        <v>1</v>
      </c>
      <c r="O1335" s="164">
        <f t="shared" si="151"/>
        <v>1655485.7142857141</v>
      </c>
      <c r="P1335" s="166"/>
      <c r="Q1335" s="166"/>
      <c r="R1335" s="164">
        <f>$L1335*'Pivot Objective'!$C$9*P1335*Q1335</f>
        <v>0</v>
      </c>
      <c r="S1335" s="166"/>
      <c r="T1335" s="166"/>
      <c r="U1335" s="164">
        <f>($L1335*'Pivot Objective'!$C$9^2)*S1335*T1335</f>
        <v>0</v>
      </c>
      <c r="V1335" s="166"/>
      <c r="W1335" s="166"/>
      <c r="X1335" s="164">
        <f>($L1335*'Pivot Objective'!$C$9^3)*V1335*W1335</f>
        <v>0</v>
      </c>
      <c r="Y1335" s="166"/>
      <c r="Z1335" s="166"/>
      <c r="AA1335" s="164">
        <f>($L1335*'Pivot Objective'!$C$9^4)*Y1335*Z1335</f>
        <v>0</v>
      </c>
      <c r="AB1335" s="166"/>
      <c r="AC1335" s="166"/>
      <c r="AD1335" s="164">
        <f>($L1335*'Pivot Objective'!$C$9^5)*AB1335*AC1335</f>
        <v>0</v>
      </c>
      <c r="AE1335" s="166"/>
      <c r="AF1335" s="166"/>
      <c r="AG1335" s="164">
        <f>($L1335*'Pivot Objective'!$C$9^6)*AE1335*AF1335</f>
        <v>0</v>
      </c>
      <c r="AH1335" s="166">
        <f>2*135*29</f>
        <v>7830</v>
      </c>
      <c r="AI1335" s="166">
        <v>1</v>
      </c>
      <c r="AJ1335" s="164">
        <f>($L1335*'Pivot Objective'!$C$9^7)*AH1335*AI1335</f>
        <v>4217345.5150546599</v>
      </c>
      <c r="AK1335" s="185">
        <f t="shared" si="152"/>
        <v>5872831.2293403745</v>
      </c>
      <c r="AL1335" s="186">
        <f t="shared" si="153"/>
        <v>5701.7778925634702</v>
      </c>
    </row>
    <row r="1336" spans="1:38" customFormat="1" ht="72" x14ac:dyDescent="0.3">
      <c r="A1336" s="140" t="s">
        <v>1484</v>
      </c>
      <c r="B1336" s="140">
        <v>3</v>
      </c>
      <c r="C1336" s="166" t="s">
        <v>696</v>
      </c>
      <c r="D1336" s="140" t="str">
        <f t="shared" si="159"/>
        <v>1</v>
      </c>
      <c r="E1336" s="166" t="s">
        <v>689</v>
      </c>
      <c r="F1336" s="140">
        <f t="shared" si="158"/>
        <v>1</v>
      </c>
      <c r="G1336" s="140" t="str">
        <f t="shared" si="160"/>
        <v>3.1.1</v>
      </c>
      <c r="H1336" s="166" t="s">
        <v>1714</v>
      </c>
      <c r="I1336" s="166" t="s">
        <v>4</v>
      </c>
      <c r="J1336" s="166" t="s">
        <v>195</v>
      </c>
      <c r="K1336" s="166" t="s">
        <v>716</v>
      </c>
      <c r="L1336" s="177">
        <v>39000</v>
      </c>
      <c r="M1336" s="166">
        <v>25</v>
      </c>
      <c r="N1336" s="166">
        <v>3</v>
      </c>
      <c r="O1336" s="164">
        <f t="shared" si="151"/>
        <v>2925000</v>
      </c>
      <c r="P1336" s="166">
        <v>0</v>
      </c>
      <c r="Q1336" s="166">
        <v>0</v>
      </c>
      <c r="R1336" s="164">
        <f>$L1336*'Pivot Objective'!$C$9*P1336*Q1336</f>
        <v>0</v>
      </c>
      <c r="S1336" s="166">
        <v>0</v>
      </c>
      <c r="T1336" s="166">
        <v>0</v>
      </c>
      <c r="U1336" s="164">
        <f>($L1336*'Pivot Objective'!$C$9^2)*S1336*T1336</f>
        <v>0</v>
      </c>
      <c r="V1336" s="166">
        <v>0</v>
      </c>
      <c r="W1336" s="166">
        <v>0</v>
      </c>
      <c r="X1336" s="164">
        <f>($L1336*'Pivot Objective'!$C$9^3)*V1336*W1336</f>
        <v>0</v>
      </c>
      <c r="Y1336" s="166">
        <v>30</v>
      </c>
      <c r="Z1336" s="166">
        <v>2</v>
      </c>
      <c r="AA1336" s="164">
        <f>($L1336*'Pivot Objective'!$C$9^4)*Y1336*Z1336</f>
        <v>3992830.3211654453</v>
      </c>
      <c r="AB1336" s="166">
        <v>0</v>
      </c>
      <c r="AC1336" s="166">
        <v>0</v>
      </c>
      <c r="AD1336" s="164">
        <f>($L1336*'Pivot Objective'!$C$9^5)*AB1336*AC1336</f>
        <v>0</v>
      </c>
      <c r="AE1336" s="166">
        <v>0</v>
      </c>
      <c r="AF1336" s="166">
        <v>0</v>
      </c>
      <c r="AG1336" s="164">
        <f>($L1336*'Pivot Objective'!$C$9^6)*AE1336*AF1336</f>
        <v>0</v>
      </c>
      <c r="AH1336" s="166">
        <v>25</v>
      </c>
      <c r="AI1336" s="166">
        <v>3</v>
      </c>
      <c r="AJ1336" s="164">
        <f>($L1336*'Pivot Objective'!$C$9^7)*AH1336*AI1336</f>
        <v>7451429.8281681826</v>
      </c>
      <c r="AK1336" s="185">
        <f t="shared" si="152"/>
        <v>14369260.149333628</v>
      </c>
      <c r="AL1336" s="186">
        <f t="shared" si="153"/>
        <v>13950.738009061775</v>
      </c>
    </row>
    <row r="1337" spans="1:38" customFormat="1" ht="72" x14ac:dyDescent="0.3">
      <c r="A1337" s="140" t="s">
        <v>1484</v>
      </c>
      <c r="B1337" s="140">
        <v>3</v>
      </c>
      <c r="C1337" s="166" t="s">
        <v>696</v>
      </c>
      <c r="D1337" s="140" t="str">
        <f t="shared" si="159"/>
        <v>1</v>
      </c>
      <c r="E1337" s="166" t="s">
        <v>689</v>
      </c>
      <c r="F1337" s="140">
        <f t="shared" si="158"/>
        <v>1</v>
      </c>
      <c r="G1337" s="140" t="str">
        <f t="shared" si="160"/>
        <v>3.1.1</v>
      </c>
      <c r="H1337" s="166" t="s">
        <v>1714</v>
      </c>
      <c r="I1337" s="166" t="s">
        <v>4</v>
      </c>
      <c r="J1337" s="166" t="s">
        <v>1374</v>
      </c>
      <c r="K1337" s="166" t="s">
        <v>709</v>
      </c>
      <c r="L1337" s="177">
        <v>35000</v>
      </c>
      <c r="M1337" s="166">
        <v>25</v>
      </c>
      <c r="N1337" s="166">
        <v>5</v>
      </c>
      <c r="O1337" s="164">
        <f t="shared" si="151"/>
        <v>4375000</v>
      </c>
      <c r="P1337" s="166">
        <v>0</v>
      </c>
      <c r="Q1337" s="166">
        <v>0</v>
      </c>
      <c r="R1337" s="164">
        <f>$L1337*'Pivot Objective'!$C$9*P1337*Q1337</f>
        <v>0</v>
      </c>
      <c r="S1337" s="166">
        <v>0</v>
      </c>
      <c r="T1337" s="166">
        <v>0</v>
      </c>
      <c r="U1337" s="164">
        <f>($L1337*'Pivot Objective'!$C$9^2)*S1337*T1337</f>
        <v>0</v>
      </c>
      <c r="V1337" s="166">
        <v>0</v>
      </c>
      <c r="W1337" s="166">
        <v>0</v>
      </c>
      <c r="X1337" s="164">
        <f>($L1337*'Pivot Objective'!$C$9^3)*V1337*W1337</f>
        <v>0</v>
      </c>
      <c r="Y1337" s="166">
        <v>30</v>
      </c>
      <c r="Z1337" s="166">
        <v>2</v>
      </c>
      <c r="AA1337" s="164">
        <f>($L1337*'Pivot Objective'!$C$9^4)*Y1337*Z1337</f>
        <v>3583309.2625843743</v>
      </c>
      <c r="AB1337" s="166">
        <v>0</v>
      </c>
      <c r="AC1337" s="166">
        <v>0</v>
      </c>
      <c r="AD1337" s="164">
        <f>($L1337*'Pivot Objective'!$C$9^5)*AB1337*AC1337</f>
        <v>0</v>
      </c>
      <c r="AE1337" s="166">
        <v>0</v>
      </c>
      <c r="AF1337" s="166">
        <v>0</v>
      </c>
      <c r="AG1337" s="164">
        <f>($L1337*'Pivot Objective'!$C$9^6)*AE1337*AF1337</f>
        <v>0</v>
      </c>
      <c r="AH1337" s="166">
        <v>25</v>
      </c>
      <c r="AI1337" s="166">
        <v>5</v>
      </c>
      <c r="AJ1337" s="164">
        <f>($L1337*'Pivot Objective'!$C$9^7)*AH1337*AI1337</f>
        <v>11145301.025037881</v>
      </c>
      <c r="AK1337" s="185">
        <f t="shared" si="152"/>
        <v>19103610.287622254</v>
      </c>
      <c r="AL1337" s="186">
        <f t="shared" si="153"/>
        <v>18547.19445400219</v>
      </c>
    </row>
    <row r="1338" spans="1:38" customFormat="1" ht="72" x14ac:dyDescent="0.3">
      <c r="A1338" s="140" t="s">
        <v>1484</v>
      </c>
      <c r="B1338" s="140">
        <v>3</v>
      </c>
      <c r="C1338" s="166" t="s">
        <v>696</v>
      </c>
      <c r="D1338" s="140" t="str">
        <f t="shared" si="159"/>
        <v>1</v>
      </c>
      <c r="E1338" s="166" t="s">
        <v>689</v>
      </c>
      <c r="F1338" s="140">
        <f t="shared" si="158"/>
        <v>1</v>
      </c>
      <c r="G1338" s="140" t="str">
        <f t="shared" si="160"/>
        <v>3.1.1</v>
      </c>
      <c r="H1338" s="166" t="s">
        <v>1714</v>
      </c>
      <c r="I1338" s="166" t="s">
        <v>4</v>
      </c>
      <c r="J1338" s="166" t="s">
        <v>195</v>
      </c>
      <c r="K1338" s="166" t="s">
        <v>712</v>
      </c>
      <c r="L1338" s="177">
        <f>1480/7</f>
        <v>211.42857142857142</v>
      </c>
      <c r="M1338" s="166">
        <f>25*2*9</f>
        <v>450</v>
      </c>
      <c r="N1338" s="166">
        <v>5</v>
      </c>
      <c r="O1338" s="164">
        <f t="shared" si="151"/>
        <v>475714.28571428568</v>
      </c>
      <c r="P1338" s="166">
        <v>0</v>
      </c>
      <c r="Q1338" s="166">
        <v>0</v>
      </c>
      <c r="R1338" s="164">
        <f>$L1338*'Pivot Objective'!$C$9*P1338*Q1338</f>
        <v>0</v>
      </c>
      <c r="S1338" s="166">
        <v>0</v>
      </c>
      <c r="T1338" s="166">
        <v>0</v>
      </c>
      <c r="U1338" s="164">
        <f>($L1338*'Pivot Objective'!$C$9^2)*S1338*T1338</f>
        <v>0</v>
      </c>
      <c r="V1338" s="166">
        <v>0</v>
      </c>
      <c r="W1338" s="166">
        <v>0</v>
      </c>
      <c r="X1338" s="164">
        <f>($L1338*'Pivot Objective'!$C$9^3)*V1338*W1338</f>
        <v>0</v>
      </c>
      <c r="Y1338" s="166">
        <v>8000</v>
      </c>
      <c r="Z1338" s="166">
        <v>1</v>
      </c>
      <c r="AA1338" s="164">
        <f>($L1338*'Pivot Objective'!$C$9^4)*Y1338*Z1338</f>
        <v>2886148.4128570738</v>
      </c>
      <c r="AB1338" s="166">
        <v>0</v>
      </c>
      <c r="AC1338" s="166">
        <v>0</v>
      </c>
      <c r="AD1338" s="164">
        <f>($L1338*'Pivot Objective'!$C$9^5)*AB1338*AC1338</f>
        <v>0</v>
      </c>
      <c r="AE1338" s="166">
        <v>0</v>
      </c>
      <c r="AF1338" s="166">
        <v>0</v>
      </c>
      <c r="AG1338" s="164">
        <f>($L1338*'Pivot Objective'!$C$9^6)*AE1338*AF1338</f>
        <v>0</v>
      </c>
      <c r="AH1338" s="166">
        <f>25*2*9</f>
        <v>450</v>
      </c>
      <c r="AI1338" s="166">
        <v>5</v>
      </c>
      <c r="AJ1338" s="164">
        <f>($L1338*'Pivot Objective'!$C$9^7)*AH1338*AI1338</f>
        <v>1211880.8951306494</v>
      </c>
      <c r="AK1338" s="185">
        <f t="shared" si="152"/>
        <v>4573743.5937020089</v>
      </c>
      <c r="AL1338" s="186">
        <f t="shared" si="153"/>
        <v>4440.5277608757369</v>
      </c>
    </row>
    <row r="1339" spans="1:38" customFormat="1" ht="72" x14ac:dyDescent="0.3">
      <c r="A1339" s="140" t="s">
        <v>1484</v>
      </c>
      <c r="B1339" s="140">
        <v>3</v>
      </c>
      <c r="C1339" s="166" t="s">
        <v>696</v>
      </c>
      <c r="D1339" s="140" t="str">
        <f t="shared" si="159"/>
        <v>1</v>
      </c>
      <c r="E1339" s="166" t="s">
        <v>689</v>
      </c>
      <c r="F1339" s="140">
        <f t="shared" si="158"/>
        <v>1</v>
      </c>
      <c r="G1339" s="140" t="str">
        <f t="shared" si="160"/>
        <v>3.1.1</v>
      </c>
      <c r="H1339" s="166" t="s">
        <v>1714</v>
      </c>
      <c r="I1339" s="166" t="s">
        <v>4</v>
      </c>
      <c r="J1339" s="166" t="s">
        <v>195</v>
      </c>
      <c r="K1339" s="166" t="s">
        <v>1350</v>
      </c>
      <c r="L1339" s="177">
        <f>1480/7</f>
        <v>211.42857142857142</v>
      </c>
      <c r="M1339" s="166">
        <f>2*135*9</f>
        <v>2430</v>
      </c>
      <c r="N1339" s="166">
        <v>1</v>
      </c>
      <c r="O1339" s="164">
        <f t="shared" si="151"/>
        <v>513771.42857142852</v>
      </c>
      <c r="P1339" s="166"/>
      <c r="Q1339" s="166"/>
      <c r="R1339" s="164">
        <f>$L1339*'Pivot Objective'!$C$9*P1339*Q1339</f>
        <v>0</v>
      </c>
      <c r="S1339" s="166"/>
      <c r="T1339" s="166"/>
      <c r="U1339" s="164">
        <f>($L1339*'Pivot Objective'!$C$9^2)*S1339*T1339</f>
        <v>0</v>
      </c>
      <c r="V1339" s="166"/>
      <c r="W1339" s="166"/>
      <c r="X1339" s="164">
        <f>($L1339*'Pivot Objective'!$C$9^3)*V1339*W1339</f>
        <v>0</v>
      </c>
      <c r="Y1339" s="166"/>
      <c r="Z1339" s="166"/>
      <c r="AA1339" s="164">
        <f>($L1339*'Pivot Objective'!$C$9^4)*Y1339*Z1339</f>
        <v>0</v>
      </c>
      <c r="AB1339" s="166"/>
      <c r="AC1339" s="166"/>
      <c r="AD1339" s="164">
        <f>($L1339*'Pivot Objective'!$C$9^5)*AB1339*AC1339</f>
        <v>0</v>
      </c>
      <c r="AE1339" s="166"/>
      <c r="AF1339" s="166"/>
      <c r="AG1339" s="164">
        <f>($L1339*'Pivot Objective'!$C$9^6)*AE1339*AF1339</f>
        <v>0</v>
      </c>
      <c r="AH1339" s="166">
        <f>2*135*9</f>
        <v>2430</v>
      </c>
      <c r="AI1339" s="166">
        <v>1</v>
      </c>
      <c r="AJ1339" s="164">
        <f>($L1339*'Pivot Objective'!$C$9^7)*AH1339*AI1339</f>
        <v>1308831.3667411015</v>
      </c>
      <c r="AK1339" s="185">
        <f t="shared" si="152"/>
        <v>1822602.7953125299</v>
      </c>
      <c r="AL1339" s="186">
        <f t="shared" si="153"/>
        <v>1769.5172770024562</v>
      </c>
    </row>
    <row r="1340" spans="1:38" customFormat="1" ht="72" x14ac:dyDescent="0.3">
      <c r="A1340" s="140" t="s">
        <v>1484</v>
      </c>
      <c r="B1340" s="140">
        <v>3</v>
      </c>
      <c r="C1340" s="166" t="s">
        <v>696</v>
      </c>
      <c r="D1340" s="140" t="str">
        <f t="shared" si="159"/>
        <v>1</v>
      </c>
      <c r="E1340" s="166" t="s">
        <v>689</v>
      </c>
      <c r="F1340" s="140">
        <f t="shared" si="158"/>
        <v>1</v>
      </c>
      <c r="G1340" s="140" t="str">
        <f t="shared" si="160"/>
        <v>3.1.1</v>
      </c>
      <c r="H1340" s="166" t="s">
        <v>1714</v>
      </c>
      <c r="I1340" s="166" t="s">
        <v>5</v>
      </c>
      <c r="J1340" s="166" t="s">
        <v>196</v>
      </c>
      <c r="K1340" s="166" t="s">
        <v>718</v>
      </c>
      <c r="L1340" s="177">
        <v>0</v>
      </c>
      <c r="M1340" s="166">
        <v>0</v>
      </c>
      <c r="N1340" s="166">
        <v>0</v>
      </c>
      <c r="O1340" s="164">
        <f t="shared" si="151"/>
        <v>0</v>
      </c>
      <c r="P1340" s="166">
        <v>0</v>
      </c>
      <c r="Q1340" s="166">
        <v>0</v>
      </c>
      <c r="R1340" s="164">
        <f>$L1340*'Pivot Objective'!$C$9*P1340*Q1340</f>
        <v>0</v>
      </c>
      <c r="S1340" s="166">
        <v>0</v>
      </c>
      <c r="T1340" s="166">
        <v>0</v>
      </c>
      <c r="U1340" s="164">
        <f>($L1340*'Pivot Objective'!$C$9^2)*S1340*T1340</f>
        <v>0</v>
      </c>
      <c r="V1340" s="166">
        <v>0</v>
      </c>
      <c r="W1340" s="166">
        <v>0</v>
      </c>
      <c r="X1340" s="164">
        <f>($L1340*'Pivot Objective'!$C$9^3)*V1340*W1340</f>
        <v>0</v>
      </c>
      <c r="Y1340" s="166">
        <v>0</v>
      </c>
      <c r="Z1340" s="166">
        <v>0</v>
      </c>
      <c r="AA1340" s="164">
        <f>($L1340*'Pivot Objective'!$C$9^4)*Y1340*Z1340</f>
        <v>0</v>
      </c>
      <c r="AB1340" s="166">
        <v>0</v>
      </c>
      <c r="AC1340" s="166">
        <v>0</v>
      </c>
      <c r="AD1340" s="164">
        <f>($L1340*'Pivot Objective'!$C$9^5)*AB1340*AC1340</f>
        <v>0</v>
      </c>
      <c r="AE1340" s="166">
        <v>0</v>
      </c>
      <c r="AF1340" s="166">
        <v>0</v>
      </c>
      <c r="AG1340" s="164">
        <f>($L1340*'Pivot Objective'!$C$9^6)*AE1340*AF1340</f>
        <v>0</v>
      </c>
      <c r="AH1340" s="166">
        <v>0</v>
      </c>
      <c r="AI1340" s="166">
        <v>0</v>
      </c>
      <c r="AJ1340" s="164">
        <f>($L1340*'Pivot Objective'!$C$9^7)*AH1340*AI1340</f>
        <v>0</v>
      </c>
      <c r="AK1340" s="185">
        <f t="shared" si="152"/>
        <v>0</v>
      </c>
      <c r="AL1340" s="186">
        <f t="shared" si="153"/>
        <v>0</v>
      </c>
    </row>
    <row r="1341" spans="1:38" customFormat="1" ht="72" x14ac:dyDescent="0.3">
      <c r="A1341" s="140" t="s">
        <v>1484</v>
      </c>
      <c r="B1341" s="140">
        <v>3</v>
      </c>
      <c r="C1341" s="166" t="s">
        <v>696</v>
      </c>
      <c r="D1341" s="140" t="str">
        <f t="shared" si="159"/>
        <v>1</v>
      </c>
      <c r="E1341" s="166" t="s">
        <v>689</v>
      </c>
      <c r="F1341" s="140">
        <f t="shared" si="158"/>
        <v>1</v>
      </c>
      <c r="G1341" s="140" t="str">
        <f t="shared" si="160"/>
        <v>3.1.1</v>
      </c>
      <c r="H1341" s="166" t="s">
        <v>1714</v>
      </c>
      <c r="I1341" s="166" t="s">
        <v>5</v>
      </c>
      <c r="J1341" s="166" t="s">
        <v>197</v>
      </c>
      <c r="K1341" s="166" t="s">
        <v>718</v>
      </c>
      <c r="L1341" s="177">
        <v>0</v>
      </c>
      <c r="M1341" s="166">
        <v>0</v>
      </c>
      <c r="N1341" s="166">
        <v>0</v>
      </c>
      <c r="O1341" s="164">
        <f t="shared" si="151"/>
        <v>0</v>
      </c>
      <c r="P1341" s="166">
        <v>0</v>
      </c>
      <c r="Q1341" s="166">
        <v>0</v>
      </c>
      <c r="R1341" s="164">
        <f>$L1341*'Pivot Objective'!$C$9*P1341*Q1341</f>
        <v>0</v>
      </c>
      <c r="S1341" s="166">
        <v>0</v>
      </c>
      <c r="T1341" s="166">
        <v>0</v>
      </c>
      <c r="U1341" s="164">
        <f>($L1341*'Pivot Objective'!$C$9^2)*S1341*T1341</f>
        <v>0</v>
      </c>
      <c r="V1341" s="166">
        <v>0</v>
      </c>
      <c r="W1341" s="166">
        <v>0</v>
      </c>
      <c r="X1341" s="164">
        <f>($L1341*'Pivot Objective'!$C$9^3)*V1341*W1341</f>
        <v>0</v>
      </c>
      <c r="Y1341" s="166">
        <v>0</v>
      </c>
      <c r="Z1341" s="166">
        <v>0</v>
      </c>
      <c r="AA1341" s="164">
        <f>($L1341*'Pivot Objective'!$C$9^4)*Y1341*Z1341</f>
        <v>0</v>
      </c>
      <c r="AB1341" s="166">
        <v>0</v>
      </c>
      <c r="AC1341" s="166">
        <v>0</v>
      </c>
      <c r="AD1341" s="164">
        <f>($L1341*'Pivot Objective'!$C$9^5)*AB1341*AC1341</f>
        <v>0</v>
      </c>
      <c r="AE1341" s="166">
        <v>0</v>
      </c>
      <c r="AF1341" s="166">
        <v>0</v>
      </c>
      <c r="AG1341" s="164">
        <f>($L1341*'Pivot Objective'!$C$9^6)*AE1341*AF1341</f>
        <v>0</v>
      </c>
      <c r="AH1341" s="166">
        <v>0</v>
      </c>
      <c r="AI1341" s="166">
        <v>0</v>
      </c>
      <c r="AJ1341" s="164">
        <f>($L1341*'Pivot Objective'!$C$9^7)*AH1341*AI1341</f>
        <v>0</v>
      </c>
      <c r="AK1341" s="185">
        <f t="shared" si="152"/>
        <v>0</v>
      </c>
      <c r="AL1341" s="186">
        <f t="shared" si="153"/>
        <v>0</v>
      </c>
    </row>
    <row r="1342" spans="1:38" customFormat="1" ht="72" x14ac:dyDescent="0.3">
      <c r="A1342" s="140" t="s">
        <v>1484</v>
      </c>
      <c r="B1342" s="140">
        <v>3</v>
      </c>
      <c r="C1342" s="166" t="s">
        <v>696</v>
      </c>
      <c r="D1342" s="140" t="str">
        <f t="shared" si="159"/>
        <v>1</v>
      </c>
      <c r="E1342" s="166" t="s">
        <v>689</v>
      </c>
      <c r="F1342" s="140">
        <f t="shared" si="158"/>
        <v>1</v>
      </c>
      <c r="G1342" s="140" t="str">
        <f t="shared" si="160"/>
        <v>3.1.1</v>
      </c>
      <c r="H1342" s="166" t="s">
        <v>1714</v>
      </c>
      <c r="I1342" s="166" t="s">
        <v>5</v>
      </c>
      <c r="J1342" s="166" t="s">
        <v>198</v>
      </c>
      <c r="K1342" s="166" t="s">
        <v>718</v>
      </c>
      <c r="L1342" s="177">
        <v>0</v>
      </c>
      <c r="M1342" s="166">
        <v>0</v>
      </c>
      <c r="N1342" s="166">
        <v>0</v>
      </c>
      <c r="O1342" s="164">
        <f t="shared" si="151"/>
        <v>0</v>
      </c>
      <c r="P1342" s="166">
        <v>0</v>
      </c>
      <c r="Q1342" s="166">
        <v>0</v>
      </c>
      <c r="R1342" s="164">
        <f>$L1342*'Pivot Objective'!$C$9*P1342*Q1342</f>
        <v>0</v>
      </c>
      <c r="S1342" s="166">
        <v>0</v>
      </c>
      <c r="T1342" s="166">
        <v>0</v>
      </c>
      <c r="U1342" s="164">
        <f>($L1342*'Pivot Objective'!$C$9^2)*S1342*T1342</f>
        <v>0</v>
      </c>
      <c r="V1342" s="166">
        <v>0</v>
      </c>
      <c r="W1342" s="166">
        <v>0</v>
      </c>
      <c r="X1342" s="164">
        <f>($L1342*'Pivot Objective'!$C$9^3)*V1342*W1342</f>
        <v>0</v>
      </c>
      <c r="Y1342" s="166">
        <v>0</v>
      </c>
      <c r="Z1342" s="166">
        <v>0</v>
      </c>
      <c r="AA1342" s="164">
        <f>($L1342*'Pivot Objective'!$C$9^4)*Y1342*Z1342</f>
        <v>0</v>
      </c>
      <c r="AB1342" s="166">
        <v>0</v>
      </c>
      <c r="AC1342" s="166">
        <v>0</v>
      </c>
      <c r="AD1342" s="164">
        <f>($L1342*'Pivot Objective'!$C$9^5)*AB1342*AC1342</f>
        <v>0</v>
      </c>
      <c r="AE1342" s="166">
        <v>0</v>
      </c>
      <c r="AF1342" s="166">
        <v>0</v>
      </c>
      <c r="AG1342" s="164">
        <f>($L1342*'Pivot Objective'!$C$9^6)*AE1342*AF1342</f>
        <v>0</v>
      </c>
      <c r="AH1342" s="166">
        <v>0</v>
      </c>
      <c r="AI1342" s="166">
        <v>0</v>
      </c>
      <c r="AJ1342" s="164">
        <f>($L1342*'Pivot Objective'!$C$9^7)*AH1342*AI1342</f>
        <v>0</v>
      </c>
      <c r="AK1342" s="185">
        <f t="shared" si="152"/>
        <v>0</v>
      </c>
      <c r="AL1342" s="186">
        <f t="shared" si="153"/>
        <v>0</v>
      </c>
    </row>
    <row r="1343" spans="1:38" customFormat="1" ht="72" x14ac:dyDescent="0.3">
      <c r="A1343" s="140" t="s">
        <v>1484</v>
      </c>
      <c r="B1343" s="140">
        <v>3</v>
      </c>
      <c r="C1343" s="166" t="s">
        <v>696</v>
      </c>
      <c r="D1343" s="140" t="str">
        <f t="shared" si="159"/>
        <v>1</v>
      </c>
      <c r="E1343" s="166" t="s">
        <v>689</v>
      </c>
      <c r="F1343" s="140">
        <f t="shared" si="158"/>
        <v>1</v>
      </c>
      <c r="G1343" s="140" t="str">
        <f t="shared" si="160"/>
        <v>3.1.1</v>
      </c>
      <c r="H1343" s="166" t="s">
        <v>1714</v>
      </c>
      <c r="I1343" s="166" t="s">
        <v>5</v>
      </c>
      <c r="J1343" s="166" t="s">
        <v>199</v>
      </c>
      <c r="K1343" s="166" t="s">
        <v>718</v>
      </c>
      <c r="L1343" s="177">
        <v>0</v>
      </c>
      <c r="M1343" s="166">
        <v>0</v>
      </c>
      <c r="N1343" s="166">
        <v>0</v>
      </c>
      <c r="O1343" s="164">
        <f t="shared" si="151"/>
        <v>0</v>
      </c>
      <c r="P1343" s="166">
        <v>0</v>
      </c>
      <c r="Q1343" s="166">
        <v>0</v>
      </c>
      <c r="R1343" s="164">
        <f>$L1343*'Pivot Objective'!$C$9*P1343*Q1343</f>
        <v>0</v>
      </c>
      <c r="S1343" s="166">
        <v>0</v>
      </c>
      <c r="T1343" s="166">
        <v>0</v>
      </c>
      <c r="U1343" s="164">
        <f>($L1343*'Pivot Objective'!$C$9^2)*S1343*T1343</f>
        <v>0</v>
      </c>
      <c r="V1343" s="166">
        <v>0</v>
      </c>
      <c r="W1343" s="166">
        <v>0</v>
      </c>
      <c r="X1343" s="164">
        <f>($L1343*'Pivot Objective'!$C$9^3)*V1343*W1343</f>
        <v>0</v>
      </c>
      <c r="Y1343" s="166">
        <v>0</v>
      </c>
      <c r="Z1343" s="166">
        <v>0</v>
      </c>
      <c r="AA1343" s="164">
        <f>($L1343*'Pivot Objective'!$C$9^4)*Y1343*Z1343</f>
        <v>0</v>
      </c>
      <c r="AB1343" s="166">
        <v>0</v>
      </c>
      <c r="AC1343" s="166">
        <v>0</v>
      </c>
      <c r="AD1343" s="164">
        <f>($L1343*'Pivot Objective'!$C$9^5)*AB1343*AC1343</f>
        <v>0</v>
      </c>
      <c r="AE1343" s="166">
        <v>0</v>
      </c>
      <c r="AF1343" s="166">
        <v>0</v>
      </c>
      <c r="AG1343" s="164">
        <f>($L1343*'Pivot Objective'!$C$9^6)*AE1343*AF1343</f>
        <v>0</v>
      </c>
      <c r="AH1343" s="166">
        <v>0</v>
      </c>
      <c r="AI1343" s="166">
        <v>0</v>
      </c>
      <c r="AJ1343" s="164">
        <f>($L1343*'Pivot Objective'!$C$9^7)*AH1343*AI1343</f>
        <v>0</v>
      </c>
      <c r="AK1343" s="185">
        <f t="shared" si="152"/>
        <v>0</v>
      </c>
      <c r="AL1343" s="186">
        <f t="shared" si="153"/>
        <v>0</v>
      </c>
    </row>
    <row r="1344" spans="1:38" customFormat="1" ht="72" x14ac:dyDescent="0.3">
      <c r="A1344" s="140" t="s">
        <v>1484</v>
      </c>
      <c r="B1344" s="140">
        <v>3</v>
      </c>
      <c r="C1344" s="166" t="s">
        <v>696</v>
      </c>
      <c r="D1344" s="140" t="str">
        <f t="shared" si="159"/>
        <v>1</v>
      </c>
      <c r="E1344" s="166" t="s">
        <v>689</v>
      </c>
      <c r="F1344" s="140">
        <f t="shared" si="158"/>
        <v>1</v>
      </c>
      <c r="G1344" s="140" t="str">
        <f t="shared" si="160"/>
        <v>3.1.1</v>
      </c>
      <c r="H1344" s="166" t="s">
        <v>1714</v>
      </c>
      <c r="I1344" s="166" t="s">
        <v>5</v>
      </c>
      <c r="J1344" s="166" t="s">
        <v>200</v>
      </c>
      <c r="K1344" s="166" t="s">
        <v>713</v>
      </c>
      <c r="L1344" s="177">
        <v>45000</v>
      </c>
      <c r="M1344" s="166">
        <v>30</v>
      </c>
      <c r="N1344" s="166">
        <v>11</v>
      </c>
      <c r="O1344" s="164">
        <f t="shared" si="151"/>
        <v>14850000</v>
      </c>
      <c r="P1344" s="166">
        <v>0</v>
      </c>
      <c r="Q1344" s="166">
        <v>0</v>
      </c>
      <c r="R1344" s="164">
        <f>$L1344*'Pivot Objective'!$C$9*P1344*Q1344</f>
        <v>0</v>
      </c>
      <c r="S1344" s="166">
        <v>0</v>
      </c>
      <c r="T1344" s="166">
        <v>0</v>
      </c>
      <c r="U1344" s="164">
        <f>($L1344*'Pivot Objective'!$C$9^2)*S1344*T1344</f>
        <v>0</v>
      </c>
      <c r="V1344" s="166">
        <v>0</v>
      </c>
      <c r="W1344" s="166">
        <v>0</v>
      </c>
      <c r="X1344" s="164">
        <f>($L1344*'Pivot Objective'!$C$9^3)*V1344*W1344</f>
        <v>0</v>
      </c>
      <c r="Y1344" s="166">
        <v>15</v>
      </c>
      <c r="Z1344" s="166">
        <v>10</v>
      </c>
      <c r="AA1344" s="164">
        <f>($L1344*'Pivot Objective'!$C$9^4)*Y1344*Z1344</f>
        <v>11517779.77259263</v>
      </c>
      <c r="AB1344" s="166">
        <v>0</v>
      </c>
      <c r="AC1344" s="166">
        <v>0</v>
      </c>
      <c r="AD1344" s="164">
        <f>($L1344*'Pivot Objective'!$C$9^5)*AB1344*AC1344</f>
        <v>0</v>
      </c>
      <c r="AE1344" s="166">
        <v>0</v>
      </c>
      <c r="AF1344" s="166">
        <v>0</v>
      </c>
      <c r="AG1344" s="164">
        <f>($L1344*'Pivot Objective'!$C$9^6)*AE1344*AF1344</f>
        <v>0</v>
      </c>
      <c r="AH1344" s="166">
        <v>30</v>
      </c>
      <c r="AI1344" s="166">
        <v>11</v>
      </c>
      <c r="AJ1344" s="164">
        <f>($L1344*'Pivot Objective'!$C$9^7)*AH1344*AI1344</f>
        <v>37830336.050700009</v>
      </c>
      <c r="AK1344" s="185">
        <f t="shared" si="152"/>
        <v>64198115.823292643</v>
      </c>
      <c r="AL1344" s="186">
        <f t="shared" si="153"/>
        <v>62328.267789604506</v>
      </c>
    </row>
    <row r="1345" spans="1:38" customFormat="1" ht="72" x14ac:dyDescent="0.3">
      <c r="A1345" s="140" t="s">
        <v>1484</v>
      </c>
      <c r="B1345" s="140">
        <v>3</v>
      </c>
      <c r="C1345" s="166" t="s">
        <v>696</v>
      </c>
      <c r="D1345" s="140" t="str">
        <f t="shared" si="159"/>
        <v>1</v>
      </c>
      <c r="E1345" s="166" t="s">
        <v>689</v>
      </c>
      <c r="F1345" s="140">
        <f t="shared" si="158"/>
        <v>1</v>
      </c>
      <c r="G1345" s="140" t="str">
        <f t="shared" si="160"/>
        <v>3.1.1</v>
      </c>
      <c r="H1345" s="166" t="s">
        <v>1714</v>
      </c>
      <c r="I1345" s="166" t="s">
        <v>5</v>
      </c>
      <c r="J1345" s="166" t="s">
        <v>200</v>
      </c>
      <c r="K1345" s="166" t="s">
        <v>1350</v>
      </c>
      <c r="L1345" s="177">
        <f>1480/7</f>
        <v>211.42857142857142</v>
      </c>
      <c r="M1345" s="166">
        <f>2*135*10</f>
        <v>2700</v>
      </c>
      <c r="N1345" s="166">
        <v>1</v>
      </c>
      <c r="O1345" s="164">
        <f t="shared" si="151"/>
        <v>570857.14285714284</v>
      </c>
      <c r="P1345" s="166"/>
      <c r="Q1345" s="166"/>
      <c r="R1345" s="164">
        <f>$L1345*'Pivot Objective'!$C$9*P1345*Q1345</f>
        <v>0</v>
      </c>
      <c r="S1345" s="166"/>
      <c r="T1345" s="166"/>
      <c r="U1345" s="164">
        <f>($L1345*'Pivot Objective'!$C$9^2)*S1345*T1345</f>
        <v>0</v>
      </c>
      <c r="V1345" s="166"/>
      <c r="W1345" s="166"/>
      <c r="X1345" s="164">
        <f>($L1345*'Pivot Objective'!$C$9^3)*V1345*W1345</f>
        <v>0</v>
      </c>
      <c r="Y1345" s="166"/>
      <c r="Z1345" s="166"/>
      <c r="AA1345" s="164">
        <f>($L1345*'Pivot Objective'!$C$9^4)*Y1345*Z1345</f>
        <v>0</v>
      </c>
      <c r="AB1345" s="166"/>
      <c r="AC1345" s="166"/>
      <c r="AD1345" s="164">
        <f>($L1345*'Pivot Objective'!$C$9^5)*AB1345*AC1345</f>
        <v>0</v>
      </c>
      <c r="AE1345" s="166"/>
      <c r="AF1345" s="166"/>
      <c r="AG1345" s="164">
        <f>($L1345*'Pivot Objective'!$C$9^6)*AE1345*AF1345</f>
        <v>0</v>
      </c>
      <c r="AH1345" s="166">
        <v>2700</v>
      </c>
      <c r="AI1345" s="166">
        <v>1</v>
      </c>
      <c r="AJ1345" s="164">
        <f>($L1345*'Pivot Objective'!$C$9^7)*AH1345*AI1345</f>
        <v>1454257.0741567793</v>
      </c>
      <c r="AK1345" s="185">
        <f t="shared" si="152"/>
        <v>2025114.2170139221</v>
      </c>
      <c r="AL1345" s="186">
        <f t="shared" si="153"/>
        <v>1966.1303077805069</v>
      </c>
    </row>
    <row r="1346" spans="1:38" customFormat="1" ht="72" x14ac:dyDescent="0.3">
      <c r="A1346" s="140" t="s">
        <v>1484</v>
      </c>
      <c r="B1346" s="140">
        <v>3</v>
      </c>
      <c r="C1346" s="166" t="s">
        <v>696</v>
      </c>
      <c r="D1346" s="140" t="str">
        <f t="shared" si="159"/>
        <v>1</v>
      </c>
      <c r="E1346" s="166" t="s">
        <v>689</v>
      </c>
      <c r="F1346" s="140">
        <f t="shared" si="158"/>
        <v>1</v>
      </c>
      <c r="G1346" s="140" t="str">
        <f t="shared" si="160"/>
        <v>3.1.1</v>
      </c>
      <c r="H1346" s="166" t="s">
        <v>1714</v>
      </c>
      <c r="I1346" s="166" t="s">
        <v>5</v>
      </c>
      <c r="J1346" s="166" t="s">
        <v>200</v>
      </c>
      <c r="K1346" s="166" t="s">
        <v>712</v>
      </c>
      <c r="L1346" s="177">
        <f>1480/7</f>
        <v>211.42857142857142</v>
      </c>
      <c r="M1346" s="166">
        <f>25*2*10</f>
        <v>500</v>
      </c>
      <c r="N1346" s="166">
        <v>10</v>
      </c>
      <c r="O1346" s="164">
        <f t="shared" si="151"/>
        <v>1057142.857142857</v>
      </c>
      <c r="P1346" s="166">
        <v>0</v>
      </c>
      <c r="Q1346" s="166">
        <v>0</v>
      </c>
      <c r="R1346" s="164">
        <f>$L1346*'Pivot Objective'!$C$9*P1346*Q1346</f>
        <v>0</v>
      </c>
      <c r="S1346" s="166">
        <v>0</v>
      </c>
      <c r="T1346" s="166">
        <v>0</v>
      </c>
      <c r="U1346" s="164">
        <f>($L1346*'Pivot Objective'!$C$9^2)*S1346*T1346</f>
        <v>0</v>
      </c>
      <c r="V1346" s="166">
        <v>0</v>
      </c>
      <c r="W1346" s="166">
        <v>0</v>
      </c>
      <c r="X1346" s="164">
        <f>($L1346*'Pivot Objective'!$C$9^3)*V1346*W1346</f>
        <v>0</v>
      </c>
      <c r="Y1346" s="166">
        <v>20000</v>
      </c>
      <c r="Z1346" s="166">
        <v>1</v>
      </c>
      <c r="AA1346" s="164">
        <f>($L1346*'Pivot Objective'!$C$9^4)*Y1346*Z1346</f>
        <v>7215371.0321426839</v>
      </c>
      <c r="AB1346" s="166">
        <v>0</v>
      </c>
      <c r="AC1346" s="166">
        <v>0</v>
      </c>
      <c r="AD1346" s="164">
        <f>($L1346*'Pivot Objective'!$C$9^5)*AB1346*AC1346</f>
        <v>0</v>
      </c>
      <c r="AE1346" s="166">
        <v>0</v>
      </c>
      <c r="AF1346" s="166">
        <v>0</v>
      </c>
      <c r="AG1346" s="164">
        <f>($L1346*'Pivot Objective'!$C$9^6)*AE1346*AF1346</f>
        <v>0</v>
      </c>
      <c r="AH1346" s="166">
        <v>500</v>
      </c>
      <c r="AI1346" s="166">
        <v>10</v>
      </c>
      <c r="AJ1346" s="164">
        <f>($L1346*'Pivot Objective'!$C$9^7)*AH1346*AI1346</f>
        <v>2693068.655845888</v>
      </c>
      <c r="AK1346" s="185">
        <f t="shared" si="152"/>
        <v>10965582.54513143</v>
      </c>
      <c r="AL1346" s="186">
        <f t="shared" si="153"/>
        <v>10646.19664575867</v>
      </c>
    </row>
    <row r="1347" spans="1:38" customFormat="1" ht="72" x14ac:dyDescent="0.3">
      <c r="A1347" s="140" t="s">
        <v>1484</v>
      </c>
      <c r="B1347" s="140">
        <v>3</v>
      </c>
      <c r="C1347" s="166" t="s">
        <v>696</v>
      </c>
      <c r="D1347" s="140" t="str">
        <f t="shared" si="159"/>
        <v>1</v>
      </c>
      <c r="E1347" s="166" t="s">
        <v>689</v>
      </c>
      <c r="F1347" s="140">
        <f t="shared" si="158"/>
        <v>1</v>
      </c>
      <c r="G1347" s="140" t="str">
        <f t="shared" si="160"/>
        <v>3.1.1</v>
      </c>
      <c r="H1347" s="166" t="s">
        <v>1714</v>
      </c>
      <c r="I1347" s="166" t="s">
        <v>5</v>
      </c>
      <c r="J1347" s="166" t="s">
        <v>200</v>
      </c>
      <c r="K1347" s="166" t="s">
        <v>715</v>
      </c>
      <c r="L1347" s="177">
        <v>302000</v>
      </c>
      <c r="M1347" s="166">
        <v>15</v>
      </c>
      <c r="N1347" s="166">
        <v>1</v>
      </c>
      <c r="O1347" s="164">
        <f t="shared" ref="O1347:O1410" si="161">$L1347*M1347*N1347</f>
        <v>4530000</v>
      </c>
      <c r="P1347" s="166">
        <v>0</v>
      </c>
      <c r="Q1347" s="166">
        <v>0</v>
      </c>
      <c r="R1347" s="164">
        <f>$L1347*'Pivot Objective'!$C$9*P1347*Q1347</f>
        <v>0</v>
      </c>
      <c r="S1347" s="166">
        <v>0</v>
      </c>
      <c r="T1347" s="166">
        <v>0</v>
      </c>
      <c r="U1347" s="164">
        <f>($L1347*'Pivot Objective'!$C$9^2)*S1347*T1347</f>
        <v>0</v>
      </c>
      <c r="V1347" s="166">
        <v>0</v>
      </c>
      <c r="W1347" s="166">
        <v>0</v>
      </c>
      <c r="X1347" s="164">
        <f>($L1347*'Pivot Objective'!$C$9^3)*V1347*W1347</f>
        <v>0</v>
      </c>
      <c r="Y1347" s="166">
        <v>20</v>
      </c>
      <c r="Z1347" s="166">
        <v>1</v>
      </c>
      <c r="AA1347" s="164">
        <f>($L1347*'Pivot Objective'!$C$9^4)*Y1347*Z1347</f>
        <v>10306279.974290295</v>
      </c>
      <c r="AB1347" s="166">
        <v>0</v>
      </c>
      <c r="AC1347" s="166">
        <v>0</v>
      </c>
      <c r="AD1347" s="164">
        <f>($L1347*'Pivot Objective'!$C$9^5)*AB1347*AC1347</f>
        <v>0</v>
      </c>
      <c r="AE1347" s="166">
        <v>0</v>
      </c>
      <c r="AF1347" s="166">
        <v>0</v>
      </c>
      <c r="AG1347" s="164">
        <f>($L1347*'Pivot Objective'!$C$9^6)*AE1347*AF1347</f>
        <v>0</v>
      </c>
      <c r="AH1347" s="166">
        <v>15</v>
      </c>
      <c r="AI1347" s="166">
        <v>1</v>
      </c>
      <c r="AJ1347" s="164">
        <f>($L1347*'Pivot Objective'!$C$9^7)*AH1347*AI1347</f>
        <v>11540163.118496366</v>
      </c>
      <c r="AK1347" s="185">
        <f t="shared" ref="AK1347:AK1410" si="162">O1347+R1347+U1347+X1347+AA1347+AD1347+AG1347+AJ1347</f>
        <v>26376443.092786662</v>
      </c>
      <c r="AL1347" s="186">
        <f t="shared" ref="AL1347:AL1410" si="163">AK1347/$AP$2</f>
        <v>25608.197177462778</v>
      </c>
    </row>
    <row r="1348" spans="1:38" customFormat="1" ht="72" x14ac:dyDescent="0.3">
      <c r="A1348" s="140" t="s">
        <v>1484</v>
      </c>
      <c r="B1348" s="140">
        <v>3</v>
      </c>
      <c r="C1348" s="166" t="s">
        <v>696</v>
      </c>
      <c r="D1348" s="140" t="str">
        <f t="shared" si="159"/>
        <v>1</v>
      </c>
      <c r="E1348" s="166" t="s">
        <v>689</v>
      </c>
      <c r="F1348" s="140">
        <f t="shared" si="158"/>
        <v>1</v>
      </c>
      <c r="G1348" s="140" t="str">
        <f t="shared" si="160"/>
        <v>3.1.1</v>
      </c>
      <c r="H1348" s="166" t="s">
        <v>1714</v>
      </c>
      <c r="I1348" s="166" t="s">
        <v>5</v>
      </c>
      <c r="J1348" s="166" t="s">
        <v>200</v>
      </c>
      <c r="K1348" s="166" t="s">
        <v>714</v>
      </c>
      <c r="L1348" s="177">
        <v>10000</v>
      </c>
      <c r="M1348" s="166">
        <v>15</v>
      </c>
      <c r="N1348" s="166">
        <v>1</v>
      </c>
      <c r="O1348" s="164">
        <f t="shared" si="161"/>
        <v>150000</v>
      </c>
      <c r="P1348" s="166">
        <v>0</v>
      </c>
      <c r="Q1348" s="166">
        <v>0</v>
      </c>
      <c r="R1348" s="164">
        <f>$L1348*'Pivot Objective'!$C$9*P1348*Q1348</f>
        <v>0</v>
      </c>
      <c r="S1348" s="166">
        <v>0</v>
      </c>
      <c r="T1348" s="166">
        <v>0</v>
      </c>
      <c r="U1348" s="164">
        <f>($L1348*'Pivot Objective'!$C$9^2)*S1348*T1348</f>
        <v>0</v>
      </c>
      <c r="V1348" s="166">
        <v>0</v>
      </c>
      <c r="W1348" s="166">
        <v>0</v>
      </c>
      <c r="X1348" s="164">
        <f>($L1348*'Pivot Objective'!$C$9^3)*V1348*W1348</f>
        <v>0</v>
      </c>
      <c r="Y1348" s="166">
        <v>15</v>
      </c>
      <c r="Z1348" s="166">
        <v>1</v>
      </c>
      <c r="AA1348" s="164">
        <f>($L1348*'Pivot Objective'!$C$9^4)*Y1348*Z1348</f>
        <v>255950.66161316959</v>
      </c>
      <c r="AB1348" s="166">
        <v>0</v>
      </c>
      <c r="AC1348" s="166">
        <v>0</v>
      </c>
      <c r="AD1348" s="164">
        <f>($L1348*'Pivot Objective'!$C$9^5)*AB1348*AC1348</f>
        <v>0</v>
      </c>
      <c r="AE1348" s="166">
        <v>0</v>
      </c>
      <c r="AF1348" s="166">
        <v>0</v>
      </c>
      <c r="AG1348" s="164">
        <f>($L1348*'Pivot Objective'!$C$9^6)*AE1348*AF1348</f>
        <v>0</v>
      </c>
      <c r="AH1348" s="166">
        <v>15</v>
      </c>
      <c r="AI1348" s="166">
        <v>1</v>
      </c>
      <c r="AJ1348" s="164">
        <f>($L1348*'Pivot Objective'!$C$9^7)*AH1348*AI1348</f>
        <v>382124.60657272732</v>
      </c>
      <c r="AK1348" s="185">
        <f t="shared" si="162"/>
        <v>788075.26818589692</v>
      </c>
      <c r="AL1348" s="186">
        <f t="shared" si="163"/>
        <v>765.12161959795822</v>
      </c>
    </row>
    <row r="1349" spans="1:38" customFormat="1" ht="72" x14ac:dyDescent="0.3">
      <c r="A1349" s="140" t="s">
        <v>1484</v>
      </c>
      <c r="B1349" s="140">
        <v>3</v>
      </c>
      <c r="C1349" s="166" t="s">
        <v>696</v>
      </c>
      <c r="D1349" s="140" t="str">
        <f t="shared" si="159"/>
        <v>1</v>
      </c>
      <c r="E1349" s="166" t="s">
        <v>689</v>
      </c>
      <c r="F1349" s="140">
        <f t="shared" si="158"/>
        <v>1</v>
      </c>
      <c r="G1349" s="140" t="str">
        <f t="shared" si="160"/>
        <v>3.1.1</v>
      </c>
      <c r="H1349" s="166" t="s">
        <v>1714</v>
      </c>
      <c r="I1349" s="166" t="s">
        <v>5</v>
      </c>
      <c r="J1349" s="166" t="s">
        <v>200</v>
      </c>
      <c r="K1349" s="166" t="s">
        <v>1350</v>
      </c>
      <c r="L1349" s="177">
        <f>1480/7</f>
        <v>211.42857142857142</v>
      </c>
      <c r="M1349" s="166">
        <f>2*135*9</f>
        <v>2430</v>
      </c>
      <c r="N1349" s="166">
        <v>1</v>
      </c>
      <c r="O1349" s="164">
        <f t="shared" si="161"/>
        <v>513771.42857142852</v>
      </c>
      <c r="P1349" s="166"/>
      <c r="Q1349" s="166"/>
      <c r="R1349" s="164">
        <f>$L1349*'Pivot Objective'!$C$9*P1349*Q1349</f>
        <v>0</v>
      </c>
      <c r="S1349" s="166"/>
      <c r="T1349" s="166"/>
      <c r="U1349" s="164">
        <f>($L1349*'Pivot Objective'!$C$9^2)*S1349*T1349</f>
        <v>0</v>
      </c>
      <c r="V1349" s="166"/>
      <c r="W1349" s="166"/>
      <c r="X1349" s="164">
        <f>($L1349*'Pivot Objective'!$C$9^3)*V1349*W1349</f>
        <v>0</v>
      </c>
      <c r="Y1349" s="166"/>
      <c r="Z1349" s="166"/>
      <c r="AA1349" s="164">
        <f>($L1349*'Pivot Objective'!$C$9^4)*Y1349*Z1349</f>
        <v>0</v>
      </c>
      <c r="AB1349" s="166"/>
      <c r="AC1349" s="166"/>
      <c r="AD1349" s="164">
        <f>($L1349*'Pivot Objective'!$C$9^5)*AB1349*AC1349</f>
        <v>0</v>
      </c>
      <c r="AE1349" s="166"/>
      <c r="AF1349" s="166"/>
      <c r="AG1349" s="164">
        <f>($L1349*'Pivot Objective'!$C$9^6)*AE1349*AF1349</f>
        <v>0</v>
      </c>
      <c r="AH1349" s="166">
        <v>2430</v>
      </c>
      <c r="AI1349" s="166">
        <v>1</v>
      </c>
      <c r="AJ1349" s="164">
        <f>($L1349*'Pivot Objective'!$C$9^7)*AH1349*AI1349</f>
        <v>1308831.3667411015</v>
      </c>
      <c r="AK1349" s="185">
        <f t="shared" si="162"/>
        <v>1822602.7953125299</v>
      </c>
      <c r="AL1349" s="186">
        <f t="shared" si="163"/>
        <v>1769.5172770024562</v>
      </c>
    </row>
    <row r="1350" spans="1:38" customFormat="1" ht="72" x14ac:dyDescent="0.3">
      <c r="A1350" s="140" t="s">
        <v>1484</v>
      </c>
      <c r="B1350" s="140">
        <v>3</v>
      </c>
      <c r="C1350" s="166" t="s">
        <v>696</v>
      </c>
      <c r="D1350" s="140" t="str">
        <f t="shared" si="159"/>
        <v>1</v>
      </c>
      <c r="E1350" s="166" t="s">
        <v>689</v>
      </c>
      <c r="F1350" s="140">
        <f t="shared" si="158"/>
        <v>1</v>
      </c>
      <c r="G1350" s="140" t="str">
        <f t="shared" si="160"/>
        <v>3.1.1</v>
      </c>
      <c r="H1350" s="166" t="s">
        <v>1714</v>
      </c>
      <c r="I1350" s="166" t="s">
        <v>5</v>
      </c>
      <c r="J1350" s="166" t="s">
        <v>152</v>
      </c>
      <c r="K1350" s="166" t="s">
        <v>712</v>
      </c>
      <c r="L1350" s="177">
        <f>1480/7</f>
        <v>211.42857142857142</v>
      </c>
      <c r="M1350" s="166">
        <f>25*2*9</f>
        <v>450</v>
      </c>
      <c r="N1350" s="166">
        <v>5</v>
      </c>
      <c r="O1350" s="164">
        <f t="shared" si="161"/>
        <v>475714.28571428568</v>
      </c>
      <c r="P1350" s="166">
        <v>0</v>
      </c>
      <c r="Q1350" s="166">
        <v>0</v>
      </c>
      <c r="R1350" s="164">
        <f>$L1350*'Pivot Objective'!$C$9*P1350*Q1350</f>
        <v>0</v>
      </c>
      <c r="S1350" s="166">
        <v>0</v>
      </c>
      <c r="T1350" s="166">
        <v>0</v>
      </c>
      <c r="U1350" s="164">
        <f>($L1350*'Pivot Objective'!$C$9^2)*S1350*T1350</f>
        <v>0</v>
      </c>
      <c r="V1350" s="166">
        <v>0</v>
      </c>
      <c r="W1350" s="166">
        <v>0</v>
      </c>
      <c r="X1350" s="164">
        <f>($L1350*'Pivot Objective'!$C$9^3)*V1350*W1350</f>
        <v>0</v>
      </c>
      <c r="Y1350" s="166">
        <v>4000</v>
      </c>
      <c r="Z1350" s="166">
        <v>1</v>
      </c>
      <c r="AA1350" s="164">
        <f>($L1350*'Pivot Objective'!$C$9^4)*Y1350*Z1350</f>
        <v>1443074.2064285369</v>
      </c>
      <c r="AB1350" s="166">
        <v>0</v>
      </c>
      <c r="AC1350" s="166">
        <v>0</v>
      </c>
      <c r="AD1350" s="164">
        <f>($L1350*'Pivot Objective'!$C$9^5)*AB1350*AC1350</f>
        <v>0</v>
      </c>
      <c r="AE1350" s="166">
        <v>0</v>
      </c>
      <c r="AF1350" s="166">
        <v>0</v>
      </c>
      <c r="AG1350" s="164">
        <f>($L1350*'Pivot Objective'!$C$9^6)*AE1350*AF1350</f>
        <v>0</v>
      </c>
      <c r="AH1350" s="166">
        <v>450</v>
      </c>
      <c r="AI1350" s="166">
        <v>5</v>
      </c>
      <c r="AJ1350" s="164">
        <f>($L1350*'Pivot Objective'!$C$9^7)*AH1350*AI1350</f>
        <v>1211880.8951306494</v>
      </c>
      <c r="AK1350" s="185">
        <f t="shared" si="162"/>
        <v>3130669.3872734718</v>
      </c>
      <c r="AL1350" s="186">
        <f t="shared" si="163"/>
        <v>3039.4848420130793</v>
      </c>
    </row>
    <row r="1351" spans="1:38" customFormat="1" ht="72" x14ac:dyDescent="0.3">
      <c r="A1351" s="140" t="s">
        <v>1484</v>
      </c>
      <c r="B1351" s="140">
        <v>3</v>
      </c>
      <c r="C1351" s="166" t="s">
        <v>696</v>
      </c>
      <c r="D1351" s="140" t="str">
        <f t="shared" si="159"/>
        <v>1</v>
      </c>
      <c r="E1351" s="166" t="s">
        <v>689</v>
      </c>
      <c r="F1351" s="140">
        <f t="shared" si="158"/>
        <v>1</v>
      </c>
      <c r="G1351" s="140" t="str">
        <f t="shared" si="160"/>
        <v>3.1.1</v>
      </c>
      <c r="H1351" s="166" t="s">
        <v>1714</v>
      </c>
      <c r="I1351" s="166" t="s">
        <v>5</v>
      </c>
      <c r="J1351" s="166" t="s">
        <v>152</v>
      </c>
      <c r="K1351" s="166" t="s">
        <v>716</v>
      </c>
      <c r="L1351" s="177">
        <v>39000</v>
      </c>
      <c r="M1351" s="166">
        <v>25</v>
      </c>
      <c r="N1351" s="166">
        <v>6</v>
      </c>
      <c r="O1351" s="164">
        <f t="shared" si="161"/>
        <v>5850000</v>
      </c>
      <c r="P1351" s="166">
        <v>0</v>
      </c>
      <c r="Q1351" s="166">
        <v>0</v>
      </c>
      <c r="R1351" s="164">
        <f>$L1351*'Pivot Objective'!$C$9*P1351*Q1351</f>
        <v>0</v>
      </c>
      <c r="S1351" s="166">
        <v>0</v>
      </c>
      <c r="T1351" s="166">
        <v>0</v>
      </c>
      <c r="U1351" s="164">
        <f>($L1351*'Pivot Objective'!$C$9^2)*S1351*T1351</f>
        <v>0</v>
      </c>
      <c r="V1351" s="166">
        <v>0</v>
      </c>
      <c r="W1351" s="166">
        <v>0</v>
      </c>
      <c r="X1351" s="164">
        <f>($L1351*'Pivot Objective'!$C$9^3)*V1351*W1351</f>
        <v>0</v>
      </c>
      <c r="Y1351" s="166">
        <v>15</v>
      </c>
      <c r="Z1351" s="166">
        <v>5</v>
      </c>
      <c r="AA1351" s="164">
        <f>($L1351*'Pivot Objective'!$C$9^4)*Y1351*Z1351</f>
        <v>4991037.9014568068</v>
      </c>
      <c r="AB1351" s="166">
        <v>0</v>
      </c>
      <c r="AC1351" s="166">
        <v>0</v>
      </c>
      <c r="AD1351" s="164">
        <f>($L1351*'Pivot Objective'!$C$9^5)*AB1351*AC1351</f>
        <v>0</v>
      </c>
      <c r="AE1351" s="166">
        <v>0</v>
      </c>
      <c r="AF1351" s="166">
        <v>0</v>
      </c>
      <c r="AG1351" s="164">
        <f>($L1351*'Pivot Objective'!$C$9^6)*AE1351*AF1351</f>
        <v>0</v>
      </c>
      <c r="AH1351" s="166">
        <v>25</v>
      </c>
      <c r="AI1351" s="166">
        <v>6</v>
      </c>
      <c r="AJ1351" s="164">
        <f>($L1351*'Pivot Objective'!$C$9^7)*AH1351*AI1351</f>
        <v>14902859.656336365</v>
      </c>
      <c r="AK1351" s="185">
        <f t="shared" si="162"/>
        <v>25743897.55779317</v>
      </c>
      <c r="AL1351" s="186">
        <f t="shared" si="163"/>
        <v>24994.07529882832</v>
      </c>
    </row>
    <row r="1352" spans="1:38" customFormat="1" ht="72" x14ac:dyDescent="0.3">
      <c r="A1352" s="140" t="s">
        <v>1484</v>
      </c>
      <c r="B1352" s="140">
        <v>3</v>
      </c>
      <c r="C1352" s="166" t="s">
        <v>696</v>
      </c>
      <c r="D1352" s="140" t="str">
        <f t="shared" si="159"/>
        <v>1</v>
      </c>
      <c r="E1352" s="166" t="s">
        <v>689</v>
      </c>
      <c r="F1352" s="140">
        <f t="shared" si="158"/>
        <v>1</v>
      </c>
      <c r="G1352" s="140" t="str">
        <f t="shared" si="160"/>
        <v>3.1.1</v>
      </c>
      <c r="H1352" s="166" t="s">
        <v>1714</v>
      </c>
      <c r="I1352" s="166" t="s">
        <v>5</v>
      </c>
      <c r="J1352" s="166" t="s">
        <v>152</v>
      </c>
      <c r="K1352" s="166" t="s">
        <v>1350</v>
      </c>
      <c r="L1352" s="177">
        <f>1480/7</f>
        <v>211.42857142857142</v>
      </c>
      <c r="M1352" s="166">
        <f>2*135*9</f>
        <v>2430</v>
      </c>
      <c r="N1352" s="166">
        <v>1</v>
      </c>
      <c r="O1352" s="164">
        <f t="shared" si="161"/>
        <v>513771.42857142852</v>
      </c>
      <c r="P1352" s="166"/>
      <c r="Q1352" s="166"/>
      <c r="R1352" s="164">
        <f>$L1352*'Pivot Objective'!$C$9*P1352*Q1352</f>
        <v>0</v>
      </c>
      <c r="S1352" s="166"/>
      <c r="T1352" s="166"/>
      <c r="U1352" s="164">
        <f>($L1352*'Pivot Objective'!$C$9^2)*S1352*T1352</f>
        <v>0</v>
      </c>
      <c r="V1352" s="166"/>
      <c r="W1352" s="166"/>
      <c r="X1352" s="164">
        <f>($L1352*'Pivot Objective'!$C$9^3)*V1352*W1352</f>
        <v>0</v>
      </c>
      <c r="Y1352" s="166"/>
      <c r="Z1352" s="166"/>
      <c r="AA1352" s="164">
        <f>($L1352*'Pivot Objective'!$C$9^4)*Y1352*Z1352</f>
        <v>0</v>
      </c>
      <c r="AB1352" s="166"/>
      <c r="AC1352" s="166"/>
      <c r="AD1352" s="164">
        <f>($L1352*'Pivot Objective'!$C$9^5)*AB1352*AC1352</f>
        <v>0</v>
      </c>
      <c r="AE1352" s="166"/>
      <c r="AF1352" s="166"/>
      <c r="AG1352" s="164">
        <f>($L1352*'Pivot Objective'!$C$9^6)*AE1352*AF1352</f>
        <v>0</v>
      </c>
      <c r="AH1352" s="166">
        <v>2430</v>
      </c>
      <c r="AI1352" s="166">
        <v>1</v>
      </c>
      <c r="AJ1352" s="164">
        <f>($L1352*'Pivot Objective'!$C$9^7)*AH1352*AI1352</f>
        <v>1308831.3667411015</v>
      </c>
      <c r="AK1352" s="185">
        <f t="shared" si="162"/>
        <v>1822602.7953125299</v>
      </c>
      <c r="AL1352" s="186">
        <f t="shared" si="163"/>
        <v>1769.5172770024562</v>
      </c>
    </row>
    <row r="1353" spans="1:38" customFormat="1" ht="72" x14ac:dyDescent="0.3">
      <c r="A1353" s="140" t="s">
        <v>1484</v>
      </c>
      <c r="B1353" s="140">
        <v>3</v>
      </c>
      <c r="C1353" s="166" t="s">
        <v>696</v>
      </c>
      <c r="D1353" s="140" t="str">
        <f t="shared" si="159"/>
        <v>1</v>
      </c>
      <c r="E1353" s="166" t="s">
        <v>689</v>
      </c>
      <c r="F1353" s="140">
        <f t="shared" si="158"/>
        <v>1</v>
      </c>
      <c r="G1353" s="140" t="str">
        <f t="shared" si="160"/>
        <v>3.1.1</v>
      </c>
      <c r="H1353" s="166" t="s">
        <v>1714</v>
      </c>
      <c r="I1353" s="166" t="s">
        <v>5</v>
      </c>
      <c r="J1353" s="166" t="s">
        <v>152</v>
      </c>
      <c r="K1353" s="166" t="s">
        <v>709</v>
      </c>
      <c r="L1353" s="177">
        <v>35000</v>
      </c>
      <c r="M1353" s="166">
        <v>25</v>
      </c>
      <c r="N1353" s="166">
        <v>5</v>
      </c>
      <c r="O1353" s="164">
        <f t="shared" si="161"/>
        <v>4375000</v>
      </c>
      <c r="P1353" s="166">
        <v>0</v>
      </c>
      <c r="Q1353" s="166">
        <v>0</v>
      </c>
      <c r="R1353" s="164">
        <f>$L1353*'Pivot Objective'!$C$9*P1353*Q1353</f>
        <v>0</v>
      </c>
      <c r="S1353" s="166">
        <v>0</v>
      </c>
      <c r="T1353" s="166">
        <v>0</v>
      </c>
      <c r="U1353" s="164">
        <f>($L1353*'Pivot Objective'!$C$9^2)*S1353*T1353</f>
        <v>0</v>
      </c>
      <c r="V1353" s="166">
        <v>0</v>
      </c>
      <c r="W1353" s="166">
        <v>0</v>
      </c>
      <c r="X1353" s="164">
        <f>($L1353*'Pivot Objective'!$C$9^3)*V1353*W1353</f>
        <v>0</v>
      </c>
      <c r="Y1353" s="166">
        <v>15</v>
      </c>
      <c r="Z1353" s="166">
        <v>5</v>
      </c>
      <c r="AA1353" s="164">
        <f>($L1353*'Pivot Objective'!$C$9^4)*Y1353*Z1353</f>
        <v>4479136.5782304676</v>
      </c>
      <c r="AB1353" s="166">
        <v>0</v>
      </c>
      <c r="AC1353" s="166">
        <v>0</v>
      </c>
      <c r="AD1353" s="164">
        <f>($L1353*'Pivot Objective'!$C$9^5)*AB1353*AC1353</f>
        <v>0</v>
      </c>
      <c r="AE1353" s="166">
        <v>0</v>
      </c>
      <c r="AF1353" s="166">
        <v>0</v>
      </c>
      <c r="AG1353" s="164">
        <f>($L1353*'Pivot Objective'!$C$9^6)*AE1353*AF1353</f>
        <v>0</v>
      </c>
      <c r="AH1353" s="166">
        <v>25</v>
      </c>
      <c r="AI1353" s="166">
        <v>5</v>
      </c>
      <c r="AJ1353" s="164">
        <f>($L1353*'Pivot Objective'!$C$9^7)*AH1353*AI1353</f>
        <v>11145301.025037881</v>
      </c>
      <c r="AK1353" s="185">
        <f t="shared" si="162"/>
        <v>19999437.603268348</v>
      </c>
      <c r="AL1353" s="186">
        <f t="shared" si="163"/>
        <v>19416.929711911016</v>
      </c>
    </row>
    <row r="1354" spans="1:38" customFormat="1" ht="72" x14ac:dyDescent="0.3">
      <c r="A1354" s="140" t="s">
        <v>1484</v>
      </c>
      <c r="B1354" s="140">
        <v>3</v>
      </c>
      <c r="C1354" s="166" t="s">
        <v>696</v>
      </c>
      <c r="D1354" s="140" t="str">
        <f t="shared" si="159"/>
        <v>1</v>
      </c>
      <c r="E1354" s="166" t="s">
        <v>689</v>
      </c>
      <c r="F1354" s="140">
        <f t="shared" si="158"/>
        <v>1</v>
      </c>
      <c r="G1354" s="140" t="str">
        <f t="shared" si="160"/>
        <v>3.1.1</v>
      </c>
      <c r="H1354" s="166" t="s">
        <v>1714</v>
      </c>
      <c r="I1354" s="166" t="s">
        <v>5</v>
      </c>
      <c r="J1354" s="166" t="s">
        <v>153</v>
      </c>
      <c r="K1354" s="166" t="s">
        <v>709</v>
      </c>
      <c r="L1354" s="177">
        <v>35000</v>
      </c>
      <c r="M1354" s="166">
        <v>25</v>
      </c>
      <c r="N1354" s="166">
        <v>3</v>
      </c>
      <c r="O1354" s="164">
        <f t="shared" si="161"/>
        <v>2625000</v>
      </c>
      <c r="P1354" s="166">
        <v>0</v>
      </c>
      <c r="Q1354" s="166">
        <v>0</v>
      </c>
      <c r="R1354" s="164">
        <f>$L1354*'Pivot Objective'!$C$9*P1354*Q1354</f>
        <v>0</v>
      </c>
      <c r="S1354" s="166">
        <v>0</v>
      </c>
      <c r="T1354" s="166">
        <v>0</v>
      </c>
      <c r="U1354" s="164">
        <f>($L1354*'Pivot Objective'!$C$9^2)*S1354*T1354</f>
        <v>0</v>
      </c>
      <c r="V1354" s="166">
        <v>0</v>
      </c>
      <c r="W1354" s="166">
        <v>0</v>
      </c>
      <c r="X1354" s="164">
        <f>($L1354*'Pivot Objective'!$C$9^3)*V1354*W1354</f>
        <v>0</v>
      </c>
      <c r="Y1354" s="166">
        <v>15</v>
      </c>
      <c r="Z1354" s="166">
        <v>5</v>
      </c>
      <c r="AA1354" s="164">
        <f>($L1354*'Pivot Objective'!$C$9^4)*Y1354*Z1354</f>
        <v>4479136.5782304676</v>
      </c>
      <c r="AB1354" s="166">
        <v>0</v>
      </c>
      <c r="AC1354" s="166">
        <v>0</v>
      </c>
      <c r="AD1354" s="164">
        <f>($L1354*'Pivot Objective'!$C$9^5)*AB1354*AC1354</f>
        <v>0</v>
      </c>
      <c r="AE1354" s="166">
        <v>0</v>
      </c>
      <c r="AF1354" s="166">
        <v>0</v>
      </c>
      <c r="AG1354" s="164">
        <f>($L1354*'Pivot Objective'!$C$9^6)*AE1354*AF1354</f>
        <v>0</v>
      </c>
      <c r="AH1354" s="166">
        <v>25</v>
      </c>
      <c r="AI1354" s="166">
        <v>3</v>
      </c>
      <c r="AJ1354" s="164">
        <f>($L1354*'Pivot Objective'!$C$9^7)*AH1354*AI1354</f>
        <v>6687180.6150227292</v>
      </c>
      <c r="AK1354" s="185">
        <f t="shared" si="162"/>
        <v>13791317.193253197</v>
      </c>
      <c r="AL1354" s="186">
        <f t="shared" si="163"/>
        <v>13389.628342964268</v>
      </c>
    </row>
    <row r="1355" spans="1:38" customFormat="1" ht="72" x14ac:dyDescent="0.3">
      <c r="A1355" s="140" t="s">
        <v>1484</v>
      </c>
      <c r="B1355" s="140">
        <v>3</v>
      </c>
      <c r="C1355" s="166" t="s">
        <v>696</v>
      </c>
      <c r="D1355" s="140" t="str">
        <f t="shared" si="159"/>
        <v>1</v>
      </c>
      <c r="E1355" s="166" t="s">
        <v>689</v>
      </c>
      <c r="F1355" s="140">
        <f t="shared" si="158"/>
        <v>1</v>
      </c>
      <c r="G1355" s="140" t="str">
        <f t="shared" si="160"/>
        <v>3.1.1</v>
      </c>
      <c r="H1355" s="166" t="s">
        <v>1714</v>
      </c>
      <c r="I1355" s="166" t="s">
        <v>5</v>
      </c>
      <c r="J1355" s="166" t="s">
        <v>153</v>
      </c>
      <c r="K1355" s="166" t="s">
        <v>716</v>
      </c>
      <c r="L1355" s="177">
        <v>39000</v>
      </c>
      <c r="M1355" s="166">
        <v>25</v>
      </c>
      <c r="N1355" s="166">
        <v>4</v>
      </c>
      <c r="O1355" s="164">
        <f t="shared" si="161"/>
        <v>3900000</v>
      </c>
      <c r="P1355" s="166">
        <v>0</v>
      </c>
      <c r="Q1355" s="166">
        <v>0</v>
      </c>
      <c r="R1355" s="164">
        <f>$L1355*'Pivot Objective'!$C$9*P1355*Q1355</f>
        <v>0</v>
      </c>
      <c r="S1355" s="166">
        <v>0</v>
      </c>
      <c r="T1355" s="166">
        <v>0</v>
      </c>
      <c r="U1355" s="164">
        <f>($L1355*'Pivot Objective'!$C$9^2)*S1355*T1355</f>
        <v>0</v>
      </c>
      <c r="V1355" s="166">
        <v>0</v>
      </c>
      <c r="W1355" s="166">
        <v>0</v>
      </c>
      <c r="X1355" s="164">
        <f>($L1355*'Pivot Objective'!$C$9^3)*V1355*W1355</f>
        <v>0</v>
      </c>
      <c r="Y1355" s="166">
        <v>15</v>
      </c>
      <c r="Z1355" s="166">
        <v>5</v>
      </c>
      <c r="AA1355" s="164">
        <f>($L1355*'Pivot Objective'!$C$9^4)*Y1355*Z1355</f>
        <v>4991037.9014568068</v>
      </c>
      <c r="AB1355" s="166">
        <v>0</v>
      </c>
      <c r="AC1355" s="166">
        <v>0</v>
      </c>
      <c r="AD1355" s="164">
        <f>($L1355*'Pivot Objective'!$C$9^5)*AB1355*AC1355</f>
        <v>0</v>
      </c>
      <c r="AE1355" s="166">
        <v>0</v>
      </c>
      <c r="AF1355" s="166">
        <v>0</v>
      </c>
      <c r="AG1355" s="164">
        <f>($L1355*'Pivot Objective'!$C$9^6)*AE1355*AF1355</f>
        <v>0</v>
      </c>
      <c r="AH1355" s="166">
        <v>25</v>
      </c>
      <c r="AI1355" s="166">
        <v>4</v>
      </c>
      <c r="AJ1355" s="164">
        <f>($L1355*'Pivot Objective'!$C$9^7)*AH1355*AI1355</f>
        <v>9935239.7708909102</v>
      </c>
      <c r="AK1355" s="185">
        <f t="shared" si="162"/>
        <v>18826277.672347717</v>
      </c>
      <c r="AL1355" s="186">
        <f t="shared" si="163"/>
        <v>18277.93948771623</v>
      </c>
    </row>
    <row r="1356" spans="1:38" customFormat="1" ht="72" x14ac:dyDescent="0.3">
      <c r="A1356" s="140" t="s">
        <v>1484</v>
      </c>
      <c r="B1356" s="140">
        <v>3</v>
      </c>
      <c r="C1356" s="166" t="s">
        <v>696</v>
      </c>
      <c r="D1356" s="140" t="str">
        <f t="shared" si="159"/>
        <v>1</v>
      </c>
      <c r="E1356" s="166" t="s">
        <v>689</v>
      </c>
      <c r="F1356" s="140">
        <f t="shared" si="158"/>
        <v>1</v>
      </c>
      <c r="G1356" s="140" t="str">
        <f t="shared" si="160"/>
        <v>3.1.1</v>
      </c>
      <c r="H1356" s="166" t="s">
        <v>1714</v>
      </c>
      <c r="I1356" s="166" t="s">
        <v>5</v>
      </c>
      <c r="J1356" s="166" t="s">
        <v>153</v>
      </c>
      <c r="K1356" s="166" t="s">
        <v>1350</v>
      </c>
      <c r="L1356" s="177">
        <f>1480/7</f>
        <v>211.42857142857142</v>
      </c>
      <c r="M1356" s="166">
        <f>2*135*9</f>
        <v>2430</v>
      </c>
      <c r="N1356" s="166">
        <v>1</v>
      </c>
      <c r="O1356" s="164">
        <f t="shared" si="161"/>
        <v>513771.42857142852</v>
      </c>
      <c r="P1356" s="166"/>
      <c r="Q1356" s="166"/>
      <c r="R1356" s="164">
        <f>$L1356*'Pivot Objective'!$C$9*P1356*Q1356</f>
        <v>0</v>
      </c>
      <c r="S1356" s="166"/>
      <c r="T1356" s="166"/>
      <c r="U1356" s="164">
        <f>($L1356*'Pivot Objective'!$C$9^2)*S1356*T1356</f>
        <v>0</v>
      </c>
      <c r="V1356" s="166"/>
      <c r="W1356" s="166"/>
      <c r="X1356" s="164">
        <f>($L1356*'Pivot Objective'!$C$9^3)*V1356*W1356</f>
        <v>0</v>
      </c>
      <c r="Y1356" s="166"/>
      <c r="Z1356" s="166"/>
      <c r="AA1356" s="164">
        <f>($L1356*'Pivot Objective'!$C$9^4)*Y1356*Z1356</f>
        <v>0</v>
      </c>
      <c r="AB1356" s="166"/>
      <c r="AC1356" s="166"/>
      <c r="AD1356" s="164">
        <f>($L1356*'Pivot Objective'!$C$9^5)*AB1356*AC1356</f>
        <v>0</v>
      </c>
      <c r="AE1356" s="166"/>
      <c r="AF1356" s="166"/>
      <c r="AG1356" s="164">
        <f>($L1356*'Pivot Objective'!$C$9^6)*AE1356*AF1356</f>
        <v>0</v>
      </c>
      <c r="AH1356" s="166">
        <v>2430</v>
      </c>
      <c r="AI1356" s="166">
        <v>1</v>
      </c>
      <c r="AJ1356" s="164">
        <f>($L1356*'Pivot Objective'!$C$9^7)*AH1356*AI1356</f>
        <v>1308831.3667411015</v>
      </c>
      <c r="AK1356" s="185">
        <f t="shared" si="162"/>
        <v>1822602.7953125299</v>
      </c>
      <c r="AL1356" s="186">
        <f t="shared" si="163"/>
        <v>1769.5172770024562</v>
      </c>
    </row>
    <row r="1357" spans="1:38" customFormat="1" ht="72" x14ac:dyDescent="0.3">
      <c r="A1357" s="140" t="s">
        <v>1484</v>
      </c>
      <c r="B1357" s="140">
        <v>3</v>
      </c>
      <c r="C1357" s="166" t="s">
        <v>696</v>
      </c>
      <c r="D1357" s="140" t="str">
        <f t="shared" si="159"/>
        <v>1</v>
      </c>
      <c r="E1357" s="166" t="s">
        <v>689</v>
      </c>
      <c r="F1357" s="140">
        <f t="shared" si="158"/>
        <v>1</v>
      </c>
      <c r="G1357" s="140" t="str">
        <f t="shared" si="160"/>
        <v>3.1.1</v>
      </c>
      <c r="H1357" s="166" t="s">
        <v>1714</v>
      </c>
      <c r="I1357" s="166" t="s">
        <v>5</v>
      </c>
      <c r="J1357" s="166" t="s">
        <v>153</v>
      </c>
      <c r="K1357" s="166" t="s">
        <v>712</v>
      </c>
      <c r="L1357" s="177">
        <f>1480/7</f>
        <v>211.42857142857142</v>
      </c>
      <c r="M1357" s="166">
        <f>25*2*9</f>
        <v>450</v>
      </c>
      <c r="N1357" s="166">
        <v>1</v>
      </c>
      <c r="O1357" s="164">
        <f t="shared" si="161"/>
        <v>95142.85714285713</v>
      </c>
      <c r="P1357" s="166">
        <v>0</v>
      </c>
      <c r="Q1357" s="166">
        <v>0</v>
      </c>
      <c r="R1357" s="164">
        <f>$L1357*'Pivot Objective'!$C$9*P1357*Q1357</f>
        <v>0</v>
      </c>
      <c r="S1357" s="166">
        <v>0</v>
      </c>
      <c r="T1357" s="166">
        <v>0</v>
      </c>
      <c r="U1357" s="164">
        <f>($L1357*'Pivot Objective'!$C$9^2)*S1357*T1357</f>
        <v>0</v>
      </c>
      <c r="V1357" s="166">
        <v>0</v>
      </c>
      <c r="W1357" s="166">
        <v>0</v>
      </c>
      <c r="X1357" s="164">
        <f>($L1357*'Pivot Objective'!$C$9^3)*V1357*W1357</f>
        <v>0</v>
      </c>
      <c r="Y1357" s="166">
        <v>4000</v>
      </c>
      <c r="Z1357" s="166">
        <v>1</v>
      </c>
      <c r="AA1357" s="164">
        <f>($L1357*'Pivot Objective'!$C$9^4)*Y1357*Z1357</f>
        <v>1443074.2064285369</v>
      </c>
      <c r="AB1357" s="166">
        <v>0</v>
      </c>
      <c r="AC1357" s="166">
        <v>0</v>
      </c>
      <c r="AD1357" s="164">
        <f>($L1357*'Pivot Objective'!$C$9^5)*AB1357*AC1357</f>
        <v>0</v>
      </c>
      <c r="AE1357" s="166">
        <v>0</v>
      </c>
      <c r="AF1357" s="166">
        <v>0</v>
      </c>
      <c r="AG1357" s="164">
        <f>($L1357*'Pivot Objective'!$C$9^6)*AE1357*AF1357</f>
        <v>0</v>
      </c>
      <c r="AH1357" s="166">
        <v>450</v>
      </c>
      <c r="AI1357" s="166">
        <v>1</v>
      </c>
      <c r="AJ1357" s="164">
        <f>($L1357*'Pivot Objective'!$C$9^7)*AH1357*AI1357</f>
        <v>242376.17902612989</v>
      </c>
      <c r="AK1357" s="185">
        <f t="shared" si="162"/>
        <v>1780593.2425975238</v>
      </c>
      <c r="AL1357" s="186">
        <f t="shared" si="163"/>
        <v>1728.7313034927415</v>
      </c>
    </row>
    <row r="1358" spans="1:38" customFormat="1" ht="72" x14ac:dyDescent="0.3">
      <c r="A1358" s="140" t="s">
        <v>1484</v>
      </c>
      <c r="B1358" s="140">
        <v>3</v>
      </c>
      <c r="C1358" s="166" t="s">
        <v>696</v>
      </c>
      <c r="D1358" s="140" t="str">
        <f t="shared" si="159"/>
        <v>1</v>
      </c>
      <c r="E1358" s="166" t="s">
        <v>689</v>
      </c>
      <c r="F1358" s="140">
        <f t="shared" si="158"/>
        <v>1</v>
      </c>
      <c r="G1358" s="140" t="str">
        <f t="shared" si="160"/>
        <v>3.1.1</v>
      </c>
      <c r="H1358" s="166" t="s">
        <v>1714</v>
      </c>
      <c r="I1358" s="166" t="s">
        <v>5</v>
      </c>
      <c r="J1358" s="166" t="s">
        <v>1319</v>
      </c>
      <c r="K1358" s="166" t="s">
        <v>709</v>
      </c>
      <c r="L1358" s="177">
        <v>35000</v>
      </c>
      <c r="M1358" s="166">
        <v>25</v>
      </c>
      <c r="N1358" s="166">
        <v>3</v>
      </c>
      <c r="O1358" s="164">
        <f t="shared" si="161"/>
        <v>2625000</v>
      </c>
      <c r="P1358" s="166"/>
      <c r="Q1358" s="166"/>
      <c r="R1358" s="164">
        <f>$L1358*'Pivot Objective'!$C$9*P1358*Q1358</f>
        <v>0</v>
      </c>
      <c r="S1358" s="166"/>
      <c r="T1358" s="166"/>
      <c r="U1358" s="164">
        <f>($L1358*'Pivot Objective'!$C$9^2)*S1358*T1358</f>
        <v>0</v>
      </c>
      <c r="V1358" s="166"/>
      <c r="W1358" s="166"/>
      <c r="X1358" s="164">
        <f>($L1358*'Pivot Objective'!$C$9^3)*V1358*W1358</f>
        <v>0</v>
      </c>
      <c r="Y1358" s="166"/>
      <c r="Z1358" s="166"/>
      <c r="AA1358" s="164">
        <f>($L1358*'Pivot Objective'!$C$9^4)*Y1358*Z1358</f>
        <v>0</v>
      </c>
      <c r="AB1358" s="166"/>
      <c r="AC1358" s="166"/>
      <c r="AD1358" s="164">
        <f>($L1358*'Pivot Objective'!$C$9^5)*AB1358*AC1358</f>
        <v>0</v>
      </c>
      <c r="AE1358" s="166"/>
      <c r="AF1358" s="166"/>
      <c r="AG1358" s="164">
        <f>($L1358*'Pivot Objective'!$C$9^6)*AE1358*AF1358</f>
        <v>0</v>
      </c>
      <c r="AH1358" s="166">
        <v>25</v>
      </c>
      <c r="AI1358" s="166">
        <v>3</v>
      </c>
      <c r="AJ1358" s="164">
        <f>($L1358*'Pivot Objective'!$C$9^7)*AH1358*AI1358</f>
        <v>6687180.6150227292</v>
      </c>
      <c r="AK1358" s="185">
        <f t="shared" si="162"/>
        <v>9312180.6150227301</v>
      </c>
      <c r="AL1358" s="186">
        <f t="shared" si="163"/>
        <v>9040.9520534201256</v>
      </c>
    </row>
    <row r="1359" spans="1:38" customFormat="1" ht="72" x14ac:dyDescent="0.3">
      <c r="A1359" s="140" t="s">
        <v>1484</v>
      </c>
      <c r="B1359" s="140">
        <v>3</v>
      </c>
      <c r="C1359" s="166" t="s">
        <v>696</v>
      </c>
      <c r="D1359" s="140" t="str">
        <f t="shared" si="159"/>
        <v>1</v>
      </c>
      <c r="E1359" s="166" t="s">
        <v>689</v>
      </c>
      <c r="F1359" s="140">
        <f t="shared" si="158"/>
        <v>1</v>
      </c>
      <c r="G1359" s="140" t="str">
        <f t="shared" si="160"/>
        <v>3.1.1</v>
      </c>
      <c r="H1359" s="166" t="s">
        <v>1714</v>
      </c>
      <c r="I1359" s="166" t="s">
        <v>5</v>
      </c>
      <c r="J1359" s="166" t="s">
        <v>1319</v>
      </c>
      <c r="K1359" s="166" t="s">
        <v>716</v>
      </c>
      <c r="L1359" s="177">
        <v>39000</v>
      </c>
      <c r="M1359" s="166">
        <v>25</v>
      </c>
      <c r="N1359" s="166">
        <v>4</v>
      </c>
      <c r="O1359" s="164">
        <f t="shared" si="161"/>
        <v>3900000</v>
      </c>
      <c r="P1359" s="166"/>
      <c r="Q1359" s="166"/>
      <c r="R1359" s="164">
        <f>$L1359*'Pivot Objective'!$C$9*P1359*Q1359</f>
        <v>0</v>
      </c>
      <c r="S1359" s="166"/>
      <c r="T1359" s="166"/>
      <c r="U1359" s="164">
        <f>($L1359*'Pivot Objective'!$C$9^2)*S1359*T1359</f>
        <v>0</v>
      </c>
      <c r="V1359" s="166"/>
      <c r="W1359" s="166"/>
      <c r="X1359" s="164">
        <f>($L1359*'Pivot Objective'!$C$9^3)*V1359*W1359</f>
        <v>0</v>
      </c>
      <c r="Y1359" s="166"/>
      <c r="Z1359" s="166"/>
      <c r="AA1359" s="164">
        <f>($L1359*'Pivot Objective'!$C$9^4)*Y1359*Z1359</f>
        <v>0</v>
      </c>
      <c r="AB1359" s="166"/>
      <c r="AC1359" s="166"/>
      <c r="AD1359" s="164">
        <f>($L1359*'Pivot Objective'!$C$9^5)*AB1359*AC1359</f>
        <v>0</v>
      </c>
      <c r="AE1359" s="166"/>
      <c r="AF1359" s="166"/>
      <c r="AG1359" s="164">
        <f>($L1359*'Pivot Objective'!$C$9^6)*AE1359*AF1359</f>
        <v>0</v>
      </c>
      <c r="AH1359" s="166">
        <v>25</v>
      </c>
      <c r="AI1359" s="166">
        <v>4</v>
      </c>
      <c r="AJ1359" s="164">
        <f>($L1359*'Pivot Objective'!$C$9^7)*AH1359*AI1359</f>
        <v>9935239.7708909102</v>
      </c>
      <c r="AK1359" s="185">
        <f t="shared" si="162"/>
        <v>13835239.77089091</v>
      </c>
      <c r="AL1359" s="186">
        <f t="shared" si="163"/>
        <v>13432.271622224185</v>
      </c>
    </row>
    <row r="1360" spans="1:38" customFormat="1" ht="72" x14ac:dyDescent="0.3">
      <c r="A1360" s="140" t="s">
        <v>1484</v>
      </c>
      <c r="B1360" s="140">
        <v>3</v>
      </c>
      <c r="C1360" s="166" t="s">
        <v>696</v>
      </c>
      <c r="D1360" s="140" t="str">
        <f t="shared" si="159"/>
        <v>1</v>
      </c>
      <c r="E1360" s="166" t="s">
        <v>689</v>
      </c>
      <c r="F1360" s="140">
        <f t="shared" si="158"/>
        <v>1</v>
      </c>
      <c r="G1360" s="140" t="str">
        <f t="shared" si="160"/>
        <v>3.1.1</v>
      </c>
      <c r="H1360" s="166" t="s">
        <v>1714</v>
      </c>
      <c r="I1360" s="166" t="s">
        <v>5</v>
      </c>
      <c r="J1360" s="166" t="s">
        <v>1319</v>
      </c>
      <c r="K1360" s="166" t="s">
        <v>1350</v>
      </c>
      <c r="L1360" s="177">
        <f>1480/7</f>
        <v>211.42857142857142</v>
      </c>
      <c r="M1360" s="166">
        <f>2*135*9</f>
        <v>2430</v>
      </c>
      <c r="N1360" s="166">
        <v>1</v>
      </c>
      <c r="O1360" s="164">
        <f t="shared" si="161"/>
        <v>513771.42857142852</v>
      </c>
      <c r="P1360" s="166"/>
      <c r="Q1360" s="166"/>
      <c r="R1360" s="164">
        <f>$L1360*'Pivot Objective'!$C$9*P1360*Q1360</f>
        <v>0</v>
      </c>
      <c r="S1360" s="166"/>
      <c r="T1360" s="166"/>
      <c r="U1360" s="164">
        <f>($L1360*'Pivot Objective'!$C$9^2)*S1360*T1360</f>
        <v>0</v>
      </c>
      <c r="V1360" s="166"/>
      <c r="W1360" s="166"/>
      <c r="X1360" s="164">
        <f>($L1360*'Pivot Objective'!$C$9^3)*V1360*W1360</f>
        <v>0</v>
      </c>
      <c r="Y1360" s="166"/>
      <c r="Z1360" s="166"/>
      <c r="AA1360" s="164">
        <f>($L1360*'Pivot Objective'!$C$9^4)*Y1360*Z1360</f>
        <v>0</v>
      </c>
      <c r="AB1360" s="166"/>
      <c r="AC1360" s="166"/>
      <c r="AD1360" s="164">
        <f>($L1360*'Pivot Objective'!$C$9^5)*AB1360*AC1360</f>
        <v>0</v>
      </c>
      <c r="AE1360" s="166"/>
      <c r="AF1360" s="166"/>
      <c r="AG1360" s="164">
        <f>($L1360*'Pivot Objective'!$C$9^6)*AE1360*AF1360</f>
        <v>0</v>
      </c>
      <c r="AH1360" s="166">
        <v>2430</v>
      </c>
      <c r="AI1360" s="166">
        <v>1</v>
      </c>
      <c r="AJ1360" s="164">
        <f>($L1360*'Pivot Objective'!$C$9^7)*AH1360*AI1360</f>
        <v>1308831.3667411015</v>
      </c>
      <c r="AK1360" s="185">
        <f t="shared" si="162"/>
        <v>1822602.7953125299</v>
      </c>
      <c r="AL1360" s="186">
        <f t="shared" si="163"/>
        <v>1769.5172770024562</v>
      </c>
    </row>
    <row r="1361" spans="1:38" customFormat="1" ht="72" x14ac:dyDescent="0.3">
      <c r="A1361" s="140" t="s">
        <v>1484</v>
      </c>
      <c r="B1361" s="140">
        <v>3</v>
      </c>
      <c r="C1361" s="166" t="s">
        <v>696</v>
      </c>
      <c r="D1361" s="140" t="str">
        <f t="shared" si="159"/>
        <v>1</v>
      </c>
      <c r="E1361" s="166" t="s">
        <v>689</v>
      </c>
      <c r="F1361" s="140">
        <f t="shared" si="158"/>
        <v>1</v>
      </c>
      <c r="G1361" s="140" t="str">
        <f t="shared" si="160"/>
        <v>3.1.1</v>
      </c>
      <c r="H1361" s="166" t="s">
        <v>1714</v>
      </c>
      <c r="I1361" s="166" t="s">
        <v>5</v>
      </c>
      <c r="J1361" s="166" t="s">
        <v>1319</v>
      </c>
      <c r="K1361" s="166" t="s">
        <v>712</v>
      </c>
      <c r="L1361" s="177">
        <f>1480/7</f>
        <v>211.42857142857142</v>
      </c>
      <c r="M1361" s="166">
        <f>25*2*9</f>
        <v>450</v>
      </c>
      <c r="N1361" s="166">
        <v>1</v>
      </c>
      <c r="O1361" s="164">
        <f t="shared" si="161"/>
        <v>95142.85714285713</v>
      </c>
      <c r="P1361" s="166"/>
      <c r="Q1361" s="166"/>
      <c r="R1361" s="164">
        <f>$L1361*'Pivot Objective'!$C$9*P1361*Q1361</f>
        <v>0</v>
      </c>
      <c r="S1361" s="166"/>
      <c r="T1361" s="166"/>
      <c r="U1361" s="164">
        <f>($L1361*'Pivot Objective'!$C$9^2)*S1361*T1361</f>
        <v>0</v>
      </c>
      <c r="V1361" s="166"/>
      <c r="W1361" s="166"/>
      <c r="X1361" s="164">
        <f>($L1361*'Pivot Objective'!$C$9^3)*V1361*W1361</f>
        <v>0</v>
      </c>
      <c r="Y1361" s="166"/>
      <c r="Z1361" s="166"/>
      <c r="AA1361" s="164">
        <f>($L1361*'Pivot Objective'!$C$9^4)*Y1361*Z1361</f>
        <v>0</v>
      </c>
      <c r="AB1361" s="166"/>
      <c r="AC1361" s="166"/>
      <c r="AD1361" s="164">
        <f>($L1361*'Pivot Objective'!$C$9^5)*AB1361*AC1361</f>
        <v>0</v>
      </c>
      <c r="AE1361" s="166"/>
      <c r="AF1361" s="166"/>
      <c r="AG1361" s="164">
        <f>($L1361*'Pivot Objective'!$C$9^6)*AE1361*AF1361</f>
        <v>0</v>
      </c>
      <c r="AH1361" s="166">
        <v>450</v>
      </c>
      <c r="AI1361" s="166">
        <v>1</v>
      </c>
      <c r="AJ1361" s="164">
        <f>($L1361*'Pivot Objective'!$C$9^7)*AH1361*AI1361</f>
        <v>242376.17902612989</v>
      </c>
      <c r="AK1361" s="185">
        <f t="shared" si="162"/>
        <v>337519.03616898705</v>
      </c>
      <c r="AL1361" s="186">
        <f t="shared" si="163"/>
        <v>327.6883846300845</v>
      </c>
    </row>
    <row r="1362" spans="1:38" customFormat="1" ht="72" x14ac:dyDescent="0.3">
      <c r="A1362" s="140" t="s">
        <v>1484</v>
      </c>
      <c r="B1362" s="140">
        <v>3</v>
      </c>
      <c r="C1362" s="166" t="s">
        <v>696</v>
      </c>
      <c r="D1362" s="140" t="str">
        <f t="shared" si="159"/>
        <v>1</v>
      </c>
      <c r="E1362" s="166" t="s">
        <v>689</v>
      </c>
      <c r="F1362" s="140">
        <f t="shared" si="158"/>
        <v>1</v>
      </c>
      <c r="G1362" s="140" t="str">
        <f t="shared" si="160"/>
        <v>3.1.1</v>
      </c>
      <c r="H1362" s="166" t="s">
        <v>1714</v>
      </c>
      <c r="I1362" s="166" t="s">
        <v>6</v>
      </c>
      <c r="J1362" s="166" t="s">
        <v>201</v>
      </c>
      <c r="K1362" s="166" t="s">
        <v>716</v>
      </c>
      <c r="L1362" s="177">
        <v>39000</v>
      </c>
      <c r="M1362" s="166">
        <v>25</v>
      </c>
      <c r="N1362" s="166">
        <v>6</v>
      </c>
      <c r="O1362" s="164">
        <f t="shared" si="161"/>
        <v>5850000</v>
      </c>
      <c r="P1362" s="166">
        <v>0</v>
      </c>
      <c r="Q1362" s="166">
        <v>0</v>
      </c>
      <c r="R1362" s="164">
        <f>$L1362*'Pivot Objective'!$C$9*P1362*Q1362</f>
        <v>0</v>
      </c>
      <c r="S1362" s="166">
        <v>0</v>
      </c>
      <c r="T1362" s="166">
        <v>0</v>
      </c>
      <c r="U1362" s="164">
        <f>($L1362*'Pivot Objective'!$C$9^2)*S1362*T1362</f>
        <v>0</v>
      </c>
      <c r="V1362" s="166">
        <v>0</v>
      </c>
      <c r="W1362" s="166">
        <v>0</v>
      </c>
      <c r="X1362" s="164">
        <f>($L1362*'Pivot Objective'!$C$9^3)*V1362*W1362</f>
        <v>0</v>
      </c>
      <c r="Y1362" s="166">
        <v>30</v>
      </c>
      <c r="Z1362" s="166">
        <v>5</v>
      </c>
      <c r="AA1362" s="164">
        <f>($L1362*'Pivot Objective'!$C$9^4)*Y1362*Z1362</f>
        <v>9982075.8029136136</v>
      </c>
      <c r="AB1362" s="166">
        <v>0</v>
      </c>
      <c r="AC1362" s="166">
        <v>0</v>
      </c>
      <c r="AD1362" s="164">
        <f>($L1362*'Pivot Objective'!$C$9^5)*AB1362*AC1362</f>
        <v>0</v>
      </c>
      <c r="AE1362" s="166">
        <v>0</v>
      </c>
      <c r="AF1362" s="166">
        <v>0</v>
      </c>
      <c r="AG1362" s="164">
        <f>($L1362*'Pivot Objective'!$C$9^6)*AE1362*AF1362</f>
        <v>0</v>
      </c>
      <c r="AH1362" s="166">
        <v>25</v>
      </c>
      <c r="AI1362" s="166">
        <v>6</v>
      </c>
      <c r="AJ1362" s="164">
        <f>($L1362*'Pivot Objective'!$C$9^7)*AH1362*AI1362</f>
        <v>14902859.656336365</v>
      </c>
      <c r="AK1362" s="185">
        <f t="shared" si="162"/>
        <v>30734935.459249981</v>
      </c>
      <c r="AL1362" s="186">
        <f t="shared" si="163"/>
        <v>29839.743164320371</v>
      </c>
    </row>
    <row r="1363" spans="1:38" customFormat="1" ht="72" x14ac:dyDescent="0.3">
      <c r="A1363" s="140" t="s">
        <v>1484</v>
      </c>
      <c r="B1363" s="140">
        <v>3</v>
      </c>
      <c r="C1363" s="166" t="s">
        <v>696</v>
      </c>
      <c r="D1363" s="140" t="str">
        <f t="shared" si="159"/>
        <v>1</v>
      </c>
      <c r="E1363" s="166" t="s">
        <v>689</v>
      </c>
      <c r="F1363" s="140">
        <f t="shared" si="158"/>
        <v>1</v>
      </c>
      <c r="G1363" s="140" t="str">
        <f t="shared" si="160"/>
        <v>3.1.1</v>
      </c>
      <c r="H1363" s="166" t="s">
        <v>1714</v>
      </c>
      <c r="I1363" s="166" t="s">
        <v>6</v>
      </c>
      <c r="J1363" s="166" t="s">
        <v>201</v>
      </c>
      <c r="K1363" s="166" t="s">
        <v>1350</v>
      </c>
      <c r="L1363" s="177">
        <f>1480/7</f>
        <v>211.42857142857142</v>
      </c>
      <c r="M1363" s="166">
        <f>2*135*9</f>
        <v>2430</v>
      </c>
      <c r="N1363" s="166">
        <v>1</v>
      </c>
      <c r="O1363" s="164">
        <f t="shared" si="161"/>
        <v>513771.42857142852</v>
      </c>
      <c r="P1363" s="166"/>
      <c r="Q1363" s="166"/>
      <c r="R1363" s="164">
        <f>$L1363*'Pivot Objective'!$C$9*P1363*Q1363</f>
        <v>0</v>
      </c>
      <c r="S1363" s="166"/>
      <c r="T1363" s="166"/>
      <c r="U1363" s="164">
        <f>($L1363*'Pivot Objective'!$C$9^2)*S1363*T1363</f>
        <v>0</v>
      </c>
      <c r="V1363" s="166"/>
      <c r="W1363" s="166"/>
      <c r="X1363" s="164">
        <f>($L1363*'Pivot Objective'!$C$9^3)*V1363*W1363</f>
        <v>0</v>
      </c>
      <c r="Y1363" s="166"/>
      <c r="Z1363" s="166"/>
      <c r="AA1363" s="164">
        <f>($L1363*'Pivot Objective'!$C$9^4)*Y1363*Z1363</f>
        <v>0</v>
      </c>
      <c r="AB1363" s="166"/>
      <c r="AC1363" s="166"/>
      <c r="AD1363" s="164">
        <f>($L1363*'Pivot Objective'!$C$9^5)*AB1363*AC1363</f>
        <v>0</v>
      </c>
      <c r="AE1363" s="166"/>
      <c r="AF1363" s="166"/>
      <c r="AG1363" s="164">
        <f>($L1363*'Pivot Objective'!$C$9^6)*AE1363*AF1363</f>
        <v>0</v>
      </c>
      <c r="AH1363" s="166">
        <v>2430</v>
      </c>
      <c r="AI1363" s="166">
        <v>1</v>
      </c>
      <c r="AJ1363" s="164">
        <f>($L1363*'Pivot Objective'!$C$9^7)*AH1363*AI1363</f>
        <v>1308831.3667411015</v>
      </c>
      <c r="AK1363" s="185">
        <f t="shared" si="162"/>
        <v>1822602.7953125299</v>
      </c>
      <c r="AL1363" s="186">
        <f t="shared" si="163"/>
        <v>1769.5172770024562</v>
      </c>
    </row>
    <row r="1364" spans="1:38" customFormat="1" ht="72" x14ac:dyDescent="0.3">
      <c r="A1364" s="140" t="s">
        <v>1484</v>
      </c>
      <c r="B1364" s="140">
        <v>3</v>
      </c>
      <c r="C1364" s="166" t="s">
        <v>696</v>
      </c>
      <c r="D1364" s="140" t="str">
        <f t="shared" si="159"/>
        <v>1</v>
      </c>
      <c r="E1364" s="166" t="s">
        <v>689</v>
      </c>
      <c r="F1364" s="140">
        <f t="shared" si="158"/>
        <v>1</v>
      </c>
      <c r="G1364" s="140" t="str">
        <f t="shared" si="160"/>
        <v>3.1.1</v>
      </c>
      <c r="H1364" s="166" t="s">
        <v>1714</v>
      </c>
      <c r="I1364" s="166" t="s">
        <v>6</v>
      </c>
      <c r="J1364" s="166" t="s">
        <v>201</v>
      </c>
      <c r="K1364" s="166" t="s">
        <v>712</v>
      </c>
      <c r="L1364" s="177">
        <f>1480/7</f>
        <v>211.42857142857142</v>
      </c>
      <c r="M1364" s="166">
        <f>25*2*9</f>
        <v>450</v>
      </c>
      <c r="N1364" s="166">
        <v>5</v>
      </c>
      <c r="O1364" s="164">
        <f t="shared" si="161"/>
        <v>475714.28571428568</v>
      </c>
      <c r="P1364" s="166">
        <v>0</v>
      </c>
      <c r="Q1364" s="166">
        <v>0</v>
      </c>
      <c r="R1364" s="164">
        <f>$L1364*'Pivot Objective'!$C$9*P1364*Q1364</f>
        <v>0</v>
      </c>
      <c r="S1364" s="166">
        <v>0</v>
      </c>
      <c r="T1364" s="166">
        <v>0</v>
      </c>
      <c r="U1364" s="164">
        <f>($L1364*'Pivot Objective'!$C$9^2)*S1364*T1364</f>
        <v>0</v>
      </c>
      <c r="V1364" s="166">
        <v>0</v>
      </c>
      <c r="W1364" s="166">
        <v>0</v>
      </c>
      <c r="X1364" s="164">
        <f>($L1364*'Pivot Objective'!$C$9^3)*V1364*W1364</f>
        <v>0</v>
      </c>
      <c r="Y1364" s="166">
        <v>8000</v>
      </c>
      <c r="Z1364" s="166">
        <v>1</v>
      </c>
      <c r="AA1364" s="164">
        <f>($L1364*'Pivot Objective'!$C$9^4)*Y1364*Z1364</f>
        <v>2886148.4128570738</v>
      </c>
      <c r="AB1364" s="166">
        <v>0</v>
      </c>
      <c r="AC1364" s="166">
        <v>0</v>
      </c>
      <c r="AD1364" s="164">
        <f>($L1364*'Pivot Objective'!$C$9^5)*AB1364*AC1364</f>
        <v>0</v>
      </c>
      <c r="AE1364" s="166">
        <v>0</v>
      </c>
      <c r="AF1364" s="166">
        <v>0</v>
      </c>
      <c r="AG1364" s="164">
        <f>($L1364*'Pivot Objective'!$C$9^6)*AE1364*AF1364</f>
        <v>0</v>
      </c>
      <c r="AH1364" s="166">
        <v>450</v>
      </c>
      <c r="AI1364" s="166">
        <v>5</v>
      </c>
      <c r="AJ1364" s="164">
        <f>($L1364*'Pivot Objective'!$C$9^7)*AH1364*AI1364</f>
        <v>1211880.8951306494</v>
      </c>
      <c r="AK1364" s="185">
        <f t="shared" si="162"/>
        <v>4573743.5937020089</v>
      </c>
      <c r="AL1364" s="186">
        <f t="shared" si="163"/>
        <v>4440.5277608757369</v>
      </c>
    </row>
    <row r="1365" spans="1:38" customFormat="1" ht="72" x14ac:dyDescent="0.3">
      <c r="A1365" s="140" t="s">
        <v>1484</v>
      </c>
      <c r="B1365" s="140">
        <v>3</v>
      </c>
      <c r="C1365" s="166" t="s">
        <v>696</v>
      </c>
      <c r="D1365" s="140" t="str">
        <f t="shared" si="159"/>
        <v>1</v>
      </c>
      <c r="E1365" s="166" t="s">
        <v>689</v>
      </c>
      <c r="F1365" s="140">
        <f t="shared" si="158"/>
        <v>1</v>
      </c>
      <c r="G1365" s="140" t="str">
        <f t="shared" si="160"/>
        <v>3.1.1</v>
      </c>
      <c r="H1365" s="166" t="s">
        <v>1714</v>
      </c>
      <c r="I1365" s="166" t="s">
        <v>6</v>
      </c>
      <c r="J1365" s="166" t="s">
        <v>201</v>
      </c>
      <c r="K1365" s="166" t="s">
        <v>709</v>
      </c>
      <c r="L1365" s="177">
        <v>35000</v>
      </c>
      <c r="M1365" s="166">
        <v>25</v>
      </c>
      <c r="N1365" s="166">
        <v>5</v>
      </c>
      <c r="O1365" s="164">
        <f t="shared" si="161"/>
        <v>4375000</v>
      </c>
      <c r="P1365" s="166">
        <v>0</v>
      </c>
      <c r="Q1365" s="166">
        <v>0</v>
      </c>
      <c r="R1365" s="164">
        <f>$L1365*'Pivot Objective'!$C$9*P1365*Q1365</f>
        <v>0</v>
      </c>
      <c r="S1365" s="166">
        <v>0</v>
      </c>
      <c r="T1365" s="166">
        <v>0</v>
      </c>
      <c r="U1365" s="164">
        <f>($L1365*'Pivot Objective'!$C$9^2)*S1365*T1365</f>
        <v>0</v>
      </c>
      <c r="V1365" s="166">
        <v>0</v>
      </c>
      <c r="W1365" s="166">
        <v>0</v>
      </c>
      <c r="X1365" s="164">
        <f>($L1365*'Pivot Objective'!$C$9^3)*V1365*W1365</f>
        <v>0</v>
      </c>
      <c r="Y1365" s="166">
        <v>30</v>
      </c>
      <c r="Z1365" s="166">
        <v>5</v>
      </c>
      <c r="AA1365" s="164">
        <f>($L1365*'Pivot Objective'!$C$9^4)*Y1365*Z1365</f>
        <v>8958273.1564609352</v>
      </c>
      <c r="AB1365" s="166">
        <v>0</v>
      </c>
      <c r="AC1365" s="166">
        <v>0</v>
      </c>
      <c r="AD1365" s="164">
        <f>($L1365*'Pivot Objective'!$C$9^5)*AB1365*AC1365</f>
        <v>0</v>
      </c>
      <c r="AE1365" s="166">
        <v>0</v>
      </c>
      <c r="AF1365" s="166">
        <v>0</v>
      </c>
      <c r="AG1365" s="164">
        <f>($L1365*'Pivot Objective'!$C$9^6)*AE1365*AF1365</f>
        <v>0</v>
      </c>
      <c r="AH1365" s="166">
        <v>25</v>
      </c>
      <c r="AI1365" s="166">
        <v>5</v>
      </c>
      <c r="AJ1365" s="164">
        <f>($L1365*'Pivot Objective'!$C$9^7)*AH1365*AI1365</f>
        <v>11145301.025037881</v>
      </c>
      <c r="AK1365" s="185">
        <f t="shared" si="162"/>
        <v>24478574.181498818</v>
      </c>
      <c r="AL1365" s="186">
        <f t="shared" si="163"/>
        <v>23765.606001455162</v>
      </c>
    </row>
    <row r="1366" spans="1:38" customFormat="1" ht="72" x14ac:dyDescent="0.3">
      <c r="A1366" s="140" t="s">
        <v>1484</v>
      </c>
      <c r="B1366" s="140">
        <v>3</v>
      </c>
      <c r="C1366" s="166" t="s">
        <v>696</v>
      </c>
      <c r="D1366" s="140" t="str">
        <f t="shared" si="159"/>
        <v>1</v>
      </c>
      <c r="E1366" s="166" t="s">
        <v>689</v>
      </c>
      <c r="F1366" s="140">
        <f t="shared" si="158"/>
        <v>1</v>
      </c>
      <c r="G1366" s="140" t="str">
        <f t="shared" si="160"/>
        <v>3.1.1</v>
      </c>
      <c r="H1366" s="166" t="s">
        <v>1714</v>
      </c>
      <c r="I1366" s="166" t="s">
        <v>6</v>
      </c>
      <c r="J1366" s="166" t="s">
        <v>202</v>
      </c>
      <c r="K1366" s="166" t="s">
        <v>716</v>
      </c>
      <c r="L1366" s="177">
        <v>39000</v>
      </c>
      <c r="M1366" s="166">
        <v>25</v>
      </c>
      <c r="N1366" s="166">
        <v>6</v>
      </c>
      <c r="O1366" s="164">
        <f t="shared" si="161"/>
        <v>5850000</v>
      </c>
      <c r="P1366" s="166">
        <v>0</v>
      </c>
      <c r="Q1366" s="166">
        <v>0</v>
      </c>
      <c r="R1366" s="164">
        <f>$L1366*'Pivot Objective'!$C$9*P1366*Q1366</f>
        <v>0</v>
      </c>
      <c r="S1366" s="166">
        <v>0</v>
      </c>
      <c r="T1366" s="166">
        <v>0</v>
      </c>
      <c r="U1366" s="164">
        <f>($L1366*'Pivot Objective'!$C$9^2)*S1366*T1366</f>
        <v>0</v>
      </c>
      <c r="V1366" s="166">
        <v>0</v>
      </c>
      <c r="W1366" s="166">
        <v>0</v>
      </c>
      <c r="X1366" s="164">
        <f>($L1366*'Pivot Objective'!$C$9^3)*V1366*W1366</f>
        <v>0</v>
      </c>
      <c r="Y1366" s="166">
        <v>30</v>
      </c>
      <c r="Z1366" s="166">
        <v>5</v>
      </c>
      <c r="AA1366" s="164">
        <f>($L1366*'Pivot Objective'!$C$9^4)*Y1366*Z1366</f>
        <v>9982075.8029136136</v>
      </c>
      <c r="AB1366" s="166">
        <v>0</v>
      </c>
      <c r="AC1366" s="166">
        <v>0</v>
      </c>
      <c r="AD1366" s="164">
        <f>($L1366*'Pivot Objective'!$C$9^5)*AB1366*AC1366</f>
        <v>0</v>
      </c>
      <c r="AE1366" s="166">
        <v>0</v>
      </c>
      <c r="AF1366" s="166">
        <v>0</v>
      </c>
      <c r="AG1366" s="164">
        <f>($L1366*'Pivot Objective'!$C$9^6)*AE1366*AF1366</f>
        <v>0</v>
      </c>
      <c r="AH1366" s="166">
        <v>25</v>
      </c>
      <c r="AI1366" s="166">
        <v>6</v>
      </c>
      <c r="AJ1366" s="164">
        <f>($L1366*'Pivot Objective'!$C$9^7)*AH1366*AI1366</f>
        <v>14902859.656336365</v>
      </c>
      <c r="AK1366" s="185">
        <f t="shared" si="162"/>
        <v>30734935.459249981</v>
      </c>
      <c r="AL1366" s="186">
        <f t="shared" si="163"/>
        <v>29839.743164320371</v>
      </c>
    </row>
    <row r="1367" spans="1:38" customFormat="1" ht="72" x14ac:dyDescent="0.3">
      <c r="A1367" s="140" t="s">
        <v>1484</v>
      </c>
      <c r="B1367" s="140">
        <v>3</v>
      </c>
      <c r="C1367" s="166" t="s">
        <v>696</v>
      </c>
      <c r="D1367" s="140" t="str">
        <f t="shared" si="159"/>
        <v>1</v>
      </c>
      <c r="E1367" s="166" t="s">
        <v>689</v>
      </c>
      <c r="F1367" s="140">
        <f t="shared" si="158"/>
        <v>1</v>
      </c>
      <c r="G1367" s="140" t="str">
        <f t="shared" si="160"/>
        <v>3.1.1</v>
      </c>
      <c r="H1367" s="166" t="s">
        <v>1714</v>
      </c>
      <c r="I1367" s="166" t="s">
        <v>6</v>
      </c>
      <c r="J1367" s="166" t="s">
        <v>202</v>
      </c>
      <c r="K1367" s="166" t="s">
        <v>712</v>
      </c>
      <c r="L1367" s="177">
        <f>1480/7</f>
        <v>211.42857142857142</v>
      </c>
      <c r="M1367" s="166">
        <f>25*2*9</f>
        <v>450</v>
      </c>
      <c r="N1367" s="166">
        <v>1</v>
      </c>
      <c r="O1367" s="164">
        <f t="shared" si="161"/>
        <v>95142.85714285713</v>
      </c>
      <c r="P1367" s="166">
        <v>0</v>
      </c>
      <c r="Q1367" s="166">
        <v>0</v>
      </c>
      <c r="R1367" s="164">
        <f>$L1367*'Pivot Objective'!$C$9*P1367*Q1367</f>
        <v>0</v>
      </c>
      <c r="S1367" s="166">
        <v>0</v>
      </c>
      <c r="T1367" s="166">
        <v>0</v>
      </c>
      <c r="U1367" s="164">
        <f>($L1367*'Pivot Objective'!$C$9^2)*S1367*T1367</f>
        <v>0</v>
      </c>
      <c r="V1367" s="166">
        <v>0</v>
      </c>
      <c r="W1367" s="166">
        <v>0</v>
      </c>
      <c r="X1367" s="164">
        <f>($L1367*'Pivot Objective'!$C$9^3)*V1367*W1367</f>
        <v>0</v>
      </c>
      <c r="Y1367" s="166">
        <v>8000</v>
      </c>
      <c r="Z1367" s="166">
        <v>1</v>
      </c>
      <c r="AA1367" s="164">
        <f>($L1367*'Pivot Objective'!$C$9^4)*Y1367*Z1367</f>
        <v>2886148.4128570738</v>
      </c>
      <c r="AB1367" s="166">
        <v>0</v>
      </c>
      <c r="AC1367" s="166">
        <v>0</v>
      </c>
      <c r="AD1367" s="164">
        <f>($L1367*'Pivot Objective'!$C$9^5)*AB1367*AC1367</f>
        <v>0</v>
      </c>
      <c r="AE1367" s="166">
        <v>0</v>
      </c>
      <c r="AF1367" s="166">
        <v>0</v>
      </c>
      <c r="AG1367" s="164">
        <f>($L1367*'Pivot Objective'!$C$9^6)*AE1367*AF1367</f>
        <v>0</v>
      </c>
      <c r="AH1367" s="166">
        <v>450</v>
      </c>
      <c r="AI1367" s="166">
        <v>1</v>
      </c>
      <c r="AJ1367" s="164">
        <f>($L1367*'Pivot Objective'!$C$9^7)*AH1367*AI1367</f>
        <v>242376.17902612989</v>
      </c>
      <c r="AK1367" s="185">
        <f t="shared" si="162"/>
        <v>3223667.4490260612</v>
      </c>
      <c r="AL1367" s="186">
        <f t="shared" si="163"/>
        <v>3129.7742223553992</v>
      </c>
    </row>
    <row r="1368" spans="1:38" customFormat="1" ht="72" x14ac:dyDescent="0.3">
      <c r="A1368" s="140" t="s">
        <v>1484</v>
      </c>
      <c r="B1368" s="140">
        <v>3</v>
      </c>
      <c r="C1368" s="166" t="s">
        <v>696</v>
      </c>
      <c r="D1368" s="140" t="str">
        <f t="shared" si="159"/>
        <v>1</v>
      </c>
      <c r="E1368" s="166" t="s">
        <v>689</v>
      </c>
      <c r="F1368" s="140">
        <f t="shared" ref="F1368:F1431" si="164">IF(H1368=H1367,F1367,F1367+1)</f>
        <v>1</v>
      </c>
      <c r="G1368" s="140" t="str">
        <f t="shared" si="160"/>
        <v>3.1.1</v>
      </c>
      <c r="H1368" s="166" t="s">
        <v>1714</v>
      </c>
      <c r="I1368" s="166" t="s">
        <v>6</v>
      </c>
      <c r="J1368" s="166" t="s">
        <v>202</v>
      </c>
      <c r="K1368" s="166" t="s">
        <v>709</v>
      </c>
      <c r="L1368" s="177">
        <v>35000</v>
      </c>
      <c r="M1368" s="166">
        <v>25</v>
      </c>
      <c r="N1368" s="166">
        <v>5</v>
      </c>
      <c r="O1368" s="164">
        <f t="shared" si="161"/>
        <v>4375000</v>
      </c>
      <c r="P1368" s="166">
        <v>0</v>
      </c>
      <c r="Q1368" s="166">
        <v>0</v>
      </c>
      <c r="R1368" s="164">
        <f>$L1368*'Pivot Objective'!$C$9*P1368*Q1368</f>
        <v>0</v>
      </c>
      <c r="S1368" s="166">
        <v>0</v>
      </c>
      <c r="T1368" s="166">
        <v>0</v>
      </c>
      <c r="U1368" s="164">
        <f>($L1368*'Pivot Objective'!$C$9^2)*S1368*T1368</f>
        <v>0</v>
      </c>
      <c r="V1368" s="166">
        <v>0</v>
      </c>
      <c r="W1368" s="166">
        <v>0</v>
      </c>
      <c r="X1368" s="164">
        <f>($L1368*'Pivot Objective'!$C$9^3)*V1368*W1368</f>
        <v>0</v>
      </c>
      <c r="Y1368" s="166">
        <v>30</v>
      </c>
      <c r="Z1368" s="166">
        <v>5</v>
      </c>
      <c r="AA1368" s="164">
        <f>($L1368*'Pivot Objective'!$C$9^4)*Y1368*Z1368</f>
        <v>8958273.1564609352</v>
      </c>
      <c r="AB1368" s="166">
        <v>0</v>
      </c>
      <c r="AC1368" s="166">
        <v>0</v>
      </c>
      <c r="AD1368" s="164">
        <f>($L1368*'Pivot Objective'!$C$9^5)*AB1368*AC1368</f>
        <v>0</v>
      </c>
      <c r="AE1368" s="166">
        <v>0</v>
      </c>
      <c r="AF1368" s="166">
        <v>0</v>
      </c>
      <c r="AG1368" s="164">
        <f>($L1368*'Pivot Objective'!$C$9^6)*AE1368*AF1368</f>
        <v>0</v>
      </c>
      <c r="AH1368" s="166">
        <v>25</v>
      </c>
      <c r="AI1368" s="166">
        <v>5</v>
      </c>
      <c r="AJ1368" s="164">
        <f>($L1368*'Pivot Objective'!$C$9^7)*AH1368*AI1368</f>
        <v>11145301.025037881</v>
      </c>
      <c r="AK1368" s="185">
        <f t="shared" si="162"/>
        <v>24478574.181498818</v>
      </c>
      <c r="AL1368" s="186">
        <f t="shared" si="163"/>
        <v>23765.606001455162</v>
      </c>
    </row>
    <row r="1369" spans="1:38" customFormat="1" ht="72" x14ac:dyDescent="0.3">
      <c r="A1369" s="140" t="s">
        <v>1484</v>
      </c>
      <c r="B1369" s="140">
        <v>3</v>
      </c>
      <c r="C1369" s="166" t="s">
        <v>696</v>
      </c>
      <c r="D1369" s="140" t="str">
        <f t="shared" si="159"/>
        <v>1</v>
      </c>
      <c r="E1369" s="166" t="s">
        <v>689</v>
      </c>
      <c r="F1369" s="140">
        <f t="shared" si="164"/>
        <v>1</v>
      </c>
      <c r="G1369" s="140" t="str">
        <f t="shared" si="160"/>
        <v>3.1.1</v>
      </c>
      <c r="H1369" s="166" t="s">
        <v>1714</v>
      </c>
      <c r="I1369" s="166" t="s">
        <v>6</v>
      </c>
      <c r="J1369" s="166" t="s">
        <v>203</v>
      </c>
      <c r="K1369" s="166" t="s">
        <v>716</v>
      </c>
      <c r="L1369" s="177">
        <v>39000</v>
      </c>
      <c r="M1369" s="166">
        <v>25</v>
      </c>
      <c r="N1369" s="166">
        <v>6</v>
      </c>
      <c r="O1369" s="164">
        <f t="shared" si="161"/>
        <v>5850000</v>
      </c>
      <c r="P1369" s="166">
        <v>0</v>
      </c>
      <c r="Q1369" s="166">
        <v>0</v>
      </c>
      <c r="R1369" s="164">
        <f>$L1369*'Pivot Objective'!$C$9*P1369*Q1369</f>
        <v>0</v>
      </c>
      <c r="S1369" s="166">
        <v>0</v>
      </c>
      <c r="T1369" s="166">
        <v>0</v>
      </c>
      <c r="U1369" s="164">
        <f>($L1369*'Pivot Objective'!$C$9^2)*S1369*T1369</f>
        <v>0</v>
      </c>
      <c r="V1369" s="166">
        <v>0</v>
      </c>
      <c r="W1369" s="166">
        <v>0</v>
      </c>
      <c r="X1369" s="164">
        <f>($L1369*'Pivot Objective'!$C$9^3)*V1369*W1369</f>
        <v>0</v>
      </c>
      <c r="Y1369" s="166">
        <v>20</v>
      </c>
      <c r="Z1369" s="166">
        <v>5</v>
      </c>
      <c r="AA1369" s="164">
        <f>($L1369*'Pivot Objective'!$C$9^4)*Y1369*Z1369</f>
        <v>6654717.2019424094</v>
      </c>
      <c r="AB1369" s="166">
        <v>0</v>
      </c>
      <c r="AC1369" s="166">
        <v>0</v>
      </c>
      <c r="AD1369" s="164">
        <f>($L1369*'Pivot Objective'!$C$9^5)*AB1369*AC1369</f>
        <v>0</v>
      </c>
      <c r="AE1369" s="166">
        <v>0</v>
      </c>
      <c r="AF1369" s="166">
        <v>0</v>
      </c>
      <c r="AG1369" s="164">
        <f>($L1369*'Pivot Objective'!$C$9^6)*AE1369*AF1369</f>
        <v>0</v>
      </c>
      <c r="AH1369" s="166">
        <v>25</v>
      </c>
      <c r="AI1369" s="166">
        <v>6</v>
      </c>
      <c r="AJ1369" s="164">
        <f>($L1369*'Pivot Objective'!$C$9^7)*AH1369*AI1369</f>
        <v>14902859.656336365</v>
      </c>
      <c r="AK1369" s="185">
        <f t="shared" si="162"/>
        <v>27407576.858278774</v>
      </c>
      <c r="AL1369" s="186">
        <f t="shared" si="163"/>
        <v>26609.297920659003</v>
      </c>
    </row>
    <row r="1370" spans="1:38" customFormat="1" ht="72" x14ac:dyDescent="0.3">
      <c r="A1370" s="140" t="s">
        <v>1484</v>
      </c>
      <c r="B1370" s="140">
        <v>3</v>
      </c>
      <c r="C1370" s="166" t="s">
        <v>696</v>
      </c>
      <c r="D1370" s="140" t="str">
        <f t="shared" si="159"/>
        <v>1</v>
      </c>
      <c r="E1370" s="166" t="s">
        <v>689</v>
      </c>
      <c r="F1370" s="140">
        <f t="shared" si="164"/>
        <v>1</v>
      </c>
      <c r="G1370" s="140" t="str">
        <f t="shared" si="160"/>
        <v>3.1.1</v>
      </c>
      <c r="H1370" s="166" t="s">
        <v>1714</v>
      </c>
      <c r="I1370" s="166" t="s">
        <v>6</v>
      </c>
      <c r="J1370" s="166" t="s">
        <v>203</v>
      </c>
      <c r="K1370" s="166" t="s">
        <v>712</v>
      </c>
      <c r="L1370" s="177">
        <f>1480/7</f>
        <v>211.42857142857142</v>
      </c>
      <c r="M1370" s="166">
        <f>25*2*9</f>
        <v>450</v>
      </c>
      <c r="N1370" s="166">
        <v>5</v>
      </c>
      <c r="O1370" s="164">
        <f t="shared" si="161"/>
        <v>475714.28571428568</v>
      </c>
      <c r="P1370" s="166">
        <v>0</v>
      </c>
      <c r="Q1370" s="166">
        <v>0</v>
      </c>
      <c r="R1370" s="164">
        <f>$L1370*'Pivot Objective'!$C$9*P1370*Q1370</f>
        <v>0</v>
      </c>
      <c r="S1370" s="166">
        <v>0</v>
      </c>
      <c r="T1370" s="166">
        <v>0</v>
      </c>
      <c r="U1370" s="164">
        <f>($L1370*'Pivot Objective'!$C$9^2)*S1370*T1370</f>
        <v>0</v>
      </c>
      <c r="V1370" s="166">
        <v>0</v>
      </c>
      <c r="W1370" s="166">
        <v>0</v>
      </c>
      <c r="X1370" s="164">
        <f>($L1370*'Pivot Objective'!$C$9^3)*V1370*W1370</f>
        <v>0</v>
      </c>
      <c r="Y1370" s="166">
        <v>8000</v>
      </c>
      <c r="Z1370" s="166">
        <v>1</v>
      </c>
      <c r="AA1370" s="164">
        <f>($L1370*'Pivot Objective'!$C$9^4)*Y1370*Z1370</f>
        <v>2886148.4128570738</v>
      </c>
      <c r="AB1370" s="166">
        <v>0</v>
      </c>
      <c r="AC1370" s="166">
        <v>0</v>
      </c>
      <c r="AD1370" s="164">
        <f>($L1370*'Pivot Objective'!$C$9^5)*AB1370*AC1370</f>
        <v>0</v>
      </c>
      <c r="AE1370" s="166">
        <v>0</v>
      </c>
      <c r="AF1370" s="166">
        <v>0</v>
      </c>
      <c r="AG1370" s="164">
        <f>($L1370*'Pivot Objective'!$C$9^6)*AE1370*AF1370</f>
        <v>0</v>
      </c>
      <c r="AH1370" s="166">
        <v>450</v>
      </c>
      <c r="AI1370" s="166">
        <v>5</v>
      </c>
      <c r="AJ1370" s="164">
        <f>($L1370*'Pivot Objective'!$C$9^7)*AH1370*AI1370</f>
        <v>1211880.8951306494</v>
      </c>
      <c r="AK1370" s="185">
        <f t="shared" si="162"/>
        <v>4573743.5937020089</v>
      </c>
      <c r="AL1370" s="186">
        <f t="shared" si="163"/>
        <v>4440.5277608757369</v>
      </c>
    </row>
    <row r="1371" spans="1:38" customFormat="1" ht="72" x14ac:dyDescent="0.3">
      <c r="A1371" s="140" t="s">
        <v>1484</v>
      </c>
      <c r="B1371" s="140">
        <v>3</v>
      </c>
      <c r="C1371" s="166" t="s">
        <v>696</v>
      </c>
      <c r="D1371" s="140" t="str">
        <f t="shared" si="159"/>
        <v>1</v>
      </c>
      <c r="E1371" s="166" t="s">
        <v>689</v>
      </c>
      <c r="F1371" s="140">
        <f t="shared" si="164"/>
        <v>1</v>
      </c>
      <c r="G1371" s="140" t="str">
        <f t="shared" si="160"/>
        <v>3.1.1</v>
      </c>
      <c r="H1371" s="166" t="s">
        <v>1714</v>
      </c>
      <c r="I1371" s="166" t="s">
        <v>6</v>
      </c>
      <c r="J1371" s="166" t="s">
        <v>203</v>
      </c>
      <c r="K1371" s="166" t="s">
        <v>1350</v>
      </c>
      <c r="L1371" s="177">
        <f>1480/7</f>
        <v>211.42857142857142</v>
      </c>
      <c r="M1371" s="166">
        <f>2*135*9</f>
        <v>2430</v>
      </c>
      <c r="N1371" s="166">
        <v>1</v>
      </c>
      <c r="O1371" s="164">
        <f t="shared" si="161"/>
        <v>513771.42857142852</v>
      </c>
      <c r="P1371" s="166"/>
      <c r="Q1371" s="166"/>
      <c r="R1371" s="164">
        <f>$L1371*'Pivot Objective'!$C$9*P1371*Q1371</f>
        <v>0</v>
      </c>
      <c r="S1371" s="166"/>
      <c r="T1371" s="166"/>
      <c r="U1371" s="164">
        <f>($L1371*'Pivot Objective'!$C$9^2)*S1371*T1371</f>
        <v>0</v>
      </c>
      <c r="V1371" s="166"/>
      <c r="W1371" s="166"/>
      <c r="X1371" s="164">
        <f>($L1371*'Pivot Objective'!$C$9^3)*V1371*W1371</f>
        <v>0</v>
      </c>
      <c r="Y1371" s="166"/>
      <c r="Z1371" s="166"/>
      <c r="AA1371" s="164">
        <f>($L1371*'Pivot Objective'!$C$9^4)*Y1371*Z1371</f>
        <v>0</v>
      </c>
      <c r="AB1371" s="166"/>
      <c r="AC1371" s="166"/>
      <c r="AD1371" s="164">
        <f>($L1371*'Pivot Objective'!$C$9^5)*AB1371*AC1371</f>
        <v>0</v>
      </c>
      <c r="AE1371" s="166"/>
      <c r="AF1371" s="166"/>
      <c r="AG1371" s="164">
        <f>($L1371*'Pivot Objective'!$C$9^6)*AE1371*AF1371</f>
        <v>0</v>
      </c>
      <c r="AH1371" s="166">
        <v>2430</v>
      </c>
      <c r="AI1371" s="166">
        <v>1</v>
      </c>
      <c r="AJ1371" s="164">
        <f>($L1371*'Pivot Objective'!$C$9^7)*AH1371*AI1371</f>
        <v>1308831.3667411015</v>
      </c>
      <c r="AK1371" s="185">
        <f t="shared" si="162"/>
        <v>1822602.7953125299</v>
      </c>
      <c r="AL1371" s="186">
        <f t="shared" si="163"/>
        <v>1769.5172770024562</v>
      </c>
    </row>
    <row r="1372" spans="1:38" customFormat="1" ht="72" x14ac:dyDescent="0.3">
      <c r="A1372" s="140" t="s">
        <v>1484</v>
      </c>
      <c r="B1372" s="140">
        <v>3</v>
      </c>
      <c r="C1372" s="166" t="s">
        <v>696</v>
      </c>
      <c r="D1372" s="140" t="str">
        <f t="shared" si="159"/>
        <v>1</v>
      </c>
      <c r="E1372" s="166" t="s">
        <v>689</v>
      </c>
      <c r="F1372" s="140">
        <f t="shared" si="164"/>
        <v>1</v>
      </c>
      <c r="G1372" s="140" t="str">
        <f t="shared" si="160"/>
        <v>3.1.1</v>
      </c>
      <c r="H1372" s="166" t="s">
        <v>1714</v>
      </c>
      <c r="I1372" s="166" t="s">
        <v>6</v>
      </c>
      <c r="J1372" s="166" t="s">
        <v>203</v>
      </c>
      <c r="K1372" s="166" t="s">
        <v>709</v>
      </c>
      <c r="L1372" s="177">
        <v>35000</v>
      </c>
      <c r="M1372" s="166">
        <v>25</v>
      </c>
      <c r="N1372" s="166">
        <v>5</v>
      </c>
      <c r="O1372" s="164">
        <f t="shared" si="161"/>
        <v>4375000</v>
      </c>
      <c r="P1372" s="166">
        <v>0</v>
      </c>
      <c r="Q1372" s="166">
        <v>0</v>
      </c>
      <c r="R1372" s="164">
        <f>$L1372*'Pivot Objective'!$C$9*P1372*Q1372</f>
        <v>0</v>
      </c>
      <c r="S1372" s="166">
        <v>0</v>
      </c>
      <c r="T1372" s="166">
        <v>0</v>
      </c>
      <c r="U1372" s="164">
        <f>($L1372*'Pivot Objective'!$C$9^2)*S1372*T1372</f>
        <v>0</v>
      </c>
      <c r="V1372" s="166">
        <v>0</v>
      </c>
      <c r="W1372" s="166">
        <v>0</v>
      </c>
      <c r="X1372" s="164">
        <f>($L1372*'Pivot Objective'!$C$9^3)*V1372*W1372</f>
        <v>0</v>
      </c>
      <c r="Y1372" s="166">
        <v>40</v>
      </c>
      <c r="Z1372" s="166">
        <v>1</v>
      </c>
      <c r="AA1372" s="164">
        <f>($L1372*'Pivot Objective'!$C$9^4)*Y1372*Z1372</f>
        <v>2388872.8417229159</v>
      </c>
      <c r="AB1372" s="166">
        <v>0</v>
      </c>
      <c r="AC1372" s="166">
        <v>0</v>
      </c>
      <c r="AD1372" s="164">
        <f>($L1372*'Pivot Objective'!$C$9^5)*AB1372*AC1372</f>
        <v>0</v>
      </c>
      <c r="AE1372" s="166">
        <v>0</v>
      </c>
      <c r="AF1372" s="166">
        <v>0</v>
      </c>
      <c r="AG1372" s="164">
        <f>($L1372*'Pivot Objective'!$C$9^6)*AE1372*AF1372</f>
        <v>0</v>
      </c>
      <c r="AH1372" s="166">
        <v>25</v>
      </c>
      <c r="AI1372" s="166">
        <v>5</v>
      </c>
      <c r="AJ1372" s="164">
        <f>($L1372*'Pivot Objective'!$C$9^7)*AH1372*AI1372</f>
        <v>11145301.025037881</v>
      </c>
      <c r="AK1372" s="185">
        <f t="shared" si="162"/>
        <v>17909173.866760798</v>
      </c>
      <c r="AL1372" s="186">
        <f t="shared" si="163"/>
        <v>17387.547443457086</v>
      </c>
    </row>
    <row r="1373" spans="1:38" customFormat="1" ht="72" x14ac:dyDescent="0.3">
      <c r="A1373" s="140" t="s">
        <v>1484</v>
      </c>
      <c r="B1373" s="140">
        <v>3</v>
      </c>
      <c r="C1373" s="166" t="s">
        <v>696</v>
      </c>
      <c r="D1373" s="140" t="str">
        <f t="shared" si="159"/>
        <v>1</v>
      </c>
      <c r="E1373" s="166" t="s">
        <v>689</v>
      </c>
      <c r="F1373" s="140">
        <f t="shared" si="164"/>
        <v>1</v>
      </c>
      <c r="G1373" s="140" t="str">
        <f t="shared" si="160"/>
        <v>3.1.1</v>
      </c>
      <c r="H1373" s="166" t="s">
        <v>1714</v>
      </c>
      <c r="I1373" s="166" t="s">
        <v>6</v>
      </c>
      <c r="J1373" s="166" t="s">
        <v>204</v>
      </c>
      <c r="K1373" s="166" t="s">
        <v>709</v>
      </c>
      <c r="L1373" s="177">
        <v>35000</v>
      </c>
      <c r="M1373" s="166">
        <v>30</v>
      </c>
      <c r="N1373" s="166">
        <v>1</v>
      </c>
      <c r="O1373" s="164">
        <f t="shared" si="161"/>
        <v>1050000</v>
      </c>
      <c r="P1373" s="166">
        <v>0</v>
      </c>
      <c r="Q1373" s="166">
        <v>0</v>
      </c>
      <c r="R1373" s="164">
        <f>$L1373*'Pivot Objective'!$C$9*P1373*Q1373</f>
        <v>0</v>
      </c>
      <c r="S1373" s="166">
        <v>0</v>
      </c>
      <c r="T1373" s="166">
        <v>0</v>
      </c>
      <c r="U1373" s="164">
        <f>($L1373*'Pivot Objective'!$C$9^2)*S1373*T1373</f>
        <v>0</v>
      </c>
      <c r="V1373" s="166">
        <v>0</v>
      </c>
      <c r="W1373" s="166">
        <v>0</v>
      </c>
      <c r="X1373" s="164">
        <f>($L1373*'Pivot Objective'!$C$9^3)*V1373*W1373</f>
        <v>0</v>
      </c>
      <c r="Y1373" s="166">
        <v>30</v>
      </c>
      <c r="Z1373" s="166">
        <v>1</v>
      </c>
      <c r="AA1373" s="164">
        <f>($L1373*'Pivot Objective'!$C$9^4)*Y1373*Z1373</f>
        <v>1791654.6312921871</v>
      </c>
      <c r="AB1373" s="166">
        <v>0</v>
      </c>
      <c r="AC1373" s="166">
        <v>0</v>
      </c>
      <c r="AD1373" s="164">
        <f>($L1373*'Pivot Objective'!$C$9^5)*AB1373*AC1373</f>
        <v>0</v>
      </c>
      <c r="AE1373" s="166">
        <v>0</v>
      </c>
      <c r="AF1373" s="166">
        <v>0</v>
      </c>
      <c r="AG1373" s="164">
        <f>($L1373*'Pivot Objective'!$C$9^6)*AE1373*AF1373</f>
        <v>0</v>
      </c>
      <c r="AH1373" s="166">
        <v>30</v>
      </c>
      <c r="AI1373" s="166">
        <v>1</v>
      </c>
      <c r="AJ1373" s="164">
        <f>($L1373*'Pivot Objective'!$C$9^7)*AH1373*AI1373</f>
        <v>2674872.2460090914</v>
      </c>
      <c r="AK1373" s="185">
        <f t="shared" si="162"/>
        <v>5516526.8773012785</v>
      </c>
      <c r="AL1373" s="186">
        <f t="shared" si="163"/>
        <v>5355.8513371857071</v>
      </c>
    </row>
    <row r="1374" spans="1:38" customFormat="1" ht="72" x14ac:dyDescent="0.3">
      <c r="A1374" s="140" t="s">
        <v>1484</v>
      </c>
      <c r="B1374" s="140">
        <v>3</v>
      </c>
      <c r="C1374" s="166" t="s">
        <v>696</v>
      </c>
      <c r="D1374" s="140" t="str">
        <f t="shared" si="159"/>
        <v>1</v>
      </c>
      <c r="E1374" s="166" t="s">
        <v>689</v>
      </c>
      <c r="F1374" s="140">
        <f t="shared" si="164"/>
        <v>1</v>
      </c>
      <c r="G1374" s="140" t="str">
        <f t="shared" si="160"/>
        <v>3.1.1</v>
      </c>
      <c r="H1374" s="166" t="s">
        <v>1714</v>
      </c>
      <c r="I1374" s="166" t="s">
        <v>6</v>
      </c>
      <c r="J1374" s="166" t="s">
        <v>205</v>
      </c>
      <c r="K1374" s="166" t="s">
        <v>709</v>
      </c>
      <c r="L1374" s="177">
        <v>35000</v>
      </c>
      <c r="M1374" s="166">
        <v>30</v>
      </c>
      <c r="N1374" s="166">
        <v>1</v>
      </c>
      <c r="O1374" s="164">
        <f t="shared" si="161"/>
        <v>1050000</v>
      </c>
      <c r="P1374" s="166">
        <v>0</v>
      </c>
      <c r="Q1374" s="166">
        <v>0</v>
      </c>
      <c r="R1374" s="164">
        <f>$L1374*'Pivot Objective'!$C$9*P1374*Q1374</f>
        <v>0</v>
      </c>
      <c r="S1374" s="166">
        <v>0</v>
      </c>
      <c r="T1374" s="166">
        <v>0</v>
      </c>
      <c r="U1374" s="164">
        <f>($L1374*'Pivot Objective'!$C$9^2)*S1374*T1374</f>
        <v>0</v>
      </c>
      <c r="V1374" s="166">
        <v>0</v>
      </c>
      <c r="W1374" s="166">
        <v>0</v>
      </c>
      <c r="X1374" s="164">
        <f>($L1374*'Pivot Objective'!$C$9^3)*V1374*W1374</f>
        <v>0</v>
      </c>
      <c r="Y1374" s="166">
        <v>15</v>
      </c>
      <c r="Z1374" s="166">
        <v>1</v>
      </c>
      <c r="AA1374" s="164">
        <f>($L1374*'Pivot Objective'!$C$9^4)*Y1374*Z1374</f>
        <v>895827.31564609357</v>
      </c>
      <c r="AB1374" s="166">
        <v>0</v>
      </c>
      <c r="AC1374" s="166">
        <v>0</v>
      </c>
      <c r="AD1374" s="164">
        <f>($L1374*'Pivot Objective'!$C$9^5)*AB1374*AC1374</f>
        <v>0</v>
      </c>
      <c r="AE1374" s="166">
        <v>0</v>
      </c>
      <c r="AF1374" s="166">
        <v>0</v>
      </c>
      <c r="AG1374" s="164">
        <f>($L1374*'Pivot Objective'!$C$9^6)*AE1374*AF1374</f>
        <v>0</v>
      </c>
      <c r="AH1374" s="166">
        <v>30</v>
      </c>
      <c r="AI1374" s="166">
        <v>1</v>
      </c>
      <c r="AJ1374" s="164">
        <f>($L1374*'Pivot Objective'!$C$9^7)*AH1374*AI1374</f>
        <v>2674872.2460090914</v>
      </c>
      <c r="AK1374" s="185">
        <f t="shared" si="162"/>
        <v>4620699.5616551852</v>
      </c>
      <c r="AL1374" s="186">
        <f t="shared" si="163"/>
        <v>4486.1160792768787</v>
      </c>
    </row>
    <row r="1375" spans="1:38" customFormat="1" ht="72" x14ac:dyDescent="0.3">
      <c r="A1375" s="140" t="s">
        <v>1484</v>
      </c>
      <c r="B1375" s="140">
        <v>3</v>
      </c>
      <c r="C1375" s="166" t="s">
        <v>696</v>
      </c>
      <c r="D1375" s="140" t="str">
        <f t="shared" si="159"/>
        <v>1</v>
      </c>
      <c r="E1375" s="166" t="s">
        <v>689</v>
      </c>
      <c r="F1375" s="140">
        <f t="shared" si="164"/>
        <v>1</v>
      </c>
      <c r="G1375" s="140" t="str">
        <f t="shared" si="160"/>
        <v>3.1.1</v>
      </c>
      <c r="H1375" s="166" t="s">
        <v>1714</v>
      </c>
      <c r="I1375" s="166" t="s">
        <v>6</v>
      </c>
      <c r="J1375" s="166" t="s">
        <v>206</v>
      </c>
      <c r="K1375" s="166" t="s">
        <v>1297</v>
      </c>
      <c r="L1375" s="177">
        <v>8000</v>
      </c>
      <c r="M1375" s="166">
        <v>2</v>
      </c>
      <c r="N1375" s="166">
        <v>1</v>
      </c>
      <c r="O1375" s="164">
        <f t="shared" si="161"/>
        <v>16000</v>
      </c>
      <c r="P1375" s="166">
        <v>0</v>
      </c>
      <c r="Q1375" s="166">
        <v>0</v>
      </c>
      <c r="R1375" s="164">
        <f>$L1375*'Pivot Objective'!$C$9*P1375*Q1375</f>
        <v>0</v>
      </c>
      <c r="S1375" s="166">
        <v>0</v>
      </c>
      <c r="T1375" s="166">
        <v>0</v>
      </c>
      <c r="U1375" s="164">
        <f>($L1375*'Pivot Objective'!$C$9^2)*S1375*T1375</f>
        <v>0</v>
      </c>
      <c r="V1375" s="166">
        <v>0</v>
      </c>
      <c r="W1375" s="166">
        <v>0</v>
      </c>
      <c r="X1375" s="164">
        <f>($L1375*'Pivot Objective'!$C$9^3)*V1375*W1375</f>
        <v>0</v>
      </c>
      <c r="Y1375" s="166">
        <v>50000</v>
      </c>
      <c r="Z1375" s="166">
        <v>1</v>
      </c>
      <c r="AA1375" s="164">
        <f>($L1375*'Pivot Objective'!$C$9^4)*Y1375*Z1375</f>
        <v>682535097.63511884</v>
      </c>
      <c r="AB1375" s="166">
        <v>0</v>
      </c>
      <c r="AC1375" s="166">
        <v>0</v>
      </c>
      <c r="AD1375" s="164">
        <f>($L1375*'Pivot Objective'!$C$9^5)*AB1375*AC1375</f>
        <v>0</v>
      </c>
      <c r="AE1375" s="166">
        <v>0</v>
      </c>
      <c r="AF1375" s="166">
        <v>0</v>
      </c>
      <c r="AG1375" s="164">
        <f>($L1375*'Pivot Objective'!$C$9^6)*AE1375*AF1375</f>
        <v>0</v>
      </c>
      <c r="AH1375" s="166">
        <v>2</v>
      </c>
      <c r="AI1375" s="166">
        <v>1</v>
      </c>
      <c r="AJ1375" s="164">
        <f>($L1375*'Pivot Objective'!$C$9^7)*AH1375*AI1375</f>
        <v>40759.958034424249</v>
      </c>
      <c r="AK1375" s="185">
        <f t="shared" si="162"/>
        <v>682591857.59315324</v>
      </c>
      <c r="AL1375" s="186">
        <f t="shared" si="163"/>
        <v>662710.54135257599</v>
      </c>
    </row>
    <row r="1376" spans="1:38" customFormat="1" ht="72" x14ac:dyDescent="0.3">
      <c r="A1376" s="140" t="s">
        <v>1484</v>
      </c>
      <c r="B1376" s="140">
        <v>3</v>
      </c>
      <c r="C1376" s="166" t="s">
        <v>696</v>
      </c>
      <c r="D1376" s="140" t="str">
        <f t="shared" si="159"/>
        <v>1</v>
      </c>
      <c r="E1376" s="166" t="s">
        <v>689</v>
      </c>
      <c r="F1376" s="140">
        <f t="shared" si="164"/>
        <v>1</v>
      </c>
      <c r="G1376" s="140" t="str">
        <f t="shared" si="160"/>
        <v>3.1.1</v>
      </c>
      <c r="H1376" s="166" t="s">
        <v>1714</v>
      </c>
      <c r="I1376" s="166" t="s">
        <v>6</v>
      </c>
      <c r="J1376" s="166" t="s">
        <v>206</v>
      </c>
      <c r="K1376" s="166" t="s">
        <v>710</v>
      </c>
      <c r="L1376" s="177">
        <v>104850</v>
      </c>
      <c r="M1376" s="166">
        <v>1</v>
      </c>
      <c r="N1376" s="166">
        <v>1</v>
      </c>
      <c r="O1376" s="164">
        <f t="shared" si="161"/>
        <v>104850</v>
      </c>
      <c r="P1376" s="166">
        <v>0</v>
      </c>
      <c r="Q1376" s="166">
        <v>0</v>
      </c>
      <c r="R1376" s="164">
        <f>$L1376*'Pivot Objective'!$C$9*P1376*Q1376</f>
        <v>0</v>
      </c>
      <c r="S1376" s="166">
        <v>0</v>
      </c>
      <c r="T1376" s="166">
        <v>0</v>
      </c>
      <c r="U1376" s="164">
        <f>($L1376*'Pivot Objective'!$C$9^2)*S1376*T1376</f>
        <v>0</v>
      </c>
      <c r="V1376" s="166">
        <v>0</v>
      </c>
      <c r="W1376" s="166">
        <v>0</v>
      </c>
      <c r="X1376" s="164">
        <f>($L1376*'Pivot Objective'!$C$9^3)*V1376*W1376</f>
        <v>0</v>
      </c>
      <c r="Y1376" s="166">
        <v>5</v>
      </c>
      <c r="Z1376" s="166">
        <v>1</v>
      </c>
      <c r="AA1376" s="164">
        <f>($L1376*'Pivot Objective'!$C$9^4)*Y1376*Z1376</f>
        <v>894547.56233802764</v>
      </c>
      <c r="AB1376" s="166">
        <v>0</v>
      </c>
      <c r="AC1376" s="166">
        <v>0</v>
      </c>
      <c r="AD1376" s="164">
        <f>($L1376*'Pivot Objective'!$C$9^5)*AB1376*AC1376</f>
        <v>0</v>
      </c>
      <c r="AE1376" s="166">
        <v>0</v>
      </c>
      <c r="AF1376" s="166">
        <v>0</v>
      </c>
      <c r="AG1376" s="164">
        <f>($L1376*'Pivot Objective'!$C$9^6)*AE1376*AF1376</f>
        <v>0</v>
      </c>
      <c r="AH1376" s="166">
        <v>1</v>
      </c>
      <c r="AI1376" s="166">
        <v>1</v>
      </c>
      <c r="AJ1376" s="164">
        <f>($L1376*'Pivot Objective'!$C$9^7)*AH1376*AI1376</f>
        <v>267105.09999433643</v>
      </c>
      <c r="AK1376" s="185">
        <f t="shared" si="162"/>
        <v>1266502.6623323641</v>
      </c>
      <c r="AL1376" s="186">
        <f t="shared" si="163"/>
        <v>1229.6142352741399</v>
      </c>
    </row>
    <row r="1377" spans="1:38" customFormat="1" ht="72" x14ac:dyDescent="0.3">
      <c r="A1377" s="140" t="s">
        <v>1484</v>
      </c>
      <c r="B1377" s="140">
        <v>3</v>
      </c>
      <c r="C1377" s="166" t="s">
        <v>696</v>
      </c>
      <c r="D1377" s="140" t="str">
        <f t="shared" si="159"/>
        <v>1</v>
      </c>
      <c r="E1377" s="166" t="s">
        <v>689</v>
      </c>
      <c r="F1377" s="140">
        <f t="shared" si="164"/>
        <v>1</v>
      </c>
      <c r="G1377" s="140" t="str">
        <f t="shared" si="160"/>
        <v>3.1.1</v>
      </c>
      <c r="H1377" s="166" t="s">
        <v>1714</v>
      </c>
      <c r="I1377" s="166" t="s">
        <v>6</v>
      </c>
      <c r="J1377" s="166" t="s">
        <v>207</v>
      </c>
      <c r="K1377" s="166" t="s">
        <v>1297</v>
      </c>
      <c r="L1377" s="177">
        <v>8000</v>
      </c>
      <c r="M1377" s="166">
        <v>10</v>
      </c>
      <c r="N1377" s="166">
        <v>1</v>
      </c>
      <c r="O1377" s="164">
        <f t="shared" si="161"/>
        <v>80000</v>
      </c>
      <c r="P1377" s="166">
        <v>0</v>
      </c>
      <c r="Q1377" s="166">
        <v>0</v>
      </c>
      <c r="R1377" s="164">
        <f>$L1377*'Pivot Objective'!$C$9*P1377*Q1377</f>
        <v>0</v>
      </c>
      <c r="S1377" s="166">
        <v>0</v>
      </c>
      <c r="T1377" s="166">
        <v>0</v>
      </c>
      <c r="U1377" s="164">
        <f>($L1377*'Pivot Objective'!$C$9^2)*S1377*T1377</f>
        <v>0</v>
      </c>
      <c r="V1377" s="166">
        <v>0</v>
      </c>
      <c r="W1377" s="166">
        <v>0</v>
      </c>
      <c r="X1377" s="164">
        <f>($L1377*'Pivot Objective'!$C$9^3)*V1377*W1377</f>
        <v>0</v>
      </c>
      <c r="Y1377" s="166">
        <v>20000</v>
      </c>
      <c r="Z1377" s="166">
        <v>1</v>
      </c>
      <c r="AA1377" s="164">
        <f>($L1377*'Pivot Objective'!$C$9^4)*Y1377*Z1377</f>
        <v>273014039.05404752</v>
      </c>
      <c r="AB1377" s="166">
        <v>0</v>
      </c>
      <c r="AC1377" s="166">
        <v>0</v>
      </c>
      <c r="AD1377" s="164">
        <f>($L1377*'Pivot Objective'!$C$9^5)*AB1377*AC1377</f>
        <v>0</v>
      </c>
      <c r="AE1377" s="166">
        <v>0</v>
      </c>
      <c r="AF1377" s="166">
        <v>0</v>
      </c>
      <c r="AG1377" s="164">
        <f>($L1377*'Pivot Objective'!$C$9^6)*AE1377*AF1377</f>
        <v>0</v>
      </c>
      <c r="AH1377" s="166">
        <v>10</v>
      </c>
      <c r="AI1377" s="166">
        <v>1</v>
      </c>
      <c r="AJ1377" s="164">
        <f>($L1377*'Pivot Objective'!$C$9^7)*AH1377*AI1377</f>
        <v>203799.79017212125</v>
      </c>
      <c r="AK1377" s="185">
        <f t="shared" si="162"/>
        <v>273297838.84421962</v>
      </c>
      <c r="AL1377" s="186">
        <f t="shared" si="163"/>
        <v>265337.70761574723</v>
      </c>
    </row>
    <row r="1378" spans="1:38" customFormat="1" ht="72" x14ac:dyDescent="0.3">
      <c r="A1378" s="140" t="s">
        <v>1484</v>
      </c>
      <c r="B1378" s="140">
        <v>3</v>
      </c>
      <c r="C1378" s="166" t="s">
        <v>696</v>
      </c>
      <c r="D1378" s="140" t="str">
        <f t="shared" si="159"/>
        <v>1</v>
      </c>
      <c r="E1378" s="166" t="s">
        <v>689</v>
      </c>
      <c r="F1378" s="140">
        <f t="shared" si="164"/>
        <v>1</v>
      </c>
      <c r="G1378" s="140" t="str">
        <f t="shared" si="160"/>
        <v>3.1.1</v>
      </c>
      <c r="H1378" s="166" t="s">
        <v>1714</v>
      </c>
      <c r="I1378" s="166" t="s">
        <v>6</v>
      </c>
      <c r="J1378" s="166" t="s">
        <v>207</v>
      </c>
      <c r="K1378" s="166" t="s">
        <v>710</v>
      </c>
      <c r="L1378" s="177">
        <v>104850</v>
      </c>
      <c r="M1378" s="166">
        <v>1</v>
      </c>
      <c r="N1378" s="166">
        <v>1</v>
      </c>
      <c r="O1378" s="164">
        <f t="shared" si="161"/>
        <v>104850</v>
      </c>
      <c r="P1378" s="166">
        <v>0</v>
      </c>
      <c r="Q1378" s="166">
        <v>0</v>
      </c>
      <c r="R1378" s="164">
        <f>$L1378*'Pivot Objective'!$C$9*P1378*Q1378</f>
        <v>0</v>
      </c>
      <c r="S1378" s="166">
        <v>0</v>
      </c>
      <c r="T1378" s="166">
        <v>0</v>
      </c>
      <c r="U1378" s="164">
        <f>($L1378*'Pivot Objective'!$C$9^2)*S1378*T1378</f>
        <v>0</v>
      </c>
      <c r="V1378" s="166">
        <v>0</v>
      </c>
      <c r="W1378" s="166">
        <v>0</v>
      </c>
      <c r="X1378" s="164">
        <f>($L1378*'Pivot Objective'!$C$9^3)*V1378*W1378</f>
        <v>0</v>
      </c>
      <c r="Y1378" s="166">
        <v>2</v>
      </c>
      <c r="Z1378" s="166">
        <v>1</v>
      </c>
      <c r="AA1378" s="164">
        <f>($L1378*'Pivot Objective'!$C$9^4)*Y1378*Z1378</f>
        <v>357819.02493521105</v>
      </c>
      <c r="AB1378" s="166">
        <v>0</v>
      </c>
      <c r="AC1378" s="166">
        <v>0</v>
      </c>
      <c r="AD1378" s="164">
        <f>($L1378*'Pivot Objective'!$C$9^5)*AB1378*AC1378</f>
        <v>0</v>
      </c>
      <c r="AE1378" s="166">
        <v>0</v>
      </c>
      <c r="AF1378" s="166">
        <v>0</v>
      </c>
      <c r="AG1378" s="164">
        <f>($L1378*'Pivot Objective'!$C$9^6)*AE1378*AF1378</f>
        <v>0</v>
      </c>
      <c r="AH1378" s="166">
        <v>1</v>
      </c>
      <c r="AI1378" s="166">
        <v>1</v>
      </c>
      <c r="AJ1378" s="164">
        <f>($L1378*'Pivot Objective'!$C$9^7)*AH1378*AI1378</f>
        <v>267105.09999433643</v>
      </c>
      <c r="AK1378" s="185">
        <f t="shared" si="162"/>
        <v>729774.12492954754</v>
      </c>
      <c r="AL1378" s="186">
        <f t="shared" si="163"/>
        <v>708.51856789276462</v>
      </c>
    </row>
    <row r="1379" spans="1:38" customFormat="1" ht="72" x14ac:dyDescent="0.3">
      <c r="A1379" s="140" t="s">
        <v>1484</v>
      </c>
      <c r="B1379" s="140">
        <v>3</v>
      </c>
      <c r="C1379" s="166" t="s">
        <v>696</v>
      </c>
      <c r="D1379" s="140" t="str">
        <f t="shared" si="159"/>
        <v>1</v>
      </c>
      <c r="E1379" s="166" t="s">
        <v>689</v>
      </c>
      <c r="F1379" s="140">
        <f t="shared" si="164"/>
        <v>1</v>
      </c>
      <c r="G1379" s="140" t="str">
        <f t="shared" si="160"/>
        <v>3.1.1</v>
      </c>
      <c r="H1379" s="166" t="s">
        <v>1714</v>
      </c>
      <c r="I1379" s="166" t="s">
        <v>6</v>
      </c>
      <c r="J1379" s="166" t="s">
        <v>208</v>
      </c>
      <c r="K1379" s="166" t="s">
        <v>722</v>
      </c>
      <c r="L1379" s="177">
        <v>10682.15</v>
      </c>
      <c r="M1379" s="166">
        <v>1</v>
      </c>
      <c r="N1379" s="166">
        <v>30</v>
      </c>
      <c r="O1379" s="164">
        <f t="shared" si="161"/>
        <v>320464.5</v>
      </c>
      <c r="P1379" s="166">
        <v>0</v>
      </c>
      <c r="Q1379" s="166">
        <v>0</v>
      </c>
      <c r="R1379" s="164">
        <f>$L1379*'Pivot Objective'!$C$9*P1379*Q1379</f>
        <v>0</v>
      </c>
      <c r="S1379" s="166">
        <v>0</v>
      </c>
      <c r="T1379" s="166">
        <v>0</v>
      </c>
      <c r="U1379" s="164">
        <f>($L1379*'Pivot Objective'!$C$9^2)*S1379*T1379</f>
        <v>0</v>
      </c>
      <c r="V1379" s="166">
        <v>0</v>
      </c>
      <c r="W1379" s="166">
        <v>0</v>
      </c>
      <c r="X1379" s="164">
        <f>($L1379*'Pivot Objective'!$C$9^3)*V1379*W1379</f>
        <v>0</v>
      </c>
      <c r="Y1379" s="166">
        <v>1</v>
      </c>
      <c r="Z1379" s="166">
        <v>90</v>
      </c>
      <c r="AA1379" s="164">
        <f>($L1379*'Pivot Objective'!$C$9^4)*Y1379*Z1379</f>
        <v>1640462.0159706715</v>
      </c>
      <c r="AB1379" s="166">
        <v>0</v>
      </c>
      <c r="AC1379" s="166">
        <v>0</v>
      </c>
      <c r="AD1379" s="164">
        <f>($L1379*'Pivot Objective'!$C$9^5)*AB1379*AC1379</f>
        <v>0</v>
      </c>
      <c r="AE1379" s="166">
        <v>0</v>
      </c>
      <c r="AF1379" s="166">
        <v>0</v>
      </c>
      <c r="AG1379" s="164">
        <f>($L1379*'Pivot Objective'!$C$9^6)*AE1379*AF1379</f>
        <v>0</v>
      </c>
      <c r="AH1379" s="166">
        <v>1</v>
      </c>
      <c r="AI1379" s="166">
        <v>30</v>
      </c>
      <c r="AJ1379" s="164">
        <f>($L1379*'Pivot Objective'!$C$9^7)*AH1379*AI1379</f>
        <v>816382.47322017187</v>
      </c>
      <c r="AK1379" s="185">
        <f t="shared" si="162"/>
        <v>2777308.9891908434</v>
      </c>
      <c r="AL1379" s="186">
        <f t="shared" si="163"/>
        <v>2696.4164943600422</v>
      </c>
    </row>
    <row r="1380" spans="1:38" customFormat="1" ht="72" x14ac:dyDescent="0.3">
      <c r="A1380" s="140" t="s">
        <v>1484</v>
      </c>
      <c r="B1380" s="140">
        <v>3</v>
      </c>
      <c r="C1380" s="166" t="s">
        <v>696</v>
      </c>
      <c r="D1380" s="140" t="str">
        <f t="shared" si="159"/>
        <v>1</v>
      </c>
      <c r="E1380" s="166" t="s">
        <v>689</v>
      </c>
      <c r="F1380" s="140">
        <f t="shared" si="164"/>
        <v>1</v>
      </c>
      <c r="G1380" s="140" t="str">
        <f t="shared" si="160"/>
        <v>3.1.1</v>
      </c>
      <c r="H1380" s="166" t="s">
        <v>1714</v>
      </c>
      <c r="I1380" s="166" t="s">
        <v>6</v>
      </c>
      <c r="J1380" s="166" t="s">
        <v>208</v>
      </c>
      <c r="K1380" s="166" t="s">
        <v>726</v>
      </c>
      <c r="L1380" s="177">
        <v>15765.38</v>
      </c>
      <c r="M1380" s="166">
        <v>1</v>
      </c>
      <c r="N1380" s="166">
        <v>30</v>
      </c>
      <c r="O1380" s="164">
        <f t="shared" si="161"/>
        <v>472961.39999999997</v>
      </c>
      <c r="P1380" s="166">
        <v>0</v>
      </c>
      <c r="Q1380" s="166">
        <v>0</v>
      </c>
      <c r="R1380" s="164">
        <f>$L1380*'Pivot Objective'!$C$9*P1380*Q1380</f>
        <v>0</v>
      </c>
      <c r="S1380" s="166">
        <v>0</v>
      </c>
      <c r="T1380" s="166">
        <v>0</v>
      </c>
      <c r="U1380" s="164">
        <f>($L1380*'Pivot Objective'!$C$9^2)*S1380*T1380</f>
        <v>0</v>
      </c>
      <c r="V1380" s="166">
        <v>0</v>
      </c>
      <c r="W1380" s="166">
        <v>0</v>
      </c>
      <c r="X1380" s="164">
        <f>($L1380*'Pivot Objective'!$C$9^3)*V1380*W1380</f>
        <v>0</v>
      </c>
      <c r="Y1380" s="166">
        <v>1</v>
      </c>
      <c r="Z1380" s="166">
        <v>90</v>
      </c>
      <c r="AA1380" s="164">
        <f>($L1380*'Pivot Objective'!$C$9^4)*Y1380*Z1380</f>
        <v>2421095.6649498185</v>
      </c>
      <c r="AB1380" s="166">
        <v>0</v>
      </c>
      <c r="AC1380" s="166">
        <v>0</v>
      </c>
      <c r="AD1380" s="164">
        <f>($L1380*'Pivot Objective'!$C$9^5)*AB1380*AC1380</f>
        <v>0</v>
      </c>
      <c r="AE1380" s="166">
        <v>0</v>
      </c>
      <c r="AF1380" s="166">
        <v>0</v>
      </c>
      <c r="AG1380" s="164">
        <f>($L1380*'Pivot Objective'!$C$9^6)*AE1380*AF1380</f>
        <v>0</v>
      </c>
      <c r="AH1380" s="166">
        <v>1</v>
      </c>
      <c r="AI1380" s="166">
        <v>30</v>
      </c>
      <c r="AJ1380" s="164">
        <f>($L1380*'Pivot Objective'!$C$9^7)*AH1380*AI1380</f>
        <v>1204867.9259939089</v>
      </c>
      <c r="AK1380" s="185">
        <f t="shared" si="162"/>
        <v>4098924.9909437271</v>
      </c>
      <c r="AL1380" s="186">
        <f t="shared" si="163"/>
        <v>3979.5388261589583</v>
      </c>
    </row>
    <row r="1381" spans="1:38" customFormat="1" ht="72" x14ac:dyDescent="0.3">
      <c r="A1381" s="140" t="s">
        <v>1484</v>
      </c>
      <c r="B1381" s="140">
        <v>3</v>
      </c>
      <c r="C1381" s="166" t="s">
        <v>696</v>
      </c>
      <c r="D1381" s="140" t="str">
        <f t="shared" si="159"/>
        <v>1</v>
      </c>
      <c r="E1381" s="166" t="s">
        <v>689</v>
      </c>
      <c r="F1381" s="140">
        <f t="shared" si="164"/>
        <v>1</v>
      </c>
      <c r="G1381" s="140" t="str">
        <f t="shared" si="160"/>
        <v>3.1.1</v>
      </c>
      <c r="H1381" s="166" t="s">
        <v>1714</v>
      </c>
      <c r="I1381" s="166" t="s">
        <v>6</v>
      </c>
      <c r="J1381" s="166" t="s">
        <v>208</v>
      </c>
      <c r="K1381" s="166" t="s">
        <v>723</v>
      </c>
      <c r="L1381" s="177">
        <v>70133.84</v>
      </c>
      <c r="M1381" s="166">
        <v>1</v>
      </c>
      <c r="N1381" s="166">
        <v>30</v>
      </c>
      <c r="O1381" s="164">
        <f t="shared" si="161"/>
        <v>2104015.1999999997</v>
      </c>
      <c r="P1381" s="166">
        <v>0</v>
      </c>
      <c r="Q1381" s="166">
        <v>0</v>
      </c>
      <c r="R1381" s="164">
        <f>$L1381*'Pivot Objective'!$C$9*P1381*Q1381</f>
        <v>0</v>
      </c>
      <c r="S1381" s="166">
        <v>0</v>
      </c>
      <c r="T1381" s="166">
        <v>0</v>
      </c>
      <c r="U1381" s="164">
        <f>($L1381*'Pivot Objective'!$C$9^2)*S1381*T1381</f>
        <v>0</v>
      </c>
      <c r="V1381" s="166">
        <v>0</v>
      </c>
      <c r="W1381" s="166">
        <v>0</v>
      </c>
      <c r="X1381" s="164">
        <f>($L1381*'Pivot Objective'!$C$9^3)*V1381*W1381</f>
        <v>0</v>
      </c>
      <c r="Y1381" s="166">
        <v>1</v>
      </c>
      <c r="Z1381" s="166">
        <v>90</v>
      </c>
      <c r="AA1381" s="164">
        <f>($L1381*'Pivot Objective'!$C$9^4)*Y1381*Z1381</f>
        <v>10770481.649683304</v>
      </c>
      <c r="AB1381" s="166">
        <v>0</v>
      </c>
      <c r="AC1381" s="166">
        <v>0</v>
      </c>
      <c r="AD1381" s="164">
        <f>($L1381*'Pivot Objective'!$C$9^5)*AB1381*AC1381</f>
        <v>0</v>
      </c>
      <c r="AE1381" s="166">
        <v>0</v>
      </c>
      <c r="AF1381" s="166">
        <v>0</v>
      </c>
      <c r="AG1381" s="164">
        <f>($L1381*'Pivot Objective'!$C$9^6)*AE1381*AF1381</f>
        <v>0</v>
      </c>
      <c r="AH1381" s="166">
        <v>1</v>
      </c>
      <c r="AI1381" s="166">
        <v>30</v>
      </c>
      <c r="AJ1381" s="164">
        <f>($L1381*'Pivot Objective'!$C$9^7)*AH1381*AI1381</f>
        <v>5359973.2034869222</v>
      </c>
      <c r="AK1381" s="185">
        <f t="shared" si="162"/>
        <v>18234470.053170227</v>
      </c>
      <c r="AL1381" s="186">
        <f t="shared" si="163"/>
        <v>17703.368983660414</v>
      </c>
    </row>
    <row r="1382" spans="1:38" customFormat="1" ht="72" x14ac:dyDescent="0.3">
      <c r="A1382" s="140" t="s">
        <v>1484</v>
      </c>
      <c r="B1382" s="140">
        <v>3</v>
      </c>
      <c r="C1382" s="166" t="s">
        <v>696</v>
      </c>
      <c r="D1382" s="140" t="str">
        <f t="shared" si="159"/>
        <v>1</v>
      </c>
      <c r="E1382" s="166" t="s">
        <v>689</v>
      </c>
      <c r="F1382" s="140">
        <f t="shared" si="164"/>
        <v>1</v>
      </c>
      <c r="G1382" s="140" t="str">
        <f t="shared" si="160"/>
        <v>3.1.1</v>
      </c>
      <c r="H1382" s="166" t="s">
        <v>1714</v>
      </c>
      <c r="I1382" s="166" t="s">
        <v>6</v>
      </c>
      <c r="J1382" s="166" t="s">
        <v>209</v>
      </c>
      <c r="K1382" s="166" t="s">
        <v>716</v>
      </c>
      <c r="L1382" s="177">
        <v>39000</v>
      </c>
      <c r="M1382" s="166">
        <v>58</v>
      </c>
      <c r="N1382" s="166">
        <v>2</v>
      </c>
      <c r="O1382" s="164">
        <f t="shared" si="161"/>
        <v>4524000</v>
      </c>
      <c r="P1382" s="166">
        <v>0</v>
      </c>
      <c r="Q1382" s="166">
        <v>0</v>
      </c>
      <c r="R1382" s="164">
        <f>$L1382*'Pivot Objective'!$C$9*P1382*Q1382</f>
        <v>0</v>
      </c>
      <c r="S1382" s="166">
        <v>0</v>
      </c>
      <c r="T1382" s="166">
        <v>0</v>
      </c>
      <c r="U1382" s="164">
        <f>($L1382*'Pivot Objective'!$C$9^2)*S1382*T1382</f>
        <v>0</v>
      </c>
      <c r="V1382" s="166">
        <v>0</v>
      </c>
      <c r="W1382" s="166">
        <v>0</v>
      </c>
      <c r="X1382" s="164">
        <f>($L1382*'Pivot Objective'!$C$9^3)*V1382*W1382</f>
        <v>0</v>
      </c>
      <c r="Y1382" s="166">
        <v>40</v>
      </c>
      <c r="Z1382" s="166">
        <v>10</v>
      </c>
      <c r="AA1382" s="164">
        <f>($L1382*'Pivot Objective'!$C$9^4)*Y1382*Z1382</f>
        <v>26618868.807769638</v>
      </c>
      <c r="AB1382" s="166">
        <v>0</v>
      </c>
      <c r="AC1382" s="166">
        <v>0</v>
      </c>
      <c r="AD1382" s="164">
        <f>($L1382*'Pivot Objective'!$C$9^5)*AB1382*AC1382</f>
        <v>0</v>
      </c>
      <c r="AE1382" s="166">
        <v>0</v>
      </c>
      <c r="AF1382" s="166">
        <v>0</v>
      </c>
      <c r="AG1382" s="164">
        <f>($L1382*'Pivot Objective'!$C$9^6)*AE1382*AF1382</f>
        <v>0</v>
      </c>
      <c r="AH1382" s="166">
        <v>58</v>
      </c>
      <c r="AI1382" s="166">
        <v>2</v>
      </c>
      <c r="AJ1382" s="164">
        <f>($L1382*'Pivot Objective'!$C$9^7)*AH1382*AI1382</f>
        <v>11524878.134233456</v>
      </c>
      <c r="AK1382" s="185">
        <f t="shared" si="162"/>
        <v>42667746.942003094</v>
      </c>
      <c r="AL1382" s="186">
        <f t="shared" si="163"/>
        <v>41424.997031070961</v>
      </c>
    </row>
    <row r="1383" spans="1:38" customFormat="1" ht="72" x14ac:dyDescent="0.3">
      <c r="A1383" s="140" t="s">
        <v>1484</v>
      </c>
      <c r="B1383" s="140">
        <v>3</v>
      </c>
      <c r="C1383" s="166" t="s">
        <v>696</v>
      </c>
      <c r="D1383" s="140" t="str">
        <f t="shared" si="159"/>
        <v>1</v>
      </c>
      <c r="E1383" s="166" t="s">
        <v>689</v>
      </c>
      <c r="F1383" s="140">
        <f t="shared" si="164"/>
        <v>1</v>
      </c>
      <c r="G1383" s="140" t="str">
        <f t="shared" si="160"/>
        <v>3.1.1</v>
      </c>
      <c r="H1383" s="166" t="s">
        <v>1714</v>
      </c>
      <c r="I1383" s="166" t="s">
        <v>6</v>
      </c>
      <c r="J1383" s="166" t="s">
        <v>209</v>
      </c>
      <c r="K1383" s="166" t="s">
        <v>1350</v>
      </c>
      <c r="L1383" s="177">
        <f>1480/7</f>
        <v>211.42857142857142</v>
      </c>
      <c r="M1383" s="166">
        <f>2*135*29</f>
        <v>7830</v>
      </c>
      <c r="N1383" s="166">
        <v>1</v>
      </c>
      <c r="O1383" s="164">
        <f t="shared" si="161"/>
        <v>1655485.7142857141</v>
      </c>
      <c r="P1383" s="166"/>
      <c r="Q1383" s="166"/>
      <c r="R1383" s="164">
        <f>$L1383*'Pivot Objective'!$C$9*P1383*Q1383</f>
        <v>0</v>
      </c>
      <c r="S1383" s="166"/>
      <c r="T1383" s="166"/>
      <c r="U1383" s="164">
        <f>($L1383*'Pivot Objective'!$C$9^2)*S1383*T1383</f>
        <v>0</v>
      </c>
      <c r="V1383" s="166"/>
      <c r="W1383" s="166"/>
      <c r="X1383" s="164">
        <f>($L1383*'Pivot Objective'!$C$9^3)*V1383*W1383</f>
        <v>0</v>
      </c>
      <c r="Y1383" s="166"/>
      <c r="Z1383" s="166"/>
      <c r="AA1383" s="164">
        <f>($L1383*'Pivot Objective'!$C$9^4)*Y1383*Z1383</f>
        <v>0</v>
      </c>
      <c r="AB1383" s="166"/>
      <c r="AC1383" s="166"/>
      <c r="AD1383" s="164">
        <f>($L1383*'Pivot Objective'!$C$9^5)*AB1383*AC1383</f>
        <v>0</v>
      </c>
      <c r="AE1383" s="166"/>
      <c r="AF1383" s="166"/>
      <c r="AG1383" s="164">
        <f>($L1383*'Pivot Objective'!$C$9^6)*AE1383*AF1383</f>
        <v>0</v>
      </c>
      <c r="AH1383" s="166">
        <v>7830</v>
      </c>
      <c r="AI1383" s="166">
        <v>1</v>
      </c>
      <c r="AJ1383" s="164">
        <f>($L1383*'Pivot Objective'!$C$9^7)*AH1383*AI1383</f>
        <v>4217345.5150546599</v>
      </c>
      <c r="AK1383" s="185">
        <f t="shared" si="162"/>
        <v>5872831.2293403745</v>
      </c>
      <c r="AL1383" s="186">
        <f t="shared" si="163"/>
        <v>5701.7778925634702</v>
      </c>
    </row>
    <row r="1384" spans="1:38" customFormat="1" ht="72" x14ac:dyDescent="0.3">
      <c r="A1384" s="140" t="s">
        <v>1484</v>
      </c>
      <c r="B1384" s="140">
        <v>3</v>
      </c>
      <c r="C1384" s="166" t="s">
        <v>696</v>
      </c>
      <c r="D1384" s="140" t="str">
        <f t="shared" si="159"/>
        <v>1</v>
      </c>
      <c r="E1384" s="166" t="s">
        <v>689</v>
      </c>
      <c r="F1384" s="140">
        <f t="shared" si="164"/>
        <v>1</v>
      </c>
      <c r="G1384" s="140" t="str">
        <f t="shared" si="160"/>
        <v>3.1.1</v>
      </c>
      <c r="H1384" s="166" t="s">
        <v>1714</v>
      </c>
      <c r="I1384" s="166" t="s">
        <v>6</v>
      </c>
      <c r="J1384" s="166" t="s">
        <v>209</v>
      </c>
      <c r="K1384" s="166" t="s">
        <v>712</v>
      </c>
      <c r="L1384" s="177">
        <f>1480/7</f>
        <v>211.42857142857142</v>
      </c>
      <c r="M1384" s="166">
        <f>25*2*29</f>
        <v>1450</v>
      </c>
      <c r="N1384" s="166">
        <v>1</v>
      </c>
      <c r="O1384" s="164">
        <f t="shared" si="161"/>
        <v>306571.42857142858</v>
      </c>
      <c r="P1384" s="166">
        <v>0</v>
      </c>
      <c r="Q1384" s="166">
        <v>0</v>
      </c>
      <c r="R1384" s="164">
        <f>$L1384*'Pivot Objective'!$C$9*P1384*Q1384</f>
        <v>0</v>
      </c>
      <c r="S1384" s="166">
        <v>0</v>
      </c>
      <c r="T1384" s="166">
        <v>0</v>
      </c>
      <c r="U1384" s="164">
        <f>($L1384*'Pivot Objective'!$C$9^2)*S1384*T1384</f>
        <v>0</v>
      </c>
      <c r="V1384" s="166">
        <v>0</v>
      </c>
      <c r="W1384" s="166">
        <v>0</v>
      </c>
      <c r="X1384" s="164">
        <f>($L1384*'Pivot Objective'!$C$9^3)*V1384*W1384</f>
        <v>0</v>
      </c>
      <c r="Y1384" s="166">
        <v>20000</v>
      </c>
      <c r="Z1384" s="166">
        <v>1</v>
      </c>
      <c r="AA1384" s="164">
        <f>($L1384*'Pivot Objective'!$C$9^4)*Y1384*Z1384</f>
        <v>7215371.0321426839</v>
      </c>
      <c r="AB1384" s="166">
        <v>0</v>
      </c>
      <c r="AC1384" s="166">
        <v>0</v>
      </c>
      <c r="AD1384" s="164">
        <f>($L1384*'Pivot Objective'!$C$9^5)*AB1384*AC1384</f>
        <v>0</v>
      </c>
      <c r="AE1384" s="166">
        <v>0</v>
      </c>
      <c r="AF1384" s="166">
        <v>0</v>
      </c>
      <c r="AG1384" s="164">
        <f>($L1384*'Pivot Objective'!$C$9^6)*AE1384*AF1384</f>
        <v>0</v>
      </c>
      <c r="AH1384" s="166">
        <v>1450</v>
      </c>
      <c r="AI1384" s="166">
        <v>1</v>
      </c>
      <c r="AJ1384" s="164">
        <f>($L1384*'Pivot Objective'!$C$9^7)*AH1384*AI1384</f>
        <v>780989.91019530746</v>
      </c>
      <c r="AK1384" s="185">
        <f t="shared" si="162"/>
        <v>8302932.3709094198</v>
      </c>
      <c r="AL1384" s="186">
        <f t="shared" si="163"/>
        <v>8061.0993892324468</v>
      </c>
    </row>
    <row r="1385" spans="1:38" customFormat="1" ht="72" x14ac:dyDescent="0.3">
      <c r="A1385" s="140" t="s">
        <v>1484</v>
      </c>
      <c r="B1385" s="140">
        <v>3</v>
      </c>
      <c r="C1385" s="166" t="s">
        <v>696</v>
      </c>
      <c r="D1385" s="140" t="str">
        <f t="shared" si="159"/>
        <v>1</v>
      </c>
      <c r="E1385" s="166" t="s">
        <v>689</v>
      </c>
      <c r="F1385" s="140">
        <f t="shared" si="164"/>
        <v>1</v>
      </c>
      <c r="G1385" s="140" t="str">
        <f t="shared" si="160"/>
        <v>3.1.1</v>
      </c>
      <c r="H1385" s="166" t="s">
        <v>1714</v>
      </c>
      <c r="I1385" s="166" t="s">
        <v>6</v>
      </c>
      <c r="J1385" s="166" t="s">
        <v>209</v>
      </c>
      <c r="K1385" s="166" t="s">
        <v>709</v>
      </c>
      <c r="L1385" s="177">
        <v>35000</v>
      </c>
      <c r="M1385" s="166">
        <v>100</v>
      </c>
      <c r="N1385" s="166">
        <v>1</v>
      </c>
      <c r="O1385" s="164">
        <f t="shared" si="161"/>
        <v>3500000</v>
      </c>
      <c r="P1385" s="166">
        <v>0</v>
      </c>
      <c r="Q1385" s="166">
        <v>0</v>
      </c>
      <c r="R1385" s="164">
        <f>$L1385*'Pivot Objective'!$C$9*P1385*Q1385</f>
        <v>0</v>
      </c>
      <c r="S1385" s="166">
        <v>0</v>
      </c>
      <c r="T1385" s="166">
        <v>0</v>
      </c>
      <c r="U1385" s="164">
        <f>($L1385*'Pivot Objective'!$C$9^2)*S1385*T1385</f>
        <v>0</v>
      </c>
      <c r="V1385" s="166">
        <v>0</v>
      </c>
      <c r="W1385" s="166">
        <v>0</v>
      </c>
      <c r="X1385" s="164">
        <f>($L1385*'Pivot Objective'!$C$9^3)*V1385*W1385</f>
        <v>0</v>
      </c>
      <c r="Y1385" s="166">
        <v>40</v>
      </c>
      <c r="Z1385" s="166">
        <v>10</v>
      </c>
      <c r="AA1385" s="164">
        <f>($L1385*'Pivot Objective'!$C$9^4)*Y1385*Z1385</f>
        <v>23888728.417229161</v>
      </c>
      <c r="AB1385" s="166">
        <v>0</v>
      </c>
      <c r="AC1385" s="166">
        <v>0</v>
      </c>
      <c r="AD1385" s="164">
        <f>($L1385*'Pivot Objective'!$C$9^5)*AB1385*AC1385</f>
        <v>0</v>
      </c>
      <c r="AE1385" s="166">
        <v>0</v>
      </c>
      <c r="AF1385" s="166">
        <v>0</v>
      </c>
      <c r="AG1385" s="164">
        <f>($L1385*'Pivot Objective'!$C$9^6)*AE1385*AF1385</f>
        <v>0</v>
      </c>
      <c r="AH1385" s="166">
        <v>100</v>
      </c>
      <c r="AI1385" s="166">
        <v>1</v>
      </c>
      <c r="AJ1385" s="164">
        <f>($L1385*'Pivot Objective'!$C$9^7)*AH1385*AI1385</f>
        <v>8916240.8200303055</v>
      </c>
      <c r="AK1385" s="185">
        <f t="shared" si="162"/>
        <v>36304969.237259462</v>
      </c>
      <c r="AL1385" s="186">
        <f t="shared" si="163"/>
        <v>35247.542948795592</v>
      </c>
    </row>
    <row r="1386" spans="1:38" customFormat="1" ht="72" x14ac:dyDescent="0.3">
      <c r="A1386" s="140" t="s">
        <v>1484</v>
      </c>
      <c r="B1386" s="140">
        <v>3</v>
      </c>
      <c r="C1386" s="166" t="s">
        <v>696</v>
      </c>
      <c r="D1386" s="140" t="str">
        <f t="shared" si="159"/>
        <v>1</v>
      </c>
      <c r="E1386" s="166" t="s">
        <v>689</v>
      </c>
      <c r="F1386" s="140">
        <f t="shared" si="164"/>
        <v>1</v>
      </c>
      <c r="G1386" s="140" t="str">
        <f t="shared" si="160"/>
        <v>3.1.1</v>
      </c>
      <c r="H1386" s="166" t="s">
        <v>1714</v>
      </c>
      <c r="I1386" s="166" t="s">
        <v>6</v>
      </c>
      <c r="J1386" s="166" t="s">
        <v>210</v>
      </c>
      <c r="K1386" s="166" t="s">
        <v>709</v>
      </c>
      <c r="L1386" s="177">
        <v>35000</v>
      </c>
      <c r="M1386" s="140"/>
      <c r="N1386" s="140"/>
      <c r="O1386" s="164">
        <f t="shared" si="161"/>
        <v>0</v>
      </c>
      <c r="P1386" s="166">
        <v>25</v>
      </c>
      <c r="Q1386" s="166">
        <v>5</v>
      </c>
      <c r="R1386" s="164">
        <f>$L1386*'Pivot Objective'!$C$9*P1386*Q1386</f>
        <v>5000279.7993749995</v>
      </c>
      <c r="S1386" s="166">
        <v>0</v>
      </c>
      <c r="T1386" s="166">
        <v>0</v>
      </c>
      <c r="U1386" s="164">
        <f>($L1386*'Pivot Objective'!$C$9^2)*S1386*T1386</f>
        <v>0</v>
      </c>
      <c r="V1386" s="166">
        <v>25</v>
      </c>
      <c r="W1386" s="166">
        <v>5</v>
      </c>
      <c r="X1386" s="164">
        <f>($L1386*'Pivot Objective'!$C$9^3)*V1386*W1386</f>
        <v>6531708.6629857821</v>
      </c>
      <c r="Y1386" s="166"/>
      <c r="Z1386" s="166"/>
      <c r="AA1386" s="164">
        <f>($L1386*'Pivot Objective'!$C$9^4)*Y1386*Z1386</f>
        <v>0</v>
      </c>
      <c r="AB1386" s="166">
        <v>25</v>
      </c>
      <c r="AC1386" s="166">
        <v>5</v>
      </c>
      <c r="AD1386" s="164">
        <f>($L1386*'Pivot Objective'!$C$9^5)*AB1386*AC1386</f>
        <v>8532166.152673319</v>
      </c>
      <c r="AE1386" s="166">
        <v>0</v>
      </c>
      <c r="AF1386" s="166">
        <v>0</v>
      </c>
      <c r="AG1386" s="164">
        <f>($L1386*'Pivot Objective'!$C$9^6)*AE1386*AF1386</f>
        <v>0</v>
      </c>
      <c r="AH1386" s="166">
        <v>25</v>
      </c>
      <c r="AI1386" s="166">
        <v>5</v>
      </c>
      <c r="AJ1386" s="164">
        <f>($L1386*'Pivot Objective'!$C$9^7)*AH1386*AI1386</f>
        <v>11145301.025037881</v>
      </c>
      <c r="AK1386" s="185">
        <f t="shared" si="162"/>
        <v>31209455.640071981</v>
      </c>
      <c r="AL1386" s="186">
        <f t="shared" si="163"/>
        <v>30300.442369001921</v>
      </c>
    </row>
    <row r="1387" spans="1:38" customFormat="1" ht="72" x14ac:dyDescent="0.3">
      <c r="A1387" s="140" t="s">
        <v>1484</v>
      </c>
      <c r="B1387" s="140">
        <v>3</v>
      </c>
      <c r="C1387" s="166" t="s">
        <v>696</v>
      </c>
      <c r="D1387" s="140" t="str">
        <f t="shared" si="159"/>
        <v>1</v>
      </c>
      <c r="E1387" s="166" t="s">
        <v>689</v>
      </c>
      <c r="F1387" s="140">
        <f t="shared" si="164"/>
        <v>1</v>
      </c>
      <c r="G1387" s="140" t="str">
        <f t="shared" si="160"/>
        <v>3.1.1</v>
      </c>
      <c r="H1387" s="166" t="s">
        <v>1714</v>
      </c>
      <c r="I1387" s="166" t="s">
        <v>206</v>
      </c>
      <c r="J1387" s="166" t="s">
        <v>1375</v>
      </c>
      <c r="K1387" s="140" t="s">
        <v>1376</v>
      </c>
      <c r="L1387" s="178">
        <v>100000000</v>
      </c>
      <c r="M1387" s="166">
        <v>1</v>
      </c>
      <c r="N1387" s="166">
        <v>1</v>
      </c>
      <c r="O1387" s="164">
        <f t="shared" si="161"/>
        <v>100000000</v>
      </c>
      <c r="P1387" s="166">
        <v>0</v>
      </c>
      <c r="Q1387" s="166">
        <v>0</v>
      </c>
      <c r="R1387" s="164">
        <f>$L1387*'Pivot Objective'!$C$9*P1387*Q1387</f>
        <v>0</v>
      </c>
      <c r="S1387" s="166">
        <v>0</v>
      </c>
      <c r="T1387" s="166">
        <v>0</v>
      </c>
      <c r="U1387" s="164">
        <f>($L1387*'Pivot Objective'!$C$9^2)*S1387*T1387</f>
        <v>0</v>
      </c>
      <c r="V1387" s="166">
        <v>0</v>
      </c>
      <c r="W1387" s="166">
        <v>0</v>
      </c>
      <c r="X1387" s="164">
        <f>($L1387*'Pivot Objective'!$C$9^3)*V1387*W1387</f>
        <v>0</v>
      </c>
      <c r="Y1387" s="166">
        <v>1</v>
      </c>
      <c r="Z1387" s="166">
        <v>1</v>
      </c>
      <c r="AA1387" s="164">
        <f>($L1387*'Pivot Objective'!$C$9^4)*Y1387*Z1387</f>
        <v>170633774.40877971</v>
      </c>
      <c r="AB1387" s="166">
        <v>0</v>
      </c>
      <c r="AC1387" s="166">
        <v>0</v>
      </c>
      <c r="AD1387" s="164">
        <f>($L1387*'Pivot Objective'!$C$9^5)*AB1387*AC1387</f>
        <v>0</v>
      </c>
      <c r="AE1387" s="166">
        <v>0</v>
      </c>
      <c r="AF1387" s="166">
        <v>0</v>
      </c>
      <c r="AG1387" s="164">
        <f>($L1387*'Pivot Objective'!$C$9^6)*AE1387*AF1387</f>
        <v>0</v>
      </c>
      <c r="AH1387" s="166">
        <v>0</v>
      </c>
      <c r="AI1387" s="166">
        <v>0</v>
      </c>
      <c r="AJ1387" s="164">
        <f>($L1387*'Pivot Objective'!$C$9^7)*AH1387*AI1387</f>
        <v>0</v>
      </c>
      <c r="AK1387" s="185">
        <f t="shared" si="162"/>
        <v>270633774.40877974</v>
      </c>
      <c r="AL1387" s="186">
        <f t="shared" si="163"/>
        <v>262751.23729007744</v>
      </c>
    </row>
    <row r="1388" spans="1:38" customFormat="1" ht="72" x14ac:dyDescent="0.3">
      <c r="A1388" s="140" t="s">
        <v>1484</v>
      </c>
      <c r="B1388" s="140">
        <v>3</v>
      </c>
      <c r="C1388" s="166" t="s">
        <v>696</v>
      </c>
      <c r="D1388" s="140" t="str">
        <f t="shared" si="159"/>
        <v>1</v>
      </c>
      <c r="E1388" s="166" t="s">
        <v>689</v>
      </c>
      <c r="F1388" s="140">
        <f t="shared" si="164"/>
        <v>1</v>
      </c>
      <c r="G1388" s="140" t="str">
        <f t="shared" si="160"/>
        <v>3.1.1</v>
      </c>
      <c r="H1388" s="166" t="s">
        <v>1714</v>
      </c>
      <c r="I1388" s="166" t="s">
        <v>206</v>
      </c>
      <c r="J1388" s="166" t="s">
        <v>1375</v>
      </c>
      <c r="K1388" s="140" t="s">
        <v>709</v>
      </c>
      <c r="L1388" s="178">
        <v>35000</v>
      </c>
      <c r="M1388" s="166">
        <f>10*900</f>
        <v>9000</v>
      </c>
      <c r="N1388" s="166">
        <v>1</v>
      </c>
      <c r="O1388" s="164">
        <f t="shared" si="161"/>
        <v>315000000</v>
      </c>
      <c r="P1388" s="166"/>
      <c r="Q1388" s="166"/>
      <c r="R1388" s="164">
        <f>$L1388*'Pivot Objective'!$C$9*P1388*Q1388</f>
        <v>0</v>
      </c>
      <c r="S1388" s="166"/>
      <c r="T1388" s="166"/>
      <c r="U1388" s="164">
        <f>($L1388*'Pivot Objective'!$C$9^2)*S1388*T1388</f>
        <v>0</v>
      </c>
      <c r="V1388" s="166"/>
      <c r="W1388" s="166"/>
      <c r="X1388" s="164">
        <f>($L1388*'Pivot Objective'!$C$9^3)*V1388*W1388</f>
        <v>0</v>
      </c>
      <c r="Y1388" s="166"/>
      <c r="Z1388" s="166"/>
      <c r="AA1388" s="164">
        <f>($L1388*'Pivot Objective'!$C$9^4)*Y1388*Z1388</f>
        <v>0</v>
      </c>
      <c r="AB1388" s="166"/>
      <c r="AC1388" s="166"/>
      <c r="AD1388" s="164">
        <f>($L1388*'Pivot Objective'!$C$9^5)*AB1388*AC1388</f>
        <v>0</v>
      </c>
      <c r="AE1388" s="166"/>
      <c r="AF1388" s="166"/>
      <c r="AG1388" s="164">
        <f>($L1388*'Pivot Objective'!$C$9^6)*AE1388*AF1388</f>
        <v>0</v>
      </c>
      <c r="AH1388" s="166"/>
      <c r="AI1388" s="166"/>
      <c r="AJ1388" s="164">
        <f>($L1388*'Pivot Objective'!$C$9^7)*AH1388*AI1388</f>
        <v>0</v>
      </c>
      <c r="AK1388" s="185">
        <f t="shared" si="162"/>
        <v>315000000</v>
      </c>
      <c r="AL1388" s="186">
        <f t="shared" si="163"/>
        <v>305825.24271844659</v>
      </c>
    </row>
    <row r="1389" spans="1:38" customFormat="1" ht="72" x14ac:dyDescent="0.3">
      <c r="A1389" s="140" t="s">
        <v>1484</v>
      </c>
      <c r="B1389" s="140">
        <v>3</v>
      </c>
      <c r="C1389" s="166" t="s">
        <v>696</v>
      </c>
      <c r="D1389" s="140" t="str">
        <f t="shared" si="159"/>
        <v>1</v>
      </c>
      <c r="E1389" s="166" t="s">
        <v>689</v>
      </c>
      <c r="F1389" s="140">
        <f t="shared" si="164"/>
        <v>1</v>
      </c>
      <c r="G1389" s="140" t="str">
        <f t="shared" si="160"/>
        <v>3.1.1</v>
      </c>
      <c r="H1389" s="166" t="s">
        <v>1714</v>
      </c>
      <c r="I1389" s="166" t="s">
        <v>206</v>
      </c>
      <c r="J1389" s="166" t="s">
        <v>1377</v>
      </c>
      <c r="K1389" s="166" t="s">
        <v>713</v>
      </c>
      <c r="L1389" s="177">
        <v>45000</v>
      </c>
      <c r="M1389" s="166">
        <f>10*900</f>
        <v>9000</v>
      </c>
      <c r="N1389" s="166">
        <v>2</v>
      </c>
      <c r="O1389" s="164">
        <f t="shared" si="161"/>
        <v>810000000</v>
      </c>
      <c r="P1389" s="166"/>
      <c r="Q1389" s="166"/>
      <c r="R1389" s="164">
        <f>$L1389*'Pivot Objective'!$C$9*P1389*Q1389</f>
        <v>0</v>
      </c>
      <c r="S1389" s="166"/>
      <c r="T1389" s="166"/>
      <c r="U1389" s="164">
        <f>($L1389*'Pivot Objective'!$C$9^2)*S1389*T1389</f>
        <v>0</v>
      </c>
      <c r="V1389" s="166"/>
      <c r="W1389" s="166"/>
      <c r="X1389" s="164">
        <f>($L1389*'Pivot Objective'!$C$9^3)*V1389*W1389</f>
        <v>0</v>
      </c>
      <c r="Y1389" s="166"/>
      <c r="Z1389" s="166"/>
      <c r="AA1389" s="164">
        <f>($L1389*'Pivot Objective'!$C$9^4)*Y1389*Z1389</f>
        <v>0</v>
      </c>
      <c r="AB1389" s="166"/>
      <c r="AC1389" s="166"/>
      <c r="AD1389" s="164">
        <f>($L1389*'Pivot Objective'!$C$9^5)*AB1389*AC1389</f>
        <v>0</v>
      </c>
      <c r="AE1389" s="166"/>
      <c r="AF1389" s="166"/>
      <c r="AG1389" s="164">
        <f>($L1389*'Pivot Objective'!$C$9^6)*AE1389*AF1389</f>
        <v>0</v>
      </c>
      <c r="AH1389" s="166"/>
      <c r="AI1389" s="166"/>
      <c r="AJ1389" s="164">
        <f>($L1389*'Pivot Objective'!$C$9^7)*AH1389*AI1389</f>
        <v>0</v>
      </c>
      <c r="AK1389" s="185">
        <f t="shared" si="162"/>
        <v>810000000</v>
      </c>
      <c r="AL1389" s="186">
        <f t="shared" si="163"/>
        <v>786407.7669902913</v>
      </c>
    </row>
    <row r="1390" spans="1:38" customFormat="1" ht="72" x14ac:dyDescent="0.3">
      <c r="A1390" s="140" t="s">
        <v>1484</v>
      </c>
      <c r="B1390" s="140">
        <v>3</v>
      </c>
      <c r="C1390" s="166" t="s">
        <v>696</v>
      </c>
      <c r="D1390" s="140" t="str">
        <f t="shared" si="159"/>
        <v>1</v>
      </c>
      <c r="E1390" s="166" t="s">
        <v>689</v>
      </c>
      <c r="F1390" s="140">
        <f t="shared" si="164"/>
        <v>1</v>
      </c>
      <c r="G1390" s="140" t="str">
        <f t="shared" si="160"/>
        <v>3.1.1</v>
      </c>
      <c r="H1390" s="166" t="s">
        <v>1714</v>
      </c>
      <c r="I1390" s="166" t="s">
        <v>206</v>
      </c>
      <c r="J1390" s="166" t="s">
        <v>211</v>
      </c>
      <c r="K1390" s="166" t="s">
        <v>1350</v>
      </c>
      <c r="L1390" s="177">
        <f>1480/7</f>
        <v>211.42857142857142</v>
      </c>
      <c r="M1390" s="166">
        <f>22500*4</f>
        <v>90000</v>
      </c>
      <c r="N1390" s="166">
        <v>1</v>
      </c>
      <c r="O1390" s="164">
        <f t="shared" si="161"/>
        <v>19028571.428571429</v>
      </c>
      <c r="P1390" s="166"/>
      <c r="Q1390" s="166"/>
      <c r="R1390" s="164">
        <f>$L1390*'Pivot Objective'!$C$9*P1390*Q1390</f>
        <v>0</v>
      </c>
      <c r="S1390" s="166"/>
      <c r="T1390" s="166"/>
      <c r="U1390" s="164">
        <f>($L1390*'Pivot Objective'!$C$9^2)*S1390*T1390</f>
        <v>0</v>
      </c>
      <c r="V1390" s="166"/>
      <c r="W1390" s="166"/>
      <c r="X1390" s="164">
        <f>($L1390*'Pivot Objective'!$C$9^3)*V1390*W1390</f>
        <v>0</v>
      </c>
      <c r="Y1390" s="166"/>
      <c r="Z1390" s="166"/>
      <c r="AA1390" s="164">
        <f>($L1390*'Pivot Objective'!$C$9^4)*Y1390*Z1390</f>
        <v>0</v>
      </c>
      <c r="AB1390" s="166"/>
      <c r="AC1390" s="166"/>
      <c r="AD1390" s="164">
        <f>($L1390*'Pivot Objective'!$C$9^5)*AB1390*AC1390</f>
        <v>0</v>
      </c>
      <c r="AE1390" s="166"/>
      <c r="AF1390" s="166"/>
      <c r="AG1390" s="164">
        <f>($L1390*'Pivot Objective'!$C$9^6)*AE1390*AF1390</f>
        <v>0</v>
      </c>
      <c r="AH1390" s="166"/>
      <c r="AI1390" s="166"/>
      <c r="AJ1390" s="164">
        <f>($L1390*'Pivot Objective'!$C$9^7)*AH1390*AI1390</f>
        <v>0</v>
      </c>
      <c r="AK1390" s="185">
        <f t="shared" si="162"/>
        <v>19028571.428571429</v>
      </c>
      <c r="AL1390" s="186">
        <f t="shared" si="163"/>
        <v>18474.341192787797</v>
      </c>
    </row>
    <row r="1391" spans="1:38" customFormat="1" ht="72" x14ac:dyDescent="0.3">
      <c r="A1391" s="140" t="s">
        <v>1484</v>
      </c>
      <c r="B1391" s="140">
        <v>3</v>
      </c>
      <c r="C1391" s="166" t="s">
        <v>696</v>
      </c>
      <c r="D1391" s="140" t="str">
        <f t="shared" si="159"/>
        <v>1</v>
      </c>
      <c r="E1391" s="166" t="s">
        <v>689</v>
      </c>
      <c r="F1391" s="140">
        <f t="shared" si="164"/>
        <v>1</v>
      </c>
      <c r="G1391" s="140" t="str">
        <f t="shared" si="160"/>
        <v>3.1.1</v>
      </c>
      <c r="H1391" s="166" t="s">
        <v>1714</v>
      </c>
      <c r="I1391" s="166" t="s">
        <v>6</v>
      </c>
      <c r="J1391" s="166" t="s">
        <v>211</v>
      </c>
      <c r="K1391" s="166" t="s">
        <v>712</v>
      </c>
      <c r="L1391" s="177">
        <f>1480/7</f>
        <v>211.42857142857142</v>
      </c>
      <c r="M1391" s="166">
        <v>22500</v>
      </c>
      <c r="N1391" s="180">
        <v>1</v>
      </c>
      <c r="O1391" s="164">
        <f t="shared" si="161"/>
        <v>4757142.8571428573</v>
      </c>
      <c r="P1391" s="166">
        <v>0</v>
      </c>
      <c r="Q1391" s="166">
        <v>0</v>
      </c>
      <c r="R1391" s="164">
        <f>$L1391*'Pivot Objective'!$C$9*P1391*Q1391</f>
        <v>0</v>
      </c>
      <c r="S1391" s="166">
        <v>0</v>
      </c>
      <c r="T1391" s="166">
        <v>0</v>
      </c>
      <c r="U1391" s="164">
        <f>($L1391*'Pivot Objective'!$C$9^2)*S1391*T1391</f>
        <v>0</v>
      </c>
      <c r="V1391" s="166">
        <v>0</v>
      </c>
      <c r="W1391" s="166">
        <v>0</v>
      </c>
      <c r="X1391" s="164">
        <f>($L1391*'Pivot Objective'!$C$9^3)*V1391*W1391</f>
        <v>0</v>
      </c>
      <c r="Y1391" s="166">
        <v>20000</v>
      </c>
      <c r="Z1391" s="166">
        <v>1</v>
      </c>
      <c r="AA1391" s="164">
        <f>($L1391*'Pivot Objective'!$C$9^4)*Y1391*Z1391</f>
        <v>7215371.0321426839</v>
      </c>
      <c r="AB1391" s="166">
        <v>0</v>
      </c>
      <c r="AC1391" s="166">
        <v>0</v>
      </c>
      <c r="AD1391" s="164">
        <f>($L1391*'Pivot Objective'!$C$9^5)*AB1391*AC1391</f>
        <v>0</v>
      </c>
      <c r="AE1391" s="166">
        <v>0</v>
      </c>
      <c r="AF1391" s="166">
        <v>0</v>
      </c>
      <c r="AG1391" s="164">
        <f>($L1391*'Pivot Objective'!$C$9^6)*AE1391*AF1391</f>
        <v>0</v>
      </c>
      <c r="AH1391" s="166">
        <v>0</v>
      </c>
      <c r="AI1391" s="166">
        <v>0</v>
      </c>
      <c r="AJ1391" s="164">
        <f>($L1391*'Pivot Objective'!$C$9^7)*AH1391*AI1391</f>
        <v>0</v>
      </c>
      <c r="AK1391" s="185">
        <f t="shared" si="162"/>
        <v>11972513.889285542</v>
      </c>
      <c r="AL1391" s="186">
        <f t="shared" si="163"/>
        <v>11623.799892510235</v>
      </c>
    </row>
    <row r="1392" spans="1:38" customFormat="1" ht="57.6" x14ac:dyDescent="0.3">
      <c r="A1392" s="140" t="s">
        <v>1484</v>
      </c>
      <c r="B1392" s="140">
        <v>3</v>
      </c>
      <c r="C1392" s="166" t="s">
        <v>696</v>
      </c>
      <c r="D1392" s="140" t="str">
        <f t="shared" si="159"/>
        <v>1</v>
      </c>
      <c r="E1392" s="166" t="s">
        <v>689</v>
      </c>
      <c r="F1392" s="140">
        <f t="shared" si="164"/>
        <v>2</v>
      </c>
      <c r="G1392" s="140" t="str">
        <f t="shared" si="160"/>
        <v>3.1.2</v>
      </c>
      <c r="H1392" s="166" t="s">
        <v>1715</v>
      </c>
      <c r="I1392" s="166" t="s">
        <v>7</v>
      </c>
      <c r="J1392" s="166" t="s">
        <v>212</v>
      </c>
      <c r="K1392" s="166" t="s">
        <v>718</v>
      </c>
      <c r="L1392" s="177">
        <v>0</v>
      </c>
      <c r="M1392" s="166">
        <v>0</v>
      </c>
      <c r="N1392" s="166">
        <v>0</v>
      </c>
      <c r="O1392" s="164">
        <f t="shared" si="161"/>
        <v>0</v>
      </c>
      <c r="P1392" s="166">
        <v>0</v>
      </c>
      <c r="Q1392" s="166">
        <v>0</v>
      </c>
      <c r="R1392" s="164">
        <f>$L1392*'Pivot Objective'!$C$9*P1392*Q1392</f>
        <v>0</v>
      </c>
      <c r="S1392" s="166">
        <v>0</v>
      </c>
      <c r="T1392" s="166">
        <v>0</v>
      </c>
      <c r="U1392" s="164">
        <f>($L1392*'Pivot Objective'!$C$9^2)*S1392*T1392</f>
        <v>0</v>
      </c>
      <c r="V1392" s="166">
        <v>0</v>
      </c>
      <c r="W1392" s="166">
        <v>0</v>
      </c>
      <c r="X1392" s="164">
        <f>($L1392*'Pivot Objective'!$C$9^3)*V1392*W1392</f>
        <v>0</v>
      </c>
      <c r="Y1392" s="166">
        <v>0</v>
      </c>
      <c r="Z1392" s="166">
        <v>0</v>
      </c>
      <c r="AA1392" s="164">
        <f>($L1392*'Pivot Objective'!$C$9^4)*Y1392*Z1392</f>
        <v>0</v>
      </c>
      <c r="AB1392" s="166">
        <v>0</v>
      </c>
      <c r="AC1392" s="166">
        <v>0</v>
      </c>
      <c r="AD1392" s="164">
        <f>($L1392*'Pivot Objective'!$C$9^5)*AB1392*AC1392</f>
        <v>0</v>
      </c>
      <c r="AE1392" s="166">
        <v>0</v>
      </c>
      <c r="AF1392" s="166">
        <v>0</v>
      </c>
      <c r="AG1392" s="164">
        <f>($L1392*'Pivot Objective'!$C$9^6)*AE1392*AF1392</f>
        <v>0</v>
      </c>
      <c r="AH1392" s="166">
        <v>0</v>
      </c>
      <c r="AI1392" s="166">
        <v>0</v>
      </c>
      <c r="AJ1392" s="164">
        <f>($L1392*'Pivot Objective'!$C$9^7)*AH1392*AI1392</f>
        <v>0</v>
      </c>
      <c r="AK1392" s="185">
        <f t="shared" si="162"/>
        <v>0</v>
      </c>
      <c r="AL1392" s="186">
        <f t="shared" si="163"/>
        <v>0</v>
      </c>
    </row>
    <row r="1393" spans="1:38" customFormat="1" ht="57.6" x14ac:dyDescent="0.3">
      <c r="A1393" s="140" t="s">
        <v>1484</v>
      </c>
      <c r="B1393" s="140">
        <v>3</v>
      </c>
      <c r="C1393" s="166" t="s">
        <v>696</v>
      </c>
      <c r="D1393" s="140" t="str">
        <f t="shared" si="159"/>
        <v>1</v>
      </c>
      <c r="E1393" s="166" t="s">
        <v>689</v>
      </c>
      <c r="F1393" s="140">
        <f t="shared" si="164"/>
        <v>2</v>
      </c>
      <c r="G1393" s="140" t="str">
        <f t="shared" si="160"/>
        <v>3.1.2</v>
      </c>
      <c r="H1393" s="166" t="s">
        <v>1715</v>
      </c>
      <c r="I1393" s="166" t="s">
        <v>7</v>
      </c>
      <c r="J1393" s="166" t="s">
        <v>213</v>
      </c>
      <c r="K1393" s="166" t="s">
        <v>718</v>
      </c>
      <c r="L1393" s="177">
        <v>0</v>
      </c>
      <c r="M1393" s="166">
        <v>0</v>
      </c>
      <c r="N1393" s="166">
        <v>0</v>
      </c>
      <c r="O1393" s="164">
        <f t="shared" si="161"/>
        <v>0</v>
      </c>
      <c r="P1393" s="166">
        <v>0</v>
      </c>
      <c r="Q1393" s="166">
        <v>0</v>
      </c>
      <c r="R1393" s="164">
        <f>$L1393*'Pivot Objective'!$C$9*P1393*Q1393</f>
        <v>0</v>
      </c>
      <c r="S1393" s="166">
        <v>0</v>
      </c>
      <c r="T1393" s="166">
        <v>0</v>
      </c>
      <c r="U1393" s="164">
        <f>($L1393*'Pivot Objective'!$C$9^2)*S1393*T1393</f>
        <v>0</v>
      </c>
      <c r="V1393" s="166">
        <v>0</v>
      </c>
      <c r="W1393" s="166">
        <v>0</v>
      </c>
      <c r="X1393" s="164">
        <f>($L1393*'Pivot Objective'!$C$9^3)*V1393*W1393</f>
        <v>0</v>
      </c>
      <c r="Y1393" s="166">
        <v>0</v>
      </c>
      <c r="Z1393" s="166">
        <v>0</v>
      </c>
      <c r="AA1393" s="164">
        <f>($L1393*'Pivot Objective'!$C$9^4)*Y1393*Z1393</f>
        <v>0</v>
      </c>
      <c r="AB1393" s="166">
        <v>0</v>
      </c>
      <c r="AC1393" s="166">
        <v>0</v>
      </c>
      <c r="AD1393" s="164">
        <f>($L1393*'Pivot Objective'!$C$9^5)*AB1393*AC1393</f>
        <v>0</v>
      </c>
      <c r="AE1393" s="166">
        <v>0</v>
      </c>
      <c r="AF1393" s="166">
        <v>0</v>
      </c>
      <c r="AG1393" s="164">
        <f>($L1393*'Pivot Objective'!$C$9^6)*AE1393*AF1393</f>
        <v>0</v>
      </c>
      <c r="AH1393" s="166">
        <v>0</v>
      </c>
      <c r="AI1393" s="166">
        <v>0</v>
      </c>
      <c r="AJ1393" s="164">
        <f>($L1393*'Pivot Objective'!$C$9^7)*AH1393*AI1393</f>
        <v>0</v>
      </c>
      <c r="AK1393" s="185">
        <f t="shared" si="162"/>
        <v>0</v>
      </c>
      <c r="AL1393" s="186">
        <f t="shared" si="163"/>
        <v>0</v>
      </c>
    </row>
    <row r="1394" spans="1:38" customFormat="1" ht="57.6" x14ac:dyDescent="0.3">
      <c r="A1394" s="140" t="s">
        <v>1484</v>
      </c>
      <c r="B1394" s="140">
        <v>3</v>
      </c>
      <c r="C1394" s="166" t="s">
        <v>696</v>
      </c>
      <c r="D1394" s="140" t="str">
        <f t="shared" ref="D1394:D1457" si="165">RIGHT(A1394,1)</f>
        <v>1</v>
      </c>
      <c r="E1394" s="166" t="s">
        <v>689</v>
      </c>
      <c r="F1394" s="140">
        <f t="shared" si="164"/>
        <v>2</v>
      </c>
      <c r="G1394" s="140" t="str">
        <f t="shared" si="160"/>
        <v>3.1.2</v>
      </c>
      <c r="H1394" s="166" t="s">
        <v>1715</v>
      </c>
      <c r="I1394" s="166" t="s">
        <v>8</v>
      </c>
      <c r="J1394" s="166" t="s">
        <v>214</v>
      </c>
      <c r="K1394" s="166" t="s">
        <v>709</v>
      </c>
      <c r="L1394" s="177">
        <v>35000</v>
      </c>
      <c r="M1394" s="140"/>
      <c r="N1394" s="140"/>
      <c r="O1394" s="164">
        <f t="shared" si="161"/>
        <v>0</v>
      </c>
      <c r="P1394" s="166">
        <v>25</v>
      </c>
      <c r="Q1394" s="166">
        <v>5</v>
      </c>
      <c r="R1394" s="164">
        <f>$L1394*'Pivot Objective'!$C$9*P1394*Q1394</f>
        <v>5000279.7993749995</v>
      </c>
      <c r="S1394" s="166">
        <v>0</v>
      </c>
      <c r="T1394" s="166">
        <v>0</v>
      </c>
      <c r="U1394" s="164">
        <f>($L1394*'Pivot Objective'!$C$9^2)*S1394*T1394</f>
        <v>0</v>
      </c>
      <c r="V1394" s="166">
        <v>0</v>
      </c>
      <c r="W1394" s="166">
        <v>0</v>
      </c>
      <c r="X1394" s="164">
        <f>($L1394*'Pivot Objective'!$C$9^3)*V1394*W1394</f>
        <v>0</v>
      </c>
      <c r="Y1394" s="166"/>
      <c r="Z1394" s="166"/>
      <c r="AA1394" s="164">
        <f>($L1394*'Pivot Objective'!$C$9^4)*Y1394*Z1394</f>
        <v>0</v>
      </c>
      <c r="AB1394" s="166">
        <v>0</v>
      </c>
      <c r="AC1394" s="166">
        <v>0</v>
      </c>
      <c r="AD1394" s="164">
        <f>($L1394*'Pivot Objective'!$C$9^5)*AB1394*AC1394</f>
        <v>0</v>
      </c>
      <c r="AE1394" s="166">
        <v>0</v>
      </c>
      <c r="AF1394" s="166">
        <v>0</v>
      </c>
      <c r="AG1394" s="164">
        <f>($L1394*'Pivot Objective'!$C$9^6)*AE1394*AF1394</f>
        <v>0</v>
      </c>
      <c r="AH1394" s="166">
        <v>25</v>
      </c>
      <c r="AI1394" s="166">
        <v>5</v>
      </c>
      <c r="AJ1394" s="164">
        <f>($L1394*'Pivot Objective'!$C$9^7)*AH1394*AI1394</f>
        <v>11145301.025037881</v>
      </c>
      <c r="AK1394" s="185">
        <f t="shared" si="162"/>
        <v>16145580.82441288</v>
      </c>
      <c r="AL1394" s="186">
        <f t="shared" si="163"/>
        <v>15675.321188750369</v>
      </c>
    </row>
    <row r="1395" spans="1:38" customFormat="1" ht="57.6" x14ac:dyDescent="0.3">
      <c r="A1395" s="140" t="s">
        <v>1484</v>
      </c>
      <c r="B1395" s="140">
        <v>3</v>
      </c>
      <c r="C1395" s="166" t="s">
        <v>696</v>
      </c>
      <c r="D1395" s="140" t="str">
        <f t="shared" si="165"/>
        <v>1</v>
      </c>
      <c r="E1395" s="166" t="s">
        <v>689</v>
      </c>
      <c r="F1395" s="140">
        <f t="shared" si="164"/>
        <v>2</v>
      </c>
      <c r="G1395" s="140" t="str">
        <f t="shared" ref="G1395:G1458" si="166">B1395&amp;"."&amp;D1395&amp;"."&amp;F1395</f>
        <v>3.1.2</v>
      </c>
      <c r="H1395" s="166" t="s">
        <v>1715</v>
      </c>
      <c r="I1395" s="166" t="s">
        <v>8</v>
      </c>
      <c r="J1395" s="166" t="s">
        <v>215</v>
      </c>
      <c r="K1395" s="166" t="s">
        <v>718</v>
      </c>
      <c r="L1395" s="177">
        <v>0</v>
      </c>
      <c r="M1395" s="166">
        <v>0</v>
      </c>
      <c r="N1395" s="166">
        <v>0</v>
      </c>
      <c r="O1395" s="164">
        <f t="shared" si="161"/>
        <v>0</v>
      </c>
      <c r="P1395" s="166">
        <v>0</v>
      </c>
      <c r="Q1395" s="166">
        <v>0</v>
      </c>
      <c r="R1395" s="164">
        <f>$L1395*'Pivot Objective'!$C$9*P1395*Q1395</f>
        <v>0</v>
      </c>
      <c r="S1395" s="166">
        <v>0</v>
      </c>
      <c r="T1395" s="166">
        <v>0</v>
      </c>
      <c r="U1395" s="164">
        <f>($L1395*'Pivot Objective'!$C$9^2)*S1395*T1395</f>
        <v>0</v>
      </c>
      <c r="V1395" s="166">
        <v>0</v>
      </c>
      <c r="W1395" s="166">
        <v>0</v>
      </c>
      <c r="X1395" s="164">
        <f>($L1395*'Pivot Objective'!$C$9^3)*V1395*W1395</f>
        <v>0</v>
      </c>
      <c r="Y1395" s="166">
        <v>0</v>
      </c>
      <c r="Z1395" s="166">
        <v>0</v>
      </c>
      <c r="AA1395" s="164">
        <f>($L1395*'Pivot Objective'!$C$9^4)*Y1395*Z1395</f>
        <v>0</v>
      </c>
      <c r="AB1395" s="166">
        <v>0</v>
      </c>
      <c r="AC1395" s="166">
        <v>0</v>
      </c>
      <c r="AD1395" s="164">
        <f>($L1395*'Pivot Objective'!$C$9^5)*AB1395*AC1395</f>
        <v>0</v>
      </c>
      <c r="AE1395" s="166">
        <v>0</v>
      </c>
      <c r="AF1395" s="166">
        <v>0</v>
      </c>
      <c r="AG1395" s="164">
        <f>($L1395*'Pivot Objective'!$C$9^6)*AE1395*AF1395</f>
        <v>0</v>
      </c>
      <c r="AH1395" s="166">
        <v>0</v>
      </c>
      <c r="AI1395" s="166">
        <v>0</v>
      </c>
      <c r="AJ1395" s="164">
        <f>($L1395*'Pivot Objective'!$C$9^7)*AH1395*AI1395</f>
        <v>0</v>
      </c>
      <c r="AK1395" s="185">
        <f t="shared" si="162"/>
        <v>0</v>
      </c>
      <c r="AL1395" s="186">
        <f t="shared" si="163"/>
        <v>0</v>
      </c>
    </row>
    <row r="1396" spans="1:38" customFormat="1" ht="57.6" x14ac:dyDescent="0.3">
      <c r="A1396" s="140" t="s">
        <v>1484</v>
      </c>
      <c r="B1396" s="140">
        <v>3</v>
      </c>
      <c r="C1396" s="166" t="s">
        <v>696</v>
      </c>
      <c r="D1396" s="140" t="str">
        <f t="shared" si="165"/>
        <v>1</v>
      </c>
      <c r="E1396" s="166" t="s">
        <v>689</v>
      </c>
      <c r="F1396" s="140">
        <f t="shared" si="164"/>
        <v>2</v>
      </c>
      <c r="G1396" s="140" t="str">
        <f t="shared" si="166"/>
        <v>3.1.2</v>
      </c>
      <c r="H1396" s="166" t="s">
        <v>1715</v>
      </c>
      <c r="I1396" s="166" t="s">
        <v>8</v>
      </c>
      <c r="J1396" s="166" t="s">
        <v>216</v>
      </c>
      <c r="K1396" s="166" t="s">
        <v>708</v>
      </c>
      <c r="L1396" s="177">
        <f>500*1022</f>
        <v>511000</v>
      </c>
      <c r="M1396" s="140"/>
      <c r="N1396" s="140"/>
      <c r="O1396" s="164">
        <f t="shared" si="161"/>
        <v>0</v>
      </c>
      <c r="P1396" s="166">
        <v>1</v>
      </c>
      <c r="Q1396" s="166">
        <v>25</v>
      </c>
      <c r="R1396" s="164">
        <f>$L1396*'Pivot Objective'!$C$9*P1396*Q1396</f>
        <v>14600817.014174998</v>
      </c>
      <c r="S1396" s="166">
        <v>0</v>
      </c>
      <c r="T1396" s="166">
        <v>0</v>
      </c>
      <c r="U1396" s="164">
        <f>($L1396*'Pivot Objective'!$C$9^2)*S1396*T1396</f>
        <v>0</v>
      </c>
      <c r="V1396" s="166">
        <v>0</v>
      </c>
      <c r="W1396" s="166">
        <v>0</v>
      </c>
      <c r="X1396" s="164">
        <f>($L1396*'Pivot Objective'!$C$9^3)*V1396*W1396</f>
        <v>0</v>
      </c>
      <c r="Y1396" s="166">
        <v>3</v>
      </c>
      <c r="Z1396" s="166">
        <v>40</v>
      </c>
      <c r="AA1396" s="164">
        <f>($L1396*'Pivot Objective'!$C$9^4)*Y1396*Z1396</f>
        <v>104632630.46746372</v>
      </c>
      <c r="AB1396" s="166">
        <v>0</v>
      </c>
      <c r="AC1396" s="166">
        <v>0</v>
      </c>
      <c r="AD1396" s="164">
        <f>($L1396*'Pivot Objective'!$C$9^5)*AB1396*AC1396</f>
        <v>0</v>
      </c>
      <c r="AE1396" s="166">
        <v>0</v>
      </c>
      <c r="AF1396" s="166">
        <v>0</v>
      </c>
      <c r="AG1396" s="164">
        <f>($L1396*'Pivot Objective'!$C$9^6)*AE1396*AF1396</f>
        <v>0</v>
      </c>
      <c r="AH1396" s="166">
        <v>1</v>
      </c>
      <c r="AI1396" s="166">
        <v>25</v>
      </c>
      <c r="AJ1396" s="164">
        <f>($L1396*'Pivot Objective'!$C$9^7)*AH1396*AI1396</f>
        <v>32544278.993110616</v>
      </c>
      <c r="AK1396" s="185">
        <f t="shared" si="162"/>
        <v>151777726.47474933</v>
      </c>
      <c r="AL1396" s="186">
        <f t="shared" si="163"/>
        <v>147357.01599490226</v>
      </c>
    </row>
    <row r="1397" spans="1:38" customFormat="1" ht="57.6" x14ac:dyDescent="0.3">
      <c r="A1397" s="140" t="s">
        <v>1484</v>
      </c>
      <c r="B1397" s="140">
        <v>3</v>
      </c>
      <c r="C1397" s="166" t="s">
        <v>696</v>
      </c>
      <c r="D1397" s="140" t="str">
        <f t="shared" si="165"/>
        <v>1</v>
      </c>
      <c r="E1397" s="166" t="s">
        <v>689</v>
      </c>
      <c r="F1397" s="140">
        <f t="shared" si="164"/>
        <v>2</v>
      </c>
      <c r="G1397" s="140" t="str">
        <f t="shared" si="166"/>
        <v>3.1.2</v>
      </c>
      <c r="H1397" s="166" t="s">
        <v>1715</v>
      </c>
      <c r="I1397" s="166" t="s">
        <v>8</v>
      </c>
      <c r="J1397" s="166" t="s">
        <v>216</v>
      </c>
      <c r="K1397" s="166" t="s">
        <v>707</v>
      </c>
      <c r="L1397" s="177">
        <v>391991.03749999998</v>
      </c>
      <c r="M1397" s="140"/>
      <c r="N1397" s="140"/>
      <c r="O1397" s="164">
        <f t="shared" si="161"/>
        <v>0</v>
      </c>
      <c r="P1397" s="166">
        <v>2</v>
      </c>
      <c r="Q1397" s="166">
        <v>2</v>
      </c>
      <c r="R1397" s="164">
        <f>$L1397*'Pivot Objective'!$C$9*P1397*Q1397</f>
        <v>1792059.3063746723</v>
      </c>
      <c r="S1397" s="166">
        <v>0</v>
      </c>
      <c r="T1397" s="166">
        <v>0</v>
      </c>
      <c r="U1397" s="164">
        <f>($L1397*'Pivot Objective'!$C$9^2)*S1397*T1397</f>
        <v>0</v>
      </c>
      <c r="V1397" s="166">
        <v>0</v>
      </c>
      <c r="W1397" s="166">
        <v>0</v>
      </c>
      <c r="X1397" s="164">
        <f>($L1397*'Pivot Objective'!$C$9^3)*V1397*W1397</f>
        <v>0</v>
      </c>
      <c r="Y1397" s="166">
        <v>1</v>
      </c>
      <c r="Z1397" s="166">
        <v>4</v>
      </c>
      <c r="AA1397" s="164">
        <f>($L1397*'Pivot Objective'!$C$9^4)*Y1397*Z1397</f>
        <v>2675476.4105215403</v>
      </c>
      <c r="AB1397" s="166">
        <v>0</v>
      </c>
      <c r="AC1397" s="166">
        <v>0</v>
      </c>
      <c r="AD1397" s="164">
        <f>($L1397*'Pivot Objective'!$C$9^5)*AB1397*AC1397</f>
        <v>0</v>
      </c>
      <c r="AE1397" s="166">
        <v>0</v>
      </c>
      <c r="AF1397" s="166">
        <v>0</v>
      </c>
      <c r="AG1397" s="164">
        <f>($L1397*'Pivot Objective'!$C$9^6)*AE1397*AF1397</f>
        <v>0</v>
      </c>
      <c r="AH1397" s="166">
        <v>2</v>
      </c>
      <c r="AI1397" s="166">
        <v>2</v>
      </c>
      <c r="AJ1397" s="164">
        <f>($L1397*'Pivot Objective'!$C$9^7)*AH1397*AI1397</f>
        <v>3994384.5595926056</v>
      </c>
      <c r="AK1397" s="185">
        <f t="shared" si="162"/>
        <v>8461920.2764888182</v>
      </c>
      <c r="AL1397" s="186">
        <f t="shared" si="163"/>
        <v>8215.4565791153582</v>
      </c>
    </row>
    <row r="1398" spans="1:38" customFormat="1" ht="57.6" x14ac:dyDescent="0.3">
      <c r="A1398" s="140" t="s">
        <v>1484</v>
      </c>
      <c r="B1398" s="140">
        <v>3</v>
      </c>
      <c r="C1398" s="166" t="s">
        <v>696</v>
      </c>
      <c r="D1398" s="140" t="str">
        <f t="shared" si="165"/>
        <v>1</v>
      </c>
      <c r="E1398" s="166" t="s">
        <v>689</v>
      </c>
      <c r="F1398" s="140">
        <f t="shared" si="164"/>
        <v>2</v>
      </c>
      <c r="G1398" s="140" t="str">
        <f t="shared" si="166"/>
        <v>3.1.2</v>
      </c>
      <c r="H1398" s="166" t="s">
        <v>1715</v>
      </c>
      <c r="I1398" s="166" t="s">
        <v>9</v>
      </c>
      <c r="J1398" s="166" t="s">
        <v>217</v>
      </c>
      <c r="K1398" s="166" t="s">
        <v>716</v>
      </c>
      <c r="L1398" s="177">
        <v>39000</v>
      </c>
      <c r="M1398" s="140"/>
      <c r="N1398" s="140"/>
      <c r="O1398" s="164">
        <f t="shared" si="161"/>
        <v>0</v>
      </c>
      <c r="P1398" s="166">
        <v>25</v>
      </c>
      <c r="Q1398" s="166">
        <v>6</v>
      </c>
      <c r="R1398" s="164">
        <f>$L1398*'Pivot Objective'!$C$9*P1398*Q1398</f>
        <v>6686088.4174499996</v>
      </c>
      <c r="S1398" s="166">
        <v>0</v>
      </c>
      <c r="T1398" s="166">
        <v>0</v>
      </c>
      <c r="U1398" s="164">
        <f>($L1398*'Pivot Objective'!$C$9^2)*S1398*T1398</f>
        <v>0</v>
      </c>
      <c r="V1398" s="166">
        <v>0</v>
      </c>
      <c r="W1398" s="166">
        <v>0</v>
      </c>
      <c r="X1398" s="164">
        <f>($L1398*'Pivot Objective'!$C$9^3)*V1398*W1398</f>
        <v>0</v>
      </c>
      <c r="Y1398" s="166">
        <v>40</v>
      </c>
      <c r="Z1398" s="166">
        <v>5</v>
      </c>
      <c r="AA1398" s="164">
        <f>($L1398*'Pivot Objective'!$C$9^4)*Y1398*Z1398</f>
        <v>13309434.403884819</v>
      </c>
      <c r="AB1398" s="166">
        <v>0</v>
      </c>
      <c r="AC1398" s="166">
        <v>0</v>
      </c>
      <c r="AD1398" s="164">
        <f>($L1398*'Pivot Objective'!$C$9^5)*AB1398*AC1398</f>
        <v>0</v>
      </c>
      <c r="AE1398" s="166">
        <v>0</v>
      </c>
      <c r="AF1398" s="166">
        <v>0</v>
      </c>
      <c r="AG1398" s="164">
        <f>($L1398*'Pivot Objective'!$C$9^6)*AE1398*AF1398</f>
        <v>0</v>
      </c>
      <c r="AH1398" s="166">
        <v>25</v>
      </c>
      <c r="AI1398" s="166">
        <v>6</v>
      </c>
      <c r="AJ1398" s="164">
        <f>($L1398*'Pivot Objective'!$C$9^7)*AH1398*AI1398</f>
        <v>14902859.656336365</v>
      </c>
      <c r="AK1398" s="185">
        <f t="shared" si="162"/>
        <v>34898382.477671184</v>
      </c>
      <c r="AL1398" s="186">
        <f t="shared" si="163"/>
        <v>33881.92473560309</v>
      </c>
    </row>
    <row r="1399" spans="1:38" customFormat="1" ht="57.6" x14ac:dyDescent="0.3">
      <c r="A1399" s="140" t="s">
        <v>1484</v>
      </c>
      <c r="B1399" s="140">
        <v>3</v>
      </c>
      <c r="C1399" s="166" t="s">
        <v>696</v>
      </c>
      <c r="D1399" s="140" t="str">
        <f t="shared" si="165"/>
        <v>1</v>
      </c>
      <c r="E1399" s="166" t="s">
        <v>689</v>
      </c>
      <c r="F1399" s="140">
        <f t="shared" si="164"/>
        <v>2</v>
      </c>
      <c r="G1399" s="140" t="str">
        <f t="shared" si="166"/>
        <v>3.1.2</v>
      </c>
      <c r="H1399" s="166" t="s">
        <v>1715</v>
      </c>
      <c r="I1399" s="166" t="s">
        <v>9</v>
      </c>
      <c r="J1399" s="166" t="s">
        <v>217</v>
      </c>
      <c r="K1399" s="166" t="s">
        <v>709</v>
      </c>
      <c r="L1399" s="177">
        <v>35000</v>
      </c>
      <c r="M1399" s="140"/>
      <c r="N1399" s="140"/>
      <c r="O1399" s="164">
        <f t="shared" si="161"/>
        <v>0</v>
      </c>
      <c r="P1399" s="166">
        <v>25</v>
      </c>
      <c r="Q1399" s="166">
        <v>5</v>
      </c>
      <c r="R1399" s="164">
        <f>$L1399*'Pivot Objective'!$C$9*P1399*Q1399</f>
        <v>5000279.7993749995</v>
      </c>
      <c r="S1399" s="166">
        <v>0</v>
      </c>
      <c r="T1399" s="166">
        <v>0</v>
      </c>
      <c r="U1399" s="164">
        <f>($L1399*'Pivot Objective'!$C$9^2)*S1399*T1399</f>
        <v>0</v>
      </c>
      <c r="V1399" s="166">
        <v>0</v>
      </c>
      <c r="W1399" s="166">
        <v>0</v>
      </c>
      <c r="X1399" s="164">
        <f>($L1399*'Pivot Objective'!$C$9^3)*V1399*W1399</f>
        <v>0</v>
      </c>
      <c r="Y1399" s="166">
        <v>40</v>
      </c>
      <c r="Z1399" s="166">
        <v>5</v>
      </c>
      <c r="AA1399" s="164">
        <f>($L1399*'Pivot Objective'!$C$9^4)*Y1399*Z1399</f>
        <v>11944364.20861458</v>
      </c>
      <c r="AB1399" s="166">
        <v>0</v>
      </c>
      <c r="AC1399" s="166">
        <v>0</v>
      </c>
      <c r="AD1399" s="164">
        <f>($L1399*'Pivot Objective'!$C$9^5)*AB1399*AC1399</f>
        <v>0</v>
      </c>
      <c r="AE1399" s="166">
        <v>0</v>
      </c>
      <c r="AF1399" s="166">
        <v>0</v>
      </c>
      <c r="AG1399" s="164">
        <f>($L1399*'Pivot Objective'!$C$9^6)*AE1399*AF1399</f>
        <v>0</v>
      </c>
      <c r="AH1399" s="166">
        <v>25</v>
      </c>
      <c r="AI1399" s="166">
        <v>5</v>
      </c>
      <c r="AJ1399" s="164">
        <f>($L1399*'Pivot Objective'!$C$9^7)*AH1399*AI1399</f>
        <v>11145301.025037881</v>
      </c>
      <c r="AK1399" s="185">
        <f t="shared" si="162"/>
        <v>28089945.033027459</v>
      </c>
      <c r="AL1399" s="186">
        <f t="shared" si="163"/>
        <v>27271.791294201415</v>
      </c>
    </row>
    <row r="1400" spans="1:38" customFormat="1" ht="57.6" x14ac:dyDescent="0.3">
      <c r="A1400" s="140" t="s">
        <v>1484</v>
      </c>
      <c r="B1400" s="140">
        <v>3</v>
      </c>
      <c r="C1400" s="166" t="s">
        <v>696</v>
      </c>
      <c r="D1400" s="140" t="str">
        <f t="shared" si="165"/>
        <v>1</v>
      </c>
      <c r="E1400" s="166" t="s">
        <v>689</v>
      </c>
      <c r="F1400" s="140">
        <f t="shared" si="164"/>
        <v>2</v>
      </c>
      <c r="G1400" s="140" t="str">
        <f t="shared" si="166"/>
        <v>3.1.2</v>
      </c>
      <c r="H1400" s="166" t="s">
        <v>1715</v>
      </c>
      <c r="I1400" s="166" t="s">
        <v>9</v>
      </c>
      <c r="J1400" s="166" t="s">
        <v>217</v>
      </c>
      <c r="K1400" s="166" t="s">
        <v>1350</v>
      </c>
      <c r="L1400" s="177">
        <f>1480/7</f>
        <v>211.42857142857142</v>
      </c>
      <c r="M1400" s="140"/>
      <c r="N1400" s="140"/>
      <c r="O1400" s="164">
        <f t="shared" si="161"/>
        <v>0</v>
      </c>
      <c r="P1400" s="166">
        <f>2*135*9</f>
        <v>2430</v>
      </c>
      <c r="Q1400" s="166">
        <v>1</v>
      </c>
      <c r="R1400" s="164">
        <f>$L1400*'Pivot Objective'!$C$9*P1400*Q1400</f>
        <v>587200.20475011424</v>
      </c>
      <c r="S1400" s="166"/>
      <c r="T1400" s="166"/>
      <c r="U1400" s="164">
        <f>($L1400*'Pivot Objective'!$C$9^2)*S1400*T1400</f>
        <v>0</v>
      </c>
      <c r="V1400" s="166"/>
      <c r="W1400" s="166"/>
      <c r="X1400" s="164">
        <f>($L1400*'Pivot Objective'!$C$9^3)*V1400*W1400</f>
        <v>0</v>
      </c>
      <c r="Y1400" s="166"/>
      <c r="Z1400" s="166"/>
      <c r="AA1400" s="164">
        <f>($L1400*'Pivot Objective'!$C$9^4)*Y1400*Z1400</f>
        <v>0</v>
      </c>
      <c r="AB1400" s="166"/>
      <c r="AC1400" s="166"/>
      <c r="AD1400" s="164">
        <f>($L1400*'Pivot Objective'!$C$9^5)*AB1400*AC1400</f>
        <v>0</v>
      </c>
      <c r="AE1400" s="166"/>
      <c r="AF1400" s="166"/>
      <c r="AG1400" s="164">
        <f>($L1400*'Pivot Objective'!$C$9^6)*AE1400*AF1400</f>
        <v>0</v>
      </c>
      <c r="AH1400" s="166">
        <f>2*135*9</f>
        <v>2430</v>
      </c>
      <c r="AI1400" s="166">
        <v>1</v>
      </c>
      <c r="AJ1400" s="164">
        <f>($L1400*'Pivot Objective'!$C$9^7)*AH1400*AI1400</f>
        <v>1308831.3667411015</v>
      </c>
      <c r="AK1400" s="185">
        <f t="shared" si="162"/>
        <v>1896031.5714912158</v>
      </c>
      <c r="AL1400" s="186">
        <f t="shared" si="163"/>
        <v>1840.8073509623455</v>
      </c>
    </row>
    <row r="1401" spans="1:38" customFormat="1" ht="57.6" x14ac:dyDescent="0.3">
      <c r="A1401" s="140" t="s">
        <v>1484</v>
      </c>
      <c r="B1401" s="140">
        <v>3</v>
      </c>
      <c r="C1401" s="166" t="s">
        <v>696</v>
      </c>
      <c r="D1401" s="140" t="str">
        <f t="shared" si="165"/>
        <v>1</v>
      </c>
      <c r="E1401" s="166" t="s">
        <v>689</v>
      </c>
      <c r="F1401" s="140">
        <f t="shared" si="164"/>
        <v>2</v>
      </c>
      <c r="G1401" s="140" t="str">
        <f t="shared" si="166"/>
        <v>3.1.2</v>
      </c>
      <c r="H1401" s="166" t="s">
        <v>1715</v>
      </c>
      <c r="I1401" s="166" t="s">
        <v>9</v>
      </c>
      <c r="J1401" s="166" t="s">
        <v>217</v>
      </c>
      <c r="K1401" s="166" t="s">
        <v>712</v>
      </c>
      <c r="L1401" s="177">
        <f>1480/7</f>
        <v>211.42857142857142</v>
      </c>
      <c r="M1401" s="140"/>
      <c r="N1401" s="140"/>
      <c r="O1401" s="164">
        <f t="shared" si="161"/>
        <v>0</v>
      </c>
      <c r="P1401" s="166">
        <f>25*2*9</f>
        <v>450</v>
      </c>
      <c r="Q1401" s="166">
        <v>5</v>
      </c>
      <c r="R1401" s="164">
        <f>$L1401*'Pivot Objective'!$C$9*P1401*Q1401</f>
        <v>543703.89328714274</v>
      </c>
      <c r="S1401" s="166">
        <v>0</v>
      </c>
      <c r="T1401" s="166">
        <v>0</v>
      </c>
      <c r="U1401" s="164">
        <f>($L1401*'Pivot Objective'!$C$9^2)*S1401*T1401</f>
        <v>0</v>
      </c>
      <c r="V1401" s="166">
        <v>0</v>
      </c>
      <c r="W1401" s="166">
        <v>0</v>
      </c>
      <c r="X1401" s="164">
        <f>($L1401*'Pivot Objective'!$C$9^3)*V1401*W1401</f>
        <v>0</v>
      </c>
      <c r="Y1401" s="166">
        <v>20000</v>
      </c>
      <c r="Z1401" s="166">
        <v>1</v>
      </c>
      <c r="AA1401" s="164">
        <f>($L1401*'Pivot Objective'!$C$9^4)*Y1401*Z1401</f>
        <v>7215371.0321426839</v>
      </c>
      <c r="AB1401" s="166">
        <v>0</v>
      </c>
      <c r="AC1401" s="166">
        <v>0</v>
      </c>
      <c r="AD1401" s="164">
        <f>($L1401*'Pivot Objective'!$C$9^5)*AB1401*AC1401</f>
        <v>0</v>
      </c>
      <c r="AE1401" s="166">
        <v>0</v>
      </c>
      <c r="AF1401" s="166">
        <v>0</v>
      </c>
      <c r="AG1401" s="164">
        <f>($L1401*'Pivot Objective'!$C$9^6)*AE1401*AF1401</f>
        <v>0</v>
      </c>
      <c r="AH1401" s="166">
        <f>25*2*9</f>
        <v>450</v>
      </c>
      <c r="AI1401" s="166">
        <v>5</v>
      </c>
      <c r="AJ1401" s="164">
        <f>($L1401*'Pivot Objective'!$C$9^7)*AH1401*AI1401</f>
        <v>1211880.8951306494</v>
      </c>
      <c r="AK1401" s="185">
        <f t="shared" si="162"/>
        <v>8970955.8205604758</v>
      </c>
      <c r="AL1401" s="186">
        <f t="shared" si="163"/>
        <v>8709.6658452043448</v>
      </c>
    </row>
    <row r="1402" spans="1:38" customFormat="1" ht="57.6" x14ac:dyDescent="0.3">
      <c r="A1402" s="140" t="s">
        <v>1484</v>
      </c>
      <c r="B1402" s="140">
        <v>3</v>
      </c>
      <c r="C1402" s="166" t="s">
        <v>696</v>
      </c>
      <c r="D1402" s="140" t="str">
        <f t="shared" si="165"/>
        <v>1</v>
      </c>
      <c r="E1402" s="166" t="s">
        <v>689</v>
      </c>
      <c r="F1402" s="140">
        <f t="shared" si="164"/>
        <v>2</v>
      </c>
      <c r="G1402" s="140" t="str">
        <f t="shared" si="166"/>
        <v>3.1.2</v>
      </c>
      <c r="H1402" s="166" t="s">
        <v>1715</v>
      </c>
      <c r="I1402" s="166" t="s">
        <v>9</v>
      </c>
      <c r="J1402" s="166" t="s">
        <v>218</v>
      </c>
      <c r="K1402" s="166" t="s">
        <v>716</v>
      </c>
      <c r="L1402" s="177">
        <v>39000</v>
      </c>
      <c r="M1402" s="140"/>
      <c r="N1402" s="140"/>
      <c r="O1402" s="164">
        <f t="shared" si="161"/>
        <v>0</v>
      </c>
      <c r="P1402" s="166">
        <v>30</v>
      </c>
      <c r="Q1402" s="166">
        <v>6</v>
      </c>
      <c r="R1402" s="164">
        <f>$L1402*'Pivot Objective'!$C$9*P1402*Q1402</f>
        <v>8023306.1009399984</v>
      </c>
      <c r="S1402" s="166">
        <v>0</v>
      </c>
      <c r="T1402" s="166">
        <v>0</v>
      </c>
      <c r="U1402" s="164">
        <f>($L1402*'Pivot Objective'!$C$9^2)*S1402*T1402</f>
        <v>0</v>
      </c>
      <c r="V1402" s="166">
        <v>0</v>
      </c>
      <c r="W1402" s="166">
        <v>0</v>
      </c>
      <c r="X1402" s="164">
        <f>($L1402*'Pivot Objective'!$C$9^3)*V1402*W1402</f>
        <v>0</v>
      </c>
      <c r="Y1402" s="166">
        <v>40</v>
      </c>
      <c r="Z1402" s="166">
        <v>3</v>
      </c>
      <c r="AA1402" s="164">
        <f>($L1402*'Pivot Objective'!$C$9^4)*Y1402*Z1402</f>
        <v>7985660.6423308905</v>
      </c>
      <c r="AB1402" s="166">
        <v>0</v>
      </c>
      <c r="AC1402" s="166">
        <v>0</v>
      </c>
      <c r="AD1402" s="164">
        <f>($L1402*'Pivot Objective'!$C$9^5)*AB1402*AC1402</f>
        <v>0</v>
      </c>
      <c r="AE1402" s="166">
        <v>0</v>
      </c>
      <c r="AF1402" s="166">
        <v>0</v>
      </c>
      <c r="AG1402" s="164">
        <f>($L1402*'Pivot Objective'!$C$9^6)*AE1402*AF1402</f>
        <v>0</v>
      </c>
      <c r="AH1402" s="166">
        <v>30</v>
      </c>
      <c r="AI1402" s="166">
        <v>6</v>
      </c>
      <c r="AJ1402" s="164">
        <f>($L1402*'Pivot Objective'!$C$9^7)*AH1402*AI1402</f>
        <v>17883431.58760364</v>
      </c>
      <c r="AK1402" s="185">
        <f t="shared" si="162"/>
        <v>33892398.330874532</v>
      </c>
      <c r="AL1402" s="186">
        <f t="shared" si="163"/>
        <v>32905.241097936436</v>
      </c>
    </row>
    <row r="1403" spans="1:38" customFormat="1" ht="57.6" x14ac:dyDescent="0.3">
      <c r="A1403" s="140" t="s">
        <v>1484</v>
      </c>
      <c r="B1403" s="140">
        <v>3</v>
      </c>
      <c r="C1403" s="166" t="s">
        <v>696</v>
      </c>
      <c r="D1403" s="140" t="str">
        <f t="shared" si="165"/>
        <v>1</v>
      </c>
      <c r="E1403" s="166" t="s">
        <v>689</v>
      </c>
      <c r="F1403" s="140">
        <f t="shared" si="164"/>
        <v>2</v>
      </c>
      <c r="G1403" s="140" t="str">
        <f t="shared" si="166"/>
        <v>3.1.2</v>
      </c>
      <c r="H1403" s="166" t="s">
        <v>1715</v>
      </c>
      <c r="I1403" s="166" t="s">
        <v>9</v>
      </c>
      <c r="J1403" s="166" t="s">
        <v>218</v>
      </c>
      <c r="K1403" s="166" t="s">
        <v>709</v>
      </c>
      <c r="L1403" s="177">
        <v>35000</v>
      </c>
      <c r="M1403" s="140"/>
      <c r="N1403" s="140"/>
      <c r="O1403" s="164">
        <f t="shared" si="161"/>
        <v>0</v>
      </c>
      <c r="P1403" s="166">
        <v>30</v>
      </c>
      <c r="Q1403" s="166">
        <v>5</v>
      </c>
      <c r="R1403" s="164">
        <f>$L1403*'Pivot Objective'!$C$9*P1403*Q1403</f>
        <v>6000335.7592499992</v>
      </c>
      <c r="S1403" s="166">
        <v>0</v>
      </c>
      <c r="T1403" s="166">
        <v>0</v>
      </c>
      <c r="U1403" s="164">
        <f>($L1403*'Pivot Objective'!$C$9^2)*S1403*T1403</f>
        <v>0</v>
      </c>
      <c r="V1403" s="166">
        <v>0</v>
      </c>
      <c r="W1403" s="166">
        <v>0</v>
      </c>
      <c r="X1403" s="164">
        <f>($L1403*'Pivot Objective'!$C$9^3)*V1403*W1403</f>
        <v>0</v>
      </c>
      <c r="Y1403" s="166">
        <v>40</v>
      </c>
      <c r="Z1403" s="166">
        <v>3</v>
      </c>
      <c r="AA1403" s="164">
        <f>($L1403*'Pivot Objective'!$C$9^4)*Y1403*Z1403</f>
        <v>7166618.5251687476</v>
      </c>
      <c r="AB1403" s="166">
        <v>0</v>
      </c>
      <c r="AC1403" s="166">
        <v>0</v>
      </c>
      <c r="AD1403" s="164">
        <f>($L1403*'Pivot Objective'!$C$9^5)*AB1403*AC1403</f>
        <v>0</v>
      </c>
      <c r="AE1403" s="166">
        <v>0</v>
      </c>
      <c r="AF1403" s="166">
        <v>0</v>
      </c>
      <c r="AG1403" s="164">
        <f>($L1403*'Pivot Objective'!$C$9^6)*AE1403*AF1403</f>
        <v>0</v>
      </c>
      <c r="AH1403" s="166">
        <v>30</v>
      </c>
      <c r="AI1403" s="166">
        <v>5</v>
      </c>
      <c r="AJ1403" s="164">
        <f>($L1403*'Pivot Objective'!$C$9^7)*AH1403*AI1403</f>
        <v>13374361.230045456</v>
      </c>
      <c r="AK1403" s="185">
        <f t="shared" si="162"/>
        <v>26541315.514464203</v>
      </c>
      <c r="AL1403" s="186">
        <f t="shared" si="163"/>
        <v>25768.267489771071</v>
      </c>
    </row>
    <row r="1404" spans="1:38" customFormat="1" ht="57.6" x14ac:dyDescent="0.3">
      <c r="A1404" s="140" t="s">
        <v>1484</v>
      </c>
      <c r="B1404" s="140">
        <v>3</v>
      </c>
      <c r="C1404" s="166" t="s">
        <v>696</v>
      </c>
      <c r="D1404" s="140" t="str">
        <f t="shared" si="165"/>
        <v>1</v>
      </c>
      <c r="E1404" s="166" t="s">
        <v>689</v>
      </c>
      <c r="F1404" s="140">
        <f t="shared" si="164"/>
        <v>2</v>
      </c>
      <c r="G1404" s="140" t="str">
        <f t="shared" si="166"/>
        <v>3.1.2</v>
      </c>
      <c r="H1404" s="166" t="s">
        <v>1715</v>
      </c>
      <c r="I1404" s="166" t="s">
        <v>9</v>
      </c>
      <c r="J1404" s="166" t="s">
        <v>218</v>
      </c>
      <c r="K1404" s="166" t="s">
        <v>1350</v>
      </c>
      <c r="L1404" s="177">
        <f>1480/7</f>
        <v>211.42857142857142</v>
      </c>
      <c r="M1404" s="140"/>
      <c r="N1404" s="140"/>
      <c r="O1404" s="164">
        <f t="shared" si="161"/>
        <v>0</v>
      </c>
      <c r="P1404" s="166">
        <f>2*135*10</f>
        <v>2700</v>
      </c>
      <c r="Q1404" s="166">
        <v>1</v>
      </c>
      <c r="R1404" s="164">
        <f>$L1404*'Pivot Objective'!$C$9*P1404*Q1404</f>
        <v>652444.67194457131</v>
      </c>
      <c r="S1404" s="166"/>
      <c r="T1404" s="166"/>
      <c r="U1404" s="164">
        <f>($L1404*'Pivot Objective'!$C$9^2)*S1404*T1404</f>
        <v>0</v>
      </c>
      <c r="V1404" s="166"/>
      <c r="W1404" s="166"/>
      <c r="X1404" s="164">
        <f>($L1404*'Pivot Objective'!$C$9^3)*V1404*W1404</f>
        <v>0</v>
      </c>
      <c r="Y1404" s="166"/>
      <c r="Z1404" s="166"/>
      <c r="AA1404" s="164">
        <f>($L1404*'Pivot Objective'!$C$9^4)*Y1404*Z1404</f>
        <v>0</v>
      </c>
      <c r="AB1404" s="166"/>
      <c r="AC1404" s="166"/>
      <c r="AD1404" s="164">
        <f>($L1404*'Pivot Objective'!$C$9^5)*AB1404*AC1404</f>
        <v>0</v>
      </c>
      <c r="AE1404" s="166"/>
      <c r="AF1404" s="166"/>
      <c r="AG1404" s="164">
        <f>($L1404*'Pivot Objective'!$C$9^6)*AE1404*AF1404</f>
        <v>0</v>
      </c>
      <c r="AH1404" s="166">
        <f>2*135*10</f>
        <v>2700</v>
      </c>
      <c r="AI1404" s="166">
        <v>1</v>
      </c>
      <c r="AJ1404" s="164">
        <f>($L1404*'Pivot Objective'!$C$9^7)*AH1404*AI1404</f>
        <v>1454257.0741567793</v>
      </c>
      <c r="AK1404" s="185">
        <f t="shared" si="162"/>
        <v>2106701.7461013505</v>
      </c>
      <c r="AL1404" s="186">
        <f t="shared" si="163"/>
        <v>2045.3415010692725</v>
      </c>
    </row>
    <row r="1405" spans="1:38" customFormat="1" ht="57.6" x14ac:dyDescent="0.3">
      <c r="A1405" s="140" t="s">
        <v>1484</v>
      </c>
      <c r="B1405" s="140">
        <v>3</v>
      </c>
      <c r="C1405" s="166" t="s">
        <v>696</v>
      </c>
      <c r="D1405" s="140" t="str">
        <f t="shared" si="165"/>
        <v>1</v>
      </c>
      <c r="E1405" s="166" t="s">
        <v>689</v>
      </c>
      <c r="F1405" s="140">
        <f t="shared" si="164"/>
        <v>2</v>
      </c>
      <c r="G1405" s="140" t="str">
        <f t="shared" si="166"/>
        <v>3.1.2</v>
      </c>
      <c r="H1405" s="166" t="s">
        <v>1715</v>
      </c>
      <c r="I1405" s="166" t="s">
        <v>9</v>
      </c>
      <c r="J1405" s="166" t="s">
        <v>218</v>
      </c>
      <c r="K1405" s="166" t="s">
        <v>712</v>
      </c>
      <c r="L1405" s="177">
        <f>1480/7</f>
        <v>211.42857142857142</v>
      </c>
      <c r="M1405" s="140"/>
      <c r="N1405" s="140"/>
      <c r="O1405" s="164">
        <f t="shared" si="161"/>
        <v>0</v>
      </c>
      <c r="P1405" s="166">
        <f>25*2*10</f>
        <v>500</v>
      </c>
      <c r="Q1405" s="166">
        <v>5</v>
      </c>
      <c r="R1405" s="164">
        <f>$L1405*'Pivot Objective'!$C$9*P1405*Q1405</f>
        <v>604115.43698571413</v>
      </c>
      <c r="S1405" s="166">
        <v>0</v>
      </c>
      <c r="T1405" s="166">
        <v>0</v>
      </c>
      <c r="U1405" s="164">
        <f>($L1405*'Pivot Objective'!$C$9^2)*S1405*T1405</f>
        <v>0</v>
      </c>
      <c r="V1405" s="166">
        <v>0</v>
      </c>
      <c r="W1405" s="166">
        <v>0</v>
      </c>
      <c r="X1405" s="164">
        <f>($L1405*'Pivot Objective'!$C$9^3)*V1405*W1405</f>
        <v>0</v>
      </c>
      <c r="Y1405" s="166">
        <v>20000</v>
      </c>
      <c r="Z1405" s="166">
        <v>1</v>
      </c>
      <c r="AA1405" s="164">
        <f>($L1405*'Pivot Objective'!$C$9^4)*Y1405*Z1405</f>
        <v>7215371.0321426839</v>
      </c>
      <c r="AB1405" s="166">
        <v>0</v>
      </c>
      <c r="AC1405" s="166">
        <v>0</v>
      </c>
      <c r="AD1405" s="164">
        <f>($L1405*'Pivot Objective'!$C$9^5)*AB1405*AC1405</f>
        <v>0</v>
      </c>
      <c r="AE1405" s="166">
        <v>0</v>
      </c>
      <c r="AF1405" s="166">
        <v>0</v>
      </c>
      <c r="AG1405" s="164">
        <f>($L1405*'Pivot Objective'!$C$9^6)*AE1405*AF1405</f>
        <v>0</v>
      </c>
      <c r="AH1405" s="166">
        <f>25*2*10</f>
        <v>500</v>
      </c>
      <c r="AI1405" s="166">
        <v>5</v>
      </c>
      <c r="AJ1405" s="164">
        <f>($L1405*'Pivot Objective'!$C$9^7)*AH1405*AI1405</f>
        <v>1346534.327922944</v>
      </c>
      <c r="AK1405" s="185">
        <f t="shared" si="162"/>
        <v>9166020.7970513422</v>
      </c>
      <c r="AL1405" s="186">
        <f t="shared" si="163"/>
        <v>8899.0493175255742</v>
      </c>
    </row>
    <row r="1406" spans="1:38" customFormat="1" ht="57.6" x14ac:dyDescent="0.3">
      <c r="A1406" s="140" t="s">
        <v>1484</v>
      </c>
      <c r="B1406" s="140">
        <v>3</v>
      </c>
      <c r="C1406" s="166" t="s">
        <v>696</v>
      </c>
      <c r="D1406" s="140" t="str">
        <f t="shared" si="165"/>
        <v>1</v>
      </c>
      <c r="E1406" s="166" t="s">
        <v>689</v>
      </c>
      <c r="F1406" s="140">
        <f t="shared" si="164"/>
        <v>2</v>
      </c>
      <c r="G1406" s="140" t="str">
        <f t="shared" si="166"/>
        <v>3.1.2</v>
      </c>
      <c r="H1406" s="166" t="s">
        <v>1715</v>
      </c>
      <c r="I1406" s="166" t="s">
        <v>9</v>
      </c>
      <c r="J1406" s="166" t="s">
        <v>219</v>
      </c>
      <c r="K1406" s="166" t="s">
        <v>716</v>
      </c>
      <c r="L1406" s="177">
        <v>39000</v>
      </c>
      <c r="M1406" s="140"/>
      <c r="N1406" s="140"/>
      <c r="O1406" s="164">
        <f t="shared" si="161"/>
        <v>0</v>
      </c>
      <c r="P1406" s="166">
        <v>25</v>
      </c>
      <c r="Q1406" s="166">
        <v>3</v>
      </c>
      <c r="R1406" s="164">
        <f>$L1406*'Pivot Objective'!$C$9*P1406*Q1406</f>
        <v>3343044.2087249998</v>
      </c>
      <c r="S1406" s="166">
        <v>0</v>
      </c>
      <c r="T1406" s="166">
        <v>0</v>
      </c>
      <c r="U1406" s="164">
        <f>($L1406*'Pivot Objective'!$C$9^2)*S1406*T1406</f>
        <v>0</v>
      </c>
      <c r="V1406" s="166">
        <v>0</v>
      </c>
      <c r="W1406" s="166">
        <v>0</v>
      </c>
      <c r="X1406" s="164">
        <f>($L1406*'Pivot Objective'!$C$9^3)*V1406*W1406</f>
        <v>0</v>
      </c>
      <c r="Y1406" s="166">
        <v>40</v>
      </c>
      <c r="Z1406" s="166">
        <v>2</v>
      </c>
      <c r="AA1406" s="164">
        <f>($L1406*'Pivot Objective'!$C$9^4)*Y1406*Z1406</f>
        <v>5323773.7615539273</v>
      </c>
      <c r="AB1406" s="166">
        <v>0</v>
      </c>
      <c r="AC1406" s="166">
        <v>0</v>
      </c>
      <c r="AD1406" s="164">
        <f>($L1406*'Pivot Objective'!$C$9^5)*AB1406*AC1406</f>
        <v>0</v>
      </c>
      <c r="AE1406" s="166">
        <v>0</v>
      </c>
      <c r="AF1406" s="166">
        <v>0</v>
      </c>
      <c r="AG1406" s="164">
        <f>($L1406*'Pivot Objective'!$C$9^6)*AE1406*AF1406</f>
        <v>0</v>
      </c>
      <c r="AH1406" s="166">
        <v>25</v>
      </c>
      <c r="AI1406" s="166">
        <v>3</v>
      </c>
      <c r="AJ1406" s="164">
        <f>($L1406*'Pivot Objective'!$C$9^7)*AH1406*AI1406</f>
        <v>7451429.8281681826</v>
      </c>
      <c r="AK1406" s="185">
        <f t="shared" si="162"/>
        <v>16118247.79844711</v>
      </c>
      <c r="AL1406" s="186">
        <f t="shared" si="163"/>
        <v>15648.784270337001</v>
      </c>
    </row>
    <row r="1407" spans="1:38" customFormat="1" ht="57.6" x14ac:dyDescent="0.3">
      <c r="A1407" s="140" t="s">
        <v>1484</v>
      </c>
      <c r="B1407" s="140">
        <v>3</v>
      </c>
      <c r="C1407" s="166" t="s">
        <v>696</v>
      </c>
      <c r="D1407" s="140" t="str">
        <f t="shared" si="165"/>
        <v>1</v>
      </c>
      <c r="E1407" s="166" t="s">
        <v>689</v>
      </c>
      <c r="F1407" s="140">
        <f t="shared" si="164"/>
        <v>2</v>
      </c>
      <c r="G1407" s="140" t="str">
        <f t="shared" si="166"/>
        <v>3.1.2</v>
      </c>
      <c r="H1407" s="166" t="s">
        <v>1715</v>
      </c>
      <c r="I1407" s="166" t="s">
        <v>9</v>
      </c>
      <c r="J1407" s="166" t="s">
        <v>1378</v>
      </c>
      <c r="K1407" s="166" t="s">
        <v>709</v>
      </c>
      <c r="L1407" s="177">
        <v>35000</v>
      </c>
      <c r="M1407" s="140"/>
      <c r="N1407" s="140"/>
      <c r="O1407" s="164">
        <f t="shared" si="161"/>
        <v>0</v>
      </c>
      <c r="P1407" s="166">
        <v>25</v>
      </c>
      <c r="Q1407" s="166">
        <v>2</v>
      </c>
      <c r="R1407" s="164">
        <f>$L1407*'Pivot Objective'!$C$9*P1407*Q1407</f>
        <v>2000111.9197499997</v>
      </c>
      <c r="S1407" s="166">
        <v>0</v>
      </c>
      <c r="T1407" s="166">
        <v>0</v>
      </c>
      <c r="U1407" s="164">
        <f>($L1407*'Pivot Objective'!$C$9^2)*S1407*T1407</f>
        <v>0</v>
      </c>
      <c r="V1407" s="166">
        <v>0</v>
      </c>
      <c r="W1407" s="166">
        <v>0</v>
      </c>
      <c r="X1407" s="164">
        <f>($L1407*'Pivot Objective'!$C$9^3)*V1407*W1407</f>
        <v>0</v>
      </c>
      <c r="Y1407" s="166">
        <v>40</v>
      </c>
      <c r="Z1407" s="166">
        <v>2</v>
      </c>
      <c r="AA1407" s="164">
        <f>($L1407*'Pivot Objective'!$C$9^4)*Y1407*Z1407</f>
        <v>4777745.6834458318</v>
      </c>
      <c r="AB1407" s="166">
        <v>0</v>
      </c>
      <c r="AC1407" s="166">
        <v>0</v>
      </c>
      <c r="AD1407" s="164">
        <f>($L1407*'Pivot Objective'!$C$9^5)*AB1407*AC1407</f>
        <v>0</v>
      </c>
      <c r="AE1407" s="166">
        <v>0</v>
      </c>
      <c r="AF1407" s="166">
        <v>0</v>
      </c>
      <c r="AG1407" s="164">
        <f>($L1407*'Pivot Objective'!$C$9^6)*AE1407*AF1407</f>
        <v>0</v>
      </c>
      <c r="AH1407" s="166">
        <v>25</v>
      </c>
      <c r="AI1407" s="166">
        <v>2</v>
      </c>
      <c r="AJ1407" s="164">
        <f>($L1407*'Pivot Objective'!$C$9^7)*AH1407*AI1407</f>
        <v>4458120.4100151528</v>
      </c>
      <c r="AK1407" s="185">
        <f t="shared" si="162"/>
        <v>11235978.013210984</v>
      </c>
      <c r="AL1407" s="186">
        <f t="shared" si="163"/>
        <v>10908.716517680567</v>
      </c>
    </row>
    <row r="1408" spans="1:38" customFormat="1" ht="57.6" x14ac:dyDescent="0.3">
      <c r="A1408" s="140" t="s">
        <v>1484</v>
      </c>
      <c r="B1408" s="140">
        <v>3</v>
      </c>
      <c r="C1408" s="166" t="s">
        <v>696</v>
      </c>
      <c r="D1408" s="140" t="str">
        <f t="shared" si="165"/>
        <v>1</v>
      </c>
      <c r="E1408" s="166" t="s">
        <v>689</v>
      </c>
      <c r="F1408" s="140">
        <f t="shared" si="164"/>
        <v>2</v>
      </c>
      <c r="G1408" s="140" t="str">
        <f t="shared" si="166"/>
        <v>3.1.2</v>
      </c>
      <c r="H1408" s="166" t="s">
        <v>1715</v>
      </c>
      <c r="I1408" s="166" t="s">
        <v>9</v>
      </c>
      <c r="J1408" s="166" t="s">
        <v>1378</v>
      </c>
      <c r="K1408" s="166" t="s">
        <v>712</v>
      </c>
      <c r="L1408" s="177">
        <f>1480/7</f>
        <v>211.42857142857142</v>
      </c>
      <c r="M1408" s="140"/>
      <c r="N1408" s="140"/>
      <c r="O1408" s="164">
        <f t="shared" si="161"/>
        <v>0</v>
      </c>
      <c r="P1408" s="166">
        <f>25*2*9</f>
        <v>450</v>
      </c>
      <c r="Q1408" s="166">
        <v>1</v>
      </c>
      <c r="R1408" s="164">
        <f>$L1408*'Pivot Objective'!$C$9*P1408*Q1408</f>
        <v>108740.77865742856</v>
      </c>
      <c r="S1408" s="166">
        <v>0</v>
      </c>
      <c r="T1408" s="166">
        <v>0</v>
      </c>
      <c r="U1408" s="164">
        <f>($L1408*'Pivot Objective'!$C$9^2)*S1408*T1408</f>
        <v>0</v>
      </c>
      <c r="V1408" s="166">
        <v>0</v>
      </c>
      <c r="W1408" s="166">
        <v>0</v>
      </c>
      <c r="X1408" s="164">
        <f>($L1408*'Pivot Objective'!$C$9^3)*V1408*W1408</f>
        <v>0</v>
      </c>
      <c r="Y1408" s="166">
        <v>20000</v>
      </c>
      <c r="Z1408" s="166">
        <v>1</v>
      </c>
      <c r="AA1408" s="164">
        <f>($L1408*'Pivot Objective'!$C$9^4)*Y1408*Z1408</f>
        <v>7215371.0321426839</v>
      </c>
      <c r="AB1408" s="166">
        <v>0</v>
      </c>
      <c r="AC1408" s="166">
        <v>0</v>
      </c>
      <c r="AD1408" s="164">
        <f>($L1408*'Pivot Objective'!$C$9^5)*AB1408*AC1408</f>
        <v>0</v>
      </c>
      <c r="AE1408" s="166">
        <v>0</v>
      </c>
      <c r="AF1408" s="166">
        <v>0</v>
      </c>
      <c r="AG1408" s="164">
        <f>($L1408*'Pivot Objective'!$C$9^6)*AE1408*AF1408</f>
        <v>0</v>
      </c>
      <c r="AH1408" s="166">
        <f>25*2*9</f>
        <v>450</v>
      </c>
      <c r="AI1408" s="166">
        <v>1</v>
      </c>
      <c r="AJ1408" s="164">
        <f>($L1408*'Pivot Objective'!$C$9^7)*AH1408*AI1408</f>
        <v>242376.17902612989</v>
      </c>
      <c r="AK1408" s="185">
        <f t="shared" si="162"/>
        <v>7566487.9898262424</v>
      </c>
      <c r="AL1408" s="186">
        <f t="shared" si="163"/>
        <v>7346.1048444914977</v>
      </c>
    </row>
    <row r="1409" spans="1:38" customFormat="1" ht="57.6" x14ac:dyDescent="0.3">
      <c r="A1409" s="140" t="s">
        <v>1484</v>
      </c>
      <c r="B1409" s="140">
        <v>3</v>
      </c>
      <c r="C1409" s="166" t="s">
        <v>696</v>
      </c>
      <c r="D1409" s="140" t="str">
        <f t="shared" si="165"/>
        <v>1</v>
      </c>
      <c r="E1409" s="166" t="s">
        <v>689</v>
      </c>
      <c r="F1409" s="140">
        <f t="shared" si="164"/>
        <v>2</v>
      </c>
      <c r="G1409" s="140" t="str">
        <f t="shared" si="166"/>
        <v>3.1.2</v>
      </c>
      <c r="H1409" s="166" t="s">
        <v>1715</v>
      </c>
      <c r="I1409" s="166" t="s">
        <v>9</v>
      </c>
      <c r="J1409" s="166" t="s">
        <v>1378</v>
      </c>
      <c r="K1409" s="166" t="s">
        <v>1350</v>
      </c>
      <c r="L1409" s="177">
        <f>1480/7</f>
        <v>211.42857142857142</v>
      </c>
      <c r="M1409" s="140"/>
      <c r="N1409" s="140"/>
      <c r="O1409" s="164">
        <f t="shared" si="161"/>
        <v>0</v>
      </c>
      <c r="P1409" s="166">
        <f>2*135*9</f>
        <v>2430</v>
      </c>
      <c r="Q1409" s="166">
        <v>1</v>
      </c>
      <c r="R1409" s="164">
        <f>$L1409*'Pivot Objective'!$C$9*P1409*Q1409</f>
        <v>587200.20475011424</v>
      </c>
      <c r="S1409" s="166"/>
      <c r="T1409" s="166"/>
      <c r="U1409" s="164">
        <f>($L1409*'Pivot Objective'!$C$9^2)*S1409*T1409</f>
        <v>0</v>
      </c>
      <c r="V1409" s="166"/>
      <c r="W1409" s="166"/>
      <c r="X1409" s="164">
        <f>($L1409*'Pivot Objective'!$C$9^3)*V1409*W1409</f>
        <v>0</v>
      </c>
      <c r="Y1409" s="166"/>
      <c r="Z1409" s="166"/>
      <c r="AA1409" s="164">
        <f>($L1409*'Pivot Objective'!$C$9^4)*Y1409*Z1409</f>
        <v>0</v>
      </c>
      <c r="AB1409" s="166"/>
      <c r="AC1409" s="166"/>
      <c r="AD1409" s="164">
        <f>($L1409*'Pivot Objective'!$C$9^5)*AB1409*AC1409</f>
        <v>0</v>
      </c>
      <c r="AE1409" s="166"/>
      <c r="AF1409" s="166"/>
      <c r="AG1409" s="164">
        <f>($L1409*'Pivot Objective'!$C$9^6)*AE1409*AF1409</f>
        <v>0</v>
      </c>
      <c r="AH1409" s="166">
        <f>2*135*9</f>
        <v>2430</v>
      </c>
      <c r="AI1409" s="166">
        <v>1</v>
      </c>
      <c r="AJ1409" s="164">
        <f>($L1409*'Pivot Objective'!$C$9^7)*AH1409*AI1409</f>
        <v>1308831.3667411015</v>
      </c>
      <c r="AK1409" s="185">
        <f t="shared" si="162"/>
        <v>1896031.5714912158</v>
      </c>
      <c r="AL1409" s="186">
        <f t="shared" si="163"/>
        <v>1840.8073509623455</v>
      </c>
    </row>
    <row r="1410" spans="1:38" customFormat="1" ht="57.6" x14ac:dyDescent="0.3">
      <c r="A1410" s="140" t="s">
        <v>1484</v>
      </c>
      <c r="B1410" s="140">
        <v>3</v>
      </c>
      <c r="C1410" s="166" t="s">
        <v>696</v>
      </c>
      <c r="D1410" s="140" t="str">
        <f t="shared" si="165"/>
        <v>1</v>
      </c>
      <c r="E1410" s="166" t="s">
        <v>689</v>
      </c>
      <c r="F1410" s="140">
        <f t="shared" si="164"/>
        <v>2</v>
      </c>
      <c r="G1410" s="140" t="str">
        <f t="shared" si="166"/>
        <v>3.1.2</v>
      </c>
      <c r="H1410" s="166" t="s">
        <v>1715</v>
      </c>
      <c r="I1410" s="166" t="s">
        <v>5</v>
      </c>
      <c r="J1410" s="166" t="s">
        <v>196</v>
      </c>
      <c r="K1410" s="166" t="s">
        <v>718</v>
      </c>
      <c r="L1410" s="177">
        <v>0</v>
      </c>
      <c r="M1410" s="140"/>
      <c r="N1410" s="140"/>
      <c r="O1410" s="164">
        <f t="shared" si="161"/>
        <v>0</v>
      </c>
      <c r="P1410" s="166">
        <v>0</v>
      </c>
      <c r="Q1410" s="166">
        <v>0</v>
      </c>
      <c r="R1410" s="164">
        <f>$L1410*'Pivot Objective'!$C$9*P1410*Q1410</f>
        <v>0</v>
      </c>
      <c r="S1410" s="166">
        <v>0</v>
      </c>
      <c r="T1410" s="166">
        <v>0</v>
      </c>
      <c r="U1410" s="164">
        <f>($L1410*'Pivot Objective'!$C$9^2)*S1410*T1410</f>
        <v>0</v>
      </c>
      <c r="V1410" s="166">
        <v>0</v>
      </c>
      <c r="W1410" s="166">
        <v>0</v>
      </c>
      <c r="X1410" s="164">
        <f>($L1410*'Pivot Objective'!$C$9^3)*V1410*W1410</f>
        <v>0</v>
      </c>
      <c r="Y1410" s="166">
        <v>0</v>
      </c>
      <c r="Z1410" s="166">
        <v>0</v>
      </c>
      <c r="AA1410" s="164">
        <f>($L1410*'Pivot Objective'!$C$9^4)*Y1410*Z1410</f>
        <v>0</v>
      </c>
      <c r="AB1410" s="166">
        <v>0</v>
      </c>
      <c r="AC1410" s="166">
        <v>0</v>
      </c>
      <c r="AD1410" s="164">
        <f>($L1410*'Pivot Objective'!$C$9^5)*AB1410*AC1410</f>
        <v>0</v>
      </c>
      <c r="AE1410" s="166">
        <v>0</v>
      </c>
      <c r="AF1410" s="166">
        <v>0</v>
      </c>
      <c r="AG1410" s="164">
        <f>($L1410*'Pivot Objective'!$C$9^6)*AE1410*AF1410</f>
        <v>0</v>
      </c>
      <c r="AH1410" s="166">
        <v>0</v>
      </c>
      <c r="AI1410" s="166">
        <v>0</v>
      </c>
      <c r="AJ1410" s="164">
        <f>($L1410*'Pivot Objective'!$C$9^7)*AH1410*AI1410</f>
        <v>0</v>
      </c>
      <c r="AK1410" s="185">
        <f t="shared" si="162"/>
        <v>0</v>
      </c>
      <c r="AL1410" s="186">
        <f t="shared" si="163"/>
        <v>0</v>
      </c>
    </row>
    <row r="1411" spans="1:38" customFormat="1" ht="57.6" x14ac:dyDescent="0.3">
      <c r="A1411" s="140" t="s">
        <v>1484</v>
      </c>
      <c r="B1411" s="140">
        <v>3</v>
      </c>
      <c r="C1411" s="166" t="s">
        <v>696</v>
      </c>
      <c r="D1411" s="140" t="str">
        <f t="shared" si="165"/>
        <v>1</v>
      </c>
      <c r="E1411" s="166" t="s">
        <v>689</v>
      </c>
      <c r="F1411" s="140">
        <f t="shared" si="164"/>
        <v>2</v>
      </c>
      <c r="G1411" s="140" t="str">
        <f t="shared" si="166"/>
        <v>3.1.2</v>
      </c>
      <c r="H1411" s="166" t="s">
        <v>1715</v>
      </c>
      <c r="I1411" s="166" t="s">
        <v>5</v>
      </c>
      <c r="J1411" s="166" t="s">
        <v>197</v>
      </c>
      <c r="K1411" s="166" t="s">
        <v>718</v>
      </c>
      <c r="L1411" s="177">
        <v>0</v>
      </c>
      <c r="M1411" s="140"/>
      <c r="N1411" s="140"/>
      <c r="O1411" s="164">
        <f t="shared" ref="O1411:O1474" si="167">$L1411*M1411*N1411</f>
        <v>0</v>
      </c>
      <c r="P1411" s="166">
        <v>0</v>
      </c>
      <c r="Q1411" s="166">
        <v>0</v>
      </c>
      <c r="R1411" s="164">
        <f>$L1411*'Pivot Objective'!$C$9*P1411*Q1411</f>
        <v>0</v>
      </c>
      <c r="S1411" s="166">
        <v>0</v>
      </c>
      <c r="T1411" s="166">
        <v>0</v>
      </c>
      <c r="U1411" s="164">
        <f>($L1411*'Pivot Objective'!$C$9^2)*S1411*T1411</f>
        <v>0</v>
      </c>
      <c r="V1411" s="166">
        <v>0</v>
      </c>
      <c r="W1411" s="166">
        <v>0</v>
      </c>
      <c r="X1411" s="164">
        <f>($L1411*'Pivot Objective'!$C$9^3)*V1411*W1411</f>
        <v>0</v>
      </c>
      <c r="Y1411" s="166">
        <v>0</v>
      </c>
      <c r="Z1411" s="166">
        <v>0</v>
      </c>
      <c r="AA1411" s="164">
        <f>($L1411*'Pivot Objective'!$C$9^4)*Y1411*Z1411</f>
        <v>0</v>
      </c>
      <c r="AB1411" s="166">
        <v>0</v>
      </c>
      <c r="AC1411" s="166">
        <v>0</v>
      </c>
      <c r="AD1411" s="164">
        <f>($L1411*'Pivot Objective'!$C$9^5)*AB1411*AC1411</f>
        <v>0</v>
      </c>
      <c r="AE1411" s="166">
        <v>0</v>
      </c>
      <c r="AF1411" s="166">
        <v>0</v>
      </c>
      <c r="AG1411" s="164">
        <f>($L1411*'Pivot Objective'!$C$9^6)*AE1411*AF1411</f>
        <v>0</v>
      </c>
      <c r="AH1411" s="166">
        <v>0</v>
      </c>
      <c r="AI1411" s="166">
        <v>0</v>
      </c>
      <c r="AJ1411" s="164">
        <f>($L1411*'Pivot Objective'!$C$9^7)*AH1411*AI1411</f>
        <v>0</v>
      </c>
      <c r="AK1411" s="185">
        <f t="shared" ref="AK1411:AK1474" si="168">O1411+R1411+U1411+X1411+AA1411+AD1411+AG1411+AJ1411</f>
        <v>0</v>
      </c>
      <c r="AL1411" s="186">
        <f t="shared" ref="AL1411:AL1474" si="169">AK1411/$AP$2</f>
        <v>0</v>
      </c>
    </row>
    <row r="1412" spans="1:38" customFormat="1" ht="57.6" x14ac:dyDescent="0.3">
      <c r="A1412" s="140" t="s">
        <v>1484</v>
      </c>
      <c r="B1412" s="140">
        <v>3</v>
      </c>
      <c r="C1412" s="166" t="s">
        <v>696</v>
      </c>
      <c r="D1412" s="140" t="str">
        <f t="shared" si="165"/>
        <v>1</v>
      </c>
      <c r="E1412" s="166" t="s">
        <v>689</v>
      </c>
      <c r="F1412" s="140">
        <f t="shared" si="164"/>
        <v>2</v>
      </c>
      <c r="G1412" s="140" t="str">
        <f t="shared" si="166"/>
        <v>3.1.2</v>
      </c>
      <c r="H1412" s="166" t="s">
        <v>1715</v>
      </c>
      <c r="I1412" s="166" t="s">
        <v>5</v>
      </c>
      <c r="J1412" s="166" t="s">
        <v>198</v>
      </c>
      <c r="K1412" s="166" t="s">
        <v>718</v>
      </c>
      <c r="L1412" s="177">
        <v>0</v>
      </c>
      <c r="M1412" s="140"/>
      <c r="N1412" s="140"/>
      <c r="O1412" s="164">
        <f t="shared" si="167"/>
        <v>0</v>
      </c>
      <c r="P1412" s="166">
        <v>0</v>
      </c>
      <c r="Q1412" s="166">
        <v>0</v>
      </c>
      <c r="R1412" s="164">
        <f>$L1412*'Pivot Objective'!$C$9*P1412*Q1412</f>
        <v>0</v>
      </c>
      <c r="S1412" s="166">
        <v>0</v>
      </c>
      <c r="T1412" s="166">
        <v>0</v>
      </c>
      <c r="U1412" s="164">
        <f>($L1412*'Pivot Objective'!$C$9^2)*S1412*T1412</f>
        <v>0</v>
      </c>
      <c r="V1412" s="166">
        <v>0</v>
      </c>
      <c r="W1412" s="166">
        <v>0</v>
      </c>
      <c r="X1412" s="164">
        <f>($L1412*'Pivot Objective'!$C$9^3)*V1412*W1412</f>
        <v>0</v>
      </c>
      <c r="Y1412" s="166">
        <v>0</v>
      </c>
      <c r="Z1412" s="166">
        <v>0</v>
      </c>
      <c r="AA1412" s="164">
        <f>($L1412*'Pivot Objective'!$C$9^4)*Y1412*Z1412</f>
        <v>0</v>
      </c>
      <c r="AB1412" s="166">
        <v>0</v>
      </c>
      <c r="AC1412" s="166">
        <v>0</v>
      </c>
      <c r="AD1412" s="164">
        <f>($L1412*'Pivot Objective'!$C$9^5)*AB1412*AC1412</f>
        <v>0</v>
      </c>
      <c r="AE1412" s="166">
        <v>0</v>
      </c>
      <c r="AF1412" s="166">
        <v>0</v>
      </c>
      <c r="AG1412" s="164">
        <f>($L1412*'Pivot Objective'!$C$9^6)*AE1412*AF1412</f>
        <v>0</v>
      </c>
      <c r="AH1412" s="166">
        <v>0</v>
      </c>
      <c r="AI1412" s="166">
        <v>0</v>
      </c>
      <c r="AJ1412" s="164">
        <f>($L1412*'Pivot Objective'!$C$9^7)*AH1412*AI1412</f>
        <v>0</v>
      </c>
      <c r="AK1412" s="185">
        <f t="shared" si="168"/>
        <v>0</v>
      </c>
      <c r="AL1412" s="186">
        <f t="shared" si="169"/>
        <v>0</v>
      </c>
    </row>
    <row r="1413" spans="1:38" customFormat="1" ht="57.6" x14ac:dyDescent="0.3">
      <c r="A1413" s="140" t="s">
        <v>1484</v>
      </c>
      <c r="B1413" s="140">
        <v>3</v>
      </c>
      <c r="C1413" s="166" t="s">
        <v>696</v>
      </c>
      <c r="D1413" s="140" t="str">
        <f t="shared" si="165"/>
        <v>1</v>
      </c>
      <c r="E1413" s="166" t="s">
        <v>689</v>
      </c>
      <c r="F1413" s="140">
        <f t="shared" si="164"/>
        <v>2</v>
      </c>
      <c r="G1413" s="140" t="str">
        <f t="shared" si="166"/>
        <v>3.1.2</v>
      </c>
      <c r="H1413" s="166" t="s">
        <v>1715</v>
      </c>
      <c r="I1413" s="166" t="s">
        <v>5</v>
      </c>
      <c r="J1413" s="166" t="s">
        <v>199</v>
      </c>
      <c r="K1413" s="166" t="s">
        <v>718</v>
      </c>
      <c r="L1413" s="177">
        <v>0</v>
      </c>
      <c r="M1413" s="140"/>
      <c r="N1413" s="140"/>
      <c r="O1413" s="164">
        <f t="shared" si="167"/>
        <v>0</v>
      </c>
      <c r="P1413" s="166">
        <v>0</v>
      </c>
      <c r="Q1413" s="166">
        <v>0</v>
      </c>
      <c r="R1413" s="164">
        <f>$L1413*'Pivot Objective'!$C$9*P1413*Q1413</f>
        <v>0</v>
      </c>
      <c r="S1413" s="166">
        <v>0</v>
      </c>
      <c r="T1413" s="166">
        <v>0</v>
      </c>
      <c r="U1413" s="164">
        <f>($L1413*'Pivot Objective'!$C$9^2)*S1413*T1413</f>
        <v>0</v>
      </c>
      <c r="V1413" s="166">
        <v>0</v>
      </c>
      <c r="W1413" s="166">
        <v>0</v>
      </c>
      <c r="X1413" s="164">
        <f>($L1413*'Pivot Objective'!$C$9^3)*V1413*W1413</f>
        <v>0</v>
      </c>
      <c r="Y1413" s="166">
        <v>0</v>
      </c>
      <c r="Z1413" s="166">
        <v>0</v>
      </c>
      <c r="AA1413" s="164">
        <f>($L1413*'Pivot Objective'!$C$9^4)*Y1413*Z1413</f>
        <v>0</v>
      </c>
      <c r="AB1413" s="166">
        <v>0</v>
      </c>
      <c r="AC1413" s="166">
        <v>0</v>
      </c>
      <c r="AD1413" s="164">
        <f>($L1413*'Pivot Objective'!$C$9^5)*AB1413*AC1413</f>
        <v>0</v>
      </c>
      <c r="AE1413" s="166">
        <v>0</v>
      </c>
      <c r="AF1413" s="166">
        <v>0</v>
      </c>
      <c r="AG1413" s="164">
        <f>($L1413*'Pivot Objective'!$C$9^6)*AE1413*AF1413</f>
        <v>0</v>
      </c>
      <c r="AH1413" s="166">
        <v>0</v>
      </c>
      <c r="AI1413" s="166">
        <v>0</v>
      </c>
      <c r="AJ1413" s="164">
        <f>($L1413*'Pivot Objective'!$C$9^7)*AH1413*AI1413</f>
        <v>0</v>
      </c>
      <c r="AK1413" s="185">
        <f t="shared" si="168"/>
        <v>0</v>
      </c>
      <c r="AL1413" s="186">
        <f t="shared" si="169"/>
        <v>0</v>
      </c>
    </row>
    <row r="1414" spans="1:38" customFormat="1" ht="57.6" x14ac:dyDescent="0.3">
      <c r="A1414" s="140" t="s">
        <v>1484</v>
      </c>
      <c r="B1414" s="140">
        <v>3</v>
      </c>
      <c r="C1414" s="166" t="s">
        <v>696</v>
      </c>
      <c r="D1414" s="140" t="str">
        <f t="shared" si="165"/>
        <v>1</v>
      </c>
      <c r="E1414" s="166" t="s">
        <v>689</v>
      </c>
      <c r="F1414" s="140">
        <f t="shared" si="164"/>
        <v>2</v>
      </c>
      <c r="G1414" s="140" t="str">
        <f t="shared" si="166"/>
        <v>3.1.2</v>
      </c>
      <c r="H1414" s="166" t="s">
        <v>1715</v>
      </c>
      <c r="I1414" s="166" t="s">
        <v>5</v>
      </c>
      <c r="J1414" s="166" t="s">
        <v>200</v>
      </c>
      <c r="K1414" s="166" t="s">
        <v>713</v>
      </c>
      <c r="L1414" s="177">
        <v>45000</v>
      </c>
      <c r="M1414" s="140"/>
      <c r="N1414" s="140"/>
      <c r="O1414" s="164">
        <f t="shared" si="167"/>
        <v>0</v>
      </c>
      <c r="P1414" s="166">
        <v>25</v>
      </c>
      <c r="Q1414" s="166">
        <v>11</v>
      </c>
      <c r="R1414" s="164">
        <f>$L1414*'Pivot Objective'!$C$9*P1414*Q1414</f>
        <v>14143648.575374996</v>
      </c>
      <c r="S1414" s="166">
        <v>0</v>
      </c>
      <c r="T1414" s="166">
        <v>0</v>
      </c>
      <c r="U1414" s="164">
        <f>($L1414*'Pivot Objective'!$C$9^2)*S1414*T1414</f>
        <v>0</v>
      </c>
      <c r="V1414" s="166">
        <v>0</v>
      </c>
      <c r="W1414" s="166">
        <v>0</v>
      </c>
      <c r="X1414" s="164">
        <f>($L1414*'Pivot Objective'!$C$9^3)*V1414*W1414</f>
        <v>0</v>
      </c>
      <c r="Y1414" s="166">
        <v>15</v>
      </c>
      <c r="Z1414" s="166">
        <v>10</v>
      </c>
      <c r="AA1414" s="164">
        <f>($L1414*'Pivot Objective'!$C$9^4)*Y1414*Z1414</f>
        <v>11517779.77259263</v>
      </c>
      <c r="AB1414" s="166">
        <v>0</v>
      </c>
      <c r="AC1414" s="166">
        <v>0</v>
      </c>
      <c r="AD1414" s="164">
        <f>($L1414*'Pivot Objective'!$C$9^5)*AB1414*AC1414</f>
        <v>0</v>
      </c>
      <c r="AE1414" s="166">
        <v>0</v>
      </c>
      <c r="AF1414" s="166">
        <v>0</v>
      </c>
      <c r="AG1414" s="164">
        <f>($L1414*'Pivot Objective'!$C$9^6)*AE1414*AF1414</f>
        <v>0</v>
      </c>
      <c r="AH1414" s="166">
        <v>25</v>
      </c>
      <c r="AI1414" s="166">
        <v>11</v>
      </c>
      <c r="AJ1414" s="164">
        <f>($L1414*'Pivot Objective'!$C$9^7)*AH1414*AI1414</f>
        <v>31525280.042250007</v>
      </c>
      <c r="AK1414" s="185">
        <f t="shared" si="168"/>
        <v>57186708.390217632</v>
      </c>
      <c r="AL1414" s="186">
        <f t="shared" si="169"/>
        <v>55521.076107007408</v>
      </c>
    </row>
    <row r="1415" spans="1:38" customFormat="1" ht="57.6" x14ac:dyDescent="0.3">
      <c r="A1415" s="140" t="s">
        <v>1484</v>
      </c>
      <c r="B1415" s="140">
        <v>3</v>
      </c>
      <c r="C1415" s="166" t="s">
        <v>696</v>
      </c>
      <c r="D1415" s="140" t="str">
        <f t="shared" si="165"/>
        <v>1</v>
      </c>
      <c r="E1415" s="166" t="s">
        <v>689</v>
      </c>
      <c r="F1415" s="140">
        <f t="shared" si="164"/>
        <v>2</v>
      </c>
      <c r="G1415" s="140" t="str">
        <f t="shared" si="166"/>
        <v>3.1.2</v>
      </c>
      <c r="H1415" s="166" t="s">
        <v>1715</v>
      </c>
      <c r="I1415" s="166" t="s">
        <v>5</v>
      </c>
      <c r="J1415" s="166" t="s">
        <v>200</v>
      </c>
      <c r="K1415" s="166" t="s">
        <v>712</v>
      </c>
      <c r="L1415" s="177">
        <f>1480/7</f>
        <v>211.42857142857142</v>
      </c>
      <c r="M1415" s="140"/>
      <c r="N1415" s="140"/>
      <c r="O1415" s="164">
        <f t="shared" si="167"/>
        <v>0</v>
      </c>
      <c r="P1415" s="166">
        <f>2*25*9</f>
        <v>450</v>
      </c>
      <c r="Q1415" s="166">
        <v>10</v>
      </c>
      <c r="R1415" s="164">
        <f>$L1415*'Pivot Objective'!$C$9*P1415*Q1415</f>
        <v>1087407.7865742855</v>
      </c>
      <c r="S1415" s="166">
        <v>0</v>
      </c>
      <c r="T1415" s="166">
        <v>0</v>
      </c>
      <c r="U1415" s="164">
        <f>($L1415*'Pivot Objective'!$C$9^2)*S1415*T1415</f>
        <v>0</v>
      </c>
      <c r="V1415" s="166">
        <v>0</v>
      </c>
      <c r="W1415" s="166">
        <v>0</v>
      </c>
      <c r="X1415" s="164">
        <f>($L1415*'Pivot Objective'!$C$9^3)*V1415*W1415</f>
        <v>0</v>
      </c>
      <c r="Y1415" s="166">
        <v>20000</v>
      </c>
      <c r="Z1415" s="166">
        <v>1</v>
      </c>
      <c r="AA1415" s="164">
        <f>($L1415*'Pivot Objective'!$C$9^4)*Y1415*Z1415</f>
        <v>7215371.0321426839</v>
      </c>
      <c r="AB1415" s="166">
        <v>0</v>
      </c>
      <c r="AC1415" s="166">
        <v>0</v>
      </c>
      <c r="AD1415" s="164">
        <f>($L1415*'Pivot Objective'!$C$9^5)*AB1415*AC1415</f>
        <v>0</v>
      </c>
      <c r="AE1415" s="166">
        <v>0</v>
      </c>
      <c r="AF1415" s="166">
        <v>0</v>
      </c>
      <c r="AG1415" s="164">
        <f>($L1415*'Pivot Objective'!$C$9^6)*AE1415*AF1415</f>
        <v>0</v>
      </c>
      <c r="AH1415" s="166">
        <f>2*25*9</f>
        <v>450</v>
      </c>
      <c r="AI1415" s="166">
        <v>10</v>
      </c>
      <c r="AJ1415" s="164">
        <f>($L1415*'Pivot Objective'!$C$9^7)*AH1415*AI1415</f>
        <v>2423761.7902612989</v>
      </c>
      <c r="AK1415" s="185">
        <f t="shared" si="168"/>
        <v>10726540.608978268</v>
      </c>
      <c r="AL1415" s="186">
        <f t="shared" si="169"/>
        <v>10414.117096095406</v>
      </c>
    </row>
    <row r="1416" spans="1:38" customFormat="1" ht="57.6" x14ac:dyDescent="0.3">
      <c r="A1416" s="140" t="s">
        <v>1484</v>
      </c>
      <c r="B1416" s="140">
        <v>3</v>
      </c>
      <c r="C1416" s="166" t="s">
        <v>696</v>
      </c>
      <c r="D1416" s="140" t="str">
        <f t="shared" si="165"/>
        <v>1</v>
      </c>
      <c r="E1416" s="166" t="s">
        <v>689</v>
      </c>
      <c r="F1416" s="140">
        <f t="shared" si="164"/>
        <v>2</v>
      </c>
      <c r="G1416" s="140" t="str">
        <f t="shared" si="166"/>
        <v>3.1.2</v>
      </c>
      <c r="H1416" s="166" t="s">
        <v>1715</v>
      </c>
      <c r="I1416" s="166" t="s">
        <v>5</v>
      </c>
      <c r="J1416" s="166" t="s">
        <v>200</v>
      </c>
      <c r="K1416" s="166" t="s">
        <v>1350</v>
      </c>
      <c r="L1416" s="177">
        <f>1480/7</f>
        <v>211.42857142857142</v>
      </c>
      <c r="M1416" s="140"/>
      <c r="N1416" s="140"/>
      <c r="O1416" s="164">
        <f t="shared" si="167"/>
        <v>0</v>
      </c>
      <c r="P1416" s="166">
        <f>2*135*9</f>
        <v>2430</v>
      </c>
      <c r="Q1416" s="166">
        <v>1</v>
      </c>
      <c r="R1416" s="164">
        <f>$L1416*'Pivot Objective'!$C$9*P1416*Q1416</f>
        <v>587200.20475011424</v>
      </c>
      <c r="S1416" s="166"/>
      <c r="T1416" s="166"/>
      <c r="U1416" s="164">
        <f>($L1416*'Pivot Objective'!$C$9^2)*S1416*T1416</f>
        <v>0</v>
      </c>
      <c r="V1416" s="166"/>
      <c r="W1416" s="166"/>
      <c r="X1416" s="164">
        <f>($L1416*'Pivot Objective'!$C$9^3)*V1416*W1416</f>
        <v>0</v>
      </c>
      <c r="Y1416" s="166"/>
      <c r="Z1416" s="166"/>
      <c r="AA1416" s="164">
        <f>($L1416*'Pivot Objective'!$C$9^4)*Y1416*Z1416</f>
        <v>0</v>
      </c>
      <c r="AB1416" s="166"/>
      <c r="AC1416" s="166"/>
      <c r="AD1416" s="164">
        <f>($L1416*'Pivot Objective'!$C$9^5)*AB1416*AC1416</f>
        <v>0</v>
      </c>
      <c r="AE1416" s="166"/>
      <c r="AF1416" s="166"/>
      <c r="AG1416" s="164">
        <f>($L1416*'Pivot Objective'!$C$9^6)*AE1416*AF1416</f>
        <v>0</v>
      </c>
      <c r="AH1416" s="166">
        <f>2*135*9</f>
        <v>2430</v>
      </c>
      <c r="AI1416" s="166">
        <v>1</v>
      </c>
      <c r="AJ1416" s="164">
        <f>($L1416*'Pivot Objective'!$C$9^7)*AH1416*AI1416</f>
        <v>1308831.3667411015</v>
      </c>
      <c r="AK1416" s="185">
        <f t="shared" si="168"/>
        <v>1896031.5714912158</v>
      </c>
      <c r="AL1416" s="186">
        <f t="shared" si="169"/>
        <v>1840.8073509623455</v>
      </c>
    </row>
    <row r="1417" spans="1:38" customFormat="1" ht="57.6" x14ac:dyDescent="0.3">
      <c r="A1417" s="140" t="s">
        <v>1484</v>
      </c>
      <c r="B1417" s="140">
        <v>3</v>
      </c>
      <c r="C1417" s="166" t="s">
        <v>696</v>
      </c>
      <c r="D1417" s="140" t="str">
        <f t="shared" si="165"/>
        <v>1</v>
      </c>
      <c r="E1417" s="166" t="s">
        <v>689</v>
      </c>
      <c r="F1417" s="140">
        <f t="shared" si="164"/>
        <v>2</v>
      </c>
      <c r="G1417" s="140" t="str">
        <f t="shared" si="166"/>
        <v>3.1.2</v>
      </c>
      <c r="H1417" s="166" t="s">
        <v>1715</v>
      </c>
      <c r="I1417" s="166" t="s">
        <v>5</v>
      </c>
      <c r="J1417" s="166" t="s">
        <v>200</v>
      </c>
      <c r="K1417" s="166" t="s">
        <v>714</v>
      </c>
      <c r="L1417" s="177">
        <v>10000</v>
      </c>
      <c r="M1417" s="140"/>
      <c r="N1417" s="140"/>
      <c r="O1417" s="164">
        <f t="shared" si="167"/>
        <v>0</v>
      </c>
      <c r="P1417" s="166">
        <v>15</v>
      </c>
      <c r="Q1417" s="166">
        <v>1</v>
      </c>
      <c r="R1417" s="164">
        <f>$L1417*'Pivot Objective'!$C$9*P1417*Q1417</f>
        <v>171438.16454999999</v>
      </c>
      <c r="S1417" s="166">
        <v>0</v>
      </c>
      <c r="T1417" s="166">
        <v>0</v>
      </c>
      <c r="U1417" s="164">
        <f>($L1417*'Pivot Objective'!$C$9^2)*S1417*T1417</f>
        <v>0</v>
      </c>
      <c r="V1417" s="166">
        <v>0</v>
      </c>
      <c r="W1417" s="166">
        <v>0</v>
      </c>
      <c r="X1417" s="164">
        <f>($L1417*'Pivot Objective'!$C$9^3)*V1417*W1417</f>
        <v>0</v>
      </c>
      <c r="Y1417" s="166">
        <v>15</v>
      </c>
      <c r="Z1417" s="166">
        <v>1</v>
      </c>
      <c r="AA1417" s="164">
        <f>($L1417*'Pivot Objective'!$C$9^4)*Y1417*Z1417</f>
        <v>255950.66161316959</v>
      </c>
      <c r="AB1417" s="166">
        <v>0</v>
      </c>
      <c r="AC1417" s="166">
        <v>0</v>
      </c>
      <c r="AD1417" s="164">
        <f>($L1417*'Pivot Objective'!$C$9^5)*AB1417*AC1417</f>
        <v>0</v>
      </c>
      <c r="AE1417" s="166">
        <v>0</v>
      </c>
      <c r="AF1417" s="166">
        <v>0</v>
      </c>
      <c r="AG1417" s="164">
        <f>($L1417*'Pivot Objective'!$C$9^6)*AE1417*AF1417</f>
        <v>0</v>
      </c>
      <c r="AH1417" s="166">
        <v>15</v>
      </c>
      <c r="AI1417" s="166">
        <v>1</v>
      </c>
      <c r="AJ1417" s="164">
        <f>($L1417*'Pivot Objective'!$C$9^7)*AH1417*AI1417</f>
        <v>382124.60657272732</v>
      </c>
      <c r="AK1417" s="185">
        <f t="shared" si="168"/>
        <v>809513.4327358969</v>
      </c>
      <c r="AL1417" s="186">
        <f t="shared" si="169"/>
        <v>785.93537158824938</v>
      </c>
    </row>
    <row r="1418" spans="1:38" customFormat="1" ht="57.6" x14ac:dyDescent="0.3">
      <c r="A1418" s="140" t="s">
        <v>1484</v>
      </c>
      <c r="B1418" s="140">
        <v>3</v>
      </c>
      <c r="C1418" s="166" t="s">
        <v>696</v>
      </c>
      <c r="D1418" s="140" t="str">
        <f t="shared" si="165"/>
        <v>1</v>
      </c>
      <c r="E1418" s="166" t="s">
        <v>689</v>
      </c>
      <c r="F1418" s="140">
        <f t="shared" si="164"/>
        <v>2</v>
      </c>
      <c r="G1418" s="140" t="str">
        <f t="shared" si="166"/>
        <v>3.1.2</v>
      </c>
      <c r="H1418" s="166" t="s">
        <v>1715</v>
      </c>
      <c r="I1418" s="166" t="s">
        <v>5</v>
      </c>
      <c r="J1418" s="166" t="s">
        <v>200</v>
      </c>
      <c r="K1418" s="166" t="s">
        <v>715</v>
      </c>
      <c r="L1418" s="177">
        <v>302000</v>
      </c>
      <c r="M1418" s="140"/>
      <c r="N1418" s="140"/>
      <c r="O1418" s="164">
        <f t="shared" si="167"/>
        <v>0</v>
      </c>
      <c r="P1418" s="166">
        <v>15</v>
      </c>
      <c r="Q1418" s="166">
        <v>1</v>
      </c>
      <c r="R1418" s="164">
        <f>$L1418*'Pivot Objective'!$C$9*P1418*Q1418</f>
        <v>5177432.5694099991</v>
      </c>
      <c r="S1418" s="166">
        <v>0</v>
      </c>
      <c r="T1418" s="166">
        <v>0</v>
      </c>
      <c r="U1418" s="164">
        <f>($L1418*'Pivot Objective'!$C$9^2)*S1418*T1418</f>
        <v>0</v>
      </c>
      <c r="V1418" s="166">
        <v>0</v>
      </c>
      <c r="W1418" s="166">
        <v>0</v>
      </c>
      <c r="X1418" s="164">
        <f>($L1418*'Pivot Objective'!$C$9^3)*V1418*W1418</f>
        <v>0</v>
      </c>
      <c r="Y1418" s="166">
        <v>20</v>
      </c>
      <c r="Z1418" s="166">
        <v>1</v>
      </c>
      <c r="AA1418" s="164">
        <f>($L1418*'Pivot Objective'!$C$9^4)*Y1418*Z1418</f>
        <v>10306279.974290295</v>
      </c>
      <c r="AB1418" s="166">
        <v>0</v>
      </c>
      <c r="AC1418" s="166">
        <v>0</v>
      </c>
      <c r="AD1418" s="164">
        <f>($L1418*'Pivot Objective'!$C$9^5)*AB1418*AC1418</f>
        <v>0</v>
      </c>
      <c r="AE1418" s="166">
        <v>0</v>
      </c>
      <c r="AF1418" s="166">
        <v>0</v>
      </c>
      <c r="AG1418" s="164">
        <f>($L1418*'Pivot Objective'!$C$9^6)*AE1418*AF1418</f>
        <v>0</v>
      </c>
      <c r="AH1418" s="166">
        <v>15</v>
      </c>
      <c r="AI1418" s="166">
        <v>1</v>
      </c>
      <c r="AJ1418" s="164">
        <f>($L1418*'Pivot Objective'!$C$9^7)*AH1418*AI1418</f>
        <v>11540163.118496366</v>
      </c>
      <c r="AK1418" s="185">
        <f t="shared" si="168"/>
        <v>27023875.662196659</v>
      </c>
      <c r="AL1418" s="186">
        <f t="shared" si="169"/>
        <v>26236.772487569571</v>
      </c>
    </row>
    <row r="1419" spans="1:38" customFormat="1" ht="57.6" x14ac:dyDescent="0.3">
      <c r="A1419" s="140" t="s">
        <v>1484</v>
      </c>
      <c r="B1419" s="140">
        <v>3</v>
      </c>
      <c r="C1419" s="166" t="s">
        <v>696</v>
      </c>
      <c r="D1419" s="140" t="str">
        <f t="shared" si="165"/>
        <v>1</v>
      </c>
      <c r="E1419" s="166" t="s">
        <v>689</v>
      </c>
      <c r="F1419" s="140">
        <f t="shared" si="164"/>
        <v>2</v>
      </c>
      <c r="G1419" s="140" t="str">
        <f t="shared" si="166"/>
        <v>3.1.2</v>
      </c>
      <c r="H1419" s="166" t="s">
        <v>1715</v>
      </c>
      <c r="I1419" s="166" t="s">
        <v>5</v>
      </c>
      <c r="J1419" s="166" t="s">
        <v>152</v>
      </c>
      <c r="K1419" s="166" t="s">
        <v>716</v>
      </c>
      <c r="L1419" s="177">
        <v>39000</v>
      </c>
      <c r="M1419" s="140"/>
      <c r="N1419" s="140"/>
      <c r="O1419" s="164">
        <f t="shared" si="167"/>
        <v>0</v>
      </c>
      <c r="P1419" s="166">
        <v>25</v>
      </c>
      <c r="Q1419" s="166">
        <v>6</v>
      </c>
      <c r="R1419" s="164">
        <f>$L1419*'Pivot Objective'!$C$9*P1419*Q1419</f>
        <v>6686088.4174499996</v>
      </c>
      <c r="S1419" s="166">
        <v>0</v>
      </c>
      <c r="T1419" s="166">
        <v>0</v>
      </c>
      <c r="U1419" s="164">
        <f>($L1419*'Pivot Objective'!$C$9^2)*S1419*T1419</f>
        <v>0</v>
      </c>
      <c r="V1419" s="166">
        <v>0</v>
      </c>
      <c r="W1419" s="166">
        <v>0</v>
      </c>
      <c r="X1419" s="164">
        <f>($L1419*'Pivot Objective'!$C$9^3)*V1419*W1419</f>
        <v>0</v>
      </c>
      <c r="Y1419" s="166">
        <v>15</v>
      </c>
      <c r="Z1419" s="166">
        <v>5</v>
      </c>
      <c r="AA1419" s="164">
        <f>($L1419*'Pivot Objective'!$C$9^4)*Y1419*Z1419</f>
        <v>4991037.9014568068</v>
      </c>
      <c r="AB1419" s="166">
        <v>0</v>
      </c>
      <c r="AC1419" s="166">
        <v>0</v>
      </c>
      <c r="AD1419" s="164">
        <f>($L1419*'Pivot Objective'!$C$9^5)*AB1419*AC1419</f>
        <v>0</v>
      </c>
      <c r="AE1419" s="166">
        <v>0</v>
      </c>
      <c r="AF1419" s="166">
        <v>0</v>
      </c>
      <c r="AG1419" s="164">
        <f>($L1419*'Pivot Objective'!$C$9^6)*AE1419*AF1419</f>
        <v>0</v>
      </c>
      <c r="AH1419" s="166">
        <v>25</v>
      </c>
      <c r="AI1419" s="166">
        <v>6</v>
      </c>
      <c r="AJ1419" s="164">
        <f>($L1419*'Pivot Objective'!$C$9^7)*AH1419*AI1419</f>
        <v>14902859.656336365</v>
      </c>
      <c r="AK1419" s="185">
        <f t="shared" si="168"/>
        <v>26579985.975243174</v>
      </c>
      <c r="AL1419" s="186">
        <f t="shared" si="169"/>
        <v>25805.811626449682</v>
      </c>
    </row>
    <row r="1420" spans="1:38" customFormat="1" ht="57.6" x14ac:dyDescent="0.3">
      <c r="A1420" s="140" t="s">
        <v>1484</v>
      </c>
      <c r="B1420" s="140">
        <v>3</v>
      </c>
      <c r="C1420" s="166" t="s">
        <v>696</v>
      </c>
      <c r="D1420" s="140" t="str">
        <f t="shared" si="165"/>
        <v>1</v>
      </c>
      <c r="E1420" s="166" t="s">
        <v>689</v>
      </c>
      <c r="F1420" s="140">
        <f t="shared" si="164"/>
        <v>2</v>
      </c>
      <c r="G1420" s="140" t="str">
        <f t="shared" si="166"/>
        <v>3.1.2</v>
      </c>
      <c r="H1420" s="166" t="s">
        <v>1715</v>
      </c>
      <c r="I1420" s="166" t="s">
        <v>5</v>
      </c>
      <c r="J1420" s="166" t="s">
        <v>152</v>
      </c>
      <c r="K1420" s="166" t="s">
        <v>709</v>
      </c>
      <c r="L1420" s="177">
        <v>35000</v>
      </c>
      <c r="M1420" s="140"/>
      <c r="N1420" s="140"/>
      <c r="O1420" s="164">
        <f t="shared" si="167"/>
        <v>0</v>
      </c>
      <c r="P1420" s="166">
        <v>25</v>
      </c>
      <c r="Q1420" s="166">
        <v>5</v>
      </c>
      <c r="R1420" s="164">
        <f>$L1420*'Pivot Objective'!$C$9*P1420*Q1420</f>
        <v>5000279.7993749995</v>
      </c>
      <c r="S1420" s="166">
        <v>0</v>
      </c>
      <c r="T1420" s="166">
        <v>0</v>
      </c>
      <c r="U1420" s="164">
        <f>($L1420*'Pivot Objective'!$C$9^2)*S1420*T1420</f>
        <v>0</v>
      </c>
      <c r="V1420" s="166">
        <v>0</v>
      </c>
      <c r="W1420" s="166">
        <v>0</v>
      </c>
      <c r="X1420" s="164">
        <f>($L1420*'Pivot Objective'!$C$9^3)*V1420*W1420</f>
        <v>0</v>
      </c>
      <c r="Y1420" s="166">
        <v>15</v>
      </c>
      <c r="Z1420" s="166">
        <v>5</v>
      </c>
      <c r="AA1420" s="164">
        <f>($L1420*'Pivot Objective'!$C$9^4)*Y1420*Z1420</f>
        <v>4479136.5782304676</v>
      </c>
      <c r="AB1420" s="166">
        <v>0</v>
      </c>
      <c r="AC1420" s="166">
        <v>0</v>
      </c>
      <c r="AD1420" s="164">
        <f>($L1420*'Pivot Objective'!$C$9^5)*AB1420*AC1420</f>
        <v>0</v>
      </c>
      <c r="AE1420" s="166">
        <v>0</v>
      </c>
      <c r="AF1420" s="166">
        <v>0</v>
      </c>
      <c r="AG1420" s="164">
        <f>($L1420*'Pivot Objective'!$C$9^6)*AE1420*AF1420</f>
        <v>0</v>
      </c>
      <c r="AH1420" s="166">
        <v>25</v>
      </c>
      <c r="AI1420" s="166">
        <v>5</v>
      </c>
      <c r="AJ1420" s="164">
        <f>($L1420*'Pivot Objective'!$C$9^7)*AH1420*AI1420</f>
        <v>11145301.025037881</v>
      </c>
      <c r="AK1420" s="185">
        <f t="shared" si="168"/>
        <v>20624717.402643349</v>
      </c>
      <c r="AL1420" s="186">
        <f t="shared" si="169"/>
        <v>20023.997478294514</v>
      </c>
    </row>
    <row r="1421" spans="1:38" customFormat="1" ht="57.6" x14ac:dyDescent="0.3">
      <c r="A1421" s="140" t="s">
        <v>1484</v>
      </c>
      <c r="B1421" s="140">
        <v>3</v>
      </c>
      <c r="C1421" s="166" t="s">
        <v>696</v>
      </c>
      <c r="D1421" s="140" t="str">
        <f t="shared" si="165"/>
        <v>1</v>
      </c>
      <c r="E1421" s="166" t="s">
        <v>689</v>
      </c>
      <c r="F1421" s="140">
        <f t="shared" si="164"/>
        <v>2</v>
      </c>
      <c r="G1421" s="140" t="str">
        <f t="shared" si="166"/>
        <v>3.1.2</v>
      </c>
      <c r="H1421" s="166" t="s">
        <v>1715</v>
      </c>
      <c r="I1421" s="166" t="s">
        <v>5</v>
      </c>
      <c r="J1421" s="166" t="s">
        <v>152</v>
      </c>
      <c r="K1421" s="166" t="s">
        <v>712</v>
      </c>
      <c r="L1421" s="177">
        <f>1480/7</f>
        <v>211.42857142857142</v>
      </c>
      <c r="M1421" s="140"/>
      <c r="N1421" s="140"/>
      <c r="O1421" s="164">
        <f t="shared" si="167"/>
        <v>0</v>
      </c>
      <c r="P1421" s="166">
        <f>25*2*9</f>
        <v>450</v>
      </c>
      <c r="Q1421" s="166">
        <v>5</v>
      </c>
      <c r="R1421" s="164">
        <f>$L1421*'Pivot Objective'!$C$9*P1421*Q1421</f>
        <v>543703.89328714274</v>
      </c>
      <c r="S1421" s="166">
        <v>0</v>
      </c>
      <c r="T1421" s="166">
        <v>0</v>
      </c>
      <c r="U1421" s="164">
        <f>($L1421*'Pivot Objective'!$C$9^2)*S1421*T1421</f>
        <v>0</v>
      </c>
      <c r="V1421" s="166">
        <v>0</v>
      </c>
      <c r="W1421" s="166">
        <v>0</v>
      </c>
      <c r="X1421" s="164">
        <f>($L1421*'Pivot Objective'!$C$9^3)*V1421*W1421</f>
        <v>0</v>
      </c>
      <c r="Y1421" s="166">
        <v>4000</v>
      </c>
      <c r="Z1421" s="166">
        <v>1</v>
      </c>
      <c r="AA1421" s="164">
        <f>($L1421*'Pivot Objective'!$C$9^4)*Y1421*Z1421</f>
        <v>1443074.2064285369</v>
      </c>
      <c r="AB1421" s="166">
        <v>0</v>
      </c>
      <c r="AC1421" s="166">
        <v>0</v>
      </c>
      <c r="AD1421" s="164">
        <f>($L1421*'Pivot Objective'!$C$9^5)*AB1421*AC1421</f>
        <v>0</v>
      </c>
      <c r="AE1421" s="166">
        <v>0</v>
      </c>
      <c r="AF1421" s="166">
        <v>0</v>
      </c>
      <c r="AG1421" s="164">
        <f>($L1421*'Pivot Objective'!$C$9^6)*AE1421*AF1421</f>
        <v>0</v>
      </c>
      <c r="AH1421" s="166">
        <f>25*2*9</f>
        <v>450</v>
      </c>
      <c r="AI1421" s="166">
        <v>5</v>
      </c>
      <c r="AJ1421" s="164">
        <f>($L1421*'Pivot Objective'!$C$9^7)*AH1421*AI1421</f>
        <v>1211880.8951306494</v>
      </c>
      <c r="AK1421" s="185">
        <f t="shared" si="168"/>
        <v>3198658.9948463291</v>
      </c>
      <c r="AL1421" s="186">
        <f t="shared" si="169"/>
        <v>3105.4941697537174</v>
      </c>
    </row>
    <row r="1422" spans="1:38" customFormat="1" ht="57.6" x14ac:dyDescent="0.3">
      <c r="A1422" s="140" t="s">
        <v>1484</v>
      </c>
      <c r="B1422" s="140">
        <v>3</v>
      </c>
      <c r="C1422" s="166" t="s">
        <v>696</v>
      </c>
      <c r="D1422" s="140" t="str">
        <f t="shared" si="165"/>
        <v>1</v>
      </c>
      <c r="E1422" s="166" t="s">
        <v>689</v>
      </c>
      <c r="F1422" s="140">
        <f t="shared" si="164"/>
        <v>2</v>
      </c>
      <c r="G1422" s="140" t="str">
        <f t="shared" si="166"/>
        <v>3.1.2</v>
      </c>
      <c r="H1422" s="166" t="s">
        <v>1715</v>
      </c>
      <c r="I1422" s="166" t="s">
        <v>5</v>
      </c>
      <c r="J1422" s="166" t="s">
        <v>152</v>
      </c>
      <c r="K1422" s="166" t="s">
        <v>1350</v>
      </c>
      <c r="L1422" s="177">
        <f>1480/7</f>
        <v>211.42857142857142</v>
      </c>
      <c r="M1422" s="140"/>
      <c r="N1422" s="140"/>
      <c r="O1422" s="164">
        <f t="shared" si="167"/>
        <v>0</v>
      </c>
      <c r="P1422" s="166">
        <f>2*135*9</f>
        <v>2430</v>
      </c>
      <c r="Q1422" s="166">
        <v>1</v>
      </c>
      <c r="R1422" s="164">
        <f>$L1422*'Pivot Objective'!$C$9*P1422*Q1422</f>
        <v>587200.20475011424</v>
      </c>
      <c r="S1422" s="166"/>
      <c r="T1422" s="166"/>
      <c r="U1422" s="164">
        <f>($L1422*'Pivot Objective'!$C$9^2)*S1422*T1422</f>
        <v>0</v>
      </c>
      <c r="V1422" s="166"/>
      <c r="W1422" s="166"/>
      <c r="X1422" s="164">
        <f>($L1422*'Pivot Objective'!$C$9^3)*V1422*W1422</f>
        <v>0</v>
      </c>
      <c r="Y1422" s="166"/>
      <c r="Z1422" s="166"/>
      <c r="AA1422" s="164">
        <f>($L1422*'Pivot Objective'!$C$9^4)*Y1422*Z1422</f>
        <v>0</v>
      </c>
      <c r="AB1422" s="166"/>
      <c r="AC1422" s="166"/>
      <c r="AD1422" s="164">
        <f>($L1422*'Pivot Objective'!$C$9^5)*AB1422*AC1422</f>
        <v>0</v>
      </c>
      <c r="AE1422" s="166"/>
      <c r="AF1422" s="166"/>
      <c r="AG1422" s="164">
        <f>($L1422*'Pivot Objective'!$C$9^6)*AE1422*AF1422</f>
        <v>0</v>
      </c>
      <c r="AH1422" s="166">
        <f>2*135*9</f>
        <v>2430</v>
      </c>
      <c r="AI1422" s="166">
        <v>1</v>
      </c>
      <c r="AJ1422" s="164">
        <f>($L1422*'Pivot Objective'!$C$9^7)*AH1422*AI1422</f>
        <v>1308831.3667411015</v>
      </c>
      <c r="AK1422" s="185">
        <f t="shared" si="168"/>
        <v>1896031.5714912158</v>
      </c>
      <c r="AL1422" s="186">
        <f t="shared" si="169"/>
        <v>1840.8073509623455</v>
      </c>
    </row>
    <row r="1423" spans="1:38" customFormat="1" ht="57.6" x14ac:dyDescent="0.3">
      <c r="A1423" s="140" t="s">
        <v>1484</v>
      </c>
      <c r="B1423" s="140">
        <v>3</v>
      </c>
      <c r="C1423" s="166" t="s">
        <v>696</v>
      </c>
      <c r="D1423" s="140" t="str">
        <f t="shared" si="165"/>
        <v>1</v>
      </c>
      <c r="E1423" s="166" t="s">
        <v>689</v>
      </c>
      <c r="F1423" s="140">
        <f t="shared" si="164"/>
        <v>2</v>
      </c>
      <c r="G1423" s="140" t="str">
        <f t="shared" si="166"/>
        <v>3.1.2</v>
      </c>
      <c r="H1423" s="166" t="s">
        <v>1715</v>
      </c>
      <c r="I1423" s="166" t="s">
        <v>5</v>
      </c>
      <c r="J1423" s="166" t="s">
        <v>153</v>
      </c>
      <c r="K1423" s="166" t="s">
        <v>709</v>
      </c>
      <c r="L1423" s="177">
        <v>35000</v>
      </c>
      <c r="M1423" s="140"/>
      <c r="N1423" s="140"/>
      <c r="O1423" s="164">
        <f t="shared" si="167"/>
        <v>0</v>
      </c>
      <c r="P1423" s="166">
        <v>25</v>
      </c>
      <c r="Q1423" s="166">
        <v>3</v>
      </c>
      <c r="R1423" s="164">
        <f>$L1423*'Pivot Objective'!$C$9*P1423*Q1423</f>
        <v>3000167.8796249996</v>
      </c>
      <c r="S1423" s="166">
        <v>0</v>
      </c>
      <c r="T1423" s="166">
        <v>0</v>
      </c>
      <c r="U1423" s="164">
        <f>($L1423*'Pivot Objective'!$C$9^2)*S1423*T1423</f>
        <v>0</v>
      </c>
      <c r="V1423" s="166">
        <v>0</v>
      </c>
      <c r="W1423" s="166">
        <v>0</v>
      </c>
      <c r="X1423" s="164">
        <f>($L1423*'Pivot Objective'!$C$9^3)*V1423*W1423</f>
        <v>0</v>
      </c>
      <c r="Y1423" s="166">
        <v>15</v>
      </c>
      <c r="Z1423" s="166">
        <v>5</v>
      </c>
      <c r="AA1423" s="164">
        <f>($L1423*'Pivot Objective'!$C$9^4)*Y1423*Z1423</f>
        <v>4479136.5782304676</v>
      </c>
      <c r="AB1423" s="166">
        <v>0</v>
      </c>
      <c r="AC1423" s="166">
        <v>0</v>
      </c>
      <c r="AD1423" s="164">
        <f>($L1423*'Pivot Objective'!$C$9^5)*AB1423*AC1423</f>
        <v>0</v>
      </c>
      <c r="AE1423" s="166">
        <v>0</v>
      </c>
      <c r="AF1423" s="166">
        <v>0</v>
      </c>
      <c r="AG1423" s="164">
        <f>($L1423*'Pivot Objective'!$C$9^6)*AE1423*AF1423</f>
        <v>0</v>
      </c>
      <c r="AH1423" s="166">
        <v>25</v>
      </c>
      <c r="AI1423" s="166">
        <v>3</v>
      </c>
      <c r="AJ1423" s="164">
        <f>($L1423*'Pivot Objective'!$C$9^7)*AH1423*AI1423</f>
        <v>6687180.6150227292</v>
      </c>
      <c r="AK1423" s="185">
        <f t="shared" si="168"/>
        <v>14166485.072878197</v>
      </c>
      <c r="AL1423" s="186">
        <f t="shared" si="169"/>
        <v>13753.869002794367</v>
      </c>
    </row>
    <row r="1424" spans="1:38" customFormat="1" ht="57.6" x14ac:dyDescent="0.3">
      <c r="A1424" s="140" t="s">
        <v>1484</v>
      </c>
      <c r="B1424" s="140">
        <v>3</v>
      </c>
      <c r="C1424" s="166" t="s">
        <v>696</v>
      </c>
      <c r="D1424" s="140" t="str">
        <f t="shared" si="165"/>
        <v>1</v>
      </c>
      <c r="E1424" s="166" t="s">
        <v>689</v>
      </c>
      <c r="F1424" s="140">
        <f t="shared" si="164"/>
        <v>2</v>
      </c>
      <c r="G1424" s="140" t="str">
        <f t="shared" si="166"/>
        <v>3.1.2</v>
      </c>
      <c r="H1424" s="166" t="s">
        <v>1715</v>
      </c>
      <c r="I1424" s="166" t="s">
        <v>5</v>
      </c>
      <c r="J1424" s="166" t="s">
        <v>153</v>
      </c>
      <c r="K1424" s="166" t="s">
        <v>716</v>
      </c>
      <c r="L1424" s="177">
        <v>39000</v>
      </c>
      <c r="M1424" s="140"/>
      <c r="N1424" s="140"/>
      <c r="O1424" s="164">
        <f t="shared" si="167"/>
        <v>0</v>
      </c>
      <c r="P1424" s="166">
        <v>25</v>
      </c>
      <c r="Q1424" s="166">
        <v>4</v>
      </c>
      <c r="R1424" s="164">
        <f>$L1424*'Pivot Objective'!$C$9*P1424*Q1424</f>
        <v>4457392.2782999994</v>
      </c>
      <c r="S1424" s="166">
        <v>0</v>
      </c>
      <c r="T1424" s="166">
        <v>0</v>
      </c>
      <c r="U1424" s="164">
        <f>($L1424*'Pivot Objective'!$C$9^2)*S1424*T1424</f>
        <v>0</v>
      </c>
      <c r="V1424" s="166">
        <v>0</v>
      </c>
      <c r="W1424" s="166">
        <v>0</v>
      </c>
      <c r="X1424" s="164">
        <f>($L1424*'Pivot Objective'!$C$9^3)*V1424*W1424</f>
        <v>0</v>
      </c>
      <c r="Y1424" s="166">
        <v>15</v>
      </c>
      <c r="Z1424" s="166">
        <v>5</v>
      </c>
      <c r="AA1424" s="164">
        <f>($L1424*'Pivot Objective'!$C$9^4)*Y1424*Z1424</f>
        <v>4991037.9014568068</v>
      </c>
      <c r="AB1424" s="166">
        <v>0</v>
      </c>
      <c r="AC1424" s="166">
        <v>0</v>
      </c>
      <c r="AD1424" s="164">
        <f>($L1424*'Pivot Objective'!$C$9^5)*AB1424*AC1424</f>
        <v>0</v>
      </c>
      <c r="AE1424" s="166">
        <v>0</v>
      </c>
      <c r="AF1424" s="166">
        <v>0</v>
      </c>
      <c r="AG1424" s="164">
        <f>($L1424*'Pivot Objective'!$C$9^6)*AE1424*AF1424</f>
        <v>0</v>
      </c>
      <c r="AH1424" s="166">
        <v>25</v>
      </c>
      <c r="AI1424" s="166">
        <v>4</v>
      </c>
      <c r="AJ1424" s="164">
        <f>($L1424*'Pivot Objective'!$C$9^7)*AH1424*AI1424</f>
        <v>9935239.7708909102</v>
      </c>
      <c r="AK1424" s="185">
        <f t="shared" si="168"/>
        <v>19383669.950647715</v>
      </c>
      <c r="AL1424" s="186">
        <f t="shared" si="169"/>
        <v>18819.097039463803</v>
      </c>
    </row>
    <row r="1425" spans="1:38" customFormat="1" ht="57.6" x14ac:dyDescent="0.3">
      <c r="A1425" s="140" t="s">
        <v>1484</v>
      </c>
      <c r="B1425" s="140">
        <v>3</v>
      </c>
      <c r="C1425" s="166" t="s">
        <v>696</v>
      </c>
      <c r="D1425" s="140" t="str">
        <f t="shared" si="165"/>
        <v>1</v>
      </c>
      <c r="E1425" s="166" t="s">
        <v>689</v>
      </c>
      <c r="F1425" s="140">
        <f t="shared" si="164"/>
        <v>2</v>
      </c>
      <c r="G1425" s="140" t="str">
        <f t="shared" si="166"/>
        <v>3.1.2</v>
      </c>
      <c r="H1425" s="166" t="s">
        <v>1715</v>
      </c>
      <c r="I1425" s="166" t="s">
        <v>5</v>
      </c>
      <c r="J1425" s="166" t="s">
        <v>152</v>
      </c>
      <c r="K1425" s="166" t="s">
        <v>1350</v>
      </c>
      <c r="L1425" s="177">
        <f>1480/7</f>
        <v>211.42857142857142</v>
      </c>
      <c r="M1425" s="140"/>
      <c r="N1425" s="140"/>
      <c r="O1425" s="164">
        <f t="shared" si="167"/>
        <v>0</v>
      </c>
      <c r="P1425" s="166">
        <f>2*135*9</f>
        <v>2430</v>
      </c>
      <c r="Q1425" s="166">
        <v>1</v>
      </c>
      <c r="R1425" s="164">
        <f>$L1425*'Pivot Objective'!$C$9*P1425*Q1425</f>
        <v>587200.20475011424</v>
      </c>
      <c r="S1425" s="166"/>
      <c r="T1425" s="166"/>
      <c r="U1425" s="164">
        <f>($L1425*'Pivot Objective'!$C$9^2)*S1425*T1425</f>
        <v>0</v>
      </c>
      <c r="V1425" s="166"/>
      <c r="W1425" s="166"/>
      <c r="X1425" s="164">
        <f>($L1425*'Pivot Objective'!$C$9^3)*V1425*W1425</f>
        <v>0</v>
      </c>
      <c r="Y1425" s="166"/>
      <c r="Z1425" s="166"/>
      <c r="AA1425" s="164">
        <f>($L1425*'Pivot Objective'!$C$9^4)*Y1425*Z1425</f>
        <v>0</v>
      </c>
      <c r="AB1425" s="166"/>
      <c r="AC1425" s="166"/>
      <c r="AD1425" s="164">
        <f>($L1425*'Pivot Objective'!$C$9^5)*AB1425*AC1425</f>
        <v>0</v>
      </c>
      <c r="AE1425" s="166"/>
      <c r="AF1425" s="166"/>
      <c r="AG1425" s="164">
        <f>($L1425*'Pivot Objective'!$C$9^6)*AE1425*AF1425</f>
        <v>0</v>
      </c>
      <c r="AH1425" s="166">
        <f>2*135*9</f>
        <v>2430</v>
      </c>
      <c r="AI1425" s="166">
        <v>1</v>
      </c>
      <c r="AJ1425" s="164">
        <f>($L1425*'Pivot Objective'!$C$9^7)*AH1425*AI1425</f>
        <v>1308831.3667411015</v>
      </c>
      <c r="AK1425" s="185">
        <f t="shared" si="168"/>
        <v>1896031.5714912158</v>
      </c>
      <c r="AL1425" s="186">
        <f t="shared" si="169"/>
        <v>1840.8073509623455</v>
      </c>
    </row>
    <row r="1426" spans="1:38" customFormat="1" ht="57.6" x14ac:dyDescent="0.3">
      <c r="A1426" s="140" t="s">
        <v>1484</v>
      </c>
      <c r="B1426" s="140">
        <v>3</v>
      </c>
      <c r="C1426" s="166" t="s">
        <v>696</v>
      </c>
      <c r="D1426" s="140" t="str">
        <f t="shared" si="165"/>
        <v>1</v>
      </c>
      <c r="E1426" s="166" t="s">
        <v>689</v>
      </c>
      <c r="F1426" s="140">
        <f t="shared" si="164"/>
        <v>2</v>
      </c>
      <c r="G1426" s="140" t="str">
        <f t="shared" si="166"/>
        <v>3.1.2</v>
      </c>
      <c r="H1426" s="166" t="s">
        <v>1715</v>
      </c>
      <c r="I1426" s="166" t="s">
        <v>5</v>
      </c>
      <c r="J1426" s="166" t="s">
        <v>153</v>
      </c>
      <c r="K1426" s="166" t="s">
        <v>712</v>
      </c>
      <c r="L1426" s="177">
        <f>1480/7</f>
        <v>211.42857142857142</v>
      </c>
      <c r="M1426" s="140"/>
      <c r="N1426" s="140"/>
      <c r="O1426" s="164">
        <f t="shared" si="167"/>
        <v>0</v>
      </c>
      <c r="P1426" s="166">
        <f>25*2*9</f>
        <v>450</v>
      </c>
      <c r="Q1426" s="166">
        <v>3</v>
      </c>
      <c r="R1426" s="164">
        <f>$L1426*'Pivot Objective'!$C$9*P1426*Q1426</f>
        <v>326222.33597228565</v>
      </c>
      <c r="S1426" s="166">
        <v>0</v>
      </c>
      <c r="T1426" s="166">
        <v>0</v>
      </c>
      <c r="U1426" s="164">
        <f>($L1426*'Pivot Objective'!$C$9^2)*S1426*T1426</f>
        <v>0</v>
      </c>
      <c r="V1426" s="166">
        <v>0</v>
      </c>
      <c r="W1426" s="166">
        <v>0</v>
      </c>
      <c r="X1426" s="164">
        <f>($L1426*'Pivot Objective'!$C$9^3)*V1426*W1426</f>
        <v>0</v>
      </c>
      <c r="Y1426" s="166">
        <v>4000</v>
      </c>
      <c r="Z1426" s="166">
        <v>1</v>
      </c>
      <c r="AA1426" s="164">
        <f>($L1426*'Pivot Objective'!$C$9^4)*Y1426*Z1426</f>
        <v>1443074.2064285369</v>
      </c>
      <c r="AB1426" s="166">
        <v>0</v>
      </c>
      <c r="AC1426" s="166">
        <v>0</v>
      </c>
      <c r="AD1426" s="164">
        <f>($L1426*'Pivot Objective'!$C$9^5)*AB1426*AC1426</f>
        <v>0</v>
      </c>
      <c r="AE1426" s="166">
        <v>0</v>
      </c>
      <c r="AF1426" s="166">
        <v>0</v>
      </c>
      <c r="AG1426" s="164">
        <f>($L1426*'Pivot Objective'!$C$9^6)*AE1426*AF1426</f>
        <v>0</v>
      </c>
      <c r="AH1426" s="166">
        <f>25*2*9</f>
        <v>450</v>
      </c>
      <c r="AI1426" s="166">
        <v>3</v>
      </c>
      <c r="AJ1426" s="164">
        <f>($L1426*'Pivot Objective'!$C$9^7)*AH1426*AI1426</f>
        <v>727128.53707838967</v>
      </c>
      <c r="AK1426" s="185">
        <f t="shared" si="168"/>
        <v>2496425.0794792119</v>
      </c>
      <c r="AL1426" s="186">
        <f t="shared" si="169"/>
        <v>2423.713669397293</v>
      </c>
    </row>
    <row r="1427" spans="1:38" customFormat="1" ht="57.6" x14ac:dyDescent="0.3">
      <c r="A1427" s="140" t="s">
        <v>1484</v>
      </c>
      <c r="B1427" s="140">
        <v>3</v>
      </c>
      <c r="C1427" s="166" t="s">
        <v>696</v>
      </c>
      <c r="D1427" s="140" t="str">
        <f t="shared" si="165"/>
        <v>1</v>
      </c>
      <c r="E1427" s="166" t="s">
        <v>689</v>
      </c>
      <c r="F1427" s="140">
        <f t="shared" si="164"/>
        <v>2</v>
      </c>
      <c r="G1427" s="140" t="str">
        <f t="shared" si="166"/>
        <v>3.1.2</v>
      </c>
      <c r="H1427" s="166" t="s">
        <v>1715</v>
      </c>
      <c r="I1427" s="166" t="s">
        <v>5</v>
      </c>
      <c r="J1427" s="166" t="s">
        <v>177</v>
      </c>
      <c r="K1427" s="166" t="s">
        <v>716</v>
      </c>
      <c r="L1427" s="177">
        <v>39000</v>
      </c>
      <c r="M1427" s="140"/>
      <c r="N1427" s="140"/>
      <c r="O1427" s="164">
        <f t="shared" si="167"/>
        <v>0</v>
      </c>
      <c r="P1427" s="166">
        <v>58</v>
      </c>
      <c r="Q1427" s="166">
        <v>2</v>
      </c>
      <c r="R1427" s="164">
        <f>$L1427*'Pivot Objective'!$C$9*P1427*Q1427</f>
        <v>5170575.0428279992</v>
      </c>
      <c r="S1427" s="166">
        <v>0</v>
      </c>
      <c r="T1427" s="166">
        <v>0</v>
      </c>
      <c r="U1427" s="164">
        <f>($L1427*'Pivot Objective'!$C$9^2)*S1427*T1427</f>
        <v>0</v>
      </c>
      <c r="V1427" s="166">
        <v>0</v>
      </c>
      <c r="W1427" s="166">
        <v>0</v>
      </c>
      <c r="X1427" s="164">
        <f>($L1427*'Pivot Objective'!$C$9^3)*V1427*W1427</f>
        <v>0</v>
      </c>
      <c r="Y1427" s="166">
        <v>10</v>
      </c>
      <c r="Z1427" s="166">
        <v>1</v>
      </c>
      <c r="AA1427" s="164">
        <f>($L1427*'Pivot Objective'!$C$9^4)*Y1427*Z1427</f>
        <v>665471.72019424092</v>
      </c>
      <c r="AB1427" s="166">
        <v>0</v>
      </c>
      <c r="AC1427" s="166">
        <v>0</v>
      </c>
      <c r="AD1427" s="164">
        <f>($L1427*'Pivot Objective'!$C$9^5)*AB1427*AC1427</f>
        <v>0</v>
      </c>
      <c r="AE1427" s="166">
        <v>0</v>
      </c>
      <c r="AF1427" s="166">
        <v>0</v>
      </c>
      <c r="AG1427" s="164">
        <f>($L1427*'Pivot Objective'!$C$9^6)*AE1427*AF1427</f>
        <v>0</v>
      </c>
      <c r="AH1427" s="166">
        <v>58</v>
      </c>
      <c r="AI1427" s="166">
        <v>2</v>
      </c>
      <c r="AJ1427" s="164">
        <f>($L1427*'Pivot Objective'!$C$9^7)*AH1427*AI1427</f>
        <v>11524878.134233456</v>
      </c>
      <c r="AK1427" s="185">
        <f t="shared" si="168"/>
        <v>17360924.897255696</v>
      </c>
      <c r="AL1427" s="186">
        <f t="shared" si="169"/>
        <v>16855.266890539511</v>
      </c>
    </row>
    <row r="1428" spans="1:38" customFormat="1" ht="57.6" x14ac:dyDescent="0.3">
      <c r="A1428" s="140" t="s">
        <v>1484</v>
      </c>
      <c r="B1428" s="140">
        <v>3</v>
      </c>
      <c r="C1428" s="166" t="s">
        <v>696</v>
      </c>
      <c r="D1428" s="140" t="str">
        <f t="shared" si="165"/>
        <v>1</v>
      </c>
      <c r="E1428" s="166" t="s">
        <v>689</v>
      </c>
      <c r="F1428" s="140">
        <f t="shared" si="164"/>
        <v>2</v>
      </c>
      <c r="G1428" s="140" t="str">
        <f t="shared" si="166"/>
        <v>3.1.2</v>
      </c>
      <c r="H1428" s="166" t="s">
        <v>1715</v>
      </c>
      <c r="I1428" s="166" t="s">
        <v>5</v>
      </c>
      <c r="J1428" s="166" t="s">
        <v>177</v>
      </c>
      <c r="K1428" s="166" t="s">
        <v>709</v>
      </c>
      <c r="L1428" s="177">
        <v>35000</v>
      </c>
      <c r="M1428" s="140"/>
      <c r="N1428" s="140"/>
      <c r="O1428" s="164">
        <f t="shared" si="167"/>
        <v>0</v>
      </c>
      <c r="P1428" s="166">
        <v>100</v>
      </c>
      <c r="Q1428" s="166">
        <v>1</v>
      </c>
      <c r="R1428" s="164">
        <f>$L1428*'Pivot Objective'!$C$9*P1428*Q1428</f>
        <v>4000223.8394999993</v>
      </c>
      <c r="S1428" s="166">
        <v>0</v>
      </c>
      <c r="T1428" s="166">
        <v>0</v>
      </c>
      <c r="U1428" s="164">
        <f>($L1428*'Pivot Objective'!$C$9^2)*S1428*T1428</f>
        <v>0</v>
      </c>
      <c r="V1428" s="166">
        <v>0</v>
      </c>
      <c r="W1428" s="166">
        <v>0</v>
      </c>
      <c r="X1428" s="164">
        <f>($L1428*'Pivot Objective'!$C$9^3)*V1428*W1428</f>
        <v>0</v>
      </c>
      <c r="Y1428" s="166">
        <v>30</v>
      </c>
      <c r="Z1428" s="166">
        <v>1</v>
      </c>
      <c r="AA1428" s="164">
        <f>($L1428*'Pivot Objective'!$C$9^4)*Y1428*Z1428</f>
        <v>1791654.6312921871</v>
      </c>
      <c r="AB1428" s="166">
        <v>0</v>
      </c>
      <c r="AC1428" s="166">
        <v>0</v>
      </c>
      <c r="AD1428" s="164">
        <f>($L1428*'Pivot Objective'!$C$9^5)*AB1428*AC1428</f>
        <v>0</v>
      </c>
      <c r="AE1428" s="166">
        <v>0</v>
      </c>
      <c r="AF1428" s="166">
        <v>0</v>
      </c>
      <c r="AG1428" s="164">
        <f>($L1428*'Pivot Objective'!$C$9^6)*AE1428*AF1428</f>
        <v>0</v>
      </c>
      <c r="AH1428" s="166">
        <v>100</v>
      </c>
      <c r="AI1428" s="166">
        <v>1</v>
      </c>
      <c r="AJ1428" s="164">
        <f>($L1428*'Pivot Objective'!$C$9^7)*AH1428*AI1428</f>
        <v>8916240.8200303055</v>
      </c>
      <c r="AK1428" s="185">
        <f t="shared" si="168"/>
        <v>14708119.290822491</v>
      </c>
      <c r="AL1428" s="186">
        <f t="shared" si="169"/>
        <v>14279.727466817953</v>
      </c>
    </row>
    <row r="1429" spans="1:38" customFormat="1" ht="57.6" x14ac:dyDescent="0.3">
      <c r="A1429" s="140" t="s">
        <v>1484</v>
      </c>
      <c r="B1429" s="140">
        <v>3</v>
      </c>
      <c r="C1429" s="166" t="s">
        <v>696</v>
      </c>
      <c r="D1429" s="140" t="str">
        <f t="shared" si="165"/>
        <v>1</v>
      </c>
      <c r="E1429" s="166" t="s">
        <v>689</v>
      </c>
      <c r="F1429" s="140">
        <f t="shared" si="164"/>
        <v>2</v>
      </c>
      <c r="G1429" s="140" t="str">
        <f t="shared" si="166"/>
        <v>3.1.2</v>
      </c>
      <c r="H1429" s="166" t="s">
        <v>1715</v>
      </c>
      <c r="I1429" s="166" t="s">
        <v>5</v>
      </c>
      <c r="J1429" s="166" t="s">
        <v>177</v>
      </c>
      <c r="K1429" s="166" t="s">
        <v>1350</v>
      </c>
      <c r="L1429" s="177">
        <f>1480/7</f>
        <v>211.42857142857142</v>
      </c>
      <c r="M1429" s="140"/>
      <c r="N1429" s="140"/>
      <c r="O1429" s="164">
        <f t="shared" si="167"/>
        <v>0</v>
      </c>
      <c r="P1429" s="166">
        <f>2*135*29</f>
        <v>7830</v>
      </c>
      <c r="Q1429" s="166">
        <v>1</v>
      </c>
      <c r="R1429" s="164">
        <f>$L1429*'Pivot Objective'!$C$9*P1429*Q1429</f>
        <v>1892089.548639257</v>
      </c>
      <c r="S1429" s="166"/>
      <c r="T1429" s="166"/>
      <c r="U1429" s="164">
        <f>($L1429*'Pivot Objective'!$C$9^2)*S1429*T1429</f>
        <v>0</v>
      </c>
      <c r="V1429" s="166"/>
      <c r="W1429" s="166"/>
      <c r="X1429" s="164">
        <f>($L1429*'Pivot Objective'!$C$9^3)*V1429*W1429</f>
        <v>0</v>
      </c>
      <c r="Y1429" s="166"/>
      <c r="Z1429" s="166"/>
      <c r="AA1429" s="164">
        <f>($L1429*'Pivot Objective'!$C$9^4)*Y1429*Z1429</f>
        <v>0</v>
      </c>
      <c r="AB1429" s="166"/>
      <c r="AC1429" s="166"/>
      <c r="AD1429" s="164">
        <f>($L1429*'Pivot Objective'!$C$9^5)*AB1429*AC1429</f>
        <v>0</v>
      </c>
      <c r="AE1429" s="166"/>
      <c r="AF1429" s="166"/>
      <c r="AG1429" s="164">
        <f>($L1429*'Pivot Objective'!$C$9^6)*AE1429*AF1429</f>
        <v>0</v>
      </c>
      <c r="AH1429" s="166">
        <f>2*135*29</f>
        <v>7830</v>
      </c>
      <c r="AI1429" s="166">
        <v>1</v>
      </c>
      <c r="AJ1429" s="164">
        <f>($L1429*'Pivot Objective'!$C$9^7)*AH1429*AI1429</f>
        <v>4217345.5150546599</v>
      </c>
      <c r="AK1429" s="185">
        <f t="shared" si="168"/>
        <v>6109435.0636939164</v>
      </c>
      <c r="AL1429" s="186">
        <f t="shared" si="169"/>
        <v>5931.4903531008895</v>
      </c>
    </row>
    <row r="1430" spans="1:38" customFormat="1" ht="57.6" x14ac:dyDescent="0.3">
      <c r="A1430" s="140" t="s">
        <v>1484</v>
      </c>
      <c r="B1430" s="140">
        <v>3</v>
      </c>
      <c r="C1430" s="166" t="s">
        <v>696</v>
      </c>
      <c r="D1430" s="140" t="str">
        <f t="shared" si="165"/>
        <v>1</v>
      </c>
      <c r="E1430" s="166" t="s">
        <v>689</v>
      </c>
      <c r="F1430" s="140">
        <f t="shared" si="164"/>
        <v>2</v>
      </c>
      <c r="G1430" s="140" t="str">
        <f t="shared" si="166"/>
        <v>3.1.2</v>
      </c>
      <c r="H1430" s="166" t="s">
        <v>1715</v>
      </c>
      <c r="I1430" s="166" t="s">
        <v>5</v>
      </c>
      <c r="J1430" s="166" t="s">
        <v>177</v>
      </c>
      <c r="K1430" s="166" t="s">
        <v>712</v>
      </c>
      <c r="L1430" s="177">
        <f>1480/7</f>
        <v>211.42857142857142</v>
      </c>
      <c r="M1430" s="140"/>
      <c r="N1430" s="140"/>
      <c r="O1430" s="164">
        <f t="shared" si="167"/>
        <v>0</v>
      </c>
      <c r="P1430" s="166">
        <f>25*2*29</f>
        <v>1450</v>
      </c>
      <c r="Q1430" s="166">
        <v>1</v>
      </c>
      <c r="R1430" s="164">
        <f>$L1430*'Pivot Objective'!$C$9*P1430*Q1430</f>
        <v>350386.95345171425</v>
      </c>
      <c r="S1430" s="166">
        <v>0</v>
      </c>
      <c r="T1430" s="166">
        <v>0</v>
      </c>
      <c r="U1430" s="164">
        <f>($L1430*'Pivot Objective'!$C$9^2)*S1430*T1430</f>
        <v>0</v>
      </c>
      <c r="V1430" s="166">
        <v>0</v>
      </c>
      <c r="W1430" s="166">
        <v>0</v>
      </c>
      <c r="X1430" s="164">
        <f>($L1430*'Pivot Objective'!$C$9^3)*V1430*W1430</f>
        <v>0</v>
      </c>
      <c r="Y1430" s="166">
        <v>8000</v>
      </c>
      <c r="Z1430" s="166">
        <v>1</v>
      </c>
      <c r="AA1430" s="164">
        <f>($L1430*'Pivot Objective'!$C$9^4)*Y1430*Z1430</f>
        <v>2886148.4128570738</v>
      </c>
      <c r="AB1430" s="166">
        <v>0</v>
      </c>
      <c r="AC1430" s="166">
        <v>0</v>
      </c>
      <c r="AD1430" s="164">
        <f>($L1430*'Pivot Objective'!$C$9^5)*AB1430*AC1430</f>
        <v>0</v>
      </c>
      <c r="AE1430" s="166">
        <v>0</v>
      </c>
      <c r="AF1430" s="166">
        <v>0</v>
      </c>
      <c r="AG1430" s="164">
        <f>($L1430*'Pivot Objective'!$C$9^6)*AE1430*AF1430</f>
        <v>0</v>
      </c>
      <c r="AH1430" s="166">
        <f>25*2*29</f>
        <v>1450</v>
      </c>
      <c r="AI1430" s="166">
        <v>1</v>
      </c>
      <c r="AJ1430" s="164">
        <f>($L1430*'Pivot Objective'!$C$9^7)*AH1430*AI1430</f>
        <v>780989.91019530746</v>
      </c>
      <c r="AK1430" s="185">
        <f t="shared" si="168"/>
        <v>4017525.2765040952</v>
      </c>
      <c r="AL1430" s="186">
        <f t="shared" si="169"/>
        <v>3900.509977188442</v>
      </c>
    </row>
    <row r="1431" spans="1:38" customFormat="1" ht="57.6" x14ac:dyDescent="0.3">
      <c r="A1431" s="140" t="s">
        <v>1484</v>
      </c>
      <c r="B1431" s="140">
        <v>3</v>
      </c>
      <c r="C1431" s="166" t="s">
        <v>696</v>
      </c>
      <c r="D1431" s="140" t="str">
        <f t="shared" si="165"/>
        <v>1</v>
      </c>
      <c r="E1431" s="166" t="s">
        <v>689</v>
      </c>
      <c r="F1431" s="140">
        <f t="shared" si="164"/>
        <v>2</v>
      </c>
      <c r="G1431" s="140" t="str">
        <f t="shared" si="166"/>
        <v>3.1.2</v>
      </c>
      <c r="H1431" s="166" t="s">
        <v>1715</v>
      </c>
      <c r="I1431" s="166" t="s">
        <v>5</v>
      </c>
      <c r="J1431" s="166" t="s">
        <v>204</v>
      </c>
      <c r="K1431" s="166" t="s">
        <v>709</v>
      </c>
      <c r="L1431" s="177">
        <v>35000</v>
      </c>
      <c r="M1431" s="140"/>
      <c r="N1431" s="140"/>
      <c r="O1431" s="164">
        <f t="shared" si="167"/>
        <v>0</v>
      </c>
      <c r="P1431" s="166">
        <v>25</v>
      </c>
      <c r="Q1431" s="166">
        <v>1</v>
      </c>
      <c r="R1431" s="164">
        <f>$L1431*'Pivot Objective'!$C$9*P1431*Q1431</f>
        <v>1000055.9598749998</v>
      </c>
      <c r="S1431" s="166">
        <v>0</v>
      </c>
      <c r="T1431" s="166">
        <v>0</v>
      </c>
      <c r="U1431" s="164">
        <f>($L1431*'Pivot Objective'!$C$9^2)*S1431*T1431</f>
        <v>0</v>
      </c>
      <c r="V1431" s="166">
        <v>0</v>
      </c>
      <c r="W1431" s="166">
        <v>0</v>
      </c>
      <c r="X1431" s="164">
        <f>($L1431*'Pivot Objective'!$C$9^3)*V1431*W1431</f>
        <v>0</v>
      </c>
      <c r="Y1431" s="166">
        <v>30</v>
      </c>
      <c r="Z1431" s="166">
        <v>1</v>
      </c>
      <c r="AA1431" s="164">
        <f>($L1431*'Pivot Objective'!$C$9^4)*Y1431*Z1431</f>
        <v>1791654.6312921871</v>
      </c>
      <c r="AB1431" s="166">
        <v>0</v>
      </c>
      <c r="AC1431" s="166">
        <v>0</v>
      </c>
      <c r="AD1431" s="164">
        <f>($L1431*'Pivot Objective'!$C$9^5)*AB1431*AC1431</f>
        <v>0</v>
      </c>
      <c r="AE1431" s="166">
        <v>0</v>
      </c>
      <c r="AF1431" s="166">
        <v>0</v>
      </c>
      <c r="AG1431" s="164">
        <f>($L1431*'Pivot Objective'!$C$9^6)*AE1431*AF1431</f>
        <v>0</v>
      </c>
      <c r="AH1431" s="166">
        <v>25</v>
      </c>
      <c r="AI1431" s="166">
        <v>1</v>
      </c>
      <c r="AJ1431" s="164">
        <f>($L1431*'Pivot Objective'!$C$9^7)*AH1431*AI1431</f>
        <v>2229060.2050075764</v>
      </c>
      <c r="AK1431" s="185">
        <f t="shared" si="168"/>
        <v>5020770.7961747628</v>
      </c>
      <c r="AL1431" s="186">
        <f t="shared" si="169"/>
        <v>4874.5347535677311</v>
      </c>
    </row>
    <row r="1432" spans="1:38" customFormat="1" ht="57.6" x14ac:dyDescent="0.3">
      <c r="A1432" s="140" t="s">
        <v>1484</v>
      </c>
      <c r="B1432" s="140">
        <v>3</v>
      </c>
      <c r="C1432" s="166" t="s">
        <v>696</v>
      </c>
      <c r="D1432" s="140" t="str">
        <f t="shared" si="165"/>
        <v>1</v>
      </c>
      <c r="E1432" s="166" t="s">
        <v>689</v>
      </c>
      <c r="F1432" s="140">
        <f t="shared" ref="F1432:F1495" si="170">IF(H1432=H1431,F1431,F1431+1)</f>
        <v>2</v>
      </c>
      <c r="G1432" s="140" t="str">
        <f t="shared" si="166"/>
        <v>3.1.2</v>
      </c>
      <c r="H1432" s="166" t="s">
        <v>1715</v>
      </c>
      <c r="I1432" s="166" t="s">
        <v>5</v>
      </c>
      <c r="J1432" s="166" t="s">
        <v>205</v>
      </c>
      <c r="K1432" s="166" t="s">
        <v>718</v>
      </c>
      <c r="L1432" s="177">
        <v>0</v>
      </c>
      <c r="M1432" s="140"/>
      <c r="N1432" s="140"/>
      <c r="O1432" s="164">
        <f t="shared" si="167"/>
        <v>0</v>
      </c>
      <c r="P1432" s="166">
        <v>0</v>
      </c>
      <c r="Q1432" s="166">
        <v>0</v>
      </c>
      <c r="R1432" s="164">
        <f>$L1432*'Pivot Objective'!$C$9*P1432*Q1432</f>
        <v>0</v>
      </c>
      <c r="S1432" s="166">
        <v>0</v>
      </c>
      <c r="T1432" s="166">
        <v>0</v>
      </c>
      <c r="U1432" s="164">
        <f>($L1432*'Pivot Objective'!$C$9^2)*S1432*T1432</f>
        <v>0</v>
      </c>
      <c r="V1432" s="166">
        <v>0</v>
      </c>
      <c r="W1432" s="166">
        <v>0</v>
      </c>
      <c r="X1432" s="164">
        <f>($L1432*'Pivot Objective'!$C$9^3)*V1432*W1432</f>
        <v>0</v>
      </c>
      <c r="Y1432" s="166">
        <v>20</v>
      </c>
      <c r="Z1432" s="166">
        <v>1</v>
      </c>
      <c r="AA1432" s="164">
        <f>($L1432*'Pivot Objective'!$C$9^4)*Y1432*Z1432</f>
        <v>0</v>
      </c>
      <c r="AB1432" s="166">
        <v>0</v>
      </c>
      <c r="AC1432" s="166">
        <v>0</v>
      </c>
      <c r="AD1432" s="164">
        <f>($L1432*'Pivot Objective'!$C$9^5)*AB1432*AC1432</f>
        <v>0</v>
      </c>
      <c r="AE1432" s="166">
        <v>0</v>
      </c>
      <c r="AF1432" s="166">
        <v>0</v>
      </c>
      <c r="AG1432" s="164">
        <f>($L1432*'Pivot Objective'!$C$9^6)*AE1432*AF1432</f>
        <v>0</v>
      </c>
      <c r="AH1432" s="166">
        <v>0</v>
      </c>
      <c r="AI1432" s="166">
        <v>0</v>
      </c>
      <c r="AJ1432" s="164">
        <f>($L1432*'Pivot Objective'!$C$9^7)*AH1432*AI1432</f>
        <v>0</v>
      </c>
      <c r="AK1432" s="185">
        <f t="shared" si="168"/>
        <v>0</v>
      </c>
      <c r="AL1432" s="186">
        <f t="shared" si="169"/>
        <v>0</v>
      </c>
    </row>
    <row r="1433" spans="1:38" customFormat="1" ht="57.6" x14ac:dyDescent="0.3">
      <c r="A1433" s="140" t="s">
        <v>1484</v>
      </c>
      <c r="B1433" s="140">
        <v>3</v>
      </c>
      <c r="C1433" s="166" t="s">
        <v>696</v>
      </c>
      <c r="D1433" s="140" t="str">
        <f t="shared" si="165"/>
        <v>1</v>
      </c>
      <c r="E1433" s="166" t="s">
        <v>689</v>
      </c>
      <c r="F1433" s="140">
        <f t="shared" si="170"/>
        <v>2</v>
      </c>
      <c r="G1433" s="140" t="str">
        <f t="shared" si="166"/>
        <v>3.1.2</v>
      </c>
      <c r="H1433" s="166" t="s">
        <v>1715</v>
      </c>
      <c r="I1433" s="166" t="s">
        <v>5</v>
      </c>
      <c r="J1433" s="166" t="s">
        <v>220</v>
      </c>
      <c r="K1433" s="166" t="s">
        <v>1297</v>
      </c>
      <c r="L1433" s="177">
        <v>8000</v>
      </c>
      <c r="M1433" s="140"/>
      <c r="N1433" s="140"/>
      <c r="O1433" s="164">
        <f t="shared" si="167"/>
        <v>0</v>
      </c>
      <c r="P1433" s="166">
        <v>10</v>
      </c>
      <c r="Q1433" s="166">
        <v>1</v>
      </c>
      <c r="R1433" s="164">
        <f>$L1433*'Pivot Objective'!$C$9*P1433*Q1433</f>
        <v>91433.687760000001</v>
      </c>
      <c r="S1433" s="166">
        <v>0</v>
      </c>
      <c r="T1433" s="166">
        <v>0</v>
      </c>
      <c r="U1433" s="164">
        <f>($L1433*'Pivot Objective'!$C$9^2)*S1433*T1433</f>
        <v>0</v>
      </c>
      <c r="V1433" s="166">
        <v>0</v>
      </c>
      <c r="W1433" s="166">
        <v>0</v>
      </c>
      <c r="X1433" s="164">
        <f>($L1433*'Pivot Objective'!$C$9^3)*V1433*W1433</f>
        <v>0</v>
      </c>
      <c r="Y1433" s="166">
        <v>50000</v>
      </c>
      <c r="Z1433" s="166">
        <v>1</v>
      </c>
      <c r="AA1433" s="164">
        <f>($L1433*'Pivot Objective'!$C$9^4)*Y1433*Z1433</f>
        <v>682535097.63511884</v>
      </c>
      <c r="AB1433" s="166">
        <v>0</v>
      </c>
      <c r="AC1433" s="166">
        <v>0</v>
      </c>
      <c r="AD1433" s="164">
        <f>($L1433*'Pivot Objective'!$C$9^5)*AB1433*AC1433</f>
        <v>0</v>
      </c>
      <c r="AE1433" s="166">
        <v>0</v>
      </c>
      <c r="AF1433" s="166">
        <v>0</v>
      </c>
      <c r="AG1433" s="164">
        <f>($L1433*'Pivot Objective'!$C$9^6)*AE1433*AF1433</f>
        <v>0</v>
      </c>
      <c r="AH1433" s="166">
        <v>10</v>
      </c>
      <c r="AI1433" s="166">
        <v>1</v>
      </c>
      <c r="AJ1433" s="164">
        <f>($L1433*'Pivot Objective'!$C$9^7)*AH1433*AI1433</f>
        <v>203799.79017212125</v>
      </c>
      <c r="AK1433" s="185">
        <f t="shared" si="168"/>
        <v>682830331.11305094</v>
      </c>
      <c r="AL1433" s="186">
        <f t="shared" si="169"/>
        <v>662942.06904179708</v>
      </c>
    </row>
    <row r="1434" spans="1:38" customFormat="1" ht="57.6" x14ac:dyDescent="0.3">
      <c r="A1434" s="140" t="s">
        <v>1484</v>
      </c>
      <c r="B1434" s="140">
        <v>3</v>
      </c>
      <c r="C1434" s="166" t="s">
        <v>696</v>
      </c>
      <c r="D1434" s="140" t="str">
        <f t="shared" si="165"/>
        <v>1</v>
      </c>
      <c r="E1434" s="166" t="s">
        <v>689</v>
      </c>
      <c r="F1434" s="140">
        <f t="shared" si="170"/>
        <v>2</v>
      </c>
      <c r="G1434" s="140" t="str">
        <f t="shared" si="166"/>
        <v>3.1.2</v>
      </c>
      <c r="H1434" s="166" t="s">
        <v>1715</v>
      </c>
      <c r="I1434" s="166" t="s">
        <v>5</v>
      </c>
      <c r="J1434" s="166" t="s">
        <v>220</v>
      </c>
      <c r="K1434" s="166" t="s">
        <v>710</v>
      </c>
      <c r="L1434" s="177">
        <v>104850</v>
      </c>
      <c r="M1434" s="140"/>
      <c r="N1434" s="140"/>
      <c r="O1434" s="164">
        <f t="shared" si="167"/>
        <v>0</v>
      </c>
      <c r="P1434" s="166">
        <v>1</v>
      </c>
      <c r="Q1434" s="166">
        <v>1</v>
      </c>
      <c r="R1434" s="164">
        <f>$L1434*'Pivot Objective'!$C$9*P1434*Q1434</f>
        <v>119835.27702044998</v>
      </c>
      <c r="S1434" s="166">
        <v>0</v>
      </c>
      <c r="T1434" s="166">
        <v>0</v>
      </c>
      <c r="U1434" s="164">
        <f>($L1434*'Pivot Objective'!$C$9^2)*S1434*T1434</f>
        <v>0</v>
      </c>
      <c r="V1434" s="166">
        <v>0</v>
      </c>
      <c r="W1434" s="166">
        <v>0</v>
      </c>
      <c r="X1434" s="164">
        <f>($L1434*'Pivot Objective'!$C$9^3)*V1434*W1434</f>
        <v>0</v>
      </c>
      <c r="Y1434" s="166">
        <v>5</v>
      </c>
      <c r="Z1434" s="166">
        <v>1</v>
      </c>
      <c r="AA1434" s="164">
        <f>($L1434*'Pivot Objective'!$C$9^4)*Y1434*Z1434</f>
        <v>894547.56233802764</v>
      </c>
      <c r="AB1434" s="166">
        <v>0</v>
      </c>
      <c r="AC1434" s="166">
        <v>0</v>
      </c>
      <c r="AD1434" s="164">
        <f>($L1434*'Pivot Objective'!$C$9^5)*AB1434*AC1434</f>
        <v>0</v>
      </c>
      <c r="AE1434" s="166">
        <v>0</v>
      </c>
      <c r="AF1434" s="166">
        <v>0</v>
      </c>
      <c r="AG1434" s="164">
        <f>($L1434*'Pivot Objective'!$C$9^6)*AE1434*AF1434</f>
        <v>0</v>
      </c>
      <c r="AH1434" s="166">
        <v>1</v>
      </c>
      <c r="AI1434" s="166">
        <v>1</v>
      </c>
      <c r="AJ1434" s="164">
        <f>($L1434*'Pivot Objective'!$C$9^7)*AH1434*AI1434</f>
        <v>267105.09999433643</v>
      </c>
      <c r="AK1434" s="185">
        <f t="shared" si="168"/>
        <v>1281487.9393528141</v>
      </c>
      <c r="AL1434" s="186">
        <f t="shared" si="169"/>
        <v>1244.1630479153534</v>
      </c>
    </row>
    <row r="1435" spans="1:38" customFormat="1" ht="57.6" x14ac:dyDescent="0.3">
      <c r="A1435" s="140" t="s">
        <v>1484</v>
      </c>
      <c r="B1435" s="140">
        <v>3</v>
      </c>
      <c r="C1435" s="166" t="s">
        <v>696</v>
      </c>
      <c r="D1435" s="140" t="str">
        <f t="shared" si="165"/>
        <v>1</v>
      </c>
      <c r="E1435" s="166" t="s">
        <v>689</v>
      </c>
      <c r="F1435" s="140">
        <f t="shared" si="170"/>
        <v>2</v>
      </c>
      <c r="G1435" s="140" t="str">
        <f t="shared" si="166"/>
        <v>3.1.2</v>
      </c>
      <c r="H1435" s="166" t="s">
        <v>1715</v>
      </c>
      <c r="I1435" s="166" t="s">
        <v>5</v>
      </c>
      <c r="J1435" s="166" t="s">
        <v>221</v>
      </c>
      <c r="K1435" s="166" t="s">
        <v>716</v>
      </c>
      <c r="L1435" s="177">
        <v>39000</v>
      </c>
      <c r="M1435" s="140"/>
      <c r="N1435" s="140"/>
      <c r="O1435" s="164">
        <f t="shared" si="167"/>
        <v>0</v>
      </c>
      <c r="P1435" s="166">
        <v>58</v>
      </c>
      <c r="Q1435" s="166">
        <v>2</v>
      </c>
      <c r="R1435" s="164">
        <f>$L1435*'Pivot Objective'!$C$9*P1435*Q1435</f>
        <v>5170575.0428279992</v>
      </c>
      <c r="S1435" s="166">
        <v>0</v>
      </c>
      <c r="T1435" s="166">
        <v>0</v>
      </c>
      <c r="U1435" s="164">
        <f>($L1435*'Pivot Objective'!$C$9^2)*S1435*T1435</f>
        <v>0</v>
      </c>
      <c r="V1435" s="166">
        <v>0</v>
      </c>
      <c r="W1435" s="166">
        <v>0</v>
      </c>
      <c r="X1435" s="164">
        <f>($L1435*'Pivot Objective'!$C$9^3)*V1435*W1435</f>
        <v>0</v>
      </c>
      <c r="Y1435" s="166">
        <v>300</v>
      </c>
      <c r="Z1435" s="166">
        <v>10</v>
      </c>
      <c r="AA1435" s="164">
        <f>($L1435*'Pivot Objective'!$C$9^4)*Y1435*Z1435</f>
        <v>199641516.05827227</v>
      </c>
      <c r="AB1435" s="166">
        <v>0</v>
      </c>
      <c r="AC1435" s="166">
        <v>0</v>
      </c>
      <c r="AD1435" s="164">
        <f>($L1435*'Pivot Objective'!$C$9^5)*AB1435*AC1435</f>
        <v>0</v>
      </c>
      <c r="AE1435" s="166">
        <v>0</v>
      </c>
      <c r="AF1435" s="166">
        <v>0</v>
      </c>
      <c r="AG1435" s="164">
        <f>($L1435*'Pivot Objective'!$C$9^6)*AE1435*AF1435</f>
        <v>0</v>
      </c>
      <c r="AH1435" s="166">
        <v>58</v>
      </c>
      <c r="AI1435" s="166">
        <v>2</v>
      </c>
      <c r="AJ1435" s="164">
        <f>($L1435*'Pivot Objective'!$C$9^7)*AH1435*AI1435</f>
        <v>11524878.134233456</v>
      </c>
      <c r="AK1435" s="185">
        <f t="shared" si="168"/>
        <v>216336969.23533371</v>
      </c>
      <c r="AL1435" s="186">
        <f t="shared" si="169"/>
        <v>210035.89246148904</v>
      </c>
    </row>
    <row r="1436" spans="1:38" customFormat="1" ht="57.6" x14ac:dyDescent="0.3">
      <c r="A1436" s="140" t="s">
        <v>1484</v>
      </c>
      <c r="B1436" s="140">
        <v>3</v>
      </c>
      <c r="C1436" s="166" t="s">
        <v>696</v>
      </c>
      <c r="D1436" s="140" t="str">
        <f t="shared" si="165"/>
        <v>1</v>
      </c>
      <c r="E1436" s="166" t="s">
        <v>689</v>
      </c>
      <c r="F1436" s="140">
        <f t="shared" si="170"/>
        <v>2</v>
      </c>
      <c r="G1436" s="140" t="str">
        <f t="shared" si="166"/>
        <v>3.1.2</v>
      </c>
      <c r="H1436" s="166" t="s">
        <v>1715</v>
      </c>
      <c r="I1436" s="166" t="s">
        <v>5</v>
      </c>
      <c r="J1436" s="166" t="s">
        <v>221</v>
      </c>
      <c r="K1436" s="166" t="s">
        <v>709</v>
      </c>
      <c r="L1436" s="177">
        <v>35000</v>
      </c>
      <c r="M1436" s="140"/>
      <c r="N1436" s="140"/>
      <c r="O1436" s="164">
        <f t="shared" si="167"/>
        <v>0</v>
      </c>
      <c r="P1436" s="166">
        <v>100</v>
      </c>
      <c r="Q1436" s="166">
        <v>1</v>
      </c>
      <c r="R1436" s="164">
        <f>$L1436*'Pivot Objective'!$C$9*P1436*Q1436</f>
        <v>4000223.8394999993</v>
      </c>
      <c r="S1436" s="166">
        <v>0</v>
      </c>
      <c r="T1436" s="166">
        <v>0</v>
      </c>
      <c r="U1436" s="164">
        <f>($L1436*'Pivot Objective'!$C$9^2)*S1436*T1436</f>
        <v>0</v>
      </c>
      <c r="V1436" s="166">
        <v>0</v>
      </c>
      <c r="W1436" s="166">
        <v>0</v>
      </c>
      <c r="X1436" s="164">
        <f>($L1436*'Pivot Objective'!$C$9^3)*V1436*W1436</f>
        <v>0</v>
      </c>
      <c r="Y1436" s="166">
        <v>300</v>
      </c>
      <c r="Z1436" s="166">
        <v>10</v>
      </c>
      <c r="AA1436" s="164">
        <f>($L1436*'Pivot Objective'!$C$9^4)*Y1436*Z1436</f>
        <v>179165463.1292187</v>
      </c>
      <c r="AB1436" s="166">
        <v>0</v>
      </c>
      <c r="AC1436" s="166">
        <v>0</v>
      </c>
      <c r="AD1436" s="164">
        <f>($L1436*'Pivot Objective'!$C$9^5)*AB1436*AC1436</f>
        <v>0</v>
      </c>
      <c r="AE1436" s="166">
        <v>0</v>
      </c>
      <c r="AF1436" s="166">
        <v>0</v>
      </c>
      <c r="AG1436" s="164">
        <f>($L1436*'Pivot Objective'!$C$9^6)*AE1436*AF1436</f>
        <v>0</v>
      </c>
      <c r="AH1436" s="166">
        <v>100</v>
      </c>
      <c r="AI1436" s="166">
        <v>1</v>
      </c>
      <c r="AJ1436" s="164">
        <f>($L1436*'Pivot Objective'!$C$9^7)*AH1436*AI1436</f>
        <v>8916240.8200303055</v>
      </c>
      <c r="AK1436" s="185">
        <f t="shared" si="168"/>
        <v>192081927.78874901</v>
      </c>
      <c r="AL1436" s="186">
        <f t="shared" si="169"/>
        <v>186487.30853276604</v>
      </c>
    </row>
    <row r="1437" spans="1:38" customFormat="1" ht="57.6" x14ac:dyDescent="0.3">
      <c r="A1437" s="140" t="s">
        <v>1484</v>
      </c>
      <c r="B1437" s="140">
        <v>3</v>
      </c>
      <c r="C1437" s="166" t="s">
        <v>696</v>
      </c>
      <c r="D1437" s="140" t="str">
        <f t="shared" si="165"/>
        <v>1</v>
      </c>
      <c r="E1437" s="166" t="s">
        <v>689</v>
      </c>
      <c r="F1437" s="140">
        <f t="shared" si="170"/>
        <v>2</v>
      </c>
      <c r="G1437" s="140" t="str">
        <f t="shared" si="166"/>
        <v>3.1.2</v>
      </c>
      <c r="H1437" s="166" t="s">
        <v>1715</v>
      </c>
      <c r="I1437" s="166" t="s">
        <v>5</v>
      </c>
      <c r="J1437" s="166" t="s">
        <v>221</v>
      </c>
      <c r="K1437" s="166" t="s">
        <v>1350</v>
      </c>
      <c r="L1437" s="177">
        <f>1480/7</f>
        <v>211.42857142857142</v>
      </c>
      <c r="M1437" s="140"/>
      <c r="N1437" s="140"/>
      <c r="O1437" s="164">
        <f t="shared" si="167"/>
        <v>0</v>
      </c>
      <c r="P1437" s="166">
        <f>2*135*29</f>
        <v>7830</v>
      </c>
      <c r="Q1437" s="166">
        <v>1</v>
      </c>
      <c r="R1437" s="164">
        <f>$L1437*'Pivot Objective'!$C$9*P1437*Q1437</f>
        <v>1892089.548639257</v>
      </c>
      <c r="S1437" s="166"/>
      <c r="T1437" s="166"/>
      <c r="U1437" s="164">
        <f>($L1437*'Pivot Objective'!$C$9^2)*S1437*T1437</f>
        <v>0</v>
      </c>
      <c r="V1437" s="166"/>
      <c r="W1437" s="166"/>
      <c r="X1437" s="164">
        <f>($L1437*'Pivot Objective'!$C$9^3)*V1437*W1437</f>
        <v>0</v>
      </c>
      <c r="Y1437" s="166"/>
      <c r="Z1437" s="166"/>
      <c r="AA1437" s="164">
        <f>($L1437*'Pivot Objective'!$C$9^4)*Y1437*Z1437</f>
        <v>0</v>
      </c>
      <c r="AB1437" s="166"/>
      <c r="AC1437" s="166"/>
      <c r="AD1437" s="164">
        <f>($L1437*'Pivot Objective'!$C$9^5)*AB1437*AC1437</f>
        <v>0</v>
      </c>
      <c r="AE1437" s="166"/>
      <c r="AF1437" s="166"/>
      <c r="AG1437" s="164">
        <f>($L1437*'Pivot Objective'!$C$9^6)*AE1437*AF1437</f>
        <v>0</v>
      </c>
      <c r="AH1437" s="166">
        <f>2*135*29</f>
        <v>7830</v>
      </c>
      <c r="AI1437" s="166">
        <v>1</v>
      </c>
      <c r="AJ1437" s="164">
        <f>($L1437*'Pivot Objective'!$C$9^7)*AH1437*AI1437</f>
        <v>4217345.5150546599</v>
      </c>
      <c r="AK1437" s="185">
        <f t="shared" si="168"/>
        <v>6109435.0636939164</v>
      </c>
      <c r="AL1437" s="186">
        <f t="shared" si="169"/>
        <v>5931.4903531008895</v>
      </c>
    </row>
    <row r="1438" spans="1:38" customFormat="1" ht="57.6" x14ac:dyDescent="0.3">
      <c r="A1438" s="140" t="s">
        <v>1484</v>
      </c>
      <c r="B1438" s="140">
        <v>3</v>
      </c>
      <c r="C1438" s="166" t="s">
        <v>696</v>
      </c>
      <c r="D1438" s="140" t="str">
        <f t="shared" si="165"/>
        <v>1</v>
      </c>
      <c r="E1438" s="166" t="s">
        <v>689</v>
      </c>
      <c r="F1438" s="140">
        <f t="shared" si="170"/>
        <v>2</v>
      </c>
      <c r="G1438" s="140" t="str">
        <f t="shared" si="166"/>
        <v>3.1.2</v>
      </c>
      <c r="H1438" s="166" t="s">
        <v>1715</v>
      </c>
      <c r="I1438" s="166" t="s">
        <v>5</v>
      </c>
      <c r="J1438" s="166" t="s">
        <v>221</v>
      </c>
      <c r="K1438" s="166" t="s">
        <v>712</v>
      </c>
      <c r="L1438" s="177">
        <f>1480/7</f>
        <v>211.42857142857142</v>
      </c>
      <c r="M1438" s="140"/>
      <c r="N1438" s="140"/>
      <c r="O1438" s="164">
        <f t="shared" si="167"/>
        <v>0</v>
      </c>
      <c r="P1438" s="166">
        <f>25*2*29</f>
        <v>1450</v>
      </c>
      <c r="Q1438" s="166">
        <v>1</v>
      </c>
      <c r="R1438" s="164">
        <f>$L1438*'Pivot Objective'!$C$9*P1438*Q1438</f>
        <v>350386.95345171425</v>
      </c>
      <c r="S1438" s="166">
        <v>0</v>
      </c>
      <c r="T1438" s="166">
        <v>0</v>
      </c>
      <c r="U1438" s="164">
        <f>($L1438*'Pivot Objective'!$C$9^2)*S1438*T1438</f>
        <v>0</v>
      </c>
      <c r="V1438" s="166">
        <v>0</v>
      </c>
      <c r="W1438" s="166">
        <v>0</v>
      </c>
      <c r="X1438" s="164">
        <f>($L1438*'Pivot Objective'!$C$9^3)*V1438*W1438</f>
        <v>0</v>
      </c>
      <c r="Y1438" s="166">
        <v>60000</v>
      </c>
      <c r="Z1438" s="166">
        <v>1</v>
      </c>
      <c r="AA1438" s="164">
        <f>($L1438*'Pivot Objective'!$C$9^4)*Y1438*Z1438</f>
        <v>21646113.096428052</v>
      </c>
      <c r="AB1438" s="166">
        <v>0</v>
      </c>
      <c r="AC1438" s="166">
        <v>0</v>
      </c>
      <c r="AD1438" s="164">
        <f>($L1438*'Pivot Objective'!$C$9^5)*AB1438*AC1438</f>
        <v>0</v>
      </c>
      <c r="AE1438" s="166">
        <v>0</v>
      </c>
      <c r="AF1438" s="166">
        <v>0</v>
      </c>
      <c r="AG1438" s="164">
        <f>($L1438*'Pivot Objective'!$C$9^6)*AE1438*AF1438</f>
        <v>0</v>
      </c>
      <c r="AH1438" s="166">
        <f>25*2*29</f>
        <v>1450</v>
      </c>
      <c r="AI1438" s="166">
        <v>1</v>
      </c>
      <c r="AJ1438" s="164">
        <f>($L1438*'Pivot Objective'!$C$9^7)*AH1438*AI1438</f>
        <v>780989.91019530746</v>
      </c>
      <c r="AK1438" s="185">
        <f t="shared" si="168"/>
        <v>22777489.960075073</v>
      </c>
      <c r="AL1438" s="186">
        <f t="shared" si="169"/>
        <v>22114.067922402985</v>
      </c>
    </row>
    <row r="1439" spans="1:38" customFormat="1" ht="57.6" x14ac:dyDescent="0.3">
      <c r="A1439" s="140" t="s">
        <v>1484</v>
      </c>
      <c r="B1439" s="140">
        <v>3</v>
      </c>
      <c r="C1439" s="166" t="s">
        <v>696</v>
      </c>
      <c r="D1439" s="140" t="str">
        <f t="shared" si="165"/>
        <v>1</v>
      </c>
      <c r="E1439" s="166" t="s">
        <v>689</v>
      </c>
      <c r="F1439" s="140">
        <f t="shared" si="170"/>
        <v>2</v>
      </c>
      <c r="G1439" s="140" t="str">
        <f t="shared" si="166"/>
        <v>3.1.2</v>
      </c>
      <c r="H1439" s="166" t="s">
        <v>1715</v>
      </c>
      <c r="I1439" s="166" t="s">
        <v>5</v>
      </c>
      <c r="J1439" s="166" t="s">
        <v>210</v>
      </c>
      <c r="K1439" s="166" t="s">
        <v>709</v>
      </c>
      <c r="L1439" s="177">
        <v>35000</v>
      </c>
      <c r="M1439" s="140"/>
      <c r="N1439" s="140"/>
      <c r="O1439" s="164">
        <f t="shared" si="167"/>
        <v>0</v>
      </c>
      <c r="P1439" s="166">
        <v>100</v>
      </c>
      <c r="Q1439" s="166">
        <v>5</v>
      </c>
      <c r="R1439" s="164">
        <f>$L1439*'Pivot Objective'!$C$9*P1439*Q1439</f>
        <v>20001119.197499998</v>
      </c>
      <c r="S1439" s="166">
        <v>0</v>
      </c>
      <c r="T1439" s="166">
        <v>0</v>
      </c>
      <c r="U1439" s="164">
        <f>($L1439*'Pivot Objective'!$C$9^2)*S1439*T1439</f>
        <v>0</v>
      </c>
      <c r="V1439" s="166">
        <v>0</v>
      </c>
      <c r="W1439" s="166">
        <v>0</v>
      </c>
      <c r="X1439" s="164">
        <f>($L1439*'Pivot Objective'!$C$9^3)*V1439*W1439</f>
        <v>0</v>
      </c>
      <c r="Y1439" s="166">
        <v>40</v>
      </c>
      <c r="Z1439" s="166">
        <v>5</v>
      </c>
      <c r="AA1439" s="164">
        <f>($L1439*'Pivot Objective'!$C$9^4)*Y1439*Z1439</f>
        <v>11944364.20861458</v>
      </c>
      <c r="AB1439" s="166">
        <v>0</v>
      </c>
      <c r="AC1439" s="166">
        <v>0</v>
      </c>
      <c r="AD1439" s="164">
        <f>($L1439*'Pivot Objective'!$C$9^5)*AB1439*AC1439</f>
        <v>0</v>
      </c>
      <c r="AE1439" s="166">
        <v>0</v>
      </c>
      <c r="AF1439" s="166">
        <v>0</v>
      </c>
      <c r="AG1439" s="164">
        <f>($L1439*'Pivot Objective'!$C$9^6)*AE1439*AF1439</f>
        <v>0</v>
      </c>
      <c r="AH1439" s="166">
        <v>100</v>
      </c>
      <c r="AI1439" s="166">
        <v>5</v>
      </c>
      <c r="AJ1439" s="164">
        <f>($L1439*'Pivot Objective'!$C$9^7)*AH1439*AI1439</f>
        <v>44581204.100151524</v>
      </c>
      <c r="AK1439" s="185">
        <f t="shared" si="168"/>
        <v>76526687.506266102</v>
      </c>
      <c r="AL1439" s="186">
        <f t="shared" si="169"/>
        <v>74297.754860452522</v>
      </c>
    </row>
    <row r="1440" spans="1:38" customFormat="1" ht="57.6" x14ac:dyDescent="0.3">
      <c r="A1440" s="140" t="s">
        <v>1484</v>
      </c>
      <c r="B1440" s="140">
        <v>3</v>
      </c>
      <c r="C1440" s="166" t="s">
        <v>696</v>
      </c>
      <c r="D1440" s="140" t="str">
        <f t="shared" si="165"/>
        <v>1</v>
      </c>
      <c r="E1440" s="166" t="s">
        <v>689</v>
      </c>
      <c r="F1440" s="140">
        <f t="shared" si="170"/>
        <v>2</v>
      </c>
      <c r="G1440" s="140" t="str">
        <f t="shared" si="166"/>
        <v>3.1.2</v>
      </c>
      <c r="H1440" s="166" t="s">
        <v>1715</v>
      </c>
      <c r="I1440" s="166" t="s">
        <v>5</v>
      </c>
      <c r="J1440" s="166" t="s">
        <v>210</v>
      </c>
      <c r="K1440" s="166" t="s">
        <v>716</v>
      </c>
      <c r="L1440" s="177">
        <v>39000</v>
      </c>
      <c r="M1440" s="140"/>
      <c r="N1440" s="140"/>
      <c r="O1440" s="164">
        <f t="shared" si="167"/>
        <v>0</v>
      </c>
      <c r="P1440" s="166">
        <v>58</v>
      </c>
      <c r="Q1440" s="166">
        <v>6</v>
      </c>
      <c r="R1440" s="164">
        <f>$L1440*'Pivot Objective'!$C$9*P1440*Q1440</f>
        <v>15511725.128483998</v>
      </c>
      <c r="S1440" s="166">
        <v>0</v>
      </c>
      <c r="T1440" s="166">
        <v>0</v>
      </c>
      <c r="U1440" s="164">
        <f>($L1440*'Pivot Objective'!$C$9^2)*S1440*T1440</f>
        <v>0</v>
      </c>
      <c r="V1440" s="166">
        <v>0</v>
      </c>
      <c r="W1440" s="166">
        <v>0</v>
      </c>
      <c r="X1440" s="164">
        <f>($L1440*'Pivot Objective'!$C$9^3)*V1440*W1440</f>
        <v>0</v>
      </c>
      <c r="Y1440" s="166">
        <v>40</v>
      </c>
      <c r="Z1440" s="166">
        <v>5</v>
      </c>
      <c r="AA1440" s="164">
        <f>($L1440*'Pivot Objective'!$C$9^4)*Y1440*Z1440</f>
        <v>13309434.403884819</v>
      </c>
      <c r="AB1440" s="166">
        <v>0</v>
      </c>
      <c r="AC1440" s="166">
        <v>0</v>
      </c>
      <c r="AD1440" s="164">
        <f>($L1440*'Pivot Objective'!$C$9^5)*AB1440*AC1440</f>
        <v>0</v>
      </c>
      <c r="AE1440" s="166">
        <v>0</v>
      </c>
      <c r="AF1440" s="166">
        <v>0</v>
      </c>
      <c r="AG1440" s="164">
        <f>($L1440*'Pivot Objective'!$C$9^6)*AE1440*AF1440</f>
        <v>0</v>
      </c>
      <c r="AH1440" s="166">
        <v>58</v>
      </c>
      <c r="AI1440" s="166">
        <v>6</v>
      </c>
      <c r="AJ1440" s="164">
        <f>($L1440*'Pivot Objective'!$C$9^7)*AH1440*AI1440</f>
        <v>34574634.402700365</v>
      </c>
      <c r="AK1440" s="185">
        <f t="shared" si="168"/>
        <v>63395793.935069181</v>
      </c>
      <c r="AL1440" s="186">
        <f t="shared" si="169"/>
        <v>61549.314500067165</v>
      </c>
    </row>
    <row r="1441" spans="1:38" customFormat="1" ht="57.6" x14ac:dyDescent="0.3">
      <c r="A1441" s="140" t="s">
        <v>1484</v>
      </c>
      <c r="B1441" s="140">
        <v>3</v>
      </c>
      <c r="C1441" s="166" t="s">
        <v>696</v>
      </c>
      <c r="D1441" s="140" t="str">
        <f t="shared" si="165"/>
        <v>1</v>
      </c>
      <c r="E1441" s="166" t="s">
        <v>689</v>
      </c>
      <c r="F1441" s="140">
        <f t="shared" si="170"/>
        <v>2</v>
      </c>
      <c r="G1441" s="140" t="str">
        <f t="shared" si="166"/>
        <v>3.1.2</v>
      </c>
      <c r="H1441" s="166" t="s">
        <v>1715</v>
      </c>
      <c r="I1441" s="166" t="s">
        <v>5</v>
      </c>
      <c r="J1441" s="166" t="s">
        <v>210</v>
      </c>
      <c r="K1441" s="166" t="s">
        <v>1350</v>
      </c>
      <c r="L1441" s="177">
        <f>1480/7</f>
        <v>211.42857142857142</v>
      </c>
      <c r="M1441" s="140"/>
      <c r="N1441" s="140"/>
      <c r="O1441" s="164">
        <f t="shared" si="167"/>
        <v>0</v>
      </c>
      <c r="P1441" s="166">
        <f>2*135*29</f>
        <v>7830</v>
      </c>
      <c r="Q1441" s="166">
        <v>1</v>
      </c>
      <c r="R1441" s="164">
        <f>$L1441*'Pivot Objective'!$C$9*P1441*Q1441</f>
        <v>1892089.548639257</v>
      </c>
      <c r="S1441" s="166"/>
      <c r="T1441" s="166"/>
      <c r="U1441" s="164">
        <f>($L1441*'Pivot Objective'!$C$9^2)*S1441*T1441</f>
        <v>0</v>
      </c>
      <c r="V1441" s="166"/>
      <c r="W1441" s="166"/>
      <c r="X1441" s="164">
        <f>($L1441*'Pivot Objective'!$C$9^3)*V1441*W1441</f>
        <v>0</v>
      </c>
      <c r="Y1441" s="166"/>
      <c r="Z1441" s="166"/>
      <c r="AA1441" s="164">
        <f>($L1441*'Pivot Objective'!$C$9^4)*Y1441*Z1441</f>
        <v>0</v>
      </c>
      <c r="AB1441" s="166"/>
      <c r="AC1441" s="166"/>
      <c r="AD1441" s="164">
        <f>($L1441*'Pivot Objective'!$C$9^5)*AB1441*AC1441</f>
        <v>0</v>
      </c>
      <c r="AE1441" s="166"/>
      <c r="AF1441" s="166"/>
      <c r="AG1441" s="164">
        <f>($L1441*'Pivot Objective'!$C$9^6)*AE1441*AF1441</f>
        <v>0</v>
      </c>
      <c r="AH1441" s="166">
        <f>2*135*29</f>
        <v>7830</v>
      </c>
      <c r="AI1441" s="166">
        <v>1</v>
      </c>
      <c r="AJ1441" s="164">
        <f>($L1441*'Pivot Objective'!$C$9^7)*AH1441*AI1441</f>
        <v>4217345.5150546599</v>
      </c>
      <c r="AK1441" s="185">
        <f t="shared" si="168"/>
        <v>6109435.0636939164</v>
      </c>
      <c r="AL1441" s="186">
        <f t="shared" si="169"/>
        <v>5931.4903531008895</v>
      </c>
    </row>
    <row r="1442" spans="1:38" customFormat="1" ht="57.6" x14ac:dyDescent="0.3">
      <c r="A1442" s="140" t="s">
        <v>1484</v>
      </c>
      <c r="B1442" s="140">
        <v>3</v>
      </c>
      <c r="C1442" s="166" t="s">
        <v>696</v>
      </c>
      <c r="D1442" s="140" t="str">
        <f t="shared" si="165"/>
        <v>1</v>
      </c>
      <c r="E1442" s="166" t="s">
        <v>689</v>
      </c>
      <c r="F1442" s="140">
        <f t="shared" si="170"/>
        <v>2</v>
      </c>
      <c r="G1442" s="140" t="str">
        <f t="shared" si="166"/>
        <v>3.1.2</v>
      </c>
      <c r="H1442" s="166" t="s">
        <v>1715</v>
      </c>
      <c r="I1442" s="166" t="s">
        <v>5</v>
      </c>
      <c r="J1442" s="166" t="s">
        <v>210</v>
      </c>
      <c r="K1442" s="166" t="s">
        <v>712</v>
      </c>
      <c r="L1442" s="177">
        <f>1480/7</f>
        <v>211.42857142857142</v>
      </c>
      <c r="M1442" s="140"/>
      <c r="N1442" s="140"/>
      <c r="O1442" s="164">
        <f t="shared" si="167"/>
        <v>0</v>
      </c>
      <c r="P1442" s="166">
        <f>25*2*29</f>
        <v>1450</v>
      </c>
      <c r="Q1442" s="166">
        <v>5</v>
      </c>
      <c r="R1442" s="164">
        <f>$L1442*'Pivot Objective'!$C$9*P1442*Q1442</f>
        <v>1751934.7672585712</v>
      </c>
      <c r="S1442" s="166"/>
      <c r="T1442" s="166"/>
      <c r="U1442" s="164">
        <f>($L1442*'Pivot Objective'!$C$9^2)*S1442*T1442</f>
        <v>0</v>
      </c>
      <c r="V1442" s="166"/>
      <c r="W1442" s="166"/>
      <c r="X1442" s="164">
        <f>($L1442*'Pivot Objective'!$C$9^3)*V1442*W1442</f>
        <v>0</v>
      </c>
      <c r="Y1442" s="166"/>
      <c r="Z1442" s="166"/>
      <c r="AA1442" s="164">
        <f>($L1442*'Pivot Objective'!$C$9^4)*Y1442*Z1442</f>
        <v>0</v>
      </c>
      <c r="AB1442" s="166"/>
      <c r="AC1442" s="166"/>
      <c r="AD1442" s="164">
        <f>($L1442*'Pivot Objective'!$C$9^5)*AB1442*AC1442</f>
        <v>0</v>
      </c>
      <c r="AE1442" s="166"/>
      <c r="AF1442" s="166"/>
      <c r="AG1442" s="164">
        <f>($L1442*'Pivot Objective'!$C$9^6)*AE1442*AF1442</f>
        <v>0</v>
      </c>
      <c r="AH1442" s="166">
        <f>25*2*29</f>
        <v>1450</v>
      </c>
      <c r="AI1442" s="166">
        <v>5</v>
      </c>
      <c r="AJ1442" s="164">
        <f>($L1442*'Pivot Objective'!$C$9^7)*AH1442*AI1442</f>
        <v>3904949.5509765372</v>
      </c>
      <c r="AK1442" s="185">
        <f t="shared" si="168"/>
        <v>5656884.3182351086</v>
      </c>
      <c r="AL1442" s="186">
        <f t="shared" si="169"/>
        <v>5492.1206973156395</v>
      </c>
    </row>
    <row r="1443" spans="1:38" customFormat="1" ht="43.2" x14ac:dyDescent="0.3">
      <c r="A1443" s="140" t="s">
        <v>1484</v>
      </c>
      <c r="B1443" s="140">
        <v>3</v>
      </c>
      <c r="C1443" s="166" t="s">
        <v>696</v>
      </c>
      <c r="D1443" s="140" t="str">
        <f t="shared" si="165"/>
        <v>1</v>
      </c>
      <c r="E1443" s="166" t="s">
        <v>689</v>
      </c>
      <c r="F1443" s="140">
        <f t="shared" si="170"/>
        <v>3</v>
      </c>
      <c r="G1443" s="140" t="str">
        <f t="shared" si="166"/>
        <v>3.1.3</v>
      </c>
      <c r="H1443" s="166" t="s">
        <v>1716</v>
      </c>
      <c r="I1443" s="166" t="s">
        <v>7</v>
      </c>
      <c r="J1443" s="166" t="s">
        <v>212</v>
      </c>
      <c r="K1443" s="166" t="s">
        <v>718</v>
      </c>
      <c r="L1443" s="177">
        <v>0</v>
      </c>
      <c r="M1443" s="140"/>
      <c r="N1443" s="140"/>
      <c r="O1443" s="164">
        <f t="shared" si="167"/>
        <v>0</v>
      </c>
      <c r="P1443" s="166">
        <v>0</v>
      </c>
      <c r="Q1443" s="166">
        <v>0</v>
      </c>
      <c r="R1443" s="164">
        <f>$L1443*'Pivot Objective'!$C$9*P1443*Q1443</f>
        <v>0</v>
      </c>
      <c r="S1443" s="166">
        <v>0</v>
      </c>
      <c r="T1443" s="166">
        <v>0</v>
      </c>
      <c r="U1443" s="164">
        <f>($L1443*'Pivot Objective'!$C$9^2)*S1443*T1443</f>
        <v>0</v>
      </c>
      <c r="V1443" s="166">
        <v>0</v>
      </c>
      <c r="W1443" s="166">
        <v>0</v>
      </c>
      <c r="X1443" s="164">
        <f>($L1443*'Pivot Objective'!$C$9^3)*V1443*W1443</f>
        <v>0</v>
      </c>
      <c r="Y1443" s="166">
        <v>0</v>
      </c>
      <c r="Z1443" s="166">
        <v>0</v>
      </c>
      <c r="AA1443" s="164">
        <f>($L1443*'Pivot Objective'!$C$9^4)*Y1443*Z1443</f>
        <v>0</v>
      </c>
      <c r="AB1443" s="166">
        <v>0</v>
      </c>
      <c r="AC1443" s="166">
        <v>0</v>
      </c>
      <c r="AD1443" s="164">
        <f>($L1443*'Pivot Objective'!$C$9^5)*AB1443*AC1443</f>
        <v>0</v>
      </c>
      <c r="AE1443" s="166">
        <v>0</v>
      </c>
      <c r="AF1443" s="166">
        <v>0</v>
      </c>
      <c r="AG1443" s="164">
        <f>($L1443*'Pivot Objective'!$C$9^6)*AE1443*AF1443</f>
        <v>0</v>
      </c>
      <c r="AH1443" s="166">
        <v>0</v>
      </c>
      <c r="AI1443" s="166">
        <v>0</v>
      </c>
      <c r="AJ1443" s="164">
        <f>($L1443*'Pivot Objective'!$C$9^7)*AH1443*AI1443</f>
        <v>0</v>
      </c>
      <c r="AK1443" s="185">
        <f t="shared" si="168"/>
        <v>0</v>
      </c>
      <c r="AL1443" s="186">
        <f t="shared" si="169"/>
        <v>0</v>
      </c>
    </row>
    <row r="1444" spans="1:38" customFormat="1" ht="43.2" x14ac:dyDescent="0.3">
      <c r="A1444" s="140" t="s">
        <v>1484</v>
      </c>
      <c r="B1444" s="140">
        <v>3</v>
      </c>
      <c r="C1444" s="166" t="s">
        <v>696</v>
      </c>
      <c r="D1444" s="140" t="str">
        <f t="shared" si="165"/>
        <v>1</v>
      </c>
      <c r="E1444" s="166" t="s">
        <v>689</v>
      </c>
      <c r="F1444" s="140">
        <f t="shared" si="170"/>
        <v>3</v>
      </c>
      <c r="G1444" s="140" t="str">
        <f t="shared" si="166"/>
        <v>3.1.3</v>
      </c>
      <c r="H1444" s="166" t="s">
        <v>1716</v>
      </c>
      <c r="I1444" s="166" t="s">
        <v>7</v>
      </c>
      <c r="J1444" s="166" t="s">
        <v>213</v>
      </c>
      <c r="K1444" s="166" t="s">
        <v>718</v>
      </c>
      <c r="L1444" s="177">
        <v>0</v>
      </c>
      <c r="M1444" s="140"/>
      <c r="N1444" s="140"/>
      <c r="O1444" s="164">
        <f t="shared" si="167"/>
        <v>0</v>
      </c>
      <c r="P1444" s="166">
        <v>0</v>
      </c>
      <c r="Q1444" s="166">
        <v>0</v>
      </c>
      <c r="R1444" s="164">
        <f>$L1444*'Pivot Objective'!$C$9*P1444*Q1444</f>
        <v>0</v>
      </c>
      <c r="S1444" s="166">
        <v>0</v>
      </c>
      <c r="T1444" s="166">
        <v>0</v>
      </c>
      <c r="U1444" s="164">
        <f>($L1444*'Pivot Objective'!$C$9^2)*S1444*T1444</f>
        <v>0</v>
      </c>
      <c r="V1444" s="166">
        <v>0</v>
      </c>
      <c r="W1444" s="166">
        <v>0</v>
      </c>
      <c r="X1444" s="164">
        <f>($L1444*'Pivot Objective'!$C$9^3)*V1444*W1444</f>
        <v>0</v>
      </c>
      <c r="Y1444" s="166">
        <v>0</v>
      </c>
      <c r="Z1444" s="166">
        <v>0</v>
      </c>
      <c r="AA1444" s="164">
        <f>($L1444*'Pivot Objective'!$C$9^4)*Y1444*Z1444</f>
        <v>0</v>
      </c>
      <c r="AB1444" s="166">
        <v>0</v>
      </c>
      <c r="AC1444" s="166">
        <v>0</v>
      </c>
      <c r="AD1444" s="164">
        <f>($L1444*'Pivot Objective'!$C$9^5)*AB1444*AC1444</f>
        <v>0</v>
      </c>
      <c r="AE1444" s="166">
        <v>0</v>
      </c>
      <c r="AF1444" s="166">
        <v>0</v>
      </c>
      <c r="AG1444" s="164">
        <f>($L1444*'Pivot Objective'!$C$9^6)*AE1444*AF1444</f>
        <v>0</v>
      </c>
      <c r="AH1444" s="166">
        <v>0</v>
      </c>
      <c r="AI1444" s="166">
        <v>0</v>
      </c>
      <c r="AJ1444" s="164">
        <f>($L1444*'Pivot Objective'!$C$9^7)*AH1444*AI1444</f>
        <v>0</v>
      </c>
      <c r="AK1444" s="185">
        <f t="shared" si="168"/>
        <v>0</v>
      </c>
      <c r="AL1444" s="186">
        <f t="shared" si="169"/>
        <v>0</v>
      </c>
    </row>
    <row r="1445" spans="1:38" customFormat="1" ht="57.6" x14ac:dyDescent="0.3">
      <c r="A1445" s="140" t="s">
        <v>1484</v>
      </c>
      <c r="B1445" s="140">
        <v>3</v>
      </c>
      <c r="C1445" s="166" t="s">
        <v>696</v>
      </c>
      <c r="D1445" s="140" t="str">
        <f t="shared" si="165"/>
        <v>1</v>
      </c>
      <c r="E1445" s="166" t="s">
        <v>689</v>
      </c>
      <c r="F1445" s="140">
        <f t="shared" si="170"/>
        <v>3</v>
      </c>
      <c r="G1445" s="140" t="str">
        <f t="shared" si="166"/>
        <v>3.1.3</v>
      </c>
      <c r="H1445" s="166" t="s">
        <v>1716</v>
      </c>
      <c r="I1445" s="166" t="s">
        <v>8</v>
      </c>
      <c r="J1445" s="166" t="s">
        <v>214</v>
      </c>
      <c r="K1445" s="166" t="s">
        <v>709</v>
      </c>
      <c r="L1445" s="177">
        <v>35000</v>
      </c>
      <c r="M1445" s="140"/>
      <c r="N1445" s="140"/>
      <c r="O1445" s="164">
        <f t="shared" si="167"/>
        <v>0</v>
      </c>
      <c r="P1445" s="140"/>
      <c r="Q1445" s="140"/>
      <c r="R1445" s="164">
        <f>$L1445*'Pivot Objective'!$C$9*P1445*Q1445</f>
        <v>0</v>
      </c>
      <c r="S1445" s="166">
        <v>0</v>
      </c>
      <c r="T1445" s="166">
        <v>0</v>
      </c>
      <c r="U1445" s="164">
        <f>($L1445*'Pivot Objective'!$C$9^2)*S1445*T1445</f>
        <v>0</v>
      </c>
      <c r="V1445" s="166">
        <v>0</v>
      </c>
      <c r="W1445" s="166">
        <v>0</v>
      </c>
      <c r="X1445" s="164">
        <f>($L1445*'Pivot Objective'!$C$9^3)*V1445*W1445</f>
        <v>0</v>
      </c>
      <c r="Y1445" s="166"/>
      <c r="Z1445" s="166"/>
      <c r="AA1445" s="164">
        <f>($L1445*'Pivot Objective'!$C$9^4)*Y1445*Z1445</f>
        <v>0</v>
      </c>
      <c r="AB1445" s="166">
        <v>0</v>
      </c>
      <c r="AC1445" s="166">
        <v>0</v>
      </c>
      <c r="AD1445" s="164">
        <f>($L1445*'Pivot Objective'!$C$9^5)*AB1445*AC1445</f>
        <v>0</v>
      </c>
      <c r="AE1445" s="166">
        <v>0</v>
      </c>
      <c r="AF1445" s="166">
        <v>0</v>
      </c>
      <c r="AG1445" s="164">
        <f>($L1445*'Pivot Objective'!$C$9^6)*AE1445*AF1445</f>
        <v>0</v>
      </c>
      <c r="AH1445" s="140"/>
      <c r="AI1445" s="140"/>
      <c r="AJ1445" s="164">
        <f>($L1445*'Pivot Objective'!$C$9^7)*AH1445*AI1445</f>
        <v>0</v>
      </c>
      <c r="AK1445" s="185">
        <f t="shared" si="168"/>
        <v>0</v>
      </c>
      <c r="AL1445" s="186">
        <f t="shared" si="169"/>
        <v>0</v>
      </c>
    </row>
    <row r="1446" spans="1:38" customFormat="1" ht="57.6" x14ac:dyDescent="0.3">
      <c r="A1446" s="140" t="s">
        <v>1484</v>
      </c>
      <c r="B1446" s="140">
        <v>3</v>
      </c>
      <c r="C1446" s="166" t="s">
        <v>696</v>
      </c>
      <c r="D1446" s="140" t="str">
        <f t="shared" si="165"/>
        <v>1</v>
      </c>
      <c r="E1446" s="166" t="s">
        <v>689</v>
      </c>
      <c r="F1446" s="140">
        <f t="shared" si="170"/>
        <v>3</v>
      </c>
      <c r="G1446" s="140" t="str">
        <f t="shared" si="166"/>
        <v>3.1.3</v>
      </c>
      <c r="H1446" s="166" t="s">
        <v>1716</v>
      </c>
      <c r="I1446" s="166" t="s">
        <v>8</v>
      </c>
      <c r="J1446" s="166" t="s">
        <v>215</v>
      </c>
      <c r="K1446" s="166" t="s">
        <v>718</v>
      </c>
      <c r="L1446" s="177">
        <v>0</v>
      </c>
      <c r="M1446" s="140"/>
      <c r="N1446" s="140"/>
      <c r="O1446" s="164">
        <f t="shared" si="167"/>
        <v>0</v>
      </c>
      <c r="P1446" s="166">
        <v>0</v>
      </c>
      <c r="Q1446" s="166">
        <v>0</v>
      </c>
      <c r="R1446" s="164">
        <f>$L1446*'Pivot Objective'!$C$9*P1446*Q1446</f>
        <v>0</v>
      </c>
      <c r="S1446" s="166">
        <v>0</v>
      </c>
      <c r="T1446" s="166">
        <v>0</v>
      </c>
      <c r="U1446" s="164">
        <f>($L1446*'Pivot Objective'!$C$9^2)*S1446*T1446</f>
        <v>0</v>
      </c>
      <c r="V1446" s="166">
        <v>0</v>
      </c>
      <c r="W1446" s="166">
        <v>0</v>
      </c>
      <c r="X1446" s="164">
        <f>($L1446*'Pivot Objective'!$C$9^3)*V1446*W1446</f>
        <v>0</v>
      </c>
      <c r="Y1446" s="166">
        <v>0</v>
      </c>
      <c r="Z1446" s="166">
        <v>0</v>
      </c>
      <c r="AA1446" s="164">
        <f>($L1446*'Pivot Objective'!$C$9^4)*Y1446*Z1446</f>
        <v>0</v>
      </c>
      <c r="AB1446" s="166">
        <v>0</v>
      </c>
      <c r="AC1446" s="166">
        <v>0</v>
      </c>
      <c r="AD1446" s="164">
        <f>($L1446*'Pivot Objective'!$C$9^5)*AB1446*AC1446</f>
        <v>0</v>
      </c>
      <c r="AE1446" s="166">
        <v>0</v>
      </c>
      <c r="AF1446" s="166">
        <v>0</v>
      </c>
      <c r="AG1446" s="164">
        <f>($L1446*'Pivot Objective'!$C$9^6)*AE1446*AF1446</f>
        <v>0</v>
      </c>
      <c r="AH1446" s="166">
        <v>0</v>
      </c>
      <c r="AI1446" s="166">
        <v>0</v>
      </c>
      <c r="AJ1446" s="164">
        <f>($L1446*'Pivot Objective'!$C$9^7)*AH1446*AI1446</f>
        <v>0</v>
      </c>
      <c r="AK1446" s="185">
        <f t="shared" si="168"/>
        <v>0</v>
      </c>
      <c r="AL1446" s="186">
        <f t="shared" si="169"/>
        <v>0</v>
      </c>
    </row>
    <row r="1447" spans="1:38" customFormat="1" ht="57.6" x14ac:dyDescent="0.3">
      <c r="A1447" s="140" t="s">
        <v>1484</v>
      </c>
      <c r="B1447" s="140">
        <v>3</v>
      </c>
      <c r="C1447" s="166" t="s">
        <v>696</v>
      </c>
      <c r="D1447" s="140" t="str">
        <f t="shared" si="165"/>
        <v>1</v>
      </c>
      <c r="E1447" s="166" t="s">
        <v>689</v>
      </c>
      <c r="F1447" s="140">
        <f t="shared" si="170"/>
        <v>3</v>
      </c>
      <c r="G1447" s="140" t="str">
        <f t="shared" si="166"/>
        <v>3.1.3</v>
      </c>
      <c r="H1447" s="166" t="s">
        <v>1716</v>
      </c>
      <c r="I1447" s="166" t="s">
        <v>8</v>
      </c>
      <c r="J1447" s="166" t="s">
        <v>216</v>
      </c>
      <c r="K1447" s="166" t="s">
        <v>708</v>
      </c>
      <c r="L1447" s="177">
        <f>500*1022</f>
        <v>511000</v>
      </c>
      <c r="M1447" s="140"/>
      <c r="N1447" s="140"/>
      <c r="O1447" s="164">
        <f t="shared" si="167"/>
        <v>0</v>
      </c>
      <c r="P1447" s="166">
        <v>1</v>
      </c>
      <c r="Q1447" s="166">
        <v>25</v>
      </c>
      <c r="R1447" s="164">
        <f>$L1447*'Pivot Objective'!$C$9*P1447*Q1447</f>
        <v>14600817.014174998</v>
      </c>
      <c r="S1447" s="166">
        <v>0</v>
      </c>
      <c r="T1447" s="166">
        <v>0</v>
      </c>
      <c r="U1447" s="164">
        <f>($L1447*'Pivot Objective'!$C$9^2)*S1447*T1447</f>
        <v>0</v>
      </c>
      <c r="V1447" s="166">
        <v>0</v>
      </c>
      <c r="W1447" s="166">
        <v>0</v>
      </c>
      <c r="X1447" s="164">
        <f>($L1447*'Pivot Objective'!$C$9^3)*V1447*W1447</f>
        <v>0</v>
      </c>
      <c r="Y1447" s="166">
        <v>3</v>
      </c>
      <c r="Z1447" s="166">
        <v>40</v>
      </c>
      <c r="AA1447" s="164">
        <f>($L1447*'Pivot Objective'!$C$9^4)*Y1447*Z1447</f>
        <v>104632630.46746372</v>
      </c>
      <c r="AB1447" s="166">
        <v>0</v>
      </c>
      <c r="AC1447" s="166">
        <v>0</v>
      </c>
      <c r="AD1447" s="164">
        <f>($L1447*'Pivot Objective'!$C$9^5)*AB1447*AC1447</f>
        <v>0</v>
      </c>
      <c r="AE1447" s="166">
        <v>0</v>
      </c>
      <c r="AF1447" s="166">
        <v>0</v>
      </c>
      <c r="AG1447" s="164">
        <f>($L1447*'Pivot Objective'!$C$9^6)*AE1447*AF1447</f>
        <v>0</v>
      </c>
      <c r="AH1447" s="166">
        <v>1</v>
      </c>
      <c r="AI1447" s="166">
        <v>25</v>
      </c>
      <c r="AJ1447" s="164">
        <f>($L1447*'Pivot Objective'!$C$9^7)*AH1447*AI1447</f>
        <v>32544278.993110616</v>
      </c>
      <c r="AK1447" s="185">
        <f t="shared" si="168"/>
        <v>151777726.47474933</v>
      </c>
      <c r="AL1447" s="186">
        <f t="shared" si="169"/>
        <v>147357.01599490226</v>
      </c>
    </row>
    <row r="1448" spans="1:38" customFormat="1" ht="57.6" x14ac:dyDescent="0.3">
      <c r="A1448" s="140" t="s">
        <v>1484</v>
      </c>
      <c r="B1448" s="140">
        <v>3</v>
      </c>
      <c r="C1448" s="166" t="s">
        <v>696</v>
      </c>
      <c r="D1448" s="140" t="str">
        <f t="shared" si="165"/>
        <v>1</v>
      </c>
      <c r="E1448" s="166" t="s">
        <v>689</v>
      </c>
      <c r="F1448" s="140">
        <f t="shared" si="170"/>
        <v>3</v>
      </c>
      <c r="G1448" s="140" t="str">
        <f t="shared" si="166"/>
        <v>3.1.3</v>
      </c>
      <c r="H1448" s="166" t="s">
        <v>1716</v>
      </c>
      <c r="I1448" s="166" t="s">
        <v>8</v>
      </c>
      <c r="J1448" s="166" t="s">
        <v>216</v>
      </c>
      <c r="K1448" s="166" t="s">
        <v>707</v>
      </c>
      <c r="L1448" s="177">
        <v>391991.03749999998</v>
      </c>
      <c r="M1448" s="140"/>
      <c r="N1448" s="140"/>
      <c r="O1448" s="164">
        <f t="shared" si="167"/>
        <v>0</v>
      </c>
      <c r="P1448" s="166">
        <v>2</v>
      </c>
      <c r="Q1448" s="166">
        <v>2</v>
      </c>
      <c r="R1448" s="164">
        <f>$L1448*'Pivot Objective'!$C$9*P1448*Q1448</f>
        <v>1792059.3063746723</v>
      </c>
      <c r="S1448" s="166">
        <v>0</v>
      </c>
      <c r="T1448" s="166">
        <v>0</v>
      </c>
      <c r="U1448" s="164">
        <f>($L1448*'Pivot Objective'!$C$9^2)*S1448*T1448</f>
        <v>0</v>
      </c>
      <c r="V1448" s="166">
        <v>0</v>
      </c>
      <c r="W1448" s="166">
        <v>0</v>
      </c>
      <c r="X1448" s="164">
        <f>($L1448*'Pivot Objective'!$C$9^3)*V1448*W1448</f>
        <v>0</v>
      </c>
      <c r="Y1448" s="166">
        <v>1</v>
      </c>
      <c r="Z1448" s="166">
        <v>4</v>
      </c>
      <c r="AA1448" s="164">
        <f>($L1448*'Pivot Objective'!$C$9^4)*Y1448*Z1448</f>
        <v>2675476.4105215403</v>
      </c>
      <c r="AB1448" s="166">
        <v>0</v>
      </c>
      <c r="AC1448" s="166">
        <v>0</v>
      </c>
      <c r="AD1448" s="164">
        <f>($L1448*'Pivot Objective'!$C$9^5)*AB1448*AC1448</f>
        <v>0</v>
      </c>
      <c r="AE1448" s="166">
        <v>0</v>
      </c>
      <c r="AF1448" s="166">
        <v>0</v>
      </c>
      <c r="AG1448" s="164">
        <f>($L1448*'Pivot Objective'!$C$9^6)*AE1448*AF1448</f>
        <v>0</v>
      </c>
      <c r="AH1448" s="166">
        <v>2</v>
      </c>
      <c r="AI1448" s="166">
        <v>2</v>
      </c>
      <c r="AJ1448" s="164">
        <f>($L1448*'Pivot Objective'!$C$9^7)*AH1448*AI1448</f>
        <v>3994384.5595926056</v>
      </c>
      <c r="AK1448" s="185">
        <f t="shared" si="168"/>
        <v>8461920.2764888182</v>
      </c>
      <c r="AL1448" s="186">
        <f t="shared" si="169"/>
        <v>8215.4565791153582</v>
      </c>
    </row>
    <row r="1449" spans="1:38" customFormat="1" ht="43.2" x14ac:dyDescent="0.3">
      <c r="A1449" s="140" t="s">
        <v>1484</v>
      </c>
      <c r="B1449" s="140">
        <v>3</v>
      </c>
      <c r="C1449" s="166" t="s">
        <v>696</v>
      </c>
      <c r="D1449" s="140" t="str">
        <f t="shared" si="165"/>
        <v>1</v>
      </c>
      <c r="E1449" s="166" t="s">
        <v>689</v>
      </c>
      <c r="F1449" s="140">
        <f t="shared" si="170"/>
        <v>3</v>
      </c>
      <c r="G1449" s="140" t="str">
        <f t="shared" si="166"/>
        <v>3.1.3</v>
      </c>
      <c r="H1449" s="166" t="s">
        <v>1716</v>
      </c>
      <c r="I1449" s="166" t="s">
        <v>9</v>
      </c>
      <c r="J1449" s="166" t="s">
        <v>217</v>
      </c>
      <c r="K1449" s="166" t="s">
        <v>716</v>
      </c>
      <c r="L1449" s="177">
        <v>39000</v>
      </c>
      <c r="M1449" s="140"/>
      <c r="N1449" s="140"/>
      <c r="O1449" s="164">
        <f t="shared" si="167"/>
        <v>0</v>
      </c>
      <c r="P1449" s="166">
        <v>25</v>
      </c>
      <c r="Q1449" s="166">
        <v>6</v>
      </c>
      <c r="R1449" s="164">
        <f>$L1449*'Pivot Objective'!$C$9*P1449*Q1449</f>
        <v>6686088.4174499996</v>
      </c>
      <c r="S1449" s="166">
        <v>0</v>
      </c>
      <c r="T1449" s="166">
        <v>0</v>
      </c>
      <c r="U1449" s="164">
        <f>($L1449*'Pivot Objective'!$C$9^2)*S1449*T1449</f>
        <v>0</v>
      </c>
      <c r="V1449" s="166">
        <v>0</v>
      </c>
      <c r="W1449" s="166">
        <v>0</v>
      </c>
      <c r="X1449" s="164">
        <f>($L1449*'Pivot Objective'!$C$9^3)*V1449*W1449</f>
        <v>0</v>
      </c>
      <c r="Y1449" s="166">
        <v>40</v>
      </c>
      <c r="Z1449" s="166">
        <v>5</v>
      </c>
      <c r="AA1449" s="164">
        <f>($L1449*'Pivot Objective'!$C$9^4)*Y1449*Z1449</f>
        <v>13309434.403884819</v>
      </c>
      <c r="AB1449" s="166">
        <v>0</v>
      </c>
      <c r="AC1449" s="166">
        <v>0</v>
      </c>
      <c r="AD1449" s="164">
        <f>($L1449*'Pivot Objective'!$C$9^5)*AB1449*AC1449</f>
        <v>0</v>
      </c>
      <c r="AE1449" s="166">
        <v>0</v>
      </c>
      <c r="AF1449" s="166">
        <v>0</v>
      </c>
      <c r="AG1449" s="164">
        <f>($L1449*'Pivot Objective'!$C$9^6)*AE1449*AF1449</f>
        <v>0</v>
      </c>
      <c r="AH1449" s="166">
        <v>25</v>
      </c>
      <c r="AI1449" s="166">
        <v>6</v>
      </c>
      <c r="AJ1449" s="164">
        <f>($L1449*'Pivot Objective'!$C$9^7)*AH1449*AI1449</f>
        <v>14902859.656336365</v>
      </c>
      <c r="AK1449" s="185">
        <f t="shared" si="168"/>
        <v>34898382.477671184</v>
      </c>
      <c r="AL1449" s="186">
        <f t="shared" si="169"/>
        <v>33881.92473560309</v>
      </c>
    </row>
    <row r="1450" spans="1:38" customFormat="1" ht="43.2" x14ac:dyDescent="0.3">
      <c r="A1450" s="140" t="s">
        <v>1484</v>
      </c>
      <c r="B1450" s="140">
        <v>3</v>
      </c>
      <c r="C1450" s="166" t="s">
        <v>696</v>
      </c>
      <c r="D1450" s="140" t="str">
        <f t="shared" si="165"/>
        <v>1</v>
      </c>
      <c r="E1450" s="166" t="s">
        <v>689</v>
      </c>
      <c r="F1450" s="140">
        <f t="shared" si="170"/>
        <v>3</v>
      </c>
      <c r="G1450" s="140" t="str">
        <f t="shared" si="166"/>
        <v>3.1.3</v>
      </c>
      <c r="H1450" s="166" t="s">
        <v>1716</v>
      </c>
      <c r="I1450" s="166" t="s">
        <v>9</v>
      </c>
      <c r="J1450" s="166" t="s">
        <v>217</v>
      </c>
      <c r="K1450" s="166" t="s">
        <v>709</v>
      </c>
      <c r="L1450" s="177">
        <v>35000</v>
      </c>
      <c r="M1450" s="140"/>
      <c r="N1450" s="140"/>
      <c r="O1450" s="164">
        <f t="shared" si="167"/>
        <v>0</v>
      </c>
      <c r="P1450" s="166">
        <v>25</v>
      </c>
      <c r="Q1450" s="166">
        <v>5</v>
      </c>
      <c r="R1450" s="164">
        <f>$L1450*'Pivot Objective'!$C$9*P1450*Q1450</f>
        <v>5000279.7993749995</v>
      </c>
      <c r="S1450" s="166">
        <v>0</v>
      </c>
      <c r="T1450" s="166">
        <v>0</v>
      </c>
      <c r="U1450" s="164">
        <f>($L1450*'Pivot Objective'!$C$9^2)*S1450*T1450</f>
        <v>0</v>
      </c>
      <c r="V1450" s="166">
        <v>0</v>
      </c>
      <c r="W1450" s="166">
        <v>0</v>
      </c>
      <c r="X1450" s="164">
        <f>($L1450*'Pivot Objective'!$C$9^3)*V1450*W1450</f>
        <v>0</v>
      </c>
      <c r="Y1450" s="166">
        <v>40</v>
      </c>
      <c r="Z1450" s="166">
        <v>5</v>
      </c>
      <c r="AA1450" s="164">
        <f>($L1450*'Pivot Objective'!$C$9^4)*Y1450*Z1450</f>
        <v>11944364.20861458</v>
      </c>
      <c r="AB1450" s="166">
        <v>0</v>
      </c>
      <c r="AC1450" s="166">
        <v>0</v>
      </c>
      <c r="AD1450" s="164">
        <f>($L1450*'Pivot Objective'!$C$9^5)*AB1450*AC1450</f>
        <v>0</v>
      </c>
      <c r="AE1450" s="166">
        <v>0</v>
      </c>
      <c r="AF1450" s="166">
        <v>0</v>
      </c>
      <c r="AG1450" s="164">
        <f>($L1450*'Pivot Objective'!$C$9^6)*AE1450*AF1450</f>
        <v>0</v>
      </c>
      <c r="AH1450" s="166">
        <v>25</v>
      </c>
      <c r="AI1450" s="166">
        <v>5</v>
      </c>
      <c r="AJ1450" s="164">
        <f>($L1450*'Pivot Objective'!$C$9^7)*AH1450*AI1450</f>
        <v>11145301.025037881</v>
      </c>
      <c r="AK1450" s="185">
        <f t="shared" si="168"/>
        <v>28089945.033027459</v>
      </c>
      <c r="AL1450" s="186">
        <f t="shared" si="169"/>
        <v>27271.791294201415</v>
      </c>
    </row>
    <row r="1451" spans="1:38" customFormat="1" ht="43.2" x14ac:dyDescent="0.3">
      <c r="A1451" s="140" t="s">
        <v>1484</v>
      </c>
      <c r="B1451" s="140">
        <v>3</v>
      </c>
      <c r="C1451" s="166" t="s">
        <v>696</v>
      </c>
      <c r="D1451" s="140" t="str">
        <f t="shared" si="165"/>
        <v>1</v>
      </c>
      <c r="E1451" s="166" t="s">
        <v>689</v>
      </c>
      <c r="F1451" s="140">
        <f t="shared" si="170"/>
        <v>3</v>
      </c>
      <c r="G1451" s="140" t="str">
        <f t="shared" si="166"/>
        <v>3.1.3</v>
      </c>
      <c r="H1451" s="166" t="s">
        <v>1716</v>
      </c>
      <c r="I1451" s="166" t="s">
        <v>9</v>
      </c>
      <c r="J1451" s="166" t="s">
        <v>217</v>
      </c>
      <c r="K1451" s="166" t="s">
        <v>1350</v>
      </c>
      <c r="L1451" s="177">
        <f>1480/7</f>
        <v>211.42857142857142</v>
      </c>
      <c r="M1451" s="140"/>
      <c r="N1451" s="140"/>
      <c r="O1451" s="164">
        <f t="shared" si="167"/>
        <v>0</v>
      </c>
      <c r="P1451" s="166">
        <f>2*135*9</f>
        <v>2430</v>
      </c>
      <c r="Q1451" s="166">
        <v>1</v>
      </c>
      <c r="R1451" s="164">
        <f>$L1451*'Pivot Objective'!$C$9*P1451*Q1451</f>
        <v>587200.20475011424</v>
      </c>
      <c r="S1451" s="166"/>
      <c r="T1451" s="166"/>
      <c r="U1451" s="164">
        <f>($L1451*'Pivot Objective'!$C$9^2)*S1451*T1451</f>
        <v>0</v>
      </c>
      <c r="V1451" s="166"/>
      <c r="W1451" s="166"/>
      <c r="X1451" s="164">
        <f>($L1451*'Pivot Objective'!$C$9^3)*V1451*W1451</f>
        <v>0</v>
      </c>
      <c r="Y1451" s="166"/>
      <c r="Z1451" s="166"/>
      <c r="AA1451" s="164">
        <f>($L1451*'Pivot Objective'!$C$9^4)*Y1451*Z1451</f>
        <v>0</v>
      </c>
      <c r="AB1451" s="166"/>
      <c r="AC1451" s="166"/>
      <c r="AD1451" s="164">
        <f>($L1451*'Pivot Objective'!$C$9^5)*AB1451*AC1451</f>
        <v>0</v>
      </c>
      <c r="AE1451" s="166"/>
      <c r="AF1451" s="166"/>
      <c r="AG1451" s="164">
        <f>($L1451*'Pivot Objective'!$C$9^6)*AE1451*AF1451</f>
        <v>0</v>
      </c>
      <c r="AH1451" s="166">
        <f>2*135*9</f>
        <v>2430</v>
      </c>
      <c r="AI1451" s="166">
        <v>1</v>
      </c>
      <c r="AJ1451" s="164">
        <f>($L1451*'Pivot Objective'!$C$9^7)*AH1451*AI1451</f>
        <v>1308831.3667411015</v>
      </c>
      <c r="AK1451" s="185">
        <f t="shared" si="168"/>
        <v>1896031.5714912158</v>
      </c>
      <c r="AL1451" s="186">
        <f t="shared" si="169"/>
        <v>1840.8073509623455</v>
      </c>
    </row>
    <row r="1452" spans="1:38" customFormat="1" ht="43.2" x14ac:dyDescent="0.3">
      <c r="A1452" s="140" t="s">
        <v>1484</v>
      </c>
      <c r="B1452" s="140">
        <v>3</v>
      </c>
      <c r="C1452" s="166" t="s">
        <v>696</v>
      </c>
      <c r="D1452" s="140" t="str">
        <f t="shared" si="165"/>
        <v>1</v>
      </c>
      <c r="E1452" s="166" t="s">
        <v>689</v>
      </c>
      <c r="F1452" s="140">
        <f t="shared" si="170"/>
        <v>3</v>
      </c>
      <c r="G1452" s="140" t="str">
        <f t="shared" si="166"/>
        <v>3.1.3</v>
      </c>
      <c r="H1452" s="166" t="s">
        <v>1716</v>
      </c>
      <c r="I1452" s="166" t="s">
        <v>9</v>
      </c>
      <c r="J1452" s="166" t="s">
        <v>217</v>
      </c>
      <c r="K1452" s="166" t="s">
        <v>712</v>
      </c>
      <c r="L1452" s="177">
        <f>1480/7</f>
        <v>211.42857142857142</v>
      </c>
      <c r="M1452" s="140"/>
      <c r="N1452" s="140"/>
      <c r="O1452" s="164">
        <f t="shared" si="167"/>
        <v>0</v>
      </c>
      <c r="P1452" s="166">
        <f>25*2*9</f>
        <v>450</v>
      </c>
      <c r="Q1452" s="166">
        <v>5</v>
      </c>
      <c r="R1452" s="164">
        <f>$L1452*'Pivot Objective'!$C$9*P1452*Q1452</f>
        <v>543703.89328714274</v>
      </c>
      <c r="S1452" s="166">
        <v>0</v>
      </c>
      <c r="T1452" s="166">
        <v>0</v>
      </c>
      <c r="U1452" s="164">
        <f>($L1452*'Pivot Objective'!$C$9^2)*S1452*T1452</f>
        <v>0</v>
      </c>
      <c r="V1452" s="166">
        <v>0</v>
      </c>
      <c r="W1452" s="166">
        <v>0</v>
      </c>
      <c r="X1452" s="164">
        <f>($L1452*'Pivot Objective'!$C$9^3)*V1452*W1452</f>
        <v>0</v>
      </c>
      <c r="Y1452" s="166">
        <v>20000</v>
      </c>
      <c r="Z1452" s="166">
        <v>1</v>
      </c>
      <c r="AA1452" s="164">
        <f>($L1452*'Pivot Objective'!$C$9^4)*Y1452*Z1452</f>
        <v>7215371.0321426839</v>
      </c>
      <c r="AB1452" s="166">
        <v>0</v>
      </c>
      <c r="AC1452" s="166">
        <v>0</v>
      </c>
      <c r="AD1452" s="164">
        <f>($L1452*'Pivot Objective'!$C$9^5)*AB1452*AC1452</f>
        <v>0</v>
      </c>
      <c r="AE1452" s="166">
        <v>0</v>
      </c>
      <c r="AF1452" s="166">
        <v>0</v>
      </c>
      <c r="AG1452" s="164">
        <f>($L1452*'Pivot Objective'!$C$9^6)*AE1452*AF1452</f>
        <v>0</v>
      </c>
      <c r="AH1452" s="166">
        <f>25*2*9</f>
        <v>450</v>
      </c>
      <c r="AI1452" s="166">
        <v>5</v>
      </c>
      <c r="AJ1452" s="164">
        <f>($L1452*'Pivot Objective'!$C$9^7)*AH1452*AI1452</f>
        <v>1211880.8951306494</v>
      </c>
      <c r="AK1452" s="185">
        <f t="shared" si="168"/>
        <v>8970955.8205604758</v>
      </c>
      <c r="AL1452" s="186">
        <f t="shared" si="169"/>
        <v>8709.6658452043448</v>
      </c>
    </row>
    <row r="1453" spans="1:38" customFormat="1" ht="43.2" x14ac:dyDescent="0.3">
      <c r="A1453" s="140" t="s">
        <v>1484</v>
      </c>
      <c r="B1453" s="140">
        <v>3</v>
      </c>
      <c r="C1453" s="166" t="s">
        <v>696</v>
      </c>
      <c r="D1453" s="140" t="str">
        <f t="shared" si="165"/>
        <v>1</v>
      </c>
      <c r="E1453" s="166" t="s">
        <v>689</v>
      </c>
      <c r="F1453" s="140">
        <f t="shared" si="170"/>
        <v>3</v>
      </c>
      <c r="G1453" s="140" t="str">
        <f t="shared" si="166"/>
        <v>3.1.3</v>
      </c>
      <c r="H1453" s="166" t="s">
        <v>1716</v>
      </c>
      <c r="I1453" s="166" t="s">
        <v>9</v>
      </c>
      <c r="J1453" s="166" t="s">
        <v>218</v>
      </c>
      <c r="K1453" s="166" t="s">
        <v>716</v>
      </c>
      <c r="L1453" s="177">
        <v>39000</v>
      </c>
      <c r="M1453" s="140"/>
      <c r="N1453" s="140"/>
      <c r="O1453" s="164">
        <f t="shared" si="167"/>
        <v>0</v>
      </c>
      <c r="P1453" s="166">
        <v>30</v>
      </c>
      <c r="Q1453" s="166">
        <v>6</v>
      </c>
      <c r="R1453" s="164">
        <f>$L1453*'Pivot Objective'!$C$9*P1453*Q1453</f>
        <v>8023306.1009399984</v>
      </c>
      <c r="S1453" s="166">
        <v>0</v>
      </c>
      <c r="T1453" s="166">
        <v>0</v>
      </c>
      <c r="U1453" s="164">
        <f>($L1453*'Pivot Objective'!$C$9^2)*S1453*T1453</f>
        <v>0</v>
      </c>
      <c r="V1453" s="166">
        <v>0</v>
      </c>
      <c r="W1453" s="166">
        <v>0</v>
      </c>
      <c r="X1453" s="164">
        <f>($L1453*'Pivot Objective'!$C$9^3)*V1453*W1453</f>
        <v>0</v>
      </c>
      <c r="Y1453" s="166">
        <v>40</v>
      </c>
      <c r="Z1453" s="166">
        <v>3</v>
      </c>
      <c r="AA1453" s="164">
        <f>($L1453*'Pivot Objective'!$C$9^4)*Y1453*Z1453</f>
        <v>7985660.6423308905</v>
      </c>
      <c r="AB1453" s="166">
        <v>0</v>
      </c>
      <c r="AC1453" s="166">
        <v>0</v>
      </c>
      <c r="AD1453" s="164">
        <f>($L1453*'Pivot Objective'!$C$9^5)*AB1453*AC1453</f>
        <v>0</v>
      </c>
      <c r="AE1453" s="166">
        <v>0</v>
      </c>
      <c r="AF1453" s="166">
        <v>0</v>
      </c>
      <c r="AG1453" s="164">
        <f>($L1453*'Pivot Objective'!$C$9^6)*AE1453*AF1453</f>
        <v>0</v>
      </c>
      <c r="AH1453" s="166">
        <v>30</v>
      </c>
      <c r="AI1453" s="166">
        <v>6</v>
      </c>
      <c r="AJ1453" s="164">
        <f>($L1453*'Pivot Objective'!$C$9^7)*AH1453*AI1453</f>
        <v>17883431.58760364</v>
      </c>
      <c r="AK1453" s="185">
        <f t="shared" si="168"/>
        <v>33892398.330874532</v>
      </c>
      <c r="AL1453" s="186">
        <f t="shared" si="169"/>
        <v>32905.241097936436</v>
      </c>
    </row>
    <row r="1454" spans="1:38" customFormat="1" ht="43.2" x14ac:dyDescent="0.3">
      <c r="A1454" s="140" t="s">
        <v>1484</v>
      </c>
      <c r="B1454" s="140">
        <v>3</v>
      </c>
      <c r="C1454" s="166" t="s">
        <v>696</v>
      </c>
      <c r="D1454" s="140" t="str">
        <f t="shared" si="165"/>
        <v>1</v>
      </c>
      <c r="E1454" s="166" t="s">
        <v>689</v>
      </c>
      <c r="F1454" s="140">
        <f t="shared" si="170"/>
        <v>3</v>
      </c>
      <c r="G1454" s="140" t="str">
        <f t="shared" si="166"/>
        <v>3.1.3</v>
      </c>
      <c r="H1454" s="166" t="s">
        <v>1716</v>
      </c>
      <c r="I1454" s="166" t="s">
        <v>9</v>
      </c>
      <c r="J1454" s="166" t="s">
        <v>218</v>
      </c>
      <c r="K1454" s="166" t="s">
        <v>709</v>
      </c>
      <c r="L1454" s="177">
        <v>35000</v>
      </c>
      <c r="M1454" s="140"/>
      <c r="N1454" s="140"/>
      <c r="O1454" s="164">
        <f t="shared" si="167"/>
        <v>0</v>
      </c>
      <c r="P1454" s="166">
        <v>30</v>
      </c>
      <c r="Q1454" s="166">
        <v>5</v>
      </c>
      <c r="R1454" s="164">
        <f>$L1454*'Pivot Objective'!$C$9*P1454*Q1454</f>
        <v>6000335.7592499992</v>
      </c>
      <c r="S1454" s="166">
        <v>0</v>
      </c>
      <c r="T1454" s="166">
        <v>0</v>
      </c>
      <c r="U1454" s="164">
        <f>($L1454*'Pivot Objective'!$C$9^2)*S1454*T1454</f>
        <v>0</v>
      </c>
      <c r="V1454" s="166">
        <v>0</v>
      </c>
      <c r="W1454" s="166">
        <v>0</v>
      </c>
      <c r="X1454" s="164">
        <f>($L1454*'Pivot Objective'!$C$9^3)*V1454*W1454</f>
        <v>0</v>
      </c>
      <c r="Y1454" s="166">
        <v>40</v>
      </c>
      <c r="Z1454" s="166">
        <v>3</v>
      </c>
      <c r="AA1454" s="164">
        <f>($L1454*'Pivot Objective'!$C$9^4)*Y1454*Z1454</f>
        <v>7166618.5251687476</v>
      </c>
      <c r="AB1454" s="166">
        <v>0</v>
      </c>
      <c r="AC1454" s="166">
        <v>0</v>
      </c>
      <c r="AD1454" s="164">
        <f>($L1454*'Pivot Objective'!$C$9^5)*AB1454*AC1454</f>
        <v>0</v>
      </c>
      <c r="AE1454" s="166">
        <v>0</v>
      </c>
      <c r="AF1454" s="166">
        <v>0</v>
      </c>
      <c r="AG1454" s="164">
        <f>($L1454*'Pivot Objective'!$C$9^6)*AE1454*AF1454</f>
        <v>0</v>
      </c>
      <c r="AH1454" s="166">
        <v>30</v>
      </c>
      <c r="AI1454" s="166">
        <v>5</v>
      </c>
      <c r="AJ1454" s="164">
        <f>($L1454*'Pivot Objective'!$C$9^7)*AH1454*AI1454</f>
        <v>13374361.230045456</v>
      </c>
      <c r="AK1454" s="185">
        <f t="shared" si="168"/>
        <v>26541315.514464203</v>
      </c>
      <c r="AL1454" s="186">
        <f t="shared" si="169"/>
        <v>25768.267489771071</v>
      </c>
    </row>
    <row r="1455" spans="1:38" customFormat="1" ht="43.2" x14ac:dyDescent="0.3">
      <c r="A1455" s="140" t="s">
        <v>1484</v>
      </c>
      <c r="B1455" s="140">
        <v>3</v>
      </c>
      <c r="C1455" s="166" t="s">
        <v>696</v>
      </c>
      <c r="D1455" s="140" t="str">
        <f t="shared" si="165"/>
        <v>1</v>
      </c>
      <c r="E1455" s="166" t="s">
        <v>689</v>
      </c>
      <c r="F1455" s="140">
        <f t="shared" si="170"/>
        <v>3</v>
      </c>
      <c r="G1455" s="140" t="str">
        <f t="shared" si="166"/>
        <v>3.1.3</v>
      </c>
      <c r="H1455" s="166" t="s">
        <v>1716</v>
      </c>
      <c r="I1455" s="166" t="s">
        <v>9</v>
      </c>
      <c r="J1455" s="166" t="s">
        <v>218</v>
      </c>
      <c r="K1455" s="166" t="s">
        <v>1350</v>
      </c>
      <c r="L1455" s="177">
        <f>1480/7</f>
        <v>211.42857142857142</v>
      </c>
      <c r="M1455" s="140"/>
      <c r="N1455" s="140"/>
      <c r="O1455" s="164">
        <f t="shared" si="167"/>
        <v>0</v>
      </c>
      <c r="P1455" s="166">
        <f>2*135*10</f>
        <v>2700</v>
      </c>
      <c r="Q1455" s="166">
        <v>1</v>
      </c>
      <c r="R1455" s="164">
        <f>$L1455*'Pivot Objective'!$C$9*P1455*Q1455</f>
        <v>652444.67194457131</v>
      </c>
      <c r="S1455" s="166"/>
      <c r="T1455" s="166"/>
      <c r="U1455" s="164">
        <f>($L1455*'Pivot Objective'!$C$9^2)*S1455*T1455</f>
        <v>0</v>
      </c>
      <c r="V1455" s="166"/>
      <c r="W1455" s="166"/>
      <c r="X1455" s="164">
        <f>($L1455*'Pivot Objective'!$C$9^3)*V1455*W1455</f>
        <v>0</v>
      </c>
      <c r="Y1455" s="166"/>
      <c r="Z1455" s="166"/>
      <c r="AA1455" s="164">
        <f>($L1455*'Pivot Objective'!$C$9^4)*Y1455*Z1455</f>
        <v>0</v>
      </c>
      <c r="AB1455" s="166"/>
      <c r="AC1455" s="166"/>
      <c r="AD1455" s="164">
        <f>($L1455*'Pivot Objective'!$C$9^5)*AB1455*AC1455</f>
        <v>0</v>
      </c>
      <c r="AE1455" s="166"/>
      <c r="AF1455" s="166"/>
      <c r="AG1455" s="164">
        <f>($L1455*'Pivot Objective'!$C$9^6)*AE1455*AF1455</f>
        <v>0</v>
      </c>
      <c r="AH1455" s="166">
        <f>2*135*10</f>
        <v>2700</v>
      </c>
      <c r="AI1455" s="166">
        <v>1</v>
      </c>
      <c r="AJ1455" s="164">
        <f>($L1455*'Pivot Objective'!$C$9^7)*AH1455*AI1455</f>
        <v>1454257.0741567793</v>
      </c>
      <c r="AK1455" s="185">
        <f t="shared" si="168"/>
        <v>2106701.7461013505</v>
      </c>
      <c r="AL1455" s="186">
        <f t="shared" si="169"/>
        <v>2045.3415010692725</v>
      </c>
    </row>
    <row r="1456" spans="1:38" customFormat="1" ht="43.2" x14ac:dyDescent="0.3">
      <c r="A1456" s="140" t="s">
        <v>1484</v>
      </c>
      <c r="B1456" s="140">
        <v>3</v>
      </c>
      <c r="C1456" s="166" t="s">
        <v>696</v>
      </c>
      <c r="D1456" s="140" t="str">
        <f t="shared" si="165"/>
        <v>1</v>
      </c>
      <c r="E1456" s="166" t="s">
        <v>689</v>
      </c>
      <c r="F1456" s="140">
        <f t="shared" si="170"/>
        <v>3</v>
      </c>
      <c r="G1456" s="140" t="str">
        <f t="shared" si="166"/>
        <v>3.1.3</v>
      </c>
      <c r="H1456" s="166" t="s">
        <v>1716</v>
      </c>
      <c r="I1456" s="166" t="s">
        <v>9</v>
      </c>
      <c r="J1456" s="166" t="s">
        <v>218</v>
      </c>
      <c r="K1456" s="166" t="s">
        <v>712</v>
      </c>
      <c r="L1456" s="177">
        <f>1480/7</f>
        <v>211.42857142857142</v>
      </c>
      <c r="M1456" s="140"/>
      <c r="N1456" s="140"/>
      <c r="O1456" s="164">
        <f t="shared" si="167"/>
        <v>0</v>
      </c>
      <c r="P1456" s="166">
        <f>25*2*10</f>
        <v>500</v>
      </c>
      <c r="Q1456" s="166">
        <v>5</v>
      </c>
      <c r="R1456" s="164">
        <f>$L1456*'Pivot Objective'!$C$9*P1456*Q1456</f>
        <v>604115.43698571413</v>
      </c>
      <c r="S1456" s="166">
        <v>0</v>
      </c>
      <c r="T1456" s="166">
        <v>0</v>
      </c>
      <c r="U1456" s="164">
        <f>($L1456*'Pivot Objective'!$C$9^2)*S1456*T1456</f>
        <v>0</v>
      </c>
      <c r="V1456" s="166">
        <v>0</v>
      </c>
      <c r="W1456" s="166">
        <v>0</v>
      </c>
      <c r="X1456" s="164">
        <f>($L1456*'Pivot Objective'!$C$9^3)*V1456*W1456</f>
        <v>0</v>
      </c>
      <c r="Y1456" s="166">
        <v>20000</v>
      </c>
      <c r="Z1456" s="166">
        <v>1</v>
      </c>
      <c r="AA1456" s="164">
        <f>($L1456*'Pivot Objective'!$C$9^4)*Y1456*Z1456</f>
        <v>7215371.0321426839</v>
      </c>
      <c r="AB1456" s="166">
        <v>0</v>
      </c>
      <c r="AC1456" s="166">
        <v>0</v>
      </c>
      <c r="AD1456" s="164">
        <f>($L1456*'Pivot Objective'!$C$9^5)*AB1456*AC1456</f>
        <v>0</v>
      </c>
      <c r="AE1456" s="166">
        <v>0</v>
      </c>
      <c r="AF1456" s="166">
        <v>0</v>
      </c>
      <c r="AG1456" s="164">
        <f>($L1456*'Pivot Objective'!$C$9^6)*AE1456*AF1456</f>
        <v>0</v>
      </c>
      <c r="AH1456" s="166">
        <f>25*2*10</f>
        <v>500</v>
      </c>
      <c r="AI1456" s="166">
        <v>5</v>
      </c>
      <c r="AJ1456" s="164">
        <f>($L1456*'Pivot Objective'!$C$9^7)*AH1456*AI1456</f>
        <v>1346534.327922944</v>
      </c>
      <c r="AK1456" s="185">
        <f t="shared" si="168"/>
        <v>9166020.7970513422</v>
      </c>
      <c r="AL1456" s="186">
        <f t="shared" si="169"/>
        <v>8899.0493175255742</v>
      </c>
    </row>
    <row r="1457" spans="1:38" customFormat="1" ht="43.2" x14ac:dyDescent="0.3">
      <c r="A1457" s="140" t="s">
        <v>1484</v>
      </c>
      <c r="B1457" s="140">
        <v>3</v>
      </c>
      <c r="C1457" s="166" t="s">
        <v>696</v>
      </c>
      <c r="D1457" s="140" t="str">
        <f t="shared" si="165"/>
        <v>1</v>
      </c>
      <c r="E1457" s="166" t="s">
        <v>689</v>
      </c>
      <c r="F1457" s="140">
        <f t="shared" si="170"/>
        <v>3</v>
      </c>
      <c r="G1457" s="140" t="str">
        <f t="shared" si="166"/>
        <v>3.1.3</v>
      </c>
      <c r="H1457" s="166" t="s">
        <v>1716</v>
      </c>
      <c r="I1457" s="166" t="s">
        <v>9</v>
      </c>
      <c r="J1457" s="166" t="s">
        <v>219</v>
      </c>
      <c r="K1457" s="166" t="s">
        <v>716</v>
      </c>
      <c r="L1457" s="177">
        <v>39000</v>
      </c>
      <c r="M1457" s="140"/>
      <c r="N1457" s="140"/>
      <c r="O1457" s="164">
        <f t="shared" si="167"/>
        <v>0</v>
      </c>
      <c r="P1457" s="166">
        <v>25</v>
      </c>
      <c r="Q1457" s="166">
        <v>3</v>
      </c>
      <c r="R1457" s="164">
        <f>$L1457*'Pivot Objective'!$C$9*P1457*Q1457</f>
        <v>3343044.2087249998</v>
      </c>
      <c r="S1457" s="166">
        <v>0</v>
      </c>
      <c r="T1457" s="166">
        <v>0</v>
      </c>
      <c r="U1457" s="164">
        <f>($L1457*'Pivot Objective'!$C$9^2)*S1457*T1457</f>
        <v>0</v>
      </c>
      <c r="V1457" s="166">
        <v>0</v>
      </c>
      <c r="W1457" s="166">
        <v>0</v>
      </c>
      <c r="X1457" s="164">
        <f>($L1457*'Pivot Objective'!$C$9^3)*V1457*W1457</f>
        <v>0</v>
      </c>
      <c r="Y1457" s="166">
        <v>40</v>
      </c>
      <c r="Z1457" s="166">
        <v>2</v>
      </c>
      <c r="AA1457" s="164">
        <f>($L1457*'Pivot Objective'!$C$9^4)*Y1457*Z1457</f>
        <v>5323773.7615539273</v>
      </c>
      <c r="AB1457" s="166">
        <v>0</v>
      </c>
      <c r="AC1457" s="166">
        <v>0</v>
      </c>
      <c r="AD1457" s="164">
        <f>($L1457*'Pivot Objective'!$C$9^5)*AB1457*AC1457</f>
        <v>0</v>
      </c>
      <c r="AE1457" s="166">
        <v>0</v>
      </c>
      <c r="AF1457" s="166">
        <v>0</v>
      </c>
      <c r="AG1457" s="164">
        <f>($L1457*'Pivot Objective'!$C$9^6)*AE1457*AF1457</f>
        <v>0</v>
      </c>
      <c r="AH1457" s="166">
        <v>25</v>
      </c>
      <c r="AI1457" s="166">
        <v>3</v>
      </c>
      <c r="AJ1457" s="164">
        <f>($L1457*'Pivot Objective'!$C$9^7)*AH1457*AI1457</f>
        <v>7451429.8281681826</v>
      </c>
      <c r="AK1457" s="185">
        <f t="shared" si="168"/>
        <v>16118247.79844711</v>
      </c>
      <c r="AL1457" s="186">
        <f t="shared" si="169"/>
        <v>15648.784270337001</v>
      </c>
    </row>
    <row r="1458" spans="1:38" customFormat="1" ht="43.2" x14ac:dyDescent="0.3">
      <c r="A1458" s="140" t="s">
        <v>1484</v>
      </c>
      <c r="B1458" s="140">
        <v>3</v>
      </c>
      <c r="C1458" s="166" t="s">
        <v>696</v>
      </c>
      <c r="D1458" s="140" t="str">
        <f t="shared" ref="D1458:D1521" si="171">RIGHT(A1458,1)</f>
        <v>1</v>
      </c>
      <c r="E1458" s="166" t="s">
        <v>689</v>
      </c>
      <c r="F1458" s="140">
        <f t="shared" si="170"/>
        <v>3</v>
      </c>
      <c r="G1458" s="140" t="str">
        <f t="shared" si="166"/>
        <v>3.1.3</v>
      </c>
      <c r="H1458" s="166" t="s">
        <v>1716</v>
      </c>
      <c r="I1458" s="166" t="s">
        <v>9</v>
      </c>
      <c r="J1458" s="166" t="s">
        <v>1378</v>
      </c>
      <c r="K1458" s="166" t="s">
        <v>709</v>
      </c>
      <c r="L1458" s="177">
        <v>35000</v>
      </c>
      <c r="M1458" s="140"/>
      <c r="N1458" s="140"/>
      <c r="O1458" s="164">
        <f t="shared" si="167"/>
        <v>0</v>
      </c>
      <c r="P1458" s="166">
        <v>25</v>
      </c>
      <c r="Q1458" s="166">
        <v>2</v>
      </c>
      <c r="R1458" s="164">
        <f>$L1458*'Pivot Objective'!$C$9*P1458*Q1458</f>
        <v>2000111.9197499997</v>
      </c>
      <c r="S1458" s="166">
        <v>0</v>
      </c>
      <c r="T1458" s="166">
        <v>0</v>
      </c>
      <c r="U1458" s="164">
        <f>($L1458*'Pivot Objective'!$C$9^2)*S1458*T1458</f>
        <v>0</v>
      </c>
      <c r="V1458" s="166">
        <v>0</v>
      </c>
      <c r="W1458" s="166">
        <v>0</v>
      </c>
      <c r="X1458" s="164">
        <f>($L1458*'Pivot Objective'!$C$9^3)*V1458*W1458</f>
        <v>0</v>
      </c>
      <c r="Y1458" s="166">
        <v>40</v>
      </c>
      <c r="Z1458" s="166">
        <v>2</v>
      </c>
      <c r="AA1458" s="164">
        <f>($L1458*'Pivot Objective'!$C$9^4)*Y1458*Z1458</f>
        <v>4777745.6834458318</v>
      </c>
      <c r="AB1458" s="166">
        <v>0</v>
      </c>
      <c r="AC1458" s="166">
        <v>0</v>
      </c>
      <c r="AD1458" s="164">
        <f>($L1458*'Pivot Objective'!$C$9^5)*AB1458*AC1458</f>
        <v>0</v>
      </c>
      <c r="AE1458" s="166">
        <v>0</v>
      </c>
      <c r="AF1458" s="166">
        <v>0</v>
      </c>
      <c r="AG1458" s="164">
        <f>($L1458*'Pivot Objective'!$C$9^6)*AE1458*AF1458</f>
        <v>0</v>
      </c>
      <c r="AH1458" s="166">
        <v>25</v>
      </c>
      <c r="AI1458" s="166">
        <v>2</v>
      </c>
      <c r="AJ1458" s="164">
        <f>($L1458*'Pivot Objective'!$C$9^7)*AH1458*AI1458</f>
        <v>4458120.4100151528</v>
      </c>
      <c r="AK1458" s="185">
        <f t="shared" si="168"/>
        <v>11235978.013210984</v>
      </c>
      <c r="AL1458" s="186">
        <f t="shared" si="169"/>
        <v>10908.716517680567</v>
      </c>
    </row>
    <row r="1459" spans="1:38" customFormat="1" ht="43.2" x14ac:dyDescent="0.3">
      <c r="A1459" s="140" t="s">
        <v>1484</v>
      </c>
      <c r="B1459" s="140">
        <v>3</v>
      </c>
      <c r="C1459" s="166" t="s">
        <v>696</v>
      </c>
      <c r="D1459" s="140" t="str">
        <f t="shared" si="171"/>
        <v>1</v>
      </c>
      <c r="E1459" s="166" t="s">
        <v>689</v>
      </c>
      <c r="F1459" s="140">
        <f t="shared" si="170"/>
        <v>3</v>
      </c>
      <c r="G1459" s="140" t="str">
        <f t="shared" ref="G1459:G1522" si="172">B1459&amp;"."&amp;D1459&amp;"."&amp;F1459</f>
        <v>3.1.3</v>
      </c>
      <c r="H1459" s="166" t="s">
        <v>1716</v>
      </c>
      <c r="I1459" s="166" t="s">
        <v>9</v>
      </c>
      <c r="J1459" s="166" t="s">
        <v>1378</v>
      </c>
      <c r="K1459" s="166" t="s">
        <v>712</v>
      </c>
      <c r="L1459" s="177">
        <f>1480/7</f>
        <v>211.42857142857142</v>
      </c>
      <c r="M1459" s="140"/>
      <c r="N1459" s="140"/>
      <c r="O1459" s="164">
        <f t="shared" si="167"/>
        <v>0</v>
      </c>
      <c r="P1459" s="166">
        <f>25*2*9</f>
        <v>450</v>
      </c>
      <c r="Q1459" s="166">
        <v>1</v>
      </c>
      <c r="R1459" s="164">
        <f>$L1459*'Pivot Objective'!$C$9*P1459*Q1459</f>
        <v>108740.77865742856</v>
      </c>
      <c r="S1459" s="166">
        <v>0</v>
      </c>
      <c r="T1459" s="166">
        <v>0</v>
      </c>
      <c r="U1459" s="164">
        <f>($L1459*'Pivot Objective'!$C$9^2)*S1459*T1459</f>
        <v>0</v>
      </c>
      <c r="V1459" s="166">
        <v>0</v>
      </c>
      <c r="W1459" s="166">
        <v>0</v>
      </c>
      <c r="X1459" s="164">
        <f>($L1459*'Pivot Objective'!$C$9^3)*V1459*W1459</f>
        <v>0</v>
      </c>
      <c r="Y1459" s="166">
        <v>20000</v>
      </c>
      <c r="Z1459" s="166">
        <v>1</v>
      </c>
      <c r="AA1459" s="164">
        <f>($L1459*'Pivot Objective'!$C$9^4)*Y1459*Z1459</f>
        <v>7215371.0321426839</v>
      </c>
      <c r="AB1459" s="166">
        <v>0</v>
      </c>
      <c r="AC1459" s="166">
        <v>0</v>
      </c>
      <c r="AD1459" s="164">
        <f>($L1459*'Pivot Objective'!$C$9^5)*AB1459*AC1459</f>
        <v>0</v>
      </c>
      <c r="AE1459" s="166">
        <v>0</v>
      </c>
      <c r="AF1459" s="166">
        <v>0</v>
      </c>
      <c r="AG1459" s="164">
        <f>($L1459*'Pivot Objective'!$C$9^6)*AE1459*AF1459</f>
        <v>0</v>
      </c>
      <c r="AH1459" s="166">
        <f>25*2*9</f>
        <v>450</v>
      </c>
      <c r="AI1459" s="166">
        <v>1</v>
      </c>
      <c r="AJ1459" s="164">
        <f>($L1459*'Pivot Objective'!$C$9^7)*AH1459*AI1459</f>
        <v>242376.17902612989</v>
      </c>
      <c r="AK1459" s="185">
        <f t="shared" si="168"/>
        <v>7566487.9898262424</v>
      </c>
      <c r="AL1459" s="186">
        <f t="shared" si="169"/>
        <v>7346.1048444914977</v>
      </c>
    </row>
    <row r="1460" spans="1:38" customFormat="1" ht="43.2" x14ac:dyDescent="0.3">
      <c r="A1460" s="140" t="s">
        <v>1484</v>
      </c>
      <c r="B1460" s="140">
        <v>3</v>
      </c>
      <c r="C1460" s="166" t="s">
        <v>696</v>
      </c>
      <c r="D1460" s="140" t="str">
        <f t="shared" si="171"/>
        <v>1</v>
      </c>
      <c r="E1460" s="166" t="s">
        <v>689</v>
      </c>
      <c r="F1460" s="140">
        <f t="shared" si="170"/>
        <v>3</v>
      </c>
      <c r="G1460" s="140" t="str">
        <f t="shared" si="172"/>
        <v>3.1.3</v>
      </c>
      <c r="H1460" s="166" t="s">
        <v>1716</v>
      </c>
      <c r="I1460" s="166" t="s">
        <v>9</v>
      </c>
      <c r="J1460" s="166" t="s">
        <v>1378</v>
      </c>
      <c r="K1460" s="166" t="s">
        <v>1350</v>
      </c>
      <c r="L1460" s="177">
        <f>1480/7</f>
        <v>211.42857142857142</v>
      </c>
      <c r="M1460" s="140"/>
      <c r="N1460" s="140"/>
      <c r="O1460" s="164">
        <f t="shared" si="167"/>
        <v>0</v>
      </c>
      <c r="P1460" s="166">
        <f>2*135*9</f>
        <v>2430</v>
      </c>
      <c r="Q1460" s="166">
        <v>1</v>
      </c>
      <c r="R1460" s="164">
        <f>$L1460*'Pivot Objective'!$C$9*P1460*Q1460</f>
        <v>587200.20475011424</v>
      </c>
      <c r="S1460" s="166"/>
      <c r="T1460" s="166"/>
      <c r="U1460" s="164">
        <f>($L1460*'Pivot Objective'!$C$9^2)*S1460*T1460</f>
        <v>0</v>
      </c>
      <c r="V1460" s="166"/>
      <c r="W1460" s="166"/>
      <c r="X1460" s="164">
        <f>($L1460*'Pivot Objective'!$C$9^3)*V1460*W1460</f>
        <v>0</v>
      </c>
      <c r="Y1460" s="166"/>
      <c r="Z1460" s="166"/>
      <c r="AA1460" s="164">
        <f>($L1460*'Pivot Objective'!$C$9^4)*Y1460*Z1460</f>
        <v>0</v>
      </c>
      <c r="AB1460" s="166"/>
      <c r="AC1460" s="166"/>
      <c r="AD1460" s="164">
        <f>($L1460*'Pivot Objective'!$C$9^5)*AB1460*AC1460</f>
        <v>0</v>
      </c>
      <c r="AE1460" s="166"/>
      <c r="AF1460" s="166"/>
      <c r="AG1460" s="164">
        <f>($L1460*'Pivot Objective'!$C$9^6)*AE1460*AF1460</f>
        <v>0</v>
      </c>
      <c r="AH1460" s="166">
        <f>2*135*9</f>
        <v>2430</v>
      </c>
      <c r="AI1460" s="166">
        <v>1</v>
      </c>
      <c r="AJ1460" s="164">
        <f>($L1460*'Pivot Objective'!$C$9^7)*AH1460*AI1460</f>
        <v>1308831.3667411015</v>
      </c>
      <c r="AK1460" s="185">
        <f t="shared" si="168"/>
        <v>1896031.5714912158</v>
      </c>
      <c r="AL1460" s="186">
        <f t="shared" si="169"/>
        <v>1840.8073509623455</v>
      </c>
    </row>
    <row r="1461" spans="1:38" customFormat="1" ht="43.2" x14ac:dyDescent="0.3">
      <c r="A1461" s="140" t="s">
        <v>1484</v>
      </c>
      <c r="B1461" s="140">
        <v>3</v>
      </c>
      <c r="C1461" s="166" t="s">
        <v>696</v>
      </c>
      <c r="D1461" s="140" t="str">
        <f t="shared" si="171"/>
        <v>1</v>
      </c>
      <c r="E1461" s="166" t="s">
        <v>689</v>
      </c>
      <c r="F1461" s="140">
        <f t="shared" si="170"/>
        <v>3</v>
      </c>
      <c r="G1461" s="140" t="str">
        <f t="shared" si="172"/>
        <v>3.1.3</v>
      </c>
      <c r="H1461" s="166" t="s">
        <v>1716</v>
      </c>
      <c r="I1461" s="166" t="s">
        <v>5</v>
      </c>
      <c r="J1461" s="166" t="s">
        <v>196</v>
      </c>
      <c r="K1461" s="166" t="s">
        <v>718</v>
      </c>
      <c r="L1461" s="177">
        <v>0</v>
      </c>
      <c r="M1461" s="140"/>
      <c r="N1461" s="140"/>
      <c r="O1461" s="164">
        <f t="shared" si="167"/>
        <v>0</v>
      </c>
      <c r="P1461" s="166">
        <v>0</v>
      </c>
      <c r="Q1461" s="166">
        <v>0</v>
      </c>
      <c r="R1461" s="164">
        <f>$L1461*'Pivot Objective'!$C$9*P1461*Q1461</f>
        <v>0</v>
      </c>
      <c r="S1461" s="166">
        <v>0</v>
      </c>
      <c r="T1461" s="166">
        <v>0</v>
      </c>
      <c r="U1461" s="164">
        <f>($L1461*'Pivot Objective'!$C$9^2)*S1461*T1461</f>
        <v>0</v>
      </c>
      <c r="V1461" s="166">
        <v>0</v>
      </c>
      <c r="W1461" s="166">
        <v>0</v>
      </c>
      <c r="X1461" s="164">
        <f>($L1461*'Pivot Objective'!$C$9^3)*V1461*W1461</f>
        <v>0</v>
      </c>
      <c r="Y1461" s="166">
        <v>0</v>
      </c>
      <c r="Z1461" s="166">
        <v>0</v>
      </c>
      <c r="AA1461" s="164">
        <f>($L1461*'Pivot Objective'!$C$9^4)*Y1461*Z1461</f>
        <v>0</v>
      </c>
      <c r="AB1461" s="166">
        <v>0</v>
      </c>
      <c r="AC1461" s="166">
        <v>0</v>
      </c>
      <c r="AD1461" s="164">
        <f>($L1461*'Pivot Objective'!$C$9^5)*AB1461*AC1461</f>
        <v>0</v>
      </c>
      <c r="AE1461" s="166">
        <v>0</v>
      </c>
      <c r="AF1461" s="166">
        <v>0</v>
      </c>
      <c r="AG1461" s="164">
        <f>($L1461*'Pivot Objective'!$C$9^6)*AE1461*AF1461</f>
        <v>0</v>
      </c>
      <c r="AH1461" s="166">
        <v>0</v>
      </c>
      <c r="AI1461" s="166">
        <v>0</v>
      </c>
      <c r="AJ1461" s="164">
        <f>($L1461*'Pivot Objective'!$C$9^7)*AH1461*AI1461</f>
        <v>0</v>
      </c>
      <c r="AK1461" s="185">
        <f t="shared" si="168"/>
        <v>0</v>
      </c>
      <c r="AL1461" s="186">
        <f t="shared" si="169"/>
        <v>0</v>
      </c>
    </row>
    <row r="1462" spans="1:38" customFormat="1" ht="43.2" x14ac:dyDescent="0.3">
      <c r="A1462" s="140" t="s">
        <v>1484</v>
      </c>
      <c r="B1462" s="140">
        <v>3</v>
      </c>
      <c r="C1462" s="166" t="s">
        <v>696</v>
      </c>
      <c r="D1462" s="140" t="str">
        <f t="shared" si="171"/>
        <v>1</v>
      </c>
      <c r="E1462" s="166" t="s">
        <v>689</v>
      </c>
      <c r="F1462" s="140">
        <f t="shared" si="170"/>
        <v>3</v>
      </c>
      <c r="G1462" s="140" t="str">
        <f t="shared" si="172"/>
        <v>3.1.3</v>
      </c>
      <c r="H1462" s="166" t="s">
        <v>1716</v>
      </c>
      <c r="I1462" s="166" t="s">
        <v>5</v>
      </c>
      <c r="J1462" s="166" t="s">
        <v>197</v>
      </c>
      <c r="K1462" s="166" t="s">
        <v>718</v>
      </c>
      <c r="L1462" s="177">
        <v>0</v>
      </c>
      <c r="M1462" s="140"/>
      <c r="N1462" s="140"/>
      <c r="O1462" s="164">
        <f t="shared" si="167"/>
        <v>0</v>
      </c>
      <c r="P1462" s="166">
        <v>0</v>
      </c>
      <c r="Q1462" s="166">
        <v>0</v>
      </c>
      <c r="R1462" s="164">
        <f>$L1462*'Pivot Objective'!$C$9*P1462*Q1462</f>
        <v>0</v>
      </c>
      <c r="S1462" s="166">
        <v>0</v>
      </c>
      <c r="T1462" s="166">
        <v>0</v>
      </c>
      <c r="U1462" s="164">
        <f>($L1462*'Pivot Objective'!$C$9^2)*S1462*T1462</f>
        <v>0</v>
      </c>
      <c r="V1462" s="166">
        <v>0</v>
      </c>
      <c r="W1462" s="166">
        <v>0</v>
      </c>
      <c r="X1462" s="164">
        <f>($L1462*'Pivot Objective'!$C$9^3)*V1462*W1462</f>
        <v>0</v>
      </c>
      <c r="Y1462" s="166">
        <v>0</v>
      </c>
      <c r="Z1462" s="166">
        <v>0</v>
      </c>
      <c r="AA1462" s="164">
        <f>($L1462*'Pivot Objective'!$C$9^4)*Y1462*Z1462</f>
        <v>0</v>
      </c>
      <c r="AB1462" s="166">
        <v>0</v>
      </c>
      <c r="AC1462" s="166">
        <v>0</v>
      </c>
      <c r="AD1462" s="164">
        <f>($L1462*'Pivot Objective'!$C$9^5)*AB1462*AC1462</f>
        <v>0</v>
      </c>
      <c r="AE1462" s="166">
        <v>0</v>
      </c>
      <c r="AF1462" s="166">
        <v>0</v>
      </c>
      <c r="AG1462" s="164">
        <f>($L1462*'Pivot Objective'!$C$9^6)*AE1462*AF1462</f>
        <v>0</v>
      </c>
      <c r="AH1462" s="166">
        <v>0</v>
      </c>
      <c r="AI1462" s="166">
        <v>0</v>
      </c>
      <c r="AJ1462" s="164">
        <f>($L1462*'Pivot Objective'!$C$9^7)*AH1462*AI1462</f>
        <v>0</v>
      </c>
      <c r="AK1462" s="185">
        <f t="shared" si="168"/>
        <v>0</v>
      </c>
      <c r="AL1462" s="186">
        <f t="shared" si="169"/>
        <v>0</v>
      </c>
    </row>
    <row r="1463" spans="1:38" customFormat="1" ht="43.2" x14ac:dyDescent="0.3">
      <c r="A1463" s="140" t="s">
        <v>1484</v>
      </c>
      <c r="B1463" s="140">
        <v>3</v>
      </c>
      <c r="C1463" s="166" t="s">
        <v>696</v>
      </c>
      <c r="D1463" s="140" t="str">
        <f t="shared" si="171"/>
        <v>1</v>
      </c>
      <c r="E1463" s="166" t="s">
        <v>689</v>
      </c>
      <c r="F1463" s="140">
        <f t="shared" si="170"/>
        <v>3</v>
      </c>
      <c r="G1463" s="140" t="str">
        <f t="shared" si="172"/>
        <v>3.1.3</v>
      </c>
      <c r="H1463" s="166" t="s">
        <v>1716</v>
      </c>
      <c r="I1463" s="166" t="s">
        <v>5</v>
      </c>
      <c r="J1463" s="166" t="s">
        <v>198</v>
      </c>
      <c r="K1463" s="166" t="s">
        <v>718</v>
      </c>
      <c r="L1463" s="177">
        <v>0</v>
      </c>
      <c r="M1463" s="140"/>
      <c r="N1463" s="140"/>
      <c r="O1463" s="164">
        <f t="shared" si="167"/>
        <v>0</v>
      </c>
      <c r="P1463" s="166">
        <v>0</v>
      </c>
      <c r="Q1463" s="166">
        <v>0</v>
      </c>
      <c r="R1463" s="164">
        <f>$L1463*'Pivot Objective'!$C$9*P1463*Q1463</f>
        <v>0</v>
      </c>
      <c r="S1463" s="166">
        <v>0</v>
      </c>
      <c r="T1463" s="166">
        <v>0</v>
      </c>
      <c r="U1463" s="164">
        <f>($L1463*'Pivot Objective'!$C$9^2)*S1463*T1463</f>
        <v>0</v>
      </c>
      <c r="V1463" s="166">
        <v>0</v>
      </c>
      <c r="W1463" s="166">
        <v>0</v>
      </c>
      <c r="X1463" s="164">
        <f>($L1463*'Pivot Objective'!$C$9^3)*V1463*W1463</f>
        <v>0</v>
      </c>
      <c r="Y1463" s="166">
        <v>0</v>
      </c>
      <c r="Z1463" s="166">
        <v>0</v>
      </c>
      <c r="AA1463" s="164">
        <f>($L1463*'Pivot Objective'!$C$9^4)*Y1463*Z1463</f>
        <v>0</v>
      </c>
      <c r="AB1463" s="166">
        <v>0</v>
      </c>
      <c r="AC1463" s="166">
        <v>0</v>
      </c>
      <c r="AD1463" s="164">
        <f>($L1463*'Pivot Objective'!$C$9^5)*AB1463*AC1463</f>
        <v>0</v>
      </c>
      <c r="AE1463" s="166">
        <v>0</v>
      </c>
      <c r="AF1463" s="166">
        <v>0</v>
      </c>
      <c r="AG1463" s="164">
        <f>($L1463*'Pivot Objective'!$C$9^6)*AE1463*AF1463</f>
        <v>0</v>
      </c>
      <c r="AH1463" s="166">
        <v>0</v>
      </c>
      <c r="AI1463" s="166">
        <v>0</v>
      </c>
      <c r="AJ1463" s="164">
        <f>($L1463*'Pivot Objective'!$C$9^7)*AH1463*AI1463</f>
        <v>0</v>
      </c>
      <c r="AK1463" s="185">
        <f t="shared" si="168"/>
        <v>0</v>
      </c>
      <c r="AL1463" s="186">
        <f t="shared" si="169"/>
        <v>0</v>
      </c>
    </row>
    <row r="1464" spans="1:38" customFormat="1" ht="43.2" x14ac:dyDescent="0.3">
      <c r="A1464" s="140" t="s">
        <v>1484</v>
      </c>
      <c r="B1464" s="140">
        <v>3</v>
      </c>
      <c r="C1464" s="166" t="s">
        <v>696</v>
      </c>
      <c r="D1464" s="140" t="str">
        <f t="shared" si="171"/>
        <v>1</v>
      </c>
      <c r="E1464" s="166" t="s">
        <v>689</v>
      </c>
      <c r="F1464" s="140">
        <f t="shared" si="170"/>
        <v>3</v>
      </c>
      <c r="G1464" s="140" t="str">
        <f t="shared" si="172"/>
        <v>3.1.3</v>
      </c>
      <c r="H1464" s="166" t="s">
        <v>1716</v>
      </c>
      <c r="I1464" s="166" t="s">
        <v>5</v>
      </c>
      <c r="J1464" s="166" t="s">
        <v>199</v>
      </c>
      <c r="K1464" s="166" t="s">
        <v>718</v>
      </c>
      <c r="L1464" s="177">
        <v>0</v>
      </c>
      <c r="M1464" s="140"/>
      <c r="N1464" s="140"/>
      <c r="O1464" s="164">
        <f t="shared" si="167"/>
        <v>0</v>
      </c>
      <c r="P1464" s="166">
        <v>0</v>
      </c>
      <c r="Q1464" s="166">
        <v>0</v>
      </c>
      <c r="R1464" s="164">
        <f>$L1464*'Pivot Objective'!$C$9*P1464*Q1464</f>
        <v>0</v>
      </c>
      <c r="S1464" s="166">
        <v>0</v>
      </c>
      <c r="T1464" s="166">
        <v>0</v>
      </c>
      <c r="U1464" s="164">
        <f>($L1464*'Pivot Objective'!$C$9^2)*S1464*T1464</f>
        <v>0</v>
      </c>
      <c r="V1464" s="166">
        <v>0</v>
      </c>
      <c r="W1464" s="166">
        <v>0</v>
      </c>
      <c r="X1464" s="164">
        <f>($L1464*'Pivot Objective'!$C$9^3)*V1464*W1464</f>
        <v>0</v>
      </c>
      <c r="Y1464" s="166">
        <v>0</v>
      </c>
      <c r="Z1464" s="166">
        <v>0</v>
      </c>
      <c r="AA1464" s="164">
        <f>($L1464*'Pivot Objective'!$C$9^4)*Y1464*Z1464</f>
        <v>0</v>
      </c>
      <c r="AB1464" s="166">
        <v>0</v>
      </c>
      <c r="AC1464" s="166">
        <v>0</v>
      </c>
      <c r="AD1464" s="164">
        <f>($L1464*'Pivot Objective'!$C$9^5)*AB1464*AC1464</f>
        <v>0</v>
      </c>
      <c r="AE1464" s="166">
        <v>0</v>
      </c>
      <c r="AF1464" s="166">
        <v>0</v>
      </c>
      <c r="AG1464" s="164">
        <f>($L1464*'Pivot Objective'!$C$9^6)*AE1464*AF1464</f>
        <v>0</v>
      </c>
      <c r="AH1464" s="166">
        <v>0</v>
      </c>
      <c r="AI1464" s="166">
        <v>0</v>
      </c>
      <c r="AJ1464" s="164">
        <f>($L1464*'Pivot Objective'!$C$9^7)*AH1464*AI1464</f>
        <v>0</v>
      </c>
      <c r="AK1464" s="185">
        <f t="shared" si="168"/>
        <v>0</v>
      </c>
      <c r="AL1464" s="186">
        <f t="shared" si="169"/>
        <v>0</v>
      </c>
    </row>
    <row r="1465" spans="1:38" customFormat="1" ht="43.2" x14ac:dyDescent="0.3">
      <c r="A1465" s="140" t="s">
        <v>1484</v>
      </c>
      <c r="B1465" s="140">
        <v>3</v>
      </c>
      <c r="C1465" s="166" t="s">
        <v>696</v>
      </c>
      <c r="D1465" s="140" t="str">
        <f t="shared" si="171"/>
        <v>1</v>
      </c>
      <c r="E1465" s="166" t="s">
        <v>689</v>
      </c>
      <c r="F1465" s="140">
        <f t="shared" si="170"/>
        <v>3</v>
      </c>
      <c r="G1465" s="140" t="str">
        <f t="shared" si="172"/>
        <v>3.1.3</v>
      </c>
      <c r="H1465" s="166" t="s">
        <v>1716</v>
      </c>
      <c r="I1465" s="166" t="s">
        <v>5</v>
      </c>
      <c r="J1465" s="166" t="s">
        <v>200</v>
      </c>
      <c r="K1465" s="166" t="s">
        <v>713</v>
      </c>
      <c r="L1465" s="177">
        <v>45000</v>
      </c>
      <c r="M1465" s="140"/>
      <c r="N1465" s="140"/>
      <c r="O1465" s="164">
        <f t="shared" si="167"/>
        <v>0</v>
      </c>
      <c r="P1465" s="166">
        <v>25</v>
      </c>
      <c r="Q1465" s="166">
        <v>11</v>
      </c>
      <c r="R1465" s="164">
        <f>$L1465*'Pivot Objective'!$C$9*P1465*Q1465</f>
        <v>14143648.575374996</v>
      </c>
      <c r="S1465" s="166">
        <v>0</v>
      </c>
      <c r="T1465" s="166">
        <v>0</v>
      </c>
      <c r="U1465" s="164">
        <f>($L1465*'Pivot Objective'!$C$9^2)*S1465*T1465</f>
        <v>0</v>
      </c>
      <c r="V1465" s="166">
        <v>0</v>
      </c>
      <c r="W1465" s="166">
        <v>0</v>
      </c>
      <c r="X1465" s="164">
        <f>($L1465*'Pivot Objective'!$C$9^3)*V1465*W1465</f>
        <v>0</v>
      </c>
      <c r="Y1465" s="166">
        <v>15</v>
      </c>
      <c r="Z1465" s="166">
        <v>10</v>
      </c>
      <c r="AA1465" s="164">
        <f>($L1465*'Pivot Objective'!$C$9^4)*Y1465*Z1465</f>
        <v>11517779.77259263</v>
      </c>
      <c r="AB1465" s="166">
        <v>0</v>
      </c>
      <c r="AC1465" s="166">
        <v>0</v>
      </c>
      <c r="AD1465" s="164">
        <f>($L1465*'Pivot Objective'!$C$9^5)*AB1465*AC1465</f>
        <v>0</v>
      </c>
      <c r="AE1465" s="166">
        <v>0</v>
      </c>
      <c r="AF1465" s="166">
        <v>0</v>
      </c>
      <c r="AG1465" s="164">
        <f>($L1465*'Pivot Objective'!$C$9^6)*AE1465*AF1465</f>
        <v>0</v>
      </c>
      <c r="AH1465" s="166">
        <v>25</v>
      </c>
      <c r="AI1465" s="166">
        <v>11</v>
      </c>
      <c r="AJ1465" s="164">
        <f>($L1465*'Pivot Objective'!$C$9^7)*AH1465*AI1465</f>
        <v>31525280.042250007</v>
      </c>
      <c r="AK1465" s="185">
        <f t="shared" si="168"/>
        <v>57186708.390217632</v>
      </c>
      <c r="AL1465" s="186">
        <f t="shared" si="169"/>
        <v>55521.076107007408</v>
      </c>
    </row>
    <row r="1466" spans="1:38" customFormat="1" ht="43.2" x14ac:dyDescent="0.3">
      <c r="A1466" s="140" t="s">
        <v>1484</v>
      </c>
      <c r="B1466" s="140">
        <v>3</v>
      </c>
      <c r="C1466" s="166" t="s">
        <v>696</v>
      </c>
      <c r="D1466" s="140" t="str">
        <f t="shared" si="171"/>
        <v>1</v>
      </c>
      <c r="E1466" s="166" t="s">
        <v>689</v>
      </c>
      <c r="F1466" s="140">
        <f t="shared" si="170"/>
        <v>3</v>
      </c>
      <c r="G1466" s="140" t="str">
        <f t="shared" si="172"/>
        <v>3.1.3</v>
      </c>
      <c r="H1466" s="166" t="s">
        <v>1716</v>
      </c>
      <c r="I1466" s="166" t="s">
        <v>5</v>
      </c>
      <c r="J1466" s="166" t="s">
        <v>200</v>
      </c>
      <c r="K1466" s="166" t="s">
        <v>712</v>
      </c>
      <c r="L1466" s="177">
        <f>1480/7</f>
        <v>211.42857142857142</v>
      </c>
      <c r="M1466" s="140"/>
      <c r="N1466" s="140"/>
      <c r="O1466" s="164">
        <f t="shared" si="167"/>
        <v>0</v>
      </c>
      <c r="P1466" s="166">
        <f>2*25*9</f>
        <v>450</v>
      </c>
      <c r="Q1466" s="166">
        <v>10</v>
      </c>
      <c r="R1466" s="164">
        <f>$L1466*'Pivot Objective'!$C$9*P1466*Q1466</f>
        <v>1087407.7865742855</v>
      </c>
      <c r="S1466" s="166">
        <v>0</v>
      </c>
      <c r="T1466" s="166">
        <v>0</v>
      </c>
      <c r="U1466" s="164">
        <f>($L1466*'Pivot Objective'!$C$9^2)*S1466*T1466</f>
        <v>0</v>
      </c>
      <c r="V1466" s="166">
        <v>0</v>
      </c>
      <c r="W1466" s="166">
        <v>0</v>
      </c>
      <c r="X1466" s="164">
        <f>($L1466*'Pivot Objective'!$C$9^3)*V1466*W1466</f>
        <v>0</v>
      </c>
      <c r="Y1466" s="166">
        <v>20000</v>
      </c>
      <c r="Z1466" s="166">
        <v>1</v>
      </c>
      <c r="AA1466" s="164">
        <f>($L1466*'Pivot Objective'!$C$9^4)*Y1466*Z1466</f>
        <v>7215371.0321426839</v>
      </c>
      <c r="AB1466" s="166">
        <v>0</v>
      </c>
      <c r="AC1466" s="166">
        <v>0</v>
      </c>
      <c r="AD1466" s="164">
        <f>($L1466*'Pivot Objective'!$C$9^5)*AB1466*AC1466</f>
        <v>0</v>
      </c>
      <c r="AE1466" s="166">
        <v>0</v>
      </c>
      <c r="AF1466" s="166">
        <v>0</v>
      </c>
      <c r="AG1466" s="164">
        <f>($L1466*'Pivot Objective'!$C$9^6)*AE1466*AF1466</f>
        <v>0</v>
      </c>
      <c r="AH1466" s="166">
        <f>2*25*9</f>
        <v>450</v>
      </c>
      <c r="AI1466" s="166">
        <v>10</v>
      </c>
      <c r="AJ1466" s="164">
        <f>($L1466*'Pivot Objective'!$C$9^7)*AH1466*AI1466</f>
        <v>2423761.7902612989</v>
      </c>
      <c r="AK1466" s="185">
        <f t="shared" si="168"/>
        <v>10726540.608978268</v>
      </c>
      <c r="AL1466" s="186">
        <f t="shared" si="169"/>
        <v>10414.117096095406</v>
      </c>
    </row>
    <row r="1467" spans="1:38" customFormat="1" ht="43.2" x14ac:dyDescent="0.3">
      <c r="A1467" s="140" t="s">
        <v>1484</v>
      </c>
      <c r="B1467" s="140">
        <v>3</v>
      </c>
      <c r="C1467" s="166" t="s">
        <v>696</v>
      </c>
      <c r="D1467" s="140" t="str">
        <f t="shared" si="171"/>
        <v>1</v>
      </c>
      <c r="E1467" s="166" t="s">
        <v>689</v>
      </c>
      <c r="F1467" s="140">
        <f t="shared" si="170"/>
        <v>3</v>
      </c>
      <c r="G1467" s="140" t="str">
        <f t="shared" si="172"/>
        <v>3.1.3</v>
      </c>
      <c r="H1467" s="166" t="s">
        <v>1716</v>
      </c>
      <c r="I1467" s="166" t="s">
        <v>5</v>
      </c>
      <c r="J1467" s="166" t="s">
        <v>200</v>
      </c>
      <c r="K1467" s="166" t="s">
        <v>1350</v>
      </c>
      <c r="L1467" s="177">
        <f>1480/7</f>
        <v>211.42857142857142</v>
      </c>
      <c r="M1467" s="140"/>
      <c r="N1467" s="140"/>
      <c r="O1467" s="164">
        <f t="shared" si="167"/>
        <v>0</v>
      </c>
      <c r="P1467" s="166">
        <f>2*135*9</f>
        <v>2430</v>
      </c>
      <c r="Q1467" s="166">
        <v>1</v>
      </c>
      <c r="R1467" s="164">
        <f>$L1467*'Pivot Objective'!$C$9*P1467*Q1467</f>
        <v>587200.20475011424</v>
      </c>
      <c r="S1467" s="166"/>
      <c r="T1467" s="166"/>
      <c r="U1467" s="164">
        <f>($L1467*'Pivot Objective'!$C$9^2)*S1467*T1467</f>
        <v>0</v>
      </c>
      <c r="V1467" s="166"/>
      <c r="W1467" s="166"/>
      <c r="X1467" s="164">
        <f>($L1467*'Pivot Objective'!$C$9^3)*V1467*W1467</f>
        <v>0</v>
      </c>
      <c r="Y1467" s="166"/>
      <c r="Z1467" s="166"/>
      <c r="AA1467" s="164">
        <f>($L1467*'Pivot Objective'!$C$9^4)*Y1467*Z1467</f>
        <v>0</v>
      </c>
      <c r="AB1467" s="166"/>
      <c r="AC1467" s="166"/>
      <c r="AD1467" s="164">
        <f>($L1467*'Pivot Objective'!$C$9^5)*AB1467*AC1467</f>
        <v>0</v>
      </c>
      <c r="AE1467" s="166"/>
      <c r="AF1467" s="166"/>
      <c r="AG1467" s="164">
        <f>($L1467*'Pivot Objective'!$C$9^6)*AE1467*AF1467</f>
        <v>0</v>
      </c>
      <c r="AH1467" s="166">
        <f>2*135*9</f>
        <v>2430</v>
      </c>
      <c r="AI1467" s="166">
        <v>1</v>
      </c>
      <c r="AJ1467" s="164">
        <f>($L1467*'Pivot Objective'!$C$9^7)*AH1467*AI1467</f>
        <v>1308831.3667411015</v>
      </c>
      <c r="AK1467" s="185">
        <f t="shared" si="168"/>
        <v>1896031.5714912158</v>
      </c>
      <c r="AL1467" s="186">
        <f t="shared" si="169"/>
        <v>1840.8073509623455</v>
      </c>
    </row>
    <row r="1468" spans="1:38" customFormat="1" ht="43.2" x14ac:dyDescent="0.3">
      <c r="A1468" s="140" t="s">
        <v>1484</v>
      </c>
      <c r="B1468" s="140">
        <v>3</v>
      </c>
      <c r="C1468" s="166" t="s">
        <v>696</v>
      </c>
      <c r="D1468" s="140" t="str">
        <f t="shared" si="171"/>
        <v>1</v>
      </c>
      <c r="E1468" s="166" t="s">
        <v>689</v>
      </c>
      <c r="F1468" s="140">
        <f t="shared" si="170"/>
        <v>3</v>
      </c>
      <c r="G1468" s="140" t="str">
        <f t="shared" si="172"/>
        <v>3.1.3</v>
      </c>
      <c r="H1468" s="166" t="s">
        <v>1716</v>
      </c>
      <c r="I1468" s="166" t="s">
        <v>5</v>
      </c>
      <c r="J1468" s="166" t="s">
        <v>200</v>
      </c>
      <c r="K1468" s="166" t="s">
        <v>714</v>
      </c>
      <c r="L1468" s="177">
        <v>10000</v>
      </c>
      <c r="M1468" s="140"/>
      <c r="N1468" s="140"/>
      <c r="O1468" s="164">
        <f t="shared" si="167"/>
        <v>0</v>
      </c>
      <c r="P1468" s="166">
        <v>15</v>
      </c>
      <c r="Q1468" s="166">
        <v>1</v>
      </c>
      <c r="R1468" s="164">
        <f>$L1468*'Pivot Objective'!$C$9*P1468*Q1468</f>
        <v>171438.16454999999</v>
      </c>
      <c r="S1468" s="166">
        <v>0</v>
      </c>
      <c r="T1468" s="166">
        <v>0</v>
      </c>
      <c r="U1468" s="164">
        <f>($L1468*'Pivot Objective'!$C$9^2)*S1468*T1468</f>
        <v>0</v>
      </c>
      <c r="V1468" s="166">
        <v>0</v>
      </c>
      <c r="W1468" s="166">
        <v>0</v>
      </c>
      <c r="X1468" s="164">
        <f>($L1468*'Pivot Objective'!$C$9^3)*V1468*W1468</f>
        <v>0</v>
      </c>
      <c r="Y1468" s="166">
        <v>15</v>
      </c>
      <c r="Z1468" s="166">
        <v>1</v>
      </c>
      <c r="AA1468" s="164">
        <f>($L1468*'Pivot Objective'!$C$9^4)*Y1468*Z1468</f>
        <v>255950.66161316959</v>
      </c>
      <c r="AB1468" s="166">
        <v>0</v>
      </c>
      <c r="AC1468" s="166">
        <v>0</v>
      </c>
      <c r="AD1468" s="164">
        <f>($L1468*'Pivot Objective'!$C$9^5)*AB1468*AC1468</f>
        <v>0</v>
      </c>
      <c r="AE1468" s="166">
        <v>0</v>
      </c>
      <c r="AF1468" s="166">
        <v>0</v>
      </c>
      <c r="AG1468" s="164">
        <f>($L1468*'Pivot Objective'!$C$9^6)*AE1468*AF1468</f>
        <v>0</v>
      </c>
      <c r="AH1468" s="166">
        <v>15</v>
      </c>
      <c r="AI1468" s="166">
        <v>1</v>
      </c>
      <c r="AJ1468" s="164">
        <f>($L1468*'Pivot Objective'!$C$9^7)*AH1468*AI1468</f>
        <v>382124.60657272732</v>
      </c>
      <c r="AK1468" s="185">
        <f t="shared" si="168"/>
        <v>809513.4327358969</v>
      </c>
      <c r="AL1468" s="186">
        <f t="shared" si="169"/>
        <v>785.93537158824938</v>
      </c>
    </row>
    <row r="1469" spans="1:38" customFormat="1" ht="43.2" x14ac:dyDescent="0.3">
      <c r="A1469" s="140" t="s">
        <v>1484</v>
      </c>
      <c r="B1469" s="140">
        <v>3</v>
      </c>
      <c r="C1469" s="166" t="s">
        <v>696</v>
      </c>
      <c r="D1469" s="140" t="str">
        <f t="shared" si="171"/>
        <v>1</v>
      </c>
      <c r="E1469" s="166" t="s">
        <v>689</v>
      </c>
      <c r="F1469" s="140">
        <f t="shared" si="170"/>
        <v>3</v>
      </c>
      <c r="G1469" s="140" t="str">
        <f t="shared" si="172"/>
        <v>3.1.3</v>
      </c>
      <c r="H1469" s="166" t="s">
        <v>1716</v>
      </c>
      <c r="I1469" s="166" t="s">
        <v>5</v>
      </c>
      <c r="J1469" s="166" t="s">
        <v>200</v>
      </c>
      <c r="K1469" s="166" t="s">
        <v>715</v>
      </c>
      <c r="L1469" s="177">
        <v>302000</v>
      </c>
      <c r="M1469" s="140"/>
      <c r="N1469" s="140"/>
      <c r="O1469" s="164">
        <f t="shared" si="167"/>
        <v>0</v>
      </c>
      <c r="P1469" s="166">
        <v>15</v>
      </c>
      <c r="Q1469" s="166">
        <v>1</v>
      </c>
      <c r="R1469" s="164">
        <f>$L1469*'Pivot Objective'!$C$9*P1469*Q1469</f>
        <v>5177432.5694099991</v>
      </c>
      <c r="S1469" s="166">
        <v>0</v>
      </c>
      <c r="T1469" s="166">
        <v>0</v>
      </c>
      <c r="U1469" s="164">
        <f>($L1469*'Pivot Objective'!$C$9^2)*S1469*T1469</f>
        <v>0</v>
      </c>
      <c r="V1469" s="166">
        <v>0</v>
      </c>
      <c r="W1469" s="166">
        <v>0</v>
      </c>
      <c r="X1469" s="164">
        <f>($L1469*'Pivot Objective'!$C$9^3)*V1469*W1469</f>
        <v>0</v>
      </c>
      <c r="Y1469" s="166">
        <v>20</v>
      </c>
      <c r="Z1469" s="166">
        <v>1</v>
      </c>
      <c r="AA1469" s="164">
        <f>($L1469*'Pivot Objective'!$C$9^4)*Y1469*Z1469</f>
        <v>10306279.974290295</v>
      </c>
      <c r="AB1469" s="166">
        <v>0</v>
      </c>
      <c r="AC1469" s="166">
        <v>0</v>
      </c>
      <c r="AD1469" s="164">
        <f>($L1469*'Pivot Objective'!$C$9^5)*AB1469*AC1469</f>
        <v>0</v>
      </c>
      <c r="AE1469" s="166">
        <v>0</v>
      </c>
      <c r="AF1469" s="166">
        <v>0</v>
      </c>
      <c r="AG1469" s="164">
        <f>($L1469*'Pivot Objective'!$C$9^6)*AE1469*AF1469</f>
        <v>0</v>
      </c>
      <c r="AH1469" s="166">
        <v>15</v>
      </c>
      <c r="AI1469" s="166">
        <v>1</v>
      </c>
      <c r="AJ1469" s="164">
        <f>($L1469*'Pivot Objective'!$C$9^7)*AH1469*AI1469</f>
        <v>11540163.118496366</v>
      </c>
      <c r="AK1469" s="185">
        <f t="shared" si="168"/>
        <v>27023875.662196659</v>
      </c>
      <c r="AL1469" s="186">
        <f t="shared" si="169"/>
        <v>26236.772487569571</v>
      </c>
    </row>
    <row r="1470" spans="1:38" customFormat="1" ht="43.2" x14ac:dyDescent="0.3">
      <c r="A1470" s="140" t="s">
        <v>1484</v>
      </c>
      <c r="B1470" s="140">
        <v>3</v>
      </c>
      <c r="C1470" s="166" t="s">
        <v>696</v>
      </c>
      <c r="D1470" s="140" t="str">
        <f t="shared" si="171"/>
        <v>1</v>
      </c>
      <c r="E1470" s="166" t="s">
        <v>689</v>
      </c>
      <c r="F1470" s="140">
        <f t="shared" si="170"/>
        <v>3</v>
      </c>
      <c r="G1470" s="140" t="str">
        <f t="shared" si="172"/>
        <v>3.1.3</v>
      </c>
      <c r="H1470" s="166" t="s">
        <v>1716</v>
      </c>
      <c r="I1470" s="166" t="s">
        <v>5</v>
      </c>
      <c r="J1470" s="166" t="s">
        <v>152</v>
      </c>
      <c r="K1470" s="166" t="s">
        <v>716</v>
      </c>
      <c r="L1470" s="177">
        <v>39000</v>
      </c>
      <c r="M1470" s="140"/>
      <c r="N1470" s="140"/>
      <c r="O1470" s="164">
        <f t="shared" si="167"/>
        <v>0</v>
      </c>
      <c r="P1470" s="166">
        <v>25</v>
      </c>
      <c r="Q1470" s="166">
        <v>6</v>
      </c>
      <c r="R1470" s="164">
        <f>$L1470*'Pivot Objective'!$C$9*P1470*Q1470</f>
        <v>6686088.4174499996</v>
      </c>
      <c r="S1470" s="166">
        <v>0</v>
      </c>
      <c r="T1470" s="166">
        <v>0</v>
      </c>
      <c r="U1470" s="164">
        <f>($L1470*'Pivot Objective'!$C$9^2)*S1470*T1470</f>
        <v>0</v>
      </c>
      <c r="V1470" s="166">
        <v>0</v>
      </c>
      <c r="W1470" s="166">
        <v>0</v>
      </c>
      <c r="X1470" s="164">
        <f>($L1470*'Pivot Objective'!$C$9^3)*V1470*W1470</f>
        <v>0</v>
      </c>
      <c r="Y1470" s="166">
        <v>15</v>
      </c>
      <c r="Z1470" s="166">
        <v>5</v>
      </c>
      <c r="AA1470" s="164">
        <f>($L1470*'Pivot Objective'!$C$9^4)*Y1470*Z1470</f>
        <v>4991037.9014568068</v>
      </c>
      <c r="AB1470" s="166">
        <v>0</v>
      </c>
      <c r="AC1470" s="166">
        <v>0</v>
      </c>
      <c r="AD1470" s="164">
        <f>($L1470*'Pivot Objective'!$C$9^5)*AB1470*AC1470</f>
        <v>0</v>
      </c>
      <c r="AE1470" s="166">
        <v>0</v>
      </c>
      <c r="AF1470" s="166">
        <v>0</v>
      </c>
      <c r="AG1470" s="164">
        <f>($L1470*'Pivot Objective'!$C$9^6)*AE1470*AF1470</f>
        <v>0</v>
      </c>
      <c r="AH1470" s="166">
        <v>25</v>
      </c>
      <c r="AI1470" s="166">
        <v>6</v>
      </c>
      <c r="AJ1470" s="164">
        <f>($L1470*'Pivot Objective'!$C$9^7)*AH1470*AI1470</f>
        <v>14902859.656336365</v>
      </c>
      <c r="AK1470" s="185">
        <f t="shared" si="168"/>
        <v>26579985.975243174</v>
      </c>
      <c r="AL1470" s="186">
        <f t="shared" si="169"/>
        <v>25805.811626449682</v>
      </c>
    </row>
    <row r="1471" spans="1:38" customFormat="1" ht="43.2" x14ac:dyDescent="0.3">
      <c r="A1471" s="140" t="s">
        <v>1484</v>
      </c>
      <c r="B1471" s="140">
        <v>3</v>
      </c>
      <c r="C1471" s="166" t="s">
        <v>696</v>
      </c>
      <c r="D1471" s="140" t="str">
        <f t="shared" si="171"/>
        <v>1</v>
      </c>
      <c r="E1471" s="166" t="s">
        <v>689</v>
      </c>
      <c r="F1471" s="140">
        <f t="shared" si="170"/>
        <v>3</v>
      </c>
      <c r="G1471" s="140" t="str">
        <f t="shared" si="172"/>
        <v>3.1.3</v>
      </c>
      <c r="H1471" s="166" t="s">
        <v>1716</v>
      </c>
      <c r="I1471" s="166" t="s">
        <v>5</v>
      </c>
      <c r="J1471" s="166" t="s">
        <v>152</v>
      </c>
      <c r="K1471" s="166" t="s">
        <v>709</v>
      </c>
      <c r="L1471" s="177">
        <v>35000</v>
      </c>
      <c r="M1471" s="140"/>
      <c r="N1471" s="140"/>
      <c r="O1471" s="164">
        <f t="shared" si="167"/>
        <v>0</v>
      </c>
      <c r="P1471" s="166">
        <v>25</v>
      </c>
      <c r="Q1471" s="166">
        <v>5</v>
      </c>
      <c r="R1471" s="164">
        <f>$L1471*'Pivot Objective'!$C$9*P1471*Q1471</f>
        <v>5000279.7993749995</v>
      </c>
      <c r="S1471" s="166">
        <v>0</v>
      </c>
      <c r="T1471" s="166">
        <v>0</v>
      </c>
      <c r="U1471" s="164">
        <f>($L1471*'Pivot Objective'!$C$9^2)*S1471*T1471</f>
        <v>0</v>
      </c>
      <c r="V1471" s="166">
        <v>0</v>
      </c>
      <c r="W1471" s="166">
        <v>0</v>
      </c>
      <c r="X1471" s="164">
        <f>($L1471*'Pivot Objective'!$C$9^3)*V1471*W1471</f>
        <v>0</v>
      </c>
      <c r="Y1471" s="166">
        <v>15</v>
      </c>
      <c r="Z1471" s="166">
        <v>5</v>
      </c>
      <c r="AA1471" s="164">
        <f>($L1471*'Pivot Objective'!$C$9^4)*Y1471*Z1471</f>
        <v>4479136.5782304676</v>
      </c>
      <c r="AB1471" s="166">
        <v>0</v>
      </c>
      <c r="AC1471" s="166">
        <v>0</v>
      </c>
      <c r="AD1471" s="164">
        <f>($L1471*'Pivot Objective'!$C$9^5)*AB1471*AC1471</f>
        <v>0</v>
      </c>
      <c r="AE1471" s="166">
        <v>0</v>
      </c>
      <c r="AF1471" s="166">
        <v>0</v>
      </c>
      <c r="AG1471" s="164">
        <f>($L1471*'Pivot Objective'!$C$9^6)*AE1471*AF1471</f>
        <v>0</v>
      </c>
      <c r="AH1471" s="166">
        <v>25</v>
      </c>
      <c r="AI1471" s="166">
        <v>5</v>
      </c>
      <c r="AJ1471" s="164">
        <f>($L1471*'Pivot Objective'!$C$9^7)*AH1471*AI1471</f>
        <v>11145301.025037881</v>
      </c>
      <c r="AK1471" s="185">
        <f t="shared" si="168"/>
        <v>20624717.402643349</v>
      </c>
      <c r="AL1471" s="186">
        <f t="shared" si="169"/>
        <v>20023.997478294514</v>
      </c>
    </row>
    <row r="1472" spans="1:38" customFormat="1" ht="43.2" x14ac:dyDescent="0.3">
      <c r="A1472" s="140" t="s">
        <v>1484</v>
      </c>
      <c r="B1472" s="140">
        <v>3</v>
      </c>
      <c r="C1472" s="166" t="s">
        <v>696</v>
      </c>
      <c r="D1472" s="140" t="str">
        <f t="shared" si="171"/>
        <v>1</v>
      </c>
      <c r="E1472" s="166" t="s">
        <v>689</v>
      </c>
      <c r="F1472" s="140">
        <f t="shared" si="170"/>
        <v>3</v>
      </c>
      <c r="G1472" s="140" t="str">
        <f t="shared" si="172"/>
        <v>3.1.3</v>
      </c>
      <c r="H1472" s="166" t="s">
        <v>1716</v>
      </c>
      <c r="I1472" s="166" t="s">
        <v>5</v>
      </c>
      <c r="J1472" s="166" t="s">
        <v>152</v>
      </c>
      <c r="K1472" s="166" t="s">
        <v>712</v>
      </c>
      <c r="L1472" s="177">
        <f>1480/7</f>
        <v>211.42857142857142</v>
      </c>
      <c r="M1472" s="140"/>
      <c r="N1472" s="140"/>
      <c r="O1472" s="164">
        <f t="shared" si="167"/>
        <v>0</v>
      </c>
      <c r="P1472" s="166">
        <f>25*2*9</f>
        <v>450</v>
      </c>
      <c r="Q1472" s="166">
        <v>5</v>
      </c>
      <c r="R1472" s="164">
        <f>$L1472*'Pivot Objective'!$C$9*P1472*Q1472</f>
        <v>543703.89328714274</v>
      </c>
      <c r="S1472" s="166">
        <v>0</v>
      </c>
      <c r="T1472" s="166">
        <v>0</v>
      </c>
      <c r="U1472" s="164">
        <f>($L1472*'Pivot Objective'!$C$9^2)*S1472*T1472</f>
        <v>0</v>
      </c>
      <c r="V1472" s="166">
        <v>0</v>
      </c>
      <c r="W1472" s="166">
        <v>0</v>
      </c>
      <c r="X1472" s="164">
        <f>($L1472*'Pivot Objective'!$C$9^3)*V1472*W1472</f>
        <v>0</v>
      </c>
      <c r="Y1472" s="166">
        <v>4000</v>
      </c>
      <c r="Z1472" s="166">
        <v>1</v>
      </c>
      <c r="AA1472" s="164">
        <f>($L1472*'Pivot Objective'!$C$9^4)*Y1472*Z1472</f>
        <v>1443074.2064285369</v>
      </c>
      <c r="AB1472" s="166">
        <v>0</v>
      </c>
      <c r="AC1472" s="166">
        <v>0</v>
      </c>
      <c r="AD1472" s="164">
        <f>($L1472*'Pivot Objective'!$C$9^5)*AB1472*AC1472</f>
        <v>0</v>
      </c>
      <c r="AE1472" s="166">
        <v>0</v>
      </c>
      <c r="AF1472" s="166">
        <v>0</v>
      </c>
      <c r="AG1472" s="164">
        <f>($L1472*'Pivot Objective'!$C$9^6)*AE1472*AF1472</f>
        <v>0</v>
      </c>
      <c r="AH1472" s="166">
        <f>25*2*9</f>
        <v>450</v>
      </c>
      <c r="AI1472" s="166">
        <v>5</v>
      </c>
      <c r="AJ1472" s="164">
        <f>($L1472*'Pivot Objective'!$C$9^7)*AH1472*AI1472</f>
        <v>1211880.8951306494</v>
      </c>
      <c r="AK1472" s="185">
        <f t="shared" si="168"/>
        <v>3198658.9948463291</v>
      </c>
      <c r="AL1472" s="186">
        <f t="shared" si="169"/>
        <v>3105.4941697537174</v>
      </c>
    </row>
    <row r="1473" spans="1:38" customFormat="1" ht="43.2" x14ac:dyDescent="0.3">
      <c r="A1473" s="140" t="s">
        <v>1484</v>
      </c>
      <c r="B1473" s="140">
        <v>3</v>
      </c>
      <c r="C1473" s="166" t="s">
        <v>696</v>
      </c>
      <c r="D1473" s="140" t="str">
        <f t="shared" si="171"/>
        <v>1</v>
      </c>
      <c r="E1473" s="166" t="s">
        <v>689</v>
      </c>
      <c r="F1473" s="140">
        <f t="shared" si="170"/>
        <v>3</v>
      </c>
      <c r="G1473" s="140" t="str">
        <f t="shared" si="172"/>
        <v>3.1.3</v>
      </c>
      <c r="H1473" s="166" t="s">
        <v>1716</v>
      </c>
      <c r="I1473" s="166" t="s">
        <v>5</v>
      </c>
      <c r="J1473" s="166" t="s">
        <v>152</v>
      </c>
      <c r="K1473" s="166" t="s">
        <v>1350</v>
      </c>
      <c r="L1473" s="177">
        <f>1480/7</f>
        <v>211.42857142857142</v>
      </c>
      <c r="M1473" s="140"/>
      <c r="N1473" s="140"/>
      <c r="O1473" s="164">
        <f t="shared" si="167"/>
        <v>0</v>
      </c>
      <c r="P1473" s="166">
        <f>2*135*9</f>
        <v>2430</v>
      </c>
      <c r="Q1473" s="166">
        <v>1</v>
      </c>
      <c r="R1473" s="164">
        <f>$L1473*'Pivot Objective'!$C$9*P1473*Q1473</f>
        <v>587200.20475011424</v>
      </c>
      <c r="S1473" s="166"/>
      <c r="T1473" s="166"/>
      <c r="U1473" s="164">
        <f>($L1473*'Pivot Objective'!$C$9^2)*S1473*T1473</f>
        <v>0</v>
      </c>
      <c r="V1473" s="166"/>
      <c r="W1473" s="166"/>
      <c r="X1473" s="164">
        <f>($L1473*'Pivot Objective'!$C$9^3)*V1473*W1473</f>
        <v>0</v>
      </c>
      <c r="Y1473" s="166"/>
      <c r="Z1473" s="166"/>
      <c r="AA1473" s="164">
        <f>($L1473*'Pivot Objective'!$C$9^4)*Y1473*Z1473</f>
        <v>0</v>
      </c>
      <c r="AB1473" s="166"/>
      <c r="AC1473" s="166"/>
      <c r="AD1473" s="164">
        <f>($L1473*'Pivot Objective'!$C$9^5)*AB1473*AC1473</f>
        <v>0</v>
      </c>
      <c r="AE1473" s="166"/>
      <c r="AF1473" s="166"/>
      <c r="AG1473" s="164">
        <f>($L1473*'Pivot Objective'!$C$9^6)*AE1473*AF1473</f>
        <v>0</v>
      </c>
      <c r="AH1473" s="166">
        <f>2*135*9</f>
        <v>2430</v>
      </c>
      <c r="AI1473" s="166">
        <v>1</v>
      </c>
      <c r="AJ1473" s="164">
        <f>($L1473*'Pivot Objective'!$C$9^7)*AH1473*AI1473</f>
        <v>1308831.3667411015</v>
      </c>
      <c r="AK1473" s="185">
        <f t="shared" si="168"/>
        <v>1896031.5714912158</v>
      </c>
      <c r="AL1473" s="186">
        <f t="shared" si="169"/>
        <v>1840.8073509623455</v>
      </c>
    </row>
    <row r="1474" spans="1:38" customFormat="1" ht="43.2" x14ac:dyDescent="0.3">
      <c r="A1474" s="140" t="s">
        <v>1484</v>
      </c>
      <c r="B1474" s="140">
        <v>3</v>
      </c>
      <c r="C1474" s="166" t="s">
        <v>696</v>
      </c>
      <c r="D1474" s="140" t="str">
        <f t="shared" si="171"/>
        <v>1</v>
      </c>
      <c r="E1474" s="166" t="s">
        <v>689</v>
      </c>
      <c r="F1474" s="140">
        <f t="shared" si="170"/>
        <v>3</v>
      </c>
      <c r="G1474" s="140" t="str">
        <f t="shared" si="172"/>
        <v>3.1.3</v>
      </c>
      <c r="H1474" s="166" t="s">
        <v>1716</v>
      </c>
      <c r="I1474" s="166" t="s">
        <v>5</v>
      </c>
      <c r="J1474" s="166" t="s">
        <v>153</v>
      </c>
      <c r="K1474" s="166" t="s">
        <v>709</v>
      </c>
      <c r="L1474" s="177">
        <v>35000</v>
      </c>
      <c r="M1474" s="140"/>
      <c r="N1474" s="140"/>
      <c r="O1474" s="164">
        <f t="shared" si="167"/>
        <v>0</v>
      </c>
      <c r="P1474" s="166">
        <v>25</v>
      </c>
      <c r="Q1474" s="166">
        <v>3</v>
      </c>
      <c r="R1474" s="164">
        <f>$L1474*'Pivot Objective'!$C$9*P1474*Q1474</f>
        <v>3000167.8796249996</v>
      </c>
      <c r="S1474" s="166">
        <v>0</v>
      </c>
      <c r="T1474" s="166">
        <v>0</v>
      </c>
      <c r="U1474" s="164">
        <f>($L1474*'Pivot Objective'!$C$9^2)*S1474*T1474</f>
        <v>0</v>
      </c>
      <c r="V1474" s="166">
        <v>0</v>
      </c>
      <c r="W1474" s="166">
        <v>0</v>
      </c>
      <c r="X1474" s="164">
        <f>($L1474*'Pivot Objective'!$C$9^3)*V1474*W1474</f>
        <v>0</v>
      </c>
      <c r="Y1474" s="166">
        <v>15</v>
      </c>
      <c r="Z1474" s="166">
        <v>5</v>
      </c>
      <c r="AA1474" s="164">
        <f>($L1474*'Pivot Objective'!$C$9^4)*Y1474*Z1474</f>
        <v>4479136.5782304676</v>
      </c>
      <c r="AB1474" s="166">
        <v>0</v>
      </c>
      <c r="AC1474" s="166">
        <v>0</v>
      </c>
      <c r="AD1474" s="164">
        <f>($L1474*'Pivot Objective'!$C$9^5)*AB1474*AC1474</f>
        <v>0</v>
      </c>
      <c r="AE1474" s="166">
        <v>0</v>
      </c>
      <c r="AF1474" s="166">
        <v>0</v>
      </c>
      <c r="AG1474" s="164">
        <f>($L1474*'Pivot Objective'!$C$9^6)*AE1474*AF1474</f>
        <v>0</v>
      </c>
      <c r="AH1474" s="166">
        <v>25</v>
      </c>
      <c r="AI1474" s="166">
        <v>3</v>
      </c>
      <c r="AJ1474" s="164">
        <f>($L1474*'Pivot Objective'!$C$9^7)*AH1474*AI1474</f>
        <v>6687180.6150227292</v>
      </c>
      <c r="AK1474" s="185">
        <f t="shared" si="168"/>
        <v>14166485.072878197</v>
      </c>
      <c r="AL1474" s="186">
        <f t="shared" si="169"/>
        <v>13753.869002794367</v>
      </c>
    </row>
    <row r="1475" spans="1:38" customFormat="1" ht="43.2" x14ac:dyDescent="0.3">
      <c r="A1475" s="140" t="s">
        <v>1484</v>
      </c>
      <c r="B1475" s="140">
        <v>3</v>
      </c>
      <c r="C1475" s="166" t="s">
        <v>696</v>
      </c>
      <c r="D1475" s="140" t="str">
        <f t="shared" si="171"/>
        <v>1</v>
      </c>
      <c r="E1475" s="166" t="s">
        <v>689</v>
      </c>
      <c r="F1475" s="140">
        <f t="shared" si="170"/>
        <v>3</v>
      </c>
      <c r="G1475" s="140" t="str">
        <f t="shared" si="172"/>
        <v>3.1.3</v>
      </c>
      <c r="H1475" s="166" t="s">
        <v>1716</v>
      </c>
      <c r="I1475" s="166" t="s">
        <v>5</v>
      </c>
      <c r="J1475" s="166" t="s">
        <v>153</v>
      </c>
      <c r="K1475" s="166" t="s">
        <v>716</v>
      </c>
      <c r="L1475" s="177">
        <v>39000</v>
      </c>
      <c r="M1475" s="140"/>
      <c r="N1475" s="140"/>
      <c r="O1475" s="164">
        <f t="shared" ref="O1475:O1538" si="173">$L1475*M1475*N1475</f>
        <v>0</v>
      </c>
      <c r="P1475" s="166">
        <v>25</v>
      </c>
      <c r="Q1475" s="166">
        <v>4</v>
      </c>
      <c r="R1475" s="164">
        <f>$L1475*'Pivot Objective'!$C$9*P1475*Q1475</f>
        <v>4457392.2782999994</v>
      </c>
      <c r="S1475" s="166">
        <v>0</v>
      </c>
      <c r="T1475" s="166">
        <v>0</v>
      </c>
      <c r="U1475" s="164">
        <f>($L1475*'Pivot Objective'!$C$9^2)*S1475*T1475</f>
        <v>0</v>
      </c>
      <c r="V1475" s="166">
        <v>0</v>
      </c>
      <c r="W1475" s="166">
        <v>0</v>
      </c>
      <c r="X1475" s="164">
        <f>($L1475*'Pivot Objective'!$C$9^3)*V1475*W1475</f>
        <v>0</v>
      </c>
      <c r="Y1475" s="166">
        <v>15</v>
      </c>
      <c r="Z1475" s="166">
        <v>5</v>
      </c>
      <c r="AA1475" s="164">
        <f>($L1475*'Pivot Objective'!$C$9^4)*Y1475*Z1475</f>
        <v>4991037.9014568068</v>
      </c>
      <c r="AB1475" s="166">
        <v>0</v>
      </c>
      <c r="AC1475" s="166">
        <v>0</v>
      </c>
      <c r="AD1475" s="164">
        <f>($L1475*'Pivot Objective'!$C$9^5)*AB1475*AC1475</f>
        <v>0</v>
      </c>
      <c r="AE1475" s="166">
        <v>0</v>
      </c>
      <c r="AF1475" s="166">
        <v>0</v>
      </c>
      <c r="AG1475" s="164">
        <f>($L1475*'Pivot Objective'!$C$9^6)*AE1475*AF1475</f>
        <v>0</v>
      </c>
      <c r="AH1475" s="166">
        <v>25</v>
      </c>
      <c r="AI1475" s="166">
        <v>4</v>
      </c>
      <c r="AJ1475" s="164">
        <f>($L1475*'Pivot Objective'!$C$9^7)*AH1475*AI1475</f>
        <v>9935239.7708909102</v>
      </c>
      <c r="AK1475" s="185">
        <f t="shared" ref="AK1475:AK1538" si="174">O1475+R1475+U1475+X1475+AA1475+AD1475+AG1475+AJ1475</f>
        <v>19383669.950647715</v>
      </c>
      <c r="AL1475" s="186">
        <f t="shared" ref="AL1475:AL1538" si="175">AK1475/$AP$2</f>
        <v>18819.097039463803</v>
      </c>
    </row>
    <row r="1476" spans="1:38" customFormat="1" ht="43.2" x14ac:dyDescent="0.3">
      <c r="A1476" s="140" t="s">
        <v>1484</v>
      </c>
      <c r="B1476" s="140">
        <v>3</v>
      </c>
      <c r="C1476" s="166" t="s">
        <v>696</v>
      </c>
      <c r="D1476" s="140" t="str">
        <f t="shared" si="171"/>
        <v>1</v>
      </c>
      <c r="E1476" s="166" t="s">
        <v>689</v>
      </c>
      <c r="F1476" s="140">
        <f t="shared" si="170"/>
        <v>3</v>
      </c>
      <c r="G1476" s="140" t="str">
        <f t="shared" si="172"/>
        <v>3.1.3</v>
      </c>
      <c r="H1476" s="166" t="s">
        <v>1716</v>
      </c>
      <c r="I1476" s="166" t="s">
        <v>5</v>
      </c>
      <c r="J1476" s="166" t="s">
        <v>152</v>
      </c>
      <c r="K1476" s="166" t="s">
        <v>1350</v>
      </c>
      <c r="L1476" s="177">
        <f>1480/7</f>
        <v>211.42857142857142</v>
      </c>
      <c r="M1476" s="140"/>
      <c r="N1476" s="140"/>
      <c r="O1476" s="164">
        <f t="shared" si="173"/>
        <v>0</v>
      </c>
      <c r="P1476" s="166">
        <f>2*135*9</f>
        <v>2430</v>
      </c>
      <c r="Q1476" s="166">
        <v>1</v>
      </c>
      <c r="R1476" s="164">
        <f>$L1476*'Pivot Objective'!$C$9*P1476*Q1476</f>
        <v>587200.20475011424</v>
      </c>
      <c r="S1476" s="166"/>
      <c r="T1476" s="166"/>
      <c r="U1476" s="164">
        <f>($L1476*'Pivot Objective'!$C$9^2)*S1476*T1476</f>
        <v>0</v>
      </c>
      <c r="V1476" s="166"/>
      <c r="W1476" s="166"/>
      <c r="X1476" s="164">
        <f>($L1476*'Pivot Objective'!$C$9^3)*V1476*W1476</f>
        <v>0</v>
      </c>
      <c r="Y1476" s="166"/>
      <c r="Z1476" s="166"/>
      <c r="AA1476" s="164">
        <f>($L1476*'Pivot Objective'!$C$9^4)*Y1476*Z1476</f>
        <v>0</v>
      </c>
      <c r="AB1476" s="166"/>
      <c r="AC1476" s="166"/>
      <c r="AD1476" s="164">
        <f>($L1476*'Pivot Objective'!$C$9^5)*AB1476*AC1476</f>
        <v>0</v>
      </c>
      <c r="AE1476" s="166"/>
      <c r="AF1476" s="166"/>
      <c r="AG1476" s="164">
        <f>($L1476*'Pivot Objective'!$C$9^6)*AE1476*AF1476</f>
        <v>0</v>
      </c>
      <c r="AH1476" s="166">
        <f>2*135*9</f>
        <v>2430</v>
      </c>
      <c r="AI1476" s="166">
        <v>1</v>
      </c>
      <c r="AJ1476" s="164">
        <f>($L1476*'Pivot Objective'!$C$9^7)*AH1476*AI1476</f>
        <v>1308831.3667411015</v>
      </c>
      <c r="AK1476" s="185">
        <f t="shared" si="174"/>
        <v>1896031.5714912158</v>
      </c>
      <c r="AL1476" s="186">
        <f t="shared" si="175"/>
        <v>1840.8073509623455</v>
      </c>
    </row>
    <row r="1477" spans="1:38" customFormat="1" ht="43.2" x14ac:dyDescent="0.3">
      <c r="A1477" s="140" t="s">
        <v>1484</v>
      </c>
      <c r="B1477" s="140">
        <v>3</v>
      </c>
      <c r="C1477" s="166" t="s">
        <v>696</v>
      </c>
      <c r="D1477" s="140" t="str">
        <f t="shared" si="171"/>
        <v>1</v>
      </c>
      <c r="E1477" s="166" t="s">
        <v>689</v>
      </c>
      <c r="F1477" s="140">
        <f t="shared" si="170"/>
        <v>3</v>
      </c>
      <c r="G1477" s="140" t="str">
        <f t="shared" si="172"/>
        <v>3.1.3</v>
      </c>
      <c r="H1477" s="166" t="s">
        <v>1716</v>
      </c>
      <c r="I1477" s="166" t="s">
        <v>5</v>
      </c>
      <c r="J1477" s="166" t="s">
        <v>153</v>
      </c>
      <c r="K1477" s="166" t="s">
        <v>712</v>
      </c>
      <c r="L1477" s="177">
        <f>1480/7</f>
        <v>211.42857142857142</v>
      </c>
      <c r="M1477" s="140"/>
      <c r="N1477" s="140"/>
      <c r="O1477" s="164">
        <f t="shared" si="173"/>
        <v>0</v>
      </c>
      <c r="P1477" s="166">
        <f>25*2*9</f>
        <v>450</v>
      </c>
      <c r="Q1477" s="166">
        <v>3</v>
      </c>
      <c r="R1477" s="164">
        <f>$L1477*'Pivot Objective'!$C$9*P1477*Q1477</f>
        <v>326222.33597228565</v>
      </c>
      <c r="S1477" s="166">
        <v>0</v>
      </c>
      <c r="T1477" s="166">
        <v>0</v>
      </c>
      <c r="U1477" s="164">
        <f>($L1477*'Pivot Objective'!$C$9^2)*S1477*T1477</f>
        <v>0</v>
      </c>
      <c r="V1477" s="166">
        <v>0</v>
      </c>
      <c r="W1477" s="166">
        <v>0</v>
      </c>
      <c r="X1477" s="164">
        <f>($L1477*'Pivot Objective'!$C$9^3)*V1477*W1477</f>
        <v>0</v>
      </c>
      <c r="Y1477" s="166">
        <v>4000</v>
      </c>
      <c r="Z1477" s="166">
        <v>1</v>
      </c>
      <c r="AA1477" s="164">
        <f>($L1477*'Pivot Objective'!$C$9^4)*Y1477*Z1477</f>
        <v>1443074.2064285369</v>
      </c>
      <c r="AB1477" s="166">
        <v>0</v>
      </c>
      <c r="AC1477" s="166">
        <v>0</v>
      </c>
      <c r="AD1477" s="164">
        <f>($L1477*'Pivot Objective'!$C$9^5)*AB1477*AC1477</f>
        <v>0</v>
      </c>
      <c r="AE1477" s="166">
        <v>0</v>
      </c>
      <c r="AF1477" s="166">
        <v>0</v>
      </c>
      <c r="AG1477" s="164">
        <f>($L1477*'Pivot Objective'!$C$9^6)*AE1477*AF1477</f>
        <v>0</v>
      </c>
      <c r="AH1477" s="166">
        <f>25*2*9</f>
        <v>450</v>
      </c>
      <c r="AI1477" s="166">
        <v>3</v>
      </c>
      <c r="AJ1477" s="164">
        <f>($L1477*'Pivot Objective'!$C$9^7)*AH1477*AI1477</f>
        <v>727128.53707838967</v>
      </c>
      <c r="AK1477" s="185">
        <f t="shared" si="174"/>
        <v>2496425.0794792119</v>
      </c>
      <c r="AL1477" s="186">
        <f t="shared" si="175"/>
        <v>2423.713669397293</v>
      </c>
    </row>
    <row r="1478" spans="1:38" customFormat="1" ht="43.2" x14ac:dyDescent="0.3">
      <c r="A1478" s="140" t="s">
        <v>1484</v>
      </c>
      <c r="B1478" s="140">
        <v>3</v>
      </c>
      <c r="C1478" s="166" t="s">
        <v>696</v>
      </c>
      <c r="D1478" s="140" t="str">
        <f t="shared" si="171"/>
        <v>1</v>
      </c>
      <c r="E1478" s="166" t="s">
        <v>689</v>
      </c>
      <c r="F1478" s="140">
        <f t="shared" si="170"/>
        <v>3</v>
      </c>
      <c r="G1478" s="140" t="str">
        <f t="shared" si="172"/>
        <v>3.1.3</v>
      </c>
      <c r="H1478" s="166" t="s">
        <v>1716</v>
      </c>
      <c r="I1478" s="166" t="s">
        <v>5</v>
      </c>
      <c r="J1478" s="166" t="s">
        <v>177</v>
      </c>
      <c r="K1478" s="166" t="s">
        <v>716</v>
      </c>
      <c r="L1478" s="177">
        <v>39000</v>
      </c>
      <c r="M1478" s="140"/>
      <c r="N1478" s="140"/>
      <c r="O1478" s="164">
        <f t="shared" si="173"/>
        <v>0</v>
      </c>
      <c r="P1478" s="166">
        <v>58</v>
      </c>
      <c r="Q1478" s="166">
        <v>2</v>
      </c>
      <c r="R1478" s="164">
        <f>$L1478*'Pivot Objective'!$C$9*P1478*Q1478</f>
        <v>5170575.0428279992</v>
      </c>
      <c r="S1478" s="166">
        <v>0</v>
      </c>
      <c r="T1478" s="166">
        <v>0</v>
      </c>
      <c r="U1478" s="164">
        <f>($L1478*'Pivot Objective'!$C$9^2)*S1478*T1478</f>
        <v>0</v>
      </c>
      <c r="V1478" s="166">
        <v>0</v>
      </c>
      <c r="W1478" s="166">
        <v>0</v>
      </c>
      <c r="X1478" s="164">
        <f>($L1478*'Pivot Objective'!$C$9^3)*V1478*W1478</f>
        <v>0</v>
      </c>
      <c r="Y1478" s="166">
        <v>10</v>
      </c>
      <c r="Z1478" s="166">
        <v>1</v>
      </c>
      <c r="AA1478" s="164">
        <f>($L1478*'Pivot Objective'!$C$9^4)*Y1478*Z1478</f>
        <v>665471.72019424092</v>
      </c>
      <c r="AB1478" s="166">
        <v>0</v>
      </c>
      <c r="AC1478" s="166">
        <v>0</v>
      </c>
      <c r="AD1478" s="164">
        <f>($L1478*'Pivot Objective'!$C$9^5)*AB1478*AC1478</f>
        <v>0</v>
      </c>
      <c r="AE1478" s="166">
        <v>0</v>
      </c>
      <c r="AF1478" s="166">
        <v>0</v>
      </c>
      <c r="AG1478" s="164">
        <f>($L1478*'Pivot Objective'!$C$9^6)*AE1478*AF1478</f>
        <v>0</v>
      </c>
      <c r="AH1478" s="166">
        <v>58</v>
      </c>
      <c r="AI1478" s="166">
        <v>2</v>
      </c>
      <c r="AJ1478" s="164">
        <f>($L1478*'Pivot Objective'!$C$9^7)*AH1478*AI1478</f>
        <v>11524878.134233456</v>
      </c>
      <c r="AK1478" s="185">
        <f t="shared" si="174"/>
        <v>17360924.897255696</v>
      </c>
      <c r="AL1478" s="186">
        <f t="shared" si="175"/>
        <v>16855.266890539511</v>
      </c>
    </row>
    <row r="1479" spans="1:38" customFormat="1" ht="43.2" x14ac:dyDescent="0.3">
      <c r="A1479" s="140" t="s">
        <v>1484</v>
      </c>
      <c r="B1479" s="140">
        <v>3</v>
      </c>
      <c r="C1479" s="166" t="s">
        <v>696</v>
      </c>
      <c r="D1479" s="140" t="str">
        <f t="shared" si="171"/>
        <v>1</v>
      </c>
      <c r="E1479" s="166" t="s">
        <v>689</v>
      </c>
      <c r="F1479" s="140">
        <f t="shared" si="170"/>
        <v>3</v>
      </c>
      <c r="G1479" s="140" t="str">
        <f t="shared" si="172"/>
        <v>3.1.3</v>
      </c>
      <c r="H1479" s="166" t="s">
        <v>1716</v>
      </c>
      <c r="I1479" s="166" t="s">
        <v>5</v>
      </c>
      <c r="J1479" s="166" t="s">
        <v>177</v>
      </c>
      <c r="K1479" s="166" t="s">
        <v>709</v>
      </c>
      <c r="L1479" s="177">
        <v>35000</v>
      </c>
      <c r="M1479" s="140"/>
      <c r="N1479" s="140"/>
      <c r="O1479" s="164">
        <f t="shared" si="173"/>
        <v>0</v>
      </c>
      <c r="P1479" s="166">
        <v>100</v>
      </c>
      <c r="Q1479" s="166">
        <v>1</v>
      </c>
      <c r="R1479" s="164">
        <f>$L1479*'Pivot Objective'!$C$9*P1479*Q1479</f>
        <v>4000223.8394999993</v>
      </c>
      <c r="S1479" s="166">
        <v>0</v>
      </c>
      <c r="T1479" s="166">
        <v>0</v>
      </c>
      <c r="U1479" s="164">
        <f>($L1479*'Pivot Objective'!$C$9^2)*S1479*T1479</f>
        <v>0</v>
      </c>
      <c r="V1479" s="166">
        <v>0</v>
      </c>
      <c r="W1479" s="166">
        <v>0</v>
      </c>
      <c r="X1479" s="164">
        <f>($L1479*'Pivot Objective'!$C$9^3)*V1479*W1479</f>
        <v>0</v>
      </c>
      <c r="Y1479" s="166">
        <v>30</v>
      </c>
      <c r="Z1479" s="166">
        <v>1</v>
      </c>
      <c r="AA1479" s="164">
        <f>($L1479*'Pivot Objective'!$C$9^4)*Y1479*Z1479</f>
        <v>1791654.6312921871</v>
      </c>
      <c r="AB1479" s="166">
        <v>0</v>
      </c>
      <c r="AC1479" s="166">
        <v>0</v>
      </c>
      <c r="AD1479" s="164">
        <f>($L1479*'Pivot Objective'!$C$9^5)*AB1479*AC1479</f>
        <v>0</v>
      </c>
      <c r="AE1479" s="166">
        <v>0</v>
      </c>
      <c r="AF1479" s="166">
        <v>0</v>
      </c>
      <c r="AG1479" s="164">
        <f>($L1479*'Pivot Objective'!$C$9^6)*AE1479*AF1479</f>
        <v>0</v>
      </c>
      <c r="AH1479" s="166">
        <v>100</v>
      </c>
      <c r="AI1479" s="166">
        <v>1</v>
      </c>
      <c r="AJ1479" s="164">
        <f>($L1479*'Pivot Objective'!$C$9^7)*AH1479*AI1479</f>
        <v>8916240.8200303055</v>
      </c>
      <c r="AK1479" s="185">
        <f t="shared" si="174"/>
        <v>14708119.290822491</v>
      </c>
      <c r="AL1479" s="186">
        <f t="shared" si="175"/>
        <v>14279.727466817953</v>
      </c>
    </row>
    <row r="1480" spans="1:38" customFormat="1" ht="43.2" x14ac:dyDescent="0.3">
      <c r="A1480" s="140" t="s">
        <v>1484</v>
      </c>
      <c r="B1480" s="140">
        <v>3</v>
      </c>
      <c r="C1480" s="166" t="s">
        <v>696</v>
      </c>
      <c r="D1480" s="140" t="str">
        <f t="shared" si="171"/>
        <v>1</v>
      </c>
      <c r="E1480" s="166" t="s">
        <v>689</v>
      </c>
      <c r="F1480" s="140">
        <f t="shared" si="170"/>
        <v>3</v>
      </c>
      <c r="G1480" s="140" t="str">
        <f t="shared" si="172"/>
        <v>3.1.3</v>
      </c>
      <c r="H1480" s="166" t="s">
        <v>1716</v>
      </c>
      <c r="I1480" s="166" t="s">
        <v>5</v>
      </c>
      <c r="J1480" s="166" t="s">
        <v>177</v>
      </c>
      <c r="K1480" s="166" t="s">
        <v>1350</v>
      </c>
      <c r="L1480" s="177">
        <f>1480/7</f>
        <v>211.42857142857142</v>
      </c>
      <c r="M1480" s="140"/>
      <c r="N1480" s="140"/>
      <c r="O1480" s="164">
        <f t="shared" si="173"/>
        <v>0</v>
      </c>
      <c r="P1480" s="166">
        <f>2*135*29</f>
        <v>7830</v>
      </c>
      <c r="Q1480" s="166">
        <v>1</v>
      </c>
      <c r="R1480" s="164">
        <f>$L1480*'Pivot Objective'!$C$9*P1480*Q1480</f>
        <v>1892089.548639257</v>
      </c>
      <c r="S1480" s="166"/>
      <c r="T1480" s="166"/>
      <c r="U1480" s="164">
        <f>($L1480*'Pivot Objective'!$C$9^2)*S1480*T1480</f>
        <v>0</v>
      </c>
      <c r="V1480" s="166"/>
      <c r="W1480" s="166"/>
      <c r="X1480" s="164">
        <f>($L1480*'Pivot Objective'!$C$9^3)*V1480*W1480</f>
        <v>0</v>
      </c>
      <c r="Y1480" s="166"/>
      <c r="Z1480" s="166"/>
      <c r="AA1480" s="164">
        <f>($L1480*'Pivot Objective'!$C$9^4)*Y1480*Z1480</f>
        <v>0</v>
      </c>
      <c r="AB1480" s="166"/>
      <c r="AC1480" s="166"/>
      <c r="AD1480" s="164">
        <f>($L1480*'Pivot Objective'!$C$9^5)*AB1480*AC1480</f>
        <v>0</v>
      </c>
      <c r="AE1480" s="166"/>
      <c r="AF1480" s="166"/>
      <c r="AG1480" s="164">
        <f>($L1480*'Pivot Objective'!$C$9^6)*AE1480*AF1480</f>
        <v>0</v>
      </c>
      <c r="AH1480" s="166">
        <f>2*135*29</f>
        <v>7830</v>
      </c>
      <c r="AI1480" s="166">
        <v>1</v>
      </c>
      <c r="AJ1480" s="164">
        <f>($L1480*'Pivot Objective'!$C$9^7)*AH1480*AI1480</f>
        <v>4217345.5150546599</v>
      </c>
      <c r="AK1480" s="185">
        <f t="shared" si="174"/>
        <v>6109435.0636939164</v>
      </c>
      <c r="AL1480" s="186">
        <f t="shared" si="175"/>
        <v>5931.4903531008895</v>
      </c>
    </row>
    <row r="1481" spans="1:38" customFormat="1" ht="43.2" x14ac:dyDescent="0.3">
      <c r="A1481" s="140" t="s">
        <v>1484</v>
      </c>
      <c r="B1481" s="140">
        <v>3</v>
      </c>
      <c r="C1481" s="166" t="s">
        <v>696</v>
      </c>
      <c r="D1481" s="140" t="str">
        <f t="shared" si="171"/>
        <v>1</v>
      </c>
      <c r="E1481" s="166" t="s">
        <v>689</v>
      </c>
      <c r="F1481" s="140">
        <f t="shared" si="170"/>
        <v>3</v>
      </c>
      <c r="G1481" s="140" t="str">
        <f t="shared" si="172"/>
        <v>3.1.3</v>
      </c>
      <c r="H1481" s="166" t="s">
        <v>1716</v>
      </c>
      <c r="I1481" s="166" t="s">
        <v>5</v>
      </c>
      <c r="J1481" s="166" t="s">
        <v>177</v>
      </c>
      <c r="K1481" s="166" t="s">
        <v>712</v>
      </c>
      <c r="L1481" s="177">
        <f>1480/7</f>
        <v>211.42857142857142</v>
      </c>
      <c r="M1481" s="140"/>
      <c r="N1481" s="140"/>
      <c r="O1481" s="164">
        <f t="shared" si="173"/>
        <v>0</v>
      </c>
      <c r="P1481" s="166">
        <f>25*2*29</f>
        <v>1450</v>
      </c>
      <c r="Q1481" s="166">
        <v>1</v>
      </c>
      <c r="R1481" s="164">
        <f>$L1481*'Pivot Objective'!$C$9*P1481*Q1481</f>
        <v>350386.95345171425</v>
      </c>
      <c r="S1481" s="166"/>
      <c r="T1481" s="166"/>
      <c r="U1481" s="164">
        <f>($L1481*'Pivot Objective'!$C$9^2)*S1481*T1481</f>
        <v>0</v>
      </c>
      <c r="V1481" s="166">
        <v>0</v>
      </c>
      <c r="W1481" s="166">
        <v>0</v>
      </c>
      <c r="X1481" s="164">
        <f>($L1481*'Pivot Objective'!$C$9^3)*V1481*W1481</f>
        <v>0</v>
      </c>
      <c r="Y1481" s="166">
        <v>8000</v>
      </c>
      <c r="Z1481" s="166">
        <v>1</v>
      </c>
      <c r="AA1481" s="164">
        <f>($L1481*'Pivot Objective'!$C$9^4)*Y1481*Z1481</f>
        <v>2886148.4128570738</v>
      </c>
      <c r="AB1481" s="166">
        <v>0</v>
      </c>
      <c r="AC1481" s="166">
        <v>0</v>
      </c>
      <c r="AD1481" s="164">
        <f>($L1481*'Pivot Objective'!$C$9^5)*AB1481*AC1481</f>
        <v>0</v>
      </c>
      <c r="AE1481" s="166">
        <v>0</v>
      </c>
      <c r="AF1481" s="166">
        <v>0</v>
      </c>
      <c r="AG1481" s="164">
        <f>($L1481*'Pivot Objective'!$C$9^6)*AE1481*AF1481</f>
        <v>0</v>
      </c>
      <c r="AH1481" s="166">
        <f>25*2*29</f>
        <v>1450</v>
      </c>
      <c r="AI1481" s="166">
        <v>1</v>
      </c>
      <c r="AJ1481" s="164">
        <f>($L1481*'Pivot Objective'!$C$9^7)*AH1481*AI1481</f>
        <v>780989.91019530746</v>
      </c>
      <c r="AK1481" s="185">
        <f t="shared" si="174"/>
        <v>4017525.2765040952</v>
      </c>
      <c r="AL1481" s="186">
        <f t="shared" si="175"/>
        <v>3900.509977188442</v>
      </c>
    </row>
    <row r="1482" spans="1:38" customFormat="1" ht="43.2" x14ac:dyDescent="0.3">
      <c r="A1482" s="140" t="s">
        <v>1484</v>
      </c>
      <c r="B1482" s="140">
        <v>3</v>
      </c>
      <c r="C1482" s="166" t="s">
        <v>696</v>
      </c>
      <c r="D1482" s="140" t="str">
        <f t="shared" si="171"/>
        <v>1</v>
      </c>
      <c r="E1482" s="166" t="s">
        <v>689</v>
      </c>
      <c r="F1482" s="140">
        <f t="shared" si="170"/>
        <v>3</v>
      </c>
      <c r="G1482" s="140" t="str">
        <f t="shared" si="172"/>
        <v>3.1.3</v>
      </c>
      <c r="H1482" s="166" t="s">
        <v>1716</v>
      </c>
      <c r="I1482" s="166" t="s">
        <v>5</v>
      </c>
      <c r="J1482" s="166" t="s">
        <v>204</v>
      </c>
      <c r="K1482" s="166" t="s">
        <v>709</v>
      </c>
      <c r="L1482" s="177">
        <v>35000</v>
      </c>
      <c r="M1482" s="140"/>
      <c r="N1482" s="140"/>
      <c r="O1482" s="164">
        <f t="shared" si="173"/>
        <v>0</v>
      </c>
      <c r="P1482" s="166">
        <v>25</v>
      </c>
      <c r="Q1482" s="166">
        <v>1</v>
      </c>
      <c r="R1482" s="164">
        <f>$L1482*'Pivot Objective'!$C$9*P1482*Q1482</f>
        <v>1000055.9598749998</v>
      </c>
      <c r="S1482" s="166"/>
      <c r="T1482" s="166"/>
      <c r="U1482" s="164">
        <f>($L1482*'Pivot Objective'!$C$9^2)*S1482*T1482</f>
        <v>0</v>
      </c>
      <c r="V1482" s="166">
        <v>0</v>
      </c>
      <c r="W1482" s="166">
        <v>0</v>
      </c>
      <c r="X1482" s="164">
        <f>($L1482*'Pivot Objective'!$C$9^3)*V1482*W1482</f>
        <v>0</v>
      </c>
      <c r="Y1482" s="166">
        <v>30</v>
      </c>
      <c r="Z1482" s="166">
        <v>1</v>
      </c>
      <c r="AA1482" s="164">
        <f>($L1482*'Pivot Objective'!$C$9^4)*Y1482*Z1482</f>
        <v>1791654.6312921871</v>
      </c>
      <c r="AB1482" s="166">
        <v>0</v>
      </c>
      <c r="AC1482" s="166">
        <v>0</v>
      </c>
      <c r="AD1482" s="164">
        <f>($L1482*'Pivot Objective'!$C$9^5)*AB1482*AC1482</f>
        <v>0</v>
      </c>
      <c r="AE1482" s="166">
        <v>0</v>
      </c>
      <c r="AF1482" s="166">
        <v>0</v>
      </c>
      <c r="AG1482" s="164">
        <f>($L1482*'Pivot Objective'!$C$9^6)*AE1482*AF1482</f>
        <v>0</v>
      </c>
      <c r="AH1482" s="166">
        <v>25</v>
      </c>
      <c r="AI1482" s="166">
        <v>1</v>
      </c>
      <c r="AJ1482" s="164">
        <f>($L1482*'Pivot Objective'!$C$9^7)*AH1482*AI1482</f>
        <v>2229060.2050075764</v>
      </c>
      <c r="AK1482" s="185">
        <f t="shared" si="174"/>
        <v>5020770.7961747628</v>
      </c>
      <c r="AL1482" s="186">
        <f t="shared" si="175"/>
        <v>4874.5347535677311</v>
      </c>
    </row>
    <row r="1483" spans="1:38" customFormat="1" ht="43.2" x14ac:dyDescent="0.3">
      <c r="A1483" s="140" t="s">
        <v>1484</v>
      </c>
      <c r="B1483" s="140">
        <v>3</v>
      </c>
      <c r="C1483" s="166" t="s">
        <v>696</v>
      </c>
      <c r="D1483" s="140" t="str">
        <f t="shared" si="171"/>
        <v>1</v>
      </c>
      <c r="E1483" s="166" t="s">
        <v>689</v>
      </c>
      <c r="F1483" s="140">
        <f t="shared" si="170"/>
        <v>3</v>
      </c>
      <c r="G1483" s="140" t="str">
        <f t="shared" si="172"/>
        <v>3.1.3</v>
      </c>
      <c r="H1483" s="166" t="s">
        <v>1716</v>
      </c>
      <c r="I1483" s="166" t="s">
        <v>5</v>
      </c>
      <c r="J1483" s="166" t="s">
        <v>205</v>
      </c>
      <c r="K1483" s="166" t="s">
        <v>718</v>
      </c>
      <c r="L1483" s="177">
        <v>0</v>
      </c>
      <c r="M1483" s="140"/>
      <c r="N1483" s="140"/>
      <c r="O1483" s="164">
        <f t="shared" si="173"/>
        <v>0</v>
      </c>
      <c r="P1483" s="166">
        <v>0</v>
      </c>
      <c r="Q1483" s="166">
        <v>0</v>
      </c>
      <c r="R1483" s="164">
        <f>$L1483*'Pivot Objective'!$C$9*P1483*Q1483</f>
        <v>0</v>
      </c>
      <c r="S1483" s="166"/>
      <c r="T1483" s="166"/>
      <c r="U1483" s="164">
        <f>($L1483*'Pivot Objective'!$C$9^2)*S1483*T1483</f>
        <v>0</v>
      </c>
      <c r="V1483" s="166">
        <v>0</v>
      </c>
      <c r="W1483" s="166">
        <v>0</v>
      </c>
      <c r="X1483" s="164">
        <f>($L1483*'Pivot Objective'!$C$9^3)*V1483*W1483</f>
        <v>0</v>
      </c>
      <c r="Y1483" s="166">
        <v>20</v>
      </c>
      <c r="Z1483" s="166">
        <v>1</v>
      </c>
      <c r="AA1483" s="164">
        <f>($L1483*'Pivot Objective'!$C$9^4)*Y1483*Z1483</f>
        <v>0</v>
      </c>
      <c r="AB1483" s="166">
        <v>0</v>
      </c>
      <c r="AC1483" s="166">
        <v>0</v>
      </c>
      <c r="AD1483" s="164">
        <f>($L1483*'Pivot Objective'!$C$9^5)*AB1483*AC1483</f>
        <v>0</v>
      </c>
      <c r="AE1483" s="166">
        <v>0</v>
      </c>
      <c r="AF1483" s="166">
        <v>0</v>
      </c>
      <c r="AG1483" s="164">
        <f>($L1483*'Pivot Objective'!$C$9^6)*AE1483*AF1483</f>
        <v>0</v>
      </c>
      <c r="AH1483" s="166">
        <v>0</v>
      </c>
      <c r="AI1483" s="166">
        <v>0</v>
      </c>
      <c r="AJ1483" s="164">
        <f>($L1483*'Pivot Objective'!$C$9^7)*AH1483*AI1483</f>
        <v>0</v>
      </c>
      <c r="AK1483" s="185">
        <f t="shared" si="174"/>
        <v>0</v>
      </c>
      <c r="AL1483" s="186">
        <f t="shared" si="175"/>
        <v>0</v>
      </c>
    </row>
    <row r="1484" spans="1:38" customFormat="1" ht="43.2" x14ac:dyDescent="0.3">
      <c r="A1484" s="140" t="s">
        <v>1484</v>
      </c>
      <c r="B1484" s="140">
        <v>3</v>
      </c>
      <c r="C1484" s="166" t="s">
        <v>696</v>
      </c>
      <c r="D1484" s="140" t="str">
        <f t="shared" si="171"/>
        <v>1</v>
      </c>
      <c r="E1484" s="166" t="s">
        <v>689</v>
      </c>
      <c r="F1484" s="140">
        <f t="shared" si="170"/>
        <v>3</v>
      </c>
      <c r="G1484" s="140" t="str">
        <f t="shared" si="172"/>
        <v>3.1.3</v>
      </c>
      <c r="H1484" s="166" t="s">
        <v>1716</v>
      </c>
      <c r="I1484" s="166" t="s">
        <v>5</v>
      </c>
      <c r="J1484" s="166" t="s">
        <v>220</v>
      </c>
      <c r="K1484" s="166" t="s">
        <v>1297</v>
      </c>
      <c r="L1484" s="177">
        <v>8000</v>
      </c>
      <c r="M1484" s="140"/>
      <c r="N1484" s="140"/>
      <c r="O1484" s="164">
        <f t="shared" si="173"/>
        <v>0</v>
      </c>
      <c r="P1484" s="166">
        <v>10</v>
      </c>
      <c r="Q1484" s="166">
        <v>1</v>
      </c>
      <c r="R1484" s="164">
        <f>$L1484*'Pivot Objective'!$C$9*P1484*Q1484</f>
        <v>91433.687760000001</v>
      </c>
      <c r="S1484" s="166"/>
      <c r="T1484" s="166"/>
      <c r="U1484" s="164">
        <f>($L1484*'Pivot Objective'!$C$9^2)*S1484*T1484</f>
        <v>0</v>
      </c>
      <c r="V1484" s="166">
        <v>0</v>
      </c>
      <c r="W1484" s="166">
        <v>0</v>
      </c>
      <c r="X1484" s="164">
        <f>($L1484*'Pivot Objective'!$C$9^3)*V1484*W1484</f>
        <v>0</v>
      </c>
      <c r="Y1484" s="166">
        <v>50000</v>
      </c>
      <c r="Z1484" s="166">
        <v>1</v>
      </c>
      <c r="AA1484" s="164">
        <f>($L1484*'Pivot Objective'!$C$9^4)*Y1484*Z1484</f>
        <v>682535097.63511884</v>
      </c>
      <c r="AB1484" s="166">
        <v>0</v>
      </c>
      <c r="AC1484" s="166">
        <v>0</v>
      </c>
      <c r="AD1484" s="164">
        <f>($L1484*'Pivot Objective'!$C$9^5)*AB1484*AC1484</f>
        <v>0</v>
      </c>
      <c r="AE1484" s="166">
        <v>0</v>
      </c>
      <c r="AF1484" s="166">
        <v>0</v>
      </c>
      <c r="AG1484" s="164">
        <f>($L1484*'Pivot Objective'!$C$9^6)*AE1484*AF1484</f>
        <v>0</v>
      </c>
      <c r="AH1484" s="166">
        <v>10</v>
      </c>
      <c r="AI1484" s="166">
        <v>1</v>
      </c>
      <c r="AJ1484" s="164">
        <f>($L1484*'Pivot Objective'!$C$9^7)*AH1484*AI1484</f>
        <v>203799.79017212125</v>
      </c>
      <c r="AK1484" s="185">
        <f t="shared" si="174"/>
        <v>682830331.11305094</v>
      </c>
      <c r="AL1484" s="186">
        <f t="shared" si="175"/>
        <v>662942.06904179708</v>
      </c>
    </row>
    <row r="1485" spans="1:38" customFormat="1" ht="43.2" x14ac:dyDescent="0.3">
      <c r="A1485" s="140" t="s">
        <v>1484</v>
      </c>
      <c r="B1485" s="140">
        <v>3</v>
      </c>
      <c r="C1485" s="166" t="s">
        <v>696</v>
      </c>
      <c r="D1485" s="140" t="str">
        <f t="shared" si="171"/>
        <v>1</v>
      </c>
      <c r="E1485" s="166" t="s">
        <v>689</v>
      </c>
      <c r="F1485" s="140">
        <f t="shared" si="170"/>
        <v>3</v>
      </c>
      <c r="G1485" s="140" t="str">
        <f t="shared" si="172"/>
        <v>3.1.3</v>
      </c>
      <c r="H1485" s="166" t="s">
        <v>1716</v>
      </c>
      <c r="I1485" s="166" t="s">
        <v>5</v>
      </c>
      <c r="J1485" s="166" t="s">
        <v>220</v>
      </c>
      <c r="K1485" s="166" t="s">
        <v>710</v>
      </c>
      <c r="L1485" s="177">
        <v>104850</v>
      </c>
      <c r="M1485" s="140"/>
      <c r="N1485" s="140"/>
      <c r="O1485" s="164">
        <f t="shared" si="173"/>
        <v>0</v>
      </c>
      <c r="P1485" s="166">
        <v>1</v>
      </c>
      <c r="Q1485" s="166">
        <v>1</v>
      </c>
      <c r="R1485" s="164">
        <f>$L1485*'Pivot Objective'!$C$9*P1485*Q1485</f>
        <v>119835.27702044998</v>
      </c>
      <c r="S1485" s="166"/>
      <c r="T1485" s="166"/>
      <c r="U1485" s="164">
        <f>($L1485*'Pivot Objective'!$C$9^2)*S1485*T1485</f>
        <v>0</v>
      </c>
      <c r="V1485" s="166">
        <v>0</v>
      </c>
      <c r="W1485" s="166">
        <v>0</v>
      </c>
      <c r="X1485" s="164">
        <f>($L1485*'Pivot Objective'!$C$9^3)*V1485*W1485</f>
        <v>0</v>
      </c>
      <c r="Y1485" s="166">
        <v>5</v>
      </c>
      <c r="Z1485" s="166">
        <v>1</v>
      </c>
      <c r="AA1485" s="164">
        <f>($L1485*'Pivot Objective'!$C$9^4)*Y1485*Z1485</f>
        <v>894547.56233802764</v>
      </c>
      <c r="AB1485" s="166">
        <v>0</v>
      </c>
      <c r="AC1485" s="166">
        <v>0</v>
      </c>
      <c r="AD1485" s="164">
        <f>($L1485*'Pivot Objective'!$C$9^5)*AB1485*AC1485</f>
        <v>0</v>
      </c>
      <c r="AE1485" s="166">
        <v>0</v>
      </c>
      <c r="AF1485" s="166">
        <v>0</v>
      </c>
      <c r="AG1485" s="164">
        <f>($L1485*'Pivot Objective'!$C$9^6)*AE1485*AF1485</f>
        <v>0</v>
      </c>
      <c r="AH1485" s="166">
        <v>1</v>
      </c>
      <c r="AI1485" s="166">
        <v>1</v>
      </c>
      <c r="AJ1485" s="164">
        <f>($L1485*'Pivot Objective'!$C$9^7)*AH1485*AI1485</f>
        <v>267105.09999433643</v>
      </c>
      <c r="AK1485" s="185">
        <f t="shared" si="174"/>
        <v>1281487.9393528141</v>
      </c>
      <c r="AL1485" s="186">
        <f t="shared" si="175"/>
        <v>1244.1630479153534</v>
      </c>
    </row>
    <row r="1486" spans="1:38" customFormat="1" ht="43.2" x14ac:dyDescent="0.3">
      <c r="A1486" s="140" t="s">
        <v>1484</v>
      </c>
      <c r="B1486" s="140">
        <v>3</v>
      </c>
      <c r="C1486" s="166" t="s">
        <v>696</v>
      </c>
      <c r="D1486" s="140" t="str">
        <f t="shared" si="171"/>
        <v>1</v>
      </c>
      <c r="E1486" s="166" t="s">
        <v>689</v>
      </c>
      <c r="F1486" s="140">
        <f t="shared" si="170"/>
        <v>3</v>
      </c>
      <c r="G1486" s="140" t="str">
        <f t="shared" si="172"/>
        <v>3.1.3</v>
      </c>
      <c r="H1486" s="166" t="s">
        <v>1716</v>
      </c>
      <c r="I1486" s="166" t="s">
        <v>5</v>
      </c>
      <c r="J1486" s="166" t="s">
        <v>221</v>
      </c>
      <c r="K1486" s="166" t="s">
        <v>716</v>
      </c>
      <c r="L1486" s="177">
        <v>39000</v>
      </c>
      <c r="M1486" s="140"/>
      <c r="N1486" s="140"/>
      <c r="O1486" s="164">
        <f t="shared" si="173"/>
        <v>0</v>
      </c>
      <c r="P1486" s="166">
        <v>58</v>
      </c>
      <c r="Q1486" s="166">
        <v>2</v>
      </c>
      <c r="R1486" s="164">
        <f>$L1486*'Pivot Objective'!$C$9*P1486*Q1486</f>
        <v>5170575.0428279992</v>
      </c>
      <c r="S1486" s="166"/>
      <c r="T1486" s="166"/>
      <c r="U1486" s="164">
        <f>($L1486*'Pivot Objective'!$C$9^2)*S1486*T1486</f>
        <v>0</v>
      </c>
      <c r="V1486" s="166">
        <v>0</v>
      </c>
      <c r="W1486" s="166">
        <v>0</v>
      </c>
      <c r="X1486" s="164">
        <f>($L1486*'Pivot Objective'!$C$9^3)*V1486*W1486</f>
        <v>0</v>
      </c>
      <c r="Y1486" s="166">
        <v>300</v>
      </c>
      <c r="Z1486" s="166">
        <v>10</v>
      </c>
      <c r="AA1486" s="164">
        <f>($L1486*'Pivot Objective'!$C$9^4)*Y1486*Z1486</f>
        <v>199641516.05827227</v>
      </c>
      <c r="AB1486" s="166">
        <v>0</v>
      </c>
      <c r="AC1486" s="166">
        <v>0</v>
      </c>
      <c r="AD1486" s="164">
        <f>($L1486*'Pivot Objective'!$C$9^5)*AB1486*AC1486</f>
        <v>0</v>
      </c>
      <c r="AE1486" s="166">
        <v>0</v>
      </c>
      <c r="AF1486" s="166">
        <v>0</v>
      </c>
      <c r="AG1486" s="164">
        <f>($L1486*'Pivot Objective'!$C$9^6)*AE1486*AF1486</f>
        <v>0</v>
      </c>
      <c r="AH1486" s="166">
        <v>58</v>
      </c>
      <c r="AI1486" s="166">
        <v>2</v>
      </c>
      <c r="AJ1486" s="164">
        <f>($L1486*'Pivot Objective'!$C$9^7)*AH1486*AI1486</f>
        <v>11524878.134233456</v>
      </c>
      <c r="AK1486" s="185">
        <f t="shared" si="174"/>
        <v>216336969.23533371</v>
      </c>
      <c r="AL1486" s="186">
        <f t="shared" si="175"/>
        <v>210035.89246148904</v>
      </c>
    </row>
    <row r="1487" spans="1:38" customFormat="1" ht="43.2" x14ac:dyDescent="0.3">
      <c r="A1487" s="140" t="s">
        <v>1484</v>
      </c>
      <c r="B1487" s="140">
        <v>3</v>
      </c>
      <c r="C1487" s="166" t="s">
        <v>696</v>
      </c>
      <c r="D1487" s="140" t="str">
        <f t="shared" si="171"/>
        <v>1</v>
      </c>
      <c r="E1487" s="166" t="s">
        <v>689</v>
      </c>
      <c r="F1487" s="140">
        <f t="shared" si="170"/>
        <v>3</v>
      </c>
      <c r="G1487" s="140" t="str">
        <f t="shared" si="172"/>
        <v>3.1.3</v>
      </c>
      <c r="H1487" s="166" t="s">
        <v>1716</v>
      </c>
      <c r="I1487" s="166" t="s">
        <v>5</v>
      </c>
      <c r="J1487" s="166" t="s">
        <v>221</v>
      </c>
      <c r="K1487" s="166" t="s">
        <v>709</v>
      </c>
      <c r="L1487" s="177">
        <v>35000</v>
      </c>
      <c r="M1487" s="140"/>
      <c r="N1487" s="140"/>
      <c r="O1487" s="164">
        <f t="shared" si="173"/>
        <v>0</v>
      </c>
      <c r="P1487" s="166">
        <v>100</v>
      </c>
      <c r="Q1487" s="166">
        <v>1</v>
      </c>
      <c r="R1487" s="164">
        <f>$L1487*'Pivot Objective'!$C$9*P1487*Q1487</f>
        <v>4000223.8394999993</v>
      </c>
      <c r="S1487" s="166"/>
      <c r="T1487" s="166"/>
      <c r="U1487" s="164">
        <f>($L1487*'Pivot Objective'!$C$9^2)*S1487*T1487</f>
        <v>0</v>
      </c>
      <c r="V1487" s="166">
        <v>0</v>
      </c>
      <c r="W1487" s="166">
        <v>0</v>
      </c>
      <c r="X1487" s="164">
        <f>($L1487*'Pivot Objective'!$C$9^3)*V1487*W1487</f>
        <v>0</v>
      </c>
      <c r="Y1487" s="166">
        <v>300</v>
      </c>
      <c r="Z1487" s="166">
        <v>10</v>
      </c>
      <c r="AA1487" s="164">
        <f>($L1487*'Pivot Objective'!$C$9^4)*Y1487*Z1487</f>
        <v>179165463.1292187</v>
      </c>
      <c r="AB1487" s="166">
        <v>0</v>
      </c>
      <c r="AC1487" s="166">
        <v>0</v>
      </c>
      <c r="AD1487" s="164">
        <f>($L1487*'Pivot Objective'!$C$9^5)*AB1487*AC1487</f>
        <v>0</v>
      </c>
      <c r="AE1487" s="166">
        <v>0</v>
      </c>
      <c r="AF1487" s="166">
        <v>0</v>
      </c>
      <c r="AG1487" s="164">
        <f>($L1487*'Pivot Objective'!$C$9^6)*AE1487*AF1487</f>
        <v>0</v>
      </c>
      <c r="AH1487" s="166">
        <v>100</v>
      </c>
      <c r="AI1487" s="166">
        <v>1</v>
      </c>
      <c r="AJ1487" s="164">
        <f>($L1487*'Pivot Objective'!$C$9^7)*AH1487*AI1487</f>
        <v>8916240.8200303055</v>
      </c>
      <c r="AK1487" s="185">
        <f t="shared" si="174"/>
        <v>192081927.78874901</v>
      </c>
      <c r="AL1487" s="186">
        <f t="shared" si="175"/>
        <v>186487.30853276604</v>
      </c>
    </row>
    <row r="1488" spans="1:38" customFormat="1" ht="43.2" x14ac:dyDescent="0.3">
      <c r="A1488" s="140" t="s">
        <v>1484</v>
      </c>
      <c r="B1488" s="140">
        <v>3</v>
      </c>
      <c r="C1488" s="166" t="s">
        <v>696</v>
      </c>
      <c r="D1488" s="140" t="str">
        <f t="shared" si="171"/>
        <v>1</v>
      </c>
      <c r="E1488" s="166" t="s">
        <v>689</v>
      </c>
      <c r="F1488" s="140">
        <f t="shared" si="170"/>
        <v>3</v>
      </c>
      <c r="G1488" s="140" t="str">
        <f t="shared" si="172"/>
        <v>3.1.3</v>
      </c>
      <c r="H1488" s="166" t="s">
        <v>1716</v>
      </c>
      <c r="I1488" s="166" t="s">
        <v>5</v>
      </c>
      <c r="J1488" s="166" t="s">
        <v>221</v>
      </c>
      <c r="K1488" s="166" t="s">
        <v>1350</v>
      </c>
      <c r="L1488" s="177">
        <f>1480/7</f>
        <v>211.42857142857142</v>
      </c>
      <c r="M1488" s="140"/>
      <c r="N1488" s="140"/>
      <c r="O1488" s="164">
        <f t="shared" si="173"/>
        <v>0</v>
      </c>
      <c r="P1488" s="166">
        <f>2*135*29</f>
        <v>7830</v>
      </c>
      <c r="Q1488" s="166">
        <v>1</v>
      </c>
      <c r="R1488" s="164">
        <f>$L1488*'Pivot Objective'!$C$9*P1488*Q1488</f>
        <v>1892089.548639257</v>
      </c>
      <c r="S1488" s="166"/>
      <c r="T1488" s="166"/>
      <c r="U1488" s="164">
        <f>($L1488*'Pivot Objective'!$C$9^2)*S1488*T1488</f>
        <v>0</v>
      </c>
      <c r="V1488" s="166"/>
      <c r="W1488" s="166"/>
      <c r="X1488" s="164">
        <f>($L1488*'Pivot Objective'!$C$9^3)*V1488*W1488</f>
        <v>0</v>
      </c>
      <c r="Y1488" s="166"/>
      <c r="Z1488" s="166"/>
      <c r="AA1488" s="164">
        <f>($L1488*'Pivot Objective'!$C$9^4)*Y1488*Z1488</f>
        <v>0</v>
      </c>
      <c r="AB1488" s="166"/>
      <c r="AC1488" s="166"/>
      <c r="AD1488" s="164">
        <f>($L1488*'Pivot Objective'!$C$9^5)*AB1488*AC1488</f>
        <v>0</v>
      </c>
      <c r="AE1488" s="166"/>
      <c r="AF1488" s="166"/>
      <c r="AG1488" s="164">
        <f>($L1488*'Pivot Objective'!$C$9^6)*AE1488*AF1488</f>
        <v>0</v>
      </c>
      <c r="AH1488" s="166">
        <f>2*135*29</f>
        <v>7830</v>
      </c>
      <c r="AI1488" s="166">
        <v>1</v>
      </c>
      <c r="AJ1488" s="164">
        <f>($L1488*'Pivot Objective'!$C$9^7)*AH1488*AI1488</f>
        <v>4217345.5150546599</v>
      </c>
      <c r="AK1488" s="185">
        <f t="shared" si="174"/>
        <v>6109435.0636939164</v>
      </c>
      <c r="AL1488" s="186">
        <f t="shared" si="175"/>
        <v>5931.4903531008895</v>
      </c>
    </row>
    <row r="1489" spans="1:38" customFormat="1" ht="43.2" x14ac:dyDescent="0.3">
      <c r="A1489" s="140" t="s">
        <v>1484</v>
      </c>
      <c r="B1489" s="140">
        <v>3</v>
      </c>
      <c r="C1489" s="166" t="s">
        <v>696</v>
      </c>
      <c r="D1489" s="140" t="str">
        <f t="shared" si="171"/>
        <v>1</v>
      </c>
      <c r="E1489" s="166" t="s">
        <v>689</v>
      </c>
      <c r="F1489" s="140">
        <f t="shared" si="170"/>
        <v>3</v>
      </c>
      <c r="G1489" s="140" t="str">
        <f t="shared" si="172"/>
        <v>3.1.3</v>
      </c>
      <c r="H1489" s="166" t="s">
        <v>1716</v>
      </c>
      <c r="I1489" s="166" t="s">
        <v>5</v>
      </c>
      <c r="J1489" s="166" t="s">
        <v>221</v>
      </c>
      <c r="K1489" s="166" t="s">
        <v>712</v>
      </c>
      <c r="L1489" s="177">
        <f>1480/7</f>
        <v>211.42857142857142</v>
      </c>
      <c r="M1489" s="140"/>
      <c r="N1489" s="140"/>
      <c r="O1489" s="164">
        <f t="shared" si="173"/>
        <v>0</v>
      </c>
      <c r="P1489" s="166">
        <f>25*2*29</f>
        <v>1450</v>
      </c>
      <c r="Q1489" s="166">
        <v>1</v>
      </c>
      <c r="R1489" s="164">
        <f>$L1489*'Pivot Objective'!$C$9*P1489*Q1489</f>
        <v>350386.95345171425</v>
      </c>
      <c r="S1489" s="166"/>
      <c r="T1489" s="166"/>
      <c r="U1489" s="164">
        <f>($L1489*'Pivot Objective'!$C$9^2)*S1489*T1489</f>
        <v>0</v>
      </c>
      <c r="V1489" s="166">
        <v>0</v>
      </c>
      <c r="W1489" s="166">
        <v>0</v>
      </c>
      <c r="X1489" s="164">
        <f>($L1489*'Pivot Objective'!$C$9^3)*V1489*W1489</f>
        <v>0</v>
      </c>
      <c r="Y1489" s="166">
        <v>60000</v>
      </c>
      <c r="Z1489" s="166">
        <v>1</v>
      </c>
      <c r="AA1489" s="164">
        <f>($L1489*'Pivot Objective'!$C$9^4)*Y1489*Z1489</f>
        <v>21646113.096428052</v>
      </c>
      <c r="AB1489" s="166">
        <v>0</v>
      </c>
      <c r="AC1489" s="166">
        <v>0</v>
      </c>
      <c r="AD1489" s="164">
        <f>($L1489*'Pivot Objective'!$C$9^5)*AB1489*AC1489</f>
        <v>0</v>
      </c>
      <c r="AE1489" s="166">
        <v>0</v>
      </c>
      <c r="AF1489" s="166">
        <v>0</v>
      </c>
      <c r="AG1489" s="164">
        <f>($L1489*'Pivot Objective'!$C$9^6)*AE1489*AF1489</f>
        <v>0</v>
      </c>
      <c r="AH1489" s="166">
        <f>25*2*29</f>
        <v>1450</v>
      </c>
      <c r="AI1489" s="166">
        <v>1</v>
      </c>
      <c r="AJ1489" s="164">
        <f>($L1489*'Pivot Objective'!$C$9^7)*AH1489*AI1489</f>
        <v>780989.91019530746</v>
      </c>
      <c r="AK1489" s="185">
        <f t="shared" si="174"/>
        <v>22777489.960075073</v>
      </c>
      <c r="AL1489" s="186">
        <f t="shared" si="175"/>
        <v>22114.067922402985</v>
      </c>
    </row>
    <row r="1490" spans="1:38" customFormat="1" ht="43.2" x14ac:dyDescent="0.3">
      <c r="A1490" s="140" t="s">
        <v>1484</v>
      </c>
      <c r="B1490" s="140">
        <v>3</v>
      </c>
      <c r="C1490" s="166" t="s">
        <v>696</v>
      </c>
      <c r="D1490" s="140" t="str">
        <f t="shared" si="171"/>
        <v>1</v>
      </c>
      <c r="E1490" s="166" t="s">
        <v>689</v>
      </c>
      <c r="F1490" s="140">
        <f t="shared" si="170"/>
        <v>3</v>
      </c>
      <c r="G1490" s="140" t="str">
        <f t="shared" si="172"/>
        <v>3.1.3</v>
      </c>
      <c r="H1490" s="166" t="s">
        <v>1716</v>
      </c>
      <c r="I1490" s="166" t="s">
        <v>5</v>
      </c>
      <c r="J1490" s="166" t="s">
        <v>210</v>
      </c>
      <c r="K1490" s="166" t="s">
        <v>709</v>
      </c>
      <c r="L1490" s="177">
        <v>35000</v>
      </c>
      <c r="M1490" s="140"/>
      <c r="N1490" s="140"/>
      <c r="O1490" s="164">
        <f t="shared" si="173"/>
        <v>0</v>
      </c>
      <c r="P1490" s="166">
        <v>100</v>
      </c>
      <c r="Q1490" s="166">
        <v>5</v>
      </c>
      <c r="R1490" s="164">
        <f>$L1490*'Pivot Objective'!$C$9*P1490*Q1490</f>
        <v>20001119.197499998</v>
      </c>
      <c r="S1490" s="166"/>
      <c r="T1490" s="166"/>
      <c r="U1490" s="164">
        <f>($L1490*'Pivot Objective'!$C$9^2)*S1490*T1490</f>
        <v>0</v>
      </c>
      <c r="V1490" s="166">
        <v>0</v>
      </c>
      <c r="W1490" s="166">
        <v>0</v>
      </c>
      <c r="X1490" s="164">
        <f>($L1490*'Pivot Objective'!$C$9^3)*V1490*W1490</f>
        <v>0</v>
      </c>
      <c r="Y1490" s="166">
        <v>40</v>
      </c>
      <c r="Z1490" s="166">
        <v>5</v>
      </c>
      <c r="AA1490" s="164">
        <f>($L1490*'Pivot Objective'!$C$9^4)*Y1490*Z1490</f>
        <v>11944364.20861458</v>
      </c>
      <c r="AB1490" s="166">
        <v>0</v>
      </c>
      <c r="AC1490" s="166">
        <v>0</v>
      </c>
      <c r="AD1490" s="164">
        <f>($L1490*'Pivot Objective'!$C$9^5)*AB1490*AC1490</f>
        <v>0</v>
      </c>
      <c r="AE1490" s="166">
        <v>0</v>
      </c>
      <c r="AF1490" s="166">
        <v>0</v>
      </c>
      <c r="AG1490" s="164">
        <f>($L1490*'Pivot Objective'!$C$9^6)*AE1490*AF1490</f>
        <v>0</v>
      </c>
      <c r="AH1490" s="166">
        <v>100</v>
      </c>
      <c r="AI1490" s="166">
        <v>5</v>
      </c>
      <c r="AJ1490" s="164">
        <f>($L1490*'Pivot Objective'!$C$9^7)*AH1490*AI1490</f>
        <v>44581204.100151524</v>
      </c>
      <c r="AK1490" s="185">
        <f t="shared" si="174"/>
        <v>76526687.506266102</v>
      </c>
      <c r="AL1490" s="186">
        <f t="shared" si="175"/>
        <v>74297.754860452522</v>
      </c>
    </row>
    <row r="1491" spans="1:38" customFormat="1" ht="43.2" x14ac:dyDescent="0.3">
      <c r="A1491" s="140" t="s">
        <v>1484</v>
      </c>
      <c r="B1491" s="140">
        <v>3</v>
      </c>
      <c r="C1491" s="166" t="s">
        <v>696</v>
      </c>
      <c r="D1491" s="140" t="str">
        <f t="shared" si="171"/>
        <v>1</v>
      </c>
      <c r="E1491" s="166" t="s">
        <v>689</v>
      </c>
      <c r="F1491" s="140">
        <f t="shared" si="170"/>
        <v>3</v>
      </c>
      <c r="G1491" s="140" t="str">
        <f t="shared" si="172"/>
        <v>3.1.3</v>
      </c>
      <c r="H1491" s="166" t="s">
        <v>1716</v>
      </c>
      <c r="I1491" s="166" t="s">
        <v>5</v>
      </c>
      <c r="J1491" s="166" t="s">
        <v>210</v>
      </c>
      <c r="K1491" s="166" t="s">
        <v>716</v>
      </c>
      <c r="L1491" s="177">
        <v>39000</v>
      </c>
      <c r="M1491" s="140"/>
      <c r="N1491" s="140"/>
      <c r="O1491" s="164">
        <f t="shared" si="173"/>
        <v>0</v>
      </c>
      <c r="P1491" s="166">
        <v>58</v>
      </c>
      <c r="Q1491" s="166">
        <v>6</v>
      </c>
      <c r="R1491" s="164">
        <f>$L1491*'Pivot Objective'!$C$9*P1491*Q1491</f>
        <v>15511725.128483998</v>
      </c>
      <c r="S1491" s="166"/>
      <c r="T1491" s="166"/>
      <c r="U1491" s="164">
        <f>($L1491*'Pivot Objective'!$C$9^2)*S1491*T1491</f>
        <v>0</v>
      </c>
      <c r="V1491" s="166">
        <v>0</v>
      </c>
      <c r="W1491" s="166">
        <v>0</v>
      </c>
      <c r="X1491" s="164">
        <f>($L1491*'Pivot Objective'!$C$9^3)*V1491*W1491</f>
        <v>0</v>
      </c>
      <c r="Y1491" s="166">
        <v>40</v>
      </c>
      <c r="Z1491" s="166">
        <v>5</v>
      </c>
      <c r="AA1491" s="164">
        <f>($L1491*'Pivot Objective'!$C$9^4)*Y1491*Z1491</f>
        <v>13309434.403884819</v>
      </c>
      <c r="AB1491" s="166">
        <v>0</v>
      </c>
      <c r="AC1491" s="166">
        <v>0</v>
      </c>
      <c r="AD1491" s="164">
        <f>($L1491*'Pivot Objective'!$C$9^5)*AB1491*AC1491</f>
        <v>0</v>
      </c>
      <c r="AE1491" s="166">
        <v>0</v>
      </c>
      <c r="AF1491" s="166">
        <v>0</v>
      </c>
      <c r="AG1491" s="164">
        <f>($L1491*'Pivot Objective'!$C$9^6)*AE1491*AF1491</f>
        <v>0</v>
      </c>
      <c r="AH1491" s="166">
        <v>58</v>
      </c>
      <c r="AI1491" s="166">
        <v>6</v>
      </c>
      <c r="AJ1491" s="164">
        <f>($L1491*'Pivot Objective'!$C$9^7)*AH1491*AI1491</f>
        <v>34574634.402700365</v>
      </c>
      <c r="AK1491" s="185">
        <f t="shared" si="174"/>
        <v>63395793.935069181</v>
      </c>
      <c r="AL1491" s="186">
        <f t="shared" si="175"/>
        <v>61549.314500067165</v>
      </c>
    </row>
    <row r="1492" spans="1:38" customFormat="1" ht="43.2" x14ac:dyDescent="0.3">
      <c r="A1492" s="140" t="s">
        <v>1484</v>
      </c>
      <c r="B1492" s="140">
        <v>3</v>
      </c>
      <c r="C1492" s="166" t="s">
        <v>696</v>
      </c>
      <c r="D1492" s="140" t="str">
        <f t="shared" si="171"/>
        <v>1</v>
      </c>
      <c r="E1492" s="166" t="s">
        <v>689</v>
      </c>
      <c r="F1492" s="140">
        <f t="shared" si="170"/>
        <v>3</v>
      </c>
      <c r="G1492" s="140" t="str">
        <f t="shared" si="172"/>
        <v>3.1.3</v>
      </c>
      <c r="H1492" s="166" t="s">
        <v>1716</v>
      </c>
      <c r="I1492" s="166" t="s">
        <v>5</v>
      </c>
      <c r="J1492" s="166" t="s">
        <v>210</v>
      </c>
      <c r="K1492" s="166" t="s">
        <v>1350</v>
      </c>
      <c r="L1492" s="177">
        <f>1480/7</f>
        <v>211.42857142857142</v>
      </c>
      <c r="M1492" s="140"/>
      <c r="N1492" s="140"/>
      <c r="O1492" s="164">
        <f t="shared" si="173"/>
        <v>0</v>
      </c>
      <c r="P1492" s="166">
        <f>2*135*29</f>
        <v>7830</v>
      </c>
      <c r="Q1492" s="166">
        <v>1</v>
      </c>
      <c r="R1492" s="164">
        <f>$L1492*'Pivot Objective'!$C$9*P1492*Q1492</f>
        <v>1892089.548639257</v>
      </c>
      <c r="S1492" s="166"/>
      <c r="T1492" s="166"/>
      <c r="U1492" s="164">
        <f>($L1492*'Pivot Objective'!$C$9^2)*S1492*T1492</f>
        <v>0</v>
      </c>
      <c r="V1492" s="166"/>
      <c r="W1492" s="166"/>
      <c r="X1492" s="164">
        <f>($L1492*'Pivot Objective'!$C$9^3)*V1492*W1492</f>
        <v>0</v>
      </c>
      <c r="Y1492" s="166"/>
      <c r="Z1492" s="166"/>
      <c r="AA1492" s="164">
        <f>($L1492*'Pivot Objective'!$C$9^4)*Y1492*Z1492</f>
        <v>0</v>
      </c>
      <c r="AB1492" s="166"/>
      <c r="AC1492" s="166"/>
      <c r="AD1492" s="164">
        <f>($L1492*'Pivot Objective'!$C$9^5)*AB1492*AC1492</f>
        <v>0</v>
      </c>
      <c r="AE1492" s="166"/>
      <c r="AF1492" s="166"/>
      <c r="AG1492" s="164">
        <f>($L1492*'Pivot Objective'!$C$9^6)*AE1492*AF1492</f>
        <v>0</v>
      </c>
      <c r="AH1492" s="166">
        <f>2*135*29</f>
        <v>7830</v>
      </c>
      <c r="AI1492" s="166">
        <v>1</v>
      </c>
      <c r="AJ1492" s="164">
        <f>($L1492*'Pivot Objective'!$C$9^7)*AH1492*AI1492</f>
        <v>4217345.5150546599</v>
      </c>
      <c r="AK1492" s="185">
        <f t="shared" si="174"/>
        <v>6109435.0636939164</v>
      </c>
      <c r="AL1492" s="186">
        <f t="shared" si="175"/>
        <v>5931.4903531008895</v>
      </c>
    </row>
    <row r="1493" spans="1:38" customFormat="1" ht="43.2" x14ac:dyDescent="0.3">
      <c r="A1493" s="140" t="s">
        <v>1484</v>
      </c>
      <c r="B1493" s="140">
        <v>3</v>
      </c>
      <c r="C1493" s="166" t="s">
        <v>696</v>
      </c>
      <c r="D1493" s="140" t="str">
        <f t="shared" si="171"/>
        <v>1</v>
      </c>
      <c r="E1493" s="166" t="s">
        <v>689</v>
      </c>
      <c r="F1493" s="140">
        <f t="shared" si="170"/>
        <v>3</v>
      </c>
      <c r="G1493" s="140" t="str">
        <f t="shared" si="172"/>
        <v>3.1.3</v>
      </c>
      <c r="H1493" s="166" t="s">
        <v>1716</v>
      </c>
      <c r="I1493" s="166" t="s">
        <v>5</v>
      </c>
      <c r="J1493" s="166" t="s">
        <v>210</v>
      </c>
      <c r="K1493" s="166" t="s">
        <v>712</v>
      </c>
      <c r="L1493" s="177">
        <f>1480/7</f>
        <v>211.42857142857142</v>
      </c>
      <c r="M1493" s="140"/>
      <c r="N1493" s="140"/>
      <c r="O1493" s="164">
        <f t="shared" si="173"/>
        <v>0</v>
      </c>
      <c r="P1493" s="166">
        <f>25*2*29</f>
        <v>1450</v>
      </c>
      <c r="Q1493" s="166">
        <v>5</v>
      </c>
      <c r="R1493" s="164">
        <f>$L1493*'Pivot Objective'!$C$9*P1493*Q1493</f>
        <v>1751934.7672585712</v>
      </c>
      <c r="S1493" s="166"/>
      <c r="T1493" s="166"/>
      <c r="U1493" s="164">
        <f>($L1493*'Pivot Objective'!$C$9^2)*S1493*T1493</f>
        <v>0</v>
      </c>
      <c r="V1493" s="166"/>
      <c r="W1493" s="166"/>
      <c r="X1493" s="164">
        <f>($L1493*'Pivot Objective'!$C$9^3)*V1493*W1493</f>
        <v>0</v>
      </c>
      <c r="Y1493" s="166"/>
      <c r="Z1493" s="166"/>
      <c r="AA1493" s="164">
        <f>($L1493*'Pivot Objective'!$C$9^4)*Y1493*Z1493</f>
        <v>0</v>
      </c>
      <c r="AB1493" s="166"/>
      <c r="AC1493" s="166"/>
      <c r="AD1493" s="164">
        <f>($L1493*'Pivot Objective'!$C$9^5)*AB1493*AC1493</f>
        <v>0</v>
      </c>
      <c r="AE1493" s="166"/>
      <c r="AF1493" s="166"/>
      <c r="AG1493" s="164">
        <f>($L1493*'Pivot Objective'!$C$9^6)*AE1493*AF1493</f>
        <v>0</v>
      </c>
      <c r="AH1493" s="166">
        <f>25*2*29</f>
        <v>1450</v>
      </c>
      <c r="AI1493" s="166">
        <v>5</v>
      </c>
      <c r="AJ1493" s="164">
        <f>($L1493*'Pivot Objective'!$C$9^7)*AH1493*AI1493</f>
        <v>3904949.5509765372</v>
      </c>
      <c r="AK1493" s="185">
        <f t="shared" si="174"/>
        <v>5656884.3182351086</v>
      </c>
      <c r="AL1493" s="186">
        <f t="shared" si="175"/>
        <v>5492.1206973156395</v>
      </c>
    </row>
    <row r="1494" spans="1:38" customFormat="1" ht="43.2" x14ac:dyDescent="0.3">
      <c r="A1494" s="140" t="s">
        <v>1484</v>
      </c>
      <c r="B1494" s="140">
        <v>3</v>
      </c>
      <c r="C1494" s="166" t="s">
        <v>696</v>
      </c>
      <c r="D1494" s="140" t="str">
        <f t="shared" si="171"/>
        <v>1</v>
      </c>
      <c r="E1494" s="166" t="s">
        <v>689</v>
      </c>
      <c r="F1494" s="140">
        <f t="shared" si="170"/>
        <v>4</v>
      </c>
      <c r="G1494" s="140" t="str">
        <f t="shared" si="172"/>
        <v>3.1.4</v>
      </c>
      <c r="H1494" s="168" t="s">
        <v>1695</v>
      </c>
      <c r="I1494" s="166" t="s">
        <v>15</v>
      </c>
      <c r="J1494" s="166" t="s">
        <v>235</v>
      </c>
      <c r="K1494" s="166" t="s">
        <v>712</v>
      </c>
      <c r="L1494" s="177">
        <f>1480/7</f>
        <v>211.42857142857142</v>
      </c>
      <c r="M1494" s="140"/>
      <c r="N1494" s="140"/>
      <c r="O1494" s="164">
        <f t="shared" si="173"/>
        <v>0</v>
      </c>
      <c r="P1494" s="166">
        <f>25*2*18</f>
        <v>900</v>
      </c>
      <c r="Q1494" s="166">
        <v>15</v>
      </c>
      <c r="R1494" s="164">
        <f>$L1494*'Pivot Objective'!$C$9*P1494*Q1494</f>
        <v>3262223.3597228569</v>
      </c>
      <c r="S1494" s="166"/>
      <c r="T1494" s="166"/>
      <c r="U1494" s="164">
        <f>($L1494*'Pivot Objective'!$C$9^2)*S1494*T1494</f>
        <v>0</v>
      </c>
      <c r="V1494" s="166">
        <v>0</v>
      </c>
      <c r="W1494" s="166">
        <v>0</v>
      </c>
      <c r="X1494" s="164">
        <f>($L1494*'Pivot Objective'!$C$9^3)*V1494*W1494</f>
        <v>0</v>
      </c>
      <c r="Y1494" s="166">
        <v>0</v>
      </c>
      <c r="Z1494" s="166">
        <v>0</v>
      </c>
      <c r="AA1494" s="164">
        <f>($L1494*'Pivot Objective'!$C$9^4)*Y1494*Z1494</f>
        <v>0</v>
      </c>
      <c r="AB1494" s="166">
        <v>0</v>
      </c>
      <c r="AC1494" s="166">
        <v>0</v>
      </c>
      <c r="AD1494" s="164">
        <f>($L1494*'Pivot Objective'!$C$9^5)*AB1494*AC1494</f>
        <v>0</v>
      </c>
      <c r="AE1494" s="166">
        <v>0</v>
      </c>
      <c r="AF1494" s="166">
        <v>0</v>
      </c>
      <c r="AG1494" s="164">
        <f>($L1494*'Pivot Objective'!$C$9^6)*AE1494*AF1494</f>
        <v>0</v>
      </c>
      <c r="AH1494" s="166">
        <f>25*2*18</f>
        <v>900</v>
      </c>
      <c r="AI1494" s="166">
        <v>15</v>
      </c>
      <c r="AJ1494" s="164">
        <f>($L1494*'Pivot Objective'!$C$9^7)*AH1494*AI1494</f>
        <v>7271285.3707838971</v>
      </c>
      <c r="AK1494" s="185">
        <f t="shared" si="174"/>
        <v>10533508.730506754</v>
      </c>
      <c r="AL1494" s="186">
        <f t="shared" si="175"/>
        <v>10226.707505346363</v>
      </c>
    </row>
    <row r="1495" spans="1:38" customFormat="1" ht="43.2" x14ac:dyDescent="0.3">
      <c r="A1495" s="140" t="s">
        <v>1484</v>
      </c>
      <c r="B1495" s="140">
        <v>3</v>
      </c>
      <c r="C1495" s="166" t="s">
        <v>696</v>
      </c>
      <c r="D1495" s="140" t="str">
        <f t="shared" si="171"/>
        <v>1</v>
      </c>
      <c r="E1495" s="166" t="s">
        <v>689</v>
      </c>
      <c r="F1495" s="140">
        <f t="shared" si="170"/>
        <v>4</v>
      </c>
      <c r="G1495" s="140" t="str">
        <f t="shared" si="172"/>
        <v>3.1.4</v>
      </c>
      <c r="H1495" s="168" t="s">
        <v>1695</v>
      </c>
      <c r="I1495" s="166" t="s">
        <v>15</v>
      </c>
      <c r="J1495" s="166" t="s">
        <v>236</v>
      </c>
      <c r="K1495" s="166" t="s">
        <v>716</v>
      </c>
      <c r="L1495" s="177">
        <v>39000</v>
      </c>
      <c r="M1495" s="140"/>
      <c r="N1495" s="140"/>
      <c r="O1495" s="164">
        <f t="shared" si="173"/>
        <v>0</v>
      </c>
      <c r="P1495" s="166">
        <v>25</v>
      </c>
      <c r="Q1495" s="166">
        <v>6</v>
      </c>
      <c r="R1495" s="164">
        <f>$L1495*'Pivot Objective'!$C$9*P1495*Q1495</f>
        <v>6686088.4174499996</v>
      </c>
      <c r="S1495" s="166"/>
      <c r="T1495" s="166"/>
      <c r="U1495" s="164">
        <f>($L1495*'Pivot Objective'!$C$9^2)*S1495*T1495</f>
        <v>0</v>
      </c>
      <c r="V1495" s="166">
        <v>0</v>
      </c>
      <c r="W1495" s="166">
        <v>0</v>
      </c>
      <c r="X1495" s="164">
        <f>($L1495*'Pivot Objective'!$C$9^3)*V1495*W1495</f>
        <v>0</v>
      </c>
      <c r="Y1495" s="166">
        <v>0</v>
      </c>
      <c r="Z1495" s="166">
        <v>0</v>
      </c>
      <c r="AA1495" s="164">
        <f>($L1495*'Pivot Objective'!$C$9^4)*Y1495*Z1495</f>
        <v>0</v>
      </c>
      <c r="AB1495" s="166">
        <v>0</v>
      </c>
      <c r="AC1495" s="166">
        <v>0</v>
      </c>
      <c r="AD1495" s="164">
        <f>($L1495*'Pivot Objective'!$C$9^5)*AB1495*AC1495</f>
        <v>0</v>
      </c>
      <c r="AE1495" s="166">
        <v>0</v>
      </c>
      <c r="AF1495" s="166">
        <v>0</v>
      </c>
      <c r="AG1495" s="164">
        <f>($L1495*'Pivot Objective'!$C$9^6)*AE1495*AF1495</f>
        <v>0</v>
      </c>
      <c r="AH1495" s="166">
        <v>25</v>
      </c>
      <c r="AI1495" s="166">
        <v>6</v>
      </c>
      <c r="AJ1495" s="164">
        <f>($L1495*'Pivot Objective'!$C$9^7)*AH1495*AI1495</f>
        <v>14902859.656336365</v>
      </c>
      <c r="AK1495" s="185">
        <f t="shared" si="174"/>
        <v>21588948.073786363</v>
      </c>
      <c r="AL1495" s="186">
        <f t="shared" si="175"/>
        <v>20960.143760957635</v>
      </c>
    </row>
    <row r="1496" spans="1:38" customFormat="1" ht="43.2" x14ac:dyDescent="0.3">
      <c r="A1496" s="140" t="s">
        <v>1484</v>
      </c>
      <c r="B1496" s="140">
        <v>3</v>
      </c>
      <c r="C1496" s="166" t="s">
        <v>696</v>
      </c>
      <c r="D1496" s="140" t="str">
        <f t="shared" si="171"/>
        <v>1</v>
      </c>
      <c r="E1496" s="166" t="s">
        <v>689</v>
      </c>
      <c r="F1496" s="140">
        <f t="shared" ref="F1496:F1531" si="176">IF(H1496=H1495,F1495,F1495+1)</f>
        <v>4</v>
      </c>
      <c r="G1496" s="140" t="str">
        <f t="shared" si="172"/>
        <v>3.1.4</v>
      </c>
      <c r="H1496" s="168" t="s">
        <v>1695</v>
      </c>
      <c r="I1496" s="166" t="s">
        <v>15</v>
      </c>
      <c r="J1496" s="166" t="s">
        <v>236</v>
      </c>
      <c r="K1496" s="166" t="s">
        <v>709</v>
      </c>
      <c r="L1496" s="177">
        <v>35000</v>
      </c>
      <c r="M1496" s="140"/>
      <c r="N1496" s="140"/>
      <c r="O1496" s="164">
        <f t="shared" si="173"/>
        <v>0</v>
      </c>
      <c r="P1496" s="166">
        <v>25</v>
      </c>
      <c r="Q1496" s="166">
        <v>5</v>
      </c>
      <c r="R1496" s="164">
        <f>$L1496*'Pivot Objective'!$C$9*P1496*Q1496</f>
        <v>5000279.7993749995</v>
      </c>
      <c r="S1496" s="166"/>
      <c r="T1496" s="166"/>
      <c r="U1496" s="164">
        <f>($L1496*'Pivot Objective'!$C$9^2)*S1496*T1496</f>
        <v>0</v>
      </c>
      <c r="V1496" s="166">
        <v>0</v>
      </c>
      <c r="W1496" s="166">
        <v>0</v>
      </c>
      <c r="X1496" s="164">
        <f>($L1496*'Pivot Objective'!$C$9^3)*V1496*W1496</f>
        <v>0</v>
      </c>
      <c r="Y1496" s="166">
        <v>0</v>
      </c>
      <c r="Z1496" s="166">
        <v>0</v>
      </c>
      <c r="AA1496" s="164">
        <f>($L1496*'Pivot Objective'!$C$9^4)*Y1496*Z1496</f>
        <v>0</v>
      </c>
      <c r="AB1496" s="166">
        <v>0</v>
      </c>
      <c r="AC1496" s="166">
        <v>0</v>
      </c>
      <c r="AD1496" s="164">
        <f>($L1496*'Pivot Objective'!$C$9^5)*AB1496*AC1496</f>
        <v>0</v>
      </c>
      <c r="AE1496" s="166">
        <v>0</v>
      </c>
      <c r="AF1496" s="166">
        <v>0</v>
      </c>
      <c r="AG1496" s="164">
        <f>($L1496*'Pivot Objective'!$C$9^6)*AE1496*AF1496</f>
        <v>0</v>
      </c>
      <c r="AH1496" s="166">
        <v>25</v>
      </c>
      <c r="AI1496" s="166">
        <v>5</v>
      </c>
      <c r="AJ1496" s="164">
        <f>($L1496*'Pivot Objective'!$C$9^7)*AH1496*AI1496</f>
        <v>11145301.025037881</v>
      </c>
      <c r="AK1496" s="185">
        <f t="shared" si="174"/>
        <v>16145580.82441288</v>
      </c>
      <c r="AL1496" s="186">
        <f t="shared" si="175"/>
        <v>15675.321188750369</v>
      </c>
    </row>
    <row r="1497" spans="1:38" customFormat="1" ht="43.2" x14ac:dyDescent="0.3">
      <c r="A1497" s="140" t="s">
        <v>1484</v>
      </c>
      <c r="B1497" s="140">
        <v>3</v>
      </c>
      <c r="C1497" s="166" t="s">
        <v>696</v>
      </c>
      <c r="D1497" s="140" t="str">
        <f t="shared" si="171"/>
        <v>1</v>
      </c>
      <c r="E1497" s="166" t="s">
        <v>689</v>
      </c>
      <c r="F1497" s="140">
        <f t="shared" si="176"/>
        <v>4</v>
      </c>
      <c r="G1497" s="140" t="str">
        <f t="shared" si="172"/>
        <v>3.1.4</v>
      </c>
      <c r="H1497" s="168" t="s">
        <v>1695</v>
      </c>
      <c r="I1497" s="166" t="s">
        <v>15</v>
      </c>
      <c r="J1497" s="166" t="s">
        <v>236</v>
      </c>
      <c r="K1497" s="166" t="s">
        <v>712</v>
      </c>
      <c r="L1497" s="177">
        <f>1480/7</f>
        <v>211.42857142857142</v>
      </c>
      <c r="M1497" s="140"/>
      <c r="N1497" s="140"/>
      <c r="O1497" s="164">
        <f t="shared" si="173"/>
        <v>0</v>
      </c>
      <c r="P1497" s="166">
        <f>25*2*9</f>
        <v>450</v>
      </c>
      <c r="Q1497" s="166">
        <v>5</v>
      </c>
      <c r="R1497" s="164">
        <f>$L1497*'Pivot Objective'!$C$9*P1497*Q1497</f>
        <v>543703.89328714274</v>
      </c>
      <c r="S1497" s="166"/>
      <c r="T1497" s="166"/>
      <c r="U1497" s="164">
        <f>($L1497*'Pivot Objective'!$C$9^2)*S1497*T1497</f>
        <v>0</v>
      </c>
      <c r="V1497" s="166">
        <v>0</v>
      </c>
      <c r="W1497" s="166">
        <v>0</v>
      </c>
      <c r="X1497" s="164">
        <f>($L1497*'Pivot Objective'!$C$9^3)*V1497*W1497</f>
        <v>0</v>
      </c>
      <c r="Y1497" s="166">
        <v>0</v>
      </c>
      <c r="Z1497" s="166">
        <v>0</v>
      </c>
      <c r="AA1497" s="164">
        <f>($L1497*'Pivot Objective'!$C$9^4)*Y1497*Z1497</f>
        <v>0</v>
      </c>
      <c r="AB1497" s="166">
        <v>0</v>
      </c>
      <c r="AC1497" s="166">
        <v>0</v>
      </c>
      <c r="AD1497" s="164">
        <f>($L1497*'Pivot Objective'!$C$9^5)*AB1497*AC1497</f>
        <v>0</v>
      </c>
      <c r="AE1497" s="166">
        <v>0</v>
      </c>
      <c r="AF1497" s="166">
        <v>0</v>
      </c>
      <c r="AG1497" s="164">
        <f>($L1497*'Pivot Objective'!$C$9^6)*AE1497*AF1497</f>
        <v>0</v>
      </c>
      <c r="AH1497" s="166">
        <f>25*2*9</f>
        <v>450</v>
      </c>
      <c r="AI1497" s="166">
        <v>5</v>
      </c>
      <c r="AJ1497" s="164">
        <f>($L1497*'Pivot Objective'!$C$9^7)*AH1497*AI1497</f>
        <v>1211880.8951306494</v>
      </c>
      <c r="AK1497" s="185">
        <f t="shared" si="174"/>
        <v>1755584.7884177922</v>
      </c>
      <c r="AL1497" s="186">
        <f t="shared" si="175"/>
        <v>1704.4512508910605</v>
      </c>
    </row>
    <row r="1498" spans="1:38" customFormat="1" ht="43.2" x14ac:dyDescent="0.3">
      <c r="A1498" s="140" t="s">
        <v>1484</v>
      </c>
      <c r="B1498" s="140">
        <v>3</v>
      </c>
      <c r="C1498" s="166" t="s">
        <v>696</v>
      </c>
      <c r="D1498" s="140" t="str">
        <f t="shared" si="171"/>
        <v>1</v>
      </c>
      <c r="E1498" s="166" t="s">
        <v>689</v>
      </c>
      <c r="F1498" s="140">
        <f t="shared" si="176"/>
        <v>4</v>
      </c>
      <c r="G1498" s="140" t="str">
        <f t="shared" si="172"/>
        <v>3.1.4</v>
      </c>
      <c r="H1498" s="168" t="s">
        <v>1695</v>
      </c>
      <c r="I1498" s="166" t="s">
        <v>15</v>
      </c>
      <c r="J1498" s="166" t="s">
        <v>237</v>
      </c>
      <c r="K1498" s="166" t="s">
        <v>709</v>
      </c>
      <c r="L1498" s="177">
        <v>35000</v>
      </c>
      <c r="M1498" s="140"/>
      <c r="N1498" s="140"/>
      <c r="O1498" s="164">
        <f t="shared" si="173"/>
        <v>0</v>
      </c>
      <c r="P1498" s="166">
        <v>30</v>
      </c>
      <c r="Q1498" s="166">
        <v>1</v>
      </c>
      <c r="R1498" s="164">
        <f>$L1498*'Pivot Objective'!$C$9*P1498*Q1498</f>
        <v>1200067.1518499998</v>
      </c>
      <c r="S1498" s="166"/>
      <c r="T1498" s="166"/>
      <c r="U1498" s="164">
        <f>($L1498*'Pivot Objective'!$C$9^2)*S1498*T1498</f>
        <v>0</v>
      </c>
      <c r="V1498" s="166">
        <v>0</v>
      </c>
      <c r="W1498" s="166">
        <v>0</v>
      </c>
      <c r="X1498" s="164">
        <f>($L1498*'Pivot Objective'!$C$9^3)*V1498*W1498</f>
        <v>0</v>
      </c>
      <c r="Y1498" s="166">
        <v>0</v>
      </c>
      <c r="Z1498" s="166">
        <v>0</v>
      </c>
      <c r="AA1498" s="164">
        <f>($L1498*'Pivot Objective'!$C$9^4)*Y1498*Z1498</f>
        <v>0</v>
      </c>
      <c r="AB1498" s="166">
        <v>0</v>
      </c>
      <c r="AC1498" s="166">
        <v>0</v>
      </c>
      <c r="AD1498" s="164">
        <f>($L1498*'Pivot Objective'!$C$9^5)*AB1498*AC1498</f>
        <v>0</v>
      </c>
      <c r="AE1498" s="166">
        <v>0</v>
      </c>
      <c r="AF1498" s="166">
        <v>0</v>
      </c>
      <c r="AG1498" s="164">
        <f>($L1498*'Pivot Objective'!$C$9^6)*AE1498*AF1498</f>
        <v>0</v>
      </c>
      <c r="AH1498" s="166">
        <v>30</v>
      </c>
      <c r="AI1498" s="166">
        <v>1</v>
      </c>
      <c r="AJ1498" s="164">
        <f>($L1498*'Pivot Objective'!$C$9^7)*AH1498*AI1498</f>
        <v>2674872.2460090914</v>
      </c>
      <c r="AK1498" s="185">
        <f t="shared" si="174"/>
        <v>3874939.3978590909</v>
      </c>
      <c r="AL1498" s="186">
        <f t="shared" si="175"/>
        <v>3762.0770853000881</v>
      </c>
    </row>
    <row r="1499" spans="1:38" customFormat="1" ht="43.2" x14ac:dyDescent="0.3">
      <c r="A1499" s="140" t="s">
        <v>1484</v>
      </c>
      <c r="B1499" s="140">
        <v>3</v>
      </c>
      <c r="C1499" s="166" t="s">
        <v>696</v>
      </c>
      <c r="D1499" s="140" t="str">
        <f t="shared" si="171"/>
        <v>1</v>
      </c>
      <c r="E1499" s="166" t="s">
        <v>689</v>
      </c>
      <c r="F1499" s="140">
        <f t="shared" si="176"/>
        <v>4</v>
      </c>
      <c r="G1499" s="140" t="str">
        <f t="shared" si="172"/>
        <v>3.1.4</v>
      </c>
      <c r="H1499" s="168" t="s">
        <v>1695</v>
      </c>
      <c r="I1499" s="166" t="s">
        <v>15</v>
      </c>
      <c r="J1499" s="166" t="s">
        <v>238</v>
      </c>
      <c r="K1499" s="166" t="s">
        <v>718</v>
      </c>
      <c r="L1499" s="177">
        <v>0</v>
      </c>
      <c r="M1499" s="140"/>
      <c r="N1499" s="140"/>
      <c r="O1499" s="164">
        <f t="shared" si="173"/>
        <v>0</v>
      </c>
      <c r="P1499" s="166"/>
      <c r="Q1499" s="166"/>
      <c r="R1499" s="164">
        <f>$L1499*'Pivot Objective'!$C$9*P1499*Q1499</f>
        <v>0</v>
      </c>
      <c r="S1499" s="166"/>
      <c r="T1499" s="166"/>
      <c r="U1499" s="164">
        <f>($L1499*'Pivot Objective'!$C$9^2)*S1499*T1499</f>
        <v>0</v>
      </c>
      <c r="V1499" s="166">
        <v>0</v>
      </c>
      <c r="W1499" s="166">
        <v>0</v>
      </c>
      <c r="X1499" s="164">
        <f>($L1499*'Pivot Objective'!$C$9^3)*V1499*W1499</f>
        <v>0</v>
      </c>
      <c r="Y1499" s="166">
        <v>0</v>
      </c>
      <c r="Z1499" s="166">
        <v>0</v>
      </c>
      <c r="AA1499" s="164">
        <f>($L1499*'Pivot Objective'!$C$9^4)*Y1499*Z1499</f>
        <v>0</v>
      </c>
      <c r="AB1499" s="166">
        <v>0</v>
      </c>
      <c r="AC1499" s="166">
        <v>0</v>
      </c>
      <c r="AD1499" s="164">
        <f>($L1499*'Pivot Objective'!$C$9^5)*AB1499*AC1499</f>
        <v>0</v>
      </c>
      <c r="AE1499" s="166">
        <v>0</v>
      </c>
      <c r="AF1499" s="166">
        <v>0</v>
      </c>
      <c r="AG1499" s="164">
        <f>($L1499*'Pivot Objective'!$C$9^6)*AE1499*AF1499</f>
        <v>0</v>
      </c>
      <c r="AH1499" s="166"/>
      <c r="AI1499" s="166"/>
      <c r="AJ1499" s="164">
        <f>($L1499*'Pivot Objective'!$C$9^7)*AH1499*AI1499</f>
        <v>0</v>
      </c>
      <c r="AK1499" s="185">
        <f t="shared" si="174"/>
        <v>0</v>
      </c>
      <c r="AL1499" s="186">
        <f t="shared" si="175"/>
        <v>0</v>
      </c>
    </row>
    <row r="1500" spans="1:38" customFormat="1" ht="43.2" x14ac:dyDescent="0.3">
      <c r="A1500" s="140" t="s">
        <v>1484</v>
      </c>
      <c r="B1500" s="140">
        <v>3</v>
      </c>
      <c r="C1500" s="166" t="s">
        <v>696</v>
      </c>
      <c r="D1500" s="140" t="str">
        <f t="shared" si="171"/>
        <v>1</v>
      </c>
      <c r="E1500" s="166" t="s">
        <v>689</v>
      </c>
      <c r="F1500" s="140">
        <f t="shared" si="176"/>
        <v>4</v>
      </c>
      <c r="G1500" s="140" t="str">
        <f t="shared" si="172"/>
        <v>3.1.4</v>
      </c>
      <c r="H1500" s="168" t="s">
        <v>1695</v>
      </c>
      <c r="I1500" s="166" t="s">
        <v>15</v>
      </c>
      <c r="J1500" s="166" t="s">
        <v>183</v>
      </c>
      <c r="K1500" s="166" t="s">
        <v>716</v>
      </c>
      <c r="L1500" s="177">
        <v>39000</v>
      </c>
      <c r="M1500" s="140"/>
      <c r="N1500" s="140"/>
      <c r="O1500" s="164">
        <f t="shared" si="173"/>
        <v>0</v>
      </c>
      <c r="P1500" s="166">
        <v>300</v>
      </c>
      <c r="Q1500" s="166">
        <v>10</v>
      </c>
      <c r="R1500" s="164">
        <f>$L1500*'Pivot Objective'!$C$9*P1500*Q1500</f>
        <v>133721768.34899999</v>
      </c>
      <c r="S1500" s="166"/>
      <c r="T1500" s="166"/>
      <c r="U1500" s="164">
        <f>($L1500*'Pivot Objective'!$C$9^2)*S1500*T1500</f>
        <v>0</v>
      </c>
      <c r="V1500" s="166">
        <v>0</v>
      </c>
      <c r="W1500" s="166">
        <v>0</v>
      </c>
      <c r="X1500" s="164">
        <f>($L1500*'Pivot Objective'!$C$9^3)*V1500*W1500</f>
        <v>0</v>
      </c>
      <c r="Y1500" s="166">
        <v>0</v>
      </c>
      <c r="Z1500" s="166">
        <v>0</v>
      </c>
      <c r="AA1500" s="164">
        <f>($L1500*'Pivot Objective'!$C$9^4)*Y1500*Z1500</f>
        <v>0</v>
      </c>
      <c r="AB1500" s="166">
        <v>0</v>
      </c>
      <c r="AC1500" s="166">
        <v>0</v>
      </c>
      <c r="AD1500" s="164">
        <f>($L1500*'Pivot Objective'!$C$9^5)*AB1500*AC1500</f>
        <v>0</v>
      </c>
      <c r="AE1500" s="166">
        <v>0</v>
      </c>
      <c r="AF1500" s="166">
        <v>0</v>
      </c>
      <c r="AG1500" s="164">
        <f>($L1500*'Pivot Objective'!$C$9^6)*AE1500*AF1500</f>
        <v>0</v>
      </c>
      <c r="AH1500" s="166">
        <v>300</v>
      </c>
      <c r="AI1500" s="166">
        <v>10</v>
      </c>
      <c r="AJ1500" s="164">
        <f>($L1500*'Pivot Objective'!$C$9^7)*AH1500*AI1500</f>
        <v>298057193.12672728</v>
      </c>
      <c r="AK1500" s="185">
        <f t="shared" si="174"/>
        <v>431778961.47572726</v>
      </c>
      <c r="AL1500" s="186">
        <f t="shared" si="175"/>
        <v>419202.87521915266</v>
      </c>
    </row>
    <row r="1501" spans="1:38" customFormat="1" ht="43.2" x14ac:dyDescent="0.3">
      <c r="A1501" s="140" t="s">
        <v>1484</v>
      </c>
      <c r="B1501" s="140">
        <v>3</v>
      </c>
      <c r="C1501" s="166" t="s">
        <v>696</v>
      </c>
      <c r="D1501" s="140" t="str">
        <f t="shared" si="171"/>
        <v>1</v>
      </c>
      <c r="E1501" s="166" t="s">
        <v>689</v>
      </c>
      <c r="F1501" s="140">
        <f t="shared" si="176"/>
        <v>4</v>
      </c>
      <c r="G1501" s="140" t="str">
        <f t="shared" si="172"/>
        <v>3.1.4</v>
      </c>
      <c r="H1501" s="168" t="s">
        <v>1695</v>
      </c>
      <c r="I1501" s="166" t="s">
        <v>15</v>
      </c>
      <c r="J1501" s="166" t="s">
        <v>183</v>
      </c>
      <c r="K1501" s="166" t="s">
        <v>709</v>
      </c>
      <c r="L1501" s="177">
        <v>35000</v>
      </c>
      <c r="M1501" s="140"/>
      <c r="N1501" s="140"/>
      <c r="O1501" s="164">
        <f t="shared" si="173"/>
        <v>0</v>
      </c>
      <c r="P1501" s="166">
        <v>300</v>
      </c>
      <c r="Q1501" s="166">
        <v>10</v>
      </c>
      <c r="R1501" s="164">
        <f>$L1501*'Pivot Objective'!$C$9*P1501*Q1501</f>
        <v>120006715.18499999</v>
      </c>
      <c r="S1501" s="166"/>
      <c r="T1501" s="166"/>
      <c r="U1501" s="164">
        <f>($L1501*'Pivot Objective'!$C$9^2)*S1501*T1501</f>
        <v>0</v>
      </c>
      <c r="V1501" s="166">
        <v>0</v>
      </c>
      <c r="W1501" s="166">
        <v>0</v>
      </c>
      <c r="X1501" s="164">
        <f>($L1501*'Pivot Objective'!$C$9^3)*V1501*W1501</f>
        <v>0</v>
      </c>
      <c r="Y1501" s="166">
        <v>0</v>
      </c>
      <c r="Z1501" s="166">
        <v>0</v>
      </c>
      <c r="AA1501" s="164">
        <f>($L1501*'Pivot Objective'!$C$9^4)*Y1501*Z1501</f>
        <v>0</v>
      </c>
      <c r="AB1501" s="166">
        <v>0</v>
      </c>
      <c r="AC1501" s="166">
        <v>0</v>
      </c>
      <c r="AD1501" s="164">
        <f>($L1501*'Pivot Objective'!$C$9^5)*AB1501*AC1501</f>
        <v>0</v>
      </c>
      <c r="AE1501" s="166">
        <v>0</v>
      </c>
      <c r="AF1501" s="166">
        <v>0</v>
      </c>
      <c r="AG1501" s="164">
        <f>($L1501*'Pivot Objective'!$C$9^6)*AE1501*AF1501</f>
        <v>0</v>
      </c>
      <c r="AH1501" s="166">
        <v>300</v>
      </c>
      <c r="AI1501" s="166">
        <v>10</v>
      </c>
      <c r="AJ1501" s="164">
        <f>($L1501*'Pivot Objective'!$C$9^7)*AH1501*AI1501</f>
        <v>267487224.60090911</v>
      </c>
      <c r="AK1501" s="185">
        <f t="shared" si="174"/>
        <v>387493939.78590912</v>
      </c>
      <c r="AL1501" s="186">
        <f t="shared" si="175"/>
        <v>376207.70853000885</v>
      </c>
    </row>
    <row r="1502" spans="1:38" customFormat="1" ht="43.2" x14ac:dyDescent="0.3">
      <c r="A1502" s="140" t="s">
        <v>1484</v>
      </c>
      <c r="B1502" s="140">
        <v>3</v>
      </c>
      <c r="C1502" s="166" t="s">
        <v>696</v>
      </c>
      <c r="D1502" s="140" t="str">
        <f t="shared" si="171"/>
        <v>1</v>
      </c>
      <c r="E1502" s="166" t="s">
        <v>689</v>
      </c>
      <c r="F1502" s="140">
        <f t="shared" si="176"/>
        <v>4</v>
      </c>
      <c r="G1502" s="140" t="str">
        <f t="shared" si="172"/>
        <v>3.1.4</v>
      </c>
      <c r="H1502" s="168" t="s">
        <v>1695</v>
      </c>
      <c r="I1502" s="166" t="s">
        <v>15</v>
      </c>
      <c r="J1502" s="166" t="s">
        <v>183</v>
      </c>
      <c r="K1502" s="166" t="s">
        <v>1299</v>
      </c>
      <c r="L1502" s="177">
        <f>1480/7</f>
        <v>211.42857142857142</v>
      </c>
      <c r="M1502" s="140"/>
      <c r="N1502" s="140"/>
      <c r="O1502" s="164">
        <f t="shared" si="173"/>
        <v>0</v>
      </c>
      <c r="P1502" s="166">
        <f>2*135*50</f>
        <v>13500</v>
      </c>
      <c r="Q1502" s="166">
        <v>1</v>
      </c>
      <c r="R1502" s="164">
        <f>$L1502*'Pivot Objective'!$C$9*P1502*Q1502</f>
        <v>3262223.3597228569</v>
      </c>
      <c r="S1502" s="166"/>
      <c r="T1502" s="166"/>
      <c r="U1502" s="164">
        <f>($L1502*'Pivot Objective'!$C$9^2)*S1502*T1502</f>
        <v>0</v>
      </c>
      <c r="V1502" s="166"/>
      <c r="W1502" s="166"/>
      <c r="X1502" s="164">
        <f>($L1502*'Pivot Objective'!$C$9^3)*V1502*W1502</f>
        <v>0</v>
      </c>
      <c r="Y1502" s="166"/>
      <c r="Z1502" s="166"/>
      <c r="AA1502" s="164">
        <f>($L1502*'Pivot Objective'!$C$9^4)*Y1502*Z1502</f>
        <v>0</v>
      </c>
      <c r="AB1502" s="166"/>
      <c r="AC1502" s="166"/>
      <c r="AD1502" s="164">
        <f>($L1502*'Pivot Objective'!$C$9^5)*AB1502*AC1502</f>
        <v>0</v>
      </c>
      <c r="AE1502" s="166"/>
      <c r="AF1502" s="166"/>
      <c r="AG1502" s="164">
        <f>($L1502*'Pivot Objective'!$C$9^6)*AE1502*AF1502</f>
        <v>0</v>
      </c>
      <c r="AH1502" s="166">
        <f>2*135*50</f>
        <v>13500</v>
      </c>
      <c r="AI1502" s="166">
        <v>1</v>
      </c>
      <c r="AJ1502" s="164">
        <f>($L1502*'Pivot Objective'!$C$9^7)*AH1502*AI1502</f>
        <v>7271285.3707838962</v>
      </c>
      <c r="AK1502" s="185">
        <f t="shared" si="174"/>
        <v>10533508.730506754</v>
      </c>
      <c r="AL1502" s="186">
        <f t="shared" si="175"/>
        <v>10226.707505346363</v>
      </c>
    </row>
    <row r="1503" spans="1:38" customFormat="1" ht="43.2" x14ac:dyDescent="0.3">
      <c r="A1503" s="140" t="s">
        <v>1484</v>
      </c>
      <c r="B1503" s="140">
        <v>3</v>
      </c>
      <c r="C1503" s="166" t="s">
        <v>696</v>
      </c>
      <c r="D1503" s="140" t="str">
        <f t="shared" si="171"/>
        <v>1</v>
      </c>
      <c r="E1503" s="166" t="s">
        <v>689</v>
      </c>
      <c r="F1503" s="140">
        <f t="shared" si="176"/>
        <v>4</v>
      </c>
      <c r="G1503" s="140" t="str">
        <f t="shared" si="172"/>
        <v>3.1.4</v>
      </c>
      <c r="H1503" s="168" t="s">
        <v>1695</v>
      </c>
      <c r="I1503" s="166" t="s">
        <v>15</v>
      </c>
      <c r="J1503" s="166" t="s">
        <v>183</v>
      </c>
      <c r="K1503" s="166" t="s">
        <v>712</v>
      </c>
      <c r="L1503" s="177">
        <f>1480/7</f>
        <v>211.42857142857142</v>
      </c>
      <c r="M1503" s="140"/>
      <c r="N1503" s="140"/>
      <c r="O1503" s="164">
        <f t="shared" si="173"/>
        <v>0</v>
      </c>
      <c r="P1503" s="166">
        <f>25*2*50</f>
        <v>2500</v>
      </c>
      <c r="Q1503" s="166">
        <v>10</v>
      </c>
      <c r="R1503" s="164">
        <f>$L1503*'Pivot Objective'!$C$9*P1503*Q1503</f>
        <v>6041154.3698571427</v>
      </c>
      <c r="S1503" s="166"/>
      <c r="T1503" s="166"/>
      <c r="U1503" s="164">
        <f>($L1503*'Pivot Objective'!$C$9^2)*S1503*T1503</f>
        <v>0</v>
      </c>
      <c r="V1503" s="166">
        <v>0</v>
      </c>
      <c r="W1503" s="166">
        <v>0</v>
      </c>
      <c r="X1503" s="164">
        <f>($L1503*'Pivot Objective'!$C$9^3)*V1503*W1503</f>
        <v>0</v>
      </c>
      <c r="Y1503" s="166">
        <v>0</v>
      </c>
      <c r="Z1503" s="166">
        <v>0</v>
      </c>
      <c r="AA1503" s="164">
        <f>($L1503*'Pivot Objective'!$C$9^4)*Y1503*Z1503</f>
        <v>0</v>
      </c>
      <c r="AB1503" s="166">
        <v>0</v>
      </c>
      <c r="AC1503" s="166">
        <v>0</v>
      </c>
      <c r="AD1503" s="164">
        <f>($L1503*'Pivot Objective'!$C$9^5)*AB1503*AC1503</f>
        <v>0</v>
      </c>
      <c r="AE1503" s="166">
        <v>0</v>
      </c>
      <c r="AF1503" s="166">
        <v>0</v>
      </c>
      <c r="AG1503" s="164">
        <f>($L1503*'Pivot Objective'!$C$9^6)*AE1503*AF1503</f>
        <v>0</v>
      </c>
      <c r="AH1503" s="166">
        <f>25*2*50</f>
        <v>2500</v>
      </c>
      <c r="AI1503" s="166">
        <v>10</v>
      </c>
      <c r="AJ1503" s="164">
        <f>($L1503*'Pivot Objective'!$C$9^7)*AH1503*AI1503</f>
        <v>13465343.279229438</v>
      </c>
      <c r="AK1503" s="185">
        <f t="shared" si="174"/>
        <v>19506497.64908658</v>
      </c>
      <c r="AL1503" s="186">
        <f t="shared" si="175"/>
        <v>18938.347232122895</v>
      </c>
    </row>
    <row r="1504" spans="1:38" customFormat="1" ht="57.6" x14ac:dyDescent="0.3">
      <c r="A1504" s="140" t="s">
        <v>1484</v>
      </c>
      <c r="B1504" s="140">
        <v>3</v>
      </c>
      <c r="C1504" s="166" t="s">
        <v>696</v>
      </c>
      <c r="D1504" s="140" t="str">
        <f t="shared" si="171"/>
        <v>1</v>
      </c>
      <c r="E1504" s="166" t="s">
        <v>689</v>
      </c>
      <c r="F1504" s="140">
        <f t="shared" si="176"/>
        <v>4</v>
      </c>
      <c r="G1504" s="140" t="str">
        <f t="shared" si="172"/>
        <v>3.1.4</v>
      </c>
      <c r="H1504" s="168" t="s">
        <v>1695</v>
      </c>
      <c r="I1504" s="166" t="s">
        <v>16</v>
      </c>
      <c r="J1504" s="166" t="s">
        <v>239</v>
      </c>
      <c r="K1504" s="166" t="s">
        <v>716</v>
      </c>
      <c r="L1504" s="177">
        <v>39000</v>
      </c>
      <c r="M1504" s="140"/>
      <c r="N1504" s="140"/>
      <c r="O1504" s="164">
        <f t="shared" si="173"/>
        <v>0</v>
      </c>
      <c r="P1504" s="166">
        <v>16</v>
      </c>
      <c r="Q1504" s="166">
        <v>4</v>
      </c>
      <c r="R1504" s="164">
        <f>$L1504*'Pivot Objective'!$C$9*P1504*Q1504</f>
        <v>2852731.0581119996</v>
      </c>
      <c r="S1504" s="166"/>
      <c r="T1504" s="166"/>
      <c r="U1504" s="164">
        <f>($L1504*'Pivot Objective'!$C$9^2)*S1504*T1504</f>
        <v>0</v>
      </c>
      <c r="V1504" s="166">
        <v>0</v>
      </c>
      <c r="W1504" s="166">
        <v>0</v>
      </c>
      <c r="X1504" s="164">
        <f>($L1504*'Pivot Objective'!$C$9^3)*V1504*W1504</f>
        <v>0</v>
      </c>
      <c r="Y1504" s="166">
        <v>0</v>
      </c>
      <c r="Z1504" s="166">
        <v>0</v>
      </c>
      <c r="AA1504" s="164">
        <f>($L1504*'Pivot Objective'!$C$9^4)*Y1504*Z1504</f>
        <v>0</v>
      </c>
      <c r="AB1504" s="166">
        <v>0</v>
      </c>
      <c r="AC1504" s="166">
        <v>0</v>
      </c>
      <c r="AD1504" s="164">
        <f>($L1504*'Pivot Objective'!$C$9^5)*AB1504*AC1504</f>
        <v>0</v>
      </c>
      <c r="AE1504" s="166">
        <v>0</v>
      </c>
      <c r="AF1504" s="166">
        <v>0</v>
      </c>
      <c r="AG1504" s="164">
        <f>($L1504*'Pivot Objective'!$C$9^6)*AE1504*AF1504</f>
        <v>0</v>
      </c>
      <c r="AH1504" s="166">
        <v>16</v>
      </c>
      <c r="AI1504" s="166">
        <v>4</v>
      </c>
      <c r="AJ1504" s="164">
        <f>($L1504*'Pivot Objective'!$C$9^7)*AH1504*AI1504</f>
        <v>6358553.4533701828</v>
      </c>
      <c r="AK1504" s="185">
        <f t="shared" si="174"/>
        <v>9211284.5114821829</v>
      </c>
      <c r="AL1504" s="186">
        <f t="shared" si="175"/>
        <v>8942.9946713419249</v>
      </c>
    </row>
    <row r="1505" spans="1:38" customFormat="1" ht="57.6" x14ac:dyDescent="0.3">
      <c r="A1505" s="140" t="s">
        <v>1484</v>
      </c>
      <c r="B1505" s="140">
        <v>3</v>
      </c>
      <c r="C1505" s="166" t="s">
        <v>696</v>
      </c>
      <c r="D1505" s="140" t="str">
        <f t="shared" si="171"/>
        <v>1</v>
      </c>
      <c r="E1505" s="166" t="s">
        <v>689</v>
      </c>
      <c r="F1505" s="140">
        <f t="shared" si="176"/>
        <v>4</v>
      </c>
      <c r="G1505" s="140" t="str">
        <f t="shared" si="172"/>
        <v>3.1.4</v>
      </c>
      <c r="H1505" s="168" t="s">
        <v>1695</v>
      </c>
      <c r="I1505" s="166" t="s">
        <v>16</v>
      </c>
      <c r="J1505" s="166" t="s">
        <v>239</v>
      </c>
      <c r="K1505" s="166" t="s">
        <v>709</v>
      </c>
      <c r="L1505" s="177">
        <v>35000</v>
      </c>
      <c r="M1505" s="140"/>
      <c r="N1505" s="140"/>
      <c r="O1505" s="164">
        <f t="shared" si="173"/>
        <v>0</v>
      </c>
      <c r="P1505" s="166">
        <v>16</v>
      </c>
      <c r="Q1505" s="166">
        <v>3</v>
      </c>
      <c r="R1505" s="164">
        <f>$L1505*'Pivot Objective'!$C$9*P1505*Q1505</f>
        <v>1920107.4429599997</v>
      </c>
      <c r="S1505" s="166"/>
      <c r="T1505" s="166"/>
      <c r="U1505" s="164">
        <f>($L1505*'Pivot Objective'!$C$9^2)*S1505*T1505</f>
        <v>0</v>
      </c>
      <c r="V1505" s="166">
        <v>0</v>
      </c>
      <c r="W1505" s="166">
        <v>0</v>
      </c>
      <c r="X1505" s="164">
        <f>($L1505*'Pivot Objective'!$C$9^3)*V1505*W1505</f>
        <v>0</v>
      </c>
      <c r="Y1505" s="166">
        <v>0</v>
      </c>
      <c r="Z1505" s="166">
        <v>0</v>
      </c>
      <c r="AA1505" s="164">
        <f>($L1505*'Pivot Objective'!$C$9^4)*Y1505*Z1505</f>
        <v>0</v>
      </c>
      <c r="AB1505" s="166">
        <v>0</v>
      </c>
      <c r="AC1505" s="166">
        <v>0</v>
      </c>
      <c r="AD1505" s="164">
        <f>($L1505*'Pivot Objective'!$C$9^5)*AB1505*AC1505</f>
        <v>0</v>
      </c>
      <c r="AE1505" s="166">
        <v>0</v>
      </c>
      <c r="AF1505" s="166">
        <v>0</v>
      </c>
      <c r="AG1505" s="164">
        <f>($L1505*'Pivot Objective'!$C$9^6)*AE1505*AF1505</f>
        <v>0</v>
      </c>
      <c r="AH1505" s="166">
        <v>16</v>
      </c>
      <c r="AI1505" s="166">
        <v>3</v>
      </c>
      <c r="AJ1505" s="164">
        <f>($L1505*'Pivot Objective'!$C$9^7)*AH1505*AI1505</f>
        <v>4279795.5936145466</v>
      </c>
      <c r="AK1505" s="185">
        <f t="shared" si="174"/>
        <v>6199903.0365745462</v>
      </c>
      <c r="AL1505" s="186">
        <f t="shared" si="175"/>
        <v>6019.3233364801417</v>
      </c>
    </row>
    <row r="1506" spans="1:38" customFormat="1" ht="57.6" x14ac:dyDescent="0.3">
      <c r="A1506" s="140" t="s">
        <v>1484</v>
      </c>
      <c r="B1506" s="140">
        <v>3</v>
      </c>
      <c r="C1506" s="166" t="s">
        <v>696</v>
      </c>
      <c r="D1506" s="140" t="str">
        <f t="shared" si="171"/>
        <v>1</v>
      </c>
      <c r="E1506" s="166" t="s">
        <v>689</v>
      </c>
      <c r="F1506" s="140">
        <f t="shared" si="176"/>
        <v>4</v>
      </c>
      <c r="G1506" s="140" t="str">
        <f t="shared" si="172"/>
        <v>3.1.4</v>
      </c>
      <c r="H1506" s="168" t="s">
        <v>1695</v>
      </c>
      <c r="I1506" s="166" t="s">
        <v>16</v>
      </c>
      <c r="J1506" s="166" t="s">
        <v>239</v>
      </c>
      <c r="K1506" s="166" t="s">
        <v>712</v>
      </c>
      <c r="L1506" s="177">
        <f>1480/7</f>
        <v>211.42857142857142</v>
      </c>
      <c r="M1506" s="140"/>
      <c r="N1506" s="140"/>
      <c r="O1506" s="164">
        <f t="shared" si="173"/>
        <v>0</v>
      </c>
      <c r="P1506" s="166">
        <f>25*2*5</f>
        <v>250</v>
      </c>
      <c r="Q1506" s="166">
        <v>3</v>
      </c>
      <c r="R1506" s="164">
        <f>$L1506*'Pivot Objective'!$C$9*P1506*Q1506</f>
        <v>181234.63109571426</v>
      </c>
      <c r="S1506" s="166"/>
      <c r="T1506" s="166"/>
      <c r="U1506" s="164">
        <f>($L1506*'Pivot Objective'!$C$9^2)*S1506*T1506</f>
        <v>0</v>
      </c>
      <c r="V1506" s="166">
        <v>0</v>
      </c>
      <c r="W1506" s="166">
        <v>0</v>
      </c>
      <c r="X1506" s="164">
        <f>($L1506*'Pivot Objective'!$C$9^3)*V1506*W1506</f>
        <v>0</v>
      </c>
      <c r="Y1506" s="166">
        <v>0</v>
      </c>
      <c r="Z1506" s="166">
        <v>0</v>
      </c>
      <c r="AA1506" s="164">
        <f>($L1506*'Pivot Objective'!$C$9^4)*Y1506*Z1506</f>
        <v>0</v>
      </c>
      <c r="AB1506" s="166">
        <v>0</v>
      </c>
      <c r="AC1506" s="166">
        <v>0</v>
      </c>
      <c r="AD1506" s="164">
        <f>($L1506*'Pivot Objective'!$C$9^5)*AB1506*AC1506</f>
        <v>0</v>
      </c>
      <c r="AE1506" s="166">
        <v>0</v>
      </c>
      <c r="AF1506" s="166">
        <v>0</v>
      </c>
      <c r="AG1506" s="164">
        <f>($L1506*'Pivot Objective'!$C$9^6)*AE1506*AF1506</f>
        <v>0</v>
      </c>
      <c r="AH1506" s="166">
        <f>25*2*5</f>
        <v>250</v>
      </c>
      <c r="AI1506" s="166">
        <v>3</v>
      </c>
      <c r="AJ1506" s="164">
        <f>($L1506*'Pivot Objective'!$C$9^7)*AH1506*AI1506</f>
        <v>403960.29837688315</v>
      </c>
      <c r="AK1506" s="185">
        <f t="shared" si="174"/>
        <v>585194.92947259743</v>
      </c>
      <c r="AL1506" s="186">
        <f t="shared" si="175"/>
        <v>568.15041696368678</v>
      </c>
    </row>
    <row r="1507" spans="1:38" customFormat="1" ht="57.6" x14ac:dyDescent="0.3">
      <c r="A1507" s="140" t="s">
        <v>1484</v>
      </c>
      <c r="B1507" s="140">
        <v>3</v>
      </c>
      <c r="C1507" s="166" t="s">
        <v>696</v>
      </c>
      <c r="D1507" s="140" t="str">
        <f t="shared" si="171"/>
        <v>1</v>
      </c>
      <c r="E1507" s="166" t="s">
        <v>689</v>
      </c>
      <c r="F1507" s="140">
        <f t="shared" si="176"/>
        <v>4</v>
      </c>
      <c r="G1507" s="140" t="str">
        <f t="shared" si="172"/>
        <v>3.1.4</v>
      </c>
      <c r="H1507" s="168" t="s">
        <v>1695</v>
      </c>
      <c r="I1507" s="166" t="s">
        <v>16</v>
      </c>
      <c r="J1507" s="166" t="s">
        <v>240</v>
      </c>
      <c r="K1507" s="166" t="s">
        <v>716</v>
      </c>
      <c r="L1507" s="177">
        <v>39000</v>
      </c>
      <c r="M1507" s="140"/>
      <c r="N1507" s="140"/>
      <c r="O1507" s="164">
        <f t="shared" si="173"/>
        <v>0</v>
      </c>
      <c r="P1507" s="166">
        <v>30</v>
      </c>
      <c r="Q1507" s="166">
        <v>10</v>
      </c>
      <c r="R1507" s="164">
        <f>$L1507*'Pivot Objective'!$C$9*P1507*Q1507</f>
        <v>13372176.834899997</v>
      </c>
      <c r="S1507" s="166"/>
      <c r="T1507" s="166"/>
      <c r="U1507" s="164">
        <f>($L1507*'Pivot Objective'!$C$9^2)*S1507*T1507</f>
        <v>0</v>
      </c>
      <c r="V1507" s="166">
        <v>0</v>
      </c>
      <c r="W1507" s="166">
        <v>0</v>
      </c>
      <c r="X1507" s="164">
        <f>($L1507*'Pivot Objective'!$C$9^3)*V1507*W1507</f>
        <v>0</v>
      </c>
      <c r="Y1507" s="166">
        <v>0</v>
      </c>
      <c r="Z1507" s="166">
        <v>0</v>
      </c>
      <c r="AA1507" s="164">
        <f>($L1507*'Pivot Objective'!$C$9^4)*Y1507*Z1507</f>
        <v>0</v>
      </c>
      <c r="AB1507" s="166">
        <v>0</v>
      </c>
      <c r="AC1507" s="166">
        <v>0</v>
      </c>
      <c r="AD1507" s="164">
        <f>($L1507*'Pivot Objective'!$C$9^5)*AB1507*AC1507</f>
        <v>0</v>
      </c>
      <c r="AE1507" s="166">
        <v>0</v>
      </c>
      <c r="AF1507" s="166">
        <v>0</v>
      </c>
      <c r="AG1507" s="164">
        <f>($L1507*'Pivot Objective'!$C$9^6)*AE1507*AF1507</f>
        <v>0</v>
      </c>
      <c r="AH1507" s="166">
        <v>30</v>
      </c>
      <c r="AI1507" s="166">
        <v>10</v>
      </c>
      <c r="AJ1507" s="164">
        <f>($L1507*'Pivot Objective'!$C$9^7)*AH1507*AI1507</f>
        <v>29805719.312672731</v>
      </c>
      <c r="AK1507" s="185">
        <f t="shared" si="174"/>
        <v>43177896.147572726</v>
      </c>
      <c r="AL1507" s="186">
        <f t="shared" si="175"/>
        <v>41920.28752191527</v>
      </c>
    </row>
    <row r="1508" spans="1:38" customFormat="1" ht="57.6" x14ac:dyDescent="0.3">
      <c r="A1508" s="140" t="s">
        <v>1484</v>
      </c>
      <c r="B1508" s="140">
        <v>3</v>
      </c>
      <c r="C1508" s="166" t="s">
        <v>696</v>
      </c>
      <c r="D1508" s="140" t="str">
        <f t="shared" si="171"/>
        <v>1</v>
      </c>
      <c r="E1508" s="166" t="s">
        <v>689</v>
      </c>
      <c r="F1508" s="140">
        <f t="shared" si="176"/>
        <v>4</v>
      </c>
      <c r="G1508" s="140" t="str">
        <f t="shared" si="172"/>
        <v>3.1.4</v>
      </c>
      <c r="H1508" s="168" t="s">
        <v>1695</v>
      </c>
      <c r="I1508" s="166" t="s">
        <v>16</v>
      </c>
      <c r="J1508" s="166" t="s">
        <v>240</v>
      </c>
      <c r="K1508" s="166" t="s">
        <v>709</v>
      </c>
      <c r="L1508" s="177">
        <v>35000</v>
      </c>
      <c r="M1508" s="140"/>
      <c r="N1508" s="140"/>
      <c r="O1508" s="164">
        <f t="shared" si="173"/>
        <v>0</v>
      </c>
      <c r="P1508" s="166">
        <v>30</v>
      </c>
      <c r="Q1508" s="166">
        <v>10</v>
      </c>
      <c r="R1508" s="164">
        <f>$L1508*'Pivot Objective'!$C$9*P1508*Q1508</f>
        <v>12000671.518499998</v>
      </c>
      <c r="S1508" s="166"/>
      <c r="T1508" s="166"/>
      <c r="U1508" s="164">
        <f>($L1508*'Pivot Objective'!$C$9^2)*S1508*T1508</f>
        <v>0</v>
      </c>
      <c r="V1508" s="166">
        <v>0</v>
      </c>
      <c r="W1508" s="166">
        <v>0</v>
      </c>
      <c r="X1508" s="164">
        <f>($L1508*'Pivot Objective'!$C$9^3)*V1508*W1508</f>
        <v>0</v>
      </c>
      <c r="Y1508" s="166">
        <v>0</v>
      </c>
      <c r="Z1508" s="166">
        <v>0</v>
      </c>
      <c r="AA1508" s="164">
        <f>($L1508*'Pivot Objective'!$C$9^4)*Y1508*Z1508</f>
        <v>0</v>
      </c>
      <c r="AB1508" s="166">
        <v>0</v>
      </c>
      <c r="AC1508" s="166">
        <v>0</v>
      </c>
      <c r="AD1508" s="164">
        <f>($L1508*'Pivot Objective'!$C$9^5)*AB1508*AC1508</f>
        <v>0</v>
      </c>
      <c r="AE1508" s="166">
        <v>0</v>
      </c>
      <c r="AF1508" s="166">
        <v>0</v>
      </c>
      <c r="AG1508" s="164">
        <f>($L1508*'Pivot Objective'!$C$9^6)*AE1508*AF1508</f>
        <v>0</v>
      </c>
      <c r="AH1508" s="166">
        <v>30</v>
      </c>
      <c r="AI1508" s="166">
        <v>10</v>
      </c>
      <c r="AJ1508" s="164">
        <f>($L1508*'Pivot Objective'!$C$9^7)*AH1508*AI1508</f>
        <v>26748722.460090913</v>
      </c>
      <c r="AK1508" s="185">
        <f t="shared" si="174"/>
        <v>38749393.978590913</v>
      </c>
      <c r="AL1508" s="186">
        <f t="shared" si="175"/>
        <v>37620.770853000889</v>
      </c>
    </row>
    <row r="1509" spans="1:38" customFormat="1" ht="57.6" x14ac:dyDescent="0.3">
      <c r="A1509" s="140" t="s">
        <v>1484</v>
      </c>
      <c r="B1509" s="140">
        <v>3</v>
      </c>
      <c r="C1509" s="166" t="s">
        <v>696</v>
      </c>
      <c r="D1509" s="140" t="str">
        <f t="shared" si="171"/>
        <v>1</v>
      </c>
      <c r="E1509" s="166" t="s">
        <v>689</v>
      </c>
      <c r="F1509" s="140">
        <f t="shared" si="176"/>
        <v>4</v>
      </c>
      <c r="G1509" s="140" t="str">
        <f t="shared" si="172"/>
        <v>3.1.4</v>
      </c>
      <c r="H1509" s="168" t="s">
        <v>1695</v>
      </c>
      <c r="I1509" s="166" t="s">
        <v>16</v>
      </c>
      <c r="J1509" s="166" t="s">
        <v>240</v>
      </c>
      <c r="K1509" s="166" t="s">
        <v>712</v>
      </c>
      <c r="L1509" s="177">
        <f>1480/7</f>
        <v>211.42857142857142</v>
      </c>
      <c r="M1509" s="140"/>
      <c r="N1509" s="140"/>
      <c r="O1509" s="164">
        <f t="shared" si="173"/>
        <v>0</v>
      </c>
      <c r="P1509" s="166">
        <f>2*135*10</f>
        <v>2700</v>
      </c>
      <c r="Q1509" s="166">
        <v>10</v>
      </c>
      <c r="R1509" s="164">
        <f>$L1509*'Pivot Objective'!$C$9*P1509*Q1509</f>
        <v>6524446.7194457129</v>
      </c>
      <c r="S1509" s="166"/>
      <c r="T1509" s="166"/>
      <c r="U1509" s="164">
        <f>($L1509*'Pivot Objective'!$C$9^2)*S1509*T1509</f>
        <v>0</v>
      </c>
      <c r="V1509" s="166">
        <v>0</v>
      </c>
      <c r="W1509" s="166">
        <v>0</v>
      </c>
      <c r="X1509" s="164">
        <f>($L1509*'Pivot Objective'!$C$9^3)*V1509*W1509</f>
        <v>0</v>
      </c>
      <c r="Y1509" s="166">
        <v>0</v>
      </c>
      <c r="Z1509" s="166">
        <v>0</v>
      </c>
      <c r="AA1509" s="164">
        <f>($L1509*'Pivot Objective'!$C$9^4)*Y1509*Z1509</f>
        <v>0</v>
      </c>
      <c r="AB1509" s="166">
        <v>0</v>
      </c>
      <c r="AC1509" s="166">
        <v>0</v>
      </c>
      <c r="AD1509" s="164">
        <f>($L1509*'Pivot Objective'!$C$9^5)*AB1509*AC1509</f>
        <v>0</v>
      </c>
      <c r="AE1509" s="166">
        <v>0</v>
      </c>
      <c r="AF1509" s="166">
        <v>0</v>
      </c>
      <c r="AG1509" s="164">
        <f>($L1509*'Pivot Objective'!$C$9^6)*AE1509*AF1509</f>
        <v>0</v>
      </c>
      <c r="AH1509" s="166">
        <f>2*135*10</f>
        <v>2700</v>
      </c>
      <c r="AI1509" s="166">
        <v>10</v>
      </c>
      <c r="AJ1509" s="164">
        <f>($L1509*'Pivot Objective'!$C$9^7)*AH1509*AI1509</f>
        <v>14542570.741567794</v>
      </c>
      <c r="AK1509" s="185">
        <f t="shared" si="174"/>
        <v>21067017.461013507</v>
      </c>
      <c r="AL1509" s="186">
        <f t="shared" si="175"/>
        <v>20453.415010692726</v>
      </c>
    </row>
    <row r="1510" spans="1:38" customFormat="1" ht="57.6" x14ac:dyDescent="0.3">
      <c r="A1510" s="140" t="s">
        <v>1484</v>
      </c>
      <c r="B1510" s="140">
        <v>3</v>
      </c>
      <c r="C1510" s="166" t="s">
        <v>696</v>
      </c>
      <c r="D1510" s="140" t="str">
        <f t="shared" si="171"/>
        <v>1</v>
      </c>
      <c r="E1510" s="166" t="s">
        <v>689</v>
      </c>
      <c r="F1510" s="140">
        <f t="shared" si="176"/>
        <v>4</v>
      </c>
      <c r="G1510" s="140" t="str">
        <f t="shared" si="172"/>
        <v>3.1.4</v>
      </c>
      <c r="H1510" s="168" t="s">
        <v>1695</v>
      </c>
      <c r="I1510" s="166" t="s">
        <v>16</v>
      </c>
      <c r="J1510" s="166" t="s">
        <v>241</v>
      </c>
      <c r="K1510" s="166" t="s">
        <v>716</v>
      </c>
      <c r="L1510" s="177">
        <v>39000</v>
      </c>
      <c r="M1510" s="140"/>
      <c r="N1510" s="140"/>
      <c r="O1510" s="164">
        <f t="shared" si="173"/>
        <v>0</v>
      </c>
      <c r="P1510" s="166">
        <v>58</v>
      </c>
      <c r="Q1510" s="166">
        <v>6</v>
      </c>
      <c r="R1510" s="164">
        <f>$L1510*'Pivot Objective'!$C$9*P1510*Q1510</f>
        <v>15511725.128483998</v>
      </c>
      <c r="S1510" s="166"/>
      <c r="T1510" s="166"/>
      <c r="U1510" s="164">
        <f>($L1510*'Pivot Objective'!$C$9^2)*S1510*T1510</f>
        <v>0</v>
      </c>
      <c r="V1510" s="166">
        <v>0</v>
      </c>
      <c r="W1510" s="166">
        <v>0</v>
      </c>
      <c r="X1510" s="164">
        <f>($L1510*'Pivot Objective'!$C$9^3)*V1510*W1510</f>
        <v>0</v>
      </c>
      <c r="Y1510" s="166">
        <v>0</v>
      </c>
      <c r="Z1510" s="166">
        <v>0</v>
      </c>
      <c r="AA1510" s="164">
        <f>($L1510*'Pivot Objective'!$C$9^4)*Y1510*Z1510</f>
        <v>0</v>
      </c>
      <c r="AB1510" s="166">
        <v>0</v>
      </c>
      <c r="AC1510" s="166">
        <v>0</v>
      </c>
      <c r="AD1510" s="164">
        <f>($L1510*'Pivot Objective'!$C$9^5)*AB1510*AC1510</f>
        <v>0</v>
      </c>
      <c r="AE1510" s="166">
        <v>0</v>
      </c>
      <c r="AF1510" s="166">
        <v>0</v>
      </c>
      <c r="AG1510" s="164">
        <f>($L1510*'Pivot Objective'!$C$9^6)*AE1510*AF1510</f>
        <v>0</v>
      </c>
      <c r="AH1510" s="166">
        <v>58</v>
      </c>
      <c r="AI1510" s="166">
        <v>6</v>
      </c>
      <c r="AJ1510" s="164">
        <f>($L1510*'Pivot Objective'!$C$9^7)*AH1510*AI1510</f>
        <v>34574634.402700365</v>
      </c>
      <c r="AK1510" s="185">
        <f t="shared" si="174"/>
        <v>50086359.53118436</v>
      </c>
      <c r="AL1510" s="186">
        <f t="shared" si="175"/>
        <v>48627.533525421706</v>
      </c>
    </row>
    <row r="1511" spans="1:38" customFormat="1" ht="57.6" x14ac:dyDescent="0.3">
      <c r="A1511" s="140" t="s">
        <v>1484</v>
      </c>
      <c r="B1511" s="140">
        <v>3</v>
      </c>
      <c r="C1511" s="166" t="s">
        <v>696</v>
      </c>
      <c r="D1511" s="140" t="str">
        <f t="shared" si="171"/>
        <v>1</v>
      </c>
      <c r="E1511" s="166" t="s">
        <v>689</v>
      </c>
      <c r="F1511" s="140">
        <f t="shared" si="176"/>
        <v>4</v>
      </c>
      <c r="G1511" s="140" t="str">
        <f t="shared" si="172"/>
        <v>3.1.4</v>
      </c>
      <c r="H1511" s="168" t="s">
        <v>1695</v>
      </c>
      <c r="I1511" s="166" t="s">
        <v>16</v>
      </c>
      <c r="J1511" s="166" t="s">
        <v>241</v>
      </c>
      <c r="K1511" s="166" t="s">
        <v>709</v>
      </c>
      <c r="L1511" s="177">
        <v>35000</v>
      </c>
      <c r="M1511" s="140"/>
      <c r="N1511" s="140"/>
      <c r="O1511" s="164">
        <f t="shared" si="173"/>
        <v>0</v>
      </c>
      <c r="P1511" s="166">
        <v>100</v>
      </c>
      <c r="Q1511" s="166">
        <v>6</v>
      </c>
      <c r="R1511" s="164">
        <f>$L1511*'Pivot Objective'!$C$9*P1511*Q1511</f>
        <v>24001343.036999997</v>
      </c>
      <c r="S1511" s="166"/>
      <c r="T1511" s="166"/>
      <c r="U1511" s="164">
        <f>($L1511*'Pivot Objective'!$C$9^2)*S1511*T1511</f>
        <v>0</v>
      </c>
      <c r="V1511" s="166">
        <v>0</v>
      </c>
      <c r="W1511" s="166">
        <v>0</v>
      </c>
      <c r="X1511" s="164">
        <f>($L1511*'Pivot Objective'!$C$9^3)*V1511*W1511</f>
        <v>0</v>
      </c>
      <c r="Y1511" s="166">
        <v>0</v>
      </c>
      <c r="Z1511" s="166">
        <v>0</v>
      </c>
      <c r="AA1511" s="164">
        <f>($L1511*'Pivot Objective'!$C$9^4)*Y1511*Z1511</f>
        <v>0</v>
      </c>
      <c r="AB1511" s="166">
        <v>0</v>
      </c>
      <c r="AC1511" s="166">
        <v>0</v>
      </c>
      <c r="AD1511" s="164">
        <f>($L1511*'Pivot Objective'!$C$9^5)*AB1511*AC1511</f>
        <v>0</v>
      </c>
      <c r="AE1511" s="166">
        <v>0</v>
      </c>
      <c r="AF1511" s="166">
        <v>0</v>
      </c>
      <c r="AG1511" s="164">
        <f>($L1511*'Pivot Objective'!$C$9^6)*AE1511*AF1511</f>
        <v>0</v>
      </c>
      <c r="AH1511" s="166">
        <v>100</v>
      </c>
      <c r="AI1511" s="166">
        <v>6</v>
      </c>
      <c r="AJ1511" s="164">
        <f>($L1511*'Pivot Objective'!$C$9^7)*AH1511*AI1511</f>
        <v>53497444.920181833</v>
      </c>
      <c r="AK1511" s="185">
        <f t="shared" si="174"/>
        <v>77498787.957181826</v>
      </c>
      <c r="AL1511" s="186">
        <f t="shared" si="175"/>
        <v>75241.541706001779</v>
      </c>
    </row>
    <row r="1512" spans="1:38" customFormat="1" ht="57.6" x14ac:dyDescent="0.3">
      <c r="A1512" s="140" t="s">
        <v>1484</v>
      </c>
      <c r="B1512" s="140">
        <v>3</v>
      </c>
      <c r="C1512" s="166" t="s">
        <v>696</v>
      </c>
      <c r="D1512" s="140" t="str">
        <f t="shared" si="171"/>
        <v>1</v>
      </c>
      <c r="E1512" s="166" t="s">
        <v>689</v>
      </c>
      <c r="F1512" s="140">
        <f t="shared" si="176"/>
        <v>4</v>
      </c>
      <c r="G1512" s="140" t="str">
        <f t="shared" si="172"/>
        <v>3.1.4</v>
      </c>
      <c r="H1512" s="168" t="s">
        <v>1695</v>
      </c>
      <c r="I1512" s="166" t="s">
        <v>16</v>
      </c>
      <c r="J1512" s="166" t="s">
        <v>241</v>
      </c>
      <c r="K1512" s="166" t="s">
        <v>1299</v>
      </c>
      <c r="L1512" s="177">
        <f>1480/7</f>
        <v>211.42857142857142</v>
      </c>
      <c r="M1512" s="140"/>
      <c r="N1512" s="140"/>
      <c r="O1512" s="164">
        <f t="shared" si="173"/>
        <v>0</v>
      </c>
      <c r="P1512" s="166">
        <f>2*135*29</f>
        <v>7830</v>
      </c>
      <c r="Q1512" s="166">
        <v>1</v>
      </c>
      <c r="R1512" s="164">
        <f>$L1512*'Pivot Objective'!$C$9*P1512*Q1512</f>
        <v>1892089.548639257</v>
      </c>
      <c r="S1512" s="166"/>
      <c r="T1512" s="166"/>
      <c r="U1512" s="164">
        <f>($L1512*'Pivot Objective'!$C$9^2)*S1512*T1512</f>
        <v>0</v>
      </c>
      <c r="V1512" s="166"/>
      <c r="W1512" s="166"/>
      <c r="X1512" s="164">
        <f>($L1512*'Pivot Objective'!$C$9^3)*V1512*W1512</f>
        <v>0</v>
      </c>
      <c r="Y1512" s="166"/>
      <c r="Z1512" s="166"/>
      <c r="AA1512" s="164">
        <f>($L1512*'Pivot Objective'!$C$9^4)*Y1512*Z1512</f>
        <v>0</v>
      </c>
      <c r="AB1512" s="166"/>
      <c r="AC1512" s="166"/>
      <c r="AD1512" s="164">
        <f>($L1512*'Pivot Objective'!$C$9^5)*AB1512*AC1512</f>
        <v>0</v>
      </c>
      <c r="AE1512" s="166"/>
      <c r="AF1512" s="166"/>
      <c r="AG1512" s="164">
        <f>($L1512*'Pivot Objective'!$C$9^6)*AE1512*AF1512</f>
        <v>0</v>
      </c>
      <c r="AH1512" s="166">
        <f>2*135*29</f>
        <v>7830</v>
      </c>
      <c r="AI1512" s="166">
        <v>1</v>
      </c>
      <c r="AJ1512" s="164">
        <f>($L1512*'Pivot Objective'!$C$9^7)*AH1512*AI1512</f>
        <v>4217345.5150546599</v>
      </c>
      <c r="AK1512" s="185">
        <f t="shared" si="174"/>
        <v>6109435.0636939164</v>
      </c>
      <c r="AL1512" s="186">
        <f t="shared" si="175"/>
        <v>5931.4903531008895</v>
      </c>
    </row>
    <row r="1513" spans="1:38" customFormat="1" ht="57.6" x14ac:dyDescent="0.3">
      <c r="A1513" s="140" t="s">
        <v>1484</v>
      </c>
      <c r="B1513" s="140">
        <v>3</v>
      </c>
      <c r="C1513" s="166" t="s">
        <v>696</v>
      </c>
      <c r="D1513" s="140" t="str">
        <f t="shared" si="171"/>
        <v>1</v>
      </c>
      <c r="E1513" s="166" t="s">
        <v>689</v>
      </c>
      <c r="F1513" s="140">
        <f t="shared" si="176"/>
        <v>4</v>
      </c>
      <c r="G1513" s="140" t="str">
        <f t="shared" si="172"/>
        <v>3.1.4</v>
      </c>
      <c r="H1513" s="168" t="s">
        <v>1695</v>
      </c>
      <c r="I1513" s="166" t="s">
        <v>16</v>
      </c>
      <c r="J1513" s="166" t="s">
        <v>241</v>
      </c>
      <c r="K1513" s="166" t="s">
        <v>712</v>
      </c>
      <c r="L1513" s="177">
        <f>1480/7</f>
        <v>211.42857142857142</v>
      </c>
      <c r="M1513" s="140"/>
      <c r="N1513" s="140"/>
      <c r="O1513" s="164">
        <f t="shared" si="173"/>
        <v>0</v>
      </c>
      <c r="P1513" s="166">
        <f>25*2*29</f>
        <v>1450</v>
      </c>
      <c r="Q1513" s="166">
        <v>6</v>
      </c>
      <c r="R1513" s="164">
        <f>$L1513*'Pivot Objective'!$C$9*P1513*Q1513</f>
        <v>2102321.7207102855</v>
      </c>
      <c r="S1513" s="166"/>
      <c r="T1513" s="166"/>
      <c r="U1513" s="164">
        <f>($L1513*'Pivot Objective'!$C$9^2)*S1513*T1513</f>
        <v>0</v>
      </c>
      <c r="V1513" s="166">
        <v>0</v>
      </c>
      <c r="W1513" s="166">
        <v>0</v>
      </c>
      <c r="X1513" s="164">
        <f>($L1513*'Pivot Objective'!$C$9^3)*V1513*W1513</f>
        <v>0</v>
      </c>
      <c r="Y1513" s="166">
        <v>0</v>
      </c>
      <c r="Z1513" s="166">
        <v>0</v>
      </c>
      <c r="AA1513" s="164">
        <f>($L1513*'Pivot Objective'!$C$9^4)*Y1513*Z1513</f>
        <v>0</v>
      </c>
      <c r="AB1513" s="166">
        <v>0</v>
      </c>
      <c r="AC1513" s="166">
        <v>0</v>
      </c>
      <c r="AD1513" s="164">
        <f>($L1513*'Pivot Objective'!$C$9^5)*AB1513*AC1513</f>
        <v>0</v>
      </c>
      <c r="AE1513" s="166">
        <v>0</v>
      </c>
      <c r="AF1513" s="166">
        <v>0</v>
      </c>
      <c r="AG1513" s="164">
        <f>($L1513*'Pivot Objective'!$C$9^6)*AE1513*AF1513</f>
        <v>0</v>
      </c>
      <c r="AH1513" s="166">
        <f>25*2*29</f>
        <v>1450</v>
      </c>
      <c r="AI1513" s="166">
        <v>6</v>
      </c>
      <c r="AJ1513" s="164">
        <f>($L1513*'Pivot Objective'!$C$9^7)*AH1513*AI1513</f>
        <v>4685939.461171845</v>
      </c>
      <c r="AK1513" s="185">
        <f t="shared" si="174"/>
        <v>6788261.18188213</v>
      </c>
      <c r="AL1513" s="186">
        <f t="shared" si="175"/>
        <v>6590.5448367787667</v>
      </c>
    </row>
    <row r="1514" spans="1:38" customFormat="1" ht="57.6" x14ac:dyDescent="0.3">
      <c r="A1514" s="140" t="s">
        <v>1484</v>
      </c>
      <c r="B1514" s="140">
        <v>3</v>
      </c>
      <c r="C1514" s="166" t="s">
        <v>696</v>
      </c>
      <c r="D1514" s="140" t="str">
        <f t="shared" si="171"/>
        <v>1</v>
      </c>
      <c r="E1514" s="166" t="s">
        <v>689</v>
      </c>
      <c r="F1514" s="140">
        <f t="shared" si="176"/>
        <v>4</v>
      </c>
      <c r="G1514" s="140" t="str">
        <f t="shared" si="172"/>
        <v>3.1.4</v>
      </c>
      <c r="H1514" s="168" t="s">
        <v>1695</v>
      </c>
      <c r="I1514" s="166" t="s">
        <v>16</v>
      </c>
      <c r="J1514" s="166" t="s">
        <v>166</v>
      </c>
      <c r="K1514" s="166" t="s">
        <v>709</v>
      </c>
      <c r="L1514" s="177">
        <v>35000</v>
      </c>
      <c r="M1514" s="140"/>
      <c r="N1514" s="140"/>
      <c r="O1514" s="164">
        <f t="shared" si="173"/>
        <v>0</v>
      </c>
      <c r="P1514" s="166">
        <v>30</v>
      </c>
      <c r="Q1514" s="166">
        <v>1</v>
      </c>
      <c r="R1514" s="164">
        <f>$L1514*'Pivot Objective'!$C$9*P1514*Q1514</f>
        <v>1200067.1518499998</v>
      </c>
      <c r="S1514" s="166"/>
      <c r="T1514" s="166"/>
      <c r="U1514" s="164">
        <f>($L1514*'Pivot Objective'!$C$9^2)*S1514*T1514</f>
        <v>0</v>
      </c>
      <c r="V1514" s="166">
        <v>0</v>
      </c>
      <c r="W1514" s="166">
        <v>0</v>
      </c>
      <c r="X1514" s="164">
        <f>($L1514*'Pivot Objective'!$C$9^3)*V1514*W1514</f>
        <v>0</v>
      </c>
      <c r="Y1514" s="166">
        <v>0</v>
      </c>
      <c r="Z1514" s="166">
        <v>0</v>
      </c>
      <c r="AA1514" s="164">
        <f>($L1514*'Pivot Objective'!$C$9^4)*Y1514*Z1514</f>
        <v>0</v>
      </c>
      <c r="AB1514" s="166">
        <v>0</v>
      </c>
      <c r="AC1514" s="166">
        <v>0</v>
      </c>
      <c r="AD1514" s="164">
        <f>($L1514*'Pivot Objective'!$C$9^5)*AB1514*AC1514</f>
        <v>0</v>
      </c>
      <c r="AE1514" s="166">
        <v>0</v>
      </c>
      <c r="AF1514" s="166">
        <v>0</v>
      </c>
      <c r="AG1514" s="164">
        <f>($L1514*'Pivot Objective'!$C$9^6)*AE1514*AF1514</f>
        <v>0</v>
      </c>
      <c r="AH1514" s="166">
        <v>30</v>
      </c>
      <c r="AI1514" s="166">
        <v>1</v>
      </c>
      <c r="AJ1514" s="164">
        <f>($L1514*'Pivot Objective'!$C$9^7)*AH1514*AI1514</f>
        <v>2674872.2460090914</v>
      </c>
      <c r="AK1514" s="185">
        <f t="shared" si="174"/>
        <v>3874939.3978590909</v>
      </c>
      <c r="AL1514" s="186">
        <f t="shared" si="175"/>
        <v>3762.0770853000881</v>
      </c>
    </row>
    <row r="1515" spans="1:38" customFormat="1" ht="57.6" x14ac:dyDescent="0.3">
      <c r="A1515" s="140" t="s">
        <v>1484</v>
      </c>
      <c r="B1515" s="140">
        <v>3</v>
      </c>
      <c r="C1515" s="166" t="s">
        <v>696</v>
      </c>
      <c r="D1515" s="140" t="str">
        <f t="shared" si="171"/>
        <v>1</v>
      </c>
      <c r="E1515" s="166" t="s">
        <v>689</v>
      </c>
      <c r="F1515" s="140">
        <f t="shared" si="176"/>
        <v>4</v>
      </c>
      <c r="G1515" s="140" t="str">
        <f t="shared" si="172"/>
        <v>3.1.4</v>
      </c>
      <c r="H1515" s="168" t="s">
        <v>1695</v>
      </c>
      <c r="I1515" s="166" t="s">
        <v>16</v>
      </c>
      <c r="J1515" s="166" t="s">
        <v>242</v>
      </c>
      <c r="K1515" s="166" t="s">
        <v>718</v>
      </c>
      <c r="L1515" s="177">
        <v>0</v>
      </c>
      <c r="M1515" s="140"/>
      <c r="N1515" s="140"/>
      <c r="O1515" s="164">
        <f t="shared" si="173"/>
        <v>0</v>
      </c>
      <c r="P1515" s="166">
        <v>0</v>
      </c>
      <c r="Q1515" s="166">
        <v>0</v>
      </c>
      <c r="R1515" s="164">
        <f>$L1515*'Pivot Objective'!$C$9*P1515*Q1515</f>
        <v>0</v>
      </c>
      <c r="S1515" s="166"/>
      <c r="T1515" s="166"/>
      <c r="U1515" s="164">
        <f>($L1515*'Pivot Objective'!$C$9^2)*S1515*T1515</f>
        <v>0</v>
      </c>
      <c r="V1515" s="166">
        <v>0</v>
      </c>
      <c r="W1515" s="166">
        <v>0</v>
      </c>
      <c r="X1515" s="164">
        <f>($L1515*'Pivot Objective'!$C$9^3)*V1515*W1515</f>
        <v>0</v>
      </c>
      <c r="Y1515" s="166">
        <v>0</v>
      </c>
      <c r="Z1515" s="166">
        <v>0</v>
      </c>
      <c r="AA1515" s="164">
        <f>($L1515*'Pivot Objective'!$C$9^4)*Y1515*Z1515</f>
        <v>0</v>
      </c>
      <c r="AB1515" s="166">
        <v>0</v>
      </c>
      <c r="AC1515" s="166">
        <v>0</v>
      </c>
      <c r="AD1515" s="164">
        <f>($L1515*'Pivot Objective'!$C$9^5)*AB1515*AC1515</f>
        <v>0</v>
      </c>
      <c r="AE1515" s="166">
        <v>0</v>
      </c>
      <c r="AF1515" s="166">
        <v>0</v>
      </c>
      <c r="AG1515" s="164">
        <f>($L1515*'Pivot Objective'!$C$9^6)*AE1515*AF1515</f>
        <v>0</v>
      </c>
      <c r="AH1515" s="166">
        <v>0</v>
      </c>
      <c r="AI1515" s="166">
        <v>0</v>
      </c>
      <c r="AJ1515" s="164">
        <f>($L1515*'Pivot Objective'!$C$9^7)*AH1515*AI1515</f>
        <v>0</v>
      </c>
      <c r="AK1515" s="185">
        <f t="shared" si="174"/>
        <v>0</v>
      </c>
      <c r="AL1515" s="186">
        <f t="shared" si="175"/>
        <v>0</v>
      </c>
    </row>
    <row r="1516" spans="1:38" customFormat="1" ht="57.6" x14ac:dyDescent="0.3">
      <c r="A1516" s="140" t="s">
        <v>1484</v>
      </c>
      <c r="B1516" s="140">
        <v>3</v>
      </c>
      <c r="C1516" s="166" t="s">
        <v>696</v>
      </c>
      <c r="D1516" s="140" t="str">
        <f t="shared" si="171"/>
        <v>1</v>
      </c>
      <c r="E1516" s="166" t="s">
        <v>689</v>
      </c>
      <c r="F1516" s="140">
        <f t="shared" si="176"/>
        <v>4</v>
      </c>
      <c r="G1516" s="140" t="str">
        <f t="shared" si="172"/>
        <v>3.1.4</v>
      </c>
      <c r="H1516" s="168" t="s">
        <v>1695</v>
      </c>
      <c r="I1516" s="166" t="s">
        <v>16</v>
      </c>
      <c r="J1516" s="166" t="s">
        <v>243</v>
      </c>
      <c r="K1516" s="166" t="s">
        <v>716</v>
      </c>
      <c r="L1516" s="177">
        <v>39000</v>
      </c>
      <c r="M1516" s="140"/>
      <c r="N1516" s="140"/>
      <c r="O1516" s="164">
        <f t="shared" si="173"/>
        <v>0</v>
      </c>
      <c r="P1516" s="166">
        <v>25</v>
      </c>
      <c r="Q1516" s="166">
        <v>10</v>
      </c>
      <c r="R1516" s="164">
        <f>$L1516*'Pivot Objective'!$C$9*P1516*Q1516</f>
        <v>11143480.695749998</v>
      </c>
      <c r="S1516" s="166"/>
      <c r="T1516" s="166"/>
      <c r="U1516" s="164">
        <f>($L1516*'Pivot Objective'!$C$9^2)*S1516*T1516</f>
        <v>0</v>
      </c>
      <c r="V1516" s="166">
        <v>0</v>
      </c>
      <c r="W1516" s="166">
        <v>0</v>
      </c>
      <c r="X1516" s="164">
        <f>($L1516*'Pivot Objective'!$C$9^3)*V1516*W1516</f>
        <v>0</v>
      </c>
      <c r="Y1516" s="166">
        <v>0</v>
      </c>
      <c r="Z1516" s="166">
        <v>0</v>
      </c>
      <c r="AA1516" s="164">
        <f>($L1516*'Pivot Objective'!$C$9^4)*Y1516*Z1516</f>
        <v>0</v>
      </c>
      <c r="AB1516" s="166">
        <v>0</v>
      </c>
      <c r="AC1516" s="166">
        <v>0</v>
      </c>
      <c r="AD1516" s="164">
        <f>($L1516*'Pivot Objective'!$C$9^5)*AB1516*AC1516</f>
        <v>0</v>
      </c>
      <c r="AE1516" s="166">
        <v>0</v>
      </c>
      <c r="AF1516" s="166">
        <v>0</v>
      </c>
      <c r="AG1516" s="164">
        <f>($L1516*'Pivot Objective'!$C$9^6)*AE1516*AF1516</f>
        <v>0</v>
      </c>
      <c r="AH1516" s="166">
        <v>25</v>
      </c>
      <c r="AI1516" s="166">
        <v>10</v>
      </c>
      <c r="AJ1516" s="164">
        <f>($L1516*'Pivot Objective'!$C$9^7)*AH1516*AI1516</f>
        <v>24838099.427227274</v>
      </c>
      <c r="AK1516" s="185">
        <f t="shared" si="174"/>
        <v>35981580.122977272</v>
      </c>
      <c r="AL1516" s="186">
        <f t="shared" si="175"/>
        <v>34933.572934929391</v>
      </c>
    </row>
    <row r="1517" spans="1:38" customFormat="1" ht="57.6" x14ac:dyDescent="0.3">
      <c r="A1517" s="140" t="s">
        <v>1484</v>
      </c>
      <c r="B1517" s="140">
        <v>3</v>
      </c>
      <c r="C1517" s="166" t="s">
        <v>696</v>
      </c>
      <c r="D1517" s="140" t="str">
        <f t="shared" si="171"/>
        <v>1</v>
      </c>
      <c r="E1517" s="166" t="s">
        <v>689</v>
      </c>
      <c r="F1517" s="140">
        <f t="shared" si="176"/>
        <v>4</v>
      </c>
      <c r="G1517" s="140" t="str">
        <f t="shared" si="172"/>
        <v>3.1.4</v>
      </c>
      <c r="H1517" s="168" t="s">
        <v>1695</v>
      </c>
      <c r="I1517" s="166" t="s">
        <v>16</v>
      </c>
      <c r="J1517" s="166" t="s">
        <v>243</v>
      </c>
      <c r="K1517" s="166" t="s">
        <v>709</v>
      </c>
      <c r="L1517" s="177">
        <v>35000</v>
      </c>
      <c r="M1517" s="140"/>
      <c r="N1517" s="140"/>
      <c r="O1517" s="164">
        <f t="shared" si="173"/>
        <v>0</v>
      </c>
      <c r="P1517" s="166">
        <v>60</v>
      </c>
      <c r="Q1517" s="166">
        <v>10</v>
      </c>
      <c r="R1517" s="164">
        <f>$L1517*'Pivot Objective'!$C$9*P1517*Q1517</f>
        <v>24001343.036999997</v>
      </c>
      <c r="S1517" s="166"/>
      <c r="T1517" s="166"/>
      <c r="U1517" s="164">
        <f>($L1517*'Pivot Objective'!$C$9^2)*S1517*T1517</f>
        <v>0</v>
      </c>
      <c r="V1517" s="166">
        <v>0</v>
      </c>
      <c r="W1517" s="166">
        <v>0</v>
      </c>
      <c r="X1517" s="164">
        <f>($L1517*'Pivot Objective'!$C$9^3)*V1517*W1517</f>
        <v>0</v>
      </c>
      <c r="Y1517" s="166">
        <v>0</v>
      </c>
      <c r="Z1517" s="166">
        <v>0</v>
      </c>
      <c r="AA1517" s="164">
        <f>($L1517*'Pivot Objective'!$C$9^4)*Y1517*Z1517</f>
        <v>0</v>
      </c>
      <c r="AB1517" s="166">
        <v>0</v>
      </c>
      <c r="AC1517" s="166">
        <v>0</v>
      </c>
      <c r="AD1517" s="164">
        <f>($L1517*'Pivot Objective'!$C$9^5)*AB1517*AC1517</f>
        <v>0</v>
      </c>
      <c r="AE1517" s="166">
        <v>0</v>
      </c>
      <c r="AF1517" s="166">
        <v>0</v>
      </c>
      <c r="AG1517" s="164">
        <f>($L1517*'Pivot Objective'!$C$9^6)*AE1517*AF1517</f>
        <v>0</v>
      </c>
      <c r="AH1517" s="166">
        <v>60</v>
      </c>
      <c r="AI1517" s="166">
        <v>10</v>
      </c>
      <c r="AJ1517" s="164">
        <f>($L1517*'Pivot Objective'!$C$9^7)*AH1517*AI1517</f>
        <v>53497444.920181826</v>
      </c>
      <c r="AK1517" s="185">
        <f t="shared" si="174"/>
        <v>77498787.957181826</v>
      </c>
      <c r="AL1517" s="186">
        <f t="shared" si="175"/>
        <v>75241.541706001779</v>
      </c>
    </row>
    <row r="1518" spans="1:38" customFormat="1" ht="57.6" x14ac:dyDescent="0.3">
      <c r="A1518" s="140" t="s">
        <v>1484</v>
      </c>
      <c r="B1518" s="140">
        <v>3</v>
      </c>
      <c r="C1518" s="166" t="s">
        <v>696</v>
      </c>
      <c r="D1518" s="140" t="str">
        <f t="shared" si="171"/>
        <v>1</v>
      </c>
      <c r="E1518" s="166" t="s">
        <v>689</v>
      </c>
      <c r="F1518" s="140">
        <f t="shared" si="176"/>
        <v>4</v>
      </c>
      <c r="G1518" s="140" t="str">
        <f t="shared" si="172"/>
        <v>3.1.4</v>
      </c>
      <c r="H1518" s="168" t="s">
        <v>1695</v>
      </c>
      <c r="I1518" s="166" t="s">
        <v>16</v>
      </c>
      <c r="J1518" s="166" t="s">
        <v>243</v>
      </c>
      <c r="K1518" s="166" t="s">
        <v>712</v>
      </c>
      <c r="L1518" s="177">
        <f>1480/7</f>
        <v>211.42857142857142</v>
      </c>
      <c r="M1518" s="140"/>
      <c r="N1518" s="140"/>
      <c r="O1518" s="164">
        <f t="shared" si="173"/>
        <v>0</v>
      </c>
      <c r="P1518" s="166">
        <f>25*2*15</f>
        <v>750</v>
      </c>
      <c r="Q1518" s="166">
        <v>9</v>
      </c>
      <c r="R1518" s="164">
        <f>$L1518*'Pivot Objective'!$C$9*P1518*Q1518</f>
        <v>1631111.6798614282</v>
      </c>
      <c r="S1518" s="166"/>
      <c r="T1518" s="166"/>
      <c r="U1518" s="164">
        <f>($L1518*'Pivot Objective'!$C$9^2)*S1518*T1518</f>
        <v>0</v>
      </c>
      <c r="V1518" s="166">
        <v>0</v>
      </c>
      <c r="W1518" s="166">
        <v>0</v>
      </c>
      <c r="X1518" s="164">
        <f>($L1518*'Pivot Objective'!$C$9^3)*V1518*W1518</f>
        <v>0</v>
      </c>
      <c r="Y1518" s="166">
        <v>0</v>
      </c>
      <c r="Z1518" s="166">
        <v>0</v>
      </c>
      <c r="AA1518" s="164">
        <f>($L1518*'Pivot Objective'!$C$9^4)*Y1518*Z1518</f>
        <v>0</v>
      </c>
      <c r="AB1518" s="166">
        <v>0</v>
      </c>
      <c r="AC1518" s="166">
        <v>0</v>
      </c>
      <c r="AD1518" s="164">
        <f>($L1518*'Pivot Objective'!$C$9^5)*AB1518*AC1518</f>
        <v>0</v>
      </c>
      <c r="AE1518" s="166">
        <v>0</v>
      </c>
      <c r="AF1518" s="166">
        <v>0</v>
      </c>
      <c r="AG1518" s="164">
        <f>($L1518*'Pivot Objective'!$C$9^6)*AE1518*AF1518</f>
        <v>0</v>
      </c>
      <c r="AH1518" s="166">
        <f>25*2*15</f>
        <v>750</v>
      </c>
      <c r="AI1518" s="166">
        <v>9</v>
      </c>
      <c r="AJ1518" s="164">
        <f>($L1518*'Pivot Objective'!$C$9^7)*AH1518*AI1518</f>
        <v>3635642.6853919486</v>
      </c>
      <c r="AK1518" s="185">
        <f t="shared" si="174"/>
        <v>5266754.3652533768</v>
      </c>
      <c r="AL1518" s="186">
        <f t="shared" si="175"/>
        <v>5113.3537526731816</v>
      </c>
    </row>
    <row r="1519" spans="1:38" customFormat="1" ht="57.6" x14ac:dyDescent="0.3">
      <c r="A1519" s="140" t="s">
        <v>1484</v>
      </c>
      <c r="B1519" s="140">
        <v>3</v>
      </c>
      <c r="C1519" s="166" t="s">
        <v>696</v>
      </c>
      <c r="D1519" s="140" t="str">
        <f t="shared" si="171"/>
        <v>1</v>
      </c>
      <c r="E1519" s="166" t="s">
        <v>689</v>
      </c>
      <c r="F1519" s="140">
        <f t="shared" si="176"/>
        <v>4</v>
      </c>
      <c r="G1519" s="140" t="str">
        <f t="shared" si="172"/>
        <v>3.1.4</v>
      </c>
      <c r="H1519" s="168" t="s">
        <v>1695</v>
      </c>
      <c r="I1519" s="166" t="s">
        <v>16</v>
      </c>
      <c r="J1519" s="166" t="s">
        <v>243</v>
      </c>
      <c r="K1519" s="166" t="s">
        <v>1299</v>
      </c>
      <c r="L1519" s="177">
        <f>1480/7</f>
        <v>211.42857142857142</v>
      </c>
      <c r="M1519" s="140"/>
      <c r="N1519" s="140"/>
      <c r="O1519" s="164">
        <f t="shared" si="173"/>
        <v>0</v>
      </c>
      <c r="P1519" s="166">
        <f>2*135*15</f>
        <v>4050</v>
      </c>
      <c r="Q1519" s="166">
        <v>1</v>
      </c>
      <c r="R1519" s="164">
        <f>$L1519*'Pivot Objective'!$C$9*P1519*Q1519</f>
        <v>978667.00791685702</v>
      </c>
      <c r="S1519" s="166"/>
      <c r="T1519" s="166"/>
      <c r="U1519" s="164">
        <f>($L1519*'Pivot Objective'!$C$9^2)*S1519*T1519</f>
        <v>0</v>
      </c>
      <c r="V1519" s="166"/>
      <c r="W1519" s="166"/>
      <c r="X1519" s="164">
        <f>($L1519*'Pivot Objective'!$C$9^3)*V1519*W1519</f>
        <v>0</v>
      </c>
      <c r="Y1519" s="166"/>
      <c r="Z1519" s="166"/>
      <c r="AA1519" s="164">
        <f>($L1519*'Pivot Objective'!$C$9^4)*Y1519*Z1519</f>
        <v>0</v>
      </c>
      <c r="AB1519" s="166"/>
      <c r="AC1519" s="166"/>
      <c r="AD1519" s="164">
        <f>($L1519*'Pivot Objective'!$C$9^5)*AB1519*AC1519</f>
        <v>0</v>
      </c>
      <c r="AE1519" s="166"/>
      <c r="AF1519" s="166"/>
      <c r="AG1519" s="164">
        <f>($L1519*'Pivot Objective'!$C$9^6)*AE1519*AF1519</f>
        <v>0</v>
      </c>
      <c r="AH1519" s="166">
        <f>2*135*15</f>
        <v>4050</v>
      </c>
      <c r="AI1519" s="166">
        <v>1</v>
      </c>
      <c r="AJ1519" s="164">
        <f>($L1519*'Pivot Objective'!$C$9^7)*AH1519*AI1519</f>
        <v>2181385.6112351688</v>
      </c>
      <c r="AK1519" s="185">
        <f t="shared" si="174"/>
        <v>3160052.6191520258</v>
      </c>
      <c r="AL1519" s="186">
        <f t="shared" si="175"/>
        <v>3068.0122516039087</v>
      </c>
    </row>
    <row r="1520" spans="1:38" customFormat="1" ht="57.6" x14ac:dyDescent="0.3">
      <c r="A1520" s="140" t="s">
        <v>1484</v>
      </c>
      <c r="B1520" s="140">
        <v>3</v>
      </c>
      <c r="C1520" s="166" t="s">
        <v>696</v>
      </c>
      <c r="D1520" s="140" t="str">
        <f t="shared" si="171"/>
        <v>1</v>
      </c>
      <c r="E1520" s="166" t="s">
        <v>689</v>
      </c>
      <c r="F1520" s="140">
        <f t="shared" si="176"/>
        <v>4</v>
      </c>
      <c r="G1520" s="140" t="str">
        <f t="shared" si="172"/>
        <v>3.1.4</v>
      </c>
      <c r="H1520" s="168" t="s">
        <v>1695</v>
      </c>
      <c r="I1520" s="166" t="s">
        <v>16</v>
      </c>
      <c r="J1520" s="166" t="s">
        <v>244</v>
      </c>
      <c r="K1520" s="166" t="s">
        <v>716</v>
      </c>
      <c r="L1520" s="177">
        <v>39000</v>
      </c>
      <c r="M1520" s="140"/>
      <c r="N1520" s="140"/>
      <c r="O1520" s="164">
        <f t="shared" si="173"/>
        <v>0</v>
      </c>
      <c r="P1520" s="166">
        <v>25</v>
      </c>
      <c r="Q1520" s="166">
        <v>4</v>
      </c>
      <c r="R1520" s="164">
        <f>$L1520*'Pivot Objective'!$C$9*P1520*Q1520</f>
        <v>4457392.2782999994</v>
      </c>
      <c r="S1520" s="166"/>
      <c r="T1520" s="166"/>
      <c r="U1520" s="164">
        <f>($L1520*'Pivot Objective'!$C$9^2)*S1520*T1520</f>
        <v>0</v>
      </c>
      <c r="V1520" s="166">
        <v>0</v>
      </c>
      <c r="W1520" s="166">
        <v>0</v>
      </c>
      <c r="X1520" s="164">
        <f>($L1520*'Pivot Objective'!$C$9^3)*V1520*W1520</f>
        <v>0</v>
      </c>
      <c r="Y1520" s="166">
        <v>0</v>
      </c>
      <c r="Z1520" s="166">
        <v>0</v>
      </c>
      <c r="AA1520" s="164">
        <f>($L1520*'Pivot Objective'!$C$9^4)*Y1520*Z1520</f>
        <v>0</v>
      </c>
      <c r="AB1520" s="166">
        <v>0</v>
      </c>
      <c r="AC1520" s="166">
        <v>0</v>
      </c>
      <c r="AD1520" s="164">
        <f>($L1520*'Pivot Objective'!$C$9^5)*AB1520*AC1520</f>
        <v>0</v>
      </c>
      <c r="AE1520" s="166">
        <v>0</v>
      </c>
      <c r="AF1520" s="166">
        <v>0</v>
      </c>
      <c r="AG1520" s="164">
        <f>($L1520*'Pivot Objective'!$C$9^6)*AE1520*AF1520</f>
        <v>0</v>
      </c>
      <c r="AH1520" s="166">
        <v>25</v>
      </c>
      <c r="AI1520" s="166">
        <v>4</v>
      </c>
      <c r="AJ1520" s="164">
        <f>($L1520*'Pivot Objective'!$C$9^7)*AH1520*AI1520</f>
        <v>9935239.7708909102</v>
      </c>
      <c r="AK1520" s="185">
        <f t="shared" si="174"/>
        <v>14392632.049190909</v>
      </c>
      <c r="AL1520" s="186">
        <f t="shared" si="175"/>
        <v>13973.429173971756</v>
      </c>
    </row>
    <row r="1521" spans="1:38" customFormat="1" ht="57.6" x14ac:dyDescent="0.3">
      <c r="A1521" s="140" t="s">
        <v>1484</v>
      </c>
      <c r="B1521" s="140">
        <v>3</v>
      </c>
      <c r="C1521" s="166" t="s">
        <v>696</v>
      </c>
      <c r="D1521" s="140" t="str">
        <f t="shared" si="171"/>
        <v>1</v>
      </c>
      <c r="E1521" s="166" t="s">
        <v>689</v>
      </c>
      <c r="F1521" s="140">
        <f t="shared" si="176"/>
        <v>4</v>
      </c>
      <c r="G1521" s="140" t="str">
        <f t="shared" si="172"/>
        <v>3.1.4</v>
      </c>
      <c r="H1521" s="168" t="s">
        <v>1695</v>
      </c>
      <c r="I1521" s="166" t="s">
        <v>16</v>
      </c>
      <c r="J1521" s="166" t="s">
        <v>244</v>
      </c>
      <c r="K1521" s="166" t="s">
        <v>709</v>
      </c>
      <c r="L1521" s="177">
        <v>35000</v>
      </c>
      <c r="M1521" s="140"/>
      <c r="N1521" s="140"/>
      <c r="O1521" s="164">
        <f t="shared" si="173"/>
        <v>0</v>
      </c>
      <c r="P1521" s="166">
        <v>30</v>
      </c>
      <c r="Q1521" s="166">
        <v>3</v>
      </c>
      <c r="R1521" s="164">
        <f>$L1521*'Pivot Objective'!$C$9*P1521*Q1521</f>
        <v>3600201.4555499991</v>
      </c>
      <c r="S1521" s="166"/>
      <c r="T1521" s="166"/>
      <c r="U1521" s="164">
        <f>($L1521*'Pivot Objective'!$C$9^2)*S1521*T1521</f>
        <v>0</v>
      </c>
      <c r="V1521" s="166">
        <v>0</v>
      </c>
      <c r="W1521" s="166">
        <v>0</v>
      </c>
      <c r="X1521" s="164">
        <f>($L1521*'Pivot Objective'!$C$9^3)*V1521*W1521</f>
        <v>0</v>
      </c>
      <c r="Y1521" s="166">
        <v>0</v>
      </c>
      <c r="Z1521" s="166">
        <v>0</v>
      </c>
      <c r="AA1521" s="164">
        <f>($L1521*'Pivot Objective'!$C$9^4)*Y1521*Z1521</f>
        <v>0</v>
      </c>
      <c r="AB1521" s="166">
        <v>0</v>
      </c>
      <c r="AC1521" s="166">
        <v>0</v>
      </c>
      <c r="AD1521" s="164">
        <f>($L1521*'Pivot Objective'!$C$9^5)*AB1521*AC1521</f>
        <v>0</v>
      </c>
      <c r="AE1521" s="166">
        <v>0</v>
      </c>
      <c r="AF1521" s="166">
        <v>0</v>
      </c>
      <c r="AG1521" s="164">
        <f>($L1521*'Pivot Objective'!$C$9^6)*AE1521*AF1521</f>
        <v>0</v>
      </c>
      <c r="AH1521" s="166">
        <v>30</v>
      </c>
      <c r="AI1521" s="166">
        <v>3</v>
      </c>
      <c r="AJ1521" s="164">
        <f>($L1521*'Pivot Objective'!$C$9^7)*AH1521*AI1521</f>
        <v>8024616.7380272746</v>
      </c>
      <c r="AK1521" s="185">
        <f t="shared" si="174"/>
        <v>11624818.193577275</v>
      </c>
      <c r="AL1521" s="186">
        <f t="shared" si="175"/>
        <v>11286.231255900268</v>
      </c>
    </row>
    <row r="1522" spans="1:38" customFormat="1" ht="57.6" x14ac:dyDescent="0.3">
      <c r="A1522" s="140" t="s">
        <v>1484</v>
      </c>
      <c r="B1522" s="140">
        <v>3</v>
      </c>
      <c r="C1522" s="166" t="s">
        <v>696</v>
      </c>
      <c r="D1522" s="140" t="str">
        <f t="shared" ref="D1522:D1585" si="177">RIGHT(A1522,1)</f>
        <v>1</v>
      </c>
      <c r="E1522" s="166" t="s">
        <v>689</v>
      </c>
      <c r="F1522" s="140">
        <f t="shared" si="176"/>
        <v>4</v>
      </c>
      <c r="G1522" s="140" t="str">
        <f t="shared" si="172"/>
        <v>3.1.4</v>
      </c>
      <c r="H1522" s="168" t="s">
        <v>1695</v>
      </c>
      <c r="I1522" s="166" t="s">
        <v>16</v>
      </c>
      <c r="J1522" s="166" t="s">
        <v>244</v>
      </c>
      <c r="K1522" s="166" t="s">
        <v>1299</v>
      </c>
      <c r="L1522" s="177">
        <f>1480/7</f>
        <v>211.42857142857142</v>
      </c>
      <c r="M1522" s="140"/>
      <c r="N1522" s="140"/>
      <c r="O1522" s="164">
        <f t="shared" si="173"/>
        <v>0</v>
      </c>
      <c r="P1522" s="166">
        <f>2*135*10</f>
        <v>2700</v>
      </c>
      <c r="Q1522" s="166">
        <v>1</v>
      </c>
      <c r="R1522" s="164">
        <f>$L1522*'Pivot Objective'!$C$9*P1522*Q1522</f>
        <v>652444.67194457131</v>
      </c>
      <c r="S1522" s="166"/>
      <c r="T1522" s="166"/>
      <c r="U1522" s="164">
        <f>($L1522*'Pivot Objective'!$C$9^2)*S1522*T1522</f>
        <v>0</v>
      </c>
      <c r="V1522" s="166"/>
      <c r="W1522" s="166"/>
      <c r="X1522" s="164">
        <f>($L1522*'Pivot Objective'!$C$9^3)*V1522*W1522</f>
        <v>0</v>
      </c>
      <c r="Y1522" s="166"/>
      <c r="Z1522" s="166"/>
      <c r="AA1522" s="164">
        <f>($L1522*'Pivot Objective'!$C$9^4)*Y1522*Z1522</f>
        <v>0</v>
      </c>
      <c r="AB1522" s="166"/>
      <c r="AC1522" s="166"/>
      <c r="AD1522" s="164">
        <f>($L1522*'Pivot Objective'!$C$9^5)*AB1522*AC1522</f>
        <v>0</v>
      </c>
      <c r="AE1522" s="166"/>
      <c r="AF1522" s="166"/>
      <c r="AG1522" s="164">
        <f>($L1522*'Pivot Objective'!$C$9^6)*AE1522*AF1522</f>
        <v>0</v>
      </c>
      <c r="AH1522" s="166">
        <f>2*135*10</f>
        <v>2700</v>
      </c>
      <c r="AI1522" s="166">
        <v>1</v>
      </c>
      <c r="AJ1522" s="164">
        <f>($L1522*'Pivot Objective'!$C$9^7)*AH1522*AI1522</f>
        <v>1454257.0741567793</v>
      </c>
      <c r="AK1522" s="185">
        <f t="shared" si="174"/>
        <v>2106701.7461013505</v>
      </c>
      <c r="AL1522" s="186">
        <f t="shared" si="175"/>
        <v>2045.3415010692725</v>
      </c>
    </row>
    <row r="1523" spans="1:38" customFormat="1" ht="57.6" x14ac:dyDescent="0.3">
      <c r="A1523" s="140" t="s">
        <v>1484</v>
      </c>
      <c r="B1523" s="140">
        <v>3</v>
      </c>
      <c r="C1523" s="166" t="s">
        <v>696</v>
      </c>
      <c r="D1523" s="140" t="str">
        <f t="shared" si="177"/>
        <v>1</v>
      </c>
      <c r="E1523" s="166" t="s">
        <v>689</v>
      </c>
      <c r="F1523" s="140">
        <f t="shared" si="176"/>
        <v>4</v>
      </c>
      <c r="G1523" s="140" t="str">
        <f t="shared" ref="G1523:G1586" si="178">B1523&amp;"."&amp;D1523&amp;"."&amp;F1523</f>
        <v>3.1.4</v>
      </c>
      <c r="H1523" s="168" t="s">
        <v>1695</v>
      </c>
      <c r="I1523" s="166" t="s">
        <v>16</v>
      </c>
      <c r="J1523" s="166" t="s">
        <v>244</v>
      </c>
      <c r="K1523" s="166" t="s">
        <v>712</v>
      </c>
      <c r="L1523" s="177">
        <f>1480/7</f>
        <v>211.42857142857142</v>
      </c>
      <c r="M1523" s="140"/>
      <c r="N1523" s="140"/>
      <c r="O1523" s="164">
        <f t="shared" si="173"/>
        <v>0</v>
      </c>
      <c r="P1523" s="166">
        <f>25*2*10</f>
        <v>500</v>
      </c>
      <c r="Q1523" s="166">
        <v>3</v>
      </c>
      <c r="R1523" s="164">
        <f>$L1523*'Pivot Objective'!$C$9*P1523*Q1523</f>
        <v>362469.26219142851</v>
      </c>
      <c r="S1523" s="166"/>
      <c r="T1523" s="166"/>
      <c r="U1523" s="164">
        <f>($L1523*'Pivot Objective'!$C$9^2)*S1523*T1523</f>
        <v>0</v>
      </c>
      <c r="V1523" s="166">
        <v>0</v>
      </c>
      <c r="W1523" s="166">
        <v>0</v>
      </c>
      <c r="X1523" s="164">
        <f>($L1523*'Pivot Objective'!$C$9^3)*V1523*W1523</f>
        <v>0</v>
      </c>
      <c r="Y1523" s="166">
        <v>0</v>
      </c>
      <c r="Z1523" s="166">
        <v>0</v>
      </c>
      <c r="AA1523" s="164">
        <f>($L1523*'Pivot Objective'!$C$9^4)*Y1523*Z1523</f>
        <v>0</v>
      </c>
      <c r="AB1523" s="166">
        <v>0</v>
      </c>
      <c r="AC1523" s="166">
        <v>0</v>
      </c>
      <c r="AD1523" s="164">
        <f>($L1523*'Pivot Objective'!$C$9^5)*AB1523*AC1523</f>
        <v>0</v>
      </c>
      <c r="AE1523" s="166">
        <v>0</v>
      </c>
      <c r="AF1523" s="166">
        <v>0</v>
      </c>
      <c r="AG1523" s="164">
        <f>($L1523*'Pivot Objective'!$C$9^6)*AE1523*AF1523</f>
        <v>0</v>
      </c>
      <c r="AH1523" s="166">
        <f>25*2*10</f>
        <v>500</v>
      </c>
      <c r="AI1523" s="166">
        <v>3</v>
      </c>
      <c r="AJ1523" s="164">
        <f>($L1523*'Pivot Objective'!$C$9^7)*AH1523*AI1523</f>
        <v>807920.59675376629</v>
      </c>
      <c r="AK1523" s="185">
        <f t="shared" si="174"/>
        <v>1170389.8589451949</v>
      </c>
      <c r="AL1523" s="186">
        <f t="shared" si="175"/>
        <v>1136.3008339273736</v>
      </c>
    </row>
    <row r="1524" spans="1:38" customFormat="1" ht="43.2" x14ac:dyDescent="0.3">
      <c r="A1524" s="140" t="s">
        <v>1484</v>
      </c>
      <c r="B1524" s="140">
        <v>3</v>
      </c>
      <c r="C1524" s="166" t="s">
        <v>696</v>
      </c>
      <c r="D1524" s="140" t="str">
        <f t="shared" si="177"/>
        <v>1</v>
      </c>
      <c r="E1524" s="166" t="s">
        <v>689</v>
      </c>
      <c r="F1524" s="140">
        <f t="shared" si="176"/>
        <v>4</v>
      </c>
      <c r="G1524" s="140" t="str">
        <f t="shared" si="178"/>
        <v>3.1.4</v>
      </c>
      <c r="H1524" s="168" t="s">
        <v>1695</v>
      </c>
      <c r="I1524" s="166" t="s">
        <v>17</v>
      </c>
      <c r="J1524" s="166" t="s">
        <v>245</v>
      </c>
      <c r="K1524" s="166" t="s">
        <v>716</v>
      </c>
      <c r="L1524" s="177">
        <v>39000</v>
      </c>
      <c r="M1524" s="140"/>
      <c r="N1524" s="140"/>
      <c r="O1524" s="164">
        <f t="shared" si="173"/>
        <v>0</v>
      </c>
      <c r="P1524" s="166">
        <v>58</v>
      </c>
      <c r="Q1524" s="166">
        <v>12</v>
      </c>
      <c r="R1524" s="164">
        <f>$L1524*'Pivot Objective'!$C$9*P1524*Q1524</f>
        <v>31023450.256967995</v>
      </c>
      <c r="S1524" s="166"/>
      <c r="T1524" s="166"/>
      <c r="U1524" s="164">
        <f>($L1524*'Pivot Objective'!$C$9^2)*S1524*T1524</f>
        <v>0</v>
      </c>
      <c r="V1524" s="166"/>
      <c r="W1524" s="166"/>
      <c r="X1524" s="164">
        <f>($L1524*'Pivot Objective'!$C$9^3)*V1524*W1524</f>
        <v>0</v>
      </c>
      <c r="Y1524" s="166"/>
      <c r="Z1524" s="166"/>
      <c r="AA1524" s="164">
        <f>($L1524*'Pivot Objective'!$C$9^4)*Y1524*Z1524</f>
        <v>0</v>
      </c>
      <c r="AB1524" s="166">
        <v>0</v>
      </c>
      <c r="AC1524" s="166">
        <v>0</v>
      </c>
      <c r="AD1524" s="164">
        <f>($L1524*'Pivot Objective'!$C$9^5)*AB1524*AC1524</f>
        <v>0</v>
      </c>
      <c r="AE1524" s="166">
        <v>0</v>
      </c>
      <c r="AF1524" s="166">
        <v>0</v>
      </c>
      <c r="AG1524" s="164">
        <f>($L1524*'Pivot Objective'!$C$9^6)*AE1524*AF1524</f>
        <v>0</v>
      </c>
      <c r="AH1524" s="166">
        <v>58</v>
      </c>
      <c r="AI1524" s="166">
        <v>12</v>
      </c>
      <c r="AJ1524" s="164">
        <f>($L1524*'Pivot Objective'!$C$9^7)*AH1524*AI1524</f>
        <v>69149268.805400729</v>
      </c>
      <c r="AK1524" s="185">
        <f t="shared" si="174"/>
        <v>100172719.06236872</v>
      </c>
      <c r="AL1524" s="186">
        <f t="shared" si="175"/>
        <v>97255.067050843412</v>
      </c>
    </row>
    <row r="1525" spans="1:38" customFormat="1" ht="43.2" x14ac:dyDescent="0.3">
      <c r="A1525" s="140" t="s">
        <v>1484</v>
      </c>
      <c r="B1525" s="140">
        <v>3</v>
      </c>
      <c r="C1525" s="166" t="s">
        <v>696</v>
      </c>
      <c r="D1525" s="140" t="str">
        <f t="shared" si="177"/>
        <v>1</v>
      </c>
      <c r="E1525" s="166" t="s">
        <v>689</v>
      </c>
      <c r="F1525" s="140">
        <f t="shared" si="176"/>
        <v>4</v>
      </c>
      <c r="G1525" s="140" t="str">
        <f t="shared" si="178"/>
        <v>3.1.4</v>
      </c>
      <c r="H1525" s="168" t="s">
        <v>1695</v>
      </c>
      <c r="I1525" s="166" t="s">
        <v>17</v>
      </c>
      <c r="J1525" s="166" t="s">
        <v>245</v>
      </c>
      <c r="K1525" s="166" t="s">
        <v>709</v>
      </c>
      <c r="L1525" s="177">
        <v>35000</v>
      </c>
      <c r="M1525" s="140"/>
      <c r="N1525" s="140"/>
      <c r="O1525" s="164">
        <f t="shared" si="173"/>
        <v>0</v>
      </c>
      <c r="P1525" s="166">
        <v>100</v>
      </c>
      <c r="Q1525" s="166">
        <v>12</v>
      </c>
      <c r="R1525" s="164">
        <f>$L1525*'Pivot Objective'!$C$9*P1525*Q1525</f>
        <v>48002686.073999994</v>
      </c>
      <c r="S1525" s="166"/>
      <c r="T1525" s="166"/>
      <c r="U1525" s="164">
        <f>($L1525*'Pivot Objective'!$C$9^2)*S1525*T1525</f>
        <v>0</v>
      </c>
      <c r="V1525" s="166"/>
      <c r="W1525" s="166"/>
      <c r="X1525" s="164">
        <f>($L1525*'Pivot Objective'!$C$9^3)*V1525*W1525</f>
        <v>0</v>
      </c>
      <c r="Y1525" s="166"/>
      <c r="Z1525" s="166"/>
      <c r="AA1525" s="164">
        <f>($L1525*'Pivot Objective'!$C$9^4)*Y1525*Z1525</f>
        <v>0</v>
      </c>
      <c r="AB1525" s="166">
        <v>0</v>
      </c>
      <c r="AC1525" s="166">
        <v>0</v>
      </c>
      <c r="AD1525" s="164">
        <f>($L1525*'Pivot Objective'!$C$9^5)*AB1525*AC1525</f>
        <v>0</v>
      </c>
      <c r="AE1525" s="166">
        <v>0</v>
      </c>
      <c r="AF1525" s="166">
        <v>0</v>
      </c>
      <c r="AG1525" s="164">
        <f>($L1525*'Pivot Objective'!$C$9^6)*AE1525*AF1525</f>
        <v>0</v>
      </c>
      <c r="AH1525" s="166">
        <v>100</v>
      </c>
      <c r="AI1525" s="166">
        <v>12</v>
      </c>
      <c r="AJ1525" s="164">
        <f>($L1525*'Pivot Objective'!$C$9^7)*AH1525*AI1525</f>
        <v>106994889.84036367</v>
      </c>
      <c r="AK1525" s="185">
        <f t="shared" si="174"/>
        <v>154997575.91436365</v>
      </c>
      <c r="AL1525" s="186">
        <f t="shared" si="175"/>
        <v>150483.08341200356</v>
      </c>
    </row>
    <row r="1526" spans="1:38" customFormat="1" ht="43.2" x14ac:dyDescent="0.3">
      <c r="A1526" s="140" t="s">
        <v>1484</v>
      </c>
      <c r="B1526" s="140">
        <v>3</v>
      </c>
      <c r="C1526" s="166" t="s">
        <v>696</v>
      </c>
      <c r="D1526" s="140" t="str">
        <f t="shared" si="177"/>
        <v>1</v>
      </c>
      <c r="E1526" s="166" t="s">
        <v>689</v>
      </c>
      <c r="F1526" s="140">
        <f t="shared" si="176"/>
        <v>4</v>
      </c>
      <c r="G1526" s="140" t="str">
        <f t="shared" si="178"/>
        <v>3.1.4</v>
      </c>
      <c r="H1526" s="168" t="s">
        <v>1695</v>
      </c>
      <c r="I1526" s="166" t="s">
        <v>17</v>
      </c>
      <c r="J1526" s="166" t="s">
        <v>245</v>
      </c>
      <c r="K1526" s="166" t="s">
        <v>1299</v>
      </c>
      <c r="L1526" s="177">
        <f>1480/7</f>
        <v>211.42857142857142</v>
      </c>
      <c r="M1526" s="140"/>
      <c r="N1526" s="140"/>
      <c r="O1526" s="164">
        <f t="shared" si="173"/>
        <v>0</v>
      </c>
      <c r="P1526" s="166">
        <f>2*135*29</f>
        <v>7830</v>
      </c>
      <c r="Q1526" s="166">
        <v>1</v>
      </c>
      <c r="R1526" s="164">
        <f>$L1526*'Pivot Objective'!$C$9*P1526*Q1526</f>
        <v>1892089.548639257</v>
      </c>
      <c r="S1526" s="166"/>
      <c r="T1526" s="166"/>
      <c r="U1526" s="164">
        <f>($L1526*'Pivot Objective'!$C$9^2)*S1526*T1526</f>
        <v>0</v>
      </c>
      <c r="V1526" s="166"/>
      <c r="W1526" s="166"/>
      <c r="X1526" s="164">
        <f>($L1526*'Pivot Objective'!$C$9^3)*V1526*W1526</f>
        <v>0</v>
      </c>
      <c r="Y1526" s="166"/>
      <c r="Z1526" s="166"/>
      <c r="AA1526" s="164">
        <f>($L1526*'Pivot Objective'!$C$9^4)*Y1526*Z1526</f>
        <v>0</v>
      </c>
      <c r="AB1526" s="166"/>
      <c r="AC1526" s="166"/>
      <c r="AD1526" s="164">
        <f>($L1526*'Pivot Objective'!$C$9^5)*AB1526*AC1526</f>
        <v>0</v>
      </c>
      <c r="AE1526" s="166"/>
      <c r="AF1526" s="166"/>
      <c r="AG1526" s="164">
        <f>($L1526*'Pivot Objective'!$C$9^6)*AE1526*AF1526</f>
        <v>0</v>
      </c>
      <c r="AH1526" s="166">
        <f>2*135*29</f>
        <v>7830</v>
      </c>
      <c r="AI1526" s="166">
        <v>1</v>
      </c>
      <c r="AJ1526" s="164">
        <f>($L1526*'Pivot Objective'!$C$9^7)*AH1526*AI1526</f>
        <v>4217345.5150546599</v>
      </c>
      <c r="AK1526" s="185">
        <f t="shared" si="174"/>
        <v>6109435.0636939164</v>
      </c>
      <c r="AL1526" s="186">
        <f t="shared" si="175"/>
        <v>5931.4903531008895</v>
      </c>
    </row>
    <row r="1527" spans="1:38" customFormat="1" ht="43.2" x14ac:dyDescent="0.3">
      <c r="A1527" s="140" t="s">
        <v>1484</v>
      </c>
      <c r="B1527" s="140">
        <v>3</v>
      </c>
      <c r="C1527" s="166" t="s">
        <v>696</v>
      </c>
      <c r="D1527" s="140" t="str">
        <f t="shared" si="177"/>
        <v>1</v>
      </c>
      <c r="E1527" s="166" t="s">
        <v>689</v>
      </c>
      <c r="F1527" s="140">
        <f t="shared" si="176"/>
        <v>4</v>
      </c>
      <c r="G1527" s="140" t="str">
        <f t="shared" si="178"/>
        <v>3.1.4</v>
      </c>
      <c r="H1527" s="168" t="s">
        <v>1695</v>
      </c>
      <c r="I1527" s="166" t="s">
        <v>17</v>
      </c>
      <c r="J1527" s="166" t="s">
        <v>245</v>
      </c>
      <c r="K1527" s="166" t="s">
        <v>712</v>
      </c>
      <c r="L1527" s="177">
        <f>1480/7</f>
        <v>211.42857142857142</v>
      </c>
      <c r="M1527" s="140"/>
      <c r="N1527" s="140"/>
      <c r="O1527" s="164">
        <f t="shared" si="173"/>
        <v>0</v>
      </c>
      <c r="P1527" s="166">
        <f>25*2*29</f>
        <v>1450</v>
      </c>
      <c r="Q1527" s="166">
        <v>12</v>
      </c>
      <c r="R1527" s="164">
        <f>$L1527*'Pivot Objective'!$C$9*P1527*Q1527</f>
        <v>4204643.4414205709</v>
      </c>
      <c r="S1527" s="166"/>
      <c r="T1527" s="166"/>
      <c r="U1527" s="164">
        <f>($L1527*'Pivot Objective'!$C$9^2)*S1527*T1527</f>
        <v>0</v>
      </c>
      <c r="V1527" s="166"/>
      <c r="W1527" s="166"/>
      <c r="X1527" s="164">
        <f>($L1527*'Pivot Objective'!$C$9^3)*V1527*W1527</f>
        <v>0</v>
      </c>
      <c r="Y1527" s="166"/>
      <c r="Z1527" s="166"/>
      <c r="AA1527" s="164">
        <f>($L1527*'Pivot Objective'!$C$9^4)*Y1527*Z1527</f>
        <v>0</v>
      </c>
      <c r="AB1527" s="166">
        <v>0</v>
      </c>
      <c r="AC1527" s="166">
        <v>0</v>
      </c>
      <c r="AD1527" s="164">
        <f>($L1527*'Pivot Objective'!$C$9^5)*AB1527*AC1527</f>
        <v>0</v>
      </c>
      <c r="AE1527" s="166">
        <v>0</v>
      </c>
      <c r="AF1527" s="166">
        <v>0</v>
      </c>
      <c r="AG1527" s="164">
        <f>($L1527*'Pivot Objective'!$C$9^6)*AE1527*AF1527</f>
        <v>0</v>
      </c>
      <c r="AH1527" s="166">
        <f>25*2*29</f>
        <v>1450</v>
      </c>
      <c r="AI1527" s="166">
        <v>12</v>
      </c>
      <c r="AJ1527" s="164">
        <f>($L1527*'Pivot Objective'!$C$9^7)*AH1527*AI1527</f>
        <v>9371878.9223436899</v>
      </c>
      <c r="AK1527" s="185">
        <f t="shared" si="174"/>
        <v>13576522.36376426</v>
      </c>
      <c r="AL1527" s="186">
        <f t="shared" si="175"/>
        <v>13181.089673557533</v>
      </c>
    </row>
    <row r="1528" spans="1:38" customFormat="1" ht="43.2" x14ac:dyDescent="0.3">
      <c r="A1528" s="140" t="s">
        <v>1484</v>
      </c>
      <c r="B1528" s="140">
        <v>3</v>
      </c>
      <c r="C1528" s="166" t="s">
        <v>696</v>
      </c>
      <c r="D1528" s="140" t="str">
        <f t="shared" si="177"/>
        <v>1</v>
      </c>
      <c r="E1528" s="166" t="s">
        <v>689</v>
      </c>
      <c r="F1528" s="140">
        <f t="shared" si="176"/>
        <v>4</v>
      </c>
      <c r="G1528" s="140" t="str">
        <f t="shared" si="178"/>
        <v>3.1.4</v>
      </c>
      <c r="H1528" s="168" t="s">
        <v>1695</v>
      </c>
      <c r="I1528" s="166" t="s">
        <v>17</v>
      </c>
      <c r="J1528" s="166" t="s">
        <v>246</v>
      </c>
      <c r="K1528" s="166" t="s">
        <v>716</v>
      </c>
      <c r="L1528" s="177">
        <v>39000</v>
      </c>
      <c r="M1528" s="140"/>
      <c r="N1528" s="140"/>
      <c r="O1528" s="164">
        <f t="shared" si="173"/>
        <v>0</v>
      </c>
      <c r="P1528" s="166">
        <v>300</v>
      </c>
      <c r="Q1528" s="166">
        <v>2</v>
      </c>
      <c r="R1528" s="164">
        <f>$L1528*'Pivot Objective'!$C$9*P1528*Q1528</f>
        <v>26744353.669799998</v>
      </c>
      <c r="S1528" s="166"/>
      <c r="T1528" s="166"/>
      <c r="U1528" s="164">
        <f>($L1528*'Pivot Objective'!$C$9^2)*S1528*T1528</f>
        <v>0</v>
      </c>
      <c r="V1528" s="166"/>
      <c r="W1528" s="166"/>
      <c r="X1528" s="164">
        <f>($L1528*'Pivot Objective'!$C$9^3)*V1528*W1528</f>
        <v>0</v>
      </c>
      <c r="Y1528" s="166"/>
      <c r="Z1528" s="166"/>
      <c r="AA1528" s="164">
        <f>($L1528*'Pivot Objective'!$C$9^4)*Y1528*Z1528</f>
        <v>0</v>
      </c>
      <c r="AB1528" s="166">
        <v>0</v>
      </c>
      <c r="AC1528" s="166">
        <v>0</v>
      </c>
      <c r="AD1528" s="164">
        <f>($L1528*'Pivot Objective'!$C$9^5)*AB1528*AC1528</f>
        <v>0</v>
      </c>
      <c r="AE1528" s="166">
        <v>0</v>
      </c>
      <c r="AF1528" s="166">
        <v>0</v>
      </c>
      <c r="AG1528" s="164">
        <f>($L1528*'Pivot Objective'!$C$9^6)*AE1528*AF1528</f>
        <v>0</v>
      </c>
      <c r="AH1528" s="166">
        <v>300</v>
      </c>
      <c r="AI1528" s="166">
        <v>2</v>
      </c>
      <c r="AJ1528" s="164">
        <f>($L1528*'Pivot Objective'!$C$9^7)*AH1528*AI1528</f>
        <v>59611438.625345461</v>
      </c>
      <c r="AK1528" s="185">
        <f t="shared" si="174"/>
        <v>86355792.295145452</v>
      </c>
      <c r="AL1528" s="186">
        <f t="shared" si="175"/>
        <v>83840.57504383054</v>
      </c>
    </row>
    <row r="1529" spans="1:38" customFormat="1" ht="43.2" x14ac:dyDescent="0.3">
      <c r="A1529" s="140" t="s">
        <v>1484</v>
      </c>
      <c r="B1529" s="140">
        <v>3</v>
      </c>
      <c r="C1529" s="166" t="s">
        <v>696</v>
      </c>
      <c r="D1529" s="140" t="str">
        <f t="shared" si="177"/>
        <v>1</v>
      </c>
      <c r="E1529" s="166" t="s">
        <v>689</v>
      </c>
      <c r="F1529" s="140">
        <f t="shared" si="176"/>
        <v>4</v>
      </c>
      <c r="G1529" s="140" t="str">
        <f t="shared" si="178"/>
        <v>3.1.4</v>
      </c>
      <c r="H1529" s="168" t="s">
        <v>1695</v>
      </c>
      <c r="I1529" s="166" t="s">
        <v>17</v>
      </c>
      <c r="J1529" s="166" t="s">
        <v>246</v>
      </c>
      <c r="K1529" s="166" t="s">
        <v>709</v>
      </c>
      <c r="L1529" s="177">
        <v>35000</v>
      </c>
      <c r="M1529" s="140"/>
      <c r="N1529" s="140"/>
      <c r="O1529" s="164">
        <f t="shared" si="173"/>
        <v>0</v>
      </c>
      <c r="P1529" s="166">
        <v>300</v>
      </c>
      <c r="Q1529" s="166">
        <v>2</v>
      </c>
      <c r="R1529" s="164">
        <f>$L1529*'Pivot Objective'!$C$9*P1529*Q1529</f>
        <v>24001343.036999997</v>
      </c>
      <c r="S1529" s="166"/>
      <c r="T1529" s="166"/>
      <c r="U1529" s="164">
        <f>($L1529*'Pivot Objective'!$C$9^2)*S1529*T1529</f>
        <v>0</v>
      </c>
      <c r="V1529" s="166"/>
      <c r="W1529" s="166"/>
      <c r="X1529" s="164">
        <f>($L1529*'Pivot Objective'!$C$9^3)*V1529*W1529</f>
        <v>0</v>
      </c>
      <c r="Y1529" s="166"/>
      <c r="Z1529" s="166"/>
      <c r="AA1529" s="164">
        <f>($L1529*'Pivot Objective'!$C$9^4)*Y1529*Z1529</f>
        <v>0</v>
      </c>
      <c r="AB1529" s="166">
        <v>0</v>
      </c>
      <c r="AC1529" s="166">
        <v>0</v>
      </c>
      <c r="AD1529" s="164">
        <f>($L1529*'Pivot Objective'!$C$9^5)*AB1529*AC1529</f>
        <v>0</v>
      </c>
      <c r="AE1529" s="166">
        <v>0</v>
      </c>
      <c r="AF1529" s="166">
        <v>0</v>
      </c>
      <c r="AG1529" s="164">
        <f>($L1529*'Pivot Objective'!$C$9^6)*AE1529*AF1529</f>
        <v>0</v>
      </c>
      <c r="AH1529" s="166">
        <v>300</v>
      </c>
      <c r="AI1529" s="166">
        <v>2</v>
      </c>
      <c r="AJ1529" s="164">
        <f>($L1529*'Pivot Objective'!$C$9^7)*AH1529*AI1529</f>
        <v>53497444.920181826</v>
      </c>
      <c r="AK1529" s="185">
        <f t="shared" si="174"/>
        <v>77498787.957181826</v>
      </c>
      <c r="AL1529" s="186">
        <f t="shared" si="175"/>
        <v>75241.541706001779</v>
      </c>
    </row>
    <row r="1530" spans="1:38" customFormat="1" ht="43.2" x14ac:dyDescent="0.3">
      <c r="A1530" s="140" t="s">
        <v>1484</v>
      </c>
      <c r="B1530" s="140">
        <v>3</v>
      </c>
      <c r="C1530" s="166" t="s">
        <v>696</v>
      </c>
      <c r="D1530" s="140" t="str">
        <f t="shared" si="177"/>
        <v>1</v>
      </c>
      <c r="E1530" s="166" t="s">
        <v>689</v>
      </c>
      <c r="F1530" s="140">
        <f t="shared" si="176"/>
        <v>4</v>
      </c>
      <c r="G1530" s="140" t="str">
        <f t="shared" si="178"/>
        <v>3.1.4</v>
      </c>
      <c r="H1530" s="168" t="s">
        <v>1695</v>
      </c>
      <c r="I1530" s="166" t="s">
        <v>17</v>
      </c>
      <c r="J1530" s="166" t="s">
        <v>246</v>
      </c>
      <c r="K1530" s="166" t="s">
        <v>712</v>
      </c>
      <c r="L1530" s="177">
        <f>1480/7</f>
        <v>211.42857142857142</v>
      </c>
      <c r="M1530" s="140"/>
      <c r="N1530" s="140"/>
      <c r="O1530" s="164">
        <f t="shared" si="173"/>
        <v>0</v>
      </c>
      <c r="P1530" s="166">
        <f>25*2*75</f>
        <v>3750</v>
      </c>
      <c r="Q1530" s="166">
        <v>2</v>
      </c>
      <c r="R1530" s="164">
        <f>$L1530*'Pivot Objective'!$C$9*P1530*Q1530</f>
        <v>1812346.3109571426</v>
      </c>
      <c r="S1530" s="166"/>
      <c r="T1530" s="166"/>
      <c r="U1530" s="164">
        <f>($L1530*'Pivot Objective'!$C$9^2)*S1530*T1530</f>
        <v>0</v>
      </c>
      <c r="V1530" s="166"/>
      <c r="W1530" s="166"/>
      <c r="X1530" s="164">
        <f>($L1530*'Pivot Objective'!$C$9^3)*V1530*W1530</f>
        <v>0</v>
      </c>
      <c r="Y1530" s="166"/>
      <c r="Z1530" s="166"/>
      <c r="AA1530" s="164">
        <f>($L1530*'Pivot Objective'!$C$9^4)*Y1530*Z1530</f>
        <v>0</v>
      </c>
      <c r="AB1530" s="166">
        <v>0</v>
      </c>
      <c r="AC1530" s="166">
        <v>0</v>
      </c>
      <c r="AD1530" s="164">
        <f>($L1530*'Pivot Objective'!$C$9^5)*AB1530*AC1530</f>
        <v>0</v>
      </c>
      <c r="AE1530" s="166">
        <v>0</v>
      </c>
      <c r="AF1530" s="166">
        <v>0</v>
      </c>
      <c r="AG1530" s="164">
        <f>($L1530*'Pivot Objective'!$C$9^6)*AE1530*AF1530</f>
        <v>0</v>
      </c>
      <c r="AH1530" s="166">
        <f>25*2*75</f>
        <v>3750</v>
      </c>
      <c r="AI1530" s="166">
        <v>2</v>
      </c>
      <c r="AJ1530" s="164">
        <f>($L1530*'Pivot Objective'!$C$9^7)*AH1530*AI1530</f>
        <v>4039602.9837688315</v>
      </c>
      <c r="AK1530" s="185">
        <f t="shared" si="174"/>
        <v>5851949.2947259741</v>
      </c>
      <c r="AL1530" s="186">
        <f t="shared" si="175"/>
        <v>5681.504169636868</v>
      </c>
    </row>
    <row r="1531" spans="1:38" customFormat="1" ht="43.2" x14ac:dyDescent="0.3">
      <c r="A1531" s="140" t="s">
        <v>1484</v>
      </c>
      <c r="B1531" s="140">
        <v>3</v>
      </c>
      <c r="C1531" s="166" t="s">
        <v>696</v>
      </c>
      <c r="D1531" s="140" t="str">
        <f t="shared" si="177"/>
        <v>1</v>
      </c>
      <c r="E1531" s="166" t="s">
        <v>689</v>
      </c>
      <c r="F1531" s="140">
        <f t="shared" si="176"/>
        <v>4</v>
      </c>
      <c r="G1531" s="140" t="str">
        <f t="shared" si="178"/>
        <v>3.1.4</v>
      </c>
      <c r="H1531" s="168" t="s">
        <v>1695</v>
      </c>
      <c r="I1531" s="166" t="s">
        <v>17</v>
      </c>
      <c r="J1531" s="166" t="s">
        <v>245</v>
      </c>
      <c r="K1531" s="166" t="s">
        <v>1299</v>
      </c>
      <c r="L1531" s="177">
        <f>1480/7</f>
        <v>211.42857142857142</v>
      </c>
      <c r="M1531" s="140"/>
      <c r="N1531" s="140"/>
      <c r="O1531" s="164">
        <f t="shared" si="173"/>
        <v>0</v>
      </c>
      <c r="P1531" s="166">
        <f>2*135*75</f>
        <v>20250</v>
      </c>
      <c r="Q1531" s="166">
        <v>1</v>
      </c>
      <c r="R1531" s="164">
        <f>$L1531*'Pivot Objective'!$C$9*P1531*Q1531</f>
        <v>4893335.0395842846</v>
      </c>
      <c r="S1531" s="166"/>
      <c r="T1531" s="166"/>
      <c r="U1531" s="164">
        <f>($L1531*'Pivot Objective'!$C$9^2)*S1531*T1531</f>
        <v>0</v>
      </c>
      <c r="V1531" s="166"/>
      <c r="W1531" s="166"/>
      <c r="X1531" s="164">
        <f>($L1531*'Pivot Objective'!$C$9^3)*V1531*W1531</f>
        <v>0</v>
      </c>
      <c r="Y1531" s="166"/>
      <c r="Z1531" s="166"/>
      <c r="AA1531" s="164">
        <f>($L1531*'Pivot Objective'!$C$9^4)*Y1531*Z1531</f>
        <v>0</v>
      </c>
      <c r="AB1531" s="166"/>
      <c r="AC1531" s="166"/>
      <c r="AD1531" s="164">
        <f>($L1531*'Pivot Objective'!$C$9^5)*AB1531*AC1531</f>
        <v>0</v>
      </c>
      <c r="AE1531" s="166"/>
      <c r="AF1531" s="166"/>
      <c r="AG1531" s="164">
        <f>($L1531*'Pivot Objective'!$C$9^6)*AE1531*AF1531</f>
        <v>0</v>
      </c>
      <c r="AH1531" s="166">
        <f>2*135*75</f>
        <v>20250</v>
      </c>
      <c r="AI1531" s="166">
        <v>1</v>
      </c>
      <c r="AJ1531" s="164">
        <f>($L1531*'Pivot Objective'!$C$9^7)*AH1531*AI1531</f>
        <v>10906928.056175845</v>
      </c>
      <c r="AK1531" s="185">
        <f t="shared" si="174"/>
        <v>15800263.095760129</v>
      </c>
      <c r="AL1531" s="186">
        <f t="shared" si="175"/>
        <v>15340.061258019543</v>
      </c>
    </row>
    <row r="1532" spans="1:38" customFormat="1" ht="43.2" x14ac:dyDescent="0.3">
      <c r="A1532" s="140" t="s">
        <v>1485</v>
      </c>
      <c r="B1532" s="140">
        <v>3</v>
      </c>
      <c r="C1532" s="166" t="s">
        <v>696</v>
      </c>
      <c r="D1532" s="140" t="str">
        <f t="shared" si="177"/>
        <v>2</v>
      </c>
      <c r="E1532" s="166" t="s">
        <v>690</v>
      </c>
      <c r="F1532" s="140">
        <v>1</v>
      </c>
      <c r="G1532" s="140" t="str">
        <f t="shared" si="178"/>
        <v>3.2.1</v>
      </c>
      <c r="H1532" s="166" t="s">
        <v>1696</v>
      </c>
      <c r="I1532" s="166" t="s">
        <v>18</v>
      </c>
      <c r="J1532" s="166" t="s">
        <v>247</v>
      </c>
      <c r="K1532" s="166" t="s">
        <v>709</v>
      </c>
      <c r="L1532" s="166">
        <v>35000</v>
      </c>
      <c r="M1532" s="166">
        <v>30</v>
      </c>
      <c r="N1532" s="166">
        <v>2</v>
      </c>
      <c r="O1532" s="164">
        <f t="shared" si="173"/>
        <v>2100000</v>
      </c>
      <c r="P1532" s="166">
        <v>0</v>
      </c>
      <c r="Q1532" s="166">
        <v>0</v>
      </c>
      <c r="R1532" s="164">
        <f>$L1532*'Pivot Objective'!$C$9*P1532*Q1532</f>
        <v>0</v>
      </c>
      <c r="S1532" s="166">
        <v>0</v>
      </c>
      <c r="T1532" s="166">
        <v>0</v>
      </c>
      <c r="U1532" s="164">
        <f>($L1532*'Pivot Objective'!$C$9^2)*S1532*T1532</f>
        <v>0</v>
      </c>
      <c r="V1532" s="166">
        <v>0</v>
      </c>
      <c r="W1532" s="166">
        <v>0</v>
      </c>
      <c r="X1532" s="164">
        <f>($L1532*'Pivot Objective'!$C$9^3)*V1532*W1532</f>
        <v>0</v>
      </c>
      <c r="Y1532" s="166"/>
      <c r="Z1532" s="166"/>
      <c r="AA1532" s="164">
        <f>($L1532*'Pivot Objective'!$C$9^4)*Y1532*Z1532</f>
        <v>0</v>
      </c>
      <c r="AB1532" s="166">
        <v>30</v>
      </c>
      <c r="AC1532" s="166">
        <v>2</v>
      </c>
      <c r="AD1532" s="164">
        <f>($L1532*'Pivot Objective'!$C$9^5)*AB1532*AC1532</f>
        <v>4095439.7532831929</v>
      </c>
      <c r="AE1532" s="166">
        <v>0</v>
      </c>
      <c r="AF1532" s="166">
        <v>0</v>
      </c>
      <c r="AG1532" s="164">
        <f>($L1532*'Pivot Objective'!$C$9^6)*AE1532*AF1532</f>
        <v>0</v>
      </c>
      <c r="AH1532" s="166">
        <v>0</v>
      </c>
      <c r="AI1532" s="166">
        <v>0</v>
      </c>
      <c r="AJ1532" s="164">
        <f>($L1532*'Pivot Objective'!$C$9^7)*AH1532*AI1532</f>
        <v>0</v>
      </c>
      <c r="AK1532" s="185">
        <f t="shared" si="174"/>
        <v>6195439.7532831933</v>
      </c>
      <c r="AL1532" s="186">
        <f t="shared" si="175"/>
        <v>6014.9900517312553</v>
      </c>
    </row>
    <row r="1533" spans="1:38" customFormat="1" ht="57.6" x14ac:dyDescent="0.3">
      <c r="A1533" s="140" t="s">
        <v>1485</v>
      </c>
      <c r="B1533" s="140">
        <v>3</v>
      </c>
      <c r="C1533" s="166" t="s">
        <v>696</v>
      </c>
      <c r="D1533" s="140" t="str">
        <f t="shared" si="177"/>
        <v>2</v>
      </c>
      <c r="E1533" s="166" t="s">
        <v>690</v>
      </c>
      <c r="F1533" s="140">
        <f t="shared" ref="F1533:F1564" si="179">IF(H1533=H1532,F1532,F1532+1)</f>
        <v>1</v>
      </c>
      <c r="G1533" s="140" t="str">
        <f t="shared" si="178"/>
        <v>3.2.1</v>
      </c>
      <c r="H1533" s="166" t="s">
        <v>1696</v>
      </c>
      <c r="I1533" s="166" t="s">
        <v>19</v>
      </c>
      <c r="J1533" s="166" t="s">
        <v>248</v>
      </c>
      <c r="K1533" s="166" t="s">
        <v>709</v>
      </c>
      <c r="L1533" s="166">
        <v>35000</v>
      </c>
      <c r="M1533" s="166">
        <v>30</v>
      </c>
      <c r="N1533" s="166">
        <v>2</v>
      </c>
      <c r="O1533" s="164">
        <f t="shared" si="173"/>
        <v>2100000</v>
      </c>
      <c r="P1533" s="166">
        <v>0</v>
      </c>
      <c r="Q1533" s="166">
        <v>0</v>
      </c>
      <c r="R1533" s="164">
        <f>$L1533*'Pivot Objective'!$C$9*P1533*Q1533</f>
        <v>0</v>
      </c>
      <c r="S1533" s="166">
        <v>0</v>
      </c>
      <c r="T1533" s="166">
        <v>0</v>
      </c>
      <c r="U1533" s="164">
        <f>($L1533*'Pivot Objective'!$C$9^2)*S1533*T1533</f>
        <v>0</v>
      </c>
      <c r="V1533" s="166">
        <v>0</v>
      </c>
      <c r="W1533" s="166">
        <v>0</v>
      </c>
      <c r="X1533" s="164">
        <f>($L1533*'Pivot Objective'!$C$9^3)*V1533*W1533</f>
        <v>0</v>
      </c>
      <c r="Y1533" s="166"/>
      <c r="Z1533" s="166"/>
      <c r="AA1533" s="164">
        <f>($L1533*'Pivot Objective'!$C$9^4)*Y1533*Z1533</f>
        <v>0</v>
      </c>
      <c r="AB1533" s="166">
        <v>30</v>
      </c>
      <c r="AC1533" s="166">
        <v>2</v>
      </c>
      <c r="AD1533" s="164">
        <f>($L1533*'Pivot Objective'!$C$9^5)*AB1533*AC1533</f>
        <v>4095439.7532831929</v>
      </c>
      <c r="AE1533" s="166">
        <v>0</v>
      </c>
      <c r="AF1533" s="166">
        <v>0</v>
      </c>
      <c r="AG1533" s="164">
        <f>($L1533*'Pivot Objective'!$C$9^6)*AE1533*AF1533</f>
        <v>0</v>
      </c>
      <c r="AH1533" s="166">
        <v>0</v>
      </c>
      <c r="AI1533" s="166">
        <v>0</v>
      </c>
      <c r="AJ1533" s="164">
        <f>($L1533*'Pivot Objective'!$C$9^7)*AH1533*AI1533</f>
        <v>0</v>
      </c>
      <c r="AK1533" s="185">
        <f t="shared" si="174"/>
        <v>6195439.7532831933</v>
      </c>
      <c r="AL1533" s="186">
        <f t="shared" si="175"/>
        <v>6014.9900517312553</v>
      </c>
    </row>
    <row r="1534" spans="1:38" customFormat="1" ht="43.2" x14ac:dyDescent="0.3">
      <c r="A1534" s="140" t="s">
        <v>1485</v>
      </c>
      <c r="B1534" s="140">
        <v>3</v>
      </c>
      <c r="C1534" s="166" t="s">
        <v>696</v>
      </c>
      <c r="D1534" s="140" t="str">
        <f t="shared" si="177"/>
        <v>2</v>
      </c>
      <c r="E1534" s="166" t="s">
        <v>690</v>
      </c>
      <c r="F1534" s="140">
        <f t="shared" si="179"/>
        <v>1</v>
      </c>
      <c r="G1534" s="140" t="str">
        <f t="shared" si="178"/>
        <v>3.2.1</v>
      </c>
      <c r="H1534" s="166" t="s">
        <v>1696</v>
      </c>
      <c r="I1534" s="166" t="s">
        <v>20</v>
      </c>
      <c r="J1534" s="166" t="s">
        <v>727</v>
      </c>
      <c r="K1534" s="166" t="s">
        <v>709</v>
      </c>
      <c r="L1534" s="166">
        <v>35000</v>
      </c>
      <c r="M1534" s="166">
        <v>100</v>
      </c>
      <c r="N1534" s="166">
        <v>1</v>
      </c>
      <c r="O1534" s="164">
        <f t="shared" si="173"/>
        <v>3500000</v>
      </c>
      <c r="P1534" s="166">
        <v>0</v>
      </c>
      <c r="Q1534" s="166">
        <v>0</v>
      </c>
      <c r="R1534" s="164">
        <f>$L1534*'Pivot Objective'!$C$9*P1534*Q1534</f>
        <v>0</v>
      </c>
      <c r="S1534" s="166">
        <v>0</v>
      </c>
      <c r="T1534" s="166">
        <v>0</v>
      </c>
      <c r="U1534" s="164">
        <f>($L1534*'Pivot Objective'!$C$9^2)*S1534*T1534</f>
        <v>0</v>
      </c>
      <c r="V1534" s="166">
        <v>0</v>
      </c>
      <c r="W1534" s="166">
        <v>0</v>
      </c>
      <c r="X1534" s="164">
        <f>($L1534*'Pivot Objective'!$C$9^3)*V1534*W1534</f>
        <v>0</v>
      </c>
      <c r="Y1534" s="166"/>
      <c r="Z1534" s="166"/>
      <c r="AA1534" s="164">
        <f>($L1534*'Pivot Objective'!$C$9^4)*Y1534*Z1534</f>
        <v>0</v>
      </c>
      <c r="AB1534" s="166">
        <v>100</v>
      </c>
      <c r="AC1534" s="166">
        <v>1</v>
      </c>
      <c r="AD1534" s="164">
        <f>($L1534*'Pivot Objective'!$C$9^5)*AB1534*AC1534</f>
        <v>6825732.9221386546</v>
      </c>
      <c r="AE1534" s="166">
        <v>0</v>
      </c>
      <c r="AF1534" s="166">
        <v>0</v>
      </c>
      <c r="AG1534" s="164">
        <f>($L1534*'Pivot Objective'!$C$9^6)*AE1534*AF1534</f>
        <v>0</v>
      </c>
      <c r="AH1534" s="166">
        <v>0</v>
      </c>
      <c r="AI1534" s="166">
        <v>0</v>
      </c>
      <c r="AJ1534" s="164">
        <f>($L1534*'Pivot Objective'!$C$9^7)*AH1534*AI1534</f>
        <v>0</v>
      </c>
      <c r="AK1534" s="185">
        <f t="shared" si="174"/>
        <v>10325732.922138654</v>
      </c>
      <c r="AL1534" s="186">
        <f t="shared" si="175"/>
        <v>10024.983419552091</v>
      </c>
    </row>
    <row r="1535" spans="1:38" customFormat="1" ht="43.2" x14ac:dyDescent="0.3">
      <c r="A1535" s="140" t="s">
        <v>1485</v>
      </c>
      <c r="B1535" s="140">
        <v>3</v>
      </c>
      <c r="C1535" s="166" t="s">
        <v>696</v>
      </c>
      <c r="D1535" s="140" t="str">
        <f t="shared" si="177"/>
        <v>2</v>
      </c>
      <c r="E1535" s="166" t="s">
        <v>690</v>
      </c>
      <c r="F1535" s="140">
        <f t="shared" si="179"/>
        <v>1</v>
      </c>
      <c r="G1535" s="140" t="str">
        <f t="shared" si="178"/>
        <v>3.2.1</v>
      </c>
      <c r="H1535" s="166" t="s">
        <v>1696</v>
      </c>
      <c r="I1535" s="166" t="s">
        <v>20</v>
      </c>
      <c r="J1535" s="166" t="s">
        <v>727</v>
      </c>
      <c r="K1535" s="166" t="s">
        <v>712</v>
      </c>
      <c r="L1535" s="166">
        <f>1480/7</f>
        <v>211.42857142857142</v>
      </c>
      <c r="M1535" s="166">
        <f>25*2*9</f>
        <v>450</v>
      </c>
      <c r="N1535" s="166">
        <v>1</v>
      </c>
      <c r="O1535" s="164">
        <f t="shared" si="173"/>
        <v>95142.85714285713</v>
      </c>
      <c r="P1535" s="166">
        <v>0</v>
      </c>
      <c r="Q1535" s="166">
        <v>0</v>
      </c>
      <c r="R1535" s="164">
        <f>$L1535*'Pivot Objective'!$C$9*P1535*Q1535</f>
        <v>0</v>
      </c>
      <c r="S1535" s="166">
        <v>0</v>
      </c>
      <c r="T1535" s="166">
        <v>0</v>
      </c>
      <c r="U1535" s="164">
        <f>($L1535*'Pivot Objective'!$C$9^2)*S1535*T1535</f>
        <v>0</v>
      </c>
      <c r="V1535" s="166">
        <v>0</v>
      </c>
      <c r="W1535" s="166">
        <v>0</v>
      </c>
      <c r="X1535" s="164">
        <f>($L1535*'Pivot Objective'!$C$9^3)*V1535*W1535</f>
        <v>0</v>
      </c>
      <c r="Y1535" s="166"/>
      <c r="Z1535" s="166"/>
      <c r="AA1535" s="164">
        <f>($L1535*'Pivot Objective'!$C$9^4)*Y1535*Z1535</f>
        <v>0</v>
      </c>
      <c r="AB1535" s="166">
        <f>25*2*9</f>
        <v>450</v>
      </c>
      <c r="AC1535" s="166">
        <v>1</v>
      </c>
      <c r="AD1535" s="164">
        <f>($L1535*'Pivot Objective'!$C$9^5)*AB1535*AC1535</f>
        <v>185548.49494466712</v>
      </c>
      <c r="AE1535" s="166">
        <v>0</v>
      </c>
      <c r="AF1535" s="166">
        <v>0</v>
      </c>
      <c r="AG1535" s="164">
        <f>($L1535*'Pivot Objective'!$C$9^6)*AE1535*AF1535</f>
        <v>0</v>
      </c>
      <c r="AH1535" s="166">
        <v>0</v>
      </c>
      <c r="AI1535" s="166">
        <v>0</v>
      </c>
      <c r="AJ1535" s="164">
        <f>($L1535*'Pivot Objective'!$C$9^7)*AH1535*AI1535</f>
        <v>0</v>
      </c>
      <c r="AK1535" s="185">
        <f t="shared" si="174"/>
        <v>280691.35208752425</v>
      </c>
      <c r="AL1535" s="186">
        <f t="shared" si="175"/>
        <v>272.51587581313032</v>
      </c>
    </row>
    <row r="1536" spans="1:38" customFormat="1" ht="43.2" x14ac:dyDescent="0.3">
      <c r="A1536" s="140" t="s">
        <v>1485</v>
      </c>
      <c r="B1536" s="140">
        <v>3</v>
      </c>
      <c r="C1536" s="166" t="s">
        <v>696</v>
      </c>
      <c r="D1536" s="140" t="str">
        <f t="shared" si="177"/>
        <v>2</v>
      </c>
      <c r="E1536" s="166" t="s">
        <v>690</v>
      </c>
      <c r="F1536" s="140">
        <f t="shared" si="179"/>
        <v>1</v>
      </c>
      <c r="G1536" s="140" t="str">
        <f t="shared" si="178"/>
        <v>3.2.1</v>
      </c>
      <c r="H1536" s="166" t="s">
        <v>1696</v>
      </c>
      <c r="I1536" s="166" t="s">
        <v>20</v>
      </c>
      <c r="J1536" s="166" t="s">
        <v>727</v>
      </c>
      <c r="K1536" s="166" t="s">
        <v>1336</v>
      </c>
      <c r="L1536" s="166">
        <f>1480/7</f>
        <v>211.42857142857142</v>
      </c>
      <c r="M1536" s="166">
        <f>2*135*9</f>
        <v>2430</v>
      </c>
      <c r="N1536" s="166">
        <v>1</v>
      </c>
      <c r="O1536" s="164">
        <f t="shared" si="173"/>
        <v>513771.42857142852</v>
      </c>
      <c r="P1536" s="166"/>
      <c r="Q1536" s="166"/>
      <c r="R1536" s="164">
        <f>$L1536*'Pivot Objective'!$C$9*P1536*Q1536</f>
        <v>0</v>
      </c>
      <c r="S1536" s="166"/>
      <c r="T1536" s="166"/>
      <c r="U1536" s="164">
        <f>($L1536*'Pivot Objective'!$C$9^2)*S1536*T1536</f>
        <v>0</v>
      </c>
      <c r="V1536" s="166"/>
      <c r="W1536" s="166"/>
      <c r="X1536" s="164">
        <f>($L1536*'Pivot Objective'!$C$9^3)*V1536*W1536</f>
        <v>0</v>
      </c>
      <c r="Y1536" s="166"/>
      <c r="Z1536" s="166"/>
      <c r="AA1536" s="164">
        <f>($L1536*'Pivot Objective'!$C$9^4)*Y1536*Z1536</f>
        <v>0</v>
      </c>
      <c r="AB1536" s="166">
        <f>2*135*9</f>
        <v>2430</v>
      </c>
      <c r="AC1536" s="166">
        <v>1</v>
      </c>
      <c r="AD1536" s="164">
        <f>($L1536*'Pivot Objective'!$C$9^5)*AB1536*AC1536</f>
        <v>1001961.8727012025</v>
      </c>
      <c r="AE1536" s="166"/>
      <c r="AF1536" s="166"/>
      <c r="AG1536" s="164">
        <f>($L1536*'Pivot Objective'!$C$9^6)*AE1536*AF1536</f>
        <v>0</v>
      </c>
      <c r="AH1536" s="166"/>
      <c r="AI1536" s="166"/>
      <c r="AJ1536" s="164">
        <f>($L1536*'Pivot Objective'!$C$9^7)*AH1536*AI1536</f>
        <v>0</v>
      </c>
      <c r="AK1536" s="185">
        <f t="shared" si="174"/>
        <v>1515733.3012726312</v>
      </c>
      <c r="AL1536" s="186">
        <f t="shared" si="175"/>
        <v>1471.5857293909041</v>
      </c>
    </row>
    <row r="1537" spans="1:38" customFormat="1" ht="43.2" x14ac:dyDescent="0.3">
      <c r="A1537" s="140" t="s">
        <v>1485</v>
      </c>
      <c r="B1537" s="140">
        <v>3</v>
      </c>
      <c r="C1537" s="166" t="s">
        <v>696</v>
      </c>
      <c r="D1537" s="140" t="str">
        <f t="shared" si="177"/>
        <v>2</v>
      </c>
      <c r="E1537" s="166" t="s">
        <v>690</v>
      </c>
      <c r="F1537" s="140">
        <f t="shared" si="179"/>
        <v>1</v>
      </c>
      <c r="G1537" s="140" t="str">
        <f t="shared" si="178"/>
        <v>3.2.1</v>
      </c>
      <c r="H1537" s="166" t="s">
        <v>1696</v>
      </c>
      <c r="I1537" s="166" t="s">
        <v>20</v>
      </c>
      <c r="J1537" s="166" t="s">
        <v>727</v>
      </c>
      <c r="K1537" s="166" t="s">
        <v>716</v>
      </c>
      <c r="L1537" s="166">
        <v>39000</v>
      </c>
      <c r="M1537" s="166">
        <v>58</v>
      </c>
      <c r="N1537" s="166">
        <v>1</v>
      </c>
      <c r="O1537" s="164">
        <f t="shared" si="173"/>
        <v>2262000</v>
      </c>
      <c r="P1537" s="166">
        <v>0</v>
      </c>
      <c r="Q1537" s="166">
        <v>0</v>
      </c>
      <c r="R1537" s="164">
        <f>$L1537*'Pivot Objective'!$C$9*P1537*Q1537</f>
        <v>0</v>
      </c>
      <c r="S1537" s="166">
        <v>0</v>
      </c>
      <c r="T1537" s="166">
        <v>0</v>
      </c>
      <c r="U1537" s="164">
        <f>($L1537*'Pivot Objective'!$C$9^2)*S1537*T1537</f>
        <v>0</v>
      </c>
      <c r="V1537" s="166">
        <v>0</v>
      </c>
      <c r="W1537" s="166">
        <v>0</v>
      </c>
      <c r="X1537" s="164">
        <f>($L1537*'Pivot Objective'!$C$9^3)*V1537*W1537</f>
        <v>0</v>
      </c>
      <c r="Y1537" s="166"/>
      <c r="Z1537" s="166"/>
      <c r="AA1537" s="164">
        <f>($L1537*'Pivot Objective'!$C$9^4)*Y1537*Z1537</f>
        <v>0</v>
      </c>
      <c r="AB1537" s="166">
        <v>58</v>
      </c>
      <c r="AC1537" s="166">
        <v>1</v>
      </c>
      <c r="AD1537" s="164">
        <f>($L1537*'Pivot Objective'!$C$9^5)*AB1537*AC1537</f>
        <v>4411373.6771078967</v>
      </c>
      <c r="AE1537" s="166">
        <v>0</v>
      </c>
      <c r="AF1537" s="166">
        <v>0</v>
      </c>
      <c r="AG1537" s="164">
        <f>($L1537*'Pivot Objective'!$C$9^6)*AE1537*AF1537</f>
        <v>0</v>
      </c>
      <c r="AH1537" s="166">
        <v>0</v>
      </c>
      <c r="AI1537" s="166">
        <v>0</v>
      </c>
      <c r="AJ1537" s="164">
        <f>($L1537*'Pivot Objective'!$C$9^7)*AH1537*AI1537</f>
        <v>0</v>
      </c>
      <c r="AK1537" s="185">
        <f t="shared" si="174"/>
        <v>6673373.6771078967</v>
      </c>
      <c r="AL1537" s="186">
        <f t="shared" si="175"/>
        <v>6479.0035700076669</v>
      </c>
    </row>
    <row r="1538" spans="1:38" customFormat="1" ht="43.2" x14ac:dyDescent="0.3">
      <c r="A1538" s="140" t="s">
        <v>1485</v>
      </c>
      <c r="B1538" s="140">
        <v>3</v>
      </c>
      <c r="C1538" s="166" t="s">
        <v>696</v>
      </c>
      <c r="D1538" s="140" t="str">
        <f t="shared" si="177"/>
        <v>2</v>
      </c>
      <c r="E1538" s="166" t="s">
        <v>690</v>
      </c>
      <c r="F1538" s="140">
        <f t="shared" si="179"/>
        <v>1</v>
      </c>
      <c r="G1538" s="140" t="str">
        <f t="shared" si="178"/>
        <v>3.2.1</v>
      </c>
      <c r="H1538" s="166" t="s">
        <v>1696</v>
      </c>
      <c r="I1538" s="166" t="s">
        <v>21</v>
      </c>
      <c r="J1538" s="166" t="s">
        <v>728</v>
      </c>
      <c r="K1538" s="166" t="s">
        <v>709</v>
      </c>
      <c r="L1538" s="166">
        <v>35000</v>
      </c>
      <c r="M1538" s="166">
        <v>30</v>
      </c>
      <c r="N1538" s="168">
        <v>1</v>
      </c>
      <c r="O1538" s="164">
        <f t="shared" si="173"/>
        <v>1050000</v>
      </c>
      <c r="P1538" s="166">
        <v>0</v>
      </c>
      <c r="Q1538" s="166">
        <v>0</v>
      </c>
      <c r="R1538" s="164">
        <f>$L1538*'Pivot Objective'!$C$9*P1538*Q1538</f>
        <v>0</v>
      </c>
      <c r="S1538" s="166">
        <v>0</v>
      </c>
      <c r="T1538" s="166">
        <v>0</v>
      </c>
      <c r="U1538" s="164">
        <f>($L1538*'Pivot Objective'!$C$9^2)*S1538*T1538</f>
        <v>0</v>
      </c>
      <c r="V1538" s="166">
        <v>0</v>
      </c>
      <c r="W1538" s="166">
        <v>0</v>
      </c>
      <c r="X1538" s="164">
        <f>($L1538*'Pivot Objective'!$C$9^3)*V1538*W1538</f>
        <v>0</v>
      </c>
      <c r="Y1538" s="166"/>
      <c r="Z1538" s="166"/>
      <c r="AA1538" s="164">
        <f>($L1538*'Pivot Objective'!$C$9^4)*Y1538*Z1538</f>
        <v>0</v>
      </c>
      <c r="AB1538" s="166">
        <v>30</v>
      </c>
      <c r="AC1538" s="168">
        <v>1</v>
      </c>
      <c r="AD1538" s="164">
        <f>($L1538*'Pivot Objective'!$C$9^5)*AB1538*AC1538</f>
        <v>2047719.8766415964</v>
      </c>
      <c r="AE1538" s="166">
        <v>0</v>
      </c>
      <c r="AF1538" s="166">
        <v>0</v>
      </c>
      <c r="AG1538" s="164">
        <f>($L1538*'Pivot Objective'!$C$9^6)*AE1538*AF1538</f>
        <v>0</v>
      </c>
      <c r="AH1538" s="166">
        <v>0</v>
      </c>
      <c r="AI1538" s="166">
        <v>0</v>
      </c>
      <c r="AJ1538" s="164">
        <f>($L1538*'Pivot Objective'!$C$9^7)*AH1538*AI1538</f>
        <v>0</v>
      </c>
      <c r="AK1538" s="185">
        <f t="shared" si="174"/>
        <v>3097719.8766415967</v>
      </c>
      <c r="AL1538" s="186">
        <f t="shared" si="175"/>
        <v>3007.4950258656277</v>
      </c>
    </row>
    <row r="1539" spans="1:38" customFormat="1" ht="43.2" x14ac:dyDescent="0.3">
      <c r="A1539" s="140" t="s">
        <v>1485</v>
      </c>
      <c r="B1539" s="140">
        <v>3</v>
      </c>
      <c r="C1539" s="166" t="s">
        <v>696</v>
      </c>
      <c r="D1539" s="140" t="str">
        <f t="shared" si="177"/>
        <v>2</v>
      </c>
      <c r="E1539" s="166" t="s">
        <v>690</v>
      </c>
      <c r="F1539" s="140">
        <f t="shared" si="179"/>
        <v>1</v>
      </c>
      <c r="G1539" s="140" t="str">
        <f t="shared" si="178"/>
        <v>3.2.1</v>
      </c>
      <c r="H1539" s="166" t="s">
        <v>1696</v>
      </c>
      <c r="I1539" s="166" t="s">
        <v>22</v>
      </c>
      <c r="J1539" s="166" t="s">
        <v>251</v>
      </c>
      <c r="K1539" s="166" t="s">
        <v>709</v>
      </c>
      <c r="L1539" s="166">
        <v>35000</v>
      </c>
      <c r="M1539" s="166">
        <v>15</v>
      </c>
      <c r="N1539" s="166">
        <v>4</v>
      </c>
      <c r="O1539" s="164">
        <f t="shared" ref="O1539:O1602" si="180">$L1539*M1539*N1539</f>
        <v>2100000</v>
      </c>
      <c r="P1539" s="166">
        <v>15</v>
      </c>
      <c r="Q1539" s="166">
        <v>4</v>
      </c>
      <c r="R1539" s="164">
        <f>$L1539*'Pivot Objective'!$C$9*P1539*Q1539</f>
        <v>2400134.3036999996</v>
      </c>
      <c r="S1539" s="166">
        <v>15</v>
      </c>
      <c r="T1539" s="166">
        <v>4</v>
      </c>
      <c r="U1539" s="164">
        <f>($L1539*'Pivot Objective'!$C$9^2)*S1539*T1539</f>
        <v>2743164.1313321344</v>
      </c>
      <c r="V1539" s="166">
        <v>15</v>
      </c>
      <c r="W1539" s="166">
        <v>4</v>
      </c>
      <c r="X1539" s="164">
        <f>($L1539*'Pivot Objective'!$C$9^3)*V1539*W1539</f>
        <v>3135220.1582331755</v>
      </c>
      <c r="Y1539" s="166">
        <v>15</v>
      </c>
      <c r="Z1539" s="166">
        <v>4</v>
      </c>
      <c r="AA1539" s="164">
        <f>($L1539*'Pivot Objective'!$C$9^4)*Y1539*Z1539</f>
        <v>3583309.2625843743</v>
      </c>
      <c r="AB1539" s="166">
        <v>15</v>
      </c>
      <c r="AC1539" s="166">
        <v>4</v>
      </c>
      <c r="AD1539" s="164">
        <f>($L1539*'Pivot Objective'!$C$9^5)*AB1539*AC1539</f>
        <v>4095439.7532831929</v>
      </c>
      <c r="AE1539" s="166">
        <v>15</v>
      </c>
      <c r="AF1539" s="166">
        <v>4</v>
      </c>
      <c r="AG1539" s="164">
        <f>($L1539*'Pivot Objective'!$C$9^6)*AE1539*AF1539</f>
        <v>4680764.4955198364</v>
      </c>
      <c r="AH1539" s="166">
        <v>15</v>
      </c>
      <c r="AI1539" s="166">
        <v>4</v>
      </c>
      <c r="AJ1539" s="164">
        <f>($L1539*'Pivot Objective'!$C$9^7)*AH1539*AI1539</f>
        <v>5349744.4920181828</v>
      </c>
      <c r="AK1539" s="185">
        <f t="shared" ref="AK1539:AK1602" si="181">O1539+R1539+U1539+X1539+AA1539+AD1539+AG1539+AJ1539</f>
        <v>28087776.596670892</v>
      </c>
      <c r="AL1539" s="186">
        <f t="shared" ref="AL1539:AL1602" si="182">AK1539/$AP$2</f>
        <v>27269.686016185333</v>
      </c>
    </row>
    <row r="1540" spans="1:38" customFormat="1" ht="43.2" x14ac:dyDescent="0.3">
      <c r="A1540" s="140" t="s">
        <v>1485</v>
      </c>
      <c r="B1540" s="140">
        <v>3</v>
      </c>
      <c r="C1540" s="166" t="s">
        <v>696</v>
      </c>
      <c r="D1540" s="140" t="str">
        <f t="shared" si="177"/>
        <v>2</v>
      </c>
      <c r="E1540" s="166" t="s">
        <v>690</v>
      </c>
      <c r="F1540" s="140">
        <f t="shared" si="179"/>
        <v>1</v>
      </c>
      <c r="G1540" s="140" t="str">
        <f t="shared" si="178"/>
        <v>3.2.1</v>
      </c>
      <c r="H1540" s="166" t="s">
        <v>1696</v>
      </c>
      <c r="I1540" s="166" t="s">
        <v>22</v>
      </c>
      <c r="J1540" s="166" t="s">
        <v>251</v>
      </c>
      <c r="K1540" s="166" t="s">
        <v>716</v>
      </c>
      <c r="L1540" s="166">
        <v>39000</v>
      </c>
      <c r="M1540" s="166">
        <v>15</v>
      </c>
      <c r="N1540" s="166">
        <v>12</v>
      </c>
      <c r="O1540" s="164">
        <f t="shared" si="180"/>
        <v>7020000</v>
      </c>
      <c r="P1540" s="166">
        <v>15</v>
      </c>
      <c r="Q1540" s="166">
        <v>12</v>
      </c>
      <c r="R1540" s="164">
        <f>$L1540*'Pivot Objective'!$C$9*P1540*Q1540</f>
        <v>8023306.1009399984</v>
      </c>
      <c r="S1540" s="166">
        <v>15</v>
      </c>
      <c r="T1540" s="166">
        <v>12</v>
      </c>
      <c r="U1540" s="164">
        <f>($L1540*'Pivot Objective'!$C$9^2)*S1540*T1540</f>
        <v>9170005.8104531355</v>
      </c>
      <c r="V1540" s="166">
        <v>15</v>
      </c>
      <c r="W1540" s="166">
        <v>12</v>
      </c>
      <c r="X1540" s="164">
        <f>($L1540*'Pivot Objective'!$C$9^3)*V1540*W1540</f>
        <v>10480593.100379471</v>
      </c>
      <c r="Y1540" s="166">
        <v>15</v>
      </c>
      <c r="Z1540" s="166">
        <v>12</v>
      </c>
      <c r="AA1540" s="164">
        <f>($L1540*'Pivot Objective'!$C$9^4)*Y1540*Z1540</f>
        <v>11978490.963496335</v>
      </c>
      <c r="AB1540" s="166">
        <v>15</v>
      </c>
      <c r="AC1540" s="166">
        <v>12</v>
      </c>
      <c r="AD1540" s="164">
        <f>($L1540*'Pivot Objective'!$C$9^5)*AB1540*AC1540</f>
        <v>13690470.032403817</v>
      </c>
      <c r="AE1540" s="166">
        <v>15</v>
      </c>
      <c r="AF1540" s="166">
        <v>12</v>
      </c>
      <c r="AG1540" s="164">
        <f>($L1540*'Pivot Objective'!$C$9^6)*AE1540*AF1540</f>
        <v>15647127.027880596</v>
      </c>
      <c r="AH1540" s="166">
        <v>15</v>
      </c>
      <c r="AI1540" s="166">
        <v>12</v>
      </c>
      <c r="AJ1540" s="164">
        <f>($L1540*'Pivot Objective'!$C$9^7)*AH1540*AI1540</f>
        <v>17883431.58760364</v>
      </c>
      <c r="AK1540" s="185">
        <f t="shared" si="181"/>
        <v>93893424.623156995</v>
      </c>
      <c r="AL1540" s="186">
        <f t="shared" si="182"/>
        <v>91158.664682676696</v>
      </c>
    </row>
    <row r="1541" spans="1:38" customFormat="1" ht="43.2" x14ac:dyDescent="0.3">
      <c r="A1541" s="140" t="s">
        <v>1485</v>
      </c>
      <c r="B1541" s="140">
        <v>3</v>
      </c>
      <c r="C1541" s="166" t="s">
        <v>696</v>
      </c>
      <c r="D1541" s="140" t="str">
        <f t="shared" si="177"/>
        <v>2</v>
      </c>
      <c r="E1541" s="166" t="s">
        <v>690</v>
      </c>
      <c r="F1541" s="140">
        <f t="shared" si="179"/>
        <v>1</v>
      </c>
      <c r="G1541" s="140" t="str">
        <f t="shared" si="178"/>
        <v>3.2.1</v>
      </c>
      <c r="H1541" s="166" t="s">
        <v>1696</v>
      </c>
      <c r="I1541" s="166" t="s">
        <v>22</v>
      </c>
      <c r="J1541" s="166" t="s">
        <v>251</v>
      </c>
      <c r="K1541" s="166" t="s">
        <v>712</v>
      </c>
      <c r="L1541" s="166">
        <f>1480/7</f>
        <v>211.42857142857142</v>
      </c>
      <c r="M1541" s="166">
        <v>4000</v>
      </c>
      <c r="N1541" s="166">
        <v>4</v>
      </c>
      <c r="O1541" s="164">
        <f t="shared" si="180"/>
        <v>3382857.1428571427</v>
      </c>
      <c r="P1541" s="166">
        <v>4000</v>
      </c>
      <c r="Q1541" s="166">
        <v>4</v>
      </c>
      <c r="R1541" s="164">
        <f>$L1541*'Pivot Objective'!$C$9*P1541*Q1541</f>
        <v>3866338.7967085708</v>
      </c>
      <c r="S1541" s="166">
        <v>4000</v>
      </c>
      <c r="T1541" s="166">
        <v>4</v>
      </c>
      <c r="U1541" s="164">
        <f>($L1541*'Pivot Objective'!$C$9^2)*S1541*T1541</f>
        <v>4418920.17890782</v>
      </c>
      <c r="V1541" s="166">
        <v>4000</v>
      </c>
      <c r="W1541" s="166">
        <v>4</v>
      </c>
      <c r="X1541" s="164">
        <f>($L1541*'Pivot Objective'!$C$9^3)*V1541*W1541</f>
        <v>5050477.0984327607</v>
      </c>
      <c r="Y1541" s="166">
        <v>4000</v>
      </c>
      <c r="Z1541" s="166">
        <v>4</v>
      </c>
      <c r="AA1541" s="164">
        <f>($L1541*'Pivot Objective'!$C$9^4)*Y1541*Z1541</f>
        <v>5772296.8257141476</v>
      </c>
      <c r="AB1541" s="166">
        <v>4000</v>
      </c>
      <c r="AC1541" s="166">
        <v>4</v>
      </c>
      <c r="AD1541" s="164">
        <f>($L1541*'Pivot Objective'!$C$9^5)*AB1541*AC1541</f>
        <v>6597279.8202548306</v>
      </c>
      <c r="AE1541" s="166">
        <v>4000</v>
      </c>
      <c r="AF1541" s="166">
        <v>4</v>
      </c>
      <c r="AG1541" s="164">
        <f>($L1541*'Pivot Objective'!$C$9^6)*AE1541*AF1541</f>
        <v>7540170.289381614</v>
      </c>
      <c r="AH1541" s="166">
        <v>4000</v>
      </c>
      <c r="AI1541" s="166">
        <v>4</v>
      </c>
      <c r="AJ1541" s="164">
        <f>($L1541*'Pivot Objective'!$C$9^7)*AH1541*AI1541</f>
        <v>8617819.6987068411</v>
      </c>
      <c r="AK1541" s="185">
        <f t="shared" si="181"/>
        <v>45246159.850963734</v>
      </c>
      <c r="AL1541" s="186">
        <f t="shared" si="182"/>
        <v>43928.310534916243</v>
      </c>
    </row>
    <row r="1542" spans="1:38" customFormat="1" ht="43.2" x14ac:dyDescent="0.3">
      <c r="A1542" s="140" t="s">
        <v>1485</v>
      </c>
      <c r="B1542" s="140">
        <v>3</v>
      </c>
      <c r="C1542" s="166" t="s">
        <v>696</v>
      </c>
      <c r="D1542" s="140" t="str">
        <f t="shared" si="177"/>
        <v>2</v>
      </c>
      <c r="E1542" s="166" t="s">
        <v>690</v>
      </c>
      <c r="F1542" s="140">
        <f t="shared" si="179"/>
        <v>1</v>
      </c>
      <c r="G1542" s="140" t="str">
        <f t="shared" si="178"/>
        <v>3.2.1</v>
      </c>
      <c r="H1542" s="166" t="s">
        <v>1696</v>
      </c>
      <c r="I1542" s="166" t="s">
        <v>22</v>
      </c>
      <c r="J1542" s="166" t="s">
        <v>251</v>
      </c>
      <c r="K1542" s="166" t="s">
        <v>1336</v>
      </c>
      <c r="L1542" s="166">
        <f>1480/7</f>
        <v>211.42857142857142</v>
      </c>
      <c r="M1542" s="166">
        <f>2*135*9</f>
        <v>2430</v>
      </c>
      <c r="N1542" s="166">
        <v>4</v>
      </c>
      <c r="O1542" s="164">
        <f t="shared" si="180"/>
        <v>2055085.7142857141</v>
      </c>
      <c r="P1542" s="166">
        <f>2*135*9</f>
        <v>2430</v>
      </c>
      <c r="Q1542" s="166">
        <v>4</v>
      </c>
      <c r="R1542" s="164">
        <f>$L1542*'Pivot Objective'!$C$9*P1542*Q1542</f>
        <v>2348800.8190004569</v>
      </c>
      <c r="S1542" s="166">
        <f>2*135*9</f>
        <v>2430</v>
      </c>
      <c r="T1542" s="166">
        <v>4</v>
      </c>
      <c r="U1542" s="164">
        <f>($L1542*'Pivot Objective'!$C$9^2)*S1542*T1542</f>
        <v>2684494.0086865006</v>
      </c>
      <c r="V1542" s="166">
        <f>2*135*9</f>
        <v>2430</v>
      </c>
      <c r="W1542" s="166">
        <v>4</v>
      </c>
      <c r="X1542" s="164">
        <f>($L1542*'Pivot Objective'!$C$9^3)*V1542*W1542</f>
        <v>3068164.837297902</v>
      </c>
      <c r="Y1542" s="166">
        <f>2*135*9</f>
        <v>2430</v>
      </c>
      <c r="Z1542" s="166">
        <v>4</v>
      </c>
      <c r="AA1542" s="164">
        <f>($L1542*'Pivot Objective'!$C$9^4)*Y1542*Z1542</f>
        <v>3506670.3216213444</v>
      </c>
      <c r="AB1542" s="166">
        <f>2*135*9</f>
        <v>2430</v>
      </c>
      <c r="AC1542" s="166">
        <v>4</v>
      </c>
      <c r="AD1542" s="164">
        <f>($L1542*'Pivot Objective'!$C$9^5)*AB1542*AC1542</f>
        <v>4007847.4908048101</v>
      </c>
      <c r="AE1542" s="166">
        <f>2*135*9</f>
        <v>2430</v>
      </c>
      <c r="AF1542" s="166">
        <v>4</v>
      </c>
      <c r="AG1542" s="164">
        <f>($L1542*'Pivot Objective'!$C$9^6)*AE1542*AF1542</f>
        <v>4580653.4507993301</v>
      </c>
      <c r="AH1542" s="166">
        <f>2*135*9</f>
        <v>2430</v>
      </c>
      <c r="AI1542" s="166">
        <v>4</v>
      </c>
      <c r="AJ1542" s="164">
        <f>($L1542*'Pivot Objective'!$C$9^7)*AH1542*AI1542</f>
        <v>5235325.466964406</v>
      </c>
      <c r="AK1542" s="185">
        <f t="shared" si="181"/>
        <v>27487042.109460466</v>
      </c>
      <c r="AL1542" s="186">
        <f t="shared" si="182"/>
        <v>26686.448649961618</v>
      </c>
    </row>
    <row r="1543" spans="1:38" customFormat="1" ht="43.2" x14ac:dyDescent="0.3">
      <c r="A1543" s="140" t="s">
        <v>1485</v>
      </c>
      <c r="B1543" s="140">
        <v>3</v>
      </c>
      <c r="C1543" s="166" t="s">
        <v>696</v>
      </c>
      <c r="D1543" s="140" t="str">
        <f t="shared" si="177"/>
        <v>2</v>
      </c>
      <c r="E1543" s="166" t="s">
        <v>690</v>
      </c>
      <c r="F1543" s="140">
        <f t="shared" si="179"/>
        <v>1</v>
      </c>
      <c r="G1543" s="140" t="str">
        <f t="shared" si="178"/>
        <v>3.2.1</v>
      </c>
      <c r="H1543" s="166" t="s">
        <v>1696</v>
      </c>
      <c r="I1543" s="166" t="s">
        <v>22</v>
      </c>
      <c r="J1543" s="166" t="s">
        <v>252</v>
      </c>
      <c r="K1543" s="166" t="s">
        <v>716</v>
      </c>
      <c r="L1543" s="166">
        <v>39000</v>
      </c>
      <c r="M1543" s="166">
        <v>50</v>
      </c>
      <c r="N1543" s="166">
        <v>3</v>
      </c>
      <c r="O1543" s="164">
        <f t="shared" si="180"/>
        <v>5850000</v>
      </c>
      <c r="P1543" s="166">
        <v>50</v>
      </c>
      <c r="Q1543" s="166">
        <v>3</v>
      </c>
      <c r="R1543" s="164">
        <f>$L1543*'Pivot Objective'!$C$9*P1543*Q1543</f>
        <v>6686088.4174499996</v>
      </c>
      <c r="S1543" s="166">
        <v>50</v>
      </c>
      <c r="T1543" s="166">
        <v>3</v>
      </c>
      <c r="U1543" s="164">
        <f>($L1543*'Pivot Objective'!$C$9^2)*S1543*T1543</f>
        <v>7641671.5087109469</v>
      </c>
      <c r="V1543" s="166">
        <v>50</v>
      </c>
      <c r="W1543" s="166">
        <v>3</v>
      </c>
      <c r="X1543" s="164">
        <f>($L1543*'Pivot Objective'!$C$9^3)*V1543*W1543</f>
        <v>8733827.5836495608</v>
      </c>
      <c r="Y1543" s="166">
        <v>50</v>
      </c>
      <c r="Z1543" s="166">
        <v>3</v>
      </c>
      <c r="AA1543" s="164">
        <f>($L1543*'Pivot Objective'!$C$9^4)*Y1543*Z1543</f>
        <v>9982075.8029136136</v>
      </c>
      <c r="AB1543" s="166">
        <v>50</v>
      </c>
      <c r="AC1543" s="166">
        <v>3</v>
      </c>
      <c r="AD1543" s="164">
        <f>($L1543*'Pivot Objective'!$C$9^5)*AB1543*AC1543</f>
        <v>11408725.027003182</v>
      </c>
      <c r="AE1543" s="166">
        <v>50</v>
      </c>
      <c r="AF1543" s="166">
        <v>3</v>
      </c>
      <c r="AG1543" s="164">
        <f>($L1543*'Pivot Objective'!$C$9^6)*AE1543*AF1543</f>
        <v>13039272.523233831</v>
      </c>
      <c r="AH1543" s="166">
        <v>50</v>
      </c>
      <c r="AI1543" s="166">
        <v>3</v>
      </c>
      <c r="AJ1543" s="164">
        <f>($L1543*'Pivot Objective'!$C$9^7)*AH1543*AI1543</f>
        <v>14902859.656336365</v>
      </c>
      <c r="AK1543" s="185">
        <f t="shared" si="181"/>
        <v>78244520.519297495</v>
      </c>
      <c r="AL1543" s="186">
        <f t="shared" si="182"/>
        <v>75965.553902230575</v>
      </c>
    </row>
    <row r="1544" spans="1:38" customFormat="1" ht="43.2" x14ac:dyDescent="0.3">
      <c r="A1544" s="140" t="s">
        <v>1485</v>
      </c>
      <c r="B1544" s="140">
        <v>3</v>
      </c>
      <c r="C1544" s="166" t="s">
        <v>696</v>
      </c>
      <c r="D1544" s="140" t="str">
        <f t="shared" si="177"/>
        <v>2</v>
      </c>
      <c r="E1544" s="166" t="s">
        <v>690</v>
      </c>
      <c r="F1544" s="140">
        <f t="shared" si="179"/>
        <v>1</v>
      </c>
      <c r="G1544" s="140" t="str">
        <f t="shared" si="178"/>
        <v>3.2.1</v>
      </c>
      <c r="H1544" s="166" t="s">
        <v>1696</v>
      </c>
      <c r="I1544" s="166" t="s">
        <v>22</v>
      </c>
      <c r="J1544" s="166" t="s">
        <v>252</v>
      </c>
      <c r="K1544" s="166" t="s">
        <v>712</v>
      </c>
      <c r="L1544" s="166">
        <f>1480/7</f>
        <v>211.42857142857142</v>
      </c>
      <c r="M1544" s="166">
        <f>2*25*10</f>
        <v>500</v>
      </c>
      <c r="N1544" s="166">
        <v>1</v>
      </c>
      <c r="O1544" s="164">
        <f t="shared" si="180"/>
        <v>105714.28571428571</v>
      </c>
      <c r="P1544" s="166">
        <f>2*25*10</f>
        <v>500</v>
      </c>
      <c r="Q1544" s="166">
        <v>1</v>
      </c>
      <c r="R1544" s="164">
        <f>$L1544*'Pivot Objective'!$C$9*P1544*Q1544</f>
        <v>120823.08739714284</v>
      </c>
      <c r="S1544" s="166">
        <f>2*25*10</f>
        <v>500</v>
      </c>
      <c r="T1544" s="166">
        <v>1</v>
      </c>
      <c r="U1544" s="164">
        <f>($L1544*'Pivot Objective'!$C$9^2)*S1544*T1544</f>
        <v>138091.25559086938</v>
      </c>
      <c r="V1544" s="166">
        <f>2*25*10</f>
        <v>500</v>
      </c>
      <c r="W1544" s="166">
        <v>1</v>
      </c>
      <c r="X1544" s="164">
        <f>($L1544*'Pivot Objective'!$C$9^3)*V1544*W1544</f>
        <v>157827.40932602377</v>
      </c>
      <c r="Y1544" s="166">
        <f>2*25*10</f>
        <v>500</v>
      </c>
      <c r="Z1544" s="166">
        <v>1</v>
      </c>
      <c r="AA1544" s="164">
        <f>($L1544*'Pivot Objective'!$C$9^4)*Y1544*Z1544</f>
        <v>180384.27580356711</v>
      </c>
      <c r="AB1544" s="166">
        <f>2*25*10</f>
        <v>500</v>
      </c>
      <c r="AC1544" s="166">
        <v>1</v>
      </c>
      <c r="AD1544" s="164">
        <f>($L1544*'Pivot Objective'!$C$9^5)*AB1544*AC1544</f>
        <v>206164.99438296346</v>
      </c>
      <c r="AE1544" s="166">
        <f>2*25*10</f>
        <v>500</v>
      </c>
      <c r="AF1544" s="166">
        <v>1</v>
      </c>
      <c r="AG1544" s="164">
        <f>($L1544*'Pivot Objective'!$C$9^6)*AE1544*AF1544</f>
        <v>235630.32154317544</v>
      </c>
      <c r="AH1544" s="166">
        <f>2*25*10</f>
        <v>500</v>
      </c>
      <c r="AI1544" s="166">
        <v>1</v>
      </c>
      <c r="AJ1544" s="164">
        <f>($L1544*'Pivot Objective'!$C$9^7)*AH1544*AI1544</f>
        <v>269306.86558458878</v>
      </c>
      <c r="AK1544" s="185">
        <f t="shared" si="181"/>
        <v>1413942.4953426167</v>
      </c>
      <c r="AL1544" s="186">
        <f t="shared" si="182"/>
        <v>1372.7597042161326</v>
      </c>
    </row>
    <row r="1545" spans="1:38" customFormat="1" ht="43.2" x14ac:dyDescent="0.3">
      <c r="A1545" s="140" t="s">
        <v>1485</v>
      </c>
      <c r="B1545" s="140">
        <v>3</v>
      </c>
      <c r="C1545" s="166" t="s">
        <v>696</v>
      </c>
      <c r="D1545" s="140" t="str">
        <f t="shared" si="177"/>
        <v>2</v>
      </c>
      <c r="E1545" s="166" t="s">
        <v>690</v>
      </c>
      <c r="F1545" s="140">
        <f t="shared" si="179"/>
        <v>1</v>
      </c>
      <c r="G1545" s="140" t="str">
        <f t="shared" si="178"/>
        <v>3.2.1</v>
      </c>
      <c r="H1545" s="166" t="s">
        <v>1696</v>
      </c>
      <c r="I1545" s="166" t="s">
        <v>22</v>
      </c>
      <c r="J1545" s="166" t="s">
        <v>252</v>
      </c>
      <c r="K1545" s="166" t="s">
        <v>1336</v>
      </c>
      <c r="L1545" s="166">
        <f>1480/7</f>
        <v>211.42857142857142</v>
      </c>
      <c r="M1545" s="166">
        <f>2*135*10</f>
        <v>2700</v>
      </c>
      <c r="N1545" s="166">
        <v>1</v>
      </c>
      <c r="O1545" s="164">
        <f t="shared" si="180"/>
        <v>570857.14285714284</v>
      </c>
      <c r="P1545" s="166">
        <f>2*135*10</f>
        <v>2700</v>
      </c>
      <c r="Q1545" s="166">
        <v>1</v>
      </c>
      <c r="R1545" s="164">
        <f>$L1545*'Pivot Objective'!$C$9*P1545*Q1545</f>
        <v>652444.67194457131</v>
      </c>
      <c r="S1545" s="166">
        <f>2*135*10</f>
        <v>2700</v>
      </c>
      <c r="T1545" s="166">
        <v>1</v>
      </c>
      <c r="U1545" s="164">
        <f>($L1545*'Pivot Objective'!$C$9^2)*S1545*T1545</f>
        <v>745692.78019069461</v>
      </c>
      <c r="V1545" s="166">
        <f>2*135*10</f>
        <v>2700</v>
      </c>
      <c r="W1545" s="166">
        <v>1</v>
      </c>
      <c r="X1545" s="164">
        <f>($L1545*'Pivot Objective'!$C$9^3)*V1545*W1545</f>
        <v>852268.01036052837</v>
      </c>
      <c r="Y1545" s="166">
        <f>2*135*10</f>
        <v>2700</v>
      </c>
      <c r="Z1545" s="166">
        <v>1</v>
      </c>
      <c r="AA1545" s="164">
        <f>($L1545*'Pivot Objective'!$C$9^4)*Y1545*Z1545</f>
        <v>974075.08933926234</v>
      </c>
      <c r="AB1545" s="166">
        <f>2*135*10</f>
        <v>2700</v>
      </c>
      <c r="AC1545" s="166">
        <v>1</v>
      </c>
      <c r="AD1545" s="164">
        <f>($L1545*'Pivot Objective'!$C$9^5)*AB1545*AC1545</f>
        <v>1113290.9696680028</v>
      </c>
      <c r="AE1545" s="166">
        <f>2*135*10</f>
        <v>2700</v>
      </c>
      <c r="AF1545" s="166">
        <v>1</v>
      </c>
      <c r="AG1545" s="164">
        <f>($L1545*'Pivot Objective'!$C$9^6)*AE1545*AF1545</f>
        <v>1272403.7363331474</v>
      </c>
      <c r="AH1545" s="166">
        <f>2*135*10</f>
        <v>2700</v>
      </c>
      <c r="AI1545" s="166">
        <v>1</v>
      </c>
      <c r="AJ1545" s="164">
        <f>($L1545*'Pivot Objective'!$C$9^7)*AH1545*AI1545</f>
        <v>1454257.0741567793</v>
      </c>
      <c r="AK1545" s="185">
        <f t="shared" si="181"/>
        <v>7635289.4748501293</v>
      </c>
      <c r="AL1545" s="186">
        <f t="shared" si="182"/>
        <v>7412.9024027671157</v>
      </c>
    </row>
    <row r="1546" spans="1:38" customFormat="1" ht="43.2" x14ac:dyDescent="0.3">
      <c r="A1546" s="140" t="s">
        <v>1485</v>
      </c>
      <c r="B1546" s="140">
        <v>3</v>
      </c>
      <c r="C1546" s="166" t="s">
        <v>696</v>
      </c>
      <c r="D1546" s="140" t="str">
        <f t="shared" si="177"/>
        <v>2</v>
      </c>
      <c r="E1546" s="166" t="s">
        <v>690</v>
      </c>
      <c r="F1546" s="140">
        <f t="shared" si="179"/>
        <v>1</v>
      </c>
      <c r="G1546" s="140" t="str">
        <f t="shared" si="178"/>
        <v>3.2.1</v>
      </c>
      <c r="H1546" s="166" t="s">
        <v>1696</v>
      </c>
      <c r="I1546" s="166" t="s">
        <v>22</v>
      </c>
      <c r="J1546" s="166" t="s">
        <v>252</v>
      </c>
      <c r="K1546" s="166" t="s">
        <v>709</v>
      </c>
      <c r="L1546" s="166">
        <v>35000</v>
      </c>
      <c r="M1546" s="166">
        <v>50</v>
      </c>
      <c r="N1546" s="166">
        <v>3</v>
      </c>
      <c r="O1546" s="164">
        <f t="shared" si="180"/>
        <v>5250000</v>
      </c>
      <c r="P1546" s="166">
        <v>50</v>
      </c>
      <c r="Q1546" s="166">
        <v>3</v>
      </c>
      <c r="R1546" s="164">
        <f>$L1546*'Pivot Objective'!$C$9*P1546*Q1546</f>
        <v>6000335.7592499992</v>
      </c>
      <c r="S1546" s="166">
        <v>50</v>
      </c>
      <c r="T1546" s="166">
        <v>3</v>
      </c>
      <c r="U1546" s="164">
        <f>($L1546*'Pivot Objective'!$C$9^2)*S1546*T1546</f>
        <v>6857910.3283303371</v>
      </c>
      <c r="V1546" s="166">
        <v>50</v>
      </c>
      <c r="W1546" s="166">
        <v>3</v>
      </c>
      <c r="X1546" s="164">
        <f>($L1546*'Pivot Objective'!$C$9^3)*V1546*W1546</f>
        <v>7838050.3955829386</v>
      </c>
      <c r="Y1546" s="166">
        <v>50</v>
      </c>
      <c r="Z1546" s="166">
        <v>3</v>
      </c>
      <c r="AA1546" s="164">
        <f>($L1546*'Pivot Objective'!$C$9^4)*Y1546*Z1546</f>
        <v>8958273.1564609352</v>
      </c>
      <c r="AB1546" s="166">
        <v>50</v>
      </c>
      <c r="AC1546" s="166">
        <v>3</v>
      </c>
      <c r="AD1546" s="164">
        <f>($L1546*'Pivot Objective'!$C$9^5)*AB1546*AC1546</f>
        <v>10238599.383207982</v>
      </c>
      <c r="AE1546" s="166">
        <v>50</v>
      </c>
      <c r="AF1546" s="166">
        <v>3</v>
      </c>
      <c r="AG1546" s="164">
        <f>($L1546*'Pivot Objective'!$C$9^6)*AE1546*AF1546</f>
        <v>11701911.238799591</v>
      </c>
      <c r="AH1546" s="166">
        <v>50</v>
      </c>
      <c r="AI1546" s="166">
        <v>3</v>
      </c>
      <c r="AJ1546" s="164">
        <f>($L1546*'Pivot Objective'!$C$9^7)*AH1546*AI1546</f>
        <v>13374361.230045458</v>
      </c>
      <c r="AK1546" s="185">
        <f t="shared" si="181"/>
        <v>70219441.49167724</v>
      </c>
      <c r="AL1546" s="186">
        <f t="shared" si="182"/>
        <v>68174.215040463343</v>
      </c>
    </row>
    <row r="1547" spans="1:38" customFormat="1" ht="43.2" x14ac:dyDescent="0.3">
      <c r="A1547" s="140" t="s">
        <v>1485</v>
      </c>
      <c r="B1547" s="140">
        <v>3</v>
      </c>
      <c r="C1547" s="166" t="s">
        <v>696</v>
      </c>
      <c r="D1547" s="140" t="str">
        <f t="shared" si="177"/>
        <v>2</v>
      </c>
      <c r="E1547" s="166" t="s">
        <v>690</v>
      </c>
      <c r="F1547" s="140">
        <f t="shared" si="179"/>
        <v>2</v>
      </c>
      <c r="G1547" s="140" t="str">
        <f t="shared" si="178"/>
        <v>3.2.2</v>
      </c>
      <c r="H1547" s="166" t="s">
        <v>1717</v>
      </c>
      <c r="I1547" s="166" t="s">
        <v>23</v>
      </c>
      <c r="J1547" s="166" t="s">
        <v>253</v>
      </c>
      <c r="K1547" s="166" t="s">
        <v>718</v>
      </c>
      <c r="L1547" s="166">
        <v>0</v>
      </c>
      <c r="M1547" s="140"/>
      <c r="N1547" s="140"/>
      <c r="O1547" s="164">
        <f t="shared" si="180"/>
        <v>0</v>
      </c>
      <c r="P1547" s="166">
        <v>0</v>
      </c>
      <c r="Q1547" s="166">
        <v>0</v>
      </c>
      <c r="R1547" s="164">
        <f>$L1547*'Pivot Objective'!$C$9*P1547*Q1547</f>
        <v>0</v>
      </c>
      <c r="S1547" s="166">
        <v>0</v>
      </c>
      <c r="T1547" s="166">
        <v>0</v>
      </c>
      <c r="U1547" s="164">
        <f>($L1547*'Pivot Objective'!$C$9^2)*S1547*T1547</f>
        <v>0</v>
      </c>
      <c r="V1547" s="166">
        <v>0</v>
      </c>
      <c r="W1547" s="166">
        <v>0</v>
      </c>
      <c r="X1547" s="164">
        <f>($L1547*'Pivot Objective'!$C$9^3)*V1547*W1547</f>
        <v>0</v>
      </c>
      <c r="Y1547" s="166">
        <v>0</v>
      </c>
      <c r="Z1547" s="166">
        <v>0</v>
      </c>
      <c r="AA1547" s="164">
        <f>($L1547*'Pivot Objective'!$C$9^4)*Y1547*Z1547</f>
        <v>0</v>
      </c>
      <c r="AB1547" s="166">
        <v>0</v>
      </c>
      <c r="AC1547" s="166">
        <v>0</v>
      </c>
      <c r="AD1547" s="164">
        <f>($L1547*'Pivot Objective'!$C$9^5)*AB1547*AC1547</f>
        <v>0</v>
      </c>
      <c r="AE1547" s="166">
        <v>0</v>
      </c>
      <c r="AF1547" s="166">
        <v>0</v>
      </c>
      <c r="AG1547" s="164">
        <f>($L1547*'Pivot Objective'!$C$9^6)*AE1547*AF1547</f>
        <v>0</v>
      </c>
      <c r="AH1547" s="166">
        <v>0</v>
      </c>
      <c r="AI1547" s="166">
        <v>0</v>
      </c>
      <c r="AJ1547" s="164">
        <f>($L1547*'Pivot Objective'!$C$9^7)*AH1547*AI1547</f>
        <v>0</v>
      </c>
      <c r="AK1547" s="185">
        <f t="shared" si="181"/>
        <v>0</v>
      </c>
      <c r="AL1547" s="186">
        <f t="shared" si="182"/>
        <v>0</v>
      </c>
    </row>
    <row r="1548" spans="1:38" customFormat="1" ht="43.2" x14ac:dyDescent="0.3">
      <c r="A1548" s="140" t="s">
        <v>1485</v>
      </c>
      <c r="B1548" s="140">
        <v>3</v>
      </c>
      <c r="C1548" s="166" t="s">
        <v>696</v>
      </c>
      <c r="D1548" s="140" t="str">
        <f t="shared" si="177"/>
        <v>2</v>
      </c>
      <c r="E1548" s="166" t="s">
        <v>690</v>
      </c>
      <c r="F1548" s="140">
        <f t="shared" si="179"/>
        <v>2</v>
      </c>
      <c r="G1548" s="140" t="str">
        <f t="shared" si="178"/>
        <v>3.2.2</v>
      </c>
      <c r="H1548" s="166" t="s">
        <v>1717</v>
      </c>
      <c r="I1548" s="166" t="s">
        <v>23</v>
      </c>
      <c r="J1548" s="166" t="s">
        <v>214</v>
      </c>
      <c r="K1548" s="166" t="s">
        <v>718</v>
      </c>
      <c r="L1548" s="166">
        <v>0</v>
      </c>
      <c r="M1548" s="140"/>
      <c r="N1548" s="140"/>
      <c r="O1548" s="164">
        <f t="shared" si="180"/>
        <v>0</v>
      </c>
      <c r="P1548" s="166">
        <v>0</v>
      </c>
      <c r="Q1548" s="166">
        <v>0</v>
      </c>
      <c r="R1548" s="164">
        <f>$L1548*'Pivot Objective'!$C$9*P1548*Q1548</f>
        <v>0</v>
      </c>
      <c r="S1548" s="166">
        <v>0</v>
      </c>
      <c r="T1548" s="166">
        <v>0</v>
      </c>
      <c r="U1548" s="164">
        <f>($L1548*'Pivot Objective'!$C$9^2)*S1548*T1548</f>
        <v>0</v>
      </c>
      <c r="V1548" s="166">
        <v>0</v>
      </c>
      <c r="W1548" s="166">
        <v>0</v>
      </c>
      <c r="X1548" s="164">
        <f>($L1548*'Pivot Objective'!$C$9^3)*V1548*W1548</f>
        <v>0</v>
      </c>
      <c r="Y1548" s="166">
        <v>0</v>
      </c>
      <c r="Z1548" s="166">
        <v>0</v>
      </c>
      <c r="AA1548" s="164">
        <f>($L1548*'Pivot Objective'!$C$9^4)*Y1548*Z1548</f>
        <v>0</v>
      </c>
      <c r="AB1548" s="166">
        <v>0</v>
      </c>
      <c r="AC1548" s="166">
        <v>0</v>
      </c>
      <c r="AD1548" s="164">
        <f>($L1548*'Pivot Objective'!$C$9^5)*AB1548*AC1548</f>
        <v>0</v>
      </c>
      <c r="AE1548" s="166">
        <v>0</v>
      </c>
      <c r="AF1548" s="166">
        <v>0</v>
      </c>
      <c r="AG1548" s="164">
        <f>($L1548*'Pivot Objective'!$C$9^6)*AE1548*AF1548</f>
        <v>0</v>
      </c>
      <c r="AH1548" s="166">
        <v>0</v>
      </c>
      <c r="AI1548" s="166">
        <v>0</v>
      </c>
      <c r="AJ1548" s="164">
        <f>($L1548*'Pivot Objective'!$C$9^7)*AH1548*AI1548</f>
        <v>0</v>
      </c>
      <c r="AK1548" s="185">
        <f t="shared" si="181"/>
        <v>0</v>
      </c>
      <c r="AL1548" s="186">
        <f t="shared" si="182"/>
        <v>0</v>
      </c>
    </row>
    <row r="1549" spans="1:38" customFormat="1" ht="43.2" x14ac:dyDescent="0.3">
      <c r="A1549" s="140" t="s">
        <v>1485</v>
      </c>
      <c r="B1549" s="140">
        <v>3</v>
      </c>
      <c r="C1549" s="166" t="s">
        <v>696</v>
      </c>
      <c r="D1549" s="140" t="str">
        <f t="shared" si="177"/>
        <v>2</v>
      </c>
      <c r="E1549" s="166" t="s">
        <v>690</v>
      </c>
      <c r="F1549" s="140">
        <f t="shared" si="179"/>
        <v>2</v>
      </c>
      <c r="G1549" s="140" t="str">
        <f t="shared" si="178"/>
        <v>3.2.2</v>
      </c>
      <c r="H1549" s="166" t="s">
        <v>1717</v>
      </c>
      <c r="I1549" s="166" t="s">
        <v>23</v>
      </c>
      <c r="J1549" s="166" t="s">
        <v>254</v>
      </c>
      <c r="K1549" s="166" t="s">
        <v>716</v>
      </c>
      <c r="L1549" s="166">
        <v>39000</v>
      </c>
      <c r="M1549" s="140"/>
      <c r="N1549" s="140"/>
      <c r="O1549" s="164">
        <f t="shared" si="180"/>
        <v>0</v>
      </c>
      <c r="P1549" s="166">
        <v>20</v>
      </c>
      <c r="Q1549" s="166">
        <v>3</v>
      </c>
      <c r="R1549" s="164">
        <f>$L1549*'Pivot Objective'!$C$9*P1549*Q1549</f>
        <v>2674435.3669799995</v>
      </c>
      <c r="S1549" s="166">
        <v>0</v>
      </c>
      <c r="T1549" s="166">
        <v>0</v>
      </c>
      <c r="U1549" s="164">
        <f>($L1549*'Pivot Objective'!$C$9^2)*S1549*T1549</f>
        <v>0</v>
      </c>
      <c r="V1549" s="166">
        <v>0</v>
      </c>
      <c r="W1549" s="166">
        <v>0</v>
      </c>
      <c r="X1549" s="164">
        <f>($L1549*'Pivot Objective'!$C$9^3)*V1549*W1549</f>
        <v>0</v>
      </c>
      <c r="Y1549" s="166">
        <v>0</v>
      </c>
      <c r="Z1549" s="166">
        <v>0</v>
      </c>
      <c r="AA1549" s="164">
        <f>($L1549*'Pivot Objective'!$C$9^4)*Y1549*Z1549</f>
        <v>0</v>
      </c>
      <c r="AB1549" s="166">
        <v>0</v>
      </c>
      <c r="AC1549" s="166">
        <v>0</v>
      </c>
      <c r="AD1549" s="164">
        <f>($L1549*'Pivot Objective'!$C$9^5)*AB1549*AC1549</f>
        <v>0</v>
      </c>
      <c r="AE1549" s="166">
        <v>20</v>
      </c>
      <c r="AF1549" s="166">
        <v>3</v>
      </c>
      <c r="AG1549" s="164">
        <f>($L1549*'Pivot Objective'!$C$9^6)*AE1549*AF1549</f>
        <v>5215709.009293532</v>
      </c>
      <c r="AH1549" s="166">
        <v>0</v>
      </c>
      <c r="AI1549" s="166">
        <v>0</v>
      </c>
      <c r="AJ1549" s="164">
        <f>($L1549*'Pivot Objective'!$C$9^7)*AH1549*AI1549</f>
        <v>0</v>
      </c>
      <c r="AK1549" s="185">
        <f t="shared" si="181"/>
        <v>7890144.3762735315</v>
      </c>
      <c r="AL1549" s="186">
        <f t="shared" si="182"/>
        <v>7660.3343458966328</v>
      </c>
    </row>
    <row r="1550" spans="1:38" customFormat="1" ht="43.2" x14ac:dyDescent="0.3">
      <c r="A1550" s="140" t="s">
        <v>1485</v>
      </c>
      <c r="B1550" s="140">
        <v>3</v>
      </c>
      <c r="C1550" s="166" t="s">
        <v>696</v>
      </c>
      <c r="D1550" s="140" t="str">
        <f t="shared" si="177"/>
        <v>2</v>
      </c>
      <c r="E1550" s="166" t="s">
        <v>690</v>
      </c>
      <c r="F1550" s="140">
        <f t="shared" si="179"/>
        <v>2</v>
      </c>
      <c r="G1550" s="140" t="str">
        <f t="shared" si="178"/>
        <v>3.2.2</v>
      </c>
      <c r="H1550" s="166" t="s">
        <v>1717</v>
      </c>
      <c r="I1550" s="166" t="s">
        <v>23</v>
      </c>
      <c r="J1550" s="166" t="s">
        <v>254</v>
      </c>
      <c r="K1550" s="166" t="s">
        <v>709</v>
      </c>
      <c r="L1550" s="166">
        <v>35000</v>
      </c>
      <c r="M1550" s="140"/>
      <c r="N1550" s="140"/>
      <c r="O1550" s="164">
        <f t="shared" si="180"/>
        <v>0</v>
      </c>
      <c r="P1550" s="166">
        <v>20</v>
      </c>
      <c r="Q1550" s="166">
        <v>3</v>
      </c>
      <c r="R1550" s="164">
        <f>$L1550*'Pivot Objective'!$C$9*P1550*Q1550</f>
        <v>2400134.3036999996</v>
      </c>
      <c r="S1550" s="166">
        <v>0</v>
      </c>
      <c r="T1550" s="166">
        <v>0</v>
      </c>
      <c r="U1550" s="164">
        <f>($L1550*'Pivot Objective'!$C$9^2)*S1550*T1550</f>
        <v>0</v>
      </c>
      <c r="V1550" s="166">
        <v>0</v>
      </c>
      <c r="W1550" s="166">
        <v>0</v>
      </c>
      <c r="X1550" s="164">
        <f>($L1550*'Pivot Objective'!$C$9^3)*V1550*W1550</f>
        <v>0</v>
      </c>
      <c r="Y1550" s="166">
        <v>0</v>
      </c>
      <c r="Z1550" s="166">
        <v>0</v>
      </c>
      <c r="AA1550" s="164">
        <f>($L1550*'Pivot Objective'!$C$9^4)*Y1550*Z1550</f>
        <v>0</v>
      </c>
      <c r="AB1550" s="166">
        <v>0</v>
      </c>
      <c r="AC1550" s="166">
        <v>0</v>
      </c>
      <c r="AD1550" s="164">
        <f>($L1550*'Pivot Objective'!$C$9^5)*AB1550*AC1550</f>
        <v>0</v>
      </c>
      <c r="AE1550" s="166">
        <v>20</v>
      </c>
      <c r="AF1550" s="166">
        <v>3</v>
      </c>
      <c r="AG1550" s="164">
        <f>($L1550*'Pivot Objective'!$C$9^6)*AE1550*AF1550</f>
        <v>4680764.4955198364</v>
      </c>
      <c r="AH1550" s="166">
        <v>0</v>
      </c>
      <c r="AI1550" s="166">
        <v>0</v>
      </c>
      <c r="AJ1550" s="164">
        <f>($L1550*'Pivot Objective'!$C$9^7)*AH1550*AI1550</f>
        <v>0</v>
      </c>
      <c r="AK1550" s="185">
        <f t="shared" si="181"/>
        <v>7080898.7992198355</v>
      </c>
      <c r="AL1550" s="186">
        <f t="shared" si="182"/>
        <v>6874.6590283687719</v>
      </c>
    </row>
    <row r="1551" spans="1:38" customFormat="1" ht="43.2" x14ac:dyDescent="0.3">
      <c r="A1551" s="140" t="s">
        <v>1485</v>
      </c>
      <c r="B1551" s="140">
        <v>3</v>
      </c>
      <c r="C1551" s="166" t="s">
        <v>696</v>
      </c>
      <c r="D1551" s="140" t="str">
        <f t="shared" si="177"/>
        <v>2</v>
      </c>
      <c r="E1551" s="166" t="s">
        <v>690</v>
      </c>
      <c r="F1551" s="140">
        <f t="shared" si="179"/>
        <v>2</v>
      </c>
      <c r="G1551" s="140" t="str">
        <f t="shared" si="178"/>
        <v>3.2.2</v>
      </c>
      <c r="H1551" s="166" t="s">
        <v>1717</v>
      </c>
      <c r="I1551" s="166" t="s">
        <v>23</v>
      </c>
      <c r="J1551" s="166" t="s">
        <v>254</v>
      </c>
      <c r="K1551" s="166" t="s">
        <v>712</v>
      </c>
      <c r="L1551" s="166">
        <f>1480/7</f>
        <v>211.42857142857142</v>
      </c>
      <c r="M1551" s="140"/>
      <c r="N1551" s="140"/>
      <c r="O1551" s="164">
        <f t="shared" si="180"/>
        <v>0</v>
      </c>
      <c r="P1551" s="166">
        <f>2*25*9</f>
        <v>450</v>
      </c>
      <c r="Q1551" s="166">
        <v>3</v>
      </c>
      <c r="R1551" s="164">
        <f>$L1551*'Pivot Objective'!$C$9*P1551*Q1551</f>
        <v>326222.33597228565</v>
      </c>
      <c r="S1551" s="166">
        <v>0</v>
      </c>
      <c r="T1551" s="166">
        <v>0</v>
      </c>
      <c r="U1551" s="164">
        <f>($L1551*'Pivot Objective'!$C$9^2)*S1551*T1551</f>
        <v>0</v>
      </c>
      <c r="V1551" s="166">
        <v>0</v>
      </c>
      <c r="W1551" s="166">
        <v>0</v>
      </c>
      <c r="X1551" s="164">
        <f>($L1551*'Pivot Objective'!$C$9^3)*V1551*W1551</f>
        <v>0</v>
      </c>
      <c r="Y1551" s="166">
        <v>0</v>
      </c>
      <c r="Z1551" s="166">
        <v>0</v>
      </c>
      <c r="AA1551" s="164">
        <f>($L1551*'Pivot Objective'!$C$9^4)*Y1551*Z1551</f>
        <v>0</v>
      </c>
      <c r="AB1551" s="166">
        <v>0</v>
      </c>
      <c r="AC1551" s="166">
        <v>0</v>
      </c>
      <c r="AD1551" s="164">
        <f>($L1551*'Pivot Objective'!$C$9^5)*AB1551*AC1551</f>
        <v>0</v>
      </c>
      <c r="AE1551" s="166">
        <f>2*25*9</f>
        <v>450</v>
      </c>
      <c r="AF1551" s="166">
        <v>3</v>
      </c>
      <c r="AG1551" s="164">
        <f>($L1551*'Pivot Objective'!$C$9^6)*AE1551*AF1551</f>
        <v>636201.86816657369</v>
      </c>
      <c r="AH1551" s="166">
        <v>0</v>
      </c>
      <c r="AI1551" s="166">
        <v>0</v>
      </c>
      <c r="AJ1551" s="164">
        <f>($L1551*'Pivot Objective'!$C$9^7)*AH1551*AI1551</f>
        <v>0</v>
      </c>
      <c r="AK1551" s="185">
        <f t="shared" si="181"/>
        <v>962424.20413885941</v>
      </c>
      <c r="AL1551" s="186">
        <f t="shared" si="182"/>
        <v>934.39243120277615</v>
      </c>
    </row>
    <row r="1552" spans="1:38" customFormat="1" ht="43.2" x14ac:dyDescent="0.3">
      <c r="A1552" s="140" t="s">
        <v>1485</v>
      </c>
      <c r="B1552" s="140">
        <v>3</v>
      </c>
      <c r="C1552" s="166" t="s">
        <v>696</v>
      </c>
      <c r="D1552" s="140" t="str">
        <f t="shared" si="177"/>
        <v>2</v>
      </c>
      <c r="E1552" s="166" t="s">
        <v>690</v>
      </c>
      <c r="F1552" s="140">
        <f t="shared" si="179"/>
        <v>2</v>
      </c>
      <c r="G1552" s="140" t="str">
        <f t="shared" si="178"/>
        <v>3.2.2</v>
      </c>
      <c r="H1552" s="166" t="s">
        <v>1717</v>
      </c>
      <c r="I1552" s="166" t="s">
        <v>23</v>
      </c>
      <c r="J1552" s="166" t="s">
        <v>254</v>
      </c>
      <c r="K1552" s="166" t="s">
        <v>1336</v>
      </c>
      <c r="L1552" s="166">
        <f>1480/7</f>
        <v>211.42857142857142</v>
      </c>
      <c r="M1552" s="140"/>
      <c r="N1552" s="140"/>
      <c r="O1552" s="164">
        <f t="shared" si="180"/>
        <v>0</v>
      </c>
      <c r="P1552" s="166">
        <f>2*135*9</f>
        <v>2430</v>
      </c>
      <c r="Q1552" s="166">
        <v>1</v>
      </c>
      <c r="R1552" s="164">
        <f>$L1552*'Pivot Objective'!$C$9*P1552*Q1552</f>
        <v>587200.20475011424</v>
      </c>
      <c r="S1552" s="166"/>
      <c r="T1552" s="166"/>
      <c r="U1552" s="164">
        <f>($L1552*'Pivot Objective'!$C$9^2)*S1552*T1552</f>
        <v>0</v>
      </c>
      <c r="V1552" s="166"/>
      <c r="W1552" s="166"/>
      <c r="X1552" s="164">
        <f>($L1552*'Pivot Objective'!$C$9^3)*V1552*W1552</f>
        <v>0</v>
      </c>
      <c r="Y1552" s="166"/>
      <c r="Z1552" s="166"/>
      <c r="AA1552" s="164">
        <f>($L1552*'Pivot Objective'!$C$9^4)*Y1552*Z1552</f>
        <v>0</v>
      </c>
      <c r="AB1552" s="166"/>
      <c r="AC1552" s="166"/>
      <c r="AD1552" s="164">
        <f>($L1552*'Pivot Objective'!$C$9^5)*AB1552*AC1552</f>
        <v>0</v>
      </c>
      <c r="AE1552" s="166">
        <f>2*135*9</f>
        <v>2430</v>
      </c>
      <c r="AF1552" s="166">
        <v>1</v>
      </c>
      <c r="AG1552" s="164">
        <f>($L1552*'Pivot Objective'!$C$9^6)*AE1552*AF1552</f>
        <v>1145163.3626998325</v>
      </c>
      <c r="AH1552" s="166"/>
      <c r="AI1552" s="166"/>
      <c r="AJ1552" s="164">
        <f>($L1552*'Pivot Objective'!$C$9^7)*AH1552*AI1552</f>
        <v>0</v>
      </c>
      <c r="AK1552" s="185">
        <f t="shared" si="181"/>
        <v>1732363.5674499469</v>
      </c>
      <c r="AL1552" s="186">
        <f t="shared" si="182"/>
        <v>1681.906376164997</v>
      </c>
    </row>
    <row r="1553" spans="1:38" customFormat="1" ht="43.2" x14ac:dyDescent="0.3">
      <c r="A1553" s="140" t="s">
        <v>1485</v>
      </c>
      <c r="B1553" s="140">
        <v>3</v>
      </c>
      <c r="C1553" s="166" t="s">
        <v>696</v>
      </c>
      <c r="D1553" s="140" t="str">
        <f t="shared" si="177"/>
        <v>2</v>
      </c>
      <c r="E1553" s="166" t="s">
        <v>690</v>
      </c>
      <c r="F1553" s="140">
        <f t="shared" si="179"/>
        <v>2</v>
      </c>
      <c r="G1553" s="140" t="str">
        <f t="shared" si="178"/>
        <v>3.2.2</v>
      </c>
      <c r="H1553" s="166" t="s">
        <v>1717</v>
      </c>
      <c r="I1553" s="166" t="s">
        <v>23</v>
      </c>
      <c r="J1553" s="166" t="s">
        <v>255</v>
      </c>
      <c r="K1553" s="166" t="s">
        <v>716</v>
      </c>
      <c r="L1553" s="166">
        <v>39000</v>
      </c>
      <c r="M1553" s="140"/>
      <c r="N1553" s="140"/>
      <c r="O1553" s="164">
        <f t="shared" si="180"/>
        <v>0</v>
      </c>
      <c r="P1553" s="166">
        <v>20</v>
      </c>
      <c r="Q1553" s="166">
        <v>4</v>
      </c>
      <c r="R1553" s="164">
        <f>$L1553*'Pivot Objective'!$C$9*P1553*Q1553</f>
        <v>3565913.8226399994</v>
      </c>
      <c r="S1553" s="166">
        <v>0</v>
      </c>
      <c r="T1553" s="166">
        <v>0</v>
      </c>
      <c r="U1553" s="164">
        <f>($L1553*'Pivot Objective'!$C$9^2)*S1553*T1553</f>
        <v>0</v>
      </c>
      <c r="V1553" s="166">
        <v>0</v>
      </c>
      <c r="W1553" s="166">
        <v>0</v>
      </c>
      <c r="X1553" s="164">
        <f>($L1553*'Pivot Objective'!$C$9^3)*V1553*W1553</f>
        <v>0</v>
      </c>
      <c r="Y1553" s="166">
        <v>0</v>
      </c>
      <c r="Z1553" s="166">
        <v>0</v>
      </c>
      <c r="AA1553" s="164">
        <f>($L1553*'Pivot Objective'!$C$9^4)*Y1553*Z1553</f>
        <v>0</v>
      </c>
      <c r="AB1553" s="166">
        <v>0</v>
      </c>
      <c r="AC1553" s="166">
        <v>0</v>
      </c>
      <c r="AD1553" s="164">
        <f>($L1553*'Pivot Objective'!$C$9^5)*AB1553*AC1553</f>
        <v>0</v>
      </c>
      <c r="AE1553" s="166">
        <v>20</v>
      </c>
      <c r="AF1553" s="166">
        <v>4</v>
      </c>
      <c r="AG1553" s="164">
        <f>($L1553*'Pivot Objective'!$C$9^6)*AE1553*AF1553</f>
        <v>6954278.6790580433</v>
      </c>
      <c r="AH1553" s="166">
        <v>0</v>
      </c>
      <c r="AI1553" s="166">
        <v>0</v>
      </c>
      <c r="AJ1553" s="164">
        <f>($L1553*'Pivot Objective'!$C$9^7)*AH1553*AI1553</f>
        <v>0</v>
      </c>
      <c r="AK1553" s="185">
        <f t="shared" si="181"/>
        <v>10520192.501698043</v>
      </c>
      <c r="AL1553" s="186">
        <f t="shared" si="182"/>
        <v>10213.779127862177</v>
      </c>
    </row>
    <row r="1554" spans="1:38" customFormat="1" ht="43.2" x14ac:dyDescent="0.3">
      <c r="A1554" s="140" t="s">
        <v>1485</v>
      </c>
      <c r="B1554" s="140">
        <v>3</v>
      </c>
      <c r="C1554" s="166" t="s">
        <v>696</v>
      </c>
      <c r="D1554" s="140" t="str">
        <f t="shared" si="177"/>
        <v>2</v>
      </c>
      <c r="E1554" s="166" t="s">
        <v>690</v>
      </c>
      <c r="F1554" s="140">
        <f t="shared" si="179"/>
        <v>2</v>
      </c>
      <c r="G1554" s="140" t="str">
        <f t="shared" si="178"/>
        <v>3.2.2</v>
      </c>
      <c r="H1554" s="166" t="s">
        <v>1717</v>
      </c>
      <c r="I1554" s="166" t="s">
        <v>23</v>
      </c>
      <c r="J1554" s="166" t="s">
        <v>255</v>
      </c>
      <c r="K1554" s="166" t="s">
        <v>709</v>
      </c>
      <c r="L1554" s="166">
        <v>35000</v>
      </c>
      <c r="M1554" s="140"/>
      <c r="N1554" s="140"/>
      <c r="O1554" s="164">
        <f t="shared" si="180"/>
        <v>0</v>
      </c>
      <c r="P1554" s="166">
        <v>20</v>
      </c>
      <c r="Q1554" s="166">
        <v>3</v>
      </c>
      <c r="R1554" s="164">
        <f>$L1554*'Pivot Objective'!$C$9*P1554*Q1554</f>
        <v>2400134.3036999996</v>
      </c>
      <c r="S1554" s="166">
        <v>0</v>
      </c>
      <c r="T1554" s="166">
        <v>0</v>
      </c>
      <c r="U1554" s="164">
        <f>($L1554*'Pivot Objective'!$C$9^2)*S1554*T1554</f>
        <v>0</v>
      </c>
      <c r="V1554" s="166">
        <v>0</v>
      </c>
      <c r="W1554" s="166">
        <v>0</v>
      </c>
      <c r="X1554" s="164">
        <f>($L1554*'Pivot Objective'!$C$9^3)*V1554*W1554</f>
        <v>0</v>
      </c>
      <c r="Y1554" s="166">
        <v>0</v>
      </c>
      <c r="Z1554" s="166">
        <v>0</v>
      </c>
      <c r="AA1554" s="164">
        <f>($L1554*'Pivot Objective'!$C$9^4)*Y1554*Z1554</f>
        <v>0</v>
      </c>
      <c r="AB1554" s="166">
        <v>0</v>
      </c>
      <c r="AC1554" s="166">
        <v>0</v>
      </c>
      <c r="AD1554" s="164">
        <f>($L1554*'Pivot Objective'!$C$9^5)*AB1554*AC1554</f>
        <v>0</v>
      </c>
      <c r="AE1554" s="166">
        <v>20</v>
      </c>
      <c r="AF1554" s="166">
        <v>3</v>
      </c>
      <c r="AG1554" s="164">
        <f>($L1554*'Pivot Objective'!$C$9^6)*AE1554*AF1554</f>
        <v>4680764.4955198364</v>
      </c>
      <c r="AH1554" s="166">
        <v>0</v>
      </c>
      <c r="AI1554" s="166">
        <v>0</v>
      </c>
      <c r="AJ1554" s="164">
        <f>($L1554*'Pivot Objective'!$C$9^7)*AH1554*AI1554</f>
        <v>0</v>
      </c>
      <c r="AK1554" s="185">
        <f t="shared" si="181"/>
        <v>7080898.7992198355</v>
      </c>
      <c r="AL1554" s="186">
        <f t="shared" si="182"/>
        <v>6874.6590283687719</v>
      </c>
    </row>
    <row r="1555" spans="1:38" customFormat="1" ht="43.2" x14ac:dyDescent="0.3">
      <c r="A1555" s="140" t="s">
        <v>1485</v>
      </c>
      <c r="B1555" s="140">
        <v>3</v>
      </c>
      <c r="C1555" s="166" t="s">
        <v>696</v>
      </c>
      <c r="D1555" s="140" t="str">
        <f t="shared" si="177"/>
        <v>2</v>
      </c>
      <c r="E1555" s="166" t="s">
        <v>690</v>
      </c>
      <c r="F1555" s="140">
        <f t="shared" si="179"/>
        <v>2</v>
      </c>
      <c r="G1555" s="140" t="str">
        <f t="shared" si="178"/>
        <v>3.2.2</v>
      </c>
      <c r="H1555" s="166" t="s">
        <v>1717</v>
      </c>
      <c r="I1555" s="166" t="s">
        <v>23</v>
      </c>
      <c r="J1555" s="166" t="s">
        <v>255</v>
      </c>
      <c r="K1555" s="166" t="s">
        <v>712</v>
      </c>
      <c r="L1555" s="166">
        <f>1480/7</f>
        <v>211.42857142857142</v>
      </c>
      <c r="M1555" s="140"/>
      <c r="N1555" s="140"/>
      <c r="O1555" s="164">
        <f t="shared" si="180"/>
        <v>0</v>
      </c>
      <c r="P1555" s="166">
        <f>25*2*9</f>
        <v>450</v>
      </c>
      <c r="Q1555" s="166">
        <v>3</v>
      </c>
      <c r="R1555" s="164">
        <f>$L1555*'Pivot Objective'!$C$9*P1555*Q1555</f>
        <v>326222.33597228565</v>
      </c>
      <c r="S1555" s="166">
        <v>0</v>
      </c>
      <c r="T1555" s="166">
        <v>0</v>
      </c>
      <c r="U1555" s="164">
        <f>($L1555*'Pivot Objective'!$C$9^2)*S1555*T1555</f>
        <v>0</v>
      </c>
      <c r="V1555" s="166">
        <v>0</v>
      </c>
      <c r="W1555" s="166">
        <v>0</v>
      </c>
      <c r="X1555" s="164">
        <f>($L1555*'Pivot Objective'!$C$9^3)*V1555*W1555</f>
        <v>0</v>
      </c>
      <c r="Y1555" s="166">
        <v>0</v>
      </c>
      <c r="Z1555" s="166">
        <v>0</v>
      </c>
      <c r="AA1555" s="164">
        <f>($L1555*'Pivot Objective'!$C$9^4)*Y1555*Z1555</f>
        <v>0</v>
      </c>
      <c r="AB1555" s="166">
        <v>0</v>
      </c>
      <c r="AC1555" s="166">
        <v>0</v>
      </c>
      <c r="AD1555" s="164">
        <f>($L1555*'Pivot Objective'!$C$9^5)*AB1555*AC1555</f>
        <v>0</v>
      </c>
      <c r="AE1555" s="166">
        <f>25*2*9</f>
        <v>450</v>
      </c>
      <c r="AF1555" s="166">
        <v>3</v>
      </c>
      <c r="AG1555" s="164">
        <f>($L1555*'Pivot Objective'!$C$9^6)*AE1555*AF1555</f>
        <v>636201.86816657369</v>
      </c>
      <c r="AH1555" s="166">
        <v>0</v>
      </c>
      <c r="AI1555" s="166">
        <v>0</v>
      </c>
      <c r="AJ1555" s="164">
        <f>($L1555*'Pivot Objective'!$C$9^7)*AH1555*AI1555</f>
        <v>0</v>
      </c>
      <c r="AK1555" s="185">
        <f t="shared" si="181"/>
        <v>962424.20413885941</v>
      </c>
      <c r="AL1555" s="186">
        <f t="shared" si="182"/>
        <v>934.39243120277615</v>
      </c>
    </row>
    <row r="1556" spans="1:38" customFormat="1" ht="43.2" x14ac:dyDescent="0.3">
      <c r="A1556" s="140" t="s">
        <v>1485</v>
      </c>
      <c r="B1556" s="140">
        <v>3</v>
      </c>
      <c r="C1556" s="166" t="s">
        <v>696</v>
      </c>
      <c r="D1556" s="140" t="str">
        <f t="shared" si="177"/>
        <v>2</v>
      </c>
      <c r="E1556" s="166" t="s">
        <v>690</v>
      </c>
      <c r="F1556" s="140">
        <f t="shared" si="179"/>
        <v>2</v>
      </c>
      <c r="G1556" s="140" t="str">
        <f t="shared" si="178"/>
        <v>3.2.2</v>
      </c>
      <c r="H1556" s="166" t="s">
        <v>1717</v>
      </c>
      <c r="I1556" s="166" t="s">
        <v>23</v>
      </c>
      <c r="J1556" s="166" t="s">
        <v>255</v>
      </c>
      <c r="K1556" s="166" t="s">
        <v>1336</v>
      </c>
      <c r="L1556" s="166">
        <f>1480/7</f>
        <v>211.42857142857142</v>
      </c>
      <c r="M1556" s="140"/>
      <c r="N1556" s="140"/>
      <c r="O1556" s="164">
        <f t="shared" si="180"/>
        <v>0</v>
      </c>
      <c r="P1556" s="166">
        <f>2*135*9</f>
        <v>2430</v>
      </c>
      <c r="Q1556" s="166">
        <v>1</v>
      </c>
      <c r="R1556" s="164">
        <f>$L1556*'Pivot Objective'!$C$9*P1556*Q1556</f>
        <v>587200.20475011424</v>
      </c>
      <c r="S1556" s="166"/>
      <c r="T1556" s="166"/>
      <c r="U1556" s="164">
        <f>($L1556*'Pivot Objective'!$C$9^2)*S1556*T1556</f>
        <v>0</v>
      </c>
      <c r="V1556" s="166"/>
      <c r="W1556" s="166"/>
      <c r="X1556" s="164">
        <f>($L1556*'Pivot Objective'!$C$9^3)*V1556*W1556</f>
        <v>0</v>
      </c>
      <c r="Y1556" s="166"/>
      <c r="Z1556" s="166"/>
      <c r="AA1556" s="164">
        <f>($L1556*'Pivot Objective'!$C$9^4)*Y1556*Z1556</f>
        <v>0</v>
      </c>
      <c r="AB1556" s="166"/>
      <c r="AC1556" s="166"/>
      <c r="AD1556" s="164">
        <f>($L1556*'Pivot Objective'!$C$9^5)*AB1556*AC1556</f>
        <v>0</v>
      </c>
      <c r="AE1556" s="166">
        <f>2*135*9</f>
        <v>2430</v>
      </c>
      <c r="AF1556" s="166">
        <v>1</v>
      </c>
      <c r="AG1556" s="164">
        <f>($L1556*'Pivot Objective'!$C$9^6)*AE1556*AF1556</f>
        <v>1145163.3626998325</v>
      </c>
      <c r="AH1556" s="166"/>
      <c r="AI1556" s="166"/>
      <c r="AJ1556" s="164">
        <f>($L1556*'Pivot Objective'!$C$9^7)*AH1556*AI1556</f>
        <v>0</v>
      </c>
      <c r="AK1556" s="185">
        <f t="shared" si="181"/>
        <v>1732363.5674499469</v>
      </c>
      <c r="AL1556" s="186">
        <f t="shared" si="182"/>
        <v>1681.906376164997</v>
      </c>
    </row>
    <row r="1557" spans="1:38" customFormat="1" ht="43.2" x14ac:dyDescent="0.3">
      <c r="A1557" s="140" t="s">
        <v>1485</v>
      </c>
      <c r="B1557" s="140">
        <v>3</v>
      </c>
      <c r="C1557" s="166" t="s">
        <v>696</v>
      </c>
      <c r="D1557" s="140" t="str">
        <f t="shared" si="177"/>
        <v>2</v>
      </c>
      <c r="E1557" s="166" t="s">
        <v>690</v>
      </c>
      <c r="F1557" s="140">
        <f t="shared" si="179"/>
        <v>2</v>
      </c>
      <c r="G1557" s="140" t="str">
        <f t="shared" si="178"/>
        <v>3.2.2</v>
      </c>
      <c r="H1557" s="166" t="s">
        <v>1717</v>
      </c>
      <c r="I1557" s="166" t="s">
        <v>23</v>
      </c>
      <c r="J1557" s="166" t="s">
        <v>256</v>
      </c>
      <c r="K1557" s="166" t="s">
        <v>716</v>
      </c>
      <c r="L1557" s="166">
        <v>39000</v>
      </c>
      <c r="M1557" s="140"/>
      <c r="N1557" s="140"/>
      <c r="O1557" s="164">
        <f t="shared" si="180"/>
        <v>0</v>
      </c>
      <c r="P1557" s="166">
        <v>45</v>
      </c>
      <c r="Q1557" s="166">
        <v>3</v>
      </c>
      <c r="R1557" s="164">
        <f>$L1557*'Pivot Objective'!$C$9*P1557*Q1557</f>
        <v>6017479.5757049993</v>
      </c>
      <c r="S1557" s="166">
        <v>0</v>
      </c>
      <c r="T1557" s="166">
        <v>0</v>
      </c>
      <c r="U1557" s="164">
        <f>($L1557*'Pivot Objective'!$C$9^2)*S1557*T1557</f>
        <v>0</v>
      </c>
      <c r="V1557" s="166">
        <v>0</v>
      </c>
      <c r="W1557" s="166">
        <v>0</v>
      </c>
      <c r="X1557" s="164">
        <f>($L1557*'Pivot Objective'!$C$9^3)*V1557*W1557</f>
        <v>0</v>
      </c>
      <c r="Y1557" s="166">
        <v>0</v>
      </c>
      <c r="Z1557" s="166">
        <v>0</v>
      </c>
      <c r="AA1557" s="164">
        <f>($L1557*'Pivot Objective'!$C$9^4)*Y1557*Z1557</f>
        <v>0</v>
      </c>
      <c r="AB1557" s="166">
        <v>0</v>
      </c>
      <c r="AC1557" s="166">
        <v>0</v>
      </c>
      <c r="AD1557" s="164">
        <f>($L1557*'Pivot Objective'!$C$9^5)*AB1557*AC1557</f>
        <v>0</v>
      </c>
      <c r="AE1557" s="166">
        <v>45</v>
      </c>
      <c r="AF1557" s="166">
        <v>3</v>
      </c>
      <c r="AG1557" s="164">
        <f>($L1557*'Pivot Objective'!$C$9^6)*AE1557*AF1557</f>
        <v>11735345.270910447</v>
      </c>
      <c r="AH1557" s="166">
        <v>0</v>
      </c>
      <c r="AI1557" s="166">
        <v>0</v>
      </c>
      <c r="AJ1557" s="164">
        <f>($L1557*'Pivot Objective'!$C$9^7)*AH1557*AI1557</f>
        <v>0</v>
      </c>
      <c r="AK1557" s="185">
        <f t="shared" si="181"/>
        <v>17752824.846615449</v>
      </c>
      <c r="AL1557" s="186">
        <f t="shared" si="182"/>
        <v>17235.752278267424</v>
      </c>
    </row>
    <row r="1558" spans="1:38" customFormat="1" ht="43.2" x14ac:dyDescent="0.3">
      <c r="A1558" s="140" t="s">
        <v>1485</v>
      </c>
      <c r="B1558" s="140">
        <v>3</v>
      </c>
      <c r="C1558" s="166" t="s">
        <v>696</v>
      </c>
      <c r="D1558" s="140" t="str">
        <f t="shared" si="177"/>
        <v>2</v>
      </c>
      <c r="E1558" s="166" t="s">
        <v>690</v>
      </c>
      <c r="F1558" s="140">
        <f t="shared" si="179"/>
        <v>2</v>
      </c>
      <c r="G1558" s="140" t="str">
        <f t="shared" si="178"/>
        <v>3.2.2</v>
      </c>
      <c r="H1558" s="166" t="s">
        <v>1717</v>
      </c>
      <c r="I1558" s="166" t="s">
        <v>23</v>
      </c>
      <c r="J1558" s="166" t="s">
        <v>256</v>
      </c>
      <c r="K1558" s="166" t="s">
        <v>709</v>
      </c>
      <c r="L1558" s="166">
        <v>35000</v>
      </c>
      <c r="M1558" s="140"/>
      <c r="N1558" s="140"/>
      <c r="O1558" s="164">
        <f t="shared" si="180"/>
        <v>0</v>
      </c>
      <c r="P1558" s="166">
        <v>45</v>
      </c>
      <c r="Q1558" s="166">
        <v>3</v>
      </c>
      <c r="R1558" s="164">
        <f>$L1558*'Pivot Objective'!$C$9*P1558*Q1558</f>
        <v>5400302.1833249982</v>
      </c>
      <c r="S1558" s="166">
        <v>0</v>
      </c>
      <c r="T1558" s="166">
        <v>0</v>
      </c>
      <c r="U1558" s="164">
        <f>($L1558*'Pivot Objective'!$C$9^2)*S1558*T1558</f>
        <v>0</v>
      </c>
      <c r="V1558" s="166">
        <v>0</v>
      </c>
      <c r="W1558" s="166">
        <v>0</v>
      </c>
      <c r="X1558" s="164">
        <f>($L1558*'Pivot Objective'!$C$9^3)*V1558*W1558</f>
        <v>0</v>
      </c>
      <c r="Y1558" s="166">
        <v>0</v>
      </c>
      <c r="Z1558" s="166">
        <v>0</v>
      </c>
      <c r="AA1558" s="164">
        <f>($L1558*'Pivot Objective'!$C$9^4)*Y1558*Z1558</f>
        <v>0</v>
      </c>
      <c r="AB1558" s="166">
        <v>0</v>
      </c>
      <c r="AC1558" s="166">
        <v>0</v>
      </c>
      <c r="AD1558" s="164">
        <f>($L1558*'Pivot Objective'!$C$9^5)*AB1558*AC1558</f>
        <v>0</v>
      </c>
      <c r="AE1558" s="166">
        <v>45</v>
      </c>
      <c r="AF1558" s="166">
        <v>3</v>
      </c>
      <c r="AG1558" s="164">
        <f>($L1558*'Pivot Objective'!$C$9^6)*AE1558*AF1558</f>
        <v>10531720.114919631</v>
      </c>
      <c r="AH1558" s="166">
        <v>0</v>
      </c>
      <c r="AI1558" s="166">
        <v>0</v>
      </c>
      <c r="AJ1558" s="164">
        <f>($L1558*'Pivot Objective'!$C$9^7)*AH1558*AI1558</f>
        <v>0</v>
      </c>
      <c r="AK1558" s="185">
        <f t="shared" si="181"/>
        <v>15932022.298244629</v>
      </c>
      <c r="AL1558" s="186">
        <f t="shared" si="182"/>
        <v>15467.982813829736</v>
      </c>
    </row>
    <row r="1559" spans="1:38" customFormat="1" ht="43.2" x14ac:dyDescent="0.3">
      <c r="A1559" s="140" t="s">
        <v>1485</v>
      </c>
      <c r="B1559" s="140">
        <v>3</v>
      </c>
      <c r="C1559" s="166" t="s">
        <v>696</v>
      </c>
      <c r="D1559" s="140" t="str">
        <f t="shared" si="177"/>
        <v>2</v>
      </c>
      <c r="E1559" s="166" t="s">
        <v>690</v>
      </c>
      <c r="F1559" s="140">
        <f t="shared" si="179"/>
        <v>2</v>
      </c>
      <c r="G1559" s="140" t="str">
        <f t="shared" si="178"/>
        <v>3.2.2</v>
      </c>
      <c r="H1559" s="166" t="s">
        <v>1717</v>
      </c>
      <c r="I1559" s="166" t="s">
        <v>23</v>
      </c>
      <c r="J1559" s="166" t="s">
        <v>256</v>
      </c>
      <c r="K1559" s="166" t="s">
        <v>712</v>
      </c>
      <c r="L1559" s="166">
        <f>1480/7</f>
        <v>211.42857142857142</v>
      </c>
      <c r="M1559" s="140"/>
      <c r="N1559" s="140"/>
      <c r="O1559" s="164">
        <f t="shared" si="180"/>
        <v>0</v>
      </c>
      <c r="P1559" s="166">
        <f>2*25*9</f>
        <v>450</v>
      </c>
      <c r="Q1559" s="166">
        <v>3</v>
      </c>
      <c r="R1559" s="164">
        <f>$L1559*'Pivot Objective'!$C$9*P1559*Q1559</f>
        <v>326222.33597228565</v>
      </c>
      <c r="S1559" s="166">
        <v>0</v>
      </c>
      <c r="T1559" s="166">
        <v>0</v>
      </c>
      <c r="U1559" s="164">
        <f>($L1559*'Pivot Objective'!$C$9^2)*S1559*T1559</f>
        <v>0</v>
      </c>
      <c r="V1559" s="166">
        <v>0</v>
      </c>
      <c r="W1559" s="166">
        <v>0</v>
      </c>
      <c r="X1559" s="164">
        <f>($L1559*'Pivot Objective'!$C$9^3)*V1559*W1559</f>
        <v>0</v>
      </c>
      <c r="Y1559" s="166">
        <v>0</v>
      </c>
      <c r="Z1559" s="166">
        <v>0</v>
      </c>
      <c r="AA1559" s="164">
        <f>($L1559*'Pivot Objective'!$C$9^4)*Y1559*Z1559</f>
        <v>0</v>
      </c>
      <c r="AB1559" s="166">
        <v>0</v>
      </c>
      <c r="AC1559" s="166">
        <v>0</v>
      </c>
      <c r="AD1559" s="164">
        <f>($L1559*'Pivot Objective'!$C$9^5)*AB1559*AC1559</f>
        <v>0</v>
      </c>
      <c r="AE1559" s="166">
        <f>2*25*9</f>
        <v>450</v>
      </c>
      <c r="AF1559" s="166">
        <v>3</v>
      </c>
      <c r="AG1559" s="164">
        <f>($L1559*'Pivot Objective'!$C$9^6)*AE1559*AF1559</f>
        <v>636201.86816657369</v>
      </c>
      <c r="AH1559" s="166">
        <v>0</v>
      </c>
      <c r="AI1559" s="166">
        <v>0</v>
      </c>
      <c r="AJ1559" s="164">
        <f>($L1559*'Pivot Objective'!$C$9^7)*AH1559*AI1559</f>
        <v>0</v>
      </c>
      <c r="AK1559" s="185">
        <f t="shared" si="181"/>
        <v>962424.20413885941</v>
      </c>
      <c r="AL1559" s="186">
        <f t="shared" si="182"/>
        <v>934.39243120277615</v>
      </c>
    </row>
    <row r="1560" spans="1:38" customFormat="1" ht="43.2" x14ac:dyDescent="0.3">
      <c r="A1560" s="140" t="s">
        <v>1485</v>
      </c>
      <c r="B1560" s="140">
        <v>3</v>
      </c>
      <c r="C1560" s="166" t="s">
        <v>696</v>
      </c>
      <c r="D1560" s="140" t="str">
        <f t="shared" si="177"/>
        <v>2</v>
      </c>
      <c r="E1560" s="166" t="s">
        <v>690</v>
      </c>
      <c r="F1560" s="140">
        <f t="shared" si="179"/>
        <v>2</v>
      </c>
      <c r="G1560" s="140" t="str">
        <f t="shared" si="178"/>
        <v>3.2.2</v>
      </c>
      <c r="H1560" s="166" t="s">
        <v>1717</v>
      </c>
      <c r="I1560" s="166" t="s">
        <v>23</v>
      </c>
      <c r="J1560" s="166" t="s">
        <v>256</v>
      </c>
      <c r="K1560" s="166" t="s">
        <v>1336</v>
      </c>
      <c r="L1560" s="166">
        <f>1480/7</f>
        <v>211.42857142857142</v>
      </c>
      <c r="M1560" s="140"/>
      <c r="N1560" s="140"/>
      <c r="O1560" s="164">
        <f t="shared" si="180"/>
        <v>0</v>
      </c>
      <c r="P1560" s="166">
        <f>2*135*9</f>
        <v>2430</v>
      </c>
      <c r="Q1560" s="166">
        <v>1</v>
      </c>
      <c r="R1560" s="164">
        <f>$L1560*'Pivot Objective'!$C$9*P1560*Q1560</f>
        <v>587200.20475011424</v>
      </c>
      <c r="S1560" s="166"/>
      <c r="T1560" s="166"/>
      <c r="U1560" s="164">
        <f>($L1560*'Pivot Objective'!$C$9^2)*S1560*T1560</f>
        <v>0</v>
      </c>
      <c r="V1560" s="166"/>
      <c r="W1560" s="166"/>
      <c r="X1560" s="164">
        <f>($L1560*'Pivot Objective'!$C$9^3)*V1560*W1560</f>
        <v>0</v>
      </c>
      <c r="Y1560" s="166"/>
      <c r="Z1560" s="166"/>
      <c r="AA1560" s="164">
        <f>($L1560*'Pivot Objective'!$C$9^4)*Y1560*Z1560</f>
        <v>0</v>
      </c>
      <c r="AB1560" s="166"/>
      <c r="AC1560" s="166"/>
      <c r="AD1560" s="164">
        <f>($L1560*'Pivot Objective'!$C$9^5)*AB1560*AC1560</f>
        <v>0</v>
      </c>
      <c r="AE1560" s="166">
        <f>2*135*9</f>
        <v>2430</v>
      </c>
      <c r="AF1560" s="166">
        <v>1</v>
      </c>
      <c r="AG1560" s="164">
        <f>($L1560*'Pivot Objective'!$C$9^6)*AE1560*AF1560</f>
        <v>1145163.3626998325</v>
      </c>
      <c r="AH1560" s="166"/>
      <c r="AI1560" s="166"/>
      <c r="AJ1560" s="164">
        <f>($L1560*'Pivot Objective'!$C$9^7)*AH1560*AI1560</f>
        <v>0</v>
      </c>
      <c r="AK1560" s="185">
        <f t="shared" si="181"/>
        <v>1732363.5674499469</v>
      </c>
      <c r="AL1560" s="186">
        <f t="shared" si="182"/>
        <v>1681.906376164997</v>
      </c>
    </row>
    <row r="1561" spans="1:38" customFormat="1" ht="43.2" x14ac:dyDescent="0.3">
      <c r="A1561" s="140" t="s">
        <v>1485</v>
      </c>
      <c r="B1561" s="140">
        <v>3</v>
      </c>
      <c r="C1561" s="166" t="s">
        <v>696</v>
      </c>
      <c r="D1561" s="140" t="str">
        <f t="shared" si="177"/>
        <v>2</v>
      </c>
      <c r="E1561" s="166" t="s">
        <v>690</v>
      </c>
      <c r="F1561" s="140">
        <f t="shared" si="179"/>
        <v>2</v>
      </c>
      <c r="G1561" s="140" t="str">
        <f t="shared" si="178"/>
        <v>3.2.2</v>
      </c>
      <c r="H1561" s="166" t="s">
        <v>1717</v>
      </c>
      <c r="I1561" s="166" t="s">
        <v>23</v>
      </c>
      <c r="J1561" s="166" t="s">
        <v>257</v>
      </c>
      <c r="K1561" s="166" t="s">
        <v>716</v>
      </c>
      <c r="L1561" s="166">
        <v>39000</v>
      </c>
      <c r="M1561" s="140"/>
      <c r="N1561" s="140"/>
      <c r="O1561" s="164">
        <f t="shared" si="180"/>
        <v>0</v>
      </c>
      <c r="P1561" s="166">
        <v>25</v>
      </c>
      <c r="Q1561" s="166">
        <v>3</v>
      </c>
      <c r="R1561" s="164">
        <f>$L1561*'Pivot Objective'!$C$9*P1561*Q1561</f>
        <v>3343044.2087249998</v>
      </c>
      <c r="S1561" s="166">
        <v>0</v>
      </c>
      <c r="T1561" s="166">
        <v>0</v>
      </c>
      <c r="U1561" s="164">
        <f>($L1561*'Pivot Objective'!$C$9^2)*S1561*T1561</f>
        <v>0</v>
      </c>
      <c r="V1561" s="166">
        <v>0</v>
      </c>
      <c r="W1561" s="166">
        <v>0</v>
      </c>
      <c r="X1561" s="164">
        <f>($L1561*'Pivot Objective'!$C$9^3)*V1561*W1561</f>
        <v>0</v>
      </c>
      <c r="Y1561" s="166">
        <v>0</v>
      </c>
      <c r="Z1561" s="166">
        <v>0</v>
      </c>
      <c r="AA1561" s="164">
        <f>($L1561*'Pivot Objective'!$C$9^4)*Y1561*Z1561</f>
        <v>0</v>
      </c>
      <c r="AB1561" s="166">
        <v>0</v>
      </c>
      <c r="AC1561" s="166">
        <v>0</v>
      </c>
      <c r="AD1561" s="164">
        <f>($L1561*'Pivot Objective'!$C$9^5)*AB1561*AC1561</f>
        <v>0</v>
      </c>
      <c r="AE1561" s="166">
        <v>25</v>
      </c>
      <c r="AF1561" s="166">
        <v>3</v>
      </c>
      <c r="AG1561" s="164">
        <f>($L1561*'Pivot Objective'!$C$9^6)*AE1561*AF1561</f>
        <v>6519636.2616169155</v>
      </c>
      <c r="AH1561" s="166">
        <v>0</v>
      </c>
      <c r="AI1561" s="166">
        <v>0</v>
      </c>
      <c r="AJ1561" s="164">
        <f>($L1561*'Pivot Objective'!$C$9^7)*AH1561*AI1561</f>
        <v>0</v>
      </c>
      <c r="AK1561" s="185">
        <f t="shared" si="181"/>
        <v>9862680.4703419153</v>
      </c>
      <c r="AL1561" s="186">
        <f t="shared" si="182"/>
        <v>9575.4179323707922</v>
      </c>
    </row>
    <row r="1562" spans="1:38" customFormat="1" ht="43.2" x14ac:dyDescent="0.3">
      <c r="A1562" s="140" t="s">
        <v>1485</v>
      </c>
      <c r="B1562" s="140">
        <v>3</v>
      </c>
      <c r="C1562" s="166" t="s">
        <v>696</v>
      </c>
      <c r="D1562" s="140" t="str">
        <f t="shared" si="177"/>
        <v>2</v>
      </c>
      <c r="E1562" s="166" t="s">
        <v>690</v>
      </c>
      <c r="F1562" s="140">
        <f t="shared" si="179"/>
        <v>2</v>
      </c>
      <c r="G1562" s="140" t="str">
        <f t="shared" si="178"/>
        <v>3.2.2</v>
      </c>
      <c r="H1562" s="166" t="s">
        <v>1717</v>
      </c>
      <c r="I1562" s="166" t="s">
        <v>23</v>
      </c>
      <c r="J1562" s="166" t="s">
        <v>257</v>
      </c>
      <c r="K1562" s="166" t="s">
        <v>709</v>
      </c>
      <c r="L1562" s="166">
        <v>35000</v>
      </c>
      <c r="M1562" s="140"/>
      <c r="N1562" s="140"/>
      <c r="O1562" s="164">
        <f t="shared" si="180"/>
        <v>0</v>
      </c>
      <c r="P1562" s="166">
        <v>25</v>
      </c>
      <c r="Q1562" s="166">
        <v>3</v>
      </c>
      <c r="R1562" s="164">
        <f>$L1562*'Pivot Objective'!$C$9*P1562*Q1562</f>
        <v>3000167.8796249996</v>
      </c>
      <c r="S1562" s="166">
        <v>0</v>
      </c>
      <c r="T1562" s="166">
        <v>0</v>
      </c>
      <c r="U1562" s="164">
        <f>($L1562*'Pivot Objective'!$C$9^2)*S1562*T1562</f>
        <v>0</v>
      </c>
      <c r="V1562" s="166">
        <v>0</v>
      </c>
      <c r="W1562" s="166">
        <v>0</v>
      </c>
      <c r="X1562" s="164">
        <f>($L1562*'Pivot Objective'!$C$9^3)*V1562*W1562</f>
        <v>0</v>
      </c>
      <c r="Y1562" s="166">
        <v>0</v>
      </c>
      <c r="Z1562" s="166">
        <v>0</v>
      </c>
      <c r="AA1562" s="164">
        <f>($L1562*'Pivot Objective'!$C$9^4)*Y1562*Z1562</f>
        <v>0</v>
      </c>
      <c r="AB1562" s="166">
        <v>0</v>
      </c>
      <c r="AC1562" s="166">
        <v>0</v>
      </c>
      <c r="AD1562" s="164">
        <f>($L1562*'Pivot Objective'!$C$9^5)*AB1562*AC1562</f>
        <v>0</v>
      </c>
      <c r="AE1562" s="166">
        <v>25</v>
      </c>
      <c r="AF1562" s="166">
        <v>3</v>
      </c>
      <c r="AG1562" s="164">
        <f>($L1562*'Pivot Objective'!$C$9^6)*AE1562*AF1562</f>
        <v>5850955.6193997953</v>
      </c>
      <c r="AH1562" s="166">
        <v>0</v>
      </c>
      <c r="AI1562" s="166">
        <v>0</v>
      </c>
      <c r="AJ1562" s="164">
        <f>($L1562*'Pivot Objective'!$C$9^7)*AH1562*AI1562</f>
        <v>0</v>
      </c>
      <c r="AK1562" s="185">
        <f t="shared" si="181"/>
        <v>8851123.4990247954</v>
      </c>
      <c r="AL1562" s="186">
        <f t="shared" si="182"/>
        <v>8593.323785460967</v>
      </c>
    </row>
    <row r="1563" spans="1:38" customFormat="1" ht="43.2" x14ac:dyDescent="0.3">
      <c r="A1563" s="140" t="s">
        <v>1485</v>
      </c>
      <c r="B1563" s="140">
        <v>3</v>
      </c>
      <c r="C1563" s="166" t="s">
        <v>696</v>
      </c>
      <c r="D1563" s="140" t="str">
        <f t="shared" si="177"/>
        <v>2</v>
      </c>
      <c r="E1563" s="166" t="s">
        <v>690</v>
      </c>
      <c r="F1563" s="140">
        <f t="shared" si="179"/>
        <v>2</v>
      </c>
      <c r="G1563" s="140" t="str">
        <f t="shared" si="178"/>
        <v>3.2.2</v>
      </c>
      <c r="H1563" s="166" t="s">
        <v>1717</v>
      </c>
      <c r="I1563" s="166" t="s">
        <v>23</v>
      </c>
      <c r="J1563" s="166" t="s">
        <v>257</v>
      </c>
      <c r="K1563" s="166" t="s">
        <v>712</v>
      </c>
      <c r="L1563" s="166">
        <f>1480/7</f>
        <v>211.42857142857142</v>
      </c>
      <c r="M1563" s="140"/>
      <c r="N1563" s="140"/>
      <c r="O1563" s="164">
        <f t="shared" si="180"/>
        <v>0</v>
      </c>
      <c r="P1563" s="166">
        <f>25*2*9</f>
        <v>450</v>
      </c>
      <c r="Q1563" s="166">
        <v>3</v>
      </c>
      <c r="R1563" s="164">
        <f>$L1563*'Pivot Objective'!$C$9*P1563*Q1563</f>
        <v>326222.33597228565</v>
      </c>
      <c r="S1563" s="166">
        <v>0</v>
      </c>
      <c r="T1563" s="166">
        <v>0</v>
      </c>
      <c r="U1563" s="164">
        <f>($L1563*'Pivot Objective'!$C$9^2)*S1563*T1563</f>
        <v>0</v>
      </c>
      <c r="V1563" s="166">
        <v>0</v>
      </c>
      <c r="W1563" s="166">
        <v>0</v>
      </c>
      <c r="X1563" s="164">
        <f>($L1563*'Pivot Objective'!$C$9^3)*V1563*W1563</f>
        <v>0</v>
      </c>
      <c r="Y1563" s="166">
        <v>0</v>
      </c>
      <c r="Z1563" s="166">
        <v>0</v>
      </c>
      <c r="AA1563" s="164">
        <f>($L1563*'Pivot Objective'!$C$9^4)*Y1563*Z1563</f>
        <v>0</v>
      </c>
      <c r="AB1563" s="166">
        <v>0</v>
      </c>
      <c r="AC1563" s="166">
        <v>0</v>
      </c>
      <c r="AD1563" s="164">
        <f>($L1563*'Pivot Objective'!$C$9^5)*AB1563*AC1563</f>
        <v>0</v>
      </c>
      <c r="AE1563" s="166">
        <f>25*2*9</f>
        <v>450</v>
      </c>
      <c r="AF1563" s="166">
        <v>3</v>
      </c>
      <c r="AG1563" s="164">
        <f>($L1563*'Pivot Objective'!$C$9^6)*AE1563*AF1563</f>
        <v>636201.86816657369</v>
      </c>
      <c r="AH1563" s="166">
        <v>0</v>
      </c>
      <c r="AI1563" s="166">
        <v>0</v>
      </c>
      <c r="AJ1563" s="164">
        <f>($L1563*'Pivot Objective'!$C$9^7)*AH1563*AI1563</f>
        <v>0</v>
      </c>
      <c r="AK1563" s="185">
        <f t="shared" si="181"/>
        <v>962424.20413885941</v>
      </c>
      <c r="AL1563" s="186">
        <f t="shared" si="182"/>
        <v>934.39243120277615</v>
      </c>
    </row>
    <row r="1564" spans="1:38" customFormat="1" ht="43.2" x14ac:dyDescent="0.3">
      <c r="A1564" s="140" t="s">
        <v>1485</v>
      </c>
      <c r="B1564" s="140">
        <v>3</v>
      </c>
      <c r="C1564" s="166" t="s">
        <v>696</v>
      </c>
      <c r="D1564" s="140" t="str">
        <f t="shared" si="177"/>
        <v>2</v>
      </c>
      <c r="E1564" s="166" t="s">
        <v>690</v>
      </c>
      <c r="F1564" s="140">
        <f t="shared" si="179"/>
        <v>2</v>
      </c>
      <c r="G1564" s="140" t="str">
        <f t="shared" si="178"/>
        <v>3.2.2</v>
      </c>
      <c r="H1564" s="166" t="s">
        <v>1717</v>
      </c>
      <c r="I1564" s="166" t="s">
        <v>23</v>
      </c>
      <c r="J1564" s="166" t="s">
        <v>257</v>
      </c>
      <c r="K1564" s="166" t="s">
        <v>1336</v>
      </c>
      <c r="L1564" s="166">
        <f>1480/7</f>
        <v>211.42857142857142</v>
      </c>
      <c r="M1564" s="140"/>
      <c r="N1564" s="140"/>
      <c r="O1564" s="164">
        <f t="shared" si="180"/>
        <v>0</v>
      </c>
      <c r="P1564" s="166">
        <f>2*135*9</f>
        <v>2430</v>
      </c>
      <c r="Q1564" s="166">
        <v>1</v>
      </c>
      <c r="R1564" s="164">
        <f>$L1564*'Pivot Objective'!$C$9*P1564*Q1564</f>
        <v>587200.20475011424</v>
      </c>
      <c r="S1564" s="166"/>
      <c r="T1564" s="166"/>
      <c r="U1564" s="164">
        <f>($L1564*'Pivot Objective'!$C$9^2)*S1564*T1564</f>
        <v>0</v>
      </c>
      <c r="V1564" s="166"/>
      <c r="W1564" s="166"/>
      <c r="X1564" s="164">
        <f>($L1564*'Pivot Objective'!$C$9^3)*V1564*W1564</f>
        <v>0</v>
      </c>
      <c r="Y1564" s="166"/>
      <c r="Z1564" s="166"/>
      <c r="AA1564" s="164">
        <f>($L1564*'Pivot Objective'!$C$9^4)*Y1564*Z1564</f>
        <v>0</v>
      </c>
      <c r="AB1564" s="166"/>
      <c r="AC1564" s="166"/>
      <c r="AD1564" s="164">
        <f>($L1564*'Pivot Objective'!$C$9^5)*AB1564*AC1564</f>
        <v>0</v>
      </c>
      <c r="AE1564" s="166">
        <f>2*135*9</f>
        <v>2430</v>
      </c>
      <c r="AF1564" s="166">
        <v>1</v>
      </c>
      <c r="AG1564" s="164">
        <f>($L1564*'Pivot Objective'!$C$9^6)*AE1564*AF1564</f>
        <v>1145163.3626998325</v>
      </c>
      <c r="AH1564" s="166"/>
      <c r="AI1564" s="166"/>
      <c r="AJ1564" s="164">
        <f>($L1564*'Pivot Objective'!$C$9^7)*AH1564*AI1564</f>
        <v>0</v>
      </c>
      <c r="AK1564" s="185">
        <f t="shared" si="181"/>
        <v>1732363.5674499469</v>
      </c>
      <c r="AL1564" s="186">
        <f t="shared" si="182"/>
        <v>1681.906376164997</v>
      </c>
    </row>
    <row r="1565" spans="1:38" customFormat="1" ht="43.2" x14ac:dyDescent="0.3">
      <c r="A1565" s="140" t="s">
        <v>1485</v>
      </c>
      <c r="B1565" s="140">
        <v>3</v>
      </c>
      <c r="C1565" s="166" t="s">
        <v>696</v>
      </c>
      <c r="D1565" s="140" t="str">
        <f t="shared" si="177"/>
        <v>2</v>
      </c>
      <c r="E1565" s="166" t="s">
        <v>690</v>
      </c>
      <c r="F1565" s="140">
        <f t="shared" ref="F1565:F1596" si="183">IF(H1565=H1564,F1564,F1564+1)</f>
        <v>2</v>
      </c>
      <c r="G1565" s="140" t="str">
        <f t="shared" si="178"/>
        <v>3.2.2</v>
      </c>
      <c r="H1565" s="166" t="s">
        <v>1717</v>
      </c>
      <c r="I1565" s="166" t="s">
        <v>23</v>
      </c>
      <c r="J1565" s="166" t="s">
        <v>258</v>
      </c>
      <c r="K1565" s="166" t="s">
        <v>709</v>
      </c>
      <c r="L1565" s="166">
        <v>35000</v>
      </c>
      <c r="M1565" s="140"/>
      <c r="N1565" s="140"/>
      <c r="O1565" s="164">
        <f t="shared" si="180"/>
        <v>0</v>
      </c>
      <c r="P1565" s="166">
        <v>20</v>
      </c>
      <c r="Q1565" s="166">
        <v>1</v>
      </c>
      <c r="R1565" s="164">
        <f>$L1565*'Pivot Objective'!$C$9*P1565*Q1565</f>
        <v>800044.76789999986</v>
      </c>
      <c r="S1565" s="166">
        <v>0</v>
      </c>
      <c r="T1565" s="166">
        <v>0</v>
      </c>
      <c r="U1565" s="164">
        <f>($L1565*'Pivot Objective'!$C$9^2)*S1565*T1565</f>
        <v>0</v>
      </c>
      <c r="V1565" s="166">
        <v>0</v>
      </c>
      <c r="W1565" s="166">
        <v>0</v>
      </c>
      <c r="X1565" s="164">
        <f>($L1565*'Pivot Objective'!$C$9^3)*V1565*W1565</f>
        <v>0</v>
      </c>
      <c r="Y1565" s="166">
        <v>0</v>
      </c>
      <c r="Z1565" s="166">
        <v>0</v>
      </c>
      <c r="AA1565" s="164">
        <f>($L1565*'Pivot Objective'!$C$9^4)*Y1565*Z1565</f>
        <v>0</v>
      </c>
      <c r="AB1565" s="166">
        <v>0</v>
      </c>
      <c r="AC1565" s="166">
        <v>0</v>
      </c>
      <c r="AD1565" s="164">
        <f>($L1565*'Pivot Objective'!$C$9^5)*AB1565*AC1565</f>
        <v>0</v>
      </c>
      <c r="AE1565" s="166">
        <v>20</v>
      </c>
      <c r="AF1565" s="166">
        <v>1</v>
      </c>
      <c r="AG1565" s="164">
        <f>($L1565*'Pivot Objective'!$C$9^6)*AE1565*AF1565</f>
        <v>1560254.8318399454</v>
      </c>
      <c r="AH1565" s="166">
        <v>0</v>
      </c>
      <c r="AI1565" s="166">
        <v>0</v>
      </c>
      <c r="AJ1565" s="164">
        <f>($L1565*'Pivot Objective'!$C$9^7)*AH1565*AI1565</f>
        <v>0</v>
      </c>
      <c r="AK1565" s="185">
        <f t="shared" si="181"/>
        <v>2360299.5997399455</v>
      </c>
      <c r="AL1565" s="186">
        <f t="shared" si="182"/>
        <v>2291.5530094562578</v>
      </c>
    </row>
    <row r="1566" spans="1:38" customFormat="1" ht="43.2" x14ac:dyDescent="0.3">
      <c r="A1566" s="140" t="s">
        <v>1485</v>
      </c>
      <c r="B1566" s="140">
        <v>3</v>
      </c>
      <c r="C1566" s="166" t="s">
        <v>696</v>
      </c>
      <c r="D1566" s="140" t="str">
        <f t="shared" si="177"/>
        <v>2</v>
      </c>
      <c r="E1566" s="166" t="s">
        <v>690</v>
      </c>
      <c r="F1566" s="140">
        <f t="shared" si="183"/>
        <v>2</v>
      </c>
      <c r="G1566" s="140" t="str">
        <f t="shared" si="178"/>
        <v>3.2.2</v>
      </c>
      <c r="H1566" s="166" t="s">
        <v>1717</v>
      </c>
      <c r="I1566" s="166" t="s">
        <v>23</v>
      </c>
      <c r="J1566" s="166" t="s">
        <v>259</v>
      </c>
      <c r="K1566" s="166" t="s">
        <v>718</v>
      </c>
      <c r="L1566" s="166">
        <v>0</v>
      </c>
      <c r="M1566" s="140"/>
      <c r="N1566" s="140"/>
      <c r="O1566" s="164">
        <f t="shared" si="180"/>
        <v>0</v>
      </c>
      <c r="P1566" s="166">
        <v>0</v>
      </c>
      <c r="Q1566" s="166">
        <v>0</v>
      </c>
      <c r="R1566" s="164">
        <f>$L1566*'Pivot Objective'!$C$9*P1566*Q1566</f>
        <v>0</v>
      </c>
      <c r="S1566" s="166">
        <v>0</v>
      </c>
      <c r="T1566" s="166">
        <v>0</v>
      </c>
      <c r="U1566" s="164">
        <f>($L1566*'Pivot Objective'!$C$9^2)*S1566*T1566</f>
        <v>0</v>
      </c>
      <c r="V1566" s="166">
        <v>0</v>
      </c>
      <c r="W1566" s="166">
        <v>0</v>
      </c>
      <c r="X1566" s="164">
        <f>($L1566*'Pivot Objective'!$C$9^3)*V1566*W1566</f>
        <v>0</v>
      </c>
      <c r="Y1566" s="166">
        <v>0</v>
      </c>
      <c r="Z1566" s="166">
        <v>0</v>
      </c>
      <c r="AA1566" s="164">
        <f>($L1566*'Pivot Objective'!$C$9^4)*Y1566*Z1566</f>
        <v>0</v>
      </c>
      <c r="AB1566" s="166">
        <v>0</v>
      </c>
      <c r="AC1566" s="166">
        <v>0</v>
      </c>
      <c r="AD1566" s="164">
        <f>($L1566*'Pivot Objective'!$C$9^5)*AB1566*AC1566</f>
        <v>0</v>
      </c>
      <c r="AE1566" s="166">
        <v>0</v>
      </c>
      <c r="AF1566" s="166">
        <v>0</v>
      </c>
      <c r="AG1566" s="164">
        <f>($L1566*'Pivot Objective'!$C$9^6)*AE1566*AF1566</f>
        <v>0</v>
      </c>
      <c r="AH1566" s="166">
        <v>0</v>
      </c>
      <c r="AI1566" s="166">
        <v>0</v>
      </c>
      <c r="AJ1566" s="164">
        <f>($L1566*'Pivot Objective'!$C$9^7)*AH1566*AI1566</f>
        <v>0</v>
      </c>
      <c r="AK1566" s="185">
        <f t="shared" si="181"/>
        <v>0</v>
      </c>
      <c r="AL1566" s="186">
        <f t="shared" si="182"/>
        <v>0</v>
      </c>
    </row>
    <row r="1567" spans="1:38" customFormat="1" ht="43.2" x14ac:dyDescent="0.3">
      <c r="A1567" s="140" t="s">
        <v>1485</v>
      </c>
      <c r="B1567" s="140">
        <v>3</v>
      </c>
      <c r="C1567" s="166" t="s">
        <v>696</v>
      </c>
      <c r="D1567" s="140" t="str">
        <f t="shared" si="177"/>
        <v>2</v>
      </c>
      <c r="E1567" s="166" t="s">
        <v>690</v>
      </c>
      <c r="F1567" s="140">
        <f t="shared" si="183"/>
        <v>2</v>
      </c>
      <c r="G1567" s="140" t="str">
        <f t="shared" si="178"/>
        <v>3.2.2</v>
      </c>
      <c r="H1567" s="166" t="s">
        <v>1717</v>
      </c>
      <c r="I1567" s="166" t="s">
        <v>23</v>
      </c>
      <c r="J1567" s="166" t="s">
        <v>260</v>
      </c>
      <c r="K1567" s="166" t="s">
        <v>718</v>
      </c>
      <c r="L1567" s="166">
        <v>0</v>
      </c>
      <c r="M1567" s="140"/>
      <c r="N1567" s="140"/>
      <c r="O1567" s="164">
        <f t="shared" si="180"/>
        <v>0</v>
      </c>
      <c r="P1567" s="166">
        <v>0</v>
      </c>
      <c r="Q1567" s="166">
        <v>0</v>
      </c>
      <c r="R1567" s="164">
        <f>$L1567*'Pivot Objective'!$C$9*P1567*Q1567</f>
        <v>0</v>
      </c>
      <c r="S1567" s="166">
        <v>0</v>
      </c>
      <c r="T1567" s="166">
        <v>0</v>
      </c>
      <c r="U1567" s="164">
        <f>($L1567*'Pivot Objective'!$C$9^2)*S1567*T1567</f>
        <v>0</v>
      </c>
      <c r="V1567" s="166">
        <v>0</v>
      </c>
      <c r="W1567" s="166">
        <v>0</v>
      </c>
      <c r="X1567" s="164">
        <f>($L1567*'Pivot Objective'!$C$9^3)*V1567*W1567</f>
        <v>0</v>
      </c>
      <c r="Y1567" s="166">
        <v>0</v>
      </c>
      <c r="Z1567" s="166">
        <v>0</v>
      </c>
      <c r="AA1567" s="164">
        <f>($L1567*'Pivot Objective'!$C$9^4)*Y1567*Z1567</f>
        <v>0</v>
      </c>
      <c r="AB1567" s="166">
        <v>0</v>
      </c>
      <c r="AC1567" s="166">
        <v>0</v>
      </c>
      <c r="AD1567" s="164">
        <f>($L1567*'Pivot Objective'!$C$9^5)*AB1567*AC1567</f>
        <v>0</v>
      </c>
      <c r="AE1567" s="166">
        <v>0</v>
      </c>
      <c r="AF1567" s="166">
        <v>0</v>
      </c>
      <c r="AG1567" s="164">
        <f>($L1567*'Pivot Objective'!$C$9^6)*AE1567*AF1567</f>
        <v>0</v>
      </c>
      <c r="AH1567" s="166">
        <v>0</v>
      </c>
      <c r="AI1567" s="166">
        <v>0</v>
      </c>
      <c r="AJ1567" s="164">
        <f>($L1567*'Pivot Objective'!$C$9^7)*AH1567*AI1567</f>
        <v>0</v>
      </c>
      <c r="AK1567" s="185">
        <f t="shared" si="181"/>
        <v>0</v>
      </c>
      <c r="AL1567" s="186">
        <f t="shared" si="182"/>
        <v>0</v>
      </c>
    </row>
    <row r="1568" spans="1:38" customFormat="1" ht="43.2" x14ac:dyDescent="0.3">
      <c r="A1568" s="140" t="s">
        <v>1485</v>
      </c>
      <c r="B1568" s="140">
        <v>3</v>
      </c>
      <c r="C1568" s="166" t="s">
        <v>696</v>
      </c>
      <c r="D1568" s="140" t="str">
        <f t="shared" si="177"/>
        <v>2</v>
      </c>
      <c r="E1568" s="166" t="s">
        <v>690</v>
      </c>
      <c r="F1568" s="140">
        <f t="shared" si="183"/>
        <v>2</v>
      </c>
      <c r="G1568" s="140" t="str">
        <f t="shared" si="178"/>
        <v>3.2.2</v>
      </c>
      <c r="H1568" s="166" t="s">
        <v>1717</v>
      </c>
      <c r="I1568" s="166" t="s">
        <v>23</v>
      </c>
      <c r="J1568" s="166" t="s">
        <v>261</v>
      </c>
      <c r="K1568" s="166" t="s">
        <v>716</v>
      </c>
      <c r="L1568" s="166">
        <v>39000</v>
      </c>
      <c r="M1568" s="140"/>
      <c r="N1568" s="140"/>
      <c r="O1568" s="164">
        <f t="shared" si="180"/>
        <v>0</v>
      </c>
      <c r="P1568" s="166">
        <v>45</v>
      </c>
      <c r="Q1568" s="166">
        <v>3</v>
      </c>
      <c r="R1568" s="164">
        <f>$L1568*'Pivot Objective'!$C$9*P1568*Q1568</f>
        <v>6017479.5757049993</v>
      </c>
      <c r="S1568" s="166">
        <v>0</v>
      </c>
      <c r="T1568" s="166">
        <v>0</v>
      </c>
      <c r="U1568" s="164">
        <f>($L1568*'Pivot Objective'!$C$9^2)*S1568*T1568</f>
        <v>0</v>
      </c>
      <c r="V1568" s="166">
        <v>0</v>
      </c>
      <c r="W1568" s="166">
        <v>0</v>
      </c>
      <c r="X1568" s="164">
        <f>($L1568*'Pivot Objective'!$C$9^3)*V1568*W1568</f>
        <v>0</v>
      </c>
      <c r="Y1568" s="166">
        <v>0</v>
      </c>
      <c r="Z1568" s="166">
        <v>0</v>
      </c>
      <c r="AA1568" s="164">
        <f>($L1568*'Pivot Objective'!$C$9^4)*Y1568*Z1568</f>
        <v>0</v>
      </c>
      <c r="AB1568" s="166">
        <v>0</v>
      </c>
      <c r="AC1568" s="166">
        <v>0</v>
      </c>
      <c r="AD1568" s="164">
        <f>($L1568*'Pivot Objective'!$C$9^5)*AB1568*AC1568</f>
        <v>0</v>
      </c>
      <c r="AE1568" s="166">
        <v>45</v>
      </c>
      <c r="AF1568" s="166">
        <v>3</v>
      </c>
      <c r="AG1568" s="164">
        <f>($L1568*'Pivot Objective'!$C$9^6)*AE1568*AF1568</f>
        <v>11735345.270910447</v>
      </c>
      <c r="AH1568" s="166">
        <v>0</v>
      </c>
      <c r="AI1568" s="166">
        <v>0</v>
      </c>
      <c r="AJ1568" s="164">
        <f>($L1568*'Pivot Objective'!$C$9^7)*AH1568*AI1568</f>
        <v>0</v>
      </c>
      <c r="AK1568" s="185">
        <f t="shared" si="181"/>
        <v>17752824.846615449</v>
      </c>
      <c r="AL1568" s="186">
        <f t="shared" si="182"/>
        <v>17235.752278267424</v>
      </c>
    </row>
    <row r="1569" spans="1:38" customFormat="1" ht="43.2" x14ac:dyDescent="0.3">
      <c r="A1569" s="140" t="s">
        <v>1485</v>
      </c>
      <c r="B1569" s="140">
        <v>3</v>
      </c>
      <c r="C1569" s="166" t="s">
        <v>696</v>
      </c>
      <c r="D1569" s="140" t="str">
        <f t="shared" si="177"/>
        <v>2</v>
      </c>
      <c r="E1569" s="166" t="s">
        <v>690</v>
      </c>
      <c r="F1569" s="140">
        <f t="shared" si="183"/>
        <v>2</v>
      </c>
      <c r="G1569" s="140" t="str">
        <f t="shared" si="178"/>
        <v>3.2.2</v>
      </c>
      <c r="H1569" s="166" t="s">
        <v>1717</v>
      </c>
      <c r="I1569" s="166" t="s">
        <v>23</v>
      </c>
      <c r="J1569" s="166" t="s">
        <v>261</v>
      </c>
      <c r="K1569" s="166" t="s">
        <v>709</v>
      </c>
      <c r="L1569" s="166">
        <v>35000</v>
      </c>
      <c r="M1569" s="140"/>
      <c r="N1569" s="140"/>
      <c r="O1569" s="164">
        <f t="shared" si="180"/>
        <v>0</v>
      </c>
      <c r="P1569" s="166">
        <v>45</v>
      </c>
      <c r="Q1569" s="166">
        <v>3</v>
      </c>
      <c r="R1569" s="164">
        <f>$L1569*'Pivot Objective'!$C$9*P1569*Q1569</f>
        <v>5400302.1833249982</v>
      </c>
      <c r="S1569" s="166">
        <v>0</v>
      </c>
      <c r="T1569" s="166">
        <v>0</v>
      </c>
      <c r="U1569" s="164">
        <f>($L1569*'Pivot Objective'!$C$9^2)*S1569*T1569</f>
        <v>0</v>
      </c>
      <c r="V1569" s="166">
        <v>0</v>
      </c>
      <c r="W1569" s="166">
        <v>0</v>
      </c>
      <c r="X1569" s="164">
        <f>($L1569*'Pivot Objective'!$C$9^3)*V1569*W1569</f>
        <v>0</v>
      </c>
      <c r="Y1569" s="166">
        <v>0</v>
      </c>
      <c r="Z1569" s="166">
        <v>0</v>
      </c>
      <c r="AA1569" s="164">
        <f>($L1569*'Pivot Objective'!$C$9^4)*Y1569*Z1569</f>
        <v>0</v>
      </c>
      <c r="AB1569" s="166">
        <v>0</v>
      </c>
      <c r="AC1569" s="166">
        <v>0</v>
      </c>
      <c r="AD1569" s="164">
        <f>($L1569*'Pivot Objective'!$C$9^5)*AB1569*AC1569</f>
        <v>0</v>
      </c>
      <c r="AE1569" s="166">
        <v>45</v>
      </c>
      <c r="AF1569" s="166">
        <v>3</v>
      </c>
      <c r="AG1569" s="164">
        <f>($L1569*'Pivot Objective'!$C$9^6)*AE1569*AF1569</f>
        <v>10531720.114919631</v>
      </c>
      <c r="AH1569" s="166">
        <v>0</v>
      </c>
      <c r="AI1569" s="166">
        <v>0</v>
      </c>
      <c r="AJ1569" s="164">
        <f>($L1569*'Pivot Objective'!$C$9^7)*AH1569*AI1569</f>
        <v>0</v>
      </c>
      <c r="AK1569" s="185">
        <f t="shared" si="181"/>
        <v>15932022.298244629</v>
      </c>
      <c r="AL1569" s="186">
        <f t="shared" si="182"/>
        <v>15467.982813829736</v>
      </c>
    </row>
    <row r="1570" spans="1:38" customFormat="1" ht="43.2" x14ac:dyDescent="0.3">
      <c r="A1570" s="140" t="s">
        <v>1485</v>
      </c>
      <c r="B1570" s="140">
        <v>3</v>
      </c>
      <c r="C1570" s="166" t="s">
        <v>696</v>
      </c>
      <c r="D1570" s="140" t="str">
        <f t="shared" si="177"/>
        <v>2</v>
      </c>
      <c r="E1570" s="166" t="s">
        <v>690</v>
      </c>
      <c r="F1570" s="140">
        <f t="shared" si="183"/>
        <v>2</v>
      </c>
      <c r="G1570" s="140" t="str">
        <f t="shared" si="178"/>
        <v>3.2.2</v>
      </c>
      <c r="H1570" s="166" t="s">
        <v>1717</v>
      </c>
      <c r="I1570" s="166" t="s">
        <v>23</v>
      </c>
      <c r="J1570" s="166" t="s">
        <v>261</v>
      </c>
      <c r="K1570" s="166" t="s">
        <v>712</v>
      </c>
      <c r="L1570" s="166">
        <f>1480/7</f>
        <v>211.42857142857142</v>
      </c>
      <c r="M1570" s="140"/>
      <c r="N1570" s="140"/>
      <c r="O1570" s="164">
        <f t="shared" si="180"/>
        <v>0</v>
      </c>
      <c r="P1570" s="166">
        <f>2*25*9</f>
        <v>450</v>
      </c>
      <c r="Q1570" s="166">
        <v>3</v>
      </c>
      <c r="R1570" s="164">
        <f>$L1570*'Pivot Objective'!$C$9*P1570*Q1570</f>
        <v>326222.33597228565</v>
      </c>
      <c r="S1570" s="166">
        <v>0</v>
      </c>
      <c r="T1570" s="166">
        <v>0</v>
      </c>
      <c r="U1570" s="164">
        <f>($L1570*'Pivot Objective'!$C$9^2)*S1570*T1570</f>
        <v>0</v>
      </c>
      <c r="V1570" s="166">
        <v>0</v>
      </c>
      <c r="W1570" s="166">
        <v>0</v>
      </c>
      <c r="X1570" s="164">
        <f>($L1570*'Pivot Objective'!$C$9^3)*V1570*W1570</f>
        <v>0</v>
      </c>
      <c r="Y1570" s="166">
        <v>0</v>
      </c>
      <c r="Z1570" s="166">
        <v>0</v>
      </c>
      <c r="AA1570" s="164">
        <f>($L1570*'Pivot Objective'!$C$9^4)*Y1570*Z1570</f>
        <v>0</v>
      </c>
      <c r="AB1570" s="166">
        <v>0</v>
      </c>
      <c r="AC1570" s="166">
        <v>0</v>
      </c>
      <c r="AD1570" s="164">
        <f>($L1570*'Pivot Objective'!$C$9^5)*AB1570*AC1570</f>
        <v>0</v>
      </c>
      <c r="AE1570" s="166">
        <f>2*25*9</f>
        <v>450</v>
      </c>
      <c r="AF1570" s="166">
        <v>3</v>
      </c>
      <c r="AG1570" s="164">
        <f>($L1570*'Pivot Objective'!$C$9^6)*AE1570*AF1570</f>
        <v>636201.86816657369</v>
      </c>
      <c r="AH1570" s="166">
        <v>0</v>
      </c>
      <c r="AI1570" s="166">
        <v>0</v>
      </c>
      <c r="AJ1570" s="164">
        <f>($L1570*'Pivot Objective'!$C$9^7)*AH1570*AI1570</f>
        <v>0</v>
      </c>
      <c r="AK1570" s="185">
        <f t="shared" si="181"/>
        <v>962424.20413885941</v>
      </c>
      <c r="AL1570" s="186">
        <f t="shared" si="182"/>
        <v>934.39243120277615</v>
      </c>
    </row>
    <row r="1571" spans="1:38" customFormat="1" ht="43.2" x14ac:dyDescent="0.3">
      <c r="A1571" s="140" t="s">
        <v>1485</v>
      </c>
      <c r="B1571" s="140">
        <v>3</v>
      </c>
      <c r="C1571" s="166" t="s">
        <v>696</v>
      </c>
      <c r="D1571" s="140" t="str">
        <f t="shared" si="177"/>
        <v>2</v>
      </c>
      <c r="E1571" s="166" t="s">
        <v>690</v>
      </c>
      <c r="F1571" s="140">
        <f t="shared" si="183"/>
        <v>2</v>
      </c>
      <c r="G1571" s="140" t="str">
        <f t="shared" si="178"/>
        <v>3.2.2</v>
      </c>
      <c r="H1571" s="166" t="s">
        <v>1717</v>
      </c>
      <c r="I1571" s="166" t="s">
        <v>23</v>
      </c>
      <c r="J1571" s="166" t="s">
        <v>261</v>
      </c>
      <c r="K1571" s="166" t="s">
        <v>1336</v>
      </c>
      <c r="L1571" s="166">
        <f>1480/7</f>
        <v>211.42857142857142</v>
      </c>
      <c r="M1571" s="140"/>
      <c r="N1571" s="140"/>
      <c r="O1571" s="164">
        <f t="shared" si="180"/>
        <v>0</v>
      </c>
      <c r="P1571" s="166">
        <f>2*135*9</f>
        <v>2430</v>
      </c>
      <c r="Q1571" s="166">
        <v>1</v>
      </c>
      <c r="R1571" s="164">
        <f>$L1571*'Pivot Objective'!$C$9*P1571*Q1571</f>
        <v>587200.20475011424</v>
      </c>
      <c r="S1571" s="166"/>
      <c r="T1571" s="166"/>
      <c r="U1571" s="164">
        <f>($L1571*'Pivot Objective'!$C$9^2)*S1571*T1571</f>
        <v>0</v>
      </c>
      <c r="V1571" s="166"/>
      <c r="W1571" s="166"/>
      <c r="X1571" s="164">
        <f>($L1571*'Pivot Objective'!$C$9^3)*V1571*W1571</f>
        <v>0</v>
      </c>
      <c r="Y1571" s="166"/>
      <c r="Z1571" s="166"/>
      <c r="AA1571" s="164">
        <f>($L1571*'Pivot Objective'!$C$9^4)*Y1571*Z1571</f>
        <v>0</v>
      </c>
      <c r="AB1571" s="166"/>
      <c r="AC1571" s="166"/>
      <c r="AD1571" s="164">
        <f>($L1571*'Pivot Objective'!$C$9^5)*AB1571*AC1571</f>
        <v>0</v>
      </c>
      <c r="AE1571" s="166">
        <f>2*135*9</f>
        <v>2430</v>
      </c>
      <c r="AF1571" s="166">
        <v>1</v>
      </c>
      <c r="AG1571" s="164">
        <f>($L1571*'Pivot Objective'!$C$9^6)*AE1571*AF1571</f>
        <v>1145163.3626998325</v>
      </c>
      <c r="AH1571" s="166"/>
      <c r="AI1571" s="166"/>
      <c r="AJ1571" s="164">
        <f>($L1571*'Pivot Objective'!$C$9^7)*AH1571*AI1571</f>
        <v>0</v>
      </c>
      <c r="AK1571" s="185">
        <f t="shared" si="181"/>
        <v>1732363.5674499469</v>
      </c>
      <c r="AL1571" s="186">
        <f t="shared" si="182"/>
        <v>1681.906376164997</v>
      </c>
    </row>
    <row r="1572" spans="1:38" customFormat="1" ht="43.2" x14ac:dyDescent="0.3">
      <c r="A1572" s="140" t="s">
        <v>1485</v>
      </c>
      <c r="B1572" s="140">
        <v>3</v>
      </c>
      <c r="C1572" s="166" t="s">
        <v>696</v>
      </c>
      <c r="D1572" s="140" t="str">
        <f t="shared" si="177"/>
        <v>2</v>
      </c>
      <c r="E1572" s="166" t="s">
        <v>690</v>
      </c>
      <c r="F1572" s="140">
        <f t="shared" si="183"/>
        <v>3</v>
      </c>
      <c r="G1572" s="140" t="str">
        <f t="shared" si="178"/>
        <v>3.2.3</v>
      </c>
      <c r="H1572" s="168" t="s">
        <v>652</v>
      </c>
      <c r="I1572" s="166" t="s">
        <v>24</v>
      </c>
      <c r="J1572" s="166" t="s">
        <v>262</v>
      </c>
      <c r="K1572" s="166" t="s">
        <v>718</v>
      </c>
      <c r="L1572" s="166">
        <v>0</v>
      </c>
      <c r="M1572" s="166"/>
      <c r="N1572" s="166"/>
      <c r="O1572" s="164">
        <f t="shared" si="180"/>
        <v>0</v>
      </c>
      <c r="P1572" s="166"/>
      <c r="Q1572" s="166"/>
      <c r="R1572" s="164">
        <f>$L1572*'Pivot Objective'!$C$9*P1572*Q1572</f>
        <v>0</v>
      </c>
      <c r="S1572" s="166">
        <v>0</v>
      </c>
      <c r="T1572" s="166">
        <v>0</v>
      </c>
      <c r="U1572" s="164">
        <f>($L1572*'Pivot Objective'!$C$9^2)*S1572*T1572</f>
        <v>0</v>
      </c>
      <c r="V1572" s="166">
        <v>0</v>
      </c>
      <c r="W1572" s="166">
        <v>0</v>
      </c>
      <c r="X1572" s="164">
        <f>($L1572*'Pivot Objective'!$C$9^3)*V1572*W1572</f>
        <v>0</v>
      </c>
      <c r="Y1572" s="166">
        <v>0</v>
      </c>
      <c r="Z1572" s="166">
        <v>0</v>
      </c>
      <c r="AA1572" s="164">
        <f>($L1572*'Pivot Objective'!$C$9^4)*Y1572*Z1572</f>
        <v>0</v>
      </c>
      <c r="AB1572" s="166">
        <v>0</v>
      </c>
      <c r="AC1572" s="166">
        <v>0</v>
      </c>
      <c r="AD1572" s="164">
        <f>($L1572*'Pivot Objective'!$C$9^5)*AB1572*AC1572</f>
        <v>0</v>
      </c>
      <c r="AE1572" s="166">
        <v>0</v>
      </c>
      <c r="AF1572" s="166">
        <v>0</v>
      </c>
      <c r="AG1572" s="164">
        <f>($L1572*'Pivot Objective'!$C$9^6)*AE1572*AF1572</f>
        <v>0</v>
      </c>
      <c r="AH1572" s="166">
        <v>0</v>
      </c>
      <c r="AI1572" s="166">
        <v>0</v>
      </c>
      <c r="AJ1572" s="164">
        <f>($L1572*'Pivot Objective'!$C$9^7)*AH1572*AI1572</f>
        <v>0</v>
      </c>
      <c r="AK1572" s="185">
        <f t="shared" si="181"/>
        <v>0</v>
      </c>
      <c r="AL1572" s="186">
        <f t="shared" si="182"/>
        <v>0</v>
      </c>
    </row>
    <row r="1573" spans="1:38" customFormat="1" ht="43.2" x14ac:dyDescent="0.3">
      <c r="A1573" s="140" t="s">
        <v>1485</v>
      </c>
      <c r="B1573" s="140">
        <v>3</v>
      </c>
      <c r="C1573" s="166" t="s">
        <v>696</v>
      </c>
      <c r="D1573" s="140" t="str">
        <f t="shared" si="177"/>
        <v>2</v>
      </c>
      <c r="E1573" s="166" t="s">
        <v>690</v>
      </c>
      <c r="F1573" s="140">
        <f t="shared" si="183"/>
        <v>3</v>
      </c>
      <c r="G1573" s="140" t="str">
        <f t="shared" si="178"/>
        <v>3.2.3</v>
      </c>
      <c r="H1573" s="168" t="s">
        <v>652</v>
      </c>
      <c r="I1573" s="166" t="s">
        <v>24</v>
      </c>
      <c r="J1573" s="166" t="s">
        <v>263</v>
      </c>
      <c r="K1573" s="166" t="s">
        <v>718</v>
      </c>
      <c r="L1573" s="166">
        <v>0</v>
      </c>
      <c r="M1573" s="166"/>
      <c r="N1573" s="166"/>
      <c r="O1573" s="164">
        <f t="shared" si="180"/>
        <v>0</v>
      </c>
      <c r="P1573" s="166"/>
      <c r="Q1573" s="166"/>
      <c r="R1573" s="164">
        <f>$L1573*'Pivot Objective'!$C$9*P1573*Q1573</f>
        <v>0</v>
      </c>
      <c r="S1573" s="166">
        <v>0</v>
      </c>
      <c r="T1573" s="166">
        <v>0</v>
      </c>
      <c r="U1573" s="164">
        <f>($L1573*'Pivot Objective'!$C$9^2)*S1573*T1573</f>
        <v>0</v>
      </c>
      <c r="V1573" s="166">
        <v>0</v>
      </c>
      <c r="W1573" s="166">
        <v>0</v>
      </c>
      <c r="X1573" s="164">
        <f>($L1573*'Pivot Objective'!$C$9^3)*V1573*W1573</f>
        <v>0</v>
      </c>
      <c r="Y1573" s="166">
        <v>0</v>
      </c>
      <c r="Z1573" s="166">
        <v>0</v>
      </c>
      <c r="AA1573" s="164">
        <f>($L1573*'Pivot Objective'!$C$9^4)*Y1573*Z1573</f>
        <v>0</v>
      </c>
      <c r="AB1573" s="166">
        <v>0</v>
      </c>
      <c r="AC1573" s="166">
        <v>0</v>
      </c>
      <c r="AD1573" s="164">
        <f>($L1573*'Pivot Objective'!$C$9^5)*AB1573*AC1573</f>
        <v>0</v>
      </c>
      <c r="AE1573" s="166">
        <v>0</v>
      </c>
      <c r="AF1573" s="166">
        <v>0</v>
      </c>
      <c r="AG1573" s="164">
        <f>($L1573*'Pivot Objective'!$C$9^6)*AE1573*AF1573</f>
        <v>0</v>
      </c>
      <c r="AH1573" s="166">
        <v>0</v>
      </c>
      <c r="AI1573" s="166">
        <v>0</v>
      </c>
      <c r="AJ1573" s="164">
        <f>($L1573*'Pivot Objective'!$C$9^7)*AH1573*AI1573</f>
        <v>0</v>
      </c>
      <c r="AK1573" s="185">
        <f t="shared" si="181"/>
        <v>0</v>
      </c>
      <c r="AL1573" s="186">
        <f t="shared" si="182"/>
        <v>0</v>
      </c>
    </row>
    <row r="1574" spans="1:38" customFormat="1" ht="43.2" x14ac:dyDescent="0.3">
      <c r="A1574" s="140" t="s">
        <v>1485</v>
      </c>
      <c r="B1574" s="140">
        <v>3</v>
      </c>
      <c r="C1574" s="166" t="s">
        <v>696</v>
      </c>
      <c r="D1574" s="140" t="str">
        <f t="shared" si="177"/>
        <v>2</v>
      </c>
      <c r="E1574" s="166" t="s">
        <v>690</v>
      </c>
      <c r="F1574" s="140">
        <f t="shared" si="183"/>
        <v>3</v>
      </c>
      <c r="G1574" s="140" t="str">
        <f t="shared" si="178"/>
        <v>3.2.3</v>
      </c>
      <c r="H1574" s="168" t="s">
        <v>652</v>
      </c>
      <c r="I1574" s="166" t="s">
        <v>24</v>
      </c>
      <c r="J1574" s="166" t="s">
        <v>264</v>
      </c>
      <c r="K1574" s="166" t="s">
        <v>716</v>
      </c>
      <c r="L1574" s="166">
        <v>39000</v>
      </c>
      <c r="M1574" s="166"/>
      <c r="N1574" s="166"/>
      <c r="O1574" s="164">
        <f t="shared" si="180"/>
        <v>0</v>
      </c>
      <c r="P1574" s="166"/>
      <c r="Q1574" s="166"/>
      <c r="R1574" s="164">
        <f>$L1574*'Pivot Objective'!$C$9*P1574*Q1574</f>
        <v>0</v>
      </c>
      <c r="S1574" s="166">
        <v>30</v>
      </c>
      <c r="T1574" s="166">
        <v>4</v>
      </c>
      <c r="U1574" s="164">
        <f>($L1574*'Pivot Objective'!$C$9^2)*S1574*T1574</f>
        <v>6113337.2069687573</v>
      </c>
      <c r="V1574" s="166">
        <v>0</v>
      </c>
      <c r="W1574" s="166">
        <v>0</v>
      </c>
      <c r="X1574" s="164">
        <f>($L1574*'Pivot Objective'!$C$9^3)*V1574*W1574</f>
        <v>0</v>
      </c>
      <c r="Y1574" s="166">
        <v>0</v>
      </c>
      <c r="Z1574" s="166">
        <v>0</v>
      </c>
      <c r="AA1574" s="164">
        <f>($L1574*'Pivot Objective'!$C$9^4)*Y1574*Z1574</f>
        <v>0</v>
      </c>
      <c r="AB1574" s="166">
        <v>0</v>
      </c>
      <c r="AC1574" s="166">
        <v>0</v>
      </c>
      <c r="AD1574" s="164">
        <f>($L1574*'Pivot Objective'!$C$9^5)*AB1574*AC1574</f>
        <v>0</v>
      </c>
      <c r="AE1574" s="166">
        <v>0</v>
      </c>
      <c r="AF1574" s="166">
        <v>0</v>
      </c>
      <c r="AG1574" s="164">
        <f>($L1574*'Pivot Objective'!$C$9^6)*AE1574*AF1574</f>
        <v>0</v>
      </c>
      <c r="AH1574" s="166">
        <v>30</v>
      </c>
      <c r="AI1574" s="166">
        <v>4</v>
      </c>
      <c r="AJ1574" s="164">
        <f>($L1574*'Pivot Objective'!$C$9^7)*AH1574*AI1574</f>
        <v>11922287.725069093</v>
      </c>
      <c r="AK1574" s="185">
        <f t="shared" si="181"/>
        <v>18035624.932037849</v>
      </c>
      <c r="AL1574" s="186">
        <f t="shared" si="182"/>
        <v>17510.315467997912</v>
      </c>
    </row>
    <row r="1575" spans="1:38" customFormat="1" ht="43.2" x14ac:dyDescent="0.3">
      <c r="A1575" s="140" t="s">
        <v>1485</v>
      </c>
      <c r="B1575" s="140">
        <v>3</v>
      </c>
      <c r="C1575" s="166" t="s">
        <v>696</v>
      </c>
      <c r="D1575" s="140" t="str">
        <f t="shared" si="177"/>
        <v>2</v>
      </c>
      <c r="E1575" s="166" t="s">
        <v>690</v>
      </c>
      <c r="F1575" s="140">
        <f t="shared" si="183"/>
        <v>3</v>
      </c>
      <c r="G1575" s="140" t="str">
        <f t="shared" si="178"/>
        <v>3.2.3</v>
      </c>
      <c r="H1575" s="168" t="s">
        <v>652</v>
      </c>
      <c r="I1575" s="166" t="s">
        <v>24</v>
      </c>
      <c r="J1575" s="166" t="s">
        <v>264</v>
      </c>
      <c r="K1575" s="166" t="s">
        <v>709</v>
      </c>
      <c r="L1575" s="166">
        <v>35000</v>
      </c>
      <c r="M1575" s="166"/>
      <c r="N1575" s="166"/>
      <c r="O1575" s="164">
        <f t="shared" si="180"/>
        <v>0</v>
      </c>
      <c r="P1575" s="166"/>
      <c r="Q1575" s="166"/>
      <c r="R1575" s="164">
        <f>$L1575*'Pivot Objective'!$C$9*P1575*Q1575</f>
        <v>0</v>
      </c>
      <c r="S1575" s="166">
        <v>30</v>
      </c>
      <c r="T1575" s="166">
        <v>3</v>
      </c>
      <c r="U1575" s="164">
        <f>($L1575*'Pivot Objective'!$C$9^2)*S1575*T1575</f>
        <v>4114746.1969982013</v>
      </c>
      <c r="V1575" s="166">
        <v>0</v>
      </c>
      <c r="W1575" s="166">
        <v>0</v>
      </c>
      <c r="X1575" s="164">
        <f>($L1575*'Pivot Objective'!$C$9^3)*V1575*W1575</f>
        <v>0</v>
      </c>
      <c r="Y1575" s="166">
        <v>0</v>
      </c>
      <c r="Z1575" s="166">
        <v>0</v>
      </c>
      <c r="AA1575" s="164">
        <f>($L1575*'Pivot Objective'!$C$9^4)*Y1575*Z1575</f>
        <v>0</v>
      </c>
      <c r="AB1575" s="166">
        <v>0</v>
      </c>
      <c r="AC1575" s="166">
        <v>0</v>
      </c>
      <c r="AD1575" s="164">
        <f>($L1575*'Pivot Objective'!$C$9^5)*AB1575*AC1575</f>
        <v>0</v>
      </c>
      <c r="AE1575" s="166">
        <v>0</v>
      </c>
      <c r="AF1575" s="166">
        <v>0</v>
      </c>
      <c r="AG1575" s="164">
        <f>($L1575*'Pivot Objective'!$C$9^6)*AE1575*AF1575</f>
        <v>0</v>
      </c>
      <c r="AH1575" s="166">
        <v>30</v>
      </c>
      <c r="AI1575" s="166">
        <v>3</v>
      </c>
      <c r="AJ1575" s="164">
        <f>($L1575*'Pivot Objective'!$C$9^7)*AH1575*AI1575</f>
        <v>8024616.7380272746</v>
      </c>
      <c r="AK1575" s="185">
        <f t="shared" si="181"/>
        <v>12139362.935025476</v>
      </c>
      <c r="AL1575" s="186">
        <f t="shared" si="182"/>
        <v>11785.789257306287</v>
      </c>
    </row>
    <row r="1576" spans="1:38" customFormat="1" ht="43.2" x14ac:dyDescent="0.3">
      <c r="A1576" s="140" t="s">
        <v>1485</v>
      </c>
      <c r="B1576" s="140">
        <v>3</v>
      </c>
      <c r="C1576" s="166" t="s">
        <v>696</v>
      </c>
      <c r="D1576" s="140" t="str">
        <f t="shared" si="177"/>
        <v>2</v>
      </c>
      <c r="E1576" s="166" t="s">
        <v>690</v>
      </c>
      <c r="F1576" s="140">
        <f t="shared" si="183"/>
        <v>3</v>
      </c>
      <c r="G1576" s="140" t="str">
        <f t="shared" si="178"/>
        <v>3.2.3</v>
      </c>
      <c r="H1576" s="168" t="s">
        <v>652</v>
      </c>
      <c r="I1576" s="166" t="s">
        <v>24</v>
      </c>
      <c r="J1576" s="166" t="s">
        <v>264</v>
      </c>
      <c r="K1576" s="166" t="s">
        <v>712</v>
      </c>
      <c r="L1576" s="166">
        <f>1480/7</f>
        <v>211.42857142857142</v>
      </c>
      <c r="M1576" s="166"/>
      <c r="N1576" s="166"/>
      <c r="O1576" s="164">
        <f t="shared" si="180"/>
        <v>0</v>
      </c>
      <c r="P1576" s="166"/>
      <c r="Q1576" s="166"/>
      <c r="R1576" s="164">
        <f>$L1576*'Pivot Objective'!$C$9*P1576*Q1576</f>
        <v>0</v>
      </c>
      <c r="S1576" s="166">
        <f>2*25*9</f>
        <v>450</v>
      </c>
      <c r="T1576" s="166">
        <v>3</v>
      </c>
      <c r="U1576" s="164">
        <f>($L1576*'Pivot Objective'!$C$9^2)*S1576*T1576</f>
        <v>372846.39009534731</v>
      </c>
      <c r="V1576" s="166">
        <v>0</v>
      </c>
      <c r="W1576" s="166">
        <v>0</v>
      </c>
      <c r="X1576" s="164">
        <f>($L1576*'Pivot Objective'!$C$9^3)*V1576*W1576</f>
        <v>0</v>
      </c>
      <c r="Y1576" s="166">
        <v>0</v>
      </c>
      <c r="Z1576" s="166">
        <v>0</v>
      </c>
      <c r="AA1576" s="164">
        <f>($L1576*'Pivot Objective'!$C$9^4)*Y1576*Z1576</f>
        <v>0</v>
      </c>
      <c r="AB1576" s="166">
        <v>0</v>
      </c>
      <c r="AC1576" s="166">
        <v>0</v>
      </c>
      <c r="AD1576" s="164">
        <f>($L1576*'Pivot Objective'!$C$9^5)*AB1576*AC1576</f>
        <v>0</v>
      </c>
      <c r="AE1576" s="166">
        <v>0</v>
      </c>
      <c r="AF1576" s="166">
        <v>0</v>
      </c>
      <c r="AG1576" s="164">
        <f>($L1576*'Pivot Objective'!$C$9^6)*AE1576*AF1576</f>
        <v>0</v>
      </c>
      <c r="AH1576" s="166">
        <f>2*25*9</f>
        <v>450</v>
      </c>
      <c r="AI1576" s="166">
        <v>3</v>
      </c>
      <c r="AJ1576" s="164">
        <f>($L1576*'Pivot Objective'!$C$9^7)*AH1576*AI1576</f>
        <v>727128.53707838967</v>
      </c>
      <c r="AK1576" s="185">
        <f t="shared" si="181"/>
        <v>1099974.927173737</v>
      </c>
      <c r="AL1576" s="186">
        <f t="shared" si="182"/>
        <v>1067.9368224987738</v>
      </c>
    </row>
    <row r="1577" spans="1:38" customFormat="1" ht="43.2" x14ac:dyDescent="0.3">
      <c r="A1577" s="140" t="s">
        <v>1485</v>
      </c>
      <c r="B1577" s="140">
        <v>3</v>
      </c>
      <c r="C1577" s="166" t="s">
        <v>696</v>
      </c>
      <c r="D1577" s="140" t="str">
        <f t="shared" si="177"/>
        <v>2</v>
      </c>
      <c r="E1577" s="166" t="s">
        <v>690</v>
      </c>
      <c r="F1577" s="140">
        <f t="shared" si="183"/>
        <v>3</v>
      </c>
      <c r="G1577" s="140" t="str">
        <f t="shared" si="178"/>
        <v>3.2.3</v>
      </c>
      <c r="H1577" s="168" t="s">
        <v>652</v>
      </c>
      <c r="I1577" s="166" t="s">
        <v>24</v>
      </c>
      <c r="J1577" s="166" t="s">
        <v>264</v>
      </c>
      <c r="K1577" s="166" t="s">
        <v>1336</v>
      </c>
      <c r="L1577" s="166">
        <f>1480/7</f>
        <v>211.42857142857142</v>
      </c>
      <c r="M1577" s="166"/>
      <c r="N1577" s="166"/>
      <c r="O1577" s="164">
        <f t="shared" si="180"/>
        <v>0</v>
      </c>
      <c r="P1577" s="166"/>
      <c r="Q1577" s="166"/>
      <c r="R1577" s="164">
        <f>$L1577*'Pivot Objective'!$C$9*P1577*Q1577</f>
        <v>0</v>
      </c>
      <c r="S1577" s="166">
        <f>2*135*9</f>
        <v>2430</v>
      </c>
      <c r="T1577" s="166">
        <v>1</v>
      </c>
      <c r="U1577" s="164">
        <f>($L1577*'Pivot Objective'!$C$9^2)*S1577*T1577</f>
        <v>671123.50217162515</v>
      </c>
      <c r="V1577" s="166"/>
      <c r="W1577" s="166"/>
      <c r="X1577" s="164">
        <f>($L1577*'Pivot Objective'!$C$9^3)*V1577*W1577</f>
        <v>0</v>
      </c>
      <c r="Y1577" s="166"/>
      <c r="Z1577" s="166"/>
      <c r="AA1577" s="164">
        <f>($L1577*'Pivot Objective'!$C$9^4)*Y1577*Z1577</f>
        <v>0</v>
      </c>
      <c r="AB1577" s="166"/>
      <c r="AC1577" s="166"/>
      <c r="AD1577" s="164">
        <f>($L1577*'Pivot Objective'!$C$9^5)*AB1577*AC1577</f>
        <v>0</v>
      </c>
      <c r="AE1577" s="166"/>
      <c r="AF1577" s="166"/>
      <c r="AG1577" s="164">
        <f>($L1577*'Pivot Objective'!$C$9^6)*AE1577*AF1577</f>
        <v>0</v>
      </c>
      <c r="AH1577" s="166">
        <f>2*135*9</f>
        <v>2430</v>
      </c>
      <c r="AI1577" s="166">
        <v>1</v>
      </c>
      <c r="AJ1577" s="164">
        <f>($L1577*'Pivot Objective'!$C$9^7)*AH1577*AI1577</f>
        <v>1308831.3667411015</v>
      </c>
      <c r="AK1577" s="185">
        <f t="shared" si="181"/>
        <v>1979954.8689127266</v>
      </c>
      <c r="AL1577" s="186">
        <f t="shared" si="182"/>
        <v>1922.2862804977929</v>
      </c>
    </row>
    <row r="1578" spans="1:38" customFormat="1" ht="43.2" x14ac:dyDescent="0.3">
      <c r="A1578" s="140" t="s">
        <v>1485</v>
      </c>
      <c r="B1578" s="140">
        <v>3</v>
      </c>
      <c r="C1578" s="166" t="s">
        <v>696</v>
      </c>
      <c r="D1578" s="140" t="str">
        <f t="shared" si="177"/>
        <v>2</v>
      </c>
      <c r="E1578" s="166" t="s">
        <v>690</v>
      </c>
      <c r="F1578" s="140">
        <f t="shared" si="183"/>
        <v>3</v>
      </c>
      <c r="G1578" s="140" t="str">
        <f t="shared" si="178"/>
        <v>3.2.3</v>
      </c>
      <c r="H1578" s="168" t="s">
        <v>652</v>
      </c>
      <c r="I1578" s="166" t="s">
        <v>24</v>
      </c>
      <c r="J1578" s="166" t="s">
        <v>177</v>
      </c>
      <c r="K1578" s="166" t="s">
        <v>716</v>
      </c>
      <c r="L1578" s="166">
        <v>39000</v>
      </c>
      <c r="M1578" s="166"/>
      <c r="N1578" s="166"/>
      <c r="O1578" s="164">
        <f t="shared" si="180"/>
        <v>0</v>
      </c>
      <c r="P1578" s="166"/>
      <c r="Q1578" s="166"/>
      <c r="R1578" s="164">
        <f>$L1578*'Pivot Objective'!$C$9*P1578*Q1578</f>
        <v>0</v>
      </c>
      <c r="S1578" s="166">
        <v>58</v>
      </c>
      <c r="T1578" s="166">
        <v>5</v>
      </c>
      <c r="U1578" s="164">
        <f>($L1578*'Pivot Objective'!$C$9^2)*S1578*T1578</f>
        <v>14773898.250174496</v>
      </c>
      <c r="V1578" s="166">
        <v>0</v>
      </c>
      <c r="W1578" s="166">
        <v>0</v>
      </c>
      <c r="X1578" s="164">
        <f>($L1578*'Pivot Objective'!$C$9^3)*V1578*W1578</f>
        <v>0</v>
      </c>
      <c r="Y1578" s="166">
        <v>0</v>
      </c>
      <c r="Z1578" s="166">
        <v>0</v>
      </c>
      <c r="AA1578" s="164">
        <f>($L1578*'Pivot Objective'!$C$9^4)*Y1578*Z1578</f>
        <v>0</v>
      </c>
      <c r="AB1578" s="166">
        <v>0</v>
      </c>
      <c r="AC1578" s="166">
        <v>0</v>
      </c>
      <c r="AD1578" s="164">
        <f>($L1578*'Pivot Objective'!$C$9^5)*AB1578*AC1578</f>
        <v>0</v>
      </c>
      <c r="AE1578" s="166">
        <v>0</v>
      </c>
      <c r="AF1578" s="166">
        <v>0</v>
      </c>
      <c r="AG1578" s="164">
        <f>($L1578*'Pivot Objective'!$C$9^6)*AE1578*AF1578</f>
        <v>0</v>
      </c>
      <c r="AH1578" s="166">
        <v>58</v>
      </c>
      <c r="AI1578" s="166">
        <v>5</v>
      </c>
      <c r="AJ1578" s="164">
        <f>($L1578*'Pivot Objective'!$C$9^7)*AH1578*AI1578</f>
        <v>28812195.335583642</v>
      </c>
      <c r="AK1578" s="185">
        <f t="shared" si="181"/>
        <v>43586093.585758135</v>
      </c>
      <c r="AL1578" s="186">
        <f t="shared" si="182"/>
        <v>42316.595714328287</v>
      </c>
    </row>
    <row r="1579" spans="1:38" customFormat="1" ht="43.2" x14ac:dyDescent="0.3">
      <c r="A1579" s="140" t="s">
        <v>1485</v>
      </c>
      <c r="B1579" s="140">
        <v>3</v>
      </c>
      <c r="C1579" s="166" t="s">
        <v>696</v>
      </c>
      <c r="D1579" s="140" t="str">
        <f t="shared" si="177"/>
        <v>2</v>
      </c>
      <c r="E1579" s="166" t="s">
        <v>690</v>
      </c>
      <c r="F1579" s="140">
        <f t="shared" si="183"/>
        <v>3</v>
      </c>
      <c r="G1579" s="140" t="str">
        <f t="shared" si="178"/>
        <v>3.2.3</v>
      </c>
      <c r="H1579" s="168" t="s">
        <v>652</v>
      </c>
      <c r="I1579" s="166" t="s">
        <v>24</v>
      </c>
      <c r="J1579" s="166" t="s">
        <v>177</v>
      </c>
      <c r="K1579" s="166" t="s">
        <v>709</v>
      </c>
      <c r="L1579" s="166">
        <v>35000</v>
      </c>
      <c r="M1579" s="166"/>
      <c r="N1579" s="166"/>
      <c r="O1579" s="164">
        <f t="shared" si="180"/>
        <v>0</v>
      </c>
      <c r="P1579" s="166"/>
      <c r="Q1579" s="166"/>
      <c r="R1579" s="164">
        <f>$L1579*'Pivot Objective'!$C$9*P1579*Q1579</f>
        <v>0</v>
      </c>
      <c r="S1579" s="166">
        <v>100</v>
      </c>
      <c r="T1579" s="166">
        <v>5</v>
      </c>
      <c r="U1579" s="164">
        <f>($L1579*'Pivot Objective'!$C$9^2)*S1579*T1579</f>
        <v>22859701.094434455</v>
      </c>
      <c r="V1579" s="166">
        <v>0</v>
      </c>
      <c r="W1579" s="166">
        <v>0</v>
      </c>
      <c r="X1579" s="164">
        <f>($L1579*'Pivot Objective'!$C$9^3)*V1579*W1579</f>
        <v>0</v>
      </c>
      <c r="Y1579" s="166">
        <v>0</v>
      </c>
      <c r="Z1579" s="166">
        <v>0</v>
      </c>
      <c r="AA1579" s="164">
        <f>($L1579*'Pivot Objective'!$C$9^4)*Y1579*Z1579</f>
        <v>0</v>
      </c>
      <c r="AB1579" s="166">
        <v>0</v>
      </c>
      <c r="AC1579" s="166">
        <v>0</v>
      </c>
      <c r="AD1579" s="164">
        <f>($L1579*'Pivot Objective'!$C$9^5)*AB1579*AC1579</f>
        <v>0</v>
      </c>
      <c r="AE1579" s="166">
        <v>0</v>
      </c>
      <c r="AF1579" s="166">
        <v>0</v>
      </c>
      <c r="AG1579" s="164">
        <f>($L1579*'Pivot Objective'!$C$9^6)*AE1579*AF1579</f>
        <v>0</v>
      </c>
      <c r="AH1579" s="166">
        <v>100</v>
      </c>
      <c r="AI1579" s="166">
        <v>5</v>
      </c>
      <c r="AJ1579" s="164">
        <f>($L1579*'Pivot Objective'!$C$9^7)*AH1579*AI1579</f>
        <v>44581204.100151524</v>
      </c>
      <c r="AK1579" s="185">
        <f t="shared" si="181"/>
        <v>67440905.194585979</v>
      </c>
      <c r="AL1579" s="186">
        <f t="shared" si="182"/>
        <v>65476.60698503493</v>
      </c>
    </row>
    <row r="1580" spans="1:38" customFormat="1" ht="43.2" x14ac:dyDescent="0.3">
      <c r="A1580" s="140" t="s">
        <v>1485</v>
      </c>
      <c r="B1580" s="140">
        <v>3</v>
      </c>
      <c r="C1580" s="166" t="s">
        <v>696</v>
      </c>
      <c r="D1580" s="140" t="str">
        <f t="shared" si="177"/>
        <v>2</v>
      </c>
      <c r="E1580" s="166" t="s">
        <v>690</v>
      </c>
      <c r="F1580" s="140">
        <f t="shared" si="183"/>
        <v>3</v>
      </c>
      <c r="G1580" s="140" t="str">
        <f t="shared" si="178"/>
        <v>3.2.3</v>
      </c>
      <c r="H1580" s="168" t="s">
        <v>652</v>
      </c>
      <c r="I1580" s="166" t="s">
        <v>24</v>
      </c>
      <c r="J1580" s="166" t="s">
        <v>177</v>
      </c>
      <c r="K1580" s="166" t="s">
        <v>712</v>
      </c>
      <c r="L1580" s="166">
        <f>1480/7</f>
        <v>211.42857142857142</v>
      </c>
      <c r="M1580" s="166"/>
      <c r="N1580" s="166"/>
      <c r="O1580" s="164">
        <f t="shared" si="180"/>
        <v>0</v>
      </c>
      <c r="P1580" s="166"/>
      <c r="Q1580" s="166"/>
      <c r="R1580" s="164">
        <f>$L1580*'Pivot Objective'!$C$9*P1580*Q1580</f>
        <v>0</v>
      </c>
      <c r="S1580" s="166">
        <f>2*25*9</f>
        <v>450</v>
      </c>
      <c r="T1580" s="166">
        <v>5</v>
      </c>
      <c r="U1580" s="164">
        <f>($L1580*'Pivot Objective'!$C$9^2)*S1580*T1580</f>
        <v>621410.65015891218</v>
      </c>
      <c r="V1580" s="166">
        <v>0</v>
      </c>
      <c r="W1580" s="166">
        <v>0</v>
      </c>
      <c r="X1580" s="164">
        <f>($L1580*'Pivot Objective'!$C$9^3)*V1580*W1580</f>
        <v>0</v>
      </c>
      <c r="Y1580" s="166">
        <v>0</v>
      </c>
      <c r="Z1580" s="166">
        <v>0</v>
      </c>
      <c r="AA1580" s="164">
        <f>($L1580*'Pivot Objective'!$C$9^4)*Y1580*Z1580</f>
        <v>0</v>
      </c>
      <c r="AB1580" s="166">
        <v>0</v>
      </c>
      <c r="AC1580" s="166">
        <v>0</v>
      </c>
      <c r="AD1580" s="164">
        <f>($L1580*'Pivot Objective'!$C$9^5)*AB1580*AC1580</f>
        <v>0</v>
      </c>
      <c r="AE1580" s="166">
        <v>0</v>
      </c>
      <c r="AF1580" s="166">
        <v>0</v>
      </c>
      <c r="AG1580" s="164">
        <f>($L1580*'Pivot Objective'!$C$9^6)*AE1580*AF1580</f>
        <v>0</v>
      </c>
      <c r="AH1580" s="166">
        <f>2*25*9</f>
        <v>450</v>
      </c>
      <c r="AI1580" s="166">
        <v>5</v>
      </c>
      <c r="AJ1580" s="164">
        <f>($L1580*'Pivot Objective'!$C$9^7)*AH1580*AI1580</f>
        <v>1211880.8951306494</v>
      </c>
      <c r="AK1580" s="185">
        <f t="shared" si="181"/>
        <v>1833291.5452895616</v>
      </c>
      <c r="AL1580" s="186">
        <f t="shared" si="182"/>
        <v>1779.8947041646229</v>
      </c>
    </row>
    <row r="1581" spans="1:38" customFormat="1" ht="43.2" x14ac:dyDescent="0.3">
      <c r="A1581" s="140" t="s">
        <v>1485</v>
      </c>
      <c r="B1581" s="140">
        <v>3</v>
      </c>
      <c r="C1581" s="166" t="s">
        <v>696</v>
      </c>
      <c r="D1581" s="140" t="str">
        <f t="shared" si="177"/>
        <v>2</v>
      </c>
      <c r="E1581" s="166" t="s">
        <v>690</v>
      </c>
      <c r="F1581" s="140">
        <f t="shared" si="183"/>
        <v>3</v>
      </c>
      <c r="G1581" s="140" t="str">
        <f t="shared" si="178"/>
        <v>3.2.3</v>
      </c>
      <c r="H1581" s="168" t="s">
        <v>652</v>
      </c>
      <c r="I1581" s="166" t="s">
        <v>24</v>
      </c>
      <c r="J1581" s="166" t="s">
        <v>177</v>
      </c>
      <c r="K1581" s="166" t="s">
        <v>1336</v>
      </c>
      <c r="L1581" s="166">
        <f>1480/7</f>
        <v>211.42857142857142</v>
      </c>
      <c r="M1581" s="166"/>
      <c r="N1581" s="166"/>
      <c r="O1581" s="164">
        <f t="shared" si="180"/>
        <v>0</v>
      </c>
      <c r="P1581" s="166"/>
      <c r="Q1581" s="166"/>
      <c r="R1581" s="164">
        <f>$L1581*'Pivot Objective'!$C$9*P1581*Q1581</f>
        <v>0</v>
      </c>
      <c r="S1581" s="166">
        <v>22500</v>
      </c>
      <c r="T1581" s="166">
        <v>1</v>
      </c>
      <c r="U1581" s="164">
        <f>($L1581*'Pivot Objective'!$C$9^2)*S1581*T1581</f>
        <v>6214106.5015891213</v>
      </c>
      <c r="V1581" s="166"/>
      <c r="W1581" s="166"/>
      <c r="X1581" s="164">
        <f>($L1581*'Pivot Objective'!$C$9^3)*V1581*W1581</f>
        <v>0</v>
      </c>
      <c r="Y1581" s="166"/>
      <c r="Z1581" s="166"/>
      <c r="AA1581" s="164">
        <f>($L1581*'Pivot Objective'!$C$9^4)*Y1581*Z1581</f>
        <v>0</v>
      </c>
      <c r="AB1581" s="166"/>
      <c r="AC1581" s="166"/>
      <c r="AD1581" s="164">
        <f>($L1581*'Pivot Objective'!$C$9^5)*AB1581*AC1581</f>
        <v>0</v>
      </c>
      <c r="AE1581" s="166"/>
      <c r="AF1581" s="166"/>
      <c r="AG1581" s="164">
        <f>($L1581*'Pivot Objective'!$C$9^6)*AE1581*AF1581</f>
        <v>0</v>
      </c>
      <c r="AH1581" s="166">
        <v>22500</v>
      </c>
      <c r="AI1581" s="166">
        <v>1</v>
      </c>
      <c r="AJ1581" s="164">
        <f>($L1581*'Pivot Objective'!$C$9^7)*AH1581*AI1581</f>
        <v>12118808.951306494</v>
      </c>
      <c r="AK1581" s="185">
        <f t="shared" si="181"/>
        <v>18332915.452895615</v>
      </c>
      <c r="AL1581" s="186">
        <f t="shared" si="182"/>
        <v>17798.947041646228</v>
      </c>
    </row>
    <row r="1582" spans="1:38" customFormat="1" ht="43.2" x14ac:dyDescent="0.3">
      <c r="A1582" s="140" t="s">
        <v>1485</v>
      </c>
      <c r="B1582" s="140">
        <v>3</v>
      </c>
      <c r="C1582" s="166" t="s">
        <v>696</v>
      </c>
      <c r="D1582" s="140" t="str">
        <f t="shared" si="177"/>
        <v>2</v>
      </c>
      <c r="E1582" s="166" t="s">
        <v>690</v>
      </c>
      <c r="F1582" s="140">
        <f t="shared" si="183"/>
        <v>3</v>
      </c>
      <c r="G1582" s="140" t="str">
        <f t="shared" si="178"/>
        <v>3.2.3</v>
      </c>
      <c r="H1582" s="168" t="s">
        <v>652</v>
      </c>
      <c r="I1582" s="166" t="s">
        <v>24</v>
      </c>
      <c r="J1582" s="166" t="s">
        <v>265</v>
      </c>
      <c r="K1582" s="166" t="s">
        <v>709</v>
      </c>
      <c r="L1582" s="166">
        <v>35000</v>
      </c>
      <c r="M1582" s="166"/>
      <c r="N1582" s="166"/>
      <c r="O1582" s="164">
        <f t="shared" si="180"/>
        <v>0</v>
      </c>
      <c r="P1582" s="166"/>
      <c r="Q1582" s="166"/>
      <c r="R1582" s="164">
        <f>$L1582*'Pivot Objective'!$C$9*P1582*Q1582</f>
        <v>0</v>
      </c>
      <c r="S1582" s="166">
        <v>30</v>
      </c>
      <c r="T1582" s="166">
        <v>1</v>
      </c>
      <c r="U1582" s="164">
        <f>($L1582*'Pivot Objective'!$C$9^2)*S1582*T1582</f>
        <v>1371582.0656660672</v>
      </c>
      <c r="V1582" s="166">
        <v>0</v>
      </c>
      <c r="W1582" s="166">
        <v>0</v>
      </c>
      <c r="X1582" s="164">
        <f>($L1582*'Pivot Objective'!$C$9^3)*V1582*W1582</f>
        <v>0</v>
      </c>
      <c r="Y1582" s="166">
        <v>0</v>
      </c>
      <c r="Z1582" s="166">
        <v>0</v>
      </c>
      <c r="AA1582" s="164">
        <f>($L1582*'Pivot Objective'!$C$9^4)*Y1582*Z1582</f>
        <v>0</v>
      </c>
      <c r="AB1582" s="166">
        <v>0</v>
      </c>
      <c r="AC1582" s="166">
        <v>0</v>
      </c>
      <c r="AD1582" s="164">
        <f>($L1582*'Pivot Objective'!$C$9^5)*AB1582*AC1582</f>
        <v>0</v>
      </c>
      <c r="AE1582" s="166">
        <v>0</v>
      </c>
      <c r="AF1582" s="166">
        <v>0</v>
      </c>
      <c r="AG1582" s="164">
        <f>($L1582*'Pivot Objective'!$C$9^6)*AE1582*AF1582</f>
        <v>0</v>
      </c>
      <c r="AH1582" s="166">
        <v>30</v>
      </c>
      <c r="AI1582" s="166">
        <v>1</v>
      </c>
      <c r="AJ1582" s="164">
        <f>($L1582*'Pivot Objective'!$C$9^7)*AH1582*AI1582</f>
        <v>2674872.2460090914</v>
      </c>
      <c r="AK1582" s="185">
        <f t="shared" si="181"/>
        <v>4046454.3116751583</v>
      </c>
      <c r="AL1582" s="186">
        <f t="shared" si="182"/>
        <v>3928.5964191020953</v>
      </c>
    </row>
    <row r="1583" spans="1:38" customFormat="1" ht="43.2" x14ac:dyDescent="0.3">
      <c r="A1583" s="140" t="s">
        <v>1485</v>
      </c>
      <c r="B1583" s="140">
        <v>3</v>
      </c>
      <c r="C1583" s="166" t="s">
        <v>696</v>
      </c>
      <c r="D1583" s="140" t="str">
        <f t="shared" si="177"/>
        <v>2</v>
      </c>
      <c r="E1583" s="166" t="s">
        <v>690</v>
      </c>
      <c r="F1583" s="140">
        <f t="shared" si="183"/>
        <v>3</v>
      </c>
      <c r="G1583" s="140" t="str">
        <f t="shared" si="178"/>
        <v>3.2.3</v>
      </c>
      <c r="H1583" s="168" t="s">
        <v>652</v>
      </c>
      <c r="I1583" s="166" t="s">
        <v>24</v>
      </c>
      <c r="J1583" s="166" t="s">
        <v>266</v>
      </c>
      <c r="K1583" s="166" t="s">
        <v>718</v>
      </c>
      <c r="L1583" s="166">
        <v>0</v>
      </c>
      <c r="M1583" s="166"/>
      <c r="N1583" s="166"/>
      <c r="O1583" s="164">
        <f t="shared" si="180"/>
        <v>0</v>
      </c>
      <c r="P1583" s="166"/>
      <c r="Q1583" s="166"/>
      <c r="R1583" s="164">
        <f>$L1583*'Pivot Objective'!$C$9*P1583*Q1583</f>
        <v>0</v>
      </c>
      <c r="S1583" s="166">
        <v>0</v>
      </c>
      <c r="T1583" s="166">
        <v>0</v>
      </c>
      <c r="U1583" s="164">
        <f>($L1583*'Pivot Objective'!$C$9^2)*S1583*T1583</f>
        <v>0</v>
      </c>
      <c r="V1583" s="166">
        <v>0</v>
      </c>
      <c r="W1583" s="166">
        <v>0</v>
      </c>
      <c r="X1583" s="164">
        <f>($L1583*'Pivot Objective'!$C$9^3)*V1583*W1583</f>
        <v>0</v>
      </c>
      <c r="Y1583" s="166">
        <v>0</v>
      </c>
      <c r="Z1583" s="166">
        <v>0</v>
      </c>
      <c r="AA1583" s="164">
        <f>($L1583*'Pivot Objective'!$C$9^4)*Y1583*Z1583</f>
        <v>0</v>
      </c>
      <c r="AB1583" s="166">
        <v>0</v>
      </c>
      <c r="AC1583" s="166">
        <v>0</v>
      </c>
      <c r="AD1583" s="164">
        <f>($L1583*'Pivot Objective'!$C$9^5)*AB1583*AC1583</f>
        <v>0</v>
      </c>
      <c r="AE1583" s="166">
        <v>0</v>
      </c>
      <c r="AF1583" s="166">
        <v>0</v>
      </c>
      <c r="AG1583" s="164">
        <f>($L1583*'Pivot Objective'!$C$9^6)*AE1583*AF1583</f>
        <v>0</v>
      </c>
      <c r="AH1583" s="166">
        <v>0</v>
      </c>
      <c r="AI1583" s="166">
        <v>0</v>
      </c>
      <c r="AJ1583" s="164">
        <f>($L1583*'Pivot Objective'!$C$9^7)*AH1583*AI1583</f>
        <v>0</v>
      </c>
      <c r="AK1583" s="185">
        <f t="shared" si="181"/>
        <v>0</v>
      </c>
      <c r="AL1583" s="186">
        <f t="shared" si="182"/>
        <v>0</v>
      </c>
    </row>
    <row r="1584" spans="1:38" customFormat="1" ht="43.2" x14ac:dyDescent="0.3">
      <c r="A1584" s="140" t="s">
        <v>1485</v>
      </c>
      <c r="B1584" s="140">
        <v>3</v>
      </c>
      <c r="C1584" s="166" t="s">
        <v>696</v>
      </c>
      <c r="D1584" s="140" t="str">
        <f t="shared" si="177"/>
        <v>2</v>
      </c>
      <c r="E1584" s="166" t="s">
        <v>690</v>
      </c>
      <c r="F1584" s="140">
        <f t="shared" si="183"/>
        <v>3</v>
      </c>
      <c r="G1584" s="140" t="str">
        <f t="shared" si="178"/>
        <v>3.2.3</v>
      </c>
      <c r="H1584" s="168" t="s">
        <v>652</v>
      </c>
      <c r="I1584" s="166" t="s">
        <v>22</v>
      </c>
      <c r="J1584" s="166" t="s">
        <v>251</v>
      </c>
      <c r="K1584" s="166" t="s">
        <v>709</v>
      </c>
      <c r="L1584" s="166">
        <v>35000</v>
      </c>
      <c r="M1584" s="166"/>
      <c r="N1584" s="166"/>
      <c r="O1584" s="164">
        <f t="shared" si="180"/>
        <v>0</v>
      </c>
      <c r="P1584" s="166"/>
      <c r="Q1584" s="166"/>
      <c r="R1584" s="164">
        <f>$L1584*'Pivot Objective'!$C$9*P1584*Q1584</f>
        <v>0</v>
      </c>
      <c r="S1584" s="166">
        <v>30</v>
      </c>
      <c r="T1584" s="166">
        <v>4</v>
      </c>
      <c r="U1584" s="164">
        <f>($L1584*'Pivot Objective'!$C$9^2)*S1584*T1584</f>
        <v>5486328.2626642687</v>
      </c>
      <c r="V1584" s="166">
        <v>30</v>
      </c>
      <c r="W1584" s="166">
        <v>4</v>
      </c>
      <c r="X1584" s="164">
        <f>($L1584*'Pivot Objective'!$C$9^3)*V1584*W1584</f>
        <v>6270440.316466351</v>
      </c>
      <c r="Y1584" s="166">
        <v>30</v>
      </c>
      <c r="Z1584" s="166">
        <v>4</v>
      </c>
      <c r="AA1584" s="164">
        <f>($L1584*'Pivot Objective'!$C$9^4)*Y1584*Z1584</f>
        <v>7166618.5251687486</v>
      </c>
      <c r="AB1584" s="166">
        <v>30</v>
      </c>
      <c r="AC1584" s="166">
        <v>4</v>
      </c>
      <c r="AD1584" s="164">
        <f>($L1584*'Pivot Objective'!$C$9^5)*AB1584*AC1584</f>
        <v>8190879.5065663857</v>
      </c>
      <c r="AE1584" s="166">
        <v>30</v>
      </c>
      <c r="AF1584" s="166">
        <v>4</v>
      </c>
      <c r="AG1584" s="164">
        <f>($L1584*'Pivot Objective'!$C$9^6)*AE1584*AF1584</f>
        <v>9361528.9910396729</v>
      </c>
      <c r="AH1584" s="166">
        <v>30</v>
      </c>
      <c r="AI1584" s="166">
        <v>4</v>
      </c>
      <c r="AJ1584" s="164">
        <f>($L1584*'Pivot Objective'!$C$9^7)*AH1584*AI1584</f>
        <v>10699488.984036366</v>
      </c>
      <c r="AK1584" s="185">
        <f t="shared" si="181"/>
        <v>47175284.585941792</v>
      </c>
      <c r="AL1584" s="186">
        <f t="shared" si="182"/>
        <v>45801.247170817274</v>
      </c>
    </row>
    <row r="1585" spans="1:38" customFormat="1" ht="43.2" x14ac:dyDescent="0.3">
      <c r="A1585" s="140" t="s">
        <v>1485</v>
      </c>
      <c r="B1585" s="140">
        <v>3</v>
      </c>
      <c r="C1585" s="166" t="s">
        <v>696</v>
      </c>
      <c r="D1585" s="140" t="str">
        <f t="shared" si="177"/>
        <v>2</v>
      </c>
      <c r="E1585" s="166" t="s">
        <v>690</v>
      </c>
      <c r="F1585" s="140">
        <f t="shared" si="183"/>
        <v>3</v>
      </c>
      <c r="G1585" s="140" t="str">
        <f t="shared" si="178"/>
        <v>3.2.3</v>
      </c>
      <c r="H1585" s="168" t="s">
        <v>652</v>
      </c>
      <c r="I1585" s="166" t="s">
        <v>22</v>
      </c>
      <c r="J1585" s="166" t="s">
        <v>252</v>
      </c>
      <c r="K1585" s="166" t="s">
        <v>709</v>
      </c>
      <c r="L1585" s="166">
        <v>35000</v>
      </c>
      <c r="M1585" s="166"/>
      <c r="N1585" s="166"/>
      <c r="O1585" s="164">
        <f t="shared" si="180"/>
        <v>0</v>
      </c>
      <c r="P1585" s="166"/>
      <c r="Q1585" s="166"/>
      <c r="R1585" s="164">
        <f>$L1585*'Pivot Objective'!$C$9*P1585*Q1585</f>
        <v>0</v>
      </c>
      <c r="S1585" s="166">
        <v>30</v>
      </c>
      <c r="T1585" s="166">
        <v>1</v>
      </c>
      <c r="U1585" s="164">
        <f>($L1585*'Pivot Objective'!$C$9^2)*S1585*T1585</f>
        <v>1371582.0656660672</v>
      </c>
      <c r="V1585" s="166">
        <v>30</v>
      </c>
      <c r="W1585" s="166">
        <v>1</v>
      </c>
      <c r="X1585" s="164">
        <f>($L1585*'Pivot Objective'!$C$9^3)*V1585*W1585</f>
        <v>1567610.0791165878</v>
      </c>
      <c r="Y1585" s="166">
        <v>30</v>
      </c>
      <c r="Z1585" s="166">
        <v>1</v>
      </c>
      <c r="AA1585" s="164">
        <f>($L1585*'Pivot Objective'!$C$9^4)*Y1585*Z1585</f>
        <v>1791654.6312921871</v>
      </c>
      <c r="AB1585" s="166">
        <v>30</v>
      </c>
      <c r="AC1585" s="166">
        <v>1</v>
      </c>
      <c r="AD1585" s="164">
        <f>($L1585*'Pivot Objective'!$C$9^5)*AB1585*AC1585</f>
        <v>2047719.8766415964</v>
      </c>
      <c r="AE1585" s="166">
        <v>30</v>
      </c>
      <c r="AF1585" s="166">
        <v>1</v>
      </c>
      <c r="AG1585" s="164">
        <f>($L1585*'Pivot Objective'!$C$9^6)*AE1585*AF1585</f>
        <v>2340382.2477599182</v>
      </c>
      <c r="AH1585" s="166">
        <v>30</v>
      </c>
      <c r="AI1585" s="166">
        <v>1</v>
      </c>
      <c r="AJ1585" s="164">
        <f>($L1585*'Pivot Objective'!$C$9^7)*AH1585*AI1585</f>
        <v>2674872.2460090914</v>
      </c>
      <c r="AK1585" s="185">
        <f t="shared" si="181"/>
        <v>11793821.146485448</v>
      </c>
      <c r="AL1585" s="186">
        <f t="shared" si="182"/>
        <v>11450.311792704319</v>
      </c>
    </row>
    <row r="1586" spans="1:38" customFormat="1" ht="43.2" x14ac:dyDescent="0.3">
      <c r="A1586" s="140" t="s">
        <v>1485</v>
      </c>
      <c r="B1586" s="140">
        <v>3</v>
      </c>
      <c r="C1586" s="166" t="s">
        <v>696</v>
      </c>
      <c r="D1586" s="140" t="str">
        <f t="shared" ref="D1586:D1649" si="184">RIGHT(A1586,1)</f>
        <v>2</v>
      </c>
      <c r="E1586" s="166" t="s">
        <v>690</v>
      </c>
      <c r="F1586" s="140">
        <f t="shared" si="183"/>
        <v>3</v>
      </c>
      <c r="G1586" s="140" t="str">
        <f t="shared" si="178"/>
        <v>3.2.3</v>
      </c>
      <c r="H1586" s="168" t="s">
        <v>652</v>
      </c>
      <c r="I1586" s="166" t="s">
        <v>22</v>
      </c>
      <c r="J1586" s="166" t="s">
        <v>252</v>
      </c>
      <c r="K1586" s="166" t="s">
        <v>716</v>
      </c>
      <c r="L1586" s="166">
        <v>39000</v>
      </c>
      <c r="M1586" s="166"/>
      <c r="N1586" s="166"/>
      <c r="O1586" s="164">
        <f t="shared" si="180"/>
        <v>0</v>
      </c>
      <c r="P1586" s="166"/>
      <c r="Q1586" s="166"/>
      <c r="R1586" s="164">
        <f>$L1586*'Pivot Objective'!$C$9*P1586*Q1586</f>
        <v>0</v>
      </c>
      <c r="S1586" s="166">
        <v>30</v>
      </c>
      <c r="T1586" s="166">
        <v>2</v>
      </c>
      <c r="U1586" s="164">
        <f>($L1586*'Pivot Objective'!$C$9^2)*S1586*T1586</f>
        <v>3056668.6034843787</v>
      </c>
      <c r="V1586" s="166">
        <v>30</v>
      </c>
      <c r="W1586" s="166">
        <v>2</v>
      </c>
      <c r="X1586" s="164">
        <f>($L1586*'Pivot Objective'!$C$9^3)*V1586*W1586</f>
        <v>3493531.0334598236</v>
      </c>
      <c r="Y1586" s="166">
        <v>30</v>
      </c>
      <c r="Z1586" s="166">
        <v>2</v>
      </c>
      <c r="AA1586" s="164">
        <f>($L1586*'Pivot Objective'!$C$9^4)*Y1586*Z1586</f>
        <v>3992830.3211654453</v>
      </c>
      <c r="AB1586" s="166">
        <v>30</v>
      </c>
      <c r="AC1586" s="166">
        <v>2</v>
      </c>
      <c r="AD1586" s="164">
        <f>($L1586*'Pivot Objective'!$C$9^5)*AB1586*AC1586</f>
        <v>4563490.0108012725</v>
      </c>
      <c r="AE1586" s="166">
        <v>30</v>
      </c>
      <c r="AF1586" s="166">
        <v>2</v>
      </c>
      <c r="AG1586" s="164">
        <f>($L1586*'Pivot Objective'!$C$9^6)*AE1586*AF1586</f>
        <v>5215709.009293532</v>
      </c>
      <c r="AH1586" s="166">
        <v>30</v>
      </c>
      <c r="AI1586" s="166">
        <v>2</v>
      </c>
      <c r="AJ1586" s="164">
        <f>($L1586*'Pivot Objective'!$C$9^7)*AH1586*AI1586</f>
        <v>5961143.8625345463</v>
      </c>
      <c r="AK1586" s="185">
        <f t="shared" si="181"/>
        <v>26283372.840738997</v>
      </c>
      <c r="AL1586" s="186">
        <f t="shared" si="182"/>
        <v>25517.837709455336</v>
      </c>
    </row>
    <row r="1587" spans="1:38" customFormat="1" ht="43.2" x14ac:dyDescent="0.3">
      <c r="A1587" s="140" t="s">
        <v>1485</v>
      </c>
      <c r="B1587" s="140">
        <v>3</v>
      </c>
      <c r="C1587" s="166" t="s">
        <v>696</v>
      </c>
      <c r="D1587" s="140" t="str">
        <f t="shared" si="184"/>
        <v>2</v>
      </c>
      <c r="E1587" s="166" t="s">
        <v>690</v>
      </c>
      <c r="F1587" s="140">
        <f t="shared" si="183"/>
        <v>4</v>
      </c>
      <c r="G1587" s="140" t="str">
        <f t="shared" ref="G1587:G1650" si="185">B1587&amp;"."&amp;D1587&amp;"."&amp;F1587</f>
        <v>3.2.4</v>
      </c>
      <c r="H1587" s="166" t="s">
        <v>1697</v>
      </c>
      <c r="I1587" s="166" t="s">
        <v>26</v>
      </c>
      <c r="J1587" s="166" t="s">
        <v>729</v>
      </c>
      <c r="K1587" s="166" t="s">
        <v>718</v>
      </c>
      <c r="L1587" s="166">
        <v>0</v>
      </c>
      <c r="M1587" s="166"/>
      <c r="N1587" s="166"/>
      <c r="O1587" s="164">
        <f t="shared" si="180"/>
        <v>0</v>
      </c>
      <c r="P1587" s="166"/>
      <c r="Q1587" s="166"/>
      <c r="R1587" s="164">
        <f>$L1587*'Pivot Objective'!$C$9*P1587*Q1587</f>
        <v>0</v>
      </c>
      <c r="S1587" s="166">
        <v>0</v>
      </c>
      <c r="T1587" s="166">
        <v>0</v>
      </c>
      <c r="U1587" s="164">
        <f>($L1587*'Pivot Objective'!$C$9^2)*S1587*T1587</f>
        <v>0</v>
      </c>
      <c r="V1587" s="166">
        <v>0</v>
      </c>
      <c r="W1587" s="166">
        <v>0</v>
      </c>
      <c r="X1587" s="164">
        <f>($L1587*'Pivot Objective'!$C$9^3)*V1587*W1587</f>
        <v>0</v>
      </c>
      <c r="Y1587" s="166">
        <v>0</v>
      </c>
      <c r="Z1587" s="166">
        <v>0</v>
      </c>
      <c r="AA1587" s="164">
        <f>($L1587*'Pivot Objective'!$C$9^4)*Y1587*Z1587</f>
        <v>0</v>
      </c>
      <c r="AB1587" s="166">
        <v>0</v>
      </c>
      <c r="AC1587" s="166">
        <v>0</v>
      </c>
      <c r="AD1587" s="164">
        <f>($L1587*'Pivot Objective'!$C$9^5)*AB1587*AC1587</f>
        <v>0</v>
      </c>
      <c r="AE1587" s="166">
        <v>0</v>
      </c>
      <c r="AF1587" s="166">
        <v>0</v>
      </c>
      <c r="AG1587" s="164">
        <f>($L1587*'Pivot Objective'!$C$9^6)*AE1587*AF1587</f>
        <v>0</v>
      </c>
      <c r="AH1587" s="166">
        <v>0</v>
      </c>
      <c r="AI1587" s="166">
        <v>0</v>
      </c>
      <c r="AJ1587" s="164">
        <f>($L1587*'Pivot Objective'!$C$9^7)*AH1587*AI1587</f>
        <v>0</v>
      </c>
      <c r="AK1587" s="185">
        <f t="shared" si="181"/>
        <v>0</v>
      </c>
      <c r="AL1587" s="186">
        <f t="shared" si="182"/>
        <v>0</v>
      </c>
    </row>
    <row r="1588" spans="1:38" customFormat="1" ht="43.2" x14ac:dyDescent="0.3">
      <c r="A1588" s="140" t="s">
        <v>1485</v>
      </c>
      <c r="B1588" s="140">
        <v>3</v>
      </c>
      <c r="C1588" s="166" t="s">
        <v>696</v>
      </c>
      <c r="D1588" s="140" t="str">
        <f t="shared" si="184"/>
        <v>2</v>
      </c>
      <c r="E1588" s="166" t="s">
        <v>690</v>
      </c>
      <c r="F1588" s="140">
        <f t="shared" si="183"/>
        <v>4</v>
      </c>
      <c r="G1588" s="140" t="str">
        <f t="shared" si="185"/>
        <v>3.2.4</v>
      </c>
      <c r="H1588" s="166" t="s">
        <v>1697</v>
      </c>
      <c r="I1588" s="166" t="s">
        <v>26</v>
      </c>
      <c r="J1588" s="166" t="s">
        <v>730</v>
      </c>
      <c r="K1588" s="166" t="s">
        <v>718</v>
      </c>
      <c r="L1588" s="166">
        <v>0</v>
      </c>
      <c r="M1588" s="166"/>
      <c r="N1588" s="166"/>
      <c r="O1588" s="164">
        <f t="shared" si="180"/>
        <v>0</v>
      </c>
      <c r="P1588" s="166"/>
      <c r="Q1588" s="166"/>
      <c r="R1588" s="164">
        <f>$L1588*'Pivot Objective'!$C$9*P1588*Q1588</f>
        <v>0</v>
      </c>
      <c r="S1588" s="166">
        <v>0</v>
      </c>
      <c r="T1588" s="166">
        <v>0</v>
      </c>
      <c r="U1588" s="164">
        <f>($L1588*'Pivot Objective'!$C$9^2)*S1588*T1588</f>
        <v>0</v>
      </c>
      <c r="V1588" s="166">
        <v>0</v>
      </c>
      <c r="W1588" s="166">
        <v>0</v>
      </c>
      <c r="X1588" s="164">
        <f>($L1588*'Pivot Objective'!$C$9^3)*V1588*W1588</f>
        <v>0</v>
      </c>
      <c r="Y1588" s="166">
        <v>0</v>
      </c>
      <c r="Z1588" s="166">
        <v>0</v>
      </c>
      <c r="AA1588" s="164">
        <f>($L1588*'Pivot Objective'!$C$9^4)*Y1588*Z1588</f>
        <v>0</v>
      </c>
      <c r="AB1588" s="166">
        <v>0</v>
      </c>
      <c r="AC1588" s="166">
        <v>0</v>
      </c>
      <c r="AD1588" s="164">
        <f>($L1588*'Pivot Objective'!$C$9^5)*AB1588*AC1588</f>
        <v>0</v>
      </c>
      <c r="AE1588" s="166">
        <v>0</v>
      </c>
      <c r="AF1588" s="166">
        <v>0</v>
      </c>
      <c r="AG1588" s="164">
        <f>($L1588*'Pivot Objective'!$C$9^6)*AE1588*AF1588</f>
        <v>0</v>
      </c>
      <c r="AH1588" s="166">
        <v>0</v>
      </c>
      <c r="AI1588" s="166">
        <v>0</v>
      </c>
      <c r="AJ1588" s="164">
        <f>($L1588*'Pivot Objective'!$C$9^7)*AH1588*AI1588</f>
        <v>0</v>
      </c>
      <c r="AK1588" s="185">
        <f t="shared" si="181"/>
        <v>0</v>
      </c>
      <c r="AL1588" s="186">
        <f t="shared" si="182"/>
        <v>0</v>
      </c>
    </row>
    <row r="1589" spans="1:38" customFormat="1" ht="43.2" x14ac:dyDescent="0.3">
      <c r="A1589" s="140" t="s">
        <v>1485</v>
      </c>
      <c r="B1589" s="140">
        <v>3</v>
      </c>
      <c r="C1589" s="166" t="s">
        <v>696</v>
      </c>
      <c r="D1589" s="140" t="str">
        <f t="shared" si="184"/>
        <v>2</v>
      </c>
      <c r="E1589" s="166" t="s">
        <v>690</v>
      </c>
      <c r="F1589" s="140">
        <f t="shared" si="183"/>
        <v>4</v>
      </c>
      <c r="G1589" s="140" t="str">
        <f t="shared" si="185"/>
        <v>3.2.4</v>
      </c>
      <c r="H1589" s="166" t="s">
        <v>1697</v>
      </c>
      <c r="I1589" s="166" t="s">
        <v>26</v>
      </c>
      <c r="J1589" s="166" t="s">
        <v>731</v>
      </c>
      <c r="K1589" s="166" t="s">
        <v>709</v>
      </c>
      <c r="L1589" s="166">
        <v>35000</v>
      </c>
      <c r="M1589" s="166"/>
      <c r="N1589" s="166"/>
      <c r="O1589" s="164">
        <f t="shared" si="180"/>
        <v>0</v>
      </c>
      <c r="P1589" s="166"/>
      <c r="Q1589" s="166"/>
      <c r="R1589" s="164">
        <f>$L1589*'Pivot Objective'!$C$9*P1589*Q1589</f>
        <v>0</v>
      </c>
      <c r="S1589" s="166">
        <v>50</v>
      </c>
      <c r="T1589" s="166">
        <v>1</v>
      </c>
      <c r="U1589" s="164">
        <f>($L1589*'Pivot Objective'!$C$9^2)*S1589*T1589</f>
        <v>2285970.1094434457</v>
      </c>
      <c r="V1589" s="166">
        <v>0</v>
      </c>
      <c r="W1589" s="166">
        <v>0</v>
      </c>
      <c r="X1589" s="164">
        <f>($L1589*'Pivot Objective'!$C$9^3)*V1589*W1589</f>
        <v>0</v>
      </c>
      <c r="Y1589" s="166">
        <v>0</v>
      </c>
      <c r="Z1589" s="166">
        <v>0</v>
      </c>
      <c r="AA1589" s="164">
        <f>($L1589*'Pivot Objective'!$C$9^4)*Y1589*Z1589</f>
        <v>0</v>
      </c>
      <c r="AB1589" s="166">
        <v>0</v>
      </c>
      <c r="AC1589" s="166">
        <v>0</v>
      </c>
      <c r="AD1589" s="164">
        <f>($L1589*'Pivot Objective'!$C$9^5)*AB1589*AC1589</f>
        <v>0</v>
      </c>
      <c r="AE1589" s="166">
        <v>0</v>
      </c>
      <c r="AF1589" s="166">
        <v>0</v>
      </c>
      <c r="AG1589" s="164">
        <f>($L1589*'Pivot Objective'!$C$9^6)*AE1589*AF1589</f>
        <v>0</v>
      </c>
      <c r="AH1589" s="166">
        <v>0</v>
      </c>
      <c r="AI1589" s="166">
        <v>0</v>
      </c>
      <c r="AJ1589" s="164">
        <f>($L1589*'Pivot Objective'!$C$9^7)*AH1589*AI1589</f>
        <v>0</v>
      </c>
      <c r="AK1589" s="185">
        <f t="shared" si="181"/>
        <v>2285970.1094434457</v>
      </c>
      <c r="AL1589" s="186">
        <f t="shared" si="182"/>
        <v>2219.3884557703354</v>
      </c>
    </row>
    <row r="1590" spans="1:38" customFormat="1" ht="43.2" x14ac:dyDescent="0.3">
      <c r="A1590" s="140" t="s">
        <v>1485</v>
      </c>
      <c r="B1590" s="140">
        <v>3</v>
      </c>
      <c r="C1590" s="166" t="s">
        <v>696</v>
      </c>
      <c r="D1590" s="140" t="str">
        <f t="shared" si="184"/>
        <v>2</v>
      </c>
      <c r="E1590" s="166" t="s">
        <v>690</v>
      </c>
      <c r="F1590" s="140">
        <f t="shared" si="183"/>
        <v>4</v>
      </c>
      <c r="G1590" s="140" t="str">
        <f t="shared" si="185"/>
        <v>3.2.4</v>
      </c>
      <c r="H1590" s="166" t="s">
        <v>1697</v>
      </c>
      <c r="I1590" s="166" t="s">
        <v>26</v>
      </c>
      <c r="J1590" s="166" t="s">
        <v>732</v>
      </c>
      <c r="K1590" s="166" t="s">
        <v>709</v>
      </c>
      <c r="L1590" s="166">
        <v>35000</v>
      </c>
      <c r="M1590" s="166"/>
      <c r="N1590" s="166"/>
      <c r="O1590" s="164">
        <f t="shared" si="180"/>
        <v>0</v>
      </c>
      <c r="P1590" s="166"/>
      <c r="Q1590" s="166"/>
      <c r="R1590" s="164">
        <f>$L1590*'Pivot Objective'!$C$9*P1590*Q1590</f>
        <v>0</v>
      </c>
      <c r="S1590" s="166">
        <v>40</v>
      </c>
      <c r="T1590" s="166">
        <v>5</v>
      </c>
      <c r="U1590" s="164">
        <f>($L1590*'Pivot Objective'!$C$9^2)*S1590*T1590</f>
        <v>9143880.4377737809</v>
      </c>
      <c r="V1590" s="166">
        <v>0</v>
      </c>
      <c r="W1590" s="166">
        <v>0</v>
      </c>
      <c r="X1590" s="164">
        <f>($L1590*'Pivot Objective'!$C$9^3)*V1590*W1590</f>
        <v>0</v>
      </c>
      <c r="Y1590" s="166">
        <v>0</v>
      </c>
      <c r="Z1590" s="166">
        <v>0</v>
      </c>
      <c r="AA1590" s="164">
        <f>($L1590*'Pivot Objective'!$C$9^4)*Y1590*Z1590</f>
        <v>0</v>
      </c>
      <c r="AB1590" s="166">
        <v>0</v>
      </c>
      <c r="AC1590" s="166">
        <v>0</v>
      </c>
      <c r="AD1590" s="164">
        <f>($L1590*'Pivot Objective'!$C$9^5)*AB1590*AC1590</f>
        <v>0</v>
      </c>
      <c r="AE1590" s="166">
        <v>0</v>
      </c>
      <c r="AF1590" s="166">
        <v>0</v>
      </c>
      <c r="AG1590" s="164">
        <f>($L1590*'Pivot Objective'!$C$9^6)*AE1590*AF1590</f>
        <v>0</v>
      </c>
      <c r="AH1590" s="166">
        <v>0</v>
      </c>
      <c r="AI1590" s="166">
        <v>0</v>
      </c>
      <c r="AJ1590" s="164">
        <f>($L1590*'Pivot Objective'!$C$9^7)*AH1590*AI1590</f>
        <v>0</v>
      </c>
      <c r="AK1590" s="185">
        <f t="shared" si="181"/>
        <v>9143880.4377737809</v>
      </c>
      <c r="AL1590" s="186">
        <f t="shared" si="182"/>
        <v>8877.5538230813399</v>
      </c>
    </row>
    <row r="1591" spans="1:38" customFormat="1" ht="43.2" x14ac:dyDescent="0.3">
      <c r="A1591" s="140" t="s">
        <v>1485</v>
      </c>
      <c r="B1591" s="140">
        <v>3</v>
      </c>
      <c r="C1591" s="166" t="s">
        <v>696</v>
      </c>
      <c r="D1591" s="140" t="str">
        <f t="shared" si="184"/>
        <v>2</v>
      </c>
      <c r="E1591" s="166" t="s">
        <v>690</v>
      </c>
      <c r="F1591" s="140">
        <f t="shared" si="183"/>
        <v>4</v>
      </c>
      <c r="G1591" s="140" t="str">
        <f t="shared" si="185"/>
        <v>3.2.4</v>
      </c>
      <c r="H1591" s="166" t="s">
        <v>1697</v>
      </c>
      <c r="I1591" s="166" t="s">
        <v>26</v>
      </c>
      <c r="J1591" s="166" t="s">
        <v>732</v>
      </c>
      <c r="K1591" s="166" t="s">
        <v>716</v>
      </c>
      <c r="L1591" s="166">
        <v>39000</v>
      </c>
      <c r="M1591" s="166"/>
      <c r="N1591" s="166"/>
      <c r="O1591" s="164">
        <f t="shared" si="180"/>
        <v>0</v>
      </c>
      <c r="P1591" s="166"/>
      <c r="Q1591" s="166"/>
      <c r="R1591" s="164">
        <f>$L1591*'Pivot Objective'!$C$9*P1591*Q1591</f>
        <v>0</v>
      </c>
      <c r="S1591" s="166">
        <v>40</v>
      </c>
      <c r="T1591" s="166">
        <v>6</v>
      </c>
      <c r="U1591" s="164">
        <f>($L1591*'Pivot Objective'!$C$9^2)*S1591*T1591</f>
        <v>12226674.413937515</v>
      </c>
      <c r="V1591" s="166">
        <v>0</v>
      </c>
      <c r="W1591" s="166">
        <v>0</v>
      </c>
      <c r="X1591" s="164">
        <f>($L1591*'Pivot Objective'!$C$9^3)*V1591*W1591</f>
        <v>0</v>
      </c>
      <c r="Y1591" s="166">
        <v>0</v>
      </c>
      <c r="Z1591" s="166">
        <v>0</v>
      </c>
      <c r="AA1591" s="164">
        <f>($L1591*'Pivot Objective'!$C$9^4)*Y1591*Z1591</f>
        <v>0</v>
      </c>
      <c r="AB1591" s="166">
        <v>0</v>
      </c>
      <c r="AC1591" s="166">
        <v>0</v>
      </c>
      <c r="AD1591" s="164">
        <f>($L1591*'Pivot Objective'!$C$9^5)*AB1591*AC1591</f>
        <v>0</v>
      </c>
      <c r="AE1591" s="166">
        <v>0</v>
      </c>
      <c r="AF1591" s="166">
        <v>0</v>
      </c>
      <c r="AG1591" s="164">
        <f>($L1591*'Pivot Objective'!$C$9^6)*AE1591*AF1591</f>
        <v>0</v>
      </c>
      <c r="AH1591" s="166">
        <v>0</v>
      </c>
      <c r="AI1591" s="166">
        <v>0</v>
      </c>
      <c r="AJ1591" s="164">
        <f>($L1591*'Pivot Objective'!$C$9^7)*AH1591*AI1591</f>
        <v>0</v>
      </c>
      <c r="AK1591" s="185">
        <f t="shared" si="181"/>
        <v>12226674.413937515</v>
      </c>
      <c r="AL1591" s="186">
        <f t="shared" si="182"/>
        <v>11870.557683434481</v>
      </c>
    </row>
    <row r="1592" spans="1:38" customFormat="1" ht="43.2" x14ac:dyDescent="0.3">
      <c r="A1592" s="140" t="s">
        <v>1485</v>
      </c>
      <c r="B1592" s="140">
        <v>3</v>
      </c>
      <c r="C1592" s="166" t="s">
        <v>696</v>
      </c>
      <c r="D1592" s="140" t="str">
        <f t="shared" si="184"/>
        <v>2</v>
      </c>
      <c r="E1592" s="166" t="s">
        <v>690</v>
      </c>
      <c r="F1592" s="140">
        <f t="shared" si="183"/>
        <v>4</v>
      </c>
      <c r="G1592" s="140" t="str">
        <f t="shared" si="185"/>
        <v>3.2.4</v>
      </c>
      <c r="H1592" s="166" t="s">
        <v>1697</v>
      </c>
      <c r="I1592" s="166" t="s">
        <v>26</v>
      </c>
      <c r="J1592" s="166" t="s">
        <v>732</v>
      </c>
      <c r="K1592" s="166" t="s">
        <v>712</v>
      </c>
      <c r="L1592" s="166">
        <f>1480/7</f>
        <v>211.42857142857142</v>
      </c>
      <c r="M1592" s="166"/>
      <c r="N1592" s="166"/>
      <c r="O1592" s="164">
        <f t="shared" si="180"/>
        <v>0</v>
      </c>
      <c r="P1592" s="166"/>
      <c r="Q1592" s="166"/>
      <c r="R1592" s="164">
        <f>$L1592*'Pivot Objective'!$C$9*P1592*Q1592</f>
        <v>0</v>
      </c>
      <c r="S1592" s="166">
        <f>2*25*9</f>
        <v>450</v>
      </c>
      <c r="T1592" s="166">
        <v>5</v>
      </c>
      <c r="U1592" s="164">
        <f>($L1592*'Pivot Objective'!$C$9^2)*S1592*T1592</f>
        <v>621410.65015891218</v>
      </c>
      <c r="V1592" s="166">
        <v>0</v>
      </c>
      <c r="W1592" s="166">
        <v>0</v>
      </c>
      <c r="X1592" s="164">
        <f>($L1592*'Pivot Objective'!$C$9^3)*V1592*W1592</f>
        <v>0</v>
      </c>
      <c r="Y1592" s="166">
        <v>0</v>
      </c>
      <c r="Z1592" s="166">
        <v>0</v>
      </c>
      <c r="AA1592" s="164">
        <f>($L1592*'Pivot Objective'!$C$9^4)*Y1592*Z1592</f>
        <v>0</v>
      </c>
      <c r="AB1592" s="166">
        <v>0</v>
      </c>
      <c r="AC1592" s="166">
        <v>0</v>
      </c>
      <c r="AD1592" s="164">
        <f>($L1592*'Pivot Objective'!$C$9^5)*AB1592*AC1592</f>
        <v>0</v>
      </c>
      <c r="AE1592" s="166">
        <v>0</v>
      </c>
      <c r="AF1592" s="166">
        <v>0</v>
      </c>
      <c r="AG1592" s="164">
        <f>($L1592*'Pivot Objective'!$C$9^6)*AE1592*AF1592</f>
        <v>0</v>
      </c>
      <c r="AH1592" s="166">
        <v>0</v>
      </c>
      <c r="AI1592" s="166">
        <v>0</v>
      </c>
      <c r="AJ1592" s="164">
        <f>($L1592*'Pivot Objective'!$C$9^7)*AH1592*AI1592</f>
        <v>0</v>
      </c>
      <c r="AK1592" s="185">
        <f t="shared" si="181"/>
        <v>621410.65015891218</v>
      </c>
      <c r="AL1592" s="186">
        <f t="shared" si="182"/>
        <v>603.31131083389528</v>
      </c>
    </row>
    <row r="1593" spans="1:38" customFormat="1" ht="43.2" x14ac:dyDescent="0.3">
      <c r="A1593" s="140" t="s">
        <v>1485</v>
      </c>
      <c r="B1593" s="140">
        <v>3</v>
      </c>
      <c r="C1593" s="166" t="s">
        <v>696</v>
      </c>
      <c r="D1593" s="140" t="str">
        <f t="shared" si="184"/>
        <v>2</v>
      </c>
      <c r="E1593" s="166" t="s">
        <v>690</v>
      </c>
      <c r="F1593" s="140">
        <f t="shared" si="183"/>
        <v>4</v>
      </c>
      <c r="G1593" s="140" t="str">
        <f t="shared" si="185"/>
        <v>3.2.4</v>
      </c>
      <c r="H1593" s="166" t="s">
        <v>1697</v>
      </c>
      <c r="I1593" s="166" t="s">
        <v>26</v>
      </c>
      <c r="J1593" s="166" t="s">
        <v>732</v>
      </c>
      <c r="K1593" s="166" t="s">
        <v>1336</v>
      </c>
      <c r="L1593" s="166">
        <f>1480/7</f>
        <v>211.42857142857142</v>
      </c>
      <c r="M1593" s="166"/>
      <c r="N1593" s="166"/>
      <c r="O1593" s="164">
        <f t="shared" si="180"/>
        <v>0</v>
      </c>
      <c r="P1593" s="166"/>
      <c r="Q1593" s="166"/>
      <c r="R1593" s="164">
        <f>$L1593*'Pivot Objective'!$C$9*P1593*Q1593</f>
        <v>0</v>
      </c>
      <c r="S1593" s="166">
        <f>2*135*9</f>
        <v>2430</v>
      </c>
      <c r="T1593" s="166">
        <v>1</v>
      </c>
      <c r="U1593" s="164">
        <f>($L1593*'Pivot Objective'!$C$9^2)*S1593*T1593</f>
        <v>671123.50217162515</v>
      </c>
      <c r="V1593" s="166"/>
      <c r="W1593" s="166"/>
      <c r="X1593" s="164">
        <f>($L1593*'Pivot Objective'!$C$9^3)*V1593*W1593</f>
        <v>0</v>
      </c>
      <c r="Y1593" s="166"/>
      <c r="Z1593" s="166"/>
      <c r="AA1593" s="164">
        <f>($L1593*'Pivot Objective'!$C$9^4)*Y1593*Z1593</f>
        <v>0</v>
      </c>
      <c r="AB1593" s="166"/>
      <c r="AC1593" s="166"/>
      <c r="AD1593" s="164">
        <f>($L1593*'Pivot Objective'!$C$9^5)*AB1593*AC1593</f>
        <v>0</v>
      </c>
      <c r="AE1593" s="166"/>
      <c r="AF1593" s="166"/>
      <c r="AG1593" s="164">
        <f>($L1593*'Pivot Objective'!$C$9^6)*AE1593*AF1593</f>
        <v>0</v>
      </c>
      <c r="AH1593" s="166"/>
      <c r="AI1593" s="166"/>
      <c r="AJ1593" s="164">
        <f>($L1593*'Pivot Objective'!$C$9^7)*AH1593*AI1593</f>
        <v>0</v>
      </c>
      <c r="AK1593" s="185">
        <f t="shared" si="181"/>
        <v>671123.50217162515</v>
      </c>
      <c r="AL1593" s="186">
        <f t="shared" si="182"/>
        <v>651.57621570060689</v>
      </c>
    </row>
    <row r="1594" spans="1:38" customFormat="1" ht="43.2" x14ac:dyDescent="0.3">
      <c r="A1594" s="140" t="s">
        <v>1485</v>
      </c>
      <c r="B1594" s="140">
        <v>3</v>
      </c>
      <c r="C1594" s="166" t="s">
        <v>696</v>
      </c>
      <c r="D1594" s="140" t="str">
        <f t="shared" si="184"/>
        <v>2</v>
      </c>
      <c r="E1594" s="166" t="s">
        <v>690</v>
      </c>
      <c r="F1594" s="140">
        <f t="shared" si="183"/>
        <v>4</v>
      </c>
      <c r="G1594" s="140" t="str">
        <f t="shared" si="185"/>
        <v>3.2.4</v>
      </c>
      <c r="H1594" s="166" t="s">
        <v>1697</v>
      </c>
      <c r="I1594" s="166" t="s">
        <v>26</v>
      </c>
      <c r="J1594" s="166" t="s">
        <v>733</v>
      </c>
      <c r="K1594" s="166" t="s">
        <v>709</v>
      </c>
      <c r="L1594" s="166">
        <v>35000</v>
      </c>
      <c r="M1594" s="166"/>
      <c r="N1594" s="166"/>
      <c r="O1594" s="164">
        <f t="shared" si="180"/>
        <v>0</v>
      </c>
      <c r="P1594" s="166"/>
      <c r="Q1594" s="166"/>
      <c r="R1594" s="164">
        <f>$L1594*'Pivot Objective'!$C$9*P1594*Q1594</f>
        <v>0</v>
      </c>
      <c r="S1594" s="166">
        <v>40</v>
      </c>
      <c r="T1594" s="166">
        <v>5</v>
      </c>
      <c r="U1594" s="164">
        <f>($L1594*'Pivot Objective'!$C$9^2)*S1594*T1594</f>
        <v>9143880.4377737809</v>
      </c>
      <c r="V1594" s="166">
        <v>0</v>
      </c>
      <c r="W1594" s="166">
        <v>0</v>
      </c>
      <c r="X1594" s="164">
        <f>($L1594*'Pivot Objective'!$C$9^3)*V1594*W1594</f>
        <v>0</v>
      </c>
      <c r="Y1594" s="166">
        <v>0</v>
      </c>
      <c r="Z1594" s="166">
        <v>0</v>
      </c>
      <c r="AA1594" s="164">
        <f>($L1594*'Pivot Objective'!$C$9^4)*Y1594*Z1594</f>
        <v>0</v>
      </c>
      <c r="AB1594" s="166">
        <v>0</v>
      </c>
      <c r="AC1594" s="166">
        <v>0</v>
      </c>
      <c r="AD1594" s="164">
        <f>($L1594*'Pivot Objective'!$C$9^5)*AB1594*AC1594</f>
        <v>0</v>
      </c>
      <c r="AE1594" s="166">
        <v>0</v>
      </c>
      <c r="AF1594" s="166">
        <v>0</v>
      </c>
      <c r="AG1594" s="164">
        <f>($L1594*'Pivot Objective'!$C$9^6)*AE1594*AF1594</f>
        <v>0</v>
      </c>
      <c r="AH1594" s="166">
        <v>0</v>
      </c>
      <c r="AI1594" s="166">
        <v>0</v>
      </c>
      <c r="AJ1594" s="164">
        <f>($L1594*'Pivot Objective'!$C$9^7)*AH1594*AI1594</f>
        <v>0</v>
      </c>
      <c r="AK1594" s="185">
        <f t="shared" si="181"/>
        <v>9143880.4377737809</v>
      </c>
      <c r="AL1594" s="186">
        <f t="shared" si="182"/>
        <v>8877.5538230813399</v>
      </c>
    </row>
    <row r="1595" spans="1:38" customFormat="1" ht="43.2" x14ac:dyDescent="0.3">
      <c r="A1595" s="140" t="s">
        <v>1485</v>
      </c>
      <c r="B1595" s="140">
        <v>3</v>
      </c>
      <c r="C1595" s="166" t="s">
        <v>696</v>
      </c>
      <c r="D1595" s="140" t="str">
        <f t="shared" si="184"/>
        <v>2</v>
      </c>
      <c r="E1595" s="166" t="s">
        <v>690</v>
      </c>
      <c r="F1595" s="140">
        <f t="shared" si="183"/>
        <v>4</v>
      </c>
      <c r="G1595" s="140" t="str">
        <f t="shared" si="185"/>
        <v>3.2.4</v>
      </c>
      <c r="H1595" s="166" t="s">
        <v>1697</v>
      </c>
      <c r="I1595" s="166" t="s">
        <v>26</v>
      </c>
      <c r="J1595" s="166" t="s">
        <v>733</v>
      </c>
      <c r="K1595" s="166" t="s">
        <v>716</v>
      </c>
      <c r="L1595" s="166">
        <v>39000</v>
      </c>
      <c r="M1595" s="166"/>
      <c r="N1595" s="166"/>
      <c r="O1595" s="164">
        <f t="shared" si="180"/>
        <v>0</v>
      </c>
      <c r="P1595" s="166"/>
      <c r="Q1595" s="166"/>
      <c r="R1595" s="164">
        <f>$L1595*'Pivot Objective'!$C$9*P1595*Q1595</f>
        <v>0</v>
      </c>
      <c r="S1595" s="166">
        <v>40</v>
      </c>
      <c r="T1595" s="166">
        <v>6</v>
      </c>
      <c r="U1595" s="164">
        <f>($L1595*'Pivot Objective'!$C$9^2)*S1595*T1595</f>
        <v>12226674.413937515</v>
      </c>
      <c r="V1595" s="166">
        <v>0</v>
      </c>
      <c r="W1595" s="166">
        <v>0</v>
      </c>
      <c r="X1595" s="164">
        <f>($L1595*'Pivot Objective'!$C$9^3)*V1595*W1595</f>
        <v>0</v>
      </c>
      <c r="Y1595" s="166">
        <v>0</v>
      </c>
      <c r="Z1595" s="166">
        <v>0</v>
      </c>
      <c r="AA1595" s="164">
        <f>($L1595*'Pivot Objective'!$C$9^4)*Y1595*Z1595</f>
        <v>0</v>
      </c>
      <c r="AB1595" s="166">
        <v>0</v>
      </c>
      <c r="AC1595" s="166">
        <v>0</v>
      </c>
      <c r="AD1595" s="164">
        <f>($L1595*'Pivot Objective'!$C$9^5)*AB1595*AC1595</f>
        <v>0</v>
      </c>
      <c r="AE1595" s="166">
        <v>0</v>
      </c>
      <c r="AF1595" s="166">
        <v>0</v>
      </c>
      <c r="AG1595" s="164">
        <f>($L1595*'Pivot Objective'!$C$9^6)*AE1595*AF1595</f>
        <v>0</v>
      </c>
      <c r="AH1595" s="166">
        <v>0</v>
      </c>
      <c r="AI1595" s="166">
        <v>0</v>
      </c>
      <c r="AJ1595" s="164">
        <f>($L1595*'Pivot Objective'!$C$9^7)*AH1595*AI1595</f>
        <v>0</v>
      </c>
      <c r="AK1595" s="185">
        <f t="shared" si="181"/>
        <v>12226674.413937515</v>
      </c>
      <c r="AL1595" s="186">
        <f t="shared" si="182"/>
        <v>11870.557683434481</v>
      </c>
    </row>
    <row r="1596" spans="1:38" customFormat="1" ht="43.2" x14ac:dyDescent="0.3">
      <c r="A1596" s="140" t="s">
        <v>1485</v>
      </c>
      <c r="B1596" s="140">
        <v>3</v>
      </c>
      <c r="C1596" s="166" t="s">
        <v>696</v>
      </c>
      <c r="D1596" s="140" t="str">
        <f t="shared" si="184"/>
        <v>2</v>
      </c>
      <c r="E1596" s="166" t="s">
        <v>690</v>
      </c>
      <c r="F1596" s="140">
        <f t="shared" si="183"/>
        <v>4</v>
      </c>
      <c r="G1596" s="140" t="str">
        <f t="shared" si="185"/>
        <v>3.2.4</v>
      </c>
      <c r="H1596" s="166" t="s">
        <v>1697</v>
      </c>
      <c r="I1596" s="166" t="s">
        <v>26</v>
      </c>
      <c r="J1596" s="166" t="s">
        <v>733</v>
      </c>
      <c r="K1596" s="166" t="s">
        <v>712</v>
      </c>
      <c r="L1596" s="166">
        <f>1480/7</f>
        <v>211.42857142857142</v>
      </c>
      <c r="M1596" s="166"/>
      <c r="N1596" s="166"/>
      <c r="O1596" s="164">
        <f t="shared" si="180"/>
        <v>0</v>
      </c>
      <c r="P1596" s="166"/>
      <c r="Q1596" s="166"/>
      <c r="R1596" s="164">
        <f>$L1596*'Pivot Objective'!$C$9*P1596*Q1596</f>
        <v>0</v>
      </c>
      <c r="S1596" s="166">
        <f>25*2*9</f>
        <v>450</v>
      </c>
      <c r="T1596" s="166">
        <v>5</v>
      </c>
      <c r="U1596" s="164">
        <f>($L1596*'Pivot Objective'!$C$9^2)*S1596*T1596</f>
        <v>621410.65015891218</v>
      </c>
      <c r="V1596" s="166">
        <v>0</v>
      </c>
      <c r="W1596" s="166">
        <v>0</v>
      </c>
      <c r="X1596" s="164">
        <f>($L1596*'Pivot Objective'!$C$9^3)*V1596*W1596</f>
        <v>0</v>
      </c>
      <c r="Y1596" s="166">
        <v>0</v>
      </c>
      <c r="Z1596" s="166">
        <v>0</v>
      </c>
      <c r="AA1596" s="164">
        <f>($L1596*'Pivot Objective'!$C$9^4)*Y1596*Z1596</f>
        <v>0</v>
      </c>
      <c r="AB1596" s="166">
        <v>0</v>
      </c>
      <c r="AC1596" s="166">
        <v>0</v>
      </c>
      <c r="AD1596" s="164">
        <f>($L1596*'Pivot Objective'!$C$9^5)*AB1596*AC1596</f>
        <v>0</v>
      </c>
      <c r="AE1596" s="166">
        <v>0</v>
      </c>
      <c r="AF1596" s="166">
        <v>0</v>
      </c>
      <c r="AG1596" s="164">
        <f>($L1596*'Pivot Objective'!$C$9^6)*AE1596*AF1596</f>
        <v>0</v>
      </c>
      <c r="AH1596" s="166">
        <v>0</v>
      </c>
      <c r="AI1596" s="166">
        <v>0</v>
      </c>
      <c r="AJ1596" s="164">
        <f>($L1596*'Pivot Objective'!$C$9^7)*AH1596*AI1596</f>
        <v>0</v>
      </c>
      <c r="AK1596" s="185">
        <f t="shared" si="181"/>
        <v>621410.65015891218</v>
      </c>
      <c r="AL1596" s="186">
        <f t="shared" si="182"/>
        <v>603.31131083389528</v>
      </c>
    </row>
    <row r="1597" spans="1:38" customFormat="1" ht="43.2" x14ac:dyDescent="0.3">
      <c r="A1597" s="140" t="s">
        <v>1485</v>
      </c>
      <c r="B1597" s="140">
        <v>3</v>
      </c>
      <c r="C1597" s="166" t="s">
        <v>696</v>
      </c>
      <c r="D1597" s="140" t="str">
        <f t="shared" si="184"/>
        <v>2</v>
      </c>
      <c r="E1597" s="166" t="s">
        <v>690</v>
      </c>
      <c r="F1597" s="140">
        <f t="shared" ref="F1597:F1628" si="186">IF(H1597=H1596,F1596,F1596+1)</f>
        <v>4</v>
      </c>
      <c r="G1597" s="140" t="str">
        <f t="shared" si="185"/>
        <v>3.2.4</v>
      </c>
      <c r="H1597" s="166" t="s">
        <v>1697</v>
      </c>
      <c r="I1597" s="166" t="s">
        <v>26</v>
      </c>
      <c r="J1597" s="166" t="s">
        <v>733</v>
      </c>
      <c r="K1597" s="166" t="s">
        <v>1336</v>
      </c>
      <c r="L1597" s="166">
        <f>1480/7</f>
        <v>211.42857142857142</v>
      </c>
      <c r="M1597" s="166"/>
      <c r="N1597" s="166"/>
      <c r="O1597" s="164">
        <f t="shared" si="180"/>
        <v>0</v>
      </c>
      <c r="P1597" s="166"/>
      <c r="Q1597" s="166"/>
      <c r="R1597" s="164">
        <f>$L1597*'Pivot Objective'!$C$9*P1597*Q1597</f>
        <v>0</v>
      </c>
      <c r="S1597" s="166">
        <f>2*135*9</f>
        <v>2430</v>
      </c>
      <c r="T1597" s="166">
        <v>1</v>
      </c>
      <c r="U1597" s="164">
        <f>($L1597*'Pivot Objective'!$C$9^2)*S1597*T1597</f>
        <v>671123.50217162515</v>
      </c>
      <c r="V1597" s="166"/>
      <c r="W1597" s="166"/>
      <c r="X1597" s="164">
        <f>($L1597*'Pivot Objective'!$C$9^3)*V1597*W1597</f>
        <v>0</v>
      </c>
      <c r="Y1597" s="166"/>
      <c r="Z1597" s="166"/>
      <c r="AA1597" s="164">
        <f>($L1597*'Pivot Objective'!$C$9^4)*Y1597*Z1597</f>
        <v>0</v>
      </c>
      <c r="AB1597" s="166"/>
      <c r="AC1597" s="166"/>
      <c r="AD1597" s="164">
        <f>($L1597*'Pivot Objective'!$C$9^5)*AB1597*AC1597</f>
        <v>0</v>
      </c>
      <c r="AE1597" s="166"/>
      <c r="AF1597" s="166"/>
      <c r="AG1597" s="164">
        <f>($L1597*'Pivot Objective'!$C$9^6)*AE1597*AF1597</f>
        <v>0</v>
      </c>
      <c r="AH1597" s="166"/>
      <c r="AI1597" s="166"/>
      <c r="AJ1597" s="164">
        <f>($L1597*'Pivot Objective'!$C$9^7)*AH1597*AI1597</f>
        <v>0</v>
      </c>
      <c r="AK1597" s="185">
        <f t="shared" si="181"/>
        <v>671123.50217162515</v>
      </c>
      <c r="AL1597" s="186">
        <f t="shared" si="182"/>
        <v>651.57621570060689</v>
      </c>
    </row>
    <row r="1598" spans="1:38" customFormat="1" ht="43.2" x14ac:dyDescent="0.3">
      <c r="A1598" s="140" t="s">
        <v>1485</v>
      </c>
      <c r="B1598" s="140">
        <v>3</v>
      </c>
      <c r="C1598" s="166" t="s">
        <v>696</v>
      </c>
      <c r="D1598" s="140" t="str">
        <f t="shared" si="184"/>
        <v>2</v>
      </c>
      <c r="E1598" s="166" t="s">
        <v>690</v>
      </c>
      <c r="F1598" s="140">
        <f t="shared" si="186"/>
        <v>4</v>
      </c>
      <c r="G1598" s="140" t="str">
        <f t="shared" si="185"/>
        <v>3.2.4</v>
      </c>
      <c r="H1598" s="166" t="s">
        <v>1697</v>
      </c>
      <c r="I1598" s="166" t="s">
        <v>26</v>
      </c>
      <c r="J1598" s="166" t="s">
        <v>272</v>
      </c>
      <c r="K1598" s="166" t="s">
        <v>709</v>
      </c>
      <c r="L1598" s="166">
        <v>35000</v>
      </c>
      <c r="M1598" s="166"/>
      <c r="N1598" s="166"/>
      <c r="O1598" s="164">
        <f t="shared" si="180"/>
        <v>0</v>
      </c>
      <c r="P1598" s="166"/>
      <c r="Q1598" s="166"/>
      <c r="R1598" s="164">
        <f>$L1598*'Pivot Objective'!$C$9*P1598*Q1598</f>
        <v>0</v>
      </c>
      <c r="S1598" s="166">
        <v>50</v>
      </c>
      <c r="T1598" s="166">
        <v>5</v>
      </c>
      <c r="U1598" s="164">
        <f>($L1598*'Pivot Objective'!$C$9^2)*S1598*T1598</f>
        <v>11429850.547217228</v>
      </c>
      <c r="V1598" s="166">
        <v>0</v>
      </c>
      <c r="W1598" s="166">
        <v>0</v>
      </c>
      <c r="X1598" s="164">
        <f>($L1598*'Pivot Objective'!$C$9^3)*V1598*W1598</f>
        <v>0</v>
      </c>
      <c r="Y1598" s="166">
        <v>0</v>
      </c>
      <c r="Z1598" s="166">
        <v>0</v>
      </c>
      <c r="AA1598" s="164">
        <f>($L1598*'Pivot Objective'!$C$9^4)*Y1598*Z1598</f>
        <v>0</v>
      </c>
      <c r="AB1598" s="166">
        <v>0</v>
      </c>
      <c r="AC1598" s="166">
        <v>0</v>
      </c>
      <c r="AD1598" s="164">
        <f>($L1598*'Pivot Objective'!$C$9^5)*AB1598*AC1598</f>
        <v>0</v>
      </c>
      <c r="AE1598" s="166">
        <v>0</v>
      </c>
      <c r="AF1598" s="166">
        <v>0</v>
      </c>
      <c r="AG1598" s="164">
        <f>($L1598*'Pivot Objective'!$C$9^6)*AE1598*AF1598</f>
        <v>0</v>
      </c>
      <c r="AH1598" s="166">
        <v>0</v>
      </c>
      <c r="AI1598" s="166">
        <v>0</v>
      </c>
      <c r="AJ1598" s="164">
        <f>($L1598*'Pivot Objective'!$C$9^7)*AH1598*AI1598</f>
        <v>0</v>
      </c>
      <c r="AK1598" s="185">
        <f t="shared" si="181"/>
        <v>11429850.547217228</v>
      </c>
      <c r="AL1598" s="186">
        <f t="shared" si="182"/>
        <v>11096.942278851677</v>
      </c>
    </row>
    <row r="1599" spans="1:38" customFormat="1" ht="43.2" x14ac:dyDescent="0.3">
      <c r="A1599" s="140" t="s">
        <v>1485</v>
      </c>
      <c r="B1599" s="140">
        <v>3</v>
      </c>
      <c r="C1599" s="166" t="s">
        <v>696</v>
      </c>
      <c r="D1599" s="140" t="str">
        <f t="shared" si="184"/>
        <v>2</v>
      </c>
      <c r="E1599" s="166" t="s">
        <v>690</v>
      </c>
      <c r="F1599" s="140">
        <f t="shared" si="186"/>
        <v>4</v>
      </c>
      <c r="G1599" s="140" t="str">
        <f t="shared" si="185"/>
        <v>3.2.4</v>
      </c>
      <c r="H1599" s="166" t="s">
        <v>1697</v>
      </c>
      <c r="I1599" s="166" t="s">
        <v>26</v>
      </c>
      <c r="J1599" s="166" t="s">
        <v>272</v>
      </c>
      <c r="K1599" s="166" t="s">
        <v>716</v>
      </c>
      <c r="L1599" s="166">
        <v>39000</v>
      </c>
      <c r="M1599" s="166"/>
      <c r="N1599" s="166"/>
      <c r="O1599" s="164">
        <f t="shared" si="180"/>
        <v>0</v>
      </c>
      <c r="P1599" s="166"/>
      <c r="Q1599" s="166"/>
      <c r="R1599" s="164">
        <f>$L1599*'Pivot Objective'!$C$9*P1599*Q1599</f>
        <v>0</v>
      </c>
      <c r="S1599" s="166">
        <v>50</v>
      </c>
      <c r="T1599" s="166">
        <v>6</v>
      </c>
      <c r="U1599" s="164">
        <f>($L1599*'Pivot Objective'!$C$9^2)*S1599*T1599</f>
        <v>15283343.017421894</v>
      </c>
      <c r="V1599" s="166">
        <v>0</v>
      </c>
      <c r="W1599" s="166">
        <v>0</v>
      </c>
      <c r="X1599" s="164">
        <f>($L1599*'Pivot Objective'!$C$9^3)*V1599*W1599</f>
        <v>0</v>
      </c>
      <c r="Y1599" s="166">
        <v>0</v>
      </c>
      <c r="Z1599" s="166">
        <v>0</v>
      </c>
      <c r="AA1599" s="164">
        <f>($L1599*'Pivot Objective'!$C$9^4)*Y1599*Z1599</f>
        <v>0</v>
      </c>
      <c r="AB1599" s="166">
        <v>0</v>
      </c>
      <c r="AC1599" s="166">
        <v>0</v>
      </c>
      <c r="AD1599" s="164">
        <f>($L1599*'Pivot Objective'!$C$9^5)*AB1599*AC1599</f>
        <v>0</v>
      </c>
      <c r="AE1599" s="166">
        <v>0</v>
      </c>
      <c r="AF1599" s="166">
        <v>0</v>
      </c>
      <c r="AG1599" s="164">
        <f>($L1599*'Pivot Objective'!$C$9^6)*AE1599*AF1599</f>
        <v>0</v>
      </c>
      <c r="AH1599" s="166">
        <v>0</v>
      </c>
      <c r="AI1599" s="166">
        <v>0</v>
      </c>
      <c r="AJ1599" s="164">
        <f>($L1599*'Pivot Objective'!$C$9^7)*AH1599*AI1599</f>
        <v>0</v>
      </c>
      <c r="AK1599" s="185">
        <f t="shared" si="181"/>
        <v>15283343.017421894</v>
      </c>
      <c r="AL1599" s="186">
        <f t="shared" si="182"/>
        <v>14838.1971042931</v>
      </c>
    </row>
    <row r="1600" spans="1:38" customFormat="1" ht="43.2" x14ac:dyDescent="0.3">
      <c r="A1600" s="140" t="s">
        <v>1485</v>
      </c>
      <c r="B1600" s="140">
        <v>3</v>
      </c>
      <c r="C1600" s="166" t="s">
        <v>696</v>
      </c>
      <c r="D1600" s="140" t="str">
        <f t="shared" si="184"/>
        <v>2</v>
      </c>
      <c r="E1600" s="166" t="s">
        <v>690</v>
      </c>
      <c r="F1600" s="140">
        <f t="shared" si="186"/>
        <v>4</v>
      </c>
      <c r="G1600" s="140" t="str">
        <f t="shared" si="185"/>
        <v>3.2.4</v>
      </c>
      <c r="H1600" s="166" t="s">
        <v>1697</v>
      </c>
      <c r="I1600" s="166" t="s">
        <v>26</v>
      </c>
      <c r="J1600" s="166" t="s">
        <v>272</v>
      </c>
      <c r="K1600" s="166" t="s">
        <v>712</v>
      </c>
      <c r="L1600" s="166">
        <f>1480/7</f>
        <v>211.42857142857142</v>
      </c>
      <c r="M1600" s="166"/>
      <c r="N1600" s="166"/>
      <c r="O1600" s="164">
        <f t="shared" si="180"/>
        <v>0</v>
      </c>
      <c r="P1600" s="166"/>
      <c r="Q1600" s="166"/>
      <c r="R1600" s="164">
        <f>$L1600*'Pivot Objective'!$C$9*P1600*Q1600</f>
        <v>0</v>
      </c>
      <c r="S1600" s="166">
        <f>2*25*9</f>
        <v>450</v>
      </c>
      <c r="T1600" s="166">
        <v>5</v>
      </c>
      <c r="U1600" s="164">
        <f>($L1600*'Pivot Objective'!$C$9^2)*S1600*T1600</f>
        <v>621410.65015891218</v>
      </c>
      <c r="V1600" s="166">
        <v>0</v>
      </c>
      <c r="W1600" s="166">
        <v>0</v>
      </c>
      <c r="X1600" s="164">
        <f>($L1600*'Pivot Objective'!$C$9^3)*V1600*W1600</f>
        <v>0</v>
      </c>
      <c r="Y1600" s="166">
        <v>0</v>
      </c>
      <c r="Z1600" s="166">
        <v>0</v>
      </c>
      <c r="AA1600" s="164">
        <f>($L1600*'Pivot Objective'!$C$9^4)*Y1600*Z1600</f>
        <v>0</v>
      </c>
      <c r="AB1600" s="166">
        <v>0</v>
      </c>
      <c r="AC1600" s="166">
        <v>0</v>
      </c>
      <c r="AD1600" s="164">
        <f>($L1600*'Pivot Objective'!$C$9^5)*AB1600*AC1600</f>
        <v>0</v>
      </c>
      <c r="AE1600" s="166">
        <v>0</v>
      </c>
      <c r="AF1600" s="166">
        <v>0</v>
      </c>
      <c r="AG1600" s="164">
        <f>($L1600*'Pivot Objective'!$C$9^6)*AE1600*AF1600</f>
        <v>0</v>
      </c>
      <c r="AH1600" s="166">
        <v>0</v>
      </c>
      <c r="AI1600" s="166">
        <v>0</v>
      </c>
      <c r="AJ1600" s="164">
        <f>($L1600*'Pivot Objective'!$C$9^7)*AH1600*AI1600</f>
        <v>0</v>
      </c>
      <c r="AK1600" s="185">
        <f t="shared" si="181"/>
        <v>621410.65015891218</v>
      </c>
      <c r="AL1600" s="186">
        <f t="shared" si="182"/>
        <v>603.31131083389528</v>
      </c>
    </row>
    <row r="1601" spans="1:38" customFormat="1" ht="43.2" x14ac:dyDescent="0.3">
      <c r="A1601" s="140" t="s">
        <v>1485</v>
      </c>
      <c r="B1601" s="140">
        <v>3</v>
      </c>
      <c r="C1601" s="166" t="s">
        <v>696</v>
      </c>
      <c r="D1601" s="140" t="str">
        <f t="shared" si="184"/>
        <v>2</v>
      </c>
      <c r="E1601" s="166" t="s">
        <v>690</v>
      </c>
      <c r="F1601" s="140">
        <f t="shared" si="186"/>
        <v>4</v>
      </c>
      <c r="G1601" s="140" t="str">
        <f t="shared" si="185"/>
        <v>3.2.4</v>
      </c>
      <c r="H1601" s="166" t="s">
        <v>1697</v>
      </c>
      <c r="I1601" s="166" t="s">
        <v>26</v>
      </c>
      <c r="J1601" s="166" t="s">
        <v>272</v>
      </c>
      <c r="K1601" s="166" t="s">
        <v>1336</v>
      </c>
      <c r="L1601" s="166">
        <f>1480/7</f>
        <v>211.42857142857142</v>
      </c>
      <c r="M1601" s="166"/>
      <c r="N1601" s="166"/>
      <c r="O1601" s="164">
        <f t="shared" si="180"/>
        <v>0</v>
      </c>
      <c r="P1601" s="166"/>
      <c r="Q1601" s="166"/>
      <c r="R1601" s="164">
        <f>$L1601*'Pivot Objective'!$C$9*P1601*Q1601</f>
        <v>0</v>
      </c>
      <c r="S1601" s="166">
        <f>2*135*11</f>
        <v>2970</v>
      </c>
      <c r="T1601" s="166">
        <v>1</v>
      </c>
      <c r="U1601" s="164">
        <f>($L1601*'Pivot Objective'!$C$9^2)*S1601*T1601</f>
        <v>820262.05820976407</v>
      </c>
      <c r="V1601" s="166"/>
      <c r="W1601" s="166"/>
      <c r="X1601" s="164">
        <f>($L1601*'Pivot Objective'!$C$9^3)*V1601*W1601</f>
        <v>0</v>
      </c>
      <c r="Y1601" s="166"/>
      <c r="Z1601" s="166"/>
      <c r="AA1601" s="164">
        <f>($L1601*'Pivot Objective'!$C$9^4)*Y1601*Z1601</f>
        <v>0</v>
      </c>
      <c r="AB1601" s="166"/>
      <c r="AC1601" s="166"/>
      <c r="AD1601" s="164">
        <f>($L1601*'Pivot Objective'!$C$9^5)*AB1601*AC1601</f>
        <v>0</v>
      </c>
      <c r="AE1601" s="166"/>
      <c r="AF1601" s="166"/>
      <c r="AG1601" s="164">
        <f>($L1601*'Pivot Objective'!$C$9^6)*AE1601*AF1601</f>
        <v>0</v>
      </c>
      <c r="AH1601" s="166"/>
      <c r="AI1601" s="166"/>
      <c r="AJ1601" s="164">
        <f>($L1601*'Pivot Objective'!$C$9^7)*AH1601*AI1601</f>
        <v>0</v>
      </c>
      <c r="AK1601" s="185">
        <f t="shared" si="181"/>
        <v>820262.05820976407</v>
      </c>
      <c r="AL1601" s="186">
        <f t="shared" si="182"/>
        <v>796.37093030074186</v>
      </c>
    </row>
    <row r="1602" spans="1:38" customFormat="1" ht="43.2" x14ac:dyDescent="0.3">
      <c r="A1602" s="140" t="s">
        <v>1485</v>
      </c>
      <c r="B1602" s="140">
        <v>3</v>
      </c>
      <c r="C1602" s="166" t="s">
        <v>696</v>
      </c>
      <c r="D1602" s="140" t="str">
        <f t="shared" si="184"/>
        <v>2</v>
      </c>
      <c r="E1602" s="166" t="s">
        <v>690</v>
      </c>
      <c r="F1602" s="140">
        <f t="shared" si="186"/>
        <v>4</v>
      </c>
      <c r="G1602" s="140" t="str">
        <f t="shared" si="185"/>
        <v>3.2.4</v>
      </c>
      <c r="H1602" s="166" t="s">
        <v>1697</v>
      </c>
      <c r="I1602" s="166" t="s">
        <v>26</v>
      </c>
      <c r="J1602" s="166" t="s">
        <v>734</v>
      </c>
      <c r="K1602" s="166" t="s">
        <v>709</v>
      </c>
      <c r="L1602" s="166">
        <v>35000</v>
      </c>
      <c r="M1602" s="166"/>
      <c r="N1602" s="166"/>
      <c r="O1602" s="164">
        <f t="shared" si="180"/>
        <v>0</v>
      </c>
      <c r="P1602" s="166"/>
      <c r="Q1602" s="166"/>
      <c r="R1602" s="164">
        <f>$L1602*'Pivot Objective'!$C$9*P1602*Q1602</f>
        <v>0</v>
      </c>
      <c r="S1602" s="166">
        <v>30</v>
      </c>
      <c r="T1602" s="166">
        <v>5</v>
      </c>
      <c r="U1602" s="164">
        <f>($L1602*'Pivot Objective'!$C$9^2)*S1602*T1602</f>
        <v>6857910.3283303361</v>
      </c>
      <c r="V1602" s="166">
        <v>0</v>
      </c>
      <c r="W1602" s="166">
        <v>0</v>
      </c>
      <c r="X1602" s="164">
        <f>($L1602*'Pivot Objective'!$C$9^3)*V1602*W1602</f>
        <v>0</v>
      </c>
      <c r="Y1602" s="166">
        <v>0</v>
      </c>
      <c r="Z1602" s="166">
        <v>0</v>
      </c>
      <c r="AA1602" s="164">
        <f>($L1602*'Pivot Objective'!$C$9^4)*Y1602*Z1602</f>
        <v>0</v>
      </c>
      <c r="AB1602" s="166">
        <v>0</v>
      </c>
      <c r="AC1602" s="166">
        <v>0</v>
      </c>
      <c r="AD1602" s="164">
        <f>($L1602*'Pivot Objective'!$C$9^5)*AB1602*AC1602</f>
        <v>0</v>
      </c>
      <c r="AE1602" s="166">
        <v>0</v>
      </c>
      <c r="AF1602" s="166">
        <v>0</v>
      </c>
      <c r="AG1602" s="164">
        <f>($L1602*'Pivot Objective'!$C$9^6)*AE1602*AF1602</f>
        <v>0</v>
      </c>
      <c r="AH1602" s="166">
        <v>0</v>
      </c>
      <c r="AI1602" s="166">
        <v>0</v>
      </c>
      <c r="AJ1602" s="164">
        <f>($L1602*'Pivot Objective'!$C$9^7)*AH1602*AI1602</f>
        <v>0</v>
      </c>
      <c r="AK1602" s="185">
        <f t="shared" si="181"/>
        <v>6857910.3283303361</v>
      </c>
      <c r="AL1602" s="186">
        <f t="shared" si="182"/>
        <v>6658.1653673110059</v>
      </c>
    </row>
    <row r="1603" spans="1:38" customFormat="1" ht="43.2" x14ac:dyDescent="0.3">
      <c r="A1603" s="140" t="s">
        <v>1485</v>
      </c>
      <c r="B1603" s="140">
        <v>3</v>
      </c>
      <c r="C1603" s="166" t="s">
        <v>696</v>
      </c>
      <c r="D1603" s="140" t="str">
        <f t="shared" si="184"/>
        <v>2</v>
      </c>
      <c r="E1603" s="166" t="s">
        <v>690</v>
      </c>
      <c r="F1603" s="140">
        <f t="shared" si="186"/>
        <v>4</v>
      </c>
      <c r="G1603" s="140" t="str">
        <f t="shared" si="185"/>
        <v>3.2.4</v>
      </c>
      <c r="H1603" s="166" t="s">
        <v>1697</v>
      </c>
      <c r="I1603" s="166" t="s">
        <v>26</v>
      </c>
      <c r="J1603" s="166" t="s">
        <v>734</v>
      </c>
      <c r="K1603" s="166" t="s">
        <v>716</v>
      </c>
      <c r="L1603" s="166">
        <v>39000</v>
      </c>
      <c r="M1603" s="166"/>
      <c r="N1603" s="166"/>
      <c r="O1603" s="164">
        <f t="shared" ref="O1603:O1666" si="187">$L1603*M1603*N1603</f>
        <v>0</v>
      </c>
      <c r="P1603" s="166"/>
      <c r="Q1603" s="166"/>
      <c r="R1603" s="164">
        <f>$L1603*'Pivot Objective'!$C$9*P1603*Q1603</f>
        <v>0</v>
      </c>
      <c r="S1603" s="166">
        <v>30</v>
      </c>
      <c r="T1603" s="166">
        <v>5</v>
      </c>
      <c r="U1603" s="164">
        <f>($L1603*'Pivot Objective'!$C$9^2)*S1603*T1603</f>
        <v>7641671.5087109469</v>
      </c>
      <c r="V1603" s="166">
        <v>0</v>
      </c>
      <c r="W1603" s="166">
        <v>0</v>
      </c>
      <c r="X1603" s="164">
        <f>($L1603*'Pivot Objective'!$C$9^3)*V1603*W1603</f>
        <v>0</v>
      </c>
      <c r="Y1603" s="166">
        <v>0</v>
      </c>
      <c r="Z1603" s="166">
        <v>0</v>
      </c>
      <c r="AA1603" s="164">
        <f>($L1603*'Pivot Objective'!$C$9^4)*Y1603*Z1603</f>
        <v>0</v>
      </c>
      <c r="AB1603" s="166">
        <v>0</v>
      </c>
      <c r="AC1603" s="166">
        <v>0</v>
      </c>
      <c r="AD1603" s="164">
        <f>($L1603*'Pivot Objective'!$C$9^5)*AB1603*AC1603</f>
        <v>0</v>
      </c>
      <c r="AE1603" s="166">
        <v>0</v>
      </c>
      <c r="AF1603" s="166">
        <v>0</v>
      </c>
      <c r="AG1603" s="164">
        <f>($L1603*'Pivot Objective'!$C$9^6)*AE1603*AF1603</f>
        <v>0</v>
      </c>
      <c r="AH1603" s="166">
        <v>0</v>
      </c>
      <c r="AI1603" s="166">
        <v>0</v>
      </c>
      <c r="AJ1603" s="164">
        <f>($L1603*'Pivot Objective'!$C$9^7)*AH1603*AI1603</f>
        <v>0</v>
      </c>
      <c r="AK1603" s="185">
        <f t="shared" ref="AK1603:AK1666" si="188">O1603+R1603+U1603+X1603+AA1603+AD1603+AG1603+AJ1603</f>
        <v>7641671.5087109469</v>
      </c>
      <c r="AL1603" s="186">
        <f t="shared" ref="AL1603:AL1666" si="189">AK1603/$AP$2</f>
        <v>7419.09855214655</v>
      </c>
    </row>
    <row r="1604" spans="1:38" customFormat="1" ht="43.2" x14ac:dyDescent="0.3">
      <c r="A1604" s="140" t="s">
        <v>1485</v>
      </c>
      <c r="B1604" s="140">
        <v>3</v>
      </c>
      <c r="C1604" s="166" t="s">
        <v>696</v>
      </c>
      <c r="D1604" s="140" t="str">
        <f t="shared" si="184"/>
        <v>2</v>
      </c>
      <c r="E1604" s="166" t="s">
        <v>690</v>
      </c>
      <c r="F1604" s="140">
        <f t="shared" si="186"/>
        <v>4</v>
      </c>
      <c r="G1604" s="140" t="str">
        <f t="shared" si="185"/>
        <v>3.2.4</v>
      </c>
      <c r="H1604" s="166" t="s">
        <v>1697</v>
      </c>
      <c r="I1604" s="166" t="s">
        <v>26</v>
      </c>
      <c r="J1604" s="166" t="s">
        <v>734</v>
      </c>
      <c r="K1604" s="166" t="s">
        <v>712</v>
      </c>
      <c r="L1604" s="166">
        <f>1480/7</f>
        <v>211.42857142857142</v>
      </c>
      <c r="M1604" s="166"/>
      <c r="N1604" s="166"/>
      <c r="O1604" s="164">
        <f t="shared" si="187"/>
        <v>0</v>
      </c>
      <c r="P1604" s="166"/>
      <c r="Q1604" s="166"/>
      <c r="R1604" s="164">
        <f>$L1604*'Pivot Objective'!$C$9*P1604*Q1604</f>
        <v>0</v>
      </c>
      <c r="S1604" s="166">
        <f>2*9*25</f>
        <v>450</v>
      </c>
      <c r="T1604" s="166">
        <v>5</v>
      </c>
      <c r="U1604" s="164">
        <f>($L1604*'Pivot Objective'!$C$9^2)*S1604*T1604</f>
        <v>621410.65015891218</v>
      </c>
      <c r="V1604" s="166">
        <v>0</v>
      </c>
      <c r="W1604" s="166">
        <v>0</v>
      </c>
      <c r="X1604" s="164">
        <f>($L1604*'Pivot Objective'!$C$9^3)*V1604*W1604</f>
        <v>0</v>
      </c>
      <c r="Y1604" s="166">
        <v>0</v>
      </c>
      <c r="Z1604" s="166">
        <v>0</v>
      </c>
      <c r="AA1604" s="164">
        <f>($L1604*'Pivot Objective'!$C$9^4)*Y1604*Z1604</f>
        <v>0</v>
      </c>
      <c r="AB1604" s="166">
        <v>0</v>
      </c>
      <c r="AC1604" s="166">
        <v>0</v>
      </c>
      <c r="AD1604" s="164">
        <f>($L1604*'Pivot Objective'!$C$9^5)*AB1604*AC1604</f>
        <v>0</v>
      </c>
      <c r="AE1604" s="166">
        <v>0</v>
      </c>
      <c r="AF1604" s="166">
        <v>0</v>
      </c>
      <c r="AG1604" s="164">
        <f>($L1604*'Pivot Objective'!$C$9^6)*AE1604*AF1604</f>
        <v>0</v>
      </c>
      <c r="AH1604" s="166">
        <v>0</v>
      </c>
      <c r="AI1604" s="166">
        <v>0</v>
      </c>
      <c r="AJ1604" s="164">
        <f>($L1604*'Pivot Objective'!$C$9^7)*AH1604*AI1604</f>
        <v>0</v>
      </c>
      <c r="AK1604" s="185">
        <f t="shared" si="188"/>
        <v>621410.65015891218</v>
      </c>
      <c r="AL1604" s="186">
        <f t="shared" si="189"/>
        <v>603.31131083389528</v>
      </c>
    </row>
    <row r="1605" spans="1:38" customFormat="1" ht="43.2" x14ac:dyDescent="0.3">
      <c r="A1605" s="140" t="s">
        <v>1485</v>
      </c>
      <c r="B1605" s="140">
        <v>3</v>
      </c>
      <c r="C1605" s="166" t="s">
        <v>696</v>
      </c>
      <c r="D1605" s="140" t="str">
        <f t="shared" si="184"/>
        <v>2</v>
      </c>
      <c r="E1605" s="166" t="s">
        <v>690</v>
      </c>
      <c r="F1605" s="140">
        <f t="shared" si="186"/>
        <v>4</v>
      </c>
      <c r="G1605" s="140" t="str">
        <f t="shared" si="185"/>
        <v>3.2.4</v>
      </c>
      <c r="H1605" s="166" t="s">
        <v>1697</v>
      </c>
      <c r="I1605" s="166" t="s">
        <v>26</v>
      </c>
      <c r="J1605" s="166" t="s">
        <v>734</v>
      </c>
      <c r="K1605" s="166" t="s">
        <v>1336</v>
      </c>
      <c r="L1605" s="166">
        <f>1480/7</f>
        <v>211.42857142857142</v>
      </c>
      <c r="M1605" s="166"/>
      <c r="N1605" s="166"/>
      <c r="O1605" s="164">
        <f t="shared" si="187"/>
        <v>0</v>
      </c>
      <c r="P1605" s="166"/>
      <c r="Q1605" s="166"/>
      <c r="R1605" s="164">
        <f>$L1605*'Pivot Objective'!$C$9*P1605*Q1605</f>
        <v>0</v>
      </c>
      <c r="S1605" s="166">
        <f>2*135*9</f>
        <v>2430</v>
      </c>
      <c r="T1605" s="166">
        <v>1</v>
      </c>
      <c r="U1605" s="164">
        <f>($L1605*'Pivot Objective'!$C$9^2)*S1605*T1605</f>
        <v>671123.50217162515</v>
      </c>
      <c r="V1605" s="166"/>
      <c r="W1605" s="166"/>
      <c r="X1605" s="164">
        <f>($L1605*'Pivot Objective'!$C$9^3)*V1605*W1605</f>
        <v>0</v>
      </c>
      <c r="Y1605" s="166"/>
      <c r="Z1605" s="166"/>
      <c r="AA1605" s="164">
        <f>($L1605*'Pivot Objective'!$C$9^4)*Y1605*Z1605</f>
        <v>0</v>
      </c>
      <c r="AB1605" s="166"/>
      <c r="AC1605" s="166"/>
      <c r="AD1605" s="164">
        <f>($L1605*'Pivot Objective'!$C$9^5)*AB1605*AC1605</f>
        <v>0</v>
      </c>
      <c r="AE1605" s="166"/>
      <c r="AF1605" s="166"/>
      <c r="AG1605" s="164">
        <f>($L1605*'Pivot Objective'!$C$9^6)*AE1605*AF1605</f>
        <v>0</v>
      </c>
      <c r="AH1605" s="166"/>
      <c r="AI1605" s="166"/>
      <c r="AJ1605" s="164">
        <f>($L1605*'Pivot Objective'!$C$9^7)*AH1605*AI1605</f>
        <v>0</v>
      </c>
      <c r="AK1605" s="185">
        <f t="shared" si="188"/>
        <v>671123.50217162515</v>
      </c>
      <c r="AL1605" s="186">
        <f t="shared" si="189"/>
        <v>651.57621570060689</v>
      </c>
    </row>
    <row r="1606" spans="1:38" customFormat="1" ht="43.2" x14ac:dyDescent="0.3">
      <c r="A1606" s="140" t="s">
        <v>1485</v>
      </c>
      <c r="B1606" s="140">
        <v>3</v>
      </c>
      <c r="C1606" s="166" t="s">
        <v>696</v>
      </c>
      <c r="D1606" s="140" t="str">
        <f t="shared" si="184"/>
        <v>2</v>
      </c>
      <c r="E1606" s="166" t="s">
        <v>690</v>
      </c>
      <c r="F1606" s="140">
        <f t="shared" si="186"/>
        <v>4</v>
      </c>
      <c r="G1606" s="140" t="str">
        <f t="shared" si="185"/>
        <v>3.2.4</v>
      </c>
      <c r="H1606" s="166" t="s">
        <v>1697</v>
      </c>
      <c r="I1606" s="166" t="s">
        <v>26</v>
      </c>
      <c r="J1606" s="166" t="s">
        <v>274</v>
      </c>
      <c r="K1606" s="166" t="s">
        <v>709</v>
      </c>
      <c r="L1606" s="166">
        <v>35000</v>
      </c>
      <c r="M1606" s="166"/>
      <c r="N1606" s="166"/>
      <c r="O1606" s="164">
        <f t="shared" si="187"/>
        <v>0</v>
      </c>
      <c r="P1606" s="166"/>
      <c r="Q1606" s="166"/>
      <c r="R1606" s="164">
        <f>$L1606*'Pivot Objective'!$C$9*P1606*Q1606</f>
        <v>0</v>
      </c>
      <c r="S1606" s="166">
        <v>50</v>
      </c>
      <c r="T1606" s="166">
        <v>1</v>
      </c>
      <c r="U1606" s="164">
        <f>($L1606*'Pivot Objective'!$C$9^2)*S1606*T1606</f>
        <v>2285970.1094434457</v>
      </c>
      <c r="V1606" s="166">
        <v>0</v>
      </c>
      <c r="W1606" s="166">
        <v>0</v>
      </c>
      <c r="X1606" s="164">
        <f>($L1606*'Pivot Objective'!$C$9^3)*V1606*W1606</f>
        <v>0</v>
      </c>
      <c r="Y1606" s="166">
        <v>0</v>
      </c>
      <c r="Z1606" s="166">
        <v>0</v>
      </c>
      <c r="AA1606" s="164">
        <f>($L1606*'Pivot Objective'!$C$9^4)*Y1606*Z1606</f>
        <v>0</v>
      </c>
      <c r="AB1606" s="166">
        <v>0</v>
      </c>
      <c r="AC1606" s="166">
        <v>0</v>
      </c>
      <c r="AD1606" s="164">
        <f>($L1606*'Pivot Objective'!$C$9^5)*AB1606*AC1606</f>
        <v>0</v>
      </c>
      <c r="AE1606" s="166">
        <v>0</v>
      </c>
      <c r="AF1606" s="166">
        <v>0</v>
      </c>
      <c r="AG1606" s="164">
        <f>($L1606*'Pivot Objective'!$C$9^6)*AE1606*AF1606</f>
        <v>0</v>
      </c>
      <c r="AH1606" s="166">
        <v>0</v>
      </c>
      <c r="AI1606" s="166">
        <v>0</v>
      </c>
      <c r="AJ1606" s="164">
        <f>($L1606*'Pivot Objective'!$C$9^7)*AH1606*AI1606</f>
        <v>0</v>
      </c>
      <c r="AK1606" s="185">
        <f t="shared" si="188"/>
        <v>2285970.1094434457</v>
      </c>
      <c r="AL1606" s="186">
        <f t="shared" si="189"/>
        <v>2219.3884557703354</v>
      </c>
    </row>
    <row r="1607" spans="1:38" customFormat="1" ht="43.2" x14ac:dyDescent="0.3">
      <c r="A1607" s="140" t="s">
        <v>1485</v>
      </c>
      <c r="B1607" s="140">
        <v>3</v>
      </c>
      <c r="C1607" s="166" t="s">
        <v>696</v>
      </c>
      <c r="D1607" s="140" t="str">
        <f t="shared" si="184"/>
        <v>2</v>
      </c>
      <c r="E1607" s="166" t="s">
        <v>690</v>
      </c>
      <c r="F1607" s="140">
        <f t="shared" si="186"/>
        <v>4</v>
      </c>
      <c r="G1607" s="140" t="str">
        <f t="shared" si="185"/>
        <v>3.2.4</v>
      </c>
      <c r="H1607" s="166" t="s">
        <v>1697</v>
      </c>
      <c r="I1607" s="166" t="s">
        <v>26</v>
      </c>
      <c r="J1607" s="166" t="s">
        <v>275</v>
      </c>
      <c r="K1607" s="166" t="s">
        <v>709</v>
      </c>
      <c r="L1607" s="166">
        <v>35000</v>
      </c>
      <c r="M1607" s="166"/>
      <c r="N1607" s="166"/>
      <c r="O1607" s="164">
        <f t="shared" si="187"/>
        <v>0</v>
      </c>
      <c r="P1607" s="166"/>
      <c r="Q1607" s="166"/>
      <c r="R1607" s="164">
        <f>$L1607*'Pivot Objective'!$C$9*P1607*Q1607</f>
        <v>0</v>
      </c>
      <c r="S1607" s="166">
        <v>50</v>
      </c>
      <c r="T1607" s="166">
        <v>1</v>
      </c>
      <c r="U1607" s="164">
        <f>($L1607*'Pivot Objective'!$C$9^2)*S1607*T1607</f>
        <v>2285970.1094434457</v>
      </c>
      <c r="V1607" s="166">
        <v>0</v>
      </c>
      <c r="W1607" s="166">
        <v>0</v>
      </c>
      <c r="X1607" s="164">
        <f>($L1607*'Pivot Objective'!$C$9^3)*V1607*W1607</f>
        <v>0</v>
      </c>
      <c r="Y1607" s="166">
        <v>0</v>
      </c>
      <c r="Z1607" s="166">
        <v>0</v>
      </c>
      <c r="AA1607" s="164">
        <f>($L1607*'Pivot Objective'!$C$9^4)*Y1607*Z1607</f>
        <v>0</v>
      </c>
      <c r="AB1607" s="166">
        <v>0</v>
      </c>
      <c r="AC1607" s="166">
        <v>0</v>
      </c>
      <c r="AD1607" s="164">
        <f>($L1607*'Pivot Objective'!$C$9^5)*AB1607*AC1607</f>
        <v>0</v>
      </c>
      <c r="AE1607" s="166">
        <v>0</v>
      </c>
      <c r="AF1607" s="166">
        <v>0</v>
      </c>
      <c r="AG1607" s="164">
        <f>($L1607*'Pivot Objective'!$C$9^6)*AE1607*AF1607</f>
        <v>0</v>
      </c>
      <c r="AH1607" s="166">
        <v>0</v>
      </c>
      <c r="AI1607" s="166">
        <v>0</v>
      </c>
      <c r="AJ1607" s="164">
        <f>($L1607*'Pivot Objective'!$C$9^7)*AH1607*AI1607</f>
        <v>0</v>
      </c>
      <c r="AK1607" s="185">
        <f t="shared" si="188"/>
        <v>2285970.1094434457</v>
      </c>
      <c r="AL1607" s="186">
        <f t="shared" si="189"/>
        <v>2219.3884557703354</v>
      </c>
    </row>
    <row r="1608" spans="1:38" customFormat="1" ht="43.2" x14ac:dyDescent="0.3">
      <c r="A1608" s="140" t="s">
        <v>1485</v>
      </c>
      <c r="B1608" s="140">
        <v>3</v>
      </c>
      <c r="C1608" s="166" t="s">
        <v>696</v>
      </c>
      <c r="D1608" s="140" t="str">
        <f t="shared" si="184"/>
        <v>2</v>
      </c>
      <c r="E1608" s="166" t="s">
        <v>690</v>
      </c>
      <c r="F1608" s="140">
        <f t="shared" si="186"/>
        <v>4</v>
      </c>
      <c r="G1608" s="140" t="str">
        <f t="shared" si="185"/>
        <v>3.2.4</v>
      </c>
      <c r="H1608" s="166" t="s">
        <v>1697</v>
      </c>
      <c r="I1608" s="166" t="s">
        <v>26</v>
      </c>
      <c r="J1608" s="166" t="s">
        <v>276</v>
      </c>
      <c r="K1608" s="166" t="s">
        <v>709</v>
      </c>
      <c r="L1608" s="166">
        <v>35000</v>
      </c>
      <c r="M1608" s="166"/>
      <c r="N1608" s="166"/>
      <c r="O1608" s="164">
        <f t="shared" si="187"/>
        <v>0</v>
      </c>
      <c r="P1608" s="166"/>
      <c r="Q1608" s="166"/>
      <c r="R1608" s="164">
        <f>$L1608*'Pivot Objective'!$C$9*P1608*Q1608</f>
        <v>0</v>
      </c>
      <c r="S1608" s="166">
        <v>50</v>
      </c>
      <c r="T1608" s="166">
        <v>1</v>
      </c>
      <c r="U1608" s="164">
        <f>($L1608*'Pivot Objective'!$C$9^2)*S1608*T1608</f>
        <v>2285970.1094434457</v>
      </c>
      <c r="V1608" s="166">
        <v>0</v>
      </c>
      <c r="W1608" s="166">
        <v>0</v>
      </c>
      <c r="X1608" s="164">
        <f>($L1608*'Pivot Objective'!$C$9^3)*V1608*W1608</f>
        <v>0</v>
      </c>
      <c r="Y1608" s="166">
        <v>0</v>
      </c>
      <c r="Z1608" s="166">
        <v>0</v>
      </c>
      <c r="AA1608" s="164">
        <f>($L1608*'Pivot Objective'!$C$9^4)*Y1608*Z1608</f>
        <v>0</v>
      </c>
      <c r="AB1608" s="166">
        <v>0</v>
      </c>
      <c r="AC1608" s="166">
        <v>0</v>
      </c>
      <c r="AD1608" s="164">
        <f>($L1608*'Pivot Objective'!$C$9^5)*AB1608*AC1608</f>
        <v>0</v>
      </c>
      <c r="AE1608" s="166">
        <v>0</v>
      </c>
      <c r="AF1608" s="166">
        <v>0</v>
      </c>
      <c r="AG1608" s="164">
        <f>($L1608*'Pivot Objective'!$C$9^6)*AE1608*AF1608</f>
        <v>0</v>
      </c>
      <c r="AH1608" s="166">
        <v>0</v>
      </c>
      <c r="AI1608" s="166">
        <v>0</v>
      </c>
      <c r="AJ1608" s="164">
        <f>($L1608*'Pivot Objective'!$C$9^7)*AH1608*AI1608</f>
        <v>0</v>
      </c>
      <c r="AK1608" s="185">
        <f t="shared" si="188"/>
        <v>2285970.1094434457</v>
      </c>
      <c r="AL1608" s="186">
        <f t="shared" si="189"/>
        <v>2219.3884557703354</v>
      </c>
    </row>
    <row r="1609" spans="1:38" customFormat="1" ht="43.2" x14ac:dyDescent="0.3">
      <c r="A1609" s="140" t="s">
        <v>1485</v>
      </c>
      <c r="B1609" s="140">
        <v>3</v>
      </c>
      <c r="C1609" s="166" t="s">
        <v>696</v>
      </c>
      <c r="D1609" s="140" t="str">
        <f t="shared" si="184"/>
        <v>2</v>
      </c>
      <c r="E1609" s="166" t="s">
        <v>690</v>
      </c>
      <c r="F1609" s="140">
        <f t="shared" si="186"/>
        <v>4</v>
      </c>
      <c r="G1609" s="140" t="str">
        <f t="shared" si="185"/>
        <v>3.2.4</v>
      </c>
      <c r="H1609" s="166" t="s">
        <v>1697</v>
      </c>
      <c r="I1609" s="166" t="s">
        <v>26</v>
      </c>
      <c r="J1609" s="166" t="s">
        <v>735</v>
      </c>
      <c r="K1609" s="166" t="s">
        <v>716</v>
      </c>
      <c r="L1609" s="166">
        <v>39000</v>
      </c>
      <c r="M1609" s="166"/>
      <c r="N1609" s="166"/>
      <c r="O1609" s="164">
        <f t="shared" si="187"/>
        <v>0</v>
      </c>
      <c r="P1609" s="166"/>
      <c r="Q1609" s="166"/>
      <c r="R1609" s="164">
        <f>$L1609*'Pivot Objective'!$C$9*P1609*Q1609</f>
        <v>0</v>
      </c>
      <c r="S1609" s="166">
        <v>50</v>
      </c>
      <c r="T1609" s="166">
        <v>1</v>
      </c>
      <c r="U1609" s="164">
        <f>($L1609*'Pivot Objective'!$C$9^2)*S1609*T1609</f>
        <v>2547223.8362369821</v>
      </c>
      <c r="V1609" s="166">
        <v>0</v>
      </c>
      <c r="W1609" s="166">
        <v>0</v>
      </c>
      <c r="X1609" s="164">
        <f>($L1609*'Pivot Objective'!$C$9^3)*V1609*W1609</f>
        <v>0</v>
      </c>
      <c r="Y1609" s="166">
        <v>0</v>
      </c>
      <c r="Z1609" s="166">
        <v>0</v>
      </c>
      <c r="AA1609" s="164">
        <f>($L1609*'Pivot Objective'!$C$9^4)*Y1609*Z1609</f>
        <v>0</v>
      </c>
      <c r="AB1609" s="166">
        <v>0</v>
      </c>
      <c r="AC1609" s="166">
        <v>0</v>
      </c>
      <c r="AD1609" s="164">
        <f>($L1609*'Pivot Objective'!$C$9^5)*AB1609*AC1609</f>
        <v>0</v>
      </c>
      <c r="AE1609" s="166">
        <v>0</v>
      </c>
      <c r="AF1609" s="166">
        <v>0</v>
      </c>
      <c r="AG1609" s="164">
        <f>($L1609*'Pivot Objective'!$C$9^6)*AE1609*AF1609</f>
        <v>0</v>
      </c>
      <c r="AH1609" s="166">
        <v>0</v>
      </c>
      <c r="AI1609" s="166">
        <v>0</v>
      </c>
      <c r="AJ1609" s="164">
        <f>($L1609*'Pivot Objective'!$C$9^7)*AH1609*AI1609</f>
        <v>0</v>
      </c>
      <c r="AK1609" s="185">
        <f t="shared" si="188"/>
        <v>2547223.8362369821</v>
      </c>
      <c r="AL1609" s="186">
        <f t="shared" si="189"/>
        <v>2473.0328507155168</v>
      </c>
    </row>
    <row r="1610" spans="1:38" customFormat="1" ht="43.2" x14ac:dyDescent="0.3">
      <c r="A1610" s="140" t="s">
        <v>1485</v>
      </c>
      <c r="B1610" s="140">
        <v>3</v>
      </c>
      <c r="C1610" s="166" t="s">
        <v>696</v>
      </c>
      <c r="D1610" s="140" t="str">
        <f t="shared" si="184"/>
        <v>2</v>
      </c>
      <c r="E1610" s="166" t="s">
        <v>690</v>
      </c>
      <c r="F1610" s="140">
        <f t="shared" si="186"/>
        <v>4</v>
      </c>
      <c r="G1610" s="140" t="str">
        <f t="shared" si="185"/>
        <v>3.2.4</v>
      </c>
      <c r="H1610" s="166" t="s">
        <v>1697</v>
      </c>
      <c r="I1610" s="166" t="s">
        <v>26</v>
      </c>
      <c r="J1610" s="166" t="s">
        <v>735</v>
      </c>
      <c r="K1610" s="166" t="s">
        <v>709</v>
      </c>
      <c r="L1610" s="166">
        <v>35000</v>
      </c>
      <c r="M1610" s="166"/>
      <c r="N1610" s="166"/>
      <c r="O1610" s="164">
        <f t="shared" si="187"/>
        <v>0</v>
      </c>
      <c r="P1610" s="166"/>
      <c r="Q1610" s="166"/>
      <c r="R1610" s="164">
        <f>$L1610*'Pivot Objective'!$C$9*P1610*Q1610</f>
        <v>0</v>
      </c>
      <c r="S1610" s="166">
        <v>100</v>
      </c>
      <c r="T1610" s="166">
        <v>1</v>
      </c>
      <c r="U1610" s="164">
        <f>($L1610*'Pivot Objective'!$C$9^2)*S1610*T1610</f>
        <v>4571940.2188868914</v>
      </c>
      <c r="V1610" s="166">
        <v>0</v>
      </c>
      <c r="W1610" s="166">
        <v>0</v>
      </c>
      <c r="X1610" s="164">
        <f>($L1610*'Pivot Objective'!$C$9^3)*V1610*W1610</f>
        <v>0</v>
      </c>
      <c r="Y1610" s="166">
        <v>0</v>
      </c>
      <c r="Z1610" s="166">
        <v>0</v>
      </c>
      <c r="AA1610" s="164">
        <f>($L1610*'Pivot Objective'!$C$9^4)*Y1610*Z1610</f>
        <v>0</v>
      </c>
      <c r="AB1610" s="166">
        <v>0</v>
      </c>
      <c r="AC1610" s="166">
        <v>0</v>
      </c>
      <c r="AD1610" s="164">
        <f>($L1610*'Pivot Objective'!$C$9^5)*AB1610*AC1610</f>
        <v>0</v>
      </c>
      <c r="AE1610" s="166">
        <v>0</v>
      </c>
      <c r="AF1610" s="166">
        <v>0</v>
      </c>
      <c r="AG1610" s="164">
        <f>($L1610*'Pivot Objective'!$C$9^6)*AE1610*AF1610</f>
        <v>0</v>
      </c>
      <c r="AH1610" s="166">
        <v>0</v>
      </c>
      <c r="AI1610" s="166">
        <v>0</v>
      </c>
      <c r="AJ1610" s="164">
        <f>($L1610*'Pivot Objective'!$C$9^7)*AH1610*AI1610</f>
        <v>0</v>
      </c>
      <c r="AK1610" s="185">
        <f t="shared" si="188"/>
        <v>4571940.2188868914</v>
      </c>
      <c r="AL1610" s="186">
        <f t="shared" si="189"/>
        <v>4438.7769115406709</v>
      </c>
    </row>
    <row r="1611" spans="1:38" customFormat="1" ht="43.2" x14ac:dyDescent="0.3">
      <c r="A1611" s="140" t="s">
        <v>1485</v>
      </c>
      <c r="B1611" s="140">
        <v>3</v>
      </c>
      <c r="C1611" s="166" t="s">
        <v>696</v>
      </c>
      <c r="D1611" s="140" t="str">
        <f t="shared" si="184"/>
        <v>2</v>
      </c>
      <c r="E1611" s="166" t="s">
        <v>690</v>
      </c>
      <c r="F1611" s="140">
        <f t="shared" si="186"/>
        <v>4</v>
      </c>
      <c r="G1611" s="140" t="str">
        <f t="shared" si="185"/>
        <v>3.2.4</v>
      </c>
      <c r="H1611" s="166" t="s">
        <v>1697</v>
      </c>
      <c r="I1611" s="166" t="s">
        <v>26</v>
      </c>
      <c r="J1611" s="166" t="s">
        <v>735</v>
      </c>
      <c r="K1611" s="166" t="s">
        <v>712</v>
      </c>
      <c r="L1611" s="166">
        <f>1480/7</f>
        <v>211.42857142857142</v>
      </c>
      <c r="M1611" s="166"/>
      <c r="N1611" s="166"/>
      <c r="O1611" s="164">
        <f t="shared" si="187"/>
        <v>0</v>
      </c>
      <c r="P1611" s="166"/>
      <c r="Q1611" s="166"/>
      <c r="R1611" s="164">
        <f>$L1611*'Pivot Objective'!$C$9*P1611*Q1611</f>
        <v>0</v>
      </c>
      <c r="S1611" s="166">
        <f>2*135*9</f>
        <v>2430</v>
      </c>
      <c r="T1611" s="166">
        <v>1</v>
      </c>
      <c r="U1611" s="164">
        <f>($L1611*'Pivot Objective'!$C$9^2)*S1611*T1611</f>
        <v>671123.50217162515</v>
      </c>
      <c r="V1611" s="166">
        <v>0</v>
      </c>
      <c r="W1611" s="166">
        <v>0</v>
      </c>
      <c r="X1611" s="164">
        <f>($L1611*'Pivot Objective'!$C$9^3)*V1611*W1611</f>
        <v>0</v>
      </c>
      <c r="Y1611" s="166">
        <v>0</v>
      </c>
      <c r="Z1611" s="166">
        <v>0</v>
      </c>
      <c r="AA1611" s="164">
        <f>($L1611*'Pivot Objective'!$C$9^4)*Y1611*Z1611</f>
        <v>0</v>
      </c>
      <c r="AB1611" s="166">
        <v>0</v>
      </c>
      <c r="AC1611" s="166">
        <v>0</v>
      </c>
      <c r="AD1611" s="164">
        <f>($L1611*'Pivot Objective'!$C$9^5)*AB1611*AC1611</f>
        <v>0</v>
      </c>
      <c r="AE1611" s="166">
        <v>0</v>
      </c>
      <c r="AF1611" s="166">
        <v>0</v>
      </c>
      <c r="AG1611" s="164">
        <f>($L1611*'Pivot Objective'!$C$9^6)*AE1611*AF1611</f>
        <v>0</v>
      </c>
      <c r="AH1611" s="166">
        <v>0</v>
      </c>
      <c r="AI1611" s="166">
        <v>0</v>
      </c>
      <c r="AJ1611" s="164">
        <f>($L1611*'Pivot Objective'!$C$9^7)*AH1611*AI1611</f>
        <v>0</v>
      </c>
      <c r="AK1611" s="185">
        <f t="shared" si="188"/>
        <v>671123.50217162515</v>
      </c>
      <c r="AL1611" s="186">
        <f t="shared" si="189"/>
        <v>651.57621570060689</v>
      </c>
    </row>
    <row r="1612" spans="1:38" customFormat="1" ht="43.2" x14ac:dyDescent="0.3">
      <c r="A1612" s="140" t="s">
        <v>1485</v>
      </c>
      <c r="B1612" s="140">
        <v>3</v>
      </c>
      <c r="C1612" s="166" t="s">
        <v>696</v>
      </c>
      <c r="D1612" s="140" t="str">
        <f t="shared" si="184"/>
        <v>2</v>
      </c>
      <c r="E1612" s="166" t="s">
        <v>690</v>
      </c>
      <c r="F1612" s="140">
        <f t="shared" si="186"/>
        <v>4</v>
      </c>
      <c r="G1612" s="140" t="str">
        <f t="shared" si="185"/>
        <v>3.2.4</v>
      </c>
      <c r="H1612" s="166" t="s">
        <v>1697</v>
      </c>
      <c r="I1612" s="166" t="s">
        <v>26</v>
      </c>
      <c r="J1612" s="166" t="s">
        <v>735</v>
      </c>
      <c r="K1612" s="166" t="s">
        <v>1336</v>
      </c>
      <c r="L1612" s="166">
        <f>1480/7</f>
        <v>211.42857142857142</v>
      </c>
      <c r="M1612" s="166"/>
      <c r="N1612" s="166"/>
      <c r="O1612" s="164">
        <f t="shared" si="187"/>
        <v>0</v>
      </c>
      <c r="P1612" s="166"/>
      <c r="Q1612" s="166"/>
      <c r="R1612" s="164">
        <f>$L1612*'Pivot Objective'!$C$9*P1612*Q1612</f>
        <v>0</v>
      </c>
      <c r="S1612" s="166">
        <f>2*135*9</f>
        <v>2430</v>
      </c>
      <c r="T1612" s="166">
        <v>1</v>
      </c>
      <c r="U1612" s="164">
        <f>($L1612*'Pivot Objective'!$C$9^2)*S1612*T1612</f>
        <v>671123.50217162515</v>
      </c>
      <c r="V1612" s="166"/>
      <c r="W1612" s="166"/>
      <c r="X1612" s="164">
        <f>($L1612*'Pivot Objective'!$C$9^3)*V1612*W1612</f>
        <v>0</v>
      </c>
      <c r="Y1612" s="166"/>
      <c r="Z1612" s="166"/>
      <c r="AA1612" s="164">
        <f>($L1612*'Pivot Objective'!$C$9^4)*Y1612*Z1612</f>
        <v>0</v>
      </c>
      <c r="AB1612" s="166"/>
      <c r="AC1612" s="166"/>
      <c r="AD1612" s="164">
        <f>($L1612*'Pivot Objective'!$C$9^5)*AB1612*AC1612</f>
        <v>0</v>
      </c>
      <c r="AE1612" s="166"/>
      <c r="AF1612" s="166"/>
      <c r="AG1612" s="164">
        <f>($L1612*'Pivot Objective'!$C$9^6)*AE1612*AF1612</f>
        <v>0</v>
      </c>
      <c r="AH1612" s="166"/>
      <c r="AI1612" s="166"/>
      <c r="AJ1612" s="164">
        <f>($L1612*'Pivot Objective'!$C$9^7)*AH1612*AI1612</f>
        <v>0</v>
      </c>
      <c r="AK1612" s="185">
        <f t="shared" si="188"/>
        <v>671123.50217162515</v>
      </c>
      <c r="AL1612" s="186">
        <f t="shared" si="189"/>
        <v>651.57621570060689</v>
      </c>
    </row>
    <row r="1613" spans="1:38" customFormat="1" ht="43.2" x14ac:dyDescent="0.3">
      <c r="A1613" s="140" t="s">
        <v>1485</v>
      </c>
      <c r="B1613" s="140">
        <v>3</v>
      </c>
      <c r="C1613" s="166" t="s">
        <v>696</v>
      </c>
      <c r="D1613" s="140" t="str">
        <f t="shared" si="184"/>
        <v>2</v>
      </c>
      <c r="E1613" s="166" t="s">
        <v>690</v>
      </c>
      <c r="F1613" s="140">
        <f t="shared" si="186"/>
        <v>5</v>
      </c>
      <c r="G1613" s="140" t="str">
        <f t="shared" si="185"/>
        <v>3.2.5</v>
      </c>
      <c r="H1613" s="181" t="s">
        <v>654</v>
      </c>
      <c r="I1613" s="166" t="s">
        <v>27</v>
      </c>
      <c r="J1613" s="166" t="s">
        <v>482</v>
      </c>
      <c r="K1613" s="166" t="s">
        <v>718</v>
      </c>
      <c r="L1613" s="166">
        <v>0</v>
      </c>
      <c r="M1613" s="166"/>
      <c r="N1613" s="166"/>
      <c r="O1613" s="164">
        <f t="shared" si="187"/>
        <v>0</v>
      </c>
      <c r="P1613" s="166">
        <v>0</v>
      </c>
      <c r="Q1613" s="166">
        <v>0</v>
      </c>
      <c r="R1613" s="164">
        <f>$L1613*'Pivot Objective'!$C$9*P1613*Q1613</f>
        <v>0</v>
      </c>
      <c r="S1613" s="166"/>
      <c r="T1613" s="166"/>
      <c r="U1613" s="164">
        <f>($L1613*'Pivot Objective'!$C$9^2)*S1613*T1613</f>
        <v>0</v>
      </c>
      <c r="V1613" s="166">
        <v>0</v>
      </c>
      <c r="W1613" s="166">
        <v>0</v>
      </c>
      <c r="X1613" s="164">
        <f>($L1613*'Pivot Objective'!$C$9^3)*V1613*W1613</f>
        <v>0</v>
      </c>
      <c r="Y1613" s="166">
        <v>0</v>
      </c>
      <c r="Z1613" s="166">
        <v>0</v>
      </c>
      <c r="AA1613" s="164">
        <f>($L1613*'Pivot Objective'!$C$9^4)*Y1613*Z1613</f>
        <v>0</v>
      </c>
      <c r="AB1613" s="166">
        <v>0</v>
      </c>
      <c r="AC1613" s="166">
        <v>0</v>
      </c>
      <c r="AD1613" s="164">
        <f>($L1613*'Pivot Objective'!$C$9^5)*AB1613*AC1613</f>
        <v>0</v>
      </c>
      <c r="AE1613" s="166">
        <v>0</v>
      </c>
      <c r="AF1613" s="166">
        <v>0</v>
      </c>
      <c r="AG1613" s="164">
        <f>($L1613*'Pivot Objective'!$C$9^6)*AE1613*AF1613</f>
        <v>0</v>
      </c>
      <c r="AH1613" s="166">
        <v>0</v>
      </c>
      <c r="AI1613" s="166">
        <v>0</v>
      </c>
      <c r="AJ1613" s="164">
        <f>($L1613*'Pivot Objective'!$C$9^7)*AH1613*AI1613</f>
        <v>0</v>
      </c>
      <c r="AK1613" s="185">
        <f t="shared" si="188"/>
        <v>0</v>
      </c>
      <c r="AL1613" s="186">
        <f t="shared" si="189"/>
        <v>0</v>
      </c>
    </row>
    <row r="1614" spans="1:38" customFormat="1" ht="43.2" x14ac:dyDescent="0.3">
      <c r="A1614" s="140" t="s">
        <v>1485</v>
      </c>
      <c r="B1614" s="140">
        <v>3</v>
      </c>
      <c r="C1614" s="166" t="s">
        <v>696</v>
      </c>
      <c r="D1614" s="140" t="str">
        <f t="shared" si="184"/>
        <v>2</v>
      </c>
      <c r="E1614" s="166" t="s">
        <v>690</v>
      </c>
      <c r="F1614" s="140">
        <f t="shared" si="186"/>
        <v>5</v>
      </c>
      <c r="G1614" s="140" t="str">
        <f t="shared" si="185"/>
        <v>3.2.5</v>
      </c>
      <c r="H1614" s="181" t="s">
        <v>654</v>
      </c>
      <c r="I1614" s="166" t="s">
        <v>27</v>
      </c>
      <c r="J1614" s="166" t="s">
        <v>573</v>
      </c>
      <c r="K1614" s="166" t="s">
        <v>707</v>
      </c>
      <c r="L1614" s="166">
        <v>391991.03749999998</v>
      </c>
      <c r="M1614" s="166"/>
      <c r="N1614" s="166"/>
      <c r="O1614" s="164">
        <f t="shared" si="187"/>
        <v>0</v>
      </c>
      <c r="P1614" s="166">
        <v>2</v>
      </c>
      <c r="Q1614" s="166">
        <v>2</v>
      </c>
      <c r="R1614" s="164">
        <f>$L1614*'Pivot Objective'!$C$9*P1614*Q1614</f>
        <v>1792059.3063746723</v>
      </c>
      <c r="S1614" s="166"/>
      <c r="T1614" s="166"/>
      <c r="U1614" s="164">
        <f>($L1614*'Pivot Objective'!$C$9^2)*S1614*T1614</f>
        <v>0</v>
      </c>
      <c r="V1614" s="166">
        <v>0</v>
      </c>
      <c r="W1614" s="166">
        <v>0</v>
      </c>
      <c r="X1614" s="164">
        <f>($L1614*'Pivot Objective'!$C$9^3)*V1614*W1614</f>
        <v>0</v>
      </c>
      <c r="Y1614" s="166">
        <v>2</v>
      </c>
      <c r="Z1614" s="166">
        <v>2</v>
      </c>
      <c r="AA1614" s="164">
        <f>($L1614*'Pivot Objective'!$C$9^4)*Y1614*Z1614</f>
        <v>2675476.4105215403</v>
      </c>
      <c r="AB1614" s="166">
        <v>0</v>
      </c>
      <c r="AC1614" s="166">
        <v>0</v>
      </c>
      <c r="AD1614" s="164">
        <f>($L1614*'Pivot Objective'!$C$9^5)*AB1614*AC1614</f>
        <v>0</v>
      </c>
      <c r="AE1614" s="166">
        <v>0</v>
      </c>
      <c r="AF1614" s="166">
        <v>0</v>
      </c>
      <c r="AG1614" s="164">
        <f>($L1614*'Pivot Objective'!$C$9^6)*AE1614*AF1614</f>
        <v>0</v>
      </c>
      <c r="AH1614" s="166">
        <v>2</v>
      </c>
      <c r="AI1614" s="166">
        <v>2</v>
      </c>
      <c r="AJ1614" s="164">
        <f>($L1614*'Pivot Objective'!$C$9^7)*AH1614*AI1614</f>
        <v>3994384.5595926056</v>
      </c>
      <c r="AK1614" s="185">
        <f t="shared" si="188"/>
        <v>8461920.2764888182</v>
      </c>
      <c r="AL1614" s="186">
        <f t="shared" si="189"/>
        <v>8215.4565791153582</v>
      </c>
    </row>
    <row r="1615" spans="1:38" customFormat="1" ht="43.2" x14ac:dyDescent="0.3">
      <c r="A1615" s="140" t="s">
        <v>1485</v>
      </c>
      <c r="B1615" s="140">
        <v>3</v>
      </c>
      <c r="C1615" s="166" t="s">
        <v>696</v>
      </c>
      <c r="D1615" s="140" t="str">
        <f t="shared" si="184"/>
        <v>2</v>
      </c>
      <c r="E1615" s="166" t="s">
        <v>690</v>
      </c>
      <c r="F1615" s="140">
        <f t="shared" si="186"/>
        <v>5</v>
      </c>
      <c r="G1615" s="140" t="str">
        <f t="shared" si="185"/>
        <v>3.2.5</v>
      </c>
      <c r="H1615" s="181" t="s">
        <v>654</v>
      </c>
      <c r="I1615" s="166" t="s">
        <v>27</v>
      </c>
      <c r="J1615" s="166" t="s">
        <v>573</v>
      </c>
      <c r="K1615" s="166" t="s">
        <v>708</v>
      </c>
      <c r="L1615" s="166">
        <f>1022*980</f>
        <v>1001560</v>
      </c>
      <c r="M1615" s="166"/>
      <c r="N1615" s="166"/>
      <c r="O1615" s="164">
        <f t="shared" si="187"/>
        <v>0</v>
      </c>
      <c r="P1615" s="166">
        <v>1</v>
      </c>
      <c r="Q1615" s="166">
        <v>25</v>
      </c>
      <c r="R1615" s="164">
        <f>$L1615*'Pivot Objective'!$C$9*P1615*Q1615</f>
        <v>28617601.347782999</v>
      </c>
      <c r="S1615" s="166"/>
      <c r="T1615" s="166"/>
      <c r="U1615" s="164">
        <f>($L1615*'Pivot Objective'!$C$9^2)*S1615*T1615</f>
        <v>0</v>
      </c>
      <c r="V1615" s="166">
        <v>0</v>
      </c>
      <c r="W1615" s="166">
        <v>0</v>
      </c>
      <c r="X1615" s="164">
        <f>($L1615*'Pivot Objective'!$C$9^3)*V1615*W1615</f>
        <v>0</v>
      </c>
      <c r="Y1615" s="166">
        <v>1</v>
      </c>
      <c r="Z1615" s="166">
        <v>25</v>
      </c>
      <c r="AA1615" s="164">
        <f>($L1615*'Pivot Objective'!$C$9^4)*Y1615*Z1615</f>
        <v>42724990.774214357</v>
      </c>
      <c r="AB1615" s="166">
        <v>0</v>
      </c>
      <c r="AC1615" s="166">
        <v>0</v>
      </c>
      <c r="AD1615" s="164">
        <f>($L1615*'Pivot Objective'!$C$9^5)*AB1615*AC1615</f>
        <v>0</v>
      </c>
      <c r="AE1615" s="166">
        <v>0</v>
      </c>
      <c r="AF1615" s="166">
        <v>0</v>
      </c>
      <c r="AG1615" s="164">
        <f>($L1615*'Pivot Objective'!$C$9^6)*AE1615*AF1615</f>
        <v>0</v>
      </c>
      <c r="AH1615" s="166">
        <v>1</v>
      </c>
      <c r="AI1615" s="166">
        <v>25</v>
      </c>
      <c r="AJ1615" s="164">
        <f>($L1615*'Pivot Objective'!$C$9^7)*AH1615*AI1615</f>
        <v>63786786.826496802</v>
      </c>
      <c r="AK1615" s="185">
        <f t="shared" si="188"/>
        <v>135129378.94849417</v>
      </c>
      <c r="AL1615" s="186">
        <f t="shared" si="189"/>
        <v>131193.57179465453</v>
      </c>
    </row>
    <row r="1616" spans="1:38" customFormat="1" ht="43.2" x14ac:dyDescent="0.3">
      <c r="A1616" s="140" t="s">
        <v>1485</v>
      </c>
      <c r="B1616" s="140">
        <v>3</v>
      </c>
      <c r="C1616" s="166" t="s">
        <v>696</v>
      </c>
      <c r="D1616" s="140" t="str">
        <f t="shared" si="184"/>
        <v>2</v>
      </c>
      <c r="E1616" s="166" t="s">
        <v>690</v>
      </c>
      <c r="F1616" s="140">
        <f t="shared" si="186"/>
        <v>5</v>
      </c>
      <c r="G1616" s="140" t="str">
        <f t="shared" si="185"/>
        <v>3.2.5</v>
      </c>
      <c r="H1616" s="181" t="s">
        <v>654</v>
      </c>
      <c r="I1616" s="166" t="s">
        <v>27</v>
      </c>
      <c r="J1616" s="166" t="s">
        <v>179</v>
      </c>
      <c r="K1616" s="166" t="s">
        <v>713</v>
      </c>
      <c r="L1616" s="166">
        <v>45000</v>
      </c>
      <c r="M1616" s="166"/>
      <c r="N1616" s="166"/>
      <c r="O1616" s="164">
        <f t="shared" si="187"/>
        <v>0</v>
      </c>
      <c r="P1616" s="166">
        <v>30</v>
      </c>
      <c r="Q1616" s="166">
        <v>5</v>
      </c>
      <c r="R1616" s="164">
        <f>$L1616*'Pivot Objective'!$C$9*P1616*Q1616</f>
        <v>7714717.4047499988</v>
      </c>
      <c r="S1616" s="166"/>
      <c r="T1616" s="166"/>
      <c r="U1616" s="164">
        <f>($L1616*'Pivot Objective'!$C$9^2)*S1616*T1616</f>
        <v>0</v>
      </c>
      <c r="V1616" s="166">
        <v>0</v>
      </c>
      <c r="W1616" s="166">
        <v>0</v>
      </c>
      <c r="X1616" s="164">
        <f>($L1616*'Pivot Objective'!$C$9^3)*V1616*W1616</f>
        <v>0</v>
      </c>
      <c r="Y1616" s="166">
        <v>30</v>
      </c>
      <c r="Z1616" s="166">
        <v>5</v>
      </c>
      <c r="AA1616" s="164">
        <f>($L1616*'Pivot Objective'!$C$9^4)*Y1616*Z1616</f>
        <v>11517779.77259263</v>
      </c>
      <c r="AB1616" s="166">
        <v>0</v>
      </c>
      <c r="AC1616" s="166">
        <v>0</v>
      </c>
      <c r="AD1616" s="164">
        <f>($L1616*'Pivot Objective'!$C$9^5)*AB1616*AC1616</f>
        <v>0</v>
      </c>
      <c r="AE1616" s="166">
        <v>0</v>
      </c>
      <c r="AF1616" s="166">
        <v>0</v>
      </c>
      <c r="AG1616" s="164">
        <f>($L1616*'Pivot Objective'!$C$9^6)*AE1616*AF1616</f>
        <v>0</v>
      </c>
      <c r="AH1616" s="166">
        <v>30</v>
      </c>
      <c r="AI1616" s="166">
        <v>5</v>
      </c>
      <c r="AJ1616" s="164">
        <f>($L1616*'Pivot Objective'!$C$9^7)*AH1616*AI1616</f>
        <v>17195607.295772731</v>
      </c>
      <c r="AK1616" s="185">
        <f t="shared" si="188"/>
        <v>36428104.473115362</v>
      </c>
      <c r="AL1616" s="186">
        <f t="shared" si="189"/>
        <v>35367.091721471224</v>
      </c>
    </row>
    <row r="1617" spans="1:38" customFormat="1" ht="43.2" x14ac:dyDescent="0.3">
      <c r="A1617" s="140" t="s">
        <v>1485</v>
      </c>
      <c r="B1617" s="140">
        <v>3</v>
      </c>
      <c r="C1617" s="166" t="s">
        <v>696</v>
      </c>
      <c r="D1617" s="140" t="str">
        <f t="shared" si="184"/>
        <v>2</v>
      </c>
      <c r="E1617" s="166" t="s">
        <v>690</v>
      </c>
      <c r="F1617" s="140">
        <f t="shared" si="186"/>
        <v>5</v>
      </c>
      <c r="G1617" s="140" t="str">
        <f t="shared" si="185"/>
        <v>3.2.5</v>
      </c>
      <c r="H1617" s="181" t="s">
        <v>654</v>
      </c>
      <c r="I1617" s="166" t="s">
        <v>27</v>
      </c>
      <c r="J1617" s="166" t="s">
        <v>179</v>
      </c>
      <c r="K1617" s="166" t="s">
        <v>1297</v>
      </c>
      <c r="L1617" s="166">
        <v>8000</v>
      </c>
      <c r="M1617" s="166"/>
      <c r="N1617" s="166"/>
      <c r="O1617" s="164">
        <f t="shared" si="187"/>
        <v>0</v>
      </c>
      <c r="P1617" s="166">
        <v>10</v>
      </c>
      <c r="Q1617" s="166">
        <v>1</v>
      </c>
      <c r="R1617" s="164">
        <f>$L1617*'Pivot Objective'!$C$9*P1617*Q1617</f>
        <v>91433.687760000001</v>
      </c>
      <c r="S1617" s="166"/>
      <c r="T1617" s="166"/>
      <c r="U1617" s="164">
        <f>($L1617*'Pivot Objective'!$C$9^2)*S1617*T1617</f>
        <v>0</v>
      </c>
      <c r="V1617" s="166">
        <v>0</v>
      </c>
      <c r="W1617" s="166">
        <v>0</v>
      </c>
      <c r="X1617" s="164">
        <f>($L1617*'Pivot Objective'!$C$9^3)*V1617*W1617</f>
        <v>0</v>
      </c>
      <c r="Y1617" s="166">
        <v>10</v>
      </c>
      <c r="Z1617" s="166">
        <v>1</v>
      </c>
      <c r="AA1617" s="164">
        <f>($L1617*'Pivot Objective'!$C$9^4)*Y1617*Z1617</f>
        <v>136507.01952702377</v>
      </c>
      <c r="AB1617" s="166">
        <v>0</v>
      </c>
      <c r="AC1617" s="166">
        <v>0</v>
      </c>
      <c r="AD1617" s="164">
        <f>($L1617*'Pivot Objective'!$C$9^5)*AB1617*AC1617</f>
        <v>0</v>
      </c>
      <c r="AE1617" s="166">
        <v>0</v>
      </c>
      <c r="AF1617" s="166">
        <v>0</v>
      </c>
      <c r="AG1617" s="164">
        <f>($L1617*'Pivot Objective'!$C$9^6)*AE1617*AF1617</f>
        <v>0</v>
      </c>
      <c r="AH1617" s="166">
        <v>10</v>
      </c>
      <c r="AI1617" s="166">
        <v>1</v>
      </c>
      <c r="AJ1617" s="164">
        <f>($L1617*'Pivot Objective'!$C$9^7)*AH1617*AI1617</f>
        <v>203799.79017212125</v>
      </c>
      <c r="AK1617" s="185">
        <f t="shared" si="188"/>
        <v>431740.49745914503</v>
      </c>
      <c r="AL1617" s="186">
        <f t="shared" si="189"/>
        <v>419.16553151373301</v>
      </c>
    </row>
    <row r="1618" spans="1:38" customFormat="1" ht="43.2" x14ac:dyDescent="0.3">
      <c r="A1618" s="140" t="s">
        <v>1485</v>
      </c>
      <c r="B1618" s="140">
        <v>3</v>
      </c>
      <c r="C1618" s="166" t="s">
        <v>696</v>
      </c>
      <c r="D1618" s="140" t="str">
        <f t="shared" si="184"/>
        <v>2</v>
      </c>
      <c r="E1618" s="166" t="s">
        <v>690</v>
      </c>
      <c r="F1618" s="140">
        <f t="shared" si="186"/>
        <v>5</v>
      </c>
      <c r="G1618" s="140" t="str">
        <f t="shared" si="185"/>
        <v>3.2.5</v>
      </c>
      <c r="H1618" s="181" t="s">
        <v>654</v>
      </c>
      <c r="I1618" s="166" t="s">
        <v>27</v>
      </c>
      <c r="J1618" s="166" t="s">
        <v>179</v>
      </c>
      <c r="K1618" s="166" t="s">
        <v>710</v>
      </c>
      <c r="L1618" s="166">
        <v>104850</v>
      </c>
      <c r="M1618" s="166"/>
      <c r="N1618" s="166"/>
      <c r="O1618" s="164">
        <f t="shared" si="187"/>
        <v>0</v>
      </c>
      <c r="P1618" s="166">
        <v>1</v>
      </c>
      <c r="Q1618" s="166">
        <v>1</v>
      </c>
      <c r="R1618" s="164">
        <f>$L1618*'Pivot Objective'!$C$9*P1618*Q1618</f>
        <v>119835.27702044998</v>
      </c>
      <c r="S1618" s="166"/>
      <c r="T1618" s="166"/>
      <c r="U1618" s="164">
        <f>($L1618*'Pivot Objective'!$C$9^2)*S1618*T1618</f>
        <v>0</v>
      </c>
      <c r="V1618" s="166">
        <v>0</v>
      </c>
      <c r="W1618" s="166">
        <v>0</v>
      </c>
      <c r="X1618" s="164">
        <f>($L1618*'Pivot Objective'!$C$9^3)*V1618*W1618</f>
        <v>0</v>
      </c>
      <c r="Y1618" s="166">
        <v>1</v>
      </c>
      <c r="Z1618" s="166">
        <v>1</v>
      </c>
      <c r="AA1618" s="164">
        <f>($L1618*'Pivot Objective'!$C$9^4)*Y1618*Z1618</f>
        <v>178909.51246760553</v>
      </c>
      <c r="AB1618" s="166">
        <v>0</v>
      </c>
      <c r="AC1618" s="166">
        <v>0</v>
      </c>
      <c r="AD1618" s="164">
        <f>($L1618*'Pivot Objective'!$C$9^5)*AB1618*AC1618</f>
        <v>0</v>
      </c>
      <c r="AE1618" s="166">
        <v>0</v>
      </c>
      <c r="AF1618" s="166">
        <v>0</v>
      </c>
      <c r="AG1618" s="164">
        <f>($L1618*'Pivot Objective'!$C$9^6)*AE1618*AF1618</f>
        <v>0</v>
      </c>
      <c r="AH1618" s="166">
        <v>1</v>
      </c>
      <c r="AI1618" s="166">
        <v>1</v>
      </c>
      <c r="AJ1618" s="164">
        <f>($L1618*'Pivot Objective'!$C$9^7)*AH1618*AI1618</f>
        <v>267105.09999433643</v>
      </c>
      <c r="AK1618" s="185">
        <f t="shared" si="188"/>
        <v>565849.889482392</v>
      </c>
      <c r="AL1618" s="186">
        <f t="shared" si="189"/>
        <v>549.36882474018637</v>
      </c>
    </row>
    <row r="1619" spans="1:38" customFormat="1" ht="43.2" x14ac:dyDescent="0.3">
      <c r="A1619" s="140" t="s">
        <v>1485</v>
      </c>
      <c r="B1619" s="140">
        <v>3</v>
      </c>
      <c r="C1619" s="166" t="s">
        <v>696</v>
      </c>
      <c r="D1619" s="140" t="str">
        <f t="shared" si="184"/>
        <v>2</v>
      </c>
      <c r="E1619" s="166" t="s">
        <v>690</v>
      </c>
      <c r="F1619" s="140">
        <f t="shared" si="186"/>
        <v>5</v>
      </c>
      <c r="G1619" s="140" t="str">
        <f t="shared" si="185"/>
        <v>3.2.5</v>
      </c>
      <c r="H1619" s="181" t="s">
        <v>654</v>
      </c>
      <c r="I1619" s="166" t="s">
        <v>27</v>
      </c>
      <c r="J1619" s="166" t="s">
        <v>179</v>
      </c>
      <c r="K1619" s="166" t="s">
        <v>736</v>
      </c>
      <c r="L1619" s="166">
        <v>11067.5</v>
      </c>
      <c r="M1619" s="166"/>
      <c r="N1619" s="166"/>
      <c r="O1619" s="164">
        <f t="shared" si="187"/>
        <v>0</v>
      </c>
      <c r="P1619" s="166">
        <v>2</v>
      </c>
      <c r="Q1619" s="166">
        <v>1</v>
      </c>
      <c r="R1619" s="164">
        <f>$L1619*'Pivot Objective'!$C$9*P1619*Q1619</f>
        <v>25298.558482094999</v>
      </c>
      <c r="S1619" s="166"/>
      <c r="T1619" s="166"/>
      <c r="U1619" s="164">
        <f>($L1619*'Pivot Objective'!$C$9^2)*S1619*T1619</f>
        <v>0</v>
      </c>
      <c r="V1619" s="166">
        <v>0</v>
      </c>
      <c r="W1619" s="166">
        <v>0</v>
      </c>
      <c r="X1619" s="164">
        <f>($L1619*'Pivot Objective'!$C$9^3)*V1619*W1619</f>
        <v>0</v>
      </c>
      <c r="Y1619" s="166">
        <v>2</v>
      </c>
      <c r="Z1619" s="166">
        <v>1</v>
      </c>
      <c r="AA1619" s="164">
        <f>($L1619*'Pivot Objective'!$C$9^4)*Y1619*Z1619</f>
        <v>37769.785965383388</v>
      </c>
      <c r="AB1619" s="166">
        <v>0</v>
      </c>
      <c r="AC1619" s="166">
        <v>0</v>
      </c>
      <c r="AD1619" s="164">
        <f>($L1619*'Pivot Objective'!$C$9^5)*AB1619*AC1619</f>
        <v>0</v>
      </c>
      <c r="AE1619" s="166">
        <v>0</v>
      </c>
      <c r="AF1619" s="166">
        <v>0</v>
      </c>
      <c r="AG1619" s="164">
        <f>($L1619*'Pivot Objective'!$C$9^6)*AE1619*AF1619</f>
        <v>0</v>
      </c>
      <c r="AH1619" s="166">
        <v>2</v>
      </c>
      <c r="AI1619" s="166">
        <v>1</v>
      </c>
      <c r="AJ1619" s="164">
        <f>($L1619*'Pivot Objective'!$C$9^7)*AH1619*AI1619</f>
        <v>56388.854443248798</v>
      </c>
      <c r="AK1619" s="185">
        <f t="shared" si="188"/>
        <v>119457.19889072719</v>
      </c>
      <c r="AL1619" s="186">
        <f t="shared" si="189"/>
        <v>115.97786300070601</v>
      </c>
    </row>
    <row r="1620" spans="1:38" customFormat="1" ht="43.2" x14ac:dyDescent="0.3">
      <c r="A1620" s="140" t="s">
        <v>1485</v>
      </c>
      <c r="B1620" s="140">
        <v>3</v>
      </c>
      <c r="C1620" s="166" t="s">
        <v>696</v>
      </c>
      <c r="D1620" s="140" t="str">
        <f t="shared" si="184"/>
        <v>2</v>
      </c>
      <c r="E1620" s="166" t="s">
        <v>690</v>
      </c>
      <c r="F1620" s="140">
        <f t="shared" si="186"/>
        <v>5</v>
      </c>
      <c r="G1620" s="140" t="str">
        <f t="shared" si="185"/>
        <v>3.2.5</v>
      </c>
      <c r="H1620" s="181" t="s">
        <v>654</v>
      </c>
      <c r="I1620" s="166" t="s">
        <v>27</v>
      </c>
      <c r="J1620" s="166" t="s">
        <v>179</v>
      </c>
      <c r="K1620" s="166" t="s">
        <v>712</v>
      </c>
      <c r="L1620" s="166">
        <f>1480/7</f>
        <v>211.42857142857142</v>
      </c>
      <c r="M1620" s="166"/>
      <c r="N1620" s="166"/>
      <c r="O1620" s="164">
        <f t="shared" si="187"/>
        <v>0</v>
      </c>
      <c r="P1620" s="166">
        <f>2*25*9</f>
        <v>450</v>
      </c>
      <c r="Q1620" s="166">
        <v>5</v>
      </c>
      <c r="R1620" s="164">
        <f>$L1620*'Pivot Objective'!$C$9*P1620*Q1620</f>
        <v>543703.89328714274</v>
      </c>
      <c r="S1620" s="166"/>
      <c r="T1620" s="166"/>
      <c r="U1620" s="164">
        <f>($L1620*'Pivot Objective'!$C$9^2)*S1620*T1620</f>
        <v>0</v>
      </c>
      <c r="V1620" s="166">
        <v>0</v>
      </c>
      <c r="W1620" s="166">
        <v>0</v>
      </c>
      <c r="X1620" s="164">
        <f>($L1620*'Pivot Objective'!$C$9^3)*V1620*W1620</f>
        <v>0</v>
      </c>
      <c r="Y1620" s="166">
        <f>2*25*9</f>
        <v>450</v>
      </c>
      <c r="Z1620" s="166">
        <v>5</v>
      </c>
      <c r="AA1620" s="164">
        <f>($L1620*'Pivot Objective'!$C$9^4)*Y1620*Z1620</f>
        <v>811729.24111605203</v>
      </c>
      <c r="AB1620" s="166">
        <v>0</v>
      </c>
      <c r="AC1620" s="166">
        <v>0</v>
      </c>
      <c r="AD1620" s="164">
        <f>($L1620*'Pivot Objective'!$C$9^5)*AB1620*AC1620</f>
        <v>0</v>
      </c>
      <c r="AE1620" s="166">
        <v>0</v>
      </c>
      <c r="AF1620" s="166">
        <v>0</v>
      </c>
      <c r="AG1620" s="164">
        <f>($L1620*'Pivot Objective'!$C$9^6)*AE1620*AF1620</f>
        <v>0</v>
      </c>
      <c r="AH1620" s="166">
        <f>2*25*9</f>
        <v>450</v>
      </c>
      <c r="AI1620" s="166">
        <v>5</v>
      </c>
      <c r="AJ1620" s="164">
        <f>($L1620*'Pivot Objective'!$C$9^7)*AH1620*AI1620</f>
        <v>1211880.8951306494</v>
      </c>
      <c r="AK1620" s="185">
        <f t="shared" si="188"/>
        <v>2567314.0295338444</v>
      </c>
      <c r="AL1620" s="186">
        <f t="shared" si="189"/>
        <v>2492.5378927513052</v>
      </c>
    </row>
    <row r="1621" spans="1:38" customFormat="1" ht="43.2" x14ac:dyDescent="0.3">
      <c r="A1621" s="140" t="s">
        <v>1485</v>
      </c>
      <c r="B1621" s="140">
        <v>3</v>
      </c>
      <c r="C1621" s="166" t="s">
        <v>696</v>
      </c>
      <c r="D1621" s="140" t="str">
        <f t="shared" si="184"/>
        <v>2</v>
      </c>
      <c r="E1621" s="166" t="s">
        <v>690</v>
      </c>
      <c r="F1621" s="140">
        <f t="shared" si="186"/>
        <v>5</v>
      </c>
      <c r="G1621" s="140" t="str">
        <f t="shared" si="185"/>
        <v>3.2.5</v>
      </c>
      <c r="H1621" s="181" t="s">
        <v>654</v>
      </c>
      <c r="I1621" s="166" t="s">
        <v>27</v>
      </c>
      <c r="J1621" s="166" t="s">
        <v>179</v>
      </c>
      <c r="K1621" s="166" t="s">
        <v>1336</v>
      </c>
      <c r="L1621" s="166">
        <f>1480/7</f>
        <v>211.42857142857142</v>
      </c>
      <c r="M1621" s="166"/>
      <c r="N1621" s="166"/>
      <c r="O1621" s="164">
        <f t="shared" si="187"/>
        <v>0</v>
      </c>
      <c r="P1621" s="166">
        <f>2*135*9</f>
        <v>2430</v>
      </c>
      <c r="Q1621" s="166">
        <v>1</v>
      </c>
      <c r="R1621" s="164">
        <f>$L1621*'Pivot Objective'!$C$9*P1621*Q1621</f>
        <v>587200.20475011424</v>
      </c>
      <c r="S1621" s="166"/>
      <c r="T1621" s="166"/>
      <c r="U1621" s="164">
        <f>($L1621*'Pivot Objective'!$C$9^2)*S1621*T1621</f>
        <v>0</v>
      </c>
      <c r="V1621" s="166"/>
      <c r="W1621" s="166"/>
      <c r="X1621" s="164">
        <f>($L1621*'Pivot Objective'!$C$9^3)*V1621*W1621</f>
        <v>0</v>
      </c>
      <c r="Y1621" s="166">
        <f>2*135*9</f>
        <v>2430</v>
      </c>
      <c r="Z1621" s="166">
        <v>1</v>
      </c>
      <c r="AA1621" s="164">
        <f>($L1621*'Pivot Objective'!$C$9^4)*Y1621*Z1621</f>
        <v>876667.58040533611</v>
      </c>
      <c r="AB1621" s="166"/>
      <c r="AC1621" s="166"/>
      <c r="AD1621" s="164">
        <f>($L1621*'Pivot Objective'!$C$9^5)*AB1621*AC1621</f>
        <v>0</v>
      </c>
      <c r="AE1621" s="166"/>
      <c r="AF1621" s="166"/>
      <c r="AG1621" s="164">
        <f>($L1621*'Pivot Objective'!$C$9^6)*AE1621*AF1621</f>
        <v>0</v>
      </c>
      <c r="AH1621" s="166">
        <f>2*135*9</f>
        <v>2430</v>
      </c>
      <c r="AI1621" s="166">
        <v>1</v>
      </c>
      <c r="AJ1621" s="164">
        <f>($L1621*'Pivot Objective'!$C$9^7)*AH1621*AI1621</f>
        <v>1308831.3667411015</v>
      </c>
      <c r="AK1621" s="185">
        <f t="shared" si="188"/>
        <v>2772699.1518965522</v>
      </c>
      <c r="AL1621" s="186">
        <f t="shared" si="189"/>
        <v>2691.9409241714097</v>
      </c>
    </row>
    <row r="1622" spans="1:38" customFormat="1" ht="43.2" x14ac:dyDescent="0.3">
      <c r="A1622" s="140" t="s">
        <v>1485</v>
      </c>
      <c r="B1622" s="140">
        <v>3</v>
      </c>
      <c r="C1622" s="166" t="s">
        <v>696</v>
      </c>
      <c r="D1622" s="140" t="str">
        <f t="shared" si="184"/>
        <v>2</v>
      </c>
      <c r="E1622" s="166" t="s">
        <v>690</v>
      </c>
      <c r="F1622" s="140">
        <f t="shared" si="186"/>
        <v>5</v>
      </c>
      <c r="G1622" s="140" t="str">
        <f t="shared" si="185"/>
        <v>3.2.5</v>
      </c>
      <c r="H1622" s="181" t="s">
        <v>654</v>
      </c>
      <c r="I1622" s="166" t="s">
        <v>27</v>
      </c>
      <c r="J1622" s="166" t="s">
        <v>179</v>
      </c>
      <c r="K1622" s="166" t="s">
        <v>714</v>
      </c>
      <c r="L1622" s="166">
        <v>10000</v>
      </c>
      <c r="M1622" s="166"/>
      <c r="N1622" s="166"/>
      <c r="O1622" s="164">
        <f t="shared" si="187"/>
        <v>0</v>
      </c>
      <c r="P1622" s="166">
        <v>15</v>
      </c>
      <c r="Q1622" s="166">
        <v>1</v>
      </c>
      <c r="R1622" s="164">
        <f>$L1622*'Pivot Objective'!$C$9*P1622*Q1622</f>
        <v>171438.16454999999</v>
      </c>
      <c r="S1622" s="166"/>
      <c r="T1622" s="166"/>
      <c r="U1622" s="164">
        <f>($L1622*'Pivot Objective'!$C$9^2)*S1622*T1622</f>
        <v>0</v>
      </c>
      <c r="V1622" s="166">
        <v>0</v>
      </c>
      <c r="W1622" s="166">
        <v>0</v>
      </c>
      <c r="X1622" s="164">
        <f>($L1622*'Pivot Objective'!$C$9^3)*V1622*W1622</f>
        <v>0</v>
      </c>
      <c r="Y1622" s="166">
        <v>15</v>
      </c>
      <c r="Z1622" s="166">
        <v>1</v>
      </c>
      <c r="AA1622" s="164">
        <f>($L1622*'Pivot Objective'!$C$9^4)*Y1622*Z1622</f>
        <v>255950.66161316959</v>
      </c>
      <c r="AB1622" s="166">
        <v>0</v>
      </c>
      <c r="AC1622" s="166">
        <v>0</v>
      </c>
      <c r="AD1622" s="164">
        <f>($L1622*'Pivot Objective'!$C$9^5)*AB1622*AC1622</f>
        <v>0</v>
      </c>
      <c r="AE1622" s="166">
        <v>0</v>
      </c>
      <c r="AF1622" s="166">
        <v>0</v>
      </c>
      <c r="AG1622" s="164">
        <f>($L1622*'Pivot Objective'!$C$9^6)*AE1622*AF1622</f>
        <v>0</v>
      </c>
      <c r="AH1622" s="166">
        <v>15</v>
      </c>
      <c r="AI1622" s="166">
        <v>1</v>
      </c>
      <c r="AJ1622" s="164">
        <f>($L1622*'Pivot Objective'!$C$9^7)*AH1622*AI1622</f>
        <v>382124.60657272732</v>
      </c>
      <c r="AK1622" s="185">
        <f t="shared" si="188"/>
        <v>809513.4327358969</v>
      </c>
      <c r="AL1622" s="186">
        <f t="shared" si="189"/>
        <v>785.93537158824938</v>
      </c>
    </row>
    <row r="1623" spans="1:38" customFormat="1" ht="43.2" x14ac:dyDescent="0.3">
      <c r="A1623" s="140" t="s">
        <v>1485</v>
      </c>
      <c r="B1623" s="140">
        <v>3</v>
      </c>
      <c r="C1623" s="166" t="s">
        <v>696</v>
      </c>
      <c r="D1623" s="140" t="str">
        <f t="shared" si="184"/>
        <v>2</v>
      </c>
      <c r="E1623" s="166" t="s">
        <v>690</v>
      </c>
      <c r="F1623" s="140">
        <f t="shared" si="186"/>
        <v>5</v>
      </c>
      <c r="G1623" s="140" t="str">
        <f t="shared" si="185"/>
        <v>3.2.5</v>
      </c>
      <c r="H1623" s="181" t="s">
        <v>654</v>
      </c>
      <c r="I1623" s="166" t="s">
        <v>27</v>
      </c>
      <c r="J1623" s="166" t="s">
        <v>179</v>
      </c>
      <c r="K1623" s="166" t="s">
        <v>715</v>
      </c>
      <c r="L1623" s="166">
        <v>302000</v>
      </c>
      <c r="M1623" s="166"/>
      <c r="N1623" s="166"/>
      <c r="O1623" s="164">
        <f t="shared" si="187"/>
        <v>0</v>
      </c>
      <c r="P1623" s="166">
        <v>30</v>
      </c>
      <c r="Q1623" s="166">
        <v>1</v>
      </c>
      <c r="R1623" s="164">
        <f>$L1623*'Pivot Objective'!$C$9*P1623*Q1623</f>
        <v>10354865.138819998</v>
      </c>
      <c r="S1623" s="166"/>
      <c r="T1623" s="166"/>
      <c r="U1623" s="164">
        <f>($L1623*'Pivot Objective'!$C$9^2)*S1623*T1623</f>
        <v>0</v>
      </c>
      <c r="V1623" s="166">
        <v>0</v>
      </c>
      <c r="W1623" s="166">
        <v>0</v>
      </c>
      <c r="X1623" s="164">
        <f>($L1623*'Pivot Objective'!$C$9^3)*V1623*W1623</f>
        <v>0</v>
      </c>
      <c r="Y1623" s="166">
        <v>30</v>
      </c>
      <c r="Z1623" s="166">
        <v>1</v>
      </c>
      <c r="AA1623" s="164">
        <f>($L1623*'Pivot Objective'!$C$9^4)*Y1623*Z1623</f>
        <v>15459419.961435441</v>
      </c>
      <c r="AB1623" s="166">
        <v>0</v>
      </c>
      <c r="AC1623" s="166">
        <v>0</v>
      </c>
      <c r="AD1623" s="164">
        <f>($L1623*'Pivot Objective'!$C$9^5)*AB1623*AC1623</f>
        <v>0</v>
      </c>
      <c r="AE1623" s="166">
        <v>0</v>
      </c>
      <c r="AF1623" s="166">
        <v>0</v>
      </c>
      <c r="AG1623" s="164">
        <f>($L1623*'Pivot Objective'!$C$9^6)*AE1623*AF1623</f>
        <v>0</v>
      </c>
      <c r="AH1623" s="166">
        <v>30</v>
      </c>
      <c r="AI1623" s="166">
        <v>1</v>
      </c>
      <c r="AJ1623" s="164">
        <f>($L1623*'Pivot Objective'!$C$9^7)*AH1623*AI1623</f>
        <v>23080326.236992732</v>
      </c>
      <c r="AK1623" s="185">
        <f t="shared" si="188"/>
        <v>48894611.337248169</v>
      </c>
      <c r="AL1623" s="186">
        <f t="shared" si="189"/>
        <v>47470.496443930264</v>
      </c>
    </row>
    <row r="1624" spans="1:38" customFormat="1" ht="43.2" x14ac:dyDescent="0.3">
      <c r="A1624" s="140" t="s">
        <v>1485</v>
      </c>
      <c r="B1624" s="140">
        <v>3</v>
      </c>
      <c r="C1624" s="166" t="s">
        <v>696</v>
      </c>
      <c r="D1624" s="140" t="str">
        <f t="shared" si="184"/>
        <v>2</v>
      </c>
      <c r="E1624" s="166" t="s">
        <v>690</v>
      </c>
      <c r="F1624" s="140">
        <f t="shared" si="186"/>
        <v>5</v>
      </c>
      <c r="G1624" s="140" t="str">
        <f t="shared" si="185"/>
        <v>3.2.5</v>
      </c>
      <c r="H1624" s="181" t="s">
        <v>654</v>
      </c>
      <c r="I1624" s="166" t="s">
        <v>27</v>
      </c>
      <c r="J1624" s="166" t="s">
        <v>159</v>
      </c>
      <c r="K1624" s="166" t="s">
        <v>716</v>
      </c>
      <c r="L1624" s="166">
        <v>39000</v>
      </c>
      <c r="M1624" s="166"/>
      <c r="N1624" s="166"/>
      <c r="O1624" s="164">
        <f t="shared" si="187"/>
        <v>0</v>
      </c>
      <c r="P1624" s="166">
        <v>30</v>
      </c>
      <c r="Q1624" s="166">
        <v>5</v>
      </c>
      <c r="R1624" s="164">
        <f>$L1624*'Pivot Objective'!$C$9*P1624*Q1624</f>
        <v>6686088.4174499987</v>
      </c>
      <c r="S1624" s="166"/>
      <c r="T1624" s="166"/>
      <c r="U1624" s="164">
        <f>($L1624*'Pivot Objective'!$C$9^2)*S1624*T1624</f>
        <v>0</v>
      </c>
      <c r="V1624" s="166">
        <v>0</v>
      </c>
      <c r="W1624" s="166">
        <v>0</v>
      </c>
      <c r="X1624" s="164">
        <f>($L1624*'Pivot Objective'!$C$9^3)*V1624*W1624</f>
        <v>0</v>
      </c>
      <c r="Y1624" s="166">
        <v>30</v>
      </c>
      <c r="Z1624" s="166">
        <v>5</v>
      </c>
      <c r="AA1624" s="164">
        <f>($L1624*'Pivot Objective'!$C$9^4)*Y1624*Z1624</f>
        <v>9982075.8029136136</v>
      </c>
      <c r="AB1624" s="166">
        <v>0</v>
      </c>
      <c r="AC1624" s="166">
        <v>0</v>
      </c>
      <c r="AD1624" s="164">
        <f>($L1624*'Pivot Objective'!$C$9^5)*AB1624*AC1624</f>
        <v>0</v>
      </c>
      <c r="AE1624" s="166">
        <v>0</v>
      </c>
      <c r="AF1624" s="166">
        <v>0</v>
      </c>
      <c r="AG1624" s="164">
        <f>($L1624*'Pivot Objective'!$C$9^6)*AE1624*AF1624</f>
        <v>0</v>
      </c>
      <c r="AH1624" s="166">
        <v>30</v>
      </c>
      <c r="AI1624" s="166">
        <v>5</v>
      </c>
      <c r="AJ1624" s="164">
        <f>($L1624*'Pivot Objective'!$C$9^7)*AH1624*AI1624</f>
        <v>14902859.656336365</v>
      </c>
      <c r="AK1624" s="185">
        <f t="shared" si="188"/>
        <v>31571023.876699977</v>
      </c>
      <c r="AL1624" s="186">
        <f t="shared" si="189"/>
        <v>30651.479491941725</v>
      </c>
    </row>
    <row r="1625" spans="1:38" customFormat="1" ht="43.2" x14ac:dyDescent="0.3">
      <c r="A1625" s="140" t="s">
        <v>1485</v>
      </c>
      <c r="B1625" s="140">
        <v>3</v>
      </c>
      <c r="C1625" s="166" t="s">
        <v>696</v>
      </c>
      <c r="D1625" s="140" t="str">
        <f t="shared" si="184"/>
        <v>2</v>
      </c>
      <c r="E1625" s="166" t="s">
        <v>690</v>
      </c>
      <c r="F1625" s="140">
        <f t="shared" si="186"/>
        <v>5</v>
      </c>
      <c r="G1625" s="140" t="str">
        <f t="shared" si="185"/>
        <v>3.2.5</v>
      </c>
      <c r="H1625" s="181" t="s">
        <v>654</v>
      </c>
      <c r="I1625" s="166" t="s">
        <v>27</v>
      </c>
      <c r="J1625" s="166" t="s">
        <v>159</v>
      </c>
      <c r="K1625" s="166" t="s">
        <v>709</v>
      </c>
      <c r="L1625" s="166">
        <v>35000</v>
      </c>
      <c r="M1625" s="166"/>
      <c r="N1625" s="166"/>
      <c r="O1625" s="164">
        <f t="shared" si="187"/>
        <v>0</v>
      </c>
      <c r="P1625" s="166">
        <v>30</v>
      </c>
      <c r="Q1625" s="166">
        <v>5</v>
      </c>
      <c r="R1625" s="164">
        <f>$L1625*'Pivot Objective'!$C$9*P1625*Q1625</f>
        <v>6000335.7592499992</v>
      </c>
      <c r="S1625" s="166"/>
      <c r="T1625" s="166"/>
      <c r="U1625" s="164">
        <f>($L1625*'Pivot Objective'!$C$9^2)*S1625*T1625</f>
        <v>0</v>
      </c>
      <c r="V1625" s="166">
        <v>0</v>
      </c>
      <c r="W1625" s="166">
        <v>0</v>
      </c>
      <c r="X1625" s="164">
        <f>($L1625*'Pivot Objective'!$C$9^3)*V1625*W1625</f>
        <v>0</v>
      </c>
      <c r="Y1625" s="166">
        <v>30</v>
      </c>
      <c r="Z1625" s="166">
        <v>5</v>
      </c>
      <c r="AA1625" s="164">
        <f>($L1625*'Pivot Objective'!$C$9^4)*Y1625*Z1625</f>
        <v>8958273.1564609352</v>
      </c>
      <c r="AB1625" s="166">
        <v>0</v>
      </c>
      <c r="AC1625" s="166">
        <v>0</v>
      </c>
      <c r="AD1625" s="164">
        <f>($L1625*'Pivot Objective'!$C$9^5)*AB1625*AC1625</f>
        <v>0</v>
      </c>
      <c r="AE1625" s="166">
        <v>0</v>
      </c>
      <c r="AF1625" s="166">
        <v>0</v>
      </c>
      <c r="AG1625" s="164">
        <f>($L1625*'Pivot Objective'!$C$9^6)*AE1625*AF1625</f>
        <v>0</v>
      </c>
      <c r="AH1625" s="166">
        <v>30</v>
      </c>
      <c r="AI1625" s="166">
        <v>5</v>
      </c>
      <c r="AJ1625" s="164">
        <f>($L1625*'Pivot Objective'!$C$9^7)*AH1625*AI1625</f>
        <v>13374361.230045456</v>
      </c>
      <c r="AK1625" s="185">
        <f t="shared" si="188"/>
        <v>28332970.14575639</v>
      </c>
      <c r="AL1625" s="186">
        <f t="shared" si="189"/>
        <v>27507.73800558873</v>
      </c>
    </row>
    <row r="1626" spans="1:38" customFormat="1" ht="43.2" x14ac:dyDescent="0.3">
      <c r="A1626" s="140" t="s">
        <v>1485</v>
      </c>
      <c r="B1626" s="140">
        <v>3</v>
      </c>
      <c r="C1626" s="166" t="s">
        <v>696</v>
      </c>
      <c r="D1626" s="140" t="str">
        <f t="shared" si="184"/>
        <v>2</v>
      </c>
      <c r="E1626" s="166" t="s">
        <v>690</v>
      </c>
      <c r="F1626" s="140">
        <f t="shared" si="186"/>
        <v>5</v>
      </c>
      <c r="G1626" s="140" t="str">
        <f t="shared" si="185"/>
        <v>3.2.5</v>
      </c>
      <c r="H1626" s="181" t="s">
        <v>654</v>
      </c>
      <c r="I1626" s="166" t="s">
        <v>27</v>
      </c>
      <c r="J1626" s="166" t="s">
        <v>159</v>
      </c>
      <c r="K1626" s="166" t="s">
        <v>712</v>
      </c>
      <c r="L1626" s="166">
        <f>1480/7</f>
        <v>211.42857142857142</v>
      </c>
      <c r="M1626" s="166"/>
      <c r="N1626" s="166"/>
      <c r="O1626" s="164">
        <f t="shared" si="187"/>
        <v>0</v>
      </c>
      <c r="P1626" s="166">
        <f>2*25*9</f>
        <v>450</v>
      </c>
      <c r="Q1626" s="166">
        <v>5</v>
      </c>
      <c r="R1626" s="164">
        <f>$L1626*'Pivot Objective'!$C$9*P1626*Q1626</f>
        <v>543703.89328714274</v>
      </c>
      <c r="S1626" s="166"/>
      <c r="T1626" s="166"/>
      <c r="U1626" s="164">
        <f>($L1626*'Pivot Objective'!$C$9^2)*S1626*T1626</f>
        <v>0</v>
      </c>
      <c r="V1626" s="166">
        <v>0</v>
      </c>
      <c r="W1626" s="166">
        <v>0</v>
      </c>
      <c r="X1626" s="164">
        <f>($L1626*'Pivot Objective'!$C$9^3)*V1626*W1626</f>
        <v>0</v>
      </c>
      <c r="Y1626" s="166">
        <f>2*25*9</f>
        <v>450</v>
      </c>
      <c r="Z1626" s="166">
        <v>5</v>
      </c>
      <c r="AA1626" s="164">
        <f>($L1626*'Pivot Objective'!$C$9^4)*Y1626*Z1626</f>
        <v>811729.24111605203</v>
      </c>
      <c r="AB1626" s="166">
        <v>0</v>
      </c>
      <c r="AC1626" s="166">
        <v>0</v>
      </c>
      <c r="AD1626" s="164">
        <f>($L1626*'Pivot Objective'!$C$9^5)*AB1626*AC1626</f>
        <v>0</v>
      </c>
      <c r="AE1626" s="166">
        <v>0</v>
      </c>
      <c r="AF1626" s="166">
        <v>0</v>
      </c>
      <c r="AG1626" s="164">
        <f>($L1626*'Pivot Objective'!$C$9^6)*AE1626*AF1626</f>
        <v>0</v>
      </c>
      <c r="AH1626" s="166">
        <f>2*25*9</f>
        <v>450</v>
      </c>
      <c r="AI1626" s="166">
        <v>5</v>
      </c>
      <c r="AJ1626" s="164">
        <f>($L1626*'Pivot Objective'!$C$9^7)*AH1626*AI1626</f>
        <v>1211880.8951306494</v>
      </c>
      <c r="AK1626" s="185">
        <f t="shared" si="188"/>
        <v>2567314.0295338444</v>
      </c>
      <c r="AL1626" s="186">
        <f t="shared" si="189"/>
        <v>2492.5378927513052</v>
      </c>
    </row>
    <row r="1627" spans="1:38" customFormat="1" ht="43.2" x14ac:dyDescent="0.3">
      <c r="A1627" s="140" t="s">
        <v>1485</v>
      </c>
      <c r="B1627" s="140">
        <v>3</v>
      </c>
      <c r="C1627" s="166" t="s">
        <v>696</v>
      </c>
      <c r="D1627" s="140" t="str">
        <f t="shared" si="184"/>
        <v>2</v>
      </c>
      <c r="E1627" s="166" t="s">
        <v>690</v>
      </c>
      <c r="F1627" s="140">
        <f t="shared" si="186"/>
        <v>5</v>
      </c>
      <c r="G1627" s="140" t="str">
        <f t="shared" si="185"/>
        <v>3.2.5</v>
      </c>
      <c r="H1627" s="181" t="s">
        <v>654</v>
      </c>
      <c r="I1627" s="166" t="s">
        <v>27</v>
      </c>
      <c r="J1627" s="166" t="s">
        <v>159</v>
      </c>
      <c r="K1627" s="166" t="s">
        <v>1336</v>
      </c>
      <c r="L1627" s="166">
        <f>1480/7</f>
        <v>211.42857142857142</v>
      </c>
      <c r="M1627" s="166"/>
      <c r="N1627" s="166"/>
      <c r="O1627" s="164">
        <f t="shared" si="187"/>
        <v>0</v>
      </c>
      <c r="P1627" s="166">
        <f>2*9*135</f>
        <v>2430</v>
      </c>
      <c r="Q1627" s="166">
        <v>1</v>
      </c>
      <c r="R1627" s="164">
        <f>$L1627*'Pivot Objective'!$C$9*P1627*Q1627</f>
        <v>587200.20475011424</v>
      </c>
      <c r="S1627" s="166"/>
      <c r="T1627" s="166"/>
      <c r="U1627" s="164">
        <f>($L1627*'Pivot Objective'!$C$9^2)*S1627*T1627</f>
        <v>0</v>
      </c>
      <c r="V1627" s="166"/>
      <c r="W1627" s="166"/>
      <c r="X1627" s="164">
        <f>($L1627*'Pivot Objective'!$C$9^3)*V1627*W1627</f>
        <v>0</v>
      </c>
      <c r="Y1627" s="166">
        <f>2*9*135</f>
        <v>2430</v>
      </c>
      <c r="Z1627" s="166">
        <v>1</v>
      </c>
      <c r="AA1627" s="164">
        <f>($L1627*'Pivot Objective'!$C$9^4)*Y1627*Z1627</f>
        <v>876667.58040533611</v>
      </c>
      <c r="AB1627" s="166"/>
      <c r="AC1627" s="166"/>
      <c r="AD1627" s="164">
        <f>($L1627*'Pivot Objective'!$C$9^5)*AB1627*AC1627</f>
        <v>0</v>
      </c>
      <c r="AE1627" s="166"/>
      <c r="AF1627" s="166"/>
      <c r="AG1627" s="164">
        <f>($L1627*'Pivot Objective'!$C$9^6)*AE1627*AF1627</f>
        <v>0</v>
      </c>
      <c r="AH1627" s="166">
        <f>2*9*135</f>
        <v>2430</v>
      </c>
      <c r="AI1627" s="166">
        <v>1</v>
      </c>
      <c r="AJ1627" s="164">
        <f>($L1627*'Pivot Objective'!$C$9^7)*AH1627*AI1627</f>
        <v>1308831.3667411015</v>
      </c>
      <c r="AK1627" s="185">
        <f t="shared" si="188"/>
        <v>2772699.1518965522</v>
      </c>
      <c r="AL1627" s="186">
        <f t="shared" si="189"/>
        <v>2691.9409241714097</v>
      </c>
    </row>
    <row r="1628" spans="1:38" customFormat="1" ht="43.2" x14ac:dyDescent="0.3">
      <c r="A1628" s="140" t="s">
        <v>1485</v>
      </c>
      <c r="B1628" s="140">
        <v>3</v>
      </c>
      <c r="C1628" s="166" t="s">
        <v>696</v>
      </c>
      <c r="D1628" s="140" t="str">
        <f t="shared" si="184"/>
        <v>2</v>
      </c>
      <c r="E1628" s="166" t="s">
        <v>690</v>
      </c>
      <c r="F1628" s="140">
        <f t="shared" si="186"/>
        <v>5</v>
      </c>
      <c r="G1628" s="140" t="str">
        <f t="shared" si="185"/>
        <v>3.2.5</v>
      </c>
      <c r="H1628" s="181" t="s">
        <v>654</v>
      </c>
      <c r="I1628" s="166" t="s">
        <v>27</v>
      </c>
      <c r="J1628" s="166" t="s">
        <v>180</v>
      </c>
      <c r="K1628" s="166" t="s">
        <v>716</v>
      </c>
      <c r="L1628" s="166">
        <v>39000</v>
      </c>
      <c r="M1628" s="166"/>
      <c r="N1628" s="166"/>
      <c r="O1628" s="164">
        <f t="shared" si="187"/>
        <v>0</v>
      </c>
      <c r="P1628" s="166">
        <v>15</v>
      </c>
      <c r="Q1628" s="166">
        <v>6</v>
      </c>
      <c r="R1628" s="164">
        <f>$L1628*'Pivot Objective'!$C$9*P1628*Q1628</f>
        <v>4011653.0504699992</v>
      </c>
      <c r="S1628" s="166"/>
      <c r="T1628" s="166"/>
      <c r="U1628" s="164">
        <f>($L1628*'Pivot Objective'!$C$9^2)*S1628*T1628</f>
        <v>0</v>
      </c>
      <c r="V1628" s="166">
        <v>0</v>
      </c>
      <c r="W1628" s="166">
        <v>0</v>
      </c>
      <c r="X1628" s="164">
        <f>($L1628*'Pivot Objective'!$C$9^3)*V1628*W1628</f>
        <v>0</v>
      </c>
      <c r="Y1628" s="166">
        <v>15</v>
      </c>
      <c r="Z1628" s="166">
        <v>6</v>
      </c>
      <c r="AA1628" s="164">
        <f>($L1628*'Pivot Objective'!$C$9^4)*Y1628*Z1628</f>
        <v>5989245.4817481674</v>
      </c>
      <c r="AB1628" s="166">
        <v>0</v>
      </c>
      <c r="AC1628" s="166">
        <v>0</v>
      </c>
      <c r="AD1628" s="164">
        <f>($L1628*'Pivot Objective'!$C$9^5)*AB1628*AC1628</f>
        <v>0</v>
      </c>
      <c r="AE1628" s="166">
        <v>0</v>
      </c>
      <c r="AF1628" s="166">
        <v>0</v>
      </c>
      <c r="AG1628" s="164">
        <f>($L1628*'Pivot Objective'!$C$9^6)*AE1628*AF1628</f>
        <v>0</v>
      </c>
      <c r="AH1628" s="166">
        <v>15</v>
      </c>
      <c r="AI1628" s="166">
        <v>6</v>
      </c>
      <c r="AJ1628" s="164">
        <f>($L1628*'Pivot Objective'!$C$9^7)*AH1628*AI1628</f>
        <v>8941715.7938018199</v>
      </c>
      <c r="AK1628" s="185">
        <f t="shared" si="188"/>
        <v>18942614.326019987</v>
      </c>
      <c r="AL1628" s="186">
        <f t="shared" si="189"/>
        <v>18390.887695165038</v>
      </c>
    </row>
    <row r="1629" spans="1:38" customFormat="1" ht="43.2" x14ac:dyDescent="0.3">
      <c r="A1629" s="140" t="s">
        <v>1485</v>
      </c>
      <c r="B1629" s="140">
        <v>3</v>
      </c>
      <c r="C1629" s="166" t="s">
        <v>696</v>
      </c>
      <c r="D1629" s="140" t="str">
        <f t="shared" si="184"/>
        <v>2</v>
      </c>
      <c r="E1629" s="166" t="s">
        <v>690</v>
      </c>
      <c r="F1629" s="140">
        <f t="shared" ref="F1629:F1660" si="190">IF(H1629=H1628,F1628,F1628+1)</f>
        <v>5</v>
      </c>
      <c r="G1629" s="140" t="str">
        <f t="shared" si="185"/>
        <v>3.2.5</v>
      </c>
      <c r="H1629" s="181" t="s">
        <v>654</v>
      </c>
      <c r="I1629" s="166" t="s">
        <v>27</v>
      </c>
      <c r="J1629" s="166" t="s">
        <v>180</v>
      </c>
      <c r="K1629" s="166" t="s">
        <v>709</v>
      </c>
      <c r="L1629" s="166">
        <v>35000</v>
      </c>
      <c r="M1629" s="166"/>
      <c r="N1629" s="166"/>
      <c r="O1629" s="164">
        <f t="shared" si="187"/>
        <v>0</v>
      </c>
      <c r="P1629" s="166">
        <v>15</v>
      </c>
      <c r="Q1629" s="166">
        <v>5</v>
      </c>
      <c r="R1629" s="164">
        <f>$L1629*'Pivot Objective'!$C$9*P1629*Q1629</f>
        <v>3000167.8796249996</v>
      </c>
      <c r="S1629" s="166"/>
      <c r="T1629" s="166"/>
      <c r="U1629" s="164">
        <f>($L1629*'Pivot Objective'!$C$9^2)*S1629*T1629</f>
        <v>0</v>
      </c>
      <c r="V1629" s="166">
        <v>0</v>
      </c>
      <c r="W1629" s="166">
        <v>0</v>
      </c>
      <c r="X1629" s="164">
        <f>($L1629*'Pivot Objective'!$C$9^3)*V1629*W1629</f>
        <v>0</v>
      </c>
      <c r="Y1629" s="166">
        <v>15</v>
      </c>
      <c r="Z1629" s="166">
        <v>5</v>
      </c>
      <c r="AA1629" s="164">
        <f>($L1629*'Pivot Objective'!$C$9^4)*Y1629*Z1629</f>
        <v>4479136.5782304676</v>
      </c>
      <c r="AB1629" s="166">
        <v>0</v>
      </c>
      <c r="AC1629" s="166">
        <v>0</v>
      </c>
      <c r="AD1629" s="164">
        <f>($L1629*'Pivot Objective'!$C$9^5)*AB1629*AC1629</f>
        <v>0</v>
      </c>
      <c r="AE1629" s="166">
        <v>0</v>
      </c>
      <c r="AF1629" s="166">
        <v>0</v>
      </c>
      <c r="AG1629" s="164">
        <f>($L1629*'Pivot Objective'!$C$9^6)*AE1629*AF1629</f>
        <v>0</v>
      </c>
      <c r="AH1629" s="166">
        <v>15</v>
      </c>
      <c r="AI1629" s="166">
        <v>5</v>
      </c>
      <c r="AJ1629" s="164">
        <f>($L1629*'Pivot Objective'!$C$9^7)*AH1629*AI1629</f>
        <v>6687180.6150227282</v>
      </c>
      <c r="AK1629" s="185">
        <f t="shared" si="188"/>
        <v>14166485.072878195</v>
      </c>
      <c r="AL1629" s="186">
        <f t="shared" si="189"/>
        <v>13753.869002794365</v>
      </c>
    </row>
    <row r="1630" spans="1:38" customFormat="1" ht="43.2" x14ac:dyDescent="0.3">
      <c r="A1630" s="140" t="s">
        <v>1485</v>
      </c>
      <c r="B1630" s="140">
        <v>3</v>
      </c>
      <c r="C1630" s="166" t="s">
        <v>696</v>
      </c>
      <c r="D1630" s="140" t="str">
        <f t="shared" si="184"/>
        <v>2</v>
      </c>
      <c r="E1630" s="166" t="s">
        <v>690</v>
      </c>
      <c r="F1630" s="140">
        <f t="shared" si="190"/>
        <v>5</v>
      </c>
      <c r="G1630" s="140" t="str">
        <f t="shared" si="185"/>
        <v>3.2.5</v>
      </c>
      <c r="H1630" s="181" t="s">
        <v>654</v>
      </c>
      <c r="I1630" s="166" t="s">
        <v>27</v>
      </c>
      <c r="J1630" s="166" t="s">
        <v>180</v>
      </c>
      <c r="K1630" s="166" t="s">
        <v>712</v>
      </c>
      <c r="L1630" s="166">
        <f>1480/7</f>
        <v>211.42857142857142</v>
      </c>
      <c r="M1630" s="166"/>
      <c r="N1630" s="166"/>
      <c r="O1630" s="164">
        <f t="shared" si="187"/>
        <v>0</v>
      </c>
      <c r="P1630" s="166">
        <f>2*25*9</f>
        <v>450</v>
      </c>
      <c r="Q1630" s="166">
        <v>5</v>
      </c>
      <c r="R1630" s="164">
        <f>$L1630*'Pivot Objective'!$C$9*P1630*Q1630</f>
        <v>543703.89328714274</v>
      </c>
      <c r="S1630" s="166"/>
      <c r="T1630" s="166"/>
      <c r="U1630" s="164">
        <f>($L1630*'Pivot Objective'!$C$9^2)*S1630*T1630</f>
        <v>0</v>
      </c>
      <c r="V1630" s="166">
        <v>0</v>
      </c>
      <c r="W1630" s="166">
        <v>0</v>
      </c>
      <c r="X1630" s="164">
        <f>($L1630*'Pivot Objective'!$C$9^3)*V1630*W1630</f>
        <v>0</v>
      </c>
      <c r="Y1630" s="166">
        <f>2*25*9</f>
        <v>450</v>
      </c>
      <c r="Z1630" s="166">
        <v>5</v>
      </c>
      <c r="AA1630" s="164">
        <f>($L1630*'Pivot Objective'!$C$9^4)*Y1630*Z1630</f>
        <v>811729.24111605203</v>
      </c>
      <c r="AB1630" s="166">
        <v>0</v>
      </c>
      <c r="AC1630" s="166">
        <v>0</v>
      </c>
      <c r="AD1630" s="164">
        <f>($L1630*'Pivot Objective'!$C$9^5)*AB1630*AC1630</f>
        <v>0</v>
      </c>
      <c r="AE1630" s="166">
        <v>0</v>
      </c>
      <c r="AF1630" s="166">
        <v>0</v>
      </c>
      <c r="AG1630" s="164">
        <f>($L1630*'Pivot Objective'!$C$9^6)*AE1630*AF1630</f>
        <v>0</v>
      </c>
      <c r="AH1630" s="166">
        <f>2*25*9</f>
        <v>450</v>
      </c>
      <c r="AI1630" s="166">
        <v>5</v>
      </c>
      <c r="AJ1630" s="164">
        <f>($L1630*'Pivot Objective'!$C$9^7)*AH1630*AI1630</f>
        <v>1211880.8951306494</v>
      </c>
      <c r="AK1630" s="185">
        <f t="shared" si="188"/>
        <v>2567314.0295338444</v>
      </c>
      <c r="AL1630" s="186">
        <f t="shared" si="189"/>
        <v>2492.5378927513052</v>
      </c>
    </row>
    <row r="1631" spans="1:38" customFormat="1" ht="43.2" x14ac:dyDescent="0.3">
      <c r="A1631" s="140" t="s">
        <v>1485</v>
      </c>
      <c r="B1631" s="140">
        <v>3</v>
      </c>
      <c r="C1631" s="166" t="s">
        <v>696</v>
      </c>
      <c r="D1631" s="140" t="str">
        <f t="shared" si="184"/>
        <v>2</v>
      </c>
      <c r="E1631" s="166" t="s">
        <v>690</v>
      </c>
      <c r="F1631" s="140">
        <f t="shared" si="190"/>
        <v>5</v>
      </c>
      <c r="G1631" s="140" t="str">
        <f t="shared" si="185"/>
        <v>3.2.5</v>
      </c>
      <c r="H1631" s="181" t="s">
        <v>654</v>
      </c>
      <c r="I1631" s="166" t="s">
        <v>27</v>
      </c>
      <c r="J1631" s="166" t="s">
        <v>180</v>
      </c>
      <c r="K1631" s="166" t="s">
        <v>1297</v>
      </c>
      <c r="L1631" s="166">
        <v>8000</v>
      </c>
      <c r="M1631" s="166"/>
      <c r="N1631" s="166"/>
      <c r="O1631" s="164">
        <f t="shared" si="187"/>
        <v>0</v>
      </c>
      <c r="P1631" s="166">
        <v>10</v>
      </c>
      <c r="Q1631" s="166">
        <v>1</v>
      </c>
      <c r="R1631" s="164">
        <f>$L1631*'Pivot Objective'!$C$9*P1631*Q1631</f>
        <v>91433.687760000001</v>
      </c>
      <c r="S1631" s="166"/>
      <c r="T1631" s="166"/>
      <c r="U1631" s="164">
        <f>($L1631*'Pivot Objective'!$C$9^2)*S1631*T1631</f>
        <v>0</v>
      </c>
      <c r="V1631" s="166">
        <v>0</v>
      </c>
      <c r="W1631" s="166">
        <v>0</v>
      </c>
      <c r="X1631" s="164">
        <f>($L1631*'Pivot Objective'!$C$9^3)*V1631*W1631</f>
        <v>0</v>
      </c>
      <c r="Y1631" s="166">
        <v>10</v>
      </c>
      <c r="Z1631" s="166">
        <v>1</v>
      </c>
      <c r="AA1631" s="164">
        <f>($L1631*'Pivot Objective'!$C$9^4)*Y1631*Z1631</f>
        <v>136507.01952702377</v>
      </c>
      <c r="AB1631" s="166">
        <v>0</v>
      </c>
      <c r="AC1631" s="166">
        <v>0</v>
      </c>
      <c r="AD1631" s="164">
        <f>($L1631*'Pivot Objective'!$C$9^5)*AB1631*AC1631</f>
        <v>0</v>
      </c>
      <c r="AE1631" s="166">
        <v>0</v>
      </c>
      <c r="AF1631" s="166">
        <v>0</v>
      </c>
      <c r="AG1631" s="164">
        <f>($L1631*'Pivot Objective'!$C$9^6)*AE1631*AF1631</f>
        <v>0</v>
      </c>
      <c r="AH1631" s="166">
        <v>10</v>
      </c>
      <c r="AI1631" s="166">
        <v>1</v>
      </c>
      <c r="AJ1631" s="164">
        <f>($L1631*'Pivot Objective'!$C$9^7)*AH1631*AI1631</f>
        <v>203799.79017212125</v>
      </c>
      <c r="AK1631" s="185">
        <f t="shared" si="188"/>
        <v>431740.49745914503</v>
      </c>
      <c r="AL1631" s="186">
        <f t="shared" si="189"/>
        <v>419.16553151373301</v>
      </c>
    </row>
    <row r="1632" spans="1:38" customFormat="1" ht="43.2" x14ac:dyDescent="0.3">
      <c r="A1632" s="140" t="s">
        <v>1485</v>
      </c>
      <c r="B1632" s="140">
        <v>3</v>
      </c>
      <c r="C1632" s="166" t="s">
        <v>696</v>
      </c>
      <c r="D1632" s="140" t="str">
        <f t="shared" si="184"/>
        <v>2</v>
      </c>
      <c r="E1632" s="166" t="s">
        <v>690</v>
      </c>
      <c r="F1632" s="140">
        <f t="shared" si="190"/>
        <v>5</v>
      </c>
      <c r="G1632" s="140" t="str">
        <f t="shared" si="185"/>
        <v>3.2.5</v>
      </c>
      <c r="H1632" s="181" t="s">
        <v>654</v>
      </c>
      <c r="I1632" s="166" t="s">
        <v>27</v>
      </c>
      <c r="J1632" s="166" t="s">
        <v>180</v>
      </c>
      <c r="K1632" s="166" t="s">
        <v>717</v>
      </c>
      <c r="L1632" s="166">
        <v>104850</v>
      </c>
      <c r="M1632" s="166"/>
      <c r="N1632" s="166"/>
      <c r="O1632" s="164">
        <f t="shared" si="187"/>
        <v>0</v>
      </c>
      <c r="P1632" s="166">
        <v>1</v>
      </c>
      <c r="Q1632" s="166">
        <v>1</v>
      </c>
      <c r="R1632" s="164">
        <f>$L1632*'Pivot Objective'!$C$9*P1632*Q1632</f>
        <v>119835.27702044998</v>
      </c>
      <c r="S1632" s="166"/>
      <c r="T1632" s="166"/>
      <c r="U1632" s="164">
        <f>($L1632*'Pivot Objective'!$C$9^2)*S1632*T1632</f>
        <v>0</v>
      </c>
      <c r="V1632" s="166">
        <v>0</v>
      </c>
      <c r="W1632" s="166">
        <v>0</v>
      </c>
      <c r="X1632" s="164">
        <f>($L1632*'Pivot Objective'!$C$9^3)*V1632*W1632</f>
        <v>0</v>
      </c>
      <c r="Y1632" s="166">
        <v>1</v>
      </c>
      <c r="Z1632" s="166">
        <v>1</v>
      </c>
      <c r="AA1632" s="164">
        <f>($L1632*'Pivot Objective'!$C$9^4)*Y1632*Z1632</f>
        <v>178909.51246760553</v>
      </c>
      <c r="AB1632" s="166">
        <v>0</v>
      </c>
      <c r="AC1632" s="166">
        <v>0</v>
      </c>
      <c r="AD1632" s="164">
        <f>($L1632*'Pivot Objective'!$C$9^5)*AB1632*AC1632</f>
        <v>0</v>
      </c>
      <c r="AE1632" s="166">
        <v>0</v>
      </c>
      <c r="AF1632" s="166">
        <v>0</v>
      </c>
      <c r="AG1632" s="164">
        <f>($L1632*'Pivot Objective'!$C$9^6)*AE1632*AF1632</f>
        <v>0</v>
      </c>
      <c r="AH1632" s="166">
        <v>1</v>
      </c>
      <c r="AI1632" s="166">
        <v>1</v>
      </c>
      <c r="AJ1632" s="164">
        <f>($L1632*'Pivot Objective'!$C$9^7)*AH1632*AI1632</f>
        <v>267105.09999433643</v>
      </c>
      <c r="AK1632" s="185">
        <f t="shared" si="188"/>
        <v>565849.889482392</v>
      </c>
      <c r="AL1632" s="186">
        <f t="shared" si="189"/>
        <v>549.36882474018637</v>
      </c>
    </row>
    <row r="1633" spans="1:38" customFormat="1" ht="43.2" x14ac:dyDescent="0.3">
      <c r="A1633" s="140" t="s">
        <v>1485</v>
      </c>
      <c r="B1633" s="140">
        <v>3</v>
      </c>
      <c r="C1633" s="166" t="s">
        <v>696</v>
      </c>
      <c r="D1633" s="140" t="str">
        <f t="shared" si="184"/>
        <v>2</v>
      </c>
      <c r="E1633" s="166" t="s">
        <v>690</v>
      </c>
      <c r="F1633" s="140">
        <f t="shared" si="190"/>
        <v>5</v>
      </c>
      <c r="G1633" s="140" t="str">
        <f t="shared" si="185"/>
        <v>3.2.5</v>
      </c>
      <c r="H1633" s="181" t="s">
        <v>654</v>
      </c>
      <c r="I1633" s="166" t="s">
        <v>27</v>
      </c>
      <c r="J1633" s="166" t="s">
        <v>280</v>
      </c>
      <c r="K1633" s="166" t="s">
        <v>709</v>
      </c>
      <c r="L1633" s="166">
        <v>35000</v>
      </c>
      <c r="M1633" s="166"/>
      <c r="N1633" s="166"/>
      <c r="O1633" s="164">
        <f t="shared" si="187"/>
        <v>0</v>
      </c>
      <c r="P1633" s="166">
        <v>100</v>
      </c>
      <c r="Q1633" s="166">
        <v>5</v>
      </c>
      <c r="R1633" s="164">
        <f>$L1633*'Pivot Objective'!$C$9*P1633*Q1633</f>
        <v>20001119.197499998</v>
      </c>
      <c r="S1633" s="166"/>
      <c r="T1633" s="166"/>
      <c r="U1633" s="164">
        <f>($L1633*'Pivot Objective'!$C$9^2)*S1633*T1633</f>
        <v>0</v>
      </c>
      <c r="V1633" s="166">
        <v>0</v>
      </c>
      <c r="W1633" s="166">
        <v>0</v>
      </c>
      <c r="X1633" s="164">
        <f>($L1633*'Pivot Objective'!$C$9^3)*V1633*W1633</f>
        <v>0</v>
      </c>
      <c r="Y1633" s="166">
        <v>100</v>
      </c>
      <c r="Z1633" s="166">
        <v>5</v>
      </c>
      <c r="AA1633" s="164">
        <f>($L1633*'Pivot Objective'!$C$9^4)*Y1633*Z1633</f>
        <v>29860910.521536451</v>
      </c>
      <c r="AB1633" s="166">
        <v>0</v>
      </c>
      <c r="AC1633" s="166">
        <v>0</v>
      </c>
      <c r="AD1633" s="164">
        <f>($L1633*'Pivot Objective'!$C$9^5)*AB1633*AC1633</f>
        <v>0</v>
      </c>
      <c r="AE1633" s="166">
        <v>0</v>
      </c>
      <c r="AF1633" s="166">
        <v>0</v>
      </c>
      <c r="AG1633" s="164">
        <f>($L1633*'Pivot Objective'!$C$9^6)*AE1633*AF1633</f>
        <v>0</v>
      </c>
      <c r="AH1633" s="166">
        <v>100</v>
      </c>
      <c r="AI1633" s="166">
        <v>5</v>
      </c>
      <c r="AJ1633" s="164">
        <f>($L1633*'Pivot Objective'!$C$9^7)*AH1633*AI1633</f>
        <v>44581204.100151524</v>
      </c>
      <c r="AK1633" s="185">
        <f t="shared" si="188"/>
        <v>94443233.819187969</v>
      </c>
      <c r="AL1633" s="186">
        <f t="shared" si="189"/>
        <v>91692.460018629092</v>
      </c>
    </row>
    <row r="1634" spans="1:38" customFormat="1" ht="43.2" x14ac:dyDescent="0.3">
      <c r="A1634" s="140" t="s">
        <v>1485</v>
      </c>
      <c r="B1634" s="140">
        <v>3</v>
      </c>
      <c r="C1634" s="166" t="s">
        <v>696</v>
      </c>
      <c r="D1634" s="140" t="str">
        <f t="shared" si="184"/>
        <v>2</v>
      </c>
      <c r="E1634" s="166" t="s">
        <v>690</v>
      </c>
      <c r="F1634" s="140">
        <f t="shared" si="190"/>
        <v>5</v>
      </c>
      <c r="G1634" s="140" t="str">
        <f t="shared" si="185"/>
        <v>3.2.5</v>
      </c>
      <c r="H1634" s="181" t="s">
        <v>654</v>
      </c>
      <c r="I1634" s="166" t="s">
        <v>27</v>
      </c>
      <c r="J1634" s="166" t="s">
        <v>280</v>
      </c>
      <c r="K1634" s="166" t="s">
        <v>716</v>
      </c>
      <c r="L1634" s="166">
        <v>39000</v>
      </c>
      <c r="M1634" s="166"/>
      <c r="N1634" s="166"/>
      <c r="O1634" s="164">
        <f t="shared" si="187"/>
        <v>0</v>
      </c>
      <c r="P1634" s="166">
        <v>58</v>
      </c>
      <c r="Q1634" s="166">
        <v>6</v>
      </c>
      <c r="R1634" s="164">
        <f>$L1634*'Pivot Objective'!$C$9*P1634*Q1634</f>
        <v>15511725.128483998</v>
      </c>
      <c r="S1634" s="166"/>
      <c r="T1634" s="166"/>
      <c r="U1634" s="164">
        <f>($L1634*'Pivot Objective'!$C$9^2)*S1634*T1634</f>
        <v>0</v>
      </c>
      <c r="V1634" s="166">
        <v>0</v>
      </c>
      <c r="W1634" s="166">
        <v>0</v>
      </c>
      <c r="X1634" s="164">
        <f>($L1634*'Pivot Objective'!$C$9^3)*V1634*W1634</f>
        <v>0</v>
      </c>
      <c r="Y1634" s="166">
        <v>58</v>
      </c>
      <c r="Z1634" s="166">
        <v>6</v>
      </c>
      <c r="AA1634" s="164">
        <f>($L1634*'Pivot Objective'!$C$9^4)*Y1634*Z1634</f>
        <v>23158415.862759583</v>
      </c>
      <c r="AB1634" s="166">
        <v>0</v>
      </c>
      <c r="AC1634" s="166">
        <v>0</v>
      </c>
      <c r="AD1634" s="164">
        <f>($L1634*'Pivot Objective'!$C$9^5)*AB1634*AC1634</f>
        <v>0</v>
      </c>
      <c r="AE1634" s="166">
        <v>0</v>
      </c>
      <c r="AF1634" s="166">
        <v>0</v>
      </c>
      <c r="AG1634" s="164">
        <f>($L1634*'Pivot Objective'!$C$9^6)*AE1634*AF1634</f>
        <v>0</v>
      </c>
      <c r="AH1634" s="166">
        <v>58</v>
      </c>
      <c r="AI1634" s="166">
        <v>6</v>
      </c>
      <c r="AJ1634" s="164">
        <f>($L1634*'Pivot Objective'!$C$9^7)*AH1634*AI1634</f>
        <v>34574634.402700365</v>
      </c>
      <c r="AK1634" s="185">
        <f t="shared" si="188"/>
        <v>73244775.393943936</v>
      </c>
      <c r="AL1634" s="186">
        <f t="shared" si="189"/>
        <v>71111.432421304795</v>
      </c>
    </row>
    <row r="1635" spans="1:38" customFormat="1" ht="43.2" x14ac:dyDescent="0.3">
      <c r="A1635" s="140" t="s">
        <v>1485</v>
      </c>
      <c r="B1635" s="140">
        <v>3</v>
      </c>
      <c r="C1635" s="166" t="s">
        <v>696</v>
      </c>
      <c r="D1635" s="140" t="str">
        <f t="shared" si="184"/>
        <v>2</v>
      </c>
      <c r="E1635" s="166" t="s">
        <v>690</v>
      </c>
      <c r="F1635" s="140">
        <f t="shared" si="190"/>
        <v>5</v>
      </c>
      <c r="G1635" s="140" t="str">
        <f t="shared" si="185"/>
        <v>3.2.5</v>
      </c>
      <c r="H1635" s="181" t="s">
        <v>654</v>
      </c>
      <c r="I1635" s="166" t="s">
        <v>27</v>
      </c>
      <c r="J1635" s="166" t="s">
        <v>280</v>
      </c>
      <c r="K1635" s="166" t="s">
        <v>712</v>
      </c>
      <c r="L1635" s="166">
        <f>1480/7</f>
        <v>211.42857142857142</v>
      </c>
      <c r="M1635" s="166"/>
      <c r="N1635" s="166"/>
      <c r="O1635" s="164">
        <f t="shared" si="187"/>
        <v>0</v>
      </c>
      <c r="P1635" s="166">
        <f>2*25*9</f>
        <v>450</v>
      </c>
      <c r="Q1635" s="166">
        <v>5</v>
      </c>
      <c r="R1635" s="164">
        <f>$L1635*'Pivot Objective'!$C$9*P1635*Q1635</f>
        <v>543703.89328714274</v>
      </c>
      <c r="S1635" s="166"/>
      <c r="T1635" s="166"/>
      <c r="U1635" s="164">
        <f>($L1635*'Pivot Objective'!$C$9^2)*S1635*T1635</f>
        <v>0</v>
      </c>
      <c r="V1635" s="166">
        <v>0</v>
      </c>
      <c r="W1635" s="166">
        <v>0</v>
      </c>
      <c r="X1635" s="164">
        <f>($L1635*'Pivot Objective'!$C$9^3)*V1635*W1635</f>
        <v>0</v>
      </c>
      <c r="Y1635" s="166">
        <f>2*25*9</f>
        <v>450</v>
      </c>
      <c r="Z1635" s="166">
        <v>5</v>
      </c>
      <c r="AA1635" s="164">
        <f>($L1635*'Pivot Objective'!$C$9^4)*Y1635*Z1635</f>
        <v>811729.24111605203</v>
      </c>
      <c r="AB1635" s="166">
        <v>0</v>
      </c>
      <c r="AC1635" s="166">
        <v>0</v>
      </c>
      <c r="AD1635" s="164">
        <f>($L1635*'Pivot Objective'!$C$9^5)*AB1635*AC1635</f>
        <v>0</v>
      </c>
      <c r="AE1635" s="166">
        <v>0</v>
      </c>
      <c r="AF1635" s="166">
        <v>0</v>
      </c>
      <c r="AG1635" s="164">
        <f>($L1635*'Pivot Objective'!$C$9^6)*AE1635*AF1635</f>
        <v>0</v>
      </c>
      <c r="AH1635" s="166">
        <f>2*25*9</f>
        <v>450</v>
      </c>
      <c r="AI1635" s="166">
        <v>5</v>
      </c>
      <c r="AJ1635" s="164">
        <f>($L1635*'Pivot Objective'!$C$9^7)*AH1635*AI1635</f>
        <v>1211880.8951306494</v>
      </c>
      <c r="AK1635" s="185">
        <f t="shared" si="188"/>
        <v>2567314.0295338444</v>
      </c>
      <c r="AL1635" s="186">
        <f t="shared" si="189"/>
        <v>2492.5378927513052</v>
      </c>
    </row>
    <row r="1636" spans="1:38" customFormat="1" ht="43.2" x14ac:dyDescent="0.3">
      <c r="A1636" s="140" t="s">
        <v>1485</v>
      </c>
      <c r="B1636" s="140">
        <v>3</v>
      </c>
      <c r="C1636" s="166" t="s">
        <v>696</v>
      </c>
      <c r="D1636" s="140" t="str">
        <f t="shared" si="184"/>
        <v>2</v>
      </c>
      <c r="E1636" s="166" t="s">
        <v>690</v>
      </c>
      <c r="F1636" s="140">
        <f t="shared" si="190"/>
        <v>5</v>
      </c>
      <c r="G1636" s="140" t="str">
        <f t="shared" si="185"/>
        <v>3.2.5</v>
      </c>
      <c r="H1636" s="181" t="s">
        <v>654</v>
      </c>
      <c r="I1636" s="166" t="s">
        <v>27</v>
      </c>
      <c r="J1636" s="166" t="s">
        <v>280</v>
      </c>
      <c r="K1636" s="166" t="s">
        <v>1336</v>
      </c>
      <c r="L1636" s="166">
        <f>1480/7</f>
        <v>211.42857142857142</v>
      </c>
      <c r="M1636" s="166"/>
      <c r="N1636" s="166"/>
      <c r="O1636" s="164">
        <f t="shared" si="187"/>
        <v>0</v>
      </c>
      <c r="P1636" s="166">
        <f>2*135*9</f>
        <v>2430</v>
      </c>
      <c r="Q1636" s="166">
        <v>1</v>
      </c>
      <c r="R1636" s="164">
        <f>$L1636*'Pivot Objective'!$C$9*P1636*Q1636</f>
        <v>587200.20475011424</v>
      </c>
      <c r="S1636" s="166"/>
      <c r="T1636" s="166"/>
      <c r="U1636" s="164">
        <f>($L1636*'Pivot Objective'!$C$9^2)*S1636*T1636</f>
        <v>0</v>
      </c>
      <c r="V1636" s="166"/>
      <c r="W1636" s="166"/>
      <c r="X1636" s="164">
        <f>($L1636*'Pivot Objective'!$C$9^3)*V1636*W1636</f>
        <v>0</v>
      </c>
      <c r="Y1636" s="166">
        <f>2*135*9</f>
        <v>2430</v>
      </c>
      <c r="Z1636" s="166">
        <v>1</v>
      </c>
      <c r="AA1636" s="164">
        <f>($L1636*'Pivot Objective'!$C$9^4)*Y1636*Z1636</f>
        <v>876667.58040533611</v>
      </c>
      <c r="AB1636" s="166"/>
      <c r="AC1636" s="166"/>
      <c r="AD1636" s="164">
        <f>($L1636*'Pivot Objective'!$C$9^5)*AB1636*AC1636</f>
        <v>0</v>
      </c>
      <c r="AE1636" s="166"/>
      <c r="AF1636" s="166"/>
      <c r="AG1636" s="164">
        <f>($L1636*'Pivot Objective'!$C$9^6)*AE1636*AF1636</f>
        <v>0</v>
      </c>
      <c r="AH1636" s="166">
        <f>2*135*9</f>
        <v>2430</v>
      </c>
      <c r="AI1636" s="166">
        <v>1</v>
      </c>
      <c r="AJ1636" s="164">
        <f>($L1636*'Pivot Objective'!$C$9^7)*AH1636*AI1636</f>
        <v>1308831.3667411015</v>
      </c>
      <c r="AK1636" s="185">
        <f t="shared" si="188"/>
        <v>2772699.1518965522</v>
      </c>
      <c r="AL1636" s="186">
        <f t="shared" si="189"/>
        <v>2691.9409241714097</v>
      </c>
    </row>
    <row r="1637" spans="1:38" customFormat="1" ht="43.2" x14ac:dyDescent="0.3">
      <c r="A1637" s="140" t="s">
        <v>1485</v>
      </c>
      <c r="B1637" s="140">
        <v>3</v>
      </c>
      <c r="C1637" s="166" t="s">
        <v>696</v>
      </c>
      <c r="D1637" s="140" t="str">
        <f t="shared" si="184"/>
        <v>2</v>
      </c>
      <c r="E1637" s="166" t="s">
        <v>690</v>
      </c>
      <c r="F1637" s="140">
        <f t="shared" si="190"/>
        <v>5</v>
      </c>
      <c r="G1637" s="140" t="str">
        <f t="shared" si="185"/>
        <v>3.2.5</v>
      </c>
      <c r="H1637" s="181" t="s">
        <v>654</v>
      </c>
      <c r="I1637" s="166" t="s">
        <v>27</v>
      </c>
      <c r="J1637" s="166" t="s">
        <v>171</v>
      </c>
      <c r="K1637" s="166" t="s">
        <v>718</v>
      </c>
      <c r="L1637" s="166">
        <v>0</v>
      </c>
      <c r="M1637" s="166"/>
      <c r="N1637" s="166"/>
      <c r="O1637" s="164">
        <f t="shared" si="187"/>
        <v>0</v>
      </c>
      <c r="P1637" s="166">
        <v>0</v>
      </c>
      <c r="Q1637" s="166">
        <v>0</v>
      </c>
      <c r="R1637" s="164">
        <f>$L1637*'Pivot Objective'!$C$9*P1637*Q1637</f>
        <v>0</v>
      </c>
      <c r="S1637" s="166"/>
      <c r="T1637" s="166"/>
      <c r="U1637" s="164">
        <f>($L1637*'Pivot Objective'!$C$9^2)*S1637*T1637</f>
        <v>0</v>
      </c>
      <c r="V1637" s="166">
        <v>0</v>
      </c>
      <c r="W1637" s="166">
        <v>0</v>
      </c>
      <c r="X1637" s="164">
        <f>($L1637*'Pivot Objective'!$C$9^3)*V1637*W1637</f>
        <v>0</v>
      </c>
      <c r="Y1637" s="166">
        <v>0</v>
      </c>
      <c r="Z1637" s="166">
        <v>0</v>
      </c>
      <c r="AA1637" s="164">
        <f>($L1637*'Pivot Objective'!$C$9^4)*Y1637*Z1637</f>
        <v>0</v>
      </c>
      <c r="AB1637" s="166">
        <v>0</v>
      </c>
      <c r="AC1637" s="166">
        <v>0</v>
      </c>
      <c r="AD1637" s="164">
        <f>($L1637*'Pivot Objective'!$C$9^5)*AB1637*AC1637</f>
        <v>0</v>
      </c>
      <c r="AE1637" s="166">
        <v>0</v>
      </c>
      <c r="AF1637" s="166">
        <v>0</v>
      </c>
      <c r="AG1637" s="164">
        <f>($L1637*'Pivot Objective'!$C$9^6)*AE1637*AF1637</f>
        <v>0</v>
      </c>
      <c r="AH1637" s="166">
        <v>0</v>
      </c>
      <c r="AI1637" s="166">
        <v>0</v>
      </c>
      <c r="AJ1637" s="164">
        <f>($L1637*'Pivot Objective'!$C$9^7)*AH1637*AI1637</f>
        <v>0</v>
      </c>
      <c r="AK1637" s="185">
        <f t="shared" si="188"/>
        <v>0</v>
      </c>
      <c r="AL1637" s="186">
        <f t="shared" si="189"/>
        <v>0</v>
      </c>
    </row>
    <row r="1638" spans="1:38" customFormat="1" ht="43.2" x14ac:dyDescent="0.3">
      <c r="A1638" s="140" t="s">
        <v>1485</v>
      </c>
      <c r="B1638" s="140">
        <v>3</v>
      </c>
      <c r="C1638" s="166" t="s">
        <v>696</v>
      </c>
      <c r="D1638" s="140" t="str">
        <f t="shared" si="184"/>
        <v>2</v>
      </c>
      <c r="E1638" s="166" t="s">
        <v>690</v>
      </c>
      <c r="F1638" s="140">
        <f t="shared" si="190"/>
        <v>5</v>
      </c>
      <c r="G1638" s="140" t="str">
        <f t="shared" si="185"/>
        <v>3.2.5</v>
      </c>
      <c r="H1638" s="181" t="s">
        <v>654</v>
      </c>
      <c r="I1638" s="166" t="s">
        <v>27</v>
      </c>
      <c r="J1638" s="166" t="s">
        <v>281</v>
      </c>
      <c r="K1638" s="166" t="s">
        <v>1297</v>
      </c>
      <c r="L1638" s="166">
        <v>8000</v>
      </c>
      <c r="M1638" s="166"/>
      <c r="N1638" s="166"/>
      <c r="O1638" s="164">
        <f t="shared" si="187"/>
        <v>0</v>
      </c>
      <c r="P1638" s="166">
        <v>10</v>
      </c>
      <c r="Q1638" s="166">
        <v>1</v>
      </c>
      <c r="R1638" s="164">
        <f>$L1638*'Pivot Objective'!$C$9*P1638*Q1638</f>
        <v>91433.687760000001</v>
      </c>
      <c r="S1638" s="166"/>
      <c r="T1638" s="166"/>
      <c r="U1638" s="164">
        <f>($L1638*'Pivot Objective'!$C$9^2)*S1638*T1638</f>
        <v>0</v>
      </c>
      <c r="V1638" s="166">
        <v>0</v>
      </c>
      <c r="W1638" s="166">
        <v>0</v>
      </c>
      <c r="X1638" s="164">
        <f>($L1638*'Pivot Objective'!$C$9^3)*V1638*W1638</f>
        <v>0</v>
      </c>
      <c r="Y1638" s="166">
        <v>10</v>
      </c>
      <c r="Z1638" s="166">
        <v>1</v>
      </c>
      <c r="AA1638" s="164">
        <f>($L1638*'Pivot Objective'!$C$9^4)*Y1638*Z1638</f>
        <v>136507.01952702377</v>
      </c>
      <c r="AB1638" s="166">
        <v>0</v>
      </c>
      <c r="AC1638" s="166">
        <v>0</v>
      </c>
      <c r="AD1638" s="164">
        <f>($L1638*'Pivot Objective'!$C$9^5)*AB1638*AC1638</f>
        <v>0</v>
      </c>
      <c r="AE1638" s="166">
        <v>0</v>
      </c>
      <c r="AF1638" s="166">
        <v>0</v>
      </c>
      <c r="AG1638" s="164">
        <f>($L1638*'Pivot Objective'!$C$9^6)*AE1638*AF1638</f>
        <v>0</v>
      </c>
      <c r="AH1638" s="166">
        <v>10</v>
      </c>
      <c r="AI1638" s="166">
        <v>1</v>
      </c>
      <c r="AJ1638" s="164">
        <f>($L1638*'Pivot Objective'!$C$9^7)*AH1638*AI1638</f>
        <v>203799.79017212125</v>
      </c>
      <c r="AK1638" s="185">
        <f t="shared" si="188"/>
        <v>431740.49745914503</v>
      </c>
      <c r="AL1638" s="186">
        <f t="shared" si="189"/>
        <v>419.16553151373301</v>
      </c>
    </row>
    <row r="1639" spans="1:38" customFormat="1" ht="43.2" x14ac:dyDescent="0.3">
      <c r="A1639" s="140" t="s">
        <v>1485</v>
      </c>
      <c r="B1639" s="140">
        <v>3</v>
      </c>
      <c r="C1639" s="166" t="s">
        <v>696</v>
      </c>
      <c r="D1639" s="140" t="str">
        <f t="shared" si="184"/>
        <v>2</v>
      </c>
      <c r="E1639" s="166" t="s">
        <v>690</v>
      </c>
      <c r="F1639" s="140">
        <f t="shared" si="190"/>
        <v>5</v>
      </c>
      <c r="G1639" s="140" t="str">
        <f t="shared" si="185"/>
        <v>3.2.5</v>
      </c>
      <c r="H1639" s="181" t="s">
        <v>654</v>
      </c>
      <c r="I1639" s="166" t="s">
        <v>27</v>
      </c>
      <c r="J1639" s="166" t="s">
        <v>281</v>
      </c>
      <c r="K1639" s="166" t="s">
        <v>710</v>
      </c>
      <c r="L1639" s="166">
        <v>104850</v>
      </c>
      <c r="M1639" s="166"/>
      <c r="N1639" s="166"/>
      <c r="O1639" s="164">
        <f t="shared" si="187"/>
        <v>0</v>
      </c>
      <c r="P1639" s="166">
        <v>1</v>
      </c>
      <c r="Q1639" s="166">
        <v>1</v>
      </c>
      <c r="R1639" s="164">
        <f>$L1639*'Pivot Objective'!$C$9*P1639*Q1639</f>
        <v>119835.27702044998</v>
      </c>
      <c r="S1639" s="166"/>
      <c r="T1639" s="166"/>
      <c r="U1639" s="164">
        <f>($L1639*'Pivot Objective'!$C$9^2)*S1639*T1639</f>
        <v>0</v>
      </c>
      <c r="V1639" s="166">
        <v>0</v>
      </c>
      <c r="W1639" s="166">
        <v>0</v>
      </c>
      <c r="X1639" s="164">
        <f>($L1639*'Pivot Objective'!$C$9^3)*V1639*W1639</f>
        <v>0</v>
      </c>
      <c r="Y1639" s="166">
        <v>1</v>
      </c>
      <c r="Z1639" s="166">
        <v>1</v>
      </c>
      <c r="AA1639" s="164">
        <f>($L1639*'Pivot Objective'!$C$9^4)*Y1639*Z1639</f>
        <v>178909.51246760553</v>
      </c>
      <c r="AB1639" s="166">
        <v>0</v>
      </c>
      <c r="AC1639" s="166">
        <v>0</v>
      </c>
      <c r="AD1639" s="164">
        <f>($L1639*'Pivot Objective'!$C$9^5)*AB1639*AC1639</f>
        <v>0</v>
      </c>
      <c r="AE1639" s="166">
        <v>0</v>
      </c>
      <c r="AF1639" s="166">
        <v>0</v>
      </c>
      <c r="AG1639" s="164">
        <f>($L1639*'Pivot Objective'!$C$9^6)*AE1639*AF1639</f>
        <v>0</v>
      </c>
      <c r="AH1639" s="166">
        <v>1</v>
      </c>
      <c r="AI1639" s="166">
        <v>1</v>
      </c>
      <c r="AJ1639" s="164">
        <f>($L1639*'Pivot Objective'!$C$9^7)*AH1639*AI1639</f>
        <v>267105.09999433643</v>
      </c>
      <c r="AK1639" s="185">
        <f t="shared" si="188"/>
        <v>565849.889482392</v>
      </c>
      <c r="AL1639" s="186">
        <f t="shared" si="189"/>
        <v>549.36882474018637</v>
      </c>
    </row>
    <row r="1640" spans="1:38" customFormat="1" ht="43.2" x14ac:dyDescent="0.3">
      <c r="A1640" s="140" t="s">
        <v>1485</v>
      </c>
      <c r="B1640" s="140">
        <v>3</v>
      </c>
      <c r="C1640" s="166" t="s">
        <v>696</v>
      </c>
      <c r="D1640" s="140" t="str">
        <f t="shared" si="184"/>
        <v>2</v>
      </c>
      <c r="E1640" s="166" t="s">
        <v>690</v>
      </c>
      <c r="F1640" s="140">
        <f t="shared" si="190"/>
        <v>5</v>
      </c>
      <c r="G1640" s="140" t="str">
        <f t="shared" si="185"/>
        <v>3.2.5</v>
      </c>
      <c r="H1640" s="181" t="s">
        <v>654</v>
      </c>
      <c r="I1640" s="166" t="s">
        <v>27</v>
      </c>
      <c r="J1640" s="166" t="s">
        <v>162</v>
      </c>
      <c r="K1640" s="166" t="s">
        <v>716</v>
      </c>
      <c r="L1640" s="166">
        <v>39000</v>
      </c>
      <c r="M1640" s="166"/>
      <c r="N1640" s="166"/>
      <c r="O1640" s="164">
        <f t="shared" si="187"/>
        <v>0</v>
      </c>
      <c r="P1640" s="166">
        <v>30</v>
      </c>
      <c r="Q1640" s="166">
        <v>5</v>
      </c>
      <c r="R1640" s="164">
        <f>$L1640*'Pivot Objective'!$C$9*P1640*Q1640</f>
        <v>6686088.4174499987</v>
      </c>
      <c r="S1640" s="166"/>
      <c r="T1640" s="166"/>
      <c r="U1640" s="164">
        <f>($L1640*'Pivot Objective'!$C$9^2)*S1640*T1640</f>
        <v>0</v>
      </c>
      <c r="V1640" s="166">
        <v>0</v>
      </c>
      <c r="W1640" s="166">
        <v>0</v>
      </c>
      <c r="X1640" s="164">
        <f>($L1640*'Pivot Objective'!$C$9^3)*V1640*W1640</f>
        <v>0</v>
      </c>
      <c r="Y1640" s="166">
        <v>30</v>
      </c>
      <c r="Z1640" s="166">
        <v>5</v>
      </c>
      <c r="AA1640" s="164">
        <f>($L1640*'Pivot Objective'!$C$9^4)*Y1640*Z1640</f>
        <v>9982075.8029136136</v>
      </c>
      <c r="AB1640" s="166">
        <v>0</v>
      </c>
      <c r="AC1640" s="166">
        <v>0</v>
      </c>
      <c r="AD1640" s="164">
        <f>($L1640*'Pivot Objective'!$C$9^5)*AB1640*AC1640</f>
        <v>0</v>
      </c>
      <c r="AE1640" s="166">
        <v>0</v>
      </c>
      <c r="AF1640" s="166">
        <v>0</v>
      </c>
      <c r="AG1640" s="164">
        <f>($L1640*'Pivot Objective'!$C$9^6)*AE1640*AF1640</f>
        <v>0</v>
      </c>
      <c r="AH1640" s="166">
        <v>30</v>
      </c>
      <c r="AI1640" s="166">
        <v>5</v>
      </c>
      <c r="AJ1640" s="164">
        <f>($L1640*'Pivot Objective'!$C$9^7)*AH1640*AI1640</f>
        <v>14902859.656336365</v>
      </c>
      <c r="AK1640" s="185">
        <f t="shared" si="188"/>
        <v>31571023.876699977</v>
      </c>
      <c r="AL1640" s="186">
        <f t="shared" si="189"/>
        <v>30651.479491941725</v>
      </c>
    </row>
    <row r="1641" spans="1:38" customFormat="1" ht="43.2" x14ac:dyDescent="0.3">
      <c r="A1641" s="140" t="s">
        <v>1485</v>
      </c>
      <c r="B1641" s="140">
        <v>3</v>
      </c>
      <c r="C1641" s="166" t="s">
        <v>696</v>
      </c>
      <c r="D1641" s="140" t="str">
        <f t="shared" si="184"/>
        <v>2</v>
      </c>
      <c r="E1641" s="166" t="s">
        <v>690</v>
      </c>
      <c r="F1641" s="140">
        <f t="shared" si="190"/>
        <v>5</v>
      </c>
      <c r="G1641" s="140" t="str">
        <f t="shared" si="185"/>
        <v>3.2.5</v>
      </c>
      <c r="H1641" s="181" t="s">
        <v>654</v>
      </c>
      <c r="I1641" s="166" t="s">
        <v>27</v>
      </c>
      <c r="J1641" s="166" t="s">
        <v>162</v>
      </c>
      <c r="K1641" s="166" t="s">
        <v>709</v>
      </c>
      <c r="L1641" s="166">
        <v>35000</v>
      </c>
      <c r="M1641" s="166"/>
      <c r="N1641" s="166"/>
      <c r="O1641" s="164">
        <f t="shared" si="187"/>
        <v>0</v>
      </c>
      <c r="P1641" s="166">
        <v>30</v>
      </c>
      <c r="Q1641" s="166">
        <v>5</v>
      </c>
      <c r="R1641" s="164">
        <f>$L1641*'Pivot Objective'!$C$9*P1641*Q1641</f>
        <v>6000335.7592499992</v>
      </c>
      <c r="S1641" s="166"/>
      <c r="T1641" s="166"/>
      <c r="U1641" s="164">
        <f>($L1641*'Pivot Objective'!$C$9^2)*S1641*T1641</f>
        <v>0</v>
      </c>
      <c r="V1641" s="166">
        <v>0</v>
      </c>
      <c r="W1641" s="166">
        <v>0</v>
      </c>
      <c r="X1641" s="164">
        <f>($L1641*'Pivot Objective'!$C$9^3)*V1641*W1641</f>
        <v>0</v>
      </c>
      <c r="Y1641" s="166">
        <v>30</v>
      </c>
      <c r="Z1641" s="166">
        <v>5</v>
      </c>
      <c r="AA1641" s="164">
        <f>($L1641*'Pivot Objective'!$C$9^4)*Y1641*Z1641</f>
        <v>8958273.1564609352</v>
      </c>
      <c r="AB1641" s="166">
        <v>0</v>
      </c>
      <c r="AC1641" s="166">
        <v>0</v>
      </c>
      <c r="AD1641" s="164">
        <f>($L1641*'Pivot Objective'!$C$9^5)*AB1641*AC1641</f>
        <v>0</v>
      </c>
      <c r="AE1641" s="166">
        <v>0</v>
      </c>
      <c r="AF1641" s="166">
        <v>0</v>
      </c>
      <c r="AG1641" s="164">
        <f>($L1641*'Pivot Objective'!$C$9^6)*AE1641*AF1641</f>
        <v>0</v>
      </c>
      <c r="AH1641" s="166">
        <v>30</v>
      </c>
      <c r="AI1641" s="166">
        <v>5</v>
      </c>
      <c r="AJ1641" s="164">
        <f>($L1641*'Pivot Objective'!$C$9^7)*AH1641*AI1641</f>
        <v>13374361.230045456</v>
      </c>
      <c r="AK1641" s="185">
        <f t="shared" si="188"/>
        <v>28332970.14575639</v>
      </c>
      <c r="AL1641" s="186">
        <f t="shared" si="189"/>
        <v>27507.73800558873</v>
      </c>
    </row>
    <row r="1642" spans="1:38" customFormat="1" ht="43.2" x14ac:dyDescent="0.3">
      <c r="A1642" s="140" t="s">
        <v>1485</v>
      </c>
      <c r="B1642" s="140">
        <v>3</v>
      </c>
      <c r="C1642" s="166" t="s">
        <v>696</v>
      </c>
      <c r="D1642" s="140" t="str">
        <f t="shared" si="184"/>
        <v>2</v>
      </c>
      <c r="E1642" s="166" t="s">
        <v>690</v>
      </c>
      <c r="F1642" s="140">
        <f t="shared" si="190"/>
        <v>5</v>
      </c>
      <c r="G1642" s="140" t="str">
        <f t="shared" si="185"/>
        <v>3.2.5</v>
      </c>
      <c r="H1642" s="181" t="s">
        <v>654</v>
      </c>
      <c r="I1642" s="166" t="s">
        <v>27</v>
      </c>
      <c r="J1642" s="166" t="s">
        <v>162</v>
      </c>
      <c r="K1642" s="166" t="s">
        <v>712</v>
      </c>
      <c r="L1642" s="166">
        <f>1480/7</f>
        <v>211.42857142857142</v>
      </c>
      <c r="M1642" s="166"/>
      <c r="N1642" s="166"/>
      <c r="O1642" s="164">
        <f t="shared" si="187"/>
        <v>0</v>
      </c>
      <c r="P1642" s="166">
        <f>2*25*9</f>
        <v>450</v>
      </c>
      <c r="Q1642" s="166">
        <v>5</v>
      </c>
      <c r="R1642" s="164">
        <f>$L1642*'Pivot Objective'!$C$9*P1642*Q1642</f>
        <v>543703.89328714274</v>
      </c>
      <c r="S1642" s="166"/>
      <c r="T1642" s="166"/>
      <c r="U1642" s="164">
        <f>($L1642*'Pivot Objective'!$C$9^2)*S1642*T1642</f>
        <v>0</v>
      </c>
      <c r="V1642" s="166">
        <v>0</v>
      </c>
      <c r="W1642" s="166">
        <v>0</v>
      </c>
      <c r="X1642" s="164">
        <f>($L1642*'Pivot Objective'!$C$9^3)*V1642*W1642</f>
        <v>0</v>
      </c>
      <c r="Y1642" s="166">
        <f>2*25*9</f>
        <v>450</v>
      </c>
      <c r="Z1642" s="166">
        <v>5</v>
      </c>
      <c r="AA1642" s="164">
        <f>($L1642*'Pivot Objective'!$C$9^4)*Y1642*Z1642</f>
        <v>811729.24111605203</v>
      </c>
      <c r="AB1642" s="166">
        <v>0</v>
      </c>
      <c r="AC1642" s="166">
        <v>0</v>
      </c>
      <c r="AD1642" s="164">
        <f>($L1642*'Pivot Objective'!$C$9^5)*AB1642*AC1642</f>
        <v>0</v>
      </c>
      <c r="AE1642" s="166">
        <v>0</v>
      </c>
      <c r="AF1642" s="166">
        <v>0</v>
      </c>
      <c r="AG1642" s="164">
        <f>($L1642*'Pivot Objective'!$C$9^6)*AE1642*AF1642</f>
        <v>0</v>
      </c>
      <c r="AH1642" s="166">
        <f>2*25*9</f>
        <v>450</v>
      </c>
      <c r="AI1642" s="166">
        <v>5</v>
      </c>
      <c r="AJ1642" s="164">
        <f>($L1642*'Pivot Objective'!$C$9^7)*AH1642*AI1642</f>
        <v>1211880.8951306494</v>
      </c>
      <c r="AK1642" s="185">
        <f t="shared" si="188"/>
        <v>2567314.0295338444</v>
      </c>
      <c r="AL1642" s="186">
        <f t="shared" si="189"/>
        <v>2492.5378927513052</v>
      </c>
    </row>
    <row r="1643" spans="1:38" customFormat="1" ht="43.2" x14ac:dyDescent="0.3">
      <c r="A1643" s="140" t="s">
        <v>1485</v>
      </c>
      <c r="B1643" s="140">
        <v>3</v>
      </c>
      <c r="C1643" s="166" t="s">
        <v>696</v>
      </c>
      <c r="D1643" s="140" t="str">
        <f t="shared" si="184"/>
        <v>2</v>
      </c>
      <c r="E1643" s="166" t="s">
        <v>690</v>
      </c>
      <c r="F1643" s="140">
        <f t="shared" si="190"/>
        <v>5</v>
      </c>
      <c r="G1643" s="140" t="str">
        <f t="shared" si="185"/>
        <v>3.2.5</v>
      </c>
      <c r="H1643" s="181" t="s">
        <v>654</v>
      </c>
      <c r="I1643" s="166" t="s">
        <v>27</v>
      </c>
      <c r="J1643" s="166" t="s">
        <v>162</v>
      </c>
      <c r="K1643" s="166" t="s">
        <v>1336</v>
      </c>
      <c r="L1643" s="166">
        <f>1480/7</f>
        <v>211.42857142857142</v>
      </c>
      <c r="M1643" s="166"/>
      <c r="N1643" s="166"/>
      <c r="O1643" s="164">
        <f t="shared" si="187"/>
        <v>0</v>
      </c>
      <c r="P1643" s="166">
        <f>2*135*9</f>
        <v>2430</v>
      </c>
      <c r="Q1643" s="166">
        <v>1</v>
      </c>
      <c r="R1643" s="164">
        <f>$L1643*'Pivot Objective'!$C$9*P1643*Q1643</f>
        <v>587200.20475011424</v>
      </c>
      <c r="S1643" s="166"/>
      <c r="T1643" s="166"/>
      <c r="U1643" s="164">
        <f>($L1643*'Pivot Objective'!$C$9^2)*S1643*T1643</f>
        <v>0</v>
      </c>
      <c r="V1643" s="166"/>
      <c r="W1643" s="166"/>
      <c r="X1643" s="164">
        <f>($L1643*'Pivot Objective'!$C$9^3)*V1643*W1643</f>
        <v>0</v>
      </c>
      <c r="Y1643" s="166">
        <f>2*135*9</f>
        <v>2430</v>
      </c>
      <c r="Z1643" s="166">
        <v>1</v>
      </c>
      <c r="AA1643" s="164">
        <f>($L1643*'Pivot Objective'!$C$9^4)*Y1643*Z1643</f>
        <v>876667.58040533611</v>
      </c>
      <c r="AB1643" s="166"/>
      <c r="AC1643" s="166"/>
      <c r="AD1643" s="164">
        <f>($L1643*'Pivot Objective'!$C$9^5)*AB1643*AC1643</f>
        <v>0</v>
      </c>
      <c r="AE1643" s="166"/>
      <c r="AF1643" s="166"/>
      <c r="AG1643" s="164">
        <f>($L1643*'Pivot Objective'!$C$9^6)*AE1643*AF1643</f>
        <v>0</v>
      </c>
      <c r="AH1643" s="166">
        <f>2*135*9</f>
        <v>2430</v>
      </c>
      <c r="AI1643" s="166">
        <v>1</v>
      </c>
      <c r="AJ1643" s="164">
        <f>($L1643*'Pivot Objective'!$C$9^7)*AH1643*AI1643</f>
        <v>1308831.3667411015</v>
      </c>
      <c r="AK1643" s="185">
        <f t="shared" si="188"/>
        <v>2772699.1518965522</v>
      </c>
      <c r="AL1643" s="186">
        <f t="shared" si="189"/>
        <v>2691.9409241714097</v>
      </c>
    </row>
    <row r="1644" spans="1:38" customFormat="1" ht="43.2" x14ac:dyDescent="0.3">
      <c r="A1644" s="140" t="s">
        <v>1485</v>
      </c>
      <c r="B1644" s="140">
        <v>3</v>
      </c>
      <c r="C1644" s="166" t="s">
        <v>696</v>
      </c>
      <c r="D1644" s="140" t="str">
        <f t="shared" si="184"/>
        <v>2</v>
      </c>
      <c r="E1644" s="166" t="s">
        <v>690</v>
      </c>
      <c r="F1644" s="140">
        <f t="shared" si="190"/>
        <v>6</v>
      </c>
      <c r="G1644" s="140" t="str">
        <f t="shared" si="185"/>
        <v>3.2.6</v>
      </c>
      <c r="H1644" s="168" t="s">
        <v>655</v>
      </c>
      <c r="I1644" s="166" t="s">
        <v>28</v>
      </c>
      <c r="J1644" s="166" t="s">
        <v>283</v>
      </c>
      <c r="K1644" s="166" t="s">
        <v>718</v>
      </c>
      <c r="L1644" s="166">
        <v>0</v>
      </c>
      <c r="M1644" s="166">
        <v>0</v>
      </c>
      <c r="N1644" s="166">
        <v>0</v>
      </c>
      <c r="O1644" s="164">
        <f t="shared" si="187"/>
        <v>0</v>
      </c>
      <c r="P1644" s="166">
        <v>0</v>
      </c>
      <c r="Q1644" s="166">
        <v>0</v>
      </c>
      <c r="R1644" s="164">
        <f>$L1644*'Pivot Objective'!$C$9*P1644*Q1644</f>
        <v>0</v>
      </c>
      <c r="S1644" s="166">
        <v>0</v>
      </c>
      <c r="T1644" s="166">
        <v>0</v>
      </c>
      <c r="U1644" s="164">
        <f>($L1644*'Pivot Objective'!$C$9^2)*S1644*T1644</f>
        <v>0</v>
      </c>
      <c r="V1644" s="166">
        <v>0</v>
      </c>
      <c r="W1644" s="166">
        <v>0</v>
      </c>
      <c r="X1644" s="164">
        <f>($L1644*'Pivot Objective'!$C$9^3)*V1644*W1644</f>
        <v>0</v>
      </c>
      <c r="Y1644" s="166">
        <v>0</v>
      </c>
      <c r="Z1644" s="166">
        <v>0</v>
      </c>
      <c r="AA1644" s="164">
        <f>($L1644*'Pivot Objective'!$C$9^4)*Y1644*Z1644</f>
        <v>0</v>
      </c>
      <c r="AB1644" s="166">
        <v>0</v>
      </c>
      <c r="AC1644" s="166">
        <v>0</v>
      </c>
      <c r="AD1644" s="164">
        <f>($L1644*'Pivot Objective'!$C$9^5)*AB1644*AC1644</f>
        <v>0</v>
      </c>
      <c r="AE1644" s="166">
        <v>0</v>
      </c>
      <c r="AF1644" s="166">
        <v>0</v>
      </c>
      <c r="AG1644" s="164">
        <f>($L1644*'Pivot Objective'!$C$9^6)*AE1644*AF1644</f>
        <v>0</v>
      </c>
      <c r="AH1644" s="166">
        <v>0</v>
      </c>
      <c r="AI1644" s="166">
        <v>0</v>
      </c>
      <c r="AJ1644" s="164">
        <f>($L1644*'Pivot Objective'!$C$9^7)*AH1644*AI1644</f>
        <v>0</v>
      </c>
      <c r="AK1644" s="185">
        <f t="shared" si="188"/>
        <v>0</v>
      </c>
      <c r="AL1644" s="186">
        <f t="shared" si="189"/>
        <v>0</v>
      </c>
    </row>
    <row r="1645" spans="1:38" customFormat="1" ht="43.2" x14ac:dyDescent="0.3">
      <c r="A1645" s="140" t="s">
        <v>1485</v>
      </c>
      <c r="B1645" s="140">
        <v>3</v>
      </c>
      <c r="C1645" s="166" t="s">
        <v>696</v>
      </c>
      <c r="D1645" s="140" t="str">
        <f t="shared" si="184"/>
        <v>2</v>
      </c>
      <c r="E1645" s="166" t="s">
        <v>690</v>
      </c>
      <c r="F1645" s="140">
        <f t="shared" si="190"/>
        <v>6</v>
      </c>
      <c r="G1645" s="140" t="str">
        <f t="shared" si="185"/>
        <v>3.2.6</v>
      </c>
      <c r="H1645" s="168" t="s">
        <v>655</v>
      </c>
      <c r="I1645" s="166" t="s">
        <v>28</v>
      </c>
      <c r="J1645" s="166" t="s">
        <v>284</v>
      </c>
      <c r="K1645" s="166" t="s">
        <v>708</v>
      </c>
      <c r="L1645" s="166">
        <f>980*1022</f>
        <v>1001560</v>
      </c>
      <c r="M1645" s="166">
        <v>0</v>
      </c>
      <c r="N1645" s="166">
        <v>0</v>
      </c>
      <c r="O1645" s="164">
        <f t="shared" si="187"/>
        <v>0</v>
      </c>
      <c r="P1645" s="166">
        <v>0</v>
      </c>
      <c r="Q1645" s="166">
        <v>0</v>
      </c>
      <c r="R1645" s="164">
        <f>$L1645*'Pivot Objective'!$C$9*P1645*Q1645</f>
        <v>0</v>
      </c>
      <c r="S1645" s="166">
        <v>1</v>
      </c>
      <c r="T1645" s="166">
        <v>25</v>
      </c>
      <c r="U1645" s="164">
        <f>($L1645*'Pivot Objective'!$C$9^2)*S1645*T1645</f>
        <v>32707660.325916823</v>
      </c>
      <c r="V1645" s="166">
        <v>0</v>
      </c>
      <c r="W1645" s="166">
        <v>0</v>
      </c>
      <c r="X1645" s="164">
        <f>($L1645*'Pivot Objective'!$C$9^3)*V1645*W1645</f>
        <v>0</v>
      </c>
      <c r="Y1645" s="166">
        <v>0</v>
      </c>
      <c r="Z1645" s="166">
        <v>0</v>
      </c>
      <c r="AA1645" s="164">
        <f>($L1645*'Pivot Objective'!$C$9^4)*Y1645*Z1645</f>
        <v>0</v>
      </c>
      <c r="AB1645" s="166">
        <v>1</v>
      </c>
      <c r="AC1645" s="166">
        <v>25</v>
      </c>
      <c r="AD1645" s="164">
        <f>($L1645*'Pivot Objective'!$C$9^5)*AB1645*AC1645</f>
        <v>48831293.324979939</v>
      </c>
      <c r="AE1645" s="166">
        <v>0</v>
      </c>
      <c r="AF1645" s="166">
        <v>0</v>
      </c>
      <c r="AG1645" s="164">
        <f>($L1645*'Pivot Objective'!$C$9^6)*AE1645*AF1645</f>
        <v>0</v>
      </c>
      <c r="AH1645" s="166">
        <v>0</v>
      </c>
      <c r="AI1645" s="166">
        <v>0</v>
      </c>
      <c r="AJ1645" s="164">
        <f>($L1645*'Pivot Objective'!$C$9^7)*AH1645*AI1645</f>
        <v>0</v>
      </c>
      <c r="AK1645" s="185">
        <f t="shared" si="188"/>
        <v>81538953.650896758</v>
      </c>
      <c r="AL1645" s="186">
        <f t="shared" si="189"/>
        <v>79164.032670773551</v>
      </c>
    </row>
    <row r="1646" spans="1:38" customFormat="1" ht="43.2" x14ac:dyDescent="0.3">
      <c r="A1646" s="140" t="s">
        <v>1485</v>
      </c>
      <c r="B1646" s="140">
        <v>3</v>
      </c>
      <c r="C1646" s="166" t="s">
        <v>696</v>
      </c>
      <c r="D1646" s="140" t="str">
        <f t="shared" si="184"/>
        <v>2</v>
      </c>
      <c r="E1646" s="166" t="s">
        <v>690</v>
      </c>
      <c r="F1646" s="140">
        <f t="shared" si="190"/>
        <v>6</v>
      </c>
      <c r="G1646" s="140" t="str">
        <f t="shared" si="185"/>
        <v>3.2.6</v>
      </c>
      <c r="H1646" s="168" t="s">
        <v>655</v>
      </c>
      <c r="I1646" s="166" t="s">
        <v>28</v>
      </c>
      <c r="J1646" s="166" t="s">
        <v>284</v>
      </c>
      <c r="K1646" s="166" t="s">
        <v>707</v>
      </c>
      <c r="L1646" s="166">
        <v>391991.03749999998</v>
      </c>
      <c r="M1646" s="166">
        <v>0</v>
      </c>
      <c r="N1646" s="166">
        <v>0</v>
      </c>
      <c r="O1646" s="164">
        <f t="shared" si="187"/>
        <v>0</v>
      </c>
      <c r="P1646" s="166">
        <v>0</v>
      </c>
      <c r="Q1646" s="166">
        <v>0</v>
      </c>
      <c r="R1646" s="164">
        <f>$L1646*'Pivot Objective'!$C$9*P1646*Q1646</f>
        <v>0</v>
      </c>
      <c r="S1646" s="166">
        <v>2</v>
      </c>
      <c r="T1646" s="166">
        <v>2</v>
      </c>
      <c r="U1646" s="164">
        <f>($L1646*'Pivot Objective'!$C$9^2)*S1646*T1646</f>
        <v>2048182.3883307995</v>
      </c>
      <c r="V1646" s="166">
        <v>0</v>
      </c>
      <c r="W1646" s="166">
        <v>0</v>
      </c>
      <c r="X1646" s="164">
        <f>($L1646*'Pivot Objective'!$C$9^3)*V1646*W1646</f>
        <v>0</v>
      </c>
      <c r="Y1646" s="166">
        <v>0</v>
      </c>
      <c r="Z1646" s="166">
        <v>0</v>
      </c>
      <c r="AA1646" s="164">
        <f>($L1646*'Pivot Objective'!$C$9^4)*Y1646*Z1646</f>
        <v>0</v>
      </c>
      <c r="AB1646" s="166">
        <v>2</v>
      </c>
      <c r="AC1646" s="166">
        <v>2</v>
      </c>
      <c r="AD1646" s="164">
        <f>($L1646*'Pivot Objective'!$C$9^5)*AB1646*AC1646</f>
        <v>3057858.4341109009</v>
      </c>
      <c r="AE1646" s="166">
        <v>0</v>
      </c>
      <c r="AF1646" s="166">
        <v>0</v>
      </c>
      <c r="AG1646" s="164">
        <f>($L1646*'Pivot Objective'!$C$9^6)*AE1646*AF1646</f>
        <v>0</v>
      </c>
      <c r="AH1646" s="166">
        <v>0</v>
      </c>
      <c r="AI1646" s="166">
        <v>0</v>
      </c>
      <c r="AJ1646" s="164">
        <f>($L1646*'Pivot Objective'!$C$9^7)*AH1646*AI1646</f>
        <v>0</v>
      </c>
      <c r="AK1646" s="185">
        <f t="shared" si="188"/>
        <v>5106040.8224417008</v>
      </c>
      <c r="AL1646" s="186">
        <f t="shared" si="189"/>
        <v>4957.3211868366025</v>
      </c>
    </row>
    <row r="1647" spans="1:38" customFormat="1" ht="43.2" x14ac:dyDescent="0.3">
      <c r="A1647" s="140" t="s">
        <v>1485</v>
      </c>
      <c r="B1647" s="140">
        <v>3</v>
      </c>
      <c r="C1647" s="166" t="s">
        <v>696</v>
      </c>
      <c r="D1647" s="140" t="str">
        <f t="shared" si="184"/>
        <v>2</v>
      </c>
      <c r="E1647" s="166" t="s">
        <v>690</v>
      </c>
      <c r="F1647" s="140">
        <f t="shared" si="190"/>
        <v>6</v>
      </c>
      <c r="G1647" s="140" t="str">
        <f t="shared" si="185"/>
        <v>3.2.6</v>
      </c>
      <c r="H1647" s="168" t="s">
        <v>655</v>
      </c>
      <c r="I1647" s="166" t="s">
        <v>28</v>
      </c>
      <c r="J1647" s="166" t="s">
        <v>285</v>
      </c>
      <c r="K1647" s="166" t="s">
        <v>716</v>
      </c>
      <c r="L1647" s="166">
        <v>39000</v>
      </c>
      <c r="M1647" s="166">
        <v>0</v>
      </c>
      <c r="N1647" s="166">
        <v>0</v>
      </c>
      <c r="O1647" s="164">
        <f t="shared" si="187"/>
        <v>0</v>
      </c>
      <c r="P1647" s="166">
        <v>0</v>
      </c>
      <c r="Q1647" s="166">
        <v>0</v>
      </c>
      <c r="R1647" s="164">
        <f>$L1647*'Pivot Objective'!$C$9*P1647*Q1647</f>
        <v>0</v>
      </c>
      <c r="S1647" s="166">
        <v>30</v>
      </c>
      <c r="T1647" s="166">
        <v>4</v>
      </c>
      <c r="U1647" s="164">
        <f>($L1647*'Pivot Objective'!$C$9^2)*S1647*T1647</f>
        <v>6113337.2069687573</v>
      </c>
      <c r="V1647" s="166">
        <v>0</v>
      </c>
      <c r="W1647" s="166">
        <v>0</v>
      </c>
      <c r="X1647" s="164">
        <f>($L1647*'Pivot Objective'!$C$9^3)*V1647*W1647</f>
        <v>0</v>
      </c>
      <c r="Y1647" s="166">
        <v>0</v>
      </c>
      <c r="Z1647" s="166">
        <v>0</v>
      </c>
      <c r="AA1647" s="164">
        <f>($L1647*'Pivot Objective'!$C$9^4)*Y1647*Z1647</f>
        <v>0</v>
      </c>
      <c r="AB1647" s="166">
        <v>30</v>
      </c>
      <c r="AC1647" s="166">
        <v>4</v>
      </c>
      <c r="AD1647" s="164">
        <f>($L1647*'Pivot Objective'!$C$9^5)*AB1647*AC1647</f>
        <v>9126980.0216025449</v>
      </c>
      <c r="AE1647" s="166">
        <v>0</v>
      </c>
      <c r="AF1647" s="166">
        <v>0</v>
      </c>
      <c r="AG1647" s="164">
        <f>($L1647*'Pivot Objective'!$C$9^6)*AE1647*AF1647</f>
        <v>0</v>
      </c>
      <c r="AH1647" s="166">
        <v>0</v>
      </c>
      <c r="AI1647" s="166">
        <v>0</v>
      </c>
      <c r="AJ1647" s="164">
        <f>($L1647*'Pivot Objective'!$C$9^7)*AH1647*AI1647</f>
        <v>0</v>
      </c>
      <c r="AK1647" s="185">
        <f t="shared" si="188"/>
        <v>15240317.228571303</v>
      </c>
      <c r="AL1647" s="186">
        <f t="shared" si="189"/>
        <v>14796.424493758546</v>
      </c>
    </row>
    <row r="1648" spans="1:38" customFormat="1" ht="43.2" x14ac:dyDescent="0.3">
      <c r="A1648" s="140" t="s">
        <v>1485</v>
      </c>
      <c r="B1648" s="140">
        <v>3</v>
      </c>
      <c r="C1648" s="166" t="s">
        <v>696</v>
      </c>
      <c r="D1648" s="140" t="str">
        <f t="shared" si="184"/>
        <v>2</v>
      </c>
      <c r="E1648" s="166" t="s">
        <v>690</v>
      </c>
      <c r="F1648" s="140">
        <f t="shared" si="190"/>
        <v>6</v>
      </c>
      <c r="G1648" s="140" t="str">
        <f t="shared" si="185"/>
        <v>3.2.6</v>
      </c>
      <c r="H1648" s="168" t="s">
        <v>655</v>
      </c>
      <c r="I1648" s="166" t="s">
        <v>28</v>
      </c>
      <c r="J1648" s="166" t="s">
        <v>285</v>
      </c>
      <c r="K1648" s="166" t="s">
        <v>712</v>
      </c>
      <c r="L1648" s="166">
        <f>1480/7</f>
        <v>211.42857142857142</v>
      </c>
      <c r="M1648" s="166">
        <v>0</v>
      </c>
      <c r="N1648" s="166">
        <v>0</v>
      </c>
      <c r="O1648" s="164">
        <f t="shared" si="187"/>
        <v>0</v>
      </c>
      <c r="P1648" s="166">
        <v>0</v>
      </c>
      <c r="Q1648" s="166">
        <v>0</v>
      </c>
      <c r="R1648" s="164">
        <f>$L1648*'Pivot Objective'!$C$9*P1648*Q1648</f>
        <v>0</v>
      </c>
      <c r="S1648" s="166">
        <f>2*25*9</f>
        <v>450</v>
      </c>
      <c r="T1648" s="166">
        <v>3</v>
      </c>
      <c r="U1648" s="164">
        <f>($L1648*'Pivot Objective'!$C$9^2)*S1648*T1648</f>
        <v>372846.39009534731</v>
      </c>
      <c r="V1648" s="166">
        <v>0</v>
      </c>
      <c r="W1648" s="166">
        <v>0</v>
      </c>
      <c r="X1648" s="164">
        <f>($L1648*'Pivot Objective'!$C$9^3)*V1648*W1648</f>
        <v>0</v>
      </c>
      <c r="Y1648" s="166">
        <v>0</v>
      </c>
      <c r="Z1648" s="166">
        <v>0</v>
      </c>
      <c r="AA1648" s="164">
        <f>($L1648*'Pivot Objective'!$C$9^4)*Y1648*Z1648</f>
        <v>0</v>
      </c>
      <c r="AB1648" s="166">
        <f>2*25*9</f>
        <v>450</v>
      </c>
      <c r="AC1648" s="166">
        <v>3</v>
      </c>
      <c r="AD1648" s="164">
        <f>($L1648*'Pivot Objective'!$C$9^5)*AB1648*AC1648</f>
        <v>556645.4848340014</v>
      </c>
      <c r="AE1648" s="166">
        <v>0</v>
      </c>
      <c r="AF1648" s="166">
        <v>0</v>
      </c>
      <c r="AG1648" s="164">
        <f>($L1648*'Pivot Objective'!$C$9^6)*AE1648*AF1648</f>
        <v>0</v>
      </c>
      <c r="AH1648" s="166">
        <v>0</v>
      </c>
      <c r="AI1648" s="166">
        <v>0</v>
      </c>
      <c r="AJ1648" s="164">
        <f>($L1648*'Pivot Objective'!$C$9^7)*AH1648*AI1648</f>
        <v>0</v>
      </c>
      <c r="AK1648" s="185">
        <f t="shared" si="188"/>
        <v>929491.87492934871</v>
      </c>
      <c r="AL1648" s="186">
        <f t="shared" si="189"/>
        <v>902.41929604791142</v>
      </c>
    </row>
    <row r="1649" spans="1:38" customFormat="1" ht="43.2" x14ac:dyDescent="0.3">
      <c r="A1649" s="140" t="s">
        <v>1485</v>
      </c>
      <c r="B1649" s="140">
        <v>3</v>
      </c>
      <c r="C1649" s="166" t="s">
        <v>696</v>
      </c>
      <c r="D1649" s="140" t="str">
        <f t="shared" si="184"/>
        <v>2</v>
      </c>
      <c r="E1649" s="166" t="s">
        <v>690</v>
      </c>
      <c r="F1649" s="140">
        <f t="shared" si="190"/>
        <v>6</v>
      </c>
      <c r="G1649" s="140" t="str">
        <f t="shared" si="185"/>
        <v>3.2.6</v>
      </c>
      <c r="H1649" s="168" t="s">
        <v>655</v>
      </c>
      <c r="I1649" s="166" t="s">
        <v>28</v>
      </c>
      <c r="J1649" s="166" t="s">
        <v>285</v>
      </c>
      <c r="K1649" s="166" t="s">
        <v>1336</v>
      </c>
      <c r="L1649" s="166">
        <f>1480/7</f>
        <v>211.42857142857142</v>
      </c>
      <c r="M1649" s="166">
        <v>0</v>
      </c>
      <c r="N1649" s="166">
        <v>0</v>
      </c>
      <c r="O1649" s="164">
        <f t="shared" si="187"/>
        <v>0</v>
      </c>
      <c r="P1649" s="166">
        <v>0</v>
      </c>
      <c r="Q1649" s="166">
        <v>0</v>
      </c>
      <c r="R1649" s="164">
        <f>$L1649*'Pivot Objective'!$C$9*P1649*Q1649</f>
        <v>0</v>
      </c>
      <c r="S1649" s="166">
        <f>2*135*9</f>
        <v>2430</v>
      </c>
      <c r="T1649" s="166">
        <v>1</v>
      </c>
      <c r="U1649" s="164">
        <f>($L1649*'Pivot Objective'!$C$9^2)*S1649*T1649</f>
        <v>671123.50217162515</v>
      </c>
      <c r="V1649" s="166"/>
      <c r="W1649" s="166"/>
      <c r="X1649" s="164">
        <f>($L1649*'Pivot Objective'!$C$9^3)*V1649*W1649</f>
        <v>0</v>
      </c>
      <c r="Y1649" s="166"/>
      <c r="Z1649" s="166"/>
      <c r="AA1649" s="164">
        <f>($L1649*'Pivot Objective'!$C$9^4)*Y1649*Z1649</f>
        <v>0</v>
      </c>
      <c r="AB1649" s="166">
        <f>2*135*9</f>
        <v>2430</v>
      </c>
      <c r="AC1649" s="166">
        <v>1</v>
      </c>
      <c r="AD1649" s="164">
        <f>($L1649*'Pivot Objective'!$C$9^5)*AB1649*AC1649</f>
        <v>1001961.8727012025</v>
      </c>
      <c r="AE1649" s="166"/>
      <c r="AF1649" s="166"/>
      <c r="AG1649" s="164">
        <f>($L1649*'Pivot Objective'!$C$9^6)*AE1649*AF1649</f>
        <v>0</v>
      </c>
      <c r="AH1649" s="166"/>
      <c r="AI1649" s="166"/>
      <c r="AJ1649" s="164">
        <f>($L1649*'Pivot Objective'!$C$9^7)*AH1649*AI1649</f>
        <v>0</v>
      </c>
      <c r="AK1649" s="185">
        <f t="shared" si="188"/>
        <v>1673085.3748728277</v>
      </c>
      <c r="AL1649" s="186">
        <f t="shared" si="189"/>
        <v>1624.3547328862405</v>
      </c>
    </row>
    <row r="1650" spans="1:38" customFormat="1" ht="43.2" x14ac:dyDescent="0.3">
      <c r="A1650" s="140" t="s">
        <v>1485</v>
      </c>
      <c r="B1650" s="140">
        <v>3</v>
      </c>
      <c r="C1650" s="166" t="s">
        <v>696</v>
      </c>
      <c r="D1650" s="140" t="str">
        <f t="shared" ref="D1650:D1713" si="191">RIGHT(A1650,1)</f>
        <v>2</v>
      </c>
      <c r="E1650" s="166" t="s">
        <v>690</v>
      </c>
      <c r="F1650" s="140">
        <f t="shared" si="190"/>
        <v>6</v>
      </c>
      <c r="G1650" s="140" t="str">
        <f t="shared" si="185"/>
        <v>3.2.6</v>
      </c>
      <c r="H1650" s="168" t="s">
        <v>655</v>
      </c>
      <c r="I1650" s="166" t="s">
        <v>28</v>
      </c>
      <c r="J1650" s="166" t="s">
        <v>285</v>
      </c>
      <c r="K1650" s="166" t="s">
        <v>709</v>
      </c>
      <c r="L1650" s="166">
        <v>35000</v>
      </c>
      <c r="M1650" s="166">
        <v>0</v>
      </c>
      <c r="N1650" s="166">
        <v>0</v>
      </c>
      <c r="O1650" s="164">
        <f t="shared" si="187"/>
        <v>0</v>
      </c>
      <c r="P1650" s="166">
        <v>0</v>
      </c>
      <c r="Q1650" s="166">
        <v>0</v>
      </c>
      <c r="R1650" s="164">
        <f>$L1650*'Pivot Objective'!$C$9*P1650*Q1650</f>
        <v>0</v>
      </c>
      <c r="S1650" s="166">
        <v>30</v>
      </c>
      <c r="T1650" s="166">
        <v>3</v>
      </c>
      <c r="U1650" s="164">
        <f>($L1650*'Pivot Objective'!$C$9^2)*S1650*T1650</f>
        <v>4114746.1969982013</v>
      </c>
      <c r="V1650" s="166">
        <v>0</v>
      </c>
      <c r="W1650" s="166">
        <v>0</v>
      </c>
      <c r="X1650" s="164">
        <f>($L1650*'Pivot Objective'!$C$9^3)*V1650*W1650</f>
        <v>0</v>
      </c>
      <c r="Y1650" s="166">
        <v>0</v>
      </c>
      <c r="Z1650" s="166">
        <v>0</v>
      </c>
      <c r="AA1650" s="164">
        <f>($L1650*'Pivot Objective'!$C$9^4)*Y1650*Z1650</f>
        <v>0</v>
      </c>
      <c r="AB1650" s="166">
        <v>30</v>
      </c>
      <c r="AC1650" s="166">
        <v>3</v>
      </c>
      <c r="AD1650" s="164">
        <f>($L1650*'Pivot Objective'!$C$9^5)*AB1650*AC1650</f>
        <v>6143159.6299247891</v>
      </c>
      <c r="AE1650" s="166">
        <v>0</v>
      </c>
      <c r="AF1650" s="166">
        <v>0</v>
      </c>
      <c r="AG1650" s="164">
        <f>($L1650*'Pivot Objective'!$C$9^6)*AE1650*AF1650</f>
        <v>0</v>
      </c>
      <c r="AH1650" s="166">
        <v>0</v>
      </c>
      <c r="AI1650" s="166">
        <v>0</v>
      </c>
      <c r="AJ1650" s="164">
        <f>($L1650*'Pivot Objective'!$C$9^7)*AH1650*AI1650</f>
        <v>0</v>
      </c>
      <c r="AK1650" s="185">
        <f t="shared" si="188"/>
        <v>10257905.82692299</v>
      </c>
      <c r="AL1650" s="186">
        <f t="shared" si="189"/>
        <v>9959.1318707990195</v>
      </c>
    </row>
    <row r="1651" spans="1:38" customFormat="1" ht="43.2" x14ac:dyDescent="0.3">
      <c r="A1651" s="140" t="s">
        <v>1485</v>
      </c>
      <c r="B1651" s="140">
        <v>3</v>
      </c>
      <c r="C1651" s="166" t="s">
        <v>696</v>
      </c>
      <c r="D1651" s="140" t="str">
        <f t="shared" si="191"/>
        <v>2</v>
      </c>
      <c r="E1651" s="166" t="s">
        <v>690</v>
      </c>
      <c r="F1651" s="140">
        <f t="shared" si="190"/>
        <v>6</v>
      </c>
      <c r="G1651" s="140" t="str">
        <f t="shared" ref="G1651:G1714" si="192">B1651&amp;"."&amp;D1651&amp;"."&amp;F1651</f>
        <v>3.2.6</v>
      </c>
      <c r="H1651" s="168" t="s">
        <v>655</v>
      </c>
      <c r="I1651" s="166" t="s">
        <v>28</v>
      </c>
      <c r="J1651" s="166" t="s">
        <v>286</v>
      </c>
      <c r="K1651" s="166" t="s">
        <v>709</v>
      </c>
      <c r="L1651" s="166">
        <v>35000</v>
      </c>
      <c r="M1651" s="166">
        <v>0</v>
      </c>
      <c r="N1651" s="166">
        <v>0</v>
      </c>
      <c r="O1651" s="164">
        <f t="shared" si="187"/>
        <v>0</v>
      </c>
      <c r="P1651" s="166">
        <v>0</v>
      </c>
      <c r="Q1651" s="166">
        <v>0</v>
      </c>
      <c r="R1651" s="164">
        <f>$L1651*'Pivot Objective'!$C$9*P1651*Q1651</f>
        <v>0</v>
      </c>
      <c r="S1651" s="166">
        <v>40</v>
      </c>
      <c r="T1651" s="166">
        <v>3</v>
      </c>
      <c r="U1651" s="164">
        <f>($L1651*'Pivot Objective'!$C$9^2)*S1651*T1651</f>
        <v>5486328.2626642687</v>
      </c>
      <c r="V1651" s="166">
        <v>0</v>
      </c>
      <c r="W1651" s="166">
        <v>0</v>
      </c>
      <c r="X1651" s="164">
        <f>($L1651*'Pivot Objective'!$C$9^3)*V1651*W1651</f>
        <v>0</v>
      </c>
      <c r="Y1651" s="166">
        <v>0</v>
      </c>
      <c r="Z1651" s="166">
        <v>0</v>
      </c>
      <c r="AA1651" s="164">
        <f>($L1651*'Pivot Objective'!$C$9^4)*Y1651*Z1651</f>
        <v>0</v>
      </c>
      <c r="AB1651" s="166">
        <v>40</v>
      </c>
      <c r="AC1651" s="166">
        <v>3</v>
      </c>
      <c r="AD1651" s="164">
        <f>($L1651*'Pivot Objective'!$C$9^5)*AB1651*AC1651</f>
        <v>8190879.5065663867</v>
      </c>
      <c r="AE1651" s="166">
        <v>0</v>
      </c>
      <c r="AF1651" s="166">
        <v>0</v>
      </c>
      <c r="AG1651" s="164">
        <f>($L1651*'Pivot Objective'!$C$9^6)*AE1651*AF1651</f>
        <v>0</v>
      </c>
      <c r="AH1651" s="166">
        <v>0</v>
      </c>
      <c r="AI1651" s="166">
        <v>0</v>
      </c>
      <c r="AJ1651" s="164">
        <f>($L1651*'Pivot Objective'!$C$9^7)*AH1651*AI1651</f>
        <v>0</v>
      </c>
      <c r="AK1651" s="185">
        <f t="shared" si="188"/>
        <v>13677207.769230656</v>
      </c>
      <c r="AL1651" s="186">
        <f t="shared" si="189"/>
        <v>13278.842494398696</v>
      </c>
    </row>
    <row r="1652" spans="1:38" customFormat="1" ht="43.2" x14ac:dyDescent="0.3">
      <c r="A1652" s="140" t="s">
        <v>1485</v>
      </c>
      <c r="B1652" s="140">
        <v>3</v>
      </c>
      <c r="C1652" s="166" t="s">
        <v>696</v>
      </c>
      <c r="D1652" s="140" t="str">
        <f t="shared" si="191"/>
        <v>2</v>
      </c>
      <c r="E1652" s="166" t="s">
        <v>690</v>
      </c>
      <c r="F1652" s="140">
        <f t="shared" si="190"/>
        <v>6</v>
      </c>
      <c r="G1652" s="140" t="str">
        <f t="shared" si="192"/>
        <v>3.2.6</v>
      </c>
      <c r="H1652" s="168" t="s">
        <v>655</v>
      </c>
      <c r="I1652" s="166" t="s">
        <v>28</v>
      </c>
      <c r="J1652" s="166" t="s">
        <v>286</v>
      </c>
      <c r="K1652" s="166" t="s">
        <v>716</v>
      </c>
      <c r="L1652" s="166">
        <v>26000</v>
      </c>
      <c r="M1652" s="166">
        <v>0</v>
      </c>
      <c r="N1652" s="166">
        <v>0</v>
      </c>
      <c r="O1652" s="164">
        <f t="shared" si="187"/>
        <v>0</v>
      </c>
      <c r="P1652" s="166">
        <v>0</v>
      </c>
      <c r="Q1652" s="166">
        <v>0</v>
      </c>
      <c r="R1652" s="164">
        <f>$L1652*'Pivot Objective'!$C$9*P1652*Q1652</f>
        <v>0</v>
      </c>
      <c r="S1652" s="166">
        <v>0</v>
      </c>
      <c r="T1652" s="166">
        <v>4</v>
      </c>
      <c r="U1652" s="164">
        <f>($L1652*'Pivot Objective'!$C$9^2)*S1652*T1652</f>
        <v>0</v>
      </c>
      <c r="V1652" s="166">
        <v>0</v>
      </c>
      <c r="W1652" s="166">
        <v>0</v>
      </c>
      <c r="X1652" s="164">
        <f>($L1652*'Pivot Objective'!$C$9^3)*V1652*W1652</f>
        <v>0</v>
      </c>
      <c r="Y1652" s="166">
        <v>0</v>
      </c>
      <c r="Z1652" s="166">
        <v>0</v>
      </c>
      <c r="AA1652" s="164">
        <f>($L1652*'Pivot Objective'!$C$9^4)*Y1652*Z1652</f>
        <v>0</v>
      </c>
      <c r="AB1652" s="166">
        <v>0</v>
      </c>
      <c r="AC1652" s="166">
        <v>4</v>
      </c>
      <c r="AD1652" s="164">
        <f>($L1652*'Pivot Objective'!$C$9^5)*AB1652*AC1652</f>
        <v>0</v>
      </c>
      <c r="AE1652" s="166">
        <v>0</v>
      </c>
      <c r="AF1652" s="166">
        <v>0</v>
      </c>
      <c r="AG1652" s="164">
        <f>($L1652*'Pivot Objective'!$C$9^6)*AE1652*AF1652</f>
        <v>0</v>
      </c>
      <c r="AH1652" s="166">
        <v>0</v>
      </c>
      <c r="AI1652" s="166">
        <v>0</v>
      </c>
      <c r="AJ1652" s="164">
        <f>($L1652*'Pivot Objective'!$C$9^7)*AH1652*AI1652</f>
        <v>0</v>
      </c>
      <c r="AK1652" s="185">
        <f t="shared" si="188"/>
        <v>0</v>
      </c>
      <c r="AL1652" s="186">
        <f t="shared" si="189"/>
        <v>0</v>
      </c>
    </row>
    <row r="1653" spans="1:38" customFormat="1" ht="43.2" x14ac:dyDescent="0.3">
      <c r="A1653" s="140" t="s">
        <v>1485</v>
      </c>
      <c r="B1653" s="140">
        <v>3</v>
      </c>
      <c r="C1653" s="166" t="s">
        <v>696</v>
      </c>
      <c r="D1653" s="140" t="str">
        <f t="shared" si="191"/>
        <v>2</v>
      </c>
      <c r="E1653" s="166" t="s">
        <v>690</v>
      </c>
      <c r="F1653" s="140">
        <f t="shared" si="190"/>
        <v>6</v>
      </c>
      <c r="G1653" s="140" t="str">
        <f t="shared" si="192"/>
        <v>3.2.6</v>
      </c>
      <c r="H1653" s="168" t="s">
        <v>655</v>
      </c>
      <c r="I1653" s="166" t="s">
        <v>28</v>
      </c>
      <c r="J1653" s="166" t="s">
        <v>286</v>
      </c>
      <c r="K1653" s="166" t="s">
        <v>712</v>
      </c>
      <c r="L1653" s="166">
        <f>1480/7</f>
        <v>211.42857142857142</v>
      </c>
      <c r="M1653" s="166">
        <v>0</v>
      </c>
      <c r="N1653" s="166">
        <v>0</v>
      </c>
      <c r="O1653" s="164">
        <f t="shared" si="187"/>
        <v>0</v>
      </c>
      <c r="P1653" s="166">
        <v>0</v>
      </c>
      <c r="Q1653" s="166">
        <v>0</v>
      </c>
      <c r="R1653" s="164">
        <f>$L1653*'Pivot Objective'!$C$9*P1653*Q1653</f>
        <v>0</v>
      </c>
      <c r="S1653" s="166">
        <v>0</v>
      </c>
      <c r="T1653" s="166">
        <v>3</v>
      </c>
      <c r="U1653" s="164">
        <f>($L1653*'Pivot Objective'!$C$9^2)*S1653*T1653</f>
        <v>0</v>
      </c>
      <c r="V1653" s="166">
        <v>0</v>
      </c>
      <c r="W1653" s="166">
        <v>0</v>
      </c>
      <c r="X1653" s="164">
        <f>($L1653*'Pivot Objective'!$C$9^3)*V1653*W1653</f>
        <v>0</v>
      </c>
      <c r="Y1653" s="166">
        <v>0</v>
      </c>
      <c r="Z1653" s="166">
        <v>0</v>
      </c>
      <c r="AA1653" s="164">
        <f>($L1653*'Pivot Objective'!$C$9^4)*Y1653*Z1653</f>
        <v>0</v>
      </c>
      <c r="AB1653" s="166">
        <v>0</v>
      </c>
      <c r="AC1653" s="166">
        <v>3</v>
      </c>
      <c r="AD1653" s="164">
        <f>($L1653*'Pivot Objective'!$C$9^5)*AB1653*AC1653</f>
        <v>0</v>
      </c>
      <c r="AE1653" s="166">
        <v>0</v>
      </c>
      <c r="AF1653" s="166">
        <v>0</v>
      </c>
      <c r="AG1653" s="164">
        <f>($L1653*'Pivot Objective'!$C$9^6)*AE1653*AF1653</f>
        <v>0</v>
      </c>
      <c r="AH1653" s="166">
        <v>0</v>
      </c>
      <c r="AI1653" s="166">
        <v>0</v>
      </c>
      <c r="AJ1653" s="164">
        <f>($L1653*'Pivot Objective'!$C$9^7)*AH1653*AI1653</f>
        <v>0</v>
      </c>
      <c r="AK1653" s="185">
        <f t="shared" si="188"/>
        <v>0</v>
      </c>
      <c r="AL1653" s="186">
        <f t="shared" si="189"/>
        <v>0</v>
      </c>
    </row>
    <row r="1654" spans="1:38" customFormat="1" ht="43.2" x14ac:dyDescent="0.3">
      <c r="A1654" s="140" t="s">
        <v>1485</v>
      </c>
      <c r="B1654" s="140">
        <v>3</v>
      </c>
      <c r="C1654" s="166" t="s">
        <v>696</v>
      </c>
      <c r="D1654" s="140" t="str">
        <f t="shared" si="191"/>
        <v>2</v>
      </c>
      <c r="E1654" s="166" t="s">
        <v>690</v>
      </c>
      <c r="F1654" s="140">
        <f t="shared" si="190"/>
        <v>6</v>
      </c>
      <c r="G1654" s="140" t="str">
        <f t="shared" si="192"/>
        <v>3.2.6</v>
      </c>
      <c r="H1654" s="168" t="s">
        <v>655</v>
      </c>
      <c r="I1654" s="166" t="s">
        <v>30</v>
      </c>
      <c r="J1654" s="166" t="s">
        <v>287</v>
      </c>
      <c r="K1654" s="166" t="s">
        <v>718</v>
      </c>
      <c r="L1654" s="166">
        <v>0</v>
      </c>
      <c r="M1654" s="166">
        <v>0</v>
      </c>
      <c r="N1654" s="166">
        <v>0</v>
      </c>
      <c r="O1654" s="164">
        <f t="shared" si="187"/>
        <v>0</v>
      </c>
      <c r="P1654" s="166">
        <v>0</v>
      </c>
      <c r="Q1654" s="166">
        <v>0</v>
      </c>
      <c r="R1654" s="164">
        <f>$L1654*'Pivot Objective'!$C$9*P1654*Q1654</f>
        <v>0</v>
      </c>
      <c r="S1654" s="166">
        <v>0</v>
      </c>
      <c r="T1654" s="166">
        <v>0</v>
      </c>
      <c r="U1654" s="164">
        <f>($L1654*'Pivot Objective'!$C$9^2)*S1654*T1654</f>
        <v>0</v>
      </c>
      <c r="V1654" s="166">
        <v>0</v>
      </c>
      <c r="W1654" s="166">
        <v>0</v>
      </c>
      <c r="X1654" s="164">
        <f>($L1654*'Pivot Objective'!$C$9^3)*V1654*W1654</f>
        <v>0</v>
      </c>
      <c r="Y1654" s="166">
        <v>0</v>
      </c>
      <c r="Z1654" s="166">
        <v>0</v>
      </c>
      <c r="AA1654" s="164">
        <f>($L1654*'Pivot Objective'!$C$9^4)*Y1654*Z1654</f>
        <v>0</v>
      </c>
      <c r="AB1654" s="166">
        <v>0</v>
      </c>
      <c r="AC1654" s="166">
        <v>0</v>
      </c>
      <c r="AD1654" s="164">
        <f>($L1654*'Pivot Objective'!$C$9^5)*AB1654*AC1654</f>
        <v>0</v>
      </c>
      <c r="AE1654" s="166">
        <v>0</v>
      </c>
      <c r="AF1654" s="166">
        <v>0</v>
      </c>
      <c r="AG1654" s="164">
        <f>($L1654*'Pivot Objective'!$C$9^6)*AE1654*AF1654</f>
        <v>0</v>
      </c>
      <c r="AH1654" s="166">
        <v>0</v>
      </c>
      <c r="AI1654" s="166">
        <v>0</v>
      </c>
      <c r="AJ1654" s="164">
        <f>($L1654*'Pivot Objective'!$C$9^7)*AH1654*AI1654</f>
        <v>0</v>
      </c>
      <c r="AK1654" s="185">
        <f t="shared" si="188"/>
        <v>0</v>
      </c>
      <c r="AL1654" s="186">
        <f t="shared" si="189"/>
        <v>0</v>
      </c>
    </row>
    <row r="1655" spans="1:38" customFormat="1" ht="43.2" x14ac:dyDescent="0.3">
      <c r="A1655" s="140" t="s">
        <v>1485</v>
      </c>
      <c r="B1655" s="140">
        <v>3</v>
      </c>
      <c r="C1655" s="166" t="s">
        <v>696</v>
      </c>
      <c r="D1655" s="140" t="str">
        <f t="shared" si="191"/>
        <v>2</v>
      </c>
      <c r="E1655" s="166" t="s">
        <v>690</v>
      </c>
      <c r="F1655" s="140">
        <f t="shared" si="190"/>
        <v>6</v>
      </c>
      <c r="G1655" s="140" t="str">
        <f t="shared" si="192"/>
        <v>3.2.6</v>
      </c>
      <c r="H1655" s="168" t="s">
        <v>655</v>
      </c>
      <c r="I1655" s="166" t="s">
        <v>30</v>
      </c>
      <c r="J1655" s="166" t="s">
        <v>288</v>
      </c>
      <c r="K1655" s="166" t="s">
        <v>718</v>
      </c>
      <c r="L1655" s="166">
        <v>0</v>
      </c>
      <c r="M1655" s="166">
        <v>0</v>
      </c>
      <c r="N1655" s="166">
        <v>0</v>
      </c>
      <c r="O1655" s="164">
        <f t="shared" si="187"/>
        <v>0</v>
      </c>
      <c r="P1655" s="166">
        <v>0</v>
      </c>
      <c r="Q1655" s="166">
        <v>0</v>
      </c>
      <c r="R1655" s="164">
        <f>$L1655*'Pivot Objective'!$C$9*P1655*Q1655</f>
        <v>0</v>
      </c>
      <c r="S1655" s="166">
        <v>0</v>
      </c>
      <c r="T1655" s="166">
        <v>0</v>
      </c>
      <c r="U1655" s="164">
        <f>($L1655*'Pivot Objective'!$C$9^2)*S1655*T1655</f>
        <v>0</v>
      </c>
      <c r="V1655" s="166">
        <v>0</v>
      </c>
      <c r="W1655" s="166">
        <v>0</v>
      </c>
      <c r="X1655" s="164">
        <f>($L1655*'Pivot Objective'!$C$9^3)*V1655*W1655</f>
        <v>0</v>
      </c>
      <c r="Y1655" s="166">
        <v>0</v>
      </c>
      <c r="Z1655" s="166">
        <v>0</v>
      </c>
      <c r="AA1655" s="164">
        <f>($L1655*'Pivot Objective'!$C$9^4)*Y1655*Z1655</f>
        <v>0</v>
      </c>
      <c r="AB1655" s="166">
        <v>0</v>
      </c>
      <c r="AC1655" s="166">
        <v>0</v>
      </c>
      <c r="AD1655" s="164">
        <f>($L1655*'Pivot Objective'!$C$9^5)*AB1655*AC1655</f>
        <v>0</v>
      </c>
      <c r="AE1655" s="166">
        <v>0</v>
      </c>
      <c r="AF1655" s="166">
        <v>0</v>
      </c>
      <c r="AG1655" s="164">
        <f>($L1655*'Pivot Objective'!$C$9^6)*AE1655*AF1655</f>
        <v>0</v>
      </c>
      <c r="AH1655" s="166">
        <v>0</v>
      </c>
      <c r="AI1655" s="166">
        <v>0</v>
      </c>
      <c r="AJ1655" s="164">
        <f>($L1655*'Pivot Objective'!$C$9^7)*AH1655*AI1655</f>
        <v>0</v>
      </c>
      <c r="AK1655" s="185">
        <f t="shared" si="188"/>
        <v>0</v>
      </c>
      <c r="AL1655" s="186">
        <f t="shared" si="189"/>
        <v>0</v>
      </c>
    </row>
    <row r="1656" spans="1:38" customFormat="1" ht="57.6" x14ac:dyDescent="0.3">
      <c r="A1656" s="140" t="s">
        <v>1485</v>
      </c>
      <c r="B1656" s="140">
        <v>3</v>
      </c>
      <c r="C1656" s="166" t="s">
        <v>696</v>
      </c>
      <c r="D1656" s="140" t="str">
        <f t="shared" si="191"/>
        <v>2</v>
      </c>
      <c r="E1656" s="166" t="s">
        <v>690</v>
      </c>
      <c r="F1656" s="140">
        <f t="shared" si="190"/>
        <v>6</v>
      </c>
      <c r="G1656" s="140" t="str">
        <f t="shared" si="192"/>
        <v>3.2.6</v>
      </c>
      <c r="H1656" s="168" t="s">
        <v>655</v>
      </c>
      <c r="I1656" s="166" t="s">
        <v>30</v>
      </c>
      <c r="J1656" s="166" t="s">
        <v>289</v>
      </c>
      <c r="K1656" s="166" t="s">
        <v>709</v>
      </c>
      <c r="L1656" s="166">
        <v>35000</v>
      </c>
      <c r="M1656" s="166"/>
      <c r="N1656" s="166"/>
      <c r="O1656" s="164">
        <f t="shared" si="187"/>
        <v>0</v>
      </c>
      <c r="P1656" s="166">
        <v>0</v>
      </c>
      <c r="Q1656" s="166">
        <v>0</v>
      </c>
      <c r="R1656" s="164">
        <f>$L1656*'Pivot Objective'!$C$9*P1656*Q1656</f>
        <v>0</v>
      </c>
      <c r="S1656" s="166">
        <f>1000*5</f>
        <v>5000</v>
      </c>
      <c r="T1656" s="166">
        <v>2</v>
      </c>
      <c r="U1656" s="164">
        <f>($L1656*'Pivot Objective'!$C$9^2)*S1656*T1656</f>
        <v>457194021.8886891</v>
      </c>
      <c r="V1656" s="166">
        <v>0</v>
      </c>
      <c r="W1656" s="166">
        <v>0</v>
      </c>
      <c r="X1656" s="164">
        <f>($L1656*'Pivot Objective'!$C$9^3)*V1656*W1656</f>
        <v>0</v>
      </c>
      <c r="Y1656" s="166">
        <v>0</v>
      </c>
      <c r="Z1656" s="166">
        <v>0</v>
      </c>
      <c r="AA1656" s="164">
        <f>($L1656*'Pivot Objective'!$C$9^4)*Y1656*Z1656</f>
        <v>0</v>
      </c>
      <c r="AB1656" s="166">
        <v>0</v>
      </c>
      <c r="AC1656" s="166">
        <v>0</v>
      </c>
      <c r="AD1656" s="164">
        <f>($L1656*'Pivot Objective'!$C$9^5)*AB1656*AC1656</f>
        <v>0</v>
      </c>
      <c r="AE1656" s="166">
        <v>0</v>
      </c>
      <c r="AF1656" s="166">
        <v>0</v>
      </c>
      <c r="AG1656" s="164">
        <f>($L1656*'Pivot Objective'!$C$9^6)*AE1656*AF1656</f>
        <v>0</v>
      </c>
      <c r="AH1656" s="166">
        <f>1000*5</f>
        <v>5000</v>
      </c>
      <c r="AI1656" s="166">
        <v>2</v>
      </c>
      <c r="AJ1656" s="164">
        <f>($L1656*'Pivot Objective'!$C$9^7)*AH1656*AI1656</f>
        <v>891624082.00303054</v>
      </c>
      <c r="AK1656" s="185">
        <f t="shared" si="188"/>
        <v>1348818103.8917196</v>
      </c>
      <c r="AL1656" s="186">
        <f t="shared" si="189"/>
        <v>1309532.1397006987</v>
      </c>
    </row>
    <row r="1657" spans="1:38" customFormat="1" ht="57.6" x14ac:dyDescent="0.3">
      <c r="A1657" s="140" t="s">
        <v>1485</v>
      </c>
      <c r="B1657" s="140">
        <v>3</v>
      </c>
      <c r="C1657" s="166" t="s">
        <v>696</v>
      </c>
      <c r="D1657" s="140" t="str">
        <f t="shared" si="191"/>
        <v>2</v>
      </c>
      <c r="E1657" s="166" t="s">
        <v>690</v>
      </c>
      <c r="F1657" s="140">
        <f t="shared" si="190"/>
        <v>6</v>
      </c>
      <c r="G1657" s="140" t="str">
        <f t="shared" si="192"/>
        <v>3.2.6</v>
      </c>
      <c r="H1657" s="168" t="s">
        <v>655</v>
      </c>
      <c r="I1657" s="166" t="s">
        <v>30</v>
      </c>
      <c r="J1657" s="166" t="s">
        <v>289</v>
      </c>
      <c r="K1657" s="166" t="s">
        <v>716</v>
      </c>
      <c r="L1657" s="166">
        <v>39000</v>
      </c>
      <c r="M1657" s="166"/>
      <c r="N1657" s="166"/>
      <c r="O1657" s="164">
        <f t="shared" si="187"/>
        <v>0</v>
      </c>
      <c r="P1657" s="166">
        <v>0</v>
      </c>
      <c r="Q1657" s="166">
        <v>0</v>
      </c>
      <c r="R1657" s="164">
        <f>$L1657*'Pivot Objective'!$C$9*P1657*Q1657</f>
        <v>0</v>
      </c>
      <c r="S1657" s="166">
        <v>58</v>
      </c>
      <c r="T1657" s="166">
        <v>3</v>
      </c>
      <c r="U1657" s="164">
        <f>($L1657*'Pivot Objective'!$C$9^2)*S1657*T1657</f>
        <v>8864338.9501046985</v>
      </c>
      <c r="V1657" s="166">
        <v>0</v>
      </c>
      <c r="W1657" s="166">
        <v>0</v>
      </c>
      <c r="X1657" s="164">
        <f>($L1657*'Pivot Objective'!$C$9^3)*V1657*W1657</f>
        <v>0</v>
      </c>
      <c r="Y1657" s="166">
        <v>0</v>
      </c>
      <c r="Z1657" s="166">
        <v>0</v>
      </c>
      <c r="AA1657" s="164">
        <f>($L1657*'Pivot Objective'!$C$9^4)*Y1657*Z1657</f>
        <v>0</v>
      </c>
      <c r="AB1657" s="166">
        <v>0</v>
      </c>
      <c r="AC1657" s="166">
        <v>0</v>
      </c>
      <c r="AD1657" s="164">
        <f>($L1657*'Pivot Objective'!$C$9^5)*AB1657*AC1657</f>
        <v>0</v>
      </c>
      <c r="AE1657" s="166">
        <v>0</v>
      </c>
      <c r="AF1657" s="166">
        <v>0</v>
      </c>
      <c r="AG1657" s="164">
        <f>($L1657*'Pivot Objective'!$C$9^6)*AE1657*AF1657</f>
        <v>0</v>
      </c>
      <c r="AH1657" s="166">
        <v>58</v>
      </c>
      <c r="AI1657" s="166">
        <v>3</v>
      </c>
      <c r="AJ1657" s="164">
        <f>($L1657*'Pivot Objective'!$C$9^7)*AH1657*AI1657</f>
        <v>17287317.201350182</v>
      </c>
      <c r="AK1657" s="185">
        <f t="shared" si="188"/>
        <v>26151656.151454881</v>
      </c>
      <c r="AL1657" s="186">
        <f t="shared" si="189"/>
        <v>25389.957428596972</v>
      </c>
    </row>
    <row r="1658" spans="1:38" customFormat="1" ht="57.6" x14ac:dyDescent="0.3">
      <c r="A1658" s="140" t="s">
        <v>1485</v>
      </c>
      <c r="B1658" s="140">
        <v>3</v>
      </c>
      <c r="C1658" s="166" t="s">
        <v>696</v>
      </c>
      <c r="D1658" s="140" t="str">
        <f t="shared" si="191"/>
        <v>2</v>
      </c>
      <c r="E1658" s="166" t="s">
        <v>690</v>
      </c>
      <c r="F1658" s="140">
        <f t="shared" si="190"/>
        <v>6</v>
      </c>
      <c r="G1658" s="140" t="str">
        <f t="shared" si="192"/>
        <v>3.2.6</v>
      </c>
      <c r="H1658" s="168" t="s">
        <v>655</v>
      </c>
      <c r="I1658" s="166" t="s">
        <v>30</v>
      </c>
      <c r="J1658" s="166" t="s">
        <v>289</v>
      </c>
      <c r="K1658" s="166" t="s">
        <v>712</v>
      </c>
      <c r="L1658" s="166">
        <f>1480/7</f>
        <v>211.42857142857142</v>
      </c>
      <c r="M1658" s="166"/>
      <c r="N1658" s="166"/>
      <c r="O1658" s="164">
        <f t="shared" si="187"/>
        <v>0</v>
      </c>
      <c r="P1658" s="166">
        <v>0</v>
      </c>
      <c r="Q1658" s="166">
        <v>0</v>
      </c>
      <c r="R1658" s="164">
        <f>$L1658*'Pivot Objective'!$C$9*P1658*Q1658</f>
        <v>0</v>
      </c>
      <c r="S1658" s="166">
        <f>2*25*9</f>
        <v>450</v>
      </c>
      <c r="T1658" s="166">
        <v>5</v>
      </c>
      <c r="U1658" s="164">
        <f>($L1658*'Pivot Objective'!$C$9^2)*S1658*T1658</f>
        <v>621410.65015891218</v>
      </c>
      <c r="V1658" s="166">
        <v>0</v>
      </c>
      <c r="W1658" s="166">
        <v>0</v>
      </c>
      <c r="X1658" s="164">
        <f>($L1658*'Pivot Objective'!$C$9^3)*V1658*W1658</f>
        <v>0</v>
      </c>
      <c r="Y1658" s="166">
        <v>0</v>
      </c>
      <c r="Z1658" s="166">
        <v>0</v>
      </c>
      <c r="AA1658" s="164">
        <f>($L1658*'Pivot Objective'!$C$9^4)*Y1658*Z1658</f>
        <v>0</v>
      </c>
      <c r="AB1658" s="166">
        <v>0</v>
      </c>
      <c r="AC1658" s="166">
        <v>0</v>
      </c>
      <c r="AD1658" s="164">
        <f>($L1658*'Pivot Objective'!$C$9^5)*AB1658*AC1658</f>
        <v>0</v>
      </c>
      <c r="AE1658" s="166">
        <v>0</v>
      </c>
      <c r="AF1658" s="166">
        <v>0</v>
      </c>
      <c r="AG1658" s="164">
        <f>($L1658*'Pivot Objective'!$C$9^6)*AE1658*AF1658</f>
        <v>0</v>
      </c>
      <c r="AH1658" s="166">
        <f>2*25*9</f>
        <v>450</v>
      </c>
      <c r="AI1658" s="166">
        <v>5</v>
      </c>
      <c r="AJ1658" s="164">
        <f>($L1658*'Pivot Objective'!$C$9^7)*AH1658*AI1658</f>
        <v>1211880.8951306494</v>
      </c>
      <c r="AK1658" s="185">
        <f t="shared" si="188"/>
        <v>1833291.5452895616</v>
      </c>
      <c r="AL1658" s="186">
        <f t="shared" si="189"/>
        <v>1779.8947041646229</v>
      </c>
    </row>
    <row r="1659" spans="1:38" customFormat="1" ht="57.6" x14ac:dyDescent="0.3">
      <c r="A1659" s="140" t="s">
        <v>1485</v>
      </c>
      <c r="B1659" s="140">
        <v>3</v>
      </c>
      <c r="C1659" s="166" t="s">
        <v>696</v>
      </c>
      <c r="D1659" s="140" t="str">
        <f t="shared" si="191"/>
        <v>2</v>
      </c>
      <c r="E1659" s="166" t="s">
        <v>690</v>
      </c>
      <c r="F1659" s="140">
        <f t="shared" si="190"/>
        <v>6</v>
      </c>
      <c r="G1659" s="140" t="str">
        <f t="shared" si="192"/>
        <v>3.2.6</v>
      </c>
      <c r="H1659" s="168" t="s">
        <v>655</v>
      </c>
      <c r="I1659" s="166" t="s">
        <v>30</v>
      </c>
      <c r="J1659" s="166" t="s">
        <v>289</v>
      </c>
      <c r="K1659" s="166" t="s">
        <v>1336</v>
      </c>
      <c r="L1659" s="166">
        <f>1480/7</f>
        <v>211.42857142857142</v>
      </c>
      <c r="M1659" s="166"/>
      <c r="N1659" s="166"/>
      <c r="O1659" s="164">
        <f t="shared" si="187"/>
        <v>0</v>
      </c>
      <c r="P1659" s="166"/>
      <c r="Q1659" s="166"/>
      <c r="R1659" s="164">
        <f>$L1659*'Pivot Objective'!$C$9*P1659*Q1659</f>
        <v>0</v>
      </c>
      <c r="S1659" s="166">
        <v>22500</v>
      </c>
      <c r="T1659" s="166">
        <v>1</v>
      </c>
      <c r="U1659" s="164">
        <f>($L1659*'Pivot Objective'!$C$9^2)*S1659*T1659</f>
        <v>6214106.5015891213</v>
      </c>
      <c r="V1659" s="166"/>
      <c r="W1659" s="166"/>
      <c r="X1659" s="164">
        <f>($L1659*'Pivot Objective'!$C$9^3)*V1659*W1659</f>
        <v>0</v>
      </c>
      <c r="Y1659" s="166"/>
      <c r="Z1659" s="166"/>
      <c r="AA1659" s="164">
        <f>($L1659*'Pivot Objective'!$C$9^4)*Y1659*Z1659</f>
        <v>0</v>
      </c>
      <c r="AB1659" s="166"/>
      <c r="AC1659" s="166"/>
      <c r="AD1659" s="164">
        <f>($L1659*'Pivot Objective'!$C$9^5)*AB1659*AC1659</f>
        <v>0</v>
      </c>
      <c r="AE1659" s="166"/>
      <c r="AF1659" s="166"/>
      <c r="AG1659" s="164">
        <f>($L1659*'Pivot Objective'!$C$9^6)*AE1659*AF1659</f>
        <v>0</v>
      </c>
      <c r="AH1659" s="166">
        <v>22500</v>
      </c>
      <c r="AI1659" s="166">
        <v>1</v>
      </c>
      <c r="AJ1659" s="164">
        <f>($L1659*'Pivot Objective'!$C$9^7)*AH1659*AI1659</f>
        <v>12118808.951306494</v>
      </c>
      <c r="AK1659" s="185">
        <f t="shared" si="188"/>
        <v>18332915.452895615</v>
      </c>
      <c r="AL1659" s="186">
        <f t="shared" si="189"/>
        <v>17798.947041646228</v>
      </c>
    </row>
    <row r="1660" spans="1:38" customFormat="1" ht="86.4" x14ac:dyDescent="0.3">
      <c r="A1660" s="140" t="s">
        <v>1485</v>
      </c>
      <c r="B1660" s="140">
        <v>3</v>
      </c>
      <c r="C1660" s="166" t="s">
        <v>696</v>
      </c>
      <c r="D1660" s="140" t="str">
        <f t="shared" si="191"/>
        <v>2</v>
      </c>
      <c r="E1660" s="166" t="s">
        <v>690</v>
      </c>
      <c r="F1660" s="140">
        <f t="shared" si="190"/>
        <v>7</v>
      </c>
      <c r="G1660" s="140" t="str">
        <f t="shared" si="192"/>
        <v>3.2.7</v>
      </c>
      <c r="H1660" s="166" t="s">
        <v>656</v>
      </c>
      <c r="I1660" s="166" t="s">
        <v>31</v>
      </c>
      <c r="J1660" s="166" t="s">
        <v>290</v>
      </c>
      <c r="K1660" s="166" t="s">
        <v>718</v>
      </c>
      <c r="L1660" s="166">
        <v>0</v>
      </c>
      <c r="M1660" s="166">
        <v>0</v>
      </c>
      <c r="N1660" s="166">
        <v>0</v>
      </c>
      <c r="O1660" s="164">
        <f t="shared" si="187"/>
        <v>0</v>
      </c>
      <c r="P1660" s="166">
        <v>0</v>
      </c>
      <c r="Q1660" s="166">
        <v>0</v>
      </c>
      <c r="R1660" s="164">
        <f>$L1660*'Pivot Objective'!$C$9*P1660*Q1660</f>
        <v>0</v>
      </c>
      <c r="S1660" s="166">
        <v>0</v>
      </c>
      <c r="T1660" s="166">
        <v>0</v>
      </c>
      <c r="U1660" s="164">
        <f>($L1660*'Pivot Objective'!$C$9^2)*S1660*T1660</f>
        <v>0</v>
      </c>
      <c r="V1660" s="166">
        <v>0</v>
      </c>
      <c r="W1660" s="166">
        <v>0</v>
      </c>
      <c r="X1660" s="164">
        <f>($L1660*'Pivot Objective'!$C$9^3)*V1660*W1660</f>
        <v>0</v>
      </c>
      <c r="Y1660" s="166">
        <v>0</v>
      </c>
      <c r="Z1660" s="166">
        <v>0</v>
      </c>
      <c r="AA1660" s="164">
        <f>($L1660*'Pivot Objective'!$C$9^4)*Y1660*Z1660</f>
        <v>0</v>
      </c>
      <c r="AB1660" s="166">
        <v>0</v>
      </c>
      <c r="AC1660" s="166">
        <v>0</v>
      </c>
      <c r="AD1660" s="164">
        <f>($L1660*'Pivot Objective'!$C$9^5)*AB1660*AC1660</f>
        <v>0</v>
      </c>
      <c r="AE1660" s="166">
        <v>0</v>
      </c>
      <c r="AF1660" s="166">
        <v>0</v>
      </c>
      <c r="AG1660" s="164">
        <f>($L1660*'Pivot Objective'!$C$9^6)*AE1660*AF1660</f>
        <v>0</v>
      </c>
      <c r="AH1660" s="166">
        <v>0</v>
      </c>
      <c r="AI1660" s="166">
        <v>0</v>
      </c>
      <c r="AJ1660" s="164">
        <f>($L1660*'Pivot Objective'!$C$9^7)*AH1660*AI1660</f>
        <v>0</v>
      </c>
      <c r="AK1660" s="185">
        <f t="shared" si="188"/>
        <v>0</v>
      </c>
      <c r="AL1660" s="186">
        <f t="shared" si="189"/>
        <v>0</v>
      </c>
    </row>
    <row r="1661" spans="1:38" customFormat="1" ht="57.6" x14ac:dyDescent="0.3">
      <c r="A1661" s="140" t="s">
        <v>1485</v>
      </c>
      <c r="B1661" s="140">
        <v>3</v>
      </c>
      <c r="C1661" s="166" t="s">
        <v>696</v>
      </c>
      <c r="D1661" s="140" t="str">
        <f t="shared" si="191"/>
        <v>2</v>
      </c>
      <c r="E1661" s="166" t="s">
        <v>690</v>
      </c>
      <c r="F1661" s="140">
        <f t="shared" ref="F1661:F1690" si="193">IF(H1661=H1660,F1660,F1660+1)</f>
        <v>7</v>
      </c>
      <c r="G1661" s="140" t="str">
        <f t="shared" si="192"/>
        <v>3.2.7</v>
      </c>
      <c r="H1661" s="166" t="s">
        <v>656</v>
      </c>
      <c r="I1661" s="166" t="s">
        <v>31</v>
      </c>
      <c r="J1661" s="166" t="s">
        <v>291</v>
      </c>
      <c r="K1661" s="166" t="s">
        <v>718</v>
      </c>
      <c r="L1661" s="166">
        <v>0</v>
      </c>
      <c r="M1661" s="166">
        <v>0</v>
      </c>
      <c r="N1661" s="166">
        <v>0</v>
      </c>
      <c r="O1661" s="164">
        <f t="shared" si="187"/>
        <v>0</v>
      </c>
      <c r="P1661" s="166">
        <v>0</v>
      </c>
      <c r="Q1661" s="166">
        <v>0</v>
      </c>
      <c r="R1661" s="164">
        <f>$L1661*'Pivot Objective'!$C$9*P1661*Q1661</f>
        <v>0</v>
      </c>
      <c r="S1661" s="166">
        <v>0</v>
      </c>
      <c r="T1661" s="166">
        <v>0</v>
      </c>
      <c r="U1661" s="164">
        <f>($L1661*'Pivot Objective'!$C$9^2)*S1661*T1661</f>
        <v>0</v>
      </c>
      <c r="V1661" s="166">
        <v>0</v>
      </c>
      <c r="W1661" s="166">
        <v>0</v>
      </c>
      <c r="X1661" s="164">
        <f>($L1661*'Pivot Objective'!$C$9^3)*V1661*W1661</f>
        <v>0</v>
      </c>
      <c r="Y1661" s="166">
        <v>0</v>
      </c>
      <c r="Z1661" s="166">
        <v>0</v>
      </c>
      <c r="AA1661" s="164">
        <f>($L1661*'Pivot Objective'!$C$9^4)*Y1661*Z1661</f>
        <v>0</v>
      </c>
      <c r="AB1661" s="166">
        <v>0</v>
      </c>
      <c r="AC1661" s="166">
        <v>0</v>
      </c>
      <c r="AD1661" s="164">
        <f>($L1661*'Pivot Objective'!$C$9^5)*AB1661*AC1661</f>
        <v>0</v>
      </c>
      <c r="AE1661" s="166">
        <v>0</v>
      </c>
      <c r="AF1661" s="166">
        <v>0</v>
      </c>
      <c r="AG1661" s="164">
        <f>($L1661*'Pivot Objective'!$C$9^6)*AE1661*AF1661</f>
        <v>0</v>
      </c>
      <c r="AH1661" s="166">
        <v>0</v>
      </c>
      <c r="AI1661" s="166">
        <v>0</v>
      </c>
      <c r="AJ1661" s="164">
        <f>($L1661*'Pivot Objective'!$C$9^7)*AH1661*AI1661</f>
        <v>0</v>
      </c>
      <c r="AK1661" s="185">
        <f t="shared" si="188"/>
        <v>0</v>
      </c>
      <c r="AL1661" s="186">
        <f t="shared" si="189"/>
        <v>0</v>
      </c>
    </row>
    <row r="1662" spans="1:38" customFormat="1" ht="57.6" x14ac:dyDescent="0.3">
      <c r="A1662" s="140" t="s">
        <v>1485</v>
      </c>
      <c r="B1662" s="140">
        <v>3</v>
      </c>
      <c r="C1662" s="166" t="s">
        <v>696</v>
      </c>
      <c r="D1662" s="140" t="str">
        <f t="shared" si="191"/>
        <v>2</v>
      </c>
      <c r="E1662" s="166" t="s">
        <v>690</v>
      </c>
      <c r="F1662" s="140">
        <f t="shared" si="193"/>
        <v>7</v>
      </c>
      <c r="G1662" s="140" t="str">
        <f t="shared" si="192"/>
        <v>3.2.7</v>
      </c>
      <c r="H1662" s="166" t="s">
        <v>656</v>
      </c>
      <c r="I1662" s="166" t="s">
        <v>31</v>
      </c>
      <c r="J1662" s="166" t="s">
        <v>292</v>
      </c>
      <c r="K1662" s="166" t="s">
        <v>709</v>
      </c>
      <c r="L1662" s="166">
        <v>35000</v>
      </c>
      <c r="M1662" s="166">
        <v>0</v>
      </c>
      <c r="N1662" s="166">
        <v>0</v>
      </c>
      <c r="O1662" s="164">
        <f t="shared" si="187"/>
        <v>0</v>
      </c>
      <c r="P1662" s="166">
        <v>30</v>
      </c>
      <c r="Q1662" s="166">
        <v>1</v>
      </c>
      <c r="R1662" s="164">
        <f>$L1662*'Pivot Objective'!$C$9*P1662*Q1662</f>
        <v>1200067.1518499998</v>
      </c>
      <c r="S1662" s="166">
        <v>0</v>
      </c>
      <c r="T1662" s="166">
        <v>0</v>
      </c>
      <c r="U1662" s="164">
        <f>($L1662*'Pivot Objective'!$C$9^2)*S1662*T1662</f>
        <v>0</v>
      </c>
      <c r="V1662" s="166">
        <v>0</v>
      </c>
      <c r="W1662" s="166">
        <v>0</v>
      </c>
      <c r="X1662" s="164">
        <f>($L1662*'Pivot Objective'!$C$9^3)*V1662*W1662</f>
        <v>0</v>
      </c>
      <c r="Y1662" s="166">
        <v>30</v>
      </c>
      <c r="Z1662" s="166">
        <v>1</v>
      </c>
      <c r="AA1662" s="164">
        <f>($L1662*'Pivot Objective'!$C$9^4)*Y1662*Z1662</f>
        <v>1791654.6312921871</v>
      </c>
      <c r="AB1662" s="166">
        <v>0</v>
      </c>
      <c r="AC1662" s="166">
        <v>0</v>
      </c>
      <c r="AD1662" s="164">
        <f>($L1662*'Pivot Objective'!$C$9^5)*AB1662*AC1662</f>
        <v>0</v>
      </c>
      <c r="AE1662" s="166">
        <v>0</v>
      </c>
      <c r="AF1662" s="166">
        <v>0</v>
      </c>
      <c r="AG1662" s="164">
        <f>($L1662*'Pivot Objective'!$C$9^6)*AE1662*AF1662</f>
        <v>0</v>
      </c>
      <c r="AH1662" s="166">
        <v>30</v>
      </c>
      <c r="AI1662" s="166">
        <v>1</v>
      </c>
      <c r="AJ1662" s="164">
        <f>($L1662*'Pivot Objective'!$C$9^7)*AH1662*AI1662</f>
        <v>2674872.2460090914</v>
      </c>
      <c r="AK1662" s="185">
        <f t="shared" si="188"/>
        <v>5666594.0291512776</v>
      </c>
      <c r="AL1662" s="186">
        <f t="shared" si="189"/>
        <v>5501.5476011177452</v>
      </c>
    </row>
    <row r="1663" spans="1:38" customFormat="1" ht="57.6" x14ac:dyDescent="0.3">
      <c r="A1663" s="140" t="s">
        <v>1485</v>
      </c>
      <c r="B1663" s="140">
        <v>3</v>
      </c>
      <c r="C1663" s="166" t="s">
        <v>696</v>
      </c>
      <c r="D1663" s="140" t="str">
        <f t="shared" si="191"/>
        <v>2</v>
      </c>
      <c r="E1663" s="166" t="s">
        <v>690</v>
      </c>
      <c r="F1663" s="140">
        <f t="shared" si="193"/>
        <v>7</v>
      </c>
      <c r="G1663" s="140" t="str">
        <f t="shared" si="192"/>
        <v>3.2.7</v>
      </c>
      <c r="H1663" s="166" t="s">
        <v>656</v>
      </c>
      <c r="I1663" s="166" t="s">
        <v>31</v>
      </c>
      <c r="J1663" s="166" t="s">
        <v>293</v>
      </c>
      <c r="K1663" s="166" t="s">
        <v>709</v>
      </c>
      <c r="L1663" s="166">
        <v>35000</v>
      </c>
      <c r="M1663" s="166">
        <v>0</v>
      </c>
      <c r="N1663" s="166">
        <v>0</v>
      </c>
      <c r="O1663" s="164">
        <f t="shared" si="187"/>
        <v>0</v>
      </c>
      <c r="P1663" s="166">
        <v>30</v>
      </c>
      <c r="Q1663" s="166">
        <v>5</v>
      </c>
      <c r="R1663" s="164">
        <f>$L1663*'Pivot Objective'!$C$9*P1663*Q1663</f>
        <v>6000335.7592499992</v>
      </c>
      <c r="S1663" s="166">
        <v>0</v>
      </c>
      <c r="T1663" s="166">
        <v>0</v>
      </c>
      <c r="U1663" s="164">
        <f>($L1663*'Pivot Objective'!$C$9^2)*S1663*T1663</f>
        <v>0</v>
      </c>
      <c r="V1663" s="166">
        <v>0</v>
      </c>
      <c r="W1663" s="166">
        <v>0</v>
      </c>
      <c r="X1663" s="164">
        <f>($L1663*'Pivot Objective'!$C$9^3)*V1663*W1663</f>
        <v>0</v>
      </c>
      <c r="Y1663" s="166">
        <v>30</v>
      </c>
      <c r="Z1663" s="166">
        <v>5</v>
      </c>
      <c r="AA1663" s="164">
        <f>($L1663*'Pivot Objective'!$C$9^4)*Y1663*Z1663</f>
        <v>8958273.1564609352</v>
      </c>
      <c r="AB1663" s="166">
        <v>0</v>
      </c>
      <c r="AC1663" s="166">
        <v>0</v>
      </c>
      <c r="AD1663" s="164">
        <f>($L1663*'Pivot Objective'!$C$9^5)*AB1663*AC1663</f>
        <v>0</v>
      </c>
      <c r="AE1663" s="166">
        <v>0</v>
      </c>
      <c r="AF1663" s="166">
        <v>0</v>
      </c>
      <c r="AG1663" s="164">
        <f>($L1663*'Pivot Objective'!$C$9^6)*AE1663*AF1663</f>
        <v>0</v>
      </c>
      <c r="AH1663" s="166">
        <v>30</v>
      </c>
      <c r="AI1663" s="166">
        <v>5</v>
      </c>
      <c r="AJ1663" s="164">
        <f>($L1663*'Pivot Objective'!$C$9^7)*AH1663*AI1663</f>
        <v>13374361.230045456</v>
      </c>
      <c r="AK1663" s="185">
        <f t="shared" si="188"/>
        <v>28332970.14575639</v>
      </c>
      <c r="AL1663" s="186">
        <f t="shared" si="189"/>
        <v>27507.73800558873</v>
      </c>
    </row>
    <row r="1664" spans="1:38" customFormat="1" ht="57.6" x14ac:dyDescent="0.3">
      <c r="A1664" s="140" t="s">
        <v>1485</v>
      </c>
      <c r="B1664" s="140">
        <v>3</v>
      </c>
      <c r="C1664" s="166" t="s">
        <v>696</v>
      </c>
      <c r="D1664" s="140" t="str">
        <f t="shared" si="191"/>
        <v>2</v>
      </c>
      <c r="E1664" s="166" t="s">
        <v>690</v>
      </c>
      <c r="F1664" s="140">
        <f t="shared" si="193"/>
        <v>7</v>
      </c>
      <c r="G1664" s="140" t="str">
        <f t="shared" si="192"/>
        <v>3.2.7</v>
      </c>
      <c r="H1664" s="166" t="s">
        <v>656</v>
      </c>
      <c r="I1664" s="166" t="s">
        <v>31</v>
      </c>
      <c r="J1664" s="166" t="s">
        <v>293</v>
      </c>
      <c r="K1664" s="166" t="s">
        <v>716</v>
      </c>
      <c r="L1664" s="166">
        <v>39000</v>
      </c>
      <c r="M1664" s="166">
        <v>0</v>
      </c>
      <c r="N1664" s="166">
        <v>0</v>
      </c>
      <c r="O1664" s="164">
        <f t="shared" si="187"/>
        <v>0</v>
      </c>
      <c r="P1664" s="166">
        <v>0</v>
      </c>
      <c r="Q1664" s="166">
        <v>6</v>
      </c>
      <c r="R1664" s="164">
        <f>$L1664*'Pivot Objective'!$C$9*P1664*Q1664</f>
        <v>0</v>
      </c>
      <c r="S1664" s="166">
        <v>0</v>
      </c>
      <c r="T1664" s="166">
        <v>0</v>
      </c>
      <c r="U1664" s="164">
        <f>($L1664*'Pivot Objective'!$C$9^2)*S1664*T1664</f>
        <v>0</v>
      </c>
      <c r="V1664" s="166">
        <v>0</v>
      </c>
      <c r="W1664" s="166">
        <v>0</v>
      </c>
      <c r="X1664" s="164">
        <f>($L1664*'Pivot Objective'!$C$9^3)*V1664*W1664</f>
        <v>0</v>
      </c>
      <c r="Y1664" s="166">
        <v>0</v>
      </c>
      <c r="Z1664" s="166">
        <v>6</v>
      </c>
      <c r="AA1664" s="164">
        <f>($L1664*'Pivot Objective'!$C$9^4)*Y1664*Z1664</f>
        <v>0</v>
      </c>
      <c r="AB1664" s="166">
        <v>0</v>
      </c>
      <c r="AC1664" s="166">
        <v>0</v>
      </c>
      <c r="AD1664" s="164">
        <f>($L1664*'Pivot Objective'!$C$9^5)*AB1664*AC1664</f>
        <v>0</v>
      </c>
      <c r="AE1664" s="166">
        <v>0</v>
      </c>
      <c r="AF1664" s="166">
        <v>0</v>
      </c>
      <c r="AG1664" s="164">
        <f>($L1664*'Pivot Objective'!$C$9^6)*AE1664*AF1664</f>
        <v>0</v>
      </c>
      <c r="AH1664" s="166">
        <v>0</v>
      </c>
      <c r="AI1664" s="166">
        <v>6</v>
      </c>
      <c r="AJ1664" s="164">
        <f>($L1664*'Pivot Objective'!$C$9^7)*AH1664*AI1664</f>
        <v>0</v>
      </c>
      <c r="AK1664" s="185">
        <f t="shared" si="188"/>
        <v>0</v>
      </c>
      <c r="AL1664" s="186">
        <f t="shared" si="189"/>
        <v>0</v>
      </c>
    </row>
    <row r="1665" spans="1:38" customFormat="1" ht="57.6" x14ac:dyDescent="0.3">
      <c r="A1665" s="140" t="s">
        <v>1485</v>
      </c>
      <c r="B1665" s="140">
        <v>3</v>
      </c>
      <c r="C1665" s="166" t="s">
        <v>696</v>
      </c>
      <c r="D1665" s="140" t="str">
        <f t="shared" si="191"/>
        <v>2</v>
      </c>
      <c r="E1665" s="166" t="s">
        <v>690</v>
      </c>
      <c r="F1665" s="140">
        <f t="shared" si="193"/>
        <v>7</v>
      </c>
      <c r="G1665" s="140" t="str">
        <f t="shared" si="192"/>
        <v>3.2.7</v>
      </c>
      <c r="H1665" s="166" t="s">
        <v>656</v>
      </c>
      <c r="I1665" s="166" t="s">
        <v>31</v>
      </c>
      <c r="J1665" s="166" t="s">
        <v>293</v>
      </c>
      <c r="K1665" s="166" t="s">
        <v>712</v>
      </c>
      <c r="L1665" s="166">
        <f>1480/7</f>
        <v>211.42857142857142</v>
      </c>
      <c r="M1665" s="166">
        <v>0</v>
      </c>
      <c r="N1665" s="166">
        <v>0</v>
      </c>
      <c r="O1665" s="164">
        <f t="shared" si="187"/>
        <v>0</v>
      </c>
      <c r="P1665" s="166">
        <f>2*25*9</f>
        <v>450</v>
      </c>
      <c r="Q1665" s="166">
        <v>5</v>
      </c>
      <c r="R1665" s="164">
        <f>$L1665*'Pivot Objective'!$C$9*P1665*Q1665</f>
        <v>543703.89328714274</v>
      </c>
      <c r="S1665" s="166">
        <v>0</v>
      </c>
      <c r="T1665" s="166">
        <v>0</v>
      </c>
      <c r="U1665" s="164">
        <f>($L1665*'Pivot Objective'!$C$9^2)*S1665*T1665</f>
        <v>0</v>
      </c>
      <c r="V1665" s="166">
        <v>0</v>
      </c>
      <c r="W1665" s="166">
        <v>0</v>
      </c>
      <c r="X1665" s="164">
        <f>($L1665*'Pivot Objective'!$C$9^3)*V1665*W1665</f>
        <v>0</v>
      </c>
      <c r="Y1665" s="166">
        <f>2*25*9</f>
        <v>450</v>
      </c>
      <c r="Z1665" s="166">
        <v>5</v>
      </c>
      <c r="AA1665" s="164">
        <f>($L1665*'Pivot Objective'!$C$9^4)*Y1665*Z1665</f>
        <v>811729.24111605203</v>
      </c>
      <c r="AB1665" s="166">
        <v>0</v>
      </c>
      <c r="AC1665" s="166">
        <v>0</v>
      </c>
      <c r="AD1665" s="164">
        <f>($L1665*'Pivot Objective'!$C$9^5)*AB1665*AC1665</f>
        <v>0</v>
      </c>
      <c r="AE1665" s="166">
        <v>0</v>
      </c>
      <c r="AF1665" s="166">
        <v>0</v>
      </c>
      <c r="AG1665" s="164">
        <f>($L1665*'Pivot Objective'!$C$9^6)*AE1665*AF1665</f>
        <v>0</v>
      </c>
      <c r="AH1665" s="166">
        <f>2*25*9</f>
        <v>450</v>
      </c>
      <c r="AI1665" s="166">
        <v>5</v>
      </c>
      <c r="AJ1665" s="164">
        <f>($L1665*'Pivot Objective'!$C$9^7)*AH1665*AI1665</f>
        <v>1211880.8951306494</v>
      </c>
      <c r="AK1665" s="185">
        <f t="shared" si="188"/>
        <v>2567314.0295338444</v>
      </c>
      <c r="AL1665" s="186">
        <f t="shared" si="189"/>
        <v>2492.5378927513052</v>
      </c>
    </row>
    <row r="1666" spans="1:38" customFormat="1" ht="57.6" x14ac:dyDescent="0.3">
      <c r="A1666" s="140" t="s">
        <v>1485</v>
      </c>
      <c r="B1666" s="140">
        <v>3</v>
      </c>
      <c r="C1666" s="166" t="s">
        <v>696</v>
      </c>
      <c r="D1666" s="140" t="str">
        <f t="shared" si="191"/>
        <v>2</v>
      </c>
      <c r="E1666" s="166" t="s">
        <v>690</v>
      </c>
      <c r="F1666" s="140">
        <f t="shared" si="193"/>
        <v>7</v>
      </c>
      <c r="G1666" s="140" t="str">
        <f t="shared" si="192"/>
        <v>3.2.7</v>
      </c>
      <c r="H1666" s="166" t="s">
        <v>656</v>
      </c>
      <c r="I1666" s="166" t="s">
        <v>31</v>
      </c>
      <c r="J1666" s="166" t="s">
        <v>293</v>
      </c>
      <c r="K1666" s="166" t="s">
        <v>1336</v>
      </c>
      <c r="L1666" s="166">
        <f>1480/7</f>
        <v>211.42857142857142</v>
      </c>
      <c r="M1666" s="166">
        <v>0</v>
      </c>
      <c r="N1666" s="166">
        <v>0</v>
      </c>
      <c r="O1666" s="164">
        <f t="shared" si="187"/>
        <v>0</v>
      </c>
      <c r="P1666" s="166">
        <f>2*135*9</f>
        <v>2430</v>
      </c>
      <c r="Q1666" s="166">
        <v>1</v>
      </c>
      <c r="R1666" s="164">
        <f>$L1666*'Pivot Objective'!$C$9*P1666*Q1666</f>
        <v>587200.20475011424</v>
      </c>
      <c r="S1666" s="166">
        <v>0</v>
      </c>
      <c r="T1666" s="166">
        <v>0</v>
      </c>
      <c r="U1666" s="164">
        <f>($L1666*'Pivot Objective'!$C$9^2)*S1666*T1666</f>
        <v>0</v>
      </c>
      <c r="V1666" s="166"/>
      <c r="W1666" s="166"/>
      <c r="X1666" s="164">
        <f>($L1666*'Pivot Objective'!$C$9^3)*V1666*W1666</f>
        <v>0</v>
      </c>
      <c r="Y1666" s="166">
        <f>2*135*9</f>
        <v>2430</v>
      </c>
      <c r="Z1666" s="166">
        <v>1</v>
      </c>
      <c r="AA1666" s="164">
        <f>($L1666*'Pivot Objective'!$C$9^4)*Y1666*Z1666</f>
        <v>876667.58040533611</v>
      </c>
      <c r="AB1666" s="166"/>
      <c r="AC1666" s="166"/>
      <c r="AD1666" s="164">
        <f>($L1666*'Pivot Objective'!$C$9^5)*AB1666*AC1666</f>
        <v>0</v>
      </c>
      <c r="AE1666" s="166"/>
      <c r="AF1666" s="166"/>
      <c r="AG1666" s="164">
        <f>($L1666*'Pivot Objective'!$C$9^6)*AE1666*AF1666</f>
        <v>0</v>
      </c>
      <c r="AH1666" s="166">
        <f>2*135*9</f>
        <v>2430</v>
      </c>
      <c r="AI1666" s="166">
        <v>1</v>
      </c>
      <c r="AJ1666" s="164">
        <f>($L1666*'Pivot Objective'!$C$9^7)*AH1666*AI1666</f>
        <v>1308831.3667411015</v>
      </c>
      <c r="AK1666" s="185">
        <f t="shared" si="188"/>
        <v>2772699.1518965522</v>
      </c>
      <c r="AL1666" s="186">
        <f t="shared" si="189"/>
        <v>2691.9409241714097</v>
      </c>
    </row>
    <row r="1667" spans="1:38" customFormat="1" ht="57.6" x14ac:dyDescent="0.3">
      <c r="A1667" s="140" t="s">
        <v>1485</v>
      </c>
      <c r="B1667" s="140">
        <v>3</v>
      </c>
      <c r="C1667" s="166" t="s">
        <v>696</v>
      </c>
      <c r="D1667" s="140" t="str">
        <f t="shared" si="191"/>
        <v>2</v>
      </c>
      <c r="E1667" s="166" t="s">
        <v>690</v>
      </c>
      <c r="F1667" s="140">
        <f t="shared" si="193"/>
        <v>7</v>
      </c>
      <c r="G1667" s="140" t="str">
        <f t="shared" si="192"/>
        <v>3.2.7</v>
      </c>
      <c r="H1667" s="166" t="s">
        <v>656</v>
      </c>
      <c r="I1667" s="166" t="s">
        <v>32</v>
      </c>
      <c r="J1667" s="166" t="s">
        <v>294</v>
      </c>
      <c r="K1667" s="166" t="s">
        <v>709</v>
      </c>
      <c r="L1667" s="166">
        <v>35000</v>
      </c>
      <c r="M1667" s="166">
        <v>0</v>
      </c>
      <c r="N1667" s="166">
        <v>0</v>
      </c>
      <c r="O1667" s="164">
        <f t="shared" ref="O1667:O1730" si="194">$L1667*M1667*N1667</f>
        <v>0</v>
      </c>
      <c r="P1667" s="166">
        <v>30</v>
      </c>
      <c r="Q1667" s="166">
        <v>25</v>
      </c>
      <c r="R1667" s="164">
        <f>$L1667*'Pivot Objective'!$C$9*P1667*Q1667</f>
        <v>30001678.796249993</v>
      </c>
      <c r="S1667" s="166">
        <v>0</v>
      </c>
      <c r="T1667" s="166">
        <v>0</v>
      </c>
      <c r="U1667" s="164">
        <f>($L1667*'Pivot Objective'!$C$9^2)*S1667*T1667</f>
        <v>0</v>
      </c>
      <c r="V1667" s="166">
        <v>0</v>
      </c>
      <c r="W1667" s="166">
        <v>0</v>
      </c>
      <c r="X1667" s="164">
        <f>($L1667*'Pivot Objective'!$C$9^3)*V1667*W1667</f>
        <v>0</v>
      </c>
      <c r="Y1667" s="166">
        <v>30</v>
      </c>
      <c r="Z1667" s="166">
        <v>25</v>
      </c>
      <c r="AA1667" s="164">
        <f>($L1667*'Pivot Objective'!$C$9^4)*Y1667*Z1667</f>
        <v>44791365.782304682</v>
      </c>
      <c r="AB1667" s="166">
        <v>0</v>
      </c>
      <c r="AC1667" s="166">
        <v>0</v>
      </c>
      <c r="AD1667" s="164">
        <f>($L1667*'Pivot Objective'!$C$9^5)*AB1667*AC1667</f>
        <v>0</v>
      </c>
      <c r="AE1667" s="166">
        <v>0</v>
      </c>
      <c r="AF1667" s="166">
        <v>0</v>
      </c>
      <c r="AG1667" s="164">
        <f>($L1667*'Pivot Objective'!$C$9^6)*AE1667*AF1667</f>
        <v>0</v>
      </c>
      <c r="AH1667" s="166">
        <v>30</v>
      </c>
      <c r="AI1667" s="166">
        <v>25</v>
      </c>
      <c r="AJ1667" s="164">
        <f>($L1667*'Pivot Objective'!$C$9^7)*AH1667*AI1667</f>
        <v>66871806.150227286</v>
      </c>
      <c r="AK1667" s="185">
        <f t="shared" ref="AK1667:AK1730" si="195">O1667+R1667+U1667+X1667+AA1667+AD1667+AG1667+AJ1667</f>
        <v>141664850.72878197</v>
      </c>
      <c r="AL1667" s="186">
        <f t="shared" ref="AL1667:AL1730" si="196">AK1667/$AP$2</f>
        <v>137538.69002794367</v>
      </c>
    </row>
    <row r="1668" spans="1:38" customFormat="1" ht="57.6" x14ac:dyDescent="0.3">
      <c r="A1668" s="140" t="s">
        <v>1485</v>
      </c>
      <c r="B1668" s="140">
        <v>3</v>
      </c>
      <c r="C1668" s="166" t="s">
        <v>696</v>
      </c>
      <c r="D1668" s="140" t="str">
        <f t="shared" si="191"/>
        <v>2</v>
      </c>
      <c r="E1668" s="166" t="s">
        <v>690</v>
      </c>
      <c r="F1668" s="140">
        <f t="shared" si="193"/>
        <v>7</v>
      </c>
      <c r="G1668" s="140" t="str">
        <f t="shared" si="192"/>
        <v>3.2.7</v>
      </c>
      <c r="H1668" s="166" t="s">
        <v>656</v>
      </c>
      <c r="I1668" s="166" t="s">
        <v>32</v>
      </c>
      <c r="J1668" s="166" t="s">
        <v>294</v>
      </c>
      <c r="K1668" s="166" t="s">
        <v>716</v>
      </c>
      <c r="L1668" s="166">
        <v>39000</v>
      </c>
      <c r="M1668" s="166">
        <v>0</v>
      </c>
      <c r="N1668" s="166">
        <v>0</v>
      </c>
      <c r="O1668" s="164">
        <f t="shared" si="194"/>
        <v>0</v>
      </c>
      <c r="P1668" s="166">
        <v>0</v>
      </c>
      <c r="Q1668" s="166">
        <v>30</v>
      </c>
      <c r="R1668" s="164">
        <f>$L1668*'Pivot Objective'!$C$9*P1668*Q1668</f>
        <v>0</v>
      </c>
      <c r="S1668" s="166">
        <v>0</v>
      </c>
      <c r="T1668" s="166">
        <v>0</v>
      </c>
      <c r="U1668" s="164">
        <f>($L1668*'Pivot Objective'!$C$9^2)*S1668*T1668</f>
        <v>0</v>
      </c>
      <c r="V1668" s="166">
        <v>0</v>
      </c>
      <c r="W1668" s="166">
        <v>0</v>
      </c>
      <c r="X1668" s="164">
        <f>($L1668*'Pivot Objective'!$C$9^3)*V1668*W1668</f>
        <v>0</v>
      </c>
      <c r="Y1668" s="166">
        <v>0</v>
      </c>
      <c r="Z1668" s="166">
        <v>30</v>
      </c>
      <c r="AA1668" s="164">
        <f>($L1668*'Pivot Objective'!$C$9^4)*Y1668*Z1668</f>
        <v>0</v>
      </c>
      <c r="AB1668" s="166">
        <v>0</v>
      </c>
      <c r="AC1668" s="166">
        <v>0</v>
      </c>
      <c r="AD1668" s="164">
        <f>($L1668*'Pivot Objective'!$C$9^5)*AB1668*AC1668</f>
        <v>0</v>
      </c>
      <c r="AE1668" s="166">
        <v>0</v>
      </c>
      <c r="AF1668" s="166">
        <v>0</v>
      </c>
      <c r="AG1668" s="164">
        <f>($L1668*'Pivot Objective'!$C$9^6)*AE1668*AF1668</f>
        <v>0</v>
      </c>
      <c r="AH1668" s="166">
        <v>0</v>
      </c>
      <c r="AI1668" s="166">
        <v>30</v>
      </c>
      <c r="AJ1668" s="164">
        <f>($L1668*'Pivot Objective'!$C$9^7)*AH1668*AI1668</f>
        <v>0</v>
      </c>
      <c r="AK1668" s="185">
        <f t="shared" si="195"/>
        <v>0</v>
      </c>
      <c r="AL1668" s="186">
        <f t="shared" si="196"/>
        <v>0</v>
      </c>
    </row>
    <row r="1669" spans="1:38" customFormat="1" ht="57.6" x14ac:dyDescent="0.3">
      <c r="A1669" s="140" t="s">
        <v>1485</v>
      </c>
      <c r="B1669" s="140">
        <v>3</v>
      </c>
      <c r="C1669" s="166" t="s">
        <v>696</v>
      </c>
      <c r="D1669" s="140" t="str">
        <f t="shared" si="191"/>
        <v>2</v>
      </c>
      <c r="E1669" s="166" t="s">
        <v>690</v>
      </c>
      <c r="F1669" s="140">
        <f t="shared" si="193"/>
        <v>7</v>
      </c>
      <c r="G1669" s="140" t="str">
        <f t="shared" si="192"/>
        <v>3.2.7</v>
      </c>
      <c r="H1669" s="166" t="s">
        <v>656</v>
      </c>
      <c r="I1669" s="166" t="s">
        <v>32</v>
      </c>
      <c r="J1669" s="166" t="s">
        <v>294</v>
      </c>
      <c r="K1669" s="166" t="s">
        <v>712</v>
      </c>
      <c r="L1669" s="166">
        <f>1480/7</f>
        <v>211.42857142857142</v>
      </c>
      <c r="M1669" s="166">
        <v>0</v>
      </c>
      <c r="N1669" s="166">
        <v>0</v>
      </c>
      <c r="O1669" s="164">
        <f t="shared" si="194"/>
        <v>0</v>
      </c>
      <c r="P1669" s="166">
        <f>2*25*9</f>
        <v>450</v>
      </c>
      <c r="Q1669" s="166">
        <v>30</v>
      </c>
      <c r="R1669" s="164">
        <f>$L1669*'Pivot Objective'!$C$9*P1669*Q1669</f>
        <v>3262223.3597228569</v>
      </c>
      <c r="S1669" s="166">
        <v>0</v>
      </c>
      <c r="T1669" s="166">
        <v>0</v>
      </c>
      <c r="U1669" s="164">
        <f>($L1669*'Pivot Objective'!$C$9^2)*S1669*T1669</f>
        <v>0</v>
      </c>
      <c r="V1669" s="166">
        <v>0</v>
      </c>
      <c r="W1669" s="166">
        <v>0</v>
      </c>
      <c r="X1669" s="164">
        <f>($L1669*'Pivot Objective'!$C$9^3)*V1669*W1669</f>
        <v>0</v>
      </c>
      <c r="Y1669" s="166">
        <f>2*25*9</f>
        <v>450</v>
      </c>
      <c r="Z1669" s="166">
        <v>30</v>
      </c>
      <c r="AA1669" s="164">
        <f>($L1669*'Pivot Objective'!$C$9^4)*Y1669*Z1669</f>
        <v>4870375.4466963122</v>
      </c>
      <c r="AB1669" s="166">
        <v>0</v>
      </c>
      <c r="AC1669" s="166">
        <v>0</v>
      </c>
      <c r="AD1669" s="164">
        <f>($L1669*'Pivot Objective'!$C$9^5)*AB1669*AC1669</f>
        <v>0</v>
      </c>
      <c r="AE1669" s="166">
        <v>0</v>
      </c>
      <c r="AF1669" s="166">
        <v>0</v>
      </c>
      <c r="AG1669" s="164">
        <f>($L1669*'Pivot Objective'!$C$9^6)*AE1669*AF1669</f>
        <v>0</v>
      </c>
      <c r="AH1669" s="166">
        <f>2*25*9</f>
        <v>450</v>
      </c>
      <c r="AI1669" s="166">
        <v>30</v>
      </c>
      <c r="AJ1669" s="164">
        <f>($L1669*'Pivot Objective'!$C$9^7)*AH1669*AI1669</f>
        <v>7271285.3707838971</v>
      </c>
      <c r="AK1669" s="185">
        <f t="shared" si="195"/>
        <v>15403884.177203067</v>
      </c>
      <c r="AL1669" s="186">
        <f t="shared" si="196"/>
        <v>14955.227356507832</v>
      </c>
    </row>
    <row r="1670" spans="1:38" customFormat="1" ht="57.6" x14ac:dyDescent="0.3">
      <c r="A1670" s="140" t="s">
        <v>1485</v>
      </c>
      <c r="B1670" s="140">
        <v>3</v>
      </c>
      <c r="C1670" s="166" t="s">
        <v>696</v>
      </c>
      <c r="D1670" s="140" t="str">
        <f t="shared" si="191"/>
        <v>2</v>
      </c>
      <c r="E1670" s="166" t="s">
        <v>690</v>
      </c>
      <c r="F1670" s="140">
        <f t="shared" si="193"/>
        <v>7</v>
      </c>
      <c r="G1670" s="140" t="str">
        <f t="shared" si="192"/>
        <v>3.2.7</v>
      </c>
      <c r="H1670" s="166" t="s">
        <v>656</v>
      </c>
      <c r="I1670" s="166" t="s">
        <v>32</v>
      </c>
      <c r="J1670" s="166" t="s">
        <v>294</v>
      </c>
      <c r="K1670" s="166" t="s">
        <v>1336</v>
      </c>
      <c r="L1670" s="166">
        <f>1480/7</f>
        <v>211.42857142857142</v>
      </c>
      <c r="M1670" s="166">
        <v>0</v>
      </c>
      <c r="N1670" s="166">
        <v>0</v>
      </c>
      <c r="O1670" s="164">
        <f t="shared" si="194"/>
        <v>0</v>
      </c>
      <c r="P1670" s="166">
        <f>2*135*9</f>
        <v>2430</v>
      </c>
      <c r="Q1670" s="166">
        <v>1</v>
      </c>
      <c r="R1670" s="164">
        <f>$L1670*'Pivot Objective'!$C$9*P1670*Q1670</f>
        <v>587200.20475011424</v>
      </c>
      <c r="S1670" s="166">
        <v>0</v>
      </c>
      <c r="T1670" s="166">
        <v>0</v>
      </c>
      <c r="U1670" s="164">
        <f>($L1670*'Pivot Objective'!$C$9^2)*S1670*T1670</f>
        <v>0</v>
      </c>
      <c r="V1670" s="166"/>
      <c r="W1670" s="166"/>
      <c r="X1670" s="164">
        <f>($L1670*'Pivot Objective'!$C$9^3)*V1670*W1670</f>
        <v>0</v>
      </c>
      <c r="Y1670" s="166">
        <f>2*135*9</f>
        <v>2430</v>
      </c>
      <c r="Z1670" s="166">
        <v>1</v>
      </c>
      <c r="AA1670" s="164">
        <f>($L1670*'Pivot Objective'!$C$9^4)*Y1670*Z1670</f>
        <v>876667.58040533611</v>
      </c>
      <c r="AB1670" s="166"/>
      <c r="AC1670" s="166"/>
      <c r="AD1670" s="164">
        <f>($L1670*'Pivot Objective'!$C$9^5)*AB1670*AC1670</f>
        <v>0</v>
      </c>
      <c r="AE1670" s="166"/>
      <c r="AF1670" s="166"/>
      <c r="AG1670" s="164">
        <f>($L1670*'Pivot Objective'!$C$9^6)*AE1670*AF1670</f>
        <v>0</v>
      </c>
      <c r="AH1670" s="166">
        <f>2*135*9</f>
        <v>2430</v>
      </c>
      <c r="AI1670" s="166">
        <v>1</v>
      </c>
      <c r="AJ1670" s="164">
        <f>($L1670*'Pivot Objective'!$C$9^7)*AH1670*AI1670</f>
        <v>1308831.3667411015</v>
      </c>
      <c r="AK1670" s="185">
        <f t="shared" si="195"/>
        <v>2772699.1518965522</v>
      </c>
      <c r="AL1670" s="186">
        <f t="shared" si="196"/>
        <v>2691.9409241714097</v>
      </c>
    </row>
    <row r="1671" spans="1:38" customFormat="1" ht="57.6" x14ac:dyDescent="0.3">
      <c r="A1671" s="140" t="s">
        <v>1485</v>
      </c>
      <c r="B1671" s="140">
        <v>3</v>
      </c>
      <c r="C1671" s="166" t="s">
        <v>696</v>
      </c>
      <c r="D1671" s="140" t="str">
        <f t="shared" si="191"/>
        <v>2</v>
      </c>
      <c r="E1671" s="166" t="s">
        <v>690</v>
      </c>
      <c r="F1671" s="140">
        <f t="shared" si="193"/>
        <v>7</v>
      </c>
      <c r="G1671" s="140" t="str">
        <f t="shared" si="192"/>
        <v>3.2.7</v>
      </c>
      <c r="H1671" s="166" t="s">
        <v>656</v>
      </c>
      <c r="I1671" s="166" t="s">
        <v>32</v>
      </c>
      <c r="J1671" s="166" t="s">
        <v>295</v>
      </c>
      <c r="K1671" s="166" t="s">
        <v>709</v>
      </c>
      <c r="L1671" s="166">
        <v>35000</v>
      </c>
      <c r="M1671" s="166">
        <v>0</v>
      </c>
      <c r="N1671" s="166">
        <v>0</v>
      </c>
      <c r="O1671" s="164">
        <f t="shared" si="194"/>
        <v>0</v>
      </c>
      <c r="P1671" s="166">
        <v>100</v>
      </c>
      <c r="Q1671" s="166">
        <v>5</v>
      </c>
      <c r="R1671" s="164">
        <f>$L1671*'Pivot Objective'!$C$9*P1671*Q1671</f>
        <v>20001119.197499998</v>
      </c>
      <c r="S1671" s="166">
        <v>0</v>
      </c>
      <c r="T1671" s="166">
        <v>0</v>
      </c>
      <c r="U1671" s="164">
        <f>($L1671*'Pivot Objective'!$C$9^2)*S1671*T1671</f>
        <v>0</v>
      </c>
      <c r="V1671" s="166">
        <v>0</v>
      </c>
      <c r="W1671" s="166">
        <v>0</v>
      </c>
      <c r="X1671" s="164">
        <f>($L1671*'Pivot Objective'!$C$9^3)*V1671*W1671</f>
        <v>0</v>
      </c>
      <c r="Y1671" s="166">
        <v>100</v>
      </c>
      <c r="Z1671" s="166">
        <v>5</v>
      </c>
      <c r="AA1671" s="164">
        <f>($L1671*'Pivot Objective'!$C$9^4)*Y1671*Z1671</f>
        <v>29860910.521536451</v>
      </c>
      <c r="AB1671" s="166">
        <v>0</v>
      </c>
      <c r="AC1671" s="166">
        <v>0</v>
      </c>
      <c r="AD1671" s="164">
        <f>($L1671*'Pivot Objective'!$C$9^5)*AB1671*AC1671</f>
        <v>0</v>
      </c>
      <c r="AE1671" s="166">
        <v>0</v>
      </c>
      <c r="AF1671" s="166">
        <v>0</v>
      </c>
      <c r="AG1671" s="164">
        <f>($L1671*'Pivot Objective'!$C$9^6)*AE1671*AF1671</f>
        <v>0</v>
      </c>
      <c r="AH1671" s="166">
        <v>100</v>
      </c>
      <c r="AI1671" s="166">
        <v>5</v>
      </c>
      <c r="AJ1671" s="164">
        <f>($L1671*'Pivot Objective'!$C$9^7)*AH1671*AI1671</f>
        <v>44581204.100151524</v>
      </c>
      <c r="AK1671" s="185">
        <f t="shared" si="195"/>
        <v>94443233.819187969</v>
      </c>
      <c r="AL1671" s="186">
        <f t="shared" si="196"/>
        <v>91692.460018629092</v>
      </c>
    </row>
    <row r="1672" spans="1:38" customFormat="1" ht="57.6" x14ac:dyDescent="0.3">
      <c r="A1672" s="140" t="s">
        <v>1485</v>
      </c>
      <c r="B1672" s="140">
        <v>3</v>
      </c>
      <c r="C1672" s="166" t="s">
        <v>696</v>
      </c>
      <c r="D1672" s="140" t="str">
        <f t="shared" si="191"/>
        <v>2</v>
      </c>
      <c r="E1672" s="166" t="s">
        <v>690</v>
      </c>
      <c r="F1672" s="140">
        <f t="shared" si="193"/>
        <v>7</v>
      </c>
      <c r="G1672" s="140" t="str">
        <f t="shared" si="192"/>
        <v>3.2.7</v>
      </c>
      <c r="H1672" s="166" t="s">
        <v>656</v>
      </c>
      <c r="I1672" s="166" t="s">
        <v>32</v>
      </c>
      <c r="J1672" s="166" t="s">
        <v>295</v>
      </c>
      <c r="K1672" s="166" t="s">
        <v>716</v>
      </c>
      <c r="L1672" s="166">
        <v>39000</v>
      </c>
      <c r="M1672" s="166">
        <v>0</v>
      </c>
      <c r="N1672" s="166">
        <v>0</v>
      </c>
      <c r="O1672" s="164">
        <f t="shared" si="194"/>
        <v>0</v>
      </c>
      <c r="P1672" s="166">
        <v>58</v>
      </c>
      <c r="Q1672" s="166">
        <v>6</v>
      </c>
      <c r="R1672" s="164">
        <f>$L1672*'Pivot Objective'!$C$9*P1672*Q1672</f>
        <v>15511725.128483998</v>
      </c>
      <c r="S1672" s="166">
        <v>0</v>
      </c>
      <c r="T1672" s="166">
        <v>0</v>
      </c>
      <c r="U1672" s="164">
        <f>($L1672*'Pivot Objective'!$C$9^2)*S1672*T1672</f>
        <v>0</v>
      </c>
      <c r="V1672" s="166">
        <v>0</v>
      </c>
      <c r="W1672" s="166">
        <v>0</v>
      </c>
      <c r="X1672" s="164">
        <f>($L1672*'Pivot Objective'!$C$9^3)*V1672*W1672</f>
        <v>0</v>
      </c>
      <c r="Y1672" s="166">
        <v>58</v>
      </c>
      <c r="Z1672" s="166">
        <v>6</v>
      </c>
      <c r="AA1672" s="164">
        <f>($L1672*'Pivot Objective'!$C$9^4)*Y1672*Z1672</f>
        <v>23158415.862759583</v>
      </c>
      <c r="AB1672" s="166">
        <v>0</v>
      </c>
      <c r="AC1672" s="166">
        <v>0</v>
      </c>
      <c r="AD1672" s="164">
        <f>($L1672*'Pivot Objective'!$C$9^5)*AB1672*AC1672</f>
        <v>0</v>
      </c>
      <c r="AE1672" s="166">
        <v>0</v>
      </c>
      <c r="AF1672" s="166">
        <v>0</v>
      </c>
      <c r="AG1672" s="164">
        <f>($L1672*'Pivot Objective'!$C$9^6)*AE1672*AF1672</f>
        <v>0</v>
      </c>
      <c r="AH1672" s="166">
        <v>58</v>
      </c>
      <c r="AI1672" s="166">
        <v>6</v>
      </c>
      <c r="AJ1672" s="164">
        <f>($L1672*'Pivot Objective'!$C$9^7)*AH1672*AI1672</f>
        <v>34574634.402700365</v>
      </c>
      <c r="AK1672" s="185">
        <f t="shared" si="195"/>
        <v>73244775.393943936</v>
      </c>
      <c r="AL1672" s="186">
        <f t="shared" si="196"/>
        <v>71111.432421304795</v>
      </c>
    </row>
    <row r="1673" spans="1:38" customFormat="1" ht="57.6" x14ac:dyDescent="0.3">
      <c r="A1673" s="140" t="s">
        <v>1485</v>
      </c>
      <c r="B1673" s="140">
        <v>3</v>
      </c>
      <c r="C1673" s="166" t="s">
        <v>696</v>
      </c>
      <c r="D1673" s="140" t="str">
        <f t="shared" si="191"/>
        <v>2</v>
      </c>
      <c r="E1673" s="166" t="s">
        <v>690</v>
      </c>
      <c r="F1673" s="140">
        <f t="shared" si="193"/>
        <v>7</v>
      </c>
      <c r="G1673" s="140" t="str">
        <f t="shared" si="192"/>
        <v>3.2.7</v>
      </c>
      <c r="H1673" s="166" t="s">
        <v>656</v>
      </c>
      <c r="I1673" s="166" t="s">
        <v>32</v>
      </c>
      <c r="J1673" s="166" t="s">
        <v>295</v>
      </c>
      <c r="K1673" s="166" t="s">
        <v>712</v>
      </c>
      <c r="L1673" s="166">
        <f>1480/7</f>
        <v>211.42857142857142</v>
      </c>
      <c r="M1673" s="166">
        <v>0</v>
      </c>
      <c r="N1673" s="166">
        <v>0</v>
      </c>
      <c r="O1673" s="164">
        <f t="shared" si="194"/>
        <v>0</v>
      </c>
      <c r="P1673" s="166">
        <f>2*25*9</f>
        <v>450</v>
      </c>
      <c r="Q1673" s="166">
        <v>5</v>
      </c>
      <c r="R1673" s="164">
        <f>$L1673*'Pivot Objective'!$C$9*P1673*Q1673</f>
        <v>543703.89328714274</v>
      </c>
      <c r="S1673" s="166">
        <v>0</v>
      </c>
      <c r="T1673" s="166">
        <v>0</v>
      </c>
      <c r="U1673" s="164">
        <f>($L1673*'Pivot Objective'!$C$9^2)*S1673*T1673</f>
        <v>0</v>
      </c>
      <c r="V1673" s="166">
        <v>0</v>
      </c>
      <c r="W1673" s="166">
        <v>0</v>
      </c>
      <c r="X1673" s="164">
        <f>($L1673*'Pivot Objective'!$C$9^3)*V1673*W1673</f>
        <v>0</v>
      </c>
      <c r="Y1673" s="166">
        <f>2*25*9</f>
        <v>450</v>
      </c>
      <c r="Z1673" s="166">
        <v>5</v>
      </c>
      <c r="AA1673" s="164">
        <f>($L1673*'Pivot Objective'!$C$9^4)*Y1673*Z1673</f>
        <v>811729.24111605203</v>
      </c>
      <c r="AB1673" s="166">
        <v>0</v>
      </c>
      <c r="AC1673" s="166">
        <v>0</v>
      </c>
      <c r="AD1673" s="164">
        <f>($L1673*'Pivot Objective'!$C$9^5)*AB1673*AC1673</f>
        <v>0</v>
      </c>
      <c r="AE1673" s="166">
        <v>0</v>
      </c>
      <c r="AF1673" s="166">
        <v>0</v>
      </c>
      <c r="AG1673" s="164">
        <f>($L1673*'Pivot Objective'!$C$9^6)*AE1673*AF1673</f>
        <v>0</v>
      </c>
      <c r="AH1673" s="166">
        <f>2*25*9</f>
        <v>450</v>
      </c>
      <c r="AI1673" s="166">
        <v>5</v>
      </c>
      <c r="AJ1673" s="164">
        <f>($L1673*'Pivot Objective'!$C$9^7)*AH1673*AI1673</f>
        <v>1211880.8951306494</v>
      </c>
      <c r="AK1673" s="185">
        <f t="shared" si="195"/>
        <v>2567314.0295338444</v>
      </c>
      <c r="AL1673" s="186">
        <f t="shared" si="196"/>
        <v>2492.5378927513052</v>
      </c>
    </row>
    <row r="1674" spans="1:38" customFormat="1" ht="57.6" x14ac:dyDescent="0.3">
      <c r="A1674" s="140" t="s">
        <v>1485</v>
      </c>
      <c r="B1674" s="140">
        <v>3</v>
      </c>
      <c r="C1674" s="166" t="s">
        <v>696</v>
      </c>
      <c r="D1674" s="140" t="str">
        <f t="shared" si="191"/>
        <v>2</v>
      </c>
      <c r="E1674" s="166" t="s">
        <v>690</v>
      </c>
      <c r="F1674" s="140">
        <f t="shared" si="193"/>
        <v>7</v>
      </c>
      <c r="G1674" s="140" t="str">
        <f t="shared" si="192"/>
        <v>3.2.7</v>
      </c>
      <c r="H1674" s="166" t="s">
        <v>656</v>
      </c>
      <c r="I1674" s="166" t="s">
        <v>32</v>
      </c>
      <c r="J1674" s="166" t="s">
        <v>295</v>
      </c>
      <c r="K1674" s="166" t="s">
        <v>1336</v>
      </c>
      <c r="L1674" s="166">
        <f>1480/7</f>
        <v>211.42857142857142</v>
      </c>
      <c r="M1674" s="166">
        <v>0</v>
      </c>
      <c r="N1674" s="166">
        <v>0</v>
      </c>
      <c r="O1674" s="164">
        <f t="shared" si="194"/>
        <v>0</v>
      </c>
      <c r="P1674" s="166">
        <v>22500</v>
      </c>
      <c r="Q1674" s="166">
        <v>1</v>
      </c>
      <c r="R1674" s="164">
        <f>$L1674*'Pivot Objective'!$C$9*P1674*Q1674</f>
        <v>5437038.9328714283</v>
      </c>
      <c r="S1674" s="166">
        <v>0</v>
      </c>
      <c r="T1674" s="166">
        <v>0</v>
      </c>
      <c r="U1674" s="164">
        <f>($L1674*'Pivot Objective'!$C$9^2)*S1674*T1674</f>
        <v>0</v>
      </c>
      <c r="V1674" s="166"/>
      <c r="W1674" s="166"/>
      <c r="X1674" s="164">
        <f>($L1674*'Pivot Objective'!$C$9^3)*V1674*W1674</f>
        <v>0</v>
      </c>
      <c r="Y1674" s="166">
        <v>22500</v>
      </c>
      <c r="Z1674" s="166">
        <v>1</v>
      </c>
      <c r="AA1674" s="164">
        <f>($L1674*'Pivot Objective'!$C$9^4)*Y1674*Z1674</f>
        <v>8117292.4111605193</v>
      </c>
      <c r="AB1674" s="166"/>
      <c r="AC1674" s="166"/>
      <c r="AD1674" s="164">
        <f>($L1674*'Pivot Objective'!$C$9^5)*AB1674*AC1674</f>
        <v>0</v>
      </c>
      <c r="AE1674" s="166"/>
      <c r="AF1674" s="166"/>
      <c r="AG1674" s="164">
        <f>($L1674*'Pivot Objective'!$C$9^6)*AE1674*AF1674</f>
        <v>0</v>
      </c>
      <c r="AH1674" s="166">
        <v>22500</v>
      </c>
      <c r="AI1674" s="166">
        <v>1</v>
      </c>
      <c r="AJ1674" s="164">
        <f>($L1674*'Pivot Objective'!$C$9^7)*AH1674*AI1674</f>
        <v>12118808.951306494</v>
      </c>
      <c r="AK1674" s="185">
        <f t="shared" si="195"/>
        <v>25673140.295338444</v>
      </c>
      <c r="AL1674" s="186">
        <f t="shared" si="196"/>
        <v>24925.378927513051</v>
      </c>
    </row>
    <row r="1675" spans="1:38" customFormat="1" ht="57.6" x14ac:dyDescent="0.3">
      <c r="A1675" s="140" t="s">
        <v>1485</v>
      </c>
      <c r="B1675" s="140">
        <v>3</v>
      </c>
      <c r="C1675" s="166" t="s">
        <v>696</v>
      </c>
      <c r="D1675" s="140" t="str">
        <f t="shared" si="191"/>
        <v>2</v>
      </c>
      <c r="E1675" s="166" t="s">
        <v>690</v>
      </c>
      <c r="F1675" s="140">
        <f t="shared" si="193"/>
        <v>7</v>
      </c>
      <c r="G1675" s="140" t="str">
        <f t="shared" si="192"/>
        <v>3.2.7</v>
      </c>
      <c r="H1675" s="166" t="s">
        <v>656</v>
      </c>
      <c r="I1675" s="166" t="s">
        <v>32</v>
      </c>
      <c r="J1675" s="166" t="s">
        <v>166</v>
      </c>
      <c r="K1675" s="166" t="s">
        <v>709</v>
      </c>
      <c r="L1675" s="166">
        <v>35000</v>
      </c>
      <c r="M1675" s="166">
        <v>0</v>
      </c>
      <c r="N1675" s="166">
        <v>0</v>
      </c>
      <c r="O1675" s="164">
        <f t="shared" si="194"/>
        <v>0</v>
      </c>
      <c r="P1675" s="166">
        <v>30</v>
      </c>
      <c r="Q1675" s="166">
        <v>1</v>
      </c>
      <c r="R1675" s="164">
        <f>$L1675*'Pivot Objective'!$C$9*P1675*Q1675</f>
        <v>1200067.1518499998</v>
      </c>
      <c r="S1675" s="166">
        <v>0</v>
      </c>
      <c r="T1675" s="166">
        <v>0</v>
      </c>
      <c r="U1675" s="164">
        <f>($L1675*'Pivot Objective'!$C$9^2)*S1675*T1675</f>
        <v>0</v>
      </c>
      <c r="V1675" s="166">
        <v>0</v>
      </c>
      <c r="W1675" s="166">
        <v>0</v>
      </c>
      <c r="X1675" s="164">
        <f>($L1675*'Pivot Objective'!$C$9^3)*V1675*W1675</f>
        <v>0</v>
      </c>
      <c r="Y1675" s="166">
        <v>30</v>
      </c>
      <c r="Z1675" s="166">
        <v>1</v>
      </c>
      <c r="AA1675" s="164">
        <f>($L1675*'Pivot Objective'!$C$9^4)*Y1675*Z1675</f>
        <v>1791654.6312921871</v>
      </c>
      <c r="AB1675" s="166">
        <v>0</v>
      </c>
      <c r="AC1675" s="166">
        <v>0</v>
      </c>
      <c r="AD1675" s="164">
        <f>($L1675*'Pivot Objective'!$C$9^5)*AB1675*AC1675</f>
        <v>0</v>
      </c>
      <c r="AE1675" s="166">
        <v>0</v>
      </c>
      <c r="AF1675" s="166">
        <v>0</v>
      </c>
      <c r="AG1675" s="164">
        <f>($L1675*'Pivot Objective'!$C$9^6)*AE1675*AF1675</f>
        <v>0</v>
      </c>
      <c r="AH1675" s="166">
        <v>30</v>
      </c>
      <c r="AI1675" s="166">
        <v>1</v>
      </c>
      <c r="AJ1675" s="164">
        <f>($L1675*'Pivot Objective'!$C$9^7)*AH1675*AI1675</f>
        <v>2674872.2460090914</v>
      </c>
      <c r="AK1675" s="185">
        <f t="shared" si="195"/>
        <v>5666594.0291512776</v>
      </c>
      <c r="AL1675" s="186">
        <f t="shared" si="196"/>
        <v>5501.5476011177452</v>
      </c>
    </row>
    <row r="1676" spans="1:38" customFormat="1" ht="57.6" x14ac:dyDescent="0.3">
      <c r="A1676" s="140" t="s">
        <v>1485</v>
      </c>
      <c r="B1676" s="140">
        <v>3</v>
      </c>
      <c r="C1676" s="166" t="s">
        <v>696</v>
      </c>
      <c r="D1676" s="140" t="str">
        <f t="shared" si="191"/>
        <v>2</v>
      </c>
      <c r="E1676" s="166" t="s">
        <v>690</v>
      </c>
      <c r="F1676" s="140">
        <f t="shared" si="193"/>
        <v>7</v>
      </c>
      <c r="G1676" s="140" t="str">
        <f t="shared" si="192"/>
        <v>3.2.7</v>
      </c>
      <c r="H1676" s="166" t="s">
        <v>656</v>
      </c>
      <c r="I1676" s="166" t="s">
        <v>32</v>
      </c>
      <c r="J1676" s="166" t="s">
        <v>296</v>
      </c>
      <c r="K1676" s="166" t="s">
        <v>709</v>
      </c>
      <c r="L1676" s="166">
        <v>35000</v>
      </c>
      <c r="M1676" s="166">
        <v>0</v>
      </c>
      <c r="N1676" s="166">
        <v>0</v>
      </c>
      <c r="O1676" s="164">
        <f t="shared" si="194"/>
        <v>0</v>
      </c>
      <c r="P1676" s="166">
        <v>25</v>
      </c>
      <c r="Q1676" s="166">
        <v>1</v>
      </c>
      <c r="R1676" s="164">
        <f>$L1676*'Pivot Objective'!$C$9*P1676*Q1676</f>
        <v>1000055.9598749998</v>
      </c>
      <c r="S1676" s="166">
        <v>0</v>
      </c>
      <c r="T1676" s="166">
        <v>0</v>
      </c>
      <c r="U1676" s="164">
        <f>($L1676*'Pivot Objective'!$C$9^2)*S1676*T1676</f>
        <v>0</v>
      </c>
      <c r="V1676" s="166">
        <v>0</v>
      </c>
      <c r="W1676" s="166">
        <v>0</v>
      </c>
      <c r="X1676" s="164">
        <f>($L1676*'Pivot Objective'!$C$9^3)*V1676*W1676</f>
        <v>0</v>
      </c>
      <c r="Y1676" s="166">
        <v>25</v>
      </c>
      <c r="Z1676" s="166">
        <v>1</v>
      </c>
      <c r="AA1676" s="164">
        <f>($L1676*'Pivot Objective'!$C$9^4)*Y1676*Z1676</f>
        <v>1493045.5260768225</v>
      </c>
      <c r="AB1676" s="166">
        <v>0</v>
      </c>
      <c r="AC1676" s="166">
        <v>0</v>
      </c>
      <c r="AD1676" s="164">
        <f>($L1676*'Pivot Objective'!$C$9^5)*AB1676*AC1676</f>
        <v>0</v>
      </c>
      <c r="AE1676" s="166">
        <v>0</v>
      </c>
      <c r="AF1676" s="166">
        <v>0</v>
      </c>
      <c r="AG1676" s="164">
        <f>($L1676*'Pivot Objective'!$C$9^6)*AE1676*AF1676</f>
        <v>0</v>
      </c>
      <c r="AH1676" s="166">
        <v>25</v>
      </c>
      <c r="AI1676" s="166">
        <v>1</v>
      </c>
      <c r="AJ1676" s="164">
        <f>($L1676*'Pivot Objective'!$C$9^7)*AH1676*AI1676</f>
        <v>2229060.2050075764</v>
      </c>
      <c r="AK1676" s="185">
        <f t="shared" si="195"/>
        <v>4722161.6909593986</v>
      </c>
      <c r="AL1676" s="186">
        <f t="shared" si="196"/>
        <v>4584.623000931455</v>
      </c>
    </row>
    <row r="1677" spans="1:38" customFormat="1" ht="57.6" x14ac:dyDescent="0.3">
      <c r="A1677" s="140" t="s">
        <v>1485</v>
      </c>
      <c r="B1677" s="140">
        <v>3</v>
      </c>
      <c r="C1677" s="166" t="s">
        <v>696</v>
      </c>
      <c r="D1677" s="140" t="str">
        <f t="shared" si="191"/>
        <v>2</v>
      </c>
      <c r="E1677" s="166" t="s">
        <v>690</v>
      </c>
      <c r="F1677" s="140">
        <f t="shared" si="193"/>
        <v>7</v>
      </c>
      <c r="G1677" s="140" t="str">
        <f t="shared" si="192"/>
        <v>3.2.7</v>
      </c>
      <c r="H1677" s="166" t="s">
        <v>656</v>
      </c>
      <c r="I1677" s="166" t="s">
        <v>33</v>
      </c>
      <c r="J1677" s="166" t="s">
        <v>297</v>
      </c>
      <c r="K1677" s="166" t="s">
        <v>718</v>
      </c>
      <c r="L1677" s="166">
        <v>0</v>
      </c>
      <c r="M1677" s="166">
        <v>0</v>
      </c>
      <c r="N1677" s="166">
        <v>0</v>
      </c>
      <c r="O1677" s="164">
        <f t="shared" si="194"/>
        <v>0</v>
      </c>
      <c r="P1677" s="166">
        <v>0</v>
      </c>
      <c r="Q1677" s="166">
        <v>0</v>
      </c>
      <c r="R1677" s="164">
        <f>$L1677*'Pivot Objective'!$C$9*P1677*Q1677</f>
        <v>0</v>
      </c>
      <c r="S1677" s="166">
        <v>0</v>
      </c>
      <c r="T1677" s="166">
        <v>0</v>
      </c>
      <c r="U1677" s="164">
        <f>($L1677*'Pivot Objective'!$C$9^2)*S1677*T1677</f>
        <v>0</v>
      </c>
      <c r="V1677" s="166">
        <v>0</v>
      </c>
      <c r="W1677" s="166">
        <v>0</v>
      </c>
      <c r="X1677" s="164">
        <f>($L1677*'Pivot Objective'!$C$9^3)*V1677*W1677</f>
        <v>0</v>
      </c>
      <c r="Y1677" s="166">
        <v>0</v>
      </c>
      <c r="Z1677" s="166">
        <v>0</v>
      </c>
      <c r="AA1677" s="164">
        <f>($L1677*'Pivot Objective'!$C$9^4)*Y1677*Z1677</f>
        <v>0</v>
      </c>
      <c r="AB1677" s="166">
        <v>0</v>
      </c>
      <c r="AC1677" s="166">
        <v>0</v>
      </c>
      <c r="AD1677" s="164">
        <f>($L1677*'Pivot Objective'!$C$9^5)*AB1677*AC1677</f>
        <v>0</v>
      </c>
      <c r="AE1677" s="166">
        <v>0</v>
      </c>
      <c r="AF1677" s="166">
        <v>0</v>
      </c>
      <c r="AG1677" s="164">
        <f>($L1677*'Pivot Objective'!$C$9^6)*AE1677*AF1677</f>
        <v>0</v>
      </c>
      <c r="AH1677" s="166">
        <v>0</v>
      </c>
      <c r="AI1677" s="166">
        <v>0</v>
      </c>
      <c r="AJ1677" s="164">
        <f>($L1677*'Pivot Objective'!$C$9^7)*AH1677*AI1677</f>
        <v>0</v>
      </c>
      <c r="AK1677" s="185">
        <f t="shared" si="195"/>
        <v>0</v>
      </c>
      <c r="AL1677" s="186">
        <f t="shared" si="196"/>
        <v>0</v>
      </c>
    </row>
    <row r="1678" spans="1:38" customFormat="1" ht="57.6" x14ac:dyDescent="0.3">
      <c r="A1678" s="140" t="s">
        <v>1485</v>
      </c>
      <c r="B1678" s="140">
        <v>3</v>
      </c>
      <c r="C1678" s="166" t="s">
        <v>696</v>
      </c>
      <c r="D1678" s="140" t="str">
        <f t="shared" si="191"/>
        <v>2</v>
      </c>
      <c r="E1678" s="166" t="s">
        <v>690</v>
      </c>
      <c r="F1678" s="140">
        <f t="shared" si="193"/>
        <v>7</v>
      </c>
      <c r="G1678" s="140" t="str">
        <f t="shared" si="192"/>
        <v>3.2.7</v>
      </c>
      <c r="H1678" s="166" t="s">
        <v>656</v>
      </c>
      <c r="I1678" s="166" t="s">
        <v>33</v>
      </c>
      <c r="J1678" s="166" t="s">
        <v>298</v>
      </c>
      <c r="K1678" s="166" t="s">
        <v>718</v>
      </c>
      <c r="L1678" s="166">
        <v>0</v>
      </c>
      <c r="M1678" s="166">
        <v>0</v>
      </c>
      <c r="N1678" s="166">
        <v>0</v>
      </c>
      <c r="O1678" s="164">
        <f t="shared" si="194"/>
        <v>0</v>
      </c>
      <c r="P1678" s="166">
        <v>0</v>
      </c>
      <c r="Q1678" s="166">
        <v>0</v>
      </c>
      <c r="R1678" s="164">
        <f>$L1678*'Pivot Objective'!$C$9*P1678*Q1678</f>
        <v>0</v>
      </c>
      <c r="S1678" s="166">
        <v>0</v>
      </c>
      <c r="T1678" s="166">
        <v>0</v>
      </c>
      <c r="U1678" s="164">
        <f>($L1678*'Pivot Objective'!$C$9^2)*S1678*T1678</f>
        <v>0</v>
      </c>
      <c r="V1678" s="166">
        <v>0</v>
      </c>
      <c r="W1678" s="166">
        <v>0</v>
      </c>
      <c r="X1678" s="164">
        <f>($L1678*'Pivot Objective'!$C$9^3)*V1678*W1678</f>
        <v>0</v>
      </c>
      <c r="Y1678" s="166">
        <v>0</v>
      </c>
      <c r="Z1678" s="166">
        <v>0</v>
      </c>
      <c r="AA1678" s="164">
        <f>($L1678*'Pivot Objective'!$C$9^4)*Y1678*Z1678</f>
        <v>0</v>
      </c>
      <c r="AB1678" s="166">
        <v>0</v>
      </c>
      <c r="AC1678" s="166">
        <v>0</v>
      </c>
      <c r="AD1678" s="164">
        <f>($L1678*'Pivot Objective'!$C$9^5)*AB1678*AC1678</f>
        <v>0</v>
      </c>
      <c r="AE1678" s="166">
        <v>0</v>
      </c>
      <c r="AF1678" s="166">
        <v>0</v>
      </c>
      <c r="AG1678" s="164">
        <f>($L1678*'Pivot Objective'!$C$9^6)*AE1678*AF1678</f>
        <v>0</v>
      </c>
      <c r="AH1678" s="166">
        <v>0</v>
      </c>
      <c r="AI1678" s="166">
        <v>0</v>
      </c>
      <c r="AJ1678" s="164">
        <f>($L1678*'Pivot Objective'!$C$9^7)*AH1678*AI1678</f>
        <v>0</v>
      </c>
      <c r="AK1678" s="185">
        <f t="shared" si="195"/>
        <v>0</v>
      </c>
      <c r="AL1678" s="186">
        <f t="shared" si="196"/>
        <v>0</v>
      </c>
    </row>
    <row r="1679" spans="1:38" customFormat="1" ht="57.6" x14ac:dyDescent="0.3">
      <c r="A1679" s="140" t="s">
        <v>1485</v>
      </c>
      <c r="B1679" s="140">
        <v>3</v>
      </c>
      <c r="C1679" s="166" t="s">
        <v>696</v>
      </c>
      <c r="D1679" s="140" t="str">
        <f t="shared" si="191"/>
        <v>2</v>
      </c>
      <c r="E1679" s="166" t="s">
        <v>690</v>
      </c>
      <c r="F1679" s="140">
        <f t="shared" si="193"/>
        <v>7</v>
      </c>
      <c r="G1679" s="140" t="str">
        <f t="shared" si="192"/>
        <v>3.2.7</v>
      </c>
      <c r="H1679" s="166" t="s">
        <v>656</v>
      </c>
      <c r="I1679" s="166" t="s">
        <v>33</v>
      </c>
      <c r="J1679" s="166" t="s">
        <v>149</v>
      </c>
      <c r="K1679" s="166" t="s">
        <v>707</v>
      </c>
      <c r="L1679" s="166">
        <v>391991.03749999998</v>
      </c>
      <c r="M1679" s="166">
        <v>0</v>
      </c>
      <c r="N1679" s="166">
        <v>0</v>
      </c>
      <c r="O1679" s="164">
        <f t="shared" si="194"/>
        <v>0</v>
      </c>
      <c r="P1679" s="166">
        <v>2</v>
      </c>
      <c r="Q1679" s="166">
        <v>2</v>
      </c>
      <c r="R1679" s="164">
        <f>$L1679*'Pivot Objective'!$C$9*P1679*Q1679</f>
        <v>1792059.3063746723</v>
      </c>
      <c r="S1679" s="166">
        <v>0</v>
      </c>
      <c r="T1679" s="166">
        <v>0</v>
      </c>
      <c r="U1679" s="164">
        <f>($L1679*'Pivot Objective'!$C$9^2)*S1679*T1679</f>
        <v>0</v>
      </c>
      <c r="V1679" s="166">
        <v>1</v>
      </c>
      <c r="W1679" s="166">
        <v>4</v>
      </c>
      <c r="X1679" s="164">
        <f>($L1679*'Pivot Objective'!$C$9^3)*V1679*W1679</f>
        <v>2340910.8621271173</v>
      </c>
      <c r="Y1679" s="166">
        <v>2</v>
      </c>
      <c r="Z1679" s="166">
        <v>2</v>
      </c>
      <c r="AA1679" s="164">
        <f>($L1679*'Pivot Objective'!$C$9^4)*Y1679*Z1679</f>
        <v>2675476.4105215403</v>
      </c>
      <c r="AB1679" s="166">
        <v>0</v>
      </c>
      <c r="AC1679" s="166">
        <v>0</v>
      </c>
      <c r="AD1679" s="164">
        <f>($L1679*'Pivot Objective'!$C$9^5)*AB1679*AC1679</f>
        <v>0</v>
      </c>
      <c r="AE1679" s="166">
        <v>0</v>
      </c>
      <c r="AF1679" s="166">
        <v>0</v>
      </c>
      <c r="AG1679" s="164">
        <f>($L1679*'Pivot Objective'!$C$9^6)*AE1679*AF1679</f>
        <v>0</v>
      </c>
      <c r="AH1679" s="166">
        <v>2</v>
      </c>
      <c r="AI1679" s="166">
        <v>2</v>
      </c>
      <c r="AJ1679" s="164">
        <f>($L1679*'Pivot Objective'!$C$9^7)*AH1679*AI1679</f>
        <v>3994384.5595926056</v>
      </c>
      <c r="AK1679" s="185">
        <f t="shared" si="195"/>
        <v>10802831.138615936</v>
      </c>
      <c r="AL1679" s="186">
        <f t="shared" si="196"/>
        <v>10488.185571471782</v>
      </c>
    </row>
    <row r="1680" spans="1:38" customFormat="1" ht="57.6" x14ac:dyDescent="0.3">
      <c r="A1680" s="140" t="s">
        <v>1485</v>
      </c>
      <c r="B1680" s="140">
        <v>3</v>
      </c>
      <c r="C1680" s="166" t="s">
        <v>696</v>
      </c>
      <c r="D1680" s="140" t="str">
        <f t="shared" si="191"/>
        <v>2</v>
      </c>
      <c r="E1680" s="166" t="s">
        <v>690</v>
      </c>
      <c r="F1680" s="140">
        <f t="shared" si="193"/>
        <v>7</v>
      </c>
      <c r="G1680" s="140" t="str">
        <f t="shared" si="192"/>
        <v>3.2.7</v>
      </c>
      <c r="H1680" s="166" t="s">
        <v>656</v>
      </c>
      <c r="I1680" s="166" t="s">
        <v>33</v>
      </c>
      <c r="J1680" s="166" t="s">
        <v>149</v>
      </c>
      <c r="K1680" s="166" t="s">
        <v>708</v>
      </c>
      <c r="L1680" s="166">
        <f>980*1022</f>
        <v>1001560</v>
      </c>
      <c r="M1680" s="166">
        <v>0</v>
      </c>
      <c r="N1680" s="166">
        <v>0</v>
      </c>
      <c r="O1680" s="164">
        <f t="shared" si="194"/>
        <v>0</v>
      </c>
      <c r="P1680" s="166">
        <v>1</v>
      </c>
      <c r="Q1680" s="166">
        <v>25</v>
      </c>
      <c r="R1680" s="164">
        <f>$L1680*'Pivot Objective'!$C$9*P1680*Q1680</f>
        <v>28617601.347782999</v>
      </c>
      <c r="S1680" s="166">
        <v>0</v>
      </c>
      <c r="T1680" s="166">
        <v>0</v>
      </c>
      <c r="U1680" s="164">
        <f>($L1680*'Pivot Objective'!$C$9^2)*S1680*T1680</f>
        <v>0</v>
      </c>
      <c r="V1680" s="166">
        <v>1</v>
      </c>
      <c r="W1680" s="166">
        <v>40</v>
      </c>
      <c r="X1680" s="164">
        <f>($L1680*'Pivot Objective'!$C$9^3)*V1680*W1680</f>
        <v>59811640.032000363</v>
      </c>
      <c r="Y1680" s="166">
        <v>1</v>
      </c>
      <c r="Z1680" s="166">
        <v>25</v>
      </c>
      <c r="AA1680" s="164">
        <f>($L1680*'Pivot Objective'!$C$9^4)*Y1680*Z1680</f>
        <v>42724990.774214357</v>
      </c>
      <c r="AB1680" s="166">
        <v>0</v>
      </c>
      <c r="AC1680" s="166">
        <v>0</v>
      </c>
      <c r="AD1680" s="164">
        <f>($L1680*'Pivot Objective'!$C$9^5)*AB1680*AC1680</f>
        <v>0</v>
      </c>
      <c r="AE1680" s="166">
        <v>0</v>
      </c>
      <c r="AF1680" s="166">
        <v>0</v>
      </c>
      <c r="AG1680" s="164">
        <f>($L1680*'Pivot Objective'!$C$9^6)*AE1680*AF1680</f>
        <v>0</v>
      </c>
      <c r="AH1680" s="166">
        <v>1</v>
      </c>
      <c r="AI1680" s="166">
        <v>25</v>
      </c>
      <c r="AJ1680" s="164">
        <f>($L1680*'Pivot Objective'!$C$9^7)*AH1680*AI1680</f>
        <v>63786786.826496802</v>
      </c>
      <c r="AK1680" s="185">
        <f t="shared" si="195"/>
        <v>194941018.98049453</v>
      </c>
      <c r="AL1680" s="186">
        <f t="shared" si="196"/>
        <v>189263.1252237811</v>
      </c>
    </row>
    <row r="1681" spans="1:38" customFormat="1" ht="57.6" x14ac:dyDescent="0.3">
      <c r="A1681" s="140" t="s">
        <v>1485</v>
      </c>
      <c r="B1681" s="140">
        <v>3</v>
      </c>
      <c r="C1681" s="166" t="s">
        <v>696</v>
      </c>
      <c r="D1681" s="140" t="str">
        <f t="shared" si="191"/>
        <v>2</v>
      </c>
      <c r="E1681" s="166" t="s">
        <v>690</v>
      </c>
      <c r="F1681" s="140">
        <f t="shared" si="193"/>
        <v>7</v>
      </c>
      <c r="G1681" s="140" t="str">
        <f t="shared" si="192"/>
        <v>3.2.7</v>
      </c>
      <c r="H1681" s="166" t="s">
        <v>656</v>
      </c>
      <c r="I1681" s="166" t="s">
        <v>33</v>
      </c>
      <c r="J1681" s="166" t="s">
        <v>299</v>
      </c>
      <c r="K1681" s="166" t="s">
        <v>718</v>
      </c>
      <c r="L1681" s="166">
        <v>0</v>
      </c>
      <c r="M1681" s="166">
        <v>0</v>
      </c>
      <c r="N1681" s="166">
        <v>0</v>
      </c>
      <c r="O1681" s="164">
        <f t="shared" si="194"/>
        <v>0</v>
      </c>
      <c r="P1681" s="166">
        <v>0</v>
      </c>
      <c r="Q1681" s="166">
        <v>0</v>
      </c>
      <c r="R1681" s="164">
        <f>$L1681*'Pivot Objective'!$C$9*P1681*Q1681</f>
        <v>0</v>
      </c>
      <c r="S1681" s="166">
        <v>0</v>
      </c>
      <c r="T1681" s="166">
        <v>0</v>
      </c>
      <c r="U1681" s="164">
        <f>($L1681*'Pivot Objective'!$C$9^2)*S1681*T1681</f>
        <v>0</v>
      </c>
      <c r="V1681" s="166">
        <v>0</v>
      </c>
      <c r="W1681" s="166">
        <v>0</v>
      </c>
      <c r="X1681" s="164">
        <f>($L1681*'Pivot Objective'!$C$9^3)*V1681*W1681</f>
        <v>0</v>
      </c>
      <c r="Y1681" s="166">
        <v>0</v>
      </c>
      <c r="Z1681" s="166">
        <v>0</v>
      </c>
      <c r="AA1681" s="164">
        <f>($L1681*'Pivot Objective'!$C$9^4)*Y1681*Z1681</f>
        <v>0</v>
      </c>
      <c r="AB1681" s="166">
        <v>0</v>
      </c>
      <c r="AC1681" s="166">
        <v>0</v>
      </c>
      <c r="AD1681" s="164">
        <f>($L1681*'Pivot Objective'!$C$9^5)*AB1681*AC1681</f>
        <v>0</v>
      </c>
      <c r="AE1681" s="166">
        <v>0</v>
      </c>
      <c r="AF1681" s="166">
        <v>0</v>
      </c>
      <c r="AG1681" s="164">
        <f>($L1681*'Pivot Objective'!$C$9^6)*AE1681*AF1681</f>
        <v>0</v>
      </c>
      <c r="AH1681" s="166">
        <v>0</v>
      </c>
      <c r="AI1681" s="166">
        <v>0</v>
      </c>
      <c r="AJ1681" s="164">
        <f>($L1681*'Pivot Objective'!$C$9^7)*AH1681*AI1681</f>
        <v>0</v>
      </c>
      <c r="AK1681" s="185">
        <f t="shared" si="195"/>
        <v>0</v>
      </c>
      <c r="AL1681" s="186">
        <f t="shared" si="196"/>
        <v>0</v>
      </c>
    </row>
    <row r="1682" spans="1:38" customFormat="1" ht="57.6" x14ac:dyDescent="0.3">
      <c r="A1682" s="140" t="s">
        <v>1485</v>
      </c>
      <c r="B1682" s="140">
        <v>3</v>
      </c>
      <c r="C1682" s="166" t="s">
        <v>696</v>
      </c>
      <c r="D1682" s="140" t="str">
        <f t="shared" si="191"/>
        <v>2</v>
      </c>
      <c r="E1682" s="166" t="s">
        <v>690</v>
      </c>
      <c r="F1682" s="140">
        <f t="shared" si="193"/>
        <v>7</v>
      </c>
      <c r="G1682" s="140" t="str">
        <f t="shared" si="192"/>
        <v>3.2.7</v>
      </c>
      <c r="H1682" s="166" t="s">
        <v>656</v>
      </c>
      <c r="I1682" s="166" t="s">
        <v>33</v>
      </c>
      <c r="J1682" s="166" t="s">
        <v>300</v>
      </c>
      <c r="K1682" s="166" t="s">
        <v>709</v>
      </c>
      <c r="L1682" s="166">
        <v>35000</v>
      </c>
      <c r="M1682" s="166">
        <v>0</v>
      </c>
      <c r="N1682" s="166">
        <v>0</v>
      </c>
      <c r="O1682" s="164">
        <f t="shared" si="194"/>
        <v>0</v>
      </c>
      <c r="P1682" s="166">
        <v>50</v>
      </c>
      <c r="Q1682" s="166">
        <v>5</v>
      </c>
      <c r="R1682" s="164">
        <f>$L1682*'Pivot Objective'!$C$9*P1682*Q1682</f>
        <v>10000559.598749999</v>
      </c>
      <c r="S1682" s="166">
        <v>0</v>
      </c>
      <c r="T1682" s="166">
        <v>0</v>
      </c>
      <c r="U1682" s="164">
        <f>($L1682*'Pivot Objective'!$C$9^2)*S1682*T1682</f>
        <v>0</v>
      </c>
      <c r="V1682" s="166">
        <v>30</v>
      </c>
      <c r="W1682" s="166">
        <v>1</v>
      </c>
      <c r="X1682" s="164">
        <f>($L1682*'Pivot Objective'!$C$9^3)*V1682*W1682</f>
        <v>1567610.0791165878</v>
      </c>
      <c r="Y1682" s="166">
        <v>50</v>
      </c>
      <c r="Z1682" s="166">
        <v>5</v>
      </c>
      <c r="AA1682" s="164">
        <f>($L1682*'Pivot Objective'!$C$9^4)*Y1682*Z1682</f>
        <v>14930455.260768225</v>
      </c>
      <c r="AB1682" s="166">
        <v>0</v>
      </c>
      <c r="AC1682" s="166">
        <v>0</v>
      </c>
      <c r="AD1682" s="164">
        <f>($L1682*'Pivot Objective'!$C$9^5)*AB1682*AC1682</f>
        <v>0</v>
      </c>
      <c r="AE1682" s="166">
        <v>0</v>
      </c>
      <c r="AF1682" s="166">
        <v>0</v>
      </c>
      <c r="AG1682" s="164">
        <f>($L1682*'Pivot Objective'!$C$9^6)*AE1682*AF1682</f>
        <v>0</v>
      </c>
      <c r="AH1682" s="166">
        <v>50</v>
      </c>
      <c r="AI1682" s="166">
        <v>5</v>
      </c>
      <c r="AJ1682" s="164">
        <f>($L1682*'Pivot Objective'!$C$9^7)*AH1682*AI1682</f>
        <v>22290602.050075762</v>
      </c>
      <c r="AK1682" s="185">
        <f t="shared" si="195"/>
        <v>48789226.988710575</v>
      </c>
      <c r="AL1682" s="186">
        <f t="shared" si="196"/>
        <v>47368.181542437451</v>
      </c>
    </row>
    <row r="1683" spans="1:38" customFormat="1" ht="57.6" x14ac:dyDescent="0.3">
      <c r="A1683" s="140" t="s">
        <v>1485</v>
      </c>
      <c r="B1683" s="140">
        <v>3</v>
      </c>
      <c r="C1683" s="166" t="s">
        <v>696</v>
      </c>
      <c r="D1683" s="140" t="str">
        <f t="shared" si="191"/>
        <v>2</v>
      </c>
      <c r="E1683" s="166" t="s">
        <v>690</v>
      </c>
      <c r="F1683" s="140">
        <f t="shared" si="193"/>
        <v>7</v>
      </c>
      <c r="G1683" s="140" t="str">
        <f t="shared" si="192"/>
        <v>3.2.7</v>
      </c>
      <c r="H1683" s="166" t="s">
        <v>656</v>
      </c>
      <c r="I1683" s="166" t="s">
        <v>33</v>
      </c>
      <c r="J1683" s="166" t="s">
        <v>300</v>
      </c>
      <c r="K1683" s="166" t="s">
        <v>716</v>
      </c>
      <c r="L1683" s="166">
        <v>39000</v>
      </c>
      <c r="M1683" s="166">
        <v>0</v>
      </c>
      <c r="N1683" s="166">
        <v>0</v>
      </c>
      <c r="O1683" s="164">
        <f t="shared" si="194"/>
        <v>0</v>
      </c>
      <c r="P1683" s="166">
        <v>25</v>
      </c>
      <c r="Q1683" s="166">
        <v>6</v>
      </c>
      <c r="R1683" s="164">
        <f>$L1683*'Pivot Objective'!$C$9*P1683*Q1683</f>
        <v>6686088.4174499996</v>
      </c>
      <c r="S1683" s="166">
        <v>0</v>
      </c>
      <c r="T1683" s="166">
        <v>0</v>
      </c>
      <c r="U1683" s="164">
        <f>($L1683*'Pivot Objective'!$C$9^2)*S1683*T1683</f>
        <v>0</v>
      </c>
      <c r="V1683" s="166">
        <v>10</v>
      </c>
      <c r="W1683" s="166">
        <v>1</v>
      </c>
      <c r="X1683" s="164">
        <f>($L1683*'Pivot Objective'!$C$9^3)*V1683*W1683</f>
        <v>582255.17224330397</v>
      </c>
      <c r="Y1683" s="166">
        <v>25</v>
      </c>
      <c r="Z1683" s="166">
        <v>6</v>
      </c>
      <c r="AA1683" s="164">
        <f>($L1683*'Pivot Objective'!$C$9^4)*Y1683*Z1683</f>
        <v>9982075.8029136136</v>
      </c>
      <c r="AB1683" s="166">
        <v>0</v>
      </c>
      <c r="AC1683" s="166">
        <v>0</v>
      </c>
      <c r="AD1683" s="164">
        <f>($L1683*'Pivot Objective'!$C$9^5)*AB1683*AC1683</f>
        <v>0</v>
      </c>
      <c r="AE1683" s="166">
        <v>0</v>
      </c>
      <c r="AF1683" s="166">
        <v>0</v>
      </c>
      <c r="AG1683" s="164">
        <f>($L1683*'Pivot Objective'!$C$9^6)*AE1683*AF1683</f>
        <v>0</v>
      </c>
      <c r="AH1683" s="166">
        <v>25</v>
      </c>
      <c r="AI1683" s="166">
        <v>6</v>
      </c>
      <c r="AJ1683" s="164">
        <f>($L1683*'Pivot Objective'!$C$9^7)*AH1683*AI1683</f>
        <v>14902859.656336365</v>
      </c>
      <c r="AK1683" s="185">
        <f t="shared" si="195"/>
        <v>32153279.048943281</v>
      </c>
      <c r="AL1683" s="186">
        <f t="shared" si="196"/>
        <v>31216.77577567309</v>
      </c>
    </row>
    <row r="1684" spans="1:38" customFormat="1" ht="57.6" x14ac:dyDescent="0.3">
      <c r="A1684" s="140" t="s">
        <v>1485</v>
      </c>
      <c r="B1684" s="140">
        <v>3</v>
      </c>
      <c r="C1684" s="166" t="s">
        <v>696</v>
      </c>
      <c r="D1684" s="140" t="str">
        <f t="shared" si="191"/>
        <v>2</v>
      </c>
      <c r="E1684" s="166" t="s">
        <v>690</v>
      </c>
      <c r="F1684" s="140">
        <f t="shared" si="193"/>
        <v>7</v>
      </c>
      <c r="G1684" s="140" t="str">
        <f t="shared" si="192"/>
        <v>3.2.7</v>
      </c>
      <c r="H1684" s="166" t="s">
        <v>656</v>
      </c>
      <c r="I1684" s="166" t="s">
        <v>33</v>
      </c>
      <c r="J1684" s="166" t="s">
        <v>300</v>
      </c>
      <c r="K1684" s="166" t="s">
        <v>712</v>
      </c>
      <c r="L1684" s="166">
        <f>1480/7</f>
        <v>211.42857142857142</v>
      </c>
      <c r="M1684" s="166">
        <v>0</v>
      </c>
      <c r="N1684" s="166">
        <v>0</v>
      </c>
      <c r="O1684" s="164">
        <f t="shared" si="194"/>
        <v>0</v>
      </c>
      <c r="P1684" s="166">
        <v>0</v>
      </c>
      <c r="Q1684" s="166">
        <v>5</v>
      </c>
      <c r="R1684" s="164">
        <f>$L1684*'Pivot Objective'!$C$9*P1684*Q1684</f>
        <v>0</v>
      </c>
      <c r="S1684" s="166">
        <v>0</v>
      </c>
      <c r="T1684" s="166">
        <v>0</v>
      </c>
      <c r="U1684" s="164">
        <f>($L1684*'Pivot Objective'!$C$9^2)*S1684*T1684</f>
        <v>0</v>
      </c>
      <c r="V1684" s="166">
        <v>4000</v>
      </c>
      <c r="W1684" s="166">
        <v>1</v>
      </c>
      <c r="X1684" s="164">
        <f>($L1684*'Pivot Objective'!$C$9^3)*V1684*W1684</f>
        <v>1262619.2746081902</v>
      </c>
      <c r="Y1684" s="166">
        <v>0</v>
      </c>
      <c r="Z1684" s="166">
        <v>5</v>
      </c>
      <c r="AA1684" s="164">
        <f>($L1684*'Pivot Objective'!$C$9^4)*Y1684*Z1684</f>
        <v>0</v>
      </c>
      <c r="AB1684" s="166">
        <v>0</v>
      </c>
      <c r="AC1684" s="166">
        <v>0</v>
      </c>
      <c r="AD1684" s="164">
        <f>($L1684*'Pivot Objective'!$C$9^5)*AB1684*AC1684</f>
        <v>0</v>
      </c>
      <c r="AE1684" s="166">
        <v>0</v>
      </c>
      <c r="AF1684" s="166">
        <v>0</v>
      </c>
      <c r="AG1684" s="164">
        <f>($L1684*'Pivot Objective'!$C$9^6)*AE1684*AF1684</f>
        <v>0</v>
      </c>
      <c r="AH1684" s="166">
        <v>0</v>
      </c>
      <c r="AI1684" s="166">
        <v>5</v>
      </c>
      <c r="AJ1684" s="164">
        <f>($L1684*'Pivot Objective'!$C$9^7)*AH1684*AI1684</f>
        <v>0</v>
      </c>
      <c r="AK1684" s="185">
        <f t="shared" si="195"/>
        <v>1262619.2746081902</v>
      </c>
      <c r="AL1684" s="186">
        <f t="shared" si="196"/>
        <v>1225.8439559302817</v>
      </c>
    </row>
    <row r="1685" spans="1:38" customFormat="1" ht="57.6" x14ac:dyDescent="0.3">
      <c r="A1685" s="140" t="s">
        <v>1485</v>
      </c>
      <c r="B1685" s="140">
        <v>3</v>
      </c>
      <c r="C1685" s="166" t="s">
        <v>696</v>
      </c>
      <c r="D1685" s="140" t="str">
        <f t="shared" si="191"/>
        <v>2</v>
      </c>
      <c r="E1685" s="166" t="s">
        <v>690</v>
      </c>
      <c r="F1685" s="140">
        <f t="shared" si="193"/>
        <v>7</v>
      </c>
      <c r="G1685" s="140" t="str">
        <f t="shared" si="192"/>
        <v>3.2.7</v>
      </c>
      <c r="H1685" s="166" t="s">
        <v>656</v>
      </c>
      <c r="I1685" s="166" t="s">
        <v>33</v>
      </c>
      <c r="J1685" s="166" t="s">
        <v>301</v>
      </c>
      <c r="K1685" s="166" t="s">
        <v>709</v>
      </c>
      <c r="L1685" s="166">
        <v>35000</v>
      </c>
      <c r="M1685" s="166">
        <v>0</v>
      </c>
      <c r="N1685" s="166">
        <v>0</v>
      </c>
      <c r="O1685" s="164">
        <f t="shared" si="194"/>
        <v>0</v>
      </c>
      <c r="P1685" s="166">
        <v>50</v>
      </c>
      <c r="Q1685" s="166">
        <v>5</v>
      </c>
      <c r="R1685" s="164">
        <f>$L1685*'Pivot Objective'!$C$9*P1685*Q1685</f>
        <v>10000559.598749999</v>
      </c>
      <c r="S1685" s="166">
        <v>0</v>
      </c>
      <c r="T1685" s="166">
        <v>0</v>
      </c>
      <c r="U1685" s="164">
        <f>($L1685*'Pivot Objective'!$C$9^2)*S1685*T1685</f>
        <v>0</v>
      </c>
      <c r="V1685" s="166">
        <v>40</v>
      </c>
      <c r="W1685" s="166">
        <v>5</v>
      </c>
      <c r="X1685" s="164">
        <f>($L1685*'Pivot Objective'!$C$9^3)*V1685*W1685</f>
        <v>10450733.860777251</v>
      </c>
      <c r="Y1685" s="166">
        <v>50</v>
      </c>
      <c r="Z1685" s="166">
        <v>5</v>
      </c>
      <c r="AA1685" s="164">
        <f>($L1685*'Pivot Objective'!$C$9^4)*Y1685*Z1685</f>
        <v>14930455.260768225</v>
      </c>
      <c r="AB1685" s="166">
        <v>0</v>
      </c>
      <c r="AC1685" s="166">
        <v>0</v>
      </c>
      <c r="AD1685" s="164">
        <f>($L1685*'Pivot Objective'!$C$9^5)*AB1685*AC1685</f>
        <v>0</v>
      </c>
      <c r="AE1685" s="166">
        <v>0</v>
      </c>
      <c r="AF1685" s="166">
        <v>0</v>
      </c>
      <c r="AG1685" s="164">
        <f>($L1685*'Pivot Objective'!$C$9^6)*AE1685*AF1685</f>
        <v>0</v>
      </c>
      <c r="AH1685" s="166">
        <v>50</v>
      </c>
      <c r="AI1685" s="166">
        <v>5</v>
      </c>
      <c r="AJ1685" s="164">
        <f>($L1685*'Pivot Objective'!$C$9^7)*AH1685*AI1685</f>
        <v>22290602.050075762</v>
      </c>
      <c r="AK1685" s="185">
        <f t="shared" si="195"/>
        <v>57672350.770371236</v>
      </c>
      <c r="AL1685" s="186">
        <f t="shared" si="196"/>
        <v>55992.573563467216</v>
      </c>
    </row>
    <row r="1686" spans="1:38" customFormat="1" ht="57.6" x14ac:dyDescent="0.3">
      <c r="A1686" s="140" t="s">
        <v>1485</v>
      </c>
      <c r="B1686" s="140">
        <v>3</v>
      </c>
      <c r="C1686" s="166" t="s">
        <v>696</v>
      </c>
      <c r="D1686" s="140" t="str">
        <f t="shared" si="191"/>
        <v>2</v>
      </c>
      <c r="E1686" s="166" t="s">
        <v>690</v>
      </c>
      <c r="F1686" s="140">
        <f t="shared" si="193"/>
        <v>7</v>
      </c>
      <c r="G1686" s="140" t="str">
        <f t="shared" si="192"/>
        <v>3.2.7</v>
      </c>
      <c r="H1686" s="166" t="s">
        <v>656</v>
      </c>
      <c r="I1686" s="166" t="s">
        <v>33</v>
      </c>
      <c r="J1686" s="166" t="s">
        <v>301</v>
      </c>
      <c r="K1686" s="166" t="s">
        <v>716</v>
      </c>
      <c r="L1686" s="166">
        <v>39000</v>
      </c>
      <c r="M1686" s="166">
        <v>0</v>
      </c>
      <c r="N1686" s="166">
        <v>0</v>
      </c>
      <c r="O1686" s="164">
        <f t="shared" si="194"/>
        <v>0</v>
      </c>
      <c r="P1686" s="166">
        <v>50</v>
      </c>
      <c r="Q1686" s="166">
        <v>6</v>
      </c>
      <c r="R1686" s="164">
        <f>$L1686*'Pivot Objective'!$C$9*P1686*Q1686</f>
        <v>13372176.834899999</v>
      </c>
      <c r="S1686" s="166">
        <v>0</v>
      </c>
      <c r="T1686" s="166">
        <v>0</v>
      </c>
      <c r="U1686" s="164">
        <f>($L1686*'Pivot Objective'!$C$9^2)*S1686*T1686</f>
        <v>0</v>
      </c>
      <c r="V1686" s="166">
        <v>40</v>
      </c>
      <c r="W1686" s="166">
        <v>5</v>
      </c>
      <c r="X1686" s="164">
        <f>($L1686*'Pivot Objective'!$C$9^3)*V1686*W1686</f>
        <v>11645103.44486608</v>
      </c>
      <c r="Y1686" s="166">
        <v>50</v>
      </c>
      <c r="Z1686" s="166">
        <v>6</v>
      </c>
      <c r="AA1686" s="164">
        <f>($L1686*'Pivot Objective'!$C$9^4)*Y1686*Z1686</f>
        <v>19964151.605827227</v>
      </c>
      <c r="AB1686" s="166">
        <v>0</v>
      </c>
      <c r="AC1686" s="166">
        <v>0</v>
      </c>
      <c r="AD1686" s="164">
        <f>($L1686*'Pivot Objective'!$C$9^5)*AB1686*AC1686</f>
        <v>0</v>
      </c>
      <c r="AE1686" s="166">
        <v>0</v>
      </c>
      <c r="AF1686" s="166">
        <v>0</v>
      </c>
      <c r="AG1686" s="164">
        <f>($L1686*'Pivot Objective'!$C$9^6)*AE1686*AF1686</f>
        <v>0</v>
      </c>
      <c r="AH1686" s="166">
        <v>50</v>
      </c>
      <c r="AI1686" s="166">
        <v>6</v>
      </c>
      <c r="AJ1686" s="164">
        <f>($L1686*'Pivot Objective'!$C$9^7)*AH1686*AI1686</f>
        <v>29805719.312672731</v>
      </c>
      <c r="AK1686" s="185">
        <f t="shared" si="195"/>
        <v>74787151.198266044</v>
      </c>
      <c r="AL1686" s="186">
        <f t="shared" si="196"/>
        <v>72608.884658510724</v>
      </c>
    </row>
    <row r="1687" spans="1:38" customFormat="1" ht="57.6" x14ac:dyDescent="0.3">
      <c r="A1687" s="140" t="s">
        <v>1485</v>
      </c>
      <c r="B1687" s="140">
        <v>3</v>
      </c>
      <c r="C1687" s="166" t="s">
        <v>696</v>
      </c>
      <c r="D1687" s="140" t="str">
        <f t="shared" si="191"/>
        <v>2</v>
      </c>
      <c r="E1687" s="166" t="s">
        <v>690</v>
      </c>
      <c r="F1687" s="140">
        <f t="shared" si="193"/>
        <v>7</v>
      </c>
      <c r="G1687" s="140" t="str">
        <f t="shared" si="192"/>
        <v>3.2.7</v>
      </c>
      <c r="H1687" s="166" t="s">
        <v>656</v>
      </c>
      <c r="I1687" s="166" t="s">
        <v>33</v>
      </c>
      <c r="J1687" s="166" t="s">
        <v>301</v>
      </c>
      <c r="K1687" s="166" t="s">
        <v>712</v>
      </c>
      <c r="L1687" s="166">
        <f>1480/7</f>
        <v>211.42857142857142</v>
      </c>
      <c r="M1687" s="166">
        <v>0</v>
      </c>
      <c r="N1687" s="166">
        <v>0</v>
      </c>
      <c r="O1687" s="164">
        <f t="shared" si="194"/>
        <v>0</v>
      </c>
      <c r="P1687" s="166">
        <f>2*25*9</f>
        <v>450</v>
      </c>
      <c r="Q1687" s="166">
        <v>5</v>
      </c>
      <c r="R1687" s="164">
        <f>$L1687*'Pivot Objective'!$C$9*P1687*Q1687</f>
        <v>543703.89328714274</v>
      </c>
      <c r="S1687" s="166">
        <v>0</v>
      </c>
      <c r="T1687" s="166">
        <v>0</v>
      </c>
      <c r="U1687" s="164">
        <f>($L1687*'Pivot Objective'!$C$9^2)*S1687*T1687</f>
        <v>0</v>
      </c>
      <c r="V1687" s="166">
        <v>8000</v>
      </c>
      <c r="W1687" s="166">
        <v>1</v>
      </c>
      <c r="X1687" s="164">
        <f>($L1687*'Pivot Objective'!$C$9^3)*V1687*W1687</f>
        <v>2525238.5492163803</v>
      </c>
      <c r="Y1687" s="166">
        <f>2*25*9</f>
        <v>450</v>
      </c>
      <c r="Z1687" s="166">
        <v>5</v>
      </c>
      <c r="AA1687" s="164">
        <f>($L1687*'Pivot Objective'!$C$9^4)*Y1687*Z1687</f>
        <v>811729.24111605203</v>
      </c>
      <c r="AB1687" s="166">
        <v>0</v>
      </c>
      <c r="AC1687" s="166">
        <v>0</v>
      </c>
      <c r="AD1687" s="164">
        <f>($L1687*'Pivot Objective'!$C$9^5)*AB1687*AC1687</f>
        <v>0</v>
      </c>
      <c r="AE1687" s="166">
        <v>0</v>
      </c>
      <c r="AF1687" s="166">
        <v>0</v>
      </c>
      <c r="AG1687" s="164">
        <f>($L1687*'Pivot Objective'!$C$9^6)*AE1687*AF1687</f>
        <v>0</v>
      </c>
      <c r="AH1687" s="166">
        <f>2*25*9</f>
        <v>450</v>
      </c>
      <c r="AI1687" s="166">
        <v>5</v>
      </c>
      <c r="AJ1687" s="164">
        <f>($L1687*'Pivot Objective'!$C$9^7)*AH1687*AI1687</f>
        <v>1211880.8951306494</v>
      </c>
      <c r="AK1687" s="185">
        <f t="shared" si="195"/>
        <v>5092552.5787502248</v>
      </c>
      <c r="AL1687" s="186">
        <f t="shared" si="196"/>
        <v>4944.2258046118686</v>
      </c>
    </row>
    <row r="1688" spans="1:38" customFormat="1" ht="57.6" x14ac:dyDescent="0.3">
      <c r="A1688" s="140" t="s">
        <v>1485</v>
      </c>
      <c r="B1688" s="140">
        <v>3</v>
      </c>
      <c r="C1688" s="166" t="s">
        <v>696</v>
      </c>
      <c r="D1688" s="140" t="str">
        <f t="shared" si="191"/>
        <v>2</v>
      </c>
      <c r="E1688" s="166" t="s">
        <v>690</v>
      </c>
      <c r="F1688" s="140">
        <f t="shared" si="193"/>
        <v>7</v>
      </c>
      <c r="G1688" s="140" t="str">
        <f t="shared" si="192"/>
        <v>3.2.7</v>
      </c>
      <c r="H1688" s="166" t="s">
        <v>656</v>
      </c>
      <c r="I1688" s="166" t="s">
        <v>33</v>
      </c>
      <c r="J1688" s="166" t="s">
        <v>301</v>
      </c>
      <c r="K1688" s="166" t="s">
        <v>1336</v>
      </c>
      <c r="L1688" s="166">
        <f>1480/7</f>
        <v>211.42857142857142</v>
      </c>
      <c r="M1688" s="166">
        <v>0</v>
      </c>
      <c r="N1688" s="166">
        <v>0</v>
      </c>
      <c r="O1688" s="164">
        <f t="shared" si="194"/>
        <v>0</v>
      </c>
      <c r="P1688" s="166">
        <f>2*135*9</f>
        <v>2430</v>
      </c>
      <c r="Q1688" s="166">
        <v>1</v>
      </c>
      <c r="R1688" s="164">
        <f>$L1688*'Pivot Objective'!$C$9*P1688*Q1688</f>
        <v>587200.20475011424</v>
      </c>
      <c r="S1688" s="166">
        <v>0</v>
      </c>
      <c r="T1688" s="166">
        <v>0</v>
      </c>
      <c r="U1688" s="164">
        <f>($L1688*'Pivot Objective'!$C$9^2)*S1688*T1688</f>
        <v>0</v>
      </c>
      <c r="V1688" s="166"/>
      <c r="W1688" s="166"/>
      <c r="X1688" s="164">
        <f>($L1688*'Pivot Objective'!$C$9^3)*V1688*W1688</f>
        <v>0</v>
      </c>
      <c r="Y1688" s="166">
        <f>2*135*9</f>
        <v>2430</v>
      </c>
      <c r="Z1688" s="166">
        <v>1</v>
      </c>
      <c r="AA1688" s="164">
        <f>($L1688*'Pivot Objective'!$C$9^4)*Y1688*Z1688</f>
        <v>876667.58040533611</v>
      </c>
      <c r="AB1688" s="166"/>
      <c r="AC1688" s="166"/>
      <c r="AD1688" s="164">
        <f>($L1688*'Pivot Objective'!$C$9^5)*AB1688*AC1688</f>
        <v>0</v>
      </c>
      <c r="AE1688" s="166"/>
      <c r="AF1688" s="166"/>
      <c r="AG1688" s="164">
        <f>($L1688*'Pivot Objective'!$C$9^6)*AE1688*AF1688</f>
        <v>0</v>
      </c>
      <c r="AH1688" s="166">
        <f>2*135*9</f>
        <v>2430</v>
      </c>
      <c r="AI1688" s="166">
        <v>1</v>
      </c>
      <c r="AJ1688" s="164">
        <f>($L1688*'Pivot Objective'!$C$9^7)*AH1688*AI1688</f>
        <v>1308831.3667411015</v>
      </c>
      <c r="AK1688" s="185">
        <f t="shared" si="195"/>
        <v>2772699.1518965522</v>
      </c>
      <c r="AL1688" s="186">
        <f t="shared" si="196"/>
        <v>2691.9409241714097</v>
      </c>
    </row>
    <row r="1689" spans="1:38" customFormat="1" ht="57.6" x14ac:dyDescent="0.3">
      <c r="A1689" s="140" t="s">
        <v>1485</v>
      </c>
      <c r="B1689" s="140">
        <v>3</v>
      </c>
      <c r="C1689" s="166" t="s">
        <v>696</v>
      </c>
      <c r="D1689" s="140" t="str">
        <f t="shared" si="191"/>
        <v>2</v>
      </c>
      <c r="E1689" s="166" t="s">
        <v>690</v>
      </c>
      <c r="F1689" s="140">
        <f t="shared" si="193"/>
        <v>7</v>
      </c>
      <c r="G1689" s="140" t="str">
        <f t="shared" si="192"/>
        <v>3.2.7</v>
      </c>
      <c r="H1689" s="166" t="s">
        <v>656</v>
      </c>
      <c r="I1689" s="166" t="s">
        <v>33</v>
      </c>
      <c r="J1689" s="166" t="s">
        <v>302</v>
      </c>
      <c r="K1689" s="166" t="s">
        <v>718</v>
      </c>
      <c r="L1689" s="166">
        <v>0</v>
      </c>
      <c r="M1689" s="166">
        <v>0</v>
      </c>
      <c r="N1689" s="166">
        <v>0</v>
      </c>
      <c r="O1689" s="164">
        <f t="shared" si="194"/>
        <v>0</v>
      </c>
      <c r="P1689" s="166">
        <v>0</v>
      </c>
      <c r="Q1689" s="166">
        <v>0</v>
      </c>
      <c r="R1689" s="164">
        <f>$L1689*'Pivot Objective'!$C$9*P1689*Q1689</f>
        <v>0</v>
      </c>
      <c r="S1689" s="166">
        <v>0</v>
      </c>
      <c r="T1689" s="166">
        <v>0</v>
      </c>
      <c r="U1689" s="164">
        <f>($L1689*'Pivot Objective'!$C$9^2)*S1689*T1689</f>
        <v>0</v>
      </c>
      <c r="V1689" s="166">
        <v>0</v>
      </c>
      <c r="W1689" s="166">
        <v>0</v>
      </c>
      <c r="X1689" s="164">
        <f>($L1689*'Pivot Objective'!$C$9^3)*V1689*W1689</f>
        <v>0</v>
      </c>
      <c r="Y1689" s="166">
        <v>0</v>
      </c>
      <c r="Z1689" s="166">
        <v>0</v>
      </c>
      <c r="AA1689" s="164">
        <f>($L1689*'Pivot Objective'!$C$9^4)*Y1689*Z1689</f>
        <v>0</v>
      </c>
      <c r="AB1689" s="166">
        <v>0</v>
      </c>
      <c r="AC1689" s="166">
        <v>0</v>
      </c>
      <c r="AD1689" s="164">
        <f>($L1689*'Pivot Objective'!$C$9^5)*AB1689*AC1689</f>
        <v>0</v>
      </c>
      <c r="AE1689" s="166">
        <v>0</v>
      </c>
      <c r="AF1689" s="166">
        <v>0</v>
      </c>
      <c r="AG1689" s="164">
        <f>($L1689*'Pivot Objective'!$C$9^6)*AE1689*AF1689</f>
        <v>0</v>
      </c>
      <c r="AH1689" s="166">
        <v>0</v>
      </c>
      <c r="AI1689" s="166">
        <v>0</v>
      </c>
      <c r="AJ1689" s="164">
        <f>($L1689*'Pivot Objective'!$C$9^7)*AH1689*AI1689</f>
        <v>0</v>
      </c>
      <c r="AK1689" s="185">
        <f t="shared" si="195"/>
        <v>0</v>
      </c>
      <c r="AL1689" s="186">
        <f t="shared" si="196"/>
        <v>0</v>
      </c>
    </row>
    <row r="1690" spans="1:38" customFormat="1" ht="57.6" x14ac:dyDescent="0.3">
      <c r="A1690" s="140" t="s">
        <v>1485</v>
      </c>
      <c r="B1690" s="140">
        <v>3</v>
      </c>
      <c r="C1690" s="166" t="s">
        <v>696</v>
      </c>
      <c r="D1690" s="140" t="str">
        <f t="shared" si="191"/>
        <v>2</v>
      </c>
      <c r="E1690" s="166" t="s">
        <v>690</v>
      </c>
      <c r="F1690" s="140">
        <f t="shared" si="193"/>
        <v>7</v>
      </c>
      <c r="G1690" s="140" t="str">
        <f t="shared" si="192"/>
        <v>3.2.7</v>
      </c>
      <c r="H1690" s="166" t="s">
        <v>656</v>
      </c>
      <c r="I1690" s="166" t="s">
        <v>33</v>
      </c>
      <c r="J1690" s="166" t="s">
        <v>303</v>
      </c>
      <c r="K1690" s="166" t="s">
        <v>718</v>
      </c>
      <c r="L1690" s="166">
        <v>0</v>
      </c>
      <c r="M1690" s="166">
        <v>0</v>
      </c>
      <c r="N1690" s="166">
        <v>0</v>
      </c>
      <c r="O1690" s="164">
        <f t="shared" si="194"/>
        <v>0</v>
      </c>
      <c r="P1690" s="166">
        <v>0</v>
      </c>
      <c r="Q1690" s="166">
        <v>0</v>
      </c>
      <c r="R1690" s="164">
        <f>$L1690*'Pivot Objective'!$C$9*P1690*Q1690</f>
        <v>0</v>
      </c>
      <c r="S1690" s="166">
        <v>0</v>
      </c>
      <c r="T1690" s="166">
        <v>0</v>
      </c>
      <c r="U1690" s="164">
        <f>($L1690*'Pivot Objective'!$C$9^2)*S1690*T1690</f>
        <v>0</v>
      </c>
      <c r="V1690" s="166">
        <v>0</v>
      </c>
      <c r="W1690" s="166">
        <v>0</v>
      </c>
      <c r="X1690" s="164">
        <f>($L1690*'Pivot Objective'!$C$9^3)*V1690*W1690</f>
        <v>0</v>
      </c>
      <c r="Y1690" s="166">
        <v>0</v>
      </c>
      <c r="Z1690" s="166">
        <v>0</v>
      </c>
      <c r="AA1690" s="164">
        <f>($L1690*'Pivot Objective'!$C$9^4)*Y1690*Z1690</f>
        <v>0</v>
      </c>
      <c r="AB1690" s="166">
        <v>0</v>
      </c>
      <c r="AC1690" s="166">
        <v>0</v>
      </c>
      <c r="AD1690" s="164">
        <f>($L1690*'Pivot Objective'!$C$9^5)*AB1690*AC1690</f>
        <v>0</v>
      </c>
      <c r="AE1690" s="166">
        <v>0</v>
      </c>
      <c r="AF1690" s="166">
        <v>0</v>
      </c>
      <c r="AG1690" s="164">
        <f>($L1690*'Pivot Objective'!$C$9^6)*AE1690*AF1690</f>
        <v>0</v>
      </c>
      <c r="AH1690" s="166">
        <v>0</v>
      </c>
      <c r="AI1690" s="166">
        <v>0</v>
      </c>
      <c r="AJ1690" s="164">
        <f>($L1690*'Pivot Objective'!$C$9^7)*AH1690*AI1690</f>
        <v>0</v>
      </c>
      <c r="AK1690" s="185">
        <f t="shared" si="195"/>
        <v>0</v>
      </c>
      <c r="AL1690" s="186">
        <f t="shared" si="196"/>
        <v>0</v>
      </c>
    </row>
    <row r="1691" spans="1:38" customFormat="1" ht="57.6" x14ac:dyDescent="0.3">
      <c r="A1691" s="140" t="s">
        <v>1486</v>
      </c>
      <c r="B1691" s="140">
        <v>3</v>
      </c>
      <c r="C1691" s="166" t="s">
        <v>696</v>
      </c>
      <c r="D1691" s="140" t="str">
        <f t="shared" si="191"/>
        <v>3</v>
      </c>
      <c r="E1691" s="166" t="s">
        <v>691</v>
      </c>
      <c r="F1691" s="140">
        <v>1</v>
      </c>
      <c r="G1691" s="140" t="str">
        <f t="shared" si="192"/>
        <v>3.3.1</v>
      </c>
      <c r="H1691" s="181" t="s">
        <v>657</v>
      </c>
      <c r="I1691" s="166" t="s">
        <v>34</v>
      </c>
      <c r="J1691" s="166" t="s">
        <v>304</v>
      </c>
      <c r="K1691" s="166" t="s">
        <v>707</v>
      </c>
      <c r="L1691" s="167">
        <v>391991.03749999998</v>
      </c>
      <c r="M1691" s="166"/>
      <c r="N1691" s="166"/>
      <c r="O1691" s="164">
        <f t="shared" si="194"/>
        <v>0</v>
      </c>
      <c r="P1691" s="166">
        <v>2</v>
      </c>
      <c r="Q1691" s="166">
        <v>2</v>
      </c>
      <c r="R1691" s="164">
        <f>$L1691*'Pivot Objective'!$C$9*P1691*Q1691</f>
        <v>1792059.3063746723</v>
      </c>
      <c r="S1691" s="166">
        <v>0</v>
      </c>
      <c r="T1691" s="166">
        <v>0</v>
      </c>
      <c r="U1691" s="164">
        <f>($L1691*'Pivot Objective'!$C$9^2)*S1691*T1691</f>
        <v>0</v>
      </c>
      <c r="V1691" s="166">
        <v>0</v>
      </c>
      <c r="W1691" s="166">
        <v>0</v>
      </c>
      <c r="X1691" s="164">
        <f>($L1691*'Pivot Objective'!$C$9^3)*V1691*W1691</f>
        <v>0</v>
      </c>
      <c r="Y1691" s="166">
        <v>0</v>
      </c>
      <c r="Z1691" s="166">
        <v>0</v>
      </c>
      <c r="AA1691" s="164">
        <f>($L1691*'Pivot Objective'!$C$9^4)*Y1691*Z1691</f>
        <v>0</v>
      </c>
      <c r="AB1691" s="166">
        <v>2</v>
      </c>
      <c r="AC1691" s="166">
        <v>2</v>
      </c>
      <c r="AD1691" s="164">
        <f>($L1691*'Pivot Objective'!$C$9^5)*AB1691*AC1691</f>
        <v>3057858.4341109009</v>
      </c>
      <c r="AE1691" s="166">
        <v>0</v>
      </c>
      <c r="AF1691" s="166">
        <v>0</v>
      </c>
      <c r="AG1691" s="164">
        <f>($L1691*'Pivot Objective'!$C$9^6)*AE1691*AF1691</f>
        <v>0</v>
      </c>
      <c r="AH1691" s="166">
        <v>0</v>
      </c>
      <c r="AI1691" s="166">
        <v>0</v>
      </c>
      <c r="AJ1691" s="164">
        <f>($L1691*'Pivot Objective'!$C$9^7)*AH1691*AI1691</f>
        <v>0</v>
      </c>
      <c r="AK1691" s="185">
        <f t="shared" si="195"/>
        <v>4849917.7404855732</v>
      </c>
      <c r="AL1691" s="186">
        <f t="shared" si="196"/>
        <v>4708.6580004714306</v>
      </c>
    </row>
    <row r="1692" spans="1:38" customFormat="1" ht="57.6" x14ac:dyDescent="0.3">
      <c r="A1692" s="140" t="s">
        <v>1486</v>
      </c>
      <c r="B1692" s="140">
        <v>3</v>
      </c>
      <c r="C1692" s="166" t="s">
        <v>696</v>
      </c>
      <c r="D1692" s="140" t="str">
        <f t="shared" si="191"/>
        <v>3</v>
      </c>
      <c r="E1692" s="166" t="s">
        <v>691</v>
      </c>
      <c r="F1692" s="140">
        <f t="shared" ref="F1692:F1755" si="197">IF(H1692=H1691,F1691,F1691+1)</f>
        <v>1</v>
      </c>
      <c r="G1692" s="140" t="str">
        <f t="shared" si="192"/>
        <v>3.3.1</v>
      </c>
      <c r="H1692" s="181" t="s">
        <v>657</v>
      </c>
      <c r="I1692" s="166" t="s">
        <v>34</v>
      </c>
      <c r="J1692" s="166" t="s">
        <v>304</v>
      </c>
      <c r="K1692" s="166" t="s">
        <v>708</v>
      </c>
      <c r="L1692" s="167">
        <f>500*1022</f>
        <v>511000</v>
      </c>
      <c r="M1692" s="166"/>
      <c r="N1692" s="166"/>
      <c r="O1692" s="164">
        <f t="shared" si="194"/>
        <v>0</v>
      </c>
      <c r="P1692" s="166">
        <v>0</v>
      </c>
      <c r="Q1692" s="166">
        <v>0</v>
      </c>
      <c r="R1692" s="164">
        <f>$L1692*'Pivot Objective'!$C$9*P1692*Q1692</f>
        <v>0</v>
      </c>
      <c r="S1692" s="166">
        <v>0</v>
      </c>
      <c r="T1692" s="166">
        <v>0</v>
      </c>
      <c r="U1692" s="164">
        <f>($L1692*'Pivot Objective'!$C$9^2)*S1692*T1692</f>
        <v>0</v>
      </c>
      <c r="V1692" s="166">
        <v>0</v>
      </c>
      <c r="W1692" s="166">
        <v>0</v>
      </c>
      <c r="X1692" s="164">
        <f>($L1692*'Pivot Objective'!$C$9^3)*V1692*W1692</f>
        <v>0</v>
      </c>
      <c r="Y1692" s="166">
        <v>0</v>
      </c>
      <c r="Z1692" s="166">
        <v>0</v>
      </c>
      <c r="AA1692" s="164">
        <f>($L1692*'Pivot Objective'!$C$9^4)*Y1692*Z1692</f>
        <v>0</v>
      </c>
      <c r="AB1692" s="166">
        <v>0</v>
      </c>
      <c r="AC1692" s="166">
        <v>0</v>
      </c>
      <c r="AD1692" s="164">
        <f>($L1692*'Pivot Objective'!$C$9^5)*AB1692*AC1692</f>
        <v>0</v>
      </c>
      <c r="AE1692" s="166">
        <v>0</v>
      </c>
      <c r="AF1692" s="166">
        <v>0</v>
      </c>
      <c r="AG1692" s="164">
        <f>($L1692*'Pivot Objective'!$C$9^6)*AE1692*AF1692</f>
        <v>0</v>
      </c>
      <c r="AH1692" s="166">
        <v>0</v>
      </c>
      <c r="AI1692" s="166">
        <v>0</v>
      </c>
      <c r="AJ1692" s="164">
        <f>($L1692*'Pivot Objective'!$C$9^7)*AH1692*AI1692</f>
        <v>0</v>
      </c>
      <c r="AK1692" s="185">
        <f t="shared" si="195"/>
        <v>0</v>
      </c>
      <c r="AL1692" s="186">
        <f t="shared" si="196"/>
        <v>0</v>
      </c>
    </row>
    <row r="1693" spans="1:38" customFormat="1" ht="57.6" x14ac:dyDescent="0.3">
      <c r="A1693" s="140" t="s">
        <v>1486</v>
      </c>
      <c r="B1693" s="140">
        <v>3</v>
      </c>
      <c r="C1693" s="166" t="s">
        <v>696</v>
      </c>
      <c r="D1693" s="140" t="str">
        <f t="shared" si="191"/>
        <v>3</v>
      </c>
      <c r="E1693" s="166" t="s">
        <v>691</v>
      </c>
      <c r="F1693" s="140">
        <f t="shared" si="197"/>
        <v>1</v>
      </c>
      <c r="G1693" s="140" t="str">
        <f t="shared" si="192"/>
        <v>3.3.1</v>
      </c>
      <c r="H1693" s="181" t="s">
        <v>657</v>
      </c>
      <c r="I1693" s="166" t="s">
        <v>34</v>
      </c>
      <c r="J1693" s="166" t="s">
        <v>305</v>
      </c>
      <c r="K1693" s="166" t="s">
        <v>716</v>
      </c>
      <c r="L1693" s="167">
        <v>39000</v>
      </c>
      <c r="M1693" s="166"/>
      <c r="N1693" s="166"/>
      <c r="O1693" s="164">
        <f t="shared" si="194"/>
        <v>0</v>
      </c>
      <c r="P1693" s="166">
        <v>25</v>
      </c>
      <c r="Q1693" s="166">
        <f>6*3</f>
        <v>18</v>
      </c>
      <c r="R1693" s="164">
        <f>$L1693*'Pivot Objective'!$C$9*P1693*Q1693</f>
        <v>20058265.252349999</v>
      </c>
      <c r="S1693" s="166">
        <v>15</v>
      </c>
      <c r="T1693" s="166">
        <v>15</v>
      </c>
      <c r="U1693" s="164">
        <f>($L1693*'Pivot Objective'!$C$9^2)*S1693*T1693</f>
        <v>11462507.26306642</v>
      </c>
      <c r="V1693" s="166">
        <v>15</v>
      </c>
      <c r="W1693" s="166">
        <v>15</v>
      </c>
      <c r="X1693" s="164">
        <f>($L1693*'Pivot Objective'!$C$9^3)*V1693*W1693</f>
        <v>13100741.375474337</v>
      </c>
      <c r="Y1693" s="166">
        <v>15</v>
      </c>
      <c r="Z1693" s="166">
        <v>15</v>
      </c>
      <c r="AA1693" s="164">
        <f>($L1693*'Pivot Objective'!$C$9^4)*Y1693*Z1693</f>
        <v>14973113.70437042</v>
      </c>
      <c r="AB1693" s="166">
        <v>25</v>
      </c>
      <c r="AC1693" s="166">
        <f>6*3</f>
        <v>18</v>
      </c>
      <c r="AD1693" s="164">
        <f>($L1693*'Pivot Objective'!$C$9^5)*AB1693*AC1693</f>
        <v>34226175.081009544</v>
      </c>
      <c r="AE1693" s="166">
        <v>0</v>
      </c>
      <c r="AF1693" s="166">
        <v>0</v>
      </c>
      <c r="AG1693" s="164">
        <f>($L1693*'Pivot Objective'!$C$9^6)*AE1693*AF1693</f>
        <v>0</v>
      </c>
      <c r="AH1693" s="166">
        <v>0</v>
      </c>
      <c r="AI1693" s="166">
        <v>0</v>
      </c>
      <c r="AJ1693" s="164">
        <f>($L1693*'Pivot Objective'!$C$9^7)*AH1693*AI1693</f>
        <v>0</v>
      </c>
      <c r="AK1693" s="185">
        <f t="shared" si="195"/>
        <v>93820802.676270723</v>
      </c>
      <c r="AL1693" s="186">
        <f t="shared" si="196"/>
        <v>91088.157938126911</v>
      </c>
    </row>
    <row r="1694" spans="1:38" customFormat="1" ht="57.6" x14ac:dyDescent="0.3">
      <c r="A1694" s="140" t="s">
        <v>1486</v>
      </c>
      <c r="B1694" s="140">
        <v>3</v>
      </c>
      <c r="C1694" s="166" t="s">
        <v>696</v>
      </c>
      <c r="D1694" s="140" t="str">
        <f t="shared" si="191"/>
        <v>3</v>
      </c>
      <c r="E1694" s="166" t="s">
        <v>691</v>
      </c>
      <c r="F1694" s="140">
        <f t="shared" si="197"/>
        <v>1</v>
      </c>
      <c r="G1694" s="140" t="str">
        <f t="shared" si="192"/>
        <v>3.3.1</v>
      </c>
      <c r="H1694" s="181" t="s">
        <v>657</v>
      </c>
      <c r="I1694" s="166" t="s">
        <v>34</v>
      </c>
      <c r="J1694" s="166" t="s">
        <v>305</v>
      </c>
      <c r="K1694" s="166" t="s">
        <v>709</v>
      </c>
      <c r="L1694" s="167">
        <v>35000</v>
      </c>
      <c r="M1694" s="166"/>
      <c r="N1694" s="166"/>
      <c r="O1694" s="164">
        <f t="shared" si="194"/>
        <v>0</v>
      </c>
      <c r="P1694" s="166">
        <v>25</v>
      </c>
      <c r="Q1694" s="166">
        <f>5*3</f>
        <v>15</v>
      </c>
      <c r="R1694" s="164">
        <f>$L1694*'Pivot Objective'!$C$9*P1694*Q1694</f>
        <v>15000839.398124997</v>
      </c>
      <c r="S1694" s="166">
        <v>20</v>
      </c>
      <c r="T1694" s="166">
        <v>15</v>
      </c>
      <c r="U1694" s="164">
        <f>($L1694*'Pivot Objective'!$C$9^2)*S1694*T1694</f>
        <v>13715820.656660672</v>
      </c>
      <c r="V1694" s="166">
        <v>20</v>
      </c>
      <c r="W1694" s="166">
        <v>15</v>
      </c>
      <c r="X1694" s="164">
        <f>($L1694*'Pivot Objective'!$C$9^3)*V1694*W1694</f>
        <v>15676100.791165877</v>
      </c>
      <c r="Y1694" s="166">
        <v>20</v>
      </c>
      <c r="Z1694" s="166">
        <v>15</v>
      </c>
      <c r="AA1694" s="164">
        <f>($L1694*'Pivot Objective'!$C$9^4)*Y1694*Z1694</f>
        <v>17916546.31292187</v>
      </c>
      <c r="AB1694" s="166">
        <v>25</v>
      </c>
      <c r="AC1694" s="166">
        <f>5*3</f>
        <v>15</v>
      </c>
      <c r="AD1694" s="164">
        <f>($L1694*'Pivot Objective'!$C$9^5)*AB1694*AC1694</f>
        <v>25596498.458019953</v>
      </c>
      <c r="AE1694" s="166">
        <v>0</v>
      </c>
      <c r="AF1694" s="166">
        <v>0</v>
      </c>
      <c r="AG1694" s="164">
        <f>($L1694*'Pivot Objective'!$C$9^6)*AE1694*AF1694</f>
        <v>0</v>
      </c>
      <c r="AH1694" s="166">
        <v>0</v>
      </c>
      <c r="AI1694" s="166">
        <v>0</v>
      </c>
      <c r="AJ1694" s="164">
        <f>($L1694*'Pivot Objective'!$C$9^7)*AH1694*AI1694</f>
        <v>0</v>
      </c>
      <c r="AK1694" s="185">
        <f t="shared" si="195"/>
        <v>87905805.616893366</v>
      </c>
      <c r="AL1694" s="186">
        <f t="shared" si="196"/>
        <v>85345.442346498414</v>
      </c>
    </row>
    <row r="1695" spans="1:38" customFormat="1" ht="57.6" x14ac:dyDescent="0.3">
      <c r="A1695" s="140" t="s">
        <v>1486</v>
      </c>
      <c r="B1695" s="140">
        <v>3</v>
      </c>
      <c r="C1695" s="166" t="s">
        <v>696</v>
      </c>
      <c r="D1695" s="140" t="str">
        <f t="shared" si="191"/>
        <v>3</v>
      </c>
      <c r="E1695" s="166" t="s">
        <v>691</v>
      </c>
      <c r="F1695" s="140">
        <f t="shared" si="197"/>
        <v>1</v>
      </c>
      <c r="G1695" s="140" t="str">
        <f t="shared" si="192"/>
        <v>3.3.1</v>
      </c>
      <c r="H1695" s="181" t="s">
        <v>657</v>
      </c>
      <c r="I1695" s="166" t="s">
        <v>34</v>
      </c>
      <c r="J1695" s="166" t="s">
        <v>305</v>
      </c>
      <c r="K1695" s="166" t="s">
        <v>712</v>
      </c>
      <c r="L1695" s="167">
        <f>1480/7</f>
        <v>211.42857142857142</v>
      </c>
      <c r="M1695" s="166"/>
      <c r="N1695" s="166"/>
      <c r="O1695" s="164">
        <f t="shared" si="194"/>
        <v>0</v>
      </c>
      <c r="P1695" s="166">
        <f>2*25*9</f>
        <v>450</v>
      </c>
      <c r="Q1695" s="166">
        <f>5*3</f>
        <v>15</v>
      </c>
      <c r="R1695" s="164">
        <f>$L1695*'Pivot Objective'!$C$9*P1695*Q1695</f>
        <v>1631111.6798614284</v>
      </c>
      <c r="S1695" s="166">
        <v>4000</v>
      </c>
      <c r="T1695" s="166">
        <v>1</v>
      </c>
      <c r="U1695" s="164">
        <f>($L1695*'Pivot Objective'!$C$9^2)*S1695*T1695</f>
        <v>1104730.044726955</v>
      </c>
      <c r="V1695" s="166">
        <v>4000</v>
      </c>
      <c r="W1695" s="166">
        <v>1</v>
      </c>
      <c r="X1695" s="164">
        <f>($L1695*'Pivot Objective'!$C$9^3)*V1695*W1695</f>
        <v>1262619.2746081902</v>
      </c>
      <c r="Y1695" s="166">
        <v>4000</v>
      </c>
      <c r="Z1695" s="166">
        <v>1</v>
      </c>
      <c r="AA1695" s="164">
        <f>($L1695*'Pivot Objective'!$C$9^4)*Y1695*Z1695</f>
        <v>1443074.2064285369</v>
      </c>
      <c r="AB1695" s="166">
        <f>2*25*9</f>
        <v>450</v>
      </c>
      <c r="AC1695" s="166">
        <f>5*3</f>
        <v>15</v>
      </c>
      <c r="AD1695" s="164">
        <f>($L1695*'Pivot Objective'!$C$9^5)*AB1695*AC1695</f>
        <v>2783227.424170007</v>
      </c>
      <c r="AE1695" s="166">
        <v>0</v>
      </c>
      <c r="AF1695" s="166">
        <v>0</v>
      </c>
      <c r="AG1695" s="164">
        <f>($L1695*'Pivot Objective'!$C$9^6)*AE1695*AF1695</f>
        <v>0</v>
      </c>
      <c r="AH1695" s="166">
        <v>0</v>
      </c>
      <c r="AI1695" s="166">
        <v>0</v>
      </c>
      <c r="AJ1695" s="164">
        <f>($L1695*'Pivot Objective'!$C$9^7)*AH1695*AI1695</f>
        <v>0</v>
      </c>
      <c r="AK1695" s="185">
        <f t="shared" si="195"/>
        <v>8224762.6297951173</v>
      </c>
      <c r="AL1695" s="186">
        <f t="shared" si="196"/>
        <v>7985.2064366942886</v>
      </c>
    </row>
    <row r="1696" spans="1:38" customFormat="1" ht="57.6" x14ac:dyDescent="0.3">
      <c r="A1696" s="140" t="s">
        <v>1486</v>
      </c>
      <c r="B1696" s="140">
        <v>3</v>
      </c>
      <c r="C1696" s="166" t="s">
        <v>696</v>
      </c>
      <c r="D1696" s="140" t="str">
        <f t="shared" si="191"/>
        <v>3</v>
      </c>
      <c r="E1696" s="166" t="s">
        <v>691</v>
      </c>
      <c r="F1696" s="140">
        <f t="shared" si="197"/>
        <v>1</v>
      </c>
      <c r="G1696" s="140" t="str">
        <f t="shared" si="192"/>
        <v>3.3.1</v>
      </c>
      <c r="H1696" s="181" t="s">
        <v>657</v>
      </c>
      <c r="I1696" s="166" t="s">
        <v>34</v>
      </c>
      <c r="J1696" s="166" t="s">
        <v>305</v>
      </c>
      <c r="K1696" s="166" t="s">
        <v>1299</v>
      </c>
      <c r="L1696" s="167">
        <f>1480/7</f>
        <v>211.42857142857142</v>
      </c>
      <c r="M1696" s="166"/>
      <c r="N1696" s="166"/>
      <c r="O1696" s="164">
        <f t="shared" si="194"/>
        <v>0</v>
      </c>
      <c r="P1696" s="166">
        <f>2*135*9</f>
        <v>2430</v>
      </c>
      <c r="Q1696" s="166">
        <v>3</v>
      </c>
      <c r="R1696" s="164">
        <f>$L1696*'Pivot Objective'!$C$9*P1696*Q1696</f>
        <v>1761600.6142503428</v>
      </c>
      <c r="S1696" s="166"/>
      <c r="T1696" s="166"/>
      <c r="U1696" s="164">
        <f>($L1696*'Pivot Objective'!$C$9^2)*S1696*T1696</f>
        <v>0</v>
      </c>
      <c r="V1696" s="166"/>
      <c r="W1696" s="166"/>
      <c r="X1696" s="164">
        <f>($L1696*'Pivot Objective'!$C$9^3)*V1696*W1696</f>
        <v>0</v>
      </c>
      <c r="Y1696" s="166"/>
      <c r="Z1696" s="166"/>
      <c r="AA1696" s="164">
        <f>($L1696*'Pivot Objective'!$C$9^4)*Y1696*Z1696</f>
        <v>0</v>
      </c>
      <c r="AB1696" s="166">
        <f>2*135*9</f>
        <v>2430</v>
      </c>
      <c r="AC1696" s="166">
        <v>3</v>
      </c>
      <c r="AD1696" s="164">
        <f>($L1696*'Pivot Objective'!$C$9^5)*AB1696*AC1696</f>
        <v>3005885.6181036076</v>
      </c>
      <c r="AE1696" s="166"/>
      <c r="AF1696" s="166"/>
      <c r="AG1696" s="164">
        <f>($L1696*'Pivot Objective'!$C$9^6)*AE1696*AF1696</f>
        <v>0</v>
      </c>
      <c r="AH1696" s="166"/>
      <c r="AI1696" s="166"/>
      <c r="AJ1696" s="164">
        <f>($L1696*'Pivot Objective'!$C$9^7)*AH1696*AI1696</f>
        <v>0</v>
      </c>
      <c r="AK1696" s="185">
        <f t="shared" si="195"/>
        <v>4767486.2323539499</v>
      </c>
      <c r="AL1696" s="186">
        <f t="shared" si="196"/>
        <v>4628.6274100523788</v>
      </c>
    </row>
    <row r="1697" spans="1:38" customFormat="1" ht="57.6" x14ac:dyDescent="0.3">
      <c r="A1697" s="140" t="s">
        <v>1486</v>
      </c>
      <c r="B1697" s="140">
        <v>3</v>
      </c>
      <c r="C1697" s="166" t="s">
        <v>696</v>
      </c>
      <c r="D1697" s="140" t="str">
        <f t="shared" si="191"/>
        <v>3</v>
      </c>
      <c r="E1697" s="166" t="s">
        <v>691</v>
      </c>
      <c r="F1697" s="140">
        <f t="shared" si="197"/>
        <v>1</v>
      </c>
      <c r="G1697" s="140" t="str">
        <f t="shared" si="192"/>
        <v>3.3.1</v>
      </c>
      <c r="H1697" s="181" t="s">
        <v>657</v>
      </c>
      <c r="I1697" s="166" t="s">
        <v>34</v>
      </c>
      <c r="J1697" s="166" t="s">
        <v>150</v>
      </c>
      <c r="K1697" s="166" t="s">
        <v>718</v>
      </c>
      <c r="L1697" s="167">
        <v>0</v>
      </c>
      <c r="M1697" s="166"/>
      <c r="N1697" s="166"/>
      <c r="O1697" s="164">
        <f t="shared" si="194"/>
        <v>0</v>
      </c>
      <c r="P1697" s="166">
        <v>0</v>
      </c>
      <c r="Q1697" s="166">
        <v>0</v>
      </c>
      <c r="R1697" s="164">
        <f>$L1697*'Pivot Objective'!$C$9*P1697*Q1697</f>
        <v>0</v>
      </c>
      <c r="S1697" s="166">
        <v>0</v>
      </c>
      <c r="T1697" s="166">
        <v>0</v>
      </c>
      <c r="U1697" s="164">
        <f>($L1697*'Pivot Objective'!$C$9^2)*S1697*T1697</f>
        <v>0</v>
      </c>
      <c r="V1697" s="166">
        <v>0</v>
      </c>
      <c r="W1697" s="166">
        <v>0</v>
      </c>
      <c r="X1697" s="164">
        <f>($L1697*'Pivot Objective'!$C$9^3)*V1697*W1697</f>
        <v>0</v>
      </c>
      <c r="Y1697" s="166">
        <v>0</v>
      </c>
      <c r="Z1697" s="166">
        <v>0</v>
      </c>
      <c r="AA1697" s="164">
        <f>($L1697*'Pivot Objective'!$C$9^4)*Y1697*Z1697</f>
        <v>0</v>
      </c>
      <c r="AB1697" s="166">
        <v>0</v>
      </c>
      <c r="AC1697" s="166">
        <v>0</v>
      </c>
      <c r="AD1697" s="164">
        <f>($L1697*'Pivot Objective'!$C$9^5)*AB1697*AC1697</f>
        <v>0</v>
      </c>
      <c r="AE1697" s="166">
        <v>0</v>
      </c>
      <c r="AF1697" s="166">
        <v>0</v>
      </c>
      <c r="AG1697" s="164">
        <f>($L1697*'Pivot Objective'!$C$9^6)*AE1697*AF1697</f>
        <v>0</v>
      </c>
      <c r="AH1697" s="166">
        <v>0</v>
      </c>
      <c r="AI1697" s="166">
        <v>0</v>
      </c>
      <c r="AJ1697" s="164">
        <f>($L1697*'Pivot Objective'!$C$9^7)*AH1697*AI1697</f>
        <v>0</v>
      </c>
      <c r="AK1697" s="185">
        <f t="shared" si="195"/>
        <v>0</v>
      </c>
      <c r="AL1697" s="186">
        <f t="shared" si="196"/>
        <v>0</v>
      </c>
    </row>
    <row r="1698" spans="1:38" customFormat="1" ht="57.6" x14ac:dyDescent="0.3">
      <c r="A1698" s="140" t="s">
        <v>1486</v>
      </c>
      <c r="B1698" s="140">
        <v>3</v>
      </c>
      <c r="C1698" s="166" t="s">
        <v>696</v>
      </c>
      <c r="D1698" s="140" t="str">
        <f t="shared" si="191"/>
        <v>3</v>
      </c>
      <c r="E1698" s="166" t="s">
        <v>691</v>
      </c>
      <c r="F1698" s="140">
        <f t="shared" si="197"/>
        <v>1</v>
      </c>
      <c r="G1698" s="140" t="str">
        <f t="shared" si="192"/>
        <v>3.3.1</v>
      </c>
      <c r="H1698" s="181" t="s">
        <v>657</v>
      </c>
      <c r="I1698" s="166" t="s">
        <v>34</v>
      </c>
      <c r="J1698" s="166" t="s">
        <v>198</v>
      </c>
      <c r="K1698" s="166" t="s">
        <v>709</v>
      </c>
      <c r="L1698" s="167">
        <v>35000</v>
      </c>
      <c r="M1698" s="166"/>
      <c r="N1698" s="166"/>
      <c r="O1698" s="164">
        <f t="shared" si="194"/>
        <v>0</v>
      </c>
      <c r="P1698" s="166">
        <v>25</v>
      </c>
      <c r="Q1698" s="166">
        <v>5</v>
      </c>
      <c r="R1698" s="164">
        <f>$L1698*'Pivot Objective'!$C$9*P1698*Q1698</f>
        <v>5000279.7993749995</v>
      </c>
      <c r="S1698" s="166">
        <v>0</v>
      </c>
      <c r="T1698" s="166">
        <v>0</v>
      </c>
      <c r="U1698" s="164">
        <f>($L1698*'Pivot Objective'!$C$9^2)*S1698*T1698</f>
        <v>0</v>
      </c>
      <c r="V1698" s="166">
        <v>0</v>
      </c>
      <c r="W1698" s="166">
        <v>0</v>
      </c>
      <c r="X1698" s="164">
        <f>($L1698*'Pivot Objective'!$C$9^3)*V1698*W1698</f>
        <v>0</v>
      </c>
      <c r="Y1698" s="166">
        <v>0</v>
      </c>
      <c r="Z1698" s="166">
        <v>0</v>
      </c>
      <c r="AA1698" s="164">
        <f>($L1698*'Pivot Objective'!$C$9^4)*Y1698*Z1698</f>
        <v>0</v>
      </c>
      <c r="AB1698" s="166">
        <v>25</v>
      </c>
      <c r="AC1698" s="166">
        <v>5</v>
      </c>
      <c r="AD1698" s="164">
        <f>($L1698*'Pivot Objective'!$C$9^5)*AB1698*AC1698</f>
        <v>8532166.152673319</v>
      </c>
      <c r="AE1698" s="166">
        <v>0</v>
      </c>
      <c r="AF1698" s="166">
        <v>0</v>
      </c>
      <c r="AG1698" s="164">
        <f>($L1698*'Pivot Objective'!$C$9^6)*AE1698*AF1698</f>
        <v>0</v>
      </c>
      <c r="AH1698" s="166">
        <v>0</v>
      </c>
      <c r="AI1698" s="166">
        <v>0</v>
      </c>
      <c r="AJ1698" s="164">
        <f>($L1698*'Pivot Objective'!$C$9^7)*AH1698*AI1698</f>
        <v>0</v>
      </c>
      <c r="AK1698" s="185">
        <f t="shared" si="195"/>
        <v>13532445.952048318</v>
      </c>
      <c r="AL1698" s="186">
        <f t="shared" si="196"/>
        <v>13138.297040823611</v>
      </c>
    </row>
    <row r="1699" spans="1:38" customFormat="1" ht="57.6" x14ac:dyDescent="0.3">
      <c r="A1699" s="140" t="s">
        <v>1486</v>
      </c>
      <c r="B1699" s="140">
        <v>3</v>
      </c>
      <c r="C1699" s="166" t="s">
        <v>696</v>
      </c>
      <c r="D1699" s="140" t="str">
        <f t="shared" si="191"/>
        <v>3</v>
      </c>
      <c r="E1699" s="166" t="s">
        <v>691</v>
      </c>
      <c r="F1699" s="140">
        <f t="shared" si="197"/>
        <v>1</v>
      </c>
      <c r="G1699" s="140" t="str">
        <f t="shared" si="192"/>
        <v>3.3.1</v>
      </c>
      <c r="H1699" s="181" t="s">
        <v>657</v>
      </c>
      <c r="I1699" s="166" t="s">
        <v>34</v>
      </c>
      <c r="J1699" s="166" t="s">
        <v>198</v>
      </c>
      <c r="K1699" s="166" t="s">
        <v>716</v>
      </c>
      <c r="L1699" s="167">
        <v>39000</v>
      </c>
      <c r="M1699" s="166"/>
      <c r="N1699" s="166"/>
      <c r="O1699" s="164">
        <f t="shared" si="194"/>
        <v>0</v>
      </c>
      <c r="P1699" s="166">
        <v>25</v>
      </c>
      <c r="Q1699" s="166">
        <v>6</v>
      </c>
      <c r="R1699" s="164">
        <f>$L1699*'Pivot Objective'!$C$9*P1699*Q1699</f>
        <v>6686088.4174499996</v>
      </c>
      <c r="S1699" s="166"/>
      <c r="T1699" s="166"/>
      <c r="U1699" s="164">
        <f>($L1699*'Pivot Objective'!$C$9^2)*S1699*T1699</f>
        <v>0</v>
      </c>
      <c r="V1699" s="166"/>
      <c r="W1699" s="166"/>
      <c r="X1699" s="164">
        <f>($L1699*'Pivot Objective'!$C$9^3)*V1699*W1699</f>
        <v>0</v>
      </c>
      <c r="Y1699" s="166"/>
      <c r="Z1699" s="166"/>
      <c r="AA1699" s="164">
        <f>($L1699*'Pivot Objective'!$C$9^4)*Y1699*Z1699</f>
        <v>0</v>
      </c>
      <c r="AB1699" s="166">
        <v>25</v>
      </c>
      <c r="AC1699" s="166">
        <v>6</v>
      </c>
      <c r="AD1699" s="164">
        <f>($L1699*'Pivot Objective'!$C$9^5)*AB1699*AC1699</f>
        <v>11408725.027003182</v>
      </c>
      <c r="AE1699" s="166"/>
      <c r="AF1699" s="166"/>
      <c r="AG1699" s="164">
        <f>($L1699*'Pivot Objective'!$C$9^6)*AE1699*AF1699</f>
        <v>0</v>
      </c>
      <c r="AH1699" s="166"/>
      <c r="AI1699" s="166"/>
      <c r="AJ1699" s="164">
        <f>($L1699*'Pivot Objective'!$C$9^7)*AH1699*AI1699</f>
        <v>0</v>
      </c>
      <c r="AK1699" s="185">
        <f t="shared" si="195"/>
        <v>18094813.44445318</v>
      </c>
      <c r="AL1699" s="186">
        <f t="shared" si="196"/>
        <v>17567.780043158426</v>
      </c>
    </row>
    <row r="1700" spans="1:38" customFormat="1" ht="57.6" x14ac:dyDescent="0.3">
      <c r="A1700" s="140" t="s">
        <v>1486</v>
      </c>
      <c r="B1700" s="140">
        <v>3</v>
      </c>
      <c r="C1700" s="166" t="s">
        <v>696</v>
      </c>
      <c r="D1700" s="140" t="str">
        <f t="shared" si="191"/>
        <v>3</v>
      </c>
      <c r="E1700" s="166" t="s">
        <v>691</v>
      </c>
      <c r="F1700" s="140">
        <f t="shared" si="197"/>
        <v>1</v>
      </c>
      <c r="G1700" s="140" t="str">
        <f t="shared" si="192"/>
        <v>3.3.1</v>
      </c>
      <c r="H1700" s="181" t="s">
        <v>657</v>
      </c>
      <c r="I1700" s="166" t="s">
        <v>34</v>
      </c>
      <c r="J1700" s="166" t="s">
        <v>198</v>
      </c>
      <c r="K1700" s="166" t="s">
        <v>712</v>
      </c>
      <c r="L1700" s="167">
        <f>1480/7</f>
        <v>211.42857142857142</v>
      </c>
      <c r="M1700" s="166"/>
      <c r="N1700" s="166"/>
      <c r="O1700" s="164">
        <f t="shared" si="194"/>
        <v>0</v>
      </c>
      <c r="P1700" s="166">
        <f>2*25*9</f>
        <v>450</v>
      </c>
      <c r="Q1700" s="166">
        <v>5</v>
      </c>
      <c r="R1700" s="164">
        <f>$L1700*'Pivot Objective'!$C$9*P1700*Q1700</f>
        <v>543703.89328714274</v>
      </c>
      <c r="S1700" s="166"/>
      <c r="T1700" s="166"/>
      <c r="U1700" s="164">
        <f>($L1700*'Pivot Objective'!$C$9^2)*S1700*T1700</f>
        <v>0</v>
      </c>
      <c r="V1700" s="166"/>
      <c r="W1700" s="166"/>
      <c r="X1700" s="164">
        <f>($L1700*'Pivot Objective'!$C$9^3)*V1700*W1700</f>
        <v>0</v>
      </c>
      <c r="Y1700" s="166"/>
      <c r="Z1700" s="166"/>
      <c r="AA1700" s="164">
        <f>($L1700*'Pivot Objective'!$C$9^4)*Y1700*Z1700</f>
        <v>0</v>
      </c>
      <c r="AB1700" s="166">
        <f>2*25*9</f>
        <v>450</v>
      </c>
      <c r="AC1700" s="166">
        <v>5</v>
      </c>
      <c r="AD1700" s="164">
        <f>($L1700*'Pivot Objective'!$C$9^5)*AB1700*AC1700</f>
        <v>927742.47472333559</v>
      </c>
      <c r="AE1700" s="166"/>
      <c r="AF1700" s="166"/>
      <c r="AG1700" s="164">
        <f>($L1700*'Pivot Objective'!$C$9^6)*AE1700*AF1700</f>
        <v>0</v>
      </c>
      <c r="AH1700" s="166"/>
      <c r="AI1700" s="166"/>
      <c r="AJ1700" s="164">
        <f>($L1700*'Pivot Objective'!$C$9^7)*AH1700*AI1700</f>
        <v>0</v>
      </c>
      <c r="AK1700" s="185">
        <f t="shared" si="195"/>
        <v>1471446.3680104783</v>
      </c>
      <c r="AL1700" s="186">
        <f t="shared" si="196"/>
        <v>1428.5887068062896</v>
      </c>
    </row>
    <row r="1701" spans="1:38" customFormat="1" ht="57.6" x14ac:dyDescent="0.3">
      <c r="A1701" s="140" t="s">
        <v>1486</v>
      </c>
      <c r="B1701" s="140">
        <v>3</v>
      </c>
      <c r="C1701" s="166" t="s">
        <v>696</v>
      </c>
      <c r="D1701" s="140" t="str">
        <f t="shared" si="191"/>
        <v>3</v>
      </c>
      <c r="E1701" s="166" t="s">
        <v>691</v>
      </c>
      <c r="F1701" s="140">
        <f t="shared" si="197"/>
        <v>1</v>
      </c>
      <c r="G1701" s="140" t="str">
        <f t="shared" si="192"/>
        <v>3.3.1</v>
      </c>
      <c r="H1701" s="181" t="s">
        <v>657</v>
      </c>
      <c r="I1701" s="166" t="s">
        <v>34</v>
      </c>
      <c r="J1701" s="166" t="s">
        <v>198</v>
      </c>
      <c r="K1701" s="166" t="s">
        <v>1299</v>
      </c>
      <c r="L1701" s="167">
        <f>1480/7</f>
        <v>211.42857142857142</v>
      </c>
      <c r="M1701" s="166"/>
      <c r="N1701" s="166"/>
      <c r="O1701" s="164">
        <f t="shared" si="194"/>
        <v>0</v>
      </c>
      <c r="P1701" s="166">
        <f>2*135*9</f>
        <v>2430</v>
      </c>
      <c r="Q1701" s="166">
        <v>1</v>
      </c>
      <c r="R1701" s="164">
        <f>$L1701*'Pivot Objective'!$C$9*P1701*Q1701</f>
        <v>587200.20475011424</v>
      </c>
      <c r="S1701" s="166"/>
      <c r="T1701" s="166"/>
      <c r="U1701" s="164">
        <f>($L1701*'Pivot Objective'!$C$9^2)*S1701*T1701</f>
        <v>0</v>
      </c>
      <c r="V1701" s="166"/>
      <c r="W1701" s="166"/>
      <c r="X1701" s="164">
        <f>($L1701*'Pivot Objective'!$C$9^3)*V1701*W1701</f>
        <v>0</v>
      </c>
      <c r="Y1701" s="166"/>
      <c r="Z1701" s="166"/>
      <c r="AA1701" s="164">
        <f>($L1701*'Pivot Objective'!$C$9^4)*Y1701*Z1701</f>
        <v>0</v>
      </c>
      <c r="AB1701" s="166">
        <f>2*135*9</f>
        <v>2430</v>
      </c>
      <c r="AC1701" s="166">
        <v>1</v>
      </c>
      <c r="AD1701" s="164">
        <f>($L1701*'Pivot Objective'!$C$9^5)*AB1701*AC1701</f>
        <v>1001961.8727012025</v>
      </c>
      <c r="AE1701" s="166"/>
      <c r="AF1701" s="166"/>
      <c r="AG1701" s="164">
        <f>($L1701*'Pivot Objective'!$C$9^6)*AE1701*AF1701</f>
        <v>0</v>
      </c>
      <c r="AH1701" s="166"/>
      <c r="AI1701" s="166"/>
      <c r="AJ1701" s="164">
        <f>($L1701*'Pivot Objective'!$C$9^7)*AH1701*AI1701</f>
        <v>0</v>
      </c>
      <c r="AK1701" s="185">
        <f t="shared" si="195"/>
        <v>1589162.0774513166</v>
      </c>
      <c r="AL1701" s="186">
        <f t="shared" si="196"/>
        <v>1542.8758033507929</v>
      </c>
    </row>
    <row r="1702" spans="1:38" customFormat="1" ht="57.6" x14ac:dyDescent="0.3">
      <c r="A1702" s="140" t="s">
        <v>1486</v>
      </c>
      <c r="B1702" s="140">
        <v>3</v>
      </c>
      <c r="C1702" s="166" t="s">
        <v>696</v>
      </c>
      <c r="D1702" s="140" t="str">
        <f t="shared" si="191"/>
        <v>3</v>
      </c>
      <c r="E1702" s="166" t="s">
        <v>691</v>
      </c>
      <c r="F1702" s="140">
        <f t="shared" si="197"/>
        <v>1</v>
      </c>
      <c r="G1702" s="140" t="str">
        <f t="shared" si="192"/>
        <v>3.3.1</v>
      </c>
      <c r="H1702" s="181" t="s">
        <v>657</v>
      </c>
      <c r="I1702" s="166" t="s">
        <v>34</v>
      </c>
      <c r="J1702" s="166" t="s">
        <v>151</v>
      </c>
      <c r="K1702" s="166" t="s">
        <v>713</v>
      </c>
      <c r="L1702" s="167">
        <v>45000</v>
      </c>
      <c r="M1702" s="166"/>
      <c r="N1702" s="166"/>
      <c r="O1702" s="164">
        <f t="shared" si="194"/>
        <v>0</v>
      </c>
      <c r="P1702" s="166">
        <v>25</v>
      </c>
      <c r="Q1702" s="166">
        <v>6</v>
      </c>
      <c r="R1702" s="164">
        <f>$L1702*'Pivot Objective'!$C$9*P1702*Q1702</f>
        <v>7714717.4047499988</v>
      </c>
      <c r="S1702" s="166">
        <v>15</v>
      </c>
      <c r="T1702" s="166">
        <v>10</v>
      </c>
      <c r="U1702" s="164">
        <f>($L1702*'Pivot Objective'!$C$9^2)*S1702*T1702</f>
        <v>8817313.2792818621</v>
      </c>
      <c r="V1702" s="166">
        <v>15</v>
      </c>
      <c r="W1702" s="166">
        <v>10</v>
      </c>
      <c r="X1702" s="164">
        <f>($L1702*'Pivot Objective'!$C$9^3)*V1702*W1702</f>
        <v>10077493.365749491</v>
      </c>
      <c r="Y1702" s="166">
        <v>15</v>
      </c>
      <c r="Z1702" s="166">
        <v>10</v>
      </c>
      <c r="AA1702" s="164">
        <f>($L1702*'Pivot Objective'!$C$9^4)*Y1702*Z1702</f>
        <v>11517779.77259263</v>
      </c>
      <c r="AB1702" s="166">
        <v>25</v>
      </c>
      <c r="AC1702" s="166">
        <v>6</v>
      </c>
      <c r="AD1702" s="164">
        <f>($L1702*'Pivot Objective'!$C$9^5)*AB1702*AC1702</f>
        <v>13163913.492695976</v>
      </c>
      <c r="AE1702" s="166">
        <v>0</v>
      </c>
      <c r="AF1702" s="166">
        <v>0</v>
      </c>
      <c r="AG1702" s="164">
        <f>($L1702*'Pivot Objective'!$C$9^6)*AE1702*AF1702</f>
        <v>0</v>
      </c>
      <c r="AH1702" s="166">
        <v>0</v>
      </c>
      <c r="AI1702" s="166">
        <v>0</v>
      </c>
      <c r="AJ1702" s="164">
        <f>($L1702*'Pivot Objective'!$C$9^7)*AH1702*AI1702</f>
        <v>0</v>
      </c>
      <c r="AK1702" s="185">
        <f t="shared" si="195"/>
        <v>51291217.315069959</v>
      </c>
      <c r="AL1702" s="186">
        <f t="shared" si="196"/>
        <v>49797.298364145594</v>
      </c>
    </row>
    <row r="1703" spans="1:38" customFormat="1" ht="57.6" x14ac:dyDescent="0.3">
      <c r="A1703" s="140" t="s">
        <v>1486</v>
      </c>
      <c r="B1703" s="140">
        <v>3</v>
      </c>
      <c r="C1703" s="166" t="s">
        <v>696</v>
      </c>
      <c r="D1703" s="140" t="str">
        <f t="shared" si="191"/>
        <v>3</v>
      </c>
      <c r="E1703" s="166" t="s">
        <v>691</v>
      </c>
      <c r="F1703" s="140">
        <f t="shared" si="197"/>
        <v>1</v>
      </c>
      <c r="G1703" s="140" t="str">
        <f t="shared" si="192"/>
        <v>3.3.1</v>
      </c>
      <c r="H1703" s="181" t="s">
        <v>657</v>
      </c>
      <c r="I1703" s="166" t="s">
        <v>34</v>
      </c>
      <c r="J1703" s="166" t="s">
        <v>151</v>
      </c>
      <c r="K1703" s="166" t="s">
        <v>712</v>
      </c>
      <c r="L1703" s="167">
        <f>1480/7</f>
        <v>211.42857142857142</v>
      </c>
      <c r="M1703" s="166"/>
      <c r="N1703" s="166"/>
      <c r="O1703" s="164">
        <f t="shared" si="194"/>
        <v>0</v>
      </c>
      <c r="P1703" s="166">
        <f>2*25*9</f>
        <v>450</v>
      </c>
      <c r="Q1703" s="166">
        <v>5</v>
      </c>
      <c r="R1703" s="164">
        <f>$L1703*'Pivot Objective'!$C$9*P1703*Q1703</f>
        <v>543703.89328714274</v>
      </c>
      <c r="S1703" s="166">
        <v>8000</v>
      </c>
      <c r="T1703" s="166">
        <v>1</v>
      </c>
      <c r="U1703" s="164">
        <f>($L1703*'Pivot Objective'!$C$9^2)*S1703*T1703</f>
        <v>2209460.08945391</v>
      </c>
      <c r="V1703" s="166">
        <v>8000</v>
      </c>
      <c r="W1703" s="166">
        <v>1</v>
      </c>
      <c r="X1703" s="164">
        <f>($L1703*'Pivot Objective'!$C$9^3)*V1703*W1703</f>
        <v>2525238.5492163803</v>
      </c>
      <c r="Y1703" s="166">
        <v>8000</v>
      </c>
      <c r="Z1703" s="166">
        <v>1</v>
      </c>
      <c r="AA1703" s="164">
        <f>($L1703*'Pivot Objective'!$C$9^4)*Y1703*Z1703</f>
        <v>2886148.4128570738</v>
      </c>
      <c r="AB1703" s="166">
        <f>2*25*9</f>
        <v>450</v>
      </c>
      <c r="AC1703" s="166">
        <v>5</v>
      </c>
      <c r="AD1703" s="164">
        <f>($L1703*'Pivot Objective'!$C$9^5)*AB1703*AC1703</f>
        <v>927742.47472333559</v>
      </c>
      <c r="AE1703" s="166">
        <v>0</v>
      </c>
      <c r="AF1703" s="166">
        <v>0</v>
      </c>
      <c r="AG1703" s="164">
        <f>($L1703*'Pivot Objective'!$C$9^6)*AE1703*AF1703</f>
        <v>0</v>
      </c>
      <c r="AH1703" s="166">
        <v>0</v>
      </c>
      <c r="AI1703" s="166">
        <v>0</v>
      </c>
      <c r="AJ1703" s="164">
        <f>($L1703*'Pivot Objective'!$C$9^7)*AH1703*AI1703</f>
        <v>0</v>
      </c>
      <c r="AK1703" s="185">
        <f t="shared" si="195"/>
        <v>9092293.4195378423</v>
      </c>
      <c r="AL1703" s="186">
        <f t="shared" si="196"/>
        <v>8827.4693393571288</v>
      </c>
    </row>
    <row r="1704" spans="1:38" customFormat="1" ht="57.6" x14ac:dyDescent="0.3">
      <c r="A1704" s="140" t="s">
        <v>1486</v>
      </c>
      <c r="B1704" s="140">
        <v>3</v>
      </c>
      <c r="C1704" s="166" t="s">
        <v>696</v>
      </c>
      <c r="D1704" s="140" t="str">
        <f t="shared" si="191"/>
        <v>3</v>
      </c>
      <c r="E1704" s="166" t="s">
        <v>691</v>
      </c>
      <c r="F1704" s="140">
        <f t="shared" si="197"/>
        <v>1</v>
      </c>
      <c r="G1704" s="140" t="str">
        <f t="shared" si="192"/>
        <v>3.3.1</v>
      </c>
      <c r="H1704" s="181" t="s">
        <v>657</v>
      </c>
      <c r="I1704" s="166" t="s">
        <v>34</v>
      </c>
      <c r="J1704" s="166" t="s">
        <v>151</v>
      </c>
      <c r="K1704" s="166" t="s">
        <v>1299</v>
      </c>
      <c r="L1704" s="167">
        <f>1480/7</f>
        <v>211.42857142857142</v>
      </c>
      <c r="M1704" s="166"/>
      <c r="N1704" s="166"/>
      <c r="O1704" s="164">
        <f t="shared" si="194"/>
        <v>0</v>
      </c>
      <c r="P1704" s="166">
        <f>2*135*9</f>
        <v>2430</v>
      </c>
      <c r="Q1704" s="166">
        <v>1</v>
      </c>
      <c r="R1704" s="164">
        <f>$L1704*'Pivot Objective'!$C$9*P1704*Q1704</f>
        <v>587200.20475011424</v>
      </c>
      <c r="S1704" s="166"/>
      <c r="T1704" s="166"/>
      <c r="U1704" s="164">
        <f>($L1704*'Pivot Objective'!$C$9^2)*S1704*T1704</f>
        <v>0</v>
      </c>
      <c r="V1704" s="166"/>
      <c r="W1704" s="166"/>
      <c r="X1704" s="164">
        <f>($L1704*'Pivot Objective'!$C$9^3)*V1704*W1704</f>
        <v>0</v>
      </c>
      <c r="Y1704" s="166"/>
      <c r="Z1704" s="166"/>
      <c r="AA1704" s="164">
        <f>($L1704*'Pivot Objective'!$C$9^4)*Y1704*Z1704</f>
        <v>0</v>
      </c>
      <c r="AB1704" s="166">
        <f>2*135*9</f>
        <v>2430</v>
      </c>
      <c r="AC1704" s="166">
        <v>1</v>
      </c>
      <c r="AD1704" s="164">
        <f>($L1704*'Pivot Objective'!$C$9^5)*AB1704*AC1704</f>
        <v>1001961.8727012025</v>
      </c>
      <c r="AE1704" s="166"/>
      <c r="AF1704" s="166"/>
      <c r="AG1704" s="164">
        <f>($L1704*'Pivot Objective'!$C$9^6)*AE1704*AF1704</f>
        <v>0</v>
      </c>
      <c r="AH1704" s="166"/>
      <c r="AI1704" s="166"/>
      <c r="AJ1704" s="164">
        <f>($L1704*'Pivot Objective'!$C$9^7)*AH1704*AI1704</f>
        <v>0</v>
      </c>
      <c r="AK1704" s="185">
        <f t="shared" si="195"/>
        <v>1589162.0774513166</v>
      </c>
      <c r="AL1704" s="186">
        <f t="shared" si="196"/>
        <v>1542.8758033507929</v>
      </c>
    </row>
    <row r="1705" spans="1:38" customFormat="1" ht="57.6" x14ac:dyDescent="0.3">
      <c r="A1705" s="140" t="s">
        <v>1486</v>
      </c>
      <c r="B1705" s="140">
        <v>3</v>
      </c>
      <c r="C1705" s="166" t="s">
        <v>696</v>
      </c>
      <c r="D1705" s="140" t="str">
        <f t="shared" si="191"/>
        <v>3</v>
      </c>
      <c r="E1705" s="166" t="s">
        <v>691</v>
      </c>
      <c r="F1705" s="140">
        <f t="shared" si="197"/>
        <v>1</v>
      </c>
      <c r="G1705" s="140" t="str">
        <f t="shared" si="192"/>
        <v>3.3.1</v>
      </c>
      <c r="H1705" s="181" t="s">
        <v>657</v>
      </c>
      <c r="I1705" s="166" t="s">
        <v>34</v>
      </c>
      <c r="J1705" s="166" t="s">
        <v>151</v>
      </c>
      <c r="K1705" s="166" t="s">
        <v>714</v>
      </c>
      <c r="L1705" s="167">
        <v>10000</v>
      </c>
      <c r="M1705" s="166"/>
      <c r="N1705" s="166"/>
      <c r="O1705" s="164">
        <f t="shared" si="194"/>
        <v>0</v>
      </c>
      <c r="P1705" s="166">
        <v>25</v>
      </c>
      <c r="Q1705" s="166">
        <v>0</v>
      </c>
      <c r="R1705" s="164">
        <f>$L1705*'Pivot Objective'!$C$9*P1705*Q1705</f>
        <v>0</v>
      </c>
      <c r="S1705" s="166">
        <v>15</v>
      </c>
      <c r="T1705" s="166">
        <v>1</v>
      </c>
      <c r="U1705" s="164">
        <f>($L1705*'Pivot Objective'!$C$9^2)*S1705*T1705</f>
        <v>195940.29509515248</v>
      </c>
      <c r="V1705" s="166">
        <v>15</v>
      </c>
      <c r="W1705" s="166">
        <v>1</v>
      </c>
      <c r="X1705" s="164">
        <f>($L1705*'Pivot Objective'!$C$9^3)*V1705*W1705</f>
        <v>223944.29701665539</v>
      </c>
      <c r="Y1705" s="166">
        <v>15</v>
      </c>
      <c r="Z1705" s="166">
        <v>1</v>
      </c>
      <c r="AA1705" s="164">
        <f>($L1705*'Pivot Objective'!$C$9^4)*Y1705*Z1705</f>
        <v>255950.66161316959</v>
      </c>
      <c r="AB1705" s="166">
        <v>25</v>
      </c>
      <c r="AC1705" s="166">
        <v>0</v>
      </c>
      <c r="AD1705" s="164">
        <f>($L1705*'Pivot Objective'!$C$9^5)*AB1705*AC1705</f>
        <v>0</v>
      </c>
      <c r="AE1705" s="166">
        <v>0</v>
      </c>
      <c r="AF1705" s="166">
        <v>0</v>
      </c>
      <c r="AG1705" s="164">
        <f>($L1705*'Pivot Objective'!$C$9^6)*AE1705*AF1705</f>
        <v>0</v>
      </c>
      <c r="AH1705" s="166">
        <v>0</v>
      </c>
      <c r="AI1705" s="166">
        <v>0</v>
      </c>
      <c r="AJ1705" s="164">
        <f>($L1705*'Pivot Objective'!$C$9^7)*AH1705*AI1705</f>
        <v>0</v>
      </c>
      <c r="AK1705" s="185">
        <f t="shared" si="195"/>
        <v>675835.25372497749</v>
      </c>
      <c r="AL1705" s="186">
        <f t="shared" si="196"/>
        <v>656.15073177182285</v>
      </c>
    </row>
    <row r="1706" spans="1:38" customFormat="1" ht="57.6" x14ac:dyDescent="0.3">
      <c r="A1706" s="140" t="s">
        <v>1486</v>
      </c>
      <c r="B1706" s="140">
        <v>3</v>
      </c>
      <c r="C1706" s="166" t="s">
        <v>696</v>
      </c>
      <c r="D1706" s="140" t="str">
        <f t="shared" si="191"/>
        <v>3</v>
      </c>
      <c r="E1706" s="166" t="s">
        <v>691</v>
      </c>
      <c r="F1706" s="140">
        <f t="shared" si="197"/>
        <v>1</v>
      </c>
      <c r="G1706" s="140" t="str">
        <f t="shared" si="192"/>
        <v>3.3.1</v>
      </c>
      <c r="H1706" s="181" t="s">
        <v>657</v>
      </c>
      <c r="I1706" s="166" t="s">
        <v>34</v>
      </c>
      <c r="J1706" s="166" t="s">
        <v>151</v>
      </c>
      <c r="K1706" s="166" t="s">
        <v>715</v>
      </c>
      <c r="L1706" s="167">
        <v>302000</v>
      </c>
      <c r="M1706" s="166"/>
      <c r="N1706" s="166"/>
      <c r="O1706" s="164">
        <f t="shared" si="194"/>
        <v>0</v>
      </c>
      <c r="P1706" s="166">
        <v>25</v>
      </c>
      <c r="Q1706" s="166">
        <v>0</v>
      </c>
      <c r="R1706" s="164">
        <f>$L1706*'Pivot Objective'!$C$9*P1706*Q1706</f>
        <v>0</v>
      </c>
      <c r="S1706" s="166">
        <v>20</v>
      </c>
      <c r="T1706" s="166">
        <v>1</v>
      </c>
      <c r="U1706" s="164">
        <f>($L1706*'Pivot Objective'!$C$9^2)*S1706*T1706</f>
        <v>7889862.5491648065</v>
      </c>
      <c r="V1706" s="166">
        <v>20</v>
      </c>
      <c r="W1706" s="166">
        <v>1</v>
      </c>
      <c r="X1706" s="164">
        <f>($L1706*'Pivot Objective'!$C$9^3)*V1706*W1706</f>
        <v>9017490.3598706573</v>
      </c>
      <c r="Y1706" s="166">
        <v>20</v>
      </c>
      <c r="Z1706" s="166">
        <v>1</v>
      </c>
      <c r="AA1706" s="164">
        <f>($L1706*'Pivot Objective'!$C$9^4)*Y1706*Z1706</f>
        <v>10306279.974290295</v>
      </c>
      <c r="AB1706" s="166">
        <v>25</v>
      </c>
      <c r="AC1706" s="166">
        <v>0</v>
      </c>
      <c r="AD1706" s="164">
        <f>($L1706*'Pivot Objective'!$C$9^5)*AB1706*AC1706</f>
        <v>0</v>
      </c>
      <c r="AE1706" s="166">
        <v>0</v>
      </c>
      <c r="AF1706" s="166">
        <v>0</v>
      </c>
      <c r="AG1706" s="164">
        <f>($L1706*'Pivot Objective'!$C$9^6)*AE1706*AF1706</f>
        <v>0</v>
      </c>
      <c r="AH1706" s="166">
        <v>0</v>
      </c>
      <c r="AI1706" s="166">
        <v>0</v>
      </c>
      <c r="AJ1706" s="164">
        <f>($L1706*'Pivot Objective'!$C$9^7)*AH1706*AI1706</f>
        <v>0</v>
      </c>
      <c r="AK1706" s="185">
        <f t="shared" si="195"/>
        <v>27213632.883325756</v>
      </c>
      <c r="AL1706" s="186">
        <f t="shared" si="196"/>
        <v>26421.002799345395</v>
      </c>
    </row>
    <row r="1707" spans="1:38" customFormat="1" ht="57.6" x14ac:dyDescent="0.3">
      <c r="A1707" s="140" t="s">
        <v>1486</v>
      </c>
      <c r="B1707" s="140">
        <v>3</v>
      </c>
      <c r="C1707" s="166" t="s">
        <v>696</v>
      </c>
      <c r="D1707" s="140" t="str">
        <f t="shared" si="191"/>
        <v>3</v>
      </c>
      <c r="E1707" s="166" t="s">
        <v>691</v>
      </c>
      <c r="F1707" s="140">
        <f t="shared" si="197"/>
        <v>1</v>
      </c>
      <c r="G1707" s="140" t="str">
        <f t="shared" si="192"/>
        <v>3.3.1</v>
      </c>
      <c r="H1707" s="181" t="s">
        <v>657</v>
      </c>
      <c r="I1707" s="166" t="s">
        <v>34</v>
      </c>
      <c r="J1707" s="166" t="s">
        <v>159</v>
      </c>
      <c r="K1707" s="166" t="s">
        <v>716</v>
      </c>
      <c r="L1707" s="167">
        <v>39000</v>
      </c>
      <c r="M1707" s="166"/>
      <c r="N1707" s="166"/>
      <c r="O1707" s="164">
        <f t="shared" si="194"/>
        <v>0</v>
      </c>
      <c r="P1707" s="166">
        <v>25</v>
      </c>
      <c r="Q1707" s="166">
        <v>6</v>
      </c>
      <c r="R1707" s="164">
        <f>$L1707*'Pivot Objective'!$C$9*P1707*Q1707</f>
        <v>6686088.4174499996</v>
      </c>
      <c r="S1707" s="166">
        <v>15</v>
      </c>
      <c r="T1707" s="166">
        <v>5</v>
      </c>
      <c r="U1707" s="164">
        <f>($L1707*'Pivot Objective'!$C$9^2)*S1707*T1707</f>
        <v>3820835.7543554734</v>
      </c>
      <c r="V1707" s="166">
        <v>15</v>
      </c>
      <c r="W1707" s="166">
        <v>5</v>
      </c>
      <c r="X1707" s="164">
        <f>($L1707*'Pivot Objective'!$C$9^3)*V1707*W1707</f>
        <v>4366913.7918247795</v>
      </c>
      <c r="Y1707" s="166">
        <v>15</v>
      </c>
      <c r="Z1707" s="166">
        <v>5</v>
      </c>
      <c r="AA1707" s="164">
        <f>($L1707*'Pivot Objective'!$C$9^4)*Y1707*Z1707</f>
        <v>4991037.9014568068</v>
      </c>
      <c r="AB1707" s="166">
        <v>25</v>
      </c>
      <c r="AC1707" s="166">
        <v>6</v>
      </c>
      <c r="AD1707" s="164">
        <f>($L1707*'Pivot Objective'!$C$9^5)*AB1707*AC1707</f>
        <v>11408725.027003182</v>
      </c>
      <c r="AE1707" s="166">
        <v>0</v>
      </c>
      <c r="AF1707" s="166">
        <v>0</v>
      </c>
      <c r="AG1707" s="164">
        <f>($L1707*'Pivot Objective'!$C$9^6)*AE1707*AF1707</f>
        <v>0</v>
      </c>
      <c r="AH1707" s="166">
        <v>0</v>
      </c>
      <c r="AI1707" s="166">
        <v>0</v>
      </c>
      <c r="AJ1707" s="164">
        <f>($L1707*'Pivot Objective'!$C$9^7)*AH1707*AI1707</f>
        <v>0</v>
      </c>
      <c r="AK1707" s="185">
        <f t="shared" si="195"/>
        <v>31273600.892090239</v>
      </c>
      <c r="AL1707" s="186">
        <f t="shared" si="196"/>
        <v>30362.71931270897</v>
      </c>
    </row>
    <row r="1708" spans="1:38" customFormat="1" ht="57.6" x14ac:dyDescent="0.3">
      <c r="A1708" s="140" t="s">
        <v>1486</v>
      </c>
      <c r="B1708" s="140">
        <v>3</v>
      </c>
      <c r="C1708" s="166" t="s">
        <v>696</v>
      </c>
      <c r="D1708" s="140" t="str">
        <f t="shared" si="191"/>
        <v>3</v>
      </c>
      <c r="E1708" s="166" t="s">
        <v>691</v>
      </c>
      <c r="F1708" s="140">
        <f t="shared" si="197"/>
        <v>1</v>
      </c>
      <c r="G1708" s="140" t="str">
        <f t="shared" si="192"/>
        <v>3.3.1</v>
      </c>
      <c r="H1708" s="181" t="s">
        <v>657</v>
      </c>
      <c r="I1708" s="166" t="s">
        <v>34</v>
      </c>
      <c r="J1708" s="166" t="s">
        <v>159</v>
      </c>
      <c r="K1708" s="166" t="s">
        <v>709</v>
      </c>
      <c r="L1708" s="167">
        <v>35000</v>
      </c>
      <c r="M1708" s="166"/>
      <c r="N1708" s="166"/>
      <c r="O1708" s="164">
        <f t="shared" si="194"/>
        <v>0</v>
      </c>
      <c r="P1708" s="166">
        <v>25</v>
      </c>
      <c r="Q1708" s="166">
        <v>5</v>
      </c>
      <c r="R1708" s="164">
        <f>$L1708*'Pivot Objective'!$C$9*P1708*Q1708</f>
        <v>5000279.7993749995</v>
      </c>
      <c r="S1708" s="166">
        <v>15</v>
      </c>
      <c r="T1708" s="166">
        <v>5</v>
      </c>
      <c r="U1708" s="164">
        <f>($L1708*'Pivot Objective'!$C$9^2)*S1708*T1708</f>
        <v>3428955.1641651681</v>
      </c>
      <c r="V1708" s="166">
        <v>15</v>
      </c>
      <c r="W1708" s="166">
        <v>5</v>
      </c>
      <c r="X1708" s="164">
        <f>($L1708*'Pivot Objective'!$C$9^3)*V1708*W1708</f>
        <v>3919025.1977914693</v>
      </c>
      <c r="Y1708" s="166">
        <v>15</v>
      </c>
      <c r="Z1708" s="166">
        <v>5</v>
      </c>
      <c r="AA1708" s="164">
        <f>($L1708*'Pivot Objective'!$C$9^4)*Y1708*Z1708</f>
        <v>4479136.5782304676</v>
      </c>
      <c r="AB1708" s="166">
        <v>25</v>
      </c>
      <c r="AC1708" s="166">
        <v>5</v>
      </c>
      <c r="AD1708" s="164">
        <f>($L1708*'Pivot Objective'!$C$9^5)*AB1708*AC1708</f>
        <v>8532166.152673319</v>
      </c>
      <c r="AE1708" s="166">
        <v>0</v>
      </c>
      <c r="AF1708" s="166">
        <v>0</v>
      </c>
      <c r="AG1708" s="164">
        <f>($L1708*'Pivot Objective'!$C$9^6)*AE1708*AF1708</f>
        <v>0</v>
      </c>
      <c r="AH1708" s="166">
        <v>0</v>
      </c>
      <c r="AI1708" s="166">
        <v>0</v>
      </c>
      <c r="AJ1708" s="164">
        <f>($L1708*'Pivot Objective'!$C$9^7)*AH1708*AI1708</f>
        <v>0</v>
      </c>
      <c r="AK1708" s="185">
        <f t="shared" si="195"/>
        <v>25359562.892235421</v>
      </c>
      <c r="AL1708" s="186">
        <f t="shared" si="196"/>
        <v>24620.934846830507</v>
      </c>
    </row>
    <row r="1709" spans="1:38" customFormat="1" ht="57.6" x14ac:dyDescent="0.3">
      <c r="A1709" s="140" t="s">
        <v>1486</v>
      </c>
      <c r="B1709" s="140">
        <v>3</v>
      </c>
      <c r="C1709" s="166" t="s">
        <v>696</v>
      </c>
      <c r="D1709" s="140" t="str">
        <f t="shared" si="191"/>
        <v>3</v>
      </c>
      <c r="E1709" s="166" t="s">
        <v>691</v>
      </c>
      <c r="F1709" s="140">
        <f t="shared" si="197"/>
        <v>1</v>
      </c>
      <c r="G1709" s="140" t="str">
        <f t="shared" si="192"/>
        <v>3.3.1</v>
      </c>
      <c r="H1709" s="181" t="s">
        <v>657</v>
      </c>
      <c r="I1709" s="166" t="s">
        <v>34</v>
      </c>
      <c r="J1709" s="166" t="s">
        <v>159</v>
      </c>
      <c r="K1709" s="166" t="s">
        <v>712</v>
      </c>
      <c r="L1709" s="167">
        <f>1480/7</f>
        <v>211.42857142857142</v>
      </c>
      <c r="M1709" s="166"/>
      <c r="N1709" s="166"/>
      <c r="O1709" s="164">
        <f t="shared" si="194"/>
        <v>0</v>
      </c>
      <c r="P1709" s="166">
        <f>2*25*9</f>
        <v>450</v>
      </c>
      <c r="Q1709" s="166">
        <v>5</v>
      </c>
      <c r="R1709" s="164">
        <f>$L1709*'Pivot Objective'!$C$9*P1709*Q1709</f>
        <v>543703.89328714274</v>
      </c>
      <c r="S1709" s="166">
        <v>4000</v>
      </c>
      <c r="T1709" s="166">
        <v>1</v>
      </c>
      <c r="U1709" s="164">
        <f>($L1709*'Pivot Objective'!$C$9^2)*S1709*T1709</f>
        <v>1104730.044726955</v>
      </c>
      <c r="V1709" s="166">
        <v>4000</v>
      </c>
      <c r="W1709" s="166">
        <v>1</v>
      </c>
      <c r="X1709" s="164">
        <f>($L1709*'Pivot Objective'!$C$9^3)*V1709*W1709</f>
        <v>1262619.2746081902</v>
      </c>
      <c r="Y1709" s="166">
        <v>4000</v>
      </c>
      <c r="Z1709" s="166">
        <v>1</v>
      </c>
      <c r="AA1709" s="164">
        <f>($L1709*'Pivot Objective'!$C$9^4)*Y1709*Z1709</f>
        <v>1443074.2064285369</v>
      </c>
      <c r="AB1709" s="166">
        <f>2*25*9</f>
        <v>450</v>
      </c>
      <c r="AC1709" s="166">
        <v>5</v>
      </c>
      <c r="AD1709" s="164">
        <f>($L1709*'Pivot Objective'!$C$9^5)*AB1709*AC1709</f>
        <v>927742.47472333559</v>
      </c>
      <c r="AE1709" s="166">
        <v>0</v>
      </c>
      <c r="AF1709" s="166">
        <v>0</v>
      </c>
      <c r="AG1709" s="164">
        <f>($L1709*'Pivot Objective'!$C$9^6)*AE1709*AF1709</f>
        <v>0</v>
      </c>
      <c r="AH1709" s="166">
        <v>0</v>
      </c>
      <c r="AI1709" s="166">
        <v>0</v>
      </c>
      <c r="AJ1709" s="164">
        <f>($L1709*'Pivot Objective'!$C$9^7)*AH1709*AI1709</f>
        <v>0</v>
      </c>
      <c r="AK1709" s="185">
        <f t="shared" si="195"/>
        <v>5281869.8937741602</v>
      </c>
      <c r="AL1709" s="186">
        <f t="shared" si="196"/>
        <v>5128.0290230817091</v>
      </c>
    </row>
    <row r="1710" spans="1:38" customFormat="1" ht="57.6" x14ac:dyDescent="0.3">
      <c r="A1710" s="140" t="s">
        <v>1486</v>
      </c>
      <c r="B1710" s="140">
        <v>3</v>
      </c>
      <c r="C1710" s="166" t="s">
        <v>696</v>
      </c>
      <c r="D1710" s="140" t="str">
        <f t="shared" si="191"/>
        <v>3</v>
      </c>
      <c r="E1710" s="166" t="s">
        <v>691</v>
      </c>
      <c r="F1710" s="140">
        <f t="shared" si="197"/>
        <v>1</v>
      </c>
      <c r="G1710" s="140" t="str">
        <f t="shared" si="192"/>
        <v>3.3.1</v>
      </c>
      <c r="H1710" s="181" t="s">
        <v>657</v>
      </c>
      <c r="I1710" s="166" t="s">
        <v>34</v>
      </c>
      <c r="J1710" s="166" t="s">
        <v>159</v>
      </c>
      <c r="K1710" s="166" t="s">
        <v>1299</v>
      </c>
      <c r="L1710" s="167">
        <f>1480/7</f>
        <v>211.42857142857142</v>
      </c>
      <c r="M1710" s="166"/>
      <c r="N1710" s="166"/>
      <c r="O1710" s="164">
        <f t="shared" si="194"/>
        <v>0</v>
      </c>
      <c r="P1710" s="166">
        <f>2*135*9</f>
        <v>2430</v>
      </c>
      <c r="Q1710" s="166">
        <v>1</v>
      </c>
      <c r="R1710" s="164">
        <f>$L1710*'Pivot Objective'!$C$9*P1710*Q1710</f>
        <v>587200.20475011424</v>
      </c>
      <c r="S1710" s="166"/>
      <c r="T1710" s="166"/>
      <c r="U1710" s="164">
        <f>($L1710*'Pivot Objective'!$C$9^2)*S1710*T1710</f>
        <v>0</v>
      </c>
      <c r="V1710" s="166"/>
      <c r="W1710" s="166"/>
      <c r="X1710" s="164">
        <f>($L1710*'Pivot Objective'!$C$9^3)*V1710*W1710</f>
        <v>0</v>
      </c>
      <c r="Y1710" s="166"/>
      <c r="Z1710" s="166"/>
      <c r="AA1710" s="164">
        <f>($L1710*'Pivot Objective'!$C$9^4)*Y1710*Z1710</f>
        <v>0</v>
      </c>
      <c r="AB1710" s="166">
        <f>2*135*9</f>
        <v>2430</v>
      </c>
      <c r="AC1710" s="166">
        <v>1</v>
      </c>
      <c r="AD1710" s="164">
        <f>($L1710*'Pivot Objective'!$C$9^5)*AB1710*AC1710</f>
        <v>1001961.8727012025</v>
      </c>
      <c r="AE1710" s="166"/>
      <c r="AF1710" s="166"/>
      <c r="AG1710" s="164">
        <f>($L1710*'Pivot Objective'!$C$9^6)*AE1710*AF1710</f>
        <v>0</v>
      </c>
      <c r="AH1710" s="166"/>
      <c r="AI1710" s="166"/>
      <c r="AJ1710" s="164">
        <f>($L1710*'Pivot Objective'!$C$9^7)*AH1710*AI1710</f>
        <v>0</v>
      </c>
      <c r="AK1710" s="185">
        <f t="shared" si="195"/>
        <v>1589162.0774513166</v>
      </c>
      <c r="AL1710" s="186">
        <f t="shared" si="196"/>
        <v>1542.8758033507929</v>
      </c>
    </row>
    <row r="1711" spans="1:38" customFormat="1" ht="57.6" x14ac:dyDescent="0.3">
      <c r="A1711" s="140" t="s">
        <v>1486</v>
      </c>
      <c r="B1711" s="140">
        <v>3</v>
      </c>
      <c r="C1711" s="166" t="s">
        <v>696</v>
      </c>
      <c r="D1711" s="140" t="str">
        <f t="shared" si="191"/>
        <v>3</v>
      </c>
      <c r="E1711" s="166" t="s">
        <v>691</v>
      </c>
      <c r="F1711" s="140">
        <f t="shared" si="197"/>
        <v>1</v>
      </c>
      <c r="G1711" s="140" t="str">
        <f t="shared" si="192"/>
        <v>3.3.1</v>
      </c>
      <c r="H1711" s="181" t="s">
        <v>657</v>
      </c>
      <c r="I1711" s="166" t="s">
        <v>34</v>
      </c>
      <c r="J1711" s="166" t="s">
        <v>153</v>
      </c>
      <c r="K1711" s="166" t="s">
        <v>716</v>
      </c>
      <c r="L1711" s="167">
        <v>39000</v>
      </c>
      <c r="M1711" s="166"/>
      <c r="N1711" s="166"/>
      <c r="O1711" s="164">
        <f t="shared" si="194"/>
        <v>0</v>
      </c>
      <c r="P1711" s="166">
        <v>25</v>
      </c>
      <c r="Q1711" s="166">
        <v>6</v>
      </c>
      <c r="R1711" s="164">
        <f>$L1711*'Pivot Objective'!$C$9*P1711*Q1711</f>
        <v>6686088.4174499996</v>
      </c>
      <c r="S1711" s="166">
        <v>15</v>
      </c>
      <c r="T1711" s="166">
        <v>5</v>
      </c>
      <c r="U1711" s="164">
        <f>($L1711*'Pivot Objective'!$C$9^2)*S1711*T1711</f>
        <v>3820835.7543554734</v>
      </c>
      <c r="V1711" s="166">
        <v>15</v>
      </c>
      <c r="W1711" s="166">
        <v>5</v>
      </c>
      <c r="X1711" s="164">
        <f>($L1711*'Pivot Objective'!$C$9^3)*V1711*W1711</f>
        <v>4366913.7918247795</v>
      </c>
      <c r="Y1711" s="166">
        <v>15</v>
      </c>
      <c r="Z1711" s="166">
        <v>5</v>
      </c>
      <c r="AA1711" s="164">
        <f>($L1711*'Pivot Objective'!$C$9^4)*Y1711*Z1711</f>
        <v>4991037.9014568068</v>
      </c>
      <c r="AB1711" s="166">
        <v>25</v>
      </c>
      <c r="AC1711" s="166">
        <v>6</v>
      </c>
      <c r="AD1711" s="164">
        <f>($L1711*'Pivot Objective'!$C$9^5)*AB1711*AC1711</f>
        <v>11408725.027003182</v>
      </c>
      <c r="AE1711" s="166">
        <v>0</v>
      </c>
      <c r="AF1711" s="166">
        <v>0</v>
      </c>
      <c r="AG1711" s="164">
        <f>($L1711*'Pivot Objective'!$C$9^6)*AE1711*AF1711</f>
        <v>0</v>
      </c>
      <c r="AH1711" s="166">
        <v>0</v>
      </c>
      <c r="AI1711" s="166">
        <v>0</v>
      </c>
      <c r="AJ1711" s="164">
        <f>($L1711*'Pivot Objective'!$C$9^7)*AH1711*AI1711</f>
        <v>0</v>
      </c>
      <c r="AK1711" s="185">
        <f t="shared" si="195"/>
        <v>31273600.892090239</v>
      </c>
      <c r="AL1711" s="186">
        <f t="shared" si="196"/>
        <v>30362.71931270897</v>
      </c>
    </row>
    <row r="1712" spans="1:38" customFormat="1" ht="57.6" x14ac:dyDescent="0.3">
      <c r="A1712" s="140" t="s">
        <v>1486</v>
      </c>
      <c r="B1712" s="140">
        <v>3</v>
      </c>
      <c r="C1712" s="166" t="s">
        <v>696</v>
      </c>
      <c r="D1712" s="140" t="str">
        <f t="shared" si="191"/>
        <v>3</v>
      </c>
      <c r="E1712" s="166" t="s">
        <v>691</v>
      </c>
      <c r="F1712" s="140">
        <f t="shared" si="197"/>
        <v>1</v>
      </c>
      <c r="G1712" s="140" t="str">
        <f t="shared" si="192"/>
        <v>3.3.1</v>
      </c>
      <c r="H1712" s="181" t="s">
        <v>657</v>
      </c>
      <c r="I1712" s="166" t="s">
        <v>34</v>
      </c>
      <c r="J1712" s="166" t="s">
        <v>153</v>
      </c>
      <c r="K1712" s="166" t="s">
        <v>709</v>
      </c>
      <c r="L1712" s="167">
        <v>35000</v>
      </c>
      <c r="M1712" s="166"/>
      <c r="N1712" s="166"/>
      <c r="O1712" s="164">
        <f t="shared" si="194"/>
        <v>0</v>
      </c>
      <c r="P1712" s="166">
        <v>25</v>
      </c>
      <c r="Q1712" s="166">
        <v>5</v>
      </c>
      <c r="R1712" s="164">
        <f>$L1712*'Pivot Objective'!$C$9*P1712*Q1712</f>
        <v>5000279.7993749995</v>
      </c>
      <c r="S1712" s="166">
        <v>15</v>
      </c>
      <c r="T1712" s="166">
        <v>5</v>
      </c>
      <c r="U1712" s="164">
        <f>($L1712*'Pivot Objective'!$C$9^2)*S1712*T1712</f>
        <v>3428955.1641651681</v>
      </c>
      <c r="V1712" s="166">
        <v>15</v>
      </c>
      <c r="W1712" s="166">
        <v>5</v>
      </c>
      <c r="X1712" s="164">
        <f>($L1712*'Pivot Objective'!$C$9^3)*V1712*W1712</f>
        <v>3919025.1977914693</v>
      </c>
      <c r="Y1712" s="166">
        <v>15</v>
      </c>
      <c r="Z1712" s="166">
        <v>5</v>
      </c>
      <c r="AA1712" s="164">
        <f>($L1712*'Pivot Objective'!$C$9^4)*Y1712*Z1712</f>
        <v>4479136.5782304676</v>
      </c>
      <c r="AB1712" s="166">
        <v>25</v>
      </c>
      <c r="AC1712" s="166">
        <v>5</v>
      </c>
      <c r="AD1712" s="164">
        <f>($L1712*'Pivot Objective'!$C$9^5)*AB1712*AC1712</f>
        <v>8532166.152673319</v>
      </c>
      <c r="AE1712" s="166">
        <v>0</v>
      </c>
      <c r="AF1712" s="166">
        <v>0</v>
      </c>
      <c r="AG1712" s="164">
        <f>($L1712*'Pivot Objective'!$C$9^6)*AE1712*AF1712</f>
        <v>0</v>
      </c>
      <c r="AH1712" s="166">
        <v>0</v>
      </c>
      <c r="AI1712" s="166">
        <v>0</v>
      </c>
      <c r="AJ1712" s="164">
        <f>($L1712*'Pivot Objective'!$C$9^7)*AH1712*AI1712</f>
        <v>0</v>
      </c>
      <c r="AK1712" s="185">
        <f t="shared" si="195"/>
        <v>25359562.892235421</v>
      </c>
      <c r="AL1712" s="186">
        <f t="shared" si="196"/>
        <v>24620.934846830507</v>
      </c>
    </row>
    <row r="1713" spans="1:38" customFormat="1" ht="57.6" x14ac:dyDescent="0.3">
      <c r="A1713" s="140" t="s">
        <v>1486</v>
      </c>
      <c r="B1713" s="140">
        <v>3</v>
      </c>
      <c r="C1713" s="166" t="s">
        <v>696</v>
      </c>
      <c r="D1713" s="140" t="str">
        <f t="shared" si="191"/>
        <v>3</v>
      </c>
      <c r="E1713" s="166" t="s">
        <v>691</v>
      </c>
      <c r="F1713" s="140">
        <f t="shared" si="197"/>
        <v>1</v>
      </c>
      <c r="G1713" s="140" t="str">
        <f t="shared" si="192"/>
        <v>3.3.1</v>
      </c>
      <c r="H1713" s="181" t="s">
        <v>657</v>
      </c>
      <c r="I1713" s="166" t="s">
        <v>34</v>
      </c>
      <c r="J1713" s="166" t="s">
        <v>153</v>
      </c>
      <c r="K1713" s="166" t="s">
        <v>712</v>
      </c>
      <c r="L1713" s="167">
        <f>1480/7</f>
        <v>211.42857142857142</v>
      </c>
      <c r="M1713" s="166"/>
      <c r="N1713" s="166"/>
      <c r="O1713" s="164">
        <f t="shared" si="194"/>
        <v>0</v>
      </c>
      <c r="P1713" s="166">
        <f>2*25*9</f>
        <v>450</v>
      </c>
      <c r="Q1713" s="166">
        <v>5</v>
      </c>
      <c r="R1713" s="164">
        <f>$L1713*'Pivot Objective'!$C$9*P1713*Q1713</f>
        <v>543703.89328714274</v>
      </c>
      <c r="S1713" s="166">
        <v>4000</v>
      </c>
      <c r="T1713" s="166">
        <v>1</v>
      </c>
      <c r="U1713" s="164">
        <f>($L1713*'Pivot Objective'!$C$9^2)*S1713*T1713</f>
        <v>1104730.044726955</v>
      </c>
      <c r="V1713" s="166">
        <v>4000</v>
      </c>
      <c r="W1713" s="166">
        <v>1</v>
      </c>
      <c r="X1713" s="164">
        <f>($L1713*'Pivot Objective'!$C$9^3)*V1713*W1713</f>
        <v>1262619.2746081902</v>
      </c>
      <c r="Y1713" s="166">
        <v>4000</v>
      </c>
      <c r="Z1713" s="166">
        <v>1</v>
      </c>
      <c r="AA1713" s="164">
        <f>($L1713*'Pivot Objective'!$C$9^4)*Y1713*Z1713</f>
        <v>1443074.2064285369</v>
      </c>
      <c r="AB1713" s="166">
        <f>2*25*9</f>
        <v>450</v>
      </c>
      <c r="AC1713" s="166">
        <v>5</v>
      </c>
      <c r="AD1713" s="164">
        <f>($L1713*'Pivot Objective'!$C$9^5)*AB1713*AC1713</f>
        <v>927742.47472333559</v>
      </c>
      <c r="AE1713" s="166">
        <v>0</v>
      </c>
      <c r="AF1713" s="166">
        <v>0</v>
      </c>
      <c r="AG1713" s="164">
        <f>($L1713*'Pivot Objective'!$C$9^6)*AE1713*AF1713</f>
        <v>0</v>
      </c>
      <c r="AH1713" s="166">
        <v>0</v>
      </c>
      <c r="AI1713" s="166">
        <v>0</v>
      </c>
      <c r="AJ1713" s="164">
        <f>($L1713*'Pivot Objective'!$C$9^7)*AH1713*AI1713</f>
        <v>0</v>
      </c>
      <c r="AK1713" s="185">
        <f t="shared" si="195"/>
        <v>5281869.8937741602</v>
      </c>
      <c r="AL1713" s="186">
        <f t="shared" si="196"/>
        <v>5128.0290230817091</v>
      </c>
    </row>
    <row r="1714" spans="1:38" customFormat="1" ht="57.6" x14ac:dyDescent="0.3">
      <c r="A1714" s="140" t="s">
        <v>1486</v>
      </c>
      <c r="B1714" s="140">
        <v>3</v>
      </c>
      <c r="C1714" s="166" t="s">
        <v>696</v>
      </c>
      <c r="D1714" s="140" t="str">
        <f t="shared" ref="D1714:D1777" si="198">RIGHT(A1714,1)</f>
        <v>3</v>
      </c>
      <c r="E1714" s="166" t="s">
        <v>691</v>
      </c>
      <c r="F1714" s="140">
        <f t="shared" si="197"/>
        <v>1</v>
      </c>
      <c r="G1714" s="140" t="str">
        <f t="shared" si="192"/>
        <v>3.3.1</v>
      </c>
      <c r="H1714" s="181" t="s">
        <v>657</v>
      </c>
      <c r="I1714" s="166" t="s">
        <v>34</v>
      </c>
      <c r="J1714" s="166" t="s">
        <v>153</v>
      </c>
      <c r="K1714" s="166" t="s">
        <v>1299</v>
      </c>
      <c r="L1714" s="167">
        <f>1480/7</f>
        <v>211.42857142857142</v>
      </c>
      <c r="M1714" s="166"/>
      <c r="N1714" s="166"/>
      <c r="O1714" s="164">
        <f t="shared" si="194"/>
        <v>0</v>
      </c>
      <c r="P1714" s="166">
        <f>2*135*9</f>
        <v>2430</v>
      </c>
      <c r="Q1714" s="166">
        <v>1</v>
      </c>
      <c r="R1714" s="164">
        <f>$L1714*'Pivot Objective'!$C$9*P1714*Q1714</f>
        <v>587200.20475011424</v>
      </c>
      <c r="S1714" s="166"/>
      <c r="T1714" s="166"/>
      <c r="U1714" s="164">
        <f>($L1714*'Pivot Objective'!$C$9^2)*S1714*T1714</f>
        <v>0</v>
      </c>
      <c r="V1714" s="166"/>
      <c r="W1714" s="166"/>
      <c r="X1714" s="164">
        <f>($L1714*'Pivot Objective'!$C$9^3)*V1714*W1714</f>
        <v>0</v>
      </c>
      <c r="Y1714" s="166"/>
      <c r="Z1714" s="166"/>
      <c r="AA1714" s="164">
        <f>($L1714*'Pivot Objective'!$C$9^4)*Y1714*Z1714</f>
        <v>0</v>
      </c>
      <c r="AB1714" s="166">
        <f>2*135*9</f>
        <v>2430</v>
      </c>
      <c r="AC1714" s="166">
        <v>1</v>
      </c>
      <c r="AD1714" s="164">
        <f>($L1714*'Pivot Objective'!$C$9^5)*AB1714*AC1714</f>
        <v>1001961.8727012025</v>
      </c>
      <c r="AE1714" s="166"/>
      <c r="AF1714" s="166"/>
      <c r="AG1714" s="164">
        <f>($L1714*'Pivot Objective'!$C$9^6)*AE1714*AF1714</f>
        <v>0</v>
      </c>
      <c r="AH1714" s="166"/>
      <c r="AI1714" s="166"/>
      <c r="AJ1714" s="164">
        <f>($L1714*'Pivot Objective'!$C$9^7)*AH1714*AI1714</f>
        <v>0</v>
      </c>
      <c r="AK1714" s="185">
        <f t="shared" si="195"/>
        <v>1589162.0774513166</v>
      </c>
      <c r="AL1714" s="186">
        <f t="shared" si="196"/>
        <v>1542.8758033507929</v>
      </c>
    </row>
    <row r="1715" spans="1:38" customFormat="1" ht="57.6" x14ac:dyDescent="0.3">
      <c r="A1715" s="140" t="s">
        <v>1486</v>
      </c>
      <c r="B1715" s="140">
        <v>3</v>
      </c>
      <c r="C1715" s="166" t="s">
        <v>696</v>
      </c>
      <c r="D1715" s="140" t="str">
        <f t="shared" si="198"/>
        <v>3</v>
      </c>
      <c r="E1715" s="166" t="s">
        <v>691</v>
      </c>
      <c r="F1715" s="140">
        <f t="shared" si="197"/>
        <v>1</v>
      </c>
      <c r="G1715" s="140" t="str">
        <f t="shared" ref="G1715:G1778" si="199">B1715&amp;"."&amp;D1715&amp;"."&amp;F1715</f>
        <v>3.3.1</v>
      </c>
      <c r="H1715" s="181" t="s">
        <v>657</v>
      </c>
      <c r="I1715" s="166" t="s">
        <v>34</v>
      </c>
      <c r="J1715" s="166" t="s">
        <v>306</v>
      </c>
      <c r="K1715" s="166" t="s">
        <v>716</v>
      </c>
      <c r="L1715" s="167">
        <v>39000</v>
      </c>
      <c r="M1715" s="166"/>
      <c r="N1715" s="166"/>
      <c r="O1715" s="164">
        <f t="shared" si="194"/>
        <v>0</v>
      </c>
      <c r="P1715" s="166">
        <v>58</v>
      </c>
      <c r="Q1715" s="166">
        <v>6</v>
      </c>
      <c r="R1715" s="164">
        <f>$L1715*'Pivot Objective'!$C$9*P1715*Q1715</f>
        <v>15511725.128483998</v>
      </c>
      <c r="S1715" s="166">
        <v>15</v>
      </c>
      <c r="T1715" s="166">
        <v>1</v>
      </c>
      <c r="U1715" s="164">
        <f>($L1715*'Pivot Objective'!$C$9^2)*S1715*T1715</f>
        <v>764167.15087109467</v>
      </c>
      <c r="V1715" s="166">
        <v>15</v>
      </c>
      <c r="W1715" s="166">
        <v>1</v>
      </c>
      <c r="X1715" s="164">
        <f>($L1715*'Pivot Objective'!$C$9^3)*V1715*W1715</f>
        <v>873382.75836495589</v>
      </c>
      <c r="Y1715" s="166">
        <v>15</v>
      </c>
      <c r="Z1715" s="166">
        <v>1</v>
      </c>
      <c r="AA1715" s="164">
        <f>($L1715*'Pivot Objective'!$C$9^4)*Y1715*Z1715</f>
        <v>998207.58029136132</v>
      </c>
      <c r="AB1715" s="166">
        <v>58</v>
      </c>
      <c r="AC1715" s="166">
        <v>6</v>
      </c>
      <c r="AD1715" s="164">
        <f>($L1715*'Pivot Objective'!$C$9^5)*AB1715*AC1715</f>
        <v>26468242.06264738</v>
      </c>
      <c r="AE1715" s="166">
        <v>0</v>
      </c>
      <c r="AF1715" s="166">
        <v>0</v>
      </c>
      <c r="AG1715" s="164">
        <f>($L1715*'Pivot Objective'!$C$9^6)*AE1715*AF1715</f>
        <v>0</v>
      </c>
      <c r="AH1715" s="166">
        <v>0</v>
      </c>
      <c r="AI1715" s="166">
        <v>0</v>
      </c>
      <c r="AJ1715" s="164">
        <f>($L1715*'Pivot Objective'!$C$9^7)*AH1715*AI1715</f>
        <v>0</v>
      </c>
      <c r="AK1715" s="185">
        <f t="shared" si="195"/>
        <v>44615724.680658787</v>
      </c>
      <c r="AL1715" s="186">
        <f t="shared" si="196"/>
        <v>43316.23755403766</v>
      </c>
    </row>
    <row r="1716" spans="1:38" customFormat="1" ht="57.6" x14ac:dyDescent="0.3">
      <c r="A1716" s="140" t="s">
        <v>1486</v>
      </c>
      <c r="B1716" s="140">
        <v>3</v>
      </c>
      <c r="C1716" s="166" t="s">
        <v>696</v>
      </c>
      <c r="D1716" s="140" t="str">
        <f t="shared" si="198"/>
        <v>3</v>
      </c>
      <c r="E1716" s="166" t="s">
        <v>691</v>
      </c>
      <c r="F1716" s="140">
        <f t="shared" si="197"/>
        <v>1</v>
      </c>
      <c r="G1716" s="140" t="str">
        <f t="shared" si="199"/>
        <v>3.3.1</v>
      </c>
      <c r="H1716" s="181" t="s">
        <v>657</v>
      </c>
      <c r="I1716" s="166" t="s">
        <v>34</v>
      </c>
      <c r="J1716" s="166" t="s">
        <v>306</v>
      </c>
      <c r="K1716" s="166" t="s">
        <v>709</v>
      </c>
      <c r="L1716" s="167">
        <v>35000</v>
      </c>
      <c r="M1716" s="166">
        <v>100</v>
      </c>
      <c r="N1716" s="166">
        <v>5</v>
      </c>
      <c r="O1716" s="164">
        <f t="shared" si="194"/>
        <v>17500000</v>
      </c>
      <c r="P1716" s="166">
        <v>100</v>
      </c>
      <c r="Q1716" s="166">
        <v>5</v>
      </c>
      <c r="R1716" s="164">
        <f>$L1716*'Pivot Objective'!$C$9*P1716*Q1716</f>
        <v>20001119.197499998</v>
      </c>
      <c r="S1716" s="166">
        <v>30</v>
      </c>
      <c r="T1716" s="166">
        <v>1</v>
      </c>
      <c r="U1716" s="164">
        <f>($L1716*'Pivot Objective'!$C$9^2)*S1716*T1716</f>
        <v>1371582.0656660672</v>
      </c>
      <c r="V1716" s="166">
        <v>30</v>
      </c>
      <c r="W1716" s="166">
        <v>1</v>
      </c>
      <c r="X1716" s="164">
        <f>($L1716*'Pivot Objective'!$C$9^3)*V1716*W1716</f>
        <v>1567610.0791165878</v>
      </c>
      <c r="Y1716" s="166">
        <v>30</v>
      </c>
      <c r="Z1716" s="166">
        <v>1</v>
      </c>
      <c r="AA1716" s="164">
        <f>($L1716*'Pivot Objective'!$C$9^4)*Y1716*Z1716</f>
        <v>1791654.6312921871</v>
      </c>
      <c r="AB1716" s="166">
        <v>100</v>
      </c>
      <c r="AC1716" s="166">
        <v>5</v>
      </c>
      <c r="AD1716" s="164">
        <f>($L1716*'Pivot Objective'!$C$9^5)*AB1716*AC1716</f>
        <v>34128664.610693276</v>
      </c>
      <c r="AE1716" s="166">
        <v>0</v>
      </c>
      <c r="AF1716" s="166">
        <v>0</v>
      </c>
      <c r="AG1716" s="164">
        <f>($L1716*'Pivot Objective'!$C$9^6)*AE1716*AF1716</f>
        <v>0</v>
      </c>
      <c r="AH1716" s="166">
        <v>0</v>
      </c>
      <c r="AI1716" s="166">
        <v>0</v>
      </c>
      <c r="AJ1716" s="164">
        <f>($L1716*'Pivot Objective'!$C$9^7)*AH1716*AI1716</f>
        <v>0</v>
      </c>
      <c r="AK1716" s="185">
        <f t="shared" si="195"/>
        <v>76360630.584268123</v>
      </c>
      <c r="AL1716" s="186">
        <f t="shared" si="196"/>
        <v>74136.534547833129</v>
      </c>
    </row>
    <row r="1717" spans="1:38" customFormat="1" ht="57.6" x14ac:dyDescent="0.3">
      <c r="A1717" s="140" t="s">
        <v>1486</v>
      </c>
      <c r="B1717" s="140">
        <v>3</v>
      </c>
      <c r="C1717" s="166" t="s">
        <v>696</v>
      </c>
      <c r="D1717" s="140" t="str">
        <f t="shared" si="198"/>
        <v>3</v>
      </c>
      <c r="E1717" s="166" t="s">
        <v>691</v>
      </c>
      <c r="F1717" s="140">
        <f t="shared" si="197"/>
        <v>1</v>
      </c>
      <c r="G1717" s="140" t="str">
        <f t="shared" si="199"/>
        <v>3.3.1</v>
      </c>
      <c r="H1717" s="181" t="s">
        <v>657</v>
      </c>
      <c r="I1717" s="166" t="s">
        <v>34</v>
      </c>
      <c r="J1717" s="166" t="s">
        <v>306</v>
      </c>
      <c r="K1717" s="166" t="s">
        <v>712</v>
      </c>
      <c r="L1717" s="167">
        <f>1480/7</f>
        <v>211.42857142857142</v>
      </c>
      <c r="M1717" s="166">
        <f>2*25*29</f>
        <v>1450</v>
      </c>
      <c r="N1717" s="166">
        <v>5</v>
      </c>
      <c r="O1717" s="164">
        <f t="shared" si="194"/>
        <v>1532857.142857143</v>
      </c>
      <c r="P1717" s="166">
        <f>2*25*29</f>
        <v>1450</v>
      </c>
      <c r="Q1717" s="166">
        <v>5</v>
      </c>
      <c r="R1717" s="164">
        <f>$L1717*'Pivot Objective'!$C$9*P1717*Q1717</f>
        <v>1751934.7672585712</v>
      </c>
      <c r="S1717" s="166">
        <v>4000</v>
      </c>
      <c r="T1717" s="166">
        <v>1</v>
      </c>
      <c r="U1717" s="164">
        <f>($L1717*'Pivot Objective'!$C$9^2)*S1717*T1717</f>
        <v>1104730.044726955</v>
      </c>
      <c r="V1717" s="166">
        <v>4000</v>
      </c>
      <c r="W1717" s="166">
        <v>1</v>
      </c>
      <c r="X1717" s="164">
        <f>($L1717*'Pivot Objective'!$C$9^3)*V1717*W1717</f>
        <v>1262619.2746081902</v>
      </c>
      <c r="Y1717" s="166">
        <v>4000</v>
      </c>
      <c r="Z1717" s="166">
        <v>1</v>
      </c>
      <c r="AA1717" s="164">
        <f>($L1717*'Pivot Objective'!$C$9^4)*Y1717*Z1717</f>
        <v>1443074.2064285369</v>
      </c>
      <c r="AB1717" s="166">
        <f>2*25*29</f>
        <v>1450</v>
      </c>
      <c r="AC1717" s="166">
        <v>5</v>
      </c>
      <c r="AD1717" s="164">
        <f>($L1717*'Pivot Objective'!$C$9^5)*AB1717*AC1717</f>
        <v>2989392.41855297</v>
      </c>
      <c r="AE1717" s="166">
        <v>0</v>
      </c>
      <c r="AF1717" s="166">
        <v>0</v>
      </c>
      <c r="AG1717" s="164">
        <f>($L1717*'Pivot Objective'!$C$9^6)*AE1717*AF1717</f>
        <v>0</v>
      </c>
      <c r="AH1717" s="166">
        <v>0</v>
      </c>
      <c r="AI1717" s="166">
        <v>0</v>
      </c>
      <c r="AJ1717" s="164">
        <f>($L1717*'Pivot Objective'!$C$9^7)*AH1717*AI1717</f>
        <v>0</v>
      </c>
      <c r="AK1717" s="185">
        <f t="shared" si="195"/>
        <v>10084607.854432367</v>
      </c>
      <c r="AL1717" s="186">
        <f t="shared" si="196"/>
        <v>9790.8814120702591</v>
      </c>
    </row>
    <row r="1718" spans="1:38" customFormat="1" ht="57.6" x14ac:dyDescent="0.3">
      <c r="A1718" s="140" t="s">
        <v>1486</v>
      </c>
      <c r="B1718" s="140">
        <v>3</v>
      </c>
      <c r="C1718" s="166" t="s">
        <v>696</v>
      </c>
      <c r="D1718" s="140" t="str">
        <f t="shared" si="198"/>
        <v>3</v>
      </c>
      <c r="E1718" s="166" t="s">
        <v>691</v>
      </c>
      <c r="F1718" s="140">
        <f t="shared" si="197"/>
        <v>1</v>
      </c>
      <c r="G1718" s="140" t="str">
        <f t="shared" si="199"/>
        <v>3.3.1</v>
      </c>
      <c r="H1718" s="181" t="s">
        <v>657</v>
      </c>
      <c r="I1718" s="166" t="s">
        <v>34</v>
      </c>
      <c r="J1718" s="166" t="s">
        <v>306</v>
      </c>
      <c r="K1718" s="166" t="s">
        <v>1299</v>
      </c>
      <c r="L1718" s="167">
        <f>1480/7</f>
        <v>211.42857142857142</v>
      </c>
      <c r="M1718" s="166">
        <v>22500</v>
      </c>
      <c r="N1718" s="166">
        <v>1</v>
      </c>
      <c r="O1718" s="164">
        <f t="shared" si="194"/>
        <v>4757142.8571428573</v>
      </c>
      <c r="P1718" s="166">
        <v>22500</v>
      </c>
      <c r="Q1718" s="166">
        <v>1</v>
      </c>
      <c r="R1718" s="164">
        <f>$L1718*'Pivot Objective'!$C$9*P1718*Q1718</f>
        <v>5437038.9328714283</v>
      </c>
      <c r="S1718" s="166"/>
      <c r="T1718" s="166"/>
      <c r="U1718" s="164">
        <f>($L1718*'Pivot Objective'!$C$9^2)*S1718*T1718</f>
        <v>0</v>
      </c>
      <c r="V1718" s="166"/>
      <c r="W1718" s="166"/>
      <c r="X1718" s="164">
        <f>($L1718*'Pivot Objective'!$C$9^3)*V1718*W1718</f>
        <v>0</v>
      </c>
      <c r="Y1718" s="166"/>
      <c r="Z1718" s="166"/>
      <c r="AA1718" s="164">
        <f>($L1718*'Pivot Objective'!$C$9^4)*Y1718*Z1718</f>
        <v>0</v>
      </c>
      <c r="AB1718" s="166">
        <v>22500</v>
      </c>
      <c r="AC1718" s="166">
        <v>1</v>
      </c>
      <c r="AD1718" s="164">
        <f>($L1718*'Pivot Objective'!$C$9^5)*AB1718*AC1718</f>
        <v>9277424.7472333554</v>
      </c>
      <c r="AE1718" s="166"/>
      <c r="AF1718" s="166"/>
      <c r="AG1718" s="164">
        <f>($L1718*'Pivot Objective'!$C$9^6)*AE1718*AF1718</f>
        <v>0</v>
      </c>
      <c r="AH1718" s="166"/>
      <c r="AI1718" s="166"/>
      <c r="AJ1718" s="164">
        <f>($L1718*'Pivot Objective'!$C$9^7)*AH1718*AI1718</f>
        <v>0</v>
      </c>
      <c r="AK1718" s="185">
        <f t="shared" si="195"/>
        <v>19471606.537247643</v>
      </c>
      <c r="AL1718" s="186">
        <f t="shared" si="196"/>
        <v>18904.472366259848</v>
      </c>
    </row>
    <row r="1719" spans="1:38" customFormat="1" ht="43.2" x14ac:dyDescent="0.3">
      <c r="A1719" s="140" t="s">
        <v>1486</v>
      </c>
      <c r="B1719" s="140">
        <v>3</v>
      </c>
      <c r="C1719" s="166" t="s">
        <v>696</v>
      </c>
      <c r="D1719" s="140" t="str">
        <f t="shared" si="198"/>
        <v>3</v>
      </c>
      <c r="E1719" s="166" t="s">
        <v>691</v>
      </c>
      <c r="F1719" s="140">
        <f t="shared" si="197"/>
        <v>1</v>
      </c>
      <c r="G1719" s="140" t="str">
        <f t="shared" si="199"/>
        <v>3.3.1</v>
      </c>
      <c r="H1719" s="181" t="s">
        <v>657</v>
      </c>
      <c r="I1719" s="166" t="s">
        <v>35</v>
      </c>
      <c r="J1719" s="166" t="s">
        <v>307</v>
      </c>
      <c r="K1719" s="166" t="s">
        <v>716</v>
      </c>
      <c r="L1719" s="167">
        <v>39000</v>
      </c>
      <c r="M1719" s="166"/>
      <c r="N1719" s="166"/>
      <c r="O1719" s="164">
        <f t="shared" si="194"/>
        <v>0</v>
      </c>
      <c r="P1719" s="166">
        <v>30</v>
      </c>
      <c r="Q1719" s="166">
        <f>6*5</f>
        <v>30</v>
      </c>
      <c r="R1719" s="164">
        <f>$L1719*'Pivot Objective'!$C$9*P1719*Q1719</f>
        <v>40116530.50469999</v>
      </c>
      <c r="S1719" s="166">
        <v>0</v>
      </c>
      <c r="T1719" s="166">
        <v>0</v>
      </c>
      <c r="U1719" s="164">
        <f>($L1719*'Pivot Objective'!$C$9^2)*S1719*T1719</f>
        <v>0</v>
      </c>
      <c r="V1719" s="166">
        <v>0</v>
      </c>
      <c r="W1719" s="166">
        <v>0</v>
      </c>
      <c r="X1719" s="164">
        <f>($L1719*'Pivot Objective'!$C$9^3)*V1719*W1719</f>
        <v>0</v>
      </c>
      <c r="Y1719" s="166">
        <v>0</v>
      </c>
      <c r="Z1719" s="166">
        <v>0</v>
      </c>
      <c r="AA1719" s="164">
        <f>($L1719*'Pivot Objective'!$C$9^4)*Y1719*Z1719</f>
        <v>0</v>
      </c>
      <c r="AB1719" s="166">
        <v>0</v>
      </c>
      <c r="AC1719" s="166">
        <v>0</v>
      </c>
      <c r="AD1719" s="164">
        <f>($L1719*'Pivot Objective'!$C$9^5)*AB1719*AC1719</f>
        <v>0</v>
      </c>
      <c r="AE1719" s="166">
        <v>30</v>
      </c>
      <c r="AF1719" s="166">
        <f>6*5</f>
        <v>30</v>
      </c>
      <c r="AG1719" s="164">
        <f>($L1719*'Pivot Objective'!$C$9^6)*AE1719*AF1719</f>
        <v>78235635.139402986</v>
      </c>
      <c r="AH1719" s="166">
        <v>0</v>
      </c>
      <c r="AI1719" s="166">
        <v>0</v>
      </c>
      <c r="AJ1719" s="164">
        <f>($L1719*'Pivot Objective'!$C$9^7)*AH1719*AI1719</f>
        <v>0</v>
      </c>
      <c r="AK1719" s="185">
        <f t="shared" si="195"/>
        <v>118352165.64410298</v>
      </c>
      <c r="AL1719" s="186">
        <f t="shared" si="196"/>
        <v>114905.01518844948</v>
      </c>
    </row>
    <row r="1720" spans="1:38" customFormat="1" ht="43.2" x14ac:dyDescent="0.3">
      <c r="A1720" s="140" t="s">
        <v>1486</v>
      </c>
      <c r="B1720" s="140">
        <v>3</v>
      </c>
      <c r="C1720" s="166" t="s">
        <v>696</v>
      </c>
      <c r="D1720" s="140" t="str">
        <f t="shared" si="198"/>
        <v>3</v>
      </c>
      <c r="E1720" s="166" t="s">
        <v>691</v>
      </c>
      <c r="F1720" s="140">
        <f t="shared" si="197"/>
        <v>1</v>
      </c>
      <c r="G1720" s="140" t="str">
        <f t="shared" si="199"/>
        <v>3.3.1</v>
      </c>
      <c r="H1720" s="181" t="s">
        <v>657</v>
      </c>
      <c r="I1720" s="166" t="s">
        <v>35</v>
      </c>
      <c r="J1720" s="166" t="s">
        <v>307</v>
      </c>
      <c r="K1720" s="166" t="s">
        <v>709</v>
      </c>
      <c r="L1720" s="167">
        <v>35000</v>
      </c>
      <c r="M1720" s="166"/>
      <c r="N1720" s="166"/>
      <c r="O1720" s="164">
        <f t="shared" si="194"/>
        <v>0</v>
      </c>
      <c r="P1720" s="166">
        <v>30</v>
      </c>
      <c r="Q1720" s="166">
        <f>5*6</f>
        <v>30</v>
      </c>
      <c r="R1720" s="164">
        <f>$L1720*'Pivot Objective'!$C$9*P1720*Q1720</f>
        <v>36002014.555499993</v>
      </c>
      <c r="S1720" s="166">
        <v>0</v>
      </c>
      <c r="T1720" s="166">
        <v>0</v>
      </c>
      <c r="U1720" s="164">
        <f>($L1720*'Pivot Objective'!$C$9^2)*S1720*T1720</f>
        <v>0</v>
      </c>
      <c r="V1720" s="166">
        <v>0</v>
      </c>
      <c r="W1720" s="166">
        <v>0</v>
      </c>
      <c r="X1720" s="164">
        <f>($L1720*'Pivot Objective'!$C$9^3)*V1720*W1720</f>
        <v>0</v>
      </c>
      <c r="Y1720" s="166">
        <v>0</v>
      </c>
      <c r="Z1720" s="166">
        <v>0</v>
      </c>
      <c r="AA1720" s="164">
        <f>($L1720*'Pivot Objective'!$C$9^4)*Y1720*Z1720</f>
        <v>0</v>
      </c>
      <c r="AB1720" s="166">
        <v>0</v>
      </c>
      <c r="AC1720" s="166">
        <v>0</v>
      </c>
      <c r="AD1720" s="164">
        <f>($L1720*'Pivot Objective'!$C$9^5)*AB1720*AC1720</f>
        <v>0</v>
      </c>
      <c r="AE1720" s="166">
        <v>30</v>
      </c>
      <c r="AF1720" s="166">
        <f>5*6</f>
        <v>30</v>
      </c>
      <c r="AG1720" s="164">
        <f>($L1720*'Pivot Objective'!$C$9^6)*AE1720*AF1720</f>
        <v>70211467.432797551</v>
      </c>
      <c r="AH1720" s="166">
        <v>0</v>
      </c>
      <c r="AI1720" s="166">
        <v>0</v>
      </c>
      <c r="AJ1720" s="164">
        <f>($L1720*'Pivot Objective'!$C$9^7)*AH1720*AI1720</f>
        <v>0</v>
      </c>
      <c r="AK1720" s="185">
        <f t="shared" si="195"/>
        <v>106213481.98829755</v>
      </c>
      <c r="AL1720" s="186">
        <f t="shared" si="196"/>
        <v>103119.88542553161</v>
      </c>
    </row>
    <row r="1721" spans="1:38" customFormat="1" ht="43.2" x14ac:dyDescent="0.3">
      <c r="A1721" s="140" t="s">
        <v>1486</v>
      </c>
      <c r="B1721" s="140">
        <v>3</v>
      </c>
      <c r="C1721" s="166" t="s">
        <v>696</v>
      </c>
      <c r="D1721" s="140" t="str">
        <f t="shared" si="198"/>
        <v>3</v>
      </c>
      <c r="E1721" s="166" t="s">
        <v>691</v>
      </c>
      <c r="F1721" s="140">
        <f t="shared" si="197"/>
        <v>1</v>
      </c>
      <c r="G1721" s="140" t="str">
        <f t="shared" si="199"/>
        <v>3.3.1</v>
      </c>
      <c r="H1721" s="181" t="s">
        <v>657</v>
      </c>
      <c r="I1721" s="166" t="s">
        <v>35</v>
      </c>
      <c r="J1721" s="166" t="s">
        <v>1380</v>
      </c>
      <c r="K1721" s="166" t="s">
        <v>712</v>
      </c>
      <c r="L1721" s="167">
        <f>1480/7</f>
        <v>211.42857142857142</v>
      </c>
      <c r="M1721" s="166"/>
      <c r="N1721" s="166"/>
      <c r="O1721" s="164">
        <f t="shared" si="194"/>
        <v>0</v>
      </c>
      <c r="P1721" s="166">
        <f>2*25*9</f>
        <v>450</v>
      </c>
      <c r="Q1721" s="166">
        <f>5*6</f>
        <v>30</v>
      </c>
      <c r="R1721" s="164">
        <f>$L1721*'Pivot Objective'!$C$9*P1721*Q1721</f>
        <v>3262223.3597228569</v>
      </c>
      <c r="S1721" s="166">
        <v>0</v>
      </c>
      <c r="T1721" s="166">
        <v>0</v>
      </c>
      <c r="U1721" s="164">
        <f>($L1721*'Pivot Objective'!$C$9^2)*S1721*T1721</f>
        <v>0</v>
      </c>
      <c r="V1721" s="166">
        <v>0</v>
      </c>
      <c r="W1721" s="166">
        <v>0</v>
      </c>
      <c r="X1721" s="164">
        <f>($L1721*'Pivot Objective'!$C$9^3)*V1721*W1721</f>
        <v>0</v>
      </c>
      <c r="Y1721" s="166">
        <v>0</v>
      </c>
      <c r="Z1721" s="166">
        <v>0</v>
      </c>
      <c r="AA1721" s="164">
        <f>($L1721*'Pivot Objective'!$C$9^4)*Y1721*Z1721</f>
        <v>0</v>
      </c>
      <c r="AB1721" s="166">
        <v>0</v>
      </c>
      <c r="AC1721" s="166">
        <v>0</v>
      </c>
      <c r="AD1721" s="164">
        <f>($L1721*'Pivot Objective'!$C$9^5)*AB1721*AC1721</f>
        <v>0</v>
      </c>
      <c r="AE1721" s="166">
        <f>2*25*9</f>
        <v>450</v>
      </c>
      <c r="AF1721" s="166">
        <f>5*6</f>
        <v>30</v>
      </c>
      <c r="AG1721" s="164">
        <f>($L1721*'Pivot Objective'!$C$9^6)*AE1721*AF1721</f>
        <v>6362018.6816657372</v>
      </c>
      <c r="AH1721" s="166">
        <v>0</v>
      </c>
      <c r="AI1721" s="166">
        <v>0</v>
      </c>
      <c r="AJ1721" s="164">
        <f>($L1721*'Pivot Objective'!$C$9^7)*AH1721*AI1721</f>
        <v>0</v>
      </c>
      <c r="AK1721" s="185">
        <f t="shared" si="195"/>
        <v>9624242.0413885936</v>
      </c>
      <c r="AL1721" s="186">
        <f t="shared" si="196"/>
        <v>9343.9243120277606</v>
      </c>
    </row>
    <row r="1722" spans="1:38" customFormat="1" ht="43.2" x14ac:dyDescent="0.3">
      <c r="A1722" s="140" t="s">
        <v>1486</v>
      </c>
      <c r="B1722" s="140">
        <v>3</v>
      </c>
      <c r="C1722" s="166" t="s">
        <v>696</v>
      </c>
      <c r="D1722" s="140" t="str">
        <f t="shared" si="198"/>
        <v>3</v>
      </c>
      <c r="E1722" s="166" t="s">
        <v>691</v>
      </c>
      <c r="F1722" s="140">
        <f t="shared" si="197"/>
        <v>1</v>
      </c>
      <c r="G1722" s="140" t="str">
        <f t="shared" si="199"/>
        <v>3.3.1</v>
      </c>
      <c r="H1722" s="181" t="s">
        <v>657</v>
      </c>
      <c r="I1722" s="166" t="s">
        <v>35</v>
      </c>
      <c r="J1722" s="166" t="s">
        <v>307</v>
      </c>
      <c r="K1722" s="166" t="s">
        <v>1299</v>
      </c>
      <c r="L1722" s="167">
        <f>1480/7</f>
        <v>211.42857142857142</v>
      </c>
      <c r="M1722" s="166"/>
      <c r="N1722" s="166"/>
      <c r="O1722" s="164">
        <f t="shared" si="194"/>
        <v>0</v>
      </c>
      <c r="P1722" s="166">
        <f>2*135*9</f>
        <v>2430</v>
      </c>
      <c r="Q1722" s="166">
        <v>5</v>
      </c>
      <c r="R1722" s="164">
        <f>$L1722*'Pivot Objective'!$C$9*P1722*Q1722</f>
        <v>2936001.0237505711</v>
      </c>
      <c r="S1722" s="166"/>
      <c r="T1722" s="166"/>
      <c r="U1722" s="164">
        <f>($L1722*'Pivot Objective'!$C$9^2)*S1722*T1722</f>
        <v>0</v>
      </c>
      <c r="V1722" s="166"/>
      <c r="W1722" s="166"/>
      <c r="X1722" s="164">
        <f>($L1722*'Pivot Objective'!$C$9^3)*V1722*W1722</f>
        <v>0</v>
      </c>
      <c r="Y1722" s="166"/>
      <c r="Z1722" s="166"/>
      <c r="AA1722" s="164">
        <f>($L1722*'Pivot Objective'!$C$9^4)*Y1722*Z1722</f>
        <v>0</v>
      </c>
      <c r="AB1722" s="166"/>
      <c r="AC1722" s="166"/>
      <c r="AD1722" s="164">
        <f>($L1722*'Pivot Objective'!$C$9^5)*AB1722*AC1722</f>
        <v>0</v>
      </c>
      <c r="AE1722" s="166">
        <f>2*135*9</f>
        <v>2430</v>
      </c>
      <c r="AF1722" s="166">
        <v>5</v>
      </c>
      <c r="AG1722" s="164">
        <f>($L1722*'Pivot Objective'!$C$9^6)*AE1722*AF1722</f>
        <v>5725816.8134991629</v>
      </c>
      <c r="AH1722" s="166"/>
      <c r="AI1722" s="166"/>
      <c r="AJ1722" s="164">
        <f>($L1722*'Pivot Objective'!$C$9^7)*AH1722*AI1722</f>
        <v>0</v>
      </c>
      <c r="AK1722" s="185">
        <f t="shared" si="195"/>
        <v>8661817.8372497335</v>
      </c>
      <c r="AL1722" s="186">
        <f t="shared" si="196"/>
        <v>8409.5318808249831</v>
      </c>
    </row>
    <row r="1723" spans="1:38" customFormat="1" ht="43.2" x14ac:dyDescent="0.3">
      <c r="A1723" s="140" t="s">
        <v>1486</v>
      </c>
      <c r="B1723" s="140">
        <v>3</v>
      </c>
      <c r="C1723" s="166" t="s">
        <v>696</v>
      </c>
      <c r="D1723" s="140" t="str">
        <f t="shared" si="198"/>
        <v>3</v>
      </c>
      <c r="E1723" s="166" t="s">
        <v>691</v>
      </c>
      <c r="F1723" s="140">
        <f t="shared" si="197"/>
        <v>1</v>
      </c>
      <c r="G1723" s="140" t="str">
        <f t="shared" si="199"/>
        <v>3.3.1</v>
      </c>
      <c r="H1723" s="181" t="s">
        <v>657</v>
      </c>
      <c r="I1723" s="166" t="s">
        <v>35</v>
      </c>
      <c r="J1723" s="166" t="s">
        <v>1381</v>
      </c>
      <c r="K1723" s="166" t="s">
        <v>716</v>
      </c>
      <c r="L1723" s="167">
        <v>39000</v>
      </c>
      <c r="M1723" s="166"/>
      <c r="N1723" s="166"/>
      <c r="O1723" s="164">
        <f t="shared" si="194"/>
        <v>0</v>
      </c>
      <c r="P1723" s="166">
        <v>58</v>
      </c>
      <c r="Q1723" s="166">
        <v>6</v>
      </c>
      <c r="R1723" s="164">
        <f>$L1723*'Pivot Objective'!$C$9*P1723*Q1723</f>
        <v>15511725.128483998</v>
      </c>
      <c r="S1723" s="166">
        <v>0</v>
      </c>
      <c r="T1723" s="166">
        <v>0</v>
      </c>
      <c r="U1723" s="164">
        <f>($L1723*'Pivot Objective'!$C$9^2)*S1723*T1723</f>
        <v>0</v>
      </c>
      <c r="V1723" s="166">
        <v>0</v>
      </c>
      <c r="W1723" s="166">
        <v>0</v>
      </c>
      <c r="X1723" s="164">
        <f>($L1723*'Pivot Objective'!$C$9^3)*V1723*W1723</f>
        <v>0</v>
      </c>
      <c r="Y1723" s="166">
        <v>0</v>
      </c>
      <c r="Z1723" s="166">
        <v>0</v>
      </c>
      <c r="AA1723" s="164">
        <f>($L1723*'Pivot Objective'!$C$9^4)*Y1723*Z1723</f>
        <v>0</v>
      </c>
      <c r="AB1723" s="166">
        <v>0</v>
      </c>
      <c r="AC1723" s="166">
        <v>0</v>
      </c>
      <c r="AD1723" s="164">
        <f>($L1723*'Pivot Objective'!$C$9^5)*AB1723*AC1723</f>
        <v>0</v>
      </c>
      <c r="AE1723" s="166">
        <v>58</v>
      </c>
      <c r="AF1723" s="166">
        <v>6</v>
      </c>
      <c r="AG1723" s="164">
        <f>($L1723*'Pivot Objective'!$C$9^6)*AE1723*AF1723</f>
        <v>30251112.253902487</v>
      </c>
      <c r="AH1723" s="166">
        <v>0</v>
      </c>
      <c r="AI1723" s="166">
        <v>0</v>
      </c>
      <c r="AJ1723" s="164">
        <f>($L1723*'Pivot Objective'!$C$9^7)*AH1723*AI1723</f>
        <v>0</v>
      </c>
      <c r="AK1723" s="185">
        <f t="shared" si="195"/>
        <v>45762837.382386483</v>
      </c>
      <c r="AL1723" s="186">
        <f t="shared" si="196"/>
        <v>44429.93920620047</v>
      </c>
    </row>
    <row r="1724" spans="1:38" customFormat="1" ht="43.2" x14ac:dyDescent="0.3">
      <c r="A1724" s="140" t="s">
        <v>1486</v>
      </c>
      <c r="B1724" s="140">
        <v>3</v>
      </c>
      <c r="C1724" s="166" t="s">
        <v>696</v>
      </c>
      <c r="D1724" s="140" t="str">
        <f t="shared" si="198"/>
        <v>3</v>
      </c>
      <c r="E1724" s="166" t="s">
        <v>691</v>
      </c>
      <c r="F1724" s="140">
        <f t="shared" si="197"/>
        <v>1</v>
      </c>
      <c r="G1724" s="140" t="str">
        <f t="shared" si="199"/>
        <v>3.3.1</v>
      </c>
      <c r="H1724" s="181" t="s">
        <v>657</v>
      </c>
      <c r="I1724" s="166" t="s">
        <v>35</v>
      </c>
      <c r="J1724" s="166" t="s">
        <v>1381</v>
      </c>
      <c r="K1724" s="166" t="s">
        <v>709</v>
      </c>
      <c r="L1724" s="167">
        <v>35000</v>
      </c>
      <c r="M1724" s="166"/>
      <c r="N1724" s="166"/>
      <c r="O1724" s="164">
        <f t="shared" si="194"/>
        <v>0</v>
      </c>
      <c r="P1724" s="166">
        <v>100</v>
      </c>
      <c r="Q1724" s="166">
        <v>5</v>
      </c>
      <c r="R1724" s="164">
        <f>$L1724*'Pivot Objective'!$C$9*P1724*Q1724</f>
        <v>20001119.197499998</v>
      </c>
      <c r="S1724" s="166">
        <v>0</v>
      </c>
      <c r="T1724" s="166">
        <v>0</v>
      </c>
      <c r="U1724" s="164">
        <f>($L1724*'Pivot Objective'!$C$9^2)*S1724*T1724</f>
        <v>0</v>
      </c>
      <c r="V1724" s="166">
        <v>0</v>
      </c>
      <c r="W1724" s="166">
        <v>0</v>
      </c>
      <c r="X1724" s="164">
        <f>($L1724*'Pivot Objective'!$C$9^3)*V1724*W1724</f>
        <v>0</v>
      </c>
      <c r="Y1724" s="166">
        <v>0</v>
      </c>
      <c r="Z1724" s="166">
        <v>0</v>
      </c>
      <c r="AA1724" s="164">
        <f>($L1724*'Pivot Objective'!$C$9^4)*Y1724*Z1724</f>
        <v>0</v>
      </c>
      <c r="AB1724" s="166">
        <v>0</v>
      </c>
      <c r="AC1724" s="166">
        <v>0</v>
      </c>
      <c r="AD1724" s="164">
        <f>($L1724*'Pivot Objective'!$C$9^5)*AB1724*AC1724</f>
        <v>0</v>
      </c>
      <c r="AE1724" s="166">
        <v>100</v>
      </c>
      <c r="AF1724" s="166">
        <v>5</v>
      </c>
      <c r="AG1724" s="164">
        <f>($L1724*'Pivot Objective'!$C$9^6)*AE1724*AF1724</f>
        <v>39006370.795998633</v>
      </c>
      <c r="AH1724" s="166">
        <v>0</v>
      </c>
      <c r="AI1724" s="166">
        <v>0</v>
      </c>
      <c r="AJ1724" s="164">
        <f>($L1724*'Pivot Objective'!$C$9^7)*AH1724*AI1724</f>
        <v>0</v>
      </c>
      <c r="AK1724" s="185">
        <f t="shared" si="195"/>
        <v>59007489.993498631</v>
      </c>
      <c r="AL1724" s="186">
        <f t="shared" si="196"/>
        <v>57288.825236406439</v>
      </c>
    </row>
    <row r="1725" spans="1:38" customFormat="1" ht="43.2" x14ac:dyDescent="0.3">
      <c r="A1725" s="140" t="s">
        <v>1486</v>
      </c>
      <c r="B1725" s="140">
        <v>3</v>
      </c>
      <c r="C1725" s="166" t="s">
        <v>696</v>
      </c>
      <c r="D1725" s="140" t="str">
        <f t="shared" si="198"/>
        <v>3</v>
      </c>
      <c r="E1725" s="166" t="s">
        <v>691</v>
      </c>
      <c r="F1725" s="140">
        <f t="shared" si="197"/>
        <v>1</v>
      </c>
      <c r="G1725" s="140" t="str">
        <f t="shared" si="199"/>
        <v>3.3.1</v>
      </c>
      <c r="H1725" s="181" t="s">
        <v>657</v>
      </c>
      <c r="I1725" s="166" t="s">
        <v>35</v>
      </c>
      <c r="J1725" s="166" t="s">
        <v>1381</v>
      </c>
      <c r="K1725" s="166" t="s">
        <v>712</v>
      </c>
      <c r="L1725" s="167">
        <f>1480/7</f>
        <v>211.42857142857142</v>
      </c>
      <c r="M1725" s="166"/>
      <c r="N1725" s="166"/>
      <c r="O1725" s="164">
        <f t="shared" si="194"/>
        <v>0</v>
      </c>
      <c r="P1725" s="166">
        <f>2*25*9</f>
        <v>450</v>
      </c>
      <c r="Q1725" s="166">
        <v>5</v>
      </c>
      <c r="R1725" s="164">
        <f>$L1725*'Pivot Objective'!$C$9*P1725*Q1725</f>
        <v>543703.89328714274</v>
      </c>
      <c r="S1725" s="166">
        <v>0</v>
      </c>
      <c r="T1725" s="166">
        <v>0</v>
      </c>
      <c r="U1725" s="164">
        <f>($L1725*'Pivot Objective'!$C$9^2)*S1725*T1725</f>
        <v>0</v>
      </c>
      <c r="V1725" s="166">
        <v>0</v>
      </c>
      <c r="W1725" s="166">
        <v>0</v>
      </c>
      <c r="X1725" s="164">
        <f>($L1725*'Pivot Objective'!$C$9^3)*V1725*W1725</f>
        <v>0</v>
      </c>
      <c r="Y1725" s="166">
        <v>0</v>
      </c>
      <c r="Z1725" s="166">
        <v>0</v>
      </c>
      <c r="AA1725" s="164">
        <f>($L1725*'Pivot Objective'!$C$9^4)*Y1725*Z1725</f>
        <v>0</v>
      </c>
      <c r="AB1725" s="166">
        <v>0</v>
      </c>
      <c r="AC1725" s="166">
        <v>0</v>
      </c>
      <c r="AD1725" s="164">
        <f>($L1725*'Pivot Objective'!$C$9^5)*AB1725*AC1725</f>
        <v>0</v>
      </c>
      <c r="AE1725" s="166">
        <f>2*25*9</f>
        <v>450</v>
      </c>
      <c r="AF1725" s="166">
        <v>5</v>
      </c>
      <c r="AG1725" s="164">
        <f>($L1725*'Pivot Objective'!$C$9^6)*AE1725*AF1725</f>
        <v>1060336.4469442894</v>
      </c>
      <c r="AH1725" s="166">
        <v>0</v>
      </c>
      <c r="AI1725" s="166">
        <v>0</v>
      </c>
      <c r="AJ1725" s="164">
        <f>($L1725*'Pivot Objective'!$C$9^7)*AH1725*AI1725</f>
        <v>0</v>
      </c>
      <c r="AK1725" s="185">
        <f t="shared" si="195"/>
        <v>1604040.3402314321</v>
      </c>
      <c r="AL1725" s="186">
        <f t="shared" si="196"/>
        <v>1557.3207186712932</v>
      </c>
    </row>
    <row r="1726" spans="1:38" customFormat="1" ht="43.2" x14ac:dyDescent="0.3">
      <c r="A1726" s="140" t="s">
        <v>1486</v>
      </c>
      <c r="B1726" s="140">
        <v>3</v>
      </c>
      <c r="C1726" s="166" t="s">
        <v>696</v>
      </c>
      <c r="D1726" s="140" t="str">
        <f t="shared" si="198"/>
        <v>3</v>
      </c>
      <c r="E1726" s="166" t="s">
        <v>691</v>
      </c>
      <c r="F1726" s="140">
        <f t="shared" si="197"/>
        <v>1</v>
      </c>
      <c r="G1726" s="140" t="str">
        <f t="shared" si="199"/>
        <v>3.3.1</v>
      </c>
      <c r="H1726" s="181" t="s">
        <v>657</v>
      </c>
      <c r="I1726" s="166" t="s">
        <v>35</v>
      </c>
      <c r="J1726" s="166" t="s">
        <v>1381</v>
      </c>
      <c r="K1726" s="166" t="s">
        <v>1299</v>
      </c>
      <c r="L1726" s="167">
        <f>1480/7</f>
        <v>211.42857142857142</v>
      </c>
      <c r="M1726" s="166"/>
      <c r="N1726" s="166"/>
      <c r="O1726" s="164">
        <f t="shared" si="194"/>
        <v>0</v>
      </c>
      <c r="P1726" s="166">
        <f>2*135*9</f>
        <v>2430</v>
      </c>
      <c r="Q1726" s="166">
        <v>1</v>
      </c>
      <c r="R1726" s="164">
        <f>$L1726*'Pivot Objective'!$C$9*P1726*Q1726</f>
        <v>587200.20475011424</v>
      </c>
      <c r="S1726" s="166"/>
      <c r="T1726" s="166"/>
      <c r="U1726" s="164">
        <f>($L1726*'Pivot Objective'!$C$9^2)*S1726*T1726</f>
        <v>0</v>
      </c>
      <c r="V1726" s="166"/>
      <c r="W1726" s="166"/>
      <c r="X1726" s="164">
        <f>($L1726*'Pivot Objective'!$C$9^3)*V1726*W1726</f>
        <v>0</v>
      </c>
      <c r="Y1726" s="166"/>
      <c r="Z1726" s="166"/>
      <c r="AA1726" s="164">
        <f>($L1726*'Pivot Objective'!$C$9^4)*Y1726*Z1726</f>
        <v>0</v>
      </c>
      <c r="AB1726" s="166"/>
      <c r="AC1726" s="166"/>
      <c r="AD1726" s="164">
        <f>($L1726*'Pivot Objective'!$C$9^5)*AB1726*AC1726</f>
        <v>0</v>
      </c>
      <c r="AE1726" s="166">
        <f>2*135*9</f>
        <v>2430</v>
      </c>
      <c r="AF1726" s="166">
        <v>1</v>
      </c>
      <c r="AG1726" s="164">
        <f>($L1726*'Pivot Objective'!$C$9^6)*AE1726*AF1726</f>
        <v>1145163.3626998325</v>
      </c>
      <c r="AH1726" s="166"/>
      <c r="AI1726" s="166"/>
      <c r="AJ1726" s="164">
        <f>($L1726*'Pivot Objective'!$C$9^7)*AH1726*AI1726</f>
        <v>0</v>
      </c>
      <c r="AK1726" s="185">
        <f t="shared" si="195"/>
        <v>1732363.5674499469</v>
      </c>
      <c r="AL1726" s="186">
        <f t="shared" si="196"/>
        <v>1681.906376164997</v>
      </c>
    </row>
    <row r="1727" spans="1:38" customFormat="1" ht="43.2" x14ac:dyDescent="0.3">
      <c r="A1727" s="140" t="s">
        <v>1486</v>
      </c>
      <c r="B1727" s="140">
        <v>3</v>
      </c>
      <c r="C1727" s="166" t="s">
        <v>696</v>
      </c>
      <c r="D1727" s="140" t="str">
        <f t="shared" si="198"/>
        <v>3</v>
      </c>
      <c r="E1727" s="166" t="s">
        <v>691</v>
      </c>
      <c r="F1727" s="140">
        <f t="shared" si="197"/>
        <v>1</v>
      </c>
      <c r="G1727" s="140" t="str">
        <f t="shared" si="199"/>
        <v>3.3.1</v>
      </c>
      <c r="H1727" s="181" t="s">
        <v>657</v>
      </c>
      <c r="I1727" s="166" t="s">
        <v>35</v>
      </c>
      <c r="J1727" s="166" t="s">
        <v>1382</v>
      </c>
      <c r="K1727" s="166" t="s">
        <v>716</v>
      </c>
      <c r="L1727" s="167">
        <v>39000</v>
      </c>
      <c r="M1727" s="166"/>
      <c r="N1727" s="166"/>
      <c r="O1727" s="164">
        <f t="shared" si="194"/>
        <v>0</v>
      </c>
      <c r="P1727" s="166">
        <v>58</v>
      </c>
      <c r="Q1727" s="166">
        <v>6</v>
      </c>
      <c r="R1727" s="164">
        <f>$L1727*'Pivot Objective'!$C$9*P1727*Q1727</f>
        <v>15511725.128483998</v>
      </c>
      <c r="S1727" s="166">
        <v>0</v>
      </c>
      <c r="T1727" s="166">
        <v>0</v>
      </c>
      <c r="U1727" s="164">
        <f>($L1727*'Pivot Objective'!$C$9^2)*S1727*T1727</f>
        <v>0</v>
      </c>
      <c r="V1727" s="166">
        <v>0</v>
      </c>
      <c r="W1727" s="166">
        <v>0</v>
      </c>
      <c r="X1727" s="164">
        <f>($L1727*'Pivot Objective'!$C$9^3)*V1727*W1727</f>
        <v>0</v>
      </c>
      <c r="Y1727" s="166">
        <v>0</v>
      </c>
      <c r="Z1727" s="166">
        <v>0</v>
      </c>
      <c r="AA1727" s="164">
        <f>($L1727*'Pivot Objective'!$C$9^4)*Y1727*Z1727</f>
        <v>0</v>
      </c>
      <c r="AB1727" s="166">
        <v>0</v>
      </c>
      <c r="AC1727" s="166">
        <v>0</v>
      </c>
      <c r="AD1727" s="164">
        <f>($L1727*'Pivot Objective'!$C$9^5)*AB1727*AC1727</f>
        <v>0</v>
      </c>
      <c r="AE1727" s="166">
        <v>58</v>
      </c>
      <c r="AF1727" s="166">
        <v>6</v>
      </c>
      <c r="AG1727" s="164">
        <f>($L1727*'Pivot Objective'!$C$9^6)*AE1727*AF1727</f>
        <v>30251112.253902487</v>
      </c>
      <c r="AH1727" s="166">
        <v>0</v>
      </c>
      <c r="AI1727" s="166">
        <v>0</v>
      </c>
      <c r="AJ1727" s="164">
        <f>($L1727*'Pivot Objective'!$C$9^7)*AH1727*AI1727</f>
        <v>0</v>
      </c>
      <c r="AK1727" s="185">
        <f t="shared" si="195"/>
        <v>45762837.382386483</v>
      </c>
      <c r="AL1727" s="186">
        <f t="shared" si="196"/>
        <v>44429.93920620047</v>
      </c>
    </row>
    <row r="1728" spans="1:38" customFormat="1" ht="43.2" x14ac:dyDescent="0.3">
      <c r="A1728" s="140" t="s">
        <v>1486</v>
      </c>
      <c r="B1728" s="140">
        <v>3</v>
      </c>
      <c r="C1728" s="166" t="s">
        <v>696</v>
      </c>
      <c r="D1728" s="140" t="str">
        <f t="shared" si="198"/>
        <v>3</v>
      </c>
      <c r="E1728" s="166" t="s">
        <v>691</v>
      </c>
      <c r="F1728" s="140">
        <f t="shared" si="197"/>
        <v>1</v>
      </c>
      <c r="G1728" s="140" t="str">
        <f t="shared" si="199"/>
        <v>3.3.1</v>
      </c>
      <c r="H1728" s="181" t="s">
        <v>657</v>
      </c>
      <c r="I1728" s="166" t="s">
        <v>35</v>
      </c>
      <c r="J1728" s="166" t="s">
        <v>1382</v>
      </c>
      <c r="K1728" s="166" t="s">
        <v>709</v>
      </c>
      <c r="L1728" s="167">
        <v>35000</v>
      </c>
      <c r="M1728" s="166"/>
      <c r="N1728" s="166"/>
      <c r="O1728" s="164">
        <f t="shared" si="194"/>
        <v>0</v>
      </c>
      <c r="P1728" s="166">
        <v>100</v>
      </c>
      <c r="Q1728" s="166">
        <v>5</v>
      </c>
      <c r="R1728" s="164">
        <f>$L1728*'Pivot Objective'!$C$9*P1728*Q1728</f>
        <v>20001119.197499998</v>
      </c>
      <c r="S1728" s="166">
        <v>0</v>
      </c>
      <c r="T1728" s="166">
        <v>0</v>
      </c>
      <c r="U1728" s="164">
        <f>($L1728*'Pivot Objective'!$C$9^2)*S1728*T1728</f>
        <v>0</v>
      </c>
      <c r="V1728" s="166">
        <v>0</v>
      </c>
      <c r="W1728" s="166">
        <v>0</v>
      </c>
      <c r="X1728" s="164">
        <f>($L1728*'Pivot Objective'!$C$9^3)*V1728*W1728</f>
        <v>0</v>
      </c>
      <c r="Y1728" s="166">
        <v>0</v>
      </c>
      <c r="Z1728" s="166">
        <v>0</v>
      </c>
      <c r="AA1728" s="164">
        <f>($L1728*'Pivot Objective'!$C$9^4)*Y1728*Z1728</f>
        <v>0</v>
      </c>
      <c r="AB1728" s="166">
        <v>0</v>
      </c>
      <c r="AC1728" s="166">
        <v>0</v>
      </c>
      <c r="AD1728" s="164">
        <f>($L1728*'Pivot Objective'!$C$9^5)*AB1728*AC1728</f>
        <v>0</v>
      </c>
      <c r="AE1728" s="166">
        <v>100</v>
      </c>
      <c r="AF1728" s="166">
        <v>5</v>
      </c>
      <c r="AG1728" s="164">
        <f>($L1728*'Pivot Objective'!$C$9^6)*AE1728*AF1728</f>
        <v>39006370.795998633</v>
      </c>
      <c r="AH1728" s="166">
        <v>0</v>
      </c>
      <c r="AI1728" s="166">
        <v>0</v>
      </c>
      <c r="AJ1728" s="164">
        <f>($L1728*'Pivot Objective'!$C$9^7)*AH1728*AI1728</f>
        <v>0</v>
      </c>
      <c r="AK1728" s="185">
        <f t="shared" si="195"/>
        <v>59007489.993498631</v>
      </c>
      <c r="AL1728" s="186">
        <f t="shared" si="196"/>
        <v>57288.825236406439</v>
      </c>
    </row>
    <row r="1729" spans="1:38" customFormat="1" ht="43.2" x14ac:dyDescent="0.3">
      <c r="A1729" s="140" t="s">
        <v>1486</v>
      </c>
      <c r="B1729" s="140">
        <v>3</v>
      </c>
      <c r="C1729" s="166" t="s">
        <v>696</v>
      </c>
      <c r="D1729" s="140" t="str">
        <f t="shared" si="198"/>
        <v>3</v>
      </c>
      <c r="E1729" s="166" t="s">
        <v>691</v>
      </c>
      <c r="F1729" s="140">
        <f t="shared" si="197"/>
        <v>1</v>
      </c>
      <c r="G1729" s="140" t="str">
        <f t="shared" si="199"/>
        <v>3.3.1</v>
      </c>
      <c r="H1729" s="181" t="s">
        <v>657</v>
      </c>
      <c r="I1729" s="166" t="s">
        <v>35</v>
      </c>
      <c r="J1729" s="166" t="s">
        <v>1383</v>
      </c>
      <c r="K1729" s="166" t="s">
        <v>712</v>
      </c>
      <c r="L1729" s="167">
        <f>1480/7</f>
        <v>211.42857142857142</v>
      </c>
      <c r="M1729" s="166"/>
      <c r="N1729" s="166"/>
      <c r="O1729" s="164">
        <f t="shared" si="194"/>
        <v>0</v>
      </c>
      <c r="P1729" s="166">
        <f>2*25*29</f>
        <v>1450</v>
      </c>
      <c r="Q1729" s="166">
        <v>5</v>
      </c>
      <c r="R1729" s="164">
        <f>$L1729*'Pivot Objective'!$C$9*P1729*Q1729</f>
        <v>1751934.7672585712</v>
      </c>
      <c r="S1729" s="166">
        <v>0</v>
      </c>
      <c r="T1729" s="166">
        <v>0</v>
      </c>
      <c r="U1729" s="164">
        <f>($L1729*'Pivot Objective'!$C$9^2)*S1729*T1729</f>
        <v>0</v>
      </c>
      <c r="V1729" s="166">
        <v>0</v>
      </c>
      <c r="W1729" s="166">
        <v>0</v>
      </c>
      <c r="X1729" s="164">
        <f>($L1729*'Pivot Objective'!$C$9^3)*V1729*W1729</f>
        <v>0</v>
      </c>
      <c r="Y1729" s="166">
        <v>0</v>
      </c>
      <c r="Z1729" s="166">
        <v>0</v>
      </c>
      <c r="AA1729" s="164">
        <f>($L1729*'Pivot Objective'!$C$9^4)*Y1729*Z1729</f>
        <v>0</v>
      </c>
      <c r="AB1729" s="166">
        <v>0</v>
      </c>
      <c r="AC1729" s="166">
        <v>0</v>
      </c>
      <c r="AD1729" s="164">
        <f>($L1729*'Pivot Objective'!$C$9^5)*AB1729*AC1729</f>
        <v>0</v>
      </c>
      <c r="AE1729" s="166">
        <f>2*25*29</f>
        <v>1450</v>
      </c>
      <c r="AF1729" s="166">
        <v>5</v>
      </c>
      <c r="AG1729" s="164">
        <f>($L1729*'Pivot Objective'!$C$9^6)*AE1729*AF1729</f>
        <v>3416639.6623760439</v>
      </c>
      <c r="AH1729" s="166">
        <v>0</v>
      </c>
      <c r="AI1729" s="166">
        <v>0</v>
      </c>
      <c r="AJ1729" s="164">
        <f>($L1729*'Pivot Objective'!$C$9^7)*AH1729*AI1729</f>
        <v>0</v>
      </c>
      <c r="AK1729" s="185">
        <f t="shared" si="195"/>
        <v>5168574.4296346148</v>
      </c>
      <c r="AL1729" s="186">
        <f t="shared" si="196"/>
        <v>5018.0334268297229</v>
      </c>
    </row>
    <row r="1730" spans="1:38" customFormat="1" ht="43.2" x14ac:dyDescent="0.3">
      <c r="A1730" s="140" t="s">
        <v>1486</v>
      </c>
      <c r="B1730" s="140">
        <v>3</v>
      </c>
      <c r="C1730" s="166" t="s">
        <v>696</v>
      </c>
      <c r="D1730" s="140" t="str">
        <f t="shared" si="198"/>
        <v>3</v>
      </c>
      <c r="E1730" s="166" t="s">
        <v>691</v>
      </c>
      <c r="F1730" s="140">
        <f t="shared" si="197"/>
        <v>1</v>
      </c>
      <c r="G1730" s="140" t="str">
        <f t="shared" si="199"/>
        <v>3.3.1</v>
      </c>
      <c r="H1730" s="181" t="s">
        <v>657</v>
      </c>
      <c r="I1730" s="166" t="s">
        <v>35</v>
      </c>
      <c r="J1730" s="166" t="s">
        <v>1382</v>
      </c>
      <c r="K1730" s="166" t="s">
        <v>1299</v>
      </c>
      <c r="L1730" s="167">
        <f>1480/7</f>
        <v>211.42857142857142</v>
      </c>
      <c r="M1730" s="166"/>
      <c r="N1730" s="166"/>
      <c r="O1730" s="164">
        <f t="shared" si="194"/>
        <v>0</v>
      </c>
      <c r="P1730" s="166">
        <v>22500</v>
      </c>
      <c r="Q1730" s="166">
        <v>1</v>
      </c>
      <c r="R1730" s="164">
        <f>$L1730*'Pivot Objective'!$C$9*P1730*Q1730</f>
        <v>5437038.9328714283</v>
      </c>
      <c r="S1730" s="166"/>
      <c r="T1730" s="166"/>
      <c r="U1730" s="164">
        <f>($L1730*'Pivot Objective'!$C$9^2)*S1730*T1730</f>
        <v>0</v>
      </c>
      <c r="V1730" s="166"/>
      <c r="W1730" s="166"/>
      <c r="X1730" s="164">
        <f>($L1730*'Pivot Objective'!$C$9^3)*V1730*W1730</f>
        <v>0</v>
      </c>
      <c r="Y1730" s="166"/>
      <c r="Z1730" s="166"/>
      <c r="AA1730" s="164">
        <f>($L1730*'Pivot Objective'!$C$9^4)*Y1730*Z1730</f>
        <v>0</v>
      </c>
      <c r="AB1730" s="166"/>
      <c r="AC1730" s="166"/>
      <c r="AD1730" s="164">
        <f>($L1730*'Pivot Objective'!$C$9^5)*AB1730*AC1730</f>
        <v>0</v>
      </c>
      <c r="AE1730" s="166">
        <v>22500</v>
      </c>
      <c r="AF1730" s="166">
        <v>1</v>
      </c>
      <c r="AG1730" s="164">
        <f>($L1730*'Pivot Objective'!$C$9^6)*AE1730*AF1730</f>
        <v>10603364.469442895</v>
      </c>
      <c r="AH1730" s="166"/>
      <c r="AI1730" s="166"/>
      <c r="AJ1730" s="164">
        <f>($L1730*'Pivot Objective'!$C$9^7)*AH1730*AI1730</f>
        <v>0</v>
      </c>
      <c r="AK1730" s="185">
        <f t="shared" si="195"/>
        <v>16040403.402314324</v>
      </c>
      <c r="AL1730" s="186">
        <f t="shared" si="196"/>
        <v>15573.207186712936</v>
      </c>
    </row>
    <row r="1731" spans="1:38" customFormat="1" ht="43.2" x14ac:dyDescent="0.3">
      <c r="A1731" s="140" t="s">
        <v>1486</v>
      </c>
      <c r="B1731" s="140">
        <v>3</v>
      </c>
      <c r="C1731" s="166" t="s">
        <v>696</v>
      </c>
      <c r="D1731" s="140" t="str">
        <f t="shared" si="198"/>
        <v>3</v>
      </c>
      <c r="E1731" s="166" t="s">
        <v>691</v>
      </c>
      <c r="F1731" s="140">
        <f t="shared" si="197"/>
        <v>1</v>
      </c>
      <c r="G1731" s="140" t="str">
        <f t="shared" si="199"/>
        <v>3.3.1</v>
      </c>
      <c r="H1731" s="181" t="s">
        <v>657</v>
      </c>
      <c r="I1731" s="166" t="s">
        <v>35</v>
      </c>
      <c r="J1731" s="166" t="s">
        <v>310</v>
      </c>
      <c r="K1731" s="166" t="s">
        <v>709</v>
      </c>
      <c r="L1731" s="167">
        <v>35000</v>
      </c>
      <c r="M1731" s="166"/>
      <c r="N1731" s="166"/>
      <c r="O1731" s="164">
        <f t="shared" ref="O1731:O1794" si="200">$L1731*M1731*N1731</f>
        <v>0</v>
      </c>
      <c r="P1731" s="166">
        <v>25</v>
      </c>
      <c r="Q1731" s="166">
        <v>5</v>
      </c>
      <c r="R1731" s="164">
        <f>$L1731*'Pivot Objective'!$C$9*P1731*Q1731</f>
        <v>5000279.7993749995</v>
      </c>
      <c r="S1731" s="166">
        <v>0</v>
      </c>
      <c r="T1731" s="166">
        <v>0</v>
      </c>
      <c r="U1731" s="164">
        <f>($L1731*'Pivot Objective'!$C$9^2)*S1731*T1731</f>
        <v>0</v>
      </c>
      <c r="V1731" s="166">
        <v>0</v>
      </c>
      <c r="W1731" s="166">
        <v>0</v>
      </c>
      <c r="X1731" s="164">
        <f>($L1731*'Pivot Objective'!$C$9^3)*V1731*W1731</f>
        <v>0</v>
      </c>
      <c r="Y1731" s="166">
        <v>0</v>
      </c>
      <c r="Z1731" s="166">
        <v>0</v>
      </c>
      <c r="AA1731" s="164">
        <f>($L1731*'Pivot Objective'!$C$9^4)*Y1731*Z1731</f>
        <v>0</v>
      </c>
      <c r="AB1731" s="166">
        <v>0</v>
      </c>
      <c r="AC1731" s="166">
        <v>0</v>
      </c>
      <c r="AD1731" s="164">
        <f>($L1731*'Pivot Objective'!$C$9^5)*AB1731*AC1731</f>
        <v>0</v>
      </c>
      <c r="AE1731" s="166">
        <v>25</v>
      </c>
      <c r="AF1731" s="166">
        <v>5</v>
      </c>
      <c r="AG1731" s="164">
        <f>($L1731*'Pivot Objective'!$C$9^6)*AE1731*AF1731</f>
        <v>9751592.6989996582</v>
      </c>
      <c r="AH1731" s="166">
        <v>0</v>
      </c>
      <c r="AI1731" s="166">
        <v>0</v>
      </c>
      <c r="AJ1731" s="164">
        <f>($L1731*'Pivot Objective'!$C$9^7)*AH1731*AI1731</f>
        <v>0</v>
      </c>
      <c r="AK1731" s="185">
        <f t="shared" ref="AK1731:AK1794" si="201">O1731+R1731+U1731+X1731+AA1731+AD1731+AG1731+AJ1731</f>
        <v>14751872.498374658</v>
      </c>
      <c r="AL1731" s="186">
        <f t="shared" ref="AL1731:AL1794" si="202">AK1731/$AP$2</f>
        <v>14322.20630910161</v>
      </c>
    </row>
    <row r="1732" spans="1:38" customFormat="1" ht="43.2" x14ac:dyDescent="0.3">
      <c r="A1732" s="140" t="s">
        <v>1486</v>
      </c>
      <c r="B1732" s="140">
        <v>3</v>
      </c>
      <c r="C1732" s="166" t="s">
        <v>696</v>
      </c>
      <c r="D1732" s="140" t="str">
        <f t="shared" si="198"/>
        <v>3</v>
      </c>
      <c r="E1732" s="166" t="s">
        <v>691</v>
      </c>
      <c r="F1732" s="140">
        <f t="shared" si="197"/>
        <v>1</v>
      </c>
      <c r="G1732" s="140" t="str">
        <f t="shared" si="199"/>
        <v>3.3.1</v>
      </c>
      <c r="H1732" s="181" t="s">
        <v>657</v>
      </c>
      <c r="I1732" s="166" t="s">
        <v>35</v>
      </c>
      <c r="J1732" s="166" t="s">
        <v>310</v>
      </c>
      <c r="K1732" s="166" t="s">
        <v>716</v>
      </c>
      <c r="L1732" s="167">
        <v>39000</v>
      </c>
      <c r="M1732" s="166"/>
      <c r="N1732" s="166"/>
      <c r="O1732" s="164">
        <f t="shared" si="200"/>
        <v>0</v>
      </c>
      <c r="P1732" s="166">
        <v>25</v>
      </c>
      <c r="Q1732" s="166">
        <v>6</v>
      </c>
      <c r="R1732" s="164">
        <f>$L1732*'Pivot Objective'!$C$9*P1732*Q1732</f>
        <v>6686088.4174499996</v>
      </c>
      <c r="S1732" s="166">
        <v>0</v>
      </c>
      <c r="T1732" s="166">
        <v>0</v>
      </c>
      <c r="U1732" s="164">
        <f>($L1732*'Pivot Objective'!$C$9^2)*S1732*T1732</f>
        <v>0</v>
      </c>
      <c r="V1732" s="166">
        <v>0</v>
      </c>
      <c r="W1732" s="166">
        <v>0</v>
      </c>
      <c r="X1732" s="164">
        <f>($L1732*'Pivot Objective'!$C$9^3)*V1732*W1732</f>
        <v>0</v>
      </c>
      <c r="Y1732" s="166">
        <v>0</v>
      </c>
      <c r="Z1732" s="166">
        <v>0</v>
      </c>
      <c r="AA1732" s="164">
        <f>($L1732*'Pivot Objective'!$C$9^4)*Y1732*Z1732</f>
        <v>0</v>
      </c>
      <c r="AB1732" s="166">
        <v>0</v>
      </c>
      <c r="AC1732" s="166">
        <v>0</v>
      </c>
      <c r="AD1732" s="164">
        <f>($L1732*'Pivot Objective'!$C$9^5)*AB1732*AC1732</f>
        <v>0</v>
      </c>
      <c r="AE1732" s="166">
        <v>25</v>
      </c>
      <c r="AF1732" s="166">
        <v>6</v>
      </c>
      <c r="AG1732" s="164">
        <f>($L1732*'Pivot Objective'!$C$9^6)*AE1732*AF1732</f>
        <v>13039272.523233831</v>
      </c>
      <c r="AH1732" s="166">
        <v>0</v>
      </c>
      <c r="AI1732" s="166">
        <v>0</v>
      </c>
      <c r="AJ1732" s="164">
        <f>($L1732*'Pivot Objective'!$C$9^7)*AH1732*AI1732</f>
        <v>0</v>
      </c>
      <c r="AK1732" s="185">
        <f t="shared" si="201"/>
        <v>19725360.940683831</v>
      </c>
      <c r="AL1732" s="186">
        <f t="shared" si="202"/>
        <v>19150.835864741584</v>
      </c>
    </row>
    <row r="1733" spans="1:38" customFormat="1" ht="43.2" x14ac:dyDescent="0.3">
      <c r="A1733" s="140" t="s">
        <v>1486</v>
      </c>
      <c r="B1733" s="140">
        <v>3</v>
      </c>
      <c r="C1733" s="166" t="s">
        <v>696</v>
      </c>
      <c r="D1733" s="140" t="str">
        <f t="shared" si="198"/>
        <v>3</v>
      </c>
      <c r="E1733" s="166" t="s">
        <v>691</v>
      </c>
      <c r="F1733" s="140">
        <f t="shared" si="197"/>
        <v>1</v>
      </c>
      <c r="G1733" s="140" t="str">
        <f t="shared" si="199"/>
        <v>3.3.1</v>
      </c>
      <c r="H1733" s="181" t="s">
        <v>657</v>
      </c>
      <c r="I1733" s="166" t="s">
        <v>35</v>
      </c>
      <c r="J1733" s="166" t="s">
        <v>310</v>
      </c>
      <c r="K1733" s="166" t="s">
        <v>712</v>
      </c>
      <c r="L1733" s="167">
        <f>1480/7</f>
        <v>211.42857142857142</v>
      </c>
      <c r="M1733" s="179"/>
      <c r="N1733" s="166"/>
      <c r="O1733" s="164">
        <f t="shared" si="200"/>
        <v>0</v>
      </c>
      <c r="P1733" s="179">
        <f>2*25*9</f>
        <v>450</v>
      </c>
      <c r="Q1733" s="166">
        <v>0</v>
      </c>
      <c r="R1733" s="164">
        <f>$L1733*'Pivot Objective'!$C$9*P1733*Q1733</f>
        <v>0</v>
      </c>
      <c r="S1733" s="166">
        <v>0</v>
      </c>
      <c r="T1733" s="166">
        <v>0</v>
      </c>
      <c r="U1733" s="164">
        <f>($L1733*'Pivot Objective'!$C$9^2)*S1733*T1733</f>
        <v>0</v>
      </c>
      <c r="V1733" s="166">
        <v>0</v>
      </c>
      <c r="W1733" s="166">
        <v>0</v>
      </c>
      <c r="X1733" s="164">
        <f>($L1733*'Pivot Objective'!$C$9^3)*V1733*W1733</f>
        <v>0</v>
      </c>
      <c r="Y1733" s="166">
        <v>0</v>
      </c>
      <c r="Z1733" s="166">
        <v>0</v>
      </c>
      <c r="AA1733" s="164">
        <f>($L1733*'Pivot Objective'!$C$9^4)*Y1733*Z1733</f>
        <v>0</v>
      </c>
      <c r="AB1733" s="166">
        <v>0</v>
      </c>
      <c r="AC1733" s="166">
        <v>0</v>
      </c>
      <c r="AD1733" s="164">
        <f>($L1733*'Pivot Objective'!$C$9^5)*AB1733*AC1733</f>
        <v>0</v>
      </c>
      <c r="AE1733" s="179">
        <f>2*25*9</f>
        <v>450</v>
      </c>
      <c r="AF1733" s="166">
        <v>0</v>
      </c>
      <c r="AG1733" s="164">
        <f>($L1733*'Pivot Objective'!$C$9^6)*AE1733*AF1733</f>
        <v>0</v>
      </c>
      <c r="AH1733" s="166">
        <v>0</v>
      </c>
      <c r="AI1733" s="166">
        <v>0</v>
      </c>
      <c r="AJ1733" s="164">
        <f>($L1733*'Pivot Objective'!$C$9^7)*AH1733*AI1733</f>
        <v>0</v>
      </c>
      <c r="AK1733" s="185">
        <f t="shared" si="201"/>
        <v>0</v>
      </c>
      <c r="AL1733" s="186">
        <f t="shared" si="202"/>
        <v>0</v>
      </c>
    </row>
    <row r="1734" spans="1:38" customFormat="1" ht="43.2" x14ac:dyDescent="0.3">
      <c r="A1734" s="140" t="s">
        <v>1486</v>
      </c>
      <c r="B1734" s="140">
        <v>3</v>
      </c>
      <c r="C1734" s="166" t="s">
        <v>696</v>
      </c>
      <c r="D1734" s="140" t="str">
        <f t="shared" si="198"/>
        <v>3</v>
      </c>
      <c r="E1734" s="166" t="s">
        <v>691</v>
      </c>
      <c r="F1734" s="140">
        <f t="shared" si="197"/>
        <v>1</v>
      </c>
      <c r="G1734" s="140" t="str">
        <f t="shared" si="199"/>
        <v>3.3.1</v>
      </c>
      <c r="H1734" s="181" t="s">
        <v>657</v>
      </c>
      <c r="I1734" s="166" t="s">
        <v>35</v>
      </c>
      <c r="J1734" s="166" t="s">
        <v>310</v>
      </c>
      <c r="K1734" s="166" t="s">
        <v>1299</v>
      </c>
      <c r="L1734" s="167">
        <f>1480/7</f>
        <v>211.42857142857142</v>
      </c>
      <c r="M1734" s="179"/>
      <c r="N1734" s="166"/>
      <c r="O1734" s="164">
        <f t="shared" si="200"/>
        <v>0</v>
      </c>
      <c r="P1734" s="179">
        <f>2*135*9</f>
        <v>2430</v>
      </c>
      <c r="Q1734" s="166"/>
      <c r="R1734" s="164">
        <f>$L1734*'Pivot Objective'!$C$9*P1734*Q1734</f>
        <v>0</v>
      </c>
      <c r="S1734" s="166"/>
      <c r="T1734" s="166"/>
      <c r="U1734" s="164">
        <f>($L1734*'Pivot Objective'!$C$9^2)*S1734*T1734</f>
        <v>0</v>
      </c>
      <c r="V1734" s="166"/>
      <c r="W1734" s="166"/>
      <c r="X1734" s="164">
        <f>($L1734*'Pivot Objective'!$C$9^3)*V1734*W1734</f>
        <v>0</v>
      </c>
      <c r="Y1734" s="166"/>
      <c r="Z1734" s="166"/>
      <c r="AA1734" s="164">
        <f>($L1734*'Pivot Objective'!$C$9^4)*Y1734*Z1734</f>
        <v>0</v>
      </c>
      <c r="AB1734" s="166"/>
      <c r="AC1734" s="166"/>
      <c r="AD1734" s="164">
        <f>($L1734*'Pivot Objective'!$C$9^5)*AB1734*AC1734</f>
        <v>0</v>
      </c>
      <c r="AE1734" s="179">
        <f>2*135*9</f>
        <v>2430</v>
      </c>
      <c r="AF1734" s="166"/>
      <c r="AG1734" s="164">
        <f>($L1734*'Pivot Objective'!$C$9^6)*AE1734*AF1734</f>
        <v>0</v>
      </c>
      <c r="AH1734" s="166"/>
      <c r="AI1734" s="166"/>
      <c r="AJ1734" s="164">
        <f>($L1734*'Pivot Objective'!$C$9^7)*AH1734*AI1734</f>
        <v>0</v>
      </c>
      <c r="AK1734" s="185">
        <f t="shared" si="201"/>
        <v>0</v>
      </c>
      <c r="AL1734" s="186">
        <f t="shared" si="202"/>
        <v>0</v>
      </c>
    </row>
    <row r="1735" spans="1:38" customFormat="1" ht="43.2" x14ac:dyDescent="0.3">
      <c r="A1735" s="140" t="s">
        <v>1486</v>
      </c>
      <c r="B1735" s="140">
        <v>3</v>
      </c>
      <c r="C1735" s="166" t="s">
        <v>696</v>
      </c>
      <c r="D1735" s="140" t="str">
        <f t="shared" si="198"/>
        <v>3</v>
      </c>
      <c r="E1735" s="166" t="s">
        <v>691</v>
      </c>
      <c r="F1735" s="140">
        <f t="shared" si="197"/>
        <v>1</v>
      </c>
      <c r="G1735" s="140" t="str">
        <f t="shared" si="199"/>
        <v>3.3.1</v>
      </c>
      <c r="H1735" s="181" t="s">
        <v>657</v>
      </c>
      <c r="I1735" s="166" t="s">
        <v>36</v>
      </c>
      <c r="J1735" s="166" t="s">
        <v>311</v>
      </c>
      <c r="K1735" s="166" t="s">
        <v>741</v>
      </c>
      <c r="L1735" s="167">
        <f>42000*1022</f>
        <v>42924000</v>
      </c>
      <c r="M1735" s="166"/>
      <c r="N1735" s="166"/>
      <c r="O1735" s="164">
        <f t="shared" si="200"/>
        <v>0</v>
      </c>
      <c r="P1735" s="166">
        <v>0</v>
      </c>
      <c r="Q1735" s="166">
        <v>0</v>
      </c>
      <c r="R1735" s="164">
        <f>$L1735*'Pivot Objective'!$C$9*P1735*Q1735</f>
        <v>0</v>
      </c>
      <c r="S1735" s="166">
        <v>11</v>
      </c>
      <c r="T1735" s="166">
        <v>1</v>
      </c>
      <c r="U1735" s="164">
        <f>($L1735*'Pivot Objective'!$C$9^2)*S1735*T1735</f>
        <v>616773023.28871727</v>
      </c>
      <c r="V1735" s="166">
        <v>11</v>
      </c>
      <c r="W1735" s="166">
        <v>1</v>
      </c>
      <c r="X1735" s="164">
        <f>($L1735*'Pivot Objective'!$C$9^3)*V1735*W1735</f>
        <v>704922900.3771472</v>
      </c>
      <c r="Y1735" s="166">
        <v>11</v>
      </c>
      <c r="Z1735" s="166">
        <v>1</v>
      </c>
      <c r="AA1735" s="164">
        <f>($L1735*'Pivot Objective'!$C$9^4)*Y1735*Z1735</f>
        <v>805671254.59947073</v>
      </c>
      <c r="AB1735" s="166">
        <v>0</v>
      </c>
      <c r="AC1735" s="166">
        <v>0</v>
      </c>
      <c r="AD1735" s="164">
        <f>($L1735*'Pivot Objective'!$C$9^5)*AB1735*AC1735</f>
        <v>0</v>
      </c>
      <c r="AE1735" s="166">
        <v>0</v>
      </c>
      <c r="AF1735" s="166">
        <v>0</v>
      </c>
      <c r="AG1735" s="164">
        <f>($L1735*'Pivot Objective'!$C$9^6)*AE1735*AF1735</f>
        <v>0</v>
      </c>
      <c r="AH1735" s="166">
        <v>0</v>
      </c>
      <c r="AI1735" s="166">
        <v>0</v>
      </c>
      <c r="AJ1735" s="164">
        <f>($L1735*'Pivot Objective'!$C$9^7)*AH1735*AI1735</f>
        <v>0</v>
      </c>
      <c r="AK1735" s="185">
        <f t="shared" si="201"/>
        <v>2127367178.2653351</v>
      </c>
      <c r="AL1735" s="186">
        <f t="shared" si="202"/>
        <v>2065405.027442073</v>
      </c>
    </row>
    <row r="1736" spans="1:38" customFormat="1" ht="57.6" x14ac:dyDescent="0.3">
      <c r="A1736" s="140" t="s">
        <v>1486</v>
      </c>
      <c r="B1736" s="140">
        <v>3</v>
      </c>
      <c r="C1736" s="166" t="s">
        <v>696</v>
      </c>
      <c r="D1736" s="140" t="str">
        <f t="shared" si="198"/>
        <v>3</v>
      </c>
      <c r="E1736" s="166" t="s">
        <v>691</v>
      </c>
      <c r="F1736" s="140">
        <f t="shared" si="197"/>
        <v>1</v>
      </c>
      <c r="G1736" s="140" t="str">
        <f t="shared" si="199"/>
        <v>3.3.1</v>
      </c>
      <c r="H1736" s="181" t="s">
        <v>657</v>
      </c>
      <c r="I1736" s="166" t="s">
        <v>36</v>
      </c>
      <c r="J1736" s="166" t="s">
        <v>312</v>
      </c>
      <c r="K1736" s="166" t="s">
        <v>718</v>
      </c>
      <c r="L1736" s="167">
        <v>0</v>
      </c>
      <c r="M1736" s="166">
        <v>0</v>
      </c>
      <c r="N1736" s="166">
        <v>0</v>
      </c>
      <c r="O1736" s="164">
        <f t="shared" si="200"/>
        <v>0</v>
      </c>
      <c r="P1736" s="166">
        <v>0</v>
      </c>
      <c r="Q1736" s="166">
        <v>0</v>
      </c>
      <c r="R1736" s="164">
        <f>$L1736*'Pivot Objective'!$C$9*P1736*Q1736</f>
        <v>0</v>
      </c>
      <c r="S1736" s="166">
        <v>0</v>
      </c>
      <c r="T1736" s="166">
        <v>0</v>
      </c>
      <c r="U1736" s="164">
        <f>($L1736*'Pivot Objective'!$C$9^2)*S1736*T1736</f>
        <v>0</v>
      </c>
      <c r="V1736" s="166">
        <v>0</v>
      </c>
      <c r="W1736" s="166">
        <v>0</v>
      </c>
      <c r="X1736" s="164">
        <f>($L1736*'Pivot Objective'!$C$9^3)*V1736*W1736</f>
        <v>0</v>
      </c>
      <c r="Y1736" s="166">
        <v>0</v>
      </c>
      <c r="Z1736" s="166">
        <v>0</v>
      </c>
      <c r="AA1736" s="164">
        <f>($L1736*'Pivot Objective'!$C$9^4)*Y1736*Z1736</f>
        <v>0</v>
      </c>
      <c r="AB1736" s="166">
        <v>0</v>
      </c>
      <c r="AC1736" s="166">
        <v>0</v>
      </c>
      <c r="AD1736" s="164">
        <f>($L1736*'Pivot Objective'!$C$9^5)*AB1736*AC1736</f>
        <v>0</v>
      </c>
      <c r="AE1736" s="166">
        <v>0</v>
      </c>
      <c r="AF1736" s="166">
        <v>0</v>
      </c>
      <c r="AG1736" s="164">
        <f>($L1736*'Pivot Objective'!$C$9^6)*AE1736*AF1736</f>
        <v>0</v>
      </c>
      <c r="AH1736" s="166">
        <v>0</v>
      </c>
      <c r="AI1736" s="166">
        <v>0</v>
      </c>
      <c r="AJ1736" s="164">
        <f>($L1736*'Pivot Objective'!$C$9^7)*AH1736*AI1736</f>
        <v>0</v>
      </c>
      <c r="AK1736" s="185">
        <f t="shared" si="201"/>
        <v>0</v>
      </c>
      <c r="AL1736" s="186">
        <f t="shared" si="202"/>
        <v>0</v>
      </c>
    </row>
    <row r="1737" spans="1:38" customFormat="1" ht="57.6" x14ac:dyDescent="0.3">
      <c r="A1737" s="140" t="s">
        <v>1486</v>
      </c>
      <c r="B1737" s="140">
        <v>3</v>
      </c>
      <c r="C1737" s="166" t="s">
        <v>696</v>
      </c>
      <c r="D1737" s="140" t="str">
        <f t="shared" si="198"/>
        <v>3</v>
      </c>
      <c r="E1737" s="166" t="s">
        <v>691</v>
      </c>
      <c r="F1737" s="140">
        <f t="shared" si="197"/>
        <v>1</v>
      </c>
      <c r="G1737" s="140" t="str">
        <f t="shared" si="199"/>
        <v>3.3.1</v>
      </c>
      <c r="H1737" s="181" t="s">
        <v>657</v>
      </c>
      <c r="I1737" s="166" t="s">
        <v>36</v>
      </c>
      <c r="J1737" s="166" t="s">
        <v>312</v>
      </c>
      <c r="K1737" s="166" t="s">
        <v>718</v>
      </c>
      <c r="L1737" s="167">
        <v>0</v>
      </c>
      <c r="M1737" s="166">
        <v>0</v>
      </c>
      <c r="N1737" s="166">
        <v>0</v>
      </c>
      <c r="O1737" s="164">
        <f t="shared" si="200"/>
        <v>0</v>
      </c>
      <c r="P1737" s="166">
        <v>0</v>
      </c>
      <c r="Q1737" s="166">
        <v>0</v>
      </c>
      <c r="R1737" s="164">
        <f>$L1737*'Pivot Objective'!$C$9*P1737*Q1737</f>
        <v>0</v>
      </c>
      <c r="S1737" s="166">
        <v>0</v>
      </c>
      <c r="T1737" s="166">
        <v>0</v>
      </c>
      <c r="U1737" s="164">
        <f>($L1737*'Pivot Objective'!$C$9^2)*S1737*T1737</f>
        <v>0</v>
      </c>
      <c r="V1737" s="166">
        <v>0</v>
      </c>
      <c r="W1737" s="166">
        <v>0</v>
      </c>
      <c r="X1737" s="164">
        <f>($L1737*'Pivot Objective'!$C$9^3)*V1737*W1737</f>
        <v>0</v>
      </c>
      <c r="Y1737" s="166">
        <v>0</v>
      </c>
      <c r="Z1737" s="166">
        <v>0</v>
      </c>
      <c r="AA1737" s="164">
        <f>($L1737*'Pivot Objective'!$C$9^4)*Y1737*Z1737</f>
        <v>0</v>
      </c>
      <c r="AB1737" s="166">
        <v>0</v>
      </c>
      <c r="AC1737" s="166">
        <v>0</v>
      </c>
      <c r="AD1737" s="164">
        <f>($L1737*'Pivot Objective'!$C$9^5)*AB1737*AC1737</f>
        <v>0</v>
      </c>
      <c r="AE1737" s="166">
        <v>0</v>
      </c>
      <c r="AF1737" s="166">
        <v>0</v>
      </c>
      <c r="AG1737" s="164">
        <f>($L1737*'Pivot Objective'!$C$9^6)*AE1737*AF1737</f>
        <v>0</v>
      </c>
      <c r="AH1737" s="166">
        <v>0</v>
      </c>
      <c r="AI1737" s="166">
        <v>0</v>
      </c>
      <c r="AJ1737" s="164">
        <f>($L1737*'Pivot Objective'!$C$9^7)*AH1737*AI1737</f>
        <v>0</v>
      </c>
      <c r="AK1737" s="185">
        <f t="shared" si="201"/>
        <v>0</v>
      </c>
      <c r="AL1737" s="186">
        <f t="shared" si="202"/>
        <v>0</v>
      </c>
    </row>
    <row r="1738" spans="1:38" customFormat="1" ht="57.6" x14ac:dyDescent="0.3">
      <c r="A1738" s="140" t="s">
        <v>1486</v>
      </c>
      <c r="B1738" s="140">
        <v>3</v>
      </c>
      <c r="C1738" s="166" t="s">
        <v>696</v>
      </c>
      <c r="D1738" s="140" t="str">
        <f t="shared" si="198"/>
        <v>3</v>
      </c>
      <c r="E1738" s="166" t="s">
        <v>691</v>
      </c>
      <c r="F1738" s="140">
        <f t="shared" si="197"/>
        <v>1</v>
      </c>
      <c r="G1738" s="140" t="str">
        <f t="shared" si="199"/>
        <v>3.3.1</v>
      </c>
      <c r="H1738" s="181" t="s">
        <v>657</v>
      </c>
      <c r="I1738" s="166" t="s">
        <v>36</v>
      </c>
      <c r="J1738" s="166" t="s">
        <v>312</v>
      </c>
      <c r="K1738" s="166" t="s">
        <v>718</v>
      </c>
      <c r="L1738" s="167">
        <v>0</v>
      </c>
      <c r="M1738" s="166">
        <v>0</v>
      </c>
      <c r="N1738" s="166">
        <v>0</v>
      </c>
      <c r="O1738" s="164">
        <f t="shared" si="200"/>
        <v>0</v>
      </c>
      <c r="P1738" s="166">
        <v>0</v>
      </c>
      <c r="Q1738" s="166">
        <v>0</v>
      </c>
      <c r="R1738" s="164">
        <f>$L1738*'Pivot Objective'!$C$9*P1738*Q1738</f>
        <v>0</v>
      </c>
      <c r="S1738" s="166">
        <v>0</v>
      </c>
      <c r="T1738" s="166">
        <v>0</v>
      </c>
      <c r="U1738" s="164">
        <f>($L1738*'Pivot Objective'!$C$9^2)*S1738*T1738</f>
        <v>0</v>
      </c>
      <c r="V1738" s="166">
        <v>0</v>
      </c>
      <c r="W1738" s="166">
        <v>0</v>
      </c>
      <c r="X1738" s="164">
        <f>($L1738*'Pivot Objective'!$C$9^3)*V1738*W1738</f>
        <v>0</v>
      </c>
      <c r="Y1738" s="166">
        <v>0</v>
      </c>
      <c r="Z1738" s="166">
        <v>0</v>
      </c>
      <c r="AA1738" s="164">
        <f>($L1738*'Pivot Objective'!$C$9^4)*Y1738*Z1738</f>
        <v>0</v>
      </c>
      <c r="AB1738" s="166">
        <v>0</v>
      </c>
      <c r="AC1738" s="166">
        <v>0</v>
      </c>
      <c r="AD1738" s="164">
        <f>($L1738*'Pivot Objective'!$C$9^5)*AB1738*AC1738</f>
        <v>0</v>
      </c>
      <c r="AE1738" s="166">
        <v>0</v>
      </c>
      <c r="AF1738" s="166">
        <v>0</v>
      </c>
      <c r="AG1738" s="164">
        <f>($L1738*'Pivot Objective'!$C$9^6)*AE1738*AF1738</f>
        <v>0</v>
      </c>
      <c r="AH1738" s="166">
        <v>0</v>
      </c>
      <c r="AI1738" s="166">
        <v>0</v>
      </c>
      <c r="AJ1738" s="164">
        <f>($L1738*'Pivot Objective'!$C$9^7)*AH1738*AI1738</f>
        <v>0</v>
      </c>
      <c r="AK1738" s="185">
        <f t="shared" si="201"/>
        <v>0</v>
      </c>
      <c r="AL1738" s="186">
        <f t="shared" si="202"/>
        <v>0</v>
      </c>
    </row>
    <row r="1739" spans="1:38" customFormat="1" ht="72" x14ac:dyDescent="0.3">
      <c r="A1739" s="140" t="s">
        <v>1486</v>
      </c>
      <c r="B1739" s="140">
        <v>3</v>
      </c>
      <c r="C1739" s="166" t="s">
        <v>696</v>
      </c>
      <c r="D1739" s="140" t="str">
        <f t="shared" si="198"/>
        <v>3</v>
      </c>
      <c r="E1739" s="166" t="s">
        <v>691</v>
      </c>
      <c r="F1739" s="140">
        <f t="shared" si="197"/>
        <v>1</v>
      </c>
      <c r="G1739" s="140" t="str">
        <f t="shared" si="199"/>
        <v>3.3.1</v>
      </c>
      <c r="H1739" s="181" t="s">
        <v>657</v>
      </c>
      <c r="I1739" s="166" t="s">
        <v>37</v>
      </c>
      <c r="J1739" s="166" t="s">
        <v>313</v>
      </c>
      <c r="K1739" s="166" t="s">
        <v>707</v>
      </c>
      <c r="L1739" s="167">
        <v>391991.03749999998</v>
      </c>
      <c r="M1739" s="166">
        <v>2</v>
      </c>
      <c r="N1739" s="166">
        <v>2</v>
      </c>
      <c r="O1739" s="164">
        <f t="shared" si="200"/>
        <v>1567964.15</v>
      </c>
      <c r="P1739" s="166">
        <v>2</v>
      </c>
      <c r="Q1739" s="166">
        <v>2</v>
      </c>
      <c r="R1739" s="164">
        <f>$L1739*'Pivot Objective'!$C$9*P1739*Q1739</f>
        <v>1792059.3063746723</v>
      </c>
      <c r="S1739" s="166">
        <v>0</v>
      </c>
      <c r="T1739" s="166">
        <v>0</v>
      </c>
      <c r="U1739" s="164">
        <f>($L1739*'Pivot Objective'!$C$9^2)*S1739*T1739</f>
        <v>0</v>
      </c>
      <c r="V1739" s="166">
        <v>0</v>
      </c>
      <c r="W1739" s="166">
        <v>0</v>
      </c>
      <c r="X1739" s="164">
        <f>($L1739*'Pivot Objective'!$C$9^3)*V1739*W1739</f>
        <v>0</v>
      </c>
      <c r="Y1739" s="166">
        <v>0</v>
      </c>
      <c r="Z1739" s="166">
        <v>0</v>
      </c>
      <c r="AA1739" s="164">
        <f>($L1739*'Pivot Objective'!$C$9^4)*Y1739*Z1739</f>
        <v>0</v>
      </c>
      <c r="AB1739" s="166">
        <v>0</v>
      </c>
      <c r="AC1739" s="166">
        <v>0</v>
      </c>
      <c r="AD1739" s="164">
        <f>($L1739*'Pivot Objective'!$C$9^5)*AB1739*AC1739</f>
        <v>0</v>
      </c>
      <c r="AE1739" s="166">
        <v>2</v>
      </c>
      <c r="AF1739" s="166">
        <v>2</v>
      </c>
      <c r="AG1739" s="164">
        <f>($L1739*'Pivot Objective'!$C$9^6)*AE1739*AF1739</f>
        <v>3494890.915984733</v>
      </c>
      <c r="AH1739" s="166">
        <v>0</v>
      </c>
      <c r="AI1739" s="166">
        <v>0</v>
      </c>
      <c r="AJ1739" s="164">
        <f>($L1739*'Pivot Objective'!$C$9^7)*AH1739*AI1739</f>
        <v>0</v>
      </c>
      <c r="AK1739" s="185">
        <f t="shared" si="201"/>
        <v>6854914.3723594053</v>
      </c>
      <c r="AL1739" s="186">
        <f t="shared" si="202"/>
        <v>6655.2566721935973</v>
      </c>
    </row>
    <row r="1740" spans="1:38" customFormat="1" ht="72" x14ac:dyDescent="0.3">
      <c r="A1740" s="140" t="s">
        <v>1486</v>
      </c>
      <c r="B1740" s="140">
        <v>3</v>
      </c>
      <c r="C1740" s="166" t="s">
        <v>696</v>
      </c>
      <c r="D1740" s="140" t="str">
        <f t="shared" si="198"/>
        <v>3</v>
      </c>
      <c r="E1740" s="166" t="s">
        <v>691</v>
      </c>
      <c r="F1740" s="140">
        <f t="shared" si="197"/>
        <v>1</v>
      </c>
      <c r="G1740" s="140" t="str">
        <f t="shared" si="199"/>
        <v>3.3.1</v>
      </c>
      <c r="H1740" s="181" t="s">
        <v>657</v>
      </c>
      <c r="I1740" s="166" t="s">
        <v>37</v>
      </c>
      <c r="J1740" s="166" t="s">
        <v>313</v>
      </c>
      <c r="K1740" s="166" t="s">
        <v>708</v>
      </c>
      <c r="L1740" s="167">
        <f>500*1022</f>
        <v>511000</v>
      </c>
      <c r="M1740" s="166">
        <v>0</v>
      </c>
      <c r="N1740" s="166">
        <v>0</v>
      </c>
      <c r="O1740" s="164">
        <f t="shared" si="200"/>
        <v>0</v>
      </c>
      <c r="P1740" s="166">
        <v>0</v>
      </c>
      <c r="Q1740" s="166">
        <v>0</v>
      </c>
      <c r="R1740" s="164">
        <f>$L1740*'Pivot Objective'!$C$9*P1740*Q1740</f>
        <v>0</v>
      </c>
      <c r="S1740" s="166">
        <v>0</v>
      </c>
      <c r="T1740" s="166">
        <v>0</v>
      </c>
      <c r="U1740" s="164">
        <f>($L1740*'Pivot Objective'!$C$9^2)*S1740*T1740</f>
        <v>0</v>
      </c>
      <c r="V1740" s="166">
        <v>0</v>
      </c>
      <c r="W1740" s="166">
        <v>0</v>
      </c>
      <c r="X1740" s="164">
        <f>($L1740*'Pivot Objective'!$C$9^3)*V1740*W1740</f>
        <v>0</v>
      </c>
      <c r="Y1740" s="166">
        <v>0</v>
      </c>
      <c r="Z1740" s="166">
        <v>0</v>
      </c>
      <c r="AA1740" s="164">
        <f>($L1740*'Pivot Objective'!$C$9^4)*Y1740*Z1740</f>
        <v>0</v>
      </c>
      <c r="AB1740" s="166">
        <v>0</v>
      </c>
      <c r="AC1740" s="166">
        <v>0</v>
      </c>
      <c r="AD1740" s="164">
        <f>($L1740*'Pivot Objective'!$C$9^5)*AB1740*AC1740</f>
        <v>0</v>
      </c>
      <c r="AE1740" s="166">
        <v>0</v>
      </c>
      <c r="AF1740" s="166">
        <v>0</v>
      </c>
      <c r="AG1740" s="164">
        <f>($L1740*'Pivot Objective'!$C$9^6)*AE1740*AF1740</f>
        <v>0</v>
      </c>
      <c r="AH1740" s="166">
        <v>0</v>
      </c>
      <c r="AI1740" s="166">
        <v>0</v>
      </c>
      <c r="AJ1740" s="164">
        <f>($L1740*'Pivot Objective'!$C$9^7)*AH1740*AI1740</f>
        <v>0</v>
      </c>
      <c r="AK1740" s="185">
        <f t="shared" si="201"/>
        <v>0</v>
      </c>
      <c r="AL1740" s="186">
        <f t="shared" si="202"/>
        <v>0</v>
      </c>
    </row>
    <row r="1741" spans="1:38" customFormat="1" ht="72" x14ac:dyDescent="0.3">
      <c r="A1741" s="140" t="s">
        <v>1486</v>
      </c>
      <c r="B1741" s="140">
        <v>3</v>
      </c>
      <c r="C1741" s="166" t="s">
        <v>696</v>
      </c>
      <c r="D1741" s="140" t="str">
        <f t="shared" si="198"/>
        <v>3</v>
      </c>
      <c r="E1741" s="166" t="s">
        <v>691</v>
      </c>
      <c r="F1741" s="140">
        <f t="shared" si="197"/>
        <v>1</v>
      </c>
      <c r="G1741" s="140" t="str">
        <f t="shared" si="199"/>
        <v>3.3.1</v>
      </c>
      <c r="H1741" s="181" t="s">
        <v>657</v>
      </c>
      <c r="I1741" s="166" t="s">
        <v>37</v>
      </c>
      <c r="J1741" s="166" t="s">
        <v>314</v>
      </c>
      <c r="K1741" s="166" t="s">
        <v>716</v>
      </c>
      <c r="L1741" s="167">
        <v>39000</v>
      </c>
      <c r="M1741" s="166">
        <v>25</v>
      </c>
      <c r="N1741" s="166">
        <f>6*4</f>
        <v>24</v>
      </c>
      <c r="O1741" s="164">
        <f t="shared" si="200"/>
        <v>23400000</v>
      </c>
      <c r="P1741" s="166">
        <v>25</v>
      </c>
      <c r="Q1741" s="166">
        <f>6*4</f>
        <v>24</v>
      </c>
      <c r="R1741" s="164">
        <f>$L1741*'Pivot Objective'!$C$9*P1741*Q1741</f>
        <v>26744353.669799998</v>
      </c>
      <c r="S1741" s="166">
        <v>0</v>
      </c>
      <c r="T1741" s="166">
        <v>0</v>
      </c>
      <c r="U1741" s="164">
        <f>($L1741*'Pivot Objective'!$C$9^2)*S1741*T1741</f>
        <v>0</v>
      </c>
      <c r="V1741" s="166">
        <v>0</v>
      </c>
      <c r="W1741" s="166">
        <v>0</v>
      </c>
      <c r="X1741" s="164">
        <f>($L1741*'Pivot Objective'!$C$9^3)*V1741*W1741</f>
        <v>0</v>
      </c>
      <c r="Y1741" s="166">
        <v>0</v>
      </c>
      <c r="Z1741" s="166">
        <v>0</v>
      </c>
      <c r="AA1741" s="164">
        <f>($L1741*'Pivot Objective'!$C$9^4)*Y1741*Z1741</f>
        <v>0</v>
      </c>
      <c r="AB1741" s="166">
        <v>0</v>
      </c>
      <c r="AC1741" s="166">
        <v>0</v>
      </c>
      <c r="AD1741" s="164">
        <f>($L1741*'Pivot Objective'!$C$9^5)*AB1741*AC1741</f>
        <v>0</v>
      </c>
      <c r="AE1741" s="166">
        <v>25</v>
      </c>
      <c r="AF1741" s="166">
        <f>6*4</f>
        <v>24</v>
      </c>
      <c r="AG1741" s="164">
        <f>($L1741*'Pivot Objective'!$C$9^6)*AE1741*AF1741</f>
        <v>52157090.092935324</v>
      </c>
      <c r="AH1741" s="166">
        <v>0</v>
      </c>
      <c r="AI1741" s="166">
        <v>0</v>
      </c>
      <c r="AJ1741" s="164">
        <f>($L1741*'Pivot Objective'!$C$9^7)*AH1741*AI1741</f>
        <v>0</v>
      </c>
      <c r="AK1741" s="185">
        <f t="shared" si="201"/>
        <v>102301443.76273532</v>
      </c>
      <c r="AL1741" s="186">
        <f t="shared" si="202"/>
        <v>99321.790060908083</v>
      </c>
    </row>
    <row r="1742" spans="1:38" customFormat="1" ht="72" x14ac:dyDescent="0.3">
      <c r="A1742" s="140" t="s">
        <v>1486</v>
      </c>
      <c r="B1742" s="140">
        <v>3</v>
      </c>
      <c r="C1742" s="166" t="s">
        <v>696</v>
      </c>
      <c r="D1742" s="140" t="str">
        <f t="shared" si="198"/>
        <v>3</v>
      </c>
      <c r="E1742" s="166" t="s">
        <v>691</v>
      </c>
      <c r="F1742" s="140">
        <f t="shared" si="197"/>
        <v>1</v>
      </c>
      <c r="G1742" s="140" t="str">
        <f t="shared" si="199"/>
        <v>3.3.1</v>
      </c>
      <c r="H1742" s="181" t="s">
        <v>657</v>
      </c>
      <c r="I1742" s="166" t="s">
        <v>37</v>
      </c>
      <c r="J1742" s="166" t="s">
        <v>314</v>
      </c>
      <c r="K1742" s="166" t="s">
        <v>709</v>
      </c>
      <c r="L1742" s="167">
        <v>35000</v>
      </c>
      <c r="M1742" s="166">
        <v>25</v>
      </c>
      <c r="N1742" s="166">
        <f>5*4</f>
        <v>20</v>
      </c>
      <c r="O1742" s="164">
        <f t="shared" si="200"/>
        <v>17500000</v>
      </c>
      <c r="P1742" s="166">
        <v>25</v>
      </c>
      <c r="Q1742" s="166">
        <f>5*4</f>
        <v>20</v>
      </c>
      <c r="R1742" s="164">
        <f>$L1742*'Pivot Objective'!$C$9*P1742*Q1742</f>
        <v>20001119.197499998</v>
      </c>
      <c r="S1742" s="166">
        <v>0</v>
      </c>
      <c r="T1742" s="166">
        <v>0</v>
      </c>
      <c r="U1742" s="164">
        <f>($L1742*'Pivot Objective'!$C$9^2)*S1742*T1742</f>
        <v>0</v>
      </c>
      <c r="V1742" s="166">
        <v>0</v>
      </c>
      <c r="W1742" s="166">
        <v>0</v>
      </c>
      <c r="X1742" s="164">
        <f>($L1742*'Pivot Objective'!$C$9^3)*V1742*W1742</f>
        <v>0</v>
      </c>
      <c r="Y1742" s="166">
        <v>0</v>
      </c>
      <c r="Z1742" s="166">
        <v>0</v>
      </c>
      <c r="AA1742" s="164">
        <f>($L1742*'Pivot Objective'!$C$9^4)*Y1742*Z1742</f>
        <v>0</v>
      </c>
      <c r="AB1742" s="166">
        <v>0</v>
      </c>
      <c r="AC1742" s="166">
        <v>0</v>
      </c>
      <c r="AD1742" s="164">
        <f>($L1742*'Pivot Objective'!$C$9^5)*AB1742*AC1742</f>
        <v>0</v>
      </c>
      <c r="AE1742" s="166">
        <v>25</v>
      </c>
      <c r="AF1742" s="166">
        <f>5*4</f>
        <v>20</v>
      </c>
      <c r="AG1742" s="164">
        <f>($L1742*'Pivot Objective'!$C$9^6)*AE1742*AF1742</f>
        <v>39006370.795998633</v>
      </c>
      <c r="AH1742" s="166">
        <v>0</v>
      </c>
      <c r="AI1742" s="166">
        <v>0</v>
      </c>
      <c r="AJ1742" s="164">
        <f>($L1742*'Pivot Objective'!$C$9^7)*AH1742*AI1742</f>
        <v>0</v>
      </c>
      <c r="AK1742" s="185">
        <f t="shared" si="201"/>
        <v>76507489.993498623</v>
      </c>
      <c r="AL1742" s="186">
        <f t="shared" si="202"/>
        <v>74279.116498542353</v>
      </c>
    </row>
    <row r="1743" spans="1:38" customFormat="1" ht="72" x14ac:dyDescent="0.3">
      <c r="A1743" s="140" t="s">
        <v>1486</v>
      </c>
      <c r="B1743" s="140">
        <v>3</v>
      </c>
      <c r="C1743" s="166" t="s">
        <v>696</v>
      </c>
      <c r="D1743" s="140" t="str">
        <f t="shared" si="198"/>
        <v>3</v>
      </c>
      <c r="E1743" s="166" t="s">
        <v>691</v>
      </c>
      <c r="F1743" s="140">
        <f t="shared" si="197"/>
        <v>1</v>
      </c>
      <c r="G1743" s="140" t="str">
        <f t="shared" si="199"/>
        <v>3.3.1</v>
      </c>
      <c r="H1743" s="181" t="s">
        <v>657</v>
      </c>
      <c r="I1743" s="166" t="s">
        <v>37</v>
      </c>
      <c r="J1743" s="166" t="s">
        <v>314</v>
      </c>
      <c r="K1743" s="166" t="s">
        <v>712</v>
      </c>
      <c r="L1743" s="167">
        <f>1480/7</f>
        <v>211.42857142857142</v>
      </c>
      <c r="M1743" s="166">
        <f>2*25*9</f>
        <v>450</v>
      </c>
      <c r="N1743" s="166">
        <f>5*4</f>
        <v>20</v>
      </c>
      <c r="O1743" s="164">
        <f t="shared" si="200"/>
        <v>1902857.1428571427</v>
      </c>
      <c r="P1743" s="166">
        <f>2*25*9</f>
        <v>450</v>
      </c>
      <c r="Q1743" s="166">
        <f>5*4</f>
        <v>20</v>
      </c>
      <c r="R1743" s="164">
        <f>$L1743*'Pivot Objective'!$C$9*P1743*Q1743</f>
        <v>2174815.573148571</v>
      </c>
      <c r="S1743" s="166">
        <v>0</v>
      </c>
      <c r="T1743" s="166">
        <v>0</v>
      </c>
      <c r="U1743" s="164">
        <f>($L1743*'Pivot Objective'!$C$9^2)*S1743*T1743</f>
        <v>0</v>
      </c>
      <c r="V1743" s="166">
        <v>0</v>
      </c>
      <c r="W1743" s="166">
        <v>0</v>
      </c>
      <c r="X1743" s="164">
        <f>($L1743*'Pivot Objective'!$C$9^3)*V1743*W1743</f>
        <v>0</v>
      </c>
      <c r="Y1743" s="166">
        <v>0</v>
      </c>
      <c r="Z1743" s="166">
        <v>0</v>
      </c>
      <c r="AA1743" s="164">
        <f>($L1743*'Pivot Objective'!$C$9^4)*Y1743*Z1743</f>
        <v>0</v>
      </c>
      <c r="AB1743" s="166">
        <v>0</v>
      </c>
      <c r="AC1743" s="166">
        <v>0</v>
      </c>
      <c r="AD1743" s="164">
        <f>($L1743*'Pivot Objective'!$C$9^5)*AB1743*AC1743</f>
        <v>0</v>
      </c>
      <c r="AE1743" s="166">
        <f>2*25*9</f>
        <v>450</v>
      </c>
      <c r="AF1743" s="166">
        <f>5*4</f>
        <v>20</v>
      </c>
      <c r="AG1743" s="164">
        <f>($L1743*'Pivot Objective'!$C$9^6)*AE1743*AF1743</f>
        <v>4241345.7877771575</v>
      </c>
      <c r="AH1743" s="166">
        <v>0</v>
      </c>
      <c r="AI1743" s="166">
        <v>0</v>
      </c>
      <c r="AJ1743" s="164">
        <f>($L1743*'Pivot Objective'!$C$9^7)*AH1743*AI1743</f>
        <v>0</v>
      </c>
      <c r="AK1743" s="185">
        <f t="shared" si="201"/>
        <v>8319018.5037828712</v>
      </c>
      <c r="AL1743" s="186">
        <f t="shared" si="202"/>
        <v>8076.7169939639525</v>
      </c>
    </row>
    <row r="1744" spans="1:38" customFormat="1" ht="72" x14ac:dyDescent="0.3">
      <c r="A1744" s="140" t="s">
        <v>1486</v>
      </c>
      <c r="B1744" s="140">
        <v>3</v>
      </c>
      <c r="C1744" s="166" t="s">
        <v>696</v>
      </c>
      <c r="D1744" s="140" t="str">
        <f t="shared" si="198"/>
        <v>3</v>
      </c>
      <c r="E1744" s="166" t="s">
        <v>691</v>
      </c>
      <c r="F1744" s="140">
        <f t="shared" si="197"/>
        <v>1</v>
      </c>
      <c r="G1744" s="140" t="str">
        <f t="shared" si="199"/>
        <v>3.3.1</v>
      </c>
      <c r="H1744" s="181" t="s">
        <v>657</v>
      </c>
      <c r="I1744" s="166" t="s">
        <v>37</v>
      </c>
      <c r="J1744" s="166" t="s">
        <v>314</v>
      </c>
      <c r="K1744" s="166" t="s">
        <v>1299</v>
      </c>
      <c r="L1744" s="167">
        <f>1480/7</f>
        <v>211.42857142857142</v>
      </c>
      <c r="M1744" s="166">
        <f>2*135*9</f>
        <v>2430</v>
      </c>
      <c r="N1744" s="166">
        <v>4</v>
      </c>
      <c r="O1744" s="164">
        <f t="shared" si="200"/>
        <v>2055085.7142857141</v>
      </c>
      <c r="P1744" s="166">
        <f>2*135*9</f>
        <v>2430</v>
      </c>
      <c r="Q1744" s="166">
        <v>4</v>
      </c>
      <c r="R1744" s="164">
        <f>$L1744*'Pivot Objective'!$C$9*P1744*Q1744</f>
        <v>2348800.8190004569</v>
      </c>
      <c r="S1744" s="166"/>
      <c r="T1744" s="166"/>
      <c r="U1744" s="164">
        <f>($L1744*'Pivot Objective'!$C$9^2)*S1744*T1744</f>
        <v>0</v>
      </c>
      <c r="V1744" s="166"/>
      <c r="W1744" s="166"/>
      <c r="X1744" s="164">
        <f>($L1744*'Pivot Objective'!$C$9^3)*V1744*W1744</f>
        <v>0</v>
      </c>
      <c r="Y1744" s="166"/>
      <c r="Z1744" s="166"/>
      <c r="AA1744" s="164">
        <f>($L1744*'Pivot Objective'!$C$9^4)*Y1744*Z1744</f>
        <v>0</v>
      </c>
      <c r="AB1744" s="166"/>
      <c r="AC1744" s="166"/>
      <c r="AD1744" s="164">
        <f>($L1744*'Pivot Objective'!$C$9^5)*AB1744*AC1744</f>
        <v>0</v>
      </c>
      <c r="AE1744" s="166">
        <f>2*135*9</f>
        <v>2430</v>
      </c>
      <c r="AF1744" s="166">
        <v>4</v>
      </c>
      <c r="AG1744" s="164">
        <f>($L1744*'Pivot Objective'!$C$9^6)*AE1744*AF1744</f>
        <v>4580653.4507993301</v>
      </c>
      <c r="AH1744" s="166"/>
      <c r="AI1744" s="166"/>
      <c r="AJ1744" s="164">
        <f>($L1744*'Pivot Objective'!$C$9^7)*AH1744*AI1744</f>
        <v>0</v>
      </c>
      <c r="AK1744" s="185">
        <f t="shared" si="201"/>
        <v>8984539.9840855002</v>
      </c>
      <c r="AL1744" s="186">
        <f t="shared" si="202"/>
        <v>8722.8543534810688</v>
      </c>
    </row>
    <row r="1745" spans="1:38" customFormat="1" ht="72" x14ac:dyDescent="0.3">
      <c r="A1745" s="140" t="s">
        <v>1486</v>
      </c>
      <c r="B1745" s="140">
        <v>3</v>
      </c>
      <c r="C1745" s="166" t="s">
        <v>696</v>
      </c>
      <c r="D1745" s="140" t="str">
        <f t="shared" si="198"/>
        <v>3</v>
      </c>
      <c r="E1745" s="166" t="s">
        <v>691</v>
      </c>
      <c r="F1745" s="140">
        <f t="shared" si="197"/>
        <v>1</v>
      </c>
      <c r="G1745" s="140" t="str">
        <f t="shared" si="199"/>
        <v>3.3.1</v>
      </c>
      <c r="H1745" s="181" t="s">
        <v>657</v>
      </c>
      <c r="I1745" s="166" t="s">
        <v>37</v>
      </c>
      <c r="J1745" s="166" t="s">
        <v>315</v>
      </c>
      <c r="K1745" s="166" t="s">
        <v>709</v>
      </c>
      <c r="L1745" s="167">
        <v>35000</v>
      </c>
      <c r="M1745" s="166">
        <v>50</v>
      </c>
      <c r="N1745" s="166">
        <v>1</v>
      </c>
      <c r="O1745" s="164">
        <f t="shared" si="200"/>
        <v>1750000</v>
      </c>
      <c r="P1745" s="166">
        <v>50</v>
      </c>
      <c r="Q1745" s="166">
        <v>1</v>
      </c>
      <c r="R1745" s="164">
        <f>$L1745*'Pivot Objective'!$C$9*P1745*Q1745</f>
        <v>2000111.9197499997</v>
      </c>
      <c r="S1745" s="166">
        <v>0</v>
      </c>
      <c r="T1745" s="166">
        <v>0</v>
      </c>
      <c r="U1745" s="164">
        <f>($L1745*'Pivot Objective'!$C$9^2)*S1745*T1745</f>
        <v>0</v>
      </c>
      <c r="V1745" s="166">
        <v>0</v>
      </c>
      <c r="W1745" s="166">
        <v>0</v>
      </c>
      <c r="X1745" s="164">
        <f>($L1745*'Pivot Objective'!$C$9^3)*V1745*W1745</f>
        <v>0</v>
      </c>
      <c r="Y1745" s="166">
        <v>0</v>
      </c>
      <c r="Z1745" s="166">
        <v>0</v>
      </c>
      <c r="AA1745" s="164">
        <f>($L1745*'Pivot Objective'!$C$9^4)*Y1745*Z1745</f>
        <v>0</v>
      </c>
      <c r="AB1745" s="166">
        <v>0</v>
      </c>
      <c r="AC1745" s="166">
        <v>0</v>
      </c>
      <c r="AD1745" s="164">
        <f>($L1745*'Pivot Objective'!$C$9^5)*AB1745*AC1745</f>
        <v>0</v>
      </c>
      <c r="AE1745" s="166">
        <v>50</v>
      </c>
      <c r="AF1745" s="166">
        <v>1</v>
      </c>
      <c r="AG1745" s="164">
        <f>($L1745*'Pivot Objective'!$C$9^6)*AE1745*AF1745</f>
        <v>3900637.0795998634</v>
      </c>
      <c r="AH1745" s="166">
        <v>0</v>
      </c>
      <c r="AI1745" s="166">
        <v>0</v>
      </c>
      <c r="AJ1745" s="164">
        <f>($L1745*'Pivot Objective'!$C$9^7)*AH1745*AI1745</f>
        <v>0</v>
      </c>
      <c r="AK1745" s="185">
        <f t="shared" si="201"/>
        <v>7650748.9993498623</v>
      </c>
      <c r="AL1745" s="186">
        <f t="shared" si="202"/>
        <v>7427.9116498542353</v>
      </c>
    </row>
    <row r="1746" spans="1:38" customFormat="1" ht="72" x14ac:dyDescent="0.3">
      <c r="A1746" s="140" t="s">
        <v>1486</v>
      </c>
      <c r="B1746" s="140">
        <v>3</v>
      </c>
      <c r="C1746" s="166" t="s">
        <v>696</v>
      </c>
      <c r="D1746" s="140" t="str">
        <f t="shared" si="198"/>
        <v>3</v>
      </c>
      <c r="E1746" s="166" t="s">
        <v>691</v>
      </c>
      <c r="F1746" s="140">
        <f t="shared" si="197"/>
        <v>1</v>
      </c>
      <c r="G1746" s="140" t="str">
        <f t="shared" si="199"/>
        <v>3.3.1</v>
      </c>
      <c r="H1746" s="181" t="s">
        <v>657</v>
      </c>
      <c r="I1746" s="166" t="s">
        <v>37</v>
      </c>
      <c r="J1746" s="166" t="s">
        <v>1384</v>
      </c>
      <c r="K1746" s="166" t="s">
        <v>709</v>
      </c>
      <c r="L1746" s="167">
        <v>35000</v>
      </c>
      <c r="M1746" s="166">
        <v>58</v>
      </c>
      <c r="N1746" s="166">
        <v>5</v>
      </c>
      <c r="O1746" s="164">
        <f t="shared" si="200"/>
        <v>10150000</v>
      </c>
      <c r="P1746" s="166">
        <v>58</v>
      </c>
      <c r="Q1746" s="166">
        <v>5</v>
      </c>
      <c r="R1746" s="164">
        <f>$L1746*'Pivot Objective'!$C$9*P1746*Q1746</f>
        <v>11600649.134549998</v>
      </c>
      <c r="S1746" s="166">
        <v>0</v>
      </c>
      <c r="T1746" s="166">
        <v>0</v>
      </c>
      <c r="U1746" s="164">
        <f>($L1746*'Pivot Objective'!$C$9^2)*S1746*T1746</f>
        <v>0</v>
      </c>
      <c r="V1746" s="166">
        <v>0</v>
      </c>
      <c r="W1746" s="166">
        <v>0</v>
      </c>
      <c r="X1746" s="164">
        <f>($L1746*'Pivot Objective'!$C$9^3)*V1746*W1746</f>
        <v>0</v>
      </c>
      <c r="Y1746" s="166">
        <v>0</v>
      </c>
      <c r="Z1746" s="166">
        <v>0</v>
      </c>
      <c r="AA1746" s="164">
        <f>($L1746*'Pivot Objective'!$C$9^4)*Y1746*Z1746</f>
        <v>0</v>
      </c>
      <c r="AB1746" s="166">
        <v>0</v>
      </c>
      <c r="AC1746" s="166">
        <v>0</v>
      </c>
      <c r="AD1746" s="164">
        <f>($L1746*'Pivot Objective'!$C$9^5)*AB1746*AC1746</f>
        <v>0</v>
      </c>
      <c r="AE1746" s="166">
        <v>58</v>
      </c>
      <c r="AF1746" s="166">
        <v>5</v>
      </c>
      <c r="AG1746" s="164">
        <f>($L1746*'Pivot Objective'!$C$9^6)*AE1746*AF1746</f>
        <v>22623695.061679207</v>
      </c>
      <c r="AH1746" s="166">
        <v>0</v>
      </c>
      <c r="AI1746" s="166">
        <v>0</v>
      </c>
      <c r="AJ1746" s="164">
        <f>($L1746*'Pivot Objective'!$C$9^7)*AH1746*AI1746</f>
        <v>0</v>
      </c>
      <c r="AK1746" s="185">
        <f t="shared" si="201"/>
        <v>44374344.196229205</v>
      </c>
      <c r="AL1746" s="186">
        <f t="shared" si="202"/>
        <v>43081.887569154569</v>
      </c>
    </row>
    <row r="1747" spans="1:38" customFormat="1" ht="72" x14ac:dyDescent="0.3">
      <c r="A1747" s="140" t="s">
        <v>1486</v>
      </c>
      <c r="B1747" s="140">
        <v>3</v>
      </c>
      <c r="C1747" s="166" t="s">
        <v>696</v>
      </c>
      <c r="D1747" s="140" t="str">
        <f t="shared" si="198"/>
        <v>3</v>
      </c>
      <c r="E1747" s="166" t="s">
        <v>691</v>
      </c>
      <c r="F1747" s="140">
        <f t="shared" si="197"/>
        <v>1</v>
      </c>
      <c r="G1747" s="140" t="str">
        <f t="shared" si="199"/>
        <v>3.3.1</v>
      </c>
      <c r="H1747" s="181" t="s">
        <v>657</v>
      </c>
      <c r="I1747" s="166" t="s">
        <v>37</v>
      </c>
      <c r="J1747" s="166" t="s">
        <v>317</v>
      </c>
      <c r="K1747" s="166" t="s">
        <v>718</v>
      </c>
      <c r="L1747" s="167">
        <v>0</v>
      </c>
      <c r="M1747" s="166">
        <v>0</v>
      </c>
      <c r="N1747" s="166">
        <v>0</v>
      </c>
      <c r="O1747" s="164">
        <f t="shared" si="200"/>
        <v>0</v>
      </c>
      <c r="P1747" s="166">
        <v>0</v>
      </c>
      <c r="Q1747" s="166">
        <v>0</v>
      </c>
      <c r="R1747" s="164">
        <f>$L1747*'Pivot Objective'!$C$9*P1747*Q1747</f>
        <v>0</v>
      </c>
      <c r="S1747" s="166">
        <v>0</v>
      </c>
      <c r="T1747" s="166">
        <v>0</v>
      </c>
      <c r="U1747" s="164">
        <f>($L1747*'Pivot Objective'!$C$9^2)*S1747*T1747</f>
        <v>0</v>
      </c>
      <c r="V1747" s="166">
        <v>0</v>
      </c>
      <c r="W1747" s="166">
        <v>0</v>
      </c>
      <c r="X1747" s="164">
        <f>($L1747*'Pivot Objective'!$C$9^3)*V1747*W1747</f>
        <v>0</v>
      </c>
      <c r="Y1747" s="166">
        <v>0</v>
      </c>
      <c r="Z1747" s="166">
        <v>0</v>
      </c>
      <c r="AA1747" s="164">
        <f>($L1747*'Pivot Objective'!$C$9^4)*Y1747*Z1747</f>
        <v>0</v>
      </c>
      <c r="AB1747" s="166">
        <v>0</v>
      </c>
      <c r="AC1747" s="166">
        <v>0</v>
      </c>
      <c r="AD1747" s="164">
        <f>($L1747*'Pivot Objective'!$C$9^5)*AB1747*AC1747</f>
        <v>0</v>
      </c>
      <c r="AE1747" s="166">
        <v>0</v>
      </c>
      <c r="AF1747" s="166">
        <v>0</v>
      </c>
      <c r="AG1747" s="164">
        <f>($L1747*'Pivot Objective'!$C$9^6)*AE1747*AF1747</f>
        <v>0</v>
      </c>
      <c r="AH1747" s="166">
        <v>0</v>
      </c>
      <c r="AI1747" s="166">
        <v>0</v>
      </c>
      <c r="AJ1747" s="164">
        <f>($L1747*'Pivot Objective'!$C$9^7)*AH1747*AI1747</f>
        <v>0</v>
      </c>
      <c r="AK1747" s="185">
        <f t="shared" si="201"/>
        <v>0</v>
      </c>
      <c r="AL1747" s="186">
        <f t="shared" si="202"/>
        <v>0</v>
      </c>
    </row>
    <row r="1748" spans="1:38" customFormat="1" ht="72" x14ac:dyDescent="0.3">
      <c r="A1748" s="140" t="s">
        <v>1486</v>
      </c>
      <c r="B1748" s="140">
        <v>3</v>
      </c>
      <c r="C1748" s="166" t="s">
        <v>696</v>
      </c>
      <c r="D1748" s="140" t="str">
        <f t="shared" si="198"/>
        <v>3</v>
      </c>
      <c r="E1748" s="166" t="s">
        <v>691</v>
      </c>
      <c r="F1748" s="140">
        <f t="shared" si="197"/>
        <v>1</v>
      </c>
      <c r="G1748" s="140" t="str">
        <f t="shared" si="199"/>
        <v>3.3.1</v>
      </c>
      <c r="H1748" s="181" t="s">
        <v>657</v>
      </c>
      <c r="I1748" s="166" t="s">
        <v>37</v>
      </c>
      <c r="J1748" s="166" t="s">
        <v>318</v>
      </c>
      <c r="K1748" s="166" t="s">
        <v>716</v>
      </c>
      <c r="L1748" s="167">
        <v>39000</v>
      </c>
      <c r="M1748" s="166">
        <v>100</v>
      </c>
      <c r="N1748" s="166">
        <v>1</v>
      </c>
      <c r="O1748" s="164">
        <f t="shared" si="200"/>
        <v>3900000</v>
      </c>
      <c r="P1748" s="166">
        <v>100</v>
      </c>
      <c r="Q1748" s="166">
        <v>1</v>
      </c>
      <c r="R1748" s="164">
        <f>$L1748*'Pivot Objective'!$C$9*P1748*Q1748</f>
        <v>4457392.2782999994</v>
      </c>
      <c r="S1748" s="166">
        <v>0</v>
      </c>
      <c r="T1748" s="166">
        <v>0</v>
      </c>
      <c r="U1748" s="164">
        <f>($L1748*'Pivot Objective'!$C$9^2)*S1748*T1748</f>
        <v>0</v>
      </c>
      <c r="V1748" s="166">
        <v>0</v>
      </c>
      <c r="W1748" s="166">
        <v>0</v>
      </c>
      <c r="X1748" s="164">
        <f>($L1748*'Pivot Objective'!$C$9^3)*V1748*W1748</f>
        <v>0</v>
      </c>
      <c r="Y1748" s="166">
        <v>0</v>
      </c>
      <c r="Z1748" s="166">
        <v>0</v>
      </c>
      <c r="AA1748" s="164">
        <f>($L1748*'Pivot Objective'!$C$9^4)*Y1748*Z1748</f>
        <v>0</v>
      </c>
      <c r="AB1748" s="166">
        <v>0</v>
      </c>
      <c r="AC1748" s="166">
        <v>0</v>
      </c>
      <c r="AD1748" s="164">
        <f>($L1748*'Pivot Objective'!$C$9^5)*AB1748*AC1748</f>
        <v>0</v>
      </c>
      <c r="AE1748" s="166">
        <v>100</v>
      </c>
      <c r="AF1748" s="166">
        <v>1</v>
      </c>
      <c r="AG1748" s="164">
        <f>($L1748*'Pivot Objective'!$C$9^6)*AE1748*AF1748</f>
        <v>8692848.3488225546</v>
      </c>
      <c r="AH1748" s="166">
        <v>0</v>
      </c>
      <c r="AI1748" s="166">
        <v>0</v>
      </c>
      <c r="AJ1748" s="164">
        <f>($L1748*'Pivot Objective'!$C$9^7)*AH1748*AI1748</f>
        <v>0</v>
      </c>
      <c r="AK1748" s="185">
        <f t="shared" si="201"/>
        <v>17050240.627122555</v>
      </c>
      <c r="AL1748" s="186">
        <f t="shared" si="202"/>
        <v>16553.631676818015</v>
      </c>
    </row>
    <row r="1749" spans="1:38" customFormat="1" ht="72" x14ac:dyDescent="0.3">
      <c r="A1749" s="140" t="s">
        <v>1486</v>
      </c>
      <c r="B1749" s="140">
        <v>3</v>
      </c>
      <c r="C1749" s="166" t="s">
        <v>696</v>
      </c>
      <c r="D1749" s="140" t="str">
        <f t="shared" si="198"/>
        <v>3</v>
      </c>
      <c r="E1749" s="166" t="s">
        <v>691</v>
      </c>
      <c r="F1749" s="140">
        <f t="shared" si="197"/>
        <v>1</v>
      </c>
      <c r="G1749" s="140" t="str">
        <f t="shared" si="199"/>
        <v>3.3.1</v>
      </c>
      <c r="H1749" s="181" t="s">
        <v>657</v>
      </c>
      <c r="I1749" s="166" t="s">
        <v>37</v>
      </c>
      <c r="J1749" s="166" t="s">
        <v>318</v>
      </c>
      <c r="K1749" s="166" t="s">
        <v>709</v>
      </c>
      <c r="L1749" s="167">
        <v>35000</v>
      </c>
      <c r="M1749" s="166">
        <v>58</v>
      </c>
      <c r="N1749" s="166">
        <v>1</v>
      </c>
      <c r="O1749" s="164">
        <f t="shared" si="200"/>
        <v>2030000</v>
      </c>
      <c r="P1749" s="166">
        <v>58</v>
      </c>
      <c r="Q1749" s="166">
        <v>1</v>
      </c>
      <c r="R1749" s="164">
        <f>$L1749*'Pivot Objective'!$C$9*P1749*Q1749</f>
        <v>2320129.8269099994</v>
      </c>
      <c r="S1749" s="166">
        <v>0</v>
      </c>
      <c r="T1749" s="166">
        <v>0</v>
      </c>
      <c r="U1749" s="164">
        <f>($L1749*'Pivot Objective'!$C$9^2)*S1749*T1749</f>
        <v>0</v>
      </c>
      <c r="V1749" s="166">
        <v>0</v>
      </c>
      <c r="W1749" s="166">
        <v>0</v>
      </c>
      <c r="X1749" s="164">
        <f>($L1749*'Pivot Objective'!$C$9^3)*V1749*W1749</f>
        <v>0</v>
      </c>
      <c r="Y1749" s="166">
        <v>0</v>
      </c>
      <c r="Z1749" s="166">
        <v>0</v>
      </c>
      <c r="AA1749" s="164">
        <f>($L1749*'Pivot Objective'!$C$9^4)*Y1749*Z1749</f>
        <v>0</v>
      </c>
      <c r="AB1749" s="166">
        <v>0</v>
      </c>
      <c r="AC1749" s="166">
        <v>0</v>
      </c>
      <c r="AD1749" s="164">
        <f>($L1749*'Pivot Objective'!$C$9^5)*AB1749*AC1749</f>
        <v>0</v>
      </c>
      <c r="AE1749" s="166">
        <v>58</v>
      </c>
      <c r="AF1749" s="166">
        <v>1</v>
      </c>
      <c r="AG1749" s="164">
        <f>($L1749*'Pivot Objective'!$C$9^6)*AE1749*AF1749</f>
        <v>4524739.0123358415</v>
      </c>
      <c r="AH1749" s="166">
        <v>0</v>
      </c>
      <c r="AI1749" s="166">
        <v>0</v>
      </c>
      <c r="AJ1749" s="164">
        <f>($L1749*'Pivot Objective'!$C$9^7)*AH1749*AI1749</f>
        <v>0</v>
      </c>
      <c r="AK1749" s="185">
        <f t="shared" si="201"/>
        <v>8874868.8392458409</v>
      </c>
      <c r="AL1749" s="186">
        <f t="shared" si="202"/>
        <v>8616.3775138309138</v>
      </c>
    </row>
    <row r="1750" spans="1:38" customFormat="1" ht="72" x14ac:dyDescent="0.3">
      <c r="A1750" s="140" t="s">
        <v>1486</v>
      </c>
      <c r="B1750" s="140">
        <v>3</v>
      </c>
      <c r="C1750" s="166" t="s">
        <v>696</v>
      </c>
      <c r="D1750" s="140" t="str">
        <f t="shared" si="198"/>
        <v>3</v>
      </c>
      <c r="E1750" s="166" t="s">
        <v>691</v>
      </c>
      <c r="F1750" s="140">
        <f t="shared" si="197"/>
        <v>1</v>
      </c>
      <c r="G1750" s="140" t="str">
        <f t="shared" si="199"/>
        <v>3.3.1</v>
      </c>
      <c r="H1750" s="181" t="s">
        <v>657</v>
      </c>
      <c r="I1750" s="166" t="s">
        <v>37</v>
      </c>
      <c r="J1750" s="166" t="s">
        <v>318</v>
      </c>
      <c r="K1750" s="166" t="s">
        <v>712</v>
      </c>
      <c r="L1750" s="167">
        <f>1480/7</f>
        <v>211.42857142857142</v>
      </c>
      <c r="M1750" s="166">
        <f>2*25*29</f>
        <v>1450</v>
      </c>
      <c r="N1750" s="166">
        <v>1</v>
      </c>
      <c r="O1750" s="164">
        <f t="shared" si="200"/>
        <v>306571.42857142858</v>
      </c>
      <c r="P1750" s="166">
        <f>2*25*29</f>
        <v>1450</v>
      </c>
      <c r="Q1750" s="166">
        <v>1</v>
      </c>
      <c r="R1750" s="164">
        <f>$L1750*'Pivot Objective'!$C$9*P1750*Q1750</f>
        <v>350386.95345171425</v>
      </c>
      <c r="S1750" s="166">
        <v>0</v>
      </c>
      <c r="T1750" s="166">
        <v>0</v>
      </c>
      <c r="U1750" s="164">
        <f>($L1750*'Pivot Objective'!$C$9^2)*S1750*T1750</f>
        <v>0</v>
      </c>
      <c r="V1750" s="166">
        <v>0</v>
      </c>
      <c r="W1750" s="166">
        <v>0</v>
      </c>
      <c r="X1750" s="164">
        <f>($L1750*'Pivot Objective'!$C$9^3)*V1750*W1750</f>
        <v>0</v>
      </c>
      <c r="Y1750" s="166">
        <v>0</v>
      </c>
      <c r="Z1750" s="166">
        <v>0</v>
      </c>
      <c r="AA1750" s="164">
        <f>($L1750*'Pivot Objective'!$C$9^4)*Y1750*Z1750</f>
        <v>0</v>
      </c>
      <c r="AB1750" s="166">
        <v>0</v>
      </c>
      <c r="AC1750" s="166">
        <v>0</v>
      </c>
      <c r="AD1750" s="164">
        <f>($L1750*'Pivot Objective'!$C$9^5)*AB1750*AC1750</f>
        <v>0</v>
      </c>
      <c r="AE1750" s="166">
        <f>2*25*29</f>
        <v>1450</v>
      </c>
      <c r="AF1750" s="166">
        <v>1</v>
      </c>
      <c r="AG1750" s="164">
        <f>($L1750*'Pivot Objective'!$C$9^6)*AE1750*AF1750</f>
        <v>683327.93247520877</v>
      </c>
      <c r="AH1750" s="166">
        <v>0</v>
      </c>
      <c r="AI1750" s="166">
        <v>0</v>
      </c>
      <c r="AJ1750" s="164">
        <f>($L1750*'Pivot Objective'!$C$9^7)*AH1750*AI1750</f>
        <v>0</v>
      </c>
      <c r="AK1750" s="185">
        <f t="shared" si="201"/>
        <v>1340286.3144983517</v>
      </c>
      <c r="AL1750" s="186">
        <f t="shared" si="202"/>
        <v>1301.2488490275259</v>
      </c>
    </row>
    <row r="1751" spans="1:38" customFormat="1" ht="72" x14ac:dyDescent="0.3">
      <c r="A1751" s="140" t="s">
        <v>1486</v>
      </c>
      <c r="B1751" s="140">
        <v>3</v>
      </c>
      <c r="C1751" s="166" t="s">
        <v>696</v>
      </c>
      <c r="D1751" s="140" t="str">
        <f t="shared" si="198"/>
        <v>3</v>
      </c>
      <c r="E1751" s="166" t="s">
        <v>691</v>
      </c>
      <c r="F1751" s="140">
        <f t="shared" si="197"/>
        <v>1</v>
      </c>
      <c r="G1751" s="140" t="str">
        <f t="shared" si="199"/>
        <v>3.3.1</v>
      </c>
      <c r="H1751" s="181" t="s">
        <v>657</v>
      </c>
      <c r="I1751" s="166" t="s">
        <v>37</v>
      </c>
      <c r="J1751" s="166" t="s">
        <v>318</v>
      </c>
      <c r="K1751" s="166" t="s">
        <v>1299</v>
      </c>
      <c r="L1751" s="167">
        <f>1480/7</f>
        <v>211.42857142857142</v>
      </c>
      <c r="M1751" s="166">
        <v>22500</v>
      </c>
      <c r="N1751" s="166">
        <v>1</v>
      </c>
      <c r="O1751" s="164">
        <f t="shared" si="200"/>
        <v>4757142.8571428573</v>
      </c>
      <c r="P1751" s="166">
        <v>22500</v>
      </c>
      <c r="Q1751" s="166">
        <v>1</v>
      </c>
      <c r="R1751" s="164">
        <f>$L1751*'Pivot Objective'!$C$9*P1751*Q1751</f>
        <v>5437038.9328714283</v>
      </c>
      <c r="S1751" s="166"/>
      <c r="T1751" s="166"/>
      <c r="U1751" s="164">
        <f>($L1751*'Pivot Objective'!$C$9^2)*S1751*T1751</f>
        <v>0</v>
      </c>
      <c r="V1751" s="166"/>
      <c r="W1751" s="166"/>
      <c r="X1751" s="164">
        <f>($L1751*'Pivot Objective'!$C$9^3)*V1751*W1751</f>
        <v>0</v>
      </c>
      <c r="Y1751" s="166"/>
      <c r="Z1751" s="166"/>
      <c r="AA1751" s="164">
        <f>($L1751*'Pivot Objective'!$C$9^4)*Y1751*Z1751</f>
        <v>0</v>
      </c>
      <c r="AB1751" s="166"/>
      <c r="AC1751" s="166"/>
      <c r="AD1751" s="164">
        <f>($L1751*'Pivot Objective'!$C$9^5)*AB1751*AC1751</f>
        <v>0</v>
      </c>
      <c r="AE1751" s="166">
        <v>22500</v>
      </c>
      <c r="AF1751" s="166">
        <v>1</v>
      </c>
      <c r="AG1751" s="164">
        <f>($L1751*'Pivot Objective'!$C$9^6)*AE1751*AF1751</f>
        <v>10603364.469442895</v>
      </c>
      <c r="AH1751" s="166"/>
      <c r="AI1751" s="166"/>
      <c r="AJ1751" s="164">
        <f>($L1751*'Pivot Objective'!$C$9^7)*AH1751*AI1751</f>
        <v>0</v>
      </c>
      <c r="AK1751" s="185">
        <f t="shared" si="201"/>
        <v>20797546.259457178</v>
      </c>
      <c r="AL1751" s="186">
        <f t="shared" si="202"/>
        <v>20191.792484909882</v>
      </c>
    </row>
    <row r="1752" spans="1:38" customFormat="1" ht="72" x14ac:dyDescent="0.3">
      <c r="A1752" s="140" t="s">
        <v>1486</v>
      </c>
      <c r="B1752" s="140">
        <v>3</v>
      </c>
      <c r="C1752" s="166" t="s">
        <v>696</v>
      </c>
      <c r="D1752" s="140" t="str">
        <f t="shared" si="198"/>
        <v>3</v>
      </c>
      <c r="E1752" s="166" t="s">
        <v>691</v>
      </c>
      <c r="F1752" s="140">
        <f t="shared" si="197"/>
        <v>1</v>
      </c>
      <c r="G1752" s="140" t="str">
        <f t="shared" si="199"/>
        <v>3.3.1</v>
      </c>
      <c r="H1752" s="181" t="s">
        <v>657</v>
      </c>
      <c r="I1752" s="166" t="s">
        <v>37</v>
      </c>
      <c r="J1752" s="166" t="s">
        <v>318</v>
      </c>
      <c r="K1752" s="166" t="s">
        <v>1318</v>
      </c>
      <c r="L1752" s="167">
        <v>8000</v>
      </c>
      <c r="M1752" s="166"/>
      <c r="N1752" s="166"/>
      <c r="O1752" s="164">
        <f t="shared" si="200"/>
        <v>0</v>
      </c>
      <c r="P1752" s="166"/>
      <c r="Q1752" s="166"/>
      <c r="R1752" s="164">
        <f>$L1752*'Pivot Objective'!$C$9*P1752*Q1752</f>
        <v>0</v>
      </c>
      <c r="S1752" s="166"/>
      <c r="T1752" s="166"/>
      <c r="U1752" s="164">
        <f>($L1752*'Pivot Objective'!$C$9^2)*S1752*T1752</f>
        <v>0</v>
      </c>
      <c r="V1752" s="166"/>
      <c r="W1752" s="166"/>
      <c r="X1752" s="164">
        <f>($L1752*'Pivot Objective'!$C$9^3)*V1752*W1752</f>
        <v>0</v>
      </c>
      <c r="Y1752" s="166"/>
      <c r="Z1752" s="166"/>
      <c r="AA1752" s="164">
        <f>($L1752*'Pivot Objective'!$C$9^4)*Y1752*Z1752</f>
        <v>0</v>
      </c>
      <c r="AB1752" s="166"/>
      <c r="AC1752" s="166"/>
      <c r="AD1752" s="164">
        <f>($L1752*'Pivot Objective'!$C$9^5)*AB1752*AC1752</f>
        <v>0</v>
      </c>
      <c r="AE1752" s="166"/>
      <c r="AF1752" s="166"/>
      <c r="AG1752" s="164">
        <f>($L1752*'Pivot Objective'!$C$9^6)*AE1752*AF1752</f>
        <v>0</v>
      </c>
      <c r="AH1752" s="166"/>
      <c r="AI1752" s="166"/>
      <c r="AJ1752" s="164">
        <f>($L1752*'Pivot Objective'!$C$9^7)*AH1752*AI1752</f>
        <v>0</v>
      </c>
      <c r="AK1752" s="185">
        <f t="shared" si="201"/>
        <v>0</v>
      </c>
      <c r="AL1752" s="186">
        <f t="shared" si="202"/>
        <v>0</v>
      </c>
    </row>
    <row r="1753" spans="1:38" customFormat="1" ht="72" x14ac:dyDescent="0.3">
      <c r="A1753" s="140" t="s">
        <v>1486</v>
      </c>
      <c r="B1753" s="140">
        <v>3</v>
      </c>
      <c r="C1753" s="166" t="s">
        <v>696</v>
      </c>
      <c r="D1753" s="140" t="str">
        <f t="shared" si="198"/>
        <v>3</v>
      </c>
      <c r="E1753" s="166" t="s">
        <v>691</v>
      </c>
      <c r="F1753" s="140">
        <f t="shared" si="197"/>
        <v>1</v>
      </c>
      <c r="G1753" s="140" t="str">
        <f t="shared" si="199"/>
        <v>3.3.1</v>
      </c>
      <c r="H1753" s="181" t="s">
        <v>657</v>
      </c>
      <c r="I1753" s="166" t="s">
        <v>37</v>
      </c>
      <c r="J1753" s="166" t="s">
        <v>318</v>
      </c>
      <c r="K1753" s="166" t="s">
        <v>717</v>
      </c>
      <c r="L1753" s="182">
        <v>104850</v>
      </c>
      <c r="M1753" s="182">
        <v>1</v>
      </c>
      <c r="N1753" s="166">
        <v>1</v>
      </c>
      <c r="O1753" s="164">
        <f t="shared" si="200"/>
        <v>104850</v>
      </c>
      <c r="P1753" s="182"/>
      <c r="Q1753" s="166"/>
      <c r="R1753" s="164">
        <f>$L1753*'Pivot Objective'!$C$9*P1753*Q1753</f>
        <v>0</v>
      </c>
      <c r="S1753" s="166"/>
      <c r="T1753" s="166"/>
      <c r="U1753" s="164">
        <f>($L1753*'Pivot Objective'!$C$9^2)*S1753*T1753</f>
        <v>0</v>
      </c>
      <c r="V1753" s="166"/>
      <c r="W1753" s="166"/>
      <c r="X1753" s="164">
        <f>($L1753*'Pivot Objective'!$C$9^3)*V1753*W1753</f>
        <v>0</v>
      </c>
      <c r="Y1753" s="166"/>
      <c r="Z1753" s="166"/>
      <c r="AA1753" s="164">
        <f>($L1753*'Pivot Objective'!$C$9^4)*Y1753*Z1753</f>
        <v>0</v>
      </c>
      <c r="AB1753" s="166"/>
      <c r="AC1753" s="166"/>
      <c r="AD1753" s="164">
        <f>($L1753*'Pivot Objective'!$C$9^5)*AB1753*AC1753</f>
        <v>0</v>
      </c>
      <c r="AE1753" s="182"/>
      <c r="AF1753" s="166"/>
      <c r="AG1753" s="164">
        <f>($L1753*'Pivot Objective'!$C$9^6)*AE1753*AF1753</f>
        <v>0</v>
      </c>
      <c r="AH1753" s="166"/>
      <c r="AI1753" s="166"/>
      <c r="AJ1753" s="164">
        <f>($L1753*'Pivot Objective'!$C$9^7)*AH1753*AI1753</f>
        <v>0</v>
      </c>
      <c r="AK1753" s="185">
        <f t="shared" si="201"/>
        <v>104850</v>
      </c>
      <c r="AL1753" s="186">
        <f t="shared" si="202"/>
        <v>101.79611650485437</v>
      </c>
    </row>
    <row r="1754" spans="1:38" customFormat="1" ht="57.6" x14ac:dyDescent="0.3">
      <c r="A1754" s="140" t="s">
        <v>1486</v>
      </c>
      <c r="B1754" s="140">
        <v>3</v>
      </c>
      <c r="C1754" s="166" t="s">
        <v>696</v>
      </c>
      <c r="D1754" s="140" t="str">
        <f t="shared" si="198"/>
        <v>3</v>
      </c>
      <c r="E1754" s="166" t="s">
        <v>691</v>
      </c>
      <c r="F1754" s="140">
        <f t="shared" si="197"/>
        <v>1</v>
      </c>
      <c r="G1754" s="140" t="str">
        <f t="shared" si="199"/>
        <v>3.3.1</v>
      </c>
      <c r="H1754" s="181" t="s">
        <v>657</v>
      </c>
      <c r="I1754" s="166" t="s">
        <v>38</v>
      </c>
      <c r="J1754" s="166" t="s">
        <v>319</v>
      </c>
      <c r="K1754" s="166" t="s">
        <v>725</v>
      </c>
      <c r="L1754" s="167">
        <f>50000*1022</f>
        <v>51100000</v>
      </c>
      <c r="M1754" s="166">
        <v>0</v>
      </c>
      <c r="N1754" s="166">
        <v>0</v>
      </c>
      <c r="O1754" s="164">
        <f t="shared" si="200"/>
        <v>0</v>
      </c>
      <c r="P1754" s="166">
        <v>0</v>
      </c>
      <c r="Q1754" s="166">
        <v>0</v>
      </c>
      <c r="R1754" s="164">
        <f>$L1754*'Pivot Objective'!$C$9*P1754*Q1754</f>
        <v>0</v>
      </c>
      <c r="S1754" s="166">
        <v>5</v>
      </c>
      <c r="T1754" s="166">
        <v>1</v>
      </c>
      <c r="U1754" s="164">
        <f>($L1754*'Pivot Objective'!$C$9^2)*S1754*T1754</f>
        <v>333751635.97874308</v>
      </c>
      <c r="V1754" s="166">
        <v>5</v>
      </c>
      <c r="W1754" s="166">
        <v>1</v>
      </c>
      <c r="X1754" s="164">
        <f>($L1754*'Pivot Objective'!$C$9^3)*V1754*W1754</f>
        <v>381451785.91836965</v>
      </c>
      <c r="Y1754" s="166">
        <v>5</v>
      </c>
      <c r="Z1754" s="166">
        <v>1</v>
      </c>
      <c r="AA1754" s="164">
        <f>($L1754*'Pivot Objective'!$C$9^4)*Y1754*Z1754</f>
        <v>435969293.61443216</v>
      </c>
      <c r="AB1754" s="166">
        <v>0</v>
      </c>
      <c r="AC1754" s="166">
        <v>0</v>
      </c>
      <c r="AD1754" s="164">
        <f>($L1754*'Pivot Objective'!$C$9^5)*AB1754*AC1754</f>
        <v>0</v>
      </c>
      <c r="AE1754" s="166">
        <v>0</v>
      </c>
      <c r="AF1754" s="166">
        <v>0</v>
      </c>
      <c r="AG1754" s="164">
        <f>($L1754*'Pivot Objective'!$C$9^6)*AE1754*AF1754</f>
        <v>0</v>
      </c>
      <c r="AH1754" s="166">
        <v>0</v>
      </c>
      <c r="AI1754" s="166">
        <v>0</v>
      </c>
      <c r="AJ1754" s="164">
        <f>($L1754*'Pivot Objective'!$C$9^7)*AH1754*AI1754</f>
        <v>0</v>
      </c>
      <c r="AK1754" s="185">
        <f t="shared" si="201"/>
        <v>1151172715.5115449</v>
      </c>
      <c r="AL1754" s="186">
        <f t="shared" si="202"/>
        <v>1117643.4131180048</v>
      </c>
    </row>
    <row r="1755" spans="1:38" customFormat="1" ht="57.6" x14ac:dyDescent="0.3">
      <c r="A1755" s="140" t="s">
        <v>1486</v>
      </c>
      <c r="B1755" s="140">
        <v>3</v>
      </c>
      <c r="C1755" s="166" t="s">
        <v>696</v>
      </c>
      <c r="D1755" s="140" t="str">
        <f t="shared" si="198"/>
        <v>3</v>
      </c>
      <c r="E1755" s="166" t="s">
        <v>691</v>
      </c>
      <c r="F1755" s="140">
        <f t="shared" si="197"/>
        <v>1</v>
      </c>
      <c r="G1755" s="140" t="str">
        <f t="shared" si="199"/>
        <v>3.3.1</v>
      </c>
      <c r="H1755" s="181" t="s">
        <v>657</v>
      </c>
      <c r="I1755" s="166" t="s">
        <v>38</v>
      </c>
      <c r="J1755" s="166" t="s">
        <v>320</v>
      </c>
      <c r="K1755" s="166" t="s">
        <v>725</v>
      </c>
      <c r="L1755" s="167">
        <f>50000*1022</f>
        <v>51100000</v>
      </c>
      <c r="M1755" s="166">
        <v>0</v>
      </c>
      <c r="N1755" s="166">
        <v>0</v>
      </c>
      <c r="O1755" s="164">
        <f t="shared" si="200"/>
        <v>0</v>
      </c>
      <c r="P1755" s="166">
        <v>0</v>
      </c>
      <c r="Q1755" s="166">
        <v>0</v>
      </c>
      <c r="R1755" s="164">
        <f>$L1755*'Pivot Objective'!$C$9*P1755*Q1755</f>
        <v>0</v>
      </c>
      <c r="S1755" s="166">
        <v>10</v>
      </c>
      <c r="T1755" s="166">
        <v>1</v>
      </c>
      <c r="U1755" s="164">
        <f>($L1755*'Pivot Objective'!$C$9^2)*S1755*T1755</f>
        <v>667503271.95748615</v>
      </c>
      <c r="V1755" s="166">
        <v>10</v>
      </c>
      <c r="W1755" s="166">
        <v>1</v>
      </c>
      <c r="X1755" s="164">
        <f>($L1755*'Pivot Objective'!$C$9^3)*V1755*W1755</f>
        <v>762903571.8367393</v>
      </c>
      <c r="Y1755" s="166">
        <v>9</v>
      </c>
      <c r="Z1755" s="166">
        <v>1</v>
      </c>
      <c r="AA1755" s="164">
        <f>($L1755*'Pivot Objective'!$C$9^4)*Y1755*Z1755</f>
        <v>784744728.50597787</v>
      </c>
      <c r="AB1755" s="166">
        <v>0</v>
      </c>
      <c r="AC1755" s="166">
        <v>0</v>
      </c>
      <c r="AD1755" s="164">
        <f>($L1755*'Pivot Objective'!$C$9^5)*AB1755*AC1755</f>
        <v>0</v>
      </c>
      <c r="AE1755" s="166">
        <v>0</v>
      </c>
      <c r="AF1755" s="166">
        <v>0</v>
      </c>
      <c r="AG1755" s="164">
        <f>($L1755*'Pivot Objective'!$C$9^6)*AE1755*AF1755</f>
        <v>0</v>
      </c>
      <c r="AH1755" s="166">
        <v>0</v>
      </c>
      <c r="AI1755" s="166">
        <v>0</v>
      </c>
      <c r="AJ1755" s="164">
        <f>($L1755*'Pivot Objective'!$C$9^7)*AH1755*AI1755</f>
        <v>0</v>
      </c>
      <c r="AK1755" s="185">
        <f t="shared" si="201"/>
        <v>2215151572.3002033</v>
      </c>
      <c r="AL1755" s="186">
        <f t="shared" si="202"/>
        <v>2150632.5944662169</v>
      </c>
    </row>
    <row r="1756" spans="1:38" customFormat="1" ht="57.6" x14ac:dyDescent="0.3">
      <c r="A1756" s="140" t="s">
        <v>1486</v>
      </c>
      <c r="B1756" s="140">
        <v>3</v>
      </c>
      <c r="C1756" s="166" t="s">
        <v>696</v>
      </c>
      <c r="D1756" s="140" t="str">
        <f t="shared" si="198"/>
        <v>3</v>
      </c>
      <c r="E1756" s="166" t="s">
        <v>691</v>
      </c>
      <c r="F1756" s="140">
        <f t="shared" ref="F1756:F1819" si="203">IF(H1756=H1755,F1755,F1755+1)</f>
        <v>1</v>
      </c>
      <c r="G1756" s="140" t="str">
        <f t="shared" si="199"/>
        <v>3.3.1</v>
      </c>
      <c r="H1756" s="181" t="s">
        <v>657</v>
      </c>
      <c r="I1756" s="166" t="s">
        <v>38</v>
      </c>
      <c r="J1756" s="166" t="s">
        <v>1385</v>
      </c>
      <c r="K1756" s="166" t="s">
        <v>746</v>
      </c>
      <c r="L1756" s="183">
        <v>2000</v>
      </c>
      <c r="M1756" s="166">
        <v>0</v>
      </c>
      <c r="N1756" s="166">
        <v>0</v>
      </c>
      <c r="O1756" s="164">
        <f t="shared" si="200"/>
        <v>0</v>
      </c>
      <c r="P1756" s="166"/>
      <c r="Q1756" s="166">
        <v>0</v>
      </c>
      <c r="R1756" s="164">
        <f>$L1756*'Pivot Objective'!$C$9*P1756*Q1756</f>
        <v>0</v>
      </c>
      <c r="S1756" s="166">
        <v>300</v>
      </c>
      <c r="T1756" s="166">
        <v>1</v>
      </c>
      <c r="U1756" s="164">
        <f>($L1756*'Pivot Objective'!$C$9^2)*S1756*T1756</f>
        <v>783761.18038060993</v>
      </c>
      <c r="V1756" s="166">
        <v>300</v>
      </c>
      <c r="W1756" s="166">
        <v>1</v>
      </c>
      <c r="X1756" s="164">
        <f>($L1756*'Pivot Objective'!$C$9^3)*V1756*W1756</f>
        <v>895777.18806662154</v>
      </c>
      <c r="Y1756" s="166">
        <v>300</v>
      </c>
      <c r="Z1756" s="166">
        <v>1</v>
      </c>
      <c r="AA1756" s="164">
        <f>($L1756*'Pivot Objective'!$C$9^4)*Y1756*Z1756</f>
        <v>1023802.6464526783</v>
      </c>
      <c r="AB1756" s="166">
        <v>0</v>
      </c>
      <c r="AC1756" s="166">
        <v>0</v>
      </c>
      <c r="AD1756" s="164">
        <f>($L1756*'Pivot Objective'!$C$9^5)*AB1756*AC1756</f>
        <v>0</v>
      </c>
      <c r="AE1756" s="166">
        <v>0</v>
      </c>
      <c r="AF1756" s="166">
        <v>0</v>
      </c>
      <c r="AG1756" s="164">
        <f>($L1756*'Pivot Objective'!$C$9^6)*AE1756*AF1756</f>
        <v>0</v>
      </c>
      <c r="AH1756" s="166">
        <v>0</v>
      </c>
      <c r="AI1756" s="166">
        <v>0</v>
      </c>
      <c r="AJ1756" s="164">
        <f>($L1756*'Pivot Objective'!$C$9^7)*AH1756*AI1756</f>
        <v>0</v>
      </c>
      <c r="AK1756" s="185">
        <f t="shared" si="201"/>
        <v>2703341.01489991</v>
      </c>
      <c r="AL1756" s="186">
        <f t="shared" si="202"/>
        <v>2624.6029270872914</v>
      </c>
    </row>
    <row r="1757" spans="1:38" customFormat="1" ht="57.6" x14ac:dyDescent="0.3">
      <c r="A1757" s="140" t="s">
        <v>1486</v>
      </c>
      <c r="B1757" s="140">
        <v>3</v>
      </c>
      <c r="C1757" s="166" t="s">
        <v>696</v>
      </c>
      <c r="D1757" s="140" t="str">
        <f t="shared" si="198"/>
        <v>3</v>
      </c>
      <c r="E1757" s="166" t="s">
        <v>691</v>
      </c>
      <c r="F1757" s="140">
        <f t="shared" si="203"/>
        <v>1</v>
      </c>
      <c r="G1757" s="140" t="str">
        <f t="shared" si="199"/>
        <v>3.3.1</v>
      </c>
      <c r="H1757" s="181" t="s">
        <v>657</v>
      </c>
      <c r="I1757" s="166" t="s">
        <v>38</v>
      </c>
      <c r="J1757" s="166" t="s">
        <v>322</v>
      </c>
      <c r="K1757" s="166" t="s">
        <v>718</v>
      </c>
      <c r="L1757" s="167">
        <v>0</v>
      </c>
      <c r="M1757" s="166">
        <v>0</v>
      </c>
      <c r="N1757" s="166">
        <v>0</v>
      </c>
      <c r="O1757" s="164">
        <f t="shared" si="200"/>
        <v>0</v>
      </c>
      <c r="P1757" s="166">
        <v>0</v>
      </c>
      <c r="Q1757" s="166">
        <v>0</v>
      </c>
      <c r="R1757" s="164">
        <f>$L1757*'Pivot Objective'!$C$9*P1757*Q1757</f>
        <v>0</v>
      </c>
      <c r="S1757" s="166">
        <v>0</v>
      </c>
      <c r="T1757" s="166">
        <v>0</v>
      </c>
      <c r="U1757" s="164">
        <f>($L1757*'Pivot Objective'!$C$9^2)*S1757*T1757</f>
        <v>0</v>
      </c>
      <c r="V1757" s="166"/>
      <c r="W1757" s="166">
        <v>0</v>
      </c>
      <c r="X1757" s="164">
        <f>($L1757*'Pivot Objective'!$C$9^3)*V1757*W1757</f>
        <v>0</v>
      </c>
      <c r="Y1757" s="166">
        <v>0</v>
      </c>
      <c r="Z1757" s="166">
        <v>0</v>
      </c>
      <c r="AA1757" s="164">
        <f>($L1757*'Pivot Objective'!$C$9^4)*Y1757*Z1757</f>
        <v>0</v>
      </c>
      <c r="AB1757" s="166">
        <v>0</v>
      </c>
      <c r="AC1757" s="166">
        <v>0</v>
      </c>
      <c r="AD1757" s="164">
        <f>($L1757*'Pivot Objective'!$C$9^5)*AB1757*AC1757</f>
        <v>0</v>
      </c>
      <c r="AE1757" s="166">
        <v>0</v>
      </c>
      <c r="AF1757" s="166">
        <v>0</v>
      </c>
      <c r="AG1757" s="164">
        <f>($L1757*'Pivot Objective'!$C$9^6)*AE1757*AF1757</f>
        <v>0</v>
      </c>
      <c r="AH1757" s="166">
        <v>0</v>
      </c>
      <c r="AI1757" s="166">
        <v>0</v>
      </c>
      <c r="AJ1757" s="164">
        <f>($L1757*'Pivot Objective'!$C$9^7)*AH1757*AI1757</f>
        <v>0</v>
      </c>
      <c r="AK1757" s="185">
        <f t="shared" si="201"/>
        <v>0</v>
      </c>
      <c r="AL1757" s="186">
        <f t="shared" si="202"/>
        <v>0</v>
      </c>
    </row>
    <row r="1758" spans="1:38" customFormat="1" ht="43.2" x14ac:dyDescent="0.3">
      <c r="A1758" s="140" t="s">
        <v>1486</v>
      </c>
      <c r="B1758" s="140">
        <v>3</v>
      </c>
      <c r="C1758" s="166" t="s">
        <v>696</v>
      </c>
      <c r="D1758" s="140" t="str">
        <f t="shared" si="198"/>
        <v>3</v>
      </c>
      <c r="E1758" s="166" t="s">
        <v>691</v>
      </c>
      <c r="F1758" s="140">
        <f t="shared" si="203"/>
        <v>1</v>
      </c>
      <c r="G1758" s="140" t="str">
        <f t="shared" si="199"/>
        <v>3.3.1</v>
      </c>
      <c r="H1758" s="181" t="s">
        <v>657</v>
      </c>
      <c r="I1758" s="166" t="s">
        <v>39</v>
      </c>
      <c r="J1758" s="166" t="s">
        <v>149</v>
      </c>
      <c r="K1758" s="166" t="s">
        <v>707</v>
      </c>
      <c r="L1758" s="167">
        <v>391991.03749999998</v>
      </c>
      <c r="M1758" s="166">
        <v>2</v>
      </c>
      <c r="N1758" s="166">
        <v>2</v>
      </c>
      <c r="O1758" s="164">
        <f t="shared" si="200"/>
        <v>1567964.15</v>
      </c>
      <c r="P1758" s="166">
        <v>1</v>
      </c>
      <c r="Q1758" s="166">
        <v>4</v>
      </c>
      <c r="R1758" s="164">
        <f>$L1758*'Pivot Objective'!$C$9*P1758*Q1758</f>
        <v>1792059.3063746723</v>
      </c>
      <c r="S1758" s="166">
        <v>0</v>
      </c>
      <c r="T1758" s="166">
        <v>0</v>
      </c>
      <c r="U1758" s="164">
        <f>($L1758*'Pivot Objective'!$C$9^2)*S1758*T1758</f>
        <v>0</v>
      </c>
      <c r="V1758" s="166">
        <v>0</v>
      </c>
      <c r="W1758" s="166">
        <v>0</v>
      </c>
      <c r="X1758" s="164">
        <f>($L1758*'Pivot Objective'!$C$9^3)*V1758*W1758</f>
        <v>0</v>
      </c>
      <c r="Y1758" s="166">
        <v>2</v>
      </c>
      <c r="Z1758" s="166">
        <v>2</v>
      </c>
      <c r="AA1758" s="164">
        <f>($L1758*'Pivot Objective'!$C$9^4)*Y1758*Z1758</f>
        <v>2675476.4105215403</v>
      </c>
      <c r="AB1758" s="166">
        <v>0</v>
      </c>
      <c r="AC1758" s="166">
        <v>0</v>
      </c>
      <c r="AD1758" s="164">
        <f>($L1758*'Pivot Objective'!$C$9^5)*AB1758*AC1758</f>
        <v>0</v>
      </c>
      <c r="AE1758" s="166">
        <v>0</v>
      </c>
      <c r="AF1758" s="166">
        <v>0</v>
      </c>
      <c r="AG1758" s="164">
        <f>($L1758*'Pivot Objective'!$C$9^6)*AE1758*AF1758</f>
        <v>0</v>
      </c>
      <c r="AH1758" s="166">
        <v>0</v>
      </c>
      <c r="AI1758" s="166">
        <v>0</v>
      </c>
      <c r="AJ1758" s="164">
        <f>($L1758*'Pivot Objective'!$C$9^7)*AH1758*AI1758</f>
        <v>0</v>
      </c>
      <c r="AK1758" s="185">
        <f t="shared" si="201"/>
        <v>6035499.8668962121</v>
      </c>
      <c r="AL1758" s="186">
        <f t="shared" si="202"/>
        <v>5859.7086086370991</v>
      </c>
    </row>
    <row r="1759" spans="1:38" customFormat="1" ht="43.2" x14ac:dyDescent="0.3">
      <c r="A1759" s="140" t="s">
        <v>1486</v>
      </c>
      <c r="B1759" s="140">
        <v>3</v>
      </c>
      <c r="C1759" s="166" t="s">
        <v>696</v>
      </c>
      <c r="D1759" s="140" t="str">
        <f t="shared" si="198"/>
        <v>3</v>
      </c>
      <c r="E1759" s="166" t="s">
        <v>691</v>
      </c>
      <c r="F1759" s="140">
        <f t="shared" si="203"/>
        <v>1</v>
      </c>
      <c r="G1759" s="140" t="str">
        <f t="shared" si="199"/>
        <v>3.3.1</v>
      </c>
      <c r="H1759" s="181" t="s">
        <v>657</v>
      </c>
      <c r="I1759" s="166" t="s">
        <v>39</v>
      </c>
      <c r="J1759" s="166" t="s">
        <v>149</v>
      </c>
      <c r="K1759" s="166" t="s">
        <v>708</v>
      </c>
      <c r="L1759" s="167">
        <f>500*1022</f>
        <v>511000</v>
      </c>
      <c r="M1759" s="166">
        <v>1</v>
      </c>
      <c r="N1759" s="166">
        <v>25</v>
      </c>
      <c r="O1759" s="164">
        <f t="shared" si="200"/>
        <v>12775000</v>
      </c>
      <c r="P1759" s="166">
        <v>1</v>
      </c>
      <c r="Q1759" s="166">
        <v>40</v>
      </c>
      <c r="R1759" s="164">
        <f>$L1759*'Pivot Objective'!$C$9*P1759*Q1759</f>
        <v>23361307.222679999</v>
      </c>
      <c r="S1759" s="166">
        <v>0</v>
      </c>
      <c r="T1759" s="166">
        <v>0</v>
      </c>
      <c r="U1759" s="164">
        <f>($L1759*'Pivot Objective'!$C$9^2)*S1759*T1759</f>
        <v>0</v>
      </c>
      <c r="V1759" s="166">
        <v>0</v>
      </c>
      <c r="W1759" s="166">
        <v>0</v>
      </c>
      <c r="X1759" s="164">
        <f>($L1759*'Pivot Objective'!$C$9^3)*V1759*W1759</f>
        <v>0</v>
      </c>
      <c r="Y1759" s="166">
        <v>1</v>
      </c>
      <c r="Z1759" s="166">
        <v>25</v>
      </c>
      <c r="AA1759" s="164">
        <f>($L1759*'Pivot Objective'!$C$9^4)*Y1759*Z1759</f>
        <v>21798464.680721607</v>
      </c>
      <c r="AB1759" s="166">
        <v>0</v>
      </c>
      <c r="AC1759" s="166">
        <v>0</v>
      </c>
      <c r="AD1759" s="164">
        <f>($L1759*'Pivot Objective'!$C$9^5)*AB1759*AC1759</f>
        <v>0</v>
      </c>
      <c r="AE1759" s="166">
        <v>0</v>
      </c>
      <c r="AF1759" s="166">
        <v>0</v>
      </c>
      <c r="AG1759" s="164">
        <f>($L1759*'Pivot Objective'!$C$9^6)*AE1759*AF1759</f>
        <v>0</v>
      </c>
      <c r="AH1759" s="166">
        <v>0</v>
      </c>
      <c r="AI1759" s="166">
        <v>0</v>
      </c>
      <c r="AJ1759" s="164">
        <f>($L1759*'Pivot Objective'!$C$9^7)*AH1759*AI1759</f>
        <v>0</v>
      </c>
      <c r="AK1759" s="185">
        <f t="shared" si="201"/>
        <v>57934771.903401613</v>
      </c>
      <c r="AL1759" s="186">
        <f t="shared" si="202"/>
        <v>56247.351362525835</v>
      </c>
    </row>
    <row r="1760" spans="1:38" customFormat="1" ht="43.2" x14ac:dyDescent="0.3">
      <c r="A1760" s="140" t="s">
        <v>1486</v>
      </c>
      <c r="B1760" s="140">
        <v>3</v>
      </c>
      <c r="C1760" s="166" t="s">
        <v>696</v>
      </c>
      <c r="D1760" s="140" t="str">
        <f t="shared" si="198"/>
        <v>3</v>
      </c>
      <c r="E1760" s="166" t="s">
        <v>691</v>
      </c>
      <c r="F1760" s="140">
        <f t="shared" si="203"/>
        <v>1</v>
      </c>
      <c r="G1760" s="140" t="str">
        <f t="shared" si="199"/>
        <v>3.3.1</v>
      </c>
      <c r="H1760" s="181" t="s">
        <v>657</v>
      </c>
      <c r="I1760" s="166" t="s">
        <v>39</v>
      </c>
      <c r="J1760" s="166" t="s">
        <v>323</v>
      </c>
      <c r="K1760" s="166" t="s">
        <v>709</v>
      </c>
      <c r="L1760" s="167">
        <v>35000</v>
      </c>
      <c r="M1760" s="166">
        <v>25</v>
      </c>
      <c r="N1760" s="166">
        <f>5*2</f>
        <v>10</v>
      </c>
      <c r="O1760" s="164">
        <f t="shared" si="200"/>
        <v>8750000</v>
      </c>
      <c r="P1760" s="166">
        <v>0</v>
      </c>
      <c r="Q1760" s="166">
        <v>0</v>
      </c>
      <c r="R1760" s="164">
        <f>$L1760*'Pivot Objective'!$C$9*P1760*Q1760</f>
        <v>0</v>
      </c>
      <c r="S1760" s="166">
        <v>25</v>
      </c>
      <c r="T1760" s="166">
        <f>5*2</f>
        <v>10</v>
      </c>
      <c r="U1760" s="164">
        <f>($L1760*'Pivot Objective'!$C$9^2)*S1760*T1760</f>
        <v>11429850.547217228</v>
      </c>
      <c r="V1760" s="166">
        <v>0</v>
      </c>
      <c r="W1760" s="166">
        <v>0</v>
      </c>
      <c r="X1760" s="164">
        <f>($L1760*'Pivot Objective'!$C$9^3)*V1760*W1760</f>
        <v>0</v>
      </c>
      <c r="Y1760" s="166">
        <v>0</v>
      </c>
      <c r="Z1760" s="166">
        <v>0</v>
      </c>
      <c r="AA1760" s="164">
        <f>($L1760*'Pivot Objective'!$C$9^4)*Y1760*Z1760</f>
        <v>0</v>
      </c>
      <c r="AB1760" s="166">
        <v>25</v>
      </c>
      <c r="AC1760" s="166">
        <f>5*2</f>
        <v>10</v>
      </c>
      <c r="AD1760" s="164">
        <f>($L1760*'Pivot Objective'!$C$9^5)*AB1760*AC1760</f>
        <v>17064332.305346638</v>
      </c>
      <c r="AE1760" s="166">
        <v>0</v>
      </c>
      <c r="AF1760" s="166">
        <v>0</v>
      </c>
      <c r="AG1760" s="164">
        <f>($L1760*'Pivot Objective'!$C$9^6)*AE1760*AF1760</f>
        <v>0</v>
      </c>
      <c r="AH1760" s="166">
        <v>0</v>
      </c>
      <c r="AI1760" s="166">
        <v>0</v>
      </c>
      <c r="AJ1760" s="164">
        <f>($L1760*'Pivot Objective'!$C$9^7)*AH1760*AI1760</f>
        <v>0</v>
      </c>
      <c r="AK1760" s="185">
        <f t="shared" si="201"/>
        <v>37244182.852563865</v>
      </c>
      <c r="AL1760" s="186">
        <f t="shared" si="202"/>
        <v>36159.400827731908</v>
      </c>
    </row>
    <row r="1761" spans="1:38" customFormat="1" ht="43.2" x14ac:dyDescent="0.3">
      <c r="A1761" s="140" t="s">
        <v>1486</v>
      </c>
      <c r="B1761" s="140">
        <v>3</v>
      </c>
      <c r="C1761" s="166" t="s">
        <v>696</v>
      </c>
      <c r="D1761" s="140" t="str">
        <f t="shared" si="198"/>
        <v>3</v>
      </c>
      <c r="E1761" s="166" t="s">
        <v>691</v>
      </c>
      <c r="F1761" s="140">
        <f t="shared" si="203"/>
        <v>1</v>
      </c>
      <c r="G1761" s="140" t="str">
        <f t="shared" si="199"/>
        <v>3.3.1</v>
      </c>
      <c r="H1761" s="181" t="s">
        <v>657</v>
      </c>
      <c r="I1761" s="166" t="s">
        <v>39</v>
      </c>
      <c r="J1761" s="166" t="s">
        <v>323</v>
      </c>
      <c r="K1761" s="166" t="s">
        <v>716</v>
      </c>
      <c r="L1761" s="167">
        <v>39000</v>
      </c>
      <c r="M1761" s="166">
        <v>25</v>
      </c>
      <c r="N1761" s="166">
        <f>6*2</f>
        <v>12</v>
      </c>
      <c r="O1761" s="164">
        <f t="shared" si="200"/>
        <v>11700000</v>
      </c>
      <c r="P1761" s="166"/>
      <c r="Q1761" s="166"/>
      <c r="R1761" s="164">
        <f>$L1761*'Pivot Objective'!$C$9*P1761*Q1761</f>
        <v>0</v>
      </c>
      <c r="S1761" s="166">
        <v>25</v>
      </c>
      <c r="T1761" s="166">
        <f>6*2</f>
        <v>12</v>
      </c>
      <c r="U1761" s="164">
        <f>($L1761*'Pivot Objective'!$C$9^2)*S1761*T1761</f>
        <v>15283343.017421894</v>
      </c>
      <c r="V1761" s="166"/>
      <c r="W1761" s="166"/>
      <c r="X1761" s="164">
        <f>($L1761*'Pivot Objective'!$C$9^3)*V1761*W1761</f>
        <v>0</v>
      </c>
      <c r="Y1761" s="166"/>
      <c r="Z1761" s="166"/>
      <c r="AA1761" s="164">
        <f>($L1761*'Pivot Objective'!$C$9^4)*Y1761*Z1761</f>
        <v>0</v>
      </c>
      <c r="AB1761" s="166">
        <v>25</v>
      </c>
      <c r="AC1761" s="166">
        <f>6*2</f>
        <v>12</v>
      </c>
      <c r="AD1761" s="164">
        <f>($L1761*'Pivot Objective'!$C$9^5)*AB1761*AC1761</f>
        <v>22817450.054006364</v>
      </c>
      <c r="AE1761" s="166"/>
      <c r="AF1761" s="166"/>
      <c r="AG1761" s="164">
        <f>($L1761*'Pivot Objective'!$C$9^6)*AE1761*AF1761</f>
        <v>0</v>
      </c>
      <c r="AH1761" s="166"/>
      <c r="AI1761" s="166"/>
      <c r="AJ1761" s="164">
        <f>($L1761*'Pivot Objective'!$C$9^7)*AH1761*AI1761</f>
        <v>0</v>
      </c>
      <c r="AK1761" s="185">
        <f t="shared" si="201"/>
        <v>49800793.071428254</v>
      </c>
      <c r="AL1761" s="186">
        <f t="shared" si="202"/>
        <v>48350.284535367238</v>
      </c>
    </row>
    <row r="1762" spans="1:38" customFormat="1" ht="43.2" x14ac:dyDescent="0.3">
      <c r="A1762" s="140" t="s">
        <v>1486</v>
      </c>
      <c r="B1762" s="140">
        <v>3</v>
      </c>
      <c r="C1762" s="166" t="s">
        <v>696</v>
      </c>
      <c r="D1762" s="140" t="str">
        <f t="shared" si="198"/>
        <v>3</v>
      </c>
      <c r="E1762" s="166" t="s">
        <v>691</v>
      </c>
      <c r="F1762" s="140">
        <f t="shared" si="203"/>
        <v>1</v>
      </c>
      <c r="G1762" s="140" t="str">
        <f t="shared" si="199"/>
        <v>3.3.1</v>
      </c>
      <c r="H1762" s="181" t="s">
        <v>657</v>
      </c>
      <c r="I1762" s="166" t="s">
        <v>39</v>
      </c>
      <c r="J1762" s="166" t="s">
        <v>323</v>
      </c>
      <c r="K1762" s="166" t="s">
        <v>712</v>
      </c>
      <c r="L1762" s="167">
        <f>1480/7</f>
        <v>211.42857142857142</v>
      </c>
      <c r="M1762" s="166">
        <f>2*25*9</f>
        <v>450</v>
      </c>
      <c r="N1762" s="166">
        <f>5*2</f>
        <v>10</v>
      </c>
      <c r="O1762" s="164">
        <f t="shared" si="200"/>
        <v>951428.57142857136</v>
      </c>
      <c r="P1762" s="166"/>
      <c r="Q1762" s="166"/>
      <c r="R1762" s="164">
        <f>$L1762*'Pivot Objective'!$C$9*P1762*Q1762</f>
        <v>0</v>
      </c>
      <c r="S1762" s="166">
        <f>2*25*9</f>
        <v>450</v>
      </c>
      <c r="T1762" s="166">
        <f>5*2</f>
        <v>10</v>
      </c>
      <c r="U1762" s="164">
        <f>($L1762*'Pivot Objective'!$C$9^2)*S1762*T1762</f>
        <v>1242821.3003178244</v>
      </c>
      <c r="V1762" s="166"/>
      <c r="W1762" s="166"/>
      <c r="X1762" s="164">
        <f>($L1762*'Pivot Objective'!$C$9^3)*V1762*W1762</f>
        <v>0</v>
      </c>
      <c r="Y1762" s="166"/>
      <c r="Z1762" s="166"/>
      <c r="AA1762" s="164">
        <f>($L1762*'Pivot Objective'!$C$9^4)*Y1762*Z1762</f>
        <v>0</v>
      </c>
      <c r="AB1762" s="166">
        <f>2*25*9</f>
        <v>450</v>
      </c>
      <c r="AC1762" s="166">
        <f>5*2</f>
        <v>10</v>
      </c>
      <c r="AD1762" s="164">
        <f>($L1762*'Pivot Objective'!$C$9^5)*AB1762*AC1762</f>
        <v>1855484.9494466712</v>
      </c>
      <c r="AE1762" s="166"/>
      <c r="AF1762" s="166"/>
      <c r="AG1762" s="164">
        <f>($L1762*'Pivot Objective'!$C$9^6)*AE1762*AF1762</f>
        <v>0</v>
      </c>
      <c r="AH1762" s="166"/>
      <c r="AI1762" s="166"/>
      <c r="AJ1762" s="164">
        <f>($L1762*'Pivot Objective'!$C$9^7)*AH1762*AI1762</f>
        <v>0</v>
      </c>
      <c r="AK1762" s="185">
        <f t="shared" si="201"/>
        <v>4049734.8211930669</v>
      </c>
      <c r="AL1762" s="186">
        <f t="shared" si="202"/>
        <v>3931.7813797990939</v>
      </c>
    </row>
    <row r="1763" spans="1:38" customFormat="1" ht="43.2" x14ac:dyDescent="0.3">
      <c r="A1763" s="140" t="s">
        <v>1486</v>
      </c>
      <c r="B1763" s="140">
        <v>3</v>
      </c>
      <c r="C1763" s="166" t="s">
        <v>696</v>
      </c>
      <c r="D1763" s="140" t="str">
        <f t="shared" si="198"/>
        <v>3</v>
      </c>
      <c r="E1763" s="166" t="s">
        <v>691</v>
      </c>
      <c r="F1763" s="140">
        <f t="shared" si="203"/>
        <v>1</v>
      </c>
      <c r="G1763" s="140" t="str">
        <f t="shared" si="199"/>
        <v>3.3.1</v>
      </c>
      <c r="H1763" s="181" t="s">
        <v>657</v>
      </c>
      <c r="I1763" s="166" t="s">
        <v>39</v>
      </c>
      <c r="J1763" s="166" t="s">
        <v>323</v>
      </c>
      <c r="K1763" s="166" t="s">
        <v>1299</v>
      </c>
      <c r="L1763" s="167">
        <f>1480/7</f>
        <v>211.42857142857142</v>
      </c>
      <c r="M1763" s="166">
        <f>2*135*9</f>
        <v>2430</v>
      </c>
      <c r="N1763" s="166">
        <v>2</v>
      </c>
      <c r="O1763" s="164">
        <f t="shared" si="200"/>
        <v>1027542.857142857</v>
      </c>
      <c r="P1763" s="166"/>
      <c r="Q1763" s="166"/>
      <c r="R1763" s="164">
        <f>$L1763*'Pivot Objective'!$C$9*P1763*Q1763</f>
        <v>0</v>
      </c>
      <c r="S1763" s="166">
        <f>2*135*9</f>
        <v>2430</v>
      </c>
      <c r="T1763" s="166">
        <v>2</v>
      </c>
      <c r="U1763" s="164">
        <f>($L1763*'Pivot Objective'!$C$9^2)*S1763*T1763</f>
        <v>1342247.0043432503</v>
      </c>
      <c r="V1763" s="166"/>
      <c r="W1763" s="166"/>
      <c r="X1763" s="164">
        <f>($L1763*'Pivot Objective'!$C$9^3)*V1763*W1763</f>
        <v>0</v>
      </c>
      <c r="Y1763" s="166"/>
      <c r="Z1763" s="166"/>
      <c r="AA1763" s="164">
        <f>($L1763*'Pivot Objective'!$C$9^4)*Y1763*Z1763</f>
        <v>0</v>
      </c>
      <c r="AB1763" s="166">
        <f>2*135*9</f>
        <v>2430</v>
      </c>
      <c r="AC1763" s="166">
        <v>2</v>
      </c>
      <c r="AD1763" s="164">
        <f>($L1763*'Pivot Objective'!$C$9^5)*AB1763*AC1763</f>
        <v>2003923.745402405</v>
      </c>
      <c r="AE1763" s="166"/>
      <c r="AF1763" s="166"/>
      <c r="AG1763" s="164">
        <f>($L1763*'Pivot Objective'!$C$9^6)*AE1763*AF1763</f>
        <v>0</v>
      </c>
      <c r="AH1763" s="166"/>
      <c r="AI1763" s="166"/>
      <c r="AJ1763" s="164">
        <f>($L1763*'Pivot Objective'!$C$9^7)*AH1763*AI1763</f>
        <v>0</v>
      </c>
      <c r="AK1763" s="185">
        <f t="shared" si="201"/>
        <v>4373713.6068885121</v>
      </c>
      <c r="AL1763" s="186">
        <f t="shared" si="202"/>
        <v>4246.3238901830218</v>
      </c>
    </row>
    <row r="1764" spans="1:38" customFormat="1" ht="43.2" x14ac:dyDescent="0.3">
      <c r="A1764" s="140" t="s">
        <v>1486</v>
      </c>
      <c r="B1764" s="140">
        <v>3</v>
      </c>
      <c r="C1764" s="166" t="s">
        <v>696</v>
      </c>
      <c r="D1764" s="140" t="str">
        <f t="shared" si="198"/>
        <v>3</v>
      </c>
      <c r="E1764" s="166" t="s">
        <v>691</v>
      </c>
      <c r="F1764" s="140">
        <f t="shared" si="203"/>
        <v>1</v>
      </c>
      <c r="G1764" s="140" t="str">
        <f t="shared" si="199"/>
        <v>3.3.1</v>
      </c>
      <c r="H1764" s="181" t="s">
        <v>657</v>
      </c>
      <c r="I1764" s="166" t="s">
        <v>39</v>
      </c>
      <c r="J1764" s="166" t="s">
        <v>324</v>
      </c>
      <c r="K1764" s="166" t="s">
        <v>716</v>
      </c>
      <c r="L1764" s="167">
        <v>39000</v>
      </c>
      <c r="M1764" s="166">
        <v>29</v>
      </c>
      <c r="N1764" s="166">
        <v>6</v>
      </c>
      <c r="O1764" s="164">
        <f t="shared" si="200"/>
        <v>6786000</v>
      </c>
      <c r="P1764" s="166">
        <v>0</v>
      </c>
      <c r="Q1764" s="166">
        <v>0</v>
      </c>
      <c r="R1764" s="164">
        <f>$L1764*'Pivot Objective'!$C$9*P1764*Q1764</f>
        <v>0</v>
      </c>
      <c r="S1764" s="166">
        <v>29</v>
      </c>
      <c r="T1764" s="166">
        <v>6</v>
      </c>
      <c r="U1764" s="164">
        <f>($L1764*'Pivot Objective'!$C$9^2)*S1764*T1764</f>
        <v>8864338.9501046985</v>
      </c>
      <c r="V1764" s="166">
        <v>0</v>
      </c>
      <c r="W1764" s="166">
        <v>0</v>
      </c>
      <c r="X1764" s="164">
        <f>($L1764*'Pivot Objective'!$C$9^3)*V1764*W1764</f>
        <v>0</v>
      </c>
      <c r="Y1764" s="166">
        <v>0</v>
      </c>
      <c r="Z1764" s="166">
        <v>0</v>
      </c>
      <c r="AA1764" s="164">
        <f>($L1764*'Pivot Objective'!$C$9^4)*Y1764*Z1764</f>
        <v>0</v>
      </c>
      <c r="AB1764" s="166">
        <v>29</v>
      </c>
      <c r="AC1764" s="166">
        <v>6</v>
      </c>
      <c r="AD1764" s="164">
        <f>($L1764*'Pivot Objective'!$C$9^5)*AB1764*AC1764</f>
        <v>13234121.03132369</v>
      </c>
      <c r="AE1764" s="166">
        <v>0</v>
      </c>
      <c r="AF1764" s="166">
        <v>0</v>
      </c>
      <c r="AG1764" s="164">
        <f>($L1764*'Pivot Objective'!$C$9^6)*AE1764*AF1764</f>
        <v>0</v>
      </c>
      <c r="AH1764" s="166">
        <v>0</v>
      </c>
      <c r="AI1764" s="166">
        <v>0</v>
      </c>
      <c r="AJ1764" s="164">
        <f>($L1764*'Pivot Objective'!$C$9^7)*AH1764*AI1764</f>
        <v>0</v>
      </c>
      <c r="AK1764" s="185">
        <f t="shared" si="201"/>
        <v>28884459.981428389</v>
      </c>
      <c r="AL1764" s="186">
        <f t="shared" si="202"/>
        <v>28043.165030512999</v>
      </c>
    </row>
    <row r="1765" spans="1:38" customFormat="1" ht="43.2" x14ac:dyDescent="0.3">
      <c r="A1765" s="140" t="s">
        <v>1486</v>
      </c>
      <c r="B1765" s="140">
        <v>3</v>
      </c>
      <c r="C1765" s="166" t="s">
        <v>696</v>
      </c>
      <c r="D1765" s="140" t="str">
        <f t="shared" si="198"/>
        <v>3</v>
      </c>
      <c r="E1765" s="166" t="s">
        <v>691</v>
      </c>
      <c r="F1765" s="140">
        <f t="shared" si="203"/>
        <v>1</v>
      </c>
      <c r="G1765" s="140" t="str">
        <f t="shared" si="199"/>
        <v>3.3.1</v>
      </c>
      <c r="H1765" s="181" t="s">
        <v>657</v>
      </c>
      <c r="I1765" s="166" t="s">
        <v>39</v>
      </c>
      <c r="J1765" s="166" t="s">
        <v>324</v>
      </c>
      <c r="K1765" s="166" t="s">
        <v>709</v>
      </c>
      <c r="L1765" s="167">
        <v>35000</v>
      </c>
      <c r="M1765" s="166">
        <v>29</v>
      </c>
      <c r="N1765" s="166">
        <v>5</v>
      </c>
      <c r="O1765" s="164">
        <f t="shared" si="200"/>
        <v>5075000</v>
      </c>
      <c r="P1765" s="166">
        <v>0</v>
      </c>
      <c r="Q1765" s="166">
        <v>0</v>
      </c>
      <c r="R1765" s="164">
        <f>$L1765*'Pivot Objective'!$C$9*P1765*Q1765</f>
        <v>0</v>
      </c>
      <c r="S1765" s="166">
        <v>29</v>
      </c>
      <c r="T1765" s="166">
        <v>5</v>
      </c>
      <c r="U1765" s="164">
        <f>($L1765*'Pivot Objective'!$C$9^2)*S1765*T1765</f>
        <v>6629313.317385992</v>
      </c>
      <c r="V1765" s="166">
        <v>0</v>
      </c>
      <c r="W1765" s="166">
        <v>0</v>
      </c>
      <c r="X1765" s="164">
        <f>($L1765*'Pivot Objective'!$C$9^3)*V1765*W1765</f>
        <v>0</v>
      </c>
      <c r="Y1765" s="166">
        <v>0</v>
      </c>
      <c r="Z1765" s="166">
        <v>0</v>
      </c>
      <c r="AA1765" s="164">
        <f>($L1765*'Pivot Objective'!$C$9^4)*Y1765*Z1765</f>
        <v>0</v>
      </c>
      <c r="AB1765" s="166">
        <v>29</v>
      </c>
      <c r="AC1765" s="166">
        <v>5</v>
      </c>
      <c r="AD1765" s="164">
        <f>($L1765*'Pivot Objective'!$C$9^5)*AB1765*AC1765</f>
        <v>9897312.7371010501</v>
      </c>
      <c r="AE1765" s="166">
        <v>0</v>
      </c>
      <c r="AF1765" s="166">
        <v>0</v>
      </c>
      <c r="AG1765" s="164">
        <f>($L1765*'Pivot Objective'!$C$9^6)*AE1765*AF1765</f>
        <v>0</v>
      </c>
      <c r="AH1765" s="166">
        <v>0</v>
      </c>
      <c r="AI1765" s="166">
        <v>0</v>
      </c>
      <c r="AJ1765" s="164">
        <f>($L1765*'Pivot Objective'!$C$9^7)*AH1765*AI1765</f>
        <v>0</v>
      </c>
      <c r="AK1765" s="185">
        <f t="shared" si="201"/>
        <v>21601626.054487042</v>
      </c>
      <c r="AL1765" s="186">
        <f t="shared" si="202"/>
        <v>20972.452480084507</v>
      </c>
    </row>
    <row r="1766" spans="1:38" customFormat="1" ht="43.2" x14ac:dyDescent="0.3">
      <c r="A1766" s="140" t="s">
        <v>1486</v>
      </c>
      <c r="B1766" s="140">
        <v>3</v>
      </c>
      <c r="C1766" s="166" t="s">
        <v>696</v>
      </c>
      <c r="D1766" s="140" t="str">
        <f t="shared" si="198"/>
        <v>3</v>
      </c>
      <c r="E1766" s="166" t="s">
        <v>691</v>
      </c>
      <c r="F1766" s="140">
        <f t="shared" si="203"/>
        <v>1</v>
      </c>
      <c r="G1766" s="140" t="str">
        <f t="shared" si="199"/>
        <v>3.3.1</v>
      </c>
      <c r="H1766" s="181" t="s">
        <v>657</v>
      </c>
      <c r="I1766" s="166" t="s">
        <v>39</v>
      </c>
      <c r="J1766" s="166" t="s">
        <v>324</v>
      </c>
      <c r="K1766" s="166" t="s">
        <v>712</v>
      </c>
      <c r="L1766" s="167">
        <f>1480/7</f>
        <v>211.42857142857142</v>
      </c>
      <c r="M1766" s="166">
        <f>2*25*10</f>
        <v>500</v>
      </c>
      <c r="N1766" s="166">
        <v>5</v>
      </c>
      <c r="O1766" s="164">
        <f t="shared" si="200"/>
        <v>528571.42857142852</v>
      </c>
      <c r="P1766" s="166">
        <v>0</v>
      </c>
      <c r="Q1766" s="166">
        <v>0</v>
      </c>
      <c r="R1766" s="164">
        <f>$L1766*'Pivot Objective'!$C$9*P1766*Q1766</f>
        <v>0</v>
      </c>
      <c r="S1766" s="166">
        <f>2*25*10</f>
        <v>500</v>
      </c>
      <c r="T1766" s="166">
        <v>5</v>
      </c>
      <c r="U1766" s="164">
        <f>($L1766*'Pivot Objective'!$C$9^2)*S1766*T1766</f>
        <v>690456.27795434685</v>
      </c>
      <c r="V1766" s="166">
        <v>0</v>
      </c>
      <c r="W1766" s="166">
        <v>0</v>
      </c>
      <c r="X1766" s="164">
        <f>($L1766*'Pivot Objective'!$C$9^3)*V1766*W1766</f>
        <v>0</v>
      </c>
      <c r="Y1766" s="166">
        <v>0</v>
      </c>
      <c r="Z1766" s="166">
        <v>0</v>
      </c>
      <c r="AA1766" s="164">
        <f>($L1766*'Pivot Objective'!$C$9^4)*Y1766*Z1766</f>
        <v>0</v>
      </c>
      <c r="AB1766" s="166">
        <f>2*25*10</f>
        <v>500</v>
      </c>
      <c r="AC1766" s="166">
        <v>5</v>
      </c>
      <c r="AD1766" s="164">
        <f>($L1766*'Pivot Objective'!$C$9^5)*AB1766*AC1766</f>
        <v>1030824.9719148173</v>
      </c>
      <c r="AE1766" s="166">
        <v>0</v>
      </c>
      <c r="AF1766" s="166">
        <v>0</v>
      </c>
      <c r="AG1766" s="164">
        <f>($L1766*'Pivot Objective'!$C$9^6)*AE1766*AF1766</f>
        <v>0</v>
      </c>
      <c r="AH1766" s="166">
        <v>0</v>
      </c>
      <c r="AI1766" s="166">
        <v>0</v>
      </c>
      <c r="AJ1766" s="164">
        <f>($L1766*'Pivot Objective'!$C$9^7)*AH1766*AI1766</f>
        <v>0</v>
      </c>
      <c r="AK1766" s="185">
        <f t="shared" si="201"/>
        <v>2249852.6784405927</v>
      </c>
      <c r="AL1766" s="186">
        <f t="shared" si="202"/>
        <v>2184.3229887772745</v>
      </c>
    </row>
    <row r="1767" spans="1:38" customFormat="1" ht="43.2" x14ac:dyDescent="0.3">
      <c r="A1767" s="140" t="s">
        <v>1486</v>
      </c>
      <c r="B1767" s="140">
        <v>3</v>
      </c>
      <c r="C1767" s="166" t="s">
        <v>696</v>
      </c>
      <c r="D1767" s="140" t="str">
        <f t="shared" si="198"/>
        <v>3</v>
      </c>
      <c r="E1767" s="166" t="s">
        <v>691</v>
      </c>
      <c r="F1767" s="140">
        <f t="shared" si="203"/>
        <v>1</v>
      </c>
      <c r="G1767" s="140" t="str">
        <f t="shared" si="199"/>
        <v>3.3.1</v>
      </c>
      <c r="H1767" s="181" t="s">
        <v>657</v>
      </c>
      <c r="I1767" s="166" t="s">
        <v>39</v>
      </c>
      <c r="J1767" s="166" t="s">
        <v>324</v>
      </c>
      <c r="K1767" s="166" t="s">
        <v>1299</v>
      </c>
      <c r="L1767" s="167">
        <f>1480/7</f>
        <v>211.42857142857142</v>
      </c>
      <c r="M1767" s="166">
        <f>2*135*10</f>
        <v>2700</v>
      </c>
      <c r="N1767" s="166">
        <v>1</v>
      </c>
      <c r="O1767" s="164">
        <f t="shared" si="200"/>
        <v>570857.14285714284</v>
      </c>
      <c r="P1767" s="166"/>
      <c r="Q1767" s="166"/>
      <c r="R1767" s="164">
        <f>$L1767*'Pivot Objective'!$C$9*P1767*Q1767</f>
        <v>0</v>
      </c>
      <c r="S1767" s="166">
        <f>2*135*10</f>
        <v>2700</v>
      </c>
      <c r="T1767" s="166">
        <v>1</v>
      </c>
      <c r="U1767" s="164">
        <f>($L1767*'Pivot Objective'!$C$9^2)*S1767*T1767</f>
        <v>745692.78019069461</v>
      </c>
      <c r="V1767" s="166"/>
      <c r="W1767" s="166"/>
      <c r="X1767" s="164">
        <f>($L1767*'Pivot Objective'!$C$9^3)*V1767*W1767</f>
        <v>0</v>
      </c>
      <c r="Y1767" s="166"/>
      <c r="Z1767" s="166"/>
      <c r="AA1767" s="164">
        <f>($L1767*'Pivot Objective'!$C$9^4)*Y1767*Z1767</f>
        <v>0</v>
      </c>
      <c r="AB1767" s="166">
        <f>2*135*10</f>
        <v>2700</v>
      </c>
      <c r="AC1767" s="166">
        <v>1</v>
      </c>
      <c r="AD1767" s="164">
        <f>($L1767*'Pivot Objective'!$C$9^5)*AB1767*AC1767</f>
        <v>1113290.9696680028</v>
      </c>
      <c r="AE1767" s="166"/>
      <c r="AF1767" s="166"/>
      <c r="AG1767" s="164">
        <f>($L1767*'Pivot Objective'!$C$9^6)*AE1767*AF1767</f>
        <v>0</v>
      </c>
      <c r="AH1767" s="166"/>
      <c r="AI1767" s="166"/>
      <c r="AJ1767" s="164">
        <f>($L1767*'Pivot Objective'!$C$9^7)*AH1767*AI1767</f>
        <v>0</v>
      </c>
      <c r="AK1767" s="185">
        <f t="shared" si="201"/>
        <v>2429840.8927158401</v>
      </c>
      <c r="AL1767" s="186">
        <f t="shared" si="202"/>
        <v>2359.0688278794564</v>
      </c>
    </row>
    <row r="1768" spans="1:38" customFormat="1" ht="43.2" x14ac:dyDescent="0.3">
      <c r="A1768" s="140" t="s">
        <v>1486</v>
      </c>
      <c r="B1768" s="140">
        <v>3</v>
      </c>
      <c r="C1768" s="166" t="s">
        <v>696</v>
      </c>
      <c r="D1768" s="140" t="str">
        <f t="shared" si="198"/>
        <v>3</v>
      </c>
      <c r="E1768" s="166" t="s">
        <v>691</v>
      </c>
      <c r="F1768" s="140">
        <f t="shared" si="203"/>
        <v>1</v>
      </c>
      <c r="G1768" s="140" t="str">
        <f t="shared" si="199"/>
        <v>3.3.1</v>
      </c>
      <c r="H1768" s="181" t="s">
        <v>657</v>
      </c>
      <c r="I1768" s="166" t="s">
        <v>39</v>
      </c>
      <c r="J1768" s="166" t="s">
        <v>325</v>
      </c>
      <c r="K1768" s="166" t="s">
        <v>709</v>
      </c>
      <c r="L1768" s="167">
        <v>35000</v>
      </c>
      <c r="M1768" s="166">
        <v>4500</v>
      </c>
      <c r="N1768" s="166">
        <v>5</v>
      </c>
      <c r="O1768" s="164">
        <f t="shared" si="200"/>
        <v>787500000</v>
      </c>
      <c r="P1768" s="166">
        <v>4500</v>
      </c>
      <c r="Q1768" s="166">
        <v>5</v>
      </c>
      <c r="R1768" s="164">
        <f>$L1768*'Pivot Objective'!$C$9*P1768*Q1768</f>
        <v>900050363.88749981</v>
      </c>
      <c r="S1768" s="166">
        <v>4500</v>
      </c>
      <c r="T1768" s="166">
        <v>5</v>
      </c>
      <c r="U1768" s="164">
        <f>($L1768*'Pivot Objective'!$C$9^2)*S1768*T1768</f>
        <v>1028686549.2495503</v>
      </c>
      <c r="V1768" s="166">
        <v>4500</v>
      </c>
      <c r="W1768" s="166">
        <v>5</v>
      </c>
      <c r="X1768" s="164">
        <f>($L1768*'Pivot Objective'!$C$9^3)*V1768*W1768</f>
        <v>1175707559.3374407</v>
      </c>
      <c r="Y1768" s="166">
        <v>4500</v>
      </c>
      <c r="Z1768" s="166">
        <v>5</v>
      </c>
      <c r="AA1768" s="164">
        <f>($L1768*'Pivot Objective'!$C$9^4)*Y1768*Z1768</f>
        <v>1343740973.4691403</v>
      </c>
      <c r="AB1768" s="166">
        <v>4500</v>
      </c>
      <c r="AC1768" s="166">
        <v>5</v>
      </c>
      <c r="AD1768" s="164">
        <f>($L1768*'Pivot Objective'!$C$9^5)*AB1768*AC1768</f>
        <v>1535789907.4811974</v>
      </c>
      <c r="AE1768" s="166">
        <v>4500</v>
      </c>
      <c r="AF1768" s="166">
        <v>5</v>
      </c>
      <c r="AG1768" s="164">
        <f>($L1768*'Pivot Objective'!$C$9^6)*AE1768*AF1768</f>
        <v>1755286685.8199384</v>
      </c>
      <c r="AH1768" s="166">
        <v>4500</v>
      </c>
      <c r="AI1768" s="166">
        <v>5</v>
      </c>
      <c r="AJ1768" s="164">
        <f>($L1768*'Pivot Objective'!$C$9^7)*AH1768*AI1768</f>
        <v>2006154184.5068188</v>
      </c>
      <c r="AK1768" s="185">
        <f t="shared" si="201"/>
        <v>10532916223.751587</v>
      </c>
      <c r="AL1768" s="186">
        <f t="shared" si="202"/>
        <v>10226132.256069502</v>
      </c>
    </row>
    <row r="1769" spans="1:38" customFormat="1" ht="43.2" x14ac:dyDescent="0.3">
      <c r="A1769" s="140" t="s">
        <v>1486</v>
      </c>
      <c r="B1769" s="140">
        <v>3</v>
      </c>
      <c r="C1769" s="166" t="s">
        <v>696</v>
      </c>
      <c r="D1769" s="140" t="str">
        <f t="shared" si="198"/>
        <v>3</v>
      </c>
      <c r="E1769" s="166" t="s">
        <v>691</v>
      </c>
      <c r="F1769" s="140">
        <f t="shared" si="203"/>
        <v>1</v>
      </c>
      <c r="G1769" s="140" t="str">
        <f t="shared" si="199"/>
        <v>3.3.1</v>
      </c>
      <c r="H1769" s="181" t="s">
        <v>657</v>
      </c>
      <c r="I1769" s="166" t="s">
        <v>39</v>
      </c>
      <c r="J1769" s="166" t="s">
        <v>325</v>
      </c>
      <c r="K1769" s="166" t="s">
        <v>716</v>
      </c>
      <c r="L1769" s="167">
        <v>39000</v>
      </c>
      <c r="M1769" s="166">
        <v>4500</v>
      </c>
      <c r="N1769" s="166">
        <v>6</v>
      </c>
      <c r="O1769" s="164">
        <f t="shared" si="200"/>
        <v>1053000000</v>
      </c>
      <c r="P1769" s="166">
        <v>4500</v>
      </c>
      <c r="Q1769" s="166">
        <v>6</v>
      </c>
      <c r="R1769" s="164">
        <f>$L1769*'Pivot Objective'!$C$9*P1769*Q1769</f>
        <v>1203495915.1409998</v>
      </c>
      <c r="S1769" s="166">
        <v>4500</v>
      </c>
      <c r="T1769" s="166">
        <v>6</v>
      </c>
      <c r="U1769" s="164">
        <f>($L1769*'Pivot Objective'!$C$9^2)*S1769*T1769</f>
        <v>1375500871.5679703</v>
      </c>
      <c r="V1769" s="166">
        <v>4500</v>
      </c>
      <c r="W1769" s="166">
        <v>6</v>
      </c>
      <c r="X1769" s="164">
        <f>($L1769*'Pivot Objective'!$C$9^3)*V1769*W1769</f>
        <v>1572088965.0569208</v>
      </c>
      <c r="Y1769" s="166">
        <v>4500</v>
      </c>
      <c r="Z1769" s="166">
        <v>6</v>
      </c>
      <c r="AA1769" s="164">
        <f>($L1769*'Pivot Objective'!$C$9^4)*Y1769*Z1769</f>
        <v>1796773644.5244505</v>
      </c>
      <c r="AB1769" s="166">
        <v>4500</v>
      </c>
      <c r="AC1769" s="166">
        <v>6</v>
      </c>
      <c r="AD1769" s="164">
        <f>($L1769*'Pivot Objective'!$C$9^5)*AB1769*AC1769</f>
        <v>2053570504.8605726</v>
      </c>
      <c r="AE1769" s="166">
        <v>4500</v>
      </c>
      <c r="AF1769" s="166">
        <v>6</v>
      </c>
      <c r="AG1769" s="164">
        <f>($L1769*'Pivot Objective'!$C$9^6)*AE1769*AF1769</f>
        <v>2347069054.1820898</v>
      </c>
      <c r="AH1769" s="166">
        <v>4500</v>
      </c>
      <c r="AI1769" s="166">
        <v>6</v>
      </c>
      <c r="AJ1769" s="164">
        <f>($L1769*'Pivot Objective'!$C$9^7)*AH1769*AI1769</f>
        <v>2682514738.1405458</v>
      </c>
      <c r="AK1769" s="185">
        <f t="shared" si="201"/>
        <v>14084013693.473549</v>
      </c>
      <c r="AL1769" s="186">
        <f t="shared" si="202"/>
        <v>13673799.702401504</v>
      </c>
    </row>
    <row r="1770" spans="1:38" customFormat="1" ht="43.2" x14ac:dyDescent="0.3">
      <c r="A1770" s="140" t="s">
        <v>1486</v>
      </c>
      <c r="B1770" s="140">
        <v>3</v>
      </c>
      <c r="C1770" s="166" t="s">
        <v>696</v>
      </c>
      <c r="D1770" s="140" t="str">
        <f t="shared" si="198"/>
        <v>3</v>
      </c>
      <c r="E1770" s="166" t="s">
        <v>691</v>
      </c>
      <c r="F1770" s="140">
        <f t="shared" si="203"/>
        <v>1</v>
      </c>
      <c r="G1770" s="140" t="str">
        <f t="shared" si="199"/>
        <v>3.3.1</v>
      </c>
      <c r="H1770" s="181" t="s">
        <v>657</v>
      </c>
      <c r="I1770" s="166" t="s">
        <v>39</v>
      </c>
      <c r="J1770" s="166" t="s">
        <v>325</v>
      </c>
      <c r="K1770" s="166" t="s">
        <v>712</v>
      </c>
      <c r="L1770" s="167">
        <f>1480/7</f>
        <v>211.42857142857142</v>
      </c>
      <c r="M1770" s="166">
        <v>22500</v>
      </c>
      <c r="N1770" s="166">
        <v>5</v>
      </c>
      <c r="O1770" s="164">
        <f t="shared" si="200"/>
        <v>23785714.285714287</v>
      </c>
      <c r="P1770" s="166">
        <v>22500</v>
      </c>
      <c r="Q1770" s="166">
        <v>5</v>
      </c>
      <c r="R1770" s="164">
        <f>$L1770*'Pivot Objective'!$C$9*P1770*Q1770</f>
        <v>27185194.664357141</v>
      </c>
      <c r="S1770" s="166">
        <v>22500</v>
      </c>
      <c r="T1770" s="166">
        <v>5</v>
      </c>
      <c r="U1770" s="164">
        <f>($L1770*'Pivot Objective'!$C$9^2)*S1770*T1770</f>
        <v>31070532.507945605</v>
      </c>
      <c r="V1770" s="166">
        <v>22500</v>
      </c>
      <c r="W1770" s="166">
        <v>5</v>
      </c>
      <c r="X1770" s="164">
        <f>($L1770*'Pivot Objective'!$C$9^3)*V1770*W1770</f>
        <v>35511167.098355353</v>
      </c>
      <c r="Y1770" s="166">
        <v>22500</v>
      </c>
      <c r="Z1770" s="166">
        <v>5</v>
      </c>
      <c r="AA1770" s="164">
        <f>($L1770*'Pivot Objective'!$C$9^4)*Y1770*Z1770</f>
        <v>40586462.055802599</v>
      </c>
      <c r="AB1770" s="166">
        <v>22500</v>
      </c>
      <c r="AC1770" s="166">
        <v>5</v>
      </c>
      <c r="AD1770" s="164">
        <f>($L1770*'Pivot Objective'!$C$9^5)*AB1770*AC1770</f>
        <v>46387123.736166775</v>
      </c>
      <c r="AE1770" s="166">
        <v>22500</v>
      </c>
      <c r="AF1770" s="166">
        <v>5</v>
      </c>
      <c r="AG1770" s="164">
        <f>($L1770*'Pivot Objective'!$C$9^6)*AE1770*AF1770</f>
        <v>53016822.347214475</v>
      </c>
      <c r="AH1770" s="166">
        <v>22500</v>
      </c>
      <c r="AI1770" s="166">
        <v>5</v>
      </c>
      <c r="AJ1770" s="164">
        <f>($L1770*'Pivot Objective'!$C$9^7)*AH1770*AI1770</f>
        <v>60594044.756532468</v>
      </c>
      <c r="AK1770" s="185">
        <f t="shared" si="201"/>
        <v>318137061.45208871</v>
      </c>
      <c r="AL1770" s="186">
        <f t="shared" si="202"/>
        <v>308870.9334486298</v>
      </c>
    </row>
    <row r="1771" spans="1:38" customFormat="1" ht="43.2" x14ac:dyDescent="0.3">
      <c r="A1771" s="140" t="s">
        <v>1486</v>
      </c>
      <c r="B1771" s="140">
        <v>3</v>
      </c>
      <c r="C1771" s="166" t="s">
        <v>696</v>
      </c>
      <c r="D1771" s="140" t="str">
        <f t="shared" si="198"/>
        <v>3</v>
      </c>
      <c r="E1771" s="166" t="s">
        <v>691</v>
      </c>
      <c r="F1771" s="140">
        <f t="shared" si="203"/>
        <v>1</v>
      </c>
      <c r="G1771" s="140" t="str">
        <f t="shared" si="199"/>
        <v>3.3.1</v>
      </c>
      <c r="H1771" s="181" t="s">
        <v>657</v>
      </c>
      <c r="I1771" s="166" t="s">
        <v>39</v>
      </c>
      <c r="J1771" s="166" t="s">
        <v>325</v>
      </c>
      <c r="K1771" s="166" t="s">
        <v>1299</v>
      </c>
      <c r="L1771" s="167">
        <f>1480/7</f>
        <v>211.42857142857142</v>
      </c>
      <c r="M1771" s="166">
        <v>90000</v>
      </c>
      <c r="N1771" s="166">
        <v>1</v>
      </c>
      <c r="O1771" s="164">
        <f t="shared" si="200"/>
        <v>19028571.428571429</v>
      </c>
      <c r="P1771" s="166">
        <v>90000</v>
      </c>
      <c r="Q1771" s="166">
        <v>1</v>
      </c>
      <c r="R1771" s="164">
        <f>$L1771*'Pivot Objective'!$C$9*P1771*Q1771</f>
        <v>21748155.731485713</v>
      </c>
      <c r="S1771" s="166">
        <v>90000</v>
      </c>
      <c r="T1771" s="166">
        <v>1</v>
      </c>
      <c r="U1771" s="164">
        <f>($L1771*'Pivot Objective'!$C$9^2)*S1771*T1771</f>
        <v>24856426.006356485</v>
      </c>
      <c r="V1771" s="166">
        <v>90000</v>
      </c>
      <c r="W1771" s="166">
        <v>1</v>
      </c>
      <c r="X1771" s="164">
        <f>($L1771*'Pivot Objective'!$C$9^3)*V1771*W1771</f>
        <v>28408933.678684279</v>
      </c>
      <c r="Y1771" s="166">
        <v>90000</v>
      </c>
      <c r="Z1771" s="166">
        <v>1</v>
      </c>
      <c r="AA1771" s="164">
        <f>($L1771*'Pivot Objective'!$C$9^4)*Y1771*Z1771</f>
        <v>32469169.644642077</v>
      </c>
      <c r="AB1771" s="166">
        <v>90000</v>
      </c>
      <c r="AC1771" s="166">
        <v>1</v>
      </c>
      <c r="AD1771" s="164">
        <f>($L1771*'Pivot Objective'!$C$9^5)*AB1771*AC1771</f>
        <v>37109698.988933422</v>
      </c>
      <c r="AE1771" s="166">
        <v>90000</v>
      </c>
      <c r="AF1771" s="166">
        <v>1</v>
      </c>
      <c r="AG1771" s="164">
        <f>($L1771*'Pivot Objective'!$C$9^6)*AE1771*AF1771</f>
        <v>42413457.877771579</v>
      </c>
      <c r="AH1771" s="166">
        <v>90000</v>
      </c>
      <c r="AI1771" s="166">
        <v>1</v>
      </c>
      <c r="AJ1771" s="164">
        <f>($L1771*'Pivot Objective'!$C$9^7)*AH1771*AI1771</f>
        <v>48475235.805225976</v>
      </c>
      <c r="AK1771" s="185">
        <f t="shared" si="201"/>
        <v>254509649.16167095</v>
      </c>
      <c r="AL1771" s="186">
        <f t="shared" si="202"/>
        <v>247096.74675890384</v>
      </c>
    </row>
    <row r="1772" spans="1:38" customFormat="1" ht="43.2" x14ac:dyDescent="0.3">
      <c r="A1772" s="140" t="s">
        <v>1486</v>
      </c>
      <c r="B1772" s="140">
        <v>3</v>
      </c>
      <c r="C1772" s="166" t="s">
        <v>696</v>
      </c>
      <c r="D1772" s="140" t="str">
        <f t="shared" si="198"/>
        <v>3</v>
      </c>
      <c r="E1772" s="166" t="s">
        <v>691</v>
      </c>
      <c r="F1772" s="140">
        <f t="shared" si="203"/>
        <v>1</v>
      </c>
      <c r="G1772" s="140" t="str">
        <f t="shared" si="199"/>
        <v>3.3.1</v>
      </c>
      <c r="H1772" s="181" t="s">
        <v>657</v>
      </c>
      <c r="I1772" s="166" t="s">
        <v>39</v>
      </c>
      <c r="J1772" s="166" t="s">
        <v>747</v>
      </c>
      <c r="K1772" s="166" t="s">
        <v>716</v>
      </c>
      <c r="L1772" s="167">
        <v>39000</v>
      </c>
      <c r="M1772" s="166">
        <v>25</v>
      </c>
      <c r="N1772" s="166">
        <v>6</v>
      </c>
      <c r="O1772" s="164">
        <f t="shared" si="200"/>
        <v>5850000</v>
      </c>
      <c r="P1772" s="166">
        <v>25</v>
      </c>
      <c r="Q1772" s="166">
        <v>6</v>
      </c>
      <c r="R1772" s="164">
        <f>$L1772*'Pivot Objective'!$C$9*P1772*Q1772</f>
        <v>6686088.4174499996</v>
      </c>
      <c r="S1772" s="166">
        <v>25</v>
      </c>
      <c r="T1772" s="166">
        <v>6</v>
      </c>
      <c r="U1772" s="164">
        <f>($L1772*'Pivot Objective'!$C$9^2)*S1772*T1772</f>
        <v>7641671.5087109469</v>
      </c>
      <c r="V1772" s="166">
        <v>25</v>
      </c>
      <c r="W1772" s="166">
        <v>6</v>
      </c>
      <c r="X1772" s="164">
        <f>($L1772*'Pivot Objective'!$C$9^3)*V1772*W1772</f>
        <v>8733827.5836495608</v>
      </c>
      <c r="Y1772" s="166">
        <v>25</v>
      </c>
      <c r="Z1772" s="166">
        <v>6</v>
      </c>
      <c r="AA1772" s="164">
        <f>($L1772*'Pivot Objective'!$C$9^4)*Y1772*Z1772</f>
        <v>9982075.8029136136</v>
      </c>
      <c r="AB1772" s="166">
        <v>25</v>
      </c>
      <c r="AC1772" s="166">
        <v>6</v>
      </c>
      <c r="AD1772" s="164">
        <f>($L1772*'Pivot Objective'!$C$9^5)*AB1772*AC1772</f>
        <v>11408725.027003182</v>
      </c>
      <c r="AE1772" s="166">
        <v>25</v>
      </c>
      <c r="AF1772" s="166">
        <v>6</v>
      </c>
      <c r="AG1772" s="164">
        <f>($L1772*'Pivot Objective'!$C$9^6)*AE1772*AF1772</f>
        <v>13039272.523233831</v>
      </c>
      <c r="AH1772" s="166">
        <v>25</v>
      </c>
      <c r="AI1772" s="166">
        <v>6</v>
      </c>
      <c r="AJ1772" s="164">
        <f>($L1772*'Pivot Objective'!$C$9^7)*AH1772*AI1772</f>
        <v>14902859.656336365</v>
      </c>
      <c r="AK1772" s="185">
        <f t="shared" si="201"/>
        <v>78244520.519297495</v>
      </c>
      <c r="AL1772" s="186">
        <f t="shared" si="202"/>
        <v>75965.553902230575</v>
      </c>
    </row>
    <row r="1773" spans="1:38" customFormat="1" ht="43.2" x14ac:dyDescent="0.3">
      <c r="A1773" s="140" t="s">
        <v>1486</v>
      </c>
      <c r="B1773" s="140">
        <v>3</v>
      </c>
      <c r="C1773" s="166" t="s">
        <v>696</v>
      </c>
      <c r="D1773" s="140" t="str">
        <f t="shared" si="198"/>
        <v>3</v>
      </c>
      <c r="E1773" s="166" t="s">
        <v>691</v>
      </c>
      <c r="F1773" s="140">
        <f t="shared" si="203"/>
        <v>1</v>
      </c>
      <c r="G1773" s="140" t="str">
        <f t="shared" si="199"/>
        <v>3.3.1</v>
      </c>
      <c r="H1773" s="181" t="s">
        <v>657</v>
      </c>
      <c r="I1773" s="166" t="s">
        <v>39</v>
      </c>
      <c r="J1773" s="166" t="s">
        <v>747</v>
      </c>
      <c r="K1773" s="166" t="s">
        <v>709</v>
      </c>
      <c r="L1773" s="167">
        <v>35000</v>
      </c>
      <c r="M1773" s="166">
        <v>25</v>
      </c>
      <c r="N1773" s="166">
        <v>5</v>
      </c>
      <c r="O1773" s="164">
        <f t="shared" si="200"/>
        <v>4375000</v>
      </c>
      <c r="P1773" s="166">
        <v>25</v>
      </c>
      <c r="Q1773" s="166">
        <v>5</v>
      </c>
      <c r="R1773" s="164">
        <f>$L1773*'Pivot Objective'!$C$9*P1773*Q1773</f>
        <v>5000279.7993749995</v>
      </c>
      <c r="S1773" s="166">
        <v>25</v>
      </c>
      <c r="T1773" s="166">
        <v>5</v>
      </c>
      <c r="U1773" s="164">
        <f>($L1773*'Pivot Objective'!$C$9^2)*S1773*T1773</f>
        <v>5714925.2736086138</v>
      </c>
      <c r="V1773" s="166">
        <v>25</v>
      </c>
      <c r="W1773" s="166">
        <v>5</v>
      </c>
      <c r="X1773" s="164">
        <f>($L1773*'Pivot Objective'!$C$9^3)*V1773*W1773</f>
        <v>6531708.6629857821</v>
      </c>
      <c r="Y1773" s="166">
        <v>25</v>
      </c>
      <c r="Z1773" s="166">
        <v>5</v>
      </c>
      <c r="AA1773" s="164">
        <f>($L1773*'Pivot Objective'!$C$9^4)*Y1773*Z1773</f>
        <v>7465227.6303841127</v>
      </c>
      <c r="AB1773" s="166">
        <v>25</v>
      </c>
      <c r="AC1773" s="166">
        <v>5</v>
      </c>
      <c r="AD1773" s="164">
        <f>($L1773*'Pivot Objective'!$C$9^5)*AB1773*AC1773</f>
        <v>8532166.152673319</v>
      </c>
      <c r="AE1773" s="166">
        <v>25</v>
      </c>
      <c r="AF1773" s="166">
        <v>5</v>
      </c>
      <c r="AG1773" s="164">
        <f>($L1773*'Pivot Objective'!$C$9^6)*AE1773*AF1773</f>
        <v>9751592.6989996582</v>
      </c>
      <c r="AH1773" s="166">
        <v>25</v>
      </c>
      <c r="AI1773" s="166">
        <v>5</v>
      </c>
      <c r="AJ1773" s="164">
        <f>($L1773*'Pivot Objective'!$C$9^7)*AH1773*AI1773</f>
        <v>11145301.025037881</v>
      </c>
      <c r="AK1773" s="185">
        <f t="shared" si="201"/>
        <v>58516201.243064374</v>
      </c>
      <c r="AL1773" s="186">
        <f t="shared" si="202"/>
        <v>56811.845867052791</v>
      </c>
    </row>
    <row r="1774" spans="1:38" customFormat="1" ht="43.2" x14ac:dyDescent="0.3">
      <c r="A1774" s="140" t="s">
        <v>1486</v>
      </c>
      <c r="B1774" s="140">
        <v>3</v>
      </c>
      <c r="C1774" s="166" t="s">
        <v>696</v>
      </c>
      <c r="D1774" s="140" t="str">
        <f t="shared" si="198"/>
        <v>3</v>
      </c>
      <c r="E1774" s="166" t="s">
        <v>691</v>
      </c>
      <c r="F1774" s="140">
        <f t="shared" si="203"/>
        <v>1</v>
      </c>
      <c r="G1774" s="140" t="str">
        <f t="shared" si="199"/>
        <v>3.3.1</v>
      </c>
      <c r="H1774" s="181" t="s">
        <v>657</v>
      </c>
      <c r="I1774" s="166" t="s">
        <v>39</v>
      </c>
      <c r="J1774" s="166" t="s">
        <v>747</v>
      </c>
      <c r="K1774" s="166" t="s">
        <v>712</v>
      </c>
      <c r="L1774" s="167">
        <f>1480/7</f>
        <v>211.42857142857142</v>
      </c>
      <c r="M1774" s="166">
        <f>2*25*9</f>
        <v>450</v>
      </c>
      <c r="N1774" s="166">
        <v>5</v>
      </c>
      <c r="O1774" s="164">
        <f t="shared" si="200"/>
        <v>475714.28571428568</v>
      </c>
      <c r="P1774" s="166">
        <f>2*25*9</f>
        <v>450</v>
      </c>
      <c r="Q1774" s="166">
        <v>5</v>
      </c>
      <c r="R1774" s="164">
        <f>$L1774*'Pivot Objective'!$C$9*P1774*Q1774</f>
        <v>543703.89328714274</v>
      </c>
      <c r="S1774" s="166">
        <f>2*25*9</f>
        <v>450</v>
      </c>
      <c r="T1774" s="166">
        <v>5</v>
      </c>
      <c r="U1774" s="164">
        <f>($L1774*'Pivot Objective'!$C$9^2)*S1774*T1774</f>
        <v>621410.65015891218</v>
      </c>
      <c r="V1774" s="166">
        <f>2*25*9</f>
        <v>450</v>
      </c>
      <c r="W1774" s="166">
        <v>5</v>
      </c>
      <c r="X1774" s="164">
        <f>($L1774*'Pivot Objective'!$C$9^3)*V1774*W1774</f>
        <v>710223.34196710703</v>
      </c>
      <c r="Y1774" s="166">
        <f>2*25*9</f>
        <v>450</v>
      </c>
      <c r="Z1774" s="166">
        <v>5</v>
      </c>
      <c r="AA1774" s="164">
        <f>($L1774*'Pivot Objective'!$C$9^4)*Y1774*Z1774</f>
        <v>811729.24111605203</v>
      </c>
      <c r="AB1774" s="166">
        <f>2*25*9</f>
        <v>450</v>
      </c>
      <c r="AC1774" s="166">
        <v>5</v>
      </c>
      <c r="AD1774" s="164">
        <f>($L1774*'Pivot Objective'!$C$9^5)*AB1774*AC1774</f>
        <v>927742.47472333559</v>
      </c>
      <c r="AE1774" s="166">
        <f>2*25*9</f>
        <v>450</v>
      </c>
      <c r="AF1774" s="166">
        <v>5</v>
      </c>
      <c r="AG1774" s="164">
        <f>($L1774*'Pivot Objective'!$C$9^6)*AE1774*AF1774</f>
        <v>1060336.4469442894</v>
      </c>
      <c r="AH1774" s="166">
        <f>2*25*9</f>
        <v>450</v>
      </c>
      <c r="AI1774" s="166">
        <v>5</v>
      </c>
      <c r="AJ1774" s="164">
        <f>($L1774*'Pivot Objective'!$C$9^7)*AH1774*AI1774</f>
        <v>1211880.8951306494</v>
      </c>
      <c r="AK1774" s="185">
        <f t="shared" si="201"/>
        <v>6362741.2290417738</v>
      </c>
      <c r="AL1774" s="186">
        <f t="shared" si="202"/>
        <v>6177.4186689725957</v>
      </c>
    </row>
    <row r="1775" spans="1:38" customFormat="1" ht="43.2" x14ac:dyDescent="0.3">
      <c r="A1775" s="140" t="s">
        <v>1486</v>
      </c>
      <c r="B1775" s="140">
        <v>3</v>
      </c>
      <c r="C1775" s="166" t="s">
        <v>696</v>
      </c>
      <c r="D1775" s="140" t="str">
        <f t="shared" si="198"/>
        <v>3</v>
      </c>
      <c r="E1775" s="166" t="s">
        <v>691</v>
      </c>
      <c r="F1775" s="140">
        <f t="shared" si="203"/>
        <v>1</v>
      </c>
      <c r="G1775" s="140" t="str">
        <f t="shared" si="199"/>
        <v>3.3.1</v>
      </c>
      <c r="H1775" s="181" t="s">
        <v>657</v>
      </c>
      <c r="I1775" s="166" t="s">
        <v>39</v>
      </c>
      <c r="J1775" s="166" t="s">
        <v>747</v>
      </c>
      <c r="K1775" s="166" t="s">
        <v>1299</v>
      </c>
      <c r="L1775" s="167">
        <f>1480/7</f>
        <v>211.42857142857142</v>
      </c>
      <c r="M1775" s="166">
        <f>2*135*9</f>
        <v>2430</v>
      </c>
      <c r="N1775" s="166">
        <v>1</v>
      </c>
      <c r="O1775" s="164">
        <f t="shared" si="200"/>
        <v>513771.42857142852</v>
      </c>
      <c r="P1775" s="166">
        <f>2*135*9</f>
        <v>2430</v>
      </c>
      <c r="Q1775" s="166">
        <v>1</v>
      </c>
      <c r="R1775" s="164">
        <f>$L1775*'Pivot Objective'!$C$9*P1775*Q1775</f>
        <v>587200.20475011424</v>
      </c>
      <c r="S1775" s="166">
        <f>2*135*9</f>
        <v>2430</v>
      </c>
      <c r="T1775" s="166">
        <v>1</v>
      </c>
      <c r="U1775" s="164">
        <f>($L1775*'Pivot Objective'!$C$9^2)*S1775*T1775</f>
        <v>671123.50217162515</v>
      </c>
      <c r="V1775" s="166">
        <f>2*135*9</f>
        <v>2430</v>
      </c>
      <c r="W1775" s="166">
        <v>1</v>
      </c>
      <c r="X1775" s="164">
        <f>($L1775*'Pivot Objective'!$C$9^3)*V1775*W1775</f>
        <v>767041.20932447549</v>
      </c>
      <c r="Y1775" s="166">
        <f>2*135*9</f>
        <v>2430</v>
      </c>
      <c r="Z1775" s="166">
        <v>1</v>
      </c>
      <c r="AA1775" s="164">
        <f>($L1775*'Pivot Objective'!$C$9^4)*Y1775*Z1775</f>
        <v>876667.58040533611</v>
      </c>
      <c r="AB1775" s="166">
        <f>2*135*9</f>
        <v>2430</v>
      </c>
      <c r="AC1775" s="166">
        <v>1</v>
      </c>
      <c r="AD1775" s="164">
        <f>($L1775*'Pivot Objective'!$C$9^5)*AB1775*AC1775</f>
        <v>1001961.8727012025</v>
      </c>
      <c r="AE1775" s="166">
        <f>2*135*9</f>
        <v>2430</v>
      </c>
      <c r="AF1775" s="166">
        <v>1</v>
      </c>
      <c r="AG1775" s="164">
        <f>($L1775*'Pivot Objective'!$C$9^6)*AE1775*AF1775</f>
        <v>1145163.3626998325</v>
      </c>
      <c r="AH1775" s="166">
        <f>2*135*9</f>
        <v>2430</v>
      </c>
      <c r="AI1775" s="166">
        <v>1</v>
      </c>
      <c r="AJ1775" s="164">
        <f>($L1775*'Pivot Objective'!$C$9^7)*AH1775*AI1775</f>
        <v>1308831.3667411015</v>
      </c>
      <c r="AK1775" s="185">
        <f t="shared" si="201"/>
        <v>6871760.5273651164</v>
      </c>
      <c r="AL1775" s="186">
        <f t="shared" si="202"/>
        <v>6671.6121624904044</v>
      </c>
    </row>
    <row r="1776" spans="1:38" customFormat="1" ht="43.2" x14ac:dyDescent="0.3">
      <c r="A1776" s="140" t="s">
        <v>1486</v>
      </c>
      <c r="B1776" s="140">
        <v>3</v>
      </c>
      <c r="C1776" s="166" t="s">
        <v>696</v>
      </c>
      <c r="D1776" s="140" t="str">
        <f t="shared" si="198"/>
        <v>3</v>
      </c>
      <c r="E1776" s="166" t="s">
        <v>691</v>
      </c>
      <c r="F1776" s="140">
        <f t="shared" si="203"/>
        <v>1</v>
      </c>
      <c r="G1776" s="140" t="str">
        <f t="shared" si="199"/>
        <v>3.3.1</v>
      </c>
      <c r="H1776" s="181" t="s">
        <v>657</v>
      </c>
      <c r="I1776" s="166" t="s">
        <v>39</v>
      </c>
      <c r="J1776" s="166" t="s">
        <v>327</v>
      </c>
      <c r="K1776" s="166" t="s">
        <v>708</v>
      </c>
      <c r="L1776" s="167">
        <f>500*1022</f>
        <v>511000</v>
      </c>
      <c r="M1776" s="166"/>
      <c r="N1776" s="166"/>
      <c r="O1776" s="164">
        <f t="shared" si="200"/>
        <v>0</v>
      </c>
      <c r="P1776" s="166">
        <v>0</v>
      </c>
      <c r="Q1776" s="166">
        <v>0</v>
      </c>
      <c r="R1776" s="164">
        <f>$L1776*'Pivot Objective'!$C$9*P1776*Q1776</f>
        <v>0</v>
      </c>
      <c r="S1776" s="166">
        <v>0</v>
      </c>
      <c r="T1776" s="166">
        <v>0</v>
      </c>
      <c r="U1776" s="164">
        <f>($L1776*'Pivot Objective'!$C$9^2)*S1776*T1776</f>
        <v>0</v>
      </c>
      <c r="V1776" s="166">
        <v>0</v>
      </c>
      <c r="W1776" s="166">
        <v>0</v>
      </c>
      <c r="X1776" s="164">
        <f>($L1776*'Pivot Objective'!$C$9^3)*V1776*W1776</f>
        <v>0</v>
      </c>
      <c r="Y1776" s="166">
        <v>1</v>
      </c>
      <c r="Z1776" s="166">
        <v>25</v>
      </c>
      <c r="AA1776" s="164">
        <f>($L1776*'Pivot Objective'!$C$9^4)*Y1776*Z1776</f>
        <v>21798464.680721607</v>
      </c>
      <c r="AB1776" s="166">
        <v>0</v>
      </c>
      <c r="AC1776" s="166">
        <v>0</v>
      </c>
      <c r="AD1776" s="164">
        <f>($L1776*'Pivot Objective'!$C$9^5)*AB1776*AC1776</f>
        <v>0</v>
      </c>
      <c r="AE1776" s="166">
        <v>0</v>
      </c>
      <c r="AF1776" s="166">
        <v>0</v>
      </c>
      <c r="AG1776" s="164">
        <f>($L1776*'Pivot Objective'!$C$9^6)*AE1776*AF1776</f>
        <v>0</v>
      </c>
      <c r="AH1776" s="166">
        <v>1</v>
      </c>
      <c r="AI1776" s="166">
        <v>25</v>
      </c>
      <c r="AJ1776" s="164">
        <f>($L1776*'Pivot Objective'!$C$9^7)*AH1776*AI1776</f>
        <v>32544278.993110616</v>
      </c>
      <c r="AK1776" s="185">
        <f t="shared" si="201"/>
        <v>54342743.673832223</v>
      </c>
      <c r="AL1776" s="186">
        <f t="shared" si="202"/>
        <v>52759.945314400218</v>
      </c>
    </row>
    <row r="1777" spans="1:38" customFormat="1" ht="43.2" x14ac:dyDescent="0.3">
      <c r="A1777" s="140" t="s">
        <v>1486</v>
      </c>
      <c r="B1777" s="140">
        <v>3</v>
      </c>
      <c r="C1777" s="166" t="s">
        <v>696</v>
      </c>
      <c r="D1777" s="140" t="str">
        <f t="shared" si="198"/>
        <v>3</v>
      </c>
      <c r="E1777" s="166" t="s">
        <v>691</v>
      </c>
      <c r="F1777" s="140">
        <f t="shared" si="203"/>
        <v>1</v>
      </c>
      <c r="G1777" s="140" t="str">
        <f t="shared" si="199"/>
        <v>3.3.1</v>
      </c>
      <c r="H1777" s="181" t="s">
        <v>657</v>
      </c>
      <c r="I1777" s="166" t="s">
        <v>40</v>
      </c>
      <c r="J1777" s="166" t="s">
        <v>328</v>
      </c>
      <c r="K1777" s="166" t="s">
        <v>707</v>
      </c>
      <c r="L1777" s="167">
        <v>391991.03749999998</v>
      </c>
      <c r="M1777" s="166">
        <v>2</v>
      </c>
      <c r="N1777" s="166">
        <v>2</v>
      </c>
      <c r="O1777" s="164">
        <f t="shared" si="200"/>
        <v>1567964.15</v>
      </c>
      <c r="P1777" s="166">
        <v>0</v>
      </c>
      <c r="Q1777" s="166">
        <v>0</v>
      </c>
      <c r="R1777" s="164">
        <f>$L1777*'Pivot Objective'!$C$9*P1777*Q1777</f>
        <v>0</v>
      </c>
      <c r="S1777" s="166">
        <v>0</v>
      </c>
      <c r="T1777" s="166">
        <v>0</v>
      </c>
      <c r="U1777" s="164">
        <f>($L1777*'Pivot Objective'!$C$9^2)*S1777*T1777</f>
        <v>0</v>
      </c>
      <c r="V1777" s="166">
        <v>0</v>
      </c>
      <c r="W1777" s="166">
        <v>0</v>
      </c>
      <c r="X1777" s="164">
        <f>($L1777*'Pivot Objective'!$C$9^3)*V1777*W1777</f>
        <v>0</v>
      </c>
      <c r="Y1777" s="166">
        <v>0</v>
      </c>
      <c r="Z1777" s="166">
        <v>0</v>
      </c>
      <c r="AA1777" s="164">
        <f>($L1777*'Pivot Objective'!$C$9^4)*Y1777*Z1777</f>
        <v>0</v>
      </c>
      <c r="AB1777" s="166">
        <v>0</v>
      </c>
      <c r="AC1777" s="166">
        <v>0</v>
      </c>
      <c r="AD1777" s="164">
        <f>($L1777*'Pivot Objective'!$C$9^5)*AB1777*AC1777</f>
        <v>0</v>
      </c>
      <c r="AE1777" s="166">
        <v>0</v>
      </c>
      <c r="AF1777" s="166">
        <v>0</v>
      </c>
      <c r="AG1777" s="164">
        <f>($L1777*'Pivot Objective'!$C$9^6)*AE1777*AF1777</f>
        <v>0</v>
      </c>
      <c r="AH1777" s="166">
        <v>0</v>
      </c>
      <c r="AI1777" s="166">
        <v>0</v>
      </c>
      <c r="AJ1777" s="164">
        <f>($L1777*'Pivot Objective'!$C$9^7)*AH1777*AI1777</f>
        <v>0</v>
      </c>
      <c r="AK1777" s="185">
        <f t="shared" si="201"/>
        <v>1567964.15</v>
      </c>
      <c r="AL1777" s="186">
        <f t="shared" si="202"/>
        <v>1522.2952912621358</v>
      </c>
    </row>
    <row r="1778" spans="1:38" customFormat="1" ht="43.2" x14ac:dyDescent="0.3">
      <c r="A1778" s="140" t="s">
        <v>1486</v>
      </c>
      <c r="B1778" s="140">
        <v>3</v>
      </c>
      <c r="C1778" s="166" t="s">
        <v>696</v>
      </c>
      <c r="D1778" s="140" t="str">
        <f t="shared" ref="D1778:D1841" si="204">RIGHT(A1778,1)</f>
        <v>3</v>
      </c>
      <c r="E1778" s="166" t="s">
        <v>691</v>
      </c>
      <c r="F1778" s="140">
        <f t="shared" si="203"/>
        <v>1</v>
      </c>
      <c r="G1778" s="140" t="str">
        <f t="shared" si="199"/>
        <v>3.3.1</v>
      </c>
      <c r="H1778" s="181" t="s">
        <v>657</v>
      </c>
      <c r="I1778" s="166" t="s">
        <v>40</v>
      </c>
      <c r="J1778" s="166" t="s">
        <v>328</v>
      </c>
      <c r="K1778" s="166" t="s">
        <v>741</v>
      </c>
      <c r="L1778" s="167">
        <f>42000*1022</f>
        <v>42924000</v>
      </c>
      <c r="M1778" s="166"/>
      <c r="N1778" s="166"/>
      <c r="O1778" s="164">
        <f t="shared" si="200"/>
        <v>0</v>
      </c>
      <c r="P1778" s="166">
        <v>2</v>
      </c>
      <c r="Q1778" s="166">
        <v>1</v>
      </c>
      <c r="R1778" s="164">
        <f>$L1778*'Pivot Objective'!$C$9*P1778*Q1778</f>
        <v>98117490.335255995</v>
      </c>
      <c r="S1778" s="166">
        <v>2</v>
      </c>
      <c r="T1778" s="166">
        <v>1</v>
      </c>
      <c r="U1778" s="164">
        <f>($L1778*'Pivot Objective'!$C$9^2)*S1778*T1778</f>
        <v>112140549.68885767</v>
      </c>
      <c r="V1778" s="166">
        <v>2</v>
      </c>
      <c r="W1778" s="166">
        <v>1</v>
      </c>
      <c r="X1778" s="164">
        <f>($L1778*'Pivot Objective'!$C$9^3)*V1778*W1778</f>
        <v>128167800.06857221</v>
      </c>
      <c r="Y1778" s="166">
        <v>2</v>
      </c>
      <c r="Z1778" s="166">
        <v>1</v>
      </c>
      <c r="AA1778" s="164">
        <f>($L1778*'Pivot Objective'!$C$9^4)*Y1778*Z1778</f>
        <v>146485682.65444922</v>
      </c>
      <c r="AB1778" s="166">
        <v>0</v>
      </c>
      <c r="AC1778" s="166">
        <v>0</v>
      </c>
      <c r="AD1778" s="164">
        <f>($L1778*'Pivot Objective'!$C$9^5)*AB1778*AC1778</f>
        <v>0</v>
      </c>
      <c r="AE1778" s="166">
        <v>0</v>
      </c>
      <c r="AF1778" s="166">
        <v>0</v>
      </c>
      <c r="AG1778" s="164">
        <f>($L1778*'Pivot Objective'!$C$9^6)*AE1778*AF1778</f>
        <v>0</v>
      </c>
      <c r="AH1778" s="166">
        <v>0</v>
      </c>
      <c r="AI1778" s="166">
        <v>0</v>
      </c>
      <c r="AJ1778" s="164">
        <f>($L1778*'Pivot Objective'!$C$9^7)*AH1778*AI1778</f>
        <v>0</v>
      </c>
      <c r="AK1778" s="185">
        <f t="shared" si="201"/>
        <v>484911522.7471351</v>
      </c>
      <c r="AL1778" s="186">
        <f t="shared" si="202"/>
        <v>470787.88616226707</v>
      </c>
    </row>
    <row r="1779" spans="1:38" customFormat="1" ht="43.2" x14ac:dyDescent="0.3">
      <c r="A1779" s="140" t="s">
        <v>1486</v>
      </c>
      <c r="B1779" s="140">
        <v>3</v>
      </c>
      <c r="C1779" s="166" t="s">
        <v>696</v>
      </c>
      <c r="D1779" s="140" t="str">
        <f t="shared" si="204"/>
        <v>3</v>
      </c>
      <c r="E1779" s="166" t="s">
        <v>691</v>
      </c>
      <c r="F1779" s="140">
        <f t="shared" si="203"/>
        <v>1</v>
      </c>
      <c r="G1779" s="140" t="str">
        <f t="shared" ref="G1779:G1842" si="205">B1779&amp;"."&amp;D1779&amp;"."&amp;F1779</f>
        <v>3.3.1</v>
      </c>
      <c r="H1779" s="181" t="s">
        <v>657</v>
      </c>
      <c r="I1779" s="166" t="s">
        <v>40</v>
      </c>
      <c r="J1779" s="166" t="s">
        <v>329</v>
      </c>
      <c r="K1779" s="166" t="s">
        <v>741</v>
      </c>
      <c r="L1779" s="167">
        <f>48000*1022</f>
        <v>49056000</v>
      </c>
      <c r="M1779" s="166"/>
      <c r="N1779" s="166"/>
      <c r="O1779" s="164">
        <f t="shared" si="200"/>
        <v>0</v>
      </c>
      <c r="P1779" s="166">
        <v>2</v>
      </c>
      <c r="Q1779" s="166">
        <v>1</v>
      </c>
      <c r="R1779" s="164">
        <f>$L1779*'Pivot Objective'!$C$9*P1779*Q1779</f>
        <v>112134274.66886398</v>
      </c>
      <c r="S1779" s="166">
        <v>2</v>
      </c>
      <c r="T1779" s="166">
        <v>1</v>
      </c>
      <c r="U1779" s="164">
        <f>($L1779*'Pivot Objective'!$C$9^2)*S1779*T1779</f>
        <v>128160628.21583733</v>
      </c>
      <c r="V1779" s="166">
        <v>2</v>
      </c>
      <c r="W1779" s="166">
        <v>1</v>
      </c>
      <c r="X1779" s="164">
        <f>($L1779*'Pivot Objective'!$C$9^3)*V1779*W1779</f>
        <v>146477485.79265395</v>
      </c>
      <c r="Y1779" s="166">
        <v>2</v>
      </c>
      <c r="Z1779" s="166">
        <v>1</v>
      </c>
      <c r="AA1779" s="164">
        <f>($L1779*'Pivot Objective'!$C$9^4)*Y1779*Z1779</f>
        <v>167412208.74794194</v>
      </c>
      <c r="AB1779" s="166">
        <v>0</v>
      </c>
      <c r="AC1779" s="166">
        <v>0</v>
      </c>
      <c r="AD1779" s="164">
        <f>($L1779*'Pivot Objective'!$C$9^5)*AB1779*AC1779</f>
        <v>0</v>
      </c>
      <c r="AE1779" s="166">
        <v>0</v>
      </c>
      <c r="AF1779" s="166">
        <v>0</v>
      </c>
      <c r="AG1779" s="164">
        <f>($L1779*'Pivot Objective'!$C$9^6)*AE1779*AF1779</f>
        <v>0</v>
      </c>
      <c r="AH1779" s="166">
        <v>0</v>
      </c>
      <c r="AI1779" s="166">
        <v>0</v>
      </c>
      <c r="AJ1779" s="164">
        <f>($L1779*'Pivot Objective'!$C$9^7)*AH1779*AI1779</f>
        <v>0</v>
      </c>
      <c r="AK1779" s="185">
        <f t="shared" si="201"/>
        <v>554184597.42529726</v>
      </c>
      <c r="AL1779" s="186">
        <f t="shared" si="202"/>
        <v>538043.29847116244</v>
      </c>
    </row>
    <row r="1780" spans="1:38" customFormat="1" ht="43.2" x14ac:dyDescent="0.3">
      <c r="A1780" s="140" t="s">
        <v>1486</v>
      </c>
      <c r="B1780" s="140">
        <v>3</v>
      </c>
      <c r="C1780" s="166" t="s">
        <v>696</v>
      </c>
      <c r="D1780" s="140" t="str">
        <f t="shared" si="204"/>
        <v>3</v>
      </c>
      <c r="E1780" s="166" t="s">
        <v>691</v>
      </c>
      <c r="F1780" s="140">
        <f t="shared" si="203"/>
        <v>1</v>
      </c>
      <c r="G1780" s="140" t="str">
        <f t="shared" si="205"/>
        <v>3.3.1</v>
      </c>
      <c r="H1780" s="181" t="s">
        <v>657</v>
      </c>
      <c r="I1780" s="166" t="s">
        <v>40</v>
      </c>
      <c r="J1780" s="166" t="s">
        <v>330</v>
      </c>
      <c r="K1780" s="166" t="s">
        <v>748</v>
      </c>
      <c r="L1780" s="167">
        <v>10000</v>
      </c>
      <c r="M1780" s="166"/>
      <c r="N1780" s="166"/>
      <c r="O1780" s="164">
        <f t="shared" si="200"/>
        <v>0</v>
      </c>
      <c r="P1780" s="166">
        <v>900</v>
      </c>
      <c r="Q1780" s="166">
        <v>1</v>
      </c>
      <c r="R1780" s="164">
        <f>$L1780*'Pivot Objective'!$C$9*P1780*Q1780</f>
        <v>10286289.872999998</v>
      </c>
      <c r="S1780" s="166">
        <v>200</v>
      </c>
      <c r="T1780" s="166">
        <v>1</v>
      </c>
      <c r="U1780" s="164">
        <f>($L1780*'Pivot Objective'!$C$9^2)*S1780*T1780</f>
        <v>2612537.2679353668</v>
      </c>
      <c r="V1780" s="166">
        <v>200</v>
      </c>
      <c r="W1780" s="166">
        <v>1</v>
      </c>
      <c r="X1780" s="164">
        <f>($L1780*'Pivot Objective'!$C$9^3)*V1780*W1780</f>
        <v>2985923.960222072</v>
      </c>
      <c r="Y1780" s="166"/>
      <c r="Z1780" s="166"/>
      <c r="AA1780" s="164">
        <f>($L1780*'Pivot Objective'!$C$9^4)*Y1780*Z1780</f>
        <v>0</v>
      </c>
      <c r="AB1780" s="166">
        <v>0</v>
      </c>
      <c r="AC1780" s="166">
        <v>0</v>
      </c>
      <c r="AD1780" s="164">
        <f>($L1780*'Pivot Objective'!$C$9^5)*AB1780*AC1780</f>
        <v>0</v>
      </c>
      <c r="AE1780" s="166">
        <v>0</v>
      </c>
      <c r="AF1780" s="166">
        <v>0</v>
      </c>
      <c r="AG1780" s="164">
        <f>($L1780*'Pivot Objective'!$C$9^6)*AE1780*AF1780</f>
        <v>0</v>
      </c>
      <c r="AH1780" s="166">
        <v>0</v>
      </c>
      <c r="AI1780" s="166">
        <v>0</v>
      </c>
      <c r="AJ1780" s="164">
        <f>($L1780*'Pivot Objective'!$C$9^7)*AH1780*AI1780</f>
        <v>0</v>
      </c>
      <c r="AK1780" s="185">
        <f t="shared" si="201"/>
        <v>15884751.101157438</v>
      </c>
      <c r="AL1780" s="186">
        <f t="shared" si="202"/>
        <v>15422.088447725668</v>
      </c>
    </row>
    <row r="1781" spans="1:38" customFormat="1" ht="43.2" x14ac:dyDescent="0.3">
      <c r="A1781" s="140" t="s">
        <v>1486</v>
      </c>
      <c r="B1781" s="140">
        <v>3</v>
      </c>
      <c r="C1781" s="166" t="s">
        <v>696</v>
      </c>
      <c r="D1781" s="140" t="str">
        <f t="shared" si="204"/>
        <v>3</v>
      </c>
      <c r="E1781" s="166" t="s">
        <v>691</v>
      </c>
      <c r="F1781" s="140">
        <f t="shared" si="203"/>
        <v>1</v>
      </c>
      <c r="G1781" s="140" t="str">
        <f t="shared" si="205"/>
        <v>3.3.1</v>
      </c>
      <c r="H1781" s="181" t="s">
        <v>657</v>
      </c>
      <c r="I1781" s="166" t="s">
        <v>40</v>
      </c>
      <c r="J1781" s="166" t="s">
        <v>749</v>
      </c>
      <c r="K1781" s="166" t="s">
        <v>750</v>
      </c>
      <c r="L1781" s="167">
        <v>420000000</v>
      </c>
      <c r="M1781" s="166"/>
      <c r="N1781" s="166"/>
      <c r="O1781" s="164">
        <f t="shared" si="200"/>
        <v>0</v>
      </c>
      <c r="P1781" s="166">
        <v>1</v>
      </c>
      <c r="Q1781" s="166">
        <v>1</v>
      </c>
      <c r="R1781" s="164">
        <f>$L1781*'Pivot Objective'!$C$9*P1781*Q1781</f>
        <v>480026860.73999995</v>
      </c>
      <c r="S1781" s="166">
        <v>1</v>
      </c>
      <c r="T1781" s="166">
        <v>1</v>
      </c>
      <c r="U1781" s="164">
        <f>($L1781*'Pivot Objective'!$C$9^2)*S1781*T1781</f>
        <v>548632826.26642692</v>
      </c>
      <c r="V1781" s="166">
        <v>1</v>
      </c>
      <c r="W1781" s="166">
        <v>1</v>
      </c>
      <c r="X1781" s="164">
        <f>($L1781*'Pivot Objective'!$C$9^3)*V1781*W1781</f>
        <v>627044031.64663506</v>
      </c>
      <c r="Y1781" s="166">
        <v>1</v>
      </c>
      <c r="Z1781" s="166">
        <v>1</v>
      </c>
      <c r="AA1781" s="164">
        <f>($L1781*'Pivot Objective'!$C$9^4)*Y1781*Z1781</f>
        <v>716661852.51687479</v>
      </c>
      <c r="AB1781" s="166">
        <v>1</v>
      </c>
      <c r="AC1781" s="166">
        <v>1</v>
      </c>
      <c r="AD1781" s="164">
        <f>($L1781*'Pivot Objective'!$C$9^5)*AB1781*AC1781</f>
        <v>819087950.65663862</v>
      </c>
      <c r="AE1781" s="166">
        <v>1</v>
      </c>
      <c r="AF1781" s="166">
        <v>1</v>
      </c>
      <c r="AG1781" s="164">
        <f>($L1781*'Pivot Objective'!$C$9^6)*AE1781*AF1781</f>
        <v>936152899.10396731</v>
      </c>
      <c r="AH1781" s="166">
        <v>1</v>
      </c>
      <c r="AI1781" s="166">
        <v>1</v>
      </c>
      <c r="AJ1781" s="164">
        <f>($L1781*'Pivot Objective'!$C$9^7)*AH1781*AI1781</f>
        <v>1069948898.4036366</v>
      </c>
      <c r="AK1781" s="185">
        <f t="shared" si="201"/>
        <v>5197555319.3341789</v>
      </c>
      <c r="AL1781" s="186">
        <f t="shared" si="202"/>
        <v>5046170.2129458049</v>
      </c>
    </row>
    <row r="1782" spans="1:38" customFormat="1" ht="43.2" x14ac:dyDescent="0.3">
      <c r="A1782" s="140" t="s">
        <v>1486</v>
      </c>
      <c r="B1782" s="140">
        <v>3</v>
      </c>
      <c r="C1782" s="166" t="s">
        <v>696</v>
      </c>
      <c r="D1782" s="140" t="str">
        <f t="shared" si="204"/>
        <v>3</v>
      </c>
      <c r="E1782" s="166" t="s">
        <v>691</v>
      </c>
      <c r="F1782" s="140">
        <f t="shared" si="203"/>
        <v>1</v>
      </c>
      <c r="G1782" s="140" t="str">
        <f t="shared" si="205"/>
        <v>3.3.1</v>
      </c>
      <c r="H1782" s="181" t="s">
        <v>657</v>
      </c>
      <c r="I1782" s="166" t="s">
        <v>40</v>
      </c>
      <c r="J1782" s="166" t="s">
        <v>1386</v>
      </c>
      <c r="K1782" s="166" t="s">
        <v>751</v>
      </c>
      <c r="L1782" s="167">
        <v>105000000</v>
      </c>
      <c r="M1782" s="166"/>
      <c r="N1782" s="166"/>
      <c r="O1782" s="164">
        <f t="shared" si="200"/>
        <v>0</v>
      </c>
      <c r="P1782" s="166">
        <v>1</v>
      </c>
      <c r="Q1782" s="166">
        <v>1</v>
      </c>
      <c r="R1782" s="164">
        <f>$L1782*'Pivot Objective'!$C$9*P1782*Q1782</f>
        <v>120006715.18499999</v>
      </c>
      <c r="S1782" s="166">
        <v>1</v>
      </c>
      <c r="T1782" s="166">
        <v>1</v>
      </c>
      <c r="U1782" s="164">
        <f>($L1782*'Pivot Objective'!$C$9^2)*S1782*T1782</f>
        <v>137158206.56660673</v>
      </c>
      <c r="V1782" s="166">
        <v>1</v>
      </c>
      <c r="W1782" s="166">
        <v>1</v>
      </c>
      <c r="X1782" s="164">
        <f>($L1782*'Pivot Objective'!$C$9^3)*V1782*W1782</f>
        <v>156761007.91165876</v>
      </c>
      <c r="Y1782" s="166">
        <v>1</v>
      </c>
      <c r="Z1782" s="166">
        <v>1</v>
      </c>
      <c r="AA1782" s="164">
        <f>($L1782*'Pivot Objective'!$C$9^4)*Y1782*Z1782</f>
        <v>179165463.1292187</v>
      </c>
      <c r="AB1782" s="166">
        <v>1</v>
      </c>
      <c r="AC1782" s="166">
        <v>1</v>
      </c>
      <c r="AD1782" s="164">
        <f>($L1782*'Pivot Objective'!$C$9^5)*AB1782*AC1782</f>
        <v>204771987.66415966</v>
      </c>
      <c r="AE1782" s="166">
        <v>1</v>
      </c>
      <c r="AF1782" s="166">
        <v>1</v>
      </c>
      <c r="AG1782" s="164">
        <f>($L1782*'Pivot Objective'!$C$9^6)*AE1782*AF1782</f>
        <v>234038224.77599183</v>
      </c>
      <c r="AH1782" s="166">
        <v>1</v>
      </c>
      <c r="AI1782" s="166">
        <v>1</v>
      </c>
      <c r="AJ1782" s="164">
        <f>($L1782*'Pivot Objective'!$C$9^7)*AH1782*AI1782</f>
        <v>267487224.60090914</v>
      </c>
      <c r="AK1782" s="185">
        <f t="shared" si="201"/>
        <v>1299388829.8335447</v>
      </c>
      <c r="AL1782" s="186">
        <f t="shared" si="202"/>
        <v>1261542.5532364512</v>
      </c>
    </row>
    <row r="1783" spans="1:38" customFormat="1" ht="43.2" x14ac:dyDescent="0.3">
      <c r="A1783" s="140" t="s">
        <v>1486</v>
      </c>
      <c r="B1783" s="140">
        <v>3</v>
      </c>
      <c r="C1783" s="166" t="s">
        <v>696</v>
      </c>
      <c r="D1783" s="140" t="str">
        <f t="shared" si="204"/>
        <v>3</v>
      </c>
      <c r="E1783" s="166" t="s">
        <v>691</v>
      </c>
      <c r="F1783" s="140">
        <f t="shared" si="203"/>
        <v>1</v>
      </c>
      <c r="G1783" s="140" t="str">
        <f t="shared" si="205"/>
        <v>3.3.1</v>
      </c>
      <c r="H1783" s="181" t="s">
        <v>657</v>
      </c>
      <c r="I1783" s="166" t="s">
        <v>40</v>
      </c>
      <c r="J1783" s="166" t="s">
        <v>332</v>
      </c>
      <c r="K1783" s="166" t="s">
        <v>709</v>
      </c>
      <c r="L1783" s="167">
        <v>35000</v>
      </c>
      <c r="M1783" s="166">
        <v>1000</v>
      </c>
      <c r="N1783" s="166">
        <v>6</v>
      </c>
      <c r="O1783" s="164">
        <f t="shared" si="200"/>
        <v>210000000</v>
      </c>
      <c r="P1783" s="166">
        <v>0</v>
      </c>
      <c r="Q1783" s="166">
        <v>0</v>
      </c>
      <c r="R1783" s="164">
        <f>$L1783*'Pivot Objective'!$C$9*P1783*Q1783</f>
        <v>0</v>
      </c>
      <c r="S1783" s="166">
        <v>0</v>
      </c>
      <c r="T1783" s="166">
        <v>0</v>
      </c>
      <c r="U1783" s="164">
        <f>($L1783*'Pivot Objective'!$C$9^2)*S1783*T1783</f>
        <v>0</v>
      </c>
      <c r="V1783" s="166">
        <v>0</v>
      </c>
      <c r="W1783" s="166">
        <v>0</v>
      </c>
      <c r="X1783" s="164">
        <f>($L1783*'Pivot Objective'!$C$9^3)*V1783*W1783</f>
        <v>0</v>
      </c>
      <c r="Y1783" s="166">
        <v>0</v>
      </c>
      <c r="Z1783" s="166">
        <v>0</v>
      </c>
      <c r="AA1783" s="164">
        <f>($L1783*'Pivot Objective'!$C$9^4)*Y1783*Z1783</f>
        <v>0</v>
      </c>
      <c r="AB1783" s="166">
        <v>0</v>
      </c>
      <c r="AC1783" s="166">
        <v>0</v>
      </c>
      <c r="AD1783" s="164">
        <f>($L1783*'Pivot Objective'!$C$9^5)*AB1783*AC1783</f>
        <v>0</v>
      </c>
      <c r="AE1783" s="166">
        <v>0</v>
      </c>
      <c r="AF1783" s="166">
        <v>0</v>
      </c>
      <c r="AG1783" s="164">
        <f>($L1783*'Pivot Objective'!$C$9^6)*AE1783*AF1783</f>
        <v>0</v>
      </c>
      <c r="AH1783" s="166">
        <v>0</v>
      </c>
      <c r="AI1783" s="166">
        <v>0</v>
      </c>
      <c r="AJ1783" s="164">
        <f>($L1783*'Pivot Objective'!$C$9^7)*AH1783*AI1783</f>
        <v>0</v>
      </c>
      <c r="AK1783" s="185">
        <f t="shared" si="201"/>
        <v>210000000</v>
      </c>
      <c r="AL1783" s="186">
        <f t="shared" si="202"/>
        <v>203883.49514563108</v>
      </c>
    </row>
    <row r="1784" spans="1:38" customFormat="1" ht="43.2" x14ac:dyDescent="0.3">
      <c r="A1784" s="140" t="s">
        <v>1486</v>
      </c>
      <c r="B1784" s="140">
        <v>3</v>
      </c>
      <c r="C1784" s="166" t="s">
        <v>696</v>
      </c>
      <c r="D1784" s="140" t="str">
        <f t="shared" si="204"/>
        <v>3</v>
      </c>
      <c r="E1784" s="166" t="s">
        <v>691</v>
      </c>
      <c r="F1784" s="140">
        <f t="shared" si="203"/>
        <v>1</v>
      </c>
      <c r="G1784" s="140" t="str">
        <f t="shared" si="205"/>
        <v>3.3.1</v>
      </c>
      <c r="H1784" s="181" t="s">
        <v>657</v>
      </c>
      <c r="I1784" s="166" t="s">
        <v>40</v>
      </c>
      <c r="J1784" s="166" t="s">
        <v>332</v>
      </c>
      <c r="K1784" s="166" t="s">
        <v>712</v>
      </c>
      <c r="L1784" s="167">
        <f>1480/7</f>
        <v>211.42857142857142</v>
      </c>
      <c r="M1784" s="166">
        <v>22500</v>
      </c>
      <c r="N1784" s="166">
        <v>5</v>
      </c>
      <c r="O1784" s="164">
        <f t="shared" si="200"/>
        <v>23785714.285714287</v>
      </c>
      <c r="P1784" s="166">
        <v>0</v>
      </c>
      <c r="Q1784" s="166">
        <v>0</v>
      </c>
      <c r="R1784" s="164">
        <f>$L1784*'Pivot Objective'!$C$9*P1784*Q1784</f>
        <v>0</v>
      </c>
      <c r="S1784" s="166">
        <v>0</v>
      </c>
      <c r="T1784" s="166">
        <v>0</v>
      </c>
      <c r="U1784" s="164">
        <f>($L1784*'Pivot Objective'!$C$9^2)*S1784*T1784</f>
        <v>0</v>
      </c>
      <c r="V1784" s="166">
        <v>0</v>
      </c>
      <c r="W1784" s="166">
        <v>0</v>
      </c>
      <c r="X1784" s="164">
        <f>($L1784*'Pivot Objective'!$C$9^3)*V1784*W1784</f>
        <v>0</v>
      </c>
      <c r="Y1784" s="166">
        <v>0</v>
      </c>
      <c r="Z1784" s="166">
        <v>0</v>
      </c>
      <c r="AA1784" s="164">
        <f>($L1784*'Pivot Objective'!$C$9^4)*Y1784*Z1784</f>
        <v>0</v>
      </c>
      <c r="AB1784" s="166">
        <v>0</v>
      </c>
      <c r="AC1784" s="166">
        <v>0</v>
      </c>
      <c r="AD1784" s="164">
        <f>($L1784*'Pivot Objective'!$C$9^5)*AB1784*AC1784</f>
        <v>0</v>
      </c>
      <c r="AE1784" s="166">
        <v>0</v>
      </c>
      <c r="AF1784" s="166">
        <v>0</v>
      </c>
      <c r="AG1784" s="164">
        <f>($L1784*'Pivot Objective'!$C$9^6)*AE1784*AF1784</f>
        <v>0</v>
      </c>
      <c r="AH1784" s="166">
        <v>0</v>
      </c>
      <c r="AI1784" s="166">
        <v>0</v>
      </c>
      <c r="AJ1784" s="164">
        <f>($L1784*'Pivot Objective'!$C$9^7)*AH1784*AI1784</f>
        <v>0</v>
      </c>
      <c r="AK1784" s="185">
        <f t="shared" si="201"/>
        <v>23785714.285714287</v>
      </c>
      <c r="AL1784" s="186">
        <f t="shared" si="202"/>
        <v>23092.926490984744</v>
      </c>
    </row>
    <row r="1785" spans="1:38" customFormat="1" ht="43.2" x14ac:dyDescent="0.3">
      <c r="A1785" s="140" t="s">
        <v>1486</v>
      </c>
      <c r="B1785" s="140">
        <v>3</v>
      </c>
      <c r="C1785" s="166" t="s">
        <v>696</v>
      </c>
      <c r="D1785" s="140" t="str">
        <f t="shared" si="204"/>
        <v>3</v>
      </c>
      <c r="E1785" s="166" t="s">
        <v>691</v>
      </c>
      <c r="F1785" s="140">
        <f t="shared" si="203"/>
        <v>1</v>
      </c>
      <c r="G1785" s="140" t="str">
        <f t="shared" si="205"/>
        <v>3.3.1</v>
      </c>
      <c r="H1785" s="181" t="s">
        <v>657</v>
      </c>
      <c r="I1785" s="166" t="s">
        <v>40</v>
      </c>
      <c r="J1785" s="166" t="s">
        <v>332</v>
      </c>
      <c r="K1785" s="166" t="s">
        <v>716</v>
      </c>
      <c r="L1785" s="167">
        <v>39000</v>
      </c>
      <c r="M1785" s="166">
        <v>1000</v>
      </c>
      <c r="N1785" s="166">
        <v>6</v>
      </c>
      <c r="O1785" s="164">
        <f t="shared" si="200"/>
        <v>234000000</v>
      </c>
      <c r="P1785" s="166"/>
      <c r="Q1785" s="166"/>
      <c r="R1785" s="164">
        <f>$L1785*'Pivot Objective'!$C$9*P1785*Q1785</f>
        <v>0</v>
      </c>
      <c r="S1785" s="166"/>
      <c r="T1785" s="166"/>
      <c r="U1785" s="164">
        <f>($L1785*'Pivot Objective'!$C$9^2)*S1785*T1785</f>
        <v>0</v>
      </c>
      <c r="V1785" s="166"/>
      <c r="W1785" s="166"/>
      <c r="X1785" s="164">
        <f>($L1785*'Pivot Objective'!$C$9^3)*V1785*W1785</f>
        <v>0</v>
      </c>
      <c r="Y1785" s="166"/>
      <c r="Z1785" s="166"/>
      <c r="AA1785" s="164">
        <f>($L1785*'Pivot Objective'!$C$9^4)*Y1785*Z1785</f>
        <v>0</v>
      </c>
      <c r="AB1785" s="166"/>
      <c r="AC1785" s="166"/>
      <c r="AD1785" s="164">
        <f>($L1785*'Pivot Objective'!$C$9^5)*AB1785*AC1785</f>
        <v>0</v>
      </c>
      <c r="AE1785" s="166"/>
      <c r="AF1785" s="166"/>
      <c r="AG1785" s="164">
        <f>($L1785*'Pivot Objective'!$C$9^6)*AE1785*AF1785</f>
        <v>0</v>
      </c>
      <c r="AH1785" s="166"/>
      <c r="AI1785" s="166"/>
      <c r="AJ1785" s="164">
        <f>($L1785*'Pivot Objective'!$C$9^7)*AH1785*AI1785</f>
        <v>0</v>
      </c>
      <c r="AK1785" s="185">
        <f t="shared" si="201"/>
        <v>234000000</v>
      </c>
      <c r="AL1785" s="186">
        <f t="shared" si="202"/>
        <v>227184.46601941748</v>
      </c>
    </row>
    <row r="1786" spans="1:38" customFormat="1" ht="43.2" x14ac:dyDescent="0.3">
      <c r="A1786" s="140" t="s">
        <v>1486</v>
      </c>
      <c r="B1786" s="140">
        <v>3</v>
      </c>
      <c r="C1786" s="166" t="s">
        <v>696</v>
      </c>
      <c r="D1786" s="140" t="str">
        <f t="shared" si="204"/>
        <v>3</v>
      </c>
      <c r="E1786" s="166" t="s">
        <v>691</v>
      </c>
      <c r="F1786" s="140">
        <f t="shared" si="203"/>
        <v>1</v>
      </c>
      <c r="G1786" s="140" t="str">
        <f t="shared" si="205"/>
        <v>3.3.1</v>
      </c>
      <c r="H1786" s="181" t="s">
        <v>657</v>
      </c>
      <c r="I1786" s="166" t="s">
        <v>40</v>
      </c>
      <c r="J1786" s="166" t="s">
        <v>332</v>
      </c>
      <c r="K1786" s="166" t="s">
        <v>1299</v>
      </c>
      <c r="L1786" s="167">
        <f>1480/7</f>
        <v>211.42857142857142</v>
      </c>
      <c r="M1786" s="166">
        <v>99000</v>
      </c>
      <c r="N1786" s="166">
        <v>1</v>
      </c>
      <c r="O1786" s="164">
        <f t="shared" si="200"/>
        <v>20931428.571428571</v>
      </c>
      <c r="P1786" s="166"/>
      <c r="Q1786" s="166"/>
      <c r="R1786" s="164">
        <f>$L1786*'Pivot Objective'!$C$9*P1786*Q1786</f>
        <v>0</v>
      </c>
      <c r="S1786" s="166"/>
      <c r="T1786" s="166"/>
      <c r="U1786" s="164">
        <f>($L1786*'Pivot Objective'!$C$9^2)*S1786*T1786</f>
        <v>0</v>
      </c>
      <c r="V1786" s="166"/>
      <c r="W1786" s="166"/>
      <c r="X1786" s="164">
        <f>($L1786*'Pivot Objective'!$C$9^3)*V1786*W1786</f>
        <v>0</v>
      </c>
      <c r="Y1786" s="166"/>
      <c r="Z1786" s="166"/>
      <c r="AA1786" s="164">
        <f>($L1786*'Pivot Objective'!$C$9^4)*Y1786*Z1786</f>
        <v>0</v>
      </c>
      <c r="AB1786" s="166"/>
      <c r="AC1786" s="166"/>
      <c r="AD1786" s="164">
        <f>($L1786*'Pivot Objective'!$C$9^5)*AB1786*AC1786</f>
        <v>0</v>
      </c>
      <c r="AE1786" s="166"/>
      <c r="AF1786" s="166"/>
      <c r="AG1786" s="164">
        <f>($L1786*'Pivot Objective'!$C$9^6)*AE1786*AF1786</f>
        <v>0</v>
      </c>
      <c r="AH1786" s="166"/>
      <c r="AI1786" s="166"/>
      <c r="AJ1786" s="164">
        <f>($L1786*'Pivot Objective'!$C$9^7)*AH1786*AI1786</f>
        <v>0</v>
      </c>
      <c r="AK1786" s="185">
        <f t="shared" si="201"/>
        <v>20931428.571428571</v>
      </c>
      <c r="AL1786" s="186">
        <f t="shared" si="202"/>
        <v>20321.775312066573</v>
      </c>
    </row>
    <row r="1787" spans="1:38" customFormat="1" ht="43.2" x14ac:dyDescent="0.3">
      <c r="A1787" s="140" t="s">
        <v>1486</v>
      </c>
      <c r="B1787" s="140">
        <v>3</v>
      </c>
      <c r="C1787" s="166" t="s">
        <v>696</v>
      </c>
      <c r="D1787" s="140" t="str">
        <f t="shared" si="204"/>
        <v>3</v>
      </c>
      <c r="E1787" s="166" t="s">
        <v>691</v>
      </c>
      <c r="F1787" s="140">
        <f t="shared" si="203"/>
        <v>1</v>
      </c>
      <c r="G1787" s="140" t="str">
        <f t="shared" si="205"/>
        <v>3.3.1</v>
      </c>
      <c r="H1787" s="181" t="s">
        <v>657</v>
      </c>
      <c r="I1787" s="166" t="s">
        <v>40</v>
      </c>
      <c r="J1787" s="166" t="s">
        <v>333</v>
      </c>
      <c r="K1787" s="166" t="s">
        <v>716</v>
      </c>
      <c r="L1787" s="167">
        <v>39000</v>
      </c>
      <c r="M1787" s="166">
        <v>30</v>
      </c>
      <c r="N1787" s="166">
        <f>3*4</f>
        <v>12</v>
      </c>
      <c r="O1787" s="164">
        <f t="shared" si="200"/>
        <v>14040000</v>
      </c>
      <c r="P1787" s="166">
        <v>30</v>
      </c>
      <c r="Q1787" s="166">
        <f>3*4</f>
        <v>12</v>
      </c>
      <c r="R1787" s="164">
        <f>$L1787*'Pivot Objective'!$C$9*P1787*Q1787</f>
        <v>16046612.201879997</v>
      </c>
      <c r="S1787" s="166">
        <v>30</v>
      </c>
      <c r="T1787" s="166">
        <f>3*4</f>
        <v>12</v>
      </c>
      <c r="U1787" s="164">
        <f>($L1787*'Pivot Objective'!$C$9^2)*S1787*T1787</f>
        <v>18340011.620906271</v>
      </c>
      <c r="V1787" s="166">
        <v>30</v>
      </c>
      <c r="W1787" s="166">
        <f>3*4</f>
        <v>12</v>
      </c>
      <c r="X1787" s="164">
        <f>($L1787*'Pivot Objective'!$C$9^3)*V1787*W1787</f>
        <v>20961186.200758941</v>
      </c>
      <c r="Y1787" s="166">
        <v>30</v>
      </c>
      <c r="Z1787" s="166">
        <f>3*4</f>
        <v>12</v>
      </c>
      <c r="AA1787" s="164">
        <f>($L1787*'Pivot Objective'!$C$9^4)*Y1787*Z1787</f>
        <v>23956981.92699267</v>
      </c>
      <c r="AB1787" s="166">
        <v>30</v>
      </c>
      <c r="AC1787" s="166">
        <f>3*4</f>
        <v>12</v>
      </c>
      <c r="AD1787" s="164">
        <f>($L1787*'Pivot Objective'!$C$9^5)*AB1787*AC1787</f>
        <v>27380940.064807635</v>
      </c>
      <c r="AE1787" s="166">
        <v>30</v>
      </c>
      <c r="AF1787" s="166">
        <f>3*4</f>
        <v>12</v>
      </c>
      <c r="AG1787" s="164">
        <f>($L1787*'Pivot Objective'!$C$9^6)*AE1787*AF1787</f>
        <v>31294254.055761192</v>
      </c>
      <c r="AH1787" s="166">
        <v>30</v>
      </c>
      <c r="AI1787" s="166">
        <f>3*4</f>
        <v>12</v>
      </c>
      <c r="AJ1787" s="164">
        <f>($L1787*'Pivot Objective'!$C$9^7)*AH1787*AI1787</f>
        <v>35766863.17520728</v>
      </c>
      <c r="AK1787" s="185">
        <f t="shared" si="201"/>
        <v>187786849.24631399</v>
      </c>
      <c r="AL1787" s="186">
        <f t="shared" si="202"/>
        <v>182317.32936535339</v>
      </c>
    </row>
    <row r="1788" spans="1:38" customFormat="1" ht="43.2" x14ac:dyDescent="0.3">
      <c r="A1788" s="140" t="s">
        <v>1486</v>
      </c>
      <c r="B1788" s="140">
        <v>3</v>
      </c>
      <c r="C1788" s="166" t="s">
        <v>696</v>
      </c>
      <c r="D1788" s="140" t="str">
        <f t="shared" si="204"/>
        <v>3</v>
      </c>
      <c r="E1788" s="166" t="s">
        <v>691</v>
      </c>
      <c r="F1788" s="140">
        <f t="shared" si="203"/>
        <v>1</v>
      </c>
      <c r="G1788" s="140" t="str">
        <f t="shared" si="205"/>
        <v>3.3.1</v>
      </c>
      <c r="H1788" s="181" t="s">
        <v>657</v>
      </c>
      <c r="I1788" s="166" t="s">
        <v>40</v>
      </c>
      <c r="J1788" s="166" t="s">
        <v>333</v>
      </c>
      <c r="K1788" s="166" t="s">
        <v>709</v>
      </c>
      <c r="L1788" s="167">
        <v>35000</v>
      </c>
      <c r="M1788" s="166">
        <v>30</v>
      </c>
      <c r="N1788" s="166">
        <f>3*4</f>
        <v>12</v>
      </c>
      <c r="O1788" s="164">
        <f t="shared" si="200"/>
        <v>12600000</v>
      </c>
      <c r="P1788" s="166">
        <v>30</v>
      </c>
      <c r="Q1788" s="166">
        <f>3*4</f>
        <v>12</v>
      </c>
      <c r="R1788" s="164">
        <f>$L1788*'Pivot Objective'!$C$9*P1788*Q1788</f>
        <v>14400805.822199997</v>
      </c>
      <c r="S1788" s="166">
        <v>30</v>
      </c>
      <c r="T1788" s="166">
        <f>3*4</f>
        <v>12</v>
      </c>
      <c r="U1788" s="164">
        <f>($L1788*'Pivot Objective'!$C$9^2)*S1788*T1788</f>
        <v>16458984.787992805</v>
      </c>
      <c r="V1788" s="166">
        <v>30</v>
      </c>
      <c r="W1788" s="166">
        <f>3*4</f>
        <v>12</v>
      </c>
      <c r="X1788" s="164">
        <f>($L1788*'Pivot Objective'!$C$9^3)*V1788*W1788</f>
        <v>18811320.949399054</v>
      </c>
      <c r="Y1788" s="166">
        <v>30</v>
      </c>
      <c r="Z1788" s="166">
        <f>3*4</f>
        <v>12</v>
      </c>
      <c r="AA1788" s="164">
        <f>($L1788*'Pivot Objective'!$C$9^4)*Y1788*Z1788</f>
        <v>21499855.575506248</v>
      </c>
      <c r="AB1788" s="166">
        <v>30</v>
      </c>
      <c r="AC1788" s="166">
        <f>3*4</f>
        <v>12</v>
      </c>
      <c r="AD1788" s="164">
        <f>($L1788*'Pivot Objective'!$C$9^5)*AB1788*AC1788</f>
        <v>24572638.519699156</v>
      </c>
      <c r="AE1788" s="166">
        <v>30</v>
      </c>
      <c r="AF1788" s="166">
        <f>3*4</f>
        <v>12</v>
      </c>
      <c r="AG1788" s="164">
        <f>($L1788*'Pivot Objective'!$C$9^6)*AE1788*AF1788</f>
        <v>28084586.97311902</v>
      </c>
      <c r="AH1788" s="166">
        <v>30</v>
      </c>
      <c r="AI1788" s="166">
        <f>3*4</f>
        <v>12</v>
      </c>
      <c r="AJ1788" s="164">
        <f>($L1788*'Pivot Objective'!$C$9^7)*AH1788*AI1788</f>
        <v>32098466.952109098</v>
      </c>
      <c r="AK1788" s="185">
        <f t="shared" si="201"/>
        <v>168526659.58002537</v>
      </c>
      <c r="AL1788" s="186">
        <f t="shared" si="202"/>
        <v>163618.11609711201</v>
      </c>
    </row>
    <row r="1789" spans="1:38" customFormat="1" ht="43.2" x14ac:dyDescent="0.3">
      <c r="A1789" s="140" t="s">
        <v>1486</v>
      </c>
      <c r="B1789" s="140">
        <v>3</v>
      </c>
      <c r="C1789" s="166" t="s">
        <v>696</v>
      </c>
      <c r="D1789" s="140" t="str">
        <f t="shared" si="204"/>
        <v>3</v>
      </c>
      <c r="E1789" s="166" t="s">
        <v>691</v>
      </c>
      <c r="F1789" s="140">
        <f t="shared" si="203"/>
        <v>1</v>
      </c>
      <c r="G1789" s="140" t="str">
        <f t="shared" si="205"/>
        <v>3.3.1</v>
      </c>
      <c r="H1789" s="181" t="s">
        <v>657</v>
      </c>
      <c r="I1789" s="166" t="s">
        <v>40</v>
      </c>
      <c r="J1789" s="166" t="s">
        <v>333</v>
      </c>
      <c r="K1789" s="166" t="s">
        <v>712</v>
      </c>
      <c r="L1789" s="167">
        <f>1480/7</f>
        <v>211.42857142857142</v>
      </c>
      <c r="M1789" s="166">
        <f>2*25*10</f>
        <v>500</v>
      </c>
      <c r="N1789" s="166">
        <f>3*4</f>
        <v>12</v>
      </c>
      <c r="O1789" s="164">
        <f t="shared" si="200"/>
        <v>1268571.4285714286</v>
      </c>
      <c r="P1789" s="166">
        <f>2*25*10</f>
        <v>500</v>
      </c>
      <c r="Q1789" s="166">
        <f>3*4</f>
        <v>12</v>
      </c>
      <c r="R1789" s="164">
        <f>$L1789*'Pivot Objective'!$C$9*P1789*Q1789</f>
        <v>1449877.048765714</v>
      </c>
      <c r="S1789" s="166">
        <f>2*25*10</f>
        <v>500</v>
      </c>
      <c r="T1789" s="166">
        <f>3*4</f>
        <v>12</v>
      </c>
      <c r="U1789" s="164">
        <f>($L1789*'Pivot Objective'!$C$9^2)*S1789*T1789</f>
        <v>1657095.0670904326</v>
      </c>
      <c r="V1789" s="166">
        <f>2*25*10</f>
        <v>500</v>
      </c>
      <c r="W1789" s="166">
        <f>3*4</f>
        <v>12</v>
      </c>
      <c r="X1789" s="164">
        <f>($L1789*'Pivot Objective'!$C$9^3)*V1789*W1789</f>
        <v>1893928.9119122853</v>
      </c>
      <c r="Y1789" s="166">
        <f>2*25*10</f>
        <v>500</v>
      </c>
      <c r="Z1789" s="166">
        <f>3*4</f>
        <v>12</v>
      </c>
      <c r="AA1789" s="164">
        <f>($L1789*'Pivot Objective'!$C$9^4)*Y1789*Z1789</f>
        <v>2164611.3096428053</v>
      </c>
      <c r="AB1789" s="166">
        <f>2*25*10</f>
        <v>500</v>
      </c>
      <c r="AC1789" s="166">
        <f>3*4</f>
        <v>12</v>
      </c>
      <c r="AD1789" s="164">
        <f>($L1789*'Pivot Objective'!$C$9^5)*AB1789*AC1789</f>
        <v>2473979.9325955613</v>
      </c>
      <c r="AE1789" s="166">
        <f>2*25*10</f>
        <v>500</v>
      </c>
      <c r="AF1789" s="166">
        <f>3*4</f>
        <v>12</v>
      </c>
      <c r="AG1789" s="164">
        <f>($L1789*'Pivot Objective'!$C$9^6)*AE1789*AF1789</f>
        <v>2827563.858518105</v>
      </c>
      <c r="AH1789" s="166">
        <f>2*25*10</f>
        <v>500</v>
      </c>
      <c r="AI1789" s="166">
        <f>3*4</f>
        <v>12</v>
      </c>
      <c r="AJ1789" s="164">
        <f>($L1789*'Pivot Objective'!$C$9^7)*AH1789*AI1789</f>
        <v>3231682.3870150652</v>
      </c>
      <c r="AK1789" s="185">
        <f t="shared" si="201"/>
        <v>16967309.944111399</v>
      </c>
      <c r="AL1789" s="186">
        <f t="shared" si="202"/>
        <v>16473.116450593592</v>
      </c>
    </row>
    <row r="1790" spans="1:38" customFormat="1" ht="43.2" x14ac:dyDescent="0.3">
      <c r="A1790" s="140" t="s">
        <v>1486</v>
      </c>
      <c r="B1790" s="140">
        <v>3</v>
      </c>
      <c r="C1790" s="166" t="s">
        <v>696</v>
      </c>
      <c r="D1790" s="140" t="str">
        <f t="shared" si="204"/>
        <v>3</v>
      </c>
      <c r="E1790" s="166" t="s">
        <v>691</v>
      </c>
      <c r="F1790" s="140">
        <f t="shared" si="203"/>
        <v>1</v>
      </c>
      <c r="G1790" s="140" t="str">
        <f t="shared" si="205"/>
        <v>3.3.1</v>
      </c>
      <c r="H1790" s="181" t="s">
        <v>657</v>
      </c>
      <c r="I1790" s="166" t="s">
        <v>40</v>
      </c>
      <c r="J1790" s="166" t="s">
        <v>333</v>
      </c>
      <c r="K1790" s="166" t="s">
        <v>1299</v>
      </c>
      <c r="L1790" s="167">
        <f>1480/7</f>
        <v>211.42857142857142</v>
      </c>
      <c r="M1790" s="166">
        <f>2*135*10</f>
        <v>2700</v>
      </c>
      <c r="N1790" s="166">
        <v>4</v>
      </c>
      <c r="O1790" s="164">
        <f t="shared" si="200"/>
        <v>2283428.5714285714</v>
      </c>
      <c r="P1790" s="166">
        <f>2*135*10</f>
        <v>2700</v>
      </c>
      <c r="Q1790" s="166">
        <v>4</v>
      </c>
      <c r="R1790" s="164">
        <f>$L1790*'Pivot Objective'!$C$9*P1790*Q1790</f>
        <v>2609778.6877782852</v>
      </c>
      <c r="S1790" s="166">
        <f>2*135*10</f>
        <v>2700</v>
      </c>
      <c r="T1790" s="166">
        <v>4</v>
      </c>
      <c r="U1790" s="164">
        <f>($L1790*'Pivot Objective'!$C$9^2)*S1790*T1790</f>
        <v>2982771.1207627784</v>
      </c>
      <c r="V1790" s="166">
        <f>2*135*10</f>
        <v>2700</v>
      </c>
      <c r="W1790" s="166">
        <v>4</v>
      </c>
      <c r="X1790" s="164">
        <f>($L1790*'Pivot Objective'!$C$9^3)*V1790*W1790</f>
        <v>3409072.0414421135</v>
      </c>
      <c r="Y1790" s="166">
        <f>2*135*10</f>
        <v>2700</v>
      </c>
      <c r="Z1790" s="166">
        <v>4</v>
      </c>
      <c r="AA1790" s="164">
        <f>($L1790*'Pivot Objective'!$C$9^4)*Y1790*Z1790</f>
        <v>3896300.3573570494</v>
      </c>
      <c r="AB1790" s="166">
        <f>2*135*10</f>
        <v>2700</v>
      </c>
      <c r="AC1790" s="166">
        <v>4</v>
      </c>
      <c r="AD1790" s="164">
        <f>($L1790*'Pivot Objective'!$C$9^5)*AB1790*AC1790</f>
        <v>4453163.8786720112</v>
      </c>
      <c r="AE1790" s="166">
        <f>2*135*10</f>
        <v>2700</v>
      </c>
      <c r="AF1790" s="166">
        <v>4</v>
      </c>
      <c r="AG1790" s="164">
        <f>($L1790*'Pivot Objective'!$C$9^6)*AE1790*AF1790</f>
        <v>5089614.9453325896</v>
      </c>
      <c r="AH1790" s="166">
        <f>2*135*10</f>
        <v>2700</v>
      </c>
      <c r="AI1790" s="166">
        <v>4</v>
      </c>
      <c r="AJ1790" s="164">
        <f>($L1790*'Pivot Objective'!$C$9^7)*AH1790*AI1790</f>
        <v>5817028.2966271173</v>
      </c>
      <c r="AK1790" s="185">
        <f t="shared" si="201"/>
        <v>30541157.899400517</v>
      </c>
      <c r="AL1790" s="186">
        <f t="shared" si="202"/>
        <v>29651.609611068463</v>
      </c>
    </row>
    <row r="1791" spans="1:38" customFormat="1" ht="43.2" x14ac:dyDescent="0.3">
      <c r="A1791" s="140" t="s">
        <v>1486</v>
      </c>
      <c r="B1791" s="140">
        <v>3</v>
      </c>
      <c r="C1791" s="166" t="s">
        <v>696</v>
      </c>
      <c r="D1791" s="140" t="str">
        <f t="shared" si="204"/>
        <v>3</v>
      </c>
      <c r="E1791" s="166" t="s">
        <v>691</v>
      </c>
      <c r="F1791" s="140">
        <f t="shared" si="203"/>
        <v>1</v>
      </c>
      <c r="G1791" s="140" t="str">
        <f t="shared" si="205"/>
        <v>3.3.1</v>
      </c>
      <c r="H1791" s="181" t="s">
        <v>657</v>
      </c>
      <c r="I1791" s="166" t="s">
        <v>40</v>
      </c>
      <c r="J1791" s="166" t="s">
        <v>374</v>
      </c>
      <c r="K1791" s="166" t="s">
        <v>713</v>
      </c>
      <c r="L1791" s="167">
        <v>45000</v>
      </c>
      <c r="M1791" s="166">
        <v>58</v>
      </c>
      <c r="N1791" s="166">
        <f>6*4</f>
        <v>24</v>
      </c>
      <c r="O1791" s="164">
        <f t="shared" si="200"/>
        <v>62640000</v>
      </c>
      <c r="P1791" s="166">
        <v>58</v>
      </c>
      <c r="Q1791" s="166">
        <f>6*4</f>
        <v>24</v>
      </c>
      <c r="R1791" s="164">
        <f>$L1791*'Pivot Objective'!$C$9*P1791*Q1791</f>
        <v>71592577.516079992</v>
      </c>
      <c r="S1791" s="166">
        <v>58</v>
      </c>
      <c r="T1791" s="166">
        <f>6*4</f>
        <v>24</v>
      </c>
      <c r="U1791" s="164">
        <f>($L1791*'Pivot Objective'!$C$9^2)*S1791*T1791</f>
        <v>81824667.231735677</v>
      </c>
      <c r="V1791" s="166">
        <v>58</v>
      </c>
      <c r="W1791" s="166">
        <f>6*4</f>
        <v>24</v>
      </c>
      <c r="X1791" s="164">
        <f>($L1791*'Pivot Objective'!$C$9^3)*V1791*W1791</f>
        <v>93519138.434155285</v>
      </c>
      <c r="Y1791" s="166">
        <v>58</v>
      </c>
      <c r="Z1791" s="166">
        <f>6*4</f>
        <v>24</v>
      </c>
      <c r="AA1791" s="164">
        <f>($L1791*'Pivot Objective'!$C$9^4)*Y1791*Z1791</f>
        <v>106884996.28965959</v>
      </c>
      <c r="AB1791" s="166">
        <v>58</v>
      </c>
      <c r="AC1791" s="166">
        <f>6*4</f>
        <v>24</v>
      </c>
      <c r="AD1791" s="164">
        <f>($L1791*'Pivot Objective'!$C$9^5)*AB1791*AC1791</f>
        <v>122161117.21221867</v>
      </c>
      <c r="AE1791" s="166">
        <v>58</v>
      </c>
      <c r="AF1791" s="166">
        <f>6*4</f>
        <v>24</v>
      </c>
      <c r="AG1791" s="164">
        <f>($L1791*'Pivot Objective'!$C$9^6)*AE1791*AF1791</f>
        <v>139620518.09493458</v>
      </c>
      <c r="AH1791" s="166">
        <v>58</v>
      </c>
      <c r="AI1791" s="166">
        <f>6*4</f>
        <v>24</v>
      </c>
      <c r="AJ1791" s="164">
        <f>($L1791*'Pivot Objective'!$C$9^7)*AH1791*AI1791</f>
        <v>159575235.70477092</v>
      </c>
      <c r="AK1791" s="185">
        <f t="shared" si="201"/>
        <v>837818250.48355472</v>
      </c>
      <c r="AL1791" s="186">
        <f t="shared" si="202"/>
        <v>813415.77716849977</v>
      </c>
    </row>
    <row r="1792" spans="1:38" customFormat="1" ht="43.2" x14ac:dyDescent="0.3">
      <c r="A1792" s="140" t="s">
        <v>1486</v>
      </c>
      <c r="B1792" s="140">
        <v>3</v>
      </c>
      <c r="C1792" s="166" t="s">
        <v>696</v>
      </c>
      <c r="D1792" s="140" t="str">
        <f t="shared" si="204"/>
        <v>3</v>
      </c>
      <c r="E1792" s="166" t="s">
        <v>691</v>
      </c>
      <c r="F1792" s="140">
        <f t="shared" si="203"/>
        <v>1</v>
      </c>
      <c r="G1792" s="140" t="str">
        <f t="shared" si="205"/>
        <v>3.3.1</v>
      </c>
      <c r="H1792" s="181" t="s">
        <v>657</v>
      </c>
      <c r="I1792" s="166" t="s">
        <v>40</v>
      </c>
      <c r="J1792" s="166" t="s">
        <v>374</v>
      </c>
      <c r="K1792" s="166" t="s">
        <v>712</v>
      </c>
      <c r="L1792" s="167">
        <f>1480/7</f>
        <v>211.42857142857142</v>
      </c>
      <c r="M1792" s="166">
        <v>22500</v>
      </c>
      <c r="N1792" s="166">
        <f>5*4</f>
        <v>20</v>
      </c>
      <c r="O1792" s="164">
        <f t="shared" si="200"/>
        <v>95142857.142857149</v>
      </c>
      <c r="P1792" s="166">
        <v>22500</v>
      </c>
      <c r="Q1792" s="166">
        <f>5*4</f>
        <v>20</v>
      </c>
      <c r="R1792" s="164">
        <f>$L1792*'Pivot Objective'!$C$9*P1792*Q1792</f>
        <v>108740778.65742856</v>
      </c>
      <c r="S1792" s="166">
        <v>22500</v>
      </c>
      <c r="T1792" s="166">
        <f>5*4</f>
        <v>20</v>
      </c>
      <c r="U1792" s="164">
        <f>($L1792*'Pivot Objective'!$C$9^2)*S1792*T1792</f>
        <v>124282130.03178242</v>
      </c>
      <c r="V1792" s="166">
        <v>22500</v>
      </c>
      <c r="W1792" s="166">
        <f>5*4</f>
        <v>20</v>
      </c>
      <c r="X1792" s="164">
        <f>($L1792*'Pivot Objective'!$C$9^3)*V1792*W1792</f>
        <v>142044668.39342141</v>
      </c>
      <c r="Y1792" s="166">
        <v>22500</v>
      </c>
      <c r="Z1792" s="166">
        <f>5*4</f>
        <v>20</v>
      </c>
      <c r="AA1792" s="164">
        <f>($L1792*'Pivot Objective'!$C$9^4)*Y1792*Z1792</f>
        <v>162345848.22321039</v>
      </c>
      <c r="AB1792" s="166">
        <v>22500</v>
      </c>
      <c r="AC1792" s="166">
        <f>5*4</f>
        <v>20</v>
      </c>
      <c r="AD1792" s="164">
        <f>($L1792*'Pivot Objective'!$C$9^5)*AB1792*AC1792</f>
        <v>185548494.9446671</v>
      </c>
      <c r="AE1792" s="166">
        <v>22500</v>
      </c>
      <c r="AF1792" s="166">
        <f>5*4</f>
        <v>20</v>
      </c>
      <c r="AG1792" s="164">
        <f>($L1792*'Pivot Objective'!$C$9^6)*AE1792*AF1792</f>
        <v>212067289.3888579</v>
      </c>
      <c r="AH1792" s="166">
        <v>22500</v>
      </c>
      <c r="AI1792" s="166">
        <f>5*4</f>
        <v>20</v>
      </c>
      <c r="AJ1792" s="164">
        <f>($L1792*'Pivot Objective'!$C$9^7)*AH1792*AI1792</f>
        <v>242376179.02612987</v>
      </c>
      <c r="AK1792" s="185">
        <f t="shared" si="201"/>
        <v>1272548245.8083549</v>
      </c>
      <c r="AL1792" s="186">
        <f t="shared" si="202"/>
        <v>1235483.7337945192</v>
      </c>
    </row>
    <row r="1793" spans="1:38" customFormat="1" ht="43.2" x14ac:dyDescent="0.3">
      <c r="A1793" s="140" t="s">
        <v>1486</v>
      </c>
      <c r="B1793" s="140">
        <v>3</v>
      </c>
      <c r="C1793" s="166" t="s">
        <v>696</v>
      </c>
      <c r="D1793" s="140" t="str">
        <f t="shared" si="204"/>
        <v>3</v>
      </c>
      <c r="E1793" s="166" t="s">
        <v>691</v>
      </c>
      <c r="F1793" s="140">
        <f t="shared" si="203"/>
        <v>1</v>
      </c>
      <c r="G1793" s="140" t="str">
        <f t="shared" si="205"/>
        <v>3.3.1</v>
      </c>
      <c r="H1793" s="181" t="s">
        <v>657</v>
      </c>
      <c r="I1793" s="166" t="s">
        <v>40</v>
      </c>
      <c r="J1793" s="166" t="s">
        <v>374</v>
      </c>
      <c r="K1793" s="166" t="s">
        <v>1299</v>
      </c>
      <c r="L1793" s="167">
        <f>1480/7</f>
        <v>211.42857142857142</v>
      </c>
      <c r="M1793" s="166">
        <v>90000</v>
      </c>
      <c r="N1793" s="166">
        <v>4</v>
      </c>
      <c r="O1793" s="164">
        <f t="shared" si="200"/>
        <v>76114285.714285716</v>
      </c>
      <c r="P1793" s="166">
        <v>90000</v>
      </c>
      <c r="Q1793" s="166">
        <v>4</v>
      </c>
      <c r="R1793" s="164">
        <f>$L1793*'Pivot Objective'!$C$9*P1793*Q1793</f>
        <v>86992622.925942853</v>
      </c>
      <c r="S1793" s="166">
        <v>90000</v>
      </c>
      <c r="T1793" s="166">
        <v>4</v>
      </c>
      <c r="U1793" s="164">
        <f>($L1793*'Pivot Objective'!$C$9^2)*S1793*T1793</f>
        <v>99425704.025425941</v>
      </c>
      <c r="V1793" s="166">
        <v>90000</v>
      </c>
      <c r="W1793" s="166">
        <v>4</v>
      </c>
      <c r="X1793" s="164">
        <f>($L1793*'Pivot Objective'!$C$9^3)*V1793*W1793</f>
        <v>113635734.71473712</v>
      </c>
      <c r="Y1793" s="166">
        <v>90000</v>
      </c>
      <c r="Z1793" s="166">
        <v>4</v>
      </c>
      <c r="AA1793" s="164">
        <f>($L1793*'Pivot Objective'!$C$9^4)*Y1793*Z1793</f>
        <v>129876678.57856831</v>
      </c>
      <c r="AB1793" s="166">
        <v>90000</v>
      </c>
      <c r="AC1793" s="166">
        <v>4</v>
      </c>
      <c r="AD1793" s="164">
        <f>($L1793*'Pivot Objective'!$C$9^5)*AB1793*AC1793</f>
        <v>148438795.95573369</v>
      </c>
      <c r="AE1793" s="166">
        <v>90000</v>
      </c>
      <c r="AF1793" s="166">
        <v>4</v>
      </c>
      <c r="AG1793" s="164">
        <f>($L1793*'Pivot Objective'!$C$9^6)*AE1793*AF1793</f>
        <v>169653831.51108631</v>
      </c>
      <c r="AH1793" s="166">
        <v>90000</v>
      </c>
      <c r="AI1793" s="166">
        <v>4</v>
      </c>
      <c r="AJ1793" s="164">
        <f>($L1793*'Pivot Objective'!$C$9^7)*AH1793*AI1793</f>
        <v>193900943.2209039</v>
      </c>
      <c r="AK1793" s="185">
        <f t="shared" si="201"/>
        <v>1018038596.6466838</v>
      </c>
      <c r="AL1793" s="186">
        <f t="shared" si="202"/>
        <v>988386.98703561537</v>
      </c>
    </row>
    <row r="1794" spans="1:38" customFormat="1" ht="43.2" x14ac:dyDescent="0.3">
      <c r="A1794" s="140" t="s">
        <v>1486</v>
      </c>
      <c r="B1794" s="140">
        <v>3</v>
      </c>
      <c r="C1794" s="166" t="s">
        <v>696</v>
      </c>
      <c r="D1794" s="140" t="str">
        <f t="shared" si="204"/>
        <v>3</v>
      </c>
      <c r="E1794" s="166" t="s">
        <v>691</v>
      </c>
      <c r="F1794" s="140">
        <f t="shared" si="203"/>
        <v>1</v>
      </c>
      <c r="G1794" s="140" t="str">
        <f t="shared" si="205"/>
        <v>3.3.1</v>
      </c>
      <c r="H1794" s="181" t="s">
        <v>657</v>
      </c>
      <c r="I1794" s="166" t="s">
        <v>40</v>
      </c>
      <c r="J1794" s="166" t="s">
        <v>335</v>
      </c>
      <c r="K1794" s="166" t="s">
        <v>713</v>
      </c>
      <c r="L1794" s="167">
        <v>45000</v>
      </c>
      <c r="M1794" s="166">
        <v>58</v>
      </c>
      <c r="N1794" s="166">
        <f>6*12</f>
        <v>72</v>
      </c>
      <c r="O1794" s="164">
        <f t="shared" si="200"/>
        <v>187920000</v>
      </c>
      <c r="P1794" s="166">
        <v>58</v>
      </c>
      <c r="Q1794" s="166">
        <f>6*12</f>
        <v>72</v>
      </c>
      <c r="R1794" s="164">
        <f>$L1794*'Pivot Objective'!$C$9*P1794*Q1794</f>
        <v>214777732.54823998</v>
      </c>
      <c r="S1794" s="166">
        <v>58</v>
      </c>
      <c r="T1794" s="166">
        <f>6*12</f>
        <v>72</v>
      </c>
      <c r="U1794" s="164">
        <f>($L1794*'Pivot Objective'!$C$9^2)*S1794*T1794</f>
        <v>245474001.69520706</v>
      </c>
      <c r="V1794" s="166">
        <v>58</v>
      </c>
      <c r="W1794" s="166">
        <f>6*12</f>
        <v>72</v>
      </c>
      <c r="X1794" s="164">
        <f>($L1794*'Pivot Objective'!$C$9^3)*V1794*W1794</f>
        <v>280557415.30246586</v>
      </c>
      <c r="Y1794" s="166">
        <v>58</v>
      </c>
      <c r="Z1794" s="166">
        <f>6*12</f>
        <v>72</v>
      </c>
      <c r="AA1794" s="164">
        <f>($L1794*'Pivot Objective'!$C$9^4)*Y1794*Z1794</f>
        <v>320654988.8689788</v>
      </c>
      <c r="AB1794" s="166">
        <v>58</v>
      </c>
      <c r="AC1794" s="166">
        <f>6*12</f>
        <v>72</v>
      </c>
      <c r="AD1794" s="164">
        <f>($L1794*'Pivot Objective'!$C$9^5)*AB1794*AC1794</f>
        <v>366483351.63665599</v>
      </c>
      <c r="AE1794" s="166">
        <v>58</v>
      </c>
      <c r="AF1794" s="166">
        <f>6*12</f>
        <v>72</v>
      </c>
      <c r="AG1794" s="164">
        <f>($L1794*'Pivot Objective'!$C$9^6)*AE1794*AF1794</f>
        <v>418861554.28480369</v>
      </c>
      <c r="AH1794" s="166">
        <v>58</v>
      </c>
      <c r="AI1794" s="166">
        <f>6*12</f>
        <v>72</v>
      </c>
      <c r="AJ1794" s="164">
        <f>($L1794*'Pivot Objective'!$C$9^7)*AH1794*AI1794</f>
        <v>478725707.11431283</v>
      </c>
      <c r="AK1794" s="185">
        <f t="shared" si="201"/>
        <v>2513454751.450664</v>
      </c>
      <c r="AL1794" s="186">
        <f t="shared" si="202"/>
        <v>2440247.3315054988</v>
      </c>
    </row>
    <row r="1795" spans="1:38" customFormat="1" ht="43.2" x14ac:dyDescent="0.3">
      <c r="A1795" s="140" t="s">
        <v>1486</v>
      </c>
      <c r="B1795" s="140">
        <v>3</v>
      </c>
      <c r="C1795" s="166" t="s">
        <v>696</v>
      </c>
      <c r="D1795" s="140" t="str">
        <f t="shared" si="204"/>
        <v>3</v>
      </c>
      <c r="E1795" s="166" t="s">
        <v>691</v>
      </c>
      <c r="F1795" s="140">
        <f t="shared" si="203"/>
        <v>1</v>
      </c>
      <c r="G1795" s="140" t="str">
        <f t="shared" si="205"/>
        <v>3.3.1</v>
      </c>
      <c r="H1795" s="181" t="s">
        <v>657</v>
      </c>
      <c r="I1795" s="166" t="s">
        <v>40</v>
      </c>
      <c r="J1795" s="166" t="s">
        <v>335</v>
      </c>
      <c r="K1795" s="166" t="s">
        <v>712</v>
      </c>
      <c r="L1795" s="167">
        <f>1480/7</f>
        <v>211.42857142857142</v>
      </c>
      <c r="M1795" s="166">
        <v>22500</v>
      </c>
      <c r="N1795" s="166">
        <f>5*12</f>
        <v>60</v>
      </c>
      <c r="O1795" s="164">
        <f t="shared" ref="O1795:O1858" si="206">$L1795*M1795*N1795</f>
        <v>285428571.42857146</v>
      </c>
      <c r="P1795" s="166">
        <v>22500</v>
      </c>
      <c r="Q1795" s="166">
        <f>5*12</f>
        <v>60</v>
      </c>
      <c r="R1795" s="164">
        <f>$L1795*'Pivot Objective'!$C$9*P1795*Q1795</f>
        <v>326222335.97228569</v>
      </c>
      <c r="S1795" s="166">
        <v>22500</v>
      </c>
      <c r="T1795" s="166">
        <f>5*12</f>
        <v>60</v>
      </c>
      <c r="U1795" s="164">
        <f>($L1795*'Pivot Objective'!$C$9^2)*S1795*T1795</f>
        <v>372846390.09534729</v>
      </c>
      <c r="V1795" s="166">
        <v>22500</v>
      </c>
      <c r="W1795" s="166">
        <f>5*12</f>
        <v>60</v>
      </c>
      <c r="X1795" s="164">
        <f>($L1795*'Pivot Objective'!$C$9^3)*V1795*W1795</f>
        <v>426134005.18026417</v>
      </c>
      <c r="Y1795" s="166">
        <v>22500</v>
      </c>
      <c r="Z1795" s="166">
        <f>5*12</f>
        <v>60</v>
      </c>
      <c r="AA1795" s="164">
        <f>($L1795*'Pivot Objective'!$C$9^4)*Y1795*Z1795</f>
        <v>487037544.66963118</v>
      </c>
      <c r="AB1795" s="166">
        <v>22500</v>
      </c>
      <c r="AC1795" s="166">
        <f>5*12</f>
        <v>60</v>
      </c>
      <c r="AD1795" s="164">
        <f>($L1795*'Pivot Objective'!$C$9^5)*AB1795*AC1795</f>
        <v>556645484.8340013</v>
      </c>
      <c r="AE1795" s="166">
        <v>22500</v>
      </c>
      <c r="AF1795" s="166">
        <f>5*12</f>
        <v>60</v>
      </c>
      <c r="AG1795" s="164">
        <f>($L1795*'Pivot Objective'!$C$9^6)*AE1795*AF1795</f>
        <v>636201868.16657364</v>
      </c>
      <c r="AH1795" s="166">
        <v>22500</v>
      </c>
      <c r="AI1795" s="166">
        <f>5*12</f>
        <v>60</v>
      </c>
      <c r="AJ1795" s="164">
        <f>($L1795*'Pivot Objective'!$C$9^7)*AH1795*AI1795</f>
        <v>727128537.07838964</v>
      </c>
      <c r="AK1795" s="185">
        <f t="shared" ref="AK1795:AK1858" si="207">O1795+R1795+U1795+X1795+AA1795+AD1795+AG1795+AJ1795</f>
        <v>3817644737.4250646</v>
      </c>
      <c r="AL1795" s="186">
        <f t="shared" ref="AL1795:AL1858" si="208">AK1795/$AP$2</f>
        <v>3706451.2013835576</v>
      </c>
    </row>
    <row r="1796" spans="1:38" customFormat="1" ht="43.2" x14ac:dyDescent="0.3">
      <c r="A1796" s="140" t="s">
        <v>1486</v>
      </c>
      <c r="B1796" s="140">
        <v>3</v>
      </c>
      <c r="C1796" s="166" t="s">
        <v>696</v>
      </c>
      <c r="D1796" s="140" t="str">
        <f t="shared" si="204"/>
        <v>3</v>
      </c>
      <c r="E1796" s="166" t="s">
        <v>691</v>
      </c>
      <c r="F1796" s="140">
        <f t="shared" si="203"/>
        <v>1</v>
      </c>
      <c r="G1796" s="140" t="str">
        <f t="shared" si="205"/>
        <v>3.3.1</v>
      </c>
      <c r="H1796" s="181" t="s">
        <v>657</v>
      </c>
      <c r="I1796" s="166" t="s">
        <v>40</v>
      </c>
      <c r="J1796" s="166" t="s">
        <v>335</v>
      </c>
      <c r="K1796" s="166" t="s">
        <v>1299</v>
      </c>
      <c r="L1796" s="167">
        <f>1480/7</f>
        <v>211.42857142857142</v>
      </c>
      <c r="M1796" s="166">
        <v>90000</v>
      </c>
      <c r="N1796" s="166">
        <v>1</v>
      </c>
      <c r="O1796" s="164">
        <f t="shared" si="206"/>
        <v>19028571.428571429</v>
      </c>
      <c r="P1796" s="166">
        <v>90000</v>
      </c>
      <c r="Q1796" s="166">
        <v>1</v>
      </c>
      <c r="R1796" s="164">
        <f>$L1796*'Pivot Objective'!$C$9*P1796*Q1796</f>
        <v>21748155.731485713</v>
      </c>
      <c r="S1796" s="166">
        <v>90000</v>
      </c>
      <c r="T1796" s="166">
        <v>1</v>
      </c>
      <c r="U1796" s="164">
        <f>($L1796*'Pivot Objective'!$C$9^2)*S1796*T1796</f>
        <v>24856426.006356485</v>
      </c>
      <c r="V1796" s="166">
        <v>90000</v>
      </c>
      <c r="W1796" s="166">
        <v>1</v>
      </c>
      <c r="X1796" s="164">
        <f>($L1796*'Pivot Objective'!$C$9^3)*V1796*W1796</f>
        <v>28408933.678684279</v>
      </c>
      <c r="Y1796" s="166">
        <v>90000</v>
      </c>
      <c r="Z1796" s="166">
        <v>1</v>
      </c>
      <c r="AA1796" s="164">
        <f>($L1796*'Pivot Objective'!$C$9^4)*Y1796*Z1796</f>
        <v>32469169.644642077</v>
      </c>
      <c r="AB1796" s="166">
        <v>90000</v>
      </c>
      <c r="AC1796" s="166">
        <v>1</v>
      </c>
      <c r="AD1796" s="164">
        <f>($L1796*'Pivot Objective'!$C$9^5)*AB1796*AC1796</f>
        <v>37109698.988933422</v>
      </c>
      <c r="AE1796" s="166">
        <v>90000</v>
      </c>
      <c r="AF1796" s="166">
        <v>1</v>
      </c>
      <c r="AG1796" s="164">
        <f>($L1796*'Pivot Objective'!$C$9^6)*AE1796*AF1796</f>
        <v>42413457.877771579</v>
      </c>
      <c r="AH1796" s="166">
        <v>90000</v>
      </c>
      <c r="AI1796" s="166">
        <v>1</v>
      </c>
      <c r="AJ1796" s="164">
        <f>($L1796*'Pivot Objective'!$C$9^7)*AH1796*AI1796</f>
        <v>48475235.805225976</v>
      </c>
      <c r="AK1796" s="185">
        <f t="shared" si="207"/>
        <v>254509649.16167095</v>
      </c>
      <c r="AL1796" s="186">
        <f t="shared" si="208"/>
        <v>247096.74675890384</v>
      </c>
    </row>
    <row r="1797" spans="1:38" customFormat="1" ht="43.2" x14ac:dyDescent="0.3">
      <c r="A1797" s="140" t="s">
        <v>1486</v>
      </c>
      <c r="B1797" s="140">
        <v>3</v>
      </c>
      <c r="C1797" s="166" t="s">
        <v>696</v>
      </c>
      <c r="D1797" s="140" t="str">
        <f t="shared" si="204"/>
        <v>3</v>
      </c>
      <c r="E1797" s="166" t="s">
        <v>691</v>
      </c>
      <c r="F1797" s="140">
        <f t="shared" si="203"/>
        <v>1</v>
      </c>
      <c r="G1797" s="140" t="str">
        <f t="shared" si="205"/>
        <v>3.3.1</v>
      </c>
      <c r="H1797" s="181" t="s">
        <v>657</v>
      </c>
      <c r="I1797" s="166" t="s">
        <v>40</v>
      </c>
      <c r="J1797" s="166" t="s">
        <v>336</v>
      </c>
      <c r="K1797" s="166" t="s">
        <v>713</v>
      </c>
      <c r="L1797" s="167">
        <v>39000</v>
      </c>
      <c r="M1797" s="166">
        <v>58</v>
      </c>
      <c r="N1797" s="166">
        <f>6*12</f>
        <v>72</v>
      </c>
      <c r="O1797" s="164">
        <f t="shared" si="206"/>
        <v>162864000</v>
      </c>
      <c r="P1797" s="166">
        <v>20</v>
      </c>
      <c r="Q1797" s="166">
        <v>10</v>
      </c>
      <c r="R1797" s="164">
        <f>$L1797*'Pivot Objective'!$C$9*P1797*Q1797</f>
        <v>8914784.5565999988</v>
      </c>
      <c r="S1797" s="166">
        <v>20</v>
      </c>
      <c r="T1797" s="166">
        <v>10</v>
      </c>
      <c r="U1797" s="164">
        <f>($L1797*'Pivot Objective'!$C$9^2)*S1797*T1797</f>
        <v>10188895.344947929</v>
      </c>
      <c r="V1797" s="166">
        <v>20</v>
      </c>
      <c r="W1797" s="166">
        <v>10</v>
      </c>
      <c r="X1797" s="164">
        <f>($L1797*'Pivot Objective'!$C$9^3)*V1797*W1797</f>
        <v>11645103.44486608</v>
      </c>
      <c r="Y1797" s="166">
        <v>20</v>
      </c>
      <c r="Z1797" s="166">
        <v>10</v>
      </c>
      <c r="AA1797" s="164">
        <f>($L1797*'Pivot Objective'!$C$9^4)*Y1797*Z1797</f>
        <v>13309434.403884819</v>
      </c>
      <c r="AB1797" s="166">
        <v>0</v>
      </c>
      <c r="AC1797" s="166">
        <v>0</v>
      </c>
      <c r="AD1797" s="164">
        <f>($L1797*'Pivot Objective'!$C$9^5)*AB1797*AC1797</f>
        <v>0</v>
      </c>
      <c r="AE1797" s="166">
        <v>0</v>
      </c>
      <c r="AF1797" s="166">
        <v>0</v>
      </c>
      <c r="AG1797" s="164">
        <f>($L1797*'Pivot Objective'!$C$9^6)*AE1797*AF1797</f>
        <v>0</v>
      </c>
      <c r="AH1797" s="166">
        <v>0</v>
      </c>
      <c r="AI1797" s="166">
        <v>0</v>
      </c>
      <c r="AJ1797" s="164">
        <f>($L1797*'Pivot Objective'!$C$9^7)*AH1797*AI1797</f>
        <v>0</v>
      </c>
      <c r="AK1797" s="185">
        <f t="shared" si="207"/>
        <v>206922217.75029886</v>
      </c>
      <c r="AL1797" s="186">
        <f t="shared" si="208"/>
        <v>200895.35703912511</v>
      </c>
    </row>
    <row r="1798" spans="1:38" customFormat="1" ht="43.2" x14ac:dyDescent="0.3">
      <c r="A1798" s="140" t="s">
        <v>1486</v>
      </c>
      <c r="B1798" s="140">
        <v>3</v>
      </c>
      <c r="C1798" s="166" t="s">
        <v>696</v>
      </c>
      <c r="D1798" s="140" t="str">
        <f t="shared" si="204"/>
        <v>3</v>
      </c>
      <c r="E1798" s="166" t="s">
        <v>691</v>
      </c>
      <c r="F1798" s="140">
        <f t="shared" si="203"/>
        <v>1</v>
      </c>
      <c r="G1798" s="140" t="str">
        <f t="shared" si="205"/>
        <v>3.3.1</v>
      </c>
      <c r="H1798" s="181" t="s">
        <v>657</v>
      </c>
      <c r="I1798" s="166" t="s">
        <v>40</v>
      </c>
      <c r="J1798" s="166" t="s">
        <v>336</v>
      </c>
      <c r="K1798" s="166" t="s">
        <v>712</v>
      </c>
      <c r="L1798" s="167">
        <f>1480/7</f>
        <v>211.42857142857142</v>
      </c>
      <c r="M1798" s="166">
        <v>22500</v>
      </c>
      <c r="N1798" s="166">
        <f>5*12</f>
        <v>60</v>
      </c>
      <c r="O1798" s="164">
        <f t="shared" si="206"/>
        <v>285428571.42857146</v>
      </c>
      <c r="P1798" s="166">
        <v>8000</v>
      </c>
      <c r="Q1798" s="166">
        <v>1</v>
      </c>
      <c r="R1798" s="164">
        <f>$L1798*'Pivot Objective'!$C$9*P1798*Q1798</f>
        <v>1933169.3983542854</v>
      </c>
      <c r="S1798" s="166">
        <v>8000</v>
      </c>
      <c r="T1798" s="166">
        <v>1</v>
      </c>
      <c r="U1798" s="164">
        <f>($L1798*'Pivot Objective'!$C$9^2)*S1798*T1798</f>
        <v>2209460.08945391</v>
      </c>
      <c r="V1798" s="166">
        <v>8000</v>
      </c>
      <c r="W1798" s="166">
        <v>1</v>
      </c>
      <c r="X1798" s="164">
        <f>($L1798*'Pivot Objective'!$C$9^3)*V1798*W1798</f>
        <v>2525238.5492163803</v>
      </c>
      <c r="Y1798" s="166">
        <v>8000</v>
      </c>
      <c r="Z1798" s="166">
        <v>1</v>
      </c>
      <c r="AA1798" s="164">
        <f>($L1798*'Pivot Objective'!$C$9^4)*Y1798*Z1798</f>
        <v>2886148.4128570738</v>
      </c>
      <c r="AB1798" s="166">
        <v>0</v>
      </c>
      <c r="AC1798" s="166">
        <v>0</v>
      </c>
      <c r="AD1798" s="164">
        <f>($L1798*'Pivot Objective'!$C$9^5)*AB1798*AC1798</f>
        <v>0</v>
      </c>
      <c r="AE1798" s="166">
        <v>0</v>
      </c>
      <c r="AF1798" s="166">
        <v>0</v>
      </c>
      <c r="AG1798" s="164">
        <f>($L1798*'Pivot Objective'!$C$9^6)*AE1798*AF1798</f>
        <v>0</v>
      </c>
      <c r="AH1798" s="166">
        <v>0</v>
      </c>
      <c r="AI1798" s="166">
        <v>0</v>
      </c>
      <c r="AJ1798" s="164">
        <f>($L1798*'Pivot Objective'!$C$9^7)*AH1798*AI1798</f>
        <v>0</v>
      </c>
      <c r="AK1798" s="185">
        <f t="shared" si="207"/>
        <v>294982587.87845314</v>
      </c>
      <c r="AL1798" s="186">
        <f t="shared" si="208"/>
        <v>286390.86201791564</v>
      </c>
    </row>
    <row r="1799" spans="1:38" customFormat="1" ht="43.2" x14ac:dyDescent="0.3">
      <c r="A1799" s="140" t="s">
        <v>1486</v>
      </c>
      <c r="B1799" s="140">
        <v>3</v>
      </c>
      <c r="C1799" s="166" t="s">
        <v>696</v>
      </c>
      <c r="D1799" s="140" t="str">
        <f t="shared" si="204"/>
        <v>3</v>
      </c>
      <c r="E1799" s="166" t="s">
        <v>691</v>
      </c>
      <c r="F1799" s="140">
        <f t="shared" si="203"/>
        <v>1</v>
      </c>
      <c r="G1799" s="140" t="str">
        <f t="shared" si="205"/>
        <v>3.3.1</v>
      </c>
      <c r="H1799" s="181" t="s">
        <v>657</v>
      </c>
      <c r="I1799" s="166" t="s">
        <v>40</v>
      </c>
      <c r="J1799" s="166" t="s">
        <v>336</v>
      </c>
      <c r="K1799" s="166" t="s">
        <v>1299</v>
      </c>
      <c r="L1799" s="167">
        <f>1480/7</f>
        <v>211.42857142857142</v>
      </c>
      <c r="M1799" s="166">
        <v>90000</v>
      </c>
      <c r="N1799" s="166">
        <v>1</v>
      </c>
      <c r="O1799" s="164">
        <f t="shared" si="206"/>
        <v>19028571.428571429</v>
      </c>
      <c r="P1799" s="166"/>
      <c r="Q1799" s="166"/>
      <c r="R1799" s="164">
        <f>$L1799*'Pivot Objective'!$C$9*P1799*Q1799</f>
        <v>0</v>
      </c>
      <c r="S1799" s="166"/>
      <c r="T1799" s="166"/>
      <c r="U1799" s="164">
        <f>($L1799*'Pivot Objective'!$C$9^2)*S1799*T1799</f>
        <v>0</v>
      </c>
      <c r="V1799" s="166"/>
      <c r="W1799" s="166"/>
      <c r="X1799" s="164">
        <f>($L1799*'Pivot Objective'!$C$9^3)*V1799*W1799</f>
        <v>0</v>
      </c>
      <c r="Y1799" s="166"/>
      <c r="Z1799" s="166"/>
      <c r="AA1799" s="164">
        <f>($L1799*'Pivot Objective'!$C$9^4)*Y1799*Z1799</f>
        <v>0</v>
      </c>
      <c r="AB1799" s="166"/>
      <c r="AC1799" s="166"/>
      <c r="AD1799" s="164">
        <f>($L1799*'Pivot Objective'!$C$9^5)*AB1799*AC1799</f>
        <v>0</v>
      </c>
      <c r="AE1799" s="166"/>
      <c r="AF1799" s="166"/>
      <c r="AG1799" s="164">
        <f>($L1799*'Pivot Objective'!$C$9^6)*AE1799*AF1799</f>
        <v>0</v>
      </c>
      <c r="AH1799" s="166"/>
      <c r="AI1799" s="166"/>
      <c r="AJ1799" s="164">
        <f>($L1799*'Pivot Objective'!$C$9^7)*AH1799*AI1799</f>
        <v>0</v>
      </c>
      <c r="AK1799" s="185">
        <f t="shared" si="207"/>
        <v>19028571.428571429</v>
      </c>
      <c r="AL1799" s="186">
        <f t="shared" si="208"/>
        <v>18474.341192787797</v>
      </c>
    </row>
    <row r="1800" spans="1:38" customFormat="1" ht="43.2" x14ac:dyDescent="0.3">
      <c r="A1800" s="140" t="s">
        <v>1486</v>
      </c>
      <c r="B1800" s="140">
        <v>3</v>
      </c>
      <c r="C1800" s="166" t="s">
        <v>696</v>
      </c>
      <c r="D1800" s="140" t="str">
        <f t="shared" si="204"/>
        <v>3</v>
      </c>
      <c r="E1800" s="166" t="s">
        <v>691</v>
      </c>
      <c r="F1800" s="140">
        <f t="shared" si="203"/>
        <v>1</v>
      </c>
      <c r="G1800" s="140" t="str">
        <f t="shared" si="205"/>
        <v>3.3.1</v>
      </c>
      <c r="H1800" s="181" t="s">
        <v>657</v>
      </c>
      <c r="I1800" s="166" t="s">
        <v>40</v>
      </c>
      <c r="J1800" s="166" t="s">
        <v>337</v>
      </c>
      <c r="K1800" s="166" t="s">
        <v>713</v>
      </c>
      <c r="L1800" s="167">
        <v>45000</v>
      </c>
      <c r="M1800" s="166">
        <v>58</v>
      </c>
      <c r="N1800" s="166">
        <f>6*12</f>
        <v>72</v>
      </c>
      <c r="O1800" s="164">
        <f t="shared" si="206"/>
        <v>187920000</v>
      </c>
      <c r="P1800" s="166">
        <v>20</v>
      </c>
      <c r="Q1800" s="166">
        <v>10</v>
      </c>
      <c r="R1800" s="164">
        <f>$L1800*'Pivot Objective'!$C$9*P1800*Q1800</f>
        <v>10286289.873</v>
      </c>
      <c r="S1800" s="166">
        <v>20</v>
      </c>
      <c r="T1800" s="166">
        <v>10</v>
      </c>
      <c r="U1800" s="164">
        <f>($L1800*'Pivot Objective'!$C$9^2)*S1800*T1800</f>
        <v>11756417.70570915</v>
      </c>
      <c r="V1800" s="166">
        <v>20</v>
      </c>
      <c r="W1800" s="166">
        <v>10</v>
      </c>
      <c r="X1800" s="164">
        <f>($L1800*'Pivot Objective'!$C$9^3)*V1800*W1800</f>
        <v>13436657.820999322</v>
      </c>
      <c r="Y1800" s="166">
        <v>20</v>
      </c>
      <c r="Z1800" s="166">
        <v>10</v>
      </c>
      <c r="AA1800" s="164">
        <f>($L1800*'Pivot Objective'!$C$9^4)*Y1800*Z1800</f>
        <v>15357039.696790174</v>
      </c>
      <c r="AB1800" s="166">
        <v>0</v>
      </c>
      <c r="AC1800" s="166">
        <v>0</v>
      </c>
      <c r="AD1800" s="164">
        <f>($L1800*'Pivot Objective'!$C$9^5)*AB1800*AC1800</f>
        <v>0</v>
      </c>
      <c r="AE1800" s="166">
        <v>0</v>
      </c>
      <c r="AF1800" s="166">
        <v>0</v>
      </c>
      <c r="AG1800" s="164">
        <f>($L1800*'Pivot Objective'!$C$9^6)*AE1800*AF1800</f>
        <v>0</v>
      </c>
      <c r="AH1800" s="166">
        <v>0</v>
      </c>
      <c r="AI1800" s="166">
        <v>0</v>
      </c>
      <c r="AJ1800" s="164">
        <f>($L1800*'Pivot Objective'!$C$9^7)*AH1800*AI1800</f>
        <v>0</v>
      </c>
      <c r="AK1800" s="185">
        <f t="shared" si="207"/>
        <v>238756405.09649867</v>
      </c>
      <c r="AL1800" s="186">
        <f t="shared" si="208"/>
        <v>231802.33504514434</v>
      </c>
    </row>
    <row r="1801" spans="1:38" customFormat="1" ht="43.2" x14ac:dyDescent="0.3">
      <c r="A1801" s="140" t="s">
        <v>1486</v>
      </c>
      <c r="B1801" s="140">
        <v>3</v>
      </c>
      <c r="C1801" s="166" t="s">
        <v>696</v>
      </c>
      <c r="D1801" s="140" t="str">
        <f t="shared" si="204"/>
        <v>3</v>
      </c>
      <c r="E1801" s="166" t="s">
        <v>691</v>
      </c>
      <c r="F1801" s="140">
        <f t="shared" si="203"/>
        <v>1</v>
      </c>
      <c r="G1801" s="140" t="str">
        <f t="shared" si="205"/>
        <v>3.3.1</v>
      </c>
      <c r="H1801" s="181" t="s">
        <v>657</v>
      </c>
      <c r="I1801" s="166" t="s">
        <v>40</v>
      </c>
      <c r="J1801" s="166" t="s">
        <v>337</v>
      </c>
      <c r="K1801" s="166" t="s">
        <v>712</v>
      </c>
      <c r="L1801" s="167">
        <f>1480/7</f>
        <v>211.42857142857142</v>
      </c>
      <c r="M1801" s="166">
        <v>22500</v>
      </c>
      <c r="N1801" s="166">
        <f>5*12</f>
        <v>60</v>
      </c>
      <c r="O1801" s="164">
        <f t="shared" si="206"/>
        <v>285428571.42857146</v>
      </c>
      <c r="P1801" s="166">
        <v>8000</v>
      </c>
      <c r="Q1801" s="166">
        <v>1</v>
      </c>
      <c r="R1801" s="164">
        <f>$L1801*'Pivot Objective'!$C$9*P1801*Q1801</f>
        <v>1933169.3983542854</v>
      </c>
      <c r="S1801" s="166">
        <v>8000</v>
      </c>
      <c r="T1801" s="166">
        <v>1</v>
      </c>
      <c r="U1801" s="164">
        <f>($L1801*'Pivot Objective'!$C$9^2)*S1801*T1801</f>
        <v>2209460.08945391</v>
      </c>
      <c r="V1801" s="166">
        <v>8000</v>
      </c>
      <c r="W1801" s="166">
        <v>1</v>
      </c>
      <c r="X1801" s="164">
        <f>($L1801*'Pivot Objective'!$C$9^3)*V1801*W1801</f>
        <v>2525238.5492163803</v>
      </c>
      <c r="Y1801" s="166">
        <v>8000</v>
      </c>
      <c r="Z1801" s="166">
        <v>1</v>
      </c>
      <c r="AA1801" s="164">
        <f>($L1801*'Pivot Objective'!$C$9^4)*Y1801*Z1801</f>
        <v>2886148.4128570738</v>
      </c>
      <c r="AB1801" s="166">
        <v>0</v>
      </c>
      <c r="AC1801" s="166">
        <v>0</v>
      </c>
      <c r="AD1801" s="164">
        <f>($L1801*'Pivot Objective'!$C$9^5)*AB1801*AC1801</f>
        <v>0</v>
      </c>
      <c r="AE1801" s="166">
        <v>0</v>
      </c>
      <c r="AF1801" s="166">
        <v>0</v>
      </c>
      <c r="AG1801" s="164">
        <f>($L1801*'Pivot Objective'!$C$9^6)*AE1801*AF1801</f>
        <v>0</v>
      </c>
      <c r="AH1801" s="166">
        <v>0</v>
      </c>
      <c r="AI1801" s="166">
        <v>0</v>
      </c>
      <c r="AJ1801" s="164">
        <f>($L1801*'Pivot Objective'!$C$9^7)*AH1801*AI1801</f>
        <v>0</v>
      </c>
      <c r="AK1801" s="185">
        <f t="shared" si="207"/>
        <v>294982587.87845314</v>
      </c>
      <c r="AL1801" s="186">
        <f t="shared" si="208"/>
        <v>286390.86201791564</v>
      </c>
    </row>
    <row r="1802" spans="1:38" customFormat="1" ht="43.2" x14ac:dyDescent="0.3">
      <c r="A1802" s="140" t="s">
        <v>1486</v>
      </c>
      <c r="B1802" s="140">
        <v>3</v>
      </c>
      <c r="C1802" s="166" t="s">
        <v>696</v>
      </c>
      <c r="D1802" s="140" t="str">
        <f t="shared" si="204"/>
        <v>3</v>
      </c>
      <c r="E1802" s="166" t="s">
        <v>691</v>
      </c>
      <c r="F1802" s="140">
        <f t="shared" si="203"/>
        <v>1</v>
      </c>
      <c r="G1802" s="140" t="str">
        <f t="shared" si="205"/>
        <v>3.3.1</v>
      </c>
      <c r="H1802" s="181" t="s">
        <v>657</v>
      </c>
      <c r="I1802" s="166" t="s">
        <v>40</v>
      </c>
      <c r="J1802" s="166" t="s">
        <v>337</v>
      </c>
      <c r="K1802" s="166" t="s">
        <v>1299</v>
      </c>
      <c r="L1802" s="167">
        <f>1480/7</f>
        <v>211.42857142857142</v>
      </c>
      <c r="M1802" s="166">
        <v>90000</v>
      </c>
      <c r="N1802" s="166">
        <v>1</v>
      </c>
      <c r="O1802" s="164">
        <f t="shared" si="206"/>
        <v>19028571.428571429</v>
      </c>
      <c r="P1802" s="166"/>
      <c r="Q1802" s="166"/>
      <c r="R1802" s="164">
        <f>$L1802*'Pivot Objective'!$C$9*P1802*Q1802</f>
        <v>0</v>
      </c>
      <c r="S1802" s="166"/>
      <c r="T1802" s="166"/>
      <c r="U1802" s="164">
        <f>($L1802*'Pivot Objective'!$C$9^2)*S1802*T1802</f>
        <v>0</v>
      </c>
      <c r="V1802" s="166"/>
      <c r="W1802" s="166"/>
      <c r="X1802" s="164">
        <f>($L1802*'Pivot Objective'!$C$9^3)*V1802*W1802</f>
        <v>0</v>
      </c>
      <c r="Y1802" s="166"/>
      <c r="Z1802" s="166"/>
      <c r="AA1802" s="164">
        <f>($L1802*'Pivot Objective'!$C$9^4)*Y1802*Z1802</f>
        <v>0</v>
      </c>
      <c r="AB1802" s="166"/>
      <c r="AC1802" s="166"/>
      <c r="AD1802" s="164">
        <f>($L1802*'Pivot Objective'!$C$9^5)*AB1802*AC1802</f>
        <v>0</v>
      </c>
      <c r="AE1802" s="166"/>
      <c r="AF1802" s="166"/>
      <c r="AG1802" s="164">
        <f>($L1802*'Pivot Objective'!$C$9^6)*AE1802*AF1802</f>
        <v>0</v>
      </c>
      <c r="AH1802" s="166"/>
      <c r="AI1802" s="166"/>
      <c r="AJ1802" s="164">
        <f>($L1802*'Pivot Objective'!$C$9^7)*AH1802*AI1802</f>
        <v>0</v>
      </c>
      <c r="AK1802" s="185">
        <f t="shared" si="207"/>
        <v>19028571.428571429</v>
      </c>
      <c r="AL1802" s="186">
        <f t="shared" si="208"/>
        <v>18474.341192787797</v>
      </c>
    </row>
    <row r="1803" spans="1:38" customFormat="1" ht="43.2" x14ac:dyDescent="0.3">
      <c r="A1803" s="140" t="s">
        <v>1486</v>
      </c>
      <c r="B1803" s="140">
        <v>3</v>
      </c>
      <c r="C1803" s="166" t="s">
        <v>696</v>
      </c>
      <c r="D1803" s="140" t="str">
        <f t="shared" si="204"/>
        <v>3</v>
      </c>
      <c r="E1803" s="166" t="s">
        <v>691</v>
      </c>
      <c r="F1803" s="140">
        <f t="shared" si="203"/>
        <v>1</v>
      </c>
      <c r="G1803" s="140" t="str">
        <f t="shared" si="205"/>
        <v>3.3.1</v>
      </c>
      <c r="H1803" s="181" t="s">
        <v>657</v>
      </c>
      <c r="I1803" s="166" t="s">
        <v>40</v>
      </c>
      <c r="J1803" s="166" t="s">
        <v>752</v>
      </c>
      <c r="K1803" s="166" t="s">
        <v>751</v>
      </c>
      <c r="L1803" s="167">
        <f>2.5%*5400000000</f>
        <v>135000000</v>
      </c>
      <c r="M1803" s="166">
        <v>1</v>
      </c>
      <c r="N1803" s="166">
        <v>1</v>
      </c>
      <c r="O1803" s="164">
        <f t="shared" si="206"/>
        <v>135000000</v>
      </c>
      <c r="P1803" s="166">
        <v>1</v>
      </c>
      <c r="Q1803" s="166">
        <v>1</v>
      </c>
      <c r="R1803" s="164">
        <f>$L1803*'Pivot Objective'!$C$9*P1803*Q1803</f>
        <v>154294348.095</v>
      </c>
      <c r="S1803" s="166">
        <v>1</v>
      </c>
      <c r="T1803" s="166">
        <v>1</v>
      </c>
      <c r="U1803" s="164">
        <f>($L1803*'Pivot Objective'!$C$9^2)*S1803*T1803</f>
        <v>176346265.58563724</v>
      </c>
      <c r="V1803" s="166">
        <v>1</v>
      </c>
      <c r="W1803" s="166">
        <v>1</v>
      </c>
      <c r="X1803" s="164">
        <f>($L1803*'Pivot Objective'!$C$9^3)*V1803*W1803</f>
        <v>201549867.31498984</v>
      </c>
      <c r="Y1803" s="166">
        <v>1</v>
      </c>
      <c r="Z1803" s="166">
        <v>1</v>
      </c>
      <c r="AA1803" s="164">
        <f>($L1803*'Pivot Objective'!$C$9^4)*Y1803*Z1803</f>
        <v>230355595.45185262</v>
      </c>
      <c r="AB1803" s="166">
        <v>1</v>
      </c>
      <c r="AC1803" s="166">
        <v>1</v>
      </c>
      <c r="AD1803" s="164">
        <f>($L1803*'Pivot Objective'!$C$9^5)*AB1803*AC1803</f>
        <v>263278269.85391957</v>
      </c>
      <c r="AE1803" s="166">
        <v>1</v>
      </c>
      <c r="AF1803" s="166">
        <v>1</v>
      </c>
      <c r="AG1803" s="164">
        <f>($L1803*'Pivot Objective'!$C$9^6)*AE1803*AF1803</f>
        <v>300906288.99770379</v>
      </c>
      <c r="AH1803" s="166">
        <v>1</v>
      </c>
      <c r="AI1803" s="166">
        <v>1</v>
      </c>
      <c r="AJ1803" s="164">
        <f>($L1803*'Pivot Objective'!$C$9^7)*AH1803*AI1803</f>
        <v>343912145.91545463</v>
      </c>
      <c r="AK1803" s="185">
        <f t="shared" si="207"/>
        <v>1805642781.2145576</v>
      </c>
      <c r="AL1803" s="186">
        <f t="shared" si="208"/>
        <v>1753051.2438976287</v>
      </c>
    </row>
    <row r="1804" spans="1:38" customFormat="1" ht="43.2" x14ac:dyDescent="0.3">
      <c r="A1804" s="140" t="s">
        <v>1486</v>
      </c>
      <c r="B1804" s="140">
        <v>3</v>
      </c>
      <c r="C1804" s="166" t="s">
        <v>696</v>
      </c>
      <c r="D1804" s="140" t="str">
        <f t="shared" si="204"/>
        <v>3</v>
      </c>
      <c r="E1804" s="166" t="s">
        <v>691</v>
      </c>
      <c r="F1804" s="140">
        <f t="shared" si="203"/>
        <v>1</v>
      </c>
      <c r="G1804" s="140" t="str">
        <f t="shared" si="205"/>
        <v>3.3.1</v>
      </c>
      <c r="H1804" s="181" t="s">
        <v>657</v>
      </c>
      <c r="I1804" s="166" t="s">
        <v>40</v>
      </c>
      <c r="J1804" s="166" t="s">
        <v>338</v>
      </c>
      <c r="K1804" s="166" t="s">
        <v>753</v>
      </c>
      <c r="L1804" s="167">
        <v>10000000</v>
      </c>
      <c r="M1804" s="166">
        <v>1</v>
      </c>
      <c r="N1804" s="166">
        <v>1</v>
      </c>
      <c r="O1804" s="164">
        <f t="shared" si="206"/>
        <v>10000000</v>
      </c>
      <c r="P1804" s="166">
        <v>1</v>
      </c>
      <c r="Q1804" s="166">
        <v>1</v>
      </c>
      <c r="R1804" s="164">
        <f>$L1804*'Pivot Objective'!$C$9*P1804*Q1804</f>
        <v>11429210.969999999</v>
      </c>
      <c r="S1804" s="166">
        <v>1</v>
      </c>
      <c r="T1804" s="166">
        <v>1</v>
      </c>
      <c r="U1804" s="164">
        <f>($L1804*'Pivot Objective'!$C$9^2)*S1804*T1804</f>
        <v>13062686.339676833</v>
      </c>
      <c r="V1804" s="166">
        <v>1</v>
      </c>
      <c r="W1804" s="166">
        <v>1</v>
      </c>
      <c r="X1804" s="164">
        <f>($L1804*'Pivot Objective'!$C$9^3)*V1804*W1804</f>
        <v>14929619.801110359</v>
      </c>
      <c r="Y1804" s="166">
        <v>1</v>
      </c>
      <c r="Z1804" s="166">
        <v>1</v>
      </c>
      <c r="AA1804" s="164">
        <f>($L1804*'Pivot Objective'!$C$9^4)*Y1804*Z1804</f>
        <v>17063377.44087797</v>
      </c>
      <c r="AB1804" s="166">
        <v>1</v>
      </c>
      <c r="AC1804" s="166">
        <v>1</v>
      </c>
      <c r="AD1804" s="164">
        <f>($L1804*'Pivot Objective'!$C$9^5)*AB1804*AC1804</f>
        <v>19502094.063253302</v>
      </c>
      <c r="AE1804" s="166">
        <v>1</v>
      </c>
      <c r="AF1804" s="166">
        <v>1</v>
      </c>
      <c r="AG1804" s="164">
        <f>($L1804*'Pivot Objective'!$C$9^6)*AE1804*AF1804</f>
        <v>22289354.74057065</v>
      </c>
      <c r="AH1804" s="166">
        <v>1</v>
      </c>
      <c r="AI1804" s="166">
        <v>1</v>
      </c>
      <c r="AJ1804" s="164">
        <f>($L1804*'Pivot Objective'!$C$9^7)*AH1804*AI1804</f>
        <v>25474973.771515157</v>
      </c>
      <c r="AK1804" s="185">
        <f t="shared" si="207"/>
        <v>133751317.12700427</v>
      </c>
      <c r="AL1804" s="186">
        <f t="shared" si="208"/>
        <v>129855.64769612065</v>
      </c>
    </row>
    <row r="1805" spans="1:38" customFormat="1" ht="43.2" x14ac:dyDescent="0.3">
      <c r="A1805" s="140" t="s">
        <v>1486</v>
      </c>
      <c r="B1805" s="140">
        <v>3</v>
      </c>
      <c r="C1805" s="166" t="s">
        <v>696</v>
      </c>
      <c r="D1805" s="140" t="str">
        <f t="shared" si="204"/>
        <v>3</v>
      </c>
      <c r="E1805" s="166" t="s">
        <v>691</v>
      </c>
      <c r="F1805" s="140">
        <f t="shared" si="203"/>
        <v>1</v>
      </c>
      <c r="G1805" s="140" t="str">
        <f t="shared" si="205"/>
        <v>3.3.1</v>
      </c>
      <c r="H1805" s="181" t="s">
        <v>657</v>
      </c>
      <c r="I1805" s="166" t="s">
        <v>40</v>
      </c>
      <c r="J1805" s="166" t="s">
        <v>339</v>
      </c>
      <c r="K1805" s="166" t="s">
        <v>754</v>
      </c>
      <c r="L1805" s="167">
        <f>2.5%*5400000000</f>
        <v>135000000</v>
      </c>
      <c r="M1805" s="166">
        <v>1</v>
      </c>
      <c r="N1805" s="166">
        <v>1</v>
      </c>
      <c r="O1805" s="164">
        <f t="shared" si="206"/>
        <v>135000000</v>
      </c>
      <c r="P1805" s="166">
        <v>1</v>
      </c>
      <c r="Q1805" s="166">
        <v>1</v>
      </c>
      <c r="R1805" s="164">
        <f>$L1805*'Pivot Objective'!$C$9*P1805*Q1805</f>
        <v>154294348.095</v>
      </c>
      <c r="S1805" s="166">
        <v>1</v>
      </c>
      <c r="T1805" s="166">
        <v>1</v>
      </c>
      <c r="U1805" s="164">
        <f>($L1805*'Pivot Objective'!$C$9^2)*S1805*T1805</f>
        <v>176346265.58563724</v>
      </c>
      <c r="V1805" s="166">
        <v>1</v>
      </c>
      <c r="W1805" s="166">
        <v>1</v>
      </c>
      <c r="X1805" s="164">
        <f>($L1805*'Pivot Objective'!$C$9^3)*V1805*W1805</f>
        <v>201549867.31498984</v>
      </c>
      <c r="Y1805" s="166">
        <v>1</v>
      </c>
      <c r="Z1805" s="166">
        <v>1</v>
      </c>
      <c r="AA1805" s="164">
        <f>($L1805*'Pivot Objective'!$C$9^4)*Y1805*Z1805</f>
        <v>230355595.45185262</v>
      </c>
      <c r="AB1805" s="166">
        <v>1</v>
      </c>
      <c r="AC1805" s="166">
        <v>1</v>
      </c>
      <c r="AD1805" s="164">
        <f>($L1805*'Pivot Objective'!$C$9^5)*AB1805*AC1805</f>
        <v>263278269.85391957</v>
      </c>
      <c r="AE1805" s="166">
        <v>1</v>
      </c>
      <c r="AF1805" s="166">
        <v>1</v>
      </c>
      <c r="AG1805" s="164">
        <f>($L1805*'Pivot Objective'!$C$9^6)*AE1805*AF1805</f>
        <v>300906288.99770379</v>
      </c>
      <c r="AH1805" s="166">
        <v>1</v>
      </c>
      <c r="AI1805" s="166">
        <v>1</v>
      </c>
      <c r="AJ1805" s="164">
        <f>($L1805*'Pivot Objective'!$C$9^7)*AH1805*AI1805</f>
        <v>343912145.91545463</v>
      </c>
      <c r="AK1805" s="185">
        <f t="shared" si="207"/>
        <v>1805642781.2145576</v>
      </c>
      <c r="AL1805" s="186">
        <f t="shared" si="208"/>
        <v>1753051.2438976287</v>
      </c>
    </row>
    <row r="1806" spans="1:38" customFormat="1" ht="43.2" x14ac:dyDescent="0.3">
      <c r="A1806" s="140" t="s">
        <v>1486</v>
      </c>
      <c r="B1806" s="140">
        <v>3</v>
      </c>
      <c r="C1806" s="166" t="s">
        <v>696</v>
      </c>
      <c r="D1806" s="140" t="str">
        <f t="shared" si="204"/>
        <v>3</v>
      </c>
      <c r="E1806" s="166" t="s">
        <v>691</v>
      </c>
      <c r="F1806" s="140">
        <f t="shared" si="203"/>
        <v>1</v>
      </c>
      <c r="G1806" s="140" t="str">
        <f t="shared" si="205"/>
        <v>3.3.1</v>
      </c>
      <c r="H1806" s="181" t="s">
        <v>657</v>
      </c>
      <c r="I1806" s="166" t="s">
        <v>40</v>
      </c>
      <c r="J1806" s="166" t="s">
        <v>340</v>
      </c>
      <c r="K1806" s="166" t="s">
        <v>755</v>
      </c>
      <c r="L1806" s="167">
        <f>900*500000*12</f>
        <v>5400000000</v>
      </c>
      <c r="M1806" s="166">
        <v>1</v>
      </c>
      <c r="N1806" s="166">
        <v>1</v>
      </c>
      <c r="O1806" s="164">
        <f t="shared" si="206"/>
        <v>5400000000</v>
      </c>
      <c r="P1806" s="166">
        <v>1</v>
      </c>
      <c r="Q1806" s="166">
        <v>1</v>
      </c>
      <c r="R1806" s="164">
        <f>$L1806*'Pivot Objective'!$C$9*P1806*Q1806</f>
        <v>6171773923.7999992</v>
      </c>
      <c r="S1806" s="166">
        <v>1</v>
      </c>
      <c r="T1806" s="166">
        <v>1</v>
      </c>
      <c r="U1806" s="164">
        <f>($L1806*'Pivot Objective'!$C$9^2)*S1806*T1806</f>
        <v>7053850623.4254894</v>
      </c>
      <c r="V1806" s="166">
        <v>1</v>
      </c>
      <c r="W1806" s="166">
        <v>1</v>
      </c>
      <c r="X1806" s="164">
        <f>($L1806*'Pivot Objective'!$C$9^3)*V1806*W1806</f>
        <v>8061994692.5995941</v>
      </c>
      <c r="Y1806" s="166">
        <v>1</v>
      </c>
      <c r="Z1806" s="166">
        <v>1</v>
      </c>
      <c r="AA1806" s="164">
        <f>($L1806*'Pivot Objective'!$C$9^4)*Y1806*Z1806</f>
        <v>9214223818.0741043</v>
      </c>
      <c r="AB1806" s="166">
        <v>1</v>
      </c>
      <c r="AC1806" s="166">
        <v>1</v>
      </c>
      <c r="AD1806" s="164">
        <f>($L1806*'Pivot Objective'!$C$9^5)*AB1806*AC1806</f>
        <v>10531130794.156782</v>
      </c>
      <c r="AE1806" s="166">
        <v>1</v>
      </c>
      <c r="AF1806" s="166">
        <v>1</v>
      </c>
      <c r="AG1806" s="164">
        <f>($L1806*'Pivot Objective'!$C$9^6)*AE1806*AF1806</f>
        <v>12036251559.908152</v>
      </c>
      <c r="AH1806" s="166">
        <v>1</v>
      </c>
      <c r="AI1806" s="166">
        <v>1</v>
      </c>
      <c r="AJ1806" s="164">
        <f>($L1806*'Pivot Objective'!$C$9^7)*AH1806*AI1806</f>
        <v>13756485836.618185</v>
      </c>
      <c r="AK1806" s="185">
        <f t="shared" si="207"/>
        <v>72225711248.582306</v>
      </c>
      <c r="AL1806" s="186">
        <f t="shared" si="208"/>
        <v>70122049.755905151</v>
      </c>
    </row>
    <row r="1807" spans="1:38" customFormat="1" ht="43.2" x14ac:dyDescent="0.3">
      <c r="A1807" s="140" t="s">
        <v>1486</v>
      </c>
      <c r="B1807" s="140">
        <v>3</v>
      </c>
      <c r="C1807" s="166" t="s">
        <v>696</v>
      </c>
      <c r="D1807" s="140" t="str">
        <f t="shared" si="204"/>
        <v>3</v>
      </c>
      <c r="E1807" s="166" t="s">
        <v>691</v>
      </c>
      <c r="F1807" s="140">
        <f t="shared" si="203"/>
        <v>2</v>
      </c>
      <c r="G1807" s="140" t="str">
        <f t="shared" si="205"/>
        <v>3.3.2</v>
      </c>
      <c r="H1807" s="166" t="s">
        <v>1699</v>
      </c>
      <c r="I1807" s="166" t="s">
        <v>41</v>
      </c>
      <c r="J1807" s="166" t="s">
        <v>341</v>
      </c>
      <c r="K1807" s="166" t="s">
        <v>718</v>
      </c>
      <c r="L1807" s="167">
        <v>0</v>
      </c>
      <c r="M1807" s="166">
        <v>0</v>
      </c>
      <c r="N1807" s="166">
        <v>0</v>
      </c>
      <c r="O1807" s="164">
        <f t="shared" si="206"/>
        <v>0</v>
      </c>
      <c r="P1807" s="166">
        <v>0</v>
      </c>
      <c r="Q1807" s="166">
        <v>0</v>
      </c>
      <c r="R1807" s="164">
        <f>$L1807*'Pivot Objective'!$C$9*P1807*Q1807</f>
        <v>0</v>
      </c>
      <c r="S1807" s="166">
        <v>0</v>
      </c>
      <c r="T1807" s="166">
        <v>0</v>
      </c>
      <c r="U1807" s="164">
        <f>($L1807*'Pivot Objective'!$C$9^2)*S1807*T1807</f>
        <v>0</v>
      </c>
      <c r="V1807" s="166">
        <v>0</v>
      </c>
      <c r="W1807" s="166">
        <v>0</v>
      </c>
      <c r="X1807" s="164">
        <f>($L1807*'Pivot Objective'!$C$9^3)*V1807*W1807</f>
        <v>0</v>
      </c>
      <c r="Y1807" s="166">
        <v>0</v>
      </c>
      <c r="Z1807" s="166">
        <v>0</v>
      </c>
      <c r="AA1807" s="164">
        <f>($L1807*'Pivot Objective'!$C$9^4)*Y1807*Z1807</f>
        <v>0</v>
      </c>
      <c r="AB1807" s="166">
        <v>0</v>
      </c>
      <c r="AC1807" s="166">
        <v>0</v>
      </c>
      <c r="AD1807" s="164">
        <f>($L1807*'Pivot Objective'!$C$9^5)*AB1807*AC1807</f>
        <v>0</v>
      </c>
      <c r="AE1807" s="166">
        <v>0</v>
      </c>
      <c r="AF1807" s="166">
        <v>0</v>
      </c>
      <c r="AG1807" s="164">
        <f>($L1807*'Pivot Objective'!$C$9^6)*AE1807*AF1807</f>
        <v>0</v>
      </c>
      <c r="AH1807" s="166">
        <v>0</v>
      </c>
      <c r="AI1807" s="166">
        <v>0</v>
      </c>
      <c r="AJ1807" s="164">
        <f>($L1807*'Pivot Objective'!$C$9^7)*AH1807*AI1807</f>
        <v>0</v>
      </c>
      <c r="AK1807" s="185">
        <f t="shared" si="207"/>
        <v>0</v>
      </c>
      <c r="AL1807" s="186">
        <f t="shared" si="208"/>
        <v>0</v>
      </c>
    </row>
    <row r="1808" spans="1:38" customFormat="1" ht="57.6" x14ac:dyDescent="0.3">
      <c r="A1808" s="140" t="s">
        <v>1486</v>
      </c>
      <c r="B1808" s="140">
        <v>3</v>
      </c>
      <c r="C1808" s="166" t="s">
        <v>696</v>
      </c>
      <c r="D1808" s="140" t="str">
        <f t="shared" si="204"/>
        <v>3</v>
      </c>
      <c r="E1808" s="166" t="s">
        <v>691</v>
      </c>
      <c r="F1808" s="140">
        <f t="shared" si="203"/>
        <v>2</v>
      </c>
      <c r="G1808" s="140" t="str">
        <f t="shared" si="205"/>
        <v>3.3.2</v>
      </c>
      <c r="H1808" s="166" t="s">
        <v>1699</v>
      </c>
      <c r="I1808" s="166" t="s">
        <v>41</v>
      </c>
      <c r="J1808" s="166" t="s">
        <v>342</v>
      </c>
      <c r="K1808" s="166" t="s">
        <v>716</v>
      </c>
      <c r="L1808" s="167">
        <v>39000</v>
      </c>
      <c r="M1808" s="166"/>
      <c r="N1808" s="166"/>
      <c r="O1808" s="164">
        <f t="shared" si="206"/>
        <v>0</v>
      </c>
      <c r="P1808" s="166">
        <v>0</v>
      </c>
      <c r="Q1808" s="166">
        <v>0</v>
      </c>
      <c r="R1808" s="164">
        <f>$L1808*'Pivot Objective'!$C$9*P1808*Q1808</f>
        <v>0</v>
      </c>
      <c r="S1808" s="166">
        <v>58</v>
      </c>
      <c r="T1808" s="166">
        <f>6*2</f>
        <v>12</v>
      </c>
      <c r="U1808" s="164">
        <f>($L1808*'Pivot Objective'!$C$9^2)*S1808*T1808</f>
        <v>35457355.800418794</v>
      </c>
      <c r="V1808" s="166">
        <v>0</v>
      </c>
      <c r="W1808" s="166">
        <v>0</v>
      </c>
      <c r="X1808" s="164">
        <f>($L1808*'Pivot Objective'!$C$9^3)*V1808*W1808</f>
        <v>0</v>
      </c>
      <c r="Y1808" s="166">
        <v>40</v>
      </c>
      <c r="Z1808" s="166">
        <v>10</v>
      </c>
      <c r="AA1808" s="164">
        <f>($L1808*'Pivot Objective'!$C$9^4)*Y1808*Z1808</f>
        <v>26618868.807769638</v>
      </c>
      <c r="AB1808" s="166">
        <v>0</v>
      </c>
      <c r="AC1808" s="166">
        <v>0</v>
      </c>
      <c r="AD1808" s="164">
        <f>($L1808*'Pivot Objective'!$C$9^5)*AB1808*AC1808</f>
        <v>0</v>
      </c>
      <c r="AE1808" s="166">
        <v>58</v>
      </c>
      <c r="AF1808" s="166">
        <f>6*2</f>
        <v>12</v>
      </c>
      <c r="AG1808" s="164">
        <f>($L1808*'Pivot Objective'!$C$9^6)*AE1808*AF1808</f>
        <v>60502224.507804975</v>
      </c>
      <c r="AH1808" s="166">
        <v>0</v>
      </c>
      <c r="AI1808" s="166">
        <v>0</v>
      </c>
      <c r="AJ1808" s="164">
        <f>($L1808*'Pivot Objective'!$C$9^7)*AH1808*AI1808</f>
        <v>0</v>
      </c>
      <c r="AK1808" s="185">
        <f t="shared" si="207"/>
        <v>122578449.11599341</v>
      </c>
      <c r="AL1808" s="186">
        <f t="shared" si="208"/>
        <v>119008.20302523632</v>
      </c>
    </row>
    <row r="1809" spans="1:38" customFormat="1" ht="57.6" x14ac:dyDescent="0.3">
      <c r="A1809" s="140" t="s">
        <v>1486</v>
      </c>
      <c r="B1809" s="140">
        <v>3</v>
      </c>
      <c r="C1809" s="166" t="s">
        <v>696</v>
      </c>
      <c r="D1809" s="140" t="str">
        <f t="shared" si="204"/>
        <v>3</v>
      </c>
      <c r="E1809" s="166" t="s">
        <v>691</v>
      </c>
      <c r="F1809" s="140">
        <f t="shared" si="203"/>
        <v>2</v>
      </c>
      <c r="G1809" s="140" t="str">
        <f t="shared" si="205"/>
        <v>3.3.2</v>
      </c>
      <c r="H1809" s="166" t="s">
        <v>1699</v>
      </c>
      <c r="I1809" s="166" t="s">
        <v>41</v>
      </c>
      <c r="J1809" s="166" t="s">
        <v>342</v>
      </c>
      <c r="K1809" s="166" t="s">
        <v>709</v>
      </c>
      <c r="L1809" s="167">
        <v>35000</v>
      </c>
      <c r="M1809" s="166"/>
      <c r="N1809" s="166"/>
      <c r="O1809" s="164">
        <f t="shared" si="206"/>
        <v>0</v>
      </c>
      <c r="P1809" s="166">
        <v>0</v>
      </c>
      <c r="Q1809" s="166">
        <v>0</v>
      </c>
      <c r="R1809" s="164">
        <f>$L1809*'Pivot Objective'!$C$9*P1809*Q1809</f>
        <v>0</v>
      </c>
      <c r="S1809" s="166">
        <v>100</v>
      </c>
      <c r="T1809" s="166">
        <f>5*2</f>
        <v>10</v>
      </c>
      <c r="U1809" s="164">
        <f>($L1809*'Pivot Objective'!$C$9^2)*S1809*T1809</f>
        <v>45719402.18886891</v>
      </c>
      <c r="V1809" s="166">
        <v>0</v>
      </c>
      <c r="W1809" s="166">
        <v>0</v>
      </c>
      <c r="X1809" s="164">
        <f>($L1809*'Pivot Objective'!$C$9^3)*V1809*W1809</f>
        <v>0</v>
      </c>
      <c r="Y1809" s="166">
        <v>40</v>
      </c>
      <c r="Z1809" s="166">
        <v>10</v>
      </c>
      <c r="AA1809" s="164">
        <f>($L1809*'Pivot Objective'!$C$9^4)*Y1809*Z1809</f>
        <v>23888728.417229161</v>
      </c>
      <c r="AB1809" s="166">
        <v>0</v>
      </c>
      <c r="AC1809" s="166">
        <v>0</v>
      </c>
      <c r="AD1809" s="164">
        <f>($L1809*'Pivot Objective'!$C$9^5)*AB1809*AC1809</f>
        <v>0</v>
      </c>
      <c r="AE1809" s="166">
        <v>100</v>
      </c>
      <c r="AF1809" s="166">
        <f>5*2</f>
        <v>10</v>
      </c>
      <c r="AG1809" s="164">
        <f>($L1809*'Pivot Objective'!$C$9^6)*AE1809*AF1809</f>
        <v>78012741.591997266</v>
      </c>
      <c r="AH1809" s="166">
        <v>0</v>
      </c>
      <c r="AI1809" s="166">
        <v>0</v>
      </c>
      <c r="AJ1809" s="164">
        <f>($L1809*'Pivot Objective'!$C$9^7)*AH1809*AI1809</f>
        <v>0</v>
      </c>
      <c r="AK1809" s="185">
        <f t="shared" si="207"/>
        <v>147620872.19809532</v>
      </c>
      <c r="AL1809" s="186">
        <f t="shared" si="208"/>
        <v>143321.23514378187</v>
      </c>
    </row>
    <row r="1810" spans="1:38" customFormat="1" ht="57.6" x14ac:dyDescent="0.3">
      <c r="A1810" s="140" t="s">
        <v>1486</v>
      </c>
      <c r="B1810" s="140">
        <v>3</v>
      </c>
      <c r="C1810" s="166" t="s">
        <v>696</v>
      </c>
      <c r="D1810" s="140" t="str">
        <f t="shared" si="204"/>
        <v>3</v>
      </c>
      <c r="E1810" s="166" t="s">
        <v>691</v>
      </c>
      <c r="F1810" s="140">
        <f t="shared" si="203"/>
        <v>2</v>
      </c>
      <c r="G1810" s="140" t="str">
        <f t="shared" si="205"/>
        <v>3.3.2</v>
      </c>
      <c r="H1810" s="166" t="s">
        <v>1699</v>
      </c>
      <c r="I1810" s="166" t="s">
        <v>41</v>
      </c>
      <c r="J1810" s="166" t="s">
        <v>342</v>
      </c>
      <c r="K1810" s="166" t="s">
        <v>712</v>
      </c>
      <c r="L1810" s="167">
        <f>1480/7</f>
        <v>211.42857142857142</v>
      </c>
      <c r="M1810" s="166"/>
      <c r="N1810" s="166"/>
      <c r="O1810" s="164">
        <f t="shared" si="206"/>
        <v>0</v>
      </c>
      <c r="P1810" s="166">
        <v>0</v>
      </c>
      <c r="Q1810" s="166">
        <v>0</v>
      </c>
      <c r="R1810" s="164">
        <f>$L1810*'Pivot Objective'!$C$9*P1810*Q1810</f>
        <v>0</v>
      </c>
      <c r="S1810" s="166">
        <f>2*25*29</f>
        <v>1450</v>
      </c>
      <c r="T1810" s="166">
        <f>5*2</f>
        <v>10</v>
      </c>
      <c r="U1810" s="164">
        <f>($L1810*'Pivot Objective'!$C$9^2)*S1810*T1810</f>
        <v>4004646.4121352118</v>
      </c>
      <c r="V1810" s="166">
        <v>0</v>
      </c>
      <c r="W1810" s="166">
        <v>0</v>
      </c>
      <c r="X1810" s="164">
        <f>($L1810*'Pivot Objective'!$C$9^3)*V1810*W1810</f>
        <v>0</v>
      </c>
      <c r="Y1810" s="166">
        <v>10000</v>
      </c>
      <c r="Z1810" s="166">
        <v>1</v>
      </c>
      <c r="AA1810" s="164">
        <f>($L1810*'Pivot Objective'!$C$9^4)*Y1810*Z1810</f>
        <v>3607685.5160713419</v>
      </c>
      <c r="AB1810" s="166">
        <v>0</v>
      </c>
      <c r="AC1810" s="166">
        <v>0</v>
      </c>
      <c r="AD1810" s="164">
        <f>($L1810*'Pivot Objective'!$C$9^5)*AB1810*AC1810</f>
        <v>0</v>
      </c>
      <c r="AE1810" s="166">
        <f>2*25*29</f>
        <v>1450</v>
      </c>
      <c r="AF1810" s="166">
        <f>5*2</f>
        <v>10</v>
      </c>
      <c r="AG1810" s="164">
        <f>($L1810*'Pivot Objective'!$C$9^6)*AE1810*AF1810</f>
        <v>6833279.3247520877</v>
      </c>
      <c r="AH1810" s="166">
        <v>0</v>
      </c>
      <c r="AI1810" s="166">
        <v>0</v>
      </c>
      <c r="AJ1810" s="164">
        <f>($L1810*'Pivot Objective'!$C$9^7)*AH1810*AI1810</f>
        <v>0</v>
      </c>
      <c r="AK1810" s="185">
        <f t="shared" si="207"/>
        <v>14445611.25295864</v>
      </c>
      <c r="AL1810" s="186">
        <f t="shared" si="208"/>
        <v>14024.865294134603</v>
      </c>
    </row>
    <row r="1811" spans="1:38" customFormat="1" ht="57.6" x14ac:dyDescent="0.3">
      <c r="A1811" s="140" t="s">
        <v>1486</v>
      </c>
      <c r="B1811" s="140">
        <v>3</v>
      </c>
      <c r="C1811" s="166" t="s">
        <v>696</v>
      </c>
      <c r="D1811" s="140" t="str">
        <f t="shared" si="204"/>
        <v>3</v>
      </c>
      <c r="E1811" s="166" t="s">
        <v>691</v>
      </c>
      <c r="F1811" s="140">
        <f t="shared" si="203"/>
        <v>2</v>
      </c>
      <c r="G1811" s="140" t="str">
        <f t="shared" si="205"/>
        <v>3.3.2</v>
      </c>
      <c r="H1811" s="166" t="s">
        <v>1699</v>
      </c>
      <c r="I1811" s="166" t="s">
        <v>41</v>
      </c>
      <c r="J1811" s="166" t="s">
        <v>342</v>
      </c>
      <c r="K1811" s="166" t="s">
        <v>1299</v>
      </c>
      <c r="L1811" s="167">
        <f>1480/7</f>
        <v>211.42857142857142</v>
      </c>
      <c r="M1811" s="166"/>
      <c r="N1811" s="166"/>
      <c r="O1811" s="164">
        <f t="shared" si="206"/>
        <v>0</v>
      </c>
      <c r="P1811" s="166"/>
      <c r="Q1811" s="166"/>
      <c r="R1811" s="164">
        <f>$L1811*'Pivot Objective'!$C$9*P1811*Q1811</f>
        <v>0</v>
      </c>
      <c r="S1811" s="166">
        <v>22500</v>
      </c>
      <c r="T1811" s="166">
        <v>5</v>
      </c>
      <c r="U1811" s="164">
        <f>($L1811*'Pivot Objective'!$C$9^2)*S1811*T1811</f>
        <v>31070532.507945605</v>
      </c>
      <c r="V1811" s="166"/>
      <c r="W1811" s="166"/>
      <c r="X1811" s="164">
        <f>($L1811*'Pivot Objective'!$C$9^3)*V1811*W1811</f>
        <v>0</v>
      </c>
      <c r="Y1811" s="166"/>
      <c r="Z1811" s="166"/>
      <c r="AA1811" s="164">
        <f>($L1811*'Pivot Objective'!$C$9^4)*Y1811*Z1811</f>
        <v>0</v>
      </c>
      <c r="AB1811" s="166"/>
      <c r="AC1811" s="166"/>
      <c r="AD1811" s="164">
        <f>($L1811*'Pivot Objective'!$C$9^5)*AB1811*AC1811</f>
        <v>0</v>
      </c>
      <c r="AE1811" s="166">
        <v>22500</v>
      </c>
      <c r="AF1811" s="166">
        <v>5</v>
      </c>
      <c r="AG1811" s="164">
        <f>($L1811*'Pivot Objective'!$C$9^6)*AE1811*AF1811</f>
        <v>53016822.347214475</v>
      </c>
      <c r="AH1811" s="166"/>
      <c r="AI1811" s="166"/>
      <c r="AJ1811" s="164">
        <f>($L1811*'Pivot Objective'!$C$9^7)*AH1811*AI1811</f>
        <v>0</v>
      </c>
      <c r="AK1811" s="185">
        <f t="shared" si="207"/>
        <v>84087354.855160087</v>
      </c>
      <c r="AL1811" s="186">
        <f t="shared" si="208"/>
        <v>81638.208597242803</v>
      </c>
    </row>
    <row r="1812" spans="1:38" customFormat="1" ht="43.2" x14ac:dyDescent="0.3">
      <c r="A1812" s="140" t="s">
        <v>1486</v>
      </c>
      <c r="B1812" s="140">
        <v>3</v>
      </c>
      <c r="C1812" s="166" t="s">
        <v>696</v>
      </c>
      <c r="D1812" s="140" t="str">
        <f t="shared" si="204"/>
        <v>3</v>
      </c>
      <c r="E1812" s="166" t="s">
        <v>691</v>
      </c>
      <c r="F1812" s="140">
        <f t="shared" si="203"/>
        <v>2</v>
      </c>
      <c r="G1812" s="140" t="str">
        <f t="shared" si="205"/>
        <v>3.3.2</v>
      </c>
      <c r="H1812" s="166" t="s">
        <v>1699</v>
      </c>
      <c r="I1812" s="166" t="s">
        <v>41</v>
      </c>
      <c r="J1812" s="166" t="s">
        <v>179</v>
      </c>
      <c r="K1812" s="166" t="s">
        <v>713</v>
      </c>
      <c r="L1812" s="167">
        <v>45000</v>
      </c>
      <c r="M1812" s="166"/>
      <c r="N1812" s="166"/>
      <c r="O1812" s="164">
        <f t="shared" si="206"/>
        <v>0</v>
      </c>
      <c r="P1812" s="166">
        <v>0</v>
      </c>
      <c r="Q1812" s="166">
        <v>0</v>
      </c>
      <c r="R1812" s="164">
        <f>$L1812*'Pivot Objective'!$C$9*P1812*Q1812</f>
        <v>0</v>
      </c>
      <c r="S1812" s="166">
        <v>25</v>
      </c>
      <c r="T1812" s="166">
        <v>6</v>
      </c>
      <c r="U1812" s="164">
        <f>($L1812*'Pivot Objective'!$C$9^2)*S1812*T1812</f>
        <v>8817313.2792818621</v>
      </c>
      <c r="V1812" s="166">
        <v>0</v>
      </c>
      <c r="W1812" s="166">
        <v>0</v>
      </c>
      <c r="X1812" s="164">
        <f>($L1812*'Pivot Objective'!$C$9^3)*V1812*W1812</f>
        <v>0</v>
      </c>
      <c r="Y1812" s="166">
        <v>15</v>
      </c>
      <c r="Z1812" s="166">
        <v>25</v>
      </c>
      <c r="AA1812" s="164">
        <f>($L1812*'Pivot Objective'!$C$9^4)*Y1812*Z1812</f>
        <v>28794449.431481574</v>
      </c>
      <c r="AB1812" s="166">
        <v>0</v>
      </c>
      <c r="AC1812" s="166">
        <v>0</v>
      </c>
      <c r="AD1812" s="164">
        <f>($L1812*'Pivot Objective'!$C$9^5)*AB1812*AC1812</f>
        <v>0</v>
      </c>
      <c r="AE1812" s="166">
        <v>25</v>
      </c>
      <c r="AF1812" s="166">
        <v>6</v>
      </c>
      <c r="AG1812" s="164">
        <f>($L1812*'Pivot Objective'!$C$9^6)*AE1812*AF1812</f>
        <v>15045314.44988519</v>
      </c>
      <c r="AH1812" s="166">
        <v>0</v>
      </c>
      <c r="AI1812" s="166">
        <v>0</v>
      </c>
      <c r="AJ1812" s="164">
        <f>($L1812*'Pivot Objective'!$C$9^7)*AH1812*AI1812</f>
        <v>0</v>
      </c>
      <c r="AK1812" s="185">
        <f t="shared" si="207"/>
        <v>52657077.160648629</v>
      </c>
      <c r="AL1812" s="186">
        <f t="shared" si="208"/>
        <v>51123.375884124885</v>
      </c>
    </row>
    <row r="1813" spans="1:38" customFormat="1" ht="43.2" x14ac:dyDescent="0.3">
      <c r="A1813" s="140" t="s">
        <v>1486</v>
      </c>
      <c r="B1813" s="140">
        <v>3</v>
      </c>
      <c r="C1813" s="166" t="s">
        <v>696</v>
      </c>
      <c r="D1813" s="140" t="str">
        <f t="shared" si="204"/>
        <v>3</v>
      </c>
      <c r="E1813" s="166" t="s">
        <v>691</v>
      </c>
      <c r="F1813" s="140">
        <f t="shared" si="203"/>
        <v>2</v>
      </c>
      <c r="G1813" s="140" t="str">
        <f t="shared" si="205"/>
        <v>3.3.2</v>
      </c>
      <c r="H1813" s="166" t="s">
        <v>1699</v>
      </c>
      <c r="I1813" s="166" t="s">
        <v>41</v>
      </c>
      <c r="J1813" s="166" t="s">
        <v>179</v>
      </c>
      <c r="K1813" s="166" t="s">
        <v>712</v>
      </c>
      <c r="L1813" s="167">
        <f>1480/7</f>
        <v>211.42857142857142</v>
      </c>
      <c r="M1813" s="166"/>
      <c r="N1813" s="166"/>
      <c r="O1813" s="164">
        <f t="shared" si="206"/>
        <v>0</v>
      </c>
      <c r="P1813" s="166">
        <v>0</v>
      </c>
      <c r="Q1813" s="166">
        <v>0</v>
      </c>
      <c r="R1813" s="164">
        <f>$L1813*'Pivot Objective'!$C$9*P1813*Q1813</f>
        <v>0</v>
      </c>
      <c r="S1813" s="166">
        <f>2*25*9</f>
        <v>450</v>
      </c>
      <c r="T1813" s="166">
        <v>5</v>
      </c>
      <c r="U1813" s="164">
        <f>($L1813*'Pivot Objective'!$C$9^2)*S1813*T1813</f>
        <v>621410.65015891218</v>
      </c>
      <c r="V1813" s="166">
        <v>0</v>
      </c>
      <c r="W1813" s="166">
        <v>0</v>
      </c>
      <c r="X1813" s="164">
        <f>($L1813*'Pivot Objective'!$C$9^3)*V1813*W1813</f>
        <v>0</v>
      </c>
      <c r="Y1813" s="166">
        <v>20000</v>
      </c>
      <c r="Z1813" s="166">
        <v>1</v>
      </c>
      <c r="AA1813" s="164">
        <f>($L1813*'Pivot Objective'!$C$9^4)*Y1813*Z1813</f>
        <v>7215371.0321426839</v>
      </c>
      <c r="AB1813" s="166">
        <v>0</v>
      </c>
      <c r="AC1813" s="166">
        <v>0</v>
      </c>
      <c r="AD1813" s="164">
        <f>($L1813*'Pivot Objective'!$C$9^5)*AB1813*AC1813</f>
        <v>0</v>
      </c>
      <c r="AE1813" s="166">
        <f>2*25*9</f>
        <v>450</v>
      </c>
      <c r="AF1813" s="166">
        <v>5</v>
      </c>
      <c r="AG1813" s="164">
        <f>($L1813*'Pivot Objective'!$C$9^6)*AE1813*AF1813</f>
        <v>1060336.4469442894</v>
      </c>
      <c r="AH1813" s="166">
        <v>0</v>
      </c>
      <c r="AI1813" s="166">
        <v>0</v>
      </c>
      <c r="AJ1813" s="164">
        <f>($L1813*'Pivot Objective'!$C$9^7)*AH1813*AI1813</f>
        <v>0</v>
      </c>
      <c r="AK1813" s="185">
        <f t="shared" si="207"/>
        <v>8897118.1292458847</v>
      </c>
      <c r="AL1813" s="186">
        <f t="shared" si="208"/>
        <v>8637.9787662581402</v>
      </c>
    </row>
    <row r="1814" spans="1:38" customFormat="1" ht="43.2" x14ac:dyDescent="0.3">
      <c r="A1814" s="140" t="s">
        <v>1486</v>
      </c>
      <c r="B1814" s="140">
        <v>3</v>
      </c>
      <c r="C1814" s="166" t="s">
        <v>696</v>
      </c>
      <c r="D1814" s="140" t="str">
        <f t="shared" si="204"/>
        <v>3</v>
      </c>
      <c r="E1814" s="166" t="s">
        <v>691</v>
      </c>
      <c r="F1814" s="140">
        <f t="shared" si="203"/>
        <v>2</v>
      </c>
      <c r="G1814" s="140" t="str">
        <f t="shared" si="205"/>
        <v>3.3.2</v>
      </c>
      <c r="H1814" s="166" t="s">
        <v>1699</v>
      </c>
      <c r="I1814" s="166" t="s">
        <v>41</v>
      </c>
      <c r="J1814" s="166" t="s">
        <v>179</v>
      </c>
      <c r="K1814" s="166" t="s">
        <v>709</v>
      </c>
      <c r="L1814" s="167">
        <v>35000</v>
      </c>
      <c r="M1814" s="166"/>
      <c r="N1814" s="166"/>
      <c r="O1814" s="164">
        <f t="shared" si="206"/>
        <v>0</v>
      </c>
      <c r="P1814" s="166"/>
      <c r="Q1814" s="166"/>
      <c r="R1814" s="164">
        <f>$L1814*'Pivot Objective'!$C$9*P1814*Q1814</f>
        <v>0</v>
      </c>
      <c r="S1814" s="166">
        <v>25</v>
      </c>
      <c r="T1814" s="166">
        <v>5</v>
      </c>
      <c r="U1814" s="164">
        <f>($L1814*'Pivot Objective'!$C$9^2)*S1814*T1814</f>
        <v>5714925.2736086138</v>
      </c>
      <c r="V1814" s="166"/>
      <c r="W1814" s="166"/>
      <c r="X1814" s="164">
        <f>($L1814*'Pivot Objective'!$C$9^3)*V1814*W1814</f>
        <v>0</v>
      </c>
      <c r="Y1814" s="166"/>
      <c r="Z1814" s="166"/>
      <c r="AA1814" s="164">
        <f>($L1814*'Pivot Objective'!$C$9^4)*Y1814*Z1814</f>
        <v>0</v>
      </c>
      <c r="AB1814" s="166"/>
      <c r="AC1814" s="166"/>
      <c r="AD1814" s="164">
        <f>($L1814*'Pivot Objective'!$C$9^5)*AB1814*AC1814</f>
        <v>0</v>
      </c>
      <c r="AE1814" s="166">
        <v>25</v>
      </c>
      <c r="AF1814" s="166">
        <v>5</v>
      </c>
      <c r="AG1814" s="164">
        <f>($L1814*'Pivot Objective'!$C$9^6)*AE1814*AF1814</f>
        <v>9751592.6989996582</v>
      </c>
      <c r="AH1814" s="166"/>
      <c r="AI1814" s="166"/>
      <c r="AJ1814" s="164">
        <f>($L1814*'Pivot Objective'!$C$9^7)*AH1814*AI1814</f>
        <v>0</v>
      </c>
      <c r="AK1814" s="185">
        <f t="shared" si="207"/>
        <v>15466517.972608272</v>
      </c>
      <c r="AL1814" s="186">
        <f t="shared" si="208"/>
        <v>15016.036866609973</v>
      </c>
    </row>
    <row r="1815" spans="1:38" customFormat="1" ht="43.2" x14ac:dyDescent="0.3">
      <c r="A1815" s="140" t="s">
        <v>1486</v>
      </c>
      <c r="B1815" s="140">
        <v>3</v>
      </c>
      <c r="C1815" s="166" t="s">
        <v>696</v>
      </c>
      <c r="D1815" s="140" t="str">
        <f t="shared" si="204"/>
        <v>3</v>
      </c>
      <c r="E1815" s="166" t="s">
        <v>691</v>
      </c>
      <c r="F1815" s="140">
        <f t="shared" si="203"/>
        <v>2</v>
      </c>
      <c r="G1815" s="140" t="str">
        <f t="shared" si="205"/>
        <v>3.3.2</v>
      </c>
      <c r="H1815" s="166" t="s">
        <v>1699</v>
      </c>
      <c r="I1815" s="166" t="s">
        <v>41</v>
      </c>
      <c r="J1815" s="166" t="s">
        <v>179</v>
      </c>
      <c r="K1815" s="166" t="s">
        <v>1299</v>
      </c>
      <c r="L1815" s="167">
        <f>1480/7</f>
        <v>211.42857142857142</v>
      </c>
      <c r="M1815" s="166"/>
      <c r="N1815" s="166"/>
      <c r="O1815" s="164">
        <f t="shared" si="206"/>
        <v>0</v>
      </c>
      <c r="P1815" s="166"/>
      <c r="Q1815" s="166"/>
      <c r="R1815" s="164">
        <f>$L1815*'Pivot Objective'!$C$9*P1815*Q1815</f>
        <v>0</v>
      </c>
      <c r="S1815" s="166">
        <f>2*135*9</f>
        <v>2430</v>
      </c>
      <c r="T1815" s="166">
        <v>1</v>
      </c>
      <c r="U1815" s="164">
        <f>($L1815*'Pivot Objective'!$C$9^2)*S1815*T1815</f>
        <v>671123.50217162515</v>
      </c>
      <c r="V1815" s="166"/>
      <c r="W1815" s="166"/>
      <c r="X1815" s="164">
        <f>($L1815*'Pivot Objective'!$C$9^3)*V1815*W1815</f>
        <v>0</v>
      </c>
      <c r="Y1815" s="166"/>
      <c r="Z1815" s="166"/>
      <c r="AA1815" s="164">
        <f>($L1815*'Pivot Objective'!$C$9^4)*Y1815*Z1815</f>
        <v>0</v>
      </c>
      <c r="AB1815" s="166"/>
      <c r="AC1815" s="166"/>
      <c r="AD1815" s="164">
        <f>($L1815*'Pivot Objective'!$C$9^5)*AB1815*AC1815</f>
        <v>0</v>
      </c>
      <c r="AE1815" s="166">
        <f>2*135*9</f>
        <v>2430</v>
      </c>
      <c r="AF1815" s="166">
        <v>1</v>
      </c>
      <c r="AG1815" s="164">
        <f>($L1815*'Pivot Objective'!$C$9^6)*AE1815*AF1815</f>
        <v>1145163.3626998325</v>
      </c>
      <c r="AH1815" s="166"/>
      <c r="AI1815" s="166"/>
      <c r="AJ1815" s="164">
        <f>($L1815*'Pivot Objective'!$C$9^7)*AH1815*AI1815</f>
        <v>0</v>
      </c>
      <c r="AK1815" s="185">
        <f t="shared" si="207"/>
        <v>1816286.8648714577</v>
      </c>
      <c r="AL1815" s="186">
        <f t="shared" si="208"/>
        <v>1763.3853057004444</v>
      </c>
    </row>
    <row r="1816" spans="1:38" customFormat="1" ht="43.2" x14ac:dyDescent="0.3">
      <c r="A1816" s="140" t="s">
        <v>1486</v>
      </c>
      <c r="B1816" s="140">
        <v>3</v>
      </c>
      <c r="C1816" s="166" t="s">
        <v>696</v>
      </c>
      <c r="D1816" s="140" t="str">
        <f t="shared" si="204"/>
        <v>3</v>
      </c>
      <c r="E1816" s="166" t="s">
        <v>691</v>
      </c>
      <c r="F1816" s="140">
        <f t="shared" si="203"/>
        <v>2</v>
      </c>
      <c r="G1816" s="140" t="str">
        <f t="shared" si="205"/>
        <v>3.3.2</v>
      </c>
      <c r="H1816" s="166" t="s">
        <v>1699</v>
      </c>
      <c r="I1816" s="166" t="s">
        <v>41</v>
      </c>
      <c r="J1816" s="166" t="s">
        <v>179</v>
      </c>
      <c r="K1816" s="166" t="s">
        <v>714</v>
      </c>
      <c r="L1816" s="167">
        <v>10000</v>
      </c>
      <c r="M1816" s="166"/>
      <c r="N1816" s="166"/>
      <c r="O1816" s="164">
        <f t="shared" si="206"/>
        <v>0</v>
      </c>
      <c r="P1816" s="166">
        <v>0</v>
      </c>
      <c r="Q1816" s="166">
        <v>0</v>
      </c>
      <c r="R1816" s="164">
        <f>$L1816*'Pivot Objective'!$C$9*P1816*Q1816</f>
        <v>0</v>
      </c>
      <c r="S1816" s="166">
        <v>15</v>
      </c>
      <c r="T1816" s="166">
        <v>1</v>
      </c>
      <c r="U1816" s="164">
        <f>($L1816*'Pivot Objective'!$C$9^2)*S1816*T1816</f>
        <v>195940.29509515248</v>
      </c>
      <c r="V1816" s="166">
        <v>0</v>
      </c>
      <c r="W1816" s="166">
        <v>0</v>
      </c>
      <c r="X1816" s="164">
        <f>($L1816*'Pivot Objective'!$C$9^3)*V1816*W1816</f>
        <v>0</v>
      </c>
      <c r="Y1816" s="166">
        <v>15</v>
      </c>
      <c r="Z1816" s="166">
        <v>1</v>
      </c>
      <c r="AA1816" s="164">
        <f>($L1816*'Pivot Objective'!$C$9^4)*Y1816*Z1816</f>
        <v>255950.66161316959</v>
      </c>
      <c r="AB1816" s="166">
        <v>0</v>
      </c>
      <c r="AC1816" s="166">
        <v>0</v>
      </c>
      <c r="AD1816" s="164">
        <f>($L1816*'Pivot Objective'!$C$9^5)*AB1816*AC1816</f>
        <v>0</v>
      </c>
      <c r="AE1816" s="166">
        <v>15</v>
      </c>
      <c r="AF1816" s="166">
        <v>1</v>
      </c>
      <c r="AG1816" s="164">
        <f>($L1816*'Pivot Objective'!$C$9^6)*AE1816*AF1816</f>
        <v>334340.32110855979</v>
      </c>
      <c r="AH1816" s="166">
        <v>0</v>
      </c>
      <c r="AI1816" s="166">
        <v>0</v>
      </c>
      <c r="AJ1816" s="164">
        <f>($L1816*'Pivot Objective'!$C$9^7)*AH1816*AI1816</f>
        <v>0</v>
      </c>
      <c r="AK1816" s="185">
        <f t="shared" si="207"/>
        <v>786231.27781688189</v>
      </c>
      <c r="AL1816" s="186">
        <f t="shared" si="208"/>
        <v>763.33133768629307</v>
      </c>
    </row>
    <row r="1817" spans="1:38" customFormat="1" ht="43.2" x14ac:dyDescent="0.3">
      <c r="A1817" s="140" t="s">
        <v>1486</v>
      </c>
      <c r="B1817" s="140">
        <v>3</v>
      </c>
      <c r="C1817" s="166" t="s">
        <v>696</v>
      </c>
      <c r="D1817" s="140" t="str">
        <f t="shared" si="204"/>
        <v>3</v>
      </c>
      <c r="E1817" s="166" t="s">
        <v>691</v>
      </c>
      <c r="F1817" s="140">
        <f t="shared" si="203"/>
        <v>2</v>
      </c>
      <c r="G1817" s="140" t="str">
        <f t="shared" si="205"/>
        <v>3.3.2</v>
      </c>
      <c r="H1817" s="166" t="s">
        <v>1699</v>
      </c>
      <c r="I1817" s="166" t="s">
        <v>41</v>
      </c>
      <c r="J1817" s="166" t="s">
        <v>159</v>
      </c>
      <c r="K1817" s="166" t="s">
        <v>716</v>
      </c>
      <c r="L1817" s="167">
        <v>39000</v>
      </c>
      <c r="M1817" s="166"/>
      <c r="N1817" s="166"/>
      <c r="O1817" s="164">
        <f t="shared" si="206"/>
        <v>0</v>
      </c>
      <c r="P1817" s="166">
        <v>0</v>
      </c>
      <c r="Q1817" s="166">
        <v>0</v>
      </c>
      <c r="R1817" s="164">
        <f>$L1817*'Pivot Objective'!$C$9*P1817*Q1817</f>
        <v>0</v>
      </c>
      <c r="S1817" s="166">
        <v>25</v>
      </c>
      <c r="T1817" s="166">
        <v>6</v>
      </c>
      <c r="U1817" s="164">
        <f>($L1817*'Pivot Objective'!$C$9^2)*S1817*T1817</f>
        <v>7641671.5087109469</v>
      </c>
      <c r="V1817" s="166">
        <v>0</v>
      </c>
      <c r="W1817" s="166">
        <v>0</v>
      </c>
      <c r="X1817" s="164">
        <f>($L1817*'Pivot Objective'!$C$9^3)*V1817*W1817</f>
        <v>0</v>
      </c>
      <c r="Y1817" s="166">
        <v>20</v>
      </c>
      <c r="Z1817" s="166">
        <v>5</v>
      </c>
      <c r="AA1817" s="164">
        <f>($L1817*'Pivot Objective'!$C$9^4)*Y1817*Z1817</f>
        <v>6654717.2019424094</v>
      </c>
      <c r="AB1817" s="166">
        <v>0</v>
      </c>
      <c r="AC1817" s="166">
        <v>0</v>
      </c>
      <c r="AD1817" s="164">
        <f>($L1817*'Pivot Objective'!$C$9^5)*AB1817*AC1817</f>
        <v>0</v>
      </c>
      <c r="AE1817" s="166">
        <v>25</v>
      </c>
      <c r="AF1817" s="166">
        <v>6</v>
      </c>
      <c r="AG1817" s="164">
        <f>($L1817*'Pivot Objective'!$C$9^6)*AE1817*AF1817</f>
        <v>13039272.523233831</v>
      </c>
      <c r="AH1817" s="166">
        <v>0</v>
      </c>
      <c r="AI1817" s="166">
        <v>0</v>
      </c>
      <c r="AJ1817" s="164">
        <f>($L1817*'Pivot Objective'!$C$9^7)*AH1817*AI1817</f>
        <v>0</v>
      </c>
      <c r="AK1817" s="185">
        <f t="shared" si="207"/>
        <v>27335661.233887188</v>
      </c>
      <c r="AL1817" s="186">
        <f t="shared" si="208"/>
        <v>26539.476926104067</v>
      </c>
    </row>
    <row r="1818" spans="1:38" customFormat="1" ht="43.2" x14ac:dyDescent="0.3">
      <c r="A1818" s="140" t="s">
        <v>1486</v>
      </c>
      <c r="B1818" s="140">
        <v>3</v>
      </c>
      <c r="C1818" s="166" t="s">
        <v>696</v>
      </c>
      <c r="D1818" s="140" t="str">
        <f t="shared" si="204"/>
        <v>3</v>
      </c>
      <c r="E1818" s="166" t="s">
        <v>691</v>
      </c>
      <c r="F1818" s="140">
        <f t="shared" si="203"/>
        <v>2</v>
      </c>
      <c r="G1818" s="140" t="str">
        <f t="shared" si="205"/>
        <v>3.3.2</v>
      </c>
      <c r="H1818" s="166" t="s">
        <v>1699</v>
      </c>
      <c r="I1818" s="166" t="s">
        <v>41</v>
      </c>
      <c r="J1818" s="166" t="s">
        <v>159</v>
      </c>
      <c r="K1818" s="166" t="s">
        <v>709</v>
      </c>
      <c r="L1818" s="167">
        <v>35000</v>
      </c>
      <c r="M1818" s="166"/>
      <c r="N1818" s="166"/>
      <c r="O1818" s="164">
        <f t="shared" si="206"/>
        <v>0</v>
      </c>
      <c r="P1818" s="166">
        <v>0</v>
      </c>
      <c r="Q1818" s="166">
        <v>0</v>
      </c>
      <c r="R1818" s="164">
        <f>$L1818*'Pivot Objective'!$C$9*P1818*Q1818</f>
        <v>0</v>
      </c>
      <c r="S1818" s="166">
        <v>25</v>
      </c>
      <c r="T1818" s="166">
        <v>5</v>
      </c>
      <c r="U1818" s="164">
        <f>($L1818*'Pivot Objective'!$C$9^2)*S1818*T1818</f>
        <v>5714925.2736086138</v>
      </c>
      <c r="V1818" s="166">
        <v>0</v>
      </c>
      <c r="W1818" s="166">
        <v>0</v>
      </c>
      <c r="X1818" s="164">
        <f>($L1818*'Pivot Objective'!$C$9^3)*V1818*W1818</f>
        <v>0</v>
      </c>
      <c r="Y1818" s="166">
        <v>20</v>
      </c>
      <c r="Z1818" s="166">
        <v>5</v>
      </c>
      <c r="AA1818" s="164">
        <f>($L1818*'Pivot Objective'!$C$9^4)*Y1818*Z1818</f>
        <v>5972182.1043072902</v>
      </c>
      <c r="AB1818" s="166">
        <v>0</v>
      </c>
      <c r="AC1818" s="166">
        <v>0</v>
      </c>
      <c r="AD1818" s="164">
        <f>($L1818*'Pivot Objective'!$C$9^5)*AB1818*AC1818</f>
        <v>0</v>
      </c>
      <c r="AE1818" s="166">
        <v>25</v>
      </c>
      <c r="AF1818" s="166">
        <v>5</v>
      </c>
      <c r="AG1818" s="164">
        <f>($L1818*'Pivot Objective'!$C$9^6)*AE1818*AF1818</f>
        <v>9751592.6989996582</v>
      </c>
      <c r="AH1818" s="166">
        <v>0</v>
      </c>
      <c r="AI1818" s="166">
        <v>0</v>
      </c>
      <c r="AJ1818" s="164">
        <f>($L1818*'Pivot Objective'!$C$9^7)*AH1818*AI1818</f>
        <v>0</v>
      </c>
      <c r="AK1818" s="185">
        <f t="shared" si="207"/>
        <v>21438700.076915562</v>
      </c>
      <c r="AL1818" s="186">
        <f t="shared" si="208"/>
        <v>20814.271919335497</v>
      </c>
    </row>
    <row r="1819" spans="1:38" customFormat="1" ht="43.2" x14ac:dyDescent="0.3">
      <c r="A1819" s="140" t="s">
        <v>1486</v>
      </c>
      <c r="B1819" s="140">
        <v>3</v>
      </c>
      <c r="C1819" s="166" t="s">
        <v>696</v>
      </c>
      <c r="D1819" s="140" t="str">
        <f t="shared" si="204"/>
        <v>3</v>
      </c>
      <c r="E1819" s="166" t="s">
        <v>691</v>
      </c>
      <c r="F1819" s="140">
        <f t="shared" si="203"/>
        <v>2</v>
      </c>
      <c r="G1819" s="140" t="str">
        <f t="shared" si="205"/>
        <v>3.3.2</v>
      </c>
      <c r="H1819" s="166" t="s">
        <v>1699</v>
      </c>
      <c r="I1819" s="166" t="s">
        <v>41</v>
      </c>
      <c r="J1819" s="166" t="s">
        <v>159</v>
      </c>
      <c r="K1819" s="166" t="s">
        <v>712</v>
      </c>
      <c r="L1819" s="167">
        <f>1480/7</f>
        <v>211.42857142857142</v>
      </c>
      <c r="M1819" s="166"/>
      <c r="N1819" s="166"/>
      <c r="O1819" s="164">
        <f t="shared" si="206"/>
        <v>0</v>
      </c>
      <c r="P1819" s="166">
        <v>0</v>
      </c>
      <c r="Q1819" s="166">
        <v>0</v>
      </c>
      <c r="R1819" s="164">
        <f>$L1819*'Pivot Objective'!$C$9*P1819*Q1819</f>
        <v>0</v>
      </c>
      <c r="S1819" s="166">
        <f>2*25*9</f>
        <v>450</v>
      </c>
      <c r="T1819" s="166">
        <v>5</v>
      </c>
      <c r="U1819" s="164">
        <f>($L1819*'Pivot Objective'!$C$9^2)*S1819*T1819</f>
        <v>621410.65015891218</v>
      </c>
      <c r="V1819" s="166">
        <v>0</v>
      </c>
      <c r="W1819" s="166">
        <v>0</v>
      </c>
      <c r="X1819" s="164">
        <f>($L1819*'Pivot Objective'!$C$9^3)*V1819*W1819</f>
        <v>0</v>
      </c>
      <c r="Y1819" s="166">
        <v>4000</v>
      </c>
      <c r="Z1819" s="166">
        <v>1</v>
      </c>
      <c r="AA1819" s="164">
        <f>($L1819*'Pivot Objective'!$C$9^4)*Y1819*Z1819</f>
        <v>1443074.2064285369</v>
      </c>
      <c r="AB1819" s="166">
        <v>0</v>
      </c>
      <c r="AC1819" s="166">
        <v>0</v>
      </c>
      <c r="AD1819" s="164">
        <f>($L1819*'Pivot Objective'!$C$9^5)*AB1819*AC1819</f>
        <v>0</v>
      </c>
      <c r="AE1819" s="166">
        <f>2*25*9</f>
        <v>450</v>
      </c>
      <c r="AF1819" s="166">
        <v>5</v>
      </c>
      <c r="AG1819" s="164">
        <f>($L1819*'Pivot Objective'!$C$9^6)*AE1819*AF1819</f>
        <v>1060336.4469442894</v>
      </c>
      <c r="AH1819" s="166">
        <v>0</v>
      </c>
      <c r="AI1819" s="166">
        <v>0</v>
      </c>
      <c r="AJ1819" s="164">
        <f>($L1819*'Pivot Objective'!$C$9^7)*AH1819*AI1819</f>
        <v>0</v>
      </c>
      <c r="AK1819" s="185">
        <f t="shared" si="207"/>
        <v>3124821.3035317385</v>
      </c>
      <c r="AL1819" s="186">
        <f t="shared" si="208"/>
        <v>3033.8070908075129</v>
      </c>
    </row>
    <row r="1820" spans="1:38" customFormat="1" ht="43.2" x14ac:dyDescent="0.3">
      <c r="A1820" s="140" t="s">
        <v>1486</v>
      </c>
      <c r="B1820" s="140">
        <v>3</v>
      </c>
      <c r="C1820" s="166" t="s">
        <v>696</v>
      </c>
      <c r="D1820" s="140" t="str">
        <f t="shared" si="204"/>
        <v>3</v>
      </c>
      <c r="E1820" s="166" t="s">
        <v>691</v>
      </c>
      <c r="F1820" s="140">
        <f t="shared" ref="F1820:F1883" si="209">IF(H1820=H1819,F1819,F1819+1)</f>
        <v>2</v>
      </c>
      <c r="G1820" s="140" t="str">
        <f t="shared" si="205"/>
        <v>3.3.2</v>
      </c>
      <c r="H1820" s="166" t="s">
        <v>1699</v>
      </c>
      <c r="I1820" s="166" t="s">
        <v>41</v>
      </c>
      <c r="J1820" s="166" t="s">
        <v>159</v>
      </c>
      <c r="K1820" s="166" t="s">
        <v>1299</v>
      </c>
      <c r="L1820" s="167">
        <f>1480/7</f>
        <v>211.42857142857142</v>
      </c>
      <c r="M1820" s="166"/>
      <c r="N1820" s="166"/>
      <c r="O1820" s="164">
        <f t="shared" si="206"/>
        <v>0</v>
      </c>
      <c r="P1820" s="166"/>
      <c r="Q1820" s="166"/>
      <c r="R1820" s="164">
        <f>$L1820*'Pivot Objective'!$C$9*P1820*Q1820</f>
        <v>0</v>
      </c>
      <c r="S1820" s="166">
        <f>2*135*9</f>
        <v>2430</v>
      </c>
      <c r="T1820" s="166">
        <v>1</v>
      </c>
      <c r="U1820" s="164">
        <f>($L1820*'Pivot Objective'!$C$9^2)*S1820*T1820</f>
        <v>671123.50217162515</v>
      </c>
      <c r="V1820" s="166"/>
      <c r="W1820" s="166"/>
      <c r="X1820" s="164">
        <f>($L1820*'Pivot Objective'!$C$9^3)*V1820*W1820</f>
        <v>0</v>
      </c>
      <c r="Y1820" s="166"/>
      <c r="Z1820" s="166"/>
      <c r="AA1820" s="164">
        <f>($L1820*'Pivot Objective'!$C$9^4)*Y1820*Z1820</f>
        <v>0</v>
      </c>
      <c r="AB1820" s="166"/>
      <c r="AC1820" s="166"/>
      <c r="AD1820" s="164">
        <f>($L1820*'Pivot Objective'!$C$9^5)*AB1820*AC1820</f>
        <v>0</v>
      </c>
      <c r="AE1820" s="166">
        <f>2*135*9</f>
        <v>2430</v>
      </c>
      <c r="AF1820" s="166">
        <v>1</v>
      </c>
      <c r="AG1820" s="164">
        <f>($L1820*'Pivot Objective'!$C$9^6)*AE1820*AF1820</f>
        <v>1145163.3626998325</v>
      </c>
      <c r="AH1820" s="166"/>
      <c r="AI1820" s="166"/>
      <c r="AJ1820" s="164">
        <f>($L1820*'Pivot Objective'!$C$9^7)*AH1820*AI1820</f>
        <v>0</v>
      </c>
      <c r="AK1820" s="185">
        <f t="shared" si="207"/>
        <v>1816286.8648714577</v>
      </c>
      <c r="AL1820" s="186">
        <f t="shared" si="208"/>
        <v>1763.3853057004444</v>
      </c>
    </row>
    <row r="1821" spans="1:38" customFormat="1" ht="43.2" x14ac:dyDescent="0.3">
      <c r="A1821" s="140" t="s">
        <v>1486</v>
      </c>
      <c r="B1821" s="140">
        <v>3</v>
      </c>
      <c r="C1821" s="166" t="s">
        <v>696</v>
      </c>
      <c r="D1821" s="140" t="str">
        <f t="shared" si="204"/>
        <v>3</v>
      </c>
      <c r="E1821" s="166" t="s">
        <v>691</v>
      </c>
      <c r="F1821" s="140">
        <f t="shared" si="209"/>
        <v>2</v>
      </c>
      <c r="G1821" s="140" t="str">
        <f t="shared" si="205"/>
        <v>3.3.2</v>
      </c>
      <c r="H1821" s="166" t="s">
        <v>1699</v>
      </c>
      <c r="I1821" s="166" t="s">
        <v>41</v>
      </c>
      <c r="J1821" s="166" t="s">
        <v>153</v>
      </c>
      <c r="K1821" s="166" t="s">
        <v>716</v>
      </c>
      <c r="L1821" s="167">
        <v>39000</v>
      </c>
      <c r="M1821" s="166"/>
      <c r="N1821" s="166"/>
      <c r="O1821" s="164">
        <f t="shared" si="206"/>
        <v>0</v>
      </c>
      <c r="P1821" s="166">
        <v>0</v>
      </c>
      <c r="Q1821" s="166">
        <v>0</v>
      </c>
      <c r="R1821" s="164">
        <f>$L1821*'Pivot Objective'!$C$9*P1821*Q1821</f>
        <v>0</v>
      </c>
      <c r="S1821" s="166">
        <v>25</v>
      </c>
      <c r="T1821" s="166">
        <v>6</v>
      </c>
      <c r="U1821" s="164">
        <f>($L1821*'Pivot Objective'!$C$9^2)*S1821*T1821</f>
        <v>7641671.5087109469</v>
      </c>
      <c r="V1821" s="166">
        <v>0</v>
      </c>
      <c r="W1821" s="166">
        <v>0</v>
      </c>
      <c r="X1821" s="164">
        <f>($L1821*'Pivot Objective'!$C$9^3)*V1821*W1821</f>
        <v>0</v>
      </c>
      <c r="Y1821" s="166">
        <v>20</v>
      </c>
      <c r="Z1821" s="166">
        <v>10</v>
      </c>
      <c r="AA1821" s="164">
        <f>($L1821*'Pivot Objective'!$C$9^4)*Y1821*Z1821</f>
        <v>13309434.403884819</v>
      </c>
      <c r="AB1821" s="166">
        <v>0</v>
      </c>
      <c r="AC1821" s="166">
        <v>0</v>
      </c>
      <c r="AD1821" s="164">
        <f>($L1821*'Pivot Objective'!$C$9^5)*AB1821*AC1821</f>
        <v>0</v>
      </c>
      <c r="AE1821" s="166">
        <v>25</v>
      </c>
      <c r="AF1821" s="166">
        <v>6</v>
      </c>
      <c r="AG1821" s="164">
        <f>($L1821*'Pivot Objective'!$C$9^6)*AE1821*AF1821</f>
        <v>13039272.523233831</v>
      </c>
      <c r="AH1821" s="166">
        <v>0</v>
      </c>
      <c r="AI1821" s="166">
        <v>0</v>
      </c>
      <c r="AJ1821" s="164">
        <f>($L1821*'Pivot Objective'!$C$9^7)*AH1821*AI1821</f>
        <v>0</v>
      </c>
      <c r="AK1821" s="185">
        <f t="shared" si="207"/>
        <v>33990378.435829595</v>
      </c>
      <c r="AL1821" s="186">
        <f t="shared" si="208"/>
        <v>33000.367413426793</v>
      </c>
    </row>
    <row r="1822" spans="1:38" customFormat="1" ht="43.2" x14ac:dyDescent="0.3">
      <c r="A1822" s="140" t="s">
        <v>1486</v>
      </c>
      <c r="B1822" s="140">
        <v>3</v>
      </c>
      <c r="C1822" s="166" t="s">
        <v>696</v>
      </c>
      <c r="D1822" s="140" t="str">
        <f t="shared" si="204"/>
        <v>3</v>
      </c>
      <c r="E1822" s="166" t="s">
        <v>691</v>
      </c>
      <c r="F1822" s="140">
        <f t="shared" si="209"/>
        <v>2</v>
      </c>
      <c r="G1822" s="140" t="str">
        <f t="shared" si="205"/>
        <v>3.3.2</v>
      </c>
      <c r="H1822" s="166" t="s">
        <v>1699</v>
      </c>
      <c r="I1822" s="166" t="s">
        <v>41</v>
      </c>
      <c r="J1822" s="166" t="s">
        <v>153</v>
      </c>
      <c r="K1822" s="166" t="s">
        <v>709</v>
      </c>
      <c r="L1822" s="167">
        <v>35000</v>
      </c>
      <c r="M1822" s="166"/>
      <c r="N1822" s="166"/>
      <c r="O1822" s="164">
        <f t="shared" si="206"/>
        <v>0</v>
      </c>
      <c r="P1822" s="166">
        <v>0</v>
      </c>
      <c r="Q1822" s="166">
        <v>0</v>
      </c>
      <c r="R1822" s="164">
        <f>$L1822*'Pivot Objective'!$C$9*P1822*Q1822</f>
        <v>0</v>
      </c>
      <c r="S1822" s="166">
        <v>25</v>
      </c>
      <c r="T1822" s="166">
        <v>5</v>
      </c>
      <c r="U1822" s="164">
        <f>($L1822*'Pivot Objective'!$C$9^2)*S1822*T1822</f>
        <v>5714925.2736086138</v>
      </c>
      <c r="V1822" s="166">
        <v>0</v>
      </c>
      <c r="W1822" s="166">
        <v>0</v>
      </c>
      <c r="X1822" s="164">
        <f>($L1822*'Pivot Objective'!$C$9^3)*V1822*W1822</f>
        <v>0</v>
      </c>
      <c r="Y1822" s="166">
        <v>20</v>
      </c>
      <c r="Z1822" s="166">
        <v>10</v>
      </c>
      <c r="AA1822" s="164">
        <f>($L1822*'Pivot Objective'!$C$9^4)*Y1822*Z1822</f>
        <v>11944364.20861458</v>
      </c>
      <c r="AB1822" s="166">
        <v>0</v>
      </c>
      <c r="AC1822" s="166">
        <v>0</v>
      </c>
      <c r="AD1822" s="164">
        <f>($L1822*'Pivot Objective'!$C$9^5)*AB1822*AC1822</f>
        <v>0</v>
      </c>
      <c r="AE1822" s="166">
        <v>25</v>
      </c>
      <c r="AF1822" s="166">
        <v>5</v>
      </c>
      <c r="AG1822" s="164">
        <f>($L1822*'Pivot Objective'!$C$9^6)*AE1822*AF1822</f>
        <v>9751592.6989996582</v>
      </c>
      <c r="AH1822" s="166">
        <v>0</v>
      </c>
      <c r="AI1822" s="166">
        <v>0</v>
      </c>
      <c r="AJ1822" s="164">
        <f>($L1822*'Pivot Objective'!$C$9^7)*AH1822*AI1822</f>
        <v>0</v>
      </c>
      <c r="AK1822" s="185">
        <f t="shared" si="207"/>
        <v>27410882.181222852</v>
      </c>
      <c r="AL1822" s="186">
        <f t="shared" si="208"/>
        <v>26612.506972061023</v>
      </c>
    </row>
    <row r="1823" spans="1:38" customFormat="1" ht="43.2" x14ac:dyDescent="0.3">
      <c r="A1823" s="140" t="s">
        <v>1486</v>
      </c>
      <c r="B1823" s="140">
        <v>3</v>
      </c>
      <c r="C1823" s="166" t="s">
        <v>696</v>
      </c>
      <c r="D1823" s="140" t="str">
        <f t="shared" si="204"/>
        <v>3</v>
      </c>
      <c r="E1823" s="166" t="s">
        <v>691</v>
      </c>
      <c r="F1823" s="140">
        <f t="shared" si="209"/>
        <v>2</v>
      </c>
      <c r="G1823" s="140" t="str">
        <f t="shared" si="205"/>
        <v>3.3.2</v>
      </c>
      <c r="H1823" s="166" t="s">
        <v>1699</v>
      </c>
      <c r="I1823" s="166" t="s">
        <v>41</v>
      </c>
      <c r="J1823" s="166" t="s">
        <v>153</v>
      </c>
      <c r="K1823" s="166" t="s">
        <v>712</v>
      </c>
      <c r="L1823" s="167">
        <f>1480/7</f>
        <v>211.42857142857142</v>
      </c>
      <c r="M1823" s="166"/>
      <c r="N1823" s="166"/>
      <c r="O1823" s="164">
        <f t="shared" si="206"/>
        <v>0</v>
      </c>
      <c r="P1823" s="166">
        <v>0</v>
      </c>
      <c r="Q1823" s="166">
        <v>0</v>
      </c>
      <c r="R1823" s="164">
        <f>$L1823*'Pivot Objective'!$C$9*P1823*Q1823</f>
        <v>0</v>
      </c>
      <c r="S1823" s="166">
        <f>2*25*9</f>
        <v>450</v>
      </c>
      <c r="T1823" s="166">
        <v>5</v>
      </c>
      <c r="U1823" s="164">
        <f>($L1823*'Pivot Objective'!$C$9^2)*S1823*T1823</f>
        <v>621410.65015891218</v>
      </c>
      <c r="V1823" s="166">
        <v>0</v>
      </c>
      <c r="W1823" s="166">
        <v>0</v>
      </c>
      <c r="X1823" s="164">
        <f>($L1823*'Pivot Objective'!$C$9^3)*V1823*W1823</f>
        <v>0</v>
      </c>
      <c r="Y1823" s="166">
        <v>4000</v>
      </c>
      <c r="Z1823" s="166">
        <v>2</v>
      </c>
      <c r="AA1823" s="164">
        <f>($L1823*'Pivot Objective'!$C$9^4)*Y1823*Z1823</f>
        <v>2886148.4128570738</v>
      </c>
      <c r="AB1823" s="166">
        <v>0</v>
      </c>
      <c r="AC1823" s="166">
        <v>0</v>
      </c>
      <c r="AD1823" s="164">
        <f>($L1823*'Pivot Objective'!$C$9^5)*AB1823*AC1823</f>
        <v>0</v>
      </c>
      <c r="AE1823" s="166">
        <f>2*25*9</f>
        <v>450</v>
      </c>
      <c r="AF1823" s="166">
        <v>5</v>
      </c>
      <c r="AG1823" s="164">
        <f>($L1823*'Pivot Objective'!$C$9^6)*AE1823*AF1823</f>
        <v>1060336.4469442894</v>
      </c>
      <c r="AH1823" s="166">
        <v>0</v>
      </c>
      <c r="AI1823" s="166">
        <v>0</v>
      </c>
      <c r="AJ1823" s="164">
        <f>($L1823*'Pivot Objective'!$C$9^7)*AH1823*AI1823</f>
        <v>0</v>
      </c>
      <c r="AK1823" s="185">
        <f t="shared" si="207"/>
        <v>4567895.5099602751</v>
      </c>
      <c r="AL1823" s="186">
        <f t="shared" si="208"/>
        <v>4434.85000967017</v>
      </c>
    </row>
    <row r="1824" spans="1:38" customFormat="1" ht="43.2" x14ac:dyDescent="0.3">
      <c r="A1824" s="140" t="s">
        <v>1486</v>
      </c>
      <c r="B1824" s="140">
        <v>3</v>
      </c>
      <c r="C1824" s="166" t="s">
        <v>696</v>
      </c>
      <c r="D1824" s="140" t="str">
        <f t="shared" si="204"/>
        <v>3</v>
      </c>
      <c r="E1824" s="166" t="s">
        <v>691</v>
      </c>
      <c r="F1824" s="140">
        <f t="shared" si="209"/>
        <v>2</v>
      </c>
      <c r="G1824" s="140" t="str">
        <f t="shared" si="205"/>
        <v>3.3.2</v>
      </c>
      <c r="H1824" s="166" t="s">
        <v>1699</v>
      </c>
      <c r="I1824" s="166" t="s">
        <v>41</v>
      </c>
      <c r="J1824" s="166" t="s">
        <v>153</v>
      </c>
      <c r="K1824" s="166" t="s">
        <v>1299</v>
      </c>
      <c r="L1824" s="167">
        <f>1480/7</f>
        <v>211.42857142857142</v>
      </c>
      <c r="M1824" s="166"/>
      <c r="N1824" s="166"/>
      <c r="O1824" s="164">
        <f t="shared" si="206"/>
        <v>0</v>
      </c>
      <c r="P1824" s="166"/>
      <c r="Q1824" s="166"/>
      <c r="R1824" s="164">
        <f>$L1824*'Pivot Objective'!$C$9*P1824*Q1824</f>
        <v>0</v>
      </c>
      <c r="S1824" s="166">
        <f>2*135*9</f>
        <v>2430</v>
      </c>
      <c r="T1824" s="166">
        <v>1</v>
      </c>
      <c r="U1824" s="164">
        <f>($L1824*'Pivot Objective'!$C$9^2)*S1824*T1824</f>
        <v>671123.50217162515</v>
      </c>
      <c r="V1824" s="166"/>
      <c r="W1824" s="166"/>
      <c r="X1824" s="164">
        <f>($L1824*'Pivot Objective'!$C$9^3)*V1824*W1824</f>
        <v>0</v>
      </c>
      <c r="Y1824" s="166"/>
      <c r="Z1824" s="166"/>
      <c r="AA1824" s="164">
        <f>($L1824*'Pivot Objective'!$C$9^4)*Y1824*Z1824</f>
        <v>0</v>
      </c>
      <c r="AB1824" s="166"/>
      <c r="AC1824" s="166"/>
      <c r="AD1824" s="164">
        <f>($L1824*'Pivot Objective'!$C$9^5)*AB1824*AC1824</f>
        <v>0</v>
      </c>
      <c r="AE1824" s="166">
        <f>2*135*9</f>
        <v>2430</v>
      </c>
      <c r="AF1824" s="166">
        <v>1</v>
      </c>
      <c r="AG1824" s="164">
        <f>($L1824*'Pivot Objective'!$C$9^6)*AE1824*AF1824</f>
        <v>1145163.3626998325</v>
      </c>
      <c r="AH1824" s="166"/>
      <c r="AI1824" s="166"/>
      <c r="AJ1824" s="164">
        <f>($L1824*'Pivot Objective'!$C$9^7)*AH1824*AI1824</f>
        <v>0</v>
      </c>
      <c r="AK1824" s="185">
        <f t="shared" si="207"/>
        <v>1816286.8648714577</v>
      </c>
      <c r="AL1824" s="186">
        <f t="shared" si="208"/>
        <v>1763.3853057004444</v>
      </c>
    </row>
    <row r="1825" spans="1:38" customFormat="1" ht="43.2" x14ac:dyDescent="0.3">
      <c r="A1825" s="140" t="s">
        <v>1486</v>
      </c>
      <c r="B1825" s="140">
        <v>3</v>
      </c>
      <c r="C1825" s="166" t="s">
        <v>696</v>
      </c>
      <c r="D1825" s="140" t="str">
        <f t="shared" si="204"/>
        <v>3</v>
      </c>
      <c r="E1825" s="166" t="s">
        <v>691</v>
      </c>
      <c r="F1825" s="140">
        <f t="shared" si="209"/>
        <v>2</v>
      </c>
      <c r="G1825" s="140" t="str">
        <f t="shared" si="205"/>
        <v>3.3.2</v>
      </c>
      <c r="H1825" s="166" t="s">
        <v>1699</v>
      </c>
      <c r="I1825" s="166" t="s">
        <v>41</v>
      </c>
      <c r="J1825" s="166" t="s">
        <v>343</v>
      </c>
      <c r="K1825" s="166" t="s">
        <v>716</v>
      </c>
      <c r="L1825" s="167">
        <v>39000</v>
      </c>
      <c r="M1825" s="166"/>
      <c r="N1825" s="166"/>
      <c r="O1825" s="164">
        <f t="shared" si="206"/>
        <v>0</v>
      </c>
      <c r="P1825" s="166">
        <v>0</v>
      </c>
      <c r="Q1825" s="166">
        <v>0</v>
      </c>
      <c r="R1825" s="164">
        <f>$L1825*'Pivot Objective'!$C$9*P1825*Q1825</f>
        <v>0</v>
      </c>
      <c r="S1825" s="166">
        <v>100</v>
      </c>
      <c r="T1825" s="166">
        <v>5</v>
      </c>
      <c r="U1825" s="164">
        <f>($L1825*'Pivot Objective'!$C$9^2)*S1825*T1825</f>
        <v>25472238.36236982</v>
      </c>
      <c r="V1825" s="166">
        <v>0</v>
      </c>
      <c r="W1825" s="166">
        <v>0</v>
      </c>
      <c r="X1825" s="164">
        <f>($L1825*'Pivot Objective'!$C$9^3)*V1825*W1825</f>
        <v>0</v>
      </c>
      <c r="Y1825" s="166">
        <v>30</v>
      </c>
      <c r="Z1825" s="166">
        <v>2</v>
      </c>
      <c r="AA1825" s="164">
        <f>($L1825*'Pivot Objective'!$C$9^4)*Y1825*Z1825</f>
        <v>3992830.3211654453</v>
      </c>
      <c r="AB1825" s="166">
        <v>0</v>
      </c>
      <c r="AC1825" s="166">
        <v>0</v>
      </c>
      <c r="AD1825" s="164">
        <f>($L1825*'Pivot Objective'!$C$9^5)*AB1825*AC1825</f>
        <v>0</v>
      </c>
      <c r="AE1825" s="166">
        <v>100</v>
      </c>
      <c r="AF1825" s="166">
        <v>5</v>
      </c>
      <c r="AG1825" s="164">
        <f>($L1825*'Pivot Objective'!$C$9^6)*AE1825*AF1825</f>
        <v>43464241.744112775</v>
      </c>
      <c r="AH1825" s="166">
        <v>0</v>
      </c>
      <c r="AI1825" s="166">
        <v>0</v>
      </c>
      <c r="AJ1825" s="164">
        <f>($L1825*'Pivot Objective'!$C$9^7)*AH1825*AI1825</f>
        <v>0</v>
      </c>
      <c r="AK1825" s="185">
        <f t="shared" si="207"/>
        <v>72929310.427648038</v>
      </c>
      <c r="AL1825" s="186">
        <f t="shared" si="208"/>
        <v>70805.155754998093</v>
      </c>
    </row>
    <row r="1826" spans="1:38" customFormat="1" ht="43.2" x14ac:dyDescent="0.3">
      <c r="A1826" s="140" t="s">
        <v>1486</v>
      </c>
      <c r="B1826" s="140">
        <v>3</v>
      </c>
      <c r="C1826" s="166" t="s">
        <v>696</v>
      </c>
      <c r="D1826" s="140" t="str">
        <f t="shared" si="204"/>
        <v>3</v>
      </c>
      <c r="E1826" s="166" t="s">
        <v>691</v>
      </c>
      <c r="F1826" s="140">
        <f t="shared" si="209"/>
        <v>2</v>
      </c>
      <c r="G1826" s="140" t="str">
        <f t="shared" si="205"/>
        <v>3.3.2</v>
      </c>
      <c r="H1826" s="166" t="s">
        <v>1699</v>
      </c>
      <c r="I1826" s="166" t="s">
        <v>41</v>
      </c>
      <c r="J1826" s="166" t="s">
        <v>343</v>
      </c>
      <c r="K1826" s="166" t="s">
        <v>709</v>
      </c>
      <c r="L1826" s="167">
        <v>35000</v>
      </c>
      <c r="M1826" s="166"/>
      <c r="N1826" s="166"/>
      <c r="O1826" s="164">
        <f t="shared" si="206"/>
        <v>0</v>
      </c>
      <c r="P1826" s="166">
        <v>0</v>
      </c>
      <c r="Q1826" s="166">
        <v>0</v>
      </c>
      <c r="R1826" s="164">
        <f>$L1826*'Pivot Objective'!$C$9*P1826*Q1826</f>
        <v>0</v>
      </c>
      <c r="S1826" s="166">
        <v>58</v>
      </c>
      <c r="T1826" s="166">
        <v>5</v>
      </c>
      <c r="U1826" s="164">
        <f>($L1826*'Pivot Objective'!$C$9^2)*S1826*T1826</f>
        <v>13258626.634771984</v>
      </c>
      <c r="V1826" s="166">
        <v>0</v>
      </c>
      <c r="W1826" s="166">
        <v>0</v>
      </c>
      <c r="X1826" s="164">
        <f>($L1826*'Pivot Objective'!$C$9^3)*V1826*W1826</f>
        <v>0</v>
      </c>
      <c r="Y1826" s="166">
        <v>30</v>
      </c>
      <c r="Z1826" s="166">
        <v>2</v>
      </c>
      <c r="AA1826" s="164">
        <f>($L1826*'Pivot Objective'!$C$9^4)*Y1826*Z1826</f>
        <v>3583309.2625843743</v>
      </c>
      <c r="AB1826" s="166">
        <v>0</v>
      </c>
      <c r="AC1826" s="166">
        <v>0</v>
      </c>
      <c r="AD1826" s="164">
        <f>($L1826*'Pivot Objective'!$C$9^5)*AB1826*AC1826</f>
        <v>0</v>
      </c>
      <c r="AE1826" s="166">
        <v>58</v>
      </c>
      <c r="AF1826" s="166">
        <v>5</v>
      </c>
      <c r="AG1826" s="164">
        <f>($L1826*'Pivot Objective'!$C$9^6)*AE1826*AF1826</f>
        <v>22623695.061679207</v>
      </c>
      <c r="AH1826" s="166">
        <v>0</v>
      </c>
      <c r="AI1826" s="166">
        <v>0</v>
      </c>
      <c r="AJ1826" s="164">
        <f>($L1826*'Pivot Objective'!$C$9^7)*AH1826*AI1826</f>
        <v>0</v>
      </c>
      <c r="AK1826" s="185">
        <f t="shared" si="207"/>
        <v>39465630.95903556</v>
      </c>
      <c r="AL1826" s="186">
        <f t="shared" si="208"/>
        <v>38316.146562170448</v>
      </c>
    </row>
    <row r="1827" spans="1:38" customFormat="1" ht="43.2" x14ac:dyDescent="0.3">
      <c r="A1827" s="140" t="s">
        <v>1486</v>
      </c>
      <c r="B1827" s="140">
        <v>3</v>
      </c>
      <c r="C1827" s="166" t="s">
        <v>696</v>
      </c>
      <c r="D1827" s="140" t="str">
        <f t="shared" si="204"/>
        <v>3</v>
      </c>
      <c r="E1827" s="166" t="s">
        <v>691</v>
      </c>
      <c r="F1827" s="140">
        <f t="shared" si="209"/>
        <v>2</v>
      </c>
      <c r="G1827" s="140" t="str">
        <f t="shared" si="205"/>
        <v>3.3.2</v>
      </c>
      <c r="H1827" s="166" t="s">
        <v>1699</v>
      </c>
      <c r="I1827" s="166" t="s">
        <v>41</v>
      </c>
      <c r="J1827" s="166" t="s">
        <v>343</v>
      </c>
      <c r="K1827" s="166" t="s">
        <v>712</v>
      </c>
      <c r="L1827" s="167">
        <f>1480/7</f>
        <v>211.42857142857142</v>
      </c>
      <c r="M1827" s="166"/>
      <c r="N1827" s="166"/>
      <c r="O1827" s="164">
        <f t="shared" si="206"/>
        <v>0</v>
      </c>
      <c r="P1827" s="166">
        <v>0</v>
      </c>
      <c r="Q1827" s="166">
        <v>0</v>
      </c>
      <c r="R1827" s="164">
        <f>$L1827*'Pivot Objective'!$C$9*P1827*Q1827</f>
        <v>0</v>
      </c>
      <c r="S1827" s="166">
        <f>2*25*29</f>
        <v>1450</v>
      </c>
      <c r="T1827" s="166">
        <v>5</v>
      </c>
      <c r="U1827" s="164">
        <f>($L1827*'Pivot Objective'!$C$9^2)*S1827*T1827</f>
        <v>2002323.2060676059</v>
      </c>
      <c r="V1827" s="166">
        <v>0</v>
      </c>
      <c r="W1827" s="166">
        <v>0</v>
      </c>
      <c r="X1827" s="164">
        <f>($L1827*'Pivot Objective'!$C$9^3)*V1827*W1827</f>
        <v>0</v>
      </c>
      <c r="Y1827" s="166">
        <v>4000</v>
      </c>
      <c r="Z1827" s="166">
        <v>1</v>
      </c>
      <c r="AA1827" s="164">
        <f>($L1827*'Pivot Objective'!$C$9^4)*Y1827*Z1827</f>
        <v>1443074.2064285369</v>
      </c>
      <c r="AB1827" s="166">
        <v>0</v>
      </c>
      <c r="AC1827" s="166">
        <v>0</v>
      </c>
      <c r="AD1827" s="164">
        <f>($L1827*'Pivot Objective'!$C$9^5)*AB1827*AC1827</f>
        <v>0</v>
      </c>
      <c r="AE1827" s="166">
        <f>2*25*29</f>
        <v>1450</v>
      </c>
      <c r="AF1827" s="166">
        <v>5</v>
      </c>
      <c r="AG1827" s="164">
        <f>($L1827*'Pivot Objective'!$C$9^6)*AE1827*AF1827</f>
        <v>3416639.6623760439</v>
      </c>
      <c r="AH1827" s="166">
        <v>0</v>
      </c>
      <c r="AI1827" s="166">
        <v>0</v>
      </c>
      <c r="AJ1827" s="164">
        <f>($L1827*'Pivot Objective'!$C$9^7)*AH1827*AI1827</f>
        <v>0</v>
      </c>
      <c r="AK1827" s="185">
        <f t="shared" si="207"/>
        <v>6862037.0748721864</v>
      </c>
      <c r="AL1827" s="186">
        <f t="shared" si="208"/>
        <v>6662.1719173516376</v>
      </c>
    </row>
    <row r="1828" spans="1:38" customFormat="1" ht="43.2" x14ac:dyDescent="0.3">
      <c r="A1828" s="140" t="s">
        <v>1486</v>
      </c>
      <c r="B1828" s="140">
        <v>3</v>
      </c>
      <c r="C1828" s="166" t="s">
        <v>696</v>
      </c>
      <c r="D1828" s="140" t="str">
        <f t="shared" si="204"/>
        <v>3</v>
      </c>
      <c r="E1828" s="166" t="s">
        <v>691</v>
      </c>
      <c r="F1828" s="140">
        <f t="shared" si="209"/>
        <v>2</v>
      </c>
      <c r="G1828" s="140" t="str">
        <f t="shared" si="205"/>
        <v>3.3.2</v>
      </c>
      <c r="H1828" s="166" t="s">
        <v>1699</v>
      </c>
      <c r="I1828" s="166" t="s">
        <v>41</v>
      </c>
      <c r="J1828" s="166" t="s">
        <v>343</v>
      </c>
      <c r="K1828" s="166" t="s">
        <v>1299</v>
      </c>
      <c r="L1828" s="167">
        <f>1480/7</f>
        <v>211.42857142857142</v>
      </c>
      <c r="M1828" s="166"/>
      <c r="N1828" s="166"/>
      <c r="O1828" s="164">
        <f t="shared" si="206"/>
        <v>0</v>
      </c>
      <c r="P1828" s="166"/>
      <c r="Q1828" s="166"/>
      <c r="R1828" s="164">
        <f>$L1828*'Pivot Objective'!$C$9*P1828*Q1828</f>
        <v>0</v>
      </c>
      <c r="S1828" s="166">
        <v>22500</v>
      </c>
      <c r="T1828" s="166">
        <v>1</v>
      </c>
      <c r="U1828" s="164">
        <f>($L1828*'Pivot Objective'!$C$9^2)*S1828*T1828</f>
        <v>6214106.5015891213</v>
      </c>
      <c r="V1828" s="166"/>
      <c r="W1828" s="166"/>
      <c r="X1828" s="164">
        <f>($L1828*'Pivot Objective'!$C$9^3)*V1828*W1828</f>
        <v>0</v>
      </c>
      <c r="Y1828" s="166"/>
      <c r="Z1828" s="166"/>
      <c r="AA1828" s="164">
        <f>($L1828*'Pivot Objective'!$C$9^4)*Y1828*Z1828</f>
        <v>0</v>
      </c>
      <c r="AB1828" s="166"/>
      <c r="AC1828" s="166"/>
      <c r="AD1828" s="164">
        <f>($L1828*'Pivot Objective'!$C$9^5)*AB1828*AC1828</f>
        <v>0</v>
      </c>
      <c r="AE1828" s="166">
        <v>22500</v>
      </c>
      <c r="AF1828" s="166">
        <v>1</v>
      </c>
      <c r="AG1828" s="164">
        <f>($L1828*'Pivot Objective'!$C$9^6)*AE1828*AF1828</f>
        <v>10603364.469442895</v>
      </c>
      <c r="AH1828" s="166"/>
      <c r="AI1828" s="166"/>
      <c r="AJ1828" s="164">
        <f>($L1828*'Pivot Objective'!$C$9^7)*AH1828*AI1828</f>
        <v>0</v>
      </c>
      <c r="AK1828" s="185">
        <f t="shared" si="207"/>
        <v>16817470.971032016</v>
      </c>
      <c r="AL1828" s="186">
        <f t="shared" si="208"/>
        <v>16327.641719448558</v>
      </c>
    </row>
    <row r="1829" spans="1:38" customFormat="1" ht="43.2" x14ac:dyDescent="0.3">
      <c r="A1829" s="140" t="s">
        <v>1486</v>
      </c>
      <c r="B1829" s="140">
        <v>3</v>
      </c>
      <c r="C1829" s="166" t="s">
        <v>696</v>
      </c>
      <c r="D1829" s="140" t="str">
        <f t="shared" si="204"/>
        <v>3</v>
      </c>
      <c r="E1829" s="166" t="s">
        <v>691</v>
      </c>
      <c r="F1829" s="140">
        <f t="shared" si="209"/>
        <v>2</v>
      </c>
      <c r="G1829" s="140" t="str">
        <f t="shared" si="205"/>
        <v>3.3.2</v>
      </c>
      <c r="H1829" s="166" t="s">
        <v>1699</v>
      </c>
      <c r="I1829" s="166" t="s">
        <v>41</v>
      </c>
      <c r="J1829" s="166" t="s">
        <v>344</v>
      </c>
      <c r="K1829" s="166" t="s">
        <v>709</v>
      </c>
      <c r="L1829" s="167">
        <v>35000</v>
      </c>
      <c r="M1829" s="166"/>
      <c r="N1829" s="166"/>
      <c r="O1829" s="164">
        <f t="shared" si="206"/>
        <v>0</v>
      </c>
      <c r="P1829" s="166">
        <v>0</v>
      </c>
      <c r="Q1829" s="166">
        <v>0</v>
      </c>
      <c r="R1829" s="164">
        <f>$L1829*'Pivot Objective'!$C$9*P1829*Q1829</f>
        <v>0</v>
      </c>
      <c r="S1829" s="166">
        <v>50</v>
      </c>
      <c r="T1829" s="166">
        <v>1</v>
      </c>
      <c r="U1829" s="164">
        <f>($L1829*'Pivot Objective'!$C$9^2)*S1829*T1829</f>
        <v>2285970.1094434457</v>
      </c>
      <c r="V1829" s="166">
        <v>0</v>
      </c>
      <c r="W1829" s="166">
        <v>0</v>
      </c>
      <c r="X1829" s="164">
        <f>($L1829*'Pivot Objective'!$C$9^3)*V1829*W1829</f>
        <v>0</v>
      </c>
      <c r="Y1829" s="166">
        <v>30</v>
      </c>
      <c r="Z1829" s="166">
        <v>1</v>
      </c>
      <c r="AA1829" s="164">
        <f>($L1829*'Pivot Objective'!$C$9^4)*Y1829*Z1829</f>
        <v>1791654.6312921871</v>
      </c>
      <c r="AB1829" s="166">
        <v>0</v>
      </c>
      <c r="AC1829" s="166">
        <v>0</v>
      </c>
      <c r="AD1829" s="164">
        <f>($L1829*'Pivot Objective'!$C$9^5)*AB1829*AC1829</f>
        <v>0</v>
      </c>
      <c r="AE1829" s="166">
        <v>50</v>
      </c>
      <c r="AF1829" s="166">
        <v>1</v>
      </c>
      <c r="AG1829" s="164">
        <f>($L1829*'Pivot Objective'!$C$9^6)*AE1829*AF1829</f>
        <v>3900637.0795998634</v>
      </c>
      <c r="AH1829" s="166">
        <v>0</v>
      </c>
      <c r="AI1829" s="166">
        <v>0</v>
      </c>
      <c r="AJ1829" s="164">
        <f>($L1829*'Pivot Objective'!$C$9^7)*AH1829*AI1829</f>
        <v>0</v>
      </c>
      <c r="AK1829" s="185">
        <f t="shared" si="207"/>
        <v>7978261.8203354962</v>
      </c>
      <c r="AL1829" s="186">
        <f t="shared" si="208"/>
        <v>7745.8852624616466</v>
      </c>
    </row>
    <row r="1830" spans="1:38" customFormat="1" ht="43.2" x14ac:dyDescent="0.3">
      <c r="A1830" s="140" t="s">
        <v>1486</v>
      </c>
      <c r="B1830" s="140">
        <v>3</v>
      </c>
      <c r="C1830" s="166" t="s">
        <v>696</v>
      </c>
      <c r="D1830" s="140" t="str">
        <f t="shared" si="204"/>
        <v>3</v>
      </c>
      <c r="E1830" s="166" t="s">
        <v>691</v>
      </c>
      <c r="F1830" s="140">
        <f t="shared" si="209"/>
        <v>2</v>
      </c>
      <c r="G1830" s="140" t="str">
        <f t="shared" si="205"/>
        <v>3.3.2</v>
      </c>
      <c r="H1830" s="166" t="s">
        <v>1699</v>
      </c>
      <c r="I1830" s="166" t="s">
        <v>41</v>
      </c>
      <c r="J1830" s="166" t="s">
        <v>266</v>
      </c>
      <c r="K1830" s="166" t="s">
        <v>718</v>
      </c>
      <c r="L1830" s="167">
        <v>0</v>
      </c>
      <c r="M1830" s="166">
        <v>0</v>
      </c>
      <c r="N1830" s="166">
        <v>0</v>
      </c>
      <c r="O1830" s="164">
        <f t="shared" si="206"/>
        <v>0</v>
      </c>
      <c r="P1830" s="166">
        <v>0</v>
      </c>
      <c r="Q1830" s="166">
        <v>0</v>
      </c>
      <c r="R1830" s="164">
        <f>$L1830*'Pivot Objective'!$C$9*P1830*Q1830</f>
        <v>0</v>
      </c>
      <c r="S1830" s="166">
        <v>0</v>
      </c>
      <c r="T1830" s="166">
        <v>0</v>
      </c>
      <c r="U1830" s="164">
        <f>($L1830*'Pivot Objective'!$C$9^2)*S1830*T1830</f>
        <v>0</v>
      </c>
      <c r="V1830" s="166">
        <v>0</v>
      </c>
      <c r="W1830" s="166">
        <v>0</v>
      </c>
      <c r="X1830" s="164">
        <f>($L1830*'Pivot Objective'!$C$9^3)*V1830*W1830</f>
        <v>0</v>
      </c>
      <c r="Y1830" s="166">
        <v>0</v>
      </c>
      <c r="Z1830" s="166">
        <v>0</v>
      </c>
      <c r="AA1830" s="164">
        <f>($L1830*'Pivot Objective'!$C$9^4)*Y1830*Z1830</f>
        <v>0</v>
      </c>
      <c r="AB1830" s="166">
        <v>0</v>
      </c>
      <c r="AC1830" s="166">
        <v>0</v>
      </c>
      <c r="AD1830" s="164">
        <f>($L1830*'Pivot Objective'!$C$9^5)*AB1830*AC1830</f>
        <v>0</v>
      </c>
      <c r="AE1830" s="166">
        <v>0</v>
      </c>
      <c r="AF1830" s="166">
        <v>0</v>
      </c>
      <c r="AG1830" s="164">
        <f>($L1830*'Pivot Objective'!$C$9^6)*AE1830*AF1830</f>
        <v>0</v>
      </c>
      <c r="AH1830" s="166">
        <v>0</v>
      </c>
      <c r="AI1830" s="166">
        <v>0</v>
      </c>
      <c r="AJ1830" s="164">
        <f>($L1830*'Pivot Objective'!$C$9^7)*AH1830*AI1830</f>
        <v>0</v>
      </c>
      <c r="AK1830" s="185">
        <f t="shared" si="207"/>
        <v>0</v>
      </c>
      <c r="AL1830" s="186">
        <f t="shared" si="208"/>
        <v>0</v>
      </c>
    </row>
    <row r="1831" spans="1:38" customFormat="1" ht="43.2" x14ac:dyDescent="0.3">
      <c r="A1831" s="140" t="s">
        <v>1486</v>
      </c>
      <c r="B1831" s="140">
        <v>3</v>
      </c>
      <c r="C1831" s="166" t="s">
        <v>696</v>
      </c>
      <c r="D1831" s="140" t="str">
        <f t="shared" si="204"/>
        <v>3</v>
      </c>
      <c r="E1831" s="166" t="s">
        <v>691</v>
      </c>
      <c r="F1831" s="140">
        <f t="shared" si="209"/>
        <v>2</v>
      </c>
      <c r="G1831" s="140" t="str">
        <f t="shared" si="205"/>
        <v>3.3.2</v>
      </c>
      <c r="H1831" s="166" t="s">
        <v>1699</v>
      </c>
      <c r="I1831" s="166" t="s">
        <v>42</v>
      </c>
      <c r="J1831" s="166" t="s">
        <v>345</v>
      </c>
      <c r="K1831" s="166" t="s">
        <v>716</v>
      </c>
      <c r="L1831" s="167">
        <v>39000</v>
      </c>
      <c r="M1831" s="166"/>
      <c r="N1831" s="166"/>
      <c r="O1831" s="164">
        <f t="shared" si="206"/>
        <v>0</v>
      </c>
      <c r="P1831" s="166">
        <v>30</v>
      </c>
      <c r="Q1831" s="166">
        <v>5</v>
      </c>
      <c r="R1831" s="164">
        <f>$L1831*'Pivot Objective'!$C$9*P1831*Q1831</f>
        <v>6686088.4174499987</v>
      </c>
      <c r="S1831" s="166">
        <v>25</v>
      </c>
      <c r="T1831" s="166">
        <f>6*3</f>
        <v>18</v>
      </c>
      <c r="U1831" s="164">
        <f>($L1831*'Pivot Objective'!$C$9^2)*S1831*T1831</f>
        <v>22925014.526132841</v>
      </c>
      <c r="V1831" s="166">
        <v>0</v>
      </c>
      <c r="W1831" s="166">
        <v>0</v>
      </c>
      <c r="X1831" s="164">
        <f>($L1831*'Pivot Objective'!$C$9^3)*V1831*W1831</f>
        <v>0</v>
      </c>
      <c r="Y1831" s="166">
        <v>0</v>
      </c>
      <c r="Z1831" s="166">
        <v>0</v>
      </c>
      <c r="AA1831" s="164">
        <f>($L1831*'Pivot Objective'!$C$9^4)*Y1831*Z1831</f>
        <v>0</v>
      </c>
      <c r="AB1831" s="166">
        <v>0</v>
      </c>
      <c r="AC1831" s="166">
        <v>0</v>
      </c>
      <c r="AD1831" s="164">
        <f>($L1831*'Pivot Objective'!$C$9^5)*AB1831*AC1831</f>
        <v>0</v>
      </c>
      <c r="AE1831" s="166">
        <v>0</v>
      </c>
      <c r="AF1831" s="166">
        <v>0</v>
      </c>
      <c r="AG1831" s="164">
        <f>($L1831*'Pivot Objective'!$C$9^6)*AE1831*AF1831</f>
        <v>0</v>
      </c>
      <c r="AH1831" s="166">
        <v>0</v>
      </c>
      <c r="AI1831" s="166">
        <v>0</v>
      </c>
      <c r="AJ1831" s="164">
        <f>($L1831*'Pivot Objective'!$C$9^7)*AH1831*AI1831</f>
        <v>0</v>
      </c>
      <c r="AK1831" s="185">
        <f t="shared" si="207"/>
        <v>29611102.94358284</v>
      </c>
      <c r="AL1831" s="186">
        <f t="shared" si="208"/>
        <v>28748.643634546446</v>
      </c>
    </row>
    <row r="1832" spans="1:38" customFormat="1" ht="43.2" x14ac:dyDescent="0.3">
      <c r="A1832" s="140" t="s">
        <v>1486</v>
      </c>
      <c r="B1832" s="140">
        <v>3</v>
      </c>
      <c r="C1832" s="166" t="s">
        <v>696</v>
      </c>
      <c r="D1832" s="140" t="str">
        <f t="shared" si="204"/>
        <v>3</v>
      </c>
      <c r="E1832" s="166" t="s">
        <v>691</v>
      </c>
      <c r="F1832" s="140">
        <f t="shared" si="209"/>
        <v>2</v>
      </c>
      <c r="G1832" s="140" t="str">
        <f t="shared" si="205"/>
        <v>3.3.2</v>
      </c>
      <c r="H1832" s="166" t="s">
        <v>1699</v>
      </c>
      <c r="I1832" s="166" t="s">
        <v>42</v>
      </c>
      <c r="J1832" s="166" t="s">
        <v>345</v>
      </c>
      <c r="K1832" s="166" t="s">
        <v>709</v>
      </c>
      <c r="L1832" s="167">
        <v>35000</v>
      </c>
      <c r="M1832" s="166"/>
      <c r="N1832" s="166"/>
      <c r="O1832" s="164">
        <f t="shared" si="206"/>
        <v>0</v>
      </c>
      <c r="P1832" s="166">
        <v>30</v>
      </c>
      <c r="Q1832" s="166">
        <v>5</v>
      </c>
      <c r="R1832" s="164">
        <f>$L1832*'Pivot Objective'!$C$9*P1832*Q1832</f>
        <v>6000335.7592499992</v>
      </c>
      <c r="S1832" s="166">
        <v>25</v>
      </c>
      <c r="T1832" s="166">
        <f>5*3</f>
        <v>15</v>
      </c>
      <c r="U1832" s="164">
        <f>($L1832*'Pivot Objective'!$C$9^2)*S1832*T1832</f>
        <v>17144775.820825841</v>
      </c>
      <c r="V1832" s="166">
        <v>0</v>
      </c>
      <c r="W1832" s="166">
        <v>0</v>
      </c>
      <c r="X1832" s="164">
        <f>($L1832*'Pivot Objective'!$C$9^3)*V1832*W1832</f>
        <v>0</v>
      </c>
      <c r="Y1832" s="166">
        <v>0</v>
      </c>
      <c r="Z1832" s="166">
        <v>0</v>
      </c>
      <c r="AA1832" s="164">
        <f>($L1832*'Pivot Objective'!$C$9^4)*Y1832*Z1832</f>
        <v>0</v>
      </c>
      <c r="AB1832" s="166">
        <v>0</v>
      </c>
      <c r="AC1832" s="166">
        <v>0</v>
      </c>
      <c r="AD1832" s="164">
        <f>($L1832*'Pivot Objective'!$C$9^5)*AB1832*AC1832</f>
        <v>0</v>
      </c>
      <c r="AE1832" s="166">
        <v>0</v>
      </c>
      <c r="AF1832" s="166">
        <v>0</v>
      </c>
      <c r="AG1832" s="164">
        <f>($L1832*'Pivot Objective'!$C$9^6)*AE1832*AF1832</f>
        <v>0</v>
      </c>
      <c r="AH1832" s="166">
        <v>0</v>
      </c>
      <c r="AI1832" s="166">
        <v>0</v>
      </c>
      <c r="AJ1832" s="164">
        <f>($L1832*'Pivot Objective'!$C$9^7)*AH1832*AI1832</f>
        <v>0</v>
      </c>
      <c r="AK1832" s="185">
        <f t="shared" si="207"/>
        <v>23145111.580075841</v>
      </c>
      <c r="AL1832" s="186">
        <f t="shared" si="208"/>
        <v>22470.982116578485</v>
      </c>
    </row>
    <row r="1833" spans="1:38" customFormat="1" ht="43.2" x14ac:dyDescent="0.3">
      <c r="A1833" s="140" t="s">
        <v>1486</v>
      </c>
      <c r="B1833" s="140">
        <v>3</v>
      </c>
      <c r="C1833" s="166" t="s">
        <v>696</v>
      </c>
      <c r="D1833" s="140" t="str">
        <f t="shared" si="204"/>
        <v>3</v>
      </c>
      <c r="E1833" s="166" t="s">
        <v>691</v>
      </c>
      <c r="F1833" s="140">
        <f t="shared" si="209"/>
        <v>2</v>
      </c>
      <c r="G1833" s="140" t="str">
        <f t="shared" si="205"/>
        <v>3.3.2</v>
      </c>
      <c r="H1833" s="166" t="s">
        <v>1699</v>
      </c>
      <c r="I1833" s="166" t="s">
        <v>42</v>
      </c>
      <c r="J1833" s="166" t="s">
        <v>345</v>
      </c>
      <c r="K1833" s="166" t="s">
        <v>712</v>
      </c>
      <c r="L1833" s="167">
        <f>1480/7</f>
        <v>211.42857142857142</v>
      </c>
      <c r="M1833" s="166"/>
      <c r="N1833" s="166"/>
      <c r="O1833" s="164">
        <f t="shared" si="206"/>
        <v>0</v>
      </c>
      <c r="P1833" s="166">
        <v>8000</v>
      </c>
      <c r="Q1833" s="166">
        <v>1</v>
      </c>
      <c r="R1833" s="164">
        <f>$L1833*'Pivot Objective'!$C$9*P1833*Q1833</f>
        <v>1933169.3983542854</v>
      </c>
      <c r="S1833" s="166">
        <f>2*25*9</f>
        <v>450</v>
      </c>
      <c r="T1833" s="166">
        <f>5*3</f>
        <v>15</v>
      </c>
      <c r="U1833" s="164">
        <f>($L1833*'Pivot Objective'!$C$9^2)*S1833*T1833</f>
        <v>1864231.9504767365</v>
      </c>
      <c r="V1833" s="166">
        <v>0</v>
      </c>
      <c r="W1833" s="166">
        <v>0</v>
      </c>
      <c r="X1833" s="164">
        <f>($L1833*'Pivot Objective'!$C$9^3)*V1833*W1833</f>
        <v>0</v>
      </c>
      <c r="Y1833" s="166">
        <v>0</v>
      </c>
      <c r="Z1833" s="166">
        <v>0</v>
      </c>
      <c r="AA1833" s="164">
        <f>($L1833*'Pivot Objective'!$C$9^4)*Y1833*Z1833</f>
        <v>0</v>
      </c>
      <c r="AB1833" s="166">
        <v>0</v>
      </c>
      <c r="AC1833" s="166">
        <v>0</v>
      </c>
      <c r="AD1833" s="164">
        <f>($L1833*'Pivot Objective'!$C$9^5)*AB1833*AC1833</f>
        <v>0</v>
      </c>
      <c r="AE1833" s="166">
        <v>0</v>
      </c>
      <c r="AF1833" s="166">
        <v>0</v>
      </c>
      <c r="AG1833" s="164">
        <f>($L1833*'Pivot Objective'!$C$9^6)*AE1833*AF1833</f>
        <v>0</v>
      </c>
      <c r="AH1833" s="166">
        <v>0</v>
      </c>
      <c r="AI1833" s="166">
        <v>0</v>
      </c>
      <c r="AJ1833" s="164">
        <f>($L1833*'Pivot Objective'!$C$9^7)*AH1833*AI1833</f>
        <v>0</v>
      </c>
      <c r="AK1833" s="185">
        <f t="shared" si="207"/>
        <v>3797401.3488310222</v>
      </c>
      <c r="AL1833" s="186">
        <f t="shared" si="208"/>
        <v>3686.7974260495362</v>
      </c>
    </row>
    <row r="1834" spans="1:38" customFormat="1" ht="43.2" x14ac:dyDescent="0.3">
      <c r="A1834" s="140" t="s">
        <v>1486</v>
      </c>
      <c r="B1834" s="140">
        <v>3</v>
      </c>
      <c r="C1834" s="166" t="s">
        <v>696</v>
      </c>
      <c r="D1834" s="140" t="str">
        <f t="shared" si="204"/>
        <v>3</v>
      </c>
      <c r="E1834" s="166" t="s">
        <v>691</v>
      </c>
      <c r="F1834" s="140">
        <f t="shared" si="209"/>
        <v>2</v>
      </c>
      <c r="G1834" s="140" t="str">
        <f t="shared" si="205"/>
        <v>3.3.2</v>
      </c>
      <c r="H1834" s="166" t="s">
        <v>1699</v>
      </c>
      <c r="I1834" s="166" t="s">
        <v>42</v>
      </c>
      <c r="J1834" s="166" t="s">
        <v>345</v>
      </c>
      <c r="K1834" s="166" t="s">
        <v>1299</v>
      </c>
      <c r="L1834" s="167">
        <f>1480/7</f>
        <v>211.42857142857142</v>
      </c>
      <c r="M1834" s="166"/>
      <c r="N1834" s="166"/>
      <c r="O1834" s="164">
        <f t="shared" si="206"/>
        <v>0</v>
      </c>
      <c r="P1834" s="166"/>
      <c r="Q1834" s="166"/>
      <c r="R1834" s="164">
        <f>$L1834*'Pivot Objective'!$C$9*P1834*Q1834</f>
        <v>0</v>
      </c>
      <c r="S1834" s="166">
        <f>2*135*9</f>
        <v>2430</v>
      </c>
      <c r="T1834" s="166">
        <v>3</v>
      </c>
      <c r="U1834" s="164">
        <f>($L1834*'Pivot Objective'!$C$9^2)*S1834*T1834</f>
        <v>2013370.5065148755</v>
      </c>
      <c r="V1834" s="166"/>
      <c r="W1834" s="166"/>
      <c r="X1834" s="164">
        <f>($L1834*'Pivot Objective'!$C$9^3)*V1834*W1834</f>
        <v>0</v>
      </c>
      <c r="Y1834" s="166"/>
      <c r="Z1834" s="166"/>
      <c r="AA1834" s="164">
        <f>($L1834*'Pivot Objective'!$C$9^4)*Y1834*Z1834</f>
        <v>0</v>
      </c>
      <c r="AB1834" s="166"/>
      <c r="AC1834" s="166"/>
      <c r="AD1834" s="164">
        <f>($L1834*'Pivot Objective'!$C$9^5)*AB1834*AC1834</f>
        <v>0</v>
      </c>
      <c r="AE1834" s="166"/>
      <c r="AF1834" s="166"/>
      <c r="AG1834" s="164">
        <f>($L1834*'Pivot Objective'!$C$9^6)*AE1834*AF1834</f>
        <v>0</v>
      </c>
      <c r="AH1834" s="166"/>
      <c r="AI1834" s="166"/>
      <c r="AJ1834" s="164">
        <f>($L1834*'Pivot Objective'!$C$9^7)*AH1834*AI1834</f>
        <v>0</v>
      </c>
      <c r="AK1834" s="185">
        <f t="shared" si="207"/>
        <v>2013370.5065148755</v>
      </c>
      <c r="AL1834" s="186">
        <f t="shared" si="208"/>
        <v>1954.7286471018208</v>
      </c>
    </row>
    <row r="1835" spans="1:38" customFormat="1" ht="43.2" x14ac:dyDescent="0.3">
      <c r="A1835" s="140" t="s">
        <v>1486</v>
      </c>
      <c r="B1835" s="140">
        <v>3</v>
      </c>
      <c r="C1835" s="166" t="s">
        <v>696</v>
      </c>
      <c r="D1835" s="140" t="str">
        <f t="shared" si="204"/>
        <v>3</v>
      </c>
      <c r="E1835" s="166" t="s">
        <v>691</v>
      </c>
      <c r="F1835" s="140">
        <f t="shared" si="209"/>
        <v>2</v>
      </c>
      <c r="G1835" s="140" t="str">
        <f t="shared" si="205"/>
        <v>3.3.2</v>
      </c>
      <c r="H1835" s="166" t="s">
        <v>1699</v>
      </c>
      <c r="I1835" s="166" t="s">
        <v>43</v>
      </c>
      <c r="J1835" s="166" t="s">
        <v>346</v>
      </c>
      <c r="K1835" s="166" t="s">
        <v>718</v>
      </c>
      <c r="L1835" s="167">
        <v>0</v>
      </c>
      <c r="M1835" s="166"/>
      <c r="N1835" s="166"/>
      <c r="O1835" s="164">
        <f t="shared" si="206"/>
        <v>0</v>
      </c>
      <c r="P1835" s="166">
        <v>0</v>
      </c>
      <c r="Q1835" s="166">
        <v>0</v>
      </c>
      <c r="R1835" s="164">
        <f>$L1835*'Pivot Objective'!$C$9*P1835*Q1835</f>
        <v>0</v>
      </c>
      <c r="S1835" s="166">
        <v>0</v>
      </c>
      <c r="T1835" s="166">
        <v>0</v>
      </c>
      <c r="U1835" s="164">
        <f>($L1835*'Pivot Objective'!$C$9^2)*S1835*T1835</f>
        <v>0</v>
      </c>
      <c r="V1835" s="166">
        <v>0</v>
      </c>
      <c r="W1835" s="166">
        <v>0</v>
      </c>
      <c r="X1835" s="164">
        <f>($L1835*'Pivot Objective'!$C$9^3)*V1835*W1835</f>
        <v>0</v>
      </c>
      <c r="Y1835" s="166">
        <v>0</v>
      </c>
      <c r="Z1835" s="166">
        <v>0</v>
      </c>
      <c r="AA1835" s="164">
        <f>($L1835*'Pivot Objective'!$C$9^4)*Y1835*Z1835</f>
        <v>0</v>
      </c>
      <c r="AB1835" s="166">
        <v>0</v>
      </c>
      <c r="AC1835" s="166">
        <v>0</v>
      </c>
      <c r="AD1835" s="164">
        <f>($L1835*'Pivot Objective'!$C$9^5)*AB1835*AC1835</f>
        <v>0</v>
      </c>
      <c r="AE1835" s="166">
        <v>0</v>
      </c>
      <c r="AF1835" s="166">
        <v>0</v>
      </c>
      <c r="AG1835" s="164">
        <f>($L1835*'Pivot Objective'!$C$9^6)*AE1835*AF1835</f>
        <v>0</v>
      </c>
      <c r="AH1835" s="166">
        <v>0</v>
      </c>
      <c r="AI1835" s="166">
        <v>0</v>
      </c>
      <c r="AJ1835" s="164">
        <f>($L1835*'Pivot Objective'!$C$9^7)*AH1835*AI1835</f>
        <v>0</v>
      </c>
      <c r="AK1835" s="185">
        <f t="shared" si="207"/>
        <v>0</v>
      </c>
      <c r="AL1835" s="186">
        <f t="shared" si="208"/>
        <v>0</v>
      </c>
    </row>
    <row r="1836" spans="1:38" customFormat="1" ht="43.2" x14ac:dyDescent="0.3">
      <c r="A1836" s="140" t="s">
        <v>1486</v>
      </c>
      <c r="B1836" s="140">
        <v>3</v>
      </c>
      <c r="C1836" s="166" t="s">
        <v>696</v>
      </c>
      <c r="D1836" s="140" t="str">
        <f t="shared" si="204"/>
        <v>3</v>
      </c>
      <c r="E1836" s="166" t="s">
        <v>691</v>
      </c>
      <c r="F1836" s="140">
        <f t="shared" si="209"/>
        <v>2</v>
      </c>
      <c r="G1836" s="140" t="str">
        <f t="shared" si="205"/>
        <v>3.3.2</v>
      </c>
      <c r="H1836" s="166" t="s">
        <v>1699</v>
      </c>
      <c r="I1836" s="166" t="s">
        <v>43</v>
      </c>
      <c r="J1836" s="166" t="s">
        <v>347</v>
      </c>
      <c r="K1836" s="166" t="s">
        <v>713</v>
      </c>
      <c r="L1836" s="167">
        <v>45000</v>
      </c>
      <c r="M1836" s="166">
        <v>29</v>
      </c>
      <c r="N1836" s="166">
        <v>2</v>
      </c>
      <c r="O1836" s="164">
        <f t="shared" si="206"/>
        <v>2610000</v>
      </c>
      <c r="P1836" s="166">
        <v>0</v>
      </c>
      <c r="Q1836" s="166">
        <v>0</v>
      </c>
      <c r="R1836" s="164">
        <f>$L1836*'Pivot Objective'!$C$9*P1836*Q1836</f>
        <v>0</v>
      </c>
      <c r="S1836" s="166">
        <v>0</v>
      </c>
      <c r="T1836" s="166">
        <v>0</v>
      </c>
      <c r="U1836" s="164">
        <f>($L1836*'Pivot Objective'!$C$9^2)*S1836*T1836</f>
        <v>0</v>
      </c>
      <c r="V1836" s="166">
        <v>0</v>
      </c>
      <c r="W1836" s="166">
        <v>0</v>
      </c>
      <c r="X1836" s="164">
        <f>($L1836*'Pivot Objective'!$C$9^3)*V1836*W1836</f>
        <v>0</v>
      </c>
      <c r="Y1836" s="166">
        <v>15</v>
      </c>
      <c r="Z1836" s="166">
        <v>10</v>
      </c>
      <c r="AA1836" s="164">
        <f>($L1836*'Pivot Objective'!$C$9^4)*Y1836*Z1836</f>
        <v>11517779.77259263</v>
      </c>
      <c r="AB1836" s="166">
        <v>0</v>
      </c>
      <c r="AC1836" s="166">
        <v>0</v>
      </c>
      <c r="AD1836" s="164">
        <f>($L1836*'Pivot Objective'!$C$9^5)*AB1836*AC1836</f>
        <v>0</v>
      </c>
      <c r="AE1836" s="166">
        <v>0</v>
      </c>
      <c r="AF1836" s="166">
        <v>0</v>
      </c>
      <c r="AG1836" s="164">
        <f>($L1836*'Pivot Objective'!$C$9^6)*AE1836*AF1836</f>
        <v>0</v>
      </c>
      <c r="AH1836" s="166">
        <v>0</v>
      </c>
      <c r="AI1836" s="166">
        <v>0</v>
      </c>
      <c r="AJ1836" s="164">
        <f>($L1836*'Pivot Objective'!$C$9^7)*AH1836*AI1836</f>
        <v>0</v>
      </c>
      <c r="AK1836" s="185">
        <f t="shared" si="207"/>
        <v>14127779.77259263</v>
      </c>
      <c r="AL1836" s="186">
        <f t="shared" si="208"/>
        <v>13716.291041352068</v>
      </c>
    </row>
    <row r="1837" spans="1:38" customFormat="1" ht="43.2" x14ac:dyDescent="0.3">
      <c r="A1837" s="140" t="s">
        <v>1486</v>
      </c>
      <c r="B1837" s="140">
        <v>3</v>
      </c>
      <c r="C1837" s="166" t="s">
        <v>696</v>
      </c>
      <c r="D1837" s="140" t="str">
        <f t="shared" si="204"/>
        <v>3</v>
      </c>
      <c r="E1837" s="166" t="s">
        <v>691</v>
      </c>
      <c r="F1837" s="140">
        <f t="shared" si="209"/>
        <v>2</v>
      </c>
      <c r="G1837" s="140" t="str">
        <f t="shared" si="205"/>
        <v>3.3.2</v>
      </c>
      <c r="H1837" s="166" t="s">
        <v>1699</v>
      </c>
      <c r="I1837" s="166" t="s">
        <v>43</v>
      </c>
      <c r="J1837" s="166" t="s">
        <v>347</v>
      </c>
      <c r="K1837" s="166" t="s">
        <v>712</v>
      </c>
      <c r="L1837" s="167">
        <f>1480/7</f>
        <v>211.42857142857142</v>
      </c>
      <c r="M1837" s="166">
        <v>22500</v>
      </c>
      <c r="N1837" s="166">
        <v>2</v>
      </c>
      <c r="O1837" s="164">
        <f t="shared" si="206"/>
        <v>9514285.7142857146</v>
      </c>
      <c r="P1837" s="166">
        <v>0</v>
      </c>
      <c r="Q1837" s="166">
        <v>0</v>
      </c>
      <c r="R1837" s="164">
        <f>$L1837*'Pivot Objective'!$C$9*P1837*Q1837</f>
        <v>0</v>
      </c>
      <c r="S1837" s="166">
        <v>0</v>
      </c>
      <c r="T1837" s="166">
        <v>0</v>
      </c>
      <c r="U1837" s="164">
        <f>($L1837*'Pivot Objective'!$C$9^2)*S1837*T1837</f>
        <v>0</v>
      </c>
      <c r="V1837" s="166">
        <v>0</v>
      </c>
      <c r="W1837" s="166">
        <v>0</v>
      </c>
      <c r="X1837" s="164">
        <f>($L1837*'Pivot Objective'!$C$9^3)*V1837*W1837</f>
        <v>0</v>
      </c>
      <c r="Y1837" s="166">
        <v>8000</v>
      </c>
      <c r="Z1837" s="166">
        <v>1</v>
      </c>
      <c r="AA1837" s="164">
        <f>($L1837*'Pivot Objective'!$C$9^4)*Y1837*Z1837</f>
        <v>2886148.4128570738</v>
      </c>
      <c r="AB1837" s="166">
        <v>0</v>
      </c>
      <c r="AC1837" s="166">
        <v>0</v>
      </c>
      <c r="AD1837" s="164">
        <f>($L1837*'Pivot Objective'!$C$9^5)*AB1837*AC1837</f>
        <v>0</v>
      </c>
      <c r="AE1837" s="166">
        <v>0</v>
      </c>
      <c r="AF1837" s="166">
        <v>0</v>
      </c>
      <c r="AG1837" s="164">
        <f>($L1837*'Pivot Objective'!$C$9^6)*AE1837*AF1837</f>
        <v>0</v>
      </c>
      <c r="AH1837" s="166">
        <v>0</v>
      </c>
      <c r="AI1837" s="166">
        <v>0</v>
      </c>
      <c r="AJ1837" s="164">
        <f>($L1837*'Pivot Objective'!$C$9^7)*AH1837*AI1837</f>
        <v>0</v>
      </c>
      <c r="AK1837" s="185">
        <f t="shared" si="207"/>
        <v>12400434.127142789</v>
      </c>
      <c r="AL1837" s="186">
        <f t="shared" si="208"/>
        <v>12039.256434119212</v>
      </c>
    </row>
    <row r="1838" spans="1:38" customFormat="1" ht="43.2" x14ac:dyDescent="0.3">
      <c r="A1838" s="140" t="s">
        <v>1486</v>
      </c>
      <c r="B1838" s="140">
        <v>3</v>
      </c>
      <c r="C1838" s="166" t="s">
        <v>696</v>
      </c>
      <c r="D1838" s="140" t="str">
        <f t="shared" si="204"/>
        <v>3</v>
      </c>
      <c r="E1838" s="166" t="s">
        <v>691</v>
      </c>
      <c r="F1838" s="140">
        <f t="shared" si="209"/>
        <v>2</v>
      </c>
      <c r="G1838" s="140" t="str">
        <f t="shared" si="205"/>
        <v>3.3.2</v>
      </c>
      <c r="H1838" s="166" t="s">
        <v>1699</v>
      </c>
      <c r="I1838" s="166" t="s">
        <v>43</v>
      </c>
      <c r="J1838" s="166" t="s">
        <v>347</v>
      </c>
      <c r="K1838" s="166" t="s">
        <v>1299</v>
      </c>
      <c r="L1838" s="167">
        <f>1480/7</f>
        <v>211.42857142857142</v>
      </c>
      <c r="M1838" s="166">
        <v>90000</v>
      </c>
      <c r="N1838" s="166">
        <v>1</v>
      </c>
      <c r="O1838" s="164">
        <f t="shared" si="206"/>
        <v>19028571.428571429</v>
      </c>
      <c r="P1838" s="166"/>
      <c r="Q1838" s="166"/>
      <c r="R1838" s="164">
        <f>$L1838*'Pivot Objective'!$C$9*P1838*Q1838</f>
        <v>0</v>
      </c>
      <c r="S1838" s="166"/>
      <c r="T1838" s="166"/>
      <c r="U1838" s="164">
        <f>($L1838*'Pivot Objective'!$C$9^2)*S1838*T1838</f>
        <v>0</v>
      </c>
      <c r="V1838" s="166"/>
      <c r="W1838" s="166"/>
      <c r="X1838" s="164">
        <f>($L1838*'Pivot Objective'!$C$9^3)*V1838*W1838</f>
        <v>0</v>
      </c>
      <c r="Y1838" s="166"/>
      <c r="Z1838" s="166"/>
      <c r="AA1838" s="164">
        <f>($L1838*'Pivot Objective'!$C$9^4)*Y1838*Z1838</f>
        <v>0</v>
      </c>
      <c r="AB1838" s="166"/>
      <c r="AC1838" s="166"/>
      <c r="AD1838" s="164">
        <f>($L1838*'Pivot Objective'!$C$9^5)*AB1838*AC1838</f>
        <v>0</v>
      </c>
      <c r="AE1838" s="166"/>
      <c r="AF1838" s="166"/>
      <c r="AG1838" s="164">
        <f>($L1838*'Pivot Objective'!$C$9^6)*AE1838*AF1838</f>
        <v>0</v>
      </c>
      <c r="AH1838" s="166"/>
      <c r="AI1838" s="166"/>
      <c r="AJ1838" s="164">
        <f>($L1838*'Pivot Objective'!$C$9^7)*AH1838*AI1838</f>
        <v>0</v>
      </c>
      <c r="AK1838" s="185">
        <f t="shared" si="207"/>
        <v>19028571.428571429</v>
      </c>
      <c r="AL1838" s="186">
        <f t="shared" si="208"/>
        <v>18474.341192787797</v>
      </c>
    </row>
    <row r="1839" spans="1:38" customFormat="1" ht="43.2" x14ac:dyDescent="0.3">
      <c r="A1839" s="140" t="s">
        <v>1486</v>
      </c>
      <c r="B1839" s="140">
        <v>3</v>
      </c>
      <c r="C1839" s="166" t="s">
        <v>696</v>
      </c>
      <c r="D1839" s="140" t="str">
        <f t="shared" si="204"/>
        <v>3</v>
      </c>
      <c r="E1839" s="166" t="s">
        <v>691</v>
      </c>
      <c r="F1839" s="140">
        <f t="shared" si="209"/>
        <v>2</v>
      </c>
      <c r="G1839" s="140" t="str">
        <f t="shared" si="205"/>
        <v>3.3.2</v>
      </c>
      <c r="H1839" s="166" t="s">
        <v>1699</v>
      </c>
      <c r="I1839" s="166" t="s">
        <v>43</v>
      </c>
      <c r="J1839" s="166" t="s">
        <v>348</v>
      </c>
      <c r="K1839" s="166" t="s">
        <v>709</v>
      </c>
      <c r="L1839" s="167">
        <v>35000</v>
      </c>
      <c r="M1839" s="166">
        <v>100</v>
      </c>
      <c r="N1839" s="166">
        <v>2</v>
      </c>
      <c r="O1839" s="164">
        <f t="shared" si="206"/>
        <v>7000000</v>
      </c>
      <c r="P1839" s="166">
        <v>0</v>
      </c>
      <c r="Q1839" s="166">
        <v>0</v>
      </c>
      <c r="R1839" s="164">
        <f>$L1839*'Pivot Objective'!$C$9*P1839*Q1839</f>
        <v>0</v>
      </c>
      <c r="S1839" s="166">
        <v>0</v>
      </c>
      <c r="T1839" s="166">
        <v>0</v>
      </c>
      <c r="U1839" s="164">
        <f>($L1839*'Pivot Objective'!$C$9^2)*S1839*T1839</f>
        <v>0</v>
      </c>
      <c r="V1839" s="166">
        <v>0</v>
      </c>
      <c r="W1839" s="166">
        <v>0</v>
      </c>
      <c r="X1839" s="164">
        <f>($L1839*'Pivot Objective'!$C$9^3)*V1839*W1839</f>
        <v>0</v>
      </c>
      <c r="Y1839" s="166">
        <v>0</v>
      </c>
      <c r="Z1839" s="166">
        <v>0</v>
      </c>
      <c r="AA1839" s="164">
        <f>($L1839*'Pivot Objective'!$C$9^4)*Y1839*Z1839</f>
        <v>0</v>
      </c>
      <c r="AB1839" s="166">
        <v>0</v>
      </c>
      <c r="AC1839" s="166">
        <v>0</v>
      </c>
      <c r="AD1839" s="164">
        <f>($L1839*'Pivot Objective'!$C$9^5)*AB1839*AC1839</f>
        <v>0</v>
      </c>
      <c r="AE1839" s="166">
        <v>0</v>
      </c>
      <c r="AF1839" s="166">
        <v>0</v>
      </c>
      <c r="AG1839" s="164">
        <f>($L1839*'Pivot Objective'!$C$9^6)*AE1839*AF1839</f>
        <v>0</v>
      </c>
      <c r="AH1839" s="166">
        <v>0</v>
      </c>
      <c r="AI1839" s="166">
        <v>0</v>
      </c>
      <c r="AJ1839" s="164">
        <f>($L1839*'Pivot Objective'!$C$9^7)*AH1839*AI1839</f>
        <v>0</v>
      </c>
      <c r="AK1839" s="185">
        <f t="shared" si="207"/>
        <v>7000000</v>
      </c>
      <c r="AL1839" s="186">
        <f t="shared" si="208"/>
        <v>6796.1165048543689</v>
      </c>
    </row>
    <row r="1840" spans="1:38" customFormat="1" ht="43.2" x14ac:dyDescent="0.3">
      <c r="A1840" s="140" t="s">
        <v>1486</v>
      </c>
      <c r="B1840" s="140">
        <v>3</v>
      </c>
      <c r="C1840" s="166" t="s">
        <v>696</v>
      </c>
      <c r="D1840" s="140" t="str">
        <f t="shared" si="204"/>
        <v>3</v>
      </c>
      <c r="E1840" s="166" t="s">
        <v>691</v>
      </c>
      <c r="F1840" s="140">
        <f t="shared" si="209"/>
        <v>2</v>
      </c>
      <c r="G1840" s="140" t="str">
        <f t="shared" si="205"/>
        <v>3.3.2</v>
      </c>
      <c r="H1840" s="166" t="s">
        <v>1699</v>
      </c>
      <c r="I1840" s="166" t="s">
        <v>43</v>
      </c>
      <c r="J1840" s="166" t="s">
        <v>350</v>
      </c>
      <c r="K1840" s="166" t="s">
        <v>718</v>
      </c>
      <c r="L1840" s="167">
        <v>0</v>
      </c>
      <c r="M1840" s="166">
        <v>0</v>
      </c>
      <c r="N1840" s="166">
        <v>0</v>
      </c>
      <c r="O1840" s="164">
        <f t="shared" si="206"/>
        <v>0</v>
      </c>
      <c r="P1840" s="166">
        <v>0</v>
      </c>
      <c r="Q1840" s="166">
        <v>0</v>
      </c>
      <c r="R1840" s="164">
        <f>$L1840*'Pivot Objective'!$C$9*P1840*Q1840</f>
        <v>0</v>
      </c>
      <c r="S1840" s="166">
        <v>0</v>
      </c>
      <c r="T1840" s="166">
        <v>0</v>
      </c>
      <c r="U1840" s="164">
        <f>($L1840*'Pivot Objective'!$C$9^2)*S1840*T1840</f>
        <v>0</v>
      </c>
      <c r="V1840" s="166">
        <v>0</v>
      </c>
      <c r="W1840" s="166">
        <v>0</v>
      </c>
      <c r="X1840" s="164">
        <f>($L1840*'Pivot Objective'!$C$9^3)*V1840*W1840</f>
        <v>0</v>
      </c>
      <c r="Y1840" s="166">
        <v>0</v>
      </c>
      <c r="Z1840" s="166">
        <v>0</v>
      </c>
      <c r="AA1840" s="164">
        <f>($L1840*'Pivot Objective'!$C$9^4)*Y1840*Z1840</f>
        <v>0</v>
      </c>
      <c r="AB1840" s="166">
        <v>0</v>
      </c>
      <c r="AC1840" s="166">
        <v>0</v>
      </c>
      <c r="AD1840" s="164">
        <f>($L1840*'Pivot Objective'!$C$9^5)*AB1840*AC1840</f>
        <v>0</v>
      </c>
      <c r="AE1840" s="166">
        <v>0</v>
      </c>
      <c r="AF1840" s="166">
        <v>0</v>
      </c>
      <c r="AG1840" s="164">
        <f>($L1840*'Pivot Objective'!$C$9^6)*AE1840*AF1840</f>
        <v>0</v>
      </c>
      <c r="AH1840" s="166">
        <v>0</v>
      </c>
      <c r="AI1840" s="166">
        <v>0</v>
      </c>
      <c r="AJ1840" s="164">
        <f>($L1840*'Pivot Objective'!$C$9^7)*AH1840*AI1840</f>
        <v>0</v>
      </c>
      <c r="AK1840" s="185">
        <f t="shared" si="207"/>
        <v>0</v>
      </c>
      <c r="AL1840" s="186">
        <f t="shared" si="208"/>
        <v>0</v>
      </c>
    </row>
    <row r="1841" spans="1:38" customFormat="1" ht="43.2" x14ac:dyDescent="0.3">
      <c r="A1841" s="140" t="s">
        <v>1486</v>
      </c>
      <c r="B1841" s="140">
        <v>3</v>
      </c>
      <c r="C1841" s="166" t="s">
        <v>696</v>
      </c>
      <c r="D1841" s="140" t="str">
        <f t="shared" si="204"/>
        <v>3</v>
      </c>
      <c r="E1841" s="166" t="s">
        <v>691</v>
      </c>
      <c r="F1841" s="140">
        <f t="shared" si="209"/>
        <v>2</v>
      </c>
      <c r="G1841" s="140" t="str">
        <f t="shared" si="205"/>
        <v>3.3.2</v>
      </c>
      <c r="H1841" s="166" t="s">
        <v>1699</v>
      </c>
      <c r="I1841" s="166" t="s">
        <v>43</v>
      </c>
      <c r="J1841" s="166" t="s">
        <v>352</v>
      </c>
      <c r="K1841" s="166" t="s">
        <v>709</v>
      </c>
      <c r="L1841" s="167">
        <v>35000</v>
      </c>
      <c r="M1841" s="166">
        <v>30</v>
      </c>
      <c r="N1841" s="166">
        <v>4</v>
      </c>
      <c r="O1841" s="164">
        <f t="shared" si="206"/>
        <v>4200000</v>
      </c>
      <c r="P1841" s="166">
        <v>30</v>
      </c>
      <c r="Q1841" s="166">
        <v>4</v>
      </c>
      <c r="R1841" s="164">
        <f>$L1841*'Pivot Objective'!$C$9*P1841*Q1841</f>
        <v>4800268.6073999992</v>
      </c>
      <c r="S1841" s="166">
        <v>0</v>
      </c>
      <c r="T1841" s="166">
        <v>0</v>
      </c>
      <c r="U1841" s="164">
        <f>($L1841*'Pivot Objective'!$C$9^2)*S1841*T1841</f>
        <v>0</v>
      </c>
      <c r="V1841" s="166">
        <v>0</v>
      </c>
      <c r="W1841" s="166">
        <v>0</v>
      </c>
      <c r="X1841" s="164">
        <f>($L1841*'Pivot Objective'!$C$9^3)*V1841*W1841</f>
        <v>0</v>
      </c>
      <c r="Y1841" s="166">
        <v>40</v>
      </c>
      <c r="Z1841" s="166">
        <v>4</v>
      </c>
      <c r="AA1841" s="164">
        <f>($L1841*'Pivot Objective'!$C$9^4)*Y1841*Z1841</f>
        <v>9555491.3668916635</v>
      </c>
      <c r="AB1841" s="166">
        <v>0</v>
      </c>
      <c r="AC1841" s="166">
        <v>0</v>
      </c>
      <c r="AD1841" s="164">
        <f>($L1841*'Pivot Objective'!$C$9^5)*AB1841*AC1841</f>
        <v>0</v>
      </c>
      <c r="AE1841" s="166">
        <v>0</v>
      </c>
      <c r="AF1841" s="166">
        <v>0</v>
      </c>
      <c r="AG1841" s="164">
        <f>($L1841*'Pivot Objective'!$C$9^6)*AE1841*AF1841</f>
        <v>0</v>
      </c>
      <c r="AH1841" s="166">
        <v>0</v>
      </c>
      <c r="AI1841" s="166">
        <v>0</v>
      </c>
      <c r="AJ1841" s="164">
        <f>($L1841*'Pivot Objective'!$C$9^7)*AH1841*AI1841</f>
        <v>0</v>
      </c>
      <c r="AK1841" s="185">
        <f t="shared" si="207"/>
        <v>18555759.974291664</v>
      </c>
      <c r="AL1841" s="186">
        <f t="shared" si="208"/>
        <v>18015.300945914238</v>
      </c>
    </row>
    <row r="1842" spans="1:38" customFormat="1" ht="43.2" x14ac:dyDescent="0.3">
      <c r="A1842" s="140" t="s">
        <v>1486</v>
      </c>
      <c r="B1842" s="140">
        <v>3</v>
      </c>
      <c r="C1842" s="166" t="s">
        <v>696</v>
      </c>
      <c r="D1842" s="140" t="str">
        <f t="shared" ref="D1842:D1905" si="210">RIGHT(A1842,1)</f>
        <v>3</v>
      </c>
      <c r="E1842" s="166" t="s">
        <v>691</v>
      </c>
      <c r="F1842" s="140">
        <f t="shared" si="209"/>
        <v>2</v>
      </c>
      <c r="G1842" s="140" t="str">
        <f t="shared" si="205"/>
        <v>3.3.2</v>
      </c>
      <c r="H1842" s="166" t="s">
        <v>1699</v>
      </c>
      <c r="I1842" s="166" t="s">
        <v>43</v>
      </c>
      <c r="J1842" s="166" t="s">
        <v>352</v>
      </c>
      <c r="K1842" s="166" t="s">
        <v>716</v>
      </c>
      <c r="L1842" s="167">
        <v>39000</v>
      </c>
      <c r="M1842" s="166">
        <v>30</v>
      </c>
      <c r="N1842" s="166">
        <v>4</v>
      </c>
      <c r="O1842" s="164">
        <f t="shared" si="206"/>
        <v>4680000</v>
      </c>
      <c r="P1842" s="166">
        <v>30</v>
      </c>
      <c r="Q1842" s="166">
        <v>4</v>
      </c>
      <c r="R1842" s="164">
        <f>$L1842*'Pivot Objective'!$C$9*P1842*Q1842</f>
        <v>5348870.7339599989</v>
      </c>
      <c r="S1842" s="166">
        <v>0</v>
      </c>
      <c r="T1842" s="166">
        <v>0</v>
      </c>
      <c r="U1842" s="164">
        <f>($L1842*'Pivot Objective'!$C$9^2)*S1842*T1842</f>
        <v>0</v>
      </c>
      <c r="V1842" s="166">
        <v>0</v>
      </c>
      <c r="W1842" s="166">
        <v>0</v>
      </c>
      <c r="X1842" s="164">
        <f>($L1842*'Pivot Objective'!$C$9^3)*V1842*W1842</f>
        <v>0</v>
      </c>
      <c r="Y1842" s="166">
        <v>40</v>
      </c>
      <c r="Z1842" s="166">
        <v>4</v>
      </c>
      <c r="AA1842" s="164">
        <f>($L1842*'Pivot Objective'!$C$9^4)*Y1842*Z1842</f>
        <v>10647547.523107855</v>
      </c>
      <c r="AB1842" s="166">
        <v>0</v>
      </c>
      <c r="AC1842" s="166">
        <v>0</v>
      </c>
      <c r="AD1842" s="164">
        <f>($L1842*'Pivot Objective'!$C$9^5)*AB1842*AC1842</f>
        <v>0</v>
      </c>
      <c r="AE1842" s="166">
        <v>0</v>
      </c>
      <c r="AF1842" s="166">
        <v>0</v>
      </c>
      <c r="AG1842" s="164">
        <f>($L1842*'Pivot Objective'!$C$9^6)*AE1842*AF1842</f>
        <v>0</v>
      </c>
      <c r="AH1842" s="166">
        <v>0</v>
      </c>
      <c r="AI1842" s="166">
        <v>0</v>
      </c>
      <c r="AJ1842" s="164">
        <f>($L1842*'Pivot Objective'!$C$9^7)*AH1842*AI1842</f>
        <v>0</v>
      </c>
      <c r="AK1842" s="185">
        <f t="shared" si="207"/>
        <v>20676418.257067852</v>
      </c>
      <c r="AL1842" s="186">
        <f t="shared" si="208"/>
        <v>20074.192482590148</v>
      </c>
    </row>
    <row r="1843" spans="1:38" customFormat="1" ht="43.2" x14ac:dyDescent="0.3">
      <c r="A1843" s="140" t="s">
        <v>1486</v>
      </c>
      <c r="B1843" s="140">
        <v>3</v>
      </c>
      <c r="C1843" s="166" t="s">
        <v>696</v>
      </c>
      <c r="D1843" s="140" t="str">
        <f t="shared" si="210"/>
        <v>3</v>
      </c>
      <c r="E1843" s="166" t="s">
        <v>691</v>
      </c>
      <c r="F1843" s="140">
        <f t="shared" si="209"/>
        <v>2</v>
      </c>
      <c r="G1843" s="140" t="str">
        <f t="shared" ref="G1843:G1906" si="211">B1843&amp;"."&amp;D1843&amp;"."&amp;F1843</f>
        <v>3.3.2</v>
      </c>
      <c r="H1843" s="166" t="s">
        <v>1699</v>
      </c>
      <c r="I1843" s="166" t="s">
        <v>43</v>
      </c>
      <c r="J1843" s="166" t="s">
        <v>352</v>
      </c>
      <c r="K1843" s="166" t="s">
        <v>712</v>
      </c>
      <c r="L1843" s="167">
        <f>1480/7</f>
        <v>211.42857142857142</v>
      </c>
      <c r="M1843" s="166">
        <f>2*25*9</f>
        <v>450</v>
      </c>
      <c r="N1843" s="166">
        <v>4</v>
      </c>
      <c r="O1843" s="164">
        <f t="shared" si="206"/>
        <v>380571.42857142852</v>
      </c>
      <c r="P1843" s="166">
        <f>2*25*9</f>
        <v>450</v>
      </c>
      <c r="Q1843" s="166">
        <v>4</v>
      </c>
      <c r="R1843" s="164">
        <f>$L1843*'Pivot Objective'!$C$9*P1843*Q1843</f>
        <v>434963.11462971423</v>
      </c>
      <c r="S1843" s="166">
        <v>0</v>
      </c>
      <c r="T1843" s="166">
        <v>0</v>
      </c>
      <c r="U1843" s="164">
        <f>($L1843*'Pivot Objective'!$C$9^2)*S1843*T1843</f>
        <v>0</v>
      </c>
      <c r="V1843" s="166">
        <v>0</v>
      </c>
      <c r="W1843" s="166">
        <v>0</v>
      </c>
      <c r="X1843" s="164">
        <f>($L1843*'Pivot Objective'!$C$9^3)*V1843*W1843</f>
        <v>0</v>
      </c>
      <c r="Y1843" s="166">
        <v>8000</v>
      </c>
      <c r="Z1843" s="166">
        <v>1</v>
      </c>
      <c r="AA1843" s="164">
        <f>($L1843*'Pivot Objective'!$C$9^4)*Y1843*Z1843</f>
        <v>2886148.4128570738</v>
      </c>
      <c r="AB1843" s="166">
        <v>0</v>
      </c>
      <c r="AC1843" s="166">
        <v>0</v>
      </c>
      <c r="AD1843" s="164">
        <f>($L1843*'Pivot Objective'!$C$9^5)*AB1843*AC1843</f>
        <v>0</v>
      </c>
      <c r="AE1843" s="166">
        <v>0</v>
      </c>
      <c r="AF1843" s="166">
        <v>0</v>
      </c>
      <c r="AG1843" s="164">
        <f>($L1843*'Pivot Objective'!$C$9^6)*AE1843*AF1843</f>
        <v>0</v>
      </c>
      <c r="AH1843" s="166">
        <v>0</v>
      </c>
      <c r="AI1843" s="166">
        <v>0</v>
      </c>
      <c r="AJ1843" s="164">
        <f>($L1843*'Pivot Objective'!$C$9^7)*AH1843*AI1843</f>
        <v>0</v>
      </c>
      <c r="AK1843" s="185">
        <f t="shared" si="207"/>
        <v>3701682.9560582163</v>
      </c>
      <c r="AL1843" s="186">
        <f t="shared" si="208"/>
        <v>3593.8669476293362</v>
      </c>
    </row>
    <row r="1844" spans="1:38" customFormat="1" ht="43.2" x14ac:dyDescent="0.3">
      <c r="A1844" s="140" t="s">
        <v>1486</v>
      </c>
      <c r="B1844" s="140">
        <v>3</v>
      </c>
      <c r="C1844" s="166" t="s">
        <v>696</v>
      </c>
      <c r="D1844" s="140" t="str">
        <f t="shared" si="210"/>
        <v>3</v>
      </c>
      <c r="E1844" s="166" t="s">
        <v>691</v>
      </c>
      <c r="F1844" s="140">
        <f t="shared" si="209"/>
        <v>2</v>
      </c>
      <c r="G1844" s="140" t="str">
        <f t="shared" si="211"/>
        <v>3.3.2</v>
      </c>
      <c r="H1844" s="166" t="s">
        <v>1699</v>
      </c>
      <c r="I1844" s="166" t="s">
        <v>43</v>
      </c>
      <c r="J1844" s="166" t="s">
        <v>352</v>
      </c>
      <c r="K1844" s="166" t="s">
        <v>1299</v>
      </c>
      <c r="L1844" s="167">
        <f>1480/7</f>
        <v>211.42857142857142</v>
      </c>
      <c r="M1844" s="166">
        <f>2*135*9</f>
        <v>2430</v>
      </c>
      <c r="N1844" s="166">
        <v>1</v>
      </c>
      <c r="O1844" s="164">
        <f t="shared" si="206"/>
        <v>513771.42857142852</v>
      </c>
      <c r="P1844" s="166">
        <f>2*135*9</f>
        <v>2430</v>
      </c>
      <c r="Q1844" s="166">
        <v>1</v>
      </c>
      <c r="R1844" s="164">
        <f>$L1844*'Pivot Objective'!$C$9*P1844*Q1844</f>
        <v>587200.20475011424</v>
      </c>
      <c r="S1844" s="166"/>
      <c r="T1844" s="166"/>
      <c r="U1844" s="164">
        <f>($L1844*'Pivot Objective'!$C$9^2)*S1844*T1844</f>
        <v>0</v>
      </c>
      <c r="V1844" s="166"/>
      <c r="W1844" s="166"/>
      <c r="X1844" s="164">
        <f>($L1844*'Pivot Objective'!$C$9^3)*V1844*W1844</f>
        <v>0</v>
      </c>
      <c r="Y1844" s="166"/>
      <c r="Z1844" s="166"/>
      <c r="AA1844" s="164">
        <f>($L1844*'Pivot Objective'!$C$9^4)*Y1844*Z1844</f>
        <v>0</v>
      </c>
      <c r="AB1844" s="166"/>
      <c r="AC1844" s="166"/>
      <c r="AD1844" s="164">
        <f>($L1844*'Pivot Objective'!$C$9^5)*AB1844*AC1844</f>
        <v>0</v>
      </c>
      <c r="AE1844" s="166"/>
      <c r="AF1844" s="166"/>
      <c r="AG1844" s="164">
        <f>($L1844*'Pivot Objective'!$C$9^6)*AE1844*AF1844</f>
        <v>0</v>
      </c>
      <c r="AH1844" s="166"/>
      <c r="AI1844" s="166"/>
      <c r="AJ1844" s="164">
        <f>($L1844*'Pivot Objective'!$C$9^7)*AH1844*AI1844</f>
        <v>0</v>
      </c>
      <c r="AK1844" s="185">
        <f t="shared" si="207"/>
        <v>1100971.6333215428</v>
      </c>
      <c r="AL1844" s="186">
        <f t="shared" si="208"/>
        <v>1068.9044983704298</v>
      </c>
    </row>
    <row r="1845" spans="1:38" customFormat="1" ht="43.2" x14ac:dyDescent="0.3">
      <c r="A1845" s="140" t="s">
        <v>1486</v>
      </c>
      <c r="B1845" s="140">
        <v>3</v>
      </c>
      <c r="C1845" s="166" t="s">
        <v>696</v>
      </c>
      <c r="D1845" s="140" t="str">
        <f t="shared" si="210"/>
        <v>3</v>
      </c>
      <c r="E1845" s="166" t="s">
        <v>691</v>
      </c>
      <c r="F1845" s="140">
        <f t="shared" si="209"/>
        <v>2</v>
      </c>
      <c r="G1845" s="140" t="str">
        <f t="shared" si="211"/>
        <v>3.3.2</v>
      </c>
      <c r="H1845" s="166" t="s">
        <v>1699</v>
      </c>
      <c r="I1845" s="166" t="s">
        <v>44</v>
      </c>
      <c r="J1845" s="166" t="s">
        <v>353</v>
      </c>
      <c r="K1845" s="166" t="s">
        <v>716</v>
      </c>
      <c r="L1845" s="167">
        <v>39000</v>
      </c>
      <c r="M1845" s="166"/>
      <c r="N1845" s="166"/>
      <c r="O1845" s="164">
        <f t="shared" si="206"/>
        <v>0</v>
      </c>
      <c r="P1845" s="166">
        <v>25</v>
      </c>
      <c r="Q1845" s="166">
        <f>6*4</f>
        <v>24</v>
      </c>
      <c r="R1845" s="164">
        <f>$L1845*'Pivot Objective'!$C$9*P1845*Q1845</f>
        <v>26744353.669799998</v>
      </c>
      <c r="S1845" s="166">
        <v>200</v>
      </c>
      <c r="T1845" s="166">
        <v>3</v>
      </c>
      <c r="U1845" s="164">
        <f>($L1845*'Pivot Objective'!$C$9^2)*S1845*T1845</f>
        <v>30566686.034843788</v>
      </c>
      <c r="V1845" s="166">
        <v>200</v>
      </c>
      <c r="W1845" s="166">
        <v>3</v>
      </c>
      <c r="X1845" s="164">
        <f>($L1845*'Pivot Objective'!$C$9^3)*V1845*W1845</f>
        <v>34935310.334598243</v>
      </c>
      <c r="Y1845" s="166">
        <v>200</v>
      </c>
      <c r="Z1845" s="166">
        <v>3</v>
      </c>
      <c r="AA1845" s="164">
        <f>($L1845*'Pivot Objective'!$C$9^4)*Y1845*Z1845</f>
        <v>39928303.211654454</v>
      </c>
      <c r="AB1845" s="166">
        <v>0</v>
      </c>
      <c r="AC1845" s="166">
        <v>0</v>
      </c>
      <c r="AD1845" s="164">
        <f>($L1845*'Pivot Objective'!$C$9^5)*AB1845*AC1845</f>
        <v>0</v>
      </c>
      <c r="AE1845" s="166">
        <v>0</v>
      </c>
      <c r="AF1845" s="166">
        <v>0</v>
      </c>
      <c r="AG1845" s="164">
        <f>($L1845*'Pivot Objective'!$C$9^6)*AE1845*AF1845</f>
        <v>0</v>
      </c>
      <c r="AH1845" s="166">
        <v>0</v>
      </c>
      <c r="AI1845" s="166">
        <v>0</v>
      </c>
      <c r="AJ1845" s="164">
        <f>($L1845*'Pivot Objective'!$C$9^7)*AH1845*AI1845</f>
        <v>0</v>
      </c>
      <c r="AK1845" s="185">
        <f t="shared" si="207"/>
        <v>132174653.25089648</v>
      </c>
      <c r="AL1845" s="186">
        <f t="shared" si="208"/>
        <v>128324.90606883154</v>
      </c>
    </row>
    <row r="1846" spans="1:38" customFormat="1" ht="43.2" x14ac:dyDescent="0.3">
      <c r="A1846" s="140" t="s">
        <v>1486</v>
      </c>
      <c r="B1846" s="140">
        <v>3</v>
      </c>
      <c r="C1846" s="166" t="s">
        <v>696</v>
      </c>
      <c r="D1846" s="140" t="str">
        <f t="shared" si="210"/>
        <v>3</v>
      </c>
      <c r="E1846" s="166" t="s">
        <v>691</v>
      </c>
      <c r="F1846" s="140">
        <f t="shared" si="209"/>
        <v>2</v>
      </c>
      <c r="G1846" s="140" t="str">
        <f t="shared" si="211"/>
        <v>3.3.2</v>
      </c>
      <c r="H1846" s="166" t="s">
        <v>1699</v>
      </c>
      <c r="I1846" s="166" t="s">
        <v>44</v>
      </c>
      <c r="J1846" s="166" t="s">
        <v>353</v>
      </c>
      <c r="K1846" s="166" t="s">
        <v>709</v>
      </c>
      <c r="L1846" s="167">
        <v>35000</v>
      </c>
      <c r="M1846" s="166"/>
      <c r="N1846" s="166"/>
      <c r="O1846" s="164">
        <f t="shared" si="206"/>
        <v>0</v>
      </c>
      <c r="P1846" s="166">
        <v>25</v>
      </c>
      <c r="Q1846" s="166">
        <f>5*4</f>
        <v>20</v>
      </c>
      <c r="R1846" s="164">
        <f>$L1846*'Pivot Objective'!$C$9*P1846*Q1846</f>
        <v>20001119.197499998</v>
      </c>
      <c r="S1846" s="166">
        <v>200</v>
      </c>
      <c r="T1846" s="166">
        <v>3</v>
      </c>
      <c r="U1846" s="164">
        <f>($L1846*'Pivot Objective'!$C$9^2)*S1846*T1846</f>
        <v>27431641.313321348</v>
      </c>
      <c r="V1846" s="166">
        <v>200</v>
      </c>
      <c r="W1846" s="166">
        <v>3</v>
      </c>
      <c r="X1846" s="164">
        <f>($L1846*'Pivot Objective'!$C$9^3)*V1846*W1846</f>
        <v>31352201.582331754</v>
      </c>
      <c r="Y1846" s="166">
        <v>200</v>
      </c>
      <c r="Z1846" s="166">
        <v>3</v>
      </c>
      <c r="AA1846" s="164">
        <f>($L1846*'Pivot Objective'!$C$9^4)*Y1846*Z1846</f>
        <v>35833092.625843741</v>
      </c>
      <c r="AB1846" s="166">
        <v>0</v>
      </c>
      <c r="AC1846" s="166">
        <v>0</v>
      </c>
      <c r="AD1846" s="164">
        <f>($L1846*'Pivot Objective'!$C$9^5)*AB1846*AC1846</f>
        <v>0</v>
      </c>
      <c r="AE1846" s="166">
        <v>0</v>
      </c>
      <c r="AF1846" s="166">
        <v>0</v>
      </c>
      <c r="AG1846" s="164">
        <f>($L1846*'Pivot Objective'!$C$9^6)*AE1846*AF1846</f>
        <v>0</v>
      </c>
      <c r="AH1846" s="166">
        <v>0</v>
      </c>
      <c r="AI1846" s="166">
        <v>0</v>
      </c>
      <c r="AJ1846" s="164">
        <f>($L1846*'Pivot Objective'!$C$9^7)*AH1846*AI1846</f>
        <v>0</v>
      </c>
      <c r="AK1846" s="185">
        <f t="shared" si="207"/>
        <v>114618054.71899682</v>
      </c>
      <c r="AL1846" s="186">
        <f t="shared" si="208"/>
        <v>111279.66477572508</v>
      </c>
    </row>
    <row r="1847" spans="1:38" customFormat="1" ht="43.2" x14ac:dyDescent="0.3">
      <c r="A1847" s="140" t="s">
        <v>1486</v>
      </c>
      <c r="B1847" s="140">
        <v>3</v>
      </c>
      <c r="C1847" s="166" t="s">
        <v>696</v>
      </c>
      <c r="D1847" s="140" t="str">
        <f t="shared" si="210"/>
        <v>3</v>
      </c>
      <c r="E1847" s="166" t="s">
        <v>691</v>
      </c>
      <c r="F1847" s="140">
        <f t="shared" si="209"/>
        <v>2</v>
      </c>
      <c r="G1847" s="140" t="str">
        <f t="shared" si="211"/>
        <v>3.3.2</v>
      </c>
      <c r="H1847" s="166" t="s">
        <v>1699</v>
      </c>
      <c r="I1847" s="166" t="s">
        <v>44</v>
      </c>
      <c r="J1847" s="166" t="s">
        <v>353</v>
      </c>
      <c r="K1847" s="166" t="s">
        <v>712</v>
      </c>
      <c r="L1847" s="167">
        <f>1480/7</f>
        <v>211.42857142857142</v>
      </c>
      <c r="M1847" s="166"/>
      <c r="N1847" s="166"/>
      <c r="O1847" s="164">
        <f t="shared" si="206"/>
        <v>0</v>
      </c>
      <c r="P1847" s="166">
        <f>2*25*9</f>
        <v>450</v>
      </c>
      <c r="Q1847" s="166">
        <f>5*4</f>
        <v>20</v>
      </c>
      <c r="R1847" s="164">
        <f>$L1847*'Pivot Objective'!$C$9*P1847*Q1847</f>
        <v>2174815.573148571</v>
      </c>
      <c r="S1847" s="166">
        <v>60000</v>
      </c>
      <c r="T1847" s="166">
        <v>1</v>
      </c>
      <c r="U1847" s="164">
        <f>($L1847*'Pivot Objective'!$C$9^2)*S1847*T1847</f>
        <v>16570950.670904323</v>
      </c>
      <c r="V1847" s="166">
        <v>60000</v>
      </c>
      <c r="W1847" s="166">
        <v>1</v>
      </c>
      <c r="X1847" s="164">
        <f>($L1847*'Pivot Objective'!$C$9^3)*V1847*W1847</f>
        <v>18939289.119122852</v>
      </c>
      <c r="Y1847" s="166">
        <v>60000</v>
      </c>
      <c r="Z1847" s="166">
        <v>1</v>
      </c>
      <c r="AA1847" s="164">
        <f>($L1847*'Pivot Objective'!$C$9^4)*Y1847*Z1847</f>
        <v>21646113.096428052</v>
      </c>
      <c r="AB1847" s="166">
        <v>0</v>
      </c>
      <c r="AC1847" s="166">
        <v>0</v>
      </c>
      <c r="AD1847" s="164">
        <f>($L1847*'Pivot Objective'!$C$9^5)*AB1847*AC1847</f>
        <v>0</v>
      </c>
      <c r="AE1847" s="166">
        <v>0</v>
      </c>
      <c r="AF1847" s="166">
        <v>0</v>
      </c>
      <c r="AG1847" s="164">
        <f>($L1847*'Pivot Objective'!$C$9^6)*AE1847*AF1847</f>
        <v>0</v>
      </c>
      <c r="AH1847" s="166">
        <v>0</v>
      </c>
      <c r="AI1847" s="166">
        <v>0</v>
      </c>
      <c r="AJ1847" s="164">
        <f>($L1847*'Pivot Objective'!$C$9^7)*AH1847*AI1847</f>
        <v>0</v>
      </c>
      <c r="AK1847" s="185">
        <f t="shared" si="207"/>
        <v>59331168.459603801</v>
      </c>
      <c r="AL1847" s="186">
        <f t="shared" si="208"/>
        <v>57603.076174372625</v>
      </c>
    </row>
    <row r="1848" spans="1:38" customFormat="1" ht="43.2" x14ac:dyDescent="0.3">
      <c r="A1848" s="140" t="s">
        <v>1486</v>
      </c>
      <c r="B1848" s="140">
        <v>3</v>
      </c>
      <c r="C1848" s="166" t="s">
        <v>696</v>
      </c>
      <c r="D1848" s="140" t="str">
        <f t="shared" si="210"/>
        <v>3</v>
      </c>
      <c r="E1848" s="166" t="s">
        <v>691</v>
      </c>
      <c r="F1848" s="140">
        <f t="shared" si="209"/>
        <v>2</v>
      </c>
      <c r="G1848" s="140" t="str">
        <f t="shared" si="211"/>
        <v>3.3.2</v>
      </c>
      <c r="H1848" s="166" t="s">
        <v>1699</v>
      </c>
      <c r="I1848" s="166" t="s">
        <v>44</v>
      </c>
      <c r="J1848" s="166" t="s">
        <v>353</v>
      </c>
      <c r="K1848" s="166" t="s">
        <v>1299</v>
      </c>
      <c r="L1848" s="167">
        <f>1480/7</f>
        <v>211.42857142857142</v>
      </c>
      <c r="M1848" s="166"/>
      <c r="N1848" s="166"/>
      <c r="O1848" s="164">
        <f t="shared" si="206"/>
        <v>0</v>
      </c>
      <c r="P1848" s="166">
        <f>2*135*9</f>
        <v>2430</v>
      </c>
      <c r="Q1848" s="166">
        <v>4</v>
      </c>
      <c r="R1848" s="164">
        <f>$L1848*'Pivot Objective'!$C$9*P1848*Q1848</f>
        <v>2348800.8190004569</v>
      </c>
      <c r="S1848" s="166"/>
      <c r="T1848" s="166"/>
      <c r="U1848" s="164">
        <f>($L1848*'Pivot Objective'!$C$9^2)*S1848*T1848</f>
        <v>0</v>
      </c>
      <c r="V1848" s="166"/>
      <c r="W1848" s="166"/>
      <c r="X1848" s="164">
        <f>($L1848*'Pivot Objective'!$C$9^3)*V1848*W1848</f>
        <v>0</v>
      </c>
      <c r="Y1848" s="166"/>
      <c r="Z1848" s="166"/>
      <c r="AA1848" s="164">
        <f>($L1848*'Pivot Objective'!$C$9^4)*Y1848*Z1848</f>
        <v>0</v>
      </c>
      <c r="AB1848" s="166"/>
      <c r="AC1848" s="166"/>
      <c r="AD1848" s="164">
        <f>($L1848*'Pivot Objective'!$C$9^5)*AB1848*AC1848</f>
        <v>0</v>
      </c>
      <c r="AE1848" s="166"/>
      <c r="AF1848" s="166"/>
      <c r="AG1848" s="164">
        <f>($L1848*'Pivot Objective'!$C$9^6)*AE1848*AF1848</f>
        <v>0</v>
      </c>
      <c r="AH1848" s="166"/>
      <c r="AI1848" s="166"/>
      <c r="AJ1848" s="164">
        <f>($L1848*'Pivot Objective'!$C$9^7)*AH1848*AI1848</f>
        <v>0</v>
      </c>
      <c r="AK1848" s="185">
        <f t="shared" si="207"/>
        <v>2348800.8190004569</v>
      </c>
      <c r="AL1848" s="186">
        <f t="shared" si="208"/>
        <v>2280.3891446606376</v>
      </c>
    </row>
    <row r="1849" spans="1:38" customFormat="1" ht="43.2" x14ac:dyDescent="0.3">
      <c r="A1849" s="140" t="s">
        <v>1486</v>
      </c>
      <c r="B1849" s="140">
        <v>3</v>
      </c>
      <c r="C1849" s="166" t="s">
        <v>696</v>
      </c>
      <c r="D1849" s="140" t="str">
        <f t="shared" si="210"/>
        <v>3</v>
      </c>
      <c r="E1849" s="166" t="s">
        <v>691</v>
      </c>
      <c r="F1849" s="140">
        <f t="shared" si="209"/>
        <v>2</v>
      </c>
      <c r="G1849" s="140" t="str">
        <f t="shared" si="211"/>
        <v>3.3.2</v>
      </c>
      <c r="H1849" s="166" t="s">
        <v>1699</v>
      </c>
      <c r="I1849" s="166" t="s">
        <v>45</v>
      </c>
      <c r="J1849" s="166" t="s">
        <v>354</v>
      </c>
      <c r="K1849" s="166" t="s">
        <v>718</v>
      </c>
      <c r="L1849" s="167">
        <v>0</v>
      </c>
      <c r="M1849" s="166">
        <v>0</v>
      </c>
      <c r="N1849" s="166">
        <v>0</v>
      </c>
      <c r="O1849" s="164">
        <f t="shared" si="206"/>
        <v>0</v>
      </c>
      <c r="P1849" s="166">
        <v>0</v>
      </c>
      <c r="Q1849" s="166">
        <v>0</v>
      </c>
      <c r="R1849" s="164">
        <f>$L1849*'Pivot Objective'!$C$9*P1849*Q1849</f>
        <v>0</v>
      </c>
      <c r="S1849" s="166">
        <v>0</v>
      </c>
      <c r="T1849" s="166">
        <v>0</v>
      </c>
      <c r="U1849" s="164">
        <f>($L1849*'Pivot Objective'!$C$9^2)*S1849*T1849</f>
        <v>0</v>
      </c>
      <c r="V1849" s="166">
        <v>0</v>
      </c>
      <c r="W1849" s="166">
        <v>0</v>
      </c>
      <c r="X1849" s="164">
        <f>($L1849*'Pivot Objective'!$C$9^3)*V1849*W1849</f>
        <v>0</v>
      </c>
      <c r="Y1849" s="166">
        <v>0</v>
      </c>
      <c r="Z1849" s="166">
        <v>0</v>
      </c>
      <c r="AA1849" s="164">
        <f>($L1849*'Pivot Objective'!$C$9^4)*Y1849*Z1849</f>
        <v>0</v>
      </c>
      <c r="AB1849" s="166">
        <v>0</v>
      </c>
      <c r="AC1849" s="166">
        <v>0</v>
      </c>
      <c r="AD1849" s="164">
        <f>($L1849*'Pivot Objective'!$C$9^5)*AB1849*AC1849</f>
        <v>0</v>
      </c>
      <c r="AE1849" s="166">
        <v>0</v>
      </c>
      <c r="AF1849" s="166">
        <v>0</v>
      </c>
      <c r="AG1849" s="164">
        <f>($L1849*'Pivot Objective'!$C$9^6)*AE1849*AF1849</f>
        <v>0</v>
      </c>
      <c r="AH1849" s="166">
        <v>0</v>
      </c>
      <c r="AI1849" s="166">
        <v>0</v>
      </c>
      <c r="AJ1849" s="164">
        <f>($L1849*'Pivot Objective'!$C$9^7)*AH1849*AI1849</f>
        <v>0</v>
      </c>
      <c r="AK1849" s="185">
        <f t="shared" si="207"/>
        <v>0</v>
      </c>
      <c r="AL1849" s="186">
        <f t="shared" si="208"/>
        <v>0</v>
      </c>
    </row>
    <row r="1850" spans="1:38" customFormat="1" ht="43.2" x14ac:dyDescent="0.3">
      <c r="A1850" s="140" t="s">
        <v>1486</v>
      </c>
      <c r="B1850" s="140">
        <v>3</v>
      </c>
      <c r="C1850" s="166" t="s">
        <v>696</v>
      </c>
      <c r="D1850" s="140" t="str">
        <f t="shared" si="210"/>
        <v>3</v>
      </c>
      <c r="E1850" s="166" t="s">
        <v>691</v>
      </c>
      <c r="F1850" s="140">
        <f t="shared" si="209"/>
        <v>2</v>
      </c>
      <c r="G1850" s="140" t="str">
        <f t="shared" si="211"/>
        <v>3.3.2</v>
      </c>
      <c r="H1850" s="166" t="s">
        <v>1699</v>
      </c>
      <c r="I1850" s="166" t="s">
        <v>45</v>
      </c>
      <c r="J1850" s="166" t="s">
        <v>355</v>
      </c>
      <c r="K1850" s="166" t="s">
        <v>718</v>
      </c>
      <c r="L1850" s="167">
        <v>0</v>
      </c>
      <c r="M1850" s="166">
        <v>0</v>
      </c>
      <c r="N1850" s="166">
        <v>0</v>
      </c>
      <c r="O1850" s="164">
        <f t="shared" si="206"/>
        <v>0</v>
      </c>
      <c r="P1850" s="166">
        <v>0</v>
      </c>
      <c r="Q1850" s="166">
        <v>0</v>
      </c>
      <c r="R1850" s="164">
        <f>$L1850*'Pivot Objective'!$C$9*P1850*Q1850</f>
        <v>0</v>
      </c>
      <c r="S1850" s="166">
        <v>0</v>
      </c>
      <c r="T1850" s="166">
        <v>0</v>
      </c>
      <c r="U1850" s="164">
        <f>($L1850*'Pivot Objective'!$C$9^2)*S1850*T1850</f>
        <v>0</v>
      </c>
      <c r="V1850" s="166">
        <v>0</v>
      </c>
      <c r="W1850" s="166">
        <v>0</v>
      </c>
      <c r="X1850" s="164">
        <f>($L1850*'Pivot Objective'!$C$9^3)*V1850*W1850</f>
        <v>0</v>
      </c>
      <c r="Y1850" s="166">
        <v>0</v>
      </c>
      <c r="Z1850" s="166">
        <v>0</v>
      </c>
      <c r="AA1850" s="164">
        <f>($L1850*'Pivot Objective'!$C$9^4)*Y1850*Z1850</f>
        <v>0</v>
      </c>
      <c r="AB1850" s="166">
        <v>0</v>
      </c>
      <c r="AC1850" s="166">
        <v>0</v>
      </c>
      <c r="AD1850" s="164">
        <f>($L1850*'Pivot Objective'!$C$9^5)*AB1850*AC1850</f>
        <v>0</v>
      </c>
      <c r="AE1850" s="166">
        <v>0</v>
      </c>
      <c r="AF1850" s="166">
        <v>0</v>
      </c>
      <c r="AG1850" s="164">
        <f>($L1850*'Pivot Objective'!$C$9^6)*AE1850*AF1850</f>
        <v>0</v>
      </c>
      <c r="AH1850" s="166">
        <v>0</v>
      </c>
      <c r="AI1850" s="166">
        <v>0</v>
      </c>
      <c r="AJ1850" s="164">
        <f>($L1850*'Pivot Objective'!$C$9^7)*AH1850*AI1850</f>
        <v>0</v>
      </c>
      <c r="AK1850" s="185">
        <f t="shared" si="207"/>
        <v>0</v>
      </c>
      <c r="AL1850" s="186">
        <f t="shared" si="208"/>
        <v>0</v>
      </c>
    </row>
    <row r="1851" spans="1:38" customFormat="1" ht="43.2" x14ac:dyDescent="0.3">
      <c r="A1851" s="140" t="s">
        <v>1486</v>
      </c>
      <c r="B1851" s="140">
        <v>3</v>
      </c>
      <c r="C1851" s="166" t="s">
        <v>696</v>
      </c>
      <c r="D1851" s="140" t="str">
        <f t="shared" si="210"/>
        <v>3</v>
      </c>
      <c r="E1851" s="166" t="s">
        <v>691</v>
      </c>
      <c r="F1851" s="140">
        <f t="shared" si="209"/>
        <v>2</v>
      </c>
      <c r="G1851" s="140" t="str">
        <f t="shared" si="211"/>
        <v>3.3.2</v>
      </c>
      <c r="H1851" s="166" t="s">
        <v>1699</v>
      </c>
      <c r="I1851" s="166" t="s">
        <v>45</v>
      </c>
      <c r="J1851" s="166" t="s">
        <v>356</v>
      </c>
      <c r="K1851" s="166" t="s">
        <v>707</v>
      </c>
      <c r="L1851" s="167">
        <v>391991.03749999998</v>
      </c>
      <c r="M1851" s="166"/>
      <c r="N1851" s="166"/>
      <c r="O1851" s="164">
        <f t="shared" si="206"/>
        <v>0</v>
      </c>
      <c r="P1851" s="166">
        <v>2</v>
      </c>
      <c r="Q1851" s="166">
        <v>2</v>
      </c>
      <c r="R1851" s="164">
        <f>$L1851*'Pivot Objective'!$C$9*P1851*Q1851</f>
        <v>1792059.3063746723</v>
      </c>
      <c r="S1851" s="166">
        <v>0</v>
      </c>
      <c r="T1851" s="166">
        <v>0</v>
      </c>
      <c r="U1851" s="164">
        <f>($L1851*'Pivot Objective'!$C$9^2)*S1851*T1851</f>
        <v>0</v>
      </c>
      <c r="V1851" s="166">
        <v>0</v>
      </c>
      <c r="W1851" s="166">
        <v>0</v>
      </c>
      <c r="X1851" s="164">
        <f>($L1851*'Pivot Objective'!$C$9^3)*V1851*W1851</f>
        <v>0</v>
      </c>
      <c r="Y1851" s="166">
        <v>0</v>
      </c>
      <c r="Z1851" s="166">
        <v>0</v>
      </c>
      <c r="AA1851" s="164">
        <f>($L1851*'Pivot Objective'!$C$9^4)*Y1851*Z1851</f>
        <v>0</v>
      </c>
      <c r="AB1851" s="166">
        <v>2</v>
      </c>
      <c r="AC1851" s="166">
        <v>2</v>
      </c>
      <c r="AD1851" s="164">
        <f>($L1851*'Pivot Objective'!$C$9^5)*AB1851*AC1851</f>
        <v>3057858.4341109009</v>
      </c>
      <c r="AE1851" s="166">
        <v>0</v>
      </c>
      <c r="AF1851" s="166">
        <v>0</v>
      </c>
      <c r="AG1851" s="164">
        <f>($L1851*'Pivot Objective'!$C$9^6)*AE1851*AF1851</f>
        <v>0</v>
      </c>
      <c r="AH1851" s="166">
        <v>0</v>
      </c>
      <c r="AI1851" s="166">
        <v>0</v>
      </c>
      <c r="AJ1851" s="164">
        <f>($L1851*'Pivot Objective'!$C$9^7)*AH1851*AI1851</f>
        <v>0</v>
      </c>
      <c r="AK1851" s="185">
        <f t="shared" si="207"/>
        <v>4849917.7404855732</v>
      </c>
      <c r="AL1851" s="186">
        <f t="shared" si="208"/>
        <v>4708.6580004714306</v>
      </c>
    </row>
    <row r="1852" spans="1:38" customFormat="1" ht="43.2" x14ac:dyDescent="0.3">
      <c r="A1852" s="140" t="s">
        <v>1486</v>
      </c>
      <c r="B1852" s="140">
        <v>3</v>
      </c>
      <c r="C1852" s="166" t="s">
        <v>696</v>
      </c>
      <c r="D1852" s="140" t="str">
        <f t="shared" si="210"/>
        <v>3</v>
      </c>
      <c r="E1852" s="166" t="s">
        <v>691</v>
      </c>
      <c r="F1852" s="140">
        <f t="shared" si="209"/>
        <v>2</v>
      </c>
      <c r="G1852" s="140" t="str">
        <f t="shared" si="211"/>
        <v>3.3.2</v>
      </c>
      <c r="H1852" s="166" t="s">
        <v>1699</v>
      </c>
      <c r="I1852" s="166" t="s">
        <v>45</v>
      </c>
      <c r="J1852" s="166" t="s">
        <v>356</v>
      </c>
      <c r="K1852" s="166" t="s">
        <v>708</v>
      </c>
      <c r="L1852" s="167">
        <f>9080*1022</f>
        <v>9279760</v>
      </c>
      <c r="M1852" s="166"/>
      <c r="N1852" s="166"/>
      <c r="O1852" s="164">
        <f t="shared" si="206"/>
        <v>0</v>
      </c>
      <c r="P1852" s="166">
        <v>1</v>
      </c>
      <c r="Q1852" s="166">
        <v>25</v>
      </c>
      <c r="R1852" s="164">
        <f>$L1852*'Pivot Objective'!$C$9*P1852*Q1852</f>
        <v>265150836.97741795</v>
      </c>
      <c r="S1852" s="166"/>
      <c r="T1852" s="166"/>
      <c r="U1852" s="164">
        <f>($L1852*'Pivot Objective'!$C$9^2)*S1852*T1852</f>
        <v>0</v>
      </c>
      <c r="V1852" s="166">
        <v>0</v>
      </c>
      <c r="W1852" s="166">
        <v>0</v>
      </c>
      <c r="X1852" s="164">
        <f>($L1852*'Pivot Objective'!$C$9^3)*V1852*W1852</f>
        <v>0</v>
      </c>
      <c r="Y1852" s="166">
        <v>1</v>
      </c>
      <c r="Z1852" s="166">
        <v>25</v>
      </c>
      <c r="AA1852" s="164">
        <f>($L1852*'Pivot Objective'!$C$9^4)*Y1852*Z1852</f>
        <v>395860118.60190439</v>
      </c>
      <c r="AB1852" s="166">
        <v>1</v>
      </c>
      <c r="AC1852" s="166">
        <v>25</v>
      </c>
      <c r="AD1852" s="164">
        <f>($L1852*'Pivot Objective'!$C$9^5)*AB1852*AC1852</f>
        <v>452436881.01103866</v>
      </c>
      <c r="AE1852" s="166">
        <v>0</v>
      </c>
      <c r="AF1852" s="166">
        <v>0</v>
      </c>
      <c r="AG1852" s="164">
        <f>($L1852*'Pivot Objective'!$C$9^6)*AE1852*AF1852</f>
        <v>0</v>
      </c>
      <c r="AH1852" s="166">
        <v>1</v>
      </c>
      <c r="AI1852" s="166">
        <v>25</v>
      </c>
      <c r="AJ1852" s="164">
        <f>($L1852*'Pivot Objective'!$C$9^7)*AH1852*AI1852</f>
        <v>591004106.51488876</v>
      </c>
      <c r="AK1852" s="185">
        <f t="shared" si="207"/>
        <v>1704451943.1052499</v>
      </c>
      <c r="AL1852" s="186">
        <f t="shared" si="208"/>
        <v>1654807.7117526699</v>
      </c>
    </row>
    <row r="1853" spans="1:38" customFormat="1" ht="43.2" x14ac:dyDescent="0.3">
      <c r="A1853" s="140" t="s">
        <v>1486</v>
      </c>
      <c r="B1853" s="140">
        <v>3</v>
      </c>
      <c r="C1853" s="166" t="s">
        <v>696</v>
      </c>
      <c r="D1853" s="140" t="str">
        <f t="shared" si="210"/>
        <v>3</v>
      </c>
      <c r="E1853" s="166" t="s">
        <v>691</v>
      </c>
      <c r="F1853" s="140">
        <f t="shared" si="209"/>
        <v>2</v>
      </c>
      <c r="G1853" s="140" t="str">
        <f t="shared" si="211"/>
        <v>3.3.2</v>
      </c>
      <c r="H1853" s="166" t="s">
        <v>1699</v>
      </c>
      <c r="I1853" s="166" t="s">
        <v>45</v>
      </c>
      <c r="J1853" s="166" t="s">
        <v>357</v>
      </c>
      <c r="K1853" s="166" t="s">
        <v>709</v>
      </c>
      <c r="L1853" s="167">
        <v>35000</v>
      </c>
      <c r="M1853" s="166"/>
      <c r="N1853" s="166"/>
      <c r="O1853" s="164">
        <f t="shared" si="206"/>
        <v>0</v>
      </c>
      <c r="P1853" s="166">
        <v>100</v>
      </c>
      <c r="Q1853" s="166">
        <v>5</v>
      </c>
      <c r="R1853" s="164">
        <f>$L1853*'Pivot Objective'!$C$9*P1853*Q1853</f>
        <v>20001119.197499998</v>
      </c>
      <c r="S1853" s="166">
        <v>0</v>
      </c>
      <c r="T1853" s="166">
        <v>0</v>
      </c>
      <c r="U1853" s="164">
        <f>($L1853*'Pivot Objective'!$C$9^2)*S1853*T1853</f>
        <v>0</v>
      </c>
      <c r="V1853" s="166">
        <v>0</v>
      </c>
      <c r="W1853" s="166">
        <v>0</v>
      </c>
      <c r="X1853" s="164">
        <f>($L1853*'Pivot Objective'!$C$9^3)*V1853*W1853</f>
        <v>0</v>
      </c>
      <c r="Y1853" s="166">
        <v>0</v>
      </c>
      <c r="Z1853" s="166">
        <v>0</v>
      </c>
      <c r="AA1853" s="164">
        <f>($L1853*'Pivot Objective'!$C$9^4)*Y1853*Z1853</f>
        <v>0</v>
      </c>
      <c r="AB1853" s="166">
        <v>100</v>
      </c>
      <c r="AC1853" s="166">
        <v>5</v>
      </c>
      <c r="AD1853" s="164">
        <f>($L1853*'Pivot Objective'!$C$9^5)*AB1853*AC1853</f>
        <v>34128664.610693276</v>
      </c>
      <c r="AE1853" s="166">
        <v>0</v>
      </c>
      <c r="AF1853" s="166">
        <v>0</v>
      </c>
      <c r="AG1853" s="164">
        <f>($L1853*'Pivot Objective'!$C$9^6)*AE1853*AF1853</f>
        <v>0</v>
      </c>
      <c r="AH1853" s="166">
        <v>0</v>
      </c>
      <c r="AI1853" s="166">
        <v>0</v>
      </c>
      <c r="AJ1853" s="164">
        <f>($L1853*'Pivot Objective'!$C$9^7)*AH1853*AI1853</f>
        <v>0</v>
      </c>
      <c r="AK1853" s="185">
        <f t="shared" si="207"/>
        <v>54129783.808193274</v>
      </c>
      <c r="AL1853" s="186">
        <f t="shared" si="208"/>
        <v>52553.188163294442</v>
      </c>
    </row>
    <row r="1854" spans="1:38" customFormat="1" ht="43.2" x14ac:dyDescent="0.3">
      <c r="A1854" s="140" t="s">
        <v>1486</v>
      </c>
      <c r="B1854" s="140">
        <v>3</v>
      </c>
      <c r="C1854" s="166" t="s">
        <v>696</v>
      </c>
      <c r="D1854" s="140" t="str">
        <f t="shared" si="210"/>
        <v>3</v>
      </c>
      <c r="E1854" s="166" t="s">
        <v>691</v>
      </c>
      <c r="F1854" s="140">
        <f t="shared" si="209"/>
        <v>2</v>
      </c>
      <c r="G1854" s="140" t="str">
        <f t="shared" si="211"/>
        <v>3.3.2</v>
      </c>
      <c r="H1854" s="166" t="s">
        <v>1699</v>
      </c>
      <c r="I1854" s="166" t="s">
        <v>45</v>
      </c>
      <c r="J1854" s="166" t="s">
        <v>357</v>
      </c>
      <c r="K1854" s="166" t="s">
        <v>716</v>
      </c>
      <c r="L1854" s="167">
        <v>39000</v>
      </c>
      <c r="M1854" s="166"/>
      <c r="N1854" s="166"/>
      <c r="O1854" s="164">
        <f t="shared" si="206"/>
        <v>0</v>
      </c>
      <c r="P1854" s="166">
        <v>58</v>
      </c>
      <c r="Q1854" s="166">
        <v>6</v>
      </c>
      <c r="R1854" s="164">
        <f>$L1854*'Pivot Objective'!$C$9*P1854*Q1854</f>
        <v>15511725.128483998</v>
      </c>
      <c r="S1854" s="166"/>
      <c r="T1854" s="166"/>
      <c r="U1854" s="164">
        <f>($L1854*'Pivot Objective'!$C$9^2)*S1854*T1854</f>
        <v>0</v>
      </c>
      <c r="V1854" s="166"/>
      <c r="W1854" s="166"/>
      <c r="X1854" s="164">
        <f>($L1854*'Pivot Objective'!$C$9^3)*V1854*W1854</f>
        <v>0</v>
      </c>
      <c r="Y1854" s="166"/>
      <c r="Z1854" s="166"/>
      <c r="AA1854" s="164">
        <f>($L1854*'Pivot Objective'!$C$9^4)*Y1854*Z1854</f>
        <v>0</v>
      </c>
      <c r="AB1854" s="166">
        <v>58</v>
      </c>
      <c r="AC1854" s="166">
        <v>6</v>
      </c>
      <c r="AD1854" s="164">
        <f>($L1854*'Pivot Objective'!$C$9^5)*AB1854*AC1854</f>
        <v>26468242.06264738</v>
      </c>
      <c r="AE1854" s="166"/>
      <c r="AF1854" s="166"/>
      <c r="AG1854" s="164">
        <f>($L1854*'Pivot Objective'!$C$9^6)*AE1854*AF1854</f>
        <v>0</v>
      </c>
      <c r="AH1854" s="166"/>
      <c r="AI1854" s="166"/>
      <c r="AJ1854" s="164">
        <f>($L1854*'Pivot Objective'!$C$9^7)*AH1854*AI1854</f>
        <v>0</v>
      </c>
      <c r="AK1854" s="185">
        <f t="shared" si="207"/>
        <v>41979967.191131376</v>
      </c>
      <c r="AL1854" s="186">
        <f t="shared" si="208"/>
        <v>40757.249700127548</v>
      </c>
    </row>
    <row r="1855" spans="1:38" customFormat="1" ht="43.2" x14ac:dyDescent="0.3">
      <c r="A1855" s="140" t="s">
        <v>1486</v>
      </c>
      <c r="B1855" s="140">
        <v>3</v>
      </c>
      <c r="C1855" s="166" t="s">
        <v>696</v>
      </c>
      <c r="D1855" s="140" t="str">
        <f t="shared" si="210"/>
        <v>3</v>
      </c>
      <c r="E1855" s="166" t="s">
        <v>691</v>
      </c>
      <c r="F1855" s="140">
        <f t="shared" si="209"/>
        <v>2</v>
      </c>
      <c r="G1855" s="140" t="str">
        <f t="shared" si="211"/>
        <v>3.3.2</v>
      </c>
      <c r="H1855" s="166" t="s">
        <v>1699</v>
      </c>
      <c r="I1855" s="166" t="s">
        <v>45</v>
      </c>
      <c r="J1855" s="166" t="s">
        <v>756</v>
      </c>
      <c r="K1855" s="166" t="s">
        <v>712</v>
      </c>
      <c r="L1855" s="167">
        <f>1480/7</f>
        <v>211.42857142857142</v>
      </c>
      <c r="M1855" s="166"/>
      <c r="N1855" s="166"/>
      <c r="O1855" s="164">
        <f t="shared" si="206"/>
        <v>0</v>
      </c>
      <c r="P1855" s="166">
        <f>2*25*29</f>
        <v>1450</v>
      </c>
      <c r="Q1855" s="166">
        <v>5</v>
      </c>
      <c r="R1855" s="164">
        <f>$L1855*'Pivot Objective'!$C$9*P1855*Q1855</f>
        <v>1751934.7672585712</v>
      </c>
      <c r="S1855" s="166">
        <v>0</v>
      </c>
      <c r="T1855" s="166">
        <v>0</v>
      </c>
      <c r="U1855" s="164">
        <f>($L1855*'Pivot Objective'!$C$9^2)*S1855*T1855</f>
        <v>0</v>
      </c>
      <c r="V1855" s="166">
        <v>0</v>
      </c>
      <c r="W1855" s="166">
        <v>0</v>
      </c>
      <c r="X1855" s="164">
        <f>($L1855*'Pivot Objective'!$C$9^3)*V1855*W1855</f>
        <v>0</v>
      </c>
      <c r="Y1855" s="166">
        <v>0</v>
      </c>
      <c r="Z1855" s="166">
        <v>0</v>
      </c>
      <c r="AA1855" s="164">
        <f>($L1855*'Pivot Objective'!$C$9^4)*Y1855*Z1855</f>
        <v>0</v>
      </c>
      <c r="AB1855" s="166">
        <f>2*25*29</f>
        <v>1450</v>
      </c>
      <c r="AC1855" s="166">
        <v>5</v>
      </c>
      <c r="AD1855" s="164">
        <f>($L1855*'Pivot Objective'!$C$9^5)*AB1855*AC1855</f>
        <v>2989392.41855297</v>
      </c>
      <c r="AE1855" s="166">
        <v>0</v>
      </c>
      <c r="AF1855" s="166">
        <v>0</v>
      </c>
      <c r="AG1855" s="164">
        <f>($L1855*'Pivot Objective'!$C$9^6)*AE1855*AF1855</f>
        <v>0</v>
      </c>
      <c r="AH1855" s="166">
        <v>0</v>
      </c>
      <c r="AI1855" s="166">
        <v>0</v>
      </c>
      <c r="AJ1855" s="164">
        <f>($L1855*'Pivot Objective'!$C$9^7)*AH1855*AI1855</f>
        <v>0</v>
      </c>
      <c r="AK1855" s="185">
        <f t="shared" si="207"/>
        <v>4741327.185811541</v>
      </c>
      <c r="AL1855" s="186">
        <f t="shared" si="208"/>
        <v>4603.2302774869331</v>
      </c>
    </row>
    <row r="1856" spans="1:38" customFormat="1" ht="43.2" x14ac:dyDescent="0.3">
      <c r="A1856" s="140" t="s">
        <v>1486</v>
      </c>
      <c r="B1856" s="140">
        <v>3</v>
      </c>
      <c r="C1856" s="166" t="s">
        <v>696</v>
      </c>
      <c r="D1856" s="140" t="str">
        <f t="shared" si="210"/>
        <v>3</v>
      </c>
      <c r="E1856" s="166" t="s">
        <v>691</v>
      </c>
      <c r="F1856" s="140">
        <f t="shared" si="209"/>
        <v>2</v>
      </c>
      <c r="G1856" s="140" t="str">
        <f t="shared" si="211"/>
        <v>3.3.2</v>
      </c>
      <c r="H1856" s="166" t="s">
        <v>1699</v>
      </c>
      <c r="I1856" s="166" t="s">
        <v>45</v>
      </c>
      <c r="J1856" s="166" t="s">
        <v>756</v>
      </c>
      <c r="K1856" s="166" t="s">
        <v>1299</v>
      </c>
      <c r="L1856" s="167">
        <f>1480/7</f>
        <v>211.42857142857142</v>
      </c>
      <c r="M1856" s="166"/>
      <c r="N1856" s="166"/>
      <c r="O1856" s="164">
        <f t="shared" si="206"/>
        <v>0</v>
      </c>
      <c r="P1856" s="166">
        <v>22500</v>
      </c>
      <c r="Q1856" s="166">
        <v>1</v>
      </c>
      <c r="R1856" s="164">
        <f>$L1856*'Pivot Objective'!$C$9*P1856*Q1856</f>
        <v>5437038.9328714283</v>
      </c>
      <c r="S1856" s="166"/>
      <c r="T1856" s="166"/>
      <c r="U1856" s="164">
        <f>($L1856*'Pivot Objective'!$C$9^2)*S1856*T1856</f>
        <v>0</v>
      </c>
      <c r="V1856" s="166"/>
      <c r="W1856" s="166"/>
      <c r="X1856" s="164">
        <f>($L1856*'Pivot Objective'!$C$9^3)*V1856*W1856</f>
        <v>0</v>
      </c>
      <c r="Y1856" s="166"/>
      <c r="Z1856" s="166"/>
      <c r="AA1856" s="164">
        <f>($L1856*'Pivot Objective'!$C$9^4)*Y1856*Z1856</f>
        <v>0</v>
      </c>
      <c r="AB1856" s="166">
        <v>22500</v>
      </c>
      <c r="AC1856" s="166">
        <v>1</v>
      </c>
      <c r="AD1856" s="164">
        <f>($L1856*'Pivot Objective'!$C$9^5)*AB1856*AC1856</f>
        <v>9277424.7472333554</v>
      </c>
      <c r="AE1856" s="166"/>
      <c r="AF1856" s="166"/>
      <c r="AG1856" s="164">
        <f>($L1856*'Pivot Objective'!$C$9^6)*AE1856*AF1856</f>
        <v>0</v>
      </c>
      <c r="AH1856" s="166"/>
      <c r="AI1856" s="166"/>
      <c r="AJ1856" s="164">
        <f>($L1856*'Pivot Objective'!$C$9^7)*AH1856*AI1856</f>
        <v>0</v>
      </c>
      <c r="AK1856" s="185">
        <f t="shared" si="207"/>
        <v>14714463.680104785</v>
      </c>
      <c r="AL1856" s="186">
        <f t="shared" si="208"/>
        <v>14285.887068062897</v>
      </c>
    </row>
    <row r="1857" spans="1:38" customFormat="1" ht="43.2" x14ac:dyDescent="0.3">
      <c r="A1857" s="140" t="s">
        <v>1486</v>
      </c>
      <c r="B1857" s="140">
        <v>3</v>
      </c>
      <c r="C1857" s="166" t="s">
        <v>696</v>
      </c>
      <c r="D1857" s="140" t="str">
        <f t="shared" si="210"/>
        <v>3</v>
      </c>
      <c r="E1857" s="166" t="s">
        <v>691</v>
      </c>
      <c r="F1857" s="140">
        <f t="shared" si="209"/>
        <v>2</v>
      </c>
      <c r="G1857" s="140" t="str">
        <f t="shared" si="211"/>
        <v>3.3.2</v>
      </c>
      <c r="H1857" s="166" t="s">
        <v>1699</v>
      </c>
      <c r="I1857" s="166" t="s">
        <v>45</v>
      </c>
      <c r="J1857" s="166" t="s">
        <v>358</v>
      </c>
      <c r="K1857" s="166" t="s">
        <v>709</v>
      </c>
      <c r="L1857" s="167">
        <v>35000</v>
      </c>
      <c r="M1857" s="166"/>
      <c r="N1857" s="166"/>
      <c r="O1857" s="164">
        <f t="shared" si="206"/>
        <v>0</v>
      </c>
      <c r="P1857" s="166">
        <v>25</v>
      </c>
      <c r="Q1857" s="166">
        <v>2</v>
      </c>
      <c r="R1857" s="164">
        <f>$L1857*'Pivot Objective'!$C$9*P1857*Q1857</f>
        <v>2000111.9197499997</v>
      </c>
      <c r="S1857" s="166">
        <v>0</v>
      </c>
      <c r="T1857" s="166">
        <v>0</v>
      </c>
      <c r="U1857" s="164">
        <f>($L1857*'Pivot Objective'!$C$9^2)*S1857*T1857</f>
        <v>0</v>
      </c>
      <c r="V1857" s="166">
        <v>0</v>
      </c>
      <c r="W1857" s="166">
        <v>0</v>
      </c>
      <c r="X1857" s="164">
        <f>($L1857*'Pivot Objective'!$C$9^3)*V1857*W1857</f>
        <v>0</v>
      </c>
      <c r="Y1857" s="166">
        <v>0</v>
      </c>
      <c r="Z1857" s="166">
        <v>0</v>
      </c>
      <c r="AA1857" s="164">
        <f>($L1857*'Pivot Objective'!$C$9^4)*Y1857*Z1857</f>
        <v>0</v>
      </c>
      <c r="AB1857" s="166">
        <v>25</v>
      </c>
      <c r="AC1857" s="166">
        <v>2</v>
      </c>
      <c r="AD1857" s="164">
        <f>($L1857*'Pivot Objective'!$C$9^5)*AB1857*AC1857</f>
        <v>3412866.4610693273</v>
      </c>
      <c r="AE1857" s="166">
        <v>0</v>
      </c>
      <c r="AF1857" s="166">
        <v>0</v>
      </c>
      <c r="AG1857" s="164">
        <f>($L1857*'Pivot Objective'!$C$9^6)*AE1857*AF1857</f>
        <v>0</v>
      </c>
      <c r="AH1857" s="166">
        <v>0</v>
      </c>
      <c r="AI1857" s="166">
        <v>0</v>
      </c>
      <c r="AJ1857" s="164">
        <f>($L1857*'Pivot Objective'!$C$9^7)*AH1857*AI1857</f>
        <v>0</v>
      </c>
      <c r="AK1857" s="185">
        <f t="shared" si="207"/>
        <v>5412978.3808193272</v>
      </c>
      <c r="AL1857" s="186">
        <f t="shared" si="208"/>
        <v>5255.3188163294435</v>
      </c>
    </row>
    <row r="1858" spans="1:38" customFormat="1" ht="43.2" x14ac:dyDescent="0.3">
      <c r="A1858" s="140" t="s">
        <v>1486</v>
      </c>
      <c r="B1858" s="140">
        <v>3</v>
      </c>
      <c r="C1858" s="166" t="s">
        <v>696</v>
      </c>
      <c r="D1858" s="140" t="str">
        <f t="shared" si="210"/>
        <v>3</v>
      </c>
      <c r="E1858" s="166" t="s">
        <v>691</v>
      </c>
      <c r="F1858" s="140">
        <f t="shared" si="209"/>
        <v>2</v>
      </c>
      <c r="G1858" s="140" t="str">
        <f t="shared" si="211"/>
        <v>3.3.2</v>
      </c>
      <c r="H1858" s="166" t="s">
        <v>1699</v>
      </c>
      <c r="I1858" s="166" t="s">
        <v>45</v>
      </c>
      <c r="J1858" s="166" t="s">
        <v>358</v>
      </c>
      <c r="K1858" s="166" t="s">
        <v>716</v>
      </c>
      <c r="L1858" s="167">
        <v>39000</v>
      </c>
      <c r="M1858" s="166"/>
      <c r="N1858" s="166"/>
      <c r="O1858" s="164">
        <f t="shared" si="206"/>
        <v>0</v>
      </c>
      <c r="P1858" s="166">
        <v>25</v>
      </c>
      <c r="Q1858" s="166">
        <v>3</v>
      </c>
      <c r="R1858" s="164">
        <f>$L1858*'Pivot Objective'!$C$9*P1858*Q1858</f>
        <v>3343044.2087249998</v>
      </c>
      <c r="S1858" s="166"/>
      <c r="T1858" s="166"/>
      <c r="U1858" s="164">
        <f>($L1858*'Pivot Objective'!$C$9^2)*S1858*T1858</f>
        <v>0</v>
      </c>
      <c r="V1858" s="166"/>
      <c r="W1858" s="166"/>
      <c r="X1858" s="164">
        <f>($L1858*'Pivot Objective'!$C$9^3)*V1858*W1858</f>
        <v>0</v>
      </c>
      <c r="Y1858" s="166"/>
      <c r="Z1858" s="166"/>
      <c r="AA1858" s="164">
        <f>($L1858*'Pivot Objective'!$C$9^4)*Y1858*Z1858</f>
        <v>0</v>
      </c>
      <c r="AB1858" s="166">
        <v>25</v>
      </c>
      <c r="AC1858" s="166">
        <v>3</v>
      </c>
      <c r="AD1858" s="164">
        <f>($L1858*'Pivot Objective'!$C$9^5)*AB1858*AC1858</f>
        <v>5704362.513501591</v>
      </c>
      <c r="AE1858" s="166"/>
      <c r="AF1858" s="166"/>
      <c r="AG1858" s="164">
        <f>($L1858*'Pivot Objective'!$C$9^6)*AE1858*AF1858</f>
        <v>0</v>
      </c>
      <c r="AH1858" s="166"/>
      <c r="AI1858" s="166"/>
      <c r="AJ1858" s="164">
        <f>($L1858*'Pivot Objective'!$C$9^7)*AH1858*AI1858</f>
        <v>0</v>
      </c>
      <c r="AK1858" s="185">
        <f t="shared" si="207"/>
        <v>9047406.7222265899</v>
      </c>
      <c r="AL1858" s="186">
        <f t="shared" si="208"/>
        <v>8783.8900215792128</v>
      </c>
    </row>
    <row r="1859" spans="1:38" customFormat="1" ht="43.2" x14ac:dyDescent="0.3">
      <c r="A1859" s="140" t="s">
        <v>1486</v>
      </c>
      <c r="B1859" s="140">
        <v>3</v>
      </c>
      <c r="C1859" s="166" t="s">
        <v>696</v>
      </c>
      <c r="D1859" s="140" t="str">
        <f t="shared" si="210"/>
        <v>3</v>
      </c>
      <c r="E1859" s="166" t="s">
        <v>691</v>
      </c>
      <c r="F1859" s="140">
        <f t="shared" si="209"/>
        <v>2</v>
      </c>
      <c r="G1859" s="140" t="str">
        <f t="shared" si="211"/>
        <v>3.3.2</v>
      </c>
      <c r="H1859" s="166" t="s">
        <v>1699</v>
      </c>
      <c r="I1859" s="166" t="s">
        <v>45</v>
      </c>
      <c r="J1859" s="166" t="s">
        <v>358</v>
      </c>
      <c r="K1859" s="166" t="s">
        <v>712</v>
      </c>
      <c r="L1859" s="167">
        <f>1480/7</f>
        <v>211.42857142857142</v>
      </c>
      <c r="M1859" s="166"/>
      <c r="N1859" s="166"/>
      <c r="O1859" s="164">
        <f t="shared" ref="O1859:O1922" si="212">$L1859*M1859*N1859</f>
        <v>0</v>
      </c>
      <c r="P1859" s="166">
        <f>2*25*9</f>
        <v>450</v>
      </c>
      <c r="Q1859" s="166">
        <v>2</v>
      </c>
      <c r="R1859" s="164">
        <f>$L1859*'Pivot Objective'!$C$9*P1859*Q1859</f>
        <v>217481.55731485711</v>
      </c>
      <c r="S1859" s="166">
        <v>0</v>
      </c>
      <c r="T1859" s="166">
        <v>0</v>
      </c>
      <c r="U1859" s="164">
        <f>($L1859*'Pivot Objective'!$C$9^2)*S1859*T1859</f>
        <v>0</v>
      </c>
      <c r="V1859" s="166">
        <v>0</v>
      </c>
      <c r="W1859" s="166">
        <v>0</v>
      </c>
      <c r="X1859" s="164">
        <f>($L1859*'Pivot Objective'!$C$9^3)*V1859*W1859</f>
        <v>0</v>
      </c>
      <c r="Y1859" s="166">
        <v>0</v>
      </c>
      <c r="Z1859" s="166">
        <v>0</v>
      </c>
      <c r="AA1859" s="164">
        <f>($L1859*'Pivot Objective'!$C$9^4)*Y1859*Z1859</f>
        <v>0</v>
      </c>
      <c r="AB1859" s="166">
        <f>2*25*9</f>
        <v>450</v>
      </c>
      <c r="AC1859" s="166">
        <v>2</v>
      </c>
      <c r="AD1859" s="164">
        <f>($L1859*'Pivot Objective'!$C$9^5)*AB1859*AC1859</f>
        <v>371096.98988933425</v>
      </c>
      <c r="AE1859" s="166">
        <v>0</v>
      </c>
      <c r="AF1859" s="166">
        <v>0</v>
      </c>
      <c r="AG1859" s="164">
        <f>($L1859*'Pivot Objective'!$C$9^6)*AE1859*AF1859</f>
        <v>0</v>
      </c>
      <c r="AH1859" s="166">
        <v>0</v>
      </c>
      <c r="AI1859" s="166">
        <v>0</v>
      </c>
      <c r="AJ1859" s="164">
        <f>($L1859*'Pivot Objective'!$C$9^7)*AH1859*AI1859</f>
        <v>0</v>
      </c>
      <c r="AK1859" s="185">
        <f t="shared" ref="AK1859:AK1922" si="213">O1859+R1859+U1859+X1859+AA1859+AD1859+AG1859+AJ1859</f>
        <v>588578.54720419133</v>
      </c>
      <c r="AL1859" s="186">
        <f t="shared" ref="AL1859:AL1922" si="214">AK1859/$AP$2</f>
        <v>571.43548272251587</v>
      </c>
    </row>
    <row r="1860" spans="1:38" customFormat="1" ht="43.2" x14ac:dyDescent="0.3">
      <c r="A1860" s="140" t="s">
        <v>1486</v>
      </c>
      <c r="B1860" s="140">
        <v>3</v>
      </c>
      <c r="C1860" s="166" t="s">
        <v>696</v>
      </c>
      <c r="D1860" s="140" t="str">
        <f t="shared" si="210"/>
        <v>3</v>
      </c>
      <c r="E1860" s="166" t="s">
        <v>691</v>
      </c>
      <c r="F1860" s="140">
        <f t="shared" si="209"/>
        <v>2</v>
      </c>
      <c r="G1860" s="140" t="str">
        <f t="shared" si="211"/>
        <v>3.3.2</v>
      </c>
      <c r="H1860" s="166" t="s">
        <v>1699</v>
      </c>
      <c r="I1860" s="166" t="s">
        <v>45</v>
      </c>
      <c r="J1860" s="166" t="s">
        <v>358</v>
      </c>
      <c r="K1860" s="166" t="s">
        <v>1299</v>
      </c>
      <c r="L1860" s="167">
        <f>1480/7</f>
        <v>211.42857142857142</v>
      </c>
      <c r="M1860" s="166"/>
      <c r="N1860" s="166"/>
      <c r="O1860" s="164">
        <f t="shared" si="212"/>
        <v>0</v>
      </c>
      <c r="P1860" s="166">
        <f>2*135*9</f>
        <v>2430</v>
      </c>
      <c r="Q1860" s="166">
        <v>1</v>
      </c>
      <c r="R1860" s="164">
        <f>$L1860*'Pivot Objective'!$C$9*P1860*Q1860</f>
        <v>587200.20475011424</v>
      </c>
      <c r="S1860" s="166"/>
      <c r="T1860" s="166"/>
      <c r="U1860" s="164">
        <f>($L1860*'Pivot Objective'!$C$9^2)*S1860*T1860</f>
        <v>0</v>
      </c>
      <c r="V1860" s="166"/>
      <c r="W1860" s="166"/>
      <c r="X1860" s="164">
        <f>($L1860*'Pivot Objective'!$C$9^3)*V1860*W1860</f>
        <v>0</v>
      </c>
      <c r="Y1860" s="166"/>
      <c r="Z1860" s="166"/>
      <c r="AA1860" s="164">
        <f>($L1860*'Pivot Objective'!$C$9^4)*Y1860*Z1860</f>
        <v>0</v>
      </c>
      <c r="AB1860" s="166">
        <f>2*135*9</f>
        <v>2430</v>
      </c>
      <c r="AC1860" s="166">
        <v>1</v>
      </c>
      <c r="AD1860" s="164">
        <f>($L1860*'Pivot Objective'!$C$9^5)*AB1860*AC1860</f>
        <v>1001961.8727012025</v>
      </c>
      <c r="AE1860" s="166"/>
      <c r="AF1860" s="166"/>
      <c r="AG1860" s="164">
        <f>($L1860*'Pivot Objective'!$C$9^6)*AE1860*AF1860</f>
        <v>0</v>
      </c>
      <c r="AH1860" s="166"/>
      <c r="AI1860" s="166"/>
      <c r="AJ1860" s="164">
        <f>($L1860*'Pivot Objective'!$C$9^7)*AH1860*AI1860</f>
        <v>0</v>
      </c>
      <c r="AK1860" s="185">
        <f t="shared" si="213"/>
        <v>1589162.0774513166</v>
      </c>
      <c r="AL1860" s="186">
        <f t="shared" si="214"/>
        <v>1542.8758033507929</v>
      </c>
    </row>
    <row r="1861" spans="1:38" customFormat="1" ht="43.2" x14ac:dyDescent="0.3">
      <c r="A1861" s="140" t="s">
        <v>1486</v>
      </c>
      <c r="B1861" s="140">
        <v>3</v>
      </c>
      <c r="C1861" s="166" t="s">
        <v>696</v>
      </c>
      <c r="D1861" s="140" t="str">
        <f t="shared" si="210"/>
        <v>3</v>
      </c>
      <c r="E1861" s="166" t="s">
        <v>691</v>
      </c>
      <c r="F1861" s="140">
        <f t="shared" si="209"/>
        <v>2</v>
      </c>
      <c r="G1861" s="140" t="str">
        <f t="shared" si="211"/>
        <v>3.3.2</v>
      </c>
      <c r="H1861" s="166" t="s">
        <v>1699</v>
      </c>
      <c r="I1861" s="166" t="s">
        <v>45</v>
      </c>
      <c r="J1861" s="166" t="s">
        <v>1387</v>
      </c>
      <c r="K1861" s="166" t="s">
        <v>716</v>
      </c>
      <c r="L1861" s="167">
        <v>39000</v>
      </c>
      <c r="M1861" s="166"/>
      <c r="N1861" s="166"/>
      <c r="O1861" s="164">
        <f t="shared" si="212"/>
        <v>0</v>
      </c>
      <c r="P1861" s="166">
        <v>58</v>
      </c>
      <c r="Q1861" s="166">
        <v>6</v>
      </c>
      <c r="R1861" s="164">
        <f>$L1861*'Pivot Objective'!$C$9*P1861*Q1861</f>
        <v>15511725.128483998</v>
      </c>
      <c r="S1861" s="166">
        <v>0</v>
      </c>
      <c r="T1861" s="166">
        <v>0</v>
      </c>
      <c r="U1861" s="164">
        <f>($L1861*'Pivot Objective'!$C$9^2)*S1861*T1861</f>
        <v>0</v>
      </c>
      <c r="V1861" s="166">
        <v>0</v>
      </c>
      <c r="W1861" s="166">
        <v>0</v>
      </c>
      <c r="X1861" s="164">
        <f>($L1861*'Pivot Objective'!$C$9^3)*V1861*W1861</f>
        <v>0</v>
      </c>
      <c r="Y1861" s="166">
        <v>0</v>
      </c>
      <c r="Z1861" s="166">
        <v>0</v>
      </c>
      <c r="AA1861" s="164">
        <f>($L1861*'Pivot Objective'!$C$9^4)*Y1861*Z1861</f>
        <v>0</v>
      </c>
      <c r="AB1861" s="166">
        <v>58</v>
      </c>
      <c r="AC1861" s="166">
        <v>6</v>
      </c>
      <c r="AD1861" s="164">
        <f>($L1861*'Pivot Objective'!$C$9^5)*AB1861*AC1861</f>
        <v>26468242.06264738</v>
      </c>
      <c r="AE1861" s="166">
        <v>0</v>
      </c>
      <c r="AF1861" s="166">
        <v>0</v>
      </c>
      <c r="AG1861" s="164">
        <f>($L1861*'Pivot Objective'!$C$9^6)*AE1861*AF1861</f>
        <v>0</v>
      </c>
      <c r="AH1861" s="166">
        <v>0</v>
      </c>
      <c r="AI1861" s="166">
        <v>0</v>
      </c>
      <c r="AJ1861" s="164">
        <f>($L1861*'Pivot Objective'!$C$9^7)*AH1861*AI1861</f>
        <v>0</v>
      </c>
      <c r="AK1861" s="185">
        <f t="shared" si="213"/>
        <v>41979967.191131376</v>
      </c>
      <c r="AL1861" s="186">
        <f t="shared" si="214"/>
        <v>40757.249700127548</v>
      </c>
    </row>
    <row r="1862" spans="1:38" customFormat="1" ht="43.2" x14ac:dyDescent="0.3">
      <c r="A1862" s="140" t="s">
        <v>1486</v>
      </c>
      <c r="B1862" s="140">
        <v>3</v>
      </c>
      <c r="C1862" s="166" t="s">
        <v>696</v>
      </c>
      <c r="D1862" s="140" t="str">
        <f t="shared" si="210"/>
        <v>3</v>
      </c>
      <c r="E1862" s="166" t="s">
        <v>691</v>
      </c>
      <c r="F1862" s="140">
        <f t="shared" si="209"/>
        <v>2</v>
      </c>
      <c r="G1862" s="140" t="str">
        <f t="shared" si="211"/>
        <v>3.3.2</v>
      </c>
      <c r="H1862" s="166" t="s">
        <v>1699</v>
      </c>
      <c r="I1862" s="166" t="s">
        <v>45</v>
      </c>
      <c r="J1862" s="166" t="s">
        <v>1387</v>
      </c>
      <c r="K1862" s="166" t="s">
        <v>709</v>
      </c>
      <c r="L1862" s="167">
        <v>35000</v>
      </c>
      <c r="M1862" s="166"/>
      <c r="N1862" s="166"/>
      <c r="O1862" s="164">
        <f t="shared" si="212"/>
        <v>0</v>
      </c>
      <c r="P1862" s="166">
        <v>100</v>
      </c>
      <c r="Q1862" s="166">
        <v>5</v>
      </c>
      <c r="R1862" s="164">
        <f>$L1862*'Pivot Objective'!$C$9*P1862*Q1862</f>
        <v>20001119.197499998</v>
      </c>
      <c r="S1862" s="166">
        <v>0</v>
      </c>
      <c r="T1862" s="166">
        <v>0</v>
      </c>
      <c r="U1862" s="164">
        <f>($L1862*'Pivot Objective'!$C$9^2)*S1862*T1862</f>
        <v>0</v>
      </c>
      <c r="V1862" s="166">
        <v>0</v>
      </c>
      <c r="W1862" s="166">
        <v>0</v>
      </c>
      <c r="X1862" s="164">
        <f>($L1862*'Pivot Objective'!$C$9^3)*V1862*W1862</f>
        <v>0</v>
      </c>
      <c r="Y1862" s="166">
        <v>0</v>
      </c>
      <c r="Z1862" s="166">
        <v>0</v>
      </c>
      <c r="AA1862" s="164">
        <f>($L1862*'Pivot Objective'!$C$9^4)*Y1862*Z1862</f>
        <v>0</v>
      </c>
      <c r="AB1862" s="166">
        <v>100</v>
      </c>
      <c r="AC1862" s="166">
        <v>5</v>
      </c>
      <c r="AD1862" s="164">
        <f>($L1862*'Pivot Objective'!$C$9^5)*AB1862*AC1862</f>
        <v>34128664.610693276</v>
      </c>
      <c r="AE1862" s="166">
        <v>0</v>
      </c>
      <c r="AF1862" s="166">
        <v>0</v>
      </c>
      <c r="AG1862" s="164">
        <f>($L1862*'Pivot Objective'!$C$9^6)*AE1862*AF1862</f>
        <v>0</v>
      </c>
      <c r="AH1862" s="166">
        <v>0</v>
      </c>
      <c r="AI1862" s="166">
        <v>0</v>
      </c>
      <c r="AJ1862" s="164">
        <f>($L1862*'Pivot Objective'!$C$9^7)*AH1862*AI1862</f>
        <v>0</v>
      </c>
      <c r="AK1862" s="185">
        <f t="shared" si="213"/>
        <v>54129783.808193274</v>
      </c>
      <c r="AL1862" s="186">
        <f t="shared" si="214"/>
        <v>52553.188163294442</v>
      </c>
    </row>
    <row r="1863" spans="1:38" customFormat="1" ht="43.2" x14ac:dyDescent="0.3">
      <c r="A1863" s="140" t="s">
        <v>1486</v>
      </c>
      <c r="B1863" s="140">
        <v>3</v>
      </c>
      <c r="C1863" s="166" t="s">
        <v>696</v>
      </c>
      <c r="D1863" s="140" t="str">
        <f t="shared" si="210"/>
        <v>3</v>
      </c>
      <c r="E1863" s="166" t="s">
        <v>691</v>
      </c>
      <c r="F1863" s="140">
        <f t="shared" si="209"/>
        <v>2</v>
      </c>
      <c r="G1863" s="140" t="str">
        <f t="shared" si="211"/>
        <v>3.3.2</v>
      </c>
      <c r="H1863" s="166" t="s">
        <v>1699</v>
      </c>
      <c r="I1863" s="166" t="s">
        <v>45</v>
      </c>
      <c r="J1863" s="166" t="s">
        <v>1387</v>
      </c>
      <c r="K1863" s="166" t="s">
        <v>712</v>
      </c>
      <c r="L1863" s="167">
        <f>1480/7</f>
        <v>211.42857142857142</v>
      </c>
      <c r="M1863" s="166"/>
      <c r="N1863" s="166"/>
      <c r="O1863" s="164">
        <f t="shared" si="212"/>
        <v>0</v>
      </c>
      <c r="P1863" s="166">
        <f>2*25*29</f>
        <v>1450</v>
      </c>
      <c r="Q1863" s="166">
        <v>5</v>
      </c>
      <c r="R1863" s="164">
        <f>$L1863*'Pivot Objective'!$C$9*P1863*Q1863</f>
        <v>1751934.7672585712</v>
      </c>
      <c r="S1863" s="166">
        <v>0</v>
      </c>
      <c r="T1863" s="166">
        <v>0</v>
      </c>
      <c r="U1863" s="164">
        <f>($L1863*'Pivot Objective'!$C$9^2)*S1863*T1863</f>
        <v>0</v>
      </c>
      <c r="V1863" s="166">
        <v>0</v>
      </c>
      <c r="W1863" s="166">
        <v>0</v>
      </c>
      <c r="X1863" s="164">
        <f>($L1863*'Pivot Objective'!$C$9^3)*V1863*W1863</f>
        <v>0</v>
      </c>
      <c r="Y1863" s="166">
        <v>0</v>
      </c>
      <c r="Z1863" s="166">
        <v>0</v>
      </c>
      <c r="AA1863" s="164">
        <f>($L1863*'Pivot Objective'!$C$9^4)*Y1863*Z1863</f>
        <v>0</v>
      </c>
      <c r="AB1863" s="166">
        <f>2*25*29</f>
        <v>1450</v>
      </c>
      <c r="AC1863" s="166">
        <v>5</v>
      </c>
      <c r="AD1863" s="164">
        <f>($L1863*'Pivot Objective'!$C$9^5)*AB1863*AC1863</f>
        <v>2989392.41855297</v>
      </c>
      <c r="AE1863" s="166">
        <v>0</v>
      </c>
      <c r="AF1863" s="166">
        <v>0</v>
      </c>
      <c r="AG1863" s="164">
        <f>($L1863*'Pivot Objective'!$C$9^6)*AE1863*AF1863</f>
        <v>0</v>
      </c>
      <c r="AH1863" s="166">
        <v>0</v>
      </c>
      <c r="AI1863" s="166">
        <v>0</v>
      </c>
      <c r="AJ1863" s="164">
        <f>($L1863*'Pivot Objective'!$C$9^7)*AH1863*AI1863</f>
        <v>0</v>
      </c>
      <c r="AK1863" s="185">
        <f t="shared" si="213"/>
        <v>4741327.185811541</v>
      </c>
      <c r="AL1863" s="186">
        <f t="shared" si="214"/>
        <v>4603.2302774869331</v>
      </c>
    </row>
    <row r="1864" spans="1:38" customFormat="1" ht="43.2" x14ac:dyDescent="0.3">
      <c r="A1864" s="140" t="s">
        <v>1486</v>
      </c>
      <c r="B1864" s="140">
        <v>3</v>
      </c>
      <c r="C1864" s="166" t="s">
        <v>696</v>
      </c>
      <c r="D1864" s="140" t="str">
        <f t="shared" si="210"/>
        <v>3</v>
      </c>
      <c r="E1864" s="166" t="s">
        <v>691</v>
      </c>
      <c r="F1864" s="140">
        <f t="shared" si="209"/>
        <v>2</v>
      </c>
      <c r="G1864" s="140" t="str">
        <f t="shared" si="211"/>
        <v>3.3.2</v>
      </c>
      <c r="H1864" s="166" t="s">
        <v>1699</v>
      </c>
      <c r="I1864" s="166" t="s">
        <v>45</v>
      </c>
      <c r="J1864" s="166" t="s">
        <v>1387</v>
      </c>
      <c r="K1864" s="166" t="s">
        <v>1299</v>
      </c>
      <c r="L1864" s="167">
        <f>1480/7</f>
        <v>211.42857142857142</v>
      </c>
      <c r="M1864" s="166"/>
      <c r="N1864" s="166"/>
      <c r="O1864" s="164">
        <f t="shared" si="212"/>
        <v>0</v>
      </c>
      <c r="P1864" s="166">
        <v>22500</v>
      </c>
      <c r="Q1864" s="166">
        <v>1</v>
      </c>
      <c r="R1864" s="164">
        <f>$L1864*'Pivot Objective'!$C$9*P1864*Q1864</f>
        <v>5437038.9328714283</v>
      </c>
      <c r="S1864" s="166"/>
      <c r="T1864" s="166"/>
      <c r="U1864" s="164">
        <f>($L1864*'Pivot Objective'!$C$9^2)*S1864*T1864</f>
        <v>0</v>
      </c>
      <c r="V1864" s="166"/>
      <c r="W1864" s="166"/>
      <c r="X1864" s="164">
        <f>($L1864*'Pivot Objective'!$C$9^3)*V1864*W1864</f>
        <v>0</v>
      </c>
      <c r="Y1864" s="166"/>
      <c r="Z1864" s="166"/>
      <c r="AA1864" s="164">
        <f>($L1864*'Pivot Objective'!$C$9^4)*Y1864*Z1864</f>
        <v>0</v>
      </c>
      <c r="AB1864" s="166">
        <v>22500</v>
      </c>
      <c r="AC1864" s="166">
        <v>1</v>
      </c>
      <c r="AD1864" s="164">
        <f>($L1864*'Pivot Objective'!$C$9^5)*AB1864*AC1864</f>
        <v>9277424.7472333554</v>
      </c>
      <c r="AE1864" s="166"/>
      <c r="AF1864" s="166"/>
      <c r="AG1864" s="164">
        <f>($L1864*'Pivot Objective'!$C$9^6)*AE1864*AF1864</f>
        <v>0</v>
      </c>
      <c r="AH1864" s="166"/>
      <c r="AI1864" s="166"/>
      <c r="AJ1864" s="164">
        <f>($L1864*'Pivot Objective'!$C$9^7)*AH1864*AI1864</f>
        <v>0</v>
      </c>
      <c r="AK1864" s="185">
        <f t="shared" si="213"/>
        <v>14714463.680104785</v>
      </c>
      <c r="AL1864" s="186">
        <f t="shared" si="214"/>
        <v>14285.887068062897</v>
      </c>
    </row>
    <row r="1865" spans="1:38" customFormat="1" ht="43.2" x14ac:dyDescent="0.3">
      <c r="A1865" s="140" t="s">
        <v>1486</v>
      </c>
      <c r="B1865" s="140">
        <v>3</v>
      </c>
      <c r="C1865" s="166" t="s">
        <v>696</v>
      </c>
      <c r="D1865" s="140" t="str">
        <f t="shared" si="210"/>
        <v>3</v>
      </c>
      <c r="E1865" s="166" t="s">
        <v>691</v>
      </c>
      <c r="F1865" s="140">
        <f t="shared" si="209"/>
        <v>2</v>
      </c>
      <c r="G1865" s="140" t="str">
        <f t="shared" si="211"/>
        <v>3.3.2</v>
      </c>
      <c r="H1865" s="166" t="s">
        <v>1699</v>
      </c>
      <c r="I1865" s="166" t="s">
        <v>45</v>
      </c>
      <c r="J1865" s="166" t="s">
        <v>360</v>
      </c>
      <c r="K1865" s="166" t="s">
        <v>709</v>
      </c>
      <c r="L1865" s="167">
        <v>35000</v>
      </c>
      <c r="M1865" s="166">
        <v>25</v>
      </c>
      <c r="N1865" s="166">
        <v>5</v>
      </c>
      <c r="O1865" s="164">
        <f t="shared" si="212"/>
        <v>4375000</v>
      </c>
      <c r="P1865" s="166">
        <v>25</v>
      </c>
      <c r="Q1865" s="166">
        <v>5</v>
      </c>
      <c r="R1865" s="164">
        <f>$L1865*'Pivot Objective'!$C$9*P1865*Q1865</f>
        <v>5000279.7993749995</v>
      </c>
      <c r="S1865" s="166">
        <v>0</v>
      </c>
      <c r="T1865" s="166">
        <v>0</v>
      </c>
      <c r="U1865" s="164">
        <f>($L1865*'Pivot Objective'!$C$9^2)*S1865*T1865</f>
        <v>0</v>
      </c>
      <c r="V1865" s="166">
        <v>0</v>
      </c>
      <c r="W1865" s="166">
        <v>0</v>
      </c>
      <c r="X1865" s="164">
        <f>($L1865*'Pivot Objective'!$C$9^3)*V1865*W1865</f>
        <v>0</v>
      </c>
      <c r="Y1865" s="166">
        <v>0</v>
      </c>
      <c r="Z1865" s="166">
        <v>0</v>
      </c>
      <c r="AA1865" s="164">
        <f>($L1865*'Pivot Objective'!$C$9^4)*Y1865*Z1865</f>
        <v>0</v>
      </c>
      <c r="AB1865" s="166">
        <v>25</v>
      </c>
      <c r="AC1865" s="166">
        <v>5</v>
      </c>
      <c r="AD1865" s="164">
        <f>($L1865*'Pivot Objective'!$C$9^5)*AB1865*AC1865</f>
        <v>8532166.152673319</v>
      </c>
      <c r="AE1865" s="166">
        <v>0</v>
      </c>
      <c r="AF1865" s="166">
        <v>0</v>
      </c>
      <c r="AG1865" s="164">
        <f>($L1865*'Pivot Objective'!$C$9^6)*AE1865*AF1865</f>
        <v>0</v>
      </c>
      <c r="AH1865" s="166">
        <v>0</v>
      </c>
      <c r="AI1865" s="166">
        <v>0</v>
      </c>
      <c r="AJ1865" s="164">
        <f>($L1865*'Pivot Objective'!$C$9^7)*AH1865*AI1865</f>
        <v>0</v>
      </c>
      <c r="AK1865" s="185">
        <f t="shared" si="213"/>
        <v>17907445.952048317</v>
      </c>
      <c r="AL1865" s="186">
        <f t="shared" si="214"/>
        <v>17385.869856357589</v>
      </c>
    </row>
    <row r="1866" spans="1:38" customFormat="1" ht="43.2" x14ac:dyDescent="0.3">
      <c r="A1866" s="140" t="s">
        <v>1486</v>
      </c>
      <c r="B1866" s="140">
        <v>3</v>
      </c>
      <c r="C1866" s="166" t="s">
        <v>696</v>
      </c>
      <c r="D1866" s="140" t="str">
        <f t="shared" si="210"/>
        <v>3</v>
      </c>
      <c r="E1866" s="166" t="s">
        <v>691</v>
      </c>
      <c r="F1866" s="140">
        <f t="shared" si="209"/>
        <v>2</v>
      </c>
      <c r="G1866" s="140" t="str">
        <f t="shared" si="211"/>
        <v>3.3.2</v>
      </c>
      <c r="H1866" s="166" t="s">
        <v>1699</v>
      </c>
      <c r="I1866" s="166" t="s">
        <v>45</v>
      </c>
      <c r="J1866" s="166" t="s">
        <v>360</v>
      </c>
      <c r="K1866" s="166" t="s">
        <v>716</v>
      </c>
      <c r="L1866" s="167">
        <v>39000</v>
      </c>
      <c r="M1866" s="166">
        <v>25</v>
      </c>
      <c r="N1866" s="166">
        <v>6</v>
      </c>
      <c r="O1866" s="164">
        <f t="shared" si="212"/>
        <v>5850000</v>
      </c>
      <c r="P1866" s="166">
        <v>25</v>
      </c>
      <c r="Q1866" s="166">
        <v>6</v>
      </c>
      <c r="R1866" s="164">
        <f>$L1866*'Pivot Objective'!$C$9*P1866*Q1866</f>
        <v>6686088.4174499996</v>
      </c>
      <c r="S1866" s="166">
        <v>0</v>
      </c>
      <c r="T1866" s="166">
        <v>0</v>
      </c>
      <c r="U1866" s="164">
        <f>($L1866*'Pivot Objective'!$C$9^2)*S1866*T1866</f>
        <v>0</v>
      </c>
      <c r="V1866" s="166">
        <v>0</v>
      </c>
      <c r="W1866" s="166">
        <v>0</v>
      </c>
      <c r="X1866" s="164">
        <f>($L1866*'Pivot Objective'!$C$9^3)*V1866*W1866</f>
        <v>0</v>
      </c>
      <c r="Y1866" s="166">
        <v>0</v>
      </c>
      <c r="Z1866" s="166">
        <v>0</v>
      </c>
      <c r="AA1866" s="164">
        <f>($L1866*'Pivot Objective'!$C$9^4)*Y1866*Z1866</f>
        <v>0</v>
      </c>
      <c r="AB1866" s="166">
        <v>25</v>
      </c>
      <c r="AC1866" s="166">
        <v>6</v>
      </c>
      <c r="AD1866" s="164">
        <f>($L1866*'Pivot Objective'!$C$9^5)*AB1866*AC1866</f>
        <v>11408725.027003182</v>
      </c>
      <c r="AE1866" s="166">
        <v>0</v>
      </c>
      <c r="AF1866" s="166">
        <v>0</v>
      </c>
      <c r="AG1866" s="164">
        <f>($L1866*'Pivot Objective'!$C$9^6)*AE1866*AF1866</f>
        <v>0</v>
      </c>
      <c r="AH1866" s="166">
        <v>0</v>
      </c>
      <c r="AI1866" s="166">
        <v>0</v>
      </c>
      <c r="AJ1866" s="164">
        <f>($L1866*'Pivot Objective'!$C$9^7)*AH1866*AI1866</f>
        <v>0</v>
      </c>
      <c r="AK1866" s="185">
        <f t="shared" si="213"/>
        <v>23944813.44445318</v>
      </c>
      <c r="AL1866" s="186">
        <f t="shared" si="214"/>
        <v>23247.391693643865</v>
      </c>
    </row>
    <row r="1867" spans="1:38" customFormat="1" ht="43.2" x14ac:dyDescent="0.3">
      <c r="A1867" s="140" t="s">
        <v>1486</v>
      </c>
      <c r="B1867" s="140">
        <v>3</v>
      </c>
      <c r="C1867" s="166" t="s">
        <v>696</v>
      </c>
      <c r="D1867" s="140" t="str">
        <f t="shared" si="210"/>
        <v>3</v>
      </c>
      <c r="E1867" s="166" t="s">
        <v>691</v>
      </c>
      <c r="F1867" s="140">
        <f t="shared" si="209"/>
        <v>2</v>
      </c>
      <c r="G1867" s="140" t="str">
        <f t="shared" si="211"/>
        <v>3.3.2</v>
      </c>
      <c r="H1867" s="166" t="s">
        <v>1699</v>
      </c>
      <c r="I1867" s="166" t="s">
        <v>45</v>
      </c>
      <c r="J1867" s="166" t="s">
        <v>360</v>
      </c>
      <c r="K1867" s="166" t="s">
        <v>712</v>
      </c>
      <c r="L1867" s="167">
        <f>1480/7</f>
        <v>211.42857142857142</v>
      </c>
      <c r="M1867" s="166">
        <f>2*25*9</f>
        <v>450</v>
      </c>
      <c r="N1867" s="166">
        <v>5</v>
      </c>
      <c r="O1867" s="164">
        <f t="shared" si="212"/>
        <v>475714.28571428568</v>
      </c>
      <c r="P1867" s="166">
        <f>2*25*9</f>
        <v>450</v>
      </c>
      <c r="Q1867" s="166">
        <v>5</v>
      </c>
      <c r="R1867" s="164">
        <f>$L1867*'Pivot Objective'!$C$9*P1867*Q1867</f>
        <v>543703.89328714274</v>
      </c>
      <c r="S1867" s="166">
        <v>0</v>
      </c>
      <c r="T1867" s="166">
        <v>0</v>
      </c>
      <c r="U1867" s="164">
        <f>($L1867*'Pivot Objective'!$C$9^2)*S1867*T1867</f>
        <v>0</v>
      </c>
      <c r="V1867" s="166">
        <v>0</v>
      </c>
      <c r="W1867" s="166">
        <v>0</v>
      </c>
      <c r="X1867" s="164">
        <f>($L1867*'Pivot Objective'!$C$9^3)*V1867*W1867</f>
        <v>0</v>
      </c>
      <c r="Y1867" s="166">
        <v>0</v>
      </c>
      <c r="Z1867" s="166">
        <v>0</v>
      </c>
      <c r="AA1867" s="164">
        <f>($L1867*'Pivot Objective'!$C$9^4)*Y1867*Z1867</f>
        <v>0</v>
      </c>
      <c r="AB1867" s="166">
        <f>2*25*9</f>
        <v>450</v>
      </c>
      <c r="AC1867" s="166">
        <v>5</v>
      </c>
      <c r="AD1867" s="164">
        <f>($L1867*'Pivot Objective'!$C$9^5)*AB1867*AC1867</f>
        <v>927742.47472333559</v>
      </c>
      <c r="AE1867" s="166">
        <v>0</v>
      </c>
      <c r="AF1867" s="166">
        <v>0</v>
      </c>
      <c r="AG1867" s="164">
        <f>($L1867*'Pivot Objective'!$C$9^6)*AE1867*AF1867</f>
        <v>0</v>
      </c>
      <c r="AH1867" s="166">
        <v>0</v>
      </c>
      <c r="AI1867" s="166">
        <v>0</v>
      </c>
      <c r="AJ1867" s="164">
        <f>($L1867*'Pivot Objective'!$C$9^7)*AH1867*AI1867</f>
        <v>0</v>
      </c>
      <c r="AK1867" s="185">
        <f t="shared" si="213"/>
        <v>1947160.653724764</v>
      </c>
      <c r="AL1867" s="186">
        <f t="shared" si="214"/>
        <v>1890.4472366259845</v>
      </c>
    </row>
    <row r="1868" spans="1:38" customFormat="1" ht="43.2" x14ac:dyDescent="0.3">
      <c r="A1868" s="140" t="s">
        <v>1486</v>
      </c>
      <c r="B1868" s="140">
        <v>3</v>
      </c>
      <c r="C1868" s="166" t="s">
        <v>696</v>
      </c>
      <c r="D1868" s="140" t="str">
        <f t="shared" si="210"/>
        <v>3</v>
      </c>
      <c r="E1868" s="166" t="s">
        <v>691</v>
      </c>
      <c r="F1868" s="140">
        <f t="shared" si="209"/>
        <v>2</v>
      </c>
      <c r="G1868" s="140" t="str">
        <f t="shared" si="211"/>
        <v>3.3.2</v>
      </c>
      <c r="H1868" s="166" t="s">
        <v>1699</v>
      </c>
      <c r="I1868" s="166" t="s">
        <v>45</v>
      </c>
      <c r="J1868" s="166" t="s">
        <v>360</v>
      </c>
      <c r="K1868" s="166" t="s">
        <v>1299</v>
      </c>
      <c r="L1868" s="167">
        <f>1480/7</f>
        <v>211.42857142857142</v>
      </c>
      <c r="M1868" s="166">
        <f>2*135*9</f>
        <v>2430</v>
      </c>
      <c r="N1868" s="166">
        <v>1</v>
      </c>
      <c r="O1868" s="164">
        <f t="shared" si="212"/>
        <v>513771.42857142852</v>
      </c>
      <c r="P1868" s="166">
        <f>2*135*9</f>
        <v>2430</v>
      </c>
      <c r="Q1868" s="166">
        <v>1</v>
      </c>
      <c r="R1868" s="164">
        <f>$L1868*'Pivot Objective'!$C$9*P1868*Q1868</f>
        <v>587200.20475011424</v>
      </c>
      <c r="S1868" s="166"/>
      <c r="T1868" s="166"/>
      <c r="U1868" s="164">
        <f>($L1868*'Pivot Objective'!$C$9^2)*S1868*T1868</f>
        <v>0</v>
      </c>
      <c r="V1868" s="166"/>
      <c r="W1868" s="166"/>
      <c r="X1868" s="164">
        <f>($L1868*'Pivot Objective'!$C$9^3)*V1868*W1868</f>
        <v>0</v>
      </c>
      <c r="Y1868" s="166"/>
      <c r="Z1868" s="166"/>
      <c r="AA1868" s="164">
        <f>($L1868*'Pivot Objective'!$C$9^4)*Y1868*Z1868</f>
        <v>0</v>
      </c>
      <c r="AB1868" s="166">
        <f>2*135*9</f>
        <v>2430</v>
      </c>
      <c r="AC1868" s="166">
        <v>1</v>
      </c>
      <c r="AD1868" s="164">
        <f>($L1868*'Pivot Objective'!$C$9^5)*AB1868*AC1868</f>
        <v>1001961.8727012025</v>
      </c>
      <c r="AE1868" s="166"/>
      <c r="AF1868" s="166"/>
      <c r="AG1868" s="164">
        <f>($L1868*'Pivot Objective'!$C$9^6)*AE1868*AF1868</f>
        <v>0</v>
      </c>
      <c r="AH1868" s="166"/>
      <c r="AI1868" s="166"/>
      <c r="AJ1868" s="164">
        <f>($L1868*'Pivot Objective'!$C$9^7)*AH1868*AI1868</f>
        <v>0</v>
      </c>
      <c r="AK1868" s="185">
        <f t="shared" si="213"/>
        <v>2102933.5060227453</v>
      </c>
      <c r="AL1868" s="186">
        <f t="shared" si="214"/>
        <v>2041.6830155560633</v>
      </c>
    </row>
    <row r="1869" spans="1:38" customFormat="1" ht="43.2" x14ac:dyDescent="0.3">
      <c r="A1869" s="140" t="s">
        <v>1486</v>
      </c>
      <c r="B1869" s="140">
        <v>3</v>
      </c>
      <c r="C1869" s="166" t="s">
        <v>696</v>
      </c>
      <c r="D1869" s="140" t="str">
        <f t="shared" si="210"/>
        <v>3</v>
      </c>
      <c r="E1869" s="166" t="s">
        <v>691</v>
      </c>
      <c r="F1869" s="140">
        <f t="shared" si="209"/>
        <v>2</v>
      </c>
      <c r="G1869" s="140" t="str">
        <f t="shared" si="211"/>
        <v>3.3.2</v>
      </c>
      <c r="H1869" s="166" t="s">
        <v>1699</v>
      </c>
      <c r="I1869" s="166" t="s">
        <v>45</v>
      </c>
      <c r="J1869" s="166" t="s">
        <v>361</v>
      </c>
      <c r="K1869" s="166" t="s">
        <v>716</v>
      </c>
      <c r="L1869" s="167">
        <v>39000</v>
      </c>
      <c r="M1869" s="166">
        <v>100</v>
      </c>
      <c r="N1869" s="166">
        <v>5</v>
      </c>
      <c r="O1869" s="164">
        <f t="shared" si="212"/>
        <v>19500000</v>
      </c>
      <c r="P1869" s="166">
        <v>100</v>
      </c>
      <c r="Q1869" s="166">
        <v>5</v>
      </c>
      <c r="R1869" s="164">
        <f>$L1869*'Pivot Objective'!$C$9*P1869*Q1869</f>
        <v>22286961.391499996</v>
      </c>
      <c r="S1869" s="166">
        <v>0</v>
      </c>
      <c r="T1869" s="166">
        <v>0</v>
      </c>
      <c r="U1869" s="164">
        <f>($L1869*'Pivot Objective'!$C$9^2)*S1869*T1869</f>
        <v>0</v>
      </c>
      <c r="V1869" s="166">
        <v>0</v>
      </c>
      <c r="W1869" s="166">
        <v>0</v>
      </c>
      <c r="X1869" s="164">
        <f>($L1869*'Pivot Objective'!$C$9^3)*V1869*W1869</f>
        <v>0</v>
      </c>
      <c r="Y1869" s="166">
        <v>0</v>
      </c>
      <c r="Z1869" s="166">
        <v>0</v>
      </c>
      <c r="AA1869" s="164">
        <f>($L1869*'Pivot Objective'!$C$9^4)*Y1869*Z1869</f>
        <v>0</v>
      </c>
      <c r="AB1869" s="166">
        <v>100</v>
      </c>
      <c r="AC1869" s="166">
        <v>5</v>
      </c>
      <c r="AD1869" s="164">
        <f>($L1869*'Pivot Objective'!$C$9^5)*AB1869*AC1869</f>
        <v>38029083.423343942</v>
      </c>
      <c r="AE1869" s="166">
        <v>0</v>
      </c>
      <c r="AF1869" s="166">
        <v>0</v>
      </c>
      <c r="AG1869" s="164">
        <f>($L1869*'Pivot Objective'!$C$9^6)*AE1869*AF1869</f>
        <v>0</v>
      </c>
      <c r="AH1869" s="166">
        <v>0</v>
      </c>
      <c r="AI1869" s="166">
        <v>0</v>
      </c>
      <c r="AJ1869" s="164">
        <f>($L1869*'Pivot Objective'!$C$9^7)*AH1869*AI1869</f>
        <v>0</v>
      </c>
      <c r="AK1869" s="185">
        <f t="shared" si="213"/>
        <v>79816044.814843938</v>
      </c>
      <c r="AL1869" s="186">
        <f t="shared" si="214"/>
        <v>77491.305645479544</v>
      </c>
    </row>
    <row r="1870" spans="1:38" customFormat="1" ht="43.2" x14ac:dyDescent="0.3">
      <c r="A1870" s="140" t="s">
        <v>1486</v>
      </c>
      <c r="B1870" s="140">
        <v>3</v>
      </c>
      <c r="C1870" s="166" t="s">
        <v>696</v>
      </c>
      <c r="D1870" s="140" t="str">
        <f t="shared" si="210"/>
        <v>3</v>
      </c>
      <c r="E1870" s="166" t="s">
        <v>691</v>
      </c>
      <c r="F1870" s="140">
        <f t="shared" si="209"/>
        <v>2</v>
      </c>
      <c r="G1870" s="140" t="str">
        <f t="shared" si="211"/>
        <v>3.3.2</v>
      </c>
      <c r="H1870" s="166" t="s">
        <v>1699</v>
      </c>
      <c r="I1870" s="166" t="s">
        <v>45</v>
      </c>
      <c r="J1870" s="166" t="s">
        <v>361</v>
      </c>
      <c r="K1870" s="166" t="s">
        <v>709</v>
      </c>
      <c r="L1870" s="167">
        <v>35000</v>
      </c>
      <c r="M1870" s="166">
        <v>58</v>
      </c>
      <c r="N1870" s="166">
        <v>5</v>
      </c>
      <c r="O1870" s="164">
        <f t="shared" si="212"/>
        <v>10150000</v>
      </c>
      <c r="P1870" s="166">
        <v>58</v>
      </c>
      <c r="Q1870" s="166">
        <v>5</v>
      </c>
      <c r="R1870" s="164">
        <f>$L1870*'Pivot Objective'!$C$9*P1870*Q1870</f>
        <v>11600649.134549998</v>
      </c>
      <c r="S1870" s="166">
        <v>0</v>
      </c>
      <c r="T1870" s="166">
        <v>0</v>
      </c>
      <c r="U1870" s="164">
        <f>($L1870*'Pivot Objective'!$C$9^2)*S1870*T1870</f>
        <v>0</v>
      </c>
      <c r="V1870" s="166">
        <v>0</v>
      </c>
      <c r="W1870" s="166">
        <v>0</v>
      </c>
      <c r="X1870" s="164">
        <f>($L1870*'Pivot Objective'!$C$9^3)*V1870*W1870</f>
        <v>0</v>
      </c>
      <c r="Y1870" s="166">
        <v>0</v>
      </c>
      <c r="Z1870" s="166">
        <v>0</v>
      </c>
      <c r="AA1870" s="164">
        <f>($L1870*'Pivot Objective'!$C$9^4)*Y1870*Z1870</f>
        <v>0</v>
      </c>
      <c r="AB1870" s="166">
        <v>58</v>
      </c>
      <c r="AC1870" s="166">
        <v>5</v>
      </c>
      <c r="AD1870" s="164">
        <f>($L1870*'Pivot Objective'!$C$9^5)*AB1870*AC1870</f>
        <v>19794625.4742021</v>
      </c>
      <c r="AE1870" s="166">
        <v>0</v>
      </c>
      <c r="AF1870" s="166">
        <v>0</v>
      </c>
      <c r="AG1870" s="164">
        <f>($L1870*'Pivot Objective'!$C$9^6)*AE1870*AF1870</f>
        <v>0</v>
      </c>
      <c r="AH1870" s="166">
        <v>0</v>
      </c>
      <c r="AI1870" s="166">
        <v>0</v>
      </c>
      <c r="AJ1870" s="164">
        <f>($L1870*'Pivot Objective'!$C$9^7)*AH1870*AI1870</f>
        <v>0</v>
      </c>
      <c r="AK1870" s="185">
        <f t="shared" si="213"/>
        <v>41545274.608752102</v>
      </c>
      <c r="AL1870" s="186">
        <f t="shared" si="214"/>
        <v>40335.218066749614</v>
      </c>
    </row>
    <row r="1871" spans="1:38" customFormat="1" ht="43.2" x14ac:dyDescent="0.3">
      <c r="A1871" s="140" t="s">
        <v>1486</v>
      </c>
      <c r="B1871" s="140">
        <v>3</v>
      </c>
      <c r="C1871" s="166" t="s">
        <v>696</v>
      </c>
      <c r="D1871" s="140" t="str">
        <f t="shared" si="210"/>
        <v>3</v>
      </c>
      <c r="E1871" s="166" t="s">
        <v>691</v>
      </c>
      <c r="F1871" s="140">
        <f t="shared" si="209"/>
        <v>2</v>
      </c>
      <c r="G1871" s="140" t="str">
        <f t="shared" si="211"/>
        <v>3.3.2</v>
      </c>
      <c r="H1871" s="166" t="s">
        <v>1699</v>
      </c>
      <c r="I1871" s="166" t="s">
        <v>45</v>
      </c>
      <c r="J1871" s="166" t="s">
        <v>361</v>
      </c>
      <c r="K1871" s="166" t="s">
        <v>712</v>
      </c>
      <c r="L1871" s="167">
        <f>1480/7</f>
        <v>211.42857142857142</v>
      </c>
      <c r="M1871" s="166">
        <f>2*25*29</f>
        <v>1450</v>
      </c>
      <c r="N1871" s="166">
        <v>5</v>
      </c>
      <c r="O1871" s="164">
        <f t="shared" si="212"/>
        <v>1532857.142857143</v>
      </c>
      <c r="P1871" s="166">
        <f>2*25*29</f>
        <v>1450</v>
      </c>
      <c r="Q1871" s="166">
        <v>5</v>
      </c>
      <c r="R1871" s="164">
        <f>$L1871*'Pivot Objective'!$C$9*P1871*Q1871</f>
        <v>1751934.7672585712</v>
      </c>
      <c r="S1871" s="166">
        <v>0</v>
      </c>
      <c r="T1871" s="166">
        <v>0</v>
      </c>
      <c r="U1871" s="164">
        <f>($L1871*'Pivot Objective'!$C$9^2)*S1871*T1871</f>
        <v>0</v>
      </c>
      <c r="V1871" s="166">
        <v>0</v>
      </c>
      <c r="W1871" s="166">
        <v>0</v>
      </c>
      <c r="X1871" s="164">
        <f>($L1871*'Pivot Objective'!$C$9^3)*V1871*W1871</f>
        <v>0</v>
      </c>
      <c r="Y1871" s="166">
        <v>0</v>
      </c>
      <c r="Z1871" s="166">
        <v>0</v>
      </c>
      <c r="AA1871" s="164">
        <f>($L1871*'Pivot Objective'!$C$9^4)*Y1871*Z1871</f>
        <v>0</v>
      </c>
      <c r="AB1871" s="166">
        <f>2*25*29</f>
        <v>1450</v>
      </c>
      <c r="AC1871" s="166">
        <v>5</v>
      </c>
      <c r="AD1871" s="164">
        <f>($L1871*'Pivot Objective'!$C$9^5)*AB1871*AC1871</f>
        <v>2989392.41855297</v>
      </c>
      <c r="AE1871" s="166">
        <v>0</v>
      </c>
      <c r="AF1871" s="166">
        <v>0</v>
      </c>
      <c r="AG1871" s="164">
        <f>($L1871*'Pivot Objective'!$C$9^6)*AE1871*AF1871</f>
        <v>0</v>
      </c>
      <c r="AH1871" s="166">
        <v>0</v>
      </c>
      <c r="AI1871" s="166">
        <v>0</v>
      </c>
      <c r="AJ1871" s="164">
        <f>($L1871*'Pivot Objective'!$C$9^7)*AH1871*AI1871</f>
        <v>0</v>
      </c>
      <c r="AK1871" s="185">
        <f t="shared" si="213"/>
        <v>6274184.3286686838</v>
      </c>
      <c r="AL1871" s="186">
        <f t="shared" si="214"/>
        <v>6091.4410957948385</v>
      </c>
    </row>
    <row r="1872" spans="1:38" customFormat="1" ht="43.2" x14ac:dyDescent="0.3">
      <c r="A1872" s="140" t="s">
        <v>1486</v>
      </c>
      <c r="B1872" s="140">
        <v>3</v>
      </c>
      <c r="C1872" s="166" t="s">
        <v>696</v>
      </c>
      <c r="D1872" s="140" t="str">
        <f t="shared" si="210"/>
        <v>3</v>
      </c>
      <c r="E1872" s="166" t="s">
        <v>691</v>
      </c>
      <c r="F1872" s="140">
        <f t="shared" si="209"/>
        <v>2</v>
      </c>
      <c r="G1872" s="140" t="str">
        <f t="shared" si="211"/>
        <v>3.3.2</v>
      </c>
      <c r="H1872" s="166" t="s">
        <v>1699</v>
      </c>
      <c r="I1872" s="166" t="s">
        <v>45</v>
      </c>
      <c r="J1872" s="166" t="s">
        <v>361</v>
      </c>
      <c r="K1872" s="166" t="s">
        <v>1299</v>
      </c>
      <c r="L1872" s="167">
        <f>1480/7</f>
        <v>211.42857142857142</v>
      </c>
      <c r="M1872" s="166">
        <v>22500</v>
      </c>
      <c r="N1872" s="166">
        <v>1</v>
      </c>
      <c r="O1872" s="164">
        <f t="shared" si="212"/>
        <v>4757142.8571428573</v>
      </c>
      <c r="P1872" s="166">
        <v>22500</v>
      </c>
      <c r="Q1872" s="166">
        <v>1</v>
      </c>
      <c r="R1872" s="164">
        <f>$L1872*'Pivot Objective'!$C$9*P1872*Q1872</f>
        <v>5437038.9328714283</v>
      </c>
      <c r="S1872" s="166"/>
      <c r="T1872" s="166"/>
      <c r="U1872" s="164">
        <f>($L1872*'Pivot Objective'!$C$9^2)*S1872*T1872</f>
        <v>0</v>
      </c>
      <c r="V1872" s="166"/>
      <c r="W1872" s="166"/>
      <c r="X1872" s="164">
        <f>($L1872*'Pivot Objective'!$C$9^3)*V1872*W1872</f>
        <v>0</v>
      </c>
      <c r="Y1872" s="166"/>
      <c r="Z1872" s="166"/>
      <c r="AA1872" s="164">
        <f>($L1872*'Pivot Objective'!$C$9^4)*Y1872*Z1872</f>
        <v>0</v>
      </c>
      <c r="AB1872" s="166">
        <v>22500</v>
      </c>
      <c r="AC1872" s="166">
        <v>1</v>
      </c>
      <c r="AD1872" s="164">
        <f>($L1872*'Pivot Objective'!$C$9^5)*AB1872*AC1872</f>
        <v>9277424.7472333554</v>
      </c>
      <c r="AE1872" s="166"/>
      <c r="AF1872" s="166"/>
      <c r="AG1872" s="164">
        <f>($L1872*'Pivot Objective'!$C$9^6)*AE1872*AF1872</f>
        <v>0</v>
      </c>
      <c r="AH1872" s="166"/>
      <c r="AI1872" s="166"/>
      <c r="AJ1872" s="164">
        <f>($L1872*'Pivot Objective'!$C$9^7)*AH1872*AI1872</f>
        <v>0</v>
      </c>
      <c r="AK1872" s="185">
        <f t="shared" si="213"/>
        <v>19471606.537247643</v>
      </c>
      <c r="AL1872" s="186">
        <f t="shared" si="214"/>
        <v>18904.472366259848</v>
      </c>
    </row>
    <row r="1873" spans="1:38" customFormat="1" ht="43.2" x14ac:dyDescent="0.3">
      <c r="A1873" s="140" t="s">
        <v>1486</v>
      </c>
      <c r="B1873" s="140">
        <v>3</v>
      </c>
      <c r="C1873" s="166" t="s">
        <v>696</v>
      </c>
      <c r="D1873" s="140" t="str">
        <f t="shared" si="210"/>
        <v>3</v>
      </c>
      <c r="E1873" s="166" t="s">
        <v>691</v>
      </c>
      <c r="F1873" s="140">
        <f t="shared" si="209"/>
        <v>2</v>
      </c>
      <c r="G1873" s="140" t="str">
        <f t="shared" si="211"/>
        <v>3.3.2</v>
      </c>
      <c r="H1873" s="166" t="s">
        <v>1699</v>
      </c>
      <c r="I1873" s="166" t="s">
        <v>45</v>
      </c>
      <c r="J1873" s="166" t="s">
        <v>166</v>
      </c>
      <c r="K1873" s="166" t="s">
        <v>709</v>
      </c>
      <c r="L1873" s="167">
        <v>35000</v>
      </c>
      <c r="M1873" s="166">
        <v>50</v>
      </c>
      <c r="N1873" s="166">
        <v>1</v>
      </c>
      <c r="O1873" s="164">
        <f t="shared" si="212"/>
        <v>1750000</v>
      </c>
      <c r="P1873" s="166">
        <v>50</v>
      </c>
      <c r="Q1873" s="166">
        <v>1</v>
      </c>
      <c r="R1873" s="164">
        <f>$L1873*'Pivot Objective'!$C$9*P1873*Q1873</f>
        <v>2000111.9197499997</v>
      </c>
      <c r="S1873" s="166">
        <v>0</v>
      </c>
      <c r="T1873" s="166">
        <v>0</v>
      </c>
      <c r="U1873" s="164">
        <f>($L1873*'Pivot Objective'!$C$9^2)*S1873*T1873</f>
        <v>0</v>
      </c>
      <c r="V1873" s="166">
        <v>0</v>
      </c>
      <c r="W1873" s="166">
        <v>0</v>
      </c>
      <c r="X1873" s="164">
        <f>($L1873*'Pivot Objective'!$C$9^3)*V1873*W1873</f>
        <v>0</v>
      </c>
      <c r="Y1873" s="166">
        <v>0</v>
      </c>
      <c r="Z1873" s="166">
        <v>0</v>
      </c>
      <c r="AA1873" s="164">
        <f>($L1873*'Pivot Objective'!$C$9^4)*Y1873*Z1873</f>
        <v>0</v>
      </c>
      <c r="AB1873" s="166">
        <v>50</v>
      </c>
      <c r="AC1873" s="166">
        <v>1</v>
      </c>
      <c r="AD1873" s="164">
        <f>($L1873*'Pivot Objective'!$C$9^5)*AB1873*AC1873</f>
        <v>3412866.4610693273</v>
      </c>
      <c r="AE1873" s="166">
        <v>0</v>
      </c>
      <c r="AF1873" s="166">
        <v>0</v>
      </c>
      <c r="AG1873" s="164">
        <f>($L1873*'Pivot Objective'!$C$9^6)*AE1873*AF1873</f>
        <v>0</v>
      </c>
      <c r="AH1873" s="166">
        <v>0</v>
      </c>
      <c r="AI1873" s="166">
        <v>0</v>
      </c>
      <c r="AJ1873" s="164">
        <f>($L1873*'Pivot Objective'!$C$9^7)*AH1873*AI1873</f>
        <v>0</v>
      </c>
      <c r="AK1873" s="185">
        <f t="shared" si="213"/>
        <v>7162978.3808193263</v>
      </c>
      <c r="AL1873" s="186">
        <f t="shared" si="214"/>
        <v>6954.3479425430351</v>
      </c>
    </row>
    <row r="1874" spans="1:38" customFormat="1" ht="43.2" x14ac:dyDescent="0.3">
      <c r="A1874" s="140" t="s">
        <v>1486</v>
      </c>
      <c r="B1874" s="140">
        <v>3</v>
      </c>
      <c r="C1874" s="166" t="s">
        <v>696</v>
      </c>
      <c r="D1874" s="140" t="str">
        <f t="shared" si="210"/>
        <v>3</v>
      </c>
      <c r="E1874" s="166" t="s">
        <v>691</v>
      </c>
      <c r="F1874" s="140">
        <f t="shared" si="209"/>
        <v>2</v>
      </c>
      <c r="G1874" s="140" t="str">
        <f t="shared" si="211"/>
        <v>3.3.2</v>
      </c>
      <c r="H1874" s="166" t="s">
        <v>1699</v>
      </c>
      <c r="I1874" s="166" t="s">
        <v>45</v>
      </c>
      <c r="J1874" s="166" t="s">
        <v>296</v>
      </c>
      <c r="K1874" s="166" t="s">
        <v>718</v>
      </c>
      <c r="L1874" s="167">
        <v>0</v>
      </c>
      <c r="M1874" s="166">
        <v>0</v>
      </c>
      <c r="N1874" s="166">
        <v>0</v>
      </c>
      <c r="O1874" s="164">
        <f t="shared" si="212"/>
        <v>0</v>
      </c>
      <c r="P1874" s="166">
        <v>0</v>
      </c>
      <c r="Q1874" s="166">
        <v>0</v>
      </c>
      <c r="R1874" s="164">
        <f>$L1874*'Pivot Objective'!$C$9*P1874*Q1874</f>
        <v>0</v>
      </c>
      <c r="S1874" s="166">
        <v>0</v>
      </c>
      <c r="T1874" s="166">
        <v>0</v>
      </c>
      <c r="U1874" s="164">
        <f>($L1874*'Pivot Objective'!$C$9^2)*S1874*T1874</f>
        <v>0</v>
      </c>
      <c r="V1874" s="166">
        <v>0</v>
      </c>
      <c r="W1874" s="166">
        <v>0</v>
      </c>
      <c r="X1874" s="164">
        <f>($L1874*'Pivot Objective'!$C$9^3)*V1874*W1874</f>
        <v>0</v>
      </c>
      <c r="Y1874" s="166">
        <v>0</v>
      </c>
      <c r="Z1874" s="166">
        <v>0</v>
      </c>
      <c r="AA1874" s="164">
        <f>($L1874*'Pivot Objective'!$C$9^4)*Y1874*Z1874</f>
        <v>0</v>
      </c>
      <c r="AB1874" s="166">
        <v>0</v>
      </c>
      <c r="AC1874" s="166">
        <v>0</v>
      </c>
      <c r="AD1874" s="164">
        <f>($L1874*'Pivot Objective'!$C$9^5)*AB1874*AC1874</f>
        <v>0</v>
      </c>
      <c r="AE1874" s="166">
        <v>0</v>
      </c>
      <c r="AF1874" s="166">
        <v>0</v>
      </c>
      <c r="AG1874" s="164">
        <f>($L1874*'Pivot Objective'!$C$9^6)*AE1874*AF1874</f>
        <v>0</v>
      </c>
      <c r="AH1874" s="166">
        <v>0</v>
      </c>
      <c r="AI1874" s="166">
        <v>0</v>
      </c>
      <c r="AJ1874" s="164">
        <f>($L1874*'Pivot Objective'!$C$9^7)*AH1874*AI1874</f>
        <v>0</v>
      </c>
      <c r="AK1874" s="185">
        <f t="shared" si="213"/>
        <v>0</v>
      </c>
      <c r="AL1874" s="186">
        <f t="shared" si="214"/>
        <v>0</v>
      </c>
    </row>
    <row r="1875" spans="1:38" customFormat="1" ht="43.2" x14ac:dyDescent="0.3">
      <c r="A1875" s="140" t="s">
        <v>1486</v>
      </c>
      <c r="B1875" s="140">
        <v>3</v>
      </c>
      <c r="C1875" s="166" t="s">
        <v>696</v>
      </c>
      <c r="D1875" s="140" t="str">
        <f t="shared" si="210"/>
        <v>3</v>
      </c>
      <c r="E1875" s="166" t="s">
        <v>691</v>
      </c>
      <c r="F1875" s="140">
        <f t="shared" si="209"/>
        <v>2</v>
      </c>
      <c r="G1875" s="140" t="str">
        <f t="shared" si="211"/>
        <v>3.3.2</v>
      </c>
      <c r="H1875" s="166" t="s">
        <v>1699</v>
      </c>
      <c r="I1875" s="166" t="s">
        <v>45</v>
      </c>
      <c r="J1875" s="166" t="s">
        <v>362</v>
      </c>
      <c r="K1875" s="166" t="s">
        <v>709</v>
      </c>
      <c r="L1875" s="167">
        <v>35000</v>
      </c>
      <c r="M1875" s="166">
        <v>50</v>
      </c>
      <c r="N1875" s="166">
        <v>1</v>
      </c>
      <c r="O1875" s="164">
        <f t="shared" si="212"/>
        <v>1750000</v>
      </c>
      <c r="P1875" s="166">
        <v>50</v>
      </c>
      <c r="Q1875" s="166">
        <v>1</v>
      </c>
      <c r="R1875" s="164">
        <f>$L1875*'Pivot Objective'!$C$9*P1875*Q1875</f>
        <v>2000111.9197499997</v>
      </c>
      <c r="S1875" s="166">
        <v>0</v>
      </c>
      <c r="T1875" s="166">
        <v>0</v>
      </c>
      <c r="U1875" s="164">
        <f>($L1875*'Pivot Objective'!$C$9^2)*S1875*T1875</f>
        <v>0</v>
      </c>
      <c r="V1875" s="166">
        <v>0</v>
      </c>
      <c r="W1875" s="166">
        <v>0</v>
      </c>
      <c r="X1875" s="164">
        <f>($L1875*'Pivot Objective'!$C$9^3)*V1875*W1875</f>
        <v>0</v>
      </c>
      <c r="Y1875" s="166">
        <v>0</v>
      </c>
      <c r="Z1875" s="166">
        <v>0</v>
      </c>
      <c r="AA1875" s="164">
        <f>($L1875*'Pivot Objective'!$C$9^4)*Y1875*Z1875</f>
        <v>0</v>
      </c>
      <c r="AB1875" s="166">
        <v>50</v>
      </c>
      <c r="AC1875" s="166">
        <v>1</v>
      </c>
      <c r="AD1875" s="164">
        <f>($L1875*'Pivot Objective'!$C$9^5)*AB1875*AC1875</f>
        <v>3412866.4610693273</v>
      </c>
      <c r="AE1875" s="166">
        <v>0</v>
      </c>
      <c r="AF1875" s="166">
        <v>0</v>
      </c>
      <c r="AG1875" s="164">
        <f>($L1875*'Pivot Objective'!$C$9^6)*AE1875*AF1875</f>
        <v>0</v>
      </c>
      <c r="AH1875" s="166">
        <v>0</v>
      </c>
      <c r="AI1875" s="166">
        <v>0</v>
      </c>
      <c r="AJ1875" s="164">
        <f>($L1875*'Pivot Objective'!$C$9^7)*AH1875*AI1875</f>
        <v>0</v>
      </c>
      <c r="AK1875" s="185">
        <f t="shared" si="213"/>
        <v>7162978.3808193263</v>
      </c>
      <c r="AL1875" s="186">
        <f t="shared" si="214"/>
        <v>6954.3479425430351</v>
      </c>
    </row>
    <row r="1876" spans="1:38" customFormat="1" ht="43.2" x14ac:dyDescent="0.3">
      <c r="A1876" s="140" t="s">
        <v>1486</v>
      </c>
      <c r="B1876" s="140">
        <v>3</v>
      </c>
      <c r="C1876" s="166" t="s">
        <v>696</v>
      </c>
      <c r="D1876" s="140" t="str">
        <f t="shared" si="210"/>
        <v>3</v>
      </c>
      <c r="E1876" s="166" t="s">
        <v>691</v>
      </c>
      <c r="F1876" s="140">
        <f t="shared" si="209"/>
        <v>2</v>
      </c>
      <c r="G1876" s="140" t="str">
        <f t="shared" si="211"/>
        <v>3.3.2</v>
      </c>
      <c r="H1876" s="166" t="s">
        <v>1699</v>
      </c>
      <c r="I1876" s="166" t="s">
        <v>45</v>
      </c>
      <c r="J1876" s="166" t="s">
        <v>363</v>
      </c>
      <c r="K1876" s="166" t="s">
        <v>718</v>
      </c>
      <c r="L1876" s="167">
        <v>0</v>
      </c>
      <c r="M1876" s="166">
        <v>0</v>
      </c>
      <c r="N1876" s="166">
        <v>0</v>
      </c>
      <c r="O1876" s="164">
        <f t="shared" si="212"/>
        <v>0</v>
      </c>
      <c r="P1876" s="166">
        <v>0</v>
      </c>
      <c r="Q1876" s="166">
        <v>0</v>
      </c>
      <c r="R1876" s="164">
        <f>$L1876*'Pivot Objective'!$C$9*P1876*Q1876</f>
        <v>0</v>
      </c>
      <c r="S1876" s="166">
        <v>0</v>
      </c>
      <c r="T1876" s="166">
        <v>0</v>
      </c>
      <c r="U1876" s="164">
        <f>($L1876*'Pivot Objective'!$C$9^2)*S1876*T1876</f>
        <v>0</v>
      </c>
      <c r="V1876" s="166">
        <v>0</v>
      </c>
      <c r="W1876" s="166">
        <v>0</v>
      </c>
      <c r="X1876" s="164">
        <f>($L1876*'Pivot Objective'!$C$9^3)*V1876*W1876</f>
        <v>0</v>
      </c>
      <c r="Y1876" s="166">
        <v>0</v>
      </c>
      <c r="Z1876" s="166">
        <v>0</v>
      </c>
      <c r="AA1876" s="164">
        <f>($L1876*'Pivot Objective'!$C$9^4)*Y1876*Z1876</f>
        <v>0</v>
      </c>
      <c r="AB1876" s="166">
        <v>0</v>
      </c>
      <c r="AC1876" s="166">
        <v>0</v>
      </c>
      <c r="AD1876" s="164">
        <f>($L1876*'Pivot Objective'!$C$9^5)*AB1876*AC1876</f>
        <v>0</v>
      </c>
      <c r="AE1876" s="166">
        <v>0</v>
      </c>
      <c r="AF1876" s="166">
        <v>0</v>
      </c>
      <c r="AG1876" s="164">
        <f>($L1876*'Pivot Objective'!$C$9^6)*AE1876*AF1876</f>
        <v>0</v>
      </c>
      <c r="AH1876" s="166">
        <v>0</v>
      </c>
      <c r="AI1876" s="166">
        <v>0</v>
      </c>
      <c r="AJ1876" s="164">
        <f>($L1876*'Pivot Objective'!$C$9^7)*AH1876*AI1876</f>
        <v>0</v>
      </c>
      <c r="AK1876" s="185">
        <f t="shared" si="213"/>
        <v>0</v>
      </c>
      <c r="AL1876" s="186">
        <f t="shared" si="214"/>
        <v>0</v>
      </c>
    </row>
    <row r="1877" spans="1:38" customFormat="1" ht="43.2" x14ac:dyDescent="0.3">
      <c r="A1877" s="140" t="s">
        <v>1486</v>
      </c>
      <c r="B1877" s="140">
        <v>3</v>
      </c>
      <c r="C1877" s="166" t="s">
        <v>696</v>
      </c>
      <c r="D1877" s="140" t="str">
        <f t="shared" si="210"/>
        <v>3</v>
      </c>
      <c r="E1877" s="166" t="s">
        <v>691</v>
      </c>
      <c r="F1877" s="140">
        <f t="shared" si="209"/>
        <v>2</v>
      </c>
      <c r="G1877" s="140" t="str">
        <f t="shared" si="211"/>
        <v>3.3.2</v>
      </c>
      <c r="H1877" s="166" t="s">
        <v>1699</v>
      </c>
      <c r="I1877" s="166" t="s">
        <v>45</v>
      </c>
      <c r="J1877" s="166" t="s">
        <v>364</v>
      </c>
      <c r="K1877" s="166" t="s">
        <v>713</v>
      </c>
      <c r="L1877" s="167">
        <v>45000</v>
      </c>
      <c r="M1877" s="166">
        <v>29</v>
      </c>
      <c r="N1877" s="166">
        <v>6</v>
      </c>
      <c r="O1877" s="164">
        <f t="shared" si="212"/>
        <v>7830000</v>
      </c>
      <c r="P1877" s="166">
        <v>29</v>
      </c>
      <c r="Q1877" s="166">
        <v>6</v>
      </c>
      <c r="R1877" s="164">
        <f>$L1877*'Pivot Objective'!$C$9*P1877*Q1877</f>
        <v>8949072.189509999</v>
      </c>
      <c r="S1877" s="166">
        <v>0</v>
      </c>
      <c r="T1877" s="166">
        <v>0</v>
      </c>
      <c r="U1877" s="164">
        <f>($L1877*'Pivot Objective'!$C$9^2)*S1877*T1877</f>
        <v>0</v>
      </c>
      <c r="V1877" s="166">
        <v>0</v>
      </c>
      <c r="W1877" s="166">
        <v>0</v>
      </c>
      <c r="X1877" s="164">
        <f>($L1877*'Pivot Objective'!$C$9^3)*V1877*W1877</f>
        <v>0</v>
      </c>
      <c r="Y1877" s="166">
        <v>0</v>
      </c>
      <c r="Z1877" s="166">
        <v>0</v>
      </c>
      <c r="AA1877" s="164">
        <f>($L1877*'Pivot Objective'!$C$9^4)*Y1877*Z1877</f>
        <v>0</v>
      </c>
      <c r="AB1877" s="166">
        <v>29</v>
      </c>
      <c r="AC1877" s="166">
        <v>6</v>
      </c>
      <c r="AD1877" s="164">
        <f>($L1877*'Pivot Objective'!$C$9^5)*AB1877*AC1877</f>
        <v>15270139.651527334</v>
      </c>
      <c r="AE1877" s="166">
        <v>0</v>
      </c>
      <c r="AF1877" s="166">
        <v>0</v>
      </c>
      <c r="AG1877" s="164">
        <f>($L1877*'Pivot Objective'!$C$9^6)*AE1877*AF1877</f>
        <v>0</v>
      </c>
      <c r="AH1877" s="166">
        <v>0</v>
      </c>
      <c r="AI1877" s="166">
        <v>0</v>
      </c>
      <c r="AJ1877" s="164">
        <f>($L1877*'Pivot Objective'!$C$9^7)*AH1877*AI1877</f>
        <v>0</v>
      </c>
      <c r="AK1877" s="185">
        <f t="shared" si="213"/>
        <v>32049211.841037333</v>
      </c>
      <c r="AL1877" s="186">
        <f t="shared" si="214"/>
        <v>31115.739651492557</v>
      </c>
    </row>
    <row r="1878" spans="1:38" customFormat="1" ht="43.2" x14ac:dyDescent="0.3">
      <c r="A1878" s="140" t="s">
        <v>1486</v>
      </c>
      <c r="B1878" s="140">
        <v>3</v>
      </c>
      <c r="C1878" s="166" t="s">
        <v>696</v>
      </c>
      <c r="D1878" s="140" t="str">
        <f t="shared" si="210"/>
        <v>3</v>
      </c>
      <c r="E1878" s="166" t="s">
        <v>691</v>
      </c>
      <c r="F1878" s="140">
        <f t="shared" si="209"/>
        <v>2</v>
      </c>
      <c r="G1878" s="140" t="str">
        <f t="shared" si="211"/>
        <v>3.3.2</v>
      </c>
      <c r="H1878" s="166" t="s">
        <v>1699</v>
      </c>
      <c r="I1878" s="166" t="s">
        <v>45</v>
      </c>
      <c r="J1878" s="166" t="s">
        <v>364</v>
      </c>
      <c r="K1878" s="166" t="s">
        <v>712</v>
      </c>
      <c r="L1878" s="167">
        <f>1480/7</f>
        <v>211.42857142857142</v>
      </c>
      <c r="M1878" s="166">
        <v>22500</v>
      </c>
      <c r="N1878" s="166">
        <v>5</v>
      </c>
      <c r="O1878" s="164">
        <f t="shared" si="212"/>
        <v>23785714.285714287</v>
      </c>
      <c r="P1878" s="166">
        <v>22500</v>
      </c>
      <c r="Q1878" s="166">
        <v>5</v>
      </c>
      <c r="R1878" s="164">
        <f>$L1878*'Pivot Objective'!$C$9*P1878*Q1878</f>
        <v>27185194.664357141</v>
      </c>
      <c r="S1878" s="166">
        <v>0</v>
      </c>
      <c r="T1878" s="166">
        <v>0</v>
      </c>
      <c r="U1878" s="164">
        <f>($L1878*'Pivot Objective'!$C$9^2)*S1878*T1878</f>
        <v>0</v>
      </c>
      <c r="V1878" s="166">
        <v>0</v>
      </c>
      <c r="W1878" s="166">
        <v>0</v>
      </c>
      <c r="X1878" s="164">
        <f>($L1878*'Pivot Objective'!$C$9^3)*V1878*W1878</f>
        <v>0</v>
      </c>
      <c r="Y1878" s="166">
        <v>0</v>
      </c>
      <c r="Z1878" s="166">
        <v>0</v>
      </c>
      <c r="AA1878" s="164">
        <f>($L1878*'Pivot Objective'!$C$9^4)*Y1878*Z1878</f>
        <v>0</v>
      </c>
      <c r="AB1878" s="166">
        <v>22500</v>
      </c>
      <c r="AC1878" s="166">
        <v>5</v>
      </c>
      <c r="AD1878" s="164">
        <f>($L1878*'Pivot Objective'!$C$9^5)*AB1878*AC1878</f>
        <v>46387123.736166775</v>
      </c>
      <c r="AE1878" s="166">
        <v>0</v>
      </c>
      <c r="AF1878" s="166">
        <v>0</v>
      </c>
      <c r="AG1878" s="164">
        <f>($L1878*'Pivot Objective'!$C$9^6)*AE1878*AF1878</f>
        <v>0</v>
      </c>
      <c r="AH1878" s="166">
        <v>0</v>
      </c>
      <c r="AI1878" s="166">
        <v>0</v>
      </c>
      <c r="AJ1878" s="164">
        <f>($L1878*'Pivot Objective'!$C$9^7)*AH1878*AI1878</f>
        <v>0</v>
      </c>
      <c r="AK1878" s="185">
        <f t="shared" si="213"/>
        <v>97358032.686238199</v>
      </c>
      <c r="AL1878" s="186">
        <f t="shared" si="214"/>
        <v>94522.361831299218</v>
      </c>
    </row>
    <row r="1879" spans="1:38" customFormat="1" ht="43.2" x14ac:dyDescent="0.3">
      <c r="A1879" s="140" t="s">
        <v>1486</v>
      </c>
      <c r="B1879" s="140">
        <v>3</v>
      </c>
      <c r="C1879" s="166" t="s">
        <v>696</v>
      </c>
      <c r="D1879" s="140" t="str">
        <f t="shared" si="210"/>
        <v>3</v>
      </c>
      <c r="E1879" s="166" t="s">
        <v>691</v>
      </c>
      <c r="F1879" s="140">
        <f t="shared" si="209"/>
        <v>2</v>
      </c>
      <c r="G1879" s="140" t="str">
        <f t="shared" si="211"/>
        <v>3.3.2</v>
      </c>
      <c r="H1879" s="166" t="s">
        <v>1699</v>
      </c>
      <c r="I1879" s="166" t="s">
        <v>45</v>
      </c>
      <c r="J1879" s="166" t="s">
        <v>364</v>
      </c>
      <c r="K1879" s="166" t="s">
        <v>1299</v>
      </c>
      <c r="L1879" s="167">
        <f>1480/7</f>
        <v>211.42857142857142</v>
      </c>
      <c r="M1879" s="166">
        <v>90000</v>
      </c>
      <c r="N1879" s="166">
        <v>1</v>
      </c>
      <c r="O1879" s="164">
        <f t="shared" si="212"/>
        <v>19028571.428571429</v>
      </c>
      <c r="P1879" s="166">
        <v>90000</v>
      </c>
      <c r="Q1879" s="166">
        <v>1</v>
      </c>
      <c r="R1879" s="164">
        <f>$L1879*'Pivot Objective'!$C$9*P1879*Q1879</f>
        <v>21748155.731485713</v>
      </c>
      <c r="S1879" s="166"/>
      <c r="T1879" s="166"/>
      <c r="U1879" s="164">
        <f>($L1879*'Pivot Objective'!$C$9^2)*S1879*T1879</f>
        <v>0</v>
      </c>
      <c r="V1879" s="166"/>
      <c r="W1879" s="166"/>
      <c r="X1879" s="164">
        <f>($L1879*'Pivot Objective'!$C$9^3)*V1879*W1879</f>
        <v>0</v>
      </c>
      <c r="Y1879" s="166"/>
      <c r="Z1879" s="166"/>
      <c r="AA1879" s="164">
        <f>($L1879*'Pivot Objective'!$C$9^4)*Y1879*Z1879</f>
        <v>0</v>
      </c>
      <c r="AB1879" s="166">
        <v>90000</v>
      </c>
      <c r="AC1879" s="166">
        <v>1</v>
      </c>
      <c r="AD1879" s="164">
        <f>($L1879*'Pivot Objective'!$C$9^5)*AB1879*AC1879</f>
        <v>37109698.988933422</v>
      </c>
      <c r="AE1879" s="166"/>
      <c r="AF1879" s="166"/>
      <c r="AG1879" s="164">
        <f>($L1879*'Pivot Objective'!$C$9^6)*AE1879*AF1879</f>
        <v>0</v>
      </c>
      <c r="AH1879" s="166"/>
      <c r="AI1879" s="166"/>
      <c r="AJ1879" s="164">
        <f>($L1879*'Pivot Objective'!$C$9^7)*AH1879*AI1879</f>
        <v>0</v>
      </c>
      <c r="AK1879" s="185">
        <f t="shared" si="213"/>
        <v>77886426.148990571</v>
      </c>
      <c r="AL1879" s="186">
        <f t="shared" si="214"/>
        <v>75617.889465039392</v>
      </c>
    </row>
    <row r="1880" spans="1:38" customFormat="1" ht="43.2" x14ac:dyDescent="0.3">
      <c r="A1880" s="140" t="s">
        <v>1486</v>
      </c>
      <c r="B1880" s="140">
        <v>3</v>
      </c>
      <c r="C1880" s="166" t="s">
        <v>696</v>
      </c>
      <c r="D1880" s="140" t="str">
        <f t="shared" si="210"/>
        <v>3</v>
      </c>
      <c r="E1880" s="166" t="s">
        <v>691</v>
      </c>
      <c r="F1880" s="140">
        <f t="shared" si="209"/>
        <v>2</v>
      </c>
      <c r="G1880" s="140" t="str">
        <f t="shared" si="211"/>
        <v>3.3.2</v>
      </c>
      <c r="H1880" s="166" t="s">
        <v>1699</v>
      </c>
      <c r="I1880" s="166" t="s">
        <v>45</v>
      </c>
      <c r="J1880" s="166" t="s">
        <v>1388</v>
      </c>
      <c r="K1880" s="166" t="s">
        <v>713</v>
      </c>
      <c r="L1880" s="167">
        <v>45000</v>
      </c>
      <c r="M1880" s="166">
        <v>25</v>
      </c>
      <c r="N1880" s="166">
        <f>6*4</f>
        <v>24</v>
      </c>
      <c r="O1880" s="164">
        <f t="shared" si="212"/>
        <v>27000000</v>
      </c>
      <c r="P1880" s="166">
        <v>25</v>
      </c>
      <c r="Q1880" s="166">
        <f>6*4</f>
        <v>24</v>
      </c>
      <c r="R1880" s="164">
        <f>$L1880*'Pivot Objective'!$C$9*P1880*Q1880</f>
        <v>30858869.618999995</v>
      </c>
      <c r="S1880" s="166">
        <v>0</v>
      </c>
      <c r="T1880" s="166">
        <v>0</v>
      </c>
      <c r="U1880" s="164">
        <f>($L1880*'Pivot Objective'!$C$9^2)*S1880*T1880</f>
        <v>0</v>
      </c>
      <c r="V1880" s="166">
        <v>0</v>
      </c>
      <c r="W1880" s="166">
        <v>0</v>
      </c>
      <c r="X1880" s="164">
        <f>($L1880*'Pivot Objective'!$C$9^3)*V1880*W1880</f>
        <v>0</v>
      </c>
      <c r="Y1880" s="166">
        <v>0</v>
      </c>
      <c r="Z1880" s="166">
        <v>0</v>
      </c>
      <c r="AA1880" s="164">
        <f>($L1880*'Pivot Objective'!$C$9^4)*Y1880*Z1880</f>
        <v>0</v>
      </c>
      <c r="AB1880" s="166">
        <v>25</v>
      </c>
      <c r="AC1880" s="166">
        <f>6*4</f>
        <v>24</v>
      </c>
      <c r="AD1880" s="164">
        <f>($L1880*'Pivot Objective'!$C$9^5)*AB1880*AC1880</f>
        <v>52655653.970783904</v>
      </c>
      <c r="AE1880" s="166">
        <v>0</v>
      </c>
      <c r="AF1880" s="166">
        <v>0</v>
      </c>
      <c r="AG1880" s="164">
        <f>($L1880*'Pivot Objective'!$C$9^6)*AE1880*AF1880</f>
        <v>0</v>
      </c>
      <c r="AH1880" s="166">
        <v>0</v>
      </c>
      <c r="AI1880" s="166">
        <v>0</v>
      </c>
      <c r="AJ1880" s="164">
        <f>($L1880*'Pivot Objective'!$C$9^7)*AH1880*AI1880</f>
        <v>0</v>
      </c>
      <c r="AK1880" s="185">
        <f t="shared" si="213"/>
        <v>110514523.58978391</v>
      </c>
      <c r="AL1880" s="186">
        <f t="shared" si="214"/>
        <v>107295.65397066399</v>
      </c>
    </row>
    <row r="1881" spans="1:38" customFormat="1" ht="43.2" x14ac:dyDescent="0.3">
      <c r="A1881" s="140" t="s">
        <v>1486</v>
      </c>
      <c r="B1881" s="140">
        <v>3</v>
      </c>
      <c r="C1881" s="166" t="s">
        <v>696</v>
      </c>
      <c r="D1881" s="140" t="str">
        <f t="shared" si="210"/>
        <v>3</v>
      </c>
      <c r="E1881" s="166" t="s">
        <v>691</v>
      </c>
      <c r="F1881" s="140">
        <f t="shared" si="209"/>
        <v>2</v>
      </c>
      <c r="G1881" s="140" t="str">
        <f t="shared" si="211"/>
        <v>3.3.2</v>
      </c>
      <c r="H1881" s="166" t="s">
        <v>1699</v>
      </c>
      <c r="I1881" s="166" t="s">
        <v>45</v>
      </c>
      <c r="J1881" s="166" t="s">
        <v>1388</v>
      </c>
      <c r="K1881" s="166" t="s">
        <v>712</v>
      </c>
      <c r="L1881" s="167">
        <f>1480/7</f>
        <v>211.42857142857142</v>
      </c>
      <c r="M1881" s="166">
        <f>2*25*9</f>
        <v>450</v>
      </c>
      <c r="N1881" s="166">
        <f>5*4</f>
        <v>20</v>
      </c>
      <c r="O1881" s="164">
        <f t="shared" si="212"/>
        <v>1902857.1428571427</v>
      </c>
      <c r="P1881" s="166">
        <f>2*25*9</f>
        <v>450</v>
      </c>
      <c r="Q1881" s="166">
        <f>5*4</f>
        <v>20</v>
      </c>
      <c r="R1881" s="164">
        <f>$L1881*'Pivot Objective'!$C$9*P1881*Q1881</f>
        <v>2174815.573148571</v>
      </c>
      <c r="S1881" s="166">
        <v>0</v>
      </c>
      <c r="T1881" s="166">
        <v>0</v>
      </c>
      <c r="U1881" s="164">
        <f>($L1881*'Pivot Objective'!$C$9^2)*S1881*T1881</f>
        <v>0</v>
      </c>
      <c r="V1881" s="166">
        <v>0</v>
      </c>
      <c r="W1881" s="166">
        <v>0</v>
      </c>
      <c r="X1881" s="164">
        <f>($L1881*'Pivot Objective'!$C$9^3)*V1881*W1881</f>
        <v>0</v>
      </c>
      <c r="Y1881" s="166">
        <v>0</v>
      </c>
      <c r="Z1881" s="166">
        <v>0</v>
      </c>
      <c r="AA1881" s="164">
        <f>($L1881*'Pivot Objective'!$C$9^4)*Y1881*Z1881</f>
        <v>0</v>
      </c>
      <c r="AB1881" s="166">
        <f>2*25*9</f>
        <v>450</v>
      </c>
      <c r="AC1881" s="166">
        <f>5*4</f>
        <v>20</v>
      </c>
      <c r="AD1881" s="164">
        <f>($L1881*'Pivot Objective'!$C$9^5)*AB1881*AC1881</f>
        <v>3710969.8988933424</v>
      </c>
      <c r="AE1881" s="166">
        <v>0</v>
      </c>
      <c r="AF1881" s="166">
        <v>0</v>
      </c>
      <c r="AG1881" s="164">
        <f>($L1881*'Pivot Objective'!$C$9^6)*AE1881*AF1881</f>
        <v>0</v>
      </c>
      <c r="AH1881" s="166">
        <v>0</v>
      </c>
      <c r="AI1881" s="166">
        <v>0</v>
      </c>
      <c r="AJ1881" s="164">
        <f>($L1881*'Pivot Objective'!$C$9^7)*AH1881*AI1881</f>
        <v>0</v>
      </c>
      <c r="AK1881" s="185">
        <f t="shared" si="213"/>
        <v>7788642.614899056</v>
      </c>
      <c r="AL1881" s="186">
        <f t="shared" si="214"/>
        <v>7561.788946503938</v>
      </c>
    </row>
    <row r="1882" spans="1:38" customFormat="1" ht="43.2" x14ac:dyDescent="0.3">
      <c r="A1882" s="140" t="s">
        <v>1486</v>
      </c>
      <c r="B1882" s="140">
        <v>3</v>
      </c>
      <c r="C1882" s="166" t="s">
        <v>696</v>
      </c>
      <c r="D1882" s="140" t="str">
        <f t="shared" si="210"/>
        <v>3</v>
      </c>
      <c r="E1882" s="166" t="s">
        <v>691</v>
      </c>
      <c r="F1882" s="140">
        <f t="shared" si="209"/>
        <v>2</v>
      </c>
      <c r="G1882" s="140" t="str">
        <f t="shared" si="211"/>
        <v>3.3.2</v>
      </c>
      <c r="H1882" s="166" t="s">
        <v>1699</v>
      </c>
      <c r="I1882" s="166" t="s">
        <v>45</v>
      </c>
      <c r="J1882" s="166" t="s">
        <v>1388</v>
      </c>
      <c r="K1882" s="166" t="s">
        <v>1299</v>
      </c>
      <c r="L1882" s="167">
        <f>1480/7</f>
        <v>211.42857142857142</v>
      </c>
      <c r="M1882" s="166">
        <f>2*135*9</f>
        <v>2430</v>
      </c>
      <c r="N1882" s="166">
        <v>4</v>
      </c>
      <c r="O1882" s="164">
        <f t="shared" si="212"/>
        <v>2055085.7142857141</v>
      </c>
      <c r="P1882" s="166">
        <f>2*135*9</f>
        <v>2430</v>
      </c>
      <c r="Q1882" s="166">
        <v>4</v>
      </c>
      <c r="R1882" s="164">
        <f>$L1882*'Pivot Objective'!$C$9*P1882*Q1882</f>
        <v>2348800.8190004569</v>
      </c>
      <c r="S1882" s="166"/>
      <c r="T1882" s="166"/>
      <c r="U1882" s="164">
        <f>($L1882*'Pivot Objective'!$C$9^2)*S1882*T1882</f>
        <v>0</v>
      </c>
      <c r="V1882" s="166"/>
      <c r="W1882" s="166"/>
      <c r="X1882" s="164">
        <f>($L1882*'Pivot Objective'!$C$9^3)*V1882*W1882</f>
        <v>0</v>
      </c>
      <c r="Y1882" s="166"/>
      <c r="Z1882" s="166"/>
      <c r="AA1882" s="164">
        <f>($L1882*'Pivot Objective'!$C$9^4)*Y1882*Z1882</f>
        <v>0</v>
      </c>
      <c r="AB1882" s="166">
        <f>2*135*9</f>
        <v>2430</v>
      </c>
      <c r="AC1882" s="166">
        <v>4</v>
      </c>
      <c r="AD1882" s="164">
        <f>($L1882*'Pivot Objective'!$C$9^5)*AB1882*AC1882</f>
        <v>4007847.4908048101</v>
      </c>
      <c r="AE1882" s="166"/>
      <c r="AF1882" s="166"/>
      <c r="AG1882" s="164">
        <f>($L1882*'Pivot Objective'!$C$9^6)*AE1882*AF1882</f>
        <v>0</v>
      </c>
      <c r="AH1882" s="166"/>
      <c r="AI1882" s="166"/>
      <c r="AJ1882" s="164">
        <f>($L1882*'Pivot Objective'!$C$9^7)*AH1882*AI1882</f>
        <v>0</v>
      </c>
      <c r="AK1882" s="185">
        <f t="shared" si="213"/>
        <v>8411734.0240909811</v>
      </c>
      <c r="AL1882" s="186">
        <f t="shared" si="214"/>
        <v>8166.7320622242532</v>
      </c>
    </row>
    <row r="1883" spans="1:38" customFormat="1" ht="43.2" x14ac:dyDescent="0.3">
      <c r="A1883" s="140" t="s">
        <v>1486</v>
      </c>
      <c r="B1883" s="140">
        <v>3</v>
      </c>
      <c r="C1883" s="166" t="s">
        <v>696</v>
      </c>
      <c r="D1883" s="140" t="str">
        <f t="shared" si="210"/>
        <v>3</v>
      </c>
      <c r="E1883" s="166" t="s">
        <v>691</v>
      </c>
      <c r="F1883" s="140">
        <f t="shared" si="209"/>
        <v>2</v>
      </c>
      <c r="G1883" s="140" t="str">
        <f t="shared" si="211"/>
        <v>3.3.2</v>
      </c>
      <c r="H1883" s="166" t="s">
        <v>1699</v>
      </c>
      <c r="I1883" s="166" t="s">
        <v>45</v>
      </c>
      <c r="J1883" s="166" t="s">
        <v>1388</v>
      </c>
      <c r="K1883" s="166" t="s">
        <v>716</v>
      </c>
      <c r="L1883" s="167">
        <v>39000</v>
      </c>
      <c r="M1883" s="166">
        <v>4500</v>
      </c>
      <c r="N1883" s="166">
        <v>2</v>
      </c>
      <c r="O1883" s="164">
        <f t="shared" si="212"/>
        <v>351000000</v>
      </c>
      <c r="P1883" s="166">
        <v>4500</v>
      </c>
      <c r="Q1883" s="166">
        <v>2</v>
      </c>
      <c r="R1883" s="164">
        <f>$L1883*'Pivot Objective'!$C$9*P1883*Q1883</f>
        <v>401165305.04699993</v>
      </c>
      <c r="S1883" s="166">
        <v>0</v>
      </c>
      <c r="T1883" s="166">
        <v>0</v>
      </c>
      <c r="U1883" s="164">
        <f>($L1883*'Pivot Objective'!$C$9^2)*S1883*T1883</f>
        <v>0</v>
      </c>
      <c r="V1883" s="166">
        <v>0</v>
      </c>
      <c r="W1883" s="166">
        <v>0</v>
      </c>
      <c r="X1883" s="164">
        <f>($L1883*'Pivot Objective'!$C$9^3)*V1883*W1883</f>
        <v>0</v>
      </c>
      <c r="Y1883" s="166">
        <v>0</v>
      </c>
      <c r="Z1883" s="166">
        <v>0</v>
      </c>
      <c r="AA1883" s="164">
        <f>($L1883*'Pivot Objective'!$C$9^4)*Y1883*Z1883</f>
        <v>0</v>
      </c>
      <c r="AB1883" s="166">
        <v>4500</v>
      </c>
      <c r="AC1883" s="166">
        <v>2</v>
      </c>
      <c r="AD1883" s="164">
        <f>($L1883*'Pivot Objective'!$C$9^5)*AB1883*AC1883</f>
        <v>684523501.62019086</v>
      </c>
      <c r="AE1883" s="166">
        <v>0</v>
      </c>
      <c r="AF1883" s="166">
        <v>0</v>
      </c>
      <c r="AG1883" s="164">
        <f>($L1883*'Pivot Objective'!$C$9^6)*AE1883*AF1883</f>
        <v>0</v>
      </c>
      <c r="AH1883" s="166">
        <v>0</v>
      </c>
      <c r="AI1883" s="166">
        <v>0</v>
      </c>
      <c r="AJ1883" s="164">
        <f>($L1883*'Pivot Objective'!$C$9^7)*AH1883*AI1883</f>
        <v>0</v>
      </c>
      <c r="AK1883" s="185">
        <f t="shared" si="213"/>
        <v>1436688806.6671908</v>
      </c>
      <c r="AL1883" s="186">
        <f t="shared" si="214"/>
        <v>1394843.5016186319</v>
      </c>
    </row>
    <row r="1884" spans="1:38" customFormat="1" ht="43.2" x14ac:dyDescent="0.3">
      <c r="A1884" s="140" t="s">
        <v>1486</v>
      </c>
      <c r="B1884" s="140">
        <v>3</v>
      </c>
      <c r="C1884" s="166" t="s">
        <v>696</v>
      </c>
      <c r="D1884" s="140" t="str">
        <f t="shared" si="210"/>
        <v>3</v>
      </c>
      <c r="E1884" s="166" t="s">
        <v>691</v>
      </c>
      <c r="F1884" s="140">
        <f t="shared" ref="F1884:F1947" si="215">IF(H1884=H1883,F1883,F1883+1)</f>
        <v>2</v>
      </c>
      <c r="G1884" s="140" t="str">
        <f t="shared" si="211"/>
        <v>3.3.2</v>
      </c>
      <c r="H1884" s="166" t="s">
        <v>1699</v>
      </c>
      <c r="I1884" s="166" t="s">
        <v>45</v>
      </c>
      <c r="J1884" s="166" t="s">
        <v>366</v>
      </c>
      <c r="K1884" s="166" t="s">
        <v>709</v>
      </c>
      <c r="L1884" s="167">
        <v>35000</v>
      </c>
      <c r="M1884" s="166"/>
      <c r="N1884" s="166"/>
      <c r="O1884" s="164">
        <f t="shared" si="212"/>
        <v>0</v>
      </c>
      <c r="P1884" s="166"/>
      <c r="Q1884" s="166"/>
      <c r="R1884" s="164">
        <f>$L1884*'Pivot Objective'!$C$9*P1884*Q1884</f>
        <v>0</v>
      </c>
      <c r="S1884" s="166">
        <v>4500</v>
      </c>
      <c r="T1884" s="166">
        <v>2</v>
      </c>
      <c r="U1884" s="164">
        <f>($L1884*'Pivot Objective'!$C$9^2)*S1884*T1884</f>
        <v>411474619.69982016</v>
      </c>
      <c r="V1884" s="166">
        <v>4500</v>
      </c>
      <c r="W1884" s="166">
        <v>2</v>
      </c>
      <c r="X1884" s="164">
        <f>($L1884*'Pivot Objective'!$C$9^3)*V1884*W1884</f>
        <v>470283023.73497629</v>
      </c>
      <c r="Y1884" s="166">
        <v>4500</v>
      </c>
      <c r="Z1884" s="166">
        <v>2</v>
      </c>
      <c r="AA1884" s="164">
        <f>($L1884*'Pivot Objective'!$C$9^4)*Y1884*Z1884</f>
        <v>537496389.38765609</v>
      </c>
      <c r="AB1884" s="166">
        <v>4500</v>
      </c>
      <c r="AC1884" s="166">
        <v>2</v>
      </c>
      <c r="AD1884" s="164">
        <f>($L1884*'Pivot Objective'!$C$9^5)*AB1884*AC1884</f>
        <v>614315962.99247897</v>
      </c>
      <c r="AE1884" s="166">
        <v>4500</v>
      </c>
      <c r="AF1884" s="166">
        <v>2</v>
      </c>
      <c r="AG1884" s="164">
        <f>($L1884*'Pivot Objective'!$C$9^6)*AE1884*AF1884</f>
        <v>702114674.32797539</v>
      </c>
      <c r="AH1884" s="166">
        <v>4500</v>
      </c>
      <c r="AI1884" s="166">
        <v>2</v>
      </c>
      <c r="AJ1884" s="164">
        <f>($L1884*'Pivot Objective'!$C$9^7)*AH1884*AI1884</f>
        <v>802461673.80272746</v>
      </c>
      <c r="AK1884" s="185">
        <f t="shared" si="213"/>
        <v>3538146343.9456339</v>
      </c>
      <c r="AL1884" s="186">
        <f t="shared" si="214"/>
        <v>3435093.5378112951</v>
      </c>
    </row>
    <row r="1885" spans="1:38" customFormat="1" ht="43.2" x14ac:dyDescent="0.3">
      <c r="A1885" s="140" t="s">
        <v>1486</v>
      </c>
      <c r="B1885" s="140">
        <v>3</v>
      </c>
      <c r="C1885" s="166" t="s">
        <v>696</v>
      </c>
      <c r="D1885" s="140" t="str">
        <f t="shared" si="210"/>
        <v>3</v>
      </c>
      <c r="E1885" s="166" t="s">
        <v>691</v>
      </c>
      <c r="F1885" s="140">
        <f t="shared" si="215"/>
        <v>2</v>
      </c>
      <c r="G1885" s="140" t="str">
        <f t="shared" si="211"/>
        <v>3.3.2</v>
      </c>
      <c r="H1885" s="166" t="s">
        <v>1699</v>
      </c>
      <c r="I1885" s="166" t="s">
        <v>45</v>
      </c>
      <c r="J1885" s="166" t="s">
        <v>366</v>
      </c>
      <c r="K1885" s="166" t="s">
        <v>712</v>
      </c>
      <c r="L1885" s="167">
        <f>1480/7</f>
        <v>211.42857142857142</v>
      </c>
      <c r="M1885" s="166">
        <f>2*25*9</f>
        <v>450</v>
      </c>
      <c r="N1885" s="166">
        <f>5*4</f>
        <v>20</v>
      </c>
      <c r="O1885" s="164">
        <f t="shared" si="212"/>
        <v>1902857.1428571427</v>
      </c>
      <c r="P1885" s="166">
        <f>2*25*9</f>
        <v>450</v>
      </c>
      <c r="Q1885" s="166">
        <v>20</v>
      </c>
      <c r="R1885" s="164">
        <f>$L1885*'Pivot Objective'!$C$9*P1885*Q1885</f>
        <v>2174815.573148571</v>
      </c>
      <c r="S1885" s="166">
        <v>0</v>
      </c>
      <c r="T1885" s="166">
        <v>0</v>
      </c>
      <c r="U1885" s="164">
        <f>($L1885*'Pivot Objective'!$C$9^2)*S1885*T1885</f>
        <v>0</v>
      </c>
      <c r="V1885" s="166">
        <v>0</v>
      </c>
      <c r="W1885" s="166">
        <v>0</v>
      </c>
      <c r="X1885" s="164">
        <f>($L1885*'Pivot Objective'!$C$9^3)*V1885*W1885</f>
        <v>0</v>
      </c>
      <c r="Y1885" s="166">
        <v>0</v>
      </c>
      <c r="Z1885" s="166">
        <v>0</v>
      </c>
      <c r="AA1885" s="164">
        <f>($L1885*'Pivot Objective'!$C$9^4)*Y1885*Z1885</f>
        <v>0</v>
      </c>
      <c r="AB1885" s="166">
        <f>2*25*9</f>
        <v>450</v>
      </c>
      <c r="AC1885" s="166">
        <f>5*4</f>
        <v>20</v>
      </c>
      <c r="AD1885" s="164">
        <f>($L1885*'Pivot Objective'!$C$9^5)*AB1885*AC1885</f>
        <v>3710969.8988933424</v>
      </c>
      <c r="AE1885" s="166">
        <v>0</v>
      </c>
      <c r="AF1885" s="166">
        <v>0</v>
      </c>
      <c r="AG1885" s="164">
        <f>($L1885*'Pivot Objective'!$C$9^6)*AE1885*AF1885</f>
        <v>0</v>
      </c>
      <c r="AH1885" s="166">
        <v>0</v>
      </c>
      <c r="AI1885" s="166">
        <v>0</v>
      </c>
      <c r="AJ1885" s="164">
        <f>($L1885*'Pivot Objective'!$C$9^7)*AH1885*AI1885</f>
        <v>0</v>
      </c>
      <c r="AK1885" s="185">
        <f t="shared" si="213"/>
        <v>7788642.614899056</v>
      </c>
      <c r="AL1885" s="186">
        <f t="shared" si="214"/>
        <v>7561.788946503938</v>
      </c>
    </row>
    <row r="1886" spans="1:38" customFormat="1" ht="43.2" x14ac:dyDescent="0.3">
      <c r="A1886" s="140" t="s">
        <v>1486</v>
      </c>
      <c r="B1886" s="140">
        <v>3</v>
      </c>
      <c r="C1886" s="166" t="s">
        <v>696</v>
      </c>
      <c r="D1886" s="140" t="str">
        <f t="shared" si="210"/>
        <v>3</v>
      </c>
      <c r="E1886" s="166" t="s">
        <v>691</v>
      </c>
      <c r="F1886" s="140">
        <f t="shared" si="215"/>
        <v>2</v>
      </c>
      <c r="G1886" s="140" t="str">
        <f t="shared" si="211"/>
        <v>3.3.2</v>
      </c>
      <c r="H1886" s="166" t="s">
        <v>1699</v>
      </c>
      <c r="I1886" s="166" t="s">
        <v>45</v>
      </c>
      <c r="J1886" s="166" t="s">
        <v>366</v>
      </c>
      <c r="K1886" s="166" t="s">
        <v>1299</v>
      </c>
      <c r="L1886" s="167">
        <f>1480/7</f>
        <v>211.42857142857142</v>
      </c>
      <c r="M1886" s="166">
        <f>2*135*9</f>
        <v>2430</v>
      </c>
      <c r="N1886" s="166">
        <v>4</v>
      </c>
      <c r="O1886" s="164">
        <f t="shared" si="212"/>
        <v>2055085.7142857141</v>
      </c>
      <c r="P1886" s="166">
        <f>2*135*9</f>
        <v>2430</v>
      </c>
      <c r="Q1886" s="166">
        <v>4</v>
      </c>
      <c r="R1886" s="164">
        <f>$L1886*'Pivot Objective'!$C$9*P1886*Q1886</f>
        <v>2348800.8190004569</v>
      </c>
      <c r="S1886" s="166"/>
      <c r="T1886" s="166"/>
      <c r="U1886" s="164">
        <f>($L1886*'Pivot Objective'!$C$9^2)*S1886*T1886</f>
        <v>0</v>
      </c>
      <c r="V1886" s="166"/>
      <c r="W1886" s="166"/>
      <c r="X1886" s="164">
        <f>($L1886*'Pivot Objective'!$C$9^3)*V1886*W1886</f>
        <v>0</v>
      </c>
      <c r="Y1886" s="166"/>
      <c r="Z1886" s="166"/>
      <c r="AA1886" s="164">
        <f>($L1886*'Pivot Objective'!$C$9^4)*Y1886*Z1886</f>
        <v>0</v>
      </c>
      <c r="AB1886" s="166">
        <f>2*135*9</f>
        <v>2430</v>
      </c>
      <c r="AC1886" s="166">
        <v>4</v>
      </c>
      <c r="AD1886" s="164">
        <f>($L1886*'Pivot Objective'!$C$9^5)*AB1886*AC1886</f>
        <v>4007847.4908048101</v>
      </c>
      <c r="AE1886" s="166"/>
      <c r="AF1886" s="166"/>
      <c r="AG1886" s="164">
        <f>($L1886*'Pivot Objective'!$C$9^6)*AE1886*AF1886</f>
        <v>0</v>
      </c>
      <c r="AH1886" s="166"/>
      <c r="AI1886" s="166"/>
      <c r="AJ1886" s="164">
        <f>($L1886*'Pivot Objective'!$C$9^7)*AH1886*AI1886</f>
        <v>0</v>
      </c>
      <c r="AK1886" s="185">
        <f t="shared" si="213"/>
        <v>8411734.0240909811</v>
      </c>
      <c r="AL1886" s="186">
        <f t="shared" si="214"/>
        <v>8166.7320622242532</v>
      </c>
    </row>
    <row r="1887" spans="1:38" customFormat="1" ht="43.2" x14ac:dyDescent="0.3">
      <c r="A1887" s="140" t="s">
        <v>1486</v>
      </c>
      <c r="B1887" s="140">
        <v>3</v>
      </c>
      <c r="C1887" s="166" t="s">
        <v>696</v>
      </c>
      <c r="D1887" s="140" t="str">
        <f t="shared" si="210"/>
        <v>3</v>
      </c>
      <c r="E1887" s="166" t="s">
        <v>691</v>
      </c>
      <c r="F1887" s="140">
        <f t="shared" si="215"/>
        <v>2</v>
      </c>
      <c r="G1887" s="140" t="str">
        <f t="shared" si="211"/>
        <v>3.3.2</v>
      </c>
      <c r="H1887" s="166" t="s">
        <v>1699</v>
      </c>
      <c r="I1887" s="166" t="s">
        <v>45</v>
      </c>
      <c r="J1887" s="166" t="s">
        <v>367</v>
      </c>
      <c r="K1887" s="166" t="s">
        <v>716</v>
      </c>
      <c r="L1887" s="167">
        <v>39000</v>
      </c>
      <c r="M1887" s="166">
        <v>25</v>
      </c>
      <c r="N1887" s="166">
        <v>5</v>
      </c>
      <c r="O1887" s="164">
        <f t="shared" si="212"/>
        <v>4875000</v>
      </c>
      <c r="P1887" s="166">
        <v>25</v>
      </c>
      <c r="Q1887" s="166">
        <v>5</v>
      </c>
      <c r="R1887" s="164">
        <f>$L1887*'Pivot Objective'!$C$9*P1887*Q1887</f>
        <v>5571740.347874999</v>
      </c>
      <c r="S1887" s="166">
        <v>0</v>
      </c>
      <c r="T1887" s="166">
        <v>0</v>
      </c>
      <c r="U1887" s="164">
        <f>($L1887*'Pivot Objective'!$C$9^2)*S1887*T1887</f>
        <v>0</v>
      </c>
      <c r="V1887" s="166">
        <v>0</v>
      </c>
      <c r="W1887" s="166">
        <v>0</v>
      </c>
      <c r="X1887" s="164">
        <f>($L1887*'Pivot Objective'!$C$9^3)*V1887*W1887</f>
        <v>0</v>
      </c>
      <c r="Y1887" s="166">
        <v>0</v>
      </c>
      <c r="Z1887" s="166">
        <v>0</v>
      </c>
      <c r="AA1887" s="164">
        <f>($L1887*'Pivot Objective'!$C$9^4)*Y1887*Z1887</f>
        <v>0</v>
      </c>
      <c r="AB1887" s="166">
        <v>25</v>
      </c>
      <c r="AC1887" s="166">
        <v>5</v>
      </c>
      <c r="AD1887" s="164">
        <f>($L1887*'Pivot Objective'!$C$9^5)*AB1887*AC1887</f>
        <v>9507270.8558359854</v>
      </c>
      <c r="AE1887" s="166">
        <v>0</v>
      </c>
      <c r="AF1887" s="166">
        <v>0</v>
      </c>
      <c r="AG1887" s="164">
        <f>($L1887*'Pivot Objective'!$C$9^6)*AE1887*AF1887</f>
        <v>0</v>
      </c>
      <c r="AH1887" s="166">
        <v>0</v>
      </c>
      <c r="AI1887" s="166">
        <v>0</v>
      </c>
      <c r="AJ1887" s="164">
        <f>($L1887*'Pivot Objective'!$C$9^7)*AH1887*AI1887</f>
        <v>0</v>
      </c>
      <c r="AK1887" s="185">
        <f t="shared" si="213"/>
        <v>19954011.203710984</v>
      </c>
      <c r="AL1887" s="186">
        <f t="shared" si="214"/>
        <v>19372.826411369886</v>
      </c>
    </row>
    <row r="1888" spans="1:38" customFormat="1" ht="43.2" x14ac:dyDescent="0.3">
      <c r="A1888" s="140" t="s">
        <v>1486</v>
      </c>
      <c r="B1888" s="140">
        <v>3</v>
      </c>
      <c r="C1888" s="166" t="s">
        <v>696</v>
      </c>
      <c r="D1888" s="140" t="str">
        <f t="shared" si="210"/>
        <v>3</v>
      </c>
      <c r="E1888" s="166" t="s">
        <v>691</v>
      </c>
      <c r="F1888" s="140">
        <f t="shared" si="215"/>
        <v>2</v>
      </c>
      <c r="G1888" s="140" t="str">
        <f t="shared" si="211"/>
        <v>3.3.2</v>
      </c>
      <c r="H1888" s="166" t="s">
        <v>1699</v>
      </c>
      <c r="I1888" s="166" t="s">
        <v>46</v>
      </c>
      <c r="J1888" s="166" t="s">
        <v>368</v>
      </c>
      <c r="K1888" s="166" t="s">
        <v>707</v>
      </c>
      <c r="L1888" s="167">
        <v>391991.03749999998</v>
      </c>
      <c r="M1888" s="166"/>
      <c r="N1888" s="166"/>
      <c r="O1888" s="164">
        <f t="shared" si="212"/>
        <v>0</v>
      </c>
      <c r="P1888" s="166"/>
      <c r="Q1888" s="166"/>
      <c r="R1888" s="164">
        <f>$L1888*'Pivot Objective'!$C$9*P1888*Q1888</f>
        <v>0</v>
      </c>
      <c r="S1888" s="166">
        <v>2</v>
      </c>
      <c r="T1888" s="166">
        <v>2</v>
      </c>
      <c r="U1888" s="164">
        <f>($L1888*'Pivot Objective'!$C$9^2)*S1888*T1888</f>
        <v>2048182.3883307995</v>
      </c>
      <c r="V1888" s="166">
        <v>2</v>
      </c>
      <c r="W1888" s="166">
        <v>2</v>
      </c>
      <c r="X1888" s="164">
        <f>($L1888*'Pivot Objective'!$C$9^3)*V1888*W1888</f>
        <v>2340910.8621271173</v>
      </c>
      <c r="Y1888" s="166">
        <v>2</v>
      </c>
      <c r="Z1888" s="166">
        <v>2</v>
      </c>
      <c r="AA1888" s="164">
        <f>($L1888*'Pivot Objective'!$C$9^4)*Y1888*Z1888</f>
        <v>2675476.4105215403</v>
      </c>
      <c r="AB1888" s="166">
        <v>2</v>
      </c>
      <c r="AC1888" s="166">
        <v>2</v>
      </c>
      <c r="AD1888" s="164">
        <f>($L1888*'Pivot Objective'!$C$9^5)*AB1888*AC1888</f>
        <v>3057858.4341109009</v>
      </c>
      <c r="AE1888" s="166">
        <v>2</v>
      </c>
      <c r="AF1888" s="166">
        <v>2</v>
      </c>
      <c r="AG1888" s="164">
        <f>($L1888*'Pivot Objective'!$C$9^6)*AE1888*AF1888</f>
        <v>3494890.915984733</v>
      </c>
      <c r="AH1888" s="166">
        <v>0</v>
      </c>
      <c r="AI1888" s="166">
        <v>0</v>
      </c>
      <c r="AJ1888" s="164">
        <f>($L1888*'Pivot Objective'!$C$9^7)*AH1888*AI1888</f>
        <v>0</v>
      </c>
      <c r="AK1888" s="185">
        <f t="shared" si="213"/>
        <v>13617319.011075091</v>
      </c>
      <c r="AL1888" s="186">
        <f t="shared" si="214"/>
        <v>13220.698069004942</v>
      </c>
    </row>
    <row r="1889" spans="1:38" customFormat="1" ht="43.2" x14ac:dyDescent="0.3">
      <c r="A1889" s="140" t="s">
        <v>1486</v>
      </c>
      <c r="B1889" s="140">
        <v>3</v>
      </c>
      <c r="C1889" s="166" t="s">
        <v>696</v>
      </c>
      <c r="D1889" s="140" t="str">
        <f t="shared" si="210"/>
        <v>3</v>
      </c>
      <c r="E1889" s="166" t="s">
        <v>691</v>
      </c>
      <c r="F1889" s="140">
        <f t="shared" si="215"/>
        <v>2</v>
      </c>
      <c r="G1889" s="140" t="str">
        <f t="shared" si="211"/>
        <v>3.3.2</v>
      </c>
      <c r="H1889" s="166" t="s">
        <v>1699</v>
      </c>
      <c r="I1889" s="166" t="s">
        <v>46</v>
      </c>
      <c r="J1889" s="166" t="s">
        <v>368</v>
      </c>
      <c r="K1889" s="166" t="s">
        <v>741</v>
      </c>
      <c r="L1889" s="167">
        <v>34293000</v>
      </c>
      <c r="M1889" s="166">
        <v>0</v>
      </c>
      <c r="N1889" s="166">
        <v>0</v>
      </c>
      <c r="O1889" s="164">
        <f t="shared" si="212"/>
        <v>0</v>
      </c>
      <c r="P1889" s="166">
        <v>0</v>
      </c>
      <c r="Q1889" s="166">
        <v>0</v>
      </c>
      <c r="R1889" s="164">
        <f>$L1889*'Pivot Objective'!$C$9*P1889*Q1889</f>
        <v>0</v>
      </c>
      <c r="S1889" s="166">
        <v>5</v>
      </c>
      <c r="T1889" s="166">
        <v>1</v>
      </c>
      <c r="U1889" s="164">
        <f>($L1889*'Pivot Objective'!$C$9^2)*S1889*T1889</f>
        <v>223979351.32326877</v>
      </c>
      <c r="V1889" s="166">
        <v>5</v>
      </c>
      <c r="W1889" s="166">
        <v>1</v>
      </c>
      <c r="X1889" s="164">
        <f>($L1889*'Pivot Objective'!$C$9^3)*V1889*W1889</f>
        <v>255990725.91973874</v>
      </c>
      <c r="Y1889" s="166">
        <v>5</v>
      </c>
      <c r="Z1889" s="166">
        <v>1</v>
      </c>
      <c r="AA1889" s="164">
        <f>($L1889*'Pivot Objective'!$C$9^4)*Y1889*Z1889</f>
        <v>292577201.29001415</v>
      </c>
      <c r="AB1889" s="166">
        <v>5</v>
      </c>
      <c r="AC1889" s="166">
        <v>1</v>
      </c>
      <c r="AD1889" s="164">
        <f>($L1889*'Pivot Objective'!$C$9^5)*AB1889*AC1889</f>
        <v>334392655.85557276</v>
      </c>
      <c r="AE1889" s="166">
        <v>5</v>
      </c>
      <c r="AF1889" s="166">
        <v>1</v>
      </c>
      <c r="AG1889" s="164">
        <f>($L1889*'Pivot Objective'!$C$9^6)*AE1889*AF1889</f>
        <v>382184421.05919468</v>
      </c>
      <c r="AH1889" s="166">
        <v>0</v>
      </c>
      <c r="AI1889" s="166">
        <v>0</v>
      </c>
      <c r="AJ1889" s="164">
        <f>($L1889*'Pivot Objective'!$C$9^7)*AH1889*AI1889</f>
        <v>0</v>
      </c>
      <c r="AK1889" s="185">
        <f t="shared" si="213"/>
        <v>1489124355.4477892</v>
      </c>
      <c r="AL1889" s="186">
        <f t="shared" si="214"/>
        <v>1445751.8014056205</v>
      </c>
    </row>
    <row r="1890" spans="1:38" customFormat="1" ht="43.2" x14ac:dyDescent="0.3">
      <c r="A1890" s="140" t="s">
        <v>1486</v>
      </c>
      <c r="B1890" s="140">
        <v>3</v>
      </c>
      <c r="C1890" s="166" t="s">
        <v>696</v>
      </c>
      <c r="D1890" s="140" t="str">
        <f t="shared" si="210"/>
        <v>3</v>
      </c>
      <c r="E1890" s="166" t="s">
        <v>691</v>
      </c>
      <c r="F1890" s="140">
        <f t="shared" si="215"/>
        <v>2</v>
      </c>
      <c r="G1890" s="140" t="str">
        <f t="shared" si="211"/>
        <v>3.3.2</v>
      </c>
      <c r="H1890" s="166" t="s">
        <v>1699</v>
      </c>
      <c r="I1890" s="166" t="s">
        <v>46</v>
      </c>
      <c r="J1890" s="166" t="s">
        <v>369</v>
      </c>
      <c r="K1890" s="166" t="s">
        <v>746</v>
      </c>
      <c r="L1890" s="183">
        <v>2000</v>
      </c>
      <c r="M1890" s="166">
        <v>0</v>
      </c>
      <c r="N1890" s="166">
        <v>0</v>
      </c>
      <c r="O1890" s="164">
        <f t="shared" si="212"/>
        <v>0</v>
      </c>
      <c r="P1890" s="166">
        <v>0</v>
      </c>
      <c r="Q1890" s="166">
        <v>0</v>
      </c>
      <c r="R1890" s="164">
        <f>$L1890*'Pivot Objective'!$C$9*P1890*Q1890</f>
        <v>0</v>
      </c>
      <c r="S1890" s="166">
        <v>10</v>
      </c>
      <c r="T1890" s="166">
        <v>1</v>
      </c>
      <c r="U1890" s="164">
        <f>($L1890*'Pivot Objective'!$C$9^2)*S1890*T1890</f>
        <v>26125.372679353663</v>
      </c>
      <c r="V1890" s="166">
        <v>0</v>
      </c>
      <c r="W1890" s="166">
        <v>0</v>
      </c>
      <c r="X1890" s="164">
        <f>($L1890*'Pivot Objective'!$C$9^3)*V1890*W1890</f>
        <v>0</v>
      </c>
      <c r="Y1890" s="166">
        <v>0</v>
      </c>
      <c r="Z1890" s="166">
        <v>0</v>
      </c>
      <c r="AA1890" s="164">
        <f>($L1890*'Pivot Objective'!$C$9^4)*Y1890*Z1890</f>
        <v>0</v>
      </c>
      <c r="AB1890" s="166">
        <v>0</v>
      </c>
      <c r="AC1890" s="166">
        <v>0</v>
      </c>
      <c r="AD1890" s="164">
        <f>($L1890*'Pivot Objective'!$C$9^5)*AB1890*AC1890</f>
        <v>0</v>
      </c>
      <c r="AE1890" s="166">
        <v>0</v>
      </c>
      <c r="AF1890" s="166">
        <v>0</v>
      </c>
      <c r="AG1890" s="164">
        <f>($L1890*'Pivot Objective'!$C$9^6)*AE1890*AF1890</f>
        <v>0</v>
      </c>
      <c r="AH1890" s="166">
        <v>0</v>
      </c>
      <c r="AI1890" s="166">
        <v>0</v>
      </c>
      <c r="AJ1890" s="164">
        <f>($L1890*'Pivot Objective'!$C$9^7)*AH1890*AI1890</f>
        <v>0</v>
      </c>
      <c r="AK1890" s="185">
        <f t="shared" si="213"/>
        <v>26125.372679353663</v>
      </c>
      <c r="AL1890" s="186">
        <f t="shared" si="214"/>
        <v>25.36443949451812</v>
      </c>
    </row>
    <row r="1891" spans="1:38" customFormat="1" ht="43.2" x14ac:dyDescent="0.3">
      <c r="A1891" s="140" t="s">
        <v>1486</v>
      </c>
      <c r="B1891" s="140">
        <v>3</v>
      </c>
      <c r="C1891" s="166" t="s">
        <v>696</v>
      </c>
      <c r="D1891" s="140" t="str">
        <f t="shared" si="210"/>
        <v>3</v>
      </c>
      <c r="E1891" s="166" t="s">
        <v>691</v>
      </c>
      <c r="F1891" s="140">
        <f t="shared" si="215"/>
        <v>2</v>
      </c>
      <c r="G1891" s="140" t="str">
        <f t="shared" si="211"/>
        <v>3.3.2</v>
      </c>
      <c r="H1891" s="166" t="s">
        <v>1699</v>
      </c>
      <c r="I1891" s="166" t="s">
        <v>45</v>
      </c>
      <c r="J1891" s="166" t="s">
        <v>367</v>
      </c>
      <c r="K1891" s="166" t="s">
        <v>709</v>
      </c>
      <c r="L1891" s="167">
        <v>35000</v>
      </c>
      <c r="M1891" s="166">
        <v>25</v>
      </c>
      <c r="N1891" s="166">
        <v>5</v>
      </c>
      <c r="O1891" s="164">
        <f t="shared" si="212"/>
        <v>4375000</v>
      </c>
      <c r="P1891" s="166">
        <v>25</v>
      </c>
      <c r="Q1891" s="166">
        <v>5</v>
      </c>
      <c r="R1891" s="164">
        <f>$L1891*'Pivot Objective'!$C$9*P1891*Q1891</f>
        <v>5000279.7993749995</v>
      </c>
      <c r="S1891" s="166">
        <v>0</v>
      </c>
      <c r="T1891" s="166">
        <v>0</v>
      </c>
      <c r="U1891" s="164">
        <f>($L1891*'Pivot Objective'!$C$9^2)*S1891*T1891</f>
        <v>0</v>
      </c>
      <c r="V1891" s="166">
        <v>0</v>
      </c>
      <c r="W1891" s="166">
        <v>0</v>
      </c>
      <c r="X1891" s="164">
        <f>($L1891*'Pivot Objective'!$C$9^3)*V1891*W1891</f>
        <v>0</v>
      </c>
      <c r="Y1891" s="166">
        <v>0</v>
      </c>
      <c r="Z1891" s="166">
        <v>0</v>
      </c>
      <c r="AA1891" s="164">
        <f>($L1891*'Pivot Objective'!$C$9^4)*Y1891*Z1891</f>
        <v>0</v>
      </c>
      <c r="AB1891" s="166">
        <v>25</v>
      </c>
      <c r="AC1891" s="166">
        <v>5</v>
      </c>
      <c r="AD1891" s="164">
        <f>($L1891*'Pivot Objective'!$C$9^5)*AB1891*AC1891</f>
        <v>8532166.152673319</v>
      </c>
      <c r="AE1891" s="166">
        <v>0</v>
      </c>
      <c r="AF1891" s="166">
        <v>0</v>
      </c>
      <c r="AG1891" s="164">
        <f>($L1891*'Pivot Objective'!$C$9^6)*AE1891*AF1891</f>
        <v>0</v>
      </c>
      <c r="AH1891" s="166">
        <v>0</v>
      </c>
      <c r="AI1891" s="166">
        <v>0</v>
      </c>
      <c r="AJ1891" s="164">
        <f>($L1891*'Pivot Objective'!$C$9^7)*AH1891*AI1891</f>
        <v>0</v>
      </c>
      <c r="AK1891" s="185">
        <f t="shared" si="213"/>
        <v>17907445.952048317</v>
      </c>
      <c r="AL1891" s="186">
        <f t="shared" si="214"/>
        <v>17385.869856357589</v>
      </c>
    </row>
    <row r="1892" spans="1:38" customFormat="1" ht="43.2" x14ac:dyDescent="0.3">
      <c r="A1892" s="140" t="s">
        <v>1486</v>
      </c>
      <c r="B1892" s="140">
        <v>3</v>
      </c>
      <c r="C1892" s="166" t="s">
        <v>696</v>
      </c>
      <c r="D1892" s="140" t="str">
        <f t="shared" si="210"/>
        <v>3</v>
      </c>
      <c r="E1892" s="166" t="s">
        <v>691</v>
      </c>
      <c r="F1892" s="140">
        <f t="shared" si="215"/>
        <v>2</v>
      </c>
      <c r="G1892" s="140" t="str">
        <f t="shared" si="211"/>
        <v>3.3.2</v>
      </c>
      <c r="H1892" s="166" t="s">
        <v>1699</v>
      </c>
      <c r="I1892" s="166" t="s">
        <v>45</v>
      </c>
      <c r="J1892" s="166" t="s">
        <v>367</v>
      </c>
      <c r="K1892" s="166" t="s">
        <v>712</v>
      </c>
      <c r="L1892" s="167">
        <f>1480/7</f>
        <v>211.42857142857142</v>
      </c>
      <c r="M1892" s="166">
        <f>2*25*9</f>
        <v>450</v>
      </c>
      <c r="N1892" s="166">
        <v>5</v>
      </c>
      <c r="O1892" s="164">
        <f t="shared" si="212"/>
        <v>475714.28571428568</v>
      </c>
      <c r="P1892" s="166">
        <f>2*25*9</f>
        <v>450</v>
      </c>
      <c r="Q1892" s="166">
        <v>5</v>
      </c>
      <c r="R1892" s="164">
        <f>$L1892*'Pivot Objective'!$C$9*P1892*Q1892</f>
        <v>543703.89328714274</v>
      </c>
      <c r="S1892" s="166">
        <v>0</v>
      </c>
      <c r="T1892" s="166">
        <v>0</v>
      </c>
      <c r="U1892" s="164">
        <f>($L1892*'Pivot Objective'!$C$9^2)*S1892*T1892</f>
        <v>0</v>
      </c>
      <c r="V1892" s="166">
        <v>0</v>
      </c>
      <c r="W1892" s="166">
        <v>0</v>
      </c>
      <c r="X1892" s="164">
        <f>($L1892*'Pivot Objective'!$C$9^3)*V1892*W1892</f>
        <v>0</v>
      </c>
      <c r="Y1892" s="166">
        <v>0</v>
      </c>
      <c r="Z1892" s="166">
        <v>0</v>
      </c>
      <c r="AA1892" s="164">
        <f>($L1892*'Pivot Objective'!$C$9^4)*Y1892*Z1892</f>
        <v>0</v>
      </c>
      <c r="AB1892" s="166">
        <f>2*25*9</f>
        <v>450</v>
      </c>
      <c r="AC1892" s="166">
        <v>5</v>
      </c>
      <c r="AD1892" s="164">
        <f>($L1892*'Pivot Objective'!$C$9^5)*AB1892*AC1892</f>
        <v>927742.47472333559</v>
      </c>
      <c r="AE1892" s="166">
        <v>0</v>
      </c>
      <c r="AF1892" s="166">
        <v>0</v>
      </c>
      <c r="AG1892" s="164">
        <f>($L1892*'Pivot Objective'!$C$9^6)*AE1892*AF1892</f>
        <v>0</v>
      </c>
      <c r="AH1892" s="166">
        <v>0</v>
      </c>
      <c r="AI1892" s="166">
        <v>0</v>
      </c>
      <c r="AJ1892" s="164">
        <f>($L1892*'Pivot Objective'!$C$9^7)*AH1892*AI1892</f>
        <v>0</v>
      </c>
      <c r="AK1892" s="185">
        <f t="shared" si="213"/>
        <v>1947160.653724764</v>
      </c>
      <c r="AL1892" s="186">
        <f t="shared" si="214"/>
        <v>1890.4472366259845</v>
      </c>
    </row>
    <row r="1893" spans="1:38" customFormat="1" ht="43.2" x14ac:dyDescent="0.3">
      <c r="A1893" s="140" t="s">
        <v>1486</v>
      </c>
      <c r="B1893" s="140">
        <v>3</v>
      </c>
      <c r="C1893" s="166" t="s">
        <v>696</v>
      </c>
      <c r="D1893" s="140" t="str">
        <f t="shared" si="210"/>
        <v>3</v>
      </c>
      <c r="E1893" s="166" t="s">
        <v>691</v>
      </c>
      <c r="F1893" s="140">
        <f t="shared" si="215"/>
        <v>2</v>
      </c>
      <c r="G1893" s="140" t="str">
        <f t="shared" si="211"/>
        <v>3.3.2</v>
      </c>
      <c r="H1893" s="166" t="s">
        <v>1699</v>
      </c>
      <c r="I1893" s="166" t="s">
        <v>45</v>
      </c>
      <c r="J1893" s="166" t="s">
        <v>367</v>
      </c>
      <c r="K1893" s="166" t="s">
        <v>716</v>
      </c>
      <c r="L1893" s="167">
        <v>39000</v>
      </c>
      <c r="M1893" s="166">
        <v>25</v>
      </c>
      <c r="N1893" s="166">
        <v>6</v>
      </c>
      <c r="O1893" s="164">
        <f t="shared" si="212"/>
        <v>5850000</v>
      </c>
      <c r="P1893" s="166">
        <v>25</v>
      </c>
      <c r="Q1893" s="166">
        <v>6</v>
      </c>
      <c r="R1893" s="164">
        <f>$L1893*'Pivot Objective'!$C$9*P1893*Q1893</f>
        <v>6686088.4174499996</v>
      </c>
      <c r="S1893" s="166"/>
      <c r="T1893" s="166"/>
      <c r="U1893" s="164">
        <f>($L1893*'Pivot Objective'!$C$9^2)*S1893*T1893</f>
        <v>0</v>
      </c>
      <c r="V1893" s="166"/>
      <c r="W1893" s="166"/>
      <c r="X1893" s="164">
        <f>($L1893*'Pivot Objective'!$C$9^3)*V1893*W1893</f>
        <v>0</v>
      </c>
      <c r="Y1893" s="166"/>
      <c r="Z1893" s="166"/>
      <c r="AA1893" s="164">
        <f>($L1893*'Pivot Objective'!$C$9^4)*Y1893*Z1893</f>
        <v>0</v>
      </c>
      <c r="AB1893" s="166">
        <v>25</v>
      </c>
      <c r="AC1893" s="166">
        <v>6</v>
      </c>
      <c r="AD1893" s="164">
        <f>($L1893*'Pivot Objective'!$C$9^5)*AB1893*AC1893</f>
        <v>11408725.027003182</v>
      </c>
      <c r="AE1893" s="166"/>
      <c r="AF1893" s="166"/>
      <c r="AG1893" s="164">
        <f>($L1893*'Pivot Objective'!$C$9^6)*AE1893*AF1893</f>
        <v>0</v>
      </c>
      <c r="AH1893" s="166"/>
      <c r="AI1893" s="166"/>
      <c r="AJ1893" s="164">
        <f>($L1893*'Pivot Objective'!$C$9^7)*AH1893*AI1893</f>
        <v>0</v>
      </c>
      <c r="AK1893" s="185">
        <f t="shared" si="213"/>
        <v>23944813.44445318</v>
      </c>
      <c r="AL1893" s="186">
        <f t="shared" si="214"/>
        <v>23247.391693643865</v>
      </c>
    </row>
    <row r="1894" spans="1:38" customFormat="1" ht="43.2" x14ac:dyDescent="0.3">
      <c r="A1894" s="140" t="s">
        <v>1486</v>
      </c>
      <c r="B1894" s="140">
        <v>3</v>
      </c>
      <c r="C1894" s="166" t="s">
        <v>696</v>
      </c>
      <c r="D1894" s="140" t="str">
        <f t="shared" si="210"/>
        <v>3</v>
      </c>
      <c r="E1894" s="166" t="s">
        <v>691</v>
      </c>
      <c r="F1894" s="140">
        <f t="shared" si="215"/>
        <v>2</v>
      </c>
      <c r="G1894" s="140" t="str">
        <f t="shared" si="211"/>
        <v>3.3.2</v>
      </c>
      <c r="H1894" s="166" t="s">
        <v>1699</v>
      </c>
      <c r="I1894" s="166" t="s">
        <v>45</v>
      </c>
      <c r="J1894" s="166" t="s">
        <v>367</v>
      </c>
      <c r="K1894" s="166" t="s">
        <v>1299</v>
      </c>
      <c r="L1894" s="167">
        <f>1480/7</f>
        <v>211.42857142857142</v>
      </c>
      <c r="M1894" s="166">
        <f>2*135*9</f>
        <v>2430</v>
      </c>
      <c r="N1894" s="166">
        <v>1</v>
      </c>
      <c r="O1894" s="164">
        <f t="shared" si="212"/>
        <v>513771.42857142852</v>
      </c>
      <c r="P1894" s="166">
        <f>2*135*9</f>
        <v>2430</v>
      </c>
      <c r="Q1894" s="166">
        <v>1</v>
      </c>
      <c r="R1894" s="164">
        <f>$L1894*'Pivot Objective'!$C$9*P1894*Q1894</f>
        <v>587200.20475011424</v>
      </c>
      <c r="S1894" s="166"/>
      <c r="T1894" s="166"/>
      <c r="U1894" s="164">
        <f>($L1894*'Pivot Objective'!$C$9^2)*S1894*T1894</f>
        <v>0</v>
      </c>
      <c r="V1894" s="166"/>
      <c r="W1894" s="166"/>
      <c r="X1894" s="164">
        <f>($L1894*'Pivot Objective'!$C$9^3)*V1894*W1894</f>
        <v>0</v>
      </c>
      <c r="Y1894" s="166"/>
      <c r="Z1894" s="166"/>
      <c r="AA1894" s="164">
        <f>($L1894*'Pivot Objective'!$C$9^4)*Y1894*Z1894</f>
        <v>0</v>
      </c>
      <c r="AB1894" s="166">
        <f>2*135*9</f>
        <v>2430</v>
      </c>
      <c r="AC1894" s="166">
        <v>1</v>
      </c>
      <c r="AD1894" s="164">
        <f>($L1894*'Pivot Objective'!$C$9^5)*AB1894*AC1894</f>
        <v>1001961.8727012025</v>
      </c>
      <c r="AE1894" s="166"/>
      <c r="AF1894" s="166"/>
      <c r="AG1894" s="164">
        <f>($L1894*'Pivot Objective'!$C$9^6)*AE1894*AF1894</f>
        <v>0</v>
      </c>
      <c r="AH1894" s="166"/>
      <c r="AI1894" s="166"/>
      <c r="AJ1894" s="164">
        <f>($L1894*'Pivot Objective'!$C$9^7)*AH1894*AI1894</f>
        <v>0</v>
      </c>
      <c r="AK1894" s="185">
        <f t="shared" si="213"/>
        <v>2102933.5060227453</v>
      </c>
      <c r="AL1894" s="186">
        <f t="shared" si="214"/>
        <v>2041.6830155560633</v>
      </c>
    </row>
    <row r="1895" spans="1:38" customFormat="1" ht="43.2" x14ac:dyDescent="0.3">
      <c r="A1895" s="140" t="s">
        <v>1486</v>
      </c>
      <c r="B1895" s="140">
        <v>3</v>
      </c>
      <c r="C1895" s="166" t="s">
        <v>696</v>
      </c>
      <c r="D1895" s="140" t="str">
        <f t="shared" si="210"/>
        <v>3</v>
      </c>
      <c r="E1895" s="166" t="s">
        <v>691</v>
      </c>
      <c r="F1895" s="140">
        <f t="shared" si="215"/>
        <v>2</v>
      </c>
      <c r="G1895" s="140" t="str">
        <f t="shared" si="211"/>
        <v>3.3.2</v>
      </c>
      <c r="H1895" s="166" t="s">
        <v>1699</v>
      </c>
      <c r="I1895" s="166" t="s">
        <v>46</v>
      </c>
      <c r="J1895" s="166" t="s">
        <v>759</v>
      </c>
      <c r="K1895" s="166" t="s">
        <v>760</v>
      </c>
      <c r="L1895" s="167">
        <v>1500000</v>
      </c>
      <c r="M1895" s="166">
        <v>1</v>
      </c>
      <c r="N1895" s="166">
        <v>12</v>
      </c>
      <c r="O1895" s="164">
        <f t="shared" si="212"/>
        <v>18000000</v>
      </c>
      <c r="P1895" s="166">
        <v>1</v>
      </c>
      <c r="Q1895" s="166">
        <v>12</v>
      </c>
      <c r="R1895" s="164">
        <f>$L1895*'Pivot Objective'!$C$9*P1895*Q1895</f>
        <v>20572579.745999999</v>
      </c>
      <c r="S1895" s="166">
        <v>1</v>
      </c>
      <c r="T1895" s="166">
        <v>12</v>
      </c>
      <c r="U1895" s="164">
        <f>($L1895*'Pivot Objective'!$C$9^2)*S1895*T1895</f>
        <v>23512835.411418296</v>
      </c>
      <c r="V1895" s="166">
        <v>1</v>
      </c>
      <c r="W1895" s="166">
        <v>12</v>
      </c>
      <c r="X1895" s="164">
        <f>($L1895*'Pivot Objective'!$C$9^3)*V1895*W1895</f>
        <v>26873315.641998645</v>
      </c>
      <c r="Y1895" s="166">
        <v>1</v>
      </c>
      <c r="Z1895" s="166">
        <v>12</v>
      </c>
      <c r="AA1895" s="164">
        <f>($L1895*'Pivot Objective'!$C$9^4)*Y1895*Z1895</f>
        <v>30714079.393580351</v>
      </c>
      <c r="AB1895" s="166">
        <v>0</v>
      </c>
      <c r="AC1895" s="166">
        <v>0</v>
      </c>
      <c r="AD1895" s="164">
        <f>($L1895*'Pivot Objective'!$C$9^5)*AB1895*AC1895</f>
        <v>0</v>
      </c>
      <c r="AE1895" s="166">
        <v>0</v>
      </c>
      <c r="AF1895" s="166">
        <v>0</v>
      </c>
      <c r="AG1895" s="164">
        <f>($L1895*'Pivot Objective'!$C$9^6)*AE1895*AF1895</f>
        <v>0</v>
      </c>
      <c r="AH1895" s="166">
        <v>0</v>
      </c>
      <c r="AI1895" s="166">
        <v>0</v>
      </c>
      <c r="AJ1895" s="164">
        <f>($L1895*'Pivot Objective'!$C$9^7)*AH1895*AI1895</f>
        <v>0</v>
      </c>
      <c r="AK1895" s="185">
        <f t="shared" si="213"/>
        <v>119672810.19299729</v>
      </c>
      <c r="AL1895" s="186">
        <f t="shared" si="214"/>
        <v>116187.19436213329</v>
      </c>
    </row>
    <row r="1896" spans="1:38" customFormat="1" ht="43.2" x14ac:dyDescent="0.3">
      <c r="A1896" s="140" t="s">
        <v>1486</v>
      </c>
      <c r="B1896" s="140">
        <v>3</v>
      </c>
      <c r="C1896" s="166" t="s">
        <v>696</v>
      </c>
      <c r="D1896" s="140" t="str">
        <f t="shared" si="210"/>
        <v>3</v>
      </c>
      <c r="E1896" s="166" t="s">
        <v>691</v>
      </c>
      <c r="F1896" s="140">
        <f t="shared" si="215"/>
        <v>2</v>
      </c>
      <c r="G1896" s="140" t="str">
        <f t="shared" si="211"/>
        <v>3.3.2</v>
      </c>
      <c r="H1896" s="166" t="s">
        <v>1699</v>
      </c>
      <c r="I1896" s="166" t="s">
        <v>46</v>
      </c>
      <c r="J1896" s="166" t="s">
        <v>1389</v>
      </c>
      <c r="K1896" s="166" t="s">
        <v>716</v>
      </c>
      <c r="L1896" s="167">
        <v>39000</v>
      </c>
      <c r="M1896" s="166">
        <v>25</v>
      </c>
      <c r="N1896" s="166">
        <f>6*4</f>
        <v>24</v>
      </c>
      <c r="O1896" s="164">
        <f t="shared" si="212"/>
        <v>23400000</v>
      </c>
      <c r="P1896" s="166">
        <v>0</v>
      </c>
      <c r="Q1896" s="166">
        <v>0</v>
      </c>
      <c r="R1896" s="164">
        <f>$L1896*'Pivot Objective'!$C$9*P1896*Q1896</f>
        <v>0</v>
      </c>
      <c r="S1896" s="166">
        <v>60</v>
      </c>
      <c r="T1896" s="166">
        <v>3</v>
      </c>
      <c r="U1896" s="164">
        <f>($L1896*'Pivot Objective'!$C$9^2)*S1896*T1896</f>
        <v>9170005.8104531355</v>
      </c>
      <c r="V1896" s="166">
        <v>60</v>
      </c>
      <c r="W1896" s="166">
        <v>3</v>
      </c>
      <c r="X1896" s="164">
        <f>($L1896*'Pivot Objective'!$C$9^3)*V1896*W1896</f>
        <v>10480593.100379471</v>
      </c>
      <c r="Y1896" s="166">
        <v>60</v>
      </c>
      <c r="Z1896" s="166">
        <v>3</v>
      </c>
      <c r="AA1896" s="164">
        <f>($L1896*'Pivot Objective'!$C$9^4)*Y1896*Z1896</f>
        <v>11978490.963496335</v>
      </c>
      <c r="AB1896" s="166">
        <v>0</v>
      </c>
      <c r="AC1896" s="166">
        <v>0</v>
      </c>
      <c r="AD1896" s="164">
        <f>($L1896*'Pivot Objective'!$C$9^5)*AB1896*AC1896</f>
        <v>0</v>
      </c>
      <c r="AE1896" s="166">
        <v>0</v>
      </c>
      <c r="AF1896" s="166">
        <v>0</v>
      </c>
      <c r="AG1896" s="164">
        <f>($L1896*'Pivot Objective'!$C$9^6)*AE1896*AF1896</f>
        <v>0</v>
      </c>
      <c r="AH1896" s="166">
        <v>0</v>
      </c>
      <c r="AI1896" s="166">
        <v>0</v>
      </c>
      <c r="AJ1896" s="164">
        <f>($L1896*'Pivot Objective'!$C$9^7)*AH1896*AI1896</f>
        <v>0</v>
      </c>
      <c r="AK1896" s="185">
        <f t="shared" si="213"/>
        <v>55029089.874328941</v>
      </c>
      <c r="AL1896" s="186">
        <f t="shared" si="214"/>
        <v>53426.300848863051</v>
      </c>
    </row>
    <row r="1897" spans="1:38" customFormat="1" ht="43.2" x14ac:dyDescent="0.3">
      <c r="A1897" s="140" t="s">
        <v>1486</v>
      </c>
      <c r="B1897" s="140">
        <v>3</v>
      </c>
      <c r="C1897" s="166" t="s">
        <v>696</v>
      </c>
      <c r="D1897" s="140" t="str">
        <f t="shared" si="210"/>
        <v>3</v>
      </c>
      <c r="E1897" s="166" t="s">
        <v>691</v>
      </c>
      <c r="F1897" s="140">
        <f t="shared" si="215"/>
        <v>2</v>
      </c>
      <c r="G1897" s="140" t="str">
        <f t="shared" si="211"/>
        <v>3.3.2</v>
      </c>
      <c r="H1897" s="166" t="s">
        <v>1699</v>
      </c>
      <c r="I1897" s="166" t="s">
        <v>46</v>
      </c>
      <c r="J1897" s="166" t="s">
        <v>1389</v>
      </c>
      <c r="K1897" s="166" t="s">
        <v>709</v>
      </c>
      <c r="L1897" s="167">
        <v>35000</v>
      </c>
      <c r="M1897" s="166">
        <v>25</v>
      </c>
      <c r="N1897" s="166">
        <f>5*4</f>
        <v>20</v>
      </c>
      <c r="O1897" s="164">
        <f t="shared" si="212"/>
        <v>17500000</v>
      </c>
      <c r="P1897" s="166">
        <v>0</v>
      </c>
      <c r="Q1897" s="166">
        <v>0</v>
      </c>
      <c r="R1897" s="164">
        <f>$L1897*'Pivot Objective'!$C$9*P1897*Q1897</f>
        <v>0</v>
      </c>
      <c r="S1897" s="166">
        <v>60</v>
      </c>
      <c r="T1897" s="166">
        <v>3</v>
      </c>
      <c r="U1897" s="164">
        <f>($L1897*'Pivot Objective'!$C$9^2)*S1897*T1897</f>
        <v>8229492.3939964026</v>
      </c>
      <c r="V1897" s="166">
        <v>60</v>
      </c>
      <c r="W1897" s="166">
        <v>3</v>
      </c>
      <c r="X1897" s="164">
        <f>($L1897*'Pivot Objective'!$C$9^3)*V1897*W1897</f>
        <v>9405660.474699527</v>
      </c>
      <c r="Y1897" s="166">
        <v>60</v>
      </c>
      <c r="Z1897" s="166">
        <v>3</v>
      </c>
      <c r="AA1897" s="164">
        <f>($L1897*'Pivot Objective'!$C$9^4)*Y1897*Z1897</f>
        <v>10749927.787753124</v>
      </c>
      <c r="AB1897" s="166">
        <v>0</v>
      </c>
      <c r="AC1897" s="166">
        <v>0</v>
      </c>
      <c r="AD1897" s="164">
        <f>($L1897*'Pivot Objective'!$C$9^5)*AB1897*AC1897</f>
        <v>0</v>
      </c>
      <c r="AE1897" s="166">
        <v>0</v>
      </c>
      <c r="AF1897" s="166">
        <v>0</v>
      </c>
      <c r="AG1897" s="164">
        <f>($L1897*'Pivot Objective'!$C$9^6)*AE1897*AF1897</f>
        <v>0</v>
      </c>
      <c r="AH1897" s="166">
        <v>0</v>
      </c>
      <c r="AI1897" s="166">
        <v>0</v>
      </c>
      <c r="AJ1897" s="164">
        <f>($L1897*'Pivot Objective'!$C$9^7)*AH1897*AI1897</f>
        <v>0</v>
      </c>
      <c r="AK1897" s="185">
        <f t="shared" si="213"/>
        <v>45885080.65644905</v>
      </c>
      <c r="AL1897" s="186">
        <f t="shared" si="214"/>
        <v>44548.621996552472</v>
      </c>
    </row>
    <row r="1898" spans="1:38" customFormat="1" ht="43.2" x14ac:dyDescent="0.3">
      <c r="A1898" s="140" t="s">
        <v>1486</v>
      </c>
      <c r="B1898" s="140">
        <v>3</v>
      </c>
      <c r="C1898" s="166" t="s">
        <v>696</v>
      </c>
      <c r="D1898" s="140" t="str">
        <f t="shared" si="210"/>
        <v>3</v>
      </c>
      <c r="E1898" s="166" t="s">
        <v>691</v>
      </c>
      <c r="F1898" s="140">
        <f t="shared" si="215"/>
        <v>2</v>
      </c>
      <c r="G1898" s="140" t="str">
        <f t="shared" si="211"/>
        <v>3.3.2</v>
      </c>
      <c r="H1898" s="166" t="s">
        <v>1699</v>
      </c>
      <c r="I1898" s="166" t="s">
        <v>46</v>
      </c>
      <c r="J1898" s="166" t="s">
        <v>1389</v>
      </c>
      <c r="K1898" s="166" t="s">
        <v>712</v>
      </c>
      <c r="L1898" s="167">
        <f>1480/7</f>
        <v>211.42857142857142</v>
      </c>
      <c r="M1898" s="166">
        <f>2*25*9</f>
        <v>450</v>
      </c>
      <c r="N1898" s="166">
        <f>5*4</f>
        <v>20</v>
      </c>
      <c r="O1898" s="164">
        <f t="shared" si="212"/>
        <v>1902857.1428571427</v>
      </c>
      <c r="P1898" s="166">
        <v>0</v>
      </c>
      <c r="Q1898" s="166">
        <v>0</v>
      </c>
      <c r="R1898" s="164">
        <f>$L1898*'Pivot Objective'!$C$9*P1898*Q1898</f>
        <v>0</v>
      </c>
      <c r="S1898" s="166">
        <v>20000</v>
      </c>
      <c r="T1898" s="166">
        <v>1</v>
      </c>
      <c r="U1898" s="164">
        <f>($L1898*'Pivot Objective'!$C$9^2)*S1898*T1898</f>
        <v>5523650.2236347748</v>
      </c>
      <c r="V1898" s="166">
        <v>20000</v>
      </c>
      <c r="W1898" s="166">
        <v>1</v>
      </c>
      <c r="X1898" s="164">
        <f>($L1898*'Pivot Objective'!$C$9^3)*V1898*W1898</f>
        <v>6313096.3730409509</v>
      </c>
      <c r="Y1898" s="166">
        <v>20000</v>
      </c>
      <c r="Z1898" s="166">
        <v>1</v>
      </c>
      <c r="AA1898" s="164">
        <f>($L1898*'Pivot Objective'!$C$9^4)*Y1898*Z1898</f>
        <v>7215371.0321426839</v>
      </c>
      <c r="AB1898" s="166">
        <v>0</v>
      </c>
      <c r="AC1898" s="166">
        <v>0</v>
      </c>
      <c r="AD1898" s="164">
        <f>($L1898*'Pivot Objective'!$C$9^5)*AB1898*AC1898</f>
        <v>0</v>
      </c>
      <c r="AE1898" s="166">
        <v>0</v>
      </c>
      <c r="AF1898" s="166">
        <v>0</v>
      </c>
      <c r="AG1898" s="164">
        <f>($L1898*'Pivot Objective'!$C$9^6)*AE1898*AF1898</f>
        <v>0</v>
      </c>
      <c r="AH1898" s="166">
        <v>0</v>
      </c>
      <c r="AI1898" s="166">
        <v>0</v>
      </c>
      <c r="AJ1898" s="164">
        <f>($L1898*'Pivot Objective'!$C$9^7)*AH1898*AI1898</f>
        <v>0</v>
      </c>
      <c r="AK1898" s="185">
        <f t="shared" si="213"/>
        <v>20954974.771675553</v>
      </c>
      <c r="AL1898" s="186">
        <f t="shared" si="214"/>
        <v>20344.635700655876</v>
      </c>
    </row>
    <row r="1899" spans="1:38" customFormat="1" ht="43.2" x14ac:dyDescent="0.3">
      <c r="A1899" s="140" t="s">
        <v>1486</v>
      </c>
      <c r="B1899" s="140">
        <v>3</v>
      </c>
      <c r="C1899" s="166" t="s">
        <v>696</v>
      </c>
      <c r="D1899" s="140" t="str">
        <f t="shared" si="210"/>
        <v>3</v>
      </c>
      <c r="E1899" s="166" t="s">
        <v>691</v>
      </c>
      <c r="F1899" s="140">
        <f t="shared" si="215"/>
        <v>2</v>
      </c>
      <c r="G1899" s="140" t="str">
        <f t="shared" si="211"/>
        <v>3.3.2</v>
      </c>
      <c r="H1899" s="166" t="s">
        <v>1699</v>
      </c>
      <c r="I1899" s="166" t="s">
        <v>46</v>
      </c>
      <c r="J1899" s="166" t="s">
        <v>1389</v>
      </c>
      <c r="K1899" s="166" t="s">
        <v>1299</v>
      </c>
      <c r="L1899" s="167">
        <f>1480/7</f>
        <v>211.42857142857142</v>
      </c>
      <c r="M1899" s="166">
        <f>2*135*9</f>
        <v>2430</v>
      </c>
      <c r="N1899" s="166">
        <v>4</v>
      </c>
      <c r="O1899" s="164">
        <f t="shared" si="212"/>
        <v>2055085.7142857141</v>
      </c>
      <c r="P1899" s="166"/>
      <c r="Q1899" s="166"/>
      <c r="R1899" s="164">
        <f>$L1899*'Pivot Objective'!$C$9*P1899*Q1899</f>
        <v>0</v>
      </c>
      <c r="S1899" s="166"/>
      <c r="T1899" s="166"/>
      <c r="U1899" s="164">
        <f>($L1899*'Pivot Objective'!$C$9^2)*S1899*T1899</f>
        <v>0</v>
      </c>
      <c r="V1899" s="166"/>
      <c r="W1899" s="166"/>
      <c r="X1899" s="164">
        <f>($L1899*'Pivot Objective'!$C$9^3)*V1899*W1899</f>
        <v>0</v>
      </c>
      <c r="Y1899" s="166"/>
      <c r="Z1899" s="166"/>
      <c r="AA1899" s="164">
        <f>($L1899*'Pivot Objective'!$C$9^4)*Y1899*Z1899</f>
        <v>0</v>
      </c>
      <c r="AB1899" s="166"/>
      <c r="AC1899" s="166"/>
      <c r="AD1899" s="164">
        <f>($L1899*'Pivot Objective'!$C$9^5)*AB1899*AC1899</f>
        <v>0</v>
      </c>
      <c r="AE1899" s="166"/>
      <c r="AF1899" s="166"/>
      <c r="AG1899" s="164">
        <f>($L1899*'Pivot Objective'!$C$9^6)*AE1899*AF1899</f>
        <v>0</v>
      </c>
      <c r="AH1899" s="166"/>
      <c r="AI1899" s="166"/>
      <c r="AJ1899" s="164">
        <f>($L1899*'Pivot Objective'!$C$9^7)*AH1899*AI1899</f>
        <v>0</v>
      </c>
      <c r="AK1899" s="185">
        <f t="shared" si="213"/>
        <v>2055085.7142857141</v>
      </c>
      <c r="AL1899" s="186">
        <f t="shared" si="214"/>
        <v>1995.2288488210816</v>
      </c>
    </row>
    <row r="1900" spans="1:38" customFormat="1" ht="43.2" x14ac:dyDescent="0.3">
      <c r="A1900" s="140" t="s">
        <v>1486</v>
      </c>
      <c r="B1900" s="140">
        <v>3</v>
      </c>
      <c r="C1900" s="166" t="s">
        <v>696</v>
      </c>
      <c r="D1900" s="140" t="str">
        <f t="shared" si="210"/>
        <v>3</v>
      </c>
      <c r="E1900" s="166" t="s">
        <v>691</v>
      </c>
      <c r="F1900" s="140">
        <f t="shared" si="215"/>
        <v>2</v>
      </c>
      <c r="G1900" s="140" t="str">
        <f t="shared" si="211"/>
        <v>3.3.2</v>
      </c>
      <c r="H1900" s="166" t="s">
        <v>1699</v>
      </c>
      <c r="I1900" s="166" t="s">
        <v>46</v>
      </c>
      <c r="J1900" s="166" t="s">
        <v>372</v>
      </c>
      <c r="K1900" s="166" t="s">
        <v>716</v>
      </c>
      <c r="L1900" s="167">
        <v>39000</v>
      </c>
      <c r="M1900" s="166">
        <v>25</v>
      </c>
      <c r="N1900" s="166">
        <f>6*4</f>
        <v>24</v>
      </c>
      <c r="O1900" s="164">
        <f t="shared" si="212"/>
        <v>23400000</v>
      </c>
      <c r="P1900" s="166">
        <v>0</v>
      </c>
      <c r="Q1900" s="166">
        <v>0</v>
      </c>
      <c r="R1900" s="164">
        <f>$L1900*'Pivot Objective'!$C$9*P1900*Q1900</f>
        <v>0</v>
      </c>
      <c r="S1900" s="166">
        <v>15</v>
      </c>
      <c r="T1900" s="166">
        <v>10</v>
      </c>
      <c r="U1900" s="164">
        <f>($L1900*'Pivot Objective'!$C$9^2)*S1900*T1900</f>
        <v>7641671.5087109469</v>
      </c>
      <c r="V1900" s="166">
        <v>15</v>
      </c>
      <c r="W1900" s="166">
        <v>10</v>
      </c>
      <c r="X1900" s="164">
        <f>($L1900*'Pivot Objective'!$C$9^3)*V1900*W1900</f>
        <v>8733827.5836495589</v>
      </c>
      <c r="Y1900" s="166">
        <v>15</v>
      </c>
      <c r="Z1900" s="166">
        <v>10</v>
      </c>
      <c r="AA1900" s="164">
        <f>($L1900*'Pivot Objective'!$C$9^4)*Y1900*Z1900</f>
        <v>9982075.8029136136</v>
      </c>
      <c r="AB1900" s="166">
        <v>0</v>
      </c>
      <c r="AC1900" s="166">
        <v>0</v>
      </c>
      <c r="AD1900" s="164">
        <f>($L1900*'Pivot Objective'!$C$9^5)*AB1900*AC1900</f>
        <v>0</v>
      </c>
      <c r="AE1900" s="166">
        <v>0</v>
      </c>
      <c r="AF1900" s="166">
        <v>0</v>
      </c>
      <c r="AG1900" s="164">
        <f>($L1900*'Pivot Objective'!$C$9^6)*AE1900*AF1900</f>
        <v>0</v>
      </c>
      <c r="AH1900" s="166">
        <v>0</v>
      </c>
      <c r="AI1900" s="166">
        <v>0</v>
      </c>
      <c r="AJ1900" s="164">
        <f>($L1900*'Pivot Objective'!$C$9^7)*AH1900*AI1900</f>
        <v>0</v>
      </c>
      <c r="AK1900" s="185">
        <f t="shared" si="213"/>
        <v>49757574.895274118</v>
      </c>
      <c r="AL1900" s="186">
        <f t="shared" si="214"/>
        <v>48308.325141042835</v>
      </c>
    </row>
    <row r="1901" spans="1:38" customFormat="1" ht="43.2" x14ac:dyDescent="0.3">
      <c r="A1901" s="140" t="s">
        <v>1486</v>
      </c>
      <c r="B1901" s="140">
        <v>3</v>
      </c>
      <c r="C1901" s="166" t="s">
        <v>696</v>
      </c>
      <c r="D1901" s="140" t="str">
        <f t="shared" si="210"/>
        <v>3</v>
      </c>
      <c r="E1901" s="166" t="s">
        <v>691</v>
      </c>
      <c r="F1901" s="140">
        <f t="shared" si="215"/>
        <v>2</v>
      </c>
      <c r="G1901" s="140" t="str">
        <f t="shared" si="211"/>
        <v>3.3.2</v>
      </c>
      <c r="H1901" s="166" t="s">
        <v>1699</v>
      </c>
      <c r="I1901" s="166" t="s">
        <v>46</v>
      </c>
      <c r="J1901" s="166" t="s">
        <v>372</v>
      </c>
      <c r="K1901" s="166" t="s">
        <v>712</v>
      </c>
      <c r="L1901" s="167">
        <f>1480/7</f>
        <v>211.42857142857142</v>
      </c>
      <c r="M1901" s="166">
        <f>2*25*9</f>
        <v>450</v>
      </c>
      <c r="N1901" s="166">
        <f>5*4</f>
        <v>20</v>
      </c>
      <c r="O1901" s="164">
        <f t="shared" si="212"/>
        <v>1902857.1428571427</v>
      </c>
      <c r="P1901" s="166">
        <v>0</v>
      </c>
      <c r="Q1901" s="166">
        <v>0</v>
      </c>
      <c r="R1901" s="164">
        <f>$L1901*'Pivot Objective'!$C$9*P1901*Q1901</f>
        <v>0</v>
      </c>
      <c r="S1901" s="166">
        <v>20000</v>
      </c>
      <c r="T1901" s="166">
        <v>1</v>
      </c>
      <c r="U1901" s="164">
        <f>($L1901*'Pivot Objective'!$C$9^2)*S1901*T1901</f>
        <v>5523650.2236347748</v>
      </c>
      <c r="V1901" s="166">
        <v>20000</v>
      </c>
      <c r="W1901" s="166">
        <v>1</v>
      </c>
      <c r="X1901" s="164">
        <f>($L1901*'Pivot Objective'!$C$9^3)*V1901*W1901</f>
        <v>6313096.3730409509</v>
      </c>
      <c r="Y1901" s="166">
        <v>20000</v>
      </c>
      <c r="Z1901" s="166">
        <v>1</v>
      </c>
      <c r="AA1901" s="164">
        <f>($L1901*'Pivot Objective'!$C$9^4)*Y1901*Z1901</f>
        <v>7215371.0321426839</v>
      </c>
      <c r="AB1901" s="166">
        <v>0</v>
      </c>
      <c r="AC1901" s="166">
        <v>0</v>
      </c>
      <c r="AD1901" s="164">
        <f>($L1901*'Pivot Objective'!$C$9^5)*AB1901*AC1901</f>
        <v>0</v>
      </c>
      <c r="AE1901" s="166">
        <v>0</v>
      </c>
      <c r="AF1901" s="166">
        <v>0</v>
      </c>
      <c r="AG1901" s="164">
        <f>($L1901*'Pivot Objective'!$C$9^6)*AE1901*AF1901</f>
        <v>0</v>
      </c>
      <c r="AH1901" s="166">
        <v>0</v>
      </c>
      <c r="AI1901" s="166">
        <v>0</v>
      </c>
      <c r="AJ1901" s="164">
        <f>($L1901*'Pivot Objective'!$C$9^7)*AH1901*AI1901</f>
        <v>0</v>
      </c>
      <c r="AK1901" s="185">
        <f t="shared" si="213"/>
        <v>20954974.771675553</v>
      </c>
      <c r="AL1901" s="186">
        <f t="shared" si="214"/>
        <v>20344.635700655876</v>
      </c>
    </row>
    <row r="1902" spans="1:38" customFormat="1" ht="43.2" x14ac:dyDescent="0.3">
      <c r="A1902" s="140" t="s">
        <v>1486</v>
      </c>
      <c r="B1902" s="140">
        <v>3</v>
      </c>
      <c r="C1902" s="166" t="s">
        <v>696</v>
      </c>
      <c r="D1902" s="140" t="str">
        <f t="shared" si="210"/>
        <v>3</v>
      </c>
      <c r="E1902" s="166" t="s">
        <v>691</v>
      </c>
      <c r="F1902" s="140">
        <f t="shared" si="215"/>
        <v>2</v>
      </c>
      <c r="G1902" s="140" t="str">
        <f t="shared" si="211"/>
        <v>3.3.2</v>
      </c>
      <c r="H1902" s="166" t="s">
        <v>1699</v>
      </c>
      <c r="I1902" s="166" t="s">
        <v>46</v>
      </c>
      <c r="J1902" s="166" t="s">
        <v>372</v>
      </c>
      <c r="K1902" s="166" t="s">
        <v>709</v>
      </c>
      <c r="L1902" s="167">
        <v>35000</v>
      </c>
      <c r="M1902" s="166">
        <v>25</v>
      </c>
      <c r="N1902" s="166">
        <f>5*4</f>
        <v>20</v>
      </c>
      <c r="O1902" s="164">
        <f t="shared" si="212"/>
        <v>17500000</v>
      </c>
      <c r="P1902" s="166"/>
      <c r="Q1902" s="166"/>
      <c r="R1902" s="164">
        <f>$L1902*'Pivot Objective'!$C$9*P1902*Q1902</f>
        <v>0</v>
      </c>
      <c r="S1902" s="166"/>
      <c r="T1902" s="166"/>
      <c r="U1902" s="164">
        <f>($L1902*'Pivot Objective'!$C$9^2)*S1902*T1902</f>
        <v>0</v>
      </c>
      <c r="V1902" s="166"/>
      <c r="W1902" s="166"/>
      <c r="X1902" s="164">
        <f>($L1902*'Pivot Objective'!$C$9^3)*V1902*W1902</f>
        <v>0</v>
      </c>
      <c r="Y1902" s="166"/>
      <c r="Z1902" s="166"/>
      <c r="AA1902" s="164">
        <f>($L1902*'Pivot Objective'!$C$9^4)*Y1902*Z1902</f>
        <v>0</v>
      </c>
      <c r="AB1902" s="166"/>
      <c r="AC1902" s="166"/>
      <c r="AD1902" s="164">
        <f>($L1902*'Pivot Objective'!$C$9^5)*AB1902*AC1902</f>
        <v>0</v>
      </c>
      <c r="AE1902" s="166"/>
      <c r="AF1902" s="166"/>
      <c r="AG1902" s="164">
        <f>($L1902*'Pivot Objective'!$C$9^6)*AE1902*AF1902</f>
        <v>0</v>
      </c>
      <c r="AH1902" s="166"/>
      <c r="AI1902" s="166"/>
      <c r="AJ1902" s="164">
        <f>($L1902*'Pivot Objective'!$C$9^7)*AH1902*AI1902</f>
        <v>0</v>
      </c>
      <c r="AK1902" s="185">
        <f t="shared" si="213"/>
        <v>17500000</v>
      </c>
      <c r="AL1902" s="186">
        <f t="shared" si="214"/>
        <v>16990.291262135921</v>
      </c>
    </row>
    <row r="1903" spans="1:38" customFormat="1" ht="43.2" x14ac:dyDescent="0.3">
      <c r="A1903" s="140" t="s">
        <v>1486</v>
      </c>
      <c r="B1903" s="140">
        <v>3</v>
      </c>
      <c r="C1903" s="166" t="s">
        <v>696</v>
      </c>
      <c r="D1903" s="140" t="str">
        <f t="shared" si="210"/>
        <v>3</v>
      </c>
      <c r="E1903" s="166" t="s">
        <v>691</v>
      </c>
      <c r="F1903" s="140">
        <f t="shared" si="215"/>
        <v>2</v>
      </c>
      <c r="G1903" s="140" t="str">
        <f t="shared" si="211"/>
        <v>3.3.2</v>
      </c>
      <c r="H1903" s="166" t="s">
        <v>1699</v>
      </c>
      <c r="I1903" s="166" t="s">
        <v>46</v>
      </c>
      <c r="J1903" s="166" t="s">
        <v>372</v>
      </c>
      <c r="K1903" s="166" t="s">
        <v>1299</v>
      </c>
      <c r="L1903" s="167">
        <f>1480/7</f>
        <v>211.42857142857142</v>
      </c>
      <c r="M1903" s="166">
        <f>2*135*9</f>
        <v>2430</v>
      </c>
      <c r="N1903" s="166">
        <v>4</v>
      </c>
      <c r="O1903" s="164">
        <f t="shared" si="212"/>
        <v>2055085.7142857141</v>
      </c>
      <c r="P1903" s="166"/>
      <c r="Q1903" s="166"/>
      <c r="R1903" s="164">
        <f>$L1903*'Pivot Objective'!$C$9*P1903*Q1903</f>
        <v>0</v>
      </c>
      <c r="S1903" s="166"/>
      <c r="T1903" s="166"/>
      <c r="U1903" s="164">
        <f>($L1903*'Pivot Objective'!$C$9^2)*S1903*T1903</f>
        <v>0</v>
      </c>
      <c r="V1903" s="166"/>
      <c r="W1903" s="166"/>
      <c r="X1903" s="164">
        <f>($L1903*'Pivot Objective'!$C$9^3)*V1903*W1903</f>
        <v>0</v>
      </c>
      <c r="Y1903" s="166"/>
      <c r="Z1903" s="166"/>
      <c r="AA1903" s="164">
        <f>($L1903*'Pivot Objective'!$C$9^4)*Y1903*Z1903</f>
        <v>0</v>
      </c>
      <c r="AB1903" s="166"/>
      <c r="AC1903" s="166"/>
      <c r="AD1903" s="164">
        <f>($L1903*'Pivot Objective'!$C$9^5)*AB1903*AC1903</f>
        <v>0</v>
      </c>
      <c r="AE1903" s="166"/>
      <c r="AF1903" s="166"/>
      <c r="AG1903" s="164">
        <f>($L1903*'Pivot Objective'!$C$9^6)*AE1903*AF1903</f>
        <v>0</v>
      </c>
      <c r="AH1903" s="166"/>
      <c r="AI1903" s="166"/>
      <c r="AJ1903" s="164">
        <f>($L1903*'Pivot Objective'!$C$9^7)*AH1903*AI1903</f>
        <v>0</v>
      </c>
      <c r="AK1903" s="185">
        <f t="shared" si="213"/>
        <v>2055085.7142857141</v>
      </c>
      <c r="AL1903" s="186">
        <f t="shared" si="214"/>
        <v>1995.2288488210816</v>
      </c>
    </row>
    <row r="1904" spans="1:38" customFormat="1" ht="43.2" x14ac:dyDescent="0.3">
      <c r="A1904" s="140" t="s">
        <v>1486</v>
      </c>
      <c r="B1904" s="140">
        <v>3</v>
      </c>
      <c r="C1904" s="166" t="s">
        <v>696</v>
      </c>
      <c r="D1904" s="140" t="str">
        <f t="shared" si="210"/>
        <v>3</v>
      </c>
      <c r="E1904" s="166" t="s">
        <v>691</v>
      </c>
      <c r="F1904" s="140">
        <f t="shared" si="215"/>
        <v>2</v>
      </c>
      <c r="G1904" s="140" t="str">
        <f t="shared" si="211"/>
        <v>3.3.2</v>
      </c>
      <c r="H1904" s="166" t="s">
        <v>1699</v>
      </c>
      <c r="I1904" s="166" t="s">
        <v>47</v>
      </c>
      <c r="J1904" s="166" t="s">
        <v>1390</v>
      </c>
      <c r="K1904" s="166" t="s">
        <v>716</v>
      </c>
      <c r="L1904" s="167">
        <v>39000</v>
      </c>
      <c r="M1904" s="166">
        <v>58</v>
      </c>
      <c r="N1904" s="166">
        <v>6</v>
      </c>
      <c r="O1904" s="164">
        <f t="shared" si="212"/>
        <v>13572000</v>
      </c>
      <c r="P1904" s="166">
        <v>0</v>
      </c>
      <c r="Q1904" s="166">
        <v>0</v>
      </c>
      <c r="R1904" s="164">
        <f>$L1904*'Pivot Objective'!$C$9*P1904*Q1904</f>
        <v>0</v>
      </c>
      <c r="S1904" s="166">
        <v>0</v>
      </c>
      <c r="T1904" s="166">
        <v>0</v>
      </c>
      <c r="U1904" s="164">
        <f>($L1904*'Pivot Objective'!$C$9^2)*S1904*T1904</f>
        <v>0</v>
      </c>
      <c r="V1904" s="166">
        <v>80</v>
      </c>
      <c r="W1904" s="166">
        <v>5</v>
      </c>
      <c r="X1904" s="164">
        <f>($L1904*'Pivot Objective'!$C$9^3)*V1904*W1904</f>
        <v>23290206.88973216</v>
      </c>
      <c r="Y1904" s="166">
        <v>0</v>
      </c>
      <c r="Z1904" s="166">
        <v>0</v>
      </c>
      <c r="AA1904" s="164">
        <f>($L1904*'Pivot Objective'!$C$9^4)*Y1904*Z1904</f>
        <v>0</v>
      </c>
      <c r="AB1904" s="166">
        <v>0</v>
      </c>
      <c r="AC1904" s="166">
        <v>0</v>
      </c>
      <c r="AD1904" s="164">
        <f>($L1904*'Pivot Objective'!$C$9^5)*AB1904*AC1904</f>
        <v>0</v>
      </c>
      <c r="AE1904" s="166">
        <v>0</v>
      </c>
      <c r="AF1904" s="166">
        <v>0</v>
      </c>
      <c r="AG1904" s="164">
        <f>($L1904*'Pivot Objective'!$C$9^6)*AE1904*AF1904</f>
        <v>0</v>
      </c>
      <c r="AH1904" s="166">
        <v>0</v>
      </c>
      <c r="AI1904" s="166">
        <v>0</v>
      </c>
      <c r="AJ1904" s="164">
        <f>($L1904*'Pivot Objective'!$C$9^7)*AH1904*AI1904</f>
        <v>0</v>
      </c>
      <c r="AK1904" s="185">
        <f t="shared" si="213"/>
        <v>36862206.88973216</v>
      </c>
      <c r="AL1904" s="186">
        <f t="shared" si="214"/>
        <v>35788.550378380736</v>
      </c>
    </row>
    <row r="1905" spans="1:38" customFormat="1" ht="43.2" x14ac:dyDescent="0.3">
      <c r="A1905" s="140" t="s">
        <v>1486</v>
      </c>
      <c r="B1905" s="140">
        <v>3</v>
      </c>
      <c r="C1905" s="166" t="s">
        <v>696</v>
      </c>
      <c r="D1905" s="140" t="str">
        <f t="shared" si="210"/>
        <v>3</v>
      </c>
      <c r="E1905" s="166" t="s">
        <v>691</v>
      </c>
      <c r="F1905" s="140">
        <f t="shared" si="215"/>
        <v>2</v>
      </c>
      <c r="G1905" s="140" t="str">
        <f t="shared" si="211"/>
        <v>3.3.2</v>
      </c>
      <c r="H1905" s="166" t="s">
        <v>1699</v>
      </c>
      <c r="I1905" s="166" t="s">
        <v>47</v>
      </c>
      <c r="J1905" s="166" t="s">
        <v>1390</v>
      </c>
      <c r="K1905" s="166" t="s">
        <v>709</v>
      </c>
      <c r="L1905" s="167">
        <v>35000</v>
      </c>
      <c r="M1905" s="166">
        <v>100</v>
      </c>
      <c r="N1905" s="166">
        <v>5</v>
      </c>
      <c r="O1905" s="164">
        <f t="shared" si="212"/>
        <v>17500000</v>
      </c>
      <c r="P1905" s="166">
        <v>0</v>
      </c>
      <c r="Q1905" s="166">
        <v>0</v>
      </c>
      <c r="R1905" s="164">
        <f>$L1905*'Pivot Objective'!$C$9*P1905*Q1905</f>
        <v>0</v>
      </c>
      <c r="S1905" s="166">
        <v>0</v>
      </c>
      <c r="T1905" s="166">
        <v>0</v>
      </c>
      <c r="U1905" s="164">
        <f>($L1905*'Pivot Objective'!$C$9^2)*S1905*T1905</f>
        <v>0</v>
      </c>
      <c r="V1905" s="166">
        <v>80</v>
      </c>
      <c r="W1905" s="166">
        <v>5</v>
      </c>
      <c r="X1905" s="164">
        <f>($L1905*'Pivot Objective'!$C$9^3)*V1905*W1905</f>
        <v>20901467.721554503</v>
      </c>
      <c r="Y1905" s="166">
        <v>0</v>
      </c>
      <c r="Z1905" s="166">
        <v>0</v>
      </c>
      <c r="AA1905" s="164">
        <f>($L1905*'Pivot Objective'!$C$9^4)*Y1905*Z1905</f>
        <v>0</v>
      </c>
      <c r="AB1905" s="166">
        <v>0</v>
      </c>
      <c r="AC1905" s="166">
        <v>0</v>
      </c>
      <c r="AD1905" s="164">
        <f>($L1905*'Pivot Objective'!$C$9^5)*AB1905*AC1905</f>
        <v>0</v>
      </c>
      <c r="AE1905" s="166">
        <v>0</v>
      </c>
      <c r="AF1905" s="166">
        <v>0</v>
      </c>
      <c r="AG1905" s="164">
        <f>($L1905*'Pivot Objective'!$C$9^6)*AE1905*AF1905</f>
        <v>0</v>
      </c>
      <c r="AH1905" s="166">
        <v>0</v>
      </c>
      <c r="AI1905" s="166">
        <v>0</v>
      </c>
      <c r="AJ1905" s="164">
        <f>($L1905*'Pivot Objective'!$C$9^7)*AH1905*AI1905</f>
        <v>0</v>
      </c>
      <c r="AK1905" s="185">
        <f t="shared" si="213"/>
        <v>38401467.721554503</v>
      </c>
      <c r="AL1905" s="186">
        <f t="shared" si="214"/>
        <v>37282.978370441262</v>
      </c>
    </row>
    <row r="1906" spans="1:38" customFormat="1" ht="43.2" x14ac:dyDescent="0.3">
      <c r="A1906" s="140" t="s">
        <v>1486</v>
      </c>
      <c r="B1906" s="140">
        <v>3</v>
      </c>
      <c r="C1906" s="166" t="s">
        <v>696</v>
      </c>
      <c r="D1906" s="140" t="str">
        <f t="shared" ref="D1906:D1969" si="216">RIGHT(A1906,1)</f>
        <v>3</v>
      </c>
      <c r="E1906" s="166" t="s">
        <v>691</v>
      </c>
      <c r="F1906" s="140">
        <f t="shared" si="215"/>
        <v>2</v>
      </c>
      <c r="G1906" s="140" t="str">
        <f t="shared" si="211"/>
        <v>3.3.2</v>
      </c>
      <c r="H1906" s="166" t="s">
        <v>1699</v>
      </c>
      <c r="I1906" s="166" t="s">
        <v>47</v>
      </c>
      <c r="J1906" s="166" t="s">
        <v>1390</v>
      </c>
      <c r="K1906" s="166" t="s">
        <v>712</v>
      </c>
      <c r="L1906" s="167">
        <f>1480/7</f>
        <v>211.42857142857142</v>
      </c>
      <c r="M1906" s="166">
        <f>2*25*29</f>
        <v>1450</v>
      </c>
      <c r="N1906" s="166">
        <v>5</v>
      </c>
      <c r="O1906" s="164">
        <f t="shared" si="212"/>
        <v>1532857.142857143</v>
      </c>
      <c r="P1906" s="166">
        <v>0</v>
      </c>
      <c r="Q1906" s="166">
        <v>0</v>
      </c>
      <c r="R1906" s="164">
        <f>$L1906*'Pivot Objective'!$C$9*P1906*Q1906</f>
        <v>0</v>
      </c>
      <c r="S1906" s="166">
        <v>0</v>
      </c>
      <c r="T1906" s="166">
        <v>0</v>
      </c>
      <c r="U1906" s="164">
        <f>($L1906*'Pivot Objective'!$C$9^2)*S1906*T1906</f>
        <v>0</v>
      </c>
      <c r="V1906" s="166">
        <v>20000</v>
      </c>
      <c r="W1906" s="166">
        <v>1</v>
      </c>
      <c r="X1906" s="164">
        <f>($L1906*'Pivot Objective'!$C$9^3)*V1906*W1906</f>
        <v>6313096.3730409509</v>
      </c>
      <c r="Y1906" s="166">
        <v>0</v>
      </c>
      <c r="Z1906" s="166">
        <v>0</v>
      </c>
      <c r="AA1906" s="164">
        <f>($L1906*'Pivot Objective'!$C$9^4)*Y1906*Z1906</f>
        <v>0</v>
      </c>
      <c r="AB1906" s="166">
        <v>0</v>
      </c>
      <c r="AC1906" s="166">
        <v>0</v>
      </c>
      <c r="AD1906" s="164">
        <f>($L1906*'Pivot Objective'!$C$9^5)*AB1906*AC1906</f>
        <v>0</v>
      </c>
      <c r="AE1906" s="166">
        <v>0</v>
      </c>
      <c r="AF1906" s="166">
        <v>0</v>
      </c>
      <c r="AG1906" s="164">
        <f>($L1906*'Pivot Objective'!$C$9^6)*AE1906*AF1906</f>
        <v>0</v>
      </c>
      <c r="AH1906" s="166">
        <v>0</v>
      </c>
      <c r="AI1906" s="166">
        <v>0</v>
      </c>
      <c r="AJ1906" s="164">
        <f>($L1906*'Pivot Objective'!$C$9^7)*AH1906*AI1906</f>
        <v>0</v>
      </c>
      <c r="AK1906" s="185">
        <f t="shared" si="213"/>
        <v>7845953.5158980936</v>
      </c>
      <c r="AL1906" s="186">
        <f t="shared" si="214"/>
        <v>7617.4305979593146</v>
      </c>
    </row>
    <row r="1907" spans="1:38" customFormat="1" ht="43.2" x14ac:dyDescent="0.3">
      <c r="A1907" s="140" t="s">
        <v>1486</v>
      </c>
      <c r="B1907" s="140">
        <v>3</v>
      </c>
      <c r="C1907" s="166" t="s">
        <v>696</v>
      </c>
      <c r="D1907" s="140" t="str">
        <f t="shared" si="216"/>
        <v>3</v>
      </c>
      <c r="E1907" s="166" t="s">
        <v>691</v>
      </c>
      <c r="F1907" s="140">
        <f t="shared" si="215"/>
        <v>2</v>
      </c>
      <c r="G1907" s="140" t="str">
        <f t="shared" ref="G1907:G1970" si="217">B1907&amp;"."&amp;D1907&amp;"."&amp;F1907</f>
        <v>3.3.2</v>
      </c>
      <c r="H1907" s="166" t="s">
        <v>1699</v>
      </c>
      <c r="I1907" s="166" t="s">
        <v>47</v>
      </c>
      <c r="J1907" s="166" t="s">
        <v>1390</v>
      </c>
      <c r="K1907" s="166" t="s">
        <v>1299</v>
      </c>
      <c r="L1907" s="167">
        <f>1480/7</f>
        <v>211.42857142857142</v>
      </c>
      <c r="M1907" s="166">
        <v>22500</v>
      </c>
      <c r="N1907" s="166">
        <v>1</v>
      </c>
      <c r="O1907" s="164">
        <f t="shared" si="212"/>
        <v>4757142.8571428573</v>
      </c>
      <c r="P1907" s="166"/>
      <c r="Q1907" s="166"/>
      <c r="R1907" s="164">
        <f>$L1907*'Pivot Objective'!$C$9*P1907*Q1907</f>
        <v>0</v>
      </c>
      <c r="S1907" s="166"/>
      <c r="T1907" s="166"/>
      <c r="U1907" s="164">
        <f>($L1907*'Pivot Objective'!$C$9^2)*S1907*T1907</f>
        <v>0</v>
      </c>
      <c r="V1907" s="166"/>
      <c r="W1907" s="166"/>
      <c r="X1907" s="164">
        <f>($L1907*'Pivot Objective'!$C$9^3)*V1907*W1907</f>
        <v>0</v>
      </c>
      <c r="Y1907" s="166"/>
      <c r="Z1907" s="166"/>
      <c r="AA1907" s="164">
        <f>($L1907*'Pivot Objective'!$C$9^4)*Y1907*Z1907</f>
        <v>0</v>
      </c>
      <c r="AB1907" s="166"/>
      <c r="AC1907" s="166"/>
      <c r="AD1907" s="164">
        <f>($L1907*'Pivot Objective'!$C$9^5)*AB1907*AC1907</f>
        <v>0</v>
      </c>
      <c r="AE1907" s="166"/>
      <c r="AF1907" s="166"/>
      <c r="AG1907" s="164">
        <f>($L1907*'Pivot Objective'!$C$9^6)*AE1907*AF1907</f>
        <v>0</v>
      </c>
      <c r="AH1907" s="166"/>
      <c r="AI1907" s="166"/>
      <c r="AJ1907" s="164">
        <f>($L1907*'Pivot Objective'!$C$9^7)*AH1907*AI1907</f>
        <v>0</v>
      </c>
      <c r="AK1907" s="185">
        <f t="shared" si="213"/>
        <v>4757142.8571428573</v>
      </c>
      <c r="AL1907" s="186">
        <f t="shared" si="214"/>
        <v>4618.5852981969492</v>
      </c>
    </row>
    <row r="1908" spans="1:38" customFormat="1" ht="43.2" x14ac:dyDescent="0.3">
      <c r="A1908" s="140" t="s">
        <v>1486</v>
      </c>
      <c r="B1908" s="140">
        <v>3</v>
      </c>
      <c r="C1908" s="166" t="s">
        <v>696</v>
      </c>
      <c r="D1908" s="140" t="str">
        <f t="shared" si="216"/>
        <v>3</v>
      </c>
      <c r="E1908" s="166" t="s">
        <v>691</v>
      </c>
      <c r="F1908" s="140">
        <f t="shared" si="215"/>
        <v>2</v>
      </c>
      <c r="G1908" s="140" t="str">
        <f t="shared" si="217"/>
        <v>3.3.2</v>
      </c>
      <c r="H1908" s="166" t="s">
        <v>1699</v>
      </c>
      <c r="I1908" s="166" t="s">
        <v>47</v>
      </c>
      <c r="J1908" s="166" t="s">
        <v>374</v>
      </c>
      <c r="K1908" s="166" t="s">
        <v>713</v>
      </c>
      <c r="L1908" s="167">
        <v>45000</v>
      </c>
      <c r="M1908" s="166">
        <v>100</v>
      </c>
      <c r="N1908" s="166">
        <f>5*4</f>
        <v>20</v>
      </c>
      <c r="O1908" s="164">
        <f t="shared" si="212"/>
        <v>90000000</v>
      </c>
      <c r="P1908" s="166">
        <v>0</v>
      </c>
      <c r="Q1908" s="166">
        <v>0</v>
      </c>
      <c r="R1908" s="164">
        <f>$L1908*'Pivot Objective'!$C$9*P1908*Q1908</f>
        <v>0</v>
      </c>
      <c r="S1908" s="166">
        <v>0</v>
      </c>
      <c r="T1908" s="166">
        <v>0</v>
      </c>
      <c r="U1908" s="164">
        <f>($L1908*'Pivot Objective'!$C$9^2)*S1908*T1908</f>
        <v>0</v>
      </c>
      <c r="V1908" s="166">
        <v>15</v>
      </c>
      <c r="W1908" s="166">
        <v>40</v>
      </c>
      <c r="X1908" s="164">
        <f>($L1908*'Pivot Objective'!$C$9^3)*V1908*W1908</f>
        <v>40309973.462997966</v>
      </c>
      <c r="Y1908" s="166">
        <v>15</v>
      </c>
      <c r="Z1908" s="166">
        <v>40</v>
      </c>
      <c r="AA1908" s="164">
        <f>($L1908*'Pivot Objective'!$C$9^4)*Y1908*Z1908</f>
        <v>46071119.090370521</v>
      </c>
      <c r="AB1908" s="166">
        <v>0</v>
      </c>
      <c r="AC1908" s="166">
        <v>0</v>
      </c>
      <c r="AD1908" s="164">
        <f>($L1908*'Pivot Objective'!$C$9^5)*AB1908*AC1908</f>
        <v>0</v>
      </c>
      <c r="AE1908" s="166">
        <v>0</v>
      </c>
      <c r="AF1908" s="166">
        <v>0</v>
      </c>
      <c r="AG1908" s="164">
        <f>($L1908*'Pivot Objective'!$C$9^6)*AE1908*AF1908</f>
        <v>0</v>
      </c>
      <c r="AH1908" s="166">
        <v>0</v>
      </c>
      <c r="AI1908" s="166">
        <v>0</v>
      </c>
      <c r="AJ1908" s="164">
        <f>($L1908*'Pivot Objective'!$C$9^7)*AH1908*AI1908</f>
        <v>0</v>
      </c>
      <c r="AK1908" s="185">
        <f t="shared" si="213"/>
        <v>176381092.55336851</v>
      </c>
      <c r="AL1908" s="186">
        <f t="shared" si="214"/>
        <v>171243.77917802767</v>
      </c>
    </row>
    <row r="1909" spans="1:38" customFormat="1" ht="43.2" x14ac:dyDescent="0.3">
      <c r="A1909" s="140" t="s">
        <v>1486</v>
      </c>
      <c r="B1909" s="140">
        <v>3</v>
      </c>
      <c r="C1909" s="166" t="s">
        <v>696</v>
      </c>
      <c r="D1909" s="140" t="str">
        <f t="shared" si="216"/>
        <v>3</v>
      </c>
      <c r="E1909" s="166" t="s">
        <v>691</v>
      </c>
      <c r="F1909" s="140">
        <f t="shared" si="215"/>
        <v>2</v>
      </c>
      <c r="G1909" s="140" t="str">
        <f t="shared" si="217"/>
        <v>3.3.2</v>
      </c>
      <c r="H1909" s="166" t="s">
        <v>1699</v>
      </c>
      <c r="I1909" s="166" t="s">
        <v>47</v>
      </c>
      <c r="J1909" s="166" t="s">
        <v>374</v>
      </c>
      <c r="K1909" s="166" t="s">
        <v>712</v>
      </c>
      <c r="L1909" s="167">
        <f>1480/7</f>
        <v>211.42857142857142</v>
      </c>
      <c r="M1909" s="166">
        <f>2*25*29</f>
        <v>1450</v>
      </c>
      <c r="N1909" s="166">
        <f>5*4</f>
        <v>20</v>
      </c>
      <c r="O1909" s="164">
        <f t="shared" si="212"/>
        <v>6131428.5714285718</v>
      </c>
      <c r="P1909" s="166">
        <v>0</v>
      </c>
      <c r="Q1909" s="166">
        <v>0</v>
      </c>
      <c r="R1909" s="164">
        <f>$L1909*'Pivot Objective'!$C$9*P1909*Q1909</f>
        <v>0</v>
      </c>
      <c r="S1909" s="166">
        <v>0</v>
      </c>
      <c r="T1909" s="166">
        <v>0</v>
      </c>
      <c r="U1909" s="164">
        <f>($L1909*'Pivot Objective'!$C$9^2)*S1909*T1909</f>
        <v>0</v>
      </c>
      <c r="V1909" s="166">
        <v>20000</v>
      </c>
      <c r="W1909" s="166">
        <v>4</v>
      </c>
      <c r="X1909" s="164">
        <f>($L1909*'Pivot Objective'!$C$9^3)*V1909*W1909</f>
        <v>25252385.492163803</v>
      </c>
      <c r="Y1909" s="166">
        <v>20000</v>
      </c>
      <c r="Z1909" s="166">
        <v>4</v>
      </c>
      <c r="AA1909" s="164">
        <f>($L1909*'Pivot Objective'!$C$9^4)*Y1909*Z1909</f>
        <v>28861484.128570735</v>
      </c>
      <c r="AB1909" s="166">
        <v>0</v>
      </c>
      <c r="AC1909" s="166">
        <v>0</v>
      </c>
      <c r="AD1909" s="164">
        <f>($L1909*'Pivot Objective'!$C$9^5)*AB1909*AC1909</f>
        <v>0</v>
      </c>
      <c r="AE1909" s="166">
        <v>0</v>
      </c>
      <c r="AF1909" s="166">
        <v>0</v>
      </c>
      <c r="AG1909" s="164">
        <f>($L1909*'Pivot Objective'!$C$9^6)*AE1909*AF1909</f>
        <v>0</v>
      </c>
      <c r="AH1909" s="166">
        <v>0</v>
      </c>
      <c r="AI1909" s="166">
        <v>0</v>
      </c>
      <c r="AJ1909" s="164">
        <f>($L1909*'Pivot Objective'!$C$9^7)*AH1909*AI1909</f>
        <v>0</v>
      </c>
      <c r="AK1909" s="185">
        <f t="shared" si="213"/>
        <v>60245298.19216311</v>
      </c>
      <c r="AL1909" s="186">
        <f t="shared" si="214"/>
        <v>58490.580769090397</v>
      </c>
    </row>
    <row r="1910" spans="1:38" customFormat="1" ht="43.2" x14ac:dyDescent="0.3">
      <c r="A1910" s="140" t="s">
        <v>1486</v>
      </c>
      <c r="B1910" s="140">
        <v>3</v>
      </c>
      <c r="C1910" s="166" t="s">
        <v>696</v>
      </c>
      <c r="D1910" s="140" t="str">
        <f t="shared" si="216"/>
        <v>3</v>
      </c>
      <c r="E1910" s="166" t="s">
        <v>691</v>
      </c>
      <c r="F1910" s="140">
        <f t="shared" si="215"/>
        <v>2</v>
      </c>
      <c r="G1910" s="140" t="str">
        <f t="shared" si="217"/>
        <v>3.3.2</v>
      </c>
      <c r="H1910" s="166" t="s">
        <v>1699</v>
      </c>
      <c r="I1910" s="166" t="s">
        <v>47</v>
      </c>
      <c r="J1910" s="166" t="s">
        <v>374</v>
      </c>
      <c r="K1910" s="166" t="s">
        <v>1299</v>
      </c>
      <c r="L1910" s="167">
        <f>1480/7</f>
        <v>211.42857142857142</v>
      </c>
      <c r="M1910" s="166">
        <v>22500</v>
      </c>
      <c r="N1910" s="166">
        <v>4</v>
      </c>
      <c r="O1910" s="164">
        <f t="shared" si="212"/>
        <v>19028571.428571429</v>
      </c>
      <c r="P1910" s="166"/>
      <c r="Q1910" s="166"/>
      <c r="R1910" s="164">
        <f>$L1910*'Pivot Objective'!$C$9*P1910*Q1910</f>
        <v>0</v>
      </c>
      <c r="S1910" s="166"/>
      <c r="T1910" s="166"/>
      <c r="U1910" s="164">
        <f>($L1910*'Pivot Objective'!$C$9^2)*S1910*T1910</f>
        <v>0</v>
      </c>
      <c r="V1910" s="166"/>
      <c r="W1910" s="166"/>
      <c r="X1910" s="164">
        <f>($L1910*'Pivot Objective'!$C$9^3)*V1910*W1910</f>
        <v>0</v>
      </c>
      <c r="Y1910" s="166"/>
      <c r="Z1910" s="166"/>
      <c r="AA1910" s="164">
        <f>($L1910*'Pivot Objective'!$C$9^4)*Y1910*Z1910</f>
        <v>0</v>
      </c>
      <c r="AB1910" s="166"/>
      <c r="AC1910" s="166"/>
      <c r="AD1910" s="164">
        <f>($L1910*'Pivot Objective'!$C$9^5)*AB1910*AC1910</f>
        <v>0</v>
      </c>
      <c r="AE1910" s="166"/>
      <c r="AF1910" s="166"/>
      <c r="AG1910" s="164">
        <f>($L1910*'Pivot Objective'!$C$9^6)*AE1910*AF1910</f>
        <v>0</v>
      </c>
      <c r="AH1910" s="166"/>
      <c r="AI1910" s="166"/>
      <c r="AJ1910" s="164">
        <f>($L1910*'Pivot Objective'!$C$9^7)*AH1910*AI1910</f>
        <v>0</v>
      </c>
      <c r="AK1910" s="185">
        <f t="shared" si="213"/>
        <v>19028571.428571429</v>
      </c>
      <c r="AL1910" s="186">
        <f t="shared" si="214"/>
        <v>18474.341192787797</v>
      </c>
    </row>
    <row r="1911" spans="1:38" customFormat="1" ht="43.2" x14ac:dyDescent="0.3">
      <c r="A1911" s="140" t="s">
        <v>1486</v>
      </c>
      <c r="B1911" s="140">
        <v>3</v>
      </c>
      <c r="C1911" s="166" t="s">
        <v>696</v>
      </c>
      <c r="D1911" s="140" t="str">
        <f t="shared" si="216"/>
        <v>3</v>
      </c>
      <c r="E1911" s="166" t="s">
        <v>691</v>
      </c>
      <c r="F1911" s="140">
        <f t="shared" si="215"/>
        <v>2</v>
      </c>
      <c r="G1911" s="140" t="str">
        <f t="shared" si="217"/>
        <v>3.3.2</v>
      </c>
      <c r="H1911" s="166" t="s">
        <v>1699</v>
      </c>
      <c r="I1911" s="166" t="s">
        <v>47</v>
      </c>
      <c r="J1911" s="166" t="s">
        <v>375</v>
      </c>
      <c r="K1911" s="166" t="s">
        <v>713</v>
      </c>
      <c r="L1911" s="167">
        <v>45000</v>
      </c>
      <c r="M1911" s="166">
        <v>100</v>
      </c>
      <c r="N1911" s="166">
        <f>6*4</f>
        <v>24</v>
      </c>
      <c r="O1911" s="164">
        <f t="shared" si="212"/>
        <v>108000000</v>
      </c>
      <c r="P1911" s="166">
        <v>0</v>
      </c>
      <c r="Q1911" s="166">
        <v>0</v>
      </c>
      <c r="R1911" s="164">
        <f>$L1911*'Pivot Objective'!$C$9*P1911*Q1911</f>
        <v>0</v>
      </c>
      <c r="S1911" s="166">
        <v>0</v>
      </c>
      <c r="T1911" s="166">
        <v>0</v>
      </c>
      <c r="U1911" s="164">
        <f>($L1911*'Pivot Objective'!$C$9^2)*S1911*T1911</f>
        <v>0</v>
      </c>
      <c r="V1911" s="166">
        <v>15</v>
      </c>
      <c r="W1911" s="166">
        <v>40</v>
      </c>
      <c r="X1911" s="164">
        <f>($L1911*'Pivot Objective'!$C$9^3)*V1911*W1911</f>
        <v>40309973.462997966</v>
      </c>
      <c r="Y1911" s="166">
        <v>15</v>
      </c>
      <c r="Z1911" s="166">
        <v>40</v>
      </c>
      <c r="AA1911" s="164">
        <f>($L1911*'Pivot Objective'!$C$9^4)*Y1911*Z1911</f>
        <v>46071119.090370521</v>
      </c>
      <c r="AB1911" s="166">
        <v>0</v>
      </c>
      <c r="AC1911" s="166">
        <v>0</v>
      </c>
      <c r="AD1911" s="164">
        <f>($L1911*'Pivot Objective'!$C$9^5)*AB1911*AC1911</f>
        <v>0</v>
      </c>
      <c r="AE1911" s="166">
        <v>0</v>
      </c>
      <c r="AF1911" s="166">
        <v>0</v>
      </c>
      <c r="AG1911" s="164">
        <f>($L1911*'Pivot Objective'!$C$9^6)*AE1911*AF1911</f>
        <v>0</v>
      </c>
      <c r="AH1911" s="166">
        <v>0</v>
      </c>
      <c r="AI1911" s="166">
        <v>0</v>
      </c>
      <c r="AJ1911" s="164">
        <f>($L1911*'Pivot Objective'!$C$9^7)*AH1911*AI1911</f>
        <v>0</v>
      </c>
      <c r="AK1911" s="185">
        <f t="shared" si="213"/>
        <v>194381092.55336851</v>
      </c>
      <c r="AL1911" s="186">
        <f t="shared" si="214"/>
        <v>188719.50733336748</v>
      </c>
    </row>
    <row r="1912" spans="1:38" customFormat="1" ht="43.2" x14ac:dyDescent="0.3">
      <c r="A1912" s="140" t="s">
        <v>1486</v>
      </c>
      <c r="B1912" s="140">
        <v>3</v>
      </c>
      <c r="C1912" s="166" t="s">
        <v>696</v>
      </c>
      <c r="D1912" s="140" t="str">
        <f t="shared" si="216"/>
        <v>3</v>
      </c>
      <c r="E1912" s="166" t="s">
        <v>691</v>
      </c>
      <c r="F1912" s="140">
        <f t="shared" si="215"/>
        <v>2</v>
      </c>
      <c r="G1912" s="140" t="str">
        <f t="shared" si="217"/>
        <v>3.3.2</v>
      </c>
      <c r="H1912" s="166" t="s">
        <v>1699</v>
      </c>
      <c r="I1912" s="166" t="s">
        <v>47</v>
      </c>
      <c r="J1912" s="166" t="s">
        <v>375</v>
      </c>
      <c r="K1912" s="166" t="s">
        <v>712</v>
      </c>
      <c r="L1912" s="167">
        <f>1480/7</f>
        <v>211.42857142857142</v>
      </c>
      <c r="M1912" s="166">
        <f>2*25*9</f>
        <v>450</v>
      </c>
      <c r="N1912" s="166">
        <f>5*4</f>
        <v>20</v>
      </c>
      <c r="O1912" s="164">
        <f t="shared" si="212"/>
        <v>1902857.1428571427</v>
      </c>
      <c r="P1912" s="166">
        <v>0</v>
      </c>
      <c r="Q1912" s="166">
        <v>0</v>
      </c>
      <c r="R1912" s="164">
        <f>$L1912*'Pivot Objective'!$C$9*P1912*Q1912</f>
        <v>0</v>
      </c>
      <c r="S1912" s="166">
        <v>0</v>
      </c>
      <c r="T1912" s="166">
        <v>0</v>
      </c>
      <c r="U1912" s="164">
        <f>($L1912*'Pivot Objective'!$C$9^2)*S1912*T1912</f>
        <v>0</v>
      </c>
      <c r="V1912" s="166">
        <v>20000</v>
      </c>
      <c r="W1912" s="166">
        <v>4</v>
      </c>
      <c r="X1912" s="164">
        <f>($L1912*'Pivot Objective'!$C$9^3)*V1912*W1912</f>
        <v>25252385.492163803</v>
      </c>
      <c r="Y1912" s="166">
        <v>20000</v>
      </c>
      <c r="Z1912" s="166">
        <v>4</v>
      </c>
      <c r="AA1912" s="164">
        <f>($L1912*'Pivot Objective'!$C$9^4)*Y1912*Z1912</f>
        <v>28861484.128570735</v>
      </c>
      <c r="AB1912" s="166">
        <v>0</v>
      </c>
      <c r="AC1912" s="166">
        <v>0</v>
      </c>
      <c r="AD1912" s="164">
        <f>($L1912*'Pivot Objective'!$C$9^5)*AB1912*AC1912</f>
        <v>0</v>
      </c>
      <c r="AE1912" s="166">
        <v>0</v>
      </c>
      <c r="AF1912" s="166">
        <v>0</v>
      </c>
      <c r="AG1912" s="164">
        <f>($L1912*'Pivot Objective'!$C$9^6)*AE1912*AF1912</f>
        <v>0</v>
      </c>
      <c r="AH1912" s="166">
        <v>0</v>
      </c>
      <c r="AI1912" s="166">
        <v>0</v>
      </c>
      <c r="AJ1912" s="164">
        <f>($L1912*'Pivot Objective'!$C$9^7)*AH1912*AI1912</f>
        <v>0</v>
      </c>
      <c r="AK1912" s="185">
        <f t="shared" si="213"/>
        <v>56016726.763591677</v>
      </c>
      <c r="AL1912" s="186">
        <f t="shared" si="214"/>
        <v>54385.171615137551</v>
      </c>
    </row>
    <row r="1913" spans="1:38" customFormat="1" ht="43.2" x14ac:dyDescent="0.3">
      <c r="A1913" s="140" t="s">
        <v>1486</v>
      </c>
      <c r="B1913" s="140">
        <v>3</v>
      </c>
      <c r="C1913" s="166" t="s">
        <v>696</v>
      </c>
      <c r="D1913" s="140" t="str">
        <f t="shared" si="216"/>
        <v>3</v>
      </c>
      <c r="E1913" s="166" t="s">
        <v>691</v>
      </c>
      <c r="F1913" s="140">
        <f t="shared" si="215"/>
        <v>2</v>
      </c>
      <c r="G1913" s="140" t="str">
        <f t="shared" si="217"/>
        <v>3.3.2</v>
      </c>
      <c r="H1913" s="166" t="s">
        <v>1699</v>
      </c>
      <c r="I1913" s="166" t="s">
        <v>47</v>
      </c>
      <c r="J1913" s="166" t="s">
        <v>375</v>
      </c>
      <c r="K1913" s="166" t="s">
        <v>1299</v>
      </c>
      <c r="L1913" s="167">
        <f>1480/7</f>
        <v>211.42857142857142</v>
      </c>
      <c r="M1913" s="166">
        <f>2*135*9</f>
        <v>2430</v>
      </c>
      <c r="N1913" s="166">
        <v>4</v>
      </c>
      <c r="O1913" s="164">
        <f t="shared" si="212"/>
        <v>2055085.7142857141</v>
      </c>
      <c r="P1913" s="166"/>
      <c r="Q1913" s="166"/>
      <c r="R1913" s="164">
        <f>$L1913*'Pivot Objective'!$C$9*P1913*Q1913</f>
        <v>0</v>
      </c>
      <c r="S1913" s="166"/>
      <c r="T1913" s="166"/>
      <c r="U1913" s="164">
        <f>($L1913*'Pivot Objective'!$C$9^2)*S1913*T1913</f>
        <v>0</v>
      </c>
      <c r="V1913" s="166"/>
      <c r="W1913" s="166"/>
      <c r="X1913" s="164">
        <f>($L1913*'Pivot Objective'!$C$9^3)*V1913*W1913</f>
        <v>0</v>
      </c>
      <c r="Y1913" s="166"/>
      <c r="Z1913" s="166"/>
      <c r="AA1913" s="164">
        <f>($L1913*'Pivot Objective'!$C$9^4)*Y1913*Z1913</f>
        <v>0</v>
      </c>
      <c r="AB1913" s="166"/>
      <c r="AC1913" s="166"/>
      <c r="AD1913" s="164">
        <f>($L1913*'Pivot Objective'!$C$9^5)*AB1913*AC1913</f>
        <v>0</v>
      </c>
      <c r="AE1913" s="166"/>
      <c r="AF1913" s="166"/>
      <c r="AG1913" s="164">
        <f>($L1913*'Pivot Objective'!$C$9^6)*AE1913*AF1913</f>
        <v>0</v>
      </c>
      <c r="AH1913" s="166"/>
      <c r="AI1913" s="166"/>
      <c r="AJ1913" s="164">
        <f>($L1913*'Pivot Objective'!$C$9^7)*AH1913*AI1913</f>
        <v>0</v>
      </c>
      <c r="AK1913" s="185">
        <f t="shared" si="213"/>
        <v>2055085.7142857141</v>
      </c>
      <c r="AL1913" s="186">
        <f t="shared" si="214"/>
        <v>1995.2288488210816</v>
      </c>
    </row>
    <row r="1914" spans="1:38" customFormat="1" ht="43.2" x14ac:dyDescent="0.3">
      <c r="A1914" s="140" t="s">
        <v>1486</v>
      </c>
      <c r="B1914" s="140">
        <v>3</v>
      </c>
      <c r="C1914" s="166" t="s">
        <v>696</v>
      </c>
      <c r="D1914" s="140" t="str">
        <f t="shared" si="216"/>
        <v>3</v>
      </c>
      <c r="E1914" s="166" t="s">
        <v>691</v>
      </c>
      <c r="F1914" s="140">
        <f t="shared" si="215"/>
        <v>2</v>
      </c>
      <c r="G1914" s="140" t="str">
        <f t="shared" si="217"/>
        <v>3.3.2</v>
      </c>
      <c r="H1914" s="166" t="s">
        <v>1699</v>
      </c>
      <c r="I1914" s="166" t="s">
        <v>47</v>
      </c>
      <c r="J1914" s="166" t="s">
        <v>376</v>
      </c>
      <c r="K1914" s="166" t="s">
        <v>713</v>
      </c>
      <c r="L1914" s="167">
        <v>45000</v>
      </c>
      <c r="M1914" s="166">
        <v>100</v>
      </c>
      <c r="N1914" s="166">
        <f>6*4</f>
        <v>24</v>
      </c>
      <c r="O1914" s="164">
        <f t="shared" si="212"/>
        <v>108000000</v>
      </c>
      <c r="P1914" s="166">
        <v>0</v>
      </c>
      <c r="Q1914" s="166">
        <v>0</v>
      </c>
      <c r="R1914" s="164">
        <f>$L1914*'Pivot Objective'!$C$9*P1914*Q1914</f>
        <v>0</v>
      </c>
      <c r="S1914" s="166">
        <v>0</v>
      </c>
      <c r="T1914" s="166">
        <v>0</v>
      </c>
      <c r="U1914" s="164">
        <f>($L1914*'Pivot Objective'!$C$9^2)*S1914*T1914</f>
        <v>0</v>
      </c>
      <c r="V1914" s="166">
        <v>15</v>
      </c>
      <c r="W1914" s="166">
        <v>40</v>
      </c>
      <c r="X1914" s="164">
        <f>($L1914*'Pivot Objective'!$C$9^3)*V1914*W1914</f>
        <v>40309973.462997966</v>
      </c>
      <c r="Y1914" s="166">
        <v>15</v>
      </c>
      <c r="Z1914" s="166">
        <v>40</v>
      </c>
      <c r="AA1914" s="164">
        <f>($L1914*'Pivot Objective'!$C$9^4)*Y1914*Z1914</f>
        <v>46071119.090370521</v>
      </c>
      <c r="AB1914" s="166">
        <v>0</v>
      </c>
      <c r="AC1914" s="166">
        <v>0</v>
      </c>
      <c r="AD1914" s="164">
        <f>($L1914*'Pivot Objective'!$C$9^5)*AB1914*AC1914</f>
        <v>0</v>
      </c>
      <c r="AE1914" s="166">
        <v>0</v>
      </c>
      <c r="AF1914" s="166">
        <v>0</v>
      </c>
      <c r="AG1914" s="164">
        <f>($L1914*'Pivot Objective'!$C$9^6)*AE1914*AF1914</f>
        <v>0</v>
      </c>
      <c r="AH1914" s="166">
        <v>0</v>
      </c>
      <c r="AI1914" s="166">
        <v>0</v>
      </c>
      <c r="AJ1914" s="164">
        <f>($L1914*'Pivot Objective'!$C$9^7)*AH1914*AI1914</f>
        <v>0</v>
      </c>
      <c r="AK1914" s="185">
        <f t="shared" si="213"/>
        <v>194381092.55336851</v>
      </c>
      <c r="AL1914" s="186">
        <f t="shared" si="214"/>
        <v>188719.50733336748</v>
      </c>
    </row>
    <row r="1915" spans="1:38" customFormat="1" ht="43.2" x14ac:dyDescent="0.3">
      <c r="A1915" s="140" t="s">
        <v>1486</v>
      </c>
      <c r="B1915" s="140">
        <v>3</v>
      </c>
      <c r="C1915" s="166" t="s">
        <v>696</v>
      </c>
      <c r="D1915" s="140" t="str">
        <f t="shared" si="216"/>
        <v>3</v>
      </c>
      <c r="E1915" s="166" t="s">
        <v>691</v>
      </c>
      <c r="F1915" s="140">
        <f t="shared" si="215"/>
        <v>2</v>
      </c>
      <c r="G1915" s="140" t="str">
        <f t="shared" si="217"/>
        <v>3.3.2</v>
      </c>
      <c r="H1915" s="166" t="s">
        <v>1699</v>
      </c>
      <c r="I1915" s="166" t="s">
        <v>47</v>
      </c>
      <c r="J1915" s="166" t="s">
        <v>376</v>
      </c>
      <c r="K1915" s="166" t="s">
        <v>712</v>
      </c>
      <c r="L1915" s="167">
        <f>1480/7</f>
        <v>211.42857142857142</v>
      </c>
      <c r="M1915" s="166">
        <f>2*25*9</f>
        <v>450</v>
      </c>
      <c r="N1915" s="166">
        <f>5*4</f>
        <v>20</v>
      </c>
      <c r="O1915" s="164">
        <f t="shared" si="212"/>
        <v>1902857.1428571427</v>
      </c>
      <c r="P1915" s="166">
        <v>0</v>
      </c>
      <c r="Q1915" s="166">
        <v>0</v>
      </c>
      <c r="R1915" s="164">
        <f>$L1915*'Pivot Objective'!$C$9*P1915*Q1915</f>
        <v>0</v>
      </c>
      <c r="S1915" s="166">
        <v>0</v>
      </c>
      <c r="T1915" s="166">
        <v>0</v>
      </c>
      <c r="U1915" s="164">
        <f>($L1915*'Pivot Objective'!$C$9^2)*S1915*T1915</f>
        <v>0</v>
      </c>
      <c r="V1915" s="166">
        <v>20000</v>
      </c>
      <c r="W1915" s="166">
        <v>4</v>
      </c>
      <c r="X1915" s="164">
        <f>($L1915*'Pivot Objective'!$C$9^3)*V1915*W1915</f>
        <v>25252385.492163803</v>
      </c>
      <c r="Y1915" s="166">
        <v>20000</v>
      </c>
      <c r="Z1915" s="166">
        <v>4</v>
      </c>
      <c r="AA1915" s="164">
        <f>($L1915*'Pivot Objective'!$C$9^4)*Y1915*Z1915</f>
        <v>28861484.128570735</v>
      </c>
      <c r="AB1915" s="166">
        <v>0</v>
      </c>
      <c r="AC1915" s="166">
        <v>0</v>
      </c>
      <c r="AD1915" s="164">
        <f>($L1915*'Pivot Objective'!$C$9^5)*AB1915*AC1915</f>
        <v>0</v>
      </c>
      <c r="AE1915" s="166">
        <v>0</v>
      </c>
      <c r="AF1915" s="166">
        <v>0</v>
      </c>
      <c r="AG1915" s="164">
        <f>($L1915*'Pivot Objective'!$C$9^6)*AE1915*AF1915</f>
        <v>0</v>
      </c>
      <c r="AH1915" s="166">
        <v>0</v>
      </c>
      <c r="AI1915" s="166">
        <v>0</v>
      </c>
      <c r="AJ1915" s="164">
        <f>($L1915*'Pivot Objective'!$C$9^7)*AH1915*AI1915</f>
        <v>0</v>
      </c>
      <c r="AK1915" s="185">
        <f t="shared" si="213"/>
        <v>56016726.763591677</v>
      </c>
      <c r="AL1915" s="186">
        <f t="shared" si="214"/>
        <v>54385.171615137551</v>
      </c>
    </row>
    <row r="1916" spans="1:38" customFormat="1" ht="43.2" x14ac:dyDescent="0.3">
      <c r="A1916" s="140" t="s">
        <v>1486</v>
      </c>
      <c r="B1916" s="140">
        <v>3</v>
      </c>
      <c r="C1916" s="166" t="s">
        <v>696</v>
      </c>
      <c r="D1916" s="140" t="str">
        <f t="shared" si="216"/>
        <v>3</v>
      </c>
      <c r="E1916" s="166" t="s">
        <v>691</v>
      </c>
      <c r="F1916" s="140">
        <f t="shared" si="215"/>
        <v>2</v>
      </c>
      <c r="G1916" s="140" t="str">
        <f t="shared" si="217"/>
        <v>3.3.2</v>
      </c>
      <c r="H1916" s="166" t="s">
        <v>1699</v>
      </c>
      <c r="I1916" s="166" t="s">
        <v>47</v>
      </c>
      <c r="J1916" s="166" t="s">
        <v>376</v>
      </c>
      <c r="K1916" s="166" t="s">
        <v>1299</v>
      </c>
      <c r="L1916" s="167">
        <f>1480/7</f>
        <v>211.42857142857142</v>
      </c>
      <c r="M1916" s="166">
        <f>2*135*9</f>
        <v>2430</v>
      </c>
      <c r="N1916" s="166">
        <v>4</v>
      </c>
      <c r="O1916" s="164">
        <f t="shared" si="212"/>
        <v>2055085.7142857141</v>
      </c>
      <c r="P1916" s="166"/>
      <c r="Q1916" s="166"/>
      <c r="R1916" s="164">
        <f>$L1916*'Pivot Objective'!$C$9*P1916*Q1916</f>
        <v>0</v>
      </c>
      <c r="S1916" s="166"/>
      <c r="T1916" s="166"/>
      <c r="U1916" s="164">
        <f>($L1916*'Pivot Objective'!$C$9^2)*S1916*T1916</f>
        <v>0</v>
      </c>
      <c r="V1916" s="166"/>
      <c r="W1916" s="166"/>
      <c r="X1916" s="164">
        <f>($L1916*'Pivot Objective'!$C$9^3)*V1916*W1916</f>
        <v>0</v>
      </c>
      <c r="Y1916" s="166"/>
      <c r="Z1916" s="166"/>
      <c r="AA1916" s="164">
        <f>($L1916*'Pivot Objective'!$C$9^4)*Y1916*Z1916</f>
        <v>0</v>
      </c>
      <c r="AB1916" s="166"/>
      <c r="AC1916" s="166"/>
      <c r="AD1916" s="164">
        <f>($L1916*'Pivot Objective'!$C$9^5)*AB1916*AC1916</f>
        <v>0</v>
      </c>
      <c r="AE1916" s="166"/>
      <c r="AF1916" s="166"/>
      <c r="AG1916" s="164">
        <f>($L1916*'Pivot Objective'!$C$9^6)*AE1916*AF1916</f>
        <v>0</v>
      </c>
      <c r="AH1916" s="166"/>
      <c r="AI1916" s="166"/>
      <c r="AJ1916" s="164">
        <f>($L1916*'Pivot Objective'!$C$9^7)*AH1916*AI1916</f>
        <v>0</v>
      </c>
      <c r="AK1916" s="185">
        <f t="shared" si="213"/>
        <v>2055085.7142857141</v>
      </c>
      <c r="AL1916" s="186">
        <f t="shared" si="214"/>
        <v>1995.2288488210816</v>
      </c>
    </row>
    <row r="1917" spans="1:38" customFormat="1" ht="43.2" x14ac:dyDescent="0.3">
      <c r="A1917" s="140" t="s">
        <v>1486</v>
      </c>
      <c r="B1917" s="140">
        <v>3</v>
      </c>
      <c r="C1917" s="166" t="s">
        <v>696</v>
      </c>
      <c r="D1917" s="140" t="str">
        <f t="shared" si="216"/>
        <v>3</v>
      </c>
      <c r="E1917" s="166" t="s">
        <v>691</v>
      </c>
      <c r="F1917" s="140">
        <f t="shared" si="215"/>
        <v>2</v>
      </c>
      <c r="G1917" s="140" t="str">
        <f t="shared" si="217"/>
        <v>3.3.2</v>
      </c>
      <c r="H1917" s="166" t="s">
        <v>1699</v>
      </c>
      <c r="I1917" s="166" t="s">
        <v>47</v>
      </c>
      <c r="J1917" s="166" t="s">
        <v>377</v>
      </c>
      <c r="K1917" s="166" t="s">
        <v>718</v>
      </c>
      <c r="L1917" s="167">
        <v>0</v>
      </c>
      <c r="M1917" s="166">
        <v>0</v>
      </c>
      <c r="N1917" s="166">
        <v>0</v>
      </c>
      <c r="O1917" s="164">
        <f t="shared" si="212"/>
        <v>0</v>
      </c>
      <c r="P1917" s="166">
        <v>0</v>
      </c>
      <c r="Q1917" s="166">
        <v>0</v>
      </c>
      <c r="R1917" s="164">
        <f>$L1917*'Pivot Objective'!$C$9*P1917*Q1917</f>
        <v>0</v>
      </c>
      <c r="S1917" s="166">
        <v>0</v>
      </c>
      <c r="T1917" s="166">
        <v>0</v>
      </c>
      <c r="U1917" s="164">
        <f>($L1917*'Pivot Objective'!$C$9^2)*S1917*T1917</f>
        <v>0</v>
      </c>
      <c r="V1917" s="166">
        <v>0</v>
      </c>
      <c r="W1917" s="166">
        <v>0</v>
      </c>
      <c r="X1917" s="164">
        <f>($L1917*'Pivot Objective'!$C$9^3)*V1917*W1917</f>
        <v>0</v>
      </c>
      <c r="Y1917" s="166">
        <v>0</v>
      </c>
      <c r="Z1917" s="166">
        <v>0</v>
      </c>
      <c r="AA1917" s="164">
        <f>($L1917*'Pivot Objective'!$C$9^4)*Y1917*Z1917</f>
        <v>0</v>
      </c>
      <c r="AB1917" s="166">
        <v>0</v>
      </c>
      <c r="AC1917" s="166">
        <v>0</v>
      </c>
      <c r="AD1917" s="164">
        <f>($L1917*'Pivot Objective'!$C$9^5)*AB1917*AC1917</f>
        <v>0</v>
      </c>
      <c r="AE1917" s="166">
        <v>0</v>
      </c>
      <c r="AF1917" s="166">
        <v>0</v>
      </c>
      <c r="AG1917" s="164">
        <f>($L1917*'Pivot Objective'!$C$9^6)*AE1917*AF1917</f>
        <v>0</v>
      </c>
      <c r="AH1917" s="166">
        <v>0</v>
      </c>
      <c r="AI1917" s="166">
        <v>0</v>
      </c>
      <c r="AJ1917" s="164">
        <f>($L1917*'Pivot Objective'!$C$9^7)*AH1917*AI1917</f>
        <v>0</v>
      </c>
      <c r="AK1917" s="185">
        <f t="shared" si="213"/>
        <v>0</v>
      </c>
      <c r="AL1917" s="186">
        <f t="shared" si="214"/>
        <v>0</v>
      </c>
    </row>
    <row r="1918" spans="1:38" customFormat="1" ht="43.2" x14ac:dyDescent="0.3">
      <c r="A1918" s="140" t="s">
        <v>1486</v>
      </c>
      <c r="B1918" s="140">
        <v>3</v>
      </c>
      <c r="C1918" s="166" t="s">
        <v>696</v>
      </c>
      <c r="D1918" s="140" t="str">
        <f t="shared" si="216"/>
        <v>3</v>
      </c>
      <c r="E1918" s="166" t="s">
        <v>691</v>
      </c>
      <c r="F1918" s="140">
        <f t="shared" si="215"/>
        <v>2</v>
      </c>
      <c r="G1918" s="140" t="str">
        <f t="shared" si="217"/>
        <v>3.3.2</v>
      </c>
      <c r="H1918" s="166" t="s">
        <v>1699</v>
      </c>
      <c r="I1918" s="166" t="s">
        <v>47</v>
      </c>
      <c r="J1918" s="166" t="s">
        <v>378</v>
      </c>
      <c r="K1918" s="166" t="s">
        <v>713</v>
      </c>
      <c r="L1918" s="167">
        <v>45000</v>
      </c>
      <c r="M1918" s="166">
        <v>25</v>
      </c>
      <c r="N1918" s="166">
        <v>6</v>
      </c>
      <c r="O1918" s="164">
        <f t="shared" si="212"/>
        <v>6750000</v>
      </c>
      <c r="P1918" s="166">
        <v>0</v>
      </c>
      <c r="Q1918" s="166">
        <v>0</v>
      </c>
      <c r="R1918" s="164">
        <f>$L1918*'Pivot Objective'!$C$9*P1918*Q1918</f>
        <v>0</v>
      </c>
      <c r="S1918" s="166">
        <v>0</v>
      </c>
      <c r="T1918" s="166">
        <v>0</v>
      </c>
      <c r="U1918" s="164">
        <f>($L1918*'Pivot Objective'!$C$9^2)*S1918*T1918</f>
        <v>0</v>
      </c>
      <c r="V1918" s="166">
        <v>15</v>
      </c>
      <c r="W1918" s="166">
        <v>40</v>
      </c>
      <c r="X1918" s="164">
        <f>($L1918*'Pivot Objective'!$C$9^3)*V1918*W1918</f>
        <v>40309973.462997966</v>
      </c>
      <c r="Y1918" s="166">
        <v>15</v>
      </c>
      <c r="Z1918" s="166">
        <v>40</v>
      </c>
      <c r="AA1918" s="164">
        <f>($L1918*'Pivot Objective'!$C$9^4)*Y1918*Z1918</f>
        <v>46071119.090370521</v>
      </c>
      <c r="AB1918" s="166">
        <v>0</v>
      </c>
      <c r="AC1918" s="166">
        <v>0</v>
      </c>
      <c r="AD1918" s="164">
        <f>($L1918*'Pivot Objective'!$C$9^5)*AB1918*AC1918</f>
        <v>0</v>
      </c>
      <c r="AE1918" s="166">
        <v>0</v>
      </c>
      <c r="AF1918" s="166">
        <v>0</v>
      </c>
      <c r="AG1918" s="164">
        <f>($L1918*'Pivot Objective'!$C$9^6)*AE1918*AF1918</f>
        <v>0</v>
      </c>
      <c r="AH1918" s="166">
        <v>0</v>
      </c>
      <c r="AI1918" s="166">
        <v>0</v>
      </c>
      <c r="AJ1918" s="164">
        <f>($L1918*'Pivot Objective'!$C$9^7)*AH1918*AI1918</f>
        <v>0</v>
      </c>
      <c r="AK1918" s="185">
        <f t="shared" si="213"/>
        <v>93131092.553368479</v>
      </c>
      <c r="AL1918" s="186">
        <f t="shared" si="214"/>
        <v>90418.536459581053</v>
      </c>
    </row>
    <row r="1919" spans="1:38" customFormat="1" ht="43.2" x14ac:dyDescent="0.3">
      <c r="A1919" s="140" t="s">
        <v>1486</v>
      </c>
      <c r="B1919" s="140">
        <v>3</v>
      </c>
      <c r="C1919" s="166" t="s">
        <v>696</v>
      </c>
      <c r="D1919" s="140" t="str">
        <f t="shared" si="216"/>
        <v>3</v>
      </c>
      <c r="E1919" s="166" t="s">
        <v>691</v>
      </c>
      <c r="F1919" s="140">
        <f t="shared" si="215"/>
        <v>2</v>
      </c>
      <c r="G1919" s="140" t="str">
        <f t="shared" si="217"/>
        <v>3.3.2</v>
      </c>
      <c r="H1919" s="166" t="s">
        <v>1699</v>
      </c>
      <c r="I1919" s="166" t="s">
        <v>47</v>
      </c>
      <c r="J1919" s="166" t="s">
        <v>378</v>
      </c>
      <c r="K1919" s="166" t="s">
        <v>712</v>
      </c>
      <c r="L1919" s="167">
        <f>1480/7</f>
        <v>211.42857142857142</v>
      </c>
      <c r="M1919" s="166">
        <f>2*25*9</f>
        <v>450</v>
      </c>
      <c r="N1919" s="166">
        <v>5</v>
      </c>
      <c r="O1919" s="164">
        <f t="shared" si="212"/>
        <v>475714.28571428568</v>
      </c>
      <c r="P1919" s="166">
        <v>0</v>
      </c>
      <c r="Q1919" s="166">
        <v>0</v>
      </c>
      <c r="R1919" s="164">
        <f>$L1919*'Pivot Objective'!$C$9*P1919*Q1919</f>
        <v>0</v>
      </c>
      <c r="S1919" s="166">
        <v>0</v>
      </c>
      <c r="T1919" s="166">
        <v>0</v>
      </c>
      <c r="U1919" s="164">
        <f>($L1919*'Pivot Objective'!$C$9^2)*S1919*T1919</f>
        <v>0</v>
      </c>
      <c r="V1919" s="166">
        <v>20000</v>
      </c>
      <c r="W1919" s="166">
        <v>4</v>
      </c>
      <c r="X1919" s="164">
        <f>($L1919*'Pivot Objective'!$C$9^3)*V1919*W1919</f>
        <v>25252385.492163803</v>
      </c>
      <c r="Y1919" s="166">
        <v>20000</v>
      </c>
      <c r="Z1919" s="166">
        <v>4</v>
      </c>
      <c r="AA1919" s="164">
        <f>($L1919*'Pivot Objective'!$C$9^4)*Y1919*Z1919</f>
        <v>28861484.128570735</v>
      </c>
      <c r="AB1919" s="166">
        <v>0</v>
      </c>
      <c r="AC1919" s="166">
        <v>0</v>
      </c>
      <c r="AD1919" s="164">
        <f>($L1919*'Pivot Objective'!$C$9^5)*AB1919*AC1919</f>
        <v>0</v>
      </c>
      <c r="AE1919" s="166">
        <v>0</v>
      </c>
      <c r="AF1919" s="166">
        <v>0</v>
      </c>
      <c r="AG1919" s="164">
        <f>($L1919*'Pivot Objective'!$C$9^6)*AE1919*AF1919</f>
        <v>0</v>
      </c>
      <c r="AH1919" s="166">
        <v>0</v>
      </c>
      <c r="AI1919" s="166">
        <v>0</v>
      </c>
      <c r="AJ1919" s="164">
        <f>($L1919*'Pivot Objective'!$C$9^7)*AH1919*AI1919</f>
        <v>0</v>
      </c>
      <c r="AK1919" s="185">
        <f t="shared" si="213"/>
        <v>54589583.906448826</v>
      </c>
      <c r="AL1919" s="186">
        <f t="shared" si="214"/>
        <v>52999.596025678475</v>
      </c>
    </row>
    <row r="1920" spans="1:38" customFormat="1" ht="43.2" x14ac:dyDescent="0.3">
      <c r="A1920" s="140" t="s">
        <v>1486</v>
      </c>
      <c r="B1920" s="140">
        <v>3</v>
      </c>
      <c r="C1920" s="166" t="s">
        <v>696</v>
      </c>
      <c r="D1920" s="140" t="str">
        <f t="shared" si="216"/>
        <v>3</v>
      </c>
      <c r="E1920" s="166" t="s">
        <v>691</v>
      </c>
      <c r="F1920" s="140">
        <f t="shared" si="215"/>
        <v>2</v>
      </c>
      <c r="G1920" s="140" t="str">
        <f t="shared" si="217"/>
        <v>3.3.2</v>
      </c>
      <c r="H1920" s="166" t="s">
        <v>1699</v>
      </c>
      <c r="I1920" s="166" t="s">
        <v>47</v>
      </c>
      <c r="J1920" s="166" t="s">
        <v>378</v>
      </c>
      <c r="K1920" s="166" t="s">
        <v>1299</v>
      </c>
      <c r="L1920" s="167">
        <f>1480/7</f>
        <v>211.42857142857142</v>
      </c>
      <c r="M1920" s="166">
        <f>2*135*9</f>
        <v>2430</v>
      </c>
      <c r="N1920" s="166">
        <v>1</v>
      </c>
      <c r="O1920" s="164">
        <f t="shared" si="212"/>
        <v>513771.42857142852</v>
      </c>
      <c r="P1920" s="166"/>
      <c r="Q1920" s="166"/>
      <c r="R1920" s="164">
        <f>$L1920*'Pivot Objective'!$C$9*P1920*Q1920</f>
        <v>0</v>
      </c>
      <c r="S1920" s="166"/>
      <c r="T1920" s="166"/>
      <c r="U1920" s="164">
        <f>($L1920*'Pivot Objective'!$C$9^2)*S1920*T1920</f>
        <v>0</v>
      </c>
      <c r="V1920" s="166"/>
      <c r="W1920" s="166"/>
      <c r="X1920" s="164">
        <f>($L1920*'Pivot Objective'!$C$9^3)*V1920*W1920</f>
        <v>0</v>
      </c>
      <c r="Y1920" s="166"/>
      <c r="Z1920" s="166"/>
      <c r="AA1920" s="164">
        <f>($L1920*'Pivot Objective'!$C$9^4)*Y1920*Z1920</f>
        <v>0</v>
      </c>
      <c r="AB1920" s="166"/>
      <c r="AC1920" s="166"/>
      <c r="AD1920" s="164">
        <f>($L1920*'Pivot Objective'!$C$9^5)*AB1920*AC1920</f>
        <v>0</v>
      </c>
      <c r="AE1920" s="166"/>
      <c r="AF1920" s="166"/>
      <c r="AG1920" s="164">
        <f>($L1920*'Pivot Objective'!$C$9^6)*AE1920*AF1920</f>
        <v>0</v>
      </c>
      <c r="AH1920" s="166"/>
      <c r="AI1920" s="166"/>
      <c r="AJ1920" s="164">
        <f>($L1920*'Pivot Objective'!$C$9^7)*AH1920*AI1920</f>
        <v>0</v>
      </c>
      <c r="AK1920" s="185">
        <f t="shared" si="213"/>
        <v>513771.42857142852</v>
      </c>
      <c r="AL1920" s="186">
        <f t="shared" si="214"/>
        <v>498.80721220527039</v>
      </c>
    </row>
    <row r="1921" spans="1:38" customFormat="1" ht="43.2" x14ac:dyDescent="0.3">
      <c r="A1921" s="140" t="s">
        <v>1486</v>
      </c>
      <c r="B1921" s="140">
        <v>3</v>
      </c>
      <c r="C1921" s="166" t="s">
        <v>696</v>
      </c>
      <c r="D1921" s="140" t="str">
        <f t="shared" si="216"/>
        <v>3</v>
      </c>
      <c r="E1921" s="166" t="s">
        <v>691</v>
      </c>
      <c r="F1921" s="140">
        <f t="shared" si="215"/>
        <v>2</v>
      </c>
      <c r="G1921" s="140" t="str">
        <f t="shared" si="217"/>
        <v>3.3.2</v>
      </c>
      <c r="H1921" s="166" t="s">
        <v>1699</v>
      </c>
      <c r="I1921" s="166" t="s">
        <v>47</v>
      </c>
      <c r="J1921" s="166" t="s">
        <v>338</v>
      </c>
      <c r="K1921" s="166" t="s">
        <v>753</v>
      </c>
      <c r="L1921" s="167">
        <v>135000000</v>
      </c>
      <c r="M1921" s="166">
        <v>0</v>
      </c>
      <c r="N1921" s="166">
        <v>0</v>
      </c>
      <c r="O1921" s="164">
        <f t="shared" si="212"/>
        <v>0</v>
      </c>
      <c r="P1921" s="166">
        <v>0</v>
      </c>
      <c r="Q1921" s="166">
        <v>0</v>
      </c>
      <c r="R1921" s="164">
        <f>$L1921*'Pivot Objective'!$C$9*P1921*Q1921</f>
        <v>0</v>
      </c>
      <c r="S1921" s="166">
        <v>0</v>
      </c>
      <c r="T1921" s="166">
        <v>0</v>
      </c>
      <c r="U1921" s="164">
        <f>($L1921*'Pivot Objective'!$C$9^2)*S1921*T1921</f>
        <v>0</v>
      </c>
      <c r="V1921" s="166">
        <v>1</v>
      </c>
      <c r="W1921" s="166">
        <v>1</v>
      </c>
      <c r="X1921" s="164">
        <f>($L1921*'Pivot Objective'!$C$9^3)*V1921*W1921</f>
        <v>201549867.31498984</v>
      </c>
      <c r="Y1921" s="166">
        <v>1</v>
      </c>
      <c r="Z1921" s="166">
        <v>1</v>
      </c>
      <c r="AA1921" s="164">
        <f>($L1921*'Pivot Objective'!$C$9^4)*Y1921*Z1921</f>
        <v>230355595.45185262</v>
      </c>
      <c r="AB1921" s="166">
        <v>0</v>
      </c>
      <c r="AC1921" s="166">
        <v>0</v>
      </c>
      <c r="AD1921" s="164">
        <f>($L1921*'Pivot Objective'!$C$9^5)*AB1921*AC1921</f>
        <v>0</v>
      </c>
      <c r="AE1921" s="166">
        <v>0</v>
      </c>
      <c r="AF1921" s="166">
        <v>0</v>
      </c>
      <c r="AG1921" s="164">
        <f>($L1921*'Pivot Objective'!$C$9^6)*AE1921*AF1921</f>
        <v>0</v>
      </c>
      <c r="AH1921" s="166">
        <v>0</v>
      </c>
      <c r="AI1921" s="166">
        <v>0</v>
      </c>
      <c r="AJ1921" s="164">
        <f>($L1921*'Pivot Objective'!$C$9^7)*AH1921*AI1921</f>
        <v>0</v>
      </c>
      <c r="AK1921" s="185">
        <f t="shared" si="213"/>
        <v>431905462.76684248</v>
      </c>
      <c r="AL1921" s="186">
        <f t="shared" si="214"/>
        <v>419325.69200664316</v>
      </c>
    </row>
    <row r="1922" spans="1:38" customFormat="1" ht="43.2" x14ac:dyDescent="0.3">
      <c r="A1922" s="140" t="s">
        <v>1486</v>
      </c>
      <c r="B1922" s="140">
        <v>3</v>
      </c>
      <c r="C1922" s="166" t="s">
        <v>696</v>
      </c>
      <c r="D1922" s="140" t="str">
        <f t="shared" si="216"/>
        <v>3</v>
      </c>
      <c r="E1922" s="166" t="s">
        <v>691</v>
      </c>
      <c r="F1922" s="140">
        <f t="shared" si="215"/>
        <v>2</v>
      </c>
      <c r="G1922" s="140" t="str">
        <f t="shared" si="217"/>
        <v>3.3.2</v>
      </c>
      <c r="H1922" s="166" t="s">
        <v>1699</v>
      </c>
      <c r="I1922" s="166" t="s">
        <v>47</v>
      </c>
      <c r="J1922" s="166" t="s">
        <v>339</v>
      </c>
      <c r="K1922" s="166" t="s">
        <v>754</v>
      </c>
      <c r="L1922" s="167">
        <v>105000000</v>
      </c>
      <c r="M1922" s="166">
        <v>0</v>
      </c>
      <c r="N1922" s="166">
        <v>0</v>
      </c>
      <c r="O1922" s="164">
        <f t="shared" si="212"/>
        <v>0</v>
      </c>
      <c r="P1922" s="166">
        <v>0</v>
      </c>
      <c r="Q1922" s="166">
        <v>0</v>
      </c>
      <c r="R1922" s="164">
        <f>$L1922*'Pivot Objective'!$C$9*P1922*Q1922</f>
        <v>0</v>
      </c>
      <c r="S1922" s="166">
        <v>0</v>
      </c>
      <c r="T1922" s="166">
        <v>0</v>
      </c>
      <c r="U1922" s="164">
        <f>($L1922*'Pivot Objective'!$C$9^2)*S1922*T1922</f>
        <v>0</v>
      </c>
      <c r="V1922" s="166">
        <v>1</v>
      </c>
      <c r="W1922" s="166">
        <v>1</v>
      </c>
      <c r="X1922" s="164">
        <f>($L1922*'Pivot Objective'!$C$9^3)*V1922*W1922</f>
        <v>156761007.91165876</v>
      </c>
      <c r="Y1922" s="166">
        <v>1</v>
      </c>
      <c r="Z1922" s="166">
        <v>1</v>
      </c>
      <c r="AA1922" s="164">
        <f>($L1922*'Pivot Objective'!$C$9^4)*Y1922*Z1922</f>
        <v>179165463.1292187</v>
      </c>
      <c r="AB1922" s="166">
        <v>0</v>
      </c>
      <c r="AC1922" s="166">
        <v>0</v>
      </c>
      <c r="AD1922" s="164">
        <f>($L1922*'Pivot Objective'!$C$9^5)*AB1922*AC1922</f>
        <v>0</v>
      </c>
      <c r="AE1922" s="166">
        <v>0</v>
      </c>
      <c r="AF1922" s="166">
        <v>0</v>
      </c>
      <c r="AG1922" s="164">
        <f>($L1922*'Pivot Objective'!$C$9^6)*AE1922*AF1922</f>
        <v>0</v>
      </c>
      <c r="AH1922" s="166">
        <v>0</v>
      </c>
      <c r="AI1922" s="166">
        <v>0</v>
      </c>
      <c r="AJ1922" s="164">
        <f>($L1922*'Pivot Objective'!$C$9^7)*AH1922*AI1922</f>
        <v>0</v>
      </c>
      <c r="AK1922" s="185">
        <f t="shared" si="213"/>
        <v>335926471.04087746</v>
      </c>
      <c r="AL1922" s="186">
        <f t="shared" si="214"/>
        <v>326142.20489405579</v>
      </c>
    </row>
    <row r="1923" spans="1:38" customFormat="1" ht="43.2" x14ac:dyDescent="0.3">
      <c r="A1923" s="140" t="s">
        <v>1486</v>
      </c>
      <c r="B1923" s="140">
        <v>3</v>
      </c>
      <c r="C1923" s="166" t="s">
        <v>696</v>
      </c>
      <c r="D1923" s="140" t="str">
        <f t="shared" si="216"/>
        <v>3</v>
      </c>
      <c r="E1923" s="166" t="s">
        <v>691</v>
      </c>
      <c r="F1923" s="140">
        <f t="shared" si="215"/>
        <v>2</v>
      </c>
      <c r="G1923" s="140" t="str">
        <f t="shared" si="217"/>
        <v>3.3.2</v>
      </c>
      <c r="H1923" s="166" t="s">
        <v>1699</v>
      </c>
      <c r="I1923" s="166" t="s">
        <v>48</v>
      </c>
      <c r="J1923" s="166" t="s">
        <v>379</v>
      </c>
      <c r="K1923" s="166" t="s">
        <v>707</v>
      </c>
      <c r="L1923" s="167">
        <v>391991.03749999998</v>
      </c>
      <c r="M1923" s="166">
        <v>2</v>
      </c>
      <c r="N1923" s="166">
        <v>2</v>
      </c>
      <c r="O1923" s="164">
        <f t="shared" ref="O1923:O1986" si="218">$L1923*M1923*N1923</f>
        <v>1567964.15</v>
      </c>
      <c r="P1923" s="166">
        <v>0</v>
      </c>
      <c r="Q1923" s="166">
        <v>0</v>
      </c>
      <c r="R1923" s="164">
        <f>$L1923*'Pivot Objective'!$C$9*P1923*Q1923</f>
        <v>0</v>
      </c>
      <c r="S1923" s="166">
        <v>1</v>
      </c>
      <c r="T1923" s="166">
        <v>4</v>
      </c>
      <c r="U1923" s="164">
        <f>($L1923*'Pivot Objective'!$C$9^2)*S1923*T1923</f>
        <v>2048182.3883307995</v>
      </c>
      <c r="V1923" s="166">
        <v>0</v>
      </c>
      <c r="W1923" s="166">
        <v>0</v>
      </c>
      <c r="X1923" s="164">
        <f>($L1923*'Pivot Objective'!$C$9^3)*V1923*W1923</f>
        <v>0</v>
      </c>
      <c r="Y1923" s="166">
        <v>0</v>
      </c>
      <c r="Z1923" s="166">
        <v>0</v>
      </c>
      <c r="AA1923" s="164">
        <f>($L1923*'Pivot Objective'!$C$9^4)*Y1923*Z1923</f>
        <v>0</v>
      </c>
      <c r="AB1923" s="166">
        <v>0</v>
      </c>
      <c r="AC1923" s="166">
        <v>0</v>
      </c>
      <c r="AD1923" s="164">
        <f>($L1923*'Pivot Objective'!$C$9^5)*AB1923*AC1923</f>
        <v>0</v>
      </c>
      <c r="AE1923" s="166">
        <v>0</v>
      </c>
      <c r="AF1923" s="166">
        <v>0</v>
      </c>
      <c r="AG1923" s="164">
        <f>($L1923*'Pivot Objective'!$C$9^6)*AE1923*AF1923</f>
        <v>0</v>
      </c>
      <c r="AH1923" s="166">
        <v>0</v>
      </c>
      <c r="AI1923" s="166">
        <v>0</v>
      </c>
      <c r="AJ1923" s="164">
        <f>($L1923*'Pivot Objective'!$C$9^7)*AH1923*AI1923</f>
        <v>0</v>
      </c>
      <c r="AK1923" s="185">
        <f t="shared" ref="AK1923:AK1986" si="219">O1923+R1923+U1923+X1923+AA1923+AD1923+AG1923+AJ1923</f>
        <v>3616146.5383307994</v>
      </c>
      <c r="AL1923" s="186">
        <f t="shared" ref="AL1923:AL1986" si="220">AK1923/$AP$2</f>
        <v>3510.8218818745627</v>
      </c>
    </row>
    <row r="1924" spans="1:38" customFormat="1" ht="43.2" x14ac:dyDescent="0.3">
      <c r="A1924" s="140" t="s">
        <v>1486</v>
      </c>
      <c r="B1924" s="140">
        <v>3</v>
      </c>
      <c r="C1924" s="166" t="s">
        <v>696</v>
      </c>
      <c r="D1924" s="140" t="str">
        <f t="shared" si="216"/>
        <v>3</v>
      </c>
      <c r="E1924" s="166" t="s">
        <v>691</v>
      </c>
      <c r="F1924" s="140">
        <f t="shared" si="215"/>
        <v>2</v>
      </c>
      <c r="G1924" s="140" t="str">
        <f t="shared" si="217"/>
        <v>3.3.2</v>
      </c>
      <c r="H1924" s="166" t="s">
        <v>1699</v>
      </c>
      <c r="I1924" s="166" t="s">
        <v>48</v>
      </c>
      <c r="J1924" s="166" t="s">
        <v>379</v>
      </c>
      <c r="K1924" s="166" t="s">
        <v>708</v>
      </c>
      <c r="L1924" s="167">
        <f>500*1022</f>
        <v>511000</v>
      </c>
      <c r="M1924" s="166"/>
      <c r="N1924" s="166"/>
      <c r="O1924" s="164">
        <f t="shared" si="218"/>
        <v>0</v>
      </c>
      <c r="P1924" s="166">
        <v>0</v>
      </c>
      <c r="Q1924" s="166">
        <v>0</v>
      </c>
      <c r="R1924" s="164">
        <f>$L1924*'Pivot Objective'!$C$9*P1924*Q1924</f>
        <v>0</v>
      </c>
      <c r="S1924" s="166">
        <v>1</v>
      </c>
      <c r="T1924" s="166">
        <v>30</v>
      </c>
      <c r="U1924" s="164">
        <f>($L1924*'Pivot Objective'!$C$9^2)*S1924*T1924</f>
        <v>20025098.158724584</v>
      </c>
      <c r="V1924" s="166">
        <v>1</v>
      </c>
      <c r="W1924" s="166">
        <v>25</v>
      </c>
      <c r="X1924" s="164">
        <f>($L1924*'Pivot Objective'!$C$9^3)*V1924*W1924</f>
        <v>19072589.295918483</v>
      </c>
      <c r="Y1924" s="166">
        <v>0</v>
      </c>
      <c r="Z1924" s="166">
        <v>0</v>
      </c>
      <c r="AA1924" s="164">
        <f>($L1924*'Pivot Objective'!$C$9^4)*Y1924*Z1924</f>
        <v>0</v>
      </c>
      <c r="AB1924" s="166">
        <v>0</v>
      </c>
      <c r="AC1924" s="166">
        <v>0</v>
      </c>
      <c r="AD1924" s="164">
        <f>($L1924*'Pivot Objective'!$C$9^5)*AB1924*AC1924</f>
        <v>0</v>
      </c>
      <c r="AE1924" s="166">
        <v>0</v>
      </c>
      <c r="AF1924" s="166">
        <v>0</v>
      </c>
      <c r="AG1924" s="164">
        <f>($L1924*'Pivot Objective'!$C$9^6)*AE1924*AF1924</f>
        <v>0</v>
      </c>
      <c r="AH1924" s="166">
        <v>0</v>
      </c>
      <c r="AI1924" s="166">
        <v>0</v>
      </c>
      <c r="AJ1924" s="164">
        <f>($L1924*'Pivot Objective'!$C$9^7)*AH1924*AI1924</f>
        <v>0</v>
      </c>
      <c r="AK1924" s="185">
        <f t="shared" si="219"/>
        <v>39097687.454643071</v>
      </c>
      <c r="AL1924" s="186">
        <f t="shared" si="220"/>
        <v>37958.919858876769</v>
      </c>
    </row>
    <row r="1925" spans="1:38" customFormat="1" ht="43.2" x14ac:dyDescent="0.3">
      <c r="A1925" s="140" t="s">
        <v>1486</v>
      </c>
      <c r="B1925" s="140">
        <v>3</v>
      </c>
      <c r="C1925" s="166" t="s">
        <v>696</v>
      </c>
      <c r="D1925" s="140" t="str">
        <f t="shared" si="216"/>
        <v>3</v>
      </c>
      <c r="E1925" s="166" t="s">
        <v>691</v>
      </c>
      <c r="F1925" s="140">
        <f t="shared" si="215"/>
        <v>2</v>
      </c>
      <c r="G1925" s="140" t="str">
        <f t="shared" si="217"/>
        <v>3.3.2</v>
      </c>
      <c r="H1925" s="166" t="s">
        <v>1699</v>
      </c>
      <c r="I1925" s="166" t="s">
        <v>48</v>
      </c>
      <c r="J1925" s="166" t="s">
        <v>380</v>
      </c>
      <c r="K1925" s="166" t="s">
        <v>718</v>
      </c>
      <c r="L1925" s="167">
        <v>0</v>
      </c>
      <c r="M1925" s="166">
        <v>0</v>
      </c>
      <c r="N1925" s="166">
        <v>0</v>
      </c>
      <c r="O1925" s="164">
        <f t="shared" si="218"/>
        <v>0</v>
      </c>
      <c r="P1925" s="166">
        <v>0</v>
      </c>
      <c r="Q1925" s="166">
        <v>0</v>
      </c>
      <c r="R1925" s="164">
        <f>$L1925*'Pivot Objective'!$C$9*P1925*Q1925</f>
        <v>0</v>
      </c>
      <c r="S1925" s="166">
        <v>0</v>
      </c>
      <c r="T1925" s="166">
        <v>0</v>
      </c>
      <c r="U1925" s="164">
        <f>($L1925*'Pivot Objective'!$C$9^2)*S1925*T1925</f>
        <v>0</v>
      </c>
      <c r="V1925" s="166">
        <v>0</v>
      </c>
      <c r="W1925" s="166">
        <v>0</v>
      </c>
      <c r="X1925" s="164">
        <f>($L1925*'Pivot Objective'!$C$9^3)*V1925*W1925</f>
        <v>0</v>
      </c>
      <c r="Y1925" s="166">
        <v>0</v>
      </c>
      <c r="Z1925" s="166">
        <v>0</v>
      </c>
      <c r="AA1925" s="164">
        <f>($L1925*'Pivot Objective'!$C$9^4)*Y1925*Z1925</f>
        <v>0</v>
      </c>
      <c r="AB1925" s="166">
        <v>0</v>
      </c>
      <c r="AC1925" s="166">
        <v>0</v>
      </c>
      <c r="AD1925" s="164">
        <f>($L1925*'Pivot Objective'!$C$9^5)*AB1925*AC1925</f>
        <v>0</v>
      </c>
      <c r="AE1925" s="166">
        <v>0</v>
      </c>
      <c r="AF1925" s="166">
        <v>0</v>
      </c>
      <c r="AG1925" s="164">
        <f>($L1925*'Pivot Objective'!$C$9^6)*AE1925*AF1925</f>
        <v>0</v>
      </c>
      <c r="AH1925" s="166">
        <v>0</v>
      </c>
      <c r="AI1925" s="166">
        <v>0</v>
      </c>
      <c r="AJ1925" s="164">
        <f>($L1925*'Pivot Objective'!$C$9^7)*AH1925*AI1925</f>
        <v>0</v>
      </c>
      <c r="AK1925" s="185">
        <f t="shared" si="219"/>
        <v>0</v>
      </c>
      <c r="AL1925" s="186">
        <f t="shared" si="220"/>
        <v>0</v>
      </c>
    </row>
    <row r="1926" spans="1:38" customFormat="1" ht="43.2" x14ac:dyDescent="0.3">
      <c r="A1926" s="140" t="s">
        <v>1486</v>
      </c>
      <c r="B1926" s="140">
        <v>3</v>
      </c>
      <c r="C1926" s="166" t="s">
        <v>696</v>
      </c>
      <c r="D1926" s="140" t="str">
        <f t="shared" si="216"/>
        <v>3</v>
      </c>
      <c r="E1926" s="166" t="s">
        <v>691</v>
      </c>
      <c r="F1926" s="140">
        <f t="shared" si="215"/>
        <v>2</v>
      </c>
      <c r="G1926" s="140" t="str">
        <f t="shared" si="217"/>
        <v>3.3.2</v>
      </c>
      <c r="H1926" s="166" t="s">
        <v>1699</v>
      </c>
      <c r="I1926" s="166" t="s">
        <v>49</v>
      </c>
      <c r="J1926" s="166" t="s">
        <v>1391</v>
      </c>
      <c r="K1926" s="166" t="s">
        <v>713</v>
      </c>
      <c r="L1926" s="167">
        <v>45000</v>
      </c>
      <c r="M1926" s="166">
        <v>25</v>
      </c>
      <c r="N1926" s="166">
        <v>6</v>
      </c>
      <c r="O1926" s="164">
        <f t="shared" si="218"/>
        <v>6750000</v>
      </c>
      <c r="P1926" s="166">
        <v>0</v>
      </c>
      <c r="Q1926" s="166">
        <v>0</v>
      </c>
      <c r="R1926" s="164">
        <f>$L1926*'Pivot Objective'!$C$9*P1926*Q1926</f>
        <v>0</v>
      </c>
      <c r="S1926" s="166">
        <v>0</v>
      </c>
      <c r="T1926" s="166">
        <v>0</v>
      </c>
      <c r="U1926" s="164">
        <f>($L1926*'Pivot Objective'!$C$9^2)*S1926*T1926</f>
        <v>0</v>
      </c>
      <c r="V1926" s="166">
        <v>15</v>
      </c>
      <c r="W1926" s="166">
        <v>10</v>
      </c>
      <c r="X1926" s="164">
        <f>($L1926*'Pivot Objective'!$C$9^3)*V1926*W1926</f>
        <v>10077493.365749491</v>
      </c>
      <c r="Y1926" s="166">
        <v>15</v>
      </c>
      <c r="Z1926" s="166">
        <v>10</v>
      </c>
      <c r="AA1926" s="164">
        <f>($L1926*'Pivot Objective'!$C$9^4)*Y1926*Z1926</f>
        <v>11517779.77259263</v>
      </c>
      <c r="AB1926" s="166">
        <v>0</v>
      </c>
      <c r="AC1926" s="166">
        <v>0</v>
      </c>
      <c r="AD1926" s="164">
        <f>($L1926*'Pivot Objective'!$C$9^5)*AB1926*AC1926</f>
        <v>0</v>
      </c>
      <c r="AE1926" s="166">
        <v>0</v>
      </c>
      <c r="AF1926" s="166">
        <v>0</v>
      </c>
      <c r="AG1926" s="164">
        <f>($L1926*'Pivot Objective'!$C$9^6)*AE1926*AF1926</f>
        <v>0</v>
      </c>
      <c r="AH1926" s="166">
        <v>0</v>
      </c>
      <c r="AI1926" s="166">
        <v>0</v>
      </c>
      <c r="AJ1926" s="164">
        <f>($L1926*'Pivot Objective'!$C$9^7)*AH1926*AI1926</f>
        <v>0</v>
      </c>
      <c r="AK1926" s="185">
        <f t="shared" si="219"/>
        <v>28345273.138342123</v>
      </c>
      <c r="AL1926" s="186">
        <f t="shared" si="220"/>
        <v>27519.682658584585</v>
      </c>
    </row>
    <row r="1927" spans="1:38" customFormat="1" ht="43.2" x14ac:dyDescent="0.3">
      <c r="A1927" s="140" t="s">
        <v>1486</v>
      </c>
      <c r="B1927" s="140">
        <v>3</v>
      </c>
      <c r="C1927" s="166" t="s">
        <v>696</v>
      </c>
      <c r="D1927" s="140" t="str">
        <f t="shared" si="216"/>
        <v>3</v>
      </c>
      <c r="E1927" s="166" t="s">
        <v>691</v>
      </c>
      <c r="F1927" s="140">
        <f t="shared" si="215"/>
        <v>2</v>
      </c>
      <c r="G1927" s="140" t="str">
        <f t="shared" si="217"/>
        <v>3.3.2</v>
      </c>
      <c r="H1927" s="166" t="s">
        <v>1699</v>
      </c>
      <c r="I1927" s="166" t="s">
        <v>49</v>
      </c>
      <c r="J1927" s="166" t="s">
        <v>1391</v>
      </c>
      <c r="K1927" s="166" t="s">
        <v>712</v>
      </c>
      <c r="L1927" s="167">
        <f>1480/7</f>
        <v>211.42857142857142</v>
      </c>
      <c r="M1927" s="166">
        <f>2*25*9</f>
        <v>450</v>
      </c>
      <c r="N1927" s="166">
        <v>5</v>
      </c>
      <c r="O1927" s="164">
        <f t="shared" si="218"/>
        <v>475714.28571428568</v>
      </c>
      <c r="P1927" s="166">
        <v>0</v>
      </c>
      <c r="Q1927" s="166">
        <v>0</v>
      </c>
      <c r="R1927" s="164">
        <f>$L1927*'Pivot Objective'!$C$9*P1927*Q1927</f>
        <v>0</v>
      </c>
      <c r="S1927" s="166">
        <v>0</v>
      </c>
      <c r="T1927" s="166">
        <v>0</v>
      </c>
      <c r="U1927" s="164">
        <f>($L1927*'Pivot Objective'!$C$9^2)*S1927*T1927</f>
        <v>0</v>
      </c>
      <c r="V1927" s="166">
        <v>20000</v>
      </c>
      <c r="W1927" s="166">
        <v>1</v>
      </c>
      <c r="X1927" s="164">
        <f>($L1927*'Pivot Objective'!$C$9^3)*V1927*W1927</f>
        <v>6313096.3730409509</v>
      </c>
      <c r="Y1927" s="166">
        <v>20000</v>
      </c>
      <c r="Z1927" s="166">
        <v>1</v>
      </c>
      <c r="AA1927" s="164">
        <f>($L1927*'Pivot Objective'!$C$9^4)*Y1927*Z1927</f>
        <v>7215371.0321426839</v>
      </c>
      <c r="AB1927" s="166">
        <v>0</v>
      </c>
      <c r="AC1927" s="166">
        <v>0</v>
      </c>
      <c r="AD1927" s="164">
        <f>($L1927*'Pivot Objective'!$C$9^5)*AB1927*AC1927</f>
        <v>0</v>
      </c>
      <c r="AE1927" s="166">
        <v>0</v>
      </c>
      <c r="AF1927" s="166">
        <v>0</v>
      </c>
      <c r="AG1927" s="164">
        <f>($L1927*'Pivot Objective'!$C$9^6)*AE1927*AF1927</f>
        <v>0</v>
      </c>
      <c r="AH1927" s="166">
        <v>0</v>
      </c>
      <c r="AI1927" s="166">
        <v>0</v>
      </c>
      <c r="AJ1927" s="164">
        <f>($L1927*'Pivot Objective'!$C$9^7)*AH1927*AI1927</f>
        <v>0</v>
      </c>
      <c r="AK1927" s="185">
        <f t="shared" si="219"/>
        <v>14004181.690897919</v>
      </c>
      <c r="AL1927" s="186">
        <f t="shared" si="220"/>
        <v>13596.292903784388</v>
      </c>
    </row>
    <row r="1928" spans="1:38" customFormat="1" ht="43.2" x14ac:dyDescent="0.3">
      <c r="A1928" s="140" t="s">
        <v>1486</v>
      </c>
      <c r="B1928" s="140">
        <v>3</v>
      </c>
      <c r="C1928" s="166" t="s">
        <v>696</v>
      </c>
      <c r="D1928" s="140" t="str">
        <f t="shared" si="216"/>
        <v>3</v>
      </c>
      <c r="E1928" s="166" t="s">
        <v>691</v>
      </c>
      <c r="F1928" s="140">
        <f t="shared" si="215"/>
        <v>2</v>
      </c>
      <c r="G1928" s="140" t="str">
        <f t="shared" si="217"/>
        <v>3.3.2</v>
      </c>
      <c r="H1928" s="166" t="s">
        <v>1699</v>
      </c>
      <c r="I1928" s="166" t="s">
        <v>49</v>
      </c>
      <c r="J1928" s="166" t="s">
        <v>1391</v>
      </c>
      <c r="K1928" s="166" t="s">
        <v>1299</v>
      </c>
      <c r="L1928" s="167">
        <f>1480/7</f>
        <v>211.42857142857142</v>
      </c>
      <c r="M1928" s="166">
        <f>2*135*9</f>
        <v>2430</v>
      </c>
      <c r="N1928" s="166">
        <v>1</v>
      </c>
      <c r="O1928" s="164">
        <f t="shared" si="218"/>
        <v>513771.42857142852</v>
      </c>
      <c r="P1928" s="166"/>
      <c r="Q1928" s="166"/>
      <c r="R1928" s="164">
        <f>$L1928*'Pivot Objective'!$C$9*P1928*Q1928</f>
        <v>0</v>
      </c>
      <c r="S1928" s="166"/>
      <c r="T1928" s="166"/>
      <c r="U1928" s="164">
        <f>($L1928*'Pivot Objective'!$C$9^2)*S1928*T1928</f>
        <v>0</v>
      </c>
      <c r="V1928" s="166"/>
      <c r="W1928" s="166"/>
      <c r="X1928" s="164">
        <f>($L1928*'Pivot Objective'!$C$9^3)*V1928*W1928</f>
        <v>0</v>
      </c>
      <c r="Y1928" s="166"/>
      <c r="Z1928" s="166"/>
      <c r="AA1928" s="164">
        <f>($L1928*'Pivot Objective'!$C$9^4)*Y1928*Z1928</f>
        <v>0</v>
      </c>
      <c r="AB1928" s="166"/>
      <c r="AC1928" s="166"/>
      <c r="AD1928" s="164">
        <f>($L1928*'Pivot Objective'!$C$9^5)*AB1928*AC1928</f>
        <v>0</v>
      </c>
      <c r="AE1928" s="166"/>
      <c r="AF1928" s="166"/>
      <c r="AG1928" s="164">
        <f>($L1928*'Pivot Objective'!$C$9^6)*AE1928*AF1928</f>
        <v>0</v>
      </c>
      <c r="AH1928" s="166"/>
      <c r="AI1928" s="166"/>
      <c r="AJ1928" s="164">
        <f>($L1928*'Pivot Objective'!$C$9^7)*AH1928*AI1928</f>
        <v>0</v>
      </c>
      <c r="AK1928" s="185">
        <f t="shared" si="219"/>
        <v>513771.42857142852</v>
      </c>
      <c r="AL1928" s="186">
        <f t="shared" si="220"/>
        <v>498.80721220527039</v>
      </c>
    </row>
    <row r="1929" spans="1:38" customFormat="1" ht="43.2" x14ac:dyDescent="0.3">
      <c r="A1929" s="140" t="s">
        <v>1486</v>
      </c>
      <c r="B1929" s="140">
        <v>3</v>
      </c>
      <c r="C1929" s="166" t="s">
        <v>696</v>
      </c>
      <c r="D1929" s="140" t="str">
        <f t="shared" si="216"/>
        <v>3</v>
      </c>
      <c r="E1929" s="166" t="s">
        <v>691</v>
      </c>
      <c r="F1929" s="140">
        <f t="shared" si="215"/>
        <v>2</v>
      </c>
      <c r="G1929" s="140" t="str">
        <f t="shared" si="217"/>
        <v>3.3.2</v>
      </c>
      <c r="H1929" s="166" t="s">
        <v>1699</v>
      </c>
      <c r="I1929" s="166" t="s">
        <v>49</v>
      </c>
      <c r="J1929" s="166" t="s">
        <v>377</v>
      </c>
      <c r="K1929" s="166" t="s">
        <v>718</v>
      </c>
      <c r="L1929" s="167">
        <v>0</v>
      </c>
      <c r="M1929" s="166">
        <v>0</v>
      </c>
      <c r="N1929" s="166">
        <v>0</v>
      </c>
      <c r="O1929" s="164">
        <f t="shared" si="218"/>
        <v>0</v>
      </c>
      <c r="P1929" s="166">
        <v>0</v>
      </c>
      <c r="Q1929" s="166">
        <v>0</v>
      </c>
      <c r="R1929" s="164">
        <f>$L1929*'Pivot Objective'!$C$9*P1929*Q1929</f>
        <v>0</v>
      </c>
      <c r="S1929" s="166">
        <v>0</v>
      </c>
      <c r="T1929" s="166">
        <v>0</v>
      </c>
      <c r="U1929" s="164">
        <f>($L1929*'Pivot Objective'!$C$9^2)*S1929*T1929</f>
        <v>0</v>
      </c>
      <c r="V1929" s="166">
        <v>0</v>
      </c>
      <c r="W1929" s="166">
        <v>0</v>
      </c>
      <c r="X1929" s="164">
        <f>($L1929*'Pivot Objective'!$C$9^3)*V1929*W1929</f>
        <v>0</v>
      </c>
      <c r="Y1929" s="166">
        <v>0</v>
      </c>
      <c r="Z1929" s="166">
        <v>0</v>
      </c>
      <c r="AA1929" s="164">
        <f>($L1929*'Pivot Objective'!$C$9^4)*Y1929*Z1929</f>
        <v>0</v>
      </c>
      <c r="AB1929" s="166">
        <v>0</v>
      </c>
      <c r="AC1929" s="166">
        <v>0</v>
      </c>
      <c r="AD1929" s="164">
        <f>($L1929*'Pivot Objective'!$C$9^5)*AB1929*AC1929</f>
        <v>0</v>
      </c>
      <c r="AE1929" s="166">
        <v>0</v>
      </c>
      <c r="AF1929" s="166">
        <v>0</v>
      </c>
      <c r="AG1929" s="164">
        <f>($L1929*'Pivot Objective'!$C$9^6)*AE1929*AF1929</f>
        <v>0</v>
      </c>
      <c r="AH1929" s="166">
        <v>0</v>
      </c>
      <c r="AI1929" s="166">
        <v>0</v>
      </c>
      <c r="AJ1929" s="164">
        <f>($L1929*'Pivot Objective'!$C$9^7)*AH1929*AI1929</f>
        <v>0</v>
      </c>
      <c r="AK1929" s="185">
        <f t="shared" si="219"/>
        <v>0</v>
      </c>
      <c r="AL1929" s="186">
        <f t="shared" si="220"/>
        <v>0</v>
      </c>
    </row>
    <row r="1930" spans="1:38" customFormat="1" ht="43.2" x14ac:dyDescent="0.3">
      <c r="A1930" s="140" t="s">
        <v>1486</v>
      </c>
      <c r="B1930" s="140">
        <v>3</v>
      </c>
      <c r="C1930" s="166" t="s">
        <v>696</v>
      </c>
      <c r="D1930" s="140" t="str">
        <f t="shared" si="216"/>
        <v>3</v>
      </c>
      <c r="E1930" s="166" t="s">
        <v>691</v>
      </c>
      <c r="F1930" s="140">
        <f t="shared" si="215"/>
        <v>2</v>
      </c>
      <c r="G1930" s="140" t="str">
        <f t="shared" si="217"/>
        <v>3.3.2</v>
      </c>
      <c r="H1930" s="166" t="s">
        <v>1699</v>
      </c>
      <c r="I1930" s="166" t="s">
        <v>49</v>
      </c>
      <c r="J1930" s="166" t="s">
        <v>338</v>
      </c>
      <c r="K1930" s="166" t="s">
        <v>753</v>
      </c>
      <c r="L1930" s="167">
        <v>10000000</v>
      </c>
      <c r="M1930" s="166">
        <v>0</v>
      </c>
      <c r="N1930" s="166">
        <v>0</v>
      </c>
      <c r="O1930" s="164">
        <f t="shared" si="218"/>
        <v>0</v>
      </c>
      <c r="P1930" s="166">
        <v>0</v>
      </c>
      <c r="Q1930" s="166">
        <v>0</v>
      </c>
      <c r="R1930" s="164">
        <f>$L1930*'Pivot Objective'!$C$9*P1930*Q1930</f>
        <v>0</v>
      </c>
      <c r="S1930" s="166">
        <v>0</v>
      </c>
      <c r="T1930" s="166">
        <v>0</v>
      </c>
      <c r="U1930" s="164">
        <f>($L1930*'Pivot Objective'!$C$9^2)*S1930*T1930</f>
        <v>0</v>
      </c>
      <c r="V1930" s="166">
        <v>1</v>
      </c>
      <c r="W1930" s="166">
        <v>1</v>
      </c>
      <c r="X1930" s="164">
        <f>($L1930*'Pivot Objective'!$C$9^3)*V1930*W1930</f>
        <v>14929619.801110359</v>
      </c>
      <c r="Y1930" s="166">
        <v>1</v>
      </c>
      <c r="Z1930" s="166">
        <v>1</v>
      </c>
      <c r="AA1930" s="164">
        <f>($L1930*'Pivot Objective'!$C$9^4)*Y1930*Z1930</f>
        <v>17063377.44087797</v>
      </c>
      <c r="AB1930" s="166">
        <v>0</v>
      </c>
      <c r="AC1930" s="166">
        <v>0</v>
      </c>
      <c r="AD1930" s="164">
        <f>($L1930*'Pivot Objective'!$C$9^5)*AB1930*AC1930</f>
        <v>0</v>
      </c>
      <c r="AE1930" s="166">
        <v>0</v>
      </c>
      <c r="AF1930" s="166">
        <v>0</v>
      </c>
      <c r="AG1930" s="164">
        <f>($L1930*'Pivot Objective'!$C$9^6)*AE1930*AF1930</f>
        <v>0</v>
      </c>
      <c r="AH1930" s="166">
        <v>0</v>
      </c>
      <c r="AI1930" s="166">
        <v>0</v>
      </c>
      <c r="AJ1930" s="164">
        <f>($L1930*'Pivot Objective'!$C$9^7)*AH1930*AI1930</f>
        <v>0</v>
      </c>
      <c r="AK1930" s="185">
        <f t="shared" si="219"/>
        <v>31992997.241988331</v>
      </c>
      <c r="AL1930" s="186">
        <f t="shared" si="220"/>
        <v>31061.162370862457</v>
      </c>
    </row>
    <row r="1931" spans="1:38" customFormat="1" ht="43.2" x14ac:dyDescent="0.3">
      <c r="A1931" s="140" t="s">
        <v>1486</v>
      </c>
      <c r="B1931" s="140">
        <v>3</v>
      </c>
      <c r="C1931" s="166" t="s">
        <v>696</v>
      </c>
      <c r="D1931" s="140" t="str">
        <f t="shared" si="216"/>
        <v>3</v>
      </c>
      <c r="E1931" s="166" t="s">
        <v>691</v>
      </c>
      <c r="F1931" s="140">
        <f t="shared" si="215"/>
        <v>2</v>
      </c>
      <c r="G1931" s="140" t="str">
        <f t="shared" si="217"/>
        <v>3.3.2</v>
      </c>
      <c r="H1931" s="166" t="s">
        <v>1699</v>
      </c>
      <c r="I1931" s="166" t="s">
        <v>49</v>
      </c>
      <c r="J1931" s="166" t="s">
        <v>382</v>
      </c>
      <c r="K1931" s="166" t="s">
        <v>718</v>
      </c>
      <c r="L1931" s="167">
        <v>0</v>
      </c>
      <c r="M1931" s="166">
        <v>0</v>
      </c>
      <c r="N1931" s="166">
        <v>0</v>
      </c>
      <c r="O1931" s="164">
        <f t="shared" si="218"/>
        <v>0</v>
      </c>
      <c r="P1931" s="166">
        <v>0</v>
      </c>
      <c r="Q1931" s="166">
        <v>0</v>
      </c>
      <c r="R1931" s="164">
        <f>$L1931*'Pivot Objective'!$C$9*P1931*Q1931</f>
        <v>0</v>
      </c>
      <c r="S1931" s="166">
        <v>0</v>
      </c>
      <c r="T1931" s="166">
        <v>0</v>
      </c>
      <c r="U1931" s="164">
        <f>($L1931*'Pivot Objective'!$C$9^2)*S1931*T1931</f>
        <v>0</v>
      </c>
      <c r="V1931" s="166">
        <v>0</v>
      </c>
      <c r="W1931" s="166">
        <v>0</v>
      </c>
      <c r="X1931" s="164">
        <f>($L1931*'Pivot Objective'!$C$9^3)*V1931*W1931</f>
        <v>0</v>
      </c>
      <c r="Y1931" s="166">
        <v>0</v>
      </c>
      <c r="Z1931" s="166">
        <v>0</v>
      </c>
      <c r="AA1931" s="164">
        <f>($L1931*'Pivot Objective'!$C$9^4)*Y1931*Z1931</f>
        <v>0</v>
      </c>
      <c r="AB1931" s="166">
        <v>0</v>
      </c>
      <c r="AC1931" s="166">
        <v>0</v>
      </c>
      <c r="AD1931" s="164">
        <f>($L1931*'Pivot Objective'!$C$9^5)*AB1931*AC1931</f>
        <v>0</v>
      </c>
      <c r="AE1931" s="166">
        <v>0</v>
      </c>
      <c r="AF1931" s="166">
        <v>0</v>
      </c>
      <c r="AG1931" s="164">
        <f>($L1931*'Pivot Objective'!$C$9^6)*AE1931*AF1931</f>
        <v>0</v>
      </c>
      <c r="AH1931" s="166">
        <v>0</v>
      </c>
      <c r="AI1931" s="166">
        <v>0</v>
      </c>
      <c r="AJ1931" s="164">
        <f>($L1931*'Pivot Objective'!$C$9^7)*AH1931*AI1931</f>
        <v>0</v>
      </c>
      <c r="AK1931" s="185">
        <f t="shared" si="219"/>
        <v>0</v>
      </c>
      <c r="AL1931" s="186">
        <f t="shared" si="220"/>
        <v>0</v>
      </c>
    </row>
    <row r="1932" spans="1:38" customFormat="1" ht="57.6" x14ac:dyDescent="0.3">
      <c r="A1932" s="140" t="s">
        <v>1486</v>
      </c>
      <c r="B1932" s="140">
        <v>3</v>
      </c>
      <c r="C1932" s="166" t="s">
        <v>696</v>
      </c>
      <c r="D1932" s="140" t="str">
        <f t="shared" si="216"/>
        <v>3</v>
      </c>
      <c r="E1932" s="166" t="s">
        <v>691</v>
      </c>
      <c r="F1932" s="140">
        <f t="shared" si="215"/>
        <v>3</v>
      </c>
      <c r="G1932" s="140" t="str">
        <f t="shared" si="217"/>
        <v>3.3.3</v>
      </c>
      <c r="H1932" s="181" t="s">
        <v>1698</v>
      </c>
      <c r="I1932" s="166" t="s">
        <v>50</v>
      </c>
      <c r="J1932" s="166" t="s">
        <v>383</v>
      </c>
      <c r="K1932" s="166" t="s">
        <v>709</v>
      </c>
      <c r="L1932" s="167">
        <v>35000</v>
      </c>
      <c r="M1932" s="166">
        <v>25</v>
      </c>
      <c r="N1932" s="166">
        <v>5</v>
      </c>
      <c r="O1932" s="164">
        <f t="shared" si="218"/>
        <v>4375000</v>
      </c>
      <c r="P1932" s="166">
        <v>0</v>
      </c>
      <c r="Q1932" s="166">
        <v>0</v>
      </c>
      <c r="R1932" s="164">
        <f>$L1932*'Pivot Objective'!$C$9*P1932*Q1932</f>
        <v>0</v>
      </c>
      <c r="S1932" s="166">
        <v>20</v>
      </c>
      <c r="T1932" s="166">
        <v>1</v>
      </c>
      <c r="U1932" s="164">
        <f>($L1932*'Pivot Objective'!$C$9^2)*S1932*T1932</f>
        <v>914388.04377737816</v>
      </c>
      <c r="V1932" s="166">
        <v>25</v>
      </c>
      <c r="W1932" s="166">
        <v>5</v>
      </c>
      <c r="X1932" s="164">
        <f>($L1932*'Pivot Objective'!$C$9^3)*V1932*W1932</f>
        <v>6531708.6629857821</v>
      </c>
      <c r="Y1932" s="166">
        <v>0</v>
      </c>
      <c r="Z1932" s="166">
        <v>0</v>
      </c>
      <c r="AA1932" s="164">
        <f>($L1932*'Pivot Objective'!$C$9^4)*Y1932*Z1932</f>
        <v>0</v>
      </c>
      <c r="AB1932" s="166">
        <v>0</v>
      </c>
      <c r="AC1932" s="166">
        <v>0</v>
      </c>
      <c r="AD1932" s="164">
        <f>($L1932*'Pivot Objective'!$C$9^5)*AB1932*AC1932</f>
        <v>0</v>
      </c>
      <c r="AE1932" s="166">
        <v>0</v>
      </c>
      <c r="AF1932" s="166">
        <v>0</v>
      </c>
      <c r="AG1932" s="164">
        <f>($L1932*'Pivot Objective'!$C$9^6)*AE1932*AF1932</f>
        <v>0</v>
      </c>
      <c r="AH1932" s="166">
        <v>0</v>
      </c>
      <c r="AI1932" s="166">
        <v>0</v>
      </c>
      <c r="AJ1932" s="164">
        <f>($L1932*'Pivot Objective'!$C$9^7)*AH1932*AI1932</f>
        <v>0</v>
      </c>
      <c r="AK1932" s="185">
        <f t="shared" si="219"/>
        <v>11821096.706763159</v>
      </c>
      <c r="AL1932" s="186">
        <f t="shared" si="220"/>
        <v>11476.792919187534</v>
      </c>
    </row>
    <row r="1933" spans="1:38" customFormat="1" ht="57.6" x14ac:dyDescent="0.3">
      <c r="A1933" s="140" t="s">
        <v>1486</v>
      </c>
      <c r="B1933" s="140">
        <v>3</v>
      </c>
      <c r="C1933" s="166" t="s">
        <v>696</v>
      </c>
      <c r="D1933" s="140" t="str">
        <f t="shared" si="216"/>
        <v>3</v>
      </c>
      <c r="E1933" s="166" t="s">
        <v>691</v>
      </c>
      <c r="F1933" s="140">
        <f t="shared" si="215"/>
        <v>3</v>
      </c>
      <c r="G1933" s="140" t="str">
        <f t="shared" si="217"/>
        <v>3.3.3</v>
      </c>
      <c r="H1933" s="181" t="s">
        <v>1698</v>
      </c>
      <c r="I1933" s="166" t="s">
        <v>51</v>
      </c>
      <c r="J1933" s="166" t="s">
        <v>155</v>
      </c>
      <c r="K1933" s="166" t="s">
        <v>718</v>
      </c>
      <c r="L1933" s="167">
        <v>0</v>
      </c>
      <c r="M1933" s="166">
        <v>0</v>
      </c>
      <c r="N1933" s="166">
        <v>0</v>
      </c>
      <c r="O1933" s="164">
        <f t="shared" si="218"/>
        <v>0</v>
      </c>
      <c r="P1933" s="166">
        <v>0</v>
      </c>
      <c r="Q1933" s="166">
        <v>0</v>
      </c>
      <c r="R1933" s="164">
        <f>$L1933*'Pivot Objective'!$C$9*P1933*Q1933</f>
        <v>0</v>
      </c>
      <c r="S1933" s="166">
        <v>0</v>
      </c>
      <c r="T1933" s="166">
        <v>0</v>
      </c>
      <c r="U1933" s="164">
        <f>($L1933*'Pivot Objective'!$C$9^2)*S1933*T1933</f>
        <v>0</v>
      </c>
      <c r="V1933" s="166">
        <v>0</v>
      </c>
      <c r="W1933" s="166">
        <v>0</v>
      </c>
      <c r="X1933" s="164">
        <f>($L1933*'Pivot Objective'!$C$9^3)*V1933*W1933</f>
        <v>0</v>
      </c>
      <c r="Y1933" s="166">
        <v>0</v>
      </c>
      <c r="Z1933" s="166">
        <v>0</v>
      </c>
      <c r="AA1933" s="164">
        <f>($L1933*'Pivot Objective'!$C$9^4)*Y1933*Z1933</f>
        <v>0</v>
      </c>
      <c r="AB1933" s="166">
        <v>0</v>
      </c>
      <c r="AC1933" s="166">
        <v>0</v>
      </c>
      <c r="AD1933" s="164">
        <f>($L1933*'Pivot Objective'!$C$9^5)*AB1933*AC1933</f>
        <v>0</v>
      </c>
      <c r="AE1933" s="166">
        <v>0</v>
      </c>
      <c r="AF1933" s="166">
        <v>0</v>
      </c>
      <c r="AG1933" s="164">
        <f>($L1933*'Pivot Objective'!$C$9^6)*AE1933*AF1933</f>
        <v>0</v>
      </c>
      <c r="AH1933" s="166">
        <v>0</v>
      </c>
      <c r="AI1933" s="166">
        <v>0</v>
      </c>
      <c r="AJ1933" s="164">
        <f>($L1933*'Pivot Objective'!$C$9^7)*AH1933*AI1933</f>
        <v>0</v>
      </c>
      <c r="AK1933" s="185">
        <f t="shared" si="219"/>
        <v>0</v>
      </c>
      <c r="AL1933" s="186">
        <f t="shared" si="220"/>
        <v>0</v>
      </c>
    </row>
    <row r="1934" spans="1:38" customFormat="1" ht="57.6" x14ac:dyDescent="0.3">
      <c r="A1934" s="140" t="s">
        <v>1486</v>
      </c>
      <c r="B1934" s="140">
        <v>3</v>
      </c>
      <c r="C1934" s="166" t="s">
        <v>696</v>
      </c>
      <c r="D1934" s="140" t="str">
        <f t="shared" si="216"/>
        <v>3</v>
      </c>
      <c r="E1934" s="166" t="s">
        <v>691</v>
      </c>
      <c r="F1934" s="140">
        <f t="shared" si="215"/>
        <v>3</v>
      </c>
      <c r="G1934" s="140" t="str">
        <f t="shared" si="217"/>
        <v>3.3.3</v>
      </c>
      <c r="H1934" s="181" t="s">
        <v>1698</v>
      </c>
      <c r="I1934" s="166" t="s">
        <v>51</v>
      </c>
      <c r="J1934" s="166" t="s">
        <v>169</v>
      </c>
      <c r="K1934" s="166" t="s">
        <v>718</v>
      </c>
      <c r="L1934" s="167">
        <v>0</v>
      </c>
      <c r="M1934" s="166">
        <v>0</v>
      </c>
      <c r="N1934" s="166">
        <v>0</v>
      </c>
      <c r="O1934" s="164">
        <f t="shared" si="218"/>
        <v>0</v>
      </c>
      <c r="P1934" s="166">
        <v>0</v>
      </c>
      <c r="Q1934" s="166">
        <v>0</v>
      </c>
      <c r="R1934" s="164">
        <f>$L1934*'Pivot Objective'!$C$9*P1934*Q1934</f>
        <v>0</v>
      </c>
      <c r="S1934" s="166">
        <v>0</v>
      </c>
      <c r="T1934" s="166">
        <v>0</v>
      </c>
      <c r="U1934" s="164">
        <f>($L1934*'Pivot Objective'!$C$9^2)*S1934*T1934</f>
        <v>0</v>
      </c>
      <c r="V1934" s="166">
        <v>0</v>
      </c>
      <c r="W1934" s="166">
        <v>0</v>
      </c>
      <c r="X1934" s="164">
        <f>($L1934*'Pivot Objective'!$C$9^3)*V1934*W1934</f>
        <v>0</v>
      </c>
      <c r="Y1934" s="166">
        <v>0</v>
      </c>
      <c r="Z1934" s="166">
        <v>0</v>
      </c>
      <c r="AA1934" s="164">
        <f>($L1934*'Pivot Objective'!$C$9^4)*Y1934*Z1934</f>
        <v>0</v>
      </c>
      <c r="AB1934" s="166">
        <v>0</v>
      </c>
      <c r="AC1934" s="166">
        <v>0</v>
      </c>
      <c r="AD1934" s="164">
        <f>($L1934*'Pivot Objective'!$C$9^5)*AB1934*AC1934</f>
        <v>0</v>
      </c>
      <c r="AE1934" s="166">
        <v>0</v>
      </c>
      <c r="AF1934" s="166">
        <v>0</v>
      </c>
      <c r="AG1934" s="164">
        <f>($L1934*'Pivot Objective'!$C$9^6)*AE1934*AF1934</f>
        <v>0</v>
      </c>
      <c r="AH1934" s="166">
        <v>0</v>
      </c>
      <c r="AI1934" s="166">
        <v>0</v>
      </c>
      <c r="AJ1934" s="164">
        <f>($L1934*'Pivot Objective'!$C$9^7)*AH1934*AI1934</f>
        <v>0</v>
      </c>
      <c r="AK1934" s="185">
        <f t="shared" si="219"/>
        <v>0</v>
      </c>
      <c r="AL1934" s="186">
        <f t="shared" si="220"/>
        <v>0</v>
      </c>
    </row>
    <row r="1935" spans="1:38" customFormat="1" ht="57.6" x14ac:dyDescent="0.3">
      <c r="A1935" s="140" t="s">
        <v>1486</v>
      </c>
      <c r="B1935" s="140">
        <v>3</v>
      </c>
      <c r="C1935" s="166" t="s">
        <v>696</v>
      </c>
      <c r="D1935" s="140" t="str">
        <f t="shared" si="216"/>
        <v>3</v>
      </c>
      <c r="E1935" s="166" t="s">
        <v>691</v>
      </c>
      <c r="F1935" s="140">
        <f t="shared" si="215"/>
        <v>3</v>
      </c>
      <c r="G1935" s="140" t="str">
        <f t="shared" si="217"/>
        <v>3.3.3</v>
      </c>
      <c r="H1935" s="181" t="s">
        <v>1698</v>
      </c>
      <c r="I1935" s="166" t="s">
        <v>51</v>
      </c>
      <c r="J1935" s="166" t="s">
        <v>384</v>
      </c>
      <c r="K1935" s="166" t="s">
        <v>707</v>
      </c>
      <c r="L1935" s="167">
        <v>391991.03749999998</v>
      </c>
      <c r="M1935" s="166">
        <v>2</v>
      </c>
      <c r="N1935" s="166">
        <v>2</v>
      </c>
      <c r="O1935" s="164">
        <f t="shared" si="218"/>
        <v>1567964.15</v>
      </c>
      <c r="P1935" s="166">
        <v>0</v>
      </c>
      <c r="Q1935" s="166">
        <v>0</v>
      </c>
      <c r="R1935" s="164">
        <f>$L1935*'Pivot Objective'!$C$9*P1935*Q1935</f>
        <v>0</v>
      </c>
      <c r="S1935" s="166">
        <v>1</v>
      </c>
      <c r="T1935" s="166">
        <v>6</v>
      </c>
      <c r="U1935" s="164">
        <f>($L1935*'Pivot Objective'!$C$9^2)*S1935*T1935</f>
        <v>3072273.5824961993</v>
      </c>
      <c r="V1935" s="166">
        <v>0</v>
      </c>
      <c r="W1935" s="166">
        <v>0</v>
      </c>
      <c r="X1935" s="164">
        <f>($L1935*'Pivot Objective'!$C$9^3)*V1935*W1935</f>
        <v>0</v>
      </c>
      <c r="Y1935" s="166">
        <v>0</v>
      </c>
      <c r="Z1935" s="166">
        <v>0</v>
      </c>
      <c r="AA1935" s="164">
        <f>($L1935*'Pivot Objective'!$C$9^4)*Y1935*Z1935</f>
        <v>0</v>
      </c>
      <c r="AB1935" s="166">
        <v>0</v>
      </c>
      <c r="AC1935" s="166">
        <v>0</v>
      </c>
      <c r="AD1935" s="164">
        <f>($L1935*'Pivot Objective'!$C$9^5)*AB1935*AC1935</f>
        <v>0</v>
      </c>
      <c r="AE1935" s="166">
        <v>0</v>
      </c>
      <c r="AF1935" s="166">
        <v>0</v>
      </c>
      <c r="AG1935" s="164">
        <f>($L1935*'Pivot Objective'!$C$9^6)*AE1935*AF1935</f>
        <v>0</v>
      </c>
      <c r="AH1935" s="166">
        <v>0</v>
      </c>
      <c r="AI1935" s="166">
        <v>0</v>
      </c>
      <c r="AJ1935" s="164">
        <f>($L1935*'Pivot Objective'!$C$9^7)*AH1935*AI1935</f>
        <v>0</v>
      </c>
      <c r="AK1935" s="185">
        <f t="shared" si="219"/>
        <v>4640237.7324961992</v>
      </c>
      <c r="AL1935" s="186">
        <f t="shared" si="220"/>
        <v>4505.0851771807756</v>
      </c>
    </row>
    <row r="1936" spans="1:38" customFormat="1" ht="57.6" x14ac:dyDescent="0.3">
      <c r="A1936" s="140" t="s">
        <v>1486</v>
      </c>
      <c r="B1936" s="140">
        <v>3</v>
      </c>
      <c r="C1936" s="166" t="s">
        <v>696</v>
      </c>
      <c r="D1936" s="140" t="str">
        <f t="shared" si="216"/>
        <v>3</v>
      </c>
      <c r="E1936" s="166" t="s">
        <v>691</v>
      </c>
      <c r="F1936" s="140">
        <f t="shared" si="215"/>
        <v>3</v>
      </c>
      <c r="G1936" s="140" t="str">
        <f t="shared" si="217"/>
        <v>3.3.3</v>
      </c>
      <c r="H1936" s="181" t="s">
        <v>1698</v>
      </c>
      <c r="I1936" s="166" t="s">
        <v>51</v>
      </c>
      <c r="J1936" s="166" t="s">
        <v>384</v>
      </c>
      <c r="K1936" s="166" t="s">
        <v>708</v>
      </c>
      <c r="L1936" s="167">
        <v>425000</v>
      </c>
      <c r="M1936" s="166">
        <v>0</v>
      </c>
      <c r="N1936" s="166">
        <v>0</v>
      </c>
      <c r="O1936" s="164">
        <f t="shared" si="218"/>
        <v>0</v>
      </c>
      <c r="P1936" s="166">
        <v>0</v>
      </c>
      <c r="Q1936" s="166">
        <v>0</v>
      </c>
      <c r="R1936" s="164">
        <f>$L1936*'Pivot Objective'!$C$9*P1936*Q1936</f>
        <v>0</v>
      </c>
      <c r="S1936" s="166">
        <v>1</v>
      </c>
      <c r="T1936" s="166">
        <v>40</v>
      </c>
      <c r="U1936" s="164">
        <f>($L1936*'Pivot Objective'!$C$9^2)*S1936*T1936</f>
        <v>22206566.777450614</v>
      </c>
      <c r="V1936" s="166">
        <v>0</v>
      </c>
      <c r="W1936" s="166">
        <v>0</v>
      </c>
      <c r="X1936" s="164">
        <f>($L1936*'Pivot Objective'!$C$9^3)*V1936*W1936</f>
        <v>0</v>
      </c>
      <c r="Y1936" s="166">
        <v>0</v>
      </c>
      <c r="Z1936" s="166">
        <v>0</v>
      </c>
      <c r="AA1936" s="164">
        <f>($L1936*'Pivot Objective'!$C$9^4)*Y1936*Z1936</f>
        <v>0</v>
      </c>
      <c r="AB1936" s="166">
        <v>0</v>
      </c>
      <c r="AC1936" s="166">
        <v>0</v>
      </c>
      <c r="AD1936" s="164">
        <f>($L1936*'Pivot Objective'!$C$9^5)*AB1936*AC1936</f>
        <v>0</v>
      </c>
      <c r="AE1936" s="166">
        <v>0</v>
      </c>
      <c r="AF1936" s="166">
        <v>0</v>
      </c>
      <c r="AG1936" s="164">
        <f>($L1936*'Pivot Objective'!$C$9^6)*AE1936*AF1936</f>
        <v>0</v>
      </c>
      <c r="AH1936" s="166">
        <v>0</v>
      </c>
      <c r="AI1936" s="166">
        <v>0</v>
      </c>
      <c r="AJ1936" s="164">
        <f>($L1936*'Pivot Objective'!$C$9^7)*AH1936*AI1936</f>
        <v>0</v>
      </c>
      <c r="AK1936" s="185">
        <f t="shared" si="219"/>
        <v>22206566.777450614</v>
      </c>
      <c r="AL1936" s="186">
        <f t="shared" si="220"/>
        <v>21559.773570340403</v>
      </c>
    </row>
    <row r="1937" spans="1:38" customFormat="1" ht="57.6" x14ac:dyDescent="0.3">
      <c r="A1937" s="140" t="s">
        <v>1486</v>
      </c>
      <c r="B1937" s="140">
        <v>3</v>
      </c>
      <c r="C1937" s="166" t="s">
        <v>696</v>
      </c>
      <c r="D1937" s="140" t="str">
        <f t="shared" si="216"/>
        <v>3</v>
      </c>
      <c r="E1937" s="166" t="s">
        <v>691</v>
      </c>
      <c r="F1937" s="140">
        <f t="shared" si="215"/>
        <v>3</v>
      </c>
      <c r="G1937" s="140" t="str">
        <f t="shared" si="217"/>
        <v>3.3.3</v>
      </c>
      <c r="H1937" s="181" t="s">
        <v>1698</v>
      </c>
      <c r="I1937" s="166" t="s">
        <v>51</v>
      </c>
      <c r="J1937" s="166" t="s">
        <v>151</v>
      </c>
      <c r="K1937" s="166" t="s">
        <v>713</v>
      </c>
      <c r="L1937" s="167">
        <v>45000</v>
      </c>
      <c r="M1937" s="166">
        <v>25</v>
      </c>
      <c r="N1937" s="166">
        <v>6</v>
      </c>
      <c r="O1937" s="164">
        <f t="shared" si="218"/>
        <v>6750000</v>
      </c>
      <c r="P1937" s="166">
        <v>0</v>
      </c>
      <c r="Q1937" s="166">
        <v>0</v>
      </c>
      <c r="R1937" s="164">
        <f>$L1937*'Pivot Objective'!$C$9*P1937*Q1937</f>
        <v>0</v>
      </c>
      <c r="S1937" s="166">
        <v>15</v>
      </c>
      <c r="T1937" s="166">
        <v>10</v>
      </c>
      <c r="U1937" s="164">
        <f>($L1937*'Pivot Objective'!$C$9^2)*S1937*T1937</f>
        <v>8817313.2792818621</v>
      </c>
      <c r="V1937" s="166">
        <v>0</v>
      </c>
      <c r="W1937" s="166">
        <v>0</v>
      </c>
      <c r="X1937" s="164">
        <f>($L1937*'Pivot Objective'!$C$9^3)*V1937*W1937</f>
        <v>0</v>
      </c>
      <c r="Y1937" s="166">
        <v>0</v>
      </c>
      <c r="Z1937" s="166">
        <v>0</v>
      </c>
      <c r="AA1937" s="164">
        <f>($L1937*'Pivot Objective'!$C$9^4)*Y1937*Z1937</f>
        <v>0</v>
      </c>
      <c r="AB1937" s="166">
        <v>0</v>
      </c>
      <c r="AC1937" s="166">
        <v>0</v>
      </c>
      <c r="AD1937" s="164">
        <f>($L1937*'Pivot Objective'!$C$9^5)*AB1937*AC1937</f>
        <v>0</v>
      </c>
      <c r="AE1937" s="166">
        <v>0</v>
      </c>
      <c r="AF1937" s="166">
        <v>0</v>
      </c>
      <c r="AG1937" s="164">
        <f>($L1937*'Pivot Objective'!$C$9^6)*AE1937*AF1937</f>
        <v>0</v>
      </c>
      <c r="AH1937" s="166">
        <v>0</v>
      </c>
      <c r="AI1937" s="166">
        <v>0</v>
      </c>
      <c r="AJ1937" s="164">
        <f>($L1937*'Pivot Objective'!$C$9^7)*AH1937*AI1937</f>
        <v>0</v>
      </c>
      <c r="AK1937" s="185">
        <f t="shared" si="219"/>
        <v>15567313.279281862</v>
      </c>
      <c r="AL1937" s="186">
        <f t="shared" si="220"/>
        <v>15113.896387652294</v>
      </c>
    </row>
    <row r="1938" spans="1:38" customFormat="1" ht="57.6" x14ac:dyDescent="0.3">
      <c r="A1938" s="140" t="s">
        <v>1486</v>
      </c>
      <c r="B1938" s="140">
        <v>3</v>
      </c>
      <c r="C1938" s="166" t="s">
        <v>696</v>
      </c>
      <c r="D1938" s="140" t="str">
        <f t="shared" si="216"/>
        <v>3</v>
      </c>
      <c r="E1938" s="166" t="s">
        <v>691</v>
      </c>
      <c r="F1938" s="140">
        <f t="shared" si="215"/>
        <v>3</v>
      </c>
      <c r="G1938" s="140" t="str">
        <f t="shared" si="217"/>
        <v>3.3.3</v>
      </c>
      <c r="H1938" s="181" t="s">
        <v>1698</v>
      </c>
      <c r="I1938" s="166" t="s">
        <v>51</v>
      </c>
      <c r="J1938" s="166" t="s">
        <v>151</v>
      </c>
      <c r="K1938" s="166" t="s">
        <v>712</v>
      </c>
      <c r="L1938" s="167">
        <f>1480/7</f>
        <v>211.42857142857142</v>
      </c>
      <c r="M1938" s="166">
        <f>2*25*9</f>
        <v>450</v>
      </c>
      <c r="N1938" s="166">
        <v>5</v>
      </c>
      <c r="O1938" s="164">
        <f t="shared" si="218"/>
        <v>475714.28571428568</v>
      </c>
      <c r="P1938" s="166">
        <v>0</v>
      </c>
      <c r="Q1938" s="166">
        <v>0</v>
      </c>
      <c r="R1938" s="164">
        <f>$L1938*'Pivot Objective'!$C$9*P1938*Q1938</f>
        <v>0</v>
      </c>
      <c r="S1938" s="166">
        <v>20000</v>
      </c>
      <c r="T1938" s="166">
        <v>1</v>
      </c>
      <c r="U1938" s="164">
        <f>($L1938*'Pivot Objective'!$C$9^2)*S1938*T1938</f>
        <v>5523650.2236347748</v>
      </c>
      <c r="V1938" s="166">
        <v>0</v>
      </c>
      <c r="W1938" s="166">
        <v>0</v>
      </c>
      <c r="X1938" s="164">
        <f>($L1938*'Pivot Objective'!$C$9^3)*V1938*W1938</f>
        <v>0</v>
      </c>
      <c r="Y1938" s="166">
        <v>0</v>
      </c>
      <c r="Z1938" s="166">
        <v>0</v>
      </c>
      <c r="AA1938" s="164">
        <f>($L1938*'Pivot Objective'!$C$9^4)*Y1938*Z1938</f>
        <v>0</v>
      </c>
      <c r="AB1938" s="166">
        <v>0</v>
      </c>
      <c r="AC1938" s="166">
        <v>0</v>
      </c>
      <c r="AD1938" s="164">
        <f>($L1938*'Pivot Objective'!$C$9^5)*AB1938*AC1938</f>
        <v>0</v>
      </c>
      <c r="AE1938" s="166">
        <v>0</v>
      </c>
      <c r="AF1938" s="166">
        <v>0</v>
      </c>
      <c r="AG1938" s="164">
        <f>($L1938*'Pivot Objective'!$C$9^6)*AE1938*AF1938</f>
        <v>0</v>
      </c>
      <c r="AH1938" s="166">
        <v>0</v>
      </c>
      <c r="AI1938" s="166">
        <v>0</v>
      </c>
      <c r="AJ1938" s="164">
        <f>($L1938*'Pivot Objective'!$C$9^7)*AH1938*AI1938</f>
        <v>0</v>
      </c>
      <c r="AK1938" s="185">
        <f t="shared" si="219"/>
        <v>5999364.5093490602</v>
      </c>
      <c r="AL1938" s="186">
        <f t="shared" si="220"/>
        <v>5824.625737232097</v>
      </c>
    </row>
    <row r="1939" spans="1:38" customFormat="1" ht="57.6" x14ac:dyDescent="0.3">
      <c r="A1939" s="140" t="s">
        <v>1486</v>
      </c>
      <c r="B1939" s="140">
        <v>3</v>
      </c>
      <c r="C1939" s="166" t="s">
        <v>696</v>
      </c>
      <c r="D1939" s="140" t="str">
        <f t="shared" si="216"/>
        <v>3</v>
      </c>
      <c r="E1939" s="166" t="s">
        <v>691</v>
      </c>
      <c r="F1939" s="140">
        <f t="shared" si="215"/>
        <v>3</v>
      </c>
      <c r="G1939" s="140" t="str">
        <f t="shared" si="217"/>
        <v>3.3.3</v>
      </c>
      <c r="H1939" s="181" t="s">
        <v>1698</v>
      </c>
      <c r="I1939" s="166" t="s">
        <v>51</v>
      </c>
      <c r="J1939" s="166" t="s">
        <v>151</v>
      </c>
      <c r="K1939" s="166" t="s">
        <v>1299</v>
      </c>
      <c r="L1939" s="167">
        <f>1480/7</f>
        <v>211.42857142857142</v>
      </c>
      <c r="M1939" s="166">
        <f>2*135*9</f>
        <v>2430</v>
      </c>
      <c r="N1939" s="166">
        <v>1</v>
      </c>
      <c r="O1939" s="164">
        <f t="shared" si="218"/>
        <v>513771.42857142852</v>
      </c>
      <c r="P1939" s="166"/>
      <c r="Q1939" s="166"/>
      <c r="R1939" s="164">
        <f>$L1939*'Pivot Objective'!$C$9*P1939*Q1939</f>
        <v>0</v>
      </c>
      <c r="S1939" s="166"/>
      <c r="T1939" s="166"/>
      <c r="U1939" s="164">
        <f>($L1939*'Pivot Objective'!$C$9^2)*S1939*T1939</f>
        <v>0</v>
      </c>
      <c r="V1939" s="166"/>
      <c r="W1939" s="166"/>
      <c r="X1939" s="164">
        <f>($L1939*'Pivot Objective'!$C$9^3)*V1939*W1939</f>
        <v>0</v>
      </c>
      <c r="Y1939" s="166"/>
      <c r="Z1939" s="166"/>
      <c r="AA1939" s="164">
        <f>($L1939*'Pivot Objective'!$C$9^4)*Y1939*Z1939</f>
        <v>0</v>
      </c>
      <c r="AB1939" s="166"/>
      <c r="AC1939" s="166"/>
      <c r="AD1939" s="164">
        <f>($L1939*'Pivot Objective'!$C$9^5)*AB1939*AC1939</f>
        <v>0</v>
      </c>
      <c r="AE1939" s="166"/>
      <c r="AF1939" s="166"/>
      <c r="AG1939" s="164">
        <f>($L1939*'Pivot Objective'!$C$9^6)*AE1939*AF1939</f>
        <v>0</v>
      </c>
      <c r="AH1939" s="166"/>
      <c r="AI1939" s="166"/>
      <c r="AJ1939" s="164">
        <f>($L1939*'Pivot Objective'!$C$9^7)*AH1939*AI1939</f>
        <v>0</v>
      </c>
      <c r="AK1939" s="185">
        <f t="shared" si="219"/>
        <v>513771.42857142852</v>
      </c>
      <c r="AL1939" s="186">
        <f t="shared" si="220"/>
        <v>498.80721220527039</v>
      </c>
    </row>
    <row r="1940" spans="1:38" customFormat="1" ht="57.6" x14ac:dyDescent="0.3">
      <c r="A1940" s="140" t="s">
        <v>1486</v>
      </c>
      <c r="B1940" s="140">
        <v>3</v>
      </c>
      <c r="C1940" s="166" t="s">
        <v>696</v>
      </c>
      <c r="D1940" s="140" t="str">
        <f t="shared" si="216"/>
        <v>3</v>
      </c>
      <c r="E1940" s="166" t="s">
        <v>691</v>
      </c>
      <c r="F1940" s="140">
        <f t="shared" si="215"/>
        <v>3</v>
      </c>
      <c r="G1940" s="140" t="str">
        <f t="shared" si="217"/>
        <v>3.3.3</v>
      </c>
      <c r="H1940" s="181" t="s">
        <v>1698</v>
      </c>
      <c r="I1940" s="166" t="s">
        <v>51</v>
      </c>
      <c r="J1940" s="166" t="s">
        <v>151</v>
      </c>
      <c r="K1940" s="166" t="s">
        <v>715</v>
      </c>
      <c r="L1940" s="167">
        <v>302000</v>
      </c>
      <c r="M1940" s="166">
        <v>0</v>
      </c>
      <c r="N1940" s="166">
        <v>0</v>
      </c>
      <c r="O1940" s="164">
        <f t="shared" si="218"/>
        <v>0</v>
      </c>
      <c r="P1940" s="166">
        <v>0</v>
      </c>
      <c r="Q1940" s="166">
        <v>0</v>
      </c>
      <c r="R1940" s="164">
        <f>$L1940*'Pivot Objective'!$C$9*P1940*Q1940</f>
        <v>0</v>
      </c>
      <c r="S1940" s="166">
        <v>20</v>
      </c>
      <c r="T1940" s="166">
        <v>1</v>
      </c>
      <c r="U1940" s="164">
        <f>($L1940*'Pivot Objective'!$C$9^2)*S1940*T1940</f>
        <v>7889862.5491648065</v>
      </c>
      <c r="V1940" s="166">
        <v>0</v>
      </c>
      <c r="W1940" s="166">
        <v>0</v>
      </c>
      <c r="X1940" s="164">
        <f>($L1940*'Pivot Objective'!$C$9^3)*V1940*W1940</f>
        <v>0</v>
      </c>
      <c r="Y1940" s="166">
        <v>0</v>
      </c>
      <c r="Z1940" s="166">
        <v>0</v>
      </c>
      <c r="AA1940" s="164">
        <f>($L1940*'Pivot Objective'!$C$9^4)*Y1940*Z1940</f>
        <v>0</v>
      </c>
      <c r="AB1940" s="166">
        <v>0</v>
      </c>
      <c r="AC1940" s="166">
        <v>0</v>
      </c>
      <c r="AD1940" s="164">
        <f>($L1940*'Pivot Objective'!$C$9^5)*AB1940*AC1940</f>
        <v>0</v>
      </c>
      <c r="AE1940" s="166">
        <v>0</v>
      </c>
      <c r="AF1940" s="166">
        <v>0</v>
      </c>
      <c r="AG1940" s="164">
        <f>($L1940*'Pivot Objective'!$C$9^6)*AE1940*AF1940</f>
        <v>0</v>
      </c>
      <c r="AH1940" s="166">
        <v>0</v>
      </c>
      <c r="AI1940" s="166">
        <v>0</v>
      </c>
      <c r="AJ1940" s="164">
        <f>($L1940*'Pivot Objective'!$C$9^7)*AH1940*AI1940</f>
        <v>0</v>
      </c>
      <c r="AK1940" s="185">
        <f t="shared" si="219"/>
        <v>7889862.5491648065</v>
      </c>
      <c r="AL1940" s="186">
        <f t="shared" si="220"/>
        <v>7660.0607273444721</v>
      </c>
    </row>
    <row r="1941" spans="1:38" customFormat="1" ht="57.6" x14ac:dyDescent="0.3">
      <c r="A1941" s="140" t="s">
        <v>1486</v>
      </c>
      <c r="B1941" s="140">
        <v>3</v>
      </c>
      <c r="C1941" s="166" t="s">
        <v>696</v>
      </c>
      <c r="D1941" s="140" t="str">
        <f t="shared" si="216"/>
        <v>3</v>
      </c>
      <c r="E1941" s="166" t="s">
        <v>691</v>
      </c>
      <c r="F1941" s="140">
        <f t="shared" si="215"/>
        <v>3</v>
      </c>
      <c r="G1941" s="140" t="str">
        <f t="shared" si="217"/>
        <v>3.3.3</v>
      </c>
      <c r="H1941" s="181" t="s">
        <v>1698</v>
      </c>
      <c r="I1941" s="166" t="s">
        <v>51</v>
      </c>
      <c r="J1941" s="166" t="s">
        <v>151</v>
      </c>
      <c r="K1941" s="166" t="s">
        <v>714</v>
      </c>
      <c r="L1941" s="167">
        <v>10000</v>
      </c>
      <c r="M1941" s="166">
        <v>0</v>
      </c>
      <c r="N1941" s="166">
        <v>0</v>
      </c>
      <c r="O1941" s="164">
        <f t="shared" si="218"/>
        <v>0</v>
      </c>
      <c r="P1941" s="166">
        <v>0</v>
      </c>
      <c r="Q1941" s="166">
        <v>0</v>
      </c>
      <c r="R1941" s="164">
        <f>$L1941*'Pivot Objective'!$C$9*P1941*Q1941</f>
        <v>0</v>
      </c>
      <c r="S1941" s="166">
        <v>15</v>
      </c>
      <c r="T1941" s="166">
        <v>1</v>
      </c>
      <c r="U1941" s="164">
        <f>($L1941*'Pivot Objective'!$C$9^2)*S1941*T1941</f>
        <v>195940.29509515248</v>
      </c>
      <c r="V1941" s="166">
        <v>0</v>
      </c>
      <c r="W1941" s="166">
        <v>0</v>
      </c>
      <c r="X1941" s="164">
        <f>($L1941*'Pivot Objective'!$C$9^3)*V1941*W1941</f>
        <v>0</v>
      </c>
      <c r="Y1941" s="166">
        <v>0</v>
      </c>
      <c r="Z1941" s="166">
        <v>0</v>
      </c>
      <c r="AA1941" s="164">
        <f>($L1941*'Pivot Objective'!$C$9^4)*Y1941*Z1941</f>
        <v>0</v>
      </c>
      <c r="AB1941" s="166">
        <v>0</v>
      </c>
      <c r="AC1941" s="166">
        <v>0</v>
      </c>
      <c r="AD1941" s="164">
        <f>($L1941*'Pivot Objective'!$C$9^5)*AB1941*AC1941</f>
        <v>0</v>
      </c>
      <c r="AE1941" s="166">
        <v>0</v>
      </c>
      <c r="AF1941" s="166">
        <v>0</v>
      </c>
      <c r="AG1941" s="164">
        <f>($L1941*'Pivot Objective'!$C$9^6)*AE1941*AF1941</f>
        <v>0</v>
      </c>
      <c r="AH1941" s="166">
        <v>0</v>
      </c>
      <c r="AI1941" s="166">
        <v>0</v>
      </c>
      <c r="AJ1941" s="164">
        <f>($L1941*'Pivot Objective'!$C$9^7)*AH1941*AI1941</f>
        <v>0</v>
      </c>
      <c r="AK1941" s="185">
        <f t="shared" si="219"/>
        <v>195940.29509515248</v>
      </c>
      <c r="AL1941" s="186">
        <f t="shared" si="220"/>
        <v>190.23329620888592</v>
      </c>
    </row>
    <row r="1942" spans="1:38" customFormat="1" ht="57.6" x14ac:dyDescent="0.3">
      <c r="A1942" s="140" t="s">
        <v>1486</v>
      </c>
      <c r="B1942" s="140">
        <v>3</v>
      </c>
      <c r="C1942" s="166" t="s">
        <v>696</v>
      </c>
      <c r="D1942" s="140" t="str">
        <f t="shared" si="216"/>
        <v>3</v>
      </c>
      <c r="E1942" s="166" t="s">
        <v>691</v>
      </c>
      <c r="F1942" s="140">
        <f t="shared" si="215"/>
        <v>3</v>
      </c>
      <c r="G1942" s="140" t="str">
        <f t="shared" si="217"/>
        <v>3.3.3</v>
      </c>
      <c r="H1942" s="181" t="s">
        <v>1698</v>
      </c>
      <c r="I1942" s="166" t="s">
        <v>51</v>
      </c>
      <c r="J1942" s="166" t="s">
        <v>152</v>
      </c>
      <c r="K1942" s="166" t="s">
        <v>716</v>
      </c>
      <c r="L1942" s="167">
        <v>39000</v>
      </c>
      <c r="M1942" s="166">
        <v>25</v>
      </c>
      <c r="N1942" s="166">
        <v>6</v>
      </c>
      <c r="O1942" s="164">
        <f t="shared" si="218"/>
        <v>5850000</v>
      </c>
      <c r="P1942" s="166">
        <v>0</v>
      </c>
      <c r="Q1942" s="166">
        <v>0</v>
      </c>
      <c r="R1942" s="164">
        <f>$L1942*'Pivot Objective'!$C$9*P1942*Q1942</f>
        <v>0</v>
      </c>
      <c r="S1942" s="166">
        <v>20</v>
      </c>
      <c r="T1942" s="166">
        <v>5</v>
      </c>
      <c r="U1942" s="164">
        <f>($L1942*'Pivot Objective'!$C$9^2)*S1942*T1942</f>
        <v>5094447.6724739643</v>
      </c>
      <c r="V1942" s="166">
        <v>0</v>
      </c>
      <c r="W1942" s="166">
        <v>0</v>
      </c>
      <c r="X1942" s="164">
        <f>($L1942*'Pivot Objective'!$C$9^3)*V1942*W1942</f>
        <v>0</v>
      </c>
      <c r="Y1942" s="166">
        <v>0</v>
      </c>
      <c r="Z1942" s="166">
        <v>0</v>
      </c>
      <c r="AA1942" s="164">
        <f>($L1942*'Pivot Objective'!$C$9^4)*Y1942*Z1942</f>
        <v>0</v>
      </c>
      <c r="AB1942" s="166">
        <v>0</v>
      </c>
      <c r="AC1942" s="166">
        <v>0</v>
      </c>
      <c r="AD1942" s="164">
        <f>($L1942*'Pivot Objective'!$C$9^5)*AB1942*AC1942</f>
        <v>0</v>
      </c>
      <c r="AE1942" s="166">
        <v>0</v>
      </c>
      <c r="AF1942" s="166">
        <v>0</v>
      </c>
      <c r="AG1942" s="164">
        <f>($L1942*'Pivot Objective'!$C$9^6)*AE1942*AF1942</f>
        <v>0</v>
      </c>
      <c r="AH1942" s="166">
        <v>0</v>
      </c>
      <c r="AI1942" s="166">
        <v>0</v>
      </c>
      <c r="AJ1942" s="164">
        <f>($L1942*'Pivot Objective'!$C$9^7)*AH1942*AI1942</f>
        <v>0</v>
      </c>
      <c r="AK1942" s="185">
        <f t="shared" si="219"/>
        <v>10944447.672473963</v>
      </c>
      <c r="AL1942" s="186">
        <f t="shared" si="220"/>
        <v>10625.677351916469</v>
      </c>
    </row>
    <row r="1943" spans="1:38" customFormat="1" ht="57.6" x14ac:dyDescent="0.3">
      <c r="A1943" s="140" t="s">
        <v>1486</v>
      </c>
      <c r="B1943" s="140">
        <v>3</v>
      </c>
      <c r="C1943" s="166" t="s">
        <v>696</v>
      </c>
      <c r="D1943" s="140" t="str">
        <f t="shared" si="216"/>
        <v>3</v>
      </c>
      <c r="E1943" s="166" t="s">
        <v>691</v>
      </c>
      <c r="F1943" s="140">
        <f t="shared" si="215"/>
        <v>3</v>
      </c>
      <c r="G1943" s="140" t="str">
        <f t="shared" si="217"/>
        <v>3.3.3</v>
      </c>
      <c r="H1943" s="181" t="s">
        <v>1698</v>
      </c>
      <c r="I1943" s="166" t="s">
        <v>51</v>
      </c>
      <c r="J1943" s="166" t="s">
        <v>152</v>
      </c>
      <c r="K1943" s="166" t="s">
        <v>709</v>
      </c>
      <c r="L1943" s="167">
        <v>35000</v>
      </c>
      <c r="M1943" s="166">
        <v>25</v>
      </c>
      <c r="N1943" s="166">
        <v>5</v>
      </c>
      <c r="O1943" s="164">
        <f t="shared" si="218"/>
        <v>4375000</v>
      </c>
      <c r="P1943" s="166">
        <v>0</v>
      </c>
      <c r="Q1943" s="166">
        <v>0</v>
      </c>
      <c r="R1943" s="164">
        <f>$L1943*'Pivot Objective'!$C$9*P1943*Q1943</f>
        <v>0</v>
      </c>
      <c r="S1943" s="166">
        <v>20</v>
      </c>
      <c r="T1943" s="166">
        <v>5</v>
      </c>
      <c r="U1943" s="164">
        <f>($L1943*'Pivot Objective'!$C$9^2)*S1943*T1943</f>
        <v>4571940.2188868904</v>
      </c>
      <c r="V1943" s="166">
        <v>0</v>
      </c>
      <c r="W1943" s="166">
        <v>0</v>
      </c>
      <c r="X1943" s="164">
        <f>($L1943*'Pivot Objective'!$C$9^3)*V1943*W1943</f>
        <v>0</v>
      </c>
      <c r="Y1943" s="166">
        <v>0</v>
      </c>
      <c r="Z1943" s="166">
        <v>0</v>
      </c>
      <c r="AA1943" s="164">
        <f>($L1943*'Pivot Objective'!$C$9^4)*Y1943*Z1943</f>
        <v>0</v>
      </c>
      <c r="AB1943" s="166">
        <v>0</v>
      </c>
      <c r="AC1943" s="166">
        <v>0</v>
      </c>
      <c r="AD1943" s="164">
        <f>($L1943*'Pivot Objective'!$C$9^5)*AB1943*AC1943</f>
        <v>0</v>
      </c>
      <c r="AE1943" s="166">
        <v>0</v>
      </c>
      <c r="AF1943" s="166">
        <v>0</v>
      </c>
      <c r="AG1943" s="164">
        <f>($L1943*'Pivot Objective'!$C$9^6)*AE1943*AF1943</f>
        <v>0</v>
      </c>
      <c r="AH1943" s="166">
        <v>0</v>
      </c>
      <c r="AI1943" s="166">
        <v>0</v>
      </c>
      <c r="AJ1943" s="164">
        <f>($L1943*'Pivot Objective'!$C$9^7)*AH1943*AI1943</f>
        <v>0</v>
      </c>
      <c r="AK1943" s="185">
        <f t="shared" si="219"/>
        <v>8946940.2188868895</v>
      </c>
      <c r="AL1943" s="186">
        <f t="shared" si="220"/>
        <v>8686.3497270746502</v>
      </c>
    </row>
    <row r="1944" spans="1:38" customFormat="1" ht="57.6" x14ac:dyDescent="0.3">
      <c r="A1944" s="140" t="s">
        <v>1486</v>
      </c>
      <c r="B1944" s="140">
        <v>3</v>
      </c>
      <c r="C1944" s="166" t="s">
        <v>696</v>
      </c>
      <c r="D1944" s="140" t="str">
        <f t="shared" si="216"/>
        <v>3</v>
      </c>
      <c r="E1944" s="166" t="s">
        <v>691</v>
      </c>
      <c r="F1944" s="140">
        <f t="shared" si="215"/>
        <v>3</v>
      </c>
      <c r="G1944" s="140" t="str">
        <f t="shared" si="217"/>
        <v>3.3.3</v>
      </c>
      <c r="H1944" s="181" t="s">
        <v>1698</v>
      </c>
      <c r="I1944" s="166" t="s">
        <v>51</v>
      </c>
      <c r="J1944" s="166" t="s">
        <v>152</v>
      </c>
      <c r="K1944" s="166" t="s">
        <v>712</v>
      </c>
      <c r="L1944" s="167">
        <f>1480/7</f>
        <v>211.42857142857142</v>
      </c>
      <c r="M1944" s="166">
        <f>2*25*9</f>
        <v>450</v>
      </c>
      <c r="N1944" s="166">
        <v>5</v>
      </c>
      <c r="O1944" s="164">
        <f t="shared" si="218"/>
        <v>475714.28571428568</v>
      </c>
      <c r="P1944" s="166">
        <v>0</v>
      </c>
      <c r="Q1944" s="166">
        <v>0</v>
      </c>
      <c r="R1944" s="164">
        <f>$L1944*'Pivot Objective'!$C$9*P1944*Q1944</f>
        <v>0</v>
      </c>
      <c r="S1944" s="166">
        <v>4000</v>
      </c>
      <c r="T1944" s="166">
        <v>1</v>
      </c>
      <c r="U1944" s="164">
        <f>($L1944*'Pivot Objective'!$C$9^2)*S1944*T1944</f>
        <v>1104730.044726955</v>
      </c>
      <c r="V1944" s="166">
        <v>0</v>
      </c>
      <c r="W1944" s="166">
        <v>0</v>
      </c>
      <c r="X1944" s="164">
        <f>($L1944*'Pivot Objective'!$C$9^3)*V1944*W1944</f>
        <v>0</v>
      </c>
      <c r="Y1944" s="166">
        <v>0</v>
      </c>
      <c r="Z1944" s="166">
        <v>0</v>
      </c>
      <c r="AA1944" s="164">
        <f>($L1944*'Pivot Objective'!$C$9^4)*Y1944*Z1944</f>
        <v>0</v>
      </c>
      <c r="AB1944" s="166">
        <v>0</v>
      </c>
      <c r="AC1944" s="166">
        <v>0</v>
      </c>
      <c r="AD1944" s="164">
        <f>($L1944*'Pivot Objective'!$C$9^5)*AB1944*AC1944</f>
        <v>0</v>
      </c>
      <c r="AE1944" s="166">
        <v>0</v>
      </c>
      <c r="AF1944" s="166">
        <v>0</v>
      </c>
      <c r="AG1944" s="164">
        <f>($L1944*'Pivot Objective'!$C$9^6)*AE1944*AF1944</f>
        <v>0</v>
      </c>
      <c r="AH1944" s="166">
        <v>0</v>
      </c>
      <c r="AI1944" s="166">
        <v>0</v>
      </c>
      <c r="AJ1944" s="164">
        <f>($L1944*'Pivot Objective'!$C$9^7)*AH1944*AI1944</f>
        <v>0</v>
      </c>
      <c r="AK1944" s="185">
        <f t="shared" si="219"/>
        <v>1580444.3304412407</v>
      </c>
      <c r="AL1944" s="186">
        <f t="shared" si="220"/>
        <v>1534.4119713021755</v>
      </c>
    </row>
    <row r="1945" spans="1:38" customFormat="1" ht="57.6" x14ac:dyDescent="0.3">
      <c r="A1945" s="140" t="s">
        <v>1486</v>
      </c>
      <c r="B1945" s="140">
        <v>3</v>
      </c>
      <c r="C1945" s="166" t="s">
        <v>696</v>
      </c>
      <c r="D1945" s="140" t="str">
        <f t="shared" si="216"/>
        <v>3</v>
      </c>
      <c r="E1945" s="166" t="s">
        <v>691</v>
      </c>
      <c r="F1945" s="140">
        <f t="shared" si="215"/>
        <v>3</v>
      </c>
      <c r="G1945" s="140" t="str">
        <f t="shared" si="217"/>
        <v>3.3.3</v>
      </c>
      <c r="H1945" s="181" t="s">
        <v>1698</v>
      </c>
      <c r="I1945" s="166" t="s">
        <v>51</v>
      </c>
      <c r="J1945" s="166" t="s">
        <v>152</v>
      </c>
      <c r="K1945" s="166" t="s">
        <v>1299</v>
      </c>
      <c r="L1945" s="167">
        <f>1480/7</f>
        <v>211.42857142857142</v>
      </c>
      <c r="M1945" s="166">
        <f>2*135*9</f>
        <v>2430</v>
      </c>
      <c r="N1945" s="166">
        <v>1</v>
      </c>
      <c r="O1945" s="164">
        <f t="shared" si="218"/>
        <v>513771.42857142852</v>
      </c>
      <c r="P1945" s="166"/>
      <c r="Q1945" s="166"/>
      <c r="R1945" s="164">
        <f>$L1945*'Pivot Objective'!$C$9*P1945*Q1945</f>
        <v>0</v>
      </c>
      <c r="S1945" s="166"/>
      <c r="T1945" s="166"/>
      <c r="U1945" s="164">
        <f>($L1945*'Pivot Objective'!$C$9^2)*S1945*T1945</f>
        <v>0</v>
      </c>
      <c r="V1945" s="166"/>
      <c r="W1945" s="166"/>
      <c r="X1945" s="164">
        <f>($L1945*'Pivot Objective'!$C$9^3)*V1945*W1945</f>
        <v>0</v>
      </c>
      <c r="Y1945" s="166"/>
      <c r="Z1945" s="166"/>
      <c r="AA1945" s="164">
        <f>($L1945*'Pivot Objective'!$C$9^4)*Y1945*Z1945</f>
        <v>0</v>
      </c>
      <c r="AB1945" s="166"/>
      <c r="AC1945" s="166"/>
      <c r="AD1945" s="164">
        <f>($L1945*'Pivot Objective'!$C$9^5)*AB1945*AC1945</f>
        <v>0</v>
      </c>
      <c r="AE1945" s="166"/>
      <c r="AF1945" s="166"/>
      <c r="AG1945" s="164">
        <f>($L1945*'Pivot Objective'!$C$9^6)*AE1945*AF1945</f>
        <v>0</v>
      </c>
      <c r="AH1945" s="166"/>
      <c r="AI1945" s="166"/>
      <c r="AJ1945" s="164">
        <f>($L1945*'Pivot Objective'!$C$9^7)*AH1945*AI1945</f>
        <v>0</v>
      </c>
      <c r="AK1945" s="185">
        <f t="shared" si="219"/>
        <v>513771.42857142852</v>
      </c>
      <c r="AL1945" s="186">
        <f t="shared" si="220"/>
        <v>498.80721220527039</v>
      </c>
    </row>
    <row r="1946" spans="1:38" customFormat="1" ht="57.6" x14ac:dyDescent="0.3">
      <c r="A1946" s="140" t="s">
        <v>1486</v>
      </c>
      <c r="B1946" s="140">
        <v>3</v>
      </c>
      <c r="C1946" s="166" t="s">
        <v>696</v>
      </c>
      <c r="D1946" s="140" t="str">
        <f t="shared" si="216"/>
        <v>3</v>
      </c>
      <c r="E1946" s="166" t="s">
        <v>691</v>
      </c>
      <c r="F1946" s="140">
        <f t="shared" si="215"/>
        <v>3</v>
      </c>
      <c r="G1946" s="140" t="str">
        <f t="shared" si="217"/>
        <v>3.3.3</v>
      </c>
      <c r="H1946" s="181" t="s">
        <v>1698</v>
      </c>
      <c r="I1946" s="166" t="s">
        <v>51</v>
      </c>
      <c r="J1946" s="166" t="s">
        <v>168</v>
      </c>
      <c r="K1946" s="166" t="s">
        <v>716</v>
      </c>
      <c r="L1946" s="167">
        <v>39000</v>
      </c>
      <c r="M1946" s="166">
        <v>25</v>
      </c>
      <c r="N1946" s="166">
        <v>6</v>
      </c>
      <c r="O1946" s="164">
        <f t="shared" si="218"/>
        <v>5850000</v>
      </c>
      <c r="P1946" s="166"/>
      <c r="Q1946" s="166"/>
      <c r="R1946" s="164">
        <f>$L1946*'Pivot Objective'!$C$9*P1946*Q1946</f>
        <v>0</v>
      </c>
      <c r="S1946" s="166"/>
      <c r="T1946" s="166"/>
      <c r="U1946" s="164">
        <f>($L1946*'Pivot Objective'!$C$9^2)*S1946*T1946</f>
        <v>0</v>
      </c>
      <c r="V1946" s="166"/>
      <c r="W1946" s="166"/>
      <c r="X1946" s="164">
        <f>($L1946*'Pivot Objective'!$C$9^3)*V1946*W1946</f>
        <v>0</v>
      </c>
      <c r="Y1946" s="166"/>
      <c r="Z1946" s="166"/>
      <c r="AA1946" s="164">
        <f>($L1946*'Pivot Objective'!$C$9^4)*Y1946*Z1946</f>
        <v>0</v>
      </c>
      <c r="AB1946" s="166"/>
      <c r="AC1946" s="166"/>
      <c r="AD1946" s="164">
        <f>($L1946*'Pivot Objective'!$C$9^5)*AB1946*AC1946</f>
        <v>0</v>
      </c>
      <c r="AE1946" s="166"/>
      <c r="AF1946" s="166"/>
      <c r="AG1946" s="164">
        <f>($L1946*'Pivot Objective'!$C$9^6)*AE1946*AF1946</f>
        <v>0</v>
      </c>
      <c r="AH1946" s="166"/>
      <c r="AI1946" s="166"/>
      <c r="AJ1946" s="164">
        <f>($L1946*'Pivot Objective'!$C$9^7)*AH1946*AI1946</f>
        <v>0</v>
      </c>
      <c r="AK1946" s="185">
        <f t="shared" si="219"/>
        <v>5850000</v>
      </c>
      <c r="AL1946" s="186">
        <f t="shared" si="220"/>
        <v>5679.6116504854372</v>
      </c>
    </row>
    <row r="1947" spans="1:38" customFormat="1" ht="57.6" x14ac:dyDescent="0.3">
      <c r="A1947" s="140" t="s">
        <v>1486</v>
      </c>
      <c r="B1947" s="140">
        <v>3</v>
      </c>
      <c r="C1947" s="166" t="s">
        <v>696</v>
      </c>
      <c r="D1947" s="140" t="str">
        <f t="shared" si="216"/>
        <v>3</v>
      </c>
      <c r="E1947" s="166" t="s">
        <v>691</v>
      </c>
      <c r="F1947" s="140">
        <f t="shared" si="215"/>
        <v>3</v>
      </c>
      <c r="G1947" s="140" t="str">
        <f t="shared" si="217"/>
        <v>3.3.3</v>
      </c>
      <c r="H1947" s="181" t="s">
        <v>1698</v>
      </c>
      <c r="I1947" s="166" t="s">
        <v>51</v>
      </c>
      <c r="J1947" s="166" t="s">
        <v>168</v>
      </c>
      <c r="K1947" s="166" t="s">
        <v>709</v>
      </c>
      <c r="L1947" s="167">
        <v>35000</v>
      </c>
      <c r="M1947" s="166">
        <v>25</v>
      </c>
      <c r="N1947" s="166">
        <v>5</v>
      </c>
      <c r="O1947" s="164">
        <f t="shared" si="218"/>
        <v>4375000</v>
      </c>
      <c r="P1947" s="166"/>
      <c r="Q1947" s="166"/>
      <c r="R1947" s="164">
        <f>$L1947*'Pivot Objective'!$C$9*P1947*Q1947</f>
        <v>0</v>
      </c>
      <c r="S1947" s="166"/>
      <c r="T1947" s="166"/>
      <c r="U1947" s="164">
        <f>($L1947*'Pivot Objective'!$C$9^2)*S1947*T1947</f>
        <v>0</v>
      </c>
      <c r="V1947" s="166"/>
      <c r="W1947" s="166"/>
      <c r="X1947" s="164">
        <f>($L1947*'Pivot Objective'!$C$9^3)*V1947*W1947</f>
        <v>0</v>
      </c>
      <c r="Y1947" s="166"/>
      <c r="Z1947" s="166"/>
      <c r="AA1947" s="164">
        <f>($L1947*'Pivot Objective'!$C$9^4)*Y1947*Z1947</f>
        <v>0</v>
      </c>
      <c r="AB1947" s="166"/>
      <c r="AC1947" s="166"/>
      <c r="AD1947" s="164">
        <f>($L1947*'Pivot Objective'!$C$9^5)*AB1947*AC1947</f>
        <v>0</v>
      </c>
      <c r="AE1947" s="166"/>
      <c r="AF1947" s="166"/>
      <c r="AG1947" s="164">
        <f>($L1947*'Pivot Objective'!$C$9^6)*AE1947*AF1947</f>
        <v>0</v>
      </c>
      <c r="AH1947" s="166"/>
      <c r="AI1947" s="166"/>
      <c r="AJ1947" s="164">
        <f>($L1947*'Pivot Objective'!$C$9^7)*AH1947*AI1947</f>
        <v>0</v>
      </c>
      <c r="AK1947" s="185">
        <f t="shared" si="219"/>
        <v>4375000</v>
      </c>
      <c r="AL1947" s="186">
        <f t="shared" si="220"/>
        <v>4247.5728155339802</v>
      </c>
    </row>
    <row r="1948" spans="1:38" customFormat="1" ht="57.6" x14ac:dyDescent="0.3">
      <c r="A1948" s="140" t="s">
        <v>1486</v>
      </c>
      <c r="B1948" s="140">
        <v>3</v>
      </c>
      <c r="C1948" s="166" t="s">
        <v>696</v>
      </c>
      <c r="D1948" s="140" t="str">
        <f t="shared" si="216"/>
        <v>3</v>
      </c>
      <c r="E1948" s="166" t="s">
        <v>691</v>
      </c>
      <c r="F1948" s="140">
        <f t="shared" ref="F1948:F2011" si="221">IF(H1948=H1947,F1947,F1947+1)</f>
        <v>3</v>
      </c>
      <c r="G1948" s="140" t="str">
        <f t="shared" si="217"/>
        <v>3.3.3</v>
      </c>
      <c r="H1948" s="181" t="s">
        <v>1698</v>
      </c>
      <c r="I1948" s="166" t="s">
        <v>51</v>
      </c>
      <c r="J1948" s="166" t="s">
        <v>168</v>
      </c>
      <c r="K1948" s="166" t="s">
        <v>712</v>
      </c>
      <c r="L1948" s="167">
        <f>1480/7</f>
        <v>211.42857142857142</v>
      </c>
      <c r="M1948" s="166">
        <f>2*25*9</f>
        <v>450</v>
      </c>
      <c r="N1948" s="166">
        <v>5</v>
      </c>
      <c r="O1948" s="164">
        <f t="shared" si="218"/>
        <v>475714.28571428568</v>
      </c>
      <c r="P1948" s="166"/>
      <c r="Q1948" s="166"/>
      <c r="R1948" s="164">
        <f>$L1948*'Pivot Objective'!$C$9*P1948*Q1948</f>
        <v>0</v>
      </c>
      <c r="S1948" s="166"/>
      <c r="T1948" s="166"/>
      <c r="U1948" s="164">
        <f>($L1948*'Pivot Objective'!$C$9^2)*S1948*T1948</f>
        <v>0</v>
      </c>
      <c r="V1948" s="166"/>
      <c r="W1948" s="166"/>
      <c r="X1948" s="164">
        <f>($L1948*'Pivot Objective'!$C$9^3)*V1948*W1948</f>
        <v>0</v>
      </c>
      <c r="Y1948" s="166"/>
      <c r="Z1948" s="166"/>
      <c r="AA1948" s="164">
        <f>($L1948*'Pivot Objective'!$C$9^4)*Y1948*Z1948</f>
        <v>0</v>
      </c>
      <c r="AB1948" s="166"/>
      <c r="AC1948" s="166"/>
      <c r="AD1948" s="164">
        <f>($L1948*'Pivot Objective'!$C$9^5)*AB1948*AC1948</f>
        <v>0</v>
      </c>
      <c r="AE1948" s="166"/>
      <c r="AF1948" s="166"/>
      <c r="AG1948" s="164">
        <f>($L1948*'Pivot Objective'!$C$9^6)*AE1948*AF1948</f>
        <v>0</v>
      </c>
      <c r="AH1948" s="166"/>
      <c r="AI1948" s="166"/>
      <c r="AJ1948" s="164">
        <f>($L1948*'Pivot Objective'!$C$9^7)*AH1948*AI1948</f>
        <v>0</v>
      </c>
      <c r="AK1948" s="185">
        <f t="shared" si="219"/>
        <v>475714.28571428568</v>
      </c>
      <c r="AL1948" s="186">
        <f t="shared" si="220"/>
        <v>461.85852981969481</v>
      </c>
    </row>
    <row r="1949" spans="1:38" customFormat="1" ht="57.6" x14ac:dyDescent="0.3">
      <c r="A1949" s="140" t="s">
        <v>1486</v>
      </c>
      <c r="B1949" s="140">
        <v>3</v>
      </c>
      <c r="C1949" s="166" t="s">
        <v>696</v>
      </c>
      <c r="D1949" s="140" t="str">
        <f t="shared" si="216"/>
        <v>3</v>
      </c>
      <c r="E1949" s="166" t="s">
        <v>691</v>
      </c>
      <c r="F1949" s="140">
        <f t="shared" si="221"/>
        <v>3</v>
      </c>
      <c r="G1949" s="140" t="str">
        <f t="shared" si="217"/>
        <v>3.3.3</v>
      </c>
      <c r="H1949" s="181" t="s">
        <v>1698</v>
      </c>
      <c r="I1949" s="166" t="s">
        <v>51</v>
      </c>
      <c r="J1949" s="166" t="s">
        <v>168</v>
      </c>
      <c r="K1949" s="166" t="s">
        <v>1299</v>
      </c>
      <c r="L1949" s="167">
        <f>1480/7</f>
        <v>211.42857142857142</v>
      </c>
      <c r="M1949" s="166">
        <f>2*135*9</f>
        <v>2430</v>
      </c>
      <c r="N1949" s="166">
        <v>1</v>
      </c>
      <c r="O1949" s="164">
        <f t="shared" si="218"/>
        <v>513771.42857142852</v>
      </c>
      <c r="P1949" s="166"/>
      <c r="Q1949" s="166"/>
      <c r="R1949" s="164">
        <f>$L1949*'Pivot Objective'!$C$9*P1949*Q1949</f>
        <v>0</v>
      </c>
      <c r="S1949" s="166"/>
      <c r="T1949" s="166"/>
      <c r="U1949" s="164">
        <f>($L1949*'Pivot Objective'!$C$9^2)*S1949*T1949</f>
        <v>0</v>
      </c>
      <c r="V1949" s="166"/>
      <c r="W1949" s="166"/>
      <c r="X1949" s="164">
        <f>($L1949*'Pivot Objective'!$C$9^3)*V1949*W1949</f>
        <v>0</v>
      </c>
      <c r="Y1949" s="166"/>
      <c r="Z1949" s="166"/>
      <c r="AA1949" s="164">
        <f>($L1949*'Pivot Objective'!$C$9^4)*Y1949*Z1949</f>
        <v>0</v>
      </c>
      <c r="AB1949" s="166"/>
      <c r="AC1949" s="166"/>
      <c r="AD1949" s="164">
        <f>($L1949*'Pivot Objective'!$C$9^5)*AB1949*AC1949</f>
        <v>0</v>
      </c>
      <c r="AE1949" s="166"/>
      <c r="AF1949" s="166"/>
      <c r="AG1949" s="164">
        <f>($L1949*'Pivot Objective'!$C$9^6)*AE1949*AF1949</f>
        <v>0</v>
      </c>
      <c r="AH1949" s="166"/>
      <c r="AI1949" s="166"/>
      <c r="AJ1949" s="164">
        <f>($L1949*'Pivot Objective'!$C$9^7)*AH1949*AI1949</f>
        <v>0</v>
      </c>
      <c r="AK1949" s="185">
        <f t="shared" si="219"/>
        <v>513771.42857142852</v>
      </c>
      <c r="AL1949" s="186">
        <f t="shared" si="220"/>
        <v>498.80721220527039</v>
      </c>
    </row>
    <row r="1950" spans="1:38" customFormat="1" ht="57.6" x14ac:dyDescent="0.3">
      <c r="A1950" s="140" t="s">
        <v>1486</v>
      </c>
      <c r="B1950" s="140">
        <v>3</v>
      </c>
      <c r="C1950" s="166" t="s">
        <v>696</v>
      </c>
      <c r="D1950" s="140" t="str">
        <f t="shared" si="216"/>
        <v>3</v>
      </c>
      <c r="E1950" s="166" t="s">
        <v>691</v>
      </c>
      <c r="F1950" s="140">
        <f t="shared" si="221"/>
        <v>3</v>
      </c>
      <c r="G1950" s="140" t="str">
        <f t="shared" si="217"/>
        <v>3.3.3</v>
      </c>
      <c r="H1950" s="181" t="s">
        <v>1698</v>
      </c>
      <c r="I1950" s="166" t="s">
        <v>51</v>
      </c>
      <c r="J1950" s="166" t="s">
        <v>153</v>
      </c>
      <c r="K1950" s="166" t="s">
        <v>716</v>
      </c>
      <c r="L1950" s="167">
        <v>39000</v>
      </c>
      <c r="M1950" s="166">
        <v>25</v>
      </c>
      <c r="N1950" s="166">
        <v>6</v>
      </c>
      <c r="O1950" s="164">
        <f t="shared" si="218"/>
        <v>5850000</v>
      </c>
      <c r="P1950" s="166">
        <v>0</v>
      </c>
      <c r="Q1950" s="166">
        <v>0</v>
      </c>
      <c r="R1950" s="164">
        <f>$L1950*'Pivot Objective'!$C$9*P1950*Q1950</f>
        <v>0</v>
      </c>
      <c r="S1950" s="166">
        <v>20</v>
      </c>
      <c r="T1950" s="166">
        <v>5</v>
      </c>
      <c r="U1950" s="164">
        <f>($L1950*'Pivot Objective'!$C$9^2)*S1950*T1950</f>
        <v>5094447.6724739643</v>
      </c>
      <c r="V1950" s="166">
        <v>0</v>
      </c>
      <c r="W1950" s="166">
        <v>0</v>
      </c>
      <c r="X1950" s="164">
        <f>($L1950*'Pivot Objective'!$C$9^3)*V1950*W1950</f>
        <v>0</v>
      </c>
      <c r="Y1950" s="166">
        <v>0</v>
      </c>
      <c r="Z1950" s="166">
        <v>0</v>
      </c>
      <c r="AA1950" s="164">
        <f>($L1950*'Pivot Objective'!$C$9^4)*Y1950*Z1950</f>
        <v>0</v>
      </c>
      <c r="AB1950" s="166">
        <v>0</v>
      </c>
      <c r="AC1950" s="166">
        <v>0</v>
      </c>
      <c r="AD1950" s="164">
        <f>($L1950*'Pivot Objective'!$C$9^5)*AB1950*AC1950</f>
        <v>0</v>
      </c>
      <c r="AE1950" s="166">
        <v>0</v>
      </c>
      <c r="AF1950" s="166">
        <v>0</v>
      </c>
      <c r="AG1950" s="164">
        <f>($L1950*'Pivot Objective'!$C$9^6)*AE1950*AF1950</f>
        <v>0</v>
      </c>
      <c r="AH1950" s="166">
        <v>0</v>
      </c>
      <c r="AI1950" s="166">
        <v>0</v>
      </c>
      <c r="AJ1950" s="164">
        <f>($L1950*'Pivot Objective'!$C$9^7)*AH1950*AI1950</f>
        <v>0</v>
      </c>
      <c r="AK1950" s="185">
        <f t="shared" si="219"/>
        <v>10944447.672473963</v>
      </c>
      <c r="AL1950" s="186">
        <f t="shared" si="220"/>
        <v>10625.677351916469</v>
      </c>
    </row>
    <row r="1951" spans="1:38" customFormat="1" ht="57.6" x14ac:dyDescent="0.3">
      <c r="A1951" s="140" t="s">
        <v>1486</v>
      </c>
      <c r="B1951" s="140">
        <v>3</v>
      </c>
      <c r="C1951" s="166" t="s">
        <v>696</v>
      </c>
      <c r="D1951" s="140" t="str">
        <f t="shared" si="216"/>
        <v>3</v>
      </c>
      <c r="E1951" s="166" t="s">
        <v>691</v>
      </c>
      <c r="F1951" s="140">
        <f t="shared" si="221"/>
        <v>3</v>
      </c>
      <c r="G1951" s="140" t="str">
        <f t="shared" si="217"/>
        <v>3.3.3</v>
      </c>
      <c r="H1951" s="181" t="s">
        <v>1698</v>
      </c>
      <c r="I1951" s="166" t="s">
        <v>51</v>
      </c>
      <c r="J1951" s="166" t="s">
        <v>153</v>
      </c>
      <c r="K1951" s="166" t="s">
        <v>709</v>
      </c>
      <c r="L1951" s="167">
        <v>35000</v>
      </c>
      <c r="M1951" s="166">
        <v>25</v>
      </c>
      <c r="N1951" s="166">
        <v>5</v>
      </c>
      <c r="O1951" s="164">
        <f t="shared" si="218"/>
        <v>4375000</v>
      </c>
      <c r="P1951" s="166">
        <v>0</v>
      </c>
      <c r="Q1951" s="166">
        <v>0</v>
      </c>
      <c r="R1951" s="164">
        <f>$L1951*'Pivot Objective'!$C$9*P1951*Q1951</f>
        <v>0</v>
      </c>
      <c r="S1951" s="166">
        <v>20</v>
      </c>
      <c r="T1951" s="166">
        <v>5</v>
      </c>
      <c r="U1951" s="164">
        <f>($L1951*'Pivot Objective'!$C$9^2)*S1951*T1951</f>
        <v>4571940.2188868904</v>
      </c>
      <c r="V1951" s="166">
        <v>0</v>
      </c>
      <c r="W1951" s="166">
        <v>0</v>
      </c>
      <c r="X1951" s="164">
        <f>($L1951*'Pivot Objective'!$C$9^3)*V1951*W1951</f>
        <v>0</v>
      </c>
      <c r="Y1951" s="166">
        <v>0</v>
      </c>
      <c r="Z1951" s="166">
        <v>0</v>
      </c>
      <c r="AA1951" s="164">
        <f>($L1951*'Pivot Objective'!$C$9^4)*Y1951*Z1951</f>
        <v>0</v>
      </c>
      <c r="AB1951" s="166">
        <v>0</v>
      </c>
      <c r="AC1951" s="166">
        <v>0</v>
      </c>
      <c r="AD1951" s="164">
        <f>($L1951*'Pivot Objective'!$C$9^5)*AB1951*AC1951</f>
        <v>0</v>
      </c>
      <c r="AE1951" s="166">
        <v>0</v>
      </c>
      <c r="AF1951" s="166">
        <v>0</v>
      </c>
      <c r="AG1951" s="164">
        <f>($L1951*'Pivot Objective'!$C$9^6)*AE1951*AF1951</f>
        <v>0</v>
      </c>
      <c r="AH1951" s="166">
        <v>0</v>
      </c>
      <c r="AI1951" s="166">
        <v>0</v>
      </c>
      <c r="AJ1951" s="164">
        <f>($L1951*'Pivot Objective'!$C$9^7)*AH1951*AI1951</f>
        <v>0</v>
      </c>
      <c r="AK1951" s="185">
        <f t="shared" si="219"/>
        <v>8946940.2188868895</v>
      </c>
      <c r="AL1951" s="186">
        <f t="shared" si="220"/>
        <v>8686.3497270746502</v>
      </c>
    </row>
    <row r="1952" spans="1:38" customFormat="1" ht="57.6" x14ac:dyDescent="0.3">
      <c r="A1952" s="140" t="s">
        <v>1486</v>
      </c>
      <c r="B1952" s="140">
        <v>3</v>
      </c>
      <c r="C1952" s="166" t="s">
        <v>696</v>
      </c>
      <c r="D1952" s="140" t="str">
        <f t="shared" si="216"/>
        <v>3</v>
      </c>
      <c r="E1952" s="166" t="s">
        <v>691</v>
      </c>
      <c r="F1952" s="140">
        <f t="shared" si="221"/>
        <v>3</v>
      </c>
      <c r="G1952" s="140" t="str">
        <f t="shared" si="217"/>
        <v>3.3.3</v>
      </c>
      <c r="H1952" s="181" t="s">
        <v>1698</v>
      </c>
      <c r="I1952" s="166" t="s">
        <v>51</v>
      </c>
      <c r="J1952" s="166" t="s">
        <v>153</v>
      </c>
      <c r="K1952" s="166" t="s">
        <v>712</v>
      </c>
      <c r="L1952" s="167">
        <f>1480/7</f>
        <v>211.42857142857142</v>
      </c>
      <c r="M1952" s="166">
        <f>2*25*9</f>
        <v>450</v>
      </c>
      <c r="N1952" s="166">
        <v>5</v>
      </c>
      <c r="O1952" s="164">
        <f t="shared" si="218"/>
        <v>475714.28571428568</v>
      </c>
      <c r="P1952" s="166">
        <v>0</v>
      </c>
      <c r="Q1952" s="166">
        <v>0</v>
      </c>
      <c r="R1952" s="164">
        <f>$L1952*'Pivot Objective'!$C$9*P1952*Q1952</f>
        <v>0</v>
      </c>
      <c r="S1952" s="166">
        <v>4000</v>
      </c>
      <c r="T1952" s="166">
        <v>1</v>
      </c>
      <c r="U1952" s="164">
        <f>($L1952*'Pivot Objective'!$C$9^2)*S1952*T1952</f>
        <v>1104730.044726955</v>
      </c>
      <c r="V1952" s="166">
        <v>0</v>
      </c>
      <c r="W1952" s="166">
        <v>0</v>
      </c>
      <c r="X1952" s="164">
        <f>($L1952*'Pivot Objective'!$C$9^3)*V1952*W1952</f>
        <v>0</v>
      </c>
      <c r="Y1952" s="166">
        <v>0</v>
      </c>
      <c r="Z1952" s="166">
        <v>0</v>
      </c>
      <c r="AA1952" s="164">
        <f>($L1952*'Pivot Objective'!$C$9^4)*Y1952*Z1952</f>
        <v>0</v>
      </c>
      <c r="AB1952" s="166">
        <v>0</v>
      </c>
      <c r="AC1952" s="166">
        <v>0</v>
      </c>
      <c r="AD1952" s="164">
        <f>($L1952*'Pivot Objective'!$C$9^5)*AB1952*AC1952</f>
        <v>0</v>
      </c>
      <c r="AE1952" s="166">
        <v>0</v>
      </c>
      <c r="AF1952" s="166">
        <v>0</v>
      </c>
      <c r="AG1952" s="164">
        <f>($L1952*'Pivot Objective'!$C$9^6)*AE1952*AF1952</f>
        <v>0</v>
      </c>
      <c r="AH1952" s="166">
        <v>0</v>
      </c>
      <c r="AI1952" s="166">
        <v>0</v>
      </c>
      <c r="AJ1952" s="164">
        <f>($L1952*'Pivot Objective'!$C$9^7)*AH1952*AI1952</f>
        <v>0</v>
      </c>
      <c r="AK1952" s="185">
        <f t="shared" si="219"/>
        <v>1580444.3304412407</v>
      </c>
      <c r="AL1952" s="186">
        <f t="shared" si="220"/>
        <v>1534.4119713021755</v>
      </c>
    </row>
    <row r="1953" spans="1:38" customFormat="1" ht="57.6" x14ac:dyDescent="0.3">
      <c r="A1953" s="140" t="s">
        <v>1486</v>
      </c>
      <c r="B1953" s="140">
        <v>3</v>
      </c>
      <c r="C1953" s="166" t="s">
        <v>696</v>
      </c>
      <c r="D1953" s="140" t="str">
        <f t="shared" si="216"/>
        <v>3</v>
      </c>
      <c r="E1953" s="166" t="s">
        <v>691</v>
      </c>
      <c r="F1953" s="140">
        <f t="shared" si="221"/>
        <v>3</v>
      </c>
      <c r="G1953" s="140" t="str">
        <f t="shared" si="217"/>
        <v>3.3.3</v>
      </c>
      <c r="H1953" s="181" t="s">
        <v>1698</v>
      </c>
      <c r="I1953" s="166" t="s">
        <v>51</v>
      </c>
      <c r="J1953" s="166" t="s">
        <v>153</v>
      </c>
      <c r="K1953" s="166" t="s">
        <v>1299</v>
      </c>
      <c r="L1953" s="167">
        <f>1480/7</f>
        <v>211.42857142857142</v>
      </c>
      <c r="M1953" s="166">
        <f>2*135*9</f>
        <v>2430</v>
      </c>
      <c r="N1953" s="166">
        <v>1</v>
      </c>
      <c r="O1953" s="164">
        <f t="shared" si="218"/>
        <v>513771.42857142852</v>
      </c>
      <c r="P1953" s="166"/>
      <c r="Q1953" s="166"/>
      <c r="R1953" s="164">
        <f>$L1953*'Pivot Objective'!$C$9*P1953*Q1953</f>
        <v>0</v>
      </c>
      <c r="S1953" s="166"/>
      <c r="T1953" s="166"/>
      <c r="U1953" s="164">
        <f>($L1953*'Pivot Objective'!$C$9^2)*S1953*T1953</f>
        <v>0</v>
      </c>
      <c r="V1953" s="166"/>
      <c r="W1953" s="166"/>
      <c r="X1953" s="164">
        <f>($L1953*'Pivot Objective'!$C$9^3)*V1953*W1953</f>
        <v>0</v>
      </c>
      <c r="Y1953" s="166"/>
      <c r="Z1953" s="166"/>
      <c r="AA1953" s="164">
        <f>($L1953*'Pivot Objective'!$C$9^4)*Y1953*Z1953</f>
        <v>0</v>
      </c>
      <c r="AB1953" s="166"/>
      <c r="AC1953" s="166"/>
      <c r="AD1953" s="164">
        <f>($L1953*'Pivot Objective'!$C$9^5)*AB1953*AC1953</f>
        <v>0</v>
      </c>
      <c r="AE1953" s="166"/>
      <c r="AF1953" s="166"/>
      <c r="AG1953" s="164">
        <f>($L1953*'Pivot Objective'!$C$9^6)*AE1953*AF1953</f>
        <v>0</v>
      </c>
      <c r="AH1953" s="166"/>
      <c r="AI1953" s="166"/>
      <c r="AJ1953" s="164">
        <f>($L1953*'Pivot Objective'!$C$9^7)*AH1953*AI1953</f>
        <v>0</v>
      </c>
      <c r="AK1953" s="185">
        <f t="shared" si="219"/>
        <v>513771.42857142852</v>
      </c>
      <c r="AL1953" s="186">
        <f t="shared" si="220"/>
        <v>498.80721220527039</v>
      </c>
    </row>
    <row r="1954" spans="1:38" customFormat="1" ht="57.6" x14ac:dyDescent="0.3">
      <c r="A1954" s="140" t="s">
        <v>1486</v>
      </c>
      <c r="B1954" s="140">
        <v>3</v>
      </c>
      <c r="C1954" s="166" t="s">
        <v>696</v>
      </c>
      <c r="D1954" s="140" t="str">
        <f t="shared" si="216"/>
        <v>3</v>
      </c>
      <c r="E1954" s="166" t="s">
        <v>691</v>
      </c>
      <c r="F1954" s="140">
        <f t="shared" si="221"/>
        <v>3</v>
      </c>
      <c r="G1954" s="140" t="str">
        <f t="shared" si="217"/>
        <v>3.3.3</v>
      </c>
      <c r="H1954" s="181" t="s">
        <v>1698</v>
      </c>
      <c r="I1954" s="166" t="s">
        <v>51</v>
      </c>
      <c r="J1954" s="166" t="s">
        <v>156</v>
      </c>
      <c r="K1954" s="166" t="s">
        <v>709</v>
      </c>
      <c r="L1954" s="167">
        <v>35000</v>
      </c>
      <c r="M1954" s="166">
        <v>100</v>
      </c>
      <c r="N1954" s="166">
        <v>1</v>
      </c>
      <c r="O1954" s="164">
        <f t="shared" si="218"/>
        <v>3500000</v>
      </c>
      <c r="P1954" s="166">
        <v>0</v>
      </c>
      <c r="Q1954" s="166">
        <v>0</v>
      </c>
      <c r="R1954" s="164">
        <f>$L1954*'Pivot Objective'!$C$9*P1954*Q1954</f>
        <v>0</v>
      </c>
      <c r="S1954" s="166">
        <v>50</v>
      </c>
      <c r="T1954" s="166">
        <v>1</v>
      </c>
      <c r="U1954" s="164">
        <f>($L1954*'Pivot Objective'!$C$9^2)*S1954*T1954</f>
        <v>2285970.1094434457</v>
      </c>
      <c r="V1954" s="166">
        <v>0</v>
      </c>
      <c r="W1954" s="166">
        <v>0</v>
      </c>
      <c r="X1954" s="164">
        <f>($L1954*'Pivot Objective'!$C$9^3)*V1954*W1954</f>
        <v>0</v>
      </c>
      <c r="Y1954" s="166">
        <v>0</v>
      </c>
      <c r="Z1954" s="166">
        <v>0</v>
      </c>
      <c r="AA1954" s="164">
        <f>($L1954*'Pivot Objective'!$C$9^4)*Y1954*Z1954</f>
        <v>0</v>
      </c>
      <c r="AB1954" s="166">
        <v>0</v>
      </c>
      <c r="AC1954" s="166">
        <v>0</v>
      </c>
      <c r="AD1954" s="164">
        <f>($L1954*'Pivot Objective'!$C$9^5)*AB1954*AC1954</f>
        <v>0</v>
      </c>
      <c r="AE1954" s="166">
        <v>0</v>
      </c>
      <c r="AF1954" s="166">
        <v>0</v>
      </c>
      <c r="AG1954" s="164">
        <f>($L1954*'Pivot Objective'!$C$9^6)*AE1954*AF1954</f>
        <v>0</v>
      </c>
      <c r="AH1954" s="166">
        <v>0</v>
      </c>
      <c r="AI1954" s="166">
        <v>0</v>
      </c>
      <c r="AJ1954" s="164">
        <f>($L1954*'Pivot Objective'!$C$9^7)*AH1954*AI1954</f>
        <v>0</v>
      </c>
      <c r="AK1954" s="185">
        <f t="shared" si="219"/>
        <v>5785970.1094434457</v>
      </c>
      <c r="AL1954" s="186">
        <f t="shared" si="220"/>
        <v>5617.4467081975199</v>
      </c>
    </row>
    <row r="1955" spans="1:38" customFormat="1" ht="57.6" x14ac:dyDescent="0.3">
      <c r="A1955" s="140" t="s">
        <v>1486</v>
      </c>
      <c r="B1955" s="140">
        <v>3</v>
      </c>
      <c r="C1955" s="166" t="s">
        <v>696</v>
      </c>
      <c r="D1955" s="140" t="str">
        <f t="shared" si="216"/>
        <v>3</v>
      </c>
      <c r="E1955" s="166" t="s">
        <v>691</v>
      </c>
      <c r="F1955" s="140">
        <f t="shared" si="221"/>
        <v>3</v>
      </c>
      <c r="G1955" s="140" t="str">
        <f t="shared" si="217"/>
        <v>3.3.3</v>
      </c>
      <c r="H1955" s="181" t="s">
        <v>1698</v>
      </c>
      <c r="I1955" s="166" t="s">
        <v>51</v>
      </c>
      <c r="J1955" s="166" t="s">
        <v>156</v>
      </c>
      <c r="K1955" s="166" t="s">
        <v>716</v>
      </c>
      <c r="L1955" s="167">
        <v>39000</v>
      </c>
      <c r="M1955" s="166">
        <v>58</v>
      </c>
      <c r="N1955" s="166">
        <v>1</v>
      </c>
      <c r="O1955" s="164">
        <f t="shared" si="218"/>
        <v>2262000</v>
      </c>
      <c r="P1955" s="166"/>
      <c r="Q1955" s="166"/>
      <c r="R1955" s="164">
        <f>$L1955*'Pivot Objective'!$C$9*P1955*Q1955</f>
        <v>0</v>
      </c>
      <c r="S1955" s="166"/>
      <c r="T1955" s="166"/>
      <c r="U1955" s="164">
        <f>($L1955*'Pivot Objective'!$C$9^2)*S1955*T1955</f>
        <v>0</v>
      </c>
      <c r="V1955" s="166"/>
      <c r="W1955" s="166"/>
      <c r="X1955" s="164">
        <f>($L1955*'Pivot Objective'!$C$9^3)*V1955*W1955</f>
        <v>0</v>
      </c>
      <c r="Y1955" s="166"/>
      <c r="Z1955" s="166"/>
      <c r="AA1955" s="164">
        <f>($L1955*'Pivot Objective'!$C$9^4)*Y1955*Z1955</f>
        <v>0</v>
      </c>
      <c r="AB1955" s="166"/>
      <c r="AC1955" s="166"/>
      <c r="AD1955" s="164">
        <f>($L1955*'Pivot Objective'!$C$9^5)*AB1955*AC1955</f>
        <v>0</v>
      </c>
      <c r="AE1955" s="166"/>
      <c r="AF1955" s="166"/>
      <c r="AG1955" s="164">
        <f>($L1955*'Pivot Objective'!$C$9^6)*AE1955*AF1955</f>
        <v>0</v>
      </c>
      <c r="AH1955" s="166"/>
      <c r="AI1955" s="166"/>
      <c r="AJ1955" s="164">
        <f>($L1955*'Pivot Objective'!$C$9^7)*AH1955*AI1955</f>
        <v>0</v>
      </c>
      <c r="AK1955" s="185">
        <f t="shared" si="219"/>
        <v>2262000</v>
      </c>
      <c r="AL1955" s="186">
        <f t="shared" si="220"/>
        <v>2196.1165048543689</v>
      </c>
    </row>
    <row r="1956" spans="1:38" customFormat="1" ht="57.6" x14ac:dyDescent="0.3">
      <c r="A1956" s="140" t="s">
        <v>1486</v>
      </c>
      <c r="B1956" s="140">
        <v>3</v>
      </c>
      <c r="C1956" s="166" t="s">
        <v>696</v>
      </c>
      <c r="D1956" s="140" t="str">
        <f t="shared" si="216"/>
        <v>3</v>
      </c>
      <c r="E1956" s="166" t="s">
        <v>691</v>
      </c>
      <c r="F1956" s="140">
        <f t="shared" si="221"/>
        <v>3</v>
      </c>
      <c r="G1956" s="140" t="str">
        <f t="shared" si="217"/>
        <v>3.3.3</v>
      </c>
      <c r="H1956" s="181" t="s">
        <v>1698</v>
      </c>
      <c r="I1956" s="166" t="s">
        <v>51</v>
      </c>
      <c r="J1956" s="166" t="s">
        <v>156</v>
      </c>
      <c r="K1956" s="166" t="s">
        <v>712</v>
      </c>
      <c r="L1956" s="167">
        <f>1480/7</f>
        <v>211.42857142857142</v>
      </c>
      <c r="M1956" s="166">
        <f>2*25*9</f>
        <v>450</v>
      </c>
      <c r="N1956" s="166">
        <v>1</v>
      </c>
      <c r="O1956" s="164">
        <f t="shared" si="218"/>
        <v>95142.85714285713</v>
      </c>
      <c r="P1956" s="166"/>
      <c r="Q1956" s="166"/>
      <c r="R1956" s="164">
        <f>$L1956*'Pivot Objective'!$C$9*P1956*Q1956</f>
        <v>0</v>
      </c>
      <c r="S1956" s="166"/>
      <c r="T1956" s="166"/>
      <c r="U1956" s="164">
        <f>($L1956*'Pivot Objective'!$C$9^2)*S1956*T1956</f>
        <v>0</v>
      </c>
      <c r="V1956" s="166"/>
      <c r="W1956" s="166"/>
      <c r="X1956" s="164">
        <f>($L1956*'Pivot Objective'!$C$9^3)*V1956*W1956</f>
        <v>0</v>
      </c>
      <c r="Y1956" s="166"/>
      <c r="Z1956" s="166"/>
      <c r="AA1956" s="164">
        <f>($L1956*'Pivot Objective'!$C$9^4)*Y1956*Z1956</f>
        <v>0</v>
      </c>
      <c r="AB1956" s="166"/>
      <c r="AC1956" s="166"/>
      <c r="AD1956" s="164">
        <f>($L1956*'Pivot Objective'!$C$9^5)*AB1956*AC1956</f>
        <v>0</v>
      </c>
      <c r="AE1956" s="166"/>
      <c r="AF1956" s="166"/>
      <c r="AG1956" s="164">
        <f>($L1956*'Pivot Objective'!$C$9^6)*AE1956*AF1956</f>
        <v>0</v>
      </c>
      <c r="AH1956" s="166"/>
      <c r="AI1956" s="166"/>
      <c r="AJ1956" s="164">
        <f>($L1956*'Pivot Objective'!$C$9^7)*AH1956*AI1956</f>
        <v>0</v>
      </c>
      <c r="AK1956" s="185">
        <f t="shared" si="219"/>
        <v>95142.85714285713</v>
      </c>
      <c r="AL1956" s="186">
        <f t="shared" si="220"/>
        <v>92.371705963938965</v>
      </c>
    </row>
    <row r="1957" spans="1:38" customFormat="1" ht="57.6" x14ac:dyDescent="0.3">
      <c r="A1957" s="140" t="s">
        <v>1486</v>
      </c>
      <c r="B1957" s="140">
        <v>3</v>
      </c>
      <c r="C1957" s="166" t="s">
        <v>696</v>
      </c>
      <c r="D1957" s="140" t="str">
        <f t="shared" si="216"/>
        <v>3</v>
      </c>
      <c r="E1957" s="166" t="s">
        <v>691</v>
      </c>
      <c r="F1957" s="140">
        <f t="shared" si="221"/>
        <v>3</v>
      </c>
      <c r="G1957" s="140" t="str">
        <f t="shared" si="217"/>
        <v>3.3.3</v>
      </c>
      <c r="H1957" s="181" t="s">
        <v>1698</v>
      </c>
      <c r="I1957" s="166" t="s">
        <v>51</v>
      </c>
      <c r="J1957" s="166" t="s">
        <v>156</v>
      </c>
      <c r="K1957" s="166" t="s">
        <v>1299</v>
      </c>
      <c r="L1957" s="167">
        <f>1480/7</f>
        <v>211.42857142857142</v>
      </c>
      <c r="M1957" s="166">
        <f>2*135*9</f>
        <v>2430</v>
      </c>
      <c r="N1957" s="166">
        <v>1</v>
      </c>
      <c r="O1957" s="164">
        <f t="shared" si="218"/>
        <v>513771.42857142852</v>
      </c>
      <c r="P1957" s="166"/>
      <c r="Q1957" s="166"/>
      <c r="R1957" s="164">
        <f>$L1957*'Pivot Objective'!$C$9*P1957*Q1957</f>
        <v>0</v>
      </c>
      <c r="S1957" s="166"/>
      <c r="T1957" s="166"/>
      <c r="U1957" s="164">
        <f>($L1957*'Pivot Objective'!$C$9^2)*S1957*T1957</f>
        <v>0</v>
      </c>
      <c r="V1957" s="166"/>
      <c r="W1957" s="166"/>
      <c r="X1957" s="164">
        <f>($L1957*'Pivot Objective'!$C$9^3)*V1957*W1957</f>
        <v>0</v>
      </c>
      <c r="Y1957" s="166"/>
      <c r="Z1957" s="166"/>
      <c r="AA1957" s="164">
        <f>($L1957*'Pivot Objective'!$C$9^4)*Y1957*Z1957</f>
        <v>0</v>
      </c>
      <c r="AB1957" s="166"/>
      <c r="AC1957" s="166"/>
      <c r="AD1957" s="164">
        <f>($L1957*'Pivot Objective'!$C$9^5)*AB1957*AC1957</f>
        <v>0</v>
      </c>
      <c r="AE1957" s="166"/>
      <c r="AF1957" s="166"/>
      <c r="AG1957" s="164">
        <f>($L1957*'Pivot Objective'!$C$9^6)*AE1957*AF1957</f>
        <v>0</v>
      </c>
      <c r="AH1957" s="166"/>
      <c r="AI1957" s="166"/>
      <c r="AJ1957" s="164">
        <f>($L1957*'Pivot Objective'!$C$9^7)*AH1957*AI1957</f>
        <v>0</v>
      </c>
      <c r="AK1957" s="185">
        <f t="shared" si="219"/>
        <v>513771.42857142852</v>
      </c>
      <c r="AL1957" s="186">
        <f t="shared" si="220"/>
        <v>498.80721220527039</v>
      </c>
    </row>
    <row r="1958" spans="1:38" customFormat="1" ht="57.6" x14ac:dyDescent="0.3">
      <c r="A1958" s="140" t="s">
        <v>1486</v>
      </c>
      <c r="B1958" s="140">
        <v>3</v>
      </c>
      <c r="C1958" s="166" t="s">
        <v>696</v>
      </c>
      <c r="D1958" s="140" t="str">
        <f t="shared" si="216"/>
        <v>3</v>
      </c>
      <c r="E1958" s="166" t="s">
        <v>691</v>
      </c>
      <c r="F1958" s="140">
        <f t="shared" si="221"/>
        <v>3</v>
      </c>
      <c r="G1958" s="140" t="str">
        <f t="shared" si="217"/>
        <v>3.3.3</v>
      </c>
      <c r="H1958" s="181" t="s">
        <v>1698</v>
      </c>
      <c r="I1958" s="166" t="s">
        <v>51</v>
      </c>
      <c r="J1958" s="166" t="s">
        <v>156</v>
      </c>
      <c r="K1958" s="166" t="s">
        <v>711</v>
      </c>
      <c r="L1958" s="167">
        <v>8000</v>
      </c>
      <c r="M1958" s="166">
        <v>1</v>
      </c>
      <c r="N1958" s="166">
        <v>1</v>
      </c>
      <c r="O1958" s="164">
        <f t="shared" si="218"/>
        <v>8000</v>
      </c>
      <c r="P1958" s="166">
        <v>0</v>
      </c>
      <c r="Q1958" s="166">
        <v>0</v>
      </c>
      <c r="R1958" s="164">
        <f>$L1958*'Pivot Objective'!$C$9*P1958*Q1958</f>
        <v>0</v>
      </c>
      <c r="S1958" s="166">
        <v>10000</v>
      </c>
      <c r="T1958" s="166">
        <v>1</v>
      </c>
      <c r="U1958" s="164">
        <f>($L1958*'Pivot Objective'!$C$9^2)*S1958*T1958</f>
        <v>104501490.71741465</v>
      </c>
      <c r="V1958" s="166">
        <v>0</v>
      </c>
      <c r="W1958" s="166">
        <v>0</v>
      </c>
      <c r="X1958" s="164">
        <f>($L1958*'Pivot Objective'!$C$9^3)*V1958*W1958</f>
        <v>0</v>
      </c>
      <c r="Y1958" s="166">
        <v>0</v>
      </c>
      <c r="Z1958" s="166">
        <v>0</v>
      </c>
      <c r="AA1958" s="164">
        <f>($L1958*'Pivot Objective'!$C$9^4)*Y1958*Z1958</f>
        <v>0</v>
      </c>
      <c r="AB1958" s="166">
        <v>0</v>
      </c>
      <c r="AC1958" s="166">
        <v>0</v>
      </c>
      <c r="AD1958" s="164">
        <f>($L1958*'Pivot Objective'!$C$9^5)*AB1958*AC1958</f>
        <v>0</v>
      </c>
      <c r="AE1958" s="166">
        <v>0</v>
      </c>
      <c r="AF1958" s="166">
        <v>0</v>
      </c>
      <c r="AG1958" s="164">
        <f>($L1958*'Pivot Objective'!$C$9^6)*AE1958*AF1958</f>
        <v>0</v>
      </c>
      <c r="AH1958" s="166">
        <v>0</v>
      </c>
      <c r="AI1958" s="166">
        <v>0</v>
      </c>
      <c r="AJ1958" s="164">
        <f>($L1958*'Pivot Objective'!$C$9^7)*AH1958*AI1958</f>
        <v>0</v>
      </c>
      <c r="AK1958" s="185">
        <f t="shared" si="219"/>
        <v>104509490.71741465</v>
      </c>
      <c r="AL1958" s="186">
        <f t="shared" si="220"/>
        <v>101465.52496836374</v>
      </c>
    </row>
    <row r="1959" spans="1:38" customFormat="1" ht="57.6" x14ac:dyDescent="0.3">
      <c r="A1959" s="140" t="s">
        <v>1486</v>
      </c>
      <c r="B1959" s="140">
        <v>3</v>
      </c>
      <c r="C1959" s="166" t="s">
        <v>696</v>
      </c>
      <c r="D1959" s="140" t="str">
        <f t="shared" si="216"/>
        <v>3</v>
      </c>
      <c r="E1959" s="166" t="s">
        <v>691</v>
      </c>
      <c r="F1959" s="140">
        <f t="shared" si="221"/>
        <v>3</v>
      </c>
      <c r="G1959" s="140" t="str">
        <f t="shared" si="217"/>
        <v>3.3.3</v>
      </c>
      <c r="H1959" s="181" t="s">
        <v>1698</v>
      </c>
      <c r="I1959" s="166" t="s">
        <v>51</v>
      </c>
      <c r="J1959" s="166" t="s">
        <v>156</v>
      </c>
      <c r="K1959" s="166" t="s">
        <v>717</v>
      </c>
      <c r="L1959" s="167">
        <v>104850</v>
      </c>
      <c r="M1959" s="166">
        <v>1</v>
      </c>
      <c r="N1959" s="166">
        <v>1</v>
      </c>
      <c r="O1959" s="164">
        <f t="shared" si="218"/>
        <v>104850</v>
      </c>
      <c r="P1959" s="166">
        <v>0</v>
      </c>
      <c r="Q1959" s="166">
        <v>0</v>
      </c>
      <c r="R1959" s="164">
        <f>$L1959*'Pivot Objective'!$C$9*P1959*Q1959</f>
        <v>0</v>
      </c>
      <c r="S1959" s="166">
        <v>2</v>
      </c>
      <c r="T1959" s="166">
        <v>1</v>
      </c>
      <c r="U1959" s="164">
        <f>($L1959*'Pivot Objective'!$C$9^2)*S1959*T1959</f>
        <v>273924.53254302318</v>
      </c>
      <c r="V1959" s="166">
        <v>0</v>
      </c>
      <c r="W1959" s="166">
        <v>0</v>
      </c>
      <c r="X1959" s="164">
        <f>($L1959*'Pivot Objective'!$C$9^3)*V1959*W1959</f>
        <v>0</v>
      </c>
      <c r="Y1959" s="166">
        <v>0</v>
      </c>
      <c r="Z1959" s="166">
        <v>0</v>
      </c>
      <c r="AA1959" s="164">
        <f>($L1959*'Pivot Objective'!$C$9^4)*Y1959*Z1959</f>
        <v>0</v>
      </c>
      <c r="AB1959" s="166">
        <v>0</v>
      </c>
      <c r="AC1959" s="166">
        <v>0</v>
      </c>
      <c r="AD1959" s="164">
        <f>($L1959*'Pivot Objective'!$C$9^5)*AB1959*AC1959</f>
        <v>0</v>
      </c>
      <c r="AE1959" s="166">
        <v>0</v>
      </c>
      <c r="AF1959" s="166">
        <v>0</v>
      </c>
      <c r="AG1959" s="164">
        <f>($L1959*'Pivot Objective'!$C$9^6)*AE1959*AF1959</f>
        <v>0</v>
      </c>
      <c r="AH1959" s="166">
        <v>0</v>
      </c>
      <c r="AI1959" s="166">
        <v>0</v>
      </c>
      <c r="AJ1959" s="164">
        <f>($L1959*'Pivot Objective'!$C$9^7)*AH1959*AI1959</f>
        <v>0</v>
      </c>
      <c r="AK1959" s="185">
        <f t="shared" si="219"/>
        <v>378774.53254302318</v>
      </c>
      <c r="AL1959" s="186">
        <f t="shared" si="220"/>
        <v>367.74226460487688</v>
      </c>
    </row>
    <row r="1960" spans="1:38" customFormat="1" ht="57.6" x14ac:dyDescent="0.3">
      <c r="A1960" s="140" t="s">
        <v>1486</v>
      </c>
      <c r="B1960" s="140">
        <v>3</v>
      </c>
      <c r="C1960" s="166" t="s">
        <v>696</v>
      </c>
      <c r="D1960" s="140" t="str">
        <f t="shared" si="216"/>
        <v>3</v>
      </c>
      <c r="E1960" s="166" t="s">
        <v>691</v>
      </c>
      <c r="F1960" s="140">
        <f t="shared" si="221"/>
        <v>3</v>
      </c>
      <c r="G1960" s="140" t="str">
        <f t="shared" si="217"/>
        <v>3.3.3</v>
      </c>
      <c r="H1960" s="181" t="s">
        <v>1698</v>
      </c>
      <c r="I1960" s="166" t="s">
        <v>52</v>
      </c>
      <c r="J1960" s="166" t="s">
        <v>764</v>
      </c>
      <c r="K1960" s="166" t="s">
        <v>709</v>
      </c>
      <c r="L1960" s="167">
        <v>35000</v>
      </c>
      <c r="M1960" s="166">
        <v>100</v>
      </c>
      <c r="N1960" s="166">
        <v>5</v>
      </c>
      <c r="O1960" s="164">
        <f t="shared" si="218"/>
        <v>17500000</v>
      </c>
      <c r="P1960" s="166">
        <v>0</v>
      </c>
      <c r="Q1960" s="166">
        <v>0</v>
      </c>
      <c r="R1960" s="164">
        <f>$L1960*'Pivot Objective'!$C$9*P1960*Q1960</f>
        <v>0</v>
      </c>
      <c r="S1960" s="166">
        <v>0</v>
      </c>
      <c r="T1960" s="166">
        <v>0</v>
      </c>
      <c r="U1960" s="164">
        <f>($L1960*'Pivot Objective'!$C$9^2)*S1960*T1960</f>
        <v>0</v>
      </c>
      <c r="V1960" s="166">
        <v>30</v>
      </c>
      <c r="W1960" s="166">
        <v>2</v>
      </c>
      <c r="X1960" s="164">
        <f>($L1960*'Pivot Objective'!$C$9^3)*V1960*W1960</f>
        <v>3135220.1582331755</v>
      </c>
      <c r="Y1960" s="166">
        <v>0</v>
      </c>
      <c r="Z1960" s="166">
        <v>0</v>
      </c>
      <c r="AA1960" s="164">
        <f>($L1960*'Pivot Objective'!$C$9^4)*Y1960*Z1960</f>
        <v>0</v>
      </c>
      <c r="AB1960" s="166">
        <v>0</v>
      </c>
      <c r="AC1960" s="166">
        <v>0</v>
      </c>
      <c r="AD1960" s="164">
        <f>($L1960*'Pivot Objective'!$C$9^5)*AB1960*AC1960</f>
        <v>0</v>
      </c>
      <c r="AE1960" s="166">
        <v>0</v>
      </c>
      <c r="AF1960" s="166">
        <v>0</v>
      </c>
      <c r="AG1960" s="164">
        <f>($L1960*'Pivot Objective'!$C$9^6)*AE1960*AF1960</f>
        <v>0</v>
      </c>
      <c r="AH1960" s="166">
        <v>0</v>
      </c>
      <c r="AI1960" s="166">
        <v>0</v>
      </c>
      <c r="AJ1960" s="164">
        <f>($L1960*'Pivot Objective'!$C$9^7)*AH1960*AI1960</f>
        <v>0</v>
      </c>
      <c r="AK1960" s="185">
        <f t="shared" si="219"/>
        <v>20635220.158233177</v>
      </c>
      <c r="AL1960" s="186">
        <f t="shared" si="220"/>
        <v>20034.194328381724</v>
      </c>
    </row>
    <row r="1961" spans="1:38" customFormat="1" ht="57.6" x14ac:dyDescent="0.3">
      <c r="A1961" s="140" t="s">
        <v>1486</v>
      </c>
      <c r="B1961" s="140">
        <v>3</v>
      </c>
      <c r="C1961" s="166" t="s">
        <v>696</v>
      </c>
      <c r="D1961" s="140" t="str">
        <f t="shared" si="216"/>
        <v>3</v>
      </c>
      <c r="E1961" s="166" t="s">
        <v>691</v>
      </c>
      <c r="F1961" s="140">
        <f t="shared" si="221"/>
        <v>3</v>
      </c>
      <c r="G1961" s="140" t="str">
        <f t="shared" si="217"/>
        <v>3.3.3</v>
      </c>
      <c r="H1961" s="181" t="s">
        <v>1698</v>
      </c>
      <c r="I1961" s="166" t="s">
        <v>53</v>
      </c>
      <c r="J1961" s="166" t="s">
        <v>764</v>
      </c>
      <c r="K1961" s="166" t="s">
        <v>716</v>
      </c>
      <c r="L1961" s="167">
        <v>39000</v>
      </c>
      <c r="M1961" s="166">
        <v>58</v>
      </c>
      <c r="N1961" s="166">
        <v>6</v>
      </c>
      <c r="O1961" s="164">
        <f t="shared" si="218"/>
        <v>13572000</v>
      </c>
      <c r="P1961" s="166">
        <v>0</v>
      </c>
      <c r="Q1961" s="166">
        <v>0</v>
      </c>
      <c r="R1961" s="164">
        <f>$L1961*'Pivot Objective'!$C$9*P1961*Q1961</f>
        <v>0</v>
      </c>
      <c r="S1961" s="166">
        <v>0</v>
      </c>
      <c r="T1961" s="166">
        <v>0</v>
      </c>
      <c r="U1961" s="164">
        <f>($L1961*'Pivot Objective'!$C$9^2)*S1961*T1961</f>
        <v>0</v>
      </c>
      <c r="V1961" s="166">
        <v>30</v>
      </c>
      <c r="W1961" s="166">
        <v>2</v>
      </c>
      <c r="X1961" s="164">
        <f>($L1961*'Pivot Objective'!$C$9^3)*V1961*W1961</f>
        <v>3493531.0334598236</v>
      </c>
      <c r="Y1961" s="166">
        <v>0</v>
      </c>
      <c r="Z1961" s="166">
        <v>0</v>
      </c>
      <c r="AA1961" s="164">
        <f>($L1961*'Pivot Objective'!$C$9^4)*Y1961*Z1961</f>
        <v>0</v>
      </c>
      <c r="AB1961" s="166">
        <v>0</v>
      </c>
      <c r="AC1961" s="166">
        <v>0</v>
      </c>
      <c r="AD1961" s="164">
        <f>($L1961*'Pivot Objective'!$C$9^5)*AB1961*AC1961</f>
        <v>0</v>
      </c>
      <c r="AE1961" s="166">
        <v>0</v>
      </c>
      <c r="AF1961" s="166">
        <v>0</v>
      </c>
      <c r="AG1961" s="164">
        <f>($L1961*'Pivot Objective'!$C$9^6)*AE1961*AF1961</f>
        <v>0</v>
      </c>
      <c r="AH1961" s="166">
        <v>0</v>
      </c>
      <c r="AI1961" s="166">
        <v>0</v>
      </c>
      <c r="AJ1961" s="164">
        <f>($L1961*'Pivot Objective'!$C$9^7)*AH1961*AI1961</f>
        <v>0</v>
      </c>
      <c r="AK1961" s="185">
        <f t="shared" si="219"/>
        <v>17065531.033459824</v>
      </c>
      <c r="AL1961" s="186">
        <f t="shared" si="220"/>
        <v>16568.476731514391</v>
      </c>
    </row>
    <row r="1962" spans="1:38" customFormat="1" ht="57.6" x14ac:dyDescent="0.3">
      <c r="A1962" s="140" t="s">
        <v>1486</v>
      </c>
      <c r="B1962" s="140">
        <v>3</v>
      </c>
      <c r="C1962" s="166" t="s">
        <v>696</v>
      </c>
      <c r="D1962" s="140" t="str">
        <f t="shared" si="216"/>
        <v>3</v>
      </c>
      <c r="E1962" s="166" t="s">
        <v>691</v>
      </c>
      <c r="F1962" s="140">
        <f t="shared" si="221"/>
        <v>3</v>
      </c>
      <c r="G1962" s="140" t="str">
        <f t="shared" si="217"/>
        <v>3.3.3</v>
      </c>
      <c r="H1962" s="181" t="s">
        <v>1698</v>
      </c>
      <c r="I1962" s="166" t="s">
        <v>54</v>
      </c>
      <c r="J1962" s="166" t="s">
        <v>764</v>
      </c>
      <c r="K1962" s="166" t="s">
        <v>712</v>
      </c>
      <c r="L1962" s="167">
        <f>1480/7</f>
        <v>211.42857142857142</v>
      </c>
      <c r="M1962" s="166">
        <f>2*25*29</f>
        <v>1450</v>
      </c>
      <c r="N1962" s="166">
        <v>5</v>
      </c>
      <c r="O1962" s="164">
        <f t="shared" si="218"/>
        <v>1532857.142857143</v>
      </c>
      <c r="P1962" s="166">
        <v>0</v>
      </c>
      <c r="Q1962" s="166">
        <v>0</v>
      </c>
      <c r="R1962" s="164">
        <f>$L1962*'Pivot Objective'!$C$9*P1962*Q1962</f>
        <v>0</v>
      </c>
      <c r="S1962" s="166">
        <v>0</v>
      </c>
      <c r="T1962" s="166">
        <v>0</v>
      </c>
      <c r="U1962" s="164">
        <f>($L1962*'Pivot Objective'!$C$9^2)*S1962*T1962</f>
        <v>0</v>
      </c>
      <c r="V1962" s="166">
        <v>10000</v>
      </c>
      <c r="W1962" s="166">
        <v>2</v>
      </c>
      <c r="X1962" s="164">
        <f>($L1962*'Pivot Objective'!$C$9^3)*V1962*W1962</f>
        <v>6313096.3730409509</v>
      </c>
      <c r="Y1962" s="166">
        <v>0</v>
      </c>
      <c r="Z1962" s="166">
        <v>0</v>
      </c>
      <c r="AA1962" s="164">
        <f>($L1962*'Pivot Objective'!$C$9^4)*Y1962*Z1962</f>
        <v>0</v>
      </c>
      <c r="AB1962" s="166">
        <v>0</v>
      </c>
      <c r="AC1962" s="166">
        <v>0</v>
      </c>
      <c r="AD1962" s="164">
        <f>($L1962*'Pivot Objective'!$C$9^5)*AB1962*AC1962</f>
        <v>0</v>
      </c>
      <c r="AE1962" s="166">
        <v>0</v>
      </c>
      <c r="AF1962" s="166">
        <v>0</v>
      </c>
      <c r="AG1962" s="164">
        <f>($L1962*'Pivot Objective'!$C$9^6)*AE1962*AF1962</f>
        <v>0</v>
      </c>
      <c r="AH1962" s="166">
        <v>0</v>
      </c>
      <c r="AI1962" s="166">
        <v>0</v>
      </c>
      <c r="AJ1962" s="164">
        <f>($L1962*'Pivot Objective'!$C$9^7)*AH1962*AI1962</f>
        <v>0</v>
      </c>
      <c r="AK1962" s="185">
        <f t="shared" si="219"/>
        <v>7845953.5158980936</v>
      </c>
      <c r="AL1962" s="186">
        <f t="shared" si="220"/>
        <v>7617.4305979593146</v>
      </c>
    </row>
    <row r="1963" spans="1:38" customFormat="1" ht="57.6" x14ac:dyDescent="0.3">
      <c r="A1963" s="140" t="s">
        <v>1486</v>
      </c>
      <c r="B1963" s="140">
        <v>3</v>
      </c>
      <c r="C1963" s="166" t="s">
        <v>696</v>
      </c>
      <c r="D1963" s="140" t="str">
        <f t="shared" si="216"/>
        <v>3</v>
      </c>
      <c r="E1963" s="166" t="s">
        <v>691</v>
      </c>
      <c r="F1963" s="140">
        <f t="shared" si="221"/>
        <v>3</v>
      </c>
      <c r="G1963" s="140" t="str">
        <f t="shared" si="217"/>
        <v>3.3.3</v>
      </c>
      <c r="H1963" s="181" t="s">
        <v>1698</v>
      </c>
      <c r="I1963" s="166" t="s">
        <v>54</v>
      </c>
      <c r="J1963" s="166" t="s">
        <v>764</v>
      </c>
      <c r="K1963" s="166" t="s">
        <v>1299</v>
      </c>
      <c r="L1963" s="167">
        <f>1480/7</f>
        <v>211.42857142857142</v>
      </c>
      <c r="M1963" s="166">
        <v>22500</v>
      </c>
      <c r="N1963" s="166">
        <v>1</v>
      </c>
      <c r="O1963" s="164">
        <f t="shared" si="218"/>
        <v>4757142.8571428573</v>
      </c>
      <c r="P1963" s="166"/>
      <c r="Q1963" s="166"/>
      <c r="R1963" s="164">
        <f>$L1963*'Pivot Objective'!$C$9*P1963*Q1963</f>
        <v>0</v>
      </c>
      <c r="S1963" s="166"/>
      <c r="T1963" s="166"/>
      <c r="U1963" s="164">
        <f>($L1963*'Pivot Objective'!$C$9^2)*S1963*T1963</f>
        <v>0</v>
      </c>
      <c r="V1963" s="166"/>
      <c r="W1963" s="166"/>
      <c r="X1963" s="164">
        <f>($L1963*'Pivot Objective'!$C$9^3)*V1963*W1963</f>
        <v>0</v>
      </c>
      <c r="Y1963" s="166"/>
      <c r="Z1963" s="166"/>
      <c r="AA1963" s="164">
        <f>($L1963*'Pivot Objective'!$C$9^4)*Y1963*Z1963</f>
        <v>0</v>
      </c>
      <c r="AB1963" s="166"/>
      <c r="AC1963" s="166"/>
      <c r="AD1963" s="164">
        <f>($L1963*'Pivot Objective'!$C$9^5)*AB1963*AC1963</f>
        <v>0</v>
      </c>
      <c r="AE1963" s="166"/>
      <c r="AF1963" s="166"/>
      <c r="AG1963" s="164">
        <f>($L1963*'Pivot Objective'!$C$9^6)*AE1963*AF1963</f>
        <v>0</v>
      </c>
      <c r="AH1963" s="166"/>
      <c r="AI1963" s="166"/>
      <c r="AJ1963" s="164">
        <f>($L1963*'Pivot Objective'!$C$9^7)*AH1963*AI1963</f>
        <v>0</v>
      </c>
      <c r="AK1963" s="185">
        <f t="shared" si="219"/>
        <v>4757142.8571428573</v>
      </c>
      <c r="AL1963" s="186">
        <f t="shared" si="220"/>
        <v>4618.5852981969492</v>
      </c>
    </row>
    <row r="1964" spans="1:38" customFormat="1" ht="57.6" x14ac:dyDescent="0.3">
      <c r="A1964" s="140" t="s">
        <v>1486</v>
      </c>
      <c r="B1964" s="140">
        <v>3</v>
      </c>
      <c r="C1964" s="166" t="s">
        <v>696</v>
      </c>
      <c r="D1964" s="140" t="str">
        <f t="shared" si="216"/>
        <v>3</v>
      </c>
      <c r="E1964" s="166" t="s">
        <v>691</v>
      </c>
      <c r="F1964" s="140">
        <f t="shared" si="221"/>
        <v>3</v>
      </c>
      <c r="G1964" s="140" t="str">
        <f t="shared" si="217"/>
        <v>3.3.3</v>
      </c>
      <c r="H1964" s="181" t="s">
        <v>1698</v>
      </c>
      <c r="I1964" s="166" t="s">
        <v>55</v>
      </c>
      <c r="J1964" s="166" t="s">
        <v>387</v>
      </c>
      <c r="K1964" s="166" t="s">
        <v>718</v>
      </c>
      <c r="L1964" s="167">
        <v>0</v>
      </c>
      <c r="M1964" s="166">
        <v>0</v>
      </c>
      <c r="N1964" s="166">
        <v>0</v>
      </c>
      <c r="O1964" s="164">
        <f t="shared" si="218"/>
        <v>0</v>
      </c>
      <c r="P1964" s="166">
        <v>0</v>
      </c>
      <c r="Q1964" s="166">
        <v>0</v>
      </c>
      <c r="R1964" s="164">
        <f>$L1964*'Pivot Objective'!$C$9*P1964*Q1964</f>
        <v>0</v>
      </c>
      <c r="S1964" s="166">
        <v>0</v>
      </c>
      <c r="T1964" s="166">
        <v>0</v>
      </c>
      <c r="U1964" s="164">
        <f>($L1964*'Pivot Objective'!$C$9^2)*S1964*T1964</f>
        <v>0</v>
      </c>
      <c r="V1964" s="166">
        <v>0</v>
      </c>
      <c r="W1964" s="166">
        <v>0</v>
      </c>
      <c r="X1964" s="164">
        <f>($L1964*'Pivot Objective'!$C$9^3)*V1964*W1964</f>
        <v>0</v>
      </c>
      <c r="Y1964" s="166">
        <v>0</v>
      </c>
      <c r="Z1964" s="166">
        <v>0</v>
      </c>
      <c r="AA1964" s="164">
        <f>($L1964*'Pivot Objective'!$C$9^4)*Y1964*Z1964</f>
        <v>0</v>
      </c>
      <c r="AB1964" s="166">
        <v>0</v>
      </c>
      <c r="AC1964" s="166">
        <v>0</v>
      </c>
      <c r="AD1964" s="164">
        <f>($L1964*'Pivot Objective'!$C$9^5)*AB1964*AC1964</f>
        <v>0</v>
      </c>
      <c r="AE1964" s="166">
        <v>0</v>
      </c>
      <c r="AF1964" s="166">
        <v>0</v>
      </c>
      <c r="AG1964" s="164">
        <f>($L1964*'Pivot Objective'!$C$9^6)*AE1964*AF1964</f>
        <v>0</v>
      </c>
      <c r="AH1964" s="166">
        <v>0</v>
      </c>
      <c r="AI1964" s="166">
        <v>0</v>
      </c>
      <c r="AJ1964" s="164">
        <f>($L1964*'Pivot Objective'!$C$9^7)*AH1964*AI1964</f>
        <v>0</v>
      </c>
      <c r="AK1964" s="185">
        <f t="shared" si="219"/>
        <v>0</v>
      </c>
      <c r="AL1964" s="186">
        <f t="shared" si="220"/>
        <v>0</v>
      </c>
    </row>
    <row r="1965" spans="1:38" customFormat="1" ht="57.6" x14ac:dyDescent="0.3">
      <c r="A1965" s="140" t="s">
        <v>1486</v>
      </c>
      <c r="B1965" s="140">
        <v>3</v>
      </c>
      <c r="C1965" s="166" t="s">
        <v>696</v>
      </c>
      <c r="D1965" s="140" t="str">
        <f t="shared" si="216"/>
        <v>3</v>
      </c>
      <c r="E1965" s="166" t="s">
        <v>691</v>
      </c>
      <c r="F1965" s="140">
        <f t="shared" si="221"/>
        <v>3</v>
      </c>
      <c r="G1965" s="140" t="str">
        <f t="shared" si="217"/>
        <v>3.3.3</v>
      </c>
      <c r="H1965" s="181" t="s">
        <v>1698</v>
      </c>
      <c r="I1965" s="166" t="s">
        <v>56</v>
      </c>
      <c r="J1965" s="166" t="s">
        <v>764</v>
      </c>
      <c r="K1965" s="166" t="s">
        <v>709</v>
      </c>
      <c r="L1965" s="167">
        <v>35000</v>
      </c>
      <c r="M1965" s="166">
        <v>100</v>
      </c>
      <c r="N1965" s="166">
        <v>5</v>
      </c>
      <c r="O1965" s="164">
        <f t="shared" si="218"/>
        <v>17500000</v>
      </c>
      <c r="P1965" s="166">
        <v>0</v>
      </c>
      <c r="Q1965" s="166">
        <v>0</v>
      </c>
      <c r="R1965" s="164">
        <f>$L1965*'Pivot Objective'!$C$9*P1965*Q1965</f>
        <v>0</v>
      </c>
      <c r="S1965" s="166">
        <v>0</v>
      </c>
      <c r="T1965" s="166">
        <v>0</v>
      </c>
      <c r="U1965" s="164">
        <f>($L1965*'Pivot Objective'!$C$9^2)*S1965*T1965</f>
        <v>0</v>
      </c>
      <c r="V1965" s="166">
        <v>0</v>
      </c>
      <c r="W1965" s="166">
        <v>0</v>
      </c>
      <c r="X1965" s="164">
        <f>($L1965*'Pivot Objective'!$C$9^3)*V1965*W1965</f>
        <v>0</v>
      </c>
      <c r="Y1965" s="166">
        <v>20</v>
      </c>
      <c r="Z1965" s="166">
        <v>2</v>
      </c>
      <c r="AA1965" s="164">
        <f>($L1965*'Pivot Objective'!$C$9^4)*Y1965*Z1965</f>
        <v>2388872.8417229159</v>
      </c>
      <c r="AB1965" s="166">
        <v>0</v>
      </c>
      <c r="AC1965" s="166">
        <v>0</v>
      </c>
      <c r="AD1965" s="164">
        <f>($L1965*'Pivot Objective'!$C$9^5)*AB1965*AC1965</f>
        <v>0</v>
      </c>
      <c r="AE1965" s="166">
        <v>0</v>
      </c>
      <c r="AF1965" s="166">
        <v>0</v>
      </c>
      <c r="AG1965" s="164">
        <f>($L1965*'Pivot Objective'!$C$9^6)*AE1965*AF1965</f>
        <v>0</v>
      </c>
      <c r="AH1965" s="166">
        <v>0</v>
      </c>
      <c r="AI1965" s="166">
        <v>0</v>
      </c>
      <c r="AJ1965" s="164">
        <f>($L1965*'Pivot Objective'!$C$9^7)*AH1965*AI1965</f>
        <v>0</v>
      </c>
      <c r="AK1965" s="185">
        <f t="shared" si="219"/>
        <v>19888872.841722917</v>
      </c>
      <c r="AL1965" s="186">
        <f t="shared" si="220"/>
        <v>19309.585283226133</v>
      </c>
    </row>
    <row r="1966" spans="1:38" customFormat="1" ht="57.6" x14ac:dyDescent="0.3">
      <c r="A1966" s="140" t="s">
        <v>1486</v>
      </c>
      <c r="B1966" s="140">
        <v>3</v>
      </c>
      <c r="C1966" s="166" t="s">
        <v>696</v>
      </c>
      <c r="D1966" s="140" t="str">
        <f t="shared" si="216"/>
        <v>3</v>
      </c>
      <c r="E1966" s="166" t="s">
        <v>691</v>
      </c>
      <c r="F1966" s="140">
        <f t="shared" si="221"/>
        <v>3</v>
      </c>
      <c r="G1966" s="140" t="str">
        <f t="shared" si="217"/>
        <v>3.3.3</v>
      </c>
      <c r="H1966" s="181" t="s">
        <v>1698</v>
      </c>
      <c r="I1966" s="166" t="s">
        <v>56</v>
      </c>
      <c r="J1966" s="166" t="s">
        <v>764</v>
      </c>
      <c r="K1966" s="166" t="s">
        <v>716</v>
      </c>
      <c r="L1966" s="167">
        <v>39000</v>
      </c>
      <c r="M1966" s="166">
        <v>58</v>
      </c>
      <c r="N1966" s="166">
        <v>6</v>
      </c>
      <c r="O1966" s="164">
        <f t="shared" si="218"/>
        <v>13572000</v>
      </c>
      <c r="P1966" s="166"/>
      <c r="Q1966" s="166"/>
      <c r="R1966" s="164">
        <f>$L1966*'Pivot Objective'!$C$9*P1966*Q1966</f>
        <v>0</v>
      </c>
      <c r="S1966" s="166"/>
      <c r="T1966" s="166"/>
      <c r="U1966" s="164">
        <f>($L1966*'Pivot Objective'!$C$9^2)*S1966*T1966</f>
        <v>0</v>
      </c>
      <c r="V1966" s="166"/>
      <c r="W1966" s="166"/>
      <c r="X1966" s="164">
        <f>($L1966*'Pivot Objective'!$C$9^3)*V1966*W1966</f>
        <v>0</v>
      </c>
      <c r="Y1966" s="166"/>
      <c r="Z1966" s="166"/>
      <c r="AA1966" s="164">
        <f>($L1966*'Pivot Objective'!$C$9^4)*Y1966*Z1966</f>
        <v>0</v>
      </c>
      <c r="AB1966" s="166"/>
      <c r="AC1966" s="166"/>
      <c r="AD1966" s="164">
        <f>($L1966*'Pivot Objective'!$C$9^5)*AB1966*AC1966</f>
        <v>0</v>
      </c>
      <c r="AE1966" s="166"/>
      <c r="AF1966" s="166"/>
      <c r="AG1966" s="164">
        <f>($L1966*'Pivot Objective'!$C$9^6)*AE1966*AF1966</f>
        <v>0</v>
      </c>
      <c r="AH1966" s="166"/>
      <c r="AI1966" s="166"/>
      <c r="AJ1966" s="164">
        <f>($L1966*'Pivot Objective'!$C$9^7)*AH1966*AI1966</f>
        <v>0</v>
      </c>
      <c r="AK1966" s="185">
        <f t="shared" si="219"/>
        <v>13572000</v>
      </c>
      <c r="AL1966" s="186">
        <f t="shared" si="220"/>
        <v>13176.699029126214</v>
      </c>
    </row>
    <row r="1967" spans="1:38" customFormat="1" ht="57.6" x14ac:dyDescent="0.3">
      <c r="A1967" s="140" t="s">
        <v>1486</v>
      </c>
      <c r="B1967" s="140">
        <v>3</v>
      </c>
      <c r="C1967" s="166" t="s">
        <v>696</v>
      </c>
      <c r="D1967" s="140" t="str">
        <f t="shared" si="216"/>
        <v>3</v>
      </c>
      <c r="E1967" s="166" t="s">
        <v>691</v>
      </c>
      <c r="F1967" s="140">
        <f t="shared" si="221"/>
        <v>3</v>
      </c>
      <c r="G1967" s="140" t="str">
        <f t="shared" si="217"/>
        <v>3.3.3</v>
      </c>
      <c r="H1967" s="181" t="s">
        <v>1698</v>
      </c>
      <c r="I1967" s="166" t="s">
        <v>56</v>
      </c>
      <c r="J1967" s="166" t="s">
        <v>764</v>
      </c>
      <c r="K1967" s="166" t="s">
        <v>712</v>
      </c>
      <c r="L1967" s="167">
        <f>1480/7</f>
        <v>211.42857142857142</v>
      </c>
      <c r="M1967" s="166">
        <f>2*25*29</f>
        <v>1450</v>
      </c>
      <c r="N1967" s="166">
        <v>5</v>
      </c>
      <c r="O1967" s="164">
        <f t="shared" si="218"/>
        <v>1532857.142857143</v>
      </c>
      <c r="P1967" s="166"/>
      <c r="Q1967" s="166"/>
      <c r="R1967" s="164">
        <f>$L1967*'Pivot Objective'!$C$9*P1967*Q1967</f>
        <v>0</v>
      </c>
      <c r="S1967" s="166"/>
      <c r="T1967" s="166"/>
      <c r="U1967" s="164">
        <f>($L1967*'Pivot Objective'!$C$9^2)*S1967*T1967</f>
        <v>0</v>
      </c>
      <c r="V1967" s="166"/>
      <c r="W1967" s="166"/>
      <c r="X1967" s="164">
        <f>($L1967*'Pivot Objective'!$C$9^3)*V1967*W1967</f>
        <v>0</v>
      </c>
      <c r="Y1967" s="166"/>
      <c r="Z1967" s="166"/>
      <c r="AA1967" s="164">
        <f>($L1967*'Pivot Objective'!$C$9^4)*Y1967*Z1967</f>
        <v>0</v>
      </c>
      <c r="AB1967" s="166"/>
      <c r="AC1967" s="166"/>
      <c r="AD1967" s="164">
        <f>($L1967*'Pivot Objective'!$C$9^5)*AB1967*AC1967</f>
        <v>0</v>
      </c>
      <c r="AE1967" s="166"/>
      <c r="AF1967" s="166"/>
      <c r="AG1967" s="164">
        <f>($L1967*'Pivot Objective'!$C$9^6)*AE1967*AF1967</f>
        <v>0</v>
      </c>
      <c r="AH1967" s="166"/>
      <c r="AI1967" s="166"/>
      <c r="AJ1967" s="164">
        <f>($L1967*'Pivot Objective'!$C$9^7)*AH1967*AI1967</f>
        <v>0</v>
      </c>
      <c r="AK1967" s="185">
        <f t="shared" si="219"/>
        <v>1532857.142857143</v>
      </c>
      <c r="AL1967" s="186">
        <f t="shared" si="220"/>
        <v>1488.2108183079058</v>
      </c>
    </row>
    <row r="1968" spans="1:38" customFormat="1" ht="57.6" x14ac:dyDescent="0.3">
      <c r="A1968" s="140" t="s">
        <v>1486</v>
      </c>
      <c r="B1968" s="140">
        <v>3</v>
      </c>
      <c r="C1968" s="166" t="s">
        <v>696</v>
      </c>
      <c r="D1968" s="140" t="str">
        <f t="shared" si="216"/>
        <v>3</v>
      </c>
      <c r="E1968" s="166" t="s">
        <v>691</v>
      </c>
      <c r="F1968" s="140">
        <f t="shared" si="221"/>
        <v>3</v>
      </c>
      <c r="G1968" s="140" t="str">
        <f t="shared" si="217"/>
        <v>3.3.3</v>
      </c>
      <c r="H1968" s="181" t="s">
        <v>1698</v>
      </c>
      <c r="I1968" s="166" t="s">
        <v>56</v>
      </c>
      <c r="J1968" s="166" t="s">
        <v>764</v>
      </c>
      <c r="K1968" s="166" t="s">
        <v>1299</v>
      </c>
      <c r="L1968" s="167">
        <f>1480/7</f>
        <v>211.42857142857142</v>
      </c>
      <c r="M1968" s="166">
        <v>22500</v>
      </c>
      <c r="N1968" s="166">
        <v>1</v>
      </c>
      <c r="O1968" s="164">
        <f t="shared" si="218"/>
        <v>4757142.8571428573</v>
      </c>
      <c r="P1968" s="166"/>
      <c r="Q1968" s="166"/>
      <c r="R1968" s="164">
        <f>$L1968*'Pivot Objective'!$C$9*P1968*Q1968</f>
        <v>0</v>
      </c>
      <c r="S1968" s="166"/>
      <c r="T1968" s="166"/>
      <c r="U1968" s="164">
        <f>($L1968*'Pivot Objective'!$C$9^2)*S1968*T1968</f>
        <v>0</v>
      </c>
      <c r="V1968" s="166"/>
      <c r="W1968" s="166"/>
      <c r="X1968" s="164">
        <f>($L1968*'Pivot Objective'!$C$9^3)*V1968*W1968</f>
        <v>0</v>
      </c>
      <c r="Y1968" s="166"/>
      <c r="Z1968" s="166"/>
      <c r="AA1968" s="164">
        <f>($L1968*'Pivot Objective'!$C$9^4)*Y1968*Z1968</f>
        <v>0</v>
      </c>
      <c r="AB1968" s="166"/>
      <c r="AC1968" s="166"/>
      <c r="AD1968" s="164">
        <f>($L1968*'Pivot Objective'!$C$9^5)*AB1968*AC1968</f>
        <v>0</v>
      </c>
      <c r="AE1968" s="166"/>
      <c r="AF1968" s="166"/>
      <c r="AG1968" s="164">
        <f>($L1968*'Pivot Objective'!$C$9^6)*AE1968*AF1968</f>
        <v>0</v>
      </c>
      <c r="AH1968" s="166"/>
      <c r="AI1968" s="166"/>
      <c r="AJ1968" s="164">
        <f>($L1968*'Pivot Objective'!$C$9^7)*AH1968*AI1968</f>
        <v>0</v>
      </c>
      <c r="AK1968" s="185">
        <f t="shared" si="219"/>
        <v>4757142.8571428573</v>
      </c>
      <c r="AL1968" s="186">
        <f t="shared" si="220"/>
        <v>4618.5852981969492</v>
      </c>
    </row>
    <row r="1969" spans="1:38" customFormat="1" ht="57.6" x14ac:dyDescent="0.3">
      <c r="A1969" s="140" t="s">
        <v>1486</v>
      </c>
      <c r="B1969" s="140">
        <v>3</v>
      </c>
      <c r="C1969" s="166" t="s">
        <v>696</v>
      </c>
      <c r="D1969" s="140" t="str">
        <f t="shared" si="216"/>
        <v>3</v>
      </c>
      <c r="E1969" s="166" t="s">
        <v>691</v>
      </c>
      <c r="F1969" s="140">
        <f t="shared" si="221"/>
        <v>3</v>
      </c>
      <c r="G1969" s="140" t="str">
        <f t="shared" si="217"/>
        <v>3.3.3</v>
      </c>
      <c r="H1969" s="181" t="s">
        <v>1698</v>
      </c>
      <c r="I1969" s="166" t="s">
        <v>57</v>
      </c>
      <c r="J1969" s="166" t="s">
        <v>765</v>
      </c>
      <c r="K1969" s="166" t="s">
        <v>707</v>
      </c>
      <c r="L1969" s="167">
        <v>391991.03749999998</v>
      </c>
      <c r="M1969" s="166">
        <v>2</v>
      </c>
      <c r="N1969" s="166">
        <v>2</v>
      </c>
      <c r="O1969" s="164">
        <f t="shared" si="218"/>
        <v>1567964.15</v>
      </c>
      <c r="P1969" s="166">
        <v>0</v>
      </c>
      <c r="Q1969" s="166">
        <v>0</v>
      </c>
      <c r="R1969" s="164">
        <f>$L1969*'Pivot Objective'!$C$9*P1969*Q1969</f>
        <v>0</v>
      </c>
      <c r="S1969" s="166">
        <v>0</v>
      </c>
      <c r="T1969" s="166">
        <v>0</v>
      </c>
      <c r="U1969" s="164">
        <f>($L1969*'Pivot Objective'!$C$9^2)*S1969*T1969</f>
        <v>0</v>
      </c>
      <c r="V1969" s="166">
        <v>0</v>
      </c>
      <c r="W1969" s="166">
        <v>0</v>
      </c>
      <c r="X1969" s="164">
        <f>($L1969*'Pivot Objective'!$C$9^3)*V1969*W1969</f>
        <v>0</v>
      </c>
      <c r="Y1969" s="166">
        <v>5</v>
      </c>
      <c r="Z1969" s="166">
        <v>4</v>
      </c>
      <c r="AA1969" s="164">
        <f>($L1969*'Pivot Objective'!$C$9^4)*Y1969*Z1969</f>
        <v>13377382.052607702</v>
      </c>
      <c r="AB1969" s="166">
        <v>0</v>
      </c>
      <c r="AC1969" s="166">
        <v>0</v>
      </c>
      <c r="AD1969" s="164">
        <f>($L1969*'Pivot Objective'!$C$9^5)*AB1969*AC1969</f>
        <v>0</v>
      </c>
      <c r="AE1969" s="166">
        <v>0</v>
      </c>
      <c r="AF1969" s="166">
        <v>0</v>
      </c>
      <c r="AG1969" s="164">
        <f>($L1969*'Pivot Objective'!$C$9^6)*AE1969*AF1969</f>
        <v>0</v>
      </c>
      <c r="AH1969" s="166">
        <v>0</v>
      </c>
      <c r="AI1969" s="166">
        <v>0</v>
      </c>
      <c r="AJ1969" s="164">
        <f>($L1969*'Pivot Objective'!$C$9^7)*AH1969*AI1969</f>
        <v>0</v>
      </c>
      <c r="AK1969" s="185">
        <f t="shared" si="219"/>
        <v>14945346.202607702</v>
      </c>
      <c r="AL1969" s="186">
        <f t="shared" si="220"/>
        <v>14510.044856900682</v>
      </c>
    </row>
    <row r="1970" spans="1:38" customFormat="1" ht="57.6" x14ac:dyDescent="0.3">
      <c r="A1970" s="140" t="s">
        <v>1486</v>
      </c>
      <c r="B1970" s="140">
        <v>3</v>
      </c>
      <c r="C1970" s="166" t="s">
        <v>696</v>
      </c>
      <c r="D1970" s="140" t="str">
        <f t="shared" ref="D1970:D2033" si="222">RIGHT(A1970,1)</f>
        <v>3</v>
      </c>
      <c r="E1970" s="166" t="s">
        <v>691</v>
      </c>
      <c r="F1970" s="140">
        <f t="shared" si="221"/>
        <v>3</v>
      </c>
      <c r="G1970" s="140" t="str">
        <f t="shared" si="217"/>
        <v>3.3.3</v>
      </c>
      <c r="H1970" s="181" t="s">
        <v>1698</v>
      </c>
      <c r="I1970" s="166" t="s">
        <v>58</v>
      </c>
      <c r="J1970" s="166" t="s">
        <v>389</v>
      </c>
      <c r="K1970" s="166" t="s">
        <v>719</v>
      </c>
      <c r="L1970" s="167">
        <v>286576.3</v>
      </c>
      <c r="M1970" s="166">
        <v>0</v>
      </c>
      <c r="N1970" s="166">
        <v>0</v>
      </c>
      <c r="O1970" s="164">
        <f t="shared" si="218"/>
        <v>0</v>
      </c>
      <c r="P1970" s="166">
        <v>0</v>
      </c>
      <c r="Q1970" s="166">
        <v>0</v>
      </c>
      <c r="R1970" s="164">
        <f>$L1970*'Pivot Objective'!$C$9*P1970*Q1970</f>
        <v>0</v>
      </c>
      <c r="S1970" s="166">
        <v>0</v>
      </c>
      <c r="T1970" s="166">
        <v>0</v>
      </c>
      <c r="U1970" s="164">
        <f>($L1970*'Pivot Objective'!$C$9^2)*S1970*T1970</f>
        <v>0</v>
      </c>
      <c r="V1970" s="166">
        <v>0</v>
      </c>
      <c r="W1970" s="166">
        <v>0</v>
      </c>
      <c r="X1970" s="164">
        <f>($L1970*'Pivot Objective'!$C$9^3)*V1970*W1970</f>
        <v>0</v>
      </c>
      <c r="Y1970" s="166">
        <v>10</v>
      </c>
      <c r="Z1970" s="166">
        <v>15</v>
      </c>
      <c r="AA1970" s="164">
        <f>($L1970*'Pivot Objective'!$C$9^4)*Y1970*Z1970</f>
        <v>73349393.587654173</v>
      </c>
      <c r="AB1970" s="166">
        <v>0</v>
      </c>
      <c r="AC1970" s="166">
        <v>0</v>
      </c>
      <c r="AD1970" s="164">
        <f>($L1970*'Pivot Objective'!$C$9^5)*AB1970*AC1970</f>
        <v>0</v>
      </c>
      <c r="AE1970" s="166">
        <v>0</v>
      </c>
      <c r="AF1970" s="166">
        <v>0</v>
      </c>
      <c r="AG1970" s="164">
        <f>($L1970*'Pivot Objective'!$C$9^6)*AE1970*AF1970</f>
        <v>0</v>
      </c>
      <c r="AH1970" s="166">
        <v>0</v>
      </c>
      <c r="AI1970" s="166">
        <v>0</v>
      </c>
      <c r="AJ1970" s="164">
        <f>($L1970*'Pivot Objective'!$C$9^7)*AH1970*AI1970</f>
        <v>0</v>
      </c>
      <c r="AK1970" s="185">
        <f t="shared" si="219"/>
        <v>73349393.587654173</v>
      </c>
      <c r="AL1970" s="186">
        <f t="shared" si="220"/>
        <v>71213.003483159395</v>
      </c>
    </row>
    <row r="1971" spans="1:38" customFormat="1" ht="57.6" x14ac:dyDescent="0.3">
      <c r="A1971" s="140" t="s">
        <v>1486</v>
      </c>
      <c r="B1971" s="140">
        <v>3</v>
      </c>
      <c r="C1971" s="166" t="s">
        <v>696</v>
      </c>
      <c r="D1971" s="140" t="str">
        <f t="shared" si="222"/>
        <v>3</v>
      </c>
      <c r="E1971" s="166" t="s">
        <v>691</v>
      </c>
      <c r="F1971" s="140">
        <f t="shared" si="221"/>
        <v>3</v>
      </c>
      <c r="G1971" s="140" t="str">
        <f t="shared" ref="G1971:G2034" si="223">B1971&amp;"."&amp;D1971&amp;"."&amp;F1971</f>
        <v>3.3.3</v>
      </c>
      <c r="H1971" s="181" t="s">
        <v>1698</v>
      </c>
      <c r="I1971" s="166" t="s">
        <v>0</v>
      </c>
      <c r="J1971" s="166" t="s">
        <v>390</v>
      </c>
      <c r="K1971" s="166" t="s">
        <v>718</v>
      </c>
      <c r="L1971" s="167">
        <v>0</v>
      </c>
      <c r="M1971" s="166">
        <v>0</v>
      </c>
      <c r="N1971" s="166">
        <v>0</v>
      </c>
      <c r="O1971" s="164">
        <f t="shared" si="218"/>
        <v>0</v>
      </c>
      <c r="P1971" s="166">
        <v>0</v>
      </c>
      <c r="Q1971" s="166">
        <v>0</v>
      </c>
      <c r="R1971" s="164">
        <f>$L1971*'Pivot Objective'!$C$9*P1971*Q1971</f>
        <v>0</v>
      </c>
      <c r="S1971" s="166">
        <v>0</v>
      </c>
      <c r="T1971" s="166">
        <v>0</v>
      </c>
      <c r="U1971" s="164">
        <f>($L1971*'Pivot Objective'!$C$9^2)*S1971*T1971</f>
        <v>0</v>
      </c>
      <c r="V1971" s="166">
        <v>0</v>
      </c>
      <c r="W1971" s="166">
        <v>0</v>
      </c>
      <c r="X1971" s="164">
        <f>($L1971*'Pivot Objective'!$C$9^3)*V1971*W1971</f>
        <v>0</v>
      </c>
      <c r="Y1971" s="166">
        <v>0</v>
      </c>
      <c r="Z1971" s="166">
        <v>0</v>
      </c>
      <c r="AA1971" s="164">
        <f>($L1971*'Pivot Objective'!$C$9^4)*Y1971*Z1971</f>
        <v>0</v>
      </c>
      <c r="AB1971" s="166">
        <v>0</v>
      </c>
      <c r="AC1971" s="166">
        <v>0</v>
      </c>
      <c r="AD1971" s="164">
        <f>($L1971*'Pivot Objective'!$C$9^5)*AB1971*AC1971</f>
        <v>0</v>
      </c>
      <c r="AE1971" s="166">
        <v>0</v>
      </c>
      <c r="AF1971" s="166">
        <v>0</v>
      </c>
      <c r="AG1971" s="164">
        <f>($L1971*'Pivot Objective'!$C$9^6)*AE1971*AF1971</f>
        <v>0</v>
      </c>
      <c r="AH1971" s="166">
        <v>0</v>
      </c>
      <c r="AI1971" s="166">
        <v>0</v>
      </c>
      <c r="AJ1971" s="164">
        <f>($L1971*'Pivot Objective'!$C$9^7)*AH1971*AI1971</f>
        <v>0</v>
      </c>
      <c r="AK1971" s="185">
        <f t="shared" si="219"/>
        <v>0</v>
      </c>
      <c r="AL1971" s="186">
        <f t="shared" si="220"/>
        <v>0</v>
      </c>
    </row>
    <row r="1972" spans="1:38" customFormat="1" ht="43.2" x14ac:dyDescent="0.3">
      <c r="A1972" s="140" t="s">
        <v>1486</v>
      </c>
      <c r="B1972" s="140">
        <v>3</v>
      </c>
      <c r="C1972" s="166" t="s">
        <v>696</v>
      </c>
      <c r="D1972" s="140" t="str">
        <f t="shared" si="222"/>
        <v>3</v>
      </c>
      <c r="E1972" s="166" t="s">
        <v>691</v>
      </c>
      <c r="F1972" s="140">
        <f t="shared" si="221"/>
        <v>4</v>
      </c>
      <c r="G1972" s="140" t="str">
        <f t="shared" si="223"/>
        <v>3.3.4</v>
      </c>
      <c r="H1972" s="181" t="s">
        <v>1700</v>
      </c>
      <c r="I1972" s="166" t="s">
        <v>59</v>
      </c>
      <c r="J1972" s="166" t="s">
        <v>391</v>
      </c>
      <c r="K1972" s="166" t="s">
        <v>718</v>
      </c>
      <c r="L1972" s="167">
        <v>0</v>
      </c>
      <c r="M1972" s="166">
        <v>0</v>
      </c>
      <c r="N1972" s="166">
        <v>0</v>
      </c>
      <c r="O1972" s="164">
        <f t="shared" si="218"/>
        <v>0</v>
      </c>
      <c r="P1972" s="166">
        <v>0</v>
      </c>
      <c r="Q1972" s="166">
        <v>0</v>
      </c>
      <c r="R1972" s="164">
        <f>$L1972*'Pivot Objective'!$C$9*P1972*Q1972</f>
        <v>0</v>
      </c>
      <c r="S1972" s="166">
        <v>0</v>
      </c>
      <c r="T1972" s="166">
        <v>0</v>
      </c>
      <c r="U1972" s="164">
        <f>($L1972*'Pivot Objective'!$C$9^2)*S1972*T1972</f>
        <v>0</v>
      </c>
      <c r="V1972" s="166">
        <v>0</v>
      </c>
      <c r="W1972" s="166">
        <v>0</v>
      </c>
      <c r="X1972" s="164">
        <f>($L1972*'Pivot Objective'!$C$9^3)*V1972*W1972</f>
        <v>0</v>
      </c>
      <c r="Y1972" s="166">
        <v>0</v>
      </c>
      <c r="Z1972" s="166">
        <v>0</v>
      </c>
      <c r="AA1972" s="164">
        <f>($L1972*'Pivot Objective'!$C$9^4)*Y1972*Z1972</f>
        <v>0</v>
      </c>
      <c r="AB1972" s="166">
        <v>0</v>
      </c>
      <c r="AC1972" s="166">
        <v>0</v>
      </c>
      <c r="AD1972" s="164">
        <f>($L1972*'Pivot Objective'!$C$9^5)*AB1972*AC1972</f>
        <v>0</v>
      </c>
      <c r="AE1972" s="166">
        <v>0</v>
      </c>
      <c r="AF1972" s="166">
        <v>0</v>
      </c>
      <c r="AG1972" s="164">
        <f>($L1972*'Pivot Objective'!$C$9^6)*AE1972*AF1972</f>
        <v>0</v>
      </c>
      <c r="AH1972" s="166">
        <v>0</v>
      </c>
      <c r="AI1972" s="166">
        <v>0</v>
      </c>
      <c r="AJ1972" s="164">
        <f>($L1972*'Pivot Objective'!$C$9^7)*AH1972*AI1972</f>
        <v>0</v>
      </c>
      <c r="AK1972" s="185">
        <f t="shared" si="219"/>
        <v>0</v>
      </c>
      <c r="AL1972" s="186">
        <f t="shared" si="220"/>
        <v>0</v>
      </c>
    </row>
    <row r="1973" spans="1:38" customFormat="1" ht="43.2" x14ac:dyDescent="0.3">
      <c r="A1973" s="140" t="s">
        <v>1486</v>
      </c>
      <c r="B1973" s="140">
        <v>3</v>
      </c>
      <c r="C1973" s="166" t="s">
        <v>696</v>
      </c>
      <c r="D1973" s="140" t="str">
        <f t="shared" si="222"/>
        <v>3</v>
      </c>
      <c r="E1973" s="166" t="s">
        <v>691</v>
      </c>
      <c r="F1973" s="140">
        <f t="shared" si="221"/>
        <v>4</v>
      </c>
      <c r="G1973" s="140" t="str">
        <f t="shared" si="223"/>
        <v>3.3.4</v>
      </c>
      <c r="H1973" s="181" t="s">
        <v>1700</v>
      </c>
      <c r="I1973" s="166" t="s">
        <v>59</v>
      </c>
      <c r="J1973" s="166" t="s">
        <v>392</v>
      </c>
      <c r="K1973" s="166" t="s">
        <v>713</v>
      </c>
      <c r="L1973" s="167">
        <v>45000</v>
      </c>
      <c r="M1973" s="166">
        <v>25</v>
      </c>
      <c r="N1973" s="166">
        <v>6</v>
      </c>
      <c r="O1973" s="164">
        <f t="shared" si="218"/>
        <v>6750000</v>
      </c>
      <c r="P1973" s="166">
        <v>25</v>
      </c>
      <c r="Q1973" s="166">
        <v>6</v>
      </c>
      <c r="R1973" s="164">
        <f>$L1973*'Pivot Objective'!$C$9*P1973*Q1973</f>
        <v>7714717.4047499988</v>
      </c>
      <c r="S1973" s="166">
        <v>0</v>
      </c>
      <c r="T1973" s="166">
        <v>0</v>
      </c>
      <c r="U1973" s="164">
        <f>($L1973*'Pivot Objective'!$C$9^2)*S1973*T1973</f>
        <v>0</v>
      </c>
      <c r="V1973" s="166">
        <v>0</v>
      </c>
      <c r="W1973" s="166">
        <v>0</v>
      </c>
      <c r="X1973" s="164">
        <f>($L1973*'Pivot Objective'!$C$9^3)*V1973*W1973</f>
        <v>0</v>
      </c>
      <c r="Y1973" s="166">
        <v>0</v>
      </c>
      <c r="Z1973" s="166">
        <v>0</v>
      </c>
      <c r="AA1973" s="164">
        <f>($L1973*'Pivot Objective'!$C$9^4)*Y1973*Z1973</f>
        <v>0</v>
      </c>
      <c r="AB1973" s="166">
        <v>0</v>
      </c>
      <c r="AC1973" s="166">
        <v>0</v>
      </c>
      <c r="AD1973" s="164">
        <f>($L1973*'Pivot Objective'!$C$9^5)*AB1973*AC1973</f>
        <v>0</v>
      </c>
      <c r="AE1973" s="166">
        <v>0</v>
      </c>
      <c r="AF1973" s="166">
        <v>0</v>
      </c>
      <c r="AG1973" s="164">
        <f>($L1973*'Pivot Objective'!$C$9^6)*AE1973*AF1973</f>
        <v>0</v>
      </c>
      <c r="AH1973" s="166">
        <v>25</v>
      </c>
      <c r="AI1973" s="166">
        <v>6</v>
      </c>
      <c r="AJ1973" s="164">
        <f>($L1973*'Pivot Objective'!$C$9^7)*AH1973*AI1973</f>
        <v>17195607.295772731</v>
      </c>
      <c r="AK1973" s="185">
        <f t="shared" si="219"/>
        <v>31660324.700522728</v>
      </c>
      <c r="AL1973" s="186">
        <f t="shared" si="220"/>
        <v>30738.179320895852</v>
      </c>
    </row>
    <row r="1974" spans="1:38" customFormat="1" ht="43.2" x14ac:dyDescent="0.3">
      <c r="A1974" s="140" t="s">
        <v>1486</v>
      </c>
      <c r="B1974" s="140">
        <v>3</v>
      </c>
      <c r="C1974" s="166" t="s">
        <v>696</v>
      </c>
      <c r="D1974" s="140" t="str">
        <f t="shared" si="222"/>
        <v>3</v>
      </c>
      <c r="E1974" s="166" t="s">
        <v>691</v>
      </c>
      <c r="F1974" s="140">
        <f t="shared" si="221"/>
        <v>4</v>
      </c>
      <c r="G1974" s="140" t="str">
        <f t="shared" si="223"/>
        <v>3.3.4</v>
      </c>
      <c r="H1974" s="181" t="s">
        <v>1700</v>
      </c>
      <c r="I1974" s="166" t="s">
        <v>59</v>
      </c>
      <c r="J1974" s="166" t="s">
        <v>392</v>
      </c>
      <c r="K1974" s="166" t="s">
        <v>712</v>
      </c>
      <c r="L1974" s="167">
        <f>1480/7</f>
        <v>211.42857142857142</v>
      </c>
      <c r="M1974" s="166">
        <f>2*25*9</f>
        <v>450</v>
      </c>
      <c r="N1974" s="166">
        <v>5</v>
      </c>
      <c r="O1974" s="164">
        <f t="shared" si="218"/>
        <v>475714.28571428568</v>
      </c>
      <c r="P1974" s="166">
        <f>2*25*9</f>
        <v>450</v>
      </c>
      <c r="Q1974" s="166">
        <v>5</v>
      </c>
      <c r="R1974" s="164">
        <f>$L1974*'Pivot Objective'!$C$9*P1974*Q1974</f>
        <v>543703.89328714274</v>
      </c>
      <c r="S1974" s="166">
        <v>0</v>
      </c>
      <c r="T1974" s="166">
        <v>0</v>
      </c>
      <c r="U1974" s="164">
        <f>($L1974*'Pivot Objective'!$C$9^2)*S1974*T1974</f>
        <v>0</v>
      </c>
      <c r="V1974" s="166">
        <v>0</v>
      </c>
      <c r="W1974" s="166">
        <v>0</v>
      </c>
      <c r="X1974" s="164">
        <f>($L1974*'Pivot Objective'!$C$9^3)*V1974*W1974</f>
        <v>0</v>
      </c>
      <c r="Y1974" s="166">
        <v>0</v>
      </c>
      <c r="Z1974" s="166">
        <v>0</v>
      </c>
      <c r="AA1974" s="164">
        <f>($L1974*'Pivot Objective'!$C$9^4)*Y1974*Z1974</f>
        <v>0</v>
      </c>
      <c r="AB1974" s="166">
        <v>0</v>
      </c>
      <c r="AC1974" s="166">
        <v>0</v>
      </c>
      <c r="AD1974" s="164">
        <f>($L1974*'Pivot Objective'!$C$9^5)*AB1974*AC1974</f>
        <v>0</v>
      </c>
      <c r="AE1974" s="166">
        <v>0</v>
      </c>
      <c r="AF1974" s="166">
        <v>0</v>
      </c>
      <c r="AG1974" s="164">
        <f>($L1974*'Pivot Objective'!$C$9^6)*AE1974*AF1974</f>
        <v>0</v>
      </c>
      <c r="AH1974" s="166">
        <f>2*25*9</f>
        <v>450</v>
      </c>
      <c r="AI1974" s="166">
        <v>5</v>
      </c>
      <c r="AJ1974" s="164">
        <f>($L1974*'Pivot Objective'!$C$9^7)*AH1974*AI1974</f>
        <v>1211880.8951306494</v>
      </c>
      <c r="AK1974" s="185">
        <f t="shared" si="219"/>
        <v>2231299.0741320779</v>
      </c>
      <c r="AL1974" s="186">
        <f t="shared" si="220"/>
        <v>2166.3097807107551</v>
      </c>
    </row>
    <row r="1975" spans="1:38" customFormat="1" ht="43.2" x14ac:dyDescent="0.3">
      <c r="A1975" s="140" t="s">
        <v>1486</v>
      </c>
      <c r="B1975" s="140">
        <v>3</v>
      </c>
      <c r="C1975" s="166" t="s">
        <v>696</v>
      </c>
      <c r="D1975" s="140" t="str">
        <f t="shared" si="222"/>
        <v>3</v>
      </c>
      <c r="E1975" s="166" t="s">
        <v>691</v>
      </c>
      <c r="F1975" s="140">
        <f t="shared" si="221"/>
        <v>4</v>
      </c>
      <c r="G1975" s="140" t="str">
        <f t="shared" si="223"/>
        <v>3.3.4</v>
      </c>
      <c r="H1975" s="181" t="s">
        <v>1700</v>
      </c>
      <c r="I1975" s="166" t="s">
        <v>59</v>
      </c>
      <c r="J1975" s="166" t="s">
        <v>392</v>
      </c>
      <c r="K1975" s="166" t="s">
        <v>1392</v>
      </c>
      <c r="L1975" s="167">
        <f>1480/7</f>
        <v>211.42857142857142</v>
      </c>
      <c r="M1975" s="166">
        <f>2*135*9</f>
        <v>2430</v>
      </c>
      <c r="N1975" s="166">
        <v>1</v>
      </c>
      <c r="O1975" s="164">
        <f t="shared" si="218"/>
        <v>513771.42857142852</v>
      </c>
      <c r="P1975" s="166">
        <f>2*135*9</f>
        <v>2430</v>
      </c>
      <c r="Q1975" s="166">
        <v>1</v>
      </c>
      <c r="R1975" s="164">
        <f>$L1975*'Pivot Objective'!$C$9*P1975*Q1975</f>
        <v>587200.20475011424</v>
      </c>
      <c r="S1975" s="166"/>
      <c r="T1975" s="166"/>
      <c r="U1975" s="164">
        <f>($L1975*'Pivot Objective'!$C$9^2)*S1975*T1975</f>
        <v>0</v>
      </c>
      <c r="V1975" s="166"/>
      <c r="W1975" s="166"/>
      <c r="X1975" s="164">
        <f>($L1975*'Pivot Objective'!$C$9^3)*V1975*W1975</f>
        <v>0</v>
      </c>
      <c r="Y1975" s="166"/>
      <c r="Z1975" s="166"/>
      <c r="AA1975" s="164">
        <f>($L1975*'Pivot Objective'!$C$9^4)*Y1975*Z1975</f>
        <v>0</v>
      </c>
      <c r="AB1975" s="166"/>
      <c r="AC1975" s="166"/>
      <c r="AD1975" s="164">
        <f>($L1975*'Pivot Objective'!$C$9^5)*AB1975*AC1975</f>
        <v>0</v>
      </c>
      <c r="AE1975" s="166"/>
      <c r="AF1975" s="166"/>
      <c r="AG1975" s="164">
        <f>($L1975*'Pivot Objective'!$C$9^6)*AE1975*AF1975</f>
        <v>0</v>
      </c>
      <c r="AH1975" s="166">
        <f>2*135*9</f>
        <v>2430</v>
      </c>
      <c r="AI1975" s="166">
        <v>1</v>
      </c>
      <c r="AJ1975" s="164">
        <f>($L1975*'Pivot Objective'!$C$9^7)*AH1975*AI1975</f>
        <v>1308831.3667411015</v>
      </c>
      <c r="AK1975" s="185">
        <f t="shared" si="219"/>
        <v>2409803.0000626445</v>
      </c>
      <c r="AL1975" s="186">
        <f t="shared" si="220"/>
        <v>2339.6145631676159</v>
      </c>
    </row>
    <row r="1976" spans="1:38" customFormat="1" ht="57.6" x14ac:dyDescent="0.3">
      <c r="A1976" s="140" t="s">
        <v>1486</v>
      </c>
      <c r="B1976" s="140">
        <v>3</v>
      </c>
      <c r="C1976" s="166" t="s">
        <v>696</v>
      </c>
      <c r="D1976" s="140" t="str">
        <f t="shared" si="222"/>
        <v>3</v>
      </c>
      <c r="E1976" s="166" t="s">
        <v>691</v>
      </c>
      <c r="F1976" s="140">
        <f t="shared" si="221"/>
        <v>4</v>
      </c>
      <c r="G1976" s="140" t="str">
        <f t="shared" si="223"/>
        <v>3.3.4</v>
      </c>
      <c r="H1976" s="181" t="s">
        <v>1700</v>
      </c>
      <c r="I1976" s="166" t="s">
        <v>60</v>
      </c>
      <c r="J1976" s="166" t="s">
        <v>764</v>
      </c>
      <c r="K1976" s="166" t="s">
        <v>716</v>
      </c>
      <c r="L1976" s="167">
        <v>39000</v>
      </c>
      <c r="M1976" s="166">
        <v>100</v>
      </c>
      <c r="N1976" s="166">
        <v>6</v>
      </c>
      <c r="O1976" s="164">
        <f t="shared" si="218"/>
        <v>23400000</v>
      </c>
      <c r="P1976" s="166">
        <v>100</v>
      </c>
      <c r="Q1976" s="166">
        <v>6</v>
      </c>
      <c r="R1976" s="164">
        <f>$L1976*'Pivot Objective'!$C$9*P1976*Q1976</f>
        <v>26744353.669799998</v>
      </c>
      <c r="S1976" s="166">
        <v>0</v>
      </c>
      <c r="T1976" s="166">
        <v>0</v>
      </c>
      <c r="U1976" s="164">
        <f>($L1976*'Pivot Objective'!$C$9^2)*S1976*T1976</f>
        <v>0</v>
      </c>
      <c r="V1976" s="166">
        <v>0</v>
      </c>
      <c r="W1976" s="166">
        <v>0</v>
      </c>
      <c r="X1976" s="164">
        <f>($L1976*'Pivot Objective'!$C$9^3)*V1976*W1976</f>
        <v>0</v>
      </c>
      <c r="Y1976" s="166">
        <v>0</v>
      </c>
      <c r="Z1976" s="166">
        <v>0</v>
      </c>
      <c r="AA1976" s="164">
        <f>($L1976*'Pivot Objective'!$C$9^4)*Y1976*Z1976</f>
        <v>0</v>
      </c>
      <c r="AB1976" s="166">
        <v>0</v>
      </c>
      <c r="AC1976" s="166">
        <v>0</v>
      </c>
      <c r="AD1976" s="164">
        <f>($L1976*'Pivot Objective'!$C$9^5)*AB1976*AC1976</f>
        <v>0</v>
      </c>
      <c r="AE1976" s="166">
        <v>0</v>
      </c>
      <c r="AF1976" s="166">
        <v>0</v>
      </c>
      <c r="AG1976" s="164">
        <f>($L1976*'Pivot Objective'!$C$9^6)*AE1976*AF1976</f>
        <v>0</v>
      </c>
      <c r="AH1976" s="166">
        <v>100</v>
      </c>
      <c r="AI1976" s="166">
        <v>6</v>
      </c>
      <c r="AJ1976" s="164">
        <f>($L1976*'Pivot Objective'!$C$9^7)*AH1976*AI1976</f>
        <v>59611438.625345461</v>
      </c>
      <c r="AK1976" s="185">
        <f t="shared" si="219"/>
        <v>109755792.29514545</v>
      </c>
      <c r="AL1976" s="186">
        <f t="shared" si="220"/>
        <v>106559.02164577229</v>
      </c>
    </row>
    <row r="1977" spans="1:38" customFormat="1" ht="57.6" x14ac:dyDescent="0.3">
      <c r="A1977" s="140" t="s">
        <v>1486</v>
      </c>
      <c r="B1977" s="140">
        <v>3</v>
      </c>
      <c r="C1977" s="166" t="s">
        <v>696</v>
      </c>
      <c r="D1977" s="140" t="str">
        <f t="shared" si="222"/>
        <v>3</v>
      </c>
      <c r="E1977" s="166" t="s">
        <v>691</v>
      </c>
      <c r="F1977" s="140">
        <f t="shared" si="221"/>
        <v>4</v>
      </c>
      <c r="G1977" s="140" t="str">
        <f t="shared" si="223"/>
        <v>3.3.4</v>
      </c>
      <c r="H1977" s="181" t="s">
        <v>1700</v>
      </c>
      <c r="I1977" s="166" t="s">
        <v>60</v>
      </c>
      <c r="J1977" s="166" t="s">
        <v>764</v>
      </c>
      <c r="K1977" s="166" t="s">
        <v>712</v>
      </c>
      <c r="L1977" s="167">
        <f>1480/7</f>
        <v>211.42857142857142</v>
      </c>
      <c r="M1977" s="166">
        <v>58</v>
      </c>
      <c r="N1977" s="166">
        <v>5</v>
      </c>
      <c r="O1977" s="164">
        <f t="shared" si="218"/>
        <v>61314.28571428571</v>
      </c>
      <c r="P1977" s="166">
        <v>58</v>
      </c>
      <c r="Q1977" s="166">
        <v>5</v>
      </c>
      <c r="R1977" s="164">
        <f>$L1977*'Pivot Objective'!$C$9*P1977*Q1977</f>
        <v>70077.390690342843</v>
      </c>
      <c r="S1977" s="166">
        <v>0</v>
      </c>
      <c r="T1977" s="166">
        <v>0</v>
      </c>
      <c r="U1977" s="164">
        <f>($L1977*'Pivot Objective'!$C$9^2)*S1977*T1977</f>
        <v>0</v>
      </c>
      <c r="V1977" s="166">
        <v>0</v>
      </c>
      <c r="W1977" s="166">
        <v>0</v>
      </c>
      <c r="X1977" s="164">
        <f>($L1977*'Pivot Objective'!$C$9^3)*V1977*W1977</f>
        <v>0</v>
      </c>
      <c r="Y1977" s="166">
        <v>0</v>
      </c>
      <c r="Z1977" s="166">
        <v>0</v>
      </c>
      <c r="AA1977" s="164">
        <f>($L1977*'Pivot Objective'!$C$9^4)*Y1977*Z1977</f>
        <v>0</v>
      </c>
      <c r="AB1977" s="166">
        <v>0</v>
      </c>
      <c r="AC1977" s="166">
        <v>0</v>
      </c>
      <c r="AD1977" s="164">
        <f>($L1977*'Pivot Objective'!$C$9^5)*AB1977*AC1977</f>
        <v>0</v>
      </c>
      <c r="AE1977" s="166">
        <v>0</v>
      </c>
      <c r="AF1977" s="166">
        <v>0</v>
      </c>
      <c r="AG1977" s="164">
        <f>($L1977*'Pivot Objective'!$C$9^6)*AE1977*AF1977</f>
        <v>0</v>
      </c>
      <c r="AH1977" s="166">
        <v>58</v>
      </c>
      <c r="AI1977" s="166">
        <v>5</v>
      </c>
      <c r="AJ1977" s="164">
        <f>($L1977*'Pivot Objective'!$C$9^7)*AH1977*AI1977</f>
        <v>156197.98203906149</v>
      </c>
      <c r="AK1977" s="185">
        <f t="shared" si="219"/>
        <v>287589.65844369004</v>
      </c>
      <c r="AL1977" s="186">
        <f t="shared" si="220"/>
        <v>279.21326062494177</v>
      </c>
    </row>
    <row r="1978" spans="1:38" customFormat="1" ht="57.6" x14ac:dyDescent="0.3">
      <c r="A1978" s="140" t="s">
        <v>1486</v>
      </c>
      <c r="B1978" s="140">
        <v>3</v>
      </c>
      <c r="C1978" s="166" t="s">
        <v>696</v>
      </c>
      <c r="D1978" s="140" t="str">
        <f t="shared" si="222"/>
        <v>3</v>
      </c>
      <c r="E1978" s="166" t="s">
        <v>691</v>
      </c>
      <c r="F1978" s="140">
        <f t="shared" si="221"/>
        <v>4</v>
      </c>
      <c r="G1978" s="140" t="str">
        <f t="shared" si="223"/>
        <v>3.3.4</v>
      </c>
      <c r="H1978" s="181" t="s">
        <v>1700</v>
      </c>
      <c r="I1978" s="166" t="s">
        <v>60</v>
      </c>
      <c r="J1978" s="166" t="s">
        <v>764</v>
      </c>
      <c r="K1978" s="166" t="s">
        <v>709</v>
      </c>
      <c r="L1978" s="167">
        <v>35000</v>
      </c>
      <c r="M1978" s="166">
        <v>100</v>
      </c>
      <c r="N1978" s="166">
        <v>5</v>
      </c>
      <c r="O1978" s="164">
        <f t="shared" si="218"/>
        <v>17500000</v>
      </c>
      <c r="P1978" s="166">
        <v>100</v>
      </c>
      <c r="Q1978" s="166">
        <v>5</v>
      </c>
      <c r="R1978" s="164">
        <f>$L1978*'Pivot Objective'!$C$9*P1978*Q1978</f>
        <v>20001119.197499998</v>
      </c>
      <c r="S1978" s="166"/>
      <c r="T1978" s="166"/>
      <c r="U1978" s="164">
        <f>($L1978*'Pivot Objective'!$C$9^2)*S1978*T1978</f>
        <v>0</v>
      </c>
      <c r="V1978" s="166"/>
      <c r="W1978" s="166"/>
      <c r="X1978" s="164">
        <f>($L1978*'Pivot Objective'!$C$9^3)*V1978*W1978</f>
        <v>0</v>
      </c>
      <c r="Y1978" s="166"/>
      <c r="Z1978" s="166"/>
      <c r="AA1978" s="164">
        <f>($L1978*'Pivot Objective'!$C$9^4)*Y1978*Z1978</f>
        <v>0</v>
      </c>
      <c r="AB1978" s="166"/>
      <c r="AC1978" s="166"/>
      <c r="AD1978" s="164">
        <f>($L1978*'Pivot Objective'!$C$9^5)*AB1978*AC1978</f>
        <v>0</v>
      </c>
      <c r="AE1978" s="166"/>
      <c r="AF1978" s="166"/>
      <c r="AG1978" s="164">
        <f>($L1978*'Pivot Objective'!$C$9^6)*AE1978*AF1978</f>
        <v>0</v>
      </c>
      <c r="AH1978" s="166">
        <v>100</v>
      </c>
      <c r="AI1978" s="166">
        <v>5</v>
      </c>
      <c r="AJ1978" s="164">
        <f>($L1978*'Pivot Objective'!$C$9^7)*AH1978*AI1978</f>
        <v>44581204.100151524</v>
      </c>
      <c r="AK1978" s="185">
        <f t="shared" si="219"/>
        <v>82082323.297651529</v>
      </c>
      <c r="AL1978" s="186">
        <f t="shared" si="220"/>
        <v>79691.576017137413</v>
      </c>
    </row>
    <row r="1979" spans="1:38" customFormat="1" ht="57.6" x14ac:dyDescent="0.3">
      <c r="A1979" s="140" t="s">
        <v>1486</v>
      </c>
      <c r="B1979" s="140">
        <v>3</v>
      </c>
      <c r="C1979" s="166" t="s">
        <v>696</v>
      </c>
      <c r="D1979" s="140" t="str">
        <f t="shared" si="222"/>
        <v>3</v>
      </c>
      <c r="E1979" s="166" t="s">
        <v>691</v>
      </c>
      <c r="F1979" s="140">
        <f t="shared" si="221"/>
        <v>4</v>
      </c>
      <c r="G1979" s="140" t="str">
        <f t="shared" si="223"/>
        <v>3.3.4</v>
      </c>
      <c r="H1979" s="181" t="s">
        <v>1700</v>
      </c>
      <c r="I1979" s="166" t="s">
        <v>60</v>
      </c>
      <c r="J1979" s="166" t="s">
        <v>764</v>
      </c>
      <c r="K1979" s="166" t="s">
        <v>1392</v>
      </c>
      <c r="L1979" s="167">
        <f>1480/7</f>
        <v>211.42857142857142</v>
      </c>
      <c r="M1979" s="166">
        <v>22500</v>
      </c>
      <c r="N1979" s="166">
        <v>1</v>
      </c>
      <c r="O1979" s="164">
        <f t="shared" si="218"/>
        <v>4757142.8571428573</v>
      </c>
      <c r="P1979" s="166">
        <v>22500</v>
      </c>
      <c r="Q1979" s="166">
        <v>1</v>
      </c>
      <c r="R1979" s="164">
        <f>$L1979*'Pivot Objective'!$C$9*P1979*Q1979</f>
        <v>5437038.9328714283</v>
      </c>
      <c r="S1979" s="166"/>
      <c r="T1979" s="166"/>
      <c r="U1979" s="164">
        <f>($L1979*'Pivot Objective'!$C$9^2)*S1979*T1979</f>
        <v>0</v>
      </c>
      <c r="V1979" s="166"/>
      <c r="W1979" s="166"/>
      <c r="X1979" s="164">
        <f>($L1979*'Pivot Objective'!$C$9^3)*V1979*W1979</f>
        <v>0</v>
      </c>
      <c r="Y1979" s="166"/>
      <c r="Z1979" s="166"/>
      <c r="AA1979" s="164">
        <f>($L1979*'Pivot Objective'!$C$9^4)*Y1979*Z1979</f>
        <v>0</v>
      </c>
      <c r="AB1979" s="166"/>
      <c r="AC1979" s="166"/>
      <c r="AD1979" s="164">
        <f>($L1979*'Pivot Objective'!$C$9^5)*AB1979*AC1979</f>
        <v>0</v>
      </c>
      <c r="AE1979" s="166"/>
      <c r="AF1979" s="166"/>
      <c r="AG1979" s="164">
        <f>($L1979*'Pivot Objective'!$C$9^6)*AE1979*AF1979</f>
        <v>0</v>
      </c>
      <c r="AH1979" s="166">
        <v>22500</v>
      </c>
      <c r="AI1979" s="166">
        <v>1</v>
      </c>
      <c r="AJ1979" s="164">
        <f>($L1979*'Pivot Objective'!$C$9^7)*AH1979*AI1979</f>
        <v>12118808.951306494</v>
      </c>
      <c r="AK1979" s="185">
        <f t="shared" si="219"/>
        <v>22312990.741320781</v>
      </c>
      <c r="AL1979" s="186">
        <f t="shared" si="220"/>
        <v>21663.097807107555</v>
      </c>
    </row>
    <row r="1980" spans="1:38" customFormat="1" ht="72" x14ac:dyDescent="0.3">
      <c r="A1980" s="140" t="s">
        <v>1486</v>
      </c>
      <c r="B1980" s="140">
        <v>3</v>
      </c>
      <c r="C1980" s="166" t="s">
        <v>696</v>
      </c>
      <c r="D1980" s="140" t="str">
        <f t="shared" si="222"/>
        <v>3</v>
      </c>
      <c r="E1980" s="166" t="s">
        <v>691</v>
      </c>
      <c r="F1980" s="140">
        <f t="shared" si="221"/>
        <v>4</v>
      </c>
      <c r="G1980" s="140" t="str">
        <f t="shared" si="223"/>
        <v>3.3.4</v>
      </c>
      <c r="H1980" s="181" t="s">
        <v>1700</v>
      </c>
      <c r="I1980" s="166" t="s">
        <v>61</v>
      </c>
      <c r="J1980" s="166" t="s">
        <v>394</v>
      </c>
      <c r="K1980" s="166" t="s">
        <v>716</v>
      </c>
      <c r="L1980" s="167">
        <v>39000</v>
      </c>
      <c r="M1980" s="166">
        <v>100</v>
      </c>
      <c r="N1980" s="166">
        <v>5</v>
      </c>
      <c r="O1980" s="164">
        <f t="shared" si="218"/>
        <v>19500000</v>
      </c>
      <c r="P1980" s="166">
        <v>100</v>
      </c>
      <c r="Q1980" s="166">
        <v>5</v>
      </c>
      <c r="R1980" s="164">
        <f>$L1980*'Pivot Objective'!$C$9*P1980*Q1980</f>
        <v>22286961.391499996</v>
      </c>
      <c r="S1980" s="166">
        <v>120</v>
      </c>
      <c r="T1980" s="166">
        <v>5</v>
      </c>
      <c r="U1980" s="164">
        <f>($L1980*'Pivot Objective'!$C$9^2)*S1980*T1980</f>
        <v>30566686.034843788</v>
      </c>
      <c r="V1980" s="166">
        <v>0</v>
      </c>
      <c r="W1980" s="166">
        <v>0</v>
      </c>
      <c r="X1980" s="164">
        <f>($L1980*'Pivot Objective'!$C$9^3)*V1980*W1980</f>
        <v>0</v>
      </c>
      <c r="Y1980" s="166">
        <v>0</v>
      </c>
      <c r="Z1980" s="166">
        <v>0</v>
      </c>
      <c r="AA1980" s="164">
        <f>($L1980*'Pivot Objective'!$C$9^4)*Y1980*Z1980</f>
        <v>0</v>
      </c>
      <c r="AB1980" s="166">
        <v>0</v>
      </c>
      <c r="AC1980" s="166">
        <v>0</v>
      </c>
      <c r="AD1980" s="164">
        <f>($L1980*'Pivot Objective'!$C$9^5)*AB1980*AC1980</f>
        <v>0</v>
      </c>
      <c r="AE1980" s="166">
        <v>0</v>
      </c>
      <c r="AF1980" s="166">
        <v>0</v>
      </c>
      <c r="AG1980" s="164">
        <f>($L1980*'Pivot Objective'!$C$9^6)*AE1980*AF1980</f>
        <v>0</v>
      </c>
      <c r="AH1980" s="166">
        <v>100</v>
      </c>
      <c r="AI1980" s="166">
        <v>5</v>
      </c>
      <c r="AJ1980" s="164">
        <f>($L1980*'Pivot Objective'!$C$9^7)*AH1980*AI1980</f>
        <v>49676198.854454547</v>
      </c>
      <c r="AK1980" s="185">
        <f t="shared" si="219"/>
        <v>122029846.28079833</v>
      </c>
      <c r="AL1980" s="186">
        <f t="shared" si="220"/>
        <v>118475.57891339644</v>
      </c>
    </row>
    <row r="1981" spans="1:38" customFormat="1" ht="72" x14ac:dyDescent="0.3">
      <c r="A1981" s="140" t="s">
        <v>1486</v>
      </c>
      <c r="B1981" s="140">
        <v>3</v>
      </c>
      <c r="C1981" s="166" t="s">
        <v>696</v>
      </c>
      <c r="D1981" s="140" t="str">
        <f t="shared" si="222"/>
        <v>3</v>
      </c>
      <c r="E1981" s="166" t="s">
        <v>691</v>
      </c>
      <c r="F1981" s="140">
        <f t="shared" si="221"/>
        <v>4</v>
      </c>
      <c r="G1981" s="140" t="str">
        <f t="shared" si="223"/>
        <v>3.3.4</v>
      </c>
      <c r="H1981" s="181" t="s">
        <v>1700</v>
      </c>
      <c r="I1981" s="166" t="s">
        <v>61</v>
      </c>
      <c r="J1981" s="166" t="s">
        <v>394</v>
      </c>
      <c r="K1981" s="166" t="s">
        <v>709</v>
      </c>
      <c r="L1981" s="167">
        <v>35000</v>
      </c>
      <c r="M1981" s="166">
        <v>58</v>
      </c>
      <c r="N1981" s="166">
        <v>5</v>
      </c>
      <c r="O1981" s="164">
        <f t="shared" si="218"/>
        <v>10150000</v>
      </c>
      <c r="P1981" s="166">
        <v>58</v>
      </c>
      <c r="Q1981" s="166">
        <v>5</v>
      </c>
      <c r="R1981" s="164">
        <f>$L1981*'Pivot Objective'!$C$9*P1981*Q1981</f>
        <v>11600649.134549998</v>
      </c>
      <c r="S1981" s="166">
        <v>120</v>
      </c>
      <c r="T1981" s="166">
        <v>5</v>
      </c>
      <c r="U1981" s="164">
        <f>($L1981*'Pivot Objective'!$C$9^2)*S1981*T1981</f>
        <v>27431641.313321345</v>
      </c>
      <c r="V1981" s="166">
        <v>0</v>
      </c>
      <c r="W1981" s="166">
        <v>0</v>
      </c>
      <c r="X1981" s="164">
        <f>($L1981*'Pivot Objective'!$C$9^3)*V1981*W1981</f>
        <v>0</v>
      </c>
      <c r="Y1981" s="166">
        <v>0</v>
      </c>
      <c r="Z1981" s="166">
        <v>0</v>
      </c>
      <c r="AA1981" s="164">
        <f>($L1981*'Pivot Objective'!$C$9^4)*Y1981*Z1981</f>
        <v>0</v>
      </c>
      <c r="AB1981" s="166">
        <v>0</v>
      </c>
      <c r="AC1981" s="166">
        <v>0</v>
      </c>
      <c r="AD1981" s="164">
        <f>($L1981*'Pivot Objective'!$C$9^5)*AB1981*AC1981</f>
        <v>0</v>
      </c>
      <c r="AE1981" s="166">
        <v>0</v>
      </c>
      <c r="AF1981" s="166">
        <v>0</v>
      </c>
      <c r="AG1981" s="164">
        <f>($L1981*'Pivot Objective'!$C$9^6)*AE1981*AF1981</f>
        <v>0</v>
      </c>
      <c r="AH1981" s="166">
        <v>58</v>
      </c>
      <c r="AI1981" s="166">
        <v>5</v>
      </c>
      <c r="AJ1981" s="164">
        <f>($L1981*'Pivot Objective'!$C$9^7)*AH1981*AI1981</f>
        <v>25857098.378087882</v>
      </c>
      <c r="AK1981" s="185">
        <f t="shared" si="219"/>
        <v>75039388.825959221</v>
      </c>
      <c r="AL1981" s="186">
        <f t="shared" si="220"/>
        <v>72853.775559183705</v>
      </c>
    </row>
    <row r="1982" spans="1:38" customFormat="1" ht="72" x14ac:dyDescent="0.3">
      <c r="A1982" s="140" t="s">
        <v>1486</v>
      </c>
      <c r="B1982" s="140">
        <v>3</v>
      </c>
      <c r="C1982" s="166" t="s">
        <v>696</v>
      </c>
      <c r="D1982" s="140" t="str">
        <f t="shared" si="222"/>
        <v>3</v>
      </c>
      <c r="E1982" s="166" t="s">
        <v>691</v>
      </c>
      <c r="F1982" s="140">
        <f t="shared" si="221"/>
        <v>4</v>
      </c>
      <c r="G1982" s="140" t="str">
        <f t="shared" si="223"/>
        <v>3.3.4</v>
      </c>
      <c r="H1982" s="181" t="s">
        <v>1700</v>
      </c>
      <c r="I1982" s="166" t="s">
        <v>61</v>
      </c>
      <c r="J1982" s="166" t="s">
        <v>394</v>
      </c>
      <c r="K1982" s="166" t="s">
        <v>712</v>
      </c>
      <c r="L1982" s="167">
        <f>1480/7</f>
        <v>211.42857142857142</v>
      </c>
      <c r="M1982" s="166">
        <f>2*25*29</f>
        <v>1450</v>
      </c>
      <c r="N1982" s="166">
        <v>5</v>
      </c>
      <c r="O1982" s="164">
        <f t="shared" si="218"/>
        <v>1532857.142857143</v>
      </c>
      <c r="P1982" s="166">
        <f>2*25*29</f>
        <v>1450</v>
      </c>
      <c r="Q1982" s="166">
        <v>5</v>
      </c>
      <c r="R1982" s="164">
        <f>$L1982*'Pivot Objective'!$C$9*P1982*Q1982</f>
        <v>1751934.7672585712</v>
      </c>
      <c r="S1982" s="166">
        <v>28000</v>
      </c>
      <c r="T1982" s="166">
        <v>1</v>
      </c>
      <c r="U1982" s="164">
        <f>($L1982*'Pivot Objective'!$C$9^2)*S1982*T1982</f>
        <v>7733110.3130886843</v>
      </c>
      <c r="V1982" s="166">
        <v>0</v>
      </c>
      <c r="W1982" s="166">
        <v>0</v>
      </c>
      <c r="X1982" s="164">
        <f>($L1982*'Pivot Objective'!$C$9^3)*V1982*W1982</f>
        <v>0</v>
      </c>
      <c r="Y1982" s="166">
        <v>0</v>
      </c>
      <c r="Z1982" s="166">
        <v>0</v>
      </c>
      <c r="AA1982" s="164">
        <f>($L1982*'Pivot Objective'!$C$9^4)*Y1982*Z1982</f>
        <v>0</v>
      </c>
      <c r="AB1982" s="166">
        <v>0</v>
      </c>
      <c r="AC1982" s="166">
        <v>0</v>
      </c>
      <c r="AD1982" s="164">
        <f>($L1982*'Pivot Objective'!$C$9^5)*AB1982*AC1982</f>
        <v>0</v>
      </c>
      <c r="AE1982" s="166">
        <v>0</v>
      </c>
      <c r="AF1982" s="166">
        <v>0</v>
      </c>
      <c r="AG1982" s="164">
        <f>($L1982*'Pivot Objective'!$C$9^6)*AE1982*AF1982</f>
        <v>0</v>
      </c>
      <c r="AH1982" s="166">
        <f>2*25*29</f>
        <v>1450</v>
      </c>
      <c r="AI1982" s="166">
        <v>5</v>
      </c>
      <c r="AJ1982" s="164">
        <f>($L1982*'Pivot Objective'!$C$9^7)*AH1982*AI1982</f>
        <v>3904949.5509765372</v>
      </c>
      <c r="AK1982" s="185">
        <f t="shared" si="219"/>
        <v>14922851.774180936</v>
      </c>
      <c r="AL1982" s="186">
        <f t="shared" si="220"/>
        <v>14488.205606000909</v>
      </c>
    </row>
    <row r="1983" spans="1:38" customFormat="1" ht="72" x14ac:dyDescent="0.3">
      <c r="A1983" s="140" t="s">
        <v>1486</v>
      </c>
      <c r="B1983" s="140">
        <v>3</v>
      </c>
      <c r="C1983" s="166" t="s">
        <v>696</v>
      </c>
      <c r="D1983" s="140" t="str">
        <f t="shared" si="222"/>
        <v>3</v>
      </c>
      <c r="E1983" s="166" t="s">
        <v>691</v>
      </c>
      <c r="F1983" s="140">
        <f t="shared" si="221"/>
        <v>4</v>
      </c>
      <c r="G1983" s="140" t="str">
        <f t="shared" si="223"/>
        <v>3.3.4</v>
      </c>
      <c r="H1983" s="181" t="s">
        <v>1700</v>
      </c>
      <c r="I1983" s="166" t="s">
        <v>61</v>
      </c>
      <c r="J1983" s="166" t="s">
        <v>394</v>
      </c>
      <c r="K1983" s="166" t="s">
        <v>1392</v>
      </c>
      <c r="L1983" s="167">
        <f>1480/7</f>
        <v>211.42857142857142</v>
      </c>
      <c r="M1983" s="166">
        <v>22500</v>
      </c>
      <c r="N1983" s="166">
        <v>1</v>
      </c>
      <c r="O1983" s="164">
        <f t="shared" si="218"/>
        <v>4757142.8571428573</v>
      </c>
      <c r="P1983" s="166">
        <v>22500</v>
      </c>
      <c r="Q1983" s="166">
        <v>1</v>
      </c>
      <c r="R1983" s="164">
        <f>$L1983*'Pivot Objective'!$C$9*P1983*Q1983</f>
        <v>5437038.9328714283</v>
      </c>
      <c r="S1983" s="166"/>
      <c r="T1983" s="166"/>
      <c r="U1983" s="164">
        <f>($L1983*'Pivot Objective'!$C$9^2)*S1983*T1983</f>
        <v>0</v>
      </c>
      <c r="V1983" s="166"/>
      <c r="W1983" s="166"/>
      <c r="X1983" s="164">
        <f>($L1983*'Pivot Objective'!$C$9^3)*V1983*W1983</f>
        <v>0</v>
      </c>
      <c r="Y1983" s="166"/>
      <c r="Z1983" s="166"/>
      <c r="AA1983" s="164">
        <f>($L1983*'Pivot Objective'!$C$9^4)*Y1983*Z1983</f>
        <v>0</v>
      </c>
      <c r="AB1983" s="166"/>
      <c r="AC1983" s="166"/>
      <c r="AD1983" s="164">
        <f>($L1983*'Pivot Objective'!$C$9^5)*AB1983*AC1983</f>
        <v>0</v>
      </c>
      <c r="AE1983" s="166"/>
      <c r="AF1983" s="166"/>
      <c r="AG1983" s="164">
        <f>($L1983*'Pivot Objective'!$C$9^6)*AE1983*AF1983</f>
        <v>0</v>
      </c>
      <c r="AH1983" s="166">
        <v>22500</v>
      </c>
      <c r="AI1983" s="166">
        <v>1</v>
      </c>
      <c r="AJ1983" s="164">
        <f>($L1983*'Pivot Objective'!$C$9^7)*AH1983*AI1983</f>
        <v>12118808.951306494</v>
      </c>
      <c r="AK1983" s="185">
        <f t="shared" si="219"/>
        <v>22312990.741320781</v>
      </c>
      <c r="AL1983" s="186">
        <f t="shared" si="220"/>
        <v>21663.097807107555</v>
      </c>
    </row>
    <row r="1984" spans="1:38" customFormat="1" ht="72" x14ac:dyDescent="0.3">
      <c r="A1984" s="140" t="s">
        <v>1486</v>
      </c>
      <c r="B1984" s="140">
        <v>3</v>
      </c>
      <c r="C1984" s="166" t="s">
        <v>696</v>
      </c>
      <c r="D1984" s="140" t="str">
        <f t="shared" si="222"/>
        <v>3</v>
      </c>
      <c r="E1984" s="166" t="s">
        <v>691</v>
      </c>
      <c r="F1984" s="140">
        <f t="shared" si="221"/>
        <v>4</v>
      </c>
      <c r="G1984" s="140" t="str">
        <f t="shared" si="223"/>
        <v>3.3.4</v>
      </c>
      <c r="H1984" s="181" t="s">
        <v>1700</v>
      </c>
      <c r="I1984" s="166" t="s">
        <v>61</v>
      </c>
      <c r="J1984" s="166" t="s">
        <v>395</v>
      </c>
      <c r="K1984" s="166" t="s">
        <v>716</v>
      </c>
      <c r="L1984" s="167">
        <v>39000</v>
      </c>
      <c r="M1984" s="166">
        <v>25</v>
      </c>
      <c r="N1984" s="166">
        <v>6</v>
      </c>
      <c r="O1984" s="164">
        <f t="shared" si="218"/>
        <v>5850000</v>
      </c>
      <c r="P1984" s="166">
        <v>25</v>
      </c>
      <c r="Q1984" s="166">
        <v>6</v>
      </c>
      <c r="R1984" s="164">
        <f>$L1984*'Pivot Objective'!$C$9*P1984*Q1984</f>
        <v>6686088.4174499996</v>
      </c>
      <c r="S1984" s="166">
        <v>1100</v>
      </c>
      <c r="T1984" s="166">
        <v>5</v>
      </c>
      <c r="U1984" s="164">
        <f>($L1984*'Pivot Objective'!$C$9^2)*S1984*T1984</f>
        <v>280194621.98606801</v>
      </c>
      <c r="V1984" s="166">
        <v>0</v>
      </c>
      <c r="W1984" s="166">
        <v>0</v>
      </c>
      <c r="X1984" s="164">
        <f>($L1984*'Pivot Objective'!$C$9^3)*V1984*W1984</f>
        <v>0</v>
      </c>
      <c r="Y1984" s="166">
        <v>0</v>
      </c>
      <c r="Z1984" s="166">
        <v>0</v>
      </c>
      <c r="AA1984" s="164">
        <f>($L1984*'Pivot Objective'!$C$9^4)*Y1984*Z1984</f>
        <v>0</v>
      </c>
      <c r="AB1984" s="166">
        <v>0</v>
      </c>
      <c r="AC1984" s="166">
        <v>0</v>
      </c>
      <c r="AD1984" s="164">
        <f>($L1984*'Pivot Objective'!$C$9^5)*AB1984*AC1984</f>
        <v>0</v>
      </c>
      <c r="AE1984" s="166">
        <v>0</v>
      </c>
      <c r="AF1984" s="166">
        <v>0</v>
      </c>
      <c r="AG1984" s="164">
        <f>($L1984*'Pivot Objective'!$C$9^6)*AE1984*AF1984</f>
        <v>0</v>
      </c>
      <c r="AH1984" s="166">
        <v>25</v>
      </c>
      <c r="AI1984" s="166">
        <v>6</v>
      </c>
      <c r="AJ1984" s="164">
        <f>($L1984*'Pivot Objective'!$C$9^7)*AH1984*AI1984</f>
        <v>14902859.656336365</v>
      </c>
      <c r="AK1984" s="185">
        <f t="shared" si="219"/>
        <v>307633570.05985439</v>
      </c>
      <c r="AL1984" s="186">
        <f t="shared" si="220"/>
        <v>298673.36899014987</v>
      </c>
    </row>
    <row r="1985" spans="1:38" customFormat="1" ht="72" x14ac:dyDescent="0.3">
      <c r="A1985" s="140" t="s">
        <v>1486</v>
      </c>
      <c r="B1985" s="140">
        <v>3</v>
      </c>
      <c r="C1985" s="166" t="s">
        <v>696</v>
      </c>
      <c r="D1985" s="140" t="str">
        <f t="shared" si="222"/>
        <v>3</v>
      </c>
      <c r="E1985" s="166" t="s">
        <v>691</v>
      </c>
      <c r="F1985" s="140">
        <f t="shared" si="221"/>
        <v>4</v>
      </c>
      <c r="G1985" s="140" t="str">
        <f t="shared" si="223"/>
        <v>3.3.4</v>
      </c>
      <c r="H1985" s="181" t="s">
        <v>1700</v>
      </c>
      <c r="I1985" s="166" t="s">
        <v>61</v>
      </c>
      <c r="J1985" s="166" t="s">
        <v>395</v>
      </c>
      <c r="K1985" s="166" t="s">
        <v>709</v>
      </c>
      <c r="L1985" s="167">
        <v>35000</v>
      </c>
      <c r="M1985" s="166">
        <v>25</v>
      </c>
      <c r="N1985" s="166">
        <v>5</v>
      </c>
      <c r="O1985" s="164">
        <f t="shared" si="218"/>
        <v>4375000</v>
      </c>
      <c r="P1985" s="166">
        <v>25</v>
      </c>
      <c r="Q1985" s="166">
        <v>5</v>
      </c>
      <c r="R1985" s="164">
        <f>$L1985*'Pivot Objective'!$C$9*P1985*Q1985</f>
        <v>5000279.7993749995</v>
      </c>
      <c r="S1985" s="166">
        <v>1100</v>
      </c>
      <c r="T1985" s="166">
        <v>5</v>
      </c>
      <c r="U1985" s="164">
        <f>($L1985*'Pivot Objective'!$C$9^2)*S1985*T1985</f>
        <v>251456712.03877899</v>
      </c>
      <c r="V1985" s="166">
        <v>0</v>
      </c>
      <c r="W1985" s="166">
        <v>0</v>
      </c>
      <c r="X1985" s="164">
        <f>($L1985*'Pivot Objective'!$C$9^3)*V1985*W1985</f>
        <v>0</v>
      </c>
      <c r="Y1985" s="166">
        <v>0</v>
      </c>
      <c r="Z1985" s="166">
        <v>0</v>
      </c>
      <c r="AA1985" s="164">
        <f>($L1985*'Pivot Objective'!$C$9^4)*Y1985*Z1985</f>
        <v>0</v>
      </c>
      <c r="AB1985" s="166">
        <v>0</v>
      </c>
      <c r="AC1985" s="166">
        <v>0</v>
      </c>
      <c r="AD1985" s="164">
        <f>($L1985*'Pivot Objective'!$C$9^5)*AB1985*AC1985</f>
        <v>0</v>
      </c>
      <c r="AE1985" s="166">
        <v>0</v>
      </c>
      <c r="AF1985" s="166">
        <v>0</v>
      </c>
      <c r="AG1985" s="164">
        <f>($L1985*'Pivot Objective'!$C$9^6)*AE1985*AF1985</f>
        <v>0</v>
      </c>
      <c r="AH1985" s="166">
        <v>25</v>
      </c>
      <c r="AI1985" s="166">
        <v>5</v>
      </c>
      <c r="AJ1985" s="164">
        <f>($L1985*'Pivot Objective'!$C$9^7)*AH1985*AI1985</f>
        <v>11145301.025037881</v>
      </c>
      <c r="AK1985" s="185">
        <f t="shared" si="219"/>
        <v>271977292.86319184</v>
      </c>
      <c r="AL1985" s="186">
        <f t="shared" si="220"/>
        <v>264055.62413902121</v>
      </c>
    </row>
    <row r="1986" spans="1:38" customFormat="1" ht="72" x14ac:dyDescent="0.3">
      <c r="A1986" s="140" t="s">
        <v>1486</v>
      </c>
      <c r="B1986" s="140">
        <v>3</v>
      </c>
      <c r="C1986" s="166" t="s">
        <v>696</v>
      </c>
      <c r="D1986" s="140" t="str">
        <f t="shared" si="222"/>
        <v>3</v>
      </c>
      <c r="E1986" s="166" t="s">
        <v>691</v>
      </c>
      <c r="F1986" s="140">
        <f t="shared" si="221"/>
        <v>4</v>
      </c>
      <c r="G1986" s="140" t="str">
        <f t="shared" si="223"/>
        <v>3.3.4</v>
      </c>
      <c r="H1986" s="181" t="s">
        <v>1700</v>
      </c>
      <c r="I1986" s="166" t="s">
        <v>61</v>
      </c>
      <c r="J1986" s="166" t="s">
        <v>395</v>
      </c>
      <c r="K1986" s="166" t="s">
        <v>712</v>
      </c>
      <c r="L1986" s="167">
        <f>1480/7</f>
        <v>211.42857142857142</v>
      </c>
      <c r="M1986" s="166">
        <f>2*25*9</f>
        <v>450</v>
      </c>
      <c r="N1986" s="166">
        <v>5</v>
      </c>
      <c r="O1986" s="164">
        <f t="shared" si="218"/>
        <v>475714.28571428568</v>
      </c>
      <c r="P1986" s="166">
        <f>2*25*9</f>
        <v>450</v>
      </c>
      <c r="Q1986" s="166">
        <v>5</v>
      </c>
      <c r="R1986" s="164">
        <f>$L1986*'Pivot Objective'!$C$9*P1986*Q1986</f>
        <v>543703.89328714274</v>
      </c>
      <c r="S1986" s="166">
        <v>100000</v>
      </c>
      <c r="T1986" s="166">
        <v>1</v>
      </c>
      <c r="U1986" s="164">
        <f>($L1986*'Pivot Objective'!$C$9^2)*S1986*T1986</f>
        <v>27618251.118173875</v>
      </c>
      <c r="V1986" s="166">
        <v>0</v>
      </c>
      <c r="W1986" s="166">
        <v>0</v>
      </c>
      <c r="X1986" s="164">
        <f>($L1986*'Pivot Objective'!$C$9^3)*V1986*W1986</f>
        <v>0</v>
      </c>
      <c r="Y1986" s="166">
        <v>0</v>
      </c>
      <c r="Z1986" s="166">
        <v>0</v>
      </c>
      <c r="AA1986" s="164">
        <f>($L1986*'Pivot Objective'!$C$9^4)*Y1986*Z1986</f>
        <v>0</v>
      </c>
      <c r="AB1986" s="166">
        <v>0</v>
      </c>
      <c r="AC1986" s="166">
        <v>0</v>
      </c>
      <c r="AD1986" s="164">
        <f>($L1986*'Pivot Objective'!$C$9^5)*AB1986*AC1986</f>
        <v>0</v>
      </c>
      <c r="AE1986" s="166">
        <v>0</v>
      </c>
      <c r="AF1986" s="166">
        <v>0</v>
      </c>
      <c r="AG1986" s="164">
        <f>($L1986*'Pivot Objective'!$C$9^6)*AE1986*AF1986</f>
        <v>0</v>
      </c>
      <c r="AH1986" s="166">
        <f>2*25*9</f>
        <v>450</v>
      </c>
      <c r="AI1986" s="166">
        <v>5</v>
      </c>
      <c r="AJ1986" s="164">
        <f>($L1986*'Pivot Objective'!$C$9^7)*AH1986*AI1986</f>
        <v>1211880.8951306494</v>
      </c>
      <c r="AK1986" s="185">
        <f t="shared" si="219"/>
        <v>29849550.192305952</v>
      </c>
      <c r="AL1986" s="186">
        <f t="shared" si="220"/>
        <v>28980.145817772769</v>
      </c>
    </row>
    <row r="1987" spans="1:38" customFormat="1" ht="72" x14ac:dyDescent="0.3">
      <c r="A1987" s="140" t="s">
        <v>1486</v>
      </c>
      <c r="B1987" s="140">
        <v>3</v>
      </c>
      <c r="C1987" s="166" t="s">
        <v>696</v>
      </c>
      <c r="D1987" s="140" t="str">
        <f t="shared" si="222"/>
        <v>3</v>
      </c>
      <c r="E1987" s="166" t="s">
        <v>691</v>
      </c>
      <c r="F1987" s="140">
        <f t="shared" si="221"/>
        <v>4</v>
      </c>
      <c r="G1987" s="140" t="str">
        <f t="shared" si="223"/>
        <v>3.3.4</v>
      </c>
      <c r="H1987" s="181" t="s">
        <v>1700</v>
      </c>
      <c r="I1987" s="166" t="s">
        <v>61</v>
      </c>
      <c r="J1987" s="166" t="s">
        <v>395</v>
      </c>
      <c r="K1987" s="166" t="s">
        <v>1392</v>
      </c>
      <c r="L1987" s="167">
        <f>1480/7</f>
        <v>211.42857142857142</v>
      </c>
      <c r="M1987" s="166">
        <f>2*135*9</f>
        <v>2430</v>
      </c>
      <c r="N1987" s="166">
        <v>1</v>
      </c>
      <c r="O1987" s="164">
        <f t="shared" ref="O1987:O2050" si="224">$L1987*M1987*N1987</f>
        <v>513771.42857142852</v>
      </c>
      <c r="P1987" s="166">
        <f>2*135*9</f>
        <v>2430</v>
      </c>
      <c r="Q1987" s="166">
        <v>1</v>
      </c>
      <c r="R1987" s="164">
        <f>$L1987*'Pivot Objective'!$C$9*P1987*Q1987</f>
        <v>587200.20475011424</v>
      </c>
      <c r="S1987" s="166"/>
      <c r="T1987" s="166"/>
      <c r="U1987" s="164">
        <f>($L1987*'Pivot Objective'!$C$9^2)*S1987*T1987</f>
        <v>0</v>
      </c>
      <c r="V1987" s="166"/>
      <c r="W1987" s="166"/>
      <c r="X1987" s="164">
        <f>($L1987*'Pivot Objective'!$C$9^3)*V1987*W1987</f>
        <v>0</v>
      </c>
      <c r="Y1987" s="166"/>
      <c r="Z1987" s="166"/>
      <c r="AA1987" s="164">
        <f>($L1987*'Pivot Objective'!$C$9^4)*Y1987*Z1987</f>
        <v>0</v>
      </c>
      <c r="AB1987" s="166"/>
      <c r="AC1987" s="166"/>
      <c r="AD1987" s="164">
        <f>($L1987*'Pivot Objective'!$C$9^5)*AB1987*AC1987</f>
        <v>0</v>
      </c>
      <c r="AE1987" s="166"/>
      <c r="AF1987" s="166"/>
      <c r="AG1987" s="164">
        <f>($L1987*'Pivot Objective'!$C$9^6)*AE1987*AF1987</f>
        <v>0</v>
      </c>
      <c r="AH1987" s="166">
        <f>2*135*9</f>
        <v>2430</v>
      </c>
      <c r="AI1987" s="166">
        <v>1</v>
      </c>
      <c r="AJ1987" s="164">
        <f>($L1987*'Pivot Objective'!$C$9^7)*AH1987*AI1987</f>
        <v>1308831.3667411015</v>
      </c>
      <c r="AK1987" s="185">
        <f t="shared" ref="AK1987:AK2050" si="225">O1987+R1987+U1987+X1987+AA1987+AD1987+AG1987+AJ1987</f>
        <v>2409803.0000626445</v>
      </c>
      <c r="AL1987" s="186">
        <f t="shared" ref="AL1987:AL2050" si="226">AK1987/$AP$2</f>
        <v>2339.6145631676159</v>
      </c>
    </row>
    <row r="1988" spans="1:38" customFormat="1" ht="43.2" x14ac:dyDescent="0.3">
      <c r="A1988" s="140" t="s">
        <v>1486</v>
      </c>
      <c r="B1988" s="140">
        <v>3</v>
      </c>
      <c r="C1988" s="166" t="s">
        <v>696</v>
      </c>
      <c r="D1988" s="140" t="str">
        <f t="shared" si="222"/>
        <v>3</v>
      </c>
      <c r="E1988" s="166" t="s">
        <v>691</v>
      </c>
      <c r="F1988" s="140">
        <f t="shared" si="221"/>
        <v>4</v>
      </c>
      <c r="G1988" s="140" t="str">
        <f t="shared" si="223"/>
        <v>3.3.4</v>
      </c>
      <c r="H1988" s="181" t="s">
        <v>1700</v>
      </c>
      <c r="I1988" s="166" t="s">
        <v>62</v>
      </c>
      <c r="J1988" s="166" t="s">
        <v>764</v>
      </c>
      <c r="K1988" s="166" t="s">
        <v>716</v>
      </c>
      <c r="L1988" s="167">
        <v>39000</v>
      </c>
      <c r="M1988" s="166">
        <v>100</v>
      </c>
      <c r="N1988" s="166">
        <v>6</v>
      </c>
      <c r="O1988" s="164">
        <f t="shared" si="224"/>
        <v>23400000</v>
      </c>
      <c r="P1988" s="166">
        <v>100</v>
      </c>
      <c r="Q1988" s="166">
        <v>6</v>
      </c>
      <c r="R1988" s="164">
        <f>$L1988*'Pivot Objective'!$C$9*P1988*Q1988</f>
        <v>26744353.669799998</v>
      </c>
      <c r="S1988" s="166">
        <v>0</v>
      </c>
      <c r="T1988" s="166">
        <v>0</v>
      </c>
      <c r="U1988" s="164">
        <f>($L1988*'Pivot Objective'!$C$9^2)*S1988*T1988</f>
        <v>0</v>
      </c>
      <c r="V1988" s="166">
        <v>0</v>
      </c>
      <c r="W1988" s="166">
        <v>0</v>
      </c>
      <c r="X1988" s="164">
        <f>($L1988*'Pivot Objective'!$C$9^3)*V1988*W1988</f>
        <v>0</v>
      </c>
      <c r="Y1988" s="166">
        <v>0</v>
      </c>
      <c r="Z1988" s="166">
        <v>0</v>
      </c>
      <c r="AA1988" s="164">
        <f>($L1988*'Pivot Objective'!$C$9^4)*Y1988*Z1988</f>
        <v>0</v>
      </c>
      <c r="AB1988" s="166">
        <v>0</v>
      </c>
      <c r="AC1988" s="166">
        <v>0</v>
      </c>
      <c r="AD1988" s="164">
        <f>($L1988*'Pivot Objective'!$C$9^5)*AB1988*AC1988</f>
        <v>0</v>
      </c>
      <c r="AE1988" s="166">
        <v>0</v>
      </c>
      <c r="AF1988" s="166">
        <v>0</v>
      </c>
      <c r="AG1988" s="164">
        <f>($L1988*'Pivot Objective'!$C$9^6)*AE1988*AF1988</f>
        <v>0</v>
      </c>
      <c r="AH1988" s="166">
        <v>100</v>
      </c>
      <c r="AI1988" s="166">
        <v>6</v>
      </c>
      <c r="AJ1988" s="164">
        <f>($L1988*'Pivot Objective'!$C$9^7)*AH1988*AI1988</f>
        <v>59611438.625345461</v>
      </c>
      <c r="AK1988" s="185">
        <f t="shared" si="225"/>
        <v>109755792.29514545</v>
      </c>
      <c r="AL1988" s="186">
        <f t="shared" si="226"/>
        <v>106559.02164577229</v>
      </c>
    </row>
    <row r="1989" spans="1:38" customFormat="1" ht="43.2" x14ac:dyDescent="0.3">
      <c r="A1989" s="140" t="s">
        <v>1486</v>
      </c>
      <c r="B1989" s="140">
        <v>3</v>
      </c>
      <c r="C1989" s="166" t="s">
        <v>696</v>
      </c>
      <c r="D1989" s="140" t="str">
        <f t="shared" si="222"/>
        <v>3</v>
      </c>
      <c r="E1989" s="166" t="s">
        <v>691</v>
      </c>
      <c r="F1989" s="140">
        <f t="shared" si="221"/>
        <v>4</v>
      </c>
      <c r="G1989" s="140" t="str">
        <f t="shared" si="223"/>
        <v>3.3.4</v>
      </c>
      <c r="H1989" s="181" t="s">
        <v>1700</v>
      </c>
      <c r="I1989" s="166" t="s">
        <v>62</v>
      </c>
      <c r="J1989" s="166" t="s">
        <v>764</v>
      </c>
      <c r="K1989" s="166" t="s">
        <v>709</v>
      </c>
      <c r="L1989" s="167">
        <v>35000</v>
      </c>
      <c r="M1989" s="166">
        <v>58</v>
      </c>
      <c r="N1989" s="166">
        <v>5</v>
      </c>
      <c r="O1989" s="164">
        <f t="shared" si="224"/>
        <v>10150000</v>
      </c>
      <c r="P1989" s="166">
        <v>58</v>
      </c>
      <c r="Q1989" s="166">
        <v>5</v>
      </c>
      <c r="R1989" s="164">
        <f>$L1989*'Pivot Objective'!$C$9*P1989*Q1989</f>
        <v>11600649.134549998</v>
      </c>
      <c r="S1989" s="166">
        <v>0</v>
      </c>
      <c r="T1989" s="166">
        <v>0</v>
      </c>
      <c r="U1989" s="164">
        <f>($L1989*'Pivot Objective'!$C$9^2)*S1989*T1989</f>
        <v>0</v>
      </c>
      <c r="V1989" s="166">
        <v>0</v>
      </c>
      <c r="W1989" s="166">
        <v>0</v>
      </c>
      <c r="X1989" s="164">
        <f>($L1989*'Pivot Objective'!$C$9^3)*V1989*W1989</f>
        <v>0</v>
      </c>
      <c r="Y1989" s="166">
        <v>0</v>
      </c>
      <c r="Z1989" s="166">
        <v>0</v>
      </c>
      <c r="AA1989" s="164">
        <f>($L1989*'Pivot Objective'!$C$9^4)*Y1989*Z1989</f>
        <v>0</v>
      </c>
      <c r="AB1989" s="166">
        <v>0</v>
      </c>
      <c r="AC1989" s="166">
        <v>0</v>
      </c>
      <c r="AD1989" s="164">
        <f>($L1989*'Pivot Objective'!$C$9^5)*AB1989*AC1989</f>
        <v>0</v>
      </c>
      <c r="AE1989" s="166">
        <v>0</v>
      </c>
      <c r="AF1989" s="166">
        <v>0</v>
      </c>
      <c r="AG1989" s="164">
        <f>($L1989*'Pivot Objective'!$C$9^6)*AE1989*AF1989</f>
        <v>0</v>
      </c>
      <c r="AH1989" s="166">
        <v>58</v>
      </c>
      <c r="AI1989" s="166">
        <v>5</v>
      </c>
      <c r="AJ1989" s="164">
        <f>($L1989*'Pivot Objective'!$C$9^7)*AH1989*AI1989</f>
        <v>25857098.378087882</v>
      </c>
      <c r="AK1989" s="185">
        <f t="shared" si="225"/>
        <v>47607747.512637883</v>
      </c>
      <c r="AL1989" s="186">
        <f t="shared" si="226"/>
        <v>46221.114089939692</v>
      </c>
    </row>
    <row r="1990" spans="1:38" customFormat="1" ht="43.2" x14ac:dyDescent="0.3">
      <c r="A1990" s="140" t="s">
        <v>1486</v>
      </c>
      <c r="B1990" s="140">
        <v>3</v>
      </c>
      <c r="C1990" s="166" t="s">
        <v>696</v>
      </c>
      <c r="D1990" s="140" t="str">
        <f t="shared" si="222"/>
        <v>3</v>
      </c>
      <c r="E1990" s="166" t="s">
        <v>691</v>
      </c>
      <c r="F1990" s="140">
        <f t="shared" si="221"/>
        <v>4</v>
      </c>
      <c r="G1990" s="140" t="str">
        <f t="shared" si="223"/>
        <v>3.3.4</v>
      </c>
      <c r="H1990" s="181" t="s">
        <v>1700</v>
      </c>
      <c r="I1990" s="166" t="s">
        <v>62</v>
      </c>
      <c r="J1990" s="166" t="s">
        <v>764</v>
      </c>
      <c r="K1990" s="166" t="s">
        <v>712</v>
      </c>
      <c r="L1990" s="167">
        <f>1480/7</f>
        <v>211.42857142857142</v>
      </c>
      <c r="M1990" s="166">
        <f>2*25*29</f>
        <v>1450</v>
      </c>
      <c r="N1990" s="166">
        <v>5</v>
      </c>
      <c r="O1990" s="164">
        <f t="shared" si="224"/>
        <v>1532857.142857143</v>
      </c>
      <c r="P1990" s="166">
        <f>2*25*29</f>
        <v>1450</v>
      </c>
      <c r="Q1990" s="166">
        <v>5</v>
      </c>
      <c r="R1990" s="164">
        <f>$L1990*'Pivot Objective'!$C$9*P1990*Q1990</f>
        <v>1751934.7672585712</v>
      </c>
      <c r="S1990" s="166">
        <v>0</v>
      </c>
      <c r="T1990" s="166">
        <v>0</v>
      </c>
      <c r="U1990" s="164">
        <f>($L1990*'Pivot Objective'!$C$9^2)*S1990*T1990</f>
        <v>0</v>
      </c>
      <c r="V1990" s="166">
        <v>0</v>
      </c>
      <c r="W1990" s="166">
        <v>0</v>
      </c>
      <c r="X1990" s="164">
        <f>($L1990*'Pivot Objective'!$C$9^3)*V1990*W1990</f>
        <v>0</v>
      </c>
      <c r="Y1990" s="166">
        <v>0</v>
      </c>
      <c r="Z1990" s="166">
        <v>0</v>
      </c>
      <c r="AA1990" s="164">
        <f>($L1990*'Pivot Objective'!$C$9^4)*Y1990*Z1990</f>
        <v>0</v>
      </c>
      <c r="AB1990" s="166">
        <v>0</v>
      </c>
      <c r="AC1990" s="166">
        <v>0</v>
      </c>
      <c r="AD1990" s="164">
        <f>($L1990*'Pivot Objective'!$C$9^5)*AB1990*AC1990</f>
        <v>0</v>
      </c>
      <c r="AE1990" s="166">
        <v>0</v>
      </c>
      <c r="AF1990" s="166">
        <v>0</v>
      </c>
      <c r="AG1990" s="164">
        <f>($L1990*'Pivot Objective'!$C$9^6)*AE1990*AF1990</f>
        <v>0</v>
      </c>
      <c r="AH1990" s="166">
        <f>2*25*29</f>
        <v>1450</v>
      </c>
      <c r="AI1990" s="166">
        <v>5</v>
      </c>
      <c r="AJ1990" s="164">
        <f>($L1990*'Pivot Objective'!$C$9^7)*AH1990*AI1990</f>
        <v>3904949.5509765372</v>
      </c>
      <c r="AK1990" s="185">
        <f t="shared" si="225"/>
        <v>7189741.4610922514</v>
      </c>
      <c r="AL1990" s="186">
        <f t="shared" si="226"/>
        <v>6980.3315156235449</v>
      </c>
    </row>
    <row r="1991" spans="1:38" customFormat="1" ht="43.2" x14ac:dyDescent="0.3">
      <c r="A1991" s="140" t="s">
        <v>1486</v>
      </c>
      <c r="B1991" s="140">
        <v>3</v>
      </c>
      <c r="C1991" s="166" t="s">
        <v>696</v>
      </c>
      <c r="D1991" s="140" t="str">
        <f t="shared" si="222"/>
        <v>3</v>
      </c>
      <c r="E1991" s="166" t="s">
        <v>691</v>
      </c>
      <c r="F1991" s="140">
        <f t="shared" si="221"/>
        <v>4</v>
      </c>
      <c r="G1991" s="140" t="str">
        <f t="shared" si="223"/>
        <v>3.3.4</v>
      </c>
      <c r="H1991" s="181" t="s">
        <v>1700</v>
      </c>
      <c r="I1991" s="166" t="s">
        <v>62</v>
      </c>
      <c r="J1991" s="166" t="s">
        <v>764</v>
      </c>
      <c r="K1991" s="166" t="s">
        <v>1392</v>
      </c>
      <c r="L1991" s="167">
        <f>1480/7</f>
        <v>211.42857142857142</v>
      </c>
      <c r="M1991" s="166">
        <v>22500</v>
      </c>
      <c r="N1991" s="166">
        <v>1</v>
      </c>
      <c r="O1991" s="164">
        <f t="shared" si="224"/>
        <v>4757142.8571428573</v>
      </c>
      <c r="P1991" s="166">
        <v>22500</v>
      </c>
      <c r="Q1991" s="166">
        <v>1</v>
      </c>
      <c r="R1991" s="164">
        <f>$L1991*'Pivot Objective'!$C$9*P1991*Q1991</f>
        <v>5437038.9328714283</v>
      </c>
      <c r="S1991" s="166"/>
      <c r="T1991" s="166"/>
      <c r="U1991" s="164">
        <f>($L1991*'Pivot Objective'!$C$9^2)*S1991*T1991</f>
        <v>0</v>
      </c>
      <c r="V1991" s="166"/>
      <c r="W1991" s="166"/>
      <c r="X1991" s="164">
        <f>($L1991*'Pivot Objective'!$C$9^3)*V1991*W1991</f>
        <v>0</v>
      </c>
      <c r="Y1991" s="166"/>
      <c r="Z1991" s="166"/>
      <c r="AA1991" s="164">
        <f>($L1991*'Pivot Objective'!$C$9^4)*Y1991*Z1991</f>
        <v>0</v>
      </c>
      <c r="AB1991" s="166"/>
      <c r="AC1991" s="166"/>
      <c r="AD1991" s="164">
        <f>($L1991*'Pivot Objective'!$C$9^5)*AB1991*AC1991</f>
        <v>0</v>
      </c>
      <c r="AE1991" s="166"/>
      <c r="AF1991" s="166"/>
      <c r="AG1991" s="164">
        <f>($L1991*'Pivot Objective'!$C$9^6)*AE1991*AF1991</f>
        <v>0</v>
      </c>
      <c r="AH1991" s="166">
        <v>22500</v>
      </c>
      <c r="AI1991" s="166">
        <v>1</v>
      </c>
      <c r="AJ1991" s="164">
        <f>($L1991*'Pivot Objective'!$C$9^7)*AH1991*AI1991</f>
        <v>12118808.951306494</v>
      </c>
      <c r="AK1991" s="185">
        <f t="shared" si="225"/>
        <v>22312990.741320781</v>
      </c>
      <c r="AL1991" s="186">
        <f t="shared" si="226"/>
        <v>21663.097807107555</v>
      </c>
    </row>
    <row r="1992" spans="1:38" customFormat="1" ht="43.2" x14ac:dyDescent="0.3">
      <c r="A1992" s="140" t="s">
        <v>1486</v>
      </c>
      <c r="B1992" s="140">
        <v>3</v>
      </c>
      <c r="C1992" s="166" t="s">
        <v>696</v>
      </c>
      <c r="D1992" s="140" t="str">
        <f t="shared" si="222"/>
        <v>3</v>
      </c>
      <c r="E1992" s="166" t="s">
        <v>691</v>
      </c>
      <c r="F1992" s="140">
        <f t="shared" si="221"/>
        <v>4</v>
      </c>
      <c r="G1992" s="140" t="str">
        <f t="shared" si="223"/>
        <v>3.3.4</v>
      </c>
      <c r="H1992" s="181" t="s">
        <v>1700</v>
      </c>
      <c r="I1992" s="166" t="s">
        <v>63</v>
      </c>
      <c r="J1992" s="166" t="s">
        <v>397</v>
      </c>
      <c r="K1992" s="166" t="s">
        <v>746</v>
      </c>
      <c r="L1992" s="167">
        <v>1080000</v>
      </c>
      <c r="M1992" s="166">
        <v>0</v>
      </c>
      <c r="N1992" s="166">
        <v>0</v>
      </c>
      <c r="O1992" s="164">
        <f t="shared" si="224"/>
        <v>0</v>
      </c>
      <c r="P1992" s="166">
        <v>0</v>
      </c>
      <c r="Q1992" s="166">
        <v>0</v>
      </c>
      <c r="R1992" s="164">
        <f>$L1992*'Pivot Objective'!$C$9*P1992*Q1992</f>
        <v>0</v>
      </c>
      <c r="S1992" s="166">
        <v>58</v>
      </c>
      <c r="T1992" s="166">
        <v>1</v>
      </c>
      <c r="U1992" s="164">
        <f>($L1992*'Pivot Objective'!$C$9^2)*S1992*T1992</f>
        <v>81824667.231735677</v>
      </c>
      <c r="V1992" s="166">
        <v>0</v>
      </c>
      <c r="W1992" s="166">
        <v>0</v>
      </c>
      <c r="X1992" s="164">
        <f>($L1992*'Pivot Objective'!$C$9^3)*V1992*W1992</f>
        <v>0</v>
      </c>
      <c r="Y1992" s="166">
        <v>0</v>
      </c>
      <c r="Z1992" s="166">
        <v>0</v>
      </c>
      <c r="AA1992" s="164">
        <f>($L1992*'Pivot Objective'!$C$9^4)*Y1992*Z1992</f>
        <v>0</v>
      </c>
      <c r="AB1992" s="166">
        <v>0</v>
      </c>
      <c r="AC1992" s="166">
        <v>0</v>
      </c>
      <c r="AD1992" s="164">
        <f>($L1992*'Pivot Objective'!$C$9^5)*AB1992*AC1992</f>
        <v>0</v>
      </c>
      <c r="AE1992" s="166">
        <v>0</v>
      </c>
      <c r="AF1992" s="166">
        <v>0</v>
      </c>
      <c r="AG1992" s="164">
        <f>($L1992*'Pivot Objective'!$C$9^6)*AE1992*AF1992</f>
        <v>0</v>
      </c>
      <c r="AH1992" s="166">
        <v>0</v>
      </c>
      <c r="AI1992" s="166">
        <v>0</v>
      </c>
      <c r="AJ1992" s="164">
        <f>($L1992*'Pivot Objective'!$C$9^7)*AH1992*AI1992</f>
        <v>0</v>
      </c>
      <c r="AK1992" s="185">
        <f t="shared" si="225"/>
        <v>81824667.231735677</v>
      </c>
      <c r="AL1992" s="186">
        <f t="shared" si="226"/>
        <v>79441.424496830747</v>
      </c>
    </row>
    <row r="1993" spans="1:38" customFormat="1" ht="43.2" x14ac:dyDescent="0.3">
      <c r="A1993" s="140" t="s">
        <v>1486</v>
      </c>
      <c r="B1993" s="140">
        <v>3</v>
      </c>
      <c r="C1993" s="166" t="s">
        <v>696</v>
      </c>
      <c r="D1993" s="140" t="str">
        <f t="shared" si="222"/>
        <v>3</v>
      </c>
      <c r="E1993" s="166" t="s">
        <v>691</v>
      </c>
      <c r="F1993" s="140">
        <f t="shared" si="221"/>
        <v>4</v>
      </c>
      <c r="G1993" s="140" t="str">
        <f t="shared" si="223"/>
        <v>3.3.4</v>
      </c>
      <c r="H1993" s="181" t="s">
        <v>1700</v>
      </c>
      <c r="I1993" s="166" t="s">
        <v>63</v>
      </c>
      <c r="J1993" s="166" t="s">
        <v>397</v>
      </c>
      <c r="K1993" s="166" t="s">
        <v>766</v>
      </c>
      <c r="L1993" s="167">
        <v>0</v>
      </c>
      <c r="M1993" s="166">
        <v>0</v>
      </c>
      <c r="N1993" s="166">
        <v>0</v>
      </c>
      <c r="O1993" s="164">
        <f t="shared" si="224"/>
        <v>0</v>
      </c>
      <c r="P1993" s="166">
        <v>0</v>
      </c>
      <c r="Q1993" s="166">
        <v>0</v>
      </c>
      <c r="R1993" s="164">
        <f>$L1993*'Pivot Objective'!$C$9*P1993*Q1993</f>
        <v>0</v>
      </c>
      <c r="S1993" s="166">
        <v>1</v>
      </c>
      <c r="T1993" s="166">
        <v>1</v>
      </c>
      <c r="U1993" s="164">
        <f>($L1993*'Pivot Objective'!$C$9^2)*S1993*T1993</f>
        <v>0</v>
      </c>
      <c r="V1993" s="166">
        <v>0</v>
      </c>
      <c r="W1993" s="166">
        <v>0</v>
      </c>
      <c r="X1993" s="164">
        <f>($L1993*'Pivot Objective'!$C$9^3)*V1993*W1993</f>
        <v>0</v>
      </c>
      <c r="Y1993" s="166">
        <v>0</v>
      </c>
      <c r="Z1993" s="166">
        <v>0</v>
      </c>
      <c r="AA1993" s="164">
        <f>($L1993*'Pivot Objective'!$C$9^4)*Y1993*Z1993</f>
        <v>0</v>
      </c>
      <c r="AB1993" s="166">
        <v>0</v>
      </c>
      <c r="AC1993" s="166">
        <v>0</v>
      </c>
      <c r="AD1993" s="164">
        <f>($L1993*'Pivot Objective'!$C$9^5)*AB1993*AC1993</f>
        <v>0</v>
      </c>
      <c r="AE1993" s="166">
        <v>0</v>
      </c>
      <c r="AF1993" s="166">
        <v>0</v>
      </c>
      <c r="AG1993" s="164">
        <f>($L1993*'Pivot Objective'!$C$9^6)*AE1993*AF1993</f>
        <v>0</v>
      </c>
      <c r="AH1993" s="166">
        <v>0</v>
      </c>
      <c r="AI1993" s="166">
        <v>0</v>
      </c>
      <c r="AJ1993" s="164">
        <f>($L1993*'Pivot Objective'!$C$9^7)*AH1993*AI1993</f>
        <v>0</v>
      </c>
      <c r="AK1993" s="185">
        <f t="shared" si="225"/>
        <v>0</v>
      </c>
      <c r="AL1993" s="186">
        <f t="shared" si="226"/>
        <v>0</v>
      </c>
    </row>
    <row r="1994" spans="1:38" customFormat="1" ht="43.2" x14ac:dyDescent="0.3">
      <c r="A1994" s="140" t="s">
        <v>1486</v>
      </c>
      <c r="B1994" s="140">
        <v>3</v>
      </c>
      <c r="C1994" s="166" t="s">
        <v>696</v>
      </c>
      <c r="D1994" s="140" t="str">
        <f t="shared" si="222"/>
        <v>3</v>
      </c>
      <c r="E1994" s="166" t="s">
        <v>691</v>
      </c>
      <c r="F1994" s="140">
        <f t="shared" si="221"/>
        <v>4</v>
      </c>
      <c r="G1994" s="140" t="str">
        <f t="shared" si="223"/>
        <v>3.3.4</v>
      </c>
      <c r="H1994" s="181" t="s">
        <v>1700</v>
      </c>
      <c r="I1994" s="166" t="s">
        <v>63</v>
      </c>
      <c r="J1994" s="166" t="s">
        <v>398</v>
      </c>
      <c r="K1994" s="166" t="s">
        <v>716</v>
      </c>
      <c r="L1994" s="167">
        <v>39000</v>
      </c>
      <c r="M1994" s="166">
        <v>100</v>
      </c>
      <c r="N1994" s="166">
        <v>7</v>
      </c>
      <c r="O1994" s="164">
        <f t="shared" si="224"/>
        <v>27300000</v>
      </c>
      <c r="P1994" s="166">
        <v>100</v>
      </c>
      <c r="Q1994" s="166">
        <v>7</v>
      </c>
      <c r="R1994" s="164">
        <f>$L1994*'Pivot Objective'!$C$9*P1994*Q1994</f>
        <v>31201745.948099997</v>
      </c>
      <c r="S1994" s="166">
        <v>120</v>
      </c>
      <c r="T1994" s="166">
        <v>7</v>
      </c>
      <c r="U1994" s="164">
        <f>($L1994*'Pivot Objective'!$C$9^2)*S1994*T1994</f>
        <v>42793360.448781304</v>
      </c>
      <c r="V1994" s="166">
        <v>0</v>
      </c>
      <c r="W1994" s="166">
        <v>0</v>
      </c>
      <c r="X1994" s="164">
        <f>($L1994*'Pivot Objective'!$C$9^3)*V1994*W1994</f>
        <v>0</v>
      </c>
      <c r="Y1994" s="166">
        <v>0</v>
      </c>
      <c r="Z1994" s="166">
        <v>0</v>
      </c>
      <c r="AA1994" s="164">
        <f>($L1994*'Pivot Objective'!$C$9^4)*Y1994*Z1994</f>
        <v>0</v>
      </c>
      <c r="AB1994" s="166">
        <v>0</v>
      </c>
      <c r="AC1994" s="166">
        <v>0</v>
      </c>
      <c r="AD1994" s="164">
        <f>($L1994*'Pivot Objective'!$C$9^5)*AB1994*AC1994</f>
        <v>0</v>
      </c>
      <c r="AE1994" s="166">
        <v>0</v>
      </c>
      <c r="AF1994" s="166">
        <v>0</v>
      </c>
      <c r="AG1994" s="164">
        <f>($L1994*'Pivot Objective'!$C$9^6)*AE1994*AF1994</f>
        <v>0</v>
      </c>
      <c r="AH1994" s="166">
        <v>100</v>
      </c>
      <c r="AI1994" s="166">
        <v>7</v>
      </c>
      <c r="AJ1994" s="164">
        <f>($L1994*'Pivot Objective'!$C$9^7)*AH1994*AI1994</f>
        <v>69546678.396236375</v>
      </c>
      <c r="AK1994" s="185">
        <f t="shared" si="225"/>
        <v>170841784.7931177</v>
      </c>
      <c r="AL1994" s="186">
        <f t="shared" si="226"/>
        <v>165865.81047875504</v>
      </c>
    </row>
    <row r="1995" spans="1:38" customFormat="1" ht="43.2" x14ac:dyDescent="0.3">
      <c r="A1995" s="140" t="s">
        <v>1486</v>
      </c>
      <c r="B1995" s="140">
        <v>3</v>
      </c>
      <c r="C1995" s="166" t="s">
        <v>696</v>
      </c>
      <c r="D1995" s="140" t="str">
        <f t="shared" si="222"/>
        <v>3</v>
      </c>
      <c r="E1995" s="166" t="s">
        <v>691</v>
      </c>
      <c r="F1995" s="140">
        <f t="shared" si="221"/>
        <v>4</v>
      </c>
      <c r="G1995" s="140" t="str">
        <f t="shared" si="223"/>
        <v>3.3.4</v>
      </c>
      <c r="H1995" s="181" t="s">
        <v>1700</v>
      </c>
      <c r="I1995" s="166" t="s">
        <v>63</v>
      </c>
      <c r="J1995" s="166" t="s">
        <v>398</v>
      </c>
      <c r="K1995" s="166" t="s">
        <v>709</v>
      </c>
      <c r="L1995" s="167">
        <v>35000</v>
      </c>
      <c r="M1995" s="166">
        <v>58</v>
      </c>
      <c r="N1995" s="166">
        <v>7</v>
      </c>
      <c r="O1995" s="164">
        <f t="shared" si="224"/>
        <v>14210000</v>
      </c>
      <c r="P1995" s="166">
        <v>58</v>
      </c>
      <c r="Q1995" s="166">
        <v>7</v>
      </c>
      <c r="R1995" s="164">
        <f>$L1995*'Pivot Objective'!$C$9*P1995*Q1995</f>
        <v>16240908.788369995</v>
      </c>
      <c r="S1995" s="166">
        <v>120</v>
      </c>
      <c r="T1995" s="166">
        <v>7</v>
      </c>
      <c r="U1995" s="164">
        <f>($L1995*'Pivot Objective'!$C$9^2)*S1995*T1995</f>
        <v>38404297.838649884</v>
      </c>
      <c r="V1995" s="166">
        <v>0</v>
      </c>
      <c r="W1995" s="166">
        <v>0</v>
      </c>
      <c r="X1995" s="164">
        <f>($L1995*'Pivot Objective'!$C$9^3)*V1995*W1995</f>
        <v>0</v>
      </c>
      <c r="Y1995" s="166">
        <v>0</v>
      </c>
      <c r="Z1995" s="166">
        <v>0</v>
      </c>
      <c r="AA1995" s="164">
        <f>($L1995*'Pivot Objective'!$C$9^4)*Y1995*Z1995</f>
        <v>0</v>
      </c>
      <c r="AB1995" s="166">
        <v>0</v>
      </c>
      <c r="AC1995" s="166">
        <v>0</v>
      </c>
      <c r="AD1995" s="164">
        <f>($L1995*'Pivot Objective'!$C$9^5)*AB1995*AC1995</f>
        <v>0</v>
      </c>
      <c r="AE1995" s="166">
        <v>0</v>
      </c>
      <c r="AF1995" s="166">
        <v>0</v>
      </c>
      <c r="AG1995" s="164">
        <f>($L1995*'Pivot Objective'!$C$9^6)*AE1995*AF1995</f>
        <v>0</v>
      </c>
      <c r="AH1995" s="166">
        <v>58</v>
      </c>
      <c r="AI1995" s="166">
        <v>7</v>
      </c>
      <c r="AJ1995" s="164">
        <f>($L1995*'Pivot Objective'!$C$9^7)*AH1995*AI1995</f>
        <v>36199937.729323037</v>
      </c>
      <c r="AK1995" s="185">
        <f t="shared" si="225"/>
        <v>105055144.35634291</v>
      </c>
      <c r="AL1995" s="186">
        <f t="shared" si="226"/>
        <v>101995.2857828572</v>
      </c>
    </row>
    <row r="1996" spans="1:38" customFormat="1" ht="43.2" x14ac:dyDescent="0.3">
      <c r="A1996" s="140" t="s">
        <v>1486</v>
      </c>
      <c r="B1996" s="140">
        <v>3</v>
      </c>
      <c r="C1996" s="166" t="s">
        <v>696</v>
      </c>
      <c r="D1996" s="140" t="str">
        <f t="shared" si="222"/>
        <v>3</v>
      </c>
      <c r="E1996" s="166" t="s">
        <v>691</v>
      </c>
      <c r="F1996" s="140">
        <f t="shared" si="221"/>
        <v>4</v>
      </c>
      <c r="G1996" s="140" t="str">
        <f t="shared" si="223"/>
        <v>3.3.4</v>
      </c>
      <c r="H1996" s="181" t="s">
        <v>1700</v>
      </c>
      <c r="I1996" s="166" t="s">
        <v>63</v>
      </c>
      <c r="J1996" s="166" t="s">
        <v>398</v>
      </c>
      <c r="K1996" s="166" t="s">
        <v>712</v>
      </c>
      <c r="L1996" s="167">
        <f>1480/7</f>
        <v>211.42857142857142</v>
      </c>
      <c r="M1996" s="166">
        <f>2*25*29</f>
        <v>1450</v>
      </c>
      <c r="N1996" s="166">
        <v>7</v>
      </c>
      <c r="O1996" s="164">
        <f t="shared" si="224"/>
        <v>2146000</v>
      </c>
      <c r="P1996" s="166">
        <f>2*25*29</f>
        <v>1450</v>
      </c>
      <c r="Q1996" s="166">
        <v>7</v>
      </c>
      <c r="R1996" s="164">
        <f>$L1996*'Pivot Objective'!$C$9*P1996*Q1996</f>
        <v>2452708.6741619995</v>
      </c>
      <c r="S1996" s="166">
        <v>20000</v>
      </c>
      <c r="T1996" s="166">
        <v>1</v>
      </c>
      <c r="U1996" s="164">
        <f>($L1996*'Pivot Objective'!$C$9^2)*S1996*T1996</f>
        <v>5523650.2236347748</v>
      </c>
      <c r="V1996" s="166">
        <v>0</v>
      </c>
      <c r="W1996" s="166">
        <v>0</v>
      </c>
      <c r="X1996" s="164">
        <f>($L1996*'Pivot Objective'!$C$9^3)*V1996*W1996</f>
        <v>0</v>
      </c>
      <c r="Y1996" s="166">
        <v>0</v>
      </c>
      <c r="Z1996" s="166">
        <v>0</v>
      </c>
      <c r="AA1996" s="164">
        <f>($L1996*'Pivot Objective'!$C$9^4)*Y1996*Z1996</f>
        <v>0</v>
      </c>
      <c r="AB1996" s="166">
        <v>0</v>
      </c>
      <c r="AC1996" s="166">
        <v>0</v>
      </c>
      <c r="AD1996" s="164">
        <f>($L1996*'Pivot Objective'!$C$9^5)*AB1996*AC1996</f>
        <v>0</v>
      </c>
      <c r="AE1996" s="166">
        <v>0</v>
      </c>
      <c r="AF1996" s="166">
        <v>0</v>
      </c>
      <c r="AG1996" s="164">
        <f>($L1996*'Pivot Objective'!$C$9^6)*AE1996*AF1996</f>
        <v>0</v>
      </c>
      <c r="AH1996" s="166">
        <f>2*25*29</f>
        <v>1450</v>
      </c>
      <c r="AI1996" s="166">
        <v>7</v>
      </c>
      <c r="AJ1996" s="164">
        <f>($L1996*'Pivot Objective'!$C$9^7)*AH1996*AI1996</f>
        <v>5466929.3713671518</v>
      </c>
      <c r="AK1996" s="185">
        <f t="shared" si="225"/>
        <v>15589288.269163925</v>
      </c>
      <c r="AL1996" s="186">
        <f t="shared" si="226"/>
        <v>15135.231329285365</v>
      </c>
    </row>
    <row r="1997" spans="1:38" customFormat="1" ht="43.2" x14ac:dyDescent="0.3">
      <c r="A1997" s="140" t="s">
        <v>1486</v>
      </c>
      <c r="B1997" s="140">
        <v>3</v>
      </c>
      <c r="C1997" s="166" t="s">
        <v>696</v>
      </c>
      <c r="D1997" s="140" t="str">
        <f t="shared" si="222"/>
        <v>3</v>
      </c>
      <c r="E1997" s="166" t="s">
        <v>691</v>
      </c>
      <c r="F1997" s="140">
        <f t="shared" si="221"/>
        <v>4</v>
      </c>
      <c r="G1997" s="140" t="str">
        <f t="shared" si="223"/>
        <v>3.3.4</v>
      </c>
      <c r="H1997" s="181" t="s">
        <v>1700</v>
      </c>
      <c r="I1997" s="166" t="s">
        <v>63</v>
      </c>
      <c r="J1997" s="166" t="s">
        <v>398</v>
      </c>
      <c r="K1997" s="166" t="s">
        <v>1392</v>
      </c>
      <c r="L1997" s="167">
        <f>1480/7</f>
        <v>211.42857142857142</v>
      </c>
      <c r="M1997" s="166">
        <v>22500</v>
      </c>
      <c r="N1997" s="166">
        <v>1</v>
      </c>
      <c r="O1997" s="164">
        <f t="shared" si="224"/>
        <v>4757142.8571428573</v>
      </c>
      <c r="P1997" s="166">
        <v>22500</v>
      </c>
      <c r="Q1997" s="166">
        <v>1</v>
      </c>
      <c r="R1997" s="164">
        <f>$L1997*'Pivot Objective'!$C$9*P1997*Q1997</f>
        <v>5437038.9328714283</v>
      </c>
      <c r="S1997" s="166"/>
      <c r="T1997" s="166"/>
      <c r="U1997" s="164">
        <f>($L1997*'Pivot Objective'!$C$9^2)*S1997*T1997</f>
        <v>0</v>
      </c>
      <c r="V1997" s="166"/>
      <c r="W1997" s="166"/>
      <c r="X1997" s="164">
        <f>($L1997*'Pivot Objective'!$C$9^3)*V1997*W1997</f>
        <v>0</v>
      </c>
      <c r="Y1997" s="166"/>
      <c r="Z1997" s="166"/>
      <c r="AA1997" s="164">
        <f>($L1997*'Pivot Objective'!$C$9^4)*Y1997*Z1997</f>
        <v>0</v>
      </c>
      <c r="AB1997" s="166"/>
      <c r="AC1997" s="166"/>
      <c r="AD1997" s="164">
        <f>($L1997*'Pivot Objective'!$C$9^5)*AB1997*AC1997</f>
        <v>0</v>
      </c>
      <c r="AE1997" s="166"/>
      <c r="AF1997" s="166"/>
      <c r="AG1997" s="164">
        <f>($L1997*'Pivot Objective'!$C$9^6)*AE1997*AF1997</f>
        <v>0</v>
      </c>
      <c r="AH1997" s="166">
        <v>22500</v>
      </c>
      <c r="AI1997" s="166">
        <v>1</v>
      </c>
      <c r="AJ1997" s="164">
        <f>($L1997*'Pivot Objective'!$C$9^7)*AH1997*AI1997</f>
        <v>12118808.951306494</v>
      </c>
      <c r="AK1997" s="185">
        <f t="shared" si="225"/>
        <v>22312990.741320781</v>
      </c>
      <c r="AL1997" s="186">
        <f t="shared" si="226"/>
        <v>21663.097807107555</v>
      </c>
    </row>
    <row r="1998" spans="1:38" customFormat="1" ht="43.2" x14ac:dyDescent="0.3">
      <c r="A1998" s="140" t="s">
        <v>1486</v>
      </c>
      <c r="B1998" s="140">
        <v>3</v>
      </c>
      <c r="C1998" s="166" t="s">
        <v>696</v>
      </c>
      <c r="D1998" s="140" t="str">
        <f t="shared" si="222"/>
        <v>3</v>
      </c>
      <c r="E1998" s="166" t="s">
        <v>691</v>
      </c>
      <c r="F1998" s="140">
        <f t="shared" si="221"/>
        <v>4</v>
      </c>
      <c r="G1998" s="140" t="str">
        <f t="shared" si="223"/>
        <v>3.3.4</v>
      </c>
      <c r="H1998" s="181" t="s">
        <v>1700</v>
      </c>
      <c r="I1998" s="166" t="s">
        <v>63</v>
      </c>
      <c r="J1998" s="166" t="s">
        <v>399</v>
      </c>
      <c r="K1998" s="166" t="s">
        <v>718</v>
      </c>
      <c r="L1998" s="167">
        <v>0</v>
      </c>
      <c r="M1998" s="166">
        <v>0</v>
      </c>
      <c r="N1998" s="166">
        <v>0</v>
      </c>
      <c r="O1998" s="164">
        <f t="shared" si="224"/>
        <v>0</v>
      </c>
      <c r="P1998" s="166">
        <v>0</v>
      </c>
      <c r="Q1998" s="166">
        <v>0</v>
      </c>
      <c r="R1998" s="164">
        <f>$L1998*'Pivot Objective'!$C$9*P1998*Q1998</f>
        <v>0</v>
      </c>
      <c r="S1998" s="166">
        <v>0</v>
      </c>
      <c r="T1998" s="166">
        <v>0</v>
      </c>
      <c r="U1998" s="164">
        <f>($L1998*'Pivot Objective'!$C$9^2)*S1998*T1998</f>
        <v>0</v>
      </c>
      <c r="V1998" s="166">
        <v>0</v>
      </c>
      <c r="W1998" s="166">
        <v>0</v>
      </c>
      <c r="X1998" s="164">
        <f>($L1998*'Pivot Objective'!$C$9^3)*V1998*W1998</f>
        <v>0</v>
      </c>
      <c r="Y1998" s="166">
        <v>0</v>
      </c>
      <c r="Z1998" s="166">
        <v>0</v>
      </c>
      <c r="AA1998" s="164">
        <f>($L1998*'Pivot Objective'!$C$9^4)*Y1998*Z1998</f>
        <v>0</v>
      </c>
      <c r="AB1998" s="166">
        <v>0</v>
      </c>
      <c r="AC1998" s="166">
        <v>0</v>
      </c>
      <c r="AD1998" s="164">
        <f>($L1998*'Pivot Objective'!$C$9^5)*AB1998*AC1998</f>
        <v>0</v>
      </c>
      <c r="AE1998" s="166">
        <v>0</v>
      </c>
      <c r="AF1998" s="166">
        <v>0</v>
      </c>
      <c r="AG1998" s="164">
        <f>($L1998*'Pivot Objective'!$C$9^6)*AE1998*AF1998</f>
        <v>0</v>
      </c>
      <c r="AH1998" s="166">
        <v>0</v>
      </c>
      <c r="AI1998" s="166">
        <v>0</v>
      </c>
      <c r="AJ1998" s="164">
        <f>($L1998*'Pivot Objective'!$C$9^7)*AH1998*AI1998</f>
        <v>0</v>
      </c>
      <c r="AK1998" s="185">
        <f t="shared" si="225"/>
        <v>0</v>
      </c>
      <c r="AL1998" s="186">
        <f t="shared" si="226"/>
        <v>0</v>
      </c>
    </row>
    <row r="1999" spans="1:38" customFormat="1" ht="57.6" x14ac:dyDescent="0.3">
      <c r="A1999" s="140" t="s">
        <v>1486</v>
      </c>
      <c r="B1999" s="140">
        <v>3</v>
      </c>
      <c r="C1999" s="166" t="s">
        <v>696</v>
      </c>
      <c r="D1999" s="140" t="str">
        <f t="shared" si="222"/>
        <v>3</v>
      </c>
      <c r="E1999" s="166" t="s">
        <v>691</v>
      </c>
      <c r="F1999" s="140">
        <f t="shared" si="221"/>
        <v>4</v>
      </c>
      <c r="G1999" s="140" t="str">
        <f t="shared" si="223"/>
        <v>3.3.4</v>
      </c>
      <c r="H1999" s="181" t="s">
        <v>1700</v>
      </c>
      <c r="I1999" s="166" t="s">
        <v>63</v>
      </c>
      <c r="J1999" s="166" t="s">
        <v>400</v>
      </c>
      <c r="K1999" s="166" t="s">
        <v>716</v>
      </c>
      <c r="L1999" s="167">
        <v>39000</v>
      </c>
      <c r="M1999" s="166">
        <v>25</v>
      </c>
      <c r="N1999" s="166">
        <v>6</v>
      </c>
      <c r="O1999" s="164">
        <f t="shared" si="224"/>
        <v>5850000</v>
      </c>
      <c r="P1999" s="166">
        <v>25</v>
      </c>
      <c r="Q1999" s="166">
        <v>6</v>
      </c>
      <c r="R1999" s="164">
        <f>$L1999*'Pivot Objective'!$C$9*P1999*Q1999</f>
        <v>6686088.4174499996</v>
      </c>
      <c r="S1999" s="166">
        <v>200</v>
      </c>
      <c r="T1999" s="166">
        <v>3</v>
      </c>
      <c r="U1999" s="164">
        <f>($L1999*'Pivot Objective'!$C$9^2)*S1999*T1999</f>
        <v>30566686.034843788</v>
      </c>
      <c r="V1999" s="166">
        <v>0</v>
      </c>
      <c r="W1999" s="166">
        <v>0</v>
      </c>
      <c r="X1999" s="164">
        <f>($L1999*'Pivot Objective'!$C$9^3)*V1999*W1999</f>
        <v>0</v>
      </c>
      <c r="Y1999" s="166">
        <v>0</v>
      </c>
      <c r="Z1999" s="166">
        <v>0</v>
      </c>
      <c r="AA1999" s="164">
        <f>($L1999*'Pivot Objective'!$C$9^4)*Y1999*Z1999</f>
        <v>0</v>
      </c>
      <c r="AB1999" s="166">
        <v>0</v>
      </c>
      <c r="AC1999" s="166">
        <v>0</v>
      </c>
      <c r="AD1999" s="164">
        <f>($L1999*'Pivot Objective'!$C$9^5)*AB1999*AC1999</f>
        <v>0</v>
      </c>
      <c r="AE1999" s="166">
        <v>0</v>
      </c>
      <c r="AF1999" s="166">
        <v>0</v>
      </c>
      <c r="AG1999" s="164">
        <f>($L1999*'Pivot Objective'!$C$9^6)*AE1999*AF1999</f>
        <v>0</v>
      </c>
      <c r="AH1999" s="166">
        <v>25</v>
      </c>
      <c r="AI1999" s="166">
        <v>6</v>
      </c>
      <c r="AJ1999" s="164">
        <f>($L1999*'Pivot Objective'!$C$9^7)*AH1999*AI1999</f>
        <v>14902859.656336365</v>
      </c>
      <c r="AK1999" s="185">
        <f t="shared" si="225"/>
        <v>58005634.108630151</v>
      </c>
      <c r="AL1999" s="186">
        <f t="shared" si="226"/>
        <v>56316.149620029275</v>
      </c>
    </row>
    <row r="2000" spans="1:38" customFormat="1" ht="57.6" x14ac:dyDescent="0.3">
      <c r="A2000" s="140" t="s">
        <v>1486</v>
      </c>
      <c r="B2000" s="140">
        <v>3</v>
      </c>
      <c r="C2000" s="166" t="s">
        <v>696</v>
      </c>
      <c r="D2000" s="140" t="str">
        <f t="shared" si="222"/>
        <v>3</v>
      </c>
      <c r="E2000" s="166" t="s">
        <v>691</v>
      </c>
      <c r="F2000" s="140">
        <f t="shared" si="221"/>
        <v>4</v>
      </c>
      <c r="G2000" s="140" t="str">
        <f t="shared" si="223"/>
        <v>3.3.4</v>
      </c>
      <c r="H2000" s="181" t="s">
        <v>1700</v>
      </c>
      <c r="I2000" s="166" t="s">
        <v>63</v>
      </c>
      <c r="J2000" s="166" t="s">
        <v>400</v>
      </c>
      <c r="K2000" s="166" t="s">
        <v>709</v>
      </c>
      <c r="L2000" s="167">
        <v>35000</v>
      </c>
      <c r="M2000" s="166">
        <v>25</v>
      </c>
      <c r="N2000" s="166">
        <v>5</v>
      </c>
      <c r="O2000" s="164">
        <f t="shared" si="224"/>
        <v>4375000</v>
      </c>
      <c r="P2000" s="166">
        <v>25</v>
      </c>
      <c r="Q2000" s="166">
        <v>5</v>
      </c>
      <c r="R2000" s="164">
        <f>$L2000*'Pivot Objective'!$C$9*P2000*Q2000</f>
        <v>5000279.7993749995</v>
      </c>
      <c r="S2000" s="166">
        <v>200</v>
      </c>
      <c r="T2000" s="166">
        <v>3</v>
      </c>
      <c r="U2000" s="164">
        <f>($L2000*'Pivot Objective'!$C$9^2)*S2000*T2000</f>
        <v>27431641.313321348</v>
      </c>
      <c r="V2000" s="166">
        <v>0</v>
      </c>
      <c r="W2000" s="166">
        <v>0</v>
      </c>
      <c r="X2000" s="164">
        <f>($L2000*'Pivot Objective'!$C$9^3)*V2000*W2000</f>
        <v>0</v>
      </c>
      <c r="Y2000" s="166">
        <v>0</v>
      </c>
      <c r="Z2000" s="166">
        <v>0</v>
      </c>
      <c r="AA2000" s="164">
        <f>($L2000*'Pivot Objective'!$C$9^4)*Y2000*Z2000</f>
        <v>0</v>
      </c>
      <c r="AB2000" s="166">
        <v>0</v>
      </c>
      <c r="AC2000" s="166">
        <v>0</v>
      </c>
      <c r="AD2000" s="164">
        <f>($L2000*'Pivot Objective'!$C$9^5)*AB2000*AC2000</f>
        <v>0</v>
      </c>
      <c r="AE2000" s="166">
        <v>0</v>
      </c>
      <c r="AF2000" s="166">
        <v>0</v>
      </c>
      <c r="AG2000" s="164">
        <f>($L2000*'Pivot Objective'!$C$9^6)*AE2000*AF2000</f>
        <v>0</v>
      </c>
      <c r="AH2000" s="166">
        <v>25</v>
      </c>
      <c r="AI2000" s="166">
        <v>5</v>
      </c>
      <c r="AJ2000" s="164">
        <f>($L2000*'Pivot Objective'!$C$9^7)*AH2000*AI2000</f>
        <v>11145301.025037881</v>
      </c>
      <c r="AK2000" s="185">
        <f t="shared" si="225"/>
        <v>47952222.137734234</v>
      </c>
      <c r="AL2000" s="186">
        <f t="shared" si="226"/>
        <v>46555.55547352838</v>
      </c>
    </row>
    <row r="2001" spans="1:38" customFormat="1" ht="57.6" x14ac:dyDescent="0.3">
      <c r="A2001" s="140" t="s">
        <v>1486</v>
      </c>
      <c r="B2001" s="140">
        <v>3</v>
      </c>
      <c r="C2001" s="166" t="s">
        <v>696</v>
      </c>
      <c r="D2001" s="140" t="str">
        <f t="shared" si="222"/>
        <v>3</v>
      </c>
      <c r="E2001" s="166" t="s">
        <v>691</v>
      </c>
      <c r="F2001" s="140">
        <f t="shared" si="221"/>
        <v>4</v>
      </c>
      <c r="G2001" s="140" t="str">
        <f t="shared" si="223"/>
        <v>3.3.4</v>
      </c>
      <c r="H2001" s="181" t="s">
        <v>1700</v>
      </c>
      <c r="I2001" s="166" t="s">
        <v>63</v>
      </c>
      <c r="J2001" s="166" t="s">
        <v>400</v>
      </c>
      <c r="K2001" s="166" t="s">
        <v>712</v>
      </c>
      <c r="L2001" s="167">
        <f>1480/7</f>
        <v>211.42857142857142</v>
      </c>
      <c r="M2001" s="166">
        <f>2*25*9</f>
        <v>450</v>
      </c>
      <c r="N2001" s="166">
        <v>5</v>
      </c>
      <c r="O2001" s="164">
        <f t="shared" si="224"/>
        <v>475714.28571428568</v>
      </c>
      <c r="P2001" s="166">
        <f>2*25*9</f>
        <v>450</v>
      </c>
      <c r="Q2001" s="166">
        <v>5</v>
      </c>
      <c r="R2001" s="164">
        <f>$L2001*'Pivot Objective'!$C$9*P2001*Q2001</f>
        <v>543703.89328714274</v>
      </c>
      <c r="S2001" s="166">
        <v>28000</v>
      </c>
      <c r="T2001" s="166">
        <v>1</v>
      </c>
      <c r="U2001" s="164">
        <f>($L2001*'Pivot Objective'!$C$9^2)*S2001*T2001</f>
        <v>7733110.3130886843</v>
      </c>
      <c r="V2001" s="166">
        <v>0</v>
      </c>
      <c r="W2001" s="166">
        <v>0</v>
      </c>
      <c r="X2001" s="164">
        <f>($L2001*'Pivot Objective'!$C$9^3)*V2001*W2001</f>
        <v>0</v>
      </c>
      <c r="Y2001" s="166">
        <v>0</v>
      </c>
      <c r="Z2001" s="166">
        <v>0</v>
      </c>
      <c r="AA2001" s="164">
        <f>($L2001*'Pivot Objective'!$C$9^4)*Y2001*Z2001</f>
        <v>0</v>
      </c>
      <c r="AB2001" s="166">
        <v>0</v>
      </c>
      <c r="AC2001" s="166">
        <v>0</v>
      </c>
      <c r="AD2001" s="164">
        <f>($L2001*'Pivot Objective'!$C$9^5)*AB2001*AC2001</f>
        <v>0</v>
      </c>
      <c r="AE2001" s="166">
        <v>0</v>
      </c>
      <c r="AF2001" s="166">
        <v>0</v>
      </c>
      <c r="AG2001" s="164">
        <f>($L2001*'Pivot Objective'!$C$9^6)*AE2001*AF2001</f>
        <v>0</v>
      </c>
      <c r="AH2001" s="166">
        <f>2*25*9</f>
        <v>450</v>
      </c>
      <c r="AI2001" s="166">
        <v>5</v>
      </c>
      <c r="AJ2001" s="164">
        <f>($L2001*'Pivot Objective'!$C$9^7)*AH2001*AI2001</f>
        <v>1211880.8951306494</v>
      </c>
      <c r="AK2001" s="185">
        <f t="shared" si="225"/>
        <v>9964409.3872207627</v>
      </c>
      <c r="AL2001" s="186">
        <f t="shared" si="226"/>
        <v>9674.1838710881184</v>
      </c>
    </row>
    <row r="2002" spans="1:38" customFormat="1" ht="57.6" x14ac:dyDescent="0.3">
      <c r="A2002" s="140" t="s">
        <v>1486</v>
      </c>
      <c r="B2002" s="140">
        <v>3</v>
      </c>
      <c r="C2002" s="166" t="s">
        <v>696</v>
      </c>
      <c r="D2002" s="140" t="str">
        <f t="shared" si="222"/>
        <v>3</v>
      </c>
      <c r="E2002" s="166" t="s">
        <v>691</v>
      </c>
      <c r="F2002" s="140">
        <f t="shared" si="221"/>
        <v>4</v>
      </c>
      <c r="G2002" s="140" t="str">
        <f t="shared" si="223"/>
        <v>3.3.4</v>
      </c>
      <c r="H2002" s="181" t="s">
        <v>1700</v>
      </c>
      <c r="I2002" s="166" t="s">
        <v>63</v>
      </c>
      <c r="J2002" s="166" t="s">
        <v>400</v>
      </c>
      <c r="K2002" s="166" t="s">
        <v>1392</v>
      </c>
      <c r="L2002" s="167">
        <f>1480/7</f>
        <v>211.42857142857142</v>
      </c>
      <c r="M2002" s="166">
        <f>2*135*9</f>
        <v>2430</v>
      </c>
      <c r="N2002" s="166">
        <v>1</v>
      </c>
      <c r="O2002" s="164">
        <f t="shared" si="224"/>
        <v>513771.42857142852</v>
      </c>
      <c r="P2002" s="166">
        <f>2*135*9</f>
        <v>2430</v>
      </c>
      <c r="Q2002" s="166">
        <v>1</v>
      </c>
      <c r="R2002" s="164">
        <f>$L2002*'Pivot Objective'!$C$9*P2002*Q2002</f>
        <v>587200.20475011424</v>
      </c>
      <c r="S2002" s="166"/>
      <c r="T2002" s="166"/>
      <c r="U2002" s="164">
        <f>($L2002*'Pivot Objective'!$C$9^2)*S2002*T2002</f>
        <v>0</v>
      </c>
      <c r="V2002" s="166"/>
      <c r="W2002" s="166"/>
      <c r="X2002" s="164">
        <f>($L2002*'Pivot Objective'!$C$9^3)*V2002*W2002</f>
        <v>0</v>
      </c>
      <c r="Y2002" s="166"/>
      <c r="Z2002" s="166"/>
      <c r="AA2002" s="164">
        <f>($L2002*'Pivot Objective'!$C$9^4)*Y2002*Z2002</f>
        <v>0</v>
      </c>
      <c r="AB2002" s="166"/>
      <c r="AC2002" s="166"/>
      <c r="AD2002" s="164">
        <f>($L2002*'Pivot Objective'!$C$9^5)*AB2002*AC2002</f>
        <v>0</v>
      </c>
      <c r="AE2002" s="166"/>
      <c r="AF2002" s="166"/>
      <c r="AG2002" s="164">
        <f>($L2002*'Pivot Objective'!$C$9^6)*AE2002*AF2002</f>
        <v>0</v>
      </c>
      <c r="AH2002" s="166">
        <f>2*135*9</f>
        <v>2430</v>
      </c>
      <c r="AI2002" s="166">
        <v>1</v>
      </c>
      <c r="AJ2002" s="164">
        <f>($L2002*'Pivot Objective'!$C$9^7)*AH2002*AI2002</f>
        <v>1308831.3667411015</v>
      </c>
      <c r="AK2002" s="185">
        <f t="shared" si="225"/>
        <v>2409803.0000626445</v>
      </c>
      <c r="AL2002" s="186">
        <f t="shared" si="226"/>
        <v>2339.6145631676159</v>
      </c>
    </row>
    <row r="2003" spans="1:38" customFormat="1" ht="43.2" x14ac:dyDescent="0.3">
      <c r="A2003" s="140" t="s">
        <v>1486</v>
      </c>
      <c r="B2003" s="140">
        <v>3</v>
      </c>
      <c r="C2003" s="166" t="s">
        <v>696</v>
      </c>
      <c r="D2003" s="140" t="str">
        <f t="shared" si="222"/>
        <v>3</v>
      </c>
      <c r="E2003" s="166" t="s">
        <v>691</v>
      </c>
      <c r="F2003" s="140">
        <f t="shared" si="221"/>
        <v>4</v>
      </c>
      <c r="G2003" s="140" t="str">
        <f t="shared" si="223"/>
        <v>3.3.4</v>
      </c>
      <c r="H2003" s="181" t="s">
        <v>1700</v>
      </c>
      <c r="I2003" s="166" t="s">
        <v>64</v>
      </c>
      <c r="J2003" s="166" t="s">
        <v>764</v>
      </c>
      <c r="K2003" s="166" t="s">
        <v>709</v>
      </c>
      <c r="L2003" s="167">
        <v>35000</v>
      </c>
      <c r="M2003" s="166">
        <v>100</v>
      </c>
      <c r="N2003" s="166">
        <v>5</v>
      </c>
      <c r="O2003" s="164">
        <f t="shared" si="224"/>
        <v>17500000</v>
      </c>
      <c r="P2003" s="166">
        <v>100</v>
      </c>
      <c r="Q2003" s="166">
        <v>5</v>
      </c>
      <c r="R2003" s="164">
        <f>$L2003*'Pivot Objective'!$C$9*P2003*Q2003</f>
        <v>20001119.197499998</v>
      </c>
      <c r="S2003" s="166">
        <v>0</v>
      </c>
      <c r="T2003" s="166">
        <v>0</v>
      </c>
      <c r="U2003" s="164">
        <f>($L2003*'Pivot Objective'!$C$9^2)*S2003*T2003</f>
        <v>0</v>
      </c>
      <c r="V2003" s="166">
        <v>20</v>
      </c>
      <c r="W2003" s="166">
        <v>2</v>
      </c>
      <c r="X2003" s="164">
        <f>($L2003*'Pivot Objective'!$C$9^3)*V2003*W2003</f>
        <v>2090146.7721554502</v>
      </c>
      <c r="Y2003" s="166">
        <v>0</v>
      </c>
      <c r="Z2003" s="166">
        <v>0</v>
      </c>
      <c r="AA2003" s="164">
        <f>($L2003*'Pivot Objective'!$C$9^4)*Y2003*Z2003</f>
        <v>0</v>
      </c>
      <c r="AB2003" s="166">
        <v>0</v>
      </c>
      <c r="AC2003" s="166">
        <v>0</v>
      </c>
      <c r="AD2003" s="164">
        <f>($L2003*'Pivot Objective'!$C$9^5)*AB2003*AC2003</f>
        <v>0</v>
      </c>
      <c r="AE2003" s="166">
        <v>0</v>
      </c>
      <c r="AF2003" s="166">
        <v>0</v>
      </c>
      <c r="AG2003" s="164">
        <f>($L2003*'Pivot Objective'!$C$9^6)*AE2003*AF2003</f>
        <v>0</v>
      </c>
      <c r="AH2003" s="166">
        <v>100</v>
      </c>
      <c r="AI2003" s="166">
        <v>5</v>
      </c>
      <c r="AJ2003" s="164">
        <f>($L2003*'Pivot Objective'!$C$9^7)*AH2003*AI2003</f>
        <v>44581204.100151524</v>
      </c>
      <c r="AK2003" s="185">
        <f t="shared" si="225"/>
        <v>84172470.069806963</v>
      </c>
      <c r="AL2003" s="186">
        <f t="shared" si="226"/>
        <v>81720.844727967924</v>
      </c>
    </row>
    <row r="2004" spans="1:38" customFormat="1" ht="57.6" x14ac:dyDescent="0.3">
      <c r="A2004" s="140" t="s">
        <v>1486</v>
      </c>
      <c r="B2004" s="140">
        <v>3</v>
      </c>
      <c r="C2004" s="166" t="s">
        <v>696</v>
      </c>
      <c r="D2004" s="140" t="str">
        <f t="shared" si="222"/>
        <v>3</v>
      </c>
      <c r="E2004" s="166" t="s">
        <v>691</v>
      </c>
      <c r="F2004" s="140">
        <f t="shared" si="221"/>
        <v>4</v>
      </c>
      <c r="G2004" s="140" t="str">
        <f t="shared" si="223"/>
        <v>3.3.4</v>
      </c>
      <c r="H2004" s="181" t="s">
        <v>1700</v>
      </c>
      <c r="I2004" s="166" t="s">
        <v>65</v>
      </c>
      <c r="J2004" s="166" t="s">
        <v>764</v>
      </c>
      <c r="K2004" s="166" t="s">
        <v>709</v>
      </c>
      <c r="L2004" s="167">
        <v>35000</v>
      </c>
      <c r="M2004" s="166">
        <v>100</v>
      </c>
      <c r="N2004" s="166">
        <v>5</v>
      </c>
      <c r="O2004" s="164">
        <f t="shared" si="224"/>
        <v>17500000</v>
      </c>
      <c r="P2004" s="166">
        <v>100</v>
      </c>
      <c r="Q2004" s="166">
        <v>5</v>
      </c>
      <c r="R2004" s="164">
        <f>$L2004*'Pivot Objective'!$C$9*P2004*Q2004</f>
        <v>20001119.197499998</v>
      </c>
      <c r="S2004" s="166">
        <v>0</v>
      </c>
      <c r="T2004" s="166">
        <v>0</v>
      </c>
      <c r="U2004" s="164">
        <f>($L2004*'Pivot Objective'!$C$9^2)*S2004*T2004</f>
        <v>0</v>
      </c>
      <c r="V2004" s="166">
        <v>20</v>
      </c>
      <c r="W2004" s="166">
        <v>2</v>
      </c>
      <c r="X2004" s="164">
        <f>($L2004*'Pivot Objective'!$C$9^3)*V2004*W2004</f>
        <v>2090146.7721554502</v>
      </c>
      <c r="Y2004" s="166">
        <v>0</v>
      </c>
      <c r="Z2004" s="166">
        <v>0</v>
      </c>
      <c r="AA2004" s="164">
        <f>($L2004*'Pivot Objective'!$C$9^4)*Y2004*Z2004</f>
        <v>0</v>
      </c>
      <c r="AB2004" s="166">
        <v>0</v>
      </c>
      <c r="AC2004" s="166">
        <v>0</v>
      </c>
      <c r="AD2004" s="164">
        <f>($L2004*'Pivot Objective'!$C$9^5)*AB2004*AC2004</f>
        <v>0</v>
      </c>
      <c r="AE2004" s="166">
        <v>0</v>
      </c>
      <c r="AF2004" s="166">
        <v>0</v>
      </c>
      <c r="AG2004" s="164">
        <f>($L2004*'Pivot Objective'!$C$9^6)*AE2004*AF2004</f>
        <v>0</v>
      </c>
      <c r="AH2004" s="166">
        <v>100</v>
      </c>
      <c r="AI2004" s="166">
        <v>5</v>
      </c>
      <c r="AJ2004" s="164">
        <f>($L2004*'Pivot Objective'!$C$9^7)*AH2004*AI2004</f>
        <v>44581204.100151524</v>
      </c>
      <c r="AK2004" s="185">
        <f t="shared" si="225"/>
        <v>84172470.069806963</v>
      </c>
      <c r="AL2004" s="186">
        <f t="shared" si="226"/>
        <v>81720.844727967924</v>
      </c>
    </row>
    <row r="2005" spans="1:38" customFormat="1" ht="43.2" x14ac:dyDescent="0.3">
      <c r="A2005" s="140" t="s">
        <v>1486</v>
      </c>
      <c r="B2005" s="140">
        <v>3</v>
      </c>
      <c r="C2005" s="166" t="s">
        <v>696</v>
      </c>
      <c r="D2005" s="140" t="str">
        <f t="shared" si="222"/>
        <v>3</v>
      </c>
      <c r="E2005" s="166" t="s">
        <v>691</v>
      </c>
      <c r="F2005" s="140">
        <f t="shared" si="221"/>
        <v>4</v>
      </c>
      <c r="G2005" s="140" t="str">
        <f t="shared" si="223"/>
        <v>3.3.4</v>
      </c>
      <c r="H2005" s="181" t="s">
        <v>1700</v>
      </c>
      <c r="I2005" s="166" t="s">
        <v>66</v>
      </c>
      <c r="J2005" s="166" t="s">
        <v>764</v>
      </c>
      <c r="K2005" s="166" t="s">
        <v>709</v>
      </c>
      <c r="L2005" s="167">
        <v>35000</v>
      </c>
      <c r="M2005" s="166">
        <v>100</v>
      </c>
      <c r="N2005" s="166">
        <v>5</v>
      </c>
      <c r="O2005" s="164">
        <f t="shared" si="224"/>
        <v>17500000</v>
      </c>
      <c r="P2005" s="166">
        <v>100</v>
      </c>
      <c r="Q2005" s="166">
        <v>5</v>
      </c>
      <c r="R2005" s="164">
        <f>$L2005*'Pivot Objective'!$C$9*P2005*Q2005</f>
        <v>20001119.197499998</v>
      </c>
      <c r="S2005" s="166">
        <v>0</v>
      </c>
      <c r="T2005" s="166">
        <v>0</v>
      </c>
      <c r="U2005" s="164">
        <f>($L2005*'Pivot Objective'!$C$9^2)*S2005*T2005</f>
        <v>0</v>
      </c>
      <c r="V2005" s="166">
        <v>0</v>
      </c>
      <c r="W2005" s="166">
        <v>0</v>
      </c>
      <c r="X2005" s="164">
        <f>($L2005*'Pivot Objective'!$C$9^3)*V2005*W2005</f>
        <v>0</v>
      </c>
      <c r="Y2005" s="166">
        <v>0</v>
      </c>
      <c r="Z2005" s="166">
        <v>0</v>
      </c>
      <c r="AA2005" s="164">
        <f>($L2005*'Pivot Objective'!$C$9^4)*Y2005*Z2005</f>
        <v>0</v>
      </c>
      <c r="AB2005" s="166">
        <v>0</v>
      </c>
      <c r="AC2005" s="166">
        <v>0</v>
      </c>
      <c r="AD2005" s="164">
        <f>($L2005*'Pivot Objective'!$C$9^5)*AB2005*AC2005</f>
        <v>0</v>
      </c>
      <c r="AE2005" s="166">
        <v>0</v>
      </c>
      <c r="AF2005" s="166">
        <v>0</v>
      </c>
      <c r="AG2005" s="164">
        <f>($L2005*'Pivot Objective'!$C$9^6)*AE2005*AF2005</f>
        <v>0</v>
      </c>
      <c r="AH2005" s="166">
        <v>100</v>
      </c>
      <c r="AI2005" s="166">
        <v>5</v>
      </c>
      <c r="AJ2005" s="164">
        <f>($L2005*'Pivot Objective'!$C$9^7)*AH2005*AI2005</f>
        <v>44581204.100151524</v>
      </c>
      <c r="AK2005" s="185">
        <f t="shared" si="225"/>
        <v>82082323.297651529</v>
      </c>
      <c r="AL2005" s="186">
        <f t="shared" si="226"/>
        <v>79691.576017137413</v>
      </c>
    </row>
    <row r="2006" spans="1:38" customFormat="1" ht="43.2" x14ac:dyDescent="0.3">
      <c r="A2006" s="140" t="s">
        <v>1486</v>
      </c>
      <c r="B2006" s="140">
        <v>3</v>
      </c>
      <c r="C2006" s="166" t="s">
        <v>696</v>
      </c>
      <c r="D2006" s="140" t="str">
        <f t="shared" si="222"/>
        <v>3</v>
      </c>
      <c r="E2006" s="166" t="s">
        <v>691</v>
      </c>
      <c r="F2006" s="140">
        <f t="shared" si="221"/>
        <v>4</v>
      </c>
      <c r="G2006" s="140" t="str">
        <f t="shared" si="223"/>
        <v>3.3.4</v>
      </c>
      <c r="H2006" s="181" t="s">
        <v>1700</v>
      </c>
      <c r="I2006" s="166" t="s">
        <v>66</v>
      </c>
      <c r="J2006" s="166" t="s">
        <v>764</v>
      </c>
      <c r="K2006" s="166" t="s">
        <v>716</v>
      </c>
      <c r="L2006" s="167">
        <v>39000</v>
      </c>
      <c r="M2006" s="166">
        <v>58</v>
      </c>
      <c r="N2006" s="166">
        <v>6</v>
      </c>
      <c r="O2006" s="164">
        <f t="shared" si="224"/>
        <v>13572000</v>
      </c>
      <c r="P2006" s="166">
        <v>58</v>
      </c>
      <c r="Q2006" s="166">
        <v>6</v>
      </c>
      <c r="R2006" s="164">
        <f>$L2006*'Pivot Objective'!$C$9*P2006*Q2006</f>
        <v>15511725.128483998</v>
      </c>
      <c r="S2006" s="166"/>
      <c r="T2006" s="166"/>
      <c r="U2006" s="164">
        <f>($L2006*'Pivot Objective'!$C$9^2)*S2006*T2006</f>
        <v>0</v>
      </c>
      <c r="V2006" s="166"/>
      <c r="W2006" s="166"/>
      <c r="X2006" s="164">
        <f>($L2006*'Pivot Objective'!$C$9^3)*V2006*W2006</f>
        <v>0</v>
      </c>
      <c r="Y2006" s="166"/>
      <c r="Z2006" s="166"/>
      <c r="AA2006" s="164">
        <f>($L2006*'Pivot Objective'!$C$9^4)*Y2006*Z2006</f>
        <v>0</v>
      </c>
      <c r="AB2006" s="166"/>
      <c r="AC2006" s="166"/>
      <c r="AD2006" s="164">
        <f>($L2006*'Pivot Objective'!$C$9^5)*AB2006*AC2006</f>
        <v>0</v>
      </c>
      <c r="AE2006" s="166"/>
      <c r="AF2006" s="166"/>
      <c r="AG2006" s="164">
        <f>($L2006*'Pivot Objective'!$C$9^6)*AE2006*AF2006</f>
        <v>0</v>
      </c>
      <c r="AH2006" s="166">
        <v>58</v>
      </c>
      <c r="AI2006" s="166">
        <v>6</v>
      </c>
      <c r="AJ2006" s="164">
        <f>($L2006*'Pivot Objective'!$C$9^7)*AH2006*AI2006</f>
        <v>34574634.402700365</v>
      </c>
      <c r="AK2006" s="185">
        <f t="shared" si="225"/>
        <v>63658359.53118436</v>
      </c>
      <c r="AL2006" s="186">
        <f t="shared" si="226"/>
        <v>61804.232554547925</v>
      </c>
    </row>
    <row r="2007" spans="1:38" customFormat="1" ht="43.2" x14ac:dyDescent="0.3">
      <c r="A2007" s="140" t="s">
        <v>1486</v>
      </c>
      <c r="B2007" s="140">
        <v>3</v>
      </c>
      <c r="C2007" s="166" t="s">
        <v>696</v>
      </c>
      <c r="D2007" s="140" t="str">
        <f t="shared" si="222"/>
        <v>3</v>
      </c>
      <c r="E2007" s="166" t="s">
        <v>691</v>
      </c>
      <c r="F2007" s="140">
        <f t="shared" si="221"/>
        <v>4</v>
      </c>
      <c r="G2007" s="140" t="str">
        <f t="shared" si="223"/>
        <v>3.3.4</v>
      </c>
      <c r="H2007" s="181" t="s">
        <v>1700</v>
      </c>
      <c r="I2007" s="166" t="s">
        <v>66</v>
      </c>
      <c r="J2007" s="166" t="s">
        <v>764</v>
      </c>
      <c r="K2007" s="166" t="s">
        <v>712</v>
      </c>
      <c r="L2007" s="167">
        <f>1480/7</f>
        <v>211.42857142857142</v>
      </c>
      <c r="M2007" s="166">
        <f>2*25*29</f>
        <v>1450</v>
      </c>
      <c r="N2007" s="166">
        <v>5</v>
      </c>
      <c r="O2007" s="164">
        <f t="shared" si="224"/>
        <v>1532857.142857143</v>
      </c>
      <c r="P2007" s="166">
        <f>2*25*29</f>
        <v>1450</v>
      </c>
      <c r="Q2007" s="166">
        <v>5</v>
      </c>
      <c r="R2007" s="164">
        <f>$L2007*'Pivot Objective'!$C$9*P2007*Q2007</f>
        <v>1751934.7672585712</v>
      </c>
      <c r="S2007" s="166"/>
      <c r="T2007" s="166"/>
      <c r="U2007" s="164">
        <f>($L2007*'Pivot Objective'!$C$9^2)*S2007*T2007</f>
        <v>0</v>
      </c>
      <c r="V2007" s="166"/>
      <c r="W2007" s="166"/>
      <c r="X2007" s="164">
        <f>($L2007*'Pivot Objective'!$C$9^3)*V2007*W2007</f>
        <v>0</v>
      </c>
      <c r="Y2007" s="166"/>
      <c r="Z2007" s="166"/>
      <c r="AA2007" s="164">
        <f>($L2007*'Pivot Objective'!$C$9^4)*Y2007*Z2007</f>
        <v>0</v>
      </c>
      <c r="AB2007" s="166"/>
      <c r="AC2007" s="166"/>
      <c r="AD2007" s="164">
        <f>($L2007*'Pivot Objective'!$C$9^5)*AB2007*AC2007</f>
        <v>0</v>
      </c>
      <c r="AE2007" s="166"/>
      <c r="AF2007" s="166"/>
      <c r="AG2007" s="164">
        <f>($L2007*'Pivot Objective'!$C$9^6)*AE2007*AF2007</f>
        <v>0</v>
      </c>
      <c r="AH2007" s="166">
        <f>2*25*29</f>
        <v>1450</v>
      </c>
      <c r="AI2007" s="166">
        <v>5</v>
      </c>
      <c r="AJ2007" s="164">
        <f>($L2007*'Pivot Objective'!$C$9^7)*AH2007*AI2007</f>
        <v>3904949.5509765372</v>
      </c>
      <c r="AK2007" s="185">
        <f t="shared" si="225"/>
        <v>7189741.4610922514</v>
      </c>
      <c r="AL2007" s="186">
        <f t="shared" si="226"/>
        <v>6980.3315156235449</v>
      </c>
    </row>
    <row r="2008" spans="1:38" customFormat="1" ht="43.2" x14ac:dyDescent="0.3">
      <c r="A2008" s="140" t="s">
        <v>1486</v>
      </c>
      <c r="B2008" s="140">
        <v>3</v>
      </c>
      <c r="C2008" s="166" t="s">
        <v>696</v>
      </c>
      <c r="D2008" s="140" t="str">
        <f t="shared" si="222"/>
        <v>3</v>
      </c>
      <c r="E2008" s="166" t="s">
        <v>691</v>
      </c>
      <c r="F2008" s="140">
        <f t="shared" si="221"/>
        <v>4</v>
      </c>
      <c r="G2008" s="140" t="str">
        <f t="shared" si="223"/>
        <v>3.3.4</v>
      </c>
      <c r="H2008" s="181" t="s">
        <v>1700</v>
      </c>
      <c r="I2008" s="166" t="s">
        <v>66</v>
      </c>
      <c r="J2008" s="166" t="s">
        <v>764</v>
      </c>
      <c r="K2008" s="166" t="s">
        <v>1392</v>
      </c>
      <c r="L2008" s="167">
        <f>1480/7</f>
        <v>211.42857142857142</v>
      </c>
      <c r="M2008" s="166">
        <v>22500</v>
      </c>
      <c r="N2008" s="166">
        <v>1</v>
      </c>
      <c r="O2008" s="164">
        <f t="shared" si="224"/>
        <v>4757142.8571428573</v>
      </c>
      <c r="P2008" s="166">
        <v>22500</v>
      </c>
      <c r="Q2008" s="166">
        <v>1</v>
      </c>
      <c r="R2008" s="164">
        <f>$L2008*'Pivot Objective'!$C$9*P2008*Q2008</f>
        <v>5437038.9328714283</v>
      </c>
      <c r="S2008" s="166"/>
      <c r="T2008" s="166"/>
      <c r="U2008" s="164">
        <f>($L2008*'Pivot Objective'!$C$9^2)*S2008*T2008</f>
        <v>0</v>
      </c>
      <c r="V2008" s="166"/>
      <c r="W2008" s="166"/>
      <c r="X2008" s="164">
        <f>($L2008*'Pivot Objective'!$C$9^3)*V2008*W2008</f>
        <v>0</v>
      </c>
      <c r="Y2008" s="166"/>
      <c r="Z2008" s="166"/>
      <c r="AA2008" s="164">
        <f>($L2008*'Pivot Objective'!$C$9^4)*Y2008*Z2008</f>
        <v>0</v>
      </c>
      <c r="AB2008" s="166"/>
      <c r="AC2008" s="166"/>
      <c r="AD2008" s="164">
        <f>($L2008*'Pivot Objective'!$C$9^5)*AB2008*AC2008</f>
        <v>0</v>
      </c>
      <c r="AE2008" s="166"/>
      <c r="AF2008" s="166"/>
      <c r="AG2008" s="164">
        <f>($L2008*'Pivot Objective'!$C$9^6)*AE2008*AF2008</f>
        <v>0</v>
      </c>
      <c r="AH2008" s="166">
        <v>22500</v>
      </c>
      <c r="AI2008" s="166">
        <v>1</v>
      </c>
      <c r="AJ2008" s="164">
        <f>($L2008*'Pivot Objective'!$C$9^7)*AH2008*AI2008</f>
        <v>12118808.951306494</v>
      </c>
      <c r="AK2008" s="185">
        <f t="shared" si="225"/>
        <v>22312990.741320781</v>
      </c>
      <c r="AL2008" s="186">
        <f t="shared" si="226"/>
        <v>21663.097807107555</v>
      </c>
    </row>
    <row r="2009" spans="1:38" customFormat="1" ht="43.2" x14ac:dyDescent="0.3">
      <c r="A2009" s="140" t="s">
        <v>1486</v>
      </c>
      <c r="B2009" s="140">
        <v>3</v>
      </c>
      <c r="C2009" s="166" t="s">
        <v>696</v>
      </c>
      <c r="D2009" s="140" t="str">
        <f t="shared" si="222"/>
        <v>3</v>
      </c>
      <c r="E2009" s="166" t="s">
        <v>691</v>
      </c>
      <c r="F2009" s="140">
        <f t="shared" si="221"/>
        <v>4</v>
      </c>
      <c r="G2009" s="140" t="str">
        <f t="shared" si="223"/>
        <v>3.3.4</v>
      </c>
      <c r="H2009" s="181" t="s">
        <v>1700</v>
      </c>
      <c r="I2009" s="166" t="s">
        <v>66</v>
      </c>
      <c r="J2009" s="166" t="s">
        <v>393</v>
      </c>
      <c r="K2009" s="166" t="s">
        <v>709</v>
      </c>
      <c r="L2009" s="167">
        <v>35000</v>
      </c>
      <c r="M2009" s="166">
        <v>100</v>
      </c>
      <c r="N2009" s="166">
        <v>2</v>
      </c>
      <c r="O2009" s="164">
        <f t="shared" si="224"/>
        <v>7000000</v>
      </c>
      <c r="P2009" s="166">
        <v>100</v>
      </c>
      <c r="Q2009" s="166">
        <v>2</v>
      </c>
      <c r="R2009" s="164">
        <f>$L2009*'Pivot Objective'!$C$9*P2009*Q2009</f>
        <v>8000447.6789999986</v>
      </c>
      <c r="S2009" s="166">
        <v>0</v>
      </c>
      <c r="T2009" s="166">
        <v>0</v>
      </c>
      <c r="U2009" s="164">
        <f>($L2009*'Pivot Objective'!$C$9^2)*S2009*T2009</f>
        <v>0</v>
      </c>
      <c r="V2009" s="166">
        <v>0</v>
      </c>
      <c r="W2009" s="166">
        <v>0</v>
      </c>
      <c r="X2009" s="164">
        <f>($L2009*'Pivot Objective'!$C$9^3)*V2009*W2009</f>
        <v>0</v>
      </c>
      <c r="Y2009" s="166">
        <v>0</v>
      </c>
      <c r="Z2009" s="166">
        <v>0</v>
      </c>
      <c r="AA2009" s="164">
        <f>($L2009*'Pivot Objective'!$C$9^4)*Y2009*Z2009</f>
        <v>0</v>
      </c>
      <c r="AB2009" s="166">
        <v>0</v>
      </c>
      <c r="AC2009" s="166">
        <v>0</v>
      </c>
      <c r="AD2009" s="164">
        <f>($L2009*'Pivot Objective'!$C$9^5)*AB2009*AC2009</f>
        <v>0</v>
      </c>
      <c r="AE2009" s="166">
        <v>0</v>
      </c>
      <c r="AF2009" s="166">
        <v>0</v>
      </c>
      <c r="AG2009" s="164">
        <f>($L2009*'Pivot Objective'!$C$9^6)*AE2009*AF2009</f>
        <v>0</v>
      </c>
      <c r="AH2009" s="166">
        <v>100</v>
      </c>
      <c r="AI2009" s="166">
        <v>2</v>
      </c>
      <c r="AJ2009" s="164">
        <f>($L2009*'Pivot Objective'!$C$9^7)*AH2009*AI2009</f>
        <v>17832481.640060611</v>
      </c>
      <c r="AK2009" s="185">
        <f t="shared" si="225"/>
        <v>32832929.319060609</v>
      </c>
      <c r="AL2009" s="186">
        <f t="shared" si="226"/>
        <v>31876.630406854962</v>
      </c>
    </row>
    <row r="2010" spans="1:38" customFormat="1" ht="43.2" x14ac:dyDescent="0.3">
      <c r="A2010" s="140" t="s">
        <v>1486</v>
      </c>
      <c r="B2010" s="140">
        <v>3</v>
      </c>
      <c r="C2010" s="166" t="s">
        <v>696</v>
      </c>
      <c r="D2010" s="140" t="str">
        <f t="shared" si="222"/>
        <v>3</v>
      </c>
      <c r="E2010" s="166" t="s">
        <v>691</v>
      </c>
      <c r="F2010" s="140">
        <f t="shared" si="221"/>
        <v>4</v>
      </c>
      <c r="G2010" s="140" t="str">
        <f t="shared" si="223"/>
        <v>3.3.4</v>
      </c>
      <c r="H2010" s="181" t="s">
        <v>1700</v>
      </c>
      <c r="I2010" s="166" t="s">
        <v>66</v>
      </c>
      <c r="J2010" s="166" t="s">
        <v>393</v>
      </c>
      <c r="K2010" s="166" t="s">
        <v>716</v>
      </c>
      <c r="L2010" s="167">
        <v>39000</v>
      </c>
      <c r="M2010" s="166">
        <v>58</v>
      </c>
      <c r="N2010" s="166">
        <v>2</v>
      </c>
      <c r="O2010" s="164">
        <f t="shared" si="224"/>
        <v>4524000</v>
      </c>
      <c r="P2010" s="166">
        <v>58</v>
      </c>
      <c r="Q2010" s="166">
        <v>2</v>
      </c>
      <c r="R2010" s="164">
        <f>$L2010*'Pivot Objective'!$C$9*P2010*Q2010</f>
        <v>5170575.0428279992</v>
      </c>
      <c r="S2010" s="166"/>
      <c r="T2010" s="166"/>
      <c r="U2010" s="164">
        <f>($L2010*'Pivot Objective'!$C$9^2)*S2010*T2010</f>
        <v>0</v>
      </c>
      <c r="V2010" s="166"/>
      <c r="W2010" s="166"/>
      <c r="X2010" s="164">
        <f>($L2010*'Pivot Objective'!$C$9^3)*V2010*W2010</f>
        <v>0</v>
      </c>
      <c r="Y2010" s="166"/>
      <c r="Z2010" s="166"/>
      <c r="AA2010" s="164">
        <f>($L2010*'Pivot Objective'!$C$9^4)*Y2010*Z2010</f>
        <v>0</v>
      </c>
      <c r="AB2010" s="166"/>
      <c r="AC2010" s="166"/>
      <c r="AD2010" s="164">
        <f>($L2010*'Pivot Objective'!$C$9^5)*AB2010*AC2010</f>
        <v>0</v>
      </c>
      <c r="AE2010" s="166"/>
      <c r="AF2010" s="166"/>
      <c r="AG2010" s="164">
        <f>($L2010*'Pivot Objective'!$C$9^6)*AE2010*AF2010</f>
        <v>0</v>
      </c>
      <c r="AH2010" s="166">
        <v>58</v>
      </c>
      <c r="AI2010" s="166">
        <v>2</v>
      </c>
      <c r="AJ2010" s="164">
        <f>($L2010*'Pivot Objective'!$C$9^7)*AH2010*AI2010</f>
        <v>11524878.134233456</v>
      </c>
      <c r="AK2010" s="185">
        <f t="shared" si="225"/>
        <v>21219453.177061453</v>
      </c>
      <c r="AL2010" s="186">
        <f t="shared" si="226"/>
        <v>20601.410851515975</v>
      </c>
    </row>
    <row r="2011" spans="1:38" customFormat="1" ht="43.2" x14ac:dyDescent="0.3">
      <c r="A2011" s="140" t="s">
        <v>1486</v>
      </c>
      <c r="B2011" s="140">
        <v>3</v>
      </c>
      <c r="C2011" s="166" t="s">
        <v>696</v>
      </c>
      <c r="D2011" s="140" t="str">
        <f t="shared" si="222"/>
        <v>3</v>
      </c>
      <c r="E2011" s="166" t="s">
        <v>691</v>
      </c>
      <c r="F2011" s="140">
        <f t="shared" si="221"/>
        <v>4</v>
      </c>
      <c r="G2011" s="140" t="str">
        <f t="shared" si="223"/>
        <v>3.3.4</v>
      </c>
      <c r="H2011" s="181" t="s">
        <v>1700</v>
      </c>
      <c r="I2011" s="166" t="s">
        <v>66</v>
      </c>
      <c r="J2011" s="166" t="s">
        <v>393</v>
      </c>
      <c r="K2011" s="166" t="s">
        <v>712</v>
      </c>
      <c r="L2011" s="167">
        <f>1480/7</f>
        <v>211.42857142857142</v>
      </c>
      <c r="M2011" s="166">
        <f>2*25*29</f>
        <v>1450</v>
      </c>
      <c r="N2011" s="166">
        <v>2</v>
      </c>
      <c r="O2011" s="164">
        <f t="shared" si="224"/>
        <v>613142.85714285716</v>
      </c>
      <c r="P2011" s="166">
        <f>2*25*29</f>
        <v>1450</v>
      </c>
      <c r="Q2011" s="166">
        <v>2</v>
      </c>
      <c r="R2011" s="164">
        <f>$L2011*'Pivot Objective'!$C$9*P2011*Q2011</f>
        <v>700773.90690342849</v>
      </c>
      <c r="S2011" s="166"/>
      <c r="T2011" s="166"/>
      <c r="U2011" s="164">
        <f>($L2011*'Pivot Objective'!$C$9^2)*S2011*T2011</f>
        <v>0</v>
      </c>
      <c r="V2011" s="166"/>
      <c r="W2011" s="166"/>
      <c r="X2011" s="164">
        <f>($L2011*'Pivot Objective'!$C$9^3)*V2011*W2011</f>
        <v>0</v>
      </c>
      <c r="Y2011" s="166"/>
      <c r="Z2011" s="166"/>
      <c r="AA2011" s="164">
        <f>($L2011*'Pivot Objective'!$C$9^4)*Y2011*Z2011</f>
        <v>0</v>
      </c>
      <c r="AB2011" s="166"/>
      <c r="AC2011" s="166"/>
      <c r="AD2011" s="164">
        <f>($L2011*'Pivot Objective'!$C$9^5)*AB2011*AC2011</f>
        <v>0</v>
      </c>
      <c r="AE2011" s="166"/>
      <c r="AF2011" s="166"/>
      <c r="AG2011" s="164">
        <f>($L2011*'Pivot Objective'!$C$9^6)*AE2011*AF2011</f>
        <v>0</v>
      </c>
      <c r="AH2011" s="166">
        <f>2*25*29</f>
        <v>1450</v>
      </c>
      <c r="AI2011" s="166">
        <v>2</v>
      </c>
      <c r="AJ2011" s="164">
        <f>($L2011*'Pivot Objective'!$C$9^7)*AH2011*AI2011</f>
        <v>1561979.8203906149</v>
      </c>
      <c r="AK2011" s="185">
        <f t="shared" si="225"/>
        <v>2875896.5844369009</v>
      </c>
      <c r="AL2011" s="186">
        <f t="shared" si="226"/>
        <v>2792.1326062494186</v>
      </c>
    </row>
    <row r="2012" spans="1:38" customFormat="1" ht="43.2" x14ac:dyDescent="0.3">
      <c r="A2012" s="140" t="s">
        <v>1486</v>
      </c>
      <c r="B2012" s="140">
        <v>3</v>
      </c>
      <c r="C2012" s="166" t="s">
        <v>696</v>
      </c>
      <c r="D2012" s="140" t="str">
        <f t="shared" si="222"/>
        <v>3</v>
      </c>
      <c r="E2012" s="166" t="s">
        <v>691</v>
      </c>
      <c r="F2012" s="140">
        <f t="shared" ref="F2012:F2040" si="227">IF(H2012=H2011,F2011,F2011+1)</f>
        <v>4</v>
      </c>
      <c r="G2012" s="140" t="str">
        <f t="shared" si="223"/>
        <v>3.3.4</v>
      </c>
      <c r="H2012" s="181" t="s">
        <v>1700</v>
      </c>
      <c r="I2012" s="166" t="s">
        <v>66</v>
      </c>
      <c r="J2012" s="166" t="s">
        <v>393</v>
      </c>
      <c r="K2012" s="166" t="s">
        <v>1392</v>
      </c>
      <c r="L2012" s="167">
        <f>1480/7</f>
        <v>211.42857142857142</v>
      </c>
      <c r="M2012" s="166">
        <v>22500</v>
      </c>
      <c r="N2012" s="166">
        <v>1</v>
      </c>
      <c r="O2012" s="164">
        <f t="shared" si="224"/>
        <v>4757142.8571428573</v>
      </c>
      <c r="P2012" s="166">
        <v>22500</v>
      </c>
      <c r="Q2012" s="166">
        <v>1</v>
      </c>
      <c r="R2012" s="164">
        <f>$L2012*'Pivot Objective'!$C$9*P2012*Q2012</f>
        <v>5437038.9328714283</v>
      </c>
      <c r="S2012" s="166"/>
      <c r="T2012" s="166"/>
      <c r="U2012" s="164">
        <f>($L2012*'Pivot Objective'!$C$9^2)*S2012*T2012</f>
        <v>0</v>
      </c>
      <c r="V2012" s="166"/>
      <c r="W2012" s="166"/>
      <c r="X2012" s="164">
        <f>($L2012*'Pivot Objective'!$C$9^3)*V2012*W2012</f>
        <v>0</v>
      </c>
      <c r="Y2012" s="166"/>
      <c r="Z2012" s="166"/>
      <c r="AA2012" s="164">
        <f>($L2012*'Pivot Objective'!$C$9^4)*Y2012*Z2012</f>
        <v>0</v>
      </c>
      <c r="AB2012" s="166"/>
      <c r="AC2012" s="166"/>
      <c r="AD2012" s="164">
        <f>($L2012*'Pivot Objective'!$C$9^5)*AB2012*AC2012</f>
        <v>0</v>
      </c>
      <c r="AE2012" s="166"/>
      <c r="AF2012" s="166"/>
      <c r="AG2012" s="164">
        <f>($L2012*'Pivot Objective'!$C$9^6)*AE2012*AF2012</f>
        <v>0</v>
      </c>
      <c r="AH2012" s="166">
        <v>22500</v>
      </c>
      <c r="AI2012" s="166">
        <v>1</v>
      </c>
      <c r="AJ2012" s="164">
        <f>($L2012*'Pivot Objective'!$C$9^7)*AH2012*AI2012</f>
        <v>12118808.951306494</v>
      </c>
      <c r="AK2012" s="185">
        <f t="shared" si="225"/>
        <v>22312990.741320781</v>
      </c>
      <c r="AL2012" s="186">
        <f t="shared" si="226"/>
        <v>21663.097807107555</v>
      </c>
    </row>
    <row r="2013" spans="1:38" customFormat="1" ht="43.2" x14ac:dyDescent="0.3">
      <c r="A2013" s="140" t="s">
        <v>1486</v>
      </c>
      <c r="B2013" s="140">
        <v>3</v>
      </c>
      <c r="C2013" s="166" t="s">
        <v>696</v>
      </c>
      <c r="D2013" s="140" t="str">
        <f t="shared" si="222"/>
        <v>3</v>
      </c>
      <c r="E2013" s="166" t="s">
        <v>691</v>
      </c>
      <c r="F2013" s="140">
        <f t="shared" si="227"/>
        <v>4</v>
      </c>
      <c r="G2013" s="140" t="str">
        <f t="shared" si="223"/>
        <v>3.3.4</v>
      </c>
      <c r="H2013" s="181" t="s">
        <v>1700</v>
      </c>
      <c r="I2013" s="166" t="s">
        <v>66</v>
      </c>
      <c r="J2013" s="166" t="s">
        <v>401</v>
      </c>
      <c r="K2013" s="166" t="s">
        <v>709</v>
      </c>
      <c r="L2013" s="167">
        <v>35000</v>
      </c>
      <c r="M2013" s="166">
        <v>100</v>
      </c>
      <c r="N2013" s="166">
        <v>1</v>
      </c>
      <c r="O2013" s="164">
        <f t="shared" si="224"/>
        <v>3500000</v>
      </c>
      <c r="P2013" s="166">
        <v>100</v>
      </c>
      <c r="Q2013" s="166">
        <v>1</v>
      </c>
      <c r="R2013" s="164">
        <f>$L2013*'Pivot Objective'!$C$9*P2013*Q2013</f>
        <v>4000223.8394999993</v>
      </c>
      <c r="S2013" s="166">
        <v>0</v>
      </c>
      <c r="T2013" s="166">
        <v>0</v>
      </c>
      <c r="U2013" s="164">
        <f>($L2013*'Pivot Objective'!$C$9^2)*S2013*T2013</f>
        <v>0</v>
      </c>
      <c r="V2013" s="166">
        <v>0</v>
      </c>
      <c r="W2013" s="166">
        <v>0</v>
      </c>
      <c r="X2013" s="164">
        <f>($L2013*'Pivot Objective'!$C$9^3)*V2013*W2013</f>
        <v>0</v>
      </c>
      <c r="Y2013" s="166">
        <v>0</v>
      </c>
      <c r="Z2013" s="166">
        <v>0</v>
      </c>
      <c r="AA2013" s="164">
        <f>($L2013*'Pivot Objective'!$C$9^4)*Y2013*Z2013</f>
        <v>0</v>
      </c>
      <c r="AB2013" s="166">
        <v>0</v>
      </c>
      <c r="AC2013" s="166">
        <v>0</v>
      </c>
      <c r="AD2013" s="164">
        <f>($L2013*'Pivot Objective'!$C$9^5)*AB2013*AC2013</f>
        <v>0</v>
      </c>
      <c r="AE2013" s="166">
        <v>0</v>
      </c>
      <c r="AF2013" s="166">
        <v>0</v>
      </c>
      <c r="AG2013" s="164">
        <f>($L2013*'Pivot Objective'!$C$9^6)*AE2013*AF2013</f>
        <v>0</v>
      </c>
      <c r="AH2013" s="166">
        <v>100</v>
      </c>
      <c r="AI2013" s="166">
        <v>1</v>
      </c>
      <c r="AJ2013" s="164">
        <f>($L2013*'Pivot Objective'!$C$9^7)*AH2013*AI2013</f>
        <v>8916240.8200303055</v>
      </c>
      <c r="AK2013" s="185">
        <f t="shared" si="225"/>
        <v>16416464.659530304</v>
      </c>
      <c r="AL2013" s="186">
        <f t="shared" si="226"/>
        <v>15938.315203427481</v>
      </c>
    </row>
    <row r="2014" spans="1:38" customFormat="1" ht="43.2" x14ac:dyDescent="0.3">
      <c r="A2014" s="140" t="s">
        <v>1486</v>
      </c>
      <c r="B2014" s="140">
        <v>3</v>
      </c>
      <c r="C2014" s="166" t="s">
        <v>696</v>
      </c>
      <c r="D2014" s="140" t="str">
        <f t="shared" si="222"/>
        <v>3</v>
      </c>
      <c r="E2014" s="166" t="s">
        <v>691</v>
      </c>
      <c r="F2014" s="140">
        <f t="shared" si="227"/>
        <v>4</v>
      </c>
      <c r="G2014" s="140" t="str">
        <f t="shared" si="223"/>
        <v>3.3.4</v>
      </c>
      <c r="H2014" s="181" t="s">
        <v>1700</v>
      </c>
      <c r="I2014" s="166" t="s">
        <v>66</v>
      </c>
      <c r="J2014" s="166" t="s">
        <v>401</v>
      </c>
      <c r="K2014" s="166" t="s">
        <v>716</v>
      </c>
      <c r="L2014" s="167">
        <v>39000</v>
      </c>
      <c r="M2014" s="166">
        <v>58</v>
      </c>
      <c r="N2014" s="166">
        <v>1</v>
      </c>
      <c r="O2014" s="164">
        <f t="shared" si="224"/>
        <v>2262000</v>
      </c>
      <c r="P2014" s="166">
        <v>58</v>
      </c>
      <c r="Q2014" s="166">
        <v>1</v>
      </c>
      <c r="R2014" s="164">
        <f>$L2014*'Pivot Objective'!$C$9*P2014*Q2014</f>
        <v>2585287.5214139996</v>
      </c>
      <c r="S2014" s="166">
        <v>0</v>
      </c>
      <c r="T2014" s="166">
        <v>0</v>
      </c>
      <c r="U2014" s="164">
        <f>($L2014*'Pivot Objective'!$C$9^2)*S2014*T2014</f>
        <v>0</v>
      </c>
      <c r="V2014" s="166">
        <v>0</v>
      </c>
      <c r="W2014" s="166">
        <v>0</v>
      </c>
      <c r="X2014" s="164">
        <f>($L2014*'Pivot Objective'!$C$9^3)*V2014*W2014</f>
        <v>0</v>
      </c>
      <c r="Y2014" s="166">
        <v>0</v>
      </c>
      <c r="Z2014" s="166">
        <v>0</v>
      </c>
      <c r="AA2014" s="164">
        <f>($L2014*'Pivot Objective'!$C$9^4)*Y2014*Z2014</f>
        <v>0</v>
      </c>
      <c r="AB2014" s="166">
        <v>0</v>
      </c>
      <c r="AC2014" s="166">
        <v>0</v>
      </c>
      <c r="AD2014" s="164">
        <f>($L2014*'Pivot Objective'!$C$9^5)*AB2014*AC2014</f>
        <v>0</v>
      </c>
      <c r="AE2014" s="166">
        <v>0</v>
      </c>
      <c r="AF2014" s="166">
        <v>0</v>
      </c>
      <c r="AG2014" s="164">
        <f>($L2014*'Pivot Objective'!$C$9^6)*AE2014*AF2014</f>
        <v>0</v>
      </c>
      <c r="AH2014" s="166">
        <v>58</v>
      </c>
      <c r="AI2014" s="166">
        <v>1</v>
      </c>
      <c r="AJ2014" s="164">
        <f>($L2014*'Pivot Objective'!$C$9^7)*AH2014*AI2014</f>
        <v>5762439.0671167281</v>
      </c>
      <c r="AK2014" s="185">
        <f t="shared" si="225"/>
        <v>10609726.588530727</v>
      </c>
      <c r="AL2014" s="186">
        <f t="shared" si="226"/>
        <v>10300.705425757988</v>
      </c>
    </row>
    <row r="2015" spans="1:38" customFormat="1" ht="43.2" x14ac:dyDescent="0.3">
      <c r="A2015" s="140" t="s">
        <v>1486</v>
      </c>
      <c r="B2015" s="140">
        <v>3</v>
      </c>
      <c r="C2015" s="166" t="s">
        <v>696</v>
      </c>
      <c r="D2015" s="140" t="str">
        <f t="shared" si="222"/>
        <v>3</v>
      </c>
      <c r="E2015" s="166" t="s">
        <v>691</v>
      </c>
      <c r="F2015" s="140">
        <f t="shared" si="227"/>
        <v>4</v>
      </c>
      <c r="G2015" s="140" t="str">
        <f t="shared" si="223"/>
        <v>3.3.4</v>
      </c>
      <c r="H2015" s="181" t="s">
        <v>1700</v>
      </c>
      <c r="I2015" s="166" t="s">
        <v>66</v>
      </c>
      <c r="J2015" s="166" t="s">
        <v>401</v>
      </c>
      <c r="K2015" s="166" t="s">
        <v>712</v>
      </c>
      <c r="L2015" s="167">
        <f>1480/7</f>
        <v>211.42857142857142</v>
      </c>
      <c r="M2015" s="166">
        <f>2*25*29</f>
        <v>1450</v>
      </c>
      <c r="N2015" s="166">
        <v>1</v>
      </c>
      <c r="O2015" s="164">
        <f t="shared" si="224"/>
        <v>306571.42857142858</v>
      </c>
      <c r="P2015" s="166">
        <f>2*25*29</f>
        <v>1450</v>
      </c>
      <c r="Q2015" s="166">
        <v>1</v>
      </c>
      <c r="R2015" s="164">
        <f>$L2015*'Pivot Objective'!$C$9*P2015*Q2015</f>
        <v>350386.95345171425</v>
      </c>
      <c r="S2015" s="166">
        <v>0</v>
      </c>
      <c r="T2015" s="166">
        <v>0</v>
      </c>
      <c r="U2015" s="164">
        <f>($L2015*'Pivot Objective'!$C$9^2)*S2015*T2015</f>
        <v>0</v>
      </c>
      <c r="V2015" s="166">
        <v>0</v>
      </c>
      <c r="W2015" s="166">
        <v>0</v>
      </c>
      <c r="X2015" s="164">
        <f>($L2015*'Pivot Objective'!$C$9^3)*V2015*W2015</f>
        <v>0</v>
      </c>
      <c r="Y2015" s="166">
        <v>0</v>
      </c>
      <c r="Z2015" s="166">
        <v>0</v>
      </c>
      <c r="AA2015" s="164">
        <f>($L2015*'Pivot Objective'!$C$9^4)*Y2015*Z2015</f>
        <v>0</v>
      </c>
      <c r="AB2015" s="166">
        <v>0</v>
      </c>
      <c r="AC2015" s="166">
        <v>0</v>
      </c>
      <c r="AD2015" s="164">
        <f>($L2015*'Pivot Objective'!$C$9^5)*AB2015*AC2015</f>
        <v>0</v>
      </c>
      <c r="AE2015" s="166">
        <v>0</v>
      </c>
      <c r="AF2015" s="166">
        <v>0</v>
      </c>
      <c r="AG2015" s="164">
        <f>($L2015*'Pivot Objective'!$C$9^6)*AE2015*AF2015</f>
        <v>0</v>
      </c>
      <c r="AH2015" s="166">
        <f>2*25*29</f>
        <v>1450</v>
      </c>
      <c r="AI2015" s="166">
        <v>1</v>
      </c>
      <c r="AJ2015" s="164">
        <f>($L2015*'Pivot Objective'!$C$9^7)*AH2015*AI2015</f>
        <v>780989.91019530746</v>
      </c>
      <c r="AK2015" s="185">
        <f t="shared" si="225"/>
        <v>1437948.2922184505</v>
      </c>
      <c r="AL2015" s="186">
        <f t="shared" si="226"/>
        <v>1396.0663031247093</v>
      </c>
    </row>
    <row r="2016" spans="1:38" customFormat="1" ht="43.2" x14ac:dyDescent="0.3">
      <c r="A2016" s="140" t="s">
        <v>1486</v>
      </c>
      <c r="B2016" s="140">
        <v>3</v>
      </c>
      <c r="C2016" s="166" t="s">
        <v>696</v>
      </c>
      <c r="D2016" s="140" t="str">
        <f t="shared" si="222"/>
        <v>3</v>
      </c>
      <c r="E2016" s="166" t="s">
        <v>691</v>
      </c>
      <c r="F2016" s="140">
        <f t="shared" si="227"/>
        <v>4</v>
      </c>
      <c r="G2016" s="140" t="str">
        <f t="shared" si="223"/>
        <v>3.3.4</v>
      </c>
      <c r="H2016" s="181" t="s">
        <v>1700</v>
      </c>
      <c r="I2016" s="166" t="s">
        <v>66</v>
      </c>
      <c r="J2016" s="166" t="s">
        <v>401</v>
      </c>
      <c r="K2016" s="166" t="s">
        <v>1392</v>
      </c>
      <c r="L2016" s="167">
        <f>1480/7</f>
        <v>211.42857142857142</v>
      </c>
      <c r="M2016" s="166">
        <v>22500</v>
      </c>
      <c r="N2016" s="166">
        <v>1</v>
      </c>
      <c r="O2016" s="164">
        <f t="shared" si="224"/>
        <v>4757142.8571428573</v>
      </c>
      <c r="P2016" s="166">
        <v>22500</v>
      </c>
      <c r="Q2016" s="166">
        <v>1</v>
      </c>
      <c r="R2016" s="164">
        <f>$L2016*'Pivot Objective'!$C$9*P2016*Q2016</f>
        <v>5437038.9328714283</v>
      </c>
      <c r="S2016" s="166"/>
      <c r="T2016" s="166"/>
      <c r="U2016" s="164">
        <f>($L2016*'Pivot Objective'!$C$9^2)*S2016*T2016</f>
        <v>0</v>
      </c>
      <c r="V2016" s="166"/>
      <c r="W2016" s="166"/>
      <c r="X2016" s="164">
        <f>($L2016*'Pivot Objective'!$C$9^3)*V2016*W2016</f>
        <v>0</v>
      </c>
      <c r="Y2016" s="166"/>
      <c r="Z2016" s="166"/>
      <c r="AA2016" s="164">
        <f>($L2016*'Pivot Objective'!$C$9^4)*Y2016*Z2016</f>
        <v>0</v>
      </c>
      <c r="AB2016" s="166"/>
      <c r="AC2016" s="166"/>
      <c r="AD2016" s="164">
        <f>($L2016*'Pivot Objective'!$C$9^5)*AB2016*AC2016</f>
        <v>0</v>
      </c>
      <c r="AE2016" s="166"/>
      <c r="AF2016" s="166"/>
      <c r="AG2016" s="164">
        <f>($L2016*'Pivot Objective'!$C$9^6)*AE2016*AF2016</f>
        <v>0</v>
      </c>
      <c r="AH2016" s="166">
        <v>22500</v>
      </c>
      <c r="AI2016" s="166">
        <v>1</v>
      </c>
      <c r="AJ2016" s="164">
        <f>($L2016*'Pivot Objective'!$C$9^7)*AH2016*AI2016</f>
        <v>12118808.951306494</v>
      </c>
      <c r="AK2016" s="185">
        <f t="shared" si="225"/>
        <v>22312990.741320781</v>
      </c>
      <c r="AL2016" s="186">
        <f t="shared" si="226"/>
        <v>21663.097807107555</v>
      </c>
    </row>
    <row r="2017" spans="1:38" customFormat="1" ht="43.2" x14ac:dyDescent="0.3">
      <c r="A2017" s="140" t="s">
        <v>1486</v>
      </c>
      <c r="B2017" s="140">
        <v>3</v>
      </c>
      <c r="C2017" s="166" t="s">
        <v>696</v>
      </c>
      <c r="D2017" s="140" t="str">
        <f t="shared" si="222"/>
        <v>3</v>
      </c>
      <c r="E2017" s="166" t="s">
        <v>691</v>
      </c>
      <c r="F2017" s="140">
        <f t="shared" si="227"/>
        <v>4</v>
      </c>
      <c r="G2017" s="140" t="str">
        <f t="shared" si="223"/>
        <v>3.3.4</v>
      </c>
      <c r="H2017" s="181" t="s">
        <v>1700</v>
      </c>
      <c r="I2017" s="166" t="s">
        <v>66</v>
      </c>
      <c r="J2017" s="166" t="s">
        <v>402</v>
      </c>
      <c r="K2017" s="166" t="s">
        <v>718</v>
      </c>
      <c r="L2017" s="167">
        <v>0</v>
      </c>
      <c r="M2017" s="166"/>
      <c r="N2017" s="166">
        <v>0</v>
      </c>
      <c r="O2017" s="164">
        <f t="shared" si="224"/>
        <v>0</v>
      </c>
      <c r="P2017" s="166"/>
      <c r="Q2017" s="166">
        <v>0</v>
      </c>
      <c r="R2017" s="164">
        <f>$L2017*'Pivot Objective'!$C$9*P2017*Q2017</f>
        <v>0</v>
      </c>
      <c r="S2017" s="166">
        <v>0</v>
      </c>
      <c r="T2017" s="166">
        <v>0</v>
      </c>
      <c r="U2017" s="164">
        <f>($L2017*'Pivot Objective'!$C$9^2)*S2017*T2017</f>
        <v>0</v>
      </c>
      <c r="V2017" s="166">
        <v>0</v>
      </c>
      <c r="W2017" s="166">
        <v>0</v>
      </c>
      <c r="X2017" s="164">
        <f>($L2017*'Pivot Objective'!$C$9^3)*V2017*W2017</f>
        <v>0</v>
      </c>
      <c r="Y2017" s="166">
        <v>0</v>
      </c>
      <c r="Z2017" s="166">
        <v>0</v>
      </c>
      <c r="AA2017" s="164">
        <f>($L2017*'Pivot Objective'!$C$9^4)*Y2017*Z2017</f>
        <v>0</v>
      </c>
      <c r="AB2017" s="166">
        <v>0</v>
      </c>
      <c r="AC2017" s="166">
        <v>0</v>
      </c>
      <c r="AD2017" s="164">
        <f>($L2017*'Pivot Objective'!$C$9^5)*AB2017*AC2017</f>
        <v>0</v>
      </c>
      <c r="AE2017" s="166">
        <v>0</v>
      </c>
      <c r="AF2017" s="166">
        <v>0</v>
      </c>
      <c r="AG2017" s="164">
        <f>($L2017*'Pivot Objective'!$C$9^6)*AE2017*AF2017</f>
        <v>0</v>
      </c>
      <c r="AH2017" s="166"/>
      <c r="AI2017" s="166">
        <v>0</v>
      </c>
      <c r="AJ2017" s="164">
        <f>($L2017*'Pivot Objective'!$C$9^7)*AH2017*AI2017</f>
        <v>0</v>
      </c>
      <c r="AK2017" s="185">
        <f t="shared" si="225"/>
        <v>0</v>
      </c>
      <c r="AL2017" s="186">
        <f t="shared" si="226"/>
        <v>0</v>
      </c>
    </row>
    <row r="2018" spans="1:38" customFormat="1" ht="43.2" x14ac:dyDescent="0.3">
      <c r="A2018" s="140" t="s">
        <v>1486</v>
      </c>
      <c r="B2018" s="140">
        <v>3</v>
      </c>
      <c r="C2018" s="166" t="s">
        <v>696</v>
      </c>
      <c r="D2018" s="140" t="str">
        <f t="shared" si="222"/>
        <v>3</v>
      </c>
      <c r="E2018" s="166" t="s">
        <v>691</v>
      </c>
      <c r="F2018" s="140">
        <f t="shared" si="227"/>
        <v>4</v>
      </c>
      <c r="G2018" s="140" t="str">
        <f t="shared" si="223"/>
        <v>3.3.4</v>
      </c>
      <c r="H2018" s="181" t="s">
        <v>1700</v>
      </c>
      <c r="I2018" s="166" t="s">
        <v>67</v>
      </c>
      <c r="J2018" s="166" t="s">
        <v>403</v>
      </c>
      <c r="K2018" s="166" t="s">
        <v>716</v>
      </c>
      <c r="L2018" s="167">
        <v>39000</v>
      </c>
      <c r="M2018" s="166">
        <v>25</v>
      </c>
      <c r="N2018" s="166">
        <v>6</v>
      </c>
      <c r="O2018" s="164">
        <f t="shared" si="224"/>
        <v>5850000</v>
      </c>
      <c r="P2018" s="166">
        <v>25</v>
      </c>
      <c r="Q2018" s="166">
        <v>6</v>
      </c>
      <c r="R2018" s="164">
        <f>$L2018*'Pivot Objective'!$C$9*P2018*Q2018</f>
        <v>6686088.4174499996</v>
      </c>
      <c r="S2018" s="166">
        <v>0</v>
      </c>
      <c r="T2018" s="166">
        <v>0</v>
      </c>
      <c r="U2018" s="164">
        <f>($L2018*'Pivot Objective'!$C$9^2)*S2018*T2018</f>
        <v>0</v>
      </c>
      <c r="V2018" s="166">
        <v>0</v>
      </c>
      <c r="W2018" s="166">
        <v>0</v>
      </c>
      <c r="X2018" s="164">
        <f>($L2018*'Pivot Objective'!$C$9^3)*V2018*W2018</f>
        <v>0</v>
      </c>
      <c r="Y2018" s="166">
        <v>0</v>
      </c>
      <c r="Z2018" s="166">
        <v>0</v>
      </c>
      <c r="AA2018" s="164">
        <f>($L2018*'Pivot Objective'!$C$9^4)*Y2018*Z2018</f>
        <v>0</v>
      </c>
      <c r="AB2018" s="166">
        <v>0</v>
      </c>
      <c r="AC2018" s="166">
        <v>0</v>
      </c>
      <c r="AD2018" s="164">
        <f>($L2018*'Pivot Objective'!$C$9^5)*AB2018*AC2018</f>
        <v>0</v>
      </c>
      <c r="AE2018" s="166">
        <v>0</v>
      </c>
      <c r="AF2018" s="166">
        <v>0</v>
      </c>
      <c r="AG2018" s="164">
        <f>($L2018*'Pivot Objective'!$C$9^6)*AE2018*AF2018</f>
        <v>0</v>
      </c>
      <c r="AH2018" s="166">
        <v>25</v>
      </c>
      <c r="AI2018" s="166">
        <v>6</v>
      </c>
      <c r="AJ2018" s="164">
        <f>($L2018*'Pivot Objective'!$C$9^7)*AH2018*AI2018</f>
        <v>14902859.656336365</v>
      </c>
      <c r="AK2018" s="185">
        <f t="shared" si="225"/>
        <v>27438948.073786363</v>
      </c>
      <c r="AL2018" s="186">
        <f t="shared" si="226"/>
        <v>26639.755411443071</v>
      </c>
    </row>
    <row r="2019" spans="1:38" customFormat="1" ht="43.2" x14ac:dyDescent="0.3">
      <c r="A2019" s="140" t="s">
        <v>1486</v>
      </c>
      <c r="B2019" s="140">
        <v>3</v>
      </c>
      <c r="C2019" s="166" t="s">
        <v>696</v>
      </c>
      <c r="D2019" s="140" t="str">
        <f t="shared" si="222"/>
        <v>3</v>
      </c>
      <c r="E2019" s="166" t="s">
        <v>691</v>
      </c>
      <c r="F2019" s="140">
        <f t="shared" si="227"/>
        <v>4</v>
      </c>
      <c r="G2019" s="140" t="str">
        <f t="shared" si="223"/>
        <v>3.3.4</v>
      </c>
      <c r="H2019" s="181" t="s">
        <v>1700</v>
      </c>
      <c r="I2019" s="166" t="s">
        <v>67</v>
      </c>
      <c r="J2019" s="166" t="s">
        <v>403</v>
      </c>
      <c r="K2019" s="166" t="s">
        <v>709</v>
      </c>
      <c r="L2019" s="167">
        <v>35000</v>
      </c>
      <c r="M2019" s="166">
        <v>25</v>
      </c>
      <c r="N2019" s="166">
        <v>5</v>
      </c>
      <c r="O2019" s="164">
        <f t="shared" si="224"/>
        <v>4375000</v>
      </c>
      <c r="P2019" s="166">
        <v>25</v>
      </c>
      <c r="Q2019" s="166">
        <v>5</v>
      </c>
      <c r="R2019" s="164">
        <f>$L2019*'Pivot Objective'!$C$9*P2019*Q2019</f>
        <v>5000279.7993749995</v>
      </c>
      <c r="S2019" s="166">
        <v>0</v>
      </c>
      <c r="T2019" s="166">
        <v>0</v>
      </c>
      <c r="U2019" s="164">
        <f>($L2019*'Pivot Objective'!$C$9^2)*S2019*T2019</f>
        <v>0</v>
      </c>
      <c r="V2019" s="166">
        <v>0</v>
      </c>
      <c r="W2019" s="166">
        <v>0</v>
      </c>
      <c r="X2019" s="164">
        <f>($L2019*'Pivot Objective'!$C$9^3)*V2019*W2019</f>
        <v>0</v>
      </c>
      <c r="Y2019" s="166">
        <v>0</v>
      </c>
      <c r="Z2019" s="166">
        <v>0</v>
      </c>
      <c r="AA2019" s="164">
        <f>($L2019*'Pivot Objective'!$C$9^4)*Y2019*Z2019</f>
        <v>0</v>
      </c>
      <c r="AB2019" s="166">
        <v>0</v>
      </c>
      <c r="AC2019" s="166">
        <v>0</v>
      </c>
      <c r="AD2019" s="164">
        <f>($L2019*'Pivot Objective'!$C$9^5)*AB2019*AC2019</f>
        <v>0</v>
      </c>
      <c r="AE2019" s="166">
        <v>0</v>
      </c>
      <c r="AF2019" s="166">
        <v>0</v>
      </c>
      <c r="AG2019" s="164">
        <f>($L2019*'Pivot Objective'!$C$9^6)*AE2019*AF2019</f>
        <v>0</v>
      </c>
      <c r="AH2019" s="166">
        <v>25</v>
      </c>
      <c r="AI2019" s="166">
        <v>5</v>
      </c>
      <c r="AJ2019" s="164">
        <f>($L2019*'Pivot Objective'!$C$9^7)*AH2019*AI2019</f>
        <v>11145301.025037881</v>
      </c>
      <c r="AK2019" s="185">
        <f t="shared" si="225"/>
        <v>20520580.824412882</v>
      </c>
      <c r="AL2019" s="186">
        <f t="shared" si="226"/>
        <v>19922.894004284353</v>
      </c>
    </row>
    <row r="2020" spans="1:38" customFormat="1" ht="43.2" x14ac:dyDescent="0.3">
      <c r="A2020" s="140" t="s">
        <v>1486</v>
      </c>
      <c r="B2020" s="140">
        <v>3</v>
      </c>
      <c r="C2020" s="166" t="s">
        <v>696</v>
      </c>
      <c r="D2020" s="140" t="str">
        <f t="shared" si="222"/>
        <v>3</v>
      </c>
      <c r="E2020" s="166" t="s">
        <v>691</v>
      </c>
      <c r="F2020" s="140">
        <f t="shared" si="227"/>
        <v>4</v>
      </c>
      <c r="G2020" s="140" t="str">
        <f t="shared" si="223"/>
        <v>3.3.4</v>
      </c>
      <c r="H2020" s="181" t="s">
        <v>1700</v>
      </c>
      <c r="I2020" s="166" t="s">
        <v>67</v>
      </c>
      <c r="J2020" s="166" t="s">
        <v>403</v>
      </c>
      <c r="K2020" s="166" t="s">
        <v>712</v>
      </c>
      <c r="L2020" s="167">
        <f>1480/7</f>
        <v>211.42857142857142</v>
      </c>
      <c r="M2020" s="166">
        <f>2*25*9</f>
        <v>450</v>
      </c>
      <c r="N2020" s="166">
        <v>5</v>
      </c>
      <c r="O2020" s="164">
        <f t="shared" si="224"/>
        <v>475714.28571428568</v>
      </c>
      <c r="P2020" s="166">
        <f>2*25*9</f>
        <v>450</v>
      </c>
      <c r="Q2020" s="166">
        <v>5</v>
      </c>
      <c r="R2020" s="164">
        <f>$L2020*'Pivot Objective'!$C$9*P2020*Q2020</f>
        <v>543703.89328714274</v>
      </c>
      <c r="S2020" s="166">
        <v>0</v>
      </c>
      <c r="T2020" s="166">
        <v>0</v>
      </c>
      <c r="U2020" s="164">
        <f>($L2020*'Pivot Objective'!$C$9^2)*S2020*T2020</f>
        <v>0</v>
      </c>
      <c r="V2020" s="166">
        <v>0</v>
      </c>
      <c r="W2020" s="166">
        <v>0</v>
      </c>
      <c r="X2020" s="164">
        <f>($L2020*'Pivot Objective'!$C$9^3)*V2020*W2020</f>
        <v>0</v>
      </c>
      <c r="Y2020" s="166">
        <v>0</v>
      </c>
      <c r="Z2020" s="166">
        <v>0</v>
      </c>
      <c r="AA2020" s="164">
        <f>($L2020*'Pivot Objective'!$C$9^4)*Y2020*Z2020</f>
        <v>0</v>
      </c>
      <c r="AB2020" s="166">
        <v>0</v>
      </c>
      <c r="AC2020" s="166">
        <v>0</v>
      </c>
      <c r="AD2020" s="164">
        <f>($L2020*'Pivot Objective'!$C$9^5)*AB2020*AC2020</f>
        <v>0</v>
      </c>
      <c r="AE2020" s="166">
        <v>0</v>
      </c>
      <c r="AF2020" s="166">
        <v>0</v>
      </c>
      <c r="AG2020" s="164">
        <f>($L2020*'Pivot Objective'!$C$9^6)*AE2020*AF2020</f>
        <v>0</v>
      </c>
      <c r="AH2020" s="166">
        <f>2*25*9</f>
        <v>450</v>
      </c>
      <c r="AI2020" s="166">
        <v>5</v>
      </c>
      <c r="AJ2020" s="164">
        <f>($L2020*'Pivot Objective'!$C$9^7)*AH2020*AI2020</f>
        <v>1211880.8951306494</v>
      </c>
      <c r="AK2020" s="185">
        <f t="shared" si="225"/>
        <v>2231299.0741320779</v>
      </c>
      <c r="AL2020" s="186">
        <f t="shared" si="226"/>
        <v>2166.3097807107551</v>
      </c>
    </row>
    <row r="2021" spans="1:38" customFormat="1" ht="43.2" x14ac:dyDescent="0.3">
      <c r="A2021" s="140" t="s">
        <v>1486</v>
      </c>
      <c r="B2021" s="140">
        <v>3</v>
      </c>
      <c r="C2021" s="166" t="s">
        <v>696</v>
      </c>
      <c r="D2021" s="140" t="str">
        <f t="shared" si="222"/>
        <v>3</v>
      </c>
      <c r="E2021" s="166" t="s">
        <v>691</v>
      </c>
      <c r="F2021" s="140">
        <f t="shared" si="227"/>
        <v>4</v>
      </c>
      <c r="G2021" s="140" t="str">
        <f t="shared" si="223"/>
        <v>3.3.4</v>
      </c>
      <c r="H2021" s="181" t="s">
        <v>1700</v>
      </c>
      <c r="I2021" s="166" t="s">
        <v>67</v>
      </c>
      <c r="J2021" s="166" t="s">
        <v>403</v>
      </c>
      <c r="K2021" s="166" t="s">
        <v>1392</v>
      </c>
      <c r="L2021" s="167">
        <f>1480/7</f>
        <v>211.42857142857142</v>
      </c>
      <c r="M2021" s="166">
        <f>2*135*9</f>
        <v>2430</v>
      </c>
      <c r="N2021" s="166">
        <v>1</v>
      </c>
      <c r="O2021" s="164">
        <f t="shared" si="224"/>
        <v>513771.42857142852</v>
      </c>
      <c r="P2021" s="166">
        <f>2*135*9</f>
        <v>2430</v>
      </c>
      <c r="Q2021" s="166">
        <v>1</v>
      </c>
      <c r="R2021" s="164">
        <f>$L2021*'Pivot Objective'!$C$9*P2021*Q2021</f>
        <v>587200.20475011424</v>
      </c>
      <c r="S2021" s="166"/>
      <c r="T2021" s="166"/>
      <c r="U2021" s="164">
        <f>($L2021*'Pivot Objective'!$C$9^2)*S2021*T2021</f>
        <v>0</v>
      </c>
      <c r="V2021" s="166"/>
      <c r="W2021" s="166"/>
      <c r="X2021" s="164">
        <f>($L2021*'Pivot Objective'!$C$9^3)*V2021*W2021</f>
        <v>0</v>
      </c>
      <c r="Y2021" s="166"/>
      <c r="Z2021" s="166"/>
      <c r="AA2021" s="164">
        <f>($L2021*'Pivot Objective'!$C$9^4)*Y2021*Z2021</f>
        <v>0</v>
      </c>
      <c r="AB2021" s="166"/>
      <c r="AC2021" s="166"/>
      <c r="AD2021" s="164">
        <f>($L2021*'Pivot Objective'!$C$9^5)*AB2021*AC2021</f>
        <v>0</v>
      </c>
      <c r="AE2021" s="166"/>
      <c r="AF2021" s="166"/>
      <c r="AG2021" s="164">
        <f>($L2021*'Pivot Objective'!$C$9^6)*AE2021*AF2021</f>
        <v>0</v>
      </c>
      <c r="AH2021" s="166">
        <f>2*135*9</f>
        <v>2430</v>
      </c>
      <c r="AI2021" s="166">
        <v>1</v>
      </c>
      <c r="AJ2021" s="164">
        <f>($L2021*'Pivot Objective'!$C$9^7)*AH2021*AI2021</f>
        <v>1308831.3667411015</v>
      </c>
      <c r="AK2021" s="185">
        <f t="shared" si="225"/>
        <v>2409803.0000626445</v>
      </c>
      <c r="AL2021" s="186">
        <f t="shared" si="226"/>
        <v>2339.6145631676159</v>
      </c>
    </row>
    <row r="2022" spans="1:38" customFormat="1" ht="43.2" x14ac:dyDescent="0.3">
      <c r="A2022" s="140" t="s">
        <v>1486</v>
      </c>
      <c r="B2022" s="140">
        <v>3</v>
      </c>
      <c r="C2022" s="166" t="s">
        <v>696</v>
      </c>
      <c r="D2022" s="140" t="str">
        <f t="shared" si="222"/>
        <v>3</v>
      </c>
      <c r="E2022" s="166" t="s">
        <v>691</v>
      </c>
      <c r="F2022" s="140">
        <f t="shared" si="227"/>
        <v>4</v>
      </c>
      <c r="G2022" s="140" t="str">
        <f t="shared" si="223"/>
        <v>3.3.4</v>
      </c>
      <c r="H2022" s="181" t="s">
        <v>1700</v>
      </c>
      <c r="I2022" s="166" t="s">
        <v>67</v>
      </c>
      <c r="J2022" s="166" t="s">
        <v>404</v>
      </c>
      <c r="K2022" s="166" t="s">
        <v>718</v>
      </c>
      <c r="L2022" s="167">
        <v>0</v>
      </c>
      <c r="M2022" s="166">
        <v>0</v>
      </c>
      <c r="N2022" s="166">
        <v>0</v>
      </c>
      <c r="O2022" s="164">
        <f t="shared" si="224"/>
        <v>0</v>
      </c>
      <c r="P2022" s="166">
        <v>0</v>
      </c>
      <c r="Q2022" s="166">
        <v>0</v>
      </c>
      <c r="R2022" s="164">
        <f>$L2022*'Pivot Objective'!$C$9*P2022*Q2022</f>
        <v>0</v>
      </c>
      <c r="S2022" s="166">
        <v>0</v>
      </c>
      <c r="T2022" s="166">
        <v>0</v>
      </c>
      <c r="U2022" s="164">
        <f>($L2022*'Pivot Objective'!$C$9^2)*S2022*T2022</f>
        <v>0</v>
      </c>
      <c r="V2022" s="166">
        <v>0</v>
      </c>
      <c r="W2022" s="166">
        <v>0</v>
      </c>
      <c r="X2022" s="164">
        <f>($L2022*'Pivot Objective'!$C$9^3)*V2022*W2022</f>
        <v>0</v>
      </c>
      <c r="Y2022" s="166">
        <v>0</v>
      </c>
      <c r="Z2022" s="166">
        <v>0</v>
      </c>
      <c r="AA2022" s="164">
        <f>($L2022*'Pivot Objective'!$C$9^4)*Y2022*Z2022</f>
        <v>0</v>
      </c>
      <c r="AB2022" s="166">
        <v>0</v>
      </c>
      <c r="AC2022" s="166">
        <v>0</v>
      </c>
      <c r="AD2022" s="164">
        <f>($L2022*'Pivot Objective'!$C$9^5)*AB2022*AC2022</f>
        <v>0</v>
      </c>
      <c r="AE2022" s="166">
        <v>0</v>
      </c>
      <c r="AF2022" s="166">
        <v>0</v>
      </c>
      <c r="AG2022" s="164">
        <f>($L2022*'Pivot Objective'!$C$9^6)*AE2022*AF2022</f>
        <v>0</v>
      </c>
      <c r="AH2022" s="166">
        <v>0</v>
      </c>
      <c r="AI2022" s="166">
        <v>0</v>
      </c>
      <c r="AJ2022" s="164">
        <f>($L2022*'Pivot Objective'!$C$9^7)*AH2022*AI2022</f>
        <v>0</v>
      </c>
      <c r="AK2022" s="185">
        <f t="shared" si="225"/>
        <v>0</v>
      </c>
      <c r="AL2022" s="186">
        <f t="shared" si="226"/>
        <v>0</v>
      </c>
    </row>
    <row r="2023" spans="1:38" customFormat="1" ht="43.2" x14ac:dyDescent="0.3">
      <c r="A2023" s="140" t="s">
        <v>1486</v>
      </c>
      <c r="B2023" s="140">
        <v>3</v>
      </c>
      <c r="C2023" s="166" t="s">
        <v>696</v>
      </c>
      <c r="D2023" s="140" t="str">
        <f t="shared" si="222"/>
        <v>3</v>
      </c>
      <c r="E2023" s="166" t="s">
        <v>691</v>
      </c>
      <c r="F2023" s="140">
        <f t="shared" si="227"/>
        <v>4</v>
      </c>
      <c r="G2023" s="140" t="str">
        <f t="shared" si="223"/>
        <v>3.3.4</v>
      </c>
      <c r="H2023" s="181" t="s">
        <v>1700</v>
      </c>
      <c r="I2023" s="166" t="s">
        <v>67</v>
      </c>
      <c r="J2023" s="166" t="s">
        <v>405</v>
      </c>
      <c r="K2023" s="166" t="s">
        <v>716</v>
      </c>
      <c r="L2023" s="167">
        <v>39000</v>
      </c>
      <c r="M2023" s="166">
        <v>25</v>
      </c>
      <c r="N2023" s="166">
        <v>6</v>
      </c>
      <c r="O2023" s="164">
        <f t="shared" si="224"/>
        <v>5850000</v>
      </c>
      <c r="P2023" s="166">
        <v>25</v>
      </c>
      <c r="Q2023" s="166">
        <v>6</v>
      </c>
      <c r="R2023" s="164">
        <f>$L2023*'Pivot Objective'!$C$9*P2023*Q2023</f>
        <v>6686088.4174499996</v>
      </c>
      <c r="S2023" s="166">
        <v>0</v>
      </c>
      <c r="T2023" s="166">
        <v>0</v>
      </c>
      <c r="U2023" s="164">
        <f>($L2023*'Pivot Objective'!$C$9^2)*S2023*T2023</f>
        <v>0</v>
      </c>
      <c r="V2023" s="166">
        <v>0</v>
      </c>
      <c r="W2023" s="166">
        <v>0</v>
      </c>
      <c r="X2023" s="164">
        <f>($L2023*'Pivot Objective'!$C$9^3)*V2023*W2023</f>
        <v>0</v>
      </c>
      <c r="Y2023" s="166">
        <v>0</v>
      </c>
      <c r="Z2023" s="166">
        <v>0</v>
      </c>
      <c r="AA2023" s="164">
        <f>($L2023*'Pivot Objective'!$C$9^4)*Y2023*Z2023</f>
        <v>0</v>
      </c>
      <c r="AB2023" s="166">
        <v>0</v>
      </c>
      <c r="AC2023" s="166">
        <v>0</v>
      </c>
      <c r="AD2023" s="164">
        <f>($L2023*'Pivot Objective'!$C$9^5)*AB2023*AC2023</f>
        <v>0</v>
      </c>
      <c r="AE2023" s="166">
        <v>0</v>
      </c>
      <c r="AF2023" s="166">
        <v>0</v>
      </c>
      <c r="AG2023" s="164">
        <f>($L2023*'Pivot Objective'!$C$9^6)*AE2023*AF2023</f>
        <v>0</v>
      </c>
      <c r="AH2023" s="166">
        <v>25</v>
      </c>
      <c r="AI2023" s="166">
        <v>6</v>
      </c>
      <c r="AJ2023" s="164">
        <f>($L2023*'Pivot Objective'!$C$9^7)*AH2023*AI2023</f>
        <v>14902859.656336365</v>
      </c>
      <c r="AK2023" s="185">
        <f t="shared" si="225"/>
        <v>27438948.073786363</v>
      </c>
      <c r="AL2023" s="186">
        <f t="shared" si="226"/>
        <v>26639.755411443071</v>
      </c>
    </row>
    <row r="2024" spans="1:38" customFormat="1" ht="43.2" x14ac:dyDescent="0.3">
      <c r="A2024" s="140" t="s">
        <v>1486</v>
      </c>
      <c r="B2024" s="140">
        <v>3</v>
      </c>
      <c r="C2024" s="166" t="s">
        <v>696</v>
      </c>
      <c r="D2024" s="140" t="str">
        <f t="shared" si="222"/>
        <v>3</v>
      </c>
      <c r="E2024" s="166" t="s">
        <v>691</v>
      </c>
      <c r="F2024" s="140">
        <f t="shared" si="227"/>
        <v>4</v>
      </c>
      <c r="G2024" s="140" t="str">
        <f t="shared" si="223"/>
        <v>3.3.4</v>
      </c>
      <c r="H2024" s="181" t="s">
        <v>1700</v>
      </c>
      <c r="I2024" s="166" t="s">
        <v>67</v>
      </c>
      <c r="J2024" s="166" t="s">
        <v>405</v>
      </c>
      <c r="K2024" s="166" t="s">
        <v>709</v>
      </c>
      <c r="L2024" s="167">
        <v>35000</v>
      </c>
      <c r="M2024" s="166">
        <v>25</v>
      </c>
      <c r="N2024" s="166">
        <v>5</v>
      </c>
      <c r="O2024" s="164">
        <f t="shared" si="224"/>
        <v>4375000</v>
      </c>
      <c r="P2024" s="166">
        <v>25</v>
      </c>
      <c r="Q2024" s="166">
        <v>5</v>
      </c>
      <c r="R2024" s="164">
        <f>$L2024*'Pivot Objective'!$C$9*P2024*Q2024</f>
        <v>5000279.7993749995</v>
      </c>
      <c r="S2024" s="166">
        <v>0</v>
      </c>
      <c r="T2024" s="166">
        <v>0</v>
      </c>
      <c r="U2024" s="164">
        <f>($L2024*'Pivot Objective'!$C$9^2)*S2024*T2024</f>
        <v>0</v>
      </c>
      <c r="V2024" s="166">
        <v>0</v>
      </c>
      <c r="W2024" s="166">
        <v>0</v>
      </c>
      <c r="X2024" s="164">
        <f>($L2024*'Pivot Objective'!$C$9^3)*V2024*W2024</f>
        <v>0</v>
      </c>
      <c r="Y2024" s="166">
        <v>0</v>
      </c>
      <c r="Z2024" s="166">
        <v>0</v>
      </c>
      <c r="AA2024" s="164">
        <f>($L2024*'Pivot Objective'!$C$9^4)*Y2024*Z2024</f>
        <v>0</v>
      </c>
      <c r="AB2024" s="166">
        <v>0</v>
      </c>
      <c r="AC2024" s="166">
        <v>0</v>
      </c>
      <c r="AD2024" s="164">
        <f>($L2024*'Pivot Objective'!$C$9^5)*AB2024*AC2024</f>
        <v>0</v>
      </c>
      <c r="AE2024" s="166">
        <v>0</v>
      </c>
      <c r="AF2024" s="166">
        <v>0</v>
      </c>
      <c r="AG2024" s="164">
        <f>($L2024*'Pivot Objective'!$C$9^6)*AE2024*AF2024</f>
        <v>0</v>
      </c>
      <c r="AH2024" s="166">
        <v>25</v>
      </c>
      <c r="AI2024" s="166">
        <v>5</v>
      </c>
      <c r="AJ2024" s="164">
        <f>($L2024*'Pivot Objective'!$C$9^7)*AH2024*AI2024</f>
        <v>11145301.025037881</v>
      </c>
      <c r="AK2024" s="185">
        <f t="shared" si="225"/>
        <v>20520580.824412882</v>
      </c>
      <c r="AL2024" s="186">
        <f t="shared" si="226"/>
        <v>19922.894004284353</v>
      </c>
    </row>
    <row r="2025" spans="1:38" customFormat="1" ht="43.2" x14ac:dyDescent="0.3">
      <c r="A2025" s="140" t="s">
        <v>1486</v>
      </c>
      <c r="B2025" s="140">
        <v>3</v>
      </c>
      <c r="C2025" s="166" t="s">
        <v>696</v>
      </c>
      <c r="D2025" s="140" t="str">
        <f t="shared" si="222"/>
        <v>3</v>
      </c>
      <c r="E2025" s="166" t="s">
        <v>691</v>
      </c>
      <c r="F2025" s="140">
        <f t="shared" si="227"/>
        <v>4</v>
      </c>
      <c r="G2025" s="140" t="str">
        <f t="shared" si="223"/>
        <v>3.3.4</v>
      </c>
      <c r="H2025" s="181" t="s">
        <v>1700</v>
      </c>
      <c r="I2025" s="166" t="s">
        <v>67</v>
      </c>
      <c r="J2025" s="166" t="s">
        <v>405</v>
      </c>
      <c r="K2025" s="166" t="s">
        <v>712</v>
      </c>
      <c r="L2025" s="167">
        <f>1480/7</f>
        <v>211.42857142857142</v>
      </c>
      <c r="M2025" s="166">
        <f>2*25*9</f>
        <v>450</v>
      </c>
      <c r="N2025" s="166">
        <v>5</v>
      </c>
      <c r="O2025" s="164">
        <f t="shared" si="224"/>
        <v>475714.28571428568</v>
      </c>
      <c r="P2025" s="166">
        <f>2*25*9</f>
        <v>450</v>
      </c>
      <c r="Q2025" s="166">
        <v>5</v>
      </c>
      <c r="R2025" s="164">
        <f>$L2025*'Pivot Objective'!$C$9*P2025*Q2025</f>
        <v>543703.89328714274</v>
      </c>
      <c r="S2025" s="166">
        <v>0</v>
      </c>
      <c r="T2025" s="166">
        <v>0</v>
      </c>
      <c r="U2025" s="164">
        <f>($L2025*'Pivot Objective'!$C$9^2)*S2025*T2025</f>
        <v>0</v>
      </c>
      <c r="V2025" s="166">
        <v>0</v>
      </c>
      <c r="W2025" s="166">
        <v>0</v>
      </c>
      <c r="X2025" s="164">
        <f>($L2025*'Pivot Objective'!$C$9^3)*V2025*W2025</f>
        <v>0</v>
      </c>
      <c r="Y2025" s="166">
        <v>0</v>
      </c>
      <c r="Z2025" s="166">
        <v>0</v>
      </c>
      <c r="AA2025" s="164">
        <f>($L2025*'Pivot Objective'!$C$9^4)*Y2025*Z2025</f>
        <v>0</v>
      </c>
      <c r="AB2025" s="166">
        <v>0</v>
      </c>
      <c r="AC2025" s="166">
        <v>0</v>
      </c>
      <c r="AD2025" s="164">
        <f>($L2025*'Pivot Objective'!$C$9^5)*AB2025*AC2025</f>
        <v>0</v>
      </c>
      <c r="AE2025" s="166">
        <v>0</v>
      </c>
      <c r="AF2025" s="166">
        <v>0</v>
      </c>
      <c r="AG2025" s="164">
        <f>($L2025*'Pivot Objective'!$C$9^6)*AE2025*AF2025</f>
        <v>0</v>
      </c>
      <c r="AH2025" s="166">
        <f>2*25*9</f>
        <v>450</v>
      </c>
      <c r="AI2025" s="166">
        <v>5</v>
      </c>
      <c r="AJ2025" s="164">
        <f>($L2025*'Pivot Objective'!$C$9^7)*AH2025*AI2025</f>
        <v>1211880.8951306494</v>
      </c>
      <c r="AK2025" s="185">
        <f t="shared" si="225"/>
        <v>2231299.0741320779</v>
      </c>
      <c r="AL2025" s="186">
        <f t="shared" si="226"/>
        <v>2166.3097807107551</v>
      </c>
    </row>
    <row r="2026" spans="1:38" customFormat="1" ht="43.2" x14ac:dyDescent="0.3">
      <c r="A2026" s="140" t="s">
        <v>1486</v>
      </c>
      <c r="B2026" s="140">
        <v>3</v>
      </c>
      <c r="C2026" s="166" t="s">
        <v>696</v>
      </c>
      <c r="D2026" s="140" t="str">
        <f t="shared" si="222"/>
        <v>3</v>
      </c>
      <c r="E2026" s="166" t="s">
        <v>691</v>
      </c>
      <c r="F2026" s="140">
        <f t="shared" si="227"/>
        <v>4</v>
      </c>
      <c r="G2026" s="140" t="str">
        <f t="shared" si="223"/>
        <v>3.3.4</v>
      </c>
      <c r="H2026" s="181" t="s">
        <v>1700</v>
      </c>
      <c r="I2026" s="166" t="s">
        <v>67</v>
      </c>
      <c r="J2026" s="166" t="s">
        <v>405</v>
      </c>
      <c r="K2026" s="166" t="s">
        <v>1392</v>
      </c>
      <c r="L2026" s="167">
        <f>1480/7</f>
        <v>211.42857142857142</v>
      </c>
      <c r="M2026" s="166">
        <f>2*135*9</f>
        <v>2430</v>
      </c>
      <c r="N2026" s="166">
        <v>1</v>
      </c>
      <c r="O2026" s="164">
        <f t="shared" si="224"/>
        <v>513771.42857142852</v>
      </c>
      <c r="P2026" s="166">
        <f>2*135*9</f>
        <v>2430</v>
      </c>
      <c r="Q2026" s="166">
        <v>1</v>
      </c>
      <c r="R2026" s="164">
        <f>$L2026*'Pivot Objective'!$C$9*P2026*Q2026</f>
        <v>587200.20475011424</v>
      </c>
      <c r="S2026" s="166"/>
      <c r="T2026" s="166"/>
      <c r="U2026" s="164">
        <f>($L2026*'Pivot Objective'!$C$9^2)*S2026*T2026</f>
        <v>0</v>
      </c>
      <c r="V2026" s="166"/>
      <c r="W2026" s="166"/>
      <c r="X2026" s="164">
        <f>($L2026*'Pivot Objective'!$C$9^3)*V2026*W2026</f>
        <v>0</v>
      </c>
      <c r="Y2026" s="166"/>
      <c r="Z2026" s="166"/>
      <c r="AA2026" s="164">
        <f>($L2026*'Pivot Objective'!$C$9^4)*Y2026*Z2026</f>
        <v>0</v>
      </c>
      <c r="AB2026" s="166"/>
      <c r="AC2026" s="166"/>
      <c r="AD2026" s="164">
        <f>($L2026*'Pivot Objective'!$C$9^5)*AB2026*AC2026</f>
        <v>0</v>
      </c>
      <c r="AE2026" s="166"/>
      <c r="AF2026" s="166"/>
      <c r="AG2026" s="164">
        <f>($L2026*'Pivot Objective'!$C$9^6)*AE2026*AF2026</f>
        <v>0</v>
      </c>
      <c r="AH2026" s="166">
        <f>2*135*9</f>
        <v>2430</v>
      </c>
      <c r="AI2026" s="166">
        <v>1</v>
      </c>
      <c r="AJ2026" s="164">
        <f>($L2026*'Pivot Objective'!$C$9^7)*AH2026*AI2026</f>
        <v>1308831.3667411015</v>
      </c>
      <c r="AK2026" s="185">
        <f t="shared" si="225"/>
        <v>2409803.0000626445</v>
      </c>
      <c r="AL2026" s="186">
        <f t="shared" si="226"/>
        <v>2339.6145631676159</v>
      </c>
    </row>
    <row r="2027" spans="1:38" customFormat="1" ht="43.2" x14ac:dyDescent="0.3">
      <c r="A2027" s="140" t="s">
        <v>1486</v>
      </c>
      <c r="B2027" s="140">
        <v>3</v>
      </c>
      <c r="C2027" s="166" t="s">
        <v>696</v>
      </c>
      <c r="D2027" s="140" t="str">
        <f t="shared" si="222"/>
        <v>3</v>
      </c>
      <c r="E2027" s="166" t="s">
        <v>691</v>
      </c>
      <c r="F2027" s="140">
        <f t="shared" si="227"/>
        <v>4</v>
      </c>
      <c r="G2027" s="140" t="str">
        <f t="shared" si="223"/>
        <v>3.3.4</v>
      </c>
      <c r="H2027" s="181" t="s">
        <v>1700</v>
      </c>
      <c r="I2027" s="166" t="s">
        <v>67</v>
      </c>
      <c r="J2027" s="166" t="s">
        <v>406</v>
      </c>
      <c r="K2027" s="166" t="s">
        <v>716</v>
      </c>
      <c r="L2027" s="167">
        <v>39000</v>
      </c>
      <c r="M2027" s="166">
        <v>25</v>
      </c>
      <c r="N2027" s="166">
        <v>6</v>
      </c>
      <c r="O2027" s="164">
        <f t="shared" si="224"/>
        <v>5850000</v>
      </c>
      <c r="P2027" s="166">
        <v>25</v>
      </c>
      <c r="Q2027" s="166">
        <v>6</v>
      </c>
      <c r="R2027" s="164">
        <f>$L2027*'Pivot Objective'!$C$9*P2027*Q2027</f>
        <v>6686088.4174499996</v>
      </c>
      <c r="S2027" s="166">
        <v>0</v>
      </c>
      <c r="T2027" s="166">
        <v>0</v>
      </c>
      <c r="U2027" s="164">
        <f>($L2027*'Pivot Objective'!$C$9^2)*S2027*T2027</f>
        <v>0</v>
      </c>
      <c r="V2027" s="166">
        <v>0</v>
      </c>
      <c r="W2027" s="166">
        <v>0</v>
      </c>
      <c r="X2027" s="164">
        <f>($L2027*'Pivot Objective'!$C$9^3)*V2027*W2027</f>
        <v>0</v>
      </c>
      <c r="Y2027" s="166">
        <v>0</v>
      </c>
      <c r="Z2027" s="166">
        <v>0</v>
      </c>
      <c r="AA2027" s="164">
        <f>($L2027*'Pivot Objective'!$C$9^4)*Y2027*Z2027</f>
        <v>0</v>
      </c>
      <c r="AB2027" s="166">
        <v>0</v>
      </c>
      <c r="AC2027" s="166">
        <v>0</v>
      </c>
      <c r="AD2027" s="164">
        <f>($L2027*'Pivot Objective'!$C$9^5)*AB2027*AC2027</f>
        <v>0</v>
      </c>
      <c r="AE2027" s="166">
        <v>0</v>
      </c>
      <c r="AF2027" s="166">
        <v>0</v>
      </c>
      <c r="AG2027" s="164">
        <f>($L2027*'Pivot Objective'!$C$9^6)*AE2027*AF2027</f>
        <v>0</v>
      </c>
      <c r="AH2027" s="166">
        <v>25</v>
      </c>
      <c r="AI2027" s="166">
        <v>6</v>
      </c>
      <c r="AJ2027" s="164">
        <f>($L2027*'Pivot Objective'!$C$9^7)*AH2027*AI2027</f>
        <v>14902859.656336365</v>
      </c>
      <c r="AK2027" s="185">
        <f t="shared" si="225"/>
        <v>27438948.073786363</v>
      </c>
      <c r="AL2027" s="186">
        <f t="shared" si="226"/>
        <v>26639.755411443071</v>
      </c>
    </row>
    <row r="2028" spans="1:38" customFormat="1" ht="43.2" x14ac:dyDescent="0.3">
      <c r="A2028" s="140" t="s">
        <v>1486</v>
      </c>
      <c r="B2028" s="140">
        <v>3</v>
      </c>
      <c r="C2028" s="166" t="s">
        <v>696</v>
      </c>
      <c r="D2028" s="140" t="str">
        <f t="shared" si="222"/>
        <v>3</v>
      </c>
      <c r="E2028" s="166" t="s">
        <v>691</v>
      </c>
      <c r="F2028" s="140">
        <f t="shared" si="227"/>
        <v>4</v>
      </c>
      <c r="G2028" s="140" t="str">
        <f t="shared" si="223"/>
        <v>3.3.4</v>
      </c>
      <c r="H2028" s="181" t="s">
        <v>1700</v>
      </c>
      <c r="I2028" s="166" t="s">
        <v>67</v>
      </c>
      <c r="J2028" s="166" t="s">
        <v>406</v>
      </c>
      <c r="K2028" s="166" t="s">
        <v>709</v>
      </c>
      <c r="L2028" s="167">
        <v>35000</v>
      </c>
      <c r="M2028" s="166">
        <v>25</v>
      </c>
      <c r="N2028" s="166">
        <v>5</v>
      </c>
      <c r="O2028" s="164">
        <f t="shared" si="224"/>
        <v>4375000</v>
      </c>
      <c r="P2028" s="166">
        <v>25</v>
      </c>
      <c r="Q2028" s="166">
        <v>5</v>
      </c>
      <c r="R2028" s="164">
        <f>$L2028*'Pivot Objective'!$C$9*P2028*Q2028</f>
        <v>5000279.7993749995</v>
      </c>
      <c r="S2028" s="166">
        <v>0</v>
      </c>
      <c r="T2028" s="166">
        <v>0</v>
      </c>
      <c r="U2028" s="164">
        <f>($L2028*'Pivot Objective'!$C$9^2)*S2028*T2028</f>
        <v>0</v>
      </c>
      <c r="V2028" s="166">
        <v>0</v>
      </c>
      <c r="W2028" s="166">
        <v>0</v>
      </c>
      <c r="X2028" s="164">
        <f>($L2028*'Pivot Objective'!$C$9^3)*V2028*W2028</f>
        <v>0</v>
      </c>
      <c r="Y2028" s="166">
        <v>0</v>
      </c>
      <c r="Z2028" s="166">
        <v>0</v>
      </c>
      <c r="AA2028" s="164">
        <f>($L2028*'Pivot Objective'!$C$9^4)*Y2028*Z2028</f>
        <v>0</v>
      </c>
      <c r="AB2028" s="166">
        <v>0</v>
      </c>
      <c r="AC2028" s="166">
        <v>0</v>
      </c>
      <c r="AD2028" s="164">
        <f>($L2028*'Pivot Objective'!$C$9^5)*AB2028*AC2028</f>
        <v>0</v>
      </c>
      <c r="AE2028" s="166">
        <v>0</v>
      </c>
      <c r="AF2028" s="166">
        <v>0</v>
      </c>
      <c r="AG2028" s="164">
        <f>($L2028*'Pivot Objective'!$C$9^6)*AE2028*AF2028</f>
        <v>0</v>
      </c>
      <c r="AH2028" s="166">
        <v>25</v>
      </c>
      <c r="AI2028" s="166">
        <v>5</v>
      </c>
      <c r="AJ2028" s="164">
        <f>($L2028*'Pivot Objective'!$C$9^7)*AH2028*AI2028</f>
        <v>11145301.025037881</v>
      </c>
      <c r="AK2028" s="185">
        <f t="shared" si="225"/>
        <v>20520580.824412882</v>
      </c>
      <c r="AL2028" s="186">
        <f t="shared" si="226"/>
        <v>19922.894004284353</v>
      </c>
    </row>
    <row r="2029" spans="1:38" customFormat="1" ht="43.2" x14ac:dyDescent="0.3">
      <c r="A2029" s="140" t="s">
        <v>1486</v>
      </c>
      <c r="B2029" s="140">
        <v>3</v>
      </c>
      <c r="C2029" s="166" t="s">
        <v>696</v>
      </c>
      <c r="D2029" s="140" t="str">
        <f t="shared" si="222"/>
        <v>3</v>
      </c>
      <c r="E2029" s="166" t="s">
        <v>691</v>
      </c>
      <c r="F2029" s="140">
        <f t="shared" si="227"/>
        <v>4</v>
      </c>
      <c r="G2029" s="140" t="str">
        <f t="shared" si="223"/>
        <v>3.3.4</v>
      </c>
      <c r="H2029" s="181" t="s">
        <v>1700</v>
      </c>
      <c r="I2029" s="166" t="s">
        <v>67</v>
      </c>
      <c r="J2029" s="166" t="s">
        <v>406</v>
      </c>
      <c r="K2029" s="166" t="s">
        <v>712</v>
      </c>
      <c r="L2029" s="167">
        <f>1480/7</f>
        <v>211.42857142857142</v>
      </c>
      <c r="M2029" s="166">
        <f>2*25*9</f>
        <v>450</v>
      </c>
      <c r="N2029" s="166">
        <v>5</v>
      </c>
      <c r="O2029" s="164">
        <f t="shared" si="224"/>
        <v>475714.28571428568</v>
      </c>
      <c r="P2029" s="166">
        <f>2*25*9</f>
        <v>450</v>
      </c>
      <c r="Q2029" s="166">
        <v>5</v>
      </c>
      <c r="R2029" s="164">
        <f>$L2029*'Pivot Objective'!$C$9*P2029*Q2029</f>
        <v>543703.89328714274</v>
      </c>
      <c r="S2029" s="166">
        <v>0</v>
      </c>
      <c r="T2029" s="166">
        <v>0</v>
      </c>
      <c r="U2029" s="164">
        <f>($L2029*'Pivot Objective'!$C$9^2)*S2029*T2029</f>
        <v>0</v>
      </c>
      <c r="V2029" s="166">
        <v>0</v>
      </c>
      <c r="W2029" s="166">
        <v>0</v>
      </c>
      <c r="X2029" s="164">
        <f>($L2029*'Pivot Objective'!$C$9^3)*V2029*W2029</f>
        <v>0</v>
      </c>
      <c r="Y2029" s="166">
        <v>0</v>
      </c>
      <c r="Z2029" s="166">
        <v>0</v>
      </c>
      <c r="AA2029" s="164">
        <f>($L2029*'Pivot Objective'!$C$9^4)*Y2029*Z2029</f>
        <v>0</v>
      </c>
      <c r="AB2029" s="166">
        <v>0</v>
      </c>
      <c r="AC2029" s="166">
        <v>0</v>
      </c>
      <c r="AD2029" s="164">
        <f>($L2029*'Pivot Objective'!$C$9^5)*AB2029*AC2029</f>
        <v>0</v>
      </c>
      <c r="AE2029" s="166">
        <v>0</v>
      </c>
      <c r="AF2029" s="166">
        <v>0</v>
      </c>
      <c r="AG2029" s="164">
        <f>($L2029*'Pivot Objective'!$C$9^6)*AE2029*AF2029</f>
        <v>0</v>
      </c>
      <c r="AH2029" s="166">
        <f>2*25*9</f>
        <v>450</v>
      </c>
      <c r="AI2029" s="166">
        <v>5</v>
      </c>
      <c r="AJ2029" s="164">
        <f>($L2029*'Pivot Objective'!$C$9^7)*AH2029*AI2029</f>
        <v>1211880.8951306494</v>
      </c>
      <c r="AK2029" s="185">
        <f t="shared" si="225"/>
        <v>2231299.0741320779</v>
      </c>
      <c r="AL2029" s="186">
        <f t="shared" si="226"/>
        <v>2166.3097807107551</v>
      </c>
    </row>
    <row r="2030" spans="1:38" customFormat="1" ht="43.2" x14ac:dyDescent="0.3">
      <c r="A2030" s="140" t="s">
        <v>1486</v>
      </c>
      <c r="B2030" s="140">
        <v>3</v>
      </c>
      <c r="C2030" s="166" t="s">
        <v>696</v>
      </c>
      <c r="D2030" s="140" t="str">
        <f t="shared" si="222"/>
        <v>3</v>
      </c>
      <c r="E2030" s="166" t="s">
        <v>691</v>
      </c>
      <c r="F2030" s="140">
        <f t="shared" si="227"/>
        <v>4</v>
      </c>
      <c r="G2030" s="140" t="str">
        <f t="shared" si="223"/>
        <v>3.3.4</v>
      </c>
      <c r="H2030" s="181" t="s">
        <v>1700</v>
      </c>
      <c r="I2030" s="166" t="s">
        <v>67</v>
      </c>
      <c r="J2030" s="166" t="s">
        <v>406</v>
      </c>
      <c r="K2030" s="166" t="s">
        <v>1392</v>
      </c>
      <c r="L2030" s="167">
        <f>1480/7</f>
        <v>211.42857142857142</v>
      </c>
      <c r="M2030" s="166">
        <f>2*135*9</f>
        <v>2430</v>
      </c>
      <c r="N2030" s="166">
        <v>1</v>
      </c>
      <c r="O2030" s="164">
        <f t="shared" si="224"/>
        <v>513771.42857142852</v>
      </c>
      <c r="P2030" s="166">
        <f>2*135*9</f>
        <v>2430</v>
      </c>
      <c r="Q2030" s="166">
        <v>1</v>
      </c>
      <c r="R2030" s="164">
        <f>$L2030*'Pivot Objective'!$C$9*P2030*Q2030</f>
        <v>587200.20475011424</v>
      </c>
      <c r="S2030" s="166"/>
      <c r="T2030" s="166"/>
      <c r="U2030" s="164">
        <f>($L2030*'Pivot Objective'!$C$9^2)*S2030*T2030</f>
        <v>0</v>
      </c>
      <c r="V2030" s="166"/>
      <c r="W2030" s="166"/>
      <c r="X2030" s="164">
        <f>($L2030*'Pivot Objective'!$C$9^3)*V2030*W2030</f>
        <v>0</v>
      </c>
      <c r="Y2030" s="166"/>
      <c r="Z2030" s="166"/>
      <c r="AA2030" s="164">
        <f>($L2030*'Pivot Objective'!$C$9^4)*Y2030*Z2030</f>
        <v>0</v>
      </c>
      <c r="AB2030" s="166"/>
      <c r="AC2030" s="166"/>
      <c r="AD2030" s="164">
        <f>($L2030*'Pivot Objective'!$C$9^5)*AB2030*AC2030</f>
        <v>0</v>
      </c>
      <c r="AE2030" s="166"/>
      <c r="AF2030" s="166"/>
      <c r="AG2030" s="164">
        <f>($L2030*'Pivot Objective'!$C$9^6)*AE2030*AF2030</f>
        <v>0</v>
      </c>
      <c r="AH2030" s="166">
        <f>2*135*9</f>
        <v>2430</v>
      </c>
      <c r="AI2030" s="166">
        <v>1</v>
      </c>
      <c r="AJ2030" s="164">
        <f>($L2030*'Pivot Objective'!$C$9^7)*AH2030*AI2030</f>
        <v>1308831.3667411015</v>
      </c>
      <c r="AK2030" s="185">
        <f t="shared" si="225"/>
        <v>2409803.0000626445</v>
      </c>
      <c r="AL2030" s="186">
        <f t="shared" si="226"/>
        <v>2339.6145631676159</v>
      </c>
    </row>
    <row r="2031" spans="1:38" customFormat="1" ht="43.2" x14ac:dyDescent="0.3">
      <c r="A2031" s="140" t="s">
        <v>1486</v>
      </c>
      <c r="B2031" s="140">
        <v>3</v>
      </c>
      <c r="C2031" s="166" t="s">
        <v>696</v>
      </c>
      <c r="D2031" s="140" t="str">
        <f t="shared" si="222"/>
        <v>3</v>
      </c>
      <c r="E2031" s="166" t="s">
        <v>691</v>
      </c>
      <c r="F2031" s="140">
        <f t="shared" si="227"/>
        <v>4</v>
      </c>
      <c r="G2031" s="140" t="str">
        <f t="shared" si="223"/>
        <v>3.3.4</v>
      </c>
      <c r="H2031" s="181" t="s">
        <v>1700</v>
      </c>
      <c r="I2031" s="166" t="s">
        <v>67</v>
      </c>
      <c r="J2031" s="166" t="s">
        <v>407</v>
      </c>
      <c r="K2031" s="166" t="s">
        <v>709</v>
      </c>
      <c r="L2031" s="167">
        <v>35000</v>
      </c>
      <c r="M2031" s="166">
        <v>25</v>
      </c>
      <c r="N2031" s="166">
        <v>5</v>
      </c>
      <c r="O2031" s="164">
        <f t="shared" si="224"/>
        <v>4375000</v>
      </c>
      <c r="P2031" s="166">
        <v>25</v>
      </c>
      <c r="Q2031" s="166">
        <v>5</v>
      </c>
      <c r="R2031" s="164">
        <f>$L2031*'Pivot Objective'!$C$9*P2031*Q2031</f>
        <v>5000279.7993749995</v>
      </c>
      <c r="S2031" s="166">
        <v>0</v>
      </c>
      <c r="T2031" s="166">
        <v>0</v>
      </c>
      <c r="U2031" s="164">
        <f>($L2031*'Pivot Objective'!$C$9^2)*S2031*T2031</f>
        <v>0</v>
      </c>
      <c r="V2031" s="166">
        <v>0</v>
      </c>
      <c r="W2031" s="166">
        <v>0</v>
      </c>
      <c r="X2031" s="164">
        <f>($L2031*'Pivot Objective'!$C$9^3)*V2031*W2031</f>
        <v>0</v>
      </c>
      <c r="Y2031" s="166">
        <v>0</v>
      </c>
      <c r="Z2031" s="166">
        <v>0</v>
      </c>
      <c r="AA2031" s="164">
        <f>($L2031*'Pivot Objective'!$C$9^4)*Y2031*Z2031</f>
        <v>0</v>
      </c>
      <c r="AB2031" s="166">
        <v>0</v>
      </c>
      <c r="AC2031" s="166">
        <v>0</v>
      </c>
      <c r="AD2031" s="164">
        <f>($L2031*'Pivot Objective'!$C$9^5)*AB2031*AC2031</f>
        <v>0</v>
      </c>
      <c r="AE2031" s="166">
        <v>0</v>
      </c>
      <c r="AF2031" s="166">
        <v>0</v>
      </c>
      <c r="AG2031" s="164">
        <f>($L2031*'Pivot Objective'!$C$9^6)*AE2031*AF2031</f>
        <v>0</v>
      </c>
      <c r="AH2031" s="166">
        <v>25</v>
      </c>
      <c r="AI2031" s="166">
        <v>5</v>
      </c>
      <c r="AJ2031" s="164">
        <f>($L2031*'Pivot Objective'!$C$9^7)*AH2031*AI2031</f>
        <v>11145301.025037881</v>
      </c>
      <c r="AK2031" s="185">
        <f t="shared" si="225"/>
        <v>20520580.824412882</v>
      </c>
      <c r="AL2031" s="186">
        <f t="shared" si="226"/>
        <v>19922.894004284353</v>
      </c>
    </row>
    <row r="2032" spans="1:38" customFormat="1" ht="43.2" x14ac:dyDescent="0.3">
      <c r="A2032" s="140" t="s">
        <v>1486</v>
      </c>
      <c r="B2032" s="140">
        <v>3</v>
      </c>
      <c r="C2032" s="166" t="s">
        <v>696</v>
      </c>
      <c r="D2032" s="140" t="str">
        <f t="shared" si="222"/>
        <v>3</v>
      </c>
      <c r="E2032" s="166" t="s">
        <v>691</v>
      </c>
      <c r="F2032" s="140">
        <f t="shared" si="227"/>
        <v>4</v>
      </c>
      <c r="G2032" s="140" t="str">
        <f t="shared" si="223"/>
        <v>3.3.4</v>
      </c>
      <c r="H2032" s="181" t="s">
        <v>1700</v>
      </c>
      <c r="I2032" s="166" t="s">
        <v>67</v>
      </c>
      <c r="J2032" s="166" t="s">
        <v>407</v>
      </c>
      <c r="K2032" s="166" t="s">
        <v>712</v>
      </c>
      <c r="L2032" s="167">
        <f>1480/7</f>
        <v>211.42857142857142</v>
      </c>
      <c r="M2032" s="166">
        <f>2*25*9</f>
        <v>450</v>
      </c>
      <c r="N2032" s="166">
        <v>5</v>
      </c>
      <c r="O2032" s="164">
        <f t="shared" si="224"/>
        <v>475714.28571428568</v>
      </c>
      <c r="P2032" s="166">
        <f>2*25*9</f>
        <v>450</v>
      </c>
      <c r="Q2032" s="166">
        <v>5</v>
      </c>
      <c r="R2032" s="164">
        <f>$L2032*'Pivot Objective'!$C$9*P2032*Q2032</f>
        <v>543703.89328714274</v>
      </c>
      <c r="S2032" s="166">
        <v>0</v>
      </c>
      <c r="T2032" s="166">
        <v>0</v>
      </c>
      <c r="U2032" s="164">
        <f>($L2032*'Pivot Objective'!$C$9^2)*S2032*T2032</f>
        <v>0</v>
      </c>
      <c r="V2032" s="166">
        <v>0</v>
      </c>
      <c r="W2032" s="166">
        <v>0</v>
      </c>
      <c r="X2032" s="164">
        <f>($L2032*'Pivot Objective'!$C$9^3)*V2032*W2032</f>
        <v>0</v>
      </c>
      <c r="Y2032" s="166">
        <v>0</v>
      </c>
      <c r="Z2032" s="166">
        <v>0</v>
      </c>
      <c r="AA2032" s="164">
        <f>($L2032*'Pivot Objective'!$C$9^4)*Y2032*Z2032</f>
        <v>0</v>
      </c>
      <c r="AB2032" s="166">
        <v>0</v>
      </c>
      <c r="AC2032" s="166">
        <v>0</v>
      </c>
      <c r="AD2032" s="164">
        <f>($L2032*'Pivot Objective'!$C$9^5)*AB2032*AC2032</f>
        <v>0</v>
      </c>
      <c r="AE2032" s="166">
        <v>0</v>
      </c>
      <c r="AF2032" s="166">
        <v>0</v>
      </c>
      <c r="AG2032" s="164">
        <f>($L2032*'Pivot Objective'!$C$9^6)*AE2032*AF2032</f>
        <v>0</v>
      </c>
      <c r="AH2032" s="166">
        <f>2*25*9</f>
        <v>450</v>
      </c>
      <c r="AI2032" s="166">
        <v>5</v>
      </c>
      <c r="AJ2032" s="164">
        <f>($L2032*'Pivot Objective'!$C$9^7)*AH2032*AI2032</f>
        <v>1211880.8951306494</v>
      </c>
      <c r="AK2032" s="185">
        <f t="shared" si="225"/>
        <v>2231299.0741320779</v>
      </c>
      <c r="AL2032" s="186">
        <f t="shared" si="226"/>
        <v>2166.3097807107551</v>
      </c>
    </row>
    <row r="2033" spans="1:38" customFormat="1" ht="43.2" x14ac:dyDescent="0.3">
      <c r="A2033" s="140" t="s">
        <v>1486</v>
      </c>
      <c r="B2033" s="140">
        <v>3</v>
      </c>
      <c r="C2033" s="166" t="s">
        <v>696</v>
      </c>
      <c r="D2033" s="140" t="str">
        <f t="shared" si="222"/>
        <v>3</v>
      </c>
      <c r="E2033" s="166" t="s">
        <v>691</v>
      </c>
      <c r="F2033" s="140">
        <f t="shared" si="227"/>
        <v>4</v>
      </c>
      <c r="G2033" s="140" t="str">
        <f t="shared" si="223"/>
        <v>3.3.4</v>
      </c>
      <c r="H2033" s="181" t="s">
        <v>1700</v>
      </c>
      <c r="I2033" s="166" t="s">
        <v>67</v>
      </c>
      <c r="J2033" s="166" t="s">
        <v>407</v>
      </c>
      <c r="K2033" s="166" t="s">
        <v>716</v>
      </c>
      <c r="L2033" s="167">
        <v>39000</v>
      </c>
      <c r="M2033" s="166">
        <v>25</v>
      </c>
      <c r="N2033" s="166">
        <v>6</v>
      </c>
      <c r="O2033" s="164">
        <f t="shared" si="224"/>
        <v>5850000</v>
      </c>
      <c r="P2033" s="166">
        <v>25</v>
      </c>
      <c r="Q2033" s="166">
        <v>6</v>
      </c>
      <c r="R2033" s="164">
        <f>$L2033*'Pivot Objective'!$C$9*P2033*Q2033</f>
        <v>6686088.4174499996</v>
      </c>
      <c r="S2033" s="166"/>
      <c r="T2033" s="166"/>
      <c r="U2033" s="164">
        <f>($L2033*'Pivot Objective'!$C$9^2)*S2033*T2033</f>
        <v>0</v>
      </c>
      <c r="V2033" s="166"/>
      <c r="W2033" s="166"/>
      <c r="X2033" s="164">
        <f>($L2033*'Pivot Objective'!$C$9^3)*V2033*W2033</f>
        <v>0</v>
      </c>
      <c r="Y2033" s="166"/>
      <c r="Z2033" s="166"/>
      <c r="AA2033" s="164">
        <f>($L2033*'Pivot Objective'!$C$9^4)*Y2033*Z2033</f>
        <v>0</v>
      </c>
      <c r="AB2033" s="166"/>
      <c r="AC2033" s="166"/>
      <c r="AD2033" s="164">
        <f>($L2033*'Pivot Objective'!$C$9^5)*AB2033*AC2033</f>
        <v>0</v>
      </c>
      <c r="AE2033" s="166"/>
      <c r="AF2033" s="166"/>
      <c r="AG2033" s="164">
        <f>($L2033*'Pivot Objective'!$C$9^6)*AE2033*AF2033</f>
        <v>0</v>
      </c>
      <c r="AH2033" s="166">
        <v>25</v>
      </c>
      <c r="AI2033" s="166">
        <v>6</v>
      </c>
      <c r="AJ2033" s="164">
        <f>($L2033*'Pivot Objective'!$C$9^7)*AH2033*AI2033</f>
        <v>14902859.656336365</v>
      </c>
      <c r="AK2033" s="185">
        <f t="shared" si="225"/>
        <v>27438948.073786363</v>
      </c>
      <c r="AL2033" s="186">
        <f t="shared" si="226"/>
        <v>26639.755411443071</v>
      </c>
    </row>
    <row r="2034" spans="1:38" customFormat="1" ht="43.2" x14ac:dyDescent="0.3">
      <c r="A2034" s="140" t="s">
        <v>1486</v>
      </c>
      <c r="B2034" s="140">
        <v>3</v>
      </c>
      <c r="C2034" s="166" t="s">
        <v>696</v>
      </c>
      <c r="D2034" s="140" t="str">
        <f t="shared" ref="D2034:D2097" si="228">RIGHT(A2034,1)</f>
        <v>3</v>
      </c>
      <c r="E2034" s="166" t="s">
        <v>691</v>
      </c>
      <c r="F2034" s="140">
        <f t="shared" si="227"/>
        <v>4</v>
      </c>
      <c r="G2034" s="140" t="str">
        <f t="shared" si="223"/>
        <v>3.3.4</v>
      </c>
      <c r="H2034" s="181" t="s">
        <v>1700</v>
      </c>
      <c r="I2034" s="166" t="s">
        <v>67</v>
      </c>
      <c r="J2034" s="166" t="s">
        <v>407</v>
      </c>
      <c r="K2034" s="166" t="s">
        <v>1392</v>
      </c>
      <c r="L2034" s="167">
        <f>1480/7</f>
        <v>211.42857142857142</v>
      </c>
      <c r="M2034" s="166">
        <f>2*135*9</f>
        <v>2430</v>
      </c>
      <c r="N2034" s="166">
        <v>1</v>
      </c>
      <c r="O2034" s="164">
        <f t="shared" si="224"/>
        <v>513771.42857142852</v>
      </c>
      <c r="P2034" s="166">
        <f>2*135*9</f>
        <v>2430</v>
      </c>
      <c r="Q2034" s="166">
        <v>1</v>
      </c>
      <c r="R2034" s="164">
        <f>$L2034*'Pivot Objective'!$C$9*P2034*Q2034</f>
        <v>587200.20475011424</v>
      </c>
      <c r="S2034" s="166"/>
      <c r="T2034" s="166"/>
      <c r="U2034" s="164">
        <f>($L2034*'Pivot Objective'!$C$9^2)*S2034*T2034</f>
        <v>0</v>
      </c>
      <c r="V2034" s="166"/>
      <c r="W2034" s="166"/>
      <c r="X2034" s="164">
        <f>($L2034*'Pivot Objective'!$C$9^3)*V2034*W2034</f>
        <v>0</v>
      </c>
      <c r="Y2034" s="166"/>
      <c r="Z2034" s="166"/>
      <c r="AA2034" s="164">
        <f>($L2034*'Pivot Objective'!$C$9^4)*Y2034*Z2034</f>
        <v>0</v>
      </c>
      <c r="AB2034" s="166"/>
      <c r="AC2034" s="166"/>
      <c r="AD2034" s="164">
        <f>($L2034*'Pivot Objective'!$C$9^5)*AB2034*AC2034</f>
        <v>0</v>
      </c>
      <c r="AE2034" s="166"/>
      <c r="AF2034" s="166"/>
      <c r="AG2034" s="164">
        <f>($L2034*'Pivot Objective'!$C$9^6)*AE2034*AF2034</f>
        <v>0</v>
      </c>
      <c r="AH2034" s="166">
        <f>2*135*9</f>
        <v>2430</v>
      </c>
      <c r="AI2034" s="166">
        <v>1</v>
      </c>
      <c r="AJ2034" s="164">
        <f>($L2034*'Pivot Objective'!$C$9^7)*AH2034*AI2034</f>
        <v>1308831.3667411015</v>
      </c>
      <c r="AK2034" s="185">
        <f t="shared" si="225"/>
        <v>2409803.0000626445</v>
      </c>
      <c r="AL2034" s="186">
        <f t="shared" si="226"/>
        <v>2339.6145631676159</v>
      </c>
    </row>
    <row r="2035" spans="1:38" customFormat="1" ht="43.2" x14ac:dyDescent="0.3">
      <c r="A2035" s="140" t="s">
        <v>1486</v>
      </c>
      <c r="B2035" s="140">
        <v>3</v>
      </c>
      <c r="C2035" s="166" t="s">
        <v>696</v>
      </c>
      <c r="D2035" s="140" t="str">
        <f t="shared" si="228"/>
        <v>3</v>
      </c>
      <c r="E2035" s="166" t="s">
        <v>691</v>
      </c>
      <c r="F2035" s="140">
        <f t="shared" si="227"/>
        <v>5</v>
      </c>
      <c r="G2035" s="140" t="str">
        <f t="shared" ref="G2035:G2098" si="229">B2035&amp;"."&amp;D2035&amp;"."&amp;F2035</f>
        <v>3.3.5</v>
      </c>
      <c r="H2035" s="166" t="s">
        <v>661</v>
      </c>
      <c r="I2035" s="166" t="s">
        <v>68</v>
      </c>
      <c r="J2035" s="166" t="s">
        <v>408</v>
      </c>
      <c r="K2035" s="166" t="s">
        <v>716</v>
      </c>
      <c r="L2035" s="167">
        <v>39000</v>
      </c>
      <c r="M2035" s="166">
        <v>40</v>
      </c>
      <c r="N2035" s="166">
        <v>6</v>
      </c>
      <c r="O2035" s="164">
        <f t="shared" si="224"/>
        <v>9360000</v>
      </c>
      <c r="P2035" s="166">
        <v>40</v>
      </c>
      <c r="Q2035" s="166">
        <v>6</v>
      </c>
      <c r="R2035" s="164">
        <f>$L2035*'Pivot Objective'!$C$9*P2035*Q2035</f>
        <v>10697741.467919998</v>
      </c>
      <c r="S2035" s="166">
        <v>40</v>
      </c>
      <c r="T2035" s="166">
        <v>6</v>
      </c>
      <c r="U2035" s="164">
        <f>($L2035*'Pivot Objective'!$C$9^2)*S2035*T2035</f>
        <v>12226674.413937515</v>
      </c>
      <c r="V2035" s="166">
        <v>40</v>
      </c>
      <c r="W2035" s="166">
        <v>6</v>
      </c>
      <c r="X2035" s="164">
        <f>($L2035*'Pivot Objective'!$C$9^3)*V2035*W2035</f>
        <v>13974124.133839294</v>
      </c>
      <c r="Y2035" s="166">
        <v>40</v>
      </c>
      <c r="Z2035" s="166">
        <v>6</v>
      </c>
      <c r="AA2035" s="164">
        <f>($L2035*'Pivot Objective'!$C$9^4)*Y2035*Z2035</f>
        <v>15971321.284661781</v>
      </c>
      <c r="AB2035" s="166">
        <v>40</v>
      </c>
      <c r="AC2035" s="166">
        <v>6</v>
      </c>
      <c r="AD2035" s="164">
        <f>($L2035*'Pivot Objective'!$C$9^5)*AB2035*AC2035</f>
        <v>18253960.04320509</v>
      </c>
      <c r="AE2035" s="166">
        <v>40</v>
      </c>
      <c r="AF2035" s="166">
        <v>6</v>
      </c>
      <c r="AG2035" s="164">
        <f>($L2035*'Pivot Objective'!$C$9^6)*AE2035*AF2035</f>
        <v>20862836.037174128</v>
      </c>
      <c r="AH2035" s="166">
        <v>40</v>
      </c>
      <c r="AI2035" s="166">
        <v>6</v>
      </c>
      <c r="AJ2035" s="164">
        <f>($L2035*'Pivot Objective'!$C$9^7)*AH2035*AI2035</f>
        <v>23844575.450138185</v>
      </c>
      <c r="AK2035" s="185">
        <f t="shared" si="225"/>
        <v>125191232.83087599</v>
      </c>
      <c r="AL2035" s="186">
        <f t="shared" si="226"/>
        <v>121544.88624356892</v>
      </c>
    </row>
    <row r="2036" spans="1:38" customFormat="1" ht="43.2" x14ac:dyDescent="0.3">
      <c r="A2036" s="140" t="s">
        <v>1486</v>
      </c>
      <c r="B2036" s="140">
        <v>3</v>
      </c>
      <c r="C2036" s="166" t="s">
        <v>696</v>
      </c>
      <c r="D2036" s="140" t="str">
        <f t="shared" si="228"/>
        <v>3</v>
      </c>
      <c r="E2036" s="166" t="s">
        <v>691</v>
      </c>
      <c r="F2036" s="140">
        <f t="shared" si="227"/>
        <v>5</v>
      </c>
      <c r="G2036" s="140" t="str">
        <f t="shared" si="229"/>
        <v>3.3.5</v>
      </c>
      <c r="H2036" s="166" t="s">
        <v>661</v>
      </c>
      <c r="I2036" s="166" t="s">
        <v>68</v>
      </c>
      <c r="J2036" s="166" t="s">
        <v>408</v>
      </c>
      <c r="K2036" s="166" t="s">
        <v>709</v>
      </c>
      <c r="L2036" s="167">
        <v>35000</v>
      </c>
      <c r="M2036" s="166">
        <v>40</v>
      </c>
      <c r="N2036" s="166">
        <v>5</v>
      </c>
      <c r="O2036" s="164">
        <f t="shared" si="224"/>
        <v>7000000</v>
      </c>
      <c r="P2036" s="166">
        <v>40</v>
      </c>
      <c r="Q2036" s="166">
        <v>5</v>
      </c>
      <c r="R2036" s="164">
        <f>$L2036*'Pivot Objective'!$C$9*P2036*Q2036</f>
        <v>8000447.6789999986</v>
      </c>
      <c r="S2036" s="166">
        <v>40</v>
      </c>
      <c r="T2036" s="166">
        <v>5</v>
      </c>
      <c r="U2036" s="164">
        <f>($L2036*'Pivot Objective'!$C$9^2)*S2036*T2036</f>
        <v>9143880.4377737809</v>
      </c>
      <c r="V2036" s="166">
        <v>40</v>
      </c>
      <c r="W2036" s="166">
        <v>5</v>
      </c>
      <c r="X2036" s="164">
        <f>($L2036*'Pivot Objective'!$C$9^3)*V2036*W2036</f>
        <v>10450733.860777251</v>
      </c>
      <c r="Y2036" s="166">
        <v>40</v>
      </c>
      <c r="Z2036" s="166">
        <v>5</v>
      </c>
      <c r="AA2036" s="164">
        <f>($L2036*'Pivot Objective'!$C$9^4)*Y2036*Z2036</f>
        <v>11944364.20861458</v>
      </c>
      <c r="AB2036" s="166">
        <v>40</v>
      </c>
      <c r="AC2036" s="166">
        <v>5</v>
      </c>
      <c r="AD2036" s="164">
        <f>($L2036*'Pivot Objective'!$C$9^5)*AB2036*AC2036</f>
        <v>13651465.844277311</v>
      </c>
      <c r="AE2036" s="166">
        <v>40</v>
      </c>
      <c r="AF2036" s="166">
        <v>5</v>
      </c>
      <c r="AG2036" s="164">
        <f>($L2036*'Pivot Objective'!$C$9^6)*AE2036*AF2036</f>
        <v>15602548.318399454</v>
      </c>
      <c r="AH2036" s="166">
        <v>40</v>
      </c>
      <c r="AI2036" s="166">
        <v>5</v>
      </c>
      <c r="AJ2036" s="164">
        <f>($L2036*'Pivot Objective'!$C$9^7)*AH2036*AI2036</f>
        <v>17832481.640060611</v>
      </c>
      <c r="AK2036" s="185">
        <f t="shared" si="225"/>
        <v>93625921.988902986</v>
      </c>
      <c r="AL2036" s="186">
        <f t="shared" si="226"/>
        <v>90898.953387284448</v>
      </c>
    </row>
    <row r="2037" spans="1:38" customFormat="1" ht="43.2" x14ac:dyDescent="0.3">
      <c r="A2037" s="140" t="s">
        <v>1486</v>
      </c>
      <c r="B2037" s="140">
        <v>3</v>
      </c>
      <c r="C2037" s="166" t="s">
        <v>696</v>
      </c>
      <c r="D2037" s="140" t="str">
        <f t="shared" si="228"/>
        <v>3</v>
      </c>
      <c r="E2037" s="166" t="s">
        <v>691</v>
      </c>
      <c r="F2037" s="140">
        <f t="shared" si="227"/>
        <v>5</v>
      </c>
      <c r="G2037" s="140" t="str">
        <f t="shared" si="229"/>
        <v>3.3.5</v>
      </c>
      <c r="H2037" s="166" t="s">
        <v>661</v>
      </c>
      <c r="I2037" s="166" t="s">
        <v>68</v>
      </c>
      <c r="J2037" s="166" t="s">
        <v>408</v>
      </c>
      <c r="K2037" s="166" t="s">
        <v>712</v>
      </c>
      <c r="L2037" s="167">
        <f>1480/7</f>
        <v>211.42857142857142</v>
      </c>
      <c r="M2037" s="166">
        <f>2*25*15</f>
        <v>750</v>
      </c>
      <c r="N2037" s="166">
        <v>5</v>
      </c>
      <c r="O2037" s="164">
        <f t="shared" si="224"/>
        <v>792857.14285714272</v>
      </c>
      <c r="P2037" s="166">
        <f>2*25*15</f>
        <v>750</v>
      </c>
      <c r="Q2037" s="166">
        <v>5</v>
      </c>
      <c r="R2037" s="164">
        <f>$L2037*'Pivot Objective'!$C$9*P2037*Q2037</f>
        <v>906173.15547857131</v>
      </c>
      <c r="S2037" s="166">
        <f>2*25*15</f>
        <v>750</v>
      </c>
      <c r="T2037" s="166">
        <v>5</v>
      </c>
      <c r="U2037" s="164">
        <f>($L2037*'Pivot Objective'!$C$9^2)*S2037*T2037</f>
        <v>1035684.4169315202</v>
      </c>
      <c r="V2037" s="166">
        <f>2*25*15</f>
        <v>750</v>
      </c>
      <c r="W2037" s="166">
        <v>5</v>
      </c>
      <c r="X2037" s="164">
        <f>($L2037*'Pivot Objective'!$C$9^3)*V2037*W2037</f>
        <v>1183705.5699451782</v>
      </c>
      <c r="Y2037" s="166">
        <f>2*25*15</f>
        <v>750</v>
      </c>
      <c r="Z2037" s="166">
        <v>5</v>
      </c>
      <c r="AA2037" s="164">
        <f>($L2037*'Pivot Objective'!$C$9^4)*Y2037*Z2037</f>
        <v>1352882.0685267532</v>
      </c>
      <c r="AB2037" s="166">
        <f>2*25*15</f>
        <v>750</v>
      </c>
      <c r="AC2037" s="166">
        <v>5</v>
      </c>
      <c r="AD2037" s="164">
        <f>($L2037*'Pivot Objective'!$C$9^5)*AB2037*AC2037</f>
        <v>1546237.4578722261</v>
      </c>
      <c r="AE2037" s="166">
        <f>2*25*15</f>
        <v>750</v>
      </c>
      <c r="AF2037" s="166">
        <v>5</v>
      </c>
      <c r="AG2037" s="164">
        <f>($L2037*'Pivot Objective'!$C$9^6)*AE2037*AF2037</f>
        <v>1767227.4115738156</v>
      </c>
      <c r="AH2037" s="166">
        <f>2*25*15</f>
        <v>750</v>
      </c>
      <c r="AI2037" s="166">
        <v>5</v>
      </c>
      <c r="AJ2037" s="164">
        <f>($L2037*'Pivot Objective'!$C$9^7)*AH2037*AI2037</f>
        <v>2019801.4918844157</v>
      </c>
      <c r="AK2037" s="185">
        <f t="shared" si="225"/>
        <v>10604568.715069624</v>
      </c>
      <c r="AL2037" s="186">
        <f t="shared" si="226"/>
        <v>10295.697781620995</v>
      </c>
    </row>
    <row r="2038" spans="1:38" customFormat="1" ht="43.2" x14ac:dyDescent="0.3">
      <c r="A2038" s="140" t="s">
        <v>1486</v>
      </c>
      <c r="B2038" s="140">
        <v>3</v>
      </c>
      <c r="C2038" s="166" t="s">
        <v>696</v>
      </c>
      <c r="D2038" s="140" t="str">
        <f t="shared" si="228"/>
        <v>3</v>
      </c>
      <c r="E2038" s="166" t="s">
        <v>691</v>
      </c>
      <c r="F2038" s="140">
        <f t="shared" si="227"/>
        <v>5</v>
      </c>
      <c r="G2038" s="140" t="str">
        <f t="shared" si="229"/>
        <v>3.3.5</v>
      </c>
      <c r="H2038" s="166" t="s">
        <v>661</v>
      </c>
      <c r="I2038" s="166" t="s">
        <v>68</v>
      </c>
      <c r="J2038" s="166" t="s">
        <v>408</v>
      </c>
      <c r="K2038" s="166" t="s">
        <v>1392</v>
      </c>
      <c r="L2038" s="167">
        <f>1480/7</f>
        <v>211.42857142857142</v>
      </c>
      <c r="M2038" s="166">
        <f>2*135*15</f>
        <v>4050</v>
      </c>
      <c r="N2038" s="166">
        <v>1</v>
      </c>
      <c r="O2038" s="164">
        <f t="shared" si="224"/>
        <v>856285.7142857142</v>
      </c>
      <c r="P2038" s="166">
        <f>2*135*15</f>
        <v>4050</v>
      </c>
      <c r="Q2038" s="166">
        <v>1</v>
      </c>
      <c r="R2038" s="164">
        <f>$L2038*'Pivot Objective'!$C$9*P2038*Q2038</f>
        <v>978667.00791685702</v>
      </c>
      <c r="S2038" s="166">
        <f>2*135*15</f>
        <v>4050</v>
      </c>
      <c r="T2038" s="166">
        <v>1</v>
      </c>
      <c r="U2038" s="164">
        <f>($L2038*'Pivot Objective'!$C$9^2)*S2038*T2038</f>
        <v>1118539.1702860419</v>
      </c>
      <c r="V2038" s="166">
        <f>2*135*15</f>
        <v>4050</v>
      </c>
      <c r="W2038" s="166">
        <v>1</v>
      </c>
      <c r="X2038" s="164">
        <f>($L2038*'Pivot Objective'!$C$9^3)*V2038*W2038</f>
        <v>1278402.0155407926</v>
      </c>
      <c r="Y2038" s="166">
        <f>2*135*15</f>
        <v>4050</v>
      </c>
      <c r="Z2038" s="166">
        <v>1</v>
      </c>
      <c r="AA2038" s="164">
        <f>($L2038*'Pivot Objective'!$C$9^4)*Y2038*Z2038</f>
        <v>1461112.6340088935</v>
      </c>
      <c r="AB2038" s="166">
        <f>2*135*15</f>
        <v>4050</v>
      </c>
      <c r="AC2038" s="166">
        <v>1</v>
      </c>
      <c r="AD2038" s="164">
        <f>($L2038*'Pivot Objective'!$C$9^5)*AB2038*AC2038</f>
        <v>1669936.4545020042</v>
      </c>
      <c r="AE2038" s="166">
        <f>2*135*15</f>
        <v>4050</v>
      </c>
      <c r="AF2038" s="166">
        <v>1</v>
      </c>
      <c r="AG2038" s="164">
        <f>($L2038*'Pivot Objective'!$C$9^6)*AE2038*AF2038</f>
        <v>1908605.604499721</v>
      </c>
      <c r="AH2038" s="166">
        <f>2*135*15</f>
        <v>4050</v>
      </c>
      <c r="AI2038" s="166">
        <v>1</v>
      </c>
      <c r="AJ2038" s="164">
        <f>($L2038*'Pivot Objective'!$C$9^7)*AH2038*AI2038</f>
        <v>2181385.6112351688</v>
      </c>
      <c r="AK2038" s="185">
        <f t="shared" si="225"/>
        <v>11452934.212275192</v>
      </c>
      <c r="AL2038" s="186">
        <f t="shared" si="226"/>
        <v>11119.353604150672</v>
      </c>
    </row>
    <row r="2039" spans="1:38" customFormat="1" ht="43.2" x14ac:dyDescent="0.3">
      <c r="A2039" s="140" t="s">
        <v>1486</v>
      </c>
      <c r="B2039" s="140">
        <v>3</v>
      </c>
      <c r="C2039" s="166" t="s">
        <v>696</v>
      </c>
      <c r="D2039" s="140" t="str">
        <f t="shared" si="228"/>
        <v>3</v>
      </c>
      <c r="E2039" s="166" t="s">
        <v>691</v>
      </c>
      <c r="F2039" s="140">
        <f t="shared" si="227"/>
        <v>5</v>
      </c>
      <c r="G2039" s="140" t="str">
        <f t="shared" si="229"/>
        <v>3.3.5</v>
      </c>
      <c r="H2039" s="166" t="s">
        <v>661</v>
      </c>
      <c r="I2039" s="166" t="s">
        <v>69</v>
      </c>
      <c r="J2039" s="166" t="s">
        <v>409</v>
      </c>
      <c r="K2039" s="166" t="s">
        <v>767</v>
      </c>
      <c r="L2039" s="167">
        <v>10000000</v>
      </c>
      <c r="M2039" s="166">
        <v>900</v>
      </c>
      <c r="N2039" s="166">
        <v>1</v>
      </c>
      <c r="O2039" s="164">
        <f t="shared" si="224"/>
        <v>9000000000</v>
      </c>
      <c r="P2039" s="166">
        <v>800</v>
      </c>
      <c r="Q2039" s="166">
        <v>1</v>
      </c>
      <c r="R2039" s="164">
        <f>$L2039*'Pivot Objective'!$C$9*P2039*Q2039</f>
        <v>9143368776</v>
      </c>
      <c r="S2039" s="166">
        <v>800</v>
      </c>
      <c r="T2039" s="166">
        <v>1</v>
      </c>
      <c r="U2039" s="164">
        <f>($L2039*'Pivot Objective'!$C$9^2)*S2039*T2039</f>
        <v>10450149071.741467</v>
      </c>
      <c r="V2039" s="166">
        <v>800</v>
      </c>
      <c r="W2039" s="166">
        <v>1</v>
      </c>
      <c r="X2039" s="164">
        <f>($L2039*'Pivot Objective'!$C$9^3)*V2039*W2039</f>
        <v>11943695840.888287</v>
      </c>
      <c r="Y2039" s="166">
        <v>800</v>
      </c>
      <c r="Z2039" s="166">
        <v>1</v>
      </c>
      <c r="AA2039" s="164">
        <f>($L2039*'Pivot Objective'!$C$9^4)*Y2039*Z2039</f>
        <v>13650701952.702375</v>
      </c>
      <c r="AB2039" s="166">
        <v>0</v>
      </c>
      <c r="AC2039" s="166">
        <v>0</v>
      </c>
      <c r="AD2039" s="164">
        <f>($L2039*'Pivot Objective'!$C$9^5)*AB2039*AC2039</f>
        <v>0</v>
      </c>
      <c r="AE2039" s="166">
        <v>0</v>
      </c>
      <c r="AF2039" s="166">
        <v>0</v>
      </c>
      <c r="AG2039" s="164">
        <f>($L2039*'Pivot Objective'!$C$9^6)*AE2039*AF2039</f>
        <v>0</v>
      </c>
      <c r="AH2039" s="166">
        <v>0</v>
      </c>
      <c r="AI2039" s="166">
        <v>0</v>
      </c>
      <c r="AJ2039" s="164">
        <f>($L2039*'Pivot Objective'!$C$9^7)*AH2039*AI2039</f>
        <v>0</v>
      </c>
      <c r="AK2039" s="185">
        <f t="shared" si="225"/>
        <v>54187915641.33213</v>
      </c>
      <c r="AL2039" s="186">
        <f t="shared" si="226"/>
        <v>52609626.836244784</v>
      </c>
    </row>
    <row r="2040" spans="1:38" customFormat="1" ht="43.2" x14ac:dyDescent="0.3">
      <c r="A2040" s="140" t="s">
        <v>1486</v>
      </c>
      <c r="B2040" s="140">
        <v>3</v>
      </c>
      <c r="C2040" s="166" t="s">
        <v>696</v>
      </c>
      <c r="D2040" s="140" t="str">
        <f t="shared" si="228"/>
        <v>3</v>
      </c>
      <c r="E2040" s="166" t="s">
        <v>691</v>
      </c>
      <c r="F2040" s="140">
        <f t="shared" si="227"/>
        <v>5</v>
      </c>
      <c r="G2040" s="140" t="str">
        <f t="shared" si="229"/>
        <v>3.3.5</v>
      </c>
      <c r="H2040" s="166" t="s">
        <v>661</v>
      </c>
      <c r="I2040" s="166" t="s">
        <v>70</v>
      </c>
      <c r="J2040" s="166" t="s">
        <v>410</v>
      </c>
      <c r="K2040" s="166" t="s">
        <v>768</v>
      </c>
      <c r="L2040" s="167">
        <f>2.5%*391991.0375*365</f>
        <v>3576918.2171875001</v>
      </c>
      <c r="M2040" s="167">
        <f>2.5%*10000000</f>
        <v>250000</v>
      </c>
      <c r="N2040" s="166">
        <v>0</v>
      </c>
      <c r="O2040" s="164">
        <f t="shared" si="224"/>
        <v>0</v>
      </c>
      <c r="P2040" s="166">
        <v>1</v>
      </c>
      <c r="Q2040" s="166">
        <v>1</v>
      </c>
      <c r="R2040" s="164">
        <f>$L2040*'Pivot Objective'!$C$9*P2040*Q2040</f>
        <v>4088135.2926672213</v>
      </c>
      <c r="S2040" s="166">
        <v>1</v>
      </c>
      <c r="T2040" s="166">
        <v>1</v>
      </c>
      <c r="U2040" s="164">
        <f>($L2040*'Pivot Objective'!$C$9^2)*S2040*T2040</f>
        <v>4672416.0733796367</v>
      </c>
      <c r="V2040" s="166">
        <v>1</v>
      </c>
      <c r="W2040" s="166">
        <v>1</v>
      </c>
      <c r="X2040" s="164">
        <f>($L2040*'Pivot Objective'!$C$9^3)*V2040*W2040</f>
        <v>5340202.9042274868</v>
      </c>
      <c r="Y2040" s="166">
        <v>1</v>
      </c>
      <c r="Z2040" s="166">
        <v>1</v>
      </c>
      <c r="AA2040" s="164">
        <f>($L2040*'Pivot Objective'!$C$9^4)*Y2040*Z2040</f>
        <v>6103430.5615022639</v>
      </c>
      <c r="AB2040" s="166">
        <v>0</v>
      </c>
      <c r="AC2040" s="166">
        <v>0</v>
      </c>
      <c r="AD2040" s="164">
        <f>($L2040*'Pivot Objective'!$C$9^5)*AB2040*AC2040</f>
        <v>0</v>
      </c>
      <c r="AE2040" s="166">
        <v>0</v>
      </c>
      <c r="AF2040" s="166">
        <v>0</v>
      </c>
      <c r="AG2040" s="164">
        <f>($L2040*'Pivot Objective'!$C$9^6)*AE2040*AF2040</f>
        <v>0</v>
      </c>
      <c r="AH2040" s="166">
        <v>0</v>
      </c>
      <c r="AI2040" s="166">
        <v>0</v>
      </c>
      <c r="AJ2040" s="164">
        <f>($L2040*'Pivot Objective'!$C$9^7)*AH2040*AI2040</f>
        <v>0</v>
      </c>
      <c r="AK2040" s="185">
        <f t="shared" si="225"/>
        <v>20204184.831776608</v>
      </c>
      <c r="AL2040" s="186">
        <f t="shared" si="226"/>
        <v>19615.713428909326</v>
      </c>
    </row>
    <row r="2041" spans="1:38" customFormat="1" ht="72" x14ac:dyDescent="0.3">
      <c r="A2041" s="140" t="s">
        <v>1487</v>
      </c>
      <c r="B2041" s="140">
        <v>4</v>
      </c>
      <c r="C2041" s="166" t="s">
        <v>697</v>
      </c>
      <c r="D2041" s="140" t="str">
        <f t="shared" si="228"/>
        <v>1</v>
      </c>
      <c r="E2041" s="166" t="s">
        <v>692</v>
      </c>
      <c r="F2041" s="140">
        <v>1</v>
      </c>
      <c r="G2041" s="140" t="str">
        <f t="shared" si="229"/>
        <v>4.1.1</v>
      </c>
      <c r="H2041" s="166" t="s">
        <v>662</v>
      </c>
      <c r="I2041" s="166" t="s">
        <v>71</v>
      </c>
      <c r="J2041" s="166" t="s">
        <v>411</v>
      </c>
      <c r="K2041" s="166" t="s">
        <v>718</v>
      </c>
      <c r="L2041" s="177">
        <v>0</v>
      </c>
      <c r="M2041" s="166">
        <v>0</v>
      </c>
      <c r="N2041" s="166">
        <v>0</v>
      </c>
      <c r="O2041" s="164">
        <f t="shared" si="224"/>
        <v>0</v>
      </c>
      <c r="P2041" s="166">
        <v>0</v>
      </c>
      <c r="Q2041" s="166">
        <v>0</v>
      </c>
      <c r="R2041" s="164">
        <f>$L2041*'Pivot Objective'!$C$9*P2041*Q2041</f>
        <v>0</v>
      </c>
      <c r="S2041" s="166">
        <v>0</v>
      </c>
      <c r="T2041" s="166">
        <v>0</v>
      </c>
      <c r="U2041" s="164">
        <f>($L2041*'Pivot Objective'!$C$9^2)*S2041*T2041</f>
        <v>0</v>
      </c>
      <c r="V2041" s="166">
        <v>0</v>
      </c>
      <c r="W2041" s="166">
        <v>0</v>
      </c>
      <c r="X2041" s="164">
        <f>($L2041*'Pivot Objective'!$C$9^3)*V2041*W2041</f>
        <v>0</v>
      </c>
      <c r="Y2041" s="166">
        <v>0</v>
      </c>
      <c r="Z2041" s="166">
        <v>0</v>
      </c>
      <c r="AA2041" s="164">
        <f>($L2041*'Pivot Objective'!$C$9^4)*Y2041*Z2041</f>
        <v>0</v>
      </c>
      <c r="AB2041" s="166">
        <v>0</v>
      </c>
      <c r="AC2041" s="166">
        <v>0</v>
      </c>
      <c r="AD2041" s="164">
        <f>($L2041*'Pivot Objective'!$C$9^5)*AB2041*AC2041</f>
        <v>0</v>
      </c>
      <c r="AE2041" s="166">
        <v>0</v>
      </c>
      <c r="AF2041" s="166">
        <v>0</v>
      </c>
      <c r="AG2041" s="164">
        <f>($L2041*'Pivot Objective'!$C$9^6)*AE2041*AF2041</f>
        <v>0</v>
      </c>
      <c r="AH2041" s="166">
        <v>0</v>
      </c>
      <c r="AI2041" s="166">
        <v>0</v>
      </c>
      <c r="AJ2041" s="164">
        <f>($L2041*'Pivot Objective'!$C$9^7)*AH2041*AI2041</f>
        <v>0</v>
      </c>
      <c r="AK2041" s="185">
        <f t="shared" si="225"/>
        <v>0</v>
      </c>
      <c r="AL2041" s="186">
        <f t="shared" si="226"/>
        <v>0</v>
      </c>
    </row>
    <row r="2042" spans="1:38" customFormat="1" ht="72" x14ac:dyDescent="0.3">
      <c r="A2042" s="140" t="s">
        <v>1487</v>
      </c>
      <c r="B2042" s="140">
        <v>4</v>
      </c>
      <c r="C2042" s="166" t="s">
        <v>697</v>
      </c>
      <c r="D2042" s="140" t="str">
        <f t="shared" si="228"/>
        <v>1</v>
      </c>
      <c r="E2042" s="166" t="s">
        <v>692</v>
      </c>
      <c r="F2042" s="140">
        <f t="shared" ref="F2042:F2105" si="230">IF(H2042=H2041,F2041,F2041+1)</f>
        <v>1</v>
      </c>
      <c r="G2042" s="140" t="str">
        <f t="shared" si="229"/>
        <v>4.1.1</v>
      </c>
      <c r="H2042" s="166" t="s">
        <v>662</v>
      </c>
      <c r="I2042" s="166" t="s">
        <v>71</v>
      </c>
      <c r="J2042" s="166" t="s">
        <v>160</v>
      </c>
      <c r="K2042" s="166" t="s">
        <v>707</v>
      </c>
      <c r="L2042" s="177">
        <v>391991.03749999998</v>
      </c>
      <c r="M2042" s="140"/>
      <c r="N2042" s="140"/>
      <c r="O2042" s="164">
        <f t="shared" si="224"/>
        <v>0</v>
      </c>
      <c r="P2042" s="166">
        <v>2</v>
      </c>
      <c r="Q2042" s="166">
        <v>2</v>
      </c>
      <c r="R2042" s="164">
        <f>$L2042*'Pivot Objective'!$C$9*P2042*Q2042</f>
        <v>1792059.3063746723</v>
      </c>
      <c r="S2042" s="166">
        <v>0</v>
      </c>
      <c r="T2042" s="166">
        <v>0</v>
      </c>
      <c r="U2042" s="164">
        <f>($L2042*'Pivot Objective'!$C$9^2)*S2042*T2042</f>
        <v>0</v>
      </c>
      <c r="V2042" s="166">
        <v>0</v>
      </c>
      <c r="W2042" s="166">
        <v>0</v>
      </c>
      <c r="X2042" s="164">
        <f>($L2042*'Pivot Objective'!$C$9^3)*V2042*W2042</f>
        <v>0</v>
      </c>
      <c r="Y2042" s="166">
        <v>0</v>
      </c>
      <c r="Z2042" s="166">
        <v>0</v>
      </c>
      <c r="AA2042" s="164">
        <f>($L2042*'Pivot Objective'!$C$9^4)*Y2042*Z2042</f>
        <v>0</v>
      </c>
      <c r="AB2042" s="166">
        <v>0</v>
      </c>
      <c r="AC2042" s="166">
        <v>0</v>
      </c>
      <c r="AD2042" s="164">
        <f>($L2042*'Pivot Objective'!$C$9^5)*AB2042*AC2042</f>
        <v>0</v>
      </c>
      <c r="AE2042" s="166">
        <v>0</v>
      </c>
      <c r="AF2042" s="166">
        <v>0</v>
      </c>
      <c r="AG2042" s="164">
        <f>($L2042*'Pivot Objective'!$C$9^6)*AE2042*AF2042</f>
        <v>0</v>
      </c>
      <c r="AH2042" s="166">
        <v>0</v>
      </c>
      <c r="AI2042" s="166">
        <v>0</v>
      </c>
      <c r="AJ2042" s="164">
        <f>($L2042*'Pivot Objective'!$C$9^7)*AH2042*AI2042</f>
        <v>0</v>
      </c>
      <c r="AK2042" s="185">
        <f t="shared" si="225"/>
        <v>1792059.3063746723</v>
      </c>
      <c r="AL2042" s="186">
        <f t="shared" si="226"/>
        <v>1739.8634042472547</v>
      </c>
    </row>
    <row r="2043" spans="1:38" customFormat="1" ht="72" x14ac:dyDescent="0.3">
      <c r="A2043" s="140" t="s">
        <v>1487</v>
      </c>
      <c r="B2043" s="140">
        <v>4</v>
      </c>
      <c r="C2043" s="166" t="s">
        <v>697</v>
      </c>
      <c r="D2043" s="140" t="str">
        <f t="shared" si="228"/>
        <v>1</v>
      </c>
      <c r="E2043" s="166" t="s">
        <v>692</v>
      </c>
      <c r="F2043" s="140">
        <f t="shared" si="230"/>
        <v>1</v>
      </c>
      <c r="G2043" s="140" t="str">
        <f t="shared" si="229"/>
        <v>4.1.1</v>
      </c>
      <c r="H2043" s="166" t="s">
        <v>662</v>
      </c>
      <c r="I2043" s="166" t="s">
        <v>71</v>
      </c>
      <c r="J2043" s="166" t="s">
        <v>160</v>
      </c>
      <c r="K2043" s="166" t="s">
        <v>720</v>
      </c>
      <c r="L2043" s="177">
        <f>980*1022</f>
        <v>1001560</v>
      </c>
      <c r="M2043" s="166"/>
      <c r="N2043" s="166"/>
      <c r="O2043" s="164">
        <f t="shared" si="224"/>
        <v>0</v>
      </c>
      <c r="P2043" s="166">
        <v>1</v>
      </c>
      <c r="Q2043" s="166">
        <v>25</v>
      </c>
      <c r="R2043" s="164">
        <f>$L2043*'Pivot Objective'!$C$9*P2043*Q2043</f>
        <v>28617601.347782999</v>
      </c>
      <c r="S2043" s="166">
        <v>0</v>
      </c>
      <c r="T2043" s="166">
        <v>0</v>
      </c>
      <c r="U2043" s="164">
        <f>($L2043*'Pivot Objective'!$C$9^2)*S2043*T2043</f>
        <v>0</v>
      </c>
      <c r="V2043" s="166">
        <v>0</v>
      </c>
      <c r="W2043" s="166">
        <v>0</v>
      </c>
      <c r="X2043" s="164">
        <f>($L2043*'Pivot Objective'!$C$9^3)*V2043*W2043</f>
        <v>0</v>
      </c>
      <c r="Y2043" s="166">
        <v>0</v>
      </c>
      <c r="Z2043" s="166">
        <v>0</v>
      </c>
      <c r="AA2043" s="164">
        <f>($L2043*'Pivot Objective'!$C$9^4)*Y2043*Z2043</f>
        <v>0</v>
      </c>
      <c r="AB2043" s="166">
        <v>0</v>
      </c>
      <c r="AC2043" s="166">
        <v>0</v>
      </c>
      <c r="AD2043" s="164">
        <f>($L2043*'Pivot Objective'!$C$9^5)*AB2043*AC2043</f>
        <v>0</v>
      </c>
      <c r="AE2043" s="166">
        <v>0</v>
      </c>
      <c r="AF2043" s="166">
        <v>0</v>
      </c>
      <c r="AG2043" s="164">
        <f>($L2043*'Pivot Objective'!$C$9^6)*AE2043*AF2043</f>
        <v>0</v>
      </c>
      <c r="AH2043" s="166">
        <v>0</v>
      </c>
      <c r="AI2043" s="166">
        <v>0</v>
      </c>
      <c r="AJ2043" s="164">
        <f>($L2043*'Pivot Objective'!$C$9^7)*AH2043*AI2043</f>
        <v>0</v>
      </c>
      <c r="AK2043" s="185">
        <f t="shared" si="225"/>
        <v>28617601.347782999</v>
      </c>
      <c r="AL2043" s="186">
        <f t="shared" si="226"/>
        <v>27784.078978430098</v>
      </c>
    </row>
    <row r="2044" spans="1:38" customFormat="1" ht="72" x14ac:dyDescent="0.3">
      <c r="A2044" s="140" t="s">
        <v>1487</v>
      </c>
      <c r="B2044" s="140">
        <v>4</v>
      </c>
      <c r="C2044" s="166" t="s">
        <v>697</v>
      </c>
      <c r="D2044" s="140" t="str">
        <f t="shared" si="228"/>
        <v>1</v>
      </c>
      <c r="E2044" s="166" t="s">
        <v>692</v>
      </c>
      <c r="F2044" s="140">
        <f t="shared" si="230"/>
        <v>1</v>
      </c>
      <c r="G2044" s="140" t="str">
        <f t="shared" si="229"/>
        <v>4.1.1</v>
      </c>
      <c r="H2044" s="166" t="s">
        <v>662</v>
      </c>
      <c r="I2044" s="166" t="s">
        <v>71</v>
      </c>
      <c r="J2044" s="166" t="s">
        <v>412</v>
      </c>
      <c r="K2044" s="166" t="s">
        <v>709</v>
      </c>
      <c r="L2044" s="177">
        <v>35000</v>
      </c>
      <c r="M2044" s="166"/>
      <c r="N2044" s="166"/>
      <c r="O2044" s="164">
        <f t="shared" si="224"/>
        <v>0</v>
      </c>
      <c r="P2044" s="166">
        <v>60</v>
      </c>
      <c r="Q2044" s="166">
        <f>5*3</f>
        <v>15</v>
      </c>
      <c r="R2044" s="164">
        <f>$L2044*'Pivot Objective'!$C$9*P2044*Q2044</f>
        <v>36002014.555499993</v>
      </c>
      <c r="S2044" s="166">
        <v>0</v>
      </c>
      <c r="T2044" s="166">
        <v>0</v>
      </c>
      <c r="U2044" s="164">
        <f>($L2044*'Pivot Objective'!$C$9^2)*S2044*T2044</f>
        <v>0</v>
      </c>
      <c r="V2044" s="166">
        <v>0</v>
      </c>
      <c r="W2044" s="166">
        <v>0</v>
      </c>
      <c r="X2044" s="164">
        <f>($L2044*'Pivot Objective'!$C$9^3)*V2044*W2044</f>
        <v>0</v>
      </c>
      <c r="Y2044" s="166">
        <v>0</v>
      </c>
      <c r="Z2044" s="166">
        <v>0</v>
      </c>
      <c r="AA2044" s="164">
        <f>($L2044*'Pivot Objective'!$C$9^4)*Y2044*Z2044</f>
        <v>0</v>
      </c>
      <c r="AB2044" s="166">
        <v>0</v>
      </c>
      <c r="AC2044" s="166">
        <v>0</v>
      </c>
      <c r="AD2044" s="164">
        <f>($L2044*'Pivot Objective'!$C$9^5)*AB2044*AC2044</f>
        <v>0</v>
      </c>
      <c r="AE2044" s="166">
        <v>0</v>
      </c>
      <c r="AF2044" s="166">
        <v>0</v>
      </c>
      <c r="AG2044" s="164">
        <f>($L2044*'Pivot Objective'!$C$9^6)*AE2044*AF2044</f>
        <v>0</v>
      </c>
      <c r="AH2044" s="166">
        <v>0</v>
      </c>
      <c r="AI2044" s="166">
        <v>0</v>
      </c>
      <c r="AJ2044" s="164">
        <f>($L2044*'Pivot Objective'!$C$9^7)*AH2044*AI2044</f>
        <v>0</v>
      </c>
      <c r="AK2044" s="185">
        <f t="shared" si="225"/>
        <v>36002014.555499993</v>
      </c>
      <c r="AL2044" s="186">
        <f t="shared" si="226"/>
        <v>34953.412189805822</v>
      </c>
    </row>
    <row r="2045" spans="1:38" customFormat="1" ht="72" x14ac:dyDescent="0.3">
      <c r="A2045" s="140" t="s">
        <v>1487</v>
      </c>
      <c r="B2045" s="140">
        <v>4</v>
      </c>
      <c r="C2045" s="166" t="s">
        <v>697</v>
      </c>
      <c r="D2045" s="140" t="str">
        <f t="shared" si="228"/>
        <v>1</v>
      </c>
      <c r="E2045" s="166" t="s">
        <v>692</v>
      </c>
      <c r="F2045" s="140">
        <f t="shared" si="230"/>
        <v>1</v>
      </c>
      <c r="G2045" s="140" t="str">
        <f t="shared" si="229"/>
        <v>4.1.1</v>
      </c>
      <c r="H2045" s="166" t="s">
        <v>662</v>
      </c>
      <c r="I2045" s="166" t="s">
        <v>71</v>
      </c>
      <c r="J2045" s="166" t="s">
        <v>412</v>
      </c>
      <c r="K2045" s="166" t="s">
        <v>712</v>
      </c>
      <c r="L2045" s="177">
        <f>1480/7</f>
        <v>211.42857142857142</v>
      </c>
      <c r="M2045" s="166"/>
      <c r="N2045" s="166"/>
      <c r="O2045" s="164">
        <f t="shared" si="224"/>
        <v>0</v>
      </c>
      <c r="P2045" s="166">
        <f>25*2*20</f>
        <v>1000</v>
      </c>
      <c r="Q2045" s="166">
        <v>3</v>
      </c>
      <c r="R2045" s="164">
        <f>$L2045*'Pivot Objective'!$C$9*P2045*Q2045</f>
        <v>724938.52438285702</v>
      </c>
      <c r="S2045" s="166">
        <v>0</v>
      </c>
      <c r="T2045" s="166">
        <v>0</v>
      </c>
      <c r="U2045" s="164">
        <f>($L2045*'Pivot Objective'!$C$9^2)*S2045*T2045</f>
        <v>0</v>
      </c>
      <c r="V2045" s="166">
        <v>0</v>
      </c>
      <c r="W2045" s="166">
        <v>0</v>
      </c>
      <c r="X2045" s="164">
        <f>($L2045*'Pivot Objective'!$C$9^3)*V2045*W2045</f>
        <v>0</v>
      </c>
      <c r="Y2045" s="166">
        <v>0</v>
      </c>
      <c r="Z2045" s="166">
        <v>0</v>
      </c>
      <c r="AA2045" s="164">
        <f>($L2045*'Pivot Objective'!$C$9^4)*Y2045*Z2045</f>
        <v>0</v>
      </c>
      <c r="AB2045" s="166">
        <v>0</v>
      </c>
      <c r="AC2045" s="166">
        <v>0</v>
      </c>
      <c r="AD2045" s="164">
        <f>($L2045*'Pivot Objective'!$C$9^5)*AB2045*AC2045</f>
        <v>0</v>
      </c>
      <c r="AE2045" s="166">
        <v>0</v>
      </c>
      <c r="AF2045" s="166">
        <v>0</v>
      </c>
      <c r="AG2045" s="164">
        <f>($L2045*'Pivot Objective'!$C$9^6)*AE2045*AF2045</f>
        <v>0</v>
      </c>
      <c r="AH2045" s="166">
        <v>0</v>
      </c>
      <c r="AI2045" s="166">
        <v>0</v>
      </c>
      <c r="AJ2045" s="164">
        <f>($L2045*'Pivot Objective'!$C$9^7)*AH2045*AI2045</f>
        <v>0</v>
      </c>
      <c r="AK2045" s="185">
        <f t="shared" si="225"/>
        <v>724938.52438285702</v>
      </c>
      <c r="AL2045" s="186">
        <f t="shared" si="226"/>
        <v>703.82381008044376</v>
      </c>
    </row>
    <row r="2046" spans="1:38" customFormat="1" ht="72" x14ac:dyDescent="0.3">
      <c r="A2046" s="140" t="s">
        <v>1487</v>
      </c>
      <c r="B2046" s="140">
        <v>4</v>
      </c>
      <c r="C2046" s="166" t="s">
        <v>697</v>
      </c>
      <c r="D2046" s="140" t="str">
        <f t="shared" si="228"/>
        <v>1</v>
      </c>
      <c r="E2046" s="166" t="s">
        <v>692</v>
      </c>
      <c r="F2046" s="140">
        <f t="shared" si="230"/>
        <v>1</v>
      </c>
      <c r="G2046" s="140" t="str">
        <f t="shared" si="229"/>
        <v>4.1.1</v>
      </c>
      <c r="H2046" s="166" t="s">
        <v>662</v>
      </c>
      <c r="I2046" s="166" t="s">
        <v>71</v>
      </c>
      <c r="J2046" s="166" t="s">
        <v>1393</v>
      </c>
      <c r="K2046" s="166" t="s">
        <v>709</v>
      </c>
      <c r="L2046" s="177">
        <v>35000</v>
      </c>
      <c r="M2046" s="166"/>
      <c r="N2046" s="166"/>
      <c r="O2046" s="164">
        <f t="shared" si="224"/>
        <v>0</v>
      </c>
      <c r="P2046" s="166">
        <v>100</v>
      </c>
      <c r="Q2046" s="166">
        <v>2</v>
      </c>
      <c r="R2046" s="164">
        <f>$L2046*'Pivot Objective'!$C$9*P2046*Q2046</f>
        <v>8000447.6789999986</v>
      </c>
      <c r="S2046" s="166">
        <v>0</v>
      </c>
      <c r="T2046" s="166">
        <v>0</v>
      </c>
      <c r="U2046" s="164">
        <f>($L2046*'Pivot Objective'!$C$9^2)*S2046*T2046</f>
        <v>0</v>
      </c>
      <c r="V2046" s="166">
        <v>0</v>
      </c>
      <c r="W2046" s="166">
        <v>0</v>
      </c>
      <c r="X2046" s="164">
        <f>($L2046*'Pivot Objective'!$C$9^3)*V2046*W2046</f>
        <v>0</v>
      </c>
      <c r="Y2046" s="166">
        <v>0</v>
      </c>
      <c r="Z2046" s="166">
        <v>0</v>
      </c>
      <c r="AA2046" s="164">
        <f>($L2046*'Pivot Objective'!$C$9^4)*Y2046*Z2046</f>
        <v>0</v>
      </c>
      <c r="AB2046" s="166">
        <v>0</v>
      </c>
      <c r="AC2046" s="166">
        <v>0</v>
      </c>
      <c r="AD2046" s="164">
        <f>($L2046*'Pivot Objective'!$C$9^5)*AB2046*AC2046</f>
        <v>0</v>
      </c>
      <c r="AE2046" s="166">
        <v>0</v>
      </c>
      <c r="AF2046" s="166">
        <v>0</v>
      </c>
      <c r="AG2046" s="164">
        <f>($L2046*'Pivot Objective'!$C$9^6)*AE2046*AF2046</f>
        <v>0</v>
      </c>
      <c r="AH2046" s="166">
        <v>0</v>
      </c>
      <c r="AI2046" s="166">
        <v>0</v>
      </c>
      <c r="AJ2046" s="164">
        <f>($L2046*'Pivot Objective'!$C$9^7)*AH2046*AI2046</f>
        <v>0</v>
      </c>
      <c r="AK2046" s="185">
        <f t="shared" si="225"/>
        <v>8000447.6789999986</v>
      </c>
      <c r="AL2046" s="186">
        <f t="shared" si="226"/>
        <v>7767.4249310679597</v>
      </c>
    </row>
    <row r="2047" spans="1:38" customFormat="1" ht="72" x14ac:dyDescent="0.3">
      <c r="A2047" s="140" t="s">
        <v>1487</v>
      </c>
      <c r="B2047" s="140">
        <v>4</v>
      </c>
      <c r="C2047" s="166" t="s">
        <v>697</v>
      </c>
      <c r="D2047" s="140" t="str">
        <f t="shared" si="228"/>
        <v>1</v>
      </c>
      <c r="E2047" s="166" t="s">
        <v>692</v>
      </c>
      <c r="F2047" s="140">
        <f t="shared" si="230"/>
        <v>1</v>
      </c>
      <c r="G2047" s="140" t="str">
        <f t="shared" si="229"/>
        <v>4.1.1</v>
      </c>
      <c r="H2047" s="166" t="s">
        <v>662</v>
      </c>
      <c r="I2047" s="166" t="s">
        <v>71</v>
      </c>
      <c r="J2047" s="166" t="s">
        <v>413</v>
      </c>
      <c r="K2047" s="166" t="s">
        <v>712</v>
      </c>
      <c r="L2047" s="177">
        <f>1480/7</f>
        <v>211.42857142857142</v>
      </c>
      <c r="M2047" s="166"/>
      <c r="N2047" s="166"/>
      <c r="O2047" s="164">
        <f t="shared" si="224"/>
        <v>0</v>
      </c>
      <c r="P2047" s="166">
        <f>25*2*10</f>
        <v>500</v>
      </c>
      <c r="Q2047" s="166">
        <v>1</v>
      </c>
      <c r="R2047" s="164">
        <f>$L2047*'Pivot Objective'!$C$9*P2047*Q2047</f>
        <v>120823.08739714284</v>
      </c>
      <c r="S2047" s="166">
        <v>0</v>
      </c>
      <c r="T2047" s="166">
        <v>0</v>
      </c>
      <c r="U2047" s="164">
        <f>($L2047*'Pivot Objective'!$C$9^2)*S2047*T2047</f>
        <v>0</v>
      </c>
      <c r="V2047" s="166">
        <v>0</v>
      </c>
      <c r="W2047" s="166">
        <v>0</v>
      </c>
      <c r="X2047" s="164">
        <f>($L2047*'Pivot Objective'!$C$9^3)*V2047*W2047</f>
        <v>0</v>
      </c>
      <c r="Y2047" s="166">
        <v>0</v>
      </c>
      <c r="Z2047" s="166">
        <v>0</v>
      </c>
      <c r="AA2047" s="164">
        <f>($L2047*'Pivot Objective'!$C$9^4)*Y2047*Z2047</f>
        <v>0</v>
      </c>
      <c r="AB2047" s="166">
        <v>0</v>
      </c>
      <c r="AC2047" s="166">
        <v>0</v>
      </c>
      <c r="AD2047" s="164">
        <f>($L2047*'Pivot Objective'!$C$9^5)*AB2047*AC2047</f>
        <v>0</v>
      </c>
      <c r="AE2047" s="166">
        <v>0</v>
      </c>
      <c r="AF2047" s="166">
        <v>0</v>
      </c>
      <c r="AG2047" s="164">
        <f>($L2047*'Pivot Objective'!$C$9^6)*AE2047*AF2047</f>
        <v>0</v>
      </c>
      <c r="AH2047" s="166">
        <v>0</v>
      </c>
      <c r="AI2047" s="166">
        <v>0</v>
      </c>
      <c r="AJ2047" s="164">
        <f>($L2047*'Pivot Objective'!$C$9^7)*AH2047*AI2047</f>
        <v>0</v>
      </c>
      <c r="AK2047" s="185">
        <f t="shared" si="225"/>
        <v>120823.08739714284</v>
      </c>
      <c r="AL2047" s="186">
        <f t="shared" si="226"/>
        <v>117.30396834674062</v>
      </c>
    </row>
    <row r="2048" spans="1:38" customFormat="1" ht="72" x14ac:dyDescent="0.3">
      <c r="A2048" s="140" t="s">
        <v>1487</v>
      </c>
      <c r="B2048" s="140">
        <v>4</v>
      </c>
      <c r="C2048" s="166" t="s">
        <v>697</v>
      </c>
      <c r="D2048" s="140" t="str">
        <f t="shared" si="228"/>
        <v>1</v>
      </c>
      <c r="E2048" s="166" t="s">
        <v>692</v>
      </c>
      <c r="F2048" s="140">
        <f t="shared" si="230"/>
        <v>1</v>
      </c>
      <c r="G2048" s="140" t="str">
        <f t="shared" si="229"/>
        <v>4.1.1</v>
      </c>
      <c r="H2048" s="166" t="s">
        <v>662</v>
      </c>
      <c r="I2048" s="166" t="s">
        <v>71</v>
      </c>
      <c r="J2048" s="166" t="s">
        <v>414</v>
      </c>
      <c r="K2048" s="166" t="s">
        <v>709</v>
      </c>
      <c r="L2048" s="177">
        <v>35000</v>
      </c>
      <c r="M2048" s="166"/>
      <c r="N2048" s="166">
        <v>0</v>
      </c>
      <c r="O2048" s="164">
        <f t="shared" si="224"/>
        <v>0</v>
      </c>
      <c r="P2048" s="166">
        <v>60</v>
      </c>
      <c r="Q2048" s="166">
        <v>1</v>
      </c>
      <c r="R2048" s="164">
        <f>$L2048*'Pivot Objective'!$C$9*P2048*Q2048</f>
        <v>2400134.3036999996</v>
      </c>
      <c r="S2048" s="166">
        <v>0</v>
      </c>
      <c r="T2048" s="166">
        <v>0</v>
      </c>
      <c r="U2048" s="164">
        <f>($L2048*'Pivot Objective'!$C$9^2)*S2048*T2048</f>
        <v>0</v>
      </c>
      <c r="V2048" s="166">
        <v>0</v>
      </c>
      <c r="W2048" s="166">
        <v>0</v>
      </c>
      <c r="X2048" s="164">
        <f>($L2048*'Pivot Objective'!$C$9^3)*V2048*W2048</f>
        <v>0</v>
      </c>
      <c r="Y2048" s="166">
        <v>0</v>
      </c>
      <c r="Z2048" s="166">
        <v>0</v>
      </c>
      <c r="AA2048" s="164">
        <f>($L2048*'Pivot Objective'!$C$9^4)*Y2048*Z2048</f>
        <v>0</v>
      </c>
      <c r="AB2048" s="166">
        <v>0</v>
      </c>
      <c r="AC2048" s="166">
        <v>0</v>
      </c>
      <c r="AD2048" s="164">
        <f>($L2048*'Pivot Objective'!$C$9^5)*AB2048*AC2048</f>
        <v>0</v>
      </c>
      <c r="AE2048" s="166">
        <v>0</v>
      </c>
      <c r="AF2048" s="166">
        <v>0</v>
      </c>
      <c r="AG2048" s="164">
        <f>($L2048*'Pivot Objective'!$C$9^6)*AE2048*AF2048</f>
        <v>0</v>
      </c>
      <c r="AH2048" s="166">
        <v>0</v>
      </c>
      <c r="AI2048" s="166">
        <v>0</v>
      </c>
      <c r="AJ2048" s="164">
        <f>($L2048*'Pivot Objective'!$C$9^7)*AH2048*AI2048</f>
        <v>0</v>
      </c>
      <c r="AK2048" s="185">
        <f t="shared" si="225"/>
        <v>2400134.3036999996</v>
      </c>
      <c r="AL2048" s="186">
        <f t="shared" si="226"/>
        <v>2330.2274793203878</v>
      </c>
    </row>
    <row r="2049" spans="1:38" customFormat="1" ht="72" x14ac:dyDescent="0.3">
      <c r="A2049" s="140" t="s">
        <v>1487</v>
      </c>
      <c r="B2049" s="140">
        <v>4</v>
      </c>
      <c r="C2049" s="166" t="s">
        <v>697</v>
      </c>
      <c r="D2049" s="140" t="str">
        <f t="shared" si="228"/>
        <v>1</v>
      </c>
      <c r="E2049" s="166" t="s">
        <v>692</v>
      </c>
      <c r="F2049" s="140">
        <f t="shared" si="230"/>
        <v>1</v>
      </c>
      <c r="G2049" s="140" t="str">
        <f t="shared" si="229"/>
        <v>4.1.1</v>
      </c>
      <c r="H2049" s="166" t="s">
        <v>662</v>
      </c>
      <c r="I2049" s="166" t="s">
        <v>71</v>
      </c>
      <c r="J2049" s="166" t="s">
        <v>414</v>
      </c>
      <c r="K2049" s="166" t="s">
        <v>716</v>
      </c>
      <c r="L2049" s="177">
        <v>39000</v>
      </c>
      <c r="M2049" s="140"/>
      <c r="N2049" s="140"/>
      <c r="O2049" s="164">
        <f t="shared" si="224"/>
        <v>0</v>
      </c>
      <c r="P2049" s="166">
        <v>60</v>
      </c>
      <c r="Q2049" s="166">
        <v>2</v>
      </c>
      <c r="R2049" s="164">
        <f>$L2049*'Pivot Objective'!$C$9*P2049*Q2049</f>
        <v>5348870.7339599989</v>
      </c>
      <c r="S2049" s="166"/>
      <c r="T2049" s="166"/>
      <c r="U2049" s="164">
        <f>($L2049*'Pivot Objective'!$C$9^2)*S2049*T2049</f>
        <v>0</v>
      </c>
      <c r="V2049" s="166"/>
      <c r="W2049" s="166"/>
      <c r="X2049" s="164">
        <f>($L2049*'Pivot Objective'!$C$9^3)*V2049*W2049</f>
        <v>0</v>
      </c>
      <c r="Y2049" s="166"/>
      <c r="Z2049" s="166"/>
      <c r="AA2049" s="164">
        <f>($L2049*'Pivot Objective'!$C$9^4)*Y2049*Z2049</f>
        <v>0</v>
      </c>
      <c r="AB2049" s="166"/>
      <c r="AC2049" s="166"/>
      <c r="AD2049" s="164">
        <f>($L2049*'Pivot Objective'!$C$9^5)*AB2049*AC2049</f>
        <v>0</v>
      </c>
      <c r="AE2049" s="166"/>
      <c r="AF2049" s="166"/>
      <c r="AG2049" s="164">
        <f>($L2049*'Pivot Objective'!$C$9^6)*AE2049*AF2049</f>
        <v>0</v>
      </c>
      <c r="AH2049" s="166"/>
      <c r="AI2049" s="166"/>
      <c r="AJ2049" s="164">
        <f>($L2049*'Pivot Objective'!$C$9^7)*AH2049*AI2049</f>
        <v>0</v>
      </c>
      <c r="AK2049" s="185">
        <f t="shared" si="225"/>
        <v>5348870.7339599989</v>
      </c>
      <c r="AL2049" s="186">
        <f t="shared" si="226"/>
        <v>5193.0783824854361</v>
      </c>
    </row>
    <row r="2050" spans="1:38" customFormat="1" ht="72" x14ac:dyDescent="0.3">
      <c r="A2050" s="140" t="s">
        <v>1487</v>
      </c>
      <c r="B2050" s="140">
        <v>4</v>
      </c>
      <c r="C2050" s="166" t="s">
        <v>697</v>
      </c>
      <c r="D2050" s="140" t="str">
        <f t="shared" si="228"/>
        <v>1</v>
      </c>
      <c r="E2050" s="166" t="s">
        <v>692</v>
      </c>
      <c r="F2050" s="140">
        <f t="shared" si="230"/>
        <v>1</v>
      </c>
      <c r="G2050" s="140" t="str">
        <f t="shared" si="229"/>
        <v>4.1.1</v>
      </c>
      <c r="H2050" s="166" t="s">
        <v>662</v>
      </c>
      <c r="I2050" s="166" t="s">
        <v>71</v>
      </c>
      <c r="J2050" s="166" t="s">
        <v>414</v>
      </c>
      <c r="K2050" s="166" t="s">
        <v>712</v>
      </c>
      <c r="L2050" s="177">
        <f>1480/7</f>
        <v>211.42857142857142</v>
      </c>
      <c r="M2050" s="140"/>
      <c r="N2050" s="140"/>
      <c r="O2050" s="164">
        <f t="shared" si="224"/>
        <v>0</v>
      </c>
      <c r="P2050" s="166">
        <f>2*25*15</f>
        <v>750</v>
      </c>
      <c r="Q2050" s="166">
        <v>1</v>
      </c>
      <c r="R2050" s="164">
        <f>$L2050*'Pivot Objective'!$C$9*P2050*Q2050</f>
        <v>181234.63109571426</v>
      </c>
      <c r="S2050" s="166"/>
      <c r="T2050" s="166"/>
      <c r="U2050" s="164">
        <f>($L2050*'Pivot Objective'!$C$9^2)*S2050*T2050</f>
        <v>0</v>
      </c>
      <c r="V2050" s="166"/>
      <c r="W2050" s="166"/>
      <c r="X2050" s="164">
        <f>($L2050*'Pivot Objective'!$C$9^3)*V2050*W2050</f>
        <v>0</v>
      </c>
      <c r="Y2050" s="166"/>
      <c r="Z2050" s="166"/>
      <c r="AA2050" s="164">
        <f>($L2050*'Pivot Objective'!$C$9^4)*Y2050*Z2050</f>
        <v>0</v>
      </c>
      <c r="AB2050" s="166"/>
      <c r="AC2050" s="166"/>
      <c r="AD2050" s="164">
        <f>($L2050*'Pivot Objective'!$C$9^5)*AB2050*AC2050</f>
        <v>0</v>
      </c>
      <c r="AE2050" s="166"/>
      <c r="AF2050" s="166"/>
      <c r="AG2050" s="164">
        <f>($L2050*'Pivot Objective'!$C$9^6)*AE2050*AF2050</f>
        <v>0</v>
      </c>
      <c r="AH2050" s="166"/>
      <c r="AI2050" s="166"/>
      <c r="AJ2050" s="164">
        <f>($L2050*'Pivot Objective'!$C$9^7)*AH2050*AI2050</f>
        <v>0</v>
      </c>
      <c r="AK2050" s="185">
        <f t="shared" si="225"/>
        <v>181234.63109571426</v>
      </c>
      <c r="AL2050" s="186">
        <f t="shared" si="226"/>
        <v>175.95595252011094</v>
      </c>
    </row>
    <row r="2051" spans="1:38" customFormat="1" ht="72" x14ac:dyDescent="0.3">
      <c r="A2051" s="140" t="s">
        <v>1487</v>
      </c>
      <c r="B2051" s="140">
        <v>4</v>
      </c>
      <c r="C2051" s="166" t="s">
        <v>697</v>
      </c>
      <c r="D2051" s="140" t="str">
        <f t="shared" si="228"/>
        <v>1</v>
      </c>
      <c r="E2051" s="166" t="s">
        <v>692</v>
      </c>
      <c r="F2051" s="140">
        <f t="shared" si="230"/>
        <v>1</v>
      </c>
      <c r="G2051" s="140" t="str">
        <f t="shared" si="229"/>
        <v>4.1.1</v>
      </c>
      <c r="H2051" s="166" t="s">
        <v>662</v>
      </c>
      <c r="I2051" s="166" t="s">
        <v>71</v>
      </c>
      <c r="J2051" s="166" t="s">
        <v>414</v>
      </c>
      <c r="K2051" s="166" t="s">
        <v>1303</v>
      </c>
      <c r="L2051" s="177">
        <f>1480/7</f>
        <v>211.42857142857142</v>
      </c>
      <c r="M2051" s="140"/>
      <c r="N2051" s="140"/>
      <c r="O2051" s="164">
        <f t="shared" ref="O2051:O2114" si="231">$L2051*M2051*N2051</f>
        <v>0</v>
      </c>
      <c r="P2051" s="166">
        <f>2*135*15</f>
        <v>4050</v>
      </c>
      <c r="Q2051" s="166">
        <v>1</v>
      </c>
      <c r="R2051" s="164">
        <f>$L2051*'Pivot Objective'!$C$9*P2051*Q2051</f>
        <v>978667.00791685702</v>
      </c>
      <c r="S2051" s="166"/>
      <c r="T2051" s="166"/>
      <c r="U2051" s="164">
        <f>($L2051*'Pivot Objective'!$C$9^2)*S2051*T2051</f>
        <v>0</v>
      </c>
      <c r="V2051" s="166"/>
      <c r="W2051" s="166"/>
      <c r="X2051" s="164">
        <f>($L2051*'Pivot Objective'!$C$9^3)*V2051*W2051</f>
        <v>0</v>
      </c>
      <c r="Y2051" s="166"/>
      <c r="Z2051" s="166"/>
      <c r="AA2051" s="164">
        <f>($L2051*'Pivot Objective'!$C$9^4)*Y2051*Z2051</f>
        <v>0</v>
      </c>
      <c r="AB2051" s="166"/>
      <c r="AC2051" s="166"/>
      <c r="AD2051" s="164">
        <f>($L2051*'Pivot Objective'!$C$9^5)*AB2051*AC2051</f>
        <v>0</v>
      </c>
      <c r="AE2051" s="166"/>
      <c r="AF2051" s="166"/>
      <c r="AG2051" s="164">
        <f>($L2051*'Pivot Objective'!$C$9^6)*AE2051*AF2051</f>
        <v>0</v>
      </c>
      <c r="AH2051" s="166"/>
      <c r="AI2051" s="166"/>
      <c r="AJ2051" s="164">
        <f>($L2051*'Pivot Objective'!$C$9^7)*AH2051*AI2051</f>
        <v>0</v>
      </c>
      <c r="AK2051" s="185">
        <f t="shared" ref="AK2051:AK2114" si="232">O2051+R2051+U2051+X2051+AA2051+AD2051+AG2051+AJ2051</f>
        <v>978667.00791685702</v>
      </c>
      <c r="AL2051" s="186">
        <f t="shared" ref="AL2051:AL2114" si="233">AK2051/$AP$2</f>
        <v>950.16214360859908</v>
      </c>
    </row>
    <row r="2052" spans="1:38" customFormat="1" ht="72" x14ac:dyDescent="0.3">
      <c r="A2052" s="140" t="s">
        <v>1487</v>
      </c>
      <c r="B2052" s="140">
        <v>4</v>
      </c>
      <c r="C2052" s="166" t="s">
        <v>697</v>
      </c>
      <c r="D2052" s="140" t="str">
        <f t="shared" si="228"/>
        <v>1</v>
      </c>
      <c r="E2052" s="166" t="s">
        <v>692</v>
      </c>
      <c r="F2052" s="140">
        <f t="shared" si="230"/>
        <v>1</v>
      </c>
      <c r="G2052" s="140" t="str">
        <f t="shared" si="229"/>
        <v>4.1.1</v>
      </c>
      <c r="H2052" s="166" t="s">
        <v>662</v>
      </c>
      <c r="I2052" s="166" t="s">
        <v>71</v>
      </c>
      <c r="J2052" s="166" t="s">
        <v>415</v>
      </c>
      <c r="K2052" s="166" t="s">
        <v>718</v>
      </c>
      <c r="L2052" s="177">
        <v>0</v>
      </c>
      <c r="M2052" s="166">
        <v>0</v>
      </c>
      <c r="N2052" s="166">
        <v>0</v>
      </c>
      <c r="O2052" s="164">
        <f t="shared" si="231"/>
        <v>0</v>
      </c>
      <c r="P2052" s="166">
        <v>0</v>
      </c>
      <c r="Q2052" s="166">
        <v>0</v>
      </c>
      <c r="R2052" s="164">
        <f>$L2052*'Pivot Objective'!$C$9*P2052*Q2052</f>
        <v>0</v>
      </c>
      <c r="S2052" s="166">
        <v>0</v>
      </c>
      <c r="T2052" s="166">
        <v>0</v>
      </c>
      <c r="U2052" s="164">
        <f>($L2052*'Pivot Objective'!$C$9^2)*S2052*T2052</f>
        <v>0</v>
      </c>
      <c r="V2052" s="166">
        <v>0</v>
      </c>
      <c r="W2052" s="166">
        <v>0</v>
      </c>
      <c r="X2052" s="164">
        <f>($L2052*'Pivot Objective'!$C$9^3)*V2052*W2052</f>
        <v>0</v>
      </c>
      <c r="Y2052" s="166">
        <v>0</v>
      </c>
      <c r="Z2052" s="166">
        <v>0</v>
      </c>
      <c r="AA2052" s="164">
        <f>($L2052*'Pivot Objective'!$C$9^4)*Y2052*Z2052</f>
        <v>0</v>
      </c>
      <c r="AB2052" s="166">
        <v>0</v>
      </c>
      <c r="AC2052" s="166">
        <v>0</v>
      </c>
      <c r="AD2052" s="164">
        <f>($L2052*'Pivot Objective'!$C$9^5)*AB2052*AC2052</f>
        <v>0</v>
      </c>
      <c r="AE2052" s="166">
        <v>0</v>
      </c>
      <c r="AF2052" s="166">
        <v>0</v>
      </c>
      <c r="AG2052" s="164">
        <f>($L2052*'Pivot Objective'!$C$9^6)*AE2052*AF2052</f>
        <v>0</v>
      </c>
      <c r="AH2052" s="166">
        <v>0</v>
      </c>
      <c r="AI2052" s="166">
        <v>0</v>
      </c>
      <c r="AJ2052" s="164">
        <f>($L2052*'Pivot Objective'!$C$9^7)*AH2052*AI2052</f>
        <v>0</v>
      </c>
      <c r="AK2052" s="185">
        <f t="shared" si="232"/>
        <v>0</v>
      </c>
      <c r="AL2052" s="186">
        <f t="shared" si="233"/>
        <v>0</v>
      </c>
    </row>
    <row r="2053" spans="1:38" customFormat="1" ht="72" x14ac:dyDescent="0.3">
      <c r="A2053" s="140" t="s">
        <v>1487</v>
      </c>
      <c r="B2053" s="140">
        <v>4</v>
      </c>
      <c r="C2053" s="166" t="s">
        <v>697</v>
      </c>
      <c r="D2053" s="140" t="str">
        <f t="shared" si="228"/>
        <v>1</v>
      </c>
      <c r="E2053" s="166" t="s">
        <v>692</v>
      </c>
      <c r="F2053" s="140">
        <f t="shared" si="230"/>
        <v>1</v>
      </c>
      <c r="G2053" s="140" t="str">
        <f t="shared" si="229"/>
        <v>4.1.1</v>
      </c>
      <c r="H2053" s="166" t="s">
        <v>662</v>
      </c>
      <c r="I2053" s="166" t="s">
        <v>71</v>
      </c>
      <c r="J2053" s="166" t="s">
        <v>416</v>
      </c>
      <c r="K2053" s="166" t="s">
        <v>709</v>
      </c>
      <c r="L2053" s="177">
        <v>35000</v>
      </c>
      <c r="M2053" s="166"/>
      <c r="N2053" s="166"/>
      <c r="O2053" s="164">
        <f t="shared" si="231"/>
        <v>0</v>
      </c>
      <c r="P2053" s="166">
        <v>25</v>
      </c>
      <c r="Q2053" s="166">
        <v>3</v>
      </c>
      <c r="R2053" s="164">
        <f>$L2053*'Pivot Objective'!$C$9*P2053*Q2053</f>
        <v>3000167.8796249996</v>
      </c>
      <c r="S2053" s="166">
        <v>0</v>
      </c>
      <c r="T2053" s="166">
        <v>0</v>
      </c>
      <c r="U2053" s="164">
        <f>($L2053*'Pivot Objective'!$C$9^2)*S2053*T2053</f>
        <v>0</v>
      </c>
      <c r="V2053" s="166">
        <v>0</v>
      </c>
      <c r="W2053" s="166">
        <v>0</v>
      </c>
      <c r="X2053" s="164">
        <f>($L2053*'Pivot Objective'!$C$9^3)*V2053*W2053</f>
        <v>0</v>
      </c>
      <c r="Y2053" s="166">
        <v>0</v>
      </c>
      <c r="Z2053" s="166">
        <v>0</v>
      </c>
      <c r="AA2053" s="164">
        <f>($L2053*'Pivot Objective'!$C$9^4)*Y2053*Z2053</f>
        <v>0</v>
      </c>
      <c r="AB2053" s="166">
        <v>0</v>
      </c>
      <c r="AC2053" s="166">
        <v>0</v>
      </c>
      <c r="AD2053" s="164">
        <f>($L2053*'Pivot Objective'!$C$9^5)*AB2053*AC2053</f>
        <v>0</v>
      </c>
      <c r="AE2053" s="166">
        <v>0</v>
      </c>
      <c r="AF2053" s="166">
        <v>0</v>
      </c>
      <c r="AG2053" s="164">
        <f>($L2053*'Pivot Objective'!$C$9^6)*AE2053*AF2053</f>
        <v>0</v>
      </c>
      <c r="AH2053" s="166">
        <v>0</v>
      </c>
      <c r="AI2053" s="166">
        <v>0</v>
      </c>
      <c r="AJ2053" s="164">
        <f>($L2053*'Pivot Objective'!$C$9^7)*AH2053*AI2053</f>
        <v>0</v>
      </c>
      <c r="AK2053" s="185">
        <f t="shared" si="232"/>
        <v>3000167.8796249996</v>
      </c>
      <c r="AL2053" s="186">
        <f t="shared" si="233"/>
        <v>2912.784349150485</v>
      </c>
    </row>
    <row r="2054" spans="1:38" customFormat="1" ht="57.6" x14ac:dyDescent="0.3">
      <c r="A2054" s="140" t="s">
        <v>1487</v>
      </c>
      <c r="B2054" s="140">
        <v>4</v>
      </c>
      <c r="C2054" s="166" t="s">
        <v>697</v>
      </c>
      <c r="D2054" s="140" t="str">
        <f t="shared" si="228"/>
        <v>1</v>
      </c>
      <c r="E2054" s="166" t="s">
        <v>692</v>
      </c>
      <c r="F2054" s="140">
        <f t="shared" si="230"/>
        <v>1</v>
      </c>
      <c r="G2054" s="140" t="str">
        <f t="shared" si="229"/>
        <v>4.1.1</v>
      </c>
      <c r="H2054" s="166" t="s">
        <v>662</v>
      </c>
      <c r="I2054" s="166" t="s">
        <v>72</v>
      </c>
      <c r="J2054" s="166" t="s">
        <v>417</v>
      </c>
      <c r="K2054" s="166" t="s">
        <v>709</v>
      </c>
      <c r="L2054" s="177">
        <v>35000</v>
      </c>
      <c r="M2054" s="166"/>
      <c r="N2054" s="166"/>
      <c r="O2054" s="164">
        <f t="shared" si="231"/>
        <v>0</v>
      </c>
      <c r="P2054" s="166">
        <f>900*2</f>
        <v>1800</v>
      </c>
      <c r="Q2054" s="166">
        <v>5</v>
      </c>
      <c r="R2054" s="164">
        <f>$L2054*'Pivot Objective'!$C$9*P2054*Q2054</f>
        <v>360020145.55499995</v>
      </c>
      <c r="S2054" s="166">
        <v>0</v>
      </c>
      <c r="T2054" s="166">
        <v>0</v>
      </c>
      <c r="U2054" s="164">
        <f>($L2054*'Pivot Objective'!$C$9^2)*S2054*T2054</f>
        <v>0</v>
      </c>
      <c r="V2054" s="166">
        <v>0</v>
      </c>
      <c r="W2054" s="166">
        <v>0</v>
      </c>
      <c r="X2054" s="164">
        <f>($L2054*'Pivot Objective'!$C$9^3)*V2054*W2054</f>
        <v>0</v>
      </c>
      <c r="Y2054" s="166">
        <v>1200</v>
      </c>
      <c r="Z2054" s="166">
        <v>5</v>
      </c>
      <c r="AA2054" s="164">
        <f>($L2054*'Pivot Objective'!$C$9^4)*Y2054*Z2054</f>
        <v>358330926.2584374</v>
      </c>
      <c r="AB2054" s="166">
        <v>0</v>
      </c>
      <c r="AC2054" s="166">
        <v>0</v>
      </c>
      <c r="AD2054" s="164">
        <f>($L2054*'Pivot Objective'!$C$9^5)*AB2054*AC2054</f>
        <v>0</v>
      </c>
      <c r="AE2054" s="166">
        <v>0</v>
      </c>
      <c r="AF2054" s="166">
        <v>0</v>
      </c>
      <c r="AG2054" s="164">
        <f>($L2054*'Pivot Objective'!$C$9^6)*AE2054*AF2054</f>
        <v>0</v>
      </c>
      <c r="AH2054" s="166">
        <v>0</v>
      </c>
      <c r="AI2054" s="166">
        <v>0</v>
      </c>
      <c r="AJ2054" s="164">
        <f>($L2054*'Pivot Objective'!$C$9^7)*AH2054*AI2054</f>
        <v>0</v>
      </c>
      <c r="AK2054" s="185">
        <f t="shared" si="232"/>
        <v>718351071.81343734</v>
      </c>
      <c r="AL2054" s="186">
        <f t="shared" si="233"/>
        <v>697428.22506158962</v>
      </c>
    </row>
    <row r="2055" spans="1:38" customFormat="1" ht="57.6" x14ac:dyDescent="0.3">
      <c r="A2055" s="140" t="s">
        <v>1487</v>
      </c>
      <c r="B2055" s="140">
        <v>4</v>
      </c>
      <c r="C2055" s="166" t="s">
        <v>697</v>
      </c>
      <c r="D2055" s="140" t="str">
        <f t="shared" si="228"/>
        <v>1</v>
      </c>
      <c r="E2055" s="166" t="s">
        <v>692</v>
      </c>
      <c r="F2055" s="140">
        <f t="shared" si="230"/>
        <v>1</v>
      </c>
      <c r="G2055" s="140" t="str">
        <f t="shared" si="229"/>
        <v>4.1.1</v>
      </c>
      <c r="H2055" s="166" t="s">
        <v>662</v>
      </c>
      <c r="I2055" s="166" t="s">
        <v>72</v>
      </c>
      <c r="J2055" s="166" t="s">
        <v>417</v>
      </c>
      <c r="K2055" s="166" t="s">
        <v>716</v>
      </c>
      <c r="L2055" s="177">
        <v>39000</v>
      </c>
      <c r="M2055" s="166"/>
      <c r="N2055" s="166"/>
      <c r="O2055" s="164">
        <f t="shared" si="231"/>
        <v>0</v>
      </c>
      <c r="P2055" s="166">
        <f>900*2</f>
        <v>1800</v>
      </c>
      <c r="Q2055" s="166">
        <v>6</v>
      </c>
      <c r="R2055" s="164">
        <f>$L2055*'Pivot Objective'!$C$9*P2055*Q2055</f>
        <v>481398366.05639994</v>
      </c>
      <c r="S2055" s="166">
        <v>0</v>
      </c>
      <c r="T2055" s="166">
        <v>0</v>
      </c>
      <c r="U2055" s="164">
        <f>($L2055*'Pivot Objective'!$C$9^2)*S2055*T2055</f>
        <v>0</v>
      </c>
      <c r="V2055" s="166">
        <v>0</v>
      </c>
      <c r="W2055" s="166">
        <v>0</v>
      </c>
      <c r="X2055" s="164">
        <f>($L2055*'Pivot Objective'!$C$9^3)*V2055*W2055</f>
        <v>0</v>
      </c>
      <c r="Y2055" s="166">
        <v>1200</v>
      </c>
      <c r="Z2055" s="166">
        <v>5</v>
      </c>
      <c r="AA2055" s="164">
        <f>($L2055*'Pivot Objective'!$C$9^4)*Y2055*Z2055</f>
        <v>399283032.11654454</v>
      </c>
      <c r="AB2055" s="166">
        <v>0</v>
      </c>
      <c r="AC2055" s="166">
        <v>0</v>
      </c>
      <c r="AD2055" s="164">
        <f>($L2055*'Pivot Objective'!$C$9^5)*AB2055*AC2055</f>
        <v>0</v>
      </c>
      <c r="AE2055" s="166">
        <v>0</v>
      </c>
      <c r="AF2055" s="166">
        <v>0</v>
      </c>
      <c r="AG2055" s="164">
        <f>($L2055*'Pivot Objective'!$C$9^6)*AE2055*AF2055</f>
        <v>0</v>
      </c>
      <c r="AH2055" s="166">
        <v>0</v>
      </c>
      <c r="AI2055" s="166">
        <v>0</v>
      </c>
      <c r="AJ2055" s="164">
        <f>($L2055*'Pivot Objective'!$C$9^7)*AH2055*AI2055</f>
        <v>0</v>
      </c>
      <c r="AK2055" s="185">
        <f t="shared" si="232"/>
        <v>880681398.17294455</v>
      </c>
      <c r="AL2055" s="186">
        <f t="shared" si="233"/>
        <v>855030.4836630529</v>
      </c>
    </row>
    <row r="2056" spans="1:38" customFormat="1" ht="57.6" x14ac:dyDescent="0.3">
      <c r="A2056" s="140" t="s">
        <v>1487</v>
      </c>
      <c r="B2056" s="140">
        <v>4</v>
      </c>
      <c r="C2056" s="166" t="s">
        <v>697</v>
      </c>
      <c r="D2056" s="140" t="str">
        <f t="shared" si="228"/>
        <v>1</v>
      </c>
      <c r="E2056" s="166" t="s">
        <v>692</v>
      </c>
      <c r="F2056" s="140">
        <f t="shared" si="230"/>
        <v>1</v>
      </c>
      <c r="G2056" s="140" t="str">
        <f t="shared" si="229"/>
        <v>4.1.1</v>
      </c>
      <c r="H2056" s="166" t="s">
        <v>662</v>
      </c>
      <c r="I2056" s="166" t="s">
        <v>72</v>
      </c>
      <c r="J2056" s="166" t="s">
        <v>417</v>
      </c>
      <c r="K2056" s="166" t="s">
        <v>712</v>
      </c>
      <c r="L2056" s="177">
        <f>1480/7</f>
        <v>211.42857142857142</v>
      </c>
      <c r="M2056" s="166"/>
      <c r="N2056" s="166"/>
      <c r="O2056" s="164">
        <f t="shared" si="231"/>
        <v>0</v>
      </c>
      <c r="P2056" s="166">
        <f>25*2*450</f>
        <v>22500</v>
      </c>
      <c r="Q2056" s="166">
        <v>5</v>
      </c>
      <c r="R2056" s="164">
        <f>$L2056*'Pivot Objective'!$C$9*P2056*Q2056</f>
        <v>27185194.664357141</v>
      </c>
      <c r="S2056" s="166">
        <v>0</v>
      </c>
      <c r="T2056" s="166">
        <v>0</v>
      </c>
      <c r="U2056" s="164">
        <f>($L2056*'Pivot Objective'!$C$9^2)*S2056*T2056</f>
        <v>0</v>
      </c>
      <c r="V2056" s="166">
        <v>0</v>
      </c>
      <c r="W2056" s="166">
        <v>0</v>
      </c>
      <c r="X2056" s="164">
        <f>($L2056*'Pivot Objective'!$C$9^3)*V2056*W2056</f>
        <v>0</v>
      </c>
      <c r="Y2056" s="166">
        <v>140000</v>
      </c>
      <c r="Z2056" s="166">
        <v>1</v>
      </c>
      <c r="AA2056" s="164">
        <f>($L2056*'Pivot Objective'!$C$9^4)*Y2056*Z2056</f>
        <v>50507597.224998787</v>
      </c>
      <c r="AB2056" s="166">
        <v>0</v>
      </c>
      <c r="AC2056" s="166">
        <v>0</v>
      </c>
      <c r="AD2056" s="164">
        <f>($L2056*'Pivot Objective'!$C$9^5)*AB2056*AC2056</f>
        <v>0</v>
      </c>
      <c r="AE2056" s="166">
        <v>0</v>
      </c>
      <c r="AF2056" s="166">
        <v>0</v>
      </c>
      <c r="AG2056" s="164">
        <f>($L2056*'Pivot Objective'!$C$9^6)*AE2056*AF2056</f>
        <v>0</v>
      </c>
      <c r="AH2056" s="166">
        <v>0</v>
      </c>
      <c r="AI2056" s="166">
        <v>0</v>
      </c>
      <c r="AJ2056" s="164">
        <f>($L2056*'Pivot Objective'!$C$9^7)*AH2056*AI2056</f>
        <v>0</v>
      </c>
      <c r="AK2056" s="185">
        <f t="shared" si="232"/>
        <v>77692791.889355928</v>
      </c>
      <c r="AL2056" s="186">
        <f t="shared" si="233"/>
        <v>75429.895038209637</v>
      </c>
    </row>
    <row r="2057" spans="1:38" customFormat="1" ht="57.6" x14ac:dyDescent="0.3">
      <c r="A2057" s="140" t="s">
        <v>1487</v>
      </c>
      <c r="B2057" s="140">
        <v>4</v>
      </c>
      <c r="C2057" s="166" t="s">
        <v>697</v>
      </c>
      <c r="D2057" s="140" t="str">
        <f t="shared" si="228"/>
        <v>1</v>
      </c>
      <c r="E2057" s="166" t="s">
        <v>692</v>
      </c>
      <c r="F2057" s="140">
        <f t="shared" si="230"/>
        <v>1</v>
      </c>
      <c r="G2057" s="140" t="str">
        <f t="shared" si="229"/>
        <v>4.1.1</v>
      </c>
      <c r="H2057" s="166" t="s">
        <v>662</v>
      </c>
      <c r="I2057" s="166" t="s">
        <v>72</v>
      </c>
      <c r="J2057" s="166" t="s">
        <v>769</v>
      </c>
      <c r="K2057" s="166" t="s">
        <v>1303</v>
      </c>
      <c r="L2057" s="177">
        <f>1480/7</f>
        <v>211.42857142857142</v>
      </c>
      <c r="M2057" s="166"/>
      <c r="N2057" s="166"/>
      <c r="O2057" s="164">
        <f t="shared" si="231"/>
        <v>0</v>
      </c>
      <c r="P2057" s="166">
        <f>2*135*450</f>
        <v>121500</v>
      </c>
      <c r="Q2057" s="166">
        <v>1</v>
      </c>
      <c r="R2057" s="164">
        <f>$L2057*'Pivot Objective'!$C$9*P2057*Q2057</f>
        <v>29360010.237505712</v>
      </c>
      <c r="S2057" s="166"/>
      <c r="T2057" s="166"/>
      <c r="U2057" s="164">
        <f>($L2057*'Pivot Objective'!$C$9^2)*S2057*T2057</f>
        <v>0</v>
      </c>
      <c r="V2057" s="166"/>
      <c r="W2057" s="166"/>
      <c r="X2057" s="164">
        <f>($L2057*'Pivot Objective'!$C$9^3)*V2057*W2057</f>
        <v>0</v>
      </c>
      <c r="Y2057" s="166"/>
      <c r="Z2057" s="166"/>
      <c r="AA2057" s="164">
        <f>($L2057*'Pivot Objective'!$C$9^4)*Y2057*Z2057</f>
        <v>0</v>
      </c>
      <c r="AB2057" s="166"/>
      <c r="AC2057" s="166"/>
      <c r="AD2057" s="164">
        <f>($L2057*'Pivot Objective'!$C$9^5)*AB2057*AC2057</f>
        <v>0</v>
      </c>
      <c r="AE2057" s="166"/>
      <c r="AF2057" s="166"/>
      <c r="AG2057" s="164">
        <f>($L2057*'Pivot Objective'!$C$9^6)*AE2057*AF2057</f>
        <v>0</v>
      </c>
      <c r="AH2057" s="166"/>
      <c r="AI2057" s="166"/>
      <c r="AJ2057" s="164">
        <f>($L2057*'Pivot Objective'!$C$9^7)*AH2057*AI2057</f>
        <v>0</v>
      </c>
      <c r="AK2057" s="185">
        <f t="shared" si="232"/>
        <v>29360010.237505712</v>
      </c>
      <c r="AL2057" s="186">
        <f t="shared" si="233"/>
        <v>28504.864308257973</v>
      </c>
    </row>
    <row r="2058" spans="1:38" customFormat="1" ht="57.6" x14ac:dyDescent="0.3">
      <c r="A2058" s="140" t="s">
        <v>1487</v>
      </c>
      <c r="B2058" s="140">
        <v>4</v>
      </c>
      <c r="C2058" s="166" t="s">
        <v>697</v>
      </c>
      <c r="D2058" s="140" t="str">
        <f t="shared" si="228"/>
        <v>1</v>
      </c>
      <c r="E2058" s="166" t="s">
        <v>692</v>
      </c>
      <c r="F2058" s="140">
        <f t="shared" si="230"/>
        <v>1</v>
      </c>
      <c r="G2058" s="140" t="str">
        <f t="shared" si="229"/>
        <v>4.1.1</v>
      </c>
      <c r="H2058" s="166" t="s">
        <v>662</v>
      </c>
      <c r="I2058" s="166" t="s">
        <v>72</v>
      </c>
      <c r="J2058" s="166" t="s">
        <v>418</v>
      </c>
      <c r="K2058" s="166" t="s">
        <v>709</v>
      </c>
      <c r="L2058" s="177">
        <v>35000</v>
      </c>
      <c r="M2058" s="166"/>
      <c r="N2058" s="166"/>
      <c r="O2058" s="164">
        <f t="shared" si="231"/>
        <v>0</v>
      </c>
      <c r="P2058" s="166">
        <v>100</v>
      </c>
      <c r="Q2058" s="166">
        <v>5</v>
      </c>
      <c r="R2058" s="164">
        <f>$L2058*'Pivot Objective'!$C$9*P2058*Q2058</f>
        <v>20001119.197499998</v>
      </c>
      <c r="S2058" s="166">
        <v>0</v>
      </c>
      <c r="T2058" s="166">
        <v>0</v>
      </c>
      <c r="U2058" s="164">
        <f>($L2058*'Pivot Objective'!$C$9^2)*S2058*T2058</f>
        <v>0</v>
      </c>
      <c r="V2058" s="166">
        <v>0</v>
      </c>
      <c r="W2058" s="166">
        <v>0</v>
      </c>
      <c r="X2058" s="164">
        <f>($L2058*'Pivot Objective'!$C$9^3)*V2058*W2058</f>
        <v>0</v>
      </c>
      <c r="Y2058" s="166">
        <v>190</v>
      </c>
      <c r="Z2058" s="166">
        <v>5</v>
      </c>
      <c r="AA2058" s="164">
        <f>($L2058*'Pivot Objective'!$C$9^4)*Y2058*Z2058</f>
        <v>56735729.990919262</v>
      </c>
      <c r="AB2058" s="166">
        <v>0</v>
      </c>
      <c r="AC2058" s="166">
        <v>0</v>
      </c>
      <c r="AD2058" s="164">
        <f>($L2058*'Pivot Objective'!$C$9^5)*AB2058*AC2058</f>
        <v>0</v>
      </c>
      <c r="AE2058" s="166">
        <v>0</v>
      </c>
      <c r="AF2058" s="166">
        <v>0</v>
      </c>
      <c r="AG2058" s="164">
        <f>($L2058*'Pivot Objective'!$C$9^6)*AE2058*AF2058</f>
        <v>0</v>
      </c>
      <c r="AH2058" s="166">
        <v>0</v>
      </c>
      <c r="AI2058" s="166">
        <v>0</v>
      </c>
      <c r="AJ2058" s="164">
        <f>($L2058*'Pivot Objective'!$C$9^7)*AH2058*AI2058</f>
        <v>0</v>
      </c>
      <c r="AK2058" s="185">
        <f t="shared" si="232"/>
        <v>76736849.188419253</v>
      </c>
      <c r="AL2058" s="186">
        <f t="shared" si="233"/>
        <v>74501.795328562381</v>
      </c>
    </row>
    <row r="2059" spans="1:38" customFormat="1" ht="57.6" x14ac:dyDescent="0.3">
      <c r="A2059" s="140" t="s">
        <v>1487</v>
      </c>
      <c r="B2059" s="140">
        <v>4</v>
      </c>
      <c r="C2059" s="166" t="s">
        <v>697</v>
      </c>
      <c r="D2059" s="140" t="str">
        <f t="shared" si="228"/>
        <v>1</v>
      </c>
      <c r="E2059" s="166" t="s">
        <v>692</v>
      </c>
      <c r="F2059" s="140">
        <f t="shared" si="230"/>
        <v>1</v>
      </c>
      <c r="G2059" s="140" t="str">
        <f t="shared" si="229"/>
        <v>4.1.1</v>
      </c>
      <c r="H2059" s="166" t="s">
        <v>662</v>
      </c>
      <c r="I2059" s="166" t="s">
        <v>72</v>
      </c>
      <c r="J2059" s="166" t="s">
        <v>418</v>
      </c>
      <c r="K2059" s="166" t="s">
        <v>716</v>
      </c>
      <c r="L2059" s="177">
        <v>39000</v>
      </c>
      <c r="M2059" s="166"/>
      <c r="N2059" s="166"/>
      <c r="O2059" s="164">
        <f t="shared" si="231"/>
        <v>0</v>
      </c>
      <c r="P2059" s="166">
        <v>58</v>
      </c>
      <c r="Q2059" s="166">
        <v>6</v>
      </c>
      <c r="R2059" s="164">
        <f>$L2059*'Pivot Objective'!$C$9*P2059*Q2059</f>
        <v>15511725.128483998</v>
      </c>
      <c r="S2059" s="166">
        <v>0</v>
      </c>
      <c r="T2059" s="166">
        <v>0</v>
      </c>
      <c r="U2059" s="164">
        <f>($L2059*'Pivot Objective'!$C$9^2)*S2059*T2059</f>
        <v>0</v>
      </c>
      <c r="V2059" s="166">
        <v>0</v>
      </c>
      <c r="W2059" s="166">
        <v>0</v>
      </c>
      <c r="X2059" s="164">
        <f>($L2059*'Pivot Objective'!$C$9^3)*V2059*W2059</f>
        <v>0</v>
      </c>
      <c r="Y2059" s="166">
        <v>190</v>
      </c>
      <c r="Z2059" s="166">
        <v>5</v>
      </c>
      <c r="AA2059" s="164">
        <f>($L2059*'Pivot Objective'!$C$9^4)*Y2059*Z2059</f>
        <v>63219813.418452889</v>
      </c>
      <c r="AB2059" s="166">
        <v>0</v>
      </c>
      <c r="AC2059" s="166">
        <v>0</v>
      </c>
      <c r="AD2059" s="164">
        <f>($L2059*'Pivot Objective'!$C$9^5)*AB2059*AC2059</f>
        <v>0</v>
      </c>
      <c r="AE2059" s="166">
        <v>0</v>
      </c>
      <c r="AF2059" s="166">
        <v>0</v>
      </c>
      <c r="AG2059" s="164">
        <f>($L2059*'Pivot Objective'!$C$9^6)*AE2059*AF2059</f>
        <v>0</v>
      </c>
      <c r="AH2059" s="166">
        <v>0</v>
      </c>
      <c r="AI2059" s="166">
        <v>0</v>
      </c>
      <c r="AJ2059" s="164">
        <f>($L2059*'Pivot Objective'!$C$9^7)*AH2059*AI2059</f>
        <v>0</v>
      </c>
      <c r="AK2059" s="185">
        <f t="shared" si="232"/>
        <v>78731538.546936885</v>
      </c>
      <c r="AL2059" s="186">
        <f t="shared" si="233"/>
        <v>76438.386938773678</v>
      </c>
    </row>
    <row r="2060" spans="1:38" customFormat="1" ht="57.6" x14ac:dyDescent="0.3">
      <c r="A2060" s="140" t="s">
        <v>1487</v>
      </c>
      <c r="B2060" s="140">
        <v>4</v>
      </c>
      <c r="C2060" s="166" t="s">
        <v>697</v>
      </c>
      <c r="D2060" s="140" t="str">
        <f t="shared" si="228"/>
        <v>1</v>
      </c>
      <c r="E2060" s="166" t="s">
        <v>692</v>
      </c>
      <c r="F2060" s="140">
        <f t="shared" si="230"/>
        <v>1</v>
      </c>
      <c r="G2060" s="140" t="str">
        <f t="shared" si="229"/>
        <v>4.1.1</v>
      </c>
      <c r="H2060" s="166" t="s">
        <v>662</v>
      </c>
      <c r="I2060" s="166" t="s">
        <v>72</v>
      </c>
      <c r="J2060" s="166" t="s">
        <v>418</v>
      </c>
      <c r="K2060" s="166" t="s">
        <v>712</v>
      </c>
      <c r="L2060" s="177">
        <f>1480/7</f>
        <v>211.42857142857142</v>
      </c>
      <c r="M2060" s="166"/>
      <c r="N2060" s="166"/>
      <c r="O2060" s="164">
        <f t="shared" si="231"/>
        <v>0</v>
      </c>
      <c r="P2060" s="166">
        <f>25*2*29</f>
        <v>1450</v>
      </c>
      <c r="Q2060" s="166">
        <v>5</v>
      </c>
      <c r="R2060" s="164">
        <f>$L2060*'Pivot Objective'!$C$9*P2060*Q2060</f>
        <v>1751934.7672585712</v>
      </c>
      <c r="S2060" s="166">
        <v>0</v>
      </c>
      <c r="T2060" s="166">
        <v>0</v>
      </c>
      <c r="U2060" s="164">
        <f>($L2060*'Pivot Objective'!$C$9^2)*S2060*T2060</f>
        <v>0</v>
      </c>
      <c r="V2060" s="166">
        <v>0</v>
      </c>
      <c r="W2060" s="166">
        <v>0</v>
      </c>
      <c r="X2060" s="164">
        <f>($L2060*'Pivot Objective'!$C$9^3)*V2060*W2060</f>
        <v>0</v>
      </c>
      <c r="Y2060" s="166">
        <v>40000</v>
      </c>
      <c r="Z2060" s="166">
        <v>1</v>
      </c>
      <c r="AA2060" s="164">
        <f>($L2060*'Pivot Objective'!$C$9^4)*Y2060*Z2060</f>
        <v>14430742.064285368</v>
      </c>
      <c r="AB2060" s="166">
        <v>0</v>
      </c>
      <c r="AC2060" s="166">
        <v>0</v>
      </c>
      <c r="AD2060" s="164">
        <f>($L2060*'Pivot Objective'!$C$9^5)*AB2060*AC2060</f>
        <v>0</v>
      </c>
      <c r="AE2060" s="166">
        <v>0</v>
      </c>
      <c r="AF2060" s="166">
        <v>0</v>
      </c>
      <c r="AG2060" s="164">
        <f>($L2060*'Pivot Objective'!$C$9^6)*AE2060*AF2060</f>
        <v>0</v>
      </c>
      <c r="AH2060" s="166">
        <v>0</v>
      </c>
      <c r="AI2060" s="166">
        <v>0</v>
      </c>
      <c r="AJ2060" s="164">
        <f>($L2060*'Pivot Objective'!$C$9^7)*AH2060*AI2060</f>
        <v>0</v>
      </c>
      <c r="AK2060" s="185">
        <f t="shared" si="232"/>
        <v>16182676.831543939</v>
      </c>
      <c r="AL2060" s="186">
        <f t="shared" si="233"/>
        <v>15711.336729654309</v>
      </c>
    </row>
    <row r="2061" spans="1:38" customFormat="1" ht="57.6" x14ac:dyDescent="0.3">
      <c r="A2061" s="140" t="s">
        <v>1487</v>
      </c>
      <c r="B2061" s="140">
        <v>4</v>
      </c>
      <c r="C2061" s="166" t="s">
        <v>697</v>
      </c>
      <c r="D2061" s="140" t="str">
        <f t="shared" si="228"/>
        <v>1</v>
      </c>
      <c r="E2061" s="166" t="s">
        <v>692</v>
      </c>
      <c r="F2061" s="140">
        <f t="shared" si="230"/>
        <v>1</v>
      </c>
      <c r="G2061" s="140" t="str">
        <f t="shared" si="229"/>
        <v>4.1.1</v>
      </c>
      <c r="H2061" s="166" t="s">
        <v>662</v>
      </c>
      <c r="I2061" s="166" t="s">
        <v>72</v>
      </c>
      <c r="J2061" s="166" t="s">
        <v>418</v>
      </c>
      <c r="K2061" s="166" t="s">
        <v>1303</v>
      </c>
      <c r="L2061" s="177">
        <f>1480/7</f>
        <v>211.42857142857142</v>
      </c>
      <c r="M2061" s="166"/>
      <c r="N2061" s="166"/>
      <c r="O2061" s="164">
        <f t="shared" si="231"/>
        <v>0</v>
      </c>
      <c r="P2061" s="166">
        <f>2*135*29</f>
        <v>7830</v>
      </c>
      <c r="Q2061" s="166">
        <v>1</v>
      </c>
      <c r="R2061" s="164">
        <f>$L2061*'Pivot Objective'!$C$9*P2061*Q2061</f>
        <v>1892089.548639257</v>
      </c>
      <c r="S2061" s="166"/>
      <c r="T2061" s="166"/>
      <c r="U2061" s="164">
        <f>($L2061*'Pivot Objective'!$C$9^2)*S2061*T2061</f>
        <v>0</v>
      </c>
      <c r="V2061" s="166"/>
      <c r="W2061" s="166"/>
      <c r="X2061" s="164">
        <f>($L2061*'Pivot Objective'!$C$9^3)*V2061*W2061</f>
        <v>0</v>
      </c>
      <c r="Y2061" s="166"/>
      <c r="Z2061" s="166"/>
      <c r="AA2061" s="164">
        <f>($L2061*'Pivot Objective'!$C$9^4)*Y2061*Z2061</f>
        <v>0</v>
      </c>
      <c r="AB2061" s="166"/>
      <c r="AC2061" s="166"/>
      <c r="AD2061" s="164">
        <f>($L2061*'Pivot Objective'!$C$9^5)*AB2061*AC2061</f>
        <v>0</v>
      </c>
      <c r="AE2061" s="166"/>
      <c r="AF2061" s="166"/>
      <c r="AG2061" s="164">
        <f>($L2061*'Pivot Objective'!$C$9^6)*AE2061*AF2061</f>
        <v>0</v>
      </c>
      <c r="AH2061" s="166"/>
      <c r="AI2061" s="166"/>
      <c r="AJ2061" s="164">
        <f>($L2061*'Pivot Objective'!$C$9^7)*AH2061*AI2061</f>
        <v>0</v>
      </c>
      <c r="AK2061" s="185">
        <f t="shared" si="232"/>
        <v>1892089.548639257</v>
      </c>
      <c r="AL2061" s="186">
        <f t="shared" si="233"/>
        <v>1836.9801443099582</v>
      </c>
    </row>
    <row r="2062" spans="1:38" customFormat="1" ht="57.6" x14ac:dyDescent="0.3">
      <c r="A2062" s="140" t="s">
        <v>1487</v>
      </c>
      <c r="B2062" s="140">
        <v>4</v>
      </c>
      <c r="C2062" s="166" t="s">
        <v>697</v>
      </c>
      <c r="D2062" s="140" t="str">
        <f t="shared" si="228"/>
        <v>1</v>
      </c>
      <c r="E2062" s="166" t="s">
        <v>692</v>
      </c>
      <c r="F2062" s="140">
        <f t="shared" si="230"/>
        <v>1</v>
      </c>
      <c r="G2062" s="140" t="str">
        <f t="shared" si="229"/>
        <v>4.1.1</v>
      </c>
      <c r="H2062" s="166" t="s">
        <v>662</v>
      </c>
      <c r="I2062" s="166" t="s">
        <v>73</v>
      </c>
      <c r="J2062" s="166" t="s">
        <v>771</v>
      </c>
      <c r="K2062" s="166" t="s">
        <v>709</v>
      </c>
      <c r="L2062" s="177">
        <v>35000</v>
      </c>
      <c r="M2062" s="140"/>
      <c r="N2062" s="140"/>
      <c r="O2062" s="164">
        <f t="shared" si="231"/>
        <v>0</v>
      </c>
      <c r="P2062" s="166">
        <v>25</v>
      </c>
      <c r="Q2062" s="166">
        <v>3</v>
      </c>
      <c r="R2062" s="164">
        <f>$L2062*'Pivot Objective'!$C$9*P2062*Q2062</f>
        <v>3000167.8796249996</v>
      </c>
      <c r="S2062" s="166">
        <v>0</v>
      </c>
      <c r="T2062" s="166">
        <v>0</v>
      </c>
      <c r="U2062" s="164">
        <f>($L2062*'Pivot Objective'!$C$9^2)*S2062*T2062</f>
        <v>0</v>
      </c>
      <c r="V2062" s="166">
        <v>0</v>
      </c>
      <c r="W2062" s="166">
        <v>0</v>
      </c>
      <c r="X2062" s="164">
        <f>($L2062*'Pivot Objective'!$C$9^3)*V2062*W2062</f>
        <v>0</v>
      </c>
      <c r="Y2062" s="166">
        <v>10</v>
      </c>
      <c r="Z2062" s="166">
        <v>5</v>
      </c>
      <c r="AA2062" s="164">
        <f>($L2062*'Pivot Objective'!$C$9^4)*Y2062*Z2062</f>
        <v>2986091.0521536451</v>
      </c>
      <c r="AB2062" s="166">
        <v>0</v>
      </c>
      <c r="AC2062" s="166">
        <v>0</v>
      </c>
      <c r="AD2062" s="164">
        <f>($L2062*'Pivot Objective'!$C$9^5)*AB2062*AC2062</f>
        <v>0</v>
      </c>
      <c r="AE2062" s="166">
        <v>0</v>
      </c>
      <c r="AF2062" s="166">
        <v>0</v>
      </c>
      <c r="AG2062" s="164">
        <f>($L2062*'Pivot Objective'!$C$9^6)*AE2062*AF2062</f>
        <v>0</v>
      </c>
      <c r="AH2062" s="166">
        <v>0</v>
      </c>
      <c r="AI2062" s="166">
        <v>0</v>
      </c>
      <c r="AJ2062" s="164">
        <f>($L2062*'Pivot Objective'!$C$9^7)*AH2062*AI2062</f>
        <v>0</v>
      </c>
      <c r="AK2062" s="185">
        <f t="shared" si="232"/>
        <v>5986258.9317786451</v>
      </c>
      <c r="AL2062" s="186">
        <f t="shared" si="233"/>
        <v>5811.9018755132474</v>
      </c>
    </row>
    <row r="2063" spans="1:38" customFormat="1" ht="57.6" x14ac:dyDescent="0.3">
      <c r="A2063" s="140" t="s">
        <v>1487</v>
      </c>
      <c r="B2063" s="140">
        <v>4</v>
      </c>
      <c r="C2063" s="166" t="s">
        <v>697</v>
      </c>
      <c r="D2063" s="140" t="str">
        <f t="shared" si="228"/>
        <v>1</v>
      </c>
      <c r="E2063" s="166" t="s">
        <v>692</v>
      </c>
      <c r="F2063" s="140">
        <f t="shared" si="230"/>
        <v>1</v>
      </c>
      <c r="G2063" s="140" t="str">
        <f t="shared" si="229"/>
        <v>4.1.1</v>
      </c>
      <c r="H2063" s="166" t="s">
        <v>662</v>
      </c>
      <c r="I2063" s="166" t="s">
        <v>73</v>
      </c>
      <c r="J2063" s="166" t="s">
        <v>771</v>
      </c>
      <c r="K2063" s="166" t="s">
        <v>712</v>
      </c>
      <c r="L2063" s="177">
        <f>1480/7</f>
        <v>211.42857142857142</v>
      </c>
      <c r="M2063" s="140"/>
      <c r="N2063" s="140"/>
      <c r="O2063" s="164">
        <f t="shared" si="231"/>
        <v>0</v>
      </c>
      <c r="P2063" s="166">
        <f>25*2*9</f>
        <v>450</v>
      </c>
      <c r="Q2063" s="166">
        <v>3</v>
      </c>
      <c r="R2063" s="164">
        <f>$L2063*'Pivot Objective'!$C$9*P2063*Q2063</f>
        <v>326222.33597228565</v>
      </c>
      <c r="S2063" s="166">
        <v>0</v>
      </c>
      <c r="T2063" s="166">
        <v>0</v>
      </c>
      <c r="U2063" s="164">
        <f>($L2063*'Pivot Objective'!$C$9^2)*S2063*T2063</f>
        <v>0</v>
      </c>
      <c r="V2063" s="166">
        <v>0</v>
      </c>
      <c r="W2063" s="166">
        <v>0</v>
      </c>
      <c r="X2063" s="164">
        <f>($L2063*'Pivot Objective'!$C$9^3)*V2063*W2063</f>
        <v>0</v>
      </c>
      <c r="Y2063" s="166">
        <v>4000</v>
      </c>
      <c r="Z2063" s="166">
        <v>1</v>
      </c>
      <c r="AA2063" s="164">
        <f>($L2063*'Pivot Objective'!$C$9^4)*Y2063*Z2063</f>
        <v>1443074.2064285369</v>
      </c>
      <c r="AB2063" s="166">
        <v>0</v>
      </c>
      <c r="AC2063" s="166">
        <v>0</v>
      </c>
      <c r="AD2063" s="164">
        <f>($L2063*'Pivot Objective'!$C$9^5)*AB2063*AC2063</f>
        <v>0</v>
      </c>
      <c r="AE2063" s="166">
        <v>0</v>
      </c>
      <c r="AF2063" s="166">
        <v>0</v>
      </c>
      <c r="AG2063" s="164">
        <f>($L2063*'Pivot Objective'!$C$9^6)*AE2063*AF2063</f>
        <v>0</v>
      </c>
      <c r="AH2063" s="166">
        <v>0</v>
      </c>
      <c r="AI2063" s="166">
        <v>0</v>
      </c>
      <c r="AJ2063" s="164">
        <f>($L2063*'Pivot Objective'!$C$9^7)*AH2063*AI2063</f>
        <v>0</v>
      </c>
      <c r="AK2063" s="185">
        <f t="shared" si="232"/>
        <v>1769296.5424008225</v>
      </c>
      <c r="AL2063" s="186">
        <f t="shared" si="233"/>
        <v>1717.7636333988569</v>
      </c>
    </row>
    <row r="2064" spans="1:38" customFormat="1" ht="57.6" x14ac:dyDescent="0.3">
      <c r="A2064" s="140" t="s">
        <v>1487</v>
      </c>
      <c r="B2064" s="140">
        <v>4</v>
      </c>
      <c r="C2064" s="166" t="s">
        <v>697</v>
      </c>
      <c r="D2064" s="140" t="str">
        <f t="shared" si="228"/>
        <v>1</v>
      </c>
      <c r="E2064" s="166" t="s">
        <v>692</v>
      </c>
      <c r="F2064" s="140">
        <f t="shared" si="230"/>
        <v>1</v>
      </c>
      <c r="G2064" s="140" t="str">
        <f t="shared" si="229"/>
        <v>4.1.1</v>
      </c>
      <c r="H2064" s="166" t="s">
        <v>662</v>
      </c>
      <c r="I2064" s="166" t="s">
        <v>74</v>
      </c>
      <c r="J2064" s="166" t="s">
        <v>421</v>
      </c>
      <c r="K2064" s="166" t="s">
        <v>718</v>
      </c>
      <c r="L2064" s="177">
        <v>0</v>
      </c>
      <c r="M2064" s="166">
        <v>0</v>
      </c>
      <c r="N2064" s="166">
        <v>0</v>
      </c>
      <c r="O2064" s="164">
        <f t="shared" si="231"/>
        <v>0</v>
      </c>
      <c r="P2064" s="166">
        <v>0</v>
      </c>
      <c r="Q2064" s="166">
        <v>0</v>
      </c>
      <c r="R2064" s="164">
        <f>$L2064*'Pivot Objective'!$C$9*P2064*Q2064</f>
        <v>0</v>
      </c>
      <c r="S2064" s="166">
        <v>0</v>
      </c>
      <c r="T2064" s="166">
        <v>0</v>
      </c>
      <c r="U2064" s="164">
        <f>($L2064*'Pivot Objective'!$C$9^2)*S2064*T2064</f>
        <v>0</v>
      </c>
      <c r="V2064" s="166">
        <v>0</v>
      </c>
      <c r="W2064" s="166">
        <v>0</v>
      </c>
      <c r="X2064" s="164">
        <f>($L2064*'Pivot Objective'!$C$9^3)*V2064*W2064</f>
        <v>0</v>
      </c>
      <c r="Y2064" s="166">
        <v>0</v>
      </c>
      <c r="Z2064" s="166">
        <v>0</v>
      </c>
      <c r="AA2064" s="164">
        <f>($L2064*'Pivot Objective'!$C$9^4)*Y2064*Z2064</f>
        <v>0</v>
      </c>
      <c r="AB2064" s="166">
        <v>0</v>
      </c>
      <c r="AC2064" s="166">
        <v>0</v>
      </c>
      <c r="AD2064" s="164">
        <f>($L2064*'Pivot Objective'!$C$9^5)*AB2064*AC2064</f>
        <v>0</v>
      </c>
      <c r="AE2064" s="166">
        <v>0</v>
      </c>
      <c r="AF2064" s="166">
        <v>0</v>
      </c>
      <c r="AG2064" s="164">
        <f>($L2064*'Pivot Objective'!$C$9^6)*AE2064*AF2064</f>
        <v>0</v>
      </c>
      <c r="AH2064" s="166">
        <v>0</v>
      </c>
      <c r="AI2064" s="166">
        <v>0</v>
      </c>
      <c r="AJ2064" s="164">
        <f>($L2064*'Pivot Objective'!$C$9^7)*AH2064*AI2064</f>
        <v>0</v>
      </c>
      <c r="AK2064" s="185">
        <f t="shared" si="232"/>
        <v>0</v>
      </c>
      <c r="AL2064" s="186">
        <f t="shared" si="233"/>
        <v>0</v>
      </c>
    </row>
    <row r="2065" spans="1:38" customFormat="1" ht="57.6" x14ac:dyDescent="0.3">
      <c r="A2065" s="140" t="s">
        <v>1487</v>
      </c>
      <c r="B2065" s="140">
        <v>4</v>
      </c>
      <c r="C2065" s="166" t="s">
        <v>697</v>
      </c>
      <c r="D2065" s="140" t="str">
        <f t="shared" si="228"/>
        <v>1</v>
      </c>
      <c r="E2065" s="166" t="s">
        <v>692</v>
      </c>
      <c r="F2065" s="140">
        <f t="shared" si="230"/>
        <v>1</v>
      </c>
      <c r="G2065" s="140" t="str">
        <f t="shared" si="229"/>
        <v>4.1.1</v>
      </c>
      <c r="H2065" s="166" t="s">
        <v>662</v>
      </c>
      <c r="I2065" s="166" t="s">
        <v>74</v>
      </c>
      <c r="J2065" s="166" t="s">
        <v>422</v>
      </c>
      <c r="K2065" s="166" t="s">
        <v>718</v>
      </c>
      <c r="L2065" s="177">
        <v>0</v>
      </c>
      <c r="M2065" s="166">
        <v>0</v>
      </c>
      <c r="N2065" s="166">
        <v>0</v>
      </c>
      <c r="O2065" s="164">
        <f t="shared" si="231"/>
        <v>0</v>
      </c>
      <c r="P2065" s="166">
        <v>0</v>
      </c>
      <c r="Q2065" s="166">
        <v>0</v>
      </c>
      <c r="R2065" s="164">
        <f>$L2065*'Pivot Objective'!$C$9*P2065*Q2065</f>
        <v>0</v>
      </c>
      <c r="S2065" s="166">
        <v>0</v>
      </c>
      <c r="T2065" s="166">
        <v>0</v>
      </c>
      <c r="U2065" s="164">
        <f>($L2065*'Pivot Objective'!$C$9^2)*S2065*T2065</f>
        <v>0</v>
      </c>
      <c r="V2065" s="166">
        <v>0</v>
      </c>
      <c r="W2065" s="166">
        <v>0</v>
      </c>
      <c r="X2065" s="164">
        <f>($L2065*'Pivot Objective'!$C$9^3)*V2065*W2065</f>
        <v>0</v>
      </c>
      <c r="Y2065" s="166">
        <v>0</v>
      </c>
      <c r="Z2065" s="166">
        <v>0</v>
      </c>
      <c r="AA2065" s="164">
        <f>($L2065*'Pivot Objective'!$C$9^4)*Y2065*Z2065</f>
        <v>0</v>
      </c>
      <c r="AB2065" s="166">
        <v>0</v>
      </c>
      <c r="AC2065" s="166">
        <v>0</v>
      </c>
      <c r="AD2065" s="164">
        <f>($L2065*'Pivot Objective'!$C$9^5)*AB2065*AC2065</f>
        <v>0</v>
      </c>
      <c r="AE2065" s="166">
        <v>0</v>
      </c>
      <c r="AF2065" s="166">
        <v>0</v>
      </c>
      <c r="AG2065" s="164">
        <f>($L2065*'Pivot Objective'!$C$9^6)*AE2065*AF2065</f>
        <v>0</v>
      </c>
      <c r="AH2065" s="166">
        <v>0</v>
      </c>
      <c r="AI2065" s="166">
        <v>0</v>
      </c>
      <c r="AJ2065" s="164">
        <f>($L2065*'Pivot Objective'!$C$9^7)*AH2065*AI2065</f>
        <v>0</v>
      </c>
      <c r="AK2065" s="185">
        <f t="shared" si="232"/>
        <v>0</v>
      </c>
      <c r="AL2065" s="186">
        <f t="shared" si="233"/>
        <v>0</v>
      </c>
    </row>
    <row r="2066" spans="1:38" customFormat="1" ht="57.6" x14ac:dyDescent="0.3">
      <c r="A2066" s="140" t="s">
        <v>1487</v>
      </c>
      <c r="B2066" s="140">
        <v>4</v>
      </c>
      <c r="C2066" s="166" t="s">
        <v>697</v>
      </c>
      <c r="D2066" s="140" t="str">
        <f t="shared" si="228"/>
        <v>1</v>
      </c>
      <c r="E2066" s="166" t="s">
        <v>692</v>
      </c>
      <c r="F2066" s="140">
        <f t="shared" si="230"/>
        <v>1</v>
      </c>
      <c r="G2066" s="140" t="str">
        <f t="shared" si="229"/>
        <v>4.1.1</v>
      </c>
      <c r="H2066" s="166" t="s">
        <v>662</v>
      </c>
      <c r="I2066" s="166" t="s">
        <v>74</v>
      </c>
      <c r="J2066" s="166" t="s">
        <v>423</v>
      </c>
      <c r="K2066" s="166" t="s">
        <v>707</v>
      </c>
      <c r="L2066" s="177">
        <v>391991.03749999998</v>
      </c>
      <c r="M2066" s="166"/>
      <c r="N2066" s="166"/>
      <c r="O2066" s="164">
        <f t="shared" si="231"/>
        <v>0</v>
      </c>
      <c r="P2066" s="166">
        <v>0</v>
      </c>
      <c r="Q2066" s="166">
        <v>0</v>
      </c>
      <c r="R2066" s="164">
        <f>$L2066*'Pivot Objective'!$C$9*P2066*Q2066</f>
        <v>0</v>
      </c>
      <c r="S2066" s="166">
        <v>2</v>
      </c>
      <c r="T2066" s="166">
        <v>2</v>
      </c>
      <c r="U2066" s="164">
        <f>($L2066*'Pivot Objective'!$C$9^2)*S2066*T2066</f>
        <v>2048182.3883307995</v>
      </c>
      <c r="V2066" s="166">
        <v>1</v>
      </c>
      <c r="W2066" s="166">
        <v>6</v>
      </c>
      <c r="X2066" s="164">
        <f>($L2066*'Pivot Objective'!$C$9^3)*V2066*W2066</f>
        <v>3511366.2931906758</v>
      </c>
      <c r="Y2066" s="166">
        <v>0</v>
      </c>
      <c r="Z2066" s="166">
        <v>0</v>
      </c>
      <c r="AA2066" s="164">
        <f>($L2066*'Pivot Objective'!$C$9^4)*Y2066*Z2066</f>
        <v>0</v>
      </c>
      <c r="AB2066" s="166">
        <v>0</v>
      </c>
      <c r="AC2066" s="166">
        <v>0</v>
      </c>
      <c r="AD2066" s="164">
        <f>($L2066*'Pivot Objective'!$C$9^5)*AB2066*AC2066</f>
        <v>0</v>
      </c>
      <c r="AE2066" s="166">
        <v>0</v>
      </c>
      <c r="AF2066" s="166">
        <v>0</v>
      </c>
      <c r="AG2066" s="164">
        <f>($L2066*'Pivot Objective'!$C$9^6)*AE2066*AF2066</f>
        <v>0</v>
      </c>
      <c r="AH2066" s="166">
        <v>0</v>
      </c>
      <c r="AI2066" s="166">
        <v>0</v>
      </c>
      <c r="AJ2066" s="164">
        <f>($L2066*'Pivot Objective'!$C$9^7)*AH2066*AI2066</f>
        <v>0</v>
      </c>
      <c r="AK2066" s="185">
        <f t="shared" si="232"/>
        <v>5559548.6815214753</v>
      </c>
      <c r="AL2066" s="186">
        <f t="shared" si="233"/>
        <v>5397.6200791470637</v>
      </c>
    </row>
    <row r="2067" spans="1:38" customFormat="1" ht="57.6" x14ac:dyDescent="0.3">
      <c r="A2067" s="140" t="s">
        <v>1487</v>
      </c>
      <c r="B2067" s="140">
        <v>4</v>
      </c>
      <c r="C2067" s="166" t="s">
        <v>697</v>
      </c>
      <c r="D2067" s="140" t="str">
        <f t="shared" si="228"/>
        <v>1</v>
      </c>
      <c r="E2067" s="166" t="s">
        <v>692</v>
      </c>
      <c r="F2067" s="140">
        <f t="shared" si="230"/>
        <v>1</v>
      </c>
      <c r="G2067" s="140" t="str">
        <f t="shared" si="229"/>
        <v>4.1.1</v>
      </c>
      <c r="H2067" s="166" t="s">
        <v>662</v>
      </c>
      <c r="I2067" s="166" t="s">
        <v>74</v>
      </c>
      <c r="J2067" s="166" t="s">
        <v>423</v>
      </c>
      <c r="K2067" s="166" t="s">
        <v>708</v>
      </c>
      <c r="L2067" s="177">
        <f>500*1022</f>
        <v>511000</v>
      </c>
      <c r="M2067" s="166"/>
      <c r="N2067" s="166"/>
      <c r="O2067" s="164">
        <f t="shared" si="231"/>
        <v>0</v>
      </c>
      <c r="P2067" s="166">
        <v>0</v>
      </c>
      <c r="Q2067" s="166">
        <v>0</v>
      </c>
      <c r="R2067" s="164">
        <f>$L2067*'Pivot Objective'!$C$9*P2067*Q2067</f>
        <v>0</v>
      </c>
      <c r="S2067" s="166">
        <v>4</v>
      </c>
      <c r="T2067" s="166">
        <v>25</v>
      </c>
      <c r="U2067" s="164">
        <f>($L2067*'Pivot Objective'!$C$9^2)*S2067*T2067</f>
        <v>66750327.19574862</v>
      </c>
      <c r="V2067" s="166">
        <v>1</v>
      </c>
      <c r="W2067" s="166">
        <v>40</v>
      </c>
      <c r="X2067" s="164">
        <f>($L2067*'Pivot Objective'!$C$9^3)*V2067*W2067</f>
        <v>30516142.873469573</v>
      </c>
      <c r="Y2067" s="166">
        <v>0</v>
      </c>
      <c r="Z2067" s="166">
        <v>0</v>
      </c>
      <c r="AA2067" s="164">
        <f>($L2067*'Pivot Objective'!$C$9^4)*Y2067*Z2067</f>
        <v>0</v>
      </c>
      <c r="AB2067" s="166">
        <v>0</v>
      </c>
      <c r="AC2067" s="166">
        <v>0</v>
      </c>
      <c r="AD2067" s="164">
        <f>($L2067*'Pivot Objective'!$C$9^5)*AB2067*AC2067</f>
        <v>0</v>
      </c>
      <c r="AE2067" s="166">
        <v>0</v>
      </c>
      <c r="AF2067" s="166">
        <v>0</v>
      </c>
      <c r="AG2067" s="164">
        <f>($L2067*'Pivot Objective'!$C$9^6)*AE2067*AF2067</f>
        <v>0</v>
      </c>
      <c r="AH2067" s="166">
        <v>0</v>
      </c>
      <c r="AI2067" s="166">
        <v>0</v>
      </c>
      <c r="AJ2067" s="164">
        <f>($L2067*'Pivot Objective'!$C$9^7)*AH2067*AI2067</f>
        <v>0</v>
      </c>
      <c r="AK2067" s="185">
        <f t="shared" si="232"/>
        <v>97266470.069218189</v>
      </c>
      <c r="AL2067" s="186">
        <f t="shared" si="233"/>
        <v>94433.466086619606</v>
      </c>
    </row>
    <row r="2068" spans="1:38" customFormat="1" ht="57.6" x14ac:dyDescent="0.3">
      <c r="A2068" s="140" t="s">
        <v>1487</v>
      </c>
      <c r="B2068" s="140">
        <v>4</v>
      </c>
      <c r="C2068" s="166" t="s">
        <v>697</v>
      </c>
      <c r="D2068" s="140" t="str">
        <f t="shared" si="228"/>
        <v>1</v>
      </c>
      <c r="E2068" s="166" t="s">
        <v>692</v>
      </c>
      <c r="F2068" s="140">
        <f t="shared" si="230"/>
        <v>1</v>
      </c>
      <c r="G2068" s="140" t="str">
        <f t="shared" si="229"/>
        <v>4.1.1</v>
      </c>
      <c r="H2068" s="166" t="s">
        <v>662</v>
      </c>
      <c r="I2068" s="166" t="s">
        <v>74</v>
      </c>
      <c r="J2068" s="166" t="s">
        <v>424</v>
      </c>
      <c r="K2068" s="166" t="s">
        <v>718</v>
      </c>
      <c r="L2068" s="177">
        <v>0</v>
      </c>
      <c r="M2068" s="166"/>
      <c r="N2068" s="166"/>
      <c r="O2068" s="164">
        <f t="shared" si="231"/>
        <v>0</v>
      </c>
      <c r="P2068" s="166">
        <v>0</v>
      </c>
      <c r="Q2068" s="166">
        <v>0</v>
      </c>
      <c r="R2068" s="164">
        <f>$L2068*'Pivot Objective'!$C$9*P2068*Q2068</f>
        <v>0</v>
      </c>
      <c r="S2068" s="166">
        <v>0</v>
      </c>
      <c r="T2068" s="166">
        <v>0</v>
      </c>
      <c r="U2068" s="164">
        <f>($L2068*'Pivot Objective'!$C$9^2)*S2068*T2068</f>
        <v>0</v>
      </c>
      <c r="V2068" s="166">
        <v>0</v>
      </c>
      <c r="W2068" s="166">
        <v>0</v>
      </c>
      <c r="X2068" s="164">
        <f>($L2068*'Pivot Objective'!$C$9^3)*V2068*W2068</f>
        <v>0</v>
      </c>
      <c r="Y2068" s="166">
        <v>0</v>
      </c>
      <c r="Z2068" s="166">
        <v>0</v>
      </c>
      <c r="AA2068" s="164">
        <f>($L2068*'Pivot Objective'!$C$9^4)*Y2068*Z2068</f>
        <v>0</v>
      </c>
      <c r="AB2068" s="166">
        <v>0</v>
      </c>
      <c r="AC2068" s="166">
        <v>0</v>
      </c>
      <c r="AD2068" s="164">
        <f>($L2068*'Pivot Objective'!$C$9^5)*AB2068*AC2068</f>
        <v>0</v>
      </c>
      <c r="AE2068" s="166">
        <v>0</v>
      </c>
      <c r="AF2068" s="166">
        <v>0</v>
      </c>
      <c r="AG2068" s="164">
        <f>($L2068*'Pivot Objective'!$C$9^6)*AE2068*AF2068</f>
        <v>0</v>
      </c>
      <c r="AH2068" s="166">
        <v>0</v>
      </c>
      <c r="AI2068" s="166">
        <v>0</v>
      </c>
      <c r="AJ2068" s="164">
        <f>($L2068*'Pivot Objective'!$C$9^7)*AH2068*AI2068</f>
        <v>0</v>
      </c>
      <c r="AK2068" s="185">
        <f t="shared" si="232"/>
        <v>0</v>
      </c>
      <c r="AL2068" s="186">
        <f t="shared" si="233"/>
        <v>0</v>
      </c>
    </row>
    <row r="2069" spans="1:38" customFormat="1" ht="57.6" x14ac:dyDescent="0.3">
      <c r="A2069" s="140" t="s">
        <v>1487</v>
      </c>
      <c r="B2069" s="140">
        <v>4</v>
      </c>
      <c r="C2069" s="166" t="s">
        <v>697</v>
      </c>
      <c r="D2069" s="140" t="str">
        <f t="shared" si="228"/>
        <v>1</v>
      </c>
      <c r="E2069" s="166" t="s">
        <v>692</v>
      </c>
      <c r="F2069" s="140">
        <f t="shared" si="230"/>
        <v>1</v>
      </c>
      <c r="G2069" s="140" t="str">
        <f t="shared" si="229"/>
        <v>4.1.1</v>
      </c>
      <c r="H2069" s="166" t="s">
        <v>662</v>
      </c>
      <c r="I2069" s="166" t="s">
        <v>74</v>
      </c>
      <c r="J2069" s="166" t="s">
        <v>425</v>
      </c>
      <c r="K2069" s="166" t="s">
        <v>713</v>
      </c>
      <c r="L2069" s="177">
        <v>45000</v>
      </c>
      <c r="M2069" s="166"/>
      <c r="N2069" s="166"/>
      <c r="O2069" s="164">
        <f t="shared" si="231"/>
        <v>0</v>
      </c>
      <c r="P2069" s="166">
        <v>0</v>
      </c>
      <c r="Q2069" s="166">
        <v>0</v>
      </c>
      <c r="R2069" s="164">
        <f>$L2069*'Pivot Objective'!$C$9*P2069*Q2069</f>
        <v>0</v>
      </c>
      <c r="S2069" s="166">
        <v>25</v>
      </c>
      <c r="T2069" s="166">
        <v>10</v>
      </c>
      <c r="U2069" s="164">
        <f>($L2069*'Pivot Objective'!$C$9^2)*S2069*T2069</f>
        <v>14695522.132136438</v>
      </c>
      <c r="V2069" s="166">
        <v>15</v>
      </c>
      <c r="W2069" s="166">
        <v>10</v>
      </c>
      <c r="X2069" s="164">
        <f>($L2069*'Pivot Objective'!$C$9^3)*V2069*W2069</f>
        <v>10077493.365749491</v>
      </c>
      <c r="Y2069" s="166">
        <v>0</v>
      </c>
      <c r="Z2069" s="166">
        <v>0</v>
      </c>
      <c r="AA2069" s="164">
        <f>($L2069*'Pivot Objective'!$C$9^4)*Y2069*Z2069</f>
        <v>0</v>
      </c>
      <c r="AB2069" s="166">
        <v>0</v>
      </c>
      <c r="AC2069" s="166">
        <v>0</v>
      </c>
      <c r="AD2069" s="164">
        <f>($L2069*'Pivot Objective'!$C$9^5)*AB2069*AC2069</f>
        <v>0</v>
      </c>
      <c r="AE2069" s="166">
        <v>0</v>
      </c>
      <c r="AF2069" s="166">
        <v>0</v>
      </c>
      <c r="AG2069" s="164">
        <f>($L2069*'Pivot Objective'!$C$9^6)*AE2069*AF2069</f>
        <v>0</v>
      </c>
      <c r="AH2069" s="166">
        <v>0</v>
      </c>
      <c r="AI2069" s="166">
        <v>0</v>
      </c>
      <c r="AJ2069" s="164">
        <f>($L2069*'Pivot Objective'!$C$9^7)*AH2069*AI2069</f>
        <v>0</v>
      </c>
      <c r="AK2069" s="185">
        <f t="shared" si="232"/>
        <v>24773015.497885928</v>
      </c>
      <c r="AL2069" s="186">
        <f t="shared" si="233"/>
        <v>24051.471357170802</v>
      </c>
    </row>
    <row r="2070" spans="1:38" customFormat="1" ht="57.6" x14ac:dyDescent="0.3">
      <c r="A2070" s="140" t="s">
        <v>1487</v>
      </c>
      <c r="B2070" s="140">
        <v>4</v>
      </c>
      <c r="C2070" s="166" t="s">
        <v>697</v>
      </c>
      <c r="D2070" s="140" t="str">
        <f t="shared" si="228"/>
        <v>1</v>
      </c>
      <c r="E2070" s="166" t="s">
        <v>692</v>
      </c>
      <c r="F2070" s="140">
        <f t="shared" si="230"/>
        <v>1</v>
      </c>
      <c r="G2070" s="140" t="str">
        <f t="shared" si="229"/>
        <v>4.1.1</v>
      </c>
      <c r="H2070" s="166" t="s">
        <v>662</v>
      </c>
      <c r="I2070" s="166" t="s">
        <v>74</v>
      </c>
      <c r="J2070" s="166" t="s">
        <v>425</v>
      </c>
      <c r="K2070" s="166" t="s">
        <v>712</v>
      </c>
      <c r="L2070" s="177">
        <f>1480/7</f>
        <v>211.42857142857142</v>
      </c>
      <c r="M2070" s="166"/>
      <c r="N2070" s="166"/>
      <c r="O2070" s="164">
        <f t="shared" si="231"/>
        <v>0</v>
      </c>
      <c r="P2070" s="166">
        <v>0</v>
      </c>
      <c r="Q2070" s="166">
        <v>0</v>
      </c>
      <c r="R2070" s="164">
        <f>$L2070*'Pivot Objective'!$C$9*P2070*Q2070</f>
        <v>0</v>
      </c>
      <c r="S2070" s="166">
        <f>25*2*9</f>
        <v>450</v>
      </c>
      <c r="T2070" s="166">
        <v>10</v>
      </c>
      <c r="U2070" s="164">
        <f>($L2070*'Pivot Objective'!$C$9^2)*S2070*T2070</f>
        <v>1242821.3003178244</v>
      </c>
      <c r="V2070" s="166">
        <v>20000</v>
      </c>
      <c r="W2070" s="166">
        <v>1</v>
      </c>
      <c r="X2070" s="164">
        <f>($L2070*'Pivot Objective'!$C$9^3)*V2070*W2070</f>
        <v>6313096.3730409509</v>
      </c>
      <c r="Y2070" s="166">
        <v>0</v>
      </c>
      <c r="Z2070" s="166">
        <v>0</v>
      </c>
      <c r="AA2070" s="164">
        <f>($L2070*'Pivot Objective'!$C$9^4)*Y2070*Z2070</f>
        <v>0</v>
      </c>
      <c r="AB2070" s="166">
        <v>0</v>
      </c>
      <c r="AC2070" s="166">
        <v>0</v>
      </c>
      <c r="AD2070" s="164">
        <f>($L2070*'Pivot Objective'!$C$9^5)*AB2070*AC2070</f>
        <v>0</v>
      </c>
      <c r="AE2070" s="166">
        <v>0</v>
      </c>
      <c r="AF2070" s="166">
        <v>0</v>
      </c>
      <c r="AG2070" s="164">
        <f>($L2070*'Pivot Objective'!$C$9^6)*AE2070*AF2070</f>
        <v>0</v>
      </c>
      <c r="AH2070" s="166">
        <v>0</v>
      </c>
      <c r="AI2070" s="166">
        <v>0</v>
      </c>
      <c r="AJ2070" s="164">
        <f>($L2070*'Pivot Objective'!$C$9^7)*AH2070*AI2070</f>
        <v>0</v>
      </c>
      <c r="AK2070" s="185">
        <f t="shared" si="232"/>
        <v>7555917.6733587757</v>
      </c>
      <c r="AL2070" s="186">
        <f t="shared" si="233"/>
        <v>7335.8424013191998</v>
      </c>
    </row>
    <row r="2071" spans="1:38" customFormat="1" ht="57.6" x14ac:dyDescent="0.3">
      <c r="A2071" s="140" t="s">
        <v>1487</v>
      </c>
      <c r="B2071" s="140">
        <v>4</v>
      </c>
      <c r="C2071" s="166" t="s">
        <v>697</v>
      </c>
      <c r="D2071" s="140" t="str">
        <f t="shared" si="228"/>
        <v>1</v>
      </c>
      <c r="E2071" s="166" t="s">
        <v>692</v>
      </c>
      <c r="F2071" s="140">
        <f t="shared" si="230"/>
        <v>1</v>
      </c>
      <c r="G2071" s="140" t="str">
        <f t="shared" si="229"/>
        <v>4.1.1</v>
      </c>
      <c r="H2071" s="166" t="s">
        <v>662</v>
      </c>
      <c r="I2071" s="166" t="s">
        <v>74</v>
      </c>
      <c r="J2071" s="166" t="s">
        <v>425</v>
      </c>
      <c r="K2071" s="166" t="s">
        <v>1303</v>
      </c>
      <c r="L2071" s="177">
        <f>1480/7</f>
        <v>211.42857142857142</v>
      </c>
      <c r="M2071" s="166"/>
      <c r="N2071" s="166"/>
      <c r="O2071" s="164">
        <f t="shared" si="231"/>
        <v>0</v>
      </c>
      <c r="P2071" s="166"/>
      <c r="Q2071" s="166"/>
      <c r="R2071" s="164">
        <f>$L2071*'Pivot Objective'!$C$9*P2071*Q2071</f>
        <v>0</v>
      </c>
      <c r="S2071" s="166">
        <f>2*135*9</f>
        <v>2430</v>
      </c>
      <c r="T2071" s="166">
        <v>1</v>
      </c>
      <c r="U2071" s="164">
        <f>($L2071*'Pivot Objective'!$C$9^2)*S2071*T2071</f>
        <v>671123.50217162515</v>
      </c>
      <c r="V2071" s="166"/>
      <c r="W2071" s="166"/>
      <c r="X2071" s="164">
        <f>($L2071*'Pivot Objective'!$C$9^3)*V2071*W2071</f>
        <v>0</v>
      </c>
      <c r="Y2071" s="166"/>
      <c r="Z2071" s="166"/>
      <c r="AA2071" s="164">
        <f>($L2071*'Pivot Objective'!$C$9^4)*Y2071*Z2071</f>
        <v>0</v>
      </c>
      <c r="AB2071" s="166"/>
      <c r="AC2071" s="166"/>
      <c r="AD2071" s="164">
        <f>($L2071*'Pivot Objective'!$C$9^5)*AB2071*AC2071</f>
        <v>0</v>
      </c>
      <c r="AE2071" s="166"/>
      <c r="AF2071" s="166"/>
      <c r="AG2071" s="164">
        <f>($L2071*'Pivot Objective'!$C$9^6)*AE2071*AF2071</f>
        <v>0</v>
      </c>
      <c r="AH2071" s="166"/>
      <c r="AI2071" s="166"/>
      <c r="AJ2071" s="164">
        <f>($L2071*'Pivot Objective'!$C$9^7)*AH2071*AI2071</f>
        <v>0</v>
      </c>
      <c r="AK2071" s="185">
        <f t="shared" si="232"/>
        <v>671123.50217162515</v>
      </c>
      <c r="AL2071" s="186">
        <f t="shared" si="233"/>
        <v>651.57621570060689</v>
      </c>
    </row>
    <row r="2072" spans="1:38" customFormat="1" ht="57.6" x14ac:dyDescent="0.3">
      <c r="A2072" s="140" t="s">
        <v>1487</v>
      </c>
      <c r="B2072" s="140">
        <v>4</v>
      </c>
      <c r="C2072" s="166" t="s">
        <v>697</v>
      </c>
      <c r="D2072" s="140" t="str">
        <f t="shared" si="228"/>
        <v>1</v>
      </c>
      <c r="E2072" s="166" t="s">
        <v>692</v>
      </c>
      <c r="F2072" s="140">
        <f t="shared" si="230"/>
        <v>1</v>
      </c>
      <c r="G2072" s="140" t="str">
        <f t="shared" si="229"/>
        <v>4.1.1</v>
      </c>
      <c r="H2072" s="166" t="s">
        <v>662</v>
      </c>
      <c r="I2072" s="166" t="s">
        <v>74</v>
      </c>
      <c r="J2072" s="166" t="s">
        <v>425</v>
      </c>
      <c r="K2072" s="166" t="s">
        <v>714</v>
      </c>
      <c r="L2072" s="177">
        <v>10000</v>
      </c>
      <c r="M2072" s="166"/>
      <c r="N2072" s="166"/>
      <c r="O2072" s="164">
        <f t="shared" si="231"/>
        <v>0</v>
      </c>
      <c r="P2072" s="166">
        <v>0</v>
      </c>
      <c r="Q2072" s="166">
        <v>0</v>
      </c>
      <c r="R2072" s="164">
        <f>$L2072*'Pivot Objective'!$C$9*P2072*Q2072</f>
        <v>0</v>
      </c>
      <c r="S2072" s="166">
        <v>15</v>
      </c>
      <c r="T2072" s="166">
        <v>1</v>
      </c>
      <c r="U2072" s="164">
        <f>($L2072*'Pivot Objective'!$C$9^2)*S2072*T2072</f>
        <v>195940.29509515248</v>
      </c>
      <c r="V2072" s="166">
        <v>15</v>
      </c>
      <c r="W2072" s="166">
        <v>1</v>
      </c>
      <c r="X2072" s="164">
        <f>($L2072*'Pivot Objective'!$C$9^3)*V2072*W2072</f>
        <v>223944.29701665539</v>
      </c>
      <c r="Y2072" s="166">
        <v>0</v>
      </c>
      <c r="Z2072" s="166">
        <v>0</v>
      </c>
      <c r="AA2072" s="164">
        <f>($L2072*'Pivot Objective'!$C$9^4)*Y2072*Z2072</f>
        <v>0</v>
      </c>
      <c r="AB2072" s="166">
        <v>0</v>
      </c>
      <c r="AC2072" s="166">
        <v>0</v>
      </c>
      <c r="AD2072" s="164">
        <f>($L2072*'Pivot Objective'!$C$9^5)*AB2072*AC2072</f>
        <v>0</v>
      </c>
      <c r="AE2072" s="166">
        <v>0</v>
      </c>
      <c r="AF2072" s="166">
        <v>0</v>
      </c>
      <c r="AG2072" s="164">
        <f>($L2072*'Pivot Objective'!$C$9^6)*AE2072*AF2072</f>
        <v>0</v>
      </c>
      <c r="AH2072" s="166">
        <v>0</v>
      </c>
      <c r="AI2072" s="166">
        <v>0</v>
      </c>
      <c r="AJ2072" s="164">
        <f>($L2072*'Pivot Objective'!$C$9^7)*AH2072*AI2072</f>
        <v>0</v>
      </c>
      <c r="AK2072" s="185">
        <f t="shared" si="232"/>
        <v>419884.5921118079</v>
      </c>
      <c r="AL2072" s="186">
        <f t="shared" si="233"/>
        <v>407.65494379787174</v>
      </c>
    </row>
    <row r="2073" spans="1:38" customFormat="1" ht="57.6" x14ac:dyDescent="0.3">
      <c r="A2073" s="140" t="s">
        <v>1487</v>
      </c>
      <c r="B2073" s="140">
        <v>4</v>
      </c>
      <c r="C2073" s="166" t="s">
        <v>697</v>
      </c>
      <c r="D2073" s="140" t="str">
        <f t="shared" si="228"/>
        <v>1</v>
      </c>
      <c r="E2073" s="166" t="s">
        <v>692</v>
      </c>
      <c r="F2073" s="140">
        <f t="shared" si="230"/>
        <v>1</v>
      </c>
      <c r="G2073" s="140" t="str">
        <f t="shared" si="229"/>
        <v>4.1.1</v>
      </c>
      <c r="H2073" s="166" t="s">
        <v>662</v>
      </c>
      <c r="I2073" s="166" t="s">
        <v>74</v>
      </c>
      <c r="J2073" s="166" t="s">
        <v>1319</v>
      </c>
      <c r="K2073" s="166" t="s">
        <v>716</v>
      </c>
      <c r="L2073" s="177">
        <v>39000</v>
      </c>
      <c r="M2073" s="166"/>
      <c r="N2073" s="166"/>
      <c r="O2073" s="164">
        <f t="shared" si="231"/>
        <v>0</v>
      </c>
      <c r="P2073" s="166">
        <v>0</v>
      </c>
      <c r="Q2073" s="166">
        <v>0</v>
      </c>
      <c r="R2073" s="164">
        <f>$L2073*'Pivot Objective'!$C$9*P2073*Q2073</f>
        <v>0</v>
      </c>
      <c r="S2073" s="166">
        <v>58</v>
      </c>
      <c r="T2073" s="166">
        <v>5</v>
      </c>
      <c r="U2073" s="164">
        <f>($L2073*'Pivot Objective'!$C$9^2)*S2073*T2073</f>
        <v>14773898.250174496</v>
      </c>
      <c r="V2073" s="166">
        <v>15</v>
      </c>
      <c r="W2073" s="166">
        <v>5</v>
      </c>
      <c r="X2073" s="164">
        <f>($L2073*'Pivot Objective'!$C$9^3)*V2073*W2073</f>
        <v>4366913.7918247795</v>
      </c>
      <c r="Y2073" s="166">
        <v>0</v>
      </c>
      <c r="Z2073" s="166">
        <v>0</v>
      </c>
      <c r="AA2073" s="164">
        <f>($L2073*'Pivot Objective'!$C$9^4)*Y2073*Z2073</f>
        <v>0</v>
      </c>
      <c r="AB2073" s="166">
        <v>0</v>
      </c>
      <c r="AC2073" s="166">
        <v>0</v>
      </c>
      <c r="AD2073" s="164">
        <f>($L2073*'Pivot Objective'!$C$9^5)*AB2073*AC2073</f>
        <v>0</v>
      </c>
      <c r="AE2073" s="166">
        <v>0</v>
      </c>
      <c r="AF2073" s="166">
        <v>0</v>
      </c>
      <c r="AG2073" s="164">
        <f>($L2073*'Pivot Objective'!$C$9^6)*AE2073*AF2073</f>
        <v>0</v>
      </c>
      <c r="AH2073" s="166">
        <v>0</v>
      </c>
      <c r="AI2073" s="166">
        <v>0</v>
      </c>
      <c r="AJ2073" s="164">
        <f>($L2073*'Pivot Objective'!$C$9^7)*AH2073*AI2073</f>
        <v>0</v>
      </c>
      <c r="AK2073" s="185">
        <f t="shared" si="232"/>
        <v>19140812.041999277</v>
      </c>
      <c r="AL2073" s="186">
        <f t="shared" si="233"/>
        <v>18583.31266213522</v>
      </c>
    </row>
    <row r="2074" spans="1:38" customFormat="1" ht="57.6" x14ac:dyDescent="0.3">
      <c r="A2074" s="140" t="s">
        <v>1487</v>
      </c>
      <c r="B2074" s="140">
        <v>4</v>
      </c>
      <c r="C2074" s="166" t="s">
        <v>697</v>
      </c>
      <c r="D2074" s="140" t="str">
        <f t="shared" si="228"/>
        <v>1</v>
      </c>
      <c r="E2074" s="166" t="s">
        <v>692</v>
      </c>
      <c r="F2074" s="140">
        <f t="shared" si="230"/>
        <v>1</v>
      </c>
      <c r="G2074" s="140" t="str">
        <f t="shared" si="229"/>
        <v>4.1.1</v>
      </c>
      <c r="H2074" s="166" t="s">
        <v>662</v>
      </c>
      <c r="I2074" s="166" t="s">
        <v>74</v>
      </c>
      <c r="J2074" s="166" t="s">
        <v>1319</v>
      </c>
      <c r="K2074" s="166" t="s">
        <v>1303</v>
      </c>
      <c r="L2074" s="177">
        <f>1480/7</f>
        <v>211.42857142857142</v>
      </c>
      <c r="M2074" s="166"/>
      <c r="N2074" s="166"/>
      <c r="O2074" s="164">
        <f t="shared" si="231"/>
        <v>0</v>
      </c>
      <c r="P2074" s="166"/>
      <c r="Q2074" s="166"/>
      <c r="R2074" s="164">
        <f>$L2074*'Pivot Objective'!$C$9*P2074*Q2074</f>
        <v>0</v>
      </c>
      <c r="S2074" s="166">
        <f>2*135*29</f>
        <v>7830</v>
      </c>
      <c r="T2074" s="166">
        <v>1</v>
      </c>
      <c r="U2074" s="164">
        <f>($L2074*'Pivot Objective'!$C$9^2)*S2074*T2074</f>
        <v>2162509.0625530141</v>
      </c>
      <c r="V2074" s="166"/>
      <c r="W2074" s="166"/>
      <c r="X2074" s="164">
        <f>($L2074*'Pivot Objective'!$C$9^3)*V2074*W2074</f>
        <v>0</v>
      </c>
      <c r="Y2074" s="166"/>
      <c r="Z2074" s="166"/>
      <c r="AA2074" s="164">
        <f>($L2074*'Pivot Objective'!$C$9^4)*Y2074*Z2074</f>
        <v>0</v>
      </c>
      <c r="AB2074" s="166"/>
      <c r="AC2074" s="166"/>
      <c r="AD2074" s="164">
        <f>($L2074*'Pivot Objective'!$C$9^5)*AB2074*AC2074</f>
        <v>0</v>
      </c>
      <c r="AE2074" s="166"/>
      <c r="AF2074" s="166"/>
      <c r="AG2074" s="164">
        <f>($L2074*'Pivot Objective'!$C$9^6)*AE2074*AF2074</f>
        <v>0</v>
      </c>
      <c r="AH2074" s="166"/>
      <c r="AI2074" s="166"/>
      <c r="AJ2074" s="164">
        <f>($L2074*'Pivot Objective'!$C$9^7)*AH2074*AI2074</f>
        <v>0</v>
      </c>
      <c r="AK2074" s="185">
        <f t="shared" si="232"/>
        <v>2162509.0625530141</v>
      </c>
      <c r="AL2074" s="186">
        <f t="shared" si="233"/>
        <v>2099.5233617019553</v>
      </c>
    </row>
    <row r="2075" spans="1:38" customFormat="1" ht="57.6" x14ac:dyDescent="0.3">
      <c r="A2075" s="140" t="s">
        <v>1487</v>
      </c>
      <c r="B2075" s="140">
        <v>4</v>
      </c>
      <c r="C2075" s="166" t="s">
        <v>697</v>
      </c>
      <c r="D2075" s="140" t="str">
        <f t="shared" si="228"/>
        <v>1</v>
      </c>
      <c r="E2075" s="166" t="s">
        <v>692</v>
      </c>
      <c r="F2075" s="140">
        <f t="shared" si="230"/>
        <v>1</v>
      </c>
      <c r="G2075" s="140" t="str">
        <f t="shared" si="229"/>
        <v>4.1.1</v>
      </c>
      <c r="H2075" s="166" t="s">
        <v>662</v>
      </c>
      <c r="I2075" s="166" t="s">
        <v>74</v>
      </c>
      <c r="J2075" s="166" t="s">
        <v>1319</v>
      </c>
      <c r="K2075" s="166" t="s">
        <v>712</v>
      </c>
      <c r="L2075" s="177">
        <f>1480/7</f>
        <v>211.42857142857142</v>
      </c>
      <c r="M2075" s="166"/>
      <c r="N2075" s="166"/>
      <c r="O2075" s="164">
        <f t="shared" si="231"/>
        <v>0</v>
      </c>
      <c r="P2075" s="166">
        <v>0</v>
      </c>
      <c r="Q2075" s="166">
        <v>0</v>
      </c>
      <c r="R2075" s="164">
        <f>$L2075*'Pivot Objective'!$C$9*P2075*Q2075</f>
        <v>0</v>
      </c>
      <c r="S2075" s="166">
        <f>25*2*29</f>
        <v>1450</v>
      </c>
      <c r="T2075" s="166">
        <v>5</v>
      </c>
      <c r="U2075" s="164">
        <f>($L2075*'Pivot Objective'!$C$9^2)*S2075*T2075</f>
        <v>2002323.2060676059</v>
      </c>
      <c r="V2075" s="166">
        <v>4000</v>
      </c>
      <c r="W2075" s="166">
        <v>1</v>
      </c>
      <c r="X2075" s="164">
        <f>($L2075*'Pivot Objective'!$C$9^3)*V2075*W2075</f>
        <v>1262619.2746081902</v>
      </c>
      <c r="Y2075" s="166">
        <v>0</v>
      </c>
      <c r="Z2075" s="166">
        <v>0</v>
      </c>
      <c r="AA2075" s="164">
        <f>($L2075*'Pivot Objective'!$C$9^4)*Y2075*Z2075</f>
        <v>0</v>
      </c>
      <c r="AB2075" s="166">
        <v>0</v>
      </c>
      <c r="AC2075" s="166">
        <v>0</v>
      </c>
      <c r="AD2075" s="164">
        <f>($L2075*'Pivot Objective'!$C$9^5)*AB2075*AC2075</f>
        <v>0</v>
      </c>
      <c r="AE2075" s="166">
        <v>0</v>
      </c>
      <c r="AF2075" s="166">
        <v>0</v>
      </c>
      <c r="AG2075" s="164">
        <f>($L2075*'Pivot Objective'!$C$9^6)*AE2075*AF2075</f>
        <v>0</v>
      </c>
      <c r="AH2075" s="166">
        <v>0</v>
      </c>
      <c r="AI2075" s="166">
        <v>0</v>
      </c>
      <c r="AJ2075" s="164">
        <f>($L2075*'Pivot Objective'!$C$9^7)*AH2075*AI2075</f>
        <v>0</v>
      </c>
      <c r="AK2075" s="185">
        <f t="shared" si="232"/>
        <v>3264942.480675796</v>
      </c>
      <c r="AL2075" s="186">
        <f t="shared" si="233"/>
        <v>3169.8470686172777</v>
      </c>
    </row>
    <row r="2076" spans="1:38" customFormat="1" ht="57.6" x14ac:dyDescent="0.3">
      <c r="A2076" s="140" t="s">
        <v>1487</v>
      </c>
      <c r="B2076" s="140">
        <v>4</v>
      </c>
      <c r="C2076" s="166" t="s">
        <v>697</v>
      </c>
      <c r="D2076" s="140" t="str">
        <f t="shared" si="228"/>
        <v>1</v>
      </c>
      <c r="E2076" s="166" t="s">
        <v>692</v>
      </c>
      <c r="F2076" s="140">
        <f t="shared" si="230"/>
        <v>1</v>
      </c>
      <c r="G2076" s="140" t="str">
        <f t="shared" si="229"/>
        <v>4.1.1</v>
      </c>
      <c r="H2076" s="166" t="s">
        <v>662</v>
      </c>
      <c r="I2076" s="166" t="s">
        <v>74</v>
      </c>
      <c r="J2076" s="166" t="s">
        <v>426</v>
      </c>
      <c r="K2076" s="166" t="s">
        <v>709</v>
      </c>
      <c r="L2076" s="177">
        <v>35000</v>
      </c>
      <c r="M2076" s="166"/>
      <c r="N2076" s="166"/>
      <c r="O2076" s="164">
        <f t="shared" si="231"/>
        <v>0</v>
      </c>
      <c r="P2076" s="166">
        <v>0</v>
      </c>
      <c r="Q2076" s="166">
        <v>0</v>
      </c>
      <c r="R2076" s="164">
        <f>$L2076*'Pivot Objective'!$C$9*P2076*Q2076</f>
        <v>0</v>
      </c>
      <c r="S2076" s="166">
        <v>100</v>
      </c>
      <c r="T2076" s="166">
        <v>1</v>
      </c>
      <c r="U2076" s="164">
        <f>($L2076*'Pivot Objective'!$C$9^2)*S2076*T2076</f>
        <v>4571940.2188868914</v>
      </c>
      <c r="V2076" s="166">
        <v>30</v>
      </c>
      <c r="W2076" s="166">
        <v>1</v>
      </c>
      <c r="X2076" s="164">
        <f>($L2076*'Pivot Objective'!$C$9^3)*V2076*W2076</f>
        <v>1567610.0791165878</v>
      </c>
      <c r="Y2076" s="166">
        <v>0</v>
      </c>
      <c r="Z2076" s="166">
        <v>0</v>
      </c>
      <c r="AA2076" s="164">
        <f>($L2076*'Pivot Objective'!$C$9^4)*Y2076*Z2076</f>
        <v>0</v>
      </c>
      <c r="AB2076" s="166">
        <v>0</v>
      </c>
      <c r="AC2076" s="166">
        <v>0</v>
      </c>
      <c r="AD2076" s="164">
        <f>($L2076*'Pivot Objective'!$C$9^5)*AB2076*AC2076</f>
        <v>0</v>
      </c>
      <c r="AE2076" s="166">
        <v>0</v>
      </c>
      <c r="AF2076" s="166">
        <v>0</v>
      </c>
      <c r="AG2076" s="164">
        <f>($L2076*'Pivot Objective'!$C$9^6)*AE2076*AF2076</f>
        <v>0</v>
      </c>
      <c r="AH2076" s="166">
        <v>0</v>
      </c>
      <c r="AI2076" s="166">
        <v>0</v>
      </c>
      <c r="AJ2076" s="164">
        <f>($L2076*'Pivot Objective'!$C$9^7)*AH2076*AI2076</f>
        <v>0</v>
      </c>
      <c r="AK2076" s="185">
        <f t="shared" si="232"/>
        <v>6139550.2980034789</v>
      </c>
      <c r="AL2076" s="186">
        <f t="shared" si="233"/>
        <v>5960.7284446635722</v>
      </c>
    </row>
    <row r="2077" spans="1:38" customFormat="1" ht="57.6" x14ac:dyDescent="0.3">
      <c r="A2077" s="140" t="s">
        <v>1487</v>
      </c>
      <c r="B2077" s="140">
        <v>4</v>
      </c>
      <c r="C2077" s="166" t="s">
        <v>697</v>
      </c>
      <c r="D2077" s="140" t="str">
        <f t="shared" si="228"/>
        <v>1</v>
      </c>
      <c r="E2077" s="166" t="s">
        <v>692</v>
      </c>
      <c r="F2077" s="140">
        <f t="shared" si="230"/>
        <v>1</v>
      </c>
      <c r="G2077" s="140" t="str">
        <f t="shared" si="229"/>
        <v>4.1.1</v>
      </c>
      <c r="H2077" s="166" t="s">
        <v>662</v>
      </c>
      <c r="I2077" s="166" t="s">
        <v>74</v>
      </c>
      <c r="J2077" s="166" t="s">
        <v>427</v>
      </c>
      <c r="K2077" s="166" t="s">
        <v>709</v>
      </c>
      <c r="L2077" s="177">
        <v>35000</v>
      </c>
      <c r="M2077" s="166"/>
      <c r="N2077" s="166"/>
      <c r="O2077" s="164">
        <f t="shared" si="231"/>
        <v>0</v>
      </c>
      <c r="P2077" s="166">
        <v>0</v>
      </c>
      <c r="Q2077" s="166">
        <v>0</v>
      </c>
      <c r="R2077" s="164">
        <f>$L2077*'Pivot Objective'!$C$9*P2077*Q2077</f>
        <v>0</v>
      </c>
      <c r="S2077" s="166">
        <v>30</v>
      </c>
      <c r="T2077" s="166">
        <v>1</v>
      </c>
      <c r="U2077" s="164">
        <f>($L2077*'Pivot Objective'!$C$9^2)*S2077*T2077</f>
        <v>1371582.0656660672</v>
      </c>
      <c r="V2077" s="166">
        <v>30</v>
      </c>
      <c r="W2077" s="166">
        <v>1</v>
      </c>
      <c r="X2077" s="164">
        <f>($L2077*'Pivot Objective'!$C$9^3)*V2077*W2077</f>
        <v>1567610.0791165878</v>
      </c>
      <c r="Y2077" s="166">
        <v>0</v>
      </c>
      <c r="Z2077" s="166">
        <v>0</v>
      </c>
      <c r="AA2077" s="164">
        <f>($L2077*'Pivot Objective'!$C$9^4)*Y2077*Z2077</f>
        <v>0</v>
      </c>
      <c r="AB2077" s="166">
        <v>0</v>
      </c>
      <c r="AC2077" s="166">
        <v>0</v>
      </c>
      <c r="AD2077" s="164">
        <f>($L2077*'Pivot Objective'!$C$9^5)*AB2077*AC2077</f>
        <v>0</v>
      </c>
      <c r="AE2077" s="166">
        <v>0</v>
      </c>
      <c r="AF2077" s="166">
        <v>0</v>
      </c>
      <c r="AG2077" s="164">
        <f>($L2077*'Pivot Objective'!$C$9^6)*AE2077*AF2077</f>
        <v>0</v>
      </c>
      <c r="AH2077" s="166">
        <v>0</v>
      </c>
      <c r="AI2077" s="166">
        <v>0</v>
      </c>
      <c r="AJ2077" s="164">
        <f>($L2077*'Pivot Objective'!$C$9^7)*AH2077*AI2077</f>
        <v>0</v>
      </c>
      <c r="AK2077" s="185">
        <f t="shared" si="232"/>
        <v>2939192.1447826549</v>
      </c>
      <c r="AL2077" s="186">
        <f t="shared" si="233"/>
        <v>2853.5846065851019</v>
      </c>
    </row>
    <row r="2078" spans="1:38" customFormat="1" ht="57.6" x14ac:dyDescent="0.3">
      <c r="A2078" s="140" t="s">
        <v>1487</v>
      </c>
      <c r="B2078" s="140">
        <v>4</v>
      </c>
      <c r="C2078" s="166" t="s">
        <v>697</v>
      </c>
      <c r="D2078" s="140" t="str">
        <f t="shared" si="228"/>
        <v>1</v>
      </c>
      <c r="E2078" s="166" t="s">
        <v>692</v>
      </c>
      <c r="F2078" s="140">
        <f t="shared" si="230"/>
        <v>1</v>
      </c>
      <c r="G2078" s="140" t="str">
        <f t="shared" si="229"/>
        <v>4.1.1</v>
      </c>
      <c r="H2078" s="166" t="s">
        <v>662</v>
      </c>
      <c r="I2078" s="166" t="s">
        <v>74</v>
      </c>
      <c r="J2078" s="166" t="s">
        <v>173</v>
      </c>
      <c r="K2078" s="166" t="s">
        <v>718</v>
      </c>
      <c r="L2078" s="177">
        <v>0</v>
      </c>
      <c r="M2078" s="166"/>
      <c r="N2078" s="166"/>
      <c r="O2078" s="164">
        <f t="shared" si="231"/>
        <v>0</v>
      </c>
      <c r="P2078" s="166">
        <v>0</v>
      </c>
      <c r="Q2078" s="166">
        <v>0</v>
      </c>
      <c r="R2078" s="164">
        <f>$L2078*'Pivot Objective'!$C$9*P2078*Q2078</f>
        <v>0</v>
      </c>
      <c r="S2078" s="166">
        <v>0</v>
      </c>
      <c r="T2078" s="166">
        <v>0</v>
      </c>
      <c r="U2078" s="164">
        <f>($L2078*'Pivot Objective'!$C$9^2)*S2078*T2078</f>
        <v>0</v>
      </c>
      <c r="V2078" s="166">
        <v>0</v>
      </c>
      <c r="W2078" s="166">
        <v>0</v>
      </c>
      <c r="X2078" s="164">
        <f>($L2078*'Pivot Objective'!$C$9^3)*V2078*W2078</f>
        <v>0</v>
      </c>
      <c r="Y2078" s="166">
        <v>0</v>
      </c>
      <c r="Z2078" s="166">
        <v>0</v>
      </c>
      <c r="AA2078" s="164">
        <f>($L2078*'Pivot Objective'!$C$9^4)*Y2078*Z2078</f>
        <v>0</v>
      </c>
      <c r="AB2078" s="166">
        <v>0</v>
      </c>
      <c r="AC2078" s="166">
        <v>0</v>
      </c>
      <c r="AD2078" s="164">
        <f>($L2078*'Pivot Objective'!$C$9^5)*AB2078*AC2078</f>
        <v>0</v>
      </c>
      <c r="AE2078" s="166">
        <v>0</v>
      </c>
      <c r="AF2078" s="166">
        <v>0</v>
      </c>
      <c r="AG2078" s="164">
        <f>($L2078*'Pivot Objective'!$C$9^6)*AE2078*AF2078</f>
        <v>0</v>
      </c>
      <c r="AH2078" s="166">
        <v>0</v>
      </c>
      <c r="AI2078" s="166">
        <v>0</v>
      </c>
      <c r="AJ2078" s="164">
        <f>($L2078*'Pivot Objective'!$C$9^7)*AH2078*AI2078</f>
        <v>0</v>
      </c>
      <c r="AK2078" s="185">
        <f t="shared" si="232"/>
        <v>0</v>
      </c>
      <c r="AL2078" s="186">
        <f t="shared" si="233"/>
        <v>0</v>
      </c>
    </row>
    <row r="2079" spans="1:38" customFormat="1" ht="57.6" x14ac:dyDescent="0.3">
      <c r="A2079" s="140" t="s">
        <v>1487</v>
      </c>
      <c r="B2079" s="140">
        <v>4</v>
      </c>
      <c r="C2079" s="166" t="s">
        <v>697</v>
      </c>
      <c r="D2079" s="140" t="str">
        <f t="shared" si="228"/>
        <v>1</v>
      </c>
      <c r="E2079" s="166" t="s">
        <v>692</v>
      </c>
      <c r="F2079" s="140">
        <f t="shared" si="230"/>
        <v>1</v>
      </c>
      <c r="G2079" s="140" t="str">
        <f t="shared" si="229"/>
        <v>4.1.1</v>
      </c>
      <c r="H2079" s="166" t="s">
        <v>662</v>
      </c>
      <c r="I2079" s="166" t="s">
        <v>75</v>
      </c>
      <c r="J2079" s="166" t="s">
        <v>428</v>
      </c>
      <c r="K2079" s="166" t="s">
        <v>718</v>
      </c>
      <c r="L2079" s="177">
        <v>0</v>
      </c>
      <c r="M2079" s="166"/>
      <c r="N2079" s="166"/>
      <c r="O2079" s="164">
        <f t="shared" si="231"/>
        <v>0</v>
      </c>
      <c r="P2079" s="166">
        <v>0</v>
      </c>
      <c r="Q2079" s="166">
        <v>0</v>
      </c>
      <c r="R2079" s="164">
        <f>$L2079*'Pivot Objective'!$C$9*P2079*Q2079</f>
        <v>0</v>
      </c>
      <c r="S2079" s="166">
        <v>0</v>
      </c>
      <c r="T2079" s="166">
        <v>0</v>
      </c>
      <c r="U2079" s="164">
        <f>($L2079*'Pivot Objective'!$C$9^2)*S2079*T2079</f>
        <v>0</v>
      </c>
      <c r="V2079" s="166">
        <v>0</v>
      </c>
      <c r="W2079" s="166">
        <v>0</v>
      </c>
      <c r="X2079" s="164">
        <f>($L2079*'Pivot Objective'!$C$9^3)*V2079*W2079</f>
        <v>0</v>
      </c>
      <c r="Y2079" s="166">
        <v>0</v>
      </c>
      <c r="Z2079" s="166">
        <v>0</v>
      </c>
      <c r="AA2079" s="164">
        <f>($L2079*'Pivot Objective'!$C$9^4)*Y2079*Z2079</f>
        <v>0</v>
      </c>
      <c r="AB2079" s="166">
        <v>0</v>
      </c>
      <c r="AC2079" s="166">
        <v>0</v>
      </c>
      <c r="AD2079" s="164">
        <f>($L2079*'Pivot Objective'!$C$9^5)*AB2079*AC2079</f>
        <v>0</v>
      </c>
      <c r="AE2079" s="166">
        <v>0</v>
      </c>
      <c r="AF2079" s="166">
        <v>0</v>
      </c>
      <c r="AG2079" s="164">
        <f>($L2079*'Pivot Objective'!$C$9^6)*AE2079*AF2079</f>
        <v>0</v>
      </c>
      <c r="AH2079" s="166">
        <v>0</v>
      </c>
      <c r="AI2079" s="166">
        <v>0</v>
      </c>
      <c r="AJ2079" s="164">
        <f>($L2079*'Pivot Objective'!$C$9^7)*AH2079*AI2079</f>
        <v>0</v>
      </c>
      <c r="AK2079" s="185">
        <f t="shared" si="232"/>
        <v>0</v>
      </c>
      <c r="AL2079" s="186">
        <f t="shared" si="233"/>
        <v>0</v>
      </c>
    </row>
    <row r="2080" spans="1:38" customFormat="1" ht="57.6" x14ac:dyDescent="0.3">
      <c r="A2080" s="140" t="s">
        <v>1487</v>
      </c>
      <c r="B2080" s="140">
        <v>4</v>
      </c>
      <c r="C2080" s="166" t="s">
        <v>697</v>
      </c>
      <c r="D2080" s="140" t="str">
        <f t="shared" si="228"/>
        <v>1</v>
      </c>
      <c r="E2080" s="166" t="s">
        <v>692</v>
      </c>
      <c r="F2080" s="140">
        <f t="shared" si="230"/>
        <v>1</v>
      </c>
      <c r="G2080" s="140" t="str">
        <f t="shared" si="229"/>
        <v>4.1.1</v>
      </c>
      <c r="H2080" s="166" t="s">
        <v>662</v>
      </c>
      <c r="I2080" s="166" t="s">
        <v>75</v>
      </c>
      <c r="J2080" s="166" t="s">
        <v>429</v>
      </c>
      <c r="K2080" s="166" t="s">
        <v>718</v>
      </c>
      <c r="L2080" s="177">
        <v>0</v>
      </c>
      <c r="M2080" s="166"/>
      <c r="N2080" s="166"/>
      <c r="O2080" s="164">
        <f t="shared" si="231"/>
        <v>0</v>
      </c>
      <c r="P2080" s="166">
        <v>0</v>
      </c>
      <c r="Q2080" s="166">
        <v>0</v>
      </c>
      <c r="R2080" s="164">
        <f>$L2080*'Pivot Objective'!$C$9*P2080*Q2080</f>
        <v>0</v>
      </c>
      <c r="S2080" s="166">
        <v>0</v>
      </c>
      <c r="T2080" s="166">
        <v>0</v>
      </c>
      <c r="U2080" s="164">
        <f>($L2080*'Pivot Objective'!$C$9^2)*S2080*T2080</f>
        <v>0</v>
      </c>
      <c r="V2080" s="166">
        <v>0</v>
      </c>
      <c r="W2080" s="166">
        <v>0</v>
      </c>
      <c r="X2080" s="164">
        <f>($L2080*'Pivot Objective'!$C$9^3)*V2080*W2080</f>
        <v>0</v>
      </c>
      <c r="Y2080" s="166">
        <v>0</v>
      </c>
      <c r="Z2080" s="166">
        <v>0</v>
      </c>
      <c r="AA2080" s="164">
        <f>($L2080*'Pivot Objective'!$C$9^4)*Y2080*Z2080</f>
        <v>0</v>
      </c>
      <c r="AB2080" s="166">
        <v>0</v>
      </c>
      <c r="AC2080" s="166">
        <v>0</v>
      </c>
      <c r="AD2080" s="164">
        <f>($L2080*'Pivot Objective'!$C$9^5)*AB2080*AC2080</f>
        <v>0</v>
      </c>
      <c r="AE2080" s="166">
        <v>0</v>
      </c>
      <c r="AF2080" s="166">
        <v>0</v>
      </c>
      <c r="AG2080" s="164">
        <f>($L2080*'Pivot Objective'!$C$9^6)*AE2080*AF2080</f>
        <v>0</v>
      </c>
      <c r="AH2080" s="166">
        <v>0</v>
      </c>
      <c r="AI2080" s="166">
        <v>0</v>
      </c>
      <c r="AJ2080" s="164">
        <f>($L2080*'Pivot Objective'!$C$9^7)*AH2080*AI2080</f>
        <v>0</v>
      </c>
      <c r="AK2080" s="185">
        <f t="shared" si="232"/>
        <v>0</v>
      </c>
      <c r="AL2080" s="186">
        <f t="shared" si="233"/>
        <v>0</v>
      </c>
    </row>
    <row r="2081" spans="1:38" customFormat="1" ht="57.6" x14ac:dyDescent="0.3">
      <c r="A2081" s="140" t="s">
        <v>1487</v>
      </c>
      <c r="B2081" s="140">
        <v>4</v>
      </c>
      <c r="C2081" s="166" t="s">
        <v>697</v>
      </c>
      <c r="D2081" s="140" t="str">
        <f t="shared" si="228"/>
        <v>1</v>
      </c>
      <c r="E2081" s="166" t="s">
        <v>692</v>
      </c>
      <c r="F2081" s="140">
        <f t="shared" si="230"/>
        <v>1</v>
      </c>
      <c r="G2081" s="140" t="str">
        <f t="shared" si="229"/>
        <v>4.1.1</v>
      </c>
      <c r="H2081" s="166" t="s">
        <v>662</v>
      </c>
      <c r="I2081" s="166" t="s">
        <v>75</v>
      </c>
      <c r="J2081" s="166" t="s">
        <v>161</v>
      </c>
      <c r="K2081" s="166" t="s">
        <v>709</v>
      </c>
      <c r="L2081" s="177">
        <v>35000</v>
      </c>
      <c r="M2081" s="166"/>
      <c r="N2081" s="166"/>
      <c r="O2081" s="164">
        <f t="shared" si="231"/>
        <v>0</v>
      </c>
      <c r="P2081" s="166">
        <v>0</v>
      </c>
      <c r="Q2081" s="166">
        <v>0</v>
      </c>
      <c r="R2081" s="164">
        <f>$L2081*'Pivot Objective'!$C$9*P2081*Q2081</f>
        <v>0</v>
      </c>
      <c r="S2081" s="166">
        <v>1800</v>
      </c>
      <c r="T2081" s="166">
        <v>5</v>
      </c>
      <c r="U2081" s="164">
        <f>($L2081*'Pivot Objective'!$C$9^2)*S2081*T2081</f>
        <v>411474619.69982022</v>
      </c>
      <c r="V2081" s="166">
        <v>0</v>
      </c>
      <c r="W2081" s="166">
        <v>0</v>
      </c>
      <c r="X2081" s="164">
        <f>($L2081*'Pivot Objective'!$C$9^3)*V2081*W2081</f>
        <v>0</v>
      </c>
      <c r="Y2081" s="166">
        <v>30</v>
      </c>
      <c r="Z2081" s="166">
        <v>5</v>
      </c>
      <c r="AA2081" s="164">
        <f>($L2081*'Pivot Objective'!$C$9^4)*Y2081*Z2081</f>
        <v>8958273.1564609352</v>
      </c>
      <c r="AB2081" s="166">
        <v>0</v>
      </c>
      <c r="AC2081" s="166">
        <v>0</v>
      </c>
      <c r="AD2081" s="164">
        <f>($L2081*'Pivot Objective'!$C$9^5)*AB2081*AC2081</f>
        <v>0</v>
      </c>
      <c r="AE2081" s="166">
        <v>0</v>
      </c>
      <c r="AF2081" s="166">
        <v>0</v>
      </c>
      <c r="AG2081" s="164">
        <f>($L2081*'Pivot Objective'!$C$9^6)*AE2081*AF2081</f>
        <v>0</v>
      </c>
      <c r="AH2081" s="166">
        <v>0</v>
      </c>
      <c r="AI2081" s="166">
        <v>0</v>
      </c>
      <c r="AJ2081" s="164">
        <f>($L2081*'Pivot Objective'!$C$9^7)*AH2081*AI2081</f>
        <v>0</v>
      </c>
      <c r="AK2081" s="185">
        <f t="shared" si="232"/>
        <v>420432892.85628116</v>
      </c>
      <c r="AL2081" s="186">
        <f t="shared" si="233"/>
        <v>408187.27461774868</v>
      </c>
    </row>
    <row r="2082" spans="1:38" customFormat="1" ht="57.6" x14ac:dyDescent="0.3">
      <c r="A2082" s="140" t="s">
        <v>1487</v>
      </c>
      <c r="B2082" s="140">
        <v>4</v>
      </c>
      <c r="C2082" s="166" t="s">
        <v>697</v>
      </c>
      <c r="D2082" s="140" t="str">
        <f t="shared" si="228"/>
        <v>1</v>
      </c>
      <c r="E2082" s="166" t="s">
        <v>692</v>
      </c>
      <c r="F2082" s="140">
        <f t="shared" si="230"/>
        <v>1</v>
      </c>
      <c r="G2082" s="140" t="str">
        <f t="shared" si="229"/>
        <v>4.1.1</v>
      </c>
      <c r="H2082" s="166" t="s">
        <v>662</v>
      </c>
      <c r="I2082" s="166" t="s">
        <v>75</v>
      </c>
      <c r="J2082" s="166" t="s">
        <v>161</v>
      </c>
      <c r="K2082" s="166" t="s">
        <v>1303</v>
      </c>
      <c r="L2082" s="177">
        <f>1480/7</f>
        <v>211.42857142857142</v>
      </c>
      <c r="M2082" s="166"/>
      <c r="N2082" s="166"/>
      <c r="O2082" s="164">
        <f t="shared" si="231"/>
        <v>0</v>
      </c>
      <c r="P2082" s="166">
        <v>0</v>
      </c>
      <c r="Q2082" s="166">
        <v>0</v>
      </c>
      <c r="R2082" s="164">
        <f>$L2082*'Pivot Objective'!$C$9*P2082*Q2082</f>
        <v>0</v>
      </c>
      <c r="S2082" s="166">
        <f>22500*4</f>
        <v>90000</v>
      </c>
      <c r="T2082" s="166">
        <v>1</v>
      </c>
      <c r="U2082" s="164">
        <f>($L2082*'Pivot Objective'!$C$9^2)*S2082*T2082</f>
        <v>24856426.006356485</v>
      </c>
      <c r="V2082" s="166">
        <v>0</v>
      </c>
      <c r="W2082" s="166">
        <v>0</v>
      </c>
      <c r="X2082" s="164">
        <f>($L2082*'Pivot Objective'!$C$9^3)*V2082*W2082</f>
        <v>0</v>
      </c>
      <c r="Y2082" s="166">
        <v>80</v>
      </c>
      <c r="Z2082" s="166">
        <v>5</v>
      </c>
      <c r="AA2082" s="164">
        <f>($L2082*'Pivot Objective'!$C$9^4)*Y2082*Z2082</f>
        <v>144307.42064285369</v>
      </c>
      <c r="AB2082" s="166">
        <v>0</v>
      </c>
      <c r="AC2082" s="166">
        <v>0</v>
      </c>
      <c r="AD2082" s="164">
        <f>($L2082*'Pivot Objective'!$C$9^5)*AB2082*AC2082</f>
        <v>0</v>
      </c>
      <c r="AE2082" s="166">
        <v>0</v>
      </c>
      <c r="AF2082" s="166">
        <v>0</v>
      </c>
      <c r="AG2082" s="164">
        <f>($L2082*'Pivot Objective'!$C$9^6)*AE2082*AF2082</f>
        <v>0</v>
      </c>
      <c r="AH2082" s="166">
        <v>0</v>
      </c>
      <c r="AI2082" s="166">
        <v>0</v>
      </c>
      <c r="AJ2082" s="164">
        <f>($L2082*'Pivot Objective'!$C$9^7)*AH2082*AI2082</f>
        <v>0</v>
      </c>
      <c r="AK2082" s="185">
        <f t="shared" si="232"/>
        <v>25000733.426999338</v>
      </c>
      <c r="AL2082" s="186">
        <f t="shared" si="233"/>
        <v>24272.556725242077</v>
      </c>
    </row>
    <row r="2083" spans="1:38" customFormat="1" ht="57.6" x14ac:dyDescent="0.3">
      <c r="A2083" s="140" t="s">
        <v>1487</v>
      </c>
      <c r="B2083" s="140">
        <v>4</v>
      </c>
      <c r="C2083" s="166" t="s">
        <v>697</v>
      </c>
      <c r="D2083" s="140" t="str">
        <f t="shared" si="228"/>
        <v>1</v>
      </c>
      <c r="E2083" s="166" t="s">
        <v>692</v>
      </c>
      <c r="F2083" s="140">
        <f t="shared" si="230"/>
        <v>1</v>
      </c>
      <c r="G2083" s="140" t="str">
        <f t="shared" si="229"/>
        <v>4.1.1</v>
      </c>
      <c r="H2083" s="166" t="s">
        <v>662</v>
      </c>
      <c r="I2083" s="166" t="s">
        <v>75</v>
      </c>
      <c r="J2083" s="166" t="s">
        <v>161</v>
      </c>
      <c r="K2083" s="166" t="s">
        <v>712</v>
      </c>
      <c r="L2083" s="177">
        <f>1480/7</f>
        <v>211.42857142857142</v>
      </c>
      <c r="M2083" s="166"/>
      <c r="N2083" s="166"/>
      <c r="O2083" s="164">
        <f t="shared" si="231"/>
        <v>0</v>
      </c>
      <c r="P2083" s="166">
        <v>0</v>
      </c>
      <c r="Q2083" s="166">
        <v>0</v>
      </c>
      <c r="R2083" s="164">
        <f>$L2083*'Pivot Objective'!$C$9*P2083*Q2083</f>
        <v>0</v>
      </c>
      <c r="S2083" s="166">
        <f>22500</f>
        <v>22500</v>
      </c>
      <c r="T2083" s="166">
        <v>5</v>
      </c>
      <c r="U2083" s="164">
        <f>($L2083*'Pivot Objective'!$C$9^2)*S2083*T2083</f>
        <v>31070532.507945605</v>
      </c>
      <c r="V2083" s="166">
        <v>0</v>
      </c>
      <c r="W2083" s="166">
        <v>0</v>
      </c>
      <c r="X2083" s="164">
        <f>($L2083*'Pivot Objective'!$C$9^3)*V2083*W2083</f>
        <v>0</v>
      </c>
      <c r="Y2083" s="166">
        <v>20000</v>
      </c>
      <c r="Z2083" s="166">
        <v>1</v>
      </c>
      <c r="AA2083" s="164">
        <f>($L2083*'Pivot Objective'!$C$9^4)*Y2083*Z2083</f>
        <v>7215371.0321426839</v>
      </c>
      <c r="AB2083" s="166">
        <v>0</v>
      </c>
      <c r="AC2083" s="166">
        <v>0</v>
      </c>
      <c r="AD2083" s="164">
        <f>($L2083*'Pivot Objective'!$C$9^5)*AB2083*AC2083</f>
        <v>0</v>
      </c>
      <c r="AE2083" s="166">
        <v>0</v>
      </c>
      <c r="AF2083" s="166">
        <v>0</v>
      </c>
      <c r="AG2083" s="164">
        <f>($L2083*'Pivot Objective'!$C$9^6)*AE2083*AF2083</f>
        <v>0</v>
      </c>
      <c r="AH2083" s="166">
        <v>0</v>
      </c>
      <c r="AI2083" s="166">
        <v>0</v>
      </c>
      <c r="AJ2083" s="164">
        <f>($L2083*'Pivot Objective'!$C$9^7)*AH2083*AI2083</f>
        <v>0</v>
      </c>
      <c r="AK2083" s="185">
        <f t="shared" si="232"/>
        <v>38285903.540088288</v>
      </c>
      <c r="AL2083" s="186">
        <f t="shared" si="233"/>
        <v>37170.780136008048</v>
      </c>
    </row>
    <row r="2084" spans="1:38" customFormat="1" ht="57.6" x14ac:dyDescent="0.3">
      <c r="A2084" s="140" t="s">
        <v>1487</v>
      </c>
      <c r="B2084" s="140">
        <v>4</v>
      </c>
      <c r="C2084" s="166" t="s">
        <v>697</v>
      </c>
      <c r="D2084" s="140" t="str">
        <f t="shared" si="228"/>
        <v>1</v>
      </c>
      <c r="E2084" s="166" t="s">
        <v>692</v>
      </c>
      <c r="F2084" s="140">
        <f t="shared" si="230"/>
        <v>1</v>
      </c>
      <c r="G2084" s="140" t="str">
        <f t="shared" si="229"/>
        <v>4.1.1</v>
      </c>
      <c r="H2084" s="166" t="s">
        <v>662</v>
      </c>
      <c r="I2084" s="166" t="s">
        <v>75</v>
      </c>
      <c r="J2084" s="166" t="s">
        <v>161</v>
      </c>
      <c r="K2084" s="166" t="s">
        <v>716</v>
      </c>
      <c r="L2084" s="177">
        <v>39000</v>
      </c>
      <c r="M2084" s="166"/>
      <c r="N2084" s="166"/>
      <c r="O2084" s="164">
        <f t="shared" si="231"/>
        <v>0</v>
      </c>
      <c r="P2084" s="166">
        <v>0</v>
      </c>
      <c r="Q2084" s="166">
        <v>0</v>
      </c>
      <c r="R2084" s="164">
        <f>$L2084*'Pivot Objective'!$C$9*P2084*Q2084</f>
        <v>0</v>
      </c>
      <c r="S2084" s="166">
        <v>1800</v>
      </c>
      <c r="T2084" s="166">
        <v>6</v>
      </c>
      <c r="U2084" s="164">
        <f>($L2084*'Pivot Objective'!$C$9^2)*S2084*T2084</f>
        <v>550200348.62718821</v>
      </c>
      <c r="V2084" s="166">
        <v>0</v>
      </c>
      <c r="W2084" s="166">
        <v>0</v>
      </c>
      <c r="X2084" s="164">
        <f>($L2084*'Pivot Objective'!$C$9^3)*V2084*W2084</f>
        <v>0</v>
      </c>
      <c r="Y2084" s="166">
        <v>80</v>
      </c>
      <c r="Z2084" s="166">
        <v>5</v>
      </c>
      <c r="AA2084" s="164">
        <f>($L2084*'Pivot Objective'!$C$9^4)*Y2084*Z2084</f>
        <v>26618868.807769638</v>
      </c>
      <c r="AB2084" s="166">
        <v>0</v>
      </c>
      <c r="AC2084" s="166">
        <v>0</v>
      </c>
      <c r="AD2084" s="164">
        <f>($L2084*'Pivot Objective'!$C$9^5)*AB2084*AC2084</f>
        <v>0</v>
      </c>
      <c r="AE2084" s="166">
        <v>0</v>
      </c>
      <c r="AF2084" s="166">
        <v>0</v>
      </c>
      <c r="AG2084" s="164">
        <f>($L2084*'Pivot Objective'!$C$9^6)*AE2084*AF2084</f>
        <v>0</v>
      </c>
      <c r="AH2084" s="166">
        <v>0</v>
      </c>
      <c r="AI2084" s="166">
        <v>0</v>
      </c>
      <c r="AJ2084" s="164">
        <f>($L2084*'Pivot Objective'!$C$9^7)*AH2084*AI2084</f>
        <v>0</v>
      </c>
      <c r="AK2084" s="185">
        <f t="shared" si="232"/>
        <v>576819217.43495786</v>
      </c>
      <c r="AL2084" s="186">
        <f t="shared" si="233"/>
        <v>560018.65770384262</v>
      </c>
    </row>
    <row r="2085" spans="1:38" customFormat="1" ht="57.6" x14ac:dyDescent="0.3">
      <c r="A2085" s="140" t="s">
        <v>1487</v>
      </c>
      <c r="B2085" s="140">
        <v>4</v>
      </c>
      <c r="C2085" s="166" t="s">
        <v>697</v>
      </c>
      <c r="D2085" s="140" t="str">
        <f t="shared" si="228"/>
        <v>1</v>
      </c>
      <c r="E2085" s="166" t="s">
        <v>692</v>
      </c>
      <c r="F2085" s="140">
        <f t="shared" si="230"/>
        <v>1</v>
      </c>
      <c r="G2085" s="140" t="str">
        <f t="shared" si="229"/>
        <v>4.1.1</v>
      </c>
      <c r="H2085" s="166" t="s">
        <v>662</v>
      </c>
      <c r="I2085" s="166" t="s">
        <v>76</v>
      </c>
      <c r="J2085" s="166" t="s">
        <v>430</v>
      </c>
      <c r="K2085" s="166" t="s">
        <v>718</v>
      </c>
      <c r="L2085" s="177">
        <v>0</v>
      </c>
      <c r="M2085" s="166"/>
      <c r="N2085" s="166"/>
      <c r="O2085" s="164">
        <f t="shared" si="231"/>
        <v>0</v>
      </c>
      <c r="P2085" s="166">
        <v>0</v>
      </c>
      <c r="Q2085" s="166">
        <v>0</v>
      </c>
      <c r="R2085" s="164">
        <f>$L2085*'Pivot Objective'!$C$9*P2085*Q2085</f>
        <v>0</v>
      </c>
      <c r="S2085" s="166">
        <v>0</v>
      </c>
      <c r="T2085" s="166">
        <v>0</v>
      </c>
      <c r="U2085" s="164">
        <f>($L2085*'Pivot Objective'!$C$9^2)*S2085*T2085</f>
        <v>0</v>
      </c>
      <c r="V2085" s="166">
        <v>0</v>
      </c>
      <c r="W2085" s="166">
        <v>0</v>
      </c>
      <c r="X2085" s="164">
        <f>($L2085*'Pivot Objective'!$C$9^3)*V2085*W2085</f>
        <v>0</v>
      </c>
      <c r="Y2085" s="166">
        <v>0</v>
      </c>
      <c r="Z2085" s="166">
        <v>0</v>
      </c>
      <c r="AA2085" s="164">
        <f>($L2085*'Pivot Objective'!$C$9^4)*Y2085*Z2085</f>
        <v>0</v>
      </c>
      <c r="AB2085" s="166">
        <v>0</v>
      </c>
      <c r="AC2085" s="166">
        <v>0</v>
      </c>
      <c r="AD2085" s="164">
        <f>($L2085*'Pivot Objective'!$C$9^5)*AB2085*AC2085</f>
        <v>0</v>
      </c>
      <c r="AE2085" s="166">
        <v>0</v>
      </c>
      <c r="AF2085" s="166">
        <v>0</v>
      </c>
      <c r="AG2085" s="164">
        <f>($L2085*'Pivot Objective'!$C$9^6)*AE2085*AF2085</f>
        <v>0</v>
      </c>
      <c r="AH2085" s="166">
        <v>0</v>
      </c>
      <c r="AI2085" s="166">
        <v>0</v>
      </c>
      <c r="AJ2085" s="164">
        <f>($L2085*'Pivot Objective'!$C$9^7)*AH2085*AI2085</f>
        <v>0</v>
      </c>
      <c r="AK2085" s="185">
        <f t="shared" si="232"/>
        <v>0</v>
      </c>
      <c r="AL2085" s="186">
        <f t="shared" si="233"/>
        <v>0</v>
      </c>
    </row>
    <row r="2086" spans="1:38" customFormat="1" ht="57.6" x14ac:dyDescent="0.3">
      <c r="A2086" s="140" t="s">
        <v>1487</v>
      </c>
      <c r="B2086" s="140">
        <v>4</v>
      </c>
      <c r="C2086" s="166" t="s">
        <v>697</v>
      </c>
      <c r="D2086" s="140" t="str">
        <f t="shared" si="228"/>
        <v>1</v>
      </c>
      <c r="E2086" s="166" t="s">
        <v>692</v>
      </c>
      <c r="F2086" s="140">
        <f t="shared" si="230"/>
        <v>1</v>
      </c>
      <c r="G2086" s="140" t="str">
        <f t="shared" si="229"/>
        <v>4.1.1</v>
      </c>
      <c r="H2086" s="166" t="s">
        <v>662</v>
      </c>
      <c r="I2086" s="166" t="s">
        <v>76</v>
      </c>
      <c r="J2086" s="166" t="s">
        <v>149</v>
      </c>
      <c r="K2086" s="166" t="s">
        <v>707</v>
      </c>
      <c r="L2086" s="177">
        <v>391991.03749999998</v>
      </c>
      <c r="M2086" s="166"/>
      <c r="N2086" s="166"/>
      <c r="O2086" s="164">
        <f t="shared" si="231"/>
        <v>0</v>
      </c>
      <c r="P2086" s="166">
        <v>0</v>
      </c>
      <c r="Q2086" s="166">
        <v>0</v>
      </c>
      <c r="R2086" s="164">
        <f>$L2086*'Pivot Objective'!$C$9*P2086*Q2086</f>
        <v>0</v>
      </c>
      <c r="S2086" s="166">
        <v>2</v>
      </c>
      <c r="T2086" s="166">
        <v>2</v>
      </c>
      <c r="U2086" s="164">
        <f>($L2086*'Pivot Objective'!$C$9^2)*S2086*T2086</f>
        <v>2048182.3883307995</v>
      </c>
      <c r="V2086" s="166">
        <v>1</v>
      </c>
      <c r="W2086" s="166">
        <v>6</v>
      </c>
      <c r="X2086" s="164">
        <f>($L2086*'Pivot Objective'!$C$9^3)*V2086*W2086</f>
        <v>3511366.2931906758</v>
      </c>
      <c r="Y2086" s="166">
        <v>0</v>
      </c>
      <c r="Z2086" s="166">
        <v>0</v>
      </c>
      <c r="AA2086" s="164">
        <f>($L2086*'Pivot Objective'!$C$9^4)*Y2086*Z2086</f>
        <v>0</v>
      </c>
      <c r="AB2086" s="166">
        <v>0</v>
      </c>
      <c r="AC2086" s="166">
        <v>0</v>
      </c>
      <c r="AD2086" s="164">
        <f>($L2086*'Pivot Objective'!$C$9^5)*AB2086*AC2086</f>
        <v>0</v>
      </c>
      <c r="AE2086" s="166">
        <v>0</v>
      </c>
      <c r="AF2086" s="166">
        <v>0</v>
      </c>
      <c r="AG2086" s="164">
        <f>($L2086*'Pivot Objective'!$C$9^6)*AE2086*AF2086</f>
        <v>0</v>
      </c>
      <c r="AH2086" s="166">
        <v>0</v>
      </c>
      <c r="AI2086" s="166">
        <v>0</v>
      </c>
      <c r="AJ2086" s="164">
        <f>($L2086*'Pivot Objective'!$C$9^7)*AH2086*AI2086</f>
        <v>0</v>
      </c>
      <c r="AK2086" s="185">
        <f t="shared" si="232"/>
        <v>5559548.6815214753</v>
      </c>
      <c r="AL2086" s="186">
        <f t="shared" si="233"/>
        <v>5397.6200791470637</v>
      </c>
    </row>
    <row r="2087" spans="1:38" customFormat="1" ht="57.6" x14ac:dyDescent="0.3">
      <c r="A2087" s="140" t="s">
        <v>1487</v>
      </c>
      <c r="B2087" s="140">
        <v>4</v>
      </c>
      <c r="C2087" s="166" t="s">
        <v>697</v>
      </c>
      <c r="D2087" s="140" t="str">
        <f t="shared" si="228"/>
        <v>1</v>
      </c>
      <c r="E2087" s="166" t="s">
        <v>692</v>
      </c>
      <c r="F2087" s="140">
        <f t="shared" si="230"/>
        <v>1</v>
      </c>
      <c r="G2087" s="140" t="str">
        <f t="shared" si="229"/>
        <v>4.1.1</v>
      </c>
      <c r="H2087" s="166" t="s">
        <v>662</v>
      </c>
      <c r="I2087" s="166" t="s">
        <v>76</v>
      </c>
      <c r="J2087" s="166" t="s">
        <v>149</v>
      </c>
      <c r="K2087" s="166" t="s">
        <v>708</v>
      </c>
      <c r="L2087" s="177">
        <f>500*1022</f>
        <v>511000</v>
      </c>
      <c r="M2087" s="166"/>
      <c r="N2087" s="166"/>
      <c r="O2087" s="164">
        <f t="shared" si="231"/>
        <v>0</v>
      </c>
      <c r="P2087" s="166">
        <v>0</v>
      </c>
      <c r="Q2087" s="166">
        <v>0</v>
      </c>
      <c r="R2087" s="164">
        <f>$L2087*'Pivot Objective'!$C$9*P2087*Q2087</f>
        <v>0</v>
      </c>
      <c r="S2087" s="166">
        <v>1</v>
      </c>
      <c r="T2087" s="166">
        <v>25</v>
      </c>
      <c r="U2087" s="164">
        <f>($L2087*'Pivot Objective'!$C$9^2)*S2087*T2087</f>
        <v>16687581.798937155</v>
      </c>
      <c r="V2087" s="166">
        <v>1</v>
      </c>
      <c r="W2087" s="166">
        <v>40</v>
      </c>
      <c r="X2087" s="164">
        <f>($L2087*'Pivot Objective'!$C$9^3)*V2087*W2087</f>
        <v>30516142.873469573</v>
      </c>
      <c r="Y2087" s="166">
        <v>0</v>
      </c>
      <c r="Z2087" s="166">
        <v>0</v>
      </c>
      <c r="AA2087" s="164">
        <f>($L2087*'Pivot Objective'!$C$9^4)*Y2087*Z2087</f>
        <v>0</v>
      </c>
      <c r="AB2087" s="166">
        <v>0</v>
      </c>
      <c r="AC2087" s="166">
        <v>0</v>
      </c>
      <c r="AD2087" s="164">
        <f>($L2087*'Pivot Objective'!$C$9^5)*AB2087*AC2087</f>
        <v>0</v>
      </c>
      <c r="AE2087" s="166">
        <v>0</v>
      </c>
      <c r="AF2087" s="166">
        <v>0</v>
      </c>
      <c r="AG2087" s="164">
        <f>($L2087*'Pivot Objective'!$C$9^6)*AE2087*AF2087</f>
        <v>0</v>
      </c>
      <c r="AH2087" s="166">
        <v>0</v>
      </c>
      <c r="AI2087" s="166">
        <v>0</v>
      </c>
      <c r="AJ2087" s="164">
        <f>($L2087*'Pivot Objective'!$C$9^7)*AH2087*AI2087</f>
        <v>0</v>
      </c>
      <c r="AK2087" s="185">
        <f t="shared" si="232"/>
        <v>47203724.672406726</v>
      </c>
      <c r="AL2087" s="186">
        <f t="shared" si="233"/>
        <v>45828.858905249246</v>
      </c>
    </row>
    <row r="2088" spans="1:38" customFormat="1" ht="57.6" x14ac:dyDescent="0.3">
      <c r="A2088" s="140" t="s">
        <v>1487</v>
      </c>
      <c r="B2088" s="140">
        <v>4</v>
      </c>
      <c r="C2088" s="166" t="s">
        <v>697</v>
      </c>
      <c r="D2088" s="140" t="str">
        <f t="shared" si="228"/>
        <v>1</v>
      </c>
      <c r="E2088" s="166" t="s">
        <v>692</v>
      </c>
      <c r="F2088" s="140">
        <f t="shared" si="230"/>
        <v>1</v>
      </c>
      <c r="G2088" s="140" t="str">
        <f t="shared" si="229"/>
        <v>4.1.1</v>
      </c>
      <c r="H2088" s="166" t="s">
        <v>662</v>
      </c>
      <c r="I2088" s="166" t="s">
        <v>76</v>
      </c>
      <c r="J2088" s="166" t="s">
        <v>431</v>
      </c>
      <c r="K2088" s="166" t="s">
        <v>709</v>
      </c>
      <c r="L2088" s="177">
        <v>35000</v>
      </c>
      <c r="M2088" s="166"/>
      <c r="N2088" s="166"/>
      <c r="O2088" s="164">
        <f t="shared" si="231"/>
        <v>0</v>
      </c>
      <c r="P2088" s="166">
        <v>0</v>
      </c>
      <c r="Q2088" s="166">
        <v>0</v>
      </c>
      <c r="R2088" s="164">
        <f>$L2088*'Pivot Objective'!$C$9*P2088*Q2088</f>
        <v>0</v>
      </c>
      <c r="S2088" s="166">
        <v>100</v>
      </c>
      <c r="T2088" s="166">
        <v>5</v>
      </c>
      <c r="U2088" s="164">
        <f>($L2088*'Pivot Objective'!$C$9^2)*S2088*T2088</f>
        <v>22859701.094434455</v>
      </c>
      <c r="V2088" s="166">
        <v>30</v>
      </c>
      <c r="W2088" s="166">
        <v>1</v>
      </c>
      <c r="X2088" s="164">
        <f>($L2088*'Pivot Objective'!$C$9^3)*V2088*W2088</f>
        <v>1567610.0791165878</v>
      </c>
      <c r="Y2088" s="166">
        <v>0</v>
      </c>
      <c r="Z2088" s="166">
        <v>0</v>
      </c>
      <c r="AA2088" s="164">
        <f>($L2088*'Pivot Objective'!$C$9^4)*Y2088*Z2088</f>
        <v>0</v>
      </c>
      <c r="AB2088" s="166">
        <v>0</v>
      </c>
      <c r="AC2088" s="166">
        <v>0</v>
      </c>
      <c r="AD2088" s="164">
        <f>($L2088*'Pivot Objective'!$C$9^5)*AB2088*AC2088</f>
        <v>0</v>
      </c>
      <c r="AE2088" s="166">
        <v>0</v>
      </c>
      <c r="AF2088" s="166">
        <v>0</v>
      </c>
      <c r="AG2088" s="164">
        <f>($L2088*'Pivot Objective'!$C$9^6)*AE2088*AF2088</f>
        <v>0</v>
      </c>
      <c r="AH2088" s="166">
        <v>0</v>
      </c>
      <c r="AI2088" s="166">
        <v>0</v>
      </c>
      <c r="AJ2088" s="164">
        <f>($L2088*'Pivot Objective'!$C$9^7)*AH2088*AI2088</f>
        <v>0</v>
      </c>
      <c r="AK2088" s="185">
        <f t="shared" si="232"/>
        <v>24427311.173551042</v>
      </c>
      <c r="AL2088" s="186">
        <f t="shared" si="233"/>
        <v>23715.836090826255</v>
      </c>
    </row>
    <row r="2089" spans="1:38" customFormat="1" ht="57.6" x14ac:dyDescent="0.3">
      <c r="A2089" s="140" t="s">
        <v>1487</v>
      </c>
      <c r="B2089" s="140">
        <v>4</v>
      </c>
      <c r="C2089" s="166" t="s">
        <v>697</v>
      </c>
      <c r="D2089" s="140" t="str">
        <f t="shared" si="228"/>
        <v>1</v>
      </c>
      <c r="E2089" s="166" t="s">
        <v>692</v>
      </c>
      <c r="F2089" s="140">
        <f t="shared" si="230"/>
        <v>1</v>
      </c>
      <c r="G2089" s="140" t="str">
        <f t="shared" si="229"/>
        <v>4.1.1</v>
      </c>
      <c r="H2089" s="166" t="s">
        <v>662</v>
      </c>
      <c r="I2089" s="166" t="s">
        <v>76</v>
      </c>
      <c r="J2089" s="166" t="s">
        <v>431</v>
      </c>
      <c r="K2089" s="166" t="s">
        <v>716</v>
      </c>
      <c r="L2089" s="177">
        <v>39000</v>
      </c>
      <c r="M2089" s="166"/>
      <c r="N2089" s="166"/>
      <c r="O2089" s="164">
        <f t="shared" si="231"/>
        <v>0</v>
      </c>
      <c r="P2089" s="166">
        <v>0</v>
      </c>
      <c r="Q2089" s="166">
        <v>0</v>
      </c>
      <c r="R2089" s="164">
        <f>$L2089*'Pivot Objective'!$C$9*P2089*Q2089</f>
        <v>0</v>
      </c>
      <c r="S2089" s="166">
        <v>58</v>
      </c>
      <c r="T2089" s="166">
        <v>6</v>
      </c>
      <c r="U2089" s="164">
        <f>($L2089*'Pivot Objective'!$C$9^2)*S2089*T2089</f>
        <v>17728677.900209397</v>
      </c>
      <c r="V2089" s="166">
        <v>30</v>
      </c>
      <c r="W2089" s="166">
        <v>1</v>
      </c>
      <c r="X2089" s="164">
        <f>($L2089*'Pivot Objective'!$C$9^3)*V2089*W2089</f>
        <v>1746765.5167299118</v>
      </c>
      <c r="Y2089" s="166">
        <v>0</v>
      </c>
      <c r="Z2089" s="166">
        <v>0</v>
      </c>
      <c r="AA2089" s="164">
        <f>($L2089*'Pivot Objective'!$C$9^4)*Y2089*Z2089</f>
        <v>0</v>
      </c>
      <c r="AB2089" s="166">
        <v>0</v>
      </c>
      <c r="AC2089" s="166">
        <v>0</v>
      </c>
      <c r="AD2089" s="164">
        <f>($L2089*'Pivot Objective'!$C$9^5)*AB2089*AC2089</f>
        <v>0</v>
      </c>
      <c r="AE2089" s="166">
        <v>0</v>
      </c>
      <c r="AF2089" s="166">
        <v>0</v>
      </c>
      <c r="AG2089" s="164">
        <f>($L2089*'Pivot Objective'!$C$9^6)*AE2089*AF2089</f>
        <v>0</v>
      </c>
      <c r="AH2089" s="166">
        <v>0</v>
      </c>
      <c r="AI2089" s="166">
        <v>0</v>
      </c>
      <c r="AJ2089" s="164">
        <f>($L2089*'Pivot Objective'!$C$9^7)*AH2089*AI2089</f>
        <v>0</v>
      </c>
      <c r="AK2089" s="185">
        <f t="shared" si="232"/>
        <v>19475443.416939311</v>
      </c>
      <c r="AL2089" s="186">
        <f t="shared" si="233"/>
        <v>18908.197492174088</v>
      </c>
    </row>
    <row r="2090" spans="1:38" customFormat="1" ht="57.6" x14ac:dyDescent="0.3">
      <c r="A2090" s="140" t="s">
        <v>1487</v>
      </c>
      <c r="B2090" s="140">
        <v>4</v>
      </c>
      <c r="C2090" s="166" t="s">
        <v>697</v>
      </c>
      <c r="D2090" s="140" t="str">
        <f t="shared" si="228"/>
        <v>1</v>
      </c>
      <c r="E2090" s="166" t="s">
        <v>692</v>
      </c>
      <c r="F2090" s="140">
        <f t="shared" si="230"/>
        <v>1</v>
      </c>
      <c r="G2090" s="140" t="str">
        <f t="shared" si="229"/>
        <v>4.1.1</v>
      </c>
      <c r="H2090" s="166" t="s">
        <v>662</v>
      </c>
      <c r="I2090" s="166" t="s">
        <v>76</v>
      </c>
      <c r="J2090" s="166" t="s">
        <v>431</v>
      </c>
      <c r="K2090" s="166" t="s">
        <v>712</v>
      </c>
      <c r="L2090" s="177">
        <f>1480/7</f>
        <v>211.42857142857142</v>
      </c>
      <c r="M2090" s="166"/>
      <c r="N2090" s="166"/>
      <c r="O2090" s="164">
        <f t="shared" si="231"/>
        <v>0</v>
      </c>
      <c r="P2090" s="166">
        <v>0</v>
      </c>
      <c r="Q2090" s="166">
        <v>0</v>
      </c>
      <c r="R2090" s="164">
        <f>$L2090*'Pivot Objective'!$C$9*P2090*Q2090</f>
        <v>0</v>
      </c>
      <c r="S2090" s="166">
        <f>25*2*29</f>
        <v>1450</v>
      </c>
      <c r="T2090" s="166">
        <v>5</v>
      </c>
      <c r="U2090" s="164">
        <f>($L2090*'Pivot Objective'!$C$9^2)*S2090*T2090</f>
        <v>2002323.2060676059</v>
      </c>
      <c r="V2090" s="166">
        <v>30</v>
      </c>
      <c r="W2090" s="166">
        <v>1</v>
      </c>
      <c r="X2090" s="164">
        <f>($L2090*'Pivot Objective'!$C$9^3)*V2090*W2090</f>
        <v>9469.6445595614259</v>
      </c>
      <c r="Y2090" s="166">
        <v>0</v>
      </c>
      <c r="Z2090" s="166">
        <v>0</v>
      </c>
      <c r="AA2090" s="164">
        <f>($L2090*'Pivot Objective'!$C$9^4)*Y2090*Z2090</f>
        <v>0</v>
      </c>
      <c r="AB2090" s="166">
        <v>0</v>
      </c>
      <c r="AC2090" s="166">
        <v>0</v>
      </c>
      <c r="AD2090" s="164">
        <f>($L2090*'Pivot Objective'!$C$9^5)*AB2090*AC2090</f>
        <v>0</v>
      </c>
      <c r="AE2090" s="166">
        <v>0</v>
      </c>
      <c r="AF2090" s="166">
        <v>0</v>
      </c>
      <c r="AG2090" s="164">
        <f>($L2090*'Pivot Objective'!$C$9^6)*AE2090*AF2090</f>
        <v>0</v>
      </c>
      <c r="AH2090" s="166">
        <v>0</v>
      </c>
      <c r="AI2090" s="166">
        <v>0</v>
      </c>
      <c r="AJ2090" s="164">
        <f>($L2090*'Pivot Objective'!$C$9^7)*AH2090*AI2090</f>
        <v>0</v>
      </c>
      <c r="AK2090" s="185">
        <f t="shared" si="232"/>
        <v>2011792.8506271674</v>
      </c>
      <c r="AL2090" s="186">
        <f t="shared" si="233"/>
        <v>1953.1969423564733</v>
      </c>
    </row>
    <row r="2091" spans="1:38" customFormat="1" ht="57.6" x14ac:dyDescent="0.3">
      <c r="A2091" s="140" t="s">
        <v>1487</v>
      </c>
      <c r="B2091" s="140">
        <v>4</v>
      </c>
      <c r="C2091" s="166" t="s">
        <v>697</v>
      </c>
      <c r="D2091" s="140" t="str">
        <f t="shared" si="228"/>
        <v>1</v>
      </c>
      <c r="E2091" s="166" t="s">
        <v>692</v>
      </c>
      <c r="F2091" s="140">
        <f t="shared" si="230"/>
        <v>1</v>
      </c>
      <c r="G2091" s="140" t="str">
        <f t="shared" si="229"/>
        <v>4.1.1</v>
      </c>
      <c r="H2091" s="166" t="s">
        <v>662</v>
      </c>
      <c r="I2091" s="166" t="s">
        <v>76</v>
      </c>
      <c r="J2091" s="166" t="s">
        <v>431</v>
      </c>
      <c r="K2091" s="166" t="s">
        <v>1303</v>
      </c>
      <c r="L2091" s="177">
        <f>1480/7</f>
        <v>211.42857142857142</v>
      </c>
      <c r="M2091" s="166"/>
      <c r="N2091" s="166"/>
      <c r="O2091" s="164">
        <f t="shared" si="231"/>
        <v>0</v>
      </c>
      <c r="P2091" s="166">
        <v>0</v>
      </c>
      <c r="Q2091" s="166">
        <v>0</v>
      </c>
      <c r="R2091" s="164">
        <f>$L2091*'Pivot Objective'!$C$9*P2091*Q2091</f>
        <v>0</v>
      </c>
      <c r="S2091" s="166">
        <f>2*135*29</f>
        <v>7830</v>
      </c>
      <c r="T2091" s="166">
        <v>1</v>
      </c>
      <c r="U2091" s="164">
        <f>($L2091*'Pivot Objective'!$C$9^2)*S2091*T2091</f>
        <v>2162509.0625530141</v>
      </c>
      <c r="V2091" s="166">
        <v>30</v>
      </c>
      <c r="W2091" s="166">
        <v>1</v>
      </c>
      <c r="X2091" s="164">
        <f>($L2091*'Pivot Objective'!$C$9^3)*V2091*W2091</f>
        <v>9469.6445595614259</v>
      </c>
      <c r="Y2091" s="166">
        <v>0</v>
      </c>
      <c r="Z2091" s="166">
        <v>0</v>
      </c>
      <c r="AA2091" s="164">
        <f>($L2091*'Pivot Objective'!$C$9^4)*Y2091*Z2091</f>
        <v>0</v>
      </c>
      <c r="AB2091" s="166">
        <v>0</v>
      </c>
      <c r="AC2091" s="166">
        <v>0</v>
      </c>
      <c r="AD2091" s="164">
        <f>($L2091*'Pivot Objective'!$C$9^5)*AB2091*AC2091</f>
        <v>0</v>
      </c>
      <c r="AE2091" s="166">
        <v>0</v>
      </c>
      <c r="AF2091" s="166">
        <v>0</v>
      </c>
      <c r="AG2091" s="164">
        <f>($L2091*'Pivot Objective'!$C$9^6)*AE2091*AF2091</f>
        <v>0</v>
      </c>
      <c r="AH2091" s="166">
        <v>0</v>
      </c>
      <c r="AI2091" s="166">
        <v>0</v>
      </c>
      <c r="AJ2091" s="164">
        <f>($L2091*'Pivot Objective'!$C$9^7)*AH2091*AI2091</f>
        <v>0</v>
      </c>
      <c r="AK2091" s="185">
        <f t="shared" si="232"/>
        <v>2171978.7071125754</v>
      </c>
      <c r="AL2091" s="186">
        <f t="shared" si="233"/>
        <v>2108.7171913714324</v>
      </c>
    </row>
    <row r="2092" spans="1:38" customFormat="1" ht="57.6" x14ac:dyDescent="0.3">
      <c r="A2092" s="140" t="s">
        <v>1487</v>
      </c>
      <c r="B2092" s="140">
        <v>4</v>
      </c>
      <c r="C2092" s="166" t="s">
        <v>697</v>
      </c>
      <c r="D2092" s="140" t="str">
        <f t="shared" si="228"/>
        <v>1</v>
      </c>
      <c r="E2092" s="166" t="s">
        <v>692</v>
      </c>
      <c r="F2092" s="140">
        <f t="shared" si="230"/>
        <v>1</v>
      </c>
      <c r="G2092" s="140" t="str">
        <f t="shared" si="229"/>
        <v>4.1.1</v>
      </c>
      <c r="H2092" s="166" t="s">
        <v>662</v>
      </c>
      <c r="I2092" s="166" t="s">
        <v>1394</v>
      </c>
      <c r="J2092" s="166" t="s">
        <v>432</v>
      </c>
      <c r="K2092" s="166" t="s">
        <v>718</v>
      </c>
      <c r="L2092" s="177">
        <v>0</v>
      </c>
      <c r="M2092" s="166"/>
      <c r="N2092" s="166"/>
      <c r="O2092" s="164">
        <f t="shared" si="231"/>
        <v>0</v>
      </c>
      <c r="P2092" s="166">
        <v>0</v>
      </c>
      <c r="Q2092" s="166">
        <v>0</v>
      </c>
      <c r="R2092" s="164">
        <f>$L2092*'Pivot Objective'!$C$9*P2092*Q2092</f>
        <v>0</v>
      </c>
      <c r="S2092" s="166">
        <v>0</v>
      </c>
      <c r="T2092" s="166">
        <v>0</v>
      </c>
      <c r="U2092" s="164">
        <f>($L2092*'Pivot Objective'!$C$9^2)*S2092*T2092</f>
        <v>0</v>
      </c>
      <c r="V2092" s="166">
        <v>0</v>
      </c>
      <c r="W2092" s="166">
        <v>0</v>
      </c>
      <c r="X2092" s="164">
        <f>($L2092*'Pivot Objective'!$C$9^3)*V2092*W2092</f>
        <v>0</v>
      </c>
      <c r="Y2092" s="166">
        <v>0</v>
      </c>
      <c r="Z2092" s="166">
        <v>0</v>
      </c>
      <c r="AA2092" s="164">
        <f>($L2092*'Pivot Objective'!$C$9^4)*Y2092*Z2092</f>
        <v>0</v>
      </c>
      <c r="AB2092" s="166">
        <v>0</v>
      </c>
      <c r="AC2092" s="166">
        <v>0</v>
      </c>
      <c r="AD2092" s="164">
        <f>($L2092*'Pivot Objective'!$C$9^5)*AB2092*AC2092</f>
        <v>0</v>
      </c>
      <c r="AE2092" s="166">
        <v>0</v>
      </c>
      <c r="AF2092" s="166">
        <v>0</v>
      </c>
      <c r="AG2092" s="164">
        <f>($L2092*'Pivot Objective'!$C$9^6)*AE2092*AF2092</f>
        <v>0</v>
      </c>
      <c r="AH2092" s="166">
        <v>0</v>
      </c>
      <c r="AI2092" s="166">
        <v>0</v>
      </c>
      <c r="AJ2092" s="164">
        <f>($L2092*'Pivot Objective'!$C$9^7)*AH2092*AI2092</f>
        <v>0</v>
      </c>
      <c r="AK2092" s="185">
        <f t="shared" si="232"/>
        <v>0</v>
      </c>
      <c r="AL2092" s="186">
        <f t="shared" si="233"/>
        <v>0</v>
      </c>
    </row>
    <row r="2093" spans="1:38" customFormat="1" ht="57.6" x14ac:dyDescent="0.3">
      <c r="A2093" s="140" t="s">
        <v>1487</v>
      </c>
      <c r="B2093" s="140">
        <v>4</v>
      </c>
      <c r="C2093" s="166" t="s">
        <v>697</v>
      </c>
      <c r="D2093" s="140" t="str">
        <f t="shared" si="228"/>
        <v>1</v>
      </c>
      <c r="E2093" s="166" t="s">
        <v>692</v>
      </c>
      <c r="F2093" s="140">
        <f t="shared" si="230"/>
        <v>1</v>
      </c>
      <c r="G2093" s="140" t="str">
        <f t="shared" si="229"/>
        <v>4.1.1</v>
      </c>
      <c r="H2093" s="166" t="s">
        <v>662</v>
      </c>
      <c r="I2093" s="166" t="s">
        <v>1394</v>
      </c>
      <c r="J2093" s="166" t="s">
        <v>149</v>
      </c>
      <c r="K2093" s="166" t="s">
        <v>707</v>
      </c>
      <c r="L2093" s="177">
        <v>391991.03749999998</v>
      </c>
      <c r="M2093" s="166"/>
      <c r="N2093" s="166"/>
      <c r="O2093" s="164">
        <f t="shared" si="231"/>
        <v>0</v>
      </c>
      <c r="P2093" s="166">
        <v>0</v>
      </c>
      <c r="Q2093" s="166">
        <v>0</v>
      </c>
      <c r="R2093" s="164">
        <f>$L2093*'Pivot Objective'!$C$9*P2093*Q2093</f>
        <v>0</v>
      </c>
      <c r="S2093" s="166">
        <v>2</v>
      </c>
      <c r="T2093" s="166">
        <v>2</v>
      </c>
      <c r="U2093" s="164">
        <f>($L2093*'Pivot Objective'!$C$9^2)*S2093*T2093</f>
        <v>2048182.3883307995</v>
      </c>
      <c r="V2093" s="166">
        <v>1</v>
      </c>
      <c r="W2093" s="166">
        <v>6</v>
      </c>
      <c r="X2093" s="164">
        <f>($L2093*'Pivot Objective'!$C$9^3)*V2093*W2093</f>
        <v>3511366.2931906758</v>
      </c>
      <c r="Y2093" s="166">
        <v>0</v>
      </c>
      <c r="Z2093" s="166">
        <v>0</v>
      </c>
      <c r="AA2093" s="164">
        <f>($L2093*'Pivot Objective'!$C$9^4)*Y2093*Z2093</f>
        <v>0</v>
      </c>
      <c r="AB2093" s="166">
        <v>0</v>
      </c>
      <c r="AC2093" s="166">
        <v>0</v>
      </c>
      <c r="AD2093" s="164">
        <f>($L2093*'Pivot Objective'!$C$9^5)*AB2093*AC2093</f>
        <v>0</v>
      </c>
      <c r="AE2093" s="166">
        <v>0</v>
      </c>
      <c r="AF2093" s="166">
        <v>0</v>
      </c>
      <c r="AG2093" s="164">
        <f>($L2093*'Pivot Objective'!$C$9^6)*AE2093*AF2093</f>
        <v>0</v>
      </c>
      <c r="AH2093" s="166">
        <v>0</v>
      </c>
      <c r="AI2093" s="166">
        <v>0</v>
      </c>
      <c r="AJ2093" s="164">
        <f>($L2093*'Pivot Objective'!$C$9^7)*AH2093*AI2093</f>
        <v>0</v>
      </c>
      <c r="AK2093" s="185">
        <f t="shared" si="232"/>
        <v>5559548.6815214753</v>
      </c>
      <c r="AL2093" s="186">
        <f t="shared" si="233"/>
        <v>5397.6200791470637</v>
      </c>
    </row>
    <row r="2094" spans="1:38" customFormat="1" ht="57.6" x14ac:dyDescent="0.3">
      <c r="A2094" s="140" t="s">
        <v>1487</v>
      </c>
      <c r="B2094" s="140">
        <v>4</v>
      </c>
      <c r="C2094" s="166" t="s">
        <v>697</v>
      </c>
      <c r="D2094" s="140" t="str">
        <f t="shared" si="228"/>
        <v>1</v>
      </c>
      <c r="E2094" s="166" t="s">
        <v>692</v>
      </c>
      <c r="F2094" s="140">
        <f t="shared" si="230"/>
        <v>1</v>
      </c>
      <c r="G2094" s="140" t="str">
        <f t="shared" si="229"/>
        <v>4.1.1</v>
      </c>
      <c r="H2094" s="166" t="s">
        <v>662</v>
      </c>
      <c r="I2094" s="166" t="s">
        <v>1394</v>
      </c>
      <c r="J2094" s="166" t="s">
        <v>149</v>
      </c>
      <c r="K2094" s="166" t="s">
        <v>708</v>
      </c>
      <c r="L2094" s="177">
        <f>500*1022</f>
        <v>511000</v>
      </c>
      <c r="M2094" s="166"/>
      <c r="N2094" s="166"/>
      <c r="O2094" s="164">
        <f t="shared" si="231"/>
        <v>0</v>
      </c>
      <c r="P2094" s="166">
        <v>0</v>
      </c>
      <c r="Q2094" s="166">
        <v>0</v>
      </c>
      <c r="R2094" s="164">
        <f>$L2094*'Pivot Objective'!$C$9*P2094*Q2094</f>
        <v>0</v>
      </c>
      <c r="S2094" s="166">
        <v>1</v>
      </c>
      <c r="T2094" s="166">
        <v>25</v>
      </c>
      <c r="U2094" s="164">
        <f>($L2094*'Pivot Objective'!$C$9^2)*S2094*T2094</f>
        <v>16687581.798937155</v>
      </c>
      <c r="V2094" s="166">
        <v>1</v>
      </c>
      <c r="W2094" s="166">
        <v>40</v>
      </c>
      <c r="X2094" s="164">
        <f>($L2094*'Pivot Objective'!$C$9^3)*V2094*W2094</f>
        <v>30516142.873469573</v>
      </c>
      <c r="Y2094" s="166">
        <v>0</v>
      </c>
      <c r="Z2094" s="166">
        <v>0</v>
      </c>
      <c r="AA2094" s="164">
        <f>($L2094*'Pivot Objective'!$C$9^4)*Y2094*Z2094</f>
        <v>0</v>
      </c>
      <c r="AB2094" s="166">
        <v>0</v>
      </c>
      <c r="AC2094" s="166">
        <v>0</v>
      </c>
      <c r="AD2094" s="164">
        <f>($L2094*'Pivot Objective'!$C$9^5)*AB2094*AC2094</f>
        <v>0</v>
      </c>
      <c r="AE2094" s="166">
        <v>0</v>
      </c>
      <c r="AF2094" s="166">
        <v>0</v>
      </c>
      <c r="AG2094" s="164">
        <f>($L2094*'Pivot Objective'!$C$9^6)*AE2094*AF2094</f>
        <v>0</v>
      </c>
      <c r="AH2094" s="166">
        <v>0</v>
      </c>
      <c r="AI2094" s="166">
        <v>0</v>
      </c>
      <c r="AJ2094" s="164">
        <f>($L2094*'Pivot Objective'!$C$9^7)*AH2094*AI2094</f>
        <v>0</v>
      </c>
      <c r="AK2094" s="185">
        <f t="shared" si="232"/>
        <v>47203724.672406726</v>
      </c>
      <c r="AL2094" s="186">
        <f t="shared" si="233"/>
        <v>45828.858905249246</v>
      </c>
    </row>
    <row r="2095" spans="1:38" customFormat="1" ht="57.6" x14ac:dyDescent="0.3">
      <c r="A2095" s="140" t="s">
        <v>1487</v>
      </c>
      <c r="B2095" s="140">
        <v>4</v>
      </c>
      <c r="C2095" s="166" t="s">
        <v>697</v>
      </c>
      <c r="D2095" s="140" t="str">
        <f t="shared" si="228"/>
        <v>1</v>
      </c>
      <c r="E2095" s="166" t="s">
        <v>692</v>
      </c>
      <c r="F2095" s="140">
        <f t="shared" si="230"/>
        <v>1</v>
      </c>
      <c r="G2095" s="140" t="str">
        <f t="shared" si="229"/>
        <v>4.1.1</v>
      </c>
      <c r="H2095" s="166" t="s">
        <v>662</v>
      </c>
      <c r="I2095" s="166" t="s">
        <v>1394</v>
      </c>
      <c r="J2095" s="166" t="s">
        <v>150</v>
      </c>
      <c r="K2095" s="166" t="s">
        <v>718</v>
      </c>
      <c r="L2095" s="177">
        <v>0</v>
      </c>
      <c r="M2095" s="166"/>
      <c r="N2095" s="166"/>
      <c r="O2095" s="164">
        <f t="shared" si="231"/>
        <v>0</v>
      </c>
      <c r="P2095" s="166">
        <v>0</v>
      </c>
      <c r="Q2095" s="166">
        <v>0</v>
      </c>
      <c r="R2095" s="164">
        <f>$L2095*'Pivot Objective'!$C$9*P2095*Q2095</f>
        <v>0</v>
      </c>
      <c r="S2095" s="166">
        <v>0</v>
      </c>
      <c r="T2095" s="166">
        <v>0</v>
      </c>
      <c r="U2095" s="164">
        <f>($L2095*'Pivot Objective'!$C$9^2)*S2095*T2095</f>
        <v>0</v>
      </c>
      <c r="V2095" s="166">
        <v>0</v>
      </c>
      <c r="W2095" s="166">
        <v>0</v>
      </c>
      <c r="X2095" s="164">
        <f>($L2095*'Pivot Objective'!$C$9^3)*V2095*W2095</f>
        <v>0</v>
      </c>
      <c r="Y2095" s="166">
        <v>0</v>
      </c>
      <c r="Z2095" s="166">
        <v>0</v>
      </c>
      <c r="AA2095" s="164">
        <f>($L2095*'Pivot Objective'!$C$9^4)*Y2095*Z2095</f>
        <v>0</v>
      </c>
      <c r="AB2095" s="166">
        <v>0</v>
      </c>
      <c r="AC2095" s="166">
        <v>0</v>
      </c>
      <c r="AD2095" s="164">
        <f>($L2095*'Pivot Objective'!$C$9^5)*AB2095*AC2095</f>
        <v>0</v>
      </c>
      <c r="AE2095" s="166">
        <v>0</v>
      </c>
      <c r="AF2095" s="166">
        <v>0</v>
      </c>
      <c r="AG2095" s="164">
        <f>($L2095*'Pivot Objective'!$C$9^6)*AE2095*AF2095</f>
        <v>0</v>
      </c>
      <c r="AH2095" s="166">
        <v>0</v>
      </c>
      <c r="AI2095" s="166">
        <v>0</v>
      </c>
      <c r="AJ2095" s="164">
        <f>($L2095*'Pivot Objective'!$C$9^7)*AH2095*AI2095</f>
        <v>0</v>
      </c>
      <c r="AK2095" s="185">
        <f t="shared" si="232"/>
        <v>0</v>
      </c>
      <c r="AL2095" s="186">
        <f t="shared" si="233"/>
        <v>0</v>
      </c>
    </row>
    <row r="2096" spans="1:38" customFormat="1" ht="57.6" x14ac:dyDescent="0.3">
      <c r="A2096" s="140" t="s">
        <v>1487</v>
      </c>
      <c r="B2096" s="140">
        <v>4</v>
      </c>
      <c r="C2096" s="166" t="s">
        <v>697</v>
      </c>
      <c r="D2096" s="140" t="str">
        <f t="shared" si="228"/>
        <v>1</v>
      </c>
      <c r="E2096" s="166" t="s">
        <v>692</v>
      </c>
      <c r="F2096" s="140">
        <f t="shared" si="230"/>
        <v>1</v>
      </c>
      <c r="G2096" s="140" t="str">
        <f t="shared" si="229"/>
        <v>4.1.1</v>
      </c>
      <c r="H2096" s="166" t="s">
        <v>662</v>
      </c>
      <c r="I2096" s="166" t="s">
        <v>1394</v>
      </c>
      <c r="J2096" s="166" t="s">
        <v>150</v>
      </c>
      <c r="K2096" s="166" t="s">
        <v>709</v>
      </c>
      <c r="L2096" s="177">
        <v>35000</v>
      </c>
      <c r="M2096" s="166"/>
      <c r="N2096" s="166"/>
      <c r="O2096" s="164">
        <f t="shared" si="231"/>
        <v>0</v>
      </c>
      <c r="P2096" s="166">
        <v>0</v>
      </c>
      <c r="Q2096" s="166">
        <v>0</v>
      </c>
      <c r="R2096" s="164">
        <f>$L2096*'Pivot Objective'!$C$9*P2096*Q2096</f>
        <v>0</v>
      </c>
      <c r="S2096" s="166">
        <v>30</v>
      </c>
      <c r="T2096" s="166">
        <v>5</v>
      </c>
      <c r="U2096" s="164">
        <f>($L2096*'Pivot Objective'!$C$9^2)*S2096*T2096</f>
        <v>6857910.3283303361</v>
      </c>
      <c r="V2096" s="166">
        <v>15</v>
      </c>
      <c r="W2096" s="166">
        <v>3</v>
      </c>
      <c r="X2096" s="164">
        <f>($L2096*'Pivot Objective'!$C$9^3)*V2096*W2096</f>
        <v>2351415.1186748818</v>
      </c>
      <c r="Y2096" s="166">
        <v>0</v>
      </c>
      <c r="Z2096" s="166">
        <v>0</v>
      </c>
      <c r="AA2096" s="164">
        <f>($L2096*'Pivot Objective'!$C$9^4)*Y2096*Z2096</f>
        <v>0</v>
      </c>
      <c r="AB2096" s="166">
        <v>0</v>
      </c>
      <c r="AC2096" s="166">
        <v>0</v>
      </c>
      <c r="AD2096" s="164">
        <f>($L2096*'Pivot Objective'!$C$9^5)*AB2096*AC2096</f>
        <v>0</v>
      </c>
      <c r="AE2096" s="166">
        <v>0</v>
      </c>
      <c r="AF2096" s="166">
        <v>0</v>
      </c>
      <c r="AG2096" s="164">
        <f>($L2096*'Pivot Objective'!$C$9^6)*AE2096*AF2096</f>
        <v>0</v>
      </c>
      <c r="AH2096" s="166">
        <v>0</v>
      </c>
      <c r="AI2096" s="166">
        <v>0</v>
      </c>
      <c r="AJ2096" s="164">
        <f>($L2096*'Pivot Objective'!$C$9^7)*AH2096*AI2096</f>
        <v>0</v>
      </c>
      <c r="AK2096" s="185">
        <f t="shared" si="232"/>
        <v>9209325.4470052179</v>
      </c>
      <c r="AL2096" s="186">
        <f t="shared" si="233"/>
        <v>8941.0926669953569</v>
      </c>
    </row>
    <row r="2097" spans="1:38" customFormat="1" ht="57.6" x14ac:dyDescent="0.3">
      <c r="A2097" s="140" t="s">
        <v>1487</v>
      </c>
      <c r="B2097" s="140">
        <v>4</v>
      </c>
      <c r="C2097" s="166" t="s">
        <v>697</v>
      </c>
      <c r="D2097" s="140" t="str">
        <f t="shared" si="228"/>
        <v>1</v>
      </c>
      <c r="E2097" s="166" t="s">
        <v>692</v>
      </c>
      <c r="F2097" s="140">
        <f t="shared" si="230"/>
        <v>1</v>
      </c>
      <c r="G2097" s="140" t="str">
        <f t="shared" si="229"/>
        <v>4.1.1</v>
      </c>
      <c r="H2097" s="166" t="s">
        <v>662</v>
      </c>
      <c r="I2097" s="166" t="s">
        <v>1394</v>
      </c>
      <c r="J2097" s="166" t="s">
        <v>150</v>
      </c>
      <c r="K2097" s="166" t="s">
        <v>716</v>
      </c>
      <c r="L2097" s="177">
        <v>39000</v>
      </c>
      <c r="M2097" s="166"/>
      <c r="N2097" s="166"/>
      <c r="O2097" s="164">
        <f t="shared" si="231"/>
        <v>0</v>
      </c>
      <c r="P2097" s="166">
        <v>0</v>
      </c>
      <c r="Q2097" s="166">
        <v>0</v>
      </c>
      <c r="R2097" s="164">
        <f>$L2097*'Pivot Objective'!$C$9*P2097*Q2097</f>
        <v>0</v>
      </c>
      <c r="S2097" s="166">
        <v>30</v>
      </c>
      <c r="T2097" s="166">
        <v>6</v>
      </c>
      <c r="U2097" s="164">
        <f>($L2097*'Pivot Objective'!$C$9^2)*S2097*T2097</f>
        <v>9170005.8104531355</v>
      </c>
      <c r="V2097" s="166">
        <v>15</v>
      </c>
      <c r="W2097" s="166">
        <v>3</v>
      </c>
      <c r="X2097" s="164">
        <f>($L2097*'Pivot Objective'!$C$9^3)*V2097*W2097</f>
        <v>2620148.2750948677</v>
      </c>
      <c r="Y2097" s="166">
        <v>0</v>
      </c>
      <c r="Z2097" s="166">
        <v>0</v>
      </c>
      <c r="AA2097" s="164">
        <f>($L2097*'Pivot Objective'!$C$9^4)*Y2097*Z2097</f>
        <v>0</v>
      </c>
      <c r="AB2097" s="166">
        <v>0</v>
      </c>
      <c r="AC2097" s="166">
        <v>0</v>
      </c>
      <c r="AD2097" s="164">
        <f>($L2097*'Pivot Objective'!$C$9^5)*AB2097*AC2097</f>
        <v>0</v>
      </c>
      <c r="AE2097" s="166">
        <v>0</v>
      </c>
      <c r="AF2097" s="166">
        <v>0</v>
      </c>
      <c r="AG2097" s="164">
        <f>($L2097*'Pivot Objective'!$C$9^6)*AE2097*AF2097</f>
        <v>0</v>
      </c>
      <c r="AH2097" s="166">
        <v>0</v>
      </c>
      <c r="AI2097" s="166">
        <v>0</v>
      </c>
      <c r="AJ2097" s="164">
        <f>($L2097*'Pivot Objective'!$C$9^7)*AH2097*AI2097</f>
        <v>0</v>
      </c>
      <c r="AK2097" s="185">
        <f t="shared" si="232"/>
        <v>11790154.085548002</v>
      </c>
      <c r="AL2097" s="186">
        <f t="shared" si="233"/>
        <v>11446.751539366993</v>
      </c>
    </row>
    <row r="2098" spans="1:38" customFormat="1" ht="57.6" x14ac:dyDescent="0.3">
      <c r="A2098" s="140" t="s">
        <v>1487</v>
      </c>
      <c r="B2098" s="140">
        <v>4</v>
      </c>
      <c r="C2098" s="166" t="s">
        <v>697</v>
      </c>
      <c r="D2098" s="140" t="str">
        <f t="shared" ref="D2098:D2161" si="234">RIGHT(A2098,1)</f>
        <v>1</v>
      </c>
      <c r="E2098" s="166" t="s">
        <v>692</v>
      </c>
      <c r="F2098" s="140">
        <f t="shared" si="230"/>
        <v>1</v>
      </c>
      <c r="G2098" s="140" t="str">
        <f t="shared" si="229"/>
        <v>4.1.1</v>
      </c>
      <c r="H2098" s="166" t="s">
        <v>662</v>
      </c>
      <c r="I2098" s="166" t="s">
        <v>1394</v>
      </c>
      <c r="J2098" s="166" t="s">
        <v>150</v>
      </c>
      <c r="K2098" s="166" t="s">
        <v>712</v>
      </c>
      <c r="L2098" s="177">
        <f>1480/7</f>
        <v>211.42857142857142</v>
      </c>
      <c r="M2098" s="166"/>
      <c r="N2098" s="166"/>
      <c r="O2098" s="164">
        <f t="shared" si="231"/>
        <v>0</v>
      </c>
      <c r="P2098" s="166">
        <v>0</v>
      </c>
      <c r="Q2098" s="166">
        <v>0</v>
      </c>
      <c r="R2098" s="164">
        <f>$L2098*'Pivot Objective'!$C$9*P2098*Q2098</f>
        <v>0</v>
      </c>
      <c r="S2098" s="166">
        <f>25*2*10</f>
        <v>500</v>
      </c>
      <c r="T2098" s="166">
        <v>5</v>
      </c>
      <c r="U2098" s="164">
        <f>($L2098*'Pivot Objective'!$C$9^2)*S2098*T2098</f>
        <v>690456.27795434685</v>
      </c>
      <c r="V2098" s="166">
        <v>15</v>
      </c>
      <c r="W2098" s="166">
        <v>3</v>
      </c>
      <c r="X2098" s="164">
        <f>($L2098*'Pivot Objective'!$C$9^3)*V2098*W2098</f>
        <v>14204.466839342138</v>
      </c>
      <c r="Y2098" s="166">
        <v>0</v>
      </c>
      <c r="Z2098" s="166">
        <v>0</v>
      </c>
      <c r="AA2098" s="164">
        <f>($L2098*'Pivot Objective'!$C$9^4)*Y2098*Z2098</f>
        <v>0</v>
      </c>
      <c r="AB2098" s="166">
        <v>0</v>
      </c>
      <c r="AC2098" s="166">
        <v>0</v>
      </c>
      <c r="AD2098" s="164">
        <f>($L2098*'Pivot Objective'!$C$9^5)*AB2098*AC2098</f>
        <v>0</v>
      </c>
      <c r="AE2098" s="166">
        <v>0</v>
      </c>
      <c r="AF2098" s="166">
        <v>0</v>
      </c>
      <c r="AG2098" s="164">
        <f>($L2098*'Pivot Objective'!$C$9^6)*AE2098*AF2098</f>
        <v>0</v>
      </c>
      <c r="AH2098" s="166">
        <v>0</v>
      </c>
      <c r="AI2098" s="166">
        <v>0</v>
      </c>
      <c r="AJ2098" s="164">
        <f>($L2098*'Pivot Objective'!$C$9^7)*AH2098*AI2098</f>
        <v>0</v>
      </c>
      <c r="AK2098" s="185">
        <f t="shared" si="232"/>
        <v>704660.74479368899</v>
      </c>
      <c r="AL2098" s="186">
        <f t="shared" si="233"/>
        <v>684.13664543076607</v>
      </c>
    </row>
    <row r="2099" spans="1:38" customFormat="1" ht="57.6" x14ac:dyDescent="0.3">
      <c r="A2099" s="140" t="s">
        <v>1487</v>
      </c>
      <c r="B2099" s="140">
        <v>4</v>
      </c>
      <c r="C2099" s="166" t="s">
        <v>697</v>
      </c>
      <c r="D2099" s="140" t="str">
        <f t="shared" si="234"/>
        <v>1</v>
      </c>
      <c r="E2099" s="166" t="s">
        <v>692</v>
      </c>
      <c r="F2099" s="140">
        <f t="shared" si="230"/>
        <v>1</v>
      </c>
      <c r="G2099" s="140" t="str">
        <f t="shared" ref="G2099:G2162" si="235">B2099&amp;"."&amp;D2099&amp;"."&amp;F2099</f>
        <v>4.1.1</v>
      </c>
      <c r="H2099" s="166" t="s">
        <v>662</v>
      </c>
      <c r="I2099" s="166" t="s">
        <v>1394</v>
      </c>
      <c r="J2099" s="166" t="s">
        <v>150</v>
      </c>
      <c r="K2099" s="166" t="s">
        <v>1303</v>
      </c>
      <c r="L2099" s="177">
        <f>1480/7</f>
        <v>211.42857142857142</v>
      </c>
      <c r="M2099" s="166"/>
      <c r="N2099" s="166"/>
      <c r="O2099" s="164">
        <f t="shared" si="231"/>
        <v>0</v>
      </c>
      <c r="P2099" s="166">
        <v>0</v>
      </c>
      <c r="Q2099" s="166">
        <v>0</v>
      </c>
      <c r="R2099" s="164">
        <f>$L2099*'Pivot Objective'!$C$9*P2099*Q2099</f>
        <v>0</v>
      </c>
      <c r="S2099" s="166">
        <f>2*135*10</f>
        <v>2700</v>
      </c>
      <c r="T2099" s="166">
        <v>1</v>
      </c>
      <c r="U2099" s="164">
        <f>($L2099*'Pivot Objective'!$C$9^2)*S2099*T2099</f>
        <v>745692.78019069461</v>
      </c>
      <c r="V2099" s="166">
        <v>15</v>
      </c>
      <c r="W2099" s="166">
        <v>3</v>
      </c>
      <c r="X2099" s="164">
        <f>($L2099*'Pivot Objective'!$C$9^3)*V2099*W2099</f>
        <v>14204.466839342138</v>
      </c>
      <c r="Y2099" s="166">
        <v>0</v>
      </c>
      <c r="Z2099" s="166">
        <v>0</v>
      </c>
      <c r="AA2099" s="164">
        <f>($L2099*'Pivot Objective'!$C$9^4)*Y2099*Z2099</f>
        <v>0</v>
      </c>
      <c r="AB2099" s="166">
        <v>0</v>
      </c>
      <c r="AC2099" s="166">
        <v>0</v>
      </c>
      <c r="AD2099" s="164">
        <f>($L2099*'Pivot Objective'!$C$9^5)*AB2099*AC2099</f>
        <v>0</v>
      </c>
      <c r="AE2099" s="166">
        <v>0</v>
      </c>
      <c r="AF2099" s="166">
        <v>0</v>
      </c>
      <c r="AG2099" s="164">
        <f>($L2099*'Pivot Objective'!$C$9^6)*AE2099*AF2099</f>
        <v>0</v>
      </c>
      <c r="AH2099" s="166">
        <v>0</v>
      </c>
      <c r="AI2099" s="166">
        <v>0</v>
      </c>
      <c r="AJ2099" s="164">
        <f>($L2099*'Pivot Objective'!$C$9^7)*AH2099*AI2099</f>
        <v>0</v>
      </c>
      <c r="AK2099" s="185">
        <f t="shared" si="232"/>
        <v>759897.24703003676</v>
      </c>
      <c r="AL2099" s="186">
        <f t="shared" si="233"/>
        <v>737.76431750489007</v>
      </c>
    </row>
    <row r="2100" spans="1:38" customFormat="1" ht="57.6" x14ac:dyDescent="0.3">
      <c r="A2100" s="140" t="s">
        <v>1487</v>
      </c>
      <c r="B2100" s="140">
        <v>4</v>
      </c>
      <c r="C2100" s="166" t="s">
        <v>697</v>
      </c>
      <c r="D2100" s="140" t="str">
        <f t="shared" si="234"/>
        <v>1</v>
      </c>
      <c r="E2100" s="166" t="s">
        <v>692</v>
      </c>
      <c r="F2100" s="140">
        <f t="shared" si="230"/>
        <v>1</v>
      </c>
      <c r="G2100" s="140" t="str">
        <f t="shared" si="235"/>
        <v>4.1.1</v>
      </c>
      <c r="H2100" s="166" t="s">
        <v>662</v>
      </c>
      <c r="I2100" s="166" t="s">
        <v>1394</v>
      </c>
      <c r="J2100" s="166" t="s">
        <v>163</v>
      </c>
      <c r="K2100" s="166" t="s">
        <v>713</v>
      </c>
      <c r="L2100" s="177">
        <v>45000</v>
      </c>
      <c r="M2100" s="166"/>
      <c r="N2100" s="166"/>
      <c r="O2100" s="164">
        <f t="shared" si="231"/>
        <v>0</v>
      </c>
      <c r="P2100" s="166">
        <v>0</v>
      </c>
      <c r="Q2100" s="166">
        <v>0</v>
      </c>
      <c r="R2100" s="164">
        <f>$L2100*'Pivot Objective'!$C$9*P2100*Q2100</f>
        <v>0</v>
      </c>
      <c r="S2100" s="166">
        <v>30</v>
      </c>
      <c r="T2100" s="166">
        <v>1</v>
      </c>
      <c r="U2100" s="164">
        <f>($L2100*'Pivot Objective'!$C$9^2)*S2100*T2100</f>
        <v>1763462.6558563723</v>
      </c>
      <c r="V2100" s="166">
        <v>15</v>
      </c>
      <c r="W2100" s="166">
        <v>1</v>
      </c>
      <c r="X2100" s="164">
        <f>($L2100*'Pivot Objective'!$C$9^3)*V2100*W2100</f>
        <v>1007749.3365749492</v>
      </c>
      <c r="Y2100" s="166">
        <v>0</v>
      </c>
      <c r="Z2100" s="166">
        <v>0</v>
      </c>
      <c r="AA2100" s="164">
        <f>($L2100*'Pivot Objective'!$C$9^4)*Y2100*Z2100</f>
        <v>0</v>
      </c>
      <c r="AB2100" s="166">
        <v>0</v>
      </c>
      <c r="AC2100" s="166">
        <v>0</v>
      </c>
      <c r="AD2100" s="164">
        <f>($L2100*'Pivot Objective'!$C$9^5)*AB2100*AC2100</f>
        <v>0</v>
      </c>
      <c r="AE2100" s="166">
        <v>0</v>
      </c>
      <c r="AF2100" s="166">
        <v>0</v>
      </c>
      <c r="AG2100" s="164">
        <f>($L2100*'Pivot Objective'!$C$9^6)*AE2100*AF2100</f>
        <v>0</v>
      </c>
      <c r="AH2100" s="166">
        <v>0</v>
      </c>
      <c r="AI2100" s="166">
        <v>0</v>
      </c>
      <c r="AJ2100" s="164">
        <f>($L2100*'Pivot Objective'!$C$9^7)*AH2100*AI2100</f>
        <v>0</v>
      </c>
      <c r="AK2100" s="185">
        <f t="shared" si="232"/>
        <v>2771211.9924313216</v>
      </c>
      <c r="AL2100" s="186">
        <f t="shared" si="233"/>
        <v>2690.4970800304095</v>
      </c>
    </row>
    <row r="2101" spans="1:38" customFormat="1" ht="57.6" x14ac:dyDescent="0.3">
      <c r="A2101" s="140" t="s">
        <v>1487</v>
      </c>
      <c r="B2101" s="140">
        <v>4</v>
      </c>
      <c r="C2101" s="166" t="s">
        <v>697</v>
      </c>
      <c r="D2101" s="140" t="str">
        <f t="shared" si="234"/>
        <v>1</v>
      </c>
      <c r="E2101" s="166" t="s">
        <v>692</v>
      </c>
      <c r="F2101" s="140">
        <f t="shared" si="230"/>
        <v>1</v>
      </c>
      <c r="G2101" s="140" t="str">
        <f t="shared" si="235"/>
        <v>4.1.1</v>
      </c>
      <c r="H2101" s="166" t="s">
        <v>662</v>
      </c>
      <c r="I2101" s="166" t="s">
        <v>1394</v>
      </c>
      <c r="J2101" s="166" t="s">
        <v>163</v>
      </c>
      <c r="K2101" s="166" t="s">
        <v>712</v>
      </c>
      <c r="L2101" s="177">
        <f>1480/7</f>
        <v>211.42857142857142</v>
      </c>
      <c r="M2101" s="166"/>
      <c r="N2101" s="166"/>
      <c r="O2101" s="164">
        <f t="shared" si="231"/>
        <v>0</v>
      </c>
      <c r="P2101" s="166">
        <v>0</v>
      </c>
      <c r="Q2101" s="166">
        <v>0</v>
      </c>
      <c r="R2101" s="164">
        <f>$L2101*'Pivot Objective'!$C$9*P2101*Q2101</f>
        <v>0</v>
      </c>
      <c r="S2101" s="166">
        <f>25*2*10</f>
        <v>500</v>
      </c>
      <c r="T2101" s="166">
        <v>1</v>
      </c>
      <c r="U2101" s="164">
        <f>($L2101*'Pivot Objective'!$C$9^2)*S2101*T2101</f>
        <v>138091.25559086938</v>
      </c>
      <c r="V2101" s="166">
        <v>4000</v>
      </c>
      <c r="W2101" s="166">
        <v>1</v>
      </c>
      <c r="X2101" s="164">
        <f>($L2101*'Pivot Objective'!$C$9^3)*V2101*W2101</f>
        <v>1262619.2746081902</v>
      </c>
      <c r="Y2101" s="166">
        <v>0</v>
      </c>
      <c r="Z2101" s="166">
        <v>0</v>
      </c>
      <c r="AA2101" s="164">
        <f>($L2101*'Pivot Objective'!$C$9^4)*Y2101*Z2101</f>
        <v>0</v>
      </c>
      <c r="AB2101" s="166">
        <v>0</v>
      </c>
      <c r="AC2101" s="166">
        <v>0</v>
      </c>
      <c r="AD2101" s="164">
        <f>($L2101*'Pivot Objective'!$C$9^5)*AB2101*AC2101</f>
        <v>0</v>
      </c>
      <c r="AE2101" s="166">
        <v>0</v>
      </c>
      <c r="AF2101" s="166">
        <v>0</v>
      </c>
      <c r="AG2101" s="164">
        <f>($L2101*'Pivot Objective'!$C$9^6)*AE2101*AF2101</f>
        <v>0</v>
      </c>
      <c r="AH2101" s="166">
        <v>0</v>
      </c>
      <c r="AI2101" s="166">
        <v>0</v>
      </c>
      <c r="AJ2101" s="164">
        <f>($L2101*'Pivot Objective'!$C$9^7)*AH2101*AI2101</f>
        <v>0</v>
      </c>
      <c r="AK2101" s="185">
        <f t="shared" si="232"/>
        <v>1400710.5301990595</v>
      </c>
      <c r="AL2101" s="186">
        <f t="shared" si="233"/>
        <v>1359.9131361155917</v>
      </c>
    </row>
    <row r="2102" spans="1:38" customFormat="1" ht="57.6" x14ac:dyDescent="0.3">
      <c r="A2102" s="140" t="s">
        <v>1487</v>
      </c>
      <c r="B2102" s="140">
        <v>4</v>
      </c>
      <c r="C2102" s="166" t="s">
        <v>697</v>
      </c>
      <c r="D2102" s="140" t="str">
        <f t="shared" si="234"/>
        <v>1</v>
      </c>
      <c r="E2102" s="166" t="s">
        <v>692</v>
      </c>
      <c r="F2102" s="140">
        <f t="shared" si="230"/>
        <v>1</v>
      </c>
      <c r="G2102" s="140" t="str">
        <f t="shared" si="235"/>
        <v>4.1.1</v>
      </c>
      <c r="H2102" s="166" t="s">
        <v>662</v>
      </c>
      <c r="I2102" s="166" t="s">
        <v>1394</v>
      </c>
      <c r="J2102" s="166" t="s">
        <v>163</v>
      </c>
      <c r="K2102" s="166" t="s">
        <v>1303</v>
      </c>
      <c r="L2102" s="177">
        <f>1480/7</f>
        <v>211.42857142857142</v>
      </c>
      <c r="M2102" s="166"/>
      <c r="N2102" s="166"/>
      <c r="O2102" s="164">
        <f t="shared" si="231"/>
        <v>0</v>
      </c>
      <c r="P2102" s="166">
        <v>0</v>
      </c>
      <c r="Q2102" s="166">
        <v>0</v>
      </c>
      <c r="R2102" s="164">
        <f>$L2102*'Pivot Objective'!$C$9*P2102*Q2102</f>
        <v>0</v>
      </c>
      <c r="S2102" s="166">
        <f>2*135*10</f>
        <v>2700</v>
      </c>
      <c r="T2102" s="166">
        <v>1</v>
      </c>
      <c r="U2102" s="164">
        <f>($L2102*'Pivot Objective'!$C$9^2)*S2102*T2102</f>
        <v>745692.78019069461</v>
      </c>
      <c r="V2102" s="166">
        <v>4000</v>
      </c>
      <c r="W2102" s="166">
        <v>1</v>
      </c>
      <c r="X2102" s="164">
        <f>($L2102*'Pivot Objective'!$C$9^3)*V2102*W2102</f>
        <v>1262619.2746081902</v>
      </c>
      <c r="Y2102" s="166">
        <v>0</v>
      </c>
      <c r="Z2102" s="166">
        <v>0</v>
      </c>
      <c r="AA2102" s="164">
        <f>($L2102*'Pivot Objective'!$C$9^4)*Y2102*Z2102</f>
        <v>0</v>
      </c>
      <c r="AB2102" s="166">
        <v>0</v>
      </c>
      <c r="AC2102" s="166">
        <v>0</v>
      </c>
      <c r="AD2102" s="164">
        <f>($L2102*'Pivot Objective'!$C$9^5)*AB2102*AC2102</f>
        <v>0</v>
      </c>
      <c r="AE2102" s="166">
        <v>0</v>
      </c>
      <c r="AF2102" s="166">
        <v>0</v>
      </c>
      <c r="AG2102" s="164">
        <f>($L2102*'Pivot Objective'!$C$9^6)*AE2102*AF2102</f>
        <v>0</v>
      </c>
      <c r="AH2102" s="166">
        <v>0</v>
      </c>
      <c r="AI2102" s="166">
        <v>0</v>
      </c>
      <c r="AJ2102" s="164">
        <f>($L2102*'Pivot Objective'!$C$9^7)*AH2102*AI2102</f>
        <v>0</v>
      </c>
      <c r="AK2102" s="185">
        <f t="shared" si="232"/>
        <v>2008312.0547988848</v>
      </c>
      <c r="AL2102" s="186">
        <f t="shared" si="233"/>
        <v>1949.8175289309561</v>
      </c>
    </row>
    <row r="2103" spans="1:38" customFormat="1" ht="57.6" x14ac:dyDescent="0.3">
      <c r="A2103" s="140" t="s">
        <v>1487</v>
      </c>
      <c r="B2103" s="140">
        <v>4</v>
      </c>
      <c r="C2103" s="166" t="s">
        <v>697</v>
      </c>
      <c r="D2103" s="140" t="str">
        <f t="shared" si="234"/>
        <v>1</v>
      </c>
      <c r="E2103" s="166" t="s">
        <v>692</v>
      </c>
      <c r="F2103" s="140">
        <f t="shared" si="230"/>
        <v>1</v>
      </c>
      <c r="G2103" s="140" t="str">
        <f t="shared" si="235"/>
        <v>4.1.1</v>
      </c>
      <c r="H2103" s="166" t="s">
        <v>662</v>
      </c>
      <c r="I2103" s="166" t="s">
        <v>1394</v>
      </c>
      <c r="J2103" s="166" t="s">
        <v>232</v>
      </c>
      <c r="K2103" s="166" t="s">
        <v>718</v>
      </c>
      <c r="L2103" s="177">
        <v>0</v>
      </c>
      <c r="M2103" s="166"/>
      <c r="N2103" s="166"/>
      <c r="O2103" s="164">
        <f t="shared" si="231"/>
        <v>0</v>
      </c>
      <c r="P2103" s="166">
        <v>0</v>
      </c>
      <c r="Q2103" s="166">
        <v>0</v>
      </c>
      <c r="R2103" s="164">
        <f>$L2103*'Pivot Objective'!$C$9*P2103*Q2103</f>
        <v>0</v>
      </c>
      <c r="S2103" s="166">
        <v>0</v>
      </c>
      <c r="T2103" s="166">
        <v>0</v>
      </c>
      <c r="U2103" s="164">
        <f>($L2103*'Pivot Objective'!$C$9^2)*S2103*T2103</f>
        <v>0</v>
      </c>
      <c r="V2103" s="166">
        <v>0</v>
      </c>
      <c r="W2103" s="166">
        <v>0</v>
      </c>
      <c r="X2103" s="164">
        <f>($L2103*'Pivot Objective'!$C$9^3)*V2103*W2103</f>
        <v>0</v>
      </c>
      <c r="Y2103" s="166">
        <v>0</v>
      </c>
      <c r="Z2103" s="166">
        <v>0</v>
      </c>
      <c r="AA2103" s="164">
        <f>($L2103*'Pivot Objective'!$C$9^4)*Y2103*Z2103</f>
        <v>0</v>
      </c>
      <c r="AB2103" s="166">
        <v>0</v>
      </c>
      <c r="AC2103" s="166">
        <v>0</v>
      </c>
      <c r="AD2103" s="164">
        <f>($L2103*'Pivot Objective'!$C$9^5)*AB2103*AC2103</f>
        <v>0</v>
      </c>
      <c r="AE2103" s="166">
        <v>0</v>
      </c>
      <c r="AF2103" s="166">
        <v>0</v>
      </c>
      <c r="AG2103" s="164">
        <f>($L2103*'Pivot Objective'!$C$9^6)*AE2103*AF2103</f>
        <v>0</v>
      </c>
      <c r="AH2103" s="166">
        <v>0</v>
      </c>
      <c r="AI2103" s="166">
        <v>0</v>
      </c>
      <c r="AJ2103" s="164">
        <f>($L2103*'Pivot Objective'!$C$9^7)*AH2103*AI2103</f>
        <v>0</v>
      </c>
      <c r="AK2103" s="185">
        <f t="shared" si="232"/>
        <v>0</v>
      </c>
      <c r="AL2103" s="186">
        <f t="shared" si="233"/>
        <v>0</v>
      </c>
    </row>
    <row r="2104" spans="1:38" customFormat="1" ht="57.6" x14ac:dyDescent="0.3">
      <c r="A2104" s="140" t="s">
        <v>1487</v>
      </c>
      <c r="B2104" s="140">
        <v>4</v>
      </c>
      <c r="C2104" s="166" t="s">
        <v>697</v>
      </c>
      <c r="D2104" s="140" t="str">
        <f t="shared" si="234"/>
        <v>1</v>
      </c>
      <c r="E2104" s="166" t="s">
        <v>692</v>
      </c>
      <c r="F2104" s="140">
        <f t="shared" si="230"/>
        <v>1</v>
      </c>
      <c r="G2104" s="140" t="str">
        <f t="shared" si="235"/>
        <v>4.1.1</v>
      </c>
      <c r="H2104" s="166" t="s">
        <v>662</v>
      </c>
      <c r="I2104" s="166" t="s">
        <v>1394</v>
      </c>
      <c r="J2104" s="166" t="s">
        <v>280</v>
      </c>
      <c r="K2104" s="166" t="s">
        <v>709</v>
      </c>
      <c r="L2104" s="177">
        <v>35000</v>
      </c>
      <c r="M2104" s="166"/>
      <c r="N2104" s="166"/>
      <c r="O2104" s="164">
        <f t="shared" si="231"/>
        <v>0</v>
      </c>
      <c r="P2104" s="166">
        <v>0</v>
      </c>
      <c r="Q2104" s="166">
        <v>0</v>
      </c>
      <c r="R2104" s="164">
        <f>$L2104*'Pivot Objective'!$C$9*P2104*Q2104</f>
        <v>0</v>
      </c>
      <c r="S2104" s="166">
        <v>100</v>
      </c>
      <c r="T2104" s="166">
        <v>5</v>
      </c>
      <c r="U2104" s="164">
        <f>($L2104*'Pivot Objective'!$C$9^2)*S2104*T2104</f>
        <v>22859701.094434455</v>
      </c>
      <c r="V2104" s="166">
        <v>30</v>
      </c>
      <c r="W2104" s="166">
        <v>1</v>
      </c>
      <c r="X2104" s="164">
        <f>($L2104*'Pivot Objective'!$C$9^3)*V2104*W2104</f>
        <v>1567610.0791165878</v>
      </c>
      <c r="Y2104" s="166">
        <v>0</v>
      </c>
      <c r="Z2104" s="166">
        <v>0</v>
      </c>
      <c r="AA2104" s="164">
        <f>($L2104*'Pivot Objective'!$C$9^4)*Y2104*Z2104</f>
        <v>0</v>
      </c>
      <c r="AB2104" s="166">
        <v>0</v>
      </c>
      <c r="AC2104" s="166">
        <v>0</v>
      </c>
      <c r="AD2104" s="164">
        <f>($L2104*'Pivot Objective'!$C$9^5)*AB2104*AC2104</f>
        <v>0</v>
      </c>
      <c r="AE2104" s="166">
        <v>0</v>
      </c>
      <c r="AF2104" s="166">
        <v>0</v>
      </c>
      <c r="AG2104" s="164">
        <f>($L2104*'Pivot Objective'!$C$9^6)*AE2104*AF2104</f>
        <v>0</v>
      </c>
      <c r="AH2104" s="166">
        <v>0</v>
      </c>
      <c r="AI2104" s="166">
        <v>0</v>
      </c>
      <c r="AJ2104" s="164">
        <f>($L2104*'Pivot Objective'!$C$9^7)*AH2104*AI2104</f>
        <v>0</v>
      </c>
      <c r="AK2104" s="185">
        <f t="shared" si="232"/>
        <v>24427311.173551042</v>
      </c>
      <c r="AL2104" s="186">
        <f t="shared" si="233"/>
        <v>23715.836090826255</v>
      </c>
    </row>
    <row r="2105" spans="1:38" customFormat="1" ht="57.6" x14ac:dyDescent="0.3">
      <c r="A2105" s="140" t="s">
        <v>1487</v>
      </c>
      <c r="B2105" s="140">
        <v>4</v>
      </c>
      <c r="C2105" s="166" t="s">
        <v>697</v>
      </c>
      <c r="D2105" s="140" t="str">
        <f t="shared" si="234"/>
        <v>1</v>
      </c>
      <c r="E2105" s="166" t="s">
        <v>692</v>
      </c>
      <c r="F2105" s="140">
        <f t="shared" si="230"/>
        <v>1</v>
      </c>
      <c r="G2105" s="140" t="str">
        <f t="shared" si="235"/>
        <v>4.1.1</v>
      </c>
      <c r="H2105" s="166" t="s">
        <v>662</v>
      </c>
      <c r="I2105" s="166" t="s">
        <v>1394</v>
      </c>
      <c r="J2105" s="166" t="s">
        <v>280</v>
      </c>
      <c r="K2105" s="166" t="s">
        <v>716</v>
      </c>
      <c r="L2105" s="177">
        <v>39000</v>
      </c>
      <c r="M2105" s="166"/>
      <c r="N2105" s="166"/>
      <c r="O2105" s="164">
        <f t="shared" si="231"/>
        <v>0</v>
      </c>
      <c r="P2105" s="166">
        <v>0</v>
      </c>
      <c r="Q2105" s="166">
        <v>0</v>
      </c>
      <c r="R2105" s="164">
        <f>$L2105*'Pivot Objective'!$C$9*P2105*Q2105</f>
        <v>0</v>
      </c>
      <c r="S2105" s="166">
        <v>58</v>
      </c>
      <c r="T2105" s="166">
        <v>6</v>
      </c>
      <c r="U2105" s="164">
        <f>($L2105*'Pivot Objective'!$C$9^2)*S2105*T2105</f>
        <v>17728677.900209397</v>
      </c>
      <c r="V2105" s="166">
        <v>80</v>
      </c>
      <c r="W2105" s="166">
        <v>1</v>
      </c>
      <c r="X2105" s="164">
        <f>($L2105*'Pivot Objective'!$C$9^3)*V2105*W2105</f>
        <v>4658041.3779464317</v>
      </c>
      <c r="Y2105" s="166">
        <v>0</v>
      </c>
      <c r="Z2105" s="166">
        <v>0</v>
      </c>
      <c r="AA2105" s="164">
        <f>($L2105*'Pivot Objective'!$C$9^4)*Y2105*Z2105</f>
        <v>0</v>
      </c>
      <c r="AB2105" s="166">
        <v>0</v>
      </c>
      <c r="AC2105" s="166">
        <v>0</v>
      </c>
      <c r="AD2105" s="164">
        <f>($L2105*'Pivot Objective'!$C$9^5)*AB2105*AC2105</f>
        <v>0</v>
      </c>
      <c r="AE2105" s="166">
        <v>0</v>
      </c>
      <c r="AF2105" s="166">
        <v>0</v>
      </c>
      <c r="AG2105" s="164">
        <f>($L2105*'Pivot Objective'!$C$9^6)*AE2105*AF2105</f>
        <v>0</v>
      </c>
      <c r="AH2105" s="166">
        <v>0</v>
      </c>
      <c r="AI2105" s="166">
        <v>0</v>
      </c>
      <c r="AJ2105" s="164">
        <f>($L2105*'Pivot Objective'!$C$9^7)*AH2105*AI2105</f>
        <v>0</v>
      </c>
      <c r="AK2105" s="185">
        <f t="shared" si="232"/>
        <v>22386719.27815583</v>
      </c>
      <c r="AL2105" s="186">
        <f t="shared" si="233"/>
        <v>21734.678910830902</v>
      </c>
    </row>
    <row r="2106" spans="1:38" customFormat="1" ht="57.6" x14ac:dyDescent="0.3">
      <c r="A2106" s="140" t="s">
        <v>1487</v>
      </c>
      <c r="B2106" s="140">
        <v>4</v>
      </c>
      <c r="C2106" s="166" t="s">
        <v>697</v>
      </c>
      <c r="D2106" s="140" t="str">
        <f t="shared" si="234"/>
        <v>1</v>
      </c>
      <c r="E2106" s="166" t="s">
        <v>692</v>
      </c>
      <c r="F2106" s="140">
        <f t="shared" ref="F2106:F2169" si="236">IF(H2106=H2105,F2105,F2105+1)</f>
        <v>1</v>
      </c>
      <c r="G2106" s="140" t="str">
        <f t="shared" si="235"/>
        <v>4.1.1</v>
      </c>
      <c r="H2106" s="166" t="s">
        <v>662</v>
      </c>
      <c r="I2106" s="166" t="s">
        <v>1394</v>
      </c>
      <c r="J2106" s="166" t="s">
        <v>280</v>
      </c>
      <c r="K2106" s="166" t="s">
        <v>1303</v>
      </c>
      <c r="L2106" s="178">
        <f>1480/7</f>
        <v>211.42857142857142</v>
      </c>
      <c r="M2106" s="166"/>
      <c r="N2106" s="166"/>
      <c r="O2106" s="164">
        <f t="shared" si="231"/>
        <v>0</v>
      </c>
      <c r="P2106" s="166">
        <v>0</v>
      </c>
      <c r="Q2106" s="166">
        <v>0</v>
      </c>
      <c r="R2106" s="164">
        <f>$L2106*'Pivot Objective'!$C$9*P2106*Q2106</f>
        <v>0</v>
      </c>
      <c r="S2106" s="166">
        <f>2*135*29</f>
        <v>7830</v>
      </c>
      <c r="T2106" s="166">
        <v>1</v>
      </c>
      <c r="U2106" s="164">
        <f>($L2106*'Pivot Objective'!$C$9^2)*S2106*T2106</f>
        <v>2162509.0625530141</v>
      </c>
      <c r="V2106" s="166">
        <v>40</v>
      </c>
      <c r="W2106" s="166">
        <v>1</v>
      </c>
      <c r="X2106" s="164">
        <f>($L2106*'Pivot Objective'!$C$9^3)*V2106*W2106</f>
        <v>12626.192746081902</v>
      </c>
      <c r="Y2106" s="166">
        <v>0</v>
      </c>
      <c r="Z2106" s="166">
        <v>0</v>
      </c>
      <c r="AA2106" s="164">
        <f>($L2106*'Pivot Objective'!$C$9^4)*Y2106*Z2106</f>
        <v>0</v>
      </c>
      <c r="AB2106" s="166">
        <v>0</v>
      </c>
      <c r="AC2106" s="166">
        <v>0</v>
      </c>
      <c r="AD2106" s="164">
        <f>($L2106*'Pivot Objective'!$C$9^5)*AB2106*AC2106</f>
        <v>0</v>
      </c>
      <c r="AE2106" s="166">
        <v>0</v>
      </c>
      <c r="AF2106" s="166">
        <v>0</v>
      </c>
      <c r="AG2106" s="164">
        <f>($L2106*'Pivot Objective'!$C$9^6)*AE2106*AF2106</f>
        <v>0</v>
      </c>
      <c r="AH2106" s="166">
        <v>0</v>
      </c>
      <c r="AI2106" s="166">
        <v>0</v>
      </c>
      <c r="AJ2106" s="164">
        <f>($L2106*'Pivot Objective'!$C$9^7)*AH2106*AI2106</f>
        <v>0</v>
      </c>
      <c r="AK2106" s="185">
        <f t="shared" si="232"/>
        <v>2175135.255299096</v>
      </c>
      <c r="AL2106" s="186">
        <f t="shared" si="233"/>
        <v>2111.7818012612584</v>
      </c>
    </row>
    <row r="2107" spans="1:38" customFormat="1" ht="57.6" x14ac:dyDescent="0.3">
      <c r="A2107" s="140" t="s">
        <v>1487</v>
      </c>
      <c r="B2107" s="140">
        <v>4</v>
      </c>
      <c r="C2107" s="166" t="s">
        <v>697</v>
      </c>
      <c r="D2107" s="140" t="str">
        <f t="shared" si="234"/>
        <v>1</v>
      </c>
      <c r="E2107" s="166" t="s">
        <v>692</v>
      </c>
      <c r="F2107" s="140">
        <f t="shared" si="236"/>
        <v>1</v>
      </c>
      <c r="G2107" s="140" t="str">
        <f t="shared" si="235"/>
        <v>4.1.1</v>
      </c>
      <c r="H2107" s="166" t="s">
        <v>662</v>
      </c>
      <c r="I2107" s="166" t="s">
        <v>1394</v>
      </c>
      <c r="J2107" s="166" t="s">
        <v>280</v>
      </c>
      <c r="K2107" s="166" t="s">
        <v>712</v>
      </c>
      <c r="L2107" s="178">
        <f>1480/7</f>
        <v>211.42857142857142</v>
      </c>
      <c r="M2107" s="166"/>
      <c r="N2107" s="166"/>
      <c r="O2107" s="164">
        <f t="shared" si="231"/>
        <v>0</v>
      </c>
      <c r="P2107" s="166">
        <v>0</v>
      </c>
      <c r="Q2107" s="166">
        <v>0</v>
      </c>
      <c r="R2107" s="164">
        <f>$L2107*'Pivot Objective'!$C$9*P2107*Q2107</f>
        <v>0</v>
      </c>
      <c r="S2107" s="166">
        <f>2*25*29</f>
        <v>1450</v>
      </c>
      <c r="T2107" s="166">
        <v>5</v>
      </c>
      <c r="U2107" s="164">
        <f>($L2107*'Pivot Objective'!$C$9^2)*S2107*T2107</f>
        <v>2002323.2060676059</v>
      </c>
      <c r="V2107" s="166">
        <v>10000</v>
      </c>
      <c r="W2107" s="166">
        <v>1</v>
      </c>
      <c r="X2107" s="164">
        <f>($L2107*'Pivot Objective'!$C$9^3)*V2107*W2107</f>
        <v>3156548.1865204754</v>
      </c>
      <c r="Y2107" s="166">
        <v>0</v>
      </c>
      <c r="Z2107" s="166">
        <v>0</v>
      </c>
      <c r="AA2107" s="164">
        <f>($L2107*'Pivot Objective'!$C$9^4)*Y2107*Z2107</f>
        <v>0</v>
      </c>
      <c r="AB2107" s="166">
        <v>0</v>
      </c>
      <c r="AC2107" s="166">
        <v>0</v>
      </c>
      <c r="AD2107" s="164">
        <f>($L2107*'Pivot Objective'!$C$9^5)*AB2107*AC2107</f>
        <v>0</v>
      </c>
      <c r="AE2107" s="166">
        <v>0</v>
      </c>
      <c r="AF2107" s="166">
        <v>0</v>
      </c>
      <c r="AG2107" s="164">
        <f>($L2107*'Pivot Objective'!$C$9^6)*AE2107*AF2107</f>
        <v>0</v>
      </c>
      <c r="AH2107" s="166">
        <v>0</v>
      </c>
      <c r="AI2107" s="166">
        <v>0</v>
      </c>
      <c r="AJ2107" s="164">
        <f>($L2107*'Pivot Objective'!$C$9^7)*AH2107*AI2107</f>
        <v>0</v>
      </c>
      <c r="AK2107" s="185">
        <f t="shared" si="232"/>
        <v>5158871.3925880808</v>
      </c>
      <c r="AL2107" s="186">
        <f t="shared" si="233"/>
        <v>5008.6130025126995</v>
      </c>
    </row>
    <row r="2108" spans="1:38" customFormat="1" ht="57.6" x14ac:dyDescent="0.3">
      <c r="A2108" s="140" t="s">
        <v>1487</v>
      </c>
      <c r="B2108" s="140">
        <v>4</v>
      </c>
      <c r="C2108" s="166" t="s">
        <v>697</v>
      </c>
      <c r="D2108" s="140" t="str">
        <f t="shared" si="234"/>
        <v>1</v>
      </c>
      <c r="E2108" s="166" t="s">
        <v>692</v>
      </c>
      <c r="F2108" s="140">
        <f t="shared" si="236"/>
        <v>1</v>
      </c>
      <c r="G2108" s="140" t="str">
        <f t="shared" si="235"/>
        <v>4.1.1</v>
      </c>
      <c r="H2108" s="166" t="s">
        <v>662</v>
      </c>
      <c r="I2108" s="166" t="s">
        <v>1394</v>
      </c>
      <c r="J2108" s="166" t="s">
        <v>435</v>
      </c>
      <c r="K2108" s="166" t="s">
        <v>709</v>
      </c>
      <c r="L2108" s="177">
        <v>35000</v>
      </c>
      <c r="M2108" s="166"/>
      <c r="N2108" s="166"/>
      <c r="O2108" s="164">
        <f t="shared" si="231"/>
        <v>0</v>
      </c>
      <c r="P2108" s="166">
        <v>0</v>
      </c>
      <c r="Q2108" s="166">
        <v>0</v>
      </c>
      <c r="R2108" s="164">
        <f>$L2108*'Pivot Objective'!$C$9*P2108*Q2108</f>
        <v>0</v>
      </c>
      <c r="S2108" s="166">
        <v>100</v>
      </c>
      <c r="T2108" s="166">
        <v>5</v>
      </c>
      <c r="U2108" s="164">
        <f>($L2108*'Pivot Objective'!$C$9^2)*S2108*T2108</f>
        <v>22859701.094434455</v>
      </c>
      <c r="V2108" s="166">
        <v>0</v>
      </c>
      <c r="W2108" s="166">
        <v>0</v>
      </c>
      <c r="X2108" s="164">
        <f>($L2108*'Pivot Objective'!$C$9^3)*V2108*W2108</f>
        <v>0</v>
      </c>
      <c r="Y2108" s="166">
        <v>40</v>
      </c>
      <c r="Z2108" s="166">
        <v>5</v>
      </c>
      <c r="AA2108" s="164">
        <f>($L2108*'Pivot Objective'!$C$9^4)*Y2108*Z2108</f>
        <v>11944364.20861458</v>
      </c>
      <c r="AB2108" s="166">
        <v>0</v>
      </c>
      <c r="AC2108" s="166">
        <v>0</v>
      </c>
      <c r="AD2108" s="164">
        <f>($L2108*'Pivot Objective'!$C$9^5)*AB2108*AC2108</f>
        <v>0</v>
      </c>
      <c r="AE2108" s="166">
        <v>0</v>
      </c>
      <c r="AF2108" s="166">
        <v>0</v>
      </c>
      <c r="AG2108" s="164">
        <f>($L2108*'Pivot Objective'!$C$9^6)*AE2108*AF2108</f>
        <v>0</v>
      </c>
      <c r="AH2108" s="166">
        <v>0</v>
      </c>
      <c r="AI2108" s="166">
        <v>0</v>
      </c>
      <c r="AJ2108" s="164">
        <f>($L2108*'Pivot Objective'!$C$9^7)*AH2108*AI2108</f>
        <v>0</v>
      </c>
      <c r="AK2108" s="185">
        <f t="shared" si="232"/>
        <v>34804065.303049035</v>
      </c>
      <c r="AL2108" s="186">
        <f t="shared" si="233"/>
        <v>33790.354663154401</v>
      </c>
    </row>
    <row r="2109" spans="1:38" customFormat="1" ht="57.6" x14ac:dyDescent="0.3">
      <c r="A2109" s="140" t="s">
        <v>1487</v>
      </c>
      <c r="B2109" s="140">
        <v>4</v>
      </c>
      <c r="C2109" s="166" t="s">
        <v>697</v>
      </c>
      <c r="D2109" s="140" t="str">
        <f t="shared" si="234"/>
        <v>1</v>
      </c>
      <c r="E2109" s="166" t="s">
        <v>692</v>
      </c>
      <c r="F2109" s="140">
        <f t="shared" si="236"/>
        <v>1</v>
      </c>
      <c r="G2109" s="140" t="str">
        <f t="shared" si="235"/>
        <v>4.1.1</v>
      </c>
      <c r="H2109" s="166" t="s">
        <v>662</v>
      </c>
      <c r="I2109" s="166" t="s">
        <v>1394</v>
      </c>
      <c r="J2109" s="166" t="s">
        <v>435</v>
      </c>
      <c r="K2109" s="166" t="s">
        <v>716</v>
      </c>
      <c r="L2109" s="177">
        <v>39000</v>
      </c>
      <c r="M2109" s="166"/>
      <c r="N2109" s="166"/>
      <c r="O2109" s="164">
        <f t="shared" si="231"/>
        <v>0</v>
      </c>
      <c r="P2109" s="166">
        <v>0</v>
      </c>
      <c r="Q2109" s="166">
        <v>0</v>
      </c>
      <c r="R2109" s="164">
        <f>$L2109*'Pivot Objective'!$C$9*P2109*Q2109</f>
        <v>0</v>
      </c>
      <c r="S2109" s="166">
        <v>58</v>
      </c>
      <c r="T2109" s="166">
        <v>6</v>
      </c>
      <c r="U2109" s="164">
        <f>($L2109*'Pivot Objective'!$C$9^2)*S2109*T2109</f>
        <v>17728677.900209397</v>
      </c>
      <c r="V2109" s="166">
        <v>0</v>
      </c>
      <c r="W2109" s="166">
        <v>0</v>
      </c>
      <c r="X2109" s="164">
        <f>($L2109*'Pivot Objective'!$C$9^3)*V2109*W2109</f>
        <v>0</v>
      </c>
      <c r="Y2109" s="166">
        <v>40</v>
      </c>
      <c r="Z2109" s="166">
        <v>5</v>
      </c>
      <c r="AA2109" s="164">
        <f>($L2109*'Pivot Objective'!$C$9^4)*Y2109*Z2109</f>
        <v>13309434.403884819</v>
      </c>
      <c r="AB2109" s="166">
        <v>0</v>
      </c>
      <c r="AC2109" s="166">
        <v>0</v>
      </c>
      <c r="AD2109" s="164">
        <f>($L2109*'Pivot Objective'!$C$9^5)*AB2109*AC2109</f>
        <v>0</v>
      </c>
      <c r="AE2109" s="166">
        <v>0</v>
      </c>
      <c r="AF2109" s="166">
        <v>0</v>
      </c>
      <c r="AG2109" s="164">
        <f>($L2109*'Pivot Objective'!$C$9^6)*AE2109*AF2109</f>
        <v>0</v>
      </c>
      <c r="AH2109" s="166">
        <v>0</v>
      </c>
      <c r="AI2109" s="166">
        <v>0</v>
      </c>
      <c r="AJ2109" s="164">
        <f>($L2109*'Pivot Objective'!$C$9^7)*AH2109*AI2109</f>
        <v>0</v>
      </c>
      <c r="AK2109" s="185">
        <f t="shared" si="232"/>
        <v>31038112.304094218</v>
      </c>
      <c r="AL2109" s="186">
        <f t="shared" si="233"/>
        <v>30134.089615625453</v>
      </c>
    </row>
    <row r="2110" spans="1:38" customFormat="1" ht="57.6" x14ac:dyDescent="0.3">
      <c r="A2110" s="140" t="s">
        <v>1487</v>
      </c>
      <c r="B2110" s="140">
        <v>4</v>
      </c>
      <c r="C2110" s="166" t="s">
        <v>697</v>
      </c>
      <c r="D2110" s="140" t="str">
        <f t="shared" si="234"/>
        <v>1</v>
      </c>
      <c r="E2110" s="166" t="s">
        <v>692</v>
      </c>
      <c r="F2110" s="140">
        <f t="shared" si="236"/>
        <v>1</v>
      </c>
      <c r="G2110" s="140" t="str">
        <f t="shared" si="235"/>
        <v>4.1.1</v>
      </c>
      <c r="H2110" s="166" t="s">
        <v>662</v>
      </c>
      <c r="I2110" s="166" t="s">
        <v>1394</v>
      </c>
      <c r="J2110" s="166" t="s">
        <v>435</v>
      </c>
      <c r="K2110" s="166" t="s">
        <v>1303</v>
      </c>
      <c r="L2110" s="177">
        <f>1480/7</f>
        <v>211.42857142857142</v>
      </c>
      <c r="M2110" s="166"/>
      <c r="N2110" s="166"/>
      <c r="O2110" s="164">
        <f t="shared" si="231"/>
        <v>0</v>
      </c>
      <c r="P2110" s="166"/>
      <c r="Q2110" s="166"/>
      <c r="R2110" s="164">
        <f>$L2110*'Pivot Objective'!$C$9*P2110*Q2110</f>
        <v>0</v>
      </c>
      <c r="S2110" s="166">
        <f>2*135*29</f>
        <v>7830</v>
      </c>
      <c r="T2110" s="166">
        <v>1</v>
      </c>
      <c r="U2110" s="164">
        <f>($L2110*'Pivot Objective'!$C$9^2)*S2110*T2110</f>
        <v>2162509.0625530141</v>
      </c>
      <c r="V2110" s="166"/>
      <c r="W2110" s="166"/>
      <c r="X2110" s="164">
        <f>($L2110*'Pivot Objective'!$C$9^3)*V2110*W2110</f>
        <v>0</v>
      </c>
      <c r="Y2110" s="166"/>
      <c r="Z2110" s="166"/>
      <c r="AA2110" s="164">
        <f>($L2110*'Pivot Objective'!$C$9^4)*Y2110*Z2110</f>
        <v>0</v>
      </c>
      <c r="AB2110" s="166"/>
      <c r="AC2110" s="166"/>
      <c r="AD2110" s="164">
        <f>($L2110*'Pivot Objective'!$C$9^5)*AB2110*AC2110</f>
        <v>0</v>
      </c>
      <c r="AE2110" s="166"/>
      <c r="AF2110" s="166"/>
      <c r="AG2110" s="164">
        <f>($L2110*'Pivot Objective'!$C$9^6)*AE2110*AF2110</f>
        <v>0</v>
      </c>
      <c r="AH2110" s="166"/>
      <c r="AI2110" s="166"/>
      <c r="AJ2110" s="164">
        <f>($L2110*'Pivot Objective'!$C$9^7)*AH2110*AI2110</f>
        <v>0</v>
      </c>
      <c r="AK2110" s="185">
        <f t="shared" si="232"/>
        <v>2162509.0625530141</v>
      </c>
      <c r="AL2110" s="186">
        <f t="shared" si="233"/>
        <v>2099.5233617019553</v>
      </c>
    </row>
    <row r="2111" spans="1:38" customFormat="1" ht="57.6" x14ac:dyDescent="0.3">
      <c r="A2111" s="140" t="s">
        <v>1487</v>
      </c>
      <c r="B2111" s="140">
        <v>4</v>
      </c>
      <c r="C2111" s="166" t="s">
        <v>697</v>
      </c>
      <c r="D2111" s="140" t="str">
        <f t="shared" si="234"/>
        <v>1</v>
      </c>
      <c r="E2111" s="166" t="s">
        <v>692</v>
      </c>
      <c r="F2111" s="140">
        <f t="shared" si="236"/>
        <v>1</v>
      </c>
      <c r="G2111" s="140" t="str">
        <f t="shared" si="235"/>
        <v>4.1.1</v>
      </c>
      <c r="H2111" s="166" t="s">
        <v>662</v>
      </c>
      <c r="I2111" s="166" t="s">
        <v>1394</v>
      </c>
      <c r="J2111" s="166" t="s">
        <v>435</v>
      </c>
      <c r="K2111" s="166" t="s">
        <v>712</v>
      </c>
      <c r="L2111" s="177">
        <f>1480/7</f>
        <v>211.42857142857142</v>
      </c>
      <c r="M2111" s="166"/>
      <c r="N2111" s="166"/>
      <c r="O2111" s="164">
        <f t="shared" si="231"/>
        <v>0</v>
      </c>
      <c r="P2111" s="166">
        <v>0</v>
      </c>
      <c r="Q2111" s="166">
        <v>0</v>
      </c>
      <c r="R2111" s="164">
        <f>$L2111*'Pivot Objective'!$C$9*P2111*Q2111</f>
        <v>0</v>
      </c>
      <c r="S2111" s="166">
        <f>2*25*29</f>
        <v>1450</v>
      </c>
      <c r="T2111" s="166">
        <v>1</v>
      </c>
      <c r="U2111" s="164">
        <f>($L2111*'Pivot Objective'!$C$9^2)*S2111*T2111</f>
        <v>400464.64121352119</v>
      </c>
      <c r="V2111" s="166">
        <v>0</v>
      </c>
      <c r="W2111" s="166">
        <v>0</v>
      </c>
      <c r="X2111" s="164">
        <f>($L2111*'Pivot Objective'!$C$9^3)*V2111*W2111</f>
        <v>0</v>
      </c>
      <c r="Y2111" s="166">
        <v>8000</v>
      </c>
      <c r="Z2111" s="166">
        <v>1</v>
      </c>
      <c r="AA2111" s="164">
        <f>($L2111*'Pivot Objective'!$C$9^4)*Y2111*Z2111</f>
        <v>2886148.4128570738</v>
      </c>
      <c r="AB2111" s="166">
        <v>0</v>
      </c>
      <c r="AC2111" s="166">
        <v>0</v>
      </c>
      <c r="AD2111" s="164">
        <f>($L2111*'Pivot Objective'!$C$9^5)*AB2111*AC2111</f>
        <v>0</v>
      </c>
      <c r="AE2111" s="166">
        <v>0</v>
      </c>
      <c r="AF2111" s="166">
        <v>0</v>
      </c>
      <c r="AG2111" s="164">
        <f>($L2111*'Pivot Objective'!$C$9^6)*AE2111*AF2111</f>
        <v>0</v>
      </c>
      <c r="AH2111" s="166">
        <v>0</v>
      </c>
      <c r="AI2111" s="166">
        <v>0</v>
      </c>
      <c r="AJ2111" s="164">
        <f>($L2111*'Pivot Objective'!$C$9^7)*AH2111*AI2111</f>
        <v>0</v>
      </c>
      <c r="AK2111" s="185">
        <f t="shared" si="232"/>
        <v>3286613.0540705952</v>
      </c>
      <c r="AL2111" s="186">
        <f t="shared" si="233"/>
        <v>3190.8864602627136</v>
      </c>
    </row>
    <row r="2112" spans="1:38" customFormat="1" ht="57.6" x14ac:dyDescent="0.3">
      <c r="A2112" s="140" t="s">
        <v>1487</v>
      </c>
      <c r="B2112" s="140">
        <v>4</v>
      </c>
      <c r="C2112" s="166" t="s">
        <v>697</v>
      </c>
      <c r="D2112" s="140" t="str">
        <f t="shared" si="234"/>
        <v>1</v>
      </c>
      <c r="E2112" s="166" t="s">
        <v>692</v>
      </c>
      <c r="F2112" s="140">
        <f t="shared" si="236"/>
        <v>1</v>
      </c>
      <c r="G2112" s="140" t="str">
        <f t="shared" si="235"/>
        <v>4.1.1</v>
      </c>
      <c r="H2112" s="166" t="s">
        <v>662</v>
      </c>
      <c r="I2112" s="166" t="s">
        <v>1394</v>
      </c>
      <c r="J2112" s="166" t="s">
        <v>436</v>
      </c>
      <c r="K2112" s="166" t="s">
        <v>709</v>
      </c>
      <c r="L2112" s="177">
        <v>35000</v>
      </c>
      <c r="M2112" s="166"/>
      <c r="N2112" s="166"/>
      <c r="O2112" s="164">
        <f t="shared" si="231"/>
        <v>0</v>
      </c>
      <c r="P2112" s="166">
        <v>0</v>
      </c>
      <c r="Q2112" s="166">
        <v>0</v>
      </c>
      <c r="R2112" s="164">
        <f>$L2112*'Pivot Objective'!$C$9*P2112*Q2112</f>
        <v>0</v>
      </c>
      <c r="S2112" s="166">
        <v>100</v>
      </c>
      <c r="T2112" s="166">
        <v>5</v>
      </c>
      <c r="U2112" s="164">
        <f>($L2112*'Pivot Objective'!$C$9^2)*S2112*T2112</f>
        <v>22859701.094434455</v>
      </c>
      <c r="V2112" s="166">
        <v>0</v>
      </c>
      <c r="W2112" s="166">
        <v>0</v>
      </c>
      <c r="X2112" s="164">
        <f>($L2112*'Pivot Objective'!$C$9^3)*V2112*W2112</f>
        <v>0</v>
      </c>
      <c r="Y2112" s="166">
        <v>40</v>
      </c>
      <c r="Z2112" s="166">
        <v>5</v>
      </c>
      <c r="AA2112" s="164">
        <f>($L2112*'Pivot Objective'!$C$9^4)*Y2112*Z2112</f>
        <v>11944364.20861458</v>
      </c>
      <c r="AB2112" s="166">
        <v>0</v>
      </c>
      <c r="AC2112" s="166">
        <v>0</v>
      </c>
      <c r="AD2112" s="164">
        <f>($L2112*'Pivot Objective'!$C$9^5)*AB2112*AC2112</f>
        <v>0</v>
      </c>
      <c r="AE2112" s="166">
        <v>0</v>
      </c>
      <c r="AF2112" s="166">
        <v>0</v>
      </c>
      <c r="AG2112" s="164">
        <f>($L2112*'Pivot Objective'!$C$9^6)*AE2112*AF2112</f>
        <v>0</v>
      </c>
      <c r="AH2112" s="166">
        <v>0</v>
      </c>
      <c r="AI2112" s="166">
        <v>0</v>
      </c>
      <c r="AJ2112" s="164">
        <f>($L2112*'Pivot Objective'!$C$9^7)*AH2112*AI2112</f>
        <v>0</v>
      </c>
      <c r="AK2112" s="185">
        <f t="shared" si="232"/>
        <v>34804065.303049035</v>
      </c>
      <c r="AL2112" s="186">
        <f t="shared" si="233"/>
        <v>33790.354663154401</v>
      </c>
    </row>
    <row r="2113" spans="1:38" customFormat="1" ht="57.6" x14ac:dyDescent="0.3">
      <c r="A2113" s="140" t="s">
        <v>1487</v>
      </c>
      <c r="B2113" s="140">
        <v>4</v>
      </c>
      <c r="C2113" s="166" t="s">
        <v>697</v>
      </c>
      <c r="D2113" s="140" t="str">
        <f t="shared" si="234"/>
        <v>1</v>
      </c>
      <c r="E2113" s="166" t="s">
        <v>692</v>
      </c>
      <c r="F2113" s="140">
        <f t="shared" si="236"/>
        <v>1</v>
      </c>
      <c r="G2113" s="140" t="str">
        <f t="shared" si="235"/>
        <v>4.1.1</v>
      </c>
      <c r="H2113" s="166" t="s">
        <v>662</v>
      </c>
      <c r="I2113" s="166" t="s">
        <v>1394</v>
      </c>
      <c r="J2113" s="166" t="s">
        <v>436</v>
      </c>
      <c r="K2113" s="166" t="s">
        <v>716</v>
      </c>
      <c r="L2113" s="177">
        <v>39000</v>
      </c>
      <c r="M2113" s="166"/>
      <c r="N2113" s="166"/>
      <c r="O2113" s="164">
        <f t="shared" si="231"/>
        <v>0</v>
      </c>
      <c r="P2113" s="166">
        <v>0</v>
      </c>
      <c r="Q2113" s="166">
        <v>0</v>
      </c>
      <c r="R2113" s="164">
        <f>$L2113*'Pivot Objective'!$C$9*P2113*Q2113</f>
        <v>0</v>
      </c>
      <c r="S2113" s="166">
        <v>58</v>
      </c>
      <c r="T2113" s="166">
        <v>6</v>
      </c>
      <c r="U2113" s="164">
        <f>($L2113*'Pivot Objective'!$C$9^2)*S2113*T2113</f>
        <v>17728677.900209397</v>
      </c>
      <c r="V2113" s="166">
        <v>0</v>
      </c>
      <c r="W2113" s="166">
        <v>0</v>
      </c>
      <c r="X2113" s="164">
        <f>($L2113*'Pivot Objective'!$C$9^3)*V2113*W2113</f>
        <v>0</v>
      </c>
      <c r="Y2113" s="166">
        <v>40</v>
      </c>
      <c r="Z2113" s="166">
        <v>5</v>
      </c>
      <c r="AA2113" s="164">
        <f>($L2113*'Pivot Objective'!$C$9^4)*Y2113*Z2113</f>
        <v>13309434.403884819</v>
      </c>
      <c r="AB2113" s="166">
        <v>0</v>
      </c>
      <c r="AC2113" s="166">
        <v>0</v>
      </c>
      <c r="AD2113" s="164">
        <f>($L2113*'Pivot Objective'!$C$9^5)*AB2113*AC2113</f>
        <v>0</v>
      </c>
      <c r="AE2113" s="166">
        <v>0</v>
      </c>
      <c r="AF2113" s="166">
        <v>0</v>
      </c>
      <c r="AG2113" s="164">
        <f>($L2113*'Pivot Objective'!$C$9^6)*AE2113*AF2113</f>
        <v>0</v>
      </c>
      <c r="AH2113" s="166">
        <v>0</v>
      </c>
      <c r="AI2113" s="166">
        <v>0</v>
      </c>
      <c r="AJ2113" s="164">
        <f>($L2113*'Pivot Objective'!$C$9^7)*AH2113*AI2113</f>
        <v>0</v>
      </c>
      <c r="AK2113" s="185">
        <f t="shared" si="232"/>
        <v>31038112.304094218</v>
      </c>
      <c r="AL2113" s="186">
        <f t="shared" si="233"/>
        <v>30134.089615625453</v>
      </c>
    </row>
    <row r="2114" spans="1:38" customFormat="1" ht="57.6" x14ac:dyDescent="0.3">
      <c r="A2114" s="140" t="s">
        <v>1487</v>
      </c>
      <c r="B2114" s="140">
        <v>4</v>
      </c>
      <c r="C2114" s="166" t="s">
        <v>697</v>
      </c>
      <c r="D2114" s="140" t="str">
        <f t="shared" si="234"/>
        <v>1</v>
      </c>
      <c r="E2114" s="166" t="s">
        <v>692</v>
      </c>
      <c r="F2114" s="140">
        <f t="shared" si="236"/>
        <v>1</v>
      </c>
      <c r="G2114" s="140" t="str">
        <f t="shared" si="235"/>
        <v>4.1.1</v>
      </c>
      <c r="H2114" s="166" t="s">
        <v>662</v>
      </c>
      <c r="I2114" s="166" t="s">
        <v>1394</v>
      </c>
      <c r="J2114" s="166" t="s">
        <v>436</v>
      </c>
      <c r="K2114" s="166" t="s">
        <v>1303</v>
      </c>
      <c r="L2114" s="177">
        <f>1480/7</f>
        <v>211.42857142857142</v>
      </c>
      <c r="M2114" s="166"/>
      <c r="N2114" s="166"/>
      <c r="O2114" s="164">
        <f t="shared" si="231"/>
        <v>0</v>
      </c>
      <c r="P2114" s="166">
        <v>0</v>
      </c>
      <c r="Q2114" s="166">
        <v>0</v>
      </c>
      <c r="R2114" s="164">
        <f>$L2114*'Pivot Objective'!$C$9*P2114*Q2114</f>
        <v>0</v>
      </c>
      <c r="S2114" s="166">
        <f>2*135*29</f>
        <v>7830</v>
      </c>
      <c r="T2114" s="166">
        <v>1</v>
      </c>
      <c r="U2114" s="164">
        <f>($L2114*'Pivot Objective'!$C$9^2)*S2114*T2114</f>
        <v>2162509.0625530141</v>
      </c>
      <c r="V2114" s="166">
        <v>0</v>
      </c>
      <c r="W2114" s="166">
        <v>0</v>
      </c>
      <c r="X2114" s="164">
        <f>($L2114*'Pivot Objective'!$C$9^3)*V2114*W2114</f>
        <v>0</v>
      </c>
      <c r="Y2114" s="166">
        <v>8000</v>
      </c>
      <c r="Z2114" s="166">
        <v>1</v>
      </c>
      <c r="AA2114" s="164">
        <f>($L2114*'Pivot Objective'!$C$9^4)*Y2114*Z2114</f>
        <v>2886148.4128570738</v>
      </c>
      <c r="AB2114" s="166">
        <v>0</v>
      </c>
      <c r="AC2114" s="166">
        <v>0</v>
      </c>
      <c r="AD2114" s="164">
        <f>($L2114*'Pivot Objective'!$C$9^5)*AB2114*AC2114</f>
        <v>0</v>
      </c>
      <c r="AE2114" s="166">
        <v>0</v>
      </c>
      <c r="AF2114" s="166">
        <v>0</v>
      </c>
      <c r="AG2114" s="164">
        <f>($L2114*'Pivot Objective'!$C$9^6)*AE2114*AF2114</f>
        <v>0</v>
      </c>
      <c r="AH2114" s="166">
        <v>0</v>
      </c>
      <c r="AI2114" s="166">
        <v>0</v>
      </c>
      <c r="AJ2114" s="164">
        <f>($L2114*'Pivot Objective'!$C$9^7)*AH2114*AI2114</f>
        <v>0</v>
      </c>
      <c r="AK2114" s="185">
        <f t="shared" si="232"/>
        <v>5048657.475410088</v>
      </c>
      <c r="AL2114" s="186">
        <f t="shared" si="233"/>
        <v>4901.6091994272701</v>
      </c>
    </row>
    <row r="2115" spans="1:38" customFormat="1" ht="57.6" x14ac:dyDescent="0.3">
      <c r="A2115" s="140" t="s">
        <v>1487</v>
      </c>
      <c r="B2115" s="140">
        <v>4</v>
      </c>
      <c r="C2115" s="166" t="s">
        <v>697</v>
      </c>
      <c r="D2115" s="140" t="str">
        <f t="shared" si="234"/>
        <v>1</v>
      </c>
      <c r="E2115" s="166" t="s">
        <v>692</v>
      </c>
      <c r="F2115" s="140">
        <f t="shared" si="236"/>
        <v>1</v>
      </c>
      <c r="G2115" s="140" t="str">
        <f t="shared" si="235"/>
        <v>4.1.1</v>
      </c>
      <c r="H2115" s="166" t="s">
        <v>662</v>
      </c>
      <c r="I2115" s="166" t="s">
        <v>1394</v>
      </c>
      <c r="J2115" s="166" t="s">
        <v>436</v>
      </c>
      <c r="K2115" s="166" t="s">
        <v>712</v>
      </c>
      <c r="L2115" s="177">
        <f>1480/7</f>
        <v>211.42857142857142</v>
      </c>
      <c r="M2115" s="166"/>
      <c r="N2115" s="166"/>
      <c r="O2115" s="164">
        <f t="shared" ref="O2115:O2178" si="237">$L2115*M2115*N2115</f>
        <v>0</v>
      </c>
      <c r="P2115" s="166">
        <v>0</v>
      </c>
      <c r="Q2115" s="166">
        <v>0</v>
      </c>
      <c r="R2115" s="164">
        <f>$L2115*'Pivot Objective'!$C$9*P2115*Q2115</f>
        <v>0</v>
      </c>
      <c r="S2115" s="166">
        <f>25*2*29</f>
        <v>1450</v>
      </c>
      <c r="T2115" s="166">
        <v>5</v>
      </c>
      <c r="U2115" s="164">
        <f>($L2115*'Pivot Objective'!$C$9^2)*S2115*T2115</f>
        <v>2002323.2060676059</v>
      </c>
      <c r="V2115" s="166">
        <v>0</v>
      </c>
      <c r="W2115" s="166">
        <v>0</v>
      </c>
      <c r="X2115" s="164">
        <f>($L2115*'Pivot Objective'!$C$9^3)*V2115*W2115</f>
        <v>0</v>
      </c>
      <c r="Y2115" s="166">
        <v>8000</v>
      </c>
      <c r="Z2115" s="166">
        <v>1</v>
      </c>
      <c r="AA2115" s="164">
        <f>($L2115*'Pivot Objective'!$C$9^4)*Y2115*Z2115</f>
        <v>2886148.4128570738</v>
      </c>
      <c r="AB2115" s="166">
        <v>0</v>
      </c>
      <c r="AC2115" s="166">
        <v>0</v>
      </c>
      <c r="AD2115" s="164">
        <f>($L2115*'Pivot Objective'!$C$9^5)*AB2115*AC2115</f>
        <v>0</v>
      </c>
      <c r="AE2115" s="166">
        <v>0</v>
      </c>
      <c r="AF2115" s="166">
        <v>0</v>
      </c>
      <c r="AG2115" s="164">
        <f>($L2115*'Pivot Objective'!$C$9^6)*AE2115*AF2115</f>
        <v>0</v>
      </c>
      <c r="AH2115" s="166">
        <v>0</v>
      </c>
      <c r="AI2115" s="166">
        <v>0</v>
      </c>
      <c r="AJ2115" s="164">
        <f>($L2115*'Pivot Objective'!$C$9^7)*AH2115*AI2115</f>
        <v>0</v>
      </c>
      <c r="AK2115" s="185">
        <f t="shared" ref="AK2115:AK2178" si="238">O2115+R2115+U2115+X2115+AA2115+AD2115+AG2115+AJ2115</f>
        <v>4888471.6189246792</v>
      </c>
      <c r="AL2115" s="186">
        <f t="shared" ref="AL2115:AL2178" si="239">AK2115/$AP$2</f>
        <v>4746.0889504123097</v>
      </c>
    </row>
    <row r="2116" spans="1:38" customFormat="1" ht="57.6" x14ac:dyDescent="0.3">
      <c r="A2116" s="140" t="s">
        <v>1487</v>
      </c>
      <c r="B2116" s="140">
        <v>4</v>
      </c>
      <c r="C2116" s="166" t="s">
        <v>697</v>
      </c>
      <c r="D2116" s="140" t="str">
        <f t="shared" si="234"/>
        <v>1</v>
      </c>
      <c r="E2116" s="166" t="s">
        <v>692</v>
      </c>
      <c r="F2116" s="140">
        <f t="shared" si="236"/>
        <v>1</v>
      </c>
      <c r="G2116" s="140" t="str">
        <f t="shared" si="235"/>
        <v>4.1.1</v>
      </c>
      <c r="H2116" s="166" t="s">
        <v>662</v>
      </c>
      <c r="I2116" s="166" t="s">
        <v>1394</v>
      </c>
      <c r="J2116" s="166" t="s">
        <v>437</v>
      </c>
      <c r="K2116" s="166" t="s">
        <v>718</v>
      </c>
      <c r="L2116" s="177">
        <v>0</v>
      </c>
      <c r="M2116" s="166"/>
      <c r="N2116" s="166"/>
      <c r="O2116" s="164">
        <f t="shared" si="237"/>
        <v>0</v>
      </c>
      <c r="P2116" s="166">
        <v>0</v>
      </c>
      <c r="Q2116" s="166">
        <v>0</v>
      </c>
      <c r="R2116" s="164">
        <f>$L2116*'Pivot Objective'!$C$9*P2116*Q2116</f>
        <v>0</v>
      </c>
      <c r="S2116" s="166">
        <v>0</v>
      </c>
      <c r="T2116" s="166">
        <v>0</v>
      </c>
      <c r="U2116" s="164">
        <f>($L2116*'Pivot Objective'!$C$9^2)*S2116*T2116</f>
        <v>0</v>
      </c>
      <c r="V2116" s="166">
        <v>0</v>
      </c>
      <c r="W2116" s="166">
        <v>0</v>
      </c>
      <c r="X2116" s="164">
        <f>($L2116*'Pivot Objective'!$C$9^3)*V2116*W2116</f>
        <v>0</v>
      </c>
      <c r="Y2116" s="166">
        <v>0</v>
      </c>
      <c r="Z2116" s="166">
        <v>0</v>
      </c>
      <c r="AA2116" s="164">
        <f>($L2116*'Pivot Objective'!$C$9^4)*Y2116*Z2116</f>
        <v>0</v>
      </c>
      <c r="AB2116" s="166">
        <v>0</v>
      </c>
      <c r="AC2116" s="166">
        <v>0</v>
      </c>
      <c r="AD2116" s="164">
        <f>($L2116*'Pivot Objective'!$C$9^5)*AB2116*AC2116</f>
        <v>0</v>
      </c>
      <c r="AE2116" s="166">
        <v>0</v>
      </c>
      <c r="AF2116" s="166">
        <v>0</v>
      </c>
      <c r="AG2116" s="164">
        <f>($L2116*'Pivot Objective'!$C$9^6)*AE2116*AF2116</f>
        <v>0</v>
      </c>
      <c r="AH2116" s="166">
        <v>0</v>
      </c>
      <c r="AI2116" s="166">
        <v>0</v>
      </c>
      <c r="AJ2116" s="164">
        <f>($L2116*'Pivot Objective'!$C$9^7)*AH2116*AI2116</f>
        <v>0</v>
      </c>
      <c r="AK2116" s="185">
        <f t="shared" si="238"/>
        <v>0</v>
      </c>
      <c r="AL2116" s="186">
        <f t="shared" si="239"/>
        <v>0</v>
      </c>
    </row>
    <row r="2117" spans="1:38" customFormat="1" ht="57.6" x14ac:dyDescent="0.3">
      <c r="A2117" s="140" t="s">
        <v>1487</v>
      </c>
      <c r="B2117" s="140">
        <v>4</v>
      </c>
      <c r="C2117" s="166" t="s">
        <v>697</v>
      </c>
      <c r="D2117" s="140" t="str">
        <f t="shared" si="234"/>
        <v>1</v>
      </c>
      <c r="E2117" s="166" t="s">
        <v>692</v>
      </c>
      <c r="F2117" s="140">
        <f t="shared" si="236"/>
        <v>1</v>
      </c>
      <c r="G2117" s="140" t="str">
        <f t="shared" si="235"/>
        <v>4.1.1</v>
      </c>
      <c r="H2117" s="166" t="s">
        <v>662</v>
      </c>
      <c r="I2117" s="166" t="s">
        <v>1394</v>
      </c>
      <c r="J2117" s="166" t="s">
        <v>438</v>
      </c>
      <c r="K2117" s="166" t="s">
        <v>716</v>
      </c>
      <c r="L2117" s="177">
        <v>39000</v>
      </c>
      <c r="M2117" s="166"/>
      <c r="N2117" s="166"/>
      <c r="O2117" s="164">
        <f t="shared" si="237"/>
        <v>0</v>
      </c>
      <c r="P2117" s="166">
        <v>0</v>
      </c>
      <c r="Q2117" s="166">
        <v>0</v>
      </c>
      <c r="R2117" s="164">
        <f>$L2117*'Pivot Objective'!$C$9*P2117*Q2117</f>
        <v>0</v>
      </c>
      <c r="S2117" s="166">
        <v>25</v>
      </c>
      <c r="T2117" s="166">
        <v>6</v>
      </c>
      <c r="U2117" s="164">
        <f>($L2117*'Pivot Objective'!$C$9^2)*S2117*T2117</f>
        <v>7641671.5087109469</v>
      </c>
      <c r="V2117" s="166">
        <v>0</v>
      </c>
      <c r="W2117" s="166">
        <v>0</v>
      </c>
      <c r="X2117" s="164">
        <f>($L2117*'Pivot Objective'!$C$9^3)*V2117*W2117</f>
        <v>0</v>
      </c>
      <c r="Y2117" s="166">
        <v>150</v>
      </c>
      <c r="Z2117" s="166">
        <v>3</v>
      </c>
      <c r="AA2117" s="164">
        <f>($L2117*'Pivot Objective'!$C$9^4)*Y2117*Z2117</f>
        <v>29946227.408740841</v>
      </c>
      <c r="AB2117" s="166">
        <v>0</v>
      </c>
      <c r="AC2117" s="166">
        <v>0</v>
      </c>
      <c r="AD2117" s="164">
        <f>($L2117*'Pivot Objective'!$C$9^5)*AB2117*AC2117</f>
        <v>0</v>
      </c>
      <c r="AE2117" s="166">
        <v>0</v>
      </c>
      <c r="AF2117" s="166">
        <v>0</v>
      </c>
      <c r="AG2117" s="164">
        <f>($L2117*'Pivot Objective'!$C$9^6)*AE2117*AF2117</f>
        <v>0</v>
      </c>
      <c r="AH2117" s="166">
        <v>0</v>
      </c>
      <c r="AI2117" s="166">
        <v>0</v>
      </c>
      <c r="AJ2117" s="164">
        <f>($L2117*'Pivot Objective'!$C$9^7)*AH2117*AI2117</f>
        <v>0</v>
      </c>
      <c r="AK2117" s="185">
        <f t="shared" si="238"/>
        <v>37587898.917451784</v>
      </c>
      <c r="AL2117" s="186">
        <f t="shared" si="239"/>
        <v>36493.105745098823</v>
      </c>
    </row>
    <row r="2118" spans="1:38" customFormat="1" ht="57.6" x14ac:dyDescent="0.3">
      <c r="A2118" s="140" t="s">
        <v>1487</v>
      </c>
      <c r="B2118" s="140">
        <v>4</v>
      </c>
      <c r="C2118" s="166" t="s">
        <v>697</v>
      </c>
      <c r="D2118" s="140" t="str">
        <f t="shared" si="234"/>
        <v>1</v>
      </c>
      <c r="E2118" s="166" t="s">
        <v>692</v>
      </c>
      <c r="F2118" s="140">
        <f t="shared" si="236"/>
        <v>1</v>
      </c>
      <c r="G2118" s="140" t="str">
        <f t="shared" si="235"/>
        <v>4.1.1</v>
      </c>
      <c r="H2118" s="166" t="s">
        <v>662</v>
      </c>
      <c r="I2118" s="166" t="s">
        <v>1394</v>
      </c>
      <c r="J2118" s="166" t="s">
        <v>438</v>
      </c>
      <c r="K2118" s="166" t="s">
        <v>709</v>
      </c>
      <c r="L2118" s="177">
        <v>35000</v>
      </c>
      <c r="M2118" s="166"/>
      <c r="N2118" s="166"/>
      <c r="O2118" s="164">
        <f t="shared" si="237"/>
        <v>0</v>
      </c>
      <c r="P2118" s="166">
        <v>0</v>
      </c>
      <c r="Q2118" s="166">
        <v>0</v>
      </c>
      <c r="R2118" s="164">
        <f>$L2118*'Pivot Objective'!$C$9*P2118*Q2118</f>
        <v>0</v>
      </c>
      <c r="S2118" s="166">
        <v>25</v>
      </c>
      <c r="T2118" s="166">
        <v>5</v>
      </c>
      <c r="U2118" s="164">
        <f>($L2118*'Pivot Objective'!$C$9^2)*S2118*T2118</f>
        <v>5714925.2736086138</v>
      </c>
      <c r="V2118" s="166">
        <v>0</v>
      </c>
      <c r="W2118" s="166">
        <v>0</v>
      </c>
      <c r="X2118" s="164">
        <f>($L2118*'Pivot Objective'!$C$9^3)*V2118*W2118</f>
        <v>0</v>
      </c>
      <c r="Y2118" s="166">
        <v>150</v>
      </c>
      <c r="Z2118" s="166">
        <v>3</v>
      </c>
      <c r="AA2118" s="164">
        <f>($L2118*'Pivot Objective'!$C$9^4)*Y2118*Z2118</f>
        <v>26874819.469382808</v>
      </c>
      <c r="AB2118" s="166">
        <v>0</v>
      </c>
      <c r="AC2118" s="166">
        <v>0</v>
      </c>
      <c r="AD2118" s="164">
        <f>($L2118*'Pivot Objective'!$C$9^5)*AB2118*AC2118</f>
        <v>0</v>
      </c>
      <c r="AE2118" s="166">
        <v>0</v>
      </c>
      <c r="AF2118" s="166">
        <v>0</v>
      </c>
      <c r="AG2118" s="164">
        <f>($L2118*'Pivot Objective'!$C$9^6)*AE2118*AF2118</f>
        <v>0</v>
      </c>
      <c r="AH2118" s="166">
        <v>0</v>
      </c>
      <c r="AI2118" s="166">
        <v>0</v>
      </c>
      <c r="AJ2118" s="164">
        <f>($L2118*'Pivot Objective'!$C$9^7)*AH2118*AI2118</f>
        <v>0</v>
      </c>
      <c r="AK2118" s="185">
        <f t="shared" si="238"/>
        <v>32589744.742991421</v>
      </c>
      <c r="AL2118" s="186">
        <f t="shared" si="239"/>
        <v>31640.5288766907</v>
      </c>
    </row>
    <row r="2119" spans="1:38" customFormat="1" ht="57.6" x14ac:dyDescent="0.3">
      <c r="A2119" s="140" t="s">
        <v>1487</v>
      </c>
      <c r="B2119" s="140">
        <v>4</v>
      </c>
      <c r="C2119" s="166" t="s">
        <v>697</v>
      </c>
      <c r="D2119" s="140" t="str">
        <f t="shared" si="234"/>
        <v>1</v>
      </c>
      <c r="E2119" s="166" t="s">
        <v>692</v>
      </c>
      <c r="F2119" s="140">
        <f t="shared" si="236"/>
        <v>1</v>
      </c>
      <c r="G2119" s="140" t="str">
        <f t="shared" si="235"/>
        <v>4.1.1</v>
      </c>
      <c r="H2119" s="166" t="s">
        <v>662</v>
      </c>
      <c r="I2119" s="166" t="s">
        <v>1394</v>
      </c>
      <c r="J2119" s="166" t="s">
        <v>438</v>
      </c>
      <c r="K2119" s="166" t="s">
        <v>712</v>
      </c>
      <c r="L2119" s="177">
        <f>1480/7</f>
        <v>211.42857142857142</v>
      </c>
      <c r="M2119" s="166"/>
      <c r="N2119" s="166"/>
      <c r="O2119" s="164">
        <f t="shared" si="237"/>
        <v>0</v>
      </c>
      <c r="P2119" s="166">
        <v>0</v>
      </c>
      <c r="Q2119" s="166">
        <v>0</v>
      </c>
      <c r="R2119" s="164">
        <f>$L2119*'Pivot Objective'!$C$9*P2119*Q2119</f>
        <v>0</v>
      </c>
      <c r="S2119" s="166">
        <f>25*2*9</f>
        <v>450</v>
      </c>
      <c r="T2119" s="166">
        <v>5</v>
      </c>
      <c r="U2119" s="164">
        <f>($L2119*'Pivot Objective'!$C$9^2)*S2119*T2119</f>
        <v>621410.65015891218</v>
      </c>
      <c r="V2119" s="166">
        <v>0</v>
      </c>
      <c r="W2119" s="166">
        <v>0</v>
      </c>
      <c r="X2119" s="164">
        <f>($L2119*'Pivot Objective'!$C$9^3)*V2119*W2119</f>
        <v>0</v>
      </c>
      <c r="Y2119" s="166">
        <v>28000</v>
      </c>
      <c r="Z2119" s="166">
        <v>1</v>
      </c>
      <c r="AA2119" s="164">
        <f>($L2119*'Pivot Objective'!$C$9^4)*Y2119*Z2119</f>
        <v>10101519.444999758</v>
      </c>
      <c r="AB2119" s="166">
        <v>0</v>
      </c>
      <c r="AC2119" s="166">
        <v>0</v>
      </c>
      <c r="AD2119" s="164">
        <f>($L2119*'Pivot Objective'!$C$9^5)*AB2119*AC2119</f>
        <v>0</v>
      </c>
      <c r="AE2119" s="166">
        <v>0</v>
      </c>
      <c r="AF2119" s="166">
        <v>0</v>
      </c>
      <c r="AG2119" s="164">
        <f>($L2119*'Pivot Objective'!$C$9^6)*AE2119*AF2119</f>
        <v>0</v>
      </c>
      <c r="AH2119" s="166">
        <v>0</v>
      </c>
      <c r="AI2119" s="166">
        <v>0</v>
      </c>
      <c r="AJ2119" s="164">
        <f>($L2119*'Pivot Objective'!$C$9^7)*AH2119*AI2119</f>
        <v>0</v>
      </c>
      <c r="AK2119" s="185">
        <f t="shared" si="238"/>
        <v>10722930.09515867</v>
      </c>
      <c r="AL2119" s="186">
        <f t="shared" si="239"/>
        <v>10410.611742872496</v>
      </c>
    </row>
    <row r="2120" spans="1:38" customFormat="1" ht="57.6" x14ac:dyDescent="0.3">
      <c r="A2120" s="140" t="s">
        <v>1487</v>
      </c>
      <c r="B2120" s="140">
        <v>4</v>
      </c>
      <c r="C2120" s="166" t="s">
        <v>697</v>
      </c>
      <c r="D2120" s="140" t="str">
        <f t="shared" si="234"/>
        <v>1</v>
      </c>
      <c r="E2120" s="166" t="s">
        <v>692</v>
      </c>
      <c r="F2120" s="140">
        <f t="shared" si="236"/>
        <v>1</v>
      </c>
      <c r="G2120" s="140" t="str">
        <f t="shared" si="235"/>
        <v>4.1.1</v>
      </c>
      <c r="H2120" s="166" t="s">
        <v>662</v>
      </c>
      <c r="I2120" s="166" t="s">
        <v>1394</v>
      </c>
      <c r="J2120" s="166" t="s">
        <v>438</v>
      </c>
      <c r="K2120" s="166" t="s">
        <v>1303</v>
      </c>
      <c r="L2120" s="177">
        <f>1480/7</f>
        <v>211.42857142857142</v>
      </c>
      <c r="M2120" s="166"/>
      <c r="N2120" s="166"/>
      <c r="O2120" s="164">
        <f t="shared" si="237"/>
        <v>0</v>
      </c>
      <c r="P2120" s="166">
        <v>0</v>
      </c>
      <c r="Q2120" s="166">
        <v>0</v>
      </c>
      <c r="R2120" s="164">
        <f>$L2120*'Pivot Objective'!$C$9*P2120*Q2120</f>
        <v>0</v>
      </c>
      <c r="S2120" s="166">
        <f>2*135*9</f>
        <v>2430</v>
      </c>
      <c r="T2120" s="166">
        <v>1</v>
      </c>
      <c r="U2120" s="164">
        <f>($L2120*'Pivot Objective'!$C$9^2)*S2120*T2120</f>
        <v>671123.50217162515</v>
      </c>
      <c r="V2120" s="166">
        <v>0</v>
      </c>
      <c r="W2120" s="166">
        <v>0</v>
      </c>
      <c r="X2120" s="164">
        <f>($L2120*'Pivot Objective'!$C$9^3)*V2120*W2120</f>
        <v>0</v>
      </c>
      <c r="Y2120" s="166">
        <v>28000</v>
      </c>
      <c r="Z2120" s="166">
        <v>1</v>
      </c>
      <c r="AA2120" s="164">
        <f>($L2120*'Pivot Objective'!$C$9^4)*Y2120*Z2120</f>
        <v>10101519.444999758</v>
      </c>
      <c r="AB2120" s="166">
        <v>0</v>
      </c>
      <c r="AC2120" s="166">
        <v>0</v>
      </c>
      <c r="AD2120" s="164">
        <f>($L2120*'Pivot Objective'!$C$9^5)*AB2120*AC2120</f>
        <v>0</v>
      </c>
      <c r="AE2120" s="166">
        <v>0</v>
      </c>
      <c r="AF2120" s="166">
        <v>0</v>
      </c>
      <c r="AG2120" s="164">
        <f>($L2120*'Pivot Objective'!$C$9^6)*AE2120*AF2120</f>
        <v>0</v>
      </c>
      <c r="AH2120" s="166">
        <v>0</v>
      </c>
      <c r="AI2120" s="166">
        <v>0</v>
      </c>
      <c r="AJ2120" s="164">
        <f>($L2120*'Pivot Objective'!$C$9^7)*AH2120*AI2120</f>
        <v>0</v>
      </c>
      <c r="AK2120" s="185">
        <f t="shared" si="238"/>
        <v>10772642.947171383</v>
      </c>
      <c r="AL2120" s="186">
        <f t="shared" si="239"/>
        <v>10458.876647739206</v>
      </c>
    </row>
    <row r="2121" spans="1:38" customFormat="1" ht="57.6" x14ac:dyDescent="0.3">
      <c r="A2121" s="140" t="s">
        <v>1487</v>
      </c>
      <c r="B2121" s="140">
        <v>4</v>
      </c>
      <c r="C2121" s="166" t="s">
        <v>697</v>
      </c>
      <c r="D2121" s="140" t="str">
        <f t="shared" si="234"/>
        <v>1</v>
      </c>
      <c r="E2121" s="166" t="s">
        <v>692</v>
      </c>
      <c r="F2121" s="140">
        <f t="shared" si="236"/>
        <v>1</v>
      </c>
      <c r="G2121" s="140" t="str">
        <f t="shared" si="235"/>
        <v>4.1.1</v>
      </c>
      <c r="H2121" s="166" t="s">
        <v>662</v>
      </c>
      <c r="I2121" s="166" t="s">
        <v>1394</v>
      </c>
      <c r="J2121" s="166" t="s">
        <v>439</v>
      </c>
      <c r="K2121" s="166" t="s">
        <v>707</v>
      </c>
      <c r="L2121" s="177">
        <v>391991.03749999998</v>
      </c>
      <c r="M2121" s="166"/>
      <c r="N2121" s="166"/>
      <c r="O2121" s="164">
        <f t="shared" si="237"/>
        <v>0</v>
      </c>
      <c r="P2121" s="166">
        <v>0</v>
      </c>
      <c r="Q2121" s="166">
        <v>0</v>
      </c>
      <c r="R2121" s="164">
        <f>$L2121*'Pivot Objective'!$C$9*P2121*Q2121</f>
        <v>0</v>
      </c>
      <c r="S2121" s="166">
        <v>2</v>
      </c>
      <c r="T2121" s="166">
        <v>2</v>
      </c>
      <c r="U2121" s="164">
        <f>($L2121*'Pivot Objective'!$C$9^2)*S2121*T2121</f>
        <v>2048182.3883307995</v>
      </c>
      <c r="V2121" s="166">
        <v>0</v>
      </c>
      <c r="W2121" s="166">
        <v>0</v>
      </c>
      <c r="X2121" s="164">
        <f>($L2121*'Pivot Objective'!$C$9^3)*V2121*W2121</f>
        <v>0</v>
      </c>
      <c r="Y2121" s="166">
        <v>1</v>
      </c>
      <c r="Z2121" s="166">
        <v>6</v>
      </c>
      <c r="AA2121" s="164">
        <f>($L2121*'Pivot Objective'!$C$9^4)*Y2121*Z2121</f>
        <v>4013214.6157823103</v>
      </c>
      <c r="AB2121" s="166">
        <v>0</v>
      </c>
      <c r="AC2121" s="166">
        <v>0</v>
      </c>
      <c r="AD2121" s="164">
        <f>($L2121*'Pivot Objective'!$C$9^5)*AB2121*AC2121</f>
        <v>0</v>
      </c>
      <c r="AE2121" s="166">
        <v>0</v>
      </c>
      <c r="AF2121" s="166">
        <v>0</v>
      </c>
      <c r="AG2121" s="164">
        <f>($L2121*'Pivot Objective'!$C$9^6)*AE2121*AF2121</f>
        <v>0</v>
      </c>
      <c r="AH2121" s="166">
        <v>0</v>
      </c>
      <c r="AI2121" s="166">
        <v>0</v>
      </c>
      <c r="AJ2121" s="164">
        <f>($L2121*'Pivot Objective'!$C$9^7)*AH2121*AI2121</f>
        <v>0</v>
      </c>
      <c r="AK2121" s="185">
        <f t="shared" si="238"/>
        <v>6061397.0041131098</v>
      </c>
      <c r="AL2121" s="186">
        <f t="shared" si="239"/>
        <v>5884.8514603039903</v>
      </c>
    </row>
    <row r="2122" spans="1:38" customFormat="1" ht="57.6" x14ac:dyDescent="0.3">
      <c r="A2122" s="140" t="s">
        <v>1487</v>
      </c>
      <c r="B2122" s="140">
        <v>4</v>
      </c>
      <c r="C2122" s="166" t="s">
        <v>697</v>
      </c>
      <c r="D2122" s="140" t="str">
        <f t="shared" si="234"/>
        <v>1</v>
      </c>
      <c r="E2122" s="166" t="s">
        <v>692</v>
      </c>
      <c r="F2122" s="140">
        <f t="shared" si="236"/>
        <v>1</v>
      </c>
      <c r="G2122" s="140" t="str">
        <f t="shared" si="235"/>
        <v>4.1.1</v>
      </c>
      <c r="H2122" s="166" t="s">
        <v>662</v>
      </c>
      <c r="I2122" s="166" t="s">
        <v>1394</v>
      </c>
      <c r="J2122" s="166" t="s">
        <v>439</v>
      </c>
      <c r="K2122" s="166" t="s">
        <v>741</v>
      </c>
      <c r="L2122" s="177">
        <f>42000*1022</f>
        <v>42924000</v>
      </c>
      <c r="M2122" s="166"/>
      <c r="N2122" s="166"/>
      <c r="O2122" s="164">
        <f t="shared" si="237"/>
        <v>0</v>
      </c>
      <c r="P2122" s="166"/>
      <c r="Q2122" s="166"/>
      <c r="R2122" s="164">
        <f>$L2122*'Pivot Objective'!$C$9*P2122*Q2122</f>
        <v>0</v>
      </c>
      <c r="S2122" s="166">
        <v>1</v>
      </c>
      <c r="T2122" s="166">
        <v>1</v>
      </c>
      <c r="U2122" s="164">
        <f>($L2122*'Pivot Objective'!$C$9^2)*S2122*T2122</f>
        <v>56070274.844428837</v>
      </c>
      <c r="V2122" s="166">
        <v>0</v>
      </c>
      <c r="W2122" s="166">
        <v>0</v>
      </c>
      <c r="X2122" s="164">
        <f>($L2122*'Pivot Objective'!$C$9^3)*V2122*W2122</f>
        <v>0</v>
      </c>
      <c r="Y2122" s="166">
        <v>1</v>
      </c>
      <c r="Z2122" s="166">
        <v>1</v>
      </c>
      <c r="AA2122" s="164">
        <f>($L2122*'Pivot Objective'!$C$9^4)*Y2122*Z2122</f>
        <v>73242841.327224612</v>
      </c>
      <c r="AB2122" s="166">
        <v>0</v>
      </c>
      <c r="AC2122" s="166">
        <v>0</v>
      </c>
      <c r="AD2122" s="164">
        <f>($L2122*'Pivot Objective'!$C$9^5)*AB2122*AC2122</f>
        <v>0</v>
      </c>
      <c r="AE2122" s="166">
        <v>0</v>
      </c>
      <c r="AF2122" s="166">
        <v>0</v>
      </c>
      <c r="AG2122" s="164">
        <f>($L2122*'Pivot Objective'!$C$9^6)*AE2122*AF2122</f>
        <v>0</v>
      </c>
      <c r="AH2122" s="166">
        <v>0</v>
      </c>
      <c r="AI2122" s="166">
        <v>0</v>
      </c>
      <c r="AJ2122" s="164">
        <f>($L2122*'Pivot Objective'!$C$9^7)*AH2122*AI2122</f>
        <v>0</v>
      </c>
      <c r="AK2122" s="185">
        <f t="shared" si="238"/>
        <v>129313116.17165345</v>
      </c>
      <c r="AL2122" s="186">
        <f t="shared" si="239"/>
        <v>125546.71472976063</v>
      </c>
    </row>
    <row r="2123" spans="1:38" customFormat="1" ht="72" x14ac:dyDescent="0.3">
      <c r="A2123" s="140" t="s">
        <v>1487</v>
      </c>
      <c r="B2123" s="140">
        <v>4</v>
      </c>
      <c r="C2123" s="166" t="s">
        <v>697</v>
      </c>
      <c r="D2123" s="140" t="str">
        <f t="shared" si="234"/>
        <v>1</v>
      </c>
      <c r="E2123" s="166" t="s">
        <v>692</v>
      </c>
      <c r="F2123" s="140">
        <f t="shared" si="236"/>
        <v>2</v>
      </c>
      <c r="G2123" s="140" t="str">
        <f t="shared" si="235"/>
        <v>4.1.2</v>
      </c>
      <c r="H2123" s="166" t="s">
        <v>663</v>
      </c>
      <c r="I2123" s="166" t="s">
        <v>81</v>
      </c>
      <c r="J2123" s="166" t="s">
        <v>440</v>
      </c>
      <c r="K2123" s="166" t="s">
        <v>718</v>
      </c>
      <c r="L2123" s="177">
        <v>0</v>
      </c>
      <c r="M2123" s="166">
        <v>0</v>
      </c>
      <c r="N2123" s="166">
        <v>0</v>
      </c>
      <c r="O2123" s="164">
        <f t="shared" si="237"/>
        <v>0</v>
      </c>
      <c r="P2123" s="166">
        <v>0</v>
      </c>
      <c r="Q2123" s="166">
        <v>0</v>
      </c>
      <c r="R2123" s="164">
        <f>$L2123*'Pivot Objective'!$C$9*P2123*Q2123</f>
        <v>0</v>
      </c>
      <c r="S2123" s="166">
        <v>0</v>
      </c>
      <c r="T2123" s="166">
        <v>0</v>
      </c>
      <c r="U2123" s="164">
        <f>($L2123*'Pivot Objective'!$C$9^2)*S2123*T2123</f>
        <v>0</v>
      </c>
      <c r="V2123" s="166">
        <v>0</v>
      </c>
      <c r="W2123" s="166">
        <v>0</v>
      </c>
      <c r="X2123" s="164">
        <f>($L2123*'Pivot Objective'!$C$9^3)*V2123*W2123</f>
        <v>0</v>
      </c>
      <c r="Y2123" s="166">
        <v>0</v>
      </c>
      <c r="Z2123" s="166">
        <v>0</v>
      </c>
      <c r="AA2123" s="164">
        <f>($L2123*'Pivot Objective'!$C$9^4)*Y2123*Z2123</f>
        <v>0</v>
      </c>
      <c r="AB2123" s="166">
        <v>0</v>
      </c>
      <c r="AC2123" s="166">
        <v>0</v>
      </c>
      <c r="AD2123" s="164">
        <f>($L2123*'Pivot Objective'!$C$9^5)*AB2123*AC2123</f>
        <v>0</v>
      </c>
      <c r="AE2123" s="166">
        <v>0</v>
      </c>
      <c r="AF2123" s="166">
        <v>0</v>
      </c>
      <c r="AG2123" s="164">
        <f>($L2123*'Pivot Objective'!$C$9^6)*AE2123*AF2123</f>
        <v>0</v>
      </c>
      <c r="AH2123" s="166">
        <v>0</v>
      </c>
      <c r="AI2123" s="166">
        <v>0</v>
      </c>
      <c r="AJ2123" s="164">
        <f>($L2123*'Pivot Objective'!$C$9^7)*AH2123*AI2123</f>
        <v>0</v>
      </c>
      <c r="AK2123" s="185">
        <f t="shared" si="238"/>
        <v>0</v>
      </c>
      <c r="AL2123" s="186">
        <f t="shared" si="239"/>
        <v>0</v>
      </c>
    </row>
    <row r="2124" spans="1:38" customFormat="1" ht="72" x14ac:dyDescent="0.3">
      <c r="A2124" s="140" t="s">
        <v>1487</v>
      </c>
      <c r="B2124" s="140">
        <v>4</v>
      </c>
      <c r="C2124" s="166" t="s">
        <v>697</v>
      </c>
      <c r="D2124" s="140" t="str">
        <f t="shared" si="234"/>
        <v>1</v>
      </c>
      <c r="E2124" s="166" t="s">
        <v>692</v>
      </c>
      <c r="F2124" s="140">
        <f t="shared" si="236"/>
        <v>2</v>
      </c>
      <c r="G2124" s="140" t="str">
        <f t="shared" si="235"/>
        <v>4.1.2</v>
      </c>
      <c r="H2124" s="166" t="s">
        <v>663</v>
      </c>
      <c r="I2124" s="166" t="s">
        <v>81</v>
      </c>
      <c r="J2124" s="166" t="s">
        <v>441</v>
      </c>
      <c r="K2124" s="166" t="s">
        <v>718</v>
      </c>
      <c r="L2124" s="177">
        <v>0</v>
      </c>
      <c r="M2124" s="166">
        <v>0</v>
      </c>
      <c r="N2124" s="166">
        <v>0</v>
      </c>
      <c r="O2124" s="164">
        <f t="shared" si="237"/>
        <v>0</v>
      </c>
      <c r="P2124" s="166">
        <v>0</v>
      </c>
      <c r="Q2124" s="166">
        <v>0</v>
      </c>
      <c r="R2124" s="164">
        <f>$L2124*'Pivot Objective'!$C$9*P2124*Q2124</f>
        <v>0</v>
      </c>
      <c r="S2124" s="166">
        <v>0</v>
      </c>
      <c r="T2124" s="166">
        <v>0</v>
      </c>
      <c r="U2124" s="164">
        <f>($L2124*'Pivot Objective'!$C$9^2)*S2124*T2124</f>
        <v>0</v>
      </c>
      <c r="V2124" s="166">
        <v>0</v>
      </c>
      <c r="W2124" s="166">
        <v>0</v>
      </c>
      <c r="X2124" s="164">
        <f>($L2124*'Pivot Objective'!$C$9^3)*V2124*W2124</f>
        <v>0</v>
      </c>
      <c r="Y2124" s="166">
        <v>0</v>
      </c>
      <c r="Z2124" s="166">
        <v>0</v>
      </c>
      <c r="AA2124" s="164">
        <f>($L2124*'Pivot Objective'!$C$9^4)*Y2124*Z2124</f>
        <v>0</v>
      </c>
      <c r="AB2124" s="166">
        <v>0</v>
      </c>
      <c r="AC2124" s="166">
        <v>0</v>
      </c>
      <c r="AD2124" s="164">
        <f>($L2124*'Pivot Objective'!$C$9^5)*AB2124*AC2124</f>
        <v>0</v>
      </c>
      <c r="AE2124" s="166">
        <v>0</v>
      </c>
      <c r="AF2124" s="166">
        <v>0</v>
      </c>
      <c r="AG2124" s="164">
        <f>($L2124*'Pivot Objective'!$C$9^6)*AE2124*AF2124</f>
        <v>0</v>
      </c>
      <c r="AH2124" s="166">
        <v>0</v>
      </c>
      <c r="AI2124" s="166">
        <v>0</v>
      </c>
      <c r="AJ2124" s="164">
        <f>($L2124*'Pivot Objective'!$C$9^7)*AH2124*AI2124</f>
        <v>0</v>
      </c>
      <c r="AK2124" s="185">
        <f t="shared" si="238"/>
        <v>0</v>
      </c>
      <c r="AL2124" s="186">
        <f t="shared" si="239"/>
        <v>0</v>
      </c>
    </row>
    <row r="2125" spans="1:38" customFormat="1" ht="72" x14ac:dyDescent="0.3">
      <c r="A2125" s="140" t="s">
        <v>1487</v>
      </c>
      <c r="B2125" s="140">
        <v>4</v>
      </c>
      <c r="C2125" s="166" t="s">
        <v>697</v>
      </c>
      <c r="D2125" s="140" t="str">
        <f t="shared" si="234"/>
        <v>1</v>
      </c>
      <c r="E2125" s="166" t="s">
        <v>692</v>
      </c>
      <c r="F2125" s="140">
        <f t="shared" si="236"/>
        <v>2</v>
      </c>
      <c r="G2125" s="140" t="str">
        <f t="shared" si="235"/>
        <v>4.1.2</v>
      </c>
      <c r="H2125" s="166" t="s">
        <v>663</v>
      </c>
      <c r="I2125" s="166" t="s">
        <v>81</v>
      </c>
      <c r="J2125" s="166" t="s">
        <v>149</v>
      </c>
      <c r="K2125" s="166" t="s">
        <v>707</v>
      </c>
      <c r="L2125" s="177">
        <v>391991.03749999998</v>
      </c>
      <c r="M2125" s="140"/>
      <c r="N2125" s="140"/>
      <c r="O2125" s="164">
        <f t="shared" si="237"/>
        <v>0</v>
      </c>
      <c r="P2125" s="166">
        <v>2</v>
      </c>
      <c r="Q2125" s="166">
        <v>2</v>
      </c>
      <c r="R2125" s="164">
        <f>$L2125*'Pivot Objective'!$C$9*P2125*Q2125</f>
        <v>1792059.3063746723</v>
      </c>
      <c r="S2125" s="166">
        <v>2</v>
      </c>
      <c r="T2125" s="166">
        <v>2</v>
      </c>
      <c r="U2125" s="164">
        <f>($L2125*'Pivot Objective'!$C$9^2)*S2125*T2125</f>
        <v>2048182.3883307995</v>
      </c>
      <c r="V2125" s="166">
        <v>2</v>
      </c>
      <c r="W2125" s="166">
        <v>2</v>
      </c>
      <c r="X2125" s="164">
        <f>($L2125*'Pivot Objective'!$C$9^3)*V2125*W2125</f>
        <v>2340910.8621271173</v>
      </c>
      <c r="Y2125" s="166">
        <v>2</v>
      </c>
      <c r="Z2125" s="166">
        <v>2</v>
      </c>
      <c r="AA2125" s="164">
        <f>($L2125*'Pivot Objective'!$C$9^4)*Y2125*Z2125</f>
        <v>2675476.4105215403</v>
      </c>
      <c r="AB2125" s="166">
        <v>2</v>
      </c>
      <c r="AC2125" s="166">
        <v>2</v>
      </c>
      <c r="AD2125" s="164">
        <f>($L2125*'Pivot Objective'!$C$9^5)*AB2125*AC2125</f>
        <v>3057858.4341109009</v>
      </c>
      <c r="AE2125" s="166">
        <v>2</v>
      </c>
      <c r="AF2125" s="166">
        <v>2</v>
      </c>
      <c r="AG2125" s="164">
        <f>($L2125*'Pivot Objective'!$C$9^6)*AE2125*AF2125</f>
        <v>3494890.915984733</v>
      </c>
      <c r="AH2125" s="166">
        <v>2</v>
      </c>
      <c r="AI2125" s="166">
        <v>2</v>
      </c>
      <c r="AJ2125" s="164">
        <f>($L2125*'Pivot Objective'!$C$9^7)*AH2125*AI2125</f>
        <v>3994384.5595926056</v>
      </c>
      <c r="AK2125" s="185">
        <f t="shared" si="238"/>
        <v>19403762.877042368</v>
      </c>
      <c r="AL2125" s="186">
        <f t="shared" si="239"/>
        <v>18838.60473499259</v>
      </c>
    </row>
    <row r="2126" spans="1:38" customFormat="1" ht="72" x14ac:dyDescent="0.3">
      <c r="A2126" s="140" t="s">
        <v>1487</v>
      </c>
      <c r="B2126" s="140">
        <v>4</v>
      </c>
      <c r="C2126" s="166" t="s">
        <v>697</v>
      </c>
      <c r="D2126" s="140" t="str">
        <f t="shared" si="234"/>
        <v>1</v>
      </c>
      <c r="E2126" s="166" t="s">
        <v>692</v>
      </c>
      <c r="F2126" s="140">
        <f t="shared" si="236"/>
        <v>2</v>
      </c>
      <c r="G2126" s="140" t="str">
        <f t="shared" si="235"/>
        <v>4.1.2</v>
      </c>
      <c r="H2126" s="166" t="s">
        <v>663</v>
      </c>
      <c r="I2126" s="166" t="s">
        <v>81</v>
      </c>
      <c r="J2126" s="166" t="s">
        <v>149</v>
      </c>
      <c r="K2126" s="166" t="s">
        <v>708</v>
      </c>
      <c r="L2126" s="177">
        <f>500*1022</f>
        <v>511000</v>
      </c>
      <c r="M2126" s="140"/>
      <c r="N2126" s="140"/>
      <c r="O2126" s="164">
        <f t="shared" si="237"/>
        <v>0</v>
      </c>
      <c r="P2126" s="166">
        <v>1</v>
      </c>
      <c r="Q2126" s="166">
        <v>25</v>
      </c>
      <c r="R2126" s="164">
        <f>$L2126*'Pivot Objective'!$C$9*P2126*Q2126</f>
        <v>14600817.014174998</v>
      </c>
      <c r="S2126" s="166">
        <v>1</v>
      </c>
      <c r="T2126" s="166">
        <v>25</v>
      </c>
      <c r="U2126" s="164">
        <f>($L2126*'Pivot Objective'!$C$9^2)*S2126*T2126</f>
        <v>16687581.798937155</v>
      </c>
      <c r="V2126" s="166">
        <v>1</v>
      </c>
      <c r="W2126" s="166">
        <v>25</v>
      </c>
      <c r="X2126" s="164">
        <f>($L2126*'Pivot Objective'!$C$9^3)*V2126*W2126</f>
        <v>19072589.295918483</v>
      </c>
      <c r="Y2126" s="166">
        <v>1</v>
      </c>
      <c r="Z2126" s="166">
        <v>25</v>
      </c>
      <c r="AA2126" s="164">
        <f>($L2126*'Pivot Objective'!$C$9^4)*Y2126*Z2126</f>
        <v>21798464.680721607</v>
      </c>
      <c r="AB2126" s="166">
        <v>1</v>
      </c>
      <c r="AC2126" s="166">
        <v>25</v>
      </c>
      <c r="AD2126" s="164">
        <f>($L2126*'Pivot Objective'!$C$9^5)*AB2126*AC2126</f>
        <v>24913925.165806092</v>
      </c>
      <c r="AE2126" s="166">
        <v>1</v>
      </c>
      <c r="AF2126" s="166">
        <v>25</v>
      </c>
      <c r="AG2126" s="164">
        <f>($L2126*'Pivot Objective'!$C$9^6)*AE2126*AF2126</f>
        <v>28474650.681079004</v>
      </c>
      <c r="AH2126" s="166">
        <v>1</v>
      </c>
      <c r="AI2126" s="166">
        <v>25</v>
      </c>
      <c r="AJ2126" s="164">
        <f>($L2126*'Pivot Objective'!$C$9^7)*AH2126*AI2126</f>
        <v>32544278.993110616</v>
      </c>
      <c r="AK2126" s="185">
        <f t="shared" si="238"/>
        <v>158092307.62974796</v>
      </c>
      <c r="AL2126" s="186">
        <f t="shared" si="239"/>
        <v>153487.6773104349</v>
      </c>
    </row>
    <row r="2127" spans="1:38" customFormat="1" ht="72" x14ac:dyDescent="0.3">
      <c r="A2127" s="140" t="s">
        <v>1487</v>
      </c>
      <c r="B2127" s="140">
        <v>4</v>
      </c>
      <c r="C2127" s="166" t="s">
        <v>697</v>
      </c>
      <c r="D2127" s="140" t="str">
        <f t="shared" si="234"/>
        <v>1</v>
      </c>
      <c r="E2127" s="166" t="s">
        <v>692</v>
      </c>
      <c r="F2127" s="140">
        <f t="shared" si="236"/>
        <v>2</v>
      </c>
      <c r="G2127" s="140" t="str">
        <f t="shared" si="235"/>
        <v>4.1.2</v>
      </c>
      <c r="H2127" s="166" t="s">
        <v>663</v>
      </c>
      <c r="I2127" s="166" t="s">
        <v>81</v>
      </c>
      <c r="J2127" s="166" t="s">
        <v>442</v>
      </c>
      <c r="K2127" s="166" t="s">
        <v>709</v>
      </c>
      <c r="L2127" s="177">
        <v>35000</v>
      </c>
      <c r="M2127" s="140"/>
      <c r="N2127" s="140"/>
      <c r="O2127" s="164">
        <f t="shared" si="237"/>
        <v>0</v>
      </c>
      <c r="P2127" s="166">
        <v>150</v>
      </c>
      <c r="Q2127" s="166">
        <v>3</v>
      </c>
      <c r="R2127" s="164">
        <f>$L2127*'Pivot Objective'!$C$9*P2127*Q2127</f>
        <v>18001007.277749997</v>
      </c>
      <c r="S2127" s="166">
        <v>150</v>
      </c>
      <c r="T2127" s="166">
        <v>3</v>
      </c>
      <c r="U2127" s="164">
        <f>($L2127*'Pivot Objective'!$C$9^2)*S2127*T2127</f>
        <v>20573730.984991007</v>
      </c>
      <c r="V2127" s="166">
        <v>150</v>
      </c>
      <c r="W2127" s="166">
        <v>3</v>
      </c>
      <c r="X2127" s="164">
        <f>($L2127*'Pivot Objective'!$C$9^3)*V2127*W2127</f>
        <v>23514151.186748818</v>
      </c>
      <c r="Y2127" s="166">
        <v>150</v>
      </c>
      <c r="Z2127" s="166">
        <v>3</v>
      </c>
      <c r="AA2127" s="164">
        <f>($L2127*'Pivot Objective'!$C$9^4)*Y2127*Z2127</f>
        <v>26874819.469382808</v>
      </c>
      <c r="AB2127" s="166">
        <v>150</v>
      </c>
      <c r="AC2127" s="166">
        <v>3</v>
      </c>
      <c r="AD2127" s="164">
        <f>($L2127*'Pivot Objective'!$C$9^5)*AB2127*AC2127</f>
        <v>30715798.149623945</v>
      </c>
      <c r="AE2127" s="166">
        <v>150</v>
      </c>
      <c r="AF2127" s="166">
        <v>3</v>
      </c>
      <c r="AG2127" s="164">
        <f>($L2127*'Pivot Objective'!$C$9^6)*AE2127*AF2127</f>
        <v>35105733.716398776</v>
      </c>
      <c r="AH2127" s="166">
        <v>150</v>
      </c>
      <c r="AI2127" s="166">
        <v>3</v>
      </c>
      <c r="AJ2127" s="164">
        <f>($L2127*'Pivot Objective'!$C$9^7)*AH2127*AI2127</f>
        <v>40123083.690136373</v>
      </c>
      <c r="AK2127" s="185">
        <f t="shared" si="238"/>
        <v>194908324.47503173</v>
      </c>
      <c r="AL2127" s="186">
        <f t="shared" si="239"/>
        <v>189231.3829854677</v>
      </c>
    </row>
    <row r="2128" spans="1:38" customFormat="1" ht="72" x14ac:dyDescent="0.3">
      <c r="A2128" s="140" t="s">
        <v>1487</v>
      </c>
      <c r="B2128" s="140">
        <v>4</v>
      </c>
      <c r="C2128" s="166" t="s">
        <v>697</v>
      </c>
      <c r="D2128" s="140" t="str">
        <f t="shared" si="234"/>
        <v>1</v>
      </c>
      <c r="E2128" s="166" t="s">
        <v>692</v>
      </c>
      <c r="F2128" s="140">
        <f t="shared" si="236"/>
        <v>2</v>
      </c>
      <c r="G2128" s="140" t="str">
        <f t="shared" si="235"/>
        <v>4.1.2</v>
      </c>
      <c r="H2128" s="166" t="s">
        <v>663</v>
      </c>
      <c r="I2128" s="166" t="s">
        <v>81</v>
      </c>
      <c r="J2128" s="166" t="s">
        <v>442</v>
      </c>
      <c r="K2128" s="166" t="s">
        <v>716</v>
      </c>
      <c r="L2128" s="177">
        <v>39000</v>
      </c>
      <c r="M2128" s="140"/>
      <c r="N2128" s="140"/>
      <c r="O2128" s="164">
        <f t="shared" si="237"/>
        <v>0</v>
      </c>
      <c r="P2128" s="166">
        <v>150</v>
      </c>
      <c r="Q2128" s="166">
        <v>3</v>
      </c>
      <c r="R2128" s="164">
        <f>$L2128*'Pivot Objective'!$C$9*P2128*Q2128</f>
        <v>20058265.252349999</v>
      </c>
      <c r="S2128" s="166">
        <v>150</v>
      </c>
      <c r="T2128" s="166">
        <v>3</v>
      </c>
      <c r="U2128" s="164">
        <f>($L2128*'Pivot Objective'!$C$9^2)*S2128*T2128</f>
        <v>22925014.526132841</v>
      </c>
      <c r="V2128" s="166">
        <v>150</v>
      </c>
      <c r="W2128" s="166">
        <v>3</v>
      </c>
      <c r="X2128" s="164">
        <f>($L2128*'Pivot Objective'!$C$9^3)*V2128*W2128</f>
        <v>26201482.750948675</v>
      </c>
      <c r="Y2128" s="166">
        <v>150</v>
      </c>
      <c r="Z2128" s="166">
        <v>3</v>
      </c>
      <c r="AA2128" s="164">
        <f>($L2128*'Pivot Objective'!$C$9^4)*Y2128*Z2128</f>
        <v>29946227.408740841</v>
      </c>
      <c r="AB2128" s="166">
        <v>150</v>
      </c>
      <c r="AC2128" s="166">
        <v>3</v>
      </c>
      <c r="AD2128" s="164">
        <f>($L2128*'Pivot Objective'!$C$9^5)*AB2128*AC2128</f>
        <v>34226175.081009544</v>
      </c>
      <c r="AE2128" s="166">
        <v>150</v>
      </c>
      <c r="AF2128" s="166">
        <v>3</v>
      </c>
      <c r="AG2128" s="164">
        <f>($L2128*'Pivot Objective'!$C$9^6)*AE2128*AF2128</f>
        <v>39117817.569701493</v>
      </c>
      <c r="AH2128" s="166">
        <v>150</v>
      </c>
      <c r="AI2128" s="166">
        <v>3</v>
      </c>
      <c r="AJ2128" s="164">
        <f>($L2128*'Pivot Objective'!$C$9^7)*AH2128*AI2128</f>
        <v>44708578.969009094</v>
      </c>
      <c r="AK2128" s="185">
        <f t="shared" si="238"/>
        <v>217183561.5578925</v>
      </c>
      <c r="AL2128" s="186">
        <f t="shared" si="239"/>
        <v>210857.82675523544</v>
      </c>
    </row>
    <row r="2129" spans="1:38" customFormat="1" ht="72" x14ac:dyDescent="0.3">
      <c r="A2129" s="140" t="s">
        <v>1487</v>
      </c>
      <c r="B2129" s="140">
        <v>4</v>
      </c>
      <c r="C2129" s="166" t="s">
        <v>697</v>
      </c>
      <c r="D2129" s="140" t="str">
        <f t="shared" si="234"/>
        <v>1</v>
      </c>
      <c r="E2129" s="166" t="s">
        <v>692</v>
      </c>
      <c r="F2129" s="140">
        <f t="shared" si="236"/>
        <v>2</v>
      </c>
      <c r="G2129" s="140" t="str">
        <f t="shared" si="235"/>
        <v>4.1.2</v>
      </c>
      <c r="H2129" s="166" t="s">
        <v>663</v>
      </c>
      <c r="I2129" s="166" t="s">
        <v>81</v>
      </c>
      <c r="J2129" s="166" t="s">
        <v>442</v>
      </c>
      <c r="K2129" s="166" t="s">
        <v>712</v>
      </c>
      <c r="L2129" s="177">
        <f>1480/7</f>
        <v>211.42857142857142</v>
      </c>
      <c r="M2129" s="140"/>
      <c r="N2129" s="140"/>
      <c r="O2129" s="164">
        <f t="shared" si="237"/>
        <v>0</v>
      </c>
      <c r="P2129" s="166">
        <f>25*2*75</f>
        <v>3750</v>
      </c>
      <c r="Q2129" s="166">
        <v>2</v>
      </c>
      <c r="R2129" s="164">
        <f>$L2129*'Pivot Objective'!$C$9*P2129*Q2129</f>
        <v>1812346.3109571426</v>
      </c>
      <c r="S2129" s="166">
        <f>25*2*75</f>
        <v>3750</v>
      </c>
      <c r="T2129" s="166">
        <v>2</v>
      </c>
      <c r="U2129" s="164">
        <f>($L2129*'Pivot Objective'!$C$9^2)*S2129*T2129</f>
        <v>2071368.8338630404</v>
      </c>
      <c r="V2129" s="166">
        <f>25*2*75</f>
        <v>3750</v>
      </c>
      <c r="W2129" s="166">
        <v>2</v>
      </c>
      <c r="X2129" s="164">
        <f>($L2129*'Pivot Objective'!$C$9^3)*V2129*W2129</f>
        <v>2367411.1398903565</v>
      </c>
      <c r="Y2129" s="166">
        <f>25*2*75</f>
        <v>3750</v>
      </c>
      <c r="Z2129" s="166">
        <v>2</v>
      </c>
      <c r="AA2129" s="164">
        <f>($L2129*'Pivot Objective'!$C$9^4)*Y2129*Z2129</f>
        <v>2705764.1370535064</v>
      </c>
      <c r="AB2129" s="166">
        <f>25*2*75</f>
        <v>3750</v>
      </c>
      <c r="AC2129" s="166">
        <v>2</v>
      </c>
      <c r="AD2129" s="164">
        <f>($L2129*'Pivot Objective'!$C$9^5)*AB2129*AC2129</f>
        <v>3092474.9157444523</v>
      </c>
      <c r="AE2129" s="166">
        <v>3750</v>
      </c>
      <c r="AF2129" s="166">
        <v>2</v>
      </c>
      <c r="AG2129" s="164">
        <f>($L2129*'Pivot Objective'!$C$9^6)*AE2129*AF2129</f>
        <v>3534454.8231476313</v>
      </c>
      <c r="AH2129" s="166">
        <v>3750</v>
      </c>
      <c r="AI2129" s="166">
        <v>2</v>
      </c>
      <c r="AJ2129" s="164">
        <f>($L2129*'Pivot Objective'!$C$9^7)*AH2129*AI2129</f>
        <v>4039602.9837688315</v>
      </c>
      <c r="AK2129" s="185">
        <f t="shared" si="238"/>
        <v>19623423.14442496</v>
      </c>
      <c r="AL2129" s="186">
        <f t="shared" si="239"/>
        <v>19051.867130509669</v>
      </c>
    </row>
    <row r="2130" spans="1:38" customFormat="1" ht="72" x14ac:dyDescent="0.3">
      <c r="A2130" s="140" t="s">
        <v>1487</v>
      </c>
      <c r="B2130" s="140">
        <v>4</v>
      </c>
      <c r="C2130" s="166" t="s">
        <v>697</v>
      </c>
      <c r="D2130" s="140" t="str">
        <f t="shared" si="234"/>
        <v>1</v>
      </c>
      <c r="E2130" s="166" t="s">
        <v>692</v>
      </c>
      <c r="F2130" s="140">
        <f t="shared" si="236"/>
        <v>2</v>
      </c>
      <c r="G2130" s="140" t="str">
        <f t="shared" si="235"/>
        <v>4.1.2</v>
      </c>
      <c r="H2130" s="166" t="s">
        <v>663</v>
      </c>
      <c r="I2130" s="166" t="s">
        <v>81</v>
      </c>
      <c r="J2130" s="166" t="s">
        <v>442</v>
      </c>
      <c r="K2130" s="166" t="s">
        <v>1303</v>
      </c>
      <c r="L2130" s="177">
        <f>1480/7</f>
        <v>211.42857142857142</v>
      </c>
      <c r="M2130" s="140"/>
      <c r="N2130" s="140"/>
      <c r="O2130" s="164">
        <f t="shared" si="237"/>
        <v>0</v>
      </c>
      <c r="P2130" s="140">
        <f>2*25*75</f>
        <v>3750</v>
      </c>
      <c r="Q2130" s="166">
        <v>1</v>
      </c>
      <c r="R2130" s="164">
        <f>$L2130*'Pivot Objective'!$C$9*P2130*Q2130</f>
        <v>906173.15547857131</v>
      </c>
      <c r="S2130" s="140">
        <f>2*25*75</f>
        <v>3750</v>
      </c>
      <c r="T2130" s="166">
        <v>1</v>
      </c>
      <c r="U2130" s="164">
        <f>($L2130*'Pivot Objective'!$C$9^2)*S2130*T2130</f>
        <v>1035684.4169315202</v>
      </c>
      <c r="V2130" s="140">
        <f>2*25*75</f>
        <v>3750</v>
      </c>
      <c r="W2130" s="166">
        <v>1</v>
      </c>
      <c r="X2130" s="164">
        <f>($L2130*'Pivot Objective'!$C$9^3)*V2130*W2130</f>
        <v>1183705.5699451782</v>
      </c>
      <c r="Y2130" s="140">
        <f>2*25*75</f>
        <v>3750</v>
      </c>
      <c r="Z2130" s="166">
        <v>1</v>
      </c>
      <c r="AA2130" s="164">
        <f>($L2130*'Pivot Objective'!$C$9^4)*Y2130*Z2130</f>
        <v>1352882.0685267532</v>
      </c>
      <c r="AB2130" s="166">
        <f>2*25*75</f>
        <v>3750</v>
      </c>
      <c r="AC2130" s="166">
        <v>1</v>
      </c>
      <c r="AD2130" s="164">
        <f>($L2130*'Pivot Objective'!$C$9^5)*AB2130*AC2130</f>
        <v>1546237.4578722261</v>
      </c>
      <c r="AE2130" s="166">
        <v>3750</v>
      </c>
      <c r="AF2130" s="166">
        <v>1</v>
      </c>
      <c r="AG2130" s="164">
        <f>($L2130*'Pivot Objective'!$C$9^6)*AE2130*AF2130</f>
        <v>1767227.4115738156</v>
      </c>
      <c r="AH2130" s="166">
        <v>3750</v>
      </c>
      <c r="AI2130" s="166">
        <v>1</v>
      </c>
      <c r="AJ2130" s="164">
        <f>($L2130*'Pivot Objective'!$C$9^7)*AH2130*AI2130</f>
        <v>2019801.4918844157</v>
      </c>
      <c r="AK2130" s="185">
        <f t="shared" si="238"/>
        <v>9811711.57221248</v>
      </c>
      <c r="AL2130" s="186">
        <f t="shared" si="239"/>
        <v>9525.9335652548343</v>
      </c>
    </row>
    <row r="2131" spans="1:38" customFormat="1" ht="72" x14ac:dyDescent="0.3">
      <c r="A2131" s="140" t="s">
        <v>1487</v>
      </c>
      <c r="B2131" s="140">
        <v>4</v>
      </c>
      <c r="C2131" s="166" t="s">
        <v>697</v>
      </c>
      <c r="D2131" s="140" t="str">
        <f t="shared" si="234"/>
        <v>1</v>
      </c>
      <c r="E2131" s="166" t="s">
        <v>692</v>
      </c>
      <c r="F2131" s="140">
        <f t="shared" si="236"/>
        <v>2</v>
      </c>
      <c r="G2131" s="140" t="str">
        <f t="shared" si="235"/>
        <v>4.1.2</v>
      </c>
      <c r="H2131" s="166" t="s">
        <v>663</v>
      </c>
      <c r="I2131" s="166" t="s">
        <v>81</v>
      </c>
      <c r="J2131" s="166" t="s">
        <v>443</v>
      </c>
      <c r="K2131" s="166" t="s">
        <v>716</v>
      </c>
      <c r="L2131" s="177">
        <v>39000</v>
      </c>
      <c r="M2131" s="140"/>
      <c r="N2131" s="140"/>
      <c r="O2131" s="164">
        <f t="shared" si="237"/>
        <v>0</v>
      </c>
      <c r="P2131" s="166">
        <v>15</v>
      </c>
      <c r="Q2131" s="166">
        <v>5</v>
      </c>
      <c r="R2131" s="164">
        <f>$L2131*'Pivot Objective'!$C$9*P2131*Q2131</f>
        <v>3343044.2087249993</v>
      </c>
      <c r="S2131" s="166">
        <v>15</v>
      </c>
      <c r="T2131" s="166">
        <v>5</v>
      </c>
      <c r="U2131" s="164">
        <f>($L2131*'Pivot Objective'!$C$9^2)*S2131*T2131</f>
        <v>3820835.7543554734</v>
      </c>
      <c r="V2131" s="166">
        <v>15</v>
      </c>
      <c r="W2131" s="166">
        <v>5</v>
      </c>
      <c r="X2131" s="164">
        <f>($L2131*'Pivot Objective'!$C$9^3)*V2131*W2131</f>
        <v>4366913.7918247795</v>
      </c>
      <c r="Y2131" s="166">
        <v>15</v>
      </c>
      <c r="Z2131" s="166">
        <v>5</v>
      </c>
      <c r="AA2131" s="164">
        <f>($L2131*'Pivot Objective'!$C$9^4)*Y2131*Z2131</f>
        <v>4991037.9014568068</v>
      </c>
      <c r="AB2131" s="166">
        <v>15</v>
      </c>
      <c r="AC2131" s="166">
        <v>5</v>
      </c>
      <c r="AD2131" s="164">
        <f>($L2131*'Pivot Objective'!$C$9^5)*AB2131*AC2131</f>
        <v>5704362.5135015901</v>
      </c>
      <c r="AE2131" s="166">
        <v>15</v>
      </c>
      <c r="AF2131" s="166">
        <v>5</v>
      </c>
      <c r="AG2131" s="164">
        <f>($L2131*'Pivot Objective'!$C$9^6)*AE2131*AF2131</f>
        <v>6519636.2616169155</v>
      </c>
      <c r="AH2131" s="166">
        <v>15</v>
      </c>
      <c r="AI2131" s="166">
        <v>5</v>
      </c>
      <c r="AJ2131" s="164">
        <f>($L2131*'Pivot Objective'!$C$9^7)*AH2131*AI2131</f>
        <v>7451429.8281681826</v>
      </c>
      <c r="AK2131" s="185">
        <f t="shared" si="238"/>
        <v>36197260.259648748</v>
      </c>
      <c r="AL2131" s="186">
        <f t="shared" si="239"/>
        <v>35142.971125872573</v>
      </c>
    </row>
    <row r="2132" spans="1:38" customFormat="1" ht="72" x14ac:dyDescent="0.3">
      <c r="A2132" s="140" t="s">
        <v>1487</v>
      </c>
      <c r="B2132" s="140">
        <v>4</v>
      </c>
      <c r="C2132" s="166" t="s">
        <v>697</v>
      </c>
      <c r="D2132" s="140" t="str">
        <f t="shared" si="234"/>
        <v>1</v>
      </c>
      <c r="E2132" s="166" t="s">
        <v>692</v>
      </c>
      <c r="F2132" s="140">
        <f t="shared" si="236"/>
        <v>2</v>
      </c>
      <c r="G2132" s="140" t="str">
        <f t="shared" si="235"/>
        <v>4.1.2</v>
      </c>
      <c r="H2132" s="166" t="s">
        <v>663</v>
      </c>
      <c r="I2132" s="166" t="s">
        <v>81</v>
      </c>
      <c r="J2132" s="166" t="s">
        <v>443</v>
      </c>
      <c r="K2132" s="166" t="s">
        <v>709</v>
      </c>
      <c r="L2132" s="177">
        <v>35000</v>
      </c>
      <c r="M2132" s="140"/>
      <c r="N2132" s="140"/>
      <c r="O2132" s="164">
        <f t="shared" si="237"/>
        <v>0</v>
      </c>
      <c r="P2132" s="166">
        <v>15</v>
      </c>
      <c r="Q2132" s="166">
        <v>5</v>
      </c>
      <c r="R2132" s="164">
        <f>$L2132*'Pivot Objective'!$C$9*P2132*Q2132</f>
        <v>3000167.8796249996</v>
      </c>
      <c r="S2132" s="166">
        <v>15</v>
      </c>
      <c r="T2132" s="166">
        <v>5</v>
      </c>
      <c r="U2132" s="164">
        <f>($L2132*'Pivot Objective'!$C$9^2)*S2132*T2132</f>
        <v>3428955.1641651681</v>
      </c>
      <c r="V2132" s="166">
        <v>15</v>
      </c>
      <c r="W2132" s="166">
        <v>5</v>
      </c>
      <c r="X2132" s="164">
        <f>($L2132*'Pivot Objective'!$C$9^3)*V2132*W2132</f>
        <v>3919025.1977914693</v>
      </c>
      <c r="Y2132" s="166">
        <v>15</v>
      </c>
      <c r="Z2132" s="166">
        <v>5</v>
      </c>
      <c r="AA2132" s="164">
        <f>($L2132*'Pivot Objective'!$C$9^4)*Y2132*Z2132</f>
        <v>4479136.5782304676</v>
      </c>
      <c r="AB2132" s="166">
        <v>15</v>
      </c>
      <c r="AC2132" s="166">
        <v>5</v>
      </c>
      <c r="AD2132" s="164">
        <f>($L2132*'Pivot Objective'!$C$9^5)*AB2132*AC2132</f>
        <v>5119299.6916039912</v>
      </c>
      <c r="AE2132" s="166">
        <v>15</v>
      </c>
      <c r="AF2132" s="166">
        <v>5</v>
      </c>
      <c r="AG2132" s="164">
        <f>($L2132*'Pivot Objective'!$C$9^6)*AE2132*AF2132</f>
        <v>5850955.6193997953</v>
      </c>
      <c r="AH2132" s="166">
        <v>15</v>
      </c>
      <c r="AI2132" s="166">
        <v>5</v>
      </c>
      <c r="AJ2132" s="164">
        <f>($L2132*'Pivot Objective'!$C$9^7)*AH2132*AI2132</f>
        <v>6687180.6150227282</v>
      </c>
      <c r="AK2132" s="185">
        <f t="shared" si="238"/>
        <v>32484720.74583862</v>
      </c>
      <c r="AL2132" s="186">
        <f t="shared" si="239"/>
        <v>31538.56383091128</v>
      </c>
    </row>
    <row r="2133" spans="1:38" customFormat="1" ht="72" x14ac:dyDescent="0.3">
      <c r="A2133" s="140" t="s">
        <v>1487</v>
      </c>
      <c r="B2133" s="140">
        <v>4</v>
      </c>
      <c r="C2133" s="166" t="s">
        <v>697</v>
      </c>
      <c r="D2133" s="140" t="str">
        <f t="shared" si="234"/>
        <v>1</v>
      </c>
      <c r="E2133" s="166" t="s">
        <v>692</v>
      </c>
      <c r="F2133" s="140">
        <f t="shared" si="236"/>
        <v>2</v>
      </c>
      <c r="G2133" s="140" t="str">
        <f t="shared" si="235"/>
        <v>4.1.2</v>
      </c>
      <c r="H2133" s="166" t="s">
        <v>663</v>
      </c>
      <c r="I2133" s="166" t="s">
        <v>81</v>
      </c>
      <c r="J2133" s="166" t="s">
        <v>443</v>
      </c>
      <c r="K2133" s="166" t="s">
        <v>712</v>
      </c>
      <c r="L2133" s="177">
        <f>1480/7</f>
        <v>211.42857142857142</v>
      </c>
      <c r="M2133" s="140"/>
      <c r="N2133" s="140"/>
      <c r="O2133" s="164">
        <f t="shared" si="237"/>
        <v>0</v>
      </c>
      <c r="P2133" s="166">
        <f>25*2*7</f>
        <v>350</v>
      </c>
      <c r="Q2133" s="166">
        <v>5</v>
      </c>
      <c r="R2133" s="164">
        <f>$L2133*'Pivot Objective'!$C$9*P2133*Q2133</f>
        <v>422880.80588999996</v>
      </c>
      <c r="S2133" s="166">
        <f>25*2*7</f>
        <v>350</v>
      </c>
      <c r="T2133" s="166">
        <v>5</v>
      </c>
      <c r="U2133" s="164">
        <f>($L2133*'Pivot Objective'!$C$9^2)*S2133*T2133</f>
        <v>483319.39456804277</v>
      </c>
      <c r="V2133" s="166">
        <f>25*2*7</f>
        <v>350</v>
      </c>
      <c r="W2133" s="166">
        <v>5</v>
      </c>
      <c r="X2133" s="164">
        <f>($L2133*'Pivot Objective'!$C$9^3)*V2133*W2133</f>
        <v>552395.93264108314</v>
      </c>
      <c r="Y2133" s="166">
        <f>25*2*7</f>
        <v>350</v>
      </c>
      <c r="Z2133" s="166">
        <v>5</v>
      </c>
      <c r="AA2133" s="164">
        <f>($L2133*'Pivot Objective'!$C$9^4)*Y2133*Z2133</f>
        <v>631344.96531248488</v>
      </c>
      <c r="AB2133" s="166">
        <f>25*2*7</f>
        <v>350</v>
      </c>
      <c r="AC2133" s="166">
        <v>5</v>
      </c>
      <c r="AD2133" s="164">
        <f>($L2133*'Pivot Objective'!$C$9^5)*AB2133*AC2133</f>
        <v>721577.48034037207</v>
      </c>
      <c r="AE2133" s="166">
        <v>350</v>
      </c>
      <c r="AF2133" s="166">
        <v>5</v>
      </c>
      <c r="AG2133" s="164">
        <f>($L2133*'Pivot Objective'!$C$9^6)*AE2133*AF2133</f>
        <v>824706.125401114</v>
      </c>
      <c r="AH2133" s="166">
        <v>350</v>
      </c>
      <c r="AI2133" s="166">
        <v>5</v>
      </c>
      <c r="AJ2133" s="164">
        <f>($L2133*'Pivot Objective'!$C$9^7)*AH2133*AI2133</f>
        <v>942574.0295460606</v>
      </c>
      <c r="AK2133" s="185">
        <f t="shared" si="238"/>
        <v>4578798.7336991578</v>
      </c>
      <c r="AL2133" s="186">
        <f t="shared" si="239"/>
        <v>4445.4356637855899</v>
      </c>
    </row>
    <row r="2134" spans="1:38" customFormat="1" ht="72" x14ac:dyDescent="0.3">
      <c r="A2134" s="140" t="s">
        <v>1487</v>
      </c>
      <c r="B2134" s="140">
        <v>4</v>
      </c>
      <c r="C2134" s="166" t="s">
        <v>697</v>
      </c>
      <c r="D2134" s="140" t="str">
        <f t="shared" si="234"/>
        <v>1</v>
      </c>
      <c r="E2134" s="166" t="s">
        <v>692</v>
      </c>
      <c r="F2134" s="140">
        <f t="shared" si="236"/>
        <v>2</v>
      </c>
      <c r="G2134" s="140" t="str">
        <f t="shared" si="235"/>
        <v>4.1.2</v>
      </c>
      <c r="H2134" s="166" t="s">
        <v>663</v>
      </c>
      <c r="I2134" s="166" t="s">
        <v>81</v>
      </c>
      <c r="J2134" s="166" t="s">
        <v>443</v>
      </c>
      <c r="K2134" s="166" t="s">
        <v>1303</v>
      </c>
      <c r="L2134" s="177">
        <f>1480/7</f>
        <v>211.42857142857142</v>
      </c>
      <c r="M2134" s="140"/>
      <c r="N2134" s="140"/>
      <c r="O2134" s="164">
        <f t="shared" si="237"/>
        <v>0</v>
      </c>
      <c r="P2134" s="166">
        <f>2*135*7</f>
        <v>1890</v>
      </c>
      <c r="Q2134" s="166">
        <v>1</v>
      </c>
      <c r="R2134" s="164">
        <f>$L2134*'Pivot Objective'!$C$9*P2134*Q2134</f>
        <v>456711.27036119992</v>
      </c>
      <c r="S2134" s="166">
        <f>2*135*7</f>
        <v>1890</v>
      </c>
      <c r="T2134" s="166">
        <v>1</v>
      </c>
      <c r="U2134" s="164">
        <f>($L2134*'Pivot Objective'!$C$9^2)*S2134*T2134</f>
        <v>521984.94613348623</v>
      </c>
      <c r="V2134" s="166">
        <f>2*135*7</f>
        <v>1890</v>
      </c>
      <c r="W2134" s="166">
        <v>1</v>
      </c>
      <c r="X2134" s="164">
        <f>($L2134*'Pivot Objective'!$C$9^3)*V2134*W2134</f>
        <v>596587.60725236987</v>
      </c>
      <c r="Y2134" s="166">
        <f>2*135*7</f>
        <v>1890</v>
      </c>
      <c r="Z2134" s="166">
        <v>1</v>
      </c>
      <c r="AA2134" s="164">
        <f>($L2134*'Pivot Objective'!$C$9^4)*Y2134*Z2134</f>
        <v>681852.56253748364</v>
      </c>
      <c r="AB2134" s="166">
        <f>2*135*7</f>
        <v>1890</v>
      </c>
      <c r="AC2134" s="166">
        <v>1</v>
      </c>
      <c r="AD2134" s="164">
        <f>($L2134*'Pivot Objective'!$C$9^5)*AB2134*AC2134</f>
        <v>779303.67876760196</v>
      </c>
      <c r="AE2134" s="166">
        <v>1890</v>
      </c>
      <c r="AF2134" s="166">
        <v>1</v>
      </c>
      <c r="AG2134" s="164">
        <f>($L2134*'Pivot Objective'!$C$9^6)*AE2134*AF2134</f>
        <v>890682.61543320306</v>
      </c>
      <c r="AH2134" s="166">
        <v>1890</v>
      </c>
      <c r="AI2134" s="166">
        <v>1</v>
      </c>
      <c r="AJ2134" s="164">
        <f>($L2134*'Pivot Objective'!$C$9^7)*AH2134*AI2134</f>
        <v>1017979.9519097456</v>
      </c>
      <c r="AK2134" s="185">
        <f t="shared" si="238"/>
        <v>4945102.6323950905</v>
      </c>
      <c r="AL2134" s="186">
        <f t="shared" si="239"/>
        <v>4801.0705168884379</v>
      </c>
    </row>
    <row r="2135" spans="1:38" customFormat="1" ht="72" x14ac:dyDescent="0.3">
      <c r="A2135" s="140" t="s">
        <v>1487</v>
      </c>
      <c r="B2135" s="140">
        <v>4</v>
      </c>
      <c r="C2135" s="166" t="s">
        <v>697</v>
      </c>
      <c r="D2135" s="140" t="str">
        <f t="shared" si="234"/>
        <v>1</v>
      </c>
      <c r="E2135" s="166" t="s">
        <v>692</v>
      </c>
      <c r="F2135" s="140">
        <f t="shared" si="236"/>
        <v>2</v>
      </c>
      <c r="G2135" s="140" t="str">
        <f t="shared" si="235"/>
        <v>4.1.2</v>
      </c>
      <c r="H2135" s="166" t="s">
        <v>663</v>
      </c>
      <c r="I2135" s="166" t="s">
        <v>81</v>
      </c>
      <c r="J2135" s="166" t="s">
        <v>168</v>
      </c>
      <c r="K2135" s="166" t="s">
        <v>716</v>
      </c>
      <c r="L2135" s="177">
        <v>39000</v>
      </c>
      <c r="M2135" s="140"/>
      <c r="N2135" s="140"/>
      <c r="O2135" s="164">
        <f t="shared" si="237"/>
        <v>0</v>
      </c>
      <c r="P2135" s="166">
        <v>40</v>
      </c>
      <c r="Q2135" s="166">
        <v>6</v>
      </c>
      <c r="R2135" s="164">
        <f>$L2135*'Pivot Objective'!$C$9*P2135*Q2135</f>
        <v>10697741.467919998</v>
      </c>
      <c r="S2135" s="166">
        <v>40</v>
      </c>
      <c r="T2135" s="166">
        <v>6</v>
      </c>
      <c r="U2135" s="164">
        <f>($L2135*'Pivot Objective'!$C$9^2)*S2135*T2135</f>
        <v>12226674.413937515</v>
      </c>
      <c r="V2135" s="166">
        <v>40</v>
      </c>
      <c r="W2135" s="166">
        <v>6</v>
      </c>
      <c r="X2135" s="164">
        <f>($L2135*'Pivot Objective'!$C$9^3)*V2135*W2135</f>
        <v>13974124.133839294</v>
      </c>
      <c r="Y2135" s="166">
        <v>40</v>
      </c>
      <c r="Z2135" s="166">
        <v>6</v>
      </c>
      <c r="AA2135" s="164">
        <f>($L2135*'Pivot Objective'!$C$9^4)*Y2135*Z2135</f>
        <v>15971321.284661781</v>
      </c>
      <c r="AB2135" s="166">
        <v>40</v>
      </c>
      <c r="AC2135" s="166">
        <v>6</v>
      </c>
      <c r="AD2135" s="164">
        <f>($L2135*'Pivot Objective'!$C$9^5)*AB2135*AC2135</f>
        <v>18253960.04320509</v>
      </c>
      <c r="AE2135" s="166">
        <v>40</v>
      </c>
      <c r="AF2135" s="166">
        <v>6</v>
      </c>
      <c r="AG2135" s="164">
        <f>($L2135*'Pivot Objective'!$C$9^6)*AE2135*AF2135</f>
        <v>20862836.037174128</v>
      </c>
      <c r="AH2135" s="166">
        <v>40</v>
      </c>
      <c r="AI2135" s="166">
        <v>6</v>
      </c>
      <c r="AJ2135" s="164">
        <f>($L2135*'Pivot Objective'!$C$9^7)*AH2135*AI2135</f>
        <v>23844575.450138185</v>
      </c>
      <c r="AK2135" s="185">
        <f t="shared" si="238"/>
        <v>115831232.83087599</v>
      </c>
      <c r="AL2135" s="186">
        <f t="shared" si="239"/>
        <v>112457.50760279223</v>
      </c>
    </row>
    <row r="2136" spans="1:38" customFormat="1" ht="72" x14ac:dyDescent="0.3">
      <c r="A2136" s="140" t="s">
        <v>1487</v>
      </c>
      <c r="B2136" s="140">
        <v>4</v>
      </c>
      <c r="C2136" s="166" t="s">
        <v>697</v>
      </c>
      <c r="D2136" s="140" t="str">
        <f t="shared" si="234"/>
        <v>1</v>
      </c>
      <c r="E2136" s="166" t="s">
        <v>692</v>
      </c>
      <c r="F2136" s="140">
        <f t="shared" si="236"/>
        <v>2</v>
      </c>
      <c r="G2136" s="140" t="str">
        <f t="shared" si="235"/>
        <v>4.1.2</v>
      </c>
      <c r="H2136" s="166" t="s">
        <v>663</v>
      </c>
      <c r="I2136" s="166" t="s">
        <v>81</v>
      </c>
      <c r="J2136" s="166" t="s">
        <v>168</v>
      </c>
      <c r="K2136" s="166" t="s">
        <v>709</v>
      </c>
      <c r="L2136" s="177">
        <v>35000</v>
      </c>
      <c r="M2136" s="140"/>
      <c r="N2136" s="140"/>
      <c r="O2136" s="164">
        <f t="shared" si="237"/>
        <v>0</v>
      </c>
      <c r="P2136" s="166">
        <v>40</v>
      </c>
      <c r="Q2136" s="166">
        <v>5</v>
      </c>
      <c r="R2136" s="164">
        <f>$L2136*'Pivot Objective'!$C$9*P2136*Q2136</f>
        <v>8000447.6789999986</v>
      </c>
      <c r="S2136" s="166">
        <v>40</v>
      </c>
      <c r="T2136" s="166">
        <v>5</v>
      </c>
      <c r="U2136" s="164">
        <f>($L2136*'Pivot Objective'!$C$9^2)*S2136*T2136</f>
        <v>9143880.4377737809</v>
      </c>
      <c r="V2136" s="166">
        <v>40</v>
      </c>
      <c r="W2136" s="166">
        <v>5</v>
      </c>
      <c r="X2136" s="164">
        <f>($L2136*'Pivot Objective'!$C$9^3)*V2136*W2136</f>
        <v>10450733.860777251</v>
      </c>
      <c r="Y2136" s="166">
        <v>40</v>
      </c>
      <c r="Z2136" s="166">
        <v>5</v>
      </c>
      <c r="AA2136" s="164">
        <f>($L2136*'Pivot Objective'!$C$9^4)*Y2136*Z2136</f>
        <v>11944364.20861458</v>
      </c>
      <c r="AB2136" s="166">
        <v>40</v>
      </c>
      <c r="AC2136" s="166">
        <v>5</v>
      </c>
      <c r="AD2136" s="164">
        <f>($L2136*'Pivot Objective'!$C$9^5)*AB2136*AC2136</f>
        <v>13651465.844277311</v>
      </c>
      <c r="AE2136" s="166">
        <v>40</v>
      </c>
      <c r="AF2136" s="166">
        <v>5</v>
      </c>
      <c r="AG2136" s="164">
        <f>($L2136*'Pivot Objective'!$C$9^6)*AE2136*AF2136</f>
        <v>15602548.318399454</v>
      </c>
      <c r="AH2136" s="166">
        <v>40</v>
      </c>
      <c r="AI2136" s="166">
        <v>5</v>
      </c>
      <c r="AJ2136" s="164">
        <f>($L2136*'Pivot Objective'!$C$9^7)*AH2136*AI2136</f>
        <v>17832481.640060611</v>
      </c>
      <c r="AK2136" s="185">
        <f t="shared" si="238"/>
        <v>86625921.988902986</v>
      </c>
      <c r="AL2136" s="186">
        <f t="shared" si="239"/>
        <v>84102.836882430085</v>
      </c>
    </row>
    <row r="2137" spans="1:38" customFormat="1" ht="72" x14ac:dyDescent="0.3">
      <c r="A2137" s="140" t="s">
        <v>1487</v>
      </c>
      <c r="B2137" s="140">
        <v>4</v>
      </c>
      <c r="C2137" s="166" t="s">
        <v>697</v>
      </c>
      <c r="D2137" s="140" t="str">
        <f t="shared" si="234"/>
        <v>1</v>
      </c>
      <c r="E2137" s="166" t="s">
        <v>692</v>
      </c>
      <c r="F2137" s="140">
        <f t="shared" si="236"/>
        <v>2</v>
      </c>
      <c r="G2137" s="140" t="str">
        <f t="shared" si="235"/>
        <v>4.1.2</v>
      </c>
      <c r="H2137" s="166" t="s">
        <v>663</v>
      </c>
      <c r="I2137" s="166" t="s">
        <v>81</v>
      </c>
      <c r="J2137" s="166" t="s">
        <v>168</v>
      </c>
      <c r="K2137" s="166" t="s">
        <v>716</v>
      </c>
      <c r="L2137" s="177">
        <v>39000</v>
      </c>
      <c r="M2137" s="140"/>
      <c r="N2137" s="140"/>
      <c r="O2137" s="164">
        <f t="shared" si="237"/>
        <v>0</v>
      </c>
      <c r="P2137" s="166">
        <v>40</v>
      </c>
      <c r="Q2137" s="166">
        <v>5</v>
      </c>
      <c r="R2137" s="164">
        <f>$L2137*'Pivot Objective'!$C$9*P2137*Q2137</f>
        <v>8914784.5565999988</v>
      </c>
      <c r="S2137" s="166">
        <v>40</v>
      </c>
      <c r="T2137" s="166">
        <v>5</v>
      </c>
      <c r="U2137" s="164">
        <f>($L2137*'Pivot Objective'!$C$9^2)*S2137*T2137</f>
        <v>10188895.344947929</v>
      </c>
      <c r="V2137" s="166">
        <v>40</v>
      </c>
      <c r="W2137" s="166">
        <v>5</v>
      </c>
      <c r="X2137" s="164">
        <f>($L2137*'Pivot Objective'!$C$9^3)*V2137*W2137</f>
        <v>11645103.44486608</v>
      </c>
      <c r="Y2137" s="166">
        <v>40</v>
      </c>
      <c r="Z2137" s="166">
        <v>5</v>
      </c>
      <c r="AA2137" s="164">
        <f>($L2137*'Pivot Objective'!$C$9^4)*Y2137*Z2137</f>
        <v>13309434.403884819</v>
      </c>
      <c r="AB2137" s="166">
        <v>40</v>
      </c>
      <c r="AC2137" s="166">
        <v>5</v>
      </c>
      <c r="AD2137" s="164">
        <f>($L2137*'Pivot Objective'!$C$9^5)*AB2137*AC2137</f>
        <v>15211633.369337577</v>
      </c>
      <c r="AE2137" s="166">
        <v>40</v>
      </c>
      <c r="AF2137" s="166">
        <v>5</v>
      </c>
      <c r="AG2137" s="164">
        <f>($L2137*'Pivot Objective'!$C$9^6)*AE2137*AF2137</f>
        <v>17385696.697645109</v>
      </c>
      <c r="AH2137" s="166">
        <v>40</v>
      </c>
      <c r="AI2137" s="166">
        <v>5</v>
      </c>
      <c r="AJ2137" s="164">
        <f>($L2137*'Pivot Objective'!$C$9^7)*AH2137*AI2137</f>
        <v>19870479.54178182</v>
      </c>
      <c r="AK2137" s="185">
        <f t="shared" si="238"/>
        <v>96526027.359063327</v>
      </c>
      <c r="AL2137" s="186">
        <f t="shared" si="239"/>
        <v>93714.589668993518</v>
      </c>
    </row>
    <row r="2138" spans="1:38" customFormat="1" ht="72" x14ac:dyDescent="0.3">
      <c r="A2138" s="140" t="s">
        <v>1487</v>
      </c>
      <c r="B2138" s="140">
        <v>4</v>
      </c>
      <c r="C2138" s="166" t="s">
        <v>697</v>
      </c>
      <c r="D2138" s="140" t="str">
        <f t="shared" si="234"/>
        <v>1</v>
      </c>
      <c r="E2138" s="166" t="s">
        <v>692</v>
      </c>
      <c r="F2138" s="140">
        <f t="shared" si="236"/>
        <v>2</v>
      </c>
      <c r="G2138" s="140" t="str">
        <f t="shared" si="235"/>
        <v>4.1.2</v>
      </c>
      <c r="H2138" s="166" t="s">
        <v>663</v>
      </c>
      <c r="I2138" s="166" t="s">
        <v>81</v>
      </c>
      <c r="J2138" s="166" t="s">
        <v>168</v>
      </c>
      <c r="K2138" s="166" t="s">
        <v>1303</v>
      </c>
      <c r="L2138" s="177">
        <f>1480/7</f>
        <v>211.42857142857142</v>
      </c>
      <c r="M2138" s="140"/>
      <c r="N2138" s="140"/>
      <c r="O2138" s="164">
        <f t="shared" si="237"/>
        <v>0</v>
      </c>
      <c r="P2138" s="166">
        <f>2*135*15</f>
        <v>4050</v>
      </c>
      <c r="Q2138" s="166">
        <v>5</v>
      </c>
      <c r="R2138" s="164">
        <f>$L2138*'Pivot Objective'!$C$9*P2138*Q2138</f>
        <v>4893335.0395842846</v>
      </c>
      <c r="S2138" s="166">
        <f>2*135*15</f>
        <v>4050</v>
      </c>
      <c r="T2138" s="166">
        <v>5</v>
      </c>
      <c r="U2138" s="164">
        <f>($L2138*'Pivot Objective'!$C$9^2)*S2138*T2138</f>
        <v>5592695.8514302094</v>
      </c>
      <c r="V2138" s="166">
        <f>2*135*15</f>
        <v>4050</v>
      </c>
      <c r="W2138" s="166">
        <v>5</v>
      </c>
      <c r="X2138" s="164">
        <f>($L2138*'Pivot Objective'!$C$9^3)*V2138*W2138</f>
        <v>6392010.077703963</v>
      </c>
      <c r="Y2138" s="166">
        <f>2*135*15</f>
        <v>4050</v>
      </c>
      <c r="Z2138" s="166">
        <v>5</v>
      </c>
      <c r="AA2138" s="164">
        <f>($L2138*'Pivot Objective'!$C$9^4)*Y2138*Z2138</f>
        <v>7305563.1700444678</v>
      </c>
      <c r="AB2138" s="166">
        <f>2*135*15</f>
        <v>4050</v>
      </c>
      <c r="AC2138" s="166">
        <v>5</v>
      </c>
      <c r="AD2138" s="164">
        <f>($L2138*'Pivot Objective'!$C$9^5)*AB2138*AC2138</f>
        <v>8349682.272510021</v>
      </c>
      <c r="AE2138" s="166">
        <v>4050</v>
      </c>
      <c r="AF2138" s="166">
        <v>5</v>
      </c>
      <c r="AG2138" s="164">
        <f>($L2138*'Pivot Objective'!$C$9^6)*AE2138*AF2138</f>
        <v>9543028.0224986039</v>
      </c>
      <c r="AH2138" s="166">
        <v>4050</v>
      </c>
      <c r="AI2138" s="166">
        <v>5</v>
      </c>
      <c r="AJ2138" s="164">
        <f>($L2138*'Pivot Objective'!$C$9^7)*AH2138*AI2138</f>
        <v>10906928.056175843</v>
      </c>
      <c r="AK2138" s="185">
        <f t="shared" si="238"/>
        <v>52983242.489947394</v>
      </c>
      <c r="AL2138" s="186">
        <f t="shared" si="239"/>
        <v>51440.041252376112</v>
      </c>
    </row>
    <row r="2139" spans="1:38" customFormat="1" ht="72" x14ac:dyDescent="0.3">
      <c r="A2139" s="140" t="s">
        <v>1487</v>
      </c>
      <c r="B2139" s="140">
        <v>4</v>
      </c>
      <c r="C2139" s="166" t="s">
        <v>697</v>
      </c>
      <c r="D2139" s="140" t="str">
        <f t="shared" si="234"/>
        <v>1</v>
      </c>
      <c r="E2139" s="166" t="s">
        <v>692</v>
      </c>
      <c r="F2139" s="140">
        <f t="shared" si="236"/>
        <v>2</v>
      </c>
      <c r="G2139" s="140" t="str">
        <f t="shared" si="235"/>
        <v>4.1.2</v>
      </c>
      <c r="H2139" s="166" t="s">
        <v>663</v>
      </c>
      <c r="I2139" s="166" t="s">
        <v>81</v>
      </c>
      <c r="J2139" s="166" t="s">
        <v>444</v>
      </c>
      <c r="K2139" s="166" t="s">
        <v>709</v>
      </c>
      <c r="L2139" s="177">
        <v>35000</v>
      </c>
      <c r="M2139" s="140"/>
      <c r="N2139" s="140"/>
      <c r="O2139" s="164">
        <f t="shared" si="237"/>
        <v>0</v>
      </c>
      <c r="P2139" s="166">
        <v>20</v>
      </c>
      <c r="Q2139" s="166">
        <v>5</v>
      </c>
      <c r="R2139" s="164">
        <f>$L2139*'Pivot Objective'!$C$9*P2139*Q2139</f>
        <v>4000223.8394999993</v>
      </c>
      <c r="S2139" s="166">
        <v>20</v>
      </c>
      <c r="T2139" s="166">
        <v>5</v>
      </c>
      <c r="U2139" s="164">
        <f>($L2139*'Pivot Objective'!$C$9^2)*S2139*T2139</f>
        <v>4571940.2188868904</v>
      </c>
      <c r="V2139" s="166">
        <v>20</v>
      </c>
      <c r="W2139" s="166">
        <v>5</v>
      </c>
      <c r="X2139" s="164">
        <f>($L2139*'Pivot Objective'!$C$9^3)*V2139*W2139</f>
        <v>5225366.9303886257</v>
      </c>
      <c r="Y2139" s="166">
        <v>20</v>
      </c>
      <c r="Z2139" s="166">
        <v>5</v>
      </c>
      <c r="AA2139" s="164">
        <f>($L2139*'Pivot Objective'!$C$9^4)*Y2139*Z2139</f>
        <v>5972182.1043072902</v>
      </c>
      <c r="AB2139" s="166">
        <v>20</v>
      </c>
      <c r="AC2139" s="166">
        <v>5</v>
      </c>
      <c r="AD2139" s="164">
        <f>($L2139*'Pivot Objective'!$C$9^5)*AB2139*AC2139</f>
        <v>6825732.9221386556</v>
      </c>
      <c r="AE2139" s="166">
        <v>20</v>
      </c>
      <c r="AF2139" s="166">
        <v>5</v>
      </c>
      <c r="AG2139" s="164">
        <f>($L2139*'Pivot Objective'!$C$9^6)*AE2139*AF2139</f>
        <v>7801274.1591997268</v>
      </c>
      <c r="AH2139" s="166">
        <v>20</v>
      </c>
      <c r="AI2139" s="166">
        <v>5</v>
      </c>
      <c r="AJ2139" s="164">
        <f>($L2139*'Pivot Objective'!$C$9^7)*AH2139*AI2139</f>
        <v>8916240.8200303055</v>
      </c>
      <c r="AK2139" s="185">
        <f t="shared" si="238"/>
        <v>43312960.994451493</v>
      </c>
      <c r="AL2139" s="186">
        <f t="shared" si="239"/>
        <v>42051.418441215043</v>
      </c>
    </row>
    <row r="2140" spans="1:38" customFormat="1" ht="72" x14ac:dyDescent="0.3">
      <c r="A2140" s="140" t="s">
        <v>1487</v>
      </c>
      <c r="B2140" s="140">
        <v>4</v>
      </c>
      <c r="C2140" s="166" t="s">
        <v>697</v>
      </c>
      <c r="D2140" s="140" t="str">
        <f t="shared" si="234"/>
        <v>1</v>
      </c>
      <c r="E2140" s="166" t="s">
        <v>692</v>
      </c>
      <c r="F2140" s="140">
        <f t="shared" si="236"/>
        <v>2</v>
      </c>
      <c r="G2140" s="140" t="str">
        <f t="shared" si="235"/>
        <v>4.1.2</v>
      </c>
      <c r="H2140" s="166" t="s">
        <v>663</v>
      </c>
      <c r="I2140" s="166" t="s">
        <v>81</v>
      </c>
      <c r="J2140" s="166" t="s">
        <v>444</v>
      </c>
      <c r="K2140" s="166" t="s">
        <v>716</v>
      </c>
      <c r="L2140" s="177">
        <v>39000</v>
      </c>
      <c r="M2140" s="140"/>
      <c r="N2140" s="140"/>
      <c r="O2140" s="164">
        <f t="shared" si="237"/>
        <v>0</v>
      </c>
      <c r="P2140" s="166">
        <v>25</v>
      </c>
      <c r="Q2140" s="166">
        <v>5</v>
      </c>
      <c r="R2140" s="164">
        <f>$L2140*'Pivot Objective'!$C$9*P2140*Q2140</f>
        <v>5571740.347874999</v>
      </c>
      <c r="S2140" s="166">
        <v>25</v>
      </c>
      <c r="T2140" s="166">
        <v>5</v>
      </c>
      <c r="U2140" s="164">
        <f>($L2140*'Pivot Objective'!$C$9^2)*S2140*T2140</f>
        <v>6368059.5905924551</v>
      </c>
      <c r="V2140" s="166">
        <v>25</v>
      </c>
      <c r="W2140" s="166">
        <v>5</v>
      </c>
      <c r="X2140" s="164">
        <f>($L2140*'Pivot Objective'!$C$9^3)*V2140*W2140</f>
        <v>7278189.6530412994</v>
      </c>
      <c r="Y2140" s="166">
        <v>25</v>
      </c>
      <c r="Z2140" s="166">
        <v>5</v>
      </c>
      <c r="AA2140" s="164">
        <f>($L2140*'Pivot Objective'!$C$9^4)*Y2140*Z2140</f>
        <v>8318396.502428012</v>
      </c>
      <c r="AB2140" s="166">
        <v>25</v>
      </c>
      <c r="AC2140" s="166">
        <v>5</v>
      </c>
      <c r="AD2140" s="164">
        <f>($L2140*'Pivot Objective'!$C$9^5)*AB2140*AC2140</f>
        <v>9507270.8558359854</v>
      </c>
      <c r="AE2140" s="166">
        <v>25</v>
      </c>
      <c r="AF2140" s="166">
        <v>5</v>
      </c>
      <c r="AG2140" s="164">
        <f>($L2140*'Pivot Objective'!$C$9^6)*AE2140*AF2140</f>
        <v>10866060.436028194</v>
      </c>
      <c r="AH2140" s="166">
        <v>25</v>
      </c>
      <c r="AI2140" s="166">
        <v>5</v>
      </c>
      <c r="AJ2140" s="164">
        <f>($L2140*'Pivot Objective'!$C$9^7)*AH2140*AI2140</f>
        <v>12419049.713613637</v>
      </c>
      <c r="AK2140" s="185">
        <f t="shared" si="238"/>
        <v>60328767.09941458</v>
      </c>
      <c r="AL2140" s="186">
        <f t="shared" si="239"/>
        <v>58571.618543120952</v>
      </c>
    </row>
    <row r="2141" spans="1:38" customFormat="1" ht="72" x14ac:dyDescent="0.3">
      <c r="A2141" s="140" t="s">
        <v>1487</v>
      </c>
      <c r="B2141" s="140">
        <v>4</v>
      </c>
      <c r="C2141" s="166" t="s">
        <v>697</v>
      </c>
      <c r="D2141" s="140" t="str">
        <f t="shared" si="234"/>
        <v>1</v>
      </c>
      <c r="E2141" s="166" t="s">
        <v>692</v>
      </c>
      <c r="F2141" s="140">
        <f t="shared" si="236"/>
        <v>2</v>
      </c>
      <c r="G2141" s="140" t="str">
        <f t="shared" si="235"/>
        <v>4.1.2</v>
      </c>
      <c r="H2141" s="166" t="s">
        <v>663</v>
      </c>
      <c r="I2141" s="166" t="s">
        <v>81</v>
      </c>
      <c r="J2141" s="166" t="s">
        <v>444</v>
      </c>
      <c r="K2141" s="166" t="s">
        <v>712</v>
      </c>
      <c r="L2141" s="177">
        <f>1480/7</f>
        <v>211.42857142857142</v>
      </c>
      <c r="M2141" s="140"/>
      <c r="N2141" s="140"/>
      <c r="O2141" s="164">
        <f t="shared" si="237"/>
        <v>0</v>
      </c>
      <c r="P2141" s="166">
        <f>25*2*9</f>
        <v>450</v>
      </c>
      <c r="Q2141" s="166">
        <v>5</v>
      </c>
      <c r="R2141" s="164">
        <f>$L2141*'Pivot Objective'!$C$9*P2141*Q2141</f>
        <v>543703.89328714274</v>
      </c>
      <c r="S2141" s="166">
        <f>25*2*9</f>
        <v>450</v>
      </c>
      <c r="T2141" s="166">
        <v>5</v>
      </c>
      <c r="U2141" s="164">
        <f>($L2141*'Pivot Objective'!$C$9^2)*S2141*T2141</f>
        <v>621410.65015891218</v>
      </c>
      <c r="V2141" s="166">
        <f>25*2*9</f>
        <v>450</v>
      </c>
      <c r="W2141" s="166">
        <v>5</v>
      </c>
      <c r="X2141" s="164">
        <f>($L2141*'Pivot Objective'!$C$9^3)*V2141*W2141</f>
        <v>710223.34196710703</v>
      </c>
      <c r="Y2141" s="166">
        <f>25*2*9</f>
        <v>450</v>
      </c>
      <c r="Z2141" s="166">
        <v>5</v>
      </c>
      <c r="AA2141" s="164">
        <f>($L2141*'Pivot Objective'!$C$9^4)*Y2141*Z2141</f>
        <v>811729.24111605203</v>
      </c>
      <c r="AB2141" s="166">
        <f>25*2*9</f>
        <v>450</v>
      </c>
      <c r="AC2141" s="166">
        <v>5</v>
      </c>
      <c r="AD2141" s="164">
        <f>($L2141*'Pivot Objective'!$C$9^5)*AB2141*AC2141</f>
        <v>927742.47472333559</v>
      </c>
      <c r="AE2141" s="166">
        <v>450</v>
      </c>
      <c r="AF2141" s="166">
        <v>5</v>
      </c>
      <c r="AG2141" s="164">
        <f>($L2141*'Pivot Objective'!$C$9^6)*AE2141*AF2141</f>
        <v>1060336.4469442894</v>
      </c>
      <c r="AH2141" s="166">
        <v>450</v>
      </c>
      <c r="AI2141" s="166">
        <v>5</v>
      </c>
      <c r="AJ2141" s="164">
        <f>($L2141*'Pivot Objective'!$C$9^7)*AH2141*AI2141</f>
        <v>1211880.8951306494</v>
      </c>
      <c r="AK2141" s="185">
        <f t="shared" si="238"/>
        <v>5887026.9433274884</v>
      </c>
      <c r="AL2141" s="186">
        <f t="shared" si="239"/>
        <v>5715.5601391529017</v>
      </c>
    </row>
    <row r="2142" spans="1:38" customFormat="1" ht="72" x14ac:dyDescent="0.3">
      <c r="A2142" s="140" t="s">
        <v>1487</v>
      </c>
      <c r="B2142" s="140">
        <v>4</v>
      </c>
      <c r="C2142" s="166" t="s">
        <v>697</v>
      </c>
      <c r="D2142" s="140" t="str">
        <f t="shared" si="234"/>
        <v>1</v>
      </c>
      <c r="E2142" s="166" t="s">
        <v>692</v>
      </c>
      <c r="F2142" s="140">
        <f t="shared" si="236"/>
        <v>2</v>
      </c>
      <c r="G2142" s="140" t="str">
        <f t="shared" si="235"/>
        <v>4.1.2</v>
      </c>
      <c r="H2142" s="166" t="s">
        <v>663</v>
      </c>
      <c r="I2142" s="166" t="s">
        <v>81</v>
      </c>
      <c r="J2142" s="166" t="s">
        <v>444</v>
      </c>
      <c r="K2142" s="166" t="s">
        <v>1303</v>
      </c>
      <c r="L2142" s="177">
        <f>1480/7</f>
        <v>211.42857142857142</v>
      </c>
      <c r="M2142" s="140"/>
      <c r="N2142" s="140"/>
      <c r="O2142" s="164">
        <f t="shared" si="237"/>
        <v>0</v>
      </c>
      <c r="P2142" s="166">
        <f>2*135*9</f>
        <v>2430</v>
      </c>
      <c r="Q2142" s="166">
        <v>1</v>
      </c>
      <c r="R2142" s="164">
        <f>$L2142*'Pivot Objective'!$C$9*P2142*Q2142</f>
        <v>587200.20475011424</v>
      </c>
      <c r="S2142" s="166">
        <f>2*135*9</f>
        <v>2430</v>
      </c>
      <c r="T2142" s="166">
        <v>1</v>
      </c>
      <c r="U2142" s="164">
        <f>($L2142*'Pivot Objective'!$C$9^2)*S2142*T2142</f>
        <v>671123.50217162515</v>
      </c>
      <c r="V2142" s="166">
        <f>2*135*9</f>
        <v>2430</v>
      </c>
      <c r="W2142" s="166">
        <v>1</v>
      </c>
      <c r="X2142" s="164">
        <f>($L2142*'Pivot Objective'!$C$9^3)*V2142*W2142</f>
        <v>767041.20932447549</v>
      </c>
      <c r="Y2142" s="166">
        <f>2*135*9</f>
        <v>2430</v>
      </c>
      <c r="Z2142" s="166">
        <v>1</v>
      </c>
      <c r="AA2142" s="164">
        <f>($L2142*'Pivot Objective'!$C$9^4)*Y2142*Z2142</f>
        <v>876667.58040533611</v>
      </c>
      <c r="AB2142" s="166">
        <f>2*135*9</f>
        <v>2430</v>
      </c>
      <c r="AC2142" s="166">
        <v>1</v>
      </c>
      <c r="AD2142" s="164">
        <f>($L2142*'Pivot Objective'!$C$9^5)*AB2142*AC2142</f>
        <v>1001961.8727012025</v>
      </c>
      <c r="AE2142" s="166">
        <v>2430</v>
      </c>
      <c r="AF2142" s="166">
        <v>1</v>
      </c>
      <c r="AG2142" s="164">
        <f>($L2142*'Pivot Objective'!$C$9^6)*AE2142*AF2142</f>
        <v>1145163.3626998325</v>
      </c>
      <c r="AH2142" s="166">
        <v>2430</v>
      </c>
      <c r="AI2142" s="166">
        <v>1</v>
      </c>
      <c r="AJ2142" s="164">
        <f>($L2142*'Pivot Objective'!$C$9^7)*AH2142*AI2142</f>
        <v>1308831.3667411015</v>
      </c>
      <c r="AK2142" s="185">
        <f t="shared" si="238"/>
        <v>6357989.0987936873</v>
      </c>
      <c r="AL2142" s="186">
        <f t="shared" si="239"/>
        <v>6172.8049502851336</v>
      </c>
    </row>
    <row r="2143" spans="1:38" customFormat="1" ht="57.6" x14ac:dyDescent="0.3">
      <c r="A2143" s="140" t="s">
        <v>1487</v>
      </c>
      <c r="B2143" s="140">
        <v>4</v>
      </c>
      <c r="C2143" s="166" t="s">
        <v>697</v>
      </c>
      <c r="D2143" s="140" t="str">
        <f t="shared" si="234"/>
        <v>1</v>
      </c>
      <c r="E2143" s="166" t="s">
        <v>692</v>
      </c>
      <c r="F2143" s="140">
        <f t="shared" si="236"/>
        <v>3</v>
      </c>
      <c r="G2143" s="140" t="str">
        <f t="shared" si="235"/>
        <v>4.1.3</v>
      </c>
      <c r="H2143" s="166" t="s">
        <v>664</v>
      </c>
      <c r="I2143" s="166" t="s">
        <v>1395</v>
      </c>
      <c r="J2143" s="166" t="s">
        <v>445</v>
      </c>
      <c r="K2143" s="166" t="s">
        <v>718</v>
      </c>
      <c r="L2143" s="177">
        <v>0</v>
      </c>
      <c r="M2143" s="166">
        <v>2</v>
      </c>
      <c r="N2143" s="166">
        <v>2</v>
      </c>
      <c r="O2143" s="164">
        <f t="shared" si="237"/>
        <v>0</v>
      </c>
      <c r="P2143" s="166">
        <v>0</v>
      </c>
      <c r="Q2143" s="166">
        <v>0</v>
      </c>
      <c r="R2143" s="164">
        <f>$L2143*'Pivot Objective'!$C$9*P2143*Q2143</f>
        <v>0</v>
      </c>
      <c r="S2143" s="166">
        <v>0</v>
      </c>
      <c r="T2143" s="166">
        <v>0</v>
      </c>
      <c r="U2143" s="164">
        <f>($L2143*'Pivot Objective'!$C$9^2)*S2143*T2143</f>
        <v>0</v>
      </c>
      <c r="V2143" s="166">
        <v>0</v>
      </c>
      <c r="W2143" s="166">
        <v>0</v>
      </c>
      <c r="X2143" s="164">
        <f>($L2143*'Pivot Objective'!$C$9^3)*V2143*W2143</f>
        <v>0</v>
      </c>
      <c r="Y2143" s="166">
        <v>0</v>
      </c>
      <c r="Z2143" s="166">
        <v>0</v>
      </c>
      <c r="AA2143" s="164">
        <f>($L2143*'Pivot Objective'!$C$9^4)*Y2143*Z2143</f>
        <v>0</v>
      </c>
      <c r="AB2143" s="166">
        <v>0</v>
      </c>
      <c r="AC2143" s="166">
        <v>0</v>
      </c>
      <c r="AD2143" s="164">
        <f>($L2143*'Pivot Objective'!$C$9^5)*AB2143*AC2143</f>
        <v>0</v>
      </c>
      <c r="AE2143" s="166">
        <v>0</v>
      </c>
      <c r="AF2143" s="166">
        <v>0</v>
      </c>
      <c r="AG2143" s="164">
        <f>($L2143*'Pivot Objective'!$C$9^6)*AE2143*AF2143</f>
        <v>0</v>
      </c>
      <c r="AH2143" s="166">
        <v>0</v>
      </c>
      <c r="AI2143" s="166">
        <v>0</v>
      </c>
      <c r="AJ2143" s="164">
        <f>($L2143*'Pivot Objective'!$C$9^7)*AH2143*AI2143</f>
        <v>0</v>
      </c>
      <c r="AK2143" s="185">
        <f t="shared" si="238"/>
        <v>0</v>
      </c>
      <c r="AL2143" s="186">
        <f t="shared" si="239"/>
        <v>0</v>
      </c>
    </row>
    <row r="2144" spans="1:38" customFormat="1" ht="57.6" x14ac:dyDescent="0.3">
      <c r="A2144" s="140" t="s">
        <v>1487</v>
      </c>
      <c r="B2144" s="140">
        <v>4</v>
      </c>
      <c r="C2144" s="166" t="s">
        <v>697</v>
      </c>
      <c r="D2144" s="140" t="str">
        <f t="shared" si="234"/>
        <v>1</v>
      </c>
      <c r="E2144" s="166" t="s">
        <v>692</v>
      </c>
      <c r="F2144" s="140">
        <f t="shared" si="236"/>
        <v>3</v>
      </c>
      <c r="G2144" s="140" t="str">
        <f t="shared" si="235"/>
        <v>4.1.3</v>
      </c>
      <c r="H2144" s="166" t="s">
        <v>664</v>
      </c>
      <c r="I2144" s="166" t="s">
        <v>1395</v>
      </c>
      <c r="J2144" s="166" t="s">
        <v>772</v>
      </c>
      <c r="K2144" s="166" t="s">
        <v>718</v>
      </c>
      <c r="L2144" s="177">
        <v>0</v>
      </c>
      <c r="M2144" s="166">
        <v>1</v>
      </c>
      <c r="N2144" s="166">
        <v>1</v>
      </c>
      <c r="O2144" s="164">
        <f t="shared" si="237"/>
        <v>0</v>
      </c>
      <c r="P2144" s="166">
        <v>0</v>
      </c>
      <c r="Q2144" s="166">
        <v>0</v>
      </c>
      <c r="R2144" s="164">
        <f>$L2144*'Pivot Objective'!$C$9*P2144*Q2144</f>
        <v>0</v>
      </c>
      <c r="S2144" s="166">
        <v>0</v>
      </c>
      <c r="T2144" s="166">
        <v>0</v>
      </c>
      <c r="U2144" s="164">
        <f>($L2144*'Pivot Objective'!$C$9^2)*S2144*T2144</f>
        <v>0</v>
      </c>
      <c r="V2144" s="166">
        <v>0</v>
      </c>
      <c r="W2144" s="166">
        <v>0</v>
      </c>
      <c r="X2144" s="164">
        <f>($L2144*'Pivot Objective'!$C$9^3)*V2144*W2144</f>
        <v>0</v>
      </c>
      <c r="Y2144" s="166">
        <v>0</v>
      </c>
      <c r="Z2144" s="166">
        <v>0</v>
      </c>
      <c r="AA2144" s="164">
        <f>($L2144*'Pivot Objective'!$C$9^4)*Y2144*Z2144</f>
        <v>0</v>
      </c>
      <c r="AB2144" s="166">
        <v>0</v>
      </c>
      <c r="AC2144" s="166">
        <v>0</v>
      </c>
      <c r="AD2144" s="164">
        <f>($L2144*'Pivot Objective'!$C$9^5)*AB2144*AC2144</f>
        <v>0</v>
      </c>
      <c r="AE2144" s="166">
        <v>0</v>
      </c>
      <c r="AF2144" s="166">
        <v>0</v>
      </c>
      <c r="AG2144" s="164">
        <f>($L2144*'Pivot Objective'!$C$9^6)*AE2144*AF2144</f>
        <v>0</v>
      </c>
      <c r="AH2144" s="166">
        <v>0</v>
      </c>
      <c r="AI2144" s="166">
        <v>0</v>
      </c>
      <c r="AJ2144" s="164">
        <f>($L2144*'Pivot Objective'!$C$9^7)*AH2144*AI2144</f>
        <v>0</v>
      </c>
      <c r="AK2144" s="185">
        <f t="shared" si="238"/>
        <v>0</v>
      </c>
      <c r="AL2144" s="186">
        <f t="shared" si="239"/>
        <v>0</v>
      </c>
    </row>
    <row r="2145" spans="1:38" customFormat="1" ht="57.6" x14ac:dyDescent="0.3">
      <c r="A2145" s="140" t="s">
        <v>1487</v>
      </c>
      <c r="B2145" s="140">
        <v>4</v>
      </c>
      <c r="C2145" s="166" t="s">
        <v>697</v>
      </c>
      <c r="D2145" s="140" t="str">
        <f t="shared" si="234"/>
        <v>1</v>
      </c>
      <c r="E2145" s="166" t="s">
        <v>692</v>
      </c>
      <c r="F2145" s="140">
        <f t="shared" si="236"/>
        <v>3</v>
      </c>
      <c r="G2145" s="140" t="str">
        <f t="shared" si="235"/>
        <v>4.1.3</v>
      </c>
      <c r="H2145" s="166" t="s">
        <v>664</v>
      </c>
      <c r="I2145" s="166" t="s">
        <v>1395</v>
      </c>
      <c r="J2145" s="166" t="s">
        <v>774</v>
      </c>
      <c r="K2145" s="166" t="s">
        <v>718</v>
      </c>
      <c r="L2145" s="177">
        <v>0</v>
      </c>
      <c r="M2145" s="166">
        <v>4</v>
      </c>
      <c r="N2145" s="166">
        <v>1</v>
      </c>
      <c r="O2145" s="164">
        <f t="shared" si="237"/>
        <v>0</v>
      </c>
      <c r="P2145" s="166">
        <v>0</v>
      </c>
      <c r="Q2145" s="166">
        <v>0</v>
      </c>
      <c r="R2145" s="164">
        <f>$L2145*'Pivot Objective'!$C$9*P2145*Q2145</f>
        <v>0</v>
      </c>
      <c r="S2145" s="166">
        <v>0</v>
      </c>
      <c r="T2145" s="166">
        <v>0</v>
      </c>
      <c r="U2145" s="164">
        <f>($L2145*'Pivot Objective'!$C$9^2)*S2145*T2145</f>
        <v>0</v>
      </c>
      <c r="V2145" s="166">
        <v>0</v>
      </c>
      <c r="W2145" s="166">
        <v>0</v>
      </c>
      <c r="X2145" s="164">
        <f>($L2145*'Pivot Objective'!$C$9^3)*V2145*W2145</f>
        <v>0</v>
      </c>
      <c r="Y2145" s="166">
        <v>0</v>
      </c>
      <c r="Z2145" s="166">
        <v>0</v>
      </c>
      <c r="AA2145" s="164">
        <f>($L2145*'Pivot Objective'!$C$9^4)*Y2145*Z2145</f>
        <v>0</v>
      </c>
      <c r="AB2145" s="166">
        <v>0</v>
      </c>
      <c r="AC2145" s="166">
        <v>0</v>
      </c>
      <c r="AD2145" s="164">
        <f>($L2145*'Pivot Objective'!$C$9^5)*AB2145*AC2145</f>
        <v>0</v>
      </c>
      <c r="AE2145" s="166">
        <v>0</v>
      </c>
      <c r="AF2145" s="166">
        <v>0</v>
      </c>
      <c r="AG2145" s="164">
        <f>($L2145*'Pivot Objective'!$C$9^6)*AE2145*AF2145</f>
        <v>0</v>
      </c>
      <c r="AH2145" s="166">
        <v>0</v>
      </c>
      <c r="AI2145" s="166">
        <v>0</v>
      </c>
      <c r="AJ2145" s="164">
        <f>($L2145*'Pivot Objective'!$C$9^7)*AH2145*AI2145</f>
        <v>0</v>
      </c>
      <c r="AK2145" s="185">
        <f t="shared" si="238"/>
        <v>0</v>
      </c>
      <c r="AL2145" s="186">
        <f t="shared" si="239"/>
        <v>0</v>
      </c>
    </row>
    <row r="2146" spans="1:38" customFormat="1" ht="57.6" x14ac:dyDescent="0.3">
      <c r="A2146" s="140" t="s">
        <v>1487</v>
      </c>
      <c r="B2146" s="140">
        <v>4</v>
      </c>
      <c r="C2146" s="166" t="s">
        <v>697</v>
      </c>
      <c r="D2146" s="140" t="str">
        <f t="shared" si="234"/>
        <v>1</v>
      </c>
      <c r="E2146" s="166" t="s">
        <v>692</v>
      </c>
      <c r="F2146" s="140">
        <f t="shared" si="236"/>
        <v>3</v>
      </c>
      <c r="G2146" s="140" t="str">
        <f t="shared" si="235"/>
        <v>4.1.3</v>
      </c>
      <c r="H2146" s="166" t="s">
        <v>664</v>
      </c>
      <c r="I2146" s="166" t="s">
        <v>1395</v>
      </c>
      <c r="J2146" s="166" t="s">
        <v>446</v>
      </c>
      <c r="K2146" s="166" t="s">
        <v>725</v>
      </c>
      <c r="L2146" s="177">
        <f>50000*1022</f>
        <v>51100000</v>
      </c>
      <c r="M2146" s="166"/>
      <c r="N2146" s="166"/>
      <c r="O2146" s="164">
        <f t="shared" si="237"/>
        <v>0</v>
      </c>
      <c r="P2146" s="166">
        <v>1</v>
      </c>
      <c r="Q2146" s="166">
        <v>1</v>
      </c>
      <c r="R2146" s="164">
        <f>$L2146*'Pivot Objective'!$C$9*P2146*Q2146</f>
        <v>58403268.056699991</v>
      </c>
      <c r="S2146" s="166"/>
      <c r="T2146" s="166"/>
      <c r="U2146" s="164">
        <f>($L2146*'Pivot Objective'!$C$9^2)*S2146*T2146</f>
        <v>0</v>
      </c>
      <c r="V2146" s="166"/>
      <c r="W2146" s="166"/>
      <c r="X2146" s="164">
        <f>($L2146*'Pivot Objective'!$C$9^3)*V2146*W2146</f>
        <v>0</v>
      </c>
      <c r="Y2146" s="166">
        <v>1</v>
      </c>
      <c r="Z2146" s="166">
        <v>1</v>
      </c>
      <c r="AA2146" s="164">
        <f>($L2146*'Pivot Objective'!$C$9^4)*Y2146*Z2146</f>
        <v>87193858.722886428</v>
      </c>
      <c r="AB2146" s="166">
        <v>0</v>
      </c>
      <c r="AC2146" s="166">
        <v>0</v>
      </c>
      <c r="AD2146" s="164">
        <f>($L2146*'Pivot Objective'!$C$9^5)*AB2146*AC2146</f>
        <v>0</v>
      </c>
      <c r="AE2146" s="166">
        <v>0</v>
      </c>
      <c r="AF2146" s="166">
        <v>0</v>
      </c>
      <c r="AG2146" s="164">
        <f>($L2146*'Pivot Objective'!$C$9^6)*AE2146*AF2146</f>
        <v>0</v>
      </c>
      <c r="AH2146" s="166">
        <v>0</v>
      </c>
      <c r="AI2146" s="166">
        <v>0</v>
      </c>
      <c r="AJ2146" s="164">
        <f>($L2146*'Pivot Objective'!$C$9^7)*AH2146*AI2146</f>
        <v>0</v>
      </c>
      <c r="AK2146" s="185">
        <f t="shared" si="238"/>
        <v>145597126.77958643</v>
      </c>
      <c r="AL2146" s="186">
        <f t="shared" si="239"/>
        <v>141356.43376658877</v>
      </c>
    </row>
    <row r="2147" spans="1:38" customFormat="1" ht="57.6" x14ac:dyDescent="0.3">
      <c r="A2147" s="140" t="s">
        <v>1487</v>
      </c>
      <c r="B2147" s="140">
        <v>4</v>
      </c>
      <c r="C2147" s="166" t="s">
        <v>697</v>
      </c>
      <c r="D2147" s="140" t="str">
        <f t="shared" si="234"/>
        <v>1</v>
      </c>
      <c r="E2147" s="166" t="s">
        <v>692</v>
      </c>
      <c r="F2147" s="140">
        <f t="shared" si="236"/>
        <v>3</v>
      </c>
      <c r="G2147" s="140" t="str">
        <f t="shared" si="235"/>
        <v>4.1.3</v>
      </c>
      <c r="H2147" s="166" t="s">
        <v>664</v>
      </c>
      <c r="I2147" s="166" t="s">
        <v>82</v>
      </c>
      <c r="J2147" s="166" t="s">
        <v>447</v>
      </c>
      <c r="K2147" s="166" t="s">
        <v>776</v>
      </c>
      <c r="L2147" s="177">
        <v>44100963</v>
      </c>
      <c r="M2147" s="166"/>
      <c r="N2147" s="166"/>
      <c r="O2147" s="164">
        <f t="shared" si="237"/>
        <v>0</v>
      </c>
      <c r="P2147" s="166"/>
      <c r="Q2147" s="166"/>
      <c r="R2147" s="164">
        <f>$L2147*'Pivot Objective'!$C$9*P2147*Q2147</f>
        <v>0</v>
      </c>
      <c r="S2147" s="166">
        <v>2</v>
      </c>
      <c r="T2147" s="166">
        <v>1</v>
      </c>
      <c r="U2147" s="164">
        <f>($L2147*'Pivot Objective'!$C$9^2)*S2147*T2147</f>
        <v>115215409.38933869</v>
      </c>
      <c r="V2147" s="166">
        <v>2</v>
      </c>
      <c r="W2147" s="166">
        <v>1</v>
      </c>
      <c r="X2147" s="164">
        <f>($L2147*'Pivot Objective'!$C$9^3)*V2147*W2147</f>
        <v>131682122.09056705</v>
      </c>
      <c r="Y2147" s="166">
        <v>2</v>
      </c>
      <c r="Z2147" s="166">
        <v>1</v>
      </c>
      <c r="AA2147" s="164">
        <f>($L2147*'Pivot Objective'!$C$9^4)*Y2147*Z2147</f>
        <v>150502275.43503883</v>
      </c>
      <c r="AB2147" s="166">
        <v>2</v>
      </c>
      <c r="AC2147" s="166">
        <v>1</v>
      </c>
      <c r="AD2147" s="164">
        <f>($L2147*'Pivot Objective'!$C$9^5)*AB2147*AC2147</f>
        <v>172012225.7412107</v>
      </c>
      <c r="AE2147" s="166">
        <v>2</v>
      </c>
      <c r="AF2147" s="166">
        <v>1</v>
      </c>
      <c r="AG2147" s="164">
        <f>($L2147*'Pivot Objective'!$C$9^6)*AE2147*AF2147</f>
        <v>196596401.74155617</v>
      </c>
      <c r="AH2147" s="166">
        <v>2</v>
      </c>
      <c r="AI2147" s="166">
        <v>1</v>
      </c>
      <c r="AJ2147" s="164">
        <f>($L2147*'Pivot Objective'!$C$9^7)*AH2147*AI2147</f>
        <v>224694175.14471209</v>
      </c>
      <c r="AK2147" s="185">
        <f t="shared" si="238"/>
        <v>990702609.54242349</v>
      </c>
      <c r="AL2147" s="186">
        <f t="shared" si="239"/>
        <v>961847.19373050821</v>
      </c>
    </row>
    <row r="2148" spans="1:38" customFormat="1" ht="57.6" x14ac:dyDescent="0.3">
      <c r="A2148" s="140" t="s">
        <v>1487</v>
      </c>
      <c r="B2148" s="140">
        <v>4</v>
      </c>
      <c r="C2148" s="166" t="s">
        <v>697</v>
      </c>
      <c r="D2148" s="140" t="str">
        <f t="shared" si="234"/>
        <v>1</v>
      </c>
      <c r="E2148" s="166" t="s">
        <v>692</v>
      </c>
      <c r="F2148" s="140">
        <f t="shared" si="236"/>
        <v>3</v>
      </c>
      <c r="G2148" s="140" t="str">
        <f t="shared" si="235"/>
        <v>4.1.3</v>
      </c>
      <c r="H2148" s="166" t="s">
        <v>664</v>
      </c>
      <c r="I2148" s="166" t="s">
        <v>82</v>
      </c>
      <c r="J2148" s="166" t="s">
        <v>447</v>
      </c>
      <c r="K2148" s="166" t="s">
        <v>777</v>
      </c>
      <c r="L2148" s="177">
        <v>49001070</v>
      </c>
      <c r="M2148" s="140"/>
      <c r="N2148" s="140"/>
      <c r="O2148" s="164">
        <f t="shared" si="237"/>
        <v>0</v>
      </c>
      <c r="P2148" s="166"/>
      <c r="Q2148" s="166"/>
      <c r="R2148" s="164">
        <f>$L2148*'Pivot Objective'!$C$9*P2148*Q2148</f>
        <v>0</v>
      </c>
      <c r="S2148" s="166">
        <v>1</v>
      </c>
      <c r="T2148" s="166">
        <v>1</v>
      </c>
      <c r="U2148" s="164">
        <f>($L2148*'Pivot Objective'!$C$9^2)*S2148*T2148</f>
        <v>64008560.771854825</v>
      </c>
      <c r="V2148" s="166">
        <v>1</v>
      </c>
      <c r="W2148" s="166">
        <v>1</v>
      </c>
      <c r="X2148" s="164">
        <f>($L2148*'Pivot Objective'!$C$9^3)*V2148*W2148</f>
        <v>73156734.49475947</v>
      </c>
      <c r="Y2148" s="166">
        <v>1</v>
      </c>
      <c r="Z2148" s="166">
        <v>1</v>
      </c>
      <c r="AA2148" s="164">
        <f>($L2148*'Pivot Objective'!$C$9^4)*Y2148*Z2148</f>
        <v>83612375.241688237</v>
      </c>
      <c r="AB2148" s="166">
        <v>1</v>
      </c>
      <c r="AC2148" s="166">
        <v>1</v>
      </c>
      <c r="AD2148" s="164">
        <f>($L2148*'Pivot Objective'!$C$9^5)*AB2148*AC2148</f>
        <v>95562347.634005949</v>
      </c>
      <c r="AE2148" s="166">
        <v>1</v>
      </c>
      <c r="AF2148" s="166">
        <v>1</v>
      </c>
      <c r="AG2148" s="164">
        <f>($L2148*'Pivot Objective'!$C$9^6)*AE2148*AF2148</f>
        <v>109220223.18975343</v>
      </c>
      <c r="AH2148" s="166">
        <v>1</v>
      </c>
      <c r="AI2148" s="166">
        <v>1</v>
      </c>
      <c r="AJ2148" s="164">
        <f>($L2148*'Pivot Objective'!$C$9^7)*AH2148*AI2148</f>
        <v>124830097.30261782</v>
      </c>
      <c r="AK2148" s="185">
        <f t="shared" si="238"/>
        <v>550390338.63467968</v>
      </c>
      <c r="AL2148" s="186">
        <f t="shared" si="239"/>
        <v>534359.55207250454</v>
      </c>
    </row>
    <row r="2149" spans="1:38" customFormat="1" ht="57.6" x14ac:dyDescent="0.3">
      <c r="A2149" s="140" t="s">
        <v>1487</v>
      </c>
      <c r="B2149" s="140">
        <v>4</v>
      </c>
      <c r="C2149" s="166" t="s">
        <v>697</v>
      </c>
      <c r="D2149" s="140" t="str">
        <f t="shared" si="234"/>
        <v>1</v>
      </c>
      <c r="E2149" s="166" t="s">
        <v>692</v>
      </c>
      <c r="F2149" s="140">
        <f t="shared" si="236"/>
        <v>3</v>
      </c>
      <c r="G2149" s="140" t="str">
        <f t="shared" si="235"/>
        <v>4.1.3</v>
      </c>
      <c r="H2149" s="166" t="s">
        <v>664</v>
      </c>
      <c r="I2149" s="166" t="s">
        <v>83</v>
      </c>
      <c r="J2149" s="166" t="s">
        <v>448</v>
      </c>
      <c r="K2149" s="166" t="s">
        <v>716</v>
      </c>
      <c r="L2149" s="177">
        <v>39000</v>
      </c>
      <c r="M2149" s="140"/>
      <c r="N2149" s="140"/>
      <c r="O2149" s="164">
        <f t="shared" si="237"/>
        <v>0</v>
      </c>
      <c r="P2149" s="166">
        <v>40</v>
      </c>
      <c r="Q2149" s="166">
        <v>2</v>
      </c>
      <c r="R2149" s="164">
        <f>$L2149*'Pivot Objective'!$C$9*P2149*Q2149</f>
        <v>3565913.8226399994</v>
      </c>
      <c r="S2149" s="166">
        <v>40</v>
      </c>
      <c r="T2149" s="166">
        <v>2</v>
      </c>
      <c r="U2149" s="164">
        <f>($L2149*'Pivot Objective'!$C$9^2)*S2149*T2149</f>
        <v>4075558.1379791717</v>
      </c>
      <c r="V2149" s="166">
        <v>40</v>
      </c>
      <c r="W2149" s="166">
        <v>2</v>
      </c>
      <c r="X2149" s="164">
        <f>($L2149*'Pivot Objective'!$C$9^3)*V2149*W2149</f>
        <v>4658041.3779464317</v>
      </c>
      <c r="Y2149" s="166">
        <v>40</v>
      </c>
      <c r="Z2149" s="166">
        <v>2</v>
      </c>
      <c r="AA2149" s="164">
        <f>($L2149*'Pivot Objective'!$C$9^4)*Y2149*Z2149</f>
        <v>5323773.7615539273</v>
      </c>
      <c r="AB2149" s="166">
        <v>40</v>
      </c>
      <c r="AC2149" s="166">
        <v>2</v>
      </c>
      <c r="AD2149" s="164">
        <f>($L2149*'Pivot Objective'!$C$9^5)*AB2149*AC2149</f>
        <v>6084653.3477350306</v>
      </c>
      <c r="AE2149" s="166">
        <v>40</v>
      </c>
      <c r="AF2149" s="166">
        <v>2</v>
      </c>
      <c r="AG2149" s="164">
        <f>($L2149*'Pivot Objective'!$C$9^6)*AE2149*AF2149</f>
        <v>6954278.6790580433</v>
      </c>
      <c r="AH2149" s="166">
        <v>40</v>
      </c>
      <c r="AI2149" s="166">
        <v>2</v>
      </c>
      <c r="AJ2149" s="164">
        <f>($L2149*'Pivot Objective'!$C$9^7)*AH2149*AI2149</f>
        <v>7948191.8167127287</v>
      </c>
      <c r="AK2149" s="185">
        <f t="shared" si="238"/>
        <v>38610410.943625338</v>
      </c>
      <c r="AL2149" s="186">
        <f t="shared" si="239"/>
        <v>37485.835867597416</v>
      </c>
    </row>
    <row r="2150" spans="1:38" customFormat="1" ht="57.6" x14ac:dyDescent="0.3">
      <c r="A2150" s="140" t="s">
        <v>1487</v>
      </c>
      <c r="B2150" s="140">
        <v>4</v>
      </c>
      <c r="C2150" s="166" t="s">
        <v>697</v>
      </c>
      <c r="D2150" s="140" t="str">
        <f t="shared" si="234"/>
        <v>1</v>
      </c>
      <c r="E2150" s="166" t="s">
        <v>692</v>
      </c>
      <c r="F2150" s="140">
        <f t="shared" si="236"/>
        <v>3</v>
      </c>
      <c r="G2150" s="140" t="str">
        <f t="shared" si="235"/>
        <v>4.1.3</v>
      </c>
      <c r="H2150" s="166" t="s">
        <v>664</v>
      </c>
      <c r="I2150" s="166" t="s">
        <v>83</v>
      </c>
      <c r="J2150" s="166" t="s">
        <v>448</v>
      </c>
      <c r="K2150" s="166" t="s">
        <v>709</v>
      </c>
      <c r="L2150" s="177">
        <v>35000</v>
      </c>
      <c r="M2150" s="140"/>
      <c r="N2150" s="140"/>
      <c r="O2150" s="164">
        <f t="shared" si="237"/>
        <v>0</v>
      </c>
      <c r="P2150" s="166">
        <v>40</v>
      </c>
      <c r="Q2150" s="166">
        <v>2</v>
      </c>
      <c r="R2150" s="164">
        <f>$L2150*'Pivot Objective'!$C$9*P2150*Q2150</f>
        <v>3200179.0715999994</v>
      </c>
      <c r="S2150" s="166">
        <v>40</v>
      </c>
      <c r="T2150" s="166">
        <v>2</v>
      </c>
      <c r="U2150" s="164">
        <f>($L2150*'Pivot Objective'!$C$9^2)*S2150*T2150</f>
        <v>3657552.1751095126</v>
      </c>
      <c r="V2150" s="166">
        <v>40</v>
      </c>
      <c r="W2150" s="166">
        <v>2</v>
      </c>
      <c r="X2150" s="164">
        <f>($L2150*'Pivot Objective'!$C$9^3)*V2150*W2150</f>
        <v>4180293.5443109004</v>
      </c>
      <c r="Y2150" s="166">
        <v>40</v>
      </c>
      <c r="Z2150" s="166">
        <v>2</v>
      </c>
      <c r="AA2150" s="164">
        <f>($L2150*'Pivot Objective'!$C$9^4)*Y2150*Z2150</f>
        <v>4777745.6834458318</v>
      </c>
      <c r="AB2150" s="166">
        <v>40</v>
      </c>
      <c r="AC2150" s="166">
        <v>2</v>
      </c>
      <c r="AD2150" s="164">
        <f>($L2150*'Pivot Objective'!$C$9^5)*AB2150*AC2150</f>
        <v>5460586.3377109244</v>
      </c>
      <c r="AE2150" s="166">
        <v>40</v>
      </c>
      <c r="AF2150" s="166">
        <v>2</v>
      </c>
      <c r="AG2150" s="164">
        <f>($L2150*'Pivot Objective'!$C$9^6)*AE2150*AF2150</f>
        <v>6241019.3273597816</v>
      </c>
      <c r="AH2150" s="166">
        <v>40</v>
      </c>
      <c r="AI2150" s="166">
        <v>2</v>
      </c>
      <c r="AJ2150" s="164">
        <f>($L2150*'Pivot Objective'!$C$9^7)*AH2150*AI2150</f>
        <v>7132992.6560242437</v>
      </c>
      <c r="AK2150" s="185">
        <f t="shared" si="238"/>
        <v>34650368.795561194</v>
      </c>
      <c r="AL2150" s="186">
        <f t="shared" si="239"/>
        <v>33641.134752972037</v>
      </c>
    </row>
    <row r="2151" spans="1:38" customFormat="1" ht="57.6" x14ac:dyDescent="0.3">
      <c r="A2151" s="140" t="s">
        <v>1487</v>
      </c>
      <c r="B2151" s="140">
        <v>4</v>
      </c>
      <c r="C2151" s="166" t="s">
        <v>697</v>
      </c>
      <c r="D2151" s="140" t="str">
        <f t="shared" si="234"/>
        <v>1</v>
      </c>
      <c r="E2151" s="166" t="s">
        <v>692</v>
      </c>
      <c r="F2151" s="140">
        <f t="shared" si="236"/>
        <v>3</v>
      </c>
      <c r="G2151" s="140" t="str">
        <f t="shared" si="235"/>
        <v>4.1.3</v>
      </c>
      <c r="H2151" s="166" t="s">
        <v>664</v>
      </c>
      <c r="I2151" s="166" t="s">
        <v>83</v>
      </c>
      <c r="J2151" s="166" t="s">
        <v>448</v>
      </c>
      <c r="K2151" s="166" t="s">
        <v>712</v>
      </c>
      <c r="L2151" s="177">
        <f>1480/7</f>
        <v>211.42857142857142</v>
      </c>
      <c r="M2151" s="140"/>
      <c r="N2151" s="140"/>
      <c r="O2151" s="164">
        <f t="shared" si="237"/>
        <v>0</v>
      </c>
      <c r="P2151" s="166">
        <f>25*2*12</f>
        <v>600</v>
      </c>
      <c r="Q2151" s="166">
        <v>2</v>
      </c>
      <c r="R2151" s="164">
        <f>$L2151*'Pivot Objective'!$C$9*P2151*Q2151</f>
        <v>289975.4097531428</v>
      </c>
      <c r="S2151" s="166">
        <f>2*25*12</f>
        <v>600</v>
      </c>
      <c r="T2151" s="166">
        <v>1</v>
      </c>
      <c r="U2151" s="164">
        <f>($L2151*'Pivot Objective'!$C$9^2)*S2151*T2151</f>
        <v>165709.50670904323</v>
      </c>
      <c r="V2151" s="166">
        <f>2*25*12</f>
        <v>600</v>
      </c>
      <c r="W2151" s="166">
        <v>1</v>
      </c>
      <c r="X2151" s="164">
        <f>($L2151*'Pivot Objective'!$C$9^3)*V2151*W2151</f>
        <v>189392.89119122853</v>
      </c>
      <c r="Y2151" s="166">
        <f>2*25*12</f>
        <v>600</v>
      </c>
      <c r="Z2151" s="166">
        <v>1</v>
      </c>
      <c r="AA2151" s="164">
        <f>($L2151*'Pivot Objective'!$C$9^4)*Y2151*Z2151</f>
        <v>216461.13096428051</v>
      </c>
      <c r="AB2151" s="166">
        <f>2*25*12</f>
        <v>600</v>
      </c>
      <c r="AC2151" s="166">
        <v>1</v>
      </c>
      <c r="AD2151" s="164">
        <f>($L2151*'Pivot Objective'!$C$9^5)*AB2151*AC2151</f>
        <v>247397.99325955615</v>
      </c>
      <c r="AE2151" s="166">
        <f>2*25*12</f>
        <v>600</v>
      </c>
      <c r="AF2151" s="166">
        <v>1</v>
      </c>
      <c r="AG2151" s="164">
        <f>($L2151*'Pivot Objective'!$C$9^6)*AE2151*AF2151</f>
        <v>282756.38585181051</v>
      </c>
      <c r="AH2151" s="166">
        <f>2*25*12</f>
        <v>600</v>
      </c>
      <c r="AI2151" s="166">
        <v>1</v>
      </c>
      <c r="AJ2151" s="164">
        <f>($L2151*'Pivot Objective'!$C$9^7)*AH2151*AI2151</f>
        <v>323168.23870150652</v>
      </c>
      <c r="AK2151" s="185">
        <f t="shared" si="238"/>
        <v>1714861.5564305682</v>
      </c>
      <c r="AL2151" s="186">
        <f t="shared" si="239"/>
        <v>1664.9141324568623</v>
      </c>
    </row>
    <row r="2152" spans="1:38" customFormat="1" ht="57.6" x14ac:dyDescent="0.3">
      <c r="A2152" s="140" t="s">
        <v>1487</v>
      </c>
      <c r="B2152" s="140">
        <v>4</v>
      </c>
      <c r="C2152" s="166" t="s">
        <v>697</v>
      </c>
      <c r="D2152" s="140" t="str">
        <f t="shared" si="234"/>
        <v>1</v>
      </c>
      <c r="E2152" s="166" t="s">
        <v>692</v>
      </c>
      <c r="F2152" s="140">
        <f t="shared" si="236"/>
        <v>3</v>
      </c>
      <c r="G2152" s="140" t="str">
        <f t="shared" si="235"/>
        <v>4.1.3</v>
      </c>
      <c r="H2152" s="166" t="s">
        <v>664</v>
      </c>
      <c r="I2152" s="166" t="s">
        <v>83</v>
      </c>
      <c r="J2152" s="166" t="s">
        <v>448</v>
      </c>
      <c r="K2152" s="166" t="s">
        <v>1299</v>
      </c>
      <c r="L2152" s="177">
        <f>1480/7</f>
        <v>211.42857142857142</v>
      </c>
      <c r="M2152" s="140"/>
      <c r="N2152" s="140"/>
      <c r="O2152" s="164">
        <f t="shared" si="237"/>
        <v>0</v>
      </c>
      <c r="P2152" s="166">
        <f>2*135*12</f>
        <v>3240</v>
      </c>
      <c r="Q2152" s="166">
        <v>1</v>
      </c>
      <c r="R2152" s="164">
        <f>$L2152*'Pivot Objective'!$C$9*P2152*Q2152</f>
        <v>782933.60633348557</v>
      </c>
      <c r="S2152" s="166">
        <f>2*135*12</f>
        <v>3240</v>
      </c>
      <c r="T2152" s="166">
        <v>1</v>
      </c>
      <c r="U2152" s="164">
        <f>($L2152*'Pivot Objective'!$C$9^2)*S2152*T2152</f>
        <v>894831.33622883353</v>
      </c>
      <c r="V2152" s="166">
        <f>2*135*12</f>
        <v>3240</v>
      </c>
      <c r="W2152" s="166">
        <v>1</v>
      </c>
      <c r="X2152" s="164">
        <f>($L2152*'Pivot Objective'!$C$9^3)*V2152*W2152</f>
        <v>1022721.612432634</v>
      </c>
      <c r="Y2152" s="166">
        <f>2*135*12</f>
        <v>3240</v>
      </c>
      <c r="Z2152" s="166">
        <v>1</v>
      </c>
      <c r="AA2152" s="164">
        <f>($L2152*'Pivot Objective'!$C$9^4)*Y2152*Z2152</f>
        <v>1168890.1072071148</v>
      </c>
      <c r="AB2152" s="166">
        <f>2*135*12</f>
        <v>3240</v>
      </c>
      <c r="AC2152" s="166">
        <v>0</v>
      </c>
      <c r="AD2152" s="164">
        <f>($L2152*'Pivot Objective'!$C$9^5)*AB2152*AC2152</f>
        <v>0</v>
      </c>
      <c r="AE2152" s="166">
        <f>2*135*12</f>
        <v>3240</v>
      </c>
      <c r="AF2152" s="166">
        <v>1</v>
      </c>
      <c r="AG2152" s="164">
        <f>($L2152*'Pivot Objective'!$C$9^6)*AE2152*AF2152</f>
        <v>1526884.4835997769</v>
      </c>
      <c r="AH2152" s="166">
        <f>2*135*12</f>
        <v>3240</v>
      </c>
      <c r="AI2152" s="166">
        <v>1</v>
      </c>
      <c r="AJ2152" s="164">
        <f>($L2152*'Pivot Objective'!$C$9^7)*AH2152*AI2152</f>
        <v>1745108.4889881352</v>
      </c>
      <c r="AK2152" s="185">
        <f t="shared" si="238"/>
        <v>7141369.6347899791</v>
      </c>
      <c r="AL2152" s="186">
        <f t="shared" si="239"/>
        <v>6933.3685774659989</v>
      </c>
    </row>
    <row r="2153" spans="1:38" customFormat="1" ht="57.6" x14ac:dyDescent="0.3">
      <c r="A2153" s="140" t="s">
        <v>1487</v>
      </c>
      <c r="B2153" s="140">
        <v>4</v>
      </c>
      <c r="C2153" s="166" t="s">
        <v>697</v>
      </c>
      <c r="D2153" s="140" t="str">
        <f t="shared" si="234"/>
        <v>1</v>
      </c>
      <c r="E2153" s="166" t="s">
        <v>692</v>
      </c>
      <c r="F2153" s="140">
        <f t="shared" si="236"/>
        <v>3</v>
      </c>
      <c r="G2153" s="140" t="str">
        <f t="shared" si="235"/>
        <v>4.1.3</v>
      </c>
      <c r="H2153" s="166" t="s">
        <v>664</v>
      </c>
      <c r="I2153" s="166" t="s">
        <v>83</v>
      </c>
      <c r="J2153" s="166" t="s">
        <v>280</v>
      </c>
      <c r="K2153" s="166" t="s">
        <v>709</v>
      </c>
      <c r="L2153" s="177">
        <v>35000</v>
      </c>
      <c r="M2153" s="140"/>
      <c r="N2153" s="140"/>
      <c r="O2153" s="164">
        <f t="shared" si="237"/>
        <v>0</v>
      </c>
      <c r="P2153" s="166">
        <v>40</v>
      </c>
      <c r="Q2153" s="166">
        <v>1</v>
      </c>
      <c r="R2153" s="164">
        <f>$L2153*'Pivot Objective'!$C$9*P2153*Q2153</f>
        <v>1600089.5357999997</v>
      </c>
      <c r="S2153" s="166">
        <v>40</v>
      </c>
      <c r="T2153" s="166">
        <v>1</v>
      </c>
      <c r="U2153" s="164">
        <f>($L2153*'Pivot Objective'!$C$9^2)*S2153*T2153</f>
        <v>1828776.0875547563</v>
      </c>
      <c r="V2153" s="166">
        <v>40</v>
      </c>
      <c r="W2153" s="166">
        <v>1</v>
      </c>
      <c r="X2153" s="164">
        <f>($L2153*'Pivot Objective'!$C$9^3)*V2153*W2153</f>
        <v>2090146.7721554502</v>
      </c>
      <c r="Y2153" s="166">
        <v>40</v>
      </c>
      <c r="Z2153" s="166">
        <v>1</v>
      </c>
      <c r="AA2153" s="164">
        <f>($L2153*'Pivot Objective'!$C$9^4)*Y2153*Z2153</f>
        <v>2388872.8417229159</v>
      </c>
      <c r="AB2153" s="166">
        <v>0</v>
      </c>
      <c r="AC2153" s="166">
        <v>0</v>
      </c>
      <c r="AD2153" s="164">
        <f>($L2153*'Pivot Objective'!$C$9^5)*AB2153*AC2153</f>
        <v>0</v>
      </c>
      <c r="AE2153" s="166">
        <v>0</v>
      </c>
      <c r="AF2153" s="166">
        <v>0</v>
      </c>
      <c r="AG2153" s="164">
        <f>($L2153*'Pivot Objective'!$C$9^6)*AE2153*AF2153</f>
        <v>0</v>
      </c>
      <c r="AH2153" s="166">
        <v>0</v>
      </c>
      <c r="AI2153" s="166">
        <v>0</v>
      </c>
      <c r="AJ2153" s="164">
        <f>($L2153*'Pivot Objective'!$C$9^7)*AH2153*AI2153</f>
        <v>0</v>
      </c>
      <c r="AK2153" s="185">
        <f t="shared" si="238"/>
        <v>7907885.2372331219</v>
      </c>
      <c r="AL2153" s="186">
        <f t="shared" si="239"/>
        <v>7677.5584827506036</v>
      </c>
    </row>
    <row r="2154" spans="1:38" customFormat="1" ht="57.6" x14ac:dyDescent="0.3">
      <c r="A2154" s="140" t="s">
        <v>1487</v>
      </c>
      <c r="B2154" s="140">
        <v>4</v>
      </c>
      <c r="C2154" s="166" t="s">
        <v>697</v>
      </c>
      <c r="D2154" s="140" t="str">
        <f t="shared" si="234"/>
        <v>1</v>
      </c>
      <c r="E2154" s="166" t="s">
        <v>692</v>
      </c>
      <c r="F2154" s="140">
        <f t="shared" si="236"/>
        <v>3</v>
      </c>
      <c r="G2154" s="140" t="str">
        <f t="shared" si="235"/>
        <v>4.1.3</v>
      </c>
      <c r="H2154" s="166" t="s">
        <v>664</v>
      </c>
      <c r="I2154" s="166" t="s">
        <v>83</v>
      </c>
      <c r="J2154" s="166" t="s">
        <v>449</v>
      </c>
      <c r="K2154" s="166" t="s">
        <v>718</v>
      </c>
      <c r="L2154" s="177">
        <v>0</v>
      </c>
      <c r="M2154" s="140"/>
      <c r="N2154" s="140"/>
      <c r="O2154" s="164">
        <f t="shared" si="237"/>
        <v>0</v>
      </c>
      <c r="P2154" s="166">
        <v>0</v>
      </c>
      <c r="Q2154" s="166">
        <v>0</v>
      </c>
      <c r="R2154" s="164">
        <f>$L2154*'Pivot Objective'!$C$9*P2154*Q2154</f>
        <v>0</v>
      </c>
      <c r="S2154" s="166">
        <v>0</v>
      </c>
      <c r="T2154" s="166">
        <v>0</v>
      </c>
      <c r="U2154" s="164">
        <f>($L2154*'Pivot Objective'!$C$9^2)*S2154*T2154</f>
        <v>0</v>
      </c>
      <c r="V2154" s="166">
        <v>0</v>
      </c>
      <c r="W2154" s="166">
        <v>0</v>
      </c>
      <c r="X2154" s="164">
        <f>($L2154*'Pivot Objective'!$C$9^3)*V2154*W2154</f>
        <v>0</v>
      </c>
      <c r="Y2154" s="166">
        <v>0</v>
      </c>
      <c r="Z2154" s="166">
        <v>0</v>
      </c>
      <c r="AA2154" s="164">
        <f>($L2154*'Pivot Objective'!$C$9^4)*Y2154*Z2154</f>
        <v>0</v>
      </c>
      <c r="AB2154" s="166">
        <v>0</v>
      </c>
      <c r="AC2154" s="166">
        <v>0</v>
      </c>
      <c r="AD2154" s="164">
        <f>($L2154*'Pivot Objective'!$C$9^5)*AB2154*AC2154</f>
        <v>0</v>
      </c>
      <c r="AE2154" s="166">
        <v>0</v>
      </c>
      <c r="AF2154" s="166">
        <v>0</v>
      </c>
      <c r="AG2154" s="164">
        <f>($L2154*'Pivot Objective'!$C$9^6)*AE2154*AF2154</f>
        <v>0</v>
      </c>
      <c r="AH2154" s="166">
        <v>0</v>
      </c>
      <c r="AI2154" s="166">
        <v>0</v>
      </c>
      <c r="AJ2154" s="164">
        <f>($L2154*'Pivot Objective'!$C$9^7)*AH2154*AI2154</f>
        <v>0</v>
      </c>
      <c r="AK2154" s="185">
        <f t="shared" si="238"/>
        <v>0</v>
      </c>
      <c r="AL2154" s="186">
        <f t="shared" si="239"/>
        <v>0</v>
      </c>
    </row>
    <row r="2155" spans="1:38" customFormat="1" ht="57.6" x14ac:dyDescent="0.3">
      <c r="A2155" s="140" t="s">
        <v>1487</v>
      </c>
      <c r="B2155" s="140">
        <v>4</v>
      </c>
      <c r="C2155" s="166" t="s">
        <v>697</v>
      </c>
      <c r="D2155" s="140" t="str">
        <f t="shared" si="234"/>
        <v>1</v>
      </c>
      <c r="E2155" s="166" t="s">
        <v>692</v>
      </c>
      <c r="F2155" s="140">
        <f t="shared" si="236"/>
        <v>3</v>
      </c>
      <c r="G2155" s="140" t="str">
        <f t="shared" si="235"/>
        <v>4.1.3</v>
      </c>
      <c r="H2155" s="166" t="s">
        <v>664</v>
      </c>
      <c r="I2155" s="166" t="s">
        <v>83</v>
      </c>
      <c r="J2155" s="166" t="s">
        <v>450</v>
      </c>
      <c r="K2155" s="166" t="s">
        <v>718</v>
      </c>
      <c r="L2155" s="177">
        <v>0</v>
      </c>
      <c r="M2155" s="140"/>
      <c r="N2155" s="140"/>
      <c r="O2155" s="164">
        <f t="shared" si="237"/>
        <v>0</v>
      </c>
      <c r="P2155" s="166">
        <v>0</v>
      </c>
      <c r="Q2155" s="166">
        <v>0</v>
      </c>
      <c r="R2155" s="164">
        <f>$L2155*'Pivot Objective'!$C$9*P2155*Q2155</f>
        <v>0</v>
      </c>
      <c r="S2155" s="166">
        <v>0</v>
      </c>
      <c r="T2155" s="166">
        <v>0</v>
      </c>
      <c r="U2155" s="164">
        <f>($L2155*'Pivot Objective'!$C$9^2)*S2155*T2155</f>
        <v>0</v>
      </c>
      <c r="V2155" s="166">
        <v>0</v>
      </c>
      <c r="W2155" s="166">
        <v>0</v>
      </c>
      <c r="X2155" s="164">
        <f>($L2155*'Pivot Objective'!$C$9^3)*V2155*W2155</f>
        <v>0</v>
      </c>
      <c r="Y2155" s="166">
        <v>0</v>
      </c>
      <c r="Z2155" s="166">
        <v>0</v>
      </c>
      <c r="AA2155" s="164">
        <f>($L2155*'Pivot Objective'!$C$9^4)*Y2155*Z2155</f>
        <v>0</v>
      </c>
      <c r="AB2155" s="166">
        <v>0</v>
      </c>
      <c r="AC2155" s="166">
        <v>0</v>
      </c>
      <c r="AD2155" s="164">
        <f>($L2155*'Pivot Objective'!$C$9^5)*AB2155*AC2155</f>
        <v>0</v>
      </c>
      <c r="AE2155" s="166">
        <v>0</v>
      </c>
      <c r="AF2155" s="166">
        <v>0</v>
      </c>
      <c r="AG2155" s="164">
        <f>($L2155*'Pivot Objective'!$C$9^6)*AE2155*AF2155</f>
        <v>0</v>
      </c>
      <c r="AH2155" s="166">
        <v>0</v>
      </c>
      <c r="AI2155" s="166">
        <v>0</v>
      </c>
      <c r="AJ2155" s="164">
        <f>($L2155*'Pivot Objective'!$C$9^7)*AH2155*AI2155</f>
        <v>0</v>
      </c>
      <c r="AK2155" s="185">
        <f t="shared" si="238"/>
        <v>0</v>
      </c>
      <c r="AL2155" s="186">
        <f t="shared" si="239"/>
        <v>0</v>
      </c>
    </row>
    <row r="2156" spans="1:38" customFormat="1" ht="57.6" x14ac:dyDescent="0.3">
      <c r="A2156" s="140" t="s">
        <v>1487</v>
      </c>
      <c r="B2156" s="140">
        <v>4</v>
      </c>
      <c r="C2156" s="166" t="s">
        <v>697</v>
      </c>
      <c r="D2156" s="140" t="str">
        <f t="shared" si="234"/>
        <v>1</v>
      </c>
      <c r="E2156" s="166" t="s">
        <v>692</v>
      </c>
      <c r="F2156" s="140">
        <f t="shared" si="236"/>
        <v>3</v>
      </c>
      <c r="G2156" s="140" t="str">
        <f t="shared" si="235"/>
        <v>4.1.3</v>
      </c>
      <c r="H2156" s="166" t="s">
        <v>664</v>
      </c>
      <c r="I2156" s="166" t="s">
        <v>84</v>
      </c>
      <c r="J2156" s="166" t="s">
        <v>451</v>
      </c>
      <c r="K2156" s="166" t="s">
        <v>778</v>
      </c>
      <c r="L2156" s="177">
        <f>10000*1022</f>
        <v>10220000</v>
      </c>
      <c r="M2156" s="140"/>
      <c r="N2156" s="140"/>
      <c r="O2156" s="164">
        <f t="shared" si="237"/>
        <v>0</v>
      </c>
      <c r="P2156" s="166">
        <v>1</v>
      </c>
      <c r="Q2156" s="166">
        <v>1</v>
      </c>
      <c r="R2156" s="164">
        <f>$L2156*'Pivot Objective'!$C$9*P2156*Q2156</f>
        <v>11680653.611339999</v>
      </c>
      <c r="S2156" s="166">
        <v>1</v>
      </c>
      <c r="T2156" s="166">
        <v>1</v>
      </c>
      <c r="U2156" s="164">
        <f>($L2156*'Pivot Objective'!$C$9^2)*S2156*T2156</f>
        <v>13350065.439149722</v>
      </c>
      <c r="V2156" s="166">
        <v>1</v>
      </c>
      <c r="W2156" s="166">
        <v>1</v>
      </c>
      <c r="X2156" s="164">
        <f>($L2156*'Pivot Objective'!$C$9^3)*V2156*W2156</f>
        <v>15258071.436734786</v>
      </c>
      <c r="Y2156" s="166">
        <v>1</v>
      </c>
      <c r="Z2156" s="166">
        <v>1</v>
      </c>
      <c r="AA2156" s="164">
        <f>($L2156*'Pivot Objective'!$C$9^4)*Y2156*Z2156</f>
        <v>17438771.744577289</v>
      </c>
      <c r="AB2156" s="166">
        <v>1</v>
      </c>
      <c r="AC2156" s="166">
        <v>1</v>
      </c>
      <c r="AD2156" s="164">
        <f>($L2156*'Pivot Objective'!$C$9^5)*AB2156*AC2156</f>
        <v>19931140.132644873</v>
      </c>
      <c r="AE2156" s="166">
        <v>1</v>
      </c>
      <c r="AF2156" s="166">
        <v>1</v>
      </c>
      <c r="AG2156" s="164">
        <f>($L2156*'Pivot Objective'!$C$9^6)*AE2156*AF2156</f>
        <v>22779720.544863205</v>
      </c>
      <c r="AH2156" s="166">
        <v>1</v>
      </c>
      <c r="AI2156" s="166">
        <v>1</v>
      </c>
      <c r="AJ2156" s="164">
        <f>($L2156*'Pivot Objective'!$C$9^7)*AH2156*AI2156</f>
        <v>26035423.194488492</v>
      </c>
      <c r="AK2156" s="185">
        <f t="shared" si="238"/>
        <v>126473846.10379837</v>
      </c>
      <c r="AL2156" s="186">
        <f t="shared" si="239"/>
        <v>122790.14184834794</v>
      </c>
    </row>
    <row r="2157" spans="1:38" customFormat="1" ht="57.6" x14ac:dyDescent="0.3">
      <c r="A2157" s="140" t="s">
        <v>1487</v>
      </c>
      <c r="B2157" s="140">
        <v>4</v>
      </c>
      <c r="C2157" s="166" t="s">
        <v>697</v>
      </c>
      <c r="D2157" s="140" t="str">
        <f t="shared" si="234"/>
        <v>1</v>
      </c>
      <c r="E2157" s="166" t="s">
        <v>692</v>
      </c>
      <c r="F2157" s="140">
        <f t="shared" si="236"/>
        <v>3</v>
      </c>
      <c r="G2157" s="140" t="str">
        <f t="shared" si="235"/>
        <v>4.1.3</v>
      </c>
      <c r="H2157" s="166" t="s">
        <v>664</v>
      </c>
      <c r="I2157" s="166" t="s">
        <v>84</v>
      </c>
      <c r="J2157" s="166" t="s">
        <v>452</v>
      </c>
      <c r="K2157" s="166" t="s">
        <v>716</v>
      </c>
      <c r="L2157" s="177">
        <v>39000</v>
      </c>
      <c r="M2157" s="140"/>
      <c r="N2157" s="140"/>
      <c r="O2157" s="164">
        <f t="shared" si="237"/>
        <v>0</v>
      </c>
      <c r="P2157" s="166">
        <v>10</v>
      </c>
      <c r="Q2157" s="166">
        <v>2</v>
      </c>
      <c r="R2157" s="164">
        <f>$L2157*'Pivot Objective'!$C$9*P2157*Q2157</f>
        <v>891478.45565999986</v>
      </c>
      <c r="S2157" s="166"/>
      <c r="T2157" s="166"/>
      <c r="U2157" s="164">
        <f>($L2157*'Pivot Objective'!$C$9^2)*S2157*T2157</f>
        <v>0</v>
      </c>
      <c r="V2157" s="166">
        <v>10</v>
      </c>
      <c r="W2157" s="166">
        <v>2</v>
      </c>
      <c r="X2157" s="164">
        <f>($L2157*'Pivot Objective'!$C$9^3)*V2157*W2157</f>
        <v>1164510.3444866079</v>
      </c>
      <c r="Y2157" s="166"/>
      <c r="Z2157" s="166"/>
      <c r="AA2157" s="164">
        <f>($L2157*'Pivot Objective'!$C$9^4)*Y2157*Z2157</f>
        <v>0</v>
      </c>
      <c r="AB2157" s="166">
        <v>10</v>
      </c>
      <c r="AC2157" s="166">
        <v>2</v>
      </c>
      <c r="AD2157" s="164">
        <f>($L2157*'Pivot Objective'!$C$9^5)*AB2157*AC2157</f>
        <v>1521163.3369337576</v>
      </c>
      <c r="AE2157" s="166">
        <v>0</v>
      </c>
      <c r="AF2157" s="166">
        <v>0</v>
      </c>
      <c r="AG2157" s="164">
        <f>($L2157*'Pivot Objective'!$C$9^6)*AE2157*AF2157</f>
        <v>0</v>
      </c>
      <c r="AH2157" s="166">
        <v>10</v>
      </c>
      <c r="AI2157" s="166">
        <v>2</v>
      </c>
      <c r="AJ2157" s="164">
        <f>($L2157*'Pivot Objective'!$C$9^7)*AH2157*AI2157</f>
        <v>1987047.9541781822</v>
      </c>
      <c r="AK2157" s="185">
        <f t="shared" si="238"/>
        <v>5564200.0912585473</v>
      </c>
      <c r="AL2157" s="186">
        <f t="shared" si="239"/>
        <v>5402.1360109306288</v>
      </c>
    </row>
    <row r="2158" spans="1:38" customFormat="1" ht="57.6" x14ac:dyDescent="0.3">
      <c r="A2158" s="140" t="s">
        <v>1487</v>
      </c>
      <c r="B2158" s="140">
        <v>4</v>
      </c>
      <c r="C2158" s="166" t="s">
        <v>697</v>
      </c>
      <c r="D2158" s="140" t="str">
        <f t="shared" si="234"/>
        <v>1</v>
      </c>
      <c r="E2158" s="166" t="s">
        <v>692</v>
      </c>
      <c r="F2158" s="140">
        <f t="shared" si="236"/>
        <v>3</v>
      </c>
      <c r="G2158" s="140" t="str">
        <f t="shared" si="235"/>
        <v>4.1.3</v>
      </c>
      <c r="H2158" s="166" t="s">
        <v>664</v>
      </c>
      <c r="I2158" s="166" t="s">
        <v>84</v>
      </c>
      <c r="J2158" s="166" t="s">
        <v>452</v>
      </c>
      <c r="K2158" s="166" t="s">
        <v>709</v>
      </c>
      <c r="L2158" s="177">
        <v>35000</v>
      </c>
      <c r="M2158" s="140"/>
      <c r="N2158" s="140"/>
      <c r="O2158" s="164">
        <f t="shared" si="237"/>
        <v>0</v>
      </c>
      <c r="P2158" s="166">
        <v>10</v>
      </c>
      <c r="Q2158" s="166">
        <v>2</v>
      </c>
      <c r="R2158" s="164">
        <f>$L2158*'Pivot Objective'!$C$9*P2158*Q2158</f>
        <v>800044.76789999986</v>
      </c>
      <c r="S2158" s="166">
        <v>0</v>
      </c>
      <c r="T2158" s="166">
        <v>0</v>
      </c>
      <c r="U2158" s="164">
        <f>($L2158*'Pivot Objective'!$C$9^2)*S2158*T2158</f>
        <v>0</v>
      </c>
      <c r="V2158" s="166">
        <v>10</v>
      </c>
      <c r="W2158" s="166">
        <v>2</v>
      </c>
      <c r="X2158" s="164">
        <f>($L2158*'Pivot Objective'!$C$9^3)*V2158*W2158</f>
        <v>1045073.3860777251</v>
      </c>
      <c r="Y2158" s="166"/>
      <c r="Z2158" s="166"/>
      <c r="AA2158" s="164">
        <f>($L2158*'Pivot Objective'!$C$9^4)*Y2158*Z2158</f>
        <v>0</v>
      </c>
      <c r="AB2158" s="166">
        <v>10</v>
      </c>
      <c r="AC2158" s="166">
        <v>2</v>
      </c>
      <c r="AD2158" s="164">
        <f>($L2158*'Pivot Objective'!$C$9^5)*AB2158*AC2158</f>
        <v>1365146.5844277311</v>
      </c>
      <c r="AE2158" s="166">
        <v>0</v>
      </c>
      <c r="AF2158" s="166">
        <v>0</v>
      </c>
      <c r="AG2158" s="164">
        <f>($L2158*'Pivot Objective'!$C$9^6)*AE2158*AF2158</f>
        <v>0</v>
      </c>
      <c r="AH2158" s="166">
        <v>10</v>
      </c>
      <c r="AI2158" s="166">
        <v>2</v>
      </c>
      <c r="AJ2158" s="164">
        <f>($L2158*'Pivot Objective'!$C$9^7)*AH2158*AI2158</f>
        <v>1783248.1640060609</v>
      </c>
      <c r="AK2158" s="185">
        <f t="shared" si="238"/>
        <v>4993512.9024115168</v>
      </c>
      <c r="AL2158" s="186">
        <f t="shared" si="239"/>
        <v>4848.0707790403076</v>
      </c>
    </row>
    <row r="2159" spans="1:38" customFormat="1" ht="57.6" x14ac:dyDescent="0.3">
      <c r="A2159" s="140" t="s">
        <v>1487</v>
      </c>
      <c r="B2159" s="140">
        <v>4</v>
      </c>
      <c r="C2159" s="166" t="s">
        <v>697</v>
      </c>
      <c r="D2159" s="140" t="str">
        <f t="shared" si="234"/>
        <v>1</v>
      </c>
      <c r="E2159" s="166" t="s">
        <v>692</v>
      </c>
      <c r="F2159" s="140">
        <f t="shared" si="236"/>
        <v>3</v>
      </c>
      <c r="G2159" s="140" t="str">
        <f t="shared" si="235"/>
        <v>4.1.3</v>
      </c>
      <c r="H2159" s="166" t="s">
        <v>664</v>
      </c>
      <c r="I2159" s="166" t="s">
        <v>84</v>
      </c>
      <c r="J2159" s="166" t="s">
        <v>452</v>
      </c>
      <c r="K2159" s="166" t="s">
        <v>712</v>
      </c>
      <c r="L2159" s="177">
        <f>1480/7</f>
        <v>211.42857142857142</v>
      </c>
      <c r="M2159" s="140"/>
      <c r="N2159" s="140"/>
      <c r="O2159" s="164">
        <f t="shared" si="237"/>
        <v>0</v>
      </c>
      <c r="P2159" s="166">
        <f>2*25*5</f>
        <v>250</v>
      </c>
      <c r="Q2159" s="166">
        <v>5</v>
      </c>
      <c r="R2159" s="164">
        <f>$L2159*'Pivot Objective'!$C$9*P2159*Q2159</f>
        <v>302057.71849285706</v>
      </c>
      <c r="S2159" s="166">
        <v>0</v>
      </c>
      <c r="T2159" s="166">
        <v>0</v>
      </c>
      <c r="U2159" s="164">
        <f>($L2159*'Pivot Objective'!$C$9^2)*S2159*T2159</f>
        <v>0</v>
      </c>
      <c r="V2159" s="166">
        <f>2*25*5</f>
        <v>250</v>
      </c>
      <c r="W2159" s="166">
        <v>5</v>
      </c>
      <c r="X2159" s="164">
        <f>($L2159*'Pivot Objective'!$C$9^3)*V2159*W2159</f>
        <v>394568.52331505943</v>
      </c>
      <c r="Y2159" s="166"/>
      <c r="Z2159" s="166">
        <v>1</v>
      </c>
      <c r="AA2159" s="164">
        <f>($L2159*'Pivot Objective'!$C$9^4)*Y2159*Z2159</f>
        <v>0</v>
      </c>
      <c r="AB2159" s="166">
        <f>2*25*5</f>
        <v>250</v>
      </c>
      <c r="AC2159" s="166">
        <v>5</v>
      </c>
      <c r="AD2159" s="164">
        <f>($L2159*'Pivot Objective'!$C$9^5)*AB2159*AC2159</f>
        <v>515412.48595740867</v>
      </c>
      <c r="AE2159" s="166">
        <v>0</v>
      </c>
      <c r="AF2159" s="166">
        <v>0</v>
      </c>
      <c r="AG2159" s="164">
        <f>($L2159*'Pivot Objective'!$C$9^6)*AE2159*AF2159</f>
        <v>0</v>
      </c>
      <c r="AH2159" s="166">
        <f>2*25*5</f>
        <v>250</v>
      </c>
      <c r="AI2159" s="166">
        <v>5</v>
      </c>
      <c r="AJ2159" s="164">
        <f>($L2159*'Pivot Objective'!$C$9^7)*AH2159*AI2159</f>
        <v>673267.16396147199</v>
      </c>
      <c r="AK2159" s="185">
        <f t="shared" si="238"/>
        <v>1885305.891726797</v>
      </c>
      <c r="AL2159" s="186">
        <f t="shared" si="239"/>
        <v>1830.3940696376669</v>
      </c>
    </row>
    <row r="2160" spans="1:38" customFormat="1" ht="57.6" x14ac:dyDescent="0.3">
      <c r="A2160" s="140" t="s">
        <v>1487</v>
      </c>
      <c r="B2160" s="140">
        <v>4</v>
      </c>
      <c r="C2160" s="166" t="s">
        <v>697</v>
      </c>
      <c r="D2160" s="140" t="str">
        <f t="shared" si="234"/>
        <v>1</v>
      </c>
      <c r="E2160" s="166" t="s">
        <v>692</v>
      </c>
      <c r="F2160" s="140">
        <f t="shared" si="236"/>
        <v>3</v>
      </c>
      <c r="G2160" s="140" t="str">
        <f t="shared" si="235"/>
        <v>4.1.3</v>
      </c>
      <c r="H2160" s="166" t="s">
        <v>664</v>
      </c>
      <c r="I2160" s="166" t="s">
        <v>84</v>
      </c>
      <c r="J2160" s="166" t="s">
        <v>452</v>
      </c>
      <c r="K2160" s="166" t="s">
        <v>1299</v>
      </c>
      <c r="L2160" s="177">
        <f>1480/7</f>
        <v>211.42857142857142</v>
      </c>
      <c r="M2160" s="140"/>
      <c r="N2160" s="140"/>
      <c r="O2160" s="164">
        <f t="shared" si="237"/>
        <v>0</v>
      </c>
      <c r="P2160" s="166">
        <f>2*135*5</f>
        <v>1350</v>
      </c>
      <c r="Q2160" s="166">
        <v>5</v>
      </c>
      <c r="R2160" s="164">
        <f>$L2160*'Pivot Objective'!$C$9*P2160*Q2160</f>
        <v>1631111.6798614282</v>
      </c>
      <c r="S2160" s="166">
        <v>0</v>
      </c>
      <c r="T2160" s="166">
        <v>0</v>
      </c>
      <c r="U2160" s="164">
        <f>($L2160*'Pivot Objective'!$C$9^2)*S2160*T2160</f>
        <v>0</v>
      </c>
      <c r="V2160" s="166">
        <f>2*135*5</f>
        <v>1350</v>
      </c>
      <c r="W2160" s="166">
        <v>5</v>
      </c>
      <c r="X2160" s="164">
        <f>($L2160*'Pivot Objective'!$C$9^3)*V2160*W2160</f>
        <v>2130670.0259013209</v>
      </c>
      <c r="Y2160" s="166"/>
      <c r="Z2160" s="166">
        <v>1</v>
      </c>
      <c r="AA2160" s="164">
        <f>($L2160*'Pivot Objective'!$C$9^4)*Y2160*Z2160</f>
        <v>0</v>
      </c>
      <c r="AB2160" s="166">
        <f>2*135*5</f>
        <v>1350</v>
      </c>
      <c r="AC2160" s="166">
        <v>5</v>
      </c>
      <c r="AD2160" s="164">
        <f>($L2160*'Pivot Objective'!$C$9^5)*AB2160*AC2160</f>
        <v>2783227.424170007</v>
      </c>
      <c r="AE2160" s="166">
        <v>0</v>
      </c>
      <c r="AF2160" s="166">
        <v>0</v>
      </c>
      <c r="AG2160" s="164">
        <f>($L2160*'Pivot Objective'!$C$9^6)*AE2160*AF2160</f>
        <v>0</v>
      </c>
      <c r="AH2160" s="166">
        <f>2*135*5</f>
        <v>1350</v>
      </c>
      <c r="AI2160" s="166">
        <v>5</v>
      </c>
      <c r="AJ2160" s="164">
        <f>($L2160*'Pivot Objective'!$C$9^7)*AH2160*AI2160</f>
        <v>3635642.6853919486</v>
      </c>
      <c r="AK2160" s="185">
        <f t="shared" si="238"/>
        <v>10180651.815324705</v>
      </c>
      <c r="AL2160" s="186">
        <f t="shared" si="239"/>
        <v>9884.1279760434027</v>
      </c>
    </row>
    <row r="2161" spans="1:38" customFormat="1" ht="57.6" x14ac:dyDescent="0.3">
      <c r="A2161" s="140" t="s">
        <v>1487</v>
      </c>
      <c r="B2161" s="140">
        <v>4</v>
      </c>
      <c r="C2161" s="166" t="s">
        <v>697</v>
      </c>
      <c r="D2161" s="140" t="str">
        <f t="shared" si="234"/>
        <v>1</v>
      </c>
      <c r="E2161" s="166" t="s">
        <v>692</v>
      </c>
      <c r="F2161" s="140">
        <f t="shared" si="236"/>
        <v>3</v>
      </c>
      <c r="G2161" s="140" t="str">
        <f t="shared" si="235"/>
        <v>4.1.3</v>
      </c>
      <c r="H2161" s="166" t="s">
        <v>664</v>
      </c>
      <c r="I2161" s="166" t="s">
        <v>85</v>
      </c>
      <c r="J2161" s="166" t="s">
        <v>779</v>
      </c>
      <c r="K2161" s="166" t="s">
        <v>718</v>
      </c>
      <c r="L2161" s="177">
        <v>0</v>
      </c>
      <c r="M2161" s="166">
        <v>0</v>
      </c>
      <c r="N2161" s="166">
        <v>0</v>
      </c>
      <c r="O2161" s="164">
        <f t="shared" si="237"/>
        <v>0</v>
      </c>
      <c r="P2161" s="166">
        <v>0</v>
      </c>
      <c r="Q2161" s="166">
        <v>0</v>
      </c>
      <c r="R2161" s="164">
        <f>$L2161*'Pivot Objective'!$C$9*P2161*Q2161</f>
        <v>0</v>
      </c>
      <c r="S2161" s="166">
        <v>0</v>
      </c>
      <c r="T2161" s="166">
        <v>0</v>
      </c>
      <c r="U2161" s="164">
        <f>($L2161*'Pivot Objective'!$C$9^2)*S2161*T2161</f>
        <v>0</v>
      </c>
      <c r="V2161" s="166">
        <v>0</v>
      </c>
      <c r="W2161" s="166">
        <v>0</v>
      </c>
      <c r="X2161" s="164">
        <f>($L2161*'Pivot Objective'!$C$9^3)*V2161*W2161</f>
        <v>0</v>
      </c>
      <c r="Y2161" s="166">
        <v>0</v>
      </c>
      <c r="Z2161" s="166">
        <v>0</v>
      </c>
      <c r="AA2161" s="164">
        <f>($L2161*'Pivot Objective'!$C$9^4)*Y2161*Z2161</f>
        <v>0</v>
      </c>
      <c r="AB2161" s="166">
        <v>0</v>
      </c>
      <c r="AC2161" s="166">
        <v>0</v>
      </c>
      <c r="AD2161" s="164">
        <f>($L2161*'Pivot Objective'!$C$9^5)*AB2161*AC2161</f>
        <v>0</v>
      </c>
      <c r="AE2161" s="166">
        <v>0</v>
      </c>
      <c r="AF2161" s="166">
        <v>0</v>
      </c>
      <c r="AG2161" s="164">
        <f>($L2161*'Pivot Objective'!$C$9^6)*AE2161*AF2161</f>
        <v>0</v>
      </c>
      <c r="AH2161" s="166">
        <v>0</v>
      </c>
      <c r="AI2161" s="166">
        <v>0</v>
      </c>
      <c r="AJ2161" s="164">
        <f>($L2161*'Pivot Objective'!$C$9^7)*AH2161*AI2161</f>
        <v>0</v>
      </c>
      <c r="AK2161" s="185">
        <f t="shared" si="238"/>
        <v>0</v>
      </c>
      <c r="AL2161" s="186">
        <f t="shared" si="239"/>
        <v>0</v>
      </c>
    </row>
    <row r="2162" spans="1:38" customFormat="1" ht="57.6" x14ac:dyDescent="0.3">
      <c r="A2162" s="140" t="s">
        <v>1487</v>
      </c>
      <c r="B2162" s="140">
        <v>4</v>
      </c>
      <c r="C2162" s="166" t="s">
        <v>697</v>
      </c>
      <c r="D2162" s="140" t="str">
        <f t="shared" ref="D2162:D2225" si="240">RIGHT(A2162,1)</f>
        <v>1</v>
      </c>
      <c r="E2162" s="166" t="s">
        <v>692</v>
      </c>
      <c r="F2162" s="140">
        <f t="shared" si="236"/>
        <v>3</v>
      </c>
      <c r="G2162" s="140" t="str">
        <f t="shared" si="235"/>
        <v>4.1.3</v>
      </c>
      <c r="H2162" s="166" t="s">
        <v>664</v>
      </c>
      <c r="I2162" s="166" t="s">
        <v>85</v>
      </c>
      <c r="J2162" s="166" t="s">
        <v>780</v>
      </c>
      <c r="K2162" s="166" t="s">
        <v>718</v>
      </c>
      <c r="L2162" s="177">
        <v>0</v>
      </c>
      <c r="M2162" s="166">
        <v>0</v>
      </c>
      <c r="N2162" s="166">
        <v>0</v>
      </c>
      <c r="O2162" s="164">
        <f t="shared" si="237"/>
        <v>0</v>
      </c>
      <c r="P2162" s="166">
        <v>0</v>
      </c>
      <c r="Q2162" s="166">
        <v>0</v>
      </c>
      <c r="R2162" s="164">
        <f>$L2162*'Pivot Objective'!$C$9*P2162*Q2162</f>
        <v>0</v>
      </c>
      <c r="S2162" s="166">
        <v>0</v>
      </c>
      <c r="T2162" s="166">
        <v>0</v>
      </c>
      <c r="U2162" s="164">
        <f>($L2162*'Pivot Objective'!$C$9^2)*S2162*T2162</f>
        <v>0</v>
      </c>
      <c r="V2162" s="166">
        <v>0</v>
      </c>
      <c r="W2162" s="166">
        <v>0</v>
      </c>
      <c r="X2162" s="164">
        <f>($L2162*'Pivot Objective'!$C$9^3)*V2162*W2162</f>
        <v>0</v>
      </c>
      <c r="Y2162" s="166">
        <v>0</v>
      </c>
      <c r="Z2162" s="166">
        <v>0</v>
      </c>
      <c r="AA2162" s="164">
        <f>($L2162*'Pivot Objective'!$C$9^4)*Y2162*Z2162</f>
        <v>0</v>
      </c>
      <c r="AB2162" s="166">
        <v>0</v>
      </c>
      <c r="AC2162" s="166">
        <v>0</v>
      </c>
      <c r="AD2162" s="164">
        <f>($L2162*'Pivot Objective'!$C$9^5)*AB2162*AC2162</f>
        <v>0</v>
      </c>
      <c r="AE2162" s="166">
        <v>0</v>
      </c>
      <c r="AF2162" s="166">
        <v>0</v>
      </c>
      <c r="AG2162" s="164">
        <f>($L2162*'Pivot Objective'!$C$9^6)*AE2162*AF2162</f>
        <v>0</v>
      </c>
      <c r="AH2162" s="166">
        <v>0</v>
      </c>
      <c r="AI2162" s="166">
        <v>0</v>
      </c>
      <c r="AJ2162" s="164">
        <f>($L2162*'Pivot Objective'!$C$9^7)*AH2162*AI2162</f>
        <v>0</v>
      </c>
      <c r="AK2162" s="185">
        <f t="shared" si="238"/>
        <v>0</v>
      </c>
      <c r="AL2162" s="186">
        <f t="shared" si="239"/>
        <v>0</v>
      </c>
    </row>
    <row r="2163" spans="1:38" customFormat="1" ht="57.6" x14ac:dyDescent="0.3">
      <c r="A2163" s="140" t="s">
        <v>1487</v>
      </c>
      <c r="B2163" s="140">
        <v>4</v>
      </c>
      <c r="C2163" s="166" t="s">
        <v>697</v>
      </c>
      <c r="D2163" s="140" t="str">
        <f t="shared" si="240"/>
        <v>1</v>
      </c>
      <c r="E2163" s="166" t="s">
        <v>692</v>
      </c>
      <c r="F2163" s="140">
        <f t="shared" si="236"/>
        <v>3</v>
      </c>
      <c r="G2163" s="140" t="str">
        <f t="shared" ref="G2163:G2226" si="241">B2163&amp;"."&amp;D2163&amp;"."&amp;F2163</f>
        <v>4.1.3</v>
      </c>
      <c r="H2163" s="166" t="s">
        <v>664</v>
      </c>
      <c r="I2163" s="166" t="s">
        <v>85</v>
      </c>
      <c r="J2163" s="166" t="s">
        <v>455</v>
      </c>
      <c r="K2163" s="166" t="s">
        <v>718</v>
      </c>
      <c r="L2163" s="177">
        <v>0</v>
      </c>
      <c r="M2163" s="166">
        <v>0</v>
      </c>
      <c r="N2163" s="166">
        <v>0</v>
      </c>
      <c r="O2163" s="164">
        <f t="shared" si="237"/>
        <v>0</v>
      </c>
      <c r="P2163" s="166">
        <v>0</v>
      </c>
      <c r="Q2163" s="166">
        <v>0</v>
      </c>
      <c r="R2163" s="164">
        <f>$L2163*'Pivot Objective'!$C$9*P2163*Q2163</f>
        <v>0</v>
      </c>
      <c r="S2163" s="166">
        <v>0</v>
      </c>
      <c r="T2163" s="166">
        <v>0</v>
      </c>
      <c r="U2163" s="164">
        <f>($L2163*'Pivot Objective'!$C$9^2)*S2163*T2163</f>
        <v>0</v>
      </c>
      <c r="V2163" s="166">
        <v>0</v>
      </c>
      <c r="W2163" s="166">
        <v>0</v>
      </c>
      <c r="X2163" s="164">
        <f>($L2163*'Pivot Objective'!$C$9^3)*V2163*W2163</f>
        <v>0</v>
      </c>
      <c r="Y2163" s="166">
        <v>0</v>
      </c>
      <c r="Z2163" s="166">
        <v>0</v>
      </c>
      <c r="AA2163" s="164">
        <f>($L2163*'Pivot Objective'!$C$9^4)*Y2163*Z2163</f>
        <v>0</v>
      </c>
      <c r="AB2163" s="166">
        <v>0</v>
      </c>
      <c r="AC2163" s="166">
        <v>0</v>
      </c>
      <c r="AD2163" s="164">
        <f>($L2163*'Pivot Objective'!$C$9^5)*AB2163*AC2163</f>
        <v>0</v>
      </c>
      <c r="AE2163" s="166">
        <v>0</v>
      </c>
      <c r="AF2163" s="166">
        <v>0</v>
      </c>
      <c r="AG2163" s="164">
        <f>($L2163*'Pivot Objective'!$C$9^6)*AE2163*AF2163</f>
        <v>0</v>
      </c>
      <c r="AH2163" s="166">
        <v>0</v>
      </c>
      <c r="AI2163" s="166">
        <v>0</v>
      </c>
      <c r="AJ2163" s="164">
        <f>($L2163*'Pivot Objective'!$C$9^7)*AH2163*AI2163</f>
        <v>0</v>
      </c>
      <c r="AK2163" s="185">
        <f t="shared" si="238"/>
        <v>0</v>
      </c>
      <c r="AL2163" s="186">
        <f t="shared" si="239"/>
        <v>0</v>
      </c>
    </row>
    <row r="2164" spans="1:38" customFormat="1" ht="57.6" x14ac:dyDescent="0.3">
      <c r="A2164" s="140" t="s">
        <v>1487</v>
      </c>
      <c r="B2164" s="140">
        <v>4</v>
      </c>
      <c r="C2164" s="166" t="s">
        <v>697</v>
      </c>
      <c r="D2164" s="140" t="str">
        <f t="shared" si="240"/>
        <v>1</v>
      </c>
      <c r="E2164" s="166" t="s">
        <v>692</v>
      </c>
      <c r="F2164" s="140">
        <f t="shared" si="236"/>
        <v>3</v>
      </c>
      <c r="G2164" s="140" t="str">
        <f t="shared" si="241"/>
        <v>4.1.3</v>
      </c>
      <c r="H2164" s="166" t="s">
        <v>664</v>
      </c>
      <c r="I2164" s="166" t="s">
        <v>86</v>
      </c>
      <c r="J2164" s="166" t="s">
        <v>781</v>
      </c>
      <c r="K2164" s="166" t="s">
        <v>718</v>
      </c>
      <c r="L2164" s="177">
        <v>0</v>
      </c>
      <c r="M2164" s="166">
        <v>0</v>
      </c>
      <c r="N2164" s="166">
        <v>0</v>
      </c>
      <c r="O2164" s="164">
        <f t="shared" si="237"/>
        <v>0</v>
      </c>
      <c r="P2164" s="166">
        <v>0</v>
      </c>
      <c r="Q2164" s="166">
        <v>0</v>
      </c>
      <c r="R2164" s="164">
        <f>$L2164*'Pivot Objective'!$C$9*P2164*Q2164</f>
        <v>0</v>
      </c>
      <c r="S2164" s="166">
        <v>0</v>
      </c>
      <c r="T2164" s="166">
        <v>0</v>
      </c>
      <c r="U2164" s="164">
        <f>($L2164*'Pivot Objective'!$C$9^2)*S2164*T2164</f>
        <v>0</v>
      </c>
      <c r="V2164" s="166">
        <v>0</v>
      </c>
      <c r="W2164" s="166">
        <v>0</v>
      </c>
      <c r="X2164" s="164">
        <f>($L2164*'Pivot Objective'!$C$9^3)*V2164*W2164</f>
        <v>0</v>
      </c>
      <c r="Y2164" s="166">
        <v>0</v>
      </c>
      <c r="Z2164" s="166">
        <v>0</v>
      </c>
      <c r="AA2164" s="164">
        <f>($L2164*'Pivot Objective'!$C$9^4)*Y2164*Z2164</f>
        <v>0</v>
      </c>
      <c r="AB2164" s="166">
        <v>0</v>
      </c>
      <c r="AC2164" s="166">
        <v>0</v>
      </c>
      <c r="AD2164" s="164">
        <f>($L2164*'Pivot Objective'!$C$9^5)*AB2164*AC2164</f>
        <v>0</v>
      </c>
      <c r="AE2164" s="166">
        <v>0</v>
      </c>
      <c r="AF2164" s="166">
        <v>0</v>
      </c>
      <c r="AG2164" s="164">
        <f>($L2164*'Pivot Objective'!$C$9^6)*AE2164*AF2164</f>
        <v>0</v>
      </c>
      <c r="AH2164" s="166">
        <v>0</v>
      </c>
      <c r="AI2164" s="166">
        <v>0</v>
      </c>
      <c r="AJ2164" s="164">
        <f>($L2164*'Pivot Objective'!$C$9^7)*AH2164*AI2164</f>
        <v>0</v>
      </c>
      <c r="AK2164" s="185">
        <f t="shared" si="238"/>
        <v>0</v>
      </c>
      <c r="AL2164" s="186">
        <f t="shared" si="239"/>
        <v>0</v>
      </c>
    </row>
    <row r="2165" spans="1:38" customFormat="1" ht="57.6" x14ac:dyDescent="0.3">
      <c r="A2165" s="140" t="s">
        <v>1487</v>
      </c>
      <c r="B2165" s="140">
        <v>4</v>
      </c>
      <c r="C2165" s="166" t="s">
        <v>697</v>
      </c>
      <c r="D2165" s="140" t="str">
        <f t="shared" si="240"/>
        <v>1</v>
      </c>
      <c r="E2165" s="166" t="s">
        <v>692</v>
      </c>
      <c r="F2165" s="140">
        <f t="shared" si="236"/>
        <v>3</v>
      </c>
      <c r="G2165" s="140" t="str">
        <f t="shared" si="241"/>
        <v>4.1.3</v>
      </c>
      <c r="H2165" s="166" t="s">
        <v>664</v>
      </c>
      <c r="I2165" s="166" t="s">
        <v>86</v>
      </c>
      <c r="J2165" s="166" t="s">
        <v>781</v>
      </c>
      <c r="K2165" s="166" t="s">
        <v>709</v>
      </c>
      <c r="L2165" s="177">
        <v>35000</v>
      </c>
      <c r="M2165" s="166">
        <v>60</v>
      </c>
      <c r="N2165" s="166">
        <v>5</v>
      </c>
      <c r="O2165" s="164">
        <f t="shared" si="237"/>
        <v>10500000</v>
      </c>
      <c r="P2165" s="166">
        <v>60</v>
      </c>
      <c r="Q2165" s="166">
        <v>5</v>
      </c>
      <c r="R2165" s="164">
        <f>$L2165*'Pivot Objective'!$C$9*P2165*Q2165</f>
        <v>12000671.518499998</v>
      </c>
      <c r="S2165" s="166">
        <v>60</v>
      </c>
      <c r="T2165" s="166">
        <v>5</v>
      </c>
      <c r="U2165" s="164">
        <f>($L2165*'Pivot Objective'!$C$9^2)*S2165*T2165</f>
        <v>13715820.656660672</v>
      </c>
      <c r="V2165" s="166">
        <v>60</v>
      </c>
      <c r="W2165" s="166">
        <v>5</v>
      </c>
      <c r="X2165" s="164">
        <f>($L2165*'Pivot Objective'!$C$9^3)*V2165*W2165</f>
        <v>15676100.791165877</v>
      </c>
      <c r="Y2165" s="166">
        <v>60</v>
      </c>
      <c r="Z2165" s="166">
        <v>5</v>
      </c>
      <c r="AA2165" s="164">
        <f>($L2165*'Pivot Objective'!$C$9^4)*Y2165*Z2165</f>
        <v>17916546.31292187</v>
      </c>
      <c r="AB2165" s="166">
        <v>60</v>
      </c>
      <c r="AC2165" s="166">
        <v>5</v>
      </c>
      <c r="AD2165" s="164">
        <f>($L2165*'Pivot Objective'!$C$9^5)*AB2165*AC2165</f>
        <v>20477198.766415965</v>
      </c>
      <c r="AE2165" s="166">
        <v>60</v>
      </c>
      <c r="AF2165" s="166">
        <v>5</v>
      </c>
      <c r="AG2165" s="164">
        <f>($L2165*'Pivot Objective'!$C$9^6)*AE2165*AF2165</f>
        <v>23403822.477599181</v>
      </c>
      <c r="AH2165" s="166">
        <v>60</v>
      </c>
      <c r="AI2165" s="166">
        <v>5</v>
      </c>
      <c r="AJ2165" s="164">
        <f>($L2165*'Pivot Objective'!$C$9^7)*AH2165*AI2165</f>
        <v>26748722.460090913</v>
      </c>
      <c r="AK2165" s="185">
        <f t="shared" si="238"/>
        <v>140438882.98335448</v>
      </c>
      <c r="AL2165" s="186">
        <f t="shared" si="239"/>
        <v>136348.43008092669</v>
      </c>
    </row>
    <row r="2166" spans="1:38" customFormat="1" ht="57.6" x14ac:dyDescent="0.3">
      <c r="A2166" s="140" t="s">
        <v>1487</v>
      </c>
      <c r="B2166" s="140">
        <v>4</v>
      </c>
      <c r="C2166" s="166" t="s">
        <v>697</v>
      </c>
      <c r="D2166" s="140" t="str">
        <f t="shared" si="240"/>
        <v>1</v>
      </c>
      <c r="E2166" s="166" t="s">
        <v>692</v>
      </c>
      <c r="F2166" s="140">
        <f t="shared" si="236"/>
        <v>3</v>
      </c>
      <c r="G2166" s="140" t="str">
        <f t="shared" si="241"/>
        <v>4.1.3</v>
      </c>
      <c r="H2166" s="166" t="s">
        <v>664</v>
      </c>
      <c r="I2166" s="166" t="s">
        <v>86</v>
      </c>
      <c r="J2166" s="166" t="s">
        <v>162</v>
      </c>
      <c r="K2166" s="166" t="s">
        <v>716</v>
      </c>
      <c r="L2166" s="177">
        <v>39000</v>
      </c>
      <c r="M2166" s="166">
        <v>60</v>
      </c>
      <c r="N2166" s="166">
        <v>6</v>
      </c>
      <c r="O2166" s="164">
        <f t="shared" si="237"/>
        <v>14040000</v>
      </c>
      <c r="P2166" s="166">
        <v>60</v>
      </c>
      <c r="Q2166" s="166">
        <v>6</v>
      </c>
      <c r="R2166" s="164">
        <f>$L2166*'Pivot Objective'!$C$9*P2166*Q2166</f>
        <v>16046612.201879997</v>
      </c>
      <c r="S2166" s="166">
        <v>60</v>
      </c>
      <c r="T2166" s="166">
        <v>6</v>
      </c>
      <c r="U2166" s="164">
        <f>($L2166*'Pivot Objective'!$C$9^2)*S2166*T2166</f>
        <v>18340011.620906271</v>
      </c>
      <c r="V2166" s="166">
        <v>60</v>
      </c>
      <c r="W2166" s="166">
        <v>6</v>
      </c>
      <c r="X2166" s="164">
        <f>($L2166*'Pivot Objective'!$C$9^3)*V2166*W2166</f>
        <v>20961186.200758941</v>
      </c>
      <c r="Y2166" s="166">
        <v>60</v>
      </c>
      <c r="Z2166" s="166">
        <v>6</v>
      </c>
      <c r="AA2166" s="164">
        <f>($L2166*'Pivot Objective'!$C$9^4)*Y2166*Z2166</f>
        <v>23956981.92699267</v>
      </c>
      <c r="AB2166" s="166">
        <v>60</v>
      </c>
      <c r="AC2166" s="166">
        <v>6</v>
      </c>
      <c r="AD2166" s="164">
        <f>($L2166*'Pivot Objective'!$C$9^5)*AB2166*AC2166</f>
        <v>27380940.064807635</v>
      </c>
      <c r="AE2166" s="166">
        <v>60</v>
      </c>
      <c r="AF2166" s="166">
        <v>6</v>
      </c>
      <c r="AG2166" s="164">
        <f>($L2166*'Pivot Objective'!$C$9^6)*AE2166*AF2166</f>
        <v>31294254.055761192</v>
      </c>
      <c r="AH2166" s="166">
        <v>60</v>
      </c>
      <c r="AI2166" s="166">
        <v>6</v>
      </c>
      <c r="AJ2166" s="164">
        <f>($L2166*'Pivot Objective'!$C$9^7)*AH2166*AI2166</f>
        <v>35766863.17520728</v>
      </c>
      <c r="AK2166" s="185">
        <f t="shared" si="238"/>
        <v>187786849.24631399</v>
      </c>
      <c r="AL2166" s="186">
        <f t="shared" si="239"/>
        <v>182317.32936535339</v>
      </c>
    </row>
    <row r="2167" spans="1:38" customFormat="1" ht="57.6" x14ac:dyDescent="0.3">
      <c r="A2167" s="140" t="s">
        <v>1487</v>
      </c>
      <c r="B2167" s="140">
        <v>4</v>
      </c>
      <c r="C2167" s="166" t="s">
        <v>697</v>
      </c>
      <c r="D2167" s="140" t="str">
        <f t="shared" si="240"/>
        <v>1</v>
      </c>
      <c r="E2167" s="166" t="s">
        <v>692</v>
      </c>
      <c r="F2167" s="140">
        <f t="shared" si="236"/>
        <v>3</v>
      </c>
      <c r="G2167" s="140" t="str">
        <f t="shared" si="241"/>
        <v>4.1.3</v>
      </c>
      <c r="H2167" s="166" t="s">
        <v>664</v>
      </c>
      <c r="I2167" s="166" t="s">
        <v>86</v>
      </c>
      <c r="J2167" s="166" t="s">
        <v>162</v>
      </c>
      <c r="K2167" s="166" t="s">
        <v>712</v>
      </c>
      <c r="L2167" s="177">
        <f>1480/7</f>
        <v>211.42857142857142</v>
      </c>
      <c r="M2167" s="166">
        <f>25*2*25</f>
        <v>1250</v>
      </c>
      <c r="N2167" s="166">
        <v>5</v>
      </c>
      <c r="O2167" s="164">
        <f t="shared" si="237"/>
        <v>1321428.5714285714</v>
      </c>
      <c r="P2167" s="166">
        <f>25*2*25</f>
        <v>1250</v>
      </c>
      <c r="Q2167" s="166">
        <v>5</v>
      </c>
      <c r="R2167" s="164">
        <f>$L2167*'Pivot Objective'!$C$9*P2167*Q2167</f>
        <v>1510288.5924642857</v>
      </c>
      <c r="S2167" s="166">
        <f>25*2*25</f>
        <v>1250</v>
      </c>
      <c r="T2167" s="166">
        <v>5</v>
      </c>
      <c r="U2167" s="164">
        <f>($L2167*'Pivot Objective'!$C$9^2)*S2167*T2167</f>
        <v>1726140.6948858672</v>
      </c>
      <c r="V2167" s="166">
        <f>25*2*25</f>
        <v>1250</v>
      </c>
      <c r="W2167" s="166">
        <v>5</v>
      </c>
      <c r="X2167" s="164">
        <f>($L2167*'Pivot Objective'!$C$9^3)*V2167*W2167</f>
        <v>1972842.6165752972</v>
      </c>
      <c r="Y2167" s="166">
        <f>25*2*25</f>
        <v>1250</v>
      </c>
      <c r="Z2167" s="166">
        <v>5</v>
      </c>
      <c r="AA2167" s="164">
        <f>($L2167*'Pivot Objective'!$C$9^4)*Y2167*Z2167</f>
        <v>2254803.4475445887</v>
      </c>
      <c r="AB2167" s="166">
        <f>25*2*25</f>
        <v>1250</v>
      </c>
      <c r="AC2167" s="166">
        <v>5</v>
      </c>
      <c r="AD2167" s="164">
        <f>($L2167*'Pivot Objective'!$C$9^5)*AB2167*AC2167</f>
        <v>2577062.4297870435</v>
      </c>
      <c r="AE2167" s="166">
        <f>25*2*25</f>
        <v>1250</v>
      </c>
      <c r="AF2167" s="166">
        <v>5</v>
      </c>
      <c r="AG2167" s="164">
        <f>($L2167*'Pivot Objective'!$C$9^6)*AE2167*AF2167</f>
        <v>2945379.0192896929</v>
      </c>
      <c r="AH2167" s="166">
        <f>25*2*25</f>
        <v>1250</v>
      </c>
      <c r="AI2167" s="166">
        <v>5</v>
      </c>
      <c r="AJ2167" s="164">
        <f>($L2167*'Pivot Objective'!$C$9^7)*AH2167*AI2167</f>
        <v>3366335.8198073595</v>
      </c>
      <c r="AK2167" s="185">
        <f t="shared" si="238"/>
        <v>17674281.191782705</v>
      </c>
      <c r="AL2167" s="186">
        <f t="shared" si="239"/>
        <v>17159.496302701657</v>
      </c>
    </row>
    <row r="2168" spans="1:38" customFormat="1" ht="57.6" x14ac:dyDescent="0.3">
      <c r="A2168" s="140" t="s">
        <v>1487</v>
      </c>
      <c r="B2168" s="140">
        <v>4</v>
      </c>
      <c r="C2168" s="166" t="s">
        <v>697</v>
      </c>
      <c r="D2168" s="140" t="str">
        <f t="shared" si="240"/>
        <v>1</v>
      </c>
      <c r="E2168" s="166" t="s">
        <v>692</v>
      </c>
      <c r="F2168" s="140">
        <f t="shared" si="236"/>
        <v>3</v>
      </c>
      <c r="G2168" s="140" t="str">
        <f t="shared" si="241"/>
        <v>4.1.3</v>
      </c>
      <c r="H2168" s="166" t="s">
        <v>664</v>
      </c>
      <c r="I2168" s="166" t="s">
        <v>86</v>
      </c>
      <c r="J2168" s="166" t="s">
        <v>162</v>
      </c>
      <c r="K2168" s="166" t="s">
        <v>1299</v>
      </c>
      <c r="L2168" s="177">
        <f>1480/7</f>
        <v>211.42857142857142</v>
      </c>
      <c r="M2168" s="166">
        <f>2*135*25</f>
        <v>6750</v>
      </c>
      <c r="N2168" s="166">
        <v>1</v>
      </c>
      <c r="O2168" s="164">
        <f t="shared" si="237"/>
        <v>1427142.857142857</v>
      </c>
      <c r="P2168" s="166">
        <f>2*135*25</f>
        <v>6750</v>
      </c>
      <c r="Q2168" s="166">
        <v>1</v>
      </c>
      <c r="R2168" s="164">
        <f>$L2168*'Pivot Objective'!$C$9*P2168*Q2168</f>
        <v>1631111.6798614284</v>
      </c>
      <c r="S2168" s="166">
        <f>2*135*25</f>
        <v>6750</v>
      </c>
      <c r="T2168" s="166">
        <v>1</v>
      </c>
      <c r="U2168" s="164">
        <f>($L2168*'Pivot Objective'!$C$9^2)*S2168*T2168</f>
        <v>1864231.9504767365</v>
      </c>
      <c r="V2168" s="166">
        <f>2*135*25</f>
        <v>6750</v>
      </c>
      <c r="W2168" s="166">
        <v>1</v>
      </c>
      <c r="X2168" s="164">
        <f>($L2168*'Pivot Objective'!$C$9^3)*V2168*W2168</f>
        <v>2130670.0259013209</v>
      </c>
      <c r="Y2168" s="166">
        <f>2*135*25</f>
        <v>6750</v>
      </c>
      <c r="Z2168" s="166">
        <v>1</v>
      </c>
      <c r="AA2168" s="164">
        <f>($L2168*'Pivot Objective'!$C$9^4)*Y2168*Z2168</f>
        <v>2435187.7233481561</v>
      </c>
      <c r="AB2168" s="166">
        <f>2*135*25</f>
        <v>6750</v>
      </c>
      <c r="AC2168" s="166">
        <v>1</v>
      </c>
      <c r="AD2168" s="164">
        <f>($L2168*'Pivot Objective'!$C$9^5)*AB2168*AC2168</f>
        <v>2783227.424170007</v>
      </c>
      <c r="AE2168" s="166">
        <f>2*135*25</f>
        <v>6750</v>
      </c>
      <c r="AF2168" s="166">
        <v>1</v>
      </c>
      <c r="AG2168" s="164">
        <f>($L2168*'Pivot Objective'!$C$9^6)*AE2168*AF2168</f>
        <v>3181009.3408328681</v>
      </c>
      <c r="AH2168" s="166">
        <f>2*135*25</f>
        <v>6750</v>
      </c>
      <c r="AI2168" s="166">
        <v>1</v>
      </c>
      <c r="AJ2168" s="164">
        <f>($L2168*'Pivot Objective'!$C$9^7)*AH2168*AI2168</f>
        <v>3635642.6853919481</v>
      </c>
      <c r="AK2168" s="185">
        <f t="shared" si="238"/>
        <v>19088223.687125325</v>
      </c>
      <c r="AL2168" s="186">
        <f t="shared" si="239"/>
        <v>18532.256006917793</v>
      </c>
    </row>
    <row r="2169" spans="1:38" customFormat="1" ht="57.6" x14ac:dyDescent="0.3">
      <c r="A2169" s="140" t="s">
        <v>1487</v>
      </c>
      <c r="B2169" s="140">
        <v>4</v>
      </c>
      <c r="C2169" s="166" t="s">
        <v>697</v>
      </c>
      <c r="D2169" s="140" t="str">
        <f t="shared" si="240"/>
        <v>1</v>
      </c>
      <c r="E2169" s="166" t="s">
        <v>692</v>
      </c>
      <c r="F2169" s="140">
        <f t="shared" si="236"/>
        <v>3</v>
      </c>
      <c r="G2169" s="140" t="str">
        <f t="shared" si="241"/>
        <v>4.1.3</v>
      </c>
      <c r="H2169" s="166" t="s">
        <v>664</v>
      </c>
      <c r="I2169" s="166" t="s">
        <v>86</v>
      </c>
      <c r="J2169" s="166" t="s">
        <v>162</v>
      </c>
      <c r="K2169" s="166" t="s">
        <v>717</v>
      </c>
      <c r="L2169" s="177">
        <v>104850</v>
      </c>
      <c r="M2169" s="166">
        <v>1</v>
      </c>
      <c r="N2169" s="166">
        <v>1</v>
      </c>
      <c r="O2169" s="164">
        <f t="shared" si="237"/>
        <v>104850</v>
      </c>
      <c r="P2169" s="166">
        <v>1</v>
      </c>
      <c r="Q2169" s="166">
        <v>1</v>
      </c>
      <c r="R2169" s="164">
        <f>$L2169*'Pivot Objective'!$C$9*P2169*Q2169</f>
        <v>119835.27702044998</v>
      </c>
      <c r="S2169" s="166">
        <v>1</v>
      </c>
      <c r="T2169" s="166">
        <v>1</v>
      </c>
      <c r="U2169" s="164">
        <f>($L2169*'Pivot Objective'!$C$9^2)*S2169*T2169</f>
        <v>136962.26627151159</v>
      </c>
      <c r="V2169" s="166">
        <v>1</v>
      </c>
      <c r="W2169" s="166">
        <v>1</v>
      </c>
      <c r="X2169" s="164">
        <f>($L2169*'Pivot Objective'!$C$9^3)*V2169*W2169</f>
        <v>156537.0636146421</v>
      </c>
      <c r="Y2169" s="166">
        <v>1</v>
      </c>
      <c r="Z2169" s="166">
        <v>1</v>
      </c>
      <c r="AA2169" s="164">
        <f>($L2169*'Pivot Objective'!$C$9^4)*Y2169*Z2169</f>
        <v>178909.51246760553</v>
      </c>
      <c r="AB2169" s="166">
        <v>1</v>
      </c>
      <c r="AC2169" s="166">
        <v>1</v>
      </c>
      <c r="AD2169" s="164">
        <f>($L2169*'Pivot Objective'!$C$9^5)*AB2169*AC2169</f>
        <v>204479.45625321087</v>
      </c>
      <c r="AE2169" s="166">
        <v>1</v>
      </c>
      <c r="AF2169" s="166">
        <v>1</v>
      </c>
      <c r="AG2169" s="164">
        <f>($L2169*'Pivot Objective'!$C$9^6)*AE2169*AF2169</f>
        <v>233703.88445488326</v>
      </c>
      <c r="AH2169" s="166">
        <v>1</v>
      </c>
      <c r="AI2169" s="166">
        <v>1</v>
      </c>
      <c r="AJ2169" s="164">
        <f>($L2169*'Pivot Objective'!$C$9^7)*AH2169*AI2169</f>
        <v>267105.09999433643</v>
      </c>
      <c r="AK2169" s="185">
        <f t="shared" si="238"/>
        <v>1402382.5600766398</v>
      </c>
      <c r="AL2169" s="186">
        <f t="shared" si="239"/>
        <v>1361.5364660938251</v>
      </c>
    </row>
    <row r="2170" spans="1:38" customFormat="1" ht="57.6" x14ac:dyDescent="0.3">
      <c r="A2170" s="140" t="s">
        <v>1487</v>
      </c>
      <c r="B2170" s="140">
        <v>4</v>
      </c>
      <c r="C2170" s="166" t="s">
        <v>697</v>
      </c>
      <c r="D2170" s="140" t="str">
        <f t="shared" si="240"/>
        <v>1</v>
      </c>
      <c r="E2170" s="166" t="s">
        <v>692</v>
      </c>
      <c r="F2170" s="140">
        <f t="shared" ref="F2170:F2233" si="242">IF(H2170=H2169,F2169,F2169+1)</f>
        <v>3</v>
      </c>
      <c r="G2170" s="140" t="str">
        <f t="shared" si="241"/>
        <v>4.1.3</v>
      </c>
      <c r="H2170" s="166" t="s">
        <v>664</v>
      </c>
      <c r="I2170" s="166" t="s">
        <v>86</v>
      </c>
      <c r="J2170" s="166" t="s">
        <v>162</v>
      </c>
      <c r="K2170" s="166" t="s">
        <v>1297</v>
      </c>
      <c r="L2170" s="177">
        <v>8000</v>
      </c>
      <c r="M2170" s="166">
        <v>5</v>
      </c>
      <c r="N2170" s="166">
        <v>1</v>
      </c>
      <c r="O2170" s="164">
        <f t="shared" si="237"/>
        <v>40000</v>
      </c>
      <c r="P2170" s="166">
        <v>5</v>
      </c>
      <c r="Q2170" s="166">
        <v>1</v>
      </c>
      <c r="R2170" s="164">
        <f>$L2170*'Pivot Objective'!$C$9*P2170*Q2170</f>
        <v>45716.84388</v>
      </c>
      <c r="S2170" s="166">
        <v>5</v>
      </c>
      <c r="T2170" s="166">
        <v>1</v>
      </c>
      <c r="U2170" s="164">
        <f>($L2170*'Pivot Objective'!$C$9^2)*S2170*T2170</f>
        <v>52250.745358707325</v>
      </c>
      <c r="V2170" s="166">
        <v>5</v>
      </c>
      <c r="W2170" s="166">
        <v>1</v>
      </c>
      <c r="X2170" s="164">
        <f>($L2170*'Pivot Objective'!$C$9^3)*V2170*W2170</f>
        <v>59718.479204441435</v>
      </c>
      <c r="Y2170" s="166">
        <v>5</v>
      </c>
      <c r="Z2170" s="166">
        <v>1</v>
      </c>
      <c r="AA2170" s="164">
        <f>($L2170*'Pivot Objective'!$C$9^4)*Y2170*Z2170</f>
        <v>68253.509763511887</v>
      </c>
      <c r="AB2170" s="166">
        <v>5</v>
      </c>
      <c r="AC2170" s="166">
        <v>1</v>
      </c>
      <c r="AD2170" s="164">
        <f>($L2170*'Pivot Objective'!$C$9^5)*AB2170*AC2170</f>
        <v>78008.376253013208</v>
      </c>
      <c r="AE2170" s="166">
        <v>5</v>
      </c>
      <c r="AF2170" s="166">
        <v>1</v>
      </c>
      <c r="AG2170" s="164">
        <f>($L2170*'Pivot Objective'!$C$9^6)*AE2170*AF2170</f>
        <v>89157.418962282609</v>
      </c>
      <c r="AH2170" s="166">
        <v>5</v>
      </c>
      <c r="AI2170" s="166">
        <v>1</v>
      </c>
      <c r="AJ2170" s="164">
        <f>($L2170*'Pivot Objective'!$C$9^7)*AH2170*AI2170</f>
        <v>101899.89508606063</v>
      </c>
      <c r="AK2170" s="185">
        <f t="shared" si="238"/>
        <v>535005.26850801706</v>
      </c>
      <c r="AL2170" s="186">
        <f t="shared" si="239"/>
        <v>519.42259078448262</v>
      </c>
    </row>
    <row r="2171" spans="1:38" customFormat="1" ht="57.6" x14ac:dyDescent="0.3">
      <c r="A2171" s="140" t="s">
        <v>1487</v>
      </c>
      <c r="B2171" s="140">
        <v>4</v>
      </c>
      <c r="C2171" s="166" t="s">
        <v>697</v>
      </c>
      <c r="D2171" s="140" t="str">
        <f t="shared" si="240"/>
        <v>1</v>
      </c>
      <c r="E2171" s="166" t="s">
        <v>692</v>
      </c>
      <c r="F2171" s="140">
        <f t="shared" si="242"/>
        <v>3</v>
      </c>
      <c r="G2171" s="140" t="str">
        <f t="shared" si="241"/>
        <v>4.1.3</v>
      </c>
      <c r="H2171" s="166" t="s">
        <v>664</v>
      </c>
      <c r="I2171" s="166" t="s">
        <v>87</v>
      </c>
      <c r="J2171" s="166" t="s">
        <v>459</v>
      </c>
      <c r="K2171" s="166" t="s">
        <v>718</v>
      </c>
      <c r="L2171" s="177">
        <v>0</v>
      </c>
      <c r="M2171" s="166">
        <v>0</v>
      </c>
      <c r="N2171" s="166">
        <v>0</v>
      </c>
      <c r="O2171" s="164">
        <f t="shared" si="237"/>
        <v>0</v>
      </c>
      <c r="P2171" s="166">
        <v>0</v>
      </c>
      <c r="Q2171" s="166">
        <v>0</v>
      </c>
      <c r="R2171" s="164">
        <f>$L2171*'Pivot Objective'!$C$9*P2171*Q2171</f>
        <v>0</v>
      </c>
      <c r="S2171" s="166">
        <v>0</v>
      </c>
      <c r="T2171" s="166">
        <v>0</v>
      </c>
      <c r="U2171" s="164">
        <f>($L2171*'Pivot Objective'!$C$9^2)*S2171*T2171</f>
        <v>0</v>
      </c>
      <c r="V2171" s="166">
        <v>0</v>
      </c>
      <c r="W2171" s="166">
        <v>0</v>
      </c>
      <c r="X2171" s="164">
        <f>($L2171*'Pivot Objective'!$C$9^3)*V2171*W2171</f>
        <v>0</v>
      </c>
      <c r="Y2171" s="166">
        <v>0</v>
      </c>
      <c r="Z2171" s="166">
        <v>0</v>
      </c>
      <c r="AA2171" s="164">
        <f>($L2171*'Pivot Objective'!$C$9^4)*Y2171*Z2171</f>
        <v>0</v>
      </c>
      <c r="AB2171" s="166">
        <v>0</v>
      </c>
      <c r="AC2171" s="166">
        <v>0</v>
      </c>
      <c r="AD2171" s="164">
        <f>($L2171*'Pivot Objective'!$C$9^5)*AB2171*AC2171</f>
        <v>0</v>
      </c>
      <c r="AE2171" s="166">
        <v>0</v>
      </c>
      <c r="AF2171" s="166">
        <v>0</v>
      </c>
      <c r="AG2171" s="164">
        <f>($L2171*'Pivot Objective'!$C$9^6)*AE2171*AF2171</f>
        <v>0</v>
      </c>
      <c r="AH2171" s="166">
        <v>0</v>
      </c>
      <c r="AI2171" s="166">
        <v>0</v>
      </c>
      <c r="AJ2171" s="164">
        <f>($L2171*'Pivot Objective'!$C$9^7)*AH2171*AI2171</f>
        <v>0</v>
      </c>
      <c r="AK2171" s="185">
        <f t="shared" si="238"/>
        <v>0</v>
      </c>
      <c r="AL2171" s="186">
        <f t="shared" si="239"/>
        <v>0</v>
      </c>
    </row>
    <row r="2172" spans="1:38" customFormat="1" ht="57.6" x14ac:dyDescent="0.3">
      <c r="A2172" s="140" t="s">
        <v>1487</v>
      </c>
      <c r="B2172" s="140">
        <v>4</v>
      </c>
      <c r="C2172" s="166" t="s">
        <v>697</v>
      </c>
      <c r="D2172" s="140" t="str">
        <f t="shared" si="240"/>
        <v>1</v>
      </c>
      <c r="E2172" s="166" t="s">
        <v>692</v>
      </c>
      <c r="F2172" s="140">
        <f t="shared" si="242"/>
        <v>3</v>
      </c>
      <c r="G2172" s="140" t="str">
        <f t="shared" si="241"/>
        <v>4.1.3</v>
      </c>
      <c r="H2172" s="166" t="s">
        <v>664</v>
      </c>
      <c r="I2172" s="166" t="s">
        <v>87</v>
      </c>
      <c r="J2172" s="166" t="s">
        <v>459</v>
      </c>
      <c r="K2172" s="166" t="s">
        <v>709</v>
      </c>
      <c r="L2172" s="177">
        <v>35000</v>
      </c>
      <c r="M2172" s="166">
        <v>100</v>
      </c>
      <c r="N2172" s="166">
        <v>5</v>
      </c>
      <c r="O2172" s="164">
        <f t="shared" si="237"/>
        <v>17500000</v>
      </c>
      <c r="P2172" s="166">
        <v>100</v>
      </c>
      <c r="Q2172" s="166">
        <v>5</v>
      </c>
      <c r="R2172" s="164">
        <f>$L2172*'Pivot Objective'!$C$9*P2172*Q2172</f>
        <v>20001119.197499998</v>
      </c>
      <c r="S2172" s="166">
        <v>100</v>
      </c>
      <c r="T2172" s="166">
        <v>5</v>
      </c>
      <c r="U2172" s="164">
        <f>($L2172*'Pivot Objective'!$C$9^2)*S2172*T2172</f>
        <v>22859701.094434455</v>
      </c>
      <c r="V2172" s="166">
        <v>100</v>
      </c>
      <c r="W2172" s="166">
        <v>5</v>
      </c>
      <c r="X2172" s="164">
        <f>($L2172*'Pivot Objective'!$C$9^3)*V2172*W2172</f>
        <v>26126834.651943129</v>
      </c>
      <c r="Y2172" s="166">
        <v>100</v>
      </c>
      <c r="Z2172" s="166">
        <v>5</v>
      </c>
      <c r="AA2172" s="164">
        <f>($L2172*'Pivot Objective'!$C$9^4)*Y2172*Z2172</f>
        <v>29860910.521536451</v>
      </c>
      <c r="AB2172" s="166">
        <v>100</v>
      </c>
      <c r="AC2172" s="166">
        <v>5</v>
      </c>
      <c r="AD2172" s="164">
        <f>($L2172*'Pivot Objective'!$C$9^5)*AB2172*AC2172</f>
        <v>34128664.610693276</v>
      </c>
      <c r="AE2172" s="166">
        <v>100</v>
      </c>
      <c r="AF2172" s="166">
        <v>5</v>
      </c>
      <c r="AG2172" s="164">
        <f>($L2172*'Pivot Objective'!$C$9^6)*AE2172*AF2172</f>
        <v>39006370.795998633</v>
      </c>
      <c r="AH2172" s="166">
        <v>100</v>
      </c>
      <c r="AI2172" s="166">
        <v>5</v>
      </c>
      <c r="AJ2172" s="164">
        <f>($L2172*'Pivot Objective'!$C$9^7)*AH2172*AI2172</f>
        <v>44581204.100151524</v>
      </c>
      <c r="AK2172" s="185">
        <f t="shared" si="238"/>
        <v>234064804.97225749</v>
      </c>
      <c r="AL2172" s="186">
        <f t="shared" si="239"/>
        <v>227247.38346821116</v>
      </c>
    </row>
    <row r="2173" spans="1:38" customFormat="1" ht="57.6" x14ac:dyDescent="0.3">
      <c r="A2173" s="140" t="s">
        <v>1487</v>
      </c>
      <c r="B2173" s="140">
        <v>4</v>
      </c>
      <c r="C2173" s="166" t="s">
        <v>697</v>
      </c>
      <c r="D2173" s="140" t="str">
        <f t="shared" si="240"/>
        <v>1</v>
      </c>
      <c r="E2173" s="166" t="s">
        <v>692</v>
      </c>
      <c r="F2173" s="140">
        <f t="shared" si="242"/>
        <v>3</v>
      </c>
      <c r="G2173" s="140" t="str">
        <f t="shared" si="241"/>
        <v>4.1.3</v>
      </c>
      <c r="H2173" s="166" t="s">
        <v>664</v>
      </c>
      <c r="I2173" s="166" t="s">
        <v>87</v>
      </c>
      <c r="J2173" s="166" t="s">
        <v>459</v>
      </c>
      <c r="K2173" s="166" t="s">
        <v>716</v>
      </c>
      <c r="L2173" s="177">
        <v>39000</v>
      </c>
      <c r="M2173" s="166">
        <v>58</v>
      </c>
      <c r="N2173" s="166">
        <v>6</v>
      </c>
      <c r="O2173" s="164">
        <f t="shared" si="237"/>
        <v>13572000</v>
      </c>
      <c r="P2173" s="166">
        <v>58</v>
      </c>
      <c r="Q2173" s="166">
        <v>6</v>
      </c>
      <c r="R2173" s="164">
        <f>$L2173*'Pivot Objective'!$C$9*P2173*Q2173</f>
        <v>15511725.128483998</v>
      </c>
      <c r="S2173" s="166">
        <v>58</v>
      </c>
      <c r="T2173" s="166">
        <v>6</v>
      </c>
      <c r="U2173" s="164">
        <f>($L2173*'Pivot Objective'!$C$9^2)*S2173*T2173</f>
        <v>17728677.900209397</v>
      </c>
      <c r="V2173" s="166">
        <v>58</v>
      </c>
      <c r="W2173" s="166">
        <v>6</v>
      </c>
      <c r="X2173" s="164">
        <f>($L2173*'Pivot Objective'!$C$9^3)*V2173*W2173</f>
        <v>20262479.99406698</v>
      </c>
      <c r="Y2173" s="166">
        <v>58</v>
      </c>
      <c r="Z2173" s="166">
        <v>6</v>
      </c>
      <c r="AA2173" s="164">
        <f>($L2173*'Pivot Objective'!$C$9^4)*Y2173*Z2173</f>
        <v>23158415.862759583</v>
      </c>
      <c r="AB2173" s="166">
        <v>58</v>
      </c>
      <c r="AC2173" s="166">
        <v>6</v>
      </c>
      <c r="AD2173" s="164">
        <f>($L2173*'Pivot Objective'!$C$9^5)*AB2173*AC2173</f>
        <v>26468242.06264738</v>
      </c>
      <c r="AE2173" s="166">
        <v>58</v>
      </c>
      <c r="AF2173" s="166">
        <v>6</v>
      </c>
      <c r="AG2173" s="164">
        <f>($L2173*'Pivot Objective'!$C$9^6)*AE2173*AF2173</f>
        <v>30251112.253902487</v>
      </c>
      <c r="AH2173" s="166">
        <v>58</v>
      </c>
      <c r="AI2173" s="166">
        <v>6</v>
      </c>
      <c r="AJ2173" s="164">
        <f>($L2173*'Pivot Objective'!$C$9^7)*AH2173*AI2173</f>
        <v>34574634.402700365</v>
      </c>
      <c r="AK2173" s="185">
        <f t="shared" si="238"/>
        <v>181527287.60477018</v>
      </c>
      <c r="AL2173" s="186">
        <f t="shared" si="239"/>
        <v>176240.08505317493</v>
      </c>
    </row>
    <row r="2174" spans="1:38" customFormat="1" ht="57.6" x14ac:dyDescent="0.3">
      <c r="A2174" s="140" t="s">
        <v>1487</v>
      </c>
      <c r="B2174" s="140">
        <v>4</v>
      </c>
      <c r="C2174" s="166" t="s">
        <v>697</v>
      </c>
      <c r="D2174" s="140" t="str">
        <f t="shared" si="240"/>
        <v>1</v>
      </c>
      <c r="E2174" s="166" t="s">
        <v>692</v>
      </c>
      <c r="F2174" s="140">
        <f t="shared" si="242"/>
        <v>3</v>
      </c>
      <c r="G2174" s="140" t="str">
        <f t="shared" si="241"/>
        <v>4.1.3</v>
      </c>
      <c r="H2174" s="166" t="s">
        <v>664</v>
      </c>
      <c r="I2174" s="166" t="s">
        <v>87</v>
      </c>
      <c r="J2174" s="166" t="s">
        <v>162</v>
      </c>
      <c r="K2174" s="166" t="s">
        <v>1299</v>
      </c>
      <c r="L2174" s="177">
        <f>1480/7</f>
        <v>211.42857142857142</v>
      </c>
      <c r="M2174" s="166">
        <f>2*135*29</f>
        <v>7830</v>
      </c>
      <c r="N2174" s="166">
        <v>1</v>
      </c>
      <c r="O2174" s="164">
        <f t="shared" si="237"/>
        <v>1655485.7142857141</v>
      </c>
      <c r="P2174" s="166">
        <f>2*135*29</f>
        <v>7830</v>
      </c>
      <c r="Q2174" s="166">
        <v>1</v>
      </c>
      <c r="R2174" s="164">
        <f>$L2174*'Pivot Objective'!$C$9*P2174*Q2174</f>
        <v>1892089.548639257</v>
      </c>
      <c r="S2174" s="166">
        <f>2*135*29</f>
        <v>7830</v>
      </c>
      <c r="T2174" s="166">
        <v>1</v>
      </c>
      <c r="U2174" s="164">
        <f>($L2174*'Pivot Objective'!$C$9^2)*S2174*T2174</f>
        <v>2162509.0625530141</v>
      </c>
      <c r="V2174" s="166">
        <f>2*135*29</f>
        <v>7830</v>
      </c>
      <c r="W2174" s="166">
        <v>1</v>
      </c>
      <c r="X2174" s="164">
        <f>($L2174*'Pivot Objective'!$C$9^3)*V2174*W2174</f>
        <v>2471577.2300455323</v>
      </c>
      <c r="Y2174" s="166">
        <f>2*135*29</f>
        <v>7830</v>
      </c>
      <c r="Z2174" s="166">
        <v>1</v>
      </c>
      <c r="AA2174" s="164">
        <f>($L2174*'Pivot Objective'!$C$9^4)*Y2174*Z2174</f>
        <v>2824817.759083861</v>
      </c>
      <c r="AB2174" s="166">
        <f>2*135*29</f>
        <v>7830</v>
      </c>
      <c r="AC2174" s="166">
        <v>1</v>
      </c>
      <c r="AD2174" s="164">
        <f>($L2174*'Pivot Objective'!$C$9^5)*AB2174*AC2174</f>
        <v>3228543.8120372081</v>
      </c>
      <c r="AE2174" s="166">
        <f>2*135*29</f>
        <v>7830</v>
      </c>
      <c r="AF2174" s="166">
        <v>1</v>
      </c>
      <c r="AG2174" s="164">
        <f>($L2174*'Pivot Objective'!$C$9^6)*AE2174*AF2174</f>
        <v>3689970.8353661271</v>
      </c>
      <c r="AH2174" s="166">
        <f>2*135*29</f>
        <v>7830</v>
      </c>
      <c r="AI2174" s="166">
        <v>1</v>
      </c>
      <c r="AJ2174" s="164">
        <f>($L2174*'Pivot Objective'!$C$9^7)*AH2174*AI2174</f>
        <v>4217345.5150546599</v>
      </c>
      <c r="AK2174" s="185">
        <f t="shared" si="238"/>
        <v>22142339.477065377</v>
      </c>
      <c r="AL2174" s="186">
        <f t="shared" si="239"/>
        <v>21497.416968024638</v>
      </c>
    </row>
    <row r="2175" spans="1:38" customFormat="1" ht="57.6" x14ac:dyDescent="0.3">
      <c r="A2175" s="140" t="s">
        <v>1487</v>
      </c>
      <c r="B2175" s="140">
        <v>4</v>
      </c>
      <c r="C2175" s="166" t="s">
        <v>697</v>
      </c>
      <c r="D2175" s="140" t="str">
        <f t="shared" si="240"/>
        <v>1</v>
      </c>
      <c r="E2175" s="166" t="s">
        <v>692</v>
      </c>
      <c r="F2175" s="140">
        <f t="shared" si="242"/>
        <v>3</v>
      </c>
      <c r="G2175" s="140" t="str">
        <f t="shared" si="241"/>
        <v>4.1.3</v>
      </c>
      <c r="H2175" s="166" t="s">
        <v>664</v>
      </c>
      <c r="I2175" s="166" t="s">
        <v>87</v>
      </c>
      <c r="J2175" s="166" t="s">
        <v>162</v>
      </c>
      <c r="K2175" s="166" t="s">
        <v>712</v>
      </c>
      <c r="L2175" s="177">
        <f>1480/7</f>
        <v>211.42857142857142</v>
      </c>
      <c r="M2175" s="166">
        <f>2*25*29</f>
        <v>1450</v>
      </c>
      <c r="N2175" s="166">
        <v>5</v>
      </c>
      <c r="O2175" s="164">
        <f t="shared" si="237"/>
        <v>1532857.142857143</v>
      </c>
      <c r="P2175" s="166">
        <f>2*25*29</f>
        <v>1450</v>
      </c>
      <c r="Q2175" s="166">
        <v>5</v>
      </c>
      <c r="R2175" s="164">
        <f>$L2175*'Pivot Objective'!$C$9*P2175*Q2175</f>
        <v>1751934.7672585712</v>
      </c>
      <c r="S2175" s="166">
        <f>2*25*29</f>
        <v>1450</v>
      </c>
      <c r="T2175" s="166">
        <v>5</v>
      </c>
      <c r="U2175" s="164">
        <f>($L2175*'Pivot Objective'!$C$9^2)*S2175*T2175</f>
        <v>2002323.2060676059</v>
      </c>
      <c r="V2175" s="166">
        <f>2*25*29</f>
        <v>1450</v>
      </c>
      <c r="W2175" s="166">
        <v>5</v>
      </c>
      <c r="X2175" s="164">
        <f>($L2175*'Pivot Objective'!$C$9^3)*V2175*W2175</f>
        <v>2288497.4352273447</v>
      </c>
      <c r="Y2175" s="166">
        <f>2*25*29</f>
        <v>1450</v>
      </c>
      <c r="Z2175" s="166">
        <v>5</v>
      </c>
      <c r="AA2175" s="164">
        <f>($L2175*'Pivot Objective'!$C$9^4)*Y2175*Z2175</f>
        <v>2615571.999151723</v>
      </c>
      <c r="AB2175" s="166">
        <f>2*25*29</f>
        <v>1450</v>
      </c>
      <c r="AC2175" s="166">
        <v>5</v>
      </c>
      <c r="AD2175" s="164">
        <f>($L2175*'Pivot Objective'!$C$9^5)*AB2175*AC2175</f>
        <v>2989392.41855297</v>
      </c>
      <c r="AE2175" s="166">
        <f>2*25*29</f>
        <v>1450</v>
      </c>
      <c r="AF2175" s="166">
        <v>5</v>
      </c>
      <c r="AG2175" s="164">
        <f>($L2175*'Pivot Objective'!$C$9^6)*AE2175*AF2175</f>
        <v>3416639.6623760439</v>
      </c>
      <c r="AH2175" s="166">
        <f>2*25*29</f>
        <v>1450</v>
      </c>
      <c r="AI2175" s="166">
        <v>5</v>
      </c>
      <c r="AJ2175" s="164">
        <f>($L2175*'Pivot Objective'!$C$9^7)*AH2175*AI2175</f>
        <v>3904949.5509765372</v>
      </c>
      <c r="AK2175" s="185">
        <f t="shared" si="238"/>
        <v>20502166.182467937</v>
      </c>
      <c r="AL2175" s="186">
        <f t="shared" si="239"/>
        <v>19905.015711133921</v>
      </c>
    </row>
    <row r="2176" spans="1:38" customFormat="1" ht="57.6" x14ac:dyDescent="0.3">
      <c r="A2176" s="140" t="s">
        <v>1487</v>
      </c>
      <c r="B2176" s="140">
        <v>4</v>
      </c>
      <c r="C2176" s="166" t="s">
        <v>697</v>
      </c>
      <c r="D2176" s="140" t="str">
        <f t="shared" si="240"/>
        <v>1</v>
      </c>
      <c r="E2176" s="166" t="s">
        <v>692</v>
      </c>
      <c r="F2176" s="140">
        <f t="shared" si="242"/>
        <v>3</v>
      </c>
      <c r="G2176" s="140" t="str">
        <f t="shared" si="241"/>
        <v>4.1.3</v>
      </c>
      <c r="H2176" s="166" t="s">
        <v>664</v>
      </c>
      <c r="I2176" s="166" t="s">
        <v>87</v>
      </c>
      <c r="J2176" s="166" t="s">
        <v>162</v>
      </c>
      <c r="K2176" s="166" t="s">
        <v>709</v>
      </c>
      <c r="L2176" s="177">
        <v>35000</v>
      </c>
      <c r="M2176" s="166">
        <v>25</v>
      </c>
      <c r="N2176" s="166">
        <v>5</v>
      </c>
      <c r="O2176" s="164">
        <f t="shared" si="237"/>
        <v>4375000</v>
      </c>
      <c r="P2176" s="166">
        <v>25</v>
      </c>
      <c r="Q2176" s="166">
        <v>5</v>
      </c>
      <c r="R2176" s="164">
        <f>$L2176*'Pivot Objective'!$C$9*P2176*Q2176</f>
        <v>5000279.7993749995</v>
      </c>
      <c r="S2176" s="166">
        <v>25</v>
      </c>
      <c r="T2176" s="166">
        <v>5</v>
      </c>
      <c r="U2176" s="164">
        <f>($L2176*'Pivot Objective'!$C$9^2)*S2176*T2176</f>
        <v>5714925.2736086138</v>
      </c>
      <c r="V2176" s="166">
        <v>25</v>
      </c>
      <c r="W2176" s="166">
        <v>5</v>
      </c>
      <c r="X2176" s="164">
        <f>($L2176*'Pivot Objective'!$C$9^3)*V2176*W2176</f>
        <v>6531708.6629857821</v>
      </c>
      <c r="Y2176" s="166">
        <v>25</v>
      </c>
      <c r="Z2176" s="166">
        <v>5</v>
      </c>
      <c r="AA2176" s="164">
        <f>($L2176*'Pivot Objective'!$C$9^4)*Y2176*Z2176</f>
        <v>7465227.6303841127</v>
      </c>
      <c r="AB2176" s="166">
        <v>25</v>
      </c>
      <c r="AC2176" s="166">
        <v>5</v>
      </c>
      <c r="AD2176" s="164">
        <f>($L2176*'Pivot Objective'!$C$9^5)*AB2176*AC2176</f>
        <v>8532166.152673319</v>
      </c>
      <c r="AE2176" s="166">
        <v>25</v>
      </c>
      <c r="AF2176" s="166">
        <v>5</v>
      </c>
      <c r="AG2176" s="164">
        <f>($L2176*'Pivot Objective'!$C$9^6)*AE2176*AF2176</f>
        <v>9751592.6989996582</v>
      </c>
      <c r="AH2176" s="166">
        <v>25</v>
      </c>
      <c r="AI2176" s="166">
        <v>5</v>
      </c>
      <c r="AJ2176" s="164">
        <f>($L2176*'Pivot Objective'!$C$9^7)*AH2176*AI2176</f>
        <v>11145301.025037881</v>
      </c>
      <c r="AK2176" s="185">
        <f t="shared" si="238"/>
        <v>58516201.243064374</v>
      </c>
      <c r="AL2176" s="186">
        <f t="shared" si="239"/>
        <v>56811.845867052791</v>
      </c>
    </row>
    <row r="2177" spans="1:38" customFormat="1" ht="57.6" x14ac:dyDescent="0.3">
      <c r="A2177" s="140" t="s">
        <v>1487</v>
      </c>
      <c r="B2177" s="140">
        <v>4</v>
      </c>
      <c r="C2177" s="166" t="s">
        <v>697</v>
      </c>
      <c r="D2177" s="140" t="str">
        <f t="shared" si="240"/>
        <v>1</v>
      </c>
      <c r="E2177" s="166" t="s">
        <v>692</v>
      </c>
      <c r="F2177" s="140">
        <f t="shared" si="242"/>
        <v>3</v>
      </c>
      <c r="G2177" s="140" t="str">
        <f t="shared" si="241"/>
        <v>4.1.3</v>
      </c>
      <c r="H2177" s="166" t="s">
        <v>664</v>
      </c>
      <c r="I2177" s="166" t="s">
        <v>88</v>
      </c>
      <c r="J2177" s="166" t="s">
        <v>782</v>
      </c>
      <c r="K2177" s="166" t="s">
        <v>718</v>
      </c>
      <c r="L2177" s="177">
        <v>0</v>
      </c>
      <c r="M2177" s="166">
        <v>0</v>
      </c>
      <c r="N2177" s="166">
        <v>0</v>
      </c>
      <c r="O2177" s="164">
        <f t="shared" si="237"/>
        <v>0</v>
      </c>
      <c r="P2177" s="166">
        <v>0</v>
      </c>
      <c r="Q2177" s="166">
        <v>0</v>
      </c>
      <c r="R2177" s="164">
        <f>$L2177*'Pivot Objective'!$C$9*P2177*Q2177</f>
        <v>0</v>
      </c>
      <c r="S2177" s="166">
        <v>0</v>
      </c>
      <c r="T2177" s="166">
        <v>0</v>
      </c>
      <c r="U2177" s="164">
        <f>($L2177*'Pivot Objective'!$C$9^2)*S2177*T2177</f>
        <v>0</v>
      </c>
      <c r="V2177" s="166">
        <v>0</v>
      </c>
      <c r="W2177" s="166">
        <v>0</v>
      </c>
      <c r="X2177" s="164">
        <f>($L2177*'Pivot Objective'!$C$9^3)*V2177*W2177</f>
        <v>0</v>
      </c>
      <c r="Y2177" s="166">
        <v>0</v>
      </c>
      <c r="Z2177" s="166">
        <v>0</v>
      </c>
      <c r="AA2177" s="164">
        <f>($L2177*'Pivot Objective'!$C$9^4)*Y2177*Z2177</f>
        <v>0</v>
      </c>
      <c r="AB2177" s="166">
        <v>0</v>
      </c>
      <c r="AC2177" s="166">
        <v>0</v>
      </c>
      <c r="AD2177" s="164">
        <f>($L2177*'Pivot Objective'!$C$9^5)*AB2177*AC2177</f>
        <v>0</v>
      </c>
      <c r="AE2177" s="166">
        <v>0</v>
      </c>
      <c r="AF2177" s="166">
        <v>0</v>
      </c>
      <c r="AG2177" s="164">
        <f>($L2177*'Pivot Objective'!$C$9^6)*AE2177*AF2177</f>
        <v>0</v>
      </c>
      <c r="AH2177" s="166">
        <v>0</v>
      </c>
      <c r="AI2177" s="166">
        <v>0</v>
      </c>
      <c r="AJ2177" s="164">
        <f>($L2177*'Pivot Objective'!$C$9^7)*AH2177*AI2177</f>
        <v>0</v>
      </c>
      <c r="AK2177" s="185">
        <f t="shared" si="238"/>
        <v>0</v>
      </c>
      <c r="AL2177" s="186">
        <f t="shared" si="239"/>
        <v>0</v>
      </c>
    </row>
    <row r="2178" spans="1:38" customFormat="1" ht="57.6" x14ac:dyDescent="0.3">
      <c r="A2178" s="140" t="s">
        <v>1487</v>
      </c>
      <c r="B2178" s="140">
        <v>4</v>
      </c>
      <c r="C2178" s="166" t="s">
        <v>697</v>
      </c>
      <c r="D2178" s="140" t="str">
        <f t="shared" si="240"/>
        <v>1</v>
      </c>
      <c r="E2178" s="166" t="s">
        <v>692</v>
      </c>
      <c r="F2178" s="140">
        <f t="shared" si="242"/>
        <v>3</v>
      </c>
      <c r="G2178" s="140" t="str">
        <f t="shared" si="241"/>
        <v>4.1.3</v>
      </c>
      <c r="H2178" s="166" t="s">
        <v>664</v>
      </c>
      <c r="I2178" s="166" t="s">
        <v>88</v>
      </c>
      <c r="J2178" s="166" t="s">
        <v>462</v>
      </c>
      <c r="K2178" s="166" t="s">
        <v>716</v>
      </c>
      <c r="L2178" s="177">
        <v>39000</v>
      </c>
      <c r="M2178" s="166">
        <v>58</v>
      </c>
      <c r="N2178" s="166">
        <v>6</v>
      </c>
      <c r="O2178" s="164">
        <f t="shared" si="237"/>
        <v>13572000</v>
      </c>
      <c r="P2178" s="166">
        <v>58</v>
      </c>
      <c r="Q2178" s="166">
        <v>6</v>
      </c>
      <c r="R2178" s="164">
        <f>$L2178*'Pivot Objective'!$C$9*P2178*Q2178</f>
        <v>15511725.128483998</v>
      </c>
      <c r="S2178" s="166">
        <v>25</v>
      </c>
      <c r="T2178" s="166">
        <v>6</v>
      </c>
      <c r="U2178" s="164">
        <f>($L2178*'Pivot Objective'!$C$9^2)*S2178*T2178</f>
        <v>7641671.5087109469</v>
      </c>
      <c r="V2178" s="166">
        <v>25</v>
      </c>
      <c r="W2178" s="166">
        <v>6</v>
      </c>
      <c r="X2178" s="164">
        <f>($L2178*'Pivot Objective'!$C$9^3)*V2178*W2178</f>
        <v>8733827.5836495608</v>
      </c>
      <c r="Y2178" s="166">
        <v>25</v>
      </c>
      <c r="Z2178" s="166">
        <v>6</v>
      </c>
      <c r="AA2178" s="164">
        <f>($L2178*'Pivot Objective'!$C$9^4)*Y2178*Z2178</f>
        <v>9982075.8029136136</v>
      </c>
      <c r="AB2178" s="166">
        <v>25</v>
      </c>
      <c r="AC2178" s="166">
        <v>6</v>
      </c>
      <c r="AD2178" s="164">
        <f>($L2178*'Pivot Objective'!$C$9^5)*AB2178*AC2178</f>
        <v>11408725.027003182</v>
      </c>
      <c r="AE2178" s="166">
        <v>25</v>
      </c>
      <c r="AF2178" s="166">
        <v>6</v>
      </c>
      <c r="AG2178" s="164">
        <f>($L2178*'Pivot Objective'!$C$9^6)*AE2178*AF2178</f>
        <v>13039272.523233831</v>
      </c>
      <c r="AH2178" s="166">
        <v>25</v>
      </c>
      <c r="AI2178" s="166">
        <v>6</v>
      </c>
      <c r="AJ2178" s="164">
        <f>($L2178*'Pivot Objective'!$C$9^7)*AH2178*AI2178</f>
        <v>14902859.656336365</v>
      </c>
      <c r="AK2178" s="185">
        <f t="shared" si="238"/>
        <v>94792157.23033151</v>
      </c>
      <c r="AL2178" s="186">
        <f t="shared" si="239"/>
        <v>92031.220611972341</v>
      </c>
    </row>
    <row r="2179" spans="1:38" customFormat="1" ht="57.6" x14ac:dyDescent="0.3">
      <c r="A2179" s="140" t="s">
        <v>1487</v>
      </c>
      <c r="B2179" s="140">
        <v>4</v>
      </c>
      <c r="C2179" s="166" t="s">
        <v>697</v>
      </c>
      <c r="D2179" s="140" t="str">
        <f t="shared" si="240"/>
        <v>1</v>
      </c>
      <c r="E2179" s="166" t="s">
        <v>692</v>
      </c>
      <c r="F2179" s="140">
        <f t="shared" si="242"/>
        <v>3</v>
      </c>
      <c r="G2179" s="140" t="str">
        <f t="shared" si="241"/>
        <v>4.1.3</v>
      </c>
      <c r="H2179" s="166" t="s">
        <v>664</v>
      </c>
      <c r="I2179" s="166" t="s">
        <v>88</v>
      </c>
      <c r="J2179" s="166" t="s">
        <v>462</v>
      </c>
      <c r="K2179" s="166" t="s">
        <v>712</v>
      </c>
      <c r="L2179" s="177">
        <f>1480/7</f>
        <v>211.42857142857142</v>
      </c>
      <c r="M2179" s="166">
        <f>25*2*29</f>
        <v>1450</v>
      </c>
      <c r="N2179" s="166">
        <v>5</v>
      </c>
      <c r="O2179" s="164">
        <f t="shared" ref="O2179:O2242" si="243">$L2179*M2179*N2179</f>
        <v>1532857.142857143</v>
      </c>
      <c r="P2179" s="166">
        <f>25*2*9</f>
        <v>450</v>
      </c>
      <c r="Q2179" s="166">
        <v>5</v>
      </c>
      <c r="R2179" s="164">
        <f>$L2179*'Pivot Objective'!$C$9*P2179*Q2179</f>
        <v>543703.89328714274</v>
      </c>
      <c r="S2179" s="166">
        <f>25*2*9</f>
        <v>450</v>
      </c>
      <c r="T2179" s="166">
        <v>5</v>
      </c>
      <c r="U2179" s="164">
        <f>($L2179*'Pivot Objective'!$C$9^2)*S2179*T2179</f>
        <v>621410.65015891218</v>
      </c>
      <c r="V2179" s="166">
        <f>25*2*9</f>
        <v>450</v>
      </c>
      <c r="W2179" s="166">
        <v>5</v>
      </c>
      <c r="X2179" s="164">
        <f>($L2179*'Pivot Objective'!$C$9^3)*V2179*W2179</f>
        <v>710223.34196710703</v>
      </c>
      <c r="Y2179" s="166">
        <f>25*2*9</f>
        <v>450</v>
      </c>
      <c r="Z2179" s="166">
        <v>5</v>
      </c>
      <c r="AA2179" s="164">
        <f>($L2179*'Pivot Objective'!$C$9^4)*Y2179*Z2179</f>
        <v>811729.24111605203</v>
      </c>
      <c r="AB2179" s="166">
        <f>25*2*9</f>
        <v>450</v>
      </c>
      <c r="AC2179" s="166">
        <v>5</v>
      </c>
      <c r="AD2179" s="164">
        <f>($L2179*'Pivot Objective'!$C$9^5)*AB2179*AC2179</f>
        <v>927742.47472333559</v>
      </c>
      <c r="AE2179" s="166">
        <f>25*2*9</f>
        <v>450</v>
      </c>
      <c r="AF2179" s="166">
        <v>5</v>
      </c>
      <c r="AG2179" s="164">
        <f>($L2179*'Pivot Objective'!$C$9^6)*AE2179*AF2179</f>
        <v>1060336.4469442894</v>
      </c>
      <c r="AH2179" s="166">
        <f>25*2*9</f>
        <v>450</v>
      </c>
      <c r="AI2179" s="166">
        <v>5</v>
      </c>
      <c r="AJ2179" s="164">
        <f>($L2179*'Pivot Objective'!$C$9^7)*AH2179*AI2179</f>
        <v>1211880.8951306494</v>
      </c>
      <c r="AK2179" s="185">
        <f t="shared" ref="AK2179:AK2242" si="244">O2179+R2179+U2179+X2179+AA2179+AD2179+AG2179+AJ2179</f>
        <v>7419884.0861846302</v>
      </c>
      <c r="AL2179" s="186">
        <f t="shared" ref="AL2179:AL2242" si="245">AK2179/$AP$2</f>
        <v>7203.7709574608061</v>
      </c>
    </row>
    <row r="2180" spans="1:38" customFormat="1" ht="57.6" x14ac:dyDescent="0.3">
      <c r="A2180" s="140" t="s">
        <v>1487</v>
      </c>
      <c r="B2180" s="140">
        <v>4</v>
      </c>
      <c r="C2180" s="166" t="s">
        <v>697</v>
      </c>
      <c r="D2180" s="140" t="str">
        <f t="shared" si="240"/>
        <v>1</v>
      </c>
      <c r="E2180" s="166" t="s">
        <v>692</v>
      </c>
      <c r="F2180" s="140">
        <f t="shared" si="242"/>
        <v>3</v>
      </c>
      <c r="G2180" s="140" t="str">
        <f t="shared" si="241"/>
        <v>4.1.3</v>
      </c>
      <c r="H2180" s="166" t="s">
        <v>664</v>
      </c>
      <c r="I2180" s="166" t="s">
        <v>88</v>
      </c>
      <c r="J2180" s="166" t="s">
        <v>462</v>
      </c>
      <c r="K2180" s="166" t="s">
        <v>709</v>
      </c>
      <c r="L2180" s="177">
        <v>35000</v>
      </c>
      <c r="M2180" s="166">
        <v>100</v>
      </c>
      <c r="N2180" s="166">
        <v>5</v>
      </c>
      <c r="O2180" s="164">
        <f t="shared" si="243"/>
        <v>17500000</v>
      </c>
      <c r="P2180" s="166">
        <v>100</v>
      </c>
      <c r="Q2180" s="166">
        <v>5</v>
      </c>
      <c r="R2180" s="164">
        <f>$L2180*'Pivot Objective'!$C$9*P2180*Q2180</f>
        <v>20001119.197499998</v>
      </c>
      <c r="S2180" s="166">
        <v>25</v>
      </c>
      <c r="T2180" s="166">
        <v>5</v>
      </c>
      <c r="U2180" s="164">
        <f>($L2180*'Pivot Objective'!$C$9^2)*S2180*T2180</f>
        <v>5714925.2736086138</v>
      </c>
      <c r="V2180" s="166">
        <v>25</v>
      </c>
      <c r="W2180" s="166">
        <v>5</v>
      </c>
      <c r="X2180" s="164">
        <f>($L2180*'Pivot Objective'!$C$9^3)*V2180*W2180</f>
        <v>6531708.6629857821</v>
      </c>
      <c r="Y2180" s="166">
        <v>25</v>
      </c>
      <c r="Z2180" s="166">
        <v>5</v>
      </c>
      <c r="AA2180" s="164">
        <f>($L2180*'Pivot Objective'!$C$9^4)*Y2180*Z2180</f>
        <v>7465227.6303841127</v>
      </c>
      <c r="AB2180" s="166">
        <v>25</v>
      </c>
      <c r="AC2180" s="166">
        <v>5</v>
      </c>
      <c r="AD2180" s="164">
        <f>($L2180*'Pivot Objective'!$C$9^5)*AB2180*AC2180</f>
        <v>8532166.152673319</v>
      </c>
      <c r="AE2180" s="166">
        <v>25</v>
      </c>
      <c r="AF2180" s="166">
        <v>5</v>
      </c>
      <c r="AG2180" s="164">
        <f>($L2180*'Pivot Objective'!$C$9^6)*AE2180*AF2180</f>
        <v>9751592.6989996582</v>
      </c>
      <c r="AH2180" s="166">
        <v>25</v>
      </c>
      <c r="AI2180" s="166">
        <v>5</v>
      </c>
      <c r="AJ2180" s="164">
        <f>($L2180*'Pivot Objective'!$C$9^7)*AH2180*AI2180</f>
        <v>11145301.025037881</v>
      </c>
      <c r="AK2180" s="185">
        <f t="shared" si="244"/>
        <v>86642040.641189367</v>
      </c>
      <c r="AL2180" s="186">
        <f t="shared" si="245"/>
        <v>84118.486059407151</v>
      </c>
    </row>
    <row r="2181" spans="1:38" customFormat="1" ht="57.6" x14ac:dyDescent="0.3">
      <c r="A2181" s="140" t="s">
        <v>1487</v>
      </c>
      <c r="B2181" s="140">
        <v>4</v>
      </c>
      <c r="C2181" s="166" t="s">
        <v>697</v>
      </c>
      <c r="D2181" s="140" t="str">
        <f t="shared" si="240"/>
        <v>1</v>
      </c>
      <c r="E2181" s="166" t="s">
        <v>692</v>
      </c>
      <c r="F2181" s="140">
        <f t="shared" si="242"/>
        <v>3</v>
      </c>
      <c r="G2181" s="140" t="str">
        <f t="shared" si="241"/>
        <v>4.1.3</v>
      </c>
      <c r="H2181" s="166" t="s">
        <v>664</v>
      </c>
      <c r="I2181" s="166" t="s">
        <v>88</v>
      </c>
      <c r="J2181" s="166" t="s">
        <v>462</v>
      </c>
      <c r="K2181" s="166" t="s">
        <v>1299</v>
      </c>
      <c r="L2181" s="177">
        <f>1480/7</f>
        <v>211.42857142857142</v>
      </c>
      <c r="M2181" s="166">
        <f>2*135*29</f>
        <v>7830</v>
      </c>
      <c r="N2181" s="166">
        <v>5</v>
      </c>
      <c r="O2181" s="164">
        <f t="shared" si="243"/>
        <v>8277428.5714285709</v>
      </c>
      <c r="P2181" s="166">
        <f>2*135*9</f>
        <v>2430</v>
      </c>
      <c r="Q2181" s="166">
        <v>5</v>
      </c>
      <c r="R2181" s="164">
        <f>$L2181*'Pivot Objective'!$C$9*P2181*Q2181</f>
        <v>2936001.0237505711</v>
      </c>
      <c r="S2181" s="166">
        <f>2*135*9</f>
        <v>2430</v>
      </c>
      <c r="T2181" s="166">
        <v>5</v>
      </c>
      <c r="U2181" s="164">
        <f>($L2181*'Pivot Objective'!$C$9^2)*S2181*T2181</f>
        <v>3355617.510858126</v>
      </c>
      <c r="V2181" s="166">
        <f>2*135*9</f>
        <v>2430</v>
      </c>
      <c r="W2181" s="166">
        <v>5</v>
      </c>
      <c r="X2181" s="164">
        <f>($L2181*'Pivot Objective'!$C$9^3)*V2181*W2181</f>
        <v>3835206.0466223774</v>
      </c>
      <c r="Y2181" s="166">
        <f>2*135*9</f>
        <v>2430</v>
      </c>
      <c r="Z2181" s="166">
        <v>5</v>
      </c>
      <c r="AA2181" s="164">
        <f>($L2181*'Pivot Objective'!$C$9^4)*Y2181*Z2181</f>
        <v>4383337.9020266803</v>
      </c>
      <c r="AB2181" s="166">
        <f>2*135*9</f>
        <v>2430</v>
      </c>
      <c r="AC2181" s="166">
        <v>5</v>
      </c>
      <c r="AD2181" s="164">
        <f>($L2181*'Pivot Objective'!$C$9^5)*AB2181*AC2181</f>
        <v>5009809.3635060126</v>
      </c>
      <c r="AE2181" s="166">
        <f>2*135*9</f>
        <v>2430</v>
      </c>
      <c r="AF2181" s="166">
        <v>5</v>
      </c>
      <c r="AG2181" s="164">
        <f>($L2181*'Pivot Objective'!$C$9^6)*AE2181*AF2181</f>
        <v>5725816.8134991629</v>
      </c>
      <c r="AH2181" s="166">
        <f>2*135*9</f>
        <v>2430</v>
      </c>
      <c r="AI2181" s="166">
        <v>5</v>
      </c>
      <c r="AJ2181" s="164">
        <f>($L2181*'Pivot Objective'!$C$9^7)*AH2181*AI2181</f>
        <v>6544156.8337055072</v>
      </c>
      <c r="AK2181" s="185">
        <f t="shared" si="244"/>
        <v>40067374.065397009</v>
      </c>
      <c r="AL2181" s="186">
        <f t="shared" si="245"/>
        <v>38900.363170288358</v>
      </c>
    </row>
    <row r="2182" spans="1:38" customFormat="1" ht="57.6" x14ac:dyDescent="0.3">
      <c r="A2182" s="140" t="s">
        <v>1487</v>
      </c>
      <c r="B2182" s="140">
        <v>4</v>
      </c>
      <c r="C2182" s="166" t="s">
        <v>697</v>
      </c>
      <c r="D2182" s="140" t="str">
        <f t="shared" si="240"/>
        <v>1</v>
      </c>
      <c r="E2182" s="166" t="s">
        <v>692</v>
      </c>
      <c r="F2182" s="140">
        <f t="shared" si="242"/>
        <v>3</v>
      </c>
      <c r="G2182" s="140" t="str">
        <f t="shared" si="241"/>
        <v>4.1.3</v>
      </c>
      <c r="H2182" s="166" t="s">
        <v>664</v>
      </c>
      <c r="I2182" s="166" t="s">
        <v>88</v>
      </c>
      <c r="J2182" s="166" t="s">
        <v>462</v>
      </c>
      <c r="K2182" s="166" t="s">
        <v>717</v>
      </c>
      <c r="L2182" s="177">
        <v>104850</v>
      </c>
      <c r="M2182" s="166">
        <v>1</v>
      </c>
      <c r="N2182" s="166">
        <v>1</v>
      </c>
      <c r="O2182" s="164">
        <f t="shared" si="243"/>
        <v>104850</v>
      </c>
      <c r="P2182" s="166">
        <v>1</v>
      </c>
      <c r="Q2182" s="166">
        <v>1</v>
      </c>
      <c r="R2182" s="164">
        <f>$L2182*'Pivot Objective'!$C$9*P2182*Q2182</f>
        <v>119835.27702044998</v>
      </c>
      <c r="S2182" s="166">
        <v>1</v>
      </c>
      <c r="T2182" s="166">
        <v>1</v>
      </c>
      <c r="U2182" s="164">
        <f>($L2182*'Pivot Objective'!$C$9^2)*S2182*T2182</f>
        <v>136962.26627151159</v>
      </c>
      <c r="V2182" s="166">
        <v>1</v>
      </c>
      <c r="W2182" s="166">
        <v>1</v>
      </c>
      <c r="X2182" s="164">
        <f>($L2182*'Pivot Objective'!$C$9^3)*V2182*W2182</f>
        <v>156537.0636146421</v>
      </c>
      <c r="Y2182" s="166">
        <v>1</v>
      </c>
      <c r="Z2182" s="166">
        <v>1</v>
      </c>
      <c r="AA2182" s="164">
        <f>($L2182*'Pivot Objective'!$C$9^4)*Y2182*Z2182</f>
        <v>178909.51246760553</v>
      </c>
      <c r="AB2182" s="166">
        <v>1</v>
      </c>
      <c r="AC2182" s="166">
        <v>1</v>
      </c>
      <c r="AD2182" s="164">
        <f>($L2182*'Pivot Objective'!$C$9^5)*AB2182*AC2182</f>
        <v>204479.45625321087</v>
      </c>
      <c r="AE2182" s="166">
        <v>1</v>
      </c>
      <c r="AF2182" s="166">
        <v>1</v>
      </c>
      <c r="AG2182" s="164">
        <f>($L2182*'Pivot Objective'!$C$9^6)*AE2182*AF2182</f>
        <v>233703.88445488326</v>
      </c>
      <c r="AH2182" s="166">
        <v>1</v>
      </c>
      <c r="AI2182" s="166">
        <v>1</v>
      </c>
      <c r="AJ2182" s="164">
        <f>($L2182*'Pivot Objective'!$C$9^7)*AH2182*AI2182</f>
        <v>267105.09999433643</v>
      </c>
      <c r="AK2182" s="185">
        <f t="shared" si="244"/>
        <v>1402382.5600766398</v>
      </c>
      <c r="AL2182" s="186">
        <f t="shared" si="245"/>
        <v>1361.5364660938251</v>
      </c>
    </row>
    <row r="2183" spans="1:38" customFormat="1" ht="57.6" x14ac:dyDescent="0.3">
      <c r="A2183" s="140" t="s">
        <v>1487</v>
      </c>
      <c r="B2183" s="140">
        <v>4</v>
      </c>
      <c r="C2183" s="166" t="s">
        <v>697</v>
      </c>
      <c r="D2183" s="140" t="str">
        <f t="shared" si="240"/>
        <v>1</v>
      </c>
      <c r="E2183" s="166" t="s">
        <v>692</v>
      </c>
      <c r="F2183" s="140">
        <f t="shared" si="242"/>
        <v>3</v>
      </c>
      <c r="G2183" s="140" t="str">
        <f t="shared" si="241"/>
        <v>4.1.3</v>
      </c>
      <c r="H2183" s="166" t="s">
        <v>664</v>
      </c>
      <c r="I2183" s="166" t="s">
        <v>88</v>
      </c>
      <c r="J2183" s="166" t="s">
        <v>462</v>
      </c>
      <c r="K2183" s="166" t="s">
        <v>1297</v>
      </c>
      <c r="L2183" s="177">
        <v>8000</v>
      </c>
      <c r="M2183" s="166">
        <v>5</v>
      </c>
      <c r="N2183" s="166">
        <v>1</v>
      </c>
      <c r="O2183" s="164">
        <f t="shared" si="243"/>
        <v>40000</v>
      </c>
      <c r="P2183" s="166">
        <v>5</v>
      </c>
      <c r="Q2183" s="166">
        <v>1</v>
      </c>
      <c r="R2183" s="164">
        <f>$L2183*'Pivot Objective'!$C$9*P2183*Q2183</f>
        <v>45716.84388</v>
      </c>
      <c r="S2183" s="166">
        <v>5</v>
      </c>
      <c r="T2183" s="166">
        <v>1</v>
      </c>
      <c r="U2183" s="164">
        <f>($L2183*'Pivot Objective'!$C$9^2)*S2183*T2183</f>
        <v>52250.745358707325</v>
      </c>
      <c r="V2183" s="166">
        <v>5</v>
      </c>
      <c r="W2183" s="166">
        <v>1</v>
      </c>
      <c r="X2183" s="164">
        <f>($L2183*'Pivot Objective'!$C$9^3)*V2183*W2183</f>
        <v>59718.479204441435</v>
      </c>
      <c r="Y2183" s="166">
        <v>5</v>
      </c>
      <c r="Z2183" s="166">
        <v>1</v>
      </c>
      <c r="AA2183" s="164">
        <f>($L2183*'Pivot Objective'!$C$9^4)*Y2183*Z2183</f>
        <v>68253.509763511887</v>
      </c>
      <c r="AB2183" s="166">
        <v>5</v>
      </c>
      <c r="AC2183" s="166">
        <v>1</v>
      </c>
      <c r="AD2183" s="164">
        <f>($L2183*'Pivot Objective'!$C$9^5)*AB2183*AC2183</f>
        <v>78008.376253013208</v>
      </c>
      <c r="AE2183" s="166">
        <v>5</v>
      </c>
      <c r="AF2183" s="166">
        <v>1</v>
      </c>
      <c r="AG2183" s="164">
        <f>($L2183*'Pivot Objective'!$C$9^6)*AE2183*AF2183</f>
        <v>89157.418962282609</v>
      </c>
      <c r="AH2183" s="166">
        <v>5</v>
      </c>
      <c r="AI2183" s="166">
        <v>1</v>
      </c>
      <c r="AJ2183" s="164">
        <f>($L2183*'Pivot Objective'!$C$9^7)*AH2183*AI2183</f>
        <v>101899.89508606063</v>
      </c>
      <c r="AK2183" s="185">
        <f t="shared" si="244"/>
        <v>535005.26850801706</v>
      </c>
      <c r="AL2183" s="186">
        <f t="shared" si="245"/>
        <v>519.42259078448262</v>
      </c>
    </row>
    <row r="2184" spans="1:38" customFormat="1" ht="57.6" x14ac:dyDescent="0.3">
      <c r="A2184" s="140" t="s">
        <v>1487</v>
      </c>
      <c r="B2184" s="140">
        <v>4</v>
      </c>
      <c r="C2184" s="166" t="s">
        <v>697</v>
      </c>
      <c r="D2184" s="140" t="str">
        <f t="shared" si="240"/>
        <v>1</v>
      </c>
      <c r="E2184" s="166" t="s">
        <v>692</v>
      </c>
      <c r="F2184" s="140">
        <f t="shared" si="242"/>
        <v>3</v>
      </c>
      <c r="G2184" s="140" t="str">
        <f t="shared" si="241"/>
        <v>4.1.3</v>
      </c>
      <c r="H2184" s="166" t="s">
        <v>664</v>
      </c>
      <c r="I2184" s="166" t="s">
        <v>88</v>
      </c>
      <c r="J2184" s="166" t="s">
        <v>783</v>
      </c>
      <c r="K2184" s="166" t="s">
        <v>778</v>
      </c>
      <c r="L2184" s="177">
        <f>10000*1022</f>
        <v>10220000</v>
      </c>
      <c r="M2184" s="166">
        <v>30</v>
      </c>
      <c r="N2184" s="166">
        <v>1</v>
      </c>
      <c r="O2184" s="164">
        <f t="shared" si="243"/>
        <v>306600000</v>
      </c>
      <c r="P2184" s="166">
        <v>30</v>
      </c>
      <c r="Q2184" s="166">
        <v>1</v>
      </c>
      <c r="R2184" s="164">
        <f>$L2184*'Pivot Objective'!$C$9*P2184*Q2184</f>
        <v>350419608.34020001</v>
      </c>
      <c r="S2184" s="166">
        <v>30</v>
      </c>
      <c r="T2184" s="166">
        <v>1</v>
      </c>
      <c r="U2184" s="164">
        <f>($L2184*'Pivot Objective'!$C$9^2)*S2184*T2184</f>
        <v>400501963.17449164</v>
      </c>
      <c r="V2184" s="166">
        <v>30</v>
      </c>
      <c r="W2184" s="166">
        <v>1</v>
      </c>
      <c r="X2184" s="164">
        <f>($L2184*'Pivot Objective'!$C$9^3)*V2184*W2184</f>
        <v>457742143.10204357</v>
      </c>
      <c r="Y2184" s="166">
        <v>30</v>
      </c>
      <c r="Z2184" s="166">
        <v>1</v>
      </c>
      <c r="AA2184" s="164">
        <f>($L2184*'Pivot Objective'!$C$9^4)*Y2184*Z2184</f>
        <v>523163152.33731866</v>
      </c>
      <c r="AB2184" s="166">
        <v>30</v>
      </c>
      <c r="AC2184" s="166">
        <v>1</v>
      </c>
      <c r="AD2184" s="164">
        <f>($L2184*'Pivot Objective'!$C$9^5)*AB2184*AC2184</f>
        <v>597934203.97934616</v>
      </c>
      <c r="AE2184" s="166">
        <v>30</v>
      </c>
      <c r="AF2184" s="166">
        <v>1</v>
      </c>
      <c r="AG2184" s="164">
        <f>($L2184*'Pivot Objective'!$C$9^6)*AE2184*AF2184</f>
        <v>683391616.34589612</v>
      </c>
      <c r="AH2184" s="166">
        <v>30</v>
      </c>
      <c r="AI2184" s="166">
        <v>1</v>
      </c>
      <c r="AJ2184" s="164">
        <f>($L2184*'Pivot Objective'!$C$9^7)*AH2184*AI2184</f>
        <v>781062695.83465481</v>
      </c>
      <c r="AK2184" s="185">
        <f t="shared" si="244"/>
        <v>4100815383.1139512</v>
      </c>
      <c r="AL2184" s="186">
        <f t="shared" si="245"/>
        <v>3981374.1583630596</v>
      </c>
    </row>
    <row r="2185" spans="1:38" customFormat="1" ht="72" x14ac:dyDescent="0.3">
      <c r="A2185" s="140" t="s">
        <v>1487</v>
      </c>
      <c r="B2185" s="140">
        <v>4</v>
      </c>
      <c r="C2185" s="166" t="s">
        <v>697</v>
      </c>
      <c r="D2185" s="140" t="str">
        <f t="shared" si="240"/>
        <v>1</v>
      </c>
      <c r="E2185" s="166" t="s">
        <v>692</v>
      </c>
      <c r="F2185" s="140">
        <f t="shared" si="242"/>
        <v>4</v>
      </c>
      <c r="G2185" s="140" t="str">
        <f t="shared" si="241"/>
        <v>4.1.4</v>
      </c>
      <c r="H2185" s="166" t="s">
        <v>665</v>
      </c>
      <c r="I2185" s="166" t="s">
        <v>89</v>
      </c>
      <c r="J2185" s="166" t="s">
        <v>464</v>
      </c>
      <c r="K2185" s="166" t="s">
        <v>718</v>
      </c>
      <c r="L2185" s="177">
        <v>0</v>
      </c>
      <c r="M2185" s="166">
        <v>0</v>
      </c>
      <c r="N2185" s="166">
        <v>0</v>
      </c>
      <c r="O2185" s="164">
        <f t="shared" si="243"/>
        <v>0</v>
      </c>
      <c r="P2185" s="166">
        <v>0</v>
      </c>
      <c r="Q2185" s="166">
        <v>0</v>
      </c>
      <c r="R2185" s="164">
        <f>$L2185*'Pivot Objective'!$C$9*P2185*Q2185</f>
        <v>0</v>
      </c>
      <c r="S2185" s="166">
        <v>0</v>
      </c>
      <c r="T2185" s="166">
        <v>0</v>
      </c>
      <c r="U2185" s="164">
        <f>($L2185*'Pivot Objective'!$C$9^2)*S2185*T2185</f>
        <v>0</v>
      </c>
      <c r="V2185" s="166">
        <v>0</v>
      </c>
      <c r="W2185" s="166">
        <v>0</v>
      </c>
      <c r="X2185" s="164">
        <f>($L2185*'Pivot Objective'!$C$9^3)*V2185*W2185</f>
        <v>0</v>
      </c>
      <c r="Y2185" s="166">
        <v>0</v>
      </c>
      <c r="Z2185" s="166">
        <v>0</v>
      </c>
      <c r="AA2185" s="164">
        <f>($L2185*'Pivot Objective'!$C$9^4)*Y2185*Z2185</f>
        <v>0</v>
      </c>
      <c r="AB2185" s="166">
        <v>0</v>
      </c>
      <c r="AC2185" s="166">
        <v>0</v>
      </c>
      <c r="AD2185" s="164">
        <f>($L2185*'Pivot Objective'!$C$9^5)*AB2185*AC2185</f>
        <v>0</v>
      </c>
      <c r="AE2185" s="166">
        <v>0</v>
      </c>
      <c r="AF2185" s="166">
        <v>0</v>
      </c>
      <c r="AG2185" s="164">
        <f>($L2185*'Pivot Objective'!$C$9^6)*AE2185*AF2185</f>
        <v>0</v>
      </c>
      <c r="AH2185" s="166">
        <v>0</v>
      </c>
      <c r="AI2185" s="166">
        <v>0</v>
      </c>
      <c r="AJ2185" s="164">
        <f>($L2185*'Pivot Objective'!$C$9^7)*AH2185*AI2185</f>
        <v>0</v>
      </c>
      <c r="AK2185" s="185">
        <f t="shared" si="244"/>
        <v>0</v>
      </c>
      <c r="AL2185" s="186">
        <f t="shared" si="245"/>
        <v>0</v>
      </c>
    </row>
    <row r="2186" spans="1:38" customFormat="1" ht="72" x14ac:dyDescent="0.3">
      <c r="A2186" s="140" t="s">
        <v>1487</v>
      </c>
      <c r="B2186" s="140">
        <v>4</v>
      </c>
      <c r="C2186" s="166" t="s">
        <v>697</v>
      </c>
      <c r="D2186" s="140" t="str">
        <f t="shared" si="240"/>
        <v>1</v>
      </c>
      <c r="E2186" s="166" t="s">
        <v>692</v>
      </c>
      <c r="F2186" s="140">
        <f t="shared" si="242"/>
        <v>4</v>
      </c>
      <c r="G2186" s="140" t="str">
        <f t="shared" si="241"/>
        <v>4.1.4</v>
      </c>
      <c r="H2186" s="166" t="s">
        <v>665</v>
      </c>
      <c r="I2186" s="166" t="s">
        <v>89</v>
      </c>
      <c r="J2186" s="166" t="s">
        <v>465</v>
      </c>
      <c r="K2186" s="166" t="s">
        <v>718</v>
      </c>
      <c r="L2186" s="177">
        <v>0</v>
      </c>
      <c r="M2186" s="166">
        <v>0</v>
      </c>
      <c r="N2186" s="166">
        <v>0</v>
      </c>
      <c r="O2186" s="164">
        <f t="shared" si="243"/>
        <v>0</v>
      </c>
      <c r="P2186" s="166">
        <v>0</v>
      </c>
      <c r="Q2186" s="166">
        <v>0</v>
      </c>
      <c r="R2186" s="164">
        <f>$L2186*'Pivot Objective'!$C$9*P2186*Q2186</f>
        <v>0</v>
      </c>
      <c r="S2186" s="166">
        <v>0</v>
      </c>
      <c r="T2186" s="166">
        <v>0</v>
      </c>
      <c r="U2186" s="164">
        <f>($L2186*'Pivot Objective'!$C$9^2)*S2186*T2186</f>
        <v>0</v>
      </c>
      <c r="V2186" s="166">
        <v>0</v>
      </c>
      <c r="W2186" s="166">
        <v>0</v>
      </c>
      <c r="X2186" s="164">
        <f>($L2186*'Pivot Objective'!$C$9^3)*V2186*W2186</f>
        <v>0</v>
      </c>
      <c r="Y2186" s="166">
        <v>0</v>
      </c>
      <c r="Z2186" s="166">
        <v>0</v>
      </c>
      <c r="AA2186" s="164">
        <f>($L2186*'Pivot Objective'!$C$9^4)*Y2186*Z2186</f>
        <v>0</v>
      </c>
      <c r="AB2186" s="166">
        <v>0</v>
      </c>
      <c r="AC2186" s="166">
        <v>0</v>
      </c>
      <c r="AD2186" s="164">
        <f>($L2186*'Pivot Objective'!$C$9^5)*AB2186*AC2186</f>
        <v>0</v>
      </c>
      <c r="AE2186" s="166">
        <v>0</v>
      </c>
      <c r="AF2186" s="166">
        <v>0</v>
      </c>
      <c r="AG2186" s="164">
        <f>($L2186*'Pivot Objective'!$C$9^6)*AE2186*AF2186</f>
        <v>0</v>
      </c>
      <c r="AH2186" s="166">
        <v>0</v>
      </c>
      <c r="AI2186" s="166">
        <v>0</v>
      </c>
      <c r="AJ2186" s="164">
        <f>($L2186*'Pivot Objective'!$C$9^7)*AH2186*AI2186</f>
        <v>0</v>
      </c>
      <c r="AK2186" s="185">
        <f t="shared" si="244"/>
        <v>0</v>
      </c>
      <c r="AL2186" s="186">
        <f t="shared" si="245"/>
        <v>0</v>
      </c>
    </row>
    <row r="2187" spans="1:38" customFormat="1" ht="72" x14ac:dyDescent="0.3">
      <c r="A2187" s="140" t="s">
        <v>1487</v>
      </c>
      <c r="B2187" s="140">
        <v>4</v>
      </c>
      <c r="C2187" s="166" t="s">
        <v>697</v>
      </c>
      <c r="D2187" s="140" t="str">
        <f t="shared" si="240"/>
        <v>1</v>
      </c>
      <c r="E2187" s="166" t="s">
        <v>692</v>
      </c>
      <c r="F2187" s="140">
        <f t="shared" si="242"/>
        <v>4</v>
      </c>
      <c r="G2187" s="140" t="str">
        <f t="shared" si="241"/>
        <v>4.1.4</v>
      </c>
      <c r="H2187" s="166" t="s">
        <v>665</v>
      </c>
      <c r="I2187" s="166" t="s">
        <v>89</v>
      </c>
      <c r="J2187" s="166" t="s">
        <v>466</v>
      </c>
      <c r="K2187" s="166" t="s">
        <v>718</v>
      </c>
      <c r="L2187" s="177">
        <v>0</v>
      </c>
      <c r="M2187" s="166">
        <v>0</v>
      </c>
      <c r="N2187" s="166">
        <v>0</v>
      </c>
      <c r="O2187" s="164">
        <f t="shared" si="243"/>
        <v>0</v>
      </c>
      <c r="P2187" s="166">
        <v>0</v>
      </c>
      <c r="Q2187" s="166">
        <v>0</v>
      </c>
      <c r="R2187" s="164">
        <f>$L2187*'Pivot Objective'!$C$9*P2187*Q2187</f>
        <v>0</v>
      </c>
      <c r="S2187" s="166">
        <v>0</v>
      </c>
      <c r="T2187" s="166">
        <v>0</v>
      </c>
      <c r="U2187" s="164">
        <f>($L2187*'Pivot Objective'!$C$9^2)*S2187*T2187</f>
        <v>0</v>
      </c>
      <c r="V2187" s="166">
        <v>0</v>
      </c>
      <c r="W2187" s="166">
        <v>0</v>
      </c>
      <c r="X2187" s="164">
        <f>($L2187*'Pivot Objective'!$C$9^3)*V2187*W2187</f>
        <v>0</v>
      </c>
      <c r="Y2187" s="166">
        <v>0</v>
      </c>
      <c r="Z2187" s="166">
        <v>0</v>
      </c>
      <c r="AA2187" s="164">
        <f>($L2187*'Pivot Objective'!$C$9^4)*Y2187*Z2187</f>
        <v>0</v>
      </c>
      <c r="AB2187" s="166">
        <v>0</v>
      </c>
      <c r="AC2187" s="166">
        <v>0</v>
      </c>
      <c r="AD2187" s="164">
        <f>($L2187*'Pivot Objective'!$C$9^5)*AB2187*AC2187</f>
        <v>0</v>
      </c>
      <c r="AE2187" s="166">
        <v>0</v>
      </c>
      <c r="AF2187" s="166">
        <v>0</v>
      </c>
      <c r="AG2187" s="164">
        <f>($L2187*'Pivot Objective'!$C$9^6)*AE2187*AF2187</f>
        <v>0</v>
      </c>
      <c r="AH2187" s="166">
        <v>0</v>
      </c>
      <c r="AI2187" s="166">
        <v>0</v>
      </c>
      <c r="AJ2187" s="164">
        <f>($L2187*'Pivot Objective'!$C$9^7)*AH2187*AI2187</f>
        <v>0</v>
      </c>
      <c r="AK2187" s="185">
        <f t="shared" si="244"/>
        <v>0</v>
      </c>
      <c r="AL2187" s="186">
        <f t="shared" si="245"/>
        <v>0</v>
      </c>
    </row>
    <row r="2188" spans="1:38" customFormat="1" ht="72" x14ac:dyDescent="0.3">
      <c r="A2188" s="140" t="s">
        <v>1487</v>
      </c>
      <c r="B2188" s="140">
        <v>4</v>
      </c>
      <c r="C2188" s="166" t="s">
        <v>697</v>
      </c>
      <c r="D2188" s="140" t="str">
        <f t="shared" si="240"/>
        <v>1</v>
      </c>
      <c r="E2188" s="166" t="s">
        <v>692</v>
      </c>
      <c r="F2188" s="140">
        <f t="shared" si="242"/>
        <v>4</v>
      </c>
      <c r="G2188" s="140" t="str">
        <f t="shared" si="241"/>
        <v>4.1.4</v>
      </c>
      <c r="H2188" s="166" t="s">
        <v>665</v>
      </c>
      <c r="I2188" s="166" t="s">
        <v>89</v>
      </c>
      <c r="J2188" s="166" t="s">
        <v>467</v>
      </c>
      <c r="K2188" s="166" t="s">
        <v>718</v>
      </c>
      <c r="L2188" s="177">
        <v>0</v>
      </c>
      <c r="M2188" s="166">
        <v>0</v>
      </c>
      <c r="N2188" s="166">
        <v>0</v>
      </c>
      <c r="O2188" s="164">
        <f t="shared" si="243"/>
        <v>0</v>
      </c>
      <c r="P2188" s="166">
        <v>0</v>
      </c>
      <c r="Q2188" s="166">
        <v>0</v>
      </c>
      <c r="R2188" s="164">
        <f>$L2188*'Pivot Objective'!$C$9*P2188*Q2188</f>
        <v>0</v>
      </c>
      <c r="S2188" s="166">
        <v>0</v>
      </c>
      <c r="T2188" s="166">
        <v>0</v>
      </c>
      <c r="U2188" s="164">
        <f>($L2188*'Pivot Objective'!$C$9^2)*S2188*T2188</f>
        <v>0</v>
      </c>
      <c r="V2188" s="166">
        <v>0</v>
      </c>
      <c r="W2188" s="166">
        <v>0</v>
      </c>
      <c r="X2188" s="164">
        <f>($L2188*'Pivot Objective'!$C$9^3)*V2188*W2188</f>
        <v>0</v>
      </c>
      <c r="Y2188" s="166">
        <v>0</v>
      </c>
      <c r="Z2188" s="166">
        <v>0</v>
      </c>
      <c r="AA2188" s="164">
        <f>($L2188*'Pivot Objective'!$C$9^4)*Y2188*Z2188</f>
        <v>0</v>
      </c>
      <c r="AB2188" s="166">
        <v>0</v>
      </c>
      <c r="AC2188" s="166">
        <v>0</v>
      </c>
      <c r="AD2188" s="164">
        <f>($L2188*'Pivot Objective'!$C$9^5)*AB2188*AC2188</f>
        <v>0</v>
      </c>
      <c r="AE2188" s="166">
        <v>0</v>
      </c>
      <c r="AF2188" s="166">
        <v>0</v>
      </c>
      <c r="AG2188" s="164">
        <f>($L2188*'Pivot Objective'!$C$9^6)*AE2188*AF2188</f>
        <v>0</v>
      </c>
      <c r="AH2188" s="166">
        <v>0</v>
      </c>
      <c r="AI2188" s="166">
        <v>0</v>
      </c>
      <c r="AJ2188" s="164">
        <f>($L2188*'Pivot Objective'!$C$9^7)*AH2188*AI2188</f>
        <v>0</v>
      </c>
      <c r="AK2188" s="185">
        <f t="shared" si="244"/>
        <v>0</v>
      </c>
      <c r="AL2188" s="186">
        <f t="shared" si="245"/>
        <v>0</v>
      </c>
    </row>
    <row r="2189" spans="1:38" customFormat="1" ht="72" x14ac:dyDescent="0.3">
      <c r="A2189" s="140" t="s">
        <v>1487</v>
      </c>
      <c r="B2189" s="140">
        <v>4</v>
      </c>
      <c r="C2189" s="166" t="s">
        <v>697</v>
      </c>
      <c r="D2189" s="140" t="str">
        <f t="shared" si="240"/>
        <v>1</v>
      </c>
      <c r="E2189" s="166" t="s">
        <v>692</v>
      </c>
      <c r="F2189" s="140">
        <f t="shared" si="242"/>
        <v>4</v>
      </c>
      <c r="G2189" s="140" t="str">
        <f t="shared" si="241"/>
        <v>4.1.4</v>
      </c>
      <c r="H2189" s="166" t="s">
        <v>665</v>
      </c>
      <c r="I2189" s="166" t="s">
        <v>89</v>
      </c>
      <c r="J2189" s="166" t="s">
        <v>468</v>
      </c>
      <c r="K2189" s="166" t="s">
        <v>718</v>
      </c>
      <c r="L2189" s="177">
        <v>0</v>
      </c>
      <c r="M2189" s="166">
        <v>0</v>
      </c>
      <c r="N2189" s="166">
        <v>0</v>
      </c>
      <c r="O2189" s="164">
        <f t="shared" si="243"/>
        <v>0</v>
      </c>
      <c r="P2189" s="166">
        <v>0</v>
      </c>
      <c r="Q2189" s="166">
        <v>0</v>
      </c>
      <c r="R2189" s="164">
        <f>$L2189*'Pivot Objective'!$C$9*P2189*Q2189</f>
        <v>0</v>
      </c>
      <c r="S2189" s="166">
        <v>0</v>
      </c>
      <c r="T2189" s="166">
        <v>0</v>
      </c>
      <c r="U2189" s="164">
        <f>($L2189*'Pivot Objective'!$C$9^2)*S2189*T2189</f>
        <v>0</v>
      </c>
      <c r="V2189" s="166">
        <v>0</v>
      </c>
      <c r="W2189" s="166">
        <v>0</v>
      </c>
      <c r="X2189" s="164">
        <f>($L2189*'Pivot Objective'!$C$9^3)*V2189*W2189</f>
        <v>0</v>
      </c>
      <c r="Y2189" s="166">
        <v>0</v>
      </c>
      <c r="Z2189" s="166">
        <v>0</v>
      </c>
      <c r="AA2189" s="164">
        <f>($L2189*'Pivot Objective'!$C$9^4)*Y2189*Z2189</f>
        <v>0</v>
      </c>
      <c r="AB2189" s="166">
        <v>0</v>
      </c>
      <c r="AC2189" s="166">
        <v>0</v>
      </c>
      <c r="AD2189" s="164">
        <f>($L2189*'Pivot Objective'!$C$9^5)*AB2189*AC2189</f>
        <v>0</v>
      </c>
      <c r="AE2189" s="166">
        <v>0</v>
      </c>
      <c r="AF2189" s="166">
        <v>0</v>
      </c>
      <c r="AG2189" s="164">
        <f>($L2189*'Pivot Objective'!$C$9^6)*AE2189*AF2189</f>
        <v>0</v>
      </c>
      <c r="AH2189" s="166">
        <v>0</v>
      </c>
      <c r="AI2189" s="166">
        <v>0</v>
      </c>
      <c r="AJ2189" s="164">
        <f>($L2189*'Pivot Objective'!$C$9^7)*AH2189*AI2189</f>
        <v>0</v>
      </c>
      <c r="AK2189" s="185">
        <f t="shared" si="244"/>
        <v>0</v>
      </c>
      <c r="AL2189" s="186">
        <f t="shared" si="245"/>
        <v>0</v>
      </c>
    </row>
    <row r="2190" spans="1:38" customFormat="1" ht="72" x14ac:dyDescent="0.3">
      <c r="A2190" s="140" t="s">
        <v>1487</v>
      </c>
      <c r="B2190" s="140">
        <v>4</v>
      </c>
      <c r="C2190" s="166" t="s">
        <v>697</v>
      </c>
      <c r="D2190" s="140" t="str">
        <f t="shared" si="240"/>
        <v>1</v>
      </c>
      <c r="E2190" s="166" t="s">
        <v>692</v>
      </c>
      <c r="F2190" s="140">
        <f t="shared" si="242"/>
        <v>4</v>
      </c>
      <c r="G2190" s="140" t="str">
        <f t="shared" si="241"/>
        <v>4.1.4</v>
      </c>
      <c r="H2190" s="166" t="s">
        <v>665</v>
      </c>
      <c r="I2190" s="166" t="s">
        <v>89</v>
      </c>
      <c r="J2190" s="166" t="s">
        <v>469</v>
      </c>
      <c r="K2190" s="166" t="s">
        <v>718</v>
      </c>
      <c r="L2190" s="177">
        <v>0</v>
      </c>
      <c r="M2190" s="166">
        <v>0</v>
      </c>
      <c r="N2190" s="166">
        <v>0</v>
      </c>
      <c r="O2190" s="164">
        <f t="shared" si="243"/>
        <v>0</v>
      </c>
      <c r="P2190" s="166">
        <v>0</v>
      </c>
      <c r="Q2190" s="166">
        <v>0</v>
      </c>
      <c r="R2190" s="164">
        <f>$L2190*'Pivot Objective'!$C$9*P2190*Q2190</f>
        <v>0</v>
      </c>
      <c r="S2190" s="166">
        <v>0</v>
      </c>
      <c r="T2190" s="166">
        <v>0</v>
      </c>
      <c r="U2190" s="164">
        <f>($L2190*'Pivot Objective'!$C$9^2)*S2190*T2190</f>
        <v>0</v>
      </c>
      <c r="V2190" s="166">
        <v>0</v>
      </c>
      <c r="W2190" s="166">
        <v>0</v>
      </c>
      <c r="X2190" s="164">
        <f>($L2190*'Pivot Objective'!$C$9^3)*V2190*W2190</f>
        <v>0</v>
      </c>
      <c r="Y2190" s="166">
        <v>0</v>
      </c>
      <c r="Z2190" s="166">
        <v>0</v>
      </c>
      <c r="AA2190" s="164">
        <f>($L2190*'Pivot Objective'!$C$9^4)*Y2190*Z2190</f>
        <v>0</v>
      </c>
      <c r="AB2190" s="166">
        <v>0</v>
      </c>
      <c r="AC2190" s="166">
        <v>0</v>
      </c>
      <c r="AD2190" s="164">
        <f>($L2190*'Pivot Objective'!$C$9^5)*AB2190*AC2190</f>
        <v>0</v>
      </c>
      <c r="AE2190" s="166">
        <v>0</v>
      </c>
      <c r="AF2190" s="166">
        <v>0</v>
      </c>
      <c r="AG2190" s="164">
        <f>($L2190*'Pivot Objective'!$C$9^6)*AE2190*AF2190</f>
        <v>0</v>
      </c>
      <c r="AH2190" s="166">
        <v>0</v>
      </c>
      <c r="AI2190" s="166">
        <v>0</v>
      </c>
      <c r="AJ2190" s="164">
        <f>($L2190*'Pivot Objective'!$C$9^7)*AH2190*AI2190</f>
        <v>0</v>
      </c>
      <c r="AK2190" s="185">
        <f t="shared" si="244"/>
        <v>0</v>
      </c>
      <c r="AL2190" s="186">
        <f t="shared" si="245"/>
        <v>0</v>
      </c>
    </row>
    <row r="2191" spans="1:38" customFormat="1" ht="72" x14ac:dyDescent="0.3">
      <c r="A2191" s="140" t="s">
        <v>1487</v>
      </c>
      <c r="B2191" s="140">
        <v>4</v>
      </c>
      <c r="C2191" s="166" t="s">
        <v>697</v>
      </c>
      <c r="D2191" s="140" t="str">
        <f t="shared" si="240"/>
        <v>1</v>
      </c>
      <c r="E2191" s="166" t="s">
        <v>692</v>
      </c>
      <c r="F2191" s="140">
        <f t="shared" si="242"/>
        <v>4</v>
      </c>
      <c r="G2191" s="140" t="str">
        <f t="shared" si="241"/>
        <v>4.1.4</v>
      </c>
      <c r="H2191" s="166" t="s">
        <v>665</v>
      </c>
      <c r="I2191" s="166" t="s">
        <v>89</v>
      </c>
      <c r="J2191" s="166" t="s">
        <v>470</v>
      </c>
      <c r="K2191" s="166" t="s">
        <v>718</v>
      </c>
      <c r="L2191" s="177">
        <v>0</v>
      </c>
      <c r="M2191" s="166">
        <v>0</v>
      </c>
      <c r="N2191" s="166">
        <v>0</v>
      </c>
      <c r="O2191" s="164">
        <f t="shared" si="243"/>
        <v>0</v>
      </c>
      <c r="P2191" s="166">
        <v>0</v>
      </c>
      <c r="Q2191" s="166">
        <v>0</v>
      </c>
      <c r="R2191" s="164">
        <f>$L2191*'Pivot Objective'!$C$9*P2191*Q2191</f>
        <v>0</v>
      </c>
      <c r="S2191" s="166">
        <v>0</v>
      </c>
      <c r="T2191" s="166">
        <v>0</v>
      </c>
      <c r="U2191" s="164">
        <f>($L2191*'Pivot Objective'!$C$9^2)*S2191*T2191</f>
        <v>0</v>
      </c>
      <c r="V2191" s="166">
        <v>0</v>
      </c>
      <c r="W2191" s="166">
        <v>0</v>
      </c>
      <c r="X2191" s="164">
        <f>($L2191*'Pivot Objective'!$C$9^3)*V2191*W2191</f>
        <v>0</v>
      </c>
      <c r="Y2191" s="166">
        <v>0</v>
      </c>
      <c r="Z2191" s="166">
        <v>0</v>
      </c>
      <c r="AA2191" s="164">
        <f>($L2191*'Pivot Objective'!$C$9^4)*Y2191*Z2191</f>
        <v>0</v>
      </c>
      <c r="AB2191" s="166">
        <v>0</v>
      </c>
      <c r="AC2191" s="166">
        <v>0</v>
      </c>
      <c r="AD2191" s="164">
        <f>($L2191*'Pivot Objective'!$C$9^5)*AB2191*AC2191</f>
        <v>0</v>
      </c>
      <c r="AE2191" s="166">
        <v>0</v>
      </c>
      <c r="AF2191" s="166">
        <v>0</v>
      </c>
      <c r="AG2191" s="164">
        <f>($L2191*'Pivot Objective'!$C$9^6)*AE2191*AF2191</f>
        <v>0</v>
      </c>
      <c r="AH2191" s="166">
        <v>0</v>
      </c>
      <c r="AI2191" s="166">
        <v>0</v>
      </c>
      <c r="AJ2191" s="164">
        <f>($L2191*'Pivot Objective'!$C$9^7)*AH2191*AI2191</f>
        <v>0</v>
      </c>
      <c r="AK2191" s="185">
        <f t="shared" si="244"/>
        <v>0</v>
      </c>
      <c r="AL2191" s="186">
        <f t="shared" si="245"/>
        <v>0</v>
      </c>
    </row>
    <row r="2192" spans="1:38" customFormat="1" ht="72" x14ac:dyDescent="0.3">
      <c r="A2192" s="140" t="s">
        <v>1487</v>
      </c>
      <c r="B2192" s="140">
        <v>4</v>
      </c>
      <c r="C2192" s="166" t="s">
        <v>697</v>
      </c>
      <c r="D2192" s="140" t="str">
        <f t="shared" si="240"/>
        <v>1</v>
      </c>
      <c r="E2192" s="166" t="s">
        <v>692</v>
      </c>
      <c r="F2192" s="140">
        <f t="shared" si="242"/>
        <v>4</v>
      </c>
      <c r="G2192" s="140" t="str">
        <f t="shared" si="241"/>
        <v>4.1.4</v>
      </c>
      <c r="H2192" s="166" t="s">
        <v>665</v>
      </c>
      <c r="I2192" s="166" t="s">
        <v>89</v>
      </c>
      <c r="J2192" s="166" t="s">
        <v>471</v>
      </c>
      <c r="K2192" s="166" t="s">
        <v>718</v>
      </c>
      <c r="L2192" s="177">
        <v>0</v>
      </c>
      <c r="M2192" s="166">
        <v>0</v>
      </c>
      <c r="N2192" s="166">
        <v>0</v>
      </c>
      <c r="O2192" s="164">
        <f t="shared" si="243"/>
        <v>0</v>
      </c>
      <c r="P2192" s="166">
        <v>0</v>
      </c>
      <c r="Q2192" s="166">
        <v>0</v>
      </c>
      <c r="R2192" s="164">
        <f>$L2192*'Pivot Objective'!$C$9*P2192*Q2192</f>
        <v>0</v>
      </c>
      <c r="S2192" s="166">
        <v>0</v>
      </c>
      <c r="T2192" s="166">
        <v>0</v>
      </c>
      <c r="U2192" s="164">
        <f>($L2192*'Pivot Objective'!$C$9^2)*S2192*T2192</f>
        <v>0</v>
      </c>
      <c r="V2192" s="166">
        <v>0</v>
      </c>
      <c r="W2192" s="166">
        <v>0</v>
      </c>
      <c r="X2192" s="164">
        <f>($L2192*'Pivot Objective'!$C$9^3)*V2192*W2192</f>
        <v>0</v>
      </c>
      <c r="Y2192" s="166">
        <v>0</v>
      </c>
      <c r="Z2192" s="166">
        <v>0</v>
      </c>
      <c r="AA2192" s="164">
        <f>($L2192*'Pivot Objective'!$C$9^4)*Y2192*Z2192</f>
        <v>0</v>
      </c>
      <c r="AB2192" s="166">
        <v>0</v>
      </c>
      <c r="AC2192" s="166">
        <v>0</v>
      </c>
      <c r="AD2192" s="164">
        <f>($L2192*'Pivot Objective'!$C$9^5)*AB2192*AC2192</f>
        <v>0</v>
      </c>
      <c r="AE2192" s="166">
        <v>0</v>
      </c>
      <c r="AF2192" s="166">
        <v>0</v>
      </c>
      <c r="AG2192" s="164">
        <f>($L2192*'Pivot Objective'!$C$9^6)*AE2192*AF2192</f>
        <v>0</v>
      </c>
      <c r="AH2192" s="166">
        <v>0</v>
      </c>
      <c r="AI2192" s="166">
        <v>0</v>
      </c>
      <c r="AJ2192" s="164">
        <f>($L2192*'Pivot Objective'!$C$9^7)*AH2192*AI2192</f>
        <v>0</v>
      </c>
      <c r="AK2192" s="185">
        <f t="shared" si="244"/>
        <v>0</v>
      </c>
      <c r="AL2192" s="186">
        <f t="shared" si="245"/>
        <v>0</v>
      </c>
    </row>
    <row r="2193" spans="1:38" customFormat="1" ht="72" x14ac:dyDescent="0.3">
      <c r="A2193" s="140" t="s">
        <v>1487</v>
      </c>
      <c r="B2193" s="140">
        <v>4</v>
      </c>
      <c r="C2193" s="166" t="s">
        <v>697</v>
      </c>
      <c r="D2193" s="140" t="str">
        <f t="shared" si="240"/>
        <v>1</v>
      </c>
      <c r="E2193" s="166" t="s">
        <v>692</v>
      </c>
      <c r="F2193" s="140">
        <f t="shared" si="242"/>
        <v>4</v>
      </c>
      <c r="G2193" s="140" t="str">
        <f t="shared" si="241"/>
        <v>4.1.4</v>
      </c>
      <c r="H2193" s="166" t="s">
        <v>665</v>
      </c>
      <c r="I2193" s="166" t="s">
        <v>89</v>
      </c>
      <c r="J2193" s="166" t="s">
        <v>472</v>
      </c>
      <c r="K2193" s="166" t="s">
        <v>718</v>
      </c>
      <c r="L2193" s="177">
        <v>0</v>
      </c>
      <c r="M2193" s="166">
        <v>0</v>
      </c>
      <c r="N2193" s="166">
        <v>0</v>
      </c>
      <c r="O2193" s="164">
        <f t="shared" si="243"/>
        <v>0</v>
      </c>
      <c r="P2193" s="166">
        <v>0</v>
      </c>
      <c r="Q2193" s="166">
        <v>0</v>
      </c>
      <c r="R2193" s="164">
        <f>$L2193*'Pivot Objective'!$C$9*P2193*Q2193</f>
        <v>0</v>
      </c>
      <c r="S2193" s="166">
        <v>0</v>
      </c>
      <c r="T2193" s="166">
        <v>0</v>
      </c>
      <c r="U2193" s="164">
        <f>($L2193*'Pivot Objective'!$C$9^2)*S2193*T2193</f>
        <v>0</v>
      </c>
      <c r="V2193" s="166">
        <v>0</v>
      </c>
      <c r="W2193" s="166">
        <v>0</v>
      </c>
      <c r="X2193" s="164">
        <f>($L2193*'Pivot Objective'!$C$9^3)*V2193*W2193</f>
        <v>0</v>
      </c>
      <c r="Y2193" s="166">
        <v>0</v>
      </c>
      <c r="Z2193" s="166">
        <v>0</v>
      </c>
      <c r="AA2193" s="164">
        <f>($L2193*'Pivot Objective'!$C$9^4)*Y2193*Z2193</f>
        <v>0</v>
      </c>
      <c r="AB2193" s="166">
        <v>0</v>
      </c>
      <c r="AC2193" s="166">
        <v>0</v>
      </c>
      <c r="AD2193" s="164">
        <f>($L2193*'Pivot Objective'!$C$9^5)*AB2193*AC2193</f>
        <v>0</v>
      </c>
      <c r="AE2193" s="166">
        <v>0</v>
      </c>
      <c r="AF2193" s="166">
        <v>0</v>
      </c>
      <c r="AG2193" s="164">
        <f>($L2193*'Pivot Objective'!$C$9^6)*AE2193*AF2193</f>
        <v>0</v>
      </c>
      <c r="AH2193" s="166">
        <v>0</v>
      </c>
      <c r="AI2193" s="166">
        <v>0</v>
      </c>
      <c r="AJ2193" s="164">
        <f>($L2193*'Pivot Objective'!$C$9^7)*AH2193*AI2193</f>
        <v>0</v>
      </c>
      <c r="AK2193" s="185">
        <f t="shared" si="244"/>
        <v>0</v>
      </c>
      <c r="AL2193" s="186">
        <f t="shared" si="245"/>
        <v>0</v>
      </c>
    </row>
    <row r="2194" spans="1:38" customFormat="1" ht="72" x14ac:dyDescent="0.3">
      <c r="A2194" s="140" t="s">
        <v>1487</v>
      </c>
      <c r="B2194" s="140">
        <v>4</v>
      </c>
      <c r="C2194" s="166" t="s">
        <v>697</v>
      </c>
      <c r="D2194" s="140" t="str">
        <f t="shared" si="240"/>
        <v>1</v>
      </c>
      <c r="E2194" s="166" t="s">
        <v>692</v>
      </c>
      <c r="F2194" s="140">
        <f t="shared" si="242"/>
        <v>4</v>
      </c>
      <c r="G2194" s="140" t="str">
        <f t="shared" si="241"/>
        <v>4.1.4</v>
      </c>
      <c r="H2194" s="166" t="s">
        <v>665</v>
      </c>
      <c r="I2194" s="166" t="s">
        <v>89</v>
      </c>
      <c r="J2194" s="166" t="s">
        <v>473</v>
      </c>
      <c r="K2194" s="166" t="s">
        <v>718</v>
      </c>
      <c r="L2194" s="177">
        <v>0</v>
      </c>
      <c r="M2194" s="166">
        <v>0</v>
      </c>
      <c r="N2194" s="166">
        <v>0</v>
      </c>
      <c r="O2194" s="164">
        <f t="shared" si="243"/>
        <v>0</v>
      </c>
      <c r="P2194" s="166">
        <v>0</v>
      </c>
      <c r="Q2194" s="166">
        <v>0</v>
      </c>
      <c r="R2194" s="164">
        <f>$L2194*'Pivot Objective'!$C$9*P2194*Q2194</f>
        <v>0</v>
      </c>
      <c r="S2194" s="166">
        <v>0</v>
      </c>
      <c r="T2194" s="166">
        <v>0</v>
      </c>
      <c r="U2194" s="164">
        <f>($L2194*'Pivot Objective'!$C$9^2)*S2194*T2194</f>
        <v>0</v>
      </c>
      <c r="V2194" s="166">
        <v>0</v>
      </c>
      <c r="W2194" s="166">
        <v>0</v>
      </c>
      <c r="X2194" s="164">
        <f>($L2194*'Pivot Objective'!$C$9^3)*V2194*W2194</f>
        <v>0</v>
      </c>
      <c r="Y2194" s="166">
        <v>0</v>
      </c>
      <c r="Z2194" s="166">
        <v>0</v>
      </c>
      <c r="AA2194" s="164">
        <f>($L2194*'Pivot Objective'!$C$9^4)*Y2194*Z2194</f>
        <v>0</v>
      </c>
      <c r="AB2194" s="166">
        <v>0</v>
      </c>
      <c r="AC2194" s="166">
        <v>0</v>
      </c>
      <c r="AD2194" s="164">
        <f>($L2194*'Pivot Objective'!$C$9^5)*AB2194*AC2194</f>
        <v>0</v>
      </c>
      <c r="AE2194" s="166">
        <v>0</v>
      </c>
      <c r="AF2194" s="166">
        <v>0</v>
      </c>
      <c r="AG2194" s="164">
        <f>($L2194*'Pivot Objective'!$C$9^6)*AE2194*AF2194</f>
        <v>0</v>
      </c>
      <c r="AH2194" s="166">
        <v>0</v>
      </c>
      <c r="AI2194" s="166">
        <v>0</v>
      </c>
      <c r="AJ2194" s="164">
        <f>($L2194*'Pivot Objective'!$C$9^7)*AH2194*AI2194</f>
        <v>0</v>
      </c>
      <c r="AK2194" s="185">
        <f t="shared" si="244"/>
        <v>0</v>
      </c>
      <c r="AL2194" s="186">
        <f t="shared" si="245"/>
        <v>0</v>
      </c>
    </row>
    <row r="2195" spans="1:38" customFormat="1" ht="57.6" x14ac:dyDescent="0.3">
      <c r="A2195" s="140" t="s">
        <v>1487</v>
      </c>
      <c r="B2195" s="140">
        <v>4</v>
      </c>
      <c r="C2195" s="166" t="s">
        <v>697</v>
      </c>
      <c r="D2195" s="140" t="str">
        <f t="shared" si="240"/>
        <v>1</v>
      </c>
      <c r="E2195" s="166" t="s">
        <v>692</v>
      </c>
      <c r="F2195" s="140">
        <f t="shared" si="242"/>
        <v>5</v>
      </c>
      <c r="G2195" s="140" t="str">
        <f t="shared" si="241"/>
        <v>4.1.5</v>
      </c>
      <c r="H2195" s="166" t="s">
        <v>666</v>
      </c>
      <c r="I2195" s="166" t="s">
        <v>90</v>
      </c>
      <c r="J2195" s="166" t="s">
        <v>474</v>
      </c>
      <c r="K2195" s="166" t="s">
        <v>716</v>
      </c>
      <c r="L2195" s="177">
        <v>39000</v>
      </c>
      <c r="M2195" s="140"/>
      <c r="N2195" s="140"/>
      <c r="O2195" s="164">
        <f t="shared" si="243"/>
        <v>0</v>
      </c>
      <c r="P2195" s="166">
        <v>60</v>
      </c>
      <c r="Q2195" s="166">
        <f>6*3</f>
        <v>18</v>
      </c>
      <c r="R2195" s="164">
        <f>$L2195*'Pivot Objective'!$C$9*P2195*Q2195</f>
        <v>48139836.605639994</v>
      </c>
      <c r="S2195" s="166">
        <v>0</v>
      </c>
      <c r="T2195" s="166">
        <v>0</v>
      </c>
      <c r="U2195" s="164">
        <f>($L2195*'Pivot Objective'!$C$9^2)*S2195*T2195</f>
        <v>0</v>
      </c>
      <c r="V2195" s="166">
        <v>0</v>
      </c>
      <c r="W2195" s="166">
        <v>0</v>
      </c>
      <c r="X2195" s="164">
        <f>($L2195*'Pivot Objective'!$C$9^3)*V2195*W2195</f>
        <v>0</v>
      </c>
      <c r="Y2195" s="166">
        <v>0</v>
      </c>
      <c r="Z2195" s="166">
        <v>0</v>
      </c>
      <c r="AA2195" s="164">
        <f>($L2195*'Pivot Objective'!$C$9^4)*Y2195*Z2195</f>
        <v>0</v>
      </c>
      <c r="AB2195" s="166">
        <v>0</v>
      </c>
      <c r="AC2195" s="166">
        <v>0</v>
      </c>
      <c r="AD2195" s="164">
        <f>($L2195*'Pivot Objective'!$C$9^5)*AB2195*AC2195</f>
        <v>0</v>
      </c>
      <c r="AE2195" s="166">
        <v>60</v>
      </c>
      <c r="AF2195" s="166">
        <f>6*3</f>
        <v>18</v>
      </c>
      <c r="AG2195" s="164">
        <f>($L2195*'Pivot Objective'!$C$9^6)*AE2195*AF2195</f>
        <v>93882762.16728358</v>
      </c>
      <c r="AH2195" s="166">
        <v>0</v>
      </c>
      <c r="AI2195" s="166">
        <v>0</v>
      </c>
      <c r="AJ2195" s="164">
        <f>($L2195*'Pivot Objective'!$C$9^7)*AH2195*AI2195</f>
        <v>0</v>
      </c>
      <c r="AK2195" s="185">
        <f t="shared" si="244"/>
        <v>142022598.77292359</v>
      </c>
      <c r="AL2195" s="186">
        <f t="shared" si="245"/>
        <v>137886.01822613939</v>
      </c>
    </row>
    <row r="2196" spans="1:38" customFormat="1" ht="57.6" x14ac:dyDescent="0.3">
      <c r="A2196" s="140" t="s">
        <v>1487</v>
      </c>
      <c r="B2196" s="140">
        <v>4</v>
      </c>
      <c r="C2196" s="166" t="s">
        <v>697</v>
      </c>
      <c r="D2196" s="140" t="str">
        <f t="shared" si="240"/>
        <v>1</v>
      </c>
      <c r="E2196" s="166" t="s">
        <v>692</v>
      </c>
      <c r="F2196" s="140">
        <f t="shared" si="242"/>
        <v>5</v>
      </c>
      <c r="G2196" s="140" t="str">
        <f t="shared" si="241"/>
        <v>4.1.5</v>
      </c>
      <c r="H2196" s="166" t="s">
        <v>666</v>
      </c>
      <c r="I2196" s="166" t="s">
        <v>90</v>
      </c>
      <c r="J2196" s="166" t="s">
        <v>474</v>
      </c>
      <c r="K2196" s="166" t="s">
        <v>709</v>
      </c>
      <c r="L2196" s="177">
        <v>35000</v>
      </c>
      <c r="M2196" s="140"/>
      <c r="N2196" s="140"/>
      <c r="O2196" s="164">
        <f t="shared" si="243"/>
        <v>0</v>
      </c>
      <c r="P2196" s="166">
        <v>60</v>
      </c>
      <c r="Q2196" s="166">
        <v>15</v>
      </c>
      <c r="R2196" s="164">
        <f>$L2196*'Pivot Objective'!$C$9*P2196*Q2196</f>
        <v>36002014.555499993</v>
      </c>
      <c r="S2196" s="166">
        <v>0</v>
      </c>
      <c r="T2196" s="166">
        <v>0</v>
      </c>
      <c r="U2196" s="164">
        <f>($L2196*'Pivot Objective'!$C$9^2)*S2196*T2196</f>
        <v>0</v>
      </c>
      <c r="V2196" s="166">
        <v>0</v>
      </c>
      <c r="W2196" s="166">
        <v>0</v>
      </c>
      <c r="X2196" s="164">
        <f>($L2196*'Pivot Objective'!$C$9^3)*V2196*W2196</f>
        <v>0</v>
      </c>
      <c r="Y2196" s="166">
        <v>0</v>
      </c>
      <c r="Z2196" s="166">
        <v>0</v>
      </c>
      <c r="AA2196" s="164">
        <f>($L2196*'Pivot Objective'!$C$9^4)*Y2196*Z2196</f>
        <v>0</v>
      </c>
      <c r="AB2196" s="166">
        <v>0</v>
      </c>
      <c r="AC2196" s="166">
        <v>0</v>
      </c>
      <c r="AD2196" s="164">
        <f>($L2196*'Pivot Objective'!$C$9^5)*AB2196*AC2196</f>
        <v>0</v>
      </c>
      <c r="AE2196" s="166">
        <v>60</v>
      </c>
      <c r="AF2196" s="166">
        <v>15</v>
      </c>
      <c r="AG2196" s="164">
        <f>($L2196*'Pivot Objective'!$C$9^6)*AE2196*AF2196</f>
        <v>70211467.432797551</v>
      </c>
      <c r="AH2196" s="166">
        <v>0</v>
      </c>
      <c r="AI2196" s="166">
        <v>0</v>
      </c>
      <c r="AJ2196" s="164">
        <f>($L2196*'Pivot Objective'!$C$9^7)*AH2196*AI2196</f>
        <v>0</v>
      </c>
      <c r="AK2196" s="185">
        <f t="shared" si="244"/>
        <v>106213481.98829755</v>
      </c>
      <c r="AL2196" s="186">
        <f t="shared" si="245"/>
        <v>103119.88542553161</v>
      </c>
    </row>
    <row r="2197" spans="1:38" customFormat="1" ht="57.6" x14ac:dyDescent="0.3">
      <c r="A2197" s="140" t="s">
        <v>1487</v>
      </c>
      <c r="B2197" s="140">
        <v>4</v>
      </c>
      <c r="C2197" s="166" t="s">
        <v>697</v>
      </c>
      <c r="D2197" s="140" t="str">
        <f t="shared" si="240"/>
        <v>1</v>
      </c>
      <c r="E2197" s="166" t="s">
        <v>692</v>
      </c>
      <c r="F2197" s="140">
        <f t="shared" si="242"/>
        <v>5</v>
      </c>
      <c r="G2197" s="140" t="str">
        <f t="shared" si="241"/>
        <v>4.1.5</v>
      </c>
      <c r="H2197" s="166" t="s">
        <v>666</v>
      </c>
      <c r="I2197" s="166" t="s">
        <v>90</v>
      </c>
      <c r="J2197" s="166" t="s">
        <v>474</v>
      </c>
      <c r="K2197" s="166" t="s">
        <v>712</v>
      </c>
      <c r="L2197" s="177">
        <f>1480/7</f>
        <v>211.42857142857142</v>
      </c>
      <c r="M2197" s="140"/>
      <c r="N2197" s="140"/>
      <c r="O2197" s="164">
        <f t="shared" si="243"/>
        <v>0</v>
      </c>
      <c r="P2197" s="166">
        <f>25*2*15</f>
        <v>750</v>
      </c>
      <c r="Q2197" s="166">
        <v>15</v>
      </c>
      <c r="R2197" s="164">
        <f>$L2197*'Pivot Objective'!$C$9*P2197*Q2197</f>
        <v>2718519.4664357137</v>
      </c>
      <c r="S2197" s="166">
        <v>0</v>
      </c>
      <c r="T2197" s="166">
        <v>0</v>
      </c>
      <c r="U2197" s="164">
        <f>($L2197*'Pivot Objective'!$C$9^2)*S2197*T2197</f>
        <v>0</v>
      </c>
      <c r="V2197" s="166">
        <v>0</v>
      </c>
      <c r="W2197" s="166">
        <v>0</v>
      </c>
      <c r="X2197" s="164">
        <f>($L2197*'Pivot Objective'!$C$9^3)*V2197*W2197</f>
        <v>0</v>
      </c>
      <c r="Y2197" s="166">
        <v>0</v>
      </c>
      <c r="Z2197" s="166">
        <v>0</v>
      </c>
      <c r="AA2197" s="164">
        <f>($L2197*'Pivot Objective'!$C$9^4)*Y2197*Z2197</f>
        <v>0</v>
      </c>
      <c r="AB2197" s="166">
        <v>0</v>
      </c>
      <c r="AC2197" s="166">
        <v>0</v>
      </c>
      <c r="AD2197" s="164">
        <f>($L2197*'Pivot Objective'!$C$9^5)*AB2197*AC2197</f>
        <v>0</v>
      </c>
      <c r="AE2197" s="166">
        <f>25*2*15</f>
        <v>750</v>
      </c>
      <c r="AF2197" s="166">
        <v>15</v>
      </c>
      <c r="AG2197" s="164">
        <f>($L2197*'Pivot Objective'!$C$9^6)*AE2197*AF2197</f>
        <v>5301682.2347214464</v>
      </c>
      <c r="AH2197" s="166">
        <v>0</v>
      </c>
      <c r="AI2197" s="166">
        <v>0</v>
      </c>
      <c r="AJ2197" s="164">
        <f>($L2197*'Pivot Objective'!$C$9^7)*AH2197*AI2197</f>
        <v>0</v>
      </c>
      <c r="AK2197" s="185">
        <f t="shared" si="244"/>
        <v>8020201.7011571601</v>
      </c>
      <c r="AL2197" s="186">
        <f t="shared" si="245"/>
        <v>7786.6035933564663</v>
      </c>
    </row>
    <row r="2198" spans="1:38" customFormat="1" ht="57.6" x14ac:dyDescent="0.3">
      <c r="A2198" s="140" t="s">
        <v>1487</v>
      </c>
      <c r="B2198" s="140">
        <v>4</v>
      </c>
      <c r="C2198" s="166" t="s">
        <v>697</v>
      </c>
      <c r="D2198" s="140" t="str">
        <f t="shared" si="240"/>
        <v>1</v>
      </c>
      <c r="E2198" s="166" t="s">
        <v>692</v>
      </c>
      <c r="F2198" s="140">
        <f t="shared" si="242"/>
        <v>5</v>
      </c>
      <c r="G2198" s="140" t="str">
        <f t="shared" si="241"/>
        <v>4.1.5</v>
      </c>
      <c r="H2198" s="166" t="s">
        <v>666</v>
      </c>
      <c r="I2198" s="166" t="s">
        <v>90</v>
      </c>
      <c r="J2198" s="166" t="s">
        <v>474</v>
      </c>
      <c r="K2198" s="166" t="s">
        <v>1350</v>
      </c>
      <c r="L2198" s="177">
        <f>1480/7</f>
        <v>211.42857142857142</v>
      </c>
      <c r="M2198" s="140"/>
      <c r="N2198" s="140"/>
      <c r="O2198" s="164">
        <f t="shared" si="243"/>
        <v>0</v>
      </c>
      <c r="P2198" s="166">
        <f>2*135*15</f>
        <v>4050</v>
      </c>
      <c r="Q2198" s="166">
        <v>1</v>
      </c>
      <c r="R2198" s="164">
        <f>$L2198*'Pivot Objective'!$C$9*P2198*Q2198</f>
        <v>978667.00791685702</v>
      </c>
      <c r="S2198" s="166">
        <v>0</v>
      </c>
      <c r="T2198" s="166">
        <v>0</v>
      </c>
      <c r="U2198" s="164">
        <f>($L2198*'Pivot Objective'!$C$9^2)*S2198*T2198</f>
        <v>0</v>
      </c>
      <c r="V2198" s="166">
        <v>0</v>
      </c>
      <c r="W2198" s="166">
        <v>0</v>
      </c>
      <c r="X2198" s="164">
        <f>($L2198*'Pivot Objective'!$C$9^3)*V2198*W2198</f>
        <v>0</v>
      </c>
      <c r="Y2198" s="166">
        <v>0</v>
      </c>
      <c r="Z2198" s="166">
        <v>0</v>
      </c>
      <c r="AA2198" s="164">
        <f>($L2198*'Pivot Objective'!$C$9^4)*Y2198*Z2198</f>
        <v>0</v>
      </c>
      <c r="AB2198" s="166">
        <v>0</v>
      </c>
      <c r="AC2198" s="166">
        <v>0</v>
      </c>
      <c r="AD2198" s="164">
        <f>($L2198*'Pivot Objective'!$C$9^5)*AB2198*AC2198</f>
        <v>0</v>
      </c>
      <c r="AE2198" s="166">
        <f>2*135*15</f>
        <v>4050</v>
      </c>
      <c r="AF2198" s="166">
        <v>1</v>
      </c>
      <c r="AG2198" s="164">
        <f>($L2198*'Pivot Objective'!$C$9^6)*AE2198*AF2198</f>
        <v>1908605.604499721</v>
      </c>
      <c r="AH2198" s="166">
        <v>0</v>
      </c>
      <c r="AI2198" s="166">
        <v>0</v>
      </c>
      <c r="AJ2198" s="164">
        <f>($L2198*'Pivot Objective'!$C$9^7)*AH2198*AI2198</f>
        <v>0</v>
      </c>
      <c r="AK2198" s="185">
        <f t="shared" si="244"/>
        <v>2887272.612416578</v>
      </c>
      <c r="AL2198" s="186">
        <f t="shared" si="245"/>
        <v>2803.177293608328</v>
      </c>
    </row>
    <row r="2199" spans="1:38" customFormat="1" ht="57.6" x14ac:dyDescent="0.3">
      <c r="A2199" s="140" t="s">
        <v>1487</v>
      </c>
      <c r="B2199" s="140">
        <v>4</v>
      </c>
      <c r="C2199" s="166" t="s">
        <v>697</v>
      </c>
      <c r="D2199" s="140" t="str">
        <f t="shared" si="240"/>
        <v>1</v>
      </c>
      <c r="E2199" s="166" t="s">
        <v>692</v>
      </c>
      <c r="F2199" s="140">
        <f t="shared" si="242"/>
        <v>5</v>
      </c>
      <c r="G2199" s="140" t="str">
        <f t="shared" si="241"/>
        <v>4.1.5</v>
      </c>
      <c r="H2199" s="166" t="s">
        <v>666</v>
      </c>
      <c r="I2199" s="166" t="s">
        <v>90</v>
      </c>
      <c r="J2199" s="166" t="s">
        <v>475</v>
      </c>
      <c r="K2199" s="166" t="s">
        <v>709</v>
      </c>
      <c r="L2199" s="177">
        <v>35000</v>
      </c>
      <c r="M2199" s="140"/>
      <c r="N2199" s="140"/>
      <c r="O2199" s="164">
        <f t="shared" si="243"/>
        <v>0</v>
      </c>
      <c r="P2199" s="166">
        <v>100</v>
      </c>
      <c r="Q2199" s="166">
        <v>5</v>
      </c>
      <c r="R2199" s="164">
        <f>$L2199*'Pivot Objective'!$C$9*P2199*Q2199</f>
        <v>20001119.197499998</v>
      </c>
      <c r="S2199" s="166">
        <v>0</v>
      </c>
      <c r="T2199" s="166">
        <v>0</v>
      </c>
      <c r="U2199" s="164">
        <f>($L2199*'Pivot Objective'!$C$9^2)*S2199*T2199</f>
        <v>0</v>
      </c>
      <c r="V2199" s="166">
        <v>0</v>
      </c>
      <c r="W2199" s="166">
        <v>0</v>
      </c>
      <c r="X2199" s="164">
        <f>($L2199*'Pivot Objective'!$C$9^3)*V2199*W2199</f>
        <v>0</v>
      </c>
      <c r="Y2199" s="166">
        <v>0</v>
      </c>
      <c r="Z2199" s="166">
        <v>0</v>
      </c>
      <c r="AA2199" s="164">
        <f>($L2199*'Pivot Objective'!$C$9^4)*Y2199*Z2199</f>
        <v>0</v>
      </c>
      <c r="AB2199" s="166">
        <v>0</v>
      </c>
      <c r="AC2199" s="166">
        <v>0</v>
      </c>
      <c r="AD2199" s="164">
        <f>($L2199*'Pivot Objective'!$C$9^5)*AB2199*AC2199</f>
        <v>0</v>
      </c>
      <c r="AE2199" s="166">
        <v>100</v>
      </c>
      <c r="AF2199" s="166">
        <v>5</v>
      </c>
      <c r="AG2199" s="164">
        <f>($L2199*'Pivot Objective'!$C$9^6)*AE2199*AF2199</f>
        <v>39006370.795998633</v>
      </c>
      <c r="AH2199" s="166">
        <v>0</v>
      </c>
      <c r="AI2199" s="166">
        <v>0</v>
      </c>
      <c r="AJ2199" s="164">
        <f>($L2199*'Pivot Objective'!$C$9^7)*AH2199*AI2199</f>
        <v>0</v>
      </c>
      <c r="AK2199" s="185">
        <f t="shared" si="244"/>
        <v>59007489.993498631</v>
      </c>
      <c r="AL2199" s="186">
        <f t="shared" si="245"/>
        <v>57288.825236406439</v>
      </c>
    </row>
    <row r="2200" spans="1:38" customFormat="1" ht="57.6" x14ac:dyDescent="0.3">
      <c r="A2200" s="140" t="s">
        <v>1487</v>
      </c>
      <c r="B2200" s="140">
        <v>4</v>
      </c>
      <c r="C2200" s="166" t="s">
        <v>697</v>
      </c>
      <c r="D2200" s="140" t="str">
        <f t="shared" si="240"/>
        <v>1</v>
      </c>
      <c r="E2200" s="166" t="s">
        <v>692</v>
      </c>
      <c r="F2200" s="140">
        <f t="shared" si="242"/>
        <v>5</v>
      </c>
      <c r="G2200" s="140" t="str">
        <f t="shared" si="241"/>
        <v>4.1.5</v>
      </c>
      <c r="H2200" s="166" t="s">
        <v>666</v>
      </c>
      <c r="I2200" s="166" t="s">
        <v>90</v>
      </c>
      <c r="J2200" s="166" t="s">
        <v>475</v>
      </c>
      <c r="K2200" s="166" t="s">
        <v>716</v>
      </c>
      <c r="L2200" s="177">
        <v>39000</v>
      </c>
      <c r="M2200" s="140"/>
      <c r="N2200" s="140"/>
      <c r="O2200" s="164">
        <f t="shared" si="243"/>
        <v>0</v>
      </c>
      <c r="P2200" s="166">
        <v>58</v>
      </c>
      <c r="Q2200" s="166">
        <v>6</v>
      </c>
      <c r="R2200" s="164">
        <f>$L2200*'Pivot Objective'!$C$9*P2200*Q2200</f>
        <v>15511725.128483998</v>
      </c>
      <c r="S2200" s="166">
        <v>0</v>
      </c>
      <c r="T2200" s="166">
        <v>0</v>
      </c>
      <c r="U2200" s="164">
        <f>($L2200*'Pivot Objective'!$C$9^2)*S2200*T2200</f>
        <v>0</v>
      </c>
      <c r="V2200" s="166">
        <v>0</v>
      </c>
      <c r="W2200" s="166">
        <v>0</v>
      </c>
      <c r="X2200" s="164">
        <f>($L2200*'Pivot Objective'!$C$9^3)*V2200*W2200</f>
        <v>0</v>
      </c>
      <c r="Y2200" s="166">
        <v>0</v>
      </c>
      <c r="Z2200" s="166">
        <v>0</v>
      </c>
      <c r="AA2200" s="164">
        <f>($L2200*'Pivot Objective'!$C$9^4)*Y2200*Z2200</f>
        <v>0</v>
      </c>
      <c r="AB2200" s="166">
        <v>0</v>
      </c>
      <c r="AC2200" s="166">
        <v>0</v>
      </c>
      <c r="AD2200" s="164">
        <f>($L2200*'Pivot Objective'!$C$9^5)*AB2200*AC2200</f>
        <v>0</v>
      </c>
      <c r="AE2200" s="166">
        <v>58</v>
      </c>
      <c r="AF2200" s="166">
        <v>6</v>
      </c>
      <c r="AG2200" s="164">
        <f>($L2200*'Pivot Objective'!$C$9^6)*AE2200*AF2200</f>
        <v>30251112.253902487</v>
      </c>
      <c r="AH2200" s="166">
        <v>0</v>
      </c>
      <c r="AI2200" s="166">
        <v>0</v>
      </c>
      <c r="AJ2200" s="164">
        <f>($L2200*'Pivot Objective'!$C$9^7)*AH2200*AI2200</f>
        <v>0</v>
      </c>
      <c r="AK2200" s="185">
        <f t="shared" si="244"/>
        <v>45762837.382386483</v>
      </c>
      <c r="AL2200" s="186">
        <f t="shared" si="245"/>
        <v>44429.93920620047</v>
      </c>
    </row>
    <row r="2201" spans="1:38" customFormat="1" ht="57.6" x14ac:dyDescent="0.3">
      <c r="A2201" s="140" t="s">
        <v>1487</v>
      </c>
      <c r="B2201" s="140">
        <v>4</v>
      </c>
      <c r="C2201" s="166" t="s">
        <v>697</v>
      </c>
      <c r="D2201" s="140" t="str">
        <f t="shared" si="240"/>
        <v>1</v>
      </c>
      <c r="E2201" s="166" t="s">
        <v>692</v>
      </c>
      <c r="F2201" s="140">
        <f t="shared" si="242"/>
        <v>5</v>
      </c>
      <c r="G2201" s="140" t="str">
        <f t="shared" si="241"/>
        <v>4.1.5</v>
      </c>
      <c r="H2201" s="166" t="s">
        <v>666</v>
      </c>
      <c r="I2201" s="166" t="s">
        <v>90</v>
      </c>
      <c r="J2201" s="166" t="s">
        <v>474</v>
      </c>
      <c r="K2201" s="166" t="s">
        <v>1350</v>
      </c>
      <c r="L2201" s="177">
        <f>1480/7</f>
        <v>211.42857142857142</v>
      </c>
      <c r="M2201" s="140"/>
      <c r="N2201" s="140"/>
      <c r="O2201" s="164">
        <f t="shared" si="243"/>
        <v>0</v>
      </c>
      <c r="P2201" s="166">
        <f>2*135*29</f>
        <v>7830</v>
      </c>
      <c r="Q2201" s="166">
        <v>1</v>
      </c>
      <c r="R2201" s="164">
        <f>$L2201*'Pivot Objective'!$C$9*P2201*Q2201</f>
        <v>1892089.548639257</v>
      </c>
      <c r="S2201" s="166">
        <v>0</v>
      </c>
      <c r="T2201" s="166">
        <v>0</v>
      </c>
      <c r="U2201" s="164">
        <f>($L2201*'Pivot Objective'!$C$9^2)*S2201*T2201</f>
        <v>0</v>
      </c>
      <c r="V2201" s="166">
        <v>0</v>
      </c>
      <c r="W2201" s="166">
        <v>0</v>
      </c>
      <c r="X2201" s="164">
        <f>($L2201*'Pivot Objective'!$C$9^3)*V2201*W2201</f>
        <v>0</v>
      </c>
      <c r="Y2201" s="166">
        <v>0</v>
      </c>
      <c r="Z2201" s="166">
        <v>0</v>
      </c>
      <c r="AA2201" s="164">
        <f>($L2201*'Pivot Objective'!$C$9^4)*Y2201*Z2201</f>
        <v>0</v>
      </c>
      <c r="AB2201" s="166">
        <v>0</v>
      </c>
      <c r="AC2201" s="166">
        <v>0</v>
      </c>
      <c r="AD2201" s="164">
        <f>($L2201*'Pivot Objective'!$C$9^5)*AB2201*AC2201</f>
        <v>0</v>
      </c>
      <c r="AE2201" s="166">
        <f>2*135*29</f>
        <v>7830</v>
      </c>
      <c r="AF2201" s="166">
        <v>1</v>
      </c>
      <c r="AG2201" s="164">
        <f>($L2201*'Pivot Objective'!$C$9^6)*AE2201*AF2201</f>
        <v>3689970.8353661271</v>
      </c>
      <c r="AH2201" s="166">
        <v>0</v>
      </c>
      <c r="AI2201" s="166">
        <v>0</v>
      </c>
      <c r="AJ2201" s="164">
        <f>($L2201*'Pivot Objective'!$C$9^7)*AH2201*AI2201</f>
        <v>0</v>
      </c>
      <c r="AK2201" s="185">
        <f t="shared" si="244"/>
        <v>5582060.3840053845</v>
      </c>
      <c r="AL2201" s="186">
        <f t="shared" si="245"/>
        <v>5419.4761009761014</v>
      </c>
    </row>
    <row r="2202" spans="1:38" customFormat="1" ht="57.6" x14ac:dyDescent="0.3">
      <c r="A2202" s="140" t="s">
        <v>1487</v>
      </c>
      <c r="B2202" s="140">
        <v>4</v>
      </c>
      <c r="C2202" s="166" t="s">
        <v>697</v>
      </c>
      <c r="D2202" s="140" t="str">
        <f t="shared" si="240"/>
        <v>1</v>
      </c>
      <c r="E2202" s="166" t="s">
        <v>692</v>
      </c>
      <c r="F2202" s="140">
        <f t="shared" si="242"/>
        <v>5</v>
      </c>
      <c r="G2202" s="140" t="str">
        <f t="shared" si="241"/>
        <v>4.1.5</v>
      </c>
      <c r="H2202" s="166" t="s">
        <v>666</v>
      </c>
      <c r="I2202" s="166" t="s">
        <v>90</v>
      </c>
      <c r="J2202" s="166" t="s">
        <v>475</v>
      </c>
      <c r="K2202" s="166" t="s">
        <v>712</v>
      </c>
      <c r="L2202" s="177">
        <f>1480/7</f>
        <v>211.42857142857142</v>
      </c>
      <c r="M2202" s="140"/>
      <c r="N2202" s="140"/>
      <c r="O2202" s="164">
        <f t="shared" si="243"/>
        <v>0</v>
      </c>
      <c r="P2202" s="166">
        <f>25*2*29</f>
        <v>1450</v>
      </c>
      <c r="Q2202" s="166">
        <v>5</v>
      </c>
      <c r="R2202" s="164">
        <f>$L2202*'Pivot Objective'!$C$9*P2202*Q2202</f>
        <v>1751934.7672585712</v>
      </c>
      <c r="S2202" s="166">
        <v>0</v>
      </c>
      <c r="T2202" s="166">
        <v>0</v>
      </c>
      <c r="U2202" s="164">
        <f>($L2202*'Pivot Objective'!$C$9^2)*S2202*T2202</f>
        <v>0</v>
      </c>
      <c r="V2202" s="166">
        <v>0</v>
      </c>
      <c r="W2202" s="166">
        <v>0</v>
      </c>
      <c r="X2202" s="164">
        <f>($L2202*'Pivot Objective'!$C$9^3)*V2202*W2202</f>
        <v>0</v>
      </c>
      <c r="Y2202" s="166">
        <v>0</v>
      </c>
      <c r="Z2202" s="166">
        <v>0</v>
      </c>
      <c r="AA2202" s="164">
        <f>($L2202*'Pivot Objective'!$C$9^4)*Y2202*Z2202</f>
        <v>0</v>
      </c>
      <c r="AB2202" s="166">
        <v>0</v>
      </c>
      <c r="AC2202" s="166">
        <v>0</v>
      </c>
      <c r="AD2202" s="164">
        <f>($L2202*'Pivot Objective'!$C$9^5)*AB2202*AC2202</f>
        <v>0</v>
      </c>
      <c r="AE2202" s="166">
        <f>25*2*29</f>
        <v>1450</v>
      </c>
      <c r="AF2202" s="166">
        <v>5</v>
      </c>
      <c r="AG2202" s="164">
        <f>($L2202*'Pivot Objective'!$C$9^6)*AE2202*AF2202</f>
        <v>3416639.6623760439</v>
      </c>
      <c r="AH2202" s="166">
        <v>0</v>
      </c>
      <c r="AI2202" s="166">
        <v>0</v>
      </c>
      <c r="AJ2202" s="164">
        <f>($L2202*'Pivot Objective'!$C$9^7)*AH2202*AI2202</f>
        <v>0</v>
      </c>
      <c r="AK2202" s="185">
        <f t="shared" si="244"/>
        <v>5168574.4296346148</v>
      </c>
      <c r="AL2202" s="186">
        <f t="shared" si="245"/>
        <v>5018.0334268297229</v>
      </c>
    </row>
    <row r="2203" spans="1:38" customFormat="1" ht="57.6" x14ac:dyDescent="0.3">
      <c r="A2203" s="140" t="s">
        <v>1487</v>
      </c>
      <c r="B2203" s="140">
        <v>4</v>
      </c>
      <c r="C2203" s="166" t="s">
        <v>697</v>
      </c>
      <c r="D2203" s="140" t="str">
        <f t="shared" si="240"/>
        <v>1</v>
      </c>
      <c r="E2203" s="166" t="s">
        <v>692</v>
      </c>
      <c r="F2203" s="140">
        <f t="shared" si="242"/>
        <v>5</v>
      </c>
      <c r="G2203" s="140" t="str">
        <f t="shared" si="241"/>
        <v>4.1.5</v>
      </c>
      <c r="H2203" s="166" t="s">
        <v>666</v>
      </c>
      <c r="I2203" s="166" t="s">
        <v>90</v>
      </c>
      <c r="J2203" s="166" t="s">
        <v>476</v>
      </c>
      <c r="K2203" s="166" t="s">
        <v>709</v>
      </c>
      <c r="L2203" s="177">
        <v>35000</v>
      </c>
      <c r="M2203" s="140"/>
      <c r="N2203" s="140"/>
      <c r="O2203" s="164">
        <f t="shared" si="243"/>
        <v>0</v>
      </c>
      <c r="P2203" s="166">
        <v>60</v>
      </c>
      <c r="Q2203" s="166">
        <v>1</v>
      </c>
      <c r="R2203" s="164">
        <f>$L2203*'Pivot Objective'!$C$9*P2203*Q2203</f>
        <v>2400134.3036999996</v>
      </c>
      <c r="S2203" s="166">
        <v>0</v>
      </c>
      <c r="T2203" s="166">
        <v>0</v>
      </c>
      <c r="U2203" s="164">
        <f>($L2203*'Pivot Objective'!$C$9^2)*S2203*T2203</f>
        <v>0</v>
      </c>
      <c r="V2203" s="166">
        <v>0</v>
      </c>
      <c r="W2203" s="166">
        <v>0</v>
      </c>
      <c r="X2203" s="164">
        <f>($L2203*'Pivot Objective'!$C$9^3)*V2203*W2203</f>
        <v>0</v>
      </c>
      <c r="Y2203" s="166">
        <v>0</v>
      </c>
      <c r="Z2203" s="166">
        <v>0</v>
      </c>
      <c r="AA2203" s="164">
        <f>($L2203*'Pivot Objective'!$C$9^4)*Y2203*Z2203</f>
        <v>0</v>
      </c>
      <c r="AB2203" s="166">
        <v>0</v>
      </c>
      <c r="AC2203" s="166">
        <v>0</v>
      </c>
      <c r="AD2203" s="164">
        <f>($L2203*'Pivot Objective'!$C$9^5)*AB2203*AC2203</f>
        <v>0</v>
      </c>
      <c r="AE2203" s="166">
        <v>60</v>
      </c>
      <c r="AF2203" s="166">
        <v>1</v>
      </c>
      <c r="AG2203" s="164">
        <f>($L2203*'Pivot Objective'!$C$9^6)*AE2203*AF2203</f>
        <v>4680764.4955198364</v>
      </c>
      <c r="AH2203" s="166">
        <v>0</v>
      </c>
      <c r="AI2203" s="166">
        <v>0</v>
      </c>
      <c r="AJ2203" s="164">
        <f>($L2203*'Pivot Objective'!$C$9^7)*AH2203*AI2203</f>
        <v>0</v>
      </c>
      <c r="AK2203" s="185">
        <f t="shared" si="244"/>
        <v>7080898.7992198355</v>
      </c>
      <c r="AL2203" s="186">
        <f t="shared" si="245"/>
        <v>6874.6590283687719</v>
      </c>
    </row>
    <row r="2204" spans="1:38" customFormat="1" ht="57.6" x14ac:dyDescent="0.3">
      <c r="A2204" s="140" t="s">
        <v>1487</v>
      </c>
      <c r="B2204" s="140">
        <v>4</v>
      </c>
      <c r="C2204" s="166" t="s">
        <v>697</v>
      </c>
      <c r="D2204" s="140" t="str">
        <f t="shared" si="240"/>
        <v>1</v>
      </c>
      <c r="E2204" s="166" t="s">
        <v>692</v>
      </c>
      <c r="F2204" s="140">
        <f t="shared" si="242"/>
        <v>5</v>
      </c>
      <c r="G2204" s="140" t="str">
        <f t="shared" si="241"/>
        <v>4.1.5</v>
      </c>
      <c r="H2204" s="166" t="s">
        <v>666</v>
      </c>
      <c r="I2204" s="166" t="s">
        <v>90</v>
      </c>
      <c r="J2204" s="166" t="s">
        <v>477</v>
      </c>
      <c r="K2204" s="166" t="s">
        <v>718</v>
      </c>
      <c r="L2204" s="177">
        <v>0</v>
      </c>
      <c r="M2204" s="140"/>
      <c r="N2204" s="140"/>
      <c r="O2204" s="164">
        <f t="shared" si="243"/>
        <v>0</v>
      </c>
      <c r="P2204" s="166">
        <v>0</v>
      </c>
      <c r="Q2204" s="166">
        <v>1</v>
      </c>
      <c r="R2204" s="164">
        <f>$L2204*'Pivot Objective'!$C$9*P2204*Q2204</f>
        <v>0</v>
      </c>
      <c r="S2204" s="166">
        <v>0</v>
      </c>
      <c r="T2204" s="166">
        <v>0</v>
      </c>
      <c r="U2204" s="164">
        <f>($L2204*'Pivot Objective'!$C$9^2)*S2204*T2204</f>
        <v>0</v>
      </c>
      <c r="V2204" s="166">
        <v>0</v>
      </c>
      <c r="W2204" s="166">
        <v>0</v>
      </c>
      <c r="X2204" s="164">
        <f>($L2204*'Pivot Objective'!$C$9^3)*V2204*W2204</f>
        <v>0</v>
      </c>
      <c r="Y2204" s="166">
        <v>0</v>
      </c>
      <c r="Z2204" s="166">
        <v>0</v>
      </c>
      <c r="AA2204" s="164">
        <f>($L2204*'Pivot Objective'!$C$9^4)*Y2204*Z2204</f>
        <v>0</v>
      </c>
      <c r="AB2204" s="166">
        <v>0</v>
      </c>
      <c r="AC2204" s="166">
        <v>0</v>
      </c>
      <c r="AD2204" s="164">
        <f>($L2204*'Pivot Objective'!$C$9^5)*AB2204*AC2204</f>
        <v>0</v>
      </c>
      <c r="AE2204" s="166">
        <v>0</v>
      </c>
      <c r="AF2204" s="166">
        <v>1</v>
      </c>
      <c r="AG2204" s="164">
        <f>($L2204*'Pivot Objective'!$C$9^6)*AE2204*AF2204</f>
        <v>0</v>
      </c>
      <c r="AH2204" s="166">
        <v>0</v>
      </c>
      <c r="AI2204" s="166">
        <v>0</v>
      </c>
      <c r="AJ2204" s="164">
        <f>($L2204*'Pivot Objective'!$C$9^7)*AH2204*AI2204</f>
        <v>0</v>
      </c>
      <c r="AK2204" s="185">
        <f t="shared" si="244"/>
        <v>0</v>
      </c>
      <c r="AL2204" s="186">
        <f t="shared" si="245"/>
        <v>0</v>
      </c>
    </row>
    <row r="2205" spans="1:38" customFormat="1" ht="57.6" x14ac:dyDescent="0.3">
      <c r="A2205" s="140" t="s">
        <v>1487</v>
      </c>
      <c r="B2205" s="140">
        <v>4</v>
      </c>
      <c r="C2205" s="166" t="s">
        <v>697</v>
      </c>
      <c r="D2205" s="140" t="str">
        <f t="shared" si="240"/>
        <v>1</v>
      </c>
      <c r="E2205" s="166" t="s">
        <v>692</v>
      </c>
      <c r="F2205" s="140">
        <f t="shared" si="242"/>
        <v>5</v>
      </c>
      <c r="G2205" s="140" t="str">
        <f t="shared" si="241"/>
        <v>4.1.5</v>
      </c>
      <c r="H2205" s="166" t="s">
        <v>666</v>
      </c>
      <c r="I2205" s="166" t="s">
        <v>90</v>
      </c>
      <c r="J2205" s="166" t="s">
        <v>478</v>
      </c>
      <c r="K2205" s="166" t="s">
        <v>709</v>
      </c>
      <c r="L2205" s="177">
        <v>35000</v>
      </c>
      <c r="M2205" s="140"/>
      <c r="N2205" s="140"/>
      <c r="O2205" s="164">
        <f t="shared" si="243"/>
        <v>0</v>
      </c>
      <c r="P2205" s="166">
        <v>100</v>
      </c>
      <c r="Q2205" s="166">
        <v>1</v>
      </c>
      <c r="R2205" s="164">
        <f>$L2205*'Pivot Objective'!$C$9*P2205*Q2205</f>
        <v>4000223.8394999993</v>
      </c>
      <c r="S2205" s="166">
        <v>0</v>
      </c>
      <c r="T2205" s="166">
        <v>0</v>
      </c>
      <c r="U2205" s="164">
        <f>($L2205*'Pivot Objective'!$C$9^2)*S2205*T2205</f>
        <v>0</v>
      </c>
      <c r="V2205" s="166">
        <v>0</v>
      </c>
      <c r="W2205" s="166">
        <v>0</v>
      </c>
      <c r="X2205" s="164">
        <f>($L2205*'Pivot Objective'!$C$9^3)*V2205*W2205</f>
        <v>0</v>
      </c>
      <c r="Y2205" s="166">
        <v>0</v>
      </c>
      <c r="Z2205" s="166">
        <v>0</v>
      </c>
      <c r="AA2205" s="164">
        <f>($L2205*'Pivot Objective'!$C$9^4)*Y2205*Z2205</f>
        <v>0</v>
      </c>
      <c r="AB2205" s="166">
        <v>0</v>
      </c>
      <c r="AC2205" s="166">
        <v>0</v>
      </c>
      <c r="AD2205" s="164">
        <f>($L2205*'Pivot Objective'!$C$9^5)*AB2205*AC2205</f>
        <v>0</v>
      </c>
      <c r="AE2205" s="166">
        <v>100</v>
      </c>
      <c r="AF2205" s="166">
        <v>1</v>
      </c>
      <c r="AG2205" s="164">
        <f>($L2205*'Pivot Objective'!$C$9^6)*AE2205*AF2205</f>
        <v>7801274.1591997268</v>
      </c>
      <c r="AH2205" s="166">
        <v>0</v>
      </c>
      <c r="AI2205" s="166">
        <v>0</v>
      </c>
      <c r="AJ2205" s="164">
        <f>($L2205*'Pivot Objective'!$C$9^7)*AH2205*AI2205</f>
        <v>0</v>
      </c>
      <c r="AK2205" s="185">
        <f t="shared" si="244"/>
        <v>11801497.998699727</v>
      </c>
      <c r="AL2205" s="186">
        <f t="shared" si="245"/>
        <v>11457.765047281287</v>
      </c>
    </row>
    <row r="2206" spans="1:38" customFormat="1" ht="57.6" x14ac:dyDescent="0.3">
      <c r="A2206" s="140" t="s">
        <v>1487</v>
      </c>
      <c r="B2206" s="140">
        <v>4</v>
      </c>
      <c r="C2206" s="166" t="s">
        <v>697</v>
      </c>
      <c r="D2206" s="140" t="str">
        <f t="shared" si="240"/>
        <v>1</v>
      </c>
      <c r="E2206" s="166" t="s">
        <v>692</v>
      </c>
      <c r="F2206" s="140">
        <f t="shared" si="242"/>
        <v>5</v>
      </c>
      <c r="G2206" s="140" t="str">
        <f t="shared" si="241"/>
        <v>4.1.5</v>
      </c>
      <c r="H2206" s="166" t="s">
        <v>666</v>
      </c>
      <c r="I2206" s="166" t="s">
        <v>90</v>
      </c>
      <c r="J2206" s="166" t="s">
        <v>478</v>
      </c>
      <c r="K2206" s="166" t="s">
        <v>716</v>
      </c>
      <c r="L2206" s="177">
        <v>39000</v>
      </c>
      <c r="M2206" s="140"/>
      <c r="N2206" s="140"/>
      <c r="O2206" s="164">
        <f t="shared" si="243"/>
        <v>0</v>
      </c>
      <c r="P2206" s="166">
        <v>58</v>
      </c>
      <c r="Q2206" s="166">
        <v>2</v>
      </c>
      <c r="R2206" s="164">
        <f>$L2206*'Pivot Objective'!$C$9*P2206*Q2206</f>
        <v>5170575.0428279992</v>
      </c>
      <c r="S2206" s="166">
        <v>0</v>
      </c>
      <c r="T2206" s="166">
        <v>0</v>
      </c>
      <c r="U2206" s="164">
        <f>($L2206*'Pivot Objective'!$C$9^2)*S2206*T2206</f>
        <v>0</v>
      </c>
      <c r="V2206" s="166">
        <v>0</v>
      </c>
      <c r="W2206" s="166">
        <v>0</v>
      </c>
      <c r="X2206" s="164">
        <f>($L2206*'Pivot Objective'!$C$9^3)*V2206*W2206</f>
        <v>0</v>
      </c>
      <c r="Y2206" s="166">
        <v>0</v>
      </c>
      <c r="Z2206" s="166">
        <v>0</v>
      </c>
      <c r="AA2206" s="164">
        <f>($L2206*'Pivot Objective'!$C$9^4)*Y2206*Z2206</f>
        <v>0</v>
      </c>
      <c r="AB2206" s="166">
        <v>0</v>
      </c>
      <c r="AC2206" s="166">
        <v>0</v>
      </c>
      <c r="AD2206" s="164">
        <f>($L2206*'Pivot Objective'!$C$9^5)*AB2206*AC2206</f>
        <v>0</v>
      </c>
      <c r="AE2206" s="166">
        <v>58</v>
      </c>
      <c r="AF2206" s="166">
        <v>2</v>
      </c>
      <c r="AG2206" s="164">
        <f>($L2206*'Pivot Objective'!$C$9^6)*AE2206*AF2206</f>
        <v>10083704.084634162</v>
      </c>
      <c r="AH2206" s="166">
        <v>0</v>
      </c>
      <c r="AI2206" s="166">
        <v>0</v>
      </c>
      <c r="AJ2206" s="164">
        <f>($L2206*'Pivot Objective'!$C$9^7)*AH2206*AI2206</f>
        <v>0</v>
      </c>
      <c r="AK2206" s="185">
        <f t="shared" si="244"/>
        <v>15254279.127462162</v>
      </c>
      <c r="AL2206" s="186">
        <f t="shared" si="245"/>
        <v>14809.979735400157</v>
      </c>
    </row>
    <row r="2207" spans="1:38" customFormat="1" ht="57.6" x14ac:dyDescent="0.3">
      <c r="A2207" s="140" t="s">
        <v>1487</v>
      </c>
      <c r="B2207" s="140">
        <v>4</v>
      </c>
      <c r="C2207" s="166" t="s">
        <v>697</v>
      </c>
      <c r="D2207" s="140" t="str">
        <f t="shared" si="240"/>
        <v>1</v>
      </c>
      <c r="E2207" s="166" t="s">
        <v>692</v>
      </c>
      <c r="F2207" s="140">
        <f t="shared" si="242"/>
        <v>5</v>
      </c>
      <c r="G2207" s="140" t="str">
        <f t="shared" si="241"/>
        <v>4.1.5</v>
      </c>
      <c r="H2207" s="166" t="s">
        <v>666</v>
      </c>
      <c r="I2207" s="166" t="s">
        <v>90</v>
      </c>
      <c r="J2207" s="166" t="s">
        <v>478</v>
      </c>
      <c r="K2207" s="166" t="s">
        <v>712</v>
      </c>
      <c r="L2207" s="177">
        <f>1480/7</f>
        <v>211.42857142857142</v>
      </c>
      <c r="M2207" s="140"/>
      <c r="N2207" s="140"/>
      <c r="O2207" s="164">
        <f t="shared" si="243"/>
        <v>0</v>
      </c>
      <c r="P2207" s="166">
        <f>25*2*29</f>
        <v>1450</v>
      </c>
      <c r="Q2207" s="166">
        <v>1</v>
      </c>
      <c r="R2207" s="164">
        <f>$L2207*'Pivot Objective'!$C$9*P2207*Q2207</f>
        <v>350386.95345171425</v>
      </c>
      <c r="S2207" s="166">
        <v>0</v>
      </c>
      <c r="T2207" s="166">
        <v>0</v>
      </c>
      <c r="U2207" s="164">
        <f>($L2207*'Pivot Objective'!$C$9^2)*S2207*T2207</f>
        <v>0</v>
      </c>
      <c r="V2207" s="166">
        <v>0</v>
      </c>
      <c r="W2207" s="166">
        <v>0</v>
      </c>
      <c r="X2207" s="164">
        <f>($L2207*'Pivot Objective'!$C$9^3)*V2207*W2207</f>
        <v>0</v>
      </c>
      <c r="Y2207" s="166">
        <v>0</v>
      </c>
      <c r="Z2207" s="166">
        <v>0</v>
      </c>
      <c r="AA2207" s="164">
        <f>($L2207*'Pivot Objective'!$C$9^4)*Y2207*Z2207</f>
        <v>0</v>
      </c>
      <c r="AB2207" s="166">
        <v>0</v>
      </c>
      <c r="AC2207" s="166">
        <v>0</v>
      </c>
      <c r="AD2207" s="164">
        <f>($L2207*'Pivot Objective'!$C$9^5)*AB2207*AC2207</f>
        <v>0</v>
      </c>
      <c r="AE2207" s="166">
        <f>25*2*29</f>
        <v>1450</v>
      </c>
      <c r="AF2207" s="166">
        <v>1</v>
      </c>
      <c r="AG2207" s="164">
        <f>($L2207*'Pivot Objective'!$C$9^6)*AE2207*AF2207</f>
        <v>683327.93247520877</v>
      </c>
      <c r="AH2207" s="166">
        <v>0</v>
      </c>
      <c r="AI2207" s="166">
        <v>0</v>
      </c>
      <c r="AJ2207" s="164">
        <f>($L2207*'Pivot Objective'!$C$9^7)*AH2207*AI2207</f>
        <v>0</v>
      </c>
      <c r="AK2207" s="185">
        <f t="shared" si="244"/>
        <v>1033714.885926923</v>
      </c>
      <c r="AL2207" s="186">
        <f t="shared" si="245"/>
        <v>1003.6066853659447</v>
      </c>
    </row>
    <row r="2208" spans="1:38" customFormat="1" ht="57.6" x14ac:dyDescent="0.3">
      <c r="A2208" s="140" t="s">
        <v>1487</v>
      </c>
      <c r="B2208" s="140">
        <v>4</v>
      </c>
      <c r="C2208" s="166" t="s">
        <v>697</v>
      </c>
      <c r="D2208" s="140" t="str">
        <f t="shared" si="240"/>
        <v>1</v>
      </c>
      <c r="E2208" s="166" t="s">
        <v>692</v>
      </c>
      <c r="F2208" s="140">
        <f t="shared" si="242"/>
        <v>5</v>
      </c>
      <c r="G2208" s="140" t="str">
        <f t="shared" si="241"/>
        <v>4.1.5</v>
      </c>
      <c r="H2208" s="166" t="s">
        <v>666</v>
      </c>
      <c r="I2208" s="166" t="s">
        <v>90</v>
      </c>
      <c r="J2208" s="166" t="s">
        <v>478</v>
      </c>
      <c r="K2208" s="166" t="s">
        <v>1396</v>
      </c>
      <c r="L2208" s="177">
        <f>1480/7</f>
        <v>211.42857142857142</v>
      </c>
      <c r="M2208" s="140"/>
      <c r="N2208" s="140"/>
      <c r="O2208" s="164">
        <f t="shared" si="243"/>
        <v>0</v>
      </c>
      <c r="P2208" s="166">
        <f>135*2*29</f>
        <v>7830</v>
      </c>
      <c r="Q2208" s="166">
        <v>1</v>
      </c>
      <c r="R2208" s="164">
        <f>$L2208*'Pivot Objective'!$C$9*P2208*Q2208</f>
        <v>1892089.548639257</v>
      </c>
      <c r="S2208" s="166">
        <v>0</v>
      </c>
      <c r="T2208" s="166">
        <v>0</v>
      </c>
      <c r="U2208" s="164">
        <f>($L2208*'Pivot Objective'!$C$9^2)*S2208*T2208</f>
        <v>0</v>
      </c>
      <c r="V2208" s="166">
        <v>0</v>
      </c>
      <c r="W2208" s="166">
        <v>0</v>
      </c>
      <c r="X2208" s="164">
        <f>($L2208*'Pivot Objective'!$C$9^3)*V2208*W2208</f>
        <v>0</v>
      </c>
      <c r="Y2208" s="166">
        <v>0</v>
      </c>
      <c r="Z2208" s="166">
        <v>0</v>
      </c>
      <c r="AA2208" s="164">
        <f>($L2208*'Pivot Objective'!$C$9^4)*Y2208*Z2208</f>
        <v>0</v>
      </c>
      <c r="AB2208" s="166">
        <v>0</v>
      </c>
      <c r="AC2208" s="166">
        <v>0</v>
      </c>
      <c r="AD2208" s="164">
        <f>($L2208*'Pivot Objective'!$C$9^5)*AB2208*AC2208</f>
        <v>0</v>
      </c>
      <c r="AE2208" s="166">
        <f>135*2*29</f>
        <v>7830</v>
      </c>
      <c r="AF2208" s="166">
        <v>1</v>
      </c>
      <c r="AG2208" s="164">
        <f>($L2208*'Pivot Objective'!$C$9^6)*AE2208*AF2208</f>
        <v>3689970.8353661271</v>
      </c>
      <c r="AH2208" s="166">
        <v>0</v>
      </c>
      <c r="AI2208" s="166">
        <v>0</v>
      </c>
      <c r="AJ2208" s="164">
        <f>($L2208*'Pivot Objective'!$C$9^7)*AH2208*AI2208</f>
        <v>0</v>
      </c>
      <c r="AK2208" s="185">
        <f t="shared" si="244"/>
        <v>5582060.3840053845</v>
      </c>
      <c r="AL2208" s="186">
        <f t="shared" si="245"/>
        <v>5419.4761009761014</v>
      </c>
    </row>
    <row r="2209" spans="1:38" customFormat="1" ht="57.6" x14ac:dyDescent="0.3">
      <c r="A2209" s="140" t="s">
        <v>1487</v>
      </c>
      <c r="B2209" s="140">
        <v>4</v>
      </c>
      <c r="C2209" s="166" t="s">
        <v>697</v>
      </c>
      <c r="D2209" s="140" t="str">
        <f t="shared" si="240"/>
        <v>1</v>
      </c>
      <c r="E2209" s="166" t="s">
        <v>692</v>
      </c>
      <c r="F2209" s="140">
        <f t="shared" si="242"/>
        <v>5</v>
      </c>
      <c r="G2209" s="140" t="str">
        <f t="shared" si="241"/>
        <v>4.1.5</v>
      </c>
      <c r="H2209" s="166" t="s">
        <v>666</v>
      </c>
      <c r="I2209" s="166" t="s">
        <v>90</v>
      </c>
      <c r="J2209" s="166" t="s">
        <v>478</v>
      </c>
      <c r="K2209" s="166" t="s">
        <v>707</v>
      </c>
      <c r="L2209" s="177">
        <v>391991.03749999998</v>
      </c>
      <c r="M2209" s="140"/>
      <c r="N2209" s="140"/>
      <c r="O2209" s="164">
        <f t="shared" si="243"/>
        <v>0</v>
      </c>
      <c r="P2209" s="166">
        <v>2</v>
      </c>
      <c r="Q2209" s="166">
        <v>2</v>
      </c>
      <c r="R2209" s="164">
        <f>$L2209*'Pivot Objective'!$C$9*P2209*Q2209</f>
        <v>1792059.3063746723</v>
      </c>
      <c r="S2209" s="166"/>
      <c r="T2209" s="166"/>
      <c r="U2209" s="164">
        <f>($L2209*'Pivot Objective'!$C$9^2)*S2209*T2209</f>
        <v>0</v>
      </c>
      <c r="V2209" s="166"/>
      <c r="W2209" s="166"/>
      <c r="X2209" s="164">
        <f>($L2209*'Pivot Objective'!$C$9^3)*V2209*W2209</f>
        <v>0</v>
      </c>
      <c r="Y2209" s="166"/>
      <c r="Z2209" s="166"/>
      <c r="AA2209" s="164">
        <f>($L2209*'Pivot Objective'!$C$9^4)*Y2209*Z2209</f>
        <v>0</v>
      </c>
      <c r="AB2209" s="166"/>
      <c r="AC2209" s="166"/>
      <c r="AD2209" s="164">
        <f>($L2209*'Pivot Objective'!$C$9^5)*AB2209*AC2209</f>
        <v>0</v>
      </c>
      <c r="AE2209" s="166"/>
      <c r="AF2209" s="166"/>
      <c r="AG2209" s="164">
        <f>($L2209*'Pivot Objective'!$C$9^6)*AE2209*AF2209</f>
        <v>0</v>
      </c>
      <c r="AH2209" s="166"/>
      <c r="AI2209" s="166"/>
      <c r="AJ2209" s="164">
        <f>($L2209*'Pivot Objective'!$C$9^7)*AH2209*AI2209</f>
        <v>0</v>
      </c>
      <c r="AK2209" s="185">
        <f t="shared" si="244"/>
        <v>1792059.3063746723</v>
      </c>
      <c r="AL2209" s="186">
        <f t="shared" si="245"/>
        <v>1739.8634042472547</v>
      </c>
    </row>
    <row r="2210" spans="1:38" customFormat="1" ht="57.6" x14ac:dyDescent="0.3">
      <c r="A2210" s="140" t="s">
        <v>1487</v>
      </c>
      <c r="B2210" s="140">
        <v>4</v>
      </c>
      <c r="C2210" s="166" t="s">
        <v>697</v>
      </c>
      <c r="D2210" s="140" t="str">
        <f t="shared" si="240"/>
        <v>1</v>
      </c>
      <c r="E2210" s="166" t="s">
        <v>692</v>
      </c>
      <c r="F2210" s="140">
        <f t="shared" si="242"/>
        <v>5</v>
      </c>
      <c r="G2210" s="140" t="str">
        <f t="shared" si="241"/>
        <v>4.1.5</v>
      </c>
      <c r="H2210" s="166" t="s">
        <v>666</v>
      </c>
      <c r="I2210" s="166" t="s">
        <v>90</v>
      </c>
      <c r="J2210" s="166" t="s">
        <v>478</v>
      </c>
      <c r="K2210" s="166" t="s">
        <v>708</v>
      </c>
      <c r="L2210" s="177">
        <f>500*1022</f>
        <v>511000</v>
      </c>
      <c r="M2210" s="140"/>
      <c r="N2210" s="140"/>
      <c r="O2210" s="164">
        <f t="shared" si="243"/>
        <v>0</v>
      </c>
      <c r="P2210" s="166">
        <v>1</v>
      </c>
      <c r="Q2210" s="166">
        <v>25</v>
      </c>
      <c r="R2210" s="164">
        <f>$L2210*'Pivot Objective'!$C$9*P2210*Q2210</f>
        <v>14600817.014174998</v>
      </c>
      <c r="S2210" s="166"/>
      <c r="T2210" s="166"/>
      <c r="U2210" s="164">
        <f>($L2210*'Pivot Objective'!$C$9^2)*S2210*T2210</f>
        <v>0</v>
      </c>
      <c r="V2210" s="166"/>
      <c r="W2210" s="166"/>
      <c r="X2210" s="164">
        <f>($L2210*'Pivot Objective'!$C$9^3)*V2210*W2210</f>
        <v>0</v>
      </c>
      <c r="Y2210" s="166"/>
      <c r="Z2210" s="166"/>
      <c r="AA2210" s="164">
        <f>($L2210*'Pivot Objective'!$C$9^4)*Y2210*Z2210</f>
        <v>0</v>
      </c>
      <c r="AB2210" s="166"/>
      <c r="AC2210" s="166"/>
      <c r="AD2210" s="164">
        <f>($L2210*'Pivot Objective'!$C$9^5)*AB2210*AC2210</f>
        <v>0</v>
      </c>
      <c r="AE2210" s="166"/>
      <c r="AF2210" s="166"/>
      <c r="AG2210" s="164">
        <f>($L2210*'Pivot Objective'!$C$9^6)*AE2210*AF2210</f>
        <v>0</v>
      </c>
      <c r="AH2210" s="166"/>
      <c r="AI2210" s="166"/>
      <c r="AJ2210" s="164">
        <f>($L2210*'Pivot Objective'!$C$9^7)*AH2210*AI2210</f>
        <v>0</v>
      </c>
      <c r="AK2210" s="185">
        <f t="shared" si="244"/>
        <v>14600817.014174998</v>
      </c>
      <c r="AL2210" s="186">
        <f t="shared" si="245"/>
        <v>14175.550499199027</v>
      </c>
    </row>
    <row r="2211" spans="1:38" customFormat="1" ht="57.6" x14ac:dyDescent="0.3">
      <c r="A2211" s="140" t="s">
        <v>1487</v>
      </c>
      <c r="B2211" s="140">
        <v>4</v>
      </c>
      <c r="C2211" s="166" t="s">
        <v>697</v>
      </c>
      <c r="D2211" s="140" t="str">
        <f t="shared" si="240"/>
        <v>1</v>
      </c>
      <c r="E2211" s="166" t="s">
        <v>692</v>
      </c>
      <c r="F2211" s="140">
        <f t="shared" si="242"/>
        <v>5</v>
      </c>
      <c r="G2211" s="140" t="str">
        <f t="shared" si="241"/>
        <v>4.1.5</v>
      </c>
      <c r="H2211" s="166" t="s">
        <v>666</v>
      </c>
      <c r="I2211" s="166" t="s">
        <v>91</v>
      </c>
      <c r="J2211" s="166" t="s">
        <v>479</v>
      </c>
      <c r="K2211" s="166" t="s">
        <v>716</v>
      </c>
      <c r="L2211" s="177">
        <v>39000</v>
      </c>
      <c r="M2211" s="166"/>
      <c r="N2211" s="166"/>
      <c r="O2211" s="164">
        <f t="shared" si="243"/>
        <v>0</v>
      </c>
      <c r="P2211" s="166">
        <v>25</v>
      </c>
      <c r="Q2211" s="166">
        <v>6</v>
      </c>
      <c r="R2211" s="164">
        <f>$L2211*'Pivot Objective'!$C$9*P2211*Q2211</f>
        <v>6686088.4174499996</v>
      </c>
      <c r="S2211" s="166">
        <v>0</v>
      </c>
      <c r="T2211" s="166">
        <v>0</v>
      </c>
      <c r="U2211" s="164">
        <f>($L2211*'Pivot Objective'!$C$9^2)*S2211*T2211</f>
        <v>0</v>
      </c>
      <c r="V2211" s="166">
        <v>0</v>
      </c>
      <c r="W2211" s="166">
        <v>0</v>
      </c>
      <c r="X2211" s="164">
        <f>($L2211*'Pivot Objective'!$C$9^3)*V2211*W2211</f>
        <v>0</v>
      </c>
      <c r="Y2211" s="166">
        <v>0</v>
      </c>
      <c r="Z2211" s="166">
        <v>0</v>
      </c>
      <c r="AA2211" s="164">
        <f>($L2211*'Pivot Objective'!$C$9^4)*Y2211*Z2211</f>
        <v>0</v>
      </c>
      <c r="AB2211" s="166">
        <v>0</v>
      </c>
      <c r="AC2211" s="166">
        <v>0</v>
      </c>
      <c r="AD2211" s="164">
        <f>($L2211*'Pivot Objective'!$C$9^5)*AB2211*AC2211</f>
        <v>0</v>
      </c>
      <c r="AE2211" s="166">
        <v>25</v>
      </c>
      <c r="AF2211" s="166">
        <v>6</v>
      </c>
      <c r="AG2211" s="164">
        <f>($L2211*'Pivot Objective'!$C$9^6)*AE2211*AF2211</f>
        <v>13039272.523233831</v>
      </c>
      <c r="AH2211" s="166">
        <v>0</v>
      </c>
      <c r="AI2211" s="166">
        <v>0</v>
      </c>
      <c r="AJ2211" s="164">
        <f>($L2211*'Pivot Objective'!$C$9^7)*AH2211*AI2211</f>
        <v>0</v>
      </c>
      <c r="AK2211" s="185">
        <f t="shared" si="244"/>
        <v>19725360.940683831</v>
      </c>
      <c r="AL2211" s="186">
        <f t="shared" si="245"/>
        <v>19150.835864741584</v>
      </c>
    </row>
    <row r="2212" spans="1:38" customFormat="1" ht="57.6" x14ac:dyDescent="0.3">
      <c r="A2212" s="140" t="s">
        <v>1487</v>
      </c>
      <c r="B2212" s="140">
        <v>4</v>
      </c>
      <c r="C2212" s="166" t="s">
        <v>697</v>
      </c>
      <c r="D2212" s="140" t="str">
        <f t="shared" si="240"/>
        <v>1</v>
      </c>
      <c r="E2212" s="166" t="s">
        <v>692</v>
      </c>
      <c r="F2212" s="140">
        <f t="shared" si="242"/>
        <v>5</v>
      </c>
      <c r="G2212" s="140" t="str">
        <f t="shared" si="241"/>
        <v>4.1.5</v>
      </c>
      <c r="H2212" s="166" t="s">
        <v>666</v>
      </c>
      <c r="I2212" s="166" t="s">
        <v>91</v>
      </c>
      <c r="J2212" s="166" t="s">
        <v>479</v>
      </c>
      <c r="K2212" s="166" t="s">
        <v>709</v>
      </c>
      <c r="L2212" s="177">
        <v>35000</v>
      </c>
      <c r="M2212" s="166"/>
      <c r="N2212" s="166"/>
      <c r="O2212" s="164">
        <f t="shared" si="243"/>
        <v>0</v>
      </c>
      <c r="P2212" s="166">
        <v>25</v>
      </c>
      <c r="Q2212" s="166">
        <v>5</v>
      </c>
      <c r="R2212" s="164">
        <f>$L2212*'Pivot Objective'!$C$9*P2212*Q2212</f>
        <v>5000279.7993749995</v>
      </c>
      <c r="S2212" s="166">
        <v>0</v>
      </c>
      <c r="T2212" s="166">
        <v>0</v>
      </c>
      <c r="U2212" s="164">
        <f>($L2212*'Pivot Objective'!$C$9^2)*S2212*T2212</f>
        <v>0</v>
      </c>
      <c r="V2212" s="166">
        <v>0</v>
      </c>
      <c r="W2212" s="166">
        <v>0</v>
      </c>
      <c r="X2212" s="164">
        <f>($L2212*'Pivot Objective'!$C$9^3)*V2212*W2212</f>
        <v>0</v>
      </c>
      <c r="Y2212" s="166">
        <v>0</v>
      </c>
      <c r="Z2212" s="166">
        <v>0</v>
      </c>
      <c r="AA2212" s="164">
        <f>($L2212*'Pivot Objective'!$C$9^4)*Y2212*Z2212</f>
        <v>0</v>
      </c>
      <c r="AB2212" s="166">
        <v>0</v>
      </c>
      <c r="AC2212" s="166">
        <v>0</v>
      </c>
      <c r="AD2212" s="164">
        <f>($L2212*'Pivot Objective'!$C$9^5)*AB2212*AC2212</f>
        <v>0</v>
      </c>
      <c r="AE2212" s="166">
        <v>25</v>
      </c>
      <c r="AF2212" s="166">
        <v>5</v>
      </c>
      <c r="AG2212" s="164">
        <f>($L2212*'Pivot Objective'!$C$9^6)*AE2212*AF2212</f>
        <v>9751592.6989996582</v>
      </c>
      <c r="AH2212" s="166">
        <v>0</v>
      </c>
      <c r="AI2212" s="166">
        <v>0</v>
      </c>
      <c r="AJ2212" s="164">
        <f>($L2212*'Pivot Objective'!$C$9^7)*AH2212*AI2212</f>
        <v>0</v>
      </c>
      <c r="AK2212" s="185">
        <f t="shared" si="244"/>
        <v>14751872.498374658</v>
      </c>
      <c r="AL2212" s="186">
        <f t="shared" si="245"/>
        <v>14322.20630910161</v>
      </c>
    </row>
    <row r="2213" spans="1:38" customFormat="1" ht="57.6" x14ac:dyDescent="0.3">
      <c r="A2213" s="140" t="s">
        <v>1487</v>
      </c>
      <c r="B2213" s="140">
        <v>4</v>
      </c>
      <c r="C2213" s="166" t="s">
        <v>697</v>
      </c>
      <c r="D2213" s="140" t="str">
        <f t="shared" si="240"/>
        <v>1</v>
      </c>
      <c r="E2213" s="166" t="s">
        <v>692</v>
      </c>
      <c r="F2213" s="140">
        <f t="shared" si="242"/>
        <v>5</v>
      </c>
      <c r="G2213" s="140" t="str">
        <f t="shared" si="241"/>
        <v>4.1.5</v>
      </c>
      <c r="H2213" s="166" t="s">
        <v>666</v>
      </c>
      <c r="I2213" s="166" t="s">
        <v>91</v>
      </c>
      <c r="J2213" s="166" t="s">
        <v>479</v>
      </c>
      <c r="K2213" s="166" t="s">
        <v>712</v>
      </c>
      <c r="L2213" s="177">
        <f>1480/7</f>
        <v>211.42857142857142</v>
      </c>
      <c r="M2213" s="166"/>
      <c r="N2213" s="166"/>
      <c r="O2213" s="164">
        <f t="shared" si="243"/>
        <v>0</v>
      </c>
      <c r="P2213" s="166">
        <f>25*2*9</f>
        <v>450</v>
      </c>
      <c r="Q2213" s="166">
        <v>5</v>
      </c>
      <c r="R2213" s="164">
        <f>$L2213*'Pivot Objective'!$C$9*P2213*Q2213</f>
        <v>543703.89328714274</v>
      </c>
      <c r="S2213" s="166">
        <v>0</v>
      </c>
      <c r="T2213" s="166">
        <v>0</v>
      </c>
      <c r="U2213" s="164">
        <f>($L2213*'Pivot Objective'!$C$9^2)*S2213*T2213</f>
        <v>0</v>
      </c>
      <c r="V2213" s="166">
        <v>0</v>
      </c>
      <c r="W2213" s="166">
        <v>0</v>
      </c>
      <c r="X2213" s="164">
        <f>($L2213*'Pivot Objective'!$C$9^3)*V2213*W2213</f>
        <v>0</v>
      </c>
      <c r="Y2213" s="166">
        <v>0</v>
      </c>
      <c r="Z2213" s="166">
        <v>0</v>
      </c>
      <c r="AA2213" s="164">
        <f>($L2213*'Pivot Objective'!$C$9^4)*Y2213*Z2213</f>
        <v>0</v>
      </c>
      <c r="AB2213" s="166">
        <v>0</v>
      </c>
      <c r="AC2213" s="166">
        <v>0</v>
      </c>
      <c r="AD2213" s="164">
        <f>($L2213*'Pivot Objective'!$C$9^5)*AB2213*AC2213</f>
        <v>0</v>
      </c>
      <c r="AE2213" s="166">
        <f>25*2*9</f>
        <v>450</v>
      </c>
      <c r="AF2213" s="166">
        <v>5</v>
      </c>
      <c r="AG2213" s="164">
        <f>($L2213*'Pivot Objective'!$C$9^6)*AE2213*AF2213</f>
        <v>1060336.4469442894</v>
      </c>
      <c r="AH2213" s="166">
        <v>0</v>
      </c>
      <c r="AI2213" s="166">
        <v>0</v>
      </c>
      <c r="AJ2213" s="164">
        <f>($L2213*'Pivot Objective'!$C$9^7)*AH2213*AI2213</f>
        <v>0</v>
      </c>
      <c r="AK2213" s="185">
        <f t="shared" si="244"/>
        <v>1604040.3402314321</v>
      </c>
      <c r="AL2213" s="186">
        <f t="shared" si="245"/>
        <v>1557.3207186712932</v>
      </c>
    </row>
    <row r="2214" spans="1:38" customFormat="1" ht="57.6" x14ac:dyDescent="0.3">
      <c r="A2214" s="140" t="s">
        <v>1487</v>
      </c>
      <c r="B2214" s="140">
        <v>4</v>
      </c>
      <c r="C2214" s="166" t="s">
        <v>697</v>
      </c>
      <c r="D2214" s="140" t="str">
        <f t="shared" si="240"/>
        <v>1</v>
      </c>
      <c r="E2214" s="166" t="s">
        <v>692</v>
      </c>
      <c r="F2214" s="140">
        <f t="shared" si="242"/>
        <v>5</v>
      </c>
      <c r="G2214" s="140" t="str">
        <f t="shared" si="241"/>
        <v>4.1.5</v>
      </c>
      <c r="H2214" s="166" t="s">
        <v>666</v>
      </c>
      <c r="I2214" s="166" t="s">
        <v>91</v>
      </c>
      <c r="J2214" s="166" t="s">
        <v>479</v>
      </c>
      <c r="K2214" s="166" t="s">
        <v>1350</v>
      </c>
      <c r="L2214" s="177">
        <f>1480/7</f>
        <v>211.42857142857142</v>
      </c>
      <c r="M2214" s="166"/>
      <c r="N2214" s="166"/>
      <c r="O2214" s="164">
        <f t="shared" si="243"/>
        <v>0</v>
      </c>
      <c r="P2214" s="166">
        <f>135*2*9</f>
        <v>2430</v>
      </c>
      <c r="Q2214" s="166">
        <v>5</v>
      </c>
      <c r="R2214" s="164">
        <f>$L2214*'Pivot Objective'!$C$9*P2214*Q2214</f>
        <v>2936001.0237505711</v>
      </c>
      <c r="S2214" s="166">
        <v>0</v>
      </c>
      <c r="T2214" s="166">
        <v>0</v>
      </c>
      <c r="U2214" s="164">
        <f>($L2214*'Pivot Objective'!$C$9^2)*S2214*T2214</f>
        <v>0</v>
      </c>
      <c r="V2214" s="166">
        <v>0</v>
      </c>
      <c r="W2214" s="166">
        <v>0</v>
      </c>
      <c r="X2214" s="164">
        <f>($L2214*'Pivot Objective'!$C$9^3)*V2214*W2214</f>
        <v>0</v>
      </c>
      <c r="Y2214" s="166">
        <v>0</v>
      </c>
      <c r="Z2214" s="166">
        <v>0</v>
      </c>
      <c r="AA2214" s="164">
        <f>($L2214*'Pivot Objective'!$C$9^4)*Y2214*Z2214</f>
        <v>0</v>
      </c>
      <c r="AB2214" s="166">
        <v>0</v>
      </c>
      <c r="AC2214" s="166">
        <v>0</v>
      </c>
      <c r="AD2214" s="164">
        <f>($L2214*'Pivot Objective'!$C$9^5)*AB2214*AC2214</f>
        <v>0</v>
      </c>
      <c r="AE2214" s="166">
        <f>135*2*9</f>
        <v>2430</v>
      </c>
      <c r="AF2214" s="166">
        <v>5</v>
      </c>
      <c r="AG2214" s="164">
        <f>($L2214*'Pivot Objective'!$C$9^6)*AE2214*AF2214</f>
        <v>5725816.8134991629</v>
      </c>
      <c r="AH2214" s="166">
        <v>0</v>
      </c>
      <c r="AI2214" s="166">
        <v>0</v>
      </c>
      <c r="AJ2214" s="164">
        <f>($L2214*'Pivot Objective'!$C$9^7)*AH2214*AI2214</f>
        <v>0</v>
      </c>
      <c r="AK2214" s="185">
        <f t="shared" si="244"/>
        <v>8661817.8372497335</v>
      </c>
      <c r="AL2214" s="186">
        <f t="shared" si="245"/>
        <v>8409.5318808249831</v>
      </c>
    </row>
    <row r="2215" spans="1:38" customFormat="1" ht="57.6" x14ac:dyDescent="0.3">
      <c r="A2215" s="140" t="s">
        <v>1487</v>
      </c>
      <c r="B2215" s="140">
        <v>4</v>
      </c>
      <c r="C2215" s="166" t="s">
        <v>697</v>
      </c>
      <c r="D2215" s="140" t="str">
        <f t="shared" si="240"/>
        <v>1</v>
      </c>
      <c r="E2215" s="166" t="s">
        <v>692</v>
      </c>
      <c r="F2215" s="140">
        <f t="shared" si="242"/>
        <v>5</v>
      </c>
      <c r="G2215" s="140" t="str">
        <f t="shared" si="241"/>
        <v>4.1.5</v>
      </c>
      <c r="H2215" s="166" t="s">
        <v>666</v>
      </c>
      <c r="I2215" s="166" t="s">
        <v>91</v>
      </c>
      <c r="J2215" s="166" t="s">
        <v>480</v>
      </c>
      <c r="K2215" s="166" t="s">
        <v>716</v>
      </c>
      <c r="L2215" s="177">
        <v>39000</v>
      </c>
      <c r="M2215" s="166"/>
      <c r="N2215" s="166"/>
      <c r="O2215" s="164">
        <f t="shared" si="243"/>
        <v>0</v>
      </c>
      <c r="P2215" s="166">
        <v>60</v>
      </c>
      <c r="Q2215" s="166">
        <v>6</v>
      </c>
      <c r="R2215" s="164">
        <f>$L2215*'Pivot Objective'!$C$9*P2215*Q2215</f>
        <v>16046612.201879997</v>
      </c>
      <c r="S2215" s="166">
        <v>0</v>
      </c>
      <c r="T2215" s="166">
        <v>0</v>
      </c>
      <c r="U2215" s="164">
        <f>($L2215*'Pivot Objective'!$C$9^2)*S2215*T2215</f>
        <v>0</v>
      </c>
      <c r="V2215" s="166">
        <v>0</v>
      </c>
      <c r="W2215" s="166">
        <v>0</v>
      </c>
      <c r="X2215" s="164">
        <f>($L2215*'Pivot Objective'!$C$9^3)*V2215*W2215</f>
        <v>0</v>
      </c>
      <c r="Y2215" s="166">
        <v>0</v>
      </c>
      <c r="Z2215" s="166">
        <v>0</v>
      </c>
      <c r="AA2215" s="164">
        <f>($L2215*'Pivot Objective'!$C$9^4)*Y2215*Z2215</f>
        <v>0</v>
      </c>
      <c r="AB2215" s="166">
        <v>0</v>
      </c>
      <c r="AC2215" s="166">
        <v>0</v>
      </c>
      <c r="AD2215" s="164">
        <f>($L2215*'Pivot Objective'!$C$9^5)*AB2215*AC2215</f>
        <v>0</v>
      </c>
      <c r="AE2215" s="166">
        <v>60</v>
      </c>
      <c r="AF2215" s="166">
        <v>6</v>
      </c>
      <c r="AG2215" s="164">
        <f>($L2215*'Pivot Objective'!$C$9^6)*AE2215*AF2215</f>
        <v>31294254.055761192</v>
      </c>
      <c r="AH2215" s="166">
        <v>0</v>
      </c>
      <c r="AI2215" s="166">
        <v>0</v>
      </c>
      <c r="AJ2215" s="164">
        <f>($L2215*'Pivot Objective'!$C$9^7)*AH2215*AI2215</f>
        <v>0</v>
      </c>
      <c r="AK2215" s="185">
        <f t="shared" si="244"/>
        <v>47340866.257641189</v>
      </c>
      <c r="AL2215" s="186">
        <f t="shared" si="245"/>
        <v>45962.006075379795</v>
      </c>
    </row>
    <row r="2216" spans="1:38" customFormat="1" ht="57.6" x14ac:dyDescent="0.3">
      <c r="A2216" s="140" t="s">
        <v>1487</v>
      </c>
      <c r="B2216" s="140">
        <v>4</v>
      </c>
      <c r="C2216" s="166" t="s">
        <v>697</v>
      </c>
      <c r="D2216" s="140" t="str">
        <f t="shared" si="240"/>
        <v>1</v>
      </c>
      <c r="E2216" s="166" t="s">
        <v>692</v>
      </c>
      <c r="F2216" s="140">
        <f t="shared" si="242"/>
        <v>5</v>
      </c>
      <c r="G2216" s="140" t="str">
        <f t="shared" si="241"/>
        <v>4.1.5</v>
      </c>
      <c r="H2216" s="166" t="s">
        <v>666</v>
      </c>
      <c r="I2216" s="166" t="s">
        <v>91</v>
      </c>
      <c r="J2216" s="166" t="s">
        <v>480</v>
      </c>
      <c r="K2216" s="166" t="s">
        <v>709</v>
      </c>
      <c r="L2216" s="177">
        <v>35000</v>
      </c>
      <c r="M2216" s="166"/>
      <c r="N2216" s="166"/>
      <c r="O2216" s="164">
        <f t="shared" si="243"/>
        <v>0</v>
      </c>
      <c r="P2216" s="166">
        <v>60</v>
      </c>
      <c r="Q2216" s="166">
        <v>5</v>
      </c>
      <c r="R2216" s="164">
        <f>$L2216*'Pivot Objective'!$C$9*P2216*Q2216</f>
        <v>12000671.518499998</v>
      </c>
      <c r="S2216" s="166">
        <v>0</v>
      </c>
      <c r="T2216" s="166">
        <v>0</v>
      </c>
      <c r="U2216" s="164">
        <f>($L2216*'Pivot Objective'!$C$9^2)*S2216*T2216</f>
        <v>0</v>
      </c>
      <c r="V2216" s="166">
        <v>0</v>
      </c>
      <c r="W2216" s="166">
        <v>0</v>
      </c>
      <c r="X2216" s="164">
        <f>($L2216*'Pivot Objective'!$C$9^3)*V2216*W2216</f>
        <v>0</v>
      </c>
      <c r="Y2216" s="166">
        <v>0</v>
      </c>
      <c r="Z2216" s="166">
        <v>0</v>
      </c>
      <c r="AA2216" s="164">
        <f>($L2216*'Pivot Objective'!$C$9^4)*Y2216*Z2216</f>
        <v>0</v>
      </c>
      <c r="AB2216" s="166">
        <v>0</v>
      </c>
      <c r="AC2216" s="166">
        <v>0</v>
      </c>
      <c r="AD2216" s="164">
        <f>($L2216*'Pivot Objective'!$C$9^5)*AB2216*AC2216</f>
        <v>0</v>
      </c>
      <c r="AE2216" s="166">
        <v>60</v>
      </c>
      <c r="AF2216" s="166">
        <v>5</v>
      </c>
      <c r="AG2216" s="164">
        <f>($L2216*'Pivot Objective'!$C$9^6)*AE2216*AF2216</f>
        <v>23403822.477599181</v>
      </c>
      <c r="AH2216" s="166">
        <v>0</v>
      </c>
      <c r="AI2216" s="166">
        <v>0</v>
      </c>
      <c r="AJ2216" s="164">
        <f>($L2216*'Pivot Objective'!$C$9^7)*AH2216*AI2216</f>
        <v>0</v>
      </c>
      <c r="AK2216" s="185">
        <f t="shared" si="244"/>
        <v>35404493.996099181</v>
      </c>
      <c r="AL2216" s="186">
        <f t="shared" si="245"/>
        <v>34373.295141843868</v>
      </c>
    </row>
    <row r="2217" spans="1:38" customFormat="1" ht="57.6" x14ac:dyDescent="0.3">
      <c r="A2217" s="140" t="s">
        <v>1487</v>
      </c>
      <c r="B2217" s="140">
        <v>4</v>
      </c>
      <c r="C2217" s="166" t="s">
        <v>697</v>
      </c>
      <c r="D2217" s="140" t="str">
        <f t="shared" si="240"/>
        <v>1</v>
      </c>
      <c r="E2217" s="166" t="s">
        <v>692</v>
      </c>
      <c r="F2217" s="140">
        <f t="shared" si="242"/>
        <v>5</v>
      </c>
      <c r="G2217" s="140" t="str">
        <f t="shared" si="241"/>
        <v>4.1.5</v>
      </c>
      <c r="H2217" s="166" t="s">
        <v>666</v>
      </c>
      <c r="I2217" s="166" t="s">
        <v>91</v>
      </c>
      <c r="J2217" s="166" t="s">
        <v>480</v>
      </c>
      <c r="K2217" s="166" t="s">
        <v>712</v>
      </c>
      <c r="L2217" s="177">
        <f>1480/7</f>
        <v>211.42857142857142</v>
      </c>
      <c r="M2217" s="166"/>
      <c r="N2217" s="166"/>
      <c r="O2217" s="164">
        <f t="shared" si="243"/>
        <v>0</v>
      </c>
      <c r="P2217" s="166">
        <f>25*2*25</f>
        <v>1250</v>
      </c>
      <c r="Q2217" s="166">
        <v>5</v>
      </c>
      <c r="R2217" s="164">
        <f>$L2217*'Pivot Objective'!$C$9*P2217*Q2217</f>
        <v>1510288.5924642857</v>
      </c>
      <c r="S2217" s="166">
        <v>0</v>
      </c>
      <c r="T2217" s="166">
        <v>0</v>
      </c>
      <c r="U2217" s="164">
        <f>($L2217*'Pivot Objective'!$C$9^2)*S2217*T2217</f>
        <v>0</v>
      </c>
      <c r="V2217" s="166">
        <v>0</v>
      </c>
      <c r="W2217" s="166">
        <v>0</v>
      </c>
      <c r="X2217" s="164">
        <f>($L2217*'Pivot Objective'!$C$9^3)*V2217*W2217</f>
        <v>0</v>
      </c>
      <c r="Y2217" s="166">
        <v>0</v>
      </c>
      <c r="Z2217" s="166">
        <v>0</v>
      </c>
      <c r="AA2217" s="164">
        <f>($L2217*'Pivot Objective'!$C$9^4)*Y2217*Z2217</f>
        <v>0</v>
      </c>
      <c r="AB2217" s="166">
        <v>0</v>
      </c>
      <c r="AC2217" s="166">
        <v>0</v>
      </c>
      <c r="AD2217" s="164">
        <f>($L2217*'Pivot Objective'!$C$9^5)*AB2217*AC2217</f>
        <v>0</v>
      </c>
      <c r="AE2217" s="166">
        <f>25*2*25</f>
        <v>1250</v>
      </c>
      <c r="AF2217" s="166">
        <v>5</v>
      </c>
      <c r="AG2217" s="164">
        <f>($L2217*'Pivot Objective'!$C$9^6)*AE2217*AF2217</f>
        <v>2945379.0192896929</v>
      </c>
      <c r="AH2217" s="166">
        <v>0</v>
      </c>
      <c r="AI2217" s="166">
        <v>0</v>
      </c>
      <c r="AJ2217" s="164">
        <f>($L2217*'Pivot Objective'!$C$9^7)*AH2217*AI2217</f>
        <v>0</v>
      </c>
      <c r="AK2217" s="185">
        <f t="shared" si="244"/>
        <v>4455667.6117539788</v>
      </c>
      <c r="AL2217" s="186">
        <f t="shared" si="245"/>
        <v>4325.8908851980377</v>
      </c>
    </row>
    <row r="2218" spans="1:38" customFormat="1" ht="57.6" x14ac:dyDescent="0.3">
      <c r="A2218" s="140" t="s">
        <v>1487</v>
      </c>
      <c r="B2218" s="140">
        <v>4</v>
      </c>
      <c r="C2218" s="166" t="s">
        <v>697</v>
      </c>
      <c r="D2218" s="140" t="str">
        <f t="shared" si="240"/>
        <v>1</v>
      </c>
      <c r="E2218" s="166" t="s">
        <v>692</v>
      </c>
      <c r="F2218" s="140">
        <f t="shared" si="242"/>
        <v>5</v>
      </c>
      <c r="G2218" s="140" t="str">
        <f t="shared" si="241"/>
        <v>4.1.5</v>
      </c>
      <c r="H2218" s="166" t="s">
        <v>666</v>
      </c>
      <c r="I2218" s="166" t="s">
        <v>91</v>
      </c>
      <c r="J2218" s="166" t="s">
        <v>481</v>
      </c>
      <c r="K2218" s="166" t="s">
        <v>718</v>
      </c>
      <c r="L2218" s="177">
        <v>0</v>
      </c>
      <c r="M2218" s="166">
        <v>0</v>
      </c>
      <c r="N2218" s="166">
        <v>0</v>
      </c>
      <c r="O2218" s="164">
        <f t="shared" si="243"/>
        <v>0</v>
      </c>
      <c r="P2218" s="166">
        <v>0</v>
      </c>
      <c r="Q2218" s="166">
        <v>0</v>
      </c>
      <c r="R2218" s="164">
        <f>$L2218*'Pivot Objective'!$C$9*P2218*Q2218</f>
        <v>0</v>
      </c>
      <c r="S2218" s="166">
        <v>0</v>
      </c>
      <c r="T2218" s="166">
        <v>0</v>
      </c>
      <c r="U2218" s="164">
        <f>($L2218*'Pivot Objective'!$C$9^2)*S2218*T2218</f>
        <v>0</v>
      </c>
      <c r="V2218" s="166">
        <v>0</v>
      </c>
      <c r="W2218" s="166">
        <v>0</v>
      </c>
      <c r="X2218" s="164">
        <f>($L2218*'Pivot Objective'!$C$9^3)*V2218*W2218</f>
        <v>0</v>
      </c>
      <c r="Y2218" s="166">
        <v>0</v>
      </c>
      <c r="Z2218" s="166">
        <v>0</v>
      </c>
      <c r="AA2218" s="164">
        <f>($L2218*'Pivot Objective'!$C$9^4)*Y2218*Z2218</f>
        <v>0</v>
      </c>
      <c r="AB2218" s="166">
        <v>0</v>
      </c>
      <c r="AC2218" s="166">
        <v>0</v>
      </c>
      <c r="AD2218" s="164">
        <f>($L2218*'Pivot Objective'!$C$9^5)*AB2218*AC2218</f>
        <v>0</v>
      </c>
      <c r="AE2218" s="166">
        <v>0</v>
      </c>
      <c r="AF2218" s="166">
        <v>0</v>
      </c>
      <c r="AG2218" s="164">
        <f>($L2218*'Pivot Objective'!$C$9^6)*AE2218*AF2218</f>
        <v>0</v>
      </c>
      <c r="AH2218" s="166">
        <v>0</v>
      </c>
      <c r="AI2218" s="166">
        <v>0</v>
      </c>
      <c r="AJ2218" s="164">
        <f>($L2218*'Pivot Objective'!$C$9^7)*AH2218*AI2218</f>
        <v>0</v>
      </c>
      <c r="AK2218" s="185">
        <f t="shared" si="244"/>
        <v>0</v>
      </c>
      <c r="AL2218" s="186">
        <f t="shared" si="245"/>
        <v>0</v>
      </c>
    </row>
    <row r="2219" spans="1:38" customFormat="1" ht="57.6" x14ac:dyDescent="0.3">
      <c r="A2219" s="140" t="s">
        <v>1487</v>
      </c>
      <c r="B2219" s="140">
        <v>4</v>
      </c>
      <c r="C2219" s="166" t="s">
        <v>697</v>
      </c>
      <c r="D2219" s="140" t="str">
        <f t="shared" si="240"/>
        <v>1</v>
      </c>
      <c r="E2219" s="166" t="s">
        <v>692</v>
      </c>
      <c r="F2219" s="140">
        <f t="shared" si="242"/>
        <v>6</v>
      </c>
      <c r="G2219" s="140" t="str">
        <f t="shared" si="241"/>
        <v>4.1.6</v>
      </c>
      <c r="H2219" s="166" t="s">
        <v>667</v>
      </c>
      <c r="I2219" s="166" t="s">
        <v>92</v>
      </c>
      <c r="J2219" s="166" t="s">
        <v>482</v>
      </c>
      <c r="K2219" s="166" t="s">
        <v>718</v>
      </c>
      <c r="L2219" s="177">
        <v>0</v>
      </c>
      <c r="M2219" s="166">
        <v>0</v>
      </c>
      <c r="N2219" s="166">
        <v>0</v>
      </c>
      <c r="O2219" s="164">
        <f t="shared" si="243"/>
        <v>0</v>
      </c>
      <c r="P2219" s="166">
        <v>0</v>
      </c>
      <c r="Q2219" s="166">
        <v>0</v>
      </c>
      <c r="R2219" s="164">
        <f>$L2219*'Pivot Objective'!$C$9*P2219*Q2219</f>
        <v>0</v>
      </c>
      <c r="S2219" s="166">
        <v>0</v>
      </c>
      <c r="T2219" s="166">
        <v>0</v>
      </c>
      <c r="U2219" s="164">
        <f>($L2219*'Pivot Objective'!$C$9^2)*S2219*T2219</f>
        <v>0</v>
      </c>
      <c r="V2219" s="166">
        <v>0</v>
      </c>
      <c r="W2219" s="166">
        <v>0</v>
      </c>
      <c r="X2219" s="164">
        <f>($L2219*'Pivot Objective'!$C$9^3)*V2219*W2219</f>
        <v>0</v>
      </c>
      <c r="Y2219" s="166">
        <v>0</v>
      </c>
      <c r="Z2219" s="166">
        <v>0</v>
      </c>
      <c r="AA2219" s="164">
        <f>($L2219*'Pivot Objective'!$C$9^4)*Y2219*Z2219</f>
        <v>0</v>
      </c>
      <c r="AB2219" s="166">
        <v>0</v>
      </c>
      <c r="AC2219" s="166">
        <v>0</v>
      </c>
      <c r="AD2219" s="164">
        <f>($L2219*'Pivot Objective'!$C$9^5)*AB2219*AC2219</f>
        <v>0</v>
      </c>
      <c r="AE2219" s="166">
        <v>0</v>
      </c>
      <c r="AF2219" s="166">
        <v>0</v>
      </c>
      <c r="AG2219" s="164">
        <f>($L2219*'Pivot Objective'!$C$9^6)*AE2219*AF2219</f>
        <v>0</v>
      </c>
      <c r="AH2219" s="166">
        <v>0</v>
      </c>
      <c r="AI2219" s="166">
        <v>0</v>
      </c>
      <c r="AJ2219" s="164">
        <f>($L2219*'Pivot Objective'!$C$9^7)*AH2219*AI2219</f>
        <v>0</v>
      </c>
      <c r="AK2219" s="185">
        <f t="shared" si="244"/>
        <v>0</v>
      </c>
      <c r="AL2219" s="186">
        <f t="shared" si="245"/>
        <v>0</v>
      </c>
    </row>
    <row r="2220" spans="1:38" customFormat="1" ht="57.6" x14ac:dyDescent="0.3">
      <c r="A2220" s="140" t="s">
        <v>1487</v>
      </c>
      <c r="B2220" s="140">
        <v>4</v>
      </c>
      <c r="C2220" s="166" t="s">
        <v>697</v>
      </c>
      <c r="D2220" s="140" t="str">
        <f t="shared" si="240"/>
        <v>1</v>
      </c>
      <c r="E2220" s="166" t="s">
        <v>692</v>
      </c>
      <c r="F2220" s="140">
        <f t="shared" si="242"/>
        <v>6</v>
      </c>
      <c r="G2220" s="140" t="str">
        <f t="shared" si="241"/>
        <v>4.1.6</v>
      </c>
      <c r="H2220" s="166" t="s">
        <v>667</v>
      </c>
      <c r="I2220" s="166" t="s">
        <v>92</v>
      </c>
      <c r="J2220" s="166" t="s">
        <v>573</v>
      </c>
      <c r="K2220" s="166" t="s">
        <v>707</v>
      </c>
      <c r="L2220" s="177">
        <v>391991.03749999998</v>
      </c>
      <c r="M2220" s="166">
        <v>2</v>
      </c>
      <c r="N2220" s="166">
        <v>1</v>
      </c>
      <c r="O2220" s="164">
        <f t="shared" si="243"/>
        <v>783982.07499999995</v>
      </c>
      <c r="P2220" s="166"/>
      <c r="Q2220" s="166"/>
      <c r="R2220" s="164">
        <f>$L2220*'Pivot Objective'!$C$9*P2220*Q2220</f>
        <v>0</v>
      </c>
      <c r="S2220" s="166">
        <v>0</v>
      </c>
      <c r="T2220" s="166">
        <v>0</v>
      </c>
      <c r="U2220" s="164">
        <f>($L2220*'Pivot Objective'!$C$9^2)*S2220*T2220</f>
        <v>0</v>
      </c>
      <c r="V2220" s="166">
        <v>0</v>
      </c>
      <c r="W2220" s="166">
        <v>0</v>
      </c>
      <c r="X2220" s="164">
        <f>($L2220*'Pivot Objective'!$C$9^3)*V2220*W2220</f>
        <v>0</v>
      </c>
      <c r="Y2220" s="166">
        <v>0</v>
      </c>
      <c r="Z2220" s="166">
        <v>0</v>
      </c>
      <c r="AA2220" s="164">
        <f>($L2220*'Pivot Objective'!$C$9^4)*Y2220*Z2220</f>
        <v>0</v>
      </c>
      <c r="AB2220" s="166">
        <v>0</v>
      </c>
      <c r="AC2220" s="166">
        <v>0</v>
      </c>
      <c r="AD2220" s="164">
        <f>($L2220*'Pivot Objective'!$C$9^5)*AB2220*AC2220</f>
        <v>0</v>
      </c>
      <c r="AE2220" s="166">
        <v>0</v>
      </c>
      <c r="AF2220" s="166">
        <v>0</v>
      </c>
      <c r="AG2220" s="164">
        <f>($L2220*'Pivot Objective'!$C$9^6)*AE2220*AF2220</f>
        <v>0</v>
      </c>
      <c r="AH2220" s="166">
        <v>0</v>
      </c>
      <c r="AI2220" s="166">
        <v>0</v>
      </c>
      <c r="AJ2220" s="164">
        <f>($L2220*'Pivot Objective'!$C$9^7)*AH2220*AI2220</f>
        <v>0</v>
      </c>
      <c r="AK2220" s="185">
        <f t="shared" si="244"/>
        <v>783982.07499999995</v>
      </c>
      <c r="AL2220" s="186">
        <f t="shared" si="245"/>
        <v>761.14764563106792</v>
      </c>
    </row>
    <row r="2221" spans="1:38" customFormat="1" ht="57.6" x14ac:dyDescent="0.3">
      <c r="A2221" s="140" t="s">
        <v>1487</v>
      </c>
      <c r="B2221" s="140">
        <v>4</v>
      </c>
      <c r="C2221" s="166" t="s">
        <v>697</v>
      </c>
      <c r="D2221" s="140" t="str">
        <f t="shared" si="240"/>
        <v>1</v>
      </c>
      <c r="E2221" s="166" t="s">
        <v>692</v>
      </c>
      <c r="F2221" s="140">
        <f t="shared" si="242"/>
        <v>6</v>
      </c>
      <c r="G2221" s="140" t="str">
        <f t="shared" si="241"/>
        <v>4.1.6</v>
      </c>
      <c r="H2221" s="166" t="s">
        <v>667</v>
      </c>
      <c r="I2221" s="166" t="s">
        <v>92</v>
      </c>
      <c r="J2221" s="166" t="s">
        <v>573</v>
      </c>
      <c r="K2221" s="166" t="s">
        <v>708</v>
      </c>
      <c r="L2221" s="177">
        <f>500*1022</f>
        <v>511000</v>
      </c>
      <c r="M2221" s="166">
        <v>1</v>
      </c>
      <c r="N2221" s="166">
        <v>25</v>
      </c>
      <c r="O2221" s="164">
        <f t="shared" si="243"/>
        <v>12775000</v>
      </c>
      <c r="P2221" s="166"/>
      <c r="Q2221" s="166"/>
      <c r="R2221" s="164">
        <f>$L2221*'Pivot Objective'!$C$9*P2221*Q2221</f>
        <v>0</v>
      </c>
      <c r="S2221" s="166">
        <v>0</v>
      </c>
      <c r="T2221" s="166">
        <v>0</v>
      </c>
      <c r="U2221" s="164">
        <f>($L2221*'Pivot Objective'!$C$9^2)*S2221*T2221</f>
        <v>0</v>
      </c>
      <c r="V2221" s="166">
        <v>0</v>
      </c>
      <c r="W2221" s="166">
        <v>0</v>
      </c>
      <c r="X2221" s="164">
        <f>($L2221*'Pivot Objective'!$C$9^3)*V2221*W2221</f>
        <v>0</v>
      </c>
      <c r="Y2221" s="166">
        <v>0</v>
      </c>
      <c r="Z2221" s="166">
        <v>0</v>
      </c>
      <c r="AA2221" s="164">
        <f>($L2221*'Pivot Objective'!$C$9^4)*Y2221*Z2221</f>
        <v>0</v>
      </c>
      <c r="AB2221" s="166">
        <v>0</v>
      </c>
      <c r="AC2221" s="166">
        <v>0</v>
      </c>
      <c r="AD2221" s="164">
        <f>($L2221*'Pivot Objective'!$C$9^5)*AB2221*AC2221</f>
        <v>0</v>
      </c>
      <c r="AE2221" s="166">
        <v>0</v>
      </c>
      <c r="AF2221" s="166">
        <v>0</v>
      </c>
      <c r="AG2221" s="164">
        <f>($L2221*'Pivot Objective'!$C$9^6)*AE2221*AF2221</f>
        <v>0</v>
      </c>
      <c r="AH2221" s="166">
        <v>0</v>
      </c>
      <c r="AI2221" s="166">
        <v>0</v>
      </c>
      <c r="AJ2221" s="164">
        <f>($L2221*'Pivot Objective'!$C$9^7)*AH2221*AI2221</f>
        <v>0</v>
      </c>
      <c r="AK2221" s="185">
        <f t="shared" si="244"/>
        <v>12775000</v>
      </c>
      <c r="AL2221" s="186">
        <f t="shared" si="245"/>
        <v>12402.912621359223</v>
      </c>
    </row>
    <row r="2222" spans="1:38" customFormat="1" ht="57.6" x14ac:dyDescent="0.3">
      <c r="A2222" s="140" t="s">
        <v>1487</v>
      </c>
      <c r="B2222" s="140">
        <v>4</v>
      </c>
      <c r="C2222" s="166" t="s">
        <v>697</v>
      </c>
      <c r="D2222" s="140" t="str">
        <f t="shared" si="240"/>
        <v>1</v>
      </c>
      <c r="E2222" s="166" t="s">
        <v>692</v>
      </c>
      <c r="F2222" s="140">
        <f t="shared" si="242"/>
        <v>6</v>
      </c>
      <c r="G2222" s="140" t="str">
        <f t="shared" si="241"/>
        <v>4.1.6</v>
      </c>
      <c r="H2222" s="166" t="s">
        <v>667</v>
      </c>
      <c r="I2222" s="166" t="s">
        <v>92</v>
      </c>
      <c r="J2222" s="166" t="s">
        <v>280</v>
      </c>
      <c r="K2222" s="166" t="s">
        <v>716</v>
      </c>
      <c r="L2222" s="177">
        <v>39000</v>
      </c>
      <c r="M2222" s="140"/>
      <c r="N2222" s="140"/>
      <c r="O2222" s="164">
        <f t="shared" si="243"/>
        <v>0</v>
      </c>
      <c r="P2222" s="166">
        <v>58</v>
      </c>
      <c r="Q2222" s="166">
        <v>2</v>
      </c>
      <c r="R2222" s="164">
        <f>$L2222*'Pivot Objective'!$C$9*P2222*Q2222</f>
        <v>5170575.0428279992</v>
      </c>
      <c r="S2222" s="166">
        <v>0</v>
      </c>
      <c r="T2222" s="166">
        <v>0</v>
      </c>
      <c r="U2222" s="164">
        <f>($L2222*'Pivot Objective'!$C$9^2)*S2222*T2222</f>
        <v>0</v>
      </c>
      <c r="V2222" s="166">
        <v>0</v>
      </c>
      <c r="W2222" s="166">
        <v>0</v>
      </c>
      <c r="X2222" s="164">
        <f>($L2222*'Pivot Objective'!$C$9^3)*V2222*W2222</f>
        <v>0</v>
      </c>
      <c r="Y2222" s="166">
        <v>0</v>
      </c>
      <c r="Z2222" s="166">
        <v>0</v>
      </c>
      <c r="AA2222" s="164">
        <f>($L2222*'Pivot Objective'!$C$9^4)*Y2222*Z2222</f>
        <v>0</v>
      </c>
      <c r="AB2222" s="166">
        <v>0</v>
      </c>
      <c r="AC2222" s="166">
        <v>0</v>
      </c>
      <c r="AD2222" s="164">
        <f>($L2222*'Pivot Objective'!$C$9^5)*AB2222*AC2222</f>
        <v>0</v>
      </c>
      <c r="AE2222" s="166">
        <v>58</v>
      </c>
      <c r="AF2222" s="166">
        <v>2</v>
      </c>
      <c r="AG2222" s="164">
        <f>($L2222*'Pivot Objective'!$C$9^6)*AE2222*AF2222</f>
        <v>10083704.084634162</v>
      </c>
      <c r="AH2222" s="166">
        <v>0</v>
      </c>
      <c r="AI2222" s="166">
        <v>0</v>
      </c>
      <c r="AJ2222" s="164">
        <f>($L2222*'Pivot Objective'!$C$9^7)*AH2222*AI2222</f>
        <v>0</v>
      </c>
      <c r="AK2222" s="185">
        <f t="shared" si="244"/>
        <v>15254279.127462162</v>
      </c>
      <c r="AL2222" s="186">
        <f t="shared" si="245"/>
        <v>14809.979735400157</v>
      </c>
    </row>
    <row r="2223" spans="1:38" customFormat="1" ht="57.6" x14ac:dyDescent="0.3">
      <c r="A2223" s="140" t="s">
        <v>1487</v>
      </c>
      <c r="B2223" s="140">
        <v>4</v>
      </c>
      <c r="C2223" s="166" t="s">
        <v>697</v>
      </c>
      <c r="D2223" s="140" t="str">
        <f t="shared" si="240"/>
        <v>1</v>
      </c>
      <c r="E2223" s="166" t="s">
        <v>692</v>
      </c>
      <c r="F2223" s="140">
        <f t="shared" si="242"/>
        <v>6</v>
      </c>
      <c r="G2223" s="140" t="str">
        <f t="shared" si="241"/>
        <v>4.1.6</v>
      </c>
      <c r="H2223" s="166" t="s">
        <v>667</v>
      </c>
      <c r="I2223" s="166" t="s">
        <v>92</v>
      </c>
      <c r="J2223" s="166" t="s">
        <v>280</v>
      </c>
      <c r="K2223" s="166" t="s">
        <v>709</v>
      </c>
      <c r="L2223" s="177">
        <v>35000</v>
      </c>
      <c r="M2223" s="140"/>
      <c r="N2223" s="140"/>
      <c r="O2223" s="164">
        <f t="shared" si="243"/>
        <v>0</v>
      </c>
      <c r="P2223" s="166">
        <v>100</v>
      </c>
      <c r="Q2223" s="166">
        <v>1</v>
      </c>
      <c r="R2223" s="164">
        <f>$L2223*'Pivot Objective'!$C$9*P2223*Q2223</f>
        <v>4000223.8394999993</v>
      </c>
      <c r="S2223" s="166"/>
      <c r="T2223" s="166"/>
      <c r="U2223" s="164">
        <f>($L2223*'Pivot Objective'!$C$9^2)*S2223*T2223</f>
        <v>0</v>
      </c>
      <c r="V2223" s="166"/>
      <c r="W2223" s="166"/>
      <c r="X2223" s="164">
        <f>($L2223*'Pivot Objective'!$C$9^3)*V2223*W2223</f>
        <v>0</v>
      </c>
      <c r="Y2223" s="166"/>
      <c r="Z2223" s="166"/>
      <c r="AA2223" s="164">
        <f>($L2223*'Pivot Objective'!$C$9^4)*Y2223*Z2223</f>
        <v>0</v>
      </c>
      <c r="AB2223" s="166"/>
      <c r="AC2223" s="166"/>
      <c r="AD2223" s="164">
        <f>($L2223*'Pivot Objective'!$C$9^5)*AB2223*AC2223</f>
        <v>0</v>
      </c>
      <c r="AE2223" s="166">
        <v>100</v>
      </c>
      <c r="AF2223" s="166">
        <v>1</v>
      </c>
      <c r="AG2223" s="164">
        <f>($L2223*'Pivot Objective'!$C$9^6)*AE2223*AF2223</f>
        <v>7801274.1591997268</v>
      </c>
      <c r="AH2223" s="166"/>
      <c r="AI2223" s="166"/>
      <c r="AJ2223" s="164">
        <f>($L2223*'Pivot Objective'!$C$9^7)*AH2223*AI2223</f>
        <v>0</v>
      </c>
      <c r="AK2223" s="185">
        <f t="shared" si="244"/>
        <v>11801497.998699727</v>
      </c>
      <c r="AL2223" s="186">
        <f t="shared" si="245"/>
        <v>11457.765047281287</v>
      </c>
    </row>
    <row r="2224" spans="1:38" customFormat="1" ht="57.6" x14ac:dyDescent="0.3">
      <c r="A2224" s="140" t="s">
        <v>1487</v>
      </c>
      <c r="B2224" s="140">
        <v>4</v>
      </c>
      <c r="C2224" s="166" t="s">
        <v>697</v>
      </c>
      <c r="D2224" s="140" t="str">
        <f t="shared" si="240"/>
        <v>1</v>
      </c>
      <c r="E2224" s="166" t="s">
        <v>692</v>
      </c>
      <c r="F2224" s="140">
        <f t="shared" si="242"/>
        <v>6</v>
      </c>
      <c r="G2224" s="140" t="str">
        <f t="shared" si="241"/>
        <v>4.1.6</v>
      </c>
      <c r="H2224" s="166" t="s">
        <v>667</v>
      </c>
      <c r="I2224" s="166" t="s">
        <v>92</v>
      </c>
      <c r="J2224" s="166" t="s">
        <v>280</v>
      </c>
      <c r="K2224" s="166" t="s">
        <v>712</v>
      </c>
      <c r="L2224" s="177">
        <f>1480/7</f>
        <v>211.42857142857142</v>
      </c>
      <c r="M2224" s="140"/>
      <c r="N2224" s="140"/>
      <c r="O2224" s="164">
        <f t="shared" si="243"/>
        <v>0</v>
      </c>
      <c r="P2224" s="166">
        <f>2*25*29</f>
        <v>1450</v>
      </c>
      <c r="Q2224" s="166">
        <v>1</v>
      </c>
      <c r="R2224" s="164">
        <f>$L2224*'Pivot Objective'!$C$9*P2224*Q2224</f>
        <v>350386.95345171425</v>
      </c>
      <c r="S2224" s="166"/>
      <c r="T2224" s="166"/>
      <c r="U2224" s="164">
        <f>($L2224*'Pivot Objective'!$C$9^2)*S2224*T2224</f>
        <v>0</v>
      </c>
      <c r="V2224" s="166"/>
      <c r="W2224" s="166"/>
      <c r="X2224" s="164">
        <f>($L2224*'Pivot Objective'!$C$9^3)*V2224*W2224</f>
        <v>0</v>
      </c>
      <c r="Y2224" s="166"/>
      <c r="Z2224" s="166"/>
      <c r="AA2224" s="164">
        <f>($L2224*'Pivot Objective'!$C$9^4)*Y2224*Z2224</f>
        <v>0</v>
      </c>
      <c r="AB2224" s="166"/>
      <c r="AC2224" s="166"/>
      <c r="AD2224" s="164">
        <f>($L2224*'Pivot Objective'!$C$9^5)*AB2224*AC2224</f>
        <v>0</v>
      </c>
      <c r="AE2224" s="166">
        <f>2*25*29</f>
        <v>1450</v>
      </c>
      <c r="AF2224" s="166">
        <v>1</v>
      </c>
      <c r="AG2224" s="164">
        <f>($L2224*'Pivot Objective'!$C$9^6)*AE2224*AF2224</f>
        <v>683327.93247520877</v>
      </c>
      <c r="AH2224" s="166"/>
      <c r="AI2224" s="166"/>
      <c r="AJ2224" s="164">
        <f>($L2224*'Pivot Objective'!$C$9^7)*AH2224*AI2224</f>
        <v>0</v>
      </c>
      <c r="AK2224" s="185">
        <f t="shared" si="244"/>
        <v>1033714.885926923</v>
      </c>
      <c r="AL2224" s="186">
        <f t="shared" si="245"/>
        <v>1003.6066853659447</v>
      </c>
    </row>
    <row r="2225" spans="1:38" customFormat="1" ht="57.6" x14ac:dyDescent="0.3">
      <c r="A2225" s="140" t="s">
        <v>1487</v>
      </c>
      <c r="B2225" s="140">
        <v>4</v>
      </c>
      <c r="C2225" s="166" t="s">
        <v>697</v>
      </c>
      <c r="D2225" s="140" t="str">
        <f t="shared" si="240"/>
        <v>1</v>
      </c>
      <c r="E2225" s="166" t="s">
        <v>692</v>
      </c>
      <c r="F2225" s="140">
        <f t="shared" si="242"/>
        <v>6</v>
      </c>
      <c r="G2225" s="140" t="str">
        <f t="shared" si="241"/>
        <v>4.1.6</v>
      </c>
      <c r="H2225" s="166" t="s">
        <v>667</v>
      </c>
      <c r="I2225" s="166" t="s">
        <v>92</v>
      </c>
      <c r="J2225" s="166" t="s">
        <v>280</v>
      </c>
      <c r="K2225" s="166" t="s">
        <v>1371</v>
      </c>
      <c r="L2225" s="177">
        <f>1480/7</f>
        <v>211.42857142857142</v>
      </c>
      <c r="M2225" s="140"/>
      <c r="N2225" s="140"/>
      <c r="O2225" s="164">
        <f t="shared" si="243"/>
        <v>0</v>
      </c>
      <c r="P2225" s="166">
        <f>2*25*29</f>
        <v>1450</v>
      </c>
      <c r="Q2225" s="166">
        <v>1</v>
      </c>
      <c r="R2225" s="164">
        <f>$L2225*'Pivot Objective'!$C$9*P2225*Q2225</f>
        <v>350386.95345171425</v>
      </c>
      <c r="S2225" s="166"/>
      <c r="T2225" s="166"/>
      <c r="U2225" s="164">
        <f>($L2225*'Pivot Objective'!$C$9^2)*S2225*T2225</f>
        <v>0</v>
      </c>
      <c r="V2225" s="166"/>
      <c r="W2225" s="166"/>
      <c r="X2225" s="164">
        <f>($L2225*'Pivot Objective'!$C$9^3)*V2225*W2225</f>
        <v>0</v>
      </c>
      <c r="Y2225" s="166"/>
      <c r="Z2225" s="166"/>
      <c r="AA2225" s="164">
        <f>($L2225*'Pivot Objective'!$C$9^4)*Y2225*Z2225</f>
        <v>0</v>
      </c>
      <c r="AB2225" s="166"/>
      <c r="AC2225" s="166"/>
      <c r="AD2225" s="164">
        <f>($L2225*'Pivot Objective'!$C$9^5)*AB2225*AC2225</f>
        <v>0</v>
      </c>
      <c r="AE2225" s="166">
        <f>2*25*29</f>
        <v>1450</v>
      </c>
      <c r="AF2225" s="166">
        <v>1</v>
      </c>
      <c r="AG2225" s="164">
        <f>($L2225*'Pivot Objective'!$C$9^6)*AE2225*AF2225</f>
        <v>683327.93247520877</v>
      </c>
      <c r="AH2225" s="166"/>
      <c r="AI2225" s="166"/>
      <c r="AJ2225" s="164">
        <f>($L2225*'Pivot Objective'!$C$9^7)*AH2225*AI2225</f>
        <v>0</v>
      </c>
      <c r="AK2225" s="185">
        <f t="shared" si="244"/>
        <v>1033714.885926923</v>
      </c>
      <c r="AL2225" s="186">
        <f t="shared" si="245"/>
        <v>1003.6066853659447</v>
      </c>
    </row>
    <row r="2226" spans="1:38" customFormat="1" ht="57.6" x14ac:dyDescent="0.3">
      <c r="A2226" s="140" t="s">
        <v>1487</v>
      </c>
      <c r="B2226" s="140">
        <v>4</v>
      </c>
      <c r="C2226" s="166" t="s">
        <v>697</v>
      </c>
      <c r="D2226" s="140" t="str">
        <f t="shared" ref="D2226:D2284" si="246">RIGHT(A2226,1)</f>
        <v>1</v>
      </c>
      <c r="E2226" s="166" t="s">
        <v>692</v>
      </c>
      <c r="F2226" s="140">
        <f t="shared" si="242"/>
        <v>6</v>
      </c>
      <c r="G2226" s="140" t="str">
        <f t="shared" si="241"/>
        <v>4.1.6</v>
      </c>
      <c r="H2226" s="166" t="s">
        <v>667</v>
      </c>
      <c r="I2226" s="166" t="s">
        <v>92</v>
      </c>
      <c r="J2226" s="166" t="s">
        <v>575</v>
      </c>
      <c r="K2226" s="166" t="s">
        <v>718</v>
      </c>
      <c r="L2226" s="177">
        <v>0</v>
      </c>
      <c r="M2226" s="166">
        <v>0</v>
      </c>
      <c r="N2226" s="166">
        <v>0</v>
      </c>
      <c r="O2226" s="164">
        <f t="shared" si="243"/>
        <v>0</v>
      </c>
      <c r="P2226" s="166">
        <v>0</v>
      </c>
      <c r="Q2226" s="166">
        <v>0</v>
      </c>
      <c r="R2226" s="164">
        <f>$L2226*'Pivot Objective'!$C$9*P2226*Q2226</f>
        <v>0</v>
      </c>
      <c r="S2226" s="166">
        <v>0</v>
      </c>
      <c r="T2226" s="166">
        <v>0</v>
      </c>
      <c r="U2226" s="164">
        <f>($L2226*'Pivot Objective'!$C$9^2)*S2226*T2226</f>
        <v>0</v>
      </c>
      <c r="V2226" s="166">
        <v>0</v>
      </c>
      <c r="W2226" s="166">
        <v>0</v>
      </c>
      <c r="X2226" s="164">
        <f>($L2226*'Pivot Objective'!$C$9^3)*V2226*W2226</f>
        <v>0</v>
      </c>
      <c r="Y2226" s="166">
        <v>0</v>
      </c>
      <c r="Z2226" s="166">
        <v>0</v>
      </c>
      <c r="AA2226" s="164">
        <f>($L2226*'Pivot Objective'!$C$9^4)*Y2226*Z2226</f>
        <v>0</v>
      </c>
      <c r="AB2226" s="166">
        <v>0</v>
      </c>
      <c r="AC2226" s="166">
        <v>0</v>
      </c>
      <c r="AD2226" s="164">
        <f>($L2226*'Pivot Objective'!$C$9^5)*AB2226*AC2226</f>
        <v>0</v>
      </c>
      <c r="AE2226" s="166">
        <v>0</v>
      </c>
      <c r="AF2226" s="166">
        <v>0</v>
      </c>
      <c r="AG2226" s="164">
        <f>($L2226*'Pivot Objective'!$C$9^6)*AE2226*AF2226</f>
        <v>0</v>
      </c>
      <c r="AH2226" s="166">
        <v>0</v>
      </c>
      <c r="AI2226" s="166">
        <v>0</v>
      </c>
      <c r="AJ2226" s="164">
        <f>($L2226*'Pivot Objective'!$C$9^7)*AH2226*AI2226</f>
        <v>0</v>
      </c>
      <c r="AK2226" s="185">
        <f t="shared" si="244"/>
        <v>0</v>
      </c>
      <c r="AL2226" s="186">
        <f t="shared" si="245"/>
        <v>0</v>
      </c>
    </row>
    <row r="2227" spans="1:38" customFormat="1" ht="57.6" x14ac:dyDescent="0.3">
      <c r="A2227" s="140" t="s">
        <v>1487</v>
      </c>
      <c r="B2227" s="140">
        <v>4</v>
      </c>
      <c r="C2227" s="166" t="s">
        <v>697</v>
      </c>
      <c r="D2227" s="140" t="str">
        <f t="shared" si="246"/>
        <v>1</v>
      </c>
      <c r="E2227" s="166" t="s">
        <v>692</v>
      </c>
      <c r="F2227" s="140">
        <f t="shared" si="242"/>
        <v>6</v>
      </c>
      <c r="G2227" s="140" t="str">
        <f t="shared" ref="G2227:G2285" si="247">B2227&amp;"."&amp;D2227&amp;"."&amp;F2227</f>
        <v>4.1.6</v>
      </c>
      <c r="H2227" s="166" t="s">
        <v>667</v>
      </c>
      <c r="I2227" s="166" t="s">
        <v>92</v>
      </c>
      <c r="J2227" s="166" t="s">
        <v>484</v>
      </c>
      <c r="K2227" s="166" t="s">
        <v>709</v>
      </c>
      <c r="L2227" s="177">
        <v>35000</v>
      </c>
      <c r="M2227" s="166">
        <v>50</v>
      </c>
      <c r="N2227" s="166">
        <v>4</v>
      </c>
      <c r="O2227" s="164">
        <f t="shared" si="243"/>
        <v>7000000</v>
      </c>
      <c r="P2227" s="166">
        <v>50</v>
      </c>
      <c r="Q2227" s="166">
        <v>1</v>
      </c>
      <c r="R2227" s="164">
        <f>$L2227*'Pivot Objective'!$C$9*P2227*Q2227</f>
        <v>2000111.9197499997</v>
      </c>
      <c r="S2227" s="166">
        <v>0</v>
      </c>
      <c r="T2227" s="166">
        <v>0</v>
      </c>
      <c r="U2227" s="164">
        <f>($L2227*'Pivot Objective'!$C$9^2)*S2227*T2227</f>
        <v>0</v>
      </c>
      <c r="V2227" s="166">
        <v>0</v>
      </c>
      <c r="W2227" s="166">
        <v>0</v>
      </c>
      <c r="X2227" s="164">
        <f>($L2227*'Pivot Objective'!$C$9^3)*V2227*W2227</f>
        <v>0</v>
      </c>
      <c r="Y2227" s="166">
        <v>0</v>
      </c>
      <c r="Z2227" s="166">
        <v>0</v>
      </c>
      <c r="AA2227" s="164">
        <f>($L2227*'Pivot Objective'!$C$9^4)*Y2227*Z2227</f>
        <v>0</v>
      </c>
      <c r="AB2227" s="166">
        <v>0</v>
      </c>
      <c r="AC2227" s="166">
        <v>0</v>
      </c>
      <c r="AD2227" s="164">
        <f>($L2227*'Pivot Objective'!$C$9^5)*AB2227*AC2227</f>
        <v>0</v>
      </c>
      <c r="AE2227" s="166">
        <v>0</v>
      </c>
      <c r="AF2227" s="166">
        <v>0</v>
      </c>
      <c r="AG2227" s="164">
        <f>($L2227*'Pivot Objective'!$C$9^6)*AE2227*AF2227</f>
        <v>0</v>
      </c>
      <c r="AH2227" s="166">
        <v>0</v>
      </c>
      <c r="AI2227" s="166">
        <v>0</v>
      </c>
      <c r="AJ2227" s="164">
        <f>($L2227*'Pivot Objective'!$C$9^7)*AH2227*AI2227</f>
        <v>0</v>
      </c>
      <c r="AK2227" s="185">
        <f t="shared" si="244"/>
        <v>9000111.9197499994</v>
      </c>
      <c r="AL2227" s="186">
        <f t="shared" si="245"/>
        <v>8737.9727376213596</v>
      </c>
    </row>
    <row r="2228" spans="1:38" customFormat="1" ht="57.6" x14ac:dyDescent="0.3">
      <c r="A2228" s="140" t="s">
        <v>1487</v>
      </c>
      <c r="B2228" s="140">
        <v>4</v>
      </c>
      <c r="C2228" s="166" t="s">
        <v>697</v>
      </c>
      <c r="D2228" s="140" t="str">
        <f t="shared" si="246"/>
        <v>1</v>
      </c>
      <c r="E2228" s="166" t="s">
        <v>692</v>
      </c>
      <c r="F2228" s="140">
        <f t="shared" si="242"/>
        <v>6</v>
      </c>
      <c r="G2228" s="140" t="str">
        <f t="shared" si="247"/>
        <v>4.1.6</v>
      </c>
      <c r="H2228" s="166" t="s">
        <v>667</v>
      </c>
      <c r="I2228" s="166" t="s">
        <v>93</v>
      </c>
      <c r="J2228" s="166" t="s">
        <v>485</v>
      </c>
      <c r="K2228" s="166" t="s">
        <v>718</v>
      </c>
      <c r="L2228" s="177">
        <v>0</v>
      </c>
      <c r="M2228" s="166">
        <v>0</v>
      </c>
      <c r="N2228" s="166">
        <v>0</v>
      </c>
      <c r="O2228" s="164">
        <f t="shared" si="243"/>
        <v>0</v>
      </c>
      <c r="P2228" s="166">
        <v>0</v>
      </c>
      <c r="Q2228" s="166">
        <v>0</v>
      </c>
      <c r="R2228" s="164">
        <f>$L2228*'Pivot Objective'!$C$9*P2228*Q2228</f>
        <v>0</v>
      </c>
      <c r="S2228" s="166">
        <v>0</v>
      </c>
      <c r="T2228" s="166">
        <v>0</v>
      </c>
      <c r="U2228" s="164">
        <f>($L2228*'Pivot Objective'!$C$9^2)*S2228*T2228</f>
        <v>0</v>
      </c>
      <c r="V2228" s="166">
        <v>0</v>
      </c>
      <c r="W2228" s="166">
        <v>0</v>
      </c>
      <c r="X2228" s="164">
        <f>($L2228*'Pivot Objective'!$C$9^3)*V2228*W2228</f>
        <v>0</v>
      </c>
      <c r="Y2228" s="166">
        <v>0</v>
      </c>
      <c r="Z2228" s="166">
        <v>0</v>
      </c>
      <c r="AA2228" s="164">
        <f>($L2228*'Pivot Objective'!$C$9^4)*Y2228*Z2228</f>
        <v>0</v>
      </c>
      <c r="AB2228" s="166">
        <v>0</v>
      </c>
      <c r="AC2228" s="166">
        <v>0</v>
      </c>
      <c r="AD2228" s="164">
        <f>($L2228*'Pivot Objective'!$C$9^5)*AB2228*AC2228</f>
        <v>0</v>
      </c>
      <c r="AE2228" s="166">
        <v>0</v>
      </c>
      <c r="AF2228" s="166">
        <v>0</v>
      </c>
      <c r="AG2228" s="164">
        <f>($L2228*'Pivot Objective'!$C$9^6)*AE2228*AF2228</f>
        <v>0</v>
      </c>
      <c r="AH2228" s="166">
        <v>0</v>
      </c>
      <c r="AI2228" s="166">
        <v>0</v>
      </c>
      <c r="AJ2228" s="164">
        <f>($L2228*'Pivot Objective'!$C$9^7)*AH2228*AI2228</f>
        <v>0</v>
      </c>
      <c r="AK2228" s="185">
        <f t="shared" si="244"/>
        <v>0</v>
      </c>
      <c r="AL2228" s="186">
        <f t="shared" si="245"/>
        <v>0</v>
      </c>
    </row>
    <row r="2229" spans="1:38" customFormat="1" ht="57.6" x14ac:dyDescent="0.3">
      <c r="A2229" s="140" t="s">
        <v>1487</v>
      </c>
      <c r="B2229" s="140">
        <v>4</v>
      </c>
      <c r="C2229" s="166" t="s">
        <v>697</v>
      </c>
      <c r="D2229" s="140" t="str">
        <f t="shared" si="246"/>
        <v>1</v>
      </c>
      <c r="E2229" s="166" t="s">
        <v>692</v>
      </c>
      <c r="F2229" s="140">
        <f t="shared" si="242"/>
        <v>6</v>
      </c>
      <c r="G2229" s="140" t="str">
        <f t="shared" si="247"/>
        <v>4.1.6</v>
      </c>
      <c r="H2229" s="166" t="s">
        <v>667</v>
      </c>
      <c r="I2229" s="166" t="s">
        <v>93</v>
      </c>
      <c r="J2229" s="166" t="s">
        <v>486</v>
      </c>
      <c r="K2229" s="166" t="s">
        <v>718</v>
      </c>
      <c r="L2229" s="177">
        <v>0</v>
      </c>
      <c r="M2229" s="166">
        <v>0</v>
      </c>
      <c r="N2229" s="166">
        <v>0</v>
      </c>
      <c r="O2229" s="164">
        <f t="shared" si="243"/>
        <v>0</v>
      </c>
      <c r="P2229" s="166">
        <v>0</v>
      </c>
      <c r="Q2229" s="166">
        <v>0</v>
      </c>
      <c r="R2229" s="164">
        <f>$L2229*'Pivot Objective'!$C$9*P2229*Q2229</f>
        <v>0</v>
      </c>
      <c r="S2229" s="166">
        <v>0</v>
      </c>
      <c r="T2229" s="166">
        <v>0</v>
      </c>
      <c r="U2229" s="164">
        <f>($L2229*'Pivot Objective'!$C$9^2)*S2229*T2229</f>
        <v>0</v>
      </c>
      <c r="V2229" s="166">
        <v>0</v>
      </c>
      <c r="W2229" s="166">
        <v>0</v>
      </c>
      <c r="X2229" s="164">
        <f>($L2229*'Pivot Objective'!$C$9^3)*V2229*W2229</f>
        <v>0</v>
      </c>
      <c r="Y2229" s="166">
        <v>0</v>
      </c>
      <c r="Z2229" s="166">
        <v>0</v>
      </c>
      <c r="AA2229" s="164">
        <f>($L2229*'Pivot Objective'!$C$9^4)*Y2229*Z2229</f>
        <v>0</v>
      </c>
      <c r="AB2229" s="166">
        <v>0</v>
      </c>
      <c r="AC2229" s="166">
        <v>0</v>
      </c>
      <c r="AD2229" s="164">
        <f>($L2229*'Pivot Objective'!$C$9^5)*AB2229*AC2229</f>
        <v>0</v>
      </c>
      <c r="AE2229" s="166">
        <v>0</v>
      </c>
      <c r="AF2229" s="166">
        <v>0</v>
      </c>
      <c r="AG2229" s="164">
        <f>($L2229*'Pivot Objective'!$C$9^6)*AE2229*AF2229</f>
        <v>0</v>
      </c>
      <c r="AH2229" s="166">
        <v>0</v>
      </c>
      <c r="AI2229" s="166">
        <v>0</v>
      </c>
      <c r="AJ2229" s="164">
        <f>($L2229*'Pivot Objective'!$C$9^7)*AH2229*AI2229</f>
        <v>0</v>
      </c>
      <c r="AK2229" s="185">
        <f t="shared" si="244"/>
        <v>0</v>
      </c>
      <c r="AL2229" s="186">
        <f t="shared" si="245"/>
        <v>0</v>
      </c>
    </row>
    <row r="2230" spans="1:38" customFormat="1" ht="57.6" x14ac:dyDescent="0.3">
      <c r="A2230" s="140" t="s">
        <v>1487</v>
      </c>
      <c r="B2230" s="140">
        <v>4</v>
      </c>
      <c r="C2230" s="166" t="s">
        <v>697</v>
      </c>
      <c r="D2230" s="140" t="str">
        <f t="shared" si="246"/>
        <v>1</v>
      </c>
      <c r="E2230" s="166" t="s">
        <v>692</v>
      </c>
      <c r="F2230" s="140">
        <f t="shared" si="242"/>
        <v>6</v>
      </c>
      <c r="G2230" s="140" t="str">
        <f t="shared" si="247"/>
        <v>4.1.6</v>
      </c>
      <c r="H2230" s="166" t="s">
        <v>667</v>
      </c>
      <c r="I2230" s="166" t="s">
        <v>93</v>
      </c>
      <c r="J2230" s="166" t="s">
        <v>487</v>
      </c>
      <c r="K2230" s="166" t="s">
        <v>718</v>
      </c>
      <c r="L2230" s="177">
        <v>0</v>
      </c>
      <c r="M2230" s="166">
        <v>0</v>
      </c>
      <c r="N2230" s="166">
        <v>0</v>
      </c>
      <c r="O2230" s="164">
        <f t="shared" si="243"/>
        <v>0</v>
      </c>
      <c r="P2230" s="166">
        <v>0</v>
      </c>
      <c r="Q2230" s="166">
        <v>0</v>
      </c>
      <c r="R2230" s="164">
        <f>$L2230*'Pivot Objective'!$C$9*P2230*Q2230</f>
        <v>0</v>
      </c>
      <c r="S2230" s="166">
        <v>0</v>
      </c>
      <c r="T2230" s="166">
        <v>0</v>
      </c>
      <c r="U2230" s="164">
        <f>($L2230*'Pivot Objective'!$C$9^2)*S2230*T2230</f>
        <v>0</v>
      </c>
      <c r="V2230" s="166">
        <v>0</v>
      </c>
      <c r="W2230" s="166">
        <v>0</v>
      </c>
      <c r="X2230" s="164">
        <f>($L2230*'Pivot Objective'!$C$9^3)*V2230*W2230</f>
        <v>0</v>
      </c>
      <c r="Y2230" s="166">
        <v>0</v>
      </c>
      <c r="Z2230" s="166">
        <v>0</v>
      </c>
      <c r="AA2230" s="164">
        <f>($L2230*'Pivot Objective'!$C$9^4)*Y2230*Z2230</f>
        <v>0</v>
      </c>
      <c r="AB2230" s="166">
        <v>0</v>
      </c>
      <c r="AC2230" s="166">
        <v>0</v>
      </c>
      <c r="AD2230" s="164">
        <f>($L2230*'Pivot Objective'!$C$9^5)*AB2230*AC2230</f>
        <v>0</v>
      </c>
      <c r="AE2230" s="166">
        <v>0</v>
      </c>
      <c r="AF2230" s="166">
        <v>0</v>
      </c>
      <c r="AG2230" s="164">
        <f>($L2230*'Pivot Objective'!$C$9^6)*AE2230*AF2230</f>
        <v>0</v>
      </c>
      <c r="AH2230" s="166">
        <v>0</v>
      </c>
      <c r="AI2230" s="166">
        <v>0</v>
      </c>
      <c r="AJ2230" s="164">
        <f>($L2230*'Pivot Objective'!$C$9^7)*AH2230*AI2230</f>
        <v>0</v>
      </c>
      <c r="AK2230" s="185">
        <f t="shared" si="244"/>
        <v>0</v>
      </c>
      <c r="AL2230" s="186">
        <f t="shared" si="245"/>
        <v>0</v>
      </c>
    </row>
    <row r="2231" spans="1:38" customFormat="1" ht="57.6" x14ac:dyDescent="0.3">
      <c r="A2231" s="140" t="s">
        <v>1487</v>
      </c>
      <c r="B2231" s="140">
        <v>4</v>
      </c>
      <c r="C2231" s="166" t="s">
        <v>697</v>
      </c>
      <c r="D2231" s="140" t="str">
        <f t="shared" si="246"/>
        <v>1</v>
      </c>
      <c r="E2231" s="166" t="s">
        <v>692</v>
      </c>
      <c r="F2231" s="140">
        <f t="shared" si="242"/>
        <v>6</v>
      </c>
      <c r="G2231" s="140" t="str">
        <f t="shared" si="247"/>
        <v>4.1.6</v>
      </c>
      <c r="H2231" s="166" t="s">
        <v>667</v>
      </c>
      <c r="I2231" s="166" t="s">
        <v>93</v>
      </c>
      <c r="J2231" s="166" t="s">
        <v>488</v>
      </c>
      <c r="K2231" s="166" t="s">
        <v>718</v>
      </c>
      <c r="L2231" s="177">
        <v>0</v>
      </c>
      <c r="M2231" s="166">
        <v>0</v>
      </c>
      <c r="N2231" s="166">
        <v>0</v>
      </c>
      <c r="O2231" s="164">
        <f t="shared" si="243"/>
        <v>0</v>
      </c>
      <c r="P2231" s="166">
        <v>0</v>
      </c>
      <c r="Q2231" s="166">
        <v>0</v>
      </c>
      <c r="R2231" s="164">
        <f>$L2231*'Pivot Objective'!$C$9*P2231*Q2231</f>
        <v>0</v>
      </c>
      <c r="S2231" s="166">
        <v>0</v>
      </c>
      <c r="T2231" s="166">
        <v>0</v>
      </c>
      <c r="U2231" s="164">
        <f>($L2231*'Pivot Objective'!$C$9^2)*S2231*T2231</f>
        <v>0</v>
      </c>
      <c r="V2231" s="166">
        <v>0</v>
      </c>
      <c r="W2231" s="166">
        <v>0</v>
      </c>
      <c r="X2231" s="164">
        <f>($L2231*'Pivot Objective'!$C$9^3)*V2231*W2231</f>
        <v>0</v>
      </c>
      <c r="Y2231" s="166">
        <v>0</v>
      </c>
      <c r="Z2231" s="166">
        <v>0</v>
      </c>
      <c r="AA2231" s="164">
        <f>($L2231*'Pivot Objective'!$C$9^4)*Y2231*Z2231</f>
        <v>0</v>
      </c>
      <c r="AB2231" s="166">
        <v>0</v>
      </c>
      <c r="AC2231" s="166">
        <v>0</v>
      </c>
      <c r="AD2231" s="164">
        <f>($L2231*'Pivot Objective'!$C$9^5)*AB2231*AC2231</f>
        <v>0</v>
      </c>
      <c r="AE2231" s="166">
        <v>0</v>
      </c>
      <c r="AF2231" s="166">
        <v>0</v>
      </c>
      <c r="AG2231" s="164">
        <f>($L2231*'Pivot Objective'!$C$9^6)*AE2231*AF2231</f>
        <v>0</v>
      </c>
      <c r="AH2231" s="166">
        <v>0</v>
      </c>
      <c r="AI2231" s="166">
        <v>0</v>
      </c>
      <c r="AJ2231" s="164">
        <f>($L2231*'Pivot Objective'!$C$9^7)*AH2231*AI2231</f>
        <v>0</v>
      </c>
      <c r="AK2231" s="185">
        <f t="shared" si="244"/>
        <v>0</v>
      </c>
      <c r="AL2231" s="186">
        <f t="shared" si="245"/>
        <v>0</v>
      </c>
    </row>
    <row r="2232" spans="1:38" customFormat="1" ht="57.6" x14ac:dyDescent="0.3">
      <c r="A2232" s="140" t="s">
        <v>1487</v>
      </c>
      <c r="B2232" s="140">
        <v>4</v>
      </c>
      <c r="C2232" s="166" t="s">
        <v>697</v>
      </c>
      <c r="D2232" s="140" t="str">
        <f t="shared" si="246"/>
        <v>1</v>
      </c>
      <c r="E2232" s="166" t="s">
        <v>692</v>
      </c>
      <c r="F2232" s="140">
        <f t="shared" si="242"/>
        <v>6</v>
      </c>
      <c r="G2232" s="140" t="str">
        <f t="shared" si="247"/>
        <v>4.1.6</v>
      </c>
      <c r="H2232" s="166" t="s">
        <v>667</v>
      </c>
      <c r="I2232" s="166" t="s">
        <v>94</v>
      </c>
      <c r="J2232" s="166" t="s">
        <v>489</v>
      </c>
      <c r="K2232" s="166" t="s">
        <v>718</v>
      </c>
      <c r="L2232" s="177">
        <v>0</v>
      </c>
      <c r="M2232" s="166">
        <v>0</v>
      </c>
      <c r="N2232" s="166">
        <v>0</v>
      </c>
      <c r="O2232" s="164">
        <f t="shared" si="243"/>
        <v>0</v>
      </c>
      <c r="P2232" s="166">
        <v>0</v>
      </c>
      <c r="Q2232" s="166">
        <v>0</v>
      </c>
      <c r="R2232" s="164">
        <f>$L2232*'Pivot Objective'!$C$9*P2232*Q2232</f>
        <v>0</v>
      </c>
      <c r="S2232" s="166">
        <v>0</v>
      </c>
      <c r="T2232" s="166">
        <v>0</v>
      </c>
      <c r="U2232" s="164">
        <f>($L2232*'Pivot Objective'!$C$9^2)*S2232*T2232</f>
        <v>0</v>
      </c>
      <c r="V2232" s="166">
        <v>0</v>
      </c>
      <c r="W2232" s="166">
        <v>0</v>
      </c>
      <c r="X2232" s="164">
        <f>($L2232*'Pivot Objective'!$C$9^3)*V2232*W2232</f>
        <v>0</v>
      </c>
      <c r="Y2232" s="166">
        <v>0</v>
      </c>
      <c r="Z2232" s="166">
        <v>0</v>
      </c>
      <c r="AA2232" s="164">
        <f>($L2232*'Pivot Objective'!$C$9^4)*Y2232*Z2232</f>
        <v>0</v>
      </c>
      <c r="AB2232" s="166">
        <v>0</v>
      </c>
      <c r="AC2232" s="166">
        <v>0</v>
      </c>
      <c r="AD2232" s="164">
        <f>($L2232*'Pivot Objective'!$C$9^5)*AB2232*AC2232</f>
        <v>0</v>
      </c>
      <c r="AE2232" s="166">
        <v>0</v>
      </c>
      <c r="AF2232" s="166">
        <v>0</v>
      </c>
      <c r="AG2232" s="164">
        <f>($L2232*'Pivot Objective'!$C$9^6)*AE2232*AF2232</f>
        <v>0</v>
      </c>
      <c r="AH2232" s="166">
        <v>0</v>
      </c>
      <c r="AI2232" s="166">
        <v>0</v>
      </c>
      <c r="AJ2232" s="164">
        <f>($L2232*'Pivot Objective'!$C$9^7)*AH2232*AI2232</f>
        <v>0</v>
      </c>
      <c r="AK2232" s="185">
        <f t="shared" si="244"/>
        <v>0</v>
      </c>
      <c r="AL2232" s="186">
        <f t="shared" si="245"/>
        <v>0</v>
      </c>
    </row>
    <row r="2233" spans="1:38" customFormat="1" ht="57.6" x14ac:dyDescent="0.3">
      <c r="A2233" s="140" t="s">
        <v>1487</v>
      </c>
      <c r="B2233" s="140">
        <v>4</v>
      </c>
      <c r="C2233" s="166" t="s">
        <v>697</v>
      </c>
      <c r="D2233" s="140" t="str">
        <f t="shared" si="246"/>
        <v>1</v>
      </c>
      <c r="E2233" s="166" t="s">
        <v>692</v>
      </c>
      <c r="F2233" s="140">
        <f t="shared" si="242"/>
        <v>6</v>
      </c>
      <c r="G2233" s="140" t="str">
        <f t="shared" si="247"/>
        <v>4.1.6</v>
      </c>
      <c r="H2233" s="166" t="s">
        <v>667</v>
      </c>
      <c r="I2233" s="166" t="s">
        <v>94</v>
      </c>
      <c r="J2233" s="166" t="s">
        <v>490</v>
      </c>
      <c r="K2233" s="166" t="s">
        <v>718</v>
      </c>
      <c r="L2233" s="177">
        <v>0</v>
      </c>
      <c r="M2233" s="166">
        <v>0</v>
      </c>
      <c r="N2233" s="166">
        <v>0</v>
      </c>
      <c r="O2233" s="164">
        <f t="shared" si="243"/>
        <v>0</v>
      </c>
      <c r="P2233" s="166">
        <v>0</v>
      </c>
      <c r="Q2233" s="166">
        <v>0</v>
      </c>
      <c r="R2233" s="164">
        <f>$L2233*'Pivot Objective'!$C$9*P2233*Q2233</f>
        <v>0</v>
      </c>
      <c r="S2233" s="166">
        <v>0</v>
      </c>
      <c r="T2233" s="166">
        <v>0</v>
      </c>
      <c r="U2233" s="164">
        <f>($L2233*'Pivot Objective'!$C$9^2)*S2233*T2233</f>
        <v>0</v>
      </c>
      <c r="V2233" s="166">
        <v>0</v>
      </c>
      <c r="W2233" s="166">
        <v>0</v>
      </c>
      <c r="X2233" s="164">
        <f>($L2233*'Pivot Objective'!$C$9^3)*V2233*W2233</f>
        <v>0</v>
      </c>
      <c r="Y2233" s="166">
        <v>0</v>
      </c>
      <c r="Z2233" s="166">
        <v>0</v>
      </c>
      <c r="AA2233" s="164">
        <f>($L2233*'Pivot Objective'!$C$9^4)*Y2233*Z2233</f>
        <v>0</v>
      </c>
      <c r="AB2233" s="166">
        <v>0</v>
      </c>
      <c r="AC2233" s="166">
        <v>0</v>
      </c>
      <c r="AD2233" s="164">
        <f>($L2233*'Pivot Objective'!$C$9^5)*AB2233*AC2233</f>
        <v>0</v>
      </c>
      <c r="AE2233" s="166">
        <v>0</v>
      </c>
      <c r="AF2233" s="166">
        <v>0</v>
      </c>
      <c r="AG2233" s="164">
        <f>($L2233*'Pivot Objective'!$C$9^6)*AE2233*AF2233</f>
        <v>0</v>
      </c>
      <c r="AH2233" s="166">
        <v>0</v>
      </c>
      <c r="AI2233" s="166">
        <v>0</v>
      </c>
      <c r="AJ2233" s="164">
        <f>($L2233*'Pivot Objective'!$C$9^7)*AH2233*AI2233</f>
        <v>0</v>
      </c>
      <c r="AK2233" s="185">
        <f t="shared" si="244"/>
        <v>0</v>
      </c>
      <c r="AL2233" s="186">
        <f t="shared" si="245"/>
        <v>0</v>
      </c>
    </row>
    <row r="2234" spans="1:38" customFormat="1" ht="57.6" x14ac:dyDescent="0.3">
      <c r="A2234" s="140" t="s">
        <v>1487</v>
      </c>
      <c r="B2234" s="140">
        <v>4</v>
      </c>
      <c r="C2234" s="166" t="s">
        <v>697</v>
      </c>
      <c r="D2234" s="140" t="str">
        <f t="shared" si="246"/>
        <v>1</v>
      </c>
      <c r="E2234" s="166" t="s">
        <v>692</v>
      </c>
      <c r="F2234" s="140">
        <f t="shared" ref="F2234:F2235" si="248">IF(H2234=H2233,F2233,F2233+1)</f>
        <v>6</v>
      </c>
      <c r="G2234" s="140" t="str">
        <f t="shared" si="247"/>
        <v>4.1.6</v>
      </c>
      <c r="H2234" s="166" t="s">
        <v>667</v>
      </c>
      <c r="I2234" s="166" t="s">
        <v>94</v>
      </c>
      <c r="J2234" s="166" t="s">
        <v>487</v>
      </c>
      <c r="K2234" s="166" t="s">
        <v>718</v>
      </c>
      <c r="L2234" s="177">
        <v>0</v>
      </c>
      <c r="M2234" s="166">
        <v>0</v>
      </c>
      <c r="N2234" s="166">
        <v>0</v>
      </c>
      <c r="O2234" s="164">
        <f t="shared" si="243"/>
        <v>0</v>
      </c>
      <c r="P2234" s="166">
        <v>0</v>
      </c>
      <c r="Q2234" s="166">
        <v>0</v>
      </c>
      <c r="R2234" s="164">
        <f>$L2234*'Pivot Objective'!$C$9*P2234*Q2234</f>
        <v>0</v>
      </c>
      <c r="S2234" s="166">
        <v>0</v>
      </c>
      <c r="T2234" s="166">
        <v>0</v>
      </c>
      <c r="U2234" s="164">
        <f>($L2234*'Pivot Objective'!$C$9^2)*S2234*T2234</f>
        <v>0</v>
      </c>
      <c r="V2234" s="166">
        <v>0</v>
      </c>
      <c r="W2234" s="166">
        <v>0</v>
      </c>
      <c r="X2234" s="164">
        <f>($L2234*'Pivot Objective'!$C$9^3)*V2234*W2234</f>
        <v>0</v>
      </c>
      <c r="Y2234" s="166">
        <v>0</v>
      </c>
      <c r="Z2234" s="166">
        <v>0</v>
      </c>
      <c r="AA2234" s="164">
        <f>($L2234*'Pivot Objective'!$C$9^4)*Y2234*Z2234</f>
        <v>0</v>
      </c>
      <c r="AB2234" s="166">
        <v>0</v>
      </c>
      <c r="AC2234" s="166">
        <v>0</v>
      </c>
      <c r="AD2234" s="164">
        <f>($L2234*'Pivot Objective'!$C$9^5)*AB2234*AC2234</f>
        <v>0</v>
      </c>
      <c r="AE2234" s="166">
        <v>0</v>
      </c>
      <c r="AF2234" s="166">
        <v>0</v>
      </c>
      <c r="AG2234" s="164">
        <f>($L2234*'Pivot Objective'!$C$9^6)*AE2234*AF2234</f>
        <v>0</v>
      </c>
      <c r="AH2234" s="166">
        <v>0</v>
      </c>
      <c r="AI2234" s="166">
        <v>0</v>
      </c>
      <c r="AJ2234" s="164">
        <f>($L2234*'Pivot Objective'!$C$9^7)*AH2234*AI2234</f>
        <v>0</v>
      </c>
      <c r="AK2234" s="185">
        <f t="shared" si="244"/>
        <v>0</v>
      </c>
      <c r="AL2234" s="186">
        <f t="shared" si="245"/>
        <v>0</v>
      </c>
    </row>
    <row r="2235" spans="1:38" customFormat="1" ht="57.6" x14ac:dyDescent="0.3">
      <c r="A2235" s="140" t="s">
        <v>1487</v>
      </c>
      <c r="B2235" s="140">
        <v>4</v>
      </c>
      <c r="C2235" s="166" t="s">
        <v>697</v>
      </c>
      <c r="D2235" s="140" t="str">
        <f t="shared" si="246"/>
        <v>1</v>
      </c>
      <c r="E2235" s="166" t="s">
        <v>692</v>
      </c>
      <c r="F2235" s="140">
        <f t="shared" si="248"/>
        <v>6</v>
      </c>
      <c r="G2235" s="140" t="str">
        <f t="shared" si="247"/>
        <v>4.1.6</v>
      </c>
      <c r="H2235" s="166" t="s">
        <v>667</v>
      </c>
      <c r="I2235" s="166" t="s">
        <v>94</v>
      </c>
      <c r="J2235" s="166" t="s">
        <v>488</v>
      </c>
      <c r="K2235" s="166" t="s">
        <v>718</v>
      </c>
      <c r="L2235" s="177">
        <v>0</v>
      </c>
      <c r="M2235" s="166">
        <v>0</v>
      </c>
      <c r="N2235" s="166">
        <v>0</v>
      </c>
      <c r="O2235" s="164">
        <f t="shared" si="243"/>
        <v>0</v>
      </c>
      <c r="P2235" s="166">
        <v>0</v>
      </c>
      <c r="Q2235" s="166">
        <v>0</v>
      </c>
      <c r="R2235" s="164">
        <f>$L2235*'Pivot Objective'!$C$9*P2235*Q2235</f>
        <v>0</v>
      </c>
      <c r="S2235" s="166">
        <v>0</v>
      </c>
      <c r="T2235" s="166">
        <v>0</v>
      </c>
      <c r="U2235" s="164">
        <f>($L2235*'Pivot Objective'!$C$9^2)*S2235*T2235</f>
        <v>0</v>
      </c>
      <c r="V2235" s="166">
        <v>0</v>
      </c>
      <c r="W2235" s="166">
        <v>0</v>
      </c>
      <c r="X2235" s="164">
        <f>($L2235*'Pivot Objective'!$C$9^3)*V2235*W2235</f>
        <v>0</v>
      </c>
      <c r="Y2235" s="166">
        <v>0</v>
      </c>
      <c r="Z2235" s="166">
        <v>0</v>
      </c>
      <c r="AA2235" s="164">
        <f>($L2235*'Pivot Objective'!$C$9^4)*Y2235*Z2235</f>
        <v>0</v>
      </c>
      <c r="AB2235" s="166">
        <v>0</v>
      </c>
      <c r="AC2235" s="166">
        <v>0</v>
      </c>
      <c r="AD2235" s="164">
        <f>($L2235*'Pivot Objective'!$C$9^5)*AB2235*AC2235</f>
        <v>0</v>
      </c>
      <c r="AE2235" s="166">
        <v>0</v>
      </c>
      <c r="AF2235" s="166">
        <v>0</v>
      </c>
      <c r="AG2235" s="164">
        <f>($L2235*'Pivot Objective'!$C$9^6)*AE2235*AF2235</f>
        <v>0</v>
      </c>
      <c r="AH2235" s="166">
        <v>0</v>
      </c>
      <c r="AI2235" s="166">
        <v>0</v>
      </c>
      <c r="AJ2235" s="164">
        <f>($L2235*'Pivot Objective'!$C$9^7)*AH2235*AI2235</f>
        <v>0</v>
      </c>
      <c r="AK2235" s="185">
        <f t="shared" si="244"/>
        <v>0</v>
      </c>
      <c r="AL2235" s="186">
        <f t="shared" si="245"/>
        <v>0</v>
      </c>
    </row>
    <row r="2236" spans="1:38" customFormat="1" ht="57.6" x14ac:dyDescent="0.3">
      <c r="A2236" s="140" t="s">
        <v>1487</v>
      </c>
      <c r="B2236" s="140">
        <v>4</v>
      </c>
      <c r="C2236" s="166" t="s">
        <v>697</v>
      </c>
      <c r="D2236" s="140" t="str">
        <f t="shared" ref="D2236:D2243" si="249">RIGHT(A2236,1)</f>
        <v>1</v>
      </c>
      <c r="E2236" s="166" t="s">
        <v>692</v>
      </c>
      <c r="F2236" s="140">
        <f t="shared" ref="F2236:F2243" si="250">IF(H2236=H2235,F2235,F2235+1)</f>
        <v>7</v>
      </c>
      <c r="G2236" s="140" t="str">
        <f t="shared" ref="G2236:G2243" si="251">B2236&amp;"."&amp;D2236&amp;"."&amp;F2236</f>
        <v>4.1.7</v>
      </c>
      <c r="H2236" s="166" t="s">
        <v>1672</v>
      </c>
      <c r="I2236" s="166" t="s">
        <v>1621</v>
      </c>
      <c r="J2236" s="166" t="s">
        <v>1617</v>
      </c>
      <c r="K2236" s="166" t="s">
        <v>1329</v>
      </c>
      <c r="L2236" s="177">
        <v>0</v>
      </c>
      <c r="M2236" s="166">
        <v>0</v>
      </c>
      <c r="N2236" s="166">
        <v>0</v>
      </c>
      <c r="O2236" s="164">
        <f t="shared" si="243"/>
        <v>0</v>
      </c>
      <c r="P2236" s="166">
        <v>0</v>
      </c>
      <c r="Q2236" s="166">
        <v>0</v>
      </c>
      <c r="R2236" s="164">
        <f>$L2236*'Pivot Objective'!$C$9*P2236*Q2236</f>
        <v>0</v>
      </c>
      <c r="S2236" s="166"/>
      <c r="T2236" s="166"/>
      <c r="U2236" s="164">
        <f>($L2236*'Pivot Objective'!$C$9^2)*S2236*T2236</f>
        <v>0</v>
      </c>
      <c r="V2236" s="166">
        <v>0</v>
      </c>
      <c r="W2236" s="166">
        <v>0</v>
      </c>
      <c r="X2236" s="164">
        <f>($L2236*'Pivot Objective'!$C$9^3)*V2236*W2236</f>
        <v>0</v>
      </c>
      <c r="Y2236" s="166"/>
      <c r="Z2236" s="166"/>
      <c r="AA2236" s="164">
        <f>($L2236*'Pivot Objective'!$C$9^4)*Y2236*Z2236</f>
        <v>0</v>
      </c>
      <c r="AB2236" s="166">
        <v>0</v>
      </c>
      <c r="AC2236" s="166">
        <v>0</v>
      </c>
      <c r="AD2236" s="164">
        <f>($L2236*'Pivot Objective'!$C$9^5)*AB2236*AC2236</f>
        <v>0</v>
      </c>
      <c r="AE2236" s="166"/>
      <c r="AF2236" s="166"/>
      <c r="AG2236" s="164">
        <f>($L2236*'Pivot Objective'!$C$9^6)*AE2236*AF2236</f>
        <v>0</v>
      </c>
      <c r="AH2236" s="166">
        <v>0</v>
      </c>
      <c r="AI2236" s="166">
        <v>0</v>
      </c>
      <c r="AJ2236" s="164">
        <f>($L2236*'Pivot Objective'!$C$9^7)*AH2236*AI2236</f>
        <v>0</v>
      </c>
      <c r="AK2236" s="185">
        <f t="shared" si="244"/>
        <v>0</v>
      </c>
      <c r="AL2236" s="186">
        <f t="shared" si="245"/>
        <v>0</v>
      </c>
    </row>
    <row r="2237" spans="1:38" customFormat="1" ht="57.6" x14ac:dyDescent="0.3">
      <c r="A2237" s="140" t="s">
        <v>1487</v>
      </c>
      <c r="B2237" s="140">
        <v>4</v>
      </c>
      <c r="C2237" s="166" t="s">
        <v>697</v>
      </c>
      <c r="D2237" s="140" t="str">
        <f t="shared" si="249"/>
        <v>1</v>
      </c>
      <c r="E2237" s="166" t="s">
        <v>692</v>
      </c>
      <c r="F2237" s="140">
        <f t="shared" si="250"/>
        <v>7</v>
      </c>
      <c r="G2237" s="140" t="str">
        <f t="shared" si="251"/>
        <v>4.1.7</v>
      </c>
      <c r="H2237" s="166" t="s">
        <v>1672</v>
      </c>
      <c r="I2237" s="166" t="s">
        <v>1621</v>
      </c>
      <c r="J2237" s="166" t="s">
        <v>1618</v>
      </c>
      <c r="K2237" s="166" t="s">
        <v>1329</v>
      </c>
      <c r="L2237" s="177">
        <v>0</v>
      </c>
      <c r="M2237" s="166"/>
      <c r="N2237" s="166"/>
      <c r="O2237" s="164">
        <f t="shared" si="243"/>
        <v>0</v>
      </c>
      <c r="P2237" s="166">
        <v>0</v>
      </c>
      <c r="Q2237" s="166">
        <v>0</v>
      </c>
      <c r="R2237" s="164">
        <f>$L2237*'Pivot Objective'!$C$9*P2237*Q2237</f>
        <v>0</v>
      </c>
      <c r="S2237" s="166"/>
      <c r="T2237" s="166"/>
      <c r="U2237" s="164">
        <f>($L2237*'Pivot Objective'!$C$9^2)*S2237*T2237</f>
        <v>0</v>
      </c>
      <c r="V2237" s="166">
        <v>0</v>
      </c>
      <c r="W2237" s="166">
        <v>0</v>
      </c>
      <c r="X2237" s="164">
        <f>($L2237*'Pivot Objective'!$C$9^3)*V2237*W2237</f>
        <v>0</v>
      </c>
      <c r="Y2237" s="166"/>
      <c r="Z2237" s="166"/>
      <c r="AA2237" s="164">
        <f>($L2237*'Pivot Objective'!$C$9^4)*Y2237*Z2237</f>
        <v>0</v>
      </c>
      <c r="AB2237" s="166">
        <v>0</v>
      </c>
      <c r="AC2237" s="166">
        <v>0</v>
      </c>
      <c r="AD2237" s="164">
        <f>($L2237*'Pivot Objective'!$C$9^5)*AB2237*AC2237</f>
        <v>0</v>
      </c>
      <c r="AE2237" s="166"/>
      <c r="AF2237" s="166"/>
      <c r="AG2237" s="164">
        <f>($L2237*'Pivot Objective'!$C$9^6)*AE2237*AF2237</f>
        <v>0</v>
      </c>
      <c r="AH2237" s="166">
        <v>0</v>
      </c>
      <c r="AI2237" s="166">
        <v>0</v>
      </c>
      <c r="AJ2237" s="164">
        <f>($L2237*'Pivot Objective'!$C$9^7)*AH2237*AI2237</f>
        <v>0</v>
      </c>
      <c r="AK2237" s="185">
        <f t="shared" si="244"/>
        <v>0</v>
      </c>
      <c r="AL2237" s="186">
        <f t="shared" si="245"/>
        <v>0</v>
      </c>
    </row>
    <row r="2238" spans="1:38" customFormat="1" ht="57.6" x14ac:dyDescent="0.3">
      <c r="A2238" s="140" t="s">
        <v>1487</v>
      </c>
      <c r="B2238" s="140">
        <v>4</v>
      </c>
      <c r="C2238" s="166" t="s">
        <v>697</v>
      </c>
      <c r="D2238" s="140" t="str">
        <f t="shared" si="249"/>
        <v>1</v>
      </c>
      <c r="E2238" s="166" t="s">
        <v>692</v>
      </c>
      <c r="F2238" s="140">
        <f t="shared" si="250"/>
        <v>7</v>
      </c>
      <c r="G2238" s="140" t="str">
        <f t="shared" si="251"/>
        <v>4.1.7</v>
      </c>
      <c r="H2238" s="166" t="s">
        <v>1672</v>
      </c>
      <c r="I2238" s="166" t="s">
        <v>1621</v>
      </c>
      <c r="J2238" s="166" t="s">
        <v>1627</v>
      </c>
      <c r="K2238" s="166" t="s">
        <v>1619</v>
      </c>
      <c r="L2238" s="177">
        <v>0</v>
      </c>
      <c r="M2238" s="166"/>
      <c r="N2238" s="166"/>
      <c r="O2238" s="164">
        <f t="shared" si="243"/>
        <v>0</v>
      </c>
      <c r="P2238" s="166">
        <v>0</v>
      </c>
      <c r="Q2238" s="166">
        <v>0</v>
      </c>
      <c r="R2238" s="164">
        <f>$L2238*'Pivot Objective'!$C$9*P2238*Q2238</f>
        <v>0</v>
      </c>
      <c r="S2238" s="166"/>
      <c r="T2238" s="166"/>
      <c r="U2238" s="164">
        <f>($L2238*'Pivot Objective'!$C$9^2)*S2238*T2238</f>
        <v>0</v>
      </c>
      <c r="V2238" s="166">
        <v>0</v>
      </c>
      <c r="W2238" s="166">
        <v>0</v>
      </c>
      <c r="X2238" s="164">
        <f>($L2238*'Pivot Objective'!$C$9^3)*V2238*W2238</f>
        <v>0</v>
      </c>
      <c r="Y2238" s="166"/>
      <c r="Z2238" s="166"/>
      <c r="AA2238" s="164">
        <f>($L2238*'Pivot Objective'!$C$9^4)*Y2238*Z2238</f>
        <v>0</v>
      </c>
      <c r="AB2238" s="166">
        <v>0</v>
      </c>
      <c r="AC2238" s="166">
        <v>0</v>
      </c>
      <c r="AD2238" s="164">
        <f>($L2238*'Pivot Objective'!$C$9^5)*AB2238*AC2238</f>
        <v>0</v>
      </c>
      <c r="AE2238" s="166"/>
      <c r="AF2238" s="166"/>
      <c r="AG2238" s="164">
        <f>($L2238*'Pivot Objective'!$C$9^6)*AE2238*AF2238</f>
        <v>0</v>
      </c>
      <c r="AH2238" s="166">
        <v>0</v>
      </c>
      <c r="AI2238" s="166">
        <v>0</v>
      </c>
      <c r="AJ2238" s="164">
        <f>($L2238*'Pivot Objective'!$C$9^7)*AH2238*AI2238</f>
        <v>0</v>
      </c>
      <c r="AK2238" s="185">
        <f t="shared" si="244"/>
        <v>0</v>
      </c>
      <c r="AL2238" s="186">
        <f t="shared" si="245"/>
        <v>0</v>
      </c>
    </row>
    <row r="2239" spans="1:38" customFormat="1" ht="57.6" x14ac:dyDescent="0.3">
      <c r="A2239" s="140" t="s">
        <v>1487</v>
      </c>
      <c r="B2239" s="140">
        <v>4</v>
      </c>
      <c r="C2239" s="166" t="s">
        <v>697</v>
      </c>
      <c r="D2239" s="140" t="str">
        <f t="shared" si="249"/>
        <v>1</v>
      </c>
      <c r="E2239" s="166" t="s">
        <v>692</v>
      </c>
      <c r="F2239" s="140">
        <f t="shared" si="250"/>
        <v>7</v>
      </c>
      <c r="G2239" s="140" t="str">
        <f t="shared" si="251"/>
        <v>4.1.7</v>
      </c>
      <c r="H2239" s="166" t="s">
        <v>1672</v>
      </c>
      <c r="I2239" s="166" t="s">
        <v>1621</v>
      </c>
      <c r="J2239" s="166" t="s">
        <v>1627</v>
      </c>
      <c r="K2239" s="166" t="s">
        <v>1620</v>
      </c>
      <c r="L2239" s="177">
        <v>391991.03749999998</v>
      </c>
      <c r="M2239" s="166"/>
      <c r="N2239" s="166"/>
      <c r="O2239" s="164">
        <f t="shared" si="243"/>
        <v>0</v>
      </c>
      <c r="P2239" s="166">
        <v>2</v>
      </c>
      <c r="Q2239" s="166">
        <v>2</v>
      </c>
      <c r="R2239" s="164">
        <f>$L2239*'Pivot Objective'!$C$9*P2239*Q2239</f>
        <v>1792059.3063746723</v>
      </c>
      <c r="S2239" s="166"/>
      <c r="T2239" s="166"/>
      <c r="U2239" s="164">
        <f>($L2239*'Pivot Objective'!$C$9^2)*S2239*T2239</f>
        <v>0</v>
      </c>
      <c r="V2239" s="166">
        <v>2</v>
      </c>
      <c r="W2239" s="166">
        <v>2</v>
      </c>
      <c r="X2239" s="164">
        <f>($L2239*'Pivot Objective'!$C$9^3)*V2239*W2239</f>
        <v>2340910.8621271173</v>
      </c>
      <c r="Y2239" s="166"/>
      <c r="Z2239" s="166"/>
      <c r="AA2239" s="164">
        <f>($L2239*'Pivot Objective'!$C$9^4)*Y2239*Z2239</f>
        <v>0</v>
      </c>
      <c r="AB2239" s="166">
        <v>2</v>
      </c>
      <c r="AC2239" s="166">
        <v>2</v>
      </c>
      <c r="AD2239" s="164">
        <f>($L2239*'Pivot Objective'!$C$9^5)*AB2239*AC2239</f>
        <v>3057858.4341109009</v>
      </c>
      <c r="AE2239" s="166"/>
      <c r="AF2239" s="166"/>
      <c r="AG2239" s="164">
        <f>($L2239*'Pivot Objective'!$C$9^6)*AE2239*AF2239</f>
        <v>0</v>
      </c>
      <c r="AH2239" s="166">
        <v>2</v>
      </c>
      <c r="AI2239" s="166">
        <v>2</v>
      </c>
      <c r="AJ2239" s="164">
        <f>($L2239*'Pivot Objective'!$C$9^7)*AH2239*AI2239</f>
        <v>3994384.5595926056</v>
      </c>
      <c r="AK2239" s="185">
        <f t="shared" si="244"/>
        <v>11185213.162205297</v>
      </c>
      <c r="AL2239" s="186">
        <f t="shared" si="245"/>
        <v>10859.430254568249</v>
      </c>
    </row>
    <row r="2240" spans="1:38" customFormat="1" ht="57.6" x14ac:dyDescent="0.3">
      <c r="A2240" s="140" t="s">
        <v>1487</v>
      </c>
      <c r="B2240" s="140">
        <v>4</v>
      </c>
      <c r="C2240" s="166" t="s">
        <v>697</v>
      </c>
      <c r="D2240" s="140" t="str">
        <f t="shared" si="249"/>
        <v>1</v>
      </c>
      <c r="E2240" s="166" t="s">
        <v>692</v>
      </c>
      <c r="F2240" s="140">
        <f t="shared" si="250"/>
        <v>7</v>
      </c>
      <c r="G2240" s="140" t="str">
        <f t="shared" si="251"/>
        <v>4.1.7</v>
      </c>
      <c r="H2240" s="166" t="s">
        <v>1672</v>
      </c>
      <c r="I2240" s="166" t="s">
        <v>1621</v>
      </c>
      <c r="J2240" s="166" t="s">
        <v>1627</v>
      </c>
      <c r="K2240" s="166" t="s">
        <v>1622</v>
      </c>
      <c r="L2240" s="177">
        <v>515000</v>
      </c>
      <c r="M2240" s="166"/>
      <c r="N2240" s="166"/>
      <c r="O2240" s="164">
        <f t="shared" si="243"/>
        <v>0</v>
      </c>
      <c r="P2240" s="166">
        <v>1</v>
      </c>
      <c r="Q2240" s="166">
        <v>25</v>
      </c>
      <c r="R2240" s="164">
        <f>$L2240*'Pivot Objective'!$C$9*P2240*Q2240</f>
        <v>14715109.123875</v>
      </c>
      <c r="S2240" s="166"/>
      <c r="T2240" s="166"/>
      <c r="U2240" s="164">
        <f>($L2240*'Pivot Objective'!$C$9^2)*S2240*T2240</f>
        <v>0</v>
      </c>
      <c r="V2240" s="166">
        <v>1</v>
      </c>
      <c r="W2240" s="166">
        <v>25</v>
      </c>
      <c r="X2240" s="164">
        <f>($L2240*'Pivot Objective'!$C$9^3)*V2240*W2240</f>
        <v>19221885.493929587</v>
      </c>
      <c r="Y2240" s="166"/>
      <c r="Z2240" s="166"/>
      <c r="AA2240" s="164">
        <f>($L2240*'Pivot Objective'!$C$9^4)*Y2240*Z2240</f>
        <v>0</v>
      </c>
      <c r="AB2240" s="166">
        <v>1</v>
      </c>
      <c r="AC2240" s="166">
        <v>25</v>
      </c>
      <c r="AD2240" s="164">
        <f>($L2240*'Pivot Objective'!$C$9^5)*AB2240*AC2240</f>
        <v>25108946.106438626</v>
      </c>
      <c r="AE2240" s="166"/>
      <c r="AF2240" s="166"/>
      <c r="AG2240" s="164">
        <f>($L2240*'Pivot Objective'!$C$9^6)*AE2240*AF2240</f>
        <v>0</v>
      </c>
      <c r="AH2240" s="166">
        <v>1</v>
      </c>
      <c r="AI2240" s="166">
        <v>25</v>
      </c>
      <c r="AJ2240" s="164">
        <f>($L2240*'Pivot Objective'!$C$9^7)*AH2240*AI2240</f>
        <v>32799028.730825767</v>
      </c>
      <c r="AK2240" s="185">
        <f t="shared" si="244"/>
        <v>91844969.455068976</v>
      </c>
      <c r="AL2240" s="186">
        <f t="shared" si="245"/>
        <v>89169.873257348518</v>
      </c>
    </row>
    <row r="2241" spans="1:38" customFormat="1" ht="57.6" x14ac:dyDescent="0.3">
      <c r="A2241" s="140" t="s">
        <v>1487</v>
      </c>
      <c r="B2241" s="140">
        <v>4</v>
      </c>
      <c r="C2241" s="166" t="s">
        <v>697</v>
      </c>
      <c r="D2241" s="140" t="str">
        <f t="shared" si="249"/>
        <v>1</v>
      </c>
      <c r="E2241" s="166" t="s">
        <v>692</v>
      </c>
      <c r="F2241" s="140">
        <f t="shared" si="250"/>
        <v>7</v>
      </c>
      <c r="G2241" s="140" t="str">
        <f t="shared" si="251"/>
        <v>4.1.7</v>
      </c>
      <c r="H2241" s="166" t="s">
        <v>1672</v>
      </c>
      <c r="I2241" s="166" t="s">
        <v>1621</v>
      </c>
      <c r="J2241" s="166" t="s">
        <v>1319</v>
      </c>
      <c r="K2241" s="166" t="s">
        <v>709</v>
      </c>
      <c r="L2241" s="177">
        <v>35000</v>
      </c>
      <c r="M2241" s="166"/>
      <c r="N2241" s="166"/>
      <c r="O2241" s="164">
        <f t="shared" si="243"/>
        <v>0</v>
      </c>
      <c r="P2241" s="166">
        <v>50</v>
      </c>
      <c r="Q2241" s="166">
        <v>1</v>
      </c>
      <c r="R2241" s="164">
        <f>$L2241*'Pivot Objective'!$C$9*P2241*Q2241</f>
        <v>2000111.9197499997</v>
      </c>
      <c r="S2241" s="166"/>
      <c r="T2241" s="166"/>
      <c r="U2241" s="164">
        <f>($L2241*'Pivot Objective'!$C$9^2)*S2241*T2241</f>
        <v>0</v>
      </c>
      <c r="V2241" s="166">
        <v>50</v>
      </c>
      <c r="W2241" s="166">
        <v>1</v>
      </c>
      <c r="X2241" s="164">
        <f>($L2241*'Pivot Objective'!$C$9^3)*V2241*W2241</f>
        <v>2612683.4651943129</v>
      </c>
      <c r="Y2241" s="166"/>
      <c r="Z2241" s="166"/>
      <c r="AA2241" s="164">
        <f>($L2241*'Pivot Objective'!$C$9^4)*Y2241*Z2241</f>
        <v>0</v>
      </c>
      <c r="AB2241" s="166">
        <v>50</v>
      </c>
      <c r="AC2241" s="166">
        <v>1</v>
      </c>
      <c r="AD2241" s="164">
        <f>($L2241*'Pivot Objective'!$C$9^5)*AB2241*AC2241</f>
        <v>3412866.4610693273</v>
      </c>
      <c r="AE2241" s="166"/>
      <c r="AF2241" s="166"/>
      <c r="AG2241" s="164">
        <f>($L2241*'Pivot Objective'!$C$9^6)*AE2241*AF2241</f>
        <v>0</v>
      </c>
      <c r="AH2241" s="166">
        <v>50</v>
      </c>
      <c r="AI2241" s="166">
        <v>1</v>
      </c>
      <c r="AJ2241" s="164">
        <f>($L2241*'Pivot Objective'!$C$9^7)*AH2241*AI2241</f>
        <v>4458120.4100151528</v>
      </c>
      <c r="AK2241" s="185">
        <f t="shared" si="244"/>
        <v>12483782.256028792</v>
      </c>
      <c r="AL2241" s="186">
        <f t="shared" si="245"/>
        <v>12120.176947600768</v>
      </c>
    </row>
    <row r="2242" spans="1:38" customFormat="1" ht="57.6" x14ac:dyDescent="0.3">
      <c r="A2242" s="140" t="s">
        <v>1487</v>
      </c>
      <c r="B2242" s="140">
        <v>4</v>
      </c>
      <c r="C2242" s="166" t="s">
        <v>697</v>
      </c>
      <c r="D2242" s="140" t="str">
        <f t="shared" si="249"/>
        <v>1</v>
      </c>
      <c r="E2242" s="166" t="s">
        <v>692</v>
      </c>
      <c r="F2242" s="140">
        <f t="shared" si="250"/>
        <v>7</v>
      </c>
      <c r="G2242" s="140" t="str">
        <f t="shared" si="251"/>
        <v>4.1.7</v>
      </c>
      <c r="H2242" s="166" t="s">
        <v>1672</v>
      </c>
      <c r="I2242" s="166" t="s">
        <v>1621</v>
      </c>
      <c r="J2242" s="166" t="s">
        <v>344</v>
      </c>
      <c r="K2242" s="166" t="s">
        <v>709</v>
      </c>
      <c r="L2242" s="177">
        <v>35000</v>
      </c>
      <c r="M2242" s="166"/>
      <c r="N2242" s="166"/>
      <c r="O2242" s="164">
        <f t="shared" si="243"/>
        <v>0</v>
      </c>
      <c r="P2242" s="166">
        <v>30</v>
      </c>
      <c r="Q2242" s="166">
        <v>1</v>
      </c>
      <c r="R2242" s="164">
        <f>$L2242*'Pivot Objective'!$C$9*P2242*Q2242</f>
        <v>1200067.1518499998</v>
      </c>
      <c r="S2242" s="166"/>
      <c r="T2242" s="166"/>
      <c r="U2242" s="164">
        <f>($L2242*'Pivot Objective'!$C$9^2)*S2242*T2242</f>
        <v>0</v>
      </c>
      <c r="V2242" s="166">
        <v>30</v>
      </c>
      <c r="W2242" s="166">
        <v>1</v>
      </c>
      <c r="X2242" s="164">
        <f>($L2242*'Pivot Objective'!$C$9^3)*V2242*W2242</f>
        <v>1567610.0791165878</v>
      </c>
      <c r="Y2242" s="166"/>
      <c r="Z2242" s="166"/>
      <c r="AA2242" s="164">
        <f>($L2242*'Pivot Objective'!$C$9^4)*Y2242*Z2242</f>
        <v>0</v>
      </c>
      <c r="AB2242" s="166">
        <v>30</v>
      </c>
      <c r="AC2242" s="166">
        <v>1</v>
      </c>
      <c r="AD2242" s="164">
        <f>($L2242*'Pivot Objective'!$C$9^5)*AB2242*AC2242</f>
        <v>2047719.8766415964</v>
      </c>
      <c r="AE2242" s="166"/>
      <c r="AF2242" s="166"/>
      <c r="AG2242" s="164">
        <f>($L2242*'Pivot Objective'!$C$9^6)*AE2242*AF2242</f>
        <v>0</v>
      </c>
      <c r="AH2242" s="166">
        <v>30</v>
      </c>
      <c r="AI2242" s="166">
        <v>1</v>
      </c>
      <c r="AJ2242" s="164">
        <f>($L2242*'Pivot Objective'!$C$9^7)*AH2242*AI2242</f>
        <v>2674872.2460090914</v>
      </c>
      <c r="AK2242" s="185">
        <f t="shared" si="244"/>
        <v>7490269.3536172751</v>
      </c>
      <c r="AL2242" s="186">
        <f t="shared" si="245"/>
        <v>7272.1061685604609</v>
      </c>
    </row>
    <row r="2243" spans="1:38" customFormat="1" ht="57.6" x14ac:dyDescent="0.3">
      <c r="A2243" s="140" t="s">
        <v>1487</v>
      </c>
      <c r="B2243" s="140">
        <v>4</v>
      </c>
      <c r="C2243" s="166" t="s">
        <v>697</v>
      </c>
      <c r="D2243" s="140" t="str">
        <f t="shared" si="249"/>
        <v>1</v>
      </c>
      <c r="E2243" s="166" t="s">
        <v>692</v>
      </c>
      <c r="F2243" s="140">
        <f t="shared" si="250"/>
        <v>7</v>
      </c>
      <c r="G2243" s="140" t="str">
        <f t="shared" si="251"/>
        <v>4.1.7</v>
      </c>
      <c r="H2243" s="166" t="s">
        <v>1672</v>
      </c>
      <c r="I2243" s="166" t="s">
        <v>1621</v>
      </c>
      <c r="J2243" s="166" t="s">
        <v>575</v>
      </c>
      <c r="K2243" s="166" t="s">
        <v>709</v>
      </c>
      <c r="L2243" s="177">
        <v>35000</v>
      </c>
      <c r="M2243" s="166"/>
      <c r="N2243" s="166"/>
      <c r="O2243" s="164">
        <f t="shared" ref="O2243:O2306" si="252">$L2243*M2243*N2243</f>
        <v>0</v>
      </c>
      <c r="P2243" s="166">
        <v>20</v>
      </c>
      <c r="Q2243" s="166">
        <v>1</v>
      </c>
      <c r="R2243" s="164">
        <f>$L2243*'Pivot Objective'!$C$9*P2243*Q2243</f>
        <v>800044.76789999986</v>
      </c>
      <c r="S2243" s="166"/>
      <c r="T2243" s="166"/>
      <c r="U2243" s="164">
        <f>($L2243*'Pivot Objective'!$C$9^2)*S2243*T2243</f>
        <v>0</v>
      </c>
      <c r="V2243" s="166">
        <v>20</v>
      </c>
      <c r="W2243" s="166">
        <v>1</v>
      </c>
      <c r="X2243" s="164">
        <f>($L2243*'Pivot Objective'!$C$9^3)*V2243*W2243</f>
        <v>1045073.3860777251</v>
      </c>
      <c r="Y2243" s="166"/>
      <c r="Z2243" s="166"/>
      <c r="AA2243" s="164">
        <f>($L2243*'Pivot Objective'!$C$9^4)*Y2243*Z2243</f>
        <v>0</v>
      </c>
      <c r="AB2243" s="166">
        <v>20</v>
      </c>
      <c r="AC2243" s="166">
        <v>1</v>
      </c>
      <c r="AD2243" s="164">
        <f>($L2243*'Pivot Objective'!$C$9^5)*AB2243*AC2243</f>
        <v>1365146.5844277311</v>
      </c>
      <c r="AE2243" s="166"/>
      <c r="AF2243" s="166"/>
      <c r="AG2243" s="164">
        <f>($L2243*'Pivot Objective'!$C$9^6)*AE2243*AF2243</f>
        <v>0</v>
      </c>
      <c r="AH2243" s="166">
        <v>20</v>
      </c>
      <c r="AI2243" s="166">
        <v>1</v>
      </c>
      <c r="AJ2243" s="164">
        <f>($L2243*'Pivot Objective'!$C$9^7)*AH2243*AI2243</f>
        <v>1783248.1640060609</v>
      </c>
      <c r="AK2243" s="185">
        <f t="shared" ref="AK2243:AK2306" si="253">O2243+R2243+U2243+X2243+AA2243+AD2243+AG2243+AJ2243</f>
        <v>4993512.9024115168</v>
      </c>
      <c r="AL2243" s="186">
        <f t="shared" ref="AL2243:AL2306" si="254">AK2243/$AP$2</f>
        <v>4848.0707790403076</v>
      </c>
    </row>
    <row r="2244" spans="1:38" customFormat="1" ht="57.6" x14ac:dyDescent="0.3">
      <c r="A2244" s="140" t="s">
        <v>1488</v>
      </c>
      <c r="B2244" s="140">
        <v>4</v>
      </c>
      <c r="C2244" s="166" t="s">
        <v>697</v>
      </c>
      <c r="D2244" s="140" t="str">
        <f t="shared" si="246"/>
        <v>2</v>
      </c>
      <c r="E2244" s="166" t="s">
        <v>693</v>
      </c>
      <c r="F2244" s="140">
        <v>1</v>
      </c>
      <c r="G2244" s="140" t="str">
        <f t="shared" si="247"/>
        <v>4.2.1</v>
      </c>
      <c r="H2244" s="166" t="s">
        <v>669</v>
      </c>
      <c r="I2244" s="166" t="s">
        <v>96</v>
      </c>
      <c r="J2244" s="166" t="s">
        <v>234</v>
      </c>
      <c r="K2244" s="166" t="s">
        <v>718</v>
      </c>
      <c r="L2244" s="177">
        <v>0</v>
      </c>
      <c r="M2244" s="166">
        <v>0</v>
      </c>
      <c r="N2244" s="166">
        <v>0</v>
      </c>
      <c r="O2244" s="164">
        <f t="shared" si="252"/>
        <v>0</v>
      </c>
      <c r="P2244" s="166">
        <v>0</v>
      </c>
      <c r="Q2244" s="166">
        <v>0</v>
      </c>
      <c r="R2244" s="164">
        <f>$L2244*'Pivot Objective'!$C$9*P2244*Q2244</f>
        <v>0</v>
      </c>
      <c r="S2244" s="166">
        <v>0</v>
      </c>
      <c r="T2244" s="166">
        <v>0</v>
      </c>
      <c r="U2244" s="164">
        <f>($L2244*'Pivot Objective'!$C$9^2)*S2244*T2244</f>
        <v>0</v>
      </c>
      <c r="V2244" s="166">
        <v>0</v>
      </c>
      <c r="W2244" s="166">
        <v>0</v>
      </c>
      <c r="X2244" s="164">
        <f>($L2244*'Pivot Objective'!$C$9^3)*V2244*W2244</f>
        <v>0</v>
      </c>
      <c r="Y2244" s="166">
        <v>0</v>
      </c>
      <c r="Z2244" s="166">
        <v>0</v>
      </c>
      <c r="AA2244" s="164">
        <f>($L2244*'Pivot Objective'!$C$9^4)*Y2244*Z2244</f>
        <v>0</v>
      </c>
      <c r="AB2244" s="166">
        <v>0</v>
      </c>
      <c r="AC2244" s="166">
        <v>0</v>
      </c>
      <c r="AD2244" s="164">
        <f>($L2244*'Pivot Objective'!$C$9^5)*AB2244*AC2244</f>
        <v>0</v>
      </c>
      <c r="AE2244" s="166">
        <v>0</v>
      </c>
      <c r="AF2244" s="166">
        <v>0</v>
      </c>
      <c r="AG2244" s="164">
        <f>($L2244*'Pivot Objective'!$C$9^6)*AE2244*AF2244</f>
        <v>0</v>
      </c>
      <c r="AH2244" s="166">
        <v>0</v>
      </c>
      <c r="AI2244" s="166">
        <v>0</v>
      </c>
      <c r="AJ2244" s="164">
        <f>($L2244*'Pivot Objective'!$C$9^7)*AH2244*AI2244</f>
        <v>0</v>
      </c>
      <c r="AK2244" s="185">
        <f t="shared" si="253"/>
        <v>0</v>
      </c>
      <c r="AL2244" s="186">
        <f t="shared" si="254"/>
        <v>0</v>
      </c>
    </row>
    <row r="2245" spans="1:38" customFormat="1" ht="57.6" x14ac:dyDescent="0.3">
      <c r="A2245" s="140" t="s">
        <v>1488</v>
      </c>
      <c r="B2245" s="140">
        <v>4</v>
      </c>
      <c r="C2245" s="166" t="s">
        <v>697</v>
      </c>
      <c r="D2245" s="140" t="str">
        <f t="shared" si="246"/>
        <v>2</v>
      </c>
      <c r="E2245" s="166" t="s">
        <v>693</v>
      </c>
      <c r="F2245" s="140">
        <f t="shared" ref="F2245:F2308" si="255">IF(H2245=H2244,F2244,F2244+1)</f>
        <v>1</v>
      </c>
      <c r="G2245" s="140" t="str">
        <f t="shared" si="247"/>
        <v>4.2.1</v>
      </c>
      <c r="H2245" s="166" t="s">
        <v>669</v>
      </c>
      <c r="I2245" s="166" t="s">
        <v>96</v>
      </c>
      <c r="J2245" s="166" t="s">
        <v>149</v>
      </c>
      <c r="K2245" s="166" t="s">
        <v>707</v>
      </c>
      <c r="L2245" s="177">
        <v>391991.03749999998</v>
      </c>
      <c r="M2245" s="166">
        <v>2</v>
      </c>
      <c r="N2245" s="166">
        <v>2</v>
      </c>
      <c r="O2245" s="164">
        <f t="shared" si="252"/>
        <v>1567964.15</v>
      </c>
      <c r="P2245" s="140"/>
      <c r="Q2245" s="140"/>
      <c r="R2245" s="164">
        <f>$L2245*'Pivot Objective'!$C$9*P2245*Q2245</f>
        <v>0</v>
      </c>
      <c r="S2245" s="166">
        <v>0</v>
      </c>
      <c r="T2245" s="166">
        <v>0</v>
      </c>
      <c r="U2245" s="164">
        <f>($L2245*'Pivot Objective'!$C$9^2)*S2245*T2245</f>
        <v>0</v>
      </c>
      <c r="V2245" s="166">
        <v>0</v>
      </c>
      <c r="W2245" s="166">
        <v>0</v>
      </c>
      <c r="X2245" s="164">
        <f>($L2245*'Pivot Objective'!$C$9^3)*V2245*W2245</f>
        <v>0</v>
      </c>
      <c r="Y2245" s="166">
        <v>0</v>
      </c>
      <c r="Z2245" s="166">
        <v>0</v>
      </c>
      <c r="AA2245" s="164">
        <f>($L2245*'Pivot Objective'!$C$9^4)*Y2245*Z2245</f>
        <v>0</v>
      </c>
      <c r="AB2245" s="166">
        <v>2</v>
      </c>
      <c r="AC2245" s="166">
        <v>2</v>
      </c>
      <c r="AD2245" s="164">
        <f>($L2245*'Pivot Objective'!$C$9^5)*AB2245*AC2245</f>
        <v>3057858.4341109009</v>
      </c>
      <c r="AE2245" s="166">
        <v>0</v>
      </c>
      <c r="AF2245" s="166">
        <v>0</v>
      </c>
      <c r="AG2245" s="164">
        <f>($L2245*'Pivot Objective'!$C$9^6)*AE2245*AF2245</f>
        <v>0</v>
      </c>
      <c r="AH2245" s="166">
        <v>0</v>
      </c>
      <c r="AI2245" s="166">
        <v>0</v>
      </c>
      <c r="AJ2245" s="164">
        <f>($L2245*'Pivot Objective'!$C$9^7)*AH2245*AI2245</f>
        <v>0</v>
      </c>
      <c r="AK2245" s="185">
        <f t="shared" si="253"/>
        <v>4625822.5841109008</v>
      </c>
      <c r="AL2245" s="186">
        <f t="shared" si="254"/>
        <v>4491.0898874863115</v>
      </c>
    </row>
    <row r="2246" spans="1:38" customFormat="1" ht="57.6" x14ac:dyDescent="0.3">
      <c r="A2246" s="140" t="s">
        <v>1488</v>
      </c>
      <c r="B2246" s="140">
        <v>4</v>
      </c>
      <c r="C2246" s="166" t="s">
        <v>697</v>
      </c>
      <c r="D2246" s="140" t="str">
        <f t="shared" si="246"/>
        <v>2</v>
      </c>
      <c r="E2246" s="166" t="s">
        <v>693</v>
      </c>
      <c r="F2246" s="140">
        <f t="shared" si="255"/>
        <v>1</v>
      </c>
      <c r="G2246" s="140" t="str">
        <f t="shared" si="247"/>
        <v>4.2.1</v>
      </c>
      <c r="H2246" s="166" t="s">
        <v>669</v>
      </c>
      <c r="I2246" s="166" t="s">
        <v>96</v>
      </c>
      <c r="J2246" s="166" t="s">
        <v>149</v>
      </c>
      <c r="K2246" s="166" t="s">
        <v>708</v>
      </c>
      <c r="L2246" s="177">
        <f>500*1022</f>
        <v>511000</v>
      </c>
      <c r="M2246" s="166">
        <v>1</v>
      </c>
      <c r="N2246" s="166">
        <v>25</v>
      </c>
      <c r="O2246" s="164">
        <f t="shared" si="252"/>
        <v>12775000</v>
      </c>
      <c r="P2246" s="166"/>
      <c r="Q2246" s="166"/>
      <c r="R2246" s="164">
        <f>$L2246*'Pivot Objective'!$C$9*P2246*Q2246</f>
        <v>0</v>
      </c>
      <c r="S2246" s="166">
        <v>0</v>
      </c>
      <c r="T2246" s="166">
        <v>0</v>
      </c>
      <c r="U2246" s="164">
        <f>($L2246*'Pivot Objective'!$C$9^2)*S2246*T2246</f>
        <v>0</v>
      </c>
      <c r="V2246" s="166">
        <v>0</v>
      </c>
      <c r="W2246" s="166">
        <v>0</v>
      </c>
      <c r="X2246" s="164">
        <f>($L2246*'Pivot Objective'!$C$9^3)*V2246*W2246</f>
        <v>0</v>
      </c>
      <c r="Y2246" s="166">
        <v>0</v>
      </c>
      <c r="Z2246" s="166">
        <v>0</v>
      </c>
      <c r="AA2246" s="164">
        <f>($L2246*'Pivot Objective'!$C$9^4)*Y2246*Z2246</f>
        <v>0</v>
      </c>
      <c r="AB2246" s="166">
        <v>1</v>
      </c>
      <c r="AC2246" s="166">
        <v>25</v>
      </c>
      <c r="AD2246" s="164">
        <f>($L2246*'Pivot Objective'!$C$9^5)*AB2246*AC2246</f>
        <v>24913925.165806092</v>
      </c>
      <c r="AE2246" s="166">
        <v>0</v>
      </c>
      <c r="AF2246" s="166">
        <v>0</v>
      </c>
      <c r="AG2246" s="164">
        <f>($L2246*'Pivot Objective'!$C$9^6)*AE2246*AF2246</f>
        <v>0</v>
      </c>
      <c r="AH2246" s="166">
        <v>0</v>
      </c>
      <c r="AI2246" s="166">
        <v>0</v>
      </c>
      <c r="AJ2246" s="164">
        <f>($L2246*'Pivot Objective'!$C$9^7)*AH2246*AI2246</f>
        <v>0</v>
      </c>
      <c r="AK2246" s="185">
        <f t="shared" si="253"/>
        <v>37688925.165806092</v>
      </c>
      <c r="AL2246" s="186">
        <f t="shared" si="254"/>
        <v>36591.189481365138</v>
      </c>
    </row>
    <row r="2247" spans="1:38" customFormat="1" ht="57.6" x14ac:dyDescent="0.3">
      <c r="A2247" s="140" t="s">
        <v>1488</v>
      </c>
      <c r="B2247" s="140">
        <v>4</v>
      </c>
      <c r="C2247" s="166" t="s">
        <v>697</v>
      </c>
      <c r="D2247" s="140" t="str">
        <f t="shared" si="246"/>
        <v>2</v>
      </c>
      <c r="E2247" s="166" t="s">
        <v>693</v>
      </c>
      <c r="F2247" s="140">
        <f t="shared" si="255"/>
        <v>1</v>
      </c>
      <c r="G2247" s="140" t="str">
        <f t="shared" si="247"/>
        <v>4.2.1</v>
      </c>
      <c r="H2247" s="166" t="s">
        <v>669</v>
      </c>
      <c r="I2247" s="166" t="s">
        <v>96</v>
      </c>
      <c r="J2247" s="166" t="s">
        <v>491</v>
      </c>
      <c r="K2247" s="166" t="s">
        <v>718</v>
      </c>
      <c r="L2247" s="177">
        <v>0</v>
      </c>
      <c r="M2247" s="166">
        <v>0</v>
      </c>
      <c r="N2247" s="166">
        <v>0</v>
      </c>
      <c r="O2247" s="164">
        <f t="shared" si="252"/>
        <v>0</v>
      </c>
      <c r="P2247" s="166"/>
      <c r="Q2247" s="166"/>
      <c r="R2247" s="164">
        <f>$L2247*'Pivot Objective'!$C$9*P2247*Q2247</f>
        <v>0</v>
      </c>
      <c r="S2247" s="166">
        <v>0</v>
      </c>
      <c r="T2247" s="166">
        <v>0</v>
      </c>
      <c r="U2247" s="164">
        <f>($L2247*'Pivot Objective'!$C$9^2)*S2247*T2247</f>
        <v>0</v>
      </c>
      <c r="V2247" s="166">
        <v>0</v>
      </c>
      <c r="W2247" s="166">
        <v>0</v>
      </c>
      <c r="X2247" s="164">
        <f>($L2247*'Pivot Objective'!$C$9^3)*V2247*W2247</f>
        <v>0</v>
      </c>
      <c r="Y2247" s="166">
        <v>0</v>
      </c>
      <c r="Z2247" s="166">
        <v>0</v>
      </c>
      <c r="AA2247" s="164">
        <f>($L2247*'Pivot Objective'!$C$9^4)*Y2247*Z2247</f>
        <v>0</v>
      </c>
      <c r="AB2247" s="166">
        <v>0</v>
      </c>
      <c r="AC2247" s="166">
        <v>0</v>
      </c>
      <c r="AD2247" s="164">
        <f>($L2247*'Pivot Objective'!$C$9^5)*AB2247*AC2247</f>
        <v>0</v>
      </c>
      <c r="AE2247" s="166">
        <v>0</v>
      </c>
      <c r="AF2247" s="166">
        <v>0</v>
      </c>
      <c r="AG2247" s="164">
        <f>($L2247*'Pivot Objective'!$C$9^6)*AE2247*AF2247</f>
        <v>0</v>
      </c>
      <c r="AH2247" s="166">
        <v>0</v>
      </c>
      <c r="AI2247" s="166">
        <v>0</v>
      </c>
      <c r="AJ2247" s="164">
        <f>($L2247*'Pivot Objective'!$C$9^7)*AH2247*AI2247</f>
        <v>0</v>
      </c>
      <c r="AK2247" s="185">
        <f t="shared" si="253"/>
        <v>0</v>
      </c>
      <c r="AL2247" s="186">
        <f t="shared" si="254"/>
        <v>0</v>
      </c>
    </row>
    <row r="2248" spans="1:38" customFormat="1" ht="57.6" x14ac:dyDescent="0.3">
      <c r="A2248" s="140" t="s">
        <v>1488</v>
      </c>
      <c r="B2248" s="140">
        <v>4</v>
      </c>
      <c r="C2248" s="166" t="s">
        <v>697</v>
      </c>
      <c r="D2248" s="140" t="str">
        <f t="shared" si="246"/>
        <v>2</v>
      </c>
      <c r="E2248" s="166" t="s">
        <v>693</v>
      </c>
      <c r="F2248" s="140">
        <f t="shared" si="255"/>
        <v>1</v>
      </c>
      <c r="G2248" s="140" t="str">
        <f t="shared" si="247"/>
        <v>4.2.1</v>
      </c>
      <c r="H2248" s="166" t="s">
        <v>669</v>
      </c>
      <c r="I2248" s="166" t="s">
        <v>96</v>
      </c>
      <c r="J2248" s="166" t="s">
        <v>492</v>
      </c>
      <c r="K2248" s="166" t="s">
        <v>709</v>
      </c>
      <c r="L2248" s="177">
        <v>35000</v>
      </c>
      <c r="M2248" s="166">
        <v>25</v>
      </c>
      <c r="N2248" s="166">
        <v>5</v>
      </c>
      <c r="O2248" s="164">
        <f t="shared" si="252"/>
        <v>4375000</v>
      </c>
      <c r="P2248" s="166"/>
      <c r="Q2248" s="166"/>
      <c r="R2248" s="164">
        <f>$L2248*'Pivot Objective'!$C$9*P2248*Q2248</f>
        <v>0</v>
      </c>
      <c r="S2248" s="166">
        <v>0</v>
      </c>
      <c r="T2248" s="166">
        <v>0</v>
      </c>
      <c r="U2248" s="164">
        <f>($L2248*'Pivot Objective'!$C$9^2)*S2248*T2248</f>
        <v>0</v>
      </c>
      <c r="V2248" s="166">
        <v>0</v>
      </c>
      <c r="W2248" s="166">
        <v>0</v>
      </c>
      <c r="X2248" s="164">
        <f>($L2248*'Pivot Objective'!$C$9^3)*V2248*W2248</f>
        <v>0</v>
      </c>
      <c r="Y2248" s="166">
        <v>0</v>
      </c>
      <c r="Z2248" s="166">
        <v>0</v>
      </c>
      <c r="AA2248" s="164">
        <f>($L2248*'Pivot Objective'!$C$9^4)*Y2248*Z2248</f>
        <v>0</v>
      </c>
      <c r="AB2248" s="166">
        <v>25</v>
      </c>
      <c r="AC2248" s="166">
        <v>5</v>
      </c>
      <c r="AD2248" s="164">
        <f>($L2248*'Pivot Objective'!$C$9^5)*AB2248*AC2248</f>
        <v>8532166.152673319</v>
      </c>
      <c r="AE2248" s="166">
        <v>0</v>
      </c>
      <c r="AF2248" s="166">
        <v>0</v>
      </c>
      <c r="AG2248" s="164">
        <f>($L2248*'Pivot Objective'!$C$9^6)*AE2248*AF2248</f>
        <v>0</v>
      </c>
      <c r="AH2248" s="166">
        <v>0</v>
      </c>
      <c r="AI2248" s="166">
        <v>0</v>
      </c>
      <c r="AJ2248" s="164">
        <f>($L2248*'Pivot Objective'!$C$9^7)*AH2248*AI2248</f>
        <v>0</v>
      </c>
      <c r="AK2248" s="185">
        <f t="shared" si="253"/>
        <v>12907166.152673319</v>
      </c>
      <c r="AL2248" s="186">
        <f t="shared" si="254"/>
        <v>12531.229274440115</v>
      </c>
    </row>
    <row r="2249" spans="1:38" customFormat="1" ht="57.6" x14ac:dyDescent="0.3">
      <c r="A2249" s="140" t="s">
        <v>1488</v>
      </c>
      <c r="B2249" s="140">
        <v>4</v>
      </c>
      <c r="C2249" s="166" t="s">
        <v>697</v>
      </c>
      <c r="D2249" s="140" t="str">
        <f t="shared" si="246"/>
        <v>2</v>
      </c>
      <c r="E2249" s="166" t="s">
        <v>693</v>
      </c>
      <c r="F2249" s="140">
        <f t="shared" si="255"/>
        <v>1</v>
      </c>
      <c r="G2249" s="140" t="str">
        <f t="shared" si="247"/>
        <v>4.2.1</v>
      </c>
      <c r="H2249" s="166" t="s">
        <v>669</v>
      </c>
      <c r="I2249" s="166" t="s">
        <v>96</v>
      </c>
      <c r="J2249" s="166" t="s">
        <v>492</v>
      </c>
      <c r="K2249" s="166" t="s">
        <v>716</v>
      </c>
      <c r="L2249" s="177">
        <v>45000</v>
      </c>
      <c r="M2249" s="166">
        <v>25</v>
      </c>
      <c r="N2249" s="166">
        <v>6</v>
      </c>
      <c r="O2249" s="164">
        <f t="shared" si="252"/>
        <v>6750000</v>
      </c>
      <c r="P2249" s="166"/>
      <c r="Q2249" s="166"/>
      <c r="R2249" s="164">
        <f>$L2249*'Pivot Objective'!$C$9*P2249*Q2249</f>
        <v>0</v>
      </c>
      <c r="S2249" s="166"/>
      <c r="T2249" s="166"/>
      <c r="U2249" s="164">
        <f>($L2249*'Pivot Objective'!$C$9^2)*S2249*T2249</f>
        <v>0</v>
      </c>
      <c r="V2249" s="166"/>
      <c r="W2249" s="166"/>
      <c r="X2249" s="164">
        <f>($L2249*'Pivot Objective'!$C$9^3)*V2249*W2249</f>
        <v>0</v>
      </c>
      <c r="Y2249" s="166"/>
      <c r="Z2249" s="166"/>
      <c r="AA2249" s="164">
        <f>($L2249*'Pivot Objective'!$C$9^4)*Y2249*Z2249</f>
        <v>0</v>
      </c>
      <c r="AB2249" s="166">
        <v>25</v>
      </c>
      <c r="AC2249" s="166">
        <v>6</v>
      </c>
      <c r="AD2249" s="164">
        <f>($L2249*'Pivot Objective'!$C$9^5)*AB2249*AC2249</f>
        <v>13163913.492695976</v>
      </c>
      <c r="AE2249" s="166"/>
      <c r="AF2249" s="166"/>
      <c r="AG2249" s="164">
        <f>($L2249*'Pivot Objective'!$C$9^6)*AE2249*AF2249</f>
        <v>0</v>
      </c>
      <c r="AH2249" s="166"/>
      <c r="AI2249" s="166"/>
      <c r="AJ2249" s="164">
        <f>($L2249*'Pivot Objective'!$C$9^7)*AH2249*AI2249</f>
        <v>0</v>
      </c>
      <c r="AK2249" s="185">
        <f t="shared" si="253"/>
        <v>19913913.492695976</v>
      </c>
      <c r="AL2249" s="186">
        <f t="shared" si="254"/>
        <v>19333.896594850463</v>
      </c>
    </row>
    <row r="2250" spans="1:38" customFormat="1" ht="57.6" x14ac:dyDescent="0.3">
      <c r="A2250" s="140" t="s">
        <v>1488</v>
      </c>
      <c r="B2250" s="140">
        <v>4</v>
      </c>
      <c r="C2250" s="166" t="s">
        <v>697</v>
      </c>
      <c r="D2250" s="140" t="str">
        <f t="shared" si="246"/>
        <v>2</v>
      </c>
      <c r="E2250" s="166" t="s">
        <v>693</v>
      </c>
      <c r="F2250" s="140">
        <f t="shared" si="255"/>
        <v>1</v>
      </c>
      <c r="G2250" s="140" t="str">
        <f t="shared" si="247"/>
        <v>4.2.1</v>
      </c>
      <c r="H2250" s="166" t="s">
        <v>669</v>
      </c>
      <c r="I2250" s="166" t="s">
        <v>96</v>
      </c>
      <c r="J2250" s="166" t="s">
        <v>492</v>
      </c>
      <c r="K2250" s="166" t="s">
        <v>712</v>
      </c>
      <c r="L2250" s="177">
        <f>1480/7</f>
        <v>211.42857142857142</v>
      </c>
      <c r="M2250" s="166">
        <f>25*2*9</f>
        <v>450</v>
      </c>
      <c r="N2250" s="166">
        <v>5</v>
      </c>
      <c r="O2250" s="164">
        <f t="shared" si="252"/>
        <v>475714.28571428568</v>
      </c>
      <c r="P2250" s="166"/>
      <c r="Q2250" s="166"/>
      <c r="R2250" s="164">
        <f>$L2250*'Pivot Objective'!$C$9*P2250*Q2250</f>
        <v>0</v>
      </c>
      <c r="S2250" s="166"/>
      <c r="T2250" s="166"/>
      <c r="U2250" s="164">
        <f>($L2250*'Pivot Objective'!$C$9^2)*S2250*T2250</f>
        <v>0</v>
      </c>
      <c r="V2250" s="166"/>
      <c r="W2250" s="166"/>
      <c r="X2250" s="164">
        <f>($L2250*'Pivot Objective'!$C$9^3)*V2250*W2250</f>
        <v>0</v>
      </c>
      <c r="Y2250" s="166"/>
      <c r="Z2250" s="166"/>
      <c r="AA2250" s="164">
        <f>($L2250*'Pivot Objective'!$C$9^4)*Y2250*Z2250</f>
        <v>0</v>
      </c>
      <c r="AB2250" s="166">
        <f>25*2*9</f>
        <v>450</v>
      </c>
      <c r="AC2250" s="166">
        <v>5</v>
      </c>
      <c r="AD2250" s="164">
        <f>($L2250*'Pivot Objective'!$C$9^5)*AB2250*AC2250</f>
        <v>927742.47472333559</v>
      </c>
      <c r="AE2250" s="166"/>
      <c r="AF2250" s="166"/>
      <c r="AG2250" s="164">
        <f>($L2250*'Pivot Objective'!$C$9^6)*AE2250*AF2250</f>
        <v>0</v>
      </c>
      <c r="AH2250" s="166"/>
      <c r="AI2250" s="166"/>
      <c r="AJ2250" s="164">
        <f>($L2250*'Pivot Objective'!$C$9^7)*AH2250*AI2250</f>
        <v>0</v>
      </c>
      <c r="AK2250" s="185">
        <f t="shared" si="253"/>
        <v>1403456.7604376213</v>
      </c>
      <c r="AL2250" s="186">
        <f t="shared" si="254"/>
        <v>1362.5793790656517</v>
      </c>
    </row>
    <row r="2251" spans="1:38" customFormat="1" ht="57.6" x14ac:dyDescent="0.3">
      <c r="A2251" s="140" t="s">
        <v>1488</v>
      </c>
      <c r="B2251" s="140">
        <v>4</v>
      </c>
      <c r="C2251" s="166" t="s">
        <v>697</v>
      </c>
      <c r="D2251" s="140" t="str">
        <f t="shared" si="246"/>
        <v>2</v>
      </c>
      <c r="E2251" s="166" t="s">
        <v>693</v>
      </c>
      <c r="F2251" s="140">
        <f t="shared" si="255"/>
        <v>1</v>
      </c>
      <c r="G2251" s="140" t="str">
        <f t="shared" si="247"/>
        <v>4.2.1</v>
      </c>
      <c r="H2251" s="166" t="s">
        <v>669</v>
      </c>
      <c r="I2251" s="166" t="s">
        <v>96</v>
      </c>
      <c r="J2251" s="166" t="s">
        <v>492</v>
      </c>
      <c r="K2251" s="166" t="s">
        <v>1350</v>
      </c>
      <c r="L2251" s="177">
        <f>1480/7</f>
        <v>211.42857142857142</v>
      </c>
      <c r="M2251" s="166">
        <f>135*2*9</f>
        <v>2430</v>
      </c>
      <c r="N2251" s="166">
        <v>1</v>
      </c>
      <c r="O2251" s="164">
        <f t="shared" si="252"/>
        <v>513771.42857142852</v>
      </c>
      <c r="P2251" s="166"/>
      <c r="Q2251" s="166"/>
      <c r="R2251" s="164">
        <f>$L2251*'Pivot Objective'!$C$9*P2251*Q2251</f>
        <v>0</v>
      </c>
      <c r="S2251" s="166"/>
      <c r="T2251" s="166"/>
      <c r="U2251" s="164">
        <f>($L2251*'Pivot Objective'!$C$9^2)*S2251*T2251</f>
        <v>0</v>
      </c>
      <c r="V2251" s="166"/>
      <c r="W2251" s="166"/>
      <c r="X2251" s="164">
        <f>($L2251*'Pivot Objective'!$C$9^3)*V2251*W2251</f>
        <v>0</v>
      </c>
      <c r="Y2251" s="166"/>
      <c r="Z2251" s="166"/>
      <c r="AA2251" s="164">
        <f>($L2251*'Pivot Objective'!$C$9^4)*Y2251*Z2251</f>
        <v>0</v>
      </c>
      <c r="AB2251" s="166">
        <f>135*2*9</f>
        <v>2430</v>
      </c>
      <c r="AC2251" s="166">
        <v>1</v>
      </c>
      <c r="AD2251" s="164">
        <f>($L2251*'Pivot Objective'!$C$9^5)*AB2251*AC2251</f>
        <v>1001961.8727012025</v>
      </c>
      <c r="AE2251" s="166"/>
      <c r="AF2251" s="166"/>
      <c r="AG2251" s="164">
        <f>($L2251*'Pivot Objective'!$C$9^6)*AE2251*AF2251</f>
        <v>0</v>
      </c>
      <c r="AH2251" s="166"/>
      <c r="AI2251" s="166"/>
      <c r="AJ2251" s="164">
        <f>($L2251*'Pivot Objective'!$C$9^7)*AH2251*AI2251</f>
        <v>0</v>
      </c>
      <c r="AK2251" s="185">
        <f t="shared" si="253"/>
        <v>1515733.3012726312</v>
      </c>
      <c r="AL2251" s="186">
        <f t="shared" si="254"/>
        <v>1471.5857293909041</v>
      </c>
    </row>
    <row r="2252" spans="1:38" customFormat="1" ht="57.6" x14ac:dyDescent="0.3">
      <c r="A2252" s="140" t="s">
        <v>1488</v>
      </c>
      <c r="B2252" s="140">
        <v>4</v>
      </c>
      <c r="C2252" s="166" t="s">
        <v>697</v>
      </c>
      <c r="D2252" s="140" t="str">
        <f t="shared" si="246"/>
        <v>2</v>
      </c>
      <c r="E2252" s="166" t="s">
        <v>693</v>
      </c>
      <c r="F2252" s="140">
        <f t="shared" si="255"/>
        <v>1</v>
      </c>
      <c r="G2252" s="140" t="str">
        <f t="shared" si="247"/>
        <v>4.2.1</v>
      </c>
      <c r="H2252" s="166" t="s">
        <v>669</v>
      </c>
      <c r="I2252" s="166" t="s">
        <v>96</v>
      </c>
      <c r="J2252" s="166" t="s">
        <v>493</v>
      </c>
      <c r="K2252" s="166" t="s">
        <v>713</v>
      </c>
      <c r="L2252" s="177">
        <v>45000</v>
      </c>
      <c r="M2252" s="166">
        <v>25</v>
      </c>
      <c r="N2252" s="166">
        <v>1</v>
      </c>
      <c r="O2252" s="164">
        <f t="shared" si="252"/>
        <v>1125000</v>
      </c>
      <c r="P2252" s="166"/>
      <c r="Q2252" s="166"/>
      <c r="R2252" s="164">
        <f>$L2252*'Pivot Objective'!$C$9*P2252*Q2252</f>
        <v>0</v>
      </c>
      <c r="S2252" s="166">
        <v>0</v>
      </c>
      <c r="T2252" s="166">
        <v>0</v>
      </c>
      <c r="U2252" s="164">
        <f>($L2252*'Pivot Objective'!$C$9^2)*S2252*T2252</f>
        <v>0</v>
      </c>
      <c r="V2252" s="166">
        <v>0</v>
      </c>
      <c r="W2252" s="166">
        <v>0</v>
      </c>
      <c r="X2252" s="164">
        <f>($L2252*'Pivot Objective'!$C$9^3)*V2252*W2252</f>
        <v>0</v>
      </c>
      <c r="Y2252" s="166">
        <v>0</v>
      </c>
      <c r="Z2252" s="166">
        <v>0</v>
      </c>
      <c r="AA2252" s="164">
        <f>($L2252*'Pivot Objective'!$C$9^4)*Y2252*Z2252</f>
        <v>0</v>
      </c>
      <c r="AB2252" s="166">
        <v>25</v>
      </c>
      <c r="AC2252" s="166">
        <v>1</v>
      </c>
      <c r="AD2252" s="164">
        <f>($L2252*'Pivot Objective'!$C$9^5)*AB2252*AC2252</f>
        <v>2193985.5821159962</v>
      </c>
      <c r="AE2252" s="166">
        <v>0</v>
      </c>
      <c r="AF2252" s="166">
        <v>0</v>
      </c>
      <c r="AG2252" s="164">
        <f>($L2252*'Pivot Objective'!$C$9^6)*AE2252*AF2252</f>
        <v>0</v>
      </c>
      <c r="AH2252" s="166">
        <v>0</v>
      </c>
      <c r="AI2252" s="166">
        <v>0</v>
      </c>
      <c r="AJ2252" s="164">
        <f>($L2252*'Pivot Objective'!$C$9^7)*AH2252*AI2252</f>
        <v>0</v>
      </c>
      <c r="AK2252" s="185">
        <f t="shared" si="253"/>
        <v>3318985.5821159962</v>
      </c>
      <c r="AL2252" s="186">
        <f t="shared" si="254"/>
        <v>3222.316099141744</v>
      </c>
    </row>
    <row r="2253" spans="1:38" customFormat="1" ht="57.6" x14ac:dyDescent="0.3">
      <c r="A2253" s="140" t="s">
        <v>1488</v>
      </c>
      <c r="B2253" s="140">
        <v>4</v>
      </c>
      <c r="C2253" s="166" t="s">
        <v>697</v>
      </c>
      <c r="D2253" s="140" t="str">
        <f t="shared" si="246"/>
        <v>2</v>
      </c>
      <c r="E2253" s="166" t="s">
        <v>693</v>
      </c>
      <c r="F2253" s="140">
        <f t="shared" si="255"/>
        <v>1</v>
      </c>
      <c r="G2253" s="140" t="str">
        <f t="shared" si="247"/>
        <v>4.2.1</v>
      </c>
      <c r="H2253" s="166" t="s">
        <v>669</v>
      </c>
      <c r="I2253" s="166" t="s">
        <v>96</v>
      </c>
      <c r="J2253" s="166" t="s">
        <v>493</v>
      </c>
      <c r="K2253" s="166" t="s">
        <v>712</v>
      </c>
      <c r="L2253" s="177">
        <f>1480/7</f>
        <v>211.42857142857142</v>
      </c>
      <c r="M2253" s="166">
        <f>25*2*9</f>
        <v>450</v>
      </c>
      <c r="N2253" s="166">
        <v>1</v>
      </c>
      <c r="O2253" s="164">
        <f t="shared" si="252"/>
        <v>95142.85714285713</v>
      </c>
      <c r="P2253" s="166"/>
      <c r="Q2253" s="166"/>
      <c r="R2253" s="164">
        <f>$L2253*'Pivot Objective'!$C$9*P2253*Q2253</f>
        <v>0</v>
      </c>
      <c r="S2253" s="166">
        <v>0</v>
      </c>
      <c r="T2253" s="166">
        <v>0</v>
      </c>
      <c r="U2253" s="164">
        <f>($L2253*'Pivot Objective'!$C$9^2)*S2253*T2253</f>
        <v>0</v>
      </c>
      <c r="V2253" s="166">
        <v>0</v>
      </c>
      <c r="W2253" s="166">
        <v>0</v>
      </c>
      <c r="X2253" s="164">
        <f>($L2253*'Pivot Objective'!$C$9^3)*V2253*W2253</f>
        <v>0</v>
      </c>
      <c r="Y2253" s="166">
        <v>0</v>
      </c>
      <c r="Z2253" s="166">
        <v>0</v>
      </c>
      <c r="AA2253" s="164">
        <f>($L2253*'Pivot Objective'!$C$9^4)*Y2253*Z2253</f>
        <v>0</v>
      </c>
      <c r="AB2253" s="166">
        <f>25*2*9</f>
        <v>450</v>
      </c>
      <c r="AC2253" s="166">
        <v>1</v>
      </c>
      <c r="AD2253" s="164">
        <f>($L2253*'Pivot Objective'!$C$9^5)*AB2253*AC2253</f>
        <v>185548.49494466712</v>
      </c>
      <c r="AE2253" s="166">
        <v>0</v>
      </c>
      <c r="AF2253" s="166">
        <v>0</v>
      </c>
      <c r="AG2253" s="164">
        <f>($L2253*'Pivot Objective'!$C$9^6)*AE2253*AF2253</f>
        <v>0</v>
      </c>
      <c r="AH2253" s="166">
        <v>0</v>
      </c>
      <c r="AI2253" s="166">
        <v>0</v>
      </c>
      <c r="AJ2253" s="164">
        <f>($L2253*'Pivot Objective'!$C$9^7)*AH2253*AI2253</f>
        <v>0</v>
      </c>
      <c r="AK2253" s="185">
        <f t="shared" si="253"/>
        <v>280691.35208752425</v>
      </c>
      <c r="AL2253" s="186">
        <f t="shared" si="254"/>
        <v>272.51587581313032</v>
      </c>
    </row>
    <row r="2254" spans="1:38" customFormat="1" ht="57.6" x14ac:dyDescent="0.3">
      <c r="A2254" s="140" t="s">
        <v>1488</v>
      </c>
      <c r="B2254" s="140">
        <v>4</v>
      </c>
      <c r="C2254" s="166" t="s">
        <v>697</v>
      </c>
      <c r="D2254" s="140" t="str">
        <f t="shared" si="246"/>
        <v>2</v>
      </c>
      <c r="E2254" s="166" t="s">
        <v>693</v>
      </c>
      <c r="F2254" s="140">
        <f t="shared" si="255"/>
        <v>1</v>
      </c>
      <c r="G2254" s="140" t="str">
        <f t="shared" si="247"/>
        <v>4.2.1</v>
      </c>
      <c r="H2254" s="166" t="s">
        <v>669</v>
      </c>
      <c r="I2254" s="166" t="s">
        <v>96</v>
      </c>
      <c r="J2254" s="166" t="s">
        <v>493</v>
      </c>
      <c r="K2254" s="166" t="s">
        <v>1350</v>
      </c>
      <c r="L2254" s="177">
        <f>1480/7</f>
        <v>211.42857142857142</v>
      </c>
      <c r="M2254" s="166">
        <f>135*2*9</f>
        <v>2430</v>
      </c>
      <c r="N2254" s="166">
        <v>1</v>
      </c>
      <c r="O2254" s="164">
        <f t="shared" si="252"/>
        <v>513771.42857142852</v>
      </c>
      <c r="P2254" s="166"/>
      <c r="Q2254" s="166"/>
      <c r="R2254" s="164">
        <f>$L2254*'Pivot Objective'!$C$9*P2254*Q2254</f>
        <v>0</v>
      </c>
      <c r="S2254" s="166">
        <v>0</v>
      </c>
      <c r="T2254" s="166">
        <v>0</v>
      </c>
      <c r="U2254" s="164">
        <f>($L2254*'Pivot Objective'!$C$9^2)*S2254*T2254</f>
        <v>0</v>
      </c>
      <c r="V2254" s="166">
        <v>0</v>
      </c>
      <c r="W2254" s="166">
        <v>0</v>
      </c>
      <c r="X2254" s="164">
        <f>($L2254*'Pivot Objective'!$C$9^3)*V2254*W2254</f>
        <v>0</v>
      </c>
      <c r="Y2254" s="166">
        <v>0</v>
      </c>
      <c r="Z2254" s="166">
        <v>0</v>
      </c>
      <c r="AA2254" s="164">
        <f>($L2254*'Pivot Objective'!$C$9^4)*Y2254*Z2254</f>
        <v>0</v>
      </c>
      <c r="AB2254" s="166">
        <f>135*2*9</f>
        <v>2430</v>
      </c>
      <c r="AC2254" s="166">
        <v>1</v>
      </c>
      <c r="AD2254" s="164">
        <f>($L2254*'Pivot Objective'!$C$9^5)*AB2254*AC2254</f>
        <v>1001961.8727012025</v>
      </c>
      <c r="AE2254" s="166">
        <v>0</v>
      </c>
      <c r="AF2254" s="166">
        <v>0</v>
      </c>
      <c r="AG2254" s="164">
        <f>($L2254*'Pivot Objective'!$C$9^6)*AE2254*AF2254</f>
        <v>0</v>
      </c>
      <c r="AH2254" s="166">
        <v>0</v>
      </c>
      <c r="AI2254" s="166">
        <v>0</v>
      </c>
      <c r="AJ2254" s="164">
        <f>($L2254*'Pivot Objective'!$C$9^7)*AH2254*AI2254</f>
        <v>0</v>
      </c>
      <c r="AK2254" s="185">
        <f t="shared" si="253"/>
        <v>1515733.3012726312</v>
      </c>
      <c r="AL2254" s="186">
        <f t="shared" si="254"/>
        <v>1471.5857293909041</v>
      </c>
    </row>
    <row r="2255" spans="1:38" customFormat="1" ht="57.6" x14ac:dyDescent="0.3">
      <c r="A2255" s="140" t="s">
        <v>1488</v>
      </c>
      <c r="B2255" s="140">
        <v>4</v>
      </c>
      <c r="C2255" s="166" t="s">
        <v>697</v>
      </c>
      <c r="D2255" s="140" t="str">
        <f t="shared" si="246"/>
        <v>2</v>
      </c>
      <c r="E2255" s="166" t="s">
        <v>693</v>
      </c>
      <c r="F2255" s="140">
        <f t="shared" si="255"/>
        <v>1</v>
      </c>
      <c r="G2255" s="140" t="str">
        <f t="shared" si="247"/>
        <v>4.2.1</v>
      </c>
      <c r="H2255" s="166" t="s">
        <v>669</v>
      </c>
      <c r="I2255" s="166" t="s">
        <v>96</v>
      </c>
      <c r="J2255" s="166" t="s">
        <v>232</v>
      </c>
      <c r="K2255" s="166" t="s">
        <v>718</v>
      </c>
      <c r="L2255" s="177">
        <v>0</v>
      </c>
      <c r="M2255" s="166">
        <v>0</v>
      </c>
      <c r="N2255" s="166">
        <v>0</v>
      </c>
      <c r="O2255" s="164">
        <f t="shared" si="252"/>
        <v>0</v>
      </c>
      <c r="P2255" s="166"/>
      <c r="Q2255" s="166"/>
      <c r="R2255" s="164">
        <f>$L2255*'Pivot Objective'!$C$9*P2255*Q2255</f>
        <v>0</v>
      </c>
      <c r="S2255" s="166">
        <v>0</v>
      </c>
      <c r="T2255" s="166">
        <v>0</v>
      </c>
      <c r="U2255" s="164">
        <f>($L2255*'Pivot Objective'!$C$9^2)*S2255*T2255</f>
        <v>0</v>
      </c>
      <c r="V2255" s="166">
        <v>0</v>
      </c>
      <c r="W2255" s="166">
        <v>0</v>
      </c>
      <c r="X2255" s="164">
        <f>($L2255*'Pivot Objective'!$C$9^3)*V2255*W2255</f>
        <v>0</v>
      </c>
      <c r="Y2255" s="166">
        <v>0</v>
      </c>
      <c r="Z2255" s="166">
        <v>0</v>
      </c>
      <c r="AA2255" s="164">
        <f>($L2255*'Pivot Objective'!$C$9^4)*Y2255*Z2255</f>
        <v>0</v>
      </c>
      <c r="AB2255" s="166">
        <v>0</v>
      </c>
      <c r="AC2255" s="166">
        <v>0</v>
      </c>
      <c r="AD2255" s="164">
        <f>($L2255*'Pivot Objective'!$C$9^5)*AB2255*AC2255</f>
        <v>0</v>
      </c>
      <c r="AE2255" s="166">
        <v>0</v>
      </c>
      <c r="AF2255" s="166">
        <v>0</v>
      </c>
      <c r="AG2255" s="164">
        <f>($L2255*'Pivot Objective'!$C$9^6)*AE2255*AF2255</f>
        <v>0</v>
      </c>
      <c r="AH2255" s="166">
        <v>0</v>
      </c>
      <c r="AI2255" s="166">
        <v>0</v>
      </c>
      <c r="AJ2255" s="164">
        <f>($L2255*'Pivot Objective'!$C$9^7)*AH2255*AI2255</f>
        <v>0</v>
      </c>
      <c r="AK2255" s="185">
        <f t="shared" si="253"/>
        <v>0</v>
      </c>
      <c r="AL2255" s="186">
        <f t="shared" si="254"/>
        <v>0</v>
      </c>
    </row>
    <row r="2256" spans="1:38" customFormat="1" ht="57.6" x14ac:dyDescent="0.3">
      <c r="A2256" s="140" t="s">
        <v>1488</v>
      </c>
      <c r="B2256" s="140">
        <v>4</v>
      </c>
      <c r="C2256" s="166" t="s">
        <v>697</v>
      </c>
      <c r="D2256" s="140" t="str">
        <f t="shared" si="246"/>
        <v>2</v>
      </c>
      <c r="E2256" s="166" t="s">
        <v>693</v>
      </c>
      <c r="F2256" s="140">
        <f t="shared" si="255"/>
        <v>1</v>
      </c>
      <c r="G2256" s="140" t="str">
        <f t="shared" si="247"/>
        <v>4.2.1</v>
      </c>
      <c r="H2256" s="166" t="s">
        <v>669</v>
      </c>
      <c r="I2256" s="166" t="s">
        <v>96</v>
      </c>
      <c r="J2256" s="166" t="s">
        <v>179</v>
      </c>
      <c r="K2256" s="166" t="s">
        <v>713</v>
      </c>
      <c r="L2256" s="177">
        <v>45000</v>
      </c>
      <c r="M2256" s="166">
        <v>25</v>
      </c>
      <c r="N2256" s="166">
        <v>5</v>
      </c>
      <c r="O2256" s="164">
        <f t="shared" si="252"/>
        <v>5625000</v>
      </c>
      <c r="P2256" s="166"/>
      <c r="Q2256" s="166"/>
      <c r="R2256" s="164">
        <f>$L2256*'Pivot Objective'!$C$9*P2256*Q2256</f>
        <v>0</v>
      </c>
      <c r="S2256" s="166">
        <v>0</v>
      </c>
      <c r="T2256" s="166">
        <v>0</v>
      </c>
      <c r="U2256" s="164">
        <f>($L2256*'Pivot Objective'!$C$9^2)*S2256*T2256</f>
        <v>0</v>
      </c>
      <c r="V2256" s="166">
        <v>0</v>
      </c>
      <c r="W2256" s="166">
        <v>0</v>
      </c>
      <c r="X2256" s="164">
        <f>($L2256*'Pivot Objective'!$C$9^3)*V2256*W2256</f>
        <v>0</v>
      </c>
      <c r="Y2256" s="166">
        <v>0</v>
      </c>
      <c r="Z2256" s="166">
        <v>0</v>
      </c>
      <c r="AA2256" s="164">
        <f>($L2256*'Pivot Objective'!$C$9^4)*Y2256*Z2256</f>
        <v>0</v>
      </c>
      <c r="AB2256" s="166">
        <v>25</v>
      </c>
      <c r="AC2256" s="166">
        <v>5</v>
      </c>
      <c r="AD2256" s="164">
        <f>($L2256*'Pivot Objective'!$C$9^5)*AB2256*AC2256</f>
        <v>10969927.910579981</v>
      </c>
      <c r="AE2256" s="166">
        <v>0</v>
      </c>
      <c r="AF2256" s="166">
        <v>0</v>
      </c>
      <c r="AG2256" s="164">
        <f>($L2256*'Pivot Objective'!$C$9^6)*AE2256*AF2256</f>
        <v>0</v>
      </c>
      <c r="AH2256" s="166">
        <v>0</v>
      </c>
      <c r="AI2256" s="166">
        <v>0</v>
      </c>
      <c r="AJ2256" s="164">
        <f>($L2256*'Pivot Objective'!$C$9^7)*AH2256*AI2256</f>
        <v>0</v>
      </c>
      <c r="AK2256" s="185">
        <f t="shared" si="253"/>
        <v>16594927.910579981</v>
      </c>
      <c r="AL2256" s="186">
        <f t="shared" si="254"/>
        <v>16111.58049570872</v>
      </c>
    </row>
    <row r="2257" spans="1:38" customFormat="1" ht="57.6" x14ac:dyDescent="0.3">
      <c r="A2257" s="140" t="s">
        <v>1488</v>
      </c>
      <c r="B2257" s="140">
        <v>4</v>
      </c>
      <c r="C2257" s="166" t="s">
        <v>697</v>
      </c>
      <c r="D2257" s="140" t="str">
        <f t="shared" si="246"/>
        <v>2</v>
      </c>
      <c r="E2257" s="166" t="s">
        <v>693</v>
      </c>
      <c r="F2257" s="140">
        <f t="shared" si="255"/>
        <v>1</v>
      </c>
      <c r="G2257" s="140" t="str">
        <f t="shared" si="247"/>
        <v>4.2.1</v>
      </c>
      <c r="H2257" s="166" t="s">
        <v>669</v>
      </c>
      <c r="I2257" s="166" t="s">
        <v>96</v>
      </c>
      <c r="J2257" s="166" t="s">
        <v>179</v>
      </c>
      <c r="K2257" s="166" t="s">
        <v>712</v>
      </c>
      <c r="L2257" s="177">
        <f>1480/7</f>
        <v>211.42857142857142</v>
      </c>
      <c r="M2257" s="166">
        <f>25*2*9</f>
        <v>450</v>
      </c>
      <c r="N2257" s="166">
        <v>5</v>
      </c>
      <c r="O2257" s="164">
        <f t="shared" si="252"/>
        <v>475714.28571428568</v>
      </c>
      <c r="P2257" s="166"/>
      <c r="Q2257" s="166"/>
      <c r="R2257" s="164">
        <f>$L2257*'Pivot Objective'!$C$9*P2257*Q2257</f>
        <v>0</v>
      </c>
      <c r="S2257" s="166">
        <v>0</v>
      </c>
      <c r="T2257" s="166">
        <v>0</v>
      </c>
      <c r="U2257" s="164">
        <f>($L2257*'Pivot Objective'!$C$9^2)*S2257*T2257</f>
        <v>0</v>
      </c>
      <c r="V2257" s="166">
        <v>0</v>
      </c>
      <c r="W2257" s="166">
        <v>0</v>
      </c>
      <c r="X2257" s="164">
        <f>($L2257*'Pivot Objective'!$C$9^3)*V2257*W2257</f>
        <v>0</v>
      </c>
      <c r="Y2257" s="166">
        <v>0</v>
      </c>
      <c r="Z2257" s="166">
        <v>0</v>
      </c>
      <c r="AA2257" s="164">
        <f>($L2257*'Pivot Objective'!$C$9^4)*Y2257*Z2257</f>
        <v>0</v>
      </c>
      <c r="AB2257" s="166">
        <f>25*2*9</f>
        <v>450</v>
      </c>
      <c r="AC2257" s="166">
        <v>5</v>
      </c>
      <c r="AD2257" s="164">
        <f>($L2257*'Pivot Objective'!$C$9^5)*AB2257*AC2257</f>
        <v>927742.47472333559</v>
      </c>
      <c r="AE2257" s="166">
        <v>0</v>
      </c>
      <c r="AF2257" s="166">
        <v>0</v>
      </c>
      <c r="AG2257" s="164">
        <f>($L2257*'Pivot Objective'!$C$9^6)*AE2257*AF2257</f>
        <v>0</v>
      </c>
      <c r="AH2257" s="166">
        <v>0</v>
      </c>
      <c r="AI2257" s="166">
        <v>0</v>
      </c>
      <c r="AJ2257" s="164">
        <f>($L2257*'Pivot Objective'!$C$9^7)*AH2257*AI2257</f>
        <v>0</v>
      </c>
      <c r="AK2257" s="185">
        <f t="shared" si="253"/>
        <v>1403456.7604376213</v>
      </c>
      <c r="AL2257" s="186">
        <f t="shared" si="254"/>
        <v>1362.5793790656517</v>
      </c>
    </row>
    <row r="2258" spans="1:38" customFormat="1" ht="57.6" x14ac:dyDescent="0.3">
      <c r="A2258" s="140" t="s">
        <v>1488</v>
      </c>
      <c r="B2258" s="140">
        <v>4</v>
      </c>
      <c r="C2258" s="166" t="s">
        <v>697</v>
      </c>
      <c r="D2258" s="140" t="str">
        <f t="shared" si="246"/>
        <v>2</v>
      </c>
      <c r="E2258" s="166" t="s">
        <v>693</v>
      </c>
      <c r="F2258" s="140">
        <f t="shared" si="255"/>
        <v>1</v>
      </c>
      <c r="G2258" s="140" t="str">
        <f t="shared" si="247"/>
        <v>4.2.1</v>
      </c>
      <c r="H2258" s="166" t="s">
        <v>669</v>
      </c>
      <c r="I2258" s="166" t="s">
        <v>96</v>
      </c>
      <c r="J2258" s="166" t="s">
        <v>179</v>
      </c>
      <c r="K2258" s="166" t="s">
        <v>1350</v>
      </c>
      <c r="L2258" s="177">
        <f>1480/7</f>
        <v>211.42857142857142</v>
      </c>
      <c r="M2258" s="166">
        <f>135*2*9</f>
        <v>2430</v>
      </c>
      <c r="N2258" s="166">
        <v>1</v>
      </c>
      <c r="O2258" s="164">
        <f t="shared" si="252"/>
        <v>513771.42857142852</v>
      </c>
      <c r="P2258" s="166"/>
      <c r="Q2258" s="166"/>
      <c r="R2258" s="164">
        <f>$L2258*'Pivot Objective'!$C$9*P2258*Q2258</f>
        <v>0</v>
      </c>
      <c r="S2258" s="166">
        <v>0</v>
      </c>
      <c r="T2258" s="166">
        <v>0</v>
      </c>
      <c r="U2258" s="164">
        <f>($L2258*'Pivot Objective'!$C$9^2)*S2258*T2258</f>
        <v>0</v>
      </c>
      <c r="V2258" s="166">
        <v>0</v>
      </c>
      <c r="W2258" s="166">
        <v>0</v>
      </c>
      <c r="X2258" s="164">
        <f>($L2258*'Pivot Objective'!$C$9^3)*V2258*W2258</f>
        <v>0</v>
      </c>
      <c r="Y2258" s="166">
        <v>0</v>
      </c>
      <c r="Z2258" s="166">
        <v>0</v>
      </c>
      <c r="AA2258" s="164">
        <f>($L2258*'Pivot Objective'!$C$9^4)*Y2258*Z2258</f>
        <v>0</v>
      </c>
      <c r="AB2258" s="166">
        <f>135*2*9</f>
        <v>2430</v>
      </c>
      <c r="AC2258" s="166">
        <v>1</v>
      </c>
      <c r="AD2258" s="164">
        <f>($L2258*'Pivot Objective'!$C$9^5)*AB2258*AC2258</f>
        <v>1001961.8727012025</v>
      </c>
      <c r="AE2258" s="166">
        <v>0</v>
      </c>
      <c r="AF2258" s="166">
        <v>0</v>
      </c>
      <c r="AG2258" s="164">
        <f>($L2258*'Pivot Objective'!$C$9^6)*AE2258*AF2258</f>
        <v>0</v>
      </c>
      <c r="AH2258" s="166">
        <v>0</v>
      </c>
      <c r="AI2258" s="166">
        <v>0</v>
      </c>
      <c r="AJ2258" s="164">
        <f>($L2258*'Pivot Objective'!$C$9^7)*AH2258*AI2258</f>
        <v>0</v>
      </c>
      <c r="AK2258" s="185">
        <f t="shared" si="253"/>
        <v>1515733.3012726312</v>
      </c>
      <c r="AL2258" s="186">
        <f t="shared" si="254"/>
        <v>1471.5857293909041</v>
      </c>
    </row>
    <row r="2259" spans="1:38" customFormat="1" ht="57.6" x14ac:dyDescent="0.3">
      <c r="A2259" s="140" t="s">
        <v>1488</v>
      </c>
      <c r="B2259" s="140">
        <v>4</v>
      </c>
      <c r="C2259" s="166" t="s">
        <v>697</v>
      </c>
      <c r="D2259" s="140" t="str">
        <f t="shared" si="246"/>
        <v>2</v>
      </c>
      <c r="E2259" s="166" t="s">
        <v>693</v>
      </c>
      <c r="F2259" s="140">
        <f t="shared" si="255"/>
        <v>1</v>
      </c>
      <c r="G2259" s="140" t="str">
        <f t="shared" si="247"/>
        <v>4.2.1</v>
      </c>
      <c r="H2259" s="166" t="s">
        <v>669</v>
      </c>
      <c r="I2259" s="166" t="s">
        <v>96</v>
      </c>
      <c r="J2259" s="166" t="s">
        <v>179</v>
      </c>
      <c r="K2259" s="166" t="s">
        <v>714</v>
      </c>
      <c r="L2259" s="177">
        <v>10000</v>
      </c>
      <c r="M2259" s="166">
        <v>15</v>
      </c>
      <c r="N2259" s="166">
        <v>1</v>
      </c>
      <c r="O2259" s="164">
        <f t="shared" si="252"/>
        <v>150000</v>
      </c>
      <c r="P2259" s="166"/>
      <c r="Q2259" s="166"/>
      <c r="R2259" s="164">
        <f>$L2259*'Pivot Objective'!$C$9*P2259*Q2259</f>
        <v>0</v>
      </c>
      <c r="S2259" s="166">
        <v>0</v>
      </c>
      <c r="T2259" s="166">
        <v>0</v>
      </c>
      <c r="U2259" s="164">
        <f>($L2259*'Pivot Objective'!$C$9^2)*S2259*T2259</f>
        <v>0</v>
      </c>
      <c r="V2259" s="166">
        <v>0</v>
      </c>
      <c r="W2259" s="166">
        <v>0</v>
      </c>
      <c r="X2259" s="164">
        <f>($L2259*'Pivot Objective'!$C$9^3)*V2259*W2259</f>
        <v>0</v>
      </c>
      <c r="Y2259" s="166">
        <v>0</v>
      </c>
      <c r="Z2259" s="166">
        <v>0</v>
      </c>
      <c r="AA2259" s="164">
        <f>($L2259*'Pivot Objective'!$C$9^4)*Y2259*Z2259</f>
        <v>0</v>
      </c>
      <c r="AB2259" s="166">
        <v>15</v>
      </c>
      <c r="AC2259" s="166">
        <v>1</v>
      </c>
      <c r="AD2259" s="164">
        <f>($L2259*'Pivot Objective'!$C$9^5)*AB2259*AC2259</f>
        <v>292531.41094879952</v>
      </c>
      <c r="AE2259" s="166">
        <v>0</v>
      </c>
      <c r="AF2259" s="166">
        <v>0</v>
      </c>
      <c r="AG2259" s="164">
        <f>($L2259*'Pivot Objective'!$C$9^6)*AE2259*AF2259</f>
        <v>0</v>
      </c>
      <c r="AH2259" s="166">
        <v>0</v>
      </c>
      <c r="AI2259" s="166">
        <v>0</v>
      </c>
      <c r="AJ2259" s="164">
        <f>($L2259*'Pivot Objective'!$C$9^7)*AH2259*AI2259</f>
        <v>0</v>
      </c>
      <c r="AK2259" s="185">
        <f t="shared" si="253"/>
        <v>442531.41094879952</v>
      </c>
      <c r="AL2259" s="186">
        <f t="shared" si="254"/>
        <v>429.64214655223253</v>
      </c>
    </row>
    <row r="2260" spans="1:38" customFormat="1" ht="57.6" x14ac:dyDescent="0.3">
      <c r="A2260" s="140" t="s">
        <v>1488</v>
      </c>
      <c r="B2260" s="140">
        <v>4</v>
      </c>
      <c r="C2260" s="166" t="s">
        <v>697</v>
      </c>
      <c r="D2260" s="140" t="str">
        <f t="shared" si="246"/>
        <v>2</v>
      </c>
      <c r="E2260" s="166" t="s">
        <v>693</v>
      </c>
      <c r="F2260" s="140">
        <f t="shared" si="255"/>
        <v>1</v>
      </c>
      <c r="G2260" s="140" t="str">
        <f t="shared" si="247"/>
        <v>4.2.1</v>
      </c>
      <c r="H2260" s="166" t="s">
        <v>669</v>
      </c>
      <c r="I2260" s="166" t="s">
        <v>96</v>
      </c>
      <c r="J2260" s="166" t="s">
        <v>179</v>
      </c>
      <c r="K2260" s="166" t="s">
        <v>715</v>
      </c>
      <c r="L2260" s="177">
        <v>302000</v>
      </c>
      <c r="M2260" s="166">
        <v>1</v>
      </c>
      <c r="N2260" s="166">
        <v>1</v>
      </c>
      <c r="O2260" s="164">
        <f t="shared" si="252"/>
        <v>302000</v>
      </c>
      <c r="P2260" s="166"/>
      <c r="Q2260" s="166"/>
      <c r="R2260" s="164">
        <f>$L2260*'Pivot Objective'!$C$9*P2260*Q2260</f>
        <v>0</v>
      </c>
      <c r="S2260" s="166">
        <v>0</v>
      </c>
      <c r="T2260" s="166">
        <v>0</v>
      </c>
      <c r="U2260" s="164">
        <f>($L2260*'Pivot Objective'!$C$9^2)*S2260*T2260</f>
        <v>0</v>
      </c>
      <c r="V2260" s="166">
        <v>0</v>
      </c>
      <c r="W2260" s="166">
        <v>0</v>
      </c>
      <c r="X2260" s="164">
        <f>($L2260*'Pivot Objective'!$C$9^3)*V2260*W2260</f>
        <v>0</v>
      </c>
      <c r="Y2260" s="166">
        <v>0</v>
      </c>
      <c r="Z2260" s="166">
        <v>0</v>
      </c>
      <c r="AA2260" s="164">
        <f>($L2260*'Pivot Objective'!$C$9^4)*Y2260*Z2260</f>
        <v>0</v>
      </c>
      <c r="AB2260" s="166">
        <v>1</v>
      </c>
      <c r="AC2260" s="166">
        <v>1</v>
      </c>
      <c r="AD2260" s="164">
        <f>($L2260*'Pivot Objective'!$C$9^5)*AB2260*AC2260</f>
        <v>588963.24071024975</v>
      </c>
      <c r="AE2260" s="166">
        <v>0</v>
      </c>
      <c r="AF2260" s="166">
        <v>0</v>
      </c>
      <c r="AG2260" s="164">
        <f>($L2260*'Pivot Objective'!$C$9^6)*AE2260*AF2260</f>
        <v>0</v>
      </c>
      <c r="AH2260" s="166">
        <v>0</v>
      </c>
      <c r="AI2260" s="166">
        <v>0</v>
      </c>
      <c r="AJ2260" s="164">
        <f>($L2260*'Pivot Objective'!$C$9^7)*AH2260*AI2260</f>
        <v>0</v>
      </c>
      <c r="AK2260" s="185">
        <f t="shared" si="253"/>
        <v>890963.24071024975</v>
      </c>
      <c r="AL2260" s="186">
        <f t="shared" si="254"/>
        <v>865.01285505849489</v>
      </c>
    </row>
    <row r="2261" spans="1:38" customFormat="1" ht="57.6" x14ac:dyDescent="0.3">
      <c r="A2261" s="140" t="s">
        <v>1488</v>
      </c>
      <c r="B2261" s="140">
        <v>4</v>
      </c>
      <c r="C2261" s="166" t="s">
        <v>697</v>
      </c>
      <c r="D2261" s="140" t="str">
        <f t="shared" si="246"/>
        <v>2</v>
      </c>
      <c r="E2261" s="166" t="s">
        <v>693</v>
      </c>
      <c r="F2261" s="140">
        <f t="shared" si="255"/>
        <v>1</v>
      </c>
      <c r="G2261" s="140" t="str">
        <f t="shared" si="247"/>
        <v>4.2.1</v>
      </c>
      <c r="H2261" s="166" t="s">
        <v>669</v>
      </c>
      <c r="I2261" s="166" t="s">
        <v>96</v>
      </c>
      <c r="J2261" s="166" t="s">
        <v>159</v>
      </c>
      <c r="K2261" s="166" t="s">
        <v>716</v>
      </c>
      <c r="L2261" s="177">
        <v>39000</v>
      </c>
      <c r="M2261" s="166">
        <v>25</v>
      </c>
      <c r="N2261" s="166">
        <v>6</v>
      </c>
      <c r="O2261" s="164">
        <f t="shared" si="252"/>
        <v>5850000</v>
      </c>
      <c r="P2261" s="166"/>
      <c r="Q2261" s="166"/>
      <c r="R2261" s="164">
        <f>$L2261*'Pivot Objective'!$C$9*P2261*Q2261</f>
        <v>0</v>
      </c>
      <c r="S2261" s="166">
        <v>0</v>
      </c>
      <c r="T2261" s="166">
        <v>0</v>
      </c>
      <c r="U2261" s="164">
        <f>($L2261*'Pivot Objective'!$C$9^2)*S2261*T2261</f>
        <v>0</v>
      </c>
      <c r="V2261" s="166">
        <v>0</v>
      </c>
      <c r="W2261" s="166">
        <v>0</v>
      </c>
      <c r="X2261" s="164">
        <f>($L2261*'Pivot Objective'!$C$9^3)*V2261*W2261</f>
        <v>0</v>
      </c>
      <c r="Y2261" s="166">
        <v>0</v>
      </c>
      <c r="Z2261" s="166">
        <v>0</v>
      </c>
      <c r="AA2261" s="164">
        <f>($L2261*'Pivot Objective'!$C$9^4)*Y2261*Z2261</f>
        <v>0</v>
      </c>
      <c r="AB2261" s="166">
        <v>25</v>
      </c>
      <c r="AC2261" s="166">
        <v>6</v>
      </c>
      <c r="AD2261" s="164">
        <f>($L2261*'Pivot Objective'!$C$9^5)*AB2261*AC2261</f>
        <v>11408725.027003182</v>
      </c>
      <c r="AE2261" s="166">
        <v>0</v>
      </c>
      <c r="AF2261" s="166">
        <v>0</v>
      </c>
      <c r="AG2261" s="164">
        <f>($L2261*'Pivot Objective'!$C$9^6)*AE2261*AF2261</f>
        <v>0</v>
      </c>
      <c r="AH2261" s="166">
        <v>0</v>
      </c>
      <c r="AI2261" s="166">
        <v>0</v>
      </c>
      <c r="AJ2261" s="164">
        <f>($L2261*'Pivot Objective'!$C$9^7)*AH2261*AI2261</f>
        <v>0</v>
      </c>
      <c r="AK2261" s="185">
        <f t="shared" si="253"/>
        <v>17258725.027003184</v>
      </c>
      <c r="AL2261" s="186">
        <f t="shared" si="254"/>
        <v>16756.043715537071</v>
      </c>
    </row>
    <row r="2262" spans="1:38" customFormat="1" ht="57.6" x14ac:dyDescent="0.3">
      <c r="A2262" s="140" t="s">
        <v>1488</v>
      </c>
      <c r="B2262" s="140">
        <v>4</v>
      </c>
      <c r="C2262" s="166" t="s">
        <v>697</v>
      </c>
      <c r="D2262" s="140" t="str">
        <f t="shared" si="246"/>
        <v>2</v>
      </c>
      <c r="E2262" s="166" t="s">
        <v>693</v>
      </c>
      <c r="F2262" s="140">
        <f t="shared" si="255"/>
        <v>1</v>
      </c>
      <c r="G2262" s="140" t="str">
        <f t="shared" si="247"/>
        <v>4.2.1</v>
      </c>
      <c r="H2262" s="166" t="s">
        <v>669</v>
      </c>
      <c r="I2262" s="166" t="s">
        <v>96</v>
      </c>
      <c r="J2262" s="166" t="s">
        <v>159</v>
      </c>
      <c r="K2262" s="166" t="s">
        <v>709</v>
      </c>
      <c r="L2262" s="177">
        <v>35000</v>
      </c>
      <c r="M2262" s="166">
        <v>25</v>
      </c>
      <c r="N2262" s="166">
        <v>5</v>
      </c>
      <c r="O2262" s="164">
        <f t="shared" si="252"/>
        <v>4375000</v>
      </c>
      <c r="P2262" s="166"/>
      <c r="Q2262" s="166"/>
      <c r="R2262" s="164">
        <f>$L2262*'Pivot Objective'!$C$9*P2262*Q2262</f>
        <v>0</v>
      </c>
      <c r="S2262" s="166">
        <v>0</v>
      </c>
      <c r="T2262" s="166">
        <v>0</v>
      </c>
      <c r="U2262" s="164">
        <f>($L2262*'Pivot Objective'!$C$9^2)*S2262*T2262</f>
        <v>0</v>
      </c>
      <c r="V2262" s="166">
        <v>0</v>
      </c>
      <c r="W2262" s="166">
        <v>0</v>
      </c>
      <c r="X2262" s="164">
        <f>($L2262*'Pivot Objective'!$C$9^3)*V2262*W2262</f>
        <v>0</v>
      </c>
      <c r="Y2262" s="166">
        <v>0</v>
      </c>
      <c r="Z2262" s="166">
        <v>0</v>
      </c>
      <c r="AA2262" s="164">
        <f>($L2262*'Pivot Objective'!$C$9^4)*Y2262*Z2262</f>
        <v>0</v>
      </c>
      <c r="AB2262" s="166">
        <v>25</v>
      </c>
      <c r="AC2262" s="166">
        <v>5</v>
      </c>
      <c r="AD2262" s="164">
        <f>($L2262*'Pivot Objective'!$C$9^5)*AB2262*AC2262</f>
        <v>8532166.152673319</v>
      </c>
      <c r="AE2262" s="166">
        <v>0</v>
      </c>
      <c r="AF2262" s="166">
        <v>0</v>
      </c>
      <c r="AG2262" s="164">
        <f>($L2262*'Pivot Objective'!$C$9^6)*AE2262*AF2262</f>
        <v>0</v>
      </c>
      <c r="AH2262" s="166">
        <v>0</v>
      </c>
      <c r="AI2262" s="166">
        <v>0</v>
      </c>
      <c r="AJ2262" s="164">
        <f>($L2262*'Pivot Objective'!$C$9^7)*AH2262*AI2262</f>
        <v>0</v>
      </c>
      <c r="AK2262" s="185">
        <f t="shared" si="253"/>
        <v>12907166.152673319</v>
      </c>
      <c r="AL2262" s="186">
        <f t="shared" si="254"/>
        <v>12531.229274440115</v>
      </c>
    </row>
    <row r="2263" spans="1:38" customFormat="1" ht="57.6" x14ac:dyDescent="0.3">
      <c r="A2263" s="140" t="s">
        <v>1488</v>
      </c>
      <c r="B2263" s="140">
        <v>4</v>
      </c>
      <c r="C2263" s="166" t="s">
        <v>697</v>
      </c>
      <c r="D2263" s="140" t="str">
        <f t="shared" si="246"/>
        <v>2</v>
      </c>
      <c r="E2263" s="166" t="s">
        <v>693</v>
      </c>
      <c r="F2263" s="140">
        <f t="shared" si="255"/>
        <v>1</v>
      </c>
      <c r="G2263" s="140" t="str">
        <f t="shared" si="247"/>
        <v>4.2.1</v>
      </c>
      <c r="H2263" s="166" t="s">
        <v>669</v>
      </c>
      <c r="I2263" s="166" t="s">
        <v>96</v>
      </c>
      <c r="J2263" s="166" t="s">
        <v>179</v>
      </c>
      <c r="K2263" s="166" t="s">
        <v>1350</v>
      </c>
      <c r="L2263" s="177">
        <f>1480/7</f>
        <v>211.42857142857142</v>
      </c>
      <c r="M2263" s="166">
        <f>135*2*9</f>
        <v>2430</v>
      </c>
      <c r="N2263" s="166">
        <v>1</v>
      </c>
      <c r="O2263" s="164">
        <f t="shared" si="252"/>
        <v>513771.42857142852</v>
      </c>
      <c r="P2263" s="166"/>
      <c r="Q2263" s="166"/>
      <c r="R2263" s="164">
        <f>$L2263*'Pivot Objective'!$C$9*P2263*Q2263</f>
        <v>0</v>
      </c>
      <c r="S2263" s="166">
        <v>0</v>
      </c>
      <c r="T2263" s="166">
        <v>0</v>
      </c>
      <c r="U2263" s="164">
        <f>($L2263*'Pivot Objective'!$C$9^2)*S2263*T2263</f>
        <v>0</v>
      </c>
      <c r="V2263" s="166">
        <v>0</v>
      </c>
      <c r="W2263" s="166">
        <v>0</v>
      </c>
      <c r="X2263" s="164">
        <f>($L2263*'Pivot Objective'!$C$9^3)*V2263*W2263</f>
        <v>0</v>
      </c>
      <c r="Y2263" s="166">
        <v>0</v>
      </c>
      <c r="Z2263" s="166">
        <v>0</v>
      </c>
      <c r="AA2263" s="164">
        <f>($L2263*'Pivot Objective'!$C$9^4)*Y2263*Z2263</f>
        <v>0</v>
      </c>
      <c r="AB2263" s="166">
        <f>135*2*9</f>
        <v>2430</v>
      </c>
      <c r="AC2263" s="166">
        <v>1</v>
      </c>
      <c r="AD2263" s="164">
        <f>($L2263*'Pivot Objective'!$C$9^5)*AB2263*AC2263</f>
        <v>1001961.8727012025</v>
      </c>
      <c r="AE2263" s="166">
        <v>0</v>
      </c>
      <c r="AF2263" s="166">
        <v>0</v>
      </c>
      <c r="AG2263" s="164">
        <f>($L2263*'Pivot Objective'!$C$9^6)*AE2263*AF2263</f>
        <v>0</v>
      </c>
      <c r="AH2263" s="166">
        <v>0</v>
      </c>
      <c r="AI2263" s="166">
        <v>0</v>
      </c>
      <c r="AJ2263" s="164">
        <f>($L2263*'Pivot Objective'!$C$9^7)*AH2263*AI2263</f>
        <v>0</v>
      </c>
      <c r="AK2263" s="185">
        <f t="shared" si="253"/>
        <v>1515733.3012726312</v>
      </c>
      <c r="AL2263" s="186">
        <f t="shared" si="254"/>
        <v>1471.5857293909041</v>
      </c>
    </row>
    <row r="2264" spans="1:38" customFormat="1" ht="57.6" x14ac:dyDescent="0.3">
      <c r="A2264" s="140" t="s">
        <v>1488</v>
      </c>
      <c r="B2264" s="140">
        <v>4</v>
      </c>
      <c r="C2264" s="166" t="s">
        <v>697</v>
      </c>
      <c r="D2264" s="140" t="str">
        <f t="shared" si="246"/>
        <v>2</v>
      </c>
      <c r="E2264" s="166" t="s">
        <v>693</v>
      </c>
      <c r="F2264" s="140">
        <f t="shared" si="255"/>
        <v>1</v>
      </c>
      <c r="G2264" s="140" t="str">
        <f t="shared" si="247"/>
        <v>4.2.1</v>
      </c>
      <c r="H2264" s="166" t="s">
        <v>669</v>
      </c>
      <c r="I2264" s="166" t="s">
        <v>96</v>
      </c>
      <c r="J2264" s="166" t="s">
        <v>159</v>
      </c>
      <c r="K2264" s="166" t="s">
        <v>712</v>
      </c>
      <c r="L2264" s="177">
        <f>1480/7</f>
        <v>211.42857142857142</v>
      </c>
      <c r="M2264" s="166">
        <f>25*2*9</f>
        <v>450</v>
      </c>
      <c r="N2264" s="166">
        <v>5</v>
      </c>
      <c r="O2264" s="164">
        <f t="shared" si="252"/>
        <v>475714.28571428568</v>
      </c>
      <c r="P2264" s="166"/>
      <c r="Q2264" s="166"/>
      <c r="R2264" s="164">
        <f>$L2264*'Pivot Objective'!$C$9*P2264*Q2264</f>
        <v>0</v>
      </c>
      <c r="S2264" s="166">
        <v>0</v>
      </c>
      <c r="T2264" s="166">
        <v>0</v>
      </c>
      <c r="U2264" s="164">
        <f>($L2264*'Pivot Objective'!$C$9^2)*S2264*T2264</f>
        <v>0</v>
      </c>
      <c r="V2264" s="166">
        <v>0</v>
      </c>
      <c r="W2264" s="166">
        <v>0</v>
      </c>
      <c r="X2264" s="164">
        <f>($L2264*'Pivot Objective'!$C$9^3)*V2264*W2264</f>
        <v>0</v>
      </c>
      <c r="Y2264" s="166">
        <v>0</v>
      </c>
      <c r="Z2264" s="166">
        <v>0</v>
      </c>
      <c r="AA2264" s="164">
        <f>($L2264*'Pivot Objective'!$C$9^4)*Y2264*Z2264</f>
        <v>0</v>
      </c>
      <c r="AB2264" s="166">
        <f>25*2*9</f>
        <v>450</v>
      </c>
      <c r="AC2264" s="166">
        <v>5</v>
      </c>
      <c r="AD2264" s="164">
        <f>($L2264*'Pivot Objective'!$C$9^5)*AB2264*AC2264</f>
        <v>927742.47472333559</v>
      </c>
      <c r="AE2264" s="166">
        <v>0</v>
      </c>
      <c r="AF2264" s="166">
        <v>0</v>
      </c>
      <c r="AG2264" s="164">
        <f>($L2264*'Pivot Objective'!$C$9^6)*AE2264*AF2264</f>
        <v>0</v>
      </c>
      <c r="AH2264" s="166">
        <v>0</v>
      </c>
      <c r="AI2264" s="166">
        <v>0</v>
      </c>
      <c r="AJ2264" s="164">
        <f>($L2264*'Pivot Objective'!$C$9^7)*AH2264*AI2264</f>
        <v>0</v>
      </c>
      <c r="AK2264" s="185">
        <f t="shared" si="253"/>
        <v>1403456.7604376213</v>
      </c>
      <c r="AL2264" s="186">
        <f t="shared" si="254"/>
        <v>1362.5793790656517</v>
      </c>
    </row>
    <row r="2265" spans="1:38" customFormat="1" ht="57.6" x14ac:dyDescent="0.3">
      <c r="A2265" s="140" t="s">
        <v>1488</v>
      </c>
      <c r="B2265" s="140">
        <v>4</v>
      </c>
      <c r="C2265" s="166" t="s">
        <v>697</v>
      </c>
      <c r="D2265" s="140" t="str">
        <f t="shared" si="246"/>
        <v>2</v>
      </c>
      <c r="E2265" s="166" t="s">
        <v>693</v>
      </c>
      <c r="F2265" s="140">
        <f t="shared" si="255"/>
        <v>1</v>
      </c>
      <c r="G2265" s="140" t="str">
        <f t="shared" si="247"/>
        <v>4.2.1</v>
      </c>
      <c r="H2265" s="166" t="s">
        <v>669</v>
      </c>
      <c r="I2265" s="166" t="s">
        <v>96</v>
      </c>
      <c r="J2265" s="166" t="s">
        <v>153</v>
      </c>
      <c r="K2265" s="166" t="s">
        <v>716</v>
      </c>
      <c r="L2265" s="177">
        <v>39000</v>
      </c>
      <c r="M2265" s="166">
        <v>25</v>
      </c>
      <c r="N2265" s="166">
        <v>5</v>
      </c>
      <c r="O2265" s="164">
        <f t="shared" si="252"/>
        <v>4875000</v>
      </c>
      <c r="P2265" s="166"/>
      <c r="Q2265" s="166"/>
      <c r="R2265" s="164">
        <f>$L2265*'Pivot Objective'!$C$9*P2265*Q2265</f>
        <v>0</v>
      </c>
      <c r="S2265" s="166">
        <v>0</v>
      </c>
      <c r="T2265" s="166">
        <v>0</v>
      </c>
      <c r="U2265" s="164">
        <f>($L2265*'Pivot Objective'!$C$9^2)*S2265*T2265</f>
        <v>0</v>
      </c>
      <c r="V2265" s="166">
        <v>0</v>
      </c>
      <c r="W2265" s="166">
        <v>0</v>
      </c>
      <c r="X2265" s="164">
        <f>($L2265*'Pivot Objective'!$C$9^3)*V2265*W2265</f>
        <v>0</v>
      </c>
      <c r="Y2265" s="166">
        <v>0</v>
      </c>
      <c r="Z2265" s="166">
        <v>0</v>
      </c>
      <c r="AA2265" s="164">
        <f>($L2265*'Pivot Objective'!$C$9^4)*Y2265*Z2265</f>
        <v>0</v>
      </c>
      <c r="AB2265" s="166">
        <v>25</v>
      </c>
      <c r="AC2265" s="166">
        <v>5</v>
      </c>
      <c r="AD2265" s="164">
        <f>($L2265*'Pivot Objective'!$C$9^5)*AB2265*AC2265</f>
        <v>9507270.8558359854</v>
      </c>
      <c r="AE2265" s="166">
        <v>0</v>
      </c>
      <c r="AF2265" s="166">
        <v>0</v>
      </c>
      <c r="AG2265" s="164">
        <f>($L2265*'Pivot Objective'!$C$9^6)*AE2265*AF2265</f>
        <v>0</v>
      </c>
      <c r="AH2265" s="166">
        <v>0</v>
      </c>
      <c r="AI2265" s="166">
        <v>0</v>
      </c>
      <c r="AJ2265" s="164">
        <f>($L2265*'Pivot Objective'!$C$9^7)*AH2265*AI2265</f>
        <v>0</v>
      </c>
      <c r="AK2265" s="185">
        <f t="shared" si="253"/>
        <v>14382270.855835985</v>
      </c>
      <c r="AL2265" s="186">
        <f t="shared" si="254"/>
        <v>13963.369762947559</v>
      </c>
    </row>
    <row r="2266" spans="1:38" customFormat="1" ht="57.6" x14ac:dyDescent="0.3">
      <c r="A2266" s="140" t="s">
        <v>1488</v>
      </c>
      <c r="B2266" s="140">
        <v>4</v>
      </c>
      <c r="C2266" s="166" t="s">
        <v>697</v>
      </c>
      <c r="D2266" s="140" t="str">
        <f t="shared" si="246"/>
        <v>2</v>
      </c>
      <c r="E2266" s="166" t="s">
        <v>693</v>
      </c>
      <c r="F2266" s="140">
        <f t="shared" si="255"/>
        <v>1</v>
      </c>
      <c r="G2266" s="140" t="str">
        <f t="shared" si="247"/>
        <v>4.2.1</v>
      </c>
      <c r="H2266" s="166" t="s">
        <v>669</v>
      </c>
      <c r="I2266" s="166" t="s">
        <v>96</v>
      </c>
      <c r="J2266" s="166" t="s">
        <v>153</v>
      </c>
      <c r="K2266" s="166" t="s">
        <v>709</v>
      </c>
      <c r="L2266" s="177">
        <v>35000</v>
      </c>
      <c r="M2266" s="166">
        <v>25</v>
      </c>
      <c r="N2266" s="166">
        <v>4</v>
      </c>
      <c r="O2266" s="164">
        <f t="shared" si="252"/>
        <v>3500000</v>
      </c>
      <c r="P2266" s="166"/>
      <c r="Q2266" s="166"/>
      <c r="R2266" s="164">
        <f>$L2266*'Pivot Objective'!$C$9*P2266*Q2266</f>
        <v>0</v>
      </c>
      <c r="S2266" s="166">
        <v>0</v>
      </c>
      <c r="T2266" s="166">
        <v>0</v>
      </c>
      <c r="U2266" s="164">
        <f>($L2266*'Pivot Objective'!$C$9^2)*S2266*T2266</f>
        <v>0</v>
      </c>
      <c r="V2266" s="166">
        <v>0</v>
      </c>
      <c r="W2266" s="166">
        <v>0</v>
      </c>
      <c r="X2266" s="164">
        <f>($L2266*'Pivot Objective'!$C$9^3)*V2266*W2266</f>
        <v>0</v>
      </c>
      <c r="Y2266" s="166">
        <v>0</v>
      </c>
      <c r="Z2266" s="166">
        <v>0</v>
      </c>
      <c r="AA2266" s="164">
        <f>($L2266*'Pivot Objective'!$C$9^4)*Y2266*Z2266</f>
        <v>0</v>
      </c>
      <c r="AB2266" s="166">
        <v>25</v>
      </c>
      <c r="AC2266" s="166">
        <v>4</v>
      </c>
      <c r="AD2266" s="164">
        <f>($L2266*'Pivot Objective'!$C$9^5)*AB2266*AC2266</f>
        <v>6825732.9221386546</v>
      </c>
      <c r="AE2266" s="166">
        <v>0</v>
      </c>
      <c r="AF2266" s="166">
        <v>0</v>
      </c>
      <c r="AG2266" s="164">
        <f>($L2266*'Pivot Objective'!$C$9^6)*AE2266*AF2266</f>
        <v>0</v>
      </c>
      <c r="AH2266" s="166">
        <v>0</v>
      </c>
      <c r="AI2266" s="166">
        <v>0</v>
      </c>
      <c r="AJ2266" s="164">
        <f>($L2266*'Pivot Objective'!$C$9^7)*AH2266*AI2266</f>
        <v>0</v>
      </c>
      <c r="AK2266" s="185">
        <f t="shared" si="253"/>
        <v>10325732.922138654</v>
      </c>
      <c r="AL2266" s="186">
        <f t="shared" si="254"/>
        <v>10024.983419552091</v>
      </c>
    </row>
    <row r="2267" spans="1:38" customFormat="1" ht="57.6" x14ac:dyDescent="0.3">
      <c r="A2267" s="140" t="s">
        <v>1488</v>
      </c>
      <c r="B2267" s="140">
        <v>4</v>
      </c>
      <c r="C2267" s="166" t="s">
        <v>697</v>
      </c>
      <c r="D2267" s="140" t="str">
        <f t="shared" si="246"/>
        <v>2</v>
      </c>
      <c r="E2267" s="166" t="s">
        <v>693</v>
      </c>
      <c r="F2267" s="140">
        <f t="shared" si="255"/>
        <v>1</v>
      </c>
      <c r="G2267" s="140" t="str">
        <f t="shared" si="247"/>
        <v>4.2.1</v>
      </c>
      <c r="H2267" s="166" t="s">
        <v>669</v>
      </c>
      <c r="I2267" s="166" t="s">
        <v>96</v>
      </c>
      <c r="J2267" s="166" t="s">
        <v>153</v>
      </c>
      <c r="K2267" s="166" t="s">
        <v>712</v>
      </c>
      <c r="L2267" s="177">
        <f>1480/7</f>
        <v>211.42857142857142</v>
      </c>
      <c r="M2267" s="166">
        <f>25*2*9</f>
        <v>450</v>
      </c>
      <c r="N2267" s="166">
        <v>4</v>
      </c>
      <c r="O2267" s="164">
        <f t="shared" si="252"/>
        <v>380571.42857142852</v>
      </c>
      <c r="P2267" s="166"/>
      <c r="Q2267" s="166"/>
      <c r="R2267" s="164">
        <f>$L2267*'Pivot Objective'!$C$9*P2267*Q2267</f>
        <v>0</v>
      </c>
      <c r="S2267" s="166">
        <v>0</v>
      </c>
      <c r="T2267" s="166">
        <v>0</v>
      </c>
      <c r="U2267" s="164">
        <f>($L2267*'Pivot Objective'!$C$9^2)*S2267*T2267</f>
        <v>0</v>
      </c>
      <c r="V2267" s="166">
        <v>0</v>
      </c>
      <c r="W2267" s="166">
        <v>0</v>
      </c>
      <c r="X2267" s="164">
        <f>($L2267*'Pivot Objective'!$C$9^3)*V2267*W2267</f>
        <v>0</v>
      </c>
      <c r="Y2267" s="166">
        <v>0</v>
      </c>
      <c r="Z2267" s="166">
        <v>0</v>
      </c>
      <c r="AA2267" s="164">
        <f>($L2267*'Pivot Objective'!$C$9^4)*Y2267*Z2267</f>
        <v>0</v>
      </c>
      <c r="AB2267" s="166">
        <f>25*2*9</f>
        <v>450</v>
      </c>
      <c r="AC2267" s="166">
        <v>4</v>
      </c>
      <c r="AD2267" s="164">
        <f>($L2267*'Pivot Objective'!$C$9^5)*AB2267*AC2267</f>
        <v>742193.97977866849</v>
      </c>
      <c r="AE2267" s="166">
        <v>0</v>
      </c>
      <c r="AF2267" s="166">
        <v>0</v>
      </c>
      <c r="AG2267" s="164">
        <f>($L2267*'Pivot Objective'!$C$9^6)*AE2267*AF2267</f>
        <v>0</v>
      </c>
      <c r="AH2267" s="166">
        <v>0</v>
      </c>
      <c r="AI2267" s="166">
        <v>0</v>
      </c>
      <c r="AJ2267" s="164">
        <f>($L2267*'Pivot Objective'!$C$9^7)*AH2267*AI2267</f>
        <v>0</v>
      </c>
      <c r="AK2267" s="185">
        <f t="shared" si="253"/>
        <v>1122765.408350097</v>
      </c>
      <c r="AL2267" s="186">
        <f t="shared" si="254"/>
        <v>1090.0635032525213</v>
      </c>
    </row>
    <row r="2268" spans="1:38" customFormat="1" ht="57.6" x14ac:dyDescent="0.3">
      <c r="A2268" s="140" t="s">
        <v>1488</v>
      </c>
      <c r="B2268" s="140">
        <v>4</v>
      </c>
      <c r="C2268" s="166" t="s">
        <v>697</v>
      </c>
      <c r="D2268" s="140" t="str">
        <f t="shared" si="246"/>
        <v>2</v>
      </c>
      <c r="E2268" s="166" t="s">
        <v>693</v>
      </c>
      <c r="F2268" s="140">
        <f t="shared" si="255"/>
        <v>1</v>
      </c>
      <c r="G2268" s="140" t="str">
        <f t="shared" si="247"/>
        <v>4.2.1</v>
      </c>
      <c r="H2268" s="166" t="s">
        <v>669</v>
      </c>
      <c r="I2268" s="166" t="s">
        <v>96</v>
      </c>
      <c r="J2268" s="166" t="s">
        <v>179</v>
      </c>
      <c r="K2268" s="166" t="s">
        <v>1350</v>
      </c>
      <c r="L2268" s="177">
        <f>1480/7</f>
        <v>211.42857142857142</v>
      </c>
      <c r="M2268" s="166">
        <f>135*2*9</f>
        <v>2430</v>
      </c>
      <c r="N2268" s="166">
        <v>1</v>
      </c>
      <c r="O2268" s="164">
        <f t="shared" si="252"/>
        <v>513771.42857142852</v>
      </c>
      <c r="P2268" s="166"/>
      <c r="Q2268" s="166"/>
      <c r="R2268" s="164">
        <f>$L2268*'Pivot Objective'!$C$9*P2268*Q2268</f>
        <v>0</v>
      </c>
      <c r="S2268" s="166">
        <v>0</v>
      </c>
      <c r="T2268" s="166">
        <v>0</v>
      </c>
      <c r="U2268" s="164">
        <f>($L2268*'Pivot Objective'!$C$9^2)*S2268*T2268</f>
        <v>0</v>
      </c>
      <c r="V2268" s="166">
        <v>0</v>
      </c>
      <c r="W2268" s="166">
        <v>0</v>
      </c>
      <c r="X2268" s="164">
        <f>($L2268*'Pivot Objective'!$C$9^3)*V2268*W2268</f>
        <v>0</v>
      </c>
      <c r="Y2268" s="166">
        <v>0</v>
      </c>
      <c r="Z2268" s="166">
        <v>0</v>
      </c>
      <c r="AA2268" s="164">
        <f>($L2268*'Pivot Objective'!$C$9^4)*Y2268*Z2268</f>
        <v>0</v>
      </c>
      <c r="AB2268" s="166">
        <f>135*2*9</f>
        <v>2430</v>
      </c>
      <c r="AC2268" s="166">
        <v>1</v>
      </c>
      <c r="AD2268" s="164">
        <f>($L2268*'Pivot Objective'!$C$9^5)*AB2268*AC2268</f>
        <v>1001961.8727012025</v>
      </c>
      <c r="AE2268" s="166">
        <v>0</v>
      </c>
      <c r="AF2268" s="166">
        <v>0</v>
      </c>
      <c r="AG2268" s="164">
        <f>($L2268*'Pivot Objective'!$C$9^6)*AE2268*AF2268</f>
        <v>0</v>
      </c>
      <c r="AH2268" s="166">
        <v>0</v>
      </c>
      <c r="AI2268" s="166">
        <v>0</v>
      </c>
      <c r="AJ2268" s="164">
        <f>($L2268*'Pivot Objective'!$C$9^7)*AH2268*AI2268</f>
        <v>0</v>
      </c>
      <c r="AK2268" s="185">
        <f t="shared" si="253"/>
        <v>1515733.3012726312</v>
      </c>
      <c r="AL2268" s="186">
        <f t="shared" si="254"/>
        <v>1471.5857293909041</v>
      </c>
    </row>
    <row r="2269" spans="1:38" customFormat="1" ht="57.6" x14ac:dyDescent="0.3">
      <c r="A2269" s="140" t="s">
        <v>1488</v>
      </c>
      <c r="B2269" s="140">
        <v>4</v>
      </c>
      <c r="C2269" s="166" t="s">
        <v>697</v>
      </c>
      <c r="D2269" s="140" t="str">
        <f t="shared" si="246"/>
        <v>2</v>
      </c>
      <c r="E2269" s="166" t="s">
        <v>693</v>
      </c>
      <c r="F2269" s="140">
        <f t="shared" si="255"/>
        <v>1</v>
      </c>
      <c r="G2269" s="140" t="str">
        <f t="shared" si="247"/>
        <v>4.2.1</v>
      </c>
      <c r="H2269" s="166" t="s">
        <v>669</v>
      </c>
      <c r="I2269" s="166" t="s">
        <v>96</v>
      </c>
      <c r="J2269" s="166" t="s">
        <v>494</v>
      </c>
      <c r="K2269" s="166" t="s">
        <v>709</v>
      </c>
      <c r="L2269" s="177">
        <v>35000</v>
      </c>
      <c r="M2269" s="166">
        <v>100</v>
      </c>
      <c r="N2269" s="166">
        <v>5</v>
      </c>
      <c r="O2269" s="164">
        <f t="shared" si="252"/>
        <v>17500000</v>
      </c>
      <c r="P2269" s="166"/>
      <c r="Q2269" s="166"/>
      <c r="R2269" s="164">
        <f>$L2269*'Pivot Objective'!$C$9*P2269*Q2269</f>
        <v>0</v>
      </c>
      <c r="S2269" s="166">
        <v>0</v>
      </c>
      <c r="T2269" s="166">
        <v>0</v>
      </c>
      <c r="U2269" s="164">
        <f>($L2269*'Pivot Objective'!$C$9^2)*S2269*T2269</f>
        <v>0</v>
      </c>
      <c r="V2269" s="166">
        <v>0</v>
      </c>
      <c r="W2269" s="166">
        <v>0</v>
      </c>
      <c r="X2269" s="164">
        <f>($L2269*'Pivot Objective'!$C$9^3)*V2269*W2269</f>
        <v>0</v>
      </c>
      <c r="Y2269" s="166">
        <v>0</v>
      </c>
      <c r="Z2269" s="166">
        <v>0</v>
      </c>
      <c r="AA2269" s="164">
        <f>($L2269*'Pivot Objective'!$C$9^4)*Y2269*Z2269</f>
        <v>0</v>
      </c>
      <c r="AB2269" s="166">
        <v>100</v>
      </c>
      <c r="AC2269" s="166">
        <v>5</v>
      </c>
      <c r="AD2269" s="164">
        <f>($L2269*'Pivot Objective'!$C$9^5)*AB2269*AC2269</f>
        <v>34128664.610693276</v>
      </c>
      <c r="AE2269" s="166">
        <v>0</v>
      </c>
      <c r="AF2269" s="166">
        <v>0</v>
      </c>
      <c r="AG2269" s="164">
        <f>($L2269*'Pivot Objective'!$C$9^6)*AE2269*AF2269</f>
        <v>0</v>
      </c>
      <c r="AH2269" s="166">
        <v>0</v>
      </c>
      <c r="AI2269" s="166">
        <v>0</v>
      </c>
      <c r="AJ2269" s="164">
        <f>($L2269*'Pivot Objective'!$C$9^7)*AH2269*AI2269</f>
        <v>0</v>
      </c>
      <c r="AK2269" s="185">
        <f t="shared" si="253"/>
        <v>51628664.610693276</v>
      </c>
      <c r="AL2269" s="186">
        <f t="shared" si="254"/>
        <v>50124.917097760459</v>
      </c>
    </row>
    <row r="2270" spans="1:38" customFormat="1" ht="57.6" x14ac:dyDescent="0.3">
      <c r="A2270" s="140" t="s">
        <v>1488</v>
      </c>
      <c r="B2270" s="140">
        <v>4</v>
      </c>
      <c r="C2270" s="166" t="s">
        <v>697</v>
      </c>
      <c r="D2270" s="140" t="str">
        <f t="shared" si="246"/>
        <v>2</v>
      </c>
      <c r="E2270" s="166" t="s">
        <v>693</v>
      </c>
      <c r="F2270" s="140">
        <f t="shared" si="255"/>
        <v>1</v>
      </c>
      <c r="G2270" s="140" t="str">
        <f t="shared" si="247"/>
        <v>4.2.1</v>
      </c>
      <c r="H2270" s="166" t="s">
        <v>669</v>
      </c>
      <c r="I2270" s="166" t="s">
        <v>96</v>
      </c>
      <c r="J2270" s="166" t="s">
        <v>494</v>
      </c>
      <c r="K2270" s="166" t="s">
        <v>716</v>
      </c>
      <c r="L2270" s="177">
        <v>39000</v>
      </c>
      <c r="M2270" s="166">
        <v>58</v>
      </c>
      <c r="N2270" s="166">
        <v>6</v>
      </c>
      <c r="O2270" s="164">
        <f t="shared" si="252"/>
        <v>13572000</v>
      </c>
      <c r="P2270" s="166"/>
      <c r="Q2270" s="166"/>
      <c r="R2270" s="164">
        <f>$L2270*'Pivot Objective'!$C$9*P2270*Q2270</f>
        <v>0</v>
      </c>
      <c r="S2270" s="166"/>
      <c r="T2270" s="166"/>
      <c r="U2270" s="164">
        <f>($L2270*'Pivot Objective'!$C$9^2)*S2270*T2270</f>
        <v>0</v>
      </c>
      <c r="V2270" s="166"/>
      <c r="W2270" s="166"/>
      <c r="X2270" s="164">
        <f>($L2270*'Pivot Objective'!$C$9^3)*V2270*W2270</f>
        <v>0</v>
      </c>
      <c r="Y2270" s="166"/>
      <c r="Z2270" s="166"/>
      <c r="AA2270" s="164">
        <f>($L2270*'Pivot Objective'!$C$9^4)*Y2270*Z2270</f>
        <v>0</v>
      </c>
      <c r="AB2270" s="166">
        <v>58</v>
      </c>
      <c r="AC2270" s="166">
        <v>6</v>
      </c>
      <c r="AD2270" s="164">
        <f>($L2270*'Pivot Objective'!$C$9^5)*AB2270*AC2270</f>
        <v>26468242.06264738</v>
      </c>
      <c r="AE2270" s="166"/>
      <c r="AF2270" s="166"/>
      <c r="AG2270" s="164">
        <f>($L2270*'Pivot Objective'!$C$9^6)*AE2270*AF2270</f>
        <v>0</v>
      </c>
      <c r="AH2270" s="166"/>
      <c r="AI2270" s="166"/>
      <c r="AJ2270" s="164">
        <f>($L2270*'Pivot Objective'!$C$9^7)*AH2270*AI2270</f>
        <v>0</v>
      </c>
      <c r="AK2270" s="185">
        <f t="shared" si="253"/>
        <v>40040242.06264738</v>
      </c>
      <c r="AL2270" s="186">
        <f t="shared" si="254"/>
        <v>38874.021420046003</v>
      </c>
    </row>
    <row r="2271" spans="1:38" customFormat="1" ht="57.6" x14ac:dyDescent="0.3">
      <c r="A2271" s="140" t="s">
        <v>1488</v>
      </c>
      <c r="B2271" s="140">
        <v>4</v>
      </c>
      <c r="C2271" s="166" t="s">
        <v>697</v>
      </c>
      <c r="D2271" s="140" t="str">
        <f t="shared" si="246"/>
        <v>2</v>
      </c>
      <c r="E2271" s="166" t="s">
        <v>693</v>
      </c>
      <c r="F2271" s="140">
        <f t="shared" si="255"/>
        <v>1</v>
      </c>
      <c r="G2271" s="140" t="str">
        <f t="shared" si="247"/>
        <v>4.2.1</v>
      </c>
      <c r="H2271" s="166" t="s">
        <v>669</v>
      </c>
      <c r="I2271" s="166" t="s">
        <v>96</v>
      </c>
      <c r="J2271" s="166" t="s">
        <v>494</v>
      </c>
      <c r="K2271" s="166" t="s">
        <v>712</v>
      </c>
      <c r="L2271" s="177">
        <f>1480/7</f>
        <v>211.42857142857142</v>
      </c>
      <c r="M2271" s="166">
        <f>25*2*29</f>
        <v>1450</v>
      </c>
      <c r="N2271" s="166">
        <v>5</v>
      </c>
      <c r="O2271" s="164">
        <f t="shared" si="252"/>
        <v>1532857.142857143</v>
      </c>
      <c r="P2271" s="166"/>
      <c r="Q2271" s="166"/>
      <c r="R2271" s="164">
        <f>$L2271*'Pivot Objective'!$C$9*P2271*Q2271</f>
        <v>0</v>
      </c>
      <c r="S2271" s="166"/>
      <c r="T2271" s="166"/>
      <c r="U2271" s="164">
        <f>($L2271*'Pivot Objective'!$C$9^2)*S2271*T2271</f>
        <v>0</v>
      </c>
      <c r="V2271" s="166"/>
      <c r="W2271" s="166"/>
      <c r="X2271" s="164">
        <f>($L2271*'Pivot Objective'!$C$9^3)*V2271*W2271</f>
        <v>0</v>
      </c>
      <c r="Y2271" s="166"/>
      <c r="Z2271" s="166"/>
      <c r="AA2271" s="164">
        <f>($L2271*'Pivot Objective'!$C$9^4)*Y2271*Z2271</f>
        <v>0</v>
      </c>
      <c r="AB2271" s="166">
        <f>25*2*29</f>
        <v>1450</v>
      </c>
      <c r="AC2271" s="166">
        <v>5</v>
      </c>
      <c r="AD2271" s="164">
        <f>($L2271*'Pivot Objective'!$C$9^5)*AB2271*AC2271</f>
        <v>2989392.41855297</v>
      </c>
      <c r="AE2271" s="166"/>
      <c r="AF2271" s="166"/>
      <c r="AG2271" s="164">
        <f>($L2271*'Pivot Objective'!$C$9^6)*AE2271*AF2271</f>
        <v>0</v>
      </c>
      <c r="AH2271" s="166"/>
      <c r="AI2271" s="166"/>
      <c r="AJ2271" s="164">
        <f>($L2271*'Pivot Objective'!$C$9^7)*AH2271*AI2271</f>
        <v>0</v>
      </c>
      <c r="AK2271" s="185">
        <f t="shared" si="253"/>
        <v>4522249.5614101132</v>
      </c>
      <c r="AL2271" s="186">
        <f t="shared" si="254"/>
        <v>4390.5335547671002</v>
      </c>
    </row>
    <row r="2272" spans="1:38" customFormat="1" ht="57.6" x14ac:dyDescent="0.3">
      <c r="A2272" s="140" t="s">
        <v>1488</v>
      </c>
      <c r="B2272" s="140">
        <v>4</v>
      </c>
      <c r="C2272" s="166" t="s">
        <v>697</v>
      </c>
      <c r="D2272" s="140" t="str">
        <f t="shared" si="246"/>
        <v>2</v>
      </c>
      <c r="E2272" s="166" t="s">
        <v>693</v>
      </c>
      <c r="F2272" s="140">
        <f t="shared" si="255"/>
        <v>1</v>
      </c>
      <c r="G2272" s="140" t="str">
        <f t="shared" si="247"/>
        <v>4.2.1</v>
      </c>
      <c r="H2272" s="166" t="s">
        <v>669</v>
      </c>
      <c r="I2272" s="166" t="s">
        <v>96</v>
      </c>
      <c r="J2272" s="166" t="s">
        <v>494</v>
      </c>
      <c r="K2272" s="166" t="s">
        <v>1350</v>
      </c>
      <c r="L2272" s="177">
        <f>1480/7</f>
        <v>211.42857142857142</v>
      </c>
      <c r="M2272" s="166">
        <f>135*2*29</f>
        <v>7830</v>
      </c>
      <c r="N2272" s="166">
        <v>1</v>
      </c>
      <c r="O2272" s="164">
        <f t="shared" si="252"/>
        <v>1655485.7142857141</v>
      </c>
      <c r="P2272" s="166"/>
      <c r="Q2272" s="166"/>
      <c r="R2272" s="164">
        <f>$L2272*'Pivot Objective'!$C$9*P2272*Q2272</f>
        <v>0</v>
      </c>
      <c r="S2272" s="166"/>
      <c r="T2272" s="166"/>
      <c r="U2272" s="164">
        <f>($L2272*'Pivot Objective'!$C$9^2)*S2272*T2272</f>
        <v>0</v>
      </c>
      <c r="V2272" s="166"/>
      <c r="W2272" s="166"/>
      <c r="X2272" s="164">
        <f>($L2272*'Pivot Objective'!$C$9^3)*V2272*W2272</f>
        <v>0</v>
      </c>
      <c r="Y2272" s="166"/>
      <c r="Z2272" s="166"/>
      <c r="AA2272" s="164">
        <f>($L2272*'Pivot Objective'!$C$9^4)*Y2272*Z2272</f>
        <v>0</v>
      </c>
      <c r="AB2272" s="166">
        <f>135*2*29</f>
        <v>7830</v>
      </c>
      <c r="AC2272" s="166">
        <v>1</v>
      </c>
      <c r="AD2272" s="164">
        <f>($L2272*'Pivot Objective'!$C$9^5)*AB2272*AC2272</f>
        <v>3228543.8120372081</v>
      </c>
      <c r="AE2272" s="166"/>
      <c r="AF2272" s="166"/>
      <c r="AG2272" s="164">
        <f>($L2272*'Pivot Objective'!$C$9^6)*AE2272*AF2272</f>
        <v>0</v>
      </c>
      <c r="AH2272" s="166"/>
      <c r="AI2272" s="166"/>
      <c r="AJ2272" s="164">
        <f>($L2272*'Pivot Objective'!$C$9^7)*AH2272*AI2272</f>
        <v>0</v>
      </c>
      <c r="AK2272" s="185">
        <f t="shared" si="253"/>
        <v>4884029.5263229217</v>
      </c>
      <c r="AL2272" s="186">
        <f t="shared" si="254"/>
        <v>4741.7762391484675</v>
      </c>
    </row>
    <row r="2273" spans="1:38" customFormat="1" ht="57.6" x14ac:dyDescent="0.3">
      <c r="A2273" s="140" t="s">
        <v>1488</v>
      </c>
      <c r="B2273" s="140">
        <v>4</v>
      </c>
      <c r="C2273" s="166" t="s">
        <v>697</v>
      </c>
      <c r="D2273" s="140" t="str">
        <f t="shared" si="246"/>
        <v>2</v>
      </c>
      <c r="E2273" s="166" t="s">
        <v>693</v>
      </c>
      <c r="F2273" s="140">
        <f t="shared" si="255"/>
        <v>1</v>
      </c>
      <c r="G2273" s="140" t="str">
        <f t="shared" si="247"/>
        <v>4.2.1</v>
      </c>
      <c r="H2273" s="166" t="s">
        <v>669</v>
      </c>
      <c r="I2273" s="166" t="s">
        <v>96</v>
      </c>
      <c r="J2273" s="166" t="s">
        <v>434</v>
      </c>
      <c r="K2273" s="166" t="s">
        <v>1397</v>
      </c>
      <c r="L2273" s="177">
        <v>8000</v>
      </c>
      <c r="M2273" s="166">
        <v>5</v>
      </c>
      <c r="N2273" s="166">
        <v>1</v>
      </c>
      <c r="O2273" s="164">
        <f t="shared" si="252"/>
        <v>40000</v>
      </c>
      <c r="P2273" s="166"/>
      <c r="Q2273" s="166"/>
      <c r="R2273" s="164">
        <f>$L2273*'Pivot Objective'!$C$9*P2273*Q2273</f>
        <v>0</v>
      </c>
      <c r="S2273" s="166">
        <v>0</v>
      </c>
      <c r="T2273" s="166">
        <v>0</v>
      </c>
      <c r="U2273" s="164">
        <f>($L2273*'Pivot Objective'!$C$9^2)*S2273*T2273</f>
        <v>0</v>
      </c>
      <c r="V2273" s="166">
        <v>0</v>
      </c>
      <c r="W2273" s="166">
        <v>0</v>
      </c>
      <c r="X2273" s="164">
        <f>($L2273*'Pivot Objective'!$C$9^3)*V2273*W2273</f>
        <v>0</v>
      </c>
      <c r="Y2273" s="166">
        <v>0</v>
      </c>
      <c r="Z2273" s="166">
        <v>0</v>
      </c>
      <c r="AA2273" s="164">
        <f>($L2273*'Pivot Objective'!$C$9^4)*Y2273*Z2273</f>
        <v>0</v>
      </c>
      <c r="AB2273" s="166">
        <v>5</v>
      </c>
      <c r="AC2273" s="166">
        <v>1</v>
      </c>
      <c r="AD2273" s="164">
        <f>($L2273*'Pivot Objective'!$C$9^5)*AB2273*AC2273</f>
        <v>78008.376253013208</v>
      </c>
      <c r="AE2273" s="166">
        <v>0</v>
      </c>
      <c r="AF2273" s="166">
        <v>0</v>
      </c>
      <c r="AG2273" s="164">
        <f>($L2273*'Pivot Objective'!$C$9^6)*AE2273*AF2273</f>
        <v>0</v>
      </c>
      <c r="AH2273" s="166">
        <v>0</v>
      </c>
      <c r="AI2273" s="166">
        <v>0</v>
      </c>
      <c r="AJ2273" s="164">
        <f>($L2273*'Pivot Objective'!$C$9^7)*AH2273*AI2273</f>
        <v>0</v>
      </c>
      <c r="AK2273" s="185">
        <f t="shared" si="253"/>
        <v>118008.37625301321</v>
      </c>
      <c r="AL2273" s="186">
        <f t="shared" si="254"/>
        <v>114.57123908059535</v>
      </c>
    </row>
    <row r="2274" spans="1:38" customFormat="1" ht="57.6" x14ac:dyDescent="0.3">
      <c r="A2274" s="140" t="s">
        <v>1488</v>
      </c>
      <c r="B2274" s="140">
        <v>4</v>
      </c>
      <c r="C2274" s="166" t="s">
        <v>697</v>
      </c>
      <c r="D2274" s="140" t="str">
        <f t="shared" si="246"/>
        <v>2</v>
      </c>
      <c r="E2274" s="166" t="s">
        <v>693</v>
      </c>
      <c r="F2274" s="140">
        <f t="shared" si="255"/>
        <v>1</v>
      </c>
      <c r="G2274" s="140" t="str">
        <f t="shared" si="247"/>
        <v>4.2.1</v>
      </c>
      <c r="H2274" s="166" t="s">
        <v>669</v>
      </c>
      <c r="I2274" s="166" t="s">
        <v>96</v>
      </c>
      <c r="J2274" s="166" t="s">
        <v>434</v>
      </c>
      <c r="K2274" s="166" t="s">
        <v>717</v>
      </c>
      <c r="L2274" s="177">
        <v>104850</v>
      </c>
      <c r="M2274" s="166">
        <v>1</v>
      </c>
      <c r="N2274" s="166">
        <v>1</v>
      </c>
      <c r="O2274" s="164">
        <f t="shared" si="252"/>
        <v>104850</v>
      </c>
      <c r="P2274" s="166"/>
      <c r="Q2274" s="166"/>
      <c r="R2274" s="164">
        <f>$L2274*'Pivot Objective'!$C$9*P2274*Q2274</f>
        <v>0</v>
      </c>
      <c r="S2274" s="166">
        <v>0</v>
      </c>
      <c r="T2274" s="166">
        <v>0</v>
      </c>
      <c r="U2274" s="164">
        <f>($L2274*'Pivot Objective'!$C$9^2)*S2274*T2274</f>
        <v>0</v>
      </c>
      <c r="V2274" s="166">
        <v>0</v>
      </c>
      <c r="W2274" s="166">
        <v>0</v>
      </c>
      <c r="X2274" s="164">
        <f>($L2274*'Pivot Objective'!$C$9^3)*V2274*W2274</f>
        <v>0</v>
      </c>
      <c r="Y2274" s="166">
        <v>0</v>
      </c>
      <c r="Z2274" s="166">
        <v>0</v>
      </c>
      <c r="AA2274" s="164">
        <f>($L2274*'Pivot Objective'!$C$9^4)*Y2274*Z2274</f>
        <v>0</v>
      </c>
      <c r="AB2274" s="166">
        <v>1</v>
      </c>
      <c r="AC2274" s="166">
        <v>1</v>
      </c>
      <c r="AD2274" s="164">
        <f>($L2274*'Pivot Objective'!$C$9^5)*AB2274*AC2274</f>
        <v>204479.45625321087</v>
      </c>
      <c r="AE2274" s="166">
        <v>0</v>
      </c>
      <c r="AF2274" s="166">
        <v>0</v>
      </c>
      <c r="AG2274" s="164">
        <f>($L2274*'Pivot Objective'!$C$9^6)*AE2274*AF2274</f>
        <v>0</v>
      </c>
      <c r="AH2274" s="166">
        <v>0</v>
      </c>
      <c r="AI2274" s="166">
        <v>0</v>
      </c>
      <c r="AJ2274" s="164">
        <f>($L2274*'Pivot Objective'!$C$9^7)*AH2274*AI2274</f>
        <v>0</v>
      </c>
      <c r="AK2274" s="185">
        <f t="shared" si="253"/>
        <v>309329.4562532109</v>
      </c>
      <c r="AL2274" s="186">
        <f t="shared" si="254"/>
        <v>300.31986044001059</v>
      </c>
    </row>
    <row r="2275" spans="1:38" customFormat="1" ht="57.6" x14ac:dyDescent="0.3">
      <c r="A2275" s="140" t="s">
        <v>1488</v>
      </c>
      <c r="B2275" s="140">
        <v>4</v>
      </c>
      <c r="C2275" s="166" t="s">
        <v>697</v>
      </c>
      <c r="D2275" s="140" t="str">
        <f t="shared" si="246"/>
        <v>2</v>
      </c>
      <c r="E2275" s="166" t="s">
        <v>693</v>
      </c>
      <c r="F2275" s="140">
        <f t="shared" si="255"/>
        <v>1</v>
      </c>
      <c r="G2275" s="140" t="str">
        <f t="shared" si="247"/>
        <v>4.2.1</v>
      </c>
      <c r="H2275" s="166" t="s">
        <v>669</v>
      </c>
      <c r="I2275" s="166" t="s">
        <v>96</v>
      </c>
      <c r="J2275" s="166" t="s">
        <v>434</v>
      </c>
      <c r="K2275" s="166" t="s">
        <v>709</v>
      </c>
      <c r="L2275" s="177">
        <v>35000</v>
      </c>
      <c r="M2275" s="166">
        <v>100</v>
      </c>
      <c r="N2275" s="166">
        <v>1</v>
      </c>
      <c r="O2275" s="164">
        <f t="shared" si="252"/>
        <v>3500000</v>
      </c>
      <c r="P2275" s="166"/>
      <c r="Q2275" s="166"/>
      <c r="R2275" s="164">
        <f>$L2275*'Pivot Objective'!$C$9*P2275*Q2275</f>
        <v>0</v>
      </c>
      <c r="S2275" s="166">
        <v>0</v>
      </c>
      <c r="T2275" s="166">
        <v>0</v>
      </c>
      <c r="U2275" s="164">
        <f>($L2275*'Pivot Objective'!$C$9^2)*S2275*T2275</f>
        <v>0</v>
      </c>
      <c r="V2275" s="166">
        <v>0</v>
      </c>
      <c r="W2275" s="166">
        <v>0</v>
      </c>
      <c r="X2275" s="164">
        <f>($L2275*'Pivot Objective'!$C$9^3)*V2275*W2275</f>
        <v>0</v>
      </c>
      <c r="Y2275" s="166">
        <v>0</v>
      </c>
      <c r="Z2275" s="166">
        <v>0</v>
      </c>
      <c r="AA2275" s="164">
        <f>($L2275*'Pivot Objective'!$C$9^4)*Y2275*Z2275</f>
        <v>0</v>
      </c>
      <c r="AB2275" s="166">
        <v>100</v>
      </c>
      <c r="AC2275" s="166">
        <v>1</v>
      </c>
      <c r="AD2275" s="164">
        <f>($L2275*'Pivot Objective'!$C$9^5)*AB2275*AC2275</f>
        <v>6825732.9221386546</v>
      </c>
      <c r="AE2275" s="166">
        <v>0</v>
      </c>
      <c r="AF2275" s="166">
        <v>0</v>
      </c>
      <c r="AG2275" s="164">
        <f>($L2275*'Pivot Objective'!$C$9^6)*AE2275*AF2275</f>
        <v>0</v>
      </c>
      <c r="AH2275" s="166">
        <v>0</v>
      </c>
      <c r="AI2275" s="166">
        <v>0</v>
      </c>
      <c r="AJ2275" s="164">
        <f>($L2275*'Pivot Objective'!$C$9^7)*AH2275*AI2275</f>
        <v>0</v>
      </c>
      <c r="AK2275" s="185">
        <f t="shared" si="253"/>
        <v>10325732.922138654</v>
      </c>
      <c r="AL2275" s="186">
        <f t="shared" si="254"/>
        <v>10024.983419552091</v>
      </c>
    </row>
    <row r="2276" spans="1:38" customFormat="1" ht="57.6" x14ac:dyDescent="0.3">
      <c r="A2276" s="140" t="s">
        <v>1488</v>
      </c>
      <c r="B2276" s="140">
        <v>4</v>
      </c>
      <c r="C2276" s="166" t="s">
        <v>697</v>
      </c>
      <c r="D2276" s="140" t="str">
        <f t="shared" si="246"/>
        <v>2</v>
      </c>
      <c r="E2276" s="166" t="s">
        <v>693</v>
      </c>
      <c r="F2276" s="140">
        <f t="shared" si="255"/>
        <v>1</v>
      </c>
      <c r="G2276" s="140" t="str">
        <f t="shared" si="247"/>
        <v>4.2.1</v>
      </c>
      <c r="H2276" s="166" t="s">
        <v>669</v>
      </c>
      <c r="I2276" s="166" t="s">
        <v>96</v>
      </c>
      <c r="J2276" s="166" t="s">
        <v>434</v>
      </c>
      <c r="K2276" s="166" t="s">
        <v>716</v>
      </c>
      <c r="L2276" s="177">
        <v>39000</v>
      </c>
      <c r="M2276" s="166">
        <v>58</v>
      </c>
      <c r="N2276" s="166">
        <v>2</v>
      </c>
      <c r="O2276" s="164">
        <f t="shared" si="252"/>
        <v>4524000</v>
      </c>
      <c r="P2276" s="166"/>
      <c r="Q2276" s="166"/>
      <c r="R2276" s="164">
        <f>$L2276*'Pivot Objective'!$C$9*P2276*Q2276</f>
        <v>0</v>
      </c>
      <c r="S2276" s="166">
        <v>0</v>
      </c>
      <c r="T2276" s="166">
        <v>0</v>
      </c>
      <c r="U2276" s="164">
        <f>($L2276*'Pivot Objective'!$C$9^2)*S2276*T2276</f>
        <v>0</v>
      </c>
      <c r="V2276" s="166">
        <v>0</v>
      </c>
      <c r="W2276" s="166">
        <v>0</v>
      </c>
      <c r="X2276" s="164">
        <f>($L2276*'Pivot Objective'!$C$9^3)*V2276*W2276</f>
        <v>0</v>
      </c>
      <c r="Y2276" s="166">
        <v>0</v>
      </c>
      <c r="Z2276" s="166">
        <v>0</v>
      </c>
      <c r="AA2276" s="164">
        <f>($L2276*'Pivot Objective'!$C$9^4)*Y2276*Z2276</f>
        <v>0</v>
      </c>
      <c r="AB2276" s="166">
        <v>58</v>
      </c>
      <c r="AC2276" s="166">
        <v>2</v>
      </c>
      <c r="AD2276" s="164">
        <f>($L2276*'Pivot Objective'!$C$9^5)*AB2276*AC2276</f>
        <v>8822747.3542157933</v>
      </c>
      <c r="AE2276" s="166">
        <v>0</v>
      </c>
      <c r="AF2276" s="166">
        <v>0</v>
      </c>
      <c r="AG2276" s="164">
        <f>($L2276*'Pivot Objective'!$C$9^6)*AE2276*AF2276</f>
        <v>0</v>
      </c>
      <c r="AH2276" s="166">
        <v>0</v>
      </c>
      <c r="AI2276" s="166">
        <v>0</v>
      </c>
      <c r="AJ2276" s="164">
        <f>($L2276*'Pivot Objective'!$C$9^7)*AH2276*AI2276</f>
        <v>0</v>
      </c>
      <c r="AK2276" s="185">
        <f t="shared" si="253"/>
        <v>13346747.354215793</v>
      </c>
      <c r="AL2276" s="186">
        <f t="shared" si="254"/>
        <v>12958.007140015334</v>
      </c>
    </row>
    <row r="2277" spans="1:38" customFormat="1" ht="57.6" x14ac:dyDescent="0.3">
      <c r="A2277" s="140" t="s">
        <v>1488</v>
      </c>
      <c r="B2277" s="140">
        <v>4</v>
      </c>
      <c r="C2277" s="166" t="s">
        <v>697</v>
      </c>
      <c r="D2277" s="140" t="str">
        <f t="shared" si="246"/>
        <v>2</v>
      </c>
      <c r="E2277" s="166" t="s">
        <v>693</v>
      </c>
      <c r="F2277" s="140">
        <f t="shared" si="255"/>
        <v>1</v>
      </c>
      <c r="G2277" s="140" t="str">
        <f t="shared" si="247"/>
        <v>4.2.1</v>
      </c>
      <c r="H2277" s="166" t="s">
        <v>669</v>
      </c>
      <c r="I2277" s="166" t="s">
        <v>96</v>
      </c>
      <c r="J2277" s="166" t="s">
        <v>434</v>
      </c>
      <c r="K2277" s="166" t="s">
        <v>712</v>
      </c>
      <c r="L2277" s="177">
        <f>1480/7</f>
        <v>211.42857142857142</v>
      </c>
      <c r="M2277" s="166">
        <f>25*2*29</f>
        <v>1450</v>
      </c>
      <c r="N2277" s="166">
        <v>1</v>
      </c>
      <c r="O2277" s="164">
        <f t="shared" si="252"/>
        <v>306571.42857142858</v>
      </c>
      <c r="P2277" s="166"/>
      <c r="Q2277" s="166"/>
      <c r="R2277" s="164">
        <f>$L2277*'Pivot Objective'!$C$9*P2277*Q2277</f>
        <v>0</v>
      </c>
      <c r="S2277" s="166">
        <v>0</v>
      </c>
      <c r="T2277" s="166">
        <v>0</v>
      </c>
      <c r="U2277" s="164">
        <f>($L2277*'Pivot Objective'!$C$9^2)*S2277*T2277</f>
        <v>0</v>
      </c>
      <c r="V2277" s="166">
        <v>0</v>
      </c>
      <c r="W2277" s="166">
        <v>0</v>
      </c>
      <c r="X2277" s="164">
        <f>($L2277*'Pivot Objective'!$C$9^3)*V2277*W2277</f>
        <v>0</v>
      </c>
      <c r="Y2277" s="166">
        <v>0</v>
      </c>
      <c r="Z2277" s="166">
        <v>0</v>
      </c>
      <c r="AA2277" s="164">
        <f>($L2277*'Pivot Objective'!$C$9^4)*Y2277*Z2277</f>
        <v>0</v>
      </c>
      <c r="AB2277" s="166">
        <f>25*2*29</f>
        <v>1450</v>
      </c>
      <c r="AC2277" s="166">
        <v>1</v>
      </c>
      <c r="AD2277" s="164">
        <f>($L2277*'Pivot Objective'!$C$9^5)*AB2277*AC2277</f>
        <v>597878.48371059401</v>
      </c>
      <c r="AE2277" s="166">
        <v>0</v>
      </c>
      <c r="AF2277" s="166">
        <v>0</v>
      </c>
      <c r="AG2277" s="164">
        <f>($L2277*'Pivot Objective'!$C$9^6)*AE2277*AF2277</f>
        <v>0</v>
      </c>
      <c r="AH2277" s="166">
        <v>0</v>
      </c>
      <c r="AI2277" s="166">
        <v>0</v>
      </c>
      <c r="AJ2277" s="164">
        <f>($L2277*'Pivot Objective'!$C$9^7)*AH2277*AI2277</f>
        <v>0</v>
      </c>
      <c r="AK2277" s="185">
        <f t="shared" si="253"/>
        <v>904449.91228202265</v>
      </c>
      <c r="AL2277" s="186">
        <f t="shared" si="254"/>
        <v>878.10671095342002</v>
      </c>
    </row>
    <row r="2278" spans="1:38" customFormat="1" ht="57.6" x14ac:dyDescent="0.3">
      <c r="A2278" s="140" t="s">
        <v>1488</v>
      </c>
      <c r="B2278" s="140">
        <v>4</v>
      </c>
      <c r="C2278" s="166" t="s">
        <v>697</v>
      </c>
      <c r="D2278" s="140" t="str">
        <f t="shared" si="246"/>
        <v>2</v>
      </c>
      <c r="E2278" s="166" t="s">
        <v>693</v>
      </c>
      <c r="F2278" s="140">
        <f t="shared" si="255"/>
        <v>1</v>
      </c>
      <c r="G2278" s="140" t="str">
        <f t="shared" si="247"/>
        <v>4.2.1</v>
      </c>
      <c r="H2278" s="166" t="s">
        <v>669</v>
      </c>
      <c r="I2278" s="166" t="s">
        <v>96</v>
      </c>
      <c r="J2278" s="166" t="s">
        <v>434</v>
      </c>
      <c r="K2278" s="166" t="s">
        <v>712</v>
      </c>
      <c r="L2278" s="177">
        <f>1480/7</f>
        <v>211.42857142857142</v>
      </c>
      <c r="M2278" s="166">
        <f>135*2*29</f>
        <v>7830</v>
      </c>
      <c r="N2278" s="166">
        <v>2</v>
      </c>
      <c r="O2278" s="164">
        <f t="shared" si="252"/>
        <v>3310971.4285714282</v>
      </c>
      <c r="P2278" s="166"/>
      <c r="Q2278" s="166"/>
      <c r="R2278" s="164">
        <f>$L2278*'Pivot Objective'!$C$9*P2278*Q2278</f>
        <v>0</v>
      </c>
      <c r="S2278" s="166"/>
      <c r="T2278" s="166"/>
      <c r="U2278" s="164">
        <f>($L2278*'Pivot Objective'!$C$9^2)*S2278*T2278</f>
        <v>0</v>
      </c>
      <c r="V2278" s="166"/>
      <c r="W2278" s="166"/>
      <c r="X2278" s="164">
        <f>($L2278*'Pivot Objective'!$C$9^3)*V2278*W2278</f>
        <v>0</v>
      </c>
      <c r="Y2278" s="166"/>
      <c r="Z2278" s="166"/>
      <c r="AA2278" s="164">
        <f>($L2278*'Pivot Objective'!$C$9^4)*Y2278*Z2278</f>
        <v>0</v>
      </c>
      <c r="AB2278" s="166">
        <f>135*2*29</f>
        <v>7830</v>
      </c>
      <c r="AC2278" s="166">
        <v>2</v>
      </c>
      <c r="AD2278" s="164">
        <f>($L2278*'Pivot Objective'!$C$9^5)*AB2278*AC2278</f>
        <v>6457087.6240744162</v>
      </c>
      <c r="AE2278" s="166"/>
      <c r="AF2278" s="166"/>
      <c r="AG2278" s="164">
        <f>($L2278*'Pivot Objective'!$C$9^6)*AE2278*AF2278</f>
        <v>0</v>
      </c>
      <c r="AH2278" s="166"/>
      <c r="AI2278" s="166"/>
      <c r="AJ2278" s="164">
        <f>($L2278*'Pivot Objective'!$C$9^7)*AH2278*AI2278</f>
        <v>0</v>
      </c>
      <c r="AK2278" s="185">
        <f t="shared" si="253"/>
        <v>9768059.0526458435</v>
      </c>
      <c r="AL2278" s="186">
        <f t="shared" si="254"/>
        <v>9483.5524782969351</v>
      </c>
    </row>
    <row r="2279" spans="1:38" customFormat="1" ht="57.6" x14ac:dyDescent="0.3">
      <c r="A2279" s="140" t="s">
        <v>1488</v>
      </c>
      <c r="B2279" s="140">
        <v>4</v>
      </c>
      <c r="C2279" s="166" t="s">
        <v>697</v>
      </c>
      <c r="D2279" s="140" t="str">
        <f t="shared" si="246"/>
        <v>2</v>
      </c>
      <c r="E2279" s="166" t="s">
        <v>693</v>
      </c>
      <c r="F2279" s="140">
        <f t="shared" si="255"/>
        <v>1</v>
      </c>
      <c r="G2279" s="140" t="str">
        <f t="shared" si="247"/>
        <v>4.2.1</v>
      </c>
      <c r="H2279" s="166" t="s">
        <v>669</v>
      </c>
      <c r="I2279" s="166" t="s">
        <v>97</v>
      </c>
      <c r="J2279" s="166" t="s">
        <v>1398</v>
      </c>
      <c r="K2279" s="166" t="s">
        <v>709</v>
      </c>
      <c r="L2279" s="177">
        <v>35000</v>
      </c>
      <c r="M2279" s="166">
        <v>30</v>
      </c>
      <c r="N2279" s="166">
        <v>20</v>
      </c>
      <c r="O2279" s="164">
        <f t="shared" si="252"/>
        <v>21000000</v>
      </c>
      <c r="P2279" s="166">
        <v>30</v>
      </c>
      <c r="Q2279" s="166">
        <v>20</v>
      </c>
      <c r="R2279" s="164">
        <f>$L2279*'Pivot Objective'!$C$9*P2279*Q2279</f>
        <v>24001343.036999997</v>
      </c>
      <c r="S2279" s="166">
        <v>30</v>
      </c>
      <c r="T2279" s="166">
        <v>20</v>
      </c>
      <c r="U2279" s="164">
        <f>($L2279*'Pivot Objective'!$C$9^2)*S2279*T2279</f>
        <v>27431641.313321345</v>
      </c>
      <c r="V2279" s="166">
        <v>30</v>
      </c>
      <c r="W2279" s="166">
        <v>20</v>
      </c>
      <c r="X2279" s="164">
        <f>($L2279*'Pivot Objective'!$C$9^3)*V2279*W2279</f>
        <v>31352201.582331754</v>
      </c>
      <c r="Y2279" s="166">
        <v>30</v>
      </c>
      <c r="Z2279" s="166">
        <v>20</v>
      </c>
      <c r="AA2279" s="164">
        <f>($L2279*'Pivot Objective'!$C$9^4)*Y2279*Z2279</f>
        <v>35833092.625843741</v>
      </c>
      <c r="AB2279" s="166">
        <v>30</v>
      </c>
      <c r="AC2279" s="166">
        <v>20</v>
      </c>
      <c r="AD2279" s="164">
        <f>($L2279*'Pivot Objective'!$C$9^5)*AB2279*AC2279</f>
        <v>40954397.53283193</v>
      </c>
      <c r="AE2279" s="166">
        <v>30</v>
      </c>
      <c r="AF2279" s="166">
        <v>20</v>
      </c>
      <c r="AG2279" s="164">
        <f>($L2279*'Pivot Objective'!$C$9^6)*AE2279*AF2279</f>
        <v>46807644.955198362</v>
      </c>
      <c r="AH2279" s="166">
        <v>30</v>
      </c>
      <c r="AI2279" s="166">
        <v>20</v>
      </c>
      <c r="AJ2279" s="164">
        <f>($L2279*'Pivot Objective'!$C$9^7)*AH2279*AI2279</f>
        <v>53497444.920181826</v>
      </c>
      <c r="AK2279" s="185">
        <f t="shared" si="253"/>
        <v>280877765.96670896</v>
      </c>
      <c r="AL2279" s="186">
        <f t="shared" si="254"/>
        <v>272696.86016185337</v>
      </c>
    </row>
    <row r="2280" spans="1:38" customFormat="1" ht="57.6" x14ac:dyDescent="0.3">
      <c r="A2280" s="140" t="s">
        <v>1488</v>
      </c>
      <c r="B2280" s="140">
        <v>4</v>
      </c>
      <c r="C2280" s="166" t="s">
        <v>697</v>
      </c>
      <c r="D2280" s="140" t="str">
        <f t="shared" si="246"/>
        <v>2</v>
      </c>
      <c r="E2280" s="166" t="s">
        <v>693</v>
      </c>
      <c r="F2280" s="140">
        <f t="shared" si="255"/>
        <v>1</v>
      </c>
      <c r="G2280" s="140" t="str">
        <f t="shared" si="247"/>
        <v>4.2.1</v>
      </c>
      <c r="H2280" s="166" t="s">
        <v>669</v>
      </c>
      <c r="I2280" s="166" t="s">
        <v>97</v>
      </c>
      <c r="J2280" s="166" t="s">
        <v>496</v>
      </c>
      <c r="K2280" s="166" t="s">
        <v>716</v>
      </c>
      <c r="L2280" s="177">
        <v>39000</v>
      </c>
      <c r="M2280" s="166">
        <v>30</v>
      </c>
      <c r="N2280" s="166">
        <v>15</v>
      </c>
      <c r="O2280" s="164">
        <f t="shared" si="252"/>
        <v>17550000</v>
      </c>
      <c r="P2280" s="166">
        <v>30</v>
      </c>
      <c r="Q2280" s="166">
        <v>15</v>
      </c>
      <c r="R2280" s="164">
        <f>$L2280*'Pivot Objective'!$C$9*P2280*Q2280</f>
        <v>20058265.252349995</v>
      </c>
      <c r="S2280" s="166">
        <v>30</v>
      </c>
      <c r="T2280" s="166">
        <v>15</v>
      </c>
      <c r="U2280" s="164">
        <f>($L2280*'Pivot Objective'!$C$9^2)*S2280*T2280</f>
        <v>22925014.526132841</v>
      </c>
      <c r="V2280" s="166">
        <v>30</v>
      </c>
      <c r="W2280" s="166">
        <v>15</v>
      </c>
      <c r="X2280" s="164">
        <f>($L2280*'Pivot Objective'!$C$9^3)*V2280*W2280</f>
        <v>26201482.750948675</v>
      </c>
      <c r="Y2280" s="166">
        <v>30</v>
      </c>
      <c r="Z2280" s="166">
        <v>15</v>
      </c>
      <c r="AA2280" s="164">
        <f>($L2280*'Pivot Objective'!$C$9^4)*Y2280*Z2280</f>
        <v>29946227.408740841</v>
      </c>
      <c r="AB2280" s="166">
        <v>30</v>
      </c>
      <c r="AC2280" s="166">
        <v>15</v>
      </c>
      <c r="AD2280" s="164">
        <f>($L2280*'Pivot Objective'!$C$9^5)*AB2280*AC2280</f>
        <v>34226175.081009544</v>
      </c>
      <c r="AE2280" s="166">
        <v>30</v>
      </c>
      <c r="AF2280" s="166">
        <v>15</v>
      </c>
      <c r="AG2280" s="164">
        <f>($L2280*'Pivot Objective'!$C$9^6)*AE2280*AF2280</f>
        <v>39117817.569701493</v>
      </c>
      <c r="AH2280" s="166">
        <v>30</v>
      </c>
      <c r="AI2280" s="166">
        <v>15</v>
      </c>
      <c r="AJ2280" s="164">
        <f>($L2280*'Pivot Objective'!$C$9^7)*AH2280*AI2280</f>
        <v>44708578.969009094</v>
      </c>
      <c r="AK2280" s="185">
        <f t="shared" si="253"/>
        <v>234733561.5578925</v>
      </c>
      <c r="AL2280" s="186">
        <f t="shared" si="254"/>
        <v>227896.66170669175</v>
      </c>
    </row>
    <row r="2281" spans="1:38" customFormat="1" ht="57.6" x14ac:dyDescent="0.3">
      <c r="A2281" s="140" t="s">
        <v>1488</v>
      </c>
      <c r="B2281" s="140">
        <v>4</v>
      </c>
      <c r="C2281" s="166" t="s">
        <v>697</v>
      </c>
      <c r="D2281" s="140" t="str">
        <f t="shared" si="246"/>
        <v>2</v>
      </c>
      <c r="E2281" s="166" t="s">
        <v>693</v>
      </c>
      <c r="F2281" s="140">
        <f t="shared" si="255"/>
        <v>1</v>
      </c>
      <c r="G2281" s="140" t="str">
        <f t="shared" si="247"/>
        <v>4.2.1</v>
      </c>
      <c r="H2281" s="166" t="s">
        <v>669</v>
      </c>
      <c r="I2281" s="166" t="s">
        <v>97</v>
      </c>
      <c r="J2281" s="166" t="s">
        <v>496</v>
      </c>
      <c r="K2281" s="166" t="s">
        <v>1350</v>
      </c>
      <c r="L2281" s="177">
        <f>1480/7</f>
        <v>211.42857142857142</v>
      </c>
      <c r="M2281" s="166">
        <f>25*2*10</f>
        <v>500</v>
      </c>
      <c r="N2281" s="166">
        <v>1</v>
      </c>
      <c r="O2281" s="164">
        <f t="shared" si="252"/>
        <v>105714.28571428571</v>
      </c>
      <c r="P2281" s="166">
        <f>25*2*10</f>
        <v>500</v>
      </c>
      <c r="Q2281" s="166">
        <v>1</v>
      </c>
      <c r="R2281" s="164">
        <f>$L2281*'Pivot Objective'!$C$9*P2281*Q2281</f>
        <v>120823.08739714284</v>
      </c>
      <c r="S2281" s="166">
        <f>25*2*10</f>
        <v>500</v>
      </c>
      <c r="T2281" s="166">
        <v>1</v>
      </c>
      <c r="U2281" s="164">
        <f>($L2281*'Pivot Objective'!$C$9^2)*S2281*T2281</f>
        <v>138091.25559086938</v>
      </c>
      <c r="V2281" s="166">
        <f>25*2*10</f>
        <v>500</v>
      </c>
      <c r="W2281" s="166">
        <v>1</v>
      </c>
      <c r="X2281" s="164">
        <f>($L2281*'Pivot Objective'!$C$9^3)*V2281*W2281</f>
        <v>157827.40932602377</v>
      </c>
      <c r="Y2281" s="166">
        <f>25*2*10</f>
        <v>500</v>
      </c>
      <c r="Z2281" s="166">
        <v>1</v>
      </c>
      <c r="AA2281" s="164">
        <f>($L2281*'Pivot Objective'!$C$9^4)*Y2281*Z2281</f>
        <v>180384.27580356711</v>
      </c>
      <c r="AB2281" s="166">
        <f>25*2*10</f>
        <v>500</v>
      </c>
      <c r="AC2281" s="166">
        <v>1</v>
      </c>
      <c r="AD2281" s="164">
        <f>($L2281*'Pivot Objective'!$C$9^5)*AB2281*AC2281</f>
        <v>206164.99438296346</v>
      </c>
      <c r="AE2281" s="166">
        <f>25*2*10</f>
        <v>500</v>
      </c>
      <c r="AF2281" s="166">
        <v>1</v>
      </c>
      <c r="AG2281" s="164">
        <f>($L2281*'Pivot Objective'!$C$9^6)*AE2281*AF2281</f>
        <v>235630.32154317544</v>
      </c>
      <c r="AH2281" s="166">
        <f>25*2*10</f>
        <v>500</v>
      </c>
      <c r="AI2281" s="166">
        <v>1</v>
      </c>
      <c r="AJ2281" s="164">
        <f>($L2281*'Pivot Objective'!$C$9^7)*AH2281*AI2281</f>
        <v>269306.86558458878</v>
      </c>
      <c r="AK2281" s="185">
        <f t="shared" si="253"/>
        <v>1413942.4953426167</v>
      </c>
      <c r="AL2281" s="186">
        <f t="shared" si="254"/>
        <v>1372.7597042161326</v>
      </c>
    </row>
    <row r="2282" spans="1:38" customFormat="1" ht="57.6" x14ac:dyDescent="0.3">
      <c r="A2282" s="140" t="s">
        <v>1488</v>
      </c>
      <c r="B2282" s="140">
        <v>4</v>
      </c>
      <c r="C2282" s="166" t="s">
        <v>697</v>
      </c>
      <c r="D2282" s="140" t="str">
        <f t="shared" si="246"/>
        <v>2</v>
      </c>
      <c r="E2282" s="166" t="s">
        <v>693</v>
      </c>
      <c r="F2282" s="140">
        <f t="shared" si="255"/>
        <v>1</v>
      </c>
      <c r="G2282" s="140" t="str">
        <f t="shared" si="247"/>
        <v>4.2.1</v>
      </c>
      <c r="H2282" s="166" t="s">
        <v>669</v>
      </c>
      <c r="I2282" s="166" t="s">
        <v>97</v>
      </c>
      <c r="J2282" s="166" t="s">
        <v>496</v>
      </c>
      <c r="K2282" s="166" t="s">
        <v>712</v>
      </c>
      <c r="L2282" s="177">
        <f>1480/7</f>
        <v>211.42857142857142</v>
      </c>
      <c r="M2282" s="166">
        <f>135*2*10</f>
        <v>2700</v>
      </c>
      <c r="N2282" s="166">
        <v>14</v>
      </c>
      <c r="O2282" s="164">
        <f t="shared" si="252"/>
        <v>7992000</v>
      </c>
      <c r="P2282" s="166">
        <f>135*2*10</f>
        <v>2700</v>
      </c>
      <c r="Q2282" s="166">
        <v>14</v>
      </c>
      <c r="R2282" s="164">
        <f>$L2282*'Pivot Objective'!$C$9*P2282*Q2282</f>
        <v>9134225.4072239976</v>
      </c>
      <c r="S2282" s="166">
        <f>135*2*10</f>
        <v>2700</v>
      </c>
      <c r="T2282" s="166">
        <v>14</v>
      </c>
      <c r="U2282" s="164">
        <f>($L2282*'Pivot Objective'!$C$9^2)*S2282*T2282</f>
        <v>10439698.922669724</v>
      </c>
      <c r="V2282" s="166">
        <f>135*2*10</f>
        <v>2700</v>
      </c>
      <c r="W2282" s="166">
        <v>14</v>
      </c>
      <c r="X2282" s="164">
        <f>($L2282*'Pivot Objective'!$C$9^3)*V2282*W2282</f>
        <v>11931752.145047396</v>
      </c>
      <c r="Y2282" s="166">
        <f>135*2*10</f>
        <v>2700</v>
      </c>
      <c r="Z2282" s="166">
        <v>14</v>
      </c>
      <c r="AA2282" s="164">
        <f>($L2282*'Pivot Objective'!$C$9^4)*Y2282*Z2282</f>
        <v>13637051.250749674</v>
      </c>
      <c r="AB2282" s="166">
        <f>135*2*10</f>
        <v>2700</v>
      </c>
      <c r="AC2282" s="166">
        <v>14</v>
      </c>
      <c r="AD2282" s="164">
        <f>($L2282*'Pivot Objective'!$C$9^5)*AB2282*AC2282</f>
        <v>15586073.575352039</v>
      </c>
      <c r="AE2282" s="166">
        <f>135*2*10</f>
        <v>2700</v>
      </c>
      <c r="AF2282" s="166">
        <v>14</v>
      </c>
      <c r="AG2282" s="164">
        <f>($L2282*'Pivot Objective'!$C$9^6)*AE2282*AF2282</f>
        <v>17813652.308664065</v>
      </c>
      <c r="AH2282" s="166">
        <f>135*2*10</f>
        <v>2700</v>
      </c>
      <c r="AI2282" s="166">
        <v>14</v>
      </c>
      <c r="AJ2282" s="164">
        <f>($L2282*'Pivot Objective'!$C$9^7)*AH2282*AI2282</f>
        <v>20359599.03819491</v>
      </c>
      <c r="AK2282" s="185">
        <f t="shared" si="253"/>
        <v>106894052.64790182</v>
      </c>
      <c r="AL2282" s="186">
        <f t="shared" si="254"/>
        <v>103780.63363873963</v>
      </c>
    </row>
    <row r="2283" spans="1:38" customFormat="1" ht="57.6" x14ac:dyDescent="0.3">
      <c r="A2283" s="140" t="s">
        <v>1488</v>
      </c>
      <c r="B2283" s="140">
        <v>4</v>
      </c>
      <c r="C2283" s="166" t="s">
        <v>697</v>
      </c>
      <c r="D2283" s="140" t="str">
        <f t="shared" si="246"/>
        <v>2</v>
      </c>
      <c r="E2283" s="166" t="s">
        <v>693</v>
      </c>
      <c r="F2283" s="140">
        <f t="shared" si="255"/>
        <v>1</v>
      </c>
      <c r="G2283" s="140" t="str">
        <f t="shared" si="247"/>
        <v>4.2.1</v>
      </c>
      <c r="H2283" s="166" t="s">
        <v>669</v>
      </c>
      <c r="I2283" s="166" t="s">
        <v>97</v>
      </c>
      <c r="J2283" s="166" t="s">
        <v>1399</v>
      </c>
      <c r="K2283" s="166" t="s">
        <v>709</v>
      </c>
      <c r="L2283" s="177">
        <v>35000</v>
      </c>
      <c r="M2283" s="166">
        <v>100</v>
      </c>
      <c r="N2283" s="166">
        <v>10</v>
      </c>
      <c r="O2283" s="164">
        <f t="shared" si="252"/>
        <v>35000000</v>
      </c>
      <c r="P2283" s="166">
        <v>100</v>
      </c>
      <c r="Q2283" s="166">
        <v>10</v>
      </c>
      <c r="R2283" s="164">
        <f>$L2283*'Pivot Objective'!$C$9*P2283*Q2283</f>
        <v>40002238.394999996</v>
      </c>
      <c r="S2283" s="166">
        <v>100</v>
      </c>
      <c r="T2283" s="166">
        <v>10</v>
      </c>
      <c r="U2283" s="164">
        <f>($L2283*'Pivot Objective'!$C$9^2)*S2283*T2283</f>
        <v>45719402.18886891</v>
      </c>
      <c r="V2283" s="166">
        <v>100</v>
      </c>
      <c r="W2283" s="166">
        <v>10</v>
      </c>
      <c r="X2283" s="164">
        <f>($L2283*'Pivot Objective'!$C$9^3)*V2283*W2283</f>
        <v>52253669.303886257</v>
      </c>
      <c r="Y2283" s="166">
        <v>100</v>
      </c>
      <c r="Z2283" s="166">
        <v>10</v>
      </c>
      <c r="AA2283" s="164">
        <f>($L2283*'Pivot Objective'!$C$9^4)*Y2283*Z2283</f>
        <v>59721821.043072902</v>
      </c>
      <c r="AB2283" s="166">
        <v>100</v>
      </c>
      <c r="AC2283" s="166">
        <v>10</v>
      </c>
      <c r="AD2283" s="164">
        <f>($L2283*'Pivot Objective'!$C$9^5)*AB2283*AC2283</f>
        <v>68257329.221386552</v>
      </c>
      <c r="AE2283" s="166">
        <v>100</v>
      </c>
      <c r="AF2283" s="166">
        <v>10</v>
      </c>
      <c r="AG2283" s="164">
        <f>($L2283*'Pivot Objective'!$C$9^6)*AE2283*AF2283</f>
        <v>78012741.591997266</v>
      </c>
      <c r="AH2283" s="166">
        <v>100</v>
      </c>
      <c r="AI2283" s="166">
        <v>10</v>
      </c>
      <c r="AJ2283" s="164">
        <f>($L2283*'Pivot Objective'!$C$9^7)*AH2283*AI2283</f>
        <v>89162408.200303048</v>
      </c>
      <c r="AK2283" s="185">
        <f t="shared" si="253"/>
        <v>468129609.94451499</v>
      </c>
      <c r="AL2283" s="186">
        <f t="shared" si="254"/>
        <v>454494.76693642233</v>
      </c>
    </row>
    <row r="2284" spans="1:38" customFormat="1" ht="57.6" x14ac:dyDescent="0.3">
      <c r="A2284" s="140" t="s">
        <v>1488</v>
      </c>
      <c r="B2284" s="140">
        <v>4</v>
      </c>
      <c r="C2284" s="166" t="s">
        <v>697</v>
      </c>
      <c r="D2284" s="140" t="str">
        <f t="shared" si="246"/>
        <v>2</v>
      </c>
      <c r="E2284" s="166" t="s">
        <v>693</v>
      </c>
      <c r="F2284" s="140">
        <f t="shared" si="255"/>
        <v>1</v>
      </c>
      <c r="G2284" s="140" t="str">
        <f t="shared" si="247"/>
        <v>4.2.1</v>
      </c>
      <c r="H2284" s="166" t="s">
        <v>669</v>
      </c>
      <c r="I2284" s="166" t="s">
        <v>97</v>
      </c>
      <c r="J2284" s="166" t="s">
        <v>1399</v>
      </c>
      <c r="K2284" s="166" t="s">
        <v>716</v>
      </c>
      <c r="L2284" s="177">
        <v>39000</v>
      </c>
      <c r="M2284" s="166">
        <v>58</v>
      </c>
      <c r="N2284" s="166">
        <v>10</v>
      </c>
      <c r="O2284" s="164">
        <f t="shared" si="252"/>
        <v>22620000</v>
      </c>
      <c r="P2284" s="166">
        <v>58</v>
      </c>
      <c r="Q2284" s="166">
        <v>10</v>
      </c>
      <c r="R2284" s="164">
        <f>$L2284*'Pivot Objective'!$C$9*P2284*Q2284</f>
        <v>25852875.214139998</v>
      </c>
      <c r="S2284" s="166">
        <v>58</v>
      </c>
      <c r="T2284" s="166">
        <v>10</v>
      </c>
      <c r="U2284" s="164">
        <f>($L2284*'Pivot Objective'!$C$9^2)*S2284*T2284</f>
        <v>29547796.500348993</v>
      </c>
      <c r="V2284" s="166">
        <v>58</v>
      </c>
      <c r="W2284" s="166">
        <v>10</v>
      </c>
      <c r="X2284" s="164">
        <f>($L2284*'Pivot Objective'!$C$9^3)*V2284*W2284</f>
        <v>33770799.990111634</v>
      </c>
      <c r="Y2284" s="166">
        <v>58</v>
      </c>
      <c r="Z2284" s="166">
        <v>10</v>
      </c>
      <c r="AA2284" s="164">
        <f>($L2284*'Pivot Objective'!$C$9^4)*Y2284*Z2284</f>
        <v>38597359.771265976</v>
      </c>
      <c r="AB2284" s="166">
        <v>58</v>
      </c>
      <c r="AC2284" s="166">
        <v>10</v>
      </c>
      <c r="AD2284" s="164">
        <f>($L2284*'Pivot Objective'!$C$9^5)*AB2284*AC2284</f>
        <v>44113736.771078967</v>
      </c>
      <c r="AE2284" s="166">
        <v>58</v>
      </c>
      <c r="AF2284" s="166">
        <v>10</v>
      </c>
      <c r="AG2284" s="164">
        <f>($L2284*'Pivot Objective'!$C$9^6)*AE2284*AF2284</f>
        <v>50418520.423170812</v>
      </c>
      <c r="AH2284" s="166">
        <v>58</v>
      </c>
      <c r="AI2284" s="166">
        <v>10</v>
      </c>
      <c r="AJ2284" s="164">
        <f>($L2284*'Pivot Objective'!$C$9^7)*AH2284*AI2284</f>
        <v>57624390.671167284</v>
      </c>
      <c r="AK2284" s="185">
        <f t="shared" si="253"/>
        <v>302545479.34128368</v>
      </c>
      <c r="AL2284" s="186">
        <f t="shared" si="254"/>
        <v>293733.47508862492</v>
      </c>
    </row>
    <row r="2285" spans="1:38" customFormat="1" ht="57.6" x14ac:dyDescent="0.3">
      <c r="A2285" s="140" t="s">
        <v>1488</v>
      </c>
      <c r="B2285" s="140">
        <v>4</v>
      </c>
      <c r="C2285" s="166" t="s">
        <v>697</v>
      </c>
      <c r="D2285" s="140" t="str">
        <f t="shared" ref="D2285:D2348" si="256">RIGHT(A2285,1)</f>
        <v>2</v>
      </c>
      <c r="E2285" s="166" t="s">
        <v>693</v>
      </c>
      <c r="F2285" s="140">
        <f t="shared" si="255"/>
        <v>1</v>
      </c>
      <c r="G2285" s="140" t="str">
        <f t="shared" si="247"/>
        <v>4.2.1</v>
      </c>
      <c r="H2285" s="166" t="s">
        <v>669</v>
      </c>
      <c r="I2285" s="166" t="s">
        <v>97</v>
      </c>
      <c r="J2285" s="166" t="s">
        <v>1399</v>
      </c>
      <c r="K2285" s="166" t="s">
        <v>712</v>
      </c>
      <c r="L2285" s="177">
        <f>1480/7</f>
        <v>211.42857142857142</v>
      </c>
      <c r="M2285" s="166">
        <f>25*2*29</f>
        <v>1450</v>
      </c>
      <c r="N2285" s="166">
        <v>10</v>
      </c>
      <c r="O2285" s="164">
        <f t="shared" si="252"/>
        <v>3065714.2857142859</v>
      </c>
      <c r="P2285" s="166">
        <f>25*2*29</f>
        <v>1450</v>
      </c>
      <c r="Q2285" s="166">
        <v>10</v>
      </c>
      <c r="R2285" s="164">
        <f>$L2285*'Pivot Objective'!$C$9*P2285*Q2285</f>
        <v>3503869.5345171425</v>
      </c>
      <c r="S2285" s="166">
        <f>25*2*29</f>
        <v>1450</v>
      </c>
      <c r="T2285" s="166">
        <v>10</v>
      </c>
      <c r="U2285" s="164">
        <f>($L2285*'Pivot Objective'!$C$9^2)*S2285*T2285</f>
        <v>4004646.4121352118</v>
      </c>
      <c r="V2285" s="166">
        <f>25*2*29</f>
        <v>1450</v>
      </c>
      <c r="W2285" s="166">
        <v>10</v>
      </c>
      <c r="X2285" s="164">
        <f>($L2285*'Pivot Objective'!$C$9^3)*V2285*W2285</f>
        <v>4576994.8704546895</v>
      </c>
      <c r="Y2285" s="166">
        <f>25*2*29</f>
        <v>1450</v>
      </c>
      <c r="Z2285" s="166">
        <v>10</v>
      </c>
      <c r="AA2285" s="164">
        <f>($L2285*'Pivot Objective'!$C$9^4)*Y2285*Z2285</f>
        <v>5231143.998303446</v>
      </c>
      <c r="AB2285" s="166">
        <f>25*2*29</f>
        <v>1450</v>
      </c>
      <c r="AC2285" s="166">
        <v>10</v>
      </c>
      <c r="AD2285" s="164">
        <f>($L2285*'Pivot Objective'!$C$9^5)*AB2285*AC2285</f>
        <v>5978784.8371059401</v>
      </c>
      <c r="AE2285" s="166">
        <f>25*2*29</f>
        <v>1450</v>
      </c>
      <c r="AF2285" s="166">
        <v>10</v>
      </c>
      <c r="AG2285" s="164">
        <f>($L2285*'Pivot Objective'!$C$9^6)*AE2285*AF2285</f>
        <v>6833279.3247520877</v>
      </c>
      <c r="AH2285" s="166">
        <f>25*2*29</f>
        <v>1450</v>
      </c>
      <c r="AI2285" s="166">
        <v>10</v>
      </c>
      <c r="AJ2285" s="164">
        <f>($L2285*'Pivot Objective'!$C$9^7)*AH2285*AI2285</f>
        <v>7809899.1019530743</v>
      </c>
      <c r="AK2285" s="185">
        <f t="shared" si="253"/>
        <v>41004332.364935875</v>
      </c>
      <c r="AL2285" s="186">
        <f t="shared" si="254"/>
        <v>39810.031422267843</v>
      </c>
    </row>
    <row r="2286" spans="1:38" customFormat="1" ht="57.6" x14ac:dyDescent="0.3">
      <c r="A2286" s="140" t="s">
        <v>1488</v>
      </c>
      <c r="B2286" s="140">
        <v>4</v>
      </c>
      <c r="C2286" s="166" t="s">
        <v>697</v>
      </c>
      <c r="D2286" s="140" t="str">
        <f t="shared" si="256"/>
        <v>2</v>
      </c>
      <c r="E2286" s="166" t="s">
        <v>693</v>
      </c>
      <c r="F2286" s="140">
        <f t="shared" si="255"/>
        <v>1</v>
      </c>
      <c r="G2286" s="140" t="str">
        <f t="shared" ref="G2286:G2349" si="257">B2286&amp;"."&amp;D2286&amp;"."&amp;F2286</f>
        <v>4.2.1</v>
      </c>
      <c r="H2286" s="166" t="s">
        <v>669</v>
      </c>
      <c r="I2286" s="166" t="s">
        <v>97</v>
      </c>
      <c r="J2286" s="166" t="s">
        <v>1399</v>
      </c>
      <c r="K2286" s="166" t="s">
        <v>1350</v>
      </c>
      <c r="L2286" s="177">
        <f>1480/7</f>
        <v>211.42857142857142</v>
      </c>
      <c r="M2286" s="166">
        <f>135*2*29</f>
        <v>7830</v>
      </c>
      <c r="N2286" s="166">
        <v>5</v>
      </c>
      <c r="O2286" s="164">
        <f t="shared" si="252"/>
        <v>8277428.5714285709</v>
      </c>
      <c r="P2286" s="166">
        <f>135*2*29</f>
        <v>7830</v>
      </c>
      <c r="Q2286" s="166">
        <v>5</v>
      </c>
      <c r="R2286" s="164">
        <f>$L2286*'Pivot Objective'!$C$9*P2286*Q2286</f>
        <v>9460447.7431962844</v>
      </c>
      <c r="S2286" s="166">
        <f>135*2*29</f>
        <v>7830</v>
      </c>
      <c r="T2286" s="166">
        <v>5</v>
      </c>
      <c r="U2286" s="164">
        <f>($L2286*'Pivot Objective'!$C$9^2)*S2286*T2286</f>
        <v>10812545.312765071</v>
      </c>
      <c r="V2286" s="166">
        <f>135*2*29</f>
        <v>7830</v>
      </c>
      <c r="W2286" s="166">
        <v>5</v>
      </c>
      <c r="X2286" s="164">
        <f>($L2286*'Pivot Objective'!$C$9^3)*V2286*W2286</f>
        <v>12357886.150227662</v>
      </c>
      <c r="Y2286" s="166">
        <f>135*2*29</f>
        <v>7830</v>
      </c>
      <c r="Z2286" s="166">
        <v>5</v>
      </c>
      <c r="AA2286" s="164">
        <f>($L2286*'Pivot Objective'!$C$9^4)*Y2286*Z2286</f>
        <v>14124088.795419306</v>
      </c>
      <c r="AB2286" s="166">
        <f>135*2*29</f>
        <v>7830</v>
      </c>
      <c r="AC2286" s="166">
        <v>5</v>
      </c>
      <c r="AD2286" s="164">
        <f>($L2286*'Pivot Objective'!$C$9^5)*AB2286*AC2286</f>
        <v>16142719.06018604</v>
      </c>
      <c r="AE2286" s="166">
        <f>135*2*29</f>
        <v>7830</v>
      </c>
      <c r="AF2286" s="166">
        <v>5</v>
      </c>
      <c r="AG2286" s="164">
        <f>($L2286*'Pivot Objective'!$C$9^6)*AE2286*AF2286</f>
        <v>18449854.176830634</v>
      </c>
      <c r="AH2286" s="166">
        <f>135*2*29</f>
        <v>7830</v>
      </c>
      <c r="AI2286" s="166">
        <v>5</v>
      </c>
      <c r="AJ2286" s="164">
        <f>($L2286*'Pivot Objective'!$C$9^7)*AH2286*AI2286</f>
        <v>21086727.575273298</v>
      </c>
      <c r="AK2286" s="185">
        <f t="shared" si="253"/>
        <v>110711697.38532686</v>
      </c>
      <c r="AL2286" s="186">
        <f t="shared" si="254"/>
        <v>107487.08484012316</v>
      </c>
    </row>
    <row r="2287" spans="1:38" customFormat="1" ht="57.6" x14ac:dyDescent="0.3">
      <c r="A2287" s="140" t="s">
        <v>1488</v>
      </c>
      <c r="B2287" s="140">
        <v>4</v>
      </c>
      <c r="C2287" s="166" t="s">
        <v>697</v>
      </c>
      <c r="D2287" s="140" t="str">
        <f t="shared" si="256"/>
        <v>2</v>
      </c>
      <c r="E2287" s="166" t="s">
        <v>693</v>
      </c>
      <c r="F2287" s="140">
        <f t="shared" si="255"/>
        <v>1</v>
      </c>
      <c r="G2287" s="140" t="str">
        <f t="shared" si="257"/>
        <v>4.2.1</v>
      </c>
      <c r="H2287" s="166" t="s">
        <v>669</v>
      </c>
      <c r="I2287" s="166" t="s">
        <v>97</v>
      </c>
      <c r="J2287" s="166" t="s">
        <v>499</v>
      </c>
      <c r="K2287" s="166" t="s">
        <v>719</v>
      </c>
      <c r="L2287" s="177">
        <f>350*1022</f>
        <v>357700</v>
      </c>
      <c r="M2287" s="166">
        <v>2</v>
      </c>
      <c r="N2287" s="166">
        <v>6</v>
      </c>
      <c r="O2287" s="164">
        <f t="shared" si="252"/>
        <v>4292400</v>
      </c>
      <c r="P2287" s="166">
        <v>2</v>
      </c>
      <c r="Q2287" s="166">
        <v>6</v>
      </c>
      <c r="R2287" s="164">
        <f>$L2287*'Pivot Objective'!$C$9*P2287*Q2287</f>
        <v>4905874.5167627996</v>
      </c>
      <c r="S2287" s="166">
        <v>2</v>
      </c>
      <c r="T2287" s="166">
        <v>6</v>
      </c>
      <c r="U2287" s="164">
        <f>($L2287*'Pivot Objective'!$C$9^2)*S2287*T2287</f>
        <v>5607027.4844428832</v>
      </c>
      <c r="V2287" s="166">
        <v>2</v>
      </c>
      <c r="W2287" s="166">
        <v>6</v>
      </c>
      <c r="X2287" s="164">
        <f>($L2287*'Pivot Objective'!$C$9^3)*V2287*W2287</f>
        <v>6408390.00342861</v>
      </c>
      <c r="Y2287" s="166">
        <v>2</v>
      </c>
      <c r="Z2287" s="166">
        <v>6</v>
      </c>
      <c r="AA2287" s="164">
        <f>($L2287*'Pivot Objective'!$C$9^4)*Y2287*Z2287</f>
        <v>7324284.1327224607</v>
      </c>
      <c r="AB2287" s="166">
        <v>2</v>
      </c>
      <c r="AC2287" s="166">
        <v>6</v>
      </c>
      <c r="AD2287" s="164">
        <f>($L2287*'Pivot Objective'!$C$9^5)*AB2287*AC2287</f>
        <v>8371078.8557108464</v>
      </c>
      <c r="AE2287" s="166">
        <v>2</v>
      </c>
      <c r="AF2287" s="166">
        <v>6</v>
      </c>
      <c r="AG2287" s="164">
        <f>($L2287*'Pivot Objective'!$C$9^6)*AE2287*AF2287</f>
        <v>9567482.6288425475</v>
      </c>
      <c r="AH2287" s="166">
        <v>2</v>
      </c>
      <c r="AI2287" s="166">
        <v>6</v>
      </c>
      <c r="AJ2287" s="164">
        <f>($L2287*'Pivot Objective'!$C$9^7)*AH2287*AI2287</f>
        <v>10934877.741685167</v>
      </c>
      <c r="AK2287" s="185">
        <f t="shared" si="253"/>
        <v>57411415.363595314</v>
      </c>
      <c r="AL2287" s="186">
        <f t="shared" si="254"/>
        <v>55739.238217082828</v>
      </c>
    </row>
    <row r="2288" spans="1:38" customFormat="1" ht="57.6" x14ac:dyDescent="0.3">
      <c r="A2288" s="140" t="s">
        <v>1488</v>
      </c>
      <c r="B2288" s="140">
        <v>4</v>
      </c>
      <c r="C2288" s="166" t="s">
        <v>697</v>
      </c>
      <c r="D2288" s="140" t="str">
        <f t="shared" si="256"/>
        <v>2</v>
      </c>
      <c r="E2288" s="166" t="s">
        <v>693</v>
      </c>
      <c r="F2288" s="140">
        <f t="shared" si="255"/>
        <v>1</v>
      </c>
      <c r="G2288" s="140" t="str">
        <f t="shared" si="257"/>
        <v>4.2.1</v>
      </c>
      <c r="H2288" s="166" t="s">
        <v>669</v>
      </c>
      <c r="I2288" s="166" t="s">
        <v>97</v>
      </c>
      <c r="J2288" s="166" t="s">
        <v>499</v>
      </c>
      <c r="K2288" s="166" t="s">
        <v>784</v>
      </c>
      <c r="L2288" s="177">
        <f>10000*1022</f>
        <v>10220000</v>
      </c>
      <c r="M2288" s="166">
        <v>2</v>
      </c>
      <c r="N2288" s="166">
        <v>1</v>
      </c>
      <c r="O2288" s="164">
        <f t="shared" si="252"/>
        <v>20440000</v>
      </c>
      <c r="P2288" s="166">
        <v>2</v>
      </c>
      <c r="Q2288" s="166">
        <v>1</v>
      </c>
      <c r="R2288" s="164">
        <f>$L2288*'Pivot Objective'!$C$9*P2288*Q2288</f>
        <v>23361307.222679999</v>
      </c>
      <c r="S2288" s="166">
        <v>2</v>
      </c>
      <c r="T2288" s="166">
        <v>1</v>
      </c>
      <c r="U2288" s="164">
        <f>($L2288*'Pivot Objective'!$C$9^2)*S2288*T2288</f>
        <v>26700130.878299445</v>
      </c>
      <c r="V2288" s="166">
        <v>2</v>
      </c>
      <c r="W2288" s="166">
        <v>1</v>
      </c>
      <c r="X2288" s="164">
        <f>($L2288*'Pivot Objective'!$C$9^3)*V2288*W2288</f>
        <v>30516142.873469573</v>
      </c>
      <c r="Y2288" s="166">
        <v>2</v>
      </c>
      <c r="Z2288" s="166">
        <v>1</v>
      </c>
      <c r="AA2288" s="164">
        <f>($L2288*'Pivot Objective'!$C$9^4)*Y2288*Z2288</f>
        <v>34877543.489154577</v>
      </c>
      <c r="AB2288" s="166">
        <v>2</v>
      </c>
      <c r="AC2288" s="166">
        <v>1</v>
      </c>
      <c r="AD2288" s="164">
        <f>($L2288*'Pivot Objective'!$C$9^5)*AB2288*AC2288</f>
        <v>39862280.265289746</v>
      </c>
      <c r="AE2288" s="166">
        <v>2</v>
      </c>
      <c r="AF2288" s="166">
        <v>1</v>
      </c>
      <c r="AG2288" s="164">
        <f>($L2288*'Pivot Objective'!$C$9^6)*AE2288*AF2288</f>
        <v>45559441.089726411</v>
      </c>
      <c r="AH2288" s="166">
        <v>2</v>
      </c>
      <c r="AI2288" s="166">
        <v>1</v>
      </c>
      <c r="AJ2288" s="164">
        <f>($L2288*'Pivot Objective'!$C$9^7)*AH2288*AI2288</f>
        <v>52070846.388976984</v>
      </c>
      <c r="AK2288" s="185">
        <f t="shared" si="253"/>
        <v>273387692.20759678</v>
      </c>
      <c r="AL2288" s="186">
        <f t="shared" si="254"/>
        <v>265424.94389087067</v>
      </c>
    </row>
    <row r="2289" spans="1:38" customFormat="1" ht="57.6" x14ac:dyDescent="0.3">
      <c r="A2289" s="140" t="s">
        <v>1488</v>
      </c>
      <c r="B2289" s="140">
        <v>4</v>
      </c>
      <c r="C2289" s="166" t="s">
        <v>697</v>
      </c>
      <c r="D2289" s="140" t="str">
        <f t="shared" si="256"/>
        <v>2</v>
      </c>
      <c r="E2289" s="166" t="s">
        <v>693</v>
      </c>
      <c r="F2289" s="140">
        <f t="shared" si="255"/>
        <v>1</v>
      </c>
      <c r="G2289" s="140" t="str">
        <f t="shared" si="257"/>
        <v>4.2.1</v>
      </c>
      <c r="H2289" s="166" t="s">
        <v>669</v>
      </c>
      <c r="I2289" s="166" t="s">
        <v>98</v>
      </c>
      <c r="J2289" s="166" t="s">
        <v>500</v>
      </c>
      <c r="K2289" s="166" t="s">
        <v>718</v>
      </c>
      <c r="L2289" s="177">
        <v>0</v>
      </c>
      <c r="M2289" s="166">
        <v>0</v>
      </c>
      <c r="N2289" s="166">
        <v>0</v>
      </c>
      <c r="O2289" s="164">
        <f t="shared" si="252"/>
        <v>0</v>
      </c>
      <c r="P2289" s="166">
        <v>0</v>
      </c>
      <c r="Q2289" s="166">
        <v>0</v>
      </c>
      <c r="R2289" s="164">
        <f>$L2289*'Pivot Objective'!$C$9*P2289*Q2289</f>
        <v>0</v>
      </c>
      <c r="S2289" s="166">
        <v>0</v>
      </c>
      <c r="T2289" s="166">
        <v>0</v>
      </c>
      <c r="U2289" s="164">
        <f>($L2289*'Pivot Objective'!$C$9^2)*S2289*T2289</f>
        <v>0</v>
      </c>
      <c r="V2289" s="166">
        <v>0</v>
      </c>
      <c r="W2289" s="166">
        <v>0</v>
      </c>
      <c r="X2289" s="164">
        <f>($L2289*'Pivot Objective'!$C$9^3)*V2289*W2289</f>
        <v>0</v>
      </c>
      <c r="Y2289" s="166">
        <v>0</v>
      </c>
      <c r="Z2289" s="166">
        <v>0</v>
      </c>
      <c r="AA2289" s="164">
        <f>($L2289*'Pivot Objective'!$C$9^4)*Y2289*Z2289</f>
        <v>0</v>
      </c>
      <c r="AB2289" s="166">
        <v>0</v>
      </c>
      <c r="AC2289" s="166">
        <v>0</v>
      </c>
      <c r="AD2289" s="164">
        <f>($L2289*'Pivot Objective'!$C$9^5)*AB2289*AC2289</f>
        <v>0</v>
      </c>
      <c r="AE2289" s="166">
        <v>0</v>
      </c>
      <c r="AF2289" s="166">
        <v>0</v>
      </c>
      <c r="AG2289" s="164">
        <f>($L2289*'Pivot Objective'!$C$9^6)*AE2289*AF2289</f>
        <v>0</v>
      </c>
      <c r="AH2289" s="166">
        <v>0</v>
      </c>
      <c r="AI2289" s="166">
        <v>0</v>
      </c>
      <c r="AJ2289" s="164">
        <f>($L2289*'Pivot Objective'!$C$9^7)*AH2289*AI2289</f>
        <v>0</v>
      </c>
      <c r="AK2289" s="185">
        <f t="shared" si="253"/>
        <v>0</v>
      </c>
      <c r="AL2289" s="186">
        <f t="shared" si="254"/>
        <v>0</v>
      </c>
    </row>
    <row r="2290" spans="1:38" customFormat="1" ht="57.6" x14ac:dyDescent="0.3">
      <c r="A2290" s="140" t="s">
        <v>1488</v>
      </c>
      <c r="B2290" s="140">
        <v>4</v>
      </c>
      <c r="C2290" s="166" t="s">
        <v>697</v>
      </c>
      <c r="D2290" s="140" t="str">
        <f t="shared" si="256"/>
        <v>2</v>
      </c>
      <c r="E2290" s="166" t="s">
        <v>693</v>
      </c>
      <c r="F2290" s="140">
        <f t="shared" si="255"/>
        <v>1</v>
      </c>
      <c r="G2290" s="140" t="str">
        <f t="shared" si="257"/>
        <v>4.2.1</v>
      </c>
      <c r="H2290" s="166" t="s">
        <v>669</v>
      </c>
      <c r="I2290" s="166" t="s">
        <v>98</v>
      </c>
      <c r="J2290" s="166" t="s">
        <v>501</v>
      </c>
      <c r="K2290" s="166" t="s">
        <v>718</v>
      </c>
      <c r="L2290" s="177">
        <v>0</v>
      </c>
      <c r="M2290" s="166">
        <v>0</v>
      </c>
      <c r="N2290" s="166">
        <v>0</v>
      </c>
      <c r="O2290" s="164">
        <f t="shared" si="252"/>
        <v>0</v>
      </c>
      <c r="P2290" s="166">
        <v>0</v>
      </c>
      <c r="Q2290" s="166">
        <v>0</v>
      </c>
      <c r="R2290" s="164">
        <f>$L2290*'Pivot Objective'!$C$9*P2290*Q2290</f>
        <v>0</v>
      </c>
      <c r="S2290" s="166">
        <v>0</v>
      </c>
      <c r="T2290" s="166">
        <v>0</v>
      </c>
      <c r="U2290" s="164">
        <f>($L2290*'Pivot Objective'!$C$9^2)*S2290*T2290</f>
        <v>0</v>
      </c>
      <c r="V2290" s="166">
        <v>0</v>
      </c>
      <c r="W2290" s="166">
        <v>0</v>
      </c>
      <c r="X2290" s="164">
        <f>($L2290*'Pivot Objective'!$C$9^3)*V2290*W2290</f>
        <v>0</v>
      </c>
      <c r="Y2290" s="166">
        <v>0</v>
      </c>
      <c r="Z2290" s="166">
        <v>0</v>
      </c>
      <c r="AA2290" s="164">
        <f>($L2290*'Pivot Objective'!$C$9^4)*Y2290*Z2290</f>
        <v>0</v>
      </c>
      <c r="AB2290" s="166">
        <v>0</v>
      </c>
      <c r="AC2290" s="166">
        <v>0</v>
      </c>
      <c r="AD2290" s="164">
        <f>($L2290*'Pivot Objective'!$C$9^5)*AB2290*AC2290</f>
        <v>0</v>
      </c>
      <c r="AE2290" s="166">
        <v>0</v>
      </c>
      <c r="AF2290" s="166">
        <v>0</v>
      </c>
      <c r="AG2290" s="164">
        <f>($L2290*'Pivot Objective'!$C$9^6)*AE2290*AF2290</f>
        <v>0</v>
      </c>
      <c r="AH2290" s="166">
        <v>0</v>
      </c>
      <c r="AI2290" s="166">
        <v>0</v>
      </c>
      <c r="AJ2290" s="164">
        <f>($L2290*'Pivot Objective'!$C$9^7)*AH2290*AI2290</f>
        <v>0</v>
      </c>
      <c r="AK2290" s="185">
        <f t="shared" si="253"/>
        <v>0</v>
      </c>
      <c r="AL2290" s="186">
        <f t="shared" si="254"/>
        <v>0</v>
      </c>
    </row>
    <row r="2291" spans="1:38" customFormat="1" ht="57.6" x14ac:dyDescent="0.3">
      <c r="A2291" s="140" t="s">
        <v>1488</v>
      </c>
      <c r="B2291" s="140">
        <v>4</v>
      </c>
      <c r="C2291" s="166" t="s">
        <v>697</v>
      </c>
      <c r="D2291" s="140" t="str">
        <f t="shared" si="256"/>
        <v>2</v>
      </c>
      <c r="E2291" s="166" t="s">
        <v>693</v>
      </c>
      <c r="F2291" s="140">
        <f t="shared" si="255"/>
        <v>1</v>
      </c>
      <c r="G2291" s="140" t="str">
        <f t="shared" si="257"/>
        <v>4.2.1</v>
      </c>
      <c r="H2291" s="166" t="s">
        <v>669</v>
      </c>
      <c r="I2291" s="166" t="s">
        <v>98</v>
      </c>
      <c r="J2291" s="166" t="s">
        <v>502</v>
      </c>
      <c r="K2291" s="166" t="s">
        <v>724</v>
      </c>
      <c r="L2291" s="177">
        <f>2500*1022</f>
        <v>2555000</v>
      </c>
      <c r="M2291" s="140"/>
      <c r="N2291" s="140"/>
      <c r="O2291" s="164">
        <f t="shared" si="252"/>
        <v>0</v>
      </c>
      <c r="P2291" s="166">
        <v>3</v>
      </c>
      <c r="Q2291" s="166">
        <v>1</v>
      </c>
      <c r="R2291" s="164">
        <f>$L2291*'Pivot Objective'!$C$9*P2291*Q2291</f>
        <v>8760490.2085049991</v>
      </c>
      <c r="S2291" s="166">
        <v>3</v>
      </c>
      <c r="T2291" s="166">
        <v>1</v>
      </c>
      <c r="U2291" s="164">
        <f>($L2291*'Pivot Objective'!$C$9^2)*S2291*T2291</f>
        <v>10012549.079362292</v>
      </c>
      <c r="V2291" s="166">
        <v>3</v>
      </c>
      <c r="W2291" s="166">
        <v>1</v>
      </c>
      <c r="X2291" s="164">
        <f>($L2291*'Pivot Objective'!$C$9^3)*V2291*W2291</f>
        <v>11443553.577551089</v>
      </c>
      <c r="Y2291" s="166">
        <v>3</v>
      </c>
      <c r="Z2291" s="166">
        <v>1</v>
      </c>
      <c r="AA2291" s="164">
        <f>($L2291*'Pivot Objective'!$C$9^4)*Y2291*Z2291</f>
        <v>13079078.808432966</v>
      </c>
      <c r="AB2291" s="166">
        <v>3</v>
      </c>
      <c r="AC2291" s="166">
        <v>1</v>
      </c>
      <c r="AD2291" s="164">
        <f>($L2291*'Pivot Objective'!$C$9^5)*AB2291*AC2291</f>
        <v>14948355.099483654</v>
      </c>
      <c r="AE2291" s="166">
        <v>0</v>
      </c>
      <c r="AF2291" s="166">
        <v>0</v>
      </c>
      <c r="AG2291" s="164">
        <f>($L2291*'Pivot Objective'!$C$9^6)*AE2291*AF2291</f>
        <v>0</v>
      </c>
      <c r="AH2291" s="166">
        <v>0</v>
      </c>
      <c r="AI2291" s="166">
        <v>0</v>
      </c>
      <c r="AJ2291" s="164">
        <f>($L2291*'Pivot Objective'!$C$9^7)*AH2291*AI2291</f>
        <v>0</v>
      </c>
      <c r="AK2291" s="185">
        <f t="shared" si="253"/>
        <v>58244026.773335002</v>
      </c>
      <c r="AL2291" s="186">
        <f t="shared" si="254"/>
        <v>56547.598809063107</v>
      </c>
    </row>
    <row r="2292" spans="1:38" customFormat="1" ht="57.6" x14ac:dyDescent="0.3">
      <c r="A2292" s="140" t="s">
        <v>1488</v>
      </c>
      <c r="B2292" s="140">
        <v>4</v>
      </c>
      <c r="C2292" s="166" t="s">
        <v>697</v>
      </c>
      <c r="D2292" s="140" t="str">
        <f t="shared" si="256"/>
        <v>2</v>
      </c>
      <c r="E2292" s="166" t="s">
        <v>693</v>
      </c>
      <c r="F2292" s="140">
        <f t="shared" si="255"/>
        <v>1</v>
      </c>
      <c r="G2292" s="140" t="str">
        <f t="shared" si="257"/>
        <v>4.2.1</v>
      </c>
      <c r="H2292" s="166" t="s">
        <v>669</v>
      </c>
      <c r="I2292" s="166" t="s">
        <v>98</v>
      </c>
      <c r="J2292" s="166" t="s">
        <v>503</v>
      </c>
      <c r="K2292" s="166" t="s">
        <v>724</v>
      </c>
      <c r="L2292" s="177">
        <f>2500*1022</f>
        <v>2555000</v>
      </c>
      <c r="M2292" s="140"/>
      <c r="N2292" s="140"/>
      <c r="O2292" s="164">
        <f t="shared" si="252"/>
        <v>0</v>
      </c>
      <c r="P2292" s="166">
        <v>6</v>
      </c>
      <c r="Q2292" s="166">
        <v>1</v>
      </c>
      <c r="R2292" s="164">
        <f>$L2292*'Pivot Objective'!$C$9*P2292*Q2292</f>
        <v>17520980.417009998</v>
      </c>
      <c r="S2292" s="166">
        <v>6</v>
      </c>
      <c r="T2292" s="166">
        <v>1</v>
      </c>
      <c r="U2292" s="164">
        <f>($L2292*'Pivot Objective'!$C$9^2)*S2292*T2292</f>
        <v>20025098.158724584</v>
      </c>
      <c r="V2292" s="166">
        <v>6</v>
      </c>
      <c r="W2292" s="166">
        <v>1</v>
      </c>
      <c r="X2292" s="164">
        <f>($L2292*'Pivot Objective'!$C$9^3)*V2292*W2292</f>
        <v>22887107.155102178</v>
      </c>
      <c r="Y2292" s="166">
        <v>6</v>
      </c>
      <c r="Z2292" s="166">
        <v>1</v>
      </c>
      <c r="AA2292" s="164">
        <f>($L2292*'Pivot Objective'!$C$9^4)*Y2292*Z2292</f>
        <v>26158157.616865933</v>
      </c>
      <c r="AB2292" s="166">
        <v>5</v>
      </c>
      <c r="AC2292" s="166">
        <v>1</v>
      </c>
      <c r="AD2292" s="164">
        <f>($L2292*'Pivot Objective'!$C$9^5)*AB2292*AC2292</f>
        <v>24913925.165806092</v>
      </c>
      <c r="AE2292" s="166">
        <v>0</v>
      </c>
      <c r="AF2292" s="166">
        <v>0</v>
      </c>
      <c r="AG2292" s="164">
        <f>($L2292*'Pivot Objective'!$C$9^6)*AE2292*AF2292</f>
        <v>0</v>
      </c>
      <c r="AH2292" s="166">
        <v>0</v>
      </c>
      <c r="AI2292" s="166">
        <v>0</v>
      </c>
      <c r="AJ2292" s="164">
        <f>($L2292*'Pivot Objective'!$C$9^7)*AH2292*AI2292</f>
        <v>0</v>
      </c>
      <c r="AK2292" s="185">
        <f t="shared" si="253"/>
        <v>111505268.5135088</v>
      </c>
      <c r="AL2292" s="186">
        <f t="shared" si="254"/>
        <v>108257.54224612504</v>
      </c>
    </row>
    <row r="2293" spans="1:38" customFormat="1" ht="57.6" x14ac:dyDescent="0.3">
      <c r="A2293" s="140" t="s">
        <v>1488</v>
      </c>
      <c r="B2293" s="140">
        <v>4</v>
      </c>
      <c r="C2293" s="166" t="s">
        <v>697</v>
      </c>
      <c r="D2293" s="140" t="str">
        <f t="shared" si="256"/>
        <v>2</v>
      </c>
      <c r="E2293" s="166" t="s">
        <v>693</v>
      </c>
      <c r="F2293" s="140">
        <f t="shared" si="255"/>
        <v>1</v>
      </c>
      <c r="G2293" s="140" t="str">
        <f t="shared" si="257"/>
        <v>4.2.1</v>
      </c>
      <c r="H2293" s="166" t="s">
        <v>669</v>
      </c>
      <c r="I2293" s="166" t="s">
        <v>98</v>
      </c>
      <c r="J2293" s="166" t="s">
        <v>785</v>
      </c>
      <c r="K2293" s="166" t="s">
        <v>786</v>
      </c>
      <c r="L2293" s="177">
        <f>15000*1022</f>
        <v>15330000</v>
      </c>
      <c r="M2293" s="140"/>
      <c r="N2293" s="140"/>
      <c r="O2293" s="164">
        <f t="shared" si="252"/>
        <v>0</v>
      </c>
      <c r="P2293" s="166">
        <v>1</v>
      </c>
      <c r="Q2293" s="166">
        <v>1</v>
      </c>
      <c r="R2293" s="164">
        <f>$L2293*'Pivot Objective'!$C$9*P2293*Q2293</f>
        <v>17520980.417009998</v>
      </c>
      <c r="S2293" s="166">
        <v>1</v>
      </c>
      <c r="T2293" s="166">
        <v>1</v>
      </c>
      <c r="U2293" s="164">
        <f>($L2293*'Pivot Objective'!$C$9^2)*S2293*T2293</f>
        <v>20025098.158724584</v>
      </c>
      <c r="V2293" s="166">
        <v>1</v>
      </c>
      <c r="W2293" s="166">
        <v>1</v>
      </c>
      <c r="X2293" s="164">
        <f>($L2293*'Pivot Objective'!$C$9^3)*V2293*W2293</f>
        <v>22887107.155102178</v>
      </c>
      <c r="Y2293" s="166">
        <v>1</v>
      </c>
      <c r="Z2293" s="166">
        <v>1</v>
      </c>
      <c r="AA2293" s="164">
        <f>($L2293*'Pivot Objective'!$C$9^4)*Y2293*Z2293</f>
        <v>26158157.616865929</v>
      </c>
      <c r="AB2293" s="166">
        <v>1</v>
      </c>
      <c r="AC2293" s="166">
        <v>1</v>
      </c>
      <c r="AD2293" s="164">
        <f>($L2293*'Pivot Objective'!$C$9^5)*AB2293*AC2293</f>
        <v>29896710.198967312</v>
      </c>
      <c r="AE2293" s="166">
        <v>0</v>
      </c>
      <c r="AF2293" s="166">
        <v>0</v>
      </c>
      <c r="AG2293" s="164">
        <f>($L2293*'Pivot Objective'!$C$9^6)*AE2293*AF2293</f>
        <v>0</v>
      </c>
      <c r="AH2293" s="166">
        <v>0</v>
      </c>
      <c r="AI2293" s="166">
        <v>0</v>
      </c>
      <c r="AJ2293" s="164">
        <f>($L2293*'Pivot Objective'!$C$9^7)*AH2293*AI2293</f>
        <v>0</v>
      </c>
      <c r="AK2293" s="185">
        <f t="shared" si="253"/>
        <v>116488053.54667</v>
      </c>
      <c r="AL2293" s="186">
        <f t="shared" si="254"/>
        <v>113095.19761812621</v>
      </c>
    </row>
    <row r="2294" spans="1:38" customFormat="1" ht="57.6" x14ac:dyDescent="0.3">
      <c r="A2294" s="140" t="s">
        <v>1488</v>
      </c>
      <c r="B2294" s="140">
        <v>4</v>
      </c>
      <c r="C2294" s="166" t="s">
        <v>697</v>
      </c>
      <c r="D2294" s="140" t="str">
        <f t="shared" si="256"/>
        <v>2</v>
      </c>
      <c r="E2294" s="166" t="s">
        <v>693</v>
      </c>
      <c r="F2294" s="140">
        <f t="shared" si="255"/>
        <v>1</v>
      </c>
      <c r="G2294" s="140" t="str">
        <f t="shared" si="257"/>
        <v>4.2.1</v>
      </c>
      <c r="H2294" s="166" t="s">
        <v>669</v>
      </c>
      <c r="I2294" s="166" t="s">
        <v>98</v>
      </c>
      <c r="J2294" s="166" t="s">
        <v>505</v>
      </c>
      <c r="K2294" s="166" t="s">
        <v>786</v>
      </c>
      <c r="L2294" s="177">
        <f>250*1022</f>
        <v>255500</v>
      </c>
      <c r="M2294" s="140"/>
      <c r="N2294" s="140"/>
      <c r="O2294" s="164">
        <f t="shared" si="252"/>
        <v>0</v>
      </c>
      <c r="P2294" s="166">
        <v>1</v>
      </c>
      <c r="Q2294" s="166">
        <v>44</v>
      </c>
      <c r="R2294" s="164">
        <f>$L2294*'Pivot Objective'!$C$9*P2294*Q2294</f>
        <v>12848718.972473999</v>
      </c>
      <c r="S2294" s="166">
        <v>1</v>
      </c>
      <c r="T2294" s="166">
        <v>44</v>
      </c>
      <c r="U2294" s="164">
        <f>($L2294*'Pivot Objective'!$C$9^2)*S2294*T2294</f>
        <v>14685071.983064696</v>
      </c>
      <c r="V2294" s="166">
        <v>1</v>
      </c>
      <c r="W2294" s="166">
        <v>44</v>
      </c>
      <c r="X2294" s="164">
        <f>($L2294*'Pivot Objective'!$C$9^3)*V2294*W2294</f>
        <v>16783878.580408264</v>
      </c>
      <c r="Y2294" s="166">
        <v>1</v>
      </c>
      <c r="Z2294" s="166">
        <v>44</v>
      </c>
      <c r="AA2294" s="164">
        <f>($L2294*'Pivot Objective'!$C$9^4)*Y2294*Z2294</f>
        <v>19182648.919035014</v>
      </c>
      <c r="AB2294" s="166">
        <v>1</v>
      </c>
      <c r="AC2294" s="166">
        <v>44</v>
      </c>
      <c r="AD2294" s="164">
        <f>($L2294*'Pivot Objective'!$C$9^5)*AB2294*AC2294</f>
        <v>21924254.145909362</v>
      </c>
      <c r="AE2294" s="166">
        <v>0</v>
      </c>
      <c r="AF2294" s="166">
        <v>0</v>
      </c>
      <c r="AG2294" s="164">
        <f>($L2294*'Pivot Objective'!$C$9^6)*AE2294*AF2294</f>
        <v>0</v>
      </c>
      <c r="AH2294" s="166">
        <v>0</v>
      </c>
      <c r="AI2294" s="166">
        <v>0</v>
      </c>
      <c r="AJ2294" s="164">
        <f>($L2294*'Pivot Objective'!$C$9^7)*AH2294*AI2294</f>
        <v>0</v>
      </c>
      <c r="AK2294" s="185">
        <f t="shared" si="253"/>
        <v>85424572.600891352</v>
      </c>
      <c r="AL2294" s="186">
        <f t="shared" si="254"/>
        <v>82936.478253292575</v>
      </c>
    </row>
    <row r="2295" spans="1:38" customFormat="1" ht="57.6" x14ac:dyDescent="0.3">
      <c r="A2295" s="140" t="s">
        <v>1488</v>
      </c>
      <c r="B2295" s="140">
        <v>4</v>
      </c>
      <c r="C2295" s="166" t="s">
        <v>697</v>
      </c>
      <c r="D2295" s="140" t="str">
        <f t="shared" si="256"/>
        <v>2</v>
      </c>
      <c r="E2295" s="166" t="s">
        <v>693</v>
      </c>
      <c r="F2295" s="140">
        <f t="shared" si="255"/>
        <v>1</v>
      </c>
      <c r="G2295" s="140" t="str">
        <f t="shared" si="257"/>
        <v>4.2.1</v>
      </c>
      <c r="H2295" s="166" t="s">
        <v>669</v>
      </c>
      <c r="I2295" s="166" t="s">
        <v>98</v>
      </c>
      <c r="J2295" s="166" t="s">
        <v>506</v>
      </c>
      <c r="K2295" s="166" t="s">
        <v>716</v>
      </c>
      <c r="L2295" s="177">
        <v>39000</v>
      </c>
      <c r="M2295" s="140"/>
      <c r="N2295" s="140"/>
      <c r="O2295" s="164">
        <f t="shared" si="252"/>
        <v>0</v>
      </c>
      <c r="P2295" s="166"/>
      <c r="Q2295" s="166"/>
      <c r="R2295" s="164">
        <f>$L2295*'Pivot Objective'!$C$9*P2295*Q2295</f>
        <v>0</v>
      </c>
      <c r="S2295" s="166">
        <v>20</v>
      </c>
      <c r="T2295" s="166">
        <v>5</v>
      </c>
      <c r="U2295" s="164">
        <f>($L2295*'Pivot Objective'!$C$9^2)*S2295*T2295</f>
        <v>5094447.6724739643</v>
      </c>
      <c r="V2295" s="166">
        <v>0</v>
      </c>
      <c r="W2295" s="166">
        <v>0</v>
      </c>
      <c r="X2295" s="164">
        <f>($L2295*'Pivot Objective'!$C$9^3)*V2295*W2295</f>
        <v>0</v>
      </c>
      <c r="Y2295" s="166">
        <v>0</v>
      </c>
      <c r="Z2295" s="166">
        <v>0</v>
      </c>
      <c r="AA2295" s="164">
        <f>($L2295*'Pivot Objective'!$C$9^4)*Y2295*Z2295</f>
        <v>0</v>
      </c>
      <c r="AB2295" s="166">
        <v>0</v>
      </c>
      <c r="AC2295" s="166">
        <v>0</v>
      </c>
      <c r="AD2295" s="164">
        <f>($L2295*'Pivot Objective'!$C$9^5)*AB2295*AC2295</f>
        <v>0</v>
      </c>
      <c r="AE2295" s="166">
        <v>0</v>
      </c>
      <c r="AF2295" s="166">
        <v>0</v>
      </c>
      <c r="AG2295" s="164">
        <f>($L2295*'Pivot Objective'!$C$9^6)*AE2295*AF2295</f>
        <v>0</v>
      </c>
      <c r="AH2295" s="166">
        <v>0</v>
      </c>
      <c r="AI2295" s="166">
        <v>0</v>
      </c>
      <c r="AJ2295" s="164">
        <f>($L2295*'Pivot Objective'!$C$9^7)*AH2295*AI2295</f>
        <v>0</v>
      </c>
      <c r="AK2295" s="185">
        <f t="shared" si="253"/>
        <v>5094447.6724739643</v>
      </c>
      <c r="AL2295" s="186">
        <f t="shared" si="254"/>
        <v>4946.0657014310336</v>
      </c>
    </row>
    <row r="2296" spans="1:38" customFormat="1" ht="57.6" x14ac:dyDescent="0.3">
      <c r="A2296" s="140" t="s">
        <v>1488</v>
      </c>
      <c r="B2296" s="140">
        <v>4</v>
      </c>
      <c r="C2296" s="166" t="s">
        <v>697</v>
      </c>
      <c r="D2296" s="140" t="str">
        <f t="shared" si="256"/>
        <v>2</v>
      </c>
      <c r="E2296" s="166" t="s">
        <v>693</v>
      </c>
      <c r="F2296" s="140">
        <f t="shared" si="255"/>
        <v>1</v>
      </c>
      <c r="G2296" s="140" t="str">
        <f t="shared" si="257"/>
        <v>4.2.1</v>
      </c>
      <c r="H2296" s="166" t="s">
        <v>669</v>
      </c>
      <c r="I2296" s="166" t="s">
        <v>98</v>
      </c>
      <c r="J2296" s="166" t="s">
        <v>506</v>
      </c>
      <c r="K2296" s="166" t="s">
        <v>709</v>
      </c>
      <c r="L2296" s="177">
        <v>35000</v>
      </c>
      <c r="M2296" s="140"/>
      <c r="N2296" s="140"/>
      <c r="O2296" s="164">
        <f t="shared" si="252"/>
        <v>0</v>
      </c>
      <c r="P2296" s="166"/>
      <c r="Q2296" s="166"/>
      <c r="R2296" s="164">
        <f>$L2296*'Pivot Objective'!$C$9*P2296*Q2296</f>
        <v>0</v>
      </c>
      <c r="S2296" s="166">
        <v>20</v>
      </c>
      <c r="T2296" s="166">
        <v>5</v>
      </c>
      <c r="U2296" s="164">
        <f>($L2296*'Pivot Objective'!$C$9^2)*S2296*T2296</f>
        <v>4571940.2188868904</v>
      </c>
      <c r="V2296" s="166">
        <v>0</v>
      </c>
      <c r="W2296" s="166">
        <v>0</v>
      </c>
      <c r="X2296" s="164">
        <f>($L2296*'Pivot Objective'!$C$9^3)*V2296*W2296</f>
        <v>0</v>
      </c>
      <c r="Y2296" s="166">
        <v>0</v>
      </c>
      <c r="Z2296" s="166">
        <v>0</v>
      </c>
      <c r="AA2296" s="164">
        <f>($L2296*'Pivot Objective'!$C$9^4)*Y2296*Z2296</f>
        <v>0</v>
      </c>
      <c r="AB2296" s="166">
        <v>0</v>
      </c>
      <c r="AC2296" s="166">
        <v>0</v>
      </c>
      <c r="AD2296" s="164">
        <f>($L2296*'Pivot Objective'!$C$9^5)*AB2296*AC2296</f>
        <v>0</v>
      </c>
      <c r="AE2296" s="166">
        <v>0</v>
      </c>
      <c r="AF2296" s="166">
        <v>0</v>
      </c>
      <c r="AG2296" s="164">
        <f>($L2296*'Pivot Objective'!$C$9^6)*AE2296*AF2296</f>
        <v>0</v>
      </c>
      <c r="AH2296" s="166">
        <v>0</v>
      </c>
      <c r="AI2296" s="166">
        <v>0</v>
      </c>
      <c r="AJ2296" s="164">
        <f>($L2296*'Pivot Objective'!$C$9^7)*AH2296*AI2296</f>
        <v>0</v>
      </c>
      <c r="AK2296" s="185">
        <f t="shared" si="253"/>
        <v>4571940.2188868904</v>
      </c>
      <c r="AL2296" s="186">
        <f t="shared" si="254"/>
        <v>4438.77691154067</v>
      </c>
    </row>
    <row r="2297" spans="1:38" customFormat="1" ht="57.6" x14ac:dyDescent="0.3">
      <c r="A2297" s="140" t="s">
        <v>1488</v>
      </c>
      <c r="B2297" s="140">
        <v>4</v>
      </c>
      <c r="C2297" s="166" t="s">
        <v>697</v>
      </c>
      <c r="D2297" s="140" t="str">
        <f t="shared" si="256"/>
        <v>2</v>
      </c>
      <c r="E2297" s="166" t="s">
        <v>693</v>
      </c>
      <c r="F2297" s="140">
        <f t="shared" si="255"/>
        <v>1</v>
      </c>
      <c r="G2297" s="140" t="str">
        <f t="shared" si="257"/>
        <v>4.2.1</v>
      </c>
      <c r="H2297" s="166" t="s">
        <v>669</v>
      </c>
      <c r="I2297" s="166" t="s">
        <v>98</v>
      </c>
      <c r="J2297" s="166" t="s">
        <v>506</v>
      </c>
      <c r="K2297" s="166" t="s">
        <v>712</v>
      </c>
      <c r="L2297" s="177">
        <f>1480/7</f>
        <v>211.42857142857142</v>
      </c>
      <c r="M2297" s="140"/>
      <c r="N2297" s="140"/>
      <c r="O2297" s="164">
        <f t="shared" si="252"/>
        <v>0</v>
      </c>
      <c r="P2297" s="166"/>
      <c r="Q2297" s="166"/>
      <c r="R2297" s="164">
        <f>$L2297*'Pivot Objective'!$C$9*P2297*Q2297</f>
        <v>0</v>
      </c>
      <c r="S2297" s="166">
        <f>25*2*9</f>
        <v>450</v>
      </c>
      <c r="T2297" s="166">
        <v>5</v>
      </c>
      <c r="U2297" s="164">
        <f>($L2297*'Pivot Objective'!$C$9^2)*S2297*T2297</f>
        <v>621410.65015891218</v>
      </c>
      <c r="V2297" s="166">
        <v>0</v>
      </c>
      <c r="W2297" s="166">
        <v>0</v>
      </c>
      <c r="X2297" s="164">
        <f>($L2297*'Pivot Objective'!$C$9^3)*V2297*W2297</f>
        <v>0</v>
      </c>
      <c r="Y2297" s="166">
        <v>0</v>
      </c>
      <c r="Z2297" s="166">
        <v>0</v>
      </c>
      <c r="AA2297" s="164">
        <f>($L2297*'Pivot Objective'!$C$9^4)*Y2297*Z2297</f>
        <v>0</v>
      </c>
      <c r="AB2297" s="166">
        <v>0</v>
      </c>
      <c r="AC2297" s="166">
        <v>0</v>
      </c>
      <c r="AD2297" s="164">
        <f>($L2297*'Pivot Objective'!$C$9^5)*AB2297*AC2297</f>
        <v>0</v>
      </c>
      <c r="AE2297" s="166">
        <v>0</v>
      </c>
      <c r="AF2297" s="166">
        <v>0</v>
      </c>
      <c r="AG2297" s="164">
        <f>($L2297*'Pivot Objective'!$C$9^6)*AE2297*AF2297</f>
        <v>0</v>
      </c>
      <c r="AH2297" s="166">
        <v>0</v>
      </c>
      <c r="AI2297" s="166">
        <v>0</v>
      </c>
      <c r="AJ2297" s="164">
        <f>($L2297*'Pivot Objective'!$C$9^7)*AH2297*AI2297</f>
        <v>0</v>
      </c>
      <c r="AK2297" s="185">
        <f t="shared" si="253"/>
        <v>621410.65015891218</v>
      </c>
      <c r="AL2297" s="186">
        <f t="shared" si="254"/>
        <v>603.31131083389528</v>
      </c>
    </row>
    <row r="2298" spans="1:38" customFormat="1" ht="57.6" x14ac:dyDescent="0.3">
      <c r="A2298" s="140" t="s">
        <v>1488</v>
      </c>
      <c r="B2298" s="140">
        <v>4</v>
      </c>
      <c r="C2298" s="166" t="s">
        <v>697</v>
      </c>
      <c r="D2298" s="140" t="str">
        <f t="shared" si="256"/>
        <v>2</v>
      </c>
      <c r="E2298" s="166" t="s">
        <v>693</v>
      </c>
      <c r="F2298" s="140">
        <f t="shared" si="255"/>
        <v>1</v>
      </c>
      <c r="G2298" s="140" t="str">
        <f t="shared" si="257"/>
        <v>4.2.1</v>
      </c>
      <c r="H2298" s="166" t="s">
        <v>669</v>
      </c>
      <c r="I2298" s="166" t="s">
        <v>98</v>
      </c>
      <c r="J2298" s="166" t="s">
        <v>506</v>
      </c>
      <c r="K2298" s="166" t="s">
        <v>1350</v>
      </c>
      <c r="L2298" s="177">
        <f>1480/7</f>
        <v>211.42857142857142</v>
      </c>
      <c r="M2298" s="140"/>
      <c r="N2298" s="140"/>
      <c r="O2298" s="164">
        <f t="shared" si="252"/>
        <v>0</v>
      </c>
      <c r="P2298" s="166"/>
      <c r="Q2298" s="166"/>
      <c r="R2298" s="164">
        <f>$L2298*'Pivot Objective'!$C$9*P2298*Q2298</f>
        <v>0</v>
      </c>
      <c r="S2298" s="166">
        <f>135*2*9</f>
        <v>2430</v>
      </c>
      <c r="T2298" s="166">
        <v>6</v>
      </c>
      <c r="U2298" s="164">
        <f>($L2298*'Pivot Objective'!$C$9^2)*S2298*T2298</f>
        <v>4026741.0130297509</v>
      </c>
      <c r="V2298" s="166"/>
      <c r="W2298" s="166"/>
      <c r="X2298" s="164">
        <f>($L2298*'Pivot Objective'!$C$9^3)*V2298*W2298</f>
        <v>0</v>
      </c>
      <c r="Y2298" s="166"/>
      <c r="Z2298" s="166"/>
      <c r="AA2298" s="164">
        <f>($L2298*'Pivot Objective'!$C$9^4)*Y2298*Z2298</f>
        <v>0</v>
      </c>
      <c r="AB2298" s="166"/>
      <c r="AC2298" s="166"/>
      <c r="AD2298" s="164">
        <f>($L2298*'Pivot Objective'!$C$9^5)*AB2298*AC2298</f>
        <v>0</v>
      </c>
      <c r="AE2298" s="166"/>
      <c r="AF2298" s="166"/>
      <c r="AG2298" s="164">
        <f>($L2298*'Pivot Objective'!$C$9^6)*AE2298*AF2298</f>
        <v>0</v>
      </c>
      <c r="AH2298" s="166"/>
      <c r="AI2298" s="166"/>
      <c r="AJ2298" s="164">
        <f>($L2298*'Pivot Objective'!$C$9^7)*AH2298*AI2298</f>
        <v>0</v>
      </c>
      <c r="AK2298" s="185">
        <f t="shared" si="253"/>
        <v>4026741.0130297509</v>
      </c>
      <c r="AL2298" s="186">
        <f t="shared" si="254"/>
        <v>3909.4572942036416</v>
      </c>
    </row>
    <row r="2299" spans="1:38" customFormat="1" ht="57.6" x14ac:dyDescent="0.3">
      <c r="A2299" s="140" t="s">
        <v>1488</v>
      </c>
      <c r="B2299" s="140">
        <v>4</v>
      </c>
      <c r="C2299" s="166" t="s">
        <v>697</v>
      </c>
      <c r="D2299" s="140" t="str">
        <f t="shared" si="256"/>
        <v>2</v>
      </c>
      <c r="E2299" s="166" t="s">
        <v>693</v>
      </c>
      <c r="F2299" s="140">
        <f t="shared" si="255"/>
        <v>1</v>
      </c>
      <c r="G2299" s="140" t="str">
        <f t="shared" si="257"/>
        <v>4.2.1</v>
      </c>
      <c r="H2299" s="166" t="s">
        <v>669</v>
      </c>
      <c r="I2299" s="166" t="s">
        <v>99</v>
      </c>
      <c r="J2299" s="166" t="s">
        <v>158</v>
      </c>
      <c r="K2299" s="166" t="s">
        <v>718</v>
      </c>
      <c r="L2299" s="177">
        <v>0</v>
      </c>
      <c r="M2299" s="166">
        <v>0</v>
      </c>
      <c r="N2299" s="166">
        <v>0</v>
      </c>
      <c r="O2299" s="164">
        <f t="shared" si="252"/>
        <v>0</v>
      </c>
      <c r="P2299" s="166">
        <v>0</v>
      </c>
      <c r="Q2299" s="166">
        <v>0</v>
      </c>
      <c r="R2299" s="164">
        <f>$L2299*'Pivot Objective'!$C$9*P2299*Q2299</f>
        <v>0</v>
      </c>
      <c r="S2299" s="166">
        <v>0</v>
      </c>
      <c r="T2299" s="166">
        <v>0</v>
      </c>
      <c r="U2299" s="164">
        <f>($L2299*'Pivot Objective'!$C$9^2)*S2299*T2299</f>
        <v>0</v>
      </c>
      <c r="V2299" s="166">
        <v>0</v>
      </c>
      <c r="W2299" s="166">
        <v>0</v>
      </c>
      <c r="X2299" s="164">
        <f>($L2299*'Pivot Objective'!$C$9^3)*V2299*W2299</f>
        <v>0</v>
      </c>
      <c r="Y2299" s="166">
        <v>0</v>
      </c>
      <c r="Z2299" s="166">
        <v>0</v>
      </c>
      <c r="AA2299" s="164">
        <f>($L2299*'Pivot Objective'!$C$9^4)*Y2299*Z2299</f>
        <v>0</v>
      </c>
      <c r="AB2299" s="166">
        <v>0</v>
      </c>
      <c r="AC2299" s="166">
        <v>0</v>
      </c>
      <c r="AD2299" s="164">
        <f>($L2299*'Pivot Objective'!$C$9^5)*AB2299*AC2299</f>
        <v>0</v>
      </c>
      <c r="AE2299" s="166">
        <v>0</v>
      </c>
      <c r="AF2299" s="166">
        <v>0</v>
      </c>
      <c r="AG2299" s="164">
        <f>($L2299*'Pivot Objective'!$C$9^6)*AE2299*AF2299</f>
        <v>0</v>
      </c>
      <c r="AH2299" s="166">
        <v>0</v>
      </c>
      <c r="AI2299" s="166">
        <v>0</v>
      </c>
      <c r="AJ2299" s="164">
        <f>($L2299*'Pivot Objective'!$C$9^7)*AH2299*AI2299</f>
        <v>0</v>
      </c>
      <c r="AK2299" s="185">
        <f t="shared" si="253"/>
        <v>0</v>
      </c>
      <c r="AL2299" s="186">
        <f t="shared" si="254"/>
        <v>0</v>
      </c>
    </row>
    <row r="2300" spans="1:38" customFormat="1" ht="57.6" x14ac:dyDescent="0.3">
      <c r="A2300" s="140" t="s">
        <v>1488</v>
      </c>
      <c r="B2300" s="140">
        <v>4</v>
      </c>
      <c r="C2300" s="166" t="s">
        <v>697</v>
      </c>
      <c r="D2300" s="140" t="str">
        <f t="shared" si="256"/>
        <v>2</v>
      </c>
      <c r="E2300" s="166" t="s">
        <v>693</v>
      </c>
      <c r="F2300" s="140">
        <f t="shared" si="255"/>
        <v>1</v>
      </c>
      <c r="G2300" s="140" t="str">
        <f t="shared" si="257"/>
        <v>4.2.1</v>
      </c>
      <c r="H2300" s="166" t="s">
        <v>669</v>
      </c>
      <c r="I2300" s="166" t="s">
        <v>99</v>
      </c>
      <c r="J2300" s="166" t="s">
        <v>482</v>
      </c>
      <c r="K2300" s="166" t="s">
        <v>718</v>
      </c>
      <c r="L2300" s="177">
        <v>0</v>
      </c>
      <c r="M2300" s="166">
        <v>0</v>
      </c>
      <c r="N2300" s="166">
        <v>0</v>
      </c>
      <c r="O2300" s="164">
        <f t="shared" si="252"/>
        <v>0</v>
      </c>
      <c r="P2300" s="166">
        <v>0</v>
      </c>
      <c r="Q2300" s="166">
        <v>0</v>
      </c>
      <c r="R2300" s="164">
        <f>$L2300*'Pivot Objective'!$C$9*P2300*Q2300</f>
        <v>0</v>
      </c>
      <c r="S2300" s="166">
        <v>0</v>
      </c>
      <c r="T2300" s="166">
        <v>0</v>
      </c>
      <c r="U2300" s="164">
        <f>($L2300*'Pivot Objective'!$C$9^2)*S2300*T2300</f>
        <v>0</v>
      </c>
      <c r="V2300" s="166">
        <v>0</v>
      </c>
      <c r="W2300" s="166">
        <v>0</v>
      </c>
      <c r="X2300" s="164">
        <f>($L2300*'Pivot Objective'!$C$9^3)*V2300*W2300</f>
        <v>0</v>
      </c>
      <c r="Y2300" s="166">
        <v>0</v>
      </c>
      <c r="Z2300" s="166">
        <v>0</v>
      </c>
      <c r="AA2300" s="164">
        <f>($L2300*'Pivot Objective'!$C$9^4)*Y2300*Z2300</f>
        <v>0</v>
      </c>
      <c r="AB2300" s="166">
        <v>0</v>
      </c>
      <c r="AC2300" s="166">
        <v>0</v>
      </c>
      <c r="AD2300" s="164">
        <f>($L2300*'Pivot Objective'!$C$9^5)*AB2300*AC2300</f>
        <v>0</v>
      </c>
      <c r="AE2300" s="166">
        <v>0</v>
      </c>
      <c r="AF2300" s="166">
        <v>0</v>
      </c>
      <c r="AG2300" s="164">
        <f>($L2300*'Pivot Objective'!$C$9^6)*AE2300*AF2300</f>
        <v>0</v>
      </c>
      <c r="AH2300" s="166">
        <v>0</v>
      </c>
      <c r="AI2300" s="166">
        <v>0</v>
      </c>
      <c r="AJ2300" s="164">
        <f>($L2300*'Pivot Objective'!$C$9^7)*AH2300*AI2300</f>
        <v>0</v>
      </c>
      <c r="AK2300" s="185">
        <f t="shared" si="253"/>
        <v>0</v>
      </c>
      <c r="AL2300" s="186">
        <f t="shared" si="254"/>
        <v>0</v>
      </c>
    </row>
    <row r="2301" spans="1:38" customFormat="1" ht="57.6" x14ac:dyDescent="0.3">
      <c r="A2301" s="140" t="s">
        <v>1488</v>
      </c>
      <c r="B2301" s="140">
        <v>4</v>
      </c>
      <c r="C2301" s="166" t="s">
        <v>697</v>
      </c>
      <c r="D2301" s="140" t="str">
        <f t="shared" si="256"/>
        <v>2</v>
      </c>
      <c r="E2301" s="166" t="s">
        <v>693</v>
      </c>
      <c r="F2301" s="140">
        <f t="shared" si="255"/>
        <v>1</v>
      </c>
      <c r="G2301" s="140" t="str">
        <f t="shared" si="257"/>
        <v>4.2.1</v>
      </c>
      <c r="H2301" s="166" t="s">
        <v>669</v>
      </c>
      <c r="I2301" s="166" t="s">
        <v>99</v>
      </c>
      <c r="J2301" s="166" t="s">
        <v>149</v>
      </c>
      <c r="K2301" s="166" t="s">
        <v>707</v>
      </c>
      <c r="L2301" s="177">
        <v>391991.03749999998</v>
      </c>
      <c r="M2301" s="140"/>
      <c r="N2301" s="140"/>
      <c r="O2301" s="164">
        <f t="shared" si="252"/>
        <v>0</v>
      </c>
      <c r="P2301" s="166"/>
      <c r="Q2301" s="166"/>
      <c r="R2301" s="164">
        <f>$L2301*'Pivot Objective'!$C$9*P2301*Q2301</f>
        <v>0</v>
      </c>
      <c r="S2301" s="166">
        <v>2</v>
      </c>
      <c r="T2301" s="166">
        <v>2</v>
      </c>
      <c r="U2301" s="164">
        <f>($L2301*'Pivot Objective'!$C$9^2)*S2301*T2301</f>
        <v>2048182.3883307995</v>
      </c>
      <c r="V2301" s="166">
        <v>0</v>
      </c>
      <c r="W2301" s="166">
        <v>0</v>
      </c>
      <c r="X2301" s="164">
        <f>($L2301*'Pivot Objective'!$C$9^3)*V2301*W2301</f>
        <v>0</v>
      </c>
      <c r="Y2301" s="166">
        <v>0</v>
      </c>
      <c r="Z2301" s="166">
        <v>0</v>
      </c>
      <c r="AA2301" s="164">
        <f>($L2301*'Pivot Objective'!$C$9^4)*Y2301*Z2301</f>
        <v>0</v>
      </c>
      <c r="AB2301" s="166">
        <v>0</v>
      </c>
      <c r="AC2301" s="166">
        <v>0</v>
      </c>
      <c r="AD2301" s="164">
        <f>($L2301*'Pivot Objective'!$C$9^5)*AB2301*AC2301</f>
        <v>0</v>
      </c>
      <c r="AE2301" s="166">
        <v>0</v>
      </c>
      <c r="AF2301" s="166">
        <v>0</v>
      </c>
      <c r="AG2301" s="164">
        <f>($L2301*'Pivot Objective'!$C$9^6)*AE2301*AF2301</f>
        <v>0</v>
      </c>
      <c r="AH2301" s="166">
        <v>0</v>
      </c>
      <c r="AI2301" s="166">
        <v>0</v>
      </c>
      <c r="AJ2301" s="164">
        <f>($L2301*'Pivot Objective'!$C$9^7)*AH2301*AI2301</f>
        <v>0</v>
      </c>
      <c r="AK2301" s="185">
        <f t="shared" si="253"/>
        <v>2048182.3883307995</v>
      </c>
      <c r="AL2301" s="186">
        <f t="shared" si="254"/>
        <v>1988.5265906124266</v>
      </c>
    </row>
    <row r="2302" spans="1:38" customFormat="1" ht="57.6" x14ac:dyDescent="0.3">
      <c r="A2302" s="140" t="s">
        <v>1488</v>
      </c>
      <c r="B2302" s="140">
        <v>4</v>
      </c>
      <c r="C2302" s="166" t="s">
        <v>697</v>
      </c>
      <c r="D2302" s="140" t="str">
        <f t="shared" si="256"/>
        <v>2</v>
      </c>
      <c r="E2302" s="166" t="s">
        <v>693</v>
      </c>
      <c r="F2302" s="140">
        <f t="shared" si="255"/>
        <v>1</v>
      </c>
      <c r="G2302" s="140" t="str">
        <f t="shared" si="257"/>
        <v>4.2.1</v>
      </c>
      <c r="H2302" s="166" t="s">
        <v>669</v>
      </c>
      <c r="I2302" s="166" t="s">
        <v>99</v>
      </c>
      <c r="J2302" s="166" t="s">
        <v>149</v>
      </c>
      <c r="K2302" s="166" t="s">
        <v>708</v>
      </c>
      <c r="L2302" s="177">
        <f>500*1022</f>
        <v>511000</v>
      </c>
      <c r="M2302" s="140"/>
      <c r="N2302" s="140"/>
      <c r="O2302" s="164">
        <f t="shared" si="252"/>
        <v>0</v>
      </c>
      <c r="P2302" s="166"/>
      <c r="Q2302" s="166"/>
      <c r="R2302" s="164">
        <f>$L2302*'Pivot Objective'!$C$9*P2302*Q2302</f>
        <v>0</v>
      </c>
      <c r="S2302" s="166">
        <v>1</v>
      </c>
      <c r="T2302" s="166">
        <v>25</v>
      </c>
      <c r="U2302" s="164">
        <f>($L2302*'Pivot Objective'!$C$9^2)*S2302*T2302</f>
        <v>16687581.798937155</v>
      </c>
      <c r="V2302" s="166">
        <v>0</v>
      </c>
      <c r="W2302" s="166">
        <v>0</v>
      </c>
      <c r="X2302" s="164">
        <f>($L2302*'Pivot Objective'!$C$9^3)*V2302*W2302</f>
        <v>0</v>
      </c>
      <c r="Y2302" s="166">
        <v>0</v>
      </c>
      <c r="Z2302" s="166">
        <v>0</v>
      </c>
      <c r="AA2302" s="164">
        <f>($L2302*'Pivot Objective'!$C$9^4)*Y2302*Z2302</f>
        <v>0</v>
      </c>
      <c r="AB2302" s="166">
        <v>0</v>
      </c>
      <c r="AC2302" s="166">
        <v>0</v>
      </c>
      <c r="AD2302" s="164">
        <f>($L2302*'Pivot Objective'!$C$9^5)*AB2302*AC2302</f>
        <v>0</v>
      </c>
      <c r="AE2302" s="166">
        <v>0</v>
      </c>
      <c r="AF2302" s="166">
        <v>0</v>
      </c>
      <c r="AG2302" s="164">
        <f>($L2302*'Pivot Objective'!$C$9^6)*AE2302*AF2302</f>
        <v>0</v>
      </c>
      <c r="AH2302" s="166">
        <v>0</v>
      </c>
      <c r="AI2302" s="166">
        <v>0</v>
      </c>
      <c r="AJ2302" s="164">
        <f>($L2302*'Pivot Objective'!$C$9^7)*AH2302*AI2302</f>
        <v>0</v>
      </c>
      <c r="AK2302" s="185">
        <f t="shared" si="253"/>
        <v>16687581.798937155</v>
      </c>
      <c r="AL2302" s="186">
        <f t="shared" si="254"/>
        <v>16201.535727123452</v>
      </c>
    </row>
    <row r="2303" spans="1:38" customFormat="1" ht="57.6" x14ac:dyDescent="0.3">
      <c r="A2303" s="140" t="s">
        <v>1488</v>
      </c>
      <c r="B2303" s="140">
        <v>4</v>
      </c>
      <c r="C2303" s="166" t="s">
        <v>697</v>
      </c>
      <c r="D2303" s="140" t="str">
        <f t="shared" si="256"/>
        <v>2</v>
      </c>
      <c r="E2303" s="166" t="s">
        <v>693</v>
      </c>
      <c r="F2303" s="140">
        <f t="shared" si="255"/>
        <v>1</v>
      </c>
      <c r="G2303" s="140" t="str">
        <f t="shared" si="257"/>
        <v>4.2.1</v>
      </c>
      <c r="H2303" s="166" t="s">
        <v>669</v>
      </c>
      <c r="I2303" s="166" t="s">
        <v>99</v>
      </c>
      <c r="J2303" s="166" t="s">
        <v>507</v>
      </c>
      <c r="K2303" s="166" t="s">
        <v>716</v>
      </c>
      <c r="L2303" s="177">
        <v>39000</v>
      </c>
      <c r="M2303" s="140"/>
      <c r="N2303" s="140"/>
      <c r="O2303" s="164">
        <f t="shared" si="252"/>
        <v>0</v>
      </c>
      <c r="P2303" s="166"/>
      <c r="Q2303" s="166"/>
      <c r="R2303" s="164">
        <f>$L2303*'Pivot Objective'!$C$9*P2303*Q2303</f>
        <v>0</v>
      </c>
      <c r="S2303" s="166">
        <v>60</v>
      </c>
      <c r="T2303" s="166">
        <v>15</v>
      </c>
      <c r="U2303" s="164">
        <f>($L2303*'Pivot Objective'!$C$9^2)*S2303*T2303</f>
        <v>45850029.052265681</v>
      </c>
      <c r="V2303" s="166">
        <v>0</v>
      </c>
      <c r="W2303" s="166">
        <v>0</v>
      </c>
      <c r="X2303" s="164">
        <f>($L2303*'Pivot Objective'!$C$9^3)*V2303*W2303</f>
        <v>0</v>
      </c>
      <c r="Y2303" s="166">
        <v>0</v>
      </c>
      <c r="Z2303" s="166">
        <v>0</v>
      </c>
      <c r="AA2303" s="164">
        <f>($L2303*'Pivot Objective'!$C$9^4)*Y2303*Z2303</f>
        <v>0</v>
      </c>
      <c r="AB2303" s="166">
        <v>0</v>
      </c>
      <c r="AC2303" s="166">
        <v>0</v>
      </c>
      <c r="AD2303" s="164">
        <f>($L2303*'Pivot Objective'!$C$9^5)*AB2303*AC2303</f>
        <v>0</v>
      </c>
      <c r="AE2303" s="166">
        <v>0</v>
      </c>
      <c r="AF2303" s="166">
        <v>0</v>
      </c>
      <c r="AG2303" s="164">
        <f>($L2303*'Pivot Objective'!$C$9^6)*AE2303*AF2303</f>
        <v>0</v>
      </c>
      <c r="AH2303" s="166">
        <v>0</v>
      </c>
      <c r="AI2303" s="166">
        <v>0</v>
      </c>
      <c r="AJ2303" s="164">
        <f>($L2303*'Pivot Objective'!$C$9^7)*AH2303*AI2303</f>
        <v>0</v>
      </c>
      <c r="AK2303" s="185">
        <f t="shared" si="253"/>
        <v>45850029.052265681</v>
      </c>
      <c r="AL2303" s="186">
        <f t="shared" si="254"/>
        <v>44514.591312879304</v>
      </c>
    </row>
    <row r="2304" spans="1:38" customFormat="1" ht="57.6" x14ac:dyDescent="0.3">
      <c r="A2304" s="140" t="s">
        <v>1488</v>
      </c>
      <c r="B2304" s="140">
        <v>4</v>
      </c>
      <c r="C2304" s="166" t="s">
        <v>697</v>
      </c>
      <c r="D2304" s="140" t="str">
        <f t="shared" si="256"/>
        <v>2</v>
      </c>
      <c r="E2304" s="166" t="s">
        <v>693</v>
      </c>
      <c r="F2304" s="140">
        <f t="shared" si="255"/>
        <v>1</v>
      </c>
      <c r="G2304" s="140" t="str">
        <f t="shared" si="257"/>
        <v>4.2.1</v>
      </c>
      <c r="H2304" s="166" t="s">
        <v>669</v>
      </c>
      <c r="I2304" s="166" t="s">
        <v>99</v>
      </c>
      <c r="J2304" s="166" t="s">
        <v>507</v>
      </c>
      <c r="K2304" s="166" t="s">
        <v>712</v>
      </c>
      <c r="L2304" s="177">
        <f>1480/7</f>
        <v>211.42857142857142</v>
      </c>
      <c r="M2304" s="140"/>
      <c r="N2304" s="140"/>
      <c r="O2304" s="164">
        <f t="shared" si="252"/>
        <v>0</v>
      </c>
      <c r="P2304" s="166"/>
      <c r="Q2304" s="166"/>
      <c r="R2304" s="164">
        <f>$L2304*'Pivot Objective'!$C$9*P2304*Q2304</f>
        <v>0</v>
      </c>
      <c r="S2304" s="166">
        <f>25*2*25</f>
        <v>1250</v>
      </c>
      <c r="T2304" s="166">
        <v>15</v>
      </c>
      <c r="U2304" s="164">
        <f>($L2304*'Pivot Objective'!$C$9^2)*S2304*T2304</f>
        <v>5178422.0846576011</v>
      </c>
      <c r="V2304" s="166">
        <v>0</v>
      </c>
      <c r="W2304" s="166">
        <v>0</v>
      </c>
      <c r="X2304" s="164">
        <f>($L2304*'Pivot Objective'!$C$9^3)*V2304*W2304</f>
        <v>0</v>
      </c>
      <c r="Y2304" s="166">
        <v>0</v>
      </c>
      <c r="Z2304" s="166">
        <v>0</v>
      </c>
      <c r="AA2304" s="164">
        <f>($L2304*'Pivot Objective'!$C$9^4)*Y2304*Z2304</f>
        <v>0</v>
      </c>
      <c r="AB2304" s="166">
        <v>0</v>
      </c>
      <c r="AC2304" s="166">
        <v>0</v>
      </c>
      <c r="AD2304" s="164">
        <f>($L2304*'Pivot Objective'!$C$9^5)*AB2304*AC2304</f>
        <v>0</v>
      </c>
      <c r="AE2304" s="166">
        <v>0</v>
      </c>
      <c r="AF2304" s="166">
        <v>0</v>
      </c>
      <c r="AG2304" s="164">
        <f>($L2304*'Pivot Objective'!$C$9^6)*AE2304*AF2304</f>
        <v>0</v>
      </c>
      <c r="AH2304" s="166">
        <v>0</v>
      </c>
      <c r="AI2304" s="166">
        <v>0</v>
      </c>
      <c r="AJ2304" s="164">
        <f>($L2304*'Pivot Objective'!$C$9^7)*AH2304*AI2304</f>
        <v>0</v>
      </c>
      <c r="AK2304" s="185">
        <f t="shared" si="253"/>
        <v>5178422.0846576011</v>
      </c>
      <c r="AL2304" s="186">
        <f t="shared" si="254"/>
        <v>5027.5942569491272</v>
      </c>
    </row>
    <row r="2305" spans="1:38" customFormat="1" ht="57.6" x14ac:dyDescent="0.3">
      <c r="A2305" s="140" t="s">
        <v>1488</v>
      </c>
      <c r="B2305" s="140">
        <v>4</v>
      </c>
      <c r="C2305" s="166" t="s">
        <v>697</v>
      </c>
      <c r="D2305" s="140" t="str">
        <f t="shared" si="256"/>
        <v>2</v>
      </c>
      <c r="E2305" s="166" t="s">
        <v>693</v>
      </c>
      <c r="F2305" s="140">
        <f t="shared" si="255"/>
        <v>1</v>
      </c>
      <c r="G2305" s="140" t="str">
        <f t="shared" si="257"/>
        <v>4.2.1</v>
      </c>
      <c r="H2305" s="166" t="s">
        <v>669</v>
      </c>
      <c r="I2305" s="166" t="s">
        <v>99</v>
      </c>
      <c r="J2305" s="166" t="s">
        <v>507</v>
      </c>
      <c r="K2305" s="166" t="s">
        <v>1350</v>
      </c>
      <c r="L2305" s="177">
        <f>1480/7</f>
        <v>211.42857142857142</v>
      </c>
      <c r="M2305" s="140"/>
      <c r="N2305" s="140"/>
      <c r="O2305" s="164">
        <f t="shared" si="252"/>
        <v>0</v>
      </c>
      <c r="P2305" s="166"/>
      <c r="Q2305" s="166"/>
      <c r="R2305" s="164">
        <f>$L2305*'Pivot Objective'!$C$9*P2305*Q2305</f>
        <v>0</v>
      </c>
      <c r="S2305" s="166">
        <f>135*2*25</f>
        <v>6750</v>
      </c>
      <c r="T2305" s="166">
        <v>15</v>
      </c>
      <c r="U2305" s="164">
        <f>($L2305*'Pivot Objective'!$C$9^2)*S2305*T2305</f>
        <v>27963479.257151049</v>
      </c>
      <c r="V2305" s="166">
        <v>0</v>
      </c>
      <c r="W2305" s="166">
        <v>0</v>
      </c>
      <c r="X2305" s="164">
        <f>($L2305*'Pivot Objective'!$C$9^3)*V2305*W2305</f>
        <v>0</v>
      </c>
      <c r="Y2305" s="166">
        <v>0</v>
      </c>
      <c r="Z2305" s="166">
        <v>0</v>
      </c>
      <c r="AA2305" s="164">
        <f>($L2305*'Pivot Objective'!$C$9^4)*Y2305*Z2305</f>
        <v>0</v>
      </c>
      <c r="AB2305" s="166">
        <v>0</v>
      </c>
      <c r="AC2305" s="166">
        <v>0</v>
      </c>
      <c r="AD2305" s="164">
        <f>($L2305*'Pivot Objective'!$C$9^5)*AB2305*AC2305</f>
        <v>0</v>
      </c>
      <c r="AE2305" s="166">
        <v>0</v>
      </c>
      <c r="AF2305" s="166">
        <v>0</v>
      </c>
      <c r="AG2305" s="164">
        <f>($L2305*'Pivot Objective'!$C$9^6)*AE2305*AF2305</f>
        <v>0</v>
      </c>
      <c r="AH2305" s="166">
        <v>0</v>
      </c>
      <c r="AI2305" s="166">
        <v>0</v>
      </c>
      <c r="AJ2305" s="164">
        <f>($L2305*'Pivot Objective'!$C$9^7)*AH2305*AI2305</f>
        <v>0</v>
      </c>
      <c r="AK2305" s="185">
        <f t="shared" si="253"/>
        <v>27963479.257151049</v>
      </c>
      <c r="AL2305" s="186">
        <f t="shared" si="254"/>
        <v>27149.008987525289</v>
      </c>
    </row>
    <row r="2306" spans="1:38" customFormat="1" ht="57.6" x14ac:dyDescent="0.3">
      <c r="A2306" s="140" t="s">
        <v>1488</v>
      </c>
      <c r="B2306" s="140">
        <v>4</v>
      </c>
      <c r="C2306" s="166" t="s">
        <v>697</v>
      </c>
      <c r="D2306" s="140" t="str">
        <f t="shared" si="256"/>
        <v>2</v>
      </c>
      <c r="E2306" s="166" t="s">
        <v>693</v>
      </c>
      <c r="F2306" s="140">
        <f t="shared" si="255"/>
        <v>1</v>
      </c>
      <c r="G2306" s="140" t="str">
        <f t="shared" si="257"/>
        <v>4.2.1</v>
      </c>
      <c r="H2306" s="166" t="s">
        <v>669</v>
      </c>
      <c r="I2306" s="166" t="s">
        <v>99</v>
      </c>
      <c r="J2306" s="166" t="s">
        <v>507</v>
      </c>
      <c r="K2306" s="166" t="s">
        <v>709</v>
      </c>
      <c r="L2306" s="177">
        <v>35000</v>
      </c>
      <c r="M2306" s="140"/>
      <c r="N2306" s="140"/>
      <c r="O2306" s="164">
        <f t="shared" si="252"/>
        <v>0</v>
      </c>
      <c r="P2306" s="166"/>
      <c r="Q2306" s="166"/>
      <c r="R2306" s="164">
        <f>$L2306*'Pivot Objective'!$C$9*P2306*Q2306</f>
        <v>0</v>
      </c>
      <c r="S2306" s="166">
        <v>60</v>
      </c>
      <c r="T2306" s="166">
        <v>15</v>
      </c>
      <c r="U2306" s="164">
        <f>($L2306*'Pivot Objective'!$C$9^2)*S2306*T2306</f>
        <v>41147461.969982013</v>
      </c>
      <c r="V2306" s="166">
        <v>0</v>
      </c>
      <c r="W2306" s="166">
        <v>0</v>
      </c>
      <c r="X2306" s="164">
        <f>($L2306*'Pivot Objective'!$C$9^3)*V2306*W2306</f>
        <v>0</v>
      </c>
      <c r="Y2306" s="166">
        <v>0</v>
      </c>
      <c r="Z2306" s="166">
        <v>0</v>
      </c>
      <c r="AA2306" s="164">
        <f>($L2306*'Pivot Objective'!$C$9^4)*Y2306*Z2306</f>
        <v>0</v>
      </c>
      <c r="AB2306" s="166">
        <v>0</v>
      </c>
      <c r="AC2306" s="166">
        <v>0</v>
      </c>
      <c r="AD2306" s="164">
        <f>($L2306*'Pivot Objective'!$C$9^5)*AB2306*AC2306</f>
        <v>0</v>
      </c>
      <c r="AE2306" s="166">
        <v>0</v>
      </c>
      <c r="AF2306" s="166">
        <v>0</v>
      </c>
      <c r="AG2306" s="164">
        <f>($L2306*'Pivot Objective'!$C$9^6)*AE2306*AF2306</f>
        <v>0</v>
      </c>
      <c r="AH2306" s="166">
        <v>0</v>
      </c>
      <c r="AI2306" s="166">
        <v>0</v>
      </c>
      <c r="AJ2306" s="164">
        <f>($L2306*'Pivot Objective'!$C$9^7)*AH2306*AI2306</f>
        <v>0</v>
      </c>
      <c r="AK2306" s="185">
        <f t="shared" si="253"/>
        <v>41147461.969982013</v>
      </c>
      <c r="AL2306" s="186">
        <f t="shared" si="254"/>
        <v>39948.99220386603</v>
      </c>
    </row>
    <row r="2307" spans="1:38" customFormat="1" ht="57.6" x14ac:dyDescent="0.3">
      <c r="A2307" s="140" t="s">
        <v>1488</v>
      </c>
      <c r="B2307" s="140">
        <v>4</v>
      </c>
      <c r="C2307" s="166" t="s">
        <v>697</v>
      </c>
      <c r="D2307" s="140" t="str">
        <f t="shared" si="256"/>
        <v>2</v>
      </c>
      <c r="E2307" s="166" t="s">
        <v>693</v>
      </c>
      <c r="F2307" s="140">
        <f t="shared" si="255"/>
        <v>1</v>
      </c>
      <c r="G2307" s="140" t="str">
        <f t="shared" si="257"/>
        <v>4.2.1</v>
      </c>
      <c r="H2307" s="166" t="s">
        <v>669</v>
      </c>
      <c r="I2307" s="166" t="s">
        <v>99</v>
      </c>
      <c r="J2307" s="166" t="s">
        <v>508</v>
      </c>
      <c r="K2307" s="166" t="s">
        <v>709</v>
      </c>
      <c r="L2307" s="177">
        <v>28000</v>
      </c>
      <c r="M2307" s="140"/>
      <c r="N2307" s="140"/>
      <c r="O2307" s="164">
        <f t="shared" ref="O2307:O2370" si="258">$L2307*M2307*N2307</f>
        <v>0</v>
      </c>
      <c r="P2307" s="166"/>
      <c r="Q2307" s="166"/>
      <c r="R2307" s="164">
        <f>$L2307*'Pivot Objective'!$C$9*P2307*Q2307</f>
        <v>0</v>
      </c>
      <c r="S2307" s="166">
        <v>0</v>
      </c>
      <c r="T2307" s="166">
        <v>0</v>
      </c>
      <c r="U2307" s="164">
        <f>($L2307*'Pivot Objective'!$C$9^2)*S2307*T2307</f>
        <v>0</v>
      </c>
      <c r="V2307" s="166">
        <v>0</v>
      </c>
      <c r="W2307" s="166">
        <v>0</v>
      </c>
      <c r="X2307" s="164">
        <f>($L2307*'Pivot Objective'!$C$9^3)*V2307*W2307</f>
        <v>0</v>
      </c>
      <c r="Y2307" s="166">
        <v>0</v>
      </c>
      <c r="Z2307" s="166">
        <v>0</v>
      </c>
      <c r="AA2307" s="164">
        <f>($L2307*'Pivot Objective'!$C$9^4)*Y2307*Z2307</f>
        <v>0</v>
      </c>
      <c r="AB2307" s="166">
        <v>0</v>
      </c>
      <c r="AC2307" s="166">
        <v>0</v>
      </c>
      <c r="AD2307" s="164">
        <f>($L2307*'Pivot Objective'!$C$9^5)*AB2307*AC2307</f>
        <v>0</v>
      </c>
      <c r="AE2307" s="166">
        <v>0</v>
      </c>
      <c r="AF2307" s="166">
        <v>0</v>
      </c>
      <c r="AG2307" s="164">
        <f>($L2307*'Pivot Objective'!$C$9^6)*AE2307*AF2307</f>
        <v>0</v>
      </c>
      <c r="AH2307" s="166">
        <v>0</v>
      </c>
      <c r="AI2307" s="166">
        <v>0</v>
      </c>
      <c r="AJ2307" s="164">
        <f>($L2307*'Pivot Objective'!$C$9^7)*AH2307*AI2307</f>
        <v>0</v>
      </c>
      <c r="AK2307" s="185">
        <f t="shared" ref="AK2307:AK2370" si="259">O2307+R2307+U2307+X2307+AA2307+AD2307+AG2307+AJ2307</f>
        <v>0</v>
      </c>
      <c r="AL2307" s="186">
        <f t="shared" ref="AL2307:AL2370" si="260">AK2307/$AP$2</f>
        <v>0</v>
      </c>
    </row>
    <row r="2308" spans="1:38" customFormat="1" ht="57.6" x14ac:dyDescent="0.3">
      <c r="A2308" s="140" t="s">
        <v>1488</v>
      </c>
      <c r="B2308" s="140">
        <v>4</v>
      </c>
      <c r="C2308" s="166" t="s">
        <v>697</v>
      </c>
      <c r="D2308" s="140" t="str">
        <f t="shared" si="256"/>
        <v>2</v>
      </c>
      <c r="E2308" s="166" t="s">
        <v>693</v>
      </c>
      <c r="F2308" s="140">
        <f t="shared" si="255"/>
        <v>1</v>
      </c>
      <c r="G2308" s="140" t="str">
        <f t="shared" si="257"/>
        <v>4.2.1</v>
      </c>
      <c r="H2308" s="166" t="s">
        <v>669</v>
      </c>
      <c r="I2308" s="166" t="s">
        <v>99</v>
      </c>
      <c r="J2308" s="166" t="s">
        <v>508</v>
      </c>
      <c r="K2308" s="166" t="s">
        <v>716</v>
      </c>
      <c r="L2308" s="177">
        <v>39000</v>
      </c>
      <c r="M2308" s="140"/>
      <c r="N2308" s="140"/>
      <c r="O2308" s="164">
        <f t="shared" si="258"/>
        <v>0</v>
      </c>
      <c r="P2308" s="166"/>
      <c r="Q2308" s="166"/>
      <c r="R2308" s="164">
        <f>$L2308*'Pivot Objective'!$C$9*P2308*Q2308</f>
        <v>0</v>
      </c>
      <c r="S2308" s="166">
        <v>58</v>
      </c>
      <c r="T2308" s="166">
        <v>6</v>
      </c>
      <c r="U2308" s="164">
        <f>($L2308*'Pivot Objective'!$C$9^2)*S2308*T2308</f>
        <v>17728677.900209397</v>
      </c>
      <c r="V2308" s="166">
        <v>0</v>
      </c>
      <c r="W2308" s="166">
        <v>0</v>
      </c>
      <c r="X2308" s="164">
        <f>($L2308*'Pivot Objective'!$C$9^3)*V2308*W2308</f>
        <v>0</v>
      </c>
      <c r="Y2308" s="166">
        <v>0</v>
      </c>
      <c r="Z2308" s="166">
        <v>0</v>
      </c>
      <c r="AA2308" s="164">
        <f>($L2308*'Pivot Objective'!$C$9^4)*Y2308*Z2308</f>
        <v>0</v>
      </c>
      <c r="AB2308" s="166">
        <v>0</v>
      </c>
      <c r="AC2308" s="166">
        <v>0</v>
      </c>
      <c r="AD2308" s="164">
        <f>($L2308*'Pivot Objective'!$C$9^5)*AB2308*AC2308</f>
        <v>0</v>
      </c>
      <c r="AE2308" s="166">
        <v>0</v>
      </c>
      <c r="AF2308" s="166">
        <v>0</v>
      </c>
      <c r="AG2308" s="164">
        <f>($L2308*'Pivot Objective'!$C$9^6)*AE2308*AF2308</f>
        <v>0</v>
      </c>
      <c r="AH2308" s="166">
        <v>0</v>
      </c>
      <c r="AI2308" s="166">
        <v>0</v>
      </c>
      <c r="AJ2308" s="164">
        <f>($L2308*'Pivot Objective'!$C$9^7)*AH2308*AI2308</f>
        <v>0</v>
      </c>
      <c r="AK2308" s="185">
        <f t="shared" si="259"/>
        <v>17728677.900209397</v>
      </c>
      <c r="AL2308" s="186">
        <f t="shared" si="260"/>
        <v>17212.308640979998</v>
      </c>
    </row>
    <row r="2309" spans="1:38" customFormat="1" ht="57.6" x14ac:dyDescent="0.3">
      <c r="A2309" s="140" t="s">
        <v>1488</v>
      </c>
      <c r="B2309" s="140">
        <v>4</v>
      </c>
      <c r="C2309" s="166" t="s">
        <v>697</v>
      </c>
      <c r="D2309" s="140" t="str">
        <f t="shared" si="256"/>
        <v>2</v>
      </c>
      <c r="E2309" s="166" t="s">
        <v>693</v>
      </c>
      <c r="F2309" s="140">
        <f t="shared" ref="F2309:F2372" si="261">IF(H2309=H2308,F2308,F2308+1)</f>
        <v>1</v>
      </c>
      <c r="G2309" s="140" t="str">
        <f t="shared" si="257"/>
        <v>4.2.1</v>
      </c>
      <c r="H2309" s="166" t="s">
        <v>669</v>
      </c>
      <c r="I2309" s="166" t="s">
        <v>99</v>
      </c>
      <c r="J2309" s="166" t="s">
        <v>508</v>
      </c>
      <c r="K2309" s="166" t="s">
        <v>712</v>
      </c>
      <c r="L2309" s="177">
        <f>1480/7</f>
        <v>211.42857142857142</v>
      </c>
      <c r="M2309" s="140"/>
      <c r="N2309" s="140"/>
      <c r="O2309" s="164">
        <f t="shared" si="258"/>
        <v>0</v>
      </c>
      <c r="P2309" s="166"/>
      <c r="Q2309" s="166"/>
      <c r="R2309" s="164">
        <f>$L2309*'Pivot Objective'!$C$9*P2309*Q2309</f>
        <v>0</v>
      </c>
      <c r="S2309" s="166">
        <f>25*2*29</f>
        <v>1450</v>
      </c>
      <c r="T2309" s="166">
        <v>5</v>
      </c>
      <c r="U2309" s="164">
        <f>($L2309*'Pivot Objective'!$C$9^2)*S2309*T2309</f>
        <v>2002323.2060676059</v>
      </c>
      <c r="V2309" s="166">
        <v>0</v>
      </c>
      <c r="W2309" s="166">
        <v>0</v>
      </c>
      <c r="X2309" s="164">
        <f>($L2309*'Pivot Objective'!$C$9^3)*V2309*W2309</f>
        <v>0</v>
      </c>
      <c r="Y2309" s="166">
        <v>0</v>
      </c>
      <c r="Z2309" s="166">
        <v>0</v>
      </c>
      <c r="AA2309" s="164">
        <f>($L2309*'Pivot Objective'!$C$9^4)*Y2309*Z2309</f>
        <v>0</v>
      </c>
      <c r="AB2309" s="166">
        <v>0</v>
      </c>
      <c r="AC2309" s="166">
        <v>0</v>
      </c>
      <c r="AD2309" s="164">
        <f>($L2309*'Pivot Objective'!$C$9^5)*AB2309*AC2309</f>
        <v>0</v>
      </c>
      <c r="AE2309" s="166">
        <v>0</v>
      </c>
      <c r="AF2309" s="166">
        <v>0</v>
      </c>
      <c r="AG2309" s="164">
        <f>($L2309*'Pivot Objective'!$C$9^6)*AE2309*AF2309</f>
        <v>0</v>
      </c>
      <c r="AH2309" s="166">
        <v>0</v>
      </c>
      <c r="AI2309" s="166">
        <v>0</v>
      </c>
      <c r="AJ2309" s="164">
        <f>($L2309*'Pivot Objective'!$C$9^7)*AH2309*AI2309</f>
        <v>0</v>
      </c>
      <c r="AK2309" s="185">
        <f t="shared" si="259"/>
        <v>2002323.2060676059</v>
      </c>
      <c r="AL2309" s="186">
        <f t="shared" si="260"/>
        <v>1944.003112686996</v>
      </c>
    </row>
    <row r="2310" spans="1:38" customFormat="1" ht="57.6" x14ac:dyDescent="0.3">
      <c r="A2310" s="140" t="s">
        <v>1488</v>
      </c>
      <c r="B2310" s="140">
        <v>4</v>
      </c>
      <c r="C2310" s="166" t="s">
        <v>697</v>
      </c>
      <c r="D2310" s="140" t="str">
        <f t="shared" si="256"/>
        <v>2</v>
      </c>
      <c r="E2310" s="166" t="s">
        <v>693</v>
      </c>
      <c r="F2310" s="140">
        <f t="shared" si="261"/>
        <v>1</v>
      </c>
      <c r="G2310" s="140" t="str">
        <f t="shared" si="257"/>
        <v>4.2.1</v>
      </c>
      <c r="H2310" s="166" t="s">
        <v>669</v>
      </c>
      <c r="I2310" s="166" t="s">
        <v>99</v>
      </c>
      <c r="J2310" s="166" t="s">
        <v>508</v>
      </c>
      <c r="K2310" s="166" t="s">
        <v>1350</v>
      </c>
      <c r="L2310" s="177">
        <f>1480/7</f>
        <v>211.42857142857142</v>
      </c>
      <c r="M2310" s="140"/>
      <c r="N2310" s="140"/>
      <c r="O2310" s="164">
        <f t="shared" si="258"/>
        <v>0</v>
      </c>
      <c r="P2310" s="166"/>
      <c r="Q2310" s="166"/>
      <c r="R2310" s="164">
        <f>$L2310*'Pivot Objective'!$C$9*P2310*Q2310</f>
        <v>0</v>
      </c>
      <c r="S2310" s="166">
        <v>22500</v>
      </c>
      <c r="T2310" s="166">
        <v>1</v>
      </c>
      <c r="U2310" s="164">
        <f>($L2310*'Pivot Objective'!$C$9^2)*S2310*T2310</f>
        <v>6214106.5015891213</v>
      </c>
      <c r="V2310" s="166"/>
      <c r="W2310" s="166"/>
      <c r="X2310" s="164">
        <f>($L2310*'Pivot Objective'!$C$9^3)*V2310*W2310</f>
        <v>0</v>
      </c>
      <c r="Y2310" s="166"/>
      <c r="Z2310" s="166"/>
      <c r="AA2310" s="164">
        <f>($L2310*'Pivot Objective'!$C$9^4)*Y2310*Z2310</f>
        <v>0</v>
      </c>
      <c r="AB2310" s="166"/>
      <c r="AC2310" s="166"/>
      <c r="AD2310" s="164">
        <f>($L2310*'Pivot Objective'!$C$9^5)*AB2310*AC2310</f>
        <v>0</v>
      </c>
      <c r="AE2310" s="166"/>
      <c r="AF2310" s="166"/>
      <c r="AG2310" s="164">
        <f>($L2310*'Pivot Objective'!$C$9^6)*AE2310*AF2310</f>
        <v>0</v>
      </c>
      <c r="AH2310" s="166"/>
      <c r="AI2310" s="166"/>
      <c r="AJ2310" s="164">
        <f>($L2310*'Pivot Objective'!$C$9^7)*AH2310*AI2310</f>
        <v>0</v>
      </c>
      <c r="AK2310" s="185">
        <f t="shared" si="259"/>
        <v>6214106.5015891213</v>
      </c>
      <c r="AL2310" s="186">
        <f t="shared" si="260"/>
        <v>6033.1131083389528</v>
      </c>
    </row>
    <row r="2311" spans="1:38" customFormat="1" ht="57.6" x14ac:dyDescent="0.3">
      <c r="A2311" s="140" t="s">
        <v>1488</v>
      </c>
      <c r="B2311" s="140">
        <v>4</v>
      </c>
      <c r="C2311" s="166" t="s">
        <v>697</v>
      </c>
      <c r="D2311" s="140" t="str">
        <f t="shared" si="256"/>
        <v>2</v>
      </c>
      <c r="E2311" s="166" t="s">
        <v>693</v>
      </c>
      <c r="F2311" s="140">
        <f t="shared" si="261"/>
        <v>1</v>
      </c>
      <c r="G2311" s="140" t="str">
        <f t="shared" si="257"/>
        <v>4.2.1</v>
      </c>
      <c r="H2311" s="166" t="s">
        <v>669</v>
      </c>
      <c r="I2311" s="166" t="s">
        <v>99</v>
      </c>
      <c r="J2311" s="166" t="s">
        <v>509</v>
      </c>
      <c r="K2311" s="166" t="s">
        <v>709</v>
      </c>
      <c r="L2311" s="177">
        <v>35000</v>
      </c>
      <c r="M2311" s="140"/>
      <c r="N2311" s="140"/>
      <c r="O2311" s="164">
        <f t="shared" si="258"/>
        <v>0</v>
      </c>
      <c r="P2311" s="166"/>
      <c r="Q2311" s="166"/>
      <c r="R2311" s="164">
        <f>$L2311*'Pivot Objective'!$C$9*P2311*Q2311</f>
        <v>0</v>
      </c>
      <c r="S2311" s="166">
        <v>30</v>
      </c>
      <c r="T2311" s="166">
        <v>1</v>
      </c>
      <c r="U2311" s="164">
        <f>($L2311*'Pivot Objective'!$C$9^2)*S2311*T2311</f>
        <v>1371582.0656660672</v>
      </c>
      <c r="V2311" s="166">
        <v>0</v>
      </c>
      <c r="W2311" s="166">
        <v>0</v>
      </c>
      <c r="X2311" s="164">
        <f>($L2311*'Pivot Objective'!$C$9^3)*V2311*W2311</f>
        <v>0</v>
      </c>
      <c r="Y2311" s="166">
        <v>0</v>
      </c>
      <c r="Z2311" s="166">
        <v>0</v>
      </c>
      <c r="AA2311" s="164">
        <f>($L2311*'Pivot Objective'!$C$9^4)*Y2311*Z2311</f>
        <v>0</v>
      </c>
      <c r="AB2311" s="166">
        <v>0</v>
      </c>
      <c r="AC2311" s="166">
        <v>0</v>
      </c>
      <c r="AD2311" s="164">
        <f>($L2311*'Pivot Objective'!$C$9^5)*AB2311*AC2311</f>
        <v>0</v>
      </c>
      <c r="AE2311" s="166">
        <v>0</v>
      </c>
      <c r="AF2311" s="166">
        <v>0</v>
      </c>
      <c r="AG2311" s="164">
        <f>($L2311*'Pivot Objective'!$C$9^6)*AE2311*AF2311</f>
        <v>0</v>
      </c>
      <c r="AH2311" s="166">
        <v>0</v>
      </c>
      <c r="AI2311" s="166">
        <v>0</v>
      </c>
      <c r="AJ2311" s="164">
        <f>($L2311*'Pivot Objective'!$C$9^7)*AH2311*AI2311</f>
        <v>0</v>
      </c>
      <c r="AK2311" s="185">
        <f t="shared" si="259"/>
        <v>1371582.0656660672</v>
      </c>
      <c r="AL2311" s="186">
        <f t="shared" si="260"/>
        <v>1331.6330734622011</v>
      </c>
    </row>
    <row r="2312" spans="1:38" customFormat="1" ht="57.6" x14ac:dyDescent="0.3">
      <c r="A2312" s="140" t="s">
        <v>1488</v>
      </c>
      <c r="B2312" s="140">
        <v>4</v>
      </c>
      <c r="C2312" s="166" t="s">
        <v>697</v>
      </c>
      <c r="D2312" s="140" t="str">
        <f t="shared" si="256"/>
        <v>2</v>
      </c>
      <c r="E2312" s="166" t="s">
        <v>693</v>
      </c>
      <c r="F2312" s="140">
        <f t="shared" si="261"/>
        <v>1</v>
      </c>
      <c r="G2312" s="140" t="str">
        <f t="shared" si="257"/>
        <v>4.2.1</v>
      </c>
      <c r="H2312" s="166" t="s">
        <v>669</v>
      </c>
      <c r="I2312" s="166" t="s">
        <v>99</v>
      </c>
      <c r="J2312" s="166" t="s">
        <v>510</v>
      </c>
      <c r="K2312" s="166" t="s">
        <v>709</v>
      </c>
      <c r="L2312" s="177">
        <v>35000</v>
      </c>
      <c r="M2312" s="140"/>
      <c r="N2312" s="140"/>
      <c r="O2312" s="164">
        <f t="shared" si="258"/>
        <v>0</v>
      </c>
      <c r="P2312" s="166"/>
      <c r="Q2312" s="166"/>
      <c r="R2312" s="164">
        <f>$L2312*'Pivot Objective'!$C$9*P2312*Q2312</f>
        <v>0</v>
      </c>
      <c r="S2312" s="166">
        <v>30</v>
      </c>
      <c r="T2312" s="166">
        <v>1</v>
      </c>
      <c r="U2312" s="164">
        <f>($L2312*'Pivot Objective'!$C$9^2)*S2312*T2312</f>
        <v>1371582.0656660672</v>
      </c>
      <c r="V2312" s="166">
        <v>0</v>
      </c>
      <c r="W2312" s="166">
        <v>0</v>
      </c>
      <c r="X2312" s="164">
        <f>($L2312*'Pivot Objective'!$C$9^3)*V2312*W2312</f>
        <v>0</v>
      </c>
      <c r="Y2312" s="166">
        <v>0</v>
      </c>
      <c r="Z2312" s="166">
        <v>0</v>
      </c>
      <c r="AA2312" s="164">
        <f>($L2312*'Pivot Objective'!$C$9^4)*Y2312*Z2312</f>
        <v>0</v>
      </c>
      <c r="AB2312" s="166">
        <v>0</v>
      </c>
      <c r="AC2312" s="166">
        <v>0</v>
      </c>
      <c r="AD2312" s="164">
        <f>($L2312*'Pivot Objective'!$C$9^5)*AB2312*AC2312</f>
        <v>0</v>
      </c>
      <c r="AE2312" s="166">
        <v>0</v>
      </c>
      <c r="AF2312" s="166">
        <v>0</v>
      </c>
      <c r="AG2312" s="164">
        <f>($L2312*'Pivot Objective'!$C$9^6)*AE2312*AF2312</f>
        <v>0</v>
      </c>
      <c r="AH2312" s="166">
        <v>0</v>
      </c>
      <c r="AI2312" s="166">
        <v>0</v>
      </c>
      <c r="AJ2312" s="164">
        <f>($L2312*'Pivot Objective'!$C$9^7)*AH2312*AI2312</f>
        <v>0</v>
      </c>
      <c r="AK2312" s="185">
        <f t="shared" si="259"/>
        <v>1371582.0656660672</v>
      </c>
      <c r="AL2312" s="186">
        <f t="shared" si="260"/>
        <v>1331.6330734622011</v>
      </c>
    </row>
    <row r="2313" spans="1:38" customFormat="1" ht="57.6" x14ac:dyDescent="0.3">
      <c r="A2313" s="140" t="s">
        <v>1488</v>
      </c>
      <c r="B2313" s="140">
        <v>4</v>
      </c>
      <c r="C2313" s="166" t="s">
        <v>697</v>
      </c>
      <c r="D2313" s="140" t="str">
        <f t="shared" si="256"/>
        <v>2</v>
      </c>
      <c r="E2313" s="166" t="s">
        <v>693</v>
      </c>
      <c r="F2313" s="140">
        <f t="shared" si="261"/>
        <v>1</v>
      </c>
      <c r="G2313" s="140" t="str">
        <f t="shared" si="257"/>
        <v>4.2.1</v>
      </c>
      <c r="H2313" s="166" t="s">
        <v>669</v>
      </c>
      <c r="I2313" s="166" t="s">
        <v>99</v>
      </c>
      <c r="J2313" s="166" t="s">
        <v>511</v>
      </c>
      <c r="K2313" s="166" t="s">
        <v>718</v>
      </c>
      <c r="L2313" s="177">
        <v>0</v>
      </c>
      <c r="M2313" s="140"/>
      <c r="N2313" s="140"/>
      <c r="O2313" s="164">
        <f t="shared" si="258"/>
        <v>0</v>
      </c>
      <c r="P2313" s="166"/>
      <c r="Q2313" s="166"/>
      <c r="R2313" s="164">
        <f>$L2313*'Pivot Objective'!$C$9*P2313*Q2313</f>
        <v>0</v>
      </c>
      <c r="S2313" s="166">
        <v>0</v>
      </c>
      <c r="T2313" s="166">
        <v>0</v>
      </c>
      <c r="U2313" s="164">
        <f>($L2313*'Pivot Objective'!$C$9^2)*S2313*T2313</f>
        <v>0</v>
      </c>
      <c r="V2313" s="166">
        <v>0</v>
      </c>
      <c r="W2313" s="166">
        <v>0</v>
      </c>
      <c r="X2313" s="164">
        <f>($L2313*'Pivot Objective'!$C$9^3)*V2313*W2313</f>
        <v>0</v>
      </c>
      <c r="Y2313" s="166">
        <v>0</v>
      </c>
      <c r="Z2313" s="166">
        <v>0</v>
      </c>
      <c r="AA2313" s="164">
        <f>($L2313*'Pivot Objective'!$C$9^4)*Y2313*Z2313</f>
        <v>0</v>
      </c>
      <c r="AB2313" s="166">
        <v>0</v>
      </c>
      <c r="AC2313" s="166">
        <v>0</v>
      </c>
      <c r="AD2313" s="164">
        <f>($L2313*'Pivot Objective'!$C$9^5)*AB2313*AC2313</f>
        <v>0</v>
      </c>
      <c r="AE2313" s="166">
        <v>0</v>
      </c>
      <c r="AF2313" s="166">
        <v>0</v>
      </c>
      <c r="AG2313" s="164">
        <f>($L2313*'Pivot Objective'!$C$9^6)*AE2313*AF2313</f>
        <v>0</v>
      </c>
      <c r="AH2313" s="166">
        <v>0</v>
      </c>
      <c r="AI2313" s="166">
        <v>0</v>
      </c>
      <c r="AJ2313" s="164">
        <f>($L2313*'Pivot Objective'!$C$9^7)*AH2313*AI2313</f>
        <v>0</v>
      </c>
      <c r="AK2313" s="185">
        <f t="shared" si="259"/>
        <v>0</v>
      </c>
      <c r="AL2313" s="186">
        <f t="shared" si="260"/>
        <v>0</v>
      </c>
    </row>
    <row r="2314" spans="1:38" customFormat="1" ht="57.6" x14ac:dyDescent="0.3">
      <c r="A2314" s="140" t="s">
        <v>1488</v>
      </c>
      <c r="B2314" s="140">
        <v>4</v>
      </c>
      <c r="C2314" s="166" t="s">
        <v>697</v>
      </c>
      <c r="D2314" s="140" t="str">
        <f t="shared" si="256"/>
        <v>2</v>
      </c>
      <c r="E2314" s="166" t="s">
        <v>693</v>
      </c>
      <c r="F2314" s="140">
        <f t="shared" si="261"/>
        <v>1</v>
      </c>
      <c r="G2314" s="140" t="str">
        <f t="shared" si="257"/>
        <v>4.2.1</v>
      </c>
      <c r="H2314" s="166" t="s">
        <v>669</v>
      </c>
      <c r="I2314" s="166" t="s">
        <v>100</v>
      </c>
      <c r="J2314" s="166" t="s">
        <v>214</v>
      </c>
      <c r="K2314" s="166" t="s">
        <v>718</v>
      </c>
      <c r="L2314" s="177">
        <v>0</v>
      </c>
      <c r="M2314" s="140"/>
      <c r="N2314" s="140"/>
      <c r="O2314" s="164">
        <f t="shared" si="258"/>
        <v>0</v>
      </c>
      <c r="P2314" s="166">
        <v>0</v>
      </c>
      <c r="Q2314" s="166">
        <v>0</v>
      </c>
      <c r="R2314" s="164">
        <f>$L2314*'Pivot Objective'!$C$9*P2314*Q2314</f>
        <v>0</v>
      </c>
      <c r="S2314" s="166">
        <v>0</v>
      </c>
      <c r="T2314" s="166">
        <v>0</v>
      </c>
      <c r="U2314" s="164">
        <f>($L2314*'Pivot Objective'!$C$9^2)*S2314*T2314</f>
        <v>0</v>
      </c>
      <c r="V2314" s="166">
        <v>0</v>
      </c>
      <c r="W2314" s="166">
        <v>0</v>
      </c>
      <c r="X2314" s="164">
        <f>($L2314*'Pivot Objective'!$C$9^3)*V2314*W2314</f>
        <v>0</v>
      </c>
      <c r="Y2314" s="166">
        <v>0</v>
      </c>
      <c r="Z2314" s="166">
        <v>0</v>
      </c>
      <c r="AA2314" s="164">
        <f>($L2314*'Pivot Objective'!$C$9^4)*Y2314*Z2314</f>
        <v>0</v>
      </c>
      <c r="AB2314" s="166">
        <v>0</v>
      </c>
      <c r="AC2314" s="166">
        <v>0</v>
      </c>
      <c r="AD2314" s="164">
        <f>($L2314*'Pivot Objective'!$C$9^5)*AB2314*AC2314</f>
        <v>0</v>
      </c>
      <c r="AE2314" s="166">
        <v>0</v>
      </c>
      <c r="AF2314" s="166">
        <v>0</v>
      </c>
      <c r="AG2314" s="164">
        <f>($L2314*'Pivot Objective'!$C$9^6)*AE2314*AF2314</f>
        <v>0</v>
      </c>
      <c r="AH2314" s="166">
        <v>0</v>
      </c>
      <c r="AI2314" s="166">
        <v>0</v>
      </c>
      <c r="AJ2314" s="164">
        <f>($L2314*'Pivot Objective'!$C$9^7)*AH2314*AI2314</f>
        <v>0</v>
      </c>
      <c r="AK2314" s="185">
        <f t="shared" si="259"/>
        <v>0</v>
      </c>
      <c r="AL2314" s="186">
        <f t="shared" si="260"/>
        <v>0</v>
      </c>
    </row>
    <row r="2315" spans="1:38" customFormat="1" ht="57.6" x14ac:dyDescent="0.3">
      <c r="A2315" s="140" t="s">
        <v>1488</v>
      </c>
      <c r="B2315" s="140">
        <v>4</v>
      </c>
      <c r="C2315" s="166" t="s">
        <v>697</v>
      </c>
      <c r="D2315" s="140" t="str">
        <f t="shared" si="256"/>
        <v>2</v>
      </c>
      <c r="E2315" s="166" t="s">
        <v>693</v>
      </c>
      <c r="F2315" s="140">
        <f t="shared" si="261"/>
        <v>1</v>
      </c>
      <c r="G2315" s="140" t="str">
        <f t="shared" si="257"/>
        <v>4.2.1</v>
      </c>
      <c r="H2315" s="166" t="s">
        <v>669</v>
      </c>
      <c r="I2315" s="166" t="s">
        <v>100</v>
      </c>
      <c r="J2315" s="166" t="s">
        <v>149</v>
      </c>
      <c r="K2315" s="166" t="s">
        <v>707</v>
      </c>
      <c r="L2315" s="177">
        <v>391991.03749999998</v>
      </c>
      <c r="M2315" s="166"/>
      <c r="N2315" s="166"/>
      <c r="O2315" s="164">
        <f t="shared" si="258"/>
        <v>0</v>
      </c>
      <c r="P2315" s="166">
        <v>2</v>
      </c>
      <c r="Q2315" s="166">
        <v>2</v>
      </c>
      <c r="R2315" s="164">
        <f>$L2315*'Pivot Objective'!$C$9*P2315*Q2315</f>
        <v>1792059.3063746723</v>
      </c>
      <c r="S2315" s="166">
        <v>0</v>
      </c>
      <c r="T2315" s="166">
        <v>0</v>
      </c>
      <c r="U2315" s="164">
        <f>($L2315*'Pivot Objective'!$C$9^2)*S2315*T2315</f>
        <v>0</v>
      </c>
      <c r="V2315" s="166">
        <v>0</v>
      </c>
      <c r="W2315" s="166">
        <v>0</v>
      </c>
      <c r="X2315" s="164">
        <f>($L2315*'Pivot Objective'!$C$9^3)*V2315*W2315</f>
        <v>0</v>
      </c>
      <c r="Y2315" s="166">
        <v>0</v>
      </c>
      <c r="Z2315" s="166">
        <v>0</v>
      </c>
      <c r="AA2315" s="164">
        <f>($L2315*'Pivot Objective'!$C$9^4)*Y2315*Z2315</f>
        <v>0</v>
      </c>
      <c r="AB2315" s="166">
        <v>0</v>
      </c>
      <c r="AC2315" s="166">
        <v>0</v>
      </c>
      <c r="AD2315" s="164">
        <f>($L2315*'Pivot Objective'!$C$9^5)*AB2315*AC2315</f>
        <v>0</v>
      </c>
      <c r="AE2315" s="166">
        <v>0</v>
      </c>
      <c r="AF2315" s="166">
        <v>0</v>
      </c>
      <c r="AG2315" s="164">
        <f>($L2315*'Pivot Objective'!$C$9^6)*AE2315*AF2315</f>
        <v>0</v>
      </c>
      <c r="AH2315" s="166">
        <v>0</v>
      </c>
      <c r="AI2315" s="166">
        <v>0</v>
      </c>
      <c r="AJ2315" s="164">
        <f>($L2315*'Pivot Objective'!$C$9^7)*AH2315*AI2315</f>
        <v>0</v>
      </c>
      <c r="AK2315" s="185">
        <f t="shared" si="259"/>
        <v>1792059.3063746723</v>
      </c>
      <c r="AL2315" s="186">
        <f t="shared" si="260"/>
        <v>1739.8634042472547</v>
      </c>
    </row>
    <row r="2316" spans="1:38" customFormat="1" ht="57.6" x14ac:dyDescent="0.3">
      <c r="A2316" s="140" t="s">
        <v>1488</v>
      </c>
      <c r="B2316" s="140">
        <v>4</v>
      </c>
      <c r="C2316" s="166" t="s">
        <v>697</v>
      </c>
      <c r="D2316" s="140" t="str">
        <f t="shared" si="256"/>
        <v>2</v>
      </c>
      <c r="E2316" s="166" t="s">
        <v>693</v>
      </c>
      <c r="F2316" s="140">
        <f t="shared" si="261"/>
        <v>1</v>
      </c>
      <c r="G2316" s="140" t="str">
        <f t="shared" si="257"/>
        <v>4.2.1</v>
      </c>
      <c r="H2316" s="166" t="s">
        <v>669</v>
      </c>
      <c r="I2316" s="166" t="s">
        <v>100</v>
      </c>
      <c r="J2316" s="166" t="s">
        <v>149</v>
      </c>
      <c r="K2316" s="166" t="s">
        <v>708</v>
      </c>
      <c r="L2316" s="177">
        <f>500*1022</f>
        <v>511000</v>
      </c>
      <c r="M2316" s="166"/>
      <c r="N2316" s="166"/>
      <c r="O2316" s="164">
        <f t="shared" si="258"/>
        <v>0</v>
      </c>
      <c r="P2316" s="166">
        <v>1</v>
      </c>
      <c r="Q2316" s="166">
        <v>25</v>
      </c>
      <c r="R2316" s="164">
        <f>$L2316*'Pivot Objective'!$C$9*P2316*Q2316</f>
        <v>14600817.014174998</v>
      </c>
      <c r="S2316" s="166">
        <v>0</v>
      </c>
      <c r="T2316" s="166">
        <v>0</v>
      </c>
      <c r="U2316" s="164">
        <f>($L2316*'Pivot Objective'!$C$9^2)*S2316*T2316</f>
        <v>0</v>
      </c>
      <c r="V2316" s="166">
        <v>0</v>
      </c>
      <c r="W2316" s="166">
        <v>0</v>
      </c>
      <c r="X2316" s="164">
        <f>($L2316*'Pivot Objective'!$C$9^3)*V2316*W2316</f>
        <v>0</v>
      </c>
      <c r="Y2316" s="166">
        <v>0</v>
      </c>
      <c r="Z2316" s="166">
        <v>0</v>
      </c>
      <c r="AA2316" s="164">
        <f>($L2316*'Pivot Objective'!$C$9^4)*Y2316*Z2316</f>
        <v>0</v>
      </c>
      <c r="AB2316" s="166">
        <v>0</v>
      </c>
      <c r="AC2316" s="166">
        <v>0</v>
      </c>
      <c r="AD2316" s="164">
        <f>($L2316*'Pivot Objective'!$C$9^5)*AB2316*AC2316</f>
        <v>0</v>
      </c>
      <c r="AE2316" s="166">
        <v>0</v>
      </c>
      <c r="AF2316" s="166">
        <v>0</v>
      </c>
      <c r="AG2316" s="164">
        <f>($L2316*'Pivot Objective'!$C$9^6)*AE2316*AF2316</f>
        <v>0</v>
      </c>
      <c r="AH2316" s="166">
        <v>0</v>
      </c>
      <c r="AI2316" s="166">
        <v>0</v>
      </c>
      <c r="AJ2316" s="164">
        <f>($L2316*'Pivot Objective'!$C$9^7)*AH2316*AI2316</f>
        <v>0</v>
      </c>
      <c r="AK2316" s="185">
        <f t="shared" si="259"/>
        <v>14600817.014174998</v>
      </c>
      <c r="AL2316" s="186">
        <f t="shared" si="260"/>
        <v>14175.550499199027</v>
      </c>
    </row>
    <row r="2317" spans="1:38" customFormat="1" ht="57.6" x14ac:dyDescent="0.3">
      <c r="A2317" s="140" t="s">
        <v>1488</v>
      </c>
      <c r="B2317" s="140">
        <v>4</v>
      </c>
      <c r="C2317" s="166" t="s">
        <v>697</v>
      </c>
      <c r="D2317" s="140" t="str">
        <f t="shared" si="256"/>
        <v>2</v>
      </c>
      <c r="E2317" s="166" t="s">
        <v>693</v>
      </c>
      <c r="F2317" s="140">
        <f t="shared" si="261"/>
        <v>1</v>
      </c>
      <c r="G2317" s="140" t="str">
        <f t="shared" si="257"/>
        <v>4.2.1</v>
      </c>
      <c r="H2317" s="166" t="s">
        <v>669</v>
      </c>
      <c r="I2317" s="166" t="s">
        <v>100</v>
      </c>
      <c r="J2317" s="166" t="s">
        <v>512</v>
      </c>
      <c r="K2317" s="166" t="s">
        <v>718</v>
      </c>
      <c r="L2317" s="177">
        <v>0</v>
      </c>
      <c r="M2317" s="166">
        <v>0</v>
      </c>
      <c r="N2317" s="166">
        <v>0</v>
      </c>
      <c r="O2317" s="164">
        <f t="shared" si="258"/>
        <v>0</v>
      </c>
      <c r="P2317" s="166"/>
      <c r="Q2317" s="166"/>
      <c r="R2317" s="164">
        <f>$L2317*'Pivot Objective'!$C$9*P2317*Q2317</f>
        <v>0</v>
      </c>
      <c r="S2317" s="166">
        <v>0</v>
      </c>
      <c r="T2317" s="166">
        <v>0</v>
      </c>
      <c r="U2317" s="164">
        <f>($L2317*'Pivot Objective'!$C$9^2)*S2317*T2317</f>
        <v>0</v>
      </c>
      <c r="V2317" s="166">
        <v>0</v>
      </c>
      <c r="W2317" s="166">
        <v>0</v>
      </c>
      <c r="X2317" s="164">
        <f>($L2317*'Pivot Objective'!$C$9^3)*V2317*W2317</f>
        <v>0</v>
      </c>
      <c r="Y2317" s="166">
        <v>0</v>
      </c>
      <c r="Z2317" s="166">
        <v>0</v>
      </c>
      <c r="AA2317" s="164">
        <f>($L2317*'Pivot Objective'!$C$9^4)*Y2317*Z2317</f>
        <v>0</v>
      </c>
      <c r="AB2317" s="166">
        <v>0</v>
      </c>
      <c r="AC2317" s="166">
        <v>0</v>
      </c>
      <c r="AD2317" s="164">
        <f>($L2317*'Pivot Objective'!$C$9^5)*AB2317*AC2317</f>
        <v>0</v>
      </c>
      <c r="AE2317" s="166">
        <v>0</v>
      </c>
      <c r="AF2317" s="166">
        <v>0</v>
      </c>
      <c r="AG2317" s="164">
        <f>($L2317*'Pivot Objective'!$C$9^6)*AE2317*AF2317</f>
        <v>0</v>
      </c>
      <c r="AH2317" s="166">
        <v>0</v>
      </c>
      <c r="AI2317" s="166">
        <v>0</v>
      </c>
      <c r="AJ2317" s="164">
        <f>($L2317*'Pivot Objective'!$C$9^7)*AH2317*AI2317</f>
        <v>0</v>
      </c>
      <c r="AK2317" s="185">
        <f t="shared" si="259"/>
        <v>0</v>
      </c>
      <c r="AL2317" s="186">
        <f t="shared" si="260"/>
        <v>0</v>
      </c>
    </row>
    <row r="2318" spans="1:38" customFormat="1" ht="57.6" x14ac:dyDescent="0.3">
      <c r="A2318" s="140" t="s">
        <v>1488</v>
      </c>
      <c r="B2318" s="140">
        <v>4</v>
      </c>
      <c r="C2318" s="166" t="s">
        <v>697</v>
      </c>
      <c r="D2318" s="140" t="str">
        <f t="shared" si="256"/>
        <v>2</v>
      </c>
      <c r="E2318" s="166" t="s">
        <v>693</v>
      </c>
      <c r="F2318" s="140">
        <f t="shared" si="261"/>
        <v>1</v>
      </c>
      <c r="G2318" s="140" t="str">
        <f t="shared" si="257"/>
        <v>4.2.1</v>
      </c>
      <c r="H2318" s="166" t="s">
        <v>669</v>
      </c>
      <c r="I2318" s="166" t="s">
        <v>100</v>
      </c>
      <c r="J2318" s="166" t="s">
        <v>513</v>
      </c>
      <c r="K2318" s="166" t="s">
        <v>709</v>
      </c>
      <c r="L2318" s="177">
        <v>35000</v>
      </c>
      <c r="M2318" s="140"/>
      <c r="N2318" s="140"/>
      <c r="O2318" s="164">
        <f t="shared" si="258"/>
        <v>0</v>
      </c>
      <c r="P2318" s="166">
        <v>100</v>
      </c>
      <c r="Q2318" s="166">
        <v>5</v>
      </c>
      <c r="R2318" s="164">
        <f>$L2318*'Pivot Objective'!$C$9*P2318*Q2318</f>
        <v>20001119.197499998</v>
      </c>
      <c r="S2318" s="166">
        <v>0</v>
      </c>
      <c r="T2318" s="166">
        <v>0</v>
      </c>
      <c r="U2318" s="164">
        <f>($L2318*'Pivot Objective'!$C$9^2)*S2318*T2318</f>
        <v>0</v>
      </c>
      <c r="V2318" s="166">
        <v>0</v>
      </c>
      <c r="W2318" s="166">
        <v>0</v>
      </c>
      <c r="X2318" s="164">
        <f>($L2318*'Pivot Objective'!$C$9^3)*V2318*W2318</f>
        <v>0</v>
      </c>
      <c r="Y2318" s="166">
        <v>0</v>
      </c>
      <c r="Z2318" s="166">
        <v>0</v>
      </c>
      <c r="AA2318" s="164">
        <f>($L2318*'Pivot Objective'!$C$9^4)*Y2318*Z2318</f>
        <v>0</v>
      </c>
      <c r="AB2318" s="166">
        <v>0</v>
      </c>
      <c r="AC2318" s="166">
        <v>0</v>
      </c>
      <c r="AD2318" s="164">
        <f>($L2318*'Pivot Objective'!$C$9^5)*AB2318*AC2318</f>
        <v>0</v>
      </c>
      <c r="AE2318" s="166">
        <v>0</v>
      </c>
      <c r="AF2318" s="166">
        <v>0</v>
      </c>
      <c r="AG2318" s="164">
        <f>($L2318*'Pivot Objective'!$C$9^6)*AE2318*AF2318</f>
        <v>0</v>
      </c>
      <c r="AH2318" s="166">
        <v>0</v>
      </c>
      <c r="AI2318" s="166">
        <v>0</v>
      </c>
      <c r="AJ2318" s="164">
        <f>($L2318*'Pivot Objective'!$C$9^7)*AH2318*AI2318</f>
        <v>0</v>
      </c>
      <c r="AK2318" s="185">
        <f t="shared" si="259"/>
        <v>20001119.197499998</v>
      </c>
      <c r="AL2318" s="186">
        <f t="shared" si="260"/>
        <v>19418.562327669901</v>
      </c>
    </row>
    <row r="2319" spans="1:38" customFormat="1" ht="57.6" x14ac:dyDescent="0.3">
      <c r="A2319" s="140" t="s">
        <v>1488</v>
      </c>
      <c r="B2319" s="140">
        <v>4</v>
      </c>
      <c r="C2319" s="166" t="s">
        <v>697</v>
      </c>
      <c r="D2319" s="140" t="str">
        <f t="shared" si="256"/>
        <v>2</v>
      </c>
      <c r="E2319" s="166" t="s">
        <v>693</v>
      </c>
      <c r="F2319" s="140">
        <f t="shared" si="261"/>
        <v>1</v>
      </c>
      <c r="G2319" s="140" t="str">
        <f t="shared" si="257"/>
        <v>4.2.1</v>
      </c>
      <c r="H2319" s="166" t="s">
        <v>669</v>
      </c>
      <c r="I2319" s="166" t="s">
        <v>100</v>
      </c>
      <c r="J2319" s="166" t="s">
        <v>513</v>
      </c>
      <c r="K2319" s="166" t="s">
        <v>716</v>
      </c>
      <c r="L2319" s="177">
        <v>39000</v>
      </c>
      <c r="M2319" s="140"/>
      <c r="N2319" s="140"/>
      <c r="O2319" s="164">
        <f t="shared" si="258"/>
        <v>0</v>
      </c>
      <c r="P2319" s="166">
        <v>58</v>
      </c>
      <c r="Q2319" s="166">
        <v>6</v>
      </c>
      <c r="R2319" s="164">
        <f>$L2319*'Pivot Objective'!$C$9*P2319*Q2319</f>
        <v>15511725.128483998</v>
      </c>
      <c r="S2319" s="166">
        <v>0</v>
      </c>
      <c r="T2319" s="166">
        <v>0</v>
      </c>
      <c r="U2319" s="164">
        <f>($L2319*'Pivot Objective'!$C$9^2)*S2319*T2319</f>
        <v>0</v>
      </c>
      <c r="V2319" s="166">
        <v>0</v>
      </c>
      <c r="W2319" s="166">
        <v>0</v>
      </c>
      <c r="X2319" s="164">
        <f>($L2319*'Pivot Objective'!$C$9^3)*V2319*W2319</f>
        <v>0</v>
      </c>
      <c r="Y2319" s="166">
        <v>0</v>
      </c>
      <c r="Z2319" s="166">
        <v>0</v>
      </c>
      <c r="AA2319" s="164">
        <f>($L2319*'Pivot Objective'!$C$9^4)*Y2319*Z2319</f>
        <v>0</v>
      </c>
      <c r="AB2319" s="166">
        <v>0</v>
      </c>
      <c r="AC2319" s="166">
        <v>0</v>
      </c>
      <c r="AD2319" s="164">
        <f>($L2319*'Pivot Objective'!$C$9^5)*AB2319*AC2319</f>
        <v>0</v>
      </c>
      <c r="AE2319" s="166">
        <v>0</v>
      </c>
      <c r="AF2319" s="166">
        <v>0</v>
      </c>
      <c r="AG2319" s="164">
        <f>($L2319*'Pivot Objective'!$C$9^6)*AE2319*AF2319</f>
        <v>0</v>
      </c>
      <c r="AH2319" s="166">
        <v>0</v>
      </c>
      <c r="AI2319" s="166">
        <v>0</v>
      </c>
      <c r="AJ2319" s="164">
        <f>($L2319*'Pivot Objective'!$C$9^7)*AH2319*AI2319</f>
        <v>0</v>
      </c>
      <c r="AK2319" s="185">
        <f t="shared" si="259"/>
        <v>15511725.128483998</v>
      </c>
      <c r="AL2319" s="186">
        <f t="shared" si="260"/>
        <v>15059.927309207766</v>
      </c>
    </row>
    <row r="2320" spans="1:38" customFormat="1" ht="57.6" x14ac:dyDescent="0.3">
      <c r="A2320" s="140" t="s">
        <v>1488</v>
      </c>
      <c r="B2320" s="140">
        <v>4</v>
      </c>
      <c r="C2320" s="166" t="s">
        <v>697</v>
      </c>
      <c r="D2320" s="140" t="str">
        <f t="shared" si="256"/>
        <v>2</v>
      </c>
      <c r="E2320" s="166" t="s">
        <v>693</v>
      </c>
      <c r="F2320" s="140">
        <f t="shared" si="261"/>
        <v>1</v>
      </c>
      <c r="G2320" s="140" t="str">
        <f t="shared" si="257"/>
        <v>4.2.1</v>
      </c>
      <c r="H2320" s="166" t="s">
        <v>669</v>
      </c>
      <c r="I2320" s="166" t="s">
        <v>100</v>
      </c>
      <c r="J2320" s="166" t="s">
        <v>513</v>
      </c>
      <c r="K2320" s="166" t="s">
        <v>712</v>
      </c>
      <c r="L2320" s="177">
        <f>1480/7</f>
        <v>211.42857142857142</v>
      </c>
      <c r="M2320" s="140"/>
      <c r="N2320" s="140"/>
      <c r="O2320" s="164">
        <f t="shared" si="258"/>
        <v>0</v>
      </c>
      <c r="P2320" s="166">
        <f>25*2*29</f>
        <v>1450</v>
      </c>
      <c r="Q2320" s="166">
        <v>5</v>
      </c>
      <c r="R2320" s="164">
        <f>$L2320*'Pivot Objective'!$C$9*P2320*Q2320</f>
        <v>1751934.7672585712</v>
      </c>
      <c r="S2320" s="166">
        <v>0</v>
      </c>
      <c r="T2320" s="166">
        <v>0</v>
      </c>
      <c r="U2320" s="164">
        <f>($L2320*'Pivot Objective'!$C$9^2)*S2320*T2320</f>
        <v>0</v>
      </c>
      <c r="V2320" s="166">
        <v>0</v>
      </c>
      <c r="W2320" s="166">
        <v>0</v>
      </c>
      <c r="X2320" s="164">
        <f>($L2320*'Pivot Objective'!$C$9^3)*V2320*W2320</f>
        <v>0</v>
      </c>
      <c r="Y2320" s="166">
        <v>0</v>
      </c>
      <c r="Z2320" s="166">
        <v>0</v>
      </c>
      <c r="AA2320" s="164">
        <f>($L2320*'Pivot Objective'!$C$9^4)*Y2320*Z2320</f>
        <v>0</v>
      </c>
      <c r="AB2320" s="166">
        <v>0</v>
      </c>
      <c r="AC2320" s="166">
        <v>0</v>
      </c>
      <c r="AD2320" s="164">
        <f>($L2320*'Pivot Objective'!$C$9^5)*AB2320*AC2320</f>
        <v>0</v>
      </c>
      <c r="AE2320" s="166">
        <v>0</v>
      </c>
      <c r="AF2320" s="166">
        <v>0</v>
      </c>
      <c r="AG2320" s="164">
        <f>($L2320*'Pivot Objective'!$C$9^6)*AE2320*AF2320</f>
        <v>0</v>
      </c>
      <c r="AH2320" s="166">
        <v>0</v>
      </c>
      <c r="AI2320" s="166">
        <v>0</v>
      </c>
      <c r="AJ2320" s="164">
        <f>($L2320*'Pivot Objective'!$C$9^7)*AH2320*AI2320</f>
        <v>0</v>
      </c>
      <c r="AK2320" s="185">
        <f t="shared" si="259"/>
        <v>1751934.7672585712</v>
      </c>
      <c r="AL2320" s="186">
        <f t="shared" si="260"/>
        <v>1700.9075410277389</v>
      </c>
    </row>
    <row r="2321" spans="1:38" customFormat="1" ht="57.6" x14ac:dyDescent="0.3">
      <c r="A2321" s="140" t="s">
        <v>1488</v>
      </c>
      <c r="B2321" s="140">
        <v>4</v>
      </c>
      <c r="C2321" s="166" t="s">
        <v>697</v>
      </c>
      <c r="D2321" s="140" t="str">
        <f t="shared" si="256"/>
        <v>2</v>
      </c>
      <c r="E2321" s="166" t="s">
        <v>693</v>
      </c>
      <c r="F2321" s="140">
        <f t="shared" si="261"/>
        <v>1</v>
      </c>
      <c r="G2321" s="140" t="str">
        <f t="shared" si="257"/>
        <v>4.2.1</v>
      </c>
      <c r="H2321" s="166" t="s">
        <v>669</v>
      </c>
      <c r="I2321" s="166" t="s">
        <v>100</v>
      </c>
      <c r="J2321" s="166" t="s">
        <v>513</v>
      </c>
      <c r="K2321" s="166" t="s">
        <v>1350</v>
      </c>
      <c r="L2321" s="177">
        <f>1480/7</f>
        <v>211.42857142857142</v>
      </c>
      <c r="M2321" s="140"/>
      <c r="N2321" s="140"/>
      <c r="O2321" s="164">
        <f t="shared" si="258"/>
        <v>0</v>
      </c>
      <c r="P2321" s="166">
        <v>22500</v>
      </c>
      <c r="Q2321" s="166">
        <v>1</v>
      </c>
      <c r="R2321" s="164">
        <f>$L2321*'Pivot Objective'!$C$9*P2321*Q2321</f>
        <v>5437038.9328714283</v>
      </c>
      <c r="S2321" s="166">
        <v>0</v>
      </c>
      <c r="T2321" s="166">
        <v>0</v>
      </c>
      <c r="U2321" s="164">
        <f>($L2321*'Pivot Objective'!$C$9^2)*S2321*T2321</f>
        <v>0</v>
      </c>
      <c r="V2321" s="166">
        <v>0</v>
      </c>
      <c r="W2321" s="166">
        <v>0</v>
      </c>
      <c r="X2321" s="164">
        <f>($L2321*'Pivot Objective'!$C$9^3)*V2321*W2321</f>
        <v>0</v>
      </c>
      <c r="Y2321" s="166">
        <v>0</v>
      </c>
      <c r="Z2321" s="166">
        <v>0</v>
      </c>
      <c r="AA2321" s="164">
        <f>($L2321*'Pivot Objective'!$C$9^4)*Y2321*Z2321</f>
        <v>0</v>
      </c>
      <c r="AB2321" s="166">
        <v>0</v>
      </c>
      <c r="AC2321" s="166">
        <v>0</v>
      </c>
      <c r="AD2321" s="164">
        <f>($L2321*'Pivot Objective'!$C$9^5)*AB2321*AC2321</f>
        <v>0</v>
      </c>
      <c r="AE2321" s="166">
        <v>0</v>
      </c>
      <c r="AF2321" s="166">
        <v>0</v>
      </c>
      <c r="AG2321" s="164">
        <f>($L2321*'Pivot Objective'!$C$9^6)*AE2321*AF2321</f>
        <v>0</v>
      </c>
      <c r="AH2321" s="166">
        <v>0</v>
      </c>
      <c r="AI2321" s="166">
        <v>0</v>
      </c>
      <c r="AJ2321" s="164">
        <f>($L2321*'Pivot Objective'!$C$9^7)*AH2321*AI2321</f>
        <v>0</v>
      </c>
      <c r="AK2321" s="185">
        <f t="shared" si="259"/>
        <v>5437038.9328714283</v>
      </c>
      <c r="AL2321" s="186">
        <f t="shared" si="260"/>
        <v>5278.6785756033287</v>
      </c>
    </row>
    <row r="2322" spans="1:38" customFormat="1" ht="57.6" x14ac:dyDescent="0.3">
      <c r="A2322" s="140" t="s">
        <v>1488</v>
      </c>
      <c r="B2322" s="140">
        <v>4</v>
      </c>
      <c r="C2322" s="166" t="s">
        <v>697</v>
      </c>
      <c r="D2322" s="140" t="str">
        <f t="shared" si="256"/>
        <v>2</v>
      </c>
      <c r="E2322" s="166" t="s">
        <v>693</v>
      </c>
      <c r="F2322" s="140">
        <f t="shared" si="261"/>
        <v>1</v>
      </c>
      <c r="G2322" s="140" t="str">
        <f t="shared" si="257"/>
        <v>4.2.1</v>
      </c>
      <c r="H2322" s="166" t="s">
        <v>669</v>
      </c>
      <c r="I2322" s="166" t="s">
        <v>100</v>
      </c>
      <c r="J2322" s="166" t="s">
        <v>514</v>
      </c>
      <c r="K2322" s="166" t="s">
        <v>709</v>
      </c>
      <c r="L2322" s="177">
        <v>35000</v>
      </c>
      <c r="M2322" s="140"/>
      <c r="N2322" s="140"/>
      <c r="O2322" s="164">
        <f t="shared" si="258"/>
        <v>0</v>
      </c>
      <c r="P2322" s="166">
        <v>30</v>
      </c>
      <c r="Q2322" s="166">
        <v>1</v>
      </c>
      <c r="R2322" s="164">
        <f>$L2322*'Pivot Objective'!$C$9*P2322*Q2322</f>
        <v>1200067.1518499998</v>
      </c>
      <c r="S2322" s="166">
        <v>0</v>
      </c>
      <c r="T2322" s="166">
        <v>0</v>
      </c>
      <c r="U2322" s="164">
        <f>($L2322*'Pivot Objective'!$C$9^2)*S2322*T2322</f>
        <v>0</v>
      </c>
      <c r="V2322" s="166">
        <v>0</v>
      </c>
      <c r="W2322" s="166">
        <v>0</v>
      </c>
      <c r="X2322" s="164">
        <f>($L2322*'Pivot Objective'!$C$9^3)*V2322*W2322</f>
        <v>0</v>
      </c>
      <c r="Y2322" s="166">
        <v>0</v>
      </c>
      <c r="Z2322" s="166">
        <v>0</v>
      </c>
      <c r="AA2322" s="164">
        <f>($L2322*'Pivot Objective'!$C$9^4)*Y2322*Z2322</f>
        <v>0</v>
      </c>
      <c r="AB2322" s="166">
        <v>0</v>
      </c>
      <c r="AC2322" s="166">
        <v>0</v>
      </c>
      <c r="AD2322" s="164">
        <f>($L2322*'Pivot Objective'!$C$9^5)*AB2322*AC2322</f>
        <v>0</v>
      </c>
      <c r="AE2322" s="166">
        <v>0</v>
      </c>
      <c r="AF2322" s="166">
        <v>0</v>
      </c>
      <c r="AG2322" s="164">
        <f>($L2322*'Pivot Objective'!$C$9^6)*AE2322*AF2322</f>
        <v>0</v>
      </c>
      <c r="AH2322" s="166">
        <v>0</v>
      </c>
      <c r="AI2322" s="166">
        <v>0</v>
      </c>
      <c r="AJ2322" s="164">
        <f>($L2322*'Pivot Objective'!$C$9^7)*AH2322*AI2322</f>
        <v>0</v>
      </c>
      <c r="AK2322" s="185">
        <f t="shared" si="259"/>
        <v>1200067.1518499998</v>
      </c>
      <c r="AL2322" s="186">
        <f t="shared" si="260"/>
        <v>1165.1137396601939</v>
      </c>
    </row>
    <row r="2323" spans="1:38" customFormat="1" ht="57.6" x14ac:dyDescent="0.3">
      <c r="A2323" s="140" t="s">
        <v>1488</v>
      </c>
      <c r="B2323" s="140">
        <v>4</v>
      </c>
      <c r="C2323" s="166" t="s">
        <v>697</v>
      </c>
      <c r="D2323" s="140" t="str">
        <f t="shared" si="256"/>
        <v>2</v>
      </c>
      <c r="E2323" s="166" t="s">
        <v>693</v>
      </c>
      <c r="F2323" s="140">
        <f t="shared" si="261"/>
        <v>1</v>
      </c>
      <c r="G2323" s="140" t="str">
        <f t="shared" si="257"/>
        <v>4.2.1</v>
      </c>
      <c r="H2323" s="166" t="s">
        <v>669</v>
      </c>
      <c r="I2323" s="166" t="s">
        <v>100</v>
      </c>
      <c r="J2323" s="166" t="s">
        <v>515</v>
      </c>
      <c r="K2323" s="166" t="s">
        <v>709</v>
      </c>
      <c r="L2323" s="177">
        <v>35000</v>
      </c>
      <c r="M2323" s="140"/>
      <c r="N2323" s="140"/>
      <c r="O2323" s="164">
        <f t="shared" si="258"/>
        <v>0</v>
      </c>
      <c r="P2323" s="166">
        <v>25</v>
      </c>
      <c r="Q2323" s="166">
        <v>1</v>
      </c>
      <c r="R2323" s="164">
        <f>$L2323*'Pivot Objective'!$C$9*P2323*Q2323</f>
        <v>1000055.9598749998</v>
      </c>
      <c r="S2323" s="166">
        <v>0</v>
      </c>
      <c r="T2323" s="166">
        <v>0</v>
      </c>
      <c r="U2323" s="164">
        <f>($L2323*'Pivot Objective'!$C$9^2)*S2323*T2323</f>
        <v>0</v>
      </c>
      <c r="V2323" s="166">
        <v>0</v>
      </c>
      <c r="W2323" s="166">
        <v>0</v>
      </c>
      <c r="X2323" s="164">
        <f>($L2323*'Pivot Objective'!$C$9^3)*V2323*W2323</f>
        <v>0</v>
      </c>
      <c r="Y2323" s="166">
        <v>0</v>
      </c>
      <c r="Z2323" s="166">
        <v>0</v>
      </c>
      <c r="AA2323" s="164">
        <f>($L2323*'Pivot Objective'!$C$9^4)*Y2323*Z2323</f>
        <v>0</v>
      </c>
      <c r="AB2323" s="166">
        <v>0</v>
      </c>
      <c r="AC2323" s="166">
        <v>0</v>
      </c>
      <c r="AD2323" s="164">
        <f>($L2323*'Pivot Objective'!$C$9^5)*AB2323*AC2323</f>
        <v>0</v>
      </c>
      <c r="AE2323" s="166">
        <v>0</v>
      </c>
      <c r="AF2323" s="166">
        <v>0</v>
      </c>
      <c r="AG2323" s="164">
        <f>($L2323*'Pivot Objective'!$C$9^6)*AE2323*AF2323</f>
        <v>0</v>
      </c>
      <c r="AH2323" s="166">
        <v>0</v>
      </c>
      <c r="AI2323" s="166">
        <v>0</v>
      </c>
      <c r="AJ2323" s="164">
        <f>($L2323*'Pivot Objective'!$C$9^7)*AH2323*AI2323</f>
        <v>0</v>
      </c>
      <c r="AK2323" s="185">
        <f t="shared" si="259"/>
        <v>1000055.9598749998</v>
      </c>
      <c r="AL2323" s="186">
        <f t="shared" si="260"/>
        <v>970.92811638349497</v>
      </c>
    </row>
    <row r="2324" spans="1:38" customFormat="1" ht="57.6" x14ac:dyDescent="0.3">
      <c r="A2324" s="140" t="s">
        <v>1488</v>
      </c>
      <c r="B2324" s="140">
        <v>4</v>
      </c>
      <c r="C2324" s="166" t="s">
        <v>697</v>
      </c>
      <c r="D2324" s="140" t="str">
        <f t="shared" si="256"/>
        <v>2</v>
      </c>
      <c r="E2324" s="166" t="s">
        <v>693</v>
      </c>
      <c r="F2324" s="140">
        <f t="shared" si="261"/>
        <v>1</v>
      </c>
      <c r="G2324" s="140" t="str">
        <f t="shared" si="257"/>
        <v>4.2.1</v>
      </c>
      <c r="H2324" s="166" t="s">
        <v>669</v>
      </c>
      <c r="I2324" s="166" t="s">
        <v>100</v>
      </c>
      <c r="J2324" s="166" t="s">
        <v>516</v>
      </c>
      <c r="K2324" s="166" t="s">
        <v>718</v>
      </c>
      <c r="L2324" s="177">
        <v>0</v>
      </c>
      <c r="M2324" s="166">
        <v>0</v>
      </c>
      <c r="N2324" s="166">
        <v>0</v>
      </c>
      <c r="O2324" s="164">
        <f t="shared" si="258"/>
        <v>0</v>
      </c>
      <c r="P2324" s="166">
        <v>0</v>
      </c>
      <c r="Q2324" s="166">
        <v>0</v>
      </c>
      <c r="R2324" s="164">
        <f>$L2324*'Pivot Objective'!$C$9*P2324*Q2324</f>
        <v>0</v>
      </c>
      <c r="S2324" s="166">
        <v>0</v>
      </c>
      <c r="T2324" s="166">
        <v>0</v>
      </c>
      <c r="U2324" s="164">
        <f>($L2324*'Pivot Objective'!$C$9^2)*S2324*T2324</f>
        <v>0</v>
      </c>
      <c r="V2324" s="166">
        <v>0</v>
      </c>
      <c r="W2324" s="166">
        <v>0</v>
      </c>
      <c r="X2324" s="164">
        <f>($L2324*'Pivot Objective'!$C$9^3)*V2324*W2324</f>
        <v>0</v>
      </c>
      <c r="Y2324" s="166">
        <v>0</v>
      </c>
      <c r="Z2324" s="166">
        <v>0</v>
      </c>
      <c r="AA2324" s="164">
        <f>($L2324*'Pivot Objective'!$C$9^4)*Y2324*Z2324</f>
        <v>0</v>
      </c>
      <c r="AB2324" s="166">
        <v>0</v>
      </c>
      <c r="AC2324" s="166">
        <v>0</v>
      </c>
      <c r="AD2324" s="164">
        <f>($L2324*'Pivot Objective'!$C$9^5)*AB2324*AC2324</f>
        <v>0</v>
      </c>
      <c r="AE2324" s="166">
        <v>0</v>
      </c>
      <c r="AF2324" s="166">
        <v>0</v>
      </c>
      <c r="AG2324" s="164">
        <f>($L2324*'Pivot Objective'!$C$9^6)*AE2324*AF2324</f>
        <v>0</v>
      </c>
      <c r="AH2324" s="166">
        <v>0</v>
      </c>
      <c r="AI2324" s="166">
        <v>0</v>
      </c>
      <c r="AJ2324" s="164">
        <f>($L2324*'Pivot Objective'!$C$9^7)*AH2324*AI2324</f>
        <v>0</v>
      </c>
      <c r="AK2324" s="185">
        <f t="shared" si="259"/>
        <v>0</v>
      </c>
      <c r="AL2324" s="186">
        <f t="shared" si="260"/>
        <v>0</v>
      </c>
    </row>
    <row r="2325" spans="1:38" customFormat="1" ht="57.6" x14ac:dyDescent="0.3">
      <c r="A2325" s="140" t="s">
        <v>1488</v>
      </c>
      <c r="B2325" s="140">
        <v>4</v>
      </c>
      <c r="C2325" s="166" t="s">
        <v>697</v>
      </c>
      <c r="D2325" s="140" t="str">
        <f t="shared" si="256"/>
        <v>2</v>
      </c>
      <c r="E2325" s="166" t="s">
        <v>693</v>
      </c>
      <c r="F2325" s="140">
        <f t="shared" si="261"/>
        <v>1</v>
      </c>
      <c r="G2325" s="140" t="str">
        <f t="shared" si="257"/>
        <v>4.2.1</v>
      </c>
      <c r="H2325" s="166" t="s">
        <v>669</v>
      </c>
      <c r="I2325" s="166" t="s">
        <v>101</v>
      </c>
      <c r="J2325" s="166" t="s">
        <v>517</v>
      </c>
      <c r="K2325" s="166" t="s">
        <v>718</v>
      </c>
      <c r="L2325" s="177">
        <v>0</v>
      </c>
      <c r="M2325" s="166">
        <v>0</v>
      </c>
      <c r="N2325" s="166">
        <v>0</v>
      </c>
      <c r="O2325" s="164">
        <f t="shared" si="258"/>
        <v>0</v>
      </c>
      <c r="P2325" s="166">
        <v>0</v>
      </c>
      <c r="Q2325" s="166">
        <v>0</v>
      </c>
      <c r="R2325" s="164">
        <f>$L2325*'Pivot Objective'!$C$9*P2325*Q2325</f>
        <v>0</v>
      </c>
      <c r="S2325" s="166">
        <v>0</v>
      </c>
      <c r="T2325" s="166">
        <v>0</v>
      </c>
      <c r="U2325" s="164">
        <f>($L2325*'Pivot Objective'!$C$9^2)*S2325*T2325</f>
        <v>0</v>
      </c>
      <c r="V2325" s="166">
        <v>0</v>
      </c>
      <c r="W2325" s="166">
        <v>0</v>
      </c>
      <c r="X2325" s="164">
        <f>($L2325*'Pivot Objective'!$C$9^3)*V2325*W2325</f>
        <v>0</v>
      </c>
      <c r="Y2325" s="166">
        <v>0</v>
      </c>
      <c r="Z2325" s="166">
        <v>0</v>
      </c>
      <c r="AA2325" s="164">
        <f>($L2325*'Pivot Objective'!$C$9^4)*Y2325*Z2325</f>
        <v>0</v>
      </c>
      <c r="AB2325" s="166">
        <v>0</v>
      </c>
      <c r="AC2325" s="166">
        <v>0</v>
      </c>
      <c r="AD2325" s="164">
        <f>($L2325*'Pivot Objective'!$C$9^5)*AB2325*AC2325</f>
        <v>0</v>
      </c>
      <c r="AE2325" s="166">
        <v>0</v>
      </c>
      <c r="AF2325" s="166">
        <v>0</v>
      </c>
      <c r="AG2325" s="164">
        <f>($L2325*'Pivot Objective'!$C$9^6)*AE2325*AF2325</f>
        <v>0</v>
      </c>
      <c r="AH2325" s="166">
        <v>0</v>
      </c>
      <c r="AI2325" s="166">
        <v>0</v>
      </c>
      <c r="AJ2325" s="164">
        <f>($L2325*'Pivot Objective'!$C$9^7)*AH2325*AI2325</f>
        <v>0</v>
      </c>
      <c r="AK2325" s="185">
        <f t="shared" si="259"/>
        <v>0</v>
      </c>
      <c r="AL2325" s="186">
        <f t="shared" si="260"/>
        <v>0</v>
      </c>
    </row>
    <row r="2326" spans="1:38" customFormat="1" ht="57.6" x14ac:dyDescent="0.3">
      <c r="A2326" s="140" t="s">
        <v>1488</v>
      </c>
      <c r="B2326" s="140">
        <v>4</v>
      </c>
      <c r="C2326" s="166" t="s">
        <v>697</v>
      </c>
      <c r="D2326" s="140" t="str">
        <f t="shared" si="256"/>
        <v>2</v>
      </c>
      <c r="E2326" s="166" t="s">
        <v>693</v>
      </c>
      <c r="F2326" s="140">
        <f t="shared" si="261"/>
        <v>1</v>
      </c>
      <c r="G2326" s="140" t="str">
        <f t="shared" si="257"/>
        <v>4.2.1</v>
      </c>
      <c r="H2326" s="166" t="s">
        <v>669</v>
      </c>
      <c r="I2326" s="166" t="s">
        <v>101</v>
      </c>
      <c r="J2326" s="166" t="s">
        <v>164</v>
      </c>
      <c r="K2326" s="166" t="s">
        <v>718</v>
      </c>
      <c r="L2326" s="177">
        <v>0</v>
      </c>
      <c r="M2326" s="166">
        <v>0</v>
      </c>
      <c r="N2326" s="166">
        <v>0</v>
      </c>
      <c r="O2326" s="164">
        <f t="shared" si="258"/>
        <v>0</v>
      </c>
      <c r="P2326" s="166">
        <v>0</v>
      </c>
      <c r="Q2326" s="166">
        <v>0</v>
      </c>
      <c r="R2326" s="164">
        <f>$L2326*'Pivot Objective'!$C$9*P2326*Q2326</f>
        <v>0</v>
      </c>
      <c r="S2326" s="166">
        <v>0</v>
      </c>
      <c r="T2326" s="166">
        <v>0</v>
      </c>
      <c r="U2326" s="164">
        <f>($L2326*'Pivot Objective'!$C$9^2)*S2326*T2326</f>
        <v>0</v>
      </c>
      <c r="V2326" s="166">
        <v>0</v>
      </c>
      <c r="W2326" s="166">
        <v>0</v>
      </c>
      <c r="X2326" s="164">
        <f>($L2326*'Pivot Objective'!$C$9^3)*V2326*W2326</f>
        <v>0</v>
      </c>
      <c r="Y2326" s="166">
        <v>0</v>
      </c>
      <c r="Z2326" s="166">
        <v>0</v>
      </c>
      <c r="AA2326" s="164">
        <f>($L2326*'Pivot Objective'!$C$9^4)*Y2326*Z2326</f>
        <v>0</v>
      </c>
      <c r="AB2326" s="166">
        <v>0</v>
      </c>
      <c r="AC2326" s="166">
        <v>0</v>
      </c>
      <c r="AD2326" s="164">
        <f>($L2326*'Pivot Objective'!$C$9^5)*AB2326*AC2326</f>
        <v>0</v>
      </c>
      <c r="AE2326" s="166">
        <v>0</v>
      </c>
      <c r="AF2326" s="166">
        <v>0</v>
      </c>
      <c r="AG2326" s="164">
        <f>($L2326*'Pivot Objective'!$C$9^6)*AE2326*AF2326</f>
        <v>0</v>
      </c>
      <c r="AH2326" s="166">
        <v>0</v>
      </c>
      <c r="AI2326" s="166">
        <v>0</v>
      </c>
      <c r="AJ2326" s="164">
        <f>($L2326*'Pivot Objective'!$C$9^7)*AH2326*AI2326</f>
        <v>0</v>
      </c>
      <c r="AK2326" s="185">
        <f t="shared" si="259"/>
        <v>0</v>
      </c>
      <c r="AL2326" s="186">
        <f t="shared" si="260"/>
        <v>0</v>
      </c>
    </row>
    <row r="2327" spans="1:38" customFormat="1" ht="57.6" x14ac:dyDescent="0.3">
      <c r="A2327" s="140" t="s">
        <v>1488</v>
      </c>
      <c r="B2327" s="140">
        <v>4</v>
      </c>
      <c r="C2327" s="166" t="s">
        <v>697</v>
      </c>
      <c r="D2327" s="140" t="str">
        <f t="shared" si="256"/>
        <v>2</v>
      </c>
      <c r="E2327" s="166" t="s">
        <v>693</v>
      </c>
      <c r="F2327" s="140">
        <f t="shared" si="261"/>
        <v>1</v>
      </c>
      <c r="G2327" s="140" t="str">
        <f t="shared" si="257"/>
        <v>4.2.1</v>
      </c>
      <c r="H2327" s="166" t="s">
        <v>669</v>
      </c>
      <c r="I2327" s="166" t="s">
        <v>101</v>
      </c>
      <c r="J2327" s="166" t="s">
        <v>149</v>
      </c>
      <c r="K2327" s="166" t="s">
        <v>707</v>
      </c>
      <c r="L2327" s="177">
        <v>391991.03749999998</v>
      </c>
      <c r="M2327" s="140"/>
      <c r="N2327" s="140"/>
      <c r="O2327" s="164">
        <f t="shared" si="258"/>
        <v>0</v>
      </c>
      <c r="P2327" s="166"/>
      <c r="Q2327" s="166"/>
      <c r="R2327" s="164">
        <f>$L2327*'Pivot Objective'!$C$9*P2327*Q2327</f>
        <v>0</v>
      </c>
      <c r="S2327" s="166">
        <v>2</v>
      </c>
      <c r="T2327" s="166">
        <v>2</v>
      </c>
      <c r="U2327" s="164">
        <f>($L2327*'Pivot Objective'!$C$9^2)*S2327*T2327</f>
        <v>2048182.3883307995</v>
      </c>
      <c r="V2327" s="166">
        <v>0</v>
      </c>
      <c r="W2327" s="166">
        <v>0</v>
      </c>
      <c r="X2327" s="164">
        <f>($L2327*'Pivot Objective'!$C$9^3)*V2327*W2327</f>
        <v>0</v>
      </c>
      <c r="Y2327" s="166">
        <v>0</v>
      </c>
      <c r="Z2327" s="166">
        <v>0</v>
      </c>
      <c r="AA2327" s="164">
        <f>($L2327*'Pivot Objective'!$C$9^4)*Y2327*Z2327</f>
        <v>0</v>
      </c>
      <c r="AB2327" s="166">
        <v>0</v>
      </c>
      <c r="AC2327" s="166">
        <v>0</v>
      </c>
      <c r="AD2327" s="164">
        <f>($L2327*'Pivot Objective'!$C$9^5)*AB2327*AC2327</f>
        <v>0</v>
      </c>
      <c r="AE2327" s="166">
        <v>0</v>
      </c>
      <c r="AF2327" s="166">
        <v>0</v>
      </c>
      <c r="AG2327" s="164">
        <f>($L2327*'Pivot Objective'!$C$9^6)*AE2327*AF2327</f>
        <v>0</v>
      </c>
      <c r="AH2327" s="166">
        <v>0</v>
      </c>
      <c r="AI2327" s="166">
        <v>0</v>
      </c>
      <c r="AJ2327" s="164">
        <f>($L2327*'Pivot Objective'!$C$9^7)*AH2327*AI2327</f>
        <v>0</v>
      </c>
      <c r="AK2327" s="185">
        <f t="shared" si="259"/>
        <v>2048182.3883307995</v>
      </c>
      <c r="AL2327" s="186">
        <f t="shared" si="260"/>
        <v>1988.5265906124266</v>
      </c>
    </row>
    <row r="2328" spans="1:38" customFormat="1" ht="57.6" x14ac:dyDescent="0.3">
      <c r="A2328" s="140" t="s">
        <v>1488</v>
      </c>
      <c r="B2328" s="140">
        <v>4</v>
      </c>
      <c r="C2328" s="166" t="s">
        <v>697</v>
      </c>
      <c r="D2328" s="140" t="str">
        <f t="shared" si="256"/>
        <v>2</v>
      </c>
      <c r="E2328" s="166" t="s">
        <v>693</v>
      </c>
      <c r="F2328" s="140">
        <f t="shared" si="261"/>
        <v>1</v>
      </c>
      <c r="G2328" s="140" t="str">
        <f t="shared" si="257"/>
        <v>4.2.1</v>
      </c>
      <c r="H2328" s="166" t="s">
        <v>669</v>
      </c>
      <c r="I2328" s="166" t="s">
        <v>101</v>
      </c>
      <c r="J2328" s="166" t="s">
        <v>149</v>
      </c>
      <c r="K2328" s="166" t="s">
        <v>708</v>
      </c>
      <c r="L2328" s="177">
        <f>500*1022</f>
        <v>511000</v>
      </c>
      <c r="M2328" s="140"/>
      <c r="N2328" s="140"/>
      <c r="O2328" s="164">
        <f t="shared" si="258"/>
        <v>0</v>
      </c>
      <c r="P2328" s="166"/>
      <c r="Q2328" s="166"/>
      <c r="R2328" s="164">
        <f>$L2328*'Pivot Objective'!$C$9*P2328*Q2328</f>
        <v>0</v>
      </c>
      <c r="S2328" s="166">
        <v>1</v>
      </c>
      <c r="T2328" s="166">
        <v>25</v>
      </c>
      <c r="U2328" s="164">
        <f>($L2328*'Pivot Objective'!$C$9^2)*S2328*T2328</f>
        <v>16687581.798937155</v>
      </c>
      <c r="V2328" s="166">
        <v>0</v>
      </c>
      <c r="W2328" s="166">
        <v>0</v>
      </c>
      <c r="X2328" s="164">
        <f>($L2328*'Pivot Objective'!$C$9^3)*V2328*W2328</f>
        <v>0</v>
      </c>
      <c r="Y2328" s="166">
        <v>0</v>
      </c>
      <c r="Z2328" s="166">
        <v>0</v>
      </c>
      <c r="AA2328" s="164">
        <f>($L2328*'Pivot Objective'!$C$9^4)*Y2328*Z2328</f>
        <v>0</v>
      </c>
      <c r="AB2328" s="166">
        <v>0</v>
      </c>
      <c r="AC2328" s="166">
        <v>0</v>
      </c>
      <c r="AD2328" s="164">
        <f>($L2328*'Pivot Objective'!$C$9^5)*AB2328*AC2328</f>
        <v>0</v>
      </c>
      <c r="AE2328" s="166">
        <v>0</v>
      </c>
      <c r="AF2328" s="166">
        <v>0</v>
      </c>
      <c r="AG2328" s="164">
        <f>($L2328*'Pivot Objective'!$C$9^6)*AE2328*AF2328</f>
        <v>0</v>
      </c>
      <c r="AH2328" s="166">
        <v>0</v>
      </c>
      <c r="AI2328" s="166">
        <v>0</v>
      </c>
      <c r="AJ2328" s="164">
        <f>($L2328*'Pivot Objective'!$C$9^7)*AH2328*AI2328</f>
        <v>0</v>
      </c>
      <c r="AK2328" s="185">
        <f t="shared" si="259"/>
        <v>16687581.798937155</v>
      </c>
      <c r="AL2328" s="186">
        <f t="shared" si="260"/>
        <v>16201.535727123452</v>
      </c>
    </row>
    <row r="2329" spans="1:38" customFormat="1" ht="57.6" x14ac:dyDescent="0.3">
      <c r="A2329" s="140" t="s">
        <v>1488</v>
      </c>
      <c r="B2329" s="140">
        <v>4</v>
      </c>
      <c r="C2329" s="166" t="s">
        <v>697</v>
      </c>
      <c r="D2329" s="140" t="str">
        <f t="shared" si="256"/>
        <v>2</v>
      </c>
      <c r="E2329" s="166" t="s">
        <v>693</v>
      </c>
      <c r="F2329" s="140">
        <f t="shared" si="261"/>
        <v>1</v>
      </c>
      <c r="G2329" s="140" t="str">
        <f t="shared" si="257"/>
        <v>4.2.1</v>
      </c>
      <c r="H2329" s="166" t="s">
        <v>669</v>
      </c>
      <c r="I2329" s="166" t="s">
        <v>101</v>
      </c>
      <c r="J2329" s="166" t="s">
        <v>519</v>
      </c>
      <c r="K2329" s="166" t="s">
        <v>716</v>
      </c>
      <c r="L2329" s="177">
        <v>39000</v>
      </c>
      <c r="M2329" s="140"/>
      <c r="N2329" s="140"/>
      <c r="O2329" s="164">
        <f t="shared" si="258"/>
        <v>0</v>
      </c>
      <c r="P2329" s="166"/>
      <c r="Q2329" s="166"/>
      <c r="R2329" s="164">
        <f>$L2329*'Pivot Objective'!$C$9*P2329*Q2329</f>
        <v>0</v>
      </c>
      <c r="S2329" s="166">
        <v>30</v>
      </c>
      <c r="T2329" s="166">
        <v>5</v>
      </c>
      <c r="U2329" s="164">
        <f>($L2329*'Pivot Objective'!$C$9^2)*S2329*T2329</f>
        <v>7641671.5087109469</v>
      </c>
      <c r="V2329" s="166">
        <v>0</v>
      </c>
      <c r="W2329" s="166">
        <v>0</v>
      </c>
      <c r="X2329" s="164">
        <f>($L2329*'Pivot Objective'!$C$9^3)*V2329*W2329</f>
        <v>0</v>
      </c>
      <c r="Y2329" s="166">
        <v>0</v>
      </c>
      <c r="Z2329" s="166">
        <v>0</v>
      </c>
      <c r="AA2329" s="164">
        <f>($L2329*'Pivot Objective'!$C$9^4)*Y2329*Z2329</f>
        <v>0</v>
      </c>
      <c r="AB2329" s="166">
        <v>0</v>
      </c>
      <c r="AC2329" s="166">
        <v>0</v>
      </c>
      <c r="AD2329" s="164">
        <f>($L2329*'Pivot Objective'!$C$9^5)*AB2329*AC2329</f>
        <v>0</v>
      </c>
      <c r="AE2329" s="166">
        <v>0</v>
      </c>
      <c r="AF2329" s="166">
        <v>0</v>
      </c>
      <c r="AG2329" s="164">
        <f>($L2329*'Pivot Objective'!$C$9^6)*AE2329*AF2329</f>
        <v>0</v>
      </c>
      <c r="AH2329" s="166">
        <v>0</v>
      </c>
      <c r="AI2329" s="166">
        <v>0</v>
      </c>
      <c r="AJ2329" s="164">
        <f>($L2329*'Pivot Objective'!$C$9^7)*AH2329*AI2329</f>
        <v>0</v>
      </c>
      <c r="AK2329" s="185">
        <f t="shared" si="259"/>
        <v>7641671.5087109469</v>
      </c>
      <c r="AL2329" s="186">
        <f t="shared" si="260"/>
        <v>7419.09855214655</v>
      </c>
    </row>
    <row r="2330" spans="1:38" customFormat="1" ht="57.6" x14ac:dyDescent="0.3">
      <c r="A2330" s="140" t="s">
        <v>1488</v>
      </c>
      <c r="B2330" s="140">
        <v>4</v>
      </c>
      <c r="C2330" s="166" t="s">
        <v>697</v>
      </c>
      <c r="D2330" s="140" t="str">
        <f t="shared" si="256"/>
        <v>2</v>
      </c>
      <c r="E2330" s="166" t="s">
        <v>693</v>
      </c>
      <c r="F2330" s="140">
        <f t="shared" si="261"/>
        <v>1</v>
      </c>
      <c r="G2330" s="140" t="str">
        <f t="shared" si="257"/>
        <v>4.2.1</v>
      </c>
      <c r="H2330" s="166" t="s">
        <v>669</v>
      </c>
      <c r="I2330" s="166" t="s">
        <v>101</v>
      </c>
      <c r="J2330" s="166" t="s">
        <v>519</v>
      </c>
      <c r="K2330" s="166" t="s">
        <v>709</v>
      </c>
      <c r="L2330" s="177">
        <v>35000</v>
      </c>
      <c r="M2330" s="140"/>
      <c r="N2330" s="140"/>
      <c r="O2330" s="164">
        <f t="shared" si="258"/>
        <v>0</v>
      </c>
      <c r="P2330" s="166"/>
      <c r="Q2330" s="166"/>
      <c r="R2330" s="164">
        <f>$L2330*'Pivot Objective'!$C$9*P2330*Q2330</f>
        <v>0</v>
      </c>
      <c r="S2330" s="166">
        <v>30</v>
      </c>
      <c r="T2330" s="166">
        <v>5</v>
      </c>
      <c r="U2330" s="164">
        <f>($L2330*'Pivot Objective'!$C$9^2)*S2330*T2330</f>
        <v>6857910.3283303361</v>
      </c>
      <c r="V2330" s="166">
        <v>0</v>
      </c>
      <c r="W2330" s="166">
        <v>0</v>
      </c>
      <c r="X2330" s="164">
        <f>($L2330*'Pivot Objective'!$C$9^3)*V2330*W2330</f>
        <v>0</v>
      </c>
      <c r="Y2330" s="166">
        <v>0</v>
      </c>
      <c r="Z2330" s="166">
        <v>0</v>
      </c>
      <c r="AA2330" s="164">
        <f>($L2330*'Pivot Objective'!$C$9^4)*Y2330*Z2330</f>
        <v>0</v>
      </c>
      <c r="AB2330" s="166">
        <v>0</v>
      </c>
      <c r="AC2330" s="166">
        <v>0</v>
      </c>
      <c r="AD2330" s="164">
        <f>($L2330*'Pivot Objective'!$C$9^5)*AB2330*AC2330</f>
        <v>0</v>
      </c>
      <c r="AE2330" s="166">
        <v>0</v>
      </c>
      <c r="AF2330" s="166">
        <v>0</v>
      </c>
      <c r="AG2330" s="164">
        <f>($L2330*'Pivot Objective'!$C$9^6)*AE2330*AF2330</f>
        <v>0</v>
      </c>
      <c r="AH2330" s="166">
        <v>0</v>
      </c>
      <c r="AI2330" s="166">
        <v>0</v>
      </c>
      <c r="AJ2330" s="164">
        <f>($L2330*'Pivot Objective'!$C$9^7)*AH2330*AI2330</f>
        <v>0</v>
      </c>
      <c r="AK2330" s="185">
        <f t="shared" si="259"/>
        <v>6857910.3283303361</v>
      </c>
      <c r="AL2330" s="186">
        <f t="shared" si="260"/>
        <v>6658.1653673110059</v>
      </c>
    </row>
    <row r="2331" spans="1:38" customFormat="1" ht="57.6" x14ac:dyDescent="0.3">
      <c r="A2331" s="140" t="s">
        <v>1488</v>
      </c>
      <c r="B2331" s="140">
        <v>4</v>
      </c>
      <c r="C2331" s="166" t="s">
        <v>697</v>
      </c>
      <c r="D2331" s="140" t="str">
        <f t="shared" si="256"/>
        <v>2</v>
      </c>
      <c r="E2331" s="166" t="s">
        <v>693</v>
      </c>
      <c r="F2331" s="140">
        <f t="shared" si="261"/>
        <v>1</v>
      </c>
      <c r="G2331" s="140" t="str">
        <f t="shared" si="257"/>
        <v>4.2.1</v>
      </c>
      <c r="H2331" s="166" t="s">
        <v>669</v>
      </c>
      <c r="I2331" s="166" t="s">
        <v>101</v>
      </c>
      <c r="J2331" s="166" t="s">
        <v>519</v>
      </c>
      <c r="K2331" s="166" t="s">
        <v>712</v>
      </c>
      <c r="L2331" s="177">
        <f>1480/7</f>
        <v>211.42857142857142</v>
      </c>
      <c r="M2331" s="140"/>
      <c r="N2331" s="140"/>
      <c r="O2331" s="164">
        <f t="shared" si="258"/>
        <v>0</v>
      </c>
      <c r="P2331" s="166"/>
      <c r="Q2331" s="166"/>
      <c r="R2331" s="164">
        <f>$L2331*'Pivot Objective'!$C$9*P2331*Q2331</f>
        <v>0</v>
      </c>
      <c r="S2331" s="166">
        <f>25*2*10</f>
        <v>500</v>
      </c>
      <c r="T2331" s="166">
        <v>1</v>
      </c>
      <c r="U2331" s="164">
        <f>($L2331*'Pivot Objective'!$C$9^2)*S2331*T2331</f>
        <v>138091.25559086938</v>
      </c>
      <c r="V2331" s="166">
        <v>0</v>
      </c>
      <c r="W2331" s="166">
        <v>0</v>
      </c>
      <c r="X2331" s="164">
        <f>($L2331*'Pivot Objective'!$C$9^3)*V2331*W2331</f>
        <v>0</v>
      </c>
      <c r="Y2331" s="166">
        <v>0</v>
      </c>
      <c r="Z2331" s="166">
        <v>0</v>
      </c>
      <c r="AA2331" s="164">
        <f>($L2331*'Pivot Objective'!$C$9^4)*Y2331*Z2331</f>
        <v>0</v>
      </c>
      <c r="AB2331" s="166">
        <v>0</v>
      </c>
      <c r="AC2331" s="166">
        <v>0</v>
      </c>
      <c r="AD2331" s="164">
        <f>($L2331*'Pivot Objective'!$C$9^5)*AB2331*AC2331</f>
        <v>0</v>
      </c>
      <c r="AE2331" s="166">
        <v>0</v>
      </c>
      <c r="AF2331" s="166">
        <v>0</v>
      </c>
      <c r="AG2331" s="164">
        <f>($L2331*'Pivot Objective'!$C$9^6)*AE2331*AF2331</f>
        <v>0</v>
      </c>
      <c r="AH2331" s="166">
        <v>0</v>
      </c>
      <c r="AI2331" s="166">
        <v>0</v>
      </c>
      <c r="AJ2331" s="164">
        <f>($L2331*'Pivot Objective'!$C$9^7)*AH2331*AI2331</f>
        <v>0</v>
      </c>
      <c r="AK2331" s="185">
        <f t="shared" si="259"/>
        <v>138091.25559086938</v>
      </c>
      <c r="AL2331" s="186">
        <f t="shared" si="260"/>
        <v>134.06918018531007</v>
      </c>
    </row>
    <row r="2332" spans="1:38" customFormat="1" ht="57.6" x14ac:dyDescent="0.3">
      <c r="A2332" s="140" t="s">
        <v>1488</v>
      </c>
      <c r="B2332" s="140">
        <v>4</v>
      </c>
      <c r="C2332" s="166" t="s">
        <v>697</v>
      </c>
      <c r="D2332" s="140" t="str">
        <f t="shared" si="256"/>
        <v>2</v>
      </c>
      <c r="E2332" s="166" t="s">
        <v>693</v>
      </c>
      <c r="F2332" s="140">
        <f t="shared" si="261"/>
        <v>1</v>
      </c>
      <c r="G2332" s="140" t="str">
        <f t="shared" si="257"/>
        <v>4.2.1</v>
      </c>
      <c r="H2332" s="166" t="s">
        <v>669</v>
      </c>
      <c r="I2332" s="166" t="s">
        <v>101</v>
      </c>
      <c r="J2332" s="166" t="s">
        <v>519</v>
      </c>
      <c r="K2332" s="166" t="s">
        <v>1350</v>
      </c>
      <c r="L2332" s="177">
        <f>1480/7</f>
        <v>211.42857142857142</v>
      </c>
      <c r="M2332" s="140"/>
      <c r="N2332" s="140"/>
      <c r="O2332" s="164">
        <f t="shared" si="258"/>
        <v>0</v>
      </c>
      <c r="P2332" s="166"/>
      <c r="Q2332" s="166"/>
      <c r="R2332" s="164">
        <f>$L2332*'Pivot Objective'!$C$9*P2332*Q2332</f>
        <v>0</v>
      </c>
      <c r="S2332" s="166">
        <f>135*2*10</f>
        <v>2700</v>
      </c>
      <c r="T2332" s="166">
        <v>2</v>
      </c>
      <c r="U2332" s="164">
        <f>($L2332*'Pivot Objective'!$C$9^2)*S2332*T2332</f>
        <v>1491385.5603813892</v>
      </c>
      <c r="V2332" s="166"/>
      <c r="W2332" s="166"/>
      <c r="X2332" s="164">
        <f>($L2332*'Pivot Objective'!$C$9^3)*V2332*W2332</f>
        <v>0</v>
      </c>
      <c r="Y2332" s="166"/>
      <c r="Z2332" s="166"/>
      <c r="AA2332" s="164">
        <f>($L2332*'Pivot Objective'!$C$9^4)*Y2332*Z2332</f>
        <v>0</v>
      </c>
      <c r="AB2332" s="166"/>
      <c r="AC2332" s="166"/>
      <c r="AD2332" s="164">
        <f>($L2332*'Pivot Objective'!$C$9^5)*AB2332*AC2332</f>
        <v>0</v>
      </c>
      <c r="AE2332" s="166"/>
      <c r="AF2332" s="166"/>
      <c r="AG2332" s="164">
        <f>($L2332*'Pivot Objective'!$C$9^6)*AE2332*AF2332</f>
        <v>0</v>
      </c>
      <c r="AH2332" s="166"/>
      <c r="AI2332" s="166"/>
      <c r="AJ2332" s="164">
        <f>($L2332*'Pivot Objective'!$C$9^7)*AH2332*AI2332</f>
        <v>0</v>
      </c>
      <c r="AK2332" s="185">
        <f t="shared" si="259"/>
        <v>1491385.5603813892</v>
      </c>
      <c r="AL2332" s="186">
        <f t="shared" si="260"/>
        <v>1447.9471460013488</v>
      </c>
    </row>
    <row r="2333" spans="1:38" customFormat="1" ht="57.6" x14ac:dyDescent="0.3">
      <c r="A2333" s="140" t="s">
        <v>1488</v>
      </c>
      <c r="B2333" s="140">
        <v>4</v>
      </c>
      <c r="C2333" s="166" t="s">
        <v>697</v>
      </c>
      <c r="D2333" s="140" t="str">
        <f t="shared" si="256"/>
        <v>2</v>
      </c>
      <c r="E2333" s="166" t="s">
        <v>693</v>
      </c>
      <c r="F2333" s="140">
        <f t="shared" si="261"/>
        <v>1</v>
      </c>
      <c r="G2333" s="140" t="str">
        <f t="shared" si="257"/>
        <v>4.2.1</v>
      </c>
      <c r="H2333" s="166" t="s">
        <v>669</v>
      </c>
      <c r="I2333" s="166" t="s">
        <v>101</v>
      </c>
      <c r="J2333" s="166" t="s">
        <v>520</v>
      </c>
      <c r="K2333" s="166" t="s">
        <v>718</v>
      </c>
      <c r="L2333" s="177">
        <v>0</v>
      </c>
      <c r="M2333" s="166">
        <v>0</v>
      </c>
      <c r="N2333" s="166">
        <v>0</v>
      </c>
      <c r="O2333" s="164">
        <f t="shared" si="258"/>
        <v>0</v>
      </c>
      <c r="P2333" s="166">
        <v>0</v>
      </c>
      <c r="Q2333" s="166">
        <v>0</v>
      </c>
      <c r="R2333" s="164">
        <f>$L2333*'Pivot Objective'!$C$9*P2333*Q2333</f>
        <v>0</v>
      </c>
      <c r="S2333" s="166">
        <v>0</v>
      </c>
      <c r="T2333" s="166">
        <v>0</v>
      </c>
      <c r="U2333" s="164">
        <f>($L2333*'Pivot Objective'!$C$9^2)*S2333*T2333</f>
        <v>0</v>
      </c>
      <c r="V2333" s="166">
        <v>0</v>
      </c>
      <c r="W2333" s="166">
        <v>0</v>
      </c>
      <c r="X2333" s="164">
        <f>($L2333*'Pivot Objective'!$C$9^3)*V2333*W2333</f>
        <v>0</v>
      </c>
      <c r="Y2333" s="166">
        <v>0</v>
      </c>
      <c r="Z2333" s="166">
        <v>0</v>
      </c>
      <c r="AA2333" s="164">
        <f>($L2333*'Pivot Objective'!$C$9^4)*Y2333*Z2333</f>
        <v>0</v>
      </c>
      <c r="AB2333" s="166">
        <v>0</v>
      </c>
      <c r="AC2333" s="166">
        <v>0</v>
      </c>
      <c r="AD2333" s="164">
        <f>($L2333*'Pivot Objective'!$C$9^5)*AB2333*AC2333</f>
        <v>0</v>
      </c>
      <c r="AE2333" s="166">
        <v>0</v>
      </c>
      <c r="AF2333" s="166">
        <v>0</v>
      </c>
      <c r="AG2333" s="164">
        <f>($L2333*'Pivot Objective'!$C$9^6)*AE2333*AF2333</f>
        <v>0</v>
      </c>
      <c r="AH2333" s="166">
        <v>0</v>
      </c>
      <c r="AI2333" s="166">
        <v>0</v>
      </c>
      <c r="AJ2333" s="164">
        <f>($L2333*'Pivot Objective'!$C$9^7)*AH2333*AI2333</f>
        <v>0</v>
      </c>
      <c r="AK2333" s="185">
        <f t="shared" si="259"/>
        <v>0</v>
      </c>
      <c r="AL2333" s="186">
        <f t="shared" si="260"/>
        <v>0</v>
      </c>
    </row>
    <row r="2334" spans="1:38" customFormat="1" ht="57.6" x14ac:dyDescent="0.3">
      <c r="A2334" s="140" t="s">
        <v>1488</v>
      </c>
      <c r="B2334" s="140">
        <v>4</v>
      </c>
      <c r="C2334" s="166" t="s">
        <v>697</v>
      </c>
      <c r="D2334" s="140" t="str">
        <f t="shared" si="256"/>
        <v>2</v>
      </c>
      <c r="E2334" s="166" t="s">
        <v>693</v>
      </c>
      <c r="F2334" s="140">
        <f t="shared" si="261"/>
        <v>2</v>
      </c>
      <c r="G2334" s="140" t="str">
        <f t="shared" si="257"/>
        <v>4.2.2</v>
      </c>
      <c r="H2334" s="166" t="s">
        <v>670</v>
      </c>
      <c r="I2334" s="166" t="s">
        <v>102</v>
      </c>
      <c r="J2334" s="166" t="s">
        <v>521</v>
      </c>
      <c r="K2334" s="166" t="s">
        <v>787</v>
      </c>
      <c r="L2334" s="177">
        <v>65334760</v>
      </c>
      <c r="M2334" s="140"/>
      <c r="N2334" s="140"/>
      <c r="O2334" s="164">
        <f t="shared" si="258"/>
        <v>0</v>
      </c>
      <c r="P2334" s="140"/>
      <c r="Q2334" s="140"/>
      <c r="R2334" s="164">
        <f>$L2334*'Pivot Objective'!$C$9*P2334*Q2334</f>
        <v>0</v>
      </c>
      <c r="S2334" s="140"/>
      <c r="T2334" s="140"/>
      <c r="U2334" s="164">
        <f>($L2334*'Pivot Objective'!$C$9^2)*S2334*T2334</f>
        <v>0</v>
      </c>
      <c r="V2334" s="166">
        <v>1</v>
      </c>
      <c r="W2334" s="166">
        <v>1</v>
      </c>
      <c r="X2334" s="164">
        <f>($L2334*'Pivot Objective'!$C$9^3)*V2334*W2334</f>
        <v>97542312.659679309</v>
      </c>
      <c r="Y2334" s="166">
        <v>1</v>
      </c>
      <c r="Z2334" s="166">
        <v>1</v>
      </c>
      <c r="AA2334" s="164">
        <f>($L2334*'Pivot Objective'!$C$9^4)*Y2334*Z2334</f>
        <v>111483166.98891765</v>
      </c>
      <c r="AB2334" s="166">
        <v>1</v>
      </c>
      <c r="AC2334" s="166">
        <v>1</v>
      </c>
      <c r="AD2334" s="164">
        <f>($L2334*'Pivot Objective'!$C$9^5)*AB2334*AC2334</f>
        <v>127416463.51200792</v>
      </c>
      <c r="AE2334" s="166">
        <v>1</v>
      </c>
      <c r="AF2334" s="166">
        <v>1</v>
      </c>
      <c r="AG2334" s="164">
        <f>($L2334*'Pivot Objective'!$C$9^6)*AE2334*AF2334</f>
        <v>145626964.25300458</v>
      </c>
      <c r="AH2334" s="166">
        <v>1</v>
      </c>
      <c r="AI2334" s="166">
        <v>1</v>
      </c>
      <c r="AJ2334" s="164">
        <f>($L2334*'Pivot Objective'!$C$9^7)*AH2334*AI2334</f>
        <v>166440129.73682377</v>
      </c>
      <c r="AK2334" s="185">
        <f t="shared" si="259"/>
        <v>648509037.15043318</v>
      </c>
      <c r="AL2334" s="186">
        <f t="shared" si="260"/>
        <v>629620.42441789631</v>
      </c>
    </row>
    <row r="2335" spans="1:38" customFormat="1" ht="57.6" x14ac:dyDescent="0.3">
      <c r="A2335" s="140" t="s">
        <v>1488</v>
      </c>
      <c r="B2335" s="140">
        <v>4</v>
      </c>
      <c r="C2335" s="166" t="s">
        <v>697</v>
      </c>
      <c r="D2335" s="140" t="str">
        <f t="shared" si="256"/>
        <v>2</v>
      </c>
      <c r="E2335" s="166" t="s">
        <v>693</v>
      </c>
      <c r="F2335" s="140">
        <f t="shared" si="261"/>
        <v>2</v>
      </c>
      <c r="G2335" s="140" t="str">
        <f t="shared" si="257"/>
        <v>4.2.2</v>
      </c>
      <c r="H2335" s="166" t="s">
        <v>670</v>
      </c>
      <c r="I2335" s="166" t="s">
        <v>103</v>
      </c>
      <c r="J2335" s="166" t="s">
        <v>522</v>
      </c>
      <c r="K2335" s="166" t="s">
        <v>718</v>
      </c>
      <c r="L2335" s="177">
        <v>0</v>
      </c>
      <c r="M2335" s="166">
        <v>0</v>
      </c>
      <c r="N2335" s="166">
        <v>0</v>
      </c>
      <c r="O2335" s="164">
        <f t="shared" si="258"/>
        <v>0</v>
      </c>
      <c r="P2335" s="166">
        <v>0</v>
      </c>
      <c r="Q2335" s="166">
        <v>0</v>
      </c>
      <c r="R2335" s="164">
        <f>$L2335*'Pivot Objective'!$C$9*P2335*Q2335</f>
        <v>0</v>
      </c>
      <c r="S2335" s="166">
        <v>0</v>
      </c>
      <c r="T2335" s="166">
        <v>0</v>
      </c>
      <c r="U2335" s="164">
        <f>($L2335*'Pivot Objective'!$C$9^2)*S2335*T2335</f>
        <v>0</v>
      </c>
      <c r="V2335" s="166">
        <v>0</v>
      </c>
      <c r="W2335" s="166">
        <v>0</v>
      </c>
      <c r="X2335" s="164">
        <f>($L2335*'Pivot Objective'!$C$9^3)*V2335*W2335</f>
        <v>0</v>
      </c>
      <c r="Y2335" s="166">
        <v>0</v>
      </c>
      <c r="Z2335" s="166">
        <v>0</v>
      </c>
      <c r="AA2335" s="164">
        <f>($L2335*'Pivot Objective'!$C$9^4)*Y2335*Z2335</f>
        <v>0</v>
      </c>
      <c r="AB2335" s="166">
        <v>0</v>
      </c>
      <c r="AC2335" s="166">
        <v>0</v>
      </c>
      <c r="AD2335" s="164">
        <f>($L2335*'Pivot Objective'!$C$9^5)*AB2335*AC2335</f>
        <v>0</v>
      </c>
      <c r="AE2335" s="166">
        <v>0</v>
      </c>
      <c r="AF2335" s="166">
        <v>0</v>
      </c>
      <c r="AG2335" s="164">
        <f>($L2335*'Pivot Objective'!$C$9^6)*AE2335*AF2335</f>
        <v>0</v>
      </c>
      <c r="AH2335" s="166">
        <v>0</v>
      </c>
      <c r="AI2335" s="166">
        <v>0</v>
      </c>
      <c r="AJ2335" s="164">
        <f>($L2335*'Pivot Objective'!$C$9^7)*AH2335*AI2335</f>
        <v>0</v>
      </c>
      <c r="AK2335" s="185">
        <f t="shared" si="259"/>
        <v>0</v>
      </c>
      <c r="AL2335" s="186">
        <f t="shared" si="260"/>
        <v>0</v>
      </c>
    </row>
    <row r="2336" spans="1:38" customFormat="1" ht="57.6" x14ac:dyDescent="0.3">
      <c r="A2336" s="140" t="s">
        <v>1488</v>
      </c>
      <c r="B2336" s="140">
        <v>4</v>
      </c>
      <c r="C2336" s="166" t="s">
        <v>697</v>
      </c>
      <c r="D2336" s="140" t="str">
        <f t="shared" si="256"/>
        <v>2</v>
      </c>
      <c r="E2336" s="166" t="s">
        <v>693</v>
      </c>
      <c r="F2336" s="140">
        <f t="shared" si="261"/>
        <v>2</v>
      </c>
      <c r="G2336" s="140" t="str">
        <f t="shared" si="257"/>
        <v>4.2.2</v>
      </c>
      <c r="H2336" s="166" t="s">
        <v>670</v>
      </c>
      <c r="I2336" s="166" t="s">
        <v>103</v>
      </c>
      <c r="J2336" s="166" t="s">
        <v>523</v>
      </c>
      <c r="K2336" s="166" t="s">
        <v>718</v>
      </c>
      <c r="L2336" s="177">
        <v>0</v>
      </c>
      <c r="M2336" s="166">
        <v>0</v>
      </c>
      <c r="N2336" s="166">
        <v>0</v>
      </c>
      <c r="O2336" s="164">
        <f t="shared" si="258"/>
        <v>0</v>
      </c>
      <c r="P2336" s="166">
        <v>0</v>
      </c>
      <c r="Q2336" s="166">
        <v>0</v>
      </c>
      <c r="R2336" s="164">
        <f>$L2336*'Pivot Objective'!$C$9*P2336*Q2336</f>
        <v>0</v>
      </c>
      <c r="S2336" s="166">
        <v>0</v>
      </c>
      <c r="T2336" s="166">
        <v>0</v>
      </c>
      <c r="U2336" s="164">
        <f>($L2336*'Pivot Objective'!$C$9^2)*S2336*T2336</f>
        <v>0</v>
      </c>
      <c r="V2336" s="166">
        <v>0</v>
      </c>
      <c r="W2336" s="166">
        <v>0</v>
      </c>
      <c r="X2336" s="164">
        <f>($L2336*'Pivot Objective'!$C$9^3)*V2336*W2336</f>
        <v>0</v>
      </c>
      <c r="Y2336" s="166">
        <v>0</v>
      </c>
      <c r="Z2336" s="166">
        <v>0</v>
      </c>
      <c r="AA2336" s="164">
        <f>($L2336*'Pivot Objective'!$C$9^4)*Y2336*Z2336</f>
        <v>0</v>
      </c>
      <c r="AB2336" s="166">
        <v>0</v>
      </c>
      <c r="AC2336" s="166">
        <v>0</v>
      </c>
      <c r="AD2336" s="164">
        <f>($L2336*'Pivot Objective'!$C$9^5)*AB2336*AC2336</f>
        <v>0</v>
      </c>
      <c r="AE2336" s="166">
        <v>0</v>
      </c>
      <c r="AF2336" s="166">
        <v>0</v>
      </c>
      <c r="AG2336" s="164">
        <f>($L2336*'Pivot Objective'!$C$9^6)*AE2336*AF2336</f>
        <v>0</v>
      </c>
      <c r="AH2336" s="166">
        <v>0</v>
      </c>
      <c r="AI2336" s="166">
        <v>0</v>
      </c>
      <c r="AJ2336" s="164">
        <f>($L2336*'Pivot Objective'!$C$9^7)*AH2336*AI2336</f>
        <v>0</v>
      </c>
      <c r="AK2336" s="185">
        <f t="shared" si="259"/>
        <v>0</v>
      </c>
      <c r="AL2336" s="186">
        <f t="shared" si="260"/>
        <v>0</v>
      </c>
    </row>
    <row r="2337" spans="1:38" customFormat="1" ht="57.6" x14ac:dyDescent="0.3">
      <c r="A2337" s="140" t="s">
        <v>1488</v>
      </c>
      <c r="B2337" s="140">
        <v>4</v>
      </c>
      <c r="C2337" s="166" t="s">
        <v>697</v>
      </c>
      <c r="D2337" s="140" t="str">
        <f t="shared" si="256"/>
        <v>2</v>
      </c>
      <c r="E2337" s="166" t="s">
        <v>693</v>
      </c>
      <c r="F2337" s="140">
        <f t="shared" si="261"/>
        <v>2</v>
      </c>
      <c r="G2337" s="140" t="str">
        <f t="shared" si="257"/>
        <v>4.2.2</v>
      </c>
      <c r="H2337" s="166" t="s">
        <v>670</v>
      </c>
      <c r="I2337" s="166" t="s">
        <v>103</v>
      </c>
      <c r="J2337" s="166" t="s">
        <v>524</v>
      </c>
      <c r="K2337" s="166" t="s">
        <v>718</v>
      </c>
      <c r="L2337" s="177">
        <v>0</v>
      </c>
      <c r="M2337" s="166">
        <v>0</v>
      </c>
      <c r="N2337" s="166">
        <v>0</v>
      </c>
      <c r="O2337" s="164">
        <f t="shared" si="258"/>
        <v>0</v>
      </c>
      <c r="P2337" s="166">
        <v>0</v>
      </c>
      <c r="Q2337" s="166">
        <v>0</v>
      </c>
      <c r="R2337" s="164">
        <f>$L2337*'Pivot Objective'!$C$9*P2337*Q2337</f>
        <v>0</v>
      </c>
      <c r="S2337" s="166">
        <v>0</v>
      </c>
      <c r="T2337" s="166">
        <v>0</v>
      </c>
      <c r="U2337" s="164">
        <f>($L2337*'Pivot Objective'!$C$9^2)*S2337*T2337</f>
        <v>0</v>
      </c>
      <c r="V2337" s="166">
        <v>0</v>
      </c>
      <c r="W2337" s="166">
        <v>0</v>
      </c>
      <c r="X2337" s="164">
        <f>($L2337*'Pivot Objective'!$C$9^3)*V2337*W2337</f>
        <v>0</v>
      </c>
      <c r="Y2337" s="166">
        <v>0</v>
      </c>
      <c r="Z2337" s="166">
        <v>0</v>
      </c>
      <c r="AA2337" s="164">
        <f>($L2337*'Pivot Objective'!$C$9^4)*Y2337*Z2337</f>
        <v>0</v>
      </c>
      <c r="AB2337" s="166">
        <v>0</v>
      </c>
      <c r="AC2337" s="166">
        <v>0</v>
      </c>
      <c r="AD2337" s="164">
        <f>($L2337*'Pivot Objective'!$C$9^5)*AB2337*AC2337</f>
        <v>0</v>
      </c>
      <c r="AE2337" s="166">
        <v>0</v>
      </c>
      <c r="AF2337" s="166">
        <v>0</v>
      </c>
      <c r="AG2337" s="164">
        <f>($L2337*'Pivot Objective'!$C$9^6)*AE2337*AF2337</f>
        <v>0</v>
      </c>
      <c r="AH2337" s="166">
        <v>0</v>
      </c>
      <c r="AI2337" s="166">
        <v>0</v>
      </c>
      <c r="AJ2337" s="164">
        <f>($L2337*'Pivot Objective'!$C$9^7)*AH2337*AI2337</f>
        <v>0</v>
      </c>
      <c r="AK2337" s="185">
        <f t="shared" si="259"/>
        <v>0</v>
      </c>
      <c r="AL2337" s="186">
        <f t="shared" si="260"/>
        <v>0</v>
      </c>
    </row>
    <row r="2338" spans="1:38" customFormat="1" ht="57.6" x14ac:dyDescent="0.3">
      <c r="A2338" s="140" t="s">
        <v>1488</v>
      </c>
      <c r="B2338" s="140">
        <v>4</v>
      </c>
      <c r="C2338" s="166" t="s">
        <v>697</v>
      </c>
      <c r="D2338" s="140" t="str">
        <f t="shared" si="256"/>
        <v>2</v>
      </c>
      <c r="E2338" s="166" t="s">
        <v>693</v>
      </c>
      <c r="F2338" s="140">
        <f t="shared" si="261"/>
        <v>2</v>
      </c>
      <c r="G2338" s="140" t="str">
        <f t="shared" si="257"/>
        <v>4.2.2</v>
      </c>
      <c r="H2338" s="166" t="s">
        <v>670</v>
      </c>
      <c r="I2338" s="166" t="s">
        <v>104</v>
      </c>
      <c r="J2338" s="166" t="s">
        <v>525</v>
      </c>
      <c r="K2338" s="166" t="s">
        <v>718</v>
      </c>
      <c r="L2338" s="177">
        <v>0</v>
      </c>
      <c r="M2338" s="166">
        <v>0</v>
      </c>
      <c r="N2338" s="166">
        <v>0</v>
      </c>
      <c r="O2338" s="164">
        <f t="shared" si="258"/>
        <v>0</v>
      </c>
      <c r="P2338" s="166">
        <v>0</v>
      </c>
      <c r="Q2338" s="166">
        <v>0</v>
      </c>
      <c r="R2338" s="164">
        <f>$L2338*'Pivot Objective'!$C$9*P2338*Q2338</f>
        <v>0</v>
      </c>
      <c r="S2338" s="166">
        <v>0</v>
      </c>
      <c r="T2338" s="166">
        <v>0</v>
      </c>
      <c r="U2338" s="164">
        <f>($L2338*'Pivot Objective'!$C$9^2)*S2338*T2338</f>
        <v>0</v>
      </c>
      <c r="V2338" s="166">
        <v>0</v>
      </c>
      <c r="W2338" s="166">
        <v>0</v>
      </c>
      <c r="X2338" s="164">
        <f>($L2338*'Pivot Objective'!$C$9^3)*V2338*W2338</f>
        <v>0</v>
      </c>
      <c r="Y2338" s="166">
        <v>0</v>
      </c>
      <c r="Z2338" s="166">
        <v>0</v>
      </c>
      <c r="AA2338" s="164">
        <f>($L2338*'Pivot Objective'!$C$9^4)*Y2338*Z2338</f>
        <v>0</v>
      </c>
      <c r="AB2338" s="166">
        <v>0</v>
      </c>
      <c r="AC2338" s="166">
        <v>0</v>
      </c>
      <c r="AD2338" s="164">
        <f>($L2338*'Pivot Objective'!$C$9^5)*AB2338*AC2338</f>
        <v>0</v>
      </c>
      <c r="AE2338" s="166">
        <v>0</v>
      </c>
      <c r="AF2338" s="166">
        <v>0</v>
      </c>
      <c r="AG2338" s="164">
        <f>($L2338*'Pivot Objective'!$C$9^6)*AE2338*AF2338</f>
        <v>0</v>
      </c>
      <c r="AH2338" s="166">
        <v>0</v>
      </c>
      <c r="AI2338" s="166">
        <v>0</v>
      </c>
      <c r="AJ2338" s="164">
        <f>($L2338*'Pivot Objective'!$C$9^7)*AH2338*AI2338</f>
        <v>0</v>
      </c>
      <c r="AK2338" s="185">
        <f t="shared" si="259"/>
        <v>0</v>
      </c>
      <c r="AL2338" s="186">
        <f t="shared" si="260"/>
        <v>0</v>
      </c>
    </row>
    <row r="2339" spans="1:38" customFormat="1" ht="57.6" x14ac:dyDescent="0.3">
      <c r="A2339" s="140" t="s">
        <v>1488</v>
      </c>
      <c r="B2339" s="140">
        <v>4</v>
      </c>
      <c r="C2339" s="166" t="s">
        <v>697</v>
      </c>
      <c r="D2339" s="140" t="str">
        <f t="shared" si="256"/>
        <v>2</v>
      </c>
      <c r="E2339" s="166" t="s">
        <v>693</v>
      </c>
      <c r="F2339" s="140">
        <f t="shared" si="261"/>
        <v>2</v>
      </c>
      <c r="G2339" s="140" t="str">
        <f t="shared" si="257"/>
        <v>4.2.2</v>
      </c>
      <c r="H2339" s="166" t="s">
        <v>670</v>
      </c>
      <c r="I2339" s="166" t="s">
        <v>104</v>
      </c>
      <c r="J2339" s="166" t="s">
        <v>526</v>
      </c>
      <c r="K2339" s="166" t="s">
        <v>718</v>
      </c>
      <c r="L2339" s="177">
        <v>0</v>
      </c>
      <c r="M2339" s="166">
        <v>0</v>
      </c>
      <c r="N2339" s="166">
        <v>0</v>
      </c>
      <c r="O2339" s="164">
        <f t="shared" si="258"/>
        <v>0</v>
      </c>
      <c r="P2339" s="166">
        <v>0</v>
      </c>
      <c r="Q2339" s="166">
        <v>0</v>
      </c>
      <c r="R2339" s="164">
        <f>$L2339*'Pivot Objective'!$C$9*P2339*Q2339</f>
        <v>0</v>
      </c>
      <c r="S2339" s="166">
        <v>0</v>
      </c>
      <c r="T2339" s="166">
        <v>0</v>
      </c>
      <c r="U2339" s="164">
        <f>($L2339*'Pivot Objective'!$C$9^2)*S2339*T2339</f>
        <v>0</v>
      </c>
      <c r="V2339" s="166">
        <v>0</v>
      </c>
      <c r="W2339" s="166">
        <v>0</v>
      </c>
      <c r="X2339" s="164">
        <f>($L2339*'Pivot Objective'!$C$9^3)*V2339*W2339</f>
        <v>0</v>
      </c>
      <c r="Y2339" s="166">
        <v>0</v>
      </c>
      <c r="Z2339" s="166">
        <v>0</v>
      </c>
      <c r="AA2339" s="164">
        <f>($L2339*'Pivot Objective'!$C$9^4)*Y2339*Z2339</f>
        <v>0</v>
      </c>
      <c r="AB2339" s="166">
        <v>0</v>
      </c>
      <c r="AC2339" s="166">
        <v>0</v>
      </c>
      <c r="AD2339" s="164">
        <f>($L2339*'Pivot Objective'!$C$9^5)*AB2339*AC2339</f>
        <v>0</v>
      </c>
      <c r="AE2339" s="166">
        <v>0</v>
      </c>
      <c r="AF2339" s="166">
        <v>0</v>
      </c>
      <c r="AG2339" s="164">
        <f>($L2339*'Pivot Objective'!$C$9^6)*AE2339*AF2339</f>
        <v>0</v>
      </c>
      <c r="AH2339" s="166">
        <v>0</v>
      </c>
      <c r="AI2339" s="166">
        <v>0</v>
      </c>
      <c r="AJ2339" s="164">
        <f>($L2339*'Pivot Objective'!$C$9^7)*AH2339*AI2339</f>
        <v>0</v>
      </c>
      <c r="AK2339" s="185">
        <f t="shared" si="259"/>
        <v>0</v>
      </c>
      <c r="AL2339" s="186">
        <f t="shared" si="260"/>
        <v>0</v>
      </c>
    </row>
    <row r="2340" spans="1:38" customFormat="1" ht="57.6" x14ac:dyDescent="0.3">
      <c r="A2340" s="140" t="s">
        <v>1488</v>
      </c>
      <c r="B2340" s="140">
        <v>4</v>
      </c>
      <c r="C2340" s="166" t="s">
        <v>697</v>
      </c>
      <c r="D2340" s="140" t="str">
        <f t="shared" si="256"/>
        <v>2</v>
      </c>
      <c r="E2340" s="166" t="s">
        <v>693</v>
      </c>
      <c r="F2340" s="140">
        <f t="shared" si="261"/>
        <v>2</v>
      </c>
      <c r="G2340" s="140" t="str">
        <f t="shared" si="257"/>
        <v>4.2.2</v>
      </c>
      <c r="H2340" s="166" t="s">
        <v>670</v>
      </c>
      <c r="I2340" s="166" t="s">
        <v>104</v>
      </c>
      <c r="J2340" s="166" t="s">
        <v>527</v>
      </c>
      <c r="K2340" s="166" t="s">
        <v>718</v>
      </c>
      <c r="L2340" s="177">
        <v>0</v>
      </c>
      <c r="M2340" s="166">
        <v>0</v>
      </c>
      <c r="N2340" s="166">
        <v>0</v>
      </c>
      <c r="O2340" s="164">
        <f t="shared" si="258"/>
        <v>0</v>
      </c>
      <c r="P2340" s="166">
        <v>0</v>
      </c>
      <c r="Q2340" s="166">
        <v>0</v>
      </c>
      <c r="R2340" s="164">
        <f>$L2340*'Pivot Objective'!$C$9*P2340*Q2340</f>
        <v>0</v>
      </c>
      <c r="S2340" s="166">
        <v>0</v>
      </c>
      <c r="T2340" s="166">
        <v>0</v>
      </c>
      <c r="U2340" s="164">
        <f>($L2340*'Pivot Objective'!$C$9^2)*S2340*T2340</f>
        <v>0</v>
      </c>
      <c r="V2340" s="166">
        <v>0</v>
      </c>
      <c r="W2340" s="166">
        <v>0</v>
      </c>
      <c r="X2340" s="164">
        <f>($L2340*'Pivot Objective'!$C$9^3)*V2340*W2340</f>
        <v>0</v>
      </c>
      <c r="Y2340" s="166">
        <v>0</v>
      </c>
      <c r="Z2340" s="166">
        <v>0</v>
      </c>
      <c r="AA2340" s="164">
        <f>($L2340*'Pivot Objective'!$C$9^4)*Y2340*Z2340</f>
        <v>0</v>
      </c>
      <c r="AB2340" s="166">
        <v>0</v>
      </c>
      <c r="AC2340" s="166">
        <v>0</v>
      </c>
      <c r="AD2340" s="164">
        <f>($L2340*'Pivot Objective'!$C$9^5)*AB2340*AC2340</f>
        <v>0</v>
      </c>
      <c r="AE2340" s="166">
        <v>0</v>
      </c>
      <c r="AF2340" s="166">
        <v>0</v>
      </c>
      <c r="AG2340" s="164">
        <f>($L2340*'Pivot Objective'!$C$9^6)*AE2340*AF2340</f>
        <v>0</v>
      </c>
      <c r="AH2340" s="166">
        <v>0</v>
      </c>
      <c r="AI2340" s="166">
        <v>0</v>
      </c>
      <c r="AJ2340" s="164">
        <f>($L2340*'Pivot Objective'!$C$9^7)*AH2340*AI2340</f>
        <v>0</v>
      </c>
      <c r="AK2340" s="185">
        <f t="shared" si="259"/>
        <v>0</v>
      </c>
      <c r="AL2340" s="186">
        <f t="shared" si="260"/>
        <v>0</v>
      </c>
    </row>
    <row r="2341" spans="1:38" customFormat="1" ht="57.6" x14ac:dyDescent="0.3">
      <c r="A2341" s="140" t="s">
        <v>1488</v>
      </c>
      <c r="B2341" s="140">
        <v>4</v>
      </c>
      <c r="C2341" s="166" t="s">
        <v>697</v>
      </c>
      <c r="D2341" s="140" t="str">
        <f t="shared" si="256"/>
        <v>2</v>
      </c>
      <c r="E2341" s="166" t="s">
        <v>693</v>
      </c>
      <c r="F2341" s="140">
        <f t="shared" si="261"/>
        <v>2</v>
      </c>
      <c r="G2341" s="140" t="str">
        <f t="shared" si="257"/>
        <v>4.2.2</v>
      </c>
      <c r="H2341" s="166" t="s">
        <v>670</v>
      </c>
      <c r="I2341" s="166" t="s">
        <v>104</v>
      </c>
      <c r="J2341" s="166" t="s">
        <v>528</v>
      </c>
      <c r="K2341" s="166" t="s">
        <v>707</v>
      </c>
      <c r="L2341" s="177">
        <v>391991.03749999998</v>
      </c>
      <c r="M2341" s="140"/>
      <c r="N2341" s="140"/>
      <c r="O2341" s="164">
        <f t="shared" si="258"/>
        <v>0</v>
      </c>
      <c r="P2341" s="166"/>
      <c r="Q2341" s="166"/>
      <c r="R2341" s="164">
        <f>$L2341*'Pivot Objective'!$C$9*P2341*Q2341</f>
        <v>0</v>
      </c>
      <c r="S2341" s="166">
        <v>2</v>
      </c>
      <c r="T2341" s="166">
        <v>2</v>
      </c>
      <c r="U2341" s="164">
        <f>($L2341*'Pivot Objective'!$C$9^2)*S2341*T2341</f>
        <v>2048182.3883307995</v>
      </c>
      <c r="V2341" s="166">
        <v>0</v>
      </c>
      <c r="W2341" s="166">
        <v>0</v>
      </c>
      <c r="X2341" s="164">
        <f>($L2341*'Pivot Objective'!$C$9^3)*V2341*W2341</f>
        <v>0</v>
      </c>
      <c r="Y2341" s="166">
        <v>0</v>
      </c>
      <c r="Z2341" s="166">
        <v>0</v>
      </c>
      <c r="AA2341" s="164">
        <f>($L2341*'Pivot Objective'!$C$9^4)*Y2341*Z2341</f>
        <v>0</v>
      </c>
      <c r="AB2341" s="166">
        <v>0</v>
      </c>
      <c r="AC2341" s="166">
        <v>0</v>
      </c>
      <c r="AD2341" s="164">
        <f>($L2341*'Pivot Objective'!$C$9^5)*AB2341*AC2341</f>
        <v>0</v>
      </c>
      <c r="AE2341" s="166">
        <v>0</v>
      </c>
      <c r="AF2341" s="166">
        <v>0</v>
      </c>
      <c r="AG2341" s="164">
        <f>($L2341*'Pivot Objective'!$C$9^6)*AE2341*AF2341</f>
        <v>0</v>
      </c>
      <c r="AH2341" s="166">
        <v>0</v>
      </c>
      <c r="AI2341" s="166">
        <v>0</v>
      </c>
      <c r="AJ2341" s="164">
        <f>($L2341*'Pivot Objective'!$C$9^7)*AH2341*AI2341</f>
        <v>0</v>
      </c>
      <c r="AK2341" s="185">
        <f t="shared" si="259"/>
        <v>2048182.3883307995</v>
      </c>
      <c r="AL2341" s="186">
        <f t="shared" si="260"/>
        <v>1988.5265906124266</v>
      </c>
    </row>
    <row r="2342" spans="1:38" customFormat="1" ht="57.6" x14ac:dyDescent="0.3">
      <c r="A2342" s="140" t="s">
        <v>1488</v>
      </c>
      <c r="B2342" s="140">
        <v>4</v>
      </c>
      <c r="C2342" s="166" t="s">
        <v>697</v>
      </c>
      <c r="D2342" s="140" t="str">
        <f t="shared" si="256"/>
        <v>2</v>
      </c>
      <c r="E2342" s="166" t="s">
        <v>693</v>
      </c>
      <c r="F2342" s="140">
        <f t="shared" si="261"/>
        <v>2</v>
      </c>
      <c r="G2342" s="140" t="str">
        <f t="shared" si="257"/>
        <v>4.2.2</v>
      </c>
      <c r="H2342" s="166" t="s">
        <v>670</v>
      </c>
      <c r="I2342" s="166" t="s">
        <v>104</v>
      </c>
      <c r="J2342" s="166" t="s">
        <v>528</v>
      </c>
      <c r="K2342" s="166" t="s">
        <v>720</v>
      </c>
      <c r="L2342" s="177">
        <f>980*1022</f>
        <v>1001560</v>
      </c>
      <c r="M2342" s="140"/>
      <c r="N2342" s="140"/>
      <c r="O2342" s="164">
        <f t="shared" si="258"/>
        <v>0</v>
      </c>
      <c r="P2342" s="166"/>
      <c r="Q2342" s="166"/>
      <c r="R2342" s="164">
        <f>$L2342*'Pivot Objective'!$C$9*P2342*Q2342</f>
        <v>0</v>
      </c>
      <c r="S2342" s="166">
        <v>1</v>
      </c>
      <c r="T2342" s="166">
        <v>25</v>
      </c>
      <c r="U2342" s="164">
        <f>($L2342*'Pivot Objective'!$C$9^2)*S2342*T2342</f>
        <v>32707660.325916823</v>
      </c>
      <c r="V2342" s="166">
        <v>0</v>
      </c>
      <c r="W2342" s="166">
        <v>0</v>
      </c>
      <c r="X2342" s="164">
        <f>($L2342*'Pivot Objective'!$C$9^3)*V2342*W2342</f>
        <v>0</v>
      </c>
      <c r="Y2342" s="166">
        <v>0</v>
      </c>
      <c r="Z2342" s="166">
        <v>0</v>
      </c>
      <c r="AA2342" s="164">
        <f>($L2342*'Pivot Objective'!$C$9^4)*Y2342*Z2342</f>
        <v>0</v>
      </c>
      <c r="AB2342" s="166">
        <v>0</v>
      </c>
      <c r="AC2342" s="166">
        <v>0</v>
      </c>
      <c r="AD2342" s="164">
        <f>($L2342*'Pivot Objective'!$C$9^5)*AB2342*AC2342</f>
        <v>0</v>
      </c>
      <c r="AE2342" s="166">
        <v>0</v>
      </c>
      <c r="AF2342" s="166">
        <v>0</v>
      </c>
      <c r="AG2342" s="164">
        <f>($L2342*'Pivot Objective'!$C$9^6)*AE2342*AF2342</f>
        <v>0</v>
      </c>
      <c r="AH2342" s="166">
        <v>0</v>
      </c>
      <c r="AI2342" s="166">
        <v>0</v>
      </c>
      <c r="AJ2342" s="164">
        <f>($L2342*'Pivot Objective'!$C$9^7)*AH2342*AI2342</f>
        <v>0</v>
      </c>
      <c r="AK2342" s="185">
        <f t="shared" si="259"/>
        <v>32707660.325916823</v>
      </c>
      <c r="AL2342" s="186">
        <f t="shared" si="260"/>
        <v>31755.010025161962</v>
      </c>
    </row>
    <row r="2343" spans="1:38" customFormat="1" ht="57.6" x14ac:dyDescent="0.3">
      <c r="A2343" s="140" t="s">
        <v>1488</v>
      </c>
      <c r="B2343" s="140">
        <v>4</v>
      </c>
      <c r="C2343" s="166" t="s">
        <v>697</v>
      </c>
      <c r="D2343" s="140" t="str">
        <f t="shared" si="256"/>
        <v>2</v>
      </c>
      <c r="E2343" s="166" t="s">
        <v>693</v>
      </c>
      <c r="F2343" s="140">
        <f t="shared" si="261"/>
        <v>2</v>
      </c>
      <c r="G2343" s="140" t="str">
        <f t="shared" si="257"/>
        <v>4.2.2</v>
      </c>
      <c r="H2343" s="166" t="s">
        <v>670</v>
      </c>
      <c r="I2343" s="166" t="s">
        <v>104</v>
      </c>
      <c r="J2343" s="166" t="s">
        <v>153</v>
      </c>
      <c r="K2343" s="166" t="s">
        <v>716</v>
      </c>
      <c r="L2343" s="177">
        <v>39000</v>
      </c>
      <c r="M2343" s="140"/>
      <c r="N2343" s="140"/>
      <c r="O2343" s="164">
        <f t="shared" si="258"/>
        <v>0</v>
      </c>
      <c r="P2343" s="166"/>
      <c r="Q2343" s="166"/>
      <c r="R2343" s="164">
        <f>$L2343*'Pivot Objective'!$C$9*P2343*Q2343</f>
        <v>0</v>
      </c>
      <c r="S2343" s="166">
        <v>25</v>
      </c>
      <c r="T2343" s="166">
        <v>6</v>
      </c>
      <c r="U2343" s="164">
        <f>($L2343*'Pivot Objective'!$C$9^2)*S2343*T2343</f>
        <v>7641671.5087109469</v>
      </c>
      <c r="V2343" s="166">
        <v>0</v>
      </c>
      <c r="W2343" s="166">
        <v>0</v>
      </c>
      <c r="X2343" s="164">
        <f>($L2343*'Pivot Objective'!$C$9^3)*V2343*W2343</f>
        <v>0</v>
      </c>
      <c r="Y2343" s="166">
        <v>0</v>
      </c>
      <c r="Z2343" s="166">
        <v>0</v>
      </c>
      <c r="AA2343" s="164">
        <f>($L2343*'Pivot Objective'!$C$9^4)*Y2343*Z2343</f>
        <v>0</v>
      </c>
      <c r="AB2343" s="166">
        <v>0</v>
      </c>
      <c r="AC2343" s="166">
        <v>0</v>
      </c>
      <c r="AD2343" s="164">
        <f>($L2343*'Pivot Objective'!$C$9^5)*AB2343*AC2343</f>
        <v>0</v>
      </c>
      <c r="AE2343" s="166">
        <v>0</v>
      </c>
      <c r="AF2343" s="166">
        <v>0</v>
      </c>
      <c r="AG2343" s="164">
        <f>($L2343*'Pivot Objective'!$C$9^6)*AE2343*AF2343</f>
        <v>0</v>
      </c>
      <c r="AH2343" s="166">
        <v>0</v>
      </c>
      <c r="AI2343" s="166">
        <v>0</v>
      </c>
      <c r="AJ2343" s="164">
        <f>($L2343*'Pivot Objective'!$C$9^7)*AH2343*AI2343</f>
        <v>0</v>
      </c>
      <c r="AK2343" s="185">
        <f t="shared" si="259"/>
        <v>7641671.5087109469</v>
      </c>
      <c r="AL2343" s="186">
        <f t="shared" si="260"/>
        <v>7419.09855214655</v>
      </c>
    </row>
    <row r="2344" spans="1:38" customFormat="1" ht="57.6" x14ac:dyDescent="0.3">
      <c r="A2344" s="140" t="s">
        <v>1488</v>
      </c>
      <c r="B2344" s="140">
        <v>4</v>
      </c>
      <c r="C2344" s="166" t="s">
        <v>697</v>
      </c>
      <c r="D2344" s="140" t="str">
        <f t="shared" si="256"/>
        <v>2</v>
      </c>
      <c r="E2344" s="166" t="s">
        <v>693</v>
      </c>
      <c r="F2344" s="140">
        <f t="shared" si="261"/>
        <v>2</v>
      </c>
      <c r="G2344" s="140" t="str">
        <f t="shared" si="257"/>
        <v>4.2.2</v>
      </c>
      <c r="H2344" s="166" t="s">
        <v>670</v>
      </c>
      <c r="I2344" s="166" t="s">
        <v>104</v>
      </c>
      <c r="J2344" s="166" t="s">
        <v>153</v>
      </c>
      <c r="K2344" s="166" t="s">
        <v>709</v>
      </c>
      <c r="L2344" s="177">
        <v>35000</v>
      </c>
      <c r="M2344" s="140"/>
      <c r="N2344" s="140"/>
      <c r="O2344" s="164">
        <f t="shared" si="258"/>
        <v>0</v>
      </c>
      <c r="P2344" s="166"/>
      <c r="Q2344" s="166"/>
      <c r="R2344" s="164">
        <f>$L2344*'Pivot Objective'!$C$9*P2344*Q2344</f>
        <v>0</v>
      </c>
      <c r="S2344" s="166">
        <v>25</v>
      </c>
      <c r="T2344" s="166">
        <v>5</v>
      </c>
      <c r="U2344" s="164">
        <f>($L2344*'Pivot Objective'!$C$9^2)*S2344*T2344</f>
        <v>5714925.2736086138</v>
      </c>
      <c r="V2344" s="166">
        <v>0</v>
      </c>
      <c r="W2344" s="166">
        <v>0</v>
      </c>
      <c r="X2344" s="164">
        <f>($L2344*'Pivot Objective'!$C$9^3)*V2344*W2344</f>
        <v>0</v>
      </c>
      <c r="Y2344" s="166">
        <v>0</v>
      </c>
      <c r="Z2344" s="166">
        <v>0</v>
      </c>
      <c r="AA2344" s="164">
        <f>($L2344*'Pivot Objective'!$C$9^4)*Y2344*Z2344</f>
        <v>0</v>
      </c>
      <c r="AB2344" s="166">
        <v>0</v>
      </c>
      <c r="AC2344" s="166">
        <v>0</v>
      </c>
      <c r="AD2344" s="164">
        <f>($L2344*'Pivot Objective'!$C$9^5)*AB2344*AC2344</f>
        <v>0</v>
      </c>
      <c r="AE2344" s="166">
        <v>0</v>
      </c>
      <c r="AF2344" s="166">
        <v>0</v>
      </c>
      <c r="AG2344" s="164">
        <f>($L2344*'Pivot Objective'!$C$9^6)*AE2344*AF2344</f>
        <v>0</v>
      </c>
      <c r="AH2344" s="166">
        <v>0</v>
      </c>
      <c r="AI2344" s="166">
        <v>0</v>
      </c>
      <c r="AJ2344" s="164">
        <f>($L2344*'Pivot Objective'!$C$9^7)*AH2344*AI2344</f>
        <v>0</v>
      </c>
      <c r="AK2344" s="185">
        <f t="shared" si="259"/>
        <v>5714925.2736086138</v>
      </c>
      <c r="AL2344" s="186">
        <f t="shared" si="260"/>
        <v>5548.4711394258384</v>
      </c>
    </row>
    <row r="2345" spans="1:38" customFormat="1" ht="57.6" x14ac:dyDescent="0.3">
      <c r="A2345" s="140" t="s">
        <v>1488</v>
      </c>
      <c r="B2345" s="140">
        <v>4</v>
      </c>
      <c r="C2345" s="166" t="s">
        <v>697</v>
      </c>
      <c r="D2345" s="140" t="str">
        <f t="shared" si="256"/>
        <v>2</v>
      </c>
      <c r="E2345" s="166" t="s">
        <v>693</v>
      </c>
      <c r="F2345" s="140">
        <f t="shared" si="261"/>
        <v>2</v>
      </c>
      <c r="G2345" s="140" t="str">
        <f t="shared" si="257"/>
        <v>4.2.2</v>
      </c>
      <c r="H2345" s="166" t="s">
        <v>670</v>
      </c>
      <c r="I2345" s="166" t="s">
        <v>104</v>
      </c>
      <c r="J2345" s="166" t="s">
        <v>153</v>
      </c>
      <c r="K2345" s="166" t="s">
        <v>1303</v>
      </c>
      <c r="L2345" s="177">
        <f>1480/7</f>
        <v>211.42857142857142</v>
      </c>
      <c r="M2345" s="140"/>
      <c r="N2345" s="140"/>
      <c r="O2345" s="164">
        <f t="shared" si="258"/>
        <v>0</v>
      </c>
      <c r="P2345" s="166"/>
      <c r="Q2345" s="166"/>
      <c r="R2345" s="164">
        <f>$L2345*'Pivot Objective'!$C$9*P2345*Q2345</f>
        <v>0</v>
      </c>
      <c r="S2345" s="166">
        <f>135*2*9</f>
        <v>2430</v>
      </c>
      <c r="T2345" s="166">
        <v>1</v>
      </c>
      <c r="U2345" s="164">
        <f>($L2345*'Pivot Objective'!$C$9^2)*S2345*T2345</f>
        <v>671123.50217162515</v>
      </c>
      <c r="V2345" s="166">
        <v>0</v>
      </c>
      <c r="W2345" s="166">
        <v>0</v>
      </c>
      <c r="X2345" s="164">
        <f>($L2345*'Pivot Objective'!$C$9^3)*V2345*W2345</f>
        <v>0</v>
      </c>
      <c r="Y2345" s="166">
        <v>0</v>
      </c>
      <c r="Z2345" s="166">
        <v>0</v>
      </c>
      <c r="AA2345" s="164">
        <f>($L2345*'Pivot Objective'!$C$9^4)*Y2345*Z2345</f>
        <v>0</v>
      </c>
      <c r="AB2345" s="166">
        <v>0</v>
      </c>
      <c r="AC2345" s="166">
        <v>0</v>
      </c>
      <c r="AD2345" s="164">
        <f>($L2345*'Pivot Objective'!$C$9^5)*AB2345*AC2345</f>
        <v>0</v>
      </c>
      <c r="AE2345" s="166">
        <v>0</v>
      </c>
      <c r="AF2345" s="166">
        <v>0</v>
      </c>
      <c r="AG2345" s="164">
        <f>($L2345*'Pivot Objective'!$C$9^6)*AE2345*AF2345</f>
        <v>0</v>
      </c>
      <c r="AH2345" s="166">
        <v>0</v>
      </c>
      <c r="AI2345" s="166">
        <v>0</v>
      </c>
      <c r="AJ2345" s="164">
        <f>($L2345*'Pivot Objective'!$C$9^7)*AH2345*AI2345</f>
        <v>0</v>
      </c>
      <c r="AK2345" s="185">
        <f t="shared" si="259"/>
        <v>671123.50217162515</v>
      </c>
      <c r="AL2345" s="186">
        <f t="shared" si="260"/>
        <v>651.57621570060689</v>
      </c>
    </row>
    <row r="2346" spans="1:38" customFormat="1" ht="57.6" x14ac:dyDescent="0.3">
      <c r="A2346" s="140" t="s">
        <v>1488</v>
      </c>
      <c r="B2346" s="140">
        <v>4</v>
      </c>
      <c r="C2346" s="166" t="s">
        <v>697</v>
      </c>
      <c r="D2346" s="140" t="str">
        <f t="shared" si="256"/>
        <v>2</v>
      </c>
      <c r="E2346" s="166" t="s">
        <v>693</v>
      </c>
      <c r="F2346" s="140">
        <f t="shared" si="261"/>
        <v>2</v>
      </c>
      <c r="G2346" s="140" t="str">
        <f t="shared" si="257"/>
        <v>4.2.2</v>
      </c>
      <c r="H2346" s="166" t="s">
        <v>670</v>
      </c>
      <c r="I2346" s="166" t="s">
        <v>104</v>
      </c>
      <c r="J2346" s="166" t="s">
        <v>153</v>
      </c>
      <c r="K2346" s="166" t="s">
        <v>712</v>
      </c>
      <c r="L2346" s="177">
        <f>1480/7</f>
        <v>211.42857142857142</v>
      </c>
      <c r="M2346" s="140"/>
      <c r="N2346" s="140"/>
      <c r="O2346" s="164">
        <f t="shared" si="258"/>
        <v>0</v>
      </c>
      <c r="P2346" s="166"/>
      <c r="Q2346" s="166"/>
      <c r="R2346" s="164">
        <f>$L2346*'Pivot Objective'!$C$9*P2346*Q2346</f>
        <v>0</v>
      </c>
      <c r="S2346" s="166">
        <f>25*2*9</f>
        <v>450</v>
      </c>
      <c r="T2346" s="166">
        <v>5</v>
      </c>
      <c r="U2346" s="164">
        <f>($L2346*'Pivot Objective'!$C$9^2)*S2346*T2346</f>
        <v>621410.65015891218</v>
      </c>
      <c r="V2346" s="166">
        <v>0</v>
      </c>
      <c r="W2346" s="166">
        <v>0</v>
      </c>
      <c r="X2346" s="164">
        <f>($L2346*'Pivot Objective'!$C$9^3)*V2346*W2346</f>
        <v>0</v>
      </c>
      <c r="Y2346" s="166">
        <v>0</v>
      </c>
      <c r="Z2346" s="166">
        <v>0</v>
      </c>
      <c r="AA2346" s="164">
        <f>($L2346*'Pivot Objective'!$C$9^4)*Y2346*Z2346</f>
        <v>0</v>
      </c>
      <c r="AB2346" s="166">
        <v>0</v>
      </c>
      <c r="AC2346" s="166">
        <v>0</v>
      </c>
      <c r="AD2346" s="164">
        <f>($L2346*'Pivot Objective'!$C$9^5)*AB2346*AC2346</f>
        <v>0</v>
      </c>
      <c r="AE2346" s="166">
        <v>0</v>
      </c>
      <c r="AF2346" s="166">
        <v>0</v>
      </c>
      <c r="AG2346" s="164">
        <f>($L2346*'Pivot Objective'!$C$9^6)*AE2346*AF2346</f>
        <v>0</v>
      </c>
      <c r="AH2346" s="166">
        <v>0</v>
      </c>
      <c r="AI2346" s="166">
        <v>0</v>
      </c>
      <c r="AJ2346" s="164">
        <f>($L2346*'Pivot Objective'!$C$9^7)*AH2346*AI2346</f>
        <v>0</v>
      </c>
      <c r="AK2346" s="185">
        <f t="shared" si="259"/>
        <v>621410.65015891218</v>
      </c>
      <c r="AL2346" s="186">
        <f t="shared" si="260"/>
        <v>603.31131083389528</v>
      </c>
    </row>
    <row r="2347" spans="1:38" customFormat="1" ht="57.6" x14ac:dyDescent="0.3">
      <c r="A2347" s="140" t="s">
        <v>1488</v>
      </c>
      <c r="B2347" s="140">
        <v>4</v>
      </c>
      <c r="C2347" s="166" t="s">
        <v>697</v>
      </c>
      <c r="D2347" s="140" t="str">
        <f t="shared" si="256"/>
        <v>2</v>
      </c>
      <c r="E2347" s="166" t="s">
        <v>693</v>
      </c>
      <c r="F2347" s="140">
        <f t="shared" si="261"/>
        <v>2</v>
      </c>
      <c r="G2347" s="140" t="str">
        <f t="shared" si="257"/>
        <v>4.2.2</v>
      </c>
      <c r="H2347" s="166" t="s">
        <v>670</v>
      </c>
      <c r="I2347" s="166" t="s">
        <v>104</v>
      </c>
      <c r="J2347" s="166" t="s">
        <v>280</v>
      </c>
      <c r="K2347" s="166" t="s">
        <v>709</v>
      </c>
      <c r="L2347" s="177">
        <v>35000</v>
      </c>
      <c r="M2347" s="140"/>
      <c r="N2347" s="140"/>
      <c r="O2347" s="164">
        <f t="shared" si="258"/>
        <v>0</v>
      </c>
      <c r="P2347" s="166"/>
      <c r="Q2347" s="166"/>
      <c r="R2347" s="164">
        <f>$L2347*'Pivot Objective'!$C$9*P2347*Q2347</f>
        <v>0</v>
      </c>
      <c r="S2347" s="166">
        <v>100</v>
      </c>
      <c r="T2347" s="166">
        <v>5</v>
      </c>
      <c r="U2347" s="164">
        <f>($L2347*'Pivot Objective'!$C$9^2)*S2347*T2347</f>
        <v>22859701.094434455</v>
      </c>
      <c r="V2347" s="166">
        <v>0</v>
      </c>
      <c r="W2347" s="166">
        <v>0</v>
      </c>
      <c r="X2347" s="164">
        <f>($L2347*'Pivot Objective'!$C$9^3)*V2347*W2347</f>
        <v>0</v>
      </c>
      <c r="Y2347" s="166">
        <v>0</v>
      </c>
      <c r="Z2347" s="166">
        <v>0</v>
      </c>
      <c r="AA2347" s="164">
        <f>($L2347*'Pivot Objective'!$C$9^4)*Y2347*Z2347</f>
        <v>0</v>
      </c>
      <c r="AB2347" s="166">
        <v>0</v>
      </c>
      <c r="AC2347" s="166">
        <v>0</v>
      </c>
      <c r="AD2347" s="164">
        <f>($L2347*'Pivot Objective'!$C$9^5)*AB2347*AC2347</f>
        <v>0</v>
      </c>
      <c r="AE2347" s="166">
        <v>0</v>
      </c>
      <c r="AF2347" s="166">
        <v>0</v>
      </c>
      <c r="AG2347" s="164">
        <f>($L2347*'Pivot Objective'!$C$9^6)*AE2347*AF2347</f>
        <v>0</v>
      </c>
      <c r="AH2347" s="166">
        <v>0</v>
      </c>
      <c r="AI2347" s="166">
        <v>0</v>
      </c>
      <c r="AJ2347" s="164">
        <f>($L2347*'Pivot Objective'!$C$9^7)*AH2347*AI2347</f>
        <v>0</v>
      </c>
      <c r="AK2347" s="185">
        <f t="shared" si="259"/>
        <v>22859701.094434455</v>
      </c>
      <c r="AL2347" s="186">
        <f t="shared" si="260"/>
        <v>22193.884557703353</v>
      </c>
    </row>
    <row r="2348" spans="1:38" customFormat="1" ht="57.6" x14ac:dyDescent="0.3">
      <c r="A2348" s="140" t="s">
        <v>1488</v>
      </c>
      <c r="B2348" s="140">
        <v>4</v>
      </c>
      <c r="C2348" s="166" t="s">
        <v>697</v>
      </c>
      <c r="D2348" s="140" t="str">
        <f t="shared" si="256"/>
        <v>2</v>
      </c>
      <c r="E2348" s="166" t="s">
        <v>693</v>
      </c>
      <c r="F2348" s="140">
        <f t="shared" si="261"/>
        <v>2</v>
      </c>
      <c r="G2348" s="140" t="str">
        <f t="shared" si="257"/>
        <v>4.2.2</v>
      </c>
      <c r="H2348" s="166" t="s">
        <v>670</v>
      </c>
      <c r="I2348" s="166" t="s">
        <v>104</v>
      </c>
      <c r="J2348" s="166" t="s">
        <v>280</v>
      </c>
      <c r="K2348" s="166" t="s">
        <v>716</v>
      </c>
      <c r="L2348" s="177">
        <v>39000</v>
      </c>
      <c r="M2348" s="140"/>
      <c r="N2348" s="140"/>
      <c r="O2348" s="164">
        <f t="shared" si="258"/>
        <v>0</v>
      </c>
      <c r="P2348" s="166"/>
      <c r="Q2348" s="166"/>
      <c r="R2348" s="164">
        <f>$L2348*'Pivot Objective'!$C$9*P2348*Q2348</f>
        <v>0</v>
      </c>
      <c r="S2348" s="166">
        <v>58</v>
      </c>
      <c r="T2348" s="166">
        <v>6</v>
      </c>
      <c r="U2348" s="164">
        <f>($L2348*'Pivot Objective'!$C$9^2)*S2348*T2348</f>
        <v>17728677.900209397</v>
      </c>
      <c r="V2348" s="166"/>
      <c r="W2348" s="166"/>
      <c r="X2348" s="164">
        <f>($L2348*'Pivot Objective'!$C$9^3)*V2348*W2348</f>
        <v>0</v>
      </c>
      <c r="Y2348" s="166"/>
      <c r="Z2348" s="166"/>
      <c r="AA2348" s="164">
        <f>($L2348*'Pivot Objective'!$C$9^4)*Y2348*Z2348</f>
        <v>0</v>
      </c>
      <c r="AB2348" s="166"/>
      <c r="AC2348" s="166"/>
      <c r="AD2348" s="164">
        <f>($L2348*'Pivot Objective'!$C$9^5)*AB2348*AC2348</f>
        <v>0</v>
      </c>
      <c r="AE2348" s="166"/>
      <c r="AF2348" s="166"/>
      <c r="AG2348" s="164">
        <f>($L2348*'Pivot Objective'!$C$9^6)*AE2348*AF2348</f>
        <v>0</v>
      </c>
      <c r="AH2348" s="166"/>
      <c r="AI2348" s="166"/>
      <c r="AJ2348" s="164">
        <f>($L2348*'Pivot Objective'!$C$9^7)*AH2348*AI2348</f>
        <v>0</v>
      </c>
      <c r="AK2348" s="185">
        <f t="shared" si="259"/>
        <v>17728677.900209397</v>
      </c>
      <c r="AL2348" s="186">
        <f t="shared" si="260"/>
        <v>17212.308640979998</v>
      </c>
    </row>
    <row r="2349" spans="1:38" customFormat="1" ht="57.6" x14ac:dyDescent="0.3">
      <c r="A2349" s="140" t="s">
        <v>1488</v>
      </c>
      <c r="B2349" s="140">
        <v>4</v>
      </c>
      <c r="C2349" s="166" t="s">
        <v>697</v>
      </c>
      <c r="D2349" s="140" t="str">
        <f t="shared" ref="D2349:D2412" si="262">RIGHT(A2349,1)</f>
        <v>2</v>
      </c>
      <c r="E2349" s="166" t="s">
        <v>693</v>
      </c>
      <c r="F2349" s="140">
        <f t="shared" si="261"/>
        <v>2</v>
      </c>
      <c r="G2349" s="140" t="str">
        <f t="shared" si="257"/>
        <v>4.2.2</v>
      </c>
      <c r="H2349" s="166" t="s">
        <v>670</v>
      </c>
      <c r="I2349" s="166" t="s">
        <v>104</v>
      </c>
      <c r="J2349" s="166" t="s">
        <v>280</v>
      </c>
      <c r="K2349" s="166" t="s">
        <v>1303</v>
      </c>
      <c r="L2349" s="177">
        <f>1480/7</f>
        <v>211.42857142857142</v>
      </c>
      <c r="M2349" s="140"/>
      <c r="N2349" s="140"/>
      <c r="O2349" s="164">
        <f t="shared" si="258"/>
        <v>0</v>
      </c>
      <c r="P2349" s="166"/>
      <c r="Q2349" s="166"/>
      <c r="R2349" s="164">
        <f>$L2349*'Pivot Objective'!$C$9*P2349*Q2349</f>
        <v>0</v>
      </c>
      <c r="S2349" s="166">
        <f>135*2*29</f>
        <v>7830</v>
      </c>
      <c r="T2349" s="166">
        <v>1</v>
      </c>
      <c r="U2349" s="164">
        <f>($L2349*'Pivot Objective'!$C$9^2)*S2349*T2349</f>
        <v>2162509.0625530141</v>
      </c>
      <c r="V2349" s="166"/>
      <c r="W2349" s="166"/>
      <c r="X2349" s="164">
        <f>($L2349*'Pivot Objective'!$C$9^3)*V2349*W2349</f>
        <v>0</v>
      </c>
      <c r="Y2349" s="166"/>
      <c r="Z2349" s="166"/>
      <c r="AA2349" s="164">
        <f>($L2349*'Pivot Objective'!$C$9^4)*Y2349*Z2349</f>
        <v>0</v>
      </c>
      <c r="AB2349" s="166"/>
      <c r="AC2349" s="166"/>
      <c r="AD2349" s="164">
        <f>($L2349*'Pivot Objective'!$C$9^5)*AB2349*AC2349</f>
        <v>0</v>
      </c>
      <c r="AE2349" s="166"/>
      <c r="AF2349" s="166"/>
      <c r="AG2349" s="164">
        <f>($L2349*'Pivot Objective'!$C$9^6)*AE2349*AF2349</f>
        <v>0</v>
      </c>
      <c r="AH2349" s="166"/>
      <c r="AI2349" s="166"/>
      <c r="AJ2349" s="164">
        <f>($L2349*'Pivot Objective'!$C$9^7)*AH2349*AI2349</f>
        <v>0</v>
      </c>
      <c r="AK2349" s="185">
        <f t="shared" si="259"/>
        <v>2162509.0625530141</v>
      </c>
      <c r="AL2349" s="186">
        <f t="shared" si="260"/>
        <v>2099.5233617019553</v>
      </c>
    </row>
    <row r="2350" spans="1:38" customFormat="1" ht="57.6" x14ac:dyDescent="0.3">
      <c r="A2350" s="140" t="s">
        <v>1488</v>
      </c>
      <c r="B2350" s="140">
        <v>4</v>
      </c>
      <c r="C2350" s="166" t="s">
        <v>697</v>
      </c>
      <c r="D2350" s="140" t="str">
        <f t="shared" si="262"/>
        <v>2</v>
      </c>
      <c r="E2350" s="166" t="s">
        <v>693</v>
      </c>
      <c r="F2350" s="140">
        <f t="shared" si="261"/>
        <v>2</v>
      </c>
      <c r="G2350" s="140" t="str">
        <f t="shared" ref="G2350:G2413" si="263">B2350&amp;"."&amp;D2350&amp;"."&amp;F2350</f>
        <v>4.2.2</v>
      </c>
      <c r="H2350" s="166" t="s">
        <v>670</v>
      </c>
      <c r="I2350" s="166" t="s">
        <v>104</v>
      </c>
      <c r="J2350" s="166" t="s">
        <v>280</v>
      </c>
      <c r="K2350" s="166" t="s">
        <v>712</v>
      </c>
      <c r="L2350" s="177">
        <f>1480/7</f>
        <v>211.42857142857142</v>
      </c>
      <c r="M2350" s="140"/>
      <c r="N2350" s="140"/>
      <c r="O2350" s="164">
        <f t="shared" si="258"/>
        <v>0</v>
      </c>
      <c r="P2350" s="166"/>
      <c r="Q2350" s="166"/>
      <c r="R2350" s="164">
        <f>$L2350*'Pivot Objective'!$C$9*P2350*Q2350</f>
        <v>0</v>
      </c>
      <c r="S2350" s="166">
        <f>25*2*29</f>
        <v>1450</v>
      </c>
      <c r="T2350" s="166">
        <v>5</v>
      </c>
      <c r="U2350" s="164">
        <f>($L2350*'Pivot Objective'!$C$9^2)*S2350*T2350</f>
        <v>2002323.2060676059</v>
      </c>
      <c r="V2350" s="166"/>
      <c r="W2350" s="166"/>
      <c r="X2350" s="164">
        <f>($L2350*'Pivot Objective'!$C$9^3)*V2350*W2350</f>
        <v>0</v>
      </c>
      <c r="Y2350" s="166"/>
      <c r="Z2350" s="166"/>
      <c r="AA2350" s="164">
        <f>($L2350*'Pivot Objective'!$C$9^4)*Y2350*Z2350</f>
        <v>0</v>
      </c>
      <c r="AB2350" s="166"/>
      <c r="AC2350" s="166"/>
      <c r="AD2350" s="164">
        <f>($L2350*'Pivot Objective'!$C$9^5)*AB2350*AC2350</f>
        <v>0</v>
      </c>
      <c r="AE2350" s="166"/>
      <c r="AF2350" s="166"/>
      <c r="AG2350" s="164">
        <f>($L2350*'Pivot Objective'!$C$9^6)*AE2350*AF2350</f>
        <v>0</v>
      </c>
      <c r="AH2350" s="166"/>
      <c r="AI2350" s="166"/>
      <c r="AJ2350" s="164">
        <f>($L2350*'Pivot Objective'!$C$9^7)*AH2350*AI2350</f>
        <v>0</v>
      </c>
      <c r="AK2350" s="185">
        <f t="shared" si="259"/>
        <v>2002323.2060676059</v>
      </c>
      <c r="AL2350" s="186">
        <f t="shared" si="260"/>
        <v>1944.003112686996</v>
      </c>
    </row>
    <row r="2351" spans="1:38" customFormat="1" ht="57.6" x14ac:dyDescent="0.3">
      <c r="A2351" s="140" t="s">
        <v>1488</v>
      </c>
      <c r="B2351" s="140">
        <v>4</v>
      </c>
      <c r="C2351" s="166" t="s">
        <v>697</v>
      </c>
      <c r="D2351" s="140" t="str">
        <f t="shared" si="262"/>
        <v>2</v>
      </c>
      <c r="E2351" s="166" t="s">
        <v>693</v>
      </c>
      <c r="F2351" s="140">
        <f t="shared" si="261"/>
        <v>2</v>
      </c>
      <c r="G2351" s="140" t="str">
        <f t="shared" si="263"/>
        <v>4.2.2</v>
      </c>
      <c r="H2351" s="166" t="s">
        <v>670</v>
      </c>
      <c r="I2351" s="166" t="s">
        <v>104</v>
      </c>
      <c r="J2351" s="166" t="s">
        <v>529</v>
      </c>
      <c r="K2351" s="166" t="s">
        <v>709</v>
      </c>
      <c r="L2351" s="177">
        <v>35000</v>
      </c>
      <c r="M2351" s="140"/>
      <c r="N2351" s="140"/>
      <c r="O2351" s="164">
        <f t="shared" si="258"/>
        <v>0</v>
      </c>
      <c r="P2351" s="166">
        <v>30</v>
      </c>
      <c r="Q2351" s="166">
        <v>1</v>
      </c>
      <c r="R2351" s="164">
        <f>$L2351*'Pivot Objective'!$C$9*P2351*Q2351</f>
        <v>1200067.1518499998</v>
      </c>
      <c r="S2351" s="166">
        <v>30</v>
      </c>
      <c r="T2351" s="166">
        <v>1</v>
      </c>
      <c r="U2351" s="164">
        <f>($L2351*'Pivot Objective'!$C$9^2)*S2351*T2351</f>
        <v>1371582.0656660672</v>
      </c>
      <c r="V2351" s="166">
        <v>0</v>
      </c>
      <c r="W2351" s="166">
        <v>0</v>
      </c>
      <c r="X2351" s="164">
        <f>($L2351*'Pivot Objective'!$C$9^3)*V2351*W2351</f>
        <v>0</v>
      </c>
      <c r="Y2351" s="166">
        <v>0</v>
      </c>
      <c r="Z2351" s="166">
        <v>0</v>
      </c>
      <c r="AA2351" s="164">
        <f>($L2351*'Pivot Objective'!$C$9^4)*Y2351*Z2351</f>
        <v>0</v>
      </c>
      <c r="AB2351" s="166">
        <v>0</v>
      </c>
      <c r="AC2351" s="166">
        <v>0</v>
      </c>
      <c r="AD2351" s="164">
        <f>($L2351*'Pivot Objective'!$C$9^5)*AB2351*AC2351</f>
        <v>0</v>
      </c>
      <c r="AE2351" s="166">
        <v>0</v>
      </c>
      <c r="AF2351" s="166">
        <v>0</v>
      </c>
      <c r="AG2351" s="164">
        <f>($L2351*'Pivot Objective'!$C$9^6)*AE2351*AF2351</f>
        <v>0</v>
      </c>
      <c r="AH2351" s="166">
        <v>0</v>
      </c>
      <c r="AI2351" s="166">
        <v>0</v>
      </c>
      <c r="AJ2351" s="164">
        <f>($L2351*'Pivot Objective'!$C$9^7)*AH2351*AI2351</f>
        <v>0</v>
      </c>
      <c r="AK2351" s="185">
        <f t="shared" si="259"/>
        <v>2571649.217516067</v>
      </c>
      <c r="AL2351" s="186">
        <f t="shared" si="260"/>
        <v>2496.746813122395</v>
      </c>
    </row>
    <row r="2352" spans="1:38" customFormat="1" ht="57.6" x14ac:dyDescent="0.3">
      <c r="A2352" s="140" t="s">
        <v>1488</v>
      </c>
      <c r="B2352" s="140">
        <v>4</v>
      </c>
      <c r="C2352" s="166" t="s">
        <v>697</v>
      </c>
      <c r="D2352" s="140" t="str">
        <f t="shared" si="262"/>
        <v>2</v>
      </c>
      <c r="E2352" s="166" t="s">
        <v>693</v>
      </c>
      <c r="F2352" s="140">
        <f t="shared" si="261"/>
        <v>2</v>
      </c>
      <c r="G2352" s="140" t="str">
        <f t="shared" si="263"/>
        <v>4.2.2</v>
      </c>
      <c r="H2352" s="166" t="s">
        <v>670</v>
      </c>
      <c r="I2352" s="166" t="s">
        <v>104</v>
      </c>
      <c r="J2352" s="166" t="s">
        <v>530</v>
      </c>
      <c r="K2352" s="166" t="s">
        <v>718</v>
      </c>
      <c r="L2352" s="177">
        <v>0</v>
      </c>
      <c r="M2352" s="140"/>
      <c r="N2352" s="140"/>
      <c r="O2352" s="164">
        <f t="shared" si="258"/>
        <v>0</v>
      </c>
      <c r="P2352" s="166">
        <v>0</v>
      </c>
      <c r="Q2352" s="166">
        <v>0</v>
      </c>
      <c r="R2352" s="164">
        <f>$L2352*'Pivot Objective'!$C$9*P2352*Q2352</f>
        <v>0</v>
      </c>
      <c r="S2352" s="166">
        <v>0</v>
      </c>
      <c r="T2352" s="166">
        <v>0</v>
      </c>
      <c r="U2352" s="164">
        <f>($L2352*'Pivot Objective'!$C$9^2)*S2352*T2352</f>
        <v>0</v>
      </c>
      <c r="V2352" s="166">
        <v>0</v>
      </c>
      <c r="W2352" s="166">
        <v>0</v>
      </c>
      <c r="X2352" s="164">
        <f>($L2352*'Pivot Objective'!$C$9^3)*V2352*W2352</f>
        <v>0</v>
      </c>
      <c r="Y2352" s="166">
        <v>0</v>
      </c>
      <c r="Z2352" s="166">
        <v>0</v>
      </c>
      <c r="AA2352" s="164">
        <f>($L2352*'Pivot Objective'!$C$9^4)*Y2352*Z2352</f>
        <v>0</v>
      </c>
      <c r="AB2352" s="166">
        <v>0</v>
      </c>
      <c r="AC2352" s="166">
        <v>0</v>
      </c>
      <c r="AD2352" s="164">
        <f>($L2352*'Pivot Objective'!$C$9^5)*AB2352*AC2352</f>
        <v>0</v>
      </c>
      <c r="AE2352" s="166">
        <v>0</v>
      </c>
      <c r="AF2352" s="166">
        <v>0</v>
      </c>
      <c r="AG2352" s="164">
        <f>($L2352*'Pivot Objective'!$C$9^6)*AE2352*AF2352</f>
        <v>0</v>
      </c>
      <c r="AH2352" s="166">
        <v>0</v>
      </c>
      <c r="AI2352" s="166">
        <v>0</v>
      </c>
      <c r="AJ2352" s="164">
        <f>($L2352*'Pivot Objective'!$C$9^7)*AH2352*AI2352</f>
        <v>0</v>
      </c>
      <c r="AK2352" s="185">
        <f t="shared" si="259"/>
        <v>0</v>
      </c>
      <c r="AL2352" s="186">
        <f t="shared" si="260"/>
        <v>0</v>
      </c>
    </row>
    <row r="2353" spans="1:38" customFormat="1" ht="57.6" x14ac:dyDescent="0.3">
      <c r="A2353" s="140" t="s">
        <v>1488</v>
      </c>
      <c r="B2353" s="140">
        <v>4</v>
      </c>
      <c r="C2353" s="166" t="s">
        <v>697</v>
      </c>
      <c r="D2353" s="140" t="str">
        <f t="shared" si="262"/>
        <v>2</v>
      </c>
      <c r="E2353" s="166" t="s">
        <v>693</v>
      </c>
      <c r="F2353" s="140">
        <f t="shared" si="261"/>
        <v>2</v>
      </c>
      <c r="G2353" s="140" t="str">
        <f t="shared" si="263"/>
        <v>4.2.2</v>
      </c>
      <c r="H2353" s="166" t="s">
        <v>670</v>
      </c>
      <c r="I2353" s="166" t="s">
        <v>104</v>
      </c>
      <c r="J2353" s="166" t="s">
        <v>1400</v>
      </c>
      <c r="K2353" s="166" t="s">
        <v>841</v>
      </c>
      <c r="L2353" s="177">
        <v>391991.03749999998</v>
      </c>
      <c r="M2353" s="140"/>
      <c r="N2353" s="140"/>
      <c r="O2353" s="164">
        <f t="shared" si="258"/>
        <v>0</v>
      </c>
      <c r="P2353" s="166">
        <v>1</v>
      </c>
      <c r="Q2353" s="166">
        <v>4</v>
      </c>
      <c r="R2353" s="164">
        <f>$L2353*'Pivot Objective'!$C$9*P2353*Q2353</f>
        <v>1792059.3063746723</v>
      </c>
      <c r="S2353" s="166">
        <v>2</v>
      </c>
      <c r="T2353" s="166">
        <v>2</v>
      </c>
      <c r="U2353" s="164">
        <f>($L2353*'Pivot Objective'!$C$9^2)*S2353*T2353</f>
        <v>2048182.3883307995</v>
      </c>
      <c r="V2353" s="166">
        <v>0</v>
      </c>
      <c r="W2353" s="166">
        <v>0</v>
      </c>
      <c r="X2353" s="164">
        <f>($L2353*'Pivot Objective'!$C$9^3)*V2353*W2353</f>
        <v>0</v>
      </c>
      <c r="Y2353" s="166">
        <v>0</v>
      </c>
      <c r="Z2353" s="166">
        <v>0</v>
      </c>
      <c r="AA2353" s="164">
        <f>($L2353*'Pivot Objective'!$C$9^4)*Y2353*Z2353</f>
        <v>0</v>
      </c>
      <c r="AB2353" s="166">
        <v>0</v>
      </c>
      <c r="AC2353" s="166">
        <v>0</v>
      </c>
      <c r="AD2353" s="164">
        <f>($L2353*'Pivot Objective'!$C$9^5)*AB2353*AC2353</f>
        <v>0</v>
      </c>
      <c r="AE2353" s="166">
        <v>0</v>
      </c>
      <c r="AF2353" s="166">
        <v>0</v>
      </c>
      <c r="AG2353" s="164">
        <f>($L2353*'Pivot Objective'!$C$9^6)*AE2353*AF2353</f>
        <v>0</v>
      </c>
      <c r="AH2353" s="166">
        <v>0</v>
      </c>
      <c r="AI2353" s="166">
        <v>0</v>
      </c>
      <c r="AJ2353" s="164">
        <f>($L2353*'Pivot Objective'!$C$9^7)*AH2353*AI2353</f>
        <v>0</v>
      </c>
      <c r="AK2353" s="185">
        <f t="shared" si="259"/>
        <v>3840241.6947054719</v>
      </c>
      <c r="AL2353" s="186">
        <f t="shared" si="260"/>
        <v>3728.3899948596813</v>
      </c>
    </row>
    <row r="2354" spans="1:38" customFormat="1" ht="57.6" x14ac:dyDescent="0.3">
      <c r="A2354" s="140" t="s">
        <v>1488</v>
      </c>
      <c r="B2354" s="140">
        <v>4</v>
      </c>
      <c r="C2354" s="166" t="s">
        <v>697</v>
      </c>
      <c r="D2354" s="140" t="str">
        <f t="shared" si="262"/>
        <v>2</v>
      </c>
      <c r="E2354" s="166" t="s">
        <v>693</v>
      </c>
      <c r="F2354" s="140">
        <f t="shared" si="261"/>
        <v>2</v>
      </c>
      <c r="G2354" s="140" t="str">
        <f t="shared" si="263"/>
        <v>4.2.2</v>
      </c>
      <c r="H2354" s="166" t="s">
        <v>670</v>
      </c>
      <c r="I2354" s="166" t="s">
        <v>104</v>
      </c>
      <c r="J2354" s="166" t="s">
        <v>1400</v>
      </c>
      <c r="K2354" s="166" t="s">
        <v>741</v>
      </c>
      <c r="L2354" s="177">
        <f>42000*1022</f>
        <v>42924000</v>
      </c>
      <c r="M2354" s="140"/>
      <c r="N2354" s="140"/>
      <c r="O2354" s="164">
        <f t="shared" si="258"/>
        <v>0</v>
      </c>
      <c r="P2354" s="166">
        <v>0</v>
      </c>
      <c r="Q2354" s="166">
        <v>0</v>
      </c>
      <c r="R2354" s="164">
        <f>$L2354*'Pivot Objective'!$C$9*P2354*Q2354</f>
        <v>0</v>
      </c>
      <c r="S2354" s="140"/>
      <c r="T2354" s="140"/>
      <c r="U2354" s="164">
        <f>($L2354*'Pivot Objective'!$C$9^2)*S2354*T2354</f>
        <v>0</v>
      </c>
      <c r="V2354" s="166">
        <v>1</v>
      </c>
      <c r="W2354" s="166">
        <v>1</v>
      </c>
      <c r="X2354" s="164">
        <f>($L2354*'Pivot Objective'!$C$9^3)*V2354*W2354</f>
        <v>64083900.034286104</v>
      </c>
      <c r="Y2354" s="166">
        <v>0</v>
      </c>
      <c r="Z2354" s="166">
        <v>0</v>
      </c>
      <c r="AA2354" s="164">
        <f>($L2354*'Pivot Objective'!$C$9^4)*Y2354*Z2354</f>
        <v>0</v>
      </c>
      <c r="AB2354" s="166">
        <v>0</v>
      </c>
      <c r="AC2354" s="166">
        <v>0</v>
      </c>
      <c r="AD2354" s="164">
        <f>($L2354*'Pivot Objective'!$C$9^5)*AB2354*AC2354</f>
        <v>0</v>
      </c>
      <c r="AE2354" s="166">
        <v>0</v>
      </c>
      <c r="AF2354" s="166">
        <v>0</v>
      </c>
      <c r="AG2354" s="164">
        <f>($L2354*'Pivot Objective'!$C$9^6)*AE2354*AF2354</f>
        <v>0</v>
      </c>
      <c r="AH2354" s="166">
        <v>0</v>
      </c>
      <c r="AI2354" s="166">
        <v>0</v>
      </c>
      <c r="AJ2354" s="164">
        <f>($L2354*'Pivot Objective'!$C$9^7)*AH2354*AI2354</f>
        <v>0</v>
      </c>
      <c r="AK2354" s="185">
        <f t="shared" si="259"/>
        <v>64083900.034286104</v>
      </c>
      <c r="AL2354" s="186">
        <f t="shared" si="260"/>
        <v>62217.378674064181</v>
      </c>
    </row>
    <row r="2355" spans="1:38" customFormat="1" ht="57.6" x14ac:dyDescent="0.3">
      <c r="A2355" s="140" t="s">
        <v>1488</v>
      </c>
      <c r="B2355" s="140">
        <v>4</v>
      </c>
      <c r="C2355" s="166" t="s">
        <v>697</v>
      </c>
      <c r="D2355" s="140" t="str">
        <f t="shared" si="262"/>
        <v>2</v>
      </c>
      <c r="E2355" s="166" t="s">
        <v>693</v>
      </c>
      <c r="F2355" s="140">
        <f t="shared" si="261"/>
        <v>2</v>
      </c>
      <c r="G2355" s="140" t="str">
        <f t="shared" si="263"/>
        <v>4.2.2</v>
      </c>
      <c r="H2355" s="166" t="s">
        <v>670</v>
      </c>
      <c r="I2355" s="166" t="s">
        <v>104</v>
      </c>
      <c r="J2355" s="166" t="s">
        <v>532</v>
      </c>
      <c r="K2355" s="166" t="s">
        <v>716</v>
      </c>
      <c r="L2355" s="177">
        <v>39000</v>
      </c>
      <c r="M2355" s="140"/>
      <c r="N2355" s="140"/>
      <c r="O2355" s="164">
        <f t="shared" si="258"/>
        <v>0</v>
      </c>
      <c r="P2355" s="166">
        <v>0</v>
      </c>
      <c r="Q2355" s="166">
        <v>0</v>
      </c>
      <c r="R2355" s="164">
        <f>$L2355*'Pivot Objective'!$C$9*P2355*Q2355</f>
        <v>0</v>
      </c>
      <c r="S2355" s="140"/>
      <c r="T2355" s="140"/>
      <c r="U2355" s="164">
        <f>($L2355*'Pivot Objective'!$C$9^2)*S2355*T2355</f>
        <v>0</v>
      </c>
      <c r="V2355" s="166">
        <v>30</v>
      </c>
      <c r="W2355" s="166">
        <v>6</v>
      </c>
      <c r="X2355" s="164">
        <f>($L2355*'Pivot Objective'!$C$9^3)*V2355*W2355</f>
        <v>10480593.100379471</v>
      </c>
      <c r="Y2355" s="166">
        <v>30</v>
      </c>
      <c r="Z2355" s="166">
        <v>6</v>
      </c>
      <c r="AA2355" s="164">
        <f>($L2355*'Pivot Objective'!$C$9^4)*Y2355*Z2355</f>
        <v>11978490.963496335</v>
      </c>
      <c r="AB2355" s="166">
        <v>30</v>
      </c>
      <c r="AC2355" s="166">
        <v>6</v>
      </c>
      <c r="AD2355" s="164">
        <f>($L2355*'Pivot Objective'!$C$9^5)*AB2355*AC2355</f>
        <v>13690470.032403817</v>
      </c>
      <c r="AE2355" s="166">
        <v>0</v>
      </c>
      <c r="AF2355" s="166">
        <v>0</v>
      </c>
      <c r="AG2355" s="164">
        <f>($L2355*'Pivot Objective'!$C$9^6)*AE2355*AF2355</f>
        <v>0</v>
      </c>
      <c r="AH2355" s="166">
        <v>0</v>
      </c>
      <c r="AI2355" s="166">
        <v>0</v>
      </c>
      <c r="AJ2355" s="164">
        <f>($L2355*'Pivot Objective'!$C$9^7)*AH2355*AI2355</f>
        <v>0</v>
      </c>
      <c r="AK2355" s="185">
        <f t="shared" si="259"/>
        <v>36149554.096279621</v>
      </c>
      <c r="AL2355" s="186">
        <f t="shared" si="260"/>
        <v>35096.654462407401</v>
      </c>
    </row>
    <row r="2356" spans="1:38" customFormat="1" ht="57.6" x14ac:dyDescent="0.3">
      <c r="A2356" s="140" t="s">
        <v>1488</v>
      </c>
      <c r="B2356" s="140">
        <v>4</v>
      </c>
      <c r="C2356" s="166" t="s">
        <v>697</v>
      </c>
      <c r="D2356" s="140" t="str">
        <f t="shared" si="262"/>
        <v>2</v>
      </c>
      <c r="E2356" s="166" t="s">
        <v>693</v>
      </c>
      <c r="F2356" s="140">
        <f t="shared" si="261"/>
        <v>2</v>
      </c>
      <c r="G2356" s="140" t="str">
        <f t="shared" si="263"/>
        <v>4.2.2</v>
      </c>
      <c r="H2356" s="166" t="s">
        <v>670</v>
      </c>
      <c r="I2356" s="166" t="s">
        <v>104</v>
      </c>
      <c r="J2356" s="166" t="s">
        <v>532</v>
      </c>
      <c r="K2356" s="166" t="s">
        <v>709</v>
      </c>
      <c r="L2356" s="177">
        <v>35000</v>
      </c>
      <c r="M2356" s="140"/>
      <c r="N2356" s="140"/>
      <c r="O2356" s="164">
        <f t="shared" si="258"/>
        <v>0</v>
      </c>
      <c r="P2356" s="166">
        <v>0</v>
      </c>
      <c r="Q2356" s="166">
        <v>0</v>
      </c>
      <c r="R2356" s="164">
        <f>$L2356*'Pivot Objective'!$C$9*P2356*Q2356</f>
        <v>0</v>
      </c>
      <c r="S2356" s="140"/>
      <c r="T2356" s="140"/>
      <c r="U2356" s="164">
        <f>($L2356*'Pivot Objective'!$C$9^2)*S2356*T2356</f>
        <v>0</v>
      </c>
      <c r="V2356" s="166">
        <v>30</v>
      </c>
      <c r="W2356" s="166">
        <v>5</v>
      </c>
      <c r="X2356" s="164">
        <f>($L2356*'Pivot Objective'!$C$9^3)*V2356*W2356</f>
        <v>7838050.3955829386</v>
      </c>
      <c r="Y2356" s="166">
        <v>30</v>
      </c>
      <c r="Z2356" s="166">
        <v>5</v>
      </c>
      <c r="AA2356" s="164">
        <f>($L2356*'Pivot Objective'!$C$9^4)*Y2356*Z2356</f>
        <v>8958273.1564609352</v>
      </c>
      <c r="AB2356" s="166">
        <v>30</v>
      </c>
      <c r="AC2356" s="166">
        <v>5</v>
      </c>
      <c r="AD2356" s="164">
        <f>($L2356*'Pivot Objective'!$C$9^5)*AB2356*AC2356</f>
        <v>10238599.383207982</v>
      </c>
      <c r="AE2356" s="166">
        <v>0</v>
      </c>
      <c r="AF2356" s="166">
        <v>0</v>
      </c>
      <c r="AG2356" s="164">
        <f>($L2356*'Pivot Objective'!$C$9^6)*AE2356*AF2356</f>
        <v>0</v>
      </c>
      <c r="AH2356" s="166">
        <v>0</v>
      </c>
      <c r="AI2356" s="166">
        <v>0</v>
      </c>
      <c r="AJ2356" s="164">
        <f>($L2356*'Pivot Objective'!$C$9^7)*AH2356*AI2356</f>
        <v>0</v>
      </c>
      <c r="AK2356" s="185">
        <f t="shared" si="259"/>
        <v>27034922.935251854</v>
      </c>
      <c r="AL2356" s="186">
        <f t="shared" si="260"/>
        <v>26247.497995390149</v>
      </c>
    </row>
    <row r="2357" spans="1:38" customFormat="1" ht="57.6" x14ac:dyDescent="0.3">
      <c r="A2357" s="140" t="s">
        <v>1488</v>
      </c>
      <c r="B2357" s="140">
        <v>4</v>
      </c>
      <c r="C2357" s="166" t="s">
        <v>697</v>
      </c>
      <c r="D2357" s="140" t="str">
        <f t="shared" si="262"/>
        <v>2</v>
      </c>
      <c r="E2357" s="166" t="s">
        <v>693</v>
      </c>
      <c r="F2357" s="140">
        <f t="shared" si="261"/>
        <v>2</v>
      </c>
      <c r="G2357" s="140" t="str">
        <f t="shared" si="263"/>
        <v>4.2.2</v>
      </c>
      <c r="H2357" s="166" t="s">
        <v>670</v>
      </c>
      <c r="I2357" s="166" t="s">
        <v>104</v>
      </c>
      <c r="J2357" s="166" t="s">
        <v>532</v>
      </c>
      <c r="K2357" s="166" t="s">
        <v>712</v>
      </c>
      <c r="L2357" s="177">
        <f>1480/7</f>
        <v>211.42857142857142</v>
      </c>
      <c r="M2357" s="140"/>
      <c r="N2357" s="140"/>
      <c r="O2357" s="164">
        <f t="shared" si="258"/>
        <v>0</v>
      </c>
      <c r="P2357" s="166">
        <v>0</v>
      </c>
      <c r="Q2357" s="166">
        <v>0</v>
      </c>
      <c r="R2357" s="164">
        <f>$L2357*'Pivot Objective'!$C$9*P2357*Q2357</f>
        <v>0</v>
      </c>
      <c r="S2357" s="140"/>
      <c r="T2357" s="140"/>
      <c r="U2357" s="164">
        <f>($L2357*'Pivot Objective'!$C$9^2)*S2357*T2357</f>
        <v>0</v>
      </c>
      <c r="V2357" s="166">
        <f>25*2*10</f>
        <v>500</v>
      </c>
      <c r="W2357" s="166">
        <v>5</v>
      </c>
      <c r="X2357" s="164">
        <f>($L2357*'Pivot Objective'!$C$9^3)*V2357*W2357</f>
        <v>789137.04663011886</v>
      </c>
      <c r="Y2357" s="166">
        <f>25*2*10</f>
        <v>500</v>
      </c>
      <c r="Z2357" s="166">
        <v>5</v>
      </c>
      <c r="AA2357" s="164">
        <f>($L2357*'Pivot Objective'!$C$9^4)*Y2357*Z2357</f>
        <v>901921.3790178356</v>
      </c>
      <c r="AB2357" s="166">
        <f>25*2*10</f>
        <v>500</v>
      </c>
      <c r="AC2357" s="166">
        <v>5</v>
      </c>
      <c r="AD2357" s="164">
        <f>($L2357*'Pivot Objective'!$C$9^5)*AB2357*AC2357</f>
        <v>1030824.9719148173</v>
      </c>
      <c r="AE2357" s="166">
        <v>0</v>
      </c>
      <c r="AF2357" s="166">
        <v>0</v>
      </c>
      <c r="AG2357" s="164">
        <f>($L2357*'Pivot Objective'!$C$9^6)*AE2357*AF2357</f>
        <v>0</v>
      </c>
      <c r="AH2357" s="166">
        <v>0</v>
      </c>
      <c r="AI2357" s="166">
        <v>0</v>
      </c>
      <c r="AJ2357" s="164">
        <f>($L2357*'Pivot Objective'!$C$9^7)*AH2357*AI2357</f>
        <v>0</v>
      </c>
      <c r="AK2357" s="185">
        <f t="shared" si="259"/>
        <v>2721883.397562772</v>
      </c>
      <c r="AL2357" s="186">
        <f t="shared" si="260"/>
        <v>2642.6052403522058</v>
      </c>
    </row>
    <row r="2358" spans="1:38" customFormat="1" ht="57.6" x14ac:dyDescent="0.3">
      <c r="A2358" s="140" t="s">
        <v>1488</v>
      </c>
      <c r="B2358" s="140">
        <v>4</v>
      </c>
      <c r="C2358" s="166" t="s">
        <v>697</v>
      </c>
      <c r="D2358" s="140" t="str">
        <f t="shared" si="262"/>
        <v>2</v>
      </c>
      <c r="E2358" s="166" t="s">
        <v>693</v>
      </c>
      <c r="F2358" s="140">
        <f t="shared" si="261"/>
        <v>2</v>
      </c>
      <c r="G2358" s="140" t="str">
        <f t="shared" si="263"/>
        <v>4.2.2</v>
      </c>
      <c r="H2358" s="166" t="s">
        <v>670</v>
      </c>
      <c r="I2358" s="166" t="s">
        <v>104</v>
      </c>
      <c r="J2358" s="166" t="s">
        <v>532</v>
      </c>
      <c r="K2358" s="166" t="s">
        <v>1303</v>
      </c>
      <c r="L2358" s="177">
        <f>1480/7</f>
        <v>211.42857142857142</v>
      </c>
      <c r="M2358" s="140"/>
      <c r="N2358" s="140"/>
      <c r="O2358" s="164">
        <f t="shared" si="258"/>
        <v>0</v>
      </c>
      <c r="P2358" s="166"/>
      <c r="Q2358" s="166"/>
      <c r="R2358" s="164">
        <f>$L2358*'Pivot Objective'!$C$9*P2358*Q2358</f>
        <v>0</v>
      </c>
      <c r="S2358" s="140"/>
      <c r="T2358" s="140"/>
      <c r="U2358" s="164">
        <f>($L2358*'Pivot Objective'!$C$9^2)*S2358*T2358</f>
        <v>0</v>
      </c>
      <c r="V2358" s="166">
        <f>135*2*10</f>
        <v>2700</v>
      </c>
      <c r="W2358" s="166">
        <v>1</v>
      </c>
      <c r="X2358" s="164">
        <f>($L2358*'Pivot Objective'!$C$9^3)*V2358*W2358</f>
        <v>852268.01036052837</v>
      </c>
      <c r="Y2358" s="166">
        <f>135*2*10</f>
        <v>2700</v>
      </c>
      <c r="Z2358" s="166">
        <v>1</v>
      </c>
      <c r="AA2358" s="164">
        <f>($L2358*'Pivot Objective'!$C$9^4)*Y2358*Z2358</f>
        <v>974075.08933926234</v>
      </c>
      <c r="AB2358" s="166">
        <f>135*2*10</f>
        <v>2700</v>
      </c>
      <c r="AC2358" s="166">
        <v>1</v>
      </c>
      <c r="AD2358" s="164">
        <f>($L2358*'Pivot Objective'!$C$9^5)*AB2358*AC2358</f>
        <v>1113290.9696680028</v>
      </c>
      <c r="AE2358" s="166"/>
      <c r="AF2358" s="166"/>
      <c r="AG2358" s="164">
        <f>($L2358*'Pivot Objective'!$C$9^6)*AE2358*AF2358</f>
        <v>0</v>
      </c>
      <c r="AH2358" s="166"/>
      <c r="AI2358" s="166"/>
      <c r="AJ2358" s="164">
        <f>($L2358*'Pivot Objective'!$C$9^7)*AH2358*AI2358</f>
        <v>0</v>
      </c>
      <c r="AK2358" s="185">
        <f t="shared" si="259"/>
        <v>2939634.0693677934</v>
      </c>
      <c r="AL2358" s="186">
        <f t="shared" si="260"/>
        <v>2854.013659580382</v>
      </c>
    </row>
    <row r="2359" spans="1:38" customFormat="1" ht="57.6" x14ac:dyDescent="0.3">
      <c r="A2359" s="140" t="s">
        <v>1488</v>
      </c>
      <c r="B2359" s="140">
        <v>4</v>
      </c>
      <c r="C2359" s="166" t="s">
        <v>697</v>
      </c>
      <c r="D2359" s="140" t="str">
        <f t="shared" si="262"/>
        <v>2</v>
      </c>
      <c r="E2359" s="166" t="s">
        <v>693</v>
      </c>
      <c r="F2359" s="140">
        <f t="shared" si="261"/>
        <v>2</v>
      </c>
      <c r="G2359" s="140" t="str">
        <f t="shared" si="263"/>
        <v>4.2.2</v>
      </c>
      <c r="H2359" s="166" t="s">
        <v>670</v>
      </c>
      <c r="I2359" s="166" t="s">
        <v>104</v>
      </c>
      <c r="J2359" s="166" t="s">
        <v>533</v>
      </c>
      <c r="K2359" s="166" t="s">
        <v>718</v>
      </c>
      <c r="L2359" s="177">
        <v>0</v>
      </c>
      <c r="M2359" s="166">
        <v>0</v>
      </c>
      <c r="N2359" s="166">
        <v>0</v>
      </c>
      <c r="O2359" s="164">
        <f t="shared" si="258"/>
        <v>0</v>
      </c>
      <c r="P2359" s="166">
        <v>0</v>
      </c>
      <c r="Q2359" s="166">
        <v>0</v>
      </c>
      <c r="R2359" s="164">
        <f>$L2359*'Pivot Objective'!$C$9*P2359*Q2359</f>
        <v>0</v>
      </c>
      <c r="S2359" s="166">
        <v>0</v>
      </c>
      <c r="T2359" s="166">
        <v>0</v>
      </c>
      <c r="U2359" s="164">
        <f>($L2359*'Pivot Objective'!$C$9^2)*S2359*T2359</f>
        <v>0</v>
      </c>
      <c r="V2359" s="166">
        <v>0</v>
      </c>
      <c r="W2359" s="166">
        <v>0</v>
      </c>
      <c r="X2359" s="164">
        <f>($L2359*'Pivot Objective'!$C$9^3)*V2359*W2359</f>
        <v>0</v>
      </c>
      <c r="Y2359" s="166">
        <v>0</v>
      </c>
      <c r="Z2359" s="166">
        <v>0</v>
      </c>
      <c r="AA2359" s="164">
        <f>($L2359*'Pivot Objective'!$C$9^4)*Y2359*Z2359</f>
        <v>0</v>
      </c>
      <c r="AB2359" s="166">
        <v>0</v>
      </c>
      <c r="AC2359" s="166">
        <v>0</v>
      </c>
      <c r="AD2359" s="164">
        <f>($L2359*'Pivot Objective'!$C$9^5)*AB2359*AC2359</f>
        <v>0</v>
      </c>
      <c r="AE2359" s="166">
        <v>0</v>
      </c>
      <c r="AF2359" s="166">
        <v>0</v>
      </c>
      <c r="AG2359" s="164">
        <f>($L2359*'Pivot Objective'!$C$9^6)*AE2359*AF2359</f>
        <v>0</v>
      </c>
      <c r="AH2359" s="166">
        <v>0</v>
      </c>
      <c r="AI2359" s="166">
        <v>0</v>
      </c>
      <c r="AJ2359" s="164">
        <f>($L2359*'Pivot Objective'!$C$9^7)*AH2359*AI2359</f>
        <v>0</v>
      </c>
      <c r="AK2359" s="185">
        <f t="shared" si="259"/>
        <v>0</v>
      </c>
      <c r="AL2359" s="186">
        <f t="shared" si="260"/>
        <v>0</v>
      </c>
    </row>
    <row r="2360" spans="1:38" customFormat="1" ht="57.6" x14ac:dyDescent="0.3">
      <c r="A2360" s="140" t="s">
        <v>1488</v>
      </c>
      <c r="B2360" s="140">
        <v>4</v>
      </c>
      <c r="C2360" s="166" t="s">
        <v>697</v>
      </c>
      <c r="D2360" s="140" t="str">
        <f t="shared" si="262"/>
        <v>2</v>
      </c>
      <c r="E2360" s="166" t="s">
        <v>693</v>
      </c>
      <c r="F2360" s="140">
        <f t="shared" si="261"/>
        <v>2</v>
      </c>
      <c r="G2360" s="140" t="str">
        <f t="shared" si="263"/>
        <v>4.2.2</v>
      </c>
      <c r="H2360" s="166" t="s">
        <v>670</v>
      </c>
      <c r="I2360" s="166" t="s">
        <v>105</v>
      </c>
      <c r="J2360" s="166" t="s">
        <v>534</v>
      </c>
      <c r="K2360" s="166" t="s">
        <v>718</v>
      </c>
      <c r="L2360" s="177">
        <v>0</v>
      </c>
      <c r="M2360" s="166">
        <v>0</v>
      </c>
      <c r="N2360" s="166">
        <v>0</v>
      </c>
      <c r="O2360" s="164">
        <f t="shared" si="258"/>
        <v>0</v>
      </c>
      <c r="P2360" s="166">
        <v>0</v>
      </c>
      <c r="Q2360" s="166">
        <v>0</v>
      </c>
      <c r="R2360" s="164">
        <f>$L2360*'Pivot Objective'!$C$9*P2360*Q2360</f>
        <v>0</v>
      </c>
      <c r="S2360" s="166">
        <v>0</v>
      </c>
      <c r="T2360" s="166">
        <v>0</v>
      </c>
      <c r="U2360" s="164">
        <f>($L2360*'Pivot Objective'!$C$9^2)*S2360*T2360</f>
        <v>0</v>
      </c>
      <c r="V2360" s="166">
        <v>0</v>
      </c>
      <c r="W2360" s="166">
        <v>0</v>
      </c>
      <c r="X2360" s="164">
        <f>($L2360*'Pivot Objective'!$C$9^3)*V2360*W2360</f>
        <v>0</v>
      </c>
      <c r="Y2360" s="166">
        <v>0</v>
      </c>
      <c r="Z2360" s="166">
        <v>0</v>
      </c>
      <c r="AA2360" s="164">
        <f>($L2360*'Pivot Objective'!$C$9^4)*Y2360*Z2360</f>
        <v>0</v>
      </c>
      <c r="AB2360" s="166">
        <v>0</v>
      </c>
      <c r="AC2360" s="166">
        <v>0</v>
      </c>
      <c r="AD2360" s="164">
        <f>($L2360*'Pivot Objective'!$C$9^5)*AB2360*AC2360</f>
        <v>0</v>
      </c>
      <c r="AE2360" s="166">
        <v>0</v>
      </c>
      <c r="AF2360" s="166">
        <v>0</v>
      </c>
      <c r="AG2360" s="164">
        <f>($L2360*'Pivot Objective'!$C$9^6)*AE2360*AF2360</f>
        <v>0</v>
      </c>
      <c r="AH2360" s="166">
        <v>0</v>
      </c>
      <c r="AI2360" s="166">
        <v>0</v>
      </c>
      <c r="AJ2360" s="164">
        <f>($L2360*'Pivot Objective'!$C$9^7)*AH2360*AI2360</f>
        <v>0</v>
      </c>
      <c r="AK2360" s="185">
        <f t="shared" si="259"/>
        <v>0</v>
      </c>
      <c r="AL2360" s="186">
        <f t="shared" si="260"/>
        <v>0</v>
      </c>
    </row>
    <row r="2361" spans="1:38" customFormat="1" ht="57.6" x14ac:dyDescent="0.3">
      <c r="A2361" s="140" t="s">
        <v>1488</v>
      </c>
      <c r="B2361" s="140">
        <v>4</v>
      </c>
      <c r="C2361" s="166" t="s">
        <v>697</v>
      </c>
      <c r="D2361" s="140" t="str">
        <f t="shared" si="262"/>
        <v>2</v>
      </c>
      <c r="E2361" s="166" t="s">
        <v>693</v>
      </c>
      <c r="F2361" s="140">
        <f t="shared" si="261"/>
        <v>2</v>
      </c>
      <c r="G2361" s="140" t="str">
        <f t="shared" si="263"/>
        <v>4.2.2</v>
      </c>
      <c r="H2361" s="166" t="s">
        <v>670</v>
      </c>
      <c r="I2361" s="166" t="s">
        <v>105</v>
      </c>
      <c r="J2361" s="166" t="s">
        <v>535</v>
      </c>
      <c r="K2361" s="166" t="s">
        <v>709</v>
      </c>
      <c r="L2361" s="177">
        <v>35000</v>
      </c>
      <c r="M2361" s="166">
        <v>30</v>
      </c>
      <c r="N2361" s="166">
        <v>2</v>
      </c>
      <c r="O2361" s="164">
        <f t="shared" si="258"/>
        <v>2100000</v>
      </c>
      <c r="P2361" s="166">
        <v>30</v>
      </c>
      <c r="Q2361" s="166">
        <v>2</v>
      </c>
      <c r="R2361" s="164">
        <f>$L2361*'Pivot Objective'!$C$9*P2361*Q2361</f>
        <v>2400134.3036999996</v>
      </c>
      <c r="S2361" s="166">
        <v>30</v>
      </c>
      <c r="T2361" s="166">
        <v>2</v>
      </c>
      <c r="U2361" s="164">
        <f>($L2361*'Pivot Objective'!$C$9^2)*S2361*T2361</f>
        <v>2743164.1313321344</v>
      </c>
      <c r="V2361" s="166">
        <v>30</v>
      </c>
      <c r="W2361" s="166">
        <v>2</v>
      </c>
      <c r="X2361" s="164">
        <f>($L2361*'Pivot Objective'!$C$9^3)*V2361*W2361</f>
        <v>3135220.1582331755</v>
      </c>
      <c r="Y2361" s="166">
        <v>30</v>
      </c>
      <c r="Z2361" s="166">
        <v>2</v>
      </c>
      <c r="AA2361" s="164">
        <f>($L2361*'Pivot Objective'!$C$9^4)*Y2361*Z2361</f>
        <v>3583309.2625843743</v>
      </c>
      <c r="AB2361" s="166">
        <v>30</v>
      </c>
      <c r="AC2361" s="166">
        <v>2</v>
      </c>
      <c r="AD2361" s="164">
        <f>($L2361*'Pivot Objective'!$C$9^5)*AB2361*AC2361</f>
        <v>4095439.7532831929</v>
      </c>
      <c r="AE2361" s="166">
        <v>30</v>
      </c>
      <c r="AF2361" s="166">
        <v>2</v>
      </c>
      <c r="AG2361" s="164">
        <f>($L2361*'Pivot Objective'!$C$9^6)*AE2361*AF2361</f>
        <v>4680764.4955198364</v>
      </c>
      <c r="AH2361" s="166">
        <v>30</v>
      </c>
      <c r="AI2361" s="166">
        <v>2</v>
      </c>
      <c r="AJ2361" s="164">
        <f>($L2361*'Pivot Objective'!$C$9^7)*AH2361*AI2361</f>
        <v>5349744.4920181828</v>
      </c>
      <c r="AK2361" s="185">
        <f t="shared" si="259"/>
        <v>28087776.596670892</v>
      </c>
      <c r="AL2361" s="186">
        <f t="shared" si="260"/>
        <v>27269.686016185333</v>
      </c>
    </row>
    <row r="2362" spans="1:38" customFormat="1" ht="57.6" x14ac:dyDescent="0.3">
      <c r="A2362" s="140" t="s">
        <v>1488</v>
      </c>
      <c r="B2362" s="140">
        <v>4</v>
      </c>
      <c r="C2362" s="166" t="s">
        <v>697</v>
      </c>
      <c r="D2362" s="140" t="str">
        <f t="shared" si="262"/>
        <v>2</v>
      </c>
      <c r="E2362" s="166" t="s">
        <v>693</v>
      </c>
      <c r="F2362" s="140">
        <f t="shared" si="261"/>
        <v>2</v>
      </c>
      <c r="G2362" s="140" t="str">
        <f t="shared" si="263"/>
        <v>4.2.2</v>
      </c>
      <c r="H2362" s="166" t="s">
        <v>670</v>
      </c>
      <c r="I2362" s="166" t="s">
        <v>105</v>
      </c>
      <c r="J2362" s="166" t="s">
        <v>536</v>
      </c>
      <c r="K2362" s="166" t="s">
        <v>709</v>
      </c>
      <c r="L2362" s="177">
        <v>35000</v>
      </c>
      <c r="M2362" s="166">
        <v>30</v>
      </c>
      <c r="N2362" s="166">
        <v>2</v>
      </c>
      <c r="O2362" s="164">
        <f t="shared" si="258"/>
        <v>2100000</v>
      </c>
      <c r="P2362" s="166">
        <v>30</v>
      </c>
      <c r="Q2362" s="166">
        <v>2</v>
      </c>
      <c r="R2362" s="164">
        <f>$L2362*'Pivot Objective'!$C$9*P2362*Q2362</f>
        <v>2400134.3036999996</v>
      </c>
      <c r="S2362" s="166">
        <v>30</v>
      </c>
      <c r="T2362" s="166">
        <v>2</v>
      </c>
      <c r="U2362" s="164">
        <f>($L2362*'Pivot Objective'!$C$9^2)*S2362*T2362</f>
        <v>2743164.1313321344</v>
      </c>
      <c r="V2362" s="166">
        <v>30</v>
      </c>
      <c r="W2362" s="166">
        <v>2</v>
      </c>
      <c r="X2362" s="164">
        <f>($L2362*'Pivot Objective'!$C$9^3)*V2362*W2362</f>
        <v>3135220.1582331755</v>
      </c>
      <c r="Y2362" s="166">
        <v>30</v>
      </c>
      <c r="Z2362" s="166">
        <v>2</v>
      </c>
      <c r="AA2362" s="164">
        <f>($L2362*'Pivot Objective'!$C$9^4)*Y2362*Z2362</f>
        <v>3583309.2625843743</v>
      </c>
      <c r="AB2362" s="166">
        <v>30</v>
      </c>
      <c r="AC2362" s="166">
        <v>2</v>
      </c>
      <c r="AD2362" s="164">
        <f>($L2362*'Pivot Objective'!$C$9^5)*AB2362*AC2362</f>
        <v>4095439.7532831929</v>
      </c>
      <c r="AE2362" s="166">
        <v>30</v>
      </c>
      <c r="AF2362" s="166">
        <v>2</v>
      </c>
      <c r="AG2362" s="164">
        <f>($L2362*'Pivot Objective'!$C$9^6)*AE2362*AF2362</f>
        <v>4680764.4955198364</v>
      </c>
      <c r="AH2362" s="166">
        <v>30</v>
      </c>
      <c r="AI2362" s="166">
        <v>2</v>
      </c>
      <c r="AJ2362" s="164">
        <f>($L2362*'Pivot Objective'!$C$9^7)*AH2362*AI2362</f>
        <v>5349744.4920181828</v>
      </c>
      <c r="AK2362" s="185">
        <f t="shared" si="259"/>
        <v>28087776.596670892</v>
      </c>
      <c r="AL2362" s="186">
        <f t="shared" si="260"/>
        <v>27269.686016185333</v>
      </c>
    </row>
    <row r="2363" spans="1:38" customFormat="1" ht="57.6" x14ac:dyDescent="0.3">
      <c r="A2363" s="140" t="s">
        <v>1488</v>
      </c>
      <c r="B2363" s="140">
        <v>4</v>
      </c>
      <c r="C2363" s="166" t="s">
        <v>697</v>
      </c>
      <c r="D2363" s="140" t="str">
        <f t="shared" si="262"/>
        <v>2</v>
      </c>
      <c r="E2363" s="166" t="s">
        <v>693</v>
      </c>
      <c r="F2363" s="140">
        <f t="shared" si="261"/>
        <v>2</v>
      </c>
      <c r="G2363" s="140" t="str">
        <f t="shared" si="263"/>
        <v>4.2.2</v>
      </c>
      <c r="H2363" s="166" t="s">
        <v>670</v>
      </c>
      <c r="I2363" s="166" t="s">
        <v>106</v>
      </c>
      <c r="J2363" s="166" t="s">
        <v>537</v>
      </c>
      <c r="K2363" s="166" t="s">
        <v>718</v>
      </c>
      <c r="L2363" s="177">
        <v>0</v>
      </c>
      <c r="M2363" s="166">
        <v>0</v>
      </c>
      <c r="N2363" s="166">
        <v>0</v>
      </c>
      <c r="O2363" s="164">
        <f t="shared" si="258"/>
        <v>0</v>
      </c>
      <c r="P2363" s="166">
        <v>0</v>
      </c>
      <c r="Q2363" s="166">
        <v>0</v>
      </c>
      <c r="R2363" s="164">
        <f>$L2363*'Pivot Objective'!$C$9*P2363*Q2363</f>
        <v>0</v>
      </c>
      <c r="S2363" s="166">
        <v>0</v>
      </c>
      <c r="T2363" s="166">
        <v>0</v>
      </c>
      <c r="U2363" s="164">
        <f>($L2363*'Pivot Objective'!$C$9^2)*S2363*T2363</f>
        <v>0</v>
      </c>
      <c r="V2363" s="166">
        <v>0</v>
      </c>
      <c r="W2363" s="166">
        <v>0</v>
      </c>
      <c r="X2363" s="164">
        <f>($L2363*'Pivot Objective'!$C$9^3)*V2363*W2363</f>
        <v>0</v>
      </c>
      <c r="Y2363" s="166">
        <v>0</v>
      </c>
      <c r="Z2363" s="166">
        <v>0</v>
      </c>
      <c r="AA2363" s="164">
        <f>($L2363*'Pivot Objective'!$C$9^4)*Y2363*Z2363</f>
        <v>0</v>
      </c>
      <c r="AB2363" s="166">
        <v>0</v>
      </c>
      <c r="AC2363" s="166">
        <v>0</v>
      </c>
      <c r="AD2363" s="164">
        <f>($L2363*'Pivot Objective'!$C$9^5)*AB2363*AC2363</f>
        <v>0</v>
      </c>
      <c r="AE2363" s="166">
        <v>0</v>
      </c>
      <c r="AF2363" s="166">
        <v>0</v>
      </c>
      <c r="AG2363" s="164">
        <f>($L2363*'Pivot Objective'!$C$9^6)*AE2363*AF2363</f>
        <v>0</v>
      </c>
      <c r="AH2363" s="166">
        <v>0</v>
      </c>
      <c r="AI2363" s="166">
        <v>0</v>
      </c>
      <c r="AJ2363" s="164">
        <f>($L2363*'Pivot Objective'!$C$9^7)*AH2363*AI2363</f>
        <v>0</v>
      </c>
      <c r="AK2363" s="185">
        <f t="shared" si="259"/>
        <v>0</v>
      </c>
      <c r="AL2363" s="186">
        <f t="shared" si="260"/>
        <v>0</v>
      </c>
    </row>
    <row r="2364" spans="1:38" customFormat="1" ht="57.6" x14ac:dyDescent="0.3">
      <c r="A2364" s="140" t="s">
        <v>1488</v>
      </c>
      <c r="B2364" s="140">
        <v>4</v>
      </c>
      <c r="C2364" s="166" t="s">
        <v>697</v>
      </c>
      <c r="D2364" s="140" t="str">
        <f t="shared" si="262"/>
        <v>2</v>
      </c>
      <c r="E2364" s="166" t="s">
        <v>693</v>
      </c>
      <c r="F2364" s="140">
        <f t="shared" si="261"/>
        <v>2</v>
      </c>
      <c r="G2364" s="140" t="str">
        <f t="shared" si="263"/>
        <v>4.2.2</v>
      </c>
      <c r="H2364" s="166" t="s">
        <v>670</v>
      </c>
      <c r="I2364" s="166" t="s">
        <v>106</v>
      </c>
      <c r="J2364" s="166" t="s">
        <v>184</v>
      </c>
      <c r="K2364" s="166" t="s">
        <v>718</v>
      </c>
      <c r="L2364" s="177">
        <v>0</v>
      </c>
      <c r="M2364" s="166">
        <v>0</v>
      </c>
      <c r="N2364" s="166">
        <v>0</v>
      </c>
      <c r="O2364" s="164">
        <f t="shared" si="258"/>
        <v>0</v>
      </c>
      <c r="P2364" s="166">
        <v>0</v>
      </c>
      <c r="Q2364" s="166">
        <v>0</v>
      </c>
      <c r="R2364" s="164">
        <f>$L2364*'Pivot Objective'!$C$9*P2364*Q2364</f>
        <v>0</v>
      </c>
      <c r="S2364" s="166">
        <v>0</v>
      </c>
      <c r="T2364" s="166">
        <v>0</v>
      </c>
      <c r="U2364" s="164">
        <f>($L2364*'Pivot Objective'!$C$9^2)*S2364*T2364</f>
        <v>0</v>
      </c>
      <c r="V2364" s="166">
        <v>0</v>
      </c>
      <c r="W2364" s="166">
        <v>0</v>
      </c>
      <c r="X2364" s="164">
        <f>($L2364*'Pivot Objective'!$C$9^3)*V2364*W2364</f>
        <v>0</v>
      </c>
      <c r="Y2364" s="166">
        <v>0</v>
      </c>
      <c r="Z2364" s="166">
        <v>0</v>
      </c>
      <c r="AA2364" s="164">
        <f>($L2364*'Pivot Objective'!$C$9^4)*Y2364*Z2364</f>
        <v>0</v>
      </c>
      <c r="AB2364" s="166">
        <v>0</v>
      </c>
      <c r="AC2364" s="166">
        <v>0</v>
      </c>
      <c r="AD2364" s="164">
        <f>($L2364*'Pivot Objective'!$C$9^5)*AB2364*AC2364</f>
        <v>0</v>
      </c>
      <c r="AE2364" s="166">
        <v>0</v>
      </c>
      <c r="AF2364" s="166">
        <v>0</v>
      </c>
      <c r="AG2364" s="164">
        <f>($L2364*'Pivot Objective'!$C$9^6)*AE2364*AF2364</f>
        <v>0</v>
      </c>
      <c r="AH2364" s="166">
        <v>0</v>
      </c>
      <c r="AI2364" s="166">
        <v>0</v>
      </c>
      <c r="AJ2364" s="164">
        <f>($L2364*'Pivot Objective'!$C$9^7)*AH2364*AI2364</f>
        <v>0</v>
      </c>
      <c r="AK2364" s="185">
        <f t="shared" si="259"/>
        <v>0</v>
      </c>
      <c r="AL2364" s="186">
        <f t="shared" si="260"/>
        <v>0</v>
      </c>
    </row>
    <row r="2365" spans="1:38" customFormat="1" ht="57.6" x14ac:dyDescent="0.3">
      <c r="A2365" s="140" t="s">
        <v>1488</v>
      </c>
      <c r="B2365" s="140">
        <v>4</v>
      </c>
      <c r="C2365" s="166" t="s">
        <v>697</v>
      </c>
      <c r="D2365" s="140" t="str">
        <f t="shared" si="262"/>
        <v>2</v>
      </c>
      <c r="E2365" s="166" t="s">
        <v>693</v>
      </c>
      <c r="F2365" s="140">
        <f t="shared" si="261"/>
        <v>2</v>
      </c>
      <c r="G2365" s="140" t="str">
        <f t="shared" si="263"/>
        <v>4.2.2</v>
      </c>
      <c r="H2365" s="166" t="s">
        <v>670</v>
      </c>
      <c r="I2365" s="166" t="s">
        <v>106</v>
      </c>
      <c r="J2365" s="166" t="s">
        <v>538</v>
      </c>
      <c r="K2365" s="166" t="s">
        <v>718</v>
      </c>
      <c r="L2365" s="177">
        <v>0</v>
      </c>
      <c r="M2365" s="166">
        <v>0</v>
      </c>
      <c r="N2365" s="166">
        <v>0</v>
      </c>
      <c r="O2365" s="164">
        <f t="shared" si="258"/>
        <v>0</v>
      </c>
      <c r="P2365" s="166">
        <v>0</v>
      </c>
      <c r="Q2365" s="166">
        <v>0</v>
      </c>
      <c r="R2365" s="164">
        <f>$L2365*'Pivot Objective'!$C$9*P2365*Q2365</f>
        <v>0</v>
      </c>
      <c r="S2365" s="166">
        <v>0</v>
      </c>
      <c r="T2365" s="166">
        <v>0</v>
      </c>
      <c r="U2365" s="164">
        <f>($L2365*'Pivot Objective'!$C$9^2)*S2365*T2365</f>
        <v>0</v>
      </c>
      <c r="V2365" s="166">
        <v>0</v>
      </c>
      <c r="W2365" s="166">
        <v>0</v>
      </c>
      <c r="X2365" s="164">
        <f>($L2365*'Pivot Objective'!$C$9^3)*V2365*W2365</f>
        <v>0</v>
      </c>
      <c r="Y2365" s="166">
        <v>0</v>
      </c>
      <c r="Z2365" s="166">
        <v>0</v>
      </c>
      <c r="AA2365" s="164">
        <f>($L2365*'Pivot Objective'!$C$9^4)*Y2365*Z2365</f>
        <v>0</v>
      </c>
      <c r="AB2365" s="166">
        <v>0</v>
      </c>
      <c r="AC2365" s="166">
        <v>0</v>
      </c>
      <c r="AD2365" s="164">
        <f>($L2365*'Pivot Objective'!$C$9^5)*AB2365*AC2365</f>
        <v>0</v>
      </c>
      <c r="AE2365" s="166">
        <v>0</v>
      </c>
      <c r="AF2365" s="166">
        <v>0</v>
      </c>
      <c r="AG2365" s="164">
        <f>($L2365*'Pivot Objective'!$C$9^6)*AE2365*AF2365</f>
        <v>0</v>
      </c>
      <c r="AH2365" s="166">
        <v>0</v>
      </c>
      <c r="AI2365" s="166">
        <v>0</v>
      </c>
      <c r="AJ2365" s="164">
        <f>($L2365*'Pivot Objective'!$C$9^7)*AH2365*AI2365</f>
        <v>0</v>
      </c>
      <c r="AK2365" s="185">
        <f t="shared" si="259"/>
        <v>0</v>
      </c>
      <c r="AL2365" s="186">
        <f t="shared" si="260"/>
        <v>0</v>
      </c>
    </row>
    <row r="2366" spans="1:38" customFormat="1" ht="57.6" x14ac:dyDescent="0.3">
      <c r="A2366" s="140" t="s">
        <v>1488</v>
      </c>
      <c r="B2366" s="140">
        <v>4</v>
      </c>
      <c r="C2366" s="166" t="s">
        <v>697</v>
      </c>
      <c r="D2366" s="140" t="str">
        <f t="shared" si="262"/>
        <v>2</v>
      </c>
      <c r="E2366" s="166" t="s">
        <v>693</v>
      </c>
      <c r="F2366" s="140">
        <f t="shared" si="261"/>
        <v>2</v>
      </c>
      <c r="G2366" s="140" t="str">
        <f t="shared" si="263"/>
        <v>4.2.2</v>
      </c>
      <c r="H2366" s="166" t="s">
        <v>670</v>
      </c>
      <c r="I2366" s="166" t="s">
        <v>106</v>
      </c>
      <c r="J2366" s="166" t="s">
        <v>539</v>
      </c>
      <c r="K2366" s="166" t="s">
        <v>707</v>
      </c>
      <c r="L2366" s="177">
        <v>391991.03749999998</v>
      </c>
      <c r="M2366" s="140"/>
      <c r="N2366" s="140"/>
      <c r="O2366" s="164">
        <f t="shared" si="258"/>
        <v>0</v>
      </c>
      <c r="P2366" s="166">
        <v>0</v>
      </c>
      <c r="Q2366" s="166">
        <v>0</v>
      </c>
      <c r="R2366" s="164">
        <f>$L2366*'Pivot Objective'!$C$9*P2366*Q2366</f>
        <v>0</v>
      </c>
      <c r="S2366" s="166">
        <v>2</v>
      </c>
      <c r="T2366" s="166">
        <v>2</v>
      </c>
      <c r="U2366" s="164">
        <f>($L2366*'Pivot Objective'!$C$9^2)*S2366*T2366</f>
        <v>2048182.3883307995</v>
      </c>
      <c r="V2366" s="166">
        <v>2</v>
      </c>
      <c r="W2366" s="166">
        <v>2</v>
      </c>
      <c r="X2366" s="164">
        <f>($L2366*'Pivot Objective'!$C$9^3)*V2366*W2366</f>
        <v>2340910.8621271173</v>
      </c>
      <c r="Y2366" s="166">
        <v>2</v>
      </c>
      <c r="Z2366" s="166">
        <v>2</v>
      </c>
      <c r="AA2366" s="164">
        <f>($L2366*'Pivot Objective'!$C$9^4)*Y2366*Z2366</f>
        <v>2675476.4105215403</v>
      </c>
      <c r="AB2366" s="166">
        <v>0</v>
      </c>
      <c r="AC2366" s="166">
        <v>0</v>
      </c>
      <c r="AD2366" s="164">
        <f>($L2366*'Pivot Objective'!$C$9^5)*AB2366*AC2366</f>
        <v>0</v>
      </c>
      <c r="AE2366" s="166">
        <v>0</v>
      </c>
      <c r="AF2366" s="166">
        <v>0</v>
      </c>
      <c r="AG2366" s="164">
        <f>($L2366*'Pivot Objective'!$C$9^6)*AE2366*AF2366</f>
        <v>0</v>
      </c>
      <c r="AH2366" s="166">
        <v>0</v>
      </c>
      <c r="AI2366" s="166">
        <v>0</v>
      </c>
      <c r="AJ2366" s="164">
        <f>($L2366*'Pivot Objective'!$C$9^7)*AH2366*AI2366</f>
        <v>0</v>
      </c>
      <c r="AK2366" s="185">
        <f t="shared" si="259"/>
        <v>7064569.6609794572</v>
      </c>
      <c r="AL2366" s="186">
        <f t="shared" si="260"/>
        <v>6858.8054960965601</v>
      </c>
    </row>
    <row r="2367" spans="1:38" customFormat="1" ht="57.6" x14ac:dyDescent="0.3">
      <c r="A2367" s="140" t="s">
        <v>1488</v>
      </c>
      <c r="B2367" s="140">
        <v>4</v>
      </c>
      <c r="C2367" s="166" t="s">
        <v>697</v>
      </c>
      <c r="D2367" s="140" t="str">
        <f t="shared" si="262"/>
        <v>2</v>
      </c>
      <c r="E2367" s="166" t="s">
        <v>693</v>
      </c>
      <c r="F2367" s="140">
        <f t="shared" si="261"/>
        <v>2</v>
      </c>
      <c r="G2367" s="140" t="str">
        <f t="shared" si="263"/>
        <v>4.2.2</v>
      </c>
      <c r="H2367" s="166" t="s">
        <v>670</v>
      </c>
      <c r="I2367" s="166" t="s">
        <v>106</v>
      </c>
      <c r="J2367" s="166" t="s">
        <v>539</v>
      </c>
      <c r="K2367" s="166" t="s">
        <v>708</v>
      </c>
      <c r="L2367" s="177">
        <f>500*1022</f>
        <v>511000</v>
      </c>
      <c r="M2367" s="140"/>
      <c r="N2367" s="140"/>
      <c r="O2367" s="164">
        <f t="shared" si="258"/>
        <v>0</v>
      </c>
      <c r="P2367" s="166">
        <v>0</v>
      </c>
      <c r="Q2367" s="166">
        <v>0</v>
      </c>
      <c r="R2367" s="164">
        <f>$L2367*'Pivot Objective'!$C$9*P2367*Q2367</f>
        <v>0</v>
      </c>
      <c r="S2367" s="166">
        <v>1</v>
      </c>
      <c r="T2367" s="166">
        <v>25</v>
      </c>
      <c r="U2367" s="164">
        <f>($L2367*'Pivot Objective'!$C$9^2)*S2367*T2367</f>
        <v>16687581.798937155</v>
      </c>
      <c r="V2367" s="166">
        <v>1</v>
      </c>
      <c r="W2367" s="166">
        <v>25</v>
      </c>
      <c r="X2367" s="164">
        <f>($L2367*'Pivot Objective'!$C$9^3)*V2367*W2367</f>
        <v>19072589.295918483</v>
      </c>
      <c r="Y2367" s="166">
        <v>1</v>
      </c>
      <c r="Z2367" s="166">
        <v>25</v>
      </c>
      <c r="AA2367" s="164">
        <f>($L2367*'Pivot Objective'!$C$9^4)*Y2367*Z2367</f>
        <v>21798464.680721607</v>
      </c>
      <c r="AB2367" s="166">
        <v>0</v>
      </c>
      <c r="AC2367" s="166">
        <v>0</v>
      </c>
      <c r="AD2367" s="164">
        <f>($L2367*'Pivot Objective'!$C$9^5)*AB2367*AC2367</f>
        <v>0</v>
      </c>
      <c r="AE2367" s="166">
        <v>0</v>
      </c>
      <c r="AF2367" s="166">
        <v>0</v>
      </c>
      <c r="AG2367" s="164">
        <f>($L2367*'Pivot Objective'!$C$9^6)*AE2367*AF2367</f>
        <v>0</v>
      </c>
      <c r="AH2367" s="166">
        <v>0</v>
      </c>
      <c r="AI2367" s="166">
        <v>0</v>
      </c>
      <c r="AJ2367" s="164">
        <f>($L2367*'Pivot Objective'!$C$9^7)*AH2367*AI2367</f>
        <v>0</v>
      </c>
      <c r="AK2367" s="185">
        <f t="shared" si="259"/>
        <v>57558635.775577247</v>
      </c>
      <c r="AL2367" s="186">
        <f t="shared" si="260"/>
        <v>55882.170655900241</v>
      </c>
    </row>
    <row r="2368" spans="1:38" customFormat="1" ht="57.6" x14ac:dyDescent="0.3">
      <c r="A2368" s="140" t="s">
        <v>1488</v>
      </c>
      <c r="B2368" s="140">
        <v>4</v>
      </c>
      <c r="C2368" s="166" t="s">
        <v>697</v>
      </c>
      <c r="D2368" s="140" t="str">
        <f t="shared" si="262"/>
        <v>2</v>
      </c>
      <c r="E2368" s="166" t="s">
        <v>693</v>
      </c>
      <c r="F2368" s="140">
        <f t="shared" si="261"/>
        <v>2</v>
      </c>
      <c r="G2368" s="140" t="str">
        <f t="shared" si="263"/>
        <v>4.2.2</v>
      </c>
      <c r="H2368" s="166" t="s">
        <v>670</v>
      </c>
      <c r="I2368" s="166" t="s">
        <v>106</v>
      </c>
      <c r="J2368" s="166" t="s">
        <v>540</v>
      </c>
      <c r="K2368" s="166" t="s">
        <v>789</v>
      </c>
      <c r="L2368" s="177">
        <f>780000*1022</f>
        <v>797160000</v>
      </c>
      <c r="M2368" s="140"/>
      <c r="N2368" s="140"/>
      <c r="O2368" s="164">
        <f t="shared" si="258"/>
        <v>0</v>
      </c>
      <c r="P2368" s="166">
        <v>0</v>
      </c>
      <c r="Q2368" s="166">
        <v>0</v>
      </c>
      <c r="R2368" s="164">
        <f>$L2368*'Pivot Objective'!$C$9*P2368*Q2368</f>
        <v>0</v>
      </c>
      <c r="S2368" s="166">
        <v>1</v>
      </c>
      <c r="T2368" s="166">
        <v>1</v>
      </c>
      <c r="U2368" s="164">
        <f>($L2368*'Pivot Objective'!$C$9^2)*S2368*T2368</f>
        <v>1041305104.2536783</v>
      </c>
      <c r="V2368" s="166">
        <v>1</v>
      </c>
      <c r="W2368" s="166">
        <v>1</v>
      </c>
      <c r="X2368" s="164">
        <f>($L2368*'Pivot Objective'!$C$9^3)*V2368*W2368</f>
        <v>1190129572.0653133</v>
      </c>
      <c r="Y2368" s="166">
        <v>1</v>
      </c>
      <c r="Z2368" s="166">
        <v>1</v>
      </c>
      <c r="AA2368" s="164">
        <f>($L2368*'Pivot Objective'!$C$9^4)*Y2368*Z2368</f>
        <v>1360224196.0770283</v>
      </c>
      <c r="AB2368" s="166">
        <v>0</v>
      </c>
      <c r="AC2368" s="166">
        <v>0</v>
      </c>
      <c r="AD2368" s="164">
        <f>($L2368*'Pivot Objective'!$C$9^5)*AB2368*AC2368</f>
        <v>0</v>
      </c>
      <c r="AE2368" s="166">
        <v>0</v>
      </c>
      <c r="AF2368" s="166">
        <v>0</v>
      </c>
      <c r="AG2368" s="164">
        <f>($L2368*'Pivot Objective'!$C$9^6)*AE2368*AF2368</f>
        <v>0</v>
      </c>
      <c r="AH2368" s="166">
        <v>0</v>
      </c>
      <c r="AI2368" s="166">
        <v>0</v>
      </c>
      <c r="AJ2368" s="164">
        <f>($L2368*'Pivot Objective'!$C$9^7)*AH2368*AI2368</f>
        <v>0</v>
      </c>
      <c r="AK2368" s="185">
        <f t="shared" si="259"/>
        <v>3591658872.3960199</v>
      </c>
      <c r="AL2368" s="186">
        <f t="shared" si="260"/>
        <v>3487047.4489281746</v>
      </c>
    </row>
    <row r="2369" spans="1:38" customFormat="1" ht="57.6" x14ac:dyDescent="0.3">
      <c r="A2369" s="140" t="s">
        <v>1488</v>
      </c>
      <c r="B2369" s="140">
        <v>4</v>
      </c>
      <c r="C2369" s="166" t="s">
        <v>697</v>
      </c>
      <c r="D2369" s="140" t="str">
        <f t="shared" si="262"/>
        <v>2</v>
      </c>
      <c r="E2369" s="166" t="s">
        <v>693</v>
      </c>
      <c r="F2369" s="140">
        <f t="shared" si="261"/>
        <v>3</v>
      </c>
      <c r="G2369" s="140" t="str">
        <f t="shared" si="263"/>
        <v>4.2.3</v>
      </c>
      <c r="H2369" s="168" t="s">
        <v>672</v>
      </c>
      <c r="I2369" s="166" t="s">
        <v>107</v>
      </c>
      <c r="J2369" s="166" t="s">
        <v>545</v>
      </c>
      <c r="K2369" s="166" t="s">
        <v>790</v>
      </c>
      <c r="L2369" s="177">
        <v>371004641.5</v>
      </c>
      <c r="M2369" s="166">
        <v>1</v>
      </c>
      <c r="N2369" s="166">
        <v>1</v>
      </c>
      <c r="O2369" s="164">
        <f t="shared" si="258"/>
        <v>371004641.5</v>
      </c>
      <c r="P2369" s="166">
        <v>0</v>
      </c>
      <c r="Q2369" s="166">
        <v>0</v>
      </c>
      <c r="R2369" s="164">
        <f>$L2369*'Pivot Objective'!$C$9*P2369*Q2369</f>
        <v>0</v>
      </c>
      <c r="S2369" s="166">
        <v>0</v>
      </c>
      <c r="T2369" s="166">
        <v>0</v>
      </c>
      <c r="U2369" s="164">
        <f>($L2369*'Pivot Objective'!$C$9^2)*S2369*T2369</f>
        <v>0</v>
      </c>
      <c r="V2369" s="166">
        <v>0</v>
      </c>
      <c r="W2369" s="166">
        <v>0</v>
      </c>
      <c r="X2369" s="164">
        <f>($L2369*'Pivot Objective'!$C$9^3)*V2369*W2369</f>
        <v>0</v>
      </c>
      <c r="Y2369" s="166">
        <v>0</v>
      </c>
      <c r="Z2369" s="166">
        <v>0</v>
      </c>
      <c r="AA2369" s="164">
        <f>($L2369*'Pivot Objective'!$C$9^4)*Y2369*Z2369</f>
        <v>0</v>
      </c>
      <c r="AB2369" s="166">
        <v>0</v>
      </c>
      <c r="AC2369" s="166">
        <v>0</v>
      </c>
      <c r="AD2369" s="164">
        <f>($L2369*'Pivot Objective'!$C$9^5)*AB2369*AC2369</f>
        <v>0</v>
      </c>
      <c r="AE2369" s="166">
        <v>0</v>
      </c>
      <c r="AF2369" s="166">
        <v>0</v>
      </c>
      <c r="AG2369" s="164">
        <f>($L2369*'Pivot Objective'!$C$9^6)*AE2369*AF2369</f>
        <v>0</v>
      </c>
      <c r="AH2369" s="166">
        <v>0</v>
      </c>
      <c r="AI2369" s="166">
        <v>0</v>
      </c>
      <c r="AJ2369" s="164">
        <f>($L2369*'Pivot Objective'!$C$9^7)*AH2369*AI2369</f>
        <v>0</v>
      </c>
      <c r="AK2369" s="185">
        <f t="shared" si="259"/>
        <v>371004641.5</v>
      </c>
      <c r="AL2369" s="186">
        <f t="shared" si="260"/>
        <v>360198.68106796115</v>
      </c>
    </row>
    <row r="2370" spans="1:38" customFormat="1" ht="57.6" x14ac:dyDescent="0.3">
      <c r="A2370" s="140" t="s">
        <v>1488</v>
      </c>
      <c r="B2370" s="140">
        <v>4</v>
      </c>
      <c r="C2370" s="166" t="s">
        <v>697</v>
      </c>
      <c r="D2370" s="140" t="str">
        <f t="shared" si="262"/>
        <v>2</v>
      </c>
      <c r="E2370" s="166" t="s">
        <v>693</v>
      </c>
      <c r="F2370" s="140">
        <f t="shared" si="261"/>
        <v>3</v>
      </c>
      <c r="G2370" s="140" t="str">
        <f t="shared" si="263"/>
        <v>4.2.3</v>
      </c>
      <c r="H2370" s="168" t="s">
        <v>672</v>
      </c>
      <c r="I2370" s="166" t="s">
        <v>107</v>
      </c>
      <c r="J2370" s="166" t="s">
        <v>545</v>
      </c>
      <c r="K2370" s="166" t="s">
        <v>791</v>
      </c>
      <c r="L2370" s="177">
        <v>512243318.44999999</v>
      </c>
      <c r="M2370" s="166">
        <v>1</v>
      </c>
      <c r="N2370" s="166">
        <v>1</v>
      </c>
      <c r="O2370" s="164">
        <f t="shared" si="258"/>
        <v>512243318.44999999</v>
      </c>
      <c r="P2370" s="166">
        <v>1</v>
      </c>
      <c r="Q2370" s="166">
        <v>1</v>
      </c>
      <c r="R2370" s="164">
        <f>$L2370*'Pivot Objective'!$C$9*P2370*Q2370</f>
        <v>585453695.45379424</v>
      </c>
      <c r="S2370" s="166">
        <v>0</v>
      </c>
      <c r="T2370" s="166">
        <v>0</v>
      </c>
      <c r="U2370" s="164">
        <f>($L2370*'Pivot Objective'!$C$9^2)*S2370*T2370</f>
        <v>0</v>
      </c>
      <c r="V2370" s="166">
        <v>0</v>
      </c>
      <c r="W2370" s="166">
        <v>0</v>
      </c>
      <c r="X2370" s="164">
        <f>($L2370*'Pivot Objective'!$C$9^3)*V2370*W2370</f>
        <v>0</v>
      </c>
      <c r="Y2370" s="166">
        <v>0</v>
      </c>
      <c r="Z2370" s="166">
        <v>0</v>
      </c>
      <c r="AA2370" s="164">
        <f>($L2370*'Pivot Objective'!$C$9^4)*Y2370*Z2370</f>
        <v>0</v>
      </c>
      <c r="AB2370" s="166">
        <v>0</v>
      </c>
      <c r="AC2370" s="166">
        <v>0</v>
      </c>
      <c r="AD2370" s="164">
        <f>($L2370*'Pivot Objective'!$C$9^5)*AB2370*AC2370</f>
        <v>0</v>
      </c>
      <c r="AE2370" s="166">
        <v>0</v>
      </c>
      <c r="AF2370" s="166">
        <v>0</v>
      </c>
      <c r="AG2370" s="164">
        <f>($L2370*'Pivot Objective'!$C$9^6)*AE2370*AF2370</f>
        <v>0</v>
      </c>
      <c r="AH2370" s="166">
        <v>0</v>
      </c>
      <c r="AI2370" s="166">
        <v>0</v>
      </c>
      <c r="AJ2370" s="164">
        <f>($L2370*'Pivot Objective'!$C$9^7)*AH2370*AI2370</f>
        <v>0</v>
      </c>
      <c r="AK2370" s="185">
        <f t="shared" si="259"/>
        <v>1097697013.9037943</v>
      </c>
      <c r="AL2370" s="186">
        <f t="shared" si="260"/>
        <v>1065725.256217276</v>
      </c>
    </row>
    <row r="2371" spans="1:38" customFormat="1" ht="57.6" x14ac:dyDescent="0.3">
      <c r="A2371" s="140" t="s">
        <v>1488</v>
      </c>
      <c r="B2371" s="140">
        <v>4</v>
      </c>
      <c r="C2371" s="166" t="s">
        <v>697</v>
      </c>
      <c r="D2371" s="140" t="str">
        <f t="shared" si="262"/>
        <v>2</v>
      </c>
      <c r="E2371" s="166" t="s">
        <v>693</v>
      </c>
      <c r="F2371" s="140">
        <f t="shared" si="261"/>
        <v>3</v>
      </c>
      <c r="G2371" s="140" t="str">
        <f t="shared" si="263"/>
        <v>4.2.3</v>
      </c>
      <c r="H2371" s="168" t="s">
        <v>672</v>
      </c>
      <c r="I2371" s="166" t="s">
        <v>107</v>
      </c>
      <c r="J2371" s="166" t="s">
        <v>545</v>
      </c>
      <c r="K2371" s="166" t="s">
        <v>792</v>
      </c>
      <c r="L2371" s="177">
        <v>468848070.75</v>
      </c>
      <c r="M2371" s="166">
        <v>1</v>
      </c>
      <c r="N2371" s="166">
        <v>1</v>
      </c>
      <c r="O2371" s="164">
        <f t="shared" ref="O2371:O2434" si="264">$L2371*M2371*N2371</f>
        <v>468848070.75</v>
      </c>
      <c r="P2371" s="166">
        <v>0</v>
      </c>
      <c r="Q2371" s="166">
        <v>0</v>
      </c>
      <c r="R2371" s="164">
        <f>$L2371*'Pivot Objective'!$C$9*P2371*Q2371</f>
        <v>0</v>
      </c>
      <c r="S2371" s="166">
        <v>1</v>
      </c>
      <c r="T2371" s="166">
        <v>1</v>
      </c>
      <c r="U2371" s="164">
        <f>($L2371*'Pivot Objective'!$C$9^2)*S2371*T2371</f>
        <v>612441528.91698623</v>
      </c>
      <c r="V2371" s="166">
        <v>0</v>
      </c>
      <c r="W2371" s="166">
        <v>0</v>
      </c>
      <c r="X2371" s="164">
        <f>($L2371*'Pivot Objective'!$C$9^3)*V2371*W2371</f>
        <v>0</v>
      </c>
      <c r="Y2371" s="166">
        <v>0</v>
      </c>
      <c r="Z2371" s="166">
        <v>0</v>
      </c>
      <c r="AA2371" s="164">
        <f>($L2371*'Pivot Objective'!$C$9^4)*Y2371*Z2371</f>
        <v>0</v>
      </c>
      <c r="AB2371" s="166">
        <v>0</v>
      </c>
      <c r="AC2371" s="166">
        <v>0</v>
      </c>
      <c r="AD2371" s="164">
        <f>($L2371*'Pivot Objective'!$C$9^5)*AB2371*AC2371</f>
        <v>0</v>
      </c>
      <c r="AE2371" s="166">
        <v>0</v>
      </c>
      <c r="AF2371" s="166">
        <v>0</v>
      </c>
      <c r="AG2371" s="164">
        <f>($L2371*'Pivot Objective'!$C$9^6)*AE2371*AF2371</f>
        <v>0</v>
      </c>
      <c r="AH2371" s="166">
        <v>0</v>
      </c>
      <c r="AI2371" s="166">
        <v>0</v>
      </c>
      <c r="AJ2371" s="164">
        <f>($L2371*'Pivot Objective'!$C$9^7)*AH2371*AI2371</f>
        <v>0</v>
      </c>
      <c r="AK2371" s="185">
        <f t="shared" ref="AK2371:AK2434" si="265">O2371+R2371+U2371+X2371+AA2371+AD2371+AG2371+AJ2371</f>
        <v>1081289599.6669862</v>
      </c>
      <c r="AL2371" s="186">
        <f t="shared" ref="AL2371:AL2434" si="266">AK2371/$AP$2</f>
        <v>1049795.7278320254</v>
      </c>
    </row>
    <row r="2372" spans="1:38" customFormat="1" ht="57.6" x14ac:dyDescent="0.3">
      <c r="A2372" s="140" t="s">
        <v>1488</v>
      </c>
      <c r="B2372" s="140">
        <v>4</v>
      </c>
      <c r="C2372" s="166" t="s">
        <v>697</v>
      </c>
      <c r="D2372" s="140" t="str">
        <f t="shared" si="262"/>
        <v>2</v>
      </c>
      <c r="E2372" s="166" t="s">
        <v>693</v>
      </c>
      <c r="F2372" s="140">
        <f t="shared" si="261"/>
        <v>3</v>
      </c>
      <c r="G2372" s="140" t="str">
        <f t="shared" si="263"/>
        <v>4.2.3</v>
      </c>
      <c r="H2372" s="168" t="s">
        <v>672</v>
      </c>
      <c r="I2372" s="166" t="s">
        <v>107</v>
      </c>
      <c r="J2372" s="166" t="s">
        <v>545</v>
      </c>
      <c r="K2372" s="166" t="s">
        <v>793</v>
      </c>
      <c r="L2372" s="177">
        <v>100282000</v>
      </c>
      <c r="M2372" s="166">
        <v>1</v>
      </c>
      <c r="N2372" s="166">
        <v>1</v>
      </c>
      <c r="O2372" s="164">
        <f t="shared" si="264"/>
        <v>100282000</v>
      </c>
      <c r="P2372" s="166">
        <v>0</v>
      </c>
      <c r="Q2372" s="166">
        <v>0</v>
      </c>
      <c r="R2372" s="164">
        <f>$L2372*'Pivot Objective'!$C$9*P2372*Q2372</f>
        <v>0</v>
      </c>
      <c r="S2372" s="166">
        <v>0</v>
      </c>
      <c r="T2372" s="166">
        <v>0</v>
      </c>
      <c r="U2372" s="164">
        <f>($L2372*'Pivot Objective'!$C$9^2)*S2372*T2372</f>
        <v>0</v>
      </c>
      <c r="V2372" s="166">
        <v>1</v>
      </c>
      <c r="W2372" s="166">
        <v>1</v>
      </c>
      <c r="X2372" s="164">
        <f>($L2372*'Pivot Objective'!$C$9^3)*V2372*W2372</f>
        <v>149717213.2894949</v>
      </c>
      <c r="Y2372" s="166">
        <v>0</v>
      </c>
      <c r="Z2372" s="166">
        <v>0</v>
      </c>
      <c r="AA2372" s="164">
        <f>($L2372*'Pivot Objective'!$C$9^4)*Y2372*Z2372</f>
        <v>0</v>
      </c>
      <c r="AB2372" s="166">
        <v>0</v>
      </c>
      <c r="AC2372" s="166">
        <v>0</v>
      </c>
      <c r="AD2372" s="164">
        <f>($L2372*'Pivot Objective'!$C$9^5)*AB2372*AC2372</f>
        <v>0</v>
      </c>
      <c r="AE2372" s="166">
        <v>0</v>
      </c>
      <c r="AF2372" s="166">
        <v>0</v>
      </c>
      <c r="AG2372" s="164">
        <f>($L2372*'Pivot Objective'!$C$9^6)*AE2372*AF2372</f>
        <v>0</v>
      </c>
      <c r="AH2372" s="166">
        <v>0</v>
      </c>
      <c r="AI2372" s="166">
        <v>0</v>
      </c>
      <c r="AJ2372" s="164">
        <f>($L2372*'Pivot Objective'!$C$9^7)*AH2372*AI2372</f>
        <v>0</v>
      </c>
      <c r="AK2372" s="185">
        <f t="shared" si="265"/>
        <v>249999213.2894949</v>
      </c>
      <c r="AL2372" s="186">
        <f t="shared" si="266"/>
        <v>242717.68280533486</v>
      </c>
    </row>
    <row r="2373" spans="1:38" customFormat="1" ht="57.6" x14ac:dyDescent="0.3">
      <c r="A2373" s="140" t="s">
        <v>1488</v>
      </c>
      <c r="B2373" s="140">
        <v>4</v>
      </c>
      <c r="C2373" s="166" t="s">
        <v>697</v>
      </c>
      <c r="D2373" s="140" t="str">
        <f t="shared" si="262"/>
        <v>2</v>
      </c>
      <c r="E2373" s="166" t="s">
        <v>693</v>
      </c>
      <c r="F2373" s="140">
        <f t="shared" ref="F2373:F2436" si="267">IF(H2373=H2372,F2372,F2372+1)</f>
        <v>3</v>
      </c>
      <c r="G2373" s="140" t="str">
        <f t="shared" si="263"/>
        <v>4.2.3</v>
      </c>
      <c r="H2373" s="168" t="s">
        <v>672</v>
      </c>
      <c r="I2373" s="166" t="s">
        <v>107</v>
      </c>
      <c r="J2373" s="166" t="s">
        <v>545</v>
      </c>
      <c r="K2373" s="166" t="s">
        <v>794</v>
      </c>
      <c r="L2373" s="177">
        <v>220346000</v>
      </c>
      <c r="M2373" s="166">
        <v>1</v>
      </c>
      <c r="N2373" s="166">
        <v>1</v>
      </c>
      <c r="O2373" s="164">
        <f t="shared" si="264"/>
        <v>220346000</v>
      </c>
      <c r="P2373" s="166">
        <v>0</v>
      </c>
      <c r="Q2373" s="166">
        <v>0</v>
      </c>
      <c r="R2373" s="164">
        <f>$L2373*'Pivot Objective'!$C$9*P2373*Q2373</f>
        <v>0</v>
      </c>
      <c r="S2373" s="166">
        <v>0</v>
      </c>
      <c r="T2373" s="166">
        <v>0</v>
      </c>
      <c r="U2373" s="164">
        <f>($L2373*'Pivot Objective'!$C$9^2)*S2373*T2373</f>
        <v>0</v>
      </c>
      <c r="V2373" s="166">
        <v>0</v>
      </c>
      <c r="W2373" s="166">
        <v>0</v>
      </c>
      <c r="X2373" s="164">
        <f>($L2373*'Pivot Objective'!$C$9^3)*V2373*W2373</f>
        <v>0</v>
      </c>
      <c r="Y2373" s="166">
        <v>1</v>
      </c>
      <c r="Z2373" s="166">
        <v>1</v>
      </c>
      <c r="AA2373" s="164">
        <f>($L2373*'Pivot Objective'!$C$9^4)*Y2373*Z2373</f>
        <v>375984696.55876976</v>
      </c>
      <c r="AB2373" s="166">
        <v>0</v>
      </c>
      <c r="AC2373" s="166">
        <v>0</v>
      </c>
      <c r="AD2373" s="164">
        <f>($L2373*'Pivot Objective'!$C$9^5)*AB2373*AC2373</f>
        <v>0</v>
      </c>
      <c r="AE2373" s="166">
        <v>0</v>
      </c>
      <c r="AF2373" s="166">
        <v>0</v>
      </c>
      <c r="AG2373" s="164">
        <f>($L2373*'Pivot Objective'!$C$9^6)*AE2373*AF2373</f>
        <v>0</v>
      </c>
      <c r="AH2373" s="166">
        <v>0</v>
      </c>
      <c r="AI2373" s="166">
        <v>0</v>
      </c>
      <c r="AJ2373" s="164">
        <f>($L2373*'Pivot Objective'!$C$9^7)*AH2373*AI2373</f>
        <v>0</v>
      </c>
      <c r="AK2373" s="185">
        <f t="shared" si="265"/>
        <v>596330696.5587697</v>
      </c>
      <c r="AL2373" s="186">
        <f t="shared" si="266"/>
        <v>578961.84131919383</v>
      </c>
    </row>
    <row r="2374" spans="1:38" customFormat="1" ht="57.6" x14ac:dyDescent="0.3">
      <c r="A2374" s="140" t="s">
        <v>1488</v>
      </c>
      <c r="B2374" s="140">
        <v>4</v>
      </c>
      <c r="C2374" s="166" t="s">
        <v>697</v>
      </c>
      <c r="D2374" s="140" t="str">
        <f t="shared" si="262"/>
        <v>2</v>
      </c>
      <c r="E2374" s="166" t="s">
        <v>693</v>
      </c>
      <c r="F2374" s="140">
        <f t="shared" si="267"/>
        <v>3</v>
      </c>
      <c r="G2374" s="140" t="str">
        <f t="shared" si="263"/>
        <v>4.2.3</v>
      </c>
      <c r="H2374" s="168" t="s">
        <v>672</v>
      </c>
      <c r="I2374" s="166" t="s">
        <v>107</v>
      </c>
      <c r="J2374" s="166" t="s">
        <v>545</v>
      </c>
      <c r="K2374" s="166" t="s">
        <v>1401</v>
      </c>
      <c r="L2374" s="177">
        <f>50000*1022</f>
        <v>51100000</v>
      </c>
      <c r="M2374" s="166">
        <v>1</v>
      </c>
      <c r="N2374" s="166">
        <v>1</v>
      </c>
      <c r="O2374" s="164">
        <f t="shared" si="264"/>
        <v>51100000</v>
      </c>
      <c r="P2374" s="166"/>
      <c r="Q2374" s="166"/>
      <c r="R2374" s="164">
        <f>$L2374*'Pivot Objective'!$C$9*P2374*Q2374</f>
        <v>0</v>
      </c>
      <c r="S2374" s="166"/>
      <c r="T2374" s="166"/>
      <c r="U2374" s="164">
        <f>($L2374*'Pivot Objective'!$C$9^2)*S2374*T2374</f>
        <v>0</v>
      </c>
      <c r="V2374" s="166"/>
      <c r="W2374" s="166"/>
      <c r="X2374" s="164">
        <f>($L2374*'Pivot Objective'!$C$9^3)*V2374*W2374</f>
        <v>0</v>
      </c>
      <c r="Y2374" s="166"/>
      <c r="Z2374" s="166"/>
      <c r="AA2374" s="164">
        <f>($L2374*'Pivot Objective'!$C$9^4)*Y2374*Z2374</f>
        <v>0</v>
      </c>
      <c r="AB2374" s="166"/>
      <c r="AC2374" s="166"/>
      <c r="AD2374" s="164">
        <f>($L2374*'Pivot Objective'!$C$9^5)*AB2374*AC2374</f>
        <v>0</v>
      </c>
      <c r="AE2374" s="166"/>
      <c r="AF2374" s="166"/>
      <c r="AG2374" s="164">
        <f>($L2374*'Pivot Objective'!$C$9^6)*AE2374*AF2374</f>
        <v>0</v>
      </c>
      <c r="AH2374" s="166"/>
      <c r="AI2374" s="166"/>
      <c r="AJ2374" s="164">
        <f>($L2374*'Pivot Objective'!$C$9^7)*AH2374*AI2374</f>
        <v>0</v>
      </c>
      <c r="AK2374" s="185">
        <f t="shared" si="265"/>
        <v>51100000</v>
      </c>
      <c r="AL2374" s="186">
        <f t="shared" si="266"/>
        <v>49611.65048543689</v>
      </c>
    </row>
    <row r="2375" spans="1:38" customFormat="1" ht="57.6" x14ac:dyDescent="0.3">
      <c r="A2375" s="140" t="s">
        <v>1488</v>
      </c>
      <c r="B2375" s="140">
        <v>4</v>
      </c>
      <c r="C2375" s="166" t="s">
        <v>697</v>
      </c>
      <c r="D2375" s="140" t="str">
        <f t="shared" si="262"/>
        <v>2</v>
      </c>
      <c r="E2375" s="166" t="s">
        <v>693</v>
      </c>
      <c r="F2375" s="140">
        <f t="shared" si="267"/>
        <v>3</v>
      </c>
      <c r="G2375" s="140" t="str">
        <f t="shared" si="263"/>
        <v>4.2.3</v>
      </c>
      <c r="H2375" s="168" t="s">
        <v>672</v>
      </c>
      <c r="I2375" s="166" t="s">
        <v>107</v>
      </c>
      <c r="J2375" s="166" t="s">
        <v>545</v>
      </c>
      <c r="K2375" s="166" t="s">
        <v>1402</v>
      </c>
      <c r="L2375" s="177">
        <f>50000*1022</f>
        <v>51100000</v>
      </c>
      <c r="M2375" s="166">
        <v>1</v>
      </c>
      <c r="N2375" s="166">
        <v>1</v>
      </c>
      <c r="O2375" s="164">
        <f t="shared" si="264"/>
        <v>51100000</v>
      </c>
      <c r="P2375" s="166"/>
      <c r="Q2375" s="166"/>
      <c r="R2375" s="164">
        <f>$L2375*'Pivot Objective'!$C$9*P2375*Q2375</f>
        <v>0</v>
      </c>
      <c r="S2375" s="166"/>
      <c r="T2375" s="166"/>
      <c r="U2375" s="164">
        <f>($L2375*'Pivot Objective'!$C$9^2)*S2375*T2375</f>
        <v>0</v>
      </c>
      <c r="V2375" s="166"/>
      <c r="W2375" s="166"/>
      <c r="X2375" s="164">
        <f>($L2375*'Pivot Objective'!$C$9^3)*V2375*W2375</f>
        <v>0</v>
      </c>
      <c r="Y2375" s="166"/>
      <c r="Z2375" s="166"/>
      <c r="AA2375" s="164">
        <f>($L2375*'Pivot Objective'!$C$9^4)*Y2375*Z2375</f>
        <v>0</v>
      </c>
      <c r="AB2375" s="166"/>
      <c r="AC2375" s="166"/>
      <c r="AD2375" s="164">
        <f>($L2375*'Pivot Objective'!$C$9^5)*AB2375*AC2375</f>
        <v>0</v>
      </c>
      <c r="AE2375" s="166"/>
      <c r="AF2375" s="166"/>
      <c r="AG2375" s="164">
        <f>($L2375*'Pivot Objective'!$C$9^6)*AE2375*AF2375</f>
        <v>0</v>
      </c>
      <c r="AH2375" s="166"/>
      <c r="AI2375" s="166"/>
      <c r="AJ2375" s="164">
        <f>($L2375*'Pivot Objective'!$C$9^7)*AH2375*AI2375</f>
        <v>0</v>
      </c>
      <c r="AK2375" s="185">
        <f t="shared" si="265"/>
        <v>51100000</v>
      </c>
      <c r="AL2375" s="186">
        <f t="shared" si="266"/>
        <v>49611.65048543689</v>
      </c>
    </row>
    <row r="2376" spans="1:38" customFormat="1" ht="57.6" x14ac:dyDescent="0.3">
      <c r="A2376" s="140" t="s">
        <v>1488</v>
      </c>
      <c r="B2376" s="140">
        <v>4</v>
      </c>
      <c r="C2376" s="166" t="s">
        <v>697</v>
      </c>
      <c r="D2376" s="140" t="str">
        <f t="shared" si="262"/>
        <v>2</v>
      </c>
      <c r="E2376" s="166" t="s">
        <v>693</v>
      </c>
      <c r="F2376" s="140">
        <f t="shared" si="267"/>
        <v>3</v>
      </c>
      <c r="G2376" s="140" t="str">
        <f t="shared" si="263"/>
        <v>4.2.3</v>
      </c>
      <c r="H2376" s="168" t="s">
        <v>672</v>
      </c>
      <c r="I2376" s="166" t="s">
        <v>107</v>
      </c>
      <c r="J2376" s="166" t="s">
        <v>545</v>
      </c>
      <c r="K2376" s="166" t="s">
        <v>1403</v>
      </c>
      <c r="L2376" s="177">
        <f>50000*1022</f>
        <v>51100000</v>
      </c>
      <c r="M2376" s="166">
        <v>1</v>
      </c>
      <c r="N2376" s="166">
        <v>1</v>
      </c>
      <c r="O2376" s="164">
        <f t="shared" si="264"/>
        <v>51100000</v>
      </c>
      <c r="P2376" s="166"/>
      <c r="Q2376" s="166"/>
      <c r="R2376" s="164">
        <f>$L2376*'Pivot Objective'!$C$9*P2376*Q2376</f>
        <v>0</v>
      </c>
      <c r="S2376" s="166"/>
      <c r="T2376" s="166"/>
      <c r="U2376" s="164">
        <f>($L2376*'Pivot Objective'!$C$9^2)*S2376*T2376</f>
        <v>0</v>
      </c>
      <c r="V2376" s="166"/>
      <c r="W2376" s="166"/>
      <c r="X2376" s="164">
        <f>($L2376*'Pivot Objective'!$C$9^3)*V2376*W2376</f>
        <v>0</v>
      </c>
      <c r="Y2376" s="166"/>
      <c r="Z2376" s="166"/>
      <c r="AA2376" s="164">
        <f>($L2376*'Pivot Objective'!$C$9^4)*Y2376*Z2376</f>
        <v>0</v>
      </c>
      <c r="AB2376" s="166"/>
      <c r="AC2376" s="166"/>
      <c r="AD2376" s="164">
        <f>($L2376*'Pivot Objective'!$C$9^5)*AB2376*AC2376</f>
        <v>0</v>
      </c>
      <c r="AE2376" s="166"/>
      <c r="AF2376" s="166"/>
      <c r="AG2376" s="164">
        <f>($L2376*'Pivot Objective'!$C$9^6)*AE2376*AF2376</f>
        <v>0</v>
      </c>
      <c r="AH2376" s="166"/>
      <c r="AI2376" s="166"/>
      <c r="AJ2376" s="164">
        <f>($L2376*'Pivot Objective'!$C$9^7)*AH2376*AI2376</f>
        <v>0</v>
      </c>
      <c r="AK2376" s="185">
        <f t="shared" si="265"/>
        <v>51100000</v>
      </c>
      <c r="AL2376" s="186">
        <f t="shared" si="266"/>
        <v>49611.65048543689</v>
      </c>
    </row>
    <row r="2377" spans="1:38" customFormat="1" ht="57.6" x14ac:dyDescent="0.3">
      <c r="A2377" s="140" t="s">
        <v>1488</v>
      </c>
      <c r="B2377" s="140">
        <v>4</v>
      </c>
      <c r="C2377" s="166" t="s">
        <v>697</v>
      </c>
      <c r="D2377" s="140" t="str">
        <f t="shared" si="262"/>
        <v>2</v>
      </c>
      <c r="E2377" s="166" t="s">
        <v>693</v>
      </c>
      <c r="F2377" s="140">
        <f t="shared" si="267"/>
        <v>3</v>
      </c>
      <c r="G2377" s="140" t="str">
        <f t="shared" si="263"/>
        <v>4.2.3</v>
      </c>
      <c r="H2377" s="168" t="s">
        <v>672</v>
      </c>
      <c r="I2377" s="166" t="s">
        <v>108</v>
      </c>
      <c r="J2377" s="166" t="s">
        <v>546</v>
      </c>
      <c r="K2377" s="166" t="s">
        <v>718</v>
      </c>
      <c r="L2377" s="177">
        <v>0</v>
      </c>
      <c r="M2377" s="166">
        <v>0</v>
      </c>
      <c r="N2377" s="166">
        <v>0</v>
      </c>
      <c r="O2377" s="164">
        <f t="shared" si="264"/>
        <v>0</v>
      </c>
      <c r="P2377" s="166">
        <v>0</v>
      </c>
      <c r="Q2377" s="166">
        <v>0</v>
      </c>
      <c r="R2377" s="164">
        <f>$L2377*'Pivot Objective'!$C$9*P2377*Q2377</f>
        <v>0</v>
      </c>
      <c r="S2377" s="166">
        <v>0</v>
      </c>
      <c r="T2377" s="166">
        <v>0</v>
      </c>
      <c r="U2377" s="164">
        <f>($L2377*'Pivot Objective'!$C$9^2)*S2377*T2377</f>
        <v>0</v>
      </c>
      <c r="V2377" s="166">
        <v>0</v>
      </c>
      <c r="W2377" s="166">
        <v>0</v>
      </c>
      <c r="X2377" s="164">
        <f>($L2377*'Pivot Objective'!$C$9^3)*V2377*W2377</f>
        <v>0</v>
      </c>
      <c r="Y2377" s="166">
        <v>0</v>
      </c>
      <c r="Z2377" s="166">
        <v>0</v>
      </c>
      <c r="AA2377" s="164">
        <f>($L2377*'Pivot Objective'!$C$9^4)*Y2377*Z2377</f>
        <v>0</v>
      </c>
      <c r="AB2377" s="166">
        <v>0</v>
      </c>
      <c r="AC2377" s="166">
        <v>0</v>
      </c>
      <c r="AD2377" s="164">
        <f>($L2377*'Pivot Objective'!$C$9^5)*AB2377*AC2377</f>
        <v>0</v>
      </c>
      <c r="AE2377" s="166">
        <v>0</v>
      </c>
      <c r="AF2377" s="166">
        <v>0</v>
      </c>
      <c r="AG2377" s="164">
        <f>($L2377*'Pivot Objective'!$C$9^6)*AE2377*AF2377</f>
        <v>0</v>
      </c>
      <c r="AH2377" s="166">
        <v>0</v>
      </c>
      <c r="AI2377" s="166">
        <v>0</v>
      </c>
      <c r="AJ2377" s="164">
        <f>($L2377*'Pivot Objective'!$C$9^7)*AH2377*AI2377</f>
        <v>0</v>
      </c>
      <c r="AK2377" s="185">
        <f t="shared" si="265"/>
        <v>0</v>
      </c>
      <c r="AL2377" s="186">
        <f t="shared" si="266"/>
        <v>0</v>
      </c>
    </row>
    <row r="2378" spans="1:38" customFormat="1" ht="57.6" x14ac:dyDescent="0.3">
      <c r="A2378" s="140" t="s">
        <v>1488</v>
      </c>
      <c r="B2378" s="140">
        <v>4</v>
      </c>
      <c r="C2378" s="166" t="s">
        <v>697</v>
      </c>
      <c r="D2378" s="140" t="str">
        <f t="shared" si="262"/>
        <v>2</v>
      </c>
      <c r="E2378" s="166" t="s">
        <v>693</v>
      </c>
      <c r="F2378" s="140">
        <f t="shared" si="267"/>
        <v>3</v>
      </c>
      <c r="G2378" s="140" t="str">
        <f t="shared" si="263"/>
        <v>4.2.3</v>
      </c>
      <c r="H2378" s="168" t="s">
        <v>672</v>
      </c>
      <c r="I2378" s="166" t="s">
        <v>108</v>
      </c>
      <c r="J2378" s="166" t="s">
        <v>165</v>
      </c>
      <c r="K2378" s="166" t="s">
        <v>707</v>
      </c>
      <c r="L2378" s="177">
        <v>391991.03749999998</v>
      </c>
      <c r="M2378" s="166">
        <v>1</v>
      </c>
      <c r="N2378" s="166">
        <v>1</v>
      </c>
      <c r="O2378" s="164">
        <f t="shared" si="264"/>
        <v>391991.03749999998</v>
      </c>
      <c r="P2378" s="166">
        <v>0</v>
      </c>
      <c r="Q2378" s="166">
        <v>0</v>
      </c>
      <c r="R2378" s="164">
        <f>$L2378*'Pivot Objective'!$C$9*P2378*Q2378</f>
        <v>0</v>
      </c>
      <c r="S2378" s="166"/>
      <c r="T2378" s="166"/>
      <c r="U2378" s="164">
        <f>($L2378*'Pivot Objective'!$C$9^2)*S2378*T2378</f>
        <v>0</v>
      </c>
      <c r="V2378" s="166">
        <v>0</v>
      </c>
      <c r="W2378" s="166">
        <v>0</v>
      </c>
      <c r="X2378" s="164">
        <f>($L2378*'Pivot Objective'!$C$9^3)*V2378*W2378</f>
        <v>0</v>
      </c>
      <c r="Y2378" s="166">
        <v>0</v>
      </c>
      <c r="Z2378" s="166">
        <v>0</v>
      </c>
      <c r="AA2378" s="164">
        <f>($L2378*'Pivot Objective'!$C$9^4)*Y2378*Z2378</f>
        <v>0</v>
      </c>
      <c r="AB2378" s="166">
        <v>0</v>
      </c>
      <c r="AC2378" s="166">
        <v>0</v>
      </c>
      <c r="AD2378" s="164">
        <f>($L2378*'Pivot Objective'!$C$9^5)*AB2378*AC2378</f>
        <v>0</v>
      </c>
      <c r="AE2378" s="166">
        <v>1</v>
      </c>
      <c r="AF2378" s="166">
        <v>1</v>
      </c>
      <c r="AG2378" s="164">
        <f>($L2378*'Pivot Objective'!$C$9^6)*AE2378*AF2378</f>
        <v>873722.72899618326</v>
      </c>
      <c r="AH2378" s="166">
        <v>0</v>
      </c>
      <c r="AI2378" s="166">
        <v>0</v>
      </c>
      <c r="AJ2378" s="164">
        <f>($L2378*'Pivot Objective'!$C$9^7)*AH2378*AI2378</f>
        <v>0</v>
      </c>
      <c r="AK2378" s="185">
        <f t="shared" si="265"/>
        <v>1265713.7664961834</v>
      </c>
      <c r="AL2378" s="186">
        <f t="shared" si="266"/>
        <v>1228.8483169865858</v>
      </c>
    </row>
    <row r="2379" spans="1:38" customFormat="1" ht="57.6" x14ac:dyDescent="0.3">
      <c r="A2379" s="140" t="s">
        <v>1488</v>
      </c>
      <c r="B2379" s="140">
        <v>4</v>
      </c>
      <c r="C2379" s="166" t="s">
        <v>697</v>
      </c>
      <c r="D2379" s="140" t="str">
        <f t="shared" si="262"/>
        <v>2</v>
      </c>
      <c r="E2379" s="166" t="s">
        <v>693</v>
      </c>
      <c r="F2379" s="140">
        <f t="shared" si="267"/>
        <v>3</v>
      </c>
      <c r="G2379" s="140" t="str">
        <f t="shared" si="263"/>
        <v>4.2.3</v>
      </c>
      <c r="H2379" s="168" t="s">
        <v>672</v>
      </c>
      <c r="I2379" s="166" t="s">
        <v>108</v>
      </c>
      <c r="J2379" s="166" t="s">
        <v>165</v>
      </c>
      <c r="K2379" s="166" t="s">
        <v>708</v>
      </c>
      <c r="L2379" s="177">
        <f>500*1022</f>
        <v>511000</v>
      </c>
      <c r="M2379" s="166">
        <v>1</v>
      </c>
      <c r="N2379" s="166">
        <v>25</v>
      </c>
      <c r="O2379" s="164">
        <f t="shared" si="264"/>
        <v>12775000</v>
      </c>
      <c r="P2379" s="166">
        <v>0</v>
      </c>
      <c r="Q2379" s="166">
        <v>0</v>
      </c>
      <c r="R2379" s="164">
        <f>$L2379*'Pivot Objective'!$C$9*P2379*Q2379</f>
        <v>0</v>
      </c>
      <c r="S2379" s="166"/>
      <c r="T2379" s="166"/>
      <c r="U2379" s="164">
        <f>($L2379*'Pivot Objective'!$C$9^2)*S2379*T2379</f>
        <v>0</v>
      </c>
      <c r="V2379" s="166">
        <v>0</v>
      </c>
      <c r="W2379" s="166">
        <v>0</v>
      </c>
      <c r="X2379" s="164">
        <f>($L2379*'Pivot Objective'!$C$9^3)*V2379*W2379</f>
        <v>0</v>
      </c>
      <c r="Y2379" s="166">
        <v>0</v>
      </c>
      <c r="Z2379" s="166">
        <v>0</v>
      </c>
      <c r="AA2379" s="164">
        <f>($L2379*'Pivot Objective'!$C$9^4)*Y2379*Z2379</f>
        <v>0</v>
      </c>
      <c r="AB2379" s="166">
        <v>0</v>
      </c>
      <c r="AC2379" s="166">
        <v>0</v>
      </c>
      <c r="AD2379" s="164">
        <f>($L2379*'Pivot Objective'!$C$9^5)*AB2379*AC2379</f>
        <v>0</v>
      </c>
      <c r="AE2379" s="166">
        <v>1</v>
      </c>
      <c r="AF2379" s="166">
        <v>25</v>
      </c>
      <c r="AG2379" s="164">
        <f>($L2379*'Pivot Objective'!$C$9^6)*AE2379*AF2379</f>
        <v>28474650.681079004</v>
      </c>
      <c r="AH2379" s="166">
        <v>0</v>
      </c>
      <c r="AI2379" s="166">
        <v>0</v>
      </c>
      <c r="AJ2379" s="164">
        <f>($L2379*'Pivot Objective'!$C$9^7)*AH2379*AI2379</f>
        <v>0</v>
      </c>
      <c r="AK2379" s="185">
        <f t="shared" si="265"/>
        <v>41249650.681079</v>
      </c>
      <c r="AL2379" s="186">
        <f t="shared" si="266"/>
        <v>40048.204544736895</v>
      </c>
    </row>
    <row r="2380" spans="1:38" customFormat="1" ht="57.6" x14ac:dyDescent="0.3">
      <c r="A2380" s="140" t="s">
        <v>1488</v>
      </c>
      <c r="B2380" s="140">
        <v>4</v>
      </c>
      <c r="C2380" s="166" t="s">
        <v>697</v>
      </c>
      <c r="D2380" s="140" t="str">
        <f t="shared" si="262"/>
        <v>2</v>
      </c>
      <c r="E2380" s="166" t="s">
        <v>693</v>
      </c>
      <c r="F2380" s="140">
        <f t="shared" si="267"/>
        <v>3</v>
      </c>
      <c r="G2380" s="140" t="str">
        <f t="shared" si="263"/>
        <v>4.2.3</v>
      </c>
      <c r="H2380" s="168" t="s">
        <v>672</v>
      </c>
      <c r="I2380" s="166" t="s">
        <v>108</v>
      </c>
      <c r="J2380" s="166" t="s">
        <v>162</v>
      </c>
      <c r="K2380" s="166" t="s">
        <v>716</v>
      </c>
      <c r="L2380" s="177">
        <v>39000</v>
      </c>
      <c r="M2380" s="166">
        <v>30</v>
      </c>
      <c r="N2380" s="166">
        <v>6</v>
      </c>
      <c r="O2380" s="164">
        <f t="shared" si="264"/>
        <v>7020000</v>
      </c>
      <c r="P2380" s="166">
        <v>0</v>
      </c>
      <c r="Q2380" s="166">
        <v>0</v>
      </c>
      <c r="R2380" s="164">
        <f>$L2380*'Pivot Objective'!$C$9*P2380*Q2380</f>
        <v>0</v>
      </c>
      <c r="S2380" s="166"/>
      <c r="T2380" s="166"/>
      <c r="U2380" s="164">
        <f>($L2380*'Pivot Objective'!$C$9^2)*S2380*T2380</f>
        <v>0</v>
      </c>
      <c r="V2380" s="166">
        <v>0</v>
      </c>
      <c r="W2380" s="166">
        <v>0</v>
      </c>
      <c r="X2380" s="164">
        <f>($L2380*'Pivot Objective'!$C$9^3)*V2380*W2380</f>
        <v>0</v>
      </c>
      <c r="Y2380" s="166">
        <v>0</v>
      </c>
      <c r="Z2380" s="166">
        <v>0</v>
      </c>
      <c r="AA2380" s="164">
        <f>($L2380*'Pivot Objective'!$C$9^4)*Y2380*Z2380</f>
        <v>0</v>
      </c>
      <c r="AB2380" s="166">
        <v>0</v>
      </c>
      <c r="AC2380" s="166">
        <v>0</v>
      </c>
      <c r="AD2380" s="164">
        <f>($L2380*'Pivot Objective'!$C$9^5)*AB2380*AC2380</f>
        <v>0</v>
      </c>
      <c r="AE2380" s="166">
        <v>30</v>
      </c>
      <c r="AF2380" s="166">
        <v>6</v>
      </c>
      <c r="AG2380" s="164">
        <f>($L2380*'Pivot Objective'!$C$9^6)*AE2380*AF2380</f>
        <v>15647127.027880596</v>
      </c>
      <c r="AH2380" s="166">
        <v>0</v>
      </c>
      <c r="AI2380" s="166">
        <v>0</v>
      </c>
      <c r="AJ2380" s="164">
        <f>($L2380*'Pivot Objective'!$C$9^7)*AH2380*AI2380</f>
        <v>0</v>
      </c>
      <c r="AK2380" s="185">
        <f t="shared" si="265"/>
        <v>22667127.027880594</v>
      </c>
      <c r="AL2380" s="186">
        <f t="shared" si="266"/>
        <v>22006.919444544266</v>
      </c>
    </row>
    <row r="2381" spans="1:38" customFormat="1" ht="57.6" x14ac:dyDescent="0.3">
      <c r="A2381" s="140" t="s">
        <v>1488</v>
      </c>
      <c r="B2381" s="140">
        <v>4</v>
      </c>
      <c r="C2381" s="166" t="s">
        <v>697</v>
      </c>
      <c r="D2381" s="140" t="str">
        <f t="shared" si="262"/>
        <v>2</v>
      </c>
      <c r="E2381" s="166" t="s">
        <v>693</v>
      </c>
      <c r="F2381" s="140">
        <f t="shared" si="267"/>
        <v>3</v>
      </c>
      <c r="G2381" s="140" t="str">
        <f t="shared" si="263"/>
        <v>4.2.3</v>
      </c>
      <c r="H2381" s="168" t="s">
        <v>672</v>
      </c>
      <c r="I2381" s="166" t="s">
        <v>108</v>
      </c>
      <c r="J2381" s="166" t="s">
        <v>162</v>
      </c>
      <c r="K2381" s="166" t="s">
        <v>709</v>
      </c>
      <c r="L2381" s="177">
        <v>35000</v>
      </c>
      <c r="M2381" s="166">
        <v>30</v>
      </c>
      <c r="N2381" s="166">
        <v>5</v>
      </c>
      <c r="O2381" s="164">
        <f t="shared" si="264"/>
        <v>5250000</v>
      </c>
      <c r="P2381" s="166">
        <v>0</v>
      </c>
      <c r="Q2381" s="166">
        <v>0</v>
      </c>
      <c r="R2381" s="164">
        <f>$L2381*'Pivot Objective'!$C$9*P2381*Q2381</f>
        <v>0</v>
      </c>
      <c r="S2381" s="166"/>
      <c r="T2381" s="166"/>
      <c r="U2381" s="164">
        <f>($L2381*'Pivot Objective'!$C$9^2)*S2381*T2381</f>
        <v>0</v>
      </c>
      <c r="V2381" s="166">
        <v>0</v>
      </c>
      <c r="W2381" s="166">
        <v>0</v>
      </c>
      <c r="X2381" s="164">
        <f>($L2381*'Pivot Objective'!$C$9^3)*V2381*W2381</f>
        <v>0</v>
      </c>
      <c r="Y2381" s="166">
        <v>0</v>
      </c>
      <c r="Z2381" s="166">
        <v>0</v>
      </c>
      <c r="AA2381" s="164">
        <f>($L2381*'Pivot Objective'!$C$9^4)*Y2381*Z2381</f>
        <v>0</v>
      </c>
      <c r="AB2381" s="166">
        <v>0</v>
      </c>
      <c r="AC2381" s="166">
        <v>0</v>
      </c>
      <c r="AD2381" s="164">
        <f>($L2381*'Pivot Objective'!$C$9^5)*AB2381*AC2381</f>
        <v>0</v>
      </c>
      <c r="AE2381" s="166">
        <v>30</v>
      </c>
      <c r="AF2381" s="166">
        <v>5</v>
      </c>
      <c r="AG2381" s="164">
        <f>($L2381*'Pivot Objective'!$C$9^6)*AE2381*AF2381</f>
        <v>11701911.238799591</v>
      </c>
      <c r="AH2381" s="166">
        <v>0</v>
      </c>
      <c r="AI2381" s="166">
        <v>0</v>
      </c>
      <c r="AJ2381" s="164">
        <f>($L2381*'Pivot Objective'!$C$9^7)*AH2381*AI2381</f>
        <v>0</v>
      </c>
      <c r="AK2381" s="185">
        <f t="shared" si="265"/>
        <v>16951911.238799591</v>
      </c>
      <c r="AL2381" s="186">
        <f t="shared" si="266"/>
        <v>16458.166251261737</v>
      </c>
    </row>
    <row r="2382" spans="1:38" customFormat="1" ht="57.6" x14ac:dyDescent="0.3">
      <c r="A2382" s="140" t="s">
        <v>1488</v>
      </c>
      <c r="B2382" s="140">
        <v>4</v>
      </c>
      <c r="C2382" s="166" t="s">
        <v>697</v>
      </c>
      <c r="D2382" s="140" t="str">
        <f t="shared" si="262"/>
        <v>2</v>
      </c>
      <c r="E2382" s="166" t="s">
        <v>693</v>
      </c>
      <c r="F2382" s="140">
        <f t="shared" si="267"/>
        <v>3</v>
      </c>
      <c r="G2382" s="140" t="str">
        <f t="shared" si="263"/>
        <v>4.2.3</v>
      </c>
      <c r="H2382" s="168" t="s">
        <v>672</v>
      </c>
      <c r="I2382" s="166" t="s">
        <v>108</v>
      </c>
      <c r="J2382" s="166" t="s">
        <v>162</v>
      </c>
      <c r="K2382" s="166" t="s">
        <v>712</v>
      </c>
      <c r="L2382" s="177">
        <f>1480/7</f>
        <v>211.42857142857142</v>
      </c>
      <c r="M2382" s="166">
        <f>25*2*10</f>
        <v>500</v>
      </c>
      <c r="N2382" s="166">
        <v>5</v>
      </c>
      <c r="O2382" s="164">
        <f t="shared" si="264"/>
        <v>528571.42857142852</v>
      </c>
      <c r="P2382" s="166">
        <v>0</v>
      </c>
      <c r="Q2382" s="166">
        <v>0</v>
      </c>
      <c r="R2382" s="164">
        <f>$L2382*'Pivot Objective'!$C$9*P2382*Q2382</f>
        <v>0</v>
      </c>
      <c r="S2382" s="166"/>
      <c r="T2382" s="166"/>
      <c r="U2382" s="164">
        <f>($L2382*'Pivot Objective'!$C$9^2)*S2382*T2382</f>
        <v>0</v>
      </c>
      <c r="V2382" s="166">
        <v>0</v>
      </c>
      <c r="W2382" s="166">
        <v>0</v>
      </c>
      <c r="X2382" s="164">
        <f>($L2382*'Pivot Objective'!$C$9^3)*V2382*W2382</f>
        <v>0</v>
      </c>
      <c r="Y2382" s="166">
        <v>0</v>
      </c>
      <c r="Z2382" s="166">
        <v>0</v>
      </c>
      <c r="AA2382" s="164">
        <f>($L2382*'Pivot Objective'!$C$9^4)*Y2382*Z2382</f>
        <v>0</v>
      </c>
      <c r="AB2382" s="166">
        <v>0</v>
      </c>
      <c r="AC2382" s="166">
        <v>0</v>
      </c>
      <c r="AD2382" s="164">
        <f>($L2382*'Pivot Objective'!$C$9^5)*AB2382*AC2382</f>
        <v>0</v>
      </c>
      <c r="AE2382" s="166">
        <f>25*2*10</f>
        <v>500</v>
      </c>
      <c r="AF2382" s="166">
        <v>5</v>
      </c>
      <c r="AG2382" s="164">
        <f>($L2382*'Pivot Objective'!$C$9^6)*AE2382*AF2382</f>
        <v>1178151.6077158772</v>
      </c>
      <c r="AH2382" s="166">
        <v>0</v>
      </c>
      <c r="AI2382" s="166">
        <v>0</v>
      </c>
      <c r="AJ2382" s="164">
        <f>($L2382*'Pivot Objective'!$C$9^7)*AH2382*AI2382</f>
        <v>0</v>
      </c>
      <c r="AK2382" s="185">
        <f t="shared" si="265"/>
        <v>1706723.0362873059</v>
      </c>
      <c r="AL2382" s="186">
        <f t="shared" si="266"/>
        <v>1657.0126565896173</v>
      </c>
    </row>
    <row r="2383" spans="1:38" customFormat="1" ht="57.6" x14ac:dyDescent="0.3">
      <c r="A2383" s="140" t="s">
        <v>1488</v>
      </c>
      <c r="B2383" s="140">
        <v>4</v>
      </c>
      <c r="C2383" s="166" t="s">
        <v>697</v>
      </c>
      <c r="D2383" s="140" t="str">
        <f t="shared" si="262"/>
        <v>2</v>
      </c>
      <c r="E2383" s="166" t="s">
        <v>693</v>
      </c>
      <c r="F2383" s="140">
        <f t="shared" si="267"/>
        <v>3</v>
      </c>
      <c r="G2383" s="140" t="str">
        <f t="shared" si="263"/>
        <v>4.2.3</v>
      </c>
      <c r="H2383" s="168" t="s">
        <v>672</v>
      </c>
      <c r="I2383" s="166" t="s">
        <v>108</v>
      </c>
      <c r="J2383" s="166" t="s">
        <v>162</v>
      </c>
      <c r="K2383" s="166" t="s">
        <v>1350</v>
      </c>
      <c r="L2383" s="177">
        <f>1480/7</f>
        <v>211.42857142857142</v>
      </c>
      <c r="M2383" s="166">
        <f>25*2*10</f>
        <v>500</v>
      </c>
      <c r="N2383" s="166">
        <v>5</v>
      </c>
      <c r="O2383" s="164">
        <f t="shared" si="264"/>
        <v>528571.42857142852</v>
      </c>
      <c r="P2383" s="166">
        <v>0</v>
      </c>
      <c r="Q2383" s="166">
        <v>0</v>
      </c>
      <c r="R2383" s="164">
        <f>$L2383*'Pivot Objective'!$C$9*P2383*Q2383</f>
        <v>0</v>
      </c>
      <c r="S2383" s="166"/>
      <c r="T2383" s="166"/>
      <c r="U2383" s="164">
        <f>($L2383*'Pivot Objective'!$C$9^2)*S2383*T2383</f>
        <v>0</v>
      </c>
      <c r="V2383" s="166">
        <v>0</v>
      </c>
      <c r="W2383" s="166">
        <v>0</v>
      </c>
      <c r="X2383" s="164">
        <f>($L2383*'Pivot Objective'!$C$9^3)*V2383*W2383</f>
        <v>0</v>
      </c>
      <c r="Y2383" s="166">
        <v>0</v>
      </c>
      <c r="Z2383" s="166">
        <v>0</v>
      </c>
      <c r="AA2383" s="164">
        <f>($L2383*'Pivot Objective'!$C$9^4)*Y2383*Z2383</f>
        <v>0</v>
      </c>
      <c r="AB2383" s="166">
        <v>0</v>
      </c>
      <c r="AC2383" s="166">
        <v>0</v>
      </c>
      <c r="AD2383" s="164">
        <f>($L2383*'Pivot Objective'!$C$9^5)*AB2383*AC2383</f>
        <v>0</v>
      </c>
      <c r="AE2383" s="166">
        <f>25*2*10</f>
        <v>500</v>
      </c>
      <c r="AF2383" s="166">
        <v>5</v>
      </c>
      <c r="AG2383" s="164">
        <f>($L2383*'Pivot Objective'!$C$9^6)*AE2383*AF2383</f>
        <v>1178151.6077158772</v>
      </c>
      <c r="AH2383" s="166">
        <v>0</v>
      </c>
      <c r="AI2383" s="166">
        <v>0</v>
      </c>
      <c r="AJ2383" s="164">
        <f>($L2383*'Pivot Objective'!$C$9^7)*AH2383*AI2383</f>
        <v>0</v>
      </c>
      <c r="AK2383" s="185">
        <f t="shared" si="265"/>
        <v>1706723.0362873059</v>
      </c>
      <c r="AL2383" s="186">
        <f t="shared" si="266"/>
        <v>1657.0126565896173</v>
      </c>
    </row>
    <row r="2384" spans="1:38" customFormat="1" ht="57.6" x14ac:dyDescent="0.3">
      <c r="A2384" s="140" t="s">
        <v>1488</v>
      </c>
      <c r="B2384" s="140">
        <v>4</v>
      </c>
      <c r="C2384" s="166" t="s">
        <v>697</v>
      </c>
      <c r="D2384" s="140" t="str">
        <f t="shared" si="262"/>
        <v>2</v>
      </c>
      <c r="E2384" s="166" t="s">
        <v>693</v>
      </c>
      <c r="F2384" s="140">
        <f t="shared" si="267"/>
        <v>3</v>
      </c>
      <c r="G2384" s="140" t="str">
        <f t="shared" si="263"/>
        <v>4.2.3</v>
      </c>
      <c r="H2384" s="168" t="s">
        <v>672</v>
      </c>
      <c r="I2384" s="166" t="s">
        <v>108</v>
      </c>
      <c r="J2384" s="166" t="s">
        <v>795</v>
      </c>
      <c r="K2384" s="166" t="s">
        <v>725</v>
      </c>
      <c r="L2384" s="177">
        <f>50000*1022</f>
        <v>51100000</v>
      </c>
      <c r="M2384" s="166">
        <v>1</v>
      </c>
      <c r="N2384" s="166">
        <v>3</v>
      </c>
      <c r="O2384" s="164">
        <f t="shared" si="264"/>
        <v>153300000</v>
      </c>
      <c r="P2384" s="166">
        <v>0</v>
      </c>
      <c r="Q2384" s="166">
        <v>0</v>
      </c>
      <c r="R2384" s="164">
        <f>$L2384*'Pivot Objective'!$C$9*P2384*Q2384</f>
        <v>0</v>
      </c>
      <c r="S2384" s="166"/>
      <c r="T2384" s="166"/>
      <c r="U2384" s="164">
        <f>($L2384*'Pivot Objective'!$C$9^2)*S2384*T2384</f>
        <v>0</v>
      </c>
      <c r="V2384" s="166">
        <v>0</v>
      </c>
      <c r="W2384" s="166">
        <v>0</v>
      </c>
      <c r="X2384" s="164">
        <f>($L2384*'Pivot Objective'!$C$9^3)*V2384*W2384</f>
        <v>0</v>
      </c>
      <c r="Y2384" s="166">
        <v>0</v>
      </c>
      <c r="Z2384" s="166">
        <v>0</v>
      </c>
      <c r="AA2384" s="164">
        <f>($L2384*'Pivot Objective'!$C$9^4)*Y2384*Z2384</f>
        <v>0</v>
      </c>
      <c r="AB2384" s="166">
        <v>0</v>
      </c>
      <c r="AC2384" s="166">
        <v>0</v>
      </c>
      <c r="AD2384" s="164">
        <f>($L2384*'Pivot Objective'!$C$9^5)*AB2384*AC2384</f>
        <v>0</v>
      </c>
      <c r="AE2384" s="166">
        <v>1</v>
      </c>
      <c r="AF2384" s="166">
        <v>3</v>
      </c>
      <c r="AG2384" s="164">
        <f>($L2384*'Pivot Objective'!$C$9^6)*AE2384*AF2384</f>
        <v>341695808.17294812</v>
      </c>
      <c r="AH2384" s="166">
        <v>0</v>
      </c>
      <c r="AI2384" s="166">
        <v>0</v>
      </c>
      <c r="AJ2384" s="164">
        <f>($L2384*'Pivot Objective'!$C$9^7)*AH2384*AI2384</f>
        <v>0</v>
      </c>
      <c r="AK2384" s="185">
        <f t="shared" si="265"/>
        <v>494995808.17294812</v>
      </c>
      <c r="AL2384" s="186">
        <f t="shared" si="266"/>
        <v>480578.45453684282</v>
      </c>
    </row>
    <row r="2385" spans="1:38" customFormat="1" ht="57.6" x14ac:dyDescent="0.3">
      <c r="A2385" s="140" t="s">
        <v>1488</v>
      </c>
      <c r="B2385" s="140">
        <v>4</v>
      </c>
      <c r="C2385" s="166" t="s">
        <v>697</v>
      </c>
      <c r="D2385" s="140" t="str">
        <f t="shared" si="262"/>
        <v>2</v>
      </c>
      <c r="E2385" s="166" t="s">
        <v>693</v>
      </c>
      <c r="F2385" s="140">
        <f t="shared" si="267"/>
        <v>3</v>
      </c>
      <c r="G2385" s="140" t="str">
        <f t="shared" si="263"/>
        <v>4.2.3</v>
      </c>
      <c r="H2385" s="168" t="s">
        <v>672</v>
      </c>
      <c r="I2385" s="166" t="s">
        <v>108</v>
      </c>
      <c r="J2385" s="166" t="s">
        <v>1404</v>
      </c>
      <c r="K2385" s="166" t="s">
        <v>741</v>
      </c>
      <c r="L2385" s="177">
        <f>42000*1022</f>
        <v>42924000</v>
      </c>
      <c r="M2385" s="166">
        <v>1</v>
      </c>
      <c r="N2385" s="166">
        <v>1</v>
      </c>
      <c r="O2385" s="164">
        <f t="shared" si="264"/>
        <v>42924000</v>
      </c>
      <c r="P2385" s="166">
        <v>0</v>
      </c>
      <c r="Q2385" s="166">
        <v>0</v>
      </c>
      <c r="R2385" s="164">
        <f>$L2385*'Pivot Objective'!$C$9*P2385*Q2385</f>
        <v>0</v>
      </c>
      <c r="S2385" s="166"/>
      <c r="T2385" s="166"/>
      <c r="U2385" s="164">
        <f>($L2385*'Pivot Objective'!$C$9^2)*S2385*T2385</f>
        <v>0</v>
      </c>
      <c r="V2385" s="166">
        <v>0</v>
      </c>
      <c r="W2385" s="166">
        <v>0</v>
      </c>
      <c r="X2385" s="164">
        <f>($L2385*'Pivot Objective'!$C$9^3)*V2385*W2385</f>
        <v>0</v>
      </c>
      <c r="Y2385" s="166">
        <v>0</v>
      </c>
      <c r="Z2385" s="166">
        <v>0</v>
      </c>
      <c r="AA2385" s="164">
        <f>($L2385*'Pivot Objective'!$C$9^4)*Y2385*Z2385</f>
        <v>0</v>
      </c>
      <c r="AB2385" s="166">
        <v>0</v>
      </c>
      <c r="AC2385" s="166">
        <v>0</v>
      </c>
      <c r="AD2385" s="164">
        <f>($L2385*'Pivot Objective'!$C$9^5)*AB2385*AC2385</f>
        <v>0</v>
      </c>
      <c r="AE2385" s="166">
        <v>1</v>
      </c>
      <c r="AF2385" s="166">
        <v>1</v>
      </c>
      <c r="AG2385" s="164">
        <f>($L2385*'Pivot Objective'!$C$9^6)*AE2385*AF2385</f>
        <v>95674826.28842546</v>
      </c>
      <c r="AH2385" s="166">
        <v>0</v>
      </c>
      <c r="AI2385" s="166">
        <v>0</v>
      </c>
      <c r="AJ2385" s="164">
        <f>($L2385*'Pivot Objective'!$C$9^7)*AH2385*AI2385</f>
        <v>0</v>
      </c>
      <c r="AK2385" s="185">
        <f t="shared" si="265"/>
        <v>138598826.28842545</v>
      </c>
      <c r="AL2385" s="186">
        <f t="shared" si="266"/>
        <v>134561.96727031597</v>
      </c>
    </row>
    <row r="2386" spans="1:38" customFormat="1" ht="57.6" x14ac:dyDescent="0.3">
      <c r="A2386" s="140" t="s">
        <v>1488</v>
      </c>
      <c r="B2386" s="140">
        <v>4</v>
      </c>
      <c r="C2386" s="166" t="s">
        <v>697</v>
      </c>
      <c r="D2386" s="140" t="str">
        <f t="shared" si="262"/>
        <v>2</v>
      </c>
      <c r="E2386" s="166" t="s">
        <v>693</v>
      </c>
      <c r="F2386" s="140">
        <f t="shared" si="267"/>
        <v>3</v>
      </c>
      <c r="G2386" s="140" t="str">
        <f t="shared" si="263"/>
        <v>4.2.3</v>
      </c>
      <c r="H2386" s="168" t="s">
        <v>672</v>
      </c>
      <c r="I2386" s="166" t="s">
        <v>110</v>
      </c>
      <c r="J2386" s="166" t="s">
        <v>549</v>
      </c>
      <c r="K2386" s="166" t="s">
        <v>718</v>
      </c>
      <c r="L2386" s="177">
        <v>0</v>
      </c>
      <c r="M2386" s="166">
        <v>0</v>
      </c>
      <c r="N2386" s="166">
        <v>0</v>
      </c>
      <c r="O2386" s="164">
        <f t="shared" si="264"/>
        <v>0</v>
      </c>
      <c r="P2386" s="166">
        <v>0</v>
      </c>
      <c r="Q2386" s="166">
        <v>0</v>
      </c>
      <c r="R2386" s="164">
        <f>$L2386*'Pivot Objective'!$C$9*P2386*Q2386</f>
        <v>0</v>
      </c>
      <c r="S2386" s="166">
        <v>0</v>
      </c>
      <c r="T2386" s="166">
        <v>0</v>
      </c>
      <c r="U2386" s="164">
        <f>($L2386*'Pivot Objective'!$C$9^2)*S2386*T2386</f>
        <v>0</v>
      </c>
      <c r="V2386" s="166">
        <v>0</v>
      </c>
      <c r="W2386" s="166">
        <v>0</v>
      </c>
      <c r="X2386" s="164">
        <f>($L2386*'Pivot Objective'!$C$9^3)*V2386*W2386</f>
        <v>0</v>
      </c>
      <c r="Y2386" s="166">
        <v>0</v>
      </c>
      <c r="Z2386" s="166">
        <v>0</v>
      </c>
      <c r="AA2386" s="164">
        <f>($L2386*'Pivot Objective'!$C$9^4)*Y2386*Z2386</f>
        <v>0</v>
      </c>
      <c r="AB2386" s="166">
        <v>0</v>
      </c>
      <c r="AC2386" s="166">
        <v>0</v>
      </c>
      <c r="AD2386" s="164">
        <f>($L2386*'Pivot Objective'!$C$9^5)*AB2386*AC2386</f>
        <v>0</v>
      </c>
      <c r="AE2386" s="166">
        <v>0</v>
      </c>
      <c r="AF2386" s="166">
        <v>0</v>
      </c>
      <c r="AG2386" s="164">
        <f>($L2386*'Pivot Objective'!$C$9^6)*AE2386*AF2386</f>
        <v>0</v>
      </c>
      <c r="AH2386" s="166">
        <v>0</v>
      </c>
      <c r="AI2386" s="166">
        <v>0</v>
      </c>
      <c r="AJ2386" s="164">
        <f>($L2386*'Pivot Objective'!$C$9^7)*AH2386*AI2386</f>
        <v>0</v>
      </c>
      <c r="AK2386" s="185">
        <f t="shared" si="265"/>
        <v>0</v>
      </c>
      <c r="AL2386" s="186">
        <f t="shared" si="266"/>
        <v>0</v>
      </c>
    </row>
    <row r="2387" spans="1:38" customFormat="1" ht="57.6" x14ac:dyDescent="0.3">
      <c r="A2387" s="140" t="s">
        <v>1488</v>
      </c>
      <c r="B2387" s="140">
        <v>4</v>
      </c>
      <c r="C2387" s="166" t="s">
        <v>697</v>
      </c>
      <c r="D2387" s="140" t="str">
        <f t="shared" si="262"/>
        <v>2</v>
      </c>
      <c r="E2387" s="166" t="s">
        <v>693</v>
      </c>
      <c r="F2387" s="140">
        <f t="shared" si="267"/>
        <v>3</v>
      </c>
      <c r="G2387" s="140" t="str">
        <f t="shared" si="263"/>
        <v>4.2.3</v>
      </c>
      <c r="H2387" s="168" t="s">
        <v>672</v>
      </c>
      <c r="I2387" s="166" t="s">
        <v>110</v>
      </c>
      <c r="J2387" s="166" t="s">
        <v>550</v>
      </c>
      <c r="K2387" s="166" t="s">
        <v>718</v>
      </c>
      <c r="L2387" s="177">
        <v>0</v>
      </c>
      <c r="M2387" s="166">
        <v>0</v>
      </c>
      <c r="N2387" s="166">
        <v>0</v>
      </c>
      <c r="O2387" s="164">
        <f t="shared" si="264"/>
        <v>0</v>
      </c>
      <c r="P2387" s="166">
        <v>0</v>
      </c>
      <c r="Q2387" s="166">
        <v>0</v>
      </c>
      <c r="R2387" s="164">
        <f>$L2387*'Pivot Objective'!$C$9*P2387*Q2387</f>
        <v>0</v>
      </c>
      <c r="S2387" s="166">
        <v>0</v>
      </c>
      <c r="T2387" s="166">
        <v>0</v>
      </c>
      <c r="U2387" s="164">
        <f>($L2387*'Pivot Objective'!$C$9^2)*S2387*T2387</f>
        <v>0</v>
      </c>
      <c r="V2387" s="166">
        <v>0</v>
      </c>
      <c r="W2387" s="166">
        <v>0</v>
      </c>
      <c r="X2387" s="164">
        <f>($L2387*'Pivot Objective'!$C$9^3)*V2387*W2387</f>
        <v>0</v>
      </c>
      <c r="Y2387" s="166">
        <v>0</v>
      </c>
      <c r="Z2387" s="166">
        <v>0</v>
      </c>
      <c r="AA2387" s="164">
        <f>($L2387*'Pivot Objective'!$C$9^4)*Y2387*Z2387</f>
        <v>0</v>
      </c>
      <c r="AB2387" s="166">
        <v>0</v>
      </c>
      <c r="AC2387" s="166">
        <v>0</v>
      </c>
      <c r="AD2387" s="164">
        <f>($L2387*'Pivot Objective'!$C$9^5)*AB2387*AC2387</f>
        <v>0</v>
      </c>
      <c r="AE2387" s="166">
        <v>0</v>
      </c>
      <c r="AF2387" s="166">
        <v>0</v>
      </c>
      <c r="AG2387" s="164">
        <f>($L2387*'Pivot Objective'!$C$9^6)*AE2387*AF2387</f>
        <v>0</v>
      </c>
      <c r="AH2387" s="166">
        <v>0</v>
      </c>
      <c r="AI2387" s="166">
        <v>0</v>
      </c>
      <c r="AJ2387" s="164">
        <f>($L2387*'Pivot Objective'!$C$9^7)*AH2387*AI2387</f>
        <v>0</v>
      </c>
      <c r="AK2387" s="185">
        <f t="shared" si="265"/>
        <v>0</v>
      </c>
      <c r="AL2387" s="186">
        <f t="shared" si="266"/>
        <v>0</v>
      </c>
    </row>
    <row r="2388" spans="1:38" customFormat="1" ht="57.6" x14ac:dyDescent="0.3">
      <c r="A2388" s="140" t="s">
        <v>1488</v>
      </c>
      <c r="B2388" s="140">
        <v>4</v>
      </c>
      <c r="C2388" s="166" t="s">
        <v>697</v>
      </c>
      <c r="D2388" s="140" t="str">
        <f t="shared" si="262"/>
        <v>2</v>
      </c>
      <c r="E2388" s="166" t="s">
        <v>693</v>
      </c>
      <c r="F2388" s="140">
        <f t="shared" si="267"/>
        <v>3</v>
      </c>
      <c r="G2388" s="140" t="str">
        <f t="shared" si="263"/>
        <v>4.2.3</v>
      </c>
      <c r="H2388" s="168" t="s">
        <v>672</v>
      </c>
      <c r="I2388" s="166" t="s">
        <v>110</v>
      </c>
      <c r="J2388" s="166" t="s">
        <v>551</v>
      </c>
      <c r="K2388" s="166" t="s">
        <v>713</v>
      </c>
      <c r="L2388" s="177">
        <v>45000</v>
      </c>
      <c r="M2388" s="140"/>
      <c r="N2388" s="140"/>
      <c r="O2388" s="164">
        <f t="shared" si="264"/>
        <v>0</v>
      </c>
      <c r="P2388" s="166">
        <v>25</v>
      </c>
      <c r="Q2388" s="166">
        <v>2</v>
      </c>
      <c r="R2388" s="164">
        <f>$L2388*'Pivot Objective'!$C$9*P2388*Q2388</f>
        <v>2571572.4682499995</v>
      </c>
      <c r="S2388" s="166"/>
      <c r="T2388" s="166"/>
      <c r="U2388" s="164">
        <f>($L2388*'Pivot Objective'!$C$9^2)*S2388*T2388</f>
        <v>0</v>
      </c>
      <c r="V2388" s="166">
        <v>0</v>
      </c>
      <c r="W2388" s="166">
        <v>0</v>
      </c>
      <c r="X2388" s="164">
        <f>($L2388*'Pivot Objective'!$C$9^3)*V2388*W2388</f>
        <v>0</v>
      </c>
      <c r="Y2388" s="166">
        <v>25</v>
      </c>
      <c r="Z2388" s="166">
        <v>2</v>
      </c>
      <c r="AA2388" s="164">
        <f>($L2388*'Pivot Objective'!$C$9^4)*Y2388*Z2388</f>
        <v>3839259.9241975434</v>
      </c>
      <c r="AB2388" s="166">
        <v>0</v>
      </c>
      <c r="AC2388" s="166">
        <v>0</v>
      </c>
      <c r="AD2388" s="164">
        <f>($L2388*'Pivot Objective'!$C$9^5)*AB2388*AC2388</f>
        <v>0</v>
      </c>
      <c r="AE2388" s="166">
        <v>25</v>
      </c>
      <c r="AF2388" s="166">
        <v>2</v>
      </c>
      <c r="AG2388" s="164">
        <f>($L2388*'Pivot Objective'!$C$9^6)*AE2388*AF2388</f>
        <v>5015104.8166283965</v>
      </c>
      <c r="AH2388" s="166">
        <v>0</v>
      </c>
      <c r="AI2388" s="166">
        <v>0</v>
      </c>
      <c r="AJ2388" s="164">
        <f>($L2388*'Pivot Objective'!$C$9^7)*AH2388*AI2388</f>
        <v>0</v>
      </c>
      <c r="AK2388" s="185">
        <f t="shared" si="265"/>
        <v>11425937.209075939</v>
      </c>
      <c r="AL2388" s="186">
        <f t="shared" si="266"/>
        <v>11093.142921432951</v>
      </c>
    </row>
    <row r="2389" spans="1:38" customFormat="1" ht="57.6" x14ac:dyDescent="0.3">
      <c r="A2389" s="140" t="s">
        <v>1488</v>
      </c>
      <c r="B2389" s="140">
        <v>4</v>
      </c>
      <c r="C2389" s="166" t="s">
        <v>697</v>
      </c>
      <c r="D2389" s="140" t="str">
        <f t="shared" si="262"/>
        <v>2</v>
      </c>
      <c r="E2389" s="166" t="s">
        <v>693</v>
      </c>
      <c r="F2389" s="140">
        <f t="shared" si="267"/>
        <v>3</v>
      </c>
      <c r="G2389" s="140" t="str">
        <f t="shared" si="263"/>
        <v>4.2.3</v>
      </c>
      <c r="H2389" s="168" t="s">
        <v>672</v>
      </c>
      <c r="I2389" s="166" t="s">
        <v>110</v>
      </c>
      <c r="J2389" s="166" t="s">
        <v>551</v>
      </c>
      <c r="K2389" s="166" t="s">
        <v>712</v>
      </c>
      <c r="L2389" s="177">
        <f>1480/7</f>
        <v>211.42857142857142</v>
      </c>
      <c r="M2389" s="140"/>
      <c r="N2389" s="140"/>
      <c r="O2389" s="164">
        <f t="shared" si="264"/>
        <v>0</v>
      </c>
      <c r="P2389" s="166">
        <f>25*2*9</f>
        <v>450</v>
      </c>
      <c r="Q2389" s="166">
        <v>1</v>
      </c>
      <c r="R2389" s="164">
        <f>$L2389*'Pivot Objective'!$C$9*P2389*Q2389</f>
        <v>108740.77865742856</v>
      </c>
      <c r="S2389" s="166"/>
      <c r="T2389" s="166"/>
      <c r="U2389" s="164">
        <f>($L2389*'Pivot Objective'!$C$9^2)*S2389*T2389</f>
        <v>0</v>
      </c>
      <c r="V2389" s="166">
        <v>0</v>
      </c>
      <c r="W2389" s="166">
        <v>0</v>
      </c>
      <c r="X2389" s="164">
        <f>($L2389*'Pivot Objective'!$C$9^3)*V2389*W2389</f>
        <v>0</v>
      </c>
      <c r="Y2389" s="166">
        <f>25*2*9</f>
        <v>450</v>
      </c>
      <c r="Z2389" s="166">
        <v>1</v>
      </c>
      <c r="AA2389" s="164">
        <f>($L2389*'Pivot Objective'!$C$9^4)*Y2389*Z2389</f>
        <v>162345.8482232104</v>
      </c>
      <c r="AB2389" s="166">
        <v>0</v>
      </c>
      <c r="AC2389" s="166">
        <v>0</v>
      </c>
      <c r="AD2389" s="164">
        <f>($L2389*'Pivot Objective'!$C$9^5)*AB2389*AC2389</f>
        <v>0</v>
      </c>
      <c r="AE2389" s="166">
        <f>25*2*9</f>
        <v>450</v>
      </c>
      <c r="AF2389" s="166">
        <v>1</v>
      </c>
      <c r="AG2389" s="164">
        <f>($L2389*'Pivot Objective'!$C$9^6)*AE2389*AF2389</f>
        <v>212067.2893888579</v>
      </c>
      <c r="AH2389" s="166">
        <v>0</v>
      </c>
      <c r="AI2389" s="166">
        <v>0</v>
      </c>
      <c r="AJ2389" s="164">
        <f>($L2389*'Pivot Objective'!$C$9^7)*AH2389*AI2389</f>
        <v>0</v>
      </c>
      <c r="AK2389" s="185">
        <f t="shared" si="265"/>
        <v>483153.91626949684</v>
      </c>
      <c r="AL2389" s="186">
        <f t="shared" si="266"/>
        <v>469.08147210630761</v>
      </c>
    </row>
    <row r="2390" spans="1:38" customFormat="1" ht="57.6" x14ac:dyDescent="0.3">
      <c r="A2390" s="140" t="s">
        <v>1488</v>
      </c>
      <c r="B2390" s="140">
        <v>4</v>
      </c>
      <c r="C2390" s="166" t="s">
        <v>697</v>
      </c>
      <c r="D2390" s="140" t="str">
        <f t="shared" si="262"/>
        <v>2</v>
      </c>
      <c r="E2390" s="166" t="s">
        <v>693</v>
      </c>
      <c r="F2390" s="140">
        <f t="shared" si="267"/>
        <v>3</v>
      </c>
      <c r="G2390" s="140" t="str">
        <f t="shared" si="263"/>
        <v>4.2.3</v>
      </c>
      <c r="H2390" s="168" t="s">
        <v>672</v>
      </c>
      <c r="I2390" s="166" t="s">
        <v>110</v>
      </c>
      <c r="J2390" s="166" t="s">
        <v>551</v>
      </c>
      <c r="K2390" s="166" t="s">
        <v>1350</v>
      </c>
      <c r="L2390" s="177">
        <f>1480/7</f>
        <v>211.42857142857142</v>
      </c>
      <c r="M2390" s="140"/>
      <c r="N2390" s="140"/>
      <c r="O2390" s="164">
        <f t="shared" si="264"/>
        <v>0</v>
      </c>
      <c r="P2390" s="166">
        <f>135*2*9</f>
        <v>2430</v>
      </c>
      <c r="Q2390" s="166">
        <v>1</v>
      </c>
      <c r="R2390" s="164">
        <f>$L2390*'Pivot Objective'!$C$9*P2390*Q2390</f>
        <v>587200.20475011424</v>
      </c>
      <c r="S2390" s="166"/>
      <c r="T2390" s="166"/>
      <c r="U2390" s="164">
        <f>($L2390*'Pivot Objective'!$C$9^2)*S2390*T2390</f>
        <v>0</v>
      </c>
      <c r="V2390" s="166"/>
      <c r="W2390" s="166"/>
      <c r="X2390" s="164">
        <f>($L2390*'Pivot Objective'!$C$9^3)*V2390*W2390</f>
        <v>0</v>
      </c>
      <c r="Y2390" s="166">
        <f>135*2*9</f>
        <v>2430</v>
      </c>
      <c r="Z2390" s="166">
        <v>1</v>
      </c>
      <c r="AA2390" s="164">
        <f>($L2390*'Pivot Objective'!$C$9^4)*Y2390*Z2390</f>
        <v>876667.58040533611</v>
      </c>
      <c r="AB2390" s="166"/>
      <c r="AC2390" s="166"/>
      <c r="AD2390" s="164">
        <f>($L2390*'Pivot Objective'!$C$9^5)*AB2390*AC2390</f>
        <v>0</v>
      </c>
      <c r="AE2390" s="166">
        <f>135*2*9</f>
        <v>2430</v>
      </c>
      <c r="AF2390" s="166">
        <v>1</v>
      </c>
      <c r="AG2390" s="164">
        <f>($L2390*'Pivot Objective'!$C$9^6)*AE2390*AF2390</f>
        <v>1145163.3626998325</v>
      </c>
      <c r="AH2390" s="166"/>
      <c r="AI2390" s="166"/>
      <c r="AJ2390" s="164">
        <f>($L2390*'Pivot Objective'!$C$9^7)*AH2390*AI2390</f>
        <v>0</v>
      </c>
      <c r="AK2390" s="185">
        <f t="shared" si="265"/>
        <v>2609031.1478552828</v>
      </c>
      <c r="AL2390" s="186">
        <f t="shared" si="266"/>
        <v>2533.0399493740611</v>
      </c>
    </row>
    <row r="2391" spans="1:38" customFormat="1" ht="57.6" x14ac:dyDescent="0.3">
      <c r="A2391" s="140" t="s">
        <v>1488</v>
      </c>
      <c r="B2391" s="140">
        <v>4</v>
      </c>
      <c r="C2391" s="166" t="s">
        <v>697</v>
      </c>
      <c r="D2391" s="140" t="str">
        <f t="shared" si="262"/>
        <v>2</v>
      </c>
      <c r="E2391" s="166" t="s">
        <v>693</v>
      </c>
      <c r="F2391" s="140">
        <f t="shared" si="267"/>
        <v>3</v>
      </c>
      <c r="G2391" s="140" t="str">
        <f t="shared" si="263"/>
        <v>4.2.3</v>
      </c>
      <c r="H2391" s="168" t="s">
        <v>672</v>
      </c>
      <c r="I2391" s="166" t="s">
        <v>110</v>
      </c>
      <c r="J2391" s="166" t="s">
        <v>552</v>
      </c>
      <c r="K2391" s="166" t="s">
        <v>709</v>
      </c>
      <c r="L2391" s="177">
        <v>35000</v>
      </c>
      <c r="M2391" s="140"/>
      <c r="N2391" s="140"/>
      <c r="O2391" s="164">
        <f t="shared" si="264"/>
        <v>0</v>
      </c>
      <c r="P2391" s="166">
        <v>25</v>
      </c>
      <c r="Q2391" s="166">
        <v>1</v>
      </c>
      <c r="R2391" s="164">
        <f>$L2391*'Pivot Objective'!$C$9*P2391*Q2391</f>
        <v>1000055.9598749998</v>
      </c>
      <c r="S2391" s="166"/>
      <c r="T2391" s="166"/>
      <c r="U2391" s="164">
        <f>($L2391*'Pivot Objective'!$C$9^2)*S2391*T2391</f>
        <v>0</v>
      </c>
      <c r="V2391" s="166"/>
      <c r="W2391" s="166"/>
      <c r="X2391" s="164">
        <f>($L2391*'Pivot Objective'!$C$9^3)*V2391*W2391</f>
        <v>0</v>
      </c>
      <c r="Y2391" s="166">
        <v>25</v>
      </c>
      <c r="Z2391" s="166">
        <v>1</v>
      </c>
      <c r="AA2391" s="164">
        <f>($L2391*'Pivot Objective'!$C$9^4)*Y2391*Z2391</f>
        <v>1493045.5260768225</v>
      </c>
      <c r="AB2391" s="166">
        <v>0</v>
      </c>
      <c r="AC2391" s="166">
        <v>0</v>
      </c>
      <c r="AD2391" s="164">
        <f>($L2391*'Pivot Objective'!$C$9^5)*AB2391*AC2391</f>
        <v>0</v>
      </c>
      <c r="AE2391" s="166">
        <v>25</v>
      </c>
      <c r="AF2391" s="166">
        <v>1</v>
      </c>
      <c r="AG2391" s="164">
        <f>($L2391*'Pivot Objective'!$C$9^6)*AE2391*AF2391</f>
        <v>1950318.5397999317</v>
      </c>
      <c r="AH2391" s="166">
        <v>0</v>
      </c>
      <c r="AI2391" s="166">
        <v>0</v>
      </c>
      <c r="AJ2391" s="164">
        <f>($L2391*'Pivot Objective'!$C$9^7)*AH2391*AI2391</f>
        <v>0</v>
      </c>
      <c r="AK2391" s="185">
        <f t="shared" si="265"/>
        <v>4443420.0257517537</v>
      </c>
      <c r="AL2391" s="186">
        <f t="shared" si="266"/>
        <v>4314.0000250017029</v>
      </c>
    </row>
    <row r="2392" spans="1:38" customFormat="1" ht="57.6" x14ac:dyDescent="0.3">
      <c r="A2392" s="140" t="s">
        <v>1488</v>
      </c>
      <c r="B2392" s="140">
        <v>4</v>
      </c>
      <c r="C2392" s="166" t="s">
        <v>697</v>
      </c>
      <c r="D2392" s="140" t="str">
        <f t="shared" si="262"/>
        <v>2</v>
      </c>
      <c r="E2392" s="166" t="s">
        <v>693</v>
      </c>
      <c r="F2392" s="140">
        <f t="shared" si="267"/>
        <v>3</v>
      </c>
      <c r="G2392" s="140" t="str">
        <f t="shared" si="263"/>
        <v>4.2.3</v>
      </c>
      <c r="H2392" s="168" t="s">
        <v>672</v>
      </c>
      <c r="I2392" s="166" t="s">
        <v>110</v>
      </c>
      <c r="J2392" s="166" t="s">
        <v>151</v>
      </c>
      <c r="K2392" s="166" t="s">
        <v>713</v>
      </c>
      <c r="L2392" s="177">
        <v>45000</v>
      </c>
      <c r="M2392" s="140"/>
      <c r="N2392" s="140"/>
      <c r="O2392" s="164">
        <f t="shared" si="264"/>
        <v>0</v>
      </c>
      <c r="P2392" s="166">
        <v>25</v>
      </c>
      <c r="Q2392" s="166">
        <v>6</v>
      </c>
      <c r="R2392" s="164">
        <f>$L2392*'Pivot Objective'!$C$9*P2392*Q2392</f>
        <v>7714717.4047499988</v>
      </c>
      <c r="S2392" s="166"/>
      <c r="T2392" s="166"/>
      <c r="U2392" s="164">
        <f>($L2392*'Pivot Objective'!$C$9^2)*S2392*T2392</f>
        <v>0</v>
      </c>
      <c r="V2392" s="166"/>
      <c r="W2392" s="166"/>
      <c r="X2392" s="164">
        <f>($L2392*'Pivot Objective'!$C$9^3)*V2392*W2392</f>
        <v>0</v>
      </c>
      <c r="Y2392" s="166">
        <v>25</v>
      </c>
      <c r="Z2392" s="166">
        <v>6</v>
      </c>
      <c r="AA2392" s="164">
        <f>($L2392*'Pivot Objective'!$C$9^4)*Y2392*Z2392</f>
        <v>11517779.77259263</v>
      </c>
      <c r="AB2392" s="166">
        <v>0</v>
      </c>
      <c r="AC2392" s="166">
        <v>0</v>
      </c>
      <c r="AD2392" s="164">
        <f>($L2392*'Pivot Objective'!$C$9^5)*AB2392*AC2392</f>
        <v>0</v>
      </c>
      <c r="AE2392" s="166">
        <v>25</v>
      </c>
      <c r="AF2392" s="166">
        <v>6</v>
      </c>
      <c r="AG2392" s="164">
        <f>($L2392*'Pivot Objective'!$C$9^6)*AE2392*AF2392</f>
        <v>15045314.44988519</v>
      </c>
      <c r="AH2392" s="166">
        <v>0</v>
      </c>
      <c r="AI2392" s="166">
        <v>0</v>
      </c>
      <c r="AJ2392" s="164">
        <f>($L2392*'Pivot Objective'!$C$9^7)*AH2392*AI2392</f>
        <v>0</v>
      </c>
      <c r="AK2392" s="185">
        <f t="shared" si="265"/>
        <v>34277811.62722782</v>
      </c>
      <c r="AL2392" s="186">
        <f t="shared" si="266"/>
        <v>33279.428764298857</v>
      </c>
    </row>
    <row r="2393" spans="1:38" customFormat="1" ht="57.6" x14ac:dyDescent="0.3">
      <c r="A2393" s="140" t="s">
        <v>1488</v>
      </c>
      <c r="B2393" s="140">
        <v>4</v>
      </c>
      <c r="C2393" s="166" t="s">
        <v>697</v>
      </c>
      <c r="D2393" s="140" t="str">
        <f t="shared" si="262"/>
        <v>2</v>
      </c>
      <c r="E2393" s="166" t="s">
        <v>693</v>
      </c>
      <c r="F2393" s="140">
        <f t="shared" si="267"/>
        <v>3</v>
      </c>
      <c r="G2393" s="140" t="str">
        <f t="shared" si="263"/>
        <v>4.2.3</v>
      </c>
      <c r="H2393" s="168" t="s">
        <v>672</v>
      </c>
      <c r="I2393" s="166" t="s">
        <v>110</v>
      </c>
      <c r="J2393" s="166" t="s">
        <v>151</v>
      </c>
      <c r="K2393" s="166" t="s">
        <v>1350</v>
      </c>
      <c r="L2393" s="177">
        <f>1480/7</f>
        <v>211.42857142857142</v>
      </c>
      <c r="M2393" s="140"/>
      <c r="N2393" s="140"/>
      <c r="O2393" s="164">
        <f t="shared" si="264"/>
        <v>0</v>
      </c>
      <c r="P2393" s="166">
        <f>135*2*9</f>
        <v>2430</v>
      </c>
      <c r="Q2393" s="166">
        <v>1</v>
      </c>
      <c r="R2393" s="164">
        <f>$L2393*'Pivot Objective'!$C$9*P2393*Q2393</f>
        <v>587200.20475011424</v>
      </c>
      <c r="S2393" s="166"/>
      <c r="T2393" s="166"/>
      <c r="U2393" s="164">
        <f>($L2393*'Pivot Objective'!$C$9^2)*S2393*T2393</f>
        <v>0</v>
      </c>
      <c r="V2393" s="166"/>
      <c r="W2393" s="166"/>
      <c r="X2393" s="164">
        <f>($L2393*'Pivot Objective'!$C$9^3)*V2393*W2393</f>
        <v>0</v>
      </c>
      <c r="Y2393" s="166">
        <f>135*2*9</f>
        <v>2430</v>
      </c>
      <c r="Z2393" s="166">
        <v>1</v>
      </c>
      <c r="AA2393" s="164">
        <f>($L2393*'Pivot Objective'!$C$9^4)*Y2393*Z2393</f>
        <v>876667.58040533611</v>
      </c>
      <c r="AB2393" s="166"/>
      <c r="AC2393" s="166"/>
      <c r="AD2393" s="164">
        <f>($L2393*'Pivot Objective'!$C$9^5)*AB2393*AC2393</f>
        <v>0</v>
      </c>
      <c r="AE2393" s="166">
        <f>135*2*9</f>
        <v>2430</v>
      </c>
      <c r="AF2393" s="166">
        <v>1</v>
      </c>
      <c r="AG2393" s="164">
        <f>($L2393*'Pivot Objective'!$C$9^6)*AE2393*AF2393</f>
        <v>1145163.3626998325</v>
      </c>
      <c r="AH2393" s="166"/>
      <c r="AI2393" s="166"/>
      <c r="AJ2393" s="164">
        <f>($L2393*'Pivot Objective'!$C$9^7)*AH2393*AI2393</f>
        <v>0</v>
      </c>
      <c r="AK2393" s="185">
        <f t="shared" si="265"/>
        <v>2609031.1478552828</v>
      </c>
      <c r="AL2393" s="186">
        <f t="shared" si="266"/>
        <v>2533.0399493740611</v>
      </c>
    </row>
    <row r="2394" spans="1:38" customFormat="1" ht="57.6" x14ac:dyDescent="0.3">
      <c r="A2394" s="140" t="s">
        <v>1488</v>
      </c>
      <c r="B2394" s="140">
        <v>4</v>
      </c>
      <c r="C2394" s="166" t="s">
        <v>697</v>
      </c>
      <c r="D2394" s="140" t="str">
        <f t="shared" si="262"/>
        <v>2</v>
      </c>
      <c r="E2394" s="166" t="s">
        <v>693</v>
      </c>
      <c r="F2394" s="140">
        <f t="shared" si="267"/>
        <v>3</v>
      </c>
      <c r="G2394" s="140" t="str">
        <f t="shared" si="263"/>
        <v>4.2.3</v>
      </c>
      <c r="H2394" s="168" t="s">
        <v>672</v>
      </c>
      <c r="I2394" s="166" t="s">
        <v>110</v>
      </c>
      <c r="J2394" s="166" t="s">
        <v>151</v>
      </c>
      <c r="K2394" s="166" t="s">
        <v>712</v>
      </c>
      <c r="L2394" s="177">
        <f>1480/7</f>
        <v>211.42857142857142</v>
      </c>
      <c r="M2394" s="140"/>
      <c r="N2394" s="140"/>
      <c r="O2394" s="164">
        <f t="shared" si="264"/>
        <v>0</v>
      </c>
      <c r="P2394" s="166">
        <f>25*2*9</f>
        <v>450</v>
      </c>
      <c r="Q2394" s="166">
        <v>5</v>
      </c>
      <c r="R2394" s="164">
        <f>$L2394*'Pivot Objective'!$C$9*P2394*Q2394</f>
        <v>543703.89328714274</v>
      </c>
      <c r="S2394" s="166"/>
      <c r="T2394" s="166"/>
      <c r="U2394" s="164">
        <f>($L2394*'Pivot Objective'!$C$9^2)*S2394*T2394</f>
        <v>0</v>
      </c>
      <c r="V2394" s="166"/>
      <c r="W2394" s="166"/>
      <c r="X2394" s="164">
        <f>($L2394*'Pivot Objective'!$C$9^3)*V2394*W2394</f>
        <v>0</v>
      </c>
      <c r="Y2394" s="166">
        <f>25*2*9</f>
        <v>450</v>
      </c>
      <c r="Z2394" s="166">
        <v>5</v>
      </c>
      <c r="AA2394" s="164">
        <f>($L2394*'Pivot Objective'!$C$9^4)*Y2394*Z2394</f>
        <v>811729.24111605203</v>
      </c>
      <c r="AB2394" s="166">
        <v>0</v>
      </c>
      <c r="AC2394" s="166">
        <v>0</v>
      </c>
      <c r="AD2394" s="164">
        <f>($L2394*'Pivot Objective'!$C$9^5)*AB2394*AC2394</f>
        <v>0</v>
      </c>
      <c r="AE2394" s="166">
        <f>25*2*9</f>
        <v>450</v>
      </c>
      <c r="AF2394" s="166">
        <v>5</v>
      </c>
      <c r="AG2394" s="164">
        <f>($L2394*'Pivot Objective'!$C$9^6)*AE2394*AF2394</f>
        <v>1060336.4469442894</v>
      </c>
      <c r="AH2394" s="166">
        <v>0</v>
      </c>
      <c r="AI2394" s="166">
        <v>0</v>
      </c>
      <c r="AJ2394" s="164">
        <f>($L2394*'Pivot Objective'!$C$9^7)*AH2394*AI2394</f>
        <v>0</v>
      </c>
      <c r="AK2394" s="185">
        <f t="shared" si="265"/>
        <v>2415769.5813474841</v>
      </c>
      <c r="AL2394" s="186">
        <f t="shared" si="266"/>
        <v>2345.407360531538</v>
      </c>
    </row>
    <row r="2395" spans="1:38" customFormat="1" ht="57.6" x14ac:dyDescent="0.3">
      <c r="A2395" s="140" t="s">
        <v>1488</v>
      </c>
      <c r="B2395" s="140">
        <v>4</v>
      </c>
      <c r="C2395" s="166" t="s">
        <v>697</v>
      </c>
      <c r="D2395" s="140" t="str">
        <f t="shared" si="262"/>
        <v>2</v>
      </c>
      <c r="E2395" s="166" t="s">
        <v>693</v>
      </c>
      <c r="F2395" s="140">
        <f t="shared" si="267"/>
        <v>3</v>
      </c>
      <c r="G2395" s="140" t="str">
        <f t="shared" si="263"/>
        <v>4.2.3</v>
      </c>
      <c r="H2395" s="168" t="s">
        <v>672</v>
      </c>
      <c r="I2395" s="166" t="s">
        <v>110</v>
      </c>
      <c r="J2395" s="166" t="s">
        <v>151</v>
      </c>
      <c r="K2395" s="166" t="s">
        <v>715</v>
      </c>
      <c r="L2395" s="177">
        <v>302000</v>
      </c>
      <c r="M2395" s="140"/>
      <c r="N2395" s="140"/>
      <c r="O2395" s="164">
        <f t="shared" si="264"/>
        <v>0</v>
      </c>
      <c r="P2395" s="166">
        <v>25</v>
      </c>
      <c r="Q2395" s="166">
        <v>1</v>
      </c>
      <c r="R2395" s="164">
        <f>$L2395*'Pivot Objective'!$C$9*P2395*Q2395</f>
        <v>8629054.2823499981</v>
      </c>
      <c r="S2395" s="166"/>
      <c r="T2395" s="166"/>
      <c r="U2395" s="164">
        <f>($L2395*'Pivot Objective'!$C$9^2)*S2395*T2395</f>
        <v>0</v>
      </c>
      <c r="V2395" s="166"/>
      <c r="W2395" s="166"/>
      <c r="X2395" s="164">
        <f>($L2395*'Pivot Objective'!$C$9^3)*V2395*W2395</f>
        <v>0</v>
      </c>
      <c r="Y2395" s="166">
        <v>25</v>
      </c>
      <c r="Z2395" s="166">
        <v>1</v>
      </c>
      <c r="AA2395" s="164">
        <f>($L2395*'Pivot Objective'!$C$9^4)*Y2395*Z2395</f>
        <v>12882849.967862869</v>
      </c>
      <c r="AB2395" s="166">
        <v>0</v>
      </c>
      <c r="AC2395" s="166">
        <v>0</v>
      </c>
      <c r="AD2395" s="164">
        <f>($L2395*'Pivot Objective'!$C$9^5)*AB2395*AC2395</f>
        <v>0</v>
      </c>
      <c r="AE2395" s="166">
        <v>25</v>
      </c>
      <c r="AF2395" s="166">
        <v>1</v>
      </c>
      <c r="AG2395" s="164">
        <f>($L2395*'Pivot Objective'!$C$9^6)*AE2395*AF2395</f>
        <v>16828462.829130843</v>
      </c>
      <c r="AH2395" s="166">
        <v>0</v>
      </c>
      <c r="AI2395" s="166">
        <v>0</v>
      </c>
      <c r="AJ2395" s="164">
        <f>($L2395*'Pivot Objective'!$C$9^7)*AH2395*AI2395</f>
        <v>0</v>
      </c>
      <c r="AK2395" s="185">
        <f t="shared" si="265"/>
        <v>38340367.079343706</v>
      </c>
      <c r="AL2395" s="186">
        <f t="shared" si="266"/>
        <v>37223.657358586126</v>
      </c>
    </row>
    <row r="2396" spans="1:38" customFormat="1" ht="57.6" x14ac:dyDescent="0.3">
      <c r="A2396" s="140" t="s">
        <v>1488</v>
      </c>
      <c r="B2396" s="140">
        <v>4</v>
      </c>
      <c r="C2396" s="166" t="s">
        <v>697</v>
      </c>
      <c r="D2396" s="140" t="str">
        <f t="shared" si="262"/>
        <v>2</v>
      </c>
      <c r="E2396" s="166" t="s">
        <v>693</v>
      </c>
      <c r="F2396" s="140">
        <f t="shared" si="267"/>
        <v>3</v>
      </c>
      <c r="G2396" s="140" t="str">
        <f t="shared" si="263"/>
        <v>4.2.3</v>
      </c>
      <c r="H2396" s="168" t="s">
        <v>672</v>
      </c>
      <c r="I2396" s="166" t="s">
        <v>110</v>
      </c>
      <c r="J2396" s="166" t="s">
        <v>151</v>
      </c>
      <c r="K2396" s="166" t="s">
        <v>714</v>
      </c>
      <c r="L2396" s="177">
        <v>10000</v>
      </c>
      <c r="M2396" s="140"/>
      <c r="N2396" s="140"/>
      <c r="O2396" s="164">
        <f t="shared" si="264"/>
        <v>0</v>
      </c>
      <c r="P2396" s="166">
        <v>15</v>
      </c>
      <c r="Q2396" s="166">
        <v>1</v>
      </c>
      <c r="R2396" s="164">
        <f>$L2396*'Pivot Objective'!$C$9*P2396*Q2396</f>
        <v>171438.16454999999</v>
      </c>
      <c r="S2396" s="166"/>
      <c r="T2396" s="166"/>
      <c r="U2396" s="164">
        <f>($L2396*'Pivot Objective'!$C$9^2)*S2396*T2396</f>
        <v>0</v>
      </c>
      <c r="V2396" s="166"/>
      <c r="W2396" s="166"/>
      <c r="X2396" s="164">
        <f>($L2396*'Pivot Objective'!$C$9^3)*V2396*W2396</f>
        <v>0</v>
      </c>
      <c r="Y2396" s="166">
        <v>15</v>
      </c>
      <c r="Z2396" s="166">
        <v>1</v>
      </c>
      <c r="AA2396" s="164">
        <f>($L2396*'Pivot Objective'!$C$9^4)*Y2396*Z2396</f>
        <v>255950.66161316959</v>
      </c>
      <c r="AB2396" s="166">
        <v>0</v>
      </c>
      <c r="AC2396" s="166">
        <v>0</v>
      </c>
      <c r="AD2396" s="164">
        <f>($L2396*'Pivot Objective'!$C$9^5)*AB2396*AC2396</f>
        <v>0</v>
      </c>
      <c r="AE2396" s="166">
        <v>15</v>
      </c>
      <c r="AF2396" s="166">
        <v>1</v>
      </c>
      <c r="AG2396" s="164">
        <f>($L2396*'Pivot Objective'!$C$9^6)*AE2396*AF2396</f>
        <v>334340.32110855979</v>
      </c>
      <c r="AH2396" s="166">
        <v>0</v>
      </c>
      <c r="AI2396" s="166">
        <v>0</v>
      </c>
      <c r="AJ2396" s="164">
        <f>($L2396*'Pivot Objective'!$C$9^7)*AH2396*AI2396</f>
        <v>0</v>
      </c>
      <c r="AK2396" s="185">
        <f t="shared" si="265"/>
        <v>761729.14727172931</v>
      </c>
      <c r="AL2396" s="186">
        <f t="shared" si="266"/>
        <v>739.54286142886338</v>
      </c>
    </row>
    <row r="2397" spans="1:38" customFormat="1" ht="57.6" x14ac:dyDescent="0.3">
      <c r="A2397" s="140" t="s">
        <v>1488</v>
      </c>
      <c r="B2397" s="140">
        <v>4</v>
      </c>
      <c r="C2397" s="166" t="s">
        <v>697</v>
      </c>
      <c r="D2397" s="140" t="str">
        <f t="shared" si="262"/>
        <v>2</v>
      </c>
      <c r="E2397" s="166" t="s">
        <v>693</v>
      </c>
      <c r="F2397" s="140">
        <f t="shared" si="267"/>
        <v>3</v>
      </c>
      <c r="G2397" s="140" t="str">
        <f t="shared" si="263"/>
        <v>4.2.3</v>
      </c>
      <c r="H2397" s="168" t="s">
        <v>672</v>
      </c>
      <c r="I2397" s="166" t="s">
        <v>110</v>
      </c>
      <c r="J2397" s="166" t="s">
        <v>152</v>
      </c>
      <c r="K2397" s="166" t="s">
        <v>716</v>
      </c>
      <c r="L2397" s="177">
        <v>39000</v>
      </c>
      <c r="M2397" s="140"/>
      <c r="N2397" s="140"/>
      <c r="O2397" s="164">
        <f t="shared" si="264"/>
        <v>0</v>
      </c>
      <c r="P2397" s="166">
        <v>25</v>
      </c>
      <c r="Q2397" s="166">
        <v>6</v>
      </c>
      <c r="R2397" s="164">
        <f>$L2397*'Pivot Objective'!$C$9*P2397*Q2397</f>
        <v>6686088.4174499996</v>
      </c>
      <c r="S2397" s="166"/>
      <c r="T2397" s="166"/>
      <c r="U2397" s="164">
        <f>($L2397*'Pivot Objective'!$C$9^2)*S2397*T2397</f>
        <v>0</v>
      </c>
      <c r="V2397" s="166"/>
      <c r="W2397" s="166"/>
      <c r="X2397" s="164">
        <f>($L2397*'Pivot Objective'!$C$9^3)*V2397*W2397</f>
        <v>0</v>
      </c>
      <c r="Y2397" s="166">
        <v>25</v>
      </c>
      <c r="Z2397" s="166">
        <v>6</v>
      </c>
      <c r="AA2397" s="164">
        <f>($L2397*'Pivot Objective'!$C$9^4)*Y2397*Z2397</f>
        <v>9982075.8029136136</v>
      </c>
      <c r="AB2397" s="166">
        <v>0</v>
      </c>
      <c r="AC2397" s="166">
        <v>0</v>
      </c>
      <c r="AD2397" s="164">
        <f>($L2397*'Pivot Objective'!$C$9^5)*AB2397*AC2397</f>
        <v>0</v>
      </c>
      <c r="AE2397" s="166">
        <v>25</v>
      </c>
      <c r="AF2397" s="166">
        <v>6</v>
      </c>
      <c r="AG2397" s="164">
        <f>($L2397*'Pivot Objective'!$C$9^6)*AE2397*AF2397</f>
        <v>13039272.523233831</v>
      </c>
      <c r="AH2397" s="166">
        <v>0</v>
      </c>
      <c r="AI2397" s="166">
        <v>0</v>
      </c>
      <c r="AJ2397" s="164">
        <f>($L2397*'Pivot Objective'!$C$9^7)*AH2397*AI2397</f>
        <v>0</v>
      </c>
      <c r="AK2397" s="185">
        <f t="shared" si="265"/>
        <v>29707436.743597444</v>
      </c>
      <c r="AL2397" s="186">
        <f t="shared" si="266"/>
        <v>28842.171595725675</v>
      </c>
    </row>
    <row r="2398" spans="1:38" customFormat="1" ht="57.6" x14ac:dyDescent="0.3">
      <c r="A2398" s="140" t="s">
        <v>1488</v>
      </c>
      <c r="B2398" s="140">
        <v>4</v>
      </c>
      <c r="C2398" s="166" t="s">
        <v>697</v>
      </c>
      <c r="D2398" s="140" t="str">
        <f t="shared" si="262"/>
        <v>2</v>
      </c>
      <c r="E2398" s="166" t="s">
        <v>693</v>
      </c>
      <c r="F2398" s="140">
        <f t="shared" si="267"/>
        <v>3</v>
      </c>
      <c r="G2398" s="140" t="str">
        <f t="shared" si="263"/>
        <v>4.2.3</v>
      </c>
      <c r="H2398" s="168" t="s">
        <v>672</v>
      </c>
      <c r="I2398" s="166" t="s">
        <v>110</v>
      </c>
      <c r="J2398" s="166" t="s">
        <v>152</v>
      </c>
      <c r="K2398" s="166" t="s">
        <v>709</v>
      </c>
      <c r="L2398" s="177">
        <v>35000</v>
      </c>
      <c r="M2398" s="140"/>
      <c r="N2398" s="140"/>
      <c r="O2398" s="164">
        <f t="shared" si="264"/>
        <v>0</v>
      </c>
      <c r="P2398" s="166">
        <v>25</v>
      </c>
      <c r="Q2398" s="166">
        <v>5</v>
      </c>
      <c r="R2398" s="164">
        <f>$L2398*'Pivot Objective'!$C$9*P2398*Q2398</f>
        <v>5000279.7993749995</v>
      </c>
      <c r="S2398" s="166"/>
      <c r="T2398" s="166"/>
      <c r="U2398" s="164">
        <f>($L2398*'Pivot Objective'!$C$9^2)*S2398*T2398</f>
        <v>0</v>
      </c>
      <c r="V2398" s="166"/>
      <c r="W2398" s="166"/>
      <c r="X2398" s="164">
        <f>($L2398*'Pivot Objective'!$C$9^3)*V2398*W2398</f>
        <v>0</v>
      </c>
      <c r="Y2398" s="166">
        <v>25</v>
      </c>
      <c r="Z2398" s="166">
        <v>5</v>
      </c>
      <c r="AA2398" s="164">
        <f>($L2398*'Pivot Objective'!$C$9^4)*Y2398*Z2398</f>
        <v>7465227.6303841127</v>
      </c>
      <c r="AB2398" s="166">
        <v>0</v>
      </c>
      <c r="AC2398" s="166">
        <v>0</v>
      </c>
      <c r="AD2398" s="164">
        <f>($L2398*'Pivot Objective'!$C$9^5)*AB2398*AC2398</f>
        <v>0</v>
      </c>
      <c r="AE2398" s="166">
        <v>25</v>
      </c>
      <c r="AF2398" s="166">
        <v>5</v>
      </c>
      <c r="AG2398" s="164">
        <f>($L2398*'Pivot Objective'!$C$9^6)*AE2398*AF2398</f>
        <v>9751592.6989996582</v>
      </c>
      <c r="AH2398" s="166">
        <v>0</v>
      </c>
      <c r="AI2398" s="166">
        <v>0</v>
      </c>
      <c r="AJ2398" s="164">
        <f>($L2398*'Pivot Objective'!$C$9^7)*AH2398*AI2398</f>
        <v>0</v>
      </c>
      <c r="AK2398" s="185">
        <f t="shared" si="265"/>
        <v>22217100.128758769</v>
      </c>
      <c r="AL2398" s="186">
        <f t="shared" si="266"/>
        <v>21570.000125008515</v>
      </c>
    </row>
    <row r="2399" spans="1:38" customFormat="1" ht="57.6" x14ac:dyDescent="0.3">
      <c r="A2399" s="140" t="s">
        <v>1488</v>
      </c>
      <c r="B2399" s="140">
        <v>4</v>
      </c>
      <c r="C2399" s="166" t="s">
        <v>697</v>
      </c>
      <c r="D2399" s="140" t="str">
        <f t="shared" si="262"/>
        <v>2</v>
      </c>
      <c r="E2399" s="166" t="s">
        <v>693</v>
      </c>
      <c r="F2399" s="140">
        <f t="shared" si="267"/>
        <v>3</v>
      </c>
      <c r="G2399" s="140" t="str">
        <f t="shared" si="263"/>
        <v>4.2.3</v>
      </c>
      <c r="H2399" s="168" t="s">
        <v>672</v>
      </c>
      <c r="I2399" s="166" t="s">
        <v>110</v>
      </c>
      <c r="J2399" s="166" t="s">
        <v>152</v>
      </c>
      <c r="K2399" s="166" t="s">
        <v>1350</v>
      </c>
      <c r="L2399" s="177">
        <f>1480/7</f>
        <v>211.42857142857142</v>
      </c>
      <c r="M2399" s="140"/>
      <c r="N2399" s="140"/>
      <c r="O2399" s="164">
        <f t="shared" si="264"/>
        <v>0</v>
      </c>
      <c r="P2399" s="166">
        <f>135*2*9</f>
        <v>2430</v>
      </c>
      <c r="Q2399" s="166">
        <v>1</v>
      </c>
      <c r="R2399" s="164">
        <f>$L2399*'Pivot Objective'!$C$9*P2399*Q2399</f>
        <v>587200.20475011424</v>
      </c>
      <c r="S2399" s="166"/>
      <c r="T2399" s="166"/>
      <c r="U2399" s="164">
        <f>($L2399*'Pivot Objective'!$C$9^2)*S2399*T2399</f>
        <v>0</v>
      </c>
      <c r="V2399" s="166"/>
      <c r="W2399" s="166"/>
      <c r="X2399" s="164">
        <f>($L2399*'Pivot Objective'!$C$9^3)*V2399*W2399</f>
        <v>0</v>
      </c>
      <c r="Y2399" s="166">
        <f>135*2*9</f>
        <v>2430</v>
      </c>
      <c r="Z2399" s="166">
        <v>1</v>
      </c>
      <c r="AA2399" s="164">
        <f>($L2399*'Pivot Objective'!$C$9^4)*Y2399*Z2399</f>
        <v>876667.58040533611</v>
      </c>
      <c r="AB2399" s="166"/>
      <c r="AC2399" s="166"/>
      <c r="AD2399" s="164">
        <f>($L2399*'Pivot Objective'!$C$9^5)*AB2399*AC2399</f>
        <v>0</v>
      </c>
      <c r="AE2399" s="166">
        <f>135*2*9</f>
        <v>2430</v>
      </c>
      <c r="AF2399" s="166">
        <v>1</v>
      </c>
      <c r="AG2399" s="164">
        <f>($L2399*'Pivot Objective'!$C$9^6)*AE2399*AF2399</f>
        <v>1145163.3626998325</v>
      </c>
      <c r="AH2399" s="166"/>
      <c r="AI2399" s="166"/>
      <c r="AJ2399" s="164">
        <f>($L2399*'Pivot Objective'!$C$9^7)*AH2399*AI2399</f>
        <v>0</v>
      </c>
      <c r="AK2399" s="185">
        <f t="shared" si="265"/>
        <v>2609031.1478552828</v>
      </c>
      <c r="AL2399" s="186">
        <f t="shared" si="266"/>
        <v>2533.0399493740611</v>
      </c>
    </row>
    <row r="2400" spans="1:38" customFormat="1" ht="57.6" x14ac:dyDescent="0.3">
      <c r="A2400" s="140" t="s">
        <v>1488</v>
      </c>
      <c r="B2400" s="140">
        <v>4</v>
      </c>
      <c r="C2400" s="166" t="s">
        <v>697</v>
      </c>
      <c r="D2400" s="140" t="str">
        <f t="shared" si="262"/>
        <v>2</v>
      </c>
      <c r="E2400" s="166" t="s">
        <v>693</v>
      </c>
      <c r="F2400" s="140">
        <f t="shared" si="267"/>
        <v>3</v>
      </c>
      <c r="G2400" s="140" t="str">
        <f t="shared" si="263"/>
        <v>4.2.3</v>
      </c>
      <c r="H2400" s="168" t="s">
        <v>672</v>
      </c>
      <c r="I2400" s="166" t="s">
        <v>110</v>
      </c>
      <c r="J2400" s="166" t="s">
        <v>152</v>
      </c>
      <c r="K2400" s="166" t="s">
        <v>712</v>
      </c>
      <c r="L2400" s="177">
        <f>1480/7</f>
        <v>211.42857142857142</v>
      </c>
      <c r="M2400" s="140"/>
      <c r="N2400" s="140"/>
      <c r="O2400" s="164">
        <f t="shared" si="264"/>
        <v>0</v>
      </c>
      <c r="P2400" s="166">
        <f>25*2*9</f>
        <v>450</v>
      </c>
      <c r="Q2400" s="166">
        <v>5</v>
      </c>
      <c r="R2400" s="164">
        <f>$L2400*'Pivot Objective'!$C$9*P2400*Q2400</f>
        <v>543703.89328714274</v>
      </c>
      <c r="S2400" s="166"/>
      <c r="T2400" s="166"/>
      <c r="U2400" s="164">
        <f>($L2400*'Pivot Objective'!$C$9^2)*S2400*T2400</f>
        <v>0</v>
      </c>
      <c r="V2400" s="166"/>
      <c r="W2400" s="166"/>
      <c r="X2400" s="164">
        <f>($L2400*'Pivot Objective'!$C$9^3)*V2400*W2400</f>
        <v>0</v>
      </c>
      <c r="Y2400" s="166">
        <f>25*2*9</f>
        <v>450</v>
      </c>
      <c r="Z2400" s="166">
        <v>5</v>
      </c>
      <c r="AA2400" s="164">
        <f>($L2400*'Pivot Objective'!$C$9^4)*Y2400*Z2400</f>
        <v>811729.24111605203</v>
      </c>
      <c r="AB2400" s="166">
        <v>0</v>
      </c>
      <c r="AC2400" s="166">
        <v>0</v>
      </c>
      <c r="AD2400" s="164">
        <f>($L2400*'Pivot Objective'!$C$9^5)*AB2400*AC2400</f>
        <v>0</v>
      </c>
      <c r="AE2400" s="166">
        <f>25*2*9</f>
        <v>450</v>
      </c>
      <c r="AF2400" s="166">
        <v>5</v>
      </c>
      <c r="AG2400" s="164">
        <f>($L2400*'Pivot Objective'!$C$9^6)*AE2400*AF2400</f>
        <v>1060336.4469442894</v>
      </c>
      <c r="AH2400" s="166">
        <v>0</v>
      </c>
      <c r="AI2400" s="166">
        <v>0</v>
      </c>
      <c r="AJ2400" s="164">
        <f>($L2400*'Pivot Objective'!$C$9^7)*AH2400*AI2400</f>
        <v>0</v>
      </c>
      <c r="AK2400" s="185">
        <f t="shared" si="265"/>
        <v>2415769.5813474841</v>
      </c>
      <c r="AL2400" s="186">
        <f t="shared" si="266"/>
        <v>2345.407360531538</v>
      </c>
    </row>
    <row r="2401" spans="1:38" customFormat="1" ht="57.6" x14ac:dyDescent="0.3">
      <c r="A2401" s="140" t="s">
        <v>1488</v>
      </c>
      <c r="B2401" s="140">
        <v>4</v>
      </c>
      <c r="C2401" s="166" t="s">
        <v>697</v>
      </c>
      <c r="D2401" s="140" t="str">
        <f t="shared" si="262"/>
        <v>2</v>
      </c>
      <c r="E2401" s="166" t="s">
        <v>693</v>
      </c>
      <c r="F2401" s="140">
        <f t="shared" si="267"/>
        <v>3</v>
      </c>
      <c r="G2401" s="140" t="str">
        <f t="shared" si="263"/>
        <v>4.2.3</v>
      </c>
      <c r="H2401" s="168" t="s">
        <v>672</v>
      </c>
      <c r="I2401" s="166" t="s">
        <v>110</v>
      </c>
      <c r="J2401" s="166" t="s">
        <v>180</v>
      </c>
      <c r="K2401" s="166" t="s">
        <v>716</v>
      </c>
      <c r="L2401" s="177">
        <v>39000</v>
      </c>
      <c r="M2401" s="140"/>
      <c r="N2401" s="140"/>
      <c r="O2401" s="164">
        <f t="shared" si="264"/>
        <v>0</v>
      </c>
      <c r="P2401" s="166">
        <v>25</v>
      </c>
      <c r="Q2401" s="166">
        <v>5</v>
      </c>
      <c r="R2401" s="164">
        <f>$L2401*'Pivot Objective'!$C$9*P2401*Q2401</f>
        <v>5571740.347874999</v>
      </c>
      <c r="S2401" s="166"/>
      <c r="T2401" s="166"/>
      <c r="U2401" s="164">
        <f>($L2401*'Pivot Objective'!$C$9^2)*S2401*T2401</f>
        <v>0</v>
      </c>
      <c r="V2401" s="166"/>
      <c r="W2401" s="166"/>
      <c r="X2401" s="164">
        <f>($L2401*'Pivot Objective'!$C$9^3)*V2401*W2401</f>
        <v>0</v>
      </c>
      <c r="Y2401" s="166">
        <v>25</v>
      </c>
      <c r="Z2401" s="166">
        <v>5</v>
      </c>
      <c r="AA2401" s="164">
        <f>($L2401*'Pivot Objective'!$C$9^4)*Y2401*Z2401</f>
        <v>8318396.502428012</v>
      </c>
      <c r="AB2401" s="166">
        <v>0</v>
      </c>
      <c r="AC2401" s="166">
        <v>0</v>
      </c>
      <c r="AD2401" s="164">
        <f>($L2401*'Pivot Objective'!$C$9^5)*AB2401*AC2401</f>
        <v>0</v>
      </c>
      <c r="AE2401" s="166">
        <v>25</v>
      </c>
      <c r="AF2401" s="166">
        <v>5</v>
      </c>
      <c r="AG2401" s="164">
        <f>($L2401*'Pivot Objective'!$C$9^6)*AE2401*AF2401</f>
        <v>10866060.436028194</v>
      </c>
      <c r="AH2401" s="166">
        <v>0</v>
      </c>
      <c r="AI2401" s="166">
        <v>0</v>
      </c>
      <c r="AJ2401" s="164">
        <f>($L2401*'Pivot Objective'!$C$9^7)*AH2401*AI2401</f>
        <v>0</v>
      </c>
      <c r="AK2401" s="185">
        <f t="shared" si="265"/>
        <v>24756197.286331207</v>
      </c>
      <c r="AL2401" s="186">
        <f t="shared" si="266"/>
        <v>24035.142996438066</v>
      </c>
    </row>
    <row r="2402" spans="1:38" customFormat="1" ht="57.6" x14ac:dyDescent="0.3">
      <c r="A2402" s="140" t="s">
        <v>1488</v>
      </c>
      <c r="B2402" s="140">
        <v>4</v>
      </c>
      <c r="C2402" s="166" t="s">
        <v>697</v>
      </c>
      <c r="D2402" s="140" t="str">
        <f t="shared" si="262"/>
        <v>2</v>
      </c>
      <c r="E2402" s="166" t="s">
        <v>693</v>
      </c>
      <c r="F2402" s="140">
        <f t="shared" si="267"/>
        <v>3</v>
      </c>
      <c r="G2402" s="140" t="str">
        <f t="shared" si="263"/>
        <v>4.2.3</v>
      </c>
      <c r="H2402" s="168" t="s">
        <v>672</v>
      </c>
      <c r="I2402" s="166" t="s">
        <v>110</v>
      </c>
      <c r="J2402" s="166" t="s">
        <v>180</v>
      </c>
      <c r="K2402" s="166" t="s">
        <v>709</v>
      </c>
      <c r="L2402" s="177">
        <v>35000</v>
      </c>
      <c r="M2402" s="140"/>
      <c r="N2402" s="140"/>
      <c r="O2402" s="164">
        <f t="shared" si="264"/>
        <v>0</v>
      </c>
      <c r="P2402" s="166">
        <v>25</v>
      </c>
      <c r="Q2402" s="166">
        <v>5</v>
      </c>
      <c r="R2402" s="164">
        <f>$L2402*'Pivot Objective'!$C$9*P2402*Q2402</f>
        <v>5000279.7993749995</v>
      </c>
      <c r="S2402" s="166"/>
      <c r="T2402" s="166"/>
      <c r="U2402" s="164">
        <f>($L2402*'Pivot Objective'!$C$9^2)*S2402*T2402</f>
        <v>0</v>
      </c>
      <c r="V2402" s="166"/>
      <c r="W2402" s="166"/>
      <c r="X2402" s="164">
        <f>($L2402*'Pivot Objective'!$C$9^3)*V2402*W2402</f>
        <v>0</v>
      </c>
      <c r="Y2402" s="166">
        <v>25</v>
      </c>
      <c r="Z2402" s="166">
        <v>5</v>
      </c>
      <c r="AA2402" s="164">
        <f>($L2402*'Pivot Objective'!$C$9^4)*Y2402*Z2402</f>
        <v>7465227.6303841127</v>
      </c>
      <c r="AB2402" s="166">
        <v>0</v>
      </c>
      <c r="AC2402" s="166">
        <v>0</v>
      </c>
      <c r="AD2402" s="164">
        <f>($L2402*'Pivot Objective'!$C$9^5)*AB2402*AC2402</f>
        <v>0</v>
      </c>
      <c r="AE2402" s="166">
        <v>25</v>
      </c>
      <c r="AF2402" s="166">
        <v>5</v>
      </c>
      <c r="AG2402" s="164">
        <f>($L2402*'Pivot Objective'!$C$9^6)*AE2402*AF2402</f>
        <v>9751592.6989996582</v>
      </c>
      <c r="AH2402" s="166">
        <v>0</v>
      </c>
      <c r="AI2402" s="166">
        <v>0</v>
      </c>
      <c r="AJ2402" s="164">
        <f>($L2402*'Pivot Objective'!$C$9^7)*AH2402*AI2402</f>
        <v>0</v>
      </c>
      <c r="AK2402" s="185">
        <f t="shared" si="265"/>
        <v>22217100.128758769</v>
      </c>
      <c r="AL2402" s="186">
        <f t="shared" si="266"/>
        <v>21570.000125008515</v>
      </c>
    </row>
    <row r="2403" spans="1:38" customFormat="1" ht="57.6" x14ac:dyDescent="0.3">
      <c r="A2403" s="140" t="s">
        <v>1488</v>
      </c>
      <c r="B2403" s="140">
        <v>4</v>
      </c>
      <c r="C2403" s="166" t="s">
        <v>697</v>
      </c>
      <c r="D2403" s="140" t="str">
        <f t="shared" si="262"/>
        <v>2</v>
      </c>
      <c r="E2403" s="166" t="s">
        <v>693</v>
      </c>
      <c r="F2403" s="140">
        <f t="shared" si="267"/>
        <v>3</v>
      </c>
      <c r="G2403" s="140" t="str">
        <f t="shared" si="263"/>
        <v>4.2.3</v>
      </c>
      <c r="H2403" s="168" t="s">
        <v>672</v>
      </c>
      <c r="I2403" s="166" t="s">
        <v>110</v>
      </c>
      <c r="J2403" s="166" t="s">
        <v>180</v>
      </c>
      <c r="K2403" s="166" t="s">
        <v>1350</v>
      </c>
      <c r="L2403" s="177">
        <f>1480/7</f>
        <v>211.42857142857142</v>
      </c>
      <c r="M2403" s="140"/>
      <c r="N2403" s="140"/>
      <c r="O2403" s="164">
        <f t="shared" si="264"/>
        <v>0</v>
      </c>
      <c r="P2403" s="166">
        <f>135*2*9</f>
        <v>2430</v>
      </c>
      <c r="Q2403" s="166">
        <v>1</v>
      </c>
      <c r="R2403" s="164">
        <f>$L2403*'Pivot Objective'!$C$9*P2403*Q2403</f>
        <v>587200.20475011424</v>
      </c>
      <c r="S2403" s="166"/>
      <c r="T2403" s="166"/>
      <c r="U2403" s="164">
        <f>($L2403*'Pivot Objective'!$C$9^2)*S2403*T2403</f>
        <v>0</v>
      </c>
      <c r="V2403" s="166"/>
      <c r="W2403" s="166"/>
      <c r="X2403" s="164">
        <f>($L2403*'Pivot Objective'!$C$9^3)*V2403*W2403</f>
        <v>0</v>
      </c>
      <c r="Y2403" s="166">
        <f>135*2*9</f>
        <v>2430</v>
      </c>
      <c r="Z2403" s="166">
        <v>1</v>
      </c>
      <c r="AA2403" s="164">
        <f>($L2403*'Pivot Objective'!$C$9^4)*Y2403*Z2403</f>
        <v>876667.58040533611</v>
      </c>
      <c r="AB2403" s="166"/>
      <c r="AC2403" s="166"/>
      <c r="AD2403" s="164">
        <f>($L2403*'Pivot Objective'!$C$9^5)*AB2403*AC2403</f>
        <v>0</v>
      </c>
      <c r="AE2403" s="166">
        <f>135*2*9</f>
        <v>2430</v>
      </c>
      <c r="AF2403" s="166">
        <v>1</v>
      </c>
      <c r="AG2403" s="164">
        <f>($L2403*'Pivot Objective'!$C$9^6)*AE2403*AF2403</f>
        <v>1145163.3626998325</v>
      </c>
      <c r="AH2403" s="166"/>
      <c r="AI2403" s="166"/>
      <c r="AJ2403" s="164">
        <f>($L2403*'Pivot Objective'!$C$9^7)*AH2403*AI2403</f>
        <v>0</v>
      </c>
      <c r="AK2403" s="185">
        <f t="shared" si="265"/>
        <v>2609031.1478552828</v>
      </c>
      <c r="AL2403" s="186">
        <f t="shared" si="266"/>
        <v>2533.0399493740611</v>
      </c>
    </row>
    <row r="2404" spans="1:38" customFormat="1" ht="57.6" x14ac:dyDescent="0.3">
      <c r="A2404" s="140" t="s">
        <v>1488</v>
      </c>
      <c r="B2404" s="140">
        <v>4</v>
      </c>
      <c r="C2404" s="166" t="s">
        <v>697</v>
      </c>
      <c r="D2404" s="140" t="str">
        <f t="shared" si="262"/>
        <v>2</v>
      </c>
      <c r="E2404" s="166" t="s">
        <v>693</v>
      </c>
      <c r="F2404" s="140">
        <f t="shared" si="267"/>
        <v>3</v>
      </c>
      <c r="G2404" s="140" t="str">
        <f t="shared" si="263"/>
        <v>4.2.3</v>
      </c>
      <c r="H2404" s="168" t="s">
        <v>672</v>
      </c>
      <c r="I2404" s="166" t="s">
        <v>110</v>
      </c>
      <c r="J2404" s="166" t="s">
        <v>180</v>
      </c>
      <c r="K2404" s="166" t="s">
        <v>712</v>
      </c>
      <c r="L2404" s="177">
        <f>1480/7</f>
        <v>211.42857142857142</v>
      </c>
      <c r="M2404" s="140"/>
      <c r="N2404" s="140"/>
      <c r="O2404" s="164">
        <f t="shared" si="264"/>
        <v>0</v>
      </c>
      <c r="P2404" s="166">
        <f>25*2*9</f>
        <v>450</v>
      </c>
      <c r="Q2404" s="166">
        <v>5</v>
      </c>
      <c r="R2404" s="164">
        <f>$L2404*'Pivot Objective'!$C$9*P2404*Q2404</f>
        <v>543703.89328714274</v>
      </c>
      <c r="S2404" s="166">
        <v>4000</v>
      </c>
      <c r="T2404" s="166">
        <v>1</v>
      </c>
      <c r="U2404" s="164">
        <f>($L2404*'Pivot Objective'!$C$9^2)*S2404*T2404</f>
        <v>1104730.044726955</v>
      </c>
      <c r="V2404" s="166">
        <v>0</v>
      </c>
      <c r="W2404" s="166">
        <v>0</v>
      </c>
      <c r="X2404" s="164">
        <f>($L2404*'Pivot Objective'!$C$9^3)*V2404*W2404</f>
        <v>0</v>
      </c>
      <c r="Y2404" s="166">
        <f>25*2*9</f>
        <v>450</v>
      </c>
      <c r="Z2404" s="166">
        <v>5</v>
      </c>
      <c r="AA2404" s="164">
        <f>($L2404*'Pivot Objective'!$C$9^4)*Y2404*Z2404</f>
        <v>811729.24111605203</v>
      </c>
      <c r="AB2404" s="166">
        <v>0</v>
      </c>
      <c r="AC2404" s="166">
        <v>0</v>
      </c>
      <c r="AD2404" s="164">
        <f>($L2404*'Pivot Objective'!$C$9^5)*AB2404*AC2404</f>
        <v>0</v>
      </c>
      <c r="AE2404" s="166">
        <f>25*2*9</f>
        <v>450</v>
      </c>
      <c r="AF2404" s="166">
        <v>5</v>
      </c>
      <c r="AG2404" s="164">
        <f>($L2404*'Pivot Objective'!$C$9^6)*AE2404*AF2404</f>
        <v>1060336.4469442894</v>
      </c>
      <c r="AH2404" s="166">
        <v>0</v>
      </c>
      <c r="AI2404" s="166">
        <v>0</v>
      </c>
      <c r="AJ2404" s="164">
        <f>($L2404*'Pivot Objective'!$C$9^7)*AH2404*AI2404</f>
        <v>0</v>
      </c>
      <c r="AK2404" s="185">
        <f t="shared" si="265"/>
        <v>3520499.6260744394</v>
      </c>
      <c r="AL2404" s="186">
        <f t="shared" si="266"/>
        <v>3417.960802014019</v>
      </c>
    </row>
    <row r="2405" spans="1:38" customFormat="1" ht="57.6" x14ac:dyDescent="0.3">
      <c r="A2405" s="140" t="s">
        <v>1488</v>
      </c>
      <c r="B2405" s="140">
        <v>4</v>
      </c>
      <c r="C2405" s="166" t="s">
        <v>697</v>
      </c>
      <c r="D2405" s="140" t="str">
        <f t="shared" si="262"/>
        <v>2</v>
      </c>
      <c r="E2405" s="166" t="s">
        <v>693</v>
      </c>
      <c r="F2405" s="140">
        <f t="shared" si="267"/>
        <v>3</v>
      </c>
      <c r="G2405" s="140" t="str">
        <f t="shared" si="263"/>
        <v>4.2.3</v>
      </c>
      <c r="H2405" s="168" t="s">
        <v>672</v>
      </c>
      <c r="I2405" s="166" t="s">
        <v>110</v>
      </c>
      <c r="J2405" s="166" t="s">
        <v>553</v>
      </c>
      <c r="K2405" s="166" t="s">
        <v>716</v>
      </c>
      <c r="L2405" s="177">
        <v>39000</v>
      </c>
      <c r="M2405" s="140"/>
      <c r="N2405" s="140"/>
      <c r="O2405" s="164">
        <f t="shared" si="264"/>
        <v>0</v>
      </c>
      <c r="P2405" s="166">
        <v>58</v>
      </c>
      <c r="Q2405" s="166">
        <v>6</v>
      </c>
      <c r="R2405" s="164">
        <f>$L2405*'Pivot Objective'!$C$9*P2405*Q2405</f>
        <v>15511725.128483998</v>
      </c>
      <c r="S2405" s="166">
        <v>10</v>
      </c>
      <c r="T2405" s="166">
        <v>1</v>
      </c>
      <c r="U2405" s="164">
        <f>($L2405*'Pivot Objective'!$C$9^2)*S2405*T2405</f>
        <v>509444.76724739646</v>
      </c>
      <c r="V2405" s="166">
        <v>0</v>
      </c>
      <c r="W2405" s="166">
        <v>0</v>
      </c>
      <c r="X2405" s="164">
        <f>($L2405*'Pivot Objective'!$C$9^3)*V2405*W2405</f>
        <v>0</v>
      </c>
      <c r="Y2405" s="166">
        <v>58</v>
      </c>
      <c r="Z2405" s="166">
        <v>6</v>
      </c>
      <c r="AA2405" s="164">
        <f>($L2405*'Pivot Objective'!$C$9^4)*Y2405*Z2405</f>
        <v>23158415.862759583</v>
      </c>
      <c r="AB2405" s="166">
        <v>0</v>
      </c>
      <c r="AC2405" s="166">
        <v>0</v>
      </c>
      <c r="AD2405" s="164">
        <f>($L2405*'Pivot Objective'!$C$9^5)*AB2405*AC2405</f>
        <v>0</v>
      </c>
      <c r="AE2405" s="166">
        <v>58</v>
      </c>
      <c r="AF2405" s="166">
        <v>6</v>
      </c>
      <c r="AG2405" s="164">
        <f>($L2405*'Pivot Objective'!$C$9^6)*AE2405*AF2405</f>
        <v>30251112.253902487</v>
      </c>
      <c r="AH2405" s="166">
        <v>0</v>
      </c>
      <c r="AI2405" s="166">
        <v>0</v>
      </c>
      <c r="AJ2405" s="164">
        <f>($L2405*'Pivot Objective'!$C$9^7)*AH2405*AI2405</f>
        <v>0</v>
      </c>
      <c r="AK2405" s="185">
        <f t="shared" si="265"/>
        <v>69430698.012393475</v>
      </c>
      <c r="AL2405" s="186">
        <f t="shared" si="266"/>
        <v>67408.444672226673</v>
      </c>
    </row>
    <row r="2406" spans="1:38" customFormat="1" ht="57.6" x14ac:dyDescent="0.3">
      <c r="A2406" s="140" t="s">
        <v>1488</v>
      </c>
      <c r="B2406" s="140">
        <v>4</v>
      </c>
      <c r="C2406" s="166" t="s">
        <v>697</v>
      </c>
      <c r="D2406" s="140" t="str">
        <f t="shared" si="262"/>
        <v>2</v>
      </c>
      <c r="E2406" s="166" t="s">
        <v>693</v>
      </c>
      <c r="F2406" s="140">
        <f t="shared" si="267"/>
        <v>3</v>
      </c>
      <c r="G2406" s="140" t="str">
        <f t="shared" si="263"/>
        <v>4.2.3</v>
      </c>
      <c r="H2406" s="168" t="s">
        <v>672</v>
      </c>
      <c r="I2406" s="166" t="s">
        <v>110</v>
      </c>
      <c r="J2406" s="166" t="s">
        <v>553</v>
      </c>
      <c r="K2406" s="166" t="s">
        <v>709</v>
      </c>
      <c r="L2406" s="177">
        <v>28000</v>
      </c>
      <c r="M2406" s="140"/>
      <c r="N2406" s="140"/>
      <c r="O2406" s="164">
        <f t="shared" si="264"/>
        <v>0</v>
      </c>
      <c r="P2406" s="166">
        <v>100</v>
      </c>
      <c r="Q2406" s="166">
        <v>5</v>
      </c>
      <c r="R2406" s="164">
        <f>$L2406*'Pivot Objective'!$C$9*P2406*Q2406</f>
        <v>16000895.357999997</v>
      </c>
      <c r="S2406" s="166">
        <v>30</v>
      </c>
      <c r="T2406" s="166">
        <v>1</v>
      </c>
      <c r="U2406" s="164">
        <f>($L2406*'Pivot Objective'!$C$9^2)*S2406*T2406</f>
        <v>1097265.6525328541</v>
      </c>
      <c r="V2406" s="166">
        <v>0</v>
      </c>
      <c r="W2406" s="166">
        <v>0</v>
      </c>
      <c r="X2406" s="164">
        <f>($L2406*'Pivot Objective'!$C$9^3)*V2406*W2406</f>
        <v>0</v>
      </c>
      <c r="Y2406" s="166">
        <v>100</v>
      </c>
      <c r="Z2406" s="166">
        <v>5</v>
      </c>
      <c r="AA2406" s="164">
        <f>($L2406*'Pivot Objective'!$C$9^4)*Y2406*Z2406</f>
        <v>23888728.417229161</v>
      </c>
      <c r="AB2406" s="166">
        <v>0</v>
      </c>
      <c r="AC2406" s="166">
        <v>0</v>
      </c>
      <c r="AD2406" s="164">
        <f>($L2406*'Pivot Objective'!$C$9^5)*AB2406*AC2406</f>
        <v>0</v>
      </c>
      <c r="AE2406" s="166">
        <v>100</v>
      </c>
      <c r="AF2406" s="166">
        <v>5</v>
      </c>
      <c r="AG2406" s="164">
        <f>($L2406*'Pivot Objective'!$C$9^6)*AE2406*AF2406</f>
        <v>31205096.636798907</v>
      </c>
      <c r="AH2406" s="166">
        <v>0</v>
      </c>
      <c r="AI2406" s="166">
        <v>0</v>
      </c>
      <c r="AJ2406" s="164">
        <f>($L2406*'Pivot Objective'!$C$9^7)*AH2406*AI2406</f>
        <v>0</v>
      </c>
      <c r="AK2406" s="185">
        <f t="shared" si="265"/>
        <v>72191986.06456092</v>
      </c>
      <c r="AL2406" s="186">
        <f t="shared" si="266"/>
        <v>70089.306858797005</v>
      </c>
    </row>
    <row r="2407" spans="1:38" customFormat="1" ht="57.6" x14ac:dyDescent="0.3">
      <c r="A2407" s="140" t="s">
        <v>1488</v>
      </c>
      <c r="B2407" s="140">
        <v>4</v>
      </c>
      <c r="C2407" s="166" t="s">
        <v>697</v>
      </c>
      <c r="D2407" s="140" t="str">
        <f t="shared" si="262"/>
        <v>2</v>
      </c>
      <c r="E2407" s="166" t="s">
        <v>693</v>
      </c>
      <c r="F2407" s="140">
        <f t="shared" si="267"/>
        <v>3</v>
      </c>
      <c r="G2407" s="140" t="str">
        <f t="shared" si="263"/>
        <v>4.2.3</v>
      </c>
      <c r="H2407" s="168" t="s">
        <v>672</v>
      </c>
      <c r="I2407" s="166" t="s">
        <v>110</v>
      </c>
      <c r="J2407" s="166" t="s">
        <v>553</v>
      </c>
      <c r="K2407" s="166" t="s">
        <v>712</v>
      </c>
      <c r="L2407" s="177">
        <f>1480/7</f>
        <v>211.42857142857142</v>
      </c>
      <c r="M2407" s="140"/>
      <c r="N2407" s="140"/>
      <c r="O2407" s="164">
        <f t="shared" si="264"/>
        <v>0</v>
      </c>
      <c r="P2407" s="166">
        <f>25*2*29</f>
        <v>1450</v>
      </c>
      <c r="Q2407" s="166">
        <v>5</v>
      </c>
      <c r="R2407" s="164">
        <f>$L2407*'Pivot Objective'!$C$9*P2407*Q2407</f>
        <v>1751934.7672585712</v>
      </c>
      <c r="S2407" s="166">
        <v>8000</v>
      </c>
      <c r="T2407" s="166">
        <v>1</v>
      </c>
      <c r="U2407" s="164">
        <f>($L2407*'Pivot Objective'!$C$9^2)*S2407*T2407</f>
        <v>2209460.08945391</v>
      </c>
      <c r="V2407" s="166">
        <v>0</v>
      </c>
      <c r="W2407" s="166">
        <v>0</v>
      </c>
      <c r="X2407" s="164">
        <f>($L2407*'Pivot Objective'!$C$9^3)*V2407*W2407</f>
        <v>0</v>
      </c>
      <c r="Y2407" s="166">
        <f>25*2*29</f>
        <v>1450</v>
      </c>
      <c r="Z2407" s="166">
        <v>5</v>
      </c>
      <c r="AA2407" s="164">
        <f>($L2407*'Pivot Objective'!$C$9^4)*Y2407*Z2407</f>
        <v>2615571.999151723</v>
      </c>
      <c r="AB2407" s="166">
        <v>0</v>
      </c>
      <c r="AC2407" s="166">
        <v>0</v>
      </c>
      <c r="AD2407" s="164">
        <f>($L2407*'Pivot Objective'!$C$9^5)*AB2407*AC2407</f>
        <v>0</v>
      </c>
      <c r="AE2407" s="166">
        <f>25*2*29</f>
        <v>1450</v>
      </c>
      <c r="AF2407" s="166">
        <v>5</v>
      </c>
      <c r="AG2407" s="164">
        <f>($L2407*'Pivot Objective'!$C$9^6)*AE2407*AF2407</f>
        <v>3416639.6623760439</v>
      </c>
      <c r="AH2407" s="166">
        <v>0</v>
      </c>
      <c r="AI2407" s="166">
        <v>0</v>
      </c>
      <c r="AJ2407" s="164">
        <f>($L2407*'Pivot Objective'!$C$9^7)*AH2407*AI2407</f>
        <v>0</v>
      </c>
      <c r="AK2407" s="185">
        <f t="shared" si="265"/>
        <v>9993606.5182402488</v>
      </c>
      <c r="AL2407" s="186">
        <f t="shared" si="266"/>
        <v>9702.5306002332509</v>
      </c>
    </row>
    <row r="2408" spans="1:38" customFormat="1" ht="57.6" x14ac:dyDescent="0.3">
      <c r="A2408" s="140" t="s">
        <v>1488</v>
      </c>
      <c r="B2408" s="140">
        <v>4</v>
      </c>
      <c r="C2408" s="166" t="s">
        <v>697</v>
      </c>
      <c r="D2408" s="140" t="str">
        <f t="shared" si="262"/>
        <v>2</v>
      </c>
      <c r="E2408" s="166" t="s">
        <v>693</v>
      </c>
      <c r="F2408" s="140">
        <f t="shared" si="267"/>
        <v>3</v>
      </c>
      <c r="G2408" s="140" t="str">
        <f t="shared" si="263"/>
        <v>4.2.3</v>
      </c>
      <c r="H2408" s="168" t="s">
        <v>672</v>
      </c>
      <c r="I2408" s="166" t="s">
        <v>110</v>
      </c>
      <c r="J2408" s="166" t="s">
        <v>180</v>
      </c>
      <c r="K2408" s="166" t="s">
        <v>1350</v>
      </c>
      <c r="L2408" s="177">
        <f>1480/7</f>
        <v>211.42857142857142</v>
      </c>
      <c r="M2408" s="140"/>
      <c r="N2408" s="140"/>
      <c r="O2408" s="164">
        <f t="shared" si="264"/>
        <v>0</v>
      </c>
      <c r="P2408" s="166">
        <f>135*2*29</f>
        <v>7830</v>
      </c>
      <c r="Q2408" s="166">
        <v>1</v>
      </c>
      <c r="R2408" s="164">
        <f>$L2408*'Pivot Objective'!$C$9*P2408*Q2408</f>
        <v>1892089.548639257</v>
      </c>
      <c r="S2408" s="166"/>
      <c r="T2408" s="166"/>
      <c r="U2408" s="164">
        <f>($L2408*'Pivot Objective'!$C$9^2)*S2408*T2408</f>
        <v>0</v>
      </c>
      <c r="V2408" s="166"/>
      <c r="W2408" s="166"/>
      <c r="X2408" s="164">
        <f>($L2408*'Pivot Objective'!$C$9^3)*V2408*W2408</f>
        <v>0</v>
      </c>
      <c r="Y2408" s="166">
        <f>135*2*29</f>
        <v>7830</v>
      </c>
      <c r="Z2408" s="166">
        <v>1</v>
      </c>
      <c r="AA2408" s="164">
        <f>($L2408*'Pivot Objective'!$C$9^4)*Y2408*Z2408</f>
        <v>2824817.759083861</v>
      </c>
      <c r="AB2408" s="166"/>
      <c r="AC2408" s="166"/>
      <c r="AD2408" s="164">
        <f>($L2408*'Pivot Objective'!$C$9^5)*AB2408*AC2408</f>
        <v>0</v>
      </c>
      <c r="AE2408" s="166">
        <f>135*2*29</f>
        <v>7830</v>
      </c>
      <c r="AF2408" s="166">
        <v>1</v>
      </c>
      <c r="AG2408" s="164">
        <f>($L2408*'Pivot Objective'!$C$9^6)*AE2408*AF2408</f>
        <v>3689970.8353661271</v>
      </c>
      <c r="AH2408" s="166"/>
      <c r="AI2408" s="166"/>
      <c r="AJ2408" s="164">
        <f>($L2408*'Pivot Objective'!$C$9^7)*AH2408*AI2408</f>
        <v>0</v>
      </c>
      <c r="AK2408" s="185">
        <f t="shared" si="265"/>
        <v>8406878.143089246</v>
      </c>
      <c r="AL2408" s="186">
        <f t="shared" si="266"/>
        <v>8162.0176146497533</v>
      </c>
    </row>
    <row r="2409" spans="1:38" customFormat="1" ht="57.6" x14ac:dyDescent="0.3">
      <c r="A2409" s="140" t="s">
        <v>1488</v>
      </c>
      <c r="B2409" s="140">
        <v>4</v>
      </c>
      <c r="C2409" s="166" t="s">
        <v>697</v>
      </c>
      <c r="D2409" s="140" t="str">
        <f t="shared" si="262"/>
        <v>2</v>
      </c>
      <c r="E2409" s="166" t="s">
        <v>693</v>
      </c>
      <c r="F2409" s="140">
        <f t="shared" si="267"/>
        <v>3</v>
      </c>
      <c r="G2409" s="140" t="str">
        <f t="shared" si="263"/>
        <v>4.2.3</v>
      </c>
      <c r="H2409" s="168" t="s">
        <v>672</v>
      </c>
      <c r="I2409" s="166" t="s">
        <v>110</v>
      </c>
      <c r="J2409" s="166" t="s">
        <v>554</v>
      </c>
      <c r="K2409" s="166" t="s">
        <v>709</v>
      </c>
      <c r="L2409" s="177">
        <v>35000</v>
      </c>
      <c r="M2409" s="140"/>
      <c r="N2409" s="140"/>
      <c r="O2409" s="164">
        <f t="shared" si="264"/>
        <v>0</v>
      </c>
      <c r="P2409" s="166">
        <v>30</v>
      </c>
      <c r="Q2409" s="166">
        <v>1</v>
      </c>
      <c r="R2409" s="164">
        <f>$L2409*'Pivot Objective'!$C$9*P2409*Q2409</f>
        <v>1200067.1518499998</v>
      </c>
      <c r="S2409" s="166">
        <v>30</v>
      </c>
      <c r="T2409" s="166">
        <v>1</v>
      </c>
      <c r="U2409" s="164">
        <f>($L2409*'Pivot Objective'!$C$9^2)*S2409*T2409</f>
        <v>1371582.0656660672</v>
      </c>
      <c r="V2409" s="166">
        <v>0</v>
      </c>
      <c r="W2409" s="166">
        <v>0</v>
      </c>
      <c r="X2409" s="164">
        <f>($L2409*'Pivot Objective'!$C$9^3)*V2409*W2409</f>
        <v>0</v>
      </c>
      <c r="Y2409" s="166">
        <v>30</v>
      </c>
      <c r="Z2409" s="166">
        <v>1</v>
      </c>
      <c r="AA2409" s="164">
        <f>($L2409*'Pivot Objective'!$C$9^4)*Y2409*Z2409</f>
        <v>1791654.6312921871</v>
      </c>
      <c r="AB2409" s="166">
        <v>0</v>
      </c>
      <c r="AC2409" s="166">
        <v>0</v>
      </c>
      <c r="AD2409" s="164">
        <f>($L2409*'Pivot Objective'!$C$9^5)*AB2409*AC2409</f>
        <v>0</v>
      </c>
      <c r="AE2409" s="166">
        <v>30</v>
      </c>
      <c r="AF2409" s="166">
        <v>1</v>
      </c>
      <c r="AG2409" s="164">
        <f>($L2409*'Pivot Objective'!$C$9^6)*AE2409*AF2409</f>
        <v>2340382.2477599182</v>
      </c>
      <c r="AH2409" s="166">
        <v>0</v>
      </c>
      <c r="AI2409" s="166">
        <v>0</v>
      </c>
      <c r="AJ2409" s="164">
        <f>($L2409*'Pivot Objective'!$C$9^7)*AH2409*AI2409</f>
        <v>0</v>
      </c>
      <c r="AK2409" s="185">
        <f t="shared" si="265"/>
        <v>6703686.0965681728</v>
      </c>
      <c r="AL2409" s="186">
        <f t="shared" si="266"/>
        <v>6508.4331034642455</v>
      </c>
    </row>
    <row r="2410" spans="1:38" customFormat="1" ht="57.6" x14ac:dyDescent="0.3">
      <c r="A2410" s="140" t="s">
        <v>1488</v>
      </c>
      <c r="B2410" s="140">
        <v>4</v>
      </c>
      <c r="C2410" s="166" t="s">
        <v>697</v>
      </c>
      <c r="D2410" s="140" t="str">
        <f t="shared" si="262"/>
        <v>2</v>
      </c>
      <c r="E2410" s="166" t="s">
        <v>693</v>
      </c>
      <c r="F2410" s="140">
        <f t="shared" si="267"/>
        <v>3</v>
      </c>
      <c r="G2410" s="140" t="str">
        <f t="shared" si="263"/>
        <v>4.2.3</v>
      </c>
      <c r="H2410" s="168" t="s">
        <v>672</v>
      </c>
      <c r="I2410" s="166" t="s">
        <v>110</v>
      </c>
      <c r="J2410" s="166" t="s">
        <v>555</v>
      </c>
      <c r="K2410" s="166" t="s">
        <v>709</v>
      </c>
      <c r="L2410" s="177">
        <v>35000</v>
      </c>
      <c r="M2410" s="140"/>
      <c r="N2410" s="140"/>
      <c r="O2410" s="164">
        <f t="shared" si="264"/>
        <v>0</v>
      </c>
      <c r="P2410" s="166">
        <v>30</v>
      </c>
      <c r="Q2410" s="166">
        <v>1</v>
      </c>
      <c r="R2410" s="164">
        <f>$L2410*'Pivot Objective'!$C$9*P2410*Q2410</f>
        <v>1200067.1518499998</v>
      </c>
      <c r="S2410" s="166">
        <v>20</v>
      </c>
      <c r="T2410" s="166">
        <v>1</v>
      </c>
      <c r="U2410" s="164">
        <f>($L2410*'Pivot Objective'!$C$9^2)*S2410*T2410</f>
        <v>914388.04377737816</v>
      </c>
      <c r="V2410" s="166">
        <v>0</v>
      </c>
      <c r="W2410" s="166">
        <v>0</v>
      </c>
      <c r="X2410" s="164">
        <f>($L2410*'Pivot Objective'!$C$9^3)*V2410*W2410</f>
        <v>0</v>
      </c>
      <c r="Y2410" s="166">
        <v>30</v>
      </c>
      <c r="Z2410" s="166">
        <v>1</v>
      </c>
      <c r="AA2410" s="164">
        <f>($L2410*'Pivot Objective'!$C$9^4)*Y2410*Z2410</f>
        <v>1791654.6312921871</v>
      </c>
      <c r="AB2410" s="166">
        <v>0</v>
      </c>
      <c r="AC2410" s="166">
        <v>0</v>
      </c>
      <c r="AD2410" s="164">
        <f>($L2410*'Pivot Objective'!$C$9^5)*AB2410*AC2410</f>
        <v>0</v>
      </c>
      <c r="AE2410" s="166">
        <v>30</v>
      </c>
      <c r="AF2410" s="166">
        <v>1</v>
      </c>
      <c r="AG2410" s="164">
        <f>($L2410*'Pivot Objective'!$C$9^6)*AE2410*AF2410</f>
        <v>2340382.2477599182</v>
      </c>
      <c r="AH2410" s="166">
        <v>0</v>
      </c>
      <c r="AI2410" s="166">
        <v>0</v>
      </c>
      <c r="AJ2410" s="164">
        <f>($L2410*'Pivot Objective'!$C$9^7)*AH2410*AI2410</f>
        <v>0</v>
      </c>
      <c r="AK2410" s="185">
        <f t="shared" si="265"/>
        <v>6246492.0746794827</v>
      </c>
      <c r="AL2410" s="186">
        <f t="shared" si="266"/>
        <v>6064.5554123101774</v>
      </c>
    </row>
    <row r="2411" spans="1:38" customFormat="1" ht="57.6" x14ac:dyDescent="0.3">
      <c r="A2411" s="140" t="s">
        <v>1488</v>
      </c>
      <c r="B2411" s="140">
        <v>4</v>
      </c>
      <c r="C2411" s="166" t="s">
        <v>697</v>
      </c>
      <c r="D2411" s="140" t="str">
        <f t="shared" si="262"/>
        <v>2</v>
      </c>
      <c r="E2411" s="166" t="s">
        <v>693</v>
      </c>
      <c r="F2411" s="140">
        <f t="shared" si="267"/>
        <v>3</v>
      </c>
      <c r="G2411" s="140" t="str">
        <f t="shared" si="263"/>
        <v>4.2.3</v>
      </c>
      <c r="H2411" s="168" t="s">
        <v>672</v>
      </c>
      <c r="I2411" s="166" t="s">
        <v>110</v>
      </c>
      <c r="J2411" s="166" t="s">
        <v>797</v>
      </c>
      <c r="K2411" s="166" t="s">
        <v>709</v>
      </c>
      <c r="L2411" s="177">
        <v>35000</v>
      </c>
      <c r="M2411" s="140"/>
      <c r="N2411" s="140"/>
      <c r="O2411" s="164">
        <f t="shared" si="264"/>
        <v>0</v>
      </c>
      <c r="P2411" s="166">
        <v>100</v>
      </c>
      <c r="Q2411" s="166">
        <v>1</v>
      </c>
      <c r="R2411" s="164">
        <f>$L2411*'Pivot Objective'!$C$9*P2411*Q2411</f>
        <v>4000223.8394999993</v>
      </c>
      <c r="S2411" s="166">
        <v>40</v>
      </c>
      <c r="T2411" s="166">
        <v>1</v>
      </c>
      <c r="U2411" s="164">
        <f>($L2411*'Pivot Objective'!$C$9^2)*S2411*T2411</f>
        <v>1828776.0875547563</v>
      </c>
      <c r="V2411" s="166">
        <v>0</v>
      </c>
      <c r="W2411" s="166">
        <v>0</v>
      </c>
      <c r="X2411" s="164">
        <f>($L2411*'Pivot Objective'!$C$9^3)*V2411*W2411</f>
        <v>0</v>
      </c>
      <c r="Y2411" s="166">
        <v>100</v>
      </c>
      <c r="Z2411" s="166">
        <v>1</v>
      </c>
      <c r="AA2411" s="164">
        <f>($L2411*'Pivot Objective'!$C$9^4)*Y2411*Z2411</f>
        <v>5972182.1043072902</v>
      </c>
      <c r="AB2411" s="166">
        <v>0</v>
      </c>
      <c r="AC2411" s="166">
        <v>0</v>
      </c>
      <c r="AD2411" s="164">
        <f>($L2411*'Pivot Objective'!$C$9^5)*AB2411*AC2411</f>
        <v>0</v>
      </c>
      <c r="AE2411" s="166">
        <v>100</v>
      </c>
      <c r="AF2411" s="166">
        <v>1</v>
      </c>
      <c r="AG2411" s="164">
        <f>($L2411*'Pivot Objective'!$C$9^6)*AE2411*AF2411</f>
        <v>7801274.1591997268</v>
      </c>
      <c r="AH2411" s="166">
        <v>0</v>
      </c>
      <c r="AI2411" s="166">
        <v>0</v>
      </c>
      <c r="AJ2411" s="164">
        <f>($L2411*'Pivot Objective'!$C$9^7)*AH2411*AI2411</f>
        <v>0</v>
      </c>
      <c r="AK2411" s="185">
        <f t="shared" si="265"/>
        <v>19602456.190561771</v>
      </c>
      <c r="AL2411" s="186">
        <f t="shared" si="266"/>
        <v>19031.51086462308</v>
      </c>
    </row>
    <row r="2412" spans="1:38" customFormat="1" ht="57.6" x14ac:dyDescent="0.3">
      <c r="A2412" s="140" t="s">
        <v>1488</v>
      </c>
      <c r="B2412" s="140">
        <v>4</v>
      </c>
      <c r="C2412" s="166" t="s">
        <v>697</v>
      </c>
      <c r="D2412" s="140" t="str">
        <f t="shared" si="262"/>
        <v>2</v>
      </c>
      <c r="E2412" s="166" t="s">
        <v>693</v>
      </c>
      <c r="F2412" s="140">
        <f t="shared" si="267"/>
        <v>3</v>
      </c>
      <c r="G2412" s="140" t="str">
        <f t="shared" si="263"/>
        <v>4.2.3</v>
      </c>
      <c r="H2412" s="168" t="s">
        <v>672</v>
      </c>
      <c r="I2412" s="166" t="s">
        <v>110</v>
      </c>
      <c r="J2412" s="166" t="s">
        <v>797</v>
      </c>
      <c r="K2412" s="166" t="s">
        <v>717</v>
      </c>
      <c r="L2412" s="177">
        <v>104850</v>
      </c>
      <c r="M2412" s="140"/>
      <c r="N2412" s="140"/>
      <c r="O2412" s="164">
        <f t="shared" si="264"/>
        <v>0</v>
      </c>
      <c r="P2412" s="166">
        <v>1</v>
      </c>
      <c r="Q2412" s="166">
        <v>1</v>
      </c>
      <c r="R2412" s="164">
        <f>$L2412*'Pivot Objective'!$C$9*P2412*Q2412</f>
        <v>119835.27702044998</v>
      </c>
      <c r="S2412" s="166">
        <v>3</v>
      </c>
      <c r="T2412" s="166">
        <v>1</v>
      </c>
      <c r="U2412" s="164">
        <f>($L2412*'Pivot Objective'!$C$9^2)*S2412*T2412</f>
        <v>410886.79881453479</v>
      </c>
      <c r="V2412" s="166">
        <v>0</v>
      </c>
      <c r="W2412" s="166">
        <v>0</v>
      </c>
      <c r="X2412" s="164">
        <f>($L2412*'Pivot Objective'!$C$9^3)*V2412*W2412</f>
        <v>0</v>
      </c>
      <c r="Y2412" s="166">
        <v>1</v>
      </c>
      <c r="Z2412" s="166">
        <v>1</v>
      </c>
      <c r="AA2412" s="164">
        <f>($L2412*'Pivot Objective'!$C$9^4)*Y2412*Z2412</f>
        <v>178909.51246760553</v>
      </c>
      <c r="AB2412" s="166">
        <v>0</v>
      </c>
      <c r="AC2412" s="166">
        <v>0</v>
      </c>
      <c r="AD2412" s="164">
        <f>($L2412*'Pivot Objective'!$C$9^5)*AB2412*AC2412</f>
        <v>0</v>
      </c>
      <c r="AE2412" s="166">
        <v>1</v>
      </c>
      <c r="AF2412" s="166">
        <v>1</v>
      </c>
      <c r="AG2412" s="164">
        <f>($L2412*'Pivot Objective'!$C$9^6)*AE2412*AF2412</f>
        <v>233703.88445488326</v>
      </c>
      <c r="AH2412" s="166">
        <v>0</v>
      </c>
      <c r="AI2412" s="166">
        <v>0</v>
      </c>
      <c r="AJ2412" s="164">
        <f>($L2412*'Pivot Objective'!$C$9^7)*AH2412*AI2412</f>
        <v>0</v>
      </c>
      <c r="AK2412" s="185">
        <f t="shared" si="265"/>
        <v>943335.47275747359</v>
      </c>
      <c r="AL2412" s="186">
        <f t="shared" si="266"/>
        <v>915.85968228880927</v>
      </c>
    </row>
    <row r="2413" spans="1:38" customFormat="1" ht="57.6" x14ac:dyDescent="0.3">
      <c r="A2413" s="140" t="s">
        <v>1488</v>
      </c>
      <c r="B2413" s="140">
        <v>4</v>
      </c>
      <c r="C2413" s="166" t="s">
        <v>697</v>
      </c>
      <c r="D2413" s="140" t="str">
        <f t="shared" ref="D2413:D2476" si="268">RIGHT(A2413,1)</f>
        <v>2</v>
      </c>
      <c r="E2413" s="166" t="s">
        <v>693</v>
      </c>
      <c r="F2413" s="140">
        <f t="shared" si="267"/>
        <v>3</v>
      </c>
      <c r="G2413" s="140" t="str">
        <f t="shared" si="263"/>
        <v>4.2.3</v>
      </c>
      <c r="H2413" s="168" t="s">
        <v>672</v>
      </c>
      <c r="I2413" s="166" t="s">
        <v>110</v>
      </c>
      <c r="J2413" s="166" t="s">
        <v>797</v>
      </c>
      <c r="K2413" s="166" t="s">
        <v>711</v>
      </c>
      <c r="L2413" s="177">
        <v>8000</v>
      </c>
      <c r="M2413" s="140"/>
      <c r="N2413" s="140"/>
      <c r="O2413" s="164">
        <f t="shared" si="264"/>
        <v>0</v>
      </c>
      <c r="P2413" s="166">
        <v>5</v>
      </c>
      <c r="Q2413" s="166">
        <v>1</v>
      </c>
      <c r="R2413" s="164">
        <f>$L2413*'Pivot Objective'!$C$9*P2413*Q2413</f>
        <v>45716.84388</v>
      </c>
      <c r="S2413" s="166">
        <v>50000</v>
      </c>
      <c r="T2413" s="166">
        <v>1</v>
      </c>
      <c r="U2413" s="164">
        <f>($L2413*'Pivot Objective'!$C$9^2)*S2413*T2413</f>
        <v>522507453.58707327</v>
      </c>
      <c r="V2413" s="166">
        <v>0</v>
      </c>
      <c r="W2413" s="166">
        <v>0</v>
      </c>
      <c r="X2413" s="164">
        <f>($L2413*'Pivot Objective'!$C$9^3)*V2413*W2413</f>
        <v>0</v>
      </c>
      <c r="Y2413" s="166">
        <v>5</v>
      </c>
      <c r="Z2413" s="166">
        <v>1</v>
      </c>
      <c r="AA2413" s="164">
        <f>($L2413*'Pivot Objective'!$C$9^4)*Y2413*Z2413</f>
        <v>68253.509763511887</v>
      </c>
      <c r="AB2413" s="166">
        <v>0</v>
      </c>
      <c r="AC2413" s="166">
        <v>0</v>
      </c>
      <c r="AD2413" s="164">
        <f>($L2413*'Pivot Objective'!$C$9^5)*AB2413*AC2413</f>
        <v>0</v>
      </c>
      <c r="AE2413" s="166">
        <v>5</v>
      </c>
      <c r="AF2413" s="166">
        <v>1</v>
      </c>
      <c r="AG2413" s="164">
        <f>($L2413*'Pivot Objective'!$C$9^6)*AE2413*AF2413</f>
        <v>89157.418962282609</v>
      </c>
      <c r="AH2413" s="166">
        <v>0</v>
      </c>
      <c r="AI2413" s="166">
        <v>0</v>
      </c>
      <c r="AJ2413" s="164">
        <f>($L2413*'Pivot Objective'!$C$9^7)*AH2413*AI2413</f>
        <v>0</v>
      </c>
      <c r="AK2413" s="185">
        <f t="shared" si="265"/>
        <v>522710581.3596791</v>
      </c>
      <c r="AL2413" s="186">
        <f t="shared" si="266"/>
        <v>507486.00132007682</v>
      </c>
    </row>
    <row r="2414" spans="1:38" customFormat="1" ht="57.6" x14ac:dyDescent="0.3">
      <c r="A2414" s="140" t="s">
        <v>1488</v>
      </c>
      <c r="B2414" s="140">
        <v>4</v>
      </c>
      <c r="C2414" s="166" t="s">
        <v>697</v>
      </c>
      <c r="D2414" s="140" t="str">
        <f t="shared" si="268"/>
        <v>2</v>
      </c>
      <c r="E2414" s="166" t="s">
        <v>693</v>
      </c>
      <c r="F2414" s="140">
        <f t="shared" si="267"/>
        <v>3</v>
      </c>
      <c r="G2414" s="140" t="str">
        <f t="shared" ref="G2414:G2477" si="269">B2414&amp;"."&amp;D2414&amp;"."&amp;F2414</f>
        <v>4.2.3</v>
      </c>
      <c r="H2414" s="168" t="s">
        <v>672</v>
      </c>
      <c r="I2414" s="166" t="s">
        <v>109</v>
      </c>
      <c r="J2414" s="166" t="s">
        <v>549</v>
      </c>
      <c r="K2414" s="166" t="s">
        <v>718</v>
      </c>
      <c r="L2414" s="177">
        <v>0</v>
      </c>
      <c r="M2414" s="166">
        <v>0</v>
      </c>
      <c r="N2414" s="166">
        <v>0</v>
      </c>
      <c r="O2414" s="164">
        <f t="shared" si="264"/>
        <v>0</v>
      </c>
      <c r="P2414" s="166">
        <v>0</v>
      </c>
      <c r="Q2414" s="166">
        <v>0</v>
      </c>
      <c r="R2414" s="164">
        <f>$L2414*'Pivot Objective'!$C$9*P2414*Q2414</f>
        <v>0</v>
      </c>
      <c r="S2414" s="166">
        <v>0</v>
      </c>
      <c r="T2414" s="166">
        <v>0</v>
      </c>
      <c r="U2414" s="164">
        <f>($L2414*'Pivot Objective'!$C$9^2)*S2414*T2414</f>
        <v>0</v>
      </c>
      <c r="V2414" s="166">
        <v>0</v>
      </c>
      <c r="W2414" s="166">
        <v>0</v>
      </c>
      <c r="X2414" s="164">
        <f>($L2414*'Pivot Objective'!$C$9^3)*V2414*W2414</f>
        <v>0</v>
      </c>
      <c r="Y2414" s="166">
        <v>0</v>
      </c>
      <c r="Z2414" s="166">
        <v>0</v>
      </c>
      <c r="AA2414" s="164">
        <f>($L2414*'Pivot Objective'!$C$9^4)*Y2414*Z2414</f>
        <v>0</v>
      </c>
      <c r="AB2414" s="166">
        <v>0</v>
      </c>
      <c r="AC2414" s="166">
        <v>0</v>
      </c>
      <c r="AD2414" s="164">
        <f>($L2414*'Pivot Objective'!$C$9^5)*AB2414*AC2414</f>
        <v>0</v>
      </c>
      <c r="AE2414" s="166">
        <v>0</v>
      </c>
      <c r="AF2414" s="166">
        <v>0</v>
      </c>
      <c r="AG2414" s="164">
        <f>($L2414*'Pivot Objective'!$C$9^6)*AE2414*AF2414</f>
        <v>0</v>
      </c>
      <c r="AH2414" s="166">
        <v>0</v>
      </c>
      <c r="AI2414" s="166">
        <v>0</v>
      </c>
      <c r="AJ2414" s="164">
        <f>($L2414*'Pivot Objective'!$C$9^7)*AH2414*AI2414</f>
        <v>0</v>
      </c>
      <c r="AK2414" s="185">
        <f t="shared" si="265"/>
        <v>0</v>
      </c>
      <c r="AL2414" s="186">
        <f t="shared" si="266"/>
        <v>0</v>
      </c>
    </row>
    <row r="2415" spans="1:38" customFormat="1" ht="57.6" x14ac:dyDescent="0.3">
      <c r="A2415" s="140" t="s">
        <v>1488</v>
      </c>
      <c r="B2415" s="140">
        <v>4</v>
      </c>
      <c r="C2415" s="166" t="s">
        <v>697</v>
      </c>
      <c r="D2415" s="140" t="str">
        <f t="shared" si="268"/>
        <v>2</v>
      </c>
      <c r="E2415" s="166" t="s">
        <v>693</v>
      </c>
      <c r="F2415" s="140">
        <f t="shared" si="267"/>
        <v>3</v>
      </c>
      <c r="G2415" s="140" t="str">
        <f t="shared" si="269"/>
        <v>4.2.3</v>
      </c>
      <c r="H2415" s="168" t="s">
        <v>672</v>
      </c>
      <c r="I2415" s="166" t="s">
        <v>109</v>
      </c>
      <c r="J2415" s="166" t="s">
        <v>550</v>
      </c>
      <c r="K2415" s="166" t="s">
        <v>718</v>
      </c>
      <c r="L2415" s="177">
        <v>0</v>
      </c>
      <c r="M2415" s="166">
        <v>0</v>
      </c>
      <c r="N2415" s="166">
        <v>0</v>
      </c>
      <c r="O2415" s="164">
        <f t="shared" si="264"/>
        <v>0</v>
      </c>
      <c r="P2415" s="166">
        <v>0</v>
      </c>
      <c r="Q2415" s="166">
        <v>0</v>
      </c>
      <c r="R2415" s="164">
        <f>$L2415*'Pivot Objective'!$C$9*P2415*Q2415</f>
        <v>0</v>
      </c>
      <c r="S2415" s="166">
        <v>0</v>
      </c>
      <c r="T2415" s="166">
        <v>0</v>
      </c>
      <c r="U2415" s="164">
        <f>($L2415*'Pivot Objective'!$C$9^2)*S2415*T2415</f>
        <v>0</v>
      </c>
      <c r="V2415" s="166">
        <v>0</v>
      </c>
      <c r="W2415" s="166">
        <v>0</v>
      </c>
      <c r="X2415" s="164">
        <f>($L2415*'Pivot Objective'!$C$9^3)*V2415*W2415</f>
        <v>0</v>
      </c>
      <c r="Y2415" s="166">
        <v>0</v>
      </c>
      <c r="Z2415" s="166">
        <v>0</v>
      </c>
      <c r="AA2415" s="164">
        <f>($L2415*'Pivot Objective'!$C$9^4)*Y2415*Z2415</f>
        <v>0</v>
      </c>
      <c r="AB2415" s="166">
        <v>0</v>
      </c>
      <c r="AC2415" s="166">
        <v>0</v>
      </c>
      <c r="AD2415" s="164">
        <f>($L2415*'Pivot Objective'!$C$9^5)*AB2415*AC2415</f>
        <v>0</v>
      </c>
      <c r="AE2415" s="166">
        <v>0</v>
      </c>
      <c r="AF2415" s="166">
        <v>0</v>
      </c>
      <c r="AG2415" s="164">
        <f>($L2415*'Pivot Objective'!$C$9^6)*AE2415*AF2415</f>
        <v>0</v>
      </c>
      <c r="AH2415" s="166">
        <v>0</v>
      </c>
      <c r="AI2415" s="166">
        <v>0</v>
      </c>
      <c r="AJ2415" s="164">
        <f>($L2415*'Pivot Objective'!$C$9^7)*AH2415*AI2415</f>
        <v>0</v>
      </c>
      <c r="AK2415" s="185">
        <f t="shared" si="265"/>
        <v>0</v>
      </c>
      <c r="AL2415" s="186">
        <f t="shared" si="266"/>
        <v>0</v>
      </c>
    </row>
    <row r="2416" spans="1:38" customFormat="1" ht="57.6" x14ac:dyDescent="0.3">
      <c r="A2416" s="140" t="s">
        <v>1488</v>
      </c>
      <c r="B2416" s="140">
        <v>4</v>
      </c>
      <c r="C2416" s="166" t="s">
        <v>697</v>
      </c>
      <c r="D2416" s="140" t="str">
        <f t="shared" si="268"/>
        <v>2</v>
      </c>
      <c r="E2416" s="166" t="s">
        <v>693</v>
      </c>
      <c r="F2416" s="140">
        <f t="shared" si="267"/>
        <v>3</v>
      </c>
      <c r="G2416" s="140" t="str">
        <f t="shared" si="269"/>
        <v>4.2.3</v>
      </c>
      <c r="H2416" s="168" t="s">
        <v>672</v>
      </c>
      <c r="I2416" s="166" t="s">
        <v>109</v>
      </c>
      <c r="J2416" s="166" t="s">
        <v>551</v>
      </c>
      <c r="K2416" s="166" t="s">
        <v>713</v>
      </c>
      <c r="L2416" s="177">
        <v>45000</v>
      </c>
      <c r="M2416" s="140"/>
      <c r="N2416" s="140"/>
      <c r="O2416" s="164">
        <f t="shared" si="264"/>
        <v>0</v>
      </c>
      <c r="P2416" s="166">
        <v>0</v>
      </c>
      <c r="Q2416" s="166">
        <v>0</v>
      </c>
      <c r="R2416" s="164">
        <f>$L2416*'Pivot Objective'!$C$9*P2416*Q2416</f>
        <v>0</v>
      </c>
      <c r="S2416" s="166">
        <v>15</v>
      </c>
      <c r="T2416" s="166">
        <v>1</v>
      </c>
      <c r="U2416" s="164">
        <f>($L2416*'Pivot Objective'!$C$9^2)*S2416*T2416</f>
        <v>881731.32792818616</v>
      </c>
      <c r="V2416" s="166">
        <v>25</v>
      </c>
      <c r="W2416" s="166">
        <v>1</v>
      </c>
      <c r="X2416" s="164">
        <f>($L2416*'Pivot Objective'!$C$9^3)*V2416*W2416</f>
        <v>1679582.2276249153</v>
      </c>
      <c r="Y2416" s="166">
        <v>0</v>
      </c>
      <c r="Z2416" s="166">
        <v>0</v>
      </c>
      <c r="AA2416" s="164">
        <f>($L2416*'Pivot Objective'!$C$9^4)*Y2416*Z2416</f>
        <v>0</v>
      </c>
      <c r="AB2416" s="166">
        <v>0</v>
      </c>
      <c r="AC2416" s="166">
        <v>0</v>
      </c>
      <c r="AD2416" s="164">
        <f>($L2416*'Pivot Objective'!$C$9^5)*AB2416*AC2416</f>
        <v>0</v>
      </c>
      <c r="AE2416" s="166">
        <v>25</v>
      </c>
      <c r="AF2416" s="166">
        <v>1</v>
      </c>
      <c r="AG2416" s="164">
        <f>($L2416*'Pivot Objective'!$C$9^6)*AE2416*AF2416</f>
        <v>2507552.4083141983</v>
      </c>
      <c r="AH2416" s="166">
        <v>0</v>
      </c>
      <c r="AI2416" s="166">
        <v>0</v>
      </c>
      <c r="AJ2416" s="164">
        <f>($L2416*'Pivot Objective'!$C$9^7)*AH2416*AI2416</f>
        <v>0</v>
      </c>
      <c r="AK2416" s="185">
        <f t="shared" si="265"/>
        <v>5068865.9638672993</v>
      </c>
      <c r="AL2416" s="186">
        <f t="shared" si="266"/>
        <v>4921.2290911333002</v>
      </c>
    </row>
    <row r="2417" spans="1:38" customFormat="1" ht="57.6" x14ac:dyDescent="0.3">
      <c r="A2417" s="140" t="s">
        <v>1488</v>
      </c>
      <c r="B2417" s="140">
        <v>4</v>
      </c>
      <c r="C2417" s="166" t="s">
        <v>697</v>
      </c>
      <c r="D2417" s="140" t="str">
        <f t="shared" si="268"/>
        <v>2</v>
      </c>
      <c r="E2417" s="166" t="s">
        <v>693</v>
      </c>
      <c r="F2417" s="140">
        <f t="shared" si="267"/>
        <v>3</v>
      </c>
      <c r="G2417" s="140" t="str">
        <f t="shared" si="269"/>
        <v>4.2.3</v>
      </c>
      <c r="H2417" s="168" t="s">
        <v>672</v>
      </c>
      <c r="I2417" s="166" t="s">
        <v>109</v>
      </c>
      <c r="J2417" s="166" t="s">
        <v>551</v>
      </c>
      <c r="K2417" s="166" t="s">
        <v>712</v>
      </c>
      <c r="L2417" s="177">
        <f>1480/7</f>
        <v>211.42857142857142</v>
      </c>
      <c r="M2417" s="140"/>
      <c r="N2417" s="140"/>
      <c r="O2417" s="164">
        <f t="shared" si="264"/>
        <v>0</v>
      </c>
      <c r="P2417" s="166">
        <v>0</v>
      </c>
      <c r="Q2417" s="166">
        <v>0</v>
      </c>
      <c r="R2417" s="164">
        <f>$L2417*'Pivot Objective'!$C$9*P2417*Q2417</f>
        <v>0</v>
      </c>
      <c r="S2417" s="166">
        <v>4000</v>
      </c>
      <c r="T2417" s="166">
        <v>1</v>
      </c>
      <c r="U2417" s="164">
        <f>($L2417*'Pivot Objective'!$C$9^2)*S2417*T2417</f>
        <v>1104730.044726955</v>
      </c>
      <c r="V2417" s="166">
        <f>25*2*9</f>
        <v>450</v>
      </c>
      <c r="W2417" s="166">
        <v>1</v>
      </c>
      <c r="X2417" s="164">
        <f>($L2417*'Pivot Objective'!$C$9^3)*V2417*W2417</f>
        <v>142044.66839342139</v>
      </c>
      <c r="Y2417" s="166">
        <v>0</v>
      </c>
      <c r="Z2417" s="166">
        <v>0</v>
      </c>
      <c r="AA2417" s="164">
        <f>($L2417*'Pivot Objective'!$C$9^4)*Y2417*Z2417</f>
        <v>0</v>
      </c>
      <c r="AB2417" s="166">
        <v>0</v>
      </c>
      <c r="AC2417" s="166">
        <v>0</v>
      </c>
      <c r="AD2417" s="164">
        <f>($L2417*'Pivot Objective'!$C$9^5)*AB2417*AC2417</f>
        <v>0</v>
      </c>
      <c r="AE2417" s="166">
        <f>25*2*9</f>
        <v>450</v>
      </c>
      <c r="AF2417" s="166">
        <v>1</v>
      </c>
      <c r="AG2417" s="164">
        <f>($L2417*'Pivot Objective'!$C$9^6)*AE2417*AF2417</f>
        <v>212067.2893888579</v>
      </c>
      <c r="AH2417" s="166">
        <v>0</v>
      </c>
      <c r="AI2417" s="166">
        <v>0</v>
      </c>
      <c r="AJ2417" s="164">
        <f>($L2417*'Pivot Objective'!$C$9^7)*AH2417*AI2417</f>
        <v>0</v>
      </c>
      <c r="AK2417" s="185">
        <f t="shared" si="265"/>
        <v>1458842.0025092345</v>
      </c>
      <c r="AL2417" s="186">
        <f t="shared" si="266"/>
        <v>1416.3514587468296</v>
      </c>
    </row>
    <row r="2418" spans="1:38" customFormat="1" ht="57.6" x14ac:dyDescent="0.3">
      <c r="A2418" s="140" t="s">
        <v>1488</v>
      </c>
      <c r="B2418" s="140">
        <v>4</v>
      </c>
      <c r="C2418" s="166" t="s">
        <v>697</v>
      </c>
      <c r="D2418" s="140" t="str">
        <f t="shared" si="268"/>
        <v>2</v>
      </c>
      <c r="E2418" s="166" t="s">
        <v>693</v>
      </c>
      <c r="F2418" s="140">
        <f t="shared" si="267"/>
        <v>3</v>
      </c>
      <c r="G2418" s="140" t="str">
        <f t="shared" si="269"/>
        <v>4.2.3</v>
      </c>
      <c r="H2418" s="168" t="s">
        <v>672</v>
      </c>
      <c r="I2418" s="166" t="s">
        <v>109</v>
      </c>
      <c r="J2418" s="166" t="s">
        <v>551</v>
      </c>
      <c r="K2418" s="166" t="s">
        <v>1350</v>
      </c>
      <c r="L2418" s="177">
        <f>1480/7</f>
        <v>211.42857142857142</v>
      </c>
      <c r="M2418" s="140"/>
      <c r="N2418" s="140"/>
      <c r="O2418" s="164">
        <f t="shared" si="264"/>
        <v>0</v>
      </c>
      <c r="P2418" s="166">
        <v>0</v>
      </c>
      <c r="Q2418" s="166">
        <v>0</v>
      </c>
      <c r="R2418" s="164">
        <f>$L2418*'Pivot Objective'!$C$9*P2418*Q2418</f>
        <v>0</v>
      </c>
      <c r="S2418" s="166">
        <v>4000</v>
      </c>
      <c r="T2418" s="166">
        <v>1</v>
      </c>
      <c r="U2418" s="164">
        <f>($L2418*'Pivot Objective'!$C$9^2)*S2418*T2418</f>
        <v>1104730.044726955</v>
      </c>
      <c r="V2418" s="166">
        <f>135*2*9</f>
        <v>2430</v>
      </c>
      <c r="W2418" s="166">
        <v>1</v>
      </c>
      <c r="X2418" s="164">
        <f>($L2418*'Pivot Objective'!$C$9^3)*V2418*W2418</f>
        <v>767041.20932447549</v>
      </c>
      <c r="Y2418" s="166">
        <v>0</v>
      </c>
      <c r="Z2418" s="166">
        <v>0</v>
      </c>
      <c r="AA2418" s="164">
        <f>($L2418*'Pivot Objective'!$C$9^4)*Y2418*Z2418</f>
        <v>0</v>
      </c>
      <c r="AB2418" s="166">
        <v>0</v>
      </c>
      <c r="AC2418" s="166">
        <v>0</v>
      </c>
      <c r="AD2418" s="164">
        <f>($L2418*'Pivot Objective'!$C$9^5)*AB2418*AC2418</f>
        <v>0</v>
      </c>
      <c r="AE2418" s="166">
        <f>135*2*9</f>
        <v>2430</v>
      </c>
      <c r="AF2418" s="166">
        <v>1</v>
      </c>
      <c r="AG2418" s="164">
        <f>($L2418*'Pivot Objective'!$C$9^6)*AE2418*AF2418</f>
        <v>1145163.3626998325</v>
      </c>
      <c r="AH2418" s="166">
        <v>0</v>
      </c>
      <c r="AI2418" s="166">
        <v>0</v>
      </c>
      <c r="AJ2418" s="164">
        <f>($L2418*'Pivot Objective'!$C$9^7)*AH2418*AI2418</f>
        <v>0</v>
      </c>
      <c r="AK2418" s="185">
        <f t="shared" si="265"/>
        <v>3016934.6167512629</v>
      </c>
      <c r="AL2418" s="186">
        <f t="shared" si="266"/>
        <v>2929.0627347099639</v>
      </c>
    </row>
    <row r="2419" spans="1:38" customFormat="1" ht="57.6" x14ac:dyDescent="0.3">
      <c r="A2419" s="140" t="s">
        <v>1488</v>
      </c>
      <c r="B2419" s="140">
        <v>4</v>
      </c>
      <c r="C2419" s="166" t="s">
        <v>697</v>
      </c>
      <c r="D2419" s="140" t="str">
        <f t="shared" si="268"/>
        <v>2</v>
      </c>
      <c r="E2419" s="166" t="s">
        <v>693</v>
      </c>
      <c r="F2419" s="140">
        <f t="shared" si="267"/>
        <v>3</v>
      </c>
      <c r="G2419" s="140" t="str">
        <f t="shared" si="269"/>
        <v>4.2.3</v>
      </c>
      <c r="H2419" s="168" t="s">
        <v>672</v>
      </c>
      <c r="I2419" s="166" t="s">
        <v>109</v>
      </c>
      <c r="J2419" s="166" t="s">
        <v>552</v>
      </c>
      <c r="K2419" s="166" t="s">
        <v>709</v>
      </c>
      <c r="L2419" s="177">
        <v>35000</v>
      </c>
      <c r="M2419" s="140"/>
      <c r="N2419" s="140"/>
      <c r="O2419" s="164">
        <f t="shared" si="264"/>
        <v>0</v>
      </c>
      <c r="P2419" s="166">
        <v>0</v>
      </c>
      <c r="Q2419" s="166">
        <v>0</v>
      </c>
      <c r="R2419" s="164">
        <f>$L2419*'Pivot Objective'!$C$9*P2419*Q2419</f>
        <v>0</v>
      </c>
      <c r="S2419" s="166">
        <v>30</v>
      </c>
      <c r="T2419" s="166">
        <v>1</v>
      </c>
      <c r="U2419" s="164">
        <f>($L2419*'Pivot Objective'!$C$9^2)*S2419*T2419</f>
        <v>1371582.0656660672</v>
      </c>
      <c r="V2419" s="166">
        <v>25</v>
      </c>
      <c r="W2419" s="166">
        <v>1</v>
      </c>
      <c r="X2419" s="164">
        <f>($L2419*'Pivot Objective'!$C$9^3)*V2419*W2419</f>
        <v>1306341.7325971564</v>
      </c>
      <c r="Y2419" s="166">
        <v>0</v>
      </c>
      <c r="Z2419" s="166">
        <v>0</v>
      </c>
      <c r="AA2419" s="164">
        <f>($L2419*'Pivot Objective'!$C$9^4)*Y2419*Z2419</f>
        <v>0</v>
      </c>
      <c r="AB2419" s="166">
        <v>0</v>
      </c>
      <c r="AC2419" s="166">
        <v>0</v>
      </c>
      <c r="AD2419" s="164">
        <f>($L2419*'Pivot Objective'!$C$9^5)*AB2419*AC2419</f>
        <v>0</v>
      </c>
      <c r="AE2419" s="166">
        <v>25</v>
      </c>
      <c r="AF2419" s="166">
        <v>1</v>
      </c>
      <c r="AG2419" s="164">
        <f>($L2419*'Pivot Objective'!$C$9^6)*AE2419*AF2419</f>
        <v>1950318.5397999317</v>
      </c>
      <c r="AH2419" s="166">
        <v>0</v>
      </c>
      <c r="AI2419" s="166">
        <v>0</v>
      </c>
      <c r="AJ2419" s="164">
        <f>($L2419*'Pivot Objective'!$C$9^7)*AH2419*AI2419</f>
        <v>0</v>
      </c>
      <c r="AK2419" s="185">
        <f t="shared" si="265"/>
        <v>4628242.3380631553</v>
      </c>
      <c r="AL2419" s="186">
        <f t="shared" si="266"/>
        <v>4493.4391631681119</v>
      </c>
    </row>
    <row r="2420" spans="1:38" customFormat="1" ht="57.6" x14ac:dyDescent="0.3">
      <c r="A2420" s="140" t="s">
        <v>1488</v>
      </c>
      <c r="B2420" s="140">
        <v>4</v>
      </c>
      <c r="C2420" s="166" t="s">
        <v>697</v>
      </c>
      <c r="D2420" s="140" t="str">
        <f t="shared" si="268"/>
        <v>2</v>
      </c>
      <c r="E2420" s="166" t="s">
        <v>693</v>
      </c>
      <c r="F2420" s="140">
        <f t="shared" si="267"/>
        <v>3</v>
      </c>
      <c r="G2420" s="140" t="str">
        <f t="shared" si="269"/>
        <v>4.2.3</v>
      </c>
      <c r="H2420" s="168" t="s">
        <v>672</v>
      </c>
      <c r="I2420" s="166" t="s">
        <v>109</v>
      </c>
      <c r="J2420" s="166" t="s">
        <v>151</v>
      </c>
      <c r="K2420" s="166" t="s">
        <v>713</v>
      </c>
      <c r="L2420" s="177">
        <v>45000</v>
      </c>
      <c r="M2420" s="140"/>
      <c r="N2420" s="140"/>
      <c r="O2420" s="164">
        <f t="shared" si="264"/>
        <v>0</v>
      </c>
      <c r="P2420" s="166">
        <v>0</v>
      </c>
      <c r="Q2420" s="166">
        <v>0</v>
      </c>
      <c r="R2420" s="164">
        <f>$L2420*'Pivot Objective'!$C$9*P2420*Q2420</f>
        <v>0</v>
      </c>
      <c r="S2420" s="166">
        <v>15</v>
      </c>
      <c r="T2420" s="166">
        <v>10</v>
      </c>
      <c r="U2420" s="164">
        <f>($L2420*'Pivot Objective'!$C$9^2)*S2420*T2420</f>
        <v>8817313.2792818621</v>
      </c>
      <c r="V2420" s="166">
        <v>25</v>
      </c>
      <c r="W2420" s="166">
        <v>6</v>
      </c>
      <c r="X2420" s="164">
        <f>($L2420*'Pivot Objective'!$C$9^3)*V2420*W2420</f>
        <v>10077493.365749491</v>
      </c>
      <c r="Y2420" s="166">
        <v>0</v>
      </c>
      <c r="Z2420" s="166">
        <v>0</v>
      </c>
      <c r="AA2420" s="164">
        <f>($L2420*'Pivot Objective'!$C$9^4)*Y2420*Z2420</f>
        <v>0</v>
      </c>
      <c r="AB2420" s="166">
        <v>0</v>
      </c>
      <c r="AC2420" s="166">
        <v>0</v>
      </c>
      <c r="AD2420" s="164">
        <f>($L2420*'Pivot Objective'!$C$9^5)*AB2420*AC2420</f>
        <v>0</v>
      </c>
      <c r="AE2420" s="166">
        <v>25</v>
      </c>
      <c r="AF2420" s="166">
        <v>6</v>
      </c>
      <c r="AG2420" s="164">
        <f>($L2420*'Pivot Objective'!$C$9^6)*AE2420*AF2420</f>
        <v>15045314.44988519</v>
      </c>
      <c r="AH2420" s="166">
        <v>0</v>
      </c>
      <c r="AI2420" s="166">
        <v>0</v>
      </c>
      <c r="AJ2420" s="164">
        <f>($L2420*'Pivot Objective'!$C$9^7)*AH2420*AI2420</f>
        <v>0</v>
      </c>
      <c r="AK2420" s="185">
        <f t="shared" si="265"/>
        <v>33940121.094916545</v>
      </c>
      <c r="AL2420" s="186">
        <f t="shared" si="266"/>
        <v>32951.57387855975</v>
      </c>
    </row>
    <row r="2421" spans="1:38" customFormat="1" ht="57.6" x14ac:dyDescent="0.3">
      <c r="A2421" s="140" t="s">
        <v>1488</v>
      </c>
      <c r="B2421" s="140">
        <v>4</v>
      </c>
      <c r="C2421" s="166" t="s">
        <v>697</v>
      </c>
      <c r="D2421" s="140" t="str">
        <f t="shared" si="268"/>
        <v>2</v>
      </c>
      <c r="E2421" s="166" t="s">
        <v>693</v>
      </c>
      <c r="F2421" s="140">
        <f t="shared" si="267"/>
        <v>3</v>
      </c>
      <c r="G2421" s="140" t="str">
        <f t="shared" si="269"/>
        <v>4.2.3</v>
      </c>
      <c r="H2421" s="168" t="s">
        <v>672</v>
      </c>
      <c r="I2421" s="166" t="s">
        <v>109</v>
      </c>
      <c r="J2421" s="166" t="s">
        <v>151</v>
      </c>
      <c r="K2421" s="166" t="s">
        <v>1350</v>
      </c>
      <c r="L2421" s="177">
        <f>1480/7</f>
        <v>211.42857142857142</v>
      </c>
      <c r="M2421" s="140"/>
      <c r="N2421" s="140"/>
      <c r="O2421" s="164">
        <f t="shared" si="264"/>
        <v>0</v>
      </c>
      <c r="P2421" s="166">
        <v>0</v>
      </c>
      <c r="Q2421" s="166">
        <v>0</v>
      </c>
      <c r="R2421" s="164">
        <f>$L2421*'Pivot Objective'!$C$9*P2421*Q2421</f>
        <v>0</v>
      </c>
      <c r="S2421" s="166">
        <v>4000</v>
      </c>
      <c r="T2421" s="166">
        <v>1</v>
      </c>
      <c r="U2421" s="164">
        <f>($L2421*'Pivot Objective'!$C$9^2)*S2421*T2421</f>
        <v>1104730.044726955</v>
      </c>
      <c r="V2421" s="166">
        <f>135*2*9</f>
        <v>2430</v>
      </c>
      <c r="W2421" s="166">
        <v>1</v>
      </c>
      <c r="X2421" s="164">
        <f>($L2421*'Pivot Objective'!$C$9^3)*V2421*W2421</f>
        <v>767041.20932447549</v>
      </c>
      <c r="Y2421" s="166">
        <v>0</v>
      </c>
      <c r="Z2421" s="166">
        <v>0</v>
      </c>
      <c r="AA2421" s="164">
        <f>($L2421*'Pivot Objective'!$C$9^4)*Y2421*Z2421</f>
        <v>0</v>
      </c>
      <c r="AB2421" s="166">
        <v>0</v>
      </c>
      <c r="AC2421" s="166">
        <v>0</v>
      </c>
      <c r="AD2421" s="164">
        <f>($L2421*'Pivot Objective'!$C$9^5)*AB2421*AC2421</f>
        <v>0</v>
      </c>
      <c r="AE2421" s="166">
        <f>135*2*9</f>
        <v>2430</v>
      </c>
      <c r="AF2421" s="166">
        <v>1</v>
      </c>
      <c r="AG2421" s="164">
        <f>($L2421*'Pivot Objective'!$C$9^6)*AE2421*AF2421</f>
        <v>1145163.3626998325</v>
      </c>
      <c r="AH2421" s="166">
        <v>0</v>
      </c>
      <c r="AI2421" s="166">
        <v>0</v>
      </c>
      <c r="AJ2421" s="164">
        <f>($L2421*'Pivot Objective'!$C$9^7)*AH2421*AI2421</f>
        <v>0</v>
      </c>
      <c r="AK2421" s="185">
        <f t="shared" si="265"/>
        <v>3016934.6167512629</v>
      </c>
      <c r="AL2421" s="186">
        <f t="shared" si="266"/>
        <v>2929.0627347099639</v>
      </c>
    </row>
    <row r="2422" spans="1:38" customFormat="1" ht="57.6" x14ac:dyDescent="0.3">
      <c r="A2422" s="140" t="s">
        <v>1488</v>
      </c>
      <c r="B2422" s="140">
        <v>4</v>
      </c>
      <c r="C2422" s="166" t="s">
        <v>697</v>
      </c>
      <c r="D2422" s="140" t="str">
        <f t="shared" si="268"/>
        <v>2</v>
      </c>
      <c r="E2422" s="166" t="s">
        <v>693</v>
      </c>
      <c r="F2422" s="140">
        <f t="shared" si="267"/>
        <v>3</v>
      </c>
      <c r="G2422" s="140" t="str">
        <f t="shared" si="269"/>
        <v>4.2.3</v>
      </c>
      <c r="H2422" s="168" t="s">
        <v>672</v>
      </c>
      <c r="I2422" s="166" t="s">
        <v>109</v>
      </c>
      <c r="J2422" s="166" t="s">
        <v>151</v>
      </c>
      <c r="K2422" s="166" t="s">
        <v>712</v>
      </c>
      <c r="L2422" s="177">
        <f>1480/7</f>
        <v>211.42857142857142</v>
      </c>
      <c r="M2422" s="140"/>
      <c r="N2422" s="140"/>
      <c r="O2422" s="164">
        <f t="shared" si="264"/>
        <v>0</v>
      </c>
      <c r="P2422" s="166">
        <v>0</v>
      </c>
      <c r="Q2422" s="166">
        <v>0</v>
      </c>
      <c r="R2422" s="164">
        <f>$L2422*'Pivot Objective'!$C$9*P2422*Q2422</f>
        <v>0</v>
      </c>
      <c r="S2422" s="166">
        <v>4000</v>
      </c>
      <c r="T2422" s="166">
        <v>1</v>
      </c>
      <c r="U2422" s="164">
        <f>($L2422*'Pivot Objective'!$C$9^2)*S2422*T2422</f>
        <v>1104730.044726955</v>
      </c>
      <c r="V2422" s="166">
        <f>25*2*9</f>
        <v>450</v>
      </c>
      <c r="W2422" s="166">
        <v>5</v>
      </c>
      <c r="X2422" s="164">
        <f>($L2422*'Pivot Objective'!$C$9^3)*V2422*W2422</f>
        <v>710223.34196710703</v>
      </c>
      <c r="Y2422" s="166">
        <v>0</v>
      </c>
      <c r="Z2422" s="166">
        <v>0</v>
      </c>
      <c r="AA2422" s="164">
        <f>($L2422*'Pivot Objective'!$C$9^4)*Y2422*Z2422</f>
        <v>0</v>
      </c>
      <c r="AB2422" s="166">
        <v>0</v>
      </c>
      <c r="AC2422" s="166">
        <v>0</v>
      </c>
      <c r="AD2422" s="164">
        <f>($L2422*'Pivot Objective'!$C$9^5)*AB2422*AC2422</f>
        <v>0</v>
      </c>
      <c r="AE2422" s="166">
        <f>25*2*9</f>
        <v>450</v>
      </c>
      <c r="AF2422" s="166">
        <v>5</v>
      </c>
      <c r="AG2422" s="164">
        <f>($L2422*'Pivot Objective'!$C$9^6)*AE2422*AF2422</f>
        <v>1060336.4469442894</v>
      </c>
      <c r="AH2422" s="166">
        <v>0</v>
      </c>
      <c r="AI2422" s="166">
        <v>0</v>
      </c>
      <c r="AJ2422" s="164">
        <f>($L2422*'Pivot Objective'!$C$9^7)*AH2422*AI2422</f>
        <v>0</v>
      </c>
      <c r="AK2422" s="185">
        <f t="shared" si="265"/>
        <v>2875289.8336383514</v>
      </c>
      <c r="AL2422" s="186">
        <f t="shared" si="266"/>
        <v>2791.5435278042246</v>
      </c>
    </row>
    <row r="2423" spans="1:38" customFormat="1" ht="57.6" x14ac:dyDescent="0.3">
      <c r="A2423" s="140" t="s">
        <v>1488</v>
      </c>
      <c r="B2423" s="140">
        <v>4</v>
      </c>
      <c r="C2423" s="166" t="s">
        <v>697</v>
      </c>
      <c r="D2423" s="140" t="str">
        <f t="shared" si="268"/>
        <v>2</v>
      </c>
      <c r="E2423" s="166" t="s">
        <v>693</v>
      </c>
      <c r="F2423" s="140">
        <f t="shared" si="267"/>
        <v>3</v>
      </c>
      <c r="G2423" s="140" t="str">
        <f t="shared" si="269"/>
        <v>4.2.3</v>
      </c>
      <c r="H2423" s="168" t="s">
        <v>672</v>
      </c>
      <c r="I2423" s="166" t="s">
        <v>109</v>
      </c>
      <c r="J2423" s="166" t="s">
        <v>151</v>
      </c>
      <c r="K2423" s="166" t="s">
        <v>715</v>
      </c>
      <c r="L2423" s="177">
        <v>302000</v>
      </c>
      <c r="M2423" s="140"/>
      <c r="N2423" s="140"/>
      <c r="O2423" s="164">
        <f t="shared" si="264"/>
        <v>0</v>
      </c>
      <c r="P2423" s="166">
        <v>0</v>
      </c>
      <c r="Q2423" s="166">
        <v>0</v>
      </c>
      <c r="R2423" s="164">
        <f>$L2423*'Pivot Objective'!$C$9*P2423*Q2423</f>
        <v>0</v>
      </c>
      <c r="S2423" s="166">
        <v>20</v>
      </c>
      <c r="T2423" s="166">
        <v>1</v>
      </c>
      <c r="U2423" s="164">
        <f>($L2423*'Pivot Objective'!$C$9^2)*S2423*T2423</f>
        <v>7889862.5491648065</v>
      </c>
      <c r="V2423" s="166">
        <v>25</v>
      </c>
      <c r="W2423" s="166">
        <v>1</v>
      </c>
      <c r="X2423" s="164">
        <f>($L2423*'Pivot Objective'!$C$9^3)*V2423*W2423</f>
        <v>11271862.94983832</v>
      </c>
      <c r="Y2423" s="166">
        <v>0</v>
      </c>
      <c r="Z2423" s="166">
        <v>0</v>
      </c>
      <c r="AA2423" s="164">
        <f>($L2423*'Pivot Objective'!$C$9^4)*Y2423*Z2423</f>
        <v>0</v>
      </c>
      <c r="AB2423" s="166">
        <v>0</v>
      </c>
      <c r="AC2423" s="166">
        <v>0</v>
      </c>
      <c r="AD2423" s="164">
        <f>($L2423*'Pivot Objective'!$C$9^5)*AB2423*AC2423</f>
        <v>0</v>
      </c>
      <c r="AE2423" s="166">
        <v>25</v>
      </c>
      <c r="AF2423" s="166">
        <v>1</v>
      </c>
      <c r="AG2423" s="164">
        <f>($L2423*'Pivot Objective'!$C$9^6)*AE2423*AF2423</f>
        <v>16828462.829130843</v>
      </c>
      <c r="AH2423" s="166">
        <v>0</v>
      </c>
      <c r="AI2423" s="166">
        <v>0</v>
      </c>
      <c r="AJ2423" s="164">
        <f>($L2423*'Pivot Objective'!$C$9^7)*AH2423*AI2423</f>
        <v>0</v>
      </c>
      <c r="AK2423" s="185">
        <f t="shared" si="265"/>
        <v>35990188.32813397</v>
      </c>
      <c r="AL2423" s="186">
        <f t="shared" si="266"/>
        <v>34941.93041566405</v>
      </c>
    </row>
    <row r="2424" spans="1:38" customFormat="1" ht="57.6" x14ac:dyDescent="0.3">
      <c r="A2424" s="140" t="s">
        <v>1488</v>
      </c>
      <c r="B2424" s="140">
        <v>4</v>
      </c>
      <c r="C2424" s="166" t="s">
        <v>697</v>
      </c>
      <c r="D2424" s="140" t="str">
        <f t="shared" si="268"/>
        <v>2</v>
      </c>
      <c r="E2424" s="166" t="s">
        <v>693</v>
      </c>
      <c r="F2424" s="140">
        <f t="shared" si="267"/>
        <v>3</v>
      </c>
      <c r="G2424" s="140" t="str">
        <f t="shared" si="269"/>
        <v>4.2.3</v>
      </c>
      <c r="H2424" s="168" t="s">
        <v>672</v>
      </c>
      <c r="I2424" s="166" t="s">
        <v>109</v>
      </c>
      <c r="J2424" s="166" t="s">
        <v>151</v>
      </c>
      <c r="K2424" s="166" t="s">
        <v>714</v>
      </c>
      <c r="L2424" s="177">
        <v>10000</v>
      </c>
      <c r="M2424" s="140"/>
      <c r="N2424" s="140"/>
      <c r="O2424" s="164">
        <f t="shared" si="264"/>
        <v>0</v>
      </c>
      <c r="P2424" s="166">
        <v>0</v>
      </c>
      <c r="Q2424" s="166">
        <v>0</v>
      </c>
      <c r="R2424" s="164">
        <f>$L2424*'Pivot Objective'!$C$9*P2424*Q2424</f>
        <v>0</v>
      </c>
      <c r="S2424" s="166">
        <v>10</v>
      </c>
      <c r="T2424" s="166">
        <v>1</v>
      </c>
      <c r="U2424" s="164">
        <f>($L2424*'Pivot Objective'!$C$9^2)*S2424*T2424</f>
        <v>130626.86339676833</v>
      </c>
      <c r="V2424" s="166">
        <v>15</v>
      </c>
      <c r="W2424" s="166">
        <v>1</v>
      </c>
      <c r="X2424" s="164">
        <f>($L2424*'Pivot Objective'!$C$9^3)*V2424*W2424</f>
        <v>223944.29701665539</v>
      </c>
      <c r="Y2424" s="166">
        <v>0</v>
      </c>
      <c r="Z2424" s="166">
        <v>0</v>
      </c>
      <c r="AA2424" s="164">
        <f>($L2424*'Pivot Objective'!$C$9^4)*Y2424*Z2424</f>
        <v>0</v>
      </c>
      <c r="AB2424" s="166">
        <v>0</v>
      </c>
      <c r="AC2424" s="166">
        <v>0</v>
      </c>
      <c r="AD2424" s="164">
        <f>($L2424*'Pivot Objective'!$C$9^5)*AB2424*AC2424</f>
        <v>0</v>
      </c>
      <c r="AE2424" s="166">
        <v>15</v>
      </c>
      <c r="AF2424" s="166">
        <v>1</v>
      </c>
      <c r="AG2424" s="164">
        <f>($L2424*'Pivot Objective'!$C$9^6)*AE2424*AF2424</f>
        <v>334340.32110855979</v>
      </c>
      <c r="AH2424" s="166">
        <v>0</v>
      </c>
      <c r="AI2424" s="166">
        <v>0</v>
      </c>
      <c r="AJ2424" s="164">
        <f>($L2424*'Pivot Objective'!$C$9^7)*AH2424*AI2424</f>
        <v>0</v>
      </c>
      <c r="AK2424" s="185">
        <f t="shared" si="265"/>
        <v>688911.48152198351</v>
      </c>
      <c r="AL2424" s="186">
        <f t="shared" si="266"/>
        <v>668.84609856503255</v>
      </c>
    </row>
    <row r="2425" spans="1:38" customFormat="1" ht="57.6" x14ac:dyDescent="0.3">
      <c r="A2425" s="140" t="s">
        <v>1488</v>
      </c>
      <c r="B2425" s="140">
        <v>4</v>
      </c>
      <c r="C2425" s="166" t="s">
        <v>697</v>
      </c>
      <c r="D2425" s="140" t="str">
        <f t="shared" si="268"/>
        <v>2</v>
      </c>
      <c r="E2425" s="166" t="s">
        <v>693</v>
      </c>
      <c r="F2425" s="140">
        <f t="shared" si="267"/>
        <v>3</v>
      </c>
      <c r="G2425" s="140" t="str">
        <f t="shared" si="269"/>
        <v>4.2.3</v>
      </c>
      <c r="H2425" s="168" t="s">
        <v>672</v>
      </c>
      <c r="I2425" s="166" t="s">
        <v>109</v>
      </c>
      <c r="J2425" s="166" t="s">
        <v>152</v>
      </c>
      <c r="K2425" s="166" t="s">
        <v>716</v>
      </c>
      <c r="L2425" s="177">
        <v>39000</v>
      </c>
      <c r="M2425" s="140"/>
      <c r="N2425" s="140"/>
      <c r="O2425" s="164">
        <f t="shared" si="264"/>
        <v>0</v>
      </c>
      <c r="P2425" s="166">
        <v>0</v>
      </c>
      <c r="Q2425" s="166">
        <v>0</v>
      </c>
      <c r="R2425" s="164">
        <f>$L2425*'Pivot Objective'!$C$9*P2425*Q2425</f>
        <v>0</v>
      </c>
      <c r="S2425" s="166">
        <v>15</v>
      </c>
      <c r="T2425" s="166">
        <v>5</v>
      </c>
      <c r="U2425" s="164">
        <f>($L2425*'Pivot Objective'!$C$9^2)*S2425*T2425</f>
        <v>3820835.7543554734</v>
      </c>
      <c r="V2425" s="166">
        <v>25</v>
      </c>
      <c r="W2425" s="166">
        <v>6</v>
      </c>
      <c r="X2425" s="164">
        <f>($L2425*'Pivot Objective'!$C$9^3)*V2425*W2425</f>
        <v>8733827.5836495608</v>
      </c>
      <c r="Y2425" s="166">
        <v>0</v>
      </c>
      <c r="Z2425" s="166">
        <v>0</v>
      </c>
      <c r="AA2425" s="164">
        <f>($L2425*'Pivot Objective'!$C$9^4)*Y2425*Z2425</f>
        <v>0</v>
      </c>
      <c r="AB2425" s="166">
        <v>0</v>
      </c>
      <c r="AC2425" s="166">
        <v>0</v>
      </c>
      <c r="AD2425" s="164">
        <f>($L2425*'Pivot Objective'!$C$9^5)*AB2425*AC2425</f>
        <v>0</v>
      </c>
      <c r="AE2425" s="166">
        <v>25</v>
      </c>
      <c r="AF2425" s="166">
        <v>6</v>
      </c>
      <c r="AG2425" s="164">
        <f>($L2425*'Pivot Objective'!$C$9^6)*AE2425*AF2425</f>
        <v>13039272.523233831</v>
      </c>
      <c r="AH2425" s="166">
        <v>0</v>
      </c>
      <c r="AI2425" s="166">
        <v>0</v>
      </c>
      <c r="AJ2425" s="164">
        <f>($L2425*'Pivot Objective'!$C$9^7)*AH2425*AI2425</f>
        <v>0</v>
      </c>
      <c r="AK2425" s="185">
        <f t="shared" si="265"/>
        <v>25593935.861238867</v>
      </c>
      <c r="AL2425" s="186">
        <f t="shared" si="266"/>
        <v>24848.481418678512</v>
      </c>
    </row>
    <row r="2426" spans="1:38" customFormat="1" ht="57.6" x14ac:dyDescent="0.3">
      <c r="A2426" s="140" t="s">
        <v>1488</v>
      </c>
      <c r="B2426" s="140">
        <v>4</v>
      </c>
      <c r="C2426" s="166" t="s">
        <v>697</v>
      </c>
      <c r="D2426" s="140" t="str">
        <f t="shared" si="268"/>
        <v>2</v>
      </c>
      <c r="E2426" s="166" t="s">
        <v>693</v>
      </c>
      <c r="F2426" s="140">
        <f t="shared" si="267"/>
        <v>3</v>
      </c>
      <c r="G2426" s="140" t="str">
        <f t="shared" si="269"/>
        <v>4.2.3</v>
      </c>
      <c r="H2426" s="168" t="s">
        <v>672</v>
      </c>
      <c r="I2426" s="166" t="s">
        <v>109</v>
      </c>
      <c r="J2426" s="166" t="s">
        <v>152</v>
      </c>
      <c r="K2426" s="166" t="s">
        <v>709</v>
      </c>
      <c r="L2426" s="177">
        <v>35000</v>
      </c>
      <c r="M2426" s="140"/>
      <c r="N2426" s="140"/>
      <c r="O2426" s="164">
        <f t="shared" si="264"/>
        <v>0</v>
      </c>
      <c r="P2426" s="166">
        <v>0</v>
      </c>
      <c r="Q2426" s="166">
        <v>0</v>
      </c>
      <c r="R2426" s="164">
        <f>$L2426*'Pivot Objective'!$C$9*P2426*Q2426</f>
        <v>0</v>
      </c>
      <c r="S2426" s="166">
        <v>15</v>
      </c>
      <c r="T2426" s="166">
        <v>5</v>
      </c>
      <c r="U2426" s="164">
        <f>($L2426*'Pivot Objective'!$C$9^2)*S2426*T2426</f>
        <v>3428955.1641651681</v>
      </c>
      <c r="V2426" s="166">
        <v>25</v>
      </c>
      <c r="W2426" s="166">
        <v>5</v>
      </c>
      <c r="X2426" s="164">
        <f>($L2426*'Pivot Objective'!$C$9^3)*V2426*W2426</f>
        <v>6531708.6629857821</v>
      </c>
      <c r="Y2426" s="166">
        <v>0</v>
      </c>
      <c r="Z2426" s="166">
        <v>0</v>
      </c>
      <c r="AA2426" s="164">
        <f>($L2426*'Pivot Objective'!$C$9^4)*Y2426*Z2426</f>
        <v>0</v>
      </c>
      <c r="AB2426" s="166">
        <v>0</v>
      </c>
      <c r="AC2426" s="166">
        <v>0</v>
      </c>
      <c r="AD2426" s="164">
        <f>($L2426*'Pivot Objective'!$C$9^5)*AB2426*AC2426</f>
        <v>0</v>
      </c>
      <c r="AE2426" s="166">
        <v>25</v>
      </c>
      <c r="AF2426" s="166">
        <v>5</v>
      </c>
      <c r="AG2426" s="164">
        <f>($L2426*'Pivot Objective'!$C$9^6)*AE2426*AF2426</f>
        <v>9751592.6989996582</v>
      </c>
      <c r="AH2426" s="166">
        <v>0</v>
      </c>
      <c r="AI2426" s="166">
        <v>0</v>
      </c>
      <c r="AJ2426" s="164">
        <f>($L2426*'Pivot Objective'!$C$9^7)*AH2426*AI2426</f>
        <v>0</v>
      </c>
      <c r="AK2426" s="185">
        <f t="shared" si="265"/>
        <v>19712256.526150607</v>
      </c>
      <c r="AL2426" s="186">
        <f t="shared" si="266"/>
        <v>19138.113132185055</v>
      </c>
    </row>
    <row r="2427" spans="1:38" customFormat="1" ht="57.6" x14ac:dyDescent="0.3">
      <c r="A2427" s="140" t="s">
        <v>1488</v>
      </c>
      <c r="B2427" s="140">
        <v>4</v>
      </c>
      <c r="C2427" s="166" t="s">
        <v>697</v>
      </c>
      <c r="D2427" s="140" t="str">
        <f t="shared" si="268"/>
        <v>2</v>
      </c>
      <c r="E2427" s="166" t="s">
        <v>693</v>
      </c>
      <c r="F2427" s="140">
        <f t="shared" si="267"/>
        <v>3</v>
      </c>
      <c r="G2427" s="140" t="str">
        <f t="shared" si="269"/>
        <v>4.2.3</v>
      </c>
      <c r="H2427" s="168" t="s">
        <v>672</v>
      </c>
      <c r="I2427" s="166" t="s">
        <v>109</v>
      </c>
      <c r="J2427" s="166" t="s">
        <v>152</v>
      </c>
      <c r="K2427" s="166" t="s">
        <v>712</v>
      </c>
      <c r="L2427" s="177">
        <f>1480/7</f>
        <v>211.42857142857142</v>
      </c>
      <c r="M2427" s="140"/>
      <c r="N2427" s="140"/>
      <c r="O2427" s="164">
        <f t="shared" si="264"/>
        <v>0</v>
      </c>
      <c r="P2427" s="166">
        <v>0</v>
      </c>
      <c r="Q2427" s="166">
        <v>0</v>
      </c>
      <c r="R2427" s="164">
        <f>$L2427*'Pivot Objective'!$C$9*P2427*Q2427</f>
        <v>0</v>
      </c>
      <c r="S2427" s="166">
        <v>4000</v>
      </c>
      <c r="T2427" s="166">
        <v>1</v>
      </c>
      <c r="U2427" s="164">
        <f>($L2427*'Pivot Objective'!$C$9^2)*S2427*T2427</f>
        <v>1104730.044726955</v>
      </c>
      <c r="V2427" s="166">
        <f>25*2*9</f>
        <v>450</v>
      </c>
      <c r="W2427" s="166">
        <v>5</v>
      </c>
      <c r="X2427" s="164">
        <f>($L2427*'Pivot Objective'!$C$9^3)*V2427*W2427</f>
        <v>710223.34196710703</v>
      </c>
      <c r="Y2427" s="166">
        <v>0</v>
      </c>
      <c r="Z2427" s="166">
        <v>0</v>
      </c>
      <c r="AA2427" s="164">
        <f>($L2427*'Pivot Objective'!$C$9^4)*Y2427*Z2427</f>
        <v>0</v>
      </c>
      <c r="AB2427" s="166">
        <v>0</v>
      </c>
      <c r="AC2427" s="166">
        <v>0</v>
      </c>
      <c r="AD2427" s="164">
        <f>($L2427*'Pivot Objective'!$C$9^5)*AB2427*AC2427</f>
        <v>0</v>
      </c>
      <c r="AE2427" s="166">
        <f>25*2*9</f>
        <v>450</v>
      </c>
      <c r="AF2427" s="166">
        <v>5</v>
      </c>
      <c r="AG2427" s="164">
        <f>($L2427*'Pivot Objective'!$C$9^6)*AE2427*AF2427</f>
        <v>1060336.4469442894</v>
      </c>
      <c r="AH2427" s="166">
        <v>0</v>
      </c>
      <c r="AI2427" s="166">
        <v>0</v>
      </c>
      <c r="AJ2427" s="164">
        <f>($L2427*'Pivot Objective'!$C$9^7)*AH2427*AI2427</f>
        <v>0</v>
      </c>
      <c r="AK2427" s="185">
        <f t="shared" si="265"/>
        <v>2875289.8336383514</v>
      </c>
      <c r="AL2427" s="186">
        <f t="shared" si="266"/>
        <v>2791.5435278042246</v>
      </c>
    </row>
    <row r="2428" spans="1:38" customFormat="1" ht="57.6" x14ac:dyDescent="0.3">
      <c r="A2428" s="140" t="s">
        <v>1488</v>
      </c>
      <c r="B2428" s="140">
        <v>4</v>
      </c>
      <c r="C2428" s="166" t="s">
        <v>697</v>
      </c>
      <c r="D2428" s="140" t="str">
        <f t="shared" si="268"/>
        <v>2</v>
      </c>
      <c r="E2428" s="166" t="s">
        <v>693</v>
      </c>
      <c r="F2428" s="140">
        <f t="shared" si="267"/>
        <v>3</v>
      </c>
      <c r="G2428" s="140" t="str">
        <f t="shared" si="269"/>
        <v>4.2.3</v>
      </c>
      <c r="H2428" s="168" t="s">
        <v>672</v>
      </c>
      <c r="I2428" s="166" t="s">
        <v>109</v>
      </c>
      <c r="J2428" s="166" t="s">
        <v>152</v>
      </c>
      <c r="K2428" s="166" t="s">
        <v>1350</v>
      </c>
      <c r="L2428" s="177">
        <f>1480/7</f>
        <v>211.42857142857142</v>
      </c>
      <c r="M2428" s="140"/>
      <c r="N2428" s="140"/>
      <c r="O2428" s="164">
        <f t="shared" si="264"/>
        <v>0</v>
      </c>
      <c r="P2428" s="166">
        <v>0</v>
      </c>
      <c r="Q2428" s="166">
        <v>0</v>
      </c>
      <c r="R2428" s="164">
        <f>$L2428*'Pivot Objective'!$C$9*P2428*Q2428</f>
        <v>0</v>
      </c>
      <c r="S2428" s="166">
        <v>4000</v>
      </c>
      <c r="T2428" s="166">
        <v>1</v>
      </c>
      <c r="U2428" s="164">
        <f>($L2428*'Pivot Objective'!$C$9^2)*S2428*T2428</f>
        <v>1104730.044726955</v>
      </c>
      <c r="V2428" s="166">
        <f>135*2*9</f>
        <v>2430</v>
      </c>
      <c r="W2428" s="166">
        <v>1</v>
      </c>
      <c r="X2428" s="164">
        <f>($L2428*'Pivot Objective'!$C$9^3)*V2428*W2428</f>
        <v>767041.20932447549</v>
      </c>
      <c r="Y2428" s="166">
        <v>0</v>
      </c>
      <c r="Z2428" s="166">
        <v>0</v>
      </c>
      <c r="AA2428" s="164">
        <f>($L2428*'Pivot Objective'!$C$9^4)*Y2428*Z2428</f>
        <v>0</v>
      </c>
      <c r="AB2428" s="166">
        <v>0</v>
      </c>
      <c r="AC2428" s="166">
        <v>0</v>
      </c>
      <c r="AD2428" s="164">
        <f>($L2428*'Pivot Objective'!$C$9^5)*AB2428*AC2428</f>
        <v>0</v>
      </c>
      <c r="AE2428" s="166">
        <f>135*2*9</f>
        <v>2430</v>
      </c>
      <c r="AF2428" s="166">
        <v>1</v>
      </c>
      <c r="AG2428" s="164">
        <f>($L2428*'Pivot Objective'!$C$9^6)*AE2428*AF2428</f>
        <v>1145163.3626998325</v>
      </c>
      <c r="AH2428" s="166">
        <v>0</v>
      </c>
      <c r="AI2428" s="166">
        <v>0</v>
      </c>
      <c r="AJ2428" s="164">
        <f>($L2428*'Pivot Objective'!$C$9^7)*AH2428*AI2428</f>
        <v>0</v>
      </c>
      <c r="AK2428" s="185">
        <f t="shared" si="265"/>
        <v>3016934.6167512629</v>
      </c>
      <c r="AL2428" s="186">
        <f t="shared" si="266"/>
        <v>2929.0627347099639</v>
      </c>
    </row>
    <row r="2429" spans="1:38" customFormat="1" ht="57.6" x14ac:dyDescent="0.3">
      <c r="A2429" s="140" t="s">
        <v>1488</v>
      </c>
      <c r="B2429" s="140">
        <v>4</v>
      </c>
      <c r="C2429" s="166" t="s">
        <v>697</v>
      </c>
      <c r="D2429" s="140" t="str">
        <f t="shared" si="268"/>
        <v>2</v>
      </c>
      <c r="E2429" s="166" t="s">
        <v>693</v>
      </c>
      <c r="F2429" s="140">
        <f t="shared" si="267"/>
        <v>3</v>
      </c>
      <c r="G2429" s="140" t="str">
        <f t="shared" si="269"/>
        <v>4.2.3</v>
      </c>
      <c r="H2429" s="168" t="s">
        <v>672</v>
      </c>
      <c r="I2429" s="166" t="s">
        <v>109</v>
      </c>
      <c r="J2429" s="166" t="s">
        <v>180</v>
      </c>
      <c r="K2429" s="166" t="s">
        <v>716</v>
      </c>
      <c r="L2429" s="177">
        <v>39000</v>
      </c>
      <c r="M2429" s="140"/>
      <c r="N2429" s="140"/>
      <c r="O2429" s="164">
        <f t="shared" si="264"/>
        <v>0</v>
      </c>
      <c r="P2429" s="166">
        <v>0</v>
      </c>
      <c r="Q2429" s="166">
        <v>0</v>
      </c>
      <c r="R2429" s="164">
        <f>$L2429*'Pivot Objective'!$C$9*P2429*Q2429</f>
        <v>0</v>
      </c>
      <c r="S2429" s="166">
        <v>15</v>
      </c>
      <c r="T2429" s="166">
        <v>5</v>
      </c>
      <c r="U2429" s="164">
        <f>($L2429*'Pivot Objective'!$C$9^2)*S2429*T2429</f>
        <v>3820835.7543554734</v>
      </c>
      <c r="V2429" s="166">
        <v>25</v>
      </c>
      <c r="W2429" s="166">
        <v>6</v>
      </c>
      <c r="X2429" s="164">
        <f>($L2429*'Pivot Objective'!$C$9^3)*V2429*W2429</f>
        <v>8733827.5836495608</v>
      </c>
      <c r="Y2429" s="166">
        <v>0</v>
      </c>
      <c r="Z2429" s="166">
        <v>0</v>
      </c>
      <c r="AA2429" s="164">
        <f>($L2429*'Pivot Objective'!$C$9^4)*Y2429*Z2429</f>
        <v>0</v>
      </c>
      <c r="AB2429" s="166">
        <v>0</v>
      </c>
      <c r="AC2429" s="166">
        <v>0</v>
      </c>
      <c r="AD2429" s="164">
        <f>($L2429*'Pivot Objective'!$C$9^5)*AB2429*AC2429</f>
        <v>0</v>
      </c>
      <c r="AE2429" s="166">
        <v>25</v>
      </c>
      <c r="AF2429" s="166">
        <v>6</v>
      </c>
      <c r="AG2429" s="164">
        <f>($L2429*'Pivot Objective'!$C$9^6)*AE2429*AF2429</f>
        <v>13039272.523233831</v>
      </c>
      <c r="AH2429" s="166">
        <v>0</v>
      </c>
      <c r="AI2429" s="166">
        <v>0</v>
      </c>
      <c r="AJ2429" s="164">
        <f>($L2429*'Pivot Objective'!$C$9^7)*AH2429*AI2429</f>
        <v>0</v>
      </c>
      <c r="AK2429" s="185">
        <f t="shared" si="265"/>
        <v>25593935.861238867</v>
      </c>
      <c r="AL2429" s="186">
        <f t="shared" si="266"/>
        <v>24848.481418678512</v>
      </c>
    </row>
    <row r="2430" spans="1:38" customFormat="1" ht="57.6" x14ac:dyDescent="0.3">
      <c r="A2430" s="140" t="s">
        <v>1488</v>
      </c>
      <c r="B2430" s="140">
        <v>4</v>
      </c>
      <c r="C2430" s="166" t="s">
        <v>697</v>
      </c>
      <c r="D2430" s="140" t="str">
        <f t="shared" si="268"/>
        <v>2</v>
      </c>
      <c r="E2430" s="166" t="s">
        <v>693</v>
      </c>
      <c r="F2430" s="140">
        <f t="shared" si="267"/>
        <v>3</v>
      </c>
      <c r="G2430" s="140" t="str">
        <f t="shared" si="269"/>
        <v>4.2.3</v>
      </c>
      <c r="H2430" s="168" t="s">
        <v>672</v>
      </c>
      <c r="I2430" s="166" t="s">
        <v>109</v>
      </c>
      <c r="J2430" s="166" t="s">
        <v>180</v>
      </c>
      <c r="K2430" s="166" t="s">
        <v>709</v>
      </c>
      <c r="L2430" s="177">
        <v>35000</v>
      </c>
      <c r="M2430" s="140"/>
      <c r="N2430" s="140"/>
      <c r="O2430" s="164">
        <f t="shared" si="264"/>
        <v>0</v>
      </c>
      <c r="P2430" s="166">
        <v>0</v>
      </c>
      <c r="Q2430" s="166">
        <v>0</v>
      </c>
      <c r="R2430" s="164">
        <f>$L2430*'Pivot Objective'!$C$9*P2430*Q2430</f>
        <v>0</v>
      </c>
      <c r="S2430" s="166">
        <v>15</v>
      </c>
      <c r="T2430" s="166">
        <v>5</v>
      </c>
      <c r="U2430" s="164">
        <f>($L2430*'Pivot Objective'!$C$9^2)*S2430*T2430</f>
        <v>3428955.1641651681</v>
      </c>
      <c r="V2430" s="166">
        <v>25</v>
      </c>
      <c r="W2430" s="166">
        <v>5</v>
      </c>
      <c r="X2430" s="164">
        <f>($L2430*'Pivot Objective'!$C$9^3)*V2430*W2430</f>
        <v>6531708.6629857821</v>
      </c>
      <c r="Y2430" s="166">
        <v>0</v>
      </c>
      <c r="Z2430" s="166">
        <v>0</v>
      </c>
      <c r="AA2430" s="164">
        <f>($L2430*'Pivot Objective'!$C$9^4)*Y2430*Z2430</f>
        <v>0</v>
      </c>
      <c r="AB2430" s="166">
        <v>0</v>
      </c>
      <c r="AC2430" s="166">
        <v>0</v>
      </c>
      <c r="AD2430" s="164">
        <f>($L2430*'Pivot Objective'!$C$9^5)*AB2430*AC2430</f>
        <v>0</v>
      </c>
      <c r="AE2430" s="166">
        <v>25</v>
      </c>
      <c r="AF2430" s="166">
        <v>5</v>
      </c>
      <c r="AG2430" s="164">
        <f>($L2430*'Pivot Objective'!$C$9^6)*AE2430*AF2430</f>
        <v>9751592.6989996582</v>
      </c>
      <c r="AH2430" s="166">
        <v>0</v>
      </c>
      <c r="AI2430" s="166">
        <v>0</v>
      </c>
      <c r="AJ2430" s="164">
        <f>($L2430*'Pivot Objective'!$C$9^7)*AH2430*AI2430</f>
        <v>0</v>
      </c>
      <c r="AK2430" s="185">
        <f t="shared" si="265"/>
        <v>19712256.526150607</v>
      </c>
      <c r="AL2430" s="186">
        <f t="shared" si="266"/>
        <v>19138.113132185055</v>
      </c>
    </row>
    <row r="2431" spans="1:38" customFormat="1" ht="57.6" x14ac:dyDescent="0.3">
      <c r="A2431" s="140" t="s">
        <v>1488</v>
      </c>
      <c r="B2431" s="140">
        <v>4</v>
      </c>
      <c r="C2431" s="166" t="s">
        <v>697</v>
      </c>
      <c r="D2431" s="140" t="str">
        <f t="shared" si="268"/>
        <v>2</v>
      </c>
      <c r="E2431" s="166" t="s">
        <v>693</v>
      </c>
      <c r="F2431" s="140">
        <f t="shared" si="267"/>
        <v>3</v>
      </c>
      <c r="G2431" s="140" t="str">
        <f t="shared" si="269"/>
        <v>4.2.3</v>
      </c>
      <c r="H2431" s="168" t="s">
        <v>672</v>
      </c>
      <c r="I2431" s="166" t="s">
        <v>109</v>
      </c>
      <c r="J2431" s="166" t="s">
        <v>180</v>
      </c>
      <c r="K2431" s="166" t="s">
        <v>712</v>
      </c>
      <c r="L2431" s="177">
        <f>1480/7</f>
        <v>211.42857142857142</v>
      </c>
      <c r="M2431" s="140"/>
      <c r="N2431" s="140"/>
      <c r="O2431" s="164">
        <f t="shared" si="264"/>
        <v>0</v>
      </c>
      <c r="P2431" s="166">
        <v>0</v>
      </c>
      <c r="Q2431" s="166">
        <v>0</v>
      </c>
      <c r="R2431" s="164">
        <f>$L2431*'Pivot Objective'!$C$9*P2431*Q2431</f>
        <v>0</v>
      </c>
      <c r="S2431" s="166">
        <v>15</v>
      </c>
      <c r="T2431" s="166">
        <v>1</v>
      </c>
      <c r="U2431" s="164">
        <f>($L2431*'Pivot Objective'!$C$9^2)*S2431*T2431</f>
        <v>4142.7376677260809</v>
      </c>
      <c r="V2431" s="166">
        <f>25*2*9</f>
        <v>450</v>
      </c>
      <c r="W2431" s="166">
        <v>0</v>
      </c>
      <c r="X2431" s="164">
        <f>($L2431*'Pivot Objective'!$C$9^3)*V2431*W2431</f>
        <v>0</v>
      </c>
      <c r="Y2431" s="166">
        <v>0</v>
      </c>
      <c r="Z2431" s="166">
        <v>0</v>
      </c>
      <c r="AA2431" s="164">
        <f>($L2431*'Pivot Objective'!$C$9^4)*Y2431*Z2431</f>
        <v>0</v>
      </c>
      <c r="AB2431" s="166">
        <v>0</v>
      </c>
      <c r="AC2431" s="166">
        <v>0</v>
      </c>
      <c r="AD2431" s="164">
        <f>($L2431*'Pivot Objective'!$C$9^5)*AB2431*AC2431</f>
        <v>0</v>
      </c>
      <c r="AE2431" s="166">
        <f>25*2*9</f>
        <v>450</v>
      </c>
      <c r="AF2431" s="166">
        <v>0</v>
      </c>
      <c r="AG2431" s="164">
        <f>($L2431*'Pivot Objective'!$C$9^6)*AE2431*AF2431</f>
        <v>0</v>
      </c>
      <c r="AH2431" s="166">
        <v>0</v>
      </c>
      <c r="AI2431" s="166">
        <v>0</v>
      </c>
      <c r="AJ2431" s="164">
        <f>($L2431*'Pivot Objective'!$C$9^7)*AH2431*AI2431</f>
        <v>0</v>
      </c>
      <c r="AK2431" s="185">
        <f t="shared" si="265"/>
        <v>4142.7376677260809</v>
      </c>
      <c r="AL2431" s="186">
        <f t="shared" si="266"/>
        <v>4.0220754055593018</v>
      </c>
    </row>
    <row r="2432" spans="1:38" customFormat="1" ht="57.6" x14ac:dyDescent="0.3">
      <c r="A2432" s="140" t="s">
        <v>1488</v>
      </c>
      <c r="B2432" s="140">
        <v>4</v>
      </c>
      <c r="C2432" s="166" t="s">
        <v>697</v>
      </c>
      <c r="D2432" s="140" t="str">
        <f t="shared" si="268"/>
        <v>2</v>
      </c>
      <c r="E2432" s="166" t="s">
        <v>693</v>
      </c>
      <c r="F2432" s="140">
        <f t="shared" si="267"/>
        <v>3</v>
      </c>
      <c r="G2432" s="140" t="str">
        <f t="shared" si="269"/>
        <v>4.2.3</v>
      </c>
      <c r="H2432" s="168" t="s">
        <v>672</v>
      </c>
      <c r="I2432" s="166" t="s">
        <v>109</v>
      </c>
      <c r="J2432" s="166" t="s">
        <v>180</v>
      </c>
      <c r="K2432" s="166" t="s">
        <v>1350</v>
      </c>
      <c r="L2432" s="177">
        <f>1480/7</f>
        <v>211.42857142857142</v>
      </c>
      <c r="M2432" s="140"/>
      <c r="N2432" s="140"/>
      <c r="O2432" s="164">
        <f t="shared" si="264"/>
        <v>0</v>
      </c>
      <c r="P2432" s="166">
        <v>0</v>
      </c>
      <c r="Q2432" s="166">
        <v>0</v>
      </c>
      <c r="R2432" s="164">
        <f>$L2432*'Pivot Objective'!$C$9*P2432*Q2432</f>
        <v>0</v>
      </c>
      <c r="S2432" s="166">
        <v>4000</v>
      </c>
      <c r="T2432" s="166">
        <v>1</v>
      </c>
      <c r="U2432" s="164">
        <f>($L2432*'Pivot Objective'!$C$9^2)*S2432*T2432</f>
        <v>1104730.044726955</v>
      </c>
      <c r="V2432" s="166">
        <f>135*2*9</f>
        <v>2430</v>
      </c>
      <c r="W2432" s="166">
        <v>1</v>
      </c>
      <c r="X2432" s="164">
        <f>($L2432*'Pivot Objective'!$C$9^3)*V2432*W2432</f>
        <v>767041.20932447549</v>
      </c>
      <c r="Y2432" s="166">
        <v>0</v>
      </c>
      <c r="Z2432" s="166">
        <v>0</v>
      </c>
      <c r="AA2432" s="164">
        <f>($L2432*'Pivot Objective'!$C$9^4)*Y2432*Z2432</f>
        <v>0</v>
      </c>
      <c r="AB2432" s="166">
        <v>0</v>
      </c>
      <c r="AC2432" s="166">
        <v>0</v>
      </c>
      <c r="AD2432" s="164">
        <f>($L2432*'Pivot Objective'!$C$9^5)*AB2432*AC2432</f>
        <v>0</v>
      </c>
      <c r="AE2432" s="166">
        <f>135*2*9</f>
        <v>2430</v>
      </c>
      <c r="AF2432" s="166">
        <v>1</v>
      </c>
      <c r="AG2432" s="164">
        <f>($L2432*'Pivot Objective'!$C$9^6)*AE2432*AF2432</f>
        <v>1145163.3626998325</v>
      </c>
      <c r="AH2432" s="166">
        <v>0</v>
      </c>
      <c r="AI2432" s="166">
        <v>0</v>
      </c>
      <c r="AJ2432" s="164">
        <f>($L2432*'Pivot Objective'!$C$9^7)*AH2432*AI2432</f>
        <v>0</v>
      </c>
      <c r="AK2432" s="185">
        <f t="shared" si="265"/>
        <v>3016934.6167512629</v>
      </c>
      <c r="AL2432" s="186">
        <f t="shared" si="266"/>
        <v>2929.0627347099639</v>
      </c>
    </row>
    <row r="2433" spans="1:38" customFormat="1" ht="57.6" x14ac:dyDescent="0.3">
      <c r="A2433" s="140" t="s">
        <v>1488</v>
      </c>
      <c r="B2433" s="140">
        <v>4</v>
      </c>
      <c r="C2433" s="166" t="s">
        <v>697</v>
      </c>
      <c r="D2433" s="140" t="str">
        <f t="shared" si="268"/>
        <v>2</v>
      </c>
      <c r="E2433" s="166" t="s">
        <v>693</v>
      </c>
      <c r="F2433" s="140">
        <f t="shared" si="267"/>
        <v>3</v>
      </c>
      <c r="G2433" s="140" t="str">
        <f t="shared" si="269"/>
        <v>4.2.3</v>
      </c>
      <c r="H2433" s="168" t="s">
        <v>672</v>
      </c>
      <c r="I2433" s="166" t="s">
        <v>109</v>
      </c>
      <c r="J2433" s="166" t="s">
        <v>553</v>
      </c>
      <c r="K2433" s="166" t="s">
        <v>716</v>
      </c>
      <c r="L2433" s="177">
        <v>39000</v>
      </c>
      <c r="M2433" s="140"/>
      <c r="N2433" s="140"/>
      <c r="O2433" s="164">
        <f t="shared" si="264"/>
        <v>0</v>
      </c>
      <c r="P2433" s="166">
        <v>0</v>
      </c>
      <c r="Q2433" s="166">
        <v>0</v>
      </c>
      <c r="R2433" s="164">
        <f>$L2433*'Pivot Objective'!$C$9*P2433*Q2433</f>
        <v>0</v>
      </c>
      <c r="S2433" s="166">
        <v>10</v>
      </c>
      <c r="T2433" s="166">
        <v>1</v>
      </c>
      <c r="U2433" s="164">
        <f>($L2433*'Pivot Objective'!$C$9^2)*S2433*T2433</f>
        <v>509444.76724739646</v>
      </c>
      <c r="V2433" s="166">
        <v>58</v>
      </c>
      <c r="W2433" s="166">
        <v>6</v>
      </c>
      <c r="X2433" s="164">
        <f>($L2433*'Pivot Objective'!$C$9^3)*V2433*W2433</f>
        <v>20262479.99406698</v>
      </c>
      <c r="Y2433" s="166">
        <v>0</v>
      </c>
      <c r="Z2433" s="166">
        <v>0</v>
      </c>
      <c r="AA2433" s="164">
        <f>($L2433*'Pivot Objective'!$C$9^4)*Y2433*Z2433</f>
        <v>0</v>
      </c>
      <c r="AB2433" s="166">
        <v>0</v>
      </c>
      <c r="AC2433" s="166">
        <v>0</v>
      </c>
      <c r="AD2433" s="164">
        <f>($L2433*'Pivot Objective'!$C$9^5)*AB2433*AC2433</f>
        <v>0</v>
      </c>
      <c r="AE2433" s="166">
        <v>58</v>
      </c>
      <c r="AF2433" s="166">
        <v>6</v>
      </c>
      <c r="AG2433" s="164">
        <f>($L2433*'Pivot Objective'!$C$9^6)*AE2433*AF2433</f>
        <v>30251112.253902487</v>
      </c>
      <c r="AH2433" s="166">
        <v>0</v>
      </c>
      <c r="AI2433" s="166">
        <v>0</v>
      </c>
      <c r="AJ2433" s="164">
        <f>($L2433*'Pivot Objective'!$C$9^7)*AH2433*AI2433</f>
        <v>0</v>
      </c>
      <c r="AK2433" s="185">
        <f t="shared" si="265"/>
        <v>51023037.015216865</v>
      </c>
      <c r="AL2433" s="186">
        <f t="shared" si="266"/>
        <v>49536.929140987246</v>
      </c>
    </row>
    <row r="2434" spans="1:38" customFormat="1" ht="57.6" x14ac:dyDescent="0.3">
      <c r="A2434" s="140" t="s">
        <v>1488</v>
      </c>
      <c r="B2434" s="140">
        <v>4</v>
      </c>
      <c r="C2434" s="166" t="s">
        <v>697</v>
      </c>
      <c r="D2434" s="140" t="str">
        <f t="shared" si="268"/>
        <v>2</v>
      </c>
      <c r="E2434" s="166" t="s">
        <v>693</v>
      </c>
      <c r="F2434" s="140">
        <f t="shared" si="267"/>
        <v>3</v>
      </c>
      <c r="G2434" s="140" t="str">
        <f t="shared" si="269"/>
        <v>4.2.3</v>
      </c>
      <c r="H2434" s="168" t="s">
        <v>672</v>
      </c>
      <c r="I2434" s="166" t="s">
        <v>109</v>
      </c>
      <c r="J2434" s="166" t="s">
        <v>553</v>
      </c>
      <c r="K2434" s="166" t="s">
        <v>709</v>
      </c>
      <c r="L2434" s="177">
        <v>35000</v>
      </c>
      <c r="M2434" s="140"/>
      <c r="N2434" s="140"/>
      <c r="O2434" s="164">
        <f t="shared" si="264"/>
        <v>0</v>
      </c>
      <c r="P2434" s="166">
        <v>0</v>
      </c>
      <c r="Q2434" s="166">
        <v>0</v>
      </c>
      <c r="R2434" s="164">
        <f>$L2434*'Pivot Objective'!$C$9*P2434*Q2434</f>
        <v>0</v>
      </c>
      <c r="S2434" s="166">
        <v>30</v>
      </c>
      <c r="T2434" s="166">
        <v>1</v>
      </c>
      <c r="U2434" s="164">
        <f>($L2434*'Pivot Objective'!$C$9^2)*S2434*T2434</f>
        <v>1371582.0656660672</v>
      </c>
      <c r="V2434" s="166">
        <v>100</v>
      </c>
      <c r="W2434" s="166">
        <v>5</v>
      </c>
      <c r="X2434" s="164">
        <f>($L2434*'Pivot Objective'!$C$9^3)*V2434*W2434</f>
        <v>26126834.651943129</v>
      </c>
      <c r="Y2434" s="166">
        <v>0</v>
      </c>
      <c r="Z2434" s="166">
        <v>0</v>
      </c>
      <c r="AA2434" s="164">
        <f>($L2434*'Pivot Objective'!$C$9^4)*Y2434*Z2434</f>
        <v>0</v>
      </c>
      <c r="AB2434" s="166">
        <v>0</v>
      </c>
      <c r="AC2434" s="166">
        <v>0</v>
      </c>
      <c r="AD2434" s="164">
        <f>($L2434*'Pivot Objective'!$C$9^5)*AB2434*AC2434</f>
        <v>0</v>
      </c>
      <c r="AE2434" s="166">
        <v>100</v>
      </c>
      <c r="AF2434" s="166">
        <v>5</v>
      </c>
      <c r="AG2434" s="164">
        <f>($L2434*'Pivot Objective'!$C$9^6)*AE2434*AF2434</f>
        <v>39006370.795998633</v>
      </c>
      <c r="AH2434" s="166">
        <v>0</v>
      </c>
      <c r="AI2434" s="166">
        <v>0</v>
      </c>
      <c r="AJ2434" s="164">
        <f>($L2434*'Pivot Objective'!$C$9^7)*AH2434*AI2434</f>
        <v>0</v>
      </c>
      <c r="AK2434" s="185">
        <f t="shared" si="265"/>
        <v>66504787.51360783</v>
      </c>
      <c r="AL2434" s="186">
        <f t="shared" si="266"/>
        <v>64567.754867580414</v>
      </c>
    </row>
    <row r="2435" spans="1:38" customFormat="1" ht="57.6" x14ac:dyDescent="0.3">
      <c r="A2435" s="140" t="s">
        <v>1488</v>
      </c>
      <c r="B2435" s="140">
        <v>4</v>
      </c>
      <c r="C2435" s="166" t="s">
        <v>697</v>
      </c>
      <c r="D2435" s="140" t="str">
        <f t="shared" si="268"/>
        <v>2</v>
      </c>
      <c r="E2435" s="166" t="s">
        <v>693</v>
      </c>
      <c r="F2435" s="140">
        <f t="shared" si="267"/>
        <v>3</v>
      </c>
      <c r="G2435" s="140" t="str">
        <f t="shared" si="269"/>
        <v>4.2.3</v>
      </c>
      <c r="H2435" s="168" t="s">
        <v>672</v>
      </c>
      <c r="I2435" s="166" t="s">
        <v>109</v>
      </c>
      <c r="J2435" s="166" t="s">
        <v>553</v>
      </c>
      <c r="K2435" s="166" t="s">
        <v>1350</v>
      </c>
      <c r="L2435" s="177">
        <f>1480/7</f>
        <v>211.42857142857142</v>
      </c>
      <c r="M2435" s="140"/>
      <c r="N2435" s="140"/>
      <c r="O2435" s="164">
        <f t="shared" ref="O2435:O2498" si="270">$L2435*M2435*N2435</f>
        <v>0</v>
      </c>
      <c r="P2435" s="166">
        <v>0</v>
      </c>
      <c r="Q2435" s="166">
        <v>0</v>
      </c>
      <c r="R2435" s="164">
        <f>$L2435*'Pivot Objective'!$C$9*P2435*Q2435</f>
        <v>0</v>
      </c>
      <c r="S2435" s="166">
        <v>4000</v>
      </c>
      <c r="T2435" s="166">
        <v>1</v>
      </c>
      <c r="U2435" s="164">
        <f>($L2435*'Pivot Objective'!$C$9^2)*S2435*T2435</f>
        <v>1104730.044726955</v>
      </c>
      <c r="V2435" s="166">
        <f>135*2*29</f>
        <v>7830</v>
      </c>
      <c r="W2435" s="166">
        <v>1</v>
      </c>
      <c r="X2435" s="164">
        <f>($L2435*'Pivot Objective'!$C$9^3)*V2435*W2435</f>
        <v>2471577.2300455323</v>
      </c>
      <c r="Y2435" s="166">
        <v>0</v>
      </c>
      <c r="Z2435" s="166">
        <v>0</v>
      </c>
      <c r="AA2435" s="164">
        <f>($L2435*'Pivot Objective'!$C$9^4)*Y2435*Z2435</f>
        <v>0</v>
      </c>
      <c r="AB2435" s="166">
        <v>0</v>
      </c>
      <c r="AC2435" s="166">
        <v>0</v>
      </c>
      <c r="AD2435" s="164">
        <f>($L2435*'Pivot Objective'!$C$9^5)*AB2435*AC2435</f>
        <v>0</v>
      </c>
      <c r="AE2435" s="166">
        <f>135*2*29</f>
        <v>7830</v>
      </c>
      <c r="AF2435" s="166">
        <v>1</v>
      </c>
      <c r="AG2435" s="164">
        <f>($L2435*'Pivot Objective'!$C$9^6)*AE2435*AF2435</f>
        <v>3689970.8353661271</v>
      </c>
      <c r="AH2435" s="166">
        <v>0</v>
      </c>
      <c r="AI2435" s="166">
        <v>0</v>
      </c>
      <c r="AJ2435" s="164">
        <f>($L2435*'Pivot Objective'!$C$9^7)*AH2435*AI2435</f>
        <v>0</v>
      </c>
      <c r="AK2435" s="185">
        <f t="shared" ref="AK2435:AK2498" si="271">O2435+R2435+U2435+X2435+AA2435+AD2435+AG2435+AJ2435</f>
        <v>7266278.1101386147</v>
      </c>
      <c r="AL2435" s="186">
        <f t="shared" ref="AL2435:AL2498" si="272">AK2435/$AP$2</f>
        <v>7054.63894188215</v>
      </c>
    </row>
    <row r="2436" spans="1:38" customFormat="1" ht="57.6" x14ac:dyDescent="0.3">
      <c r="A2436" s="140" t="s">
        <v>1488</v>
      </c>
      <c r="B2436" s="140">
        <v>4</v>
      </c>
      <c r="C2436" s="166" t="s">
        <v>697</v>
      </c>
      <c r="D2436" s="140" t="str">
        <f t="shared" si="268"/>
        <v>2</v>
      </c>
      <c r="E2436" s="166" t="s">
        <v>693</v>
      </c>
      <c r="F2436" s="140">
        <f t="shared" si="267"/>
        <v>3</v>
      </c>
      <c r="G2436" s="140" t="str">
        <f t="shared" si="269"/>
        <v>4.2.3</v>
      </c>
      <c r="H2436" s="168" t="s">
        <v>672</v>
      </c>
      <c r="I2436" s="166" t="s">
        <v>109</v>
      </c>
      <c r="J2436" s="166" t="s">
        <v>553</v>
      </c>
      <c r="K2436" s="166" t="s">
        <v>712</v>
      </c>
      <c r="L2436" s="177">
        <f>1480/7</f>
        <v>211.42857142857142</v>
      </c>
      <c r="M2436" s="140"/>
      <c r="N2436" s="140"/>
      <c r="O2436" s="164">
        <f t="shared" si="270"/>
        <v>0</v>
      </c>
      <c r="P2436" s="166">
        <v>0</v>
      </c>
      <c r="Q2436" s="166">
        <v>0</v>
      </c>
      <c r="R2436" s="164">
        <f>$L2436*'Pivot Objective'!$C$9*P2436*Q2436</f>
        <v>0</v>
      </c>
      <c r="S2436" s="166">
        <v>8000</v>
      </c>
      <c r="T2436" s="166">
        <v>1</v>
      </c>
      <c r="U2436" s="164">
        <f>($L2436*'Pivot Objective'!$C$9^2)*S2436*T2436</f>
        <v>2209460.08945391</v>
      </c>
      <c r="V2436" s="166">
        <f>25*2*29</f>
        <v>1450</v>
      </c>
      <c r="W2436" s="166">
        <v>0</v>
      </c>
      <c r="X2436" s="164">
        <f>($L2436*'Pivot Objective'!$C$9^3)*V2436*W2436</f>
        <v>0</v>
      </c>
      <c r="Y2436" s="166">
        <v>0</v>
      </c>
      <c r="Z2436" s="166">
        <v>0</v>
      </c>
      <c r="AA2436" s="164">
        <f>($L2436*'Pivot Objective'!$C$9^4)*Y2436*Z2436</f>
        <v>0</v>
      </c>
      <c r="AB2436" s="166">
        <v>0</v>
      </c>
      <c r="AC2436" s="166">
        <v>0</v>
      </c>
      <c r="AD2436" s="164">
        <f>($L2436*'Pivot Objective'!$C$9^5)*AB2436*AC2436</f>
        <v>0</v>
      </c>
      <c r="AE2436" s="166">
        <f>25*2*29</f>
        <v>1450</v>
      </c>
      <c r="AF2436" s="166">
        <v>0</v>
      </c>
      <c r="AG2436" s="164">
        <f>($L2436*'Pivot Objective'!$C$9^6)*AE2436*AF2436</f>
        <v>0</v>
      </c>
      <c r="AH2436" s="166">
        <v>0</v>
      </c>
      <c r="AI2436" s="166">
        <v>0</v>
      </c>
      <c r="AJ2436" s="164">
        <f>($L2436*'Pivot Objective'!$C$9^7)*AH2436*AI2436</f>
        <v>0</v>
      </c>
      <c r="AK2436" s="185">
        <f t="shared" si="271"/>
        <v>2209460.08945391</v>
      </c>
      <c r="AL2436" s="186">
        <f t="shared" si="272"/>
        <v>2145.1068829649612</v>
      </c>
    </row>
    <row r="2437" spans="1:38" customFormat="1" ht="57.6" x14ac:dyDescent="0.3">
      <c r="A2437" s="140" t="s">
        <v>1488</v>
      </c>
      <c r="B2437" s="140">
        <v>4</v>
      </c>
      <c r="C2437" s="166" t="s">
        <v>697</v>
      </c>
      <c r="D2437" s="140" t="str">
        <f t="shared" si="268"/>
        <v>2</v>
      </c>
      <c r="E2437" s="166" t="s">
        <v>693</v>
      </c>
      <c r="F2437" s="140">
        <f t="shared" ref="F2437:F2500" si="273">IF(H2437=H2436,F2436,F2436+1)</f>
        <v>3</v>
      </c>
      <c r="G2437" s="140" t="str">
        <f t="shared" si="269"/>
        <v>4.2.3</v>
      </c>
      <c r="H2437" s="168" t="s">
        <v>672</v>
      </c>
      <c r="I2437" s="166" t="s">
        <v>109</v>
      </c>
      <c r="J2437" s="166" t="s">
        <v>556</v>
      </c>
      <c r="K2437" s="166" t="s">
        <v>709</v>
      </c>
      <c r="L2437" s="177">
        <v>35000</v>
      </c>
      <c r="M2437" s="140"/>
      <c r="N2437" s="140"/>
      <c r="O2437" s="164">
        <f t="shared" si="270"/>
        <v>0</v>
      </c>
      <c r="P2437" s="166">
        <v>0</v>
      </c>
      <c r="Q2437" s="166">
        <v>0</v>
      </c>
      <c r="R2437" s="164">
        <f>$L2437*'Pivot Objective'!$C$9*P2437*Q2437</f>
        <v>0</v>
      </c>
      <c r="S2437" s="166">
        <v>20</v>
      </c>
      <c r="T2437" s="166">
        <v>1</v>
      </c>
      <c r="U2437" s="164">
        <f>($L2437*'Pivot Objective'!$C$9^2)*S2437*T2437</f>
        <v>914388.04377737816</v>
      </c>
      <c r="V2437" s="166">
        <v>60</v>
      </c>
      <c r="W2437" s="166">
        <v>1</v>
      </c>
      <c r="X2437" s="164">
        <f>($L2437*'Pivot Objective'!$C$9^3)*V2437*W2437</f>
        <v>3135220.1582331755</v>
      </c>
      <c r="Y2437" s="166">
        <v>0</v>
      </c>
      <c r="Z2437" s="166">
        <v>0</v>
      </c>
      <c r="AA2437" s="164">
        <f>($L2437*'Pivot Objective'!$C$9^4)*Y2437*Z2437</f>
        <v>0</v>
      </c>
      <c r="AB2437" s="166">
        <v>0</v>
      </c>
      <c r="AC2437" s="166">
        <v>0</v>
      </c>
      <c r="AD2437" s="164">
        <f>($L2437*'Pivot Objective'!$C$9^5)*AB2437*AC2437</f>
        <v>0</v>
      </c>
      <c r="AE2437" s="166">
        <v>60</v>
      </c>
      <c r="AF2437" s="166">
        <v>1</v>
      </c>
      <c r="AG2437" s="164">
        <f>($L2437*'Pivot Objective'!$C$9^6)*AE2437*AF2437</f>
        <v>4680764.4955198364</v>
      </c>
      <c r="AH2437" s="166">
        <v>0</v>
      </c>
      <c r="AI2437" s="166">
        <v>0</v>
      </c>
      <c r="AJ2437" s="164">
        <f>($L2437*'Pivot Objective'!$C$9^7)*AH2437*AI2437</f>
        <v>0</v>
      </c>
      <c r="AK2437" s="185">
        <f t="shared" si="271"/>
        <v>8730372.6975303907</v>
      </c>
      <c r="AL2437" s="186">
        <f t="shared" si="272"/>
        <v>8476.0899976023211</v>
      </c>
    </row>
    <row r="2438" spans="1:38" customFormat="1" ht="57.6" x14ac:dyDescent="0.3">
      <c r="A2438" s="140" t="s">
        <v>1488</v>
      </c>
      <c r="B2438" s="140">
        <v>4</v>
      </c>
      <c r="C2438" s="166" t="s">
        <v>697</v>
      </c>
      <c r="D2438" s="140" t="str">
        <f t="shared" si="268"/>
        <v>2</v>
      </c>
      <c r="E2438" s="166" t="s">
        <v>693</v>
      </c>
      <c r="F2438" s="140">
        <f t="shared" si="273"/>
        <v>3</v>
      </c>
      <c r="G2438" s="140" t="str">
        <f t="shared" si="269"/>
        <v>4.2.3</v>
      </c>
      <c r="H2438" s="168" t="s">
        <v>672</v>
      </c>
      <c r="I2438" s="166" t="s">
        <v>109</v>
      </c>
      <c r="J2438" s="166" t="s">
        <v>797</v>
      </c>
      <c r="K2438" s="166" t="s">
        <v>709</v>
      </c>
      <c r="L2438" s="177">
        <v>35000</v>
      </c>
      <c r="M2438" s="140"/>
      <c r="N2438" s="140"/>
      <c r="O2438" s="164">
        <f t="shared" si="270"/>
        <v>0</v>
      </c>
      <c r="P2438" s="166">
        <v>0</v>
      </c>
      <c r="Q2438" s="166">
        <v>0</v>
      </c>
      <c r="R2438" s="164">
        <f>$L2438*'Pivot Objective'!$C$9*P2438*Q2438</f>
        <v>0</v>
      </c>
      <c r="S2438" s="166">
        <v>40</v>
      </c>
      <c r="T2438" s="166">
        <v>1</v>
      </c>
      <c r="U2438" s="164">
        <f>($L2438*'Pivot Objective'!$C$9^2)*S2438*T2438</f>
        <v>1828776.0875547563</v>
      </c>
      <c r="V2438" s="166">
        <v>1</v>
      </c>
      <c r="W2438" s="166">
        <v>1</v>
      </c>
      <c r="X2438" s="164">
        <f>($L2438*'Pivot Objective'!$C$9^3)*V2438*W2438</f>
        <v>52253.669303886258</v>
      </c>
      <c r="Y2438" s="166">
        <v>0</v>
      </c>
      <c r="Z2438" s="166">
        <v>0</v>
      </c>
      <c r="AA2438" s="164">
        <f>($L2438*'Pivot Objective'!$C$9^4)*Y2438*Z2438</f>
        <v>0</v>
      </c>
      <c r="AB2438" s="166">
        <v>0</v>
      </c>
      <c r="AC2438" s="166">
        <v>0</v>
      </c>
      <c r="AD2438" s="164">
        <f>($L2438*'Pivot Objective'!$C$9^5)*AB2438*AC2438</f>
        <v>0</v>
      </c>
      <c r="AE2438" s="166">
        <v>1</v>
      </c>
      <c r="AF2438" s="166">
        <v>1</v>
      </c>
      <c r="AG2438" s="164">
        <f>($L2438*'Pivot Objective'!$C$9^6)*AE2438*AF2438</f>
        <v>78012.74159199727</v>
      </c>
      <c r="AH2438" s="166">
        <v>0</v>
      </c>
      <c r="AI2438" s="166">
        <v>0</v>
      </c>
      <c r="AJ2438" s="164">
        <f>($L2438*'Pivot Objective'!$C$9^7)*AH2438*AI2438</f>
        <v>0</v>
      </c>
      <c r="AK2438" s="185">
        <f t="shared" si="271"/>
        <v>1959042.4984506399</v>
      </c>
      <c r="AL2438" s="186">
        <f t="shared" si="272"/>
        <v>1901.9830082045048</v>
      </c>
    </row>
    <row r="2439" spans="1:38" customFormat="1" ht="57.6" x14ac:dyDescent="0.3">
      <c r="A2439" s="140" t="s">
        <v>1488</v>
      </c>
      <c r="B2439" s="140">
        <v>4</v>
      </c>
      <c r="C2439" s="166" t="s">
        <v>697</v>
      </c>
      <c r="D2439" s="140" t="str">
        <f t="shared" si="268"/>
        <v>2</v>
      </c>
      <c r="E2439" s="166" t="s">
        <v>693</v>
      </c>
      <c r="F2439" s="140">
        <f t="shared" si="273"/>
        <v>3</v>
      </c>
      <c r="G2439" s="140" t="str">
        <f t="shared" si="269"/>
        <v>4.2.3</v>
      </c>
      <c r="H2439" s="168" t="s">
        <v>672</v>
      </c>
      <c r="I2439" s="166" t="s">
        <v>109</v>
      </c>
      <c r="J2439" s="166" t="s">
        <v>797</v>
      </c>
      <c r="K2439" s="166" t="s">
        <v>717</v>
      </c>
      <c r="L2439" s="177">
        <v>104850</v>
      </c>
      <c r="M2439" s="140"/>
      <c r="N2439" s="140"/>
      <c r="O2439" s="164">
        <f t="shared" si="270"/>
        <v>0</v>
      </c>
      <c r="P2439" s="166">
        <v>0</v>
      </c>
      <c r="Q2439" s="166">
        <v>0</v>
      </c>
      <c r="R2439" s="164">
        <f>$L2439*'Pivot Objective'!$C$9*P2439*Q2439</f>
        <v>0</v>
      </c>
      <c r="S2439" s="166">
        <v>5</v>
      </c>
      <c r="T2439" s="166">
        <v>1</v>
      </c>
      <c r="U2439" s="164">
        <f>($L2439*'Pivot Objective'!$C$9^2)*S2439*T2439</f>
        <v>684811.33135755791</v>
      </c>
      <c r="V2439" s="166">
        <v>1</v>
      </c>
      <c r="W2439" s="166">
        <v>1</v>
      </c>
      <c r="X2439" s="164">
        <f>($L2439*'Pivot Objective'!$C$9^3)*V2439*W2439</f>
        <v>156537.0636146421</v>
      </c>
      <c r="Y2439" s="166">
        <v>0</v>
      </c>
      <c r="Z2439" s="166">
        <v>0</v>
      </c>
      <c r="AA2439" s="164">
        <f>($L2439*'Pivot Objective'!$C$9^4)*Y2439*Z2439</f>
        <v>0</v>
      </c>
      <c r="AB2439" s="166">
        <v>0</v>
      </c>
      <c r="AC2439" s="166">
        <v>0</v>
      </c>
      <c r="AD2439" s="164">
        <f>($L2439*'Pivot Objective'!$C$9^5)*AB2439*AC2439</f>
        <v>0</v>
      </c>
      <c r="AE2439" s="166">
        <v>1</v>
      </c>
      <c r="AF2439" s="166">
        <v>1</v>
      </c>
      <c r="AG2439" s="164">
        <f>($L2439*'Pivot Objective'!$C$9^6)*AE2439*AF2439</f>
        <v>233703.88445488326</v>
      </c>
      <c r="AH2439" s="166">
        <v>0</v>
      </c>
      <c r="AI2439" s="166">
        <v>0</v>
      </c>
      <c r="AJ2439" s="164">
        <f>($L2439*'Pivot Objective'!$C$9^7)*AH2439*AI2439</f>
        <v>0</v>
      </c>
      <c r="AK2439" s="185">
        <f t="shared" si="271"/>
        <v>1075052.2794270832</v>
      </c>
      <c r="AL2439" s="186">
        <f t="shared" si="272"/>
        <v>1043.7400771136731</v>
      </c>
    </row>
    <row r="2440" spans="1:38" customFormat="1" ht="57.6" x14ac:dyDescent="0.3">
      <c r="A2440" s="140" t="s">
        <v>1488</v>
      </c>
      <c r="B2440" s="140">
        <v>4</v>
      </c>
      <c r="C2440" s="166" t="s">
        <v>697</v>
      </c>
      <c r="D2440" s="140" t="str">
        <f t="shared" si="268"/>
        <v>2</v>
      </c>
      <c r="E2440" s="166" t="s">
        <v>693</v>
      </c>
      <c r="F2440" s="140">
        <f t="shared" si="273"/>
        <v>3</v>
      </c>
      <c r="G2440" s="140" t="str">
        <f t="shared" si="269"/>
        <v>4.2.3</v>
      </c>
      <c r="H2440" s="168" t="s">
        <v>672</v>
      </c>
      <c r="I2440" s="166" t="s">
        <v>109</v>
      </c>
      <c r="J2440" s="166" t="s">
        <v>797</v>
      </c>
      <c r="K2440" s="166" t="s">
        <v>1297</v>
      </c>
      <c r="L2440" s="177">
        <v>8000</v>
      </c>
      <c r="M2440" s="140"/>
      <c r="N2440" s="140"/>
      <c r="O2440" s="164">
        <f t="shared" si="270"/>
        <v>0</v>
      </c>
      <c r="P2440" s="166">
        <v>0</v>
      </c>
      <c r="Q2440" s="166">
        <v>0</v>
      </c>
      <c r="R2440" s="164">
        <f>$L2440*'Pivot Objective'!$C$9*P2440*Q2440</f>
        <v>0</v>
      </c>
      <c r="S2440" s="166">
        <v>50000</v>
      </c>
      <c r="T2440" s="166">
        <v>1</v>
      </c>
      <c r="U2440" s="164">
        <f>($L2440*'Pivot Objective'!$C$9^2)*S2440*T2440</f>
        <v>522507453.58707327</v>
      </c>
      <c r="V2440" s="166">
        <v>5</v>
      </c>
      <c r="W2440" s="166">
        <v>1</v>
      </c>
      <c r="X2440" s="164">
        <f>($L2440*'Pivot Objective'!$C$9^3)*V2440*W2440</f>
        <v>59718.479204441435</v>
      </c>
      <c r="Y2440" s="166">
        <v>0</v>
      </c>
      <c r="Z2440" s="166">
        <v>0</v>
      </c>
      <c r="AA2440" s="164">
        <f>($L2440*'Pivot Objective'!$C$9^4)*Y2440*Z2440</f>
        <v>0</v>
      </c>
      <c r="AB2440" s="166">
        <v>0</v>
      </c>
      <c r="AC2440" s="166">
        <v>0</v>
      </c>
      <c r="AD2440" s="164">
        <f>($L2440*'Pivot Objective'!$C$9^5)*AB2440*AC2440</f>
        <v>0</v>
      </c>
      <c r="AE2440" s="166">
        <v>5</v>
      </c>
      <c r="AF2440" s="166">
        <v>1</v>
      </c>
      <c r="AG2440" s="164">
        <f>($L2440*'Pivot Objective'!$C$9^6)*AE2440*AF2440</f>
        <v>89157.418962282609</v>
      </c>
      <c r="AH2440" s="166">
        <v>0</v>
      </c>
      <c r="AI2440" s="166">
        <v>0</v>
      </c>
      <c r="AJ2440" s="164">
        <f>($L2440*'Pivot Objective'!$C$9^7)*AH2440*AI2440</f>
        <v>0</v>
      </c>
      <c r="AK2440" s="185">
        <f t="shared" si="271"/>
        <v>522656329.48523998</v>
      </c>
      <c r="AL2440" s="186">
        <f t="shared" si="272"/>
        <v>507433.32959732035</v>
      </c>
    </row>
    <row r="2441" spans="1:38" customFormat="1" ht="57.6" x14ac:dyDescent="0.3">
      <c r="A2441" s="140" t="s">
        <v>1488</v>
      </c>
      <c r="B2441" s="140">
        <v>4</v>
      </c>
      <c r="C2441" s="166" t="s">
        <v>697</v>
      </c>
      <c r="D2441" s="140" t="str">
        <f t="shared" si="268"/>
        <v>2</v>
      </c>
      <c r="E2441" s="166" t="s">
        <v>693</v>
      </c>
      <c r="F2441" s="140">
        <f t="shared" si="273"/>
        <v>4</v>
      </c>
      <c r="G2441" s="140" t="str">
        <f t="shared" si="269"/>
        <v>4.2.4</v>
      </c>
      <c r="H2441" s="166" t="s">
        <v>673</v>
      </c>
      <c r="I2441" s="166" t="s">
        <v>111</v>
      </c>
      <c r="J2441" s="166" t="s">
        <v>557</v>
      </c>
      <c r="K2441" s="166" t="s">
        <v>718</v>
      </c>
      <c r="L2441" s="177">
        <v>0</v>
      </c>
      <c r="M2441" s="166">
        <v>0</v>
      </c>
      <c r="N2441" s="166">
        <v>0</v>
      </c>
      <c r="O2441" s="164">
        <f t="shared" si="270"/>
        <v>0</v>
      </c>
      <c r="P2441" s="166">
        <v>0</v>
      </c>
      <c r="Q2441" s="166">
        <v>0</v>
      </c>
      <c r="R2441" s="164">
        <f>$L2441*'Pivot Objective'!$C$9*P2441*Q2441</f>
        <v>0</v>
      </c>
      <c r="S2441" s="166">
        <v>0</v>
      </c>
      <c r="T2441" s="166">
        <v>0</v>
      </c>
      <c r="U2441" s="164">
        <f>($L2441*'Pivot Objective'!$C$9^2)*S2441*T2441</f>
        <v>0</v>
      </c>
      <c r="V2441" s="166">
        <v>0</v>
      </c>
      <c r="W2441" s="166">
        <v>0</v>
      </c>
      <c r="X2441" s="164">
        <f>($L2441*'Pivot Objective'!$C$9^3)*V2441*W2441</f>
        <v>0</v>
      </c>
      <c r="Y2441" s="166">
        <v>0</v>
      </c>
      <c r="Z2441" s="166">
        <v>0</v>
      </c>
      <c r="AA2441" s="164">
        <f>($L2441*'Pivot Objective'!$C$9^4)*Y2441*Z2441</f>
        <v>0</v>
      </c>
      <c r="AB2441" s="166">
        <v>0</v>
      </c>
      <c r="AC2441" s="166">
        <v>0</v>
      </c>
      <c r="AD2441" s="164">
        <f>($L2441*'Pivot Objective'!$C$9^5)*AB2441*AC2441</f>
        <v>0</v>
      </c>
      <c r="AE2441" s="166">
        <v>0</v>
      </c>
      <c r="AF2441" s="166">
        <v>0</v>
      </c>
      <c r="AG2441" s="164">
        <f>($L2441*'Pivot Objective'!$C$9^6)*AE2441*AF2441</f>
        <v>0</v>
      </c>
      <c r="AH2441" s="166">
        <v>0</v>
      </c>
      <c r="AI2441" s="166">
        <v>0</v>
      </c>
      <c r="AJ2441" s="164">
        <f>($L2441*'Pivot Objective'!$C$9^7)*AH2441*AI2441</f>
        <v>0</v>
      </c>
      <c r="AK2441" s="185">
        <f t="shared" si="271"/>
        <v>0</v>
      </c>
      <c r="AL2441" s="186">
        <f t="shared" si="272"/>
        <v>0</v>
      </c>
    </row>
    <row r="2442" spans="1:38" customFormat="1" ht="57.6" x14ac:dyDescent="0.3">
      <c r="A2442" s="140" t="s">
        <v>1488</v>
      </c>
      <c r="B2442" s="140">
        <v>4</v>
      </c>
      <c r="C2442" s="166" t="s">
        <v>697</v>
      </c>
      <c r="D2442" s="140" t="str">
        <f t="shared" si="268"/>
        <v>2</v>
      </c>
      <c r="E2442" s="166" t="s">
        <v>693</v>
      </c>
      <c r="F2442" s="140">
        <f t="shared" si="273"/>
        <v>4</v>
      </c>
      <c r="G2442" s="140" t="str">
        <f t="shared" si="269"/>
        <v>4.2.4</v>
      </c>
      <c r="H2442" s="166" t="s">
        <v>673</v>
      </c>
      <c r="I2442" s="166" t="s">
        <v>111</v>
      </c>
      <c r="J2442" s="166" t="s">
        <v>149</v>
      </c>
      <c r="K2442" s="166" t="s">
        <v>707</v>
      </c>
      <c r="L2442" s="177">
        <v>391991.03749999998</v>
      </c>
      <c r="M2442" s="166">
        <v>2</v>
      </c>
      <c r="N2442" s="166">
        <v>2</v>
      </c>
      <c r="O2442" s="164">
        <f t="shared" si="270"/>
        <v>1567964.15</v>
      </c>
      <c r="P2442" s="166"/>
      <c r="Q2442" s="166"/>
      <c r="R2442" s="164">
        <f>$L2442*'Pivot Objective'!$C$9*P2442*Q2442</f>
        <v>0</v>
      </c>
      <c r="S2442" s="166">
        <v>0</v>
      </c>
      <c r="T2442" s="166">
        <v>0</v>
      </c>
      <c r="U2442" s="164">
        <f>($L2442*'Pivot Objective'!$C$9^2)*S2442*T2442</f>
        <v>0</v>
      </c>
      <c r="V2442" s="166">
        <v>0</v>
      </c>
      <c r="W2442" s="166">
        <v>0</v>
      </c>
      <c r="X2442" s="164">
        <f>($L2442*'Pivot Objective'!$C$9^3)*V2442*W2442</f>
        <v>0</v>
      </c>
      <c r="Y2442" s="166">
        <v>0</v>
      </c>
      <c r="Z2442" s="166">
        <v>0</v>
      </c>
      <c r="AA2442" s="164">
        <f>($L2442*'Pivot Objective'!$C$9^4)*Y2442*Z2442</f>
        <v>0</v>
      </c>
      <c r="AB2442" s="166">
        <v>0</v>
      </c>
      <c r="AC2442" s="166">
        <v>0</v>
      </c>
      <c r="AD2442" s="164">
        <f>($L2442*'Pivot Objective'!$C$9^5)*AB2442*AC2442</f>
        <v>0</v>
      </c>
      <c r="AE2442" s="166">
        <v>0</v>
      </c>
      <c r="AF2442" s="166">
        <v>0</v>
      </c>
      <c r="AG2442" s="164">
        <f>($L2442*'Pivot Objective'!$C$9^6)*AE2442*AF2442</f>
        <v>0</v>
      </c>
      <c r="AH2442" s="166">
        <v>0</v>
      </c>
      <c r="AI2442" s="166">
        <v>0</v>
      </c>
      <c r="AJ2442" s="164">
        <f>($L2442*'Pivot Objective'!$C$9^7)*AH2442*AI2442</f>
        <v>0</v>
      </c>
      <c r="AK2442" s="185">
        <f t="shared" si="271"/>
        <v>1567964.15</v>
      </c>
      <c r="AL2442" s="186">
        <f t="shared" si="272"/>
        <v>1522.2952912621358</v>
      </c>
    </row>
    <row r="2443" spans="1:38" customFormat="1" ht="57.6" x14ac:dyDescent="0.3">
      <c r="A2443" s="140" t="s">
        <v>1488</v>
      </c>
      <c r="B2443" s="140">
        <v>4</v>
      </c>
      <c r="C2443" s="166" t="s">
        <v>697</v>
      </c>
      <c r="D2443" s="140" t="str">
        <f t="shared" si="268"/>
        <v>2</v>
      </c>
      <c r="E2443" s="166" t="s">
        <v>693</v>
      </c>
      <c r="F2443" s="140">
        <f t="shared" si="273"/>
        <v>4</v>
      </c>
      <c r="G2443" s="140" t="str">
        <f t="shared" si="269"/>
        <v>4.2.4</v>
      </c>
      <c r="H2443" s="166" t="s">
        <v>673</v>
      </c>
      <c r="I2443" s="166" t="s">
        <v>111</v>
      </c>
      <c r="J2443" s="166" t="s">
        <v>149</v>
      </c>
      <c r="K2443" s="166" t="s">
        <v>708</v>
      </c>
      <c r="L2443" s="177">
        <f>500*1022</f>
        <v>511000</v>
      </c>
      <c r="M2443" s="166">
        <v>1</v>
      </c>
      <c r="N2443" s="166">
        <v>25</v>
      </c>
      <c r="O2443" s="164">
        <f t="shared" si="270"/>
        <v>12775000</v>
      </c>
      <c r="P2443" s="166"/>
      <c r="Q2443" s="166"/>
      <c r="R2443" s="164">
        <f>$L2443*'Pivot Objective'!$C$9*P2443*Q2443</f>
        <v>0</v>
      </c>
      <c r="S2443" s="166">
        <v>0</v>
      </c>
      <c r="T2443" s="166">
        <v>0</v>
      </c>
      <c r="U2443" s="164">
        <f>($L2443*'Pivot Objective'!$C$9^2)*S2443*T2443</f>
        <v>0</v>
      </c>
      <c r="V2443" s="166">
        <v>0</v>
      </c>
      <c r="W2443" s="166">
        <v>0</v>
      </c>
      <c r="X2443" s="164">
        <f>($L2443*'Pivot Objective'!$C$9^3)*V2443*W2443</f>
        <v>0</v>
      </c>
      <c r="Y2443" s="166">
        <v>0</v>
      </c>
      <c r="Z2443" s="166">
        <v>0</v>
      </c>
      <c r="AA2443" s="164">
        <f>($L2443*'Pivot Objective'!$C$9^4)*Y2443*Z2443</f>
        <v>0</v>
      </c>
      <c r="AB2443" s="166">
        <v>0</v>
      </c>
      <c r="AC2443" s="166">
        <v>0</v>
      </c>
      <c r="AD2443" s="164">
        <f>($L2443*'Pivot Objective'!$C$9^5)*AB2443*AC2443</f>
        <v>0</v>
      </c>
      <c r="AE2443" s="166">
        <v>0</v>
      </c>
      <c r="AF2443" s="166">
        <v>0</v>
      </c>
      <c r="AG2443" s="164">
        <f>($L2443*'Pivot Objective'!$C$9^6)*AE2443*AF2443</f>
        <v>0</v>
      </c>
      <c r="AH2443" s="166">
        <v>0</v>
      </c>
      <c r="AI2443" s="166">
        <v>0</v>
      </c>
      <c r="AJ2443" s="164">
        <f>($L2443*'Pivot Objective'!$C$9^7)*AH2443*AI2443</f>
        <v>0</v>
      </c>
      <c r="AK2443" s="185">
        <f t="shared" si="271"/>
        <v>12775000</v>
      </c>
      <c r="AL2443" s="186">
        <f t="shared" si="272"/>
        <v>12402.912621359223</v>
      </c>
    </row>
    <row r="2444" spans="1:38" customFormat="1" ht="57.6" x14ac:dyDescent="0.3">
      <c r="A2444" s="140" t="s">
        <v>1488</v>
      </c>
      <c r="B2444" s="140">
        <v>4</v>
      </c>
      <c r="C2444" s="166" t="s">
        <v>697</v>
      </c>
      <c r="D2444" s="140" t="str">
        <f t="shared" si="268"/>
        <v>2</v>
      </c>
      <c r="E2444" s="166" t="s">
        <v>693</v>
      </c>
      <c r="F2444" s="140">
        <f t="shared" si="273"/>
        <v>4</v>
      </c>
      <c r="G2444" s="140" t="str">
        <f t="shared" si="269"/>
        <v>4.2.4</v>
      </c>
      <c r="H2444" s="166" t="s">
        <v>673</v>
      </c>
      <c r="I2444" s="166" t="s">
        <v>111</v>
      </c>
      <c r="J2444" s="166" t="s">
        <v>558</v>
      </c>
      <c r="K2444" s="166" t="s">
        <v>716</v>
      </c>
      <c r="L2444" s="177">
        <v>39000</v>
      </c>
      <c r="M2444" s="166">
        <v>30</v>
      </c>
      <c r="N2444" s="166">
        <v>6</v>
      </c>
      <c r="O2444" s="164">
        <f t="shared" si="270"/>
        <v>7020000</v>
      </c>
      <c r="P2444" s="166"/>
      <c r="Q2444" s="166"/>
      <c r="R2444" s="164">
        <f>$L2444*'Pivot Objective'!$C$9*P2444*Q2444</f>
        <v>0</v>
      </c>
      <c r="S2444" s="166">
        <v>0</v>
      </c>
      <c r="T2444" s="166">
        <v>0</v>
      </c>
      <c r="U2444" s="164">
        <f>($L2444*'Pivot Objective'!$C$9^2)*S2444*T2444</f>
        <v>0</v>
      </c>
      <c r="V2444" s="166">
        <v>0</v>
      </c>
      <c r="W2444" s="166">
        <v>0</v>
      </c>
      <c r="X2444" s="164">
        <f>($L2444*'Pivot Objective'!$C$9^3)*V2444*W2444</f>
        <v>0</v>
      </c>
      <c r="Y2444" s="166">
        <v>0</v>
      </c>
      <c r="Z2444" s="166">
        <v>0</v>
      </c>
      <c r="AA2444" s="164">
        <f>($L2444*'Pivot Objective'!$C$9^4)*Y2444*Z2444</f>
        <v>0</v>
      </c>
      <c r="AB2444" s="166">
        <v>0</v>
      </c>
      <c r="AC2444" s="166">
        <v>0</v>
      </c>
      <c r="AD2444" s="164">
        <f>($L2444*'Pivot Objective'!$C$9^5)*AB2444*AC2444</f>
        <v>0</v>
      </c>
      <c r="AE2444" s="166">
        <v>0</v>
      </c>
      <c r="AF2444" s="166">
        <v>0</v>
      </c>
      <c r="AG2444" s="164">
        <f>($L2444*'Pivot Objective'!$C$9^6)*AE2444*AF2444</f>
        <v>0</v>
      </c>
      <c r="AH2444" s="166">
        <v>0</v>
      </c>
      <c r="AI2444" s="166">
        <v>0</v>
      </c>
      <c r="AJ2444" s="164">
        <f>($L2444*'Pivot Objective'!$C$9^7)*AH2444*AI2444</f>
        <v>0</v>
      </c>
      <c r="AK2444" s="185">
        <f t="shared" si="271"/>
        <v>7020000</v>
      </c>
      <c r="AL2444" s="186">
        <f t="shared" si="272"/>
        <v>6815.5339805825242</v>
      </c>
    </row>
    <row r="2445" spans="1:38" customFormat="1" ht="57.6" x14ac:dyDescent="0.3">
      <c r="A2445" s="140" t="s">
        <v>1488</v>
      </c>
      <c r="B2445" s="140">
        <v>4</v>
      </c>
      <c r="C2445" s="166" t="s">
        <v>697</v>
      </c>
      <c r="D2445" s="140" t="str">
        <f t="shared" si="268"/>
        <v>2</v>
      </c>
      <c r="E2445" s="166" t="s">
        <v>693</v>
      </c>
      <c r="F2445" s="140">
        <f t="shared" si="273"/>
        <v>4</v>
      </c>
      <c r="G2445" s="140" t="str">
        <f t="shared" si="269"/>
        <v>4.2.4</v>
      </c>
      <c r="H2445" s="166" t="s">
        <v>673</v>
      </c>
      <c r="I2445" s="166" t="s">
        <v>111</v>
      </c>
      <c r="J2445" s="166" t="s">
        <v>558</v>
      </c>
      <c r="K2445" s="166" t="s">
        <v>709</v>
      </c>
      <c r="L2445" s="177">
        <v>35000</v>
      </c>
      <c r="M2445" s="166">
        <v>30</v>
      </c>
      <c r="N2445" s="166">
        <v>5</v>
      </c>
      <c r="O2445" s="164">
        <f t="shared" si="270"/>
        <v>5250000</v>
      </c>
      <c r="P2445" s="166"/>
      <c r="Q2445" s="166"/>
      <c r="R2445" s="164">
        <f>$L2445*'Pivot Objective'!$C$9*P2445*Q2445</f>
        <v>0</v>
      </c>
      <c r="S2445" s="166">
        <v>0</v>
      </c>
      <c r="T2445" s="166">
        <v>0</v>
      </c>
      <c r="U2445" s="164">
        <f>($L2445*'Pivot Objective'!$C$9^2)*S2445*T2445</f>
        <v>0</v>
      </c>
      <c r="V2445" s="166">
        <v>0</v>
      </c>
      <c r="W2445" s="166">
        <v>0</v>
      </c>
      <c r="X2445" s="164">
        <f>($L2445*'Pivot Objective'!$C$9^3)*V2445*W2445</f>
        <v>0</v>
      </c>
      <c r="Y2445" s="166">
        <v>0</v>
      </c>
      <c r="Z2445" s="166">
        <v>0</v>
      </c>
      <c r="AA2445" s="164">
        <f>($L2445*'Pivot Objective'!$C$9^4)*Y2445*Z2445</f>
        <v>0</v>
      </c>
      <c r="AB2445" s="166">
        <v>0</v>
      </c>
      <c r="AC2445" s="166">
        <v>0</v>
      </c>
      <c r="AD2445" s="164">
        <f>($L2445*'Pivot Objective'!$C$9^5)*AB2445*AC2445</f>
        <v>0</v>
      </c>
      <c r="AE2445" s="166">
        <v>0</v>
      </c>
      <c r="AF2445" s="166">
        <v>0</v>
      </c>
      <c r="AG2445" s="164">
        <f>($L2445*'Pivot Objective'!$C$9^6)*AE2445*AF2445</f>
        <v>0</v>
      </c>
      <c r="AH2445" s="166">
        <v>0</v>
      </c>
      <c r="AI2445" s="166">
        <v>0</v>
      </c>
      <c r="AJ2445" s="164">
        <f>($L2445*'Pivot Objective'!$C$9^7)*AH2445*AI2445</f>
        <v>0</v>
      </c>
      <c r="AK2445" s="185">
        <f t="shared" si="271"/>
        <v>5250000</v>
      </c>
      <c r="AL2445" s="186">
        <f t="shared" si="272"/>
        <v>5097.0873786407765</v>
      </c>
    </row>
    <row r="2446" spans="1:38" customFormat="1" ht="57.6" x14ac:dyDescent="0.3">
      <c r="A2446" s="140" t="s">
        <v>1488</v>
      </c>
      <c r="B2446" s="140">
        <v>4</v>
      </c>
      <c r="C2446" s="166" t="s">
        <v>697</v>
      </c>
      <c r="D2446" s="140" t="str">
        <f t="shared" si="268"/>
        <v>2</v>
      </c>
      <c r="E2446" s="166" t="s">
        <v>693</v>
      </c>
      <c r="F2446" s="140">
        <f t="shared" si="273"/>
        <v>4</v>
      </c>
      <c r="G2446" s="140" t="str">
        <f t="shared" si="269"/>
        <v>4.2.4</v>
      </c>
      <c r="H2446" s="166" t="s">
        <v>673</v>
      </c>
      <c r="I2446" s="166" t="s">
        <v>111</v>
      </c>
      <c r="J2446" s="166" t="s">
        <v>558</v>
      </c>
      <c r="K2446" s="166" t="s">
        <v>712</v>
      </c>
      <c r="L2446" s="177">
        <f>1480/7</f>
        <v>211.42857142857142</v>
      </c>
      <c r="M2446" s="166">
        <f>25*2*10</f>
        <v>500</v>
      </c>
      <c r="N2446" s="166">
        <v>5</v>
      </c>
      <c r="O2446" s="164">
        <f t="shared" si="270"/>
        <v>528571.42857142852</v>
      </c>
      <c r="P2446" s="166"/>
      <c r="Q2446" s="166"/>
      <c r="R2446" s="164">
        <f>$L2446*'Pivot Objective'!$C$9*P2446*Q2446</f>
        <v>0</v>
      </c>
      <c r="S2446" s="166">
        <v>0</v>
      </c>
      <c r="T2446" s="166">
        <v>0</v>
      </c>
      <c r="U2446" s="164">
        <f>($L2446*'Pivot Objective'!$C$9^2)*S2446*T2446</f>
        <v>0</v>
      </c>
      <c r="V2446" s="166">
        <v>0</v>
      </c>
      <c r="W2446" s="166">
        <v>0</v>
      </c>
      <c r="X2446" s="164">
        <f>($L2446*'Pivot Objective'!$C$9^3)*V2446*W2446</f>
        <v>0</v>
      </c>
      <c r="Y2446" s="166">
        <v>0</v>
      </c>
      <c r="Z2446" s="166">
        <v>0</v>
      </c>
      <c r="AA2446" s="164">
        <f>($L2446*'Pivot Objective'!$C$9^4)*Y2446*Z2446</f>
        <v>0</v>
      </c>
      <c r="AB2446" s="166">
        <v>0</v>
      </c>
      <c r="AC2446" s="166">
        <v>0</v>
      </c>
      <c r="AD2446" s="164">
        <f>($L2446*'Pivot Objective'!$C$9^5)*AB2446*AC2446</f>
        <v>0</v>
      </c>
      <c r="AE2446" s="166">
        <v>0</v>
      </c>
      <c r="AF2446" s="166">
        <v>0</v>
      </c>
      <c r="AG2446" s="164">
        <f>($L2446*'Pivot Objective'!$C$9^6)*AE2446*AF2446</f>
        <v>0</v>
      </c>
      <c r="AH2446" s="166">
        <v>0</v>
      </c>
      <c r="AI2446" s="166">
        <v>0</v>
      </c>
      <c r="AJ2446" s="164">
        <f>($L2446*'Pivot Objective'!$C$9^7)*AH2446*AI2446</f>
        <v>0</v>
      </c>
      <c r="AK2446" s="185">
        <f t="shared" si="271"/>
        <v>528571.42857142852</v>
      </c>
      <c r="AL2446" s="186">
        <f t="shared" si="272"/>
        <v>513.17614424410533</v>
      </c>
    </row>
    <row r="2447" spans="1:38" customFormat="1" ht="57.6" x14ac:dyDescent="0.3">
      <c r="A2447" s="140" t="s">
        <v>1488</v>
      </c>
      <c r="B2447" s="140">
        <v>4</v>
      </c>
      <c r="C2447" s="166" t="s">
        <v>697</v>
      </c>
      <c r="D2447" s="140" t="str">
        <f t="shared" si="268"/>
        <v>2</v>
      </c>
      <c r="E2447" s="166" t="s">
        <v>693</v>
      </c>
      <c r="F2447" s="140">
        <f t="shared" si="273"/>
        <v>4</v>
      </c>
      <c r="G2447" s="140" t="str">
        <f t="shared" si="269"/>
        <v>4.2.4</v>
      </c>
      <c r="H2447" s="166" t="s">
        <v>673</v>
      </c>
      <c r="I2447" s="166" t="s">
        <v>111</v>
      </c>
      <c r="J2447" s="166" t="s">
        <v>558</v>
      </c>
      <c r="K2447" s="166" t="s">
        <v>1350</v>
      </c>
      <c r="L2447" s="177">
        <f>1480/7</f>
        <v>211.42857142857142</v>
      </c>
      <c r="M2447" s="166">
        <f>135*2*10</f>
        <v>2700</v>
      </c>
      <c r="N2447" s="166">
        <v>1</v>
      </c>
      <c r="O2447" s="164">
        <f t="shared" si="270"/>
        <v>570857.14285714284</v>
      </c>
      <c r="P2447" s="166"/>
      <c r="Q2447" s="166"/>
      <c r="R2447" s="164">
        <f>$L2447*'Pivot Objective'!$C$9*P2447*Q2447</f>
        <v>0</v>
      </c>
      <c r="S2447" s="166"/>
      <c r="T2447" s="166"/>
      <c r="U2447" s="164">
        <f>($L2447*'Pivot Objective'!$C$9^2)*S2447*T2447</f>
        <v>0</v>
      </c>
      <c r="V2447" s="166"/>
      <c r="W2447" s="166"/>
      <c r="X2447" s="164">
        <f>($L2447*'Pivot Objective'!$C$9^3)*V2447*W2447</f>
        <v>0</v>
      </c>
      <c r="Y2447" s="166"/>
      <c r="Z2447" s="166"/>
      <c r="AA2447" s="164">
        <f>($L2447*'Pivot Objective'!$C$9^4)*Y2447*Z2447</f>
        <v>0</v>
      </c>
      <c r="AB2447" s="166"/>
      <c r="AC2447" s="166"/>
      <c r="AD2447" s="164">
        <f>($L2447*'Pivot Objective'!$C$9^5)*AB2447*AC2447</f>
        <v>0</v>
      </c>
      <c r="AE2447" s="166"/>
      <c r="AF2447" s="166"/>
      <c r="AG2447" s="164">
        <f>($L2447*'Pivot Objective'!$C$9^6)*AE2447*AF2447</f>
        <v>0</v>
      </c>
      <c r="AH2447" s="166"/>
      <c r="AI2447" s="166"/>
      <c r="AJ2447" s="164">
        <f>($L2447*'Pivot Objective'!$C$9^7)*AH2447*AI2447</f>
        <v>0</v>
      </c>
      <c r="AK2447" s="185">
        <f t="shared" si="271"/>
        <v>570857.14285714284</v>
      </c>
      <c r="AL2447" s="186">
        <f t="shared" si="272"/>
        <v>554.23023578363382</v>
      </c>
    </row>
    <row r="2448" spans="1:38" customFormat="1" ht="57.6" x14ac:dyDescent="0.3">
      <c r="A2448" s="140" t="s">
        <v>1488</v>
      </c>
      <c r="B2448" s="140">
        <v>4</v>
      </c>
      <c r="C2448" s="166" t="s">
        <v>697</v>
      </c>
      <c r="D2448" s="140" t="str">
        <f t="shared" si="268"/>
        <v>2</v>
      </c>
      <c r="E2448" s="166" t="s">
        <v>693</v>
      </c>
      <c r="F2448" s="140">
        <f t="shared" si="273"/>
        <v>4</v>
      </c>
      <c r="G2448" s="140" t="str">
        <f t="shared" si="269"/>
        <v>4.2.4</v>
      </c>
      <c r="H2448" s="166" t="s">
        <v>673</v>
      </c>
      <c r="I2448" s="166" t="s">
        <v>111</v>
      </c>
      <c r="J2448" s="166" t="s">
        <v>559</v>
      </c>
      <c r="K2448" s="166" t="s">
        <v>718</v>
      </c>
      <c r="L2448" s="177">
        <v>0</v>
      </c>
      <c r="M2448" s="166">
        <v>0</v>
      </c>
      <c r="N2448" s="166">
        <v>0</v>
      </c>
      <c r="O2448" s="164">
        <f t="shared" si="270"/>
        <v>0</v>
      </c>
      <c r="P2448" s="166">
        <v>0</v>
      </c>
      <c r="Q2448" s="166">
        <v>0</v>
      </c>
      <c r="R2448" s="164">
        <f>$L2448*'Pivot Objective'!$C$9*P2448*Q2448</f>
        <v>0</v>
      </c>
      <c r="S2448" s="166">
        <v>0</v>
      </c>
      <c r="T2448" s="166">
        <v>0</v>
      </c>
      <c r="U2448" s="164">
        <f>($L2448*'Pivot Objective'!$C$9^2)*S2448*T2448</f>
        <v>0</v>
      </c>
      <c r="V2448" s="166">
        <v>0</v>
      </c>
      <c r="W2448" s="166">
        <v>0</v>
      </c>
      <c r="X2448" s="164">
        <f>($L2448*'Pivot Objective'!$C$9^3)*V2448*W2448</f>
        <v>0</v>
      </c>
      <c r="Y2448" s="166">
        <v>0</v>
      </c>
      <c r="Z2448" s="166">
        <v>0</v>
      </c>
      <c r="AA2448" s="164">
        <f>($L2448*'Pivot Objective'!$C$9^4)*Y2448*Z2448</f>
        <v>0</v>
      </c>
      <c r="AB2448" s="166">
        <v>0</v>
      </c>
      <c r="AC2448" s="166">
        <v>0</v>
      </c>
      <c r="AD2448" s="164">
        <f>($L2448*'Pivot Objective'!$C$9^5)*AB2448*AC2448</f>
        <v>0</v>
      </c>
      <c r="AE2448" s="166">
        <v>0</v>
      </c>
      <c r="AF2448" s="166">
        <v>0</v>
      </c>
      <c r="AG2448" s="164">
        <f>($L2448*'Pivot Objective'!$C$9^6)*AE2448*AF2448</f>
        <v>0</v>
      </c>
      <c r="AH2448" s="166">
        <v>0</v>
      </c>
      <c r="AI2448" s="166">
        <v>0</v>
      </c>
      <c r="AJ2448" s="164">
        <f>($L2448*'Pivot Objective'!$C$9^7)*AH2448*AI2448</f>
        <v>0</v>
      </c>
      <c r="AK2448" s="185">
        <f t="shared" si="271"/>
        <v>0</v>
      </c>
      <c r="AL2448" s="186">
        <f t="shared" si="272"/>
        <v>0</v>
      </c>
    </row>
    <row r="2449" spans="1:38" customFormat="1" ht="57.6" x14ac:dyDescent="0.3">
      <c r="A2449" s="140" t="s">
        <v>1488</v>
      </c>
      <c r="B2449" s="140">
        <v>4</v>
      </c>
      <c r="C2449" s="166" t="s">
        <v>697</v>
      </c>
      <c r="D2449" s="140" t="str">
        <f t="shared" si="268"/>
        <v>2</v>
      </c>
      <c r="E2449" s="166" t="s">
        <v>693</v>
      </c>
      <c r="F2449" s="140">
        <f t="shared" si="273"/>
        <v>4</v>
      </c>
      <c r="G2449" s="140" t="str">
        <f t="shared" si="269"/>
        <v>4.2.4</v>
      </c>
      <c r="H2449" s="166" t="s">
        <v>673</v>
      </c>
      <c r="I2449" s="166" t="s">
        <v>112</v>
      </c>
      <c r="J2449" s="166" t="s">
        <v>549</v>
      </c>
      <c r="K2449" s="166" t="s">
        <v>718</v>
      </c>
      <c r="L2449" s="177">
        <v>0</v>
      </c>
      <c r="M2449" s="166">
        <v>0</v>
      </c>
      <c r="N2449" s="166">
        <v>0</v>
      </c>
      <c r="O2449" s="164">
        <f t="shared" si="270"/>
        <v>0</v>
      </c>
      <c r="P2449" s="166">
        <v>0</v>
      </c>
      <c r="Q2449" s="166">
        <v>0</v>
      </c>
      <c r="R2449" s="164">
        <f>$L2449*'Pivot Objective'!$C$9*P2449*Q2449</f>
        <v>0</v>
      </c>
      <c r="S2449" s="166">
        <v>0</v>
      </c>
      <c r="T2449" s="166">
        <v>0</v>
      </c>
      <c r="U2449" s="164">
        <f>($L2449*'Pivot Objective'!$C$9^2)*S2449*T2449</f>
        <v>0</v>
      </c>
      <c r="V2449" s="166">
        <v>0</v>
      </c>
      <c r="W2449" s="166">
        <v>0</v>
      </c>
      <c r="X2449" s="164">
        <f>($L2449*'Pivot Objective'!$C$9^3)*V2449*W2449</f>
        <v>0</v>
      </c>
      <c r="Y2449" s="166">
        <v>0</v>
      </c>
      <c r="Z2449" s="166">
        <v>0</v>
      </c>
      <c r="AA2449" s="164">
        <f>($L2449*'Pivot Objective'!$C$9^4)*Y2449*Z2449</f>
        <v>0</v>
      </c>
      <c r="AB2449" s="166">
        <v>0</v>
      </c>
      <c r="AC2449" s="166">
        <v>0</v>
      </c>
      <c r="AD2449" s="164">
        <f>($L2449*'Pivot Objective'!$C$9^5)*AB2449*AC2449</f>
        <v>0</v>
      </c>
      <c r="AE2449" s="166">
        <v>0</v>
      </c>
      <c r="AF2449" s="166">
        <v>0</v>
      </c>
      <c r="AG2449" s="164">
        <f>($L2449*'Pivot Objective'!$C$9^6)*AE2449*AF2449</f>
        <v>0</v>
      </c>
      <c r="AH2449" s="166">
        <v>0</v>
      </c>
      <c r="AI2449" s="166">
        <v>0</v>
      </c>
      <c r="AJ2449" s="164">
        <f>($L2449*'Pivot Objective'!$C$9^7)*AH2449*AI2449</f>
        <v>0</v>
      </c>
      <c r="AK2449" s="185">
        <f t="shared" si="271"/>
        <v>0</v>
      </c>
      <c r="AL2449" s="186">
        <f t="shared" si="272"/>
        <v>0</v>
      </c>
    </row>
    <row r="2450" spans="1:38" customFormat="1" ht="57.6" x14ac:dyDescent="0.3">
      <c r="A2450" s="140" t="s">
        <v>1488</v>
      </c>
      <c r="B2450" s="140">
        <v>4</v>
      </c>
      <c r="C2450" s="166" t="s">
        <v>697</v>
      </c>
      <c r="D2450" s="140" t="str">
        <f t="shared" si="268"/>
        <v>2</v>
      </c>
      <c r="E2450" s="166" t="s">
        <v>693</v>
      </c>
      <c r="F2450" s="140">
        <f t="shared" si="273"/>
        <v>4</v>
      </c>
      <c r="G2450" s="140" t="str">
        <f t="shared" si="269"/>
        <v>4.2.4</v>
      </c>
      <c r="H2450" s="166" t="s">
        <v>673</v>
      </c>
      <c r="I2450" s="166" t="s">
        <v>112</v>
      </c>
      <c r="J2450" s="166" t="s">
        <v>550</v>
      </c>
      <c r="K2450" s="166" t="s">
        <v>718</v>
      </c>
      <c r="L2450" s="177">
        <v>0</v>
      </c>
      <c r="M2450" s="166">
        <v>0</v>
      </c>
      <c r="N2450" s="166">
        <v>0</v>
      </c>
      <c r="O2450" s="164">
        <f t="shared" si="270"/>
        <v>0</v>
      </c>
      <c r="P2450" s="166">
        <v>0</v>
      </c>
      <c r="Q2450" s="166">
        <v>0</v>
      </c>
      <c r="R2450" s="164">
        <f>$L2450*'Pivot Objective'!$C$9*P2450*Q2450</f>
        <v>0</v>
      </c>
      <c r="S2450" s="166">
        <v>0</v>
      </c>
      <c r="T2450" s="166">
        <v>0</v>
      </c>
      <c r="U2450" s="164">
        <f>($L2450*'Pivot Objective'!$C$9^2)*S2450*T2450</f>
        <v>0</v>
      </c>
      <c r="V2450" s="166">
        <v>0</v>
      </c>
      <c r="W2450" s="166">
        <v>0</v>
      </c>
      <c r="X2450" s="164">
        <f>($L2450*'Pivot Objective'!$C$9^3)*V2450*W2450</f>
        <v>0</v>
      </c>
      <c r="Y2450" s="166">
        <v>0</v>
      </c>
      <c r="Z2450" s="166">
        <v>0</v>
      </c>
      <c r="AA2450" s="164">
        <f>($L2450*'Pivot Objective'!$C$9^4)*Y2450*Z2450</f>
        <v>0</v>
      </c>
      <c r="AB2450" s="166">
        <v>0</v>
      </c>
      <c r="AC2450" s="166">
        <v>0</v>
      </c>
      <c r="AD2450" s="164">
        <f>($L2450*'Pivot Objective'!$C$9^5)*AB2450*AC2450</f>
        <v>0</v>
      </c>
      <c r="AE2450" s="166">
        <v>0</v>
      </c>
      <c r="AF2450" s="166">
        <v>0</v>
      </c>
      <c r="AG2450" s="164">
        <f>($L2450*'Pivot Objective'!$C$9^6)*AE2450*AF2450</f>
        <v>0</v>
      </c>
      <c r="AH2450" s="166">
        <v>0</v>
      </c>
      <c r="AI2450" s="166">
        <v>0</v>
      </c>
      <c r="AJ2450" s="164">
        <f>($L2450*'Pivot Objective'!$C$9^7)*AH2450*AI2450</f>
        <v>0</v>
      </c>
      <c r="AK2450" s="185">
        <f t="shared" si="271"/>
        <v>0</v>
      </c>
      <c r="AL2450" s="186">
        <f t="shared" si="272"/>
        <v>0</v>
      </c>
    </row>
    <row r="2451" spans="1:38" customFormat="1" ht="57.6" x14ac:dyDescent="0.3">
      <c r="A2451" s="140" t="s">
        <v>1488</v>
      </c>
      <c r="B2451" s="140">
        <v>4</v>
      </c>
      <c r="C2451" s="166" t="s">
        <v>697</v>
      </c>
      <c r="D2451" s="140" t="str">
        <f t="shared" si="268"/>
        <v>2</v>
      </c>
      <c r="E2451" s="166" t="s">
        <v>693</v>
      </c>
      <c r="F2451" s="140">
        <f t="shared" si="273"/>
        <v>4</v>
      </c>
      <c r="G2451" s="140" t="str">
        <f t="shared" si="269"/>
        <v>4.2.4</v>
      </c>
      <c r="H2451" s="166" t="s">
        <v>673</v>
      </c>
      <c r="I2451" s="166" t="s">
        <v>112</v>
      </c>
      <c r="J2451" s="166" t="s">
        <v>560</v>
      </c>
      <c r="K2451" s="166" t="s">
        <v>713</v>
      </c>
      <c r="L2451" s="177">
        <v>45000</v>
      </c>
      <c r="M2451" s="166">
        <v>15</v>
      </c>
      <c r="N2451" s="166">
        <v>2</v>
      </c>
      <c r="O2451" s="164">
        <f t="shared" si="270"/>
        <v>1350000</v>
      </c>
      <c r="P2451" s="166">
        <v>15</v>
      </c>
      <c r="Q2451" s="166">
        <v>2</v>
      </c>
      <c r="R2451" s="164">
        <f>$L2451*'Pivot Objective'!$C$9*P2451*Q2451</f>
        <v>1542943.4809499998</v>
      </c>
      <c r="S2451" s="166">
        <v>15</v>
      </c>
      <c r="T2451" s="166">
        <v>2</v>
      </c>
      <c r="U2451" s="164">
        <f>($L2451*'Pivot Objective'!$C$9^2)*S2451*T2451</f>
        <v>1763462.6558563723</v>
      </c>
      <c r="V2451" s="166">
        <v>15</v>
      </c>
      <c r="W2451" s="166">
        <v>2</v>
      </c>
      <c r="X2451" s="164">
        <f>($L2451*'Pivot Objective'!$C$9^3)*V2451*W2451</f>
        <v>2015498.6731498984</v>
      </c>
      <c r="Y2451" s="166">
        <v>15</v>
      </c>
      <c r="Z2451" s="166">
        <v>2</v>
      </c>
      <c r="AA2451" s="164">
        <f>($L2451*'Pivot Objective'!$C$9^4)*Y2451*Z2451</f>
        <v>2303555.9545185259</v>
      </c>
      <c r="AB2451" s="166">
        <v>15</v>
      </c>
      <c r="AC2451" s="166">
        <v>2</v>
      </c>
      <c r="AD2451" s="164">
        <f>($L2451*'Pivot Objective'!$C$9^5)*AB2451*AC2451</f>
        <v>2632782.6985391956</v>
      </c>
      <c r="AE2451" s="166">
        <v>15</v>
      </c>
      <c r="AF2451" s="166">
        <v>2</v>
      </c>
      <c r="AG2451" s="164">
        <f>($L2451*'Pivot Objective'!$C$9^6)*AE2451*AF2451</f>
        <v>3009062.8899770379</v>
      </c>
      <c r="AH2451" s="166">
        <v>15</v>
      </c>
      <c r="AI2451" s="166">
        <v>2</v>
      </c>
      <c r="AJ2451" s="164">
        <f>($L2451*'Pivot Objective'!$C$9^7)*AH2451*AI2451</f>
        <v>3439121.4591545463</v>
      </c>
      <c r="AK2451" s="185">
        <f t="shared" si="271"/>
        <v>18056427.812145576</v>
      </c>
      <c r="AL2451" s="186">
        <f t="shared" si="272"/>
        <v>17530.512438976286</v>
      </c>
    </row>
    <row r="2452" spans="1:38" customFormat="1" ht="57.6" x14ac:dyDescent="0.3">
      <c r="A2452" s="140" t="s">
        <v>1488</v>
      </c>
      <c r="B2452" s="140">
        <v>4</v>
      </c>
      <c r="C2452" s="166" t="s">
        <v>697</v>
      </c>
      <c r="D2452" s="140" t="str">
        <f t="shared" si="268"/>
        <v>2</v>
      </c>
      <c r="E2452" s="166" t="s">
        <v>693</v>
      </c>
      <c r="F2452" s="140">
        <f t="shared" si="273"/>
        <v>4</v>
      </c>
      <c r="G2452" s="140" t="str">
        <f t="shared" si="269"/>
        <v>4.2.4</v>
      </c>
      <c r="H2452" s="166" t="s">
        <v>673</v>
      </c>
      <c r="I2452" s="166" t="s">
        <v>112</v>
      </c>
      <c r="J2452" s="166" t="s">
        <v>560</v>
      </c>
      <c r="K2452" s="166" t="s">
        <v>712</v>
      </c>
      <c r="L2452" s="177">
        <f>1480/7</f>
        <v>211.42857142857142</v>
      </c>
      <c r="M2452" s="166">
        <f>25*2*7</f>
        <v>350</v>
      </c>
      <c r="N2452" s="166">
        <v>1</v>
      </c>
      <c r="O2452" s="164">
        <f t="shared" si="270"/>
        <v>74000</v>
      </c>
      <c r="P2452" s="166">
        <f>25*2*7</f>
        <v>350</v>
      </c>
      <c r="Q2452" s="166">
        <v>1</v>
      </c>
      <c r="R2452" s="164">
        <f>$L2452*'Pivot Objective'!$C$9*P2452*Q2452</f>
        <v>84576.161177999995</v>
      </c>
      <c r="S2452" s="166">
        <f>25*2*7</f>
        <v>350</v>
      </c>
      <c r="T2452" s="166">
        <v>1</v>
      </c>
      <c r="U2452" s="164">
        <f>($L2452*'Pivot Objective'!$C$9^2)*S2452*T2452</f>
        <v>96663.878913608554</v>
      </c>
      <c r="V2452" s="166">
        <f>25*2*7</f>
        <v>350</v>
      </c>
      <c r="W2452" s="166">
        <v>1</v>
      </c>
      <c r="X2452" s="164">
        <f>($L2452*'Pivot Objective'!$C$9^3)*V2452*W2452</f>
        <v>110479.18652821664</v>
      </c>
      <c r="Y2452" s="166">
        <f>25*2*7</f>
        <v>350</v>
      </c>
      <c r="Z2452" s="166">
        <v>1</v>
      </c>
      <c r="AA2452" s="164">
        <f>($L2452*'Pivot Objective'!$C$9^4)*Y2452*Z2452</f>
        <v>126268.99306249697</v>
      </c>
      <c r="AB2452" s="166">
        <f>25*2*7</f>
        <v>350</v>
      </c>
      <c r="AC2452" s="166">
        <v>1</v>
      </c>
      <c r="AD2452" s="164">
        <f>($L2452*'Pivot Objective'!$C$9^5)*AB2452*AC2452</f>
        <v>144315.49606807443</v>
      </c>
      <c r="AE2452" s="166">
        <f>25*2*7</f>
        <v>350</v>
      </c>
      <c r="AF2452" s="166">
        <v>1</v>
      </c>
      <c r="AG2452" s="164">
        <f>($L2452*'Pivot Objective'!$C$9^6)*AE2452*AF2452</f>
        <v>164941.22508022279</v>
      </c>
      <c r="AH2452" s="166">
        <f>25*2*7</f>
        <v>350</v>
      </c>
      <c r="AI2452" s="166">
        <v>1</v>
      </c>
      <c r="AJ2452" s="164">
        <f>($L2452*'Pivot Objective'!$C$9^7)*AH2452*AI2452</f>
        <v>188514.80590921213</v>
      </c>
      <c r="AK2452" s="185">
        <f t="shared" si="271"/>
        <v>989759.7467398314</v>
      </c>
      <c r="AL2452" s="186">
        <f t="shared" si="272"/>
        <v>960.93179295129266</v>
      </c>
    </row>
    <row r="2453" spans="1:38" customFormat="1" ht="57.6" x14ac:dyDescent="0.3">
      <c r="A2453" s="140" t="s">
        <v>1488</v>
      </c>
      <c r="B2453" s="140">
        <v>4</v>
      </c>
      <c r="C2453" s="166" t="s">
        <v>697</v>
      </c>
      <c r="D2453" s="140" t="str">
        <f t="shared" si="268"/>
        <v>2</v>
      </c>
      <c r="E2453" s="166" t="s">
        <v>693</v>
      </c>
      <c r="F2453" s="140">
        <f t="shared" si="273"/>
        <v>4</v>
      </c>
      <c r="G2453" s="140" t="str">
        <f t="shared" si="269"/>
        <v>4.2.4</v>
      </c>
      <c r="H2453" s="166" t="s">
        <v>673</v>
      </c>
      <c r="I2453" s="166" t="s">
        <v>112</v>
      </c>
      <c r="J2453" s="166" t="s">
        <v>560</v>
      </c>
      <c r="K2453" s="166" t="s">
        <v>1350</v>
      </c>
      <c r="L2453" s="177">
        <f>1480/7</f>
        <v>211.42857142857142</v>
      </c>
      <c r="M2453" s="166">
        <f>135*2*7</f>
        <v>1890</v>
      </c>
      <c r="N2453" s="166">
        <v>1</v>
      </c>
      <c r="O2453" s="164">
        <f t="shared" si="270"/>
        <v>399600</v>
      </c>
      <c r="P2453" s="166">
        <f>135*2*7</f>
        <v>1890</v>
      </c>
      <c r="Q2453" s="166">
        <v>1</v>
      </c>
      <c r="R2453" s="164">
        <f>$L2453*'Pivot Objective'!$C$9*P2453*Q2453</f>
        <v>456711.27036119992</v>
      </c>
      <c r="S2453" s="166">
        <f>135*2*7</f>
        <v>1890</v>
      </c>
      <c r="T2453" s="166">
        <v>1</v>
      </c>
      <c r="U2453" s="164">
        <f>($L2453*'Pivot Objective'!$C$9^2)*S2453*T2453</f>
        <v>521984.94613348623</v>
      </c>
      <c r="V2453" s="166">
        <f>135*2*7</f>
        <v>1890</v>
      </c>
      <c r="W2453" s="166">
        <v>1</v>
      </c>
      <c r="X2453" s="164">
        <f>($L2453*'Pivot Objective'!$C$9^3)*V2453*W2453</f>
        <v>596587.60725236987</v>
      </c>
      <c r="Y2453" s="166">
        <f>135*2*7</f>
        <v>1890</v>
      </c>
      <c r="Z2453" s="166">
        <v>1</v>
      </c>
      <c r="AA2453" s="164">
        <f>($L2453*'Pivot Objective'!$C$9^4)*Y2453*Z2453</f>
        <v>681852.56253748364</v>
      </c>
      <c r="AB2453" s="166">
        <f>135*2*7</f>
        <v>1890</v>
      </c>
      <c r="AC2453" s="166">
        <v>1</v>
      </c>
      <c r="AD2453" s="164">
        <f>($L2453*'Pivot Objective'!$C$9^5)*AB2453*AC2453</f>
        <v>779303.67876760196</v>
      </c>
      <c r="AE2453" s="166">
        <f>135*2*7</f>
        <v>1890</v>
      </c>
      <c r="AF2453" s="166">
        <v>1</v>
      </c>
      <c r="AG2453" s="164">
        <f>($L2453*'Pivot Objective'!$C$9^6)*AE2453*AF2453</f>
        <v>890682.61543320306</v>
      </c>
      <c r="AH2453" s="166">
        <f>135*2*7</f>
        <v>1890</v>
      </c>
      <c r="AI2453" s="166">
        <v>1</v>
      </c>
      <c r="AJ2453" s="164">
        <f>($L2453*'Pivot Objective'!$C$9^7)*AH2453*AI2453</f>
        <v>1017979.9519097456</v>
      </c>
      <c r="AK2453" s="185">
        <f t="shared" si="271"/>
        <v>5344702.6323950905</v>
      </c>
      <c r="AL2453" s="186">
        <f t="shared" si="272"/>
        <v>5189.0316819369809</v>
      </c>
    </row>
    <row r="2454" spans="1:38" customFormat="1" ht="57.6" x14ac:dyDescent="0.3">
      <c r="A2454" s="140" t="s">
        <v>1488</v>
      </c>
      <c r="B2454" s="140">
        <v>4</v>
      </c>
      <c r="C2454" s="166" t="s">
        <v>697</v>
      </c>
      <c r="D2454" s="140" t="str">
        <f t="shared" si="268"/>
        <v>2</v>
      </c>
      <c r="E2454" s="166" t="s">
        <v>693</v>
      </c>
      <c r="F2454" s="140">
        <f t="shared" si="273"/>
        <v>4</v>
      </c>
      <c r="G2454" s="140" t="str">
        <f t="shared" si="269"/>
        <v>4.2.4</v>
      </c>
      <c r="H2454" s="166" t="s">
        <v>673</v>
      </c>
      <c r="I2454" s="166" t="s">
        <v>112</v>
      </c>
      <c r="J2454" s="166" t="s">
        <v>561</v>
      </c>
      <c r="K2454" s="166" t="s">
        <v>718</v>
      </c>
      <c r="L2454" s="177">
        <v>0</v>
      </c>
      <c r="M2454" s="166">
        <v>0</v>
      </c>
      <c r="N2454" s="166">
        <v>0</v>
      </c>
      <c r="O2454" s="164">
        <f t="shared" si="270"/>
        <v>0</v>
      </c>
      <c r="P2454" s="166">
        <v>0</v>
      </c>
      <c r="Q2454" s="166">
        <v>0</v>
      </c>
      <c r="R2454" s="164">
        <f>$L2454*'Pivot Objective'!$C$9*P2454*Q2454</f>
        <v>0</v>
      </c>
      <c r="S2454" s="166">
        <v>0</v>
      </c>
      <c r="T2454" s="166">
        <v>0</v>
      </c>
      <c r="U2454" s="164">
        <f>($L2454*'Pivot Objective'!$C$9^2)*S2454*T2454</f>
        <v>0</v>
      </c>
      <c r="V2454" s="166">
        <v>0</v>
      </c>
      <c r="W2454" s="166">
        <v>0</v>
      </c>
      <c r="X2454" s="164">
        <f>($L2454*'Pivot Objective'!$C$9^3)*V2454*W2454</f>
        <v>0</v>
      </c>
      <c r="Y2454" s="166">
        <v>0</v>
      </c>
      <c r="Z2454" s="166">
        <v>0</v>
      </c>
      <c r="AA2454" s="164">
        <f>($L2454*'Pivot Objective'!$C$9^4)*Y2454*Z2454</f>
        <v>0</v>
      </c>
      <c r="AB2454" s="166">
        <v>0</v>
      </c>
      <c r="AC2454" s="166">
        <v>0</v>
      </c>
      <c r="AD2454" s="164">
        <f>($L2454*'Pivot Objective'!$C$9^5)*AB2454*AC2454</f>
        <v>0</v>
      </c>
      <c r="AE2454" s="166">
        <v>0</v>
      </c>
      <c r="AF2454" s="166">
        <v>0</v>
      </c>
      <c r="AG2454" s="164">
        <f>($L2454*'Pivot Objective'!$C$9^6)*AE2454*AF2454</f>
        <v>0</v>
      </c>
      <c r="AH2454" s="166">
        <v>0</v>
      </c>
      <c r="AI2454" s="166">
        <v>0</v>
      </c>
      <c r="AJ2454" s="164">
        <f>($L2454*'Pivot Objective'!$C$9^7)*AH2454*AI2454</f>
        <v>0</v>
      </c>
      <c r="AK2454" s="185">
        <f t="shared" si="271"/>
        <v>0</v>
      </c>
      <c r="AL2454" s="186">
        <f t="shared" si="272"/>
        <v>0</v>
      </c>
    </row>
    <row r="2455" spans="1:38" customFormat="1" ht="57.6" x14ac:dyDescent="0.3">
      <c r="A2455" s="140" t="s">
        <v>1488</v>
      </c>
      <c r="B2455" s="140">
        <v>4</v>
      </c>
      <c r="C2455" s="166" t="s">
        <v>697</v>
      </c>
      <c r="D2455" s="140" t="str">
        <f t="shared" si="268"/>
        <v>2</v>
      </c>
      <c r="E2455" s="166" t="s">
        <v>693</v>
      </c>
      <c r="F2455" s="140">
        <f t="shared" si="273"/>
        <v>4</v>
      </c>
      <c r="G2455" s="140" t="str">
        <f t="shared" si="269"/>
        <v>4.2.4</v>
      </c>
      <c r="H2455" s="166" t="s">
        <v>673</v>
      </c>
      <c r="I2455" s="166" t="s">
        <v>112</v>
      </c>
      <c r="J2455" s="166" t="s">
        <v>157</v>
      </c>
      <c r="K2455" s="166" t="s">
        <v>713</v>
      </c>
      <c r="L2455" s="177">
        <v>45000</v>
      </c>
      <c r="M2455" s="166">
        <v>15</v>
      </c>
      <c r="N2455" s="166">
        <v>6</v>
      </c>
      <c r="O2455" s="164">
        <f t="shared" si="270"/>
        <v>4050000</v>
      </c>
      <c r="P2455" s="166">
        <v>15</v>
      </c>
      <c r="Q2455" s="166">
        <v>6</v>
      </c>
      <c r="R2455" s="164">
        <f>$L2455*'Pivot Objective'!$C$9*P2455*Q2455</f>
        <v>4628830.4428499993</v>
      </c>
      <c r="S2455" s="166">
        <v>15</v>
      </c>
      <c r="T2455" s="166">
        <v>6</v>
      </c>
      <c r="U2455" s="164">
        <f>($L2455*'Pivot Objective'!$C$9^2)*S2455*T2455</f>
        <v>5290387.9675691165</v>
      </c>
      <c r="V2455" s="166">
        <v>15</v>
      </c>
      <c r="W2455" s="166">
        <v>6</v>
      </c>
      <c r="X2455" s="164">
        <f>($L2455*'Pivot Objective'!$C$9^3)*V2455*W2455</f>
        <v>6046496.019449695</v>
      </c>
      <c r="Y2455" s="166">
        <v>15</v>
      </c>
      <c r="Z2455" s="166">
        <v>6</v>
      </c>
      <c r="AA2455" s="164">
        <f>($L2455*'Pivot Objective'!$C$9^4)*Y2455*Z2455</f>
        <v>6910667.8635555776</v>
      </c>
      <c r="AB2455" s="166">
        <v>15</v>
      </c>
      <c r="AC2455" s="166">
        <v>6</v>
      </c>
      <c r="AD2455" s="164">
        <f>($L2455*'Pivot Objective'!$C$9^5)*AB2455*AC2455</f>
        <v>7898348.0956175867</v>
      </c>
      <c r="AE2455" s="166">
        <v>15</v>
      </c>
      <c r="AF2455" s="166">
        <v>6</v>
      </c>
      <c r="AG2455" s="164">
        <f>($L2455*'Pivot Objective'!$C$9^6)*AE2455*AF2455</f>
        <v>9027188.6699311137</v>
      </c>
      <c r="AH2455" s="166">
        <v>15</v>
      </c>
      <c r="AI2455" s="166">
        <v>6</v>
      </c>
      <c r="AJ2455" s="164">
        <f>($L2455*'Pivot Objective'!$C$9^7)*AH2455*AI2455</f>
        <v>10317364.377463639</v>
      </c>
      <c r="AK2455" s="185">
        <f t="shared" si="271"/>
        <v>54169283.436436728</v>
      </c>
      <c r="AL2455" s="186">
        <f t="shared" si="272"/>
        <v>52591.537316928865</v>
      </c>
    </row>
    <row r="2456" spans="1:38" customFormat="1" ht="57.6" x14ac:dyDescent="0.3">
      <c r="A2456" s="140" t="s">
        <v>1488</v>
      </c>
      <c r="B2456" s="140">
        <v>4</v>
      </c>
      <c r="C2456" s="166" t="s">
        <v>697</v>
      </c>
      <c r="D2456" s="140" t="str">
        <f t="shared" si="268"/>
        <v>2</v>
      </c>
      <c r="E2456" s="166" t="s">
        <v>693</v>
      </c>
      <c r="F2456" s="140">
        <f t="shared" si="273"/>
        <v>4</v>
      </c>
      <c r="G2456" s="140" t="str">
        <f t="shared" si="269"/>
        <v>4.2.4</v>
      </c>
      <c r="H2456" s="166" t="s">
        <v>673</v>
      </c>
      <c r="I2456" s="166" t="s">
        <v>112</v>
      </c>
      <c r="J2456" s="166" t="s">
        <v>157</v>
      </c>
      <c r="K2456" s="166" t="s">
        <v>715</v>
      </c>
      <c r="L2456" s="177">
        <v>302000</v>
      </c>
      <c r="M2456" s="166">
        <v>15</v>
      </c>
      <c r="N2456" s="166">
        <v>1</v>
      </c>
      <c r="O2456" s="164">
        <f t="shared" si="270"/>
        <v>4530000</v>
      </c>
      <c r="P2456" s="166">
        <v>15</v>
      </c>
      <c r="Q2456" s="166">
        <v>1</v>
      </c>
      <c r="R2456" s="164">
        <f>$L2456*'Pivot Objective'!$C$9*P2456*Q2456</f>
        <v>5177432.5694099991</v>
      </c>
      <c r="S2456" s="166">
        <v>15</v>
      </c>
      <c r="T2456" s="166">
        <v>1</v>
      </c>
      <c r="U2456" s="164">
        <f>($L2456*'Pivot Objective'!$C$9^2)*S2456*T2456</f>
        <v>5917396.9118736051</v>
      </c>
      <c r="V2456" s="166">
        <v>15</v>
      </c>
      <c r="W2456" s="166">
        <v>1</v>
      </c>
      <c r="X2456" s="164">
        <f>($L2456*'Pivot Objective'!$C$9^3)*V2456*W2456</f>
        <v>6763117.7699029921</v>
      </c>
      <c r="Y2456" s="166">
        <v>15</v>
      </c>
      <c r="Z2456" s="166">
        <v>1</v>
      </c>
      <c r="AA2456" s="164">
        <f>($L2456*'Pivot Objective'!$C$9^4)*Y2456*Z2456</f>
        <v>7729709.9807177205</v>
      </c>
      <c r="AB2456" s="166">
        <v>15</v>
      </c>
      <c r="AC2456" s="166">
        <v>1</v>
      </c>
      <c r="AD2456" s="164">
        <f>($L2456*'Pivot Objective'!$C$9^5)*AB2456*AC2456</f>
        <v>8834448.6106537469</v>
      </c>
      <c r="AE2456" s="166">
        <v>15</v>
      </c>
      <c r="AF2456" s="166">
        <v>1</v>
      </c>
      <c r="AG2456" s="164">
        <f>($L2456*'Pivot Objective'!$C$9^6)*AE2456*AF2456</f>
        <v>10097077.697478505</v>
      </c>
      <c r="AH2456" s="166">
        <v>15</v>
      </c>
      <c r="AI2456" s="166">
        <v>1</v>
      </c>
      <c r="AJ2456" s="164">
        <f>($L2456*'Pivot Objective'!$C$9^7)*AH2456*AI2456</f>
        <v>11540163.118496366</v>
      </c>
      <c r="AK2456" s="185">
        <f t="shared" si="271"/>
        <v>60589346.65853294</v>
      </c>
      <c r="AL2456" s="186">
        <f t="shared" si="272"/>
        <v>58824.608406342661</v>
      </c>
    </row>
    <row r="2457" spans="1:38" customFormat="1" ht="57.6" x14ac:dyDescent="0.3">
      <c r="A2457" s="140" t="s">
        <v>1488</v>
      </c>
      <c r="B2457" s="140">
        <v>4</v>
      </c>
      <c r="C2457" s="166" t="s">
        <v>697</v>
      </c>
      <c r="D2457" s="140" t="str">
        <f t="shared" si="268"/>
        <v>2</v>
      </c>
      <c r="E2457" s="166" t="s">
        <v>693</v>
      </c>
      <c r="F2457" s="140">
        <f t="shared" si="273"/>
        <v>4</v>
      </c>
      <c r="G2457" s="140" t="str">
        <f t="shared" si="269"/>
        <v>4.2.4</v>
      </c>
      <c r="H2457" s="166" t="s">
        <v>673</v>
      </c>
      <c r="I2457" s="166" t="s">
        <v>112</v>
      </c>
      <c r="J2457" s="166" t="s">
        <v>157</v>
      </c>
      <c r="K2457" s="166" t="s">
        <v>714</v>
      </c>
      <c r="L2457" s="177">
        <v>10000</v>
      </c>
      <c r="M2457" s="166">
        <v>15</v>
      </c>
      <c r="N2457" s="166">
        <v>1</v>
      </c>
      <c r="O2457" s="164">
        <f t="shared" si="270"/>
        <v>150000</v>
      </c>
      <c r="P2457" s="166">
        <v>15</v>
      </c>
      <c r="Q2457" s="166">
        <v>1</v>
      </c>
      <c r="R2457" s="164">
        <f>$L2457*'Pivot Objective'!$C$9*P2457*Q2457</f>
        <v>171438.16454999999</v>
      </c>
      <c r="S2457" s="166">
        <v>15</v>
      </c>
      <c r="T2457" s="166">
        <v>1</v>
      </c>
      <c r="U2457" s="164">
        <f>($L2457*'Pivot Objective'!$C$9^2)*S2457*T2457</f>
        <v>195940.29509515248</v>
      </c>
      <c r="V2457" s="166">
        <v>15</v>
      </c>
      <c r="W2457" s="166">
        <v>1</v>
      </c>
      <c r="X2457" s="164">
        <f>($L2457*'Pivot Objective'!$C$9^3)*V2457*W2457</f>
        <v>223944.29701665539</v>
      </c>
      <c r="Y2457" s="166">
        <v>15</v>
      </c>
      <c r="Z2457" s="166">
        <v>1</v>
      </c>
      <c r="AA2457" s="164">
        <f>($L2457*'Pivot Objective'!$C$9^4)*Y2457*Z2457</f>
        <v>255950.66161316959</v>
      </c>
      <c r="AB2457" s="166">
        <v>15</v>
      </c>
      <c r="AC2457" s="166">
        <v>1</v>
      </c>
      <c r="AD2457" s="164">
        <f>($L2457*'Pivot Objective'!$C$9^5)*AB2457*AC2457</f>
        <v>292531.41094879952</v>
      </c>
      <c r="AE2457" s="166">
        <v>15</v>
      </c>
      <c r="AF2457" s="166">
        <v>1</v>
      </c>
      <c r="AG2457" s="164">
        <f>($L2457*'Pivot Objective'!$C$9^6)*AE2457*AF2457</f>
        <v>334340.32110855979</v>
      </c>
      <c r="AH2457" s="166">
        <v>15</v>
      </c>
      <c r="AI2457" s="166">
        <v>1</v>
      </c>
      <c r="AJ2457" s="164">
        <f>($L2457*'Pivot Objective'!$C$9^7)*AH2457*AI2457</f>
        <v>382124.60657272732</v>
      </c>
      <c r="AK2457" s="185">
        <f t="shared" si="271"/>
        <v>2006269.756905064</v>
      </c>
      <c r="AL2457" s="186">
        <f t="shared" si="272"/>
        <v>1947.8347154418097</v>
      </c>
    </row>
    <row r="2458" spans="1:38" customFormat="1" ht="57.6" x14ac:dyDescent="0.3">
      <c r="A2458" s="140" t="s">
        <v>1488</v>
      </c>
      <c r="B2458" s="140">
        <v>4</v>
      </c>
      <c r="C2458" s="166" t="s">
        <v>697</v>
      </c>
      <c r="D2458" s="140" t="str">
        <f t="shared" si="268"/>
        <v>2</v>
      </c>
      <c r="E2458" s="166" t="s">
        <v>693</v>
      </c>
      <c r="F2458" s="140">
        <f t="shared" si="273"/>
        <v>4</v>
      </c>
      <c r="G2458" s="140" t="str">
        <f t="shared" si="269"/>
        <v>4.2.4</v>
      </c>
      <c r="H2458" s="166" t="s">
        <v>673</v>
      </c>
      <c r="I2458" s="166" t="s">
        <v>112</v>
      </c>
      <c r="J2458" s="166" t="s">
        <v>157</v>
      </c>
      <c r="K2458" s="166" t="s">
        <v>712</v>
      </c>
      <c r="L2458" s="177">
        <f>1480/7</f>
        <v>211.42857142857142</v>
      </c>
      <c r="M2458" s="166">
        <f>25*2*7</f>
        <v>350</v>
      </c>
      <c r="N2458" s="166">
        <v>5</v>
      </c>
      <c r="O2458" s="164">
        <f t="shared" si="270"/>
        <v>370000</v>
      </c>
      <c r="P2458" s="166">
        <f>25*2*7</f>
        <v>350</v>
      </c>
      <c r="Q2458" s="166">
        <v>5</v>
      </c>
      <c r="R2458" s="164">
        <f>$L2458*'Pivot Objective'!$C$9*P2458*Q2458</f>
        <v>422880.80588999996</v>
      </c>
      <c r="S2458" s="166">
        <f>25*2*7</f>
        <v>350</v>
      </c>
      <c r="T2458" s="166">
        <v>5</v>
      </c>
      <c r="U2458" s="164">
        <f>($L2458*'Pivot Objective'!$C$9^2)*S2458*T2458</f>
        <v>483319.39456804277</v>
      </c>
      <c r="V2458" s="166">
        <f>25*2*7</f>
        <v>350</v>
      </c>
      <c r="W2458" s="166">
        <v>5</v>
      </c>
      <c r="X2458" s="164">
        <f>($L2458*'Pivot Objective'!$C$9^3)*V2458*W2458</f>
        <v>552395.93264108314</v>
      </c>
      <c r="Y2458" s="166">
        <f>25*2*7</f>
        <v>350</v>
      </c>
      <c r="Z2458" s="166">
        <v>5</v>
      </c>
      <c r="AA2458" s="164">
        <f>($L2458*'Pivot Objective'!$C$9^4)*Y2458*Z2458</f>
        <v>631344.96531248488</v>
      </c>
      <c r="AB2458" s="166">
        <f>25*2*7</f>
        <v>350</v>
      </c>
      <c r="AC2458" s="166">
        <v>5</v>
      </c>
      <c r="AD2458" s="164">
        <f>($L2458*'Pivot Objective'!$C$9^5)*AB2458*AC2458</f>
        <v>721577.48034037207</v>
      </c>
      <c r="AE2458" s="166">
        <f>25*2*7</f>
        <v>350</v>
      </c>
      <c r="AF2458" s="166">
        <v>5</v>
      </c>
      <c r="AG2458" s="164">
        <f>($L2458*'Pivot Objective'!$C$9^6)*AE2458*AF2458</f>
        <v>824706.125401114</v>
      </c>
      <c r="AH2458" s="166">
        <f>25*2*7</f>
        <v>350</v>
      </c>
      <c r="AI2458" s="166">
        <v>5</v>
      </c>
      <c r="AJ2458" s="164">
        <f>($L2458*'Pivot Objective'!$C$9^7)*AH2458*AI2458</f>
        <v>942574.0295460606</v>
      </c>
      <c r="AK2458" s="185">
        <f t="shared" si="271"/>
        <v>4948798.7336991578</v>
      </c>
      <c r="AL2458" s="186">
        <f t="shared" si="272"/>
        <v>4804.6589647564642</v>
      </c>
    </row>
    <row r="2459" spans="1:38" customFormat="1" ht="57.6" x14ac:dyDescent="0.3">
      <c r="A2459" s="140" t="s">
        <v>1488</v>
      </c>
      <c r="B2459" s="140">
        <v>4</v>
      </c>
      <c r="C2459" s="166" t="s">
        <v>697</v>
      </c>
      <c r="D2459" s="140" t="str">
        <f t="shared" si="268"/>
        <v>2</v>
      </c>
      <c r="E2459" s="166" t="s">
        <v>693</v>
      </c>
      <c r="F2459" s="140">
        <f t="shared" si="273"/>
        <v>4</v>
      </c>
      <c r="G2459" s="140" t="str">
        <f t="shared" si="269"/>
        <v>4.2.4</v>
      </c>
      <c r="H2459" s="166" t="s">
        <v>673</v>
      </c>
      <c r="I2459" s="166" t="s">
        <v>112</v>
      </c>
      <c r="J2459" s="166" t="s">
        <v>157</v>
      </c>
      <c r="K2459" s="166" t="s">
        <v>1350</v>
      </c>
      <c r="L2459" s="177">
        <f>1480/7</f>
        <v>211.42857142857142</v>
      </c>
      <c r="M2459" s="166">
        <f>135*2*7</f>
        <v>1890</v>
      </c>
      <c r="N2459" s="166">
        <v>1</v>
      </c>
      <c r="O2459" s="164">
        <f t="shared" si="270"/>
        <v>399600</v>
      </c>
      <c r="P2459" s="166">
        <f>135*2*7</f>
        <v>1890</v>
      </c>
      <c r="Q2459" s="166">
        <v>1</v>
      </c>
      <c r="R2459" s="164">
        <f>$L2459*'Pivot Objective'!$C$9*P2459*Q2459</f>
        <v>456711.27036119992</v>
      </c>
      <c r="S2459" s="166">
        <f>135*2*7</f>
        <v>1890</v>
      </c>
      <c r="T2459" s="166">
        <v>1</v>
      </c>
      <c r="U2459" s="164">
        <f>($L2459*'Pivot Objective'!$C$9^2)*S2459*T2459</f>
        <v>521984.94613348623</v>
      </c>
      <c r="V2459" s="166">
        <f>135*2*7</f>
        <v>1890</v>
      </c>
      <c r="W2459" s="166">
        <v>1</v>
      </c>
      <c r="X2459" s="164">
        <f>($L2459*'Pivot Objective'!$C$9^3)*V2459*W2459</f>
        <v>596587.60725236987</v>
      </c>
      <c r="Y2459" s="166">
        <f>135*2*7</f>
        <v>1890</v>
      </c>
      <c r="Z2459" s="166">
        <v>1</v>
      </c>
      <c r="AA2459" s="164">
        <f>($L2459*'Pivot Objective'!$C$9^4)*Y2459*Z2459</f>
        <v>681852.56253748364</v>
      </c>
      <c r="AB2459" s="166">
        <f>135*2*7</f>
        <v>1890</v>
      </c>
      <c r="AC2459" s="166">
        <v>1</v>
      </c>
      <c r="AD2459" s="164">
        <f>($L2459*'Pivot Objective'!$C$9^5)*AB2459*AC2459</f>
        <v>779303.67876760196</v>
      </c>
      <c r="AE2459" s="166">
        <f>135*2*7</f>
        <v>1890</v>
      </c>
      <c r="AF2459" s="166">
        <v>1</v>
      </c>
      <c r="AG2459" s="164">
        <f>($L2459*'Pivot Objective'!$C$9^6)*AE2459*AF2459</f>
        <v>890682.61543320306</v>
      </c>
      <c r="AH2459" s="166">
        <f>135*2*7</f>
        <v>1890</v>
      </c>
      <c r="AI2459" s="166">
        <v>1</v>
      </c>
      <c r="AJ2459" s="164">
        <f>($L2459*'Pivot Objective'!$C$9^7)*AH2459*AI2459</f>
        <v>1017979.9519097456</v>
      </c>
      <c r="AK2459" s="185">
        <f t="shared" si="271"/>
        <v>5344702.6323950905</v>
      </c>
      <c r="AL2459" s="186">
        <f t="shared" si="272"/>
        <v>5189.0316819369809</v>
      </c>
    </row>
    <row r="2460" spans="1:38" customFormat="1" ht="57.6" x14ac:dyDescent="0.3">
      <c r="A2460" s="140" t="s">
        <v>1488</v>
      </c>
      <c r="B2460" s="140">
        <v>4</v>
      </c>
      <c r="C2460" s="166" t="s">
        <v>697</v>
      </c>
      <c r="D2460" s="140" t="str">
        <f t="shared" si="268"/>
        <v>2</v>
      </c>
      <c r="E2460" s="166" t="s">
        <v>693</v>
      </c>
      <c r="F2460" s="140">
        <f t="shared" si="273"/>
        <v>4</v>
      </c>
      <c r="G2460" s="140" t="str">
        <f t="shared" si="269"/>
        <v>4.2.4</v>
      </c>
      <c r="H2460" s="166" t="s">
        <v>673</v>
      </c>
      <c r="I2460" s="166" t="s">
        <v>112</v>
      </c>
      <c r="J2460" s="166" t="s">
        <v>152</v>
      </c>
      <c r="K2460" s="166" t="s">
        <v>716</v>
      </c>
      <c r="L2460" s="177">
        <v>39000</v>
      </c>
      <c r="M2460" s="166">
        <v>25</v>
      </c>
      <c r="N2460" s="166">
        <v>6</v>
      </c>
      <c r="O2460" s="164">
        <f t="shared" si="270"/>
        <v>5850000</v>
      </c>
      <c r="P2460" s="166">
        <v>25</v>
      </c>
      <c r="Q2460" s="166">
        <v>6</v>
      </c>
      <c r="R2460" s="164">
        <f>$L2460*'Pivot Objective'!$C$9*P2460*Q2460</f>
        <v>6686088.4174499996</v>
      </c>
      <c r="S2460" s="166">
        <v>25</v>
      </c>
      <c r="T2460" s="166">
        <v>6</v>
      </c>
      <c r="U2460" s="164">
        <f>($L2460*'Pivot Objective'!$C$9^2)*S2460*T2460</f>
        <v>7641671.5087109469</v>
      </c>
      <c r="V2460" s="166">
        <v>25</v>
      </c>
      <c r="W2460" s="166">
        <v>6</v>
      </c>
      <c r="X2460" s="164">
        <f>($L2460*'Pivot Objective'!$C$9^3)*V2460*W2460</f>
        <v>8733827.5836495608</v>
      </c>
      <c r="Y2460" s="166">
        <v>25</v>
      </c>
      <c r="Z2460" s="166">
        <v>6</v>
      </c>
      <c r="AA2460" s="164">
        <f>($L2460*'Pivot Objective'!$C$9^4)*Y2460*Z2460</f>
        <v>9982075.8029136136</v>
      </c>
      <c r="AB2460" s="166">
        <v>25</v>
      </c>
      <c r="AC2460" s="166">
        <v>6</v>
      </c>
      <c r="AD2460" s="164">
        <f>($L2460*'Pivot Objective'!$C$9^5)*AB2460*AC2460</f>
        <v>11408725.027003182</v>
      </c>
      <c r="AE2460" s="166">
        <v>25</v>
      </c>
      <c r="AF2460" s="166">
        <v>6</v>
      </c>
      <c r="AG2460" s="164">
        <f>($L2460*'Pivot Objective'!$C$9^6)*AE2460*AF2460</f>
        <v>13039272.523233831</v>
      </c>
      <c r="AH2460" s="166">
        <v>25</v>
      </c>
      <c r="AI2460" s="166">
        <v>6</v>
      </c>
      <c r="AJ2460" s="164">
        <f>($L2460*'Pivot Objective'!$C$9^7)*AH2460*AI2460</f>
        <v>14902859.656336365</v>
      </c>
      <c r="AK2460" s="185">
        <f t="shared" si="271"/>
        <v>78244520.519297495</v>
      </c>
      <c r="AL2460" s="186">
        <f t="shared" si="272"/>
        <v>75965.553902230575</v>
      </c>
    </row>
    <row r="2461" spans="1:38" customFormat="1" ht="57.6" x14ac:dyDescent="0.3">
      <c r="A2461" s="140" t="s">
        <v>1488</v>
      </c>
      <c r="B2461" s="140">
        <v>4</v>
      </c>
      <c r="C2461" s="166" t="s">
        <v>697</v>
      </c>
      <c r="D2461" s="140" t="str">
        <f t="shared" si="268"/>
        <v>2</v>
      </c>
      <c r="E2461" s="166" t="s">
        <v>693</v>
      </c>
      <c r="F2461" s="140">
        <f t="shared" si="273"/>
        <v>4</v>
      </c>
      <c r="G2461" s="140" t="str">
        <f t="shared" si="269"/>
        <v>4.2.4</v>
      </c>
      <c r="H2461" s="166" t="s">
        <v>673</v>
      </c>
      <c r="I2461" s="166" t="s">
        <v>112</v>
      </c>
      <c r="J2461" s="166" t="s">
        <v>152</v>
      </c>
      <c r="K2461" s="166" t="s">
        <v>709</v>
      </c>
      <c r="L2461" s="177">
        <v>35000</v>
      </c>
      <c r="M2461" s="166">
        <v>25</v>
      </c>
      <c r="N2461" s="166">
        <v>5</v>
      </c>
      <c r="O2461" s="164">
        <f t="shared" si="270"/>
        <v>4375000</v>
      </c>
      <c r="P2461" s="166">
        <v>25</v>
      </c>
      <c r="Q2461" s="166">
        <v>5</v>
      </c>
      <c r="R2461" s="164">
        <f>$L2461*'Pivot Objective'!$C$9*P2461*Q2461</f>
        <v>5000279.7993749995</v>
      </c>
      <c r="S2461" s="166">
        <v>25</v>
      </c>
      <c r="T2461" s="166">
        <v>5</v>
      </c>
      <c r="U2461" s="164">
        <f>($L2461*'Pivot Objective'!$C$9^2)*S2461*T2461</f>
        <v>5714925.2736086138</v>
      </c>
      <c r="V2461" s="166">
        <v>25</v>
      </c>
      <c r="W2461" s="166">
        <v>5</v>
      </c>
      <c r="X2461" s="164">
        <f>($L2461*'Pivot Objective'!$C$9^3)*V2461*W2461</f>
        <v>6531708.6629857821</v>
      </c>
      <c r="Y2461" s="166">
        <v>25</v>
      </c>
      <c r="Z2461" s="166">
        <v>5</v>
      </c>
      <c r="AA2461" s="164">
        <f>($L2461*'Pivot Objective'!$C$9^4)*Y2461*Z2461</f>
        <v>7465227.6303841127</v>
      </c>
      <c r="AB2461" s="166">
        <v>25</v>
      </c>
      <c r="AC2461" s="166">
        <v>5</v>
      </c>
      <c r="AD2461" s="164">
        <f>($L2461*'Pivot Objective'!$C$9^5)*AB2461*AC2461</f>
        <v>8532166.152673319</v>
      </c>
      <c r="AE2461" s="166">
        <v>25</v>
      </c>
      <c r="AF2461" s="166">
        <v>5</v>
      </c>
      <c r="AG2461" s="164">
        <f>($L2461*'Pivot Objective'!$C$9^6)*AE2461*AF2461</f>
        <v>9751592.6989996582</v>
      </c>
      <c r="AH2461" s="166">
        <v>25</v>
      </c>
      <c r="AI2461" s="166">
        <v>5</v>
      </c>
      <c r="AJ2461" s="164">
        <f>($L2461*'Pivot Objective'!$C$9^7)*AH2461*AI2461</f>
        <v>11145301.025037881</v>
      </c>
      <c r="AK2461" s="185">
        <f t="shared" si="271"/>
        <v>58516201.243064374</v>
      </c>
      <c r="AL2461" s="186">
        <f t="shared" si="272"/>
        <v>56811.845867052791</v>
      </c>
    </row>
    <row r="2462" spans="1:38" customFormat="1" ht="57.6" x14ac:dyDescent="0.3">
      <c r="A2462" s="140" t="s">
        <v>1488</v>
      </c>
      <c r="B2462" s="140">
        <v>4</v>
      </c>
      <c r="C2462" s="166" t="s">
        <v>697</v>
      </c>
      <c r="D2462" s="140" t="str">
        <f t="shared" si="268"/>
        <v>2</v>
      </c>
      <c r="E2462" s="166" t="s">
        <v>693</v>
      </c>
      <c r="F2462" s="140">
        <f t="shared" si="273"/>
        <v>4</v>
      </c>
      <c r="G2462" s="140" t="str">
        <f t="shared" si="269"/>
        <v>4.2.4</v>
      </c>
      <c r="H2462" s="166" t="s">
        <v>673</v>
      </c>
      <c r="I2462" s="166" t="s">
        <v>112</v>
      </c>
      <c r="J2462" s="166" t="s">
        <v>152</v>
      </c>
      <c r="K2462" s="166" t="s">
        <v>712</v>
      </c>
      <c r="L2462" s="177">
        <f>1480/7</f>
        <v>211.42857142857142</v>
      </c>
      <c r="M2462" s="166">
        <f>25*2*9</f>
        <v>450</v>
      </c>
      <c r="N2462" s="166">
        <v>5</v>
      </c>
      <c r="O2462" s="164">
        <f t="shared" si="270"/>
        <v>475714.28571428568</v>
      </c>
      <c r="P2462" s="166">
        <f>25*2*9</f>
        <v>450</v>
      </c>
      <c r="Q2462" s="166">
        <v>5</v>
      </c>
      <c r="R2462" s="164">
        <f>$L2462*'Pivot Objective'!$C$9*P2462*Q2462</f>
        <v>543703.89328714274</v>
      </c>
      <c r="S2462" s="166">
        <f>25*2*9</f>
        <v>450</v>
      </c>
      <c r="T2462" s="166">
        <v>5</v>
      </c>
      <c r="U2462" s="164">
        <f>($L2462*'Pivot Objective'!$C$9^2)*S2462*T2462</f>
        <v>621410.65015891218</v>
      </c>
      <c r="V2462" s="166">
        <f>25*2*9</f>
        <v>450</v>
      </c>
      <c r="W2462" s="166">
        <v>5</v>
      </c>
      <c r="X2462" s="164">
        <f>($L2462*'Pivot Objective'!$C$9^3)*V2462*W2462</f>
        <v>710223.34196710703</v>
      </c>
      <c r="Y2462" s="166">
        <f>25*2*9</f>
        <v>450</v>
      </c>
      <c r="Z2462" s="166">
        <v>5</v>
      </c>
      <c r="AA2462" s="164">
        <f>($L2462*'Pivot Objective'!$C$9^4)*Y2462*Z2462</f>
        <v>811729.24111605203</v>
      </c>
      <c r="AB2462" s="166">
        <f>25*2*9</f>
        <v>450</v>
      </c>
      <c r="AC2462" s="166">
        <v>5</v>
      </c>
      <c r="AD2462" s="164">
        <f>($L2462*'Pivot Objective'!$C$9^5)*AB2462*AC2462</f>
        <v>927742.47472333559</v>
      </c>
      <c r="AE2462" s="166">
        <f>25*2*9</f>
        <v>450</v>
      </c>
      <c r="AF2462" s="166">
        <v>5</v>
      </c>
      <c r="AG2462" s="164">
        <f>($L2462*'Pivot Objective'!$C$9^6)*AE2462*AF2462</f>
        <v>1060336.4469442894</v>
      </c>
      <c r="AH2462" s="166">
        <f>25*2*9</f>
        <v>450</v>
      </c>
      <c r="AI2462" s="166">
        <v>5</v>
      </c>
      <c r="AJ2462" s="164">
        <f>($L2462*'Pivot Objective'!$C$9^7)*AH2462*AI2462</f>
        <v>1211880.8951306494</v>
      </c>
      <c r="AK2462" s="185">
        <f t="shared" si="271"/>
        <v>6362741.2290417738</v>
      </c>
      <c r="AL2462" s="186">
        <f t="shared" si="272"/>
        <v>6177.4186689725957</v>
      </c>
    </row>
    <row r="2463" spans="1:38" customFormat="1" ht="57.6" x14ac:dyDescent="0.3">
      <c r="A2463" s="140" t="s">
        <v>1488</v>
      </c>
      <c r="B2463" s="140">
        <v>4</v>
      </c>
      <c r="C2463" s="166" t="s">
        <v>697</v>
      </c>
      <c r="D2463" s="140" t="str">
        <f t="shared" si="268"/>
        <v>2</v>
      </c>
      <c r="E2463" s="166" t="s">
        <v>693</v>
      </c>
      <c r="F2463" s="140">
        <f t="shared" si="273"/>
        <v>4</v>
      </c>
      <c r="G2463" s="140" t="str">
        <f t="shared" si="269"/>
        <v>4.2.4</v>
      </c>
      <c r="H2463" s="166" t="s">
        <v>673</v>
      </c>
      <c r="I2463" s="166" t="s">
        <v>112</v>
      </c>
      <c r="J2463" s="166" t="s">
        <v>152</v>
      </c>
      <c r="K2463" s="166" t="s">
        <v>1350</v>
      </c>
      <c r="L2463" s="177">
        <f>1480/7</f>
        <v>211.42857142857142</v>
      </c>
      <c r="M2463" s="166">
        <f>135*2*9</f>
        <v>2430</v>
      </c>
      <c r="N2463" s="166">
        <v>1</v>
      </c>
      <c r="O2463" s="164">
        <f t="shared" si="270"/>
        <v>513771.42857142852</v>
      </c>
      <c r="P2463" s="166">
        <f>135*2*9</f>
        <v>2430</v>
      </c>
      <c r="Q2463" s="166">
        <v>1</v>
      </c>
      <c r="R2463" s="164">
        <f>$L2463*'Pivot Objective'!$C$9*P2463*Q2463</f>
        <v>587200.20475011424</v>
      </c>
      <c r="S2463" s="166">
        <f>135*2*9</f>
        <v>2430</v>
      </c>
      <c r="T2463" s="166">
        <v>1</v>
      </c>
      <c r="U2463" s="164">
        <f>($L2463*'Pivot Objective'!$C$9^2)*S2463*T2463</f>
        <v>671123.50217162515</v>
      </c>
      <c r="V2463" s="166">
        <f>135*2*9</f>
        <v>2430</v>
      </c>
      <c r="W2463" s="166">
        <v>1</v>
      </c>
      <c r="X2463" s="164">
        <f>($L2463*'Pivot Objective'!$C$9^3)*V2463*W2463</f>
        <v>767041.20932447549</v>
      </c>
      <c r="Y2463" s="166">
        <f>135*2*9</f>
        <v>2430</v>
      </c>
      <c r="Z2463" s="166">
        <v>1</v>
      </c>
      <c r="AA2463" s="164">
        <f>($L2463*'Pivot Objective'!$C$9^4)*Y2463*Z2463</f>
        <v>876667.58040533611</v>
      </c>
      <c r="AB2463" s="166">
        <f>135*2*9</f>
        <v>2430</v>
      </c>
      <c r="AC2463" s="166">
        <v>1</v>
      </c>
      <c r="AD2463" s="164">
        <f>($L2463*'Pivot Objective'!$C$9^5)*AB2463*AC2463</f>
        <v>1001961.8727012025</v>
      </c>
      <c r="AE2463" s="166">
        <f>135*2*9</f>
        <v>2430</v>
      </c>
      <c r="AF2463" s="166">
        <v>1</v>
      </c>
      <c r="AG2463" s="164">
        <f>($L2463*'Pivot Objective'!$C$9^6)*AE2463*AF2463</f>
        <v>1145163.3626998325</v>
      </c>
      <c r="AH2463" s="166">
        <f>135*2*9</f>
        <v>2430</v>
      </c>
      <c r="AI2463" s="166">
        <v>1</v>
      </c>
      <c r="AJ2463" s="164">
        <f>($L2463*'Pivot Objective'!$C$9^7)*AH2463*AI2463</f>
        <v>1308831.3667411015</v>
      </c>
      <c r="AK2463" s="185">
        <f t="shared" si="271"/>
        <v>6871760.5273651164</v>
      </c>
      <c r="AL2463" s="186">
        <f t="shared" si="272"/>
        <v>6671.6121624904044</v>
      </c>
    </row>
    <row r="2464" spans="1:38" customFormat="1" ht="57.6" x14ac:dyDescent="0.3">
      <c r="A2464" s="140" t="s">
        <v>1488</v>
      </c>
      <c r="B2464" s="140">
        <v>4</v>
      </c>
      <c r="C2464" s="166" t="s">
        <v>697</v>
      </c>
      <c r="D2464" s="140" t="str">
        <f t="shared" si="268"/>
        <v>2</v>
      </c>
      <c r="E2464" s="166" t="s">
        <v>693</v>
      </c>
      <c r="F2464" s="140">
        <f t="shared" si="273"/>
        <v>4</v>
      </c>
      <c r="G2464" s="140" t="str">
        <f t="shared" si="269"/>
        <v>4.2.4</v>
      </c>
      <c r="H2464" s="166" t="s">
        <v>673</v>
      </c>
      <c r="I2464" s="166" t="s">
        <v>112</v>
      </c>
      <c r="J2464" s="166" t="s">
        <v>180</v>
      </c>
      <c r="K2464" s="166" t="s">
        <v>709</v>
      </c>
      <c r="L2464" s="177">
        <v>35000</v>
      </c>
      <c r="M2464" s="166">
        <v>25</v>
      </c>
      <c r="N2464" s="166">
        <v>5</v>
      </c>
      <c r="O2464" s="164">
        <f t="shared" si="270"/>
        <v>4375000</v>
      </c>
      <c r="P2464" s="166">
        <v>25</v>
      </c>
      <c r="Q2464" s="166">
        <v>5</v>
      </c>
      <c r="R2464" s="164">
        <f>$L2464*'Pivot Objective'!$C$9*P2464*Q2464</f>
        <v>5000279.7993749995</v>
      </c>
      <c r="S2464" s="166">
        <v>25</v>
      </c>
      <c r="T2464" s="166">
        <v>5</v>
      </c>
      <c r="U2464" s="164">
        <f>($L2464*'Pivot Objective'!$C$9^2)*S2464*T2464</f>
        <v>5714925.2736086138</v>
      </c>
      <c r="V2464" s="166">
        <v>25</v>
      </c>
      <c r="W2464" s="166">
        <v>5</v>
      </c>
      <c r="X2464" s="164">
        <f>($L2464*'Pivot Objective'!$C$9^3)*V2464*W2464</f>
        <v>6531708.6629857821</v>
      </c>
      <c r="Y2464" s="166">
        <v>25</v>
      </c>
      <c r="Z2464" s="166">
        <v>5</v>
      </c>
      <c r="AA2464" s="164">
        <f>($L2464*'Pivot Objective'!$C$9^4)*Y2464*Z2464</f>
        <v>7465227.6303841127</v>
      </c>
      <c r="AB2464" s="166">
        <v>25</v>
      </c>
      <c r="AC2464" s="166">
        <v>5</v>
      </c>
      <c r="AD2464" s="164">
        <f>($L2464*'Pivot Objective'!$C$9^5)*AB2464*AC2464</f>
        <v>8532166.152673319</v>
      </c>
      <c r="AE2464" s="166">
        <v>25</v>
      </c>
      <c r="AF2464" s="166">
        <v>5</v>
      </c>
      <c r="AG2464" s="164">
        <f>($L2464*'Pivot Objective'!$C$9^6)*AE2464*AF2464</f>
        <v>9751592.6989996582</v>
      </c>
      <c r="AH2464" s="166">
        <v>25</v>
      </c>
      <c r="AI2464" s="166">
        <v>5</v>
      </c>
      <c r="AJ2464" s="164">
        <f>($L2464*'Pivot Objective'!$C$9^7)*AH2464*AI2464</f>
        <v>11145301.025037881</v>
      </c>
      <c r="AK2464" s="185">
        <f t="shared" si="271"/>
        <v>58516201.243064374</v>
      </c>
      <c r="AL2464" s="186">
        <f t="shared" si="272"/>
        <v>56811.845867052791</v>
      </c>
    </row>
    <row r="2465" spans="1:38" customFormat="1" ht="57.6" x14ac:dyDescent="0.3">
      <c r="A2465" s="140" t="s">
        <v>1488</v>
      </c>
      <c r="B2465" s="140">
        <v>4</v>
      </c>
      <c r="C2465" s="166" t="s">
        <v>697</v>
      </c>
      <c r="D2465" s="140" t="str">
        <f t="shared" si="268"/>
        <v>2</v>
      </c>
      <c r="E2465" s="166" t="s">
        <v>693</v>
      </c>
      <c r="F2465" s="140">
        <f t="shared" si="273"/>
        <v>4</v>
      </c>
      <c r="G2465" s="140" t="str">
        <f t="shared" si="269"/>
        <v>4.2.4</v>
      </c>
      <c r="H2465" s="166" t="s">
        <v>673</v>
      </c>
      <c r="I2465" s="166" t="s">
        <v>112</v>
      </c>
      <c r="J2465" s="166" t="s">
        <v>180</v>
      </c>
      <c r="K2465" s="166" t="s">
        <v>1350</v>
      </c>
      <c r="L2465" s="177">
        <f>1480/7</f>
        <v>211.42857142857142</v>
      </c>
      <c r="M2465" s="166">
        <f>135*2*9</f>
        <v>2430</v>
      </c>
      <c r="N2465" s="166">
        <v>1</v>
      </c>
      <c r="O2465" s="164">
        <f t="shared" si="270"/>
        <v>513771.42857142852</v>
      </c>
      <c r="P2465" s="166">
        <f>135*2*9</f>
        <v>2430</v>
      </c>
      <c r="Q2465" s="166">
        <v>1</v>
      </c>
      <c r="R2465" s="164">
        <f>$L2465*'Pivot Objective'!$C$9*P2465*Q2465</f>
        <v>587200.20475011424</v>
      </c>
      <c r="S2465" s="166">
        <f>135*2*9</f>
        <v>2430</v>
      </c>
      <c r="T2465" s="166">
        <v>1</v>
      </c>
      <c r="U2465" s="164">
        <f>($L2465*'Pivot Objective'!$C$9^2)*S2465*T2465</f>
        <v>671123.50217162515</v>
      </c>
      <c r="V2465" s="166">
        <f>135*2*9</f>
        <v>2430</v>
      </c>
      <c r="W2465" s="166">
        <v>1</v>
      </c>
      <c r="X2465" s="164">
        <f>($L2465*'Pivot Objective'!$C$9^3)*V2465*W2465</f>
        <v>767041.20932447549</v>
      </c>
      <c r="Y2465" s="166">
        <f>135*2*9</f>
        <v>2430</v>
      </c>
      <c r="Z2465" s="166">
        <v>1</v>
      </c>
      <c r="AA2465" s="164">
        <f>($L2465*'Pivot Objective'!$C$9^4)*Y2465*Z2465</f>
        <v>876667.58040533611</v>
      </c>
      <c r="AB2465" s="166">
        <f>135*2*9</f>
        <v>2430</v>
      </c>
      <c r="AC2465" s="166">
        <v>1</v>
      </c>
      <c r="AD2465" s="164">
        <f>($L2465*'Pivot Objective'!$C$9^5)*AB2465*AC2465</f>
        <v>1001961.8727012025</v>
      </c>
      <c r="AE2465" s="166">
        <f>135*2*9</f>
        <v>2430</v>
      </c>
      <c r="AF2465" s="166">
        <v>1</v>
      </c>
      <c r="AG2465" s="164">
        <f>($L2465*'Pivot Objective'!$C$9^6)*AE2465*AF2465</f>
        <v>1145163.3626998325</v>
      </c>
      <c r="AH2465" s="166">
        <f>135*2*9</f>
        <v>2430</v>
      </c>
      <c r="AI2465" s="166">
        <v>1</v>
      </c>
      <c r="AJ2465" s="164">
        <f>($L2465*'Pivot Objective'!$C$9^7)*AH2465*AI2465</f>
        <v>1308831.3667411015</v>
      </c>
      <c r="AK2465" s="185">
        <f t="shared" si="271"/>
        <v>6871760.5273651164</v>
      </c>
      <c r="AL2465" s="186">
        <f t="shared" si="272"/>
        <v>6671.6121624904044</v>
      </c>
    </row>
    <row r="2466" spans="1:38" customFormat="1" ht="57.6" x14ac:dyDescent="0.3">
      <c r="A2466" s="140" t="s">
        <v>1488</v>
      </c>
      <c r="B2466" s="140">
        <v>4</v>
      </c>
      <c r="C2466" s="166" t="s">
        <v>697</v>
      </c>
      <c r="D2466" s="140" t="str">
        <f t="shared" si="268"/>
        <v>2</v>
      </c>
      <c r="E2466" s="166" t="s">
        <v>693</v>
      </c>
      <c r="F2466" s="140">
        <f t="shared" si="273"/>
        <v>4</v>
      </c>
      <c r="G2466" s="140" t="str">
        <f t="shared" si="269"/>
        <v>4.2.4</v>
      </c>
      <c r="H2466" s="166" t="s">
        <v>673</v>
      </c>
      <c r="I2466" s="166" t="s">
        <v>112</v>
      </c>
      <c r="J2466" s="166" t="s">
        <v>180</v>
      </c>
      <c r="K2466" s="166" t="s">
        <v>712</v>
      </c>
      <c r="L2466" s="177">
        <f>1480/7</f>
        <v>211.42857142857142</v>
      </c>
      <c r="M2466" s="166">
        <f>25*2*9</f>
        <v>450</v>
      </c>
      <c r="N2466" s="166">
        <v>5</v>
      </c>
      <c r="O2466" s="164">
        <f t="shared" si="270"/>
        <v>475714.28571428568</v>
      </c>
      <c r="P2466" s="166">
        <f>25*2*9</f>
        <v>450</v>
      </c>
      <c r="Q2466" s="166">
        <v>5</v>
      </c>
      <c r="R2466" s="164">
        <f>$L2466*'Pivot Objective'!$C$9*P2466*Q2466</f>
        <v>543703.89328714274</v>
      </c>
      <c r="S2466" s="166">
        <f>25*2*9</f>
        <v>450</v>
      </c>
      <c r="T2466" s="166">
        <v>5</v>
      </c>
      <c r="U2466" s="164">
        <f>($L2466*'Pivot Objective'!$C$9^2)*S2466*T2466</f>
        <v>621410.65015891218</v>
      </c>
      <c r="V2466" s="166">
        <f>25*2*9</f>
        <v>450</v>
      </c>
      <c r="W2466" s="166">
        <v>5</v>
      </c>
      <c r="X2466" s="164">
        <f>($L2466*'Pivot Objective'!$C$9^3)*V2466*W2466</f>
        <v>710223.34196710703</v>
      </c>
      <c r="Y2466" s="166">
        <f>25*2*9</f>
        <v>450</v>
      </c>
      <c r="Z2466" s="166">
        <v>5</v>
      </c>
      <c r="AA2466" s="164">
        <f>($L2466*'Pivot Objective'!$C$9^4)*Y2466*Z2466</f>
        <v>811729.24111605203</v>
      </c>
      <c r="AB2466" s="166">
        <f>25*2*9</f>
        <v>450</v>
      </c>
      <c r="AC2466" s="166">
        <v>5</v>
      </c>
      <c r="AD2466" s="164">
        <f>($L2466*'Pivot Objective'!$C$9^5)*AB2466*AC2466</f>
        <v>927742.47472333559</v>
      </c>
      <c r="AE2466" s="166">
        <f>25*2*9</f>
        <v>450</v>
      </c>
      <c r="AF2466" s="166">
        <v>5</v>
      </c>
      <c r="AG2466" s="164">
        <f>($L2466*'Pivot Objective'!$C$9^6)*AE2466*AF2466</f>
        <v>1060336.4469442894</v>
      </c>
      <c r="AH2466" s="166">
        <f>25*2*9</f>
        <v>450</v>
      </c>
      <c r="AI2466" s="166">
        <v>5</v>
      </c>
      <c r="AJ2466" s="164">
        <f>($L2466*'Pivot Objective'!$C$9^7)*AH2466*AI2466</f>
        <v>1211880.8951306494</v>
      </c>
      <c r="AK2466" s="185">
        <f t="shared" si="271"/>
        <v>6362741.2290417738</v>
      </c>
      <c r="AL2466" s="186">
        <f t="shared" si="272"/>
        <v>6177.4186689725957</v>
      </c>
    </row>
    <row r="2467" spans="1:38" customFormat="1" ht="57.6" x14ac:dyDescent="0.3">
      <c r="A2467" s="140" t="s">
        <v>1488</v>
      </c>
      <c r="B2467" s="140">
        <v>4</v>
      </c>
      <c r="C2467" s="166" t="s">
        <v>697</v>
      </c>
      <c r="D2467" s="140" t="str">
        <f t="shared" si="268"/>
        <v>2</v>
      </c>
      <c r="E2467" s="166" t="s">
        <v>693</v>
      </c>
      <c r="F2467" s="140">
        <f t="shared" si="273"/>
        <v>4</v>
      </c>
      <c r="G2467" s="140" t="str">
        <f t="shared" si="269"/>
        <v>4.2.4</v>
      </c>
      <c r="H2467" s="166" t="s">
        <v>673</v>
      </c>
      <c r="I2467" s="166" t="s">
        <v>112</v>
      </c>
      <c r="J2467" s="166" t="s">
        <v>170</v>
      </c>
      <c r="K2467" s="166" t="s">
        <v>709</v>
      </c>
      <c r="L2467" s="177">
        <v>35000</v>
      </c>
      <c r="M2467" s="166">
        <v>30</v>
      </c>
      <c r="N2467" s="166">
        <v>1</v>
      </c>
      <c r="O2467" s="164">
        <f t="shared" si="270"/>
        <v>1050000</v>
      </c>
      <c r="P2467" s="166">
        <v>30</v>
      </c>
      <c r="Q2467" s="166">
        <v>1</v>
      </c>
      <c r="R2467" s="164">
        <f>$L2467*'Pivot Objective'!$C$9*P2467*Q2467</f>
        <v>1200067.1518499998</v>
      </c>
      <c r="S2467" s="166">
        <v>30</v>
      </c>
      <c r="T2467" s="166">
        <v>1</v>
      </c>
      <c r="U2467" s="164">
        <f>($L2467*'Pivot Objective'!$C$9^2)*S2467*T2467</f>
        <v>1371582.0656660672</v>
      </c>
      <c r="V2467" s="166">
        <v>30</v>
      </c>
      <c r="W2467" s="166">
        <v>1</v>
      </c>
      <c r="X2467" s="164">
        <f>($L2467*'Pivot Objective'!$C$9^3)*V2467*W2467</f>
        <v>1567610.0791165878</v>
      </c>
      <c r="Y2467" s="166">
        <v>30</v>
      </c>
      <c r="Z2467" s="166">
        <v>1</v>
      </c>
      <c r="AA2467" s="164">
        <f>($L2467*'Pivot Objective'!$C$9^4)*Y2467*Z2467</f>
        <v>1791654.6312921871</v>
      </c>
      <c r="AB2467" s="166">
        <v>30</v>
      </c>
      <c r="AC2467" s="166">
        <v>1</v>
      </c>
      <c r="AD2467" s="164">
        <f>($L2467*'Pivot Objective'!$C$9^5)*AB2467*AC2467</f>
        <v>2047719.8766415964</v>
      </c>
      <c r="AE2467" s="166">
        <v>30</v>
      </c>
      <c r="AF2467" s="166">
        <v>1</v>
      </c>
      <c r="AG2467" s="164">
        <f>($L2467*'Pivot Objective'!$C$9^6)*AE2467*AF2467</f>
        <v>2340382.2477599182</v>
      </c>
      <c r="AH2467" s="166">
        <v>30</v>
      </c>
      <c r="AI2467" s="166">
        <v>1</v>
      </c>
      <c r="AJ2467" s="164">
        <f>($L2467*'Pivot Objective'!$C$9^7)*AH2467*AI2467</f>
        <v>2674872.2460090914</v>
      </c>
      <c r="AK2467" s="185">
        <f t="shared" si="271"/>
        <v>14043888.298335446</v>
      </c>
      <c r="AL2467" s="186">
        <f t="shared" si="272"/>
        <v>13634.843008092666</v>
      </c>
    </row>
    <row r="2468" spans="1:38" customFormat="1" ht="57.6" x14ac:dyDescent="0.3">
      <c r="A2468" s="140" t="s">
        <v>1488</v>
      </c>
      <c r="B2468" s="140">
        <v>4</v>
      </c>
      <c r="C2468" s="166" t="s">
        <v>697</v>
      </c>
      <c r="D2468" s="140" t="str">
        <f t="shared" si="268"/>
        <v>2</v>
      </c>
      <c r="E2468" s="166" t="s">
        <v>693</v>
      </c>
      <c r="F2468" s="140">
        <f t="shared" si="273"/>
        <v>4</v>
      </c>
      <c r="G2468" s="140" t="str">
        <f t="shared" si="269"/>
        <v>4.2.4</v>
      </c>
      <c r="H2468" s="166" t="s">
        <v>673</v>
      </c>
      <c r="I2468" s="166" t="s">
        <v>112</v>
      </c>
      <c r="J2468" s="166" t="s">
        <v>554</v>
      </c>
      <c r="K2468" s="166" t="s">
        <v>709</v>
      </c>
      <c r="L2468" s="177">
        <v>35000</v>
      </c>
      <c r="M2468" s="166">
        <v>30</v>
      </c>
      <c r="N2468" s="166">
        <v>1</v>
      </c>
      <c r="O2468" s="164">
        <f t="shared" si="270"/>
        <v>1050000</v>
      </c>
      <c r="P2468" s="166">
        <v>30</v>
      </c>
      <c r="Q2468" s="166">
        <v>1</v>
      </c>
      <c r="R2468" s="164">
        <f>$L2468*'Pivot Objective'!$C$9*P2468*Q2468</f>
        <v>1200067.1518499998</v>
      </c>
      <c r="S2468" s="166">
        <v>30</v>
      </c>
      <c r="T2468" s="166">
        <v>1</v>
      </c>
      <c r="U2468" s="164">
        <f>($L2468*'Pivot Objective'!$C$9^2)*S2468*T2468</f>
        <v>1371582.0656660672</v>
      </c>
      <c r="V2468" s="166">
        <v>30</v>
      </c>
      <c r="W2468" s="166">
        <v>1</v>
      </c>
      <c r="X2468" s="164">
        <f>($L2468*'Pivot Objective'!$C$9^3)*V2468*W2468</f>
        <v>1567610.0791165878</v>
      </c>
      <c r="Y2468" s="166">
        <v>30</v>
      </c>
      <c r="Z2468" s="166">
        <v>1</v>
      </c>
      <c r="AA2468" s="164">
        <f>($L2468*'Pivot Objective'!$C$9^4)*Y2468*Z2468</f>
        <v>1791654.6312921871</v>
      </c>
      <c r="AB2468" s="166">
        <v>30</v>
      </c>
      <c r="AC2468" s="166">
        <v>1</v>
      </c>
      <c r="AD2468" s="164">
        <f>($L2468*'Pivot Objective'!$C$9^5)*AB2468*AC2468</f>
        <v>2047719.8766415964</v>
      </c>
      <c r="AE2468" s="166">
        <v>30</v>
      </c>
      <c r="AF2468" s="166">
        <v>1</v>
      </c>
      <c r="AG2468" s="164">
        <f>($L2468*'Pivot Objective'!$C$9^6)*AE2468*AF2468</f>
        <v>2340382.2477599182</v>
      </c>
      <c r="AH2468" s="166">
        <v>30</v>
      </c>
      <c r="AI2468" s="166">
        <v>1</v>
      </c>
      <c r="AJ2468" s="164">
        <f>($L2468*'Pivot Objective'!$C$9^7)*AH2468*AI2468</f>
        <v>2674872.2460090914</v>
      </c>
      <c r="AK2468" s="185">
        <f t="shared" si="271"/>
        <v>14043888.298335446</v>
      </c>
      <c r="AL2468" s="186">
        <f t="shared" si="272"/>
        <v>13634.843008092666</v>
      </c>
    </row>
    <row r="2469" spans="1:38" customFormat="1" ht="57.6" x14ac:dyDescent="0.3">
      <c r="A2469" s="140" t="s">
        <v>1488</v>
      </c>
      <c r="B2469" s="140">
        <v>4</v>
      </c>
      <c r="C2469" s="166" t="s">
        <v>697</v>
      </c>
      <c r="D2469" s="140" t="str">
        <f t="shared" si="268"/>
        <v>2</v>
      </c>
      <c r="E2469" s="166" t="s">
        <v>693</v>
      </c>
      <c r="F2469" s="140">
        <f t="shared" si="273"/>
        <v>4</v>
      </c>
      <c r="G2469" s="140" t="str">
        <f t="shared" si="269"/>
        <v>4.2.4</v>
      </c>
      <c r="H2469" s="166" t="s">
        <v>673</v>
      </c>
      <c r="I2469" s="166" t="s">
        <v>112</v>
      </c>
      <c r="J2469" s="166" t="s">
        <v>562</v>
      </c>
      <c r="K2469" s="166" t="s">
        <v>718</v>
      </c>
      <c r="L2469" s="177">
        <v>0</v>
      </c>
      <c r="M2469" s="166">
        <v>0</v>
      </c>
      <c r="N2469" s="166">
        <v>0</v>
      </c>
      <c r="O2469" s="164">
        <f t="shared" si="270"/>
        <v>0</v>
      </c>
      <c r="P2469" s="166">
        <v>0</v>
      </c>
      <c r="Q2469" s="166">
        <v>0</v>
      </c>
      <c r="R2469" s="164">
        <f>$L2469*'Pivot Objective'!$C$9*P2469*Q2469</f>
        <v>0</v>
      </c>
      <c r="S2469" s="166">
        <v>0</v>
      </c>
      <c r="T2469" s="166">
        <v>0</v>
      </c>
      <c r="U2469" s="164">
        <f>($L2469*'Pivot Objective'!$C$9^2)*S2469*T2469</f>
        <v>0</v>
      </c>
      <c r="V2469" s="166">
        <v>0</v>
      </c>
      <c r="W2469" s="166">
        <v>0</v>
      </c>
      <c r="X2469" s="164">
        <f>($L2469*'Pivot Objective'!$C$9^3)*V2469*W2469</f>
        <v>0</v>
      </c>
      <c r="Y2469" s="166">
        <v>0</v>
      </c>
      <c r="Z2469" s="166">
        <v>0</v>
      </c>
      <c r="AA2469" s="164">
        <f>($L2469*'Pivot Objective'!$C$9^4)*Y2469*Z2469</f>
        <v>0</v>
      </c>
      <c r="AB2469" s="166">
        <v>0</v>
      </c>
      <c r="AC2469" s="166">
        <v>0</v>
      </c>
      <c r="AD2469" s="164">
        <f>($L2469*'Pivot Objective'!$C$9^5)*AB2469*AC2469</f>
        <v>0</v>
      </c>
      <c r="AE2469" s="166">
        <v>0</v>
      </c>
      <c r="AF2469" s="166">
        <v>0</v>
      </c>
      <c r="AG2469" s="164">
        <f>($L2469*'Pivot Objective'!$C$9^6)*AE2469*AF2469</f>
        <v>0</v>
      </c>
      <c r="AH2469" s="166">
        <v>0</v>
      </c>
      <c r="AI2469" s="166">
        <v>0</v>
      </c>
      <c r="AJ2469" s="164">
        <f>($L2469*'Pivot Objective'!$C$9^7)*AH2469*AI2469</f>
        <v>0</v>
      </c>
      <c r="AK2469" s="185">
        <f t="shared" si="271"/>
        <v>0</v>
      </c>
      <c r="AL2469" s="186">
        <f t="shared" si="272"/>
        <v>0</v>
      </c>
    </row>
    <row r="2470" spans="1:38" customFormat="1" ht="57.6" x14ac:dyDescent="0.3">
      <c r="A2470" s="140" t="s">
        <v>1488</v>
      </c>
      <c r="B2470" s="140">
        <v>4</v>
      </c>
      <c r="C2470" s="166" t="s">
        <v>697</v>
      </c>
      <c r="D2470" s="140" t="str">
        <f t="shared" si="268"/>
        <v>2</v>
      </c>
      <c r="E2470" s="166" t="s">
        <v>693</v>
      </c>
      <c r="F2470" s="140">
        <f t="shared" si="273"/>
        <v>4</v>
      </c>
      <c r="G2470" s="140" t="str">
        <f t="shared" si="269"/>
        <v>4.2.4</v>
      </c>
      <c r="H2470" s="166" t="s">
        <v>673</v>
      </c>
      <c r="I2470" s="166" t="s">
        <v>112</v>
      </c>
      <c r="J2470" s="166" t="s">
        <v>183</v>
      </c>
      <c r="K2470" s="166" t="s">
        <v>1297</v>
      </c>
      <c r="L2470" s="177">
        <v>8000</v>
      </c>
      <c r="M2470" s="166">
        <v>5</v>
      </c>
      <c r="N2470" s="166">
        <v>1</v>
      </c>
      <c r="O2470" s="164">
        <f t="shared" si="270"/>
        <v>40000</v>
      </c>
      <c r="P2470" s="166">
        <v>5</v>
      </c>
      <c r="Q2470" s="166">
        <v>1</v>
      </c>
      <c r="R2470" s="164">
        <f>$L2470*'Pivot Objective'!$C$9*P2470*Q2470</f>
        <v>45716.84388</v>
      </c>
      <c r="S2470" s="166">
        <v>5</v>
      </c>
      <c r="T2470" s="166">
        <v>1</v>
      </c>
      <c r="U2470" s="164">
        <f>($L2470*'Pivot Objective'!$C$9^2)*S2470*T2470</f>
        <v>52250.745358707325</v>
      </c>
      <c r="V2470" s="166">
        <v>5</v>
      </c>
      <c r="W2470" s="166">
        <v>1</v>
      </c>
      <c r="X2470" s="164">
        <f>($L2470*'Pivot Objective'!$C$9^3)*V2470*W2470</f>
        <v>59718.479204441435</v>
      </c>
      <c r="Y2470" s="166">
        <v>5</v>
      </c>
      <c r="Z2470" s="166">
        <v>1</v>
      </c>
      <c r="AA2470" s="164">
        <f>($L2470*'Pivot Objective'!$C$9^4)*Y2470*Z2470</f>
        <v>68253.509763511887</v>
      </c>
      <c r="AB2470" s="166">
        <v>5</v>
      </c>
      <c r="AC2470" s="166">
        <v>1</v>
      </c>
      <c r="AD2470" s="164">
        <f>($L2470*'Pivot Objective'!$C$9^5)*AB2470*AC2470</f>
        <v>78008.376253013208</v>
      </c>
      <c r="AE2470" s="166">
        <v>5</v>
      </c>
      <c r="AF2470" s="166">
        <v>1</v>
      </c>
      <c r="AG2470" s="164">
        <f>($L2470*'Pivot Objective'!$C$9^6)*AE2470*AF2470</f>
        <v>89157.418962282609</v>
      </c>
      <c r="AH2470" s="166">
        <v>5</v>
      </c>
      <c r="AI2470" s="166">
        <v>1</v>
      </c>
      <c r="AJ2470" s="164">
        <f>($L2470*'Pivot Objective'!$C$9^7)*AH2470*AI2470</f>
        <v>101899.89508606063</v>
      </c>
      <c r="AK2470" s="185">
        <f t="shared" si="271"/>
        <v>535005.26850801706</v>
      </c>
      <c r="AL2470" s="186">
        <f t="shared" si="272"/>
        <v>519.42259078448262</v>
      </c>
    </row>
    <row r="2471" spans="1:38" customFormat="1" ht="57.6" x14ac:dyDescent="0.3">
      <c r="A2471" s="140" t="s">
        <v>1488</v>
      </c>
      <c r="B2471" s="140">
        <v>4</v>
      </c>
      <c r="C2471" s="166" t="s">
        <v>697</v>
      </c>
      <c r="D2471" s="140" t="str">
        <f t="shared" si="268"/>
        <v>2</v>
      </c>
      <c r="E2471" s="166" t="s">
        <v>693</v>
      </c>
      <c r="F2471" s="140">
        <f t="shared" si="273"/>
        <v>4</v>
      </c>
      <c r="G2471" s="140" t="str">
        <f t="shared" si="269"/>
        <v>4.2.4</v>
      </c>
      <c r="H2471" s="166" t="s">
        <v>673</v>
      </c>
      <c r="I2471" s="166" t="s">
        <v>112</v>
      </c>
      <c r="J2471" s="166" t="s">
        <v>183</v>
      </c>
      <c r="K2471" s="166" t="s">
        <v>717</v>
      </c>
      <c r="L2471" s="177">
        <v>104850</v>
      </c>
      <c r="M2471" s="166">
        <v>1</v>
      </c>
      <c r="N2471" s="166">
        <v>1</v>
      </c>
      <c r="O2471" s="164">
        <f t="shared" si="270"/>
        <v>104850</v>
      </c>
      <c r="P2471" s="166">
        <v>1</v>
      </c>
      <c r="Q2471" s="166">
        <v>1</v>
      </c>
      <c r="R2471" s="164">
        <f>$L2471*'Pivot Objective'!$C$9*P2471*Q2471</f>
        <v>119835.27702044998</v>
      </c>
      <c r="S2471" s="166">
        <v>1</v>
      </c>
      <c r="T2471" s="166">
        <v>1</v>
      </c>
      <c r="U2471" s="164">
        <f>($L2471*'Pivot Objective'!$C$9^2)*S2471*T2471</f>
        <v>136962.26627151159</v>
      </c>
      <c r="V2471" s="166">
        <v>1</v>
      </c>
      <c r="W2471" s="166">
        <v>1</v>
      </c>
      <c r="X2471" s="164">
        <f>($L2471*'Pivot Objective'!$C$9^3)*V2471*W2471</f>
        <v>156537.0636146421</v>
      </c>
      <c r="Y2471" s="166">
        <v>1</v>
      </c>
      <c r="Z2471" s="166">
        <v>1</v>
      </c>
      <c r="AA2471" s="164">
        <f>($L2471*'Pivot Objective'!$C$9^4)*Y2471*Z2471</f>
        <v>178909.51246760553</v>
      </c>
      <c r="AB2471" s="166">
        <v>1</v>
      </c>
      <c r="AC2471" s="166">
        <v>1</v>
      </c>
      <c r="AD2471" s="164">
        <f>($L2471*'Pivot Objective'!$C$9^5)*AB2471*AC2471</f>
        <v>204479.45625321087</v>
      </c>
      <c r="AE2471" s="166">
        <v>1</v>
      </c>
      <c r="AF2471" s="166">
        <v>1</v>
      </c>
      <c r="AG2471" s="164">
        <f>($L2471*'Pivot Objective'!$C$9^6)*AE2471*AF2471</f>
        <v>233703.88445488326</v>
      </c>
      <c r="AH2471" s="166">
        <v>1</v>
      </c>
      <c r="AI2471" s="166">
        <v>1</v>
      </c>
      <c r="AJ2471" s="164">
        <f>($L2471*'Pivot Objective'!$C$9^7)*AH2471*AI2471</f>
        <v>267105.09999433643</v>
      </c>
      <c r="AK2471" s="185">
        <f t="shared" si="271"/>
        <v>1402382.5600766398</v>
      </c>
      <c r="AL2471" s="186">
        <f t="shared" si="272"/>
        <v>1361.5364660938251</v>
      </c>
    </row>
    <row r="2472" spans="1:38" customFormat="1" ht="57.6" x14ac:dyDescent="0.3">
      <c r="A2472" s="140" t="s">
        <v>1488</v>
      </c>
      <c r="B2472" s="140">
        <v>4</v>
      </c>
      <c r="C2472" s="166" t="s">
        <v>697</v>
      </c>
      <c r="D2472" s="140" t="str">
        <f t="shared" si="268"/>
        <v>2</v>
      </c>
      <c r="E2472" s="166" t="s">
        <v>693</v>
      </c>
      <c r="F2472" s="140">
        <f t="shared" si="273"/>
        <v>4</v>
      </c>
      <c r="G2472" s="140" t="str">
        <f t="shared" si="269"/>
        <v>4.2.4</v>
      </c>
      <c r="H2472" s="166" t="s">
        <v>673</v>
      </c>
      <c r="I2472" s="166" t="s">
        <v>112</v>
      </c>
      <c r="J2472" s="166" t="s">
        <v>183</v>
      </c>
      <c r="K2472" s="166" t="s">
        <v>709</v>
      </c>
      <c r="L2472" s="177">
        <v>35000</v>
      </c>
      <c r="M2472" s="166">
        <v>30</v>
      </c>
      <c r="N2472" s="166">
        <v>1</v>
      </c>
      <c r="O2472" s="164">
        <f t="shared" si="270"/>
        <v>1050000</v>
      </c>
      <c r="P2472" s="166">
        <v>30</v>
      </c>
      <c r="Q2472" s="166">
        <v>1</v>
      </c>
      <c r="R2472" s="164">
        <f>$L2472*'Pivot Objective'!$C$9*P2472*Q2472</f>
        <v>1200067.1518499998</v>
      </c>
      <c r="S2472" s="166">
        <v>30</v>
      </c>
      <c r="T2472" s="166">
        <v>1</v>
      </c>
      <c r="U2472" s="164">
        <f>($L2472*'Pivot Objective'!$C$9^2)*S2472*T2472</f>
        <v>1371582.0656660672</v>
      </c>
      <c r="V2472" s="166">
        <v>30</v>
      </c>
      <c r="W2472" s="166">
        <v>1</v>
      </c>
      <c r="X2472" s="164">
        <f>($L2472*'Pivot Objective'!$C$9^3)*V2472*W2472</f>
        <v>1567610.0791165878</v>
      </c>
      <c r="Y2472" s="166">
        <v>30</v>
      </c>
      <c r="Z2472" s="166">
        <v>1</v>
      </c>
      <c r="AA2472" s="164">
        <f>($L2472*'Pivot Objective'!$C$9^4)*Y2472*Z2472</f>
        <v>1791654.6312921871</v>
      </c>
      <c r="AB2472" s="166">
        <v>30</v>
      </c>
      <c r="AC2472" s="166">
        <v>1</v>
      </c>
      <c r="AD2472" s="164">
        <f>($L2472*'Pivot Objective'!$C$9^5)*AB2472*AC2472</f>
        <v>2047719.8766415964</v>
      </c>
      <c r="AE2472" s="166">
        <v>30</v>
      </c>
      <c r="AF2472" s="166">
        <v>1</v>
      </c>
      <c r="AG2472" s="164">
        <f>($L2472*'Pivot Objective'!$C$9^6)*AE2472*AF2472</f>
        <v>2340382.2477599182</v>
      </c>
      <c r="AH2472" s="166">
        <v>30</v>
      </c>
      <c r="AI2472" s="166">
        <v>1</v>
      </c>
      <c r="AJ2472" s="164">
        <f>($L2472*'Pivot Objective'!$C$9^7)*AH2472*AI2472</f>
        <v>2674872.2460090914</v>
      </c>
      <c r="AK2472" s="185">
        <f t="shared" si="271"/>
        <v>14043888.298335446</v>
      </c>
      <c r="AL2472" s="186">
        <f t="shared" si="272"/>
        <v>13634.843008092666</v>
      </c>
    </row>
    <row r="2473" spans="1:38" customFormat="1" ht="57.6" x14ac:dyDescent="0.3">
      <c r="A2473" s="140" t="s">
        <v>1488</v>
      </c>
      <c r="B2473" s="140">
        <v>4</v>
      </c>
      <c r="C2473" s="166" t="s">
        <v>697</v>
      </c>
      <c r="D2473" s="140" t="str">
        <f t="shared" si="268"/>
        <v>2</v>
      </c>
      <c r="E2473" s="166" t="s">
        <v>693</v>
      </c>
      <c r="F2473" s="140">
        <f t="shared" si="273"/>
        <v>4</v>
      </c>
      <c r="G2473" s="140" t="str">
        <f t="shared" si="269"/>
        <v>4.2.4</v>
      </c>
      <c r="H2473" s="166" t="s">
        <v>673</v>
      </c>
      <c r="I2473" s="166" t="s">
        <v>113</v>
      </c>
      <c r="J2473" s="166" t="s">
        <v>563</v>
      </c>
      <c r="K2473" s="166" t="s">
        <v>718</v>
      </c>
      <c r="L2473" s="177">
        <v>0</v>
      </c>
      <c r="M2473" s="166">
        <v>0</v>
      </c>
      <c r="N2473" s="166">
        <v>0</v>
      </c>
      <c r="O2473" s="164">
        <f t="shared" si="270"/>
        <v>0</v>
      </c>
      <c r="P2473" s="166">
        <v>0</v>
      </c>
      <c r="Q2473" s="166">
        <v>0</v>
      </c>
      <c r="R2473" s="164">
        <f>$L2473*'Pivot Objective'!$C$9*P2473*Q2473</f>
        <v>0</v>
      </c>
      <c r="S2473" s="166">
        <v>0</v>
      </c>
      <c r="T2473" s="166">
        <v>0</v>
      </c>
      <c r="U2473" s="164">
        <f>($L2473*'Pivot Objective'!$C$9^2)*S2473*T2473</f>
        <v>0</v>
      </c>
      <c r="V2473" s="166">
        <v>0</v>
      </c>
      <c r="W2473" s="166">
        <v>0</v>
      </c>
      <c r="X2473" s="164">
        <f>($L2473*'Pivot Objective'!$C$9^3)*V2473*W2473</f>
        <v>0</v>
      </c>
      <c r="Y2473" s="166">
        <v>0</v>
      </c>
      <c r="Z2473" s="166">
        <v>0</v>
      </c>
      <c r="AA2473" s="164">
        <f>($L2473*'Pivot Objective'!$C$9^4)*Y2473*Z2473</f>
        <v>0</v>
      </c>
      <c r="AB2473" s="166">
        <v>0</v>
      </c>
      <c r="AC2473" s="166">
        <v>0</v>
      </c>
      <c r="AD2473" s="164">
        <f>($L2473*'Pivot Objective'!$C$9^5)*AB2473*AC2473</f>
        <v>0</v>
      </c>
      <c r="AE2473" s="166">
        <v>0</v>
      </c>
      <c r="AF2473" s="166">
        <v>0</v>
      </c>
      <c r="AG2473" s="164">
        <f>($L2473*'Pivot Objective'!$C$9^6)*AE2473*AF2473</f>
        <v>0</v>
      </c>
      <c r="AH2473" s="166">
        <v>0</v>
      </c>
      <c r="AI2473" s="166">
        <v>0</v>
      </c>
      <c r="AJ2473" s="164">
        <f>($L2473*'Pivot Objective'!$C$9^7)*AH2473*AI2473</f>
        <v>0</v>
      </c>
      <c r="AK2473" s="185">
        <f t="shared" si="271"/>
        <v>0</v>
      </c>
      <c r="AL2473" s="186">
        <f t="shared" si="272"/>
        <v>0</v>
      </c>
    </row>
    <row r="2474" spans="1:38" customFormat="1" ht="57.6" x14ac:dyDescent="0.3">
      <c r="A2474" s="140" t="s">
        <v>1488</v>
      </c>
      <c r="B2474" s="140">
        <v>4</v>
      </c>
      <c r="C2474" s="166" t="s">
        <v>697</v>
      </c>
      <c r="D2474" s="140" t="str">
        <f t="shared" si="268"/>
        <v>2</v>
      </c>
      <c r="E2474" s="166" t="s">
        <v>693</v>
      </c>
      <c r="F2474" s="140">
        <f t="shared" si="273"/>
        <v>4</v>
      </c>
      <c r="G2474" s="140" t="str">
        <f t="shared" si="269"/>
        <v>4.2.4</v>
      </c>
      <c r="H2474" s="166" t="s">
        <v>673</v>
      </c>
      <c r="I2474" s="166" t="s">
        <v>113</v>
      </c>
      <c r="J2474" s="166" t="s">
        <v>149</v>
      </c>
      <c r="K2474" s="166" t="s">
        <v>707</v>
      </c>
      <c r="L2474" s="177">
        <v>391991.03749999998</v>
      </c>
      <c r="M2474" s="166">
        <v>2</v>
      </c>
      <c r="N2474" s="166">
        <v>2</v>
      </c>
      <c r="O2474" s="164">
        <f t="shared" si="270"/>
        <v>1567964.15</v>
      </c>
      <c r="P2474" s="166">
        <v>1</v>
      </c>
      <c r="Q2474" s="166">
        <v>6</v>
      </c>
      <c r="R2474" s="164">
        <f>$L2474*'Pivot Objective'!$C$9*P2474*Q2474</f>
        <v>2688088.9595620083</v>
      </c>
      <c r="S2474" s="166">
        <v>1</v>
      </c>
      <c r="T2474" s="166">
        <v>6</v>
      </c>
      <c r="U2474" s="164">
        <f>($L2474*'Pivot Objective'!$C$9^2)*S2474*T2474</f>
        <v>3072273.5824961993</v>
      </c>
      <c r="V2474" s="166">
        <v>0</v>
      </c>
      <c r="W2474" s="166">
        <v>0</v>
      </c>
      <c r="X2474" s="164">
        <f>($L2474*'Pivot Objective'!$C$9^3)*V2474*W2474</f>
        <v>0</v>
      </c>
      <c r="Y2474" s="166">
        <v>0</v>
      </c>
      <c r="Z2474" s="166">
        <v>0</v>
      </c>
      <c r="AA2474" s="164">
        <f>($L2474*'Pivot Objective'!$C$9^4)*Y2474*Z2474</f>
        <v>0</v>
      </c>
      <c r="AB2474" s="166">
        <v>0</v>
      </c>
      <c r="AC2474" s="166">
        <v>0</v>
      </c>
      <c r="AD2474" s="164">
        <f>($L2474*'Pivot Objective'!$C$9^5)*AB2474*AC2474</f>
        <v>0</v>
      </c>
      <c r="AE2474" s="166">
        <v>0</v>
      </c>
      <c r="AF2474" s="166">
        <v>0</v>
      </c>
      <c r="AG2474" s="164">
        <f>($L2474*'Pivot Objective'!$C$9^6)*AE2474*AF2474</f>
        <v>0</v>
      </c>
      <c r="AH2474" s="166">
        <v>0</v>
      </c>
      <c r="AI2474" s="166">
        <v>0</v>
      </c>
      <c r="AJ2474" s="164">
        <f>($L2474*'Pivot Objective'!$C$9^7)*AH2474*AI2474</f>
        <v>0</v>
      </c>
      <c r="AK2474" s="185">
        <f t="shared" si="271"/>
        <v>7328326.6920582075</v>
      </c>
      <c r="AL2474" s="186">
        <f t="shared" si="272"/>
        <v>7114.8802835516581</v>
      </c>
    </row>
    <row r="2475" spans="1:38" customFormat="1" ht="57.6" x14ac:dyDescent="0.3">
      <c r="A2475" s="140" t="s">
        <v>1488</v>
      </c>
      <c r="B2475" s="140">
        <v>4</v>
      </c>
      <c r="C2475" s="166" t="s">
        <v>697</v>
      </c>
      <c r="D2475" s="140" t="str">
        <f t="shared" si="268"/>
        <v>2</v>
      </c>
      <c r="E2475" s="166" t="s">
        <v>693</v>
      </c>
      <c r="F2475" s="140">
        <f t="shared" si="273"/>
        <v>4</v>
      </c>
      <c r="G2475" s="140" t="str">
        <f t="shared" si="269"/>
        <v>4.2.4</v>
      </c>
      <c r="H2475" s="166" t="s">
        <v>673</v>
      </c>
      <c r="I2475" s="166" t="s">
        <v>113</v>
      </c>
      <c r="J2475" s="166" t="s">
        <v>149</v>
      </c>
      <c r="K2475" s="166" t="s">
        <v>720</v>
      </c>
      <c r="L2475" s="177">
        <f>980*1022</f>
        <v>1001560</v>
      </c>
      <c r="M2475" s="166">
        <v>1</v>
      </c>
      <c r="N2475" s="166">
        <v>25</v>
      </c>
      <c r="O2475" s="164">
        <f t="shared" si="270"/>
        <v>25039000</v>
      </c>
      <c r="P2475" s="166">
        <v>1</v>
      </c>
      <c r="Q2475" s="166">
        <v>40</v>
      </c>
      <c r="R2475" s="164">
        <f>$L2475*'Pivot Objective'!$C$9*P2475*Q2475</f>
        <v>45788162.156452797</v>
      </c>
      <c r="S2475" s="166">
        <v>1</v>
      </c>
      <c r="T2475" s="166">
        <v>40</v>
      </c>
      <c r="U2475" s="164">
        <f>($L2475*'Pivot Objective'!$C$9^2)*S2475*T2475</f>
        <v>52332256.521466911</v>
      </c>
      <c r="V2475" s="166">
        <v>0</v>
      </c>
      <c r="W2475" s="166">
        <v>0</v>
      </c>
      <c r="X2475" s="164">
        <f>($L2475*'Pivot Objective'!$C$9^3)*V2475*W2475</f>
        <v>0</v>
      </c>
      <c r="Y2475" s="166">
        <v>0</v>
      </c>
      <c r="Z2475" s="166">
        <v>0</v>
      </c>
      <c r="AA2475" s="164">
        <f>($L2475*'Pivot Objective'!$C$9^4)*Y2475*Z2475</f>
        <v>0</v>
      </c>
      <c r="AB2475" s="166">
        <v>0</v>
      </c>
      <c r="AC2475" s="166">
        <v>0</v>
      </c>
      <c r="AD2475" s="164">
        <f>($L2475*'Pivot Objective'!$C$9^5)*AB2475*AC2475</f>
        <v>0</v>
      </c>
      <c r="AE2475" s="166">
        <v>0</v>
      </c>
      <c r="AF2475" s="166">
        <v>0</v>
      </c>
      <c r="AG2475" s="164">
        <f>($L2475*'Pivot Objective'!$C$9^6)*AE2475*AF2475</f>
        <v>0</v>
      </c>
      <c r="AH2475" s="166">
        <v>0</v>
      </c>
      <c r="AI2475" s="166">
        <v>0</v>
      </c>
      <c r="AJ2475" s="164">
        <f>($L2475*'Pivot Objective'!$C$9^7)*AH2475*AI2475</f>
        <v>0</v>
      </c>
      <c r="AK2475" s="185">
        <f t="shared" si="271"/>
        <v>123159418.67791972</v>
      </c>
      <c r="AL2475" s="186">
        <f t="shared" si="272"/>
        <v>119572.25114361137</v>
      </c>
    </row>
    <row r="2476" spans="1:38" customFormat="1" ht="57.6" x14ac:dyDescent="0.3">
      <c r="A2476" s="140" t="s">
        <v>1488</v>
      </c>
      <c r="B2476" s="140">
        <v>4</v>
      </c>
      <c r="C2476" s="166" t="s">
        <v>697</v>
      </c>
      <c r="D2476" s="140" t="str">
        <f t="shared" si="268"/>
        <v>2</v>
      </c>
      <c r="E2476" s="166" t="s">
        <v>693</v>
      </c>
      <c r="F2476" s="140">
        <f t="shared" si="273"/>
        <v>4</v>
      </c>
      <c r="G2476" s="140" t="str">
        <f t="shared" si="269"/>
        <v>4.2.4</v>
      </c>
      <c r="H2476" s="166" t="s">
        <v>673</v>
      </c>
      <c r="I2476" s="166" t="s">
        <v>113</v>
      </c>
      <c r="J2476" s="166" t="s">
        <v>558</v>
      </c>
      <c r="K2476" s="166" t="s">
        <v>716</v>
      </c>
      <c r="L2476" s="177">
        <v>39000</v>
      </c>
      <c r="M2476" s="166">
        <v>30</v>
      </c>
      <c r="N2476" s="166">
        <v>6</v>
      </c>
      <c r="O2476" s="164">
        <f t="shared" si="270"/>
        <v>7020000</v>
      </c>
      <c r="P2476" s="166">
        <v>20</v>
      </c>
      <c r="Q2476" s="166">
        <v>10</v>
      </c>
      <c r="R2476" s="164">
        <f>$L2476*'Pivot Objective'!$C$9*P2476*Q2476</f>
        <v>8914784.5565999988</v>
      </c>
      <c r="S2476" s="166">
        <v>20</v>
      </c>
      <c r="T2476" s="166">
        <v>10</v>
      </c>
      <c r="U2476" s="164">
        <f>($L2476*'Pivot Objective'!$C$9^2)*S2476*T2476</f>
        <v>10188895.344947929</v>
      </c>
      <c r="V2476" s="166">
        <v>0</v>
      </c>
      <c r="W2476" s="166">
        <v>0</v>
      </c>
      <c r="X2476" s="164">
        <f>($L2476*'Pivot Objective'!$C$9^3)*V2476*W2476</f>
        <v>0</v>
      </c>
      <c r="Y2476" s="166">
        <v>0</v>
      </c>
      <c r="Z2476" s="166">
        <v>0</v>
      </c>
      <c r="AA2476" s="164">
        <f>($L2476*'Pivot Objective'!$C$9^4)*Y2476*Z2476</f>
        <v>0</v>
      </c>
      <c r="AB2476" s="166">
        <v>0</v>
      </c>
      <c r="AC2476" s="166">
        <v>0</v>
      </c>
      <c r="AD2476" s="164">
        <f>($L2476*'Pivot Objective'!$C$9^5)*AB2476*AC2476</f>
        <v>0</v>
      </c>
      <c r="AE2476" s="166">
        <v>0</v>
      </c>
      <c r="AF2476" s="166">
        <v>0</v>
      </c>
      <c r="AG2476" s="164">
        <f>($L2476*'Pivot Objective'!$C$9^6)*AE2476*AF2476</f>
        <v>0</v>
      </c>
      <c r="AH2476" s="166">
        <v>0</v>
      </c>
      <c r="AI2476" s="166">
        <v>0</v>
      </c>
      <c r="AJ2476" s="164">
        <f>($L2476*'Pivot Objective'!$C$9^7)*AH2476*AI2476</f>
        <v>0</v>
      </c>
      <c r="AK2476" s="185">
        <f t="shared" si="271"/>
        <v>26123679.901547927</v>
      </c>
      <c r="AL2476" s="186">
        <f t="shared" si="272"/>
        <v>25362.796020920319</v>
      </c>
    </row>
    <row r="2477" spans="1:38" customFormat="1" ht="57.6" x14ac:dyDescent="0.3">
      <c r="A2477" s="140" t="s">
        <v>1488</v>
      </c>
      <c r="B2477" s="140">
        <v>4</v>
      </c>
      <c r="C2477" s="166" t="s">
        <v>697</v>
      </c>
      <c r="D2477" s="140" t="str">
        <f t="shared" ref="D2477:D2540" si="274">RIGHT(A2477,1)</f>
        <v>2</v>
      </c>
      <c r="E2477" s="166" t="s">
        <v>693</v>
      </c>
      <c r="F2477" s="140">
        <f t="shared" si="273"/>
        <v>4</v>
      </c>
      <c r="G2477" s="140" t="str">
        <f t="shared" si="269"/>
        <v>4.2.4</v>
      </c>
      <c r="H2477" s="166" t="s">
        <v>673</v>
      </c>
      <c r="I2477" s="166" t="s">
        <v>113</v>
      </c>
      <c r="J2477" s="166" t="s">
        <v>558</v>
      </c>
      <c r="K2477" s="166" t="s">
        <v>709</v>
      </c>
      <c r="L2477" s="177">
        <v>35000</v>
      </c>
      <c r="M2477" s="166">
        <v>30</v>
      </c>
      <c r="N2477" s="166">
        <v>5</v>
      </c>
      <c r="O2477" s="164">
        <f t="shared" si="270"/>
        <v>5250000</v>
      </c>
      <c r="P2477" s="166">
        <v>20</v>
      </c>
      <c r="Q2477" s="166">
        <v>10</v>
      </c>
      <c r="R2477" s="164">
        <f>$L2477*'Pivot Objective'!$C$9*P2477*Q2477</f>
        <v>8000447.6789999986</v>
      </c>
      <c r="S2477" s="166">
        <v>20</v>
      </c>
      <c r="T2477" s="166">
        <v>10</v>
      </c>
      <c r="U2477" s="164">
        <f>($L2477*'Pivot Objective'!$C$9^2)*S2477*T2477</f>
        <v>9143880.4377737809</v>
      </c>
      <c r="V2477" s="166">
        <v>0</v>
      </c>
      <c r="W2477" s="166">
        <v>0</v>
      </c>
      <c r="X2477" s="164">
        <f>($L2477*'Pivot Objective'!$C$9^3)*V2477*W2477</f>
        <v>0</v>
      </c>
      <c r="Y2477" s="166">
        <v>0</v>
      </c>
      <c r="Z2477" s="166">
        <v>0</v>
      </c>
      <c r="AA2477" s="164">
        <f>($L2477*'Pivot Objective'!$C$9^4)*Y2477*Z2477</f>
        <v>0</v>
      </c>
      <c r="AB2477" s="166">
        <v>0</v>
      </c>
      <c r="AC2477" s="166">
        <v>0</v>
      </c>
      <c r="AD2477" s="164">
        <f>($L2477*'Pivot Objective'!$C$9^5)*AB2477*AC2477</f>
        <v>0</v>
      </c>
      <c r="AE2477" s="166">
        <v>0</v>
      </c>
      <c r="AF2477" s="166">
        <v>0</v>
      </c>
      <c r="AG2477" s="164">
        <f>($L2477*'Pivot Objective'!$C$9^6)*AE2477*AF2477</f>
        <v>0</v>
      </c>
      <c r="AH2477" s="166">
        <v>0</v>
      </c>
      <c r="AI2477" s="166">
        <v>0</v>
      </c>
      <c r="AJ2477" s="164">
        <f>($L2477*'Pivot Objective'!$C$9^7)*AH2477*AI2477</f>
        <v>0</v>
      </c>
      <c r="AK2477" s="185">
        <f t="shared" si="271"/>
        <v>22394328.116773777</v>
      </c>
      <c r="AL2477" s="186">
        <f t="shared" si="272"/>
        <v>21742.066132790074</v>
      </c>
    </row>
    <row r="2478" spans="1:38" customFormat="1" ht="57.6" x14ac:dyDescent="0.3">
      <c r="A2478" s="140" t="s">
        <v>1488</v>
      </c>
      <c r="B2478" s="140">
        <v>4</v>
      </c>
      <c r="C2478" s="166" t="s">
        <v>697</v>
      </c>
      <c r="D2478" s="140" t="str">
        <f t="shared" si="274"/>
        <v>2</v>
      </c>
      <c r="E2478" s="166" t="s">
        <v>693</v>
      </c>
      <c r="F2478" s="140">
        <f t="shared" si="273"/>
        <v>4</v>
      </c>
      <c r="G2478" s="140" t="str">
        <f t="shared" ref="G2478:G2541" si="275">B2478&amp;"."&amp;D2478&amp;"."&amp;F2478</f>
        <v>4.2.4</v>
      </c>
      <c r="H2478" s="166" t="s">
        <v>673</v>
      </c>
      <c r="I2478" s="166" t="s">
        <v>113</v>
      </c>
      <c r="J2478" s="166" t="s">
        <v>558</v>
      </c>
      <c r="K2478" s="166" t="s">
        <v>712</v>
      </c>
      <c r="L2478" s="177">
        <f>1480/7</f>
        <v>211.42857142857142</v>
      </c>
      <c r="M2478" s="166">
        <f>25*2*10</f>
        <v>500</v>
      </c>
      <c r="N2478" s="166">
        <v>5</v>
      </c>
      <c r="O2478" s="164">
        <f t="shared" si="270"/>
        <v>528571.42857142852</v>
      </c>
      <c r="P2478" s="166">
        <v>4000</v>
      </c>
      <c r="Q2478" s="166">
        <v>1</v>
      </c>
      <c r="R2478" s="164">
        <f>$L2478*'Pivot Objective'!$C$9*P2478*Q2478</f>
        <v>966584.6991771427</v>
      </c>
      <c r="S2478" s="166">
        <v>4000</v>
      </c>
      <c r="T2478" s="166">
        <v>1</v>
      </c>
      <c r="U2478" s="164">
        <f>($L2478*'Pivot Objective'!$C$9^2)*S2478*T2478</f>
        <v>1104730.044726955</v>
      </c>
      <c r="V2478" s="166">
        <v>0</v>
      </c>
      <c r="W2478" s="166">
        <v>0</v>
      </c>
      <c r="X2478" s="164">
        <f>($L2478*'Pivot Objective'!$C$9^3)*V2478*W2478</f>
        <v>0</v>
      </c>
      <c r="Y2478" s="166">
        <v>0</v>
      </c>
      <c r="Z2478" s="166">
        <v>0</v>
      </c>
      <c r="AA2478" s="164">
        <f>($L2478*'Pivot Objective'!$C$9^4)*Y2478*Z2478</f>
        <v>0</v>
      </c>
      <c r="AB2478" s="166">
        <v>0</v>
      </c>
      <c r="AC2478" s="166">
        <v>0</v>
      </c>
      <c r="AD2478" s="164">
        <f>($L2478*'Pivot Objective'!$C$9^5)*AB2478*AC2478</f>
        <v>0</v>
      </c>
      <c r="AE2478" s="166">
        <v>0</v>
      </c>
      <c r="AF2478" s="166">
        <v>0</v>
      </c>
      <c r="AG2478" s="164">
        <f>($L2478*'Pivot Objective'!$C$9^6)*AE2478*AF2478</f>
        <v>0</v>
      </c>
      <c r="AH2478" s="166">
        <v>0</v>
      </c>
      <c r="AI2478" s="166">
        <v>0</v>
      </c>
      <c r="AJ2478" s="164">
        <f>($L2478*'Pivot Objective'!$C$9^7)*AH2478*AI2478</f>
        <v>0</v>
      </c>
      <c r="AK2478" s="185">
        <f t="shared" si="271"/>
        <v>2599886.1724755261</v>
      </c>
      <c r="AL2478" s="186">
        <f t="shared" si="272"/>
        <v>2524.161332500511</v>
      </c>
    </row>
    <row r="2479" spans="1:38" customFormat="1" ht="57.6" x14ac:dyDescent="0.3">
      <c r="A2479" s="140" t="s">
        <v>1488</v>
      </c>
      <c r="B2479" s="140">
        <v>4</v>
      </c>
      <c r="C2479" s="166" t="s">
        <v>697</v>
      </c>
      <c r="D2479" s="140" t="str">
        <f t="shared" si="274"/>
        <v>2</v>
      </c>
      <c r="E2479" s="166" t="s">
        <v>693</v>
      </c>
      <c r="F2479" s="140">
        <f t="shared" si="273"/>
        <v>4</v>
      </c>
      <c r="G2479" s="140" t="str">
        <f t="shared" si="275"/>
        <v>4.2.4</v>
      </c>
      <c r="H2479" s="166" t="s">
        <v>673</v>
      </c>
      <c r="I2479" s="166" t="s">
        <v>113</v>
      </c>
      <c r="J2479" s="166" t="s">
        <v>559</v>
      </c>
      <c r="K2479" s="166" t="s">
        <v>718</v>
      </c>
      <c r="L2479" s="177">
        <v>0</v>
      </c>
      <c r="M2479" s="166">
        <v>0</v>
      </c>
      <c r="N2479" s="166">
        <v>0</v>
      </c>
      <c r="O2479" s="164">
        <f t="shared" si="270"/>
        <v>0</v>
      </c>
      <c r="P2479" s="166">
        <v>0</v>
      </c>
      <c r="Q2479" s="166">
        <v>0</v>
      </c>
      <c r="R2479" s="164">
        <f>$L2479*'Pivot Objective'!$C$9*P2479*Q2479</f>
        <v>0</v>
      </c>
      <c r="S2479" s="166">
        <v>0</v>
      </c>
      <c r="T2479" s="166">
        <v>0</v>
      </c>
      <c r="U2479" s="164">
        <f>($L2479*'Pivot Objective'!$C$9^2)*S2479*T2479</f>
        <v>0</v>
      </c>
      <c r="V2479" s="166">
        <v>0</v>
      </c>
      <c r="W2479" s="166">
        <v>0</v>
      </c>
      <c r="X2479" s="164">
        <f>($L2479*'Pivot Objective'!$C$9^3)*V2479*W2479</f>
        <v>0</v>
      </c>
      <c r="Y2479" s="166">
        <v>0</v>
      </c>
      <c r="Z2479" s="166">
        <v>0</v>
      </c>
      <c r="AA2479" s="164">
        <f>($L2479*'Pivot Objective'!$C$9^4)*Y2479*Z2479</f>
        <v>0</v>
      </c>
      <c r="AB2479" s="166">
        <v>0</v>
      </c>
      <c r="AC2479" s="166">
        <v>0</v>
      </c>
      <c r="AD2479" s="164">
        <f>($L2479*'Pivot Objective'!$C$9^5)*AB2479*AC2479</f>
        <v>0</v>
      </c>
      <c r="AE2479" s="166">
        <v>0</v>
      </c>
      <c r="AF2479" s="166">
        <v>0</v>
      </c>
      <c r="AG2479" s="164">
        <f>($L2479*'Pivot Objective'!$C$9^6)*AE2479*AF2479</f>
        <v>0</v>
      </c>
      <c r="AH2479" s="166">
        <v>0</v>
      </c>
      <c r="AI2479" s="166">
        <v>0</v>
      </c>
      <c r="AJ2479" s="164">
        <f>($L2479*'Pivot Objective'!$C$9^7)*AH2479*AI2479</f>
        <v>0</v>
      </c>
      <c r="AK2479" s="185">
        <f t="shared" si="271"/>
        <v>0</v>
      </c>
      <c r="AL2479" s="186">
        <f t="shared" si="272"/>
        <v>0</v>
      </c>
    </row>
    <row r="2480" spans="1:38" customFormat="1" ht="57.6" x14ac:dyDescent="0.3">
      <c r="A2480" s="140" t="s">
        <v>1488</v>
      </c>
      <c r="B2480" s="140">
        <v>4</v>
      </c>
      <c r="C2480" s="166" t="s">
        <v>697</v>
      </c>
      <c r="D2480" s="140" t="str">
        <f t="shared" si="274"/>
        <v>2</v>
      </c>
      <c r="E2480" s="166" t="s">
        <v>693</v>
      </c>
      <c r="F2480" s="140">
        <f t="shared" si="273"/>
        <v>4</v>
      </c>
      <c r="G2480" s="140" t="str">
        <f t="shared" si="275"/>
        <v>4.2.4</v>
      </c>
      <c r="H2480" s="166" t="s">
        <v>673</v>
      </c>
      <c r="I2480" s="166" t="s">
        <v>114</v>
      </c>
      <c r="J2480" s="166" t="s">
        <v>549</v>
      </c>
      <c r="K2480" s="166" t="s">
        <v>718</v>
      </c>
      <c r="L2480" s="177">
        <v>0</v>
      </c>
      <c r="M2480" s="166">
        <v>0</v>
      </c>
      <c r="N2480" s="166">
        <v>0</v>
      </c>
      <c r="O2480" s="164">
        <f t="shared" si="270"/>
        <v>0</v>
      </c>
      <c r="P2480" s="166">
        <v>0</v>
      </c>
      <c r="Q2480" s="166">
        <v>0</v>
      </c>
      <c r="R2480" s="164">
        <f>$L2480*'Pivot Objective'!$C$9*P2480*Q2480</f>
        <v>0</v>
      </c>
      <c r="S2480" s="166">
        <v>0</v>
      </c>
      <c r="T2480" s="166">
        <v>0</v>
      </c>
      <c r="U2480" s="164">
        <f>($L2480*'Pivot Objective'!$C$9^2)*S2480*T2480</f>
        <v>0</v>
      </c>
      <c r="V2480" s="166">
        <v>0</v>
      </c>
      <c r="W2480" s="166">
        <v>0</v>
      </c>
      <c r="X2480" s="164">
        <f>($L2480*'Pivot Objective'!$C$9^3)*V2480*W2480</f>
        <v>0</v>
      </c>
      <c r="Y2480" s="166">
        <v>0</v>
      </c>
      <c r="Z2480" s="166">
        <v>0</v>
      </c>
      <c r="AA2480" s="164">
        <f>($L2480*'Pivot Objective'!$C$9^4)*Y2480*Z2480</f>
        <v>0</v>
      </c>
      <c r="AB2480" s="166">
        <v>0</v>
      </c>
      <c r="AC2480" s="166">
        <v>0</v>
      </c>
      <c r="AD2480" s="164">
        <f>($L2480*'Pivot Objective'!$C$9^5)*AB2480*AC2480</f>
        <v>0</v>
      </c>
      <c r="AE2480" s="166">
        <v>0</v>
      </c>
      <c r="AF2480" s="166">
        <v>0</v>
      </c>
      <c r="AG2480" s="164">
        <f>($L2480*'Pivot Objective'!$C$9^6)*AE2480*AF2480</f>
        <v>0</v>
      </c>
      <c r="AH2480" s="166">
        <v>0</v>
      </c>
      <c r="AI2480" s="166">
        <v>0</v>
      </c>
      <c r="AJ2480" s="164">
        <f>($L2480*'Pivot Objective'!$C$9^7)*AH2480*AI2480</f>
        <v>0</v>
      </c>
      <c r="AK2480" s="185">
        <f t="shared" si="271"/>
        <v>0</v>
      </c>
      <c r="AL2480" s="186">
        <f t="shared" si="272"/>
        <v>0</v>
      </c>
    </row>
    <row r="2481" spans="1:38" customFormat="1" ht="57.6" x14ac:dyDescent="0.3">
      <c r="A2481" s="140" t="s">
        <v>1488</v>
      </c>
      <c r="B2481" s="140">
        <v>4</v>
      </c>
      <c r="C2481" s="166" t="s">
        <v>697</v>
      </c>
      <c r="D2481" s="140" t="str">
        <f t="shared" si="274"/>
        <v>2</v>
      </c>
      <c r="E2481" s="166" t="s">
        <v>693</v>
      </c>
      <c r="F2481" s="140">
        <f t="shared" si="273"/>
        <v>4</v>
      </c>
      <c r="G2481" s="140" t="str">
        <f t="shared" si="275"/>
        <v>4.2.4</v>
      </c>
      <c r="H2481" s="166" t="s">
        <v>673</v>
      </c>
      <c r="I2481" s="166" t="s">
        <v>114</v>
      </c>
      <c r="J2481" s="166" t="s">
        <v>550</v>
      </c>
      <c r="K2481" s="166" t="s">
        <v>718</v>
      </c>
      <c r="L2481" s="177">
        <v>0</v>
      </c>
      <c r="M2481" s="166">
        <v>0</v>
      </c>
      <c r="N2481" s="166">
        <v>0</v>
      </c>
      <c r="O2481" s="164">
        <f t="shared" si="270"/>
        <v>0</v>
      </c>
      <c r="P2481" s="166">
        <v>0</v>
      </c>
      <c r="Q2481" s="166">
        <v>0</v>
      </c>
      <c r="R2481" s="164">
        <f>$L2481*'Pivot Objective'!$C$9*P2481*Q2481</f>
        <v>0</v>
      </c>
      <c r="S2481" s="166">
        <v>0</v>
      </c>
      <c r="T2481" s="166">
        <v>0</v>
      </c>
      <c r="U2481" s="164">
        <f>($L2481*'Pivot Objective'!$C$9^2)*S2481*T2481</f>
        <v>0</v>
      </c>
      <c r="V2481" s="166">
        <v>0</v>
      </c>
      <c r="W2481" s="166">
        <v>0</v>
      </c>
      <c r="X2481" s="164">
        <f>($L2481*'Pivot Objective'!$C$9^3)*V2481*W2481</f>
        <v>0</v>
      </c>
      <c r="Y2481" s="166">
        <v>0</v>
      </c>
      <c r="Z2481" s="166">
        <v>0</v>
      </c>
      <c r="AA2481" s="164">
        <f>($L2481*'Pivot Objective'!$C$9^4)*Y2481*Z2481</f>
        <v>0</v>
      </c>
      <c r="AB2481" s="166">
        <v>0</v>
      </c>
      <c r="AC2481" s="166">
        <v>0</v>
      </c>
      <c r="AD2481" s="164">
        <f>($L2481*'Pivot Objective'!$C$9^5)*AB2481*AC2481</f>
        <v>0</v>
      </c>
      <c r="AE2481" s="166">
        <v>0</v>
      </c>
      <c r="AF2481" s="166">
        <v>0</v>
      </c>
      <c r="AG2481" s="164">
        <f>($L2481*'Pivot Objective'!$C$9^6)*AE2481*AF2481</f>
        <v>0</v>
      </c>
      <c r="AH2481" s="166">
        <v>0</v>
      </c>
      <c r="AI2481" s="166">
        <v>0</v>
      </c>
      <c r="AJ2481" s="164">
        <f>($L2481*'Pivot Objective'!$C$9^7)*AH2481*AI2481</f>
        <v>0</v>
      </c>
      <c r="AK2481" s="185">
        <f t="shared" si="271"/>
        <v>0</v>
      </c>
      <c r="AL2481" s="186">
        <f t="shared" si="272"/>
        <v>0</v>
      </c>
    </row>
    <row r="2482" spans="1:38" customFormat="1" ht="57.6" x14ac:dyDescent="0.3">
      <c r="A2482" s="140" t="s">
        <v>1488</v>
      </c>
      <c r="B2482" s="140">
        <v>4</v>
      </c>
      <c r="C2482" s="166" t="s">
        <v>697</v>
      </c>
      <c r="D2482" s="140" t="str">
        <f t="shared" si="274"/>
        <v>2</v>
      </c>
      <c r="E2482" s="166" t="s">
        <v>693</v>
      </c>
      <c r="F2482" s="140">
        <f t="shared" si="273"/>
        <v>4</v>
      </c>
      <c r="G2482" s="140" t="str">
        <f t="shared" si="275"/>
        <v>4.2.4</v>
      </c>
      <c r="H2482" s="166" t="s">
        <v>673</v>
      </c>
      <c r="I2482" s="166" t="s">
        <v>114</v>
      </c>
      <c r="J2482" s="166" t="s">
        <v>560</v>
      </c>
      <c r="K2482" s="166" t="s">
        <v>713</v>
      </c>
      <c r="L2482" s="177">
        <v>45000</v>
      </c>
      <c r="M2482" s="140"/>
      <c r="N2482" s="140"/>
      <c r="O2482" s="164">
        <f t="shared" si="270"/>
        <v>0</v>
      </c>
      <c r="P2482" s="166"/>
      <c r="Q2482" s="166"/>
      <c r="R2482" s="164">
        <f>$L2482*'Pivot Objective'!$C$9*P2482*Q2482</f>
        <v>0</v>
      </c>
      <c r="S2482" s="166">
        <v>25</v>
      </c>
      <c r="T2482" s="166">
        <v>6</v>
      </c>
      <c r="U2482" s="164">
        <f>($L2482*'Pivot Objective'!$C$9^2)*S2482*T2482</f>
        <v>8817313.2792818621</v>
      </c>
      <c r="V2482" s="166">
        <v>25</v>
      </c>
      <c r="W2482" s="166">
        <v>6</v>
      </c>
      <c r="X2482" s="164">
        <f>($L2482*'Pivot Objective'!$C$9^3)*V2482*W2482</f>
        <v>10077493.365749491</v>
      </c>
      <c r="Y2482" s="166">
        <v>25</v>
      </c>
      <c r="Z2482" s="166">
        <v>6</v>
      </c>
      <c r="AA2482" s="164">
        <f>($L2482*'Pivot Objective'!$C$9^4)*Y2482*Z2482</f>
        <v>11517779.77259263</v>
      </c>
      <c r="AB2482" s="166">
        <v>25</v>
      </c>
      <c r="AC2482" s="166">
        <v>6</v>
      </c>
      <c r="AD2482" s="164">
        <f>($L2482*'Pivot Objective'!$C$9^5)*AB2482*AC2482</f>
        <v>13163913.492695976</v>
      </c>
      <c r="AE2482" s="166">
        <v>25</v>
      </c>
      <c r="AF2482" s="166">
        <v>6</v>
      </c>
      <c r="AG2482" s="164">
        <f>($L2482*'Pivot Objective'!$C$9^6)*AE2482*AF2482</f>
        <v>15045314.44988519</v>
      </c>
      <c r="AH2482" s="166">
        <v>25</v>
      </c>
      <c r="AI2482" s="166">
        <v>6</v>
      </c>
      <c r="AJ2482" s="164">
        <f>($L2482*'Pivot Objective'!$C$9^7)*AH2482*AI2482</f>
        <v>17195607.295772731</v>
      </c>
      <c r="AK2482" s="185">
        <f t="shared" si="271"/>
        <v>75817421.655977875</v>
      </c>
      <c r="AL2482" s="186">
        <f t="shared" si="272"/>
        <v>73609.147238813472</v>
      </c>
    </row>
    <row r="2483" spans="1:38" customFormat="1" ht="57.6" x14ac:dyDescent="0.3">
      <c r="A2483" s="140" t="s">
        <v>1488</v>
      </c>
      <c r="B2483" s="140">
        <v>4</v>
      </c>
      <c r="C2483" s="166" t="s">
        <v>697</v>
      </c>
      <c r="D2483" s="140" t="str">
        <f t="shared" si="274"/>
        <v>2</v>
      </c>
      <c r="E2483" s="166" t="s">
        <v>693</v>
      </c>
      <c r="F2483" s="140">
        <f t="shared" si="273"/>
        <v>4</v>
      </c>
      <c r="G2483" s="140" t="str">
        <f t="shared" si="275"/>
        <v>4.2.4</v>
      </c>
      <c r="H2483" s="166" t="s">
        <v>673</v>
      </c>
      <c r="I2483" s="166" t="s">
        <v>114</v>
      </c>
      <c r="J2483" s="166" t="s">
        <v>560</v>
      </c>
      <c r="K2483" s="166" t="s">
        <v>712</v>
      </c>
      <c r="L2483" s="177">
        <f>1480/7</f>
        <v>211.42857142857142</v>
      </c>
      <c r="M2483" s="140"/>
      <c r="N2483" s="140"/>
      <c r="O2483" s="164">
        <f t="shared" si="270"/>
        <v>0</v>
      </c>
      <c r="P2483" s="166"/>
      <c r="Q2483" s="166"/>
      <c r="R2483" s="164">
        <f>$L2483*'Pivot Objective'!$C$9*P2483*Q2483</f>
        <v>0</v>
      </c>
      <c r="S2483" s="166">
        <f>25*2*9</f>
        <v>450</v>
      </c>
      <c r="T2483" s="166">
        <v>1</v>
      </c>
      <c r="U2483" s="164">
        <f>($L2483*'Pivot Objective'!$C$9^2)*S2483*T2483</f>
        <v>124282.13003178244</v>
      </c>
      <c r="V2483" s="166">
        <v>450</v>
      </c>
      <c r="W2483" s="166">
        <v>1</v>
      </c>
      <c r="X2483" s="164">
        <f>($L2483*'Pivot Objective'!$C$9^3)*V2483*W2483</f>
        <v>142044.66839342139</v>
      </c>
      <c r="Y2483" s="166">
        <v>450</v>
      </c>
      <c r="Z2483" s="166">
        <v>1</v>
      </c>
      <c r="AA2483" s="164">
        <f>($L2483*'Pivot Objective'!$C$9^4)*Y2483*Z2483</f>
        <v>162345.8482232104</v>
      </c>
      <c r="AB2483" s="166">
        <v>450</v>
      </c>
      <c r="AC2483" s="166">
        <v>1</v>
      </c>
      <c r="AD2483" s="164">
        <f>($L2483*'Pivot Objective'!$C$9^5)*AB2483*AC2483</f>
        <v>185548.49494466712</v>
      </c>
      <c r="AE2483" s="166">
        <v>450</v>
      </c>
      <c r="AF2483" s="166">
        <v>1</v>
      </c>
      <c r="AG2483" s="164">
        <f>($L2483*'Pivot Objective'!$C$9^6)*AE2483*AF2483</f>
        <v>212067.2893888579</v>
      </c>
      <c r="AH2483" s="166">
        <v>450</v>
      </c>
      <c r="AI2483" s="166">
        <v>1</v>
      </c>
      <c r="AJ2483" s="164">
        <f>($L2483*'Pivot Objective'!$C$9^7)*AH2483*AI2483</f>
        <v>242376.17902612989</v>
      </c>
      <c r="AK2483" s="185">
        <f t="shared" si="271"/>
        <v>1068664.6100080691</v>
      </c>
      <c r="AL2483" s="186">
        <f t="shared" si="272"/>
        <v>1037.5384563185137</v>
      </c>
    </row>
    <row r="2484" spans="1:38" customFormat="1" ht="57.6" x14ac:dyDescent="0.3">
      <c r="A2484" s="140" t="s">
        <v>1488</v>
      </c>
      <c r="B2484" s="140">
        <v>4</v>
      </c>
      <c r="C2484" s="166" t="s">
        <v>697</v>
      </c>
      <c r="D2484" s="140" t="str">
        <f t="shared" si="274"/>
        <v>2</v>
      </c>
      <c r="E2484" s="166" t="s">
        <v>693</v>
      </c>
      <c r="F2484" s="140">
        <f t="shared" si="273"/>
        <v>4</v>
      </c>
      <c r="G2484" s="140" t="str">
        <f t="shared" si="275"/>
        <v>4.2.4</v>
      </c>
      <c r="H2484" s="166" t="s">
        <v>673</v>
      </c>
      <c r="I2484" s="166" t="s">
        <v>114</v>
      </c>
      <c r="J2484" s="166" t="s">
        <v>560</v>
      </c>
      <c r="K2484" s="166" t="s">
        <v>1350</v>
      </c>
      <c r="L2484" s="177">
        <f>1480/7</f>
        <v>211.42857142857142</v>
      </c>
      <c r="M2484" s="140"/>
      <c r="N2484" s="140"/>
      <c r="O2484" s="164">
        <f t="shared" si="270"/>
        <v>0</v>
      </c>
      <c r="P2484" s="166"/>
      <c r="Q2484" s="166"/>
      <c r="R2484" s="164">
        <f>$L2484*'Pivot Objective'!$C$9*P2484*Q2484</f>
        <v>0</v>
      </c>
      <c r="S2484" s="166">
        <f>135*2*9</f>
        <v>2430</v>
      </c>
      <c r="T2484" s="166">
        <v>1</v>
      </c>
      <c r="U2484" s="164">
        <f>($L2484*'Pivot Objective'!$C$9^2)*S2484*T2484</f>
        <v>671123.50217162515</v>
      </c>
      <c r="V2484" s="166">
        <v>2430</v>
      </c>
      <c r="W2484" s="166">
        <v>1</v>
      </c>
      <c r="X2484" s="164">
        <f>($L2484*'Pivot Objective'!$C$9^3)*V2484*W2484</f>
        <v>767041.20932447549</v>
      </c>
      <c r="Y2484" s="166">
        <v>2430</v>
      </c>
      <c r="Z2484" s="166">
        <v>1</v>
      </c>
      <c r="AA2484" s="164">
        <f>($L2484*'Pivot Objective'!$C$9^4)*Y2484*Z2484</f>
        <v>876667.58040533611</v>
      </c>
      <c r="AB2484" s="166">
        <v>2430</v>
      </c>
      <c r="AC2484" s="166">
        <v>1</v>
      </c>
      <c r="AD2484" s="164">
        <f>($L2484*'Pivot Objective'!$C$9^5)*AB2484*AC2484</f>
        <v>1001961.8727012025</v>
      </c>
      <c r="AE2484" s="166">
        <v>2430</v>
      </c>
      <c r="AF2484" s="166">
        <v>1</v>
      </c>
      <c r="AG2484" s="164">
        <f>($L2484*'Pivot Objective'!$C$9^6)*AE2484*AF2484</f>
        <v>1145163.3626998325</v>
      </c>
      <c r="AH2484" s="166">
        <v>2430</v>
      </c>
      <c r="AI2484" s="166">
        <v>1</v>
      </c>
      <c r="AJ2484" s="164">
        <f>($L2484*'Pivot Objective'!$C$9^7)*AH2484*AI2484</f>
        <v>1308831.3667411015</v>
      </c>
      <c r="AK2484" s="185">
        <f t="shared" si="271"/>
        <v>5770788.8940435732</v>
      </c>
      <c r="AL2484" s="186">
        <f t="shared" si="272"/>
        <v>5602.7076641199737</v>
      </c>
    </row>
    <row r="2485" spans="1:38" customFormat="1" ht="57.6" x14ac:dyDescent="0.3">
      <c r="A2485" s="140" t="s">
        <v>1488</v>
      </c>
      <c r="B2485" s="140">
        <v>4</v>
      </c>
      <c r="C2485" s="166" t="s">
        <v>697</v>
      </c>
      <c r="D2485" s="140" t="str">
        <f t="shared" si="274"/>
        <v>2</v>
      </c>
      <c r="E2485" s="166" t="s">
        <v>693</v>
      </c>
      <c r="F2485" s="140">
        <f t="shared" si="273"/>
        <v>4</v>
      </c>
      <c r="G2485" s="140" t="str">
        <f t="shared" si="275"/>
        <v>4.2.4</v>
      </c>
      <c r="H2485" s="166" t="s">
        <v>673</v>
      </c>
      <c r="I2485" s="166" t="s">
        <v>114</v>
      </c>
      <c r="J2485" s="166" t="s">
        <v>561</v>
      </c>
      <c r="K2485" s="166" t="s">
        <v>709</v>
      </c>
      <c r="L2485" s="177">
        <v>35000</v>
      </c>
      <c r="M2485" s="140"/>
      <c r="N2485" s="140"/>
      <c r="O2485" s="164">
        <f t="shared" si="270"/>
        <v>0</v>
      </c>
      <c r="P2485" s="166"/>
      <c r="Q2485" s="166"/>
      <c r="R2485" s="164">
        <f>$L2485*'Pivot Objective'!$C$9*P2485*Q2485</f>
        <v>0</v>
      </c>
      <c r="S2485" s="166">
        <v>100</v>
      </c>
      <c r="T2485" s="166">
        <v>1</v>
      </c>
      <c r="U2485" s="164">
        <f>($L2485*'Pivot Objective'!$C$9^2)*S2485*T2485</f>
        <v>4571940.2188868914</v>
      </c>
      <c r="V2485" s="166">
        <v>100</v>
      </c>
      <c r="W2485" s="166">
        <v>1</v>
      </c>
      <c r="X2485" s="164">
        <f>($L2485*'Pivot Objective'!$C$9^3)*V2485*W2485</f>
        <v>5225366.9303886257</v>
      </c>
      <c r="Y2485" s="166">
        <v>100</v>
      </c>
      <c r="Z2485" s="166">
        <v>1</v>
      </c>
      <c r="AA2485" s="164">
        <f>($L2485*'Pivot Objective'!$C$9^4)*Y2485*Z2485</f>
        <v>5972182.1043072902</v>
      </c>
      <c r="AB2485" s="166">
        <v>100</v>
      </c>
      <c r="AC2485" s="166">
        <v>1</v>
      </c>
      <c r="AD2485" s="164">
        <f>($L2485*'Pivot Objective'!$C$9^5)*AB2485*AC2485</f>
        <v>6825732.9221386546</v>
      </c>
      <c r="AE2485" s="166">
        <v>100</v>
      </c>
      <c r="AF2485" s="166">
        <v>1</v>
      </c>
      <c r="AG2485" s="164">
        <f>($L2485*'Pivot Objective'!$C$9^6)*AE2485*AF2485</f>
        <v>7801274.1591997268</v>
      </c>
      <c r="AH2485" s="166">
        <v>100</v>
      </c>
      <c r="AI2485" s="166">
        <v>1</v>
      </c>
      <c r="AJ2485" s="164">
        <f>($L2485*'Pivot Objective'!$C$9^7)*AH2485*AI2485</f>
        <v>8916240.8200303055</v>
      </c>
      <c r="AK2485" s="185">
        <f t="shared" si="271"/>
        <v>39312737.154951498</v>
      </c>
      <c r="AL2485" s="186">
        <f t="shared" si="272"/>
        <v>38167.705975681063</v>
      </c>
    </row>
    <row r="2486" spans="1:38" customFormat="1" ht="57.6" x14ac:dyDescent="0.3">
      <c r="A2486" s="140" t="s">
        <v>1488</v>
      </c>
      <c r="B2486" s="140">
        <v>4</v>
      </c>
      <c r="C2486" s="166" t="s">
        <v>697</v>
      </c>
      <c r="D2486" s="140" t="str">
        <f t="shared" si="274"/>
        <v>2</v>
      </c>
      <c r="E2486" s="166" t="s">
        <v>693</v>
      </c>
      <c r="F2486" s="140">
        <f t="shared" si="273"/>
        <v>4</v>
      </c>
      <c r="G2486" s="140" t="str">
        <f t="shared" si="275"/>
        <v>4.2.4</v>
      </c>
      <c r="H2486" s="166" t="s">
        <v>673</v>
      </c>
      <c r="I2486" s="166" t="s">
        <v>114</v>
      </c>
      <c r="J2486" s="166" t="s">
        <v>157</v>
      </c>
      <c r="K2486" s="166" t="s">
        <v>713</v>
      </c>
      <c r="L2486" s="177">
        <v>45000</v>
      </c>
      <c r="M2486" s="140"/>
      <c r="N2486" s="140"/>
      <c r="O2486" s="164">
        <f t="shared" si="270"/>
        <v>0</v>
      </c>
      <c r="P2486" s="166"/>
      <c r="Q2486" s="166"/>
      <c r="R2486" s="164">
        <f>$L2486*'Pivot Objective'!$C$9*P2486*Q2486</f>
        <v>0</v>
      </c>
      <c r="S2486" s="166">
        <v>25</v>
      </c>
      <c r="T2486" s="166">
        <v>6</v>
      </c>
      <c r="U2486" s="164">
        <f>($L2486*'Pivot Objective'!$C$9^2)*S2486*T2486</f>
        <v>8817313.2792818621</v>
      </c>
      <c r="V2486" s="166">
        <v>25</v>
      </c>
      <c r="W2486" s="166">
        <v>6</v>
      </c>
      <c r="X2486" s="164">
        <f>($L2486*'Pivot Objective'!$C$9^3)*V2486*W2486</f>
        <v>10077493.365749491</v>
      </c>
      <c r="Y2486" s="166">
        <v>25</v>
      </c>
      <c r="Z2486" s="166">
        <v>6</v>
      </c>
      <c r="AA2486" s="164">
        <f>($L2486*'Pivot Objective'!$C$9^4)*Y2486*Z2486</f>
        <v>11517779.77259263</v>
      </c>
      <c r="AB2486" s="166">
        <v>25</v>
      </c>
      <c r="AC2486" s="166">
        <v>6</v>
      </c>
      <c r="AD2486" s="164">
        <f>($L2486*'Pivot Objective'!$C$9^5)*AB2486*AC2486</f>
        <v>13163913.492695976</v>
      </c>
      <c r="AE2486" s="166">
        <v>25</v>
      </c>
      <c r="AF2486" s="166">
        <v>6</v>
      </c>
      <c r="AG2486" s="164">
        <f>($L2486*'Pivot Objective'!$C$9^6)*AE2486*AF2486</f>
        <v>15045314.44988519</v>
      </c>
      <c r="AH2486" s="166">
        <v>25</v>
      </c>
      <c r="AI2486" s="166">
        <v>6</v>
      </c>
      <c r="AJ2486" s="164">
        <f>($L2486*'Pivot Objective'!$C$9^7)*AH2486*AI2486</f>
        <v>17195607.295772731</v>
      </c>
      <c r="AK2486" s="185">
        <f t="shared" si="271"/>
        <v>75817421.655977875</v>
      </c>
      <c r="AL2486" s="186">
        <f t="shared" si="272"/>
        <v>73609.147238813472</v>
      </c>
    </row>
    <row r="2487" spans="1:38" customFormat="1" ht="57.6" x14ac:dyDescent="0.3">
      <c r="A2487" s="140" t="s">
        <v>1488</v>
      </c>
      <c r="B2487" s="140">
        <v>4</v>
      </c>
      <c r="C2487" s="166" t="s">
        <v>697</v>
      </c>
      <c r="D2487" s="140" t="str">
        <f t="shared" si="274"/>
        <v>2</v>
      </c>
      <c r="E2487" s="166" t="s">
        <v>693</v>
      </c>
      <c r="F2487" s="140">
        <f t="shared" si="273"/>
        <v>4</v>
      </c>
      <c r="G2487" s="140" t="str">
        <f t="shared" si="275"/>
        <v>4.2.4</v>
      </c>
      <c r="H2487" s="166" t="s">
        <v>673</v>
      </c>
      <c r="I2487" s="166" t="s">
        <v>114</v>
      </c>
      <c r="J2487" s="166" t="s">
        <v>157</v>
      </c>
      <c r="K2487" s="166" t="s">
        <v>715</v>
      </c>
      <c r="L2487" s="177">
        <v>302000</v>
      </c>
      <c r="M2487" s="140"/>
      <c r="N2487" s="140"/>
      <c r="O2487" s="164">
        <f t="shared" si="270"/>
        <v>0</v>
      </c>
      <c r="P2487" s="166"/>
      <c r="Q2487" s="166"/>
      <c r="R2487" s="164">
        <f>$L2487*'Pivot Objective'!$C$9*P2487*Q2487</f>
        <v>0</v>
      </c>
      <c r="S2487" s="166">
        <v>25</v>
      </c>
      <c r="T2487" s="166">
        <v>1</v>
      </c>
      <c r="U2487" s="164">
        <f>($L2487*'Pivot Objective'!$C$9^2)*S2487*T2487</f>
        <v>9862328.1864560079</v>
      </c>
      <c r="V2487" s="166">
        <v>25</v>
      </c>
      <c r="W2487" s="166">
        <v>1</v>
      </c>
      <c r="X2487" s="164">
        <f>($L2487*'Pivot Objective'!$C$9^3)*V2487*W2487</f>
        <v>11271862.94983832</v>
      </c>
      <c r="Y2487" s="166">
        <v>25</v>
      </c>
      <c r="Z2487" s="166">
        <v>1</v>
      </c>
      <c r="AA2487" s="164">
        <f>($L2487*'Pivot Objective'!$C$9^4)*Y2487*Z2487</f>
        <v>12882849.967862869</v>
      </c>
      <c r="AB2487" s="166">
        <v>25</v>
      </c>
      <c r="AC2487" s="166">
        <v>1</v>
      </c>
      <c r="AD2487" s="164">
        <f>($L2487*'Pivot Objective'!$C$9^5)*AB2487*AC2487</f>
        <v>14724081.017756244</v>
      </c>
      <c r="AE2487" s="166">
        <v>25</v>
      </c>
      <c r="AF2487" s="166">
        <v>1</v>
      </c>
      <c r="AG2487" s="164">
        <f>($L2487*'Pivot Objective'!$C$9^6)*AE2487*AF2487</f>
        <v>16828462.829130843</v>
      </c>
      <c r="AH2487" s="166">
        <v>25</v>
      </c>
      <c r="AI2487" s="166">
        <v>1</v>
      </c>
      <c r="AJ2487" s="164">
        <f>($L2487*'Pivot Objective'!$C$9^7)*AH2487*AI2487</f>
        <v>19233605.197493944</v>
      </c>
      <c r="AK2487" s="185">
        <f t="shared" si="271"/>
        <v>84803190.148538232</v>
      </c>
      <c r="AL2487" s="186">
        <f t="shared" si="272"/>
        <v>82333.194318969152</v>
      </c>
    </row>
    <row r="2488" spans="1:38" customFormat="1" ht="57.6" x14ac:dyDescent="0.3">
      <c r="A2488" s="140" t="s">
        <v>1488</v>
      </c>
      <c r="B2488" s="140">
        <v>4</v>
      </c>
      <c r="C2488" s="166" t="s">
        <v>697</v>
      </c>
      <c r="D2488" s="140" t="str">
        <f t="shared" si="274"/>
        <v>2</v>
      </c>
      <c r="E2488" s="166" t="s">
        <v>693</v>
      </c>
      <c r="F2488" s="140">
        <f t="shared" si="273"/>
        <v>4</v>
      </c>
      <c r="G2488" s="140" t="str">
        <f t="shared" si="275"/>
        <v>4.2.4</v>
      </c>
      <c r="H2488" s="166" t="s">
        <v>673</v>
      </c>
      <c r="I2488" s="166" t="s">
        <v>114</v>
      </c>
      <c r="J2488" s="166" t="s">
        <v>157</v>
      </c>
      <c r="K2488" s="166" t="s">
        <v>714</v>
      </c>
      <c r="L2488" s="177">
        <v>10000</v>
      </c>
      <c r="M2488" s="140"/>
      <c r="N2488" s="140"/>
      <c r="O2488" s="164">
        <f t="shared" si="270"/>
        <v>0</v>
      </c>
      <c r="P2488" s="166"/>
      <c r="Q2488" s="166"/>
      <c r="R2488" s="164">
        <f>$L2488*'Pivot Objective'!$C$9*P2488*Q2488</f>
        <v>0</v>
      </c>
      <c r="S2488" s="166">
        <v>15</v>
      </c>
      <c r="T2488" s="166">
        <v>1</v>
      </c>
      <c r="U2488" s="164">
        <f>($L2488*'Pivot Objective'!$C$9^2)*S2488*T2488</f>
        <v>195940.29509515248</v>
      </c>
      <c r="V2488" s="166">
        <v>15</v>
      </c>
      <c r="W2488" s="166">
        <v>1</v>
      </c>
      <c r="X2488" s="164">
        <f>($L2488*'Pivot Objective'!$C$9^3)*V2488*W2488</f>
        <v>223944.29701665539</v>
      </c>
      <c r="Y2488" s="166">
        <v>15</v>
      </c>
      <c r="Z2488" s="166">
        <v>1</v>
      </c>
      <c r="AA2488" s="164">
        <f>($L2488*'Pivot Objective'!$C$9^4)*Y2488*Z2488</f>
        <v>255950.66161316959</v>
      </c>
      <c r="AB2488" s="166">
        <v>15</v>
      </c>
      <c r="AC2488" s="166">
        <v>1</v>
      </c>
      <c r="AD2488" s="164">
        <f>($L2488*'Pivot Objective'!$C$9^5)*AB2488*AC2488</f>
        <v>292531.41094879952</v>
      </c>
      <c r="AE2488" s="166">
        <v>15</v>
      </c>
      <c r="AF2488" s="166">
        <v>1</v>
      </c>
      <c r="AG2488" s="164">
        <f>($L2488*'Pivot Objective'!$C$9^6)*AE2488*AF2488</f>
        <v>334340.32110855979</v>
      </c>
      <c r="AH2488" s="166">
        <v>15</v>
      </c>
      <c r="AI2488" s="166">
        <v>1</v>
      </c>
      <c r="AJ2488" s="164">
        <f>($L2488*'Pivot Objective'!$C$9^7)*AH2488*AI2488</f>
        <v>382124.60657272732</v>
      </c>
      <c r="AK2488" s="185">
        <f t="shared" si="271"/>
        <v>1684831.5923550641</v>
      </c>
      <c r="AL2488" s="186">
        <f t="shared" si="272"/>
        <v>1635.7588275291885</v>
      </c>
    </row>
    <row r="2489" spans="1:38" customFormat="1" ht="57.6" x14ac:dyDescent="0.3">
      <c r="A2489" s="140" t="s">
        <v>1488</v>
      </c>
      <c r="B2489" s="140">
        <v>4</v>
      </c>
      <c r="C2489" s="166" t="s">
        <v>697</v>
      </c>
      <c r="D2489" s="140" t="str">
        <f t="shared" si="274"/>
        <v>2</v>
      </c>
      <c r="E2489" s="166" t="s">
        <v>693</v>
      </c>
      <c r="F2489" s="140">
        <f t="shared" si="273"/>
        <v>4</v>
      </c>
      <c r="G2489" s="140" t="str">
        <f t="shared" si="275"/>
        <v>4.2.4</v>
      </c>
      <c r="H2489" s="166" t="s">
        <v>673</v>
      </c>
      <c r="I2489" s="166" t="s">
        <v>114</v>
      </c>
      <c r="J2489" s="166" t="s">
        <v>157</v>
      </c>
      <c r="K2489" s="166" t="s">
        <v>712</v>
      </c>
      <c r="L2489" s="177">
        <f>1480/7</f>
        <v>211.42857142857142</v>
      </c>
      <c r="M2489" s="140"/>
      <c r="N2489" s="140"/>
      <c r="O2489" s="164">
        <f t="shared" si="270"/>
        <v>0</v>
      </c>
      <c r="P2489" s="166"/>
      <c r="Q2489" s="166"/>
      <c r="R2489" s="164">
        <f>$L2489*'Pivot Objective'!$C$9*P2489*Q2489</f>
        <v>0</v>
      </c>
      <c r="S2489" s="166">
        <f>25*2*9</f>
        <v>450</v>
      </c>
      <c r="T2489" s="166">
        <v>5</v>
      </c>
      <c r="U2489" s="164">
        <f>($L2489*'Pivot Objective'!$C$9^2)*S2489*T2489</f>
        <v>621410.65015891218</v>
      </c>
      <c r="V2489" s="166">
        <v>450</v>
      </c>
      <c r="W2489" s="166">
        <v>5</v>
      </c>
      <c r="X2489" s="164">
        <f>($L2489*'Pivot Objective'!$C$9^3)*V2489*W2489</f>
        <v>710223.34196710703</v>
      </c>
      <c r="Y2489" s="166">
        <v>450</v>
      </c>
      <c r="Z2489" s="166">
        <v>5</v>
      </c>
      <c r="AA2489" s="164">
        <f>($L2489*'Pivot Objective'!$C$9^4)*Y2489*Z2489</f>
        <v>811729.24111605203</v>
      </c>
      <c r="AB2489" s="166">
        <v>450</v>
      </c>
      <c r="AC2489" s="166">
        <v>5</v>
      </c>
      <c r="AD2489" s="164">
        <f>($L2489*'Pivot Objective'!$C$9^5)*AB2489*AC2489</f>
        <v>927742.47472333559</v>
      </c>
      <c r="AE2489" s="166">
        <v>450</v>
      </c>
      <c r="AF2489" s="166">
        <v>5</v>
      </c>
      <c r="AG2489" s="164">
        <f>($L2489*'Pivot Objective'!$C$9^6)*AE2489*AF2489</f>
        <v>1060336.4469442894</v>
      </c>
      <c r="AH2489" s="166">
        <v>450</v>
      </c>
      <c r="AI2489" s="166">
        <v>5</v>
      </c>
      <c r="AJ2489" s="164">
        <f>($L2489*'Pivot Objective'!$C$9^7)*AH2489*AI2489</f>
        <v>1211880.8951306494</v>
      </c>
      <c r="AK2489" s="185">
        <f t="shared" si="271"/>
        <v>5343323.0500403456</v>
      </c>
      <c r="AL2489" s="186">
        <f t="shared" si="272"/>
        <v>5187.6922815925682</v>
      </c>
    </row>
    <row r="2490" spans="1:38" customFormat="1" ht="57.6" x14ac:dyDescent="0.3">
      <c r="A2490" s="140" t="s">
        <v>1488</v>
      </c>
      <c r="B2490" s="140">
        <v>4</v>
      </c>
      <c r="C2490" s="166" t="s">
        <v>697</v>
      </c>
      <c r="D2490" s="140" t="str">
        <f t="shared" si="274"/>
        <v>2</v>
      </c>
      <c r="E2490" s="166" t="s">
        <v>693</v>
      </c>
      <c r="F2490" s="140">
        <f t="shared" si="273"/>
        <v>4</v>
      </c>
      <c r="G2490" s="140" t="str">
        <f t="shared" si="275"/>
        <v>4.2.4</v>
      </c>
      <c r="H2490" s="166" t="s">
        <v>673</v>
      </c>
      <c r="I2490" s="166" t="s">
        <v>114</v>
      </c>
      <c r="J2490" s="166" t="s">
        <v>157</v>
      </c>
      <c r="K2490" s="166" t="s">
        <v>1350</v>
      </c>
      <c r="L2490" s="177">
        <f>1480/7</f>
        <v>211.42857142857142</v>
      </c>
      <c r="M2490" s="140"/>
      <c r="N2490" s="140"/>
      <c r="O2490" s="164">
        <f t="shared" si="270"/>
        <v>0</v>
      </c>
      <c r="P2490" s="166"/>
      <c r="Q2490" s="166"/>
      <c r="R2490" s="164">
        <f>$L2490*'Pivot Objective'!$C$9*P2490*Q2490</f>
        <v>0</v>
      </c>
      <c r="S2490" s="166">
        <f>135*2*9</f>
        <v>2430</v>
      </c>
      <c r="T2490" s="166">
        <v>1</v>
      </c>
      <c r="U2490" s="164">
        <f>($L2490*'Pivot Objective'!$C$9^2)*S2490*T2490</f>
        <v>671123.50217162515</v>
      </c>
      <c r="V2490" s="166">
        <v>2430</v>
      </c>
      <c r="W2490" s="166">
        <v>1</v>
      </c>
      <c r="X2490" s="164">
        <f>($L2490*'Pivot Objective'!$C$9^3)*V2490*W2490</f>
        <v>767041.20932447549</v>
      </c>
      <c r="Y2490" s="166">
        <v>2430</v>
      </c>
      <c r="Z2490" s="166">
        <v>1</v>
      </c>
      <c r="AA2490" s="164">
        <f>($L2490*'Pivot Objective'!$C$9^4)*Y2490*Z2490</f>
        <v>876667.58040533611</v>
      </c>
      <c r="AB2490" s="166">
        <v>2430</v>
      </c>
      <c r="AC2490" s="166">
        <v>1</v>
      </c>
      <c r="AD2490" s="164">
        <f>($L2490*'Pivot Objective'!$C$9^5)*AB2490*AC2490</f>
        <v>1001961.8727012025</v>
      </c>
      <c r="AE2490" s="166">
        <v>2430</v>
      </c>
      <c r="AF2490" s="166">
        <v>1</v>
      </c>
      <c r="AG2490" s="164">
        <f>($L2490*'Pivot Objective'!$C$9^6)*AE2490*AF2490</f>
        <v>1145163.3626998325</v>
      </c>
      <c r="AH2490" s="166">
        <v>2430</v>
      </c>
      <c r="AI2490" s="166">
        <v>1</v>
      </c>
      <c r="AJ2490" s="164">
        <f>($L2490*'Pivot Objective'!$C$9^7)*AH2490*AI2490</f>
        <v>1308831.3667411015</v>
      </c>
      <c r="AK2490" s="185">
        <f t="shared" si="271"/>
        <v>5770788.8940435732</v>
      </c>
      <c r="AL2490" s="186">
        <f t="shared" si="272"/>
        <v>5602.7076641199737</v>
      </c>
    </row>
    <row r="2491" spans="1:38" customFormat="1" ht="57.6" x14ac:dyDescent="0.3">
      <c r="A2491" s="140" t="s">
        <v>1488</v>
      </c>
      <c r="B2491" s="140">
        <v>4</v>
      </c>
      <c r="C2491" s="166" t="s">
        <v>697</v>
      </c>
      <c r="D2491" s="140" t="str">
        <f t="shared" si="274"/>
        <v>2</v>
      </c>
      <c r="E2491" s="166" t="s">
        <v>693</v>
      </c>
      <c r="F2491" s="140">
        <f t="shared" si="273"/>
        <v>4</v>
      </c>
      <c r="G2491" s="140" t="str">
        <f t="shared" si="275"/>
        <v>4.2.4</v>
      </c>
      <c r="H2491" s="166" t="s">
        <v>673</v>
      </c>
      <c r="I2491" s="166" t="s">
        <v>114</v>
      </c>
      <c r="J2491" s="166" t="s">
        <v>152</v>
      </c>
      <c r="K2491" s="166" t="s">
        <v>716</v>
      </c>
      <c r="L2491" s="177">
        <v>39000</v>
      </c>
      <c r="M2491" s="140"/>
      <c r="N2491" s="140"/>
      <c r="O2491" s="164">
        <f t="shared" si="270"/>
        <v>0</v>
      </c>
      <c r="P2491" s="166"/>
      <c r="Q2491" s="166"/>
      <c r="R2491" s="164">
        <f>$L2491*'Pivot Objective'!$C$9*P2491*Q2491</f>
        <v>0</v>
      </c>
      <c r="S2491" s="166">
        <v>25</v>
      </c>
      <c r="T2491" s="166">
        <v>6</v>
      </c>
      <c r="U2491" s="164">
        <f>($L2491*'Pivot Objective'!$C$9^2)*S2491*T2491</f>
        <v>7641671.5087109469</v>
      </c>
      <c r="V2491" s="166">
        <v>25</v>
      </c>
      <c r="W2491" s="166">
        <v>6</v>
      </c>
      <c r="X2491" s="164">
        <f>($L2491*'Pivot Objective'!$C$9^3)*V2491*W2491</f>
        <v>8733827.5836495608</v>
      </c>
      <c r="Y2491" s="166">
        <v>25</v>
      </c>
      <c r="Z2491" s="166">
        <v>6</v>
      </c>
      <c r="AA2491" s="164">
        <f>($L2491*'Pivot Objective'!$C$9^4)*Y2491*Z2491</f>
        <v>9982075.8029136136</v>
      </c>
      <c r="AB2491" s="166">
        <v>25</v>
      </c>
      <c r="AC2491" s="166">
        <v>6</v>
      </c>
      <c r="AD2491" s="164">
        <f>($L2491*'Pivot Objective'!$C$9^5)*AB2491*AC2491</f>
        <v>11408725.027003182</v>
      </c>
      <c r="AE2491" s="166">
        <v>25</v>
      </c>
      <c r="AF2491" s="166">
        <v>6</v>
      </c>
      <c r="AG2491" s="164">
        <f>($L2491*'Pivot Objective'!$C$9^6)*AE2491*AF2491</f>
        <v>13039272.523233831</v>
      </c>
      <c r="AH2491" s="166">
        <v>25</v>
      </c>
      <c r="AI2491" s="166">
        <v>6</v>
      </c>
      <c r="AJ2491" s="164">
        <f>($L2491*'Pivot Objective'!$C$9^7)*AH2491*AI2491</f>
        <v>14902859.656336365</v>
      </c>
      <c r="AK2491" s="185">
        <f t="shared" si="271"/>
        <v>65708432.1018475</v>
      </c>
      <c r="AL2491" s="186">
        <f t="shared" si="272"/>
        <v>63794.594273638351</v>
      </c>
    </row>
    <row r="2492" spans="1:38" customFormat="1" ht="57.6" x14ac:dyDescent="0.3">
      <c r="A2492" s="140" t="s">
        <v>1488</v>
      </c>
      <c r="B2492" s="140">
        <v>4</v>
      </c>
      <c r="C2492" s="166" t="s">
        <v>697</v>
      </c>
      <c r="D2492" s="140" t="str">
        <f t="shared" si="274"/>
        <v>2</v>
      </c>
      <c r="E2492" s="166" t="s">
        <v>693</v>
      </c>
      <c r="F2492" s="140">
        <f t="shared" si="273"/>
        <v>4</v>
      </c>
      <c r="G2492" s="140" t="str">
        <f t="shared" si="275"/>
        <v>4.2.4</v>
      </c>
      <c r="H2492" s="166" t="s">
        <v>673</v>
      </c>
      <c r="I2492" s="166" t="s">
        <v>114</v>
      </c>
      <c r="J2492" s="166" t="s">
        <v>152</v>
      </c>
      <c r="K2492" s="166" t="s">
        <v>709</v>
      </c>
      <c r="L2492" s="177">
        <v>35000</v>
      </c>
      <c r="M2492" s="140"/>
      <c r="N2492" s="140"/>
      <c r="O2492" s="164">
        <f t="shared" si="270"/>
        <v>0</v>
      </c>
      <c r="P2492" s="166"/>
      <c r="Q2492" s="166"/>
      <c r="R2492" s="164">
        <f>$L2492*'Pivot Objective'!$C$9*P2492*Q2492</f>
        <v>0</v>
      </c>
      <c r="S2492" s="166">
        <v>25</v>
      </c>
      <c r="T2492" s="166">
        <v>5</v>
      </c>
      <c r="U2492" s="164">
        <f>($L2492*'Pivot Objective'!$C$9^2)*S2492*T2492</f>
        <v>5714925.2736086138</v>
      </c>
      <c r="V2492" s="166">
        <v>25</v>
      </c>
      <c r="W2492" s="166">
        <v>5</v>
      </c>
      <c r="X2492" s="164">
        <f>($L2492*'Pivot Objective'!$C$9^3)*V2492*W2492</f>
        <v>6531708.6629857821</v>
      </c>
      <c r="Y2492" s="166">
        <v>25</v>
      </c>
      <c r="Z2492" s="166">
        <v>5</v>
      </c>
      <c r="AA2492" s="164">
        <f>($L2492*'Pivot Objective'!$C$9^4)*Y2492*Z2492</f>
        <v>7465227.6303841127</v>
      </c>
      <c r="AB2492" s="166">
        <v>25</v>
      </c>
      <c r="AC2492" s="166">
        <v>5</v>
      </c>
      <c r="AD2492" s="164">
        <f>($L2492*'Pivot Objective'!$C$9^5)*AB2492*AC2492</f>
        <v>8532166.152673319</v>
      </c>
      <c r="AE2492" s="166">
        <v>25</v>
      </c>
      <c r="AF2492" s="166">
        <v>5</v>
      </c>
      <c r="AG2492" s="164">
        <f>($L2492*'Pivot Objective'!$C$9^6)*AE2492*AF2492</f>
        <v>9751592.6989996582</v>
      </c>
      <c r="AH2492" s="166">
        <v>25</v>
      </c>
      <c r="AI2492" s="166">
        <v>5</v>
      </c>
      <c r="AJ2492" s="164">
        <f>($L2492*'Pivot Objective'!$C$9^7)*AH2492*AI2492</f>
        <v>11145301.025037881</v>
      </c>
      <c r="AK2492" s="185">
        <f t="shared" si="271"/>
        <v>49140921.443689376</v>
      </c>
      <c r="AL2492" s="186">
        <f t="shared" si="272"/>
        <v>47709.632469601333</v>
      </c>
    </row>
    <row r="2493" spans="1:38" customFormat="1" ht="57.6" x14ac:dyDescent="0.3">
      <c r="A2493" s="140" t="s">
        <v>1488</v>
      </c>
      <c r="B2493" s="140">
        <v>4</v>
      </c>
      <c r="C2493" s="166" t="s">
        <v>697</v>
      </c>
      <c r="D2493" s="140" t="str">
        <f t="shared" si="274"/>
        <v>2</v>
      </c>
      <c r="E2493" s="166" t="s">
        <v>693</v>
      </c>
      <c r="F2493" s="140">
        <f t="shared" si="273"/>
        <v>4</v>
      </c>
      <c r="G2493" s="140" t="str">
        <f t="shared" si="275"/>
        <v>4.2.4</v>
      </c>
      <c r="H2493" s="166" t="s">
        <v>673</v>
      </c>
      <c r="I2493" s="166" t="s">
        <v>114</v>
      </c>
      <c r="J2493" s="166" t="s">
        <v>152</v>
      </c>
      <c r="K2493" s="166" t="s">
        <v>712</v>
      </c>
      <c r="L2493" s="177">
        <f>1480/7</f>
        <v>211.42857142857142</v>
      </c>
      <c r="M2493" s="140"/>
      <c r="N2493" s="140"/>
      <c r="O2493" s="164">
        <f t="shared" si="270"/>
        <v>0</v>
      </c>
      <c r="P2493" s="166"/>
      <c r="Q2493" s="166"/>
      <c r="R2493" s="164">
        <f>$L2493*'Pivot Objective'!$C$9*P2493*Q2493</f>
        <v>0</v>
      </c>
      <c r="S2493" s="166">
        <f>25*2*9</f>
        <v>450</v>
      </c>
      <c r="T2493" s="166">
        <v>5</v>
      </c>
      <c r="U2493" s="164">
        <f>($L2493*'Pivot Objective'!$C$9^2)*S2493*T2493</f>
        <v>621410.65015891218</v>
      </c>
      <c r="V2493" s="166">
        <v>450</v>
      </c>
      <c r="W2493" s="166">
        <v>5</v>
      </c>
      <c r="X2493" s="164">
        <f>($L2493*'Pivot Objective'!$C$9^3)*V2493*W2493</f>
        <v>710223.34196710703</v>
      </c>
      <c r="Y2493" s="166">
        <v>450</v>
      </c>
      <c r="Z2493" s="166">
        <v>5</v>
      </c>
      <c r="AA2493" s="164">
        <f>($L2493*'Pivot Objective'!$C$9^4)*Y2493*Z2493</f>
        <v>811729.24111605203</v>
      </c>
      <c r="AB2493" s="166">
        <v>450</v>
      </c>
      <c r="AC2493" s="166">
        <v>5</v>
      </c>
      <c r="AD2493" s="164">
        <f>($L2493*'Pivot Objective'!$C$9^5)*AB2493*AC2493</f>
        <v>927742.47472333559</v>
      </c>
      <c r="AE2493" s="166">
        <v>450</v>
      </c>
      <c r="AF2493" s="166">
        <v>5</v>
      </c>
      <c r="AG2493" s="164">
        <f>($L2493*'Pivot Objective'!$C$9^6)*AE2493*AF2493</f>
        <v>1060336.4469442894</v>
      </c>
      <c r="AH2493" s="166">
        <v>450</v>
      </c>
      <c r="AI2493" s="166">
        <v>5</v>
      </c>
      <c r="AJ2493" s="164">
        <f>($L2493*'Pivot Objective'!$C$9^7)*AH2493*AI2493</f>
        <v>1211880.8951306494</v>
      </c>
      <c r="AK2493" s="185">
        <f t="shared" si="271"/>
        <v>5343323.0500403456</v>
      </c>
      <c r="AL2493" s="186">
        <f t="shared" si="272"/>
        <v>5187.6922815925682</v>
      </c>
    </row>
    <row r="2494" spans="1:38" customFormat="1" ht="57.6" x14ac:dyDescent="0.3">
      <c r="A2494" s="140" t="s">
        <v>1488</v>
      </c>
      <c r="B2494" s="140">
        <v>4</v>
      </c>
      <c r="C2494" s="166" t="s">
        <v>697</v>
      </c>
      <c r="D2494" s="140" t="str">
        <f t="shared" si="274"/>
        <v>2</v>
      </c>
      <c r="E2494" s="166" t="s">
        <v>693</v>
      </c>
      <c r="F2494" s="140">
        <f t="shared" si="273"/>
        <v>4</v>
      </c>
      <c r="G2494" s="140" t="str">
        <f t="shared" si="275"/>
        <v>4.2.4</v>
      </c>
      <c r="H2494" s="166" t="s">
        <v>673</v>
      </c>
      <c r="I2494" s="166" t="s">
        <v>114</v>
      </c>
      <c r="J2494" s="166" t="s">
        <v>152</v>
      </c>
      <c r="K2494" s="166" t="s">
        <v>1350</v>
      </c>
      <c r="L2494" s="177">
        <f>1480/7</f>
        <v>211.42857142857142</v>
      </c>
      <c r="M2494" s="140"/>
      <c r="N2494" s="140"/>
      <c r="O2494" s="164">
        <f t="shared" si="270"/>
        <v>0</v>
      </c>
      <c r="P2494" s="166"/>
      <c r="Q2494" s="166"/>
      <c r="R2494" s="164">
        <f>$L2494*'Pivot Objective'!$C$9*P2494*Q2494</f>
        <v>0</v>
      </c>
      <c r="S2494" s="166">
        <f>135*2*9</f>
        <v>2430</v>
      </c>
      <c r="T2494" s="166">
        <v>1</v>
      </c>
      <c r="U2494" s="164">
        <f>($L2494*'Pivot Objective'!$C$9^2)*S2494*T2494</f>
        <v>671123.50217162515</v>
      </c>
      <c r="V2494" s="166">
        <v>2430</v>
      </c>
      <c r="W2494" s="166">
        <v>1</v>
      </c>
      <c r="X2494" s="164">
        <f>($L2494*'Pivot Objective'!$C$9^3)*V2494*W2494</f>
        <v>767041.20932447549</v>
      </c>
      <c r="Y2494" s="166">
        <v>2430</v>
      </c>
      <c r="Z2494" s="166">
        <v>1</v>
      </c>
      <c r="AA2494" s="164">
        <f>($L2494*'Pivot Objective'!$C$9^4)*Y2494*Z2494</f>
        <v>876667.58040533611</v>
      </c>
      <c r="AB2494" s="166">
        <v>2430</v>
      </c>
      <c r="AC2494" s="166">
        <v>1</v>
      </c>
      <c r="AD2494" s="164">
        <f>($L2494*'Pivot Objective'!$C$9^5)*AB2494*AC2494</f>
        <v>1001961.8727012025</v>
      </c>
      <c r="AE2494" s="166">
        <v>2430</v>
      </c>
      <c r="AF2494" s="166">
        <v>1</v>
      </c>
      <c r="AG2494" s="164">
        <f>($L2494*'Pivot Objective'!$C$9^6)*AE2494*AF2494</f>
        <v>1145163.3626998325</v>
      </c>
      <c r="AH2494" s="166">
        <v>2430</v>
      </c>
      <c r="AI2494" s="166">
        <v>1</v>
      </c>
      <c r="AJ2494" s="164">
        <f>($L2494*'Pivot Objective'!$C$9^7)*AH2494*AI2494</f>
        <v>1308831.3667411015</v>
      </c>
      <c r="AK2494" s="185">
        <f t="shared" si="271"/>
        <v>5770788.8940435732</v>
      </c>
      <c r="AL2494" s="186">
        <f t="shared" si="272"/>
        <v>5602.7076641199737</v>
      </c>
    </row>
    <row r="2495" spans="1:38" customFormat="1" ht="57.6" x14ac:dyDescent="0.3">
      <c r="A2495" s="140" t="s">
        <v>1488</v>
      </c>
      <c r="B2495" s="140">
        <v>4</v>
      </c>
      <c r="C2495" s="166" t="s">
        <v>697</v>
      </c>
      <c r="D2495" s="140" t="str">
        <f t="shared" si="274"/>
        <v>2</v>
      </c>
      <c r="E2495" s="166" t="s">
        <v>693</v>
      </c>
      <c r="F2495" s="140">
        <f t="shared" si="273"/>
        <v>4</v>
      </c>
      <c r="G2495" s="140" t="str">
        <f t="shared" si="275"/>
        <v>4.2.4</v>
      </c>
      <c r="H2495" s="166" t="s">
        <v>673</v>
      </c>
      <c r="I2495" s="166" t="s">
        <v>114</v>
      </c>
      <c r="J2495" s="166" t="s">
        <v>180</v>
      </c>
      <c r="K2495" s="166" t="s">
        <v>716</v>
      </c>
      <c r="L2495" s="177">
        <v>39000</v>
      </c>
      <c r="M2495" s="140"/>
      <c r="N2495" s="140"/>
      <c r="O2495" s="164">
        <f t="shared" si="270"/>
        <v>0</v>
      </c>
      <c r="P2495" s="166"/>
      <c r="Q2495" s="166"/>
      <c r="R2495" s="164">
        <f>$L2495*'Pivot Objective'!$C$9*P2495*Q2495</f>
        <v>0</v>
      </c>
      <c r="S2495" s="166">
        <v>25</v>
      </c>
      <c r="T2495" s="166">
        <v>5</v>
      </c>
      <c r="U2495" s="164">
        <f>($L2495*'Pivot Objective'!$C$9^2)*S2495*T2495</f>
        <v>6368059.5905924551</v>
      </c>
      <c r="V2495" s="166">
        <v>25</v>
      </c>
      <c r="W2495" s="166">
        <v>5</v>
      </c>
      <c r="X2495" s="164">
        <f>($L2495*'Pivot Objective'!$C$9^3)*V2495*W2495</f>
        <v>7278189.6530412994</v>
      </c>
      <c r="Y2495" s="166">
        <v>25</v>
      </c>
      <c r="Z2495" s="166">
        <v>5</v>
      </c>
      <c r="AA2495" s="164">
        <f>($L2495*'Pivot Objective'!$C$9^4)*Y2495*Z2495</f>
        <v>8318396.502428012</v>
      </c>
      <c r="AB2495" s="166">
        <v>25</v>
      </c>
      <c r="AC2495" s="166">
        <v>5</v>
      </c>
      <c r="AD2495" s="164">
        <f>($L2495*'Pivot Objective'!$C$9^5)*AB2495*AC2495</f>
        <v>9507270.8558359854</v>
      </c>
      <c r="AE2495" s="166">
        <v>25</v>
      </c>
      <c r="AF2495" s="166">
        <v>5</v>
      </c>
      <c r="AG2495" s="164">
        <f>($L2495*'Pivot Objective'!$C$9^6)*AE2495*AF2495</f>
        <v>10866060.436028194</v>
      </c>
      <c r="AH2495" s="166">
        <v>25</v>
      </c>
      <c r="AI2495" s="166">
        <v>5</v>
      </c>
      <c r="AJ2495" s="164">
        <f>($L2495*'Pivot Objective'!$C$9^7)*AH2495*AI2495</f>
        <v>12419049.713613637</v>
      </c>
      <c r="AK2495" s="185">
        <f t="shared" si="271"/>
        <v>54757026.751539581</v>
      </c>
      <c r="AL2495" s="186">
        <f t="shared" si="272"/>
        <v>53162.16189469862</v>
      </c>
    </row>
    <row r="2496" spans="1:38" customFormat="1" ht="57.6" x14ac:dyDescent="0.3">
      <c r="A2496" s="140" t="s">
        <v>1488</v>
      </c>
      <c r="B2496" s="140">
        <v>4</v>
      </c>
      <c r="C2496" s="166" t="s">
        <v>697</v>
      </c>
      <c r="D2496" s="140" t="str">
        <f t="shared" si="274"/>
        <v>2</v>
      </c>
      <c r="E2496" s="166" t="s">
        <v>693</v>
      </c>
      <c r="F2496" s="140">
        <f t="shared" si="273"/>
        <v>4</v>
      </c>
      <c r="G2496" s="140" t="str">
        <f t="shared" si="275"/>
        <v>4.2.4</v>
      </c>
      <c r="H2496" s="166" t="s">
        <v>673</v>
      </c>
      <c r="I2496" s="166" t="s">
        <v>114</v>
      </c>
      <c r="J2496" s="166" t="s">
        <v>180</v>
      </c>
      <c r="K2496" s="166" t="s">
        <v>709</v>
      </c>
      <c r="L2496" s="177">
        <v>35000</v>
      </c>
      <c r="M2496" s="140"/>
      <c r="N2496" s="140"/>
      <c r="O2496" s="164">
        <f t="shared" si="270"/>
        <v>0</v>
      </c>
      <c r="P2496" s="166"/>
      <c r="Q2496" s="166"/>
      <c r="R2496" s="164">
        <f>$L2496*'Pivot Objective'!$C$9*P2496*Q2496</f>
        <v>0</v>
      </c>
      <c r="S2496" s="166">
        <v>25</v>
      </c>
      <c r="T2496" s="166">
        <v>5</v>
      </c>
      <c r="U2496" s="164">
        <f>($L2496*'Pivot Objective'!$C$9^2)*S2496*T2496</f>
        <v>5714925.2736086138</v>
      </c>
      <c r="V2496" s="166">
        <v>25</v>
      </c>
      <c r="W2496" s="166">
        <v>5</v>
      </c>
      <c r="X2496" s="164">
        <f>($L2496*'Pivot Objective'!$C$9^3)*V2496*W2496</f>
        <v>6531708.6629857821</v>
      </c>
      <c r="Y2496" s="166">
        <v>25</v>
      </c>
      <c r="Z2496" s="166">
        <v>5</v>
      </c>
      <c r="AA2496" s="164">
        <f>($L2496*'Pivot Objective'!$C$9^4)*Y2496*Z2496</f>
        <v>7465227.6303841127</v>
      </c>
      <c r="AB2496" s="166">
        <v>25</v>
      </c>
      <c r="AC2496" s="166">
        <v>5</v>
      </c>
      <c r="AD2496" s="164">
        <f>($L2496*'Pivot Objective'!$C$9^5)*AB2496*AC2496</f>
        <v>8532166.152673319</v>
      </c>
      <c r="AE2496" s="166">
        <v>25</v>
      </c>
      <c r="AF2496" s="166">
        <v>5</v>
      </c>
      <c r="AG2496" s="164">
        <f>($L2496*'Pivot Objective'!$C$9^6)*AE2496*AF2496</f>
        <v>9751592.6989996582</v>
      </c>
      <c r="AH2496" s="166">
        <v>25</v>
      </c>
      <c r="AI2496" s="166">
        <v>5</v>
      </c>
      <c r="AJ2496" s="164">
        <f>($L2496*'Pivot Objective'!$C$9^7)*AH2496*AI2496</f>
        <v>11145301.025037881</v>
      </c>
      <c r="AK2496" s="185">
        <f t="shared" si="271"/>
        <v>49140921.443689376</v>
      </c>
      <c r="AL2496" s="186">
        <f t="shared" si="272"/>
        <v>47709.632469601333</v>
      </c>
    </row>
    <row r="2497" spans="1:38" customFormat="1" ht="57.6" x14ac:dyDescent="0.3">
      <c r="A2497" s="140" t="s">
        <v>1488</v>
      </c>
      <c r="B2497" s="140">
        <v>4</v>
      </c>
      <c r="C2497" s="166" t="s">
        <v>697</v>
      </c>
      <c r="D2497" s="140" t="str">
        <f t="shared" si="274"/>
        <v>2</v>
      </c>
      <c r="E2497" s="166" t="s">
        <v>693</v>
      </c>
      <c r="F2497" s="140">
        <f t="shared" si="273"/>
        <v>4</v>
      </c>
      <c r="G2497" s="140" t="str">
        <f t="shared" si="275"/>
        <v>4.2.4</v>
      </c>
      <c r="H2497" s="166" t="s">
        <v>673</v>
      </c>
      <c r="I2497" s="166" t="s">
        <v>114</v>
      </c>
      <c r="J2497" s="166" t="s">
        <v>180</v>
      </c>
      <c r="K2497" s="166" t="s">
        <v>1350</v>
      </c>
      <c r="L2497" s="177">
        <f>1480/7</f>
        <v>211.42857142857142</v>
      </c>
      <c r="M2497" s="140"/>
      <c r="N2497" s="140"/>
      <c r="O2497" s="164">
        <f t="shared" si="270"/>
        <v>0</v>
      </c>
      <c r="P2497" s="166"/>
      <c r="Q2497" s="166"/>
      <c r="R2497" s="164">
        <f>$L2497*'Pivot Objective'!$C$9*P2497*Q2497</f>
        <v>0</v>
      </c>
      <c r="S2497" s="166">
        <f>135*2*9</f>
        <v>2430</v>
      </c>
      <c r="T2497" s="166">
        <v>1</v>
      </c>
      <c r="U2497" s="164">
        <f>($L2497*'Pivot Objective'!$C$9^2)*S2497*T2497</f>
        <v>671123.50217162515</v>
      </c>
      <c r="V2497" s="166">
        <v>2430</v>
      </c>
      <c r="W2497" s="166">
        <v>1</v>
      </c>
      <c r="X2497" s="164">
        <f>($L2497*'Pivot Objective'!$C$9^3)*V2497*W2497</f>
        <v>767041.20932447549</v>
      </c>
      <c r="Y2497" s="166">
        <v>2430</v>
      </c>
      <c r="Z2497" s="166">
        <v>1</v>
      </c>
      <c r="AA2497" s="164">
        <f>($L2497*'Pivot Objective'!$C$9^4)*Y2497*Z2497</f>
        <v>876667.58040533611</v>
      </c>
      <c r="AB2497" s="166">
        <v>2430</v>
      </c>
      <c r="AC2497" s="166">
        <v>1</v>
      </c>
      <c r="AD2497" s="164">
        <f>($L2497*'Pivot Objective'!$C$9^5)*AB2497*AC2497</f>
        <v>1001961.8727012025</v>
      </c>
      <c r="AE2497" s="166">
        <v>2430</v>
      </c>
      <c r="AF2497" s="166">
        <v>1</v>
      </c>
      <c r="AG2497" s="164">
        <f>($L2497*'Pivot Objective'!$C$9^6)*AE2497*AF2497</f>
        <v>1145163.3626998325</v>
      </c>
      <c r="AH2497" s="166">
        <v>2430</v>
      </c>
      <c r="AI2497" s="166">
        <v>1</v>
      </c>
      <c r="AJ2497" s="164">
        <f>($L2497*'Pivot Objective'!$C$9^7)*AH2497*AI2497</f>
        <v>1308831.3667411015</v>
      </c>
      <c r="AK2497" s="185">
        <f t="shared" si="271"/>
        <v>5770788.8940435732</v>
      </c>
      <c r="AL2497" s="186">
        <f t="shared" si="272"/>
        <v>5602.7076641199737</v>
      </c>
    </row>
    <row r="2498" spans="1:38" customFormat="1" ht="57.6" x14ac:dyDescent="0.3">
      <c r="A2498" s="140" t="s">
        <v>1488</v>
      </c>
      <c r="B2498" s="140">
        <v>4</v>
      </c>
      <c r="C2498" s="166" t="s">
        <v>697</v>
      </c>
      <c r="D2498" s="140" t="str">
        <f t="shared" si="274"/>
        <v>2</v>
      </c>
      <c r="E2498" s="166" t="s">
        <v>693</v>
      </c>
      <c r="F2498" s="140">
        <f t="shared" si="273"/>
        <v>4</v>
      </c>
      <c r="G2498" s="140" t="str">
        <f t="shared" si="275"/>
        <v>4.2.4</v>
      </c>
      <c r="H2498" s="166" t="s">
        <v>673</v>
      </c>
      <c r="I2498" s="166" t="s">
        <v>114</v>
      </c>
      <c r="J2498" s="166" t="s">
        <v>180</v>
      </c>
      <c r="K2498" s="166" t="s">
        <v>712</v>
      </c>
      <c r="L2498" s="177">
        <f>1480/7</f>
        <v>211.42857142857142</v>
      </c>
      <c r="M2498" s="140"/>
      <c r="N2498" s="140"/>
      <c r="O2498" s="164">
        <f t="shared" si="270"/>
        <v>0</v>
      </c>
      <c r="P2498" s="166"/>
      <c r="Q2498" s="166"/>
      <c r="R2498" s="164">
        <f>$L2498*'Pivot Objective'!$C$9*P2498*Q2498</f>
        <v>0</v>
      </c>
      <c r="S2498" s="166">
        <f>25*2*9</f>
        <v>450</v>
      </c>
      <c r="T2498" s="166">
        <v>5</v>
      </c>
      <c r="U2498" s="164">
        <f>($L2498*'Pivot Objective'!$C$9^2)*S2498*T2498</f>
        <v>621410.65015891218</v>
      </c>
      <c r="V2498" s="166">
        <v>450</v>
      </c>
      <c r="W2498" s="166">
        <v>5</v>
      </c>
      <c r="X2498" s="164">
        <f>($L2498*'Pivot Objective'!$C$9^3)*V2498*W2498</f>
        <v>710223.34196710703</v>
      </c>
      <c r="Y2498" s="166">
        <v>450</v>
      </c>
      <c r="Z2498" s="166">
        <v>5</v>
      </c>
      <c r="AA2498" s="164">
        <f>($L2498*'Pivot Objective'!$C$9^4)*Y2498*Z2498</f>
        <v>811729.24111605203</v>
      </c>
      <c r="AB2498" s="166">
        <v>450</v>
      </c>
      <c r="AC2498" s="166">
        <v>5</v>
      </c>
      <c r="AD2498" s="164">
        <f>($L2498*'Pivot Objective'!$C$9^5)*AB2498*AC2498</f>
        <v>927742.47472333559</v>
      </c>
      <c r="AE2498" s="166">
        <v>450</v>
      </c>
      <c r="AF2498" s="166">
        <v>5</v>
      </c>
      <c r="AG2498" s="164">
        <f>($L2498*'Pivot Objective'!$C$9^6)*AE2498*AF2498</f>
        <v>1060336.4469442894</v>
      </c>
      <c r="AH2498" s="166">
        <v>450</v>
      </c>
      <c r="AI2498" s="166">
        <v>5</v>
      </c>
      <c r="AJ2498" s="164">
        <f>($L2498*'Pivot Objective'!$C$9^7)*AH2498*AI2498</f>
        <v>1211880.8951306494</v>
      </c>
      <c r="AK2498" s="185">
        <f t="shared" si="271"/>
        <v>5343323.0500403456</v>
      </c>
      <c r="AL2498" s="186">
        <f t="shared" si="272"/>
        <v>5187.6922815925682</v>
      </c>
    </row>
    <row r="2499" spans="1:38" customFormat="1" ht="57.6" x14ac:dyDescent="0.3">
      <c r="A2499" s="140" t="s">
        <v>1488</v>
      </c>
      <c r="B2499" s="140">
        <v>4</v>
      </c>
      <c r="C2499" s="166" t="s">
        <v>697</v>
      </c>
      <c r="D2499" s="140" t="str">
        <f t="shared" si="274"/>
        <v>2</v>
      </c>
      <c r="E2499" s="166" t="s">
        <v>693</v>
      </c>
      <c r="F2499" s="140">
        <f t="shared" si="273"/>
        <v>4</v>
      </c>
      <c r="G2499" s="140" t="str">
        <f t="shared" si="275"/>
        <v>4.2.4</v>
      </c>
      <c r="H2499" s="166" t="s">
        <v>673</v>
      </c>
      <c r="I2499" s="166" t="s">
        <v>114</v>
      </c>
      <c r="J2499" s="166" t="s">
        <v>175</v>
      </c>
      <c r="K2499" s="166" t="s">
        <v>709</v>
      </c>
      <c r="L2499" s="177">
        <v>35000</v>
      </c>
      <c r="M2499" s="140"/>
      <c r="N2499" s="140"/>
      <c r="O2499" s="164">
        <f t="shared" ref="O2499:O2562" si="276">$L2499*M2499*N2499</f>
        <v>0</v>
      </c>
      <c r="P2499" s="166"/>
      <c r="Q2499" s="166"/>
      <c r="R2499" s="164">
        <f>$L2499*'Pivot Objective'!$C$9*P2499*Q2499</f>
        <v>0</v>
      </c>
      <c r="S2499" s="166">
        <v>100</v>
      </c>
      <c r="T2499" s="166">
        <v>5</v>
      </c>
      <c r="U2499" s="164">
        <f>($L2499*'Pivot Objective'!$C$9^2)*S2499*T2499</f>
        <v>22859701.094434455</v>
      </c>
      <c r="V2499" s="166">
        <v>100</v>
      </c>
      <c r="W2499" s="166">
        <v>5</v>
      </c>
      <c r="X2499" s="164">
        <f>($L2499*'Pivot Objective'!$C$9^3)*V2499*W2499</f>
        <v>26126834.651943129</v>
      </c>
      <c r="Y2499" s="166">
        <v>100</v>
      </c>
      <c r="Z2499" s="166">
        <v>5</v>
      </c>
      <c r="AA2499" s="164">
        <f>($L2499*'Pivot Objective'!$C$9^4)*Y2499*Z2499</f>
        <v>29860910.521536451</v>
      </c>
      <c r="AB2499" s="166">
        <v>100</v>
      </c>
      <c r="AC2499" s="166">
        <v>5</v>
      </c>
      <c r="AD2499" s="164">
        <f>($L2499*'Pivot Objective'!$C$9^5)*AB2499*AC2499</f>
        <v>34128664.610693276</v>
      </c>
      <c r="AE2499" s="166">
        <v>100</v>
      </c>
      <c r="AF2499" s="166">
        <v>5</v>
      </c>
      <c r="AG2499" s="164">
        <f>($L2499*'Pivot Objective'!$C$9^6)*AE2499*AF2499</f>
        <v>39006370.795998633</v>
      </c>
      <c r="AH2499" s="166">
        <v>100</v>
      </c>
      <c r="AI2499" s="166">
        <v>5</v>
      </c>
      <c r="AJ2499" s="164">
        <f>($L2499*'Pivot Objective'!$C$9^7)*AH2499*AI2499</f>
        <v>44581204.100151524</v>
      </c>
      <c r="AK2499" s="185">
        <f t="shared" ref="AK2499:AK2562" si="277">O2499+R2499+U2499+X2499+AA2499+AD2499+AG2499+AJ2499</f>
        <v>196563685.7747575</v>
      </c>
      <c r="AL2499" s="186">
        <f t="shared" ref="AL2499:AL2562" si="278">AK2499/$AP$2</f>
        <v>190838.52987840533</v>
      </c>
    </row>
    <row r="2500" spans="1:38" customFormat="1" ht="57.6" x14ac:dyDescent="0.3">
      <c r="A2500" s="140" t="s">
        <v>1488</v>
      </c>
      <c r="B2500" s="140">
        <v>4</v>
      </c>
      <c r="C2500" s="166" t="s">
        <v>697</v>
      </c>
      <c r="D2500" s="140" t="str">
        <f t="shared" si="274"/>
        <v>2</v>
      </c>
      <c r="E2500" s="166" t="s">
        <v>693</v>
      </c>
      <c r="F2500" s="140">
        <f t="shared" si="273"/>
        <v>4</v>
      </c>
      <c r="G2500" s="140" t="str">
        <f t="shared" si="275"/>
        <v>4.2.4</v>
      </c>
      <c r="H2500" s="166" t="s">
        <v>673</v>
      </c>
      <c r="I2500" s="166" t="s">
        <v>114</v>
      </c>
      <c r="J2500" s="166" t="s">
        <v>554</v>
      </c>
      <c r="K2500" s="166" t="s">
        <v>709</v>
      </c>
      <c r="L2500" s="177">
        <v>35000</v>
      </c>
      <c r="M2500" s="140"/>
      <c r="N2500" s="140"/>
      <c r="O2500" s="164">
        <f t="shared" si="276"/>
        <v>0</v>
      </c>
      <c r="P2500" s="166"/>
      <c r="Q2500" s="166"/>
      <c r="R2500" s="164">
        <f>$L2500*'Pivot Objective'!$C$9*P2500*Q2500</f>
        <v>0</v>
      </c>
      <c r="S2500" s="166">
        <v>30</v>
      </c>
      <c r="T2500" s="166">
        <v>1</v>
      </c>
      <c r="U2500" s="164">
        <f>($L2500*'Pivot Objective'!$C$9^2)*S2500*T2500</f>
        <v>1371582.0656660672</v>
      </c>
      <c r="V2500" s="166">
        <v>30</v>
      </c>
      <c r="W2500" s="166">
        <v>1</v>
      </c>
      <c r="X2500" s="164">
        <f>($L2500*'Pivot Objective'!$C$9^3)*V2500*W2500</f>
        <v>1567610.0791165878</v>
      </c>
      <c r="Y2500" s="166">
        <v>30</v>
      </c>
      <c r="Z2500" s="166">
        <v>1</v>
      </c>
      <c r="AA2500" s="164">
        <f>($L2500*'Pivot Objective'!$C$9^4)*Y2500*Z2500</f>
        <v>1791654.6312921871</v>
      </c>
      <c r="AB2500" s="166">
        <v>30</v>
      </c>
      <c r="AC2500" s="166">
        <v>1</v>
      </c>
      <c r="AD2500" s="164">
        <f>($L2500*'Pivot Objective'!$C$9^5)*AB2500*AC2500</f>
        <v>2047719.8766415964</v>
      </c>
      <c r="AE2500" s="166">
        <v>30</v>
      </c>
      <c r="AF2500" s="166">
        <v>1</v>
      </c>
      <c r="AG2500" s="164">
        <f>($L2500*'Pivot Objective'!$C$9^6)*AE2500*AF2500</f>
        <v>2340382.2477599182</v>
      </c>
      <c r="AH2500" s="166">
        <v>30</v>
      </c>
      <c r="AI2500" s="166">
        <v>1</v>
      </c>
      <c r="AJ2500" s="164">
        <f>($L2500*'Pivot Objective'!$C$9^7)*AH2500*AI2500</f>
        <v>2674872.2460090914</v>
      </c>
      <c r="AK2500" s="185">
        <f t="shared" si="277"/>
        <v>11793821.146485448</v>
      </c>
      <c r="AL2500" s="186">
        <f t="shared" si="278"/>
        <v>11450.311792704319</v>
      </c>
    </row>
    <row r="2501" spans="1:38" customFormat="1" ht="57.6" x14ac:dyDescent="0.3">
      <c r="A2501" s="140" t="s">
        <v>1488</v>
      </c>
      <c r="B2501" s="140">
        <v>4</v>
      </c>
      <c r="C2501" s="166" t="s">
        <v>697</v>
      </c>
      <c r="D2501" s="140" t="str">
        <f t="shared" si="274"/>
        <v>2</v>
      </c>
      <c r="E2501" s="166" t="s">
        <v>693</v>
      </c>
      <c r="F2501" s="140">
        <f t="shared" ref="F2501:F2542" si="279">IF(H2501=H2500,F2500,F2500+1)</f>
        <v>4</v>
      </c>
      <c r="G2501" s="140" t="str">
        <f t="shared" si="275"/>
        <v>4.2.4</v>
      </c>
      <c r="H2501" s="166" t="s">
        <v>673</v>
      </c>
      <c r="I2501" s="166" t="s">
        <v>114</v>
      </c>
      <c r="J2501" s="166" t="s">
        <v>562</v>
      </c>
      <c r="K2501" s="166" t="s">
        <v>718</v>
      </c>
      <c r="L2501" s="177">
        <v>0</v>
      </c>
      <c r="M2501" s="140"/>
      <c r="N2501" s="140"/>
      <c r="O2501" s="164">
        <f t="shared" si="276"/>
        <v>0</v>
      </c>
      <c r="P2501" s="166">
        <v>0</v>
      </c>
      <c r="Q2501" s="166">
        <v>0</v>
      </c>
      <c r="R2501" s="164">
        <f>$L2501*'Pivot Objective'!$C$9*P2501*Q2501</f>
        <v>0</v>
      </c>
      <c r="S2501" s="166">
        <v>0</v>
      </c>
      <c r="T2501" s="166">
        <v>0</v>
      </c>
      <c r="U2501" s="164">
        <f>($L2501*'Pivot Objective'!$C$9^2)*S2501*T2501</f>
        <v>0</v>
      </c>
      <c r="V2501" s="166">
        <v>0</v>
      </c>
      <c r="W2501" s="166">
        <v>0</v>
      </c>
      <c r="X2501" s="164">
        <f>($L2501*'Pivot Objective'!$C$9^3)*V2501*W2501</f>
        <v>0</v>
      </c>
      <c r="Y2501" s="166">
        <v>0</v>
      </c>
      <c r="Z2501" s="166">
        <v>0</v>
      </c>
      <c r="AA2501" s="164">
        <f>($L2501*'Pivot Objective'!$C$9^4)*Y2501*Z2501</f>
        <v>0</v>
      </c>
      <c r="AB2501" s="166">
        <v>0</v>
      </c>
      <c r="AC2501" s="166">
        <v>0</v>
      </c>
      <c r="AD2501" s="164">
        <f>($L2501*'Pivot Objective'!$C$9^5)*AB2501*AC2501</f>
        <v>0</v>
      </c>
      <c r="AE2501" s="166">
        <v>0</v>
      </c>
      <c r="AF2501" s="166">
        <v>0</v>
      </c>
      <c r="AG2501" s="164">
        <f>($L2501*'Pivot Objective'!$C$9^6)*AE2501*AF2501</f>
        <v>0</v>
      </c>
      <c r="AH2501" s="166">
        <v>0</v>
      </c>
      <c r="AI2501" s="166">
        <v>0</v>
      </c>
      <c r="AJ2501" s="164">
        <f>($L2501*'Pivot Objective'!$C$9^7)*AH2501*AI2501</f>
        <v>0</v>
      </c>
      <c r="AK2501" s="185">
        <f t="shared" si="277"/>
        <v>0</v>
      </c>
      <c r="AL2501" s="186">
        <f t="shared" si="278"/>
        <v>0</v>
      </c>
    </row>
    <row r="2502" spans="1:38" customFormat="1" ht="57.6" x14ac:dyDescent="0.3">
      <c r="A2502" s="140" t="s">
        <v>1488</v>
      </c>
      <c r="B2502" s="140">
        <v>4</v>
      </c>
      <c r="C2502" s="166" t="s">
        <v>697</v>
      </c>
      <c r="D2502" s="140" t="str">
        <f t="shared" si="274"/>
        <v>2</v>
      </c>
      <c r="E2502" s="166" t="s">
        <v>693</v>
      </c>
      <c r="F2502" s="140">
        <f t="shared" si="279"/>
        <v>4</v>
      </c>
      <c r="G2502" s="140" t="str">
        <f t="shared" si="275"/>
        <v>4.2.4</v>
      </c>
      <c r="H2502" s="166" t="s">
        <v>673</v>
      </c>
      <c r="I2502" s="166" t="s">
        <v>114</v>
      </c>
      <c r="J2502" s="166" t="s">
        <v>183</v>
      </c>
      <c r="K2502" s="166" t="s">
        <v>1405</v>
      </c>
      <c r="L2502" s="177">
        <v>8000</v>
      </c>
      <c r="M2502" s="140"/>
      <c r="N2502" s="140"/>
      <c r="O2502" s="164">
        <f t="shared" si="276"/>
        <v>0</v>
      </c>
      <c r="P2502" s="166">
        <v>50000</v>
      </c>
      <c r="Q2502" s="166">
        <v>1</v>
      </c>
      <c r="R2502" s="164">
        <f>$L2502*'Pivot Objective'!$C$9*P2502*Q2502</f>
        <v>457168438.79999995</v>
      </c>
      <c r="S2502" s="166">
        <v>5</v>
      </c>
      <c r="T2502" s="166">
        <v>1</v>
      </c>
      <c r="U2502" s="164">
        <f>($L2502*'Pivot Objective'!$C$9^2)*S2502*T2502</f>
        <v>52250.745358707325</v>
      </c>
      <c r="V2502" s="166">
        <v>5</v>
      </c>
      <c r="W2502" s="166">
        <v>1</v>
      </c>
      <c r="X2502" s="164">
        <f>($L2502*'Pivot Objective'!$C$9^3)*V2502*W2502</f>
        <v>59718.479204441435</v>
      </c>
      <c r="Y2502" s="166">
        <v>5</v>
      </c>
      <c r="Z2502" s="166">
        <v>1</v>
      </c>
      <c r="AA2502" s="164">
        <f>($L2502*'Pivot Objective'!$C$9^4)*Y2502*Z2502</f>
        <v>68253.509763511887</v>
      </c>
      <c r="AB2502" s="166">
        <v>5</v>
      </c>
      <c r="AC2502" s="166">
        <v>1</v>
      </c>
      <c r="AD2502" s="164">
        <f>($L2502*'Pivot Objective'!$C$9^5)*AB2502*AC2502</f>
        <v>78008.376253013208</v>
      </c>
      <c r="AE2502" s="166">
        <v>5</v>
      </c>
      <c r="AF2502" s="166">
        <v>1</v>
      </c>
      <c r="AG2502" s="164">
        <f>($L2502*'Pivot Objective'!$C$9^6)*AE2502*AF2502</f>
        <v>89157.418962282609</v>
      </c>
      <c r="AH2502" s="166">
        <v>5</v>
      </c>
      <c r="AI2502" s="166">
        <v>1</v>
      </c>
      <c r="AJ2502" s="164">
        <f>($L2502*'Pivot Objective'!$C$9^7)*AH2502*AI2502</f>
        <v>101899.89508606063</v>
      </c>
      <c r="AK2502" s="185">
        <f t="shared" si="277"/>
        <v>457617727.22462797</v>
      </c>
      <c r="AL2502" s="186">
        <f t="shared" si="278"/>
        <v>444289.05555789126</v>
      </c>
    </row>
    <row r="2503" spans="1:38" customFormat="1" ht="57.6" x14ac:dyDescent="0.3">
      <c r="A2503" s="140" t="s">
        <v>1488</v>
      </c>
      <c r="B2503" s="140">
        <v>4</v>
      </c>
      <c r="C2503" s="166" t="s">
        <v>697</v>
      </c>
      <c r="D2503" s="140" t="str">
        <f t="shared" si="274"/>
        <v>2</v>
      </c>
      <c r="E2503" s="166" t="s">
        <v>693</v>
      </c>
      <c r="F2503" s="140">
        <f t="shared" si="279"/>
        <v>4</v>
      </c>
      <c r="G2503" s="140" t="str">
        <f t="shared" si="275"/>
        <v>4.2.4</v>
      </c>
      <c r="H2503" s="166" t="s">
        <v>673</v>
      </c>
      <c r="I2503" s="166" t="s">
        <v>114</v>
      </c>
      <c r="J2503" s="166" t="s">
        <v>183</v>
      </c>
      <c r="K2503" s="166" t="s">
        <v>717</v>
      </c>
      <c r="L2503" s="177">
        <v>104850</v>
      </c>
      <c r="M2503" s="140"/>
      <c r="N2503" s="140"/>
      <c r="O2503" s="164">
        <f t="shared" si="276"/>
        <v>0</v>
      </c>
      <c r="P2503" s="166">
        <v>5</v>
      </c>
      <c r="Q2503" s="166">
        <v>1</v>
      </c>
      <c r="R2503" s="164">
        <f>$L2503*'Pivot Objective'!$C$9*P2503*Q2503</f>
        <v>599176.38510224991</v>
      </c>
      <c r="S2503" s="166">
        <v>1</v>
      </c>
      <c r="T2503" s="166">
        <v>1</v>
      </c>
      <c r="U2503" s="164">
        <f>($L2503*'Pivot Objective'!$C$9^2)*S2503*T2503</f>
        <v>136962.26627151159</v>
      </c>
      <c r="V2503" s="166">
        <v>1</v>
      </c>
      <c r="W2503" s="166">
        <v>1</v>
      </c>
      <c r="X2503" s="164">
        <f>($L2503*'Pivot Objective'!$C$9^3)*V2503*W2503</f>
        <v>156537.0636146421</v>
      </c>
      <c r="Y2503" s="166">
        <v>1</v>
      </c>
      <c r="Z2503" s="166">
        <v>1</v>
      </c>
      <c r="AA2503" s="164">
        <f>($L2503*'Pivot Objective'!$C$9^4)*Y2503*Z2503</f>
        <v>178909.51246760553</v>
      </c>
      <c r="AB2503" s="166">
        <v>1</v>
      </c>
      <c r="AC2503" s="166">
        <v>1</v>
      </c>
      <c r="AD2503" s="164">
        <f>($L2503*'Pivot Objective'!$C$9^5)*AB2503*AC2503</f>
        <v>204479.45625321087</v>
      </c>
      <c r="AE2503" s="166">
        <v>1</v>
      </c>
      <c r="AF2503" s="166">
        <v>1</v>
      </c>
      <c r="AG2503" s="164">
        <f>($L2503*'Pivot Objective'!$C$9^6)*AE2503*AF2503</f>
        <v>233703.88445488326</v>
      </c>
      <c r="AH2503" s="166">
        <v>1</v>
      </c>
      <c r="AI2503" s="166">
        <v>1</v>
      </c>
      <c r="AJ2503" s="164">
        <f>($L2503*'Pivot Objective'!$C$9^7)*AH2503*AI2503</f>
        <v>267105.09999433643</v>
      </c>
      <c r="AK2503" s="185">
        <f t="shared" si="277"/>
        <v>1776873.6681584395</v>
      </c>
      <c r="AL2503" s="186">
        <f t="shared" si="278"/>
        <v>1725.1200661732421</v>
      </c>
    </row>
    <row r="2504" spans="1:38" customFormat="1" ht="57.6" x14ac:dyDescent="0.3">
      <c r="A2504" s="140" t="s">
        <v>1488</v>
      </c>
      <c r="B2504" s="140">
        <v>4</v>
      </c>
      <c r="C2504" s="166" t="s">
        <v>697</v>
      </c>
      <c r="D2504" s="140" t="str">
        <f t="shared" si="274"/>
        <v>2</v>
      </c>
      <c r="E2504" s="166" t="s">
        <v>693</v>
      </c>
      <c r="F2504" s="140">
        <f t="shared" si="279"/>
        <v>4</v>
      </c>
      <c r="G2504" s="140" t="str">
        <f t="shared" si="275"/>
        <v>4.2.4</v>
      </c>
      <c r="H2504" s="166" t="s">
        <v>673</v>
      </c>
      <c r="I2504" s="166" t="s">
        <v>114</v>
      </c>
      <c r="J2504" s="166" t="s">
        <v>183</v>
      </c>
      <c r="K2504" s="166" t="s">
        <v>709</v>
      </c>
      <c r="L2504" s="177">
        <v>35000</v>
      </c>
      <c r="M2504" s="140"/>
      <c r="N2504" s="140"/>
      <c r="O2504" s="164">
        <f t="shared" si="276"/>
        <v>0</v>
      </c>
      <c r="P2504" s="166">
        <v>50</v>
      </c>
      <c r="Q2504" s="166">
        <v>1</v>
      </c>
      <c r="R2504" s="164">
        <f>$L2504*'Pivot Objective'!$C$9*P2504*Q2504</f>
        <v>2000111.9197499997</v>
      </c>
      <c r="S2504" s="166">
        <v>100</v>
      </c>
      <c r="T2504" s="166">
        <v>1</v>
      </c>
      <c r="U2504" s="164">
        <f>($L2504*'Pivot Objective'!$C$9^2)*S2504*T2504</f>
        <v>4571940.2188868914</v>
      </c>
      <c r="V2504" s="166">
        <v>100</v>
      </c>
      <c r="W2504" s="166">
        <v>1</v>
      </c>
      <c r="X2504" s="164">
        <f>($L2504*'Pivot Objective'!$C$9^3)*V2504*W2504</f>
        <v>5225366.9303886257</v>
      </c>
      <c r="Y2504" s="166">
        <v>100</v>
      </c>
      <c r="Z2504" s="166">
        <v>1</v>
      </c>
      <c r="AA2504" s="164">
        <f>($L2504*'Pivot Objective'!$C$9^4)*Y2504*Z2504</f>
        <v>5972182.1043072902</v>
      </c>
      <c r="AB2504" s="166">
        <v>100</v>
      </c>
      <c r="AC2504" s="166">
        <v>1</v>
      </c>
      <c r="AD2504" s="164">
        <f>($L2504*'Pivot Objective'!$C$9^5)*AB2504*AC2504</f>
        <v>6825732.9221386546</v>
      </c>
      <c r="AE2504" s="166">
        <v>100</v>
      </c>
      <c r="AF2504" s="166">
        <v>1</v>
      </c>
      <c r="AG2504" s="164">
        <f>($L2504*'Pivot Objective'!$C$9^6)*AE2504*AF2504</f>
        <v>7801274.1591997268</v>
      </c>
      <c r="AH2504" s="166">
        <v>100</v>
      </c>
      <c r="AI2504" s="166">
        <v>1</v>
      </c>
      <c r="AJ2504" s="164">
        <f>($L2504*'Pivot Objective'!$C$9^7)*AH2504*AI2504</f>
        <v>8916240.8200303055</v>
      </c>
      <c r="AK2504" s="185">
        <f t="shared" si="277"/>
        <v>41312849.074701488</v>
      </c>
      <c r="AL2504" s="186">
        <f t="shared" si="278"/>
        <v>40109.562208448049</v>
      </c>
    </row>
    <row r="2505" spans="1:38" customFormat="1" ht="57.6" x14ac:dyDescent="0.3">
      <c r="A2505" s="140" t="s">
        <v>1488</v>
      </c>
      <c r="B2505" s="140">
        <v>4</v>
      </c>
      <c r="C2505" s="166" t="s">
        <v>697</v>
      </c>
      <c r="D2505" s="140" t="str">
        <f t="shared" si="274"/>
        <v>2</v>
      </c>
      <c r="E2505" s="166" t="s">
        <v>693</v>
      </c>
      <c r="F2505" s="140">
        <f t="shared" si="279"/>
        <v>4</v>
      </c>
      <c r="G2505" s="140" t="str">
        <f t="shared" si="275"/>
        <v>4.2.4</v>
      </c>
      <c r="H2505" s="166" t="s">
        <v>673</v>
      </c>
      <c r="I2505" s="166" t="s">
        <v>115</v>
      </c>
      <c r="J2505" s="166" t="s">
        <v>564</v>
      </c>
      <c r="K2505" s="166" t="s">
        <v>718</v>
      </c>
      <c r="L2505" s="177">
        <v>0</v>
      </c>
      <c r="M2505" s="166">
        <v>0</v>
      </c>
      <c r="N2505" s="166">
        <v>0</v>
      </c>
      <c r="O2505" s="164">
        <f t="shared" si="276"/>
        <v>0</v>
      </c>
      <c r="P2505" s="166">
        <v>0</v>
      </c>
      <c r="Q2505" s="166">
        <v>0</v>
      </c>
      <c r="R2505" s="164">
        <f>$L2505*'Pivot Objective'!$C$9*P2505*Q2505</f>
        <v>0</v>
      </c>
      <c r="S2505" s="166">
        <v>0</v>
      </c>
      <c r="T2505" s="166">
        <v>0</v>
      </c>
      <c r="U2505" s="164">
        <f>($L2505*'Pivot Objective'!$C$9^2)*S2505*T2505</f>
        <v>0</v>
      </c>
      <c r="V2505" s="166">
        <v>0</v>
      </c>
      <c r="W2505" s="166">
        <v>0</v>
      </c>
      <c r="X2505" s="164">
        <f>($L2505*'Pivot Objective'!$C$9^3)*V2505*W2505</f>
        <v>0</v>
      </c>
      <c r="Y2505" s="166">
        <v>0</v>
      </c>
      <c r="Z2505" s="166">
        <v>0</v>
      </c>
      <c r="AA2505" s="164">
        <f>($L2505*'Pivot Objective'!$C$9^4)*Y2505*Z2505</f>
        <v>0</v>
      </c>
      <c r="AB2505" s="166">
        <v>0</v>
      </c>
      <c r="AC2505" s="166">
        <v>0</v>
      </c>
      <c r="AD2505" s="164">
        <f>($L2505*'Pivot Objective'!$C$9^5)*AB2505*AC2505</f>
        <v>0</v>
      </c>
      <c r="AE2505" s="166">
        <v>0</v>
      </c>
      <c r="AF2505" s="166">
        <v>0</v>
      </c>
      <c r="AG2505" s="164">
        <f>($L2505*'Pivot Objective'!$C$9^6)*AE2505*AF2505</f>
        <v>0</v>
      </c>
      <c r="AH2505" s="166">
        <v>0</v>
      </c>
      <c r="AI2505" s="166">
        <v>0</v>
      </c>
      <c r="AJ2505" s="164">
        <f>($L2505*'Pivot Objective'!$C$9^7)*AH2505*AI2505</f>
        <v>0</v>
      </c>
      <c r="AK2505" s="185">
        <f t="shared" si="277"/>
        <v>0</v>
      </c>
      <c r="AL2505" s="186">
        <f t="shared" si="278"/>
        <v>0</v>
      </c>
    </row>
    <row r="2506" spans="1:38" customFormat="1" ht="57.6" x14ac:dyDescent="0.3">
      <c r="A2506" s="140" t="s">
        <v>1488</v>
      </c>
      <c r="B2506" s="140">
        <v>4</v>
      </c>
      <c r="C2506" s="166" t="s">
        <v>697</v>
      </c>
      <c r="D2506" s="140" t="str">
        <f t="shared" si="274"/>
        <v>2</v>
      </c>
      <c r="E2506" s="166" t="s">
        <v>693</v>
      </c>
      <c r="F2506" s="140">
        <f t="shared" si="279"/>
        <v>4</v>
      </c>
      <c r="G2506" s="140" t="str">
        <f t="shared" si="275"/>
        <v>4.2.4</v>
      </c>
      <c r="H2506" s="166" t="s">
        <v>673</v>
      </c>
      <c r="I2506" s="166" t="s">
        <v>115</v>
      </c>
      <c r="J2506" s="166" t="s">
        <v>149</v>
      </c>
      <c r="K2506" s="166" t="s">
        <v>707</v>
      </c>
      <c r="L2506" s="177">
        <v>391991.03749999998</v>
      </c>
      <c r="M2506" s="140"/>
      <c r="N2506" s="140"/>
      <c r="O2506" s="164">
        <f t="shared" si="276"/>
        <v>0</v>
      </c>
      <c r="P2506" s="166">
        <v>0</v>
      </c>
      <c r="Q2506" s="166">
        <v>0</v>
      </c>
      <c r="R2506" s="164">
        <f>$L2506*'Pivot Objective'!$C$9*P2506*Q2506</f>
        <v>0</v>
      </c>
      <c r="S2506" s="166">
        <v>2</v>
      </c>
      <c r="T2506" s="166">
        <v>2</v>
      </c>
      <c r="U2506" s="164">
        <f>($L2506*'Pivot Objective'!$C$9^2)*S2506*T2506</f>
        <v>2048182.3883307995</v>
      </c>
      <c r="V2506" s="166">
        <v>2</v>
      </c>
      <c r="W2506" s="166">
        <v>2</v>
      </c>
      <c r="X2506" s="164">
        <f>($L2506*'Pivot Objective'!$C$9^3)*V2506*W2506</f>
        <v>2340910.8621271173</v>
      </c>
      <c r="Y2506" s="166">
        <v>2</v>
      </c>
      <c r="Z2506" s="166">
        <v>2</v>
      </c>
      <c r="AA2506" s="164">
        <f>($L2506*'Pivot Objective'!$C$9^4)*Y2506*Z2506</f>
        <v>2675476.4105215403</v>
      </c>
      <c r="AB2506" s="166">
        <v>2</v>
      </c>
      <c r="AC2506" s="166">
        <v>2</v>
      </c>
      <c r="AD2506" s="164">
        <f>($L2506*'Pivot Objective'!$C$9^5)*AB2506*AC2506</f>
        <v>3057858.4341109009</v>
      </c>
      <c r="AE2506" s="166">
        <v>2</v>
      </c>
      <c r="AF2506" s="166">
        <v>2</v>
      </c>
      <c r="AG2506" s="164">
        <f>($L2506*'Pivot Objective'!$C$9^6)*AE2506*AF2506</f>
        <v>3494890.915984733</v>
      </c>
      <c r="AH2506" s="166">
        <v>2</v>
      </c>
      <c r="AI2506" s="166">
        <v>2</v>
      </c>
      <c r="AJ2506" s="164">
        <f>($L2506*'Pivot Objective'!$C$9^7)*AH2506*AI2506</f>
        <v>3994384.5595926056</v>
      </c>
      <c r="AK2506" s="185">
        <f t="shared" si="277"/>
        <v>17611703.570667695</v>
      </c>
      <c r="AL2506" s="186">
        <f t="shared" si="278"/>
        <v>17098.741330745335</v>
      </c>
    </row>
    <row r="2507" spans="1:38" customFormat="1" ht="57.6" x14ac:dyDescent="0.3">
      <c r="A2507" s="140" t="s">
        <v>1488</v>
      </c>
      <c r="B2507" s="140">
        <v>4</v>
      </c>
      <c r="C2507" s="166" t="s">
        <v>697</v>
      </c>
      <c r="D2507" s="140" t="str">
        <f t="shared" si="274"/>
        <v>2</v>
      </c>
      <c r="E2507" s="166" t="s">
        <v>693</v>
      </c>
      <c r="F2507" s="140">
        <f t="shared" si="279"/>
        <v>4</v>
      </c>
      <c r="G2507" s="140" t="str">
        <f t="shared" si="275"/>
        <v>4.2.4</v>
      </c>
      <c r="H2507" s="166" t="s">
        <v>673</v>
      </c>
      <c r="I2507" s="166" t="s">
        <v>115</v>
      </c>
      <c r="J2507" s="166" t="s">
        <v>149</v>
      </c>
      <c r="K2507" s="166" t="s">
        <v>720</v>
      </c>
      <c r="L2507" s="177">
        <f>980*1022</f>
        <v>1001560</v>
      </c>
      <c r="M2507" s="140"/>
      <c r="N2507" s="140"/>
      <c r="O2507" s="164">
        <f t="shared" si="276"/>
        <v>0</v>
      </c>
      <c r="P2507" s="166">
        <v>0</v>
      </c>
      <c r="Q2507" s="166">
        <v>0</v>
      </c>
      <c r="R2507" s="164">
        <f>$L2507*'Pivot Objective'!$C$9*P2507*Q2507</f>
        <v>0</v>
      </c>
      <c r="S2507" s="166">
        <v>1</v>
      </c>
      <c r="T2507" s="166">
        <v>25</v>
      </c>
      <c r="U2507" s="164">
        <f>($L2507*'Pivot Objective'!$C$9^2)*S2507*T2507</f>
        <v>32707660.325916823</v>
      </c>
      <c r="V2507" s="166">
        <v>1</v>
      </c>
      <c r="W2507" s="166">
        <v>25</v>
      </c>
      <c r="X2507" s="164">
        <f>($L2507*'Pivot Objective'!$C$9^3)*V2507*W2507</f>
        <v>37382275.020000227</v>
      </c>
      <c r="Y2507" s="166">
        <v>1</v>
      </c>
      <c r="Z2507" s="166">
        <v>25</v>
      </c>
      <c r="AA2507" s="164">
        <f>($L2507*'Pivot Objective'!$C$9^4)*Y2507*Z2507</f>
        <v>42724990.774214357</v>
      </c>
      <c r="AB2507" s="166">
        <v>1</v>
      </c>
      <c r="AC2507" s="166">
        <v>25</v>
      </c>
      <c r="AD2507" s="164">
        <f>($L2507*'Pivot Objective'!$C$9^5)*AB2507*AC2507</f>
        <v>48831293.324979939</v>
      </c>
      <c r="AE2507" s="166">
        <v>1</v>
      </c>
      <c r="AF2507" s="166">
        <v>25</v>
      </c>
      <c r="AG2507" s="164">
        <f>($L2507*'Pivot Objective'!$C$9^6)*AE2507*AF2507</f>
        <v>55810315.334914856</v>
      </c>
      <c r="AH2507" s="166">
        <v>1</v>
      </c>
      <c r="AI2507" s="166">
        <v>25</v>
      </c>
      <c r="AJ2507" s="164">
        <f>($L2507*'Pivot Objective'!$C$9^7)*AH2507*AI2507</f>
        <v>63786786.826496802</v>
      </c>
      <c r="AK2507" s="185">
        <f t="shared" si="277"/>
        <v>281243321.60652298</v>
      </c>
      <c r="AL2507" s="186">
        <f t="shared" si="278"/>
        <v>273051.76855002233</v>
      </c>
    </row>
    <row r="2508" spans="1:38" customFormat="1" ht="57.6" x14ac:dyDescent="0.3">
      <c r="A2508" s="140" t="s">
        <v>1488</v>
      </c>
      <c r="B2508" s="140">
        <v>4</v>
      </c>
      <c r="C2508" s="166" t="s">
        <v>697</v>
      </c>
      <c r="D2508" s="140" t="str">
        <f t="shared" si="274"/>
        <v>2</v>
      </c>
      <c r="E2508" s="166" t="s">
        <v>693</v>
      </c>
      <c r="F2508" s="140">
        <f t="shared" si="279"/>
        <v>4</v>
      </c>
      <c r="G2508" s="140" t="str">
        <f t="shared" si="275"/>
        <v>4.2.4</v>
      </c>
      <c r="H2508" s="166" t="s">
        <v>673</v>
      </c>
      <c r="I2508" s="166" t="s">
        <v>115</v>
      </c>
      <c r="J2508" s="166" t="s">
        <v>565</v>
      </c>
      <c r="K2508" s="166" t="s">
        <v>716</v>
      </c>
      <c r="L2508" s="177">
        <v>39000</v>
      </c>
      <c r="M2508" s="140"/>
      <c r="N2508" s="140"/>
      <c r="O2508" s="164">
        <f t="shared" si="276"/>
        <v>0</v>
      </c>
      <c r="P2508" s="166">
        <v>0</v>
      </c>
      <c r="Q2508" s="166">
        <v>0</v>
      </c>
      <c r="R2508" s="164">
        <f>$L2508*'Pivot Objective'!$C$9*P2508*Q2508</f>
        <v>0</v>
      </c>
      <c r="S2508" s="166">
        <v>30</v>
      </c>
      <c r="T2508" s="166">
        <v>6</v>
      </c>
      <c r="U2508" s="164">
        <f>($L2508*'Pivot Objective'!$C$9^2)*S2508*T2508</f>
        <v>9170005.8104531355</v>
      </c>
      <c r="V2508" s="166">
        <v>30</v>
      </c>
      <c r="W2508" s="166">
        <v>6</v>
      </c>
      <c r="X2508" s="164">
        <f>($L2508*'Pivot Objective'!$C$9^3)*V2508*W2508</f>
        <v>10480593.100379471</v>
      </c>
      <c r="Y2508" s="166">
        <v>30</v>
      </c>
      <c r="Z2508" s="166">
        <v>6</v>
      </c>
      <c r="AA2508" s="164">
        <f>($L2508*'Pivot Objective'!$C$9^4)*Y2508*Z2508</f>
        <v>11978490.963496335</v>
      </c>
      <c r="AB2508" s="166">
        <v>30</v>
      </c>
      <c r="AC2508" s="166">
        <v>6</v>
      </c>
      <c r="AD2508" s="164">
        <f>($L2508*'Pivot Objective'!$C$9^5)*AB2508*AC2508</f>
        <v>13690470.032403817</v>
      </c>
      <c r="AE2508" s="166">
        <v>30</v>
      </c>
      <c r="AF2508" s="166">
        <v>6</v>
      </c>
      <c r="AG2508" s="164">
        <f>($L2508*'Pivot Objective'!$C$9^6)*AE2508*AF2508</f>
        <v>15647127.027880596</v>
      </c>
      <c r="AH2508" s="166">
        <v>30</v>
      </c>
      <c r="AI2508" s="166">
        <v>6</v>
      </c>
      <c r="AJ2508" s="164">
        <f>($L2508*'Pivot Objective'!$C$9^7)*AH2508*AI2508</f>
        <v>17883431.58760364</v>
      </c>
      <c r="AK2508" s="185">
        <f t="shared" si="277"/>
        <v>78850118.522216991</v>
      </c>
      <c r="AL2508" s="186">
        <f t="shared" si="278"/>
        <v>76553.513128366016</v>
      </c>
    </row>
    <row r="2509" spans="1:38" customFormat="1" ht="57.6" x14ac:dyDescent="0.3">
      <c r="A2509" s="140" t="s">
        <v>1488</v>
      </c>
      <c r="B2509" s="140">
        <v>4</v>
      </c>
      <c r="C2509" s="166" t="s">
        <v>697</v>
      </c>
      <c r="D2509" s="140" t="str">
        <f t="shared" si="274"/>
        <v>2</v>
      </c>
      <c r="E2509" s="166" t="s">
        <v>693</v>
      </c>
      <c r="F2509" s="140">
        <f t="shared" si="279"/>
        <v>4</v>
      </c>
      <c r="G2509" s="140" t="str">
        <f t="shared" si="275"/>
        <v>4.2.4</v>
      </c>
      <c r="H2509" s="166" t="s">
        <v>673</v>
      </c>
      <c r="I2509" s="166" t="s">
        <v>115</v>
      </c>
      <c r="J2509" s="166" t="s">
        <v>565</v>
      </c>
      <c r="K2509" s="166" t="s">
        <v>709</v>
      </c>
      <c r="L2509" s="177">
        <v>35000</v>
      </c>
      <c r="M2509" s="140"/>
      <c r="N2509" s="140"/>
      <c r="O2509" s="164">
        <f t="shared" si="276"/>
        <v>0</v>
      </c>
      <c r="P2509" s="166">
        <v>0</v>
      </c>
      <c r="Q2509" s="166">
        <v>0</v>
      </c>
      <c r="R2509" s="164">
        <f>$L2509*'Pivot Objective'!$C$9*P2509*Q2509</f>
        <v>0</v>
      </c>
      <c r="S2509" s="166">
        <v>30</v>
      </c>
      <c r="T2509" s="166">
        <v>5</v>
      </c>
      <c r="U2509" s="164">
        <f>($L2509*'Pivot Objective'!$C$9^2)*S2509*T2509</f>
        <v>6857910.3283303361</v>
      </c>
      <c r="V2509" s="166">
        <v>30</v>
      </c>
      <c r="W2509" s="166">
        <v>5</v>
      </c>
      <c r="X2509" s="164">
        <f>($L2509*'Pivot Objective'!$C$9^3)*V2509*W2509</f>
        <v>7838050.3955829386</v>
      </c>
      <c r="Y2509" s="166">
        <v>30</v>
      </c>
      <c r="Z2509" s="166">
        <v>5</v>
      </c>
      <c r="AA2509" s="164">
        <f>($L2509*'Pivot Objective'!$C$9^4)*Y2509*Z2509</f>
        <v>8958273.1564609352</v>
      </c>
      <c r="AB2509" s="166">
        <v>30</v>
      </c>
      <c r="AC2509" s="166">
        <v>5</v>
      </c>
      <c r="AD2509" s="164">
        <f>($L2509*'Pivot Objective'!$C$9^5)*AB2509*AC2509</f>
        <v>10238599.383207982</v>
      </c>
      <c r="AE2509" s="166">
        <v>30</v>
      </c>
      <c r="AF2509" s="166">
        <v>5</v>
      </c>
      <c r="AG2509" s="164">
        <f>($L2509*'Pivot Objective'!$C$9^6)*AE2509*AF2509</f>
        <v>11701911.238799591</v>
      </c>
      <c r="AH2509" s="166">
        <v>30</v>
      </c>
      <c r="AI2509" s="166">
        <v>5</v>
      </c>
      <c r="AJ2509" s="164">
        <f>($L2509*'Pivot Objective'!$C$9^7)*AH2509*AI2509</f>
        <v>13374361.230045456</v>
      </c>
      <c r="AK2509" s="185">
        <f t="shared" si="277"/>
        <v>58969105.732427239</v>
      </c>
      <c r="AL2509" s="186">
        <f t="shared" si="278"/>
        <v>57251.558963521595</v>
      </c>
    </row>
    <row r="2510" spans="1:38" customFormat="1" ht="57.6" x14ac:dyDescent="0.3">
      <c r="A2510" s="140" t="s">
        <v>1488</v>
      </c>
      <c r="B2510" s="140">
        <v>4</v>
      </c>
      <c r="C2510" s="166" t="s">
        <v>697</v>
      </c>
      <c r="D2510" s="140" t="str">
        <f t="shared" si="274"/>
        <v>2</v>
      </c>
      <c r="E2510" s="166" t="s">
        <v>693</v>
      </c>
      <c r="F2510" s="140">
        <f t="shared" si="279"/>
        <v>4</v>
      </c>
      <c r="G2510" s="140" t="str">
        <f t="shared" si="275"/>
        <v>4.2.4</v>
      </c>
      <c r="H2510" s="166" t="s">
        <v>673</v>
      </c>
      <c r="I2510" s="166" t="s">
        <v>115</v>
      </c>
      <c r="J2510" s="166" t="s">
        <v>565</v>
      </c>
      <c r="K2510" s="166" t="s">
        <v>712</v>
      </c>
      <c r="L2510" s="177">
        <f>1480/7</f>
        <v>211.42857142857142</v>
      </c>
      <c r="M2510" s="140"/>
      <c r="N2510" s="140"/>
      <c r="O2510" s="164">
        <f t="shared" si="276"/>
        <v>0</v>
      </c>
      <c r="P2510" s="166">
        <v>0</v>
      </c>
      <c r="Q2510" s="166">
        <v>0</v>
      </c>
      <c r="R2510" s="164">
        <f>$L2510*'Pivot Objective'!$C$9*P2510*Q2510</f>
        <v>0</v>
      </c>
      <c r="S2510" s="166">
        <f>25*2*10</f>
        <v>500</v>
      </c>
      <c r="T2510" s="166">
        <v>5</v>
      </c>
      <c r="U2510" s="164">
        <f>($L2510*'Pivot Objective'!$C$9^2)*S2510*T2510</f>
        <v>690456.27795434685</v>
      </c>
      <c r="V2510" s="166">
        <v>500</v>
      </c>
      <c r="W2510" s="166">
        <v>5</v>
      </c>
      <c r="X2510" s="164">
        <f>($L2510*'Pivot Objective'!$C$9^3)*V2510*W2510</f>
        <v>789137.04663011886</v>
      </c>
      <c r="Y2510" s="166">
        <v>500</v>
      </c>
      <c r="Z2510" s="166">
        <v>5</v>
      </c>
      <c r="AA2510" s="164">
        <f>($L2510*'Pivot Objective'!$C$9^4)*Y2510*Z2510</f>
        <v>901921.3790178356</v>
      </c>
      <c r="AB2510" s="166">
        <v>500</v>
      </c>
      <c r="AC2510" s="166">
        <v>5</v>
      </c>
      <c r="AD2510" s="164">
        <f>($L2510*'Pivot Objective'!$C$9^5)*AB2510*AC2510</f>
        <v>1030824.9719148173</v>
      </c>
      <c r="AE2510" s="166">
        <v>500</v>
      </c>
      <c r="AF2510" s="166">
        <v>5</v>
      </c>
      <c r="AG2510" s="164">
        <f>($L2510*'Pivot Objective'!$C$9^6)*AE2510*AF2510</f>
        <v>1178151.6077158772</v>
      </c>
      <c r="AH2510" s="166">
        <v>500</v>
      </c>
      <c r="AI2510" s="166">
        <v>5</v>
      </c>
      <c r="AJ2510" s="164">
        <f>($L2510*'Pivot Objective'!$C$9^7)*AH2510*AI2510</f>
        <v>1346534.327922944</v>
      </c>
      <c r="AK2510" s="185">
        <f t="shared" si="277"/>
        <v>5937025.6111559402</v>
      </c>
      <c r="AL2510" s="186">
        <f t="shared" si="278"/>
        <v>5764.1025351028547</v>
      </c>
    </row>
    <row r="2511" spans="1:38" customFormat="1" ht="57.6" x14ac:dyDescent="0.3">
      <c r="A2511" s="140" t="s">
        <v>1488</v>
      </c>
      <c r="B2511" s="140">
        <v>4</v>
      </c>
      <c r="C2511" s="166" t="s">
        <v>697</v>
      </c>
      <c r="D2511" s="140" t="str">
        <f t="shared" si="274"/>
        <v>2</v>
      </c>
      <c r="E2511" s="166" t="s">
        <v>693</v>
      </c>
      <c r="F2511" s="140">
        <f t="shared" si="279"/>
        <v>4</v>
      </c>
      <c r="G2511" s="140" t="str">
        <f t="shared" si="275"/>
        <v>4.2.4</v>
      </c>
      <c r="H2511" s="166" t="s">
        <v>673</v>
      </c>
      <c r="I2511" s="166" t="s">
        <v>115</v>
      </c>
      <c r="J2511" s="166" t="s">
        <v>565</v>
      </c>
      <c r="K2511" s="166" t="s">
        <v>1350</v>
      </c>
      <c r="L2511" s="177">
        <f>1480/7</f>
        <v>211.42857142857142</v>
      </c>
      <c r="M2511" s="140"/>
      <c r="N2511" s="140"/>
      <c r="O2511" s="164">
        <f t="shared" si="276"/>
        <v>0</v>
      </c>
      <c r="P2511" s="166"/>
      <c r="Q2511" s="166"/>
      <c r="R2511" s="164">
        <f>$L2511*'Pivot Objective'!$C$9*P2511*Q2511</f>
        <v>0</v>
      </c>
      <c r="S2511" s="166">
        <f>135*2*10</f>
        <v>2700</v>
      </c>
      <c r="T2511" s="166">
        <v>1</v>
      </c>
      <c r="U2511" s="164">
        <f>($L2511*'Pivot Objective'!$C$9^2)*S2511*T2511</f>
        <v>745692.78019069461</v>
      </c>
      <c r="V2511" s="166">
        <v>2700</v>
      </c>
      <c r="W2511" s="166">
        <v>1</v>
      </c>
      <c r="X2511" s="164">
        <f>($L2511*'Pivot Objective'!$C$9^3)*V2511*W2511</f>
        <v>852268.01036052837</v>
      </c>
      <c r="Y2511" s="166">
        <v>2700</v>
      </c>
      <c r="Z2511" s="166">
        <v>1</v>
      </c>
      <c r="AA2511" s="164">
        <f>($L2511*'Pivot Objective'!$C$9^4)*Y2511*Z2511</f>
        <v>974075.08933926234</v>
      </c>
      <c r="AB2511" s="166">
        <v>2700</v>
      </c>
      <c r="AC2511" s="166">
        <v>1</v>
      </c>
      <c r="AD2511" s="164">
        <f>($L2511*'Pivot Objective'!$C$9^5)*AB2511*AC2511</f>
        <v>1113290.9696680028</v>
      </c>
      <c r="AE2511" s="166">
        <v>2700</v>
      </c>
      <c r="AF2511" s="166">
        <v>1</v>
      </c>
      <c r="AG2511" s="164">
        <f>($L2511*'Pivot Objective'!$C$9^6)*AE2511*AF2511</f>
        <v>1272403.7363331474</v>
      </c>
      <c r="AH2511" s="166">
        <v>2700</v>
      </c>
      <c r="AI2511" s="166">
        <v>1</v>
      </c>
      <c r="AJ2511" s="164">
        <f>($L2511*'Pivot Objective'!$C$9^7)*AH2511*AI2511</f>
        <v>1454257.0741567793</v>
      </c>
      <c r="AK2511" s="185">
        <f t="shared" si="277"/>
        <v>6411987.660048414</v>
      </c>
      <c r="AL2511" s="186">
        <f t="shared" si="278"/>
        <v>6225.2307379110816</v>
      </c>
    </row>
    <row r="2512" spans="1:38" customFormat="1" ht="57.6" x14ac:dyDescent="0.3">
      <c r="A2512" s="140" t="s">
        <v>1488</v>
      </c>
      <c r="B2512" s="140">
        <v>4</v>
      </c>
      <c r="C2512" s="166" t="s">
        <v>697</v>
      </c>
      <c r="D2512" s="140" t="str">
        <f t="shared" si="274"/>
        <v>2</v>
      </c>
      <c r="E2512" s="166" t="s">
        <v>693</v>
      </c>
      <c r="F2512" s="140">
        <f t="shared" si="279"/>
        <v>4</v>
      </c>
      <c r="G2512" s="140" t="str">
        <f t="shared" si="275"/>
        <v>4.2.4</v>
      </c>
      <c r="H2512" s="166" t="s">
        <v>673</v>
      </c>
      <c r="I2512" s="166" t="s">
        <v>115</v>
      </c>
      <c r="J2512" s="166" t="s">
        <v>559</v>
      </c>
      <c r="K2512" s="166" t="s">
        <v>718</v>
      </c>
      <c r="L2512" s="177">
        <v>0</v>
      </c>
      <c r="M2512" s="166">
        <v>0</v>
      </c>
      <c r="N2512" s="166">
        <v>0</v>
      </c>
      <c r="O2512" s="164">
        <f t="shared" si="276"/>
        <v>0</v>
      </c>
      <c r="P2512" s="166">
        <v>0</v>
      </c>
      <c r="Q2512" s="166">
        <v>0</v>
      </c>
      <c r="R2512" s="164">
        <f>$L2512*'Pivot Objective'!$C$9*P2512*Q2512</f>
        <v>0</v>
      </c>
      <c r="S2512" s="166">
        <v>0</v>
      </c>
      <c r="T2512" s="166">
        <v>0</v>
      </c>
      <c r="U2512" s="164">
        <f>($L2512*'Pivot Objective'!$C$9^2)*S2512*T2512</f>
        <v>0</v>
      </c>
      <c r="V2512" s="166">
        <v>0</v>
      </c>
      <c r="W2512" s="166">
        <v>0</v>
      </c>
      <c r="X2512" s="164">
        <f>($L2512*'Pivot Objective'!$C$9^3)*V2512*W2512</f>
        <v>0</v>
      </c>
      <c r="Y2512" s="166">
        <v>0</v>
      </c>
      <c r="Z2512" s="166">
        <v>0</v>
      </c>
      <c r="AA2512" s="164">
        <f>($L2512*'Pivot Objective'!$C$9^4)*Y2512*Z2512</f>
        <v>0</v>
      </c>
      <c r="AB2512" s="166">
        <v>0</v>
      </c>
      <c r="AC2512" s="166">
        <v>0</v>
      </c>
      <c r="AD2512" s="164">
        <f>($L2512*'Pivot Objective'!$C$9^5)*AB2512*AC2512</f>
        <v>0</v>
      </c>
      <c r="AE2512" s="166">
        <v>0</v>
      </c>
      <c r="AF2512" s="166">
        <v>0</v>
      </c>
      <c r="AG2512" s="164">
        <f>($L2512*'Pivot Objective'!$C$9^6)*AE2512*AF2512</f>
        <v>0</v>
      </c>
      <c r="AH2512" s="166">
        <v>0</v>
      </c>
      <c r="AI2512" s="166">
        <v>0</v>
      </c>
      <c r="AJ2512" s="164">
        <f>($L2512*'Pivot Objective'!$C$9^7)*AH2512*AI2512</f>
        <v>0</v>
      </c>
      <c r="AK2512" s="185">
        <f t="shared" si="277"/>
        <v>0</v>
      </c>
      <c r="AL2512" s="186">
        <f t="shared" si="278"/>
        <v>0</v>
      </c>
    </row>
    <row r="2513" spans="1:38" customFormat="1" ht="57.6" x14ac:dyDescent="0.3">
      <c r="A2513" s="140" t="s">
        <v>1488</v>
      </c>
      <c r="B2513" s="140">
        <v>4</v>
      </c>
      <c r="C2513" s="166" t="s">
        <v>697</v>
      </c>
      <c r="D2513" s="140" t="str">
        <f t="shared" si="274"/>
        <v>2</v>
      </c>
      <c r="E2513" s="166" t="s">
        <v>693</v>
      </c>
      <c r="F2513" s="140">
        <f t="shared" si="279"/>
        <v>4</v>
      </c>
      <c r="G2513" s="140" t="str">
        <f t="shared" si="275"/>
        <v>4.2.4</v>
      </c>
      <c r="H2513" s="166" t="s">
        <v>673</v>
      </c>
      <c r="I2513" s="166" t="s">
        <v>116</v>
      </c>
      <c r="J2513" s="166" t="s">
        <v>549</v>
      </c>
      <c r="K2513" s="166" t="s">
        <v>718</v>
      </c>
      <c r="L2513" s="177">
        <v>0</v>
      </c>
      <c r="M2513" s="166">
        <v>0</v>
      </c>
      <c r="N2513" s="166">
        <v>0</v>
      </c>
      <c r="O2513" s="164">
        <f t="shared" si="276"/>
        <v>0</v>
      </c>
      <c r="P2513" s="166">
        <v>0</v>
      </c>
      <c r="Q2513" s="166">
        <v>0</v>
      </c>
      <c r="R2513" s="164">
        <f>$L2513*'Pivot Objective'!$C$9*P2513*Q2513</f>
        <v>0</v>
      </c>
      <c r="S2513" s="166">
        <v>0</v>
      </c>
      <c r="T2513" s="166">
        <v>0</v>
      </c>
      <c r="U2513" s="164">
        <f>($L2513*'Pivot Objective'!$C$9^2)*S2513*T2513</f>
        <v>0</v>
      </c>
      <c r="V2513" s="166">
        <v>0</v>
      </c>
      <c r="W2513" s="166">
        <v>0</v>
      </c>
      <c r="X2513" s="164">
        <f>($L2513*'Pivot Objective'!$C$9^3)*V2513*W2513</f>
        <v>0</v>
      </c>
      <c r="Y2513" s="166">
        <v>0</v>
      </c>
      <c r="Z2513" s="166">
        <v>0</v>
      </c>
      <c r="AA2513" s="164">
        <f>($L2513*'Pivot Objective'!$C$9^4)*Y2513*Z2513</f>
        <v>0</v>
      </c>
      <c r="AB2513" s="166">
        <v>0</v>
      </c>
      <c r="AC2513" s="166">
        <v>0</v>
      </c>
      <c r="AD2513" s="164">
        <f>($L2513*'Pivot Objective'!$C$9^5)*AB2513*AC2513</f>
        <v>0</v>
      </c>
      <c r="AE2513" s="166">
        <v>0</v>
      </c>
      <c r="AF2513" s="166">
        <v>0</v>
      </c>
      <c r="AG2513" s="164">
        <f>($L2513*'Pivot Objective'!$C$9^6)*AE2513*AF2513</f>
        <v>0</v>
      </c>
      <c r="AH2513" s="166">
        <v>0</v>
      </c>
      <c r="AI2513" s="166">
        <v>0</v>
      </c>
      <c r="AJ2513" s="164">
        <f>($L2513*'Pivot Objective'!$C$9^7)*AH2513*AI2513</f>
        <v>0</v>
      </c>
      <c r="AK2513" s="185">
        <f t="shared" si="277"/>
        <v>0</v>
      </c>
      <c r="AL2513" s="186">
        <f t="shared" si="278"/>
        <v>0</v>
      </c>
    </row>
    <row r="2514" spans="1:38" customFormat="1" ht="57.6" x14ac:dyDescent="0.3">
      <c r="A2514" s="140" t="s">
        <v>1488</v>
      </c>
      <c r="B2514" s="140">
        <v>4</v>
      </c>
      <c r="C2514" s="166" t="s">
        <v>697</v>
      </c>
      <c r="D2514" s="140" t="str">
        <f t="shared" si="274"/>
        <v>2</v>
      </c>
      <c r="E2514" s="166" t="s">
        <v>693</v>
      </c>
      <c r="F2514" s="140">
        <f t="shared" si="279"/>
        <v>4</v>
      </c>
      <c r="G2514" s="140" t="str">
        <f t="shared" si="275"/>
        <v>4.2.4</v>
      </c>
      <c r="H2514" s="166" t="s">
        <v>673</v>
      </c>
      <c r="I2514" s="166" t="s">
        <v>116</v>
      </c>
      <c r="J2514" s="166" t="s">
        <v>560</v>
      </c>
      <c r="K2514" s="166" t="s">
        <v>713</v>
      </c>
      <c r="L2514" s="177">
        <v>45000</v>
      </c>
      <c r="M2514" s="140"/>
      <c r="N2514" s="140"/>
      <c r="O2514" s="164">
        <f t="shared" si="276"/>
        <v>0</v>
      </c>
      <c r="P2514" s="166">
        <v>0</v>
      </c>
      <c r="Q2514" s="166">
        <v>0</v>
      </c>
      <c r="R2514" s="164">
        <f>$L2514*'Pivot Objective'!$C$9*P2514*Q2514</f>
        <v>0</v>
      </c>
      <c r="S2514" s="166">
        <v>25</v>
      </c>
      <c r="T2514" s="166">
        <v>2</v>
      </c>
      <c r="U2514" s="164">
        <f>($L2514*'Pivot Objective'!$C$9^2)*S2514*T2514</f>
        <v>2939104.4264272875</v>
      </c>
      <c r="V2514" s="166">
        <v>25</v>
      </c>
      <c r="W2514" s="166">
        <v>2</v>
      </c>
      <c r="X2514" s="164">
        <f>($L2514*'Pivot Objective'!$C$9^3)*V2514*W2514</f>
        <v>3359164.4552498306</v>
      </c>
      <c r="Y2514" s="166">
        <v>25</v>
      </c>
      <c r="Z2514" s="166">
        <v>2</v>
      </c>
      <c r="AA2514" s="164">
        <f>($L2514*'Pivot Objective'!$C$9^4)*Y2514*Z2514</f>
        <v>3839259.9241975434</v>
      </c>
      <c r="AB2514" s="166">
        <v>25</v>
      </c>
      <c r="AC2514" s="166">
        <v>2</v>
      </c>
      <c r="AD2514" s="164">
        <f>($L2514*'Pivot Objective'!$C$9^5)*AB2514*AC2514</f>
        <v>4387971.1642319923</v>
      </c>
      <c r="AE2514" s="166">
        <v>25</v>
      </c>
      <c r="AF2514" s="166">
        <v>2</v>
      </c>
      <c r="AG2514" s="164">
        <f>($L2514*'Pivot Objective'!$C$9^6)*AE2514*AF2514</f>
        <v>5015104.8166283965</v>
      </c>
      <c r="AH2514" s="166">
        <v>25</v>
      </c>
      <c r="AI2514" s="166">
        <v>2</v>
      </c>
      <c r="AJ2514" s="164">
        <f>($L2514*'Pivot Objective'!$C$9^7)*AH2514*AI2514</f>
        <v>5731869.0985909104</v>
      </c>
      <c r="AK2514" s="185">
        <f t="shared" si="277"/>
        <v>25272473.885325961</v>
      </c>
      <c r="AL2514" s="186">
        <f t="shared" si="278"/>
        <v>24536.382412937826</v>
      </c>
    </row>
    <row r="2515" spans="1:38" customFormat="1" ht="57.6" x14ac:dyDescent="0.3">
      <c r="A2515" s="140" t="s">
        <v>1488</v>
      </c>
      <c r="B2515" s="140">
        <v>4</v>
      </c>
      <c r="C2515" s="166" t="s">
        <v>697</v>
      </c>
      <c r="D2515" s="140" t="str">
        <f t="shared" si="274"/>
        <v>2</v>
      </c>
      <c r="E2515" s="166" t="s">
        <v>693</v>
      </c>
      <c r="F2515" s="140">
        <f t="shared" si="279"/>
        <v>4</v>
      </c>
      <c r="G2515" s="140" t="str">
        <f t="shared" si="275"/>
        <v>4.2.4</v>
      </c>
      <c r="H2515" s="166" t="s">
        <v>673</v>
      </c>
      <c r="I2515" s="166" t="s">
        <v>116</v>
      </c>
      <c r="J2515" s="166" t="s">
        <v>560</v>
      </c>
      <c r="K2515" s="166" t="s">
        <v>712</v>
      </c>
      <c r="L2515" s="177">
        <f>1480/7</f>
        <v>211.42857142857142</v>
      </c>
      <c r="M2515" s="140"/>
      <c r="N2515" s="140"/>
      <c r="O2515" s="164">
        <f t="shared" si="276"/>
        <v>0</v>
      </c>
      <c r="P2515" s="166">
        <v>0</v>
      </c>
      <c r="Q2515" s="166">
        <v>0</v>
      </c>
      <c r="R2515" s="164">
        <f>$L2515*'Pivot Objective'!$C$9*P2515*Q2515</f>
        <v>0</v>
      </c>
      <c r="S2515" s="166">
        <f>25*2*9</f>
        <v>450</v>
      </c>
      <c r="T2515" s="166">
        <v>1</v>
      </c>
      <c r="U2515" s="164">
        <f>($L2515*'Pivot Objective'!$C$9^2)*S2515*T2515</f>
        <v>124282.13003178244</v>
      </c>
      <c r="V2515" s="166">
        <v>450</v>
      </c>
      <c r="W2515" s="166">
        <v>1</v>
      </c>
      <c r="X2515" s="164">
        <f>($L2515*'Pivot Objective'!$C$9^3)*V2515*W2515</f>
        <v>142044.66839342139</v>
      </c>
      <c r="Y2515" s="166">
        <v>450</v>
      </c>
      <c r="Z2515" s="166">
        <v>1</v>
      </c>
      <c r="AA2515" s="164">
        <f>($L2515*'Pivot Objective'!$C$9^4)*Y2515*Z2515</f>
        <v>162345.8482232104</v>
      </c>
      <c r="AB2515" s="166">
        <v>450</v>
      </c>
      <c r="AC2515" s="166">
        <v>1</v>
      </c>
      <c r="AD2515" s="164">
        <f>($L2515*'Pivot Objective'!$C$9^5)*AB2515*AC2515</f>
        <v>185548.49494466712</v>
      </c>
      <c r="AE2515" s="166">
        <v>450</v>
      </c>
      <c r="AF2515" s="166">
        <v>1</v>
      </c>
      <c r="AG2515" s="164">
        <f>($L2515*'Pivot Objective'!$C$9^6)*AE2515*AF2515</f>
        <v>212067.2893888579</v>
      </c>
      <c r="AH2515" s="166">
        <v>450</v>
      </c>
      <c r="AI2515" s="166">
        <v>1</v>
      </c>
      <c r="AJ2515" s="164">
        <f>($L2515*'Pivot Objective'!$C$9^7)*AH2515*AI2515</f>
        <v>242376.17902612989</v>
      </c>
      <c r="AK2515" s="185">
        <f t="shared" si="277"/>
        <v>1068664.6100080691</v>
      </c>
      <c r="AL2515" s="186">
        <f t="shared" si="278"/>
        <v>1037.5384563185137</v>
      </c>
    </row>
    <row r="2516" spans="1:38" customFormat="1" ht="57.6" x14ac:dyDescent="0.3">
      <c r="A2516" s="140" t="s">
        <v>1488</v>
      </c>
      <c r="B2516" s="140">
        <v>4</v>
      </c>
      <c r="C2516" s="166" t="s">
        <v>697</v>
      </c>
      <c r="D2516" s="140" t="str">
        <f t="shared" si="274"/>
        <v>2</v>
      </c>
      <c r="E2516" s="166" t="s">
        <v>693</v>
      </c>
      <c r="F2516" s="140">
        <f t="shared" si="279"/>
        <v>4</v>
      </c>
      <c r="G2516" s="140" t="str">
        <f t="shared" si="275"/>
        <v>4.2.4</v>
      </c>
      <c r="H2516" s="166" t="s">
        <v>673</v>
      </c>
      <c r="I2516" s="166" t="s">
        <v>116</v>
      </c>
      <c r="J2516" s="166" t="s">
        <v>560</v>
      </c>
      <c r="K2516" s="166" t="s">
        <v>1350</v>
      </c>
      <c r="L2516" s="177">
        <f>1480/7</f>
        <v>211.42857142857142</v>
      </c>
      <c r="M2516" s="140"/>
      <c r="N2516" s="140"/>
      <c r="O2516" s="164">
        <f t="shared" si="276"/>
        <v>0</v>
      </c>
      <c r="P2516" s="166"/>
      <c r="Q2516" s="166"/>
      <c r="R2516" s="164">
        <f>$L2516*'Pivot Objective'!$C$9*P2516*Q2516</f>
        <v>0</v>
      </c>
      <c r="S2516" s="166">
        <f>135*2*9</f>
        <v>2430</v>
      </c>
      <c r="T2516" s="166">
        <v>1</v>
      </c>
      <c r="U2516" s="164">
        <f>($L2516*'Pivot Objective'!$C$9^2)*S2516*T2516</f>
        <v>671123.50217162515</v>
      </c>
      <c r="V2516" s="166">
        <v>2430</v>
      </c>
      <c r="W2516" s="166">
        <v>1</v>
      </c>
      <c r="X2516" s="164">
        <f>($L2516*'Pivot Objective'!$C$9^3)*V2516*W2516</f>
        <v>767041.20932447549</v>
      </c>
      <c r="Y2516" s="166">
        <v>2430</v>
      </c>
      <c r="Z2516" s="166">
        <v>1</v>
      </c>
      <c r="AA2516" s="164">
        <f>($L2516*'Pivot Objective'!$C$9^4)*Y2516*Z2516</f>
        <v>876667.58040533611</v>
      </c>
      <c r="AB2516" s="166">
        <v>2430</v>
      </c>
      <c r="AC2516" s="166">
        <v>1</v>
      </c>
      <c r="AD2516" s="164">
        <f>($L2516*'Pivot Objective'!$C$9^5)*AB2516*AC2516</f>
        <v>1001961.8727012025</v>
      </c>
      <c r="AE2516" s="166">
        <v>2430</v>
      </c>
      <c r="AF2516" s="166">
        <v>1</v>
      </c>
      <c r="AG2516" s="164">
        <f>($L2516*'Pivot Objective'!$C$9^6)*AE2516*AF2516</f>
        <v>1145163.3626998325</v>
      </c>
      <c r="AH2516" s="166">
        <v>2430</v>
      </c>
      <c r="AI2516" s="166">
        <v>1</v>
      </c>
      <c r="AJ2516" s="164">
        <f>($L2516*'Pivot Objective'!$C$9^7)*AH2516*AI2516</f>
        <v>1308831.3667411015</v>
      </c>
      <c r="AK2516" s="185">
        <f t="shared" si="277"/>
        <v>5770788.8940435732</v>
      </c>
      <c r="AL2516" s="186">
        <f t="shared" si="278"/>
        <v>5602.7076641199737</v>
      </c>
    </row>
    <row r="2517" spans="1:38" customFormat="1" ht="57.6" x14ac:dyDescent="0.3">
      <c r="A2517" s="140" t="s">
        <v>1488</v>
      </c>
      <c r="B2517" s="140">
        <v>4</v>
      </c>
      <c r="C2517" s="166" t="s">
        <v>697</v>
      </c>
      <c r="D2517" s="140" t="str">
        <f t="shared" si="274"/>
        <v>2</v>
      </c>
      <c r="E2517" s="166" t="s">
        <v>693</v>
      </c>
      <c r="F2517" s="140">
        <f t="shared" si="279"/>
        <v>4</v>
      </c>
      <c r="G2517" s="140" t="str">
        <f t="shared" si="275"/>
        <v>4.2.4</v>
      </c>
      <c r="H2517" s="166" t="s">
        <v>673</v>
      </c>
      <c r="I2517" s="166" t="s">
        <v>116</v>
      </c>
      <c r="J2517" s="166" t="s">
        <v>151</v>
      </c>
      <c r="K2517" s="166" t="s">
        <v>713</v>
      </c>
      <c r="L2517" s="177">
        <v>45000</v>
      </c>
      <c r="M2517" s="140"/>
      <c r="N2517" s="140"/>
      <c r="O2517" s="164">
        <f t="shared" si="276"/>
        <v>0</v>
      </c>
      <c r="P2517" s="166">
        <v>0</v>
      </c>
      <c r="Q2517" s="166">
        <v>0</v>
      </c>
      <c r="R2517" s="164">
        <f>$L2517*'Pivot Objective'!$C$9*P2517*Q2517</f>
        <v>0</v>
      </c>
      <c r="S2517" s="166">
        <v>25</v>
      </c>
      <c r="T2517" s="166">
        <v>6</v>
      </c>
      <c r="U2517" s="164">
        <f>($L2517*'Pivot Objective'!$C$9^2)*S2517*T2517</f>
        <v>8817313.2792818621</v>
      </c>
      <c r="V2517" s="166">
        <v>25</v>
      </c>
      <c r="W2517" s="166">
        <v>6</v>
      </c>
      <c r="X2517" s="164">
        <f>($L2517*'Pivot Objective'!$C$9^3)*V2517*W2517</f>
        <v>10077493.365749491</v>
      </c>
      <c r="Y2517" s="166">
        <v>25</v>
      </c>
      <c r="Z2517" s="166">
        <v>6</v>
      </c>
      <c r="AA2517" s="164">
        <f>($L2517*'Pivot Objective'!$C$9^4)*Y2517*Z2517</f>
        <v>11517779.77259263</v>
      </c>
      <c r="AB2517" s="166">
        <v>25</v>
      </c>
      <c r="AC2517" s="166">
        <v>6</v>
      </c>
      <c r="AD2517" s="164">
        <f>($L2517*'Pivot Objective'!$C$9^5)*AB2517*AC2517</f>
        <v>13163913.492695976</v>
      </c>
      <c r="AE2517" s="166">
        <v>25</v>
      </c>
      <c r="AF2517" s="166">
        <v>6</v>
      </c>
      <c r="AG2517" s="164">
        <f>($L2517*'Pivot Objective'!$C$9^6)*AE2517*AF2517</f>
        <v>15045314.44988519</v>
      </c>
      <c r="AH2517" s="166">
        <v>25</v>
      </c>
      <c r="AI2517" s="166">
        <v>6</v>
      </c>
      <c r="AJ2517" s="164">
        <f>($L2517*'Pivot Objective'!$C$9^7)*AH2517*AI2517</f>
        <v>17195607.295772731</v>
      </c>
      <c r="AK2517" s="185">
        <f t="shared" si="277"/>
        <v>75817421.655977875</v>
      </c>
      <c r="AL2517" s="186">
        <f t="shared" si="278"/>
        <v>73609.147238813472</v>
      </c>
    </row>
    <row r="2518" spans="1:38" customFormat="1" ht="57.6" x14ac:dyDescent="0.3">
      <c r="A2518" s="140" t="s">
        <v>1488</v>
      </c>
      <c r="B2518" s="140">
        <v>4</v>
      </c>
      <c r="C2518" s="166" t="s">
        <v>697</v>
      </c>
      <c r="D2518" s="140" t="str">
        <f t="shared" si="274"/>
        <v>2</v>
      </c>
      <c r="E2518" s="166" t="s">
        <v>693</v>
      </c>
      <c r="F2518" s="140">
        <f t="shared" si="279"/>
        <v>4</v>
      </c>
      <c r="G2518" s="140" t="str">
        <f t="shared" si="275"/>
        <v>4.2.4</v>
      </c>
      <c r="H2518" s="166" t="s">
        <v>673</v>
      </c>
      <c r="I2518" s="166" t="s">
        <v>116</v>
      </c>
      <c r="J2518" s="166" t="s">
        <v>151</v>
      </c>
      <c r="K2518" s="166" t="s">
        <v>712</v>
      </c>
      <c r="L2518" s="177">
        <f>1480/7</f>
        <v>211.42857142857142</v>
      </c>
      <c r="M2518" s="140"/>
      <c r="N2518" s="140"/>
      <c r="O2518" s="164">
        <f t="shared" si="276"/>
        <v>0</v>
      </c>
      <c r="P2518" s="166">
        <v>0</v>
      </c>
      <c r="Q2518" s="166">
        <v>0</v>
      </c>
      <c r="R2518" s="164">
        <f>$L2518*'Pivot Objective'!$C$9*P2518*Q2518</f>
        <v>0</v>
      </c>
      <c r="S2518" s="166">
        <f>25*2*9</f>
        <v>450</v>
      </c>
      <c r="T2518" s="166">
        <v>5</v>
      </c>
      <c r="U2518" s="164">
        <f>($L2518*'Pivot Objective'!$C$9^2)*S2518*T2518</f>
        <v>621410.65015891218</v>
      </c>
      <c r="V2518" s="166">
        <v>450</v>
      </c>
      <c r="W2518" s="166">
        <v>5</v>
      </c>
      <c r="X2518" s="164">
        <f>($L2518*'Pivot Objective'!$C$9^3)*V2518*W2518</f>
        <v>710223.34196710703</v>
      </c>
      <c r="Y2518" s="166">
        <v>450</v>
      </c>
      <c r="Z2518" s="166">
        <v>5</v>
      </c>
      <c r="AA2518" s="164">
        <f>($L2518*'Pivot Objective'!$C$9^4)*Y2518*Z2518</f>
        <v>811729.24111605203</v>
      </c>
      <c r="AB2518" s="166">
        <v>450</v>
      </c>
      <c r="AC2518" s="166">
        <v>5</v>
      </c>
      <c r="AD2518" s="164">
        <f>($L2518*'Pivot Objective'!$C$9^5)*AB2518*AC2518</f>
        <v>927742.47472333559</v>
      </c>
      <c r="AE2518" s="166">
        <v>450</v>
      </c>
      <c r="AF2518" s="166">
        <v>5</v>
      </c>
      <c r="AG2518" s="164">
        <f>($L2518*'Pivot Objective'!$C$9^6)*AE2518*AF2518</f>
        <v>1060336.4469442894</v>
      </c>
      <c r="AH2518" s="166">
        <v>450</v>
      </c>
      <c r="AI2518" s="166">
        <v>5</v>
      </c>
      <c r="AJ2518" s="164">
        <f>($L2518*'Pivot Objective'!$C$9^7)*AH2518*AI2518</f>
        <v>1211880.8951306494</v>
      </c>
      <c r="AK2518" s="185">
        <f t="shared" si="277"/>
        <v>5343323.0500403456</v>
      </c>
      <c r="AL2518" s="186">
        <f t="shared" si="278"/>
        <v>5187.6922815925682</v>
      </c>
    </row>
    <row r="2519" spans="1:38" customFormat="1" ht="57.6" x14ac:dyDescent="0.3">
      <c r="A2519" s="140" t="s">
        <v>1488</v>
      </c>
      <c r="B2519" s="140">
        <v>4</v>
      </c>
      <c r="C2519" s="166" t="s">
        <v>697</v>
      </c>
      <c r="D2519" s="140" t="str">
        <f t="shared" si="274"/>
        <v>2</v>
      </c>
      <c r="E2519" s="166" t="s">
        <v>693</v>
      </c>
      <c r="F2519" s="140">
        <f t="shared" si="279"/>
        <v>4</v>
      </c>
      <c r="G2519" s="140" t="str">
        <f t="shared" si="275"/>
        <v>4.2.4</v>
      </c>
      <c r="H2519" s="166" t="s">
        <v>673</v>
      </c>
      <c r="I2519" s="166" t="s">
        <v>116</v>
      </c>
      <c r="J2519" s="166" t="s">
        <v>560</v>
      </c>
      <c r="K2519" s="166" t="s">
        <v>1350</v>
      </c>
      <c r="L2519" s="177">
        <f>1480/7</f>
        <v>211.42857142857142</v>
      </c>
      <c r="M2519" s="140"/>
      <c r="N2519" s="140"/>
      <c r="O2519" s="164">
        <f t="shared" si="276"/>
        <v>0</v>
      </c>
      <c r="P2519" s="166"/>
      <c r="Q2519" s="166"/>
      <c r="R2519" s="164">
        <f>$L2519*'Pivot Objective'!$C$9*P2519*Q2519</f>
        <v>0</v>
      </c>
      <c r="S2519" s="166">
        <f>135*2*9</f>
        <v>2430</v>
      </c>
      <c r="T2519" s="166">
        <v>1</v>
      </c>
      <c r="U2519" s="164">
        <f>($L2519*'Pivot Objective'!$C$9^2)*S2519*T2519</f>
        <v>671123.50217162515</v>
      </c>
      <c r="V2519" s="166">
        <v>2430</v>
      </c>
      <c r="W2519" s="166">
        <v>1</v>
      </c>
      <c r="X2519" s="164">
        <f>($L2519*'Pivot Objective'!$C$9^3)*V2519*W2519</f>
        <v>767041.20932447549</v>
      </c>
      <c r="Y2519" s="166">
        <v>2430</v>
      </c>
      <c r="Z2519" s="166">
        <v>1</v>
      </c>
      <c r="AA2519" s="164">
        <f>($L2519*'Pivot Objective'!$C$9^4)*Y2519*Z2519</f>
        <v>876667.58040533611</v>
      </c>
      <c r="AB2519" s="166">
        <v>2430</v>
      </c>
      <c r="AC2519" s="166">
        <v>1</v>
      </c>
      <c r="AD2519" s="164">
        <f>($L2519*'Pivot Objective'!$C$9^5)*AB2519*AC2519</f>
        <v>1001961.8727012025</v>
      </c>
      <c r="AE2519" s="166">
        <v>2430</v>
      </c>
      <c r="AF2519" s="166">
        <v>1</v>
      </c>
      <c r="AG2519" s="164">
        <f>($L2519*'Pivot Objective'!$C$9^6)*AE2519*AF2519</f>
        <v>1145163.3626998325</v>
      </c>
      <c r="AH2519" s="166">
        <v>2430</v>
      </c>
      <c r="AI2519" s="166">
        <v>1</v>
      </c>
      <c r="AJ2519" s="164">
        <f>($L2519*'Pivot Objective'!$C$9^7)*AH2519*AI2519</f>
        <v>1308831.3667411015</v>
      </c>
      <c r="AK2519" s="185">
        <f t="shared" si="277"/>
        <v>5770788.8940435732</v>
      </c>
      <c r="AL2519" s="186">
        <f t="shared" si="278"/>
        <v>5602.7076641199737</v>
      </c>
    </row>
    <row r="2520" spans="1:38" customFormat="1" ht="57.6" x14ac:dyDescent="0.3">
      <c r="A2520" s="140" t="s">
        <v>1488</v>
      </c>
      <c r="B2520" s="140">
        <v>4</v>
      </c>
      <c r="C2520" s="166" t="s">
        <v>697</v>
      </c>
      <c r="D2520" s="140" t="str">
        <f t="shared" si="274"/>
        <v>2</v>
      </c>
      <c r="E2520" s="166" t="s">
        <v>693</v>
      </c>
      <c r="F2520" s="140">
        <f t="shared" si="279"/>
        <v>4</v>
      </c>
      <c r="G2520" s="140" t="str">
        <f t="shared" si="275"/>
        <v>4.2.4</v>
      </c>
      <c r="H2520" s="166" t="s">
        <v>673</v>
      </c>
      <c r="I2520" s="166" t="s">
        <v>116</v>
      </c>
      <c r="J2520" s="166" t="s">
        <v>152</v>
      </c>
      <c r="K2520" s="166" t="s">
        <v>716</v>
      </c>
      <c r="L2520" s="177">
        <v>39000</v>
      </c>
      <c r="M2520" s="140"/>
      <c r="N2520" s="140"/>
      <c r="O2520" s="164">
        <f t="shared" si="276"/>
        <v>0</v>
      </c>
      <c r="P2520" s="166">
        <v>0</v>
      </c>
      <c r="Q2520" s="166">
        <v>0</v>
      </c>
      <c r="R2520" s="164">
        <f>$L2520*'Pivot Objective'!$C$9*P2520*Q2520</f>
        <v>0</v>
      </c>
      <c r="S2520" s="166">
        <v>25</v>
      </c>
      <c r="T2520" s="166">
        <v>6</v>
      </c>
      <c r="U2520" s="164">
        <f>($L2520*'Pivot Objective'!$C$9^2)*S2520*T2520</f>
        <v>7641671.5087109469</v>
      </c>
      <c r="V2520" s="166">
        <v>25</v>
      </c>
      <c r="W2520" s="166">
        <v>6</v>
      </c>
      <c r="X2520" s="164">
        <f>($L2520*'Pivot Objective'!$C$9^3)*V2520*W2520</f>
        <v>8733827.5836495608</v>
      </c>
      <c r="Y2520" s="166">
        <v>25</v>
      </c>
      <c r="Z2520" s="166">
        <v>6</v>
      </c>
      <c r="AA2520" s="164">
        <f>($L2520*'Pivot Objective'!$C$9^4)*Y2520*Z2520</f>
        <v>9982075.8029136136</v>
      </c>
      <c r="AB2520" s="166">
        <v>25</v>
      </c>
      <c r="AC2520" s="166">
        <v>6</v>
      </c>
      <c r="AD2520" s="164">
        <f>($L2520*'Pivot Objective'!$C$9^5)*AB2520*AC2520</f>
        <v>11408725.027003182</v>
      </c>
      <c r="AE2520" s="166">
        <v>25</v>
      </c>
      <c r="AF2520" s="166">
        <v>6</v>
      </c>
      <c r="AG2520" s="164">
        <f>($L2520*'Pivot Objective'!$C$9^6)*AE2520*AF2520</f>
        <v>13039272.523233831</v>
      </c>
      <c r="AH2520" s="166">
        <v>25</v>
      </c>
      <c r="AI2520" s="166">
        <v>6</v>
      </c>
      <c r="AJ2520" s="164">
        <f>($L2520*'Pivot Objective'!$C$9^7)*AH2520*AI2520</f>
        <v>14902859.656336365</v>
      </c>
      <c r="AK2520" s="185">
        <f t="shared" si="277"/>
        <v>65708432.1018475</v>
      </c>
      <c r="AL2520" s="186">
        <f t="shared" si="278"/>
        <v>63794.594273638351</v>
      </c>
    </row>
    <row r="2521" spans="1:38" customFormat="1" ht="57.6" x14ac:dyDescent="0.3">
      <c r="A2521" s="140" t="s">
        <v>1488</v>
      </c>
      <c r="B2521" s="140">
        <v>4</v>
      </c>
      <c r="C2521" s="166" t="s">
        <v>697</v>
      </c>
      <c r="D2521" s="140" t="str">
        <f t="shared" si="274"/>
        <v>2</v>
      </c>
      <c r="E2521" s="166" t="s">
        <v>693</v>
      </c>
      <c r="F2521" s="140">
        <f t="shared" si="279"/>
        <v>4</v>
      </c>
      <c r="G2521" s="140" t="str">
        <f t="shared" si="275"/>
        <v>4.2.4</v>
      </c>
      <c r="H2521" s="166" t="s">
        <v>673</v>
      </c>
      <c r="I2521" s="166" t="s">
        <v>116</v>
      </c>
      <c r="J2521" s="166" t="s">
        <v>152</v>
      </c>
      <c r="K2521" s="166" t="s">
        <v>709</v>
      </c>
      <c r="L2521" s="177">
        <v>35000</v>
      </c>
      <c r="M2521" s="140"/>
      <c r="N2521" s="140"/>
      <c r="O2521" s="164">
        <f t="shared" si="276"/>
        <v>0</v>
      </c>
      <c r="P2521" s="166">
        <v>0</v>
      </c>
      <c r="Q2521" s="166">
        <v>0</v>
      </c>
      <c r="R2521" s="164">
        <f>$L2521*'Pivot Objective'!$C$9*P2521*Q2521</f>
        <v>0</v>
      </c>
      <c r="S2521" s="166">
        <v>25</v>
      </c>
      <c r="T2521" s="166">
        <v>5</v>
      </c>
      <c r="U2521" s="164">
        <f>($L2521*'Pivot Objective'!$C$9^2)*S2521*T2521</f>
        <v>5714925.2736086138</v>
      </c>
      <c r="V2521" s="166">
        <v>25</v>
      </c>
      <c r="W2521" s="166">
        <v>5</v>
      </c>
      <c r="X2521" s="164">
        <f>($L2521*'Pivot Objective'!$C$9^3)*V2521*W2521</f>
        <v>6531708.6629857821</v>
      </c>
      <c r="Y2521" s="166">
        <v>25</v>
      </c>
      <c r="Z2521" s="166">
        <v>5</v>
      </c>
      <c r="AA2521" s="164">
        <f>($L2521*'Pivot Objective'!$C$9^4)*Y2521*Z2521</f>
        <v>7465227.6303841127</v>
      </c>
      <c r="AB2521" s="166">
        <v>25</v>
      </c>
      <c r="AC2521" s="166">
        <v>5</v>
      </c>
      <c r="AD2521" s="164">
        <f>($L2521*'Pivot Objective'!$C$9^5)*AB2521*AC2521</f>
        <v>8532166.152673319</v>
      </c>
      <c r="AE2521" s="166">
        <v>25</v>
      </c>
      <c r="AF2521" s="166">
        <v>5</v>
      </c>
      <c r="AG2521" s="164">
        <f>($L2521*'Pivot Objective'!$C$9^6)*AE2521*AF2521</f>
        <v>9751592.6989996582</v>
      </c>
      <c r="AH2521" s="166">
        <v>25</v>
      </c>
      <c r="AI2521" s="166">
        <v>5</v>
      </c>
      <c r="AJ2521" s="164">
        <f>($L2521*'Pivot Objective'!$C$9^7)*AH2521*AI2521</f>
        <v>11145301.025037881</v>
      </c>
      <c r="AK2521" s="185">
        <f t="shared" si="277"/>
        <v>49140921.443689376</v>
      </c>
      <c r="AL2521" s="186">
        <f t="shared" si="278"/>
        <v>47709.632469601333</v>
      </c>
    </row>
    <row r="2522" spans="1:38" customFormat="1" ht="57.6" x14ac:dyDescent="0.3">
      <c r="A2522" s="140" t="s">
        <v>1488</v>
      </c>
      <c r="B2522" s="140">
        <v>4</v>
      </c>
      <c r="C2522" s="166" t="s">
        <v>697</v>
      </c>
      <c r="D2522" s="140" t="str">
        <f t="shared" si="274"/>
        <v>2</v>
      </c>
      <c r="E2522" s="166" t="s">
        <v>693</v>
      </c>
      <c r="F2522" s="140">
        <f t="shared" si="279"/>
        <v>4</v>
      </c>
      <c r="G2522" s="140" t="str">
        <f t="shared" si="275"/>
        <v>4.2.4</v>
      </c>
      <c r="H2522" s="166" t="s">
        <v>673</v>
      </c>
      <c r="I2522" s="166" t="s">
        <v>116</v>
      </c>
      <c r="J2522" s="166" t="s">
        <v>152</v>
      </c>
      <c r="K2522" s="166" t="s">
        <v>712</v>
      </c>
      <c r="L2522" s="177">
        <f>1480/7</f>
        <v>211.42857142857142</v>
      </c>
      <c r="M2522" s="140"/>
      <c r="N2522" s="140"/>
      <c r="O2522" s="164">
        <f t="shared" si="276"/>
        <v>0</v>
      </c>
      <c r="P2522" s="166">
        <v>0</v>
      </c>
      <c r="Q2522" s="166">
        <v>0</v>
      </c>
      <c r="R2522" s="164">
        <f>$L2522*'Pivot Objective'!$C$9*P2522*Q2522</f>
        <v>0</v>
      </c>
      <c r="S2522" s="166">
        <f>25*2*9</f>
        <v>450</v>
      </c>
      <c r="T2522" s="166">
        <v>5</v>
      </c>
      <c r="U2522" s="164">
        <f>($L2522*'Pivot Objective'!$C$9^2)*S2522*T2522</f>
        <v>621410.65015891218</v>
      </c>
      <c r="V2522" s="166">
        <v>450</v>
      </c>
      <c r="W2522" s="166">
        <v>5</v>
      </c>
      <c r="X2522" s="164">
        <f>($L2522*'Pivot Objective'!$C$9^3)*V2522*W2522</f>
        <v>710223.34196710703</v>
      </c>
      <c r="Y2522" s="166">
        <v>450</v>
      </c>
      <c r="Z2522" s="166">
        <v>5</v>
      </c>
      <c r="AA2522" s="164">
        <f>($L2522*'Pivot Objective'!$C$9^4)*Y2522*Z2522</f>
        <v>811729.24111605203</v>
      </c>
      <c r="AB2522" s="166">
        <v>450</v>
      </c>
      <c r="AC2522" s="166">
        <v>5</v>
      </c>
      <c r="AD2522" s="164">
        <f>($L2522*'Pivot Objective'!$C$9^5)*AB2522*AC2522</f>
        <v>927742.47472333559</v>
      </c>
      <c r="AE2522" s="166">
        <v>450</v>
      </c>
      <c r="AF2522" s="166">
        <v>5</v>
      </c>
      <c r="AG2522" s="164">
        <f>($L2522*'Pivot Objective'!$C$9^6)*AE2522*AF2522</f>
        <v>1060336.4469442894</v>
      </c>
      <c r="AH2522" s="166">
        <v>450</v>
      </c>
      <c r="AI2522" s="166">
        <v>5</v>
      </c>
      <c r="AJ2522" s="164">
        <f>($L2522*'Pivot Objective'!$C$9^7)*AH2522*AI2522</f>
        <v>1211880.8951306494</v>
      </c>
      <c r="AK2522" s="185">
        <f t="shared" si="277"/>
        <v>5343323.0500403456</v>
      </c>
      <c r="AL2522" s="186">
        <f t="shared" si="278"/>
        <v>5187.6922815925682</v>
      </c>
    </row>
    <row r="2523" spans="1:38" customFormat="1" ht="57.6" x14ac:dyDescent="0.3">
      <c r="A2523" s="140" t="s">
        <v>1488</v>
      </c>
      <c r="B2523" s="140">
        <v>4</v>
      </c>
      <c r="C2523" s="166" t="s">
        <v>697</v>
      </c>
      <c r="D2523" s="140" t="str">
        <f t="shared" si="274"/>
        <v>2</v>
      </c>
      <c r="E2523" s="166" t="s">
        <v>693</v>
      </c>
      <c r="F2523" s="140">
        <f t="shared" si="279"/>
        <v>4</v>
      </c>
      <c r="G2523" s="140" t="str">
        <f t="shared" si="275"/>
        <v>4.2.4</v>
      </c>
      <c r="H2523" s="166" t="s">
        <v>673</v>
      </c>
      <c r="I2523" s="166" t="s">
        <v>116</v>
      </c>
      <c r="J2523" s="166" t="s">
        <v>152</v>
      </c>
      <c r="K2523" s="166" t="s">
        <v>1350</v>
      </c>
      <c r="L2523" s="177">
        <f>1480/7</f>
        <v>211.42857142857142</v>
      </c>
      <c r="M2523" s="140"/>
      <c r="N2523" s="140"/>
      <c r="O2523" s="164">
        <f t="shared" si="276"/>
        <v>0</v>
      </c>
      <c r="P2523" s="166"/>
      <c r="Q2523" s="166"/>
      <c r="R2523" s="164">
        <f>$L2523*'Pivot Objective'!$C$9*P2523*Q2523</f>
        <v>0</v>
      </c>
      <c r="S2523" s="166">
        <f>135*2*9</f>
        <v>2430</v>
      </c>
      <c r="T2523" s="166">
        <v>1</v>
      </c>
      <c r="U2523" s="164">
        <f>($L2523*'Pivot Objective'!$C$9^2)*S2523*T2523</f>
        <v>671123.50217162515</v>
      </c>
      <c r="V2523" s="166">
        <v>2430</v>
      </c>
      <c r="W2523" s="166">
        <v>1</v>
      </c>
      <c r="X2523" s="164">
        <f>($L2523*'Pivot Objective'!$C$9^3)*V2523*W2523</f>
        <v>767041.20932447549</v>
      </c>
      <c r="Y2523" s="166">
        <v>2430</v>
      </c>
      <c r="Z2523" s="166">
        <v>1</v>
      </c>
      <c r="AA2523" s="164">
        <f>($L2523*'Pivot Objective'!$C$9^4)*Y2523*Z2523</f>
        <v>876667.58040533611</v>
      </c>
      <c r="AB2523" s="166">
        <v>2430</v>
      </c>
      <c r="AC2523" s="166">
        <v>1</v>
      </c>
      <c r="AD2523" s="164">
        <f>($L2523*'Pivot Objective'!$C$9^5)*AB2523*AC2523</f>
        <v>1001961.8727012025</v>
      </c>
      <c r="AE2523" s="166">
        <v>2430</v>
      </c>
      <c r="AF2523" s="166">
        <v>1</v>
      </c>
      <c r="AG2523" s="164">
        <f>($L2523*'Pivot Objective'!$C$9^6)*AE2523*AF2523</f>
        <v>1145163.3626998325</v>
      </c>
      <c r="AH2523" s="166">
        <v>2430</v>
      </c>
      <c r="AI2523" s="166">
        <v>1</v>
      </c>
      <c r="AJ2523" s="164">
        <f>($L2523*'Pivot Objective'!$C$9^7)*AH2523*AI2523</f>
        <v>1308831.3667411015</v>
      </c>
      <c r="AK2523" s="185">
        <f t="shared" si="277"/>
        <v>5770788.8940435732</v>
      </c>
      <c r="AL2523" s="186">
        <f t="shared" si="278"/>
        <v>5602.7076641199737</v>
      </c>
    </row>
    <row r="2524" spans="1:38" customFormat="1" ht="57.6" x14ac:dyDescent="0.3">
      <c r="A2524" s="140" t="s">
        <v>1488</v>
      </c>
      <c r="B2524" s="140">
        <v>4</v>
      </c>
      <c r="C2524" s="166" t="s">
        <v>697</v>
      </c>
      <c r="D2524" s="140" t="str">
        <f t="shared" si="274"/>
        <v>2</v>
      </c>
      <c r="E2524" s="166" t="s">
        <v>693</v>
      </c>
      <c r="F2524" s="140">
        <f t="shared" si="279"/>
        <v>4</v>
      </c>
      <c r="G2524" s="140" t="str">
        <f t="shared" si="275"/>
        <v>4.2.4</v>
      </c>
      <c r="H2524" s="166" t="s">
        <v>673</v>
      </c>
      <c r="I2524" s="166" t="s">
        <v>116</v>
      </c>
      <c r="J2524" s="166" t="s">
        <v>180</v>
      </c>
      <c r="K2524" s="166" t="s">
        <v>709</v>
      </c>
      <c r="L2524" s="177">
        <v>35000</v>
      </c>
      <c r="M2524" s="140"/>
      <c r="N2524" s="140"/>
      <c r="O2524" s="164">
        <f t="shared" si="276"/>
        <v>0</v>
      </c>
      <c r="P2524" s="166">
        <v>0</v>
      </c>
      <c r="Q2524" s="166">
        <v>0</v>
      </c>
      <c r="R2524" s="164">
        <f>$L2524*'Pivot Objective'!$C$9*P2524*Q2524</f>
        <v>0</v>
      </c>
      <c r="S2524" s="166">
        <v>25</v>
      </c>
      <c r="T2524" s="166">
        <v>3</v>
      </c>
      <c r="U2524" s="164">
        <f>($L2524*'Pivot Objective'!$C$9^2)*S2524*T2524</f>
        <v>3428955.1641651685</v>
      </c>
      <c r="V2524" s="166">
        <v>25</v>
      </c>
      <c r="W2524" s="166">
        <v>3</v>
      </c>
      <c r="X2524" s="164">
        <f>($L2524*'Pivot Objective'!$C$9^3)*V2524*W2524</f>
        <v>3919025.1977914693</v>
      </c>
      <c r="Y2524" s="166">
        <v>25</v>
      </c>
      <c r="Z2524" s="166">
        <v>3</v>
      </c>
      <c r="AA2524" s="164">
        <f>($L2524*'Pivot Objective'!$C$9^4)*Y2524*Z2524</f>
        <v>4479136.5782304676</v>
      </c>
      <c r="AB2524" s="166">
        <v>25</v>
      </c>
      <c r="AC2524" s="166">
        <v>3</v>
      </c>
      <c r="AD2524" s="164">
        <f>($L2524*'Pivot Objective'!$C$9^5)*AB2524*AC2524</f>
        <v>5119299.6916039912</v>
      </c>
      <c r="AE2524" s="166">
        <v>25</v>
      </c>
      <c r="AF2524" s="166">
        <v>3</v>
      </c>
      <c r="AG2524" s="164">
        <f>($L2524*'Pivot Objective'!$C$9^6)*AE2524*AF2524</f>
        <v>5850955.6193997953</v>
      </c>
      <c r="AH2524" s="166">
        <v>25</v>
      </c>
      <c r="AI2524" s="166">
        <v>3</v>
      </c>
      <c r="AJ2524" s="164">
        <f>($L2524*'Pivot Objective'!$C$9^7)*AH2524*AI2524</f>
        <v>6687180.6150227292</v>
      </c>
      <c r="AK2524" s="185">
        <f t="shared" si="277"/>
        <v>29484552.866213623</v>
      </c>
      <c r="AL2524" s="186">
        <f t="shared" si="278"/>
        <v>28625.779481760801</v>
      </c>
    </row>
    <row r="2525" spans="1:38" customFormat="1" ht="57.6" x14ac:dyDescent="0.3">
      <c r="A2525" s="140" t="s">
        <v>1488</v>
      </c>
      <c r="B2525" s="140">
        <v>4</v>
      </c>
      <c r="C2525" s="166" t="s">
        <v>697</v>
      </c>
      <c r="D2525" s="140" t="str">
        <f t="shared" si="274"/>
        <v>2</v>
      </c>
      <c r="E2525" s="166" t="s">
        <v>693</v>
      </c>
      <c r="F2525" s="140">
        <f t="shared" si="279"/>
        <v>4</v>
      </c>
      <c r="G2525" s="140" t="str">
        <f t="shared" si="275"/>
        <v>4.2.4</v>
      </c>
      <c r="H2525" s="166" t="s">
        <v>673</v>
      </c>
      <c r="I2525" s="166" t="s">
        <v>116</v>
      </c>
      <c r="J2525" s="166" t="s">
        <v>180</v>
      </c>
      <c r="K2525" s="166" t="s">
        <v>712</v>
      </c>
      <c r="L2525" s="177">
        <f>1480/7</f>
        <v>211.42857142857142</v>
      </c>
      <c r="M2525" s="140"/>
      <c r="N2525" s="140"/>
      <c r="O2525" s="164">
        <f t="shared" si="276"/>
        <v>0</v>
      </c>
      <c r="P2525" s="166">
        <v>0</v>
      </c>
      <c r="Q2525" s="166">
        <v>0</v>
      </c>
      <c r="R2525" s="164">
        <f>$L2525*'Pivot Objective'!$C$9*P2525*Q2525</f>
        <v>0</v>
      </c>
      <c r="S2525" s="166">
        <f>25*2*9</f>
        <v>450</v>
      </c>
      <c r="T2525" s="166">
        <v>2</v>
      </c>
      <c r="U2525" s="164">
        <f>($L2525*'Pivot Objective'!$C$9^2)*S2525*T2525</f>
        <v>248564.26006356487</v>
      </c>
      <c r="V2525" s="166">
        <v>450</v>
      </c>
      <c r="W2525" s="166">
        <v>2</v>
      </c>
      <c r="X2525" s="164">
        <f>($L2525*'Pivot Objective'!$C$9^3)*V2525*W2525</f>
        <v>284089.33678684279</v>
      </c>
      <c r="Y2525" s="166">
        <v>450</v>
      </c>
      <c r="Z2525" s="166">
        <v>2</v>
      </c>
      <c r="AA2525" s="164">
        <f>($L2525*'Pivot Objective'!$C$9^4)*Y2525*Z2525</f>
        <v>324691.6964464208</v>
      </c>
      <c r="AB2525" s="166">
        <v>450</v>
      </c>
      <c r="AC2525" s="166">
        <v>2</v>
      </c>
      <c r="AD2525" s="164">
        <f>($L2525*'Pivot Objective'!$C$9^5)*AB2525*AC2525</f>
        <v>371096.98988933425</v>
      </c>
      <c r="AE2525" s="166">
        <v>450</v>
      </c>
      <c r="AF2525" s="166">
        <v>2</v>
      </c>
      <c r="AG2525" s="164">
        <f>($L2525*'Pivot Objective'!$C$9^6)*AE2525*AF2525</f>
        <v>424134.5787777158</v>
      </c>
      <c r="AH2525" s="166">
        <v>450</v>
      </c>
      <c r="AI2525" s="166">
        <v>2</v>
      </c>
      <c r="AJ2525" s="164">
        <f>($L2525*'Pivot Objective'!$C$9^7)*AH2525*AI2525</f>
        <v>484752.35805225978</v>
      </c>
      <c r="AK2525" s="185">
        <f t="shared" si="277"/>
        <v>2137329.2200161382</v>
      </c>
      <c r="AL2525" s="186">
        <f t="shared" si="278"/>
        <v>2075.0769126370274</v>
      </c>
    </row>
    <row r="2526" spans="1:38" customFormat="1" ht="57.6" x14ac:dyDescent="0.3">
      <c r="A2526" s="140" t="s">
        <v>1488</v>
      </c>
      <c r="B2526" s="140">
        <v>4</v>
      </c>
      <c r="C2526" s="166" t="s">
        <v>697</v>
      </c>
      <c r="D2526" s="140" t="str">
        <f t="shared" si="274"/>
        <v>2</v>
      </c>
      <c r="E2526" s="166" t="s">
        <v>693</v>
      </c>
      <c r="F2526" s="140">
        <f t="shared" si="279"/>
        <v>4</v>
      </c>
      <c r="G2526" s="140" t="str">
        <f t="shared" si="275"/>
        <v>4.2.4</v>
      </c>
      <c r="H2526" s="166" t="s">
        <v>673</v>
      </c>
      <c r="I2526" s="166" t="s">
        <v>116</v>
      </c>
      <c r="J2526" s="166" t="s">
        <v>180</v>
      </c>
      <c r="K2526" s="166" t="s">
        <v>1350</v>
      </c>
      <c r="L2526" s="177">
        <f>1480/7</f>
        <v>211.42857142857142</v>
      </c>
      <c r="M2526" s="140"/>
      <c r="N2526" s="140"/>
      <c r="O2526" s="164">
        <f t="shared" si="276"/>
        <v>0</v>
      </c>
      <c r="P2526" s="166"/>
      <c r="Q2526" s="166"/>
      <c r="R2526" s="164">
        <f>$L2526*'Pivot Objective'!$C$9*P2526*Q2526</f>
        <v>0</v>
      </c>
      <c r="S2526" s="166">
        <f>135*2*9</f>
        <v>2430</v>
      </c>
      <c r="T2526" s="166">
        <v>1</v>
      </c>
      <c r="U2526" s="164">
        <f>($L2526*'Pivot Objective'!$C$9^2)*S2526*T2526</f>
        <v>671123.50217162515</v>
      </c>
      <c r="V2526" s="166">
        <v>2430</v>
      </c>
      <c r="W2526" s="166">
        <v>1</v>
      </c>
      <c r="X2526" s="164">
        <f>($L2526*'Pivot Objective'!$C$9^3)*V2526*W2526</f>
        <v>767041.20932447549</v>
      </c>
      <c r="Y2526" s="166">
        <v>2430</v>
      </c>
      <c r="Z2526" s="166">
        <v>1</v>
      </c>
      <c r="AA2526" s="164">
        <f>($L2526*'Pivot Objective'!$C$9^4)*Y2526*Z2526</f>
        <v>876667.58040533611</v>
      </c>
      <c r="AB2526" s="166">
        <v>2430</v>
      </c>
      <c r="AC2526" s="166">
        <v>1</v>
      </c>
      <c r="AD2526" s="164">
        <f>($L2526*'Pivot Objective'!$C$9^5)*AB2526*AC2526</f>
        <v>1001961.8727012025</v>
      </c>
      <c r="AE2526" s="166">
        <v>2430</v>
      </c>
      <c r="AF2526" s="166">
        <v>1</v>
      </c>
      <c r="AG2526" s="164">
        <f>($L2526*'Pivot Objective'!$C$9^6)*AE2526*AF2526</f>
        <v>1145163.3626998325</v>
      </c>
      <c r="AH2526" s="166">
        <v>2430</v>
      </c>
      <c r="AI2526" s="166">
        <v>1</v>
      </c>
      <c r="AJ2526" s="164">
        <f>($L2526*'Pivot Objective'!$C$9^7)*AH2526*AI2526</f>
        <v>1308831.3667411015</v>
      </c>
      <c r="AK2526" s="185">
        <f t="shared" si="277"/>
        <v>5770788.8940435732</v>
      </c>
      <c r="AL2526" s="186">
        <f t="shared" si="278"/>
        <v>5602.7076641199737</v>
      </c>
    </row>
    <row r="2527" spans="1:38" customFormat="1" ht="57.6" x14ac:dyDescent="0.3">
      <c r="A2527" s="140" t="s">
        <v>1488</v>
      </c>
      <c r="B2527" s="140">
        <v>4</v>
      </c>
      <c r="C2527" s="166" t="s">
        <v>697</v>
      </c>
      <c r="D2527" s="140" t="str">
        <f t="shared" si="274"/>
        <v>2</v>
      </c>
      <c r="E2527" s="166" t="s">
        <v>693</v>
      </c>
      <c r="F2527" s="140">
        <f t="shared" si="279"/>
        <v>4</v>
      </c>
      <c r="G2527" s="140" t="str">
        <f t="shared" si="275"/>
        <v>4.2.4</v>
      </c>
      <c r="H2527" s="166" t="s">
        <v>673</v>
      </c>
      <c r="I2527" s="166" t="s">
        <v>116</v>
      </c>
      <c r="J2527" s="166" t="s">
        <v>175</v>
      </c>
      <c r="K2527" s="166" t="s">
        <v>709</v>
      </c>
      <c r="L2527" s="177">
        <v>35000</v>
      </c>
      <c r="M2527" s="140"/>
      <c r="N2527" s="140"/>
      <c r="O2527" s="164">
        <f t="shared" si="276"/>
        <v>0</v>
      </c>
      <c r="P2527" s="166">
        <v>0</v>
      </c>
      <c r="Q2527" s="166">
        <v>0</v>
      </c>
      <c r="R2527" s="164">
        <f>$L2527*'Pivot Objective'!$C$9*P2527*Q2527</f>
        <v>0</v>
      </c>
      <c r="S2527" s="166">
        <v>100</v>
      </c>
      <c r="T2527" s="166">
        <v>1</v>
      </c>
      <c r="U2527" s="164">
        <f>($L2527*'Pivot Objective'!$C$9^2)*S2527*T2527</f>
        <v>4571940.2188868914</v>
      </c>
      <c r="V2527" s="166">
        <v>100</v>
      </c>
      <c r="W2527" s="166">
        <v>1</v>
      </c>
      <c r="X2527" s="164">
        <f>($L2527*'Pivot Objective'!$C$9^3)*V2527*W2527</f>
        <v>5225366.9303886257</v>
      </c>
      <c r="Y2527" s="166">
        <v>100</v>
      </c>
      <c r="Z2527" s="166">
        <v>1</v>
      </c>
      <c r="AA2527" s="164">
        <f>($L2527*'Pivot Objective'!$C$9^4)*Y2527*Z2527</f>
        <v>5972182.1043072902</v>
      </c>
      <c r="AB2527" s="166">
        <v>100</v>
      </c>
      <c r="AC2527" s="166">
        <v>1</v>
      </c>
      <c r="AD2527" s="164">
        <f>($L2527*'Pivot Objective'!$C$9^5)*AB2527*AC2527</f>
        <v>6825732.9221386546</v>
      </c>
      <c r="AE2527" s="166">
        <v>100</v>
      </c>
      <c r="AF2527" s="166">
        <v>1</v>
      </c>
      <c r="AG2527" s="164">
        <f>($L2527*'Pivot Objective'!$C$9^6)*AE2527*AF2527</f>
        <v>7801274.1591997268</v>
      </c>
      <c r="AH2527" s="166">
        <v>100</v>
      </c>
      <c r="AI2527" s="166">
        <v>1</v>
      </c>
      <c r="AJ2527" s="164">
        <f>($L2527*'Pivot Objective'!$C$9^7)*AH2527*AI2527</f>
        <v>8916240.8200303055</v>
      </c>
      <c r="AK2527" s="185">
        <f t="shared" si="277"/>
        <v>39312737.154951498</v>
      </c>
      <c r="AL2527" s="186">
        <f t="shared" si="278"/>
        <v>38167.705975681063</v>
      </c>
    </row>
    <row r="2528" spans="1:38" customFormat="1" ht="57.6" x14ac:dyDescent="0.3">
      <c r="A2528" s="140" t="s">
        <v>1488</v>
      </c>
      <c r="B2528" s="140">
        <v>4</v>
      </c>
      <c r="C2528" s="166" t="s">
        <v>697</v>
      </c>
      <c r="D2528" s="140" t="str">
        <f t="shared" si="274"/>
        <v>2</v>
      </c>
      <c r="E2528" s="166" t="s">
        <v>693</v>
      </c>
      <c r="F2528" s="140">
        <f t="shared" si="279"/>
        <v>4</v>
      </c>
      <c r="G2528" s="140" t="str">
        <f t="shared" si="275"/>
        <v>4.2.4</v>
      </c>
      <c r="H2528" s="166" t="s">
        <v>673</v>
      </c>
      <c r="I2528" s="166" t="s">
        <v>116</v>
      </c>
      <c r="J2528" s="166" t="s">
        <v>566</v>
      </c>
      <c r="K2528" s="166" t="s">
        <v>709</v>
      </c>
      <c r="L2528" s="177">
        <v>35000</v>
      </c>
      <c r="M2528" s="140"/>
      <c r="N2528" s="140"/>
      <c r="O2528" s="164">
        <f t="shared" si="276"/>
        <v>0</v>
      </c>
      <c r="P2528" s="166">
        <v>0</v>
      </c>
      <c r="Q2528" s="166">
        <v>0</v>
      </c>
      <c r="R2528" s="164">
        <f>$L2528*'Pivot Objective'!$C$9*P2528*Q2528</f>
        <v>0</v>
      </c>
      <c r="S2528" s="166">
        <v>30</v>
      </c>
      <c r="T2528" s="166">
        <v>1</v>
      </c>
      <c r="U2528" s="164">
        <f>($L2528*'Pivot Objective'!$C$9^2)*S2528*T2528</f>
        <v>1371582.0656660672</v>
      </c>
      <c r="V2528" s="166">
        <v>30</v>
      </c>
      <c r="W2528" s="166">
        <v>1</v>
      </c>
      <c r="X2528" s="164">
        <f>($L2528*'Pivot Objective'!$C$9^3)*V2528*W2528</f>
        <v>1567610.0791165878</v>
      </c>
      <c r="Y2528" s="166">
        <v>30</v>
      </c>
      <c r="Z2528" s="166">
        <v>1</v>
      </c>
      <c r="AA2528" s="164">
        <f>($L2528*'Pivot Objective'!$C$9^4)*Y2528*Z2528</f>
        <v>1791654.6312921871</v>
      </c>
      <c r="AB2528" s="166">
        <v>30</v>
      </c>
      <c r="AC2528" s="166">
        <v>1</v>
      </c>
      <c r="AD2528" s="164">
        <f>($L2528*'Pivot Objective'!$C$9^5)*AB2528*AC2528</f>
        <v>2047719.8766415964</v>
      </c>
      <c r="AE2528" s="166">
        <v>30</v>
      </c>
      <c r="AF2528" s="166">
        <v>1</v>
      </c>
      <c r="AG2528" s="164">
        <f>($L2528*'Pivot Objective'!$C$9^6)*AE2528*AF2528</f>
        <v>2340382.2477599182</v>
      </c>
      <c r="AH2528" s="166">
        <v>30</v>
      </c>
      <c r="AI2528" s="166">
        <v>1</v>
      </c>
      <c r="AJ2528" s="164">
        <f>($L2528*'Pivot Objective'!$C$9^7)*AH2528*AI2528</f>
        <v>2674872.2460090914</v>
      </c>
      <c r="AK2528" s="185">
        <f t="shared" si="277"/>
        <v>11793821.146485448</v>
      </c>
      <c r="AL2528" s="186">
        <f t="shared" si="278"/>
        <v>11450.311792704319</v>
      </c>
    </row>
    <row r="2529" spans="1:38" customFormat="1" ht="57.6" x14ac:dyDescent="0.3">
      <c r="A2529" s="140" t="s">
        <v>1488</v>
      </c>
      <c r="B2529" s="140">
        <v>4</v>
      </c>
      <c r="C2529" s="166" t="s">
        <v>697</v>
      </c>
      <c r="D2529" s="140" t="str">
        <f t="shared" si="274"/>
        <v>2</v>
      </c>
      <c r="E2529" s="166" t="s">
        <v>693</v>
      </c>
      <c r="F2529" s="140">
        <f t="shared" si="279"/>
        <v>4</v>
      </c>
      <c r="G2529" s="140" t="str">
        <f t="shared" si="275"/>
        <v>4.2.4</v>
      </c>
      <c r="H2529" s="166" t="s">
        <v>673</v>
      </c>
      <c r="I2529" s="166" t="s">
        <v>116</v>
      </c>
      <c r="J2529" s="166" t="s">
        <v>562</v>
      </c>
      <c r="K2529" s="166" t="s">
        <v>718</v>
      </c>
      <c r="L2529" s="177">
        <v>0</v>
      </c>
      <c r="M2529" s="140"/>
      <c r="N2529" s="140"/>
      <c r="O2529" s="164">
        <f t="shared" si="276"/>
        <v>0</v>
      </c>
      <c r="P2529" s="166">
        <v>0</v>
      </c>
      <c r="Q2529" s="166">
        <v>0</v>
      </c>
      <c r="R2529" s="164">
        <f>$L2529*'Pivot Objective'!$C$9*P2529*Q2529</f>
        <v>0</v>
      </c>
      <c r="S2529" s="166">
        <v>0</v>
      </c>
      <c r="T2529" s="166">
        <v>0</v>
      </c>
      <c r="U2529" s="164">
        <f>($L2529*'Pivot Objective'!$C$9^2)*S2529*T2529</f>
        <v>0</v>
      </c>
      <c r="V2529" s="166">
        <v>0</v>
      </c>
      <c r="W2529" s="166">
        <v>0</v>
      </c>
      <c r="X2529" s="164">
        <f>($L2529*'Pivot Objective'!$C$9^3)*V2529*W2529</f>
        <v>0</v>
      </c>
      <c r="Y2529" s="166">
        <v>0</v>
      </c>
      <c r="Z2529" s="166">
        <v>0</v>
      </c>
      <c r="AA2529" s="164">
        <f>($L2529*'Pivot Objective'!$C$9^4)*Y2529*Z2529</f>
        <v>0</v>
      </c>
      <c r="AB2529" s="166">
        <v>0</v>
      </c>
      <c r="AC2529" s="166">
        <v>0</v>
      </c>
      <c r="AD2529" s="164">
        <f>($L2529*'Pivot Objective'!$C$9^5)*AB2529*AC2529</f>
        <v>0</v>
      </c>
      <c r="AE2529" s="166">
        <v>0</v>
      </c>
      <c r="AF2529" s="166">
        <v>0</v>
      </c>
      <c r="AG2529" s="164">
        <f>($L2529*'Pivot Objective'!$C$9^6)*AE2529*AF2529</f>
        <v>0</v>
      </c>
      <c r="AH2529" s="166">
        <v>0</v>
      </c>
      <c r="AI2529" s="166">
        <v>0</v>
      </c>
      <c r="AJ2529" s="164">
        <f>($L2529*'Pivot Objective'!$C$9^7)*AH2529*AI2529</f>
        <v>0</v>
      </c>
      <c r="AK2529" s="185">
        <f t="shared" si="277"/>
        <v>0</v>
      </c>
      <c r="AL2529" s="186">
        <f t="shared" si="278"/>
        <v>0</v>
      </c>
    </row>
    <row r="2530" spans="1:38" customFormat="1" ht="57.6" x14ac:dyDescent="0.3">
      <c r="A2530" s="140" t="s">
        <v>1488</v>
      </c>
      <c r="B2530" s="140">
        <v>4</v>
      </c>
      <c r="C2530" s="166" t="s">
        <v>697</v>
      </c>
      <c r="D2530" s="140" t="str">
        <f t="shared" si="274"/>
        <v>2</v>
      </c>
      <c r="E2530" s="166" t="s">
        <v>693</v>
      </c>
      <c r="F2530" s="140">
        <f t="shared" si="279"/>
        <v>4</v>
      </c>
      <c r="G2530" s="140" t="str">
        <f t="shared" si="275"/>
        <v>4.2.4</v>
      </c>
      <c r="H2530" s="166" t="s">
        <v>673</v>
      </c>
      <c r="I2530" s="166" t="s">
        <v>116</v>
      </c>
      <c r="J2530" s="166" t="s">
        <v>178</v>
      </c>
      <c r="K2530" s="166" t="s">
        <v>1297</v>
      </c>
      <c r="L2530" s="177">
        <v>8000</v>
      </c>
      <c r="M2530" s="140"/>
      <c r="N2530" s="140"/>
      <c r="O2530" s="164">
        <f t="shared" si="276"/>
        <v>0</v>
      </c>
      <c r="P2530" s="166">
        <v>0</v>
      </c>
      <c r="Q2530" s="166">
        <v>0</v>
      </c>
      <c r="R2530" s="164">
        <f>$L2530*'Pivot Objective'!$C$9*P2530*Q2530</f>
        <v>0</v>
      </c>
      <c r="S2530" s="166">
        <v>5</v>
      </c>
      <c r="T2530" s="166">
        <v>1</v>
      </c>
      <c r="U2530" s="164">
        <f>($L2530*'Pivot Objective'!$C$9^2)*S2530*T2530</f>
        <v>52250.745358707325</v>
      </c>
      <c r="V2530" s="166">
        <v>5</v>
      </c>
      <c r="W2530" s="166">
        <v>1</v>
      </c>
      <c r="X2530" s="164">
        <f>($L2530*'Pivot Objective'!$C$9^3)*V2530*W2530</f>
        <v>59718.479204441435</v>
      </c>
      <c r="Y2530" s="166">
        <v>5</v>
      </c>
      <c r="Z2530" s="166">
        <v>1</v>
      </c>
      <c r="AA2530" s="164">
        <f>($L2530*'Pivot Objective'!$C$9^4)*Y2530*Z2530</f>
        <v>68253.509763511887</v>
      </c>
      <c r="AB2530" s="166">
        <v>5</v>
      </c>
      <c r="AC2530" s="166">
        <v>1</v>
      </c>
      <c r="AD2530" s="164">
        <f>($L2530*'Pivot Objective'!$C$9^5)*AB2530*AC2530</f>
        <v>78008.376253013208</v>
      </c>
      <c r="AE2530" s="166">
        <v>5</v>
      </c>
      <c r="AF2530" s="166">
        <v>1</v>
      </c>
      <c r="AG2530" s="164">
        <f>($L2530*'Pivot Objective'!$C$9^6)*AE2530*AF2530</f>
        <v>89157.418962282609</v>
      </c>
      <c r="AH2530" s="166">
        <v>5</v>
      </c>
      <c r="AI2530" s="166">
        <v>1</v>
      </c>
      <c r="AJ2530" s="164">
        <f>($L2530*'Pivot Objective'!$C$9^7)*AH2530*AI2530</f>
        <v>101899.89508606063</v>
      </c>
      <c r="AK2530" s="185">
        <f t="shared" si="277"/>
        <v>449288.42462801706</v>
      </c>
      <c r="AL2530" s="186">
        <f t="shared" si="278"/>
        <v>436.20235400778358</v>
      </c>
    </row>
    <row r="2531" spans="1:38" customFormat="1" ht="57.6" x14ac:dyDescent="0.3">
      <c r="A2531" s="140" t="s">
        <v>1488</v>
      </c>
      <c r="B2531" s="140">
        <v>4</v>
      </c>
      <c r="C2531" s="166" t="s">
        <v>697</v>
      </c>
      <c r="D2531" s="140" t="str">
        <f t="shared" si="274"/>
        <v>2</v>
      </c>
      <c r="E2531" s="166" t="s">
        <v>693</v>
      </c>
      <c r="F2531" s="140">
        <f t="shared" si="279"/>
        <v>4</v>
      </c>
      <c r="G2531" s="140" t="str">
        <f t="shared" si="275"/>
        <v>4.2.4</v>
      </c>
      <c r="H2531" s="166" t="s">
        <v>673</v>
      </c>
      <c r="I2531" s="166" t="s">
        <v>116</v>
      </c>
      <c r="J2531" s="166" t="s">
        <v>178</v>
      </c>
      <c r="K2531" s="166" t="s">
        <v>717</v>
      </c>
      <c r="L2531" s="177">
        <v>104850</v>
      </c>
      <c r="M2531" s="140"/>
      <c r="N2531" s="140"/>
      <c r="O2531" s="164">
        <f t="shared" si="276"/>
        <v>0</v>
      </c>
      <c r="P2531" s="166">
        <v>0</v>
      </c>
      <c r="Q2531" s="166">
        <v>0</v>
      </c>
      <c r="R2531" s="164">
        <f>$L2531*'Pivot Objective'!$C$9*P2531*Q2531</f>
        <v>0</v>
      </c>
      <c r="S2531" s="166">
        <v>1</v>
      </c>
      <c r="T2531" s="166">
        <v>1</v>
      </c>
      <c r="U2531" s="164">
        <f>($L2531*'Pivot Objective'!$C$9^2)*S2531*T2531</f>
        <v>136962.26627151159</v>
      </c>
      <c r="V2531" s="166">
        <v>1</v>
      </c>
      <c r="W2531" s="166">
        <v>1</v>
      </c>
      <c r="X2531" s="164">
        <f>($L2531*'Pivot Objective'!$C$9^3)*V2531*W2531</f>
        <v>156537.0636146421</v>
      </c>
      <c r="Y2531" s="166">
        <v>1</v>
      </c>
      <c r="Z2531" s="166">
        <v>1</v>
      </c>
      <c r="AA2531" s="164">
        <f>($L2531*'Pivot Objective'!$C$9^4)*Y2531*Z2531</f>
        <v>178909.51246760553</v>
      </c>
      <c r="AB2531" s="166">
        <v>1</v>
      </c>
      <c r="AC2531" s="166">
        <v>1</v>
      </c>
      <c r="AD2531" s="164">
        <f>($L2531*'Pivot Objective'!$C$9^5)*AB2531*AC2531</f>
        <v>204479.45625321087</v>
      </c>
      <c r="AE2531" s="166">
        <v>1</v>
      </c>
      <c r="AF2531" s="166">
        <v>1</v>
      </c>
      <c r="AG2531" s="164">
        <f>($L2531*'Pivot Objective'!$C$9^6)*AE2531*AF2531</f>
        <v>233703.88445488326</v>
      </c>
      <c r="AH2531" s="166">
        <v>1</v>
      </c>
      <c r="AI2531" s="166">
        <v>1</v>
      </c>
      <c r="AJ2531" s="164">
        <f>($L2531*'Pivot Objective'!$C$9^7)*AH2531*AI2531</f>
        <v>267105.09999433643</v>
      </c>
      <c r="AK2531" s="185">
        <f t="shared" si="277"/>
        <v>1177697.2830561898</v>
      </c>
      <c r="AL2531" s="186">
        <f t="shared" si="278"/>
        <v>1143.3954204429026</v>
      </c>
    </row>
    <row r="2532" spans="1:38" customFormat="1" ht="57.6" x14ac:dyDescent="0.3">
      <c r="A2532" s="140" t="s">
        <v>1488</v>
      </c>
      <c r="B2532" s="140">
        <v>4</v>
      </c>
      <c r="C2532" s="166" t="s">
        <v>697</v>
      </c>
      <c r="D2532" s="140" t="str">
        <f t="shared" si="274"/>
        <v>2</v>
      </c>
      <c r="E2532" s="166" t="s">
        <v>693</v>
      </c>
      <c r="F2532" s="140">
        <f t="shared" si="279"/>
        <v>4</v>
      </c>
      <c r="G2532" s="140" t="str">
        <f t="shared" si="275"/>
        <v>4.2.4</v>
      </c>
      <c r="H2532" s="166" t="s">
        <v>673</v>
      </c>
      <c r="I2532" s="166" t="s">
        <v>116</v>
      </c>
      <c r="J2532" s="166" t="s">
        <v>178</v>
      </c>
      <c r="K2532" s="166" t="s">
        <v>709</v>
      </c>
      <c r="L2532" s="177">
        <v>35000</v>
      </c>
      <c r="M2532" s="140"/>
      <c r="N2532" s="140"/>
      <c r="O2532" s="164">
        <f t="shared" si="276"/>
        <v>0</v>
      </c>
      <c r="P2532" s="166">
        <v>0</v>
      </c>
      <c r="Q2532" s="166">
        <v>0</v>
      </c>
      <c r="R2532" s="164">
        <f>$L2532*'Pivot Objective'!$C$9*P2532*Q2532</f>
        <v>0</v>
      </c>
      <c r="S2532" s="166">
        <v>100</v>
      </c>
      <c r="T2532" s="166">
        <v>1</v>
      </c>
      <c r="U2532" s="164">
        <f>($L2532*'Pivot Objective'!$C$9^2)*S2532*T2532</f>
        <v>4571940.2188868914</v>
      </c>
      <c r="V2532" s="166">
        <v>100</v>
      </c>
      <c r="W2532" s="166">
        <v>1</v>
      </c>
      <c r="X2532" s="164">
        <f>($L2532*'Pivot Objective'!$C$9^3)*V2532*W2532</f>
        <v>5225366.9303886257</v>
      </c>
      <c r="Y2532" s="166">
        <v>100</v>
      </c>
      <c r="Z2532" s="166">
        <v>1</v>
      </c>
      <c r="AA2532" s="164">
        <f>($L2532*'Pivot Objective'!$C$9^4)*Y2532*Z2532</f>
        <v>5972182.1043072902</v>
      </c>
      <c r="AB2532" s="166">
        <v>100</v>
      </c>
      <c r="AC2532" s="166">
        <v>1</v>
      </c>
      <c r="AD2532" s="164">
        <f>($L2532*'Pivot Objective'!$C$9^5)*AB2532*AC2532</f>
        <v>6825732.9221386546</v>
      </c>
      <c r="AE2532" s="166">
        <v>100</v>
      </c>
      <c r="AF2532" s="166">
        <v>1</v>
      </c>
      <c r="AG2532" s="164">
        <f>($L2532*'Pivot Objective'!$C$9^6)*AE2532*AF2532</f>
        <v>7801274.1591997268</v>
      </c>
      <c r="AH2532" s="166">
        <v>100</v>
      </c>
      <c r="AI2532" s="166">
        <v>1</v>
      </c>
      <c r="AJ2532" s="164">
        <f>($L2532*'Pivot Objective'!$C$9^7)*AH2532*AI2532</f>
        <v>8916240.8200303055</v>
      </c>
      <c r="AK2532" s="185">
        <f t="shared" si="277"/>
        <v>39312737.154951498</v>
      </c>
      <c r="AL2532" s="186">
        <f t="shared" si="278"/>
        <v>38167.705975681063</v>
      </c>
    </row>
    <row r="2533" spans="1:38" customFormat="1" ht="57.6" x14ac:dyDescent="0.3">
      <c r="A2533" s="140" t="s">
        <v>1488</v>
      </c>
      <c r="B2533" s="140">
        <v>4</v>
      </c>
      <c r="C2533" s="166" t="s">
        <v>697</v>
      </c>
      <c r="D2533" s="140" t="str">
        <f t="shared" si="274"/>
        <v>2</v>
      </c>
      <c r="E2533" s="166" t="s">
        <v>693</v>
      </c>
      <c r="F2533" s="140">
        <f t="shared" si="279"/>
        <v>4</v>
      </c>
      <c r="G2533" s="140" t="str">
        <f t="shared" si="275"/>
        <v>4.2.4</v>
      </c>
      <c r="H2533" s="166" t="s">
        <v>673</v>
      </c>
      <c r="I2533" s="166" t="s">
        <v>116</v>
      </c>
      <c r="J2533" s="166" t="s">
        <v>178</v>
      </c>
      <c r="K2533" s="166" t="s">
        <v>712</v>
      </c>
      <c r="L2533" s="177">
        <f>1480/7</f>
        <v>211.42857142857142</v>
      </c>
      <c r="M2533" s="140"/>
      <c r="N2533" s="140"/>
      <c r="O2533" s="164">
        <f t="shared" si="276"/>
        <v>0</v>
      </c>
      <c r="P2533" s="166"/>
      <c r="Q2533" s="166"/>
      <c r="R2533" s="164">
        <f>$L2533*'Pivot Objective'!$C$9*P2533*Q2533</f>
        <v>0</v>
      </c>
      <c r="S2533" s="166">
        <f>25*2*29</f>
        <v>1450</v>
      </c>
      <c r="T2533" s="166">
        <v>1</v>
      </c>
      <c r="U2533" s="164">
        <f>($L2533*'Pivot Objective'!$C$9^2)*S2533*T2533</f>
        <v>400464.64121352119</v>
      </c>
      <c r="V2533" s="166">
        <v>1450</v>
      </c>
      <c r="W2533" s="166">
        <v>1</v>
      </c>
      <c r="X2533" s="164">
        <f>($L2533*'Pivot Objective'!$C$9^3)*V2533*W2533</f>
        <v>457699.48704546894</v>
      </c>
      <c r="Y2533" s="166">
        <v>1450</v>
      </c>
      <c r="Z2533" s="166">
        <v>1</v>
      </c>
      <c r="AA2533" s="164">
        <f>($L2533*'Pivot Objective'!$C$9^4)*Y2533*Z2533</f>
        <v>523114.3998303446</v>
      </c>
      <c r="AB2533" s="166">
        <v>1450</v>
      </c>
      <c r="AC2533" s="166">
        <v>1</v>
      </c>
      <c r="AD2533" s="164">
        <f>($L2533*'Pivot Objective'!$C$9^5)*AB2533*AC2533</f>
        <v>597878.48371059401</v>
      </c>
      <c r="AE2533" s="166">
        <v>1450</v>
      </c>
      <c r="AF2533" s="166">
        <v>1</v>
      </c>
      <c r="AG2533" s="164">
        <f>($L2533*'Pivot Objective'!$C$9^6)*AE2533*AF2533</f>
        <v>683327.93247520877</v>
      </c>
      <c r="AH2533" s="166">
        <v>1450</v>
      </c>
      <c r="AI2533" s="166">
        <v>1</v>
      </c>
      <c r="AJ2533" s="164">
        <f>($L2533*'Pivot Objective'!$C$9^7)*AH2533*AI2533</f>
        <v>780989.91019530746</v>
      </c>
      <c r="AK2533" s="185">
        <f t="shared" si="277"/>
        <v>3443474.8544704448</v>
      </c>
      <c r="AL2533" s="186">
        <f t="shared" si="278"/>
        <v>3343.1794703596552</v>
      </c>
    </row>
    <row r="2534" spans="1:38" customFormat="1" ht="57.6" x14ac:dyDescent="0.3">
      <c r="A2534" s="140" t="s">
        <v>1488</v>
      </c>
      <c r="B2534" s="140">
        <v>4</v>
      </c>
      <c r="C2534" s="166" t="s">
        <v>697</v>
      </c>
      <c r="D2534" s="140" t="str">
        <f t="shared" si="274"/>
        <v>2</v>
      </c>
      <c r="E2534" s="166" t="s">
        <v>693</v>
      </c>
      <c r="F2534" s="140">
        <f t="shared" si="279"/>
        <v>4</v>
      </c>
      <c r="G2534" s="140" t="str">
        <f t="shared" si="275"/>
        <v>4.2.4</v>
      </c>
      <c r="H2534" s="166" t="s">
        <v>673</v>
      </c>
      <c r="I2534" s="166" t="s">
        <v>116</v>
      </c>
      <c r="J2534" s="166" t="s">
        <v>178</v>
      </c>
      <c r="K2534" s="166" t="s">
        <v>716</v>
      </c>
      <c r="L2534" s="177">
        <v>39000</v>
      </c>
      <c r="M2534" s="140"/>
      <c r="N2534" s="140"/>
      <c r="O2534" s="164">
        <f t="shared" si="276"/>
        <v>0</v>
      </c>
      <c r="P2534" s="166"/>
      <c r="Q2534" s="166"/>
      <c r="R2534" s="164">
        <f>$L2534*'Pivot Objective'!$C$9*P2534*Q2534</f>
        <v>0</v>
      </c>
      <c r="S2534" s="166">
        <v>58</v>
      </c>
      <c r="T2534" s="166">
        <v>2</v>
      </c>
      <c r="U2534" s="164">
        <f>($L2534*'Pivot Objective'!$C$9^2)*S2534*T2534</f>
        <v>5909559.3000697987</v>
      </c>
      <c r="V2534" s="166">
        <v>58</v>
      </c>
      <c r="W2534" s="166">
        <v>2</v>
      </c>
      <c r="X2534" s="164">
        <f>($L2534*'Pivot Objective'!$C$9^3)*V2534*W2534</f>
        <v>6754159.9980223263</v>
      </c>
      <c r="Y2534" s="166">
        <v>58</v>
      </c>
      <c r="Z2534" s="166">
        <v>2</v>
      </c>
      <c r="AA2534" s="164">
        <f>($L2534*'Pivot Objective'!$C$9^4)*Y2534*Z2534</f>
        <v>7719471.9542531949</v>
      </c>
      <c r="AB2534" s="166">
        <v>58</v>
      </c>
      <c r="AC2534" s="166">
        <v>2</v>
      </c>
      <c r="AD2534" s="164">
        <f>($L2534*'Pivot Objective'!$C$9^5)*AB2534*AC2534</f>
        <v>8822747.3542157933</v>
      </c>
      <c r="AE2534" s="166">
        <v>58</v>
      </c>
      <c r="AF2534" s="166">
        <v>2</v>
      </c>
      <c r="AG2534" s="164">
        <f>($L2534*'Pivot Objective'!$C$9^6)*AE2534*AF2534</f>
        <v>10083704.084634162</v>
      </c>
      <c r="AH2534" s="166">
        <v>58</v>
      </c>
      <c r="AI2534" s="166">
        <v>2</v>
      </c>
      <c r="AJ2534" s="164">
        <f>($L2534*'Pivot Objective'!$C$9^7)*AH2534*AI2534</f>
        <v>11524878.134233456</v>
      </c>
      <c r="AK2534" s="185">
        <f t="shared" si="277"/>
        <v>50814520.825428739</v>
      </c>
      <c r="AL2534" s="186">
        <f t="shared" si="278"/>
        <v>49334.486238280326</v>
      </c>
    </row>
    <row r="2535" spans="1:38" customFormat="1" ht="57.6" x14ac:dyDescent="0.3">
      <c r="A2535" s="140" t="s">
        <v>1488</v>
      </c>
      <c r="B2535" s="140">
        <v>4</v>
      </c>
      <c r="C2535" s="166" t="s">
        <v>697</v>
      </c>
      <c r="D2535" s="140" t="str">
        <f t="shared" si="274"/>
        <v>2</v>
      </c>
      <c r="E2535" s="166" t="s">
        <v>693</v>
      </c>
      <c r="F2535" s="140">
        <f t="shared" si="279"/>
        <v>4</v>
      </c>
      <c r="G2535" s="140" t="str">
        <f t="shared" si="275"/>
        <v>4.2.4</v>
      </c>
      <c r="H2535" s="166" t="s">
        <v>673</v>
      </c>
      <c r="I2535" s="166" t="s">
        <v>116</v>
      </c>
      <c r="J2535" s="166" t="s">
        <v>178</v>
      </c>
      <c r="K2535" s="166" t="s">
        <v>1350</v>
      </c>
      <c r="L2535" s="177">
        <f>1480/7</f>
        <v>211.42857142857142</v>
      </c>
      <c r="M2535" s="140"/>
      <c r="N2535" s="140"/>
      <c r="O2535" s="164">
        <f t="shared" si="276"/>
        <v>0</v>
      </c>
      <c r="P2535" s="166"/>
      <c r="Q2535" s="166"/>
      <c r="R2535" s="164">
        <f>$L2535*'Pivot Objective'!$C$9*P2535*Q2535</f>
        <v>0</v>
      </c>
      <c r="S2535" s="166">
        <f>135*2*29</f>
        <v>7830</v>
      </c>
      <c r="T2535" s="166">
        <v>1</v>
      </c>
      <c r="U2535" s="164">
        <f>($L2535*'Pivot Objective'!$C$9^2)*S2535*T2535</f>
        <v>2162509.0625530141</v>
      </c>
      <c r="V2535" s="166">
        <v>7830</v>
      </c>
      <c r="W2535" s="166">
        <v>1</v>
      </c>
      <c r="X2535" s="164">
        <f>($L2535*'Pivot Objective'!$C$9^3)*V2535*W2535</f>
        <v>2471577.2300455323</v>
      </c>
      <c r="Y2535" s="166">
        <v>7830</v>
      </c>
      <c r="Z2535" s="166">
        <v>1</v>
      </c>
      <c r="AA2535" s="164">
        <f>($L2535*'Pivot Objective'!$C$9^4)*Y2535*Z2535</f>
        <v>2824817.759083861</v>
      </c>
      <c r="AB2535" s="166">
        <v>7830</v>
      </c>
      <c r="AC2535" s="166">
        <v>1</v>
      </c>
      <c r="AD2535" s="164">
        <f>($L2535*'Pivot Objective'!$C$9^5)*AB2535*AC2535</f>
        <v>3228543.8120372081</v>
      </c>
      <c r="AE2535" s="166">
        <v>7830</v>
      </c>
      <c r="AF2535" s="166">
        <v>1</v>
      </c>
      <c r="AG2535" s="164">
        <f>($L2535*'Pivot Objective'!$C$9^6)*AE2535*AF2535</f>
        <v>3689970.8353661271</v>
      </c>
      <c r="AH2535" s="166">
        <v>7830</v>
      </c>
      <c r="AI2535" s="166">
        <v>1</v>
      </c>
      <c r="AJ2535" s="164">
        <f>($L2535*'Pivot Objective'!$C$9^7)*AH2535*AI2535</f>
        <v>4217345.5150546599</v>
      </c>
      <c r="AK2535" s="185">
        <f t="shared" si="277"/>
        <v>18594764.2141404</v>
      </c>
      <c r="AL2535" s="186">
        <f t="shared" si="278"/>
        <v>18053.169139942136</v>
      </c>
    </row>
    <row r="2536" spans="1:38" customFormat="1" ht="57.6" x14ac:dyDescent="0.3">
      <c r="A2536" s="140" t="s">
        <v>1488</v>
      </c>
      <c r="B2536" s="140">
        <v>4</v>
      </c>
      <c r="C2536" s="166" t="s">
        <v>697</v>
      </c>
      <c r="D2536" s="140" t="str">
        <f t="shared" si="274"/>
        <v>2</v>
      </c>
      <c r="E2536" s="166" t="s">
        <v>693</v>
      </c>
      <c r="F2536" s="140">
        <f t="shared" si="279"/>
        <v>5</v>
      </c>
      <c r="G2536" s="140" t="str">
        <f t="shared" si="275"/>
        <v>4.2.5</v>
      </c>
      <c r="H2536" s="181" t="s">
        <v>674</v>
      </c>
      <c r="I2536" s="166" t="s">
        <v>117</v>
      </c>
      <c r="J2536" s="166" t="s">
        <v>567</v>
      </c>
      <c r="K2536" s="166" t="s">
        <v>718</v>
      </c>
      <c r="L2536" s="177">
        <v>0</v>
      </c>
      <c r="M2536" s="166">
        <v>0</v>
      </c>
      <c r="N2536" s="166">
        <v>0</v>
      </c>
      <c r="O2536" s="164">
        <f t="shared" si="276"/>
        <v>0</v>
      </c>
      <c r="P2536" s="166"/>
      <c r="Q2536" s="166">
        <v>0</v>
      </c>
      <c r="R2536" s="164">
        <f>$L2536*'Pivot Objective'!$C$9*P2536*Q2536</f>
        <v>0</v>
      </c>
      <c r="S2536" s="166">
        <v>0</v>
      </c>
      <c r="T2536" s="166">
        <v>0</v>
      </c>
      <c r="U2536" s="164">
        <f>($L2536*'Pivot Objective'!$C$9^2)*S2536*T2536</f>
        <v>0</v>
      </c>
      <c r="V2536" s="166">
        <v>0</v>
      </c>
      <c r="W2536" s="166">
        <v>0</v>
      </c>
      <c r="X2536" s="164">
        <f>($L2536*'Pivot Objective'!$C$9^3)*V2536*W2536</f>
        <v>0</v>
      </c>
      <c r="Y2536" s="166">
        <v>0</v>
      </c>
      <c r="Z2536" s="166">
        <v>0</v>
      </c>
      <c r="AA2536" s="164">
        <f>($L2536*'Pivot Objective'!$C$9^4)*Y2536*Z2536</f>
        <v>0</v>
      </c>
      <c r="AB2536" s="166">
        <v>0</v>
      </c>
      <c r="AC2536" s="166">
        <v>0</v>
      </c>
      <c r="AD2536" s="164">
        <f>($L2536*'Pivot Objective'!$C$9^5)*AB2536*AC2536</f>
        <v>0</v>
      </c>
      <c r="AE2536" s="166">
        <v>0</v>
      </c>
      <c r="AF2536" s="166">
        <v>0</v>
      </c>
      <c r="AG2536" s="164">
        <f>($L2536*'Pivot Objective'!$C$9^6)*AE2536*AF2536</f>
        <v>0</v>
      </c>
      <c r="AH2536" s="166">
        <v>0</v>
      </c>
      <c r="AI2536" s="166">
        <v>0</v>
      </c>
      <c r="AJ2536" s="164">
        <f>($L2536*'Pivot Objective'!$C$9^7)*AH2536*AI2536</f>
        <v>0</v>
      </c>
      <c r="AK2536" s="185">
        <f t="shared" si="277"/>
        <v>0</v>
      </c>
      <c r="AL2536" s="186">
        <f t="shared" si="278"/>
        <v>0</v>
      </c>
    </row>
    <row r="2537" spans="1:38" customFormat="1" ht="57.6" x14ac:dyDescent="0.3">
      <c r="A2537" s="140" t="s">
        <v>1488</v>
      </c>
      <c r="B2537" s="140">
        <v>4</v>
      </c>
      <c r="C2537" s="166" t="s">
        <v>697</v>
      </c>
      <c r="D2537" s="140" t="str">
        <f t="shared" si="274"/>
        <v>2</v>
      </c>
      <c r="E2537" s="166" t="s">
        <v>693</v>
      </c>
      <c r="F2537" s="140">
        <f t="shared" si="279"/>
        <v>5</v>
      </c>
      <c r="G2537" s="140" t="str">
        <f t="shared" si="275"/>
        <v>4.2.5</v>
      </c>
      <c r="H2537" s="181" t="s">
        <v>674</v>
      </c>
      <c r="I2537" s="166" t="s">
        <v>117</v>
      </c>
      <c r="J2537" s="166" t="s">
        <v>149</v>
      </c>
      <c r="K2537" s="166" t="s">
        <v>707</v>
      </c>
      <c r="L2537" s="177">
        <v>391991.03749999998</v>
      </c>
      <c r="M2537" s="140"/>
      <c r="N2537" s="140"/>
      <c r="O2537" s="164">
        <f t="shared" si="276"/>
        <v>0</v>
      </c>
      <c r="P2537" s="166">
        <v>2</v>
      </c>
      <c r="Q2537" s="166">
        <v>2</v>
      </c>
      <c r="R2537" s="164">
        <f>$L2537*'Pivot Objective'!$C$9*P2537*Q2537</f>
        <v>1792059.3063746723</v>
      </c>
      <c r="S2537" s="166">
        <v>2</v>
      </c>
      <c r="T2537" s="166">
        <v>2</v>
      </c>
      <c r="U2537" s="164">
        <f>($L2537*'Pivot Objective'!$C$9^2)*S2537*T2537</f>
        <v>2048182.3883307995</v>
      </c>
      <c r="V2537" s="166">
        <v>2</v>
      </c>
      <c r="W2537" s="166">
        <v>2</v>
      </c>
      <c r="X2537" s="164">
        <f>($L2537*'Pivot Objective'!$C$9^3)*V2537*W2537</f>
        <v>2340910.8621271173</v>
      </c>
      <c r="Y2537" s="166">
        <v>2</v>
      </c>
      <c r="Z2537" s="166">
        <v>2</v>
      </c>
      <c r="AA2537" s="164">
        <f>($L2537*'Pivot Objective'!$C$9^4)*Y2537*Z2537</f>
        <v>2675476.4105215403</v>
      </c>
      <c r="AB2537" s="166">
        <v>2</v>
      </c>
      <c r="AC2537" s="166">
        <v>2</v>
      </c>
      <c r="AD2537" s="164">
        <f>($L2537*'Pivot Objective'!$C$9^5)*AB2537*AC2537</f>
        <v>3057858.4341109009</v>
      </c>
      <c r="AE2537" s="166">
        <v>0</v>
      </c>
      <c r="AF2537" s="166">
        <v>0</v>
      </c>
      <c r="AG2537" s="164">
        <f>($L2537*'Pivot Objective'!$C$9^6)*AE2537*AF2537</f>
        <v>0</v>
      </c>
      <c r="AH2537" s="166">
        <v>0</v>
      </c>
      <c r="AI2537" s="166">
        <v>0</v>
      </c>
      <c r="AJ2537" s="164">
        <f>($L2537*'Pivot Objective'!$C$9^7)*AH2537*AI2537</f>
        <v>0</v>
      </c>
      <c r="AK2537" s="185">
        <f t="shared" si="277"/>
        <v>11914487.40146503</v>
      </c>
      <c r="AL2537" s="186">
        <f t="shared" si="278"/>
        <v>11567.463496567991</v>
      </c>
    </row>
    <row r="2538" spans="1:38" customFormat="1" ht="57.6" x14ac:dyDescent="0.3">
      <c r="A2538" s="140" t="s">
        <v>1488</v>
      </c>
      <c r="B2538" s="140">
        <v>4</v>
      </c>
      <c r="C2538" s="166" t="s">
        <v>697</v>
      </c>
      <c r="D2538" s="140" t="str">
        <f t="shared" si="274"/>
        <v>2</v>
      </c>
      <c r="E2538" s="166" t="s">
        <v>693</v>
      </c>
      <c r="F2538" s="140">
        <f t="shared" si="279"/>
        <v>5</v>
      </c>
      <c r="G2538" s="140" t="str">
        <f t="shared" si="275"/>
        <v>4.2.5</v>
      </c>
      <c r="H2538" s="181" t="s">
        <v>674</v>
      </c>
      <c r="I2538" s="166" t="s">
        <v>117</v>
      </c>
      <c r="J2538" s="166" t="s">
        <v>149</v>
      </c>
      <c r="K2538" s="166" t="s">
        <v>720</v>
      </c>
      <c r="L2538" s="177">
        <f>980*1022</f>
        <v>1001560</v>
      </c>
      <c r="M2538" s="140"/>
      <c r="N2538" s="140"/>
      <c r="O2538" s="164">
        <f t="shared" si="276"/>
        <v>0</v>
      </c>
      <c r="P2538" s="166">
        <v>1</v>
      </c>
      <c r="Q2538" s="166">
        <v>25</v>
      </c>
      <c r="R2538" s="164">
        <f>$L2538*'Pivot Objective'!$C$9*P2538*Q2538</f>
        <v>28617601.347782999</v>
      </c>
      <c r="S2538" s="166">
        <v>1</v>
      </c>
      <c r="T2538" s="166">
        <v>25</v>
      </c>
      <c r="U2538" s="164">
        <f>($L2538*'Pivot Objective'!$C$9^2)*S2538*T2538</f>
        <v>32707660.325916823</v>
      </c>
      <c r="V2538" s="166">
        <v>1</v>
      </c>
      <c r="W2538" s="166">
        <v>25</v>
      </c>
      <c r="X2538" s="164">
        <f>($L2538*'Pivot Objective'!$C$9^3)*V2538*W2538</f>
        <v>37382275.020000227</v>
      </c>
      <c r="Y2538" s="166">
        <v>1</v>
      </c>
      <c r="Z2538" s="166">
        <v>25</v>
      </c>
      <c r="AA2538" s="164">
        <f>($L2538*'Pivot Objective'!$C$9^4)*Y2538*Z2538</f>
        <v>42724990.774214357</v>
      </c>
      <c r="AB2538" s="166">
        <v>1</v>
      </c>
      <c r="AC2538" s="166">
        <v>25</v>
      </c>
      <c r="AD2538" s="164">
        <f>($L2538*'Pivot Objective'!$C$9^5)*AB2538*AC2538</f>
        <v>48831293.324979939</v>
      </c>
      <c r="AE2538" s="166">
        <v>0</v>
      </c>
      <c r="AF2538" s="166">
        <v>0</v>
      </c>
      <c r="AG2538" s="164">
        <f>($L2538*'Pivot Objective'!$C$9^6)*AE2538*AF2538</f>
        <v>0</v>
      </c>
      <c r="AH2538" s="166">
        <v>0</v>
      </c>
      <c r="AI2538" s="166">
        <v>0</v>
      </c>
      <c r="AJ2538" s="164">
        <f>($L2538*'Pivot Objective'!$C$9^7)*AH2538*AI2538</f>
        <v>0</v>
      </c>
      <c r="AK2538" s="185">
        <f t="shared" si="277"/>
        <v>190263820.79289433</v>
      </c>
      <c r="AL2538" s="186">
        <f t="shared" si="278"/>
        <v>184722.15610960615</v>
      </c>
    </row>
    <row r="2539" spans="1:38" customFormat="1" ht="57.6" x14ac:dyDescent="0.3">
      <c r="A2539" s="140" t="s">
        <v>1488</v>
      </c>
      <c r="B2539" s="140">
        <v>4</v>
      </c>
      <c r="C2539" s="166" t="s">
        <v>697</v>
      </c>
      <c r="D2539" s="140" t="str">
        <f t="shared" si="274"/>
        <v>2</v>
      </c>
      <c r="E2539" s="166" t="s">
        <v>693</v>
      </c>
      <c r="F2539" s="140">
        <f t="shared" si="279"/>
        <v>5</v>
      </c>
      <c r="G2539" s="140" t="str">
        <f t="shared" si="275"/>
        <v>4.2.5</v>
      </c>
      <c r="H2539" s="181" t="s">
        <v>674</v>
      </c>
      <c r="I2539" s="166" t="s">
        <v>117</v>
      </c>
      <c r="J2539" s="166" t="s">
        <v>565</v>
      </c>
      <c r="K2539" s="166" t="s">
        <v>716</v>
      </c>
      <c r="L2539" s="177">
        <v>39000</v>
      </c>
      <c r="M2539" s="140"/>
      <c r="N2539" s="140"/>
      <c r="O2539" s="164">
        <f t="shared" si="276"/>
        <v>0</v>
      </c>
      <c r="P2539" s="166">
        <v>50</v>
      </c>
      <c r="Q2539" s="166">
        <v>5</v>
      </c>
      <c r="R2539" s="164">
        <f>$L2539*'Pivot Objective'!$C$9*P2539*Q2539</f>
        <v>11143480.695749998</v>
      </c>
      <c r="S2539" s="166">
        <v>50</v>
      </c>
      <c r="T2539" s="166">
        <v>5</v>
      </c>
      <c r="U2539" s="164">
        <f>($L2539*'Pivot Objective'!$C$9^2)*S2539*T2539</f>
        <v>12736119.18118491</v>
      </c>
      <c r="V2539" s="166">
        <v>50</v>
      </c>
      <c r="W2539" s="166">
        <v>5</v>
      </c>
      <c r="X2539" s="164">
        <f>($L2539*'Pivot Objective'!$C$9^3)*V2539*W2539</f>
        <v>14556379.306082599</v>
      </c>
      <c r="Y2539" s="166">
        <v>50</v>
      </c>
      <c r="Z2539" s="166">
        <v>5</v>
      </c>
      <c r="AA2539" s="164">
        <f>($L2539*'Pivot Objective'!$C$9^4)*Y2539*Z2539</f>
        <v>16636793.004856024</v>
      </c>
      <c r="AB2539" s="166">
        <v>50</v>
      </c>
      <c r="AC2539" s="166">
        <v>5</v>
      </c>
      <c r="AD2539" s="164">
        <f>($L2539*'Pivot Objective'!$C$9^5)*AB2539*AC2539</f>
        <v>19014541.711671971</v>
      </c>
      <c r="AE2539" s="166">
        <v>0</v>
      </c>
      <c r="AF2539" s="166">
        <v>0</v>
      </c>
      <c r="AG2539" s="164">
        <f>($L2539*'Pivot Objective'!$C$9^6)*AE2539*AF2539</f>
        <v>0</v>
      </c>
      <c r="AH2539" s="166">
        <v>0</v>
      </c>
      <c r="AI2539" s="166">
        <v>0</v>
      </c>
      <c r="AJ2539" s="164">
        <f>($L2539*'Pivot Objective'!$C$9^7)*AH2539*AI2539</f>
        <v>0</v>
      </c>
      <c r="AK2539" s="185">
        <f t="shared" si="277"/>
        <v>74087313.899545491</v>
      </c>
      <c r="AL2539" s="186">
        <f t="shared" si="278"/>
        <v>71929.430970432513</v>
      </c>
    </row>
    <row r="2540" spans="1:38" customFormat="1" ht="57.6" x14ac:dyDescent="0.3">
      <c r="A2540" s="140" t="s">
        <v>1488</v>
      </c>
      <c r="B2540" s="140">
        <v>4</v>
      </c>
      <c r="C2540" s="166" t="s">
        <v>697</v>
      </c>
      <c r="D2540" s="140" t="str">
        <f t="shared" si="274"/>
        <v>2</v>
      </c>
      <c r="E2540" s="166" t="s">
        <v>693</v>
      </c>
      <c r="F2540" s="140">
        <f t="shared" si="279"/>
        <v>5</v>
      </c>
      <c r="G2540" s="140" t="str">
        <f t="shared" si="275"/>
        <v>4.2.5</v>
      </c>
      <c r="H2540" s="181" t="s">
        <v>674</v>
      </c>
      <c r="I2540" s="166" t="s">
        <v>117</v>
      </c>
      <c r="J2540" s="166" t="s">
        <v>565</v>
      </c>
      <c r="K2540" s="166" t="s">
        <v>709</v>
      </c>
      <c r="L2540" s="177">
        <v>35000</v>
      </c>
      <c r="M2540" s="140"/>
      <c r="N2540" s="140"/>
      <c r="O2540" s="164">
        <f t="shared" si="276"/>
        <v>0</v>
      </c>
      <c r="P2540" s="166">
        <v>50</v>
      </c>
      <c r="Q2540" s="166">
        <v>5</v>
      </c>
      <c r="R2540" s="164">
        <f>$L2540*'Pivot Objective'!$C$9*P2540*Q2540</f>
        <v>10000559.598749999</v>
      </c>
      <c r="S2540" s="166">
        <v>50</v>
      </c>
      <c r="T2540" s="166">
        <v>5</v>
      </c>
      <c r="U2540" s="164">
        <f>($L2540*'Pivot Objective'!$C$9^2)*S2540*T2540</f>
        <v>11429850.547217228</v>
      </c>
      <c r="V2540" s="166">
        <v>50</v>
      </c>
      <c r="W2540" s="166">
        <v>5</v>
      </c>
      <c r="X2540" s="164">
        <f>($L2540*'Pivot Objective'!$C$9^3)*V2540*W2540</f>
        <v>13063417.325971564</v>
      </c>
      <c r="Y2540" s="166">
        <v>50</v>
      </c>
      <c r="Z2540" s="166">
        <v>5</v>
      </c>
      <c r="AA2540" s="164">
        <f>($L2540*'Pivot Objective'!$C$9^4)*Y2540*Z2540</f>
        <v>14930455.260768225</v>
      </c>
      <c r="AB2540" s="166">
        <v>50</v>
      </c>
      <c r="AC2540" s="166">
        <v>5</v>
      </c>
      <c r="AD2540" s="164">
        <f>($L2540*'Pivot Objective'!$C$9^5)*AB2540*AC2540</f>
        <v>17064332.305346638</v>
      </c>
      <c r="AE2540" s="166">
        <v>0</v>
      </c>
      <c r="AF2540" s="166">
        <v>0</v>
      </c>
      <c r="AG2540" s="164">
        <f>($L2540*'Pivot Objective'!$C$9^6)*AE2540*AF2540</f>
        <v>0</v>
      </c>
      <c r="AH2540" s="166">
        <v>0</v>
      </c>
      <c r="AI2540" s="166">
        <v>0</v>
      </c>
      <c r="AJ2540" s="164">
        <f>($L2540*'Pivot Objective'!$C$9^7)*AH2540*AI2540</f>
        <v>0</v>
      </c>
      <c r="AK2540" s="185">
        <f t="shared" si="277"/>
        <v>66488615.038053654</v>
      </c>
      <c r="AL2540" s="186">
        <f t="shared" si="278"/>
        <v>64552.053435003545</v>
      </c>
    </row>
    <row r="2541" spans="1:38" customFormat="1" ht="57.6" x14ac:dyDescent="0.3">
      <c r="A2541" s="140" t="s">
        <v>1488</v>
      </c>
      <c r="B2541" s="140">
        <v>4</v>
      </c>
      <c r="C2541" s="166" t="s">
        <v>697</v>
      </c>
      <c r="D2541" s="140" t="str">
        <f t="shared" ref="D2541:D2604" si="280">RIGHT(A2541,1)</f>
        <v>2</v>
      </c>
      <c r="E2541" s="166" t="s">
        <v>693</v>
      </c>
      <c r="F2541" s="140">
        <f t="shared" si="279"/>
        <v>5</v>
      </c>
      <c r="G2541" s="140" t="str">
        <f t="shared" si="275"/>
        <v>4.2.5</v>
      </c>
      <c r="H2541" s="181" t="s">
        <v>674</v>
      </c>
      <c r="I2541" s="166" t="s">
        <v>117</v>
      </c>
      <c r="J2541" s="166" t="s">
        <v>565</v>
      </c>
      <c r="K2541" s="166" t="s">
        <v>712</v>
      </c>
      <c r="L2541" s="177">
        <f>1480/7</f>
        <v>211.42857142857142</v>
      </c>
      <c r="M2541" s="140"/>
      <c r="N2541" s="140"/>
      <c r="O2541" s="164">
        <f t="shared" si="276"/>
        <v>0</v>
      </c>
      <c r="P2541" s="166">
        <f>25*2*20</f>
        <v>1000</v>
      </c>
      <c r="Q2541" s="166">
        <v>1</v>
      </c>
      <c r="R2541" s="164">
        <f>$L2541*'Pivot Objective'!$C$9*P2541*Q2541</f>
        <v>241646.17479428567</v>
      </c>
      <c r="S2541" s="166">
        <v>1000</v>
      </c>
      <c r="T2541" s="166">
        <v>1</v>
      </c>
      <c r="U2541" s="164">
        <f>($L2541*'Pivot Objective'!$C$9^2)*S2541*T2541</f>
        <v>276182.51118173875</v>
      </c>
      <c r="V2541" s="166">
        <v>1000</v>
      </c>
      <c r="W2541" s="166">
        <v>1</v>
      </c>
      <c r="X2541" s="164">
        <f>($L2541*'Pivot Objective'!$C$9^3)*V2541*W2541</f>
        <v>315654.81865204754</v>
      </c>
      <c r="Y2541" s="166">
        <v>1000</v>
      </c>
      <c r="Z2541" s="166">
        <v>1</v>
      </c>
      <c r="AA2541" s="164">
        <f>($L2541*'Pivot Objective'!$C$9^4)*Y2541*Z2541</f>
        <v>360768.55160713423</v>
      </c>
      <c r="AB2541" s="166">
        <v>1000</v>
      </c>
      <c r="AC2541" s="166">
        <v>1</v>
      </c>
      <c r="AD2541" s="164">
        <f>($L2541*'Pivot Objective'!$C$9^5)*AB2541*AC2541</f>
        <v>412329.98876592692</v>
      </c>
      <c r="AE2541" s="166">
        <v>0</v>
      </c>
      <c r="AF2541" s="166">
        <v>0</v>
      </c>
      <c r="AG2541" s="164">
        <f>($L2541*'Pivot Objective'!$C$9^6)*AE2541*AF2541</f>
        <v>0</v>
      </c>
      <c r="AH2541" s="166">
        <v>0</v>
      </c>
      <c r="AI2541" s="166">
        <v>0</v>
      </c>
      <c r="AJ2541" s="164">
        <f>($L2541*'Pivot Objective'!$C$9^7)*AH2541*AI2541</f>
        <v>0</v>
      </c>
      <c r="AK2541" s="185">
        <f t="shared" si="277"/>
        <v>1606582.0450011333</v>
      </c>
      <c r="AL2541" s="186">
        <f t="shared" si="278"/>
        <v>1559.7883932049838</v>
      </c>
    </row>
    <row r="2542" spans="1:38" customFormat="1" ht="57.6" x14ac:dyDescent="0.3">
      <c r="A2542" s="140" t="s">
        <v>1488</v>
      </c>
      <c r="B2542" s="140">
        <v>4</v>
      </c>
      <c r="C2542" s="166" t="s">
        <v>697</v>
      </c>
      <c r="D2542" s="140" t="str">
        <f t="shared" si="280"/>
        <v>2</v>
      </c>
      <c r="E2542" s="166" t="s">
        <v>693</v>
      </c>
      <c r="F2542" s="140">
        <f t="shared" si="279"/>
        <v>5</v>
      </c>
      <c r="G2542" s="140" t="str">
        <f t="shared" ref="G2542:G2605" si="281">B2542&amp;"."&amp;D2542&amp;"."&amp;F2542</f>
        <v>4.2.5</v>
      </c>
      <c r="H2542" s="181" t="s">
        <v>674</v>
      </c>
      <c r="I2542" s="166" t="s">
        <v>118</v>
      </c>
      <c r="J2542" s="166" t="s">
        <v>568</v>
      </c>
      <c r="K2542" s="166" t="s">
        <v>798</v>
      </c>
      <c r="L2542" s="177">
        <f>10000*1022</f>
        <v>10220000</v>
      </c>
      <c r="M2542" s="166">
        <v>1</v>
      </c>
      <c r="N2542" s="166">
        <v>1</v>
      </c>
      <c r="O2542" s="164">
        <f t="shared" si="276"/>
        <v>10220000</v>
      </c>
      <c r="P2542" s="166">
        <v>1</v>
      </c>
      <c r="Q2542" s="166">
        <v>1</v>
      </c>
      <c r="R2542" s="164">
        <f>$L2542*'Pivot Objective'!$C$9*P2542*Q2542</f>
        <v>11680653.611339999</v>
      </c>
      <c r="S2542" s="166">
        <v>1</v>
      </c>
      <c r="T2542" s="166">
        <v>1</v>
      </c>
      <c r="U2542" s="164">
        <f>($L2542*'Pivot Objective'!$C$9^2)*S2542*T2542</f>
        <v>13350065.439149722</v>
      </c>
      <c r="V2542" s="166">
        <v>1</v>
      </c>
      <c r="W2542" s="166">
        <v>1</v>
      </c>
      <c r="X2542" s="164">
        <f>($L2542*'Pivot Objective'!$C$9^3)*V2542*W2542</f>
        <v>15258071.436734786</v>
      </c>
      <c r="Y2542" s="166">
        <v>1</v>
      </c>
      <c r="Z2542" s="166">
        <v>1</v>
      </c>
      <c r="AA2542" s="164">
        <f>($L2542*'Pivot Objective'!$C$9^4)*Y2542*Z2542</f>
        <v>17438771.744577289</v>
      </c>
      <c r="AB2542" s="166">
        <v>1</v>
      </c>
      <c r="AC2542" s="166">
        <v>1</v>
      </c>
      <c r="AD2542" s="164">
        <f>($L2542*'Pivot Objective'!$C$9^5)*AB2542*AC2542</f>
        <v>19931140.132644873</v>
      </c>
      <c r="AE2542" s="166">
        <v>1</v>
      </c>
      <c r="AF2542" s="166">
        <v>1</v>
      </c>
      <c r="AG2542" s="164">
        <f>($L2542*'Pivot Objective'!$C$9^6)*AE2542*AF2542</f>
        <v>22779720.544863205</v>
      </c>
      <c r="AH2542" s="166">
        <v>1</v>
      </c>
      <c r="AI2542" s="166">
        <v>1</v>
      </c>
      <c r="AJ2542" s="164">
        <f>($L2542*'Pivot Objective'!$C$9^7)*AH2542*AI2542</f>
        <v>26035423.194488492</v>
      </c>
      <c r="AK2542" s="185">
        <f t="shared" si="277"/>
        <v>136693846.10379839</v>
      </c>
      <c r="AL2542" s="186">
        <f t="shared" si="278"/>
        <v>132712.47194543533</v>
      </c>
    </row>
    <row r="2543" spans="1:38" customFormat="1" ht="57.6" x14ac:dyDescent="0.3">
      <c r="A2543" s="140" t="s">
        <v>1489</v>
      </c>
      <c r="B2543" s="140">
        <v>4</v>
      </c>
      <c r="C2543" s="166" t="s">
        <v>697</v>
      </c>
      <c r="D2543" s="140" t="str">
        <f t="shared" si="280"/>
        <v>3</v>
      </c>
      <c r="E2543" s="166" t="s">
        <v>694</v>
      </c>
      <c r="F2543" s="140">
        <v>1</v>
      </c>
      <c r="G2543" s="140" t="str">
        <f t="shared" si="281"/>
        <v>4.3.1</v>
      </c>
      <c r="H2543" s="166" t="s">
        <v>675</v>
      </c>
      <c r="I2543" s="166" t="s">
        <v>119</v>
      </c>
      <c r="J2543" s="166" t="s">
        <v>569</v>
      </c>
      <c r="K2543" s="166" t="s">
        <v>718</v>
      </c>
      <c r="L2543" s="167">
        <v>0</v>
      </c>
      <c r="M2543" s="166">
        <v>0</v>
      </c>
      <c r="N2543" s="166">
        <v>0</v>
      </c>
      <c r="O2543" s="164">
        <f t="shared" si="276"/>
        <v>0</v>
      </c>
      <c r="P2543" s="166">
        <v>0</v>
      </c>
      <c r="Q2543" s="166">
        <v>0</v>
      </c>
      <c r="R2543" s="164">
        <f>$L2543*'Pivot Objective'!$C$9*P2543*Q2543</f>
        <v>0</v>
      </c>
      <c r="S2543" s="166">
        <v>0</v>
      </c>
      <c r="T2543" s="166">
        <v>0</v>
      </c>
      <c r="U2543" s="164">
        <f>($L2543*'Pivot Objective'!$C$9^2)*S2543*T2543</f>
        <v>0</v>
      </c>
      <c r="V2543" s="166">
        <v>0</v>
      </c>
      <c r="W2543" s="166">
        <v>0</v>
      </c>
      <c r="X2543" s="164">
        <f>($L2543*'Pivot Objective'!$C$9^3)*V2543*W2543</f>
        <v>0</v>
      </c>
      <c r="Y2543" s="166">
        <v>0</v>
      </c>
      <c r="Z2543" s="166">
        <v>0</v>
      </c>
      <c r="AA2543" s="164">
        <f>($L2543*'Pivot Objective'!$C$9^4)*Y2543*Z2543</f>
        <v>0</v>
      </c>
      <c r="AB2543" s="166">
        <v>0</v>
      </c>
      <c r="AC2543" s="166">
        <v>0</v>
      </c>
      <c r="AD2543" s="164">
        <f>($L2543*'Pivot Objective'!$C$9^5)*AB2543*AC2543</f>
        <v>0</v>
      </c>
      <c r="AE2543" s="166">
        <v>0</v>
      </c>
      <c r="AF2543" s="166">
        <v>0</v>
      </c>
      <c r="AG2543" s="164">
        <f>($L2543*'Pivot Objective'!$C$9^6)*AE2543*AF2543</f>
        <v>0</v>
      </c>
      <c r="AH2543" s="166">
        <v>0</v>
      </c>
      <c r="AI2543" s="166">
        <v>0</v>
      </c>
      <c r="AJ2543" s="164">
        <f>($L2543*'Pivot Objective'!$C$9^7)*AH2543*AI2543</f>
        <v>0</v>
      </c>
      <c r="AK2543" s="185">
        <f t="shared" si="277"/>
        <v>0</v>
      </c>
      <c r="AL2543" s="186">
        <f t="shared" si="278"/>
        <v>0</v>
      </c>
    </row>
    <row r="2544" spans="1:38" customFormat="1" ht="57.6" x14ac:dyDescent="0.3">
      <c r="A2544" s="140" t="s">
        <v>1489</v>
      </c>
      <c r="B2544" s="140">
        <v>4</v>
      </c>
      <c r="C2544" s="166" t="s">
        <v>697</v>
      </c>
      <c r="D2544" s="140" t="str">
        <f t="shared" si="280"/>
        <v>3</v>
      </c>
      <c r="E2544" s="166" t="s">
        <v>694</v>
      </c>
      <c r="F2544" s="140">
        <f t="shared" ref="F2544:F2575" si="282">IF(H2544=H2543,F2543,F2543+1)</f>
        <v>1</v>
      </c>
      <c r="G2544" s="140" t="str">
        <f t="shared" si="281"/>
        <v>4.3.1</v>
      </c>
      <c r="H2544" s="166" t="s">
        <v>675</v>
      </c>
      <c r="I2544" s="166" t="s">
        <v>119</v>
      </c>
      <c r="J2544" s="166" t="s">
        <v>570</v>
      </c>
      <c r="K2544" s="166" t="s">
        <v>718</v>
      </c>
      <c r="L2544" s="167">
        <v>0</v>
      </c>
      <c r="M2544" s="166">
        <v>0</v>
      </c>
      <c r="N2544" s="166">
        <v>0</v>
      </c>
      <c r="O2544" s="164">
        <f t="shared" si="276"/>
        <v>0</v>
      </c>
      <c r="P2544" s="166">
        <v>0</v>
      </c>
      <c r="Q2544" s="166">
        <v>0</v>
      </c>
      <c r="R2544" s="164">
        <f>$L2544*'Pivot Objective'!$C$9*P2544*Q2544</f>
        <v>0</v>
      </c>
      <c r="S2544" s="166">
        <v>0</v>
      </c>
      <c r="T2544" s="166">
        <v>0</v>
      </c>
      <c r="U2544" s="164">
        <f>($L2544*'Pivot Objective'!$C$9^2)*S2544*T2544</f>
        <v>0</v>
      </c>
      <c r="V2544" s="166">
        <v>0</v>
      </c>
      <c r="W2544" s="166">
        <v>0</v>
      </c>
      <c r="X2544" s="164">
        <f>($L2544*'Pivot Objective'!$C$9^3)*V2544*W2544</f>
        <v>0</v>
      </c>
      <c r="Y2544" s="166">
        <v>0</v>
      </c>
      <c r="Z2544" s="166">
        <v>0</v>
      </c>
      <c r="AA2544" s="164">
        <f>($L2544*'Pivot Objective'!$C$9^4)*Y2544*Z2544</f>
        <v>0</v>
      </c>
      <c r="AB2544" s="166">
        <v>0</v>
      </c>
      <c r="AC2544" s="166">
        <v>0</v>
      </c>
      <c r="AD2544" s="164">
        <f>($L2544*'Pivot Objective'!$C$9^5)*AB2544*AC2544</f>
        <v>0</v>
      </c>
      <c r="AE2544" s="166">
        <v>0</v>
      </c>
      <c r="AF2544" s="166">
        <v>0</v>
      </c>
      <c r="AG2544" s="164">
        <f>($L2544*'Pivot Objective'!$C$9^6)*AE2544*AF2544</f>
        <v>0</v>
      </c>
      <c r="AH2544" s="166">
        <v>0</v>
      </c>
      <c r="AI2544" s="166">
        <v>0</v>
      </c>
      <c r="AJ2544" s="164">
        <f>($L2544*'Pivot Objective'!$C$9^7)*AH2544*AI2544</f>
        <v>0</v>
      </c>
      <c r="AK2544" s="185">
        <f t="shared" si="277"/>
        <v>0</v>
      </c>
      <c r="AL2544" s="186">
        <f t="shared" si="278"/>
        <v>0</v>
      </c>
    </row>
    <row r="2545" spans="1:38" customFormat="1" ht="57.6" x14ac:dyDescent="0.3">
      <c r="A2545" s="140" t="s">
        <v>1489</v>
      </c>
      <c r="B2545" s="140">
        <v>4</v>
      </c>
      <c r="C2545" s="166" t="s">
        <v>697</v>
      </c>
      <c r="D2545" s="140" t="str">
        <f t="shared" si="280"/>
        <v>3</v>
      </c>
      <c r="E2545" s="166" t="s">
        <v>694</v>
      </c>
      <c r="F2545" s="140">
        <f t="shared" si="282"/>
        <v>1</v>
      </c>
      <c r="G2545" s="140" t="str">
        <f t="shared" si="281"/>
        <v>4.3.1</v>
      </c>
      <c r="H2545" s="166" t="s">
        <v>675</v>
      </c>
      <c r="I2545" s="166" t="s">
        <v>119</v>
      </c>
      <c r="J2545" s="166" t="s">
        <v>571</v>
      </c>
      <c r="K2545" s="166" t="s">
        <v>718</v>
      </c>
      <c r="L2545" s="167">
        <v>0</v>
      </c>
      <c r="M2545" s="166">
        <v>0</v>
      </c>
      <c r="N2545" s="166">
        <v>0</v>
      </c>
      <c r="O2545" s="164">
        <f t="shared" si="276"/>
        <v>0</v>
      </c>
      <c r="P2545" s="166">
        <v>0</v>
      </c>
      <c r="Q2545" s="166">
        <v>0</v>
      </c>
      <c r="R2545" s="164">
        <f>$L2545*'Pivot Objective'!$C$9*P2545*Q2545</f>
        <v>0</v>
      </c>
      <c r="S2545" s="166">
        <v>0</v>
      </c>
      <c r="T2545" s="166">
        <v>0</v>
      </c>
      <c r="U2545" s="164">
        <f>($L2545*'Pivot Objective'!$C$9^2)*S2545*T2545</f>
        <v>0</v>
      </c>
      <c r="V2545" s="166">
        <v>0</v>
      </c>
      <c r="W2545" s="166">
        <v>0</v>
      </c>
      <c r="X2545" s="164">
        <f>($L2545*'Pivot Objective'!$C$9^3)*V2545*W2545</f>
        <v>0</v>
      </c>
      <c r="Y2545" s="166">
        <v>0</v>
      </c>
      <c r="Z2545" s="166">
        <v>0</v>
      </c>
      <c r="AA2545" s="164">
        <f>($L2545*'Pivot Objective'!$C$9^4)*Y2545*Z2545</f>
        <v>0</v>
      </c>
      <c r="AB2545" s="166">
        <v>0</v>
      </c>
      <c r="AC2545" s="166">
        <v>0</v>
      </c>
      <c r="AD2545" s="164">
        <f>($L2545*'Pivot Objective'!$C$9^5)*AB2545*AC2545</f>
        <v>0</v>
      </c>
      <c r="AE2545" s="166">
        <v>0</v>
      </c>
      <c r="AF2545" s="166">
        <v>0</v>
      </c>
      <c r="AG2545" s="164">
        <f>($L2545*'Pivot Objective'!$C$9^6)*AE2545*AF2545</f>
        <v>0</v>
      </c>
      <c r="AH2545" s="166">
        <v>0</v>
      </c>
      <c r="AI2545" s="166">
        <v>0</v>
      </c>
      <c r="AJ2545" s="164">
        <f>($L2545*'Pivot Objective'!$C$9^7)*AH2545*AI2545</f>
        <v>0</v>
      </c>
      <c r="AK2545" s="185">
        <f t="shared" si="277"/>
        <v>0</v>
      </c>
      <c r="AL2545" s="186">
        <f t="shared" si="278"/>
        <v>0</v>
      </c>
    </row>
    <row r="2546" spans="1:38" customFormat="1" ht="57.6" x14ac:dyDescent="0.3">
      <c r="A2546" s="140" t="s">
        <v>1489</v>
      </c>
      <c r="B2546" s="140">
        <v>4</v>
      </c>
      <c r="C2546" s="166" t="s">
        <v>697</v>
      </c>
      <c r="D2546" s="140" t="str">
        <f t="shared" si="280"/>
        <v>3</v>
      </c>
      <c r="E2546" s="166" t="s">
        <v>694</v>
      </c>
      <c r="F2546" s="140">
        <f t="shared" si="282"/>
        <v>1</v>
      </c>
      <c r="G2546" s="140" t="str">
        <f t="shared" si="281"/>
        <v>4.3.1</v>
      </c>
      <c r="H2546" s="166" t="s">
        <v>675</v>
      </c>
      <c r="I2546" s="166" t="s">
        <v>119</v>
      </c>
      <c r="J2546" s="166" t="s">
        <v>572</v>
      </c>
      <c r="K2546" s="166" t="s">
        <v>709</v>
      </c>
      <c r="L2546" s="167">
        <v>35000</v>
      </c>
      <c r="M2546" s="166">
        <v>25</v>
      </c>
      <c r="N2546" s="166">
        <v>5</v>
      </c>
      <c r="O2546" s="164">
        <f t="shared" si="276"/>
        <v>4375000</v>
      </c>
      <c r="P2546" s="166">
        <v>25</v>
      </c>
      <c r="Q2546" s="166">
        <v>5</v>
      </c>
      <c r="R2546" s="164">
        <f>$L2546*'Pivot Objective'!$C$9*P2546*Q2546</f>
        <v>5000279.7993749995</v>
      </c>
      <c r="S2546" s="166">
        <v>0</v>
      </c>
      <c r="T2546" s="166">
        <v>0</v>
      </c>
      <c r="U2546" s="164">
        <f>($L2546*'Pivot Objective'!$C$9^2)*S2546*T2546</f>
        <v>0</v>
      </c>
      <c r="V2546" s="166">
        <v>0</v>
      </c>
      <c r="W2546" s="166">
        <v>0</v>
      </c>
      <c r="X2546" s="164">
        <f>($L2546*'Pivot Objective'!$C$9^3)*V2546*W2546</f>
        <v>0</v>
      </c>
      <c r="Y2546" s="166">
        <v>0</v>
      </c>
      <c r="Z2546" s="166">
        <v>0</v>
      </c>
      <c r="AA2546" s="164">
        <f>($L2546*'Pivot Objective'!$C$9^4)*Y2546*Z2546</f>
        <v>0</v>
      </c>
      <c r="AB2546" s="166">
        <v>0</v>
      </c>
      <c r="AC2546" s="166">
        <v>0</v>
      </c>
      <c r="AD2546" s="164">
        <f>($L2546*'Pivot Objective'!$C$9^5)*AB2546*AC2546</f>
        <v>0</v>
      </c>
      <c r="AE2546" s="166">
        <v>0</v>
      </c>
      <c r="AF2546" s="166">
        <v>0</v>
      </c>
      <c r="AG2546" s="164">
        <f>($L2546*'Pivot Objective'!$C$9^6)*AE2546*AF2546</f>
        <v>0</v>
      </c>
      <c r="AH2546" s="166">
        <v>25</v>
      </c>
      <c r="AI2546" s="166">
        <v>5</v>
      </c>
      <c r="AJ2546" s="164">
        <f>($L2546*'Pivot Objective'!$C$9^7)*AH2546*AI2546</f>
        <v>11145301.025037881</v>
      </c>
      <c r="AK2546" s="185">
        <f t="shared" si="277"/>
        <v>20520580.824412882</v>
      </c>
      <c r="AL2546" s="186">
        <f t="shared" si="278"/>
        <v>19922.894004284353</v>
      </c>
    </row>
    <row r="2547" spans="1:38" customFormat="1" ht="57.6" x14ac:dyDescent="0.3">
      <c r="A2547" s="140" t="s">
        <v>1489</v>
      </c>
      <c r="B2547" s="140">
        <v>4</v>
      </c>
      <c r="C2547" s="166" t="s">
        <v>697</v>
      </c>
      <c r="D2547" s="140" t="str">
        <f t="shared" si="280"/>
        <v>3</v>
      </c>
      <c r="E2547" s="166" t="s">
        <v>694</v>
      </c>
      <c r="F2547" s="140">
        <f t="shared" si="282"/>
        <v>1</v>
      </c>
      <c r="G2547" s="140" t="str">
        <f t="shared" si="281"/>
        <v>4.3.1</v>
      </c>
      <c r="H2547" s="166" t="s">
        <v>675</v>
      </c>
      <c r="I2547" s="166" t="s">
        <v>119</v>
      </c>
      <c r="J2547" s="166" t="s">
        <v>572</v>
      </c>
      <c r="K2547" s="166" t="s">
        <v>716</v>
      </c>
      <c r="L2547" s="167">
        <v>39000</v>
      </c>
      <c r="M2547" s="166">
        <v>25</v>
      </c>
      <c r="N2547" s="166">
        <v>6</v>
      </c>
      <c r="O2547" s="164">
        <f t="shared" si="276"/>
        <v>5850000</v>
      </c>
      <c r="P2547" s="166">
        <v>25</v>
      </c>
      <c r="Q2547" s="166">
        <v>6</v>
      </c>
      <c r="R2547" s="164">
        <f>$L2547*'Pivot Objective'!$C$9*P2547*Q2547</f>
        <v>6686088.4174499996</v>
      </c>
      <c r="S2547" s="166"/>
      <c r="T2547" s="166"/>
      <c r="U2547" s="164">
        <f>($L2547*'Pivot Objective'!$C$9^2)*S2547*T2547</f>
        <v>0</v>
      </c>
      <c r="V2547" s="166"/>
      <c r="W2547" s="166"/>
      <c r="X2547" s="164">
        <f>($L2547*'Pivot Objective'!$C$9^3)*V2547*W2547</f>
        <v>0</v>
      </c>
      <c r="Y2547" s="166"/>
      <c r="Z2547" s="166"/>
      <c r="AA2547" s="164">
        <f>($L2547*'Pivot Objective'!$C$9^4)*Y2547*Z2547</f>
        <v>0</v>
      </c>
      <c r="AB2547" s="166"/>
      <c r="AC2547" s="166"/>
      <c r="AD2547" s="164">
        <f>($L2547*'Pivot Objective'!$C$9^5)*AB2547*AC2547</f>
        <v>0</v>
      </c>
      <c r="AE2547" s="166"/>
      <c r="AF2547" s="166"/>
      <c r="AG2547" s="164">
        <f>($L2547*'Pivot Objective'!$C$9^6)*AE2547*AF2547</f>
        <v>0</v>
      </c>
      <c r="AH2547" s="166">
        <v>25</v>
      </c>
      <c r="AI2547" s="166">
        <v>6</v>
      </c>
      <c r="AJ2547" s="164">
        <f>($L2547*'Pivot Objective'!$C$9^7)*AH2547*AI2547</f>
        <v>14902859.656336365</v>
      </c>
      <c r="AK2547" s="185">
        <f t="shared" si="277"/>
        <v>27438948.073786363</v>
      </c>
      <c r="AL2547" s="186">
        <f t="shared" si="278"/>
        <v>26639.755411443071</v>
      </c>
    </row>
    <row r="2548" spans="1:38" customFormat="1" ht="57.6" x14ac:dyDescent="0.3">
      <c r="A2548" s="140" t="s">
        <v>1489</v>
      </c>
      <c r="B2548" s="140">
        <v>4</v>
      </c>
      <c r="C2548" s="166" t="s">
        <v>697</v>
      </c>
      <c r="D2548" s="140" t="str">
        <f t="shared" si="280"/>
        <v>3</v>
      </c>
      <c r="E2548" s="166" t="s">
        <v>694</v>
      </c>
      <c r="F2548" s="140">
        <f t="shared" si="282"/>
        <v>1</v>
      </c>
      <c r="G2548" s="140" t="str">
        <f t="shared" si="281"/>
        <v>4.3.1</v>
      </c>
      <c r="H2548" s="166" t="s">
        <v>675</v>
      </c>
      <c r="I2548" s="166" t="s">
        <v>119</v>
      </c>
      <c r="J2548" s="166" t="s">
        <v>572</v>
      </c>
      <c r="K2548" s="166" t="s">
        <v>712</v>
      </c>
      <c r="L2548" s="167">
        <v>211.42857142857142</v>
      </c>
      <c r="M2548" s="166">
        <v>450</v>
      </c>
      <c r="N2548" s="166">
        <v>5</v>
      </c>
      <c r="O2548" s="164">
        <f t="shared" si="276"/>
        <v>475714.28571428568</v>
      </c>
      <c r="P2548" s="166">
        <v>450</v>
      </c>
      <c r="Q2548" s="166">
        <v>5</v>
      </c>
      <c r="R2548" s="164">
        <f>$L2548*'Pivot Objective'!$C$9*P2548*Q2548</f>
        <v>543703.89328714274</v>
      </c>
      <c r="S2548" s="166"/>
      <c r="T2548" s="166"/>
      <c r="U2548" s="164">
        <f>($L2548*'Pivot Objective'!$C$9^2)*S2548*T2548</f>
        <v>0</v>
      </c>
      <c r="V2548" s="166"/>
      <c r="W2548" s="166"/>
      <c r="X2548" s="164">
        <f>($L2548*'Pivot Objective'!$C$9^3)*V2548*W2548</f>
        <v>0</v>
      </c>
      <c r="Y2548" s="166"/>
      <c r="Z2548" s="166"/>
      <c r="AA2548" s="164">
        <f>($L2548*'Pivot Objective'!$C$9^4)*Y2548*Z2548</f>
        <v>0</v>
      </c>
      <c r="AB2548" s="166"/>
      <c r="AC2548" s="166"/>
      <c r="AD2548" s="164">
        <f>($L2548*'Pivot Objective'!$C$9^5)*AB2548*AC2548</f>
        <v>0</v>
      </c>
      <c r="AE2548" s="166"/>
      <c r="AF2548" s="166"/>
      <c r="AG2548" s="164">
        <f>($L2548*'Pivot Objective'!$C$9^6)*AE2548*AF2548</f>
        <v>0</v>
      </c>
      <c r="AH2548" s="166">
        <v>450</v>
      </c>
      <c r="AI2548" s="166">
        <v>5</v>
      </c>
      <c r="AJ2548" s="164">
        <f>($L2548*'Pivot Objective'!$C$9^7)*AH2548*AI2548</f>
        <v>1211880.8951306494</v>
      </c>
      <c r="AK2548" s="185">
        <f t="shared" si="277"/>
        <v>2231299.0741320779</v>
      </c>
      <c r="AL2548" s="186">
        <f t="shared" si="278"/>
        <v>2166.3097807107551</v>
      </c>
    </row>
    <row r="2549" spans="1:38" customFormat="1" ht="57.6" x14ac:dyDescent="0.3">
      <c r="A2549" s="140" t="s">
        <v>1489</v>
      </c>
      <c r="B2549" s="140">
        <v>4</v>
      </c>
      <c r="C2549" s="166" t="s">
        <v>697</v>
      </c>
      <c r="D2549" s="140" t="str">
        <f t="shared" si="280"/>
        <v>3</v>
      </c>
      <c r="E2549" s="166" t="s">
        <v>694</v>
      </c>
      <c r="F2549" s="140">
        <f t="shared" si="282"/>
        <v>1</v>
      </c>
      <c r="G2549" s="140" t="str">
        <f t="shared" si="281"/>
        <v>4.3.1</v>
      </c>
      <c r="H2549" s="166" t="s">
        <v>675</v>
      </c>
      <c r="I2549" s="166" t="s">
        <v>119</v>
      </c>
      <c r="J2549" s="166" t="s">
        <v>572</v>
      </c>
      <c r="K2549" s="166" t="s">
        <v>1299</v>
      </c>
      <c r="L2549" s="167">
        <v>211.42857142857142</v>
      </c>
      <c r="M2549" s="166">
        <v>2430</v>
      </c>
      <c r="N2549" s="166">
        <v>1</v>
      </c>
      <c r="O2549" s="164">
        <f t="shared" si="276"/>
        <v>513771.42857142852</v>
      </c>
      <c r="P2549" s="166">
        <v>2430</v>
      </c>
      <c r="Q2549" s="166">
        <v>1</v>
      </c>
      <c r="R2549" s="164">
        <f>$L2549*'Pivot Objective'!$C$9*P2549*Q2549</f>
        <v>587200.20475011424</v>
      </c>
      <c r="S2549" s="166"/>
      <c r="T2549" s="166"/>
      <c r="U2549" s="164">
        <f>($L2549*'Pivot Objective'!$C$9^2)*S2549*T2549</f>
        <v>0</v>
      </c>
      <c r="V2549" s="166"/>
      <c r="W2549" s="166"/>
      <c r="X2549" s="164">
        <f>($L2549*'Pivot Objective'!$C$9^3)*V2549*W2549</f>
        <v>0</v>
      </c>
      <c r="Y2549" s="166"/>
      <c r="Z2549" s="166"/>
      <c r="AA2549" s="164">
        <f>($L2549*'Pivot Objective'!$C$9^4)*Y2549*Z2549</f>
        <v>0</v>
      </c>
      <c r="AB2549" s="166"/>
      <c r="AC2549" s="166"/>
      <c r="AD2549" s="164">
        <f>($L2549*'Pivot Objective'!$C$9^5)*AB2549*AC2549</f>
        <v>0</v>
      </c>
      <c r="AE2549" s="166"/>
      <c r="AF2549" s="166"/>
      <c r="AG2549" s="164">
        <f>($L2549*'Pivot Objective'!$C$9^6)*AE2549*AF2549</f>
        <v>0</v>
      </c>
      <c r="AH2549" s="166">
        <v>2430</v>
      </c>
      <c r="AI2549" s="166">
        <v>1</v>
      </c>
      <c r="AJ2549" s="164">
        <f>($L2549*'Pivot Objective'!$C$9^7)*AH2549*AI2549</f>
        <v>1308831.3667411015</v>
      </c>
      <c r="AK2549" s="185">
        <f t="shared" si="277"/>
        <v>2409803.0000626445</v>
      </c>
      <c r="AL2549" s="186">
        <f t="shared" si="278"/>
        <v>2339.6145631676159</v>
      </c>
    </row>
    <row r="2550" spans="1:38" customFormat="1" ht="57.6" x14ac:dyDescent="0.3">
      <c r="A2550" s="140" t="s">
        <v>1489</v>
      </c>
      <c r="B2550" s="140">
        <v>4</v>
      </c>
      <c r="C2550" s="166" t="s">
        <v>697</v>
      </c>
      <c r="D2550" s="140" t="str">
        <f t="shared" si="280"/>
        <v>3</v>
      </c>
      <c r="E2550" s="166" t="s">
        <v>694</v>
      </c>
      <c r="F2550" s="140">
        <f t="shared" si="282"/>
        <v>1</v>
      </c>
      <c r="G2550" s="140" t="str">
        <f t="shared" si="281"/>
        <v>4.3.1</v>
      </c>
      <c r="H2550" s="166" t="s">
        <v>675</v>
      </c>
      <c r="I2550" s="166" t="s">
        <v>120</v>
      </c>
      <c r="J2550" s="166" t="s">
        <v>482</v>
      </c>
      <c r="K2550" s="166" t="s">
        <v>718</v>
      </c>
      <c r="L2550" s="167">
        <v>0</v>
      </c>
      <c r="M2550" s="166">
        <v>0</v>
      </c>
      <c r="N2550" s="166">
        <v>0</v>
      </c>
      <c r="O2550" s="164">
        <f t="shared" si="276"/>
        <v>0</v>
      </c>
      <c r="P2550" s="166">
        <v>0</v>
      </c>
      <c r="Q2550" s="166">
        <v>0</v>
      </c>
      <c r="R2550" s="164">
        <f>$L2550*'Pivot Objective'!$C$9*P2550*Q2550</f>
        <v>0</v>
      </c>
      <c r="S2550" s="166">
        <v>0</v>
      </c>
      <c r="T2550" s="166">
        <v>0</v>
      </c>
      <c r="U2550" s="164">
        <f>($L2550*'Pivot Objective'!$C$9^2)*S2550*T2550</f>
        <v>0</v>
      </c>
      <c r="V2550" s="166">
        <v>0</v>
      </c>
      <c r="W2550" s="166">
        <v>0</v>
      </c>
      <c r="X2550" s="164">
        <f>($L2550*'Pivot Objective'!$C$9^3)*V2550*W2550</f>
        <v>0</v>
      </c>
      <c r="Y2550" s="166">
        <v>0</v>
      </c>
      <c r="Z2550" s="166">
        <v>0</v>
      </c>
      <c r="AA2550" s="164">
        <f>($L2550*'Pivot Objective'!$C$9^4)*Y2550*Z2550</f>
        <v>0</v>
      </c>
      <c r="AB2550" s="166">
        <v>0</v>
      </c>
      <c r="AC2550" s="166">
        <v>0</v>
      </c>
      <c r="AD2550" s="164">
        <f>($L2550*'Pivot Objective'!$C$9^5)*AB2550*AC2550</f>
        <v>0</v>
      </c>
      <c r="AE2550" s="166">
        <v>0</v>
      </c>
      <c r="AF2550" s="166">
        <v>0</v>
      </c>
      <c r="AG2550" s="164">
        <f>($L2550*'Pivot Objective'!$C$9^6)*AE2550*AF2550</f>
        <v>0</v>
      </c>
      <c r="AH2550" s="166">
        <v>0</v>
      </c>
      <c r="AI2550" s="166">
        <v>0</v>
      </c>
      <c r="AJ2550" s="164">
        <f>($L2550*'Pivot Objective'!$C$9^7)*AH2550*AI2550</f>
        <v>0</v>
      </c>
      <c r="AK2550" s="185">
        <f t="shared" si="277"/>
        <v>0</v>
      </c>
      <c r="AL2550" s="186">
        <f t="shared" si="278"/>
        <v>0</v>
      </c>
    </row>
    <row r="2551" spans="1:38" customFormat="1" ht="57.6" x14ac:dyDescent="0.3">
      <c r="A2551" s="140" t="s">
        <v>1489</v>
      </c>
      <c r="B2551" s="140">
        <v>4</v>
      </c>
      <c r="C2551" s="166" t="s">
        <v>697</v>
      </c>
      <c r="D2551" s="140" t="str">
        <f t="shared" si="280"/>
        <v>3</v>
      </c>
      <c r="E2551" s="166" t="s">
        <v>694</v>
      </c>
      <c r="F2551" s="140">
        <f t="shared" si="282"/>
        <v>1</v>
      </c>
      <c r="G2551" s="140" t="str">
        <f t="shared" si="281"/>
        <v>4.3.1</v>
      </c>
      <c r="H2551" s="166" t="s">
        <v>675</v>
      </c>
      <c r="I2551" s="166" t="s">
        <v>120</v>
      </c>
      <c r="J2551" s="166" t="s">
        <v>573</v>
      </c>
      <c r="K2551" s="166" t="s">
        <v>707</v>
      </c>
      <c r="L2551" s="167">
        <v>0</v>
      </c>
      <c r="M2551" s="166">
        <v>2</v>
      </c>
      <c r="N2551" s="166">
        <v>2</v>
      </c>
      <c r="O2551" s="164">
        <f t="shared" si="276"/>
        <v>0</v>
      </c>
      <c r="P2551" s="166">
        <v>1</v>
      </c>
      <c r="Q2551" s="166">
        <v>4</v>
      </c>
      <c r="R2551" s="164">
        <f>$L2551*'Pivot Objective'!$C$9*P2551*Q2551</f>
        <v>0</v>
      </c>
      <c r="S2551" s="166">
        <v>0</v>
      </c>
      <c r="T2551" s="166">
        <v>0</v>
      </c>
      <c r="U2551" s="164">
        <f>($L2551*'Pivot Objective'!$C$9^2)*S2551*T2551</f>
        <v>0</v>
      </c>
      <c r="V2551" s="166">
        <v>0</v>
      </c>
      <c r="W2551" s="166">
        <v>0</v>
      </c>
      <c r="X2551" s="164">
        <f>($L2551*'Pivot Objective'!$C$9^3)*V2551*W2551</f>
        <v>0</v>
      </c>
      <c r="Y2551" s="166">
        <v>0</v>
      </c>
      <c r="Z2551" s="166">
        <v>0</v>
      </c>
      <c r="AA2551" s="164">
        <f>($L2551*'Pivot Objective'!$C$9^4)*Y2551*Z2551</f>
        <v>0</v>
      </c>
      <c r="AB2551" s="166">
        <v>0</v>
      </c>
      <c r="AC2551" s="166">
        <v>0</v>
      </c>
      <c r="AD2551" s="164">
        <f>($L2551*'Pivot Objective'!$C$9^5)*AB2551*AC2551</f>
        <v>0</v>
      </c>
      <c r="AE2551" s="166">
        <v>0</v>
      </c>
      <c r="AF2551" s="166">
        <v>0</v>
      </c>
      <c r="AG2551" s="164">
        <f>($L2551*'Pivot Objective'!$C$9^6)*AE2551*AF2551</f>
        <v>0</v>
      </c>
      <c r="AH2551" s="166">
        <v>0</v>
      </c>
      <c r="AI2551" s="166">
        <v>0</v>
      </c>
      <c r="AJ2551" s="164">
        <f>($L2551*'Pivot Objective'!$C$9^7)*AH2551*AI2551</f>
        <v>0</v>
      </c>
      <c r="AK2551" s="185">
        <f t="shared" si="277"/>
        <v>0</v>
      </c>
      <c r="AL2551" s="186">
        <f t="shared" si="278"/>
        <v>0</v>
      </c>
    </row>
    <row r="2552" spans="1:38" customFormat="1" ht="57.6" x14ac:dyDescent="0.3">
      <c r="A2552" s="140" t="s">
        <v>1489</v>
      </c>
      <c r="B2552" s="140">
        <v>4</v>
      </c>
      <c r="C2552" s="166" t="s">
        <v>697</v>
      </c>
      <c r="D2552" s="140" t="str">
        <f t="shared" si="280"/>
        <v>3</v>
      </c>
      <c r="E2552" s="166" t="s">
        <v>694</v>
      </c>
      <c r="F2552" s="140">
        <f t="shared" si="282"/>
        <v>1</v>
      </c>
      <c r="G2552" s="140" t="str">
        <f t="shared" si="281"/>
        <v>4.3.1</v>
      </c>
      <c r="H2552" s="166" t="s">
        <v>675</v>
      </c>
      <c r="I2552" s="166" t="s">
        <v>120</v>
      </c>
      <c r="J2552" s="166" t="s">
        <v>573</v>
      </c>
      <c r="K2552" s="166" t="s">
        <v>708</v>
      </c>
      <c r="L2552" s="167">
        <v>511000</v>
      </c>
      <c r="M2552" s="166">
        <v>0</v>
      </c>
      <c r="N2552" s="166">
        <v>0</v>
      </c>
      <c r="O2552" s="164">
        <f t="shared" si="276"/>
        <v>0</v>
      </c>
      <c r="P2552" s="166">
        <v>1</v>
      </c>
      <c r="Q2552" s="166">
        <v>40</v>
      </c>
      <c r="R2552" s="164">
        <f>$L2552*'Pivot Objective'!$C$9*P2552*Q2552</f>
        <v>23361307.222679999</v>
      </c>
      <c r="S2552" s="166">
        <v>0</v>
      </c>
      <c r="T2552" s="166">
        <v>0</v>
      </c>
      <c r="U2552" s="164">
        <f>($L2552*'Pivot Objective'!$C$9^2)*S2552*T2552</f>
        <v>0</v>
      </c>
      <c r="V2552" s="166">
        <v>0</v>
      </c>
      <c r="W2552" s="166">
        <v>0</v>
      </c>
      <c r="X2552" s="164">
        <f>($L2552*'Pivot Objective'!$C$9^3)*V2552*W2552</f>
        <v>0</v>
      </c>
      <c r="Y2552" s="166">
        <v>0</v>
      </c>
      <c r="Z2552" s="166">
        <v>0</v>
      </c>
      <c r="AA2552" s="164">
        <f>($L2552*'Pivot Objective'!$C$9^4)*Y2552*Z2552</f>
        <v>0</v>
      </c>
      <c r="AB2552" s="166">
        <v>0</v>
      </c>
      <c r="AC2552" s="166">
        <v>0</v>
      </c>
      <c r="AD2552" s="164">
        <f>($L2552*'Pivot Objective'!$C$9^5)*AB2552*AC2552</f>
        <v>0</v>
      </c>
      <c r="AE2552" s="166">
        <v>0</v>
      </c>
      <c r="AF2552" s="166">
        <v>0</v>
      </c>
      <c r="AG2552" s="164">
        <f>($L2552*'Pivot Objective'!$C$9^6)*AE2552*AF2552</f>
        <v>0</v>
      </c>
      <c r="AH2552" s="166">
        <v>0</v>
      </c>
      <c r="AI2552" s="166">
        <v>0</v>
      </c>
      <c r="AJ2552" s="164">
        <f>($L2552*'Pivot Objective'!$C$9^7)*AH2552*AI2552</f>
        <v>0</v>
      </c>
      <c r="AK2552" s="185">
        <f t="shared" si="277"/>
        <v>23361307.222679999</v>
      </c>
      <c r="AL2552" s="186">
        <f t="shared" si="278"/>
        <v>22680.880798718445</v>
      </c>
    </row>
    <row r="2553" spans="1:38" customFormat="1" ht="57.6" x14ac:dyDescent="0.3">
      <c r="A2553" s="140" t="s">
        <v>1489</v>
      </c>
      <c r="B2553" s="140">
        <v>4</v>
      </c>
      <c r="C2553" s="166" t="s">
        <v>697</v>
      </c>
      <c r="D2553" s="140" t="str">
        <f t="shared" si="280"/>
        <v>3</v>
      </c>
      <c r="E2553" s="166" t="s">
        <v>694</v>
      </c>
      <c r="F2553" s="140">
        <f t="shared" si="282"/>
        <v>1</v>
      </c>
      <c r="G2553" s="140" t="str">
        <f t="shared" si="281"/>
        <v>4.3.1</v>
      </c>
      <c r="H2553" s="166" t="s">
        <v>675</v>
      </c>
      <c r="I2553" s="166" t="s">
        <v>120</v>
      </c>
      <c r="J2553" s="166" t="s">
        <v>151</v>
      </c>
      <c r="K2553" s="166" t="s">
        <v>713</v>
      </c>
      <c r="L2553" s="167">
        <v>45000</v>
      </c>
      <c r="M2553" s="166">
        <v>25</v>
      </c>
      <c r="N2553" s="166">
        <v>6</v>
      </c>
      <c r="O2553" s="164">
        <f t="shared" si="276"/>
        <v>6750000</v>
      </c>
      <c r="P2553" s="166">
        <v>15</v>
      </c>
      <c r="Q2553" s="166">
        <v>10</v>
      </c>
      <c r="R2553" s="164">
        <f>$L2553*'Pivot Objective'!$C$9*P2553*Q2553</f>
        <v>7714717.4047499988</v>
      </c>
      <c r="S2553" s="166">
        <v>0</v>
      </c>
      <c r="T2553" s="166">
        <v>0</v>
      </c>
      <c r="U2553" s="164">
        <f>($L2553*'Pivot Objective'!$C$9^2)*S2553*T2553</f>
        <v>0</v>
      </c>
      <c r="V2553" s="166">
        <v>0</v>
      </c>
      <c r="W2553" s="166">
        <v>0</v>
      </c>
      <c r="X2553" s="164">
        <f>($L2553*'Pivot Objective'!$C$9^3)*V2553*W2553</f>
        <v>0</v>
      </c>
      <c r="Y2553" s="166">
        <v>0</v>
      </c>
      <c r="Z2553" s="166">
        <v>0</v>
      </c>
      <c r="AA2553" s="164">
        <f>($L2553*'Pivot Objective'!$C$9^4)*Y2553*Z2553</f>
        <v>0</v>
      </c>
      <c r="AB2553" s="166">
        <v>0</v>
      </c>
      <c r="AC2553" s="166">
        <v>0</v>
      </c>
      <c r="AD2553" s="164">
        <f>($L2553*'Pivot Objective'!$C$9^5)*AB2553*AC2553</f>
        <v>0</v>
      </c>
      <c r="AE2553" s="166">
        <v>0</v>
      </c>
      <c r="AF2553" s="166">
        <v>0</v>
      </c>
      <c r="AG2553" s="164">
        <f>($L2553*'Pivot Objective'!$C$9^6)*AE2553*AF2553</f>
        <v>0</v>
      </c>
      <c r="AH2553" s="166">
        <v>0</v>
      </c>
      <c r="AI2553" s="166">
        <v>0</v>
      </c>
      <c r="AJ2553" s="164">
        <f>($L2553*'Pivot Objective'!$C$9^7)*AH2553*AI2553</f>
        <v>0</v>
      </c>
      <c r="AK2553" s="185">
        <f t="shared" si="277"/>
        <v>14464717.404749999</v>
      </c>
      <c r="AL2553" s="186">
        <f t="shared" si="278"/>
        <v>14043.41495606796</v>
      </c>
    </row>
    <row r="2554" spans="1:38" customFormat="1" ht="57.6" x14ac:dyDescent="0.3">
      <c r="A2554" s="140" t="s">
        <v>1489</v>
      </c>
      <c r="B2554" s="140">
        <v>4</v>
      </c>
      <c r="C2554" s="166" t="s">
        <v>697</v>
      </c>
      <c r="D2554" s="140" t="str">
        <f t="shared" si="280"/>
        <v>3</v>
      </c>
      <c r="E2554" s="166" t="s">
        <v>694</v>
      </c>
      <c r="F2554" s="140">
        <f t="shared" si="282"/>
        <v>1</v>
      </c>
      <c r="G2554" s="140" t="str">
        <f t="shared" si="281"/>
        <v>4.3.1</v>
      </c>
      <c r="H2554" s="166" t="s">
        <v>675</v>
      </c>
      <c r="I2554" s="166" t="s">
        <v>120</v>
      </c>
      <c r="J2554" s="166" t="s">
        <v>151</v>
      </c>
      <c r="K2554" s="166" t="s">
        <v>712</v>
      </c>
      <c r="L2554" s="167">
        <v>211.42857142857142</v>
      </c>
      <c r="M2554" s="166">
        <v>450</v>
      </c>
      <c r="N2554" s="166">
        <v>5</v>
      </c>
      <c r="O2554" s="164">
        <f t="shared" si="276"/>
        <v>475714.28571428568</v>
      </c>
      <c r="P2554" s="166">
        <v>20000</v>
      </c>
      <c r="Q2554" s="166">
        <v>1</v>
      </c>
      <c r="R2554" s="164">
        <f>$L2554*'Pivot Objective'!$C$9*P2554*Q2554</f>
        <v>4832923.495885714</v>
      </c>
      <c r="S2554" s="166">
        <v>0</v>
      </c>
      <c r="T2554" s="166">
        <v>0</v>
      </c>
      <c r="U2554" s="164">
        <f>($L2554*'Pivot Objective'!$C$9^2)*S2554*T2554</f>
        <v>0</v>
      </c>
      <c r="V2554" s="166">
        <v>0</v>
      </c>
      <c r="W2554" s="166">
        <v>0</v>
      </c>
      <c r="X2554" s="164">
        <f>($L2554*'Pivot Objective'!$C$9^3)*V2554*W2554</f>
        <v>0</v>
      </c>
      <c r="Y2554" s="166">
        <v>0</v>
      </c>
      <c r="Z2554" s="166">
        <v>0</v>
      </c>
      <c r="AA2554" s="164">
        <f>($L2554*'Pivot Objective'!$C$9^4)*Y2554*Z2554</f>
        <v>0</v>
      </c>
      <c r="AB2554" s="166">
        <v>0</v>
      </c>
      <c r="AC2554" s="166">
        <v>0</v>
      </c>
      <c r="AD2554" s="164">
        <f>($L2554*'Pivot Objective'!$C$9^5)*AB2554*AC2554</f>
        <v>0</v>
      </c>
      <c r="AE2554" s="166">
        <v>0</v>
      </c>
      <c r="AF2554" s="166">
        <v>0</v>
      </c>
      <c r="AG2554" s="164">
        <f>($L2554*'Pivot Objective'!$C$9^6)*AE2554*AF2554</f>
        <v>0</v>
      </c>
      <c r="AH2554" s="166">
        <v>0</v>
      </c>
      <c r="AI2554" s="166">
        <v>0</v>
      </c>
      <c r="AJ2554" s="164">
        <f>($L2554*'Pivot Objective'!$C$9^7)*AH2554*AI2554</f>
        <v>0</v>
      </c>
      <c r="AK2554" s="185">
        <f t="shared" si="277"/>
        <v>5308637.7815999994</v>
      </c>
      <c r="AL2554" s="186">
        <f t="shared" si="278"/>
        <v>5154.0172636893194</v>
      </c>
    </row>
    <row r="2555" spans="1:38" customFormat="1" ht="57.6" x14ac:dyDescent="0.3">
      <c r="A2555" s="140" t="s">
        <v>1489</v>
      </c>
      <c r="B2555" s="140">
        <v>4</v>
      </c>
      <c r="C2555" s="166" t="s">
        <v>697</v>
      </c>
      <c r="D2555" s="140" t="str">
        <f t="shared" si="280"/>
        <v>3</v>
      </c>
      <c r="E2555" s="166" t="s">
        <v>694</v>
      </c>
      <c r="F2555" s="140">
        <f t="shared" si="282"/>
        <v>1</v>
      </c>
      <c r="G2555" s="140" t="str">
        <f t="shared" si="281"/>
        <v>4.3.1</v>
      </c>
      <c r="H2555" s="166" t="s">
        <v>675</v>
      </c>
      <c r="I2555" s="166" t="s">
        <v>120</v>
      </c>
      <c r="J2555" s="166" t="s">
        <v>151</v>
      </c>
      <c r="K2555" s="166" t="s">
        <v>1299</v>
      </c>
      <c r="L2555" s="167">
        <v>211.42857142857142</v>
      </c>
      <c r="M2555" s="166">
        <v>2430</v>
      </c>
      <c r="N2555" s="166">
        <v>1</v>
      </c>
      <c r="O2555" s="164">
        <f t="shared" si="276"/>
        <v>513771.42857142852</v>
      </c>
      <c r="P2555" s="166"/>
      <c r="Q2555" s="166"/>
      <c r="R2555" s="164">
        <f>$L2555*'Pivot Objective'!$C$9*P2555*Q2555</f>
        <v>0</v>
      </c>
      <c r="S2555" s="166"/>
      <c r="T2555" s="166"/>
      <c r="U2555" s="164">
        <f>($L2555*'Pivot Objective'!$C$9^2)*S2555*T2555</f>
        <v>0</v>
      </c>
      <c r="V2555" s="166"/>
      <c r="W2555" s="166"/>
      <c r="X2555" s="164">
        <f>($L2555*'Pivot Objective'!$C$9^3)*V2555*W2555</f>
        <v>0</v>
      </c>
      <c r="Y2555" s="166"/>
      <c r="Z2555" s="166"/>
      <c r="AA2555" s="164">
        <f>($L2555*'Pivot Objective'!$C$9^4)*Y2555*Z2555</f>
        <v>0</v>
      </c>
      <c r="AB2555" s="166"/>
      <c r="AC2555" s="166"/>
      <c r="AD2555" s="164">
        <f>($L2555*'Pivot Objective'!$C$9^5)*AB2555*AC2555</f>
        <v>0</v>
      </c>
      <c r="AE2555" s="166"/>
      <c r="AF2555" s="166"/>
      <c r="AG2555" s="164">
        <f>($L2555*'Pivot Objective'!$C$9^6)*AE2555*AF2555</f>
        <v>0</v>
      </c>
      <c r="AH2555" s="166"/>
      <c r="AI2555" s="166"/>
      <c r="AJ2555" s="164">
        <f>($L2555*'Pivot Objective'!$C$9^7)*AH2555*AI2555</f>
        <v>0</v>
      </c>
      <c r="AK2555" s="185">
        <f t="shared" si="277"/>
        <v>513771.42857142852</v>
      </c>
      <c r="AL2555" s="186">
        <f t="shared" si="278"/>
        <v>498.80721220527039</v>
      </c>
    </row>
    <row r="2556" spans="1:38" customFormat="1" ht="57.6" x14ac:dyDescent="0.3">
      <c r="A2556" s="140" t="s">
        <v>1489</v>
      </c>
      <c r="B2556" s="140">
        <v>4</v>
      </c>
      <c r="C2556" s="166" t="s">
        <v>697</v>
      </c>
      <c r="D2556" s="140" t="str">
        <f t="shared" si="280"/>
        <v>3</v>
      </c>
      <c r="E2556" s="166" t="s">
        <v>694</v>
      </c>
      <c r="F2556" s="140">
        <f t="shared" si="282"/>
        <v>1</v>
      </c>
      <c r="G2556" s="140" t="str">
        <f t="shared" si="281"/>
        <v>4.3.1</v>
      </c>
      <c r="H2556" s="166" t="s">
        <v>675</v>
      </c>
      <c r="I2556" s="166" t="s">
        <v>120</v>
      </c>
      <c r="J2556" s="166" t="s">
        <v>151</v>
      </c>
      <c r="K2556" s="166" t="s">
        <v>715</v>
      </c>
      <c r="L2556" s="167">
        <v>302000</v>
      </c>
      <c r="M2556" s="166">
        <v>0</v>
      </c>
      <c r="N2556" s="166">
        <v>0</v>
      </c>
      <c r="O2556" s="164">
        <f t="shared" si="276"/>
        <v>0</v>
      </c>
      <c r="P2556" s="166">
        <v>20</v>
      </c>
      <c r="Q2556" s="166">
        <v>1</v>
      </c>
      <c r="R2556" s="164">
        <f>$L2556*'Pivot Objective'!$C$9*P2556*Q2556</f>
        <v>6903243.4258799991</v>
      </c>
      <c r="S2556" s="166">
        <v>0</v>
      </c>
      <c r="T2556" s="166">
        <v>0</v>
      </c>
      <c r="U2556" s="164">
        <f>($L2556*'Pivot Objective'!$C$9^2)*S2556*T2556</f>
        <v>0</v>
      </c>
      <c r="V2556" s="166">
        <v>0</v>
      </c>
      <c r="W2556" s="166">
        <v>0</v>
      </c>
      <c r="X2556" s="164">
        <f>($L2556*'Pivot Objective'!$C$9^3)*V2556*W2556</f>
        <v>0</v>
      </c>
      <c r="Y2556" s="166">
        <v>0</v>
      </c>
      <c r="Z2556" s="166">
        <v>0</v>
      </c>
      <c r="AA2556" s="164">
        <f>($L2556*'Pivot Objective'!$C$9^4)*Y2556*Z2556</f>
        <v>0</v>
      </c>
      <c r="AB2556" s="166">
        <v>0</v>
      </c>
      <c r="AC2556" s="166">
        <v>0</v>
      </c>
      <c r="AD2556" s="164">
        <f>($L2556*'Pivot Objective'!$C$9^5)*AB2556*AC2556</f>
        <v>0</v>
      </c>
      <c r="AE2556" s="166">
        <v>0</v>
      </c>
      <c r="AF2556" s="166">
        <v>0</v>
      </c>
      <c r="AG2556" s="164">
        <f>($L2556*'Pivot Objective'!$C$9^6)*AE2556*AF2556</f>
        <v>0</v>
      </c>
      <c r="AH2556" s="166">
        <v>0</v>
      </c>
      <c r="AI2556" s="166">
        <v>0</v>
      </c>
      <c r="AJ2556" s="164">
        <f>($L2556*'Pivot Objective'!$C$9^7)*AH2556*AI2556</f>
        <v>0</v>
      </c>
      <c r="AK2556" s="185">
        <f t="shared" si="277"/>
        <v>6903243.4258799991</v>
      </c>
      <c r="AL2556" s="186">
        <f t="shared" si="278"/>
        <v>6702.1780833786397</v>
      </c>
    </row>
    <row r="2557" spans="1:38" customFormat="1" ht="57.6" x14ac:dyDescent="0.3">
      <c r="A2557" s="140" t="s">
        <v>1489</v>
      </c>
      <c r="B2557" s="140">
        <v>4</v>
      </c>
      <c r="C2557" s="166" t="s">
        <v>697</v>
      </c>
      <c r="D2557" s="140" t="str">
        <f t="shared" si="280"/>
        <v>3</v>
      </c>
      <c r="E2557" s="166" t="s">
        <v>694</v>
      </c>
      <c r="F2557" s="140">
        <f t="shared" si="282"/>
        <v>1</v>
      </c>
      <c r="G2557" s="140" t="str">
        <f t="shared" si="281"/>
        <v>4.3.1</v>
      </c>
      <c r="H2557" s="166" t="s">
        <v>675</v>
      </c>
      <c r="I2557" s="166" t="s">
        <v>120</v>
      </c>
      <c r="J2557" s="166" t="s">
        <v>151</v>
      </c>
      <c r="K2557" s="166" t="s">
        <v>714</v>
      </c>
      <c r="L2557" s="167">
        <v>10000</v>
      </c>
      <c r="M2557" s="166">
        <v>15</v>
      </c>
      <c r="N2557" s="166">
        <v>0</v>
      </c>
      <c r="O2557" s="164">
        <f t="shared" si="276"/>
        <v>0</v>
      </c>
      <c r="P2557" s="166">
        <v>15</v>
      </c>
      <c r="Q2557" s="166">
        <v>1</v>
      </c>
      <c r="R2557" s="164">
        <f>$L2557*'Pivot Objective'!$C$9*P2557*Q2557</f>
        <v>171438.16454999999</v>
      </c>
      <c r="S2557" s="166">
        <v>0</v>
      </c>
      <c r="T2557" s="166">
        <v>0</v>
      </c>
      <c r="U2557" s="164">
        <f>($L2557*'Pivot Objective'!$C$9^2)*S2557*T2557</f>
        <v>0</v>
      </c>
      <c r="V2557" s="166">
        <v>0</v>
      </c>
      <c r="W2557" s="166">
        <v>0</v>
      </c>
      <c r="X2557" s="164">
        <f>($L2557*'Pivot Objective'!$C$9^3)*V2557*W2557</f>
        <v>0</v>
      </c>
      <c r="Y2557" s="166">
        <v>0</v>
      </c>
      <c r="Z2557" s="166">
        <v>0</v>
      </c>
      <c r="AA2557" s="164">
        <f>($L2557*'Pivot Objective'!$C$9^4)*Y2557*Z2557</f>
        <v>0</v>
      </c>
      <c r="AB2557" s="166">
        <v>0</v>
      </c>
      <c r="AC2557" s="166">
        <v>0</v>
      </c>
      <c r="AD2557" s="164">
        <f>($L2557*'Pivot Objective'!$C$9^5)*AB2557*AC2557</f>
        <v>0</v>
      </c>
      <c r="AE2557" s="166">
        <v>0</v>
      </c>
      <c r="AF2557" s="166">
        <v>0</v>
      </c>
      <c r="AG2557" s="164">
        <f>($L2557*'Pivot Objective'!$C$9^6)*AE2557*AF2557</f>
        <v>0</v>
      </c>
      <c r="AH2557" s="166">
        <v>0</v>
      </c>
      <c r="AI2557" s="166">
        <v>0</v>
      </c>
      <c r="AJ2557" s="164">
        <f>($L2557*'Pivot Objective'!$C$9^7)*AH2557*AI2557</f>
        <v>0</v>
      </c>
      <c r="AK2557" s="185">
        <f t="shared" si="277"/>
        <v>171438.16454999999</v>
      </c>
      <c r="AL2557" s="186">
        <f t="shared" si="278"/>
        <v>166.44481995145631</v>
      </c>
    </row>
    <row r="2558" spans="1:38" customFormat="1" ht="57.6" x14ac:dyDescent="0.3">
      <c r="A2558" s="140" t="s">
        <v>1489</v>
      </c>
      <c r="B2558" s="140">
        <v>4</v>
      </c>
      <c r="C2558" s="166" t="s">
        <v>697</v>
      </c>
      <c r="D2558" s="140" t="str">
        <f t="shared" si="280"/>
        <v>3</v>
      </c>
      <c r="E2558" s="166" t="s">
        <v>694</v>
      </c>
      <c r="F2558" s="140">
        <f t="shared" si="282"/>
        <v>1</v>
      </c>
      <c r="G2558" s="140" t="str">
        <f t="shared" si="281"/>
        <v>4.3.1</v>
      </c>
      <c r="H2558" s="166" t="s">
        <v>675</v>
      </c>
      <c r="I2558" s="166" t="s">
        <v>120</v>
      </c>
      <c r="J2558" s="166" t="s">
        <v>152</v>
      </c>
      <c r="K2558" s="166" t="s">
        <v>716</v>
      </c>
      <c r="L2558" s="167">
        <v>39000</v>
      </c>
      <c r="M2558" s="166">
        <v>25</v>
      </c>
      <c r="N2558" s="166">
        <v>6</v>
      </c>
      <c r="O2558" s="164">
        <f t="shared" si="276"/>
        <v>5850000</v>
      </c>
      <c r="P2558" s="166">
        <v>15</v>
      </c>
      <c r="Q2558" s="166">
        <v>5</v>
      </c>
      <c r="R2558" s="164">
        <f>$L2558*'Pivot Objective'!$C$9*P2558*Q2558</f>
        <v>3343044.2087249993</v>
      </c>
      <c r="S2558" s="166">
        <v>0</v>
      </c>
      <c r="T2558" s="166">
        <v>0</v>
      </c>
      <c r="U2558" s="164">
        <f>($L2558*'Pivot Objective'!$C$9^2)*S2558*T2558</f>
        <v>0</v>
      </c>
      <c r="V2558" s="166">
        <v>0</v>
      </c>
      <c r="W2558" s="166">
        <v>0</v>
      </c>
      <c r="X2558" s="164">
        <f>($L2558*'Pivot Objective'!$C$9^3)*V2558*W2558</f>
        <v>0</v>
      </c>
      <c r="Y2558" s="166">
        <v>0</v>
      </c>
      <c r="Z2558" s="166">
        <v>0</v>
      </c>
      <c r="AA2558" s="164">
        <f>($L2558*'Pivot Objective'!$C$9^4)*Y2558*Z2558</f>
        <v>0</v>
      </c>
      <c r="AB2558" s="166">
        <v>0</v>
      </c>
      <c r="AC2558" s="166">
        <v>0</v>
      </c>
      <c r="AD2558" s="164">
        <f>($L2558*'Pivot Objective'!$C$9^5)*AB2558*AC2558</f>
        <v>0</v>
      </c>
      <c r="AE2558" s="166">
        <v>0</v>
      </c>
      <c r="AF2558" s="166">
        <v>0</v>
      </c>
      <c r="AG2558" s="164">
        <f>($L2558*'Pivot Objective'!$C$9^6)*AE2558*AF2558</f>
        <v>0</v>
      </c>
      <c r="AH2558" s="166">
        <v>0</v>
      </c>
      <c r="AI2558" s="166">
        <v>0</v>
      </c>
      <c r="AJ2558" s="164">
        <f>($L2558*'Pivot Objective'!$C$9^7)*AH2558*AI2558</f>
        <v>0</v>
      </c>
      <c r="AK2558" s="185">
        <f t="shared" si="277"/>
        <v>9193044.2087249998</v>
      </c>
      <c r="AL2558" s="186">
        <f t="shared" si="278"/>
        <v>8925.2856395388353</v>
      </c>
    </row>
    <row r="2559" spans="1:38" customFormat="1" ht="57.6" x14ac:dyDescent="0.3">
      <c r="A2559" s="140" t="s">
        <v>1489</v>
      </c>
      <c r="B2559" s="140">
        <v>4</v>
      </c>
      <c r="C2559" s="166" t="s">
        <v>697</v>
      </c>
      <c r="D2559" s="140" t="str">
        <f t="shared" si="280"/>
        <v>3</v>
      </c>
      <c r="E2559" s="166" t="s">
        <v>694</v>
      </c>
      <c r="F2559" s="140">
        <f t="shared" si="282"/>
        <v>1</v>
      </c>
      <c r="G2559" s="140" t="str">
        <f t="shared" si="281"/>
        <v>4.3.1</v>
      </c>
      <c r="H2559" s="166" t="s">
        <v>675</v>
      </c>
      <c r="I2559" s="166" t="s">
        <v>120</v>
      </c>
      <c r="J2559" s="166" t="s">
        <v>152</v>
      </c>
      <c r="K2559" s="166" t="s">
        <v>709</v>
      </c>
      <c r="L2559" s="167">
        <v>35000</v>
      </c>
      <c r="M2559" s="166">
        <v>25</v>
      </c>
      <c r="N2559" s="166">
        <v>5</v>
      </c>
      <c r="O2559" s="164">
        <f t="shared" si="276"/>
        <v>4375000</v>
      </c>
      <c r="P2559" s="166">
        <v>15</v>
      </c>
      <c r="Q2559" s="166">
        <v>5</v>
      </c>
      <c r="R2559" s="164">
        <f>$L2559*'Pivot Objective'!$C$9*P2559*Q2559</f>
        <v>3000167.8796249996</v>
      </c>
      <c r="S2559" s="166">
        <v>0</v>
      </c>
      <c r="T2559" s="166">
        <v>0</v>
      </c>
      <c r="U2559" s="164">
        <f>($L2559*'Pivot Objective'!$C$9^2)*S2559*T2559</f>
        <v>0</v>
      </c>
      <c r="V2559" s="166">
        <v>0</v>
      </c>
      <c r="W2559" s="166">
        <v>0</v>
      </c>
      <c r="X2559" s="164">
        <f>($L2559*'Pivot Objective'!$C$9^3)*V2559*W2559</f>
        <v>0</v>
      </c>
      <c r="Y2559" s="166">
        <v>0</v>
      </c>
      <c r="Z2559" s="166">
        <v>0</v>
      </c>
      <c r="AA2559" s="164">
        <f>($L2559*'Pivot Objective'!$C$9^4)*Y2559*Z2559</f>
        <v>0</v>
      </c>
      <c r="AB2559" s="166">
        <v>0</v>
      </c>
      <c r="AC2559" s="166">
        <v>0</v>
      </c>
      <c r="AD2559" s="164">
        <f>($L2559*'Pivot Objective'!$C$9^5)*AB2559*AC2559</f>
        <v>0</v>
      </c>
      <c r="AE2559" s="166">
        <v>0</v>
      </c>
      <c r="AF2559" s="166">
        <v>0</v>
      </c>
      <c r="AG2559" s="164">
        <f>($L2559*'Pivot Objective'!$C$9^6)*AE2559*AF2559</f>
        <v>0</v>
      </c>
      <c r="AH2559" s="166">
        <v>0</v>
      </c>
      <c r="AI2559" s="166">
        <v>0</v>
      </c>
      <c r="AJ2559" s="164">
        <f>($L2559*'Pivot Objective'!$C$9^7)*AH2559*AI2559</f>
        <v>0</v>
      </c>
      <c r="AK2559" s="185">
        <f t="shared" si="277"/>
        <v>7375167.8796250001</v>
      </c>
      <c r="AL2559" s="186">
        <f t="shared" si="278"/>
        <v>7160.3571646844657</v>
      </c>
    </row>
    <row r="2560" spans="1:38" customFormat="1" ht="57.6" x14ac:dyDescent="0.3">
      <c r="A2560" s="140" t="s">
        <v>1489</v>
      </c>
      <c r="B2560" s="140">
        <v>4</v>
      </c>
      <c r="C2560" s="166" t="s">
        <v>697</v>
      </c>
      <c r="D2560" s="140" t="str">
        <f t="shared" si="280"/>
        <v>3</v>
      </c>
      <c r="E2560" s="166" t="s">
        <v>694</v>
      </c>
      <c r="F2560" s="140">
        <f t="shared" si="282"/>
        <v>1</v>
      </c>
      <c r="G2560" s="140" t="str">
        <f t="shared" si="281"/>
        <v>4.3.1</v>
      </c>
      <c r="H2560" s="166" t="s">
        <v>675</v>
      </c>
      <c r="I2560" s="166" t="s">
        <v>120</v>
      </c>
      <c r="J2560" s="166" t="s">
        <v>152</v>
      </c>
      <c r="K2560" s="166" t="s">
        <v>712</v>
      </c>
      <c r="L2560" s="167">
        <v>211.42857142857142</v>
      </c>
      <c r="M2560" s="166">
        <v>450</v>
      </c>
      <c r="N2560" s="166">
        <v>5</v>
      </c>
      <c r="O2560" s="164">
        <f t="shared" si="276"/>
        <v>475714.28571428568</v>
      </c>
      <c r="P2560" s="166">
        <v>4000</v>
      </c>
      <c r="Q2560" s="166">
        <v>5</v>
      </c>
      <c r="R2560" s="164">
        <f>$L2560*'Pivot Objective'!$C$9*P2560*Q2560</f>
        <v>4832923.495885713</v>
      </c>
      <c r="S2560" s="166">
        <v>0</v>
      </c>
      <c r="T2560" s="166">
        <v>0</v>
      </c>
      <c r="U2560" s="164">
        <f>($L2560*'Pivot Objective'!$C$9^2)*S2560*T2560</f>
        <v>0</v>
      </c>
      <c r="V2560" s="166">
        <v>0</v>
      </c>
      <c r="W2560" s="166">
        <v>0</v>
      </c>
      <c r="X2560" s="164">
        <f>($L2560*'Pivot Objective'!$C$9^3)*V2560*W2560</f>
        <v>0</v>
      </c>
      <c r="Y2560" s="166">
        <v>0</v>
      </c>
      <c r="Z2560" s="166">
        <v>0</v>
      </c>
      <c r="AA2560" s="164">
        <f>($L2560*'Pivot Objective'!$C$9^4)*Y2560*Z2560</f>
        <v>0</v>
      </c>
      <c r="AB2560" s="166">
        <v>0</v>
      </c>
      <c r="AC2560" s="166">
        <v>0</v>
      </c>
      <c r="AD2560" s="164">
        <f>($L2560*'Pivot Objective'!$C$9^5)*AB2560*AC2560</f>
        <v>0</v>
      </c>
      <c r="AE2560" s="166">
        <v>0</v>
      </c>
      <c r="AF2560" s="166">
        <v>0</v>
      </c>
      <c r="AG2560" s="164">
        <f>($L2560*'Pivot Objective'!$C$9^6)*AE2560*AF2560</f>
        <v>0</v>
      </c>
      <c r="AH2560" s="166">
        <v>0</v>
      </c>
      <c r="AI2560" s="166">
        <v>0</v>
      </c>
      <c r="AJ2560" s="164">
        <f>($L2560*'Pivot Objective'!$C$9^7)*AH2560*AI2560</f>
        <v>0</v>
      </c>
      <c r="AK2560" s="185">
        <f t="shared" si="277"/>
        <v>5308637.7815999985</v>
      </c>
      <c r="AL2560" s="186">
        <f t="shared" si="278"/>
        <v>5154.0172636893185</v>
      </c>
    </row>
    <row r="2561" spans="1:38" customFormat="1" ht="57.6" x14ac:dyDescent="0.3">
      <c r="A2561" s="140" t="s">
        <v>1489</v>
      </c>
      <c r="B2561" s="140">
        <v>4</v>
      </c>
      <c r="C2561" s="166" t="s">
        <v>697</v>
      </c>
      <c r="D2561" s="140" t="str">
        <f t="shared" si="280"/>
        <v>3</v>
      </c>
      <c r="E2561" s="166" t="s">
        <v>694</v>
      </c>
      <c r="F2561" s="140">
        <f t="shared" si="282"/>
        <v>1</v>
      </c>
      <c r="G2561" s="140" t="str">
        <f t="shared" si="281"/>
        <v>4.3.1</v>
      </c>
      <c r="H2561" s="166" t="s">
        <v>675</v>
      </c>
      <c r="I2561" s="166" t="s">
        <v>120</v>
      </c>
      <c r="J2561" s="166" t="s">
        <v>152</v>
      </c>
      <c r="K2561" s="166" t="s">
        <v>1299</v>
      </c>
      <c r="L2561" s="167">
        <v>211.42857142857142</v>
      </c>
      <c r="M2561" s="166">
        <v>2430</v>
      </c>
      <c r="N2561" s="166">
        <v>1</v>
      </c>
      <c r="O2561" s="164">
        <f t="shared" si="276"/>
        <v>513771.42857142852</v>
      </c>
      <c r="P2561" s="166"/>
      <c r="Q2561" s="166"/>
      <c r="R2561" s="164">
        <f>$L2561*'Pivot Objective'!$C$9*P2561*Q2561</f>
        <v>0</v>
      </c>
      <c r="S2561" s="166"/>
      <c r="T2561" s="166"/>
      <c r="U2561" s="164">
        <f>($L2561*'Pivot Objective'!$C$9^2)*S2561*T2561</f>
        <v>0</v>
      </c>
      <c r="V2561" s="166"/>
      <c r="W2561" s="166"/>
      <c r="X2561" s="164">
        <f>($L2561*'Pivot Objective'!$C$9^3)*V2561*W2561</f>
        <v>0</v>
      </c>
      <c r="Y2561" s="166"/>
      <c r="Z2561" s="166"/>
      <c r="AA2561" s="164">
        <f>($L2561*'Pivot Objective'!$C$9^4)*Y2561*Z2561</f>
        <v>0</v>
      </c>
      <c r="AB2561" s="166"/>
      <c r="AC2561" s="166"/>
      <c r="AD2561" s="164">
        <f>($L2561*'Pivot Objective'!$C$9^5)*AB2561*AC2561</f>
        <v>0</v>
      </c>
      <c r="AE2561" s="166"/>
      <c r="AF2561" s="166"/>
      <c r="AG2561" s="164">
        <f>($L2561*'Pivot Objective'!$C$9^6)*AE2561*AF2561</f>
        <v>0</v>
      </c>
      <c r="AH2561" s="166"/>
      <c r="AI2561" s="166"/>
      <c r="AJ2561" s="164">
        <f>($L2561*'Pivot Objective'!$C$9^7)*AH2561*AI2561</f>
        <v>0</v>
      </c>
      <c r="AK2561" s="185">
        <f t="shared" si="277"/>
        <v>513771.42857142852</v>
      </c>
      <c r="AL2561" s="186">
        <f t="shared" si="278"/>
        <v>498.80721220527039</v>
      </c>
    </row>
    <row r="2562" spans="1:38" customFormat="1" ht="57.6" x14ac:dyDescent="0.3">
      <c r="A2562" s="140" t="s">
        <v>1489</v>
      </c>
      <c r="B2562" s="140">
        <v>4</v>
      </c>
      <c r="C2562" s="166" t="s">
        <v>697</v>
      </c>
      <c r="D2562" s="140" t="str">
        <f t="shared" si="280"/>
        <v>3</v>
      </c>
      <c r="E2562" s="166" t="s">
        <v>694</v>
      </c>
      <c r="F2562" s="140">
        <f t="shared" si="282"/>
        <v>1</v>
      </c>
      <c r="G2562" s="140" t="str">
        <f t="shared" si="281"/>
        <v>4.3.1</v>
      </c>
      <c r="H2562" s="166" t="s">
        <v>675</v>
      </c>
      <c r="I2562" s="166" t="s">
        <v>120</v>
      </c>
      <c r="J2562" s="166" t="s">
        <v>180</v>
      </c>
      <c r="K2562" s="166" t="s">
        <v>716</v>
      </c>
      <c r="L2562" s="167">
        <v>39000</v>
      </c>
      <c r="M2562" s="166">
        <v>25</v>
      </c>
      <c r="N2562" s="166">
        <v>6</v>
      </c>
      <c r="O2562" s="164">
        <f t="shared" si="276"/>
        <v>5850000</v>
      </c>
      <c r="P2562" s="166">
        <v>15</v>
      </c>
      <c r="Q2562" s="166">
        <v>5</v>
      </c>
      <c r="R2562" s="164">
        <f>$L2562*'Pivot Objective'!$C$9*P2562*Q2562</f>
        <v>3343044.2087249993</v>
      </c>
      <c r="S2562" s="166">
        <v>0</v>
      </c>
      <c r="T2562" s="166">
        <v>0</v>
      </c>
      <c r="U2562" s="164">
        <f>($L2562*'Pivot Objective'!$C$9^2)*S2562*T2562</f>
        <v>0</v>
      </c>
      <c r="V2562" s="166">
        <v>0</v>
      </c>
      <c r="W2562" s="166">
        <v>0</v>
      </c>
      <c r="X2562" s="164">
        <f>($L2562*'Pivot Objective'!$C$9^3)*V2562*W2562</f>
        <v>0</v>
      </c>
      <c r="Y2562" s="166">
        <v>0</v>
      </c>
      <c r="Z2562" s="166">
        <v>0</v>
      </c>
      <c r="AA2562" s="164">
        <f>($L2562*'Pivot Objective'!$C$9^4)*Y2562*Z2562</f>
        <v>0</v>
      </c>
      <c r="AB2562" s="166">
        <v>0</v>
      </c>
      <c r="AC2562" s="166">
        <v>0</v>
      </c>
      <c r="AD2562" s="164">
        <f>($L2562*'Pivot Objective'!$C$9^5)*AB2562*AC2562</f>
        <v>0</v>
      </c>
      <c r="AE2562" s="166">
        <v>0</v>
      </c>
      <c r="AF2562" s="166">
        <v>0</v>
      </c>
      <c r="AG2562" s="164">
        <f>($L2562*'Pivot Objective'!$C$9^6)*AE2562*AF2562</f>
        <v>0</v>
      </c>
      <c r="AH2562" s="166">
        <v>0</v>
      </c>
      <c r="AI2562" s="166">
        <v>0</v>
      </c>
      <c r="AJ2562" s="164">
        <f>($L2562*'Pivot Objective'!$C$9^7)*AH2562*AI2562</f>
        <v>0</v>
      </c>
      <c r="AK2562" s="185">
        <f t="shared" si="277"/>
        <v>9193044.2087249998</v>
      </c>
      <c r="AL2562" s="186">
        <f t="shared" si="278"/>
        <v>8925.2856395388353</v>
      </c>
    </row>
    <row r="2563" spans="1:38" customFormat="1" ht="57.6" x14ac:dyDescent="0.3">
      <c r="A2563" s="140" t="s">
        <v>1489</v>
      </c>
      <c r="B2563" s="140">
        <v>4</v>
      </c>
      <c r="C2563" s="166" t="s">
        <v>697</v>
      </c>
      <c r="D2563" s="140" t="str">
        <f t="shared" si="280"/>
        <v>3</v>
      </c>
      <c r="E2563" s="166" t="s">
        <v>694</v>
      </c>
      <c r="F2563" s="140">
        <f t="shared" si="282"/>
        <v>1</v>
      </c>
      <c r="G2563" s="140" t="str">
        <f t="shared" si="281"/>
        <v>4.3.1</v>
      </c>
      <c r="H2563" s="166" t="s">
        <v>675</v>
      </c>
      <c r="I2563" s="166" t="s">
        <v>120</v>
      </c>
      <c r="J2563" s="166" t="s">
        <v>180</v>
      </c>
      <c r="K2563" s="166" t="s">
        <v>709</v>
      </c>
      <c r="L2563" s="167">
        <v>35000</v>
      </c>
      <c r="M2563" s="166">
        <v>25</v>
      </c>
      <c r="N2563" s="166">
        <v>5</v>
      </c>
      <c r="O2563" s="164">
        <f t="shared" ref="O2563:O2626" si="283">$L2563*M2563*N2563</f>
        <v>4375000</v>
      </c>
      <c r="P2563" s="166">
        <v>15</v>
      </c>
      <c r="Q2563" s="166">
        <v>5</v>
      </c>
      <c r="R2563" s="164">
        <f>$L2563*'Pivot Objective'!$C$9*P2563*Q2563</f>
        <v>3000167.8796249996</v>
      </c>
      <c r="S2563" s="166">
        <v>0</v>
      </c>
      <c r="T2563" s="166">
        <v>0</v>
      </c>
      <c r="U2563" s="164">
        <f>($L2563*'Pivot Objective'!$C$9^2)*S2563*T2563</f>
        <v>0</v>
      </c>
      <c r="V2563" s="166">
        <v>0</v>
      </c>
      <c r="W2563" s="166">
        <v>0</v>
      </c>
      <c r="X2563" s="164">
        <f>($L2563*'Pivot Objective'!$C$9^3)*V2563*W2563</f>
        <v>0</v>
      </c>
      <c r="Y2563" s="166">
        <v>0</v>
      </c>
      <c r="Z2563" s="166">
        <v>0</v>
      </c>
      <c r="AA2563" s="164">
        <f>($L2563*'Pivot Objective'!$C$9^4)*Y2563*Z2563</f>
        <v>0</v>
      </c>
      <c r="AB2563" s="166">
        <v>0</v>
      </c>
      <c r="AC2563" s="166">
        <v>0</v>
      </c>
      <c r="AD2563" s="164">
        <f>($L2563*'Pivot Objective'!$C$9^5)*AB2563*AC2563</f>
        <v>0</v>
      </c>
      <c r="AE2563" s="166">
        <v>0</v>
      </c>
      <c r="AF2563" s="166">
        <v>0</v>
      </c>
      <c r="AG2563" s="164">
        <f>($L2563*'Pivot Objective'!$C$9^6)*AE2563*AF2563</f>
        <v>0</v>
      </c>
      <c r="AH2563" s="166">
        <v>0</v>
      </c>
      <c r="AI2563" s="166">
        <v>0</v>
      </c>
      <c r="AJ2563" s="164">
        <f>($L2563*'Pivot Objective'!$C$9^7)*AH2563*AI2563</f>
        <v>0</v>
      </c>
      <c r="AK2563" s="185">
        <f t="shared" ref="AK2563:AK2626" si="284">O2563+R2563+U2563+X2563+AA2563+AD2563+AG2563+AJ2563</f>
        <v>7375167.8796250001</v>
      </c>
      <c r="AL2563" s="186">
        <f t="shared" ref="AL2563:AL2626" si="285">AK2563/$AP$2</f>
        <v>7160.3571646844657</v>
      </c>
    </row>
    <row r="2564" spans="1:38" customFormat="1" ht="57.6" x14ac:dyDescent="0.3">
      <c r="A2564" s="140" t="s">
        <v>1489</v>
      </c>
      <c r="B2564" s="140">
        <v>4</v>
      </c>
      <c r="C2564" s="166" t="s">
        <v>697</v>
      </c>
      <c r="D2564" s="140" t="str">
        <f t="shared" si="280"/>
        <v>3</v>
      </c>
      <c r="E2564" s="166" t="s">
        <v>694</v>
      </c>
      <c r="F2564" s="140">
        <f t="shared" si="282"/>
        <v>1</v>
      </c>
      <c r="G2564" s="140" t="str">
        <f t="shared" si="281"/>
        <v>4.3.1</v>
      </c>
      <c r="H2564" s="166" t="s">
        <v>675</v>
      </c>
      <c r="I2564" s="166" t="s">
        <v>120</v>
      </c>
      <c r="J2564" s="166" t="s">
        <v>180</v>
      </c>
      <c r="K2564" s="166" t="s">
        <v>712</v>
      </c>
      <c r="L2564" s="167">
        <v>211.42857142857142</v>
      </c>
      <c r="M2564" s="166">
        <v>450</v>
      </c>
      <c r="N2564" s="166">
        <v>5</v>
      </c>
      <c r="O2564" s="164">
        <f t="shared" si="283"/>
        <v>475714.28571428568</v>
      </c>
      <c r="P2564" s="166">
        <v>4000</v>
      </c>
      <c r="Q2564" s="166">
        <v>1</v>
      </c>
      <c r="R2564" s="164">
        <f>$L2564*'Pivot Objective'!$C$9*P2564*Q2564</f>
        <v>966584.6991771427</v>
      </c>
      <c r="S2564" s="166">
        <v>0</v>
      </c>
      <c r="T2564" s="166">
        <v>0</v>
      </c>
      <c r="U2564" s="164">
        <f>($L2564*'Pivot Objective'!$C$9^2)*S2564*T2564</f>
        <v>0</v>
      </c>
      <c r="V2564" s="166">
        <v>0</v>
      </c>
      <c r="W2564" s="166">
        <v>0</v>
      </c>
      <c r="X2564" s="164">
        <f>($L2564*'Pivot Objective'!$C$9^3)*V2564*W2564</f>
        <v>0</v>
      </c>
      <c r="Y2564" s="166">
        <v>0</v>
      </c>
      <c r="Z2564" s="166">
        <v>0</v>
      </c>
      <c r="AA2564" s="164">
        <f>($L2564*'Pivot Objective'!$C$9^4)*Y2564*Z2564</f>
        <v>0</v>
      </c>
      <c r="AB2564" s="166">
        <v>0</v>
      </c>
      <c r="AC2564" s="166">
        <v>0</v>
      </c>
      <c r="AD2564" s="164">
        <f>($L2564*'Pivot Objective'!$C$9^5)*AB2564*AC2564</f>
        <v>0</v>
      </c>
      <c r="AE2564" s="166">
        <v>0</v>
      </c>
      <c r="AF2564" s="166">
        <v>0</v>
      </c>
      <c r="AG2564" s="164">
        <f>($L2564*'Pivot Objective'!$C$9^6)*AE2564*AF2564</f>
        <v>0</v>
      </c>
      <c r="AH2564" s="166">
        <v>0</v>
      </c>
      <c r="AI2564" s="166">
        <v>0</v>
      </c>
      <c r="AJ2564" s="164">
        <f>($L2564*'Pivot Objective'!$C$9^7)*AH2564*AI2564</f>
        <v>0</v>
      </c>
      <c r="AK2564" s="185">
        <f t="shared" si="284"/>
        <v>1442298.9848914284</v>
      </c>
      <c r="AL2564" s="186">
        <f t="shared" si="285"/>
        <v>1400.2902765936199</v>
      </c>
    </row>
    <row r="2565" spans="1:38" customFormat="1" ht="57.6" x14ac:dyDescent="0.3">
      <c r="A2565" s="140" t="s">
        <v>1489</v>
      </c>
      <c r="B2565" s="140">
        <v>4</v>
      </c>
      <c r="C2565" s="166" t="s">
        <v>697</v>
      </c>
      <c r="D2565" s="140" t="str">
        <f t="shared" si="280"/>
        <v>3</v>
      </c>
      <c r="E2565" s="166" t="s">
        <v>694</v>
      </c>
      <c r="F2565" s="140">
        <f t="shared" si="282"/>
        <v>1</v>
      </c>
      <c r="G2565" s="140" t="str">
        <f t="shared" si="281"/>
        <v>4.3.1</v>
      </c>
      <c r="H2565" s="166" t="s">
        <v>675</v>
      </c>
      <c r="I2565" s="166" t="s">
        <v>120</v>
      </c>
      <c r="J2565" s="166" t="s">
        <v>180</v>
      </c>
      <c r="K2565" s="166" t="s">
        <v>1299</v>
      </c>
      <c r="L2565" s="167">
        <v>211.42857142857142</v>
      </c>
      <c r="M2565" s="166">
        <v>2430</v>
      </c>
      <c r="N2565" s="166">
        <v>1</v>
      </c>
      <c r="O2565" s="164">
        <f t="shared" si="283"/>
        <v>513771.42857142852</v>
      </c>
      <c r="P2565" s="166"/>
      <c r="Q2565" s="166"/>
      <c r="R2565" s="164">
        <f>$L2565*'Pivot Objective'!$C$9*P2565*Q2565</f>
        <v>0</v>
      </c>
      <c r="S2565" s="166"/>
      <c r="T2565" s="166"/>
      <c r="U2565" s="164">
        <f>($L2565*'Pivot Objective'!$C$9^2)*S2565*T2565</f>
        <v>0</v>
      </c>
      <c r="V2565" s="166"/>
      <c r="W2565" s="166"/>
      <c r="X2565" s="164">
        <f>($L2565*'Pivot Objective'!$C$9^3)*V2565*W2565</f>
        <v>0</v>
      </c>
      <c r="Y2565" s="166"/>
      <c r="Z2565" s="166"/>
      <c r="AA2565" s="164">
        <f>($L2565*'Pivot Objective'!$C$9^4)*Y2565*Z2565</f>
        <v>0</v>
      </c>
      <c r="AB2565" s="166"/>
      <c r="AC2565" s="166"/>
      <c r="AD2565" s="164">
        <f>($L2565*'Pivot Objective'!$C$9^5)*AB2565*AC2565</f>
        <v>0</v>
      </c>
      <c r="AE2565" s="166"/>
      <c r="AF2565" s="166"/>
      <c r="AG2565" s="164">
        <f>($L2565*'Pivot Objective'!$C$9^6)*AE2565*AF2565</f>
        <v>0</v>
      </c>
      <c r="AH2565" s="166"/>
      <c r="AI2565" s="166"/>
      <c r="AJ2565" s="164">
        <f>($L2565*'Pivot Objective'!$C$9^7)*AH2565*AI2565</f>
        <v>0</v>
      </c>
      <c r="AK2565" s="185">
        <f t="shared" si="284"/>
        <v>513771.42857142852</v>
      </c>
      <c r="AL2565" s="186">
        <f t="shared" si="285"/>
        <v>498.80721220527039</v>
      </c>
    </row>
    <row r="2566" spans="1:38" customFormat="1" ht="57.6" x14ac:dyDescent="0.3">
      <c r="A2566" s="140" t="s">
        <v>1489</v>
      </c>
      <c r="B2566" s="140">
        <v>4</v>
      </c>
      <c r="C2566" s="166" t="s">
        <v>697</v>
      </c>
      <c r="D2566" s="140" t="str">
        <f t="shared" si="280"/>
        <v>3</v>
      </c>
      <c r="E2566" s="166" t="s">
        <v>694</v>
      </c>
      <c r="F2566" s="140">
        <f t="shared" si="282"/>
        <v>1</v>
      </c>
      <c r="G2566" s="140" t="str">
        <f t="shared" si="281"/>
        <v>4.3.1</v>
      </c>
      <c r="H2566" s="166" t="s">
        <v>675</v>
      </c>
      <c r="I2566" s="166" t="s">
        <v>121</v>
      </c>
      <c r="J2566" s="166" t="s">
        <v>799</v>
      </c>
      <c r="K2566" s="166" t="s">
        <v>716</v>
      </c>
      <c r="L2566" s="167">
        <v>39000</v>
      </c>
      <c r="M2566" s="166">
        <v>60</v>
      </c>
      <c r="N2566" s="166">
        <v>24</v>
      </c>
      <c r="O2566" s="164">
        <f t="shared" si="283"/>
        <v>56160000</v>
      </c>
      <c r="P2566" s="166">
        <v>20</v>
      </c>
      <c r="Q2566" s="166">
        <v>5</v>
      </c>
      <c r="R2566" s="164">
        <f>$L2566*'Pivot Objective'!$C$9*P2566*Q2566</f>
        <v>4457392.2782999994</v>
      </c>
      <c r="S2566" s="166">
        <v>0</v>
      </c>
      <c r="T2566" s="166">
        <v>0</v>
      </c>
      <c r="U2566" s="164">
        <f>($L2566*'Pivot Objective'!$C$9^2)*S2566*T2566</f>
        <v>0</v>
      </c>
      <c r="V2566" s="166">
        <v>0</v>
      </c>
      <c r="W2566" s="166">
        <v>0</v>
      </c>
      <c r="X2566" s="164">
        <f>($L2566*'Pivot Objective'!$C$9^3)*V2566*W2566</f>
        <v>0</v>
      </c>
      <c r="Y2566" s="166">
        <v>0</v>
      </c>
      <c r="Z2566" s="166">
        <v>0</v>
      </c>
      <c r="AA2566" s="164">
        <f>($L2566*'Pivot Objective'!$C$9^4)*Y2566*Z2566</f>
        <v>0</v>
      </c>
      <c r="AB2566" s="166">
        <v>0</v>
      </c>
      <c r="AC2566" s="166">
        <v>0</v>
      </c>
      <c r="AD2566" s="164">
        <f>($L2566*'Pivot Objective'!$C$9^5)*AB2566*AC2566</f>
        <v>0</v>
      </c>
      <c r="AE2566" s="166">
        <v>0</v>
      </c>
      <c r="AF2566" s="166">
        <v>0</v>
      </c>
      <c r="AG2566" s="164">
        <f>($L2566*'Pivot Objective'!$C$9^6)*AE2566*AF2566</f>
        <v>0</v>
      </c>
      <c r="AH2566" s="166">
        <v>0</v>
      </c>
      <c r="AI2566" s="166">
        <v>0</v>
      </c>
      <c r="AJ2566" s="164">
        <f>($L2566*'Pivot Objective'!$C$9^7)*AH2566*AI2566</f>
        <v>0</v>
      </c>
      <c r="AK2566" s="185">
        <f t="shared" si="284"/>
        <v>60617392.278300002</v>
      </c>
      <c r="AL2566" s="186">
        <f t="shared" si="285"/>
        <v>58851.837163398057</v>
      </c>
    </row>
    <row r="2567" spans="1:38" customFormat="1" ht="57.6" x14ac:dyDescent="0.3">
      <c r="A2567" s="140" t="s">
        <v>1489</v>
      </c>
      <c r="B2567" s="140">
        <v>4</v>
      </c>
      <c r="C2567" s="166" t="s">
        <v>697</v>
      </c>
      <c r="D2567" s="140" t="str">
        <f t="shared" si="280"/>
        <v>3</v>
      </c>
      <c r="E2567" s="166" t="s">
        <v>694</v>
      </c>
      <c r="F2567" s="140">
        <f t="shared" si="282"/>
        <v>1</v>
      </c>
      <c r="G2567" s="140" t="str">
        <f t="shared" si="281"/>
        <v>4.3.1</v>
      </c>
      <c r="H2567" s="166" t="s">
        <v>675</v>
      </c>
      <c r="I2567" s="166" t="s">
        <v>121</v>
      </c>
      <c r="J2567" s="166" t="s">
        <v>799</v>
      </c>
      <c r="K2567" s="166" t="s">
        <v>712</v>
      </c>
      <c r="L2567" s="167">
        <v>211.42857142857142</v>
      </c>
      <c r="M2567" s="166">
        <v>60</v>
      </c>
      <c r="N2567" s="166">
        <v>20</v>
      </c>
      <c r="O2567" s="164">
        <f t="shared" si="283"/>
        <v>253714.28571428568</v>
      </c>
      <c r="P2567" s="166">
        <v>8000</v>
      </c>
      <c r="Q2567" s="166">
        <v>5</v>
      </c>
      <c r="R2567" s="164">
        <f>$L2567*'Pivot Objective'!$C$9*P2567*Q2567</f>
        <v>9665846.9917714261</v>
      </c>
      <c r="S2567" s="166">
        <v>0</v>
      </c>
      <c r="T2567" s="166">
        <v>0</v>
      </c>
      <c r="U2567" s="164">
        <f>($L2567*'Pivot Objective'!$C$9^2)*S2567*T2567</f>
        <v>0</v>
      </c>
      <c r="V2567" s="166">
        <v>0</v>
      </c>
      <c r="W2567" s="166">
        <v>0</v>
      </c>
      <c r="X2567" s="164">
        <f>($L2567*'Pivot Objective'!$C$9^3)*V2567*W2567</f>
        <v>0</v>
      </c>
      <c r="Y2567" s="166">
        <v>0</v>
      </c>
      <c r="Z2567" s="166">
        <v>0</v>
      </c>
      <c r="AA2567" s="164">
        <f>($L2567*'Pivot Objective'!$C$9^4)*Y2567*Z2567</f>
        <v>0</v>
      </c>
      <c r="AB2567" s="166">
        <v>0</v>
      </c>
      <c r="AC2567" s="166">
        <v>0</v>
      </c>
      <c r="AD2567" s="164">
        <f>($L2567*'Pivot Objective'!$C$9^5)*AB2567*AC2567</f>
        <v>0</v>
      </c>
      <c r="AE2567" s="166">
        <v>0</v>
      </c>
      <c r="AF2567" s="166">
        <v>0</v>
      </c>
      <c r="AG2567" s="164">
        <f>($L2567*'Pivot Objective'!$C$9^6)*AE2567*AF2567</f>
        <v>0</v>
      </c>
      <c r="AH2567" s="166">
        <v>0</v>
      </c>
      <c r="AI2567" s="166">
        <v>0</v>
      </c>
      <c r="AJ2567" s="164">
        <f>($L2567*'Pivot Objective'!$C$9^7)*AH2567*AI2567</f>
        <v>0</v>
      </c>
      <c r="AK2567" s="185">
        <f t="shared" si="284"/>
        <v>9919561.2774857115</v>
      </c>
      <c r="AL2567" s="186">
        <f t="shared" si="285"/>
        <v>9630.6420169764187</v>
      </c>
    </row>
    <row r="2568" spans="1:38" customFormat="1" ht="57.6" x14ac:dyDescent="0.3">
      <c r="A2568" s="140" t="s">
        <v>1489</v>
      </c>
      <c r="B2568" s="140">
        <v>4</v>
      </c>
      <c r="C2568" s="166" t="s">
        <v>697</v>
      </c>
      <c r="D2568" s="140" t="str">
        <f t="shared" si="280"/>
        <v>3</v>
      </c>
      <c r="E2568" s="166" t="s">
        <v>694</v>
      </c>
      <c r="F2568" s="140">
        <f t="shared" si="282"/>
        <v>1</v>
      </c>
      <c r="G2568" s="140" t="str">
        <f t="shared" si="281"/>
        <v>4.3.1</v>
      </c>
      <c r="H2568" s="166" t="s">
        <v>675</v>
      </c>
      <c r="I2568" s="166" t="s">
        <v>121</v>
      </c>
      <c r="J2568" s="166" t="s">
        <v>799</v>
      </c>
      <c r="K2568" s="166" t="s">
        <v>709</v>
      </c>
      <c r="L2568" s="167">
        <v>35000</v>
      </c>
      <c r="M2568" s="166">
        <v>1000</v>
      </c>
      <c r="N2568" s="166">
        <v>20</v>
      </c>
      <c r="O2568" s="164">
        <f t="shared" si="283"/>
        <v>700000000</v>
      </c>
      <c r="P2568" s="166">
        <v>40</v>
      </c>
      <c r="Q2568" s="166">
        <v>5</v>
      </c>
      <c r="R2568" s="164">
        <f>$L2568*'Pivot Objective'!$C$9*P2568*Q2568</f>
        <v>8000447.6789999986</v>
      </c>
      <c r="S2568" s="166">
        <v>0</v>
      </c>
      <c r="T2568" s="166">
        <v>0</v>
      </c>
      <c r="U2568" s="164">
        <f>($L2568*'Pivot Objective'!$C$9^2)*S2568*T2568</f>
        <v>0</v>
      </c>
      <c r="V2568" s="166">
        <v>0</v>
      </c>
      <c r="W2568" s="166">
        <v>0</v>
      </c>
      <c r="X2568" s="164">
        <f>($L2568*'Pivot Objective'!$C$9^3)*V2568*W2568</f>
        <v>0</v>
      </c>
      <c r="Y2568" s="166">
        <v>0</v>
      </c>
      <c r="Z2568" s="166">
        <v>0</v>
      </c>
      <c r="AA2568" s="164">
        <f>($L2568*'Pivot Objective'!$C$9^4)*Y2568*Z2568</f>
        <v>0</v>
      </c>
      <c r="AB2568" s="166">
        <v>0</v>
      </c>
      <c r="AC2568" s="166">
        <v>0</v>
      </c>
      <c r="AD2568" s="164">
        <f>($L2568*'Pivot Objective'!$C$9^5)*AB2568*AC2568</f>
        <v>0</v>
      </c>
      <c r="AE2568" s="166">
        <v>0</v>
      </c>
      <c r="AF2568" s="166">
        <v>0</v>
      </c>
      <c r="AG2568" s="164">
        <f>($L2568*'Pivot Objective'!$C$9^6)*AE2568*AF2568</f>
        <v>0</v>
      </c>
      <c r="AH2568" s="166">
        <v>0</v>
      </c>
      <c r="AI2568" s="166">
        <v>0</v>
      </c>
      <c r="AJ2568" s="164">
        <f>($L2568*'Pivot Objective'!$C$9^7)*AH2568*AI2568</f>
        <v>0</v>
      </c>
      <c r="AK2568" s="185">
        <f t="shared" si="284"/>
        <v>708000447.67900002</v>
      </c>
      <c r="AL2568" s="186">
        <f t="shared" si="285"/>
        <v>687379.07541650487</v>
      </c>
    </row>
    <row r="2569" spans="1:38" customFormat="1" ht="57.6" x14ac:dyDescent="0.3">
      <c r="A2569" s="140" t="s">
        <v>1489</v>
      </c>
      <c r="B2569" s="140">
        <v>4</v>
      </c>
      <c r="C2569" s="166" t="s">
        <v>697</v>
      </c>
      <c r="D2569" s="140" t="str">
        <f t="shared" si="280"/>
        <v>3</v>
      </c>
      <c r="E2569" s="166" t="s">
        <v>694</v>
      </c>
      <c r="F2569" s="140">
        <f t="shared" si="282"/>
        <v>1</v>
      </c>
      <c r="G2569" s="140" t="str">
        <f t="shared" si="281"/>
        <v>4.3.1</v>
      </c>
      <c r="H2569" s="166" t="s">
        <v>675</v>
      </c>
      <c r="I2569" s="166" t="s">
        <v>121</v>
      </c>
      <c r="J2569" s="166" t="s">
        <v>799</v>
      </c>
      <c r="K2569" s="166" t="s">
        <v>1299</v>
      </c>
      <c r="L2569" s="167">
        <v>211.42857142857142</v>
      </c>
      <c r="M2569" s="166">
        <v>5400</v>
      </c>
      <c r="N2569" s="166">
        <v>4</v>
      </c>
      <c r="O2569" s="164">
        <f t="shared" si="283"/>
        <v>4566857.1428571427</v>
      </c>
      <c r="P2569" s="166"/>
      <c r="Q2569" s="166"/>
      <c r="R2569" s="164">
        <f>$L2569*'Pivot Objective'!$C$9*P2569*Q2569</f>
        <v>0</v>
      </c>
      <c r="S2569" s="166"/>
      <c r="T2569" s="166"/>
      <c r="U2569" s="164">
        <f>($L2569*'Pivot Objective'!$C$9^2)*S2569*T2569</f>
        <v>0</v>
      </c>
      <c r="V2569" s="166"/>
      <c r="W2569" s="166"/>
      <c r="X2569" s="164">
        <f>($L2569*'Pivot Objective'!$C$9^3)*V2569*W2569</f>
        <v>0</v>
      </c>
      <c r="Y2569" s="166"/>
      <c r="Z2569" s="166"/>
      <c r="AA2569" s="164">
        <f>($L2569*'Pivot Objective'!$C$9^4)*Y2569*Z2569</f>
        <v>0</v>
      </c>
      <c r="AB2569" s="166"/>
      <c r="AC2569" s="166"/>
      <c r="AD2569" s="164">
        <f>($L2569*'Pivot Objective'!$C$9^5)*AB2569*AC2569</f>
        <v>0</v>
      </c>
      <c r="AE2569" s="166"/>
      <c r="AF2569" s="166"/>
      <c r="AG2569" s="164">
        <f>($L2569*'Pivot Objective'!$C$9^6)*AE2569*AF2569</f>
        <v>0</v>
      </c>
      <c r="AH2569" s="166"/>
      <c r="AI2569" s="166"/>
      <c r="AJ2569" s="164">
        <f>($L2569*'Pivot Objective'!$C$9^7)*AH2569*AI2569</f>
        <v>0</v>
      </c>
      <c r="AK2569" s="185">
        <f t="shared" si="284"/>
        <v>4566857.1428571427</v>
      </c>
      <c r="AL2569" s="186">
        <f t="shared" si="285"/>
        <v>4433.8418862690705</v>
      </c>
    </row>
    <row r="2570" spans="1:38" customFormat="1" ht="57.6" x14ac:dyDescent="0.3">
      <c r="A2570" s="140" t="s">
        <v>1489</v>
      </c>
      <c r="B2570" s="140">
        <v>4</v>
      </c>
      <c r="C2570" s="166" t="s">
        <v>697</v>
      </c>
      <c r="D2570" s="140" t="str">
        <f t="shared" si="280"/>
        <v>3</v>
      </c>
      <c r="E2570" s="166" t="s">
        <v>694</v>
      </c>
      <c r="F2570" s="140">
        <f t="shared" si="282"/>
        <v>1</v>
      </c>
      <c r="G2570" s="140" t="str">
        <f t="shared" si="281"/>
        <v>4.3.1</v>
      </c>
      <c r="H2570" s="166" t="s">
        <v>675</v>
      </c>
      <c r="I2570" s="166" t="s">
        <v>121</v>
      </c>
      <c r="J2570" s="166" t="s">
        <v>280</v>
      </c>
      <c r="K2570" s="166" t="s">
        <v>716</v>
      </c>
      <c r="L2570" s="167">
        <v>39000</v>
      </c>
      <c r="M2570" s="166">
        <v>58</v>
      </c>
      <c r="N2570" s="166">
        <v>6</v>
      </c>
      <c r="O2570" s="164">
        <f t="shared" si="283"/>
        <v>13572000</v>
      </c>
      <c r="P2570" s="166">
        <v>10</v>
      </c>
      <c r="Q2570" s="166">
        <v>1</v>
      </c>
      <c r="R2570" s="164">
        <f>$L2570*'Pivot Objective'!$C$9*P2570*Q2570</f>
        <v>445739.22782999993</v>
      </c>
      <c r="S2570" s="166">
        <v>0</v>
      </c>
      <c r="T2570" s="166">
        <v>0</v>
      </c>
      <c r="U2570" s="164">
        <f>($L2570*'Pivot Objective'!$C$9^2)*S2570*T2570</f>
        <v>0</v>
      </c>
      <c r="V2570" s="166">
        <v>0</v>
      </c>
      <c r="W2570" s="166">
        <v>0</v>
      </c>
      <c r="X2570" s="164">
        <f>($L2570*'Pivot Objective'!$C$9^3)*V2570*W2570</f>
        <v>0</v>
      </c>
      <c r="Y2570" s="166">
        <v>0</v>
      </c>
      <c r="Z2570" s="166">
        <v>0</v>
      </c>
      <c r="AA2570" s="164">
        <f>($L2570*'Pivot Objective'!$C$9^4)*Y2570*Z2570</f>
        <v>0</v>
      </c>
      <c r="AB2570" s="166">
        <v>0</v>
      </c>
      <c r="AC2570" s="166">
        <v>0</v>
      </c>
      <c r="AD2570" s="164">
        <f>($L2570*'Pivot Objective'!$C$9^5)*AB2570*AC2570</f>
        <v>0</v>
      </c>
      <c r="AE2570" s="166">
        <v>0</v>
      </c>
      <c r="AF2570" s="166">
        <v>0</v>
      </c>
      <c r="AG2570" s="164">
        <f>($L2570*'Pivot Objective'!$C$9^6)*AE2570*AF2570</f>
        <v>0</v>
      </c>
      <c r="AH2570" s="166">
        <v>0</v>
      </c>
      <c r="AI2570" s="166">
        <v>0</v>
      </c>
      <c r="AJ2570" s="164">
        <f>($L2570*'Pivot Objective'!$C$9^7)*AH2570*AI2570</f>
        <v>0</v>
      </c>
      <c r="AK2570" s="185">
        <f t="shared" si="284"/>
        <v>14017739.22783</v>
      </c>
      <c r="AL2570" s="186">
        <f t="shared" si="285"/>
        <v>13609.455561000001</v>
      </c>
    </row>
    <row r="2571" spans="1:38" customFormat="1" ht="57.6" x14ac:dyDescent="0.3">
      <c r="A2571" s="140" t="s">
        <v>1489</v>
      </c>
      <c r="B2571" s="140">
        <v>4</v>
      </c>
      <c r="C2571" s="166" t="s">
        <v>697</v>
      </c>
      <c r="D2571" s="140" t="str">
        <f t="shared" si="280"/>
        <v>3</v>
      </c>
      <c r="E2571" s="166" t="s">
        <v>694</v>
      </c>
      <c r="F2571" s="140">
        <f t="shared" si="282"/>
        <v>1</v>
      </c>
      <c r="G2571" s="140" t="str">
        <f t="shared" si="281"/>
        <v>4.3.1</v>
      </c>
      <c r="H2571" s="166" t="s">
        <v>675</v>
      </c>
      <c r="I2571" s="166" t="s">
        <v>121</v>
      </c>
      <c r="J2571" s="166" t="s">
        <v>280</v>
      </c>
      <c r="K2571" s="166" t="s">
        <v>709</v>
      </c>
      <c r="L2571" s="167">
        <v>35000</v>
      </c>
      <c r="M2571" s="166">
        <v>100</v>
      </c>
      <c r="N2571" s="166">
        <v>5</v>
      </c>
      <c r="O2571" s="164">
        <f t="shared" si="283"/>
        <v>17500000</v>
      </c>
      <c r="P2571" s="166">
        <v>40</v>
      </c>
      <c r="Q2571" s="166">
        <v>1</v>
      </c>
      <c r="R2571" s="164">
        <f>$L2571*'Pivot Objective'!$C$9*P2571*Q2571</f>
        <v>1600089.5357999997</v>
      </c>
      <c r="S2571" s="166">
        <v>0</v>
      </c>
      <c r="T2571" s="166">
        <v>0</v>
      </c>
      <c r="U2571" s="164">
        <f>($L2571*'Pivot Objective'!$C$9^2)*S2571*T2571</f>
        <v>0</v>
      </c>
      <c r="V2571" s="166">
        <v>0</v>
      </c>
      <c r="W2571" s="166">
        <v>0</v>
      </c>
      <c r="X2571" s="164">
        <f>($L2571*'Pivot Objective'!$C$9^3)*V2571*W2571</f>
        <v>0</v>
      </c>
      <c r="Y2571" s="166">
        <v>0</v>
      </c>
      <c r="Z2571" s="166">
        <v>0</v>
      </c>
      <c r="AA2571" s="164">
        <f>($L2571*'Pivot Objective'!$C$9^4)*Y2571*Z2571</f>
        <v>0</v>
      </c>
      <c r="AB2571" s="166">
        <v>0</v>
      </c>
      <c r="AC2571" s="166">
        <v>0</v>
      </c>
      <c r="AD2571" s="164">
        <f>($L2571*'Pivot Objective'!$C$9^5)*AB2571*AC2571</f>
        <v>0</v>
      </c>
      <c r="AE2571" s="166">
        <v>0</v>
      </c>
      <c r="AF2571" s="166">
        <v>0</v>
      </c>
      <c r="AG2571" s="164">
        <f>($L2571*'Pivot Objective'!$C$9^6)*AE2571*AF2571</f>
        <v>0</v>
      </c>
      <c r="AH2571" s="166">
        <v>0</v>
      </c>
      <c r="AI2571" s="166">
        <v>0</v>
      </c>
      <c r="AJ2571" s="164">
        <f>($L2571*'Pivot Objective'!$C$9^7)*AH2571*AI2571</f>
        <v>0</v>
      </c>
      <c r="AK2571" s="185">
        <f t="shared" si="284"/>
        <v>19100089.535799999</v>
      </c>
      <c r="AL2571" s="186">
        <f t="shared" si="285"/>
        <v>18543.776248349513</v>
      </c>
    </row>
    <row r="2572" spans="1:38" customFormat="1" ht="57.6" x14ac:dyDescent="0.3">
      <c r="A2572" s="140" t="s">
        <v>1489</v>
      </c>
      <c r="B2572" s="140">
        <v>4</v>
      </c>
      <c r="C2572" s="166" t="s">
        <v>697</v>
      </c>
      <c r="D2572" s="140" t="str">
        <f t="shared" si="280"/>
        <v>3</v>
      </c>
      <c r="E2572" s="166" t="s">
        <v>694</v>
      </c>
      <c r="F2572" s="140">
        <f t="shared" si="282"/>
        <v>1</v>
      </c>
      <c r="G2572" s="140" t="str">
        <f t="shared" si="281"/>
        <v>4.3.1</v>
      </c>
      <c r="H2572" s="166" t="s">
        <v>675</v>
      </c>
      <c r="I2572" s="166" t="s">
        <v>121</v>
      </c>
      <c r="J2572" s="166" t="s">
        <v>280</v>
      </c>
      <c r="K2572" s="166" t="s">
        <v>712</v>
      </c>
      <c r="L2572" s="167">
        <v>211.42857142857142</v>
      </c>
      <c r="M2572" s="166">
        <v>1450</v>
      </c>
      <c r="N2572" s="166">
        <v>5</v>
      </c>
      <c r="O2572" s="164">
        <f t="shared" si="283"/>
        <v>1532857.142857143</v>
      </c>
      <c r="P2572" s="166">
        <v>4000</v>
      </c>
      <c r="Q2572" s="166">
        <v>1</v>
      </c>
      <c r="R2572" s="164">
        <f>$L2572*'Pivot Objective'!$C$9*P2572*Q2572</f>
        <v>966584.6991771427</v>
      </c>
      <c r="S2572" s="166">
        <v>0</v>
      </c>
      <c r="T2572" s="166">
        <v>0</v>
      </c>
      <c r="U2572" s="164">
        <f>($L2572*'Pivot Objective'!$C$9^2)*S2572*T2572</f>
        <v>0</v>
      </c>
      <c r="V2572" s="166">
        <v>0</v>
      </c>
      <c r="W2572" s="166">
        <v>0</v>
      </c>
      <c r="X2572" s="164">
        <f>($L2572*'Pivot Objective'!$C$9^3)*V2572*W2572</f>
        <v>0</v>
      </c>
      <c r="Y2572" s="166">
        <v>0</v>
      </c>
      <c r="Z2572" s="166">
        <v>0</v>
      </c>
      <c r="AA2572" s="164">
        <f>($L2572*'Pivot Objective'!$C$9^4)*Y2572*Z2572</f>
        <v>0</v>
      </c>
      <c r="AB2572" s="166">
        <v>0</v>
      </c>
      <c r="AC2572" s="166">
        <v>0</v>
      </c>
      <c r="AD2572" s="164">
        <f>($L2572*'Pivot Objective'!$C$9^5)*AB2572*AC2572</f>
        <v>0</v>
      </c>
      <c r="AE2572" s="166">
        <v>0</v>
      </c>
      <c r="AF2572" s="166">
        <v>0</v>
      </c>
      <c r="AG2572" s="164">
        <f>($L2572*'Pivot Objective'!$C$9^6)*AE2572*AF2572</f>
        <v>0</v>
      </c>
      <c r="AH2572" s="166">
        <v>0</v>
      </c>
      <c r="AI2572" s="166">
        <v>0</v>
      </c>
      <c r="AJ2572" s="164">
        <f>($L2572*'Pivot Objective'!$C$9^7)*AH2572*AI2572</f>
        <v>0</v>
      </c>
      <c r="AK2572" s="185">
        <f t="shared" si="284"/>
        <v>2499441.8420342859</v>
      </c>
      <c r="AL2572" s="186">
        <f t="shared" si="285"/>
        <v>2426.642565081831</v>
      </c>
    </row>
    <row r="2573" spans="1:38" customFormat="1" ht="57.6" x14ac:dyDescent="0.3">
      <c r="A2573" s="140" t="s">
        <v>1489</v>
      </c>
      <c r="B2573" s="140">
        <v>4</v>
      </c>
      <c r="C2573" s="166" t="s">
        <v>697</v>
      </c>
      <c r="D2573" s="140" t="str">
        <f t="shared" si="280"/>
        <v>3</v>
      </c>
      <c r="E2573" s="166" t="s">
        <v>694</v>
      </c>
      <c r="F2573" s="140">
        <f t="shared" si="282"/>
        <v>1</v>
      </c>
      <c r="G2573" s="140" t="str">
        <f t="shared" si="281"/>
        <v>4.3.1</v>
      </c>
      <c r="H2573" s="166" t="s">
        <v>675</v>
      </c>
      <c r="I2573" s="166" t="s">
        <v>121</v>
      </c>
      <c r="J2573" s="166" t="s">
        <v>280</v>
      </c>
      <c r="K2573" s="166" t="s">
        <v>1299</v>
      </c>
      <c r="L2573" s="167">
        <v>211.42857142857142</v>
      </c>
      <c r="M2573" s="166">
        <v>22500</v>
      </c>
      <c r="N2573" s="166">
        <v>1</v>
      </c>
      <c r="O2573" s="164">
        <f t="shared" si="283"/>
        <v>4757142.8571428573</v>
      </c>
      <c r="P2573" s="166"/>
      <c r="Q2573" s="166"/>
      <c r="R2573" s="164">
        <f>$L2573*'Pivot Objective'!$C$9*P2573*Q2573</f>
        <v>0</v>
      </c>
      <c r="S2573" s="166"/>
      <c r="T2573" s="166"/>
      <c r="U2573" s="164">
        <f>($L2573*'Pivot Objective'!$C$9^2)*S2573*T2573</f>
        <v>0</v>
      </c>
      <c r="V2573" s="166"/>
      <c r="W2573" s="166"/>
      <c r="X2573" s="164">
        <f>($L2573*'Pivot Objective'!$C$9^3)*V2573*W2573</f>
        <v>0</v>
      </c>
      <c r="Y2573" s="166"/>
      <c r="Z2573" s="166"/>
      <c r="AA2573" s="164">
        <f>($L2573*'Pivot Objective'!$C$9^4)*Y2573*Z2573</f>
        <v>0</v>
      </c>
      <c r="AB2573" s="166"/>
      <c r="AC2573" s="166"/>
      <c r="AD2573" s="164">
        <f>($L2573*'Pivot Objective'!$C$9^5)*AB2573*AC2573</f>
        <v>0</v>
      </c>
      <c r="AE2573" s="166"/>
      <c r="AF2573" s="166"/>
      <c r="AG2573" s="164">
        <f>($L2573*'Pivot Objective'!$C$9^6)*AE2573*AF2573</f>
        <v>0</v>
      </c>
      <c r="AH2573" s="166"/>
      <c r="AI2573" s="166"/>
      <c r="AJ2573" s="164">
        <f>($L2573*'Pivot Objective'!$C$9^7)*AH2573*AI2573</f>
        <v>0</v>
      </c>
      <c r="AK2573" s="185">
        <f t="shared" si="284"/>
        <v>4757142.8571428573</v>
      </c>
      <c r="AL2573" s="186">
        <f t="shared" si="285"/>
        <v>4618.5852981969492</v>
      </c>
    </row>
    <row r="2574" spans="1:38" customFormat="1" ht="57.6" x14ac:dyDescent="0.3">
      <c r="A2574" s="140" t="s">
        <v>1489</v>
      </c>
      <c r="B2574" s="140">
        <v>4</v>
      </c>
      <c r="C2574" s="166" t="s">
        <v>697</v>
      </c>
      <c r="D2574" s="140" t="str">
        <f t="shared" si="280"/>
        <v>3</v>
      </c>
      <c r="E2574" s="166" t="s">
        <v>694</v>
      </c>
      <c r="F2574" s="140">
        <f t="shared" si="282"/>
        <v>1</v>
      </c>
      <c r="G2574" s="140" t="str">
        <f t="shared" si="281"/>
        <v>4.3.1</v>
      </c>
      <c r="H2574" s="166" t="s">
        <v>675</v>
      </c>
      <c r="I2574" s="166" t="s">
        <v>121</v>
      </c>
      <c r="J2574" s="166" t="s">
        <v>344</v>
      </c>
      <c r="K2574" s="166" t="s">
        <v>709</v>
      </c>
      <c r="L2574" s="167">
        <v>35000</v>
      </c>
      <c r="M2574" s="166">
        <v>50</v>
      </c>
      <c r="N2574" s="166">
        <v>1</v>
      </c>
      <c r="O2574" s="164">
        <f t="shared" si="283"/>
        <v>1750000</v>
      </c>
      <c r="P2574" s="166">
        <v>20</v>
      </c>
      <c r="Q2574" s="166">
        <v>1</v>
      </c>
      <c r="R2574" s="164">
        <f>$L2574*'Pivot Objective'!$C$9*P2574*Q2574</f>
        <v>800044.76789999986</v>
      </c>
      <c r="S2574" s="166">
        <v>0</v>
      </c>
      <c r="T2574" s="166">
        <v>0</v>
      </c>
      <c r="U2574" s="164">
        <f>($L2574*'Pivot Objective'!$C$9^2)*S2574*T2574</f>
        <v>0</v>
      </c>
      <c r="V2574" s="166">
        <v>0</v>
      </c>
      <c r="W2574" s="166">
        <v>0</v>
      </c>
      <c r="X2574" s="164">
        <f>($L2574*'Pivot Objective'!$C$9^3)*V2574*W2574</f>
        <v>0</v>
      </c>
      <c r="Y2574" s="166">
        <v>0</v>
      </c>
      <c r="Z2574" s="166">
        <v>0</v>
      </c>
      <c r="AA2574" s="164">
        <f>($L2574*'Pivot Objective'!$C$9^4)*Y2574*Z2574</f>
        <v>0</v>
      </c>
      <c r="AB2574" s="166">
        <v>0</v>
      </c>
      <c r="AC2574" s="166">
        <v>0</v>
      </c>
      <c r="AD2574" s="164">
        <f>($L2574*'Pivot Objective'!$C$9^5)*AB2574*AC2574</f>
        <v>0</v>
      </c>
      <c r="AE2574" s="166">
        <v>0</v>
      </c>
      <c r="AF2574" s="166">
        <v>0</v>
      </c>
      <c r="AG2574" s="164">
        <f>($L2574*'Pivot Objective'!$C$9^6)*AE2574*AF2574</f>
        <v>0</v>
      </c>
      <c r="AH2574" s="166">
        <v>0</v>
      </c>
      <c r="AI2574" s="166">
        <v>0</v>
      </c>
      <c r="AJ2574" s="164">
        <f>($L2574*'Pivot Objective'!$C$9^7)*AH2574*AI2574</f>
        <v>0</v>
      </c>
      <c r="AK2574" s="185">
        <f t="shared" si="284"/>
        <v>2550044.7678999999</v>
      </c>
      <c r="AL2574" s="186">
        <f t="shared" si="285"/>
        <v>2475.7716193203883</v>
      </c>
    </row>
    <row r="2575" spans="1:38" customFormat="1" ht="57.6" x14ac:dyDescent="0.3">
      <c r="A2575" s="140" t="s">
        <v>1489</v>
      </c>
      <c r="B2575" s="140">
        <v>4</v>
      </c>
      <c r="C2575" s="166" t="s">
        <v>697</v>
      </c>
      <c r="D2575" s="140" t="str">
        <f t="shared" si="280"/>
        <v>3</v>
      </c>
      <c r="E2575" s="166" t="s">
        <v>694</v>
      </c>
      <c r="F2575" s="140">
        <f t="shared" si="282"/>
        <v>1</v>
      </c>
      <c r="G2575" s="140" t="str">
        <f t="shared" si="281"/>
        <v>4.3.1</v>
      </c>
      <c r="H2575" s="166" t="s">
        <v>675</v>
      </c>
      <c r="I2575" s="166" t="s">
        <v>121</v>
      </c>
      <c r="J2575" s="166" t="s">
        <v>575</v>
      </c>
      <c r="K2575" s="166" t="s">
        <v>709</v>
      </c>
      <c r="L2575" s="167">
        <v>0</v>
      </c>
      <c r="M2575" s="166">
        <v>0</v>
      </c>
      <c r="N2575" s="166">
        <v>0</v>
      </c>
      <c r="O2575" s="164">
        <f t="shared" si="283"/>
        <v>0</v>
      </c>
      <c r="P2575" s="166">
        <v>20</v>
      </c>
      <c r="Q2575" s="166">
        <v>1</v>
      </c>
      <c r="R2575" s="164">
        <f>$L2575*'Pivot Objective'!$C$9*P2575*Q2575</f>
        <v>0</v>
      </c>
      <c r="S2575" s="166">
        <v>0</v>
      </c>
      <c r="T2575" s="166">
        <v>0</v>
      </c>
      <c r="U2575" s="164">
        <f>($L2575*'Pivot Objective'!$C$9^2)*S2575*T2575</f>
        <v>0</v>
      </c>
      <c r="V2575" s="166">
        <v>0</v>
      </c>
      <c r="W2575" s="166">
        <v>0</v>
      </c>
      <c r="X2575" s="164">
        <f>($L2575*'Pivot Objective'!$C$9^3)*V2575*W2575</f>
        <v>0</v>
      </c>
      <c r="Y2575" s="166">
        <v>0</v>
      </c>
      <c r="Z2575" s="166">
        <v>0</v>
      </c>
      <c r="AA2575" s="164">
        <f>($L2575*'Pivot Objective'!$C$9^4)*Y2575*Z2575</f>
        <v>0</v>
      </c>
      <c r="AB2575" s="166">
        <v>0</v>
      </c>
      <c r="AC2575" s="166">
        <v>0</v>
      </c>
      <c r="AD2575" s="164">
        <f>($L2575*'Pivot Objective'!$C$9^5)*AB2575*AC2575</f>
        <v>0</v>
      </c>
      <c r="AE2575" s="166">
        <v>0</v>
      </c>
      <c r="AF2575" s="166">
        <v>0</v>
      </c>
      <c r="AG2575" s="164">
        <f>($L2575*'Pivot Objective'!$C$9^6)*AE2575*AF2575</f>
        <v>0</v>
      </c>
      <c r="AH2575" s="166">
        <v>0</v>
      </c>
      <c r="AI2575" s="166">
        <v>0</v>
      </c>
      <c r="AJ2575" s="164">
        <f>($L2575*'Pivot Objective'!$C$9^7)*AH2575*AI2575</f>
        <v>0</v>
      </c>
      <c r="AK2575" s="185">
        <f t="shared" si="284"/>
        <v>0</v>
      </c>
      <c r="AL2575" s="186">
        <f t="shared" si="285"/>
        <v>0</v>
      </c>
    </row>
    <row r="2576" spans="1:38" customFormat="1" ht="57.6" x14ac:dyDescent="0.3">
      <c r="A2576" s="140" t="s">
        <v>1489</v>
      </c>
      <c r="B2576" s="140">
        <v>4</v>
      </c>
      <c r="C2576" s="166" t="s">
        <v>697</v>
      </c>
      <c r="D2576" s="140" t="str">
        <f t="shared" si="280"/>
        <v>3</v>
      </c>
      <c r="E2576" s="166" t="s">
        <v>694</v>
      </c>
      <c r="F2576" s="140">
        <f t="shared" ref="F2576:F2607" si="286">IF(H2576=H2575,F2575,F2575+1)</f>
        <v>1</v>
      </c>
      <c r="G2576" s="140" t="str">
        <f t="shared" si="281"/>
        <v>4.3.1</v>
      </c>
      <c r="H2576" s="166" t="s">
        <v>675</v>
      </c>
      <c r="I2576" s="166" t="s">
        <v>121</v>
      </c>
      <c r="J2576" s="166" t="s">
        <v>1406</v>
      </c>
      <c r="K2576" s="166" t="s">
        <v>716</v>
      </c>
      <c r="L2576" s="167">
        <v>39000</v>
      </c>
      <c r="M2576" s="166">
        <v>58</v>
      </c>
      <c r="N2576" s="166">
        <v>1</v>
      </c>
      <c r="O2576" s="164">
        <f t="shared" si="283"/>
        <v>2262000</v>
      </c>
      <c r="P2576" s="166">
        <v>10</v>
      </c>
      <c r="Q2576" s="166">
        <v>5</v>
      </c>
      <c r="R2576" s="164">
        <f>$L2576*'Pivot Objective'!$C$9*P2576*Q2576</f>
        <v>2228696.1391499997</v>
      </c>
      <c r="S2576" s="166">
        <v>0</v>
      </c>
      <c r="T2576" s="166">
        <v>0</v>
      </c>
      <c r="U2576" s="164">
        <f>($L2576*'Pivot Objective'!$C$9^2)*S2576*T2576</f>
        <v>0</v>
      </c>
      <c r="V2576" s="166">
        <v>0</v>
      </c>
      <c r="W2576" s="166">
        <v>0</v>
      </c>
      <c r="X2576" s="164">
        <f>($L2576*'Pivot Objective'!$C$9^3)*V2576*W2576</f>
        <v>0</v>
      </c>
      <c r="Y2576" s="166">
        <v>0</v>
      </c>
      <c r="Z2576" s="166">
        <v>0</v>
      </c>
      <c r="AA2576" s="164">
        <f>($L2576*'Pivot Objective'!$C$9^4)*Y2576*Z2576</f>
        <v>0</v>
      </c>
      <c r="AB2576" s="166">
        <v>0</v>
      </c>
      <c r="AC2576" s="166">
        <v>0</v>
      </c>
      <c r="AD2576" s="164">
        <f>($L2576*'Pivot Objective'!$C$9^5)*AB2576*AC2576</f>
        <v>0</v>
      </c>
      <c r="AE2576" s="166">
        <v>0</v>
      </c>
      <c r="AF2576" s="166">
        <v>0</v>
      </c>
      <c r="AG2576" s="164">
        <f>($L2576*'Pivot Objective'!$C$9^6)*AE2576*AF2576</f>
        <v>0</v>
      </c>
      <c r="AH2576" s="166">
        <v>0</v>
      </c>
      <c r="AI2576" s="166">
        <v>0</v>
      </c>
      <c r="AJ2576" s="164">
        <f>($L2576*'Pivot Objective'!$C$9^7)*AH2576*AI2576</f>
        <v>0</v>
      </c>
      <c r="AK2576" s="185">
        <f t="shared" si="284"/>
        <v>4490696.1391499992</v>
      </c>
      <c r="AL2576" s="186">
        <f t="shared" si="285"/>
        <v>4359.8991642233004</v>
      </c>
    </row>
    <row r="2577" spans="1:38" customFormat="1" ht="57.6" x14ac:dyDescent="0.3">
      <c r="A2577" s="140" t="s">
        <v>1489</v>
      </c>
      <c r="B2577" s="140">
        <v>4</v>
      </c>
      <c r="C2577" s="166" t="s">
        <v>697</v>
      </c>
      <c r="D2577" s="140" t="str">
        <f t="shared" si="280"/>
        <v>3</v>
      </c>
      <c r="E2577" s="166" t="s">
        <v>694</v>
      </c>
      <c r="F2577" s="140">
        <f t="shared" si="286"/>
        <v>1</v>
      </c>
      <c r="G2577" s="140" t="str">
        <f t="shared" si="281"/>
        <v>4.3.1</v>
      </c>
      <c r="H2577" s="166" t="s">
        <v>675</v>
      </c>
      <c r="I2577" s="166" t="s">
        <v>121</v>
      </c>
      <c r="J2577" s="166" t="s">
        <v>1406</v>
      </c>
      <c r="K2577" s="166" t="s">
        <v>709</v>
      </c>
      <c r="L2577" s="167">
        <v>35000</v>
      </c>
      <c r="M2577" s="166">
        <v>100</v>
      </c>
      <c r="N2577" s="166">
        <v>1</v>
      </c>
      <c r="O2577" s="164">
        <f t="shared" si="283"/>
        <v>3500000</v>
      </c>
      <c r="P2577" s="166">
        <v>20</v>
      </c>
      <c r="Q2577" s="166">
        <v>1</v>
      </c>
      <c r="R2577" s="164">
        <f>$L2577*'Pivot Objective'!$C$9*P2577*Q2577</f>
        <v>800044.76789999986</v>
      </c>
      <c r="S2577" s="166">
        <v>0</v>
      </c>
      <c r="T2577" s="166">
        <v>0</v>
      </c>
      <c r="U2577" s="164">
        <f>($L2577*'Pivot Objective'!$C$9^2)*S2577*T2577</f>
        <v>0</v>
      </c>
      <c r="V2577" s="166">
        <v>0</v>
      </c>
      <c r="W2577" s="166">
        <v>0</v>
      </c>
      <c r="X2577" s="164">
        <f>($L2577*'Pivot Objective'!$C$9^3)*V2577*W2577</f>
        <v>0</v>
      </c>
      <c r="Y2577" s="166">
        <v>0</v>
      </c>
      <c r="Z2577" s="166">
        <v>0</v>
      </c>
      <c r="AA2577" s="164">
        <f>($L2577*'Pivot Objective'!$C$9^4)*Y2577*Z2577</f>
        <v>0</v>
      </c>
      <c r="AB2577" s="166">
        <v>0</v>
      </c>
      <c r="AC2577" s="166">
        <v>0</v>
      </c>
      <c r="AD2577" s="164">
        <f>($L2577*'Pivot Objective'!$C$9^5)*AB2577*AC2577</f>
        <v>0</v>
      </c>
      <c r="AE2577" s="166">
        <v>0</v>
      </c>
      <c r="AF2577" s="166">
        <v>0</v>
      </c>
      <c r="AG2577" s="164">
        <f>($L2577*'Pivot Objective'!$C$9^6)*AE2577*AF2577</f>
        <v>0</v>
      </c>
      <c r="AH2577" s="166">
        <v>0</v>
      </c>
      <c r="AI2577" s="166">
        <v>0</v>
      </c>
      <c r="AJ2577" s="164">
        <f>($L2577*'Pivot Objective'!$C$9^7)*AH2577*AI2577</f>
        <v>0</v>
      </c>
      <c r="AK2577" s="185">
        <f t="shared" si="284"/>
        <v>4300044.7678999994</v>
      </c>
      <c r="AL2577" s="186">
        <f t="shared" si="285"/>
        <v>4174.8007455339803</v>
      </c>
    </row>
    <row r="2578" spans="1:38" customFormat="1" ht="57.6" x14ac:dyDescent="0.3">
      <c r="A2578" s="140" t="s">
        <v>1489</v>
      </c>
      <c r="B2578" s="140">
        <v>4</v>
      </c>
      <c r="C2578" s="166" t="s">
        <v>697</v>
      </c>
      <c r="D2578" s="140" t="str">
        <f t="shared" si="280"/>
        <v>3</v>
      </c>
      <c r="E2578" s="166" t="s">
        <v>694</v>
      </c>
      <c r="F2578" s="140">
        <f t="shared" si="286"/>
        <v>1</v>
      </c>
      <c r="G2578" s="140" t="str">
        <f t="shared" si="281"/>
        <v>4.3.1</v>
      </c>
      <c r="H2578" s="166" t="s">
        <v>675</v>
      </c>
      <c r="I2578" s="166" t="s">
        <v>121</v>
      </c>
      <c r="J2578" s="166" t="s">
        <v>1406</v>
      </c>
      <c r="K2578" s="166" t="s">
        <v>712</v>
      </c>
      <c r="L2578" s="167">
        <v>211.42857142857142</v>
      </c>
      <c r="M2578" s="166">
        <v>1450</v>
      </c>
      <c r="N2578" s="166">
        <v>1</v>
      </c>
      <c r="O2578" s="164">
        <f t="shared" si="283"/>
        <v>306571.42857142858</v>
      </c>
      <c r="P2578" s="166">
        <v>20000</v>
      </c>
      <c r="Q2578" s="166">
        <v>1</v>
      </c>
      <c r="R2578" s="164">
        <f>$L2578*'Pivot Objective'!$C$9*P2578*Q2578</f>
        <v>4832923.495885714</v>
      </c>
      <c r="S2578" s="166">
        <v>0</v>
      </c>
      <c r="T2578" s="166">
        <v>0</v>
      </c>
      <c r="U2578" s="164">
        <f>($L2578*'Pivot Objective'!$C$9^2)*S2578*T2578</f>
        <v>0</v>
      </c>
      <c r="V2578" s="166">
        <v>0</v>
      </c>
      <c r="W2578" s="166">
        <v>0</v>
      </c>
      <c r="X2578" s="164">
        <f>($L2578*'Pivot Objective'!$C$9^3)*V2578*W2578</f>
        <v>0</v>
      </c>
      <c r="Y2578" s="166">
        <v>0</v>
      </c>
      <c r="Z2578" s="166">
        <v>0</v>
      </c>
      <c r="AA2578" s="164">
        <f>($L2578*'Pivot Objective'!$C$9^4)*Y2578*Z2578</f>
        <v>0</v>
      </c>
      <c r="AB2578" s="166">
        <v>0</v>
      </c>
      <c r="AC2578" s="166">
        <v>0</v>
      </c>
      <c r="AD2578" s="164">
        <f>($L2578*'Pivot Objective'!$C$9^5)*AB2578*AC2578</f>
        <v>0</v>
      </c>
      <c r="AE2578" s="166">
        <v>0</v>
      </c>
      <c r="AF2578" s="166">
        <v>0</v>
      </c>
      <c r="AG2578" s="164">
        <f>($L2578*'Pivot Objective'!$C$9^6)*AE2578*AF2578</f>
        <v>0</v>
      </c>
      <c r="AH2578" s="166">
        <v>0</v>
      </c>
      <c r="AI2578" s="166">
        <v>0</v>
      </c>
      <c r="AJ2578" s="164">
        <f>($L2578*'Pivot Objective'!$C$9^7)*AH2578*AI2578</f>
        <v>0</v>
      </c>
      <c r="AK2578" s="185">
        <f t="shared" si="284"/>
        <v>5139494.9244571421</v>
      </c>
      <c r="AL2578" s="186">
        <f t="shared" si="285"/>
        <v>4989.8008975312059</v>
      </c>
    </row>
    <row r="2579" spans="1:38" customFormat="1" ht="57.6" x14ac:dyDescent="0.3">
      <c r="A2579" s="140" t="s">
        <v>1489</v>
      </c>
      <c r="B2579" s="140">
        <v>4</v>
      </c>
      <c r="C2579" s="166" t="s">
        <v>697</v>
      </c>
      <c r="D2579" s="140" t="str">
        <f t="shared" si="280"/>
        <v>3</v>
      </c>
      <c r="E2579" s="166" t="s">
        <v>694</v>
      </c>
      <c r="F2579" s="140">
        <f t="shared" si="286"/>
        <v>1</v>
      </c>
      <c r="G2579" s="140" t="str">
        <f t="shared" si="281"/>
        <v>4.3.1</v>
      </c>
      <c r="H2579" s="166" t="s">
        <v>675</v>
      </c>
      <c r="I2579" s="166" t="s">
        <v>121</v>
      </c>
      <c r="J2579" s="166" t="s">
        <v>1406</v>
      </c>
      <c r="K2579" s="166" t="s">
        <v>1299</v>
      </c>
      <c r="L2579" s="167">
        <v>211.42857142857142</v>
      </c>
      <c r="M2579" s="166">
        <v>22500</v>
      </c>
      <c r="N2579" s="166">
        <v>1</v>
      </c>
      <c r="O2579" s="164">
        <f t="shared" si="283"/>
        <v>4757142.8571428573</v>
      </c>
      <c r="P2579" s="166"/>
      <c r="Q2579" s="166"/>
      <c r="R2579" s="164">
        <f>$L2579*'Pivot Objective'!$C$9*P2579*Q2579</f>
        <v>0</v>
      </c>
      <c r="S2579" s="166"/>
      <c r="T2579" s="166"/>
      <c r="U2579" s="164">
        <f>($L2579*'Pivot Objective'!$C$9^2)*S2579*T2579</f>
        <v>0</v>
      </c>
      <c r="V2579" s="166"/>
      <c r="W2579" s="166"/>
      <c r="X2579" s="164">
        <f>($L2579*'Pivot Objective'!$C$9^3)*V2579*W2579</f>
        <v>0</v>
      </c>
      <c r="Y2579" s="166"/>
      <c r="Z2579" s="166"/>
      <c r="AA2579" s="164">
        <f>($L2579*'Pivot Objective'!$C$9^4)*Y2579*Z2579</f>
        <v>0</v>
      </c>
      <c r="AB2579" s="166"/>
      <c r="AC2579" s="166"/>
      <c r="AD2579" s="164">
        <f>($L2579*'Pivot Objective'!$C$9^5)*AB2579*AC2579</f>
        <v>0</v>
      </c>
      <c r="AE2579" s="166"/>
      <c r="AF2579" s="166"/>
      <c r="AG2579" s="164">
        <f>($L2579*'Pivot Objective'!$C$9^6)*AE2579*AF2579</f>
        <v>0</v>
      </c>
      <c r="AH2579" s="166"/>
      <c r="AI2579" s="166"/>
      <c r="AJ2579" s="164">
        <f>($L2579*'Pivot Objective'!$C$9^7)*AH2579*AI2579</f>
        <v>0</v>
      </c>
      <c r="AK2579" s="185">
        <f t="shared" si="284"/>
        <v>4757142.8571428573</v>
      </c>
      <c r="AL2579" s="186">
        <f t="shared" si="285"/>
        <v>4618.5852981969492</v>
      </c>
    </row>
    <row r="2580" spans="1:38" customFormat="1" ht="57.6" x14ac:dyDescent="0.3">
      <c r="A2580" s="140" t="s">
        <v>1489</v>
      </c>
      <c r="B2580" s="140">
        <v>4</v>
      </c>
      <c r="C2580" s="166" t="s">
        <v>697</v>
      </c>
      <c r="D2580" s="140" t="str">
        <f t="shared" si="280"/>
        <v>3</v>
      </c>
      <c r="E2580" s="166" t="s">
        <v>694</v>
      </c>
      <c r="F2580" s="140">
        <f t="shared" si="286"/>
        <v>2</v>
      </c>
      <c r="G2580" s="140" t="str">
        <f t="shared" si="281"/>
        <v>4.3.2</v>
      </c>
      <c r="H2580" s="166" t="s">
        <v>676</v>
      </c>
      <c r="I2580" s="166" t="s">
        <v>122</v>
      </c>
      <c r="J2580" s="166" t="s">
        <v>577</v>
      </c>
      <c r="K2580" s="166" t="s">
        <v>718</v>
      </c>
      <c r="L2580" s="167">
        <v>0</v>
      </c>
      <c r="M2580" s="166">
        <v>0</v>
      </c>
      <c r="N2580" s="166">
        <v>0</v>
      </c>
      <c r="O2580" s="164">
        <f t="shared" si="283"/>
        <v>0</v>
      </c>
      <c r="P2580" s="166">
        <v>0</v>
      </c>
      <c r="Q2580" s="166">
        <v>0</v>
      </c>
      <c r="R2580" s="164">
        <f>$L2580*'Pivot Objective'!$C$9*P2580*Q2580</f>
        <v>0</v>
      </c>
      <c r="S2580" s="166">
        <v>0</v>
      </c>
      <c r="T2580" s="166">
        <v>0</v>
      </c>
      <c r="U2580" s="164">
        <f>($L2580*'Pivot Objective'!$C$9^2)*S2580*T2580</f>
        <v>0</v>
      </c>
      <c r="V2580" s="166">
        <v>0</v>
      </c>
      <c r="W2580" s="166">
        <v>0</v>
      </c>
      <c r="X2580" s="164">
        <f>($L2580*'Pivot Objective'!$C$9^3)*V2580*W2580</f>
        <v>0</v>
      </c>
      <c r="Y2580" s="166">
        <v>0</v>
      </c>
      <c r="Z2580" s="166">
        <v>0</v>
      </c>
      <c r="AA2580" s="164">
        <f>($L2580*'Pivot Objective'!$C$9^4)*Y2580*Z2580</f>
        <v>0</v>
      </c>
      <c r="AB2580" s="166">
        <v>0</v>
      </c>
      <c r="AC2580" s="166">
        <v>0</v>
      </c>
      <c r="AD2580" s="164">
        <f>($L2580*'Pivot Objective'!$C$9^5)*AB2580*AC2580</f>
        <v>0</v>
      </c>
      <c r="AE2580" s="166">
        <v>0</v>
      </c>
      <c r="AF2580" s="166">
        <v>0</v>
      </c>
      <c r="AG2580" s="164">
        <f>($L2580*'Pivot Objective'!$C$9^6)*AE2580*AF2580</f>
        <v>0</v>
      </c>
      <c r="AH2580" s="166">
        <v>0</v>
      </c>
      <c r="AI2580" s="166">
        <v>0</v>
      </c>
      <c r="AJ2580" s="164">
        <f>($L2580*'Pivot Objective'!$C$9^7)*AH2580*AI2580</f>
        <v>0</v>
      </c>
      <c r="AK2580" s="185">
        <f t="shared" si="284"/>
        <v>0</v>
      </c>
      <c r="AL2580" s="186">
        <f t="shared" si="285"/>
        <v>0</v>
      </c>
    </row>
    <row r="2581" spans="1:38" customFormat="1" ht="57.6" x14ac:dyDescent="0.3">
      <c r="A2581" s="140" t="s">
        <v>1489</v>
      </c>
      <c r="B2581" s="140">
        <v>4</v>
      </c>
      <c r="C2581" s="166" t="s">
        <v>697</v>
      </c>
      <c r="D2581" s="140" t="str">
        <f t="shared" si="280"/>
        <v>3</v>
      </c>
      <c r="E2581" s="166" t="s">
        <v>694</v>
      </c>
      <c r="F2581" s="140">
        <f t="shared" si="286"/>
        <v>2</v>
      </c>
      <c r="G2581" s="140" t="str">
        <f t="shared" si="281"/>
        <v>4.3.2</v>
      </c>
      <c r="H2581" s="166" t="s">
        <v>676</v>
      </c>
      <c r="I2581" s="166" t="s">
        <v>122</v>
      </c>
      <c r="J2581" s="166" t="s">
        <v>149</v>
      </c>
      <c r="K2581" s="166" t="s">
        <v>707</v>
      </c>
      <c r="L2581" s="167">
        <v>391991.03749999998</v>
      </c>
      <c r="M2581" s="166"/>
      <c r="N2581" s="166"/>
      <c r="O2581" s="164">
        <f t="shared" si="283"/>
        <v>0</v>
      </c>
      <c r="P2581" s="166">
        <v>0</v>
      </c>
      <c r="Q2581" s="166">
        <v>0</v>
      </c>
      <c r="R2581" s="164">
        <f>$L2581*'Pivot Objective'!$C$9*P2581*Q2581</f>
        <v>0</v>
      </c>
      <c r="S2581" s="166">
        <v>2</v>
      </c>
      <c r="T2581" s="166">
        <v>2</v>
      </c>
      <c r="U2581" s="164">
        <f>($L2581*'Pivot Objective'!$C$9^2)*S2581*T2581</f>
        <v>2048182.3883307995</v>
      </c>
      <c r="V2581" s="166">
        <v>0</v>
      </c>
      <c r="W2581" s="166">
        <v>0</v>
      </c>
      <c r="X2581" s="164">
        <f>($L2581*'Pivot Objective'!$C$9^3)*V2581*W2581</f>
        <v>0</v>
      </c>
      <c r="Y2581" s="166">
        <v>0</v>
      </c>
      <c r="Z2581" s="166">
        <v>0</v>
      </c>
      <c r="AA2581" s="164">
        <f>($L2581*'Pivot Objective'!$C$9^4)*Y2581*Z2581</f>
        <v>0</v>
      </c>
      <c r="AB2581" s="166">
        <v>0</v>
      </c>
      <c r="AC2581" s="166">
        <v>0</v>
      </c>
      <c r="AD2581" s="164">
        <f>($L2581*'Pivot Objective'!$C$9^5)*AB2581*AC2581</f>
        <v>0</v>
      </c>
      <c r="AE2581" s="166">
        <v>0</v>
      </c>
      <c r="AF2581" s="166">
        <v>0</v>
      </c>
      <c r="AG2581" s="164">
        <f>($L2581*'Pivot Objective'!$C$9^6)*AE2581*AF2581</f>
        <v>0</v>
      </c>
      <c r="AH2581" s="166">
        <v>2</v>
      </c>
      <c r="AI2581" s="166">
        <v>2</v>
      </c>
      <c r="AJ2581" s="164">
        <f>($L2581*'Pivot Objective'!$C$9^7)*AH2581*AI2581</f>
        <v>3994384.5595926056</v>
      </c>
      <c r="AK2581" s="185">
        <f t="shared" si="284"/>
        <v>6042566.9479234051</v>
      </c>
      <c r="AL2581" s="186">
        <f t="shared" si="285"/>
        <v>5866.5698523528208</v>
      </c>
    </row>
    <row r="2582" spans="1:38" customFormat="1" ht="57.6" x14ac:dyDescent="0.3">
      <c r="A2582" s="140" t="s">
        <v>1489</v>
      </c>
      <c r="B2582" s="140">
        <v>4</v>
      </c>
      <c r="C2582" s="166" t="s">
        <v>697</v>
      </c>
      <c r="D2582" s="140" t="str">
        <f t="shared" si="280"/>
        <v>3</v>
      </c>
      <c r="E2582" s="166" t="s">
        <v>694</v>
      </c>
      <c r="F2582" s="140">
        <f t="shared" si="286"/>
        <v>2</v>
      </c>
      <c r="G2582" s="140" t="str">
        <f t="shared" si="281"/>
        <v>4.3.2</v>
      </c>
      <c r="H2582" s="166" t="s">
        <v>676</v>
      </c>
      <c r="I2582" s="166" t="s">
        <v>122</v>
      </c>
      <c r="J2582" s="166" t="s">
        <v>149</v>
      </c>
      <c r="K2582" s="166" t="s">
        <v>708</v>
      </c>
      <c r="L2582" s="167">
        <v>511000</v>
      </c>
      <c r="M2582" s="166"/>
      <c r="N2582" s="166"/>
      <c r="O2582" s="164">
        <f t="shared" si="283"/>
        <v>0</v>
      </c>
      <c r="P2582" s="166">
        <v>0</v>
      </c>
      <c r="Q2582" s="166">
        <v>0</v>
      </c>
      <c r="R2582" s="164">
        <f>$L2582*'Pivot Objective'!$C$9*P2582*Q2582</f>
        <v>0</v>
      </c>
      <c r="S2582" s="166">
        <v>1</v>
      </c>
      <c r="T2582" s="166">
        <v>40</v>
      </c>
      <c r="U2582" s="164">
        <f>($L2582*'Pivot Objective'!$C$9^2)*S2582*T2582</f>
        <v>26700130.878299445</v>
      </c>
      <c r="V2582" s="166">
        <v>0</v>
      </c>
      <c r="W2582" s="166">
        <v>0</v>
      </c>
      <c r="X2582" s="164">
        <f>($L2582*'Pivot Objective'!$C$9^3)*V2582*W2582</f>
        <v>0</v>
      </c>
      <c r="Y2582" s="166">
        <v>0</v>
      </c>
      <c r="Z2582" s="166">
        <v>0</v>
      </c>
      <c r="AA2582" s="164">
        <f>($L2582*'Pivot Objective'!$C$9^4)*Y2582*Z2582</f>
        <v>0</v>
      </c>
      <c r="AB2582" s="166">
        <v>0</v>
      </c>
      <c r="AC2582" s="166">
        <v>0</v>
      </c>
      <c r="AD2582" s="164">
        <f>($L2582*'Pivot Objective'!$C$9^5)*AB2582*AC2582</f>
        <v>0</v>
      </c>
      <c r="AE2582" s="166">
        <v>0</v>
      </c>
      <c r="AF2582" s="166">
        <v>0</v>
      </c>
      <c r="AG2582" s="164">
        <f>($L2582*'Pivot Objective'!$C$9^6)*AE2582*AF2582</f>
        <v>0</v>
      </c>
      <c r="AH2582" s="166">
        <v>1</v>
      </c>
      <c r="AI2582" s="166">
        <v>40</v>
      </c>
      <c r="AJ2582" s="164">
        <f>($L2582*'Pivot Objective'!$C$9^7)*AH2582*AI2582</f>
        <v>52070846.388976984</v>
      </c>
      <c r="AK2582" s="185">
        <f t="shared" si="284"/>
        <v>78770977.267276436</v>
      </c>
      <c r="AL2582" s="186">
        <f t="shared" si="285"/>
        <v>76476.676958520809</v>
      </c>
    </row>
    <row r="2583" spans="1:38" customFormat="1" ht="57.6" x14ac:dyDescent="0.3">
      <c r="A2583" s="140" t="s">
        <v>1489</v>
      </c>
      <c r="B2583" s="140">
        <v>4</v>
      </c>
      <c r="C2583" s="166" t="s">
        <v>697</v>
      </c>
      <c r="D2583" s="140" t="str">
        <f t="shared" si="280"/>
        <v>3</v>
      </c>
      <c r="E2583" s="166" t="s">
        <v>694</v>
      </c>
      <c r="F2583" s="140">
        <f t="shared" si="286"/>
        <v>2</v>
      </c>
      <c r="G2583" s="140" t="str">
        <f t="shared" si="281"/>
        <v>4.3.2</v>
      </c>
      <c r="H2583" s="166" t="s">
        <v>676</v>
      </c>
      <c r="I2583" s="166" t="s">
        <v>122</v>
      </c>
      <c r="J2583" s="166" t="s">
        <v>578</v>
      </c>
      <c r="K2583" s="166" t="s">
        <v>718</v>
      </c>
      <c r="L2583" s="167">
        <v>0</v>
      </c>
      <c r="M2583" s="166"/>
      <c r="N2583" s="166"/>
      <c r="O2583" s="164">
        <f t="shared" si="283"/>
        <v>0</v>
      </c>
      <c r="P2583" s="166">
        <v>0</v>
      </c>
      <c r="Q2583" s="166">
        <v>0</v>
      </c>
      <c r="R2583" s="164">
        <f>$L2583*'Pivot Objective'!$C$9*P2583*Q2583</f>
        <v>0</v>
      </c>
      <c r="S2583" s="166"/>
      <c r="T2583" s="166"/>
      <c r="U2583" s="164">
        <f>($L2583*'Pivot Objective'!$C$9^2)*S2583*T2583</f>
        <v>0</v>
      </c>
      <c r="V2583" s="166">
        <v>0</v>
      </c>
      <c r="W2583" s="166">
        <v>0</v>
      </c>
      <c r="X2583" s="164">
        <f>($L2583*'Pivot Objective'!$C$9^3)*V2583*W2583</f>
        <v>0</v>
      </c>
      <c r="Y2583" s="166">
        <v>0</v>
      </c>
      <c r="Z2583" s="166">
        <v>0</v>
      </c>
      <c r="AA2583" s="164">
        <f>($L2583*'Pivot Objective'!$C$9^4)*Y2583*Z2583</f>
        <v>0</v>
      </c>
      <c r="AB2583" s="166">
        <v>0</v>
      </c>
      <c r="AC2583" s="166">
        <v>0</v>
      </c>
      <c r="AD2583" s="164">
        <f>($L2583*'Pivot Objective'!$C$9^5)*AB2583*AC2583</f>
        <v>0</v>
      </c>
      <c r="AE2583" s="166">
        <v>0</v>
      </c>
      <c r="AF2583" s="166">
        <v>0</v>
      </c>
      <c r="AG2583" s="164">
        <f>($L2583*'Pivot Objective'!$C$9^6)*AE2583*AF2583</f>
        <v>0</v>
      </c>
      <c r="AH2583" s="166"/>
      <c r="AI2583" s="166"/>
      <c r="AJ2583" s="164">
        <f>($L2583*'Pivot Objective'!$C$9^7)*AH2583*AI2583</f>
        <v>0</v>
      </c>
      <c r="AK2583" s="185">
        <f t="shared" si="284"/>
        <v>0</v>
      </c>
      <c r="AL2583" s="186">
        <f t="shared" si="285"/>
        <v>0</v>
      </c>
    </row>
    <row r="2584" spans="1:38" customFormat="1" ht="57.6" x14ac:dyDescent="0.3">
      <c r="A2584" s="140" t="s">
        <v>1489</v>
      </c>
      <c r="B2584" s="140">
        <v>4</v>
      </c>
      <c r="C2584" s="166" t="s">
        <v>697</v>
      </c>
      <c r="D2584" s="140" t="str">
        <f t="shared" si="280"/>
        <v>3</v>
      </c>
      <c r="E2584" s="166" t="s">
        <v>694</v>
      </c>
      <c r="F2584" s="140">
        <f t="shared" si="286"/>
        <v>2</v>
      </c>
      <c r="G2584" s="140" t="str">
        <f t="shared" si="281"/>
        <v>4.3.2</v>
      </c>
      <c r="H2584" s="166" t="s">
        <v>676</v>
      </c>
      <c r="I2584" s="166" t="s">
        <v>122</v>
      </c>
      <c r="J2584" s="166" t="s">
        <v>179</v>
      </c>
      <c r="K2584" s="166" t="s">
        <v>713</v>
      </c>
      <c r="L2584" s="167">
        <v>45000</v>
      </c>
      <c r="M2584" s="166">
        <v>25</v>
      </c>
      <c r="N2584" s="166">
        <v>6</v>
      </c>
      <c r="O2584" s="164">
        <f t="shared" si="283"/>
        <v>6750000</v>
      </c>
      <c r="P2584" s="166">
        <v>0</v>
      </c>
      <c r="Q2584" s="166">
        <v>0</v>
      </c>
      <c r="R2584" s="164">
        <f>$L2584*'Pivot Objective'!$C$9*P2584*Q2584</f>
        <v>0</v>
      </c>
      <c r="S2584" s="166">
        <v>25</v>
      </c>
      <c r="T2584" s="166">
        <v>6</v>
      </c>
      <c r="U2584" s="164">
        <f>($L2584*'Pivot Objective'!$C$9^2)*S2584*T2584</f>
        <v>8817313.2792818621</v>
      </c>
      <c r="V2584" s="166">
        <v>0</v>
      </c>
      <c r="W2584" s="166">
        <v>0</v>
      </c>
      <c r="X2584" s="164">
        <f>($L2584*'Pivot Objective'!$C$9^3)*V2584*W2584</f>
        <v>0</v>
      </c>
      <c r="Y2584" s="166">
        <v>0</v>
      </c>
      <c r="Z2584" s="166">
        <v>0</v>
      </c>
      <c r="AA2584" s="164">
        <f>($L2584*'Pivot Objective'!$C$9^4)*Y2584*Z2584</f>
        <v>0</v>
      </c>
      <c r="AB2584" s="166">
        <v>0</v>
      </c>
      <c r="AC2584" s="166">
        <v>0</v>
      </c>
      <c r="AD2584" s="164">
        <f>($L2584*'Pivot Objective'!$C$9^5)*AB2584*AC2584</f>
        <v>0</v>
      </c>
      <c r="AE2584" s="166">
        <v>0</v>
      </c>
      <c r="AF2584" s="166">
        <v>0</v>
      </c>
      <c r="AG2584" s="164">
        <f>($L2584*'Pivot Objective'!$C$9^6)*AE2584*AF2584</f>
        <v>0</v>
      </c>
      <c r="AH2584" s="166">
        <v>25</v>
      </c>
      <c r="AI2584" s="166">
        <v>6</v>
      </c>
      <c r="AJ2584" s="164">
        <f>($L2584*'Pivot Objective'!$C$9^7)*AH2584*AI2584</f>
        <v>17195607.295772731</v>
      </c>
      <c r="AK2584" s="185">
        <f t="shared" si="284"/>
        <v>32762920.575054593</v>
      </c>
      <c r="AL2584" s="186">
        <f t="shared" si="285"/>
        <v>31808.660752480188</v>
      </c>
    </row>
    <row r="2585" spans="1:38" customFormat="1" ht="57.6" x14ac:dyDescent="0.3">
      <c r="A2585" s="140" t="s">
        <v>1489</v>
      </c>
      <c r="B2585" s="140">
        <v>4</v>
      </c>
      <c r="C2585" s="166" t="s">
        <v>697</v>
      </c>
      <c r="D2585" s="140" t="str">
        <f t="shared" si="280"/>
        <v>3</v>
      </c>
      <c r="E2585" s="166" t="s">
        <v>694</v>
      </c>
      <c r="F2585" s="140">
        <f t="shared" si="286"/>
        <v>2</v>
      </c>
      <c r="G2585" s="140" t="str">
        <f t="shared" si="281"/>
        <v>4.3.2</v>
      </c>
      <c r="H2585" s="166" t="s">
        <v>676</v>
      </c>
      <c r="I2585" s="166" t="s">
        <v>122</v>
      </c>
      <c r="J2585" s="166" t="s">
        <v>179</v>
      </c>
      <c r="K2585" s="166" t="s">
        <v>712</v>
      </c>
      <c r="L2585" s="167">
        <v>211.42857142857142</v>
      </c>
      <c r="M2585" s="166">
        <v>450</v>
      </c>
      <c r="N2585" s="166">
        <v>5</v>
      </c>
      <c r="O2585" s="164">
        <f t="shared" si="283"/>
        <v>475714.28571428568</v>
      </c>
      <c r="P2585" s="166"/>
      <c r="Q2585" s="166"/>
      <c r="R2585" s="164">
        <f>$L2585*'Pivot Objective'!$C$9*P2585*Q2585</f>
        <v>0</v>
      </c>
      <c r="S2585" s="166">
        <v>450</v>
      </c>
      <c r="T2585" s="166">
        <v>5</v>
      </c>
      <c r="U2585" s="164">
        <f>($L2585*'Pivot Objective'!$C$9^2)*S2585*T2585</f>
        <v>621410.65015891218</v>
      </c>
      <c r="V2585" s="166"/>
      <c r="W2585" s="166"/>
      <c r="X2585" s="164">
        <f>($L2585*'Pivot Objective'!$C$9^3)*V2585*W2585</f>
        <v>0</v>
      </c>
      <c r="Y2585" s="166"/>
      <c r="Z2585" s="166"/>
      <c r="AA2585" s="164">
        <f>($L2585*'Pivot Objective'!$C$9^4)*Y2585*Z2585</f>
        <v>0</v>
      </c>
      <c r="AB2585" s="166"/>
      <c r="AC2585" s="166"/>
      <c r="AD2585" s="164">
        <f>($L2585*'Pivot Objective'!$C$9^5)*AB2585*AC2585</f>
        <v>0</v>
      </c>
      <c r="AE2585" s="166"/>
      <c r="AF2585" s="166"/>
      <c r="AG2585" s="164">
        <f>($L2585*'Pivot Objective'!$C$9^6)*AE2585*AF2585</f>
        <v>0</v>
      </c>
      <c r="AH2585" s="166">
        <v>450</v>
      </c>
      <c r="AI2585" s="166">
        <v>5</v>
      </c>
      <c r="AJ2585" s="164">
        <f>($L2585*'Pivot Objective'!$C$9^7)*AH2585*AI2585</f>
        <v>1211880.8951306494</v>
      </c>
      <c r="AK2585" s="185">
        <f t="shared" si="284"/>
        <v>2309005.8310038475</v>
      </c>
      <c r="AL2585" s="186">
        <f t="shared" si="285"/>
        <v>2241.7532339843178</v>
      </c>
    </row>
    <row r="2586" spans="1:38" customFormat="1" ht="57.6" x14ac:dyDescent="0.3">
      <c r="A2586" s="140" t="s">
        <v>1489</v>
      </c>
      <c r="B2586" s="140">
        <v>4</v>
      </c>
      <c r="C2586" s="166" t="s">
        <v>697</v>
      </c>
      <c r="D2586" s="140" t="str">
        <f t="shared" si="280"/>
        <v>3</v>
      </c>
      <c r="E2586" s="166" t="s">
        <v>694</v>
      </c>
      <c r="F2586" s="140">
        <f t="shared" si="286"/>
        <v>2</v>
      </c>
      <c r="G2586" s="140" t="str">
        <f t="shared" si="281"/>
        <v>4.3.2</v>
      </c>
      <c r="H2586" s="166" t="s">
        <v>676</v>
      </c>
      <c r="I2586" s="166" t="s">
        <v>122</v>
      </c>
      <c r="J2586" s="166" t="s">
        <v>179</v>
      </c>
      <c r="K2586" s="166" t="s">
        <v>1299</v>
      </c>
      <c r="L2586" s="167">
        <v>211.42857142857142</v>
      </c>
      <c r="M2586" s="166">
        <v>2430</v>
      </c>
      <c r="N2586" s="166">
        <v>1</v>
      </c>
      <c r="O2586" s="164">
        <f t="shared" si="283"/>
        <v>513771.42857142852</v>
      </c>
      <c r="P2586" s="166"/>
      <c r="Q2586" s="166"/>
      <c r="R2586" s="164">
        <f>$L2586*'Pivot Objective'!$C$9*P2586*Q2586</f>
        <v>0</v>
      </c>
      <c r="S2586" s="166">
        <v>2430</v>
      </c>
      <c r="T2586" s="166">
        <v>1</v>
      </c>
      <c r="U2586" s="164">
        <f>($L2586*'Pivot Objective'!$C$9^2)*S2586*T2586</f>
        <v>671123.50217162515</v>
      </c>
      <c r="V2586" s="166"/>
      <c r="W2586" s="166"/>
      <c r="X2586" s="164">
        <f>($L2586*'Pivot Objective'!$C$9^3)*V2586*W2586</f>
        <v>0</v>
      </c>
      <c r="Y2586" s="166"/>
      <c r="Z2586" s="166"/>
      <c r="AA2586" s="164">
        <f>($L2586*'Pivot Objective'!$C$9^4)*Y2586*Z2586</f>
        <v>0</v>
      </c>
      <c r="AB2586" s="166"/>
      <c r="AC2586" s="166"/>
      <c r="AD2586" s="164">
        <f>($L2586*'Pivot Objective'!$C$9^5)*AB2586*AC2586</f>
        <v>0</v>
      </c>
      <c r="AE2586" s="166"/>
      <c r="AF2586" s="166"/>
      <c r="AG2586" s="164">
        <f>($L2586*'Pivot Objective'!$C$9^6)*AE2586*AF2586</f>
        <v>0</v>
      </c>
      <c r="AH2586" s="166">
        <v>2430</v>
      </c>
      <c r="AI2586" s="166">
        <v>1</v>
      </c>
      <c r="AJ2586" s="164">
        <f>($L2586*'Pivot Objective'!$C$9^7)*AH2586*AI2586</f>
        <v>1308831.3667411015</v>
      </c>
      <c r="AK2586" s="185">
        <f t="shared" si="284"/>
        <v>2493726.2974841548</v>
      </c>
      <c r="AL2586" s="186">
        <f t="shared" si="285"/>
        <v>2421.093492703063</v>
      </c>
    </row>
    <row r="2587" spans="1:38" customFormat="1" ht="57.6" x14ac:dyDescent="0.3">
      <c r="A2587" s="140" t="s">
        <v>1489</v>
      </c>
      <c r="B2587" s="140">
        <v>4</v>
      </c>
      <c r="C2587" s="166" t="s">
        <v>697</v>
      </c>
      <c r="D2587" s="140" t="str">
        <f t="shared" si="280"/>
        <v>3</v>
      </c>
      <c r="E2587" s="166" t="s">
        <v>694</v>
      </c>
      <c r="F2587" s="140">
        <f t="shared" si="286"/>
        <v>2</v>
      </c>
      <c r="G2587" s="140" t="str">
        <f t="shared" si="281"/>
        <v>4.3.2</v>
      </c>
      <c r="H2587" s="166" t="s">
        <v>676</v>
      </c>
      <c r="I2587" s="166" t="s">
        <v>122</v>
      </c>
      <c r="J2587" s="166" t="s">
        <v>179</v>
      </c>
      <c r="K2587" s="166" t="s">
        <v>714</v>
      </c>
      <c r="L2587" s="167">
        <v>10000</v>
      </c>
      <c r="M2587" s="166">
        <v>25</v>
      </c>
      <c r="N2587" s="166">
        <v>5</v>
      </c>
      <c r="O2587" s="164">
        <f t="shared" si="283"/>
        <v>1250000</v>
      </c>
      <c r="P2587" s="166">
        <v>0</v>
      </c>
      <c r="Q2587" s="166">
        <v>0</v>
      </c>
      <c r="R2587" s="164">
        <f>$L2587*'Pivot Objective'!$C$9*P2587*Q2587</f>
        <v>0</v>
      </c>
      <c r="S2587" s="166">
        <v>25</v>
      </c>
      <c r="T2587" s="166">
        <v>5</v>
      </c>
      <c r="U2587" s="164">
        <f>($L2587*'Pivot Objective'!$C$9^2)*S2587*T2587</f>
        <v>1632835.7924596043</v>
      </c>
      <c r="V2587" s="166">
        <v>0</v>
      </c>
      <c r="W2587" s="166">
        <v>0</v>
      </c>
      <c r="X2587" s="164">
        <f>($L2587*'Pivot Objective'!$C$9^3)*V2587*W2587</f>
        <v>0</v>
      </c>
      <c r="Y2587" s="166">
        <v>0</v>
      </c>
      <c r="Z2587" s="166">
        <v>0</v>
      </c>
      <c r="AA2587" s="164">
        <f>($L2587*'Pivot Objective'!$C$9^4)*Y2587*Z2587</f>
        <v>0</v>
      </c>
      <c r="AB2587" s="166">
        <v>0</v>
      </c>
      <c r="AC2587" s="166">
        <v>0</v>
      </c>
      <c r="AD2587" s="164">
        <f>($L2587*'Pivot Objective'!$C$9^5)*AB2587*AC2587</f>
        <v>0</v>
      </c>
      <c r="AE2587" s="166">
        <v>0</v>
      </c>
      <c r="AF2587" s="166">
        <v>0</v>
      </c>
      <c r="AG2587" s="164">
        <f>($L2587*'Pivot Objective'!$C$9^6)*AE2587*AF2587</f>
        <v>0</v>
      </c>
      <c r="AH2587" s="166">
        <v>25</v>
      </c>
      <c r="AI2587" s="166">
        <v>5</v>
      </c>
      <c r="AJ2587" s="164">
        <f>($L2587*'Pivot Objective'!$C$9^7)*AH2587*AI2587</f>
        <v>3184371.7214393946</v>
      </c>
      <c r="AK2587" s="185">
        <f t="shared" si="284"/>
        <v>6067207.5138989985</v>
      </c>
      <c r="AL2587" s="186">
        <f t="shared" si="285"/>
        <v>5890.4927319407752</v>
      </c>
    </row>
    <row r="2588" spans="1:38" customFormat="1" ht="57.6" x14ac:dyDescent="0.3">
      <c r="A2588" s="140" t="s">
        <v>1489</v>
      </c>
      <c r="B2588" s="140">
        <v>4</v>
      </c>
      <c r="C2588" s="166" t="s">
        <v>697</v>
      </c>
      <c r="D2588" s="140" t="str">
        <f t="shared" si="280"/>
        <v>3</v>
      </c>
      <c r="E2588" s="166" t="s">
        <v>694</v>
      </c>
      <c r="F2588" s="140">
        <f t="shared" si="286"/>
        <v>2</v>
      </c>
      <c r="G2588" s="140" t="str">
        <f t="shared" si="281"/>
        <v>4.3.2</v>
      </c>
      <c r="H2588" s="166" t="s">
        <v>676</v>
      </c>
      <c r="I2588" s="166" t="s">
        <v>122</v>
      </c>
      <c r="J2588" s="166" t="s">
        <v>179</v>
      </c>
      <c r="K2588" s="166" t="s">
        <v>712</v>
      </c>
      <c r="L2588" s="167">
        <v>214.29</v>
      </c>
      <c r="M2588" s="166">
        <v>20000</v>
      </c>
      <c r="N2588" s="166">
        <v>1</v>
      </c>
      <c r="O2588" s="164">
        <f t="shared" si="283"/>
        <v>4285800</v>
      </c>
      <c r="P2588" s="166">
        <v>0</v>
      </c>
      <c r="Q2588" s="166">
        <v>0</v>
      </c>
      <c r="R2588" s="164">
        <f>$L2588*'Pivot Objective'!$C$9*P2588*Q2588</f>
        <v>0</v>
      </c>
      <c r="S2588" s="166">
        <v>20000</v>
      </c>
      <c r="T2588" s="166">
        <v>1</v>
      </c>
      <c r="U2588" s="164">
        <f>($L2588*'Pivot Objective'!$C$9^2)*S2588*T2588</f>
        <v>5598406.1114586964</v>
      </c>
      <c r="V2588" s="166">
        <v>0</v>
      </c>
      <c r="W2588" s="166">
        <v>0</v>
      </c>
      <c r="X2588" s="164">
        <f>($L2588*'Pivot Objective'!$C$9^3)*V2588*W2588</f>
        <v>0</v>
      </c>
      <c r="Y2588" s="166">
        <v>0</v>
      </c>
      <c r="Z2588" s="166">
        <v>0</v>
      </c>
      <c r="AA2588" s="164">
        <f>($L2588*'Pivot Objective'!$C$9^4)*Y2588*Z2588</f>
        <v>0</v>
      </c>
      <c r="AB2588" s="166">
        <v>0</v>
      </c>
      <c r="AC2588" s="166">
        <v>0</v>
      </c>
      <c r="AD2588" s="164">
        <f>($L2588*'Pivot Objective'!$C$9^5)*AB2588*AC2588</f>
        <v>0</v>
      </c>
      <c r="AE2588" s="166">
        <v>0</v>
      </c>
      <c r="AF2588" s="166">
        <v>0</v>
      </c>
      <c r="AG2588" s="164">
        <f>($L2588*'Pivot Objective'!$C$9^6)*AE2588*AF2588</f>
        <v>0</v>
      </c>
      <c r="AH2588" s="166">
        <v>20000</v>
      </c>
      <c r="AI2588" s="166">
        <v>1</v>
      </c>
      <c r="AJ2588" s="164">
        <f>($L2588*'Pivot Objective'!$C$9^7)*AH2588*AI2588</f>
        <v>10918064.258995967</v>
      </c>
      <c r="AK2588" s="185">
        <f t="shared" si="284"/>
        <v>20802270.370454662</v>
      </c>
      <c r="AL2588" s="186">
        <f t="shared" si="285"/>
        <v>20196.379000441419</v>
      </c>
    </row>
    <row r="2589" spans="1:38" customFormat="1" ht="57.6" x14ac:dyDescent="0.3">
      <c r="A2589" s="140" t="s">
        <v>1489</v>
      </c>
      <c r="B2589" s="140">
        <v>4</v>
      </c>
      <c r="C2589" s="166" t="s">
        <v>697</v>
      </c>
      <c r="D2589" s="140" t="str">
        <f t="shared" si="280"/>
        <v>3</v>
      </c>
      <c r="E2589" s="166" t="s">
        <v>694</v>
      </c>
      <c r="F2589" s="140">
        <f t="shared" si="286"/>
        <v>2</v>
      </c>
      <c r="G2589" s="140" t="str">
        <f t="shared" si="281"/>
        <v>4.3.2</v>
      </c>
      <c r="H2589" s="166" t="s">
        <v>676</v>
      </c>
      <c r="I2589" s="166" t="s">
        <v>122</v>
      </c>
      <c r="J2589" s="166" t="s">
        <v>179</v>
      </c>
      <c r="K2589" s="166" t="s">
        <v>715</v>
      </c>
      <c r="L2589" s="167">
        <v>302000</v>
      </c>
      <c r="M2589" s="166">
        <v>25</v>
      </c>
      <c r="N2589" s="166">
        <v>1</v>
      </c>
      <c r="O2589" s="164">
        <f t="shared" si="283"/>
        <v>7550000</v>
      </c>
      <c r="P2589" s="166">
        <v>0</v>
      </c>
      <c r="Q2589" s="166">
        <v>0</v>
      </c>
      <c r="R2589" s="164">
        <f>$L2589*'Pivot Objective'!$C$9*P2589*Q2589</f>
        <v>0</v>
      </c>
      <c r="S2589" s="166">
        <v>25</v>
      </c>
      <c r="T2589" s="166">
        <v>1</v>
      </c>
      <c r="U2589" s="164">
        <f>($L2589*'Pivot Objective'!$C$9^2)*S2589*T2589</f>
        <v>9862328.1864560079</v>
      </c>
      <c r="V2589" s="166">
        <v>0</v>
      </c>
      <c r="W2589" s="166">
        <v>0</v>
      </c>
      <c r="X2589" s="164">
        <f>($L2589*'Pivot Objective'!$C$9^3)*V2589*W2589</f>
        <v>0</v>
      </c>
      <c r="Y2589" s="166">
        <v>0</v>
      </c>
      <c r="Z2589" s="166">
        <v>0</v>
      </c>
      <c r="AA2589" s="164">
        <f>($L2589*'Pivot Objective'!$C$9^4)*Y2589*Z2589</f>
        <v>0</v>
      </c>
      <c r="AB2589" s="166">
        <v>0</v>
      </c>
      <c r="AC2589" s="166">
        <v>0</v>
      </c>
      <c r="AD2589" s="164">
        <f>($L2589*'Pivot Objective'!$C$9^5)*AB2589*AC2589</f>
        <v>0</v>
      </c>
      <c r="AE2589" s="166">
        <v>0</v>
      </c>
      <c r="AF2589" s="166">
        <v>0</v>
      </c>
      <c r="AG2589" s="164">
        <f>($L2589*'Pivot Objective'!$C$9^6)*AE2589*AF2589</f>
        <v>0</v>
      </c>
      <c r="AH2589" s="166">
        <v>25</v>
      </c>
      <c r="AI2589" s="166">
        <v>1</v>
      </c>
      <c r="AJ2589" s="164">
        <f>($L2589*'Pivot Objective'!$C$9^7)*AH2589*AI2589</f>
        <v>19233605.197493944</v>
      </c>
      <c r="AK2589" s="185">
        <f t="shared" si="284"/>
        <v>36645933.38394995</v>
      </c>
      <c r="AL2589" s="186">
        <f t="shared" si="285"/>
        <v>35578.576100922284</v>
      </c>
    </row>
    <row r="2590" spans="1:38" customFormat="1" ht="57.6" x14ac:dyDescent="0.3">
      <c r="A2590" s="140" t="s">
        <v>1489</v>
      </c>
      <c r="B2590" s="140">
        <v>4</v>
      </c>
      <c r="C2590" s="166" t="s">
        <v>697</v>
      </c>
      <c r="D2590" s="140" t="str">
        <f t="shared" si="280"/>
        <v>3</v>
      </c>
      <c r="E2590" s="166" t="s">
        <v>694</v>
      </c>
      <c r="F2590" s="140">
        <f t="shared" si="286"/>
        <v>2</v>
      </c>
      <c r="G2590" s="140" t="str">
        <f t="shared" si="281"/>
        <v>4.3.2</v>
      </c>
      <c r="H2590" s="166" t="s">
        <v>676</v>
      </c>
      <c r="I2590" s="166" t="s">
        <v>122</v>
      </c>
      <c r="J2590" s="166" t="s">
        <v>152</v>
      </c>
      <c r="K2590" s="166" t="s">
        <v>716</v>
      </c>
      <c r="L2590" s="167">
        <v>39000</v>
      </c>
      <c r="M2590" s="166">
        <v>25</v>
      </c>
      <c r="N2590" s="166">
        <v>6</v>
      </c>
      <c r="O2590" s="164">
        <f t="shared" si="283"/>
        <v>5850000</v>
      </c>
      <c r="P2590" s="166">
        <v>0</v>
      </c>
      <c r="Q2590" s="166">
        <v>0</v>
      </c>
      <c r="R2590" s="164">
        <f>$L2590*'Pivot Objective'!$C$9*P2590*Q2590</f>
        <v>0</v>
      </c>
      <c r="S2590" s="166">
        <v>25</v>
      </c>
      <c r="T2590" s="166">
        <v>6</v>
      </c>
      <c r="U2590" s="164">
        <f>($L2590*'Pivot Objective'!$C$9^2)*S2590*T2590</f>
        <v>7641671.5087109469</v>
      </c>
      <c r="V2590" s="166">
        <v>0</v>
      </c>
      <c r="W2590" s="166">
        <v>0</v>
      </c>
      <c r="X2590" s="164">
        <f>($L2590*'Pivot Objective'!$C$9^3)*V2590*W2590</f>
        <v>0</v>
      </c>
      <c r="Y2590" s="166">
        <v>0</v>
      </c>
      <c r="Z2590" s="166">
        <v>0</v>
      </c>
      <c r="AA2590" s="164">
        <f>($L2590*'Pivot Objective'!$C$9^4)*Y2590*Z2590</f>
        <v>0</v>
      </c>
      <c r="AB2590" s="166">
        <v>0</v>
      </c>
      <c r="AC2590" s="166">
        <v>0</v>
      </c>
      <c r="AD2590" s="164">
        <f>($L2590*'Pivot Objective'!$C$9^5)*AB2590*AC2590</f>
        <v>0</v>
      </c>
      <c r="AE2590" s="166">
        <v>0</v>
      </c>
      <c r="AF2590" s="166">
        <v>0</v>
      </c>
      <c r="AG2590" s="164">
        <f>($L2590*'Pivot Objective'!$C$9^6)*AE2590*AF2590</f>
        <v>0</v>
      </c>
      <c r="AH2590" s="166">
        <v>25</v>
      </c>
      <c r="AI2590" s="166">
        <v>6</v>
      </c>
      <c r="AJ2590" s="164">
        <f>($L2590*'Pivot Objective'!$C$9^7)*AH2590*AI2590</f>
        <v>14902859.656336365</v>
      </c>
      <c r="AK2590" s="185">
        <f t="shared" si="284"/>
        <v>28394531.16504731</v>
      </c>
      <c r="AL2590" s="186">
        <f t="shared" si="285"/>
        <v>27567.505985482825</v>
      </c>
    </row>
    <row r="2591" spans="1:38" customFormat="1" ht="57.6" x14ac:dyDescent="0.3">
      <c r="A2591" s="140" t="s">
        <v>1489</v>
      </c>
      <c r="B2591" s="140">
        <v>4</v>
      </c>
      <c r="C2591" s="166" t="s">
        <v>697</v>
      </c>
      <c r="D2591" s="140" t="str">
        <f t="shared" si="280"/>
        <v>3</v>
      </c>
      <c r="E2591" s="166" t="s">
        <v>694</v>
      </c>
      <c r="F2591" s="140">
        <f t="shared" si="286"/>
        <v>2</v>
      </c>
      <c r="G2591" s="140" t="str">
        <f t="shared" si="281"/>
        <v>4.3.2</v>
      </c>
      <c r="H2591" s="166" t="s">
        <v>676</v>
      </c>
      <c r="I2591" s="166" t="s">
        <v>122</v>
      </c>
      <c r="J2591" s="166" t="s">
        <v>152</v>
      </c>
      <c r="K2591" s="166" t="s">
        <v>709</v>
      </c>
      <c r="L2591" s="167">
        <v>35000</v>
      </c>
      <c r="M2591" s="166">
        <v>25</v>
      </c>
      <c r="N2591" s="166">
        <v>5</v>
      </c>
      <c r="O2591" s="164">
        <f t="shared" si="283"/>
        <v>4375000</v>
      </c>
      <c r="P2591" s="166">
        <v>0</v>
      </c>
      <c r="Q2591" s="166">
        <v>0</v>
      </c>
      <c r="R2591" s="164">
        <f>$L2591*'Pivot Objective'!$C$9*P2591*Q2591</f>
        <v>0</v>
      </c>
      <c r="S2591" s="166">
        <v>25</v>
      </c>
      <c r="T2591" s="166">
        <v>5</v>
      </c>
      <c r="U2591" s="164">
        <f>($L2591*'Pivot Objective'!$C$9^2)*S2591*T2591</f>
        <v>5714925.2736086138</v>
      </c>
      <c r="V2591" s="166">
        <v>0</v>
      </c>
      <c r="W2591" s="166">
        <v>0</v>
      </c>
      <c r="X2591" s="164">
        <f>($L2591*'Pivot Objective'!$C$9^3)*V2591*W2591</f>
        <v>0</v>
      </c>
      <c r="Y2591" s="166">
        <v>0</v>
      </c>
      <c r="Z2591" s="166">
        <v>0</v>
      </c>
      <c r="AA2591" s="164">
        <f>($L2591*'Pivot Objective'!$C$9^4)*Y2591*Z2591</f>
        <v>0</v>
      </c>
      <c r="AB2591" s="166">
        <v>0</v>
      </c>
      <c r="AC2591" s="166">
        <v>0</v>
      </c>
      <c r="AD2591" s="164">
        <f>($L2591*'Pivot Objective'!$C$9^5)*AB2591*AC2591</f>
        <v>0</v>
      </c>
      <c r="AE2591" s="166">
        <v>0</v>
      </c>
      <c r="AF2591" s="166">
        <v>0</v>
      </c>
      <c r="AG2591" s="164">
        <f>($L2591*'Pivot Objective'!$C$9^6)*AE2591*AF2591</f>
        <v>0</v>
      </c>
      <c r="AH2591" s="166">
        <v>25</v>
      </c>
      <c r="AI2591" s="166">
        <v>5</v>
      </c>
      <c r="AJ2591" s="164">
        <f>($L2591*'Pivot Objective'!$C$9^7)*AH2591*AI2591</f>
        <v>11145301.025037881</v>
      </c>
      <c r="AK2591" s="185">
        <f t="shared" si="284"/>
        <v>21235226.298646495</v>
      </c>
      <c r="AL2591" s="186">
        <f t="shared" si="285"/>
        <v>20616.724561792715</v>
      </c>
    </row>
    <row r="2592" spans="1:38" customFormat="1" ht="57.6" x14ac:dyDescent="0.3">
      <c r="A2592" s="140" t="s">
        <v>1489</v>
      </c>
      <c r="B2592" s="140">
        <v>4</v>
      </c>
      <c r="C2592" s="166" t="s">
        <v>697</v>
      </c>
      <c r="D2592" s="140" t="str">
        <f t="shared" si="280"/>
        <v>3</v>
      </c>
      <c r="E2592" s="166" t="s">
        <v>694</v>
      </c>
      <c r="F2592" s="140">
        <f t="shared" si="286"/>
        <v>2</v>
      </c>
      <c r="G2592" s="140" t="str">
        <f t="shared" si="281"/>
        <v>4.3.2</v>
      </c>
      <c r="H2592" s="166" t="s">
        <v>676</v>
      </c>
      <c r="I2592" s="166" t="s">
        <v>122</v>
      </c>
      <c r="J2592" s="166" t="s">
        <v>152</v>
      </c>
      <c r="K2592" s="166" t="s">
        <v>712</v>
      </c>
      <c r="L2592" s="167">
        <v>211.42857142857142</v>
      </c>
      <c r="M2592" s="166">
        <v>450</v>
      </c>
      <c r="N2592" s="166">
        <v>5</v>
      </c>
      <c r="O2592" s="164">
        <f t="shared" si="283"/>
        <v>475714.28571428568</v>
      </c>
      <c r="P2592" s="166">
        <v>0</v>
      </c>
      <c r="Q2592" s="166">
        <v>0</v>
      </c>
      <c r="R2592" s="164">
        <f>$L2592*'Pivot Objective'!$C$9*P2592*Q2592</f>
        <v>0</v>
      </c>
      <c r="S2592" s="166">
        <v>450</v>
      </c>
      <c r="T2592" s="166">
        <v>5</v>
      </c>
      <c r="U2592" s="164">
        <f>($L2592*'Pivot Objective'!$C$9^2)*S2592*T2592</f>
        <v>621410.65015891218</v>
      </c>
      <c r="V2592" s="166">
        <v>0</v>
      </c>
      <c r="W2592" s="166">
        <v>0</v>
      </c>
      <c r="X2592" s="164">
        <f>($L2592*'Pivot Objective'!$C$9^3)*V2592*W2592</f>
        <v>0</v>
      </c>
      <c r="Y2592" s="166">
        <v>0</v>
      </c>
      <c r="Z2592" s="166">
        <v>0</v>
      </c>
      <c r="AA2592" s="164">
        <f>($L2592*'Pivot Objective'!$C$9^4)*Y2592*Z2592</f>
        <v>0</v>
      </c>
      <c r="AB2592" s="166">
        <v>0</v>
      </c>
      <c r="AC2592" s="166">
        <v>0</v>
      </c>
      <c r="AD2592" s="164">
        <f>($L2592*'Pivot Objective'!$C$9^5)*AB2592*AC2592</f>
        <v>0</v>
      </c>
      <c r="AE2592" s="166">
        <v>0</v>
      </c>
      <c r="AF2592" s="166">
        <v>0</v>
      </c>
      <c r="AG2592" s="164">
        <f>($L2592*'Pivot Objective'!$C$9^6)*AE2592*AF2592</f>
        <v>0</v>
      </c>
      <c r="AH2592" s="166">
        <v>450</v>
      </c>
      <c r="AI2592" s="166">
        <v>5</v>
      </c>
      <c r="AJ2592" s="164">
        <f>($L2592*'Pivot Objective'!$C$9^7)*AH2592*AI2592</f>
        <v>1211880.8951306494</v>
      </c>
      <c r="AK2592" s="185">
        <f t="shared" si="284"/>
        <v>2309005.8310038475</v>
      </c>
      <c r="AL2592" s="186">
        <f t="shared" si="285"/>
        <v>2241.7532339843178</v>
      </c>
    </row>
    <row r="2593" spans="1:38" customFormat="1" ht="57.6" x14ac:dyDescent="0.3">
      <c r="A2593" s="140" t="s">
        <v>1489</v>
      </c>
      <c r="B2593" s="140">
        <v>4</v>
      </c>
      <c r="C2593" s="166" t="s">
        <v>697</v>
      </c>
      <c r="D2593" s="140" t="str">
        <f t="shared" si="280"/>
        <v>3</v>
      </c>
      <c r="E2593" s="166" t="s">
        <v>694</v>
      </c>
      <c r="F2593" s="140">
        <f t="shared" si="286"/>
        <v>2</v>
      </c>
      <c r="G2593" s="140" t="str">
        <f t="shared" si="281"/>
        <v>4.3.2</v>
      </c>
      <c r="H2593" s="166" t="s">
        <v>676</v>
      </c>
      <c r="I2593" s="166" t="s">
        <v>122</v>
      </c>
      <c r="J2593" s="166" t="s">
        <v>152</v>
      </c>
      <c r="K2593" s="166" t="s">
        <v>1299</v>
      </c>
      <c r="L2593" s="167">
        <v>211.42857142857142</v>
      </c>
      <c r="M2593" s="166">
        <v>2430</v>
      </c>
      <c r="N2593" s="166">
        <v>1</v>
      </c>
      <c r="O2593" s="164">
        <f t="shared" si="283"/>
        <v>513771.42857142852</v>
      </c>
      <c r="P2593" s="166"/>
      <c r="Q2593" s="166"/>
      <c r="R2593" s="164">
        <f>$L2593*'Pivot Objective'!$C$9*P2593*Q2593</f>
        <v>0</v>
      </c>
      <c r="S2593" s="166">
        <v>2430</v>
      </c>
      <c r="T2593" s="166">
        <v>1</v>
      </c>
      <c r="U2593" s="164">
        <f>($L2593*'Pivot Objective'!$C$9^2)*S2593*T2593</f>
        <v>671123.50217162515</v>
      </c>
      <c r="V2593" s="166"/>
      <c r="W2593" s="166"/>
      <c r="X2593" s="164">
        <f>($L2593*'Pivot Objective'!$C$9^3)*V2593*W2593</f>
        <v>0</v>
      </c>
      <c r="Y2593" s="166"/>
      <c r="Z2593" s="166"/>
      <c r="AA2593" s="164">
        <f>($L2593*'Pivot Objective'!$C$9^4)*Y2593*Z2593</f>
        <v>0</v>
      </c>
      <c r="AB2593" s="166"/>
      <c r="AC2593" s="166"/>
      <c r="AD2593" s="164">
        <f>($L2593*'Pivot Objective'!$C$9^5)*AB2593*AC2593</f>
        <v>0</v>
      </c>
      <c r="AE2593" s="166"/>
      <c r="AF2593" s="166"/>
      <c r="AG2593" s="164">
        <f>($L2593*'Pivot Objective'!$C$9^6)*AE2593*AF2593</f>
        <v>0</v>
      </c>
      <c r="AH2593" s="166">
        <v>2430</v>
      </c>
      <c r="AI2593" s="166">
        <v>1</v>
      </c>
      <c r="AJ2593" s="164">
        <f>($L2593*'Pivot Objective'!$C$9^7)*AH2593*AI2593</f>
        <v>1308831.3667411015</v>
      </c>
      <c r="AK2593" s="185">
        <f t="shared" si="284"/>
        <v>2493726.2974841548</v>
      </c>
      <c r="AL2593" s="186">
        <f t="shared" si="285"/>
        <v>2421.093492703063</v>
      </c>
    </row>
    <row r="2594" spans="1:38" customFormat="1" ht="57.6" x14ac:dyDescent="0.3">
      <c r="A2594" s="140" t="s">
        <v>1489</v>
      </c>
      <c r="B2594" s="140">
        <v>4</v>
      </c>
      <c r="C2594" s="166" t="s">
        <v>697</v>
      </c>
      <c r="D2594" s="140" t="str">
        <f t="shared" si="280"/>
        <v>3</v>
      </c>
      <c r="E2594" s="166" t="s">
        <v>694</v>
      </c>
      <c r="F2594" s="140">
        <f t="shared" si="286"/>
        <v>2</v>
      </c>
      <c r="G2594" s="140" t="str">
        <f t="shared" si="281"/>
        <v>4.3.2</v>
      </c>
      <c r="H2594" s="166" t="s">
        <v>676</v>
      </c>
      <c r="I2594" s="166" t="s">
        <v>122</v>
      </c>
      <c r="J2594" s="166" t="s">
        <v>180</v>
      </c>
      <c r="K2594" s="166" t="s">
        <v>716</v>
      </c>
      <c r="L2594" s="167">
        <v>39000</v>
      </c>
      <c r="M2594" s="166">
        <v>25</v>
      </c>
      <c r="N2594" s="166">
        <v>6</v>
      </c>
      <c r="O2594" s="164">
        <f t="shared" si="283"/>
        <v>5850000</v>
      </c>
      <c r="P2594" s="166">
        <v>0</v>
      </c>
      <c r="Q2594" s="166">
        <v>0</v>
      </c>
      <c r="R2594" s="164">
        <f>$L2594*'Pivot Objective'!$C$9*P2594*Q2594</f>
        <v>0</v>
      </c>
      <c r="S2594" s="166">
        <v>25</v>
      </c>
      <c r="T2594" s="166">
        <v>6</v>
      </c>
      <c r="U2594" s="164">
        <f>($L2594*'Pivot Objective'!$C$9^2)*S2594*T2594</f>
        <v>7641671.5087109469</v>
      </c>
      <c r="V2594" s="166">
        <v>0</v>
      </c>
      <c r="W2594" s="166">
        <v>0</v>
      </c>
      <c r="X2594" s="164">
        <f>($L2594*'Pivot Objective'!$C$9^3)*V2594*W2594</f>
        <v>0</v>
      </c>
      <c r="Y2594" s="166">
        <v>0</v>
      </c>
      <c r="Z2594" s="166">
        <v>0</v>
      </c>
      <c r="AA2594" s="164">
        <f>($L2594*'Pivot Objective'!$C$9^4)*Y2594*Z2594</f>
        <v>0</v>
      </c>
      <c r="AB2594" s="166">
        <v>0</v>
      </c>
      <c r="AC2594" s="166">
        <v>0</v>
      </c>
      <c r="AD2594" s="164">
        <f>($L2594*'Pivot Objective'!$C$9^5)*AB2594*AC2594</f>
        <v>0</v>
      </c>
      <c r="AE2594" s="166">
        <v>0</v>
      </c>
      <c r="AF2594" s="166">
        <v>0</v>
      </c>
      <c r="AG2594" s="164">
        <f>($L2594*'Pivot Objective'!$C$9^6)*AE2594*AF2594</f>
        <v>0</v>
      </c>
      <c r="AH2594" s="166">
        <v>25</v>
      </c>
      <c r="AI2594" s="166">
        <v>6</v>
      </c>
      <c r="AJ2594" s="164">
        <f>($L2594*'Pivot Objective'!$C$9^7)*AH2594*AI2594</f>
        <v>14902859.656336365</v>
      </c>
      <c r="AK2594" s="185">
        <f t="shared" si="284"/>
        <v>28394531.16504731</v>
      </c>
      <c r="AL2594" s="186">
        <f t="shared" si="285"/>
        <v>27567.505985482825</v>
      </c>
    </row>
    <row r="2595" spans="1:38" customFormat="1" ht="57.6" x14ac:dyDescent="0.3">
      <c r="A2595" s="140" t="s">
        <v>1489</v>
      </c>
      <c r="B2595" s="140">
        <v>4</v>
      </c>
      <c r="C2595" s="166" t="s">
        <v>697</v>
      </c>
      <c r="D2595" s="140" t="str">
        <f t="shared" si="280"/>
        <v>3</v>
      </c>
      <c r="E2595" s="166" t="s">
        <v>694</v>
      </c>
      <c r="F2595" s="140">
        <f t="shared" si="286"/>
        <v>2</v>
      </c>
      <c r="G2595" s="140" t="str">
        <f t="shared" si="281"/>
        <v>4.3.2</v>
      </c>
      <c r="H2595" s="166" t="s">
        <v>676</v>
      </c>
      <c r="I2595" s="166" t="s">
        <v>122</v>
      </c>
      <c r="J2595" s="166" t="s">
        <v>180</v>
      </c>
      <c r="K2595" s="166" t="s">
        <v>709</v>
      </c>
      <c r="L2595" s="167">
        <v>35000</v>
      </c>
      <c r="M2595" s="166">
        <v>25</v>
      </c>
      <c r="N2595" s="166">
        <v>5</v>
      </c>
      <c r="O2595" s="164">
        <f t="shared" si="283"/>
        <v>4375000</v>
      </c>
      <c r="P2595" s="166">
        <v>0</v>
      </c>
      <c r="Q2595" s="166">
        <v>0</v>
      </c>
      <c r="R2595" s="164">
        <f>$L2595*'Pivot Objective'!$C$9*P2595*Q2595</f>
        <v>0</v>
      </c>
      <c r="S2595" s="166">
        <v>25</v>
      </c>
      <c r="T2595" s="166">
        <v>5</v>
      </c>
      <c r="U2595" s="164">
        <f>($L2595*'Pivot Objective'!$C$9^2)*S2595*T2595</f>
        <v>5714925.2736086138</v>
      </c>
      <c r="V2595" s="166">
        <v>0</v>
      </c>
      <c r="W2595" s="166">
        <v>0</v>
      </c>
      <c r="X2595" s="164">
        <f>($L2595*'Pivot Objective'!$C$9^3)*V2595*W2595</f>
        <v>0</v>
      </c>
      <c r="Y2595" s="166">
        <v>0</v>
      </c>
      <c r="Z2595" s="166">
        <v>0</v>
      </c>
      <c r="AA2595" s="164">
        <f>($L2595*'Pivot Objective'!$C$9^4)*Y2595*Z2595</f>
        <v>0</v>
      </c>
      <c r="AB2595" s="166">
        <v>0</v>
      </c>
      <c r="AC2595" s="166">
        <v>0</v>
      </c>
      <c r="AD2595" s="164">
        <f>($L2595*'Pivot Objective'!$C$9^5)*AB2595*AC2595</f>
        <v>0</v>
      </c>
      <c r="AE2595" s="166">
        <v>0</v>
      </c>
      <c r="AF2595" s="166">
        <v>0</v>
      </c>
      <c r="AG2595" s="164">
        <f>($L2595*'Pivot Objective'!$C$9^6)*AE2595*AF2595</f>
        <v>0</v>
      </c>
      <c r="AH2595" s="166">
        <v>25</v>
      </c>
      <c r="AI2595" s="166">
        <v>5</v>
      </c>
      <c r="AJ2595" s="164">
        <f>($L2595*'Pivot Objective'!$C$9^7)*AH2595*AI2595</f>
        <v>11145301.025037881</v>
      </c>
      <c r="AK2595" s="185">
        <f t="shared" si="284"/>
        <v>21235226.298646495</v>
      </c>
      <c r="AL2595" s="186">
        <f t="shared" si="285"/>
        <v>20616.724561792715</v>
      </c>
    </row>
    <row r="2596" spans="1:38" customFormat="1" ht="57.6" x14ac:dyDescent="0.3">
      <c r="A2596" s="140" t="s">
        <v>1489</v>
      </c>
      <c r="B2596" s="140">
        <v>4</v>
      </c>
      <c r="C2596" s="166" t="s">
        <v>697</v>
      </c>
      <c r="D2596" s="140" t="str">
        <f t="shared" si="280"/>
        <v>3</v>
      </c>
      <c r="E2596" s="166" t="s">
        <v>694</v>
      </c>
      <c r="F2596" s="140">
        <f t="shared" si="286"/>
        <v>2</v>
      </c>
      <c r="G2596" s="140" t="str">
        <f t="shared" si="281"/>
        <v>4.3.2</v>
      </c>
      <c r="H2596" s="166" t="s">
        <v>676</v>
      </c>
      <c r="I2596" s="166" t="s">
        <v>122</v>
      </c>
      <c r="J2596" s="166" t="s">
        <v>180</v>
      </c>
      <c r="K2596" s="166" t="s">
        <v>712</v>
      </c>
      <c r="L2596" s="167">
        <v>211.42857142857142</v>
      </c>
      <c r="M2596" s="166">
        <v>450</v>
      </c>
      <c r="N2596" s="166">
        <v>5</v>
      </c>
      <c r="O2596" s="164">
        <f t="shared" si="283"/>
        <v>475714.28571428568</v>
      </c>
      <c r="P2596" s="166">
        <v>0</v>
      </c>
      <c r="Q2596" s="166">
        <v>0</v>
      </c>
      <c r="R2596" s="164">
        <f>$L2596*'Pivot Objective'!$C$9*P2596*Q2596</f>
        <v>0</v>
      </c>
      <c r="S2596" s="166">
        <v>450</v>
      </c>
      <c r="T2596" s="166">
        <v>5</v>
      </c>
      <c r="U2596" s="164">
        <f>($L2596*'Pivot Objective'!$C$9^2)*S2596*T2596</f>
        <v>621410.65015891218</v>
      </c>
      <c r="V2596" s="166">
        <v>0</v>
      </c>
      <c r="W2596" s="166">
        <v>0</v>
      </c>
      <c r="X2596" s="164">
        <f>($L2596*'Pivot Objective'!$C$9^3)*V2596*W2596</f>
        <v>0</v>
      </c>
      <c r="Y2596" s="166">
        <v>0</v>
      </c>
      <c r="Z2596" s="166">
        <v>0</v>
      </c>
      <c r="AA2596" s="164">
        <f>($L2596*'Pivot Objective'!$C$9^4)*Y2596*Z2596</f>
        <v>0</v>
      </c>
      <c r="AB2596" s="166">
        <v>0</v>
      </c>
      <c r="AC2596" s="166">
        <v>0</v>
      </c>
      <c r="AD2596" s="164">
        <f>($L2596*'Pivot Objective'!$C$9^5)*AB2596*AC2596</f>
        <v>0</v>
      </c>
      <c r="AE2596" s="166">
        <v>0</v>
      </c>
      <c r="AF2596" s="166">
        <v>0</v>
      </c>
      <c r="AG2596" s="164">
        <f>($L2596*'Pivot Objective'!$C$9^6)*AE2596*AF2596</f>
        <v>0</v>
      </c>
      <c r="AH2596" s="166">
        <v>450</v>
      </c>
      <c r="AI2596" s="166">
        <v>5</v>
      </c>
      <c r="AJ2596" s="164">
        <f>($L2596*'Pivot Objective'!$C$9^7)*AH2596*AI2596</f>
        <v>1211880.8951306494</v>
      </c>
      <c r="AK2596" s="185">
        <f t="shared" si="284"/>
        <v>2309005.8310038475</v>
      </c>
      <c r="AL2596" s="186">
        <f t="shared" si="285"/>
        <v>2241.7532339843178</v>
      </c>
    </row>
    <row r="2597" spans="1:38" customFormat="1" ht="57.6" x14ac:dyDescent="0.3">
      <c r="A2597" s="140" t="s">
        <v>1489</v>
      </c>
      <c r="B2597" s="140">
        <v>4</v>
      </c>
      <c r="C2597" s="166" t="s">
        <v>697</v>
      </c>
      <c r="D2597" s="140" t="str">
        <f t="shared" si="280"/>
        <v>3</v>
      </c>
      <c r="E2597" s="166" t="s">
        <v>694</v>
      </c>
      <c r="F2597" s="140">
        <f t="shared" si="286"/>
        <v>2</v>
      </c>
      <c r="G2597" s="140" t="str">
        <f t="shared" si="281"/>
        <v>4.3.2</v>
      </c>
      <c r="H2597" s="166" t="s">
        <v>676</v>
      </c>
      <c r="I2597" s="166" t="s">
        <v>122</v>
      </c>
      <c r="J2597" s="166" t="s">
        <v>180</v>
      </c>
      <c r="K2597" s="166" t="s">
        <v>1299</v>
      </c>
      <c r="L2597" s="167">
        <v>211.42857142857142</v>
      </c>
      <c r="M2597" s="166">
        <v>2430</v>
      </c>
      <c r="N2597" s="166">
        <v>1</v>
      </c>
      <c r="O2597" s="164">
        <f t="shared" si="283"/>
        <v>513771.42857142852</v>
      </c>
      <c r="P2597" s="166"/>
      <c r="Q2597" s="166"/>
      <c r="R2597" s="164">
        <f>$L2597*'Pivot Objective'!$C$9*P2597*Q2597</f>
        <v>0</v>
      </c>
      <c r="S2597" s="166">
        <v>2430</v>
      </c>
      <c r="T2597" s="166">
        <v>1</v>
      </c>
      <c r="U2597" s="164">
        <f>($L2597*'Pivot Objective'!$C$9^2)*S2597*T2597</f>
        <v>671123.50217162515</v>
      </c>
      <c r="V2597" s="166"/>
      <c r="W2597" s="166"/>
      <c r="X2597" s="164">
        <f>($L2597*'Pivot Objective'!$C$9^3)*V2597*W2597</f>
        <v>0</v>
      </c>
      <c r="Y2597" s="166"/>
      <c r="Z2597" s="166"/>
      <c r="AA2597" s="164">
        <f>($L2597*'Pivot Objective'!$C$9^4)*Y2597*Z2597</f>
        <v>0</v>
      </c>
      <c r="AB2597" s="166"/>
      <c r="AC2597" s="166"/>
      <c r="AD2597" s="164">
        <f>($L2597*'Pivot Objective'!$C$9^5)*AB2597*AC2597</f>
        <v>0</v>
      </c>
      <c r="AE2597" s="166"/>
      <c r="AF2597" s="166"/>
      <c r="AG2597" s="164">
        <f>($L2597*'Pivot Objective'!$C$9^6)*AE2597*AF2597</f>
        <v>0</v>
      </c>
      <c r="AH2597" s="166">
        <v>2430</v>
      </c>
      <c r="AI2597" s="166">
        <v>1</v>
      </c>
      <c r="AJ2597" s="164">
        <f>($L2597*'Pivot Objective'!$C$9^7)*AH2597*AI2597</f>
        <v>1308831.3667411015</v>
      </c>
      <c r="AK2597" s="185">
        <f t="shared" si="284"/>
        <v>2493726.2974841548</v>
      </c>
      <c r="AL2597" s="186">
        <f t="shared" si="285"/>
        <v>2421.093492703063</v>
      </c>
    </row>
    <row r="2598" spans="1:38" customFormat="1" ht="57.6" x14ac:dyDescent="0.3">
      <c r="A2598" s="140" t="s">
        <v>1489</v>
      </c>
      <c r="B2598" s="140">
        <v>4</v>
      </c>
      <c r="C2598" s="166" t="s">
        <v>697</v>
      </c>
      <c r="D2598" s="140" t="str">
        <f t="shared" si="280"/>
        <v>3</v>
      </c>
      <c r="E2598" s="166" t="s">
        <v>694</v>
      </c>
      <c r="F2598" s="140">
        <f t="shared" si="286"/>
        <v>2</v>
      </c>
      <c r="G2598" s="140" t="str">
        <f t="shared" si="281"/>
        <v>4.3.2</v>
      </c>
      <c r="H2598" s="166" t="s">
        <v>676</v>
      </c>
      <c r="I2598" s="166" t="s">
        <v>122</v>
      </c>
      <c r="J2598" s="166" t="s">
        <v>181</v>
      </c>
      <c r="K2598" s="166" t="s">
        <v>709</v>
      </c>
      <c r="L2598" s="167">
        <v>35000</v>
      </c>
      <c r="M2598" s="166">
        <v>100</v>
      </c>
      <c r="N2598" s="166">
        <v>5</v>
      </c>
      <c r="O2598" s="164">
        <f t="shared" si="283"/>
        <v>17500000</v>
      </c>
      <c r="P2598" s="166">
        <v>0</v>
      </c>
      <c r="Q2598" s="166">
        <v>0</v>
      </c>
      <c r="R2598" s="164">
        <f>$L2598*'Pivot Objective'!$C$9*P2598*Q2598</f>
        <v>0</v>
      </c>
      <c r="S2598" s="166">
        <v>100</v>
      </c>
      <c r="T2598" s="166">
        <v>5</v>
      </c>
      <c r="U2598" s="164">
        <f>($L2598*'Pivot Objective'!$C$9^2)*S2598*T2598</f>
        <v>22859701.094434455</v>
      </c>
      <c r="V2598" s="166">
        <v>0</v>
      </c>
      <c r="W2598" s="166">
        <v>0</v>
      </c>
      <c r="X2598" s="164">
        <f>($L2598*'Pivot Objective'!$C$9^3)*V2598*W2598</f>
        <v>0</v>
      </c>
      <c r="Y2598" s="166">
        <v>0</v>
      </c>
      <c r="Z2598" s="166">
        <v>0</v>
      </c>
      <c r="AA2598" s="164">
        <f>($L2598*'Pivot Objective'!$C$9^4)*Y2598*Z2598</f>
        <v>0</v>
      </c>
      <c r="AB2598" s="166">
        <v>0</v>
      </c>
      <c r="AC2598" s="166">
        <v>0</v>
      </c>
      <c r="AD2598" s="164">
        <f>($L2598*'Pivot Objective'!$C$9^5)*AB2598*AC2598</f>
        <v>0</v>
      </c>
      <c r="AE2598" s="166">
        <v>0</v>
      </c>
      <c r="AF2598" s="166">
        <v>0</v>
      </c>
      <c r="AG2598" s="164">
        <f>($L2598*'Pivot Objective'!$C$9^6)*AE2598*AF2598</f>
        <v>0</v>
      </c>
      <c r="AH2598" s="166">
        <v>100</v>
      </c>
      <c r="AI2598" s="166">
        <v>5</v>
      </c>
      <c r="AJ2598" s="164">
        <f>($L2598*'Pivot Objective'!$C$9^7)*AH2598*AI2598</f>
        <v>44581204.100151524</v>
      </c>
      <c r="AK2598" s="185">
        <f t="shared" si="284"/>
        <v>84940905.194585979</v>
      </c>
      <c r="AL2598" s="186">
        <f t="shared" si="285"/>
        <v>82466.898247170859</v>
      </c>
    </row>
    <row r="2599" spans="1:38" customFormat="1" ht="57.6" x14ac:dyDescent="0.3">
      <c r="A2599" s="140" t="s">
        <v>1489</v>
      </c>
      <c r="B2599" s="140">
        <v>4</v>
      </c>
      <c r="C2599" s="166" t="s">
        <v>697</v>
      </c>
      <c r="D2599" s="140" t="str">
        <f t="shared" si="280"/>
        <v>3</v>
      </c>
      <c r="E2599" s="166" t="s">
        <v>694</v>
      </c>
      <c r="F2599" s="140">
        <f t="shared" si="286"/>
        <v>2</v>
      </c>
      <c r="G2599" s="140" t="str">
        <f t="shared" si="281"/>
        <v>4.3.2</v>
      </c>
      <c r="H2599" s="166" t="s">
        <v>676</v>
      </c>
      <c r="I2599" s="166" t="s">
        <v>122</v>
      </c>
      <c r="J2599" s="166" t="s">
        <v>181</v>
      </c>
      <c r="K2599" s="166" t="s">
        <v>716</v>
      </c>
      <c r="L2599" s="167">
        <v>39000</v>
      </c>
      <c r="M2599" s="166">
        <v>58</v>
      </c>
      <c r="N2599" s="166">
        <v>6</v>
      </c>
      <c r="O2599" s="164">
        <f t="shared" si="283"/>
        <v>13572000</v>
      </c>
      <c r="P2599" s="166"/>
      <c r="Q2599" s="166"/>
      <c r="R2599" s="164">
        <f>$L2599*'Pivot Objective'!$C$9*P2599*Q2599</f>
        <v>0</v>
      </c>
      <c r="S2599" s="166">
        <v>58</v>
      </c>
      <c r="T2599" s="166">
        <v>6</v>
      </c>
      <c r="U2599" s="164">
        <f>($L2599*'Pivot Objective'!$C$9^2)*S2599*T2599</f>
        <v>17728677.900209397</v>
      </c>
      <c r="V2599" s="166"/>
      <c r="W2599" s="166"/>
      <c r="X2599" s="164">
        <f>($L2599*'Pivot Objective'!$C$9^3)*V2599*W2599</f>
        <v>0</v>
      </c>
      <c r="Y2599" s="166"/>
      <c r="Z2599" s="166"/>
      <c r="AA2599" s="164">
        <f>($L2599*'Pivot Objective'!$C$9^4)*Y2599*Z2599</f>
        <v>0</v>
      </c>
      <c r="AB2599" s="166"/>
      <c r="AC2599" s="166"/>
      <c r="AD2599" s="164">
        <f>($L2599*'Pivot Objective'!$C$9^5)*AB2599*AC2599</f>
        <v>0</v>
      </c>
      <c r="AE2599" s="166"/>
      <c r="AF2599" s="166"/>
      <c r="AG2599" s="164">
        <f>($L2599*'Pivot Objective'!$C$9^6)*AE2599*AF2599</f>
        <v>0</v>
      </c>
      <c r="AH2599" s="166">
        <v>58</v>
      </c>
      <c r="AI2599" s="166">
        <v>6</v>
      </c>
      <c r="AJ2599" s="164">
        <f>($L2599*'Pivot Objective'!$C$9^7)*AH2599*AI2599</f>
        <v>34574634.402700365</v>
      </c>
      <c r="AK2599" s="185">
        <f t="shared" si="284"/>
        <v>65875312.302909762</v>
      </c>
      <c r="AL2599" s="186">
        <f t="shared" si="285"/>
        <v>63956.613886320156</v>
      </c>
    </row>
    <row r="2600" spans="1:38" customFormat="1" ht="57.6" x14ac:dyDescent="0.3">
      <c r="A2600" s="140" t="s">
        <v>1489</v>
      </c>
      <c r="B2600" s="140">
        <v>4</v>
      </c>
      <c r="C2600" s="166" t="s">
        <v>697</v>
      </c>
      <c r="D2600" s="140" t="str">
        <f t="shared" si="280"/>
        <v>3</v>
      </c>
      <c r="E2600" s="166" t="s">
        <v>694</v>
      </c>
      <c r="F2600" s="140">
        <f t="shared" si="286"/>
        <v>2</v>
      </c>
      <c r="G2600" s="140" t="str">
        <f t="shared" si="281"/>
        <v>4.3.2</v>
      </c>
      <c r="H2600" s="166" t="s">
        <v>676</v>
      </c>
      <c r="I2600" s="166" t="s">
        <v>122</v>
      </c>
      <c r="J2600" s="166" t="s">
        <v>181</v>
      </c>
      <c r="K2600" s="166" t="s">
        <v>712</v>
      </c>
      <c r="L2600" s="167">
        <v>211.42857142857142</v>
      </c>
      <c r="M2600" s="166">
        <v>1450</v>
      </c>
      <c r="N2600" s="166">
        <v>5</v>
      </c>
      <c r="O2600" s="164">
        <f t="shared" si="283"/>
        <v>1532857.142857143</v>
      </c>
      <c r="P2600" s="166"/>
      <c r="Q2600" s="166"/>
      <c r="R2600" s="164">
        <f>$L2600*'Pivot Objective'!$C$9*P2600*Q2600</f>
        <v>0</v>
      </c>
      <c r="S2600" s="166">
        <v>1450</v>
      </c>
      <c r="T2600" s="166">
        <v>5</v>
      </c>
      <c r="U2600" s="164">
        <f>($L2600*'Pivot Objective'!$C$9^2)*S2600*T2600</f>
        <v>2002323.2060676059</v>
      </c>
      <c r="V2600" s="166"/>
      <c r="W2600" s="166"/>
      <c r="X2600" s="164">
        <f>($L2600*'Pivot Objective'!$C$9^3)*V2600*W2600</f>
        <v>0</v>
      </c>
      <c r="Y2600" s="166"/>
      <c r="Z2600" s="166"/>
      <c r="AA2600" s="164">
        <f>($L2600*'Pivot Objective'!$C$9^4)*Y2600*Z2600</f>
        <v>0</v>
      </c>
      <c r="AB2600" s="166"/>
      <c r="AC2600" s="166"/>
      <c r="AD2600" s="164">
        <f>($L2600*'Pivot Objective'!$C$9^5)*AB2600*AC2600</f>
        <v>0</v>
      </c>
      <c r="AE2600" s="166"/>
      <c r="AF2600" s="166"/>
      <c r="AG2600" s="164">
        <f>($L2600*'Pivot Objective'!$C$9^6)*AE2600*AF2600</f>
        <v>0</v>
      </c>
      <c r="AH2600" s="166">
        <v>1450</v>
      </c>
      <c r="AI2600" s="166">
        <v>5</v>
      </c>
      <c r="AJ2600" s="164">
        <f>($L2600*'Pivot Objective'!$C$9^7)*AH2600*AI2600</f>
        <v>3904949.5509765372</v>
      </c>
      <c r="AK2600" s="185">
        <f t="shared" si="284"/>
        <v>7440129.8999012858</v>
      </c>
      <c r="AL2600" s="186">
        <f t="shared" si="285"/>
        <v>7223.4270872828019</v>
      </c>
    </row>
    <row r="2601" spans="1:38" customFormat="1" ht="57.6" x14ac:dyDescent="0.3">
      <c r="A2601" s="140" t="s">
        <v>1489</v>
      </c>
      <c r="B2601" s="140">
        <v>4</v>
      </c>
      <c r="C2601" s="166" t="s">
        <v>697</v>
      </c>
      <c r="D2601" s="140" t="str">
        <f t="shared" si="280"/>
        <v>3</v>
      </c>
      <c r="E2601" s="166" t="s">
        <v>694</v>
      </c>
      <c r="F2601" s="140">
        <f t="shared" si="286"/>
        <v>2</v>
      </c>
      <c r="G2601" s="140" t="str">
        <f t="shared" si="281"/>
        <v>4.3.2</v>
      </c>
      <c r="H2601" s="166" t="s">
        <v>676</v>
      </c>
      <c r="I2601" s="166" t="s">
        <v>122</v>
      </c>
      <c r="J2601" s="166" t="s">
        <v>181</v>
      </c>
      <c r="K2601" s="166" t="s">
        <v>1299</v>
      </c>
      <c r="L2601" s="167">
        <v>211.42857142857142</v>
      </c>
      <c r="M2601" s="166">
        <v>22500</v>
      </c>
      <c r="N2601" s="166">
        <v>1</v>
      </c>
      <c r="O2601" s="164">
        <f t="shared" si="283"/>
        <v>4757142.8571428573</v>
      </c>
      <c r="P2601" s="166"/>
      <c r="Q2601" s="166"/>
      <c r="R2601" s="164">
        <f>$L2601*'Pivot Objective'!$C$9*P2601*Q2601</f>
        <v>0</v>
      </c>
      <c r="S2601" s="166">
        <v>22500</v>
      </c>
      <c r="T2601" s="166">
        <v>1</v>
      </c>
      <c r="U2601" s="164">
        <f>($L2601*'Pivot Objective'!$C$9^2)*S2601*T2601</f>
        <v>6214106.5015891213</v>
      </c>
      <c r="V2601" s="166"/>
      <c r="W2601" s="166"/>
      <c r="X2601" s="164">
        <f>($L2601*'Pivot Objective'!$C$9^3)*V2601*W2601</f>
        <v>0</v>
      </c>
      <c r="Y2601" s="166"/>
      <c r="Z2601" s="166"/>
      <c r="AA2601" s="164">
        <f>($L2601*'Pivot Objective'!$C$9^4)*Y2601*Z2601</f>
        <v>0</v>
      </c>
      <c r="AB2601" s="166"/>
      <c r="AC2601" s="166"/>
      <c r="AD2601" s="164">
        <f>($L2601*'Pivot Objective'!$C$9^5)*AB2601*AC2601</f>
        <v>0</v>
      </c>
      <c r="AE2601" s="166"/>
      <c r="AF2601" s="166"/>
      <c r="AG2601" s="164">
        <f>($L2601*'Pivot Objective'!$C$9^6)*AE2601*AF2601</f>
        <v>0</v>
      </c>
      <c r="AH2601" s="166">
        <v>22500</v>
      </c>
      <c r="AI2601" s="166">
        <v>1</v>
      </c>
      <c r="AJ2601" s="164">
        <f>($L2601*'Pivot Objective'!$C$9^7)*AH2601*AI2601</f>
        <v>12118808.951306494</v>
      </c>
      <c r="AK2601" s="185">
        <f t="shared" si="284"/>
        <v>23090058.31003847</v>
      </c>
      <c r="AL2601" s="186">
        <f t="shared" si="285"/>
        <v>22417.532339843176</v>
      </c>
    </row>
    <row r="2602" spans="1:38" customFormat="1" ht="57.6" x14ac:dyDescent="0.3">
      <c r="A2602" s="140" t="s">
        <v>1489</v>
      </c>
      <c r="B2602" s="140">
        <v>4</v>
      </c>
      <c r="C2602" s="166" t="s">
        <v>697</v>
      </c>
      <c r="D2602" s="140" t="str">
        <f t="shared" si="280"/>
        <v>3</v>
      </c>
      <c r="E2602" s="166" t="s">
        <v>694</v>
      </c>
      <c r="F2602" s="140">
        <f t="shared" si="286"/>
        <v>2</v>
      </c>
      <c r="G2602" s="140" t="str">
        <f t="shared" si="281"/>
        <v>4.3.2</v>
      </c>
      <c r="H2602" s="166" t="s">
        <v>676</v>
      </c>
      <c r="I2602" s="166" t="s">
        <v>122</v>
      </c>
      <c r="J2602" s="166" t="s">
        <v>579</v>
      </c>
      <c r="K2602" s="166" t="s">
        <v>709</v>
      </c>
      <c r="L2602" s="167">
        <v>35000</v>
      </c>
      <c r="M2602" s="166">
        <v>50</v>
      </c>
      <c r="N2602" s="166">
        <v>1</v>
      </c>
      <c r="O2602" s="164">
        <f t="shared" si="283"/>
        <v>1750000</v>
      </c>
      <c r="P2602" s="166">
        <v>0</v>
      </c>
      <c r="Q2602" s="166">
        <v>0</v>
      </c>
      <c r="R2602" s="164">
        <f>$L2602*'Pivot Objective'!$C$9*P2602*Q2602</f>
        <v>0</v>
      </c>
      <c r="S2602" s="166">
        <v>50</v>
      </c>
      <c r="T2602" s="166">
        <v>1</v>
      </c>
      <c r="U2602" s="164">
        <f>($L2602*'Pivot Objective'!$C$9^2)*S2602*T2602</f>
        <v>2285970.1094434457</v>
      </c>
      <c r="V2602" s="166">
        <v>0</v>
      </c>
      <c r="W2602" s="166">
        <v>0</v>
      </c>
      <c r="X2602" s="164">
        <f>($L2602*'Pivot Objective'!$C$9^3)*V2602*W2602</f>
        <v>0</v>
      </c>
      <c r="Y2602" s="166">
        <v>0</v>
      </c>
      <c r="Z2602" s="166">
        <v>0</v>
      </c>
      <c r="AA2602" s="164">
        <f>($L2602*'Pivot Objective'!$C$9^4)*Y2602*Z2602</f>
        <v>0</v>
      </c>
      <c r="AB2602" s="166">
        <v>0</v>
      </c>
      <c r="AC2602" s="166">
        <v>0</v>
      </c>
      <c r="AD2602" s="164">
        <f>($L2602*'Pivot Objective'!$C$9^5)*AB2602*AC2602</f>
        <v>0</v>
      </c>
      <c r="AE2602" s="166">
        <v>0</v>
      </c>
      <c r="AF2602" s="166">
        <v>0</v>
      </c>
      <c r="AG2602" s="164">
        <f>($L2602*'Pivot Objective'!$C$9^6)*AE2602*AF2602</f>
        <v>0</v>
      </c>
      <c r="AH2602" s="166">
        <v>50</v>
      </c>
      <c r="AI2602" s="166">
        <v>1</v>
      </c>
      <c r="AJ2602" s="164">
        <f>($L2602*'Pivot Objective'!$C$9^7)*AH2602*AI2602</f>
        <v>4458120.4100151528</v>
      </c>
      <c r="AK2602" s="185">
        <f t="shared" si="284"/>
        <v>8494090.5194585994</v>
      </c>
      <c r="AL2602" s="186">
        <f t="shared" si="285"/>
        <v>8246.6898247170866</v>
      </c>
    </row>
    <row r="2603" spans="1:38" customFormat="1" ht="57.6" x14ac:dyDescent="0.3">
      <c r="A2603" s="140" t="s">
        <v>1489</v>
      </c>
      <c r="B2603" s="140">
        <v>4</v>
      </c>
      <c r="C2603" s="166" t="s">
        <v>697</v>
      </c>
      <c r="D2603" s="140" t="str">
        <f t="shared" si="280"/>
        <v>3</v>
      </c>
      <c r="E2603" s="166" t="s">
        <v>694</v>
      </c>
      <c r="F2603" s="140">
        <f t="shared" si="286"/>
        <v>2</v>
      </c>
      <c r="G2603" s="140" t="str">
        <f t="shared" si="281"/>
        <v>4.3.2</v>
      </c>
      <c r="H2603" s="166" t="s">
        <v>676</v>
      </c>
      <c r="I2603" s="166" t="s">
        <v>122</v>
      </c>
      <c r="J2603" s="166" t="s">
        <v>579</v>
      </c>
      <c r="K2603" s="166" t="s">
        <v>1318</v>
      </c>
      <c r="L2603" s="167">
        <v>8000</v>
      </c>
      <c r="M2603" s="166">
        <v>50000</v>
      </c>
      <c r="N2603" s="166">
        <v>1</v>
      </c>
      <c r="O2603" s="164">
        <f t="shared" si="283"/>
        <v>400000000</v>
      </c>
      <c r="P2603" s="166">
        <v>0</v>
      </c>
      <c r="Q2603" s="166">
        <v>0</v>
      </c>
      <c r="R2603" s="164">
        <f>$L2603*'Pivot Objective'!$C$9*P2603*Q2603</f>
        <v>0</v>
      </c>
      <c r="S2603" s="166">
        <v>50000</v>
      </c>
      <c r="T2603" s="166">
        <v>1</v>
      </c>
      <c r="U2603" s="164">
        <f>($L2603*'Pivot Objective'!$C$9^2)*S2603*T2603</f>
        <v>522507453.58707327</v>
      </c>
      <c r="V2603" s="166">
        <v>0</v>
      </c>
      <c r="W2603" s="166">
        <v>0</v>
      </c>
      <c r="X2603" s="164">
        <f>($L2603*'Pivot Objective'!$C$9^3)*V2603*W2603</f>
        <v>0</v>
      </c>
      <c r="Y2603" s="166">
        <v>0</v>
      </c>
      <c r="Z2603" s="166">
        <v>0</v>
      </c>
      <c r="AA2603" s="164">
        <f>($L2603*'Pivot Objective'!$C$9^4)*Y2603*Z2603</f>
        <v>0</v>
      </c>
      <c r="AB2603" s="166">
        <v>0</v>
      </c>
      <c r="AC2603" s="166">
        <v>0</v>
      </c>
      <c r="AD2603" s="164">
        <f>($L2603*'Pivot Objective'!$C$9^5)*AB2603*AC2603</f>
        <v>0</v>
      </c>
      <c r="AE2603" s="166">
        <v>0</v>
      </c>
      <c r="AF2603" s="166">
        <v>0</v>
      </c>
      <c r="AG2603" s="164">
        <f>($L2603*'Pivot Objective'!$C$9^6)*AE2603*AF2603</f>
        <v>0</v>
      </c>
      <c r="AH2603" s="166">
        <v>50000</v>
      </c>
      <c r="AI2603" s="166">
        <v>1</v>
      </c>
      <c r="AJ2603" s="164">
        <f>($L2603*'Pivot Objective'!$C$9^7)*AH2603*AI2603</f>
        <v>1018998950.8606062</v>
      </c>
      <c r="AK2603" s="185">
        <f t="shared" si="284"/>
        <v>1941506404.4476795</v>
      </c>
      <c r="AL2603" s="186">
        <f t="shared" si="285"/>
        <v>1884957.6742210481</v>
      </c>
    </row>
    <row r="2604" spans="1:38" customFormat="1" ht="57.6" x14ac:dyDescent="0.3">
      <c r="A2604" s="140" t="s">
        <v>1489</v>
      </c>
      <c r="B2604" s="140">
        <v>4</v>
      </c>
      <c r="C2604" s="166" t="s">
        <v>697</v>
      </c>
      <c r="D2604" s="140" t="str">
        <f t="shared" si="280"/>
        <v>3</v>
      </c>
      <c r="E2604" s="166" t="s">
        <v>694</v>
      </c>
      <c r="F2604" s="140">
        <f t="shared" si="286"/>
        <v>2</v>
      </c>
      <c r="G2604" s="140" t="str">
        <f t="shared" si="281"/>
        <v>4.3.2</v>
      </c>
      <c r="H2604" s="166" t="s">
        <v>676</v>
      </c>
      <c r="I2604" s="166" t="s">
        <v>122</v>
      </c>
      <c r="J2604" s="166" t="s">
        <v>579</v>
      </c>
      <c r="K2604" s="166" t="s">
        <v>717</v>
      </c>
      <c r="L2604" s="167">
        <v>104850</v>
      </c>
      <c r="M2604" s="166">
        <v>1</v>
      </c>
      <c r="N2604" s="166">
        <v>1</v>
      </c>
      <c r="O2604" s="164">
        <f t="shared" si="283"/>
        <v>104850</v>
      </c>
      <c r="P2604" s="166">
        <v>0</v>
      </c>
      <c r="Q2604" s="166">
        <v>0</v>
      </c>
      <c r="R2604" s="164">
        <f>$L2604*'Pivot Objective'!$C$9*P2604*Q2604</f>
        <v>0</v>
      </c>
      <c r="S2604" s="166">
        <v>1</v>
      </c>
      <c r="T2604" s="166">
        <v>1</v>
      </c>
      <c r="U2604" s="164">
        <f>($L2604*'Pivot Objective'!$C$9^2)*S2604*T2604</f>
        <v>136962.26627151159</v>
      </c>
      <c r="V2604" s="166">
        <v>0</v>
      </c>
      <c r="W2604" s="166">
        <v>0</v>
      </c>
      <c r="X2604" s="164">
        <f>($L2604*'Pivot Objective'!$C$9^3)*V2604*W2604</f>
        <v>0</v>
      </c>
      <c r="Y2604" s="166">
        <v>0</v>
      </c>
      <c r="Z2604" s="166">
        <v>0</v>
      </c>
      <c r="AA2604" s="164">
        <f>($L2604*'Pivot Objective'!$C$9^4)*Y2604*Z2604</f>
        <v>0</v>
      </c>
      <c r="AB2604" s="166">
        <v>0</v>
      </c>
      <c r="AC2604" s="166">
        <v>0</v>
      </c>
      <c r="AD2604" s="164">
        <f>($L2604*'Pivot Objective'!$C$9^5)*AB2604*AC2604</f>
        <v>0</v>
      </c>
      <c r="AE2604" s="166">
        <v>0</v>
      </c>
      <c r="AF2604" s="166">
        <v>0</v>
      </c>
      <c r="AG2604" s="164">
        <f>($L2604*'Pivot Objective'!$C$9^6)*AE2604*AF2604</f>
        <v>0</v>
      </c>
      <c r="AH2604" s="166">
        <v>1</v>
      </c>
      <c r="AI2604" s="166">
        <v>1</v>
      </c>
      <c r="AJ2604" s="164">
        <f>($L2604*'Pivot Objective'!$C$9^7)*AH2604*AI2604</f>
        <v>267105.09999433643</v>
      </c>
      <c r="AK2604" s="185">
        <f t="shared" si="284"/>
        <v>508917.36626584805</v>
      </c>
      <c r="AL2604" s="186">
        <f t="shared" si="285"/>
        <v>494.09453035519226</v>
      </c>
    </row>
    <row r="2605" spans="1:38" customFormat="1" ht="57.6" x14ac:dyDescent="0.3">
      <c r="A2605" s="140" t="s">
        <v>1489</v>
      </c>
      <c r="B2605" s="140">
        <v>4</v>
      </c>
      <c r="C2605" s="166" t="s">
        <v>697</v>
      </c>
      <c r="D2605" s="140" t="str">
        <f t="shared" ref="D2605:D2668" si="287">RIGHT(A2605,1)</f>
        <v>3</v>
      </c>
      <c r="E2605" s="166" t="s">
        <v>694</v>
      </c>
      <c r="F2605" s="140">
        <f t="shared" si="286"/>
        <v>2</v>
      </c>
      <c r="G2605" s="140" t="str">
        <f t="shared" si="281"/>
        <v>4.3.2</v>
      </c>
      <c r="H2605" s="166" t="s">
        <v>676</v>
      </c>
      <c r="I2605" s="166" t="s">
        <v>123</v>
      </c>
      <c r="J2605" s="166" t="s">
        <v>580</v>
      </c>
      <c r="K2605" s="166" t="s">
        <v>718</v>
      </c>
      <c r="L2605" s="167">
        <v>0</v>
      </c>
      <c r="M2605" s="166"/>
      <c r="N2605" s="166"/>
      <c r="O2605" s="164">
        <f t="shared" si="283"/>
        <v>0</v>
      </c>
      <c r="P2605" s="166">
        <v>0</v>
      </c>
      <c r="Q2605" s="166">
        <v>0</v>
      </c>
      <c r="R2605" s="164">
        <f>$L2605*'Pivot Objective'!$C$9*P2605*Q2605</f>
        <v>0</v>
      </c>
      <c r="S2605" s="166">
        <v>0</v>
      </c>
      <c r="T2605" s="166">
        <v>0</v>
      </c>
      <c r="U2605" s="164">
        <f>($L2605*'Pivot Objective'!$C$9^2)*S2605*T2605</f>
        <v>0</v>
      </c>
      <c r="V2605" s="166">
        <v>0</v>
      </c>
      <c r="W2605" s="166">
        <v>0</v>
      </c>
      <c r="X2605" s="164">
        <f>($L2605*'Pivot Objective'!$C$9^3)*V2605*W2605</f>
        <v>0</v>
      </c>
      <c r="Y2605" s="166">
        <v>0</v>
      </c>
      <c r="Z2605" s="166">
        <v>0</v>
      </c>
      <c r="AA2605" s="164">
        <f>($L2605*'Pivot Objective'!$C$9^4)*Y2605*Z2605</f>
        <v>0</v>
      </c>
      <c r="AB2605" s="166">
        <v>0</v>
      </c>
      <c r="AC2605" s="166">
        <v>0</v>
      </c>
      <c r="AD2605" s="164">
        <f>($L2605*'Pivot Objective'!$C$9^5)*AB2605*AC2605</f>
        <v>0</v>
      </c>
      <c r="AE2605" s="166">
        <v>0</v>
      </c>
      <c r="AF2605" s="166">
        <v>0</v>
      </c>
      <c r="AG2605" s="164">
        <f>($L2605*'Pivot Objective'!$C$9^6)*AE2605*AF2605</f>
        <v>0</v>
      </c>
      <c r="AH2605" s="166">
        <v>0</v>
      </c>
      <c r="AI2605" s="166">
        <v>0</v>
      </c>
      <c r="AJ2605" s="164">
        <f>($L2605*'Pivot Objective'!$C$9^7)*AH2605*AI2605</f>
        <v>0</v>
      </c>
      <c r="AK2605" s="185">
        <f t="shared" si="284"/>
        <v>0</v>
      </c>
      <c r="AL2605" s="186">
        <f t="shared" si="285"/>
        <v>0</v>
      </c>
    </row>
    <row r="2606" spans="1:38" customFormat="1" ht="57.6" x14ac:dyDescent="0.3">
      <c r="A2606" s="140" t="s">
        <v>1489</v>
      </c>
      <c r="B2606" s="140">
        <v>4</v>
      </c>
      <c r="C2606" s="166" t="s">
        <v>697</v>
      </c>
      <c r="D2606" s="140" t="str">
        <f t="shared" si="287"/>
        <v>3</v>
      </c>
      <c r="E2606" s="166" t="s">
        <v>694</v>
      </c>
      <c r="F2606" s="140">
        <f t="shared" si="286"/>
        <v>2</v>
      </c>
      <c r="G2606" s="140" t="str">
        <f t="shared" ref="G2606:G2669" si="288">B2606&amp;"."&amp;D2606&amp;"."&amp;F2606</f>
        <v>4.3.2</v>
      </c>
      <c r="H2606" s="166" t="s">
        <v>676</v>
      </c>
      <c r="I2606" s="166" t="s">
        <v>123</v>
      </c>
      <c r="J2606" s="166" t="s">
        <v>581</v>
      </c>
      <c r="K2606" s="166" t="s">
        <v>718</v>
      </c>
      <c r="L2606" s="167">
        <v>0</v>
      </c>
      <c r="M2606" s="166"/>
      <c r="N2606" s="166"/>
      <c r="O2606" s="164">
        <f t="shared" si="283"/>
        <v>0</v>
      </c>
      <c r="P2606" s="166">
        <v>0</v>
      </c>
      <c r="Q2606" s="166">
        <v>0</v>
      </c>
      <c r="R2606" s="164">
        <f>$L2606*'Pivot Objective'!$C$9*P2606*Q2606</f>
        <v>0</v>
      </c>
      <c r="S2606" s="166">
        <v>0</v>
      </c>
      <c r="T2606" s="166">
        <v>0</v>
      </c>
      <c r="U2606" s="164">
        <f>($L2606*'Pivot Objective'!$C$9^2)*S2606*T2606</f>
        <v>0</v>
      </c>
      <c r="V2606" s="166">
        <v>0</v>
      </c>
      <c r="W2606" s="166">
        <v>0</v>
      </c>
      <c r="X2606" s="164">
        <f>($L2606*'Pivot Objective'!$C$9^3)*V2606*W2606</f>
        <v>0</v>
      </c>
      <c r="Y2606" s="166">
        <v>0</v>
      </c>
      <c r="Z2606" s="166">
        <v>0</v>
      </c>
      <c r="AA2606" s="164">
        <f>($L2606*'Pivot Objective'!$C$9^4)*Y2606*Z2606</f>
        <v>0</v>
      </c>
      <c r="AB2606" s="166">
        <v>0</v>
      </c>
      <c r="AC2606" s="166">
        <v>0</v>
      </c>
      <c r="AD2606" s="164">
        <f>($L2606*'Pivot Objective'!$C$9^5)*AB2606*AC2606</f>
        <v>0</v>
      </c>
      <c r="AE2606" s="166">
        <v>0</v>
      </c>
      <c r="AF2606" s="166">
        <v>0</v>
      </c>
      <c r="AG2606" s="164">
        <f>($L2606*'Pivot Objective'!$C$9^6)*AE2606*AF2606</f>
        <v>0</v>
      </c>
      <c r="AH2606" s="166">
        <v>0</v>
      </c>
      <c r="AI2606" s="166">
        <v>0</v>
      </c>
      <c r="AJ2606" s="164">
        <f>($L2606*'Pivot Objective'!$C$9^7)*AH2606*AI2606</f>
        <v>0</v>
      </c>
      <c r="AK2606" s="185">
        <f t="shared" si="284"/>
        <v>0</v>
      </c>
      <c r="AL2606" s="186">
        <f t="shared" si="285"/>
        <v>0</v>
      </c>
    </row>
    <row r="2607" spans="1:38" customFormat="1" ht="57.6" x14ac:dyDescent="0.3">
      <c r="A2607" s="140" t="s">
        <v>1489</v>
      </c>
      <c r="B2607" s="140">
        <v>4</v>
      </c>
      <c r="C2607" s="166" t="s">
        <v>697</v>
      </c>
      <c r="D2607" s="140" t="str">
        <f t="shared" si="287"/>
        <v>3</v>
      </c>
      <c r="E2607" s="166" t="s">
        <v>694</v>
      </c>
      <c r="F2607" s="140">
        <f t="shared" si="286"/>
        <v>2</v>
      </c>
      <c r="G2607" s="140" t="str">
        <f t="shared" si="288"/>
        <v>4.3.2</v>
      </c>
      <c r="H2607" s="166" t="s">
        <v>676</v>
      </c>
      <c r="I2607" s="166" t="s">
        <v>123</v>
      </c>
      <c r="J2607" s="166" t="s">
        <v>149</v>
      </c>
      <c r="K2607" s="166" t="s">
        <v>707</v>
      </c>
      <c r="L2607" s="167">
        <v>391991.03749999998</v>
      </c>
      <c r="M2607" s="166"/>
      <c r="N2607" s="166"/>
      <c r="O2607" s="164">
        <f t="shared" si="283"/>
        <v>0</v>
      </c>
      <c r="P2607" s="166">
        <v>1</v>
      </c>
      <c r="Q2607" s="166">
        <v>6</v>
      </c>
      <c r="R2607" s="164">
        <f>$L2607*'Pivot Objective'!$C$9*P2607*Q2607</f>
        <v>2688088.9595620083</v>
      </c>
      <c r="S2607" s="166">
        <v>2</v>
      </c>
      <c r="T2607" s="166">
        <v>2</v>
      </c>
      <c r="U2607" s="164">
        <f>($L2607*'Pivot Objective'!$C$9^2)*S2607*T2607</f>
        <v>2048182.3883307995</v>
      </c>
      <c r="V2607" s="166">
        <v>0</v>
      </c>
      <c r="W2607" s="166">
        <v>0</v>
      </c>
      <c r="X2607" s="164">
        <f>($L2607*'Pivot Objective'!$C$9^3)*V2607*W2607</f>
        <v>0</v>
      </c>
      <c r="Y2607" s="166">
        <v>2</v>
      </c>
      <c r="Z2607" s="166">
        <v>2</v>
      </c>
      <c r="AA2607" s="164">
        <f>($L2607*'Pivot Objective'!$C$9^4)*Y2607*Z2607</f>
        <v>2675476.4105215403</v>
      </c>
      <c r="AB2607" s="166">
        <v>0</v>
      </c>
      <c r="AC2607" s="166">
        <v>0</v>
      </c>
      <c r="AD2607" s="164">
        <f>($L2607*'Pivot Objective'!$C$9^5)*AB2607*AC2607</f>
        <v>0</v>
      </c>
      <c r="AE2607" s="166">
        <v>0</v>
      </c>
      <c r="AF2607" s="166">
        <v>0</v>
      </c>
      <c r="AG2607" s="164">
        <f>($L2607*'Pivot Objective'!$C$9^6)*AE2607*AF2607</f>
        <v>0</v>
      </c>
      <c r="AH2607" s="166">
        <v>2</v>
      </c>
      <c r="AI2607" s="166">
        <v>2</v>
      </c>
      <c r="AJ2607" s="164">
        <f>($L2607*'Pivot Objective'!$C$9^7)*AH2607*AI2607</f>
        <v>3994384.5595926056</v>
      </c>
      <c r="AK2607" s="185">
        <f t="shared" si="284"/>
        <v>11406132.318006955</v>
      </c>
      <c r="AL2607" s="186">
        <f t="shared" si="285"/>
        <v>11073.914871851413</v>
      </c>
    </row>
    <row r="2608" spans="1:38" customFormat="1" ht="57.6" x14ac:dyDescent="0.3">
      <c r="A2608" s="140" t="s">
        <v>1489</v>
      </c>
      <c r="B2608" s="140">
        <v>4</v>
      </c>
      <c r="C2608" s="166" t="s">
        <v>697</v>
      </c>
      <c r="D2608" s="140" t="str">
        <f t="shared" si="287"/>
        <v>3</v>
      </c>
      <c r="E2608" s="166" t="s">
        <v>694</v>
      </c>
      <c r="F2608" s="140">
        <f t="shared" ref="F2608:F2639" si="289">IF(H2608=H2607,F2607,F2607+1)</f>
        <v>2</v>
      </c>
      <c r="G2608" s="140" t="str">
        <f t="shared" si="288"/>
        <v>4.3.2</v>
      </c>
      <c r="H2608" s="166" t="s">
        <v>676</v>
      </c>
      <c r="I2608" s="166" t="s">
        <v>123</v>
      </c>
      <c r="J2608" s="166" t="s">
        <v>149</v>
      </c>
      <c r="K2608" s="166" t="s">
        <v>708</v>
      </c>
      <c r="L2608" s="167">
        <v>511000</v>
      </c>
      <c r="M2608" s="166"/>
      <c r="N2608" s="166"/>
      <c r="O2608" s="164">
        <f t="shared" si="283"/>
        <v>0</v>
      </c>
      <c r="P2608" s="166">
        <v>1</v>
      </c>
      <c r="Q2608" s="166">
        <v>40</v>
      </c>
      <c r="R2608" s="164">
        <f>$L2608*'Pivot Objective'!$C$9*P2608*Q2608</f>
        <v>23361307.222679999</v>
      </c>
      <c r="S2608" s="166">
        <v>0</v>
      </c>
      <c r="T2608" s="166">
        <v>0</v>
      </c>
      <c r="U2608" s="164">
        <f>($L2608*'Pivot Objective'!$C$9^2)*S2608*T2608</f>
        <v>0</v>
      </c>
      <c r="V2608" s="166">
        <v>0</v>
      </c>
      <c r="W2608" s="166">
        <v>0</v>
      </c>
      <c r="X2608" s="164">
        <f>($L2608*'Pivot Objective'!$C$9^3)*V2608*W2608</f>
        <v>0</v>
      </c>
      <c r="Y2608" s="166">
        <v>0</v>
      </c>
      <c r="Z2608" s="166">
        <v>0</v>
      </c>
      <c r="AA2608" s="164">
        <f>($L2608*'Pivot Objective'!$C$9^4)*Y2608*Z2608</f>
        <v>0</v>
      </c>
      <c r="AB2608" s="166">
        <v>0</v>
      </c>
      <c r="AC2608" s="166">
        <v>0</v>
      </c>
      <c r="AD2608" s="164">
        <f>($L2608*'Pivot Objective'!$C$9^5)*AB2608*AC2608</f>
        <v>0</v>
      </c>
      <c r="AE2608" s="166">
        <v>0</v>
      </c>
      <c r="AF2608" s="166">
        <v>0</v>
      </c>
      <c r="AG2608" s="164">
        <f>($L2608*'Pivot Objective'!$C$9^6)*AE2608*AF2608</f>
        <v>0</v>
      </c>
      <c r="AH2608" s="166">
        <v>0</v>
      </c>
      <c r="AI2608" s="166">
        <v>0</v>
      </c>
      <c r="AJ2608" s="164">
        <f>($L2608*'Pivot Objective'!$C$9^7)*AH2608*AI2608</f>
        <v>0</v>
      </c>
      <c r="AK2608" s="185">
        <f t="shared" si="284"/>
        <v>23361307.222679999</v>
      </c>
      <c r="AL2608" s="186">
        <f t="shared" si="285"/>
        <v>22680.880798718445</v>
      </c>
    </row>
    <row r="2609" spans="1:38" customFormat="1" ht="57.6" x14ac:dyDescent="0.3">
      <c r="A2609" s="140" t="s">
        <v>1489</v>
      </c>
      <c r="B2609" s="140">
        <v>4</v>
      </c>
      <c r="C2609" s="166" t="s">
        <v>697</v>
      </c>
      <c r="D2609" s="140" t="str">
        <f t="shared" si="287"/>
        <v>3</v>
      </c>
      <c r="E2609" s="166" t="s">
        <v>694</v>
      </c>
      <c r="F2609" s="140">
        <f t="shared" si="289"/>
        <v>2</v>
      </c>
      <c r="G2609" s="140" t="str">
        <f t="shared" si="288"/>
        <v>4.3.2</v>
      </c>
      <c r="H2609" s="166" t="s">
        <v>676</v>
      </c>
      <c r="I2609" s="166" t="s">
        <v>123</v>
      </c>
      <c r="J2609" s="166" t="s">
        <v>582</v>
      </c>
      <c r="K2609" s="166" t="s">
        <v>718</v>
      </c>
      <c r="L2609" s="167">
        <v>0</v>
      </c>
      <c r="M2609" s="166"/>
      <c r="N2609" s="166"/>
      <c r="O2609" s="164">
        <f t="shared" si="283"/>
        <v>0</v>
      </c>
      <c r="P2609" s="166">
        <v>0</v>
      </c>
      <c r="Q2609" s="166">
        <v>0</v>
      </c>
      <c r="R2609" s="164">
        <f>$L2609*'Pivot Objective'!$C$9*P2609*Q2609</f>
        <v>0</v>
      </c>
      <c r="S2609" s="166">
        <v>0</v>
      </c>
      <c r="T2609" s="166">
        <v>0</v>
      </c>
      <c r="U2609" s="164">
        <f>($L2609*'Pivot Objective'!$C$9^2)*S2609*T2609</f>
        <v>0</v>
      </c>
      <c r="V2609" s="166">
        <v>0</v>
      </c>
      <c r="W2609" s="166">
        <v>0</v>
      </c>
      <c r="X2609" s="164">
        <f>($L2609*'Pivot Objective'!$C$9^3)*V2609*W2609</f>
        <v>0</v>
      </c>
      <c r="Y2609" s="166">
        <v>0</v>
      </c>
      <c r="Z2609" s="166">
        <v>0</v>
      </c>
      <c r="AA2609" s="164">
        <f>($L2609*'Pivot Objective'!$C$9^4)*Y2609*Z2609</f>
        <v>0</v>
      </c>
      <c r="AB2609" s="166">
        <v>0</v>
      </c>
      <c r="AC2609" s="166">
        <v>0</v>
      </c>
      <c r="AD2609" s="164">
        <f>($L2609*'Pivot Objective'!$C$9^5)*AB2609*AC2609</f>
        <v>0</v>
      </c>
      <c r="AE2609" s="166">
        <v>0</v>
      </c>
      <c r="AF2609" s="166">
        <v>0</v>
      </c>
      <c r="AG2609" s="164">
        <f>($L2609*'Pivot Objective'!$C$9^6)*AE2609*AF2609</f>
        <v>0</v>
      </c>
      <c r="AH2609" s="166">
        <v>0</v>
      </c>
      <c r="AI2609" s="166">
        <v>0</v>
      </c>
      <c r="AJ2609" s="164">
        <f>($L2609*'Pivot Objective'!$C$9^7)*AH2609*AI2609</f>
        <v>0</v>
      </c>
      <c r="AK2609" s="185">
        <f t="shared" si="284"/>
        <v>0</v>
      </c>
      <c r="AL2609" s="186">
        <f t="shared" si="285"/>
        <v>0</v>
      </c>
    </row>
    <row r="2610" spans="1:38" customFormat="1" ht="57.6" x14ac:dyDescent="0.3">
      <c r="A2610" s="140" t="s">
        <v>1489</v>
      </c>
      <c r="B2610" s="140">
        <v>4</v>
      </c>
      <c r="C2610" s="166" t="s">
        <v>697</v>
      </c>
      <c r="D2610" s="140" t="str">
        <f t="shared" si="287"/>
        <v>3</v>
      </c>
      <c r="E2610" s="166" t="s">
        <v>694</v>
      </c>
      <c r="F2610" s="140">
        <f t="shared" si="289"/>
        <v>2</v>
      </c>
      <c r="G2610" s="140" t="str">
        <f t="shared" si="288"/>
        <v>4.3.2</v>
      </c>
      <c r="H2610" s="166" t="s">
        <v>676</v>
      </c>
      <c r="I2610" s="166" t="s">
        <v>123</v>
      </c>
      <c r="J2610" s="166" t="s">
        <v>175</v>
      </c>
      <c r="K2610" s="166" t="s">
        <v>709</v>
      </c>
      <c r="L2610" s="167">
        <v>35000</v>
      </c>
      <c r="M2610" s="166"/>
      <c r="N2610" s="166"/>
      <c r="O2610" s="164">
        <f t="shared" si="283"/>
        <v>0</v>
      </c>
      <c r="P2610" s="166">
        <v>30</v>
      </c>
      <c r="Q2610" s="166">
        <v>1</v>
      </c>
      <c r="R2610" s="164">
        <f>$L2610*'Pivot Objective'!$C$9*P2610*Q2610</f>
        <v>1200067.1518499998</v>
      </c>
      <c r="S2610" s="166">
        <v>100</v>
      </c>
      <c r="T2610" s="166">
        <v>5</v>
      </c>
      <c r="U2610" s="164">
        <f>($L2610*'Pivot Objective'!$C$9^2)*S2610*T2610</f>
        <v>22859701.094434455</v>
      </c>
      <c r="V2610" s="166">
        <v>0</v>
      </c>
      <c r="W2610" s="166">
        <v>0</v>
      </c>
      <c r="X2610" s="164">
        <f>($L2610*'Pivot Objective'!$C$9^3)*V2610*W2610</f>
        <v>0</v>
      </c>
      <c r="Y2610" s="166">
        <v>100</v>
      </c>
      <c r="Z2610" s="166">
        <v>5</v>
      </c>
      <c r="AA2610" s="164">
        <f>($L2610*'Pivot Objective'!$C$9^4)*Y2610*Z2610</f>
        <v>29860910.521536451</v>
      </c>
      <c r="AB2610" s="166">
        <v>0</v>
      </c>
      <c r="AC2610" s="166">
        <v>0</v>
      </c>
      <c r="AD2610" s="164">
        <f>($L2610*'Pivot Objective'!$C$9^5)*AB2610*AC2610</f>
        <v>0</v>
      </c>
      <c r="AE2610" s="166">
        <v>0</v>
      </c>
      <c r="AF2610" s="166">
        <v>0</v>
      </c>
      <c r="AG2610" s="164">
        <f>($L2610*'Pivot Objective'!$C$9^6)*AE2610*AF2610</f>
        <v>0</v>
      </c>
      <c r="AH2610" s="166">
        <v>100</v>
      </c>
      <c r="AI2610" s="166">
        <v>5</v>
      </c>
      <c r="AJ2610" s="164">
        <f>($L2610*'Pivot Objective'!$C$9^7)*AH2610*AI2610</f>
        <v>44581204.100151524</v>
      </c>
      <c r="AK2610" s="185">
        <f t="shared" si="284"/>
        <v>98501882.867972434</v>
      </c>
      <c r="AL2610" s="186">
        <f t="shared" si="285"/>
        <v>95632.895988322751</v>
      </c>
    </row>
    <row r="2611" spans="1:38" customFormat="1" ht="57.6" x14ac:dyDescent="0.3">
      <c r="A2611" s="140" t="s">
        <v>1489</v>
      </c>
      <c r="B2611" s="140">
        <v>4</v>
      </c>
      <c r="C2611" s="166" t="s">
        <v>697</v>
      </c>
      <c r="D2611" s="140" t="str">
        <f t="shared" si="287"/>
        <v>3</v>
      </c>
      <c r="E2611" s="166" t="s">
        <v>694</v>
      </c>
      <c r="F2611" s="140">
        <f t="shared" si="289"/>
        <v>2</v>
      </c>
      <c r="G2611" s="140" t="str">
        <f t="shared" si="288"/>
        <v>4.3.2</v>
      </c>
      <c r="H2611" s="166" t="s">
        <v>676</v>
      </c>
      <c r="I2611" s="166" t="s">
        <v>123</v>
      </c>
      <c r="J2611" s="166" t="s">
        <v>175</v>
      </c>
      <c r="K2611" s="166" t="s">
        <v>716</v>
      </c>
      <c r="L2611" s="167">
        <v>39000</v>
      </c>
      <c r="M2611" s="166"/>
      <c r="N2611" s="166"/>
      <c r="O2611" s="164">
        <f t="shared" si="283"/>
        <v>0</v>
      </c>
      <c r="P2611" s="166"/>
      <c r="Q2611" s="166"/>
      <c r="R2611" s="164">
        <f>$L2611*'Pivot Objective'!$C$9*P2611*Q2611</f>
        <v>0</v>
      </c>
      <c r="S2611" s="166">
        <v>58</v>
      </c>
      <c r="T2611" s="166">
        <v>6</v>
      </c>
      <c r="U2611" s="164">
        <f>($L2611*'Pivot Objective'!$C$9^2)*S2611*T2611</f>
        <v>17728677.900209397</v>
      </c>
      <c r="V2611" s="166"/>
      <c r="W2611" s="166"/>
      <c r="X2611" s="164">
        <f>($L2611*'Pivot Objective'!$C$9^3)*V2611*W2611</f>
        <v>0</v>
      </c>
      <c r="Y2611" s="166">
        <v>58</v>
      </c>
      <c r="Z2611" s="166">
        <v>6</v>
      </c>
      <c r="AA2611" s="164">
        <f>($L2611*'Pivot Objective'!$C$9^4)*Y2611*Z2611</f>
        <v>23158415.862759583</v>
      </c>
      <c r="AB2611" s="166"/>
      <c r="AC2611" s="166"/>
      <c r="AD2611" s="164">
        <f>($L2611*'Pivot Objective'!$C$9^5)*AB2611*AC2611</f>
        <v>0</v>
      </c>
      <c r="AE2611" s="166"/>
      <c r="AF2611" s="166"/>
      <c r="AG2611" s="164">
        <f>($L2611*'Pivot Objective'!$C$9^6)*AE2611*AF2611</f>
        <v>0</v>
      </c>
      <c r="AH2611" s="166">
        <v>58</v>
      </c>
      <c r="AI2611" s="166">
        <v>6</v>
      </c>
      <c r="AJ2611" s="164">
        <f>($L2611*'Pivot Objective'!$C$9^7)*AH2611*AI2611</f>
        <v>34574634.402700365</v>
      </c>
      <c r="AK2611" s="185">
        <f t="shared" si="284"/>
        <v>75461728.165669352</v>
      </c>
      <c r="AL2611" s="186">
        <f t="shared" si="285"/>
        <v>73263.813753077047</v>
      </c>
    </row>
    <row r="2612" spans="1:38" customFormat="1" ht="57.6" x14ac:dyDescent="0.3">
      <c r="A2612" s="140" t="s">
        <v>1489</v>
      </c>
      <c r="B2612" s="140">
        <v>4</v>
      </c>
      <c r="C2612" s="166" t="s">
        <v>697</v>
      </c>
      <c r="D2612" s="140" t="str">
        <f t="shared" si="287"/>
        <v>3</v>
      </c>
      <c r="E2612" s="166" t="s">
        <v>694</v>
      </c>
      <c r="F2612" s="140">
        <f t="shared" si="289"/>
        <v>2</v>
      </c>
      <c r="G2612" s="140" t="str">
        <f t="shared" si="288"/>
        <v>4.3.2</v>
      </c>
      <c r="H2612" s="166" t="s">
        <v>676</v>
      </c>
      <c r="I2612" s="166" t="s">
        <v>123</v>
      </c>
      <c r="J2612" s="166" t="s">
        <v>175</v>
      </c>
      <c r="K2612" s="166" t="s">
        <v>712</v>
      </c>
      <c r="L2612" s="167">
        <v>211.42857142857142</v>
      </c>
      <c r="M2612" s="166"/>
      <c r="N2612" s="166"/>
      <c r="O2612" s="164">
        <f t="shared" si="283"/>
        <v>0</v>
      </c>
      <c r="P2612" s="166"/>
      <c r="Q2612" s="166"/>
      <c r="R2612" s="164">
        <f>$L2612*'Pivot Objective'!$C$9*P2612*Q2612</f>
        <v>0</v>
      </c>
      <c r="S2612" s="166">
        <v>1450</v>
      </c>
      <c r="T2612" s="166">
        <v>5</v>
      </c>
      <c r="U2612" s="164">
        <f>($L2612*'Pivot Objective'!$C$9^2)*S2612*T2612</f>
        <v>2002323.2060676059</v>
      </c>
      <c r="V2612" s="166"/>
      <c r="W2612" s="166"/>
      <c r="X2612" s="164">
        <f>($L2612*'Pivot Objective'!$C$9^3)*V2612*W2612</f>
        <v>0</v>
      </c>
      <c r="Y2612" s="166">
        <v>1450</v>
      </c>
      <c r="Z2612" s="166">
        <v>5</v>
      </c>
      <c r="AA2612" s="164">
        <f>($L2612*'Pivot Objective'!$C$9^4)*Y2612*Z2612</f>
        <v>2615571.999151723</v>
      </c>
      <c r="AB2612" s="166"/>
      <c r="AC2612" s="166"/>
      <c r="AD2612" s="164">
        <f>($L2612*'Pivot Objective'!$C$9^5)*AB2612*AC2612</f>
        <v>0</v>
      </c>
      <c r="AE2612" s="166"/>
      <c r="AF2612" s="166"/>
      <c r="AG2612" s="164">
        <f>($L2612*'Pivot Objective'!$C$9^6)*AE2612*AF2612</f>
        <v>0</v>
      </c>
      <c r="AH2612" s="166">
        <v>1450</v>
      </c>
      <c r="AI2612" s="166">
        <v>5</v>
      </c>
      <c r="AJ2612" s="164">
        <f>($L2612*'Pivot Objective'!$C$9^7)*AH2612*AI2612</f>
        <v>3904949.5509765372</v>
      </c>
      <c r="AK2612" s="185">
        <f t="shared" si="284"/>
        <v>8522844.7561958656</v>
      </c>
      <c r="AL2612" s="186">
        <f t="shared" si="285"/>
        <v>8274.6065594134616</v>
      </c>
    </row>
    <row r="2613" spans="1:38" customFormat="1" ht="57.6" x14ac:dyDescent="0.3">
      <c r="A2613" s="140" t="s">
        <v>1489</v>
      </c>
      <c r="B2613" s="140">
        <v>4</v>
      </c>
      <c r="C2613" s="166" t="s">
        <v>697</v>
      </c>
      <c r="D2613" s="140" t="str">
        <f t="shared" si="287"/>
        <v>3</v>
      </c>
      <c r="E2613" s="166" t="s">
        <v>694</v>
      </c>
      <c r="F2613" s="140">
        <f t="shared" si="289"/>
        <v>2</v>
      </c>
      <c r="G2613" s="140" t="str">
        <f t="shared" si="288"/>
        <v>4.3.2</v>
      </c>
      <c r="H2613" s="166" t="s">
        <v>676</v>
      </c>
      <c r="I2613" s="166" t="s">
        <v>123</v>
      </c>
      <c r="J2613" s="166" t="s">
        <v>175</v>
      </c>
      <c r="K2613" s="166" t="s">
        <v>1299</v>
      </c>
      <c r="L2613" s="167">
        <v>211.42857142857142</v>
      </c>
      <c r="M2613" s="166"/>
      <c r="N2613" s="166"/>
      <c r="O2613" s="164">
        <f t="shared" si="283"/>
        <v>0</v>
      </c>
      <c r="P2613" s="166"/>
      <c r="Q2613" s="166"/>
      <c r="R2613" s="164">
        <f>$L2613*'Pivot Objective'!$C$9*P2613*Q2613</f>
        <v>0</v>
      </c>
      <c r="S2613" s="166">
        <v>22500</v>
      </c>
      <c r="T2613" s="166">
        <v>1</v>
      </c>
      <c r="U2613" s="164">
        <f>($L2613*'Pivot Objective'!$C$9^2)*S2613*T2613</f>
        <v>6214106.5015891213</v>
      </c>
      <c r="V2613" s="166"/>
      <c r="W2613" s="166"/>
      <c r="X2613" s="164">
        <f>($L2613*'Pivot Objective'!$C$9^3)*V2613*W2613</f>
        <v>0</v>
      </c>
      <c r="Y2613" s="166">
        <v>22500</v>
      </c>
      <c r="Z2613" s="166">
        <v>1</v>
      </c>
      <c r="AA2613" s="164">
        <f>($L2613*'Pivot Objective'!$C$9^4)*Y2613*Z2613</f>
        <v>8117292.4111605193</v>
      </c>
      <c r="AB2613" s="166"/>
      <c r="AC2613" s="166"/>
      <c r="AD2613" s="164">
        <f>($L2613*'Pivot Objective'!$C$9^5)*AB2613*AC2613</f>
        <v>0</v>
      </c>
      <c r="AE2613" s="166"/>
      <c r="AF2613" s="166"/>
      <c r="AG2613" s="164">
        <f>($L2613*'Pivot Objective'!$C$9^6)*AE2613*AF2613</f>
        <v>0</v>
      </c>
      <c r="AH2613" s="166">
        <v>22500</v>
      </c>
      <c r="AI2613" s="166">
        <v>1</v>
      </c>
      <c r="AJ2613" s="164">
        <f>($L2613*'Pivot Objective'!$C$9^7)*AH2613*AI2613</f>
        <v>12118808.951306494</v>
      </c>
      <c r="AK2613" s="185">
        <f t="shared" si="284"/>
        <v>26450207.864056133</v>
      </c>
      <c r="AL2613" s="186">
        <f t="shared" si="285"/>
        <v>25679.813460248672</v>
      </c>
    </row>
    <row r="2614" spans="1:38" customFormat="1" ht="57.6" x14ac:dyDescent="0.3">
      <c r="A2614" s="140" t="s">
        <v>1489</v>
      </c>
      <c r="B2614" s="140">
        <v>4</v>
      </c>
      <c r="C2614" s="166" t="s">
        <v>697</v>
      </c>
      <c r="D2614" s="140" t="str">
        <f t="shared" si="287"/>
        <v>3</v>
      </c>
      <c r="E2614" s="166" t="s">
        <v>694</v>
      </c>
      <c r="F2614" s="140">
        <f t="shared" si="289"/>
        <v>2</v>
      </c>
      <c r="G2614" s="140" t="str">
        <f t="shared" si="288"/>
        <v>4.3.2</v>
      </c>
      <c r="H2614" s="166" t="s">
        <v>676</v>
      </c>
      <c r="I2614" s="166" t="s">
        <v>124</v>
      </c>
      <c r="J2614" s="166" t="s">
        <v>1407</v>
      </c>
      <c r="K2614" s="166" t="s">
        <v>709</v>
      </c>
      <c r="L2614" s="167">
        <v>35000</v>
      </c>
      <c r="M2614" s="166"/>
      <c r="N2614" s="166"/>
      <c r="O2614" s="164">
        <f t="shared" si="283"/>
        <v>0</v>
      </c>
      <c r="P2614" s="166"/>
      <c r="Q2614" s="166"/>
      <c r="R2614" s="164">
        <f>$L2614*'Pivot Objective'!$C$9*P2614*Q2614</f>
        <v>0</v>
      </c>
      <c r="S2614" s="166">
        <v>15</v>
      </c>
      <c r="T2614" s="166">
        <v>5</v>
      </c>
      <c r="U2614" s="164">
        <f>($L2614*'Pivot Objective'!$C$9^2)*S2614*T2614</f>
        <v>3428955.1641651681</v>
      </c>
      <c r="V2614" s="166">
        <v>0</v>
      </c>
      <c r="W2614" s="166">
        <v>0</v>
      </c>
      <c r="X2614" s="164">
        <f>($L2614*'Pivot Objective'!$C$9^3)*V2614*W2614</f>
        <v>0</v>
      </c>
      <c r="Y2614" s="166">
        <v>15</v>
      </c>
      <c r="Z2614" s="166">
        <v>5</v>
      </c>
      <c r="AA2614" s="164">
        <f>($L2614*'Pivot Objective'!$C$9^4)*Y2614*Z2614</f>
        <v>4479136.5782304676</v>
      </c>
      <c r="AB2614" s="166">
        <v>0</v>
      </c>
      <c r="AC2614" s="166">
        <v>0</v>
      </c>
      <c r="AD2614" s="164">
        <f>($L2614*'Pivot Objective'!$C$9^5)*AB2614*AC2614</f>
        <v>0</v>
      </c>
      <c r="AE2614" s="166">
        <v>15</v>
      </c>
      <c r="AF2614" s="166">
        <v>5</v>
      </c>
      <c r="AG2614" s="164">
        <f>($L2614*'Pivot Objective'!$C$9^6)*AE2614*AF2614</f>
        <v>5850955.6193997953</v>
      </c>
      <c r="AH2614" s="166">
        <v>0</v>
      </c>
      <c r="AI2614" s="166">
        <v>0</v>
      </c>
      <c r="AJ2614" s="164">
        <f>($L2614*'Pivot Objective'!$C$9^7)*AH2614*AI2614</f>
        <v>0</v>
      </c>
      <c r="AK2614" s="185">
        <f t="shared" si="284"/>
        <v>13759047.361795431</v>
      </c>
      <c r="AL2614" s="186">
        <f t="shared" si="285"/>
        <v>13358.298409510127</v>
      </c>
    </row>
    <row r="2615" spans="1:38" customFormat="1" ht="57.6" x14ac:dyDescent="0.3">
      <c r="A2615" s="140" t="s">
        <v>1489</v>
      </c>
      <c r="B2615" s="140">
        <v>4</v>
      </c>
      <c r="C2615" s="166" t="s">
        <v>697</v>
      </c>
      <c r="D2615" s="140" t="str">
        <f t="shared" si="287"/>
        <v>3</v>
      </c>
      <c r="E2615" s="166" t="s">
        <v>694</v>
      </c>
      <c r="F2615" s="140">
        <f t="shared" si="289"/>
        <v>2</v>
      </c>
      <c r="G2615" s="140" t="str">
        <f t="shared" si="288"/>
        <v>4.3.2</v>
      </c>
      <c r="H2615" s="166" t="s">
        <v>676</v>
      </c>
      <c r="I2615" s="166" t="s">
        <v>124</v>
      </c>
      <c r="J2615" s="166" t="s">
        <v>1408</v>
      </c>
      <c r="K2615" s="166" t="s">
        <v>716</v>
      </c>
      <c r="L2615" s="167">
        <v>39000</v>
      </c>
      <c r="M2615" s="166"/>
      <c r="N2615" s="166"/>
      <c r="O2615" s="164">
        <f t="shared" si="283"/>
        <v>0</v>
      </c>
      <c r="P2615" s="166"/>
      <c r="Q2615" s="166"/>
      <c r="R2615" s="164">
        <f>$L2615*'Pivot Objective'!$C$9*P2615*Q2615</f>
        <v>0</v>
      </c>
      <c r="S2615" s="166">
        <v>15</v>
      </c>
      <c r="T2615" s="166">
        <v>5</v>
      </c>
      <c r="U2615" s="164">
        <f>($L2615*'Pivot Objective'!$C$9^2)*S2615*T2615</f>
        <v>3820835.7543554734</v>
      </c>
      <c r="V2615" s="166">
        <v>0</v>
      </c>
      <c r="W2615" s="166">
        <v>0</v>
      </c>
      <c r="X2615" s="164">
        <f>($L2615*'Pivot Objective'!$C$9^3)*V2615*W2615</f>
        <v>0</v>
      </c>
      <c r="Y2615" s="166">
        <v>15</v>
      </c>
      <c r="Z2615" s="166">
        <v>5</v>
      </c>
      <c r="AA2615" s="164">
        <f>($L2615*'Pivot Objective'!$C$9^4)*Y2615*Z2615</f>
        <v>4991037.9014568068</v>
      </c>
      <c r="AB2615" s="166">
        <v>0</v>
      </c>
      <c r="AC2615" s="166">
        <v>0</v>
      </c>
      <c r="AD2615" s="164">
        <f>($L2615*'Pivot Objective'!$C$9^5)*AB2615*AC2615</f>
        <v>0</v>
      </c>
      <c r="AE2615" s="166">
        <v>15</v>
      </c>
      <c r="AF2615" s="166">
        <v>5</v>
      </c>
      <c r="AG2615" s="164">
        <f>($L2615*'Pivot Objective'!$C$9^6)*AE2615*AF2615</f>
        <v>6519636.2616169155</v>
      </c>
      <c r="AH2615" s="166">
        <v>0</v>
      </c>
      <c r="AI2615" s="166">
        <v>0</v>
      </c>
      <c r="AJ2615" s="164">
        <f>($L2615*'Pivot Objective'!$C$9^7)*AH2615*AI2615</f>
        <v>0</v>
      </c>
      <c r="AK2615" s="185">
        <f t="shared" si="284"/>
        <v>15331509.917429196</v>
      </c>
      <c r="AL2615" s="186">
        <f t="shared" si="285"/>
        <v>14884.961084882714</v>
      </c>
    </row>
    <row r="2616" spans="1:38" customFormat="1" ht="57.6" x14ac:dyDescent="0.3">
      <c r="A2616" s="140" t="s">
        <v>1489</v>
      </c>
      <c r="B2616" s="140">
        <v>4</v>
      </c>
      <c r="C2616" s="166" t="s">
        <v>697</v>
      </c>
      <c r="D2616" s="140" t="str">
        <f t="shared" si="287"/>
        <v>3</v>
      </c>
      <c r="E2616" s="166" t="s">
        <v>694</v>
      </c>
      <c r="F2616" s="140">
        <f t="shared" si="289"/>
        <v>2</v>
      </c>
      <c r="G2616" s="140" t="str">
        <f t="shared" si="288"/>
        <v>4.3.2</v>
      </c>
      <c r="H2616" s="166" t="s">
        <v>676</v>
      </c>
      <c r="I2616" s="166" t="s">
        <v>124</v>
      </c>
      <c r="J2616" s="166" t="s">
        <v>1408</v>
      </c>
      <c r="K2616" s="166" t="s">
        <v>712</v>
      </c>
      <c r="L2616" s="167">
        <v>211.42857142857142</v>
      </c>
      <c r="M2616" s="166"/>
      <c r="N2616" s="166"/>
      <c r="O2616" s="164">
        <f t="shared" si="283"/>
        <v>0</v>
      </c>
      <c r="P2616" s="166"/>
      <c r="Q2616" s="166"/>
      <c r="R2616" s="164">
        <f>$L2616*'Pivot Objective'!$C$9*P2616*Q2616</f>
        <v>0</v>
      </c>
      <c r="S2616" s="166">
        <v>300</v>
      </c>
      <c r="T2616" s="166">
        <v>5</v>
      </c>
      <c r="U2616" s="164">
        <f>($L2616*'Pivot Objective'!$C$9^2)*S2616*T2616</f>
        <v>414273.76677260804</v>
      </c>
      <c r="V2616" s="166">
        <v>0</v>
      </c>
      <c r="W2616" s="166">
        <v>0</v>
      </c>
      <c r="X2616" s="164">
        <f>($L2616*'Pivot Objective'!$C$9^3)*V2616*W2616</f>
        <v>0</v>
      </c>
      <c r="Y2616" s="166">
        <v>300</v>
      </c>
      <c r="Z2616" s="166">
        <v>5</v>
      </c>
      <c r="AA2616" s="164">
        <f>($L2616*'Pivot Objective'!$C$9^4)*Y2616*Z2616</f>
        <v>541152.82741070131</v>
      </c>
      <c r="AB2616" s="166">
        <v>0</v>
      </c>
      <c r="AC2616" s="166">
        <v>0</v>
      </c>
      <c r="AD2616" s="164">
        <f>($L2616*'Pivot Objective'!$C$9^5)*AB2616*AC2616</f>
        <v>0</v>
      </c>
      <c r="AE2616" s="166">
        <v>300</v>
      </c>
      <c r="AF2616" s="166">
        <v>5</v>
      </c>
      <c r="AG2616" s="164">
        <f>($L2616*'Pivot Objective'!$C$9^6)*AE2616*AF2616</f>
        <v>706890.96462952625</v>
      </c>
      <c r="AH2616" s="166">
        <v>0</v>
      </c>
      <c r="AI2616" s="166">
        <v>0</v>
      </c>
      <c r="AJ2616" s="164">
        <f>($L2616*'Pivot Objective'!$C$9^7)*AH2616*AI2616</f>
        <v>0</v>
      </c>
      <c r="AK2616" s="185">
        <f t="shared" si="284"/>
        <v>1662317.5588128357</v>
      </c>
      <c r="AL2616" s="186">
        <f t="shared" si="285"/>
        <v>1613.9005425367336</v>
      </c>
    </row>
    <row r="2617" spans="1:38" customFormat="1" ht="57.6" x14ac:dyDescent="0.3">
      <c r="A2617" s="140" t="s">
        <v>1489</v>
      </c>
      <c r="B2617" s="140">
        <v>4</v>
      </c>
      <c r="C2617" s="166" t="s">
        <v>697</v>
      </c>
      <c r="D2617" s="140" t="str">
        <f t="shared" si="287"/>
        <v>3</v>
      </c>
      <c r="E2617" s="166" t="s">
        <v>694</v>
      </c>
      <c r="F2617" s="140">
        <f t="shared" si="289"/>
        <v>2</v>
      </c>
      <c r="G2617" s="140" t="str">
        <f t="shared" si="288"/>
        <v>4.3.2</v>
      </c>
      <c r="H2617" s="166" t="s">
        <v>676</v>
      </c>
      <c r="I2617" s="166" t="s">
        <v>124</v>
      </c>
      <c r="J2617" s="166" t="s">
        <v>1407</v>
      </c>
      <c r="K2617" s="166" t="s">
        <v>1299</v>
      </c>
      <c r="L2617" s="167">
        <v>211.42857142857142</v>
      </c>
      <c r="M2617" s="166"/>
      <c r="N2617" s="166"/>
      <c r="O2617" s="164">
        <f t="shared" si="283"/>
        <v>0</v>
      </c>
      <c r="P2617" s="166"/>
      <c r="Q2617" s="166"/>
      <c r="R2617" s="164">
        <f>$L2617*'Pivot Objective'!$C$9*P2617*Q2617</f>
        <v>0</v>
      </c>
      <c r="S2617" s="166">
        <v>1620</v>
      </c>
      <c r="T2617" s="166">
        <v>1</v>
      </c>
      <c r="U2617" s="164">
        <f>($L2617*'Pivot Objective'!$C$9^2)*S2617*T2617</f>
        <v>447415.66811441677</v>
      </c>
      <c r="V2617" s="166"/>
      <c r="W2617" s="166"/>
      <c r="X2617" s="164">
        <f>($L2617*'Pivot Objective'!$C$9^3)*V2617*W2617</f>
        <v>0</v>
      </c>
      <c r="Y2617" s="166">
        <v>1620</v>
      </c>
      <c r="Z2617" s="166">
        <v>1</v>
      </c>
      <c r="AA2617" s="164">
        <f>($L2617*'Pivot Objective'!$C$9^4)*Y2617*Z2617</f>
        <v>584445.0536035574</v>
      </c>
      <c r="AB2617" s="166"/>
      <c r="AC2617" s="166"/>
      <c r="AD2617" s="164">
        <f>($L2617*'Pivot Objective'!$C$9^5)*AB2617*AC2617</f>
        <v>0</v>
      </c>
      <c r="AE2617" s="166">
        <v>1620</v>
      </c>
      <c r="AF2617" s="166">
        <v>1</v>
      </c>
      <c r="AG2617" s="164">
        <f>($L2617*'Pivot Objective'!$C$9^6)*AE2617*AF2617</f>
        <v>763442.24179988843</v>
      </c>
      <c r="AH2617" s="166"/>
      <c r="AI2617" s="166"/>
      <c r="AJ2617" s="164">
        <f>($L2617*'Pivot Objective'!$C$9^7)*AH2617*AI2617</f>
        <v>0</v>
      </c>
      <c r="AK2617" s="185">
        <f t="shared" si="284"/>
        <v>1795302.9635178626</v>
      </c>
      <c r="AL2617" s="186">
        <f t="shared" si="285"/>
        <v>1743.0125859396724</v>
      </c>
    </row>
    <row r="2618" spans="1:38" customFormat="1" ht="57.6" x14ac:dyDescent="0.3">
      <c r="A2618" s="140" t="s">
        <v>1489</v>
      </c>
      <c r="B2618" s="140">
        <v>4</v>
      </c>
      <c r="C2618" s="166" t="s">
        <v>697</v>
      </c>
      <c r="D2618" s="140" t="str">
        <f t="shared" si="287"/>
        <v>3</v>
      </c>
      <c r="E2618" s="166" t="s">
        <v>694</v>
      </c>
      <c r="F2618" s="140">
        <f t="shared" si="289"/>
        <v>2</v>
      </c>
      <c r="G2618" s="140" t="str">
        <f t="shared" si="288"/>
        <v>4.3.2</v>
      </c>
      <c r="H2618" s="166" t="s">
        <v>676</v>
      </c>
      <c r="I2618" s="166" t="s">
        <v>124</v>
      </c>
      <c r="J2618" s="166" t="s">
        <v>584</v>
      </c>
      <c r="K2618" s="166" t="s">
        <v>716</v>
      </c>
      <c r="L2618" s="167">
        <v>39000</v>
      </c>
      <c r="M2618" s="166">
        <v>20</v>
      </c>
      <c r="N2618" s="166">
        <v>6</v>
      </c>
      <c r="O2618" s="164">
        <f t="shared" si="283"/>
        <v>4680000</v>
      </c>
      <c r="P2618" s="166"/>
      <c r="Q2618" s="166"/>
      <c r="R2618" s="164">
        <f>$L2618*'Pivot Objective'!$C$9*P2618*Q2618</f>
        <v>0</v>
      </c>
      <c r="S2618" s="166">
        <v>20</v>
      </c>
      <c r="T2618" s="166">
        <v>6</v>
      </c>
      <c r="U2618" s="164">
        <f>($L2618*'Pivot Objective'!$C$9^2)*S2618*T2618</f>
        <v>6113337.2069687573</v>
      </c>
      <c r="V2618" s="166">
        <v>0</v>
      </c>
      <c r="W2618" s="166">
        <v>0</v>
      </c>
      <c r="X2618" s="164">
        <f>($L2618*'Pivot Objective'!$C$9^3)*V2618*W2618</f>
        <v>0</v>
      </c>
      <c r="Y2618" s="166">
        <v>20</v>
      </c>
      <c r="Z2618" s="166">
        <v>6</v>
      </c>
      <c r="AA2618" s="164">
        <f>($L2618*'Pivot Objective'!$C$9^4)*Y2618*Z2618</f>
        <v>7985660.6423308905</v>
      </c>
      <c r="AB2618" s="166">
        <v>0</v>
      </c>
      <c r="AC2618" s="166">
        <v>0</v>
      </c>
      <c r="AD2618" s="164">
        <f>($L2618*'Pivot Objective'!$C$9^5)*AB2618*AC2618</f>
        <v>0</v>
      </c>
      <c r="AE2618" s="166">
        <v>20</v>
      </c>
      <c r="AF2618" s="166">
        <v>6</v>
      </c>
      <c r="AG2618" s="164">
        <f>($L2618*'Pivot Objective'!$C$9^6)*AE2618*AF2618</f>
        <v>10431418.018587064</v>
      </c>
      <c r="AH2618" s="166">
        <v>0</v>
      </c>
      <c r="AI2618" s="166">
        <v>0</v>
      </c>
      <c r="AJ2618" s="164">
        <f>($L2618*'Pivot Objective'!$C$9^7)*AH2618*AI2618</f>
        <v>0</v>
      </c>
      <c r="AK2618" s="185">
        <f t="shared" si="284"/>
        <v>29210415.867886711</v>
      </c>
      <c r="AL2618" s="186">
        <f t="shared" si="285"/>
        <v>28359.62705620069</v>
      </c>
    </row>
    <row r="2619" spans="1:38" customFormat="1" ht="57.6" x14ac:dyDescent="0.3">
      <c r="A2619" s="140" t="s">
        <v>1489</v>
      </c>
      <c r="B2619" s="140">
        <v>4</v>
      </c>
      <c r="C2619" s="166" t="s">
        <v>697</v>
      </c>
      <c r="D2619" s="140" t="str">
        <f t="shared" si="287"/>
        <v>3</v>
      </c>
      <c r="E2619" s="166" t="s">
        <v>694</v>
      </c>
      <c r="F2619" s="140">
        <f t="shared" si="289"/>
        <v>2</v>
      </c>
      <c r="G2619" s="140" t="str">
        <f t="shared" si="288"/>
        <v>4.3.2</v>
      </c>
      <c r="H2619" s="166" t="s">
        <v>676</v>
      </c>
      <c r="I2619" s="166" t="s">
        <v>124</v>
      </c>
      <c r="J2619" s="166" t="s">
        <v>802</v>
      </c>
      <c r="K2619" s="166" t="s">
        <v>709</v>
      </c>
      <c r="L2619" s="167">
        <v>35000</v>
      </c>
      <c r="M2619" s="166">
        <v>20</v>
      </c>
      <c r="N2619" s="166">
        <v>5</v>
      </c>
      <c r="O2619" s="164">
        <f t="shared" si="283"/>
        <v>3500000</v>
      </c>
      <c r="P2619" s="166"/>
      <c r="Q2619" s="166"/>
      <c r="R2619" s="164">
        <f>$L2619*'Pivot Objective'!$C$9*P2619*Q2619</f>
        <v>0</v>
      </c>
      <c r="S2619" s="166">
        <v>20</v>
      </c>
      <c r="T2619" s="166">
        <v>5</v>
      </c>
      <c r="U2619" s="164">
        <f>($L2619*'Pivot Objective'!$C$9^2)*S2619*T2619</f>
        <v>4571940.2188868904</v>
      </c>
      <c r="V2619" s="166"/>
      <c r="W2619" s="166"/>
      <c r="X2619" s="164">
        <f>($L2619*'Pivot Objective'!$C$9^3)*V2619*W2619</f>
        <v>0</v>
      </c>
      <c r="Y2619" s="166">
        <v>20</v>
      </c>
      <c r="Z2619" s="166">
        <v>5</v>
      </c>
      <c r="AA2619" s="164">
        <f>($L2619*'Pivot Objective'!$C$9^4)*Y2619*Z2619</f>
        <v>5972182.1043072902</v>
      </c>
      <c r="AB2619" s="166"/>
      <c r="AC2619" s="166"/>
      <c r="AD2619" s="164">
        <f>($L2619*'Pivot Objective'!$C$9^5)*AB2619*AC2619</f>
        <v>0</v>
      </c>
      <c r="AE2619" s="166">
        <v>20</v>
      </c>
      <c r="AF2619" s="166">
        <v>5</v>
      </c>
      <c r="AG2619" s="164">
        <f>($L2619*'Pivot Objective'!$C$9^6)*AE2619*AF2619</f>
        <v>7801274.1591997268</v>
      </c>
      <c r="AH2619" s="166"/>
      <c r="AI2619" s="166"/>
      <c r="AJ2619" s="164">
        <f>($L2619*'Pivot Objective'!$C$9^7)*AH2619*AI2619</f>
        <v>0</v>
      </c>
      <c r="AK2619" s="185">
        <f t="shared" si="284"/>
        <v>21845396.482393906</v>
      </c>
      <c r="AL2619" s="186">
        <f t="shared" si="285"/>
        <v>21209.122798440683</v>
      </c>
    </row>
    <row r="2620" spans="1:38" customFormat="1" ht="57.6" x14ac:dyDescent="0.3">
      <c r="A2620" s="140" t="s">
        <v>1489</v>
      </c>
      <c r="B2620" s="140">
        <v>4</v>
      </c>
      <c r="C2620" s="166" t="s">
        <v>697</v>
      </c>
      <c r="D2620" s="140" t="str">
        <f t="shared" si="287"/>
        <v>3</v>
      </c>
      <c r="E2620" s="166" t="s">
        <v>694</v>
      </c>
      <c r="F2620" s="140">
        <f t="shared" si="289"/>
        <v>2</v>
      </c>
      <c r="G2620" s="140" t="str">
        <f t="shared" si="288"/>
        <v>4.3.2</v>
      </c>
      <c r="H2620" s="166" t="s">
        <v>676</v>
      </c>
      <c r="I2620" s="166" t="s">
        <v>124</v>
      </c>
      <c r="J2620" s="166" t="s">
        <v>803</v>
      </c>
      <c r="K2620" s="166" t="s">
        <v>712</v>
      </c>
      <c r="L2620" s="167">
        <v>211.42857142857142</v>
      </c>
      <c r="M2620" s="166">
        <v>350</v>
      </c>
      <c r="N2620" s="166">
        <v>5</v>
      </c>
      <c r="O2620" s="164">
        <f t="shared" si="283"/>
        <v>370000</v>
      </c>
      <c r="P2620" s="166"/>
      <c r="Q2620" s="166"/>
      <c r="R2620" s="164">
        <f>$L2620*'Pivot Objective'!$C$9*P2620*Q2620</f>
        <v>0</v>
      </c>
      <c r="S2620" s="166">
        <v>350</v>
      </c>
      <c r="T2620" s="166">
        <v>5</v>
      </c>
      <c r="U2620" s="164">
        <f>($L2620*'Pivot Objective'!$C$9^2)*S2620*T2620</f>
        <v>483319.39456804277</v>
      </c>
      <c r="V2620" s="166">
        <v>0</v>
      </c>
      <c r="W2620" s="166">
        <v>0</v>
      </c>
      <c r="X2620" s="164">
        <f>($L2620*'Pivot Objective'!$C$9^3)*V2620*W2620</f>
        <v>0</v>
      </c>
      <c r="Y2620" s="166">
        <v>350</v>
      </c>
      <c r="Z2620" s="166">
        <v>5</v>
      </c>
      <c r="AA2620" s="164">
        <f>($L2620*'Pivot Objective'!$C$9^4)*Y2620*Z2620</f>
        <v>631344.96531248488</v>
      </c>
      <c r="AB2620" s="166">
        <v>0</v>
      </c>
      <c r="AC2620" s="166">
        <v>0</v>
      </c>
      <c r="AD2620" s="164">
        <f>($L2620*'Pivot Objective'!$C$9^5)*AB2620*AC2620</f>
        <v>0</v>
      </c>
      <c r="AE2620" s="166">
        <v>350</v>
      </c>
      <c r="AF2620" s="166">
        <v>5</v>
      </c>
      <c r="AG2620" s="164">
        <f>($L2620*'Pivot Objective'!$C$9^6)*AE2620*AF2620</f>
        <v>824706.125401114</v>
      </c>
      <c r="AH2620" s="166">
        <v>0</v>
      </c>
      <c r="AI2620" s="166">
        <v>0</v>
      </c>
      <c r="AJ2620" s="164">
        <f>($L2620*'Pivot Objective'!$C$9^7)*AH2620*AI2620</f>
        <v>0</v>
      </c>
      <c r="AK2620" s="185">
        <f t="shared" si="284"/>
        <v>2309370.4852816416</v>
      </c>
      <c r="AL2620" s="186">
        <f t="shared" si="285"/>
        <v>2242.1072672637297</v>
      </c>
    </row>
    <row r="2621" spans="1:38" customFormat="1" ht="57.6" x14ac:dyDescent="0.3">
      <c r="A2621" s="140" t="s">
        <v>1489</v>
      </c>
      <c r="B2621" s="140">
        <v>4</v>
      </c>
      <c r="C2621" s="166" t="s">
        <v>697</v>
      </c>
      <c r="D2621" s="140" t="str">
        <f t="shared" si="287"/>
        <v>3</v>
      </c>
      <c r="E2621" s="166" t="s">
        <v>694</v>
      </c>
      <c r="F2621" s="140">
        <f t="shared" si="289"/>
        <v>2</v>
      </c>
      <c r="G2621" s="140" t="str">
        <f t="shared" si="288"/>
        <v>4.3.2</v>
      </c>
      <c r="H2621" s="166" t="s">
        <v>676</v>
      </c>
      <c r="I2621" s="166" t="s">
        <v>124</v>
      </c>
      <c r="J2621" s="166" t="s">
        <v>803</v>
      </c>
      <c r="K2621" s="166" t="s">
        <v>1299</v>
      </c>
      <c r="L2621" s="167">
        <v>211.42857142857142</v>
      </c>
      <c r="M2621" s="166">
        <v>1890</v>
      </c>
      <c r="N2621" s="166">
        <v>1</v>
      </c>
      <c r="O2621" s="164">
        <f t="shared" si="283"/>
        <v>399600</v>
      </c>
      <c r="P2621" s="166"/>
      <c r="Q2621" s="166"/>
      <c r="R2621" s="164">
        <f>$L2621*'Pivot Objective'!$C$9*P2621*Q2621</f>
        <v>0</v>
      </c>
      <c r="S2621" s="166">
        <v>1890</v>
      </c>
      <c r="T2621" s="166">
        <v>1</v>
      </c>
      <c r="U2621" s="164">
        <f>($L2621*'Pivot Objective'!$C$9^2)*S2621*T2621</f>
        <v>521984.94613348623</v>
      </c>
      <c r="V2621" s="166">
        <v>0</v>
      </c>
      <c r="W2621" s="166">
        <v>0</v>
      </c>
      <c r="X2621" s="164">
        <f>($L2621*'Pivot Objective'!$C$9^3)*V2621*W2621</f>
        <v>0</v>
      </c>
      <c r="Y2621" s="166">
        <v>1890</v>
      </c>
      <c r="Z2621" s="166">
        <v>1</v>
      </c>
      <c r="AA2621" s="164">
        <f>($L2621*'Pivot Objective'!$C$9^4)*Y2621*Z2621</f>
        <v>681852.56253748364</v>
      </c>
      <c r="AB2621" s="166">
        <v>0</v>
      </c>
      <c r="AC2621" s="166">
        <v>0</v>
      </c>
      <c r="AD2621" s="164">
        <f>($L2621*'Pivot Objective'!$C$9^5)*AB2621*AC2621</f>
        <v>0</v>
      </c>
      <c r="AE2621" s="166">
        <v>1890</v>
      </c>
      <c r="AF2621" s="166">
        <v>1</v>
      </c>
      <c r="AG2621" s="164">
        <f>($L2621*'Pivot Objective'!$C$9^6)*AE2621*AF2621</f>
        <v>890682.61543320306</v>
      </c>
      <c r="AH2621" s="166">
        <v>0</v>
      </c>
      <c r="AI2621" s="166">
        <v>0</v>
      </c>
      <c r="AJ2621" s="164">
        <f>($L2621*'Pivot Objective'!$C$9^7)*AH2621*AI2621</f>
        <v>0</v>
      </c>
      <c r="AK2621" s="185">
        <f t="shared" si="284"/>
        <v>2494120.1241041729</v>
      </c>
      <c r="AL2621" s="186">
        <f t="shared" si="285"/>
        <v>2421.4758486448281</v>
      </c>
    </row>
    <row r="2622" spans="1:38" customFormat="1" ht="72" x14ac:dyDescent="0.3">
      <c r="A2622" s="140" t="s">
        <v>1489</v>
      </c>
      <c r="B2622" s="140">
        <v>4</v>
      </c>
      <c r="C2622" s="166" t="s">
        <v>697</v>
      </c>
      <c r="D2622" s="140" t="str">
        <f t="shared" si="287"/>
        <v>3</v>
      </c>
      <c r="E2622" s="166" t="s">
        <v>694</v>
      </c>
      <c r="F2622" s="140">
        <f t="shared" si="289"/>
        <v>2</v>
      </c>
      <c r="G2622" s="140" t="str">
        <f t="shared" si="288"/>
        <v>4.3.2</v>
      </c>
      <c r="H2622" s="166" t="s">
        <v>676</v>
      </c>
      <c r="I2622" s="166" t="s">
        <v>125</v>
      </c>
      <c r="J2622" s="166" t="s">
        <v>585</v>
      </c>
      <c r="K2622" s="166" t="s">
        <v>709</v>
      </c>
      <c r="L2622" s="167">
        <v>35000</v>
      </c>
      <c r="M2622" s="166"/>
      <c r="N2622" s="166"/>
      <c r="O2622" s="164">
        <f t="shared" si="283"/>
        <v>0</v>
      </c>
      <c r="P2622" s="166">
        <v>0</v>
      </c>
      <c r="Q2622" s="166">
        <v>0</v>
      </c>
      <c r="R2622" s="164">
        <f>$L2622*'Pivot Objective'!$C$9*P2622*Q2622</f>
        <v>0</v>
      </c>
      <c r="S2622" s="166">
        <v>60</v>
      </c>
      <c r="T2622" s="166">
        <v>5</v>
      </c>
      <c r="U2622" s="164">
        <f>($L2622*'Pivot Objective'!$C$9^2)*S2622*T2622</f>
        <v>13715820.656660672</v>
      </c>
      <c r="V2622" s="166">
        <v>25</v>
      </c>
      <c r="W2622" s="166">
        <v>21</v>
      </c>
      <c r="X2622" s="164">
        <f>($L2622*'Pivot Objective'!$C$9^3)*V2622*W2622</f>
        <v>27433176.384540286</v>
      </c>
      <c r="Y2622" s="166">
        <v>60</v>
      </c>
      <c r="Z2622" s="166">
        <v>5</v>
      </c>
      <c r="AA2622" s="164">
        <f>($L2622*'Pivot Objective'!$C$9^4)*Y2622*Z2622</f>
        <v>17916546.31292187</v>
      </c>
      <c r="AB2622" s="166">
        <v>25</v>
      </c>
      <c r="AC2622" s="166">
        <v>21</v>
      </c>
      <c r="AD2622" s="164">
        <f>($L2622*'Pivot Objective'!$C$9^5)*AB2622*AC2622</f>
        <v>35835097.841227934</v>
      </c>
      <c r="AE2622" s="166">
        <v>0</v>
      </c>
      <c r="AF2622" s="166">
        <v>0</v>
      </c>
      <c r="AG2622" s="164">
        <f>($L2622*'Pivot Objective'!$C$9^6)*AE2622*AF2622</f>
        <v>0</v>
      </c>
      <c r="AH2622" s="166">
        <v>25</v>
      </c>
      <c r="AI2622" s="166">
        <v>21</v>
      </c>
      <c r="AJ2622" s="164">
        <f>($L2622*'Pivot Objective'!$C$9^7)*AH2622*AI2622</f>
        <v>46810264.305159107</v>
      </c>
      <c r="AK2622" s="185">
        <f t="shared" si="284"/>
        <v>141710905.50050986</v>
      </c>
      <c r="AL2622" s="186">
        <f t="shared" si="285"/>
        <v>137583.40339855326</v>
      </c>
    </row>
    <row r="2623" spans="1:38" customFormat="1" ht="72" x14ac:dyDescent="0.3">
      <c r="A2623" s="140" t="s">
        <v>1489</v>
      </c>
      <c r="B2623" s="140">
        <v>4</v>
      </c>
      <c r="C2623" s="166" t="s">
        <v>697</v>
      </c>
      <c r="D2623" s="140" t="str">
        <f t="shared" si="287"/>
        <v>3</v>
      </c>
      <c r="E2623" s="166" t="s">
        <v>694</v>
      </c>
      <c r="F2623" s="140">
        <f t="shared" si="289"/>
        <v>2</v>
      </c>
      <c r="G2623" s="140" t="str">
        <f t="shared" si="288"/>
        <v>4.3.2</v>
      </c>
      <c r="H2623" s="166" t="s">
        <v>676</v>
      </c>
      <c r="I2623" s="166" t="s">
        <v>125</v>
      </c>
      <c r="J2623" s="166" t="s">
        <v>585</v>
      </c>
      <c r="K2623" s="166" t="s">
        <v>716</v>
      </c>
      <c r="L2623" s="167">
        <v>39000</v>
      </c>
      <c r="M2623" s="166"/>
      <c r="N2623" s="166"/>
      <c r="O2623" s="164">
        <f t="shared" si="283"/>
        <v>0</v>
      </c>
      <c r="P2623" s="166"/>
      <c r="Q2623" s="166"/>
      <c r="R2623" s="164">
        <f>$L2623*'Pivot Objective'!$C$9*P2623*Q2623</f>
        <v>0</v>
      </c>
      <c r="S2623" s="166"/>
      <c r="T2623" s="166"/>
      <c r="U2623" s="164">
        <f>($L2623*'Pivot Objective'!$C$9^2)*S2623*T2623</f>
        <v>0</v>
      </c>
      <c r="V2623" s="166">
        <v>25</v>
      </c>
      <c r="W2623" s="166">
        <v>21</v>
      </c>
      <c r="X2623" s="164">
        <f>($L2623*'Pivot Objective'!$C$9^3)*V2623*W2623</f>
        <v>30568396.542773459</v>
      </c>
      <c r="Y2623" s="166"/>
      <c r="Z2623" s="166"/>
      <c r="AA2623" s="164">
        <f>($L2623*'Pivot Objective'!$C$9^4)*Y2623*Z2623</f>
        <v>0</v>
      </c>
      <c r="AB2623" s="166">
        <v>25</v>
      </c>
      <c r="AC2623" s="166">
        <v>21</v>
      </c>
      <c r="AD2623" s="164">
        <f>($L2623*'Pivot Objective'!$C$9^5)*AB2623*AC2623</f>
        <v>39930537.594511136</v>
      </c>
      <c r="AE2623" s="166"/>
      <c r="AF2623" s="166"/>
      <c r="AG2623" s="164">
        <f>($L2623*'Pivot Objective'!$C$9^6)*AE2623*AF2623</f>
        <v>0</v>
      </c>
      <c r="AH2623" s="166">
        <v>25</v>
      </c>
      <c r="AI2623" s="166">
        <v>21</v>
      </c>
      <c r="AJ2623" s="164">
        <f>($L2623*'Pivot Objective'!$C$9^7)*AH2623*AI2623</f>
        <v>52160008.797177278</v>
      </c>
      <c r="AK2623" s="185">
        <f t="shared" si="284"/>
        <v>122658942.93446186</v>
      </c>
      <c r="AL2623" s="186">
        <f t="shared" si="285"/>
        <v>119086.35236355521</v>
      </c>
    </row>
    <row r="2624" spans="1:38" customFormat="1" ht="72" x14ac:dyDescent="0.3">
      <c r="A2624" s="140" t="s">
        <v>1489</v>
      </c>
      <c r="B2624" s="140">
        <v>4</v>
      </c>
      <c r="C2624" s="166" t="s">
        <v>697</v>
      </c>
      <c r="D2624" s="140" t="str">
        <f t="shared" si="287"/>
        <v>3</v>
      </c>
      <c r="E2624" s="166" t="s">
        <v>694</v>
      </c>
      <c r="F2624" s="140">
        <f t="shared" si="289"/>
        <v>2</v>
      </c>
      <c r="G2624" s="140" t="str">
        <f t="shared" si="288"/>
        <v>4.3.2</v>
      </c>
      <c r="H2624" s="166" t="s">
        <v>676</v>
      </c>
      <c r="I2624" s="166" t="s">
        <v>125</v>
      </c>
      <c r="J2624" s="166" t="s">
        <v>585</v>
      </c>
      <c r="K2624" s="166" t="s">
        <v>712</v>
      </c>
      <c r="L2624" s="167">
        <v>211.42857142857142</v>
      </c>
      <c r="M2624" s="166"/>
      <c r="N2624" s="166"/>
      <c r="O2624" s="164">
        <f t="shared" si="283"/>
        <v>0</v>
      </c>
      <c r="P2624" s="166"/>
      <c r="Q2624" s="166"/>
      <c r="R2624" s="164">
        <f>$L2624*'Pivot Objective'!$C$9*P2624*Q2624</f>
        <v>0</v>
      </c>
      <c r="S2624" s="166"/>
      <c r="T2624" s="166"/>
      <c r="U2624" s="164">
        <f>($L2624*'Pivot Objective'!$C$9^2)*S2624*T2624</f>
        <v>0</v>
      </c>
      <c r="V2624" s="166">
        <v>450</v>
      </c>
      <c r="W2624" s="166">
        <v>21</v>
      </c>
      <c r="X2624" s="164">
        <f>($L2624*'Pivot Objective'!$C$9^3)*V2624*W2624</f>
        <v>2982938.0362618491</v>
      </c>
      <c r="Y2624" s="166"/>
      <c r="Z2624" s="166"/>
      <c r="AA2624" s="164">
        <f>($L2624*'Pivot Objective'!$C$9^4)*Y2624*Z2624</f>
        <v>0</v>
      </c>
      <c r="AB2624" s="166">
        <v>450</v>
      </c>
      <c r="AC2624" s="166">
        <v>21</v>
      </c>
      <c r="AD2624" s="164">
        <f>($L2624*'Pivot Objective'!$C$9^5)*AB2624*AC2624</f>
        <v>3896518.3938380098</v>
      </c>
      <c r="AE2624" s="166"/>
      <c r="AF2624" s="166"/>
      <c r="AG2624" s="164">
        <f>($L2624*'Pivot Objective'!$C$9^6)*AE2624*AF2624</f>
        <v>0</v>
      </c>
      <c r="AH2624" s="166">
        <v>450</v>
      </c>
      <c r="AI2624" s="166">
        <v>21</v>
      </c>
      <c r="AJ2624" s="164">
        <f>($L2624*'Pivot Objective'!$C$9^7)*AH2624*AI2624</f>
        <v>5089899.7595487274</v>
      </c>
      <c r="AK2624" s="185">
        <f t="shared" si="284"/>
        <v>11969356.189648587</v>
      </c>
      <c r="AL2624" s="186">
        <f t="shared" si="285"/>
        <v>11620.734164707366</v>
      </c>
    </row>
    <row r="2625" spans="1:38" customFormat="1" ht="72" x14ac:dyDescent="0.3">
      <c r="A2625" s="140" t="s">
        <v>1489</v>
      </c>
      <c r="B2625" s="140">
        <v>4</v>
      </c>
      <c r="C2625" s="166" t="s">
        <v>697</v>
      </c>
      <c r="D2625" s="140" t="str">
        <f t="shared" si="287"/>
        <v>3</v>
      </c>
      <c r="E2625" s="166" t="s">
        <v>694</v>
      </c>
      <c r="F2625" s="140">
        <f t="shared" si="289"/>
        <v>2</v>
      </c>
      <c r="G2625" s="140" t="str">
        <f t="shared" si="288"/>
        <v>4.3.2</v>
      </c>
      <c r="H2625" s="166" t="s">
        <v>676</v>
      </c>
      <c r="I2625" s="166" t="s">
        <v>125</v>
      </c>
      <c r="J2625" s="166" t="s">
        <v>585</v>
      </c>
      <c r="K2625" s="166" t="s">
        <v>1299</v>
      </c>
      <c r="L2625" s="167">
        <v>211.42857142857142</v>
      </c>
      <c r="M2625" s="166"/>
      <c r="N2625" s="166"/>
      <c r="O2625" s="164">
        <f t="shared" si="283"/>
        <v>0</v>
      </c>
      <c r="P2625" s="166"/>
      <c r="Q2625" s="166"/>
      <c r="R2625" s="164">
        <f>$L2625*'Pivot Objective'!$C$9*P2625*Q2625</f>
        <v>0</v>
      </c>
      <c r="S2625" s="166"/>
      <c r="T2625" s="166"/>
      <c r="U2625" s="164">
        <f>($L2625*'Pivot Objective'!$C$9^2)*S2625*T2625</f>
        <v>0</v>
      </c>
      <c r="V2625" s="166">
        <v>2430</v>
      </c>
      <c r="W2625" s="166">
        <v>7</v>
      </c>
      <c r="X2625" s="164">
        <f>($L2625*'Pivot Objective'!$C$9^3)*V2625*W2625</f>
        <v>5369288.4652713286</v>
      </c>
      <c r="Y2625" s="166"/>
      <c r="Z2625" s="166"/>
      <c r="AA2625" s="164">
        <f>($L2625*'Pivot Objective'!$C$9^4)*Y2625*Z2625</f>
        <v>0</v>
      </c>
      <c r="AB2625" s="166">
        <v>2430</v>
      </c>
      <c r="AC2625" s="166">
        <v>7</v>
      </c>
      <c r="AD2625" s="164">
        <f>($L2625*'Pivot Objective'!$C$9^5)*AB2625*AC2625</f>
        <v>7013733.1089084176</v>
      </c>
      <c r="AE2625" s="166"/>
      <c r="AF2625" s="166"/>
      <c r="AG2625" s="164">
        <f>($L2625*'Pivot Objective'!$C$9^6)*AE2625*AF2625</f>
        <v>0</v>
      </c>
      <c r="AH2625" s="166">
        <v>2430</v>
      </c>
      <c r="AI2625" s="166">
        <v>7</v>
      </c>
      <c r="AJ2625" s="164">
        <f>($L2625*'Pivot Objective'!$C$9^7)*AH2625*AI2625</f>
        <v>9161819.5671877097</v>
      </c>
      <c r="AK2625" s="185">
        <f t="shared" si="284"/>
        <v>21544841.141367458</v>
      </c>
      <c r="AL2625" s="186">
        <f t="shared" si="285"/>
        <v>20917.321496473262</v>
      </c>
    </row>
    <row r="2626" spans="1:38" customFormat="1" ht="72" x14ac:dyDescent="0.3">
      <c r="A2626" s="140" t="s">
        <v>1489</v>
      </c>
      <c r="B2626" s="140">
        <v>4</v>
      </c>
      <c r="C2626" s="166" t="s">
        <v>697</v>
      </c>
      <c r="D2626" s="140" t="str">
        <f t="shared" si="287"/>
        <v>3</v>
      </c>
      <c r="E2626" s="166" t="s">
        <v>694</v>
      </c>
      <c r="F2626" s="140">
        <f t="shared" si="289"/>
        <v>2</v>
      </c>
      <c r="G2626" s="140" t="str">
        <f t="shared" si="288"/>
        <v>4.3.2</v>
      </c>
      <c r="H2626" s="166" t="s">
        <v>676</v>
      </c>
      <c r="I2626" s="166" t="s">
        <v>125</v>
      </c>
      <c r="J2626" s="166" t="s">
        <v>586</v>
      </c>
      <c r="K2626" s="166" t="s">
        <v>716</v>
      </c>
      <c r="L2626" s="167">
        <v>39000</v>
      </c>
      <c r="M2626" s="166"/>
      <c r="N2626" s="166"/>
      <c r="O2626" s="164">
        <f t="shared" si="283"/>
        <v>0</v>
      </c>
      <c r="P2626" s="166">
        <v>0</v>
      </c>
      <c r="Q2626" s="166">
        <v>0</v>
      </c>
      <c r="R2626" s="164">
        <f>$L2626*'Pivot Objective'!$C$9*P2626*Q2626</f>
        <v>0</v>
      </c>
      <c r="S2626" s="166"/>
      <c r="T2626" s="166"/>
      <c r="U2626" s="164">
        <f>($L2626*'Pivot Objective'!$C$9^2)*S2626*T2626</f>
        <v>0</v>
      </c>
      <c r="V2626" s="166">
        <v>25</v>
      </c>
      <c r="W2626" s="166">
        <v>6</v>
      </c>
      <c r="X2626" s="164">
        <f>($L2626*'Pivot Objective'!$C$9^3)*V2626*W2626</f>
        <v>8733827.5836495608</v>
      </c>
      <c r="Y2626" s="166">
        <v>25</v>
      </c>
      <c r="Z2626" s="166">
        <v>6</v>
      </c>
      <c r="AA2626" s="164">
        <f>($L2626*'Pivot Objective'!$C$9^4)*Y2626*Z2626</f>
        <v>9982075.8029136136</v>
      </c>
      <c r="AB2626" s="166">
        <v>25</v>
      </c>
      <c r="AC2626" s="166">
        <v>6</v>
      </c>
      <c r="AD2626" s="164">
        <f>($L2626*'Pivot Objective'!$C$9^5)*AB2626*AC2626</f>
        <v>11408725.027003182</v>
      </c>
      <c r="AE2626" s="166">
        <v>25</v>
      </c>
      <c r="AF2626" s="166">
        <v>6</v>
      </c>
      <c r="AG2626" s="164">
        <f>($L2626*'Pivot Objective'!$C$9^6)*AE2626*AF2626</f>
        <v>13039272.523233831</v>
      </c>
      <c r="AH2626" s="166">
        <v>25</v>
      </c>
      <c r="AI2626" s="166">
        <v>6</v>
      </c>
      <c r="AJ2626" s="164">
        <f>($L2626*'Pivot Objective'!$C$9^7)*AH2626*AI2626</f>
        <v>14902859.656336365</v>
      </c>
      <c r="AK2626" s="185">
        <f t="shared" si="284"/>
        <v>58066760.593136556</v>
      </c>
      <c r="AL2626" s="186">
        <f t="shared" si="285"/>
        <v>56375.495721491803</v>
      </c>
    </row>
    <row r="2627" spans="1:38" customFormat="1" ht="72" x14ac:dyDescent="0.3">
      <c r="A2627" s="140" t="s">
        <v>1489</v>
      </c>
      <c r="B2627" s="140">
        <v>4</v>
      </c>
      <c r="C2627" s="166" t="s">
        <v>697</v>
      </c>
      <c r="D2627" s="140" t="str">
        <f t="shared" si="287"/>
        <v>3</v>
      </c>
      <c r="E2627" s="166" t="s">
        <v>694</v>
      </c>
      <c r="F2627" s="140">
        <f t="shared" si="289"/>
        <v>2</v>
      </c>
      <c r="G2627" s="140" t="str">
        <f t="shared" si="288"/>
        <v>4.3.2</v>
      </c>
      <c r="H2627" s="166" t="s">
        <v>676</v>
      </c>
      <c r="I2627" s="166" t="s">
        <v>125</v>
      </c>
      <c r="J2627" s="166" t="s">
        <v>804</v>
      </c>
      <c r="K2627" s="166" t="s">
        <v>709</v>
      </c>
      <c r="L2627" s="167">
        <v>35000</v>
      </c>
      <c r="M2627" s="166"/>
      <c r="N2627" s="166"/>
      <c r="O2627" s="164">
        <f t="shared" ref="O2627:O2690" si="290">$L2627*M2627*N2627</f>
        <v>0</v>
      </c>
      <c r="P2627" s="166">
        <v>0</v>
      </c>
      <c r="Q2627" s="166">
        <v>0</v>
      </c>
      <c r="R2627" s="164">
        <f>$L2627*'Pivot Objective'!$C$9*P2627*Q2627</f>
        <v>0</v>
      </c>
      <c r="S2627" s="166"/>
      <c r="T2627" s="166"/>
      <c r="U2627" s="164">
        <f>($L2627*'Pivot Objective'!$C$9^2)*S2627*T2627</f>
        <v>0</v>
      </c>
      <c r="V2627" s="166">
        <v>25</v>
      </c>
      <c r="W2627" s="166">
        <v>5</v>
      </c>
      <c r="X2627" s="164">
        <f>($L2627*'Pivot Objective'!$C$9^3)*V2627*W2627</f>
        <v>6531708.6629857821</v>
      </c>
      <c r="Y2627" s="166">
        <v>25</v>
      </c>
      <c r="Z2627" s="166">
        <v>5</v>
      </c>
      <c r="AA2627" s="164">
        <f>($L2627*'Pivot Objective'!$C$9^4)*Y2627*Z2627</f>
        <v>7465227.6303841127</v>
      </c>
      <c r="AB2627" s="166">
        <v>25</v>
      </c>
      <c r="AC2627" s="166">
        <v>5</v>
      </c>
      <c r="AD2627" s="164">
        <f>($L2627*'Pivot Objective'!$C$9^5)*AB2627*AC2627</f>
        <v>8532166.152673319</v>
      </c>
      <c r="AE2627" s="166">
        <v>25</v>
      </c>
      <c r="AF2627" s="166">
        <v>5</v>
      </c>
      <c r="AG2627" s="164">
        <f>($L2627*'Pivot Objective'!$C$9^6)*AE2627*AF2627</f>
        <v>9751592.6989996582</v>
      </c>
      <c r="AH2627" s="166">
        <v>25</v>
      </c>
      <c r="AI2627" s="166">
        <v>5</v>
      </c>
      <c r="AJ2627" s="164">
        <f>($L2627*'Pivot Objective'!$C$9^7)*AH2627*AI2627</f>
        <v>11145301.025037881</v>
      </c>
      <c r="AK2627" s="185">
        <f t="shared" ref="AK2627:AK2690" si="291">O2627+R2627+U2627+X2627+AA2627+AD2627+AG2627+AJ2627</f>
        <v>43425996.170080751</v>
      </c>
      <c r="AL2627" s="186">
        <f t="shared" ref="AL2627:AL2690" si="292">AK2627/$AP$2</f>
        <v>42161.161330175484</v>
      </c>
    </row>
    <row r="2628" spans="1:38" customFormat="1" ht="72" x14ac:dyDescent="0.3">
      <c r="A2628" s="140" t="s">
        <v>1489</v>
      </c>
      <c r="B2628" s="140">
        <v>4</v>
      </c>
      <c r="C2628" s="166" t="s">
        <v>697</v>
      </c>
      <c r="D2628" s="140" t="str">
        <f t="shared" si="287"/>
        <v>3</v>
      </c>
      <c r="E2628" s="166" t="s">
        <v>694</v>
      </c>
      <c r="F2628" s="140">
        <f t="shared" si="289"/>
        <v>2</v>
      </c>
      <c r="G2628" s="140" t="str">
        <f t="shared" si="288"/>
        <v>4.3.2</v>
      </c>
      <c r="H2628" s="166" t="s">
        <v>676</v>
      </c>
      <c r="I2628" s="166" t="s">
        <v>125</v>
      </c>
      <c r="J2628" s="166" t="s">
        <v>805</v>
      </c>
      <c r="K2628" s="166" t="s">
        <v>712</v>
      </c>
      <c r="L2628" s="167">
        <v>211.42857142857142</v>
      </c>
      <c r="M2628" s="166"/>
      <c r="N2628" s="166"/>
      <c r="O2628" s="164">
        <f t="shared" si="290"/>
        <v>0</v>
      </c>
      <c r="P2628" s="166">
        <v>0</v>
      </c>
      <c r="Q2628" s="166">
        <v>0</v>
      </c>
      <c r="R2628" s="164">
        <f>$L2628*'Pivot Objective'!$C$9*P2628*Q2628</f>
        <v>0</v>
      </c>
      <c r="S2628" s="166"/>
      <c r="T2628" s="166"/>
      <c r="U2628" s="164">
        <f>($L2628*'Pivot Objective'!$C$9^2)*S2628*T2628</f>
        <v>0</v>
      </c>
      <c r="V2628" s="166">
        <v>450</v>
      </c>
      <c r="W2628" s="166">
        <v>5</v>
      </c>
      <c r="X2628" s="164">
        <f>($L2628*'Pivot Objective'!$C$9^3)*V2628*W2628</f>
        <v>710223.34196710703</v>
      </c>
      <c r="Y2628" s="166">
        <v>450</v>
      </c>
      <c r="Z2628" s="166">
        <v>5</v>
      </c>
      <c r="AA2628" s="164">
        <f>($L2628*'Pivot Objective'!$C$9^4)*Y2628*Z2628</f>
        <v>811729.24111605203</v>
      </c>
      <c r="AB2628" s="166">
        <v>450</v>
      </c>
      <c r="AC2628" s="166">
        <v>5</v>
      </c>
      <c r="AD2628" s="164">
        <f>($L2628*'Pivot Objective'!$C$9^5)*AB2628*AC2628</f>
        <v>927742.47472333559</v>
      </c>
      <c r="AE2628" s="166">
        <v>450</v>
      </c>
      <c r="AF2628" s="166">
        <v>5</v>
      </c>
      <c r="AG2628" s="164">
        <f>($L2628*'Pivot Objective'!$C$9^6)*AE2628*AF2628</f>
        <v>1060336.4469442894</v>
      </c>
      <c r="AH2628" s="166">
        <v>450</v>
      </c>
      <c r="AI2628" s="166">
        <v>5</v>
      </c>
      <c r="AJ2628" s="164">
        <f>($L2628*'Pivot Objective'!$C$9^7)*AH2628*AI2628</f>
        <v>1211880.8951306494</v>
      </c>
      <c r="AK2628" s="185">
        <f t="shared" si="291"/>
        <v>4721912.3998814337</v>
      </c>
      <c r="AL2628" s="186">
        <f t="shared" si="292"/>
        <v>4584.3809707586734</v>
      </c>
    </row>
    <row r="2629" spans="1:38" customFormat="1" ht="72" x14ac:dyDescent="0.3">
      <c r="A2629" s="140" t="s">
        <v>1489</v>
      </c>
      <c r="B2629" s="140">
        <v>4</v>
      </c>
      <c r="C2629" s="166" t="s">
        <v>697</v>
      </c>
      <c r="D2629" s="140" t="str">
        <f t="shared" si="287"/>
        <v>3</v>
      </c>
      <c r="E2629" s="166" t="s">
        <v>694</v>
      </c>
      <c r="F2629" s="140">
        <f t="shared" si="289"/>
        <v>2</v>
      </c>
      <c r="G2629" s="140" t="str">
        <f t="shared" si="288"/>
        <v>4.3.2</v>
      </c>
      <c r="H2629" s="166" t="s">
        <v>676</v>
      </c>
      <c r="I2629" s="166" t="s">
        <v>125</v>
      </c>
      <c r="J2629" s="166" t="s">
        <v>805</v>
      </c>
      <c r="K2629" s="166" t="s">
        <v>1299</v>
      </c>
      <c r="L2629" s="167">
        <v>211.42857142857142</v>
      </c>
      <c r="M2629" s="166"/>
      <c r="N2629" s="166"/>
      <c r="O2629" s="164">
        <f t="shared" si="290"/>
        <v>0</v>
      </c>
      <c r="P2629" s="166"/>
      <c r="Q2629" s="166"/>
      <c r="R2629" s="164">
        <f>$L2629*'Pivot Objective'!$C$9*P2629*Q2629</f>
        <v>0</v>
      </c>
      <c r="S2629" s="166"/>
      <c r="T2629" s="166"/>
      <c r="U2629" s="164">
        <f>($L2629*'Pivot Objective'!$C$9^2)*S2629*T2629</f>
        <v>0</v>
      </c>
      <c r="V2629" s="166">
        <v>2430</v>
      </c>
      <c r="W2629" s="166">
        <v>1</v>
      </c>
      <c r="X2629" s="164">
        <f>($L2629*'Pivot Objective'!$C$9^3)*V2629*W2629</f>
        <v>767041.20932447549</v>
      </c>
      <c r="Y2629" s="166">
        <v>2430</v>
      </c>
      <c r="Z2629" s="166">
        <v>1</v>
      </c>
      <c r="AA2629" s="164">
        <f>($L2629*'Pivot Objective'!$C$9^4)*Y2629*Z2629</f>
        <v>876667.58040533611</v>
      </c>
      <c r="AB2629" s="166">
        <v>2430</v>
      </c>
      <c r="AC2629" s="166">
        <v>1</v>
      </c>
      <c r="AD2629" s="164">
        <f>($L2629*'Pivot Objective'!$C$9^5)*AB2629*AC2629</f>
        <v>1001961.8727012025</v>
      </c>
      <c r="AE2629" s="166">
        <v>2430</v>
      </c>
      <c r="AF2629" s="166">
        <v>1</v>
      </c>
      <c r="AG2629" s="164">
        <f>($L2629*'Pivot Objective'!$C$9^6)*AE2629*AF2629</f>
        <v>1145163.3626998325</v>
      </c>
      <c r="AH2629" s="166">
        <v>2430</v>
      </c>
      <c r="AI2629" s="166">
        <v>1</v>
      </c>
      <c r="AJ2629" s="164">
        <f>($L2629*'Pivot Objective'!$C$9^7)*AH2629*AI2629</f>
        <v>1308831.3667411015</v>
      </c>
      <c r="AK2629" s="185">
        <f t="shared" si="291"/>
        <v>5099665.3918719478</v>
      </c>
      <c r="AL2629" s="186">
        <f t="shared" si="292"/>
        <v>4951.1314484193672</v>
      </c>
    </row>
    <row r="2630" spans="1:38" customFormat="1" ht="57.6" x14ac:dyDescent="0.3">
      <c r="A2630" s="140" t="s">
        <v>1489</v>
      </c>
      <c r="B2630" s="140">
        <v>4</v>
      </c>
      <c r="C2630" s="166" t="s">
        <v>697</v>
      </c>
      <c r="D2630" s="140" t="str">
        <f t="shared" si="287"/>
        <v>3</v>
      </c>
      <c r="E2630" s="166" t="s">
        <v>694</v>
      </c>
      <c r="F2630" s="140">
        <f t="shared" si="289"/>
        <v>3</v>
      </c>
      <c r="G2630" s="140" t="str">
        <f t="shared" si="288"/>
        <v>4.3.3</v>
      </c>
      <c r="H2630" s="166" t="s">
        <v>677</v>
      </c>
      <c r="I2630" s="166" t="s">
        <v>126</v>
      </c>
      <c r="J2630" s="166" t="s">
        <v>466</v>
      </c>
      <c r="K2630" s="166" t="s">
        <v>709</v>
      </c>
      <c r="L2630" s="167">
        <v>35000</v>
      </c>
      <c r="M2630" s="166">
        <v>50</v>
      </c>
      <c r="N2630" s="166">
        <v>1</v>
      </c>
      <c r="O2630" s="164">
        <f t="shared" si="290"/>
        <v>1750000</v>
      </c>
      <c r="P2630" s="166">
        <v>0</v>
      </c>
      <c r="Q2630" s="166">
        <v>0</v>
      </c>
      <c r="R2630" s="164">
        <f>$L2630*'Pivot Objective'!$C$9*P2630*Q2630</f>
        <v>0</v>
      </c>
      <c r="S2630" s="166">
        <v>0</v>
      </c>
      <c r="T2630" s="166">
        <v>0</v>
      </c>
      <c r="U2630" s="164">
        <f>($L2630*'Pivot Objective'!$C$9^2)*S2630*T2630</f>
        <v>0</v>
      </c>
      <c r="V2630" s="166">
        <v>0</v>
      </c>
      <c r="W2630" s="166">
        <v>0</v>
      </c>
      <c r="X2630" s="164">
        <f>($L2630*'Pivot Objective'!$C$9^3)*V2630*W2630</f>
        <v>0</v>
      </c>
      <c r="Y2630" s="166">
        <v>0</v>
      </c>
      <c r="Z2630" s="166">
        <v>0</v>
      </c>
      <c r="AA2630" s="164">
        <f>($L2630*'Pivot Objective'!$C$9^4)*Y2630*Z2630</f>
        <v>0</v>
      </c>
      <c r="AB2630" s="166">
        <v>0</v>
      </c>
      <c r="AC2630" s="166">
        <v>0</v>
      </c>
      <c r="AD2630" s="164">
        <f>($L2630*'Pivot Objective'!$C$9^5)*AB2630*AC2630</f>
        <v>0</v>
      </c>
      <c r="AE2630" s="166">
        <v>0</v>
      </c>
      <c r="AF2630" s="166">
        <v>0</v>
      </c>
      <c r="AG2630" s="164">
        <f>($L2630*'Pivot Objective'!$C$9^6)*AE2630*AF2630</f>
        <v>0</v>
      </c>
      <c r="AH2630" s="166">
        <v>0</v>
      </c>
      <c r="AI2630" s="166">
        <v>0</v>
      </c>
      <c r="AJ2630" s="164">
        <f>($L2630*'Pivot Objective'!$C$9^7)*AH2630*AI2630</f>
        <v>0</v>
      </c>
      <c r="AK2630" s="185">
        <f t="shared" si="291"/>
        <v>1750000</v>
      </c>
      <c r="AL2630" s="186">
        <f t="shared" si="292"/>
        <v>1699.0291262135922</v>
      </c>
    </row>
    <row r="2631" spans="1:38" customFormat="1" ht="57.6" x14ac:dyDescent="0.3">
      <c r="A2631" s="140" t="s">
        <v>1489</v>
      </c>
      <c r="B2631" s="140">
        <v>4</v>
      </c>
      <c r="C2631" s="166" t="s">
        <v>697</v>
      </c>
      <c r="D2631" s="140" t="str">
        <f t="shared" si="287"/>
        <v>3</v>
      </c>
      <c r="E2631" s="166" t="s">
        <v>694</v>
      </c>
      <c r="F2631" s="140">
        <f t="shared" si="289"/>
        <v>3</v>
      </c>
      <c r="G2631" s="140" t="str">
        <f t="shared" si="288"/>
        <v>4.3.3</v>
      </c>
      <c r="H2631" s="166" t="s">
        <v>677</v>
      </c>
      <c r="I2631" s="166" t="s">
        <v>126</v>
      </c>
      <c r="J2631" s="166" t="s">
        <v>467</v>
      </c>
      <c r="K2631" s="166" t="s">
        <v>709</v>
      </c>
      <c r="L2631" s="167">
        <v>35000</v>
      </c>
      <c r="M2631" s="166">
        <v>50</v>
      </c>
      <c r="N2631" s="166">
        <v>1</v>
      </c>
      <c r="O2631" s="164">
        <f t="shared" si="290"/>
        <v>1750000</v>
      </c>
      <c r="P2631" s="166">
        <v>0</v>
      </c>
      <c r="Q2631" s="166">
        <v>0</v>
      </c>
      <c r="R2631" s="164">
        <f>$L2631*'Pivot Objective'!$C$9*P2631*Q2631</f>
        <v>0</v>
      </c>
      <c r="S2631" s="166">
        <v>0</v>
      </c>
      <c r="T2631" s="166">
        <v>0</v>
      </c>
      <c r="U2631" s="164">
        <f>($L2631*'Pivot Objective'!$C$9^2)*S2631*T2631</f>
        <v>0</v>
      </c>
      <c r="V2631" s="166">
        <v>0</v>
      </c>
      <c r="W2631" s="166">
        <v>0</v>
      </c>
      <c r="X2631" s="164">
        <f>($L2631*'Pivot Objective'!$C$9^3)*V2631*W2631</f>
        <v>0</v>
      </c>
      <c r="Y2631" s="166">
        <v>0</v>
      </c>
      <c r="Z2631" s="166">
        <v>0</v>
      </c>
      <c r="AA2631" s="164">
        <f>($L2631*'Pivot Objective'!$C$9^4)*Y2631*Z2631</f>
        <v>0</v>
      </c>
      <c r="AB2631" s="166">
        <v>0</v>
      </c>
      <c r="AC2631" s="166">
        <v>0</v>
      </c>
      <c r="AD2631" s="164">
        <f>($L2631*'Pivot Objective'!$C$9^5)*AB2631*AC2631</f>
        <v>0</v>
      </c>
      <c r="AE2631" s="166">
        <v>0</v>
      </c>
      <c r="AF2631" s="166">
        <v>0</v>
      </c>
      <c r="AG2631" s="164">
        <f>($L2631*'Pivot Objective'!$C$9^6)*AE2631*AF2631</f>
        <v>0</v>
      </c>
      <c r="AH2631" s="166">
        <v>0</v>
      </c>
      <c r="AI2631" s="166">
        <v>0</v>
      </c>
      <c r="AJ2631" s="164">
        <f>($L2631*'Pivot Objective'!$C$9^7)*AH2631*AI2631</f>
        <v>0</v>
      </c>
      <c r="AK2631" s="185">
        <f t="shared" si="291"/>
        <v>1750000</v>
      </c>
      <c r="AL2631" s="186">
        <f t="shared" si="292"/>
        <v>1699.0291262135922</v>
      </c>
    </row>
    <row r="2632" spans="1:38" customFormat="1" ht="72" x14ac:dyDescent="0.3">
      <c r="A2632" s="140" t="s">
        <v>1489</v>
      </c>
      <c r="B2632" s="140">
        <v>4</v>
      </c>
      <c r="C2632" s="166" t="s">
        <v>697</v>
      </c>
      <c r="D2632" s="140" t="str">
        <f t="shared" si="287"/>
        <v>3</v>
      </c>
      <c r="E2632" s="166" t="s">
        <v>694</v>
      </c>
      <c r="F2632" s="140">
        <f t="shared" si="289"/>
        <v>3</v>
      </c>
      <c r="G2632" s="140" t="str">
        <f t="shared" si="288"/>
        <v>4.3.3</v>
      </c>
      <c r="H2632" s="166" t="s">
        <v>677</v>
      </c>
      <c r="I2632" s="166" t="s">
        <v>126</v>
      </c>
      <c r="J2632" s="166" t="s">
        <v>468</v>
      </c>
      <c r="K2632" s="166" t="s">
        <v>709</v>
      </c>
      <c r="L2632" s="167">
        <v>35000</v>
      </c>
      <c r="M2632" s="166">
        <v>50</v>
      </c>
      <c r="N2632" s="166">
        <v>1</v>
      </c>
      <c r="O2632" s="164">
        <f t="shared" si="290"/>
        <v>1750000</v>
      </c>
      <c r="P2632" s="166">
        <v>0</v>
      </c>
      <c r="Q2632" s="166">
        <v>0</v>
      </c>
      <c r="R2632" s="164">
        <f>$L2632*'Pivot Objective'!$C$9*P2632*Q2632</f>
        <v>0</v>
      </c>
      <c r="S2632" s="166">
        <v>0</v>
      </c>
      <c r="T2632" s="166">
        <v>0</v>
      </c>
      <c r="U2632" s="164">
        <f>($L2632*'Pivot Objective'!$C$9^2)*S2632*T2632</f>
        <v>0</v>
      </c>
      <c r="V2632" s="166">
        <v>0</v>
      </c>
      <c r="W2632" s="166">
        <v>0</v>
      </c>
      <c r="X2632" s="164">
        <f>($L2632*'Pivot Objective'!$C$9^3)*V2632*W2632</f>
        <v>0</v>
      </c>
      <c r="Y2632" s="166">
        <v>0</v>
      </c>
      <c r="Z2632" s="166">
        <v>0</v>
      </c>
      <c r="AA2632" s="164">
        <f>($L2632*'Pivot Objective'!$C$9^4)*Y2632*Z2632</f>
        <v>0</v>
      </c>
      <c r="AB2632" s="166">
        <v>0</v>
      </c>
      <c r="AC2632" s="166">
        <v>0</v>
      </c>
      <c r="AD2632" s="164">
        <f>($L2632*'Pivot Objective'!$C$9^5)*AB2632*AC2632</f>
        <v>0</v>
      </c>
      <c r="AE2632" s="166">
        <v>0</v>
      </c>
      <c r="AF2632" s="166">
        <v>0</v>
      </c>
      <c r="AG2632" s="164">
        <f>($L2632*'Pivot Objective'!$C$9^6)*AE2632*AF2632</f>
        <v>0</v>
      </c>
      <c r="AH2632" s="166">
        <v>0</v>
      </c>
      <c r="AI2632" s="166">
        <v>0</v>
      </c>
      <c r="AJ2632" s="164">
        <f>($L2632*'Pivot Objective'!$C$9^7)*AH2632*AI2632</f>
        <v>0</v>
      </c>
      <c r="AK2632" s="185">
        <f t="shared" si="291"/>
        <v>1750000</v>
      </c>
      <c r="AL2632" s="186">
        <f t="shared" si="292"/>
        <v>1699.0291262135922</v>
      </c>
    </row>
    <row r="2633" spans="1:38" customFormat="1" ht="57.6" x14ac:dyDescent="0.3">
      <c r="A2633" s="140" t="s">
        <v>1489</v>
      </c>
      <c r="B2633" s="140">
        <v>4</v>
      </c>
      <c r="C2633" s="166" t="s">
        <v>697</v>
      </c>
      <c r="D2633" s="140" t="str">
        <f t="shared" si="287"/>
        <v>3</v>
      </c>
      <c r="E2633" s="166" t="s">
        <v>694</v>
      </c>
      <c r="F2633" s="140">
        <f t="shared" si="289"/>
        <v>3</v>
      </c>
      <c r="G2633" s="140" t="str">
        <f t="shared" si="288"/>
        <v>4.3.3</v>
      </c>
      <c r="H2633" s="166" t="s">
        <v>677</v>
      </c>
      <c r="I2633" s="166" t="s">
        <v>126</v>
      </c>
      <c r="J2633" s="166" t="s">
        <v>469</v>
      </c>
      <c r="K2633" s="166" t="s">
        <v>709</v>
      </c>
      <c r="L2633" s="167">
        <v>35000</v>
      </c>
      <c r="M2633" s="166">
        <v>50</v>
      </c>
      <c r="N2633" s="166">
        <v>1</v>
      </c>
      <c r="O2633" s="164">
        <f t="shared" si="290"/>
        <v>1750000</v>
      </c>
      <c r="P2633" s="166">
        <v>0</v>
      </c>
      <c r="Q2633" s="166">
        <v>0</v>
      </c>
      <c r="R2633" s="164">
        <f>$L2633*'Pivot Objective'!$C$9*P2633*Q2633</f>
        <v>0</v>
      </c>
      <c r="S2633" s="166">
        <v>0</v>
      </c>
      <c r="T2633" s="166">
        <v>0</v>
      </c>
      <c r="U2633" s="164">
        <f>($L2633*'Pivot Objective'!$C$9^2)*S2633*T2633</f>
        <v>0</v>
      </c>
      <c r="V2633" s="166">
        <v>0</v>
      </c>
      <c r="W2633" s="166">
        <v>0</v>
      </c>
      <c r="X2633" s="164">
        <f>($L2633*'Pivot Objective'!$C$9^3)*V2633*W2633</f>
        <v>0</v>
      </c>
      <c r="Y2633" s="166">
        <v>0</v>
      </c>
      <c r="Z2633" s="166">
        <v>0</v>
      </c>
      <c r="AA2633" s="164">
        <f>($L2633*'Pivot Objective'!$C$9^4)*Y2633*Z2633</f>
        <v>0</v>
      </c>
      <c r="AB2633" s="166">
        <v>0</v>
      </c>
      <c r="AC2633" s="166">
        <v>0</v>
      </c>
      <c r="AD2633" s="164">
        <f>($L2633*'Pivot Objective'!$C$9^5)*AB2633*AC2633</f>
        <v>0</v>
      </c>
      <c r="AE2633" s="166">
        <v>0</v>
      </c>
      <c r="AF2633" s="166">
        <v>0</v>
      </c>
      <c r="AG2633" s="164">
        <f>($L2633*'Pivot Objective'!$C$9^6)*AE2633*AF2633</f>
        <v>0</v>
      </c>
      <c r="AH2633" s="166">
        <v>0</v>
      </c>
      <c r="AI2633" s="166">
        <v>0</v>
      </c>
      <c r="AJ2633" s="164">
        <f>($L2633*'Pivot Objective'!$C$9^7)*AH2633*AI2633</f>
        <v>0</v>
      </c>
      <c r="AK2633" s="185">
        <f t="shared" si="291"/>
        <v>1750000</v>
      </c>
      <c r="AL2633" s="186">
        <f t="shared" si="292"/>
        <v>1699.0291262135922</v>
      </c>
    </row>
    <row r="2634" spans="1:38" customFormat="1" ht="57.6" x14ac:dyDescent="0.3">
      <c r="A2634" s="140" t="s">
        <v>1489</v>
      </c>
      <c r="B2634" s="140">
        <v>4</v>
      </c>
      <c r="C2634" s="166" t="s">
        <v>697</v>
      </c>
      <c r="D2634" s="140" t="str">
        <f t="shared" si="287"/>
        <v>3</v>
      </c>
      <c r="E2634" s="166" t="s">
        <v>694</v>
      </c>
      <c r="F2634" s="140">
        <f t="shared" si="289"/>
        <v>3</v>
      </c>
      <c r="G2634" s="140" t="str">
        <f t="shared" si="288"/>
        <v>4.3.3</v>
      </c>
      <c r="H2634" s="166" t="s">
        <v>677</v>
      </c>
      <c r="I2634" s="166" t="s">
        <v>126</v>
      </c>
      <c r="J2634" s="166" t="s">
        <v>470</v>
      </c>
      <c r="K2634" s="166" t="s">
        <v>709</v>
      </c>
      <c r="L2634" s="167">
        <v>35000</v>
      </c>
      <c r="M2634" s="166">
        <v>50</v>
      </c>
      <c r="N2634" s="166">
        <v>1</v>
      </c>
      <c r="O2634" s="164">
        <f t="shared" si="290"/>
        <v>1750000</v>
      </c>
      <c r="P2634" s="166">
        <v>0</v>
      </c>
      <c r="Q2634" s="166">
        <v>0</v>
      </c>
      <c r="R2634" s="164">
        <f>$L2634*'Pivot Objective'!$C$9*P2634*Q2634</f>
        <v>0</v>
      </c>
      <c r="S2634" s="166">
        <v>0</v>
      </c>
      <c r="T2634" s="166">
        <v>0</v>
      </c>
      <c r="U2634" s="164">
        <f>($L2634*'Pivot Objective'!$C$9^2)*S2634*T2634</f>
        <v>0</v>
      </c>
      <c r="V2634" s="166">
        <v>0</v>
      </c>
      <c r="W2634" s="166">
        <v>0</v>
      </c>
      <c r="X2634" s="164">
        <f>($L2634*'Pivot Objective'!$C$9^3)*V2634*W2634</f>
        <v>0</v>
      </c>
      <c r="Y2634" s="166">
        <v>0</v>
      </c>
      <c r="Z2634" s="166">
        <v>0</v>
      </c>
      <c r="AA2634" s="164">
        <f>($L2634*'Pivot Objective'!$C$9^4)*Y2634*Z2634</f>
        <v>0</v>
      </c>
      <c r="AB2634" s="166">
        <v>0</v>
      </c>
      <c r="AC2634" s="166">
        <v>0</v>
      </c>
      <c r="AD2634" s="164">
        <f>($L2634*'Pivot Objective'!$C$9^5)*AB2634*AC2634</f>
        <v>0</v>
      </c>
      <c r="AE2634" s="166">
        <v>0</v>
      </c>
      <c r="AF2634" s="166">
        <v>0</v>
      </c>
      <c r="AG2634" s="164">
        <f>($L2634*'Pivot Objective'!$C$9^6)*AE2634*AF2634</f>
        <v>0</v>
      </c>
      <c r="AH2634" s="166">
        <v>0</v>
      </c>
      <c r="AI2634" s="166">
        <v>0</v>
      </c>
      <c r="AJ2634" s="164">
        <f>($L2634*'Pivot Objective'!$C$9^7)*AH2634*AI2634</f>
        <v>0</v>
      </c>
      <c r="AK2634" s="185">
        <f t="shared" si="291"/>
        <v>1750000</v>
      </c>
      <c r="AL2634" s="186">
        <f t="shared" si="292"/>
        <v>1699.0291262135922</v>
      </c>
    </row>
    <row r="2635" spans="1:38" customFormat="1" ht="57.6" x14ac:dyDescent="0.3">
      <c r="A2635" s="140" t="s">
        <v>1489</v>
      </c>
      <c r="B2635" s="140">
        <v>4</v>
      </c>
      <c r="C2635" s="166" t="s">
        <v>697</v>
      </c>
      <c r="D2635" s="140" t="str">
        <f t="shared" si="287"/>
        <v>3</v>
      </c>
      <c r="E2635" s="166" t="s">
        <v>694</v>
      </c>
      <c r="F2635" s="140">
        <f t="shared" si="289"/>
        <v>3</v>
      </c>
      <c r="G2635" s="140" t="str">
        <f t="shared" si="288"/>
        <v>4.3.3</v>
      </c>
      <c r="H2635" s="166" t="s">
        <v>677</v>
      </c>
      <c r="I2635" s="166" t="s">
        <v>126</v>
      </c>
      <c r="J2635" s="166" t="s">
        <v>471</v>
      </c>
      <c r="K2635" s="166" t="s">
        <v>709</v>
      </c>
      <c r="L2635" s="167">
        <v>35000</v>
      </c>
      <c r="M2635" s="166">
        <v>50</v>
      </c>
      <c r="N2635" s="166">
        <v>1</v>
      </c>
      <c r="O2635" s="164">
        <f t="shared" si="290"/>
        <v>1750000</v>
      </c>
      <c r="P2635" s="166">
        <v>0</v>
      </c>
      <c r="Q2635" s="166">
        <v>0</v>
      </c>
      <c r="R2635" s="164">
        <f>$L2635*'Pivot Objective'!$C$9*P2635*Q2635</f>
        <v>0</v>
      </c>
      <c r="S2635" s="166">
        <v>0</v>
      </c>
      <c r="T2635" s="166">
        <v>0</v>
      </c>
      <c r="U2635" s="164">
        <f>($L2635*'Pivot Objective'!$C$9^2)*S2635*T2635</f>
        <v>0</v>
      </c>
      <c r="V2635" s="166">
        <v>0</v>
      </c>
      <c r="W2635" s="166">
        <v>0</v>
      </c>
      <c r="X2635" s="164">
        <f>($L2635*'Pivot Objective'!$C$9^3)*V2635*W2635</f>
        <v>0</v>
      </c>
      <c r="Y2635" s="166">
        <v>0</v>
      </c>
      <c r="Z2635" s="166">
        <v>0</v>
      </c>
      <c r="AA2635" s="164">
        <f>($L2635*'Pivot Objective'!$C$9^4)*Y2635*Z2635</f>
        <v>0</v>
      </c>
      <c r="AB2635" s="166">
        <v>0</v>
      </c>
      <c r="AC2635" s="166">
        <v>0</v>
      </c>
      <c r="AD2635" s="164">
        <f>($L2635*'Pivot Objective'!$C$9^5)*AB2635*AC2635</f>
        <v>0</v>
      </c>
      <c r="AE2635" s="166">
        <v>0</v>
      </c>
      <c r="AF2635" s="166">
        <v>0</v>
      </c>
      <c r="AG2635" s="164">
        <f>($L2635*'Pivot Objective'!$C$9^6)*AE2635*AF2635</f>
        <v>0</v>
      </c>
      <c r="AH2635" s="166">
        <v>0</v>
      </c>
      <c r="AI2635" s="166">
        <v>0</v>
      </c>
      <c r="AJ2635" s="164">
        <f>($L2635*'Pivot Objective'!$C$9^7)*AH2635*AI2635</f>
        <v>0</v>
      </c>
      <c r="AK2635" s="185">
        <f t="shared" si="291"/>
        <v>1750000</v>
      </c>
      <c r="AL2635" s="186">
        <f t="shared" si="292"/>
        <v>1699.0291262135922</v>
      </c>
    </row>
    <row r="2636" spans="1:38" customFormat="1" ht="57.6" x14ac:dyDescent="0.3">
      <c r="A2636" s="140" t="s">
        <v>1489</v>
      </c>
      <c r="B2636" s="140">
        <v>4</v>
      </c>
      <c r="C2636" s="166" t="s">
        <v>697</v>
      </c>
      <c r="D2636" s="140" t="str">
        <f t="shared" si="287"/>
        <v>3</v>
      </c>
      <c r="E2636" s="166" t="s">
        <v>694</v>
      </c>
      <c r="F2636" s="140">
        <f t="shared" si="289"/>
        <v>3</v>
      </c>
      <c r="G2636" s="140" t="str">
        <f t="shared" si="288"/>
        <v>4.3.3</v>
      </c>
      <c r="H2636" s="166" t="s">
        <v>677</v>
      </c>
      <c r="I2636" s="166" t="s">
        <v>126</v>
      </c>
      <c r="J2636" s="166" t="s">
        <v>472</v>
      </c>
      <c r="K2636" s="166" t="s">
        <v>709</v>
      </c>
      <c r="L2636" s="167">
        <v>35000</v>
      </c>
      <c r="M2636" s="166">
        <v>50</v>
      </c>
      <c r="N2636" s="166">
        <v>1</v>
      </c>
      <c r="O2636" s="164">
        <f t="shared" si="290"/>
        <v>1750000</v>
      </c>
      <c r="P2636" s="166">
        <v>0</v>
      </c>
      <c r="Q2636" s="166">
        <v>0</v>
      </c>
      <c r="R2636" s="164">
        <f>$L2636*'Pivot Objective'!$C$9*P2636*Q2636</f>
        <v>0</v>
      </c>
      <c r="S2636" s="166">
        <v>0</v>
      </c>
      <c r="T2636" s="166">
        <v>0</v>
      </c>
      <c r="U2636" s="164">
        <f>($L2636*'Pivot Objective'!$C$9^2)*S2636*T2636</f>
        <v>0</v>
      </c>
      <c r="V2636" s="166">
        <v>0</v>
      </c>
      <c r="W2636" s="166">
        <v>0</v>
      </c>
      <c r="X2636" s="164">
        <f>($L2636*'Pivot Objective'!$C$9^3)*V2636*W2636</f>
        <v>0</v>
      </c>
      <c r="Y2636" s="166">
        <v>0</v>
      </c>
      <c r="Z2636" s="166">
        <v>0</v>
      </c>
      <c r="AA2636" s="164">
        <f>($L2636*'Pivot Objective'!$C$9^4)*Y2636*Z2636</f>
        <v>0</v>
      </c>
      <c r="AB2636" s="166">
        <v>0</v>
      </c>
      <c r="AC2636" s="166">
        <v>0</v>
      </c>
      <c r="AD2636" s="164">
        <f>($L2636*'Pivot Objective'!$C$9^5)*AB2636*AC2636</f>
        <v>0</v>
      </c>
      <c r="AE2636" s="166">
        <v>0</v>
      </c>
      <c r="AF2636" s="166">
        <v>0</v>
      </c>
      <c r="AG2636" s="164">
        <f>($L2636*'Pivot Objective'!$C$9^6)*AE2636*AF2636</f>
        <v>0</v>
      </c>
      <c r="AH2636" s="166">
        <v>0</v>
      </c>
      <c r="AI2636" s="166">
        <v>0</v>
      </c>
      <c r="AJ2636" s="164">
        <f>($L2636*'Pivot Objective'!$C$9^7)*AH2636*AI2636</f>
        <v>0</v>
      </c>
      <c r="AK2636" s="185">
        <f t="shared" si="291"/>
        <v>1750000</v>
      </c>
      <c r="AL2636" s="186">
        <f t="shared" si="292"/>
        <v>1699.0291262135922</v>
      </c>
    </row>
    <row r="2637" spans="1:38" customFormat="1" ht="57.6" x14ac:dyDescent="0.3">
      <c r="A2637" s="140" t="s">
        <v>1489</v>
      </c>
      <c r="B2637" s="140">
        <v>4</v>
      </c>
      <c r="C2637" s="166" t="s">
        <v>697</v>
      </c>
      <c r="D2637" s="140" t="str">
        <f t="shared" si="287"/>
        <v>3</v>
      </c>
      <c r="E2637" s="166" t="s">
        <v>694</v>
      </c>
      <c r="F2637" s="140">
        <f t="shared" si="289"/>
        <v>3</v>
      </c>
      <c r="G2637" s="140" t="str">
        <f t="shared" si="288"/>
        <v>4.3.3</v>
      </c>
      <c r="H2637" s="166" t="s">
        <v>677</v>
      </c>
      <c r="I2637" s="166" t="s">
        <v>126</v>
      </c>
      <c r="J2637" s="166" t="s">
        <v>587</v>
      </c>
      <c r="K2637" s="166" t="s">
        <v>709</v>
      </c>
      <c r="L2637" s="167">
        <v>35000</v>
      </c>
      <c r="M2637" s="166">
        <v>100</v>
      </c>
      <c r="N2637" s="166">
        <v>1</v>
      </c>
      <c r="O2637" s="164">
        <f t="shared" si="290"/>
        <v>3500000</v>
      </c>
      <c r="P2637" s="166">
        <v>100</v>
      </c>
      <c r="Q2637" s="166">
        <v>1</v>
      </c>
      <c r="R2637" s="164">
        <f>$L2637*'Pivot Objective'!$C$9*P2637*Q2637</f>
        <v>4000223.8394999993</v>
      </c>
      <c r="S2637" s="166">
        <v>100</v>
      </c>
      <c r="T2637" s="166">
        <v>1</v>
      </c>
      <c r="U2637" s="164">
        <f>($L2637*'Pivot Objective'!$C$9^2)*S2637*T2637</f>
        <v>4571940.2188868914</v>
      </c>
      <c r="V2637" s="166">
        <v>100</v>
      </c>
      <c r="W2637" s="166">
        <v>1</v>
      </c>
      <c r="X2637" s="164">
        <f>($L2637*'Pivot Objective'!$C$9^3)*V2637*W2637</f>
        <v>5225366.9303886257</v>
      </c>
      <c r="Y2637" s="166">
        <v>100</v>
      </c>
      <c r="Z2637" s="166">
        <v>1</v>
      </c>
      <c r="AA2637" s="164">
        <f>($L2637*'Pivot Objective'!$C$9^4)*Y2637*Z2637</f>
        <v>5972182.1043072902</v>
      </c>
      <c r="AB2637" s="166">
        <v>100</v>
      </c>
      <c r="AC2637" s="166">
        <v>1</v>
      </c>
      <c r="AD2637" s="164">
        <f>($L2637*'Pivot Objective'!$C$9^5)*AB2637*AC2637</f>
        <v>6825732.9221386546</v>
      </c>
      <c r="AE2637" s="166">
        <v>100</v>
      </c>
      <c r="AF2637" s="166">
        <v>1</v>
      </c>
      <c r="AG2637" s="164">
        <f>($L2637*'Pivot Objective'!$C$9^6)*AE2637*AF2637</f>
        <v>7801274.1591997268</v>
      </c>
      <c r="AH2637" s="166">
        <v>100</v>
      </c>
      <c r="AI2637" s="166">
        <v>1</v>
      </c>
      <c r="AJ2637" s="164">
        <f>($L2637*'Pivot Objective'!$C$9^7)*AH2637*AI2637</f>
        <v>8916240.8200303055</v>
      </c>
      <c r="AK2637" s="185">
        <f t="shared" si="291"/>
        <v>46812960.994451493</v>
      </c>
      <c r="AL2637" s="186">
        <f t="shared" si="292"/>
        <v>45449.476693642224</v>
      </c>
    </row>
    <row r="2638" spans="1:38" customFormat="1" ht="57.6" x14ac:dyDescent="0.3">
      <c r="A2638" s="140" t="s">
        <v>1489</v>
      </c>
      <c r="B2638" s="140">
        <v>4</v>
      </c>
      <c r="C2638" s="166" t="s">
        <v>697</v>
      </c>
      <c r="D2638" s="140" t="str">
        <f t="shared" si="287"/>
        <v>3</v>
      </c>
      <c r="E2638" s="166" t="s">
        <v>694</v>
      </c>
      <c r="F2638" s="140">
        <f t="shared" si="289"/>
        <v>3</v>
      </c>
      <c r="G2638" s="140" t="str">
        <f t="shared" si="288"/>
        <v>4.3.3</v>
      </c>
      <c r="H2638" s="166" t="s">
        <v>677</v>
      </c>
      <c r="I2638" s="166" t="s">
        <v>127</v>
      </c>
      <c r="J2638" s="166" t="s">
        <v>587</v>
      </c>
      <c r="K2638" s="166" t="s">
        <v>709</v>
      </c>
      <c r="L2638" s="167">
        <v>35000</v>
      </c>
      <c r="M2638" s="166">
        <v>100</v>
      </c>
      <c r="N2638" s="166">
        <v>1</v>
      </c>
      <c r="O2638" s="164">
        <f t="shared" si="290"/>
        <v>3500000</v>
      </c>
      <c r="P2638" s="166">
        <v>100</v>
      </c>
      <c r="Q2638" s="166">
        <v>1</v>
      </c>
      <c r="R2638" s="164">
        <f>$L2638*'Pivot Objective'!$C$9*P2638*Q2638</f>
        <v>4000223.8394999993</v>
      </c>
      <c r="S2638" s="166">
        <v>100</v>
      </c>
      <c r="T2638" s="166">
        <v>1</v>
      </c>
      <c r="U2638" s="164">
        <f>($L2638*'Pivot Objective'!$C$9^2)*S2638*T2638</f>
        <v>4571940.2188868914</v>
      </c>
      <c r="V2638" s="166">
        <v>100</v>
      </c>
      <c r="W2638" s="166">
        <v>1</v>
      </c>
      <c r="X2638" s="164">
        <f>($L2638*'Pivot Objective'!$C$9^3)*V2638*W2638</f>
        <v>5225366.9303886257</v>
      </c>
      <c r="Y2638" s="166">
        <v>100</v>
      </c>
      <c r="Z2638" s="166">
        <v>1</v>
      </c>
      <c r="AA2638" s="164">
        <f>($L2638*'Pivot Objective'!$C$9^4)*Y2638*Z2638</f>
        <v>5972182.1043072902</v>
      </c>
      <c r="AB2638" s="166">
        <v>100</v>
      </c>
      <c r="AC2638" s="166">
        <v>1</v>
      </c>
      <c r="AD2638" s="164">
        <f>($L2638*'Pivot Objective'!$C$9^5)*AB2638*AC2638</f>
        <v>6825732.9221386546</v>
      </c>
      <c r="AE2638" s="166">
        <v>100</v>
      </c>
      <c r="AF2638" s="166">
        <v>1</v>
      </c>
      <c r="AG2638" s="164">
        <f>($L2638*'Pivot Objective'!$C$9^6)*AE2638*AF2638</f>
        <v>7801274.1591997268</v>
      </c>
      <c r="AH2638" s="166">
        <v>100</v>
      </c>
      <c r="AI2638" s="166">
        <v>1</v>
      </c>
      <c r="AJ2638" s="164">
        <f>($L2638*'Pivot Objective'!$C$9^7)*AH2638*AI2638</f>
        <v>8916240.8200303055</v>
      </c>
      <c r="AK2638" s="185">
        <f t="shared" si="291"/>
        <v>46812960.994451493</v>
      </c>
      <c r="AL2638" s="186">
        <f t="shared" si="292"/>
        <v>45449.476693642224</v>
      </c>
    </row>
    <row r="2639" spans="1:38" customFormat="1" ht="57.6" x14ac:dyDescent="0.3">
      <c r="A2639" s="140" t="s">
        <v>1489</v>
      </c>
      <c r="B2639" s="140">
        <v>4</v>
      </c>
      <c r="C2639" s="166" t="s">
        <v>697</v>
      </c>
      <c r="D2639" s="140" t="str">
        <f t="shared" si="287"/>
        <v>3</v>
      </c>
      <c r="E2639" s="166" t="s">
        <v>694</v>
      </c>
      <c r="F2639" s="140">
        <f t="shared" si="289"/>
        <v>3</v>
      </c>
      <c r="G2639" s="140" t="str">
        <f t="shared" si="288"/>
        <v>4.3.3</v>
      </c>
      <c r="H2639" s="166" t="s">
        <v>677</v>
      </c>
      <c r="I2639" s="166" t="s">
        <v>128</v>
      </c>
      <c r="J2639" s="166" t="s">
        <v>588</v>
      </c>
      <c r="K2639" s="166" t="s">
        <v>709</v>
      </c>
      <c r="L2639" s="167">
        <v>35000</v>
      </c>
      <c r="M2639" s="166">
        <v>100</v>
      </c>
      <c r="N2639" s="166">
        <v>2</v>
      </c>
      <c r="O2639" s="164">
        <f t="shared" si="290"/>
        <v>7000000</v>
      </c>
      <c r="P2639" s="166">
        <v>100</v>
      </c>
      <c r="Q2639" s="166">
        <v>2</v>
      </c>
      <c r="R2639" s="164">
        <f>$L2639*'Pivot Objective'!$C$9*P2639*Q2639</f>
        <v>8000447.6789999986</v>
      </c>
      <c r="S2639" s="166">
        <v>100</v>
      </c>
      <c r="T2639" s="166">
        <v>2</v>
      </c>
      <c r="U2639" s="164">
        <f>($L2639*'Pivot Objective'!$C$9^2)*S2639*T2639</f>
        <v>9143880.4377737828</v>
      </c>
      <c r="V2639" s="166">
        <v>100</v>
      </c>
      <c r="W2639" s="166">
        <v>2</v>
      </c>
      <c r="X2639" s="164">
        <f>($L2639*'Pivot Objective'!$C$9^3)*V2639*W2639</f>
        <v>10450733.860777251</v>
      </c>
      <c r="Y2639" s="166">
        <v>100</v>
      </c>
      <c r="Z2639" s="166">
        <v>2</v>
      </c>
      <c r="AA2639" s="164">
        <f>($L2639*'Pivot Objective'!$C$9^4)*Y2639*Z2639</f>
        <v>11944364.20861458</v>
      </c>
      <c r="AB2639" s="166">
        <v>100</v>
      </c>
      <c r="AC2639" s="166">
        <v>2</v>
      </c>
      <c r="AD2639" s="164">
        <f>($L2639*'Pivot Objective'!$C$9^5)*AB2639*AC2639</f>
        <v>13651465.844277309</v>
      </c>
      <c r="AE2639" s="166">
        <v>100</v>
      </c>
      <c r="AF2639" s="166">
        <v>2</v>
      </c>
      <c r="AG2639" s="164">
        <f>($L2639*'Pivot Objective'!$C$9^6)*AE2639*AF2639</f>
        <v>15602548.318399454</v>
      </c>
      <c r="AH2639" s="166">
        <v>100</v>
      </c>
      <c r="AI2639" s="166">
        <v>2</v>
      </c>
      <c r="AJ2639" s="164">
        <f>($L2639*'Pivot Objective'!$C$9^7)*AH2639*AI2639</f>
        <v>17832481.640060611</v>
      </c>
      <c r="AK2639" s="185">
        <f t="shared" si="291"/>
        <v>93625921.988902986</v>
      </c>
      <c r="AL2639" s="186">
        <f t="shared" si="292"/>
        <v>90898.953387284448</v>
      </c>
    </row>
    <row r="2640" spans="1:38" customFormat="1" ht="57.6" x14ac:dyDescent="0.3">
      <c r="A2640" s="140" t="s">
        <v>1489</v>
      </c>
      <c r="B2640" s="140">
        <v>4</v>
      </c>
      <c r="C2640" s="166" t="s">
        <v>697</v>
      </c>
      <c r="D2640" s="140" t="str">
        <f t="shared" si="287"/>
        <v>3</v>
      </c>
      <c r="E2640" s="166" t="s">
        <v>694</v>
      </c>
      <c r="F2640" s="140">
        <f t="shared" ref="F2640:F2671" si="293">IF(H2640=H2639,F2639,F2639+1)</f>
        <v>3</v>
      </c>
      <c r="G2640" s="140" t="str">
        <f t="shared" si="288"/>
        <v>4.3.3</v>
      </c>
      <c r="H2640" s="166" t="s">
        <v>677</v>
      </c>
      <c r="I2640" s="166" t="s">
        <v>129</v>
      </c>
      <c r="J2640" s="166" t="s">
        <v>589</v>
      </c>
      <c r="K2640" s="166" t="s">
        <v>718</v>
      </c>
      <c r="L2640" s="167">
        <v>0</v>
      </c>
      <c r="M2640" s="166">
        <v>0</v>
      </c>
      <c r="N2640" s="166">
        <v>0</v>
      </c>
      <c r="O2640" s="164">
        <f t="shared" si="290"/>
        <v>0</v>
      </c>
      <c r="P2640" s="166">
        <v>0</v>
      </c>
      <c r="Q2640" s="166">
        <v>0</v>
      </c>
      <c r="R2640" s="164">
        <f>$L2640*'Pivot Objective'!$C$9*P2640*Q2640</f>
        <v>0</v>
      </c>
      <c r="S2640" s="166">
        <v>0</v>
      </c>
      <c r="T2640" s="166">
        <v>0</v>
      </c>
      <c r="U2640" s="164">
        <f>($L2640*'Pivot Objective'!$C$9^2)*S2640*T2640</f>
        <v>0</v>
      </c>
      <c r="V2640" s="166">
        <v>0</v>
      </c>
      <c r="W2640" s="166">
        <v>0</v>
      </c>
      <c r="X2640" s="164">
        <f>($L2640*'Pivot Objective'!$C$9^3)*V2640*W2640</f>
        <v>0</v>
      </c>
      <c r="Y2640" s="166">
        <v>0</v>
      </c>
      <c r="Z2640" s="166">
        <v>0</v>
      </c>
      <c r="AA2640" s="164">
        <f>($L2640*'Pivot Objective'!$C$9^4)*Y2640*Z2640</f>
        <v>0</v>
      </c>
      <c r="AB2640" s="166">
        <v>0</v>
      </c>
      <c r="AC2640" s="166">
        <v>0</v>
      </c>
      <c r="AD2640" s="164">
        <f>($L2640*'Pivot Objective'!$C$9^5)*AB2640*AC2640</f>
        <v>0</v>
      </c>
      <c r="AE2640" s="166">
        <v>0</v>
      </c>
      <c r="AF2640" s="166">
        <v>0</v>
      </c>
      <c r="AG2640" s="164">
        <f>($L2640*'Pivot Objective'!$C$9^6)*AE2640*AF2640</f>
        <v>0</v>
      </c>
      <c r="AH2640" s="166">
        <v>0</v>
      </c>
      <c r="AI2640" s="166">
        <v>0</v>
      </c>
      <c r="AJ2640" s="164">
        <f>($L2640*'Pivot Objective'!$C$9^7)*AH2640*AI2640</f>
        <v>0</v>
      </c>
      <c r="AK2640" s="185">
        <f t="shared" si="291"/>
        <v>0</v>
      </c>
      <c r="AL2640" s="186">
        <f t="shared" si="292"/>
        <v>0</v>
      </c>
    </row>
    <row r="2641" spans="1:38" customFormat="1" ht="57.6" x14ac:dyDescent="0.3">
      <c r="A2641" s="140" t="s">
        <v>1489</v>
      </c>
      <c r="B2641" s="140">
        <v>4</v>
      </c>
      <c r="C2641" s="166" t="s">
        <v>697</v>
      </c>
      <c r="D2641" s="140" t="str">
        <f t="shared" si="287"/>
        <v>3</v>
      </c>
      <c r="E2641" s="166" t="s">
        <v>694</v>
      </c>
      <c r="F2641" s="140">
        <f t="shared" si="293"/>
        <v>3</v>
      </c>
      <c r="G2641" s="140" t="str">
        <f t="shared" si="288"/>
        <v>4.3.3</v>
      </c>
      <c r="H2641" s="166" t="s">
        <v>677</v>
      </c>
      <c r="I2641" s="166" t="s">
        <v>129</v>
      </c>
      <c r="J2641" s="166" t="s">
        <v>590</v>
      </c>
      <c r="K2641" s="166" t="s">
        <v>716</v>
      </c>
      <c r="L2641" s="167">
        <v>39000</v>
      </c>
      <c r="M2641" s="166">
        <v>25</v>
      </c>
      <c r="N2641" s="166">
        <v>6</v>
      </c>
      <c r="O2641" s="164">
        <f t="shared" si="290"/>
        <v>5850000</v>
      </c>
      <c r="P2641" s="166">
        <v>25</v>
      </c>
      <c r="Q2641" s="166">
        <v>6</v>
      </c>
      <c r="R2641" s="164">
        <f>$L2641*'Pivot Objective'!$C$9*P2641*Q2641</f>
        <v>6686088.4174499996</v>
      </c>
      <c r="S2641" s="166"/>
      <c r="T2641" s="166"/>
      <c r="U2641" s="164">
        <f>($L2641*'Pivot Objective'!$C$9^2)*S2641*T2641</f>
        <v>0</v>
      </c>
      <c r="V2641" s="166">
        <v>25</v>
      </c>
      <c r="W2641" s="166">
        <v>6</v>
      </c>
      <c r="X2641" s="164">
        <f>($L2641*'Pivot Objective'!$C$9^3)*V2641*W2641</f>
        <v>8733827.5836495608</v>
      </c>
      <c r="Y2641" s="166">
        <v>0</v>
      </c>
      <c r="Z2641" s="166">
        <v>0</v>
      </c>
      <c r="AA2641" s="164">
        <f>($L2641*'Pivot Objective'!$C$9^4)*Y2641*Z2641</f>
        <v>0</v>
      </c>
      <c r="AB2641" s="166">
        <v>25</v>
      </c>
      <c r="AC2641" s="166">
        <v>6</v>
      </c>
      <c r="AD2641" s="164">
        <f>($L2641*'Pivot Objective'!$C$9^5)*AB2641*AC2641</f>
        <v>11408725.027003182</v>
      </c>
      <c r="AE2641" s="166"/>
      <c r="AF2641" s="166"/>
      <c r="AG2641" s="164">
        <f>($L2641*'Pivot Objective'!$C$9^6)*AE2641*AF2641</f>
        <v>0</v>
      </c>
      <c r="AH2641" s="166">
        <v>25</v>
      </c>
      <c r="AI2641" s="166">
        <v>6</v>
      </c>
      <c r="AJ2641" s="164">
        <f>($L2641*'Pivot Objective'!$C$9^7)*AH2641*AI2641</f>
        <v>14902859.656336365</v>
      </c>
      <c r="AK2641" s="185">
        <f t="shared" si="291"/>
        <v>47581500.684439108</v>
      </c>
      <c r="AL2641" s="186">
        <f t="shared" si="292"/>
        <v>46195.631732465154</v>
      </c>
    </row>
    <row r="2642" spans="1:38" customFormat="1" ht="57.6" x14ac:dyDescent="0.3">
      <c r="A2642" s="140" t="s">
        <v>1489</v>
      </c>
      <c r="B2642" s="140">
        <v>4</v>
      </c>
      <c r="C2642" s="166" t="s">
        <v>697</v>
      </c>
      <c r="D2642" s="140" t="str">
        <f t="shared" si="287"/>
        <v>3</v>
      </c>
      <c r="E2642" s="166" t="s">
        <v>694</v>
      </c>
      <c r="F2642" s="140">
        <f t="shared" si="293"/>
        <v>3</v>
      </c>
      <c r="G2642" s="140" t="str">
        <f t="shared" si="288"/>
        <v>4.3.3</v>
      </c>
      <c r="H2642" s="166" t="s">
        <v>677</v>
      </c>
      <c r="I2642" s="166" t="s">
        <v>129</v>
      </c>
      <c r="J2642" s="166" t="s">
        <v>590</v>
      </c>
      <c r="K2642" s="166" t="s">
        <v>709</v>
      </c>
      <c r="L2642" s="167">
        <v>35000</v>
      </c>
      <c r="M2642" s="166">
        <v>25</v>
      </c>
      <c r="N2642" s="166">
        <v>5</v>
      </c>
      <c r="O2642" s="164">
        <f t="shared" si="290"/>
        <v>4375000</v>
      </c>
      <c r="P2642" s="166">
        <v>25</v>
      </c>
      <c r="Q2642" s="166">
        <v>5</v>
      </c>
      <c r="R2642" s="164">
        <f>$L2642*'Pivot Objective'!$C$9*P2642*Q2642</f>
        <v>5000279.7993749995</v>
      </c>
      <c r="S2642" s="166"/>
      <c r="T2642" s="166"/>
      <c r="U2642" s="164">
        <f>($L2642*'Pivot Objective'!$C$9^2)*S2642*T2642</f>
        <v>0</v>
      </c>
      <c r="V2642" s="166">
        <v>25</v>
      </c>
      <c r="W2642" s="166">
        <v>5</v>
      </c>
      <c r="X2642" s="164">
        <f>($L2642*'Pivot Objective'!$C$9^3)*V2642*W2642</f>
        <v>6531708.6629857821</v>
      </c>
      <c r="Y2642" s="166">
        <v>0</v>
      </c>
      <c r="Z2642" s="166">
        <v>0</v>
      </c>
      <c r="AA2642" s="164">
        <f>($L2642*'Pivot Objective'!$C$9^4)*Y2642*Z2642</f>
        <v>0</v>
      </c>
      <c r="AB2642" s="166">
        <v>25</v>
      </c>
      <c r="AC2642" s="166">
        <v>5</v>
      </c>
      <c r="AD2642" s="164">
        <f>($L2642*'Pivot Objective'!$C$9^5)*AB2642*AC2642</f>
        <v>8532166.152673319</v>
      </c>
      <c r="AE2642" s="166"/>
      <c r="AF2642" s="166"/>
      <c r="AG2642" s="164">
        <f>($L2642*'Pivot Objective'!$C$9^6)*AE2642*AF2642</f>
        <v>0</v>
      </c>
      <c r="AH2642" s="166">
        <v>25</v>
      </c>
      <c r="AI2642" s="166">
        <v>5</v>
      </c>
      <c r="AJ2642" s="164">
        <f>($L2642*'Pivot Objective'!$C$9^7)*AH2642*AI2642</f>
        <v>11145301.025037881</v>
      </c>
      <c r="AK2642" s="185">
        <f t="shared" si="291"/>
        <v>35584455.640071981</v>
      </c>
      <c r="AL2642" s="186">
        <f t="shared" si="292"/>
        <v>34548.015184535907</v>
      </c>
    </row>
    <row r="2643" spans="1:38" customFormat="1" ht="57.6" x14ac:dyDescent="0.3">
      <c r="A2643" s="140" t="s">
        <v>1489</v>
      </c>
      <c r="B2643" s="140">
        <v>4</v>
      </c>
      <c r="C2643" s="166" t="s">
        <v>697</v>
      </c>
      <c r="D2643" s="140" t="str">
        <f t="shared" si="287"/>
        <v>3</v>
      </c>
      <c r="E2643" s="166" t="s">
        <v>694</v>
      </c>
      <c r="F2643" s="140">
        <f t="shared" si="293"/>
        <v>3</v>
      </c>
      <c r="G2643" s="140" t="str">
        <f t="shared" si="288"/>
        <v>4.3.3</v>
      </c>
      <c r="H2643" s="166" t="s">
        <v>677</v>
      </c>
      <c r="I2643" s="166" t="s">
        <v>129</v>
      </c>
      <c r="J2643" s="166" t="s">
        <v>590</v>
      </c>
      <c r="K2643" s="166" t="s">
        <v>712</v>
      </c>
      <c r="L2643" s="167">
        <v>211.42857142857142</v>
      </c>
      <c r="M2643" s="166">
        <v>450</v>
      </c>
      <c r="N2643" s="166">
        <v>5</v>
      </c>
      <c r="O2643" s="164">
        <f t="shared" si="290"/>
        <v>475714.28571428568</v>
      </c>
      <c r="P2643" s="166">
        <v>450</v>
      </c>
      <c r="Q2643" s="166">
        <v>5</v>
      </c>
      <c r="R2643" s="164">
        <f>$L2643*'Pivot Objective'!$C$9*P2643*Q2643</f>
        <v>543703.89328714274</v>
      </c>
      <c r="S2643" s="166"/>
      <c r="T2643" s="166"/>
      <c r="U2643" s="164">
        <f>($L2643*'Pivot Objective'!$C$9^2)*S2643*T2643</f>
        <v>0</v>
      </c>
      <c r="V2643" s="166">
        <v>450</v>
      </c>
      <c r="W2643" s="166">
        <v>5</v>
      </c>
      <c r="X2643" s="164">
        <f>($L2643*'Pivot Objective'!$C$9^3)*V2643*W2643</f>
        <v>710223.34196710703</v>
      </c>
      <c r="Y2643" s="166">
        <v>0</v>
      </c>
      <c r="Z2643" s="166">
        <v>0</v>
      </c>
      <c r="AA2643" s="164">
        <f>($L2643*'Pivot Objective'!$C$9^4)*Y2643*Z2643</f>
        <v>0</v>
      </c>
      <c r="AB2643" s="166">
        <v>450</v>
      </c>
      <c r="AC2643" s="166">
        <v>5</v>
      </c>
      <c r="AD2643" s="164">
        <f>($L2643*'Pivot Objective'!$C$9^5)*AB2643*AC2643</f>
        <v>927742.47472333559</v>
      </c>
      <c r="AE2643" s="166"/>
      <c r="AF2643" s="166"/>
      <c r="AG2643" s="164">
        <f>($L2643*'Pivot Objective'!$C$9^6)*AE2643*AF2643</f>
        <v>0</v>
      </c>
      <c r="AH2643" s="166">
        <v>450</v>
      </c>
      <c r="AI2643" s="166">
        <v>5</v>
      </c>
      <c r="AJ2643" s="164">
        <f>($L2643*'Pivot Objective'!$C$9^7)*AH2643*AI2643</f>
        <v>1211880.8951306494</v>
      </c>
      <c r="AK2643" s="185">
        <f t="shared" si="291"/>
        <v>3869264.8908225205</v>
      </c>
      <c r="AL2643" s="186">
        <f t="shared" si="292"/>
        <v>3756.5678551674955</v>
      </c>
    </row>
    <row r="2644" spans="1:38" customFormat="1" ht="57.6" x14ac:dyDescent="0.3">
      <c r="A2644" s="140" t="s">
        <v>1489</v>
      </c>
      <c r="B2644" s="140">
        <v>4</v>
      </c>
      <c r="C2644" s="166" t="s">
        <v>697</v>
      </c>
      <c r="D2644" s="140" t="str">
        <f t="shared" si="287"/>
        <v>3</v>
      </c>
      <c r="E2644" s="166" t="s">
        <v>694</v>
      </c>
      <c r="F2644" s="140">
        <f t="shared" si="293"/>
        <v>3</v>
      </c>
      <c r="G2644" s="140" t="str">
        <f t="shared" si="288"/>
        <v>4.3.3</v>
      </c>
      <c r="H2644" s="166" t="s">
        <v>677</v>
      </c>
      <c r="I2644" s="166" t="s">
        <v>129</v>
      </c>
      <c r="J2644" s="166" t="s">
        <v>590</v>
      </c>
      <c r="K2644" s="166" t="s">
        <v>1299</v>
      </c>
      <c r="L2644" s="167">
        <v>211.42857142857142</v>
      </c>
      <c r="M2644" s="166">
        <v>2430</v>
      </c>
      <c r="N2644" s="166">
        <v>1</v>
      </c>
      <c r="O2644" s="164">
        <f t="shared" si="290"/>
        <v>513771.42857142852</v>
      </c>
      <c r="P2644" s="166">
        <v>2430</v>
      </c>
      <c r="Q2644" s="166">
        <v>1</v>
      </c>
      <c r="R2644" s="164">
        <f>$L2644*'Pivot Objective'!$C$9*P2644*Q2644</f>
        <v>587200.20475011424</v>
      </c>
      <c r="S2644" s="166"/>
      <c r="T2644" s="166"/>
      <c r="U2644" s="164">
        <f>($L2644*'Pivot Objective'!$C$9^2)*S2644*T2644</f>
        <v>0</v>
      </c>
      <c r="V2644" s="166">
        <v>2430</v>
      </c>
      <c r="W2644" s="166">
        <v>1</v>
      </c>
      <c r="X2644" s="164">
        <f>($L2644*'Pivot Objective'!$C$9^3)*V2644*W2644</f>
        <v>767041.20932447549</v>
      </c>
      <c r="Y2644" s="166"/>
      <c r="Z2644" s="166"/>
      <c r="AA2644" s="164">
        <f>($L2644*'Pivot Objective'!$C$9^4)*Y2644*Z2644</f>
        <v>0</v>
      </c>
      <c r="AB2644" s="166">
        <v>2430</v>
      </c>
      <c r="AC2644" s="166">
        <v>1</v>
      </c>
      <c r="AD2644" s="164">
        <f>($L2644*'Pivot Objective'!$C$9^5)*AB2644*AC2644</f>
        <v>1001961.8727012025</v>
      </c>
      <c r="AE2644" s="166"/>
      <c r="AF2644" s="166"/>
      <c r="AG2644" s="164">
        <f>($L2644*'Pivot Objective'!$C$9^6)*AE2644*AF2644</f>
        <v>0</v>
      </c>
      <c r="AH2644" s="166">
        <v>2430</v>
      </c>
      <c r="AI2644" s="166">
        <v>1</v>
      </c>
      <c r="AJ2644" s="164">
        <f>($L2644*'Pivot Objective'!$C$9^7)*AH2644*AI2644</f>
        <v>1308831.3667411015</v>
      </c>
      <c r="AK2644" s="185">
        <f t="shared" si="291"/>
        <v>4178806.0820883224</v>
      </c>
      <c r="AL2644" s="186">
        <f t="shared" si="292"/>
        <v>4057.0932835808953</v>
      </c>
    </row>
    <row r="2645" spans="1:38" customFormat="1" ht="57.6" x14ac:dyDescent="0.3">
      <c r="A2645" s="140" t="s">
        <v>1489</v>
      </c>
      <c r="B2645" s="140">
        <v>4</v>
      </c>
      <c r="C2645" s="166" t="s">
        <v>697</v>
      </c>
      <c r="D2645" s="140" t="str">
        <f t="shared" si="287"/>
        <v>3</v>
      </c>
      <c r="E2645" s="166" t="s">
        <v>694</v>
      </c>
      <c r="F2645" s="140">
        <f t="shared" si="293"/>
        <v>3</v>
      </c>
      <c r="G2645" s="140" t="str">
        <f t="shared" si="288"/>
        <v>4.3.3</v>
      </c>
      <c r="H2645" s="166" t="s">
        <v>677</v>
      </c>
      <c r="I2645" s="166" t="s">
        <v>129</v>
      </c>
      <c r="J2645" s="166" t="s">
        <v>591</v>
      </c>
      <c r="K2645" s="166" t="s">
        <v>718</v>
      </c>
      <c r="L2645" s="167">
        <v>0</v>
      </c>
      <c r="M2645" s="166">
        <v>0</v>
      </c>
      <c r="N2645" s="166">
        <v>0</v>
      </c>
      <c r="O2645" s="164">
        <f t="shared" si="290"/>
        <v>0</v>
      </c>
      <c r="P2645" s="166">
        <v>0</v>
      </c>
      <c r="Q2645" s="166">
        <v>0</v>
      </c>
      <c r="R2645" s="164">
        <f>$L2645*'Pivot Objective'!$C$9*P2645*Q2645</f>
        <v>0</v>
      </c>
      <c r="S2645" s="166">
        <v>0</v>
      </c>
      <c r="T2645" s="166">
        <v>0</v>
      </c>
      <c r="U2645" s="164">
        <f>($L2645*'Pivot Objective'!$C$9^2)*S2645*T2645</f>
        <v>0</v>
      </c>
      <c r="V2645" s="166">
        <v>0</v>
      </c>
      <c r="W2645" s="166">
        <v>0</v>
      </c>
      <c r="X2645" s="164">
        <f>($L2645*'Pivot Objective'!$C$9^3)*V2645*W2645</f>
        <v>0</v>
      </c>
      <c r="Y2645" s="166">
        <v>0</v>
      </c>
      <c r="Z2645" s="166">
        <v>0</v>
      </c>
      <c r="AA2645" s="164">
        <f>($L2645*'Pivot Objective'!$C$9^4)*Y2645*Z2645</f>
        <v>0</v>
      </c>
      <c r="AB2645" s="166">
        <v>0</v>
      </c>
      <c r="AC2645" s="166">
        <v>0</v>
      </c>
      <c r="AD2645" s="164">
        <f>($L2645*'Pivot Objective'!$C$9^5)*AB2645*AC2645</f>
        <v>0</v>
      </c>
      <c r="AE2645" s="166">
        <v>0</v>
      </c>
      <c r="AF2645" s="166">
        <v>0</v>
      </c>
      <c r="AG2645" s="164">
        <f>($L2645*'Pivot Objective'!$C$9^6)*AE2645*AF2645</f>
        <v>0</v>
      </c>
      <c r="AH2645" s="166">
        <v>0</v>
      </c>
      <c r="AI2645" s="166">
        <v>0</v>
      </c>
      <c r="AJ2645" s="164">
        <f>($L2645*'Pivot Objective'!$C$9^7)*AH2645*AI2645</f>
        <v>0</v>
      </c>
      <c r="AK2645" s="185">
        <f t="shared" si="291"/>
        <v>0</v>
      </c>
      <c r="AL2645" s="186">
        <f t="shared" si="292"/>
        <v>0</v>
      </c>
    </row>
    <row r="2646" spans="1:38" customFormat="1" ht="57.6" x14ac:dyDescent="0.3">
      <c r="A2646" s="140" t="s">
        <v>1489</v>
      </c>
      <c r="B2646" s="140">
        <v>4</v>
      </c>
      <c r="C2646" s="166" t="s">
        <v>697</v>
      </c>
      <c r="D2646" s="140" t="str">
        <f t="shared" si="287"/>
        <v>3</v>
      </c>
      <c r="E2646" s="166" t="s">
        <v>694</v>
      </c>
      <c r="F2646" s="140">
        <f t="shared" si="293"/>
        <v>3</v>
      </c>
      <c r="G2646" s="140" t="str">
        <f t="shared" si="288"/>
        <v>4.3.3</v>
      </c>
      <c r="H2646" s="166" t="s">
        <v>677</v>
      </c>
      <c r="I2646" s="166" t="s">
        <v>129</v>
      </c>
      <c r="J2646" s="166" t="s">
        <v>592</v>
      </c>
      <c r="K2646" s="166" t="s">
        <v>718</v>
      </c>
      <c r="L2646" s="167">
        <v>0</v>
      </c>
      <c r="M2646" s="166">
        <v>0</v>
      </c>
      <c r="N2646" s="166">
        <v>0</v>
      </c>
      <c r="O2646" s="164">
        <f t="shared" si="290"/>
        <v>0</v>
      </c>
      <c r="P2646" s="166">
        <v>0</v>
      </c>
      <c r="Q2646" s="166">
        <v>0</v>
      </c>
      <c r="R2646" s="164">
        <f>$L2646*'Pivot Objective'!$C$9*P2646*Q2646</f>
        <v>0</v>
      </c>
      <c r="S2646" s="166">
        <v>0</v>
      </c>
      <c r="T2646" s="166">
        <v>0</v>
      </c>
      <c r="U2646" s="164">
        <f>($L2646*'Pivot Objective'!$C$9^2)*S2646*T2646</f>
        <v>0</v>
      </c>
      <c r="V2646" s="166">
        <v>0</v>
      </c>
      <c r="W2646" s="166">
        <v>0</v>
      </c>
      <c r="X2646" s="164">
        <f>($L2646*'Pivot Objective'!$C$9^3)*V2646*W2646</f>
        <v>0</v>
      </c>
      <c r="Y2646" s="166">
        <v>0</v>
      </c>
      <c r="Z2646" s="166">
        <v>0</v>
      </c>
      <c r="AA2646" s="164">
        <f>($L2646*'Pivot Objective'!$C$9^4)*Y2646*Z2646</f>
        <v>0</v>
      </c>
      <c r="AB2646" s="166">
        <v>0</v>
      </c>
      <c r="AC2646" s="166">
        <v>0</v>
      </c>
      <c r="AD2646" s="164">
        <f>($L2646*'Pivot Objective'!$C$9^5)*AB2646*AC2646</f>
        <v>0</v>
      </c>
      <c r="AE2646" s="166">
        <v>0</v>
      </c>
      <c r="AF2646" s="166">
        <v>0</v>
      </c>
      <c r="AG2646" s="164">
        <f>($L2646*'Pivot Objective'!$C$9^6)*AE2646*AF2646</f>
        <v>0</v>
      </c>
      <c r="AH2646" s="166">
        <v>0</v>
      </c>
      <c r="AI2646" s="166">
        <v>0</v>
      </c>
      <c r="AJ2646" s="164">
        <f>($L2646*'Pivot Objective'!$C$9^7)*AH2646*AI2646</f>
        <v>0</v>
      </c>
      <c r="AK2646" s="185">
        <f t="shared" si="291"/>
        <v>0</v>
      </c>
      <c r="AL2646" s="186">
        <f t="shared" si="292"/>
        <v>0</v>
      </c>
    </row>
    <row r="2647" spans="1:38" customFormat="1" ht="57.6" x14ac:dyDescent="0.3">
      <c r="A2647" s="140" t="s">
        <v>1489</v>
      </c>
      <c r="B2647" s="140">
        <v>4</v>
      </c>
      <c r="C2647" s="166" t="s">
        <v>697</v>
      </c>
      <c r="D2647" s="140" t="str">
        <f t="shared" si="287"/>
        <v>3</v>
      </c>
      <c r="E2647" s="166" t="s">
        <v>694</v>
      </c>
      <c r="F2647" s="140">
        <f t="shared" si="293"/>
        <v>3</v>
      </c>
      <c r="G2647" s="140" t="str">
        <f t="shared" si="288"/>
        <v>4.3.3</v>
      </c>
      <c r="H2647" s="166" t="s">
        <v>677</v>
      </c>
      <c r="I2647" s="166" t="s">
        <v>130</v>
      </c>
      <c r="J2647" s="166" t="s">
        <v>593</v>
      </c>
      <c r="K2647" s="166" t="s">
        <v>718</v>
      </c>
      <c r="L2647" s="167">
        <v>0</v>
      </c>
      <c r="M2647" s="166">
        <v>0</v>
      </c>
      <c r="N2647" s="166">
        <v>0</v>
      </c>
      <c r="O2647" s="164">
        <f t="shared" si="290"/>
        <v>0</v>
      </c>
      <c r="P2647" s="166">
        <v>0</v>
      </c>
      <c r="Q2647" s="166">
        <v>0</v>
      </c>
      <c r="R2647" s="164">
        <f>$L2647*'Pivot Objective'!$C$9*P2647*Q2647</f>
        <v>0</v>
      </c>
      <c r="S2647" s="166">
        <v>0</v>
      </c>
      <c r="T2647" s="166">
        <v>0</v>
      </c>
      <c r="U2647" s="164">
        <f>($L2647*'Pivot Objective'!$C$9^2)*S2647*T2647</f>
        <v>0</v>
      </c>
      <c r="V2647" s="166">
        <v>0</v>
      </c>
      <c r="W2647" s="166">
        <v>0</v>
      </c>
      <c r="X2647" s="164">
        <f>($L2647*'Pivot Objective'!$C$9^3)*V2647*W2647</f>
        <v>0</v>
      </c>
      <c r="Y2647" s="166">
        <v>0</v>
      </c>
      <c r="Z2647" s="166">
        <v>0</v>
      </c>
      <c r="AA2647" s="164">
        <f>($L2647*'Pivot Objective'!$C$9^4)*Y2647*Z2647</f>
        <v>0</v>
      </c>
      <c r="AB2647" s="166">
        <v>0</v>
      </c>
      <c r="AC2647" s="166">
        <v>0</v>
      </c>
      <c r="AD2647" s="164">
        <f>($L2647*'Pivot Objective'!$C$9^5)*AB2647*AC2647</f>
        <v>0</v>
      </c>
      <c r="AE2647" s="166">
        <v>0</v>
      </c>
      <c r="AF2647" s="166">
        <v>0</v>
      </c>
      <c r="AG2647" s="164">
        <f>($L2647*'Pivot Objective'!$C$9^6)*AE2647*AF2647</f>
        <v>0</v>
      </c>
      <c r="AH2647" s="166">
        <v>0</v>
      </c>
      <c r="AI2647" s="166">
        <v>0</v>
      </c>
      <c r="AJ2647" s="164">
        <f>($L2647*'Pivot Objective'!$C$9^7)*AH2647*AI2647</f>
        <v>0</v>
      </c>
      <c r="AK2647" s="185">
        <f t="shared" si="291"/>
        <v>0</v>
      </c>
      <c r="AL2647" s="186">
        <f t="shared" si="292"/>
        <v>0</v>
      </c>
    </row>
    <row r="2648" spans="1:38" customFormat="1" ht="57.6" x14ac:dyDescent="0.3">
      <c r="A2648" s="140" t="s">
        <v>1489</v>
      </c>
      <c r="B2648" s="140">
        <v>4</v>
      </c>
      <c r="C2648" s="166" t="s">
        <v>697</v>
      </c>
      <c r="D2648" s="140" t="str">
        <f t="shared" si="287"/>
        <v>3</v>
      </c>
      <c r="E2648" s="166" t="s">
        <v>694</v>
      </c>
      <c r="F2648" s="140">
        <f t="shared" si="293"/>
        <v>3</v>
      </c>
      <c r="G2648" s="140" t="str">
        <f t="shared" si="288"/>
        <v>4.3.3</v>
      </c>
      <c r="H2648" s="166" t="s">
        <v>677</v>
      </c>
      <c r="I2648" s="166" t="s">
        <v>130</v>
      </c>
      <c r="J2648" s="166" t="s">
        <v>149</v>
      </c>
      <c r="K2648" s="166" t="s">
        <v>707</v>
      </c>
      <c r="L2648" s="167">
        <v>391991.03749999998</v>
      </c>
      <c r="M2648" s="166">
        <v>2</v>
      </c>
      <c r="N2648" s="166">
        <v>2</v>
      </c>
      <c r="O2648" s="164">
        <f t="shared" si="290"/>
        <v>1567964.15</v>
      </c>
      <c r="P2648" s="166">
        <v>0</v>
      </c>
      <c r="Q2648" s="166">
        <v>0</v>
      </c>
      <c r="R2648" s="164">
        <f>$L2648*'Pivot Objective'!$C$9*P2648*Q2648</f>
        <v>0</v>
      </c>
      <c r="S2648" s="166">
        <v>0</v>
      </c>
      <c r="T2648" s="166">
        <v>0</v>
      </c>
      <c r="U2648" s="164">
        <f>($L2648*'Pivot Objective'!$C$9^2)*S2648*T2648</f>
        <v>0</v>
      </c>
      <c r="V2648" s="166">
        <v>2</v>
      </c>
      <c r="W2648" s="166">
        <v>2</v>
      </c>
      <c r="X2648" s="164">
        <f>($L2648*'Pivot Objective'!$C$9^3)*V2648*W2648</f>
        <v>2340910.8621271173</v>
      </c>
      <c r="Y2648" s="166">
        <v>0</v>
      </c>
      <c r="Z2648" s="166">
        <v>0</v>
      </c>
      <c r="AA2648" s="164">
        <f>($L2648*'Pivot Objective'!$C$9^4)*Y2648*Z2648</f>
        <v>0</v>
      </c>
      <c r="AB2648" s="166">
        <v>2</v>
      </c>
      <c r="AC2648" s="166">
        <v>2</v>
      </c>
      <c r="AD2648" s="164">
        <f>($L2648*'Pivot Objective'!$C$9^5)*AB2648*AC2648</f>
        <v>3057858.4341109009</v>
      </c>
      <c r="AE2648" s="166">
        <v>0</v>
      </c>
      <c r="AF2648" s="166">
        <v>0</v>
      </c>
      <c r="AG2648" s="164">
        <f>($L2648*'Pivot Objective'!$C$9^6)*AE2648*AF2648</f>
        <v>0</v>
      </c>
      <c r="AH2648" s="166">
        <v>2</v>
      </c>
      <c r="AI2648" s="166">
        <v>2</v>
      </c>
      <c r="AJ2648" s="164">
        <f>($L2648*'Pivot Objective'!$C$9^7)*AH2648*AI2648</f>
        <v>3994384.5595926056</v>
      </c>
      <c r="AK2648" s="185">
        <f t="shared" si="291"/>
        <v>10961118.005830623</v>
      </c>
      <c r="AL2648" s="186">
        <f t="shared" si="292"/>
        <v>10641.862141583129</v>
      </c>
    </row>
    <row r="2649" spans="1:38" customFormat="1" ht="57.6" x14ac:dyDescent="0.3">
      <c r="A2649" s="140" t="s">
        <v>1489</v>
      </c>
      <c r="B2649" s="140">
        <v>4</v>
      </c>
      <c r="C2649" s="166" t="s">
        <v>697</v>
      </c>
      <c r="D2649" s="140" t="str">
        <f t="shared" si="287"/>
        <v>3</v>
      </c>
      <c r="E2649" s="166" t="s">
        <v>694</v>
      </c>
      <c r="F2649" s="140">
        <f t="shared" si="293"/>
        <v>3</v>
      </c>
      <c r="G2649" s="140" t="str">
        <f t="shared" si="288"/>
        <v>4.3.3</v>
      </c>
      <c r="H2649" s="166" t="s">
        <v>677</v>
      </c>
      <c r="I2649" s="166" t="s">
        <v>130</v>
      </c>
      <c r="J2649" s="166" t="s">
        <v>149</v>
      </c>
      <c r="K2649" s="166" t="s">
        <v>708</v>
      </c>
      <c r="L2649" s="167">
        <v>511000</v>
      </c>
      <c r="M2649" s="166">
        <v>0</v>
      </c>
      <c r="N2649" s="166">
        <v>0</v>
      </c>
      <c r="O2649" s="164">
        <f t="shared" si="290"/>
        <v>0</v>
      </c>
      <c r="P2649" s="166">
        <v>0</v>
      </c>
      <c r="Q2649" s="166">
        <v>0</v>
      </c>
      <c r="R2649" s="164">
        <f>$L2649*'Pivot Objective'!$C$9*P2649*Q2649</f>
        <v>0</v>
      </c>
      <c r="S2649" s="166">
        <v>0</v>
      </c>
      <c r="T2649" s="166">
        <v>0</v>
      </c>
      <c r="U2649" s="164">
        <f>($L2649*'Pivot Objective'!$C$9^2)*S2649*T2649</f>
        <v>0</v>
      </c>
      <c r="V2649" s="166">
        <v>0</v>
      </c>
      <c r="W2649" s="166">
        <v>0</v>
      </c>
      <c r="X2649" s="164">
        <f>($L2649*'Pivot Objective'!$C$9^3)*V2649*W2649</f>
        <v>0</v>
      </c>
      <c r="Y2649" s="166">
        <v>0</v>
      </c>
      <c r="Z2649" s="166">
        <v>0</v>
      </c>
      <c r="AA2649" s="164">
        <f>($L2649*'Pivot Objective'!$C$9^4)*Y2649*Z2649</f>
        <v>0</v>
      </c>
      <c r="AB2649" s="166">
        <v>0</v>
      </c>
      <c r="AC2649" s="166">
        <v>0</v>
      </c>
      <c r="AD2649" s="164">
        <f>($L2649*'Pivot Objective'!$C$9^5)*AB2649*AC2649</f>
        <v>0</v>
      </c>
      <c r="AE2649" s="166">
        <v>0</v>
      </c>
      <c r="AF2649" s="166">
        <v>0</v>
      </c>
      <c r="AG2649" s="164">
        <f>($L2649*'Pivot Objective'!$C$9^6)*AE2649*AF2649</f>
        <v>0</v>
      </c>
      <c r="AH2649" s="166">
        <v>0</v>
      </c>
      <c r="AI2649" s="166">
        <v>0</v>
      </c>
      <c r="AJ2649" s="164">
        <f>($L2649*'Pivot Objective'!$C$9^7)*AH2649*AI2649</f>
        <v>0</v>
      </c>
      <c r="AK2649" s="185">
        <f t="shared" si="291"/>
        <v>0</v>
      </c>
      <c r="AL2649" s="186">
        <f t="shared" si="292"/>
        <v>0</v>
      </c>
    </row>
    <row r="2650" spans="1:38" customFormat="1" ht="57.6" x14ac:dyDescent="0.3">
      <c r="A2650" s="140" t="s">
        <v>1489</v>
      </c>
      <c r="B2650" s="140">
        <v>4</v>
      </c>
      <c r="C2650" s="166" t="s">
        <v>697</v>
      </c>
      <c r="D2650" s="140" t="str">
        <f t="shared" si="287"/>
        <v>3</v>
      </c>
      <c r="E2650" s="166" t="s">
        <v>694</v>
      </c>
      <c r="F2650" s="140">
        <f t="shared" si="293"/>
        <v>3</v>
      </c>
      <c r="G2650" s="140" t="str">
        <f t="shared" si="288"/>
        <v>4.3.3</v>
      </c>
      <c r="H2650" s="166" t="s">
        <v>677</v>
      </c>
      <c r="I2650" s="166" t="s">
        <v>130</v>
      </c>
      <c r="J2650" s="166" t="s">
        <v>424</v>
      </c>
      <c r="K2650" s="166" t="s">
        <v>718</v>
      </c>
      <c r="L2650" s="167">
        <v>0</v>
      </c>
      <c r="M2650" s="166">
        <v>0</v>
      </c>
      <c r="N2650" s="166">
        <v>0</v>
      </c>
      <c r="O2650" s="164">
        <f t="shared" si="290"/>
        <v>0</v>
      </c>
      <c r="P2650" s="166">
        <v>0</v>
      </c>
      <c r="Q2650" s="166">
        <v>0</v>
      </c>
      <c r="R2650" s="164">
        <f>$L2650*'Pivot Objective'!$C$9*P2650*Q2650</f>
        <v>0</v>
      </c>
      <c r="S2650" s="166">
        <v>0</v>
      </c>
      <c r="T2650" s="166">
        <v>0</v>
      </c>
      <c r="U2650" s="164">
        <f>($L2650*'Pivot Objective'!$C$9^2)*S2650*T2650</f>
        <v>0</v>
      </c>
      <c r="V2650" s="166">
        <v>0</v>
      </c>
      <c r="W2650" s="166">
        <v>0</v>
      </c>
      <c r="X2650" s="164">
        <f>($L2650*'Pivot Objective'!$C$9^3)*V2650*W2650</f>
        <v>0</v>
      </c>
      <c r="Y2650" s="166">
        <v>0</v>
      </c>
      <c r="Z2650" s="166">
        <v>0</v>
      </c>
      <c r="AA2650" s="164">
        <f>($L2650*'Pivot Objective'!$C$9^4)*Y2650*Z2650</f>
        <v>0</v>
      </c>
      <c r="AB2650" s="166">
        <v>0</v>
      </c>
      <c r="AC2650" s="166">
        <v>0</v>
      </c>
      <c r="AD2650" s="164">
        <f>($L2650*'Pivot Objective'!$C$9^5)*AB2650*AC2650</f>
        <v>0</v>
      </c>
      <c r="AE2650" s="166">
        <v>0</v>
      </c>
      <c r="AF2650" s="166">
        <v>0</v>
      </c>
      <c r="AG2650" s="164">
        <f>($L2650*'Pivot Objective'!$C$9^6)*AE2650*AF2650</f>
        <v>0</v>
      </c>
      <c r="AH2650" s="166">
        <v>0</v>
      </c>
      <c r="AI2650" s="166">
        <v>0</v>
      </c>
      <c r="AJ2650" s="164">
        <f>($L2650*'Pivot Objective'!$C$9^7)*AH2650*AI2650</f>
        <v>0</v>
      </c>
      <c r="AK2650" s="185">
        <f t="shared" si="291"/>
        <v>0</v>
      </c>
      <c r="AL2650" s="186">
        <f t="shared" si="292"/>
        <v>0</v>
      </c>
    </row>
    <row r="2651" spans="1:38" customFormat="1" ht="57.6" x14ac:dyDescent="0.3">
      <c r="A2651" s="140" t="s">
        <v>1489</v>
      </c>
      <c r="B2651" s="140">
        <v>4</v>
      </c>
      <c r="C2651" s="166" t="s">
        <v>697</v>
      </c>
      <c r="D2651" s="140" t="str">
        <f t="shared" si="287"/>
        <v>3</v>
      </c>
      <c r="E2651" s="166" t="s">
        <v>694</v>
      </c>
      <c r="F2651" s="140">
        <f t="shared" si="293"/>
        <v>3</v>
      </c>
      <c r="G2651" s="140" t="str">
        <f t="shared" si="288"/>
        <v>4.3.3</v>
      </c>
      <c r="H2651" s="166" t="s">
        <v>677</v>
      </c>
      <c r="I2651" s="166" t="s">
        <v>130</v>
      </c>
      <c r="J2651" s="166" t="s">
        <v>594</v>
      </c>
      <c r="K2651" s="166" t="s">
        <v>713</v>
      </c>
      <c r="L2651" s="167">
        <v>45000</v>
      </c>
      <c r="M2651" s="166">
        <v>25</v>
      </c>
      <c r="N2651" s="166">
        <v>1</v>
      </c>
      <c r="O2651" s="164">
        <f t="shared" si="290"/>
        <v>1125000</v>
      </c>
      <c r="P2651" s="166">
        <v>0</v>
      </c>
      <c r="Q2651" s="166">
        <v>0</v>
      </c>
      <c r="R2651" s="164">
        <f>$L2651*'Pivot Objective'!$C$9*P2651*Q2651</f>
        <v>0</v>
      </c>
      <c r="S2651" s="166">
        <v>0</v>
      </c>
      <c r="T2651" s="166">
        <v>0</v>
      </c>
      <c r="U2651" s="164">
        <f>($L2651*'Pivot Objective'!$C$9^2)*S2651*T2651</f>
        <v>0</v>
      </c>
      <c r="V2651" s="166">
        <v>25</v>
      </c>
      <c r="W2651" s="166">
        <v>1</v>
      </c>
      <c r="X2651" s="164">
        <f>($L2651*'Pivot Objective'!$C$9^3)*V2651*W2651</f>
        <v>1679582.2276249153</v>
      </c>
      <c r="Y2651" s="166">
        <v>0</v>
      </c>
      <c r="Z2651" s="166">
        <v>0</v>
      </c>
      <c r="AA2651" s="164">
        <f>($L2651*'Pivot Objective'!$C$9^4)*Y2651*Z2651</f>
        <v>0</v>
      </c>
      <c r="AB2651" s="166">
        <v>25</v>
      </c>
      <c r="AC2651" s="166">
        <v>1</v>
      </c>
      <c r="AD2651" s="164">
        <f>($L2651*'Pivot Objective'!$C$9^5)*AB2651*AC2651</f>
        <v>2193985.5821159962</v>
      </c>
      <c r="AE2651" s="166">
        <v>0</v>
      </c>
      <c r="AF2651" s="166">
        <v>0</v>
      </c>
      <c r="AG2651" s="164">
        <f>($L2651*'Pivot Objective'!$C$9^6)*AE2651*AF2651</f>
        <v>0</v>
      </c>
      <c r="AH2651" s="166">
        <v>25</v>
      </c>
      <c r="AI2651" s="166">
        <v>1</v>
      </c>
      <c r="AJ2651" s="164">
        <f>($L2651*'Pivot Objective'!$C$9^7)*AH2651*AI2651</f>
        <v>2865934.5492954552</v>
      </c>
      <c r="AK2651" s="185">
        <f t="shared" si="291"/>
        <v>7864502.3590363674</v>
      </c>
      <c r="AL2651" s="186">
        <f t="shared" si="292"/>
        <v>7635.4391835304541</v>
      </c>
    </row>
    <row r="2652" spans="1:38" customFormat="1" ht="57.6" x14ac:dyDescent="0.3">
      <c r="A2652" s="140" t="s">
        <v>1489</v>
      </c>
      <c r="B2652" s="140">
        <v>4</v>
      </c>
      <c r="C2652" s="166" t="s">
        <v>697</v>
      </c>
      <c r="D2652" s="140" t="str">
        <f t="shared" si="287"/>
        <v>3</v>
      </c>
      <c r="E2652" s="166" t="s">
        <v>694</v>
      </c>
      <c r="F2652" s="140">
        <f t="shared" si="293"/>
        <v>3</v>
      </c>
      <c r="G2652" s="140" t="str">
        <f t="shared" si="288"/>
        <v>4.3.3</v>
      </c>
      <c r="H2652" s="166" t="s">
        <v>677</v>
      </c>
      <c r="I2652" s="166" t="s">
        <v>130</v>
      </c>
      <c r="J2652" s="166" t="s">
        <v>594</v>
      </c>
      <c r="K2652" s="166" t="s">
        <v>712</v>
      </c>
      <c r="L2652" s="167">
        <v>211.42857142857142</v>
      </c>
      <c r="M2652" s="166">
        <v>450</v>
      </c>
      <c r="N2652" s="166">
        <v>1</v>
      </c>
      <c r="O2652" s="164">
        <f t="shared" si="290"/>
        <v>95142.85714285713</v>
      </c>
      <c r="P2652" s="166">
        <v>0</v>
      </c>
      <c r="Q2652" s="166">
        <v>0</v>
      </c>
      <c r="R2652" s="164">
        <f>$L2652*'Pivot Objective'!$C$9*P2652*Q2652</f>
        <v>0</v>
      </c>
      <c r="S2652" s="166">
        <v>0</v>
      </c>
      <c r="T2652" s="166">
        <v>0</v>
      </c>
      <c r="U2652" s="164">
        <f>($L2652*'Pivot Objective'!$C$9^2)*S2652*T2652</f>
        <v>0</v>
      </c>
      <c r="V2652" s="166">
        <v>450</v>
      </c>
      <c r="W2652" s="166">
        <v>1</v>
      </c>
      <c r="X2652" s="164">
        <f>($L2652*'Pivot Objective'!$C$9^3)*V2652*W2652</f>
        <v>142044.66839342139</v>
      </c>
      <c r="Y2652" s="166">
        <v>0</v>
      </c>
      <c r="Z2652" s="166">
        <v>0</v>
      </c>
      <c r="AA2652" s="164">
        <f>($L2652*'Pivot Objective'!$C$9^4)*Y2652*Z2652</f>
        <v>0</v>
      </c>
      <c r="AB2652" s="166">
        <v>450</v>
      </c>
      <c r="AC2652" s="166">
        <v>1</v>
      </c>
      <c r="AD2652" s="164">
        <f>($L2652*'Pivot Objective'!$C$9^5)*AB2652*AC2652</f>
        <v>185548.49494466712</v>
      </c>
      <c r="AE2652" s="166">
        <v>0</v>
      </c>
      <c r="AF2652" s="166">
        <v>0</v>
      </c>
      <c r="AG2652" s="164">
        <f>($L2652*'Pivot Objective'!$C$9^6)*AE2652*AF2652</f>
        <v>0</v>
      </c>
      <c r="AH2652" s="166">
        <v>450</v>
      </c>
      <c r="AI2652" s="166">
        <v>1</v>
      </c>
      <c r="AJ2652" s="164">
        <f>($L2652*'Pivot Objective'!$C$9^7)*AH2652*AI2652</f>
        <v>242376.17902612989</v>
      </c>
      <c r="AK2652" s="185">
        <f t="shared" si="291"/>
        <v>665112.19950707559</v>
      </c>
      <c r="AL2652" s="186">
        <f t="shared" si="292"/>
        <v>645.73999952143265</v>
      </c>
    </row>
    <row r="2653" spans="1:38" customFormat="1" ht="57.6" x14ac:dyDescent="0.3">
      <c r="A2653" s="140" t="s">
        <v>1489</v>
      </c>
      <c r="B2653" s="140">
        <v>4</v>
      </c>
      <c r="C2653" s="166" t="s">
        <v>697</v>
      </c>
      <c r="D2653" s="140" t="str">
        <f t="shared" si="287"/>
        <v>3</v>
      </c>
      <c r="E2653" s="166" t="s">
        <v>694</v>
      </c>
      <c r="F2653" s="140">
        <f t="shared" si="293"/>
        <v>3</v>
      </c>
      <c r="G2653" s="140" t="str">
        <f t="shared" si="288"/>
        <v>4.3.3</v>
      </c>
      <c r="H2653" s="166" t="s">
        <v>677</v>
      </c>
      <c r="I2653" s="166" t="s">
        <v>130</v>
      </c>
      <c r="J2653" s="166" t="s">
        <v>594</v>
      </c>
      <c r="K2653" s="166" t="s">
        <v>1299</v>
      </c>
      <c r="L2653" s="167">
        <v>211.42857142857142</v>
      </c>
      <c r="M2653" s="166">
        <v>2430</v>
      </c>
      <c r="N2653" s="166">
        <v>1</v>
      </c>
      <c r="O2653" s="164">
        <f t="shared" si="290"/>
        <v>513771.42857142852</v>
      </c>
      <c r="P2653" s="166"/>
      <c r="Q2653" s="166"/>
      <c r="R2653" s="164">
        <f>$L2653*'Pivot Objective'!$C$9*P2653*Q2653</f>
        <v>0</v>
      </c>
      <c r="S2653" s="166"/>
      <c r="T2653" s="166"/>
      <c r="U2653" s="164">
        <f>($L2653*'Pivot Objective'!$C$9^2)*S2653*T2653</f>
        <v>0</v>
      </c>
      <c r="V2653" s="166">
        <v>2430</v>
      </c>
      <c r="W2653" s="166">
        <v>1</v>
      </c>
      <c r="X2653" s="164">
        <f>($L2653*'Pivot Objective'!$C$9^3)*V2653*W2653</f>
        <v>767041.20932447549</v>
      </c>
      <c r="Y2653" s="166"/>
      <c r="Z2653" s="166"/>
      <c r="AA2653" s="164">
        <f>($L2653*'Pivot Objective'!$C$9^4)*Y2653*Z2653</f>
        <v>0</v>
      </c>
      <c r="AB2653" s="166">
        <v>2430</v>
      </c>
      <c r="AC2653" s="166">
        <v>1</v>
      </c>
      <c r="AD2653" s="164">
        <f>($L2653*'Pivot Objective'!$C$9^5)*AB2653*AC2653</f>
        <v>1001961.8727012025</v>
      </c>
      <c r="AE2653" s="166"/>
      <c r="AF2653" s="166"/>
      <c r="AG2653" s="164">
        <f>($L2653*'Pivot Objective'!$C$9^6)*AE2653*AF2653</f>
        <v>0</v>
      </c>
      <c r="AH2653" s="166">
        <v>2430</v>
      </c>
      <c r="AI2653" s="166">
        <v>1</v>
      </c>
      <c r="AJ2653" s="164">
        <f>($L2653*'Pivot Objective'!$C$9^7)*AH2653*AI2653</f>
        <v>1308831.3667411015</v>
      </c>
      <c r="AK2653" s="185">
        <f t="shared" si="291"/>
        <v>3591605.8773382083</v>
      </c>
      <c r="AL2653" s="186">
        <f t="shared" si="292"/>
        <v>3486.9959974157364</v>
      </c>
    </row>
    <row r="2654" spans="1:38" customFormat="1" ht="57.6" x14ac:dyDescent="0.3">
      <c r="A2654" s="140" t="s">
        <v>1489</v>
      </c>
      <c r="B2654" s="140">
        <v>4</v>
      </c>
      <c r="C2654" s="166" t="s">
        <v>697</v>
      </c>
      <c r="D2654" s="140" t="str">
        <f t="shared" si="287"/>
        <v>3</v>
      </c>
      <c r="E2654" s="166" t="s">
        <v>694</v>
      </c>
      <c r="F2654" s="140">
        <f t="shared" si="293"/>
        <v>3</v>
      </c>
      <c r="G2654" s="140" t="str">
        <f t="shared" si="288"/>
        <v>4.3.3</v>
      </c>
      <c r="H2654" s="166" t="s">
        <v>677</v>
      </c>
      <c r="I2654" s="166" t="s">
        <v>130</v>
      </c>
      <c r="J2654" s="166" t="s">
        <v>167</v>
      </c>
      <c r="K2654" s="166" t="s">
        <v>718</v>
      </c>
      <c r="L2654" s="167">
        <v>0</v>
      </c>
      <c r="M2654" s="166">
        <v>0</v>
      </c>
      <c r="N2654" s="166">
        <v>0</v>
      </c>
      <c r="O2654" s="164">
        <f t="shared" si="290"/>
        <v>0</v>
      </c>
      <c r="P2654" s="166">
        <v>0</v>
      </c>
      <c r="Q2654" s="166">
        <v>0</v>
      </c>
      <c r="R2654" s="164">
        <f>$L2654*'Pivot Objective'!$C$9*P2654*Q2654</f>
        <v>0</v>
      </c>
      <c r="S2654" s="166">
        <v>0</v>
      </c>
      <c r="T2654" s="166">
        <v>0</v>
      </c>
      <c r="U2654" s="164">
        <f>($L2654*'Pivot Objective'!$C$9^2)*S2654*T2654</f>
        <v>0</v>
      </c>
      <c r="V2654" s="166">
        <v>0</v>
      </c>
      <c r="W2654" s="166">
        <v>0</v>
      </c>
      <c r="X2654" s="164">
        <f>($L2654*'Pivot Objective'!$C$9^3)*V2654*W2654</f>
        <v>0</v>
      </c>
      <c r="Y2654" s="166">
        <v>0</v>
      </c>
      <c r="Z2654" s="166">
        <v>0</v>
      </c>
      <c r="AA2654" s="164">
        <f>($L2654*'Pivot Objective'!$C$9^4)*Y2654*Z2654</f>
        <v>0</v>
      </c>
      <c r="AB2654" s="166">
        <v>0</v>
      </c>
      <c r="AC2654" s="166">
        <v>0</v>
      </c>
      <c r="AD2654" s="164">
        <f>($L2654*'Pivot Objective'!$C$9^5)*AB2654*AC2654</f>
        <v>0</v>
      </c>
      <c r="AE2654" s="166">
        <v>0</v>
      </c>
      <c r="AF2654" s="166">
        <v>0</v>
      </c>
      <c r="AG2654" s="164">
        <f>($L2654*'Pivot Objective'!$C$9^6)*AE2654*AF2654</f>
        <v>0</v>
      </c>
      <c r="AH2654" s="166">
        <v>0</v>
      </c>
      <c r="AI2654" s="166">
        <v>0</v>
      </c>
      <c r="AJ2654" s="164">
        <f>($L2654*'Pivot Objective'!$C$9^7)*AH2654*AI2654</f>
        <v>0</v>
      </c>
      <c r="AK2654" s="185">
        <f t="shared" si="291"/>
        <v>0</v>
      </c>
      <c r="AL2654" s="186">
        <f t="shared" si="292"/>
        <v>0</v>
      </c>
    </row>
    <row r="2655" spans="1:38" customFormat="1" ht="57.6" x14ac:dyDescent="0.3">
      <c r="A2655" s="140" t="s">
        <v>1489</v>
      </c>
      <c r="B2655" s="140">
        <v>4</v>
      </c>
      <c r="C2655" s="166" t="s">
        <v>697</v>
      </c>
      <c r="D2655" s="140" t="str">
        <f t="shared" si="287"/>
        <v>3</v>
      </c>
      <c r="E2655" s="166" t="s">
        <v>694</v>
      </c>
      <c r="F2655" s="140">
        <f t="shared" si="293"/>
        <v>3</v>
      </c>
      <c r="G2655" s="140" t="str">
        <f t="shared" si="288"/>
        <v>4.3.3</v>
      </c>
      <c r="H2655" s="166" t="s">
        <v>677</v>
      </c>
      <c r="I2655" s="166" t="s">
        <v>130</v>
      </c>
      <c r="J2655" s="166" t="s">
        <v>157</v>
      </c>
      <c r="K2655" s="166" t="s">
        <v>713</v>
      </c>
      <c r="L2655" s="167">
        <v>45000</v>
      </c>
      <c r="M2655" s="166">
        <v>25</v>
      </c>
      <c r="N2655" s="166">
        <v>5</v>
      </c>
      <c r="O2655" s="164">
        <f t="shared" si="290"/>
        <v>5625000</v>
      </c>
      <c r="P2655" s="166">
        <v>0</v>
      </c>
      <c r="Q2655" s="166">
        <v>0</v>
      </c>
      <c r="R2655" s="164">
        <f>$L2655*'Pivot Objective'!$C$9*P2655*Q2655</f>
        <v>0</v>
      </c>
      <c r="S2655" s="166">
        <v>0</v>
      </c>
      <c r="T2655" s="166">
        <v>0</v>
      </c>
      <c r="U2655" s="164">
        <f>($L2655*'Pivot Objective'!$C$9^2)*S2655*T2655</f>
        <v>0</v>
      </c>
      <c r="V2655" s="166">
        <v>25</v>
      </c>
      <c r="W2655" s="166">
        <v>5</v>
      </c>
      <c r="X2655" s="164">
        <f>($L2655*'Pivot Objective'!$C$9^3)*V2655*W2655</f>
        <v>8397911.1381245758</v>
      </c>
      <c r="Y2655" s="166">
        <v>0</v>
      </c>
      <c r="Z2655" s="166">
        <v>0</v>
      </c>
      <c r="AA2655" s="164">
        <f>($L2655*'Pivot Objective'!$C$9^4)*Y2655*Z2655</f>
        <v>0</v>
      </c>
      <c r="AB2655" s="166">
        <v>25</v>
      </c>
      <c r="AC2655" s="166">
        <v>5</v>
      </c>
      <c r="AD2655" s="164">
        <f>($L2655*'Pivot Objective'!$C$9^5)*AB2655*AC2655</f>
        <v>10969927.910579981</v>
      </c>
      <c r="AE2655" s="166">
        <v>0</v>
      </c>
      <c r="AF2655" s="166">
        <v>0</v>
      </c>
      <c r="AG2655" s="164">
        <f>($L2655*'Pivot Objective'!$C$9^6)*AE2655*AF2655</f>
        <v>0</v>
      </c>
      <c r="AH2655" s="166">
        <v>25</v>
      </c>
      <c r="AI2655" s="166">
        <v>5</v>
      </c>
      <c r="AJ2655" s="164">
        <f>($L2655*'Pivot Objective'!$C$9^7)*AH2655*AI2655</f>
        <v>14329672.746477276</v>
      </c>
      <c r="AK2655" s="185">
        <f t="shared" si="291"/>
        <v>39322511.795181833</v>
      </c>
      <c r="AL2655" s="186">
        <f t="shared" si="292"/>
        <v>38177.195917652265</v>
      </c>
    </row>
    <row r="2656" spans="1:38" customFormat="1" ht="57.6" x14ac:dyDescent="0.3">
      <c r="A2656" s="140" t="s">
        <v>1489</v>
      </c>
      <c r="B2656" s="140">
        <v>4</v>
      </c>
      <c r="C2656" s="166" t="s">
        <v>697</v>
      </c>
      <c r="D2656" s="140" t="str">
        <f t="shared" si="287"/>
        <v>3</v>
      </c>
      <c r="E2656" s="166" t="s">
        <v>694</v>
      </c>
      <c r="F2656" s="140">
        <f t="shared" si="293"/>
        <v>3</v>
      </c>
      <c r="G2656" s="140" t="str">
        <f t="shared" si="288"/>
        <v>4.3.3</v>
      </c>
      <c r="H2656" s="166" t="s">
        <v>677</v>
      </c>
      <c r="I2656" s="166" t="s">
        <v>130</v>
      </c>
      <c r="J2656" s="166" t="s">
        <v>157</v>
      </c>
      <c r="K2656" s="166" t="s">
        <v>715</v>
      </c>
      <c r="L2656" s="167">
        <v>302000</v>
      </c>
      <c r="M2656" s="166">
        <v>25</v>
      </c>
      <c r="N2656" s="166">
        <v>0</v>
      </c>
      <c r="O2656" s="164">
        <f t="shared" si="290"/>
        <v>0</v>
      </c>
      <c r="P2656" s="166">
        <v>0</v>
      </c>
      <c r="Q2656" s="166">
        <v>0</v>
      </c>
      <c r="R2656" s="164">
        <f>$L2656*'Pivot Objective'!$C$9*P2656*Q2656</f>
        <v>0</v>
      </c>
      <c r="S2656" s="166">
        <v>0</v>
      </c>
      <c r="T2656" s="166">
        <v>0</v>
      </c>
      <c r="U2656" s="164">
        <f>($L2656*'Pivot Objective'!$C$9^2)*S2656*T2656</f>
        <v>0</v>
      </c>
      <c r="V2656" s="166">
        <v>25</v>
      </c>
      <c r="W2656" s="166">
        <v>0</v>
      </c>
      <c r="X2656" s="164">
        <f>($L2656*'Pivot Objective'!$C$9^3)*V2656*W2656</f>
        <v>0</v>
      </c>
      <c r="Y2656" s="166">
        <v>0</v>
      </c>
      <c r="Z2656" s="166">
        <v>0</v>
      </c>
      <c r="AA2656" s="164">
        <f>($L2656*'Pivot Objective'!$C$9^4)*Y2656*Z2656</f>
        <v>0</v>
      </c>
      <c r="AB2656" s="166">
        <v>25</v>
      </c>
      <c r="AC2656" s="166">
        <v>0</v>
      </c>
      <c r="AD2656" s="164">
        <f>($L2656*'Pivot Objective'!$C$9^5)*AB2656*AC2656</f>
        <v>0</v>
      </c>
      <c r="AE2656" s="166">
        <v>0</v>
      </c>
      <c r="AF2656" s="166">
        <v>0</v>
      </c>
      <c r="AG2656" s="164">
        <f>($L2656*'Pivot Objective'!$C$9^6)*AE2656*AF2656</f>
        <v>0</v>
      </c>
      <c r="AH2656" s="166">
        <v>25</v>
      </c>
      <c r="AI2656" s="166">
        <v>0</v>
      </c>
      <c r="AJ2656" s="164">
        <f>($L2656*'Pivot Objective'!$C$9^7)*AH2656*AI2656</f>
        <v>0</v>
      </c>
      <c r="AK2656" s="185">
        <f t="shared" si="291"/>
        <v>0</v>
      </c>
      <c r="AL2656" s="186">
        <f t="shared" si="292"/>
        <v>0</v>
      </c>
    </row>
    <row r="2657" spans="1:38" customFormat="1" ht="57.6" x14ac:dyDescent="0.3">
      <c r="A2657" s="140" t="s">
        <v>1489</v>
      </c>
      <c r="B2657" s="140">
        <v>4</v>
      </c>
      <c r="C2657" s="166" t="s">
        <v>697</v>
      </c>
      <c r="D2657" s="140" t="str">
        <f t="shared" si="287"/>
        <v>3</v>
      </c>
      <c r="E2657" s="166" t="s">
        <v>694</v>
      </c>
      <c r="F2657" s="140">
        <f t="shared" si="293"/>
        <v>3</v>
      </c>
      <c r="G2657" s="140" t="str">
        <f t="shared" si="288"/>
        <v>4.3.3</v>
      </c>
      <c r="H2657" s="166" t="s">
        <v>677</v>
      </c>
      <c r="I2657" s="166" t="s">
        <v>130</v>
      </c>
      <c r="J2657" s="166" t="s">
        <v>157</v>
      </c>
      <c r="K2657" s="166" t="s">
        <v>712</v>
      </c>
      <c r="L2657" s="167">
        <v>211.42857142857142</v>
      </c>
      <c r="M2657" s="166">
        <v>450</v>
      </c>
      <c r="N2657" s="166">
        <v>5</v>
      </c>
      <c r="O2657" s="164">
        <f t="shared" si="290"/>
        <v>475714.28571428568</v>
      </c>
      <c r="P2657" s="166">
        <v>0</v>
      </c>
      <c r="Q2657" s="166">
        <v>0</v>
      </c>
      <c r="R2657" s="164">
        <f>$L2657*'Pivot Objective'!$C$9*P2657*Q2657</f>
        <v>0</v>
      </c>
      <c r="S2657" s="166">
        <v>0</v>
      </c>
      <c r="T2657" s="166">
        <v>0</v>
      </c>
      <c r="U2657" s="164">
        <f>($L2657*'Pivot Objective'!$C$9^2)*S2657*T2657</f>
        <v>0</v>
      </c>
      <c r="V2657" s="166">
        <v>450</v>
      </c>
      <c r="W2657" s="166">
        <v>5</v>
      </c>
      <c r="X2657" s="164">
        <f>($L2657*'Pivot Objective'!$C$9^3)*V2657*W2657</f>
        <v>710223.34196710703</v>
      </c>
      <c r="Y2657" s="166">
        <v>0</v>
      </c>
      <c r="Z2657" s="166">
        <v>0</v>
      </c>
      <c r="AA2657" s="164">
        <f>($L2657*'Pivot Objective'!$C$9^4)*Y2657*Z2657</f>
        <v>0</v>
      </c>
      <c r="AB2657" s="166">
        <v>450</v>
      </c>
      <c r="AC2657" s="166">
        <v>5</v>
      </c>
      <c r="AD2657" s="164">
        <f>($L2657*'Pivot Objective'!$C$9^5)*AB2657*AC2657</f>
        <v>927742.47472333559</v>
      </c>
      <c r="AE2657" s="166">
        <v>0</v>
      </c>
      <c r="AF2657" s="166">
        <v>0</v>
      </c>
      <c r="AG2657" s="164">
        <f>($L2657*'Pivot Objective'!$C$9^6)*AE2657*AF2657</f>
        <v>0</v>
      </c>
      <c r="AH2657" s="166">
        <v>450</v>
      </c>
      <c r="AI2657" s="166">
        <v>5</v>
      </c>
      <c r="AJ2657" s="164">
        <f>($L2657*'Pivot Objective'!$C$9^7)*AH2657*AI2657</f>
        <v>1211880.8951306494</v>
      </c>
      <c r="AK2657" s="185">
        <f t="shared" si="291"/>
        <v>3325560.9975353777</v>
      </c>
      <c r="AL2657" s="186">
        <f t="shared" si="292"/>
        <v>3228.6999976071629</v>
      </c>
    </row>
    <row r="2658" spans="1:38" customFormat="1" ht="57.6" x14ac:dyDescent="0.3">
      <c r="A2658" s="140" t="s">
        <v>1489</v>
      </c>
      <c r="B2658" s="140">
        <v>4</v>
      </c>
      <c r="C2658" s="166" t="s">
        <v>697</v>
      </c>
      <c r="D2658" s="140" t="str">
        <f t="shared" si="287"/>
        <v>3</v>
      </c>
      <c r="E2658" s="166" t="s">
        <v>694</v>
      </c>
      <c r="F2658" s="140">
        <f t="shared" si="293"/>
        <v>3</v>
      </c>
      <c r="G2658" s="140" t="str">
        <f t="shared" si="288"/>
        <v>4.3.3</v>
      </c>
      <c r="H2658" s="166" t="s">
        <v>677</v>
      </c>
      <c r="I2658" s="166" t="s">
        <v>130</v>
      </c>
      <c r="J2658" s="166" t="s">
        <v>157</v>
      </c>
      <c r="K2658" s="166" t="s">
        <v>1299</v>
      </c>
      <c r="L2658" s="167">
        <v>211.42857142857142</v>
      </c>
      <c r="M2658" s="166">
        <v>2430</v>
      </c>
      <c r="N2658" s="166">
        <v>5</v>
      </c>
      <c r="O2658" s="164">
        <f t="shared" si="290"/>
        <v>2568857.1428571427</v>
      </c>
      <c r="P2658" s="166"/>
      <c r="Q2658" s="166"/>
      <c r="R2658" s="164">
        <f>$L2658*'Pivot Objective'!$C$9*P2658*Q2658</f>
        <v>0</v>
      </c>
      <c r="S2658" s="166"/>
      <c r="T2658" s="166"/>
      <c r="U2658" s="164">
        <f>($L2658*'Pivot Objective'!$C$9^2)*S2658*T2658</f>
        <v>0</v>
      </c>
      <c r="V2658" s="166">
        <v>2430</v>
      </c>
      <c r="W2658" s="166">
        <v>5</v>
      </c>
      <c r="X2658" s="164">
        <f>($L2658*'Pivot Objective'!$C$9^3)*V2658*W2658</f>
        <v>3835206.0466223774</v>
      </c>
      <c r="Y2658" s="166"/>
      <c r="Z2658" s="166"/>
      <c r="AA2658" s="164">
        <f>($L2658*'Pivot Objective'!$C$9^4)*Y2658*Z2658</f>
        <v>0</v>
      </c>
      <c r="AB2658" s="166">
        <v>2430</v>
      </c>
      <c r="AC2658" s="166">
        <v>5</v>
      </c>
      <c r="AD2658" s="164">
        <f>($L2658*'Pivot Objective'!$C$9^5)*AB2658*AC2658</f>
        <v>5009809.3635060126</v>
      </c>
      <c r="AE2658" s="166"/>
      <c r="AF2658" s="166"/>
      <c r="AG2658" s="164">
        <f>($L2658*'Pivot Objective'!$C$9^6)*AE2658*AF2658</f>
        <v>0</v>
      </c>
      <c r="AH2658" s="166">
        <v>2430</v>
      </c>
      <c r="AI2658" s="166">
        <v>5</v>
      </c>
      <c r="AJ2658" s="164">
        <f>($L2658*'Pivot Objective'!$C$9^7)*AH2658*AI2658</f>
        <v>6544156.8337055072</v>
      </c>
      <c r="AK2658" s="185">
        <f t="shared" si="291"/>
        <v>17958029.386691041</v>
      </c>
      <c r="AL2658" s="186">
        <f t="shared" si="292"/>
        <v>17434.979987078681</v>
      </c>
    </row>
    <row r="2659" spans="1:38" customFormat="1" ht="57.6" x14ac:dyDescent="0.3">
      <c r="A2659" s="140" t="s">
        <v>1489</v>
      </c>
      <c r="B2659" s="140">
        <v>4</v>
      </c>
      <c r="C2659" s="166" t="s">
        <v>697</v>
      </c>
      <c r="D2659" s="140" t="str">
        <f t="shared" si="287"/>
        <v>3</v>
      </c>
      <c r="E2659" s="166" t="s">
        <v>694</v>
      </c>
      <c r="F2659" s="140">
        <f t="shared" si="293"/>
        <v>3</v>
      </c>
      <c r="G2659" s="140" t="str">
        <f t="shared" si="288"/>
        <v>4.3.3</v>
      </c>
      <c r="H2659" s="166" t="s">
        <v>677</v>
      </c>
      <c r="I2659" s="166" t="s">
        <v>130</v>
      </c>
      <c r="J2659" s="166" t="s">
        <v>157</v>
      </c>
      <c r="K2659" s="166" t="s">
        <v>714</v>
      </c>
      <c r="L2659" s="167">
        <v>10000</v>
      </c>
      <c r="M2659" s="166">
        <v>25</v>
      </c>
      <c r="N2659" s="166">
        <v>1</v>
      </c>
      <c r="O2659" s="164">
        <f t="shared" si="290"/>
        <v>250000</v>
      </c>
      <c r="P2659" s="166">
        <v>0</v>
      </c>
      <c r="Q2659" s="166">
        <v>0</v>
      </c>
      <c r="R2659" s="164">
        <f>$L2659*'Pivot Objective'!$C$9*P2659*Q2659</f>
        <v>0</v>
      </c>
      <c r="S2659" s="166">
        <v>0</v>
      </c>
      <c r="T2659" s="166">
        <v>0</v>
      </c>
      <c r="U2659" s="164">
        <f>($L2659*'Pivot Objective'!$C$9^2)*S2659*T2659</f>
        <v>0</v>
      </c>
      <c r="V2659" s="166">
        <v>25</v>
      </c>
      <c r="W2659" s="166">
        <v>1</v>
      </c>
      <c r="X2659" s="164">
        <f>($L2659*'Pivot Objective'!$C$9^3)*V2659*W2659</f>
        <v>373240.495027759</v>
      </c>
      <c r="Y2659" s="166">
        <v>0</v>
      </c>
      <c r="Z2659" s="166">
        <v>0</v>
      </c>
      <c r="AA2659" s="164">
        <f>($L2659*'Pivot Objective'!$C$9^4)*Y2659*Z2659</f>
        <v>0</v>
      </c>
      <c r="AB2659" s="166">
        <v>25</v>
      </c>
      <c r="AC2659" s="166">
        <v>1</v>
      </c>
      <c r="AD2659" s="164">
        <f>($L2659*'Pivot Objective'!$C$9^5)*AB2659*AC2659</f>
        <v>487552.35158133256</v>
      </c>
      <c r="AE2659" s="166">
        <v>0</v>
      </c>
      <c r="AF2659" s="166">
        <v>0</v>
      </c>
      <c r="AG2659" s="164">
        <f>($L2659*'Pivot Objective'!$C$9^6)*AE2659*AF2659</f>
        <v>0</v>
      </c>
      <c r="AH2659" s="166">
        <v>25</v>
      </c>
      <c r="AI2659" s="166">
        <v>1</v>
      </c>
      <c r="AJ2659" s="164">
        <f>($L2659*'Pivot Objective'!$C$9^7)*AH2659*AI2659</f>
        <v>636874.34428787895</v>
      </c>
      <c r="AK2659" s="185">
        <f t="shared" si="291"/>
        <v>1747667.1908969707</v>
      </c>
      <c r="AL2659" s="186">
        <f t="shared" si="292"/>
        <v>1696.7642630067676</v>
      </c>
    </row>
    <row r="2660" spans="1:38" customFormat="1" ht="57.6" x14ac:dyDescent="0.3">
      <c r="A2660" s="140" t="s">
        <v>1489</v>
      </c>
      <c r="B2660" s="140">
        <v>4</v>
      </c>
      <c r="C2660" s="166" t="s">
        <v>697</v>
      </c>
      <c r="D2660" s="140" t="str">
        <f t="shared" si="287"/>
        <v>3</v>
      </c>
      <c r="E2660" s="166" t="s">
        <v>694</v>
      </c>
      <c r="F2660" s="140">
        <f t="shared" si="293"/>
        <v>3</v>
      </c>
      <c r="G2660" s="140" t="str">
        <f t="shared" si="288"/>
        <v>4.3.3</v>
      </c>
      <c r="H2660" s="166" t="s">
        <v>677</v>
      </c>
      <c r="I2660" s="166" t="s">
        <v>130</v>
      </c>
      <c r="J2660" s="166" t="s">
        <v>152</v>
      </c>
      <c r="K2660" s="166" t="s">
        <v>716</v>
      </c>
      <c r="L2660" s="167">
        <v>39000</v>
      </c>
      <c r="M2660" s="166">
        <v>25</v>
      </c>
      <c r="N2660" s="166">
        <v>6</v>
      </c>
      <c r="O2660" s="164">
        <f t="shared" si="290"/>
        <v>5850000</v>
      </c>
      <c r="P2660" s="166">
        <v>0</v>
      </c>
      <c r="Q2660" s="166">
        <v>0</v>
      </c>
      <c r="R2660" s="164">
        <f>$L2660*'Pivot Objective'!$C$9*P2660*Q2660</f>
        <v>0</v>
      </c>
      <c r="S2660" s="166">
        <v>0</v>
      </c>
      <c r="T2660" s="166">
        <v>0</v>
      </c>
      <c r="U2660" s="164">
        <f>($L2660*'Pivot Objective'!$C$9^2)*S2660*T2660</f>
        <v>0</v>
      </c>
      <c r="V2660" s="166">
        <v>25</v>
      </c>
      <c r="W2660" s="166">
        <v>6</v>
      </c>
      <c r="X2660" s="164">
        <f>($L2660*'Pivot Objective'!$C$9^3)*V2660*W2660</f>
        <v>8733827.5836495608</v>
      </c>
      <c r="Y2660" s="166">
        <v>0</v>
      </c>
      <c r="Z2660" s="166">
        <v>0</v>
      </c>
      <c r="AA2660" s="164">
        <f>($L2660*'Pivot Objective'!$C$9^4)*Y2660*Z2660</f>
        <v>0</v>
      </c>
      <c r="AB2660" s="166">
        <v>25</v>
      </c>
      <c r="AC2660" s="166">
        <v>6</v>
      </c>
      <c r="AD2660" s="164">
        <f>($L2660*'Pivot Objective'!$C$9^5)*AB2660*AC2660</f>
        <v>11408725.027003182</v>
      </c>
      <c r="AE2660" s="166">
        <v>0</v>
      </c>
      <c r="AF2660" s="166">
        <v>0</v>
      </c>
      <c r="AG2660" s="164">
        <f>($L2660*'Pivot Objective'!$C$9^6)*AE2660*AF2660</f>
        <v>0</v>
      </c>
      <c r="AH2660" s="166">
        <v>25</v>
      </c>
      <c r="AI2660" s="166">
        <v>6</v>
      </c>
      <c r="AJ2660" s="164">
        <f>($L2660*'Pivot Objective'!$C$9^7)*AH2660*AI2660</f>
        <v>14902859.656336365</v>
      </c>
      <c r="AK2660" s="185">
        <f t="shared" si="291"/>
        <v>40895412.266989112</v>
      </c>
      <c r="AL2660" s="186">
        <f t="shared" si="292"/>
        <v>39704.283754358359</v>
      </c>
    </row>
    <row r="2661" spans="1:38" customFormat="1" ht="57.6" x14ac:dyDescent="0.3">
      <c r="A2661" s="140" t="s">
        <v>1489</v>
      </c>
      <c r="B2661" s="140">
        <v>4</v>
      </c>
      <c r="C2661" s="166" t="s">
        <v>697</v>
      </c>
      <c r="D2661" s="140" t="str">
        <f t="shared" si="287"/>
        <v>3</v>
      </c>
      <c r="E2661" s="166" t="s">
        <v>694</v>
      </c>
      <c r="F2661" s="140">
        <f t="shared" si="293"/>
        <v>3</v>
      </c>
      <c r="G2661" s="140" t="str">
        <f t="shared" si="288"/>
        <v>4.3.3</v>
      </c>
      <c r="H2661" s="166" t="s">
        <v>677</v>
      </c>
      <c r="I2661" s="166" t="s">
        <v>130</v>
      </c>
      <c r="J2661" s="166" t="s">
        <v>152</v>
      </c>
      <c r="K2661" s="166" t="s">
        <v>709</v>
      </c>
      <c r="L2661" s="167">
        <v>35000</v>
      </c>
      <c r="M2661" s="166">
        <v>25</v>
      </c>
      <c r="N2661" s="166">
        <v>5</v>
      </c>
      <c r="O2661" s="164">
        <f t="shared" si="290"/>
        <v>4375000</v>
      </c>
      <c r="P2661" s="166">
        <v>0</v>
      </c>
      <c r="Q2661" s="166">
        <v>0</v>
      </c>
      <c r="R2661" s="164">
        <f>$L2661*'Pivot Objective'!$C$9*P2661*Q2661</f>
        <v>0</v>
      </c>
      <c r="S2661" s="166">
        <v>0</v>
      </c>
      <c r="T2661" s="166">
        <v>0</v>
      </c>
      <c r="U2661" s="164">
        <f>($L2661*'Pivot Objective'!$C$9^2)*S2661*T2661</f>
        <v>0</v>
      </c>
      <c r="V2661" s="166">
        <v>25</v>
      </c>
      <c r="W2661" s="166">
        <v>5</v>
      </c>
      <c r="X2661" s="164">
        <f>($L2661*'Pivot Objective'!$C$9^3)*V2661*W2661</f>
        <v>6531708.6629857821</v>
      </c>
      <c r="Y2661" s="166">
        <v>0</v>
      </c>
      <c r="Z2661" s="166">
        <v>0</v>
      </c>
      <c r="AA2661" s="164">
        <f>($L2661*'Pivot Objective'!$C$9^4)*Y2661*Z2661</f>
        <v>0</v>
      </c>
      <c r="AB2661" s="166">
        <v>25</v>
      </c>
      <c r="AC2661" s="166">
        <v>5</v>
      </c>
      <c r="AD2661" s="164">
        <f>($L2661*'Pivot Objective'!$C$9^5)*AB2661*AC2661</f>
        <v>8532166.152673319</v>
      </c>
      <c r="AE2661" s="166">
        <v>0</v>
      </c>
      <c r="AF2661" s="166">
        <v>0</v>
      </c>
      <c r="AG2661" s="164">
        <f>($L2661*'Pivot Objective'!$C$9^6)*AE2661*AF2661</f>
        <v>0</v>
      </c>
      <c r="AH2661" s="166">
        <v>25</v>
      </c>
      <c r="AI2661" s="166">
        <v>5</v>
      </c>
      <c r="AJ2661" s="164">
        <f>($L2661*'Pivot Objective'!$C$9^7)*AH2661*AI2661</f>
        <v>11145301.025037881</v>
      </c>
      <c r="AK2661" s="185">
        <f t="shared" si="291"/>
        <v>30584175.840696983</v>
      </c>
      <c r="AL2661" s="186">
        <f t="shared" si="292"/>
        <v>29693.374602618431</v>
      </c>
    </row>
    <row r="2662" spans="1:38" customFormat="1" ht="57.6" x14ac:dyDescent="0.3">
      <c r="A2662" s="140" t="s">
        <v>1489</v>
      </c>
      <c r="B2662" s="140">
        <v>4</v>
      </c>
      <c r="C2662" s="166" t="s">
        <v>697</v>
      </c>
      <c r="D2662" s="140" t="str">
        <f t="shared" si="287"/>
        <v>3</v>
      </c>
      <c r="E2662" s="166" t="s">
        <v>694</v>
      </c>
      <c r="F2662" s="140">
        <f t="shared" si="293"/>
        <v>3</v>
      </c>
      <c r="G2662" s="140" t="str">
        <f t="shared" si="288"/>
        <v>4.3.3</v>
      </c>
      <c r="H2662" s="166" t="s">
        <v>677</v>
      </c>
      <c r="I2662" s="166" t="s">
        <v>130</v>
      </c>
      <c r="J2662" s="166" t="s">
        <v>152</v>
      </c>
      <c r="K2662" s="166" t="s">
        <v>712</v>
      </c>
      <c r="L2662" s="167">
        <v>211.42857142857142</v>
      </c>
      <c r="M2662" s="166">
        <v>450</v>
      </c>
      <c r="N2662" s="166">
        <v>5</v>
      </c>
      <c r="O2662" s="164">
        <f t="shared" si="290"/>
        <v>475714.28571428568</v>
      </c>
      <c r="P2662" s="166">
        <v>0</v>
      </c>
      <c r="Q2662" s="166">
        <v>0</v>
      </c>
      <c r="R2662" s="164">
        <f>$L2662*'Pivot Objective'!$C$9*P2662*Q2662</f>
        <v>0</v>
      </c>
      <c r="S2662" s="166">
        <v>0</v>
      </c>
      <c r="T2662" s="166">
        <v>0</v>
      </c>
      <c r="U2662" s="164">
        <f>($L2662*'Pivot Objective'!$C$9^2)*S2662*T2662</f>
        <v>0</v>
      </c>
      <c r="V2662" s="166">
        <v>450</v>
      </c>
      <c r="W2662" s="166">
        <v>5</v>
      </c>
      <c r="X2662" s="164">
        <f>($L2662*'Pivot Objective'!$C$9^3)*V2662*W2662</f>
        <v>710223.34196710703</v>
      </c>
      <c r="Y2662" s="166">
        <v>0</v>
      </c>
      <c r="Z2662" s="166">
        <v>0</v>
      </c>
      <c r="AA2662" s="164">
        <f>($L2662*'Pivot Objective'!$C$9^4)*Y2662*Z2662</f>
        <v>0</v>
      </c>
      <c r="AB2662" s="166">
        <v>450</v>
      </c>
      <c r="AC2662" s="166">
        <v>5</v>
      </c>
      <c r="AD2662" s="164">
        <f>($L2662*'Pivot Objective'!$C$9^5)*AB2662*AC2662</f>
        <v>927742.47472333559</v>
      </c>
      <c r="AE2662" s="166">
        <v>0</v>
      </c>
      <c r="AF2662" s="166">
        <v>0</v>
      </c>
      <c r="AG2662" s="164">
        <f>($L2662*'Pivot Objective'!$C$9^6)*AE2662*AF2662</f>
        <v>0</v>
      </c>
      <c r="AH2662" s="166">
        <v>450</v>
      </c>
      <c r="AI2662" s="166">
        <v>5</v>
      </c>
      <c r="AJ2662" s="164">
        <f>($L2662*'Pivot Objective'!$C$9^7)*AH2662*AI2662</f>
        <v>1211880.8951306494</v>
      </c>
      <c r="AK2662" s="185">
        <f t="shared" si="291"/>
        <v>3325560.9975353777</v>
      </c>
      <c r="AL2662" s="186">
        <f t="shared" si="292"/>
        <v>3228.6999976071629</v>
      </c>
    </row>
    <row r="2663" spans="1:38" customFormat="1" ht="57.6" x14ac:dyDescent="0.3">
      <c r="A2663" s="140" t="s">
        <v>1489</v>
      </c>
      <c r="B2663" s="140">
        <v>4</v>
      </c>
      <c r="C2663" s="166" t="s">
        <v>697</v>
      </c>
      <c r="D2663" s="140" t="str">
        <f t="shared" si="287"/>
        <v>3</v>
      </c>
      <c r="E2663" s="166" t="s">
        <v>694</v>
      </c>
      <c r="F2663" s="140">
        <f t="shared" si="293"/>
        <v>3</v>
      </c>
      <c r="G2663" s="140" t="str">
        <f t="shared" si="288"/>
        <v>4.3.3</v>
      </c>
      <c r="H2663" s="166" t="s">
        <v>677</v>
      </c>
      <c r="I2663" s="166" t="s">
        <v>130</v>
      </c>
      <c r="J2663" s="166" t="s">
        <v>152</v>
      </c>
      <c r="K2663" s="166" t="s">
        <v>1299</v>
      </c>
      <c r="L2663" s="167">
        <v>211.42857142857142</v>
      </c>
      <c r="M2663" s="166">
        <v>2430</v>
      </c>
      <c r="N2663" s="166">
        <v>1</v>
      </c>
      <c r="O2663" s="164">
        <f t="shared" si="290"/>
        <v>513771.42857142852</v>
      </c>
      <c r="P2663" s="166"/>
      <c r="Q2663" s="166"/>
      <c r="R2663" s="164">
        <f>$L2663*'Pivot Objective'!$C$9*P2663*Q2663</f>
        <v>0</v>
      </c>
      <c r="S2663" s="166"/>
      <c r="T2663" s="166"/>
      <c r="U2663" s="164">
        <f>($L2663*'Pivot Objective'!$C$9^2)*S2663*T2663</f>
        <v>0</v>
      </c>
      <c r="V2663" s="166">
        <v>2430</v>
      </c>
      <c r="W2663" s="166">
        <v>1</v>
      </c>
      <c r="X2663" s="164">
        <f>($L2663*'Pivot Objective'!$C$9^3)*V2663*W2663</f>
        <v>767041.20932447549</v>
      </c>
      <c r="Y2663" s="166"/>
      <c r="Z2663" s="166"/>
      <c r="AA2663" s="164">
        <f>($L2663*'Pivot Objective'!$C$9^4)*Y2663*Z2663</f>
        <v>0</v>
      </c>
      <c r="AB2663" s="166">
        <v>2430</v>
      </c>
      <c r="AC2663" s="166">
        <v>1</v>
      </c>
      <c r="AD2663" s="164">
        <f>($L2663*'Pivot Objective'!$C$9^5)*AB2663*AC2663</f>
        <v>1001961.8727012025</v>
      </c>
      <c r="AE2663" s="166"/>
      <c r="AF2663" s="166"/>
      <c r="AG2663" s="164">
        <f>($L2663*'Pivot Objective'!$C$9^6)*AE2663*AF2663</f>
        <v>0</v>
      </c>
      <c r="AH2663" s="166">
        <v>2430</v>
      </c>
      <c r="AI2663" s="166">
        <v>1</v>
      </c>
      <c r="AJ2663" s="164">
        <f>($L2663*'Pivot Objective'!$C$9^7)*AH2663*AI2663</f>
        <v>1308831.3667411015</v>
      </c>
      <c r="AK2663" s="185">
        <f t="shared" si="291"/>
        <v>3591605.8773382083</v>
      </c>
      <c r="AL2663" s="186">
        <f t="shared" si="292"/>
        <v>3486.9959974157364</v>
      </c>
    </row>
    <row r="2664" spans="1:38" customFormat="1" ht="57.6" x14ac:dyDescent="0.3">
      <c r="A2664" s="140" t="s">
        <v>1489</v>
      </c>
      <c r="B2664" s="140">
        <v>4</v>
      </c>
      <c r="C2664" s="166" t="s">
        <v>697</v>
      </c>
      <c r="D2664" s="140" t="str">
        <f t="shared" si="287"/>
        <v>3</v>
      </c>
      <c r="E2664" s="166" t="s">
        <v>694</v>
      </c>
      <c r="F2664" s="140">
        <f t="shared" si="293"/>
        <v>3</v>
      </c>
      <c r="G2664" s="140" t="str">
        <f t="shared" si="288"/>
        <v>4.3.3</v>
      </c>
      <c r="H2664" s="166" t="s">
        <v>677</v>
      </c>
      <c r="I2664" s="166" t="s">
        <v>130</v>
      </c>
      <c r="J2664" s="166" t="s">
        <v>180</v>
      </c>
      <c r="K2664" s="166" t="s">
        <v>716</v>
      </c>
      <c r="L2664" s="167">
        <v>39000</v>
      </c>
      <c r="M2664" s="166">
        <v>25</v>
      </c>
      <c r="N2664" s="166">
        <v>6</v>
      </c>
      <c r="O2664" s="164">
        <f t="shared" si="290"/>
        <v>5850000</v>
      </c>
      <c r="P2664" s="166">
        <v>0</v>
      </c>
      <c r="Q2664" s="166">
        <v>0</v>
      </c>
      <c r="R2664" s="164">
        <f>$L2664*'Pivot Objective'!$C$9*P2664*Q2664</f>
        <v>0</v>
      </c>
      <c r="S2664" s="166">
        <v>0</v>
      </c>
      <c r="T2664" s="166">
        <v>0</v>
      </c>
      <c r="U2664" s="164">
        <f>($L2664*'Pivot Objective'!$C$9^2)*S2664*T2664</f>
        <v>0</v>
      </c>
      <c r="V2664" s="166">
        <v>25</v>
      </c>
      <c r="W2664" s="166">
        <v>6</v>
      </c>
      <c r="X2664" s="164">
        <f>($L2664*'Pivot Objective'!$C$9^3)*V2664*W2664</f>
        <v>8733827.5836495608</v>
      </c>
      <c r="Y2664" s="166">
        <v>0</v>
      </c>
      <c r="Z2664" s="166">
        <v>0</v>
      </c>
      <c r="AA2664" s="164">
        <f>($L2664*'Pivot Objective'!$C$9^4)*Y2664*Z2664</f>
        <v>0</v>
      </c>
      <c r="AB2664" s="166">
        <v>25</v>
      </c>
      <c r="AC2664" s="166">
        <v>6</v>
      </c>
      <c r="AD2664" s="164">
        <f>($L2664*'Pivot Objective'!$C$9^5)*AB2664*AC2664</f>
        <v>11408725.027003182</v>
      </c>
      <c r="AE2664" s="166">
        <v>0</v>
      </c>
      <c r="AF2664" s="166">
        <v>0</v>
      </c>
      <c r="AG2664" s="164">
        <f>($L2664*'Pivot Objective'!$C$9^6)*AE2664*AF2664</f>
        <v>0</v>
      </c>
      <c r="AH2664" s="166">
        <v>25</v>
      </c>
      <c r="AI2664" s="166">
        <v>6</v>
      </c>
      <c r="AJ2664" s="164">
        <f>($L2664*'Pivot Objective'!$C$9^7)*AH2664*AI2664</f>
        <v>14902859.656336365</v>
      </c>
      <c r="AK2664" s="185">
        <f t="shared" si="291"/>
        <v>40895412.266989112</v>
      </c>
      <c r="AL2664" s="186">
        <f t="shared" si="292"/>
        <v>39704.283754358359</v>
      </c>
    </row>
    <row r="2665" spans="1:38" customFormat="1" ht="57.6" x14ac:dyDescent="0.3">
      <c r="A2665" s="140" t="s">
        <v>1489</v>
      </c>
      <c r="B2665" s="140">
        <v>4</v>
      </c>
      <c r="C2665" s="166" t="s">
        <v>697</v>
      </c>
      <c r="D2665" s="140" t="str">
        <f t="shared" si="287"/>
        <v>3</v>
      </c>
      <c r="E2665" s="166" t="s">
        <v>694</v>
      </c>
      <c r="F2665" s="140">
        <f t="shared" si="293"/>
        <v>3</v>
      </c>
      <c r="G2665" s="140" t="str">
        <f t="shared" si="288"/>
        <v>4.3.3</v>
      </c>
      <c r="H2665" s="166" t="s">
        <v>677</v>
      </c>
      <c r="I2665" s="166" t="s">
        <v>130</v>
      </c>
      <c r="J2665" s="166" t="s">
        <v>180</v>
      </c>
      <c r="K2665" s="166" t="s">
        <v>709</v>
      </c>
      <c r="L2665" s="167">
        <v>35000</v>
      </c>
      <c r="M2665" s="166">
        <v>25</v>
      </c>
      <c r="N2665" s="166">
        <v>5</v>
      </c>
      <c r="O2665" s="164">
        <f t="shared" si="290"/>
        <v>4375000</v>
      </c>
      <c r="P2665" s="166">
        <v>0</v>
      </c>
      <c r="Q2665" s="166">
        <v>0</v>
      </c>
      <c r="R2665" s="164">
        <f>$L2665*'Pivot Objective'!$C$9*P2665*Q2665</f>
        <v>0</v>
      </c>
      <c r="S2665" s="166">
        <v>0</v>
      </c>
      <c r="T2665" s="166">
        <v>0</v>
      </c>
      <c r="U2665" s="164">
        <f>($L2665*'Pivot Objective'!$C$9^2)*S2665*T2665</f>
        <v>0</v>
      </c>
      <c r="V2665" s="166">
        <v>25</v>
      </c>
      <c r="W2665" s="166">
        <v>5</v>
      </c>
      <c r="X2665" s="164">
        <f>($L2665*'Pivot Objective'!$C$9^3)*V2665*W2665</f>
        <v>6531708.6629857821</v>
      </c>
      <c r="Y2665" s="166">
        <v>0</v>
      </c>
      <c r="Z2665" s="166">
        <v>0</v>
      </c>
      <c r="AA2665" s="164">
        <f>($L2665*'Pivot Objective'!$C$9^4)*Y2665*Z2665</f>
        <v>0</v>
      </c>
      <c r="AB2665" s="166">
        <v>25</v>
      </c>
      <c r="AC2665" s="166">
        <v>5</v>
      </c>
      <c r="AD2665" s="164">
        <f>($L2665*'Pivot Objective'!$C$9^5)*AB2665*AC2665</f>
        <v>8532166.152673319</v>
      </c>
      <c r="AE2665" s="166">
        <v>0</v>
      </c>
      <c r="AF2665" s="166">
        <v>0</v>
      </c>
      <c r="AG2665" s="164">
        <f>($L2665*'Pivot Objective'!$C$9^6)*AE2665*AF2665</f>
        <v>0</v>
      </c>
      <c r="AH2665" s="166">
        <v>25</v>
      </c>
      <c r="AI2665" s="166">
        <v>5</v>
      </c>
      <c r="AJ2665" s="164">
        <f>($L2665*'Pivot Objective'!$C$9^7)*AH2665*AI2665</f>
        <v>11145301.025037881</v>
      </c>
      <c r="AK2665" s="185">
        <f t="shared" si="291"/>
        <v>30584175.840696983</v>
      </c>
      <c r="AL2665" s="186">
        <f t="shared" si="292"/>
        <v>29693.374602618431</v>
      </c>
    </row>
    <row r="2666" spans="1:38" customFormat="1" ht="57.6" x14ac:dyDescent="0.3">
      <c r="A2666" s="140" t="s">
        <v>1489</v>
      </c>
      <c r="B2666" s="140">
        <v>4</v>
      </c>
      <c r="C2666" s="166" t="s">
        <v>697</v>
      </c>
      <c r="D2666" s="140" t="str">
        <f t="shared" si="287"/>
        <v>3</v>
      </c>
      <c r="E2666" s="166" t="s">
        <v>694</v>
      </c>
      <c r="F2666" s="140">
        <f t="shared" si="293"/>
        <v>3</v>
      </c>
      <c r="G2666" s="140" t="str">
        <f t="shared" si="288"/>
        <v>4.3.3</v>
      </c>
      <c r="H2666" s="166" t="s">
        <v>677</v>
      </c>
      <c r="I2666" s="166" t="s">
        <v>130</v>
      </c>
      <c r="J2666" s="166" t="s">
        <v>180</v>
      </c>
      <c r="K2666" s="166" t="s">
        <v>712</v>
      </c>
      <c r="L2666" s="167">
        <v>211.42857142857142</v>
      </c>
      <c r="M2666" s="166">
        <v>450</v>
      </c>
      <c r="N2666" s="166">
        <v>5</v>
      </c>
      <c r="O2666" s="164">
        <f t="shared" si="290"/>
        <v>475714.28571428568</v>
      </c>
      <c r="P2666" s="166">
        <v>0</v>
      </c>
      <c r="Q2666" s="166">
        <v>0</v>
      </c>
      <c r="R2666" s="164">
        <f>$L2666*'Pivot Objective'!$C$9*P2666*Q2666</f>
        <v>0</v>
      </c>
      <c r="S2666" s="166">
        <v>0</v>
      </c>
      <c r="T2666" s="166">
        <v>0</v>
      </c>
      <c r="U2666" s="164">
        <f>($L2666*'Pivot Objective'!$C$9^2)*S2666*T2666</f>
        <v>0</v>
      </c>
      <c r="V2666" s="166">
        <v>450</v>
      </c>
      <c r="W2666" s="166">
        <v>5</v>
      </c>
      <c r="X2666" s="164">
        <f>($L2666*'Pivot Objective'!$C$9^3)*V2666*W2666</f>
        <v>710223.34196710703</v>
      </c>
      <c r="Y2666" s="166">
        <v>0</v>
      </c>
      <c r="Z2666" s="166">
        <v>0</v>
      </c>
      <c r="AA2666" s="164">
        <f>($L2666*'Pivot Objective'!$C$9^4)*Y2666*Z2666</f>
        <v>0</v>
      </c>
      <c r="AB2666" s="166">
        <v>450</v>
      </c>
      <c r="AC2666" s="166">
        <v>5</v>
      </c>
      <c r="AD2666" s="164">
        <f>($L2666*'Pivot Objective'!$C$9^5)*AB2666*AC2666</f>
        <v>927742.47472333559</v>
      </c>
      <c r="AE2666" s="166">
        <v>0</v>
      </c>
      <c r="AF2666" s="166">
        <v>0</v>
      </c>
      <c r="AG2666" s="164">
        <f>($L2666*'Pivot Objective'!$C$9^6)*AE2666*AF2666</f>
        <v>0</v>
      </c>
      <c r="AH2666" s="166">
        <v>450</v>
      </c>
      <c r="AI2666" s="166">
        <v>5</v>
      </c>
      <c r="AJ2666" s="164">
        <f>($L2666*'Pivot Objective'!$C$9^7)*AH2666*AI2666</f>
        <v>1211880.8951306494</v>
      </c>
      <c r="AK2666" s="185">
        <f t="shared" si="291"/>
        <v>3325560.9975353777</v>
      </c>
      <c r="AL2666" s="186">
        <f t="shared" si="292"/>
        <v>3228.6999976071629</v>
      </c>
    </row>
    <row r="2667" spans="1:38" customFormat="1" ht="57.6" x14ac:dyDescent="0.3">
      <c r="A2667" s="140" t="s">
        <v>1489</v>
      </c>
      <c r="B2667" s="140">
        <v>4</v>
      </c>
      <c r="C2667" s="166" t="s">
        <v>697</v>
      </c>
      <c r="D2667" s="140" t="str">
        <f t="shared" si="287"/>
        <v>3</v>
      </c>
      <c r="E2667" s="166" t="s">
        <v>694</v>
      </c>
      <c r="F2667" s="140">
        <f t="shared" si="293"/>
        <v>3</v>
      </c>
      <c r="G2667" s="140" t="str">
        <f t="shared" si="288"/>
        <v>4.3.3</v>
      </c>
      <c r="H2667" s="166" t="s">
        <v>677</v>
      </c>
      <c r="I2667" s="166" t="s">
        <v>130</v>
      </c>
      <c r="J2667" s="166" t="s">
        <v>180</v>
      </c>
      <c r="K2667" s="166" t="s">
        <v>1299</v>
      </c>
      <c r="L2667" s="167">
        <v>211.42857142857142</v>
      </c>
      <c r="M2667" s="166">
        <v>2430</v>
      </c>
      <c r="N2667" s="166">
        <v>1</v>
      </c>
      <c r="O2667" s="164">
        <f t="shared" si="290"/>
        <v>513771.42857142852</v>
      </c>
      <c r="P2667" s="166"/>
      <c r="Q2667" s="166"/>
      <c r="R2667" s="164">
        <f>$L2667*'Pivot Objective'!$C$9*P2667*Q2667</f>
        <v>0</v>
      </c>
      <c r="S2667" s="166"/>
      <c r="T2667" s="166"/>
      <c r="U2667" s="164">
        <f>($L2667*'Pivot Objective'!$C$9^2)*S2667*T2667</f>
        <v>0</v>
      </c>
      <c r="V2667" s="166">
        <v>2430</v>
      </c>
      <c r="W2667" s="166">
        <v>1</v>
      </c>
      <c r="X2667" s="164">
        <f>($L2667*'Pivot Objective'!$C$9^3)*V2667*W2667</f>
        <v>767041.20932447549</v>
      </c>
      <c r="Y2667" s="166"/>
      <c r="Z2667" s="166"/>
      <c r="AA2667" s="164">
        <f>($L2667*'Pivot Objective'!$C$9^4)*Y2667*Z2667</f>
        <v>0</v>
      </c>
      <c r="AB2667" s="166">
        <v>2430</v>
      </c>
      <c r="AC2667" s="166">
        <v>1</v>
      </c>
      <c r="AD2667" s="164">
        <f>($L2667*'Pivot Objective'!$C$9^5)*AB2667*AC2667</f>
        <v>1001961.8727012025</v>
      </c>
      <c r="AE2667" s="166"/>
      <c r="AF2667" s="166"/>
      <c r="AG2667" s="164">
        <f>($L2667*'Pivot Objective'!$C$9^6)*AE2667*AF2667</f>
        <v>0</v>
      </c>
      <c r="AH2667" s="166">
        <v>2430</v>
      </c>
      <c r="AI2667" s="166">
        <v>1</v>
      </c>
      <c r="AJ2667" s="164">
        <f>($L2667*'Pivot Objective'!$C$9^7)*AH2667*AI2667</f>
        <v>1308831.3667411015</v>
      </c>
      <c r="AK2667" s="185">
        <f t="shared" si="291"/>
        <v>3591605.8773382083</v>
      </c>
      <c r="AL2667" s="186">
        <f t="shared" si="292"/>
        <v>3486.9959974157364</v>
      </c>
    </row>
    <row r="2668" spans="1:38" customFormat="1" ht="57.6" x14ac:dyDescent="0.3">
      <c r="A2668" s="140" t="s">
        <v>1489</v>
      </c>
      <c r="B2668" s="140">
        <v>4</v>
      </c>
      <c r="C2668" s="166" t="s">
        <v>697</v>
      </c>
      <c r="D2668" s="140" t="str">
        <f t="shared" si="287"/>
        <v>3</v>
      </c>
      <c r="E2668" s="166" t="s">
        <v>694</v>
      </c>
      <c r="F2668" s="140">
        <f t="shared" si="293"/>
        <v>3</v>
      </c>
      <c r="G2668" s="140" t="str">
        <f t="shared" si="288"/>
        <v>4.3.3</v>
      </c>
      <c r="H2668" s="166" t="s">
        <v>677</v>
      </c>
      <c r="I2668" s="166" t="s">
        <v>130</v>
      </c>
      <c r="J2668" s="166" t="s">
        <v>595</v>
      </c>
      <c r="K2668" s="166" t="s">
        <v>718</v>
      </c>
      <c r="L2668" s="167">
        <v>0</v>
      </c>
      <c r="M2668" s="166">
        <v>0</v>
      </c>
      <c r="N2668" s="166">
        <v>0</v>
      </c>
      <c r="O2668" s="164">
        <f t="shared" si="290"/>
        <v>0</v>
      </c>
      <c r="P2668" s="166">
        <v>0</v>
      </c>
      <c r="Q2668" s="166">
        <v>0</v>
      </c>
      <c r="R2668" s="164">
        <f>$L2668*'Pivot Objective'!$C$9*P2668*Q2668</f>
        <v>0</v>
      </c>
      <c r="S2668" s="166">
        <v>0</v>
      </c>
      <c r="T2668" s="166">
        <v>0</v>
      </c>
      <c r="U2668" s="164">
        <f>($L2668*'Pivot Objective'!$C$9^2)*S2668*T2668</f>
        <v>0</v>
      </c>
      <c r="V2668" s="166">
        <v>0</v>
      </c>
      <c r="W2668" s="166">
        <v>0</v>
      </c>
      <c r="X2668" s="164">
        <f>($L2668*'Pivot Objective'!$C$9^3)*V2668*W2668</f>
        <v>0</v>
      </c>
      <c r="Y2668" s="166">
        <v>0</v>
      </c>
      <c r="Z2668" s="166">
        <v>0</v>
      </c>
      <c r="AA2668" s="164">
        <f>($L2668*'Pivot Objective'!$C$9^4)*Y2668*Z2668</f>
        <v>0</v>
      </c>
      <c r="AB2668" s="166">
        <v>0</v>
      </c>
      <c r="AC2668" s="166">
        <v>0</v>
      </c>
      <c r="AD2668" s="164">
        <f>($L2668*'Pivot Objective'!$C$9^5)*AB2668*AC2668</f>
        <v>0</v>
      </c>
      <c r="AE2668" s="166">
        <v>0</v>
      </c>
      <c r="AF2668" s="166">
        <v>0</v>
      </c>
      <c r="AG2668" s="164">
        <f>($L2668*'Pivot Objective'!$C$9^6)*AE2668*AF2668</f>
        <v>0</v>
      </c>
      <c r="AH2668" s="166">
        <v>0</v>
      </c>
      <c r="AI2668" s="166">
        <v>0</v>
      </c>
      <c r="AJ2668" s="164">
        <f>($L2668*'Pivot Objective'!$C$9^7)*AH2668*AI2668</f>
        <v>0</v>
      </c>
      <c r="AK2668" s="185">
        <f t="shared" si="291"/>
        <v>0</v>
      </c>
      <c r="AL2668" s="186">
        <f t="shared" si="292"/>
        <v>0</v>
      </c>
    </row>
    <row r="2669" spans="1:38" customFormat="1" ht="57.6" x14ac:dyDescent="0.3">
      <c r="A2669" s="140" t="s">
        <v>1489</v>
      </c>
      <c r="B2669" s="140">
        <v>4</v>
      </c>
      <c r="C2669" s="166" t="s">
        <v>697</v>
      </c>
      <c r="D2669" s="140" t="str">
        <f t="shared" ref="D2669:D2732" si="294">RIGHT(A2669,1)</f>
        <v>3</v>
      </c>
      <c r="E2669" s="166" t="s">
        <v>694</v>
      </c>
      <c r="F2669" s="140">
        <f t="shared" si="293"/>
        <v>3</v>
      </c>
      <c r="G2669" s="140" t="str">
        <f t="shared" si="288"/>
        <v>4.3.3</v>
      </c>
      <c r="H2669" s="166" t="s">
        <v>677</v>
      </c>
      <c r="I2669" s="166" t="s">
        <v>130</v>
      </c>
      <c r="J2669" s="166" t="s">
        <v>175</v>
      </c>
      <c r="K2669" s="166" t="s">
        <v>709</v>
      </c>
      <c r="L2669" s="167">
        <v>35000</v>
      </c>
      <c r="M2669" s="166">
        <v>100</v>
      </c>
      <c r="N2669" s="166">
        <v>5</v>
      </c>
      <c r="O2669" s="164">
        <f t="shared" si="290"/>
        <v>17500000</v>
      </c>
      <c r="P2669" s="166">
        <v>0</v>
      </c>
      <c r="Q2669" s="166">
        <v>0</v>
      </c>
      <c r="R2669" s="164">
        <f>$L2669*'Pivot Objective'!$C$9*P2669*Q2669</f>
        <v>0</v>
      </c>
      <c r="S2669" s="166">
        <v>0</v>
      </c>
      <c r="T2669" s="166">
        <v>0</v>
      </c>
      <c r="U2669" s="164">
        <f>($L2669*'Pivot Objective'!$C$9^2)*S2669*T2669</f>
        <v>0</v>
      </c>
      <c r="V2669" s="166">
        <v>100</v>
      </c>
      <c r="W2669" s="166">
        <v>5</v>
      </c>
      <c r="X2669" s="164">
        <f>($L2669*'Pivot Objective'!$C$9^3)*V2669*W2669</f>
        <v>26126834.651943129</v>
      </c>
      <c r="Y2669" s="166">
        <v>0</v>
      </c>
      <c r="Z2669" s="166">
        <v>0</v>
      </c>
      <c r="AA2669" s="164">
        <f>($L2669*'Pivot Objective'!$C$9^4)*Y2669*Z2669</f>
        <v>0</v>
      </c>
      <c r="AB2669" s="166">
        <v>100</v>
      </c>
      <c r="AC2669" s="166">
        <v>5</v>
      </c>
      <c r="AD2669" s="164">
        <f>($L2669*'Pivot Objective'!$C$9^5)*AB2669*AC2669</f>
        <v>34128664.610693276</v>
      </c>
      <c r="AE2669" s="166">
        <v>0</v>
      </c>
      <c r="AF2669" s="166">
        <v>0</v>
      </c>
      <c r="AG2669" s="164">
        <f>($L2669*'Pivot Objective'!$C$9^6)*AE2669*AF2669</f>
        <v>0</v>
      </c>
      <c r="AH2669" s="166">
        <v>100</v>
      </c>
      <c r="AI2669" s="166">
        <v>5</v>
      </c>
      <c r="AJ2669" s="164">
        <f>($L2669*'Pivot Objective'!$C$9^7)*AH2669*AI2669</f>
        <v>44581204.100151524</v>
      </c>
      <c r="AK2669" s="185">
        <f t="shared" si="291"/>
        <v>122336703.36278793</v>
      </c>
      <c r="AL2669" s="186">
        <f t="shared" si="292"/>
        <v>118773.49841047372</v>
      </c>
    </row>
    <row r="2670" spans="1:38" customFormat="1" ht="57.6" x14ac:dyDescent="0.3">
      <c r="A2670" s="140" t="s">
        <v>1489</v>
      </c>
      <c r="B2670" s="140">
        <v>4</v>
      </c>
      <c r="C2670" s="166" t="s">
        <v>697</v>
      </c>
      <c r="D2670" s="140" t="str">
        <f t="shared" si="294"/>
        <v>3</v>
      </c>
      <c r="E2670" s="166" t="s">
        <v>694</v>
      </c>
      <c r="F2670" s="140">
        <f t="shared" si="293"/>
        <v>3</v>
      </c>
      <c r="G2670" s="140" t="str">
        <f t="shared" ref="G2670:G2733" si="295">B2670&amp;"."&amp;D2670&amp;"."&amp;F2670</f>
        <v>4.3.3</v>
      </c>
      <c r="H2670" s="166" t="s">
        <v>677</v>
      </c>
      <c r="I2670" s="166" t="s">
        <v>130</v>
      </c>
      <c r="J2670" s="166" t="s">
        <v>175</v>
      </c>
      <c r="K2670" s="166" t="s">
        <v>716</v>
      </c>
      <c r="L2670" s="167">
        <v>39000</v>
      </c>
      <c r="M2670" s="166">
        <v>58</v>
      </c>
      <c r="N2670" s="166">
        <v>6</v>
      </c>
      <c r="O2670" s="164">
        <f t="shared" si="290"/>
        <v>13572000</v>
      </c>
      <c r="P2670" s="166"/>
      <c r="Q2670" s="166"/>
      <c r="R2670" s="164">
        <f>$L2670*'Pivot Objective'!$C$9*P2670*Q2670</f>
        <v>0</v>
      </c>
      <c r="S2670" s="166"/>
      <c r="T2670" s="166"/>
      <c r="U2670" s="164">
        <f>($L2670*'Pivot Objective'!$C$9^2)*S2670*T2670</f>
        <v>0</v>
      </c>
      <c r="V2670" s="166">
        <v>58</v>
      </c>
      <c r="W2670" s="166">
        <v>6</v>
      </c>
      <c r="X2670" s="164">
        <f>($L2670*'Pivot Objective'!$C$9^3)*V2670*W2670</f>
        <v>20262479.99406698</v>
      </c>
      <c r="Y2670" s="166"/>
      <c r="Z2670" s="166"/>
      <c r="AA2670" s="164">
        <f>($L2670*'Pivot Objective'!$C$9^4)*Y2670*Z2670</f>
        <v>0</v>
      </c>
      <c r="AB2670" s="166">
        <v>58</v>
      </c>
      <c r="AC2670" s="166">
        <v>6</v>
      </c>
      <c r="AD2670" s="164">
        <f>($L2670*'Pivot Objective'!$C$9^5)*AB2670*AC2670</f>
        <v>26468242.06264738</v>
      </c>
      <c r="AE2670" s="166"/>
      <c r="AF2670" s="166"/>
      <c r="AG2670" s="164">
        <f>($L2670*'Pivot Objective'!$C$9^6)*AE2670*AF2670</f>
        <v>0</v>
      </c>
      <c r="AH2670" s="166">
        <v>58</v>
      </c>
      <c r="AI2670" s="166">
        <v>6</v>
      </c>
      <c r="AJ2670" s="164">
        <f>($L2670*'Pivot Objective'!$C$9^7)*AH2670*AI2670</f>
        <v>34574634.402700365</v>
      </c>
      <c r="AK2670" s="185">
        <f t="shared" si="291"/>
        <v>94877356.459414721</v>
      </c>
      <c r="AL2670" s="186">
        <f t="shared" si="292"/>
        <v>92113.938310111378</v>
      </c>
    </row>
    <row r="2671" spans="1:38" customFormat="1" ht="57.6" x14ac:dyDescent="0.3">
      <c r="A2671" s="140" t="s">
        <v>1489</v>
      </c>
      <c r="B2671" s="140">
        <v>4</v>
      </c>
      <c r="C2671" s="166" t="s">
        <v>697</v>
      </c>
      <c r="D2671" s="140" t="str">
        <f t="shared" si="294"/>
        <v>3</v>
      </c>
      <c r="E2671" s="166" t="s">
        <v>694</v>
      </c>
      <c r="F2671" s="140">
        <f t="shared" si="293"/>
        <v>3</v>
      </c>
      <c r="G2671" s="140" t="str">
        <f t="shared" si="295"/>
        <v>4.3.3</v>
      </c>
      <c r="H2671" s="166" t="s">
        <v>677</v>
      </c>
      <c r="I2671" s="166" t="s">
        <v>130</v>
      </c>
      <c r="J2671" s="166" t="s">
        <v>175</v>
      </c>
      <c r="K2671" s="166" t="s">
        <v>712</v>
      </c>
      <c r="L2671" s="167">
        <v>211.42857142857142</v>
      </c>
      <c r="M2671" s="166">
        <v>1450</v>
      </c>
      <c r="N2671" s="166">
        <v>5</v>
      </c>
      <c r="O2671" s="164">
        <f t="shared" si="290"/>
        <v>1532857.142857143</v>
      </c>
      <c r="P2671" s="166"/>
      <c r="Q2671" s="166"/>
      <c r="R2671" s="164">
        <f>$L2671*'Pivot Objective'!$C$9*P2671*Q2671</f>
        <v>0</v>
      </c>
      <c r="S2671" s="166"/>
      <c r="T2671" s="166"/>
      <c r="U2671" s="164">
        <f>($L2671*'Pivot Objective'!$C$9^2)*S2671*T2671</f>
        <v>0</v>
      </c>
      <c r="V2671" s="166">
        <v>1450</v>
      </c>
      <c r="W2671" s="166">
        <v>5</v>
      </c>
      <c r="X2671" s="164">
        <f>($L2671*'Pivot Objective'!$C$9^3)*V2671*W2671</f>
        <v>2288497.4352273447</v>
      </c>
      <c r="Y2671" s="166"/>
      <c r="Z2671" s="166"/>
      <c r="AA2671" s="164">
        <f>($L2671*'Pivot Objective'!$C$9^4)*Y2671*Z2671</f>
        <v>0</v>
      </c>
      <c r="AB2671" s="166">
        <v>1450</v>
      </c>
      <c r="AC2671" s="166">
        <v>5</v>
      </c>
      <c r="AD2671" s="164">
        <f>($L2671*'Pivot Objective'!$C$9^5)*AB2671*AC2671</f>
        <v>2989392.41855297</v>
      </c>
      <c r="AE2671" s="166"/>
      <c r="AF2671" s="166"/>
      <c r="AG2671" s="164">
        <f>($L2671*'Pivot Objective'!$C$9^6)*AE2671*AF2671</f>
        <v>0</v>
      </c>
      <c r="AH2671" s="166">
        <v>1450</v>
      </c>
      <c r="AI2671" s="166">
        <v>5</v>
      </c>
      <c r="AJ2671" s="164">
        <f>($L2671*'Pivot Objective'!$C$9^7)*AH2671*AI2671</f>
        <v>3904949.5509765372</v>
      </c>
      <c r="AK2671" s="185">
        <f t="shared" si="291"/>
        <v>10715696.547613995</v>
      </c>
      <c r="AL2671" s="186">
        <f t="shared" si="292"/>
        <v>10403.588881178635</v>
      </c>
    </row>
    <row r="2672" spans="1:38" customFormat="1" ht="57.6" x14ac:dyDescent="0.3">
      <c r="A2672" s="140" t="s">
        <v>1489</v>
      </c>
      <c r="B2672" s="140">
        <v>4</v>
      </c>
      <c r="C2672" s="166" t="s">
        <v>697</v>
      </c>
      <c r="D2672" s="140" t="str">
        <f t="shared" si="294"/>
        <v>3</v>
      </c>
      <c r="E2672" s="166" t="s">
        <v>694</v>
      </c>
      <c r="F2672" s="140">
        <f t="shared" ref="F2672:F2705" si="296">IF(H2672=H2671,F2671,F2671+1)</f>
        <v>3</v>
      </c>
      <c r="G2672" s="140" t="str">
        <f t="shared" si="295"/>
        <v>4.3.3</v>
      </c>
      <c r="H2672" s="166" t="s">
        <v>677</v>
      </c>
      <c r="I2672" s="166" t="s">
        <v>130</v>
      </c>
      <c r="J2672" s="166" t="s">
        <v>175</v>
      </c>
      <c r="K2672" s="166" t="s">
        <v>1299</v>
      </c>
      <c r="L2672" s="167">
        <v>211.42857142857142</v>
      </c>
      <c r="M2672" s="166">
        <v>22500</v>
      </c>
      <c r="N2672" s="166">
        <v>1</v>
      </c>
      <c r="O2672" s="164">
        <f t="shared" si="290"/>
        <v>4757142.8571428573</v>
      </c>
      <c r="P2672" s="166"/>
      <c r="Q2672" s="166"/>
      <c r="R2672" s="164">
        <f>$L2672*'Pivot Objective'!$C$9*P2672*Q2672</f>
        <v>0</v>
      </c>
      <c r="S2672" s="166"/>
      <c r="T2672" s="166"/>
      <c r="U2672" s="164">
        <f>($L2672*'Pivot Objective'!$C$9^2)*S2672*T2672</f>
        <v>0</v>
      </c>
      <c r="V2672" s="166">
        <v>22500</v>
      </c>
      <c r="W2672" s="166">
        <v>1</v>
      </c>
      <c r="X2672" s="164">
        <f>($L2672*'Pivot Objective'!$C$9^3)*V2672*W2672</f>
        <v>7102233.4196710698</v>
      </c>
      <c r="Y2672" s="166"/>
      <c r="Z2672" s="166"/>
      <c r="AA2672" s="164">
        <f>($L2672*'Pivot Objective'!$C$9^4)*Y2672*Z2672</f>
        <v>0</v>
      </c>
      <c r="AB2672" s="166">
        <v>22500</v>
      </c>
      <c r="AC2672" s="166">
        <v>1</v>
      </c>
      <c r="AD2672" s="164">
        <f>($L2672*'Pivot Objective'!$C$9^5)*AB2672*AC2672</f>
        <v>9277424.7472333554</v>
      </c>
      <c r="AE2672" s="166"/>
      <c r="AF2672" s="166"/>
      <c r="AG2672" s="164">
        <f>($L2672*'Pivot Objective'!$C$9^6)*AE2672*AF2672</f>
        <v>0</v>
      </c>
      <c r="AH2672" s="166">
        <v>22500</v>
      </c>
      <c r="AI2672" s="166">
        <v>1</v>
      </c>
      <c r="AJ2672" s="164">
        <f>($L2672*'Pivot Objective'!$C$9^7)*AH2672*AI2672</f>
        <v>12118808.951306494</v>
      </c>
      <c r="AK2672" s="185">
        <f t="shared" si="291"/>
        <v>33255609.975353777</v>
      </c>
      <c r="AL2672" s="186">
        <f t="shared" si="292"/>
        <v>32286.999976071627</v>
      </c>
    </row>
    <row r="2673" spans="1:38" customFormat="1" ht="57.6" x14ac:dyDescent="0.3">
      <c r="A2673" s="140" t="s">
        <v>1489</v>
      </c>
      <c r="B2673" s="140">
        <v>4</v>
      </c>
      <c r="C2673" s="166" t="s">
        <v>697</v>
      </c>
      <c r="D2673" s="140" t="str">
        <f t="shared" si="294"/>
        <v>3</v>
      </c>
      <c r="E2673" s="166" t="s">
        <v>694</v>
      </c>
      <c r="F2673" s="140">
        <f t="shared" si="296"/>
        <v>3</v>
      </c>
      <c r="G2673" s="140" t="str">
        <f t="shared" si="295"/>
        <v>4.3.3</v>
      </c>
      <c r="H2673" s="166" t="s">
        <v>677</v>
      </c>
      <c r="I2673" s="166" t="s">
        <v>130</v>
      </c>
      <c r="J2673" s="166" t="s">
        <v>596</v>
      </c>
      <c r="K2673" s="166" t="s">
        <v>709</v>
      </c>
      <c r="L2673" s="167">
        <v>35000</v>
      </c>
      <c r="M2673" s="166">
        <v>100</v>
      </c>
      <c r="N2673" s="166">
        <v>1</v>
      </c>
      <c r="O2673" s="164">
        <f t="shared" si="290"/>
        <v>3500000</v>
      </c>
      <c r="P2673" s="166">
        <v>0</v>
      </c>
      <c r="Q2673" s="166">
        <v>0</v>
      </c>
      <c r="R2673" s="164">
        <f>$L2673*'Pivot Objective'!$C$9*P2673*Q2673</f>
        <v>0</v>
      </c>
      <c r="S2673" s="166">
        <v>0</v>
      </c>
      <c r="T2673" s="166">
        <v>0</v>
      </c>
      <c r="U2673" s="164">
        <f>($L2673*'Pivot Objective'!$C$9^2)*S2673*T2673</f>
        <v>0</v>
      </c>
      <c r="V2673" s="166">
        <v>100</v>
      </c>
      <c r="W2673" s="166">
        <v>1</v>
      </c>
      <c r="X2673" s="164">
        <f>($L2673*'Pivot Objective'!$C$9^3)*V2673*W2673</f>
        <v>5225366.9303886257</v>
      </c>
      <c r="Y2673" s="166">
        <v>0</v>
      </c>
      <c r="Z2673" s="166">
        <v>0</v>
      </c>
      <c r="AA2673" s="164">
        <f>($L2673*'Pivot Objective'!$C$9^4)*Y2673*Z2673</f>
        <v>0</v>
      </c>
      <c r="AB2673" s="166">
        <v>100</v>
      </c>
      <c r="AC2673" s="166">
        <v>1</v>
      </c>
      <c r="AD2673" s="164">
        <f>($L2673*'Pivot Objective'!$C$9^5)*AB2673*AC2673</f>
        <v>6825732.9221386546</v>
      </c>
      <c r="AE2673" s="166">
        <v>0</v>
      </c>
      <c r="AF2673" s="166">
        <v>0</v>
      </c>
      <c r="AG2673" s="164">
        <f>($L2673*'Pivot Objective'!$C$9^6)*AE2673*AF2673</f>
        <v>0</v>
      </c>
      <c r="AH2673" s="166">
        <v>100</v>
      </c>
      <c r="AI2673" s="166">
        <v>1</v>
      </c>
      <c r="AJ2673" s="164">
        <f>($L2673*'Pivot Objective'!$C$9^7)*AH2673*AI2673</f>
        <v>8916240.8200303055</v>
      </c>
      <c r="AK2673" s="185">
        <f t="shared" si="291"/>
        <v>24467340.672557585</v>
      </c>
      <c r="AL2673" s="186">
        <f t="shared" si="292"/>
        <v>23754.699682094742</v>
      </c>
    </row>
    <row r="2674" spans="1:38" customFormat="1" ht="57.6" x14ac:dyDescent="0.3">
      <c r="A2674" s="140" t="s">
        <v>1489</v>
      </c>
      <c r="B2674" s="140">
        <v>4</v>
      </c>
      <c r="C2674" s="166" t="s">
        <v>697</v>
      </c>
      <c r="D2674" s="140" t="str">
        <f t="shared" si="294"/>
        <v>3</v>
      </c>
      <c r="E2674" s="166" t="s">
        <v>694</v>
      </c>
      <c r="F2674" s="140">
        <f t="shared" si="296"/>
        <v>3</v>
      </c>
      <c r="G2674" s="140" t="str">
        <f t="shared" si="295"/>
        <v>4.3.3</v>
      </c>
      <c r="H2674" s="166" t="s">
        <v>677</v>
      </c>
      <c r="I2674" s="166" t="s">
        <v>130</v>
      </c>
      <c r="J2674" s="166" t="s">
        <v>596</v>
      </c>
      <c r="K2674" s="166" t="s">
        <v>716</v>
      </c>
      <c r="L2674" s="167">
        <v>39000</v>
      </c>
      <c r="M2674" s="166">
        <v>58</v>
      </c>
      <c r="N2674" s="166">
        <v>1</v>
      </c>
      <c r="O2674" s="164">
        <f t="shared" si="290"/>
        <v>2262000</v>
      </c>
      <c r="P2674" s="166"/>
      <c r="Q2674" s="166"/>
      <c r="R2674" s="164">
        <f>$L2674*'Pivot Objective'!$C$9*P2674*Q2674</f>
        <v>0</v>
      </c>
      <c r="S2674" s="166"/>
      <c r="T2674" s="166"/>
      <c r="U2674" s="164">
        <f>($L2674*'Pivot Objective'!$C$9^2)*S2674*T2674</f>
        <v>0</v>
      </c>
      <c r="V2674" s="166">
        <v>58</v>
      </c>
      <c r="W2674" s="166">
        <v>1</v>
      </c>
      <c r="X2674" s="164">
        <f>($L2674*'Pivot Objective'!$C$9^3)*V2674*W2674</f>
        <v>3377079.9990111631</v>
      </c>
      <c r="Y2674" s="166"/>
      <c r="Z2674" s="166"/>
      <c r="AA2674" s="164">
        <f>($L2674*'Pivot Objective'!$C$9^4)*Y2674*Z2674</f>
        <v>0</v>
      </c>
      <c r="AB2674" s="166">
        <v>58</v>
      </c>
      <c r="AC2674" s="166">
        <v>1</v>
      </c>
      <c r="AD2674" s="164">
        <f>($L2674*'Pivot Objective'!$C$9^5)*AB2674*AC2674</f>
        <v>4411373.6771078967</v>
      </c>
      <c r="AE2674" s="166"/>
      <c r="AF2674" s="166"/>
      <c r="AG2674" s="164">
        <f>($L2674*'Pivot Objective'!$C$9^6)*AE2674*AF2674</f>
        <v>0</v>
      </c>
      <c r="AH2674" s="166">
        <v>58</v>
      </c>
      <c r="AI2674" s="166">
        <v>1</v>
      </c>
      <c r="AJ2674" s="164">
        <f>($L2674*'Pivot Objective'!$C$9^7)*AH2674*AI2674</f>
        <v>5762439.0671167281</v>
      </c>
      <c r="AK2674" s="185">
        <f t="shared" si="291"/>
        <v>15812892.743235787</v>
      </c>
      <c r="AL2674" s="186">
        <f t="shared" si="292"/>
        <v>15352.323051685231</v>
      </c>
    </row>
    <row r="2675" spans="1:38" customFormat="1" ht="57.6" x14ac:dyDescent="0.3">
      <c r="A2675" s="140" t="s">
        <v>1489</v>
      </c>
      <c r="B2675" s="140">
        <v>4</v>
      </c>
      <c r="C2675" s="166" t="s">
        <v>697</v>
      </c>
      <c r="D2675" s="140" t="str">
        <f t="shared" si="294"/>
        <v>3</v>
      </c>
      <c r="E2675" s="166" t="s">
        <v>694</v>
      </c>
      <c r="F2675" s="140">
        <f t="shared" si="296"/>
        <v>3</v>
      </c>
      <c r="G2675" s="140" t="str">
        <f t="shared" si="295"/>
        <v>4.3.3</v>
      </c>
      <c r="H2675" s="166" t="s">
        <v>677</v>
      </c>
      <c r="I2675" s="166" t="s">
        <v>130</v>
      </c>
      <c r="J2675" s="166" t="s">
        <v>596</v>
      </c>
      <c r="K2675" s="166" t="s">
        <v>712</v>
      </c>
      <c r="L2675" s="167">
        <v>211.42857142857142</v>
      </c>
      <c r="M2675" s="166">
        <v>1450</v>
      </c>
      <c r="N2675" s="166">
        <v>1</v>
      </c>
      <c r="O2675" s="164">
        <f t="shared" si="290"/>
        <v>306571.42857142858</v>
      </c>
      <c r="P2675" s="166"/>
      <c r="Q2675" s="166"/>
      <c r="R2675" s="164">
        <f>$L2675*'Pivot Objective'!$C$9*P2675*Q2675</f>
        <v>0</v>
      </c>
      <c r="S2675" s="166"/>
      <c r="T2675" s="166"/>
      <c r="U2675" s="164">
        <f>($L2675*'Pivot Objective'!$C$9^2)*S2675*T2675</f>
        <v>0</v>
      </c>
      <c r="V2675" s="166">
        <v>1450</v>
      </c>
      <c r="W2675" s="166">
        <v>1</v>
      </c>
      <c r="X2675" s="164">
        <f>($L2675*'Pivot Objective'!$C$9^3)*V2675*W2675</f>
        <v>457699.48704546894</v>
      </c>
      <c r="Y2675" s="166"/>
      <c r="Z2675" s="166"/>
      <c r="AA2675" s="164">
        <f>($L2675*'Pivot Objective'!$C$9^4)*Y2675*Z2675</f>
        <v>0</v>
      </c>
      <c r="AB2675" s="166">
        <v>1450</v>
      </c>
      <c r="AC2675" s="166">
        <v>1</v>
      </c>
      <c r="AD2675" s="164">
        <f>($L2675*'Pivot Objective'!$C$9^5)*AB2675*AC2675</f>
        <v>597878.48371059401</v>
      </c>
      <c r="AE2675" s="166"/>
      <c r="AF2675" s="166"/>
      <c r="AG2675" s="164">
        <f>($L2675*'Pivot Objective'!$C$9^6)*AE2675*AF2675</f>
        <v>0</v>
      </c>
      <c r="AH2675" s="166">
        <v>1450</v>
      </c>
      <c r="AI2675" s="166">
        <v>1</v>
      </c>
      <c r="AJ2675" s="164">
        <f>($L2675*'Pivot Objective'!$C$9^7)*AH2675*AI2675</f>
        <v>780989.91019530746</v>
      </c>
      <c r="AK2675" s="185">
        <f t="shared" si="291"/>
        <v>2143139.3095227988</v>
      </c>
      <c r="AL2675" s="186">
        <f t="shared" si="292"/>
        <v>2080.7177762357269</v>
      </c>
    </row>
    <row r="2676" spans="1:38" customFormat="1" ht="57.6" x14ac:dyDescent="0.3">
      <c r="A2676" s="140" t="s">
        <v>1489</v>
      </c>
      <c r="B2676" s="140">
        <v>4</v>
      </c>
      <c r="C2676" s="166" t="s">
        <v>697</v>
      </c>
      <c r="D2676" s="140" t="str">
        <f t="shared" si="294"/>
        <v>3</v>
      </c>
      <c r="E2676" s="166" t="s">
        <v>694</v>
      </c>
      <c r="F2676" s="140">
        <f t="shared" si="296"/>
        <v>3</v>
      </c>
      <c r="G2676" s="140" t="str">
        <f t="shared" si="295"/>
        <v>4.3.3</v>
      </c>
      <c r="H2676" s="166" t="s">
        <v>677</v>
      </c>
      <c r="I2676" s="166" t="s">
        <v>130</v>
      </c>
      <c r="J2676" s="166" t="s">
        <v>596</v>
      </c>
      <c r="K2676" s="166" t="s">
        <v>1299</v>
      </c>
      <c r="L2676" s="167">
        <v>211.42857142857142</v>
      </c>
      <c r="M2676" s="166">
        <v>22500</v>
      </c>
      <c r="N2676" s="166">
        <v>1</v>
      </c>
      <c r="O2676" s="164">
        <f t="shared" si="290"/>
        <v>4757142.8571428573</v>
      </c>
      <c r="P2676" s="166"/>
      <c r="Q2676" s="166"/>
      <c r="R2676" s="164">
        <f>$L2676*'Pivot Objective'!$C$9*P2676*Q2676</f>
        <v>0</v>
      </c>
      <c r="S2676" s="166"/>
      <c r="T2676" s="166"/>
      <c r="U2676" s="164">
        <f>($L2676*'Pivot Objective'!$C$9^2)*S2676*T2676</f>
        <v>0</v>
      </c>
      <c r="V2676" s="166">
        <v>22500</v>
      </c>
      <c r="W2676" s="166">
        <v>1</v>
      </c>
      <c r="X2676" s="164">
        <f>($L2676*'Pivot Objective'!$C$9^3)*V2676*W2676</f>
        <v>7102233.4196710698</v>
      </c>
      <c r="Y2676" s="166"/>
      <c r="Z2676" s="166"/>
      <c r="AA2676" s="164">
        <f>($L2676*'Pivot Objective'!$C$9^4)*Y2676*Z2676</f>
        <v>0</v>
      </c>
      <c r="AB2676" s="166">
        <v>22500</v>
      </c>
      <c r="AC2676" s="166">
        <v>1</v>
      </c>
      <c r="AD2676" s="164">
        <f>($L2676*'Pivot Objective'!$C$9^5)*AB2676*AC2676</f>
        <v>9277424.7472333554</v>
      </c>
      <c r="AE2676" s="166"/>
      <c r="AF2676" s="166"/>
      <c r="AG2676" s="164">
        <f>($L2676*'Pivot Objective'!$C$9^6)*AE2676*AF2676</f>
        <v>0</v>
      </c>
      <c r="AH2676" s="166">
        <v>22500</v>
      </c>
      <c r="AI2676" s="166">
        <v>1</v>
      </c>
      <c r="AJ2676" s="164">
        <f>($L2676*'Pivot Objective'!$C$9^7)*AH2676*AI2676</f>
        <v>12118808.951306494</v>
      </c>
      <c r="AK2676" s="185">
        <f t="shared" si="291"/>
        <v>33255609.975353777</v>
      </c>
      <c r="AL2676" s="186">
        <f t="shared" si="292"/>
        <v>32286.999976071627</v>
      </c>
    </row>
    <row r="2677" spans="1:38" customFormat="1" ht="57.6" x14ac:dyDescent="0.3">
      <c r="A2677" s="140" t="s">
        <v>1489</v>
      </c>
      <c r="B2677" s="140">
        <v>4</v>
      </c>
      <c r="C2677" s="166" t="s">
        <v>697</v>
      </c>
      <c r="D2677" s="140" t="str">
        <f t="shared" si="294"/>
        <v>3</v>
      </c>
      <c r="E2677" s="166" t="s">
        <v>694</v>
      </c>
      <c r="F2677" s="140">
        <f t="shared" si="296"/>
        <v>3</v>
      </c>
      <c r="G2677" s="140" t="str">
        <f t="shared" si="295"/>
        <v>4.3.3</v>
      </c>
      <c r="H2677" s="166" t="s">
        <v>677</v>
      </c>
      <c r="I2677" s="166" t="s">
        <v>130</v>
      </c>
      <c r="J2677" s="166" t="s">
        <v>596</v>
      </c>
      <c r="K2677" s="166" t="s">
        <v>1318</v>
      </c>
      <c r="L2677" s="167">
        <v>8000</v>
      </c>
      <c r="M2677" s="166">
        <v>0</v>
      </c>
      <c r="N2677" s="166">
        <v>0</v>
      </c>
      <c r="O2677" s="164">
        <f t="shared" si="290"/>
        <v>0</v>
      </c>
      <c r="P2677" s="166">
        <v>0</v>
      </c>
      <c r="Q2677" s="166">
        <v>0</v>
      </c>
      <c r="R2677" s="164">
        <f>$L2677*'Pivot Objective'!$C$9*P2677*Q2677</f>
        <v>0</v>
      </c>
      <c r="S2677" s="166">
        <v>0</v>
      </c>
      <c r="T2677" s="166">
        <v>0</v>
      </c>
      <c r="U2677" s="164">
        <f>($L2677*'Pivot Objective'!$C$9^2)*S2677*T2677</f>
        <v>0</v>
      </c>
      <c r="V2677" s="166">
        <v>0</v>
      </c>
      <c r="W2677" s="166">
        <v>0</v>
      </c>
      <c r="X2677" s="164">
        <f>($L2677*'Pivot Objective'!$C$9^3)*V2677*W2677</f>
        <v>0</v>
      </c>
      <c r="Y2677" s="166">
        <v>0</v>
      </c>
      <c r="Z2677" s="166">
        <v>0</v>
      </c>
      <c r="AA2677" s="164">
        <f>($L2677*'Pivot Objective'!$C$9^4)*Y2677*Z2677</f>
        <v>0</v>
      </c>
      <c r="AB2677" s="166">
        <v>0</v>
      </c>
      <c r="AC2677" s="166">
        <v>0</v>
      </c>
      <c r="AD2677" s="164">
        <f>($L2677*'Pivot Objective'!$C$9^5)*AB2677*AC2677</f>
        <v>0</v>
      </c>
      <c r="AE2677" s="166">
        <v>0</v>
      </c>
      <c r="AF2677" s="166">
        <v>0</v>
      </c>
      <c r="AG2677" s="164">
        <f>($L2677*'Pivot Objective'!$C$9^6)*AE2677*AF2677</f>
        <v>0</v>
      </c>
      <c r="AH2677" s="166">
        <v>0</v>
      </c>
      <c r="AI2677" s="166">
        <v>0</v>
      </c>
      <c r="AJ2677" s="164">
        <f>($L2677*'Pivot Objective'!$C$9^7)*AH2677*AI2677</f>
        <v>0</v>
      </c>
      <c r="AK2677" s="185">
        <f t="shared" si="291"/>
        <v>0</v>
      </c>
      <c r="AL2677" s="186">
        <f t="shared" si="292"/>
        <v>0</v>
      </c>
    </row>
    <row r="2678" spans="1:38" customFormat="1" ht="57.6" x14ac:dyDescent="0.3">
      <c r="A2678" s="140" t="s">
        <v>1489</v>
      </c>
      <c r="B2678" s="140">
        <v>4</v>
      </c>
      <c r="C2678" s="166" t="s">
        <v>697</v>
      </c>
      <c r="D2678" s="140" t="str">
        <f t="shared" si="294"/>
        <v>3</v>
      </c>
      <c r="E2678" s="166" t="s">
        <v>694</v>
      </c>
      <c r="F2678" s="140">
        <f t="shared" si="296"/>
        <v>3</v>
      </c>
      <c r="G2678" s="140" t="str">
        <f t="shared" si="295"/>
        <v>4.3.3</v>
      </c>
      <c r="H2678" s="166" t="s">
        <v>677</v>
      </c>
      <c r="I2678" s="166" t="s">
        <v>130</v>
      </c>
      <c r="J2678" s="166" t="s">
        <v>596</v>
      </c>
      <c r="K2678" s="166" t="s">
        <v>717</v>
      </c>
      <c r="L2678" s="167">
        <v>104850</v>
      </c>
      <c r="M2678" s="166">
        <v>0</v>
      </c>
      <c r="N2678" s="166">
        <v>0</v>
      </c>
      <c r="O2678" s="164">
        <f t="shared" si="290"/>
        <v>0</v>
      </c>
      <c r="P2678" s="166">
        <v>0</v>
      </c>
      <c r="Q2678" s="166">
        <v>0</v>
      </c>
      <c r="R2678" s="164">
        <f>$L2678*'Pivot Objective'!$C$9*P2678*Q2678</f>
        <v>0</v>
      </c>
      <c r="S2678" s="166">
        <v>0</v>
      </c>
      <c r="T2678" s="166">
        <v>0</v>
      </c>
      <c r="U2678" s="164">
        <f>($L2678*'Pivot Objective'!$C$9^2)*S2678*T2678</f>
        <v>0</v>
      </c>
      <c r="V2678" s="166">
        <v>0</v>
      </c>
      <c r="W2678" s="166">
        <v>0</v>
      </c>
      <c r="X2678" s="164">
        <f>($L2678*'Pivot Objective'!$C$9^3)*V2678*W2678</f>
        <v>0</v>
      </c>
      <c r="Y2678" s="166">
        <v>0</v>
      </c>
      <c r="Z2678" s="166">
        <v>0</v>
      </c>
      <c r="AA2678" s="164">
        <f>($L2678*'Pivot Objective'!$C$9^4)*Y2678*Z2678</f>
        <v>0</v>
      </c>
      <c r="AB2678" s="166">
        <v>0</v>
      </c>
      <c r="AC2678" s="166">
        <v>0</v>
      </c>
      <c r="AD2678" s="164">
        <f>($L2678*'Pivot Objective'!$C$9^5)*AB2678*AC2678</f>
        <v>0</v>
      </c>
      <c r="AE2678" s="166">
        <v>0</v>
      </c>
      <c r="AF2678" s="166">
        <v>0</v>
      </c>
      <c r="AG2678" s="164">
        <f>($L2678*'Pivot Objective'!$C$9^6)*AE2678*AF2678</f>
        <v>0</v>
      </c>
      <c r="AH2678" s="166">
        <v>0</v>
      </c>
      <c r="AI2678" s="166">
        <v>0</v>
      </c>
      <c r="AJ2678" s="164">
        <f>($L2678*'Pivot Objective'!$C$9^7)*AH2678*AI2678</f>
        <v>0</v>
      </c>
      <c r="AK2678" s="185">
        <f t="shared" si="291"/>
        <v>0</v>
      </c>
      <c r="AL2678" s="186">
        <f t="shared" si="292"/>
        <v>0</v>
      </c>
    </row>
    <row r="2679" spans="1:38" customFormat="1" ht="57.6" x14ac:dyDescent="0.3">
      <c r="A2679" s="140" t="s">
        <v>1489</v>
      </c>
      <c r="B2679" s="140">
        <v>4</v>
      </c>
      <c r="C2679" s="166" t="s">
        <v>697</v>
      </c>
      <c r="D2679" s="140" t="str">
        <f t="shared" si="294"/>
        <v>3</v>
      </c>
      <c r="E2679" s="166" t="s">
        <v>694</v>
      </c>
      <c r="F2679" s="140">
        <f t="shared" si="296"/>
        <v>3</v>
      </c>
      <c r="G2679" s="140" t="str">
        <f t="shared" si="295"/>
        <v>4.3.3</v>
      </c>
      <c r="H2679" s="166" t="s">
        <v>677</v>
      </c>
      <c r="I2679" s="166" t="s">
        <v>131</v>
      </c>
      <c r="J2679" s="166" t="s">
        <v>806</v>
      </c>
      <c r="K2679" s="166" t="s">
        <v>718</v>
      </c>
      <c r="L2679" s="167">
        <v>0</v>
      </c>
      <c r="M2679" s="166">
        <v>0</v>
      </c>
      <c r="N2679" s="166">
        <v>0</v>
      </c>
      <c r="O2679" s="164">
        <f t="shared" si="290"/>
        <v>0</v>
      </c>
      <c r="P2679" s="166">
        <v>0</v>
      </c>
      <c r="Q2679" s="166">
        <v>0</v>
      </c>
      <c r="R2679" s="164">
        <f>$L2679*'Pivot Objective'!$C$9*P2679*Q2679</f>
        <v>0</v>
      </c>
      <c r="S2679" s="166">
        <v>0</v>
      </c>
      <c r="T2679" s="166">
        <v>0</v>
      </c>
      <c r="U2679" s="164">
        <f>($L2679*'Pivot Objective'!$C$9^2)*S2679*T2679</f>
        <v>0</v>
      </c>
      <c r="V2679" s="166">
        <v>0</v>
      </c>
      <c r="W2679" s="166">
        <v>0</v>
      </c>
      <c r="X2679" s="164">
        <f>($L2679*'Pivot Objective'!$C$9^3)*V2679*W2679</f>
        <v>0</v>
      </c>
      <c r="Y2679" s="166">
        <v>0</v>
      </c>
      <c r="Z2679" s="166">
        <v>0</v>
      </c>
      <c r="AA2679" s="164">
        <f>($L2679*'Pivot Objective'!$C$9^4)*Y2679*Z2679</f>
        <v>0</v>
      </c>
      <c r="AB2679" s="166">
        <v>0</v>
      </c>
      <c r="AC2679" s="166">
        <v>0</v>
      </c>
      <c r="AD2679" s="164">
        <f>($L2679*'Pivot Objective'!$C$9^5)*AB2679*AC2679</f>
        <v>0</v>
      </c>
      <c r="AE2679" s="166">
        <v>0</v>
      </c>
      <c r="AF2679" s="166">
        <v>0</v>
      </c>
      <c r="AG2679" s="164">
        <f>($L2679*'Pivot Objective'!$C$9^6)*AE2679*AF2679</f>
        <v>0</v>
      </c>
      <c r="AH2679" s="166">
        <v>0</v>
      </c>
      <c r="AI2679" s="166">
        <v>0</v>
      </c>
      <c r="AJ2679" s="164">
        <f>($L2679*'Pivot Objective'!$C$9^7)*AH2679*AI2679</f>
        <v>0</v>
      </c>
      <c r="AK2679" s="185">
        <f t="shared" si="291"/>
        <v>0</v>
      </c>
      <c r="AL2679" s="186">
        <f t="shared" si="292"/>
        <v>0</v>
      </c>
    </row>
    <row r="2680" spans="1:38" customFormat="1" ht="57.6" x14ac:dyDescent="0.3">
      <c r="A2680" s="140" t="s">
        <v>1489</v>
      </c>
      <c r="B2680" s="140">
        <v>4</v>
      </c>
      <c r="C2680" s="166" t="s">
        <v>697</v>
      </c>
      <c r="D2680" s="140" t="str">
        <f t="shared" si="294"/>
        <v>3</v>
      </c>
      <c r="E2680" s="166" t="s">
        <v>694</v>
      </c>
      <c r="F2680" s="140">
        <f t="shared" si="296"/>
        <v>4</v>
      </c>
      <c r="G2680" s="140" t="str">
        <f t="shared" si="295"/>
        <v>4.3.4</v>
      </c>
      <c r="H2680" s="166" t="s">
        <v>678</v>
      </c>
      <c r="I2680" s="166" t="s">
        <v>132</v>
      </c>
      <c r="J2680" s="166" t="s">
        <v>598</v>
      </c>
      <c r="K2680" s="166" t="s">
        <v>718</v>
      </c>
      <c r="L2680" s="167">
        <v>0</v>
      </c>
      <c r="M2680" s="166">
        <v>0</v>
      </c>
      <c r="N2680" s="166">
        <v>0</v>
      </c>
      <c r="O2680" s="164">
        <f t="shared" si="290"/>
        <v>0</v>
      </c>
      <c r="P2680" s="166">
        <v>0</v>
      </c>
      <c r="Q2680" s="166">
        <v>0</v>
      </c>
      <c r="R2680" s="164">
        <f>$L2680*'Pivot Objective'!$C$9*P2680*Q2680</f>
        <v>0</v>
      </c>
      <c r="S2680" s="166">
        <v>0</v>
      </c>
      <c r="T2680" s="166">
        <v>0</v>
      </c>
      <c r="U2680" s="164">
        <f>($L2680*'Pivot Objective'!$C$9^2)*S2680*T2680</f>
        <v>0</v>
      </c>
      <c r="V2680" s="166">
        <v>0</v>
      </c>
      <c r="W2680" s="166">
        <v>0</v>
      </c>
      <c r="X2680" s="164">
        <f>($L2680*'Pivot Objective'!$C$9^3)*V2680*W2680</f>
        <v>0</v>
      </c>
      <c r="Y2680" s="166">
        <v>0</v>
      </c>
      <c r="Z2680" s="166">
        <v>0</v>
      </c>
      <c r="AA2680" s="164">
        <f>($L2680*'Pivot Objective'!$C$9^4)*Y2680*Z2680</f>
        <v>0</v>
      </c>
      <c r="AB2680" s="166">
        <v>0</v>
      </c>
      <c r="AC2680" s="166">
        <v>0</v>
      </c>
      <c r="AD2680" s="164">
        <f>($L2680*'Pivot Objective'!$C$9^5)*AB2680*AC2680</f>
        <v>0</v>
      </c>
      <c r="AE2680" s="166">
        <v>0</v>
      </c>
      <c r="AF2680" s="166">
        <v>0</v>
      </c>
      <c r="AG2680" s="164">
        <f>($L2680*'Pivot Objective'!$C$9^6)*AE2680*AF2680</f>
        <v>0</v>
      </c>
      <c r="AH2680" s="166">
        <v>0</v>
      </c>
      <c r="AI2680" s="166">
        <v>0</v>
      </c>
      <c r="AJ2680" s="164">
        <f>($L2680*'Pivot Objective'!$C$9^7)*AH2680*AI2680</f>
        <v>0</v>
      </c>
      <c r="AK2680" s="185">
        <f t="shared" si="291"/>
        <v>0</v>
      </c>
      <c r="AL2680" s="186">
        <f t="shared" si="292"/>
        <v>0</v>
      </c>
    </row>
    <row r="2681" spans="1:38" customFormat="1" ht="57.6" x14ac:dyDescent="0.3">
      <c r="A2681" s="140" t="s">
        <v>1489</v>
      </c>
      <c r="B2681" s="140">
        <v>4</v>
      </c>
      <c r="C2681" s="166" t="s">
        <v>697</v>
      </c>
      <c r="D2681" s="140" t="str">
        <f t="shared" si="294"/>
        <v>3</v>
      </c>
      <c r="E2681" s="166" t="s">
        <v>694</v>
      </c>
      <c r="F2681" s="140">
        <f t="shared" si="296"/>
        <v>4</v>
      </c>
      <c r="G2681" s="140" t="str">
        <f t="shared" si="295"/>
        <v>4.3.4</v>
      </c>
      <c r="H2681" s="166" t="s">
        <v>678</v>
      </c>
      <c r="I2681" s="166" t="s">
        <v>132</v>
      </c>
      <c r="J2681" s="166" t="s">
        <v>149</v>
      </c>
      <c r="K2681" s="166" t="s">
        <v>707</v>
      </c>
      <c r="L2681" s="167">
        <v>391991.03749999998</v>
      </c>
      <c r="M2681" s="166">
        <v>2</v>
      </c>
      <c r="N2681" s="166">
        <v>2</v>
      </c>
      <c r="O2681" s="164">
        <f t="shared" si="290"/>
        <v>1567964.15</v>
      </c>
      <c r="P2681" s="166">
        <v>0</v>
      </c>
      <c r="Q2681" s="166">
        <v>0</v>
      </c>
      <c r="R2681" s="164">
        <f>$L2681*'Pivot Objective'!$C$9*P2681*Q2681</f>
        <v>0</v>
      </c>
      <c r="S2681" s="166">
        <v>2</v>
      </c>
      <c r="T2681" s="166">
        <v>2</v>
      </c>
      <c r="U2681" s="164">
        <f>($L2681*'Pivot Objective'!$C$9^2)*S2681*T2681</f>
        <v>2048182.3883307995</v>
      </c>
      <c r="V2681" s="166">
        <v>0</v>
      </c>
      <c r="W2681" s="166">
        <v>0</v>
      </c>
      <c r="X2681" s="164">
        <f>($L2681*'Pivot Objective'!$C$9^3)*V2681*W2681</f>
        <v>0</v>
      </c>
      <c r="Y2681" s="166">
        <v>0</v>
      </c>
      <c r="Z2681" s="166">
        <v>0</v>
      </c>
      <c r="AA2681" s="164">
        <f>($L2681*'Pivot Objective'!$C$9^4)*Y2681*Z2681</f>
        <v>0</v>
      </c>
      <c r="AB2681" s="166">
        <v>2</v>
      </c>
      <c r="AC2681" s="166">
        <v>2</v>
      </c>
      <c r="AD2681" s="164">
        <f>($L2681*'Pivot Objective'!$C$9^5)*AB2681*AC2681</f>
        <v>3057858.4341109009</v>
      </c>
      <c r="AE2681" s="166">
        <v>0</v>
      </c>
      <c r="AF2681" s="166">
        <v>0</v>
      </c>
      <c r="AG2681" s="164">
        <f>($L2681*'Pivot Objective'!$C$9^6)*AE2681*AF2681</f>
        <v>0</v>
      </c>
      <c r="AH2681" s="166">
        <v>0</v>
      </c>
      <c r="AI2681" s="166">
        <v>0</v>
      </c>
      <c r="AJ2681" s="164">
        <f>($L2681*'Pivot Objective'!$C$9^7)*AH2681*AI2681</f>
        <v>0</v>
      </c>
      <c r="AK2681" s="185">
        <f t="shared" si="291"/>
        <v>6674004.9724417003</v>
      </c>
      <c r="AL2681" s="186">
        <f t="shared" si="292"/>
        <v>6479.6164780987383</v>
      </c>
    </row>
    <row r="2682" spans="1:38" customFormat="1" ht="57.6" x14ac:dyDescent="0.3">
      <c r="A2682" s="140" t="s">
        <v>1489</v>
      </c>
      <c r="B2682" s="140">
        <v>4</v>
      </c>
      <c r="C2682" s="166" t="s">
        <v>697</v>
      </c>
      <c r="D2682" s="140" t="str">
        <f t="shared" si="294"/>
        <v>3</v>
      </c>
      <c r="E2682" s="166" t="s">
        <v>694</v>
      </c>
      <c r="F2682" s="140">
        <f t="shared" si="296"/>
        <v>4</v>
      </c>
      <c r="G2682" s="140" t="str">
        <f t="shared" si="295"/>
        <v>4.3.4</v>
      </c>
      <c r="H2682" s="166" t="s">
        <v>678</v>
      </c>
      <c r="I2682" s="166" t="s">
        <v>132</v>
      </c>
      <c r="J2682" s="166" t="s">
        <v>149</v>
      </c>
      <c r="K2682" s="166" t="s">
        <v>708</v>
      </c>
      <c r="L2682" s="167">
        <v>511000</v>
      </c>
      <c r="M2682" s="166">
        <v>0</v>
      </c>
      <c r="N2682" s="166"/>
      <c r="O2682" s="164">
        <f t="shared" si="290"/>
        <v>0</v>
      </c>
      <c r="P2682" s="166">
        <v>0</v>
      </c>
      <c r="Q2682" s="166">
        <v>0</v>
      </c>
      <c r="R2682" s="164">
        <f>$L2682*'Pivot Objective'!$C$9*P2682*Q2682</f>
        <v>0</v>
      </c>
      <c r="S2682" s="166">
        <v>0</v>
      </c>
      <c r="T2682" s="166"/>
      <c r="U2682" s="164">
        <f>($L2682*'Pivot Objective'!$C$9^2)*S2682*T2682</f>
        <v>0</v>
      </c>
      <c r="V2682" s="166">
        <v>0</v>
      </c>
      <c r="W2682" s="166">
        <v>0</v>
      </c>
      <c r="X2682" s="164">
        <f>($L2682*'Pivot Objective'!$C$9^3)*V2682*W2682</f>
        <v>0</v>
      </c>
      <c r="Y2682" s="166">
        <v>0</v>
      </c>
      <c r="Z2682" s="166">
        <v>0</v>
      </c>
      <c r="AA2682" s="164">
        <f>($L2682*'Pivot Objective'!$C$9^4)*Y2682*Z2682</f>
        <v>0</v>
      </c>
      <c r="AB2682" s="166">
        <v>0</v>
      </c>
      <c r="AC2682" s="166"/>
      <c r="AD2682" s="164">
        <f>($L2682*'Pivot Objective'!$C$9^5)*AB2682*AC2682</f>
        <v>0</v>
      </c>
      <c r="AE2682" s="166">
        <v>0</v>
      </c>
      <c r="AF2682" s="166">
        <v>0</v>
      </c>
      <c r="AG2682" s="164">
        <f>($L2682*'Pivot Objective'!$C$9^6)*AE2682*AF2682</f>
        <v>0</v>
      </c>
      <c r="AH2682" s="166">
        <v>0</v>
      </c>
      <c r="AI2682" s="166">
        <v>0</v>
      </c>
      <c r="AJ2682" s="164">
        <f>($L2682*'Pivot Objective'!$C$9^7)*AH2682*AI2682</f>
        <v>0</v>
      </c>
      <c r="AK2682" s="185">
        <f t="shared" si="291"/>
        <v>0</v>
      </c>
      <c r="AL2682" s="186">
        <f t="shared" si="292"/>
        <v>0</v>
      </c>
    </row>
    <row r="2683" spans="1:38" customFormat="1" ht="57.6" x14ac:dyDescent="0.3">
      <c r="A2683" s="140" t="s">
        <v>1489</v>
      </c>
      <c r="B2683" s="140">
        <v>4</v>
      </c>
      <c r="C2683" s="166" t="s">
        <v>697</v>
      </c>
      <c r="D2683" s="140" t="str">
        <f t="shared" si="294"/>
        <v>3</v>
      </c>
      <c r="E2683" s="166" t="s">
        <v>694</v>
      </c>
      <c r="F2683" s="140">
        <f t="shared" si="296"/>
        <v>4</v>
      </c>
      <c r="G2683" s="140" t="str">
        <f t="shared" si="295"/>
        <v>4.3.4</v>
      </c>
      <c r="H2683" s="166" t="s">
        <v>678</v>
      </c>
      <c r="I2683" s="166" t="s">
        <v>132</v>
      </c>
      <c r="J2683" s="166" t="s">
        <v>599</v>
      </c>
      <c r="K2683" s="166" t="s">
        <v>716</v>
      </c>
      <c r="L2683" s="167">
        <v>39000</v>
      </c>
      <c r="M2683" s="166">
        <v>25</v>
      </c>
      <c r="N2683" s="166">
        <v>12</v>
      </c>
      <c r="O2683" s="164">
        <f t="shared" si="290"/>
        <v>11700000</v>
      </c>
      <c r="P2683" s="166">
        <v>0</v>
      </c>
      <c r="Q2683" s="166">
        <v>0</v>
      </c>
      <c r="R2683" s="164">
        <f>$L2683*'Pivot Objective'!$C$9*P2683*Q2683</f>
        <v>0</v>
      </c>
      <c r="S2683" s="166">
        <v>25</v>
      </c>
      <c r="T2683" s="166">
        <v>12</v>
      </c>
      <c r="U2683" s="164">
        <f>($L2683*'Pivot Objective'!$C$9^2)*S2683*T2683</f>
        <v>15283343.017421894</v>
      </c>
      <c r="V2683" s="166">
        <v>0</v>
      </c>
      <c r="W2683" s="166">
        <v>0</v>
      </c>
      <c r="X2683" s="164">
        <f>($L2683*'Pivot Objective'!$C$9^3)*V2683*W2683</f>
        <v>0</v>
      </c>
      <c r="Y2683" s="166">
        <v>0</v>
      </c>
      <c r="Z2683" s="166">
        <v>0</v>
      </c>
      <c r="AA2683" s="164">
        <f>($L2683*'Pivot Objective'!$C$9^4)*Y2683*Z2683</f>
        <v>0</v>
      </c>
      <c r="AB2683" s="166">
        <v>25</v>
      </c>
      <c r="AC2683" s="166">
        <v>12</v>
      </c>
      <c r="AD2683" s="164">
        <f>($L2683*'Pivot Objective'!$C$9^5)*AB2683*AC2683</f>
        <v>22817450.054006364</v>
      </c>
      <c r="AE2683" s="166">
        <v>0</v>
      </c>
      <c r="AF2683" s="166">
        <v>0</v>
      </c>
      <c r="AG2683" s="164">
        <f>($L2683*'Pivot Objective'!$C$9^6)*AE2683*AF2683</f>
        <v>0</v>
      </c>
      <c r="AH2683" s="166">
        <v>0</v>
      </c>
      <c r="AI2683" s="166">
        <v>0</v>
      </c>
      <c r="AJ2683" s="164">
        <f>($L2683*'Pivot Objective'!$C$9^7)*AH2683*AI2683</f>
        <v>0</v>
      </c>
      <c r="AK2683" s="185">
        <f t="shared" si="291"/>
        <v>49800793.071428254</v>
      </c>
      <c r="AL2683" s="186">
        <f t="shared" si="292"/>
        <v>48350.284535367238</v>
      </c>
    </row>
    <row r="2684" spans="1:38" customFormat="1" ht="57.6" x14ac:dyDescent="0.3">
      <c r="A2684" s="140" t="s">
        <v>1489</v>
      </c>
      <c r="B2684" s="140">
        <v>4</v>
      </c>
      <c r="C2684" s="166" t="s">
        <v>697</v>
      </c>
      <c r="D2684" s="140" t="str">
        <f t="shared" si="294"/>
        <v>3</v>
      </c>
      <c r="E2684" s="166" t="s">
        <v>694</v>
      </c>
      <c r="F2684" s="140">
        <f t="shared" si="296"/>
        <v>4</v>
      </c>
      <c r="G2684" s="140" t="str">
        <f t="shared" si="295"/>
        <v>4.3.4</v>
      </c>
      <c r="H2684" s="166" t="s">
        <v>678</v>
      </c>
      <c r="I2684" s="166" t="s">
        <v>132</v>
      </c>
      <c r="J2684" s="166" t="s">
        <v>599</v>
      </c>
      <c r="K2684" s="166" t="s">
        <v>709</v>
      </c>
      <c r="L2684" s="167">
        <v>35000</v>
      </c>
      <c r="M2684" s="166">
        <v>25</v>
      </c>
      <c r="N2684" s="166">
        <v>10</v>
      </c>
      <c r="O2684" s="164">
        <f t="shared" si="290"/>
        <v>8750000</v>
      </c>
      <c r="P2684" s="166">
        <v>0</v>
      </c>
      <c r="Q2684" s="166">
        <v>0</v>
      </c>
      <c r="R2684" s="164">
        <f>$L2684*'Pivot Objective'!$C$9*P2684*Q2684</f>
        <v>0</v>
      </c>
      <c r="S2684" s="166">
        <v>25</v>
      </c>
      <c r="T2684" s="166">
        <v>10</v>
      </c>
      <c r="U2684" s="164">
        <f>($L2684*'Pivot Objective'!$C$9^2)*S2684*T2684</f>
        <v>11429850.547217228</v>
      </c>
      <c r="V2684" s="166">
        <v>0</v>
      </c>
      <c r="W2684" s="166">
        <v>0</v>
      </c>
      <c r="X2684" s="164">
        <f>($L2684*'Pivot Objective'!$C$9^3)*V2684*W2684</f>
        <v>0</v>
      </c>
      <c r="Y2684" s="166">
        <v>0</v>
      </c>
      <c r="Z2684" s="166">
        <v>0</v>
      </c>
      <c r="AA2684" s="164">
        <f>($L2684*'Pivot Objective'!$C$9^4)*Y2684*Z2684</f>
        <v>0</v>
      </c>
      <c r="AB2684" s="166">
        <v>25</v>
      </c>
      <c r="AC2684" s="166">
        <v>10</v>
      </c>
      <c r="AD2684" s="164">
        <f>($L2684*'Pivot Objective'!$C$9^5)*AB2684*AC2684</f>
        <v>17064332.305346638</v>
      </c>
      <c r="AE2684" s="166">
        <v>0</v>
      </c>
      <c r="AF2684" s="166">
        <v>0</v>
      </c>
      <c r="AG2684" s="164">
        <f>($L2684*'Pivot Objective'!$C$9^6)*AE2684*AF2684</f>
        <v>0</v>
      </c>
      <c r="AH2684" s="166">
        <v>0</v>
      </c>
      <c r="AI2684" s="166">
        <v>0</v>
      </c>
      <c r="AJ2684" s="164">
        <f>($L2684*'Pivot Objective'!$C$9^7)*AH2684*AI2684</f>
        <v>0</v>
      </c>
      <c r="AK2684" s="185">
        <f t="shared" si="291"/>
        <v>37244182.852563865</v>
      </c>
      <c r="AL2684" s="186">
        <f t="shared" si="292"/>
        <v>36159.400827731908</v>
      </c>
    </row>
    <row r="2685" spans="1:38" customFormat="1" ht="57.6" x14ac:dyDescent="0.3">
      <c r="A2685" s="140" t="s">
        <v>1489</v>
      </c>
      <c r="B2685" s="140">
        <v>4</v>
      </c>
      <c r="C2685" s="166" t="s">
        <v>697</v>
      </c>
      <c r="D2685" s="140" t="str">
        <f t="shared" si="294"/>
        <v>3</v>
      </c>
      <c r="E2685" s="166" t="s">
        <v>694</v>
      </c>
      <c r="F2685" s="140">
        <f t="shared" si="296"/>
        <v>4</v>
      </c>
      <c r="G2685" s="140" t="str">
        <f t="shared" si="295"/>
        <v>4.3.4</v>
      </c>
      <c r="H2685" s="166" t="s">
        <v>678</v>
      </c>
      <c r="I2685" s="166" t="s">
        <v>132</v>
      </c>
      <c r="J2685" s="166" t="s">
        <v>599</v>
      </c>
      <c r="K2685" s="166" t="s">
        <v>712</v>
      </c>
      <c r="L2685" s="167">
        <v>211.42857142857142</v>
      </c>
      <c r="M2685" s="166">
        <v>450</v>
      </c>
      <c r="N2685" s="166">
        <v>10</v>
      </c>
      <c r="O2685" s="164">
        <f t="shared" si="290"/>
        <v>951428.57142857136</v>
      </c>
      <c r="P2685" s="166">
        <v>0</v>
      </c>
      <c r="Q2685" s="166">
        <v>0</v>
      </c>
      <c r="R2685" s="164">
        <f>$L2685*'Pivot Objective'!$C$9*P2685*Q2685</f>
        <v>0</v>
      </c>
      <c r="S2685" s="166">
        <v>450</v>
      </c>
      <c r="T2685" s="166">
        <v>10</v>
      </c>
      <c r="U2685" s="164">
        <f>($L2685*'Pivot Objective'!$C$9^2)*S2685*T2685</f>
        <v>1242821.3003178244</v>
      </c>
      <c r="V2685" s="166">
        <v>0</v>
      </c>
      <c r="W2685" s="166">
        <v>0</v>
      </c>
      <c r="X2685" s="164">
        <f>($L2685*'Pivot Objective'!$C$9^3)*V2685*W2685</f>
        <v>0</v>
      </c>
      <c r="Y2685" s="166">
        <v>0</v>
      </c>
      <c r="Z2685" s="166">
        <v>0</v>
      </c>
      <c r="AA2685" s="164">
        <f>($L2685*'Pivot Objective'!$C$9^4)*Y2685*Z2685</f>
        <v>0</v>
      </c>
      <c r="AB2685" s="166">
        <v>450</v>
      </c>
      <c r="AC2685" s="166">
        <v>10</v>
      </c>
      <c r="AD2685" s="164">
        <f>($L2685*'Pivot Objective'!$C$9^5)*AB2685*AC2685</f>
        <v>1855484.9494466712</v>
      </c>
      <c r="AE2685" s="166">
        <v>0</v>
      </c>
      <c r="AF2685" s="166">
        <v>0</v>
      </c>
      <c r="AG2685" s="164">
        <f>($L2685*'Pivot Objective'!$C$9^6)*AE2685*AF2685</f>
        <v>0</v>
      </c>
      <c r="AH2685" s="166">
        <v>0</v>
      </c>
      <c r="AI2685" s="166">
        <v>0</v>
      </c>
      <c r="AJ2685" s="164">
        <f>($L2685*'Pivot Objective'!$C$9^7)*AH2685*AI2685</f>
        <v>0</v>
      </c>
      <c r="AK2685" s="185">
        <f t="shared" si="291"/>
        <v>4049734.8211930669</v>
      </c>
      <c r="AL2685" s="186">
        <f t="shared" si="292"/>
        <v>3931.7813797990939</v>
      </c>
    </row>
    <row r="2686" spans="1:38" customFormat="1" ht="57.6" x14ac:dyDescent="0.3">
      <c r="A2686" s="140" t="s">
        <v>1489</v>
      </c>
      <c r="B2686" s="140">
        <v>4</v>
      </c>
      <c r="C2686" s="166" t="s">
        <v>697</v>
      </c>
      <c r="D2686" s="140" t="str">
        <f t="shared" si="294"/>
        <v>3</v>
      </c>
      <c r="E2686" s="166" t="s">
        <v>694</v>
      </c>
      <c r="F2686" s="140">
        <f t="shared" si="296"/>
        <v>4</v>
      </c>
      <c r="G2686" s="140" t="str">
        <f t="shared" si="295"/>
        <v>4.3.4</v>
      </c>
      <c r="H2686" s="166" t="s">
        <v>678</v>
      </c>
      <c r="I2686" s="166" t="s">
        <v>132</v>
      </c>
      <c r="J2686" s="166" t="s">
        <v>599</v>
      </c>
      <c r="K2686" s="166" t="s">
        <v>1299</v>
      </c>
      <c r="L2686" s="167">
        <v>211.42857142857142</v>
      </c>
      <c r="M2686" s="166">
        <v>2430</v>
      </c>
      <c r="N2686" s="166">
        <v>2</v>
      </c>
      <c r="O2686" s="164">
        <f t="shared" si="290"/>
        <v>1027542.857142857</v>
      </c>
      <c r="P2686" s="166"/>
      <c r="Q2686" s="166"/>
      <c r="R2686" s="164">
        <f>$L2686*'Pivot Objective'!$C$9*P2686*Q2686</f>
        <v>0</v>
      </c>
      <c r="S2686" s="166">
        <v>2430</v>
      </c>
      <c r="T2686" s="166">
        <v>2</v>
      </c>
      <c r="U2686" s="164">
        <f>($L2686*'Pivot Objective'!$C$9^2)*S2686*T2686</f>
        <v>1342247.0043432503</v>
      </c>
      <c r="V2686" s="166"/>
      <c r="W2686" s="166"/>
      <c r="X2686" s="164">
        <f>($L2686*'Pivot Objective'!$C$9^3)*V2686*W2686</f>
        <v>0</v>
      </c>
      <c r="Y2686" s="166"/>
      <c r="Z2686" s="166"/>
      <c r="AA2686" s="164">
        <f>($L2686*'Pivot Objective'!$C$9^4)*Y2686*Z2686</f>
        <v>0</v>
      </c>
      <c r="AB2686" s="166">
        <v>2430</v>
      </c>
      <c r="AC2686" s="166">
        <v>2</v>
      </c>
      <c r="AD2686" s="164">
        <f>($L2686*'Pivot Objective'!$C$9^5)*AB2686*AC2686</f>
        <v>2003923.745402405</v>
      </c>
      <c r="AE2686" s="166"/>
      <c r="AF2686" s="166"/>
      <c r="AG2686" s="164">
        <f>($L2686*'Pivot Objective'!$C$9^6)*AE2686*AF2686</f>
        <v>0</v>
      </c>
      <c r="AH2686" s="166"/>
      <c r="AI2686" s="166"/>
      <c r="AJ2686" s="164">
        <f>($L2686*'Pivot Objective'!$C$9^7)*AH2686*AI2686</f>
        <v>0</v>
      </c>
      <c r="AK2686" s="185">
        <f t="shared" si="291"/>
        <v>4373713.6068885121</v>
      </c>
      <c r="AL2686" s="186">
        <f t="shared" si="292"/>
        <v>4246.3238901830218</v>
      </c>
    </row>
    <row r="2687" spans="1:38" customFormat="1" ht="57.6" x14ac:dyDescent="0.3">
      <c r="A2687" s="140" t="s">
        <v>1489</v>
      </c>
      <c r="B2687" s="140">
        <v>4</v>
      </c>
      <c r="C2687" s="166" t="s">
        <v>697</v>
      </c>
      <c r="D2687" s="140" t="str">
        <f t="shared" si="294"/>
        <v>3</v>
      </c>
      <c r="E2687" s="166" t="s">
        <v>694</v>
      </c>
      <c r="F2687" s="140">
        <f t="shared" si="296"/>
        <v>4</v>
      </c>
      <c r="G2687" s="140" t="str">
        <f t="shared" si="295"/>
        <v>4.3.4</v>
      </c>
      <c r="H2687" s="166" t="s">
        <v>678</v>
      </c>
      <c r="I2687" s="166" t="s">
        <v>133</v>
      </c>
      <c r="J2687" s="166" t="s">
        <v>182</v>
      </c>
      <c r="K2687" s="166" t="s">
        <v>718</v>
      </c>
      <c r="L2687" s="167">
        <v>0</v>
      </c>
      <c r="M2687" s="166">
        <v>0</v>
      </c>
      <c r="N2687" s="166">
        <v>0</v>
      </c>
      <c r="O2687" s="164">
        <f t="shared" si="290"/>
        <v>0</v>
      </c>
      <c r="P2687" s="166">
        <v>0</v>
      </c>
      <c r="Q2687" s="166">
        <v>0</v>
      </c>
      <c r="R2687" s="164">
        <f>$L2687*'Pivot Objective'!$C$9*P2687*Q2687</f>
        <v>0</v>
      </c>
      <c r="S2687" s="166">
        <v>0</v>
      </c>
      <c r="T2687" s="166">
        <v>0</v>
      </c>
      <c r="U2687" s="164">
        <f>($L2687*'Pivot Objective'!$C$9^2)*S2687*T2687</f>
        <v>0</v>
      </c>
      <c r="V2687" s="166">
        <v>0</v>
      </c>
      <c r="W2687" s="166">
        <v>0</v>
      </c>
      <c r="X2687" s="164">
        <f>($L2687*'Pivot Objective'!$C$9^3)*V2687*W2687</f>
        <v>0</v>
      </c>
      <c r="Y2687" s="166">
        <v>0</v>
      </c>
      <c r="Z2687" s="166">
        <v>0</v>
      </c>
      <c r="AA2687" s="164">
        <f>($L2687*'Pivot Objective'!$C$9^4)*Y2687*Z2687</f>
        <v>0</v>
      </c>
      <c r="AB2687" s="166">
        <v>0</v>
      </c>
      <c r="AC2687" s="166">
        <v>0</v>
      </c>
      <c r="AD2687" s="164">
        <f>($L2687*'Pivot Objective'!$C$9^5)*AB2687*AC2687</f>
        <v>0</v>
      </c>
      <c r="AE2687" s="166">
        <v>0</v>
      </c>
      <c r="AF2687" s="166">
        <v>0</v>
      </c>
      <c r="AG2687" s="164">
        <f>($L2687*'Pivot Objective'!$C$9^6)*AE2687*AF2687</f>
        <v>0</v>
      </c>
      <c r="AH2687" s="166">
        <v>0</v>
      </c>
      <c r="AI2687" s="166">
        <v>0</v>
      </c>
      <c r="AJ2687" s="164">
        <f>($L2687*'Pivot Objective'!$C$9^7)*AH2687*AI2687</f>
        <v>0</v>
      </c>
      <c r="AK2687" s="185">
        <f t="shared" si="291"/>
        <v>0</v>
      </c>
      <c r="AL2687" s="186">
        <f t="shared" si="292"/>
        <v>0</v>
      </c>
    </row>
    <row r="2688" spans="1:38" customFormat="1" ht="57.6" x14ac:dyDescent="0.3">
      <c r="A2688" s="140" t="s">
        <v>1489</v>
      </c>
      <c r="B2688" s="140">
        <v>4</v>
      </c>
      <c r="C2688" s="166" t="s">
        <v>697</v>
      </c>
      <c r="D2688" s="140" t="str">
        <f t="shared" si="294"/>
        <v>3</v>
      </c>
      <c r="E2688" s="166" t="s">
        <v>694</v>
      </c>
      <c r="F2688" s="140">
        <f t="shared" si="296"/>
        <v>4</v>
      </c>
      <c r="G2688" s="140" t="str">
        <f t="shared" si="295"/>
        <v>4.3.4</v>
      </c>
      <c r="H2688" s="166" t="s">
        <v>678</v>
      </c>
      <c r="I2688" s="166" t="s">
        <v>133</v>
      </c>
      <c r="J2688" s="166" t="s">
        <v>600</v>
      </c>
      <c r="K2688" s="166" t="s">
        <v>707</v>
      </c>
      <c r="L2688" s="167">
        <v>391991.03749999998</v>
      </c>
      <c r="M2688" s="166">
        <v>2</v>
      </c>
      <c r="N2688" s="166">
        <v>2</v>
      </c>
      <c r="O2688" s="164">
        <f t="shared" si="290"/>
        <v>1567964.15</v>
      </c>
      <c r="P2688" s="166">
        <v>0</v>
      </c>
      <c r="Q2688" s="166">
        <v>0</v>
      </c>
      <c r="R2688" s="164">
        <f>$L2688*'Pivot Objective'!$C$9*P2688*Q2688</f>
        <v>0</v>
      </c>
      <c r="S2688" s="166">
        <v>1</v>
      </c>
      <c r="T2688" s="166">
        <v>4</v>
      </c>
      <c r="U2688" s="164">
        <f>($L2688*'Pivot Objective'!$C$9^2)*S2688*T2688</f>
        <v>2048182.3883307995</v>
      </c>
      <c r="V2688" s="166">
        <v>0</v>
      </c>
      <c r="W2688" s="166">
        <v>0</v>
      </c>
      <c r="X2688" s="164">
        <f>($L2688*'Pivot Objective'!$C$9^3)*V2688*W2688</f>
        <v>0</v>
      </c>
      <c r="Y2688" s="166">
        <v>0</v>
      </c>
      <c r="Z2688" s="166">
        <v>0</v>
      </c>
      <c r="AA2688" s="164">
        <f>($L2688*'Pivot Objective'!$C$9^4)*Y2688*Z2688</f>
        <v>0</v>
      </c>
      <c r="AB2688" s="166">
        <v>0</v>
      </c>
      <c r="AC2688" s="166">
        <v>0</v>
      </c>
      <c r="AD2688" s="164">
        <f>($L2688*'Pivot Objective'!$C$9^5)*AB2688*AC2688</f>
        <v>0</v>
      </c>
      <c r="AE2688" s="166">
        <v>0</v>
      </c>
      <c r="AF2688" s="166">
        <v>0</v>
      </c>
      <c r="AG2688" s="164">
        <f>($L2688*'Pivot Objective'!$C$9^6)*AE2688*AF2688</f>
        <v>0</v>
      </c>
      <c r="AH2688" s="166">
        <v>0</v>
      </c>
      <c r="AI2688" s="166">
        <v>0</v>
      </c>
      <c r="AJ2688" s="164">
        <f>($L2688*'Pivot Objective'!$C$9^7)*AH2688*AI2688</f>
        <v>0</v>
      </c>
      <c r="AK2688" s="185">
        <f t="shared" si="291"/>
        <v>3616146.5383307994</v>
      </c>
      <c r="AL2688" s="186">
        <f t="shared" si="292"/>
        <v>3510.8218818745627</v>
      </c>
    </row>
    <row r="2689" spans="1:38" customFormat="1" ht="57.6" x14ac:dyDescent="0.3">
      <c r="A2689" s="140" t="s">
        <v>1489</v>
      </c>
      <c r="B2689" s="140">
        <v>4</v>
      </c>
      <c r="C2689" s="166" t="s">
        <v>697</v>
      </c>
      <c r="D2689" s="140" t="str">
        <f t="shared" si="294"/>
        <v>3</v>
      </c>
      <c r="E2689" s="166" t="s">
        <v>694</v>
      </c>
      <c r="F2689" s="140">
        <f t="shared" si="296"/>
        <v>4</v>
      </c>
      <c r="G2689" s="140" t="str">
        <f t="shared" si="295"/>
        <v>4.3.4</v>
      </c>
      <c r="H2689" s="166" t="s">
        <v>678</v>
      </c>
      <c r="I2689" s="166" t="s">
        <v>133</v>
      </c>
      <c r="J2689" s="166" t="s">
        <v>600</v>
      </c>
      <c r="K2689" s="166" t="s">
        <v>741</v>
      </c>
      <c r="L2689" s="167">
        <v>42924000</v>
      </c>
      <c r="M2689" s="166">
        <v>0</v>
      </c>
      <c r="N2689" s="166">
        <v>0</v>
      </c>
      <c r="O2689" s="164">
        <f t="shared" si="290"/>
        <v>0</v>
      </c>
      <c r="P2689" s="166">
        <v>0</v>
      </c>
      <c r="Q2689" s="166">
        <v>0</v>
      </c>
      <c r="R2689" s="164">
        <f>$L2689*'Pivot Objective'!$C$9*P2689*Q2689</f>
        <v>0</v>
      </c>
      <c r="S2689" s="166">
        <v>1</v>
      </c>
      <c r="T2689" s="166">
        <v>1</v>
      </c>
      <c r="U2689" s="164">
        <f>($L2689*'Pivot Objective'!$C$9^2)*S2689*T2689</f>
        <v>56070274.844428837</v>
      </c>
      <c r="V2689" s="166">
        <v>1</v>
      </c>
      <c r="W2689" s="166">
        <v>1</v>
      </c>
      <c r="X2689" s="164">
        <f>($L2689*'Pivot Objective'!$C$9^3)*V2689*W2689</f>
        <v>64083900.034286104</v>
      </c>
      <c r="Y2689" s="166">
        <v>1</v>
      </c>
      <c r="Z2689" s="166">
        <v>1</v>
      </c>
      <c r="AA2689" s="164">
        <f>($L2689*'Pivot Objective'!$C$9^4)*Y2689*Z2689</f>
        <v>73242841.327224612</v>
      </c>
      <c r="AB2689" s="166">
        <v>0</v>
      </c>
      <c r="AC2689" s="166">
        <v>0</v>
      </c>
      <c r="AD2689" s="164">
        <f>($L2689*'Pivot Objective'!$C$9^5)*AB2689*AC2689</f>
        <v>0</v>
      </c>
      <c r="AE2689" s="166">
        <v>0</v>
      </c>
      <c r="AF2689" s="166">
        <v>0</v>
      </c>
      <c r="AG2689" s="164">
        <f>($L2689*'Pivot Objective'!$C$9^6)*AE2689*AF2689</f>
        <v>0</v>
      </c>
      <c r="AH2689" s="166">
        <v>0</v>
      </c>
      <c r="AI2689" s="166">
        <v>0</v>
      </c>
      <c r="AJ2689" s="164">
        <f>($L2689*'Pivot Objective'!$C$9^7)*AH2689*AI2689</f>
        <v>0</v>
      </c>
      <c r="AK2689" s="185">
        <f t="shared" si="291"/>
        <v>193397016.20593956</v>
      </c>
      <c r="AL2689" s="186">
        <f t="shared" si="292"/>
        <v>187764.09340382481</v>
      </c>
    </row>
    <row r="2690" spans="1:38" customFormat="1" ht="57.6" x14ac:dyDescent="0.3">
      <c r="A2690" s="140" t="s">
        <v>1489</v>
      </c>
      <c r="B2690" s="140">
        <v>4</v>
      </c>
      <c r="C2690" s="166" t="s">
        <v>697</v>
      </c>
      <c r="D2690" s="140" t="str">
        <f t="shared" si="294"/>
        <v>3</v>
      </c>
      <c r="E2690" s="166" t="s">
        <v>694</v>
      </c>
      <c r="F2690" s="140">
        <f t="shared" si="296"/>
        <v>5</v>
      </c>
      <c r="G2690" s="140" t="str">
        <f t="shared" si="295"/>
        <v>4.3.5</v>
      </c>
      <c r="H2690" s="181" t="s">
        <v>679</v>
      </c>
      <c r="I2690" s="166" t="s">
        <v>135</v>
      </c>
      <c r="J2690" s="166" t="s">
        <v>611</v>
      </c>
      <c r="K2690" s="166" t="s">
        <v>709</v>
      </c>
      <c r="L2690" s="167">
        <v>35000</v>
      </c>
      <c r="M2690" s="166">
        <v>25</v>
      </c>
      <c r="N2690" s="166">
        <v>25</v>
      </c>
      <c r="O2690" s="164">
        <f t="shared" si="290"/>
        <v>21875000</v>
      </c>
      <c r="P2690" s="166">
        <v>20</v>
      </c>
      <c r="Q2690" s="166">
        <v>10</v>
      </c>
      <c r="R2690" s="164">
        <f>$L2690*'Pivot Objective'!$C$9*P2690*Q2690</f>
        <v>8000447.6789999986</v>
      </c>
      <c r="S2690" s="166">
        <v>0</v>
      </c>
      <c r="T2690" s="166">
        <v>0</v>
      </c>
      <c r="U2690" s="164">
        <f>($L2690*'Pivot Objective'!$C$9^2)*S2690*T2690</f>
        <v>0</v>
      </c>
      <c r="V2690" s="166">
        <v>0</v>
      </c>
      <c r="W2690" s="166">
        <v>0</v>
      </c>
      <c r="X2690" s="164">
        <f>($L2690*'Pivot Objective'!$C$9^3)*V2690*W2690</f>
        <v>0</v>
      </c>
      <c r="Y2690" s="166">
        <v>0</v>
      </c>
      <c r="Z2690" s="166">
        <v>0</v>
      </c>
      <c r="AA2690" s="164">
        <f>($L2690*'Pivot Objective'!$C$9^4)*Y2690*Z2690</f>
        <v>0</v>
      </c>
      <c r="AB2690" s="166">
        <v>0</v>
      </c>
      <c r="AC2690" s="166">
        <v>0</v>
      </c>
      <c r="AD2690" s="164">
        <f>($L2690*'Pivot Objective'!$C$9^5)*AB2690*AC2690</f>
        <v>0</v>
      </c>
      <c r="AE2690" s="166">
        <v>0</v>
      </c>
      <c r="AF2690" s="166">
        <v>0</v>
      </c>
      <c r="AG2690" s="164">
        <f>($L2690*'Pivot Objective'!$C$9^6)*AE2690*AF2690</f>
        <v>0</v>
      </c>
      <c r="AH2690" s="166">
        <v>0</v>
      </c>
      <c r="AI2690" s="166">
        <v>0</v>
      </c>
      <c r="AJ2690" s="164">
        <f>($L2690*'Pivot Objective'!$C$9^7)*AH2690*AI2690</f>
        <v>0</v>
      </c>
      <c r="AK2690" s="185">
        <f t="shared" si="291"/>
        <v>29875447.678999998</v>
      </c>
      <c r="AL2690" s="186">
        <f t="shared" si="292"/>
        <v>29005.289008737862</v>
      </c>
    </row>
    <row r="2691" spans="1:38" customFormat="1" ht="57.6" x14ac:dyDescent="0.3">
      <c r="A2691" s="140" t="s">
        <v>1489</v>
      </c>
      <c r="B2691" s="140">
        <v>4</v>
      </c>
      <c r="C2691" s="166" t="s">
        <v>697</v>
      </c>
      <c r="D2691" s="140" t="str">
        <f t="shared" si="294"/>
        <v>3</v>
      </c>
      <c r="E2691" s="166" t="s">
        <v>694</v>
      </c>
      <c r="F2691" s="140">
        <f t="shared" si="296"/>
        <v>5</v>
      </c>
      <c r="G2691" s="140" t="str">
        <f t="shared" si="295"/>
        <v>4.3.5</v>
      </c>
      <c r="H2691" s="181" t="s">
        <v>679</v>
      </c>
      <c r="I2691" s="166" t="s">
        <v>135</v>
      </c>
      <c r="J2691" s="166" t="s">
        <v>611</v>
      </c>
      <c r="K2691" s="166" t="s">
        <v>716</v>
      </c>
      <c r="L2691" s="167">
        <v>39000</v>
      </c>
      <c r="M2691" s="166">
        <v>25</v>
      </c>
      <c r="N2691" s="166">
        <v>30</v>
      </c>
      <c r="O2691" s="164">
        <f t="shared" ref="O2691:O2754" si="297">$L2691*M2691*N2691</f>
        <v>29250000</v>
      </c>
      <c r="P2691" s="166">
        <v>30</v>
      </c>
      <c r="Q2691" s="166">
        <v>10</v>
      </c>
      <c r="R2691" s="164">
        <f>$L2691*'Pivot Objective'!$C$9*P2691*Q2691</f>
        <v>13372176.834899997</v>
      </c>
      <c r="S2691" s="166">
        <v>0</v>
      </c>
      <c r="T2691" s="166">
        <v>0</v>
      </c>
      <c r="U2691" s="164">
        <f>($L2691*'Pivot Objective'!$C$9^2)*S2691*T2691</f>
        <v>0</v>
      </c>
      <c r="V2691" s="166">
        <v>0</v>
      </c>
      <c r="W2691" s="166">
        <v>0</v>
      </c>
      <c r="X2691" s="164">
        <f>($L2691*'Pivot Objective'!$C$9^3)*V2691*W2691</f>
        <v>0</v>
      </c>
      <c r="Y2691" s="166">
        <v>0</v>
      </c>
      <c r="Z2691" s="166">
        <v>0</v>
      </c>
      <c r="AA2691" s="164">
        <f>($L2691*'Pivot Objective'!$C$9^4)*Y2691*Z2691</f>
        <v>0</v>
      </c>
      <c r="AB2691" s="166">
        <v>0</v>
      </c>
      <c r="AC2691" s="166">
        <v>0</v>
      </c>
      <c r="AD2691" s="164">
        <f>($L2691*'Pivot Objective'!$C$9^5)*AB2691*AC2691</f>
        <v>0</v>
      </c>
      <c r="AE2691" s="166">
        <v>0</v>
      </c>
      <c r="AF2691" s="166">
        <v>0</v>
      </c>
      <c r="AG2691" s="164">
        <f>($L2691*'Pivot Objective'!$C$9^6)*AE2691*AF2691</f>
        <v>0</v>
      </c>
      <c r="AH2691" s="166">
        <v>0</v>
      </c>
      <c r="AI2691" s="166">
        <v>0</v>
      </c>
      <c r="AJ2691" s="164">
        <f>($L2691*'Pivot Objective'!$C$9^7)*AH2691*AI2691</f>
        <v>0</v>
      </c>
      <c r="AK2691" s="185">
        <f t="shared" ref="AK2691:AK2754" si="298">O2691+R2691+U2691+X2691+AA2691+AD2691+AG2691+AJ2691</f>
        <v>42622176.834899999</v>
      </c>
      <c r="AL2691" s="186">
        <f t="shared" ref="AL2691:AL2754" si="299">AK2691/$AP$2</f>
        <v>41380.754208640778</v>
      </c>
    </row>
    <row r="2692" spans="1:38" customFormat="1" ht="57.6" x14ac:dyDescent="0.3">
      <c r="A2692" s="140" t="s">
        <v>1489</v>
      </c>
      <c r="B2692" s="140">
        <v>4</v>
      </c>
      <c r="C2692" s="166" t="s">
        <v>697</v>
      </c>
      <c r="D2692" s="140" t="str">
        <f t="shared" si="294"/>
        <v>3</v>
      </c>
      <c r="E2692" s="166" t="s">
        <v>694</v>
      </c>
      <c r="F2692" s="140">
        <f t="shared" si="296"/>
        <v>5</v>
      </c>
      <c r="G2692" s="140" t="str">
        <f t="shared" si="295"/>
        <v>4.3.5</v>
      </c>
      <c r="H2692" s="181" t="s">
        <v>679</v>
      </c>
      <c r="I2692" s="166" t="s">
        <v>135</v>
      </c>
      <c r="J2692" s="166" t="s">
        <v>611</v>
      </c>
      <c r="K2692" s="166" t="s">
        <v>712</v>
      </c>
      <c r="L2692" s="167">
        <v>211.42857142857142</v>
      </c>
      <c r="M2692" s="166">
        <v>450</v>
      </c>
      <c r="N2692" s="166">
        <v>25</v>
      </c>
      <c r="O2692" s="164">
        <f t="shared" si="297"/>
        <v>2378571.4285714282</v>
      </c>
      <c r="P2692" s="166">
        <v>4000</v>
      </c>
      <c r="Q2692" s="166">
        <v>1</v>
      </c>
      <c r="R2692" s="164">
        <f>$L2692*'Pivot Objective'!$C$9*P2692*Q2692</f>
        <v>966584.6991771427</v>
      </c>
      <c r="S2692" s="166">
        <v>0</v>
      </c>
      <c r="T2692" s="166">
        <v>0</v>
      </c>
      <c r="U2692" s="164">
        <f>($L2692*'Pivot Objective'!$C$9^2)*S2692*T2692</f>
        <v>0</v>
      </c>
      <c r="V2692" s="166">
        <v>0</v>
      </c>
      <c r="W2692" s="166">
        <v>0</v>
      </c>
      <c r="X2692" s="164">
        <f>($L2692*'Pivot Objective'!$C$9^3)*V2692*W2692</f>
        <v>0</v>
      </c>
      <c r="Y2692" s="166">
        <v>0</v>
      </c>
      <c r="Z2692" s="166">
        <v>0</v>
      </c>
      <c r="AA2692" s="164">
        <f>($L2692*'Pivot Objective'!$C$9^4)*Y2692*Z2692</f>
        <v>0</v>
      </c>
      <c r="AB2692" s="166">
        <v>0</v>
      </c>
      <c r="AC2692" s="166">
        <v>0</v>
      </c>
      <c r="AD2692" s="164">
        <f>($L2692*'Pivot Objective'!$C$9^5)*AB2692*AC2692</f>
        <v>0</v>
      </c>
      <c r="AE2692" s="166">
        <v>0</v>
      </c>
      <c r="AF2692" s="166">
        <v>0</v>
      </c>
      <c r="AG2692" s="164">
        <f>($L2692*'Pivot Objective'!$C$9^6)*AE2692*AF2692</f>
        <v>0</v>
      </c>
      <c r="AH2692" s="166">
        <v>0</v>
      </c>
      <c r="AI2692" s="166">
        <v>0</v>
      </c>
      <c r="AJ2692" s="164">
        <f>($L2692*'Pivot Objective'!$C$9^7)*AH2692*AI2692</f>
        <v>0</v>
      </c>
      <c r="AK2692" s="185">
        <f t="shared" si="298"/>
        <v>3345156.1277485709</v>
      </c>
      <c r="AL2692" s="186">
        <f t="shared" si="299"/>
        <v>3247.7243958723989</v>
      </c>
    </row>
    <row r="2693" spans="1:38" customFormat="1" ht="57.6" x14ac:dyDescent="0.3">
      <c r="A2693" s="140" t="s">
        <v>1489</v>
      </c>
      <c r="B2693" s="140">
        <v>4</v>
      </c>
      <c r="C2693" s="166" t="s">
        <v>697</v>
      </c>
      <c r="D2693" s="140" t="str">
        <f t="shared" si="294"/>
        <v>3</v>
      </c>
      <c r="E2693" s="166" t="s">
        <v>694</v>
      </c>
      <c r="F2693" s="140">
        <f t="shared" si="296"/>
        <v>5</v>
      </c>
      <c r="G2693" s="140" t="str">
        <f t="shared" si="295"/>
        <v>4.3.5</v>
      </c>
      <c r="H2693" s="181" t="s">
        <v>679</v>
      </c>
      <c r="I2693" s="166" t="s">
        <v>135</v>
      </c>
      <c r="J2693" s="166" t="s">
        <v>611</v>
      </c>
      <c r="K2693" s="166" t="s">
        <v>1299</v>
      </c>
      <c r="L2693" s="167">
        <v>211.42857142857142</v>
      </c>
      <c r="M2693" s="166">
        <v>2430</v>
      </c>
      <c r="N2693" s="166">
        <v>5</v>
      </c>
      <c r="O2693" s="164">
        <f t="shared" si="297"/>
        <v>2568857.1428571427</v>
      </c>
      <c r="P2693" s="166"/>
      <c r="Q2693" s="166"/>
      <c r="R2693" s="164">
        <f>$L2693*'Pivot Objective'!$C$9*P2693*Q2693</f>
        <v>0</v>
      </c>
      <c r="S2693" s="166"/>
      <c r="T2693" s="166"/>
      <c r="U2693" s="164">
        <f>($L2693*'Pivot Objective'!$C$9^2)*S2693*T2693</f>
        <v>0</v>
      </c>
      <c r="V2693" s="166"/>
      <c r="W2693" s="166"/>
      <c r="X2693" s="164">
        <f>($L2693*'Pivot Objective'!$C$9^3)*V2693*W2693</f>
        <v>0</v>
      </c>
      <c r="Y2693" s="166"/>
      <c r="Z2693" s="166"/>
      <c r="AA2693" s="164">
        <f>($L2693*'Pivot Objective'!$C$9^4)*Y2693*Z2693</f>
        <v>0</v>
      </c>
      <c r="AB2693" s="166"/>
      <c r="AC2693" s="166"/>
      <c r="AD2693" s="164">
        <f>($L2693*'Pivot Objective'!$C$9^5)*AB2693*AC2693</f>
        <v>0</v>
      </c>
      <c r="AE2693" s="166"/>
      <c r="AF2693" s="166"/>
      <c r="AG2693" s="164">
        <f>($L2693*'Pivot Objective'!$C$9^6)*AE2693*AF2693</f>
        <v>0</v>
      </c>
      <c r="AH2693" s="166"/>
      <c r="AI2693" s="166"/>
      <c r="AJ2693" s="164">
        <f>($L2693*'Pivot Objective'!$C$9^7)*AH2693*AI2693</f>
        <v>0</v>
      </c>
      <c r="AK2693" s="185">
        <f t="shared" si="298"/>
        <v>2568857.1428571427</v>
      </c>
      <c r="AL2693" s="186">
        <f t="shared" si="299"/>
        <v>2494.0360610263519</v>
      </c>
    </row>
    <row r="2694" spans="1:38" customFormat="1" ht="57.6" x14ac:dyDescent="0.3">
      <c r="A2694" s="140" t="s">
        <v>1489</v>
      </c>
      <c r="B2694" s="140">
        <v>4</v>
      </c>
      <c r="C2694" s="166" t="s">
        <v>697</v>
      </c>
      <c r="D2694" s="140" t="str">
        <f t="shared" si="294"/>
        <v>3</v>
      </c>
      <c r="E2694" s="166" t="s">
        <v>694</v>
      </c>
      <c r="F2694" s="140">
        <f t="shared" si="296"/>
        <v>5</v>
      </c>
      <c r="G2694" s="140" t="str">
        <f t="shared" si="295"/>
        <v>4.3.5</v>
      </c>
      <c r="H2694" s="181" t="s">
        <v>679</v>
      </c>
      <c r="I2694" s="166" t="s">
        <v>135</v>
      </c>
      <c r="J2694" s="166" t="s">
        <v>612</v>
      </c>
      <c r="K2694" s="166" t="s">
        <v>709</v>
      </c>
      <c r="L2694" s="167">
        <v>35000</v>
      </c>
      <c r="M2694" s="166">
        <v>100</v>
      </c>
      <c r="N2694" s="166">
        <v>5</v>
      </c>
      <c r="O2694" s="164">
        <f t="shared" si="297"/>
        <v>17500000</v>
      </c>
      <c r="P2694" s="166">
        <v>30</v>
      </c>
      <c r="Q2694" s="166">
        <v>1</v>
      </c>
      <c r="R2694" s="164">
        <f>$L2694*'Pivot Objective'!$C$9*P2694*Q2694</f>
        <v>1200067.1518499998</v>
      </c>
      <c r="S2694" s="166">
        <v>0</v>
      </c>
      <c r="T2694" s="166">
        <v>0</v>
      </c>
      <c r="U2694" s="164">
        <f>($L2694*'Pivot Objective'!$C$9^2)*S2694*T2694</f>
        <v>0</v>
      </c>
      <c r="V2694" s="166">
        <v>0</v>
      </c>
      <c r="W2694" s="166">
        <v>0</v>
      </c>
      <c r="X2694" s="164">
        <f>($L2694*'Pivot Objective'!$C$9^3)*V2694*W2694</f>
        <v>0</v>
      </c>
      <c r="Y2694" s="166">
        <v>0</v>
      </c>
      <c r="Z2694" s="166">
        <v>0</v>
      </c>
      <c r="AA2694" s="164">
        <f>($L2694*'Pivot Objective'!$C$9^4)*Y2694*Z2694</f>
        <v>0</v>
      </c>
      <c r="AB2694" s="166">
        <v>0</v>
      </c>
      <c r="AC2694" s="166">
        <v>0</v>
      </c>
      <c r="AD2694" s="164">
        <f>($L2694*'Pivot Objective'!$C$9^5)*AB2694*AC2694</f>
        <v>0</v>
      </c>
      <c r="AE2694" s="166">
        <v>0</v>
      </c>
      <c r="AF2694" s="166">
        <v>0</v>
      </c>
      <c r="AG2694" s="164">
        <f>($L2694*'Pivot Objective'!$C$9^6)*AE2694*AF2694</f>
        <v>0</v>
      </c>
      <c r="AH2694" s="166">
        <v>0</v>
      </c>
      <c r="AI2694" s="166">
        <v>0</v>
      </c>
      <c r="AJ2694" s="164">
        <f>($L2694*'Pivot Objective'!$C$9^7)*AH2694*AI2694</f>
        <v>0</v>
      </c>
      <c r="AK2694" s="185">
        <f t="shared" si="298"/>
        <v>18700067.15185</v>
      </c>
      <c r="AL2694" s="186">
        <f t="shared" si="299"/>
        <v>18155.405001796116</v>
      </c>
    </row>
    <row r="2695" spans="1:38" customFormat="1" ht="57.6" x14ac:dyDescent="0.3">
      <c r="A2695" s="140" t="s">
        <v>1489</v>
      </c>
      <c r="B2695" s="140">
        <v>4</v>
      </c>
      <c r="C2695" s="166" t="s">
        <v>697</v>
      </c>
      <c r="D2695" s="140" t="str">
        <f t="shared" si="294"/>
        <v>3</v>
      </c>
      <c r="E2695" s="166" t="s">
        <v>694</v>
      </c>
      <c r="F2695" s="140">
        <f t="shared" si="296"/>
        <v>5</v>
      </c>
      <c r="G2695" s="140" t="str">
        <f t="shared" si="295"/>
        <v>4.3.5</v>
      </c>
      <c r="H2695" s="181" t="s">
        <v>679</v>
      </c>
      <c r="I2695" s="166" t="s">
        <v>135</v>
      </c>
      <c r="J2695" s="166" t="s">
        <v>612</v>
      </c>
      <c r="K2695" s="166" t="s">
        <v>716</v>
      </c>
      <c r="L2695" s="167">
        <v>39000</v>
      </c>
      <c r="M2695" s="166">
        <v>58</v>
      </c>
      <c r="N2695" s="166">
        <v>6</v>
      </c>
      <c r="O2695" s="164">
        <f t="shared" si="297"/>
        <v>13572000</v>
      </c>
      <c r="P2695" s="166"/>
      <c r="Q2695" s="166"/>
      <c r="R2695" s="164">
        <f>$L2695*'Pivot Objective'!$C$9*P2695*Q2695</f>
        <v>0</v>
      </c>
      <c r="S2695" s="166"/>
      <c r="T2695" s="166"/>
      <c r="U2695" s="164">
        <f>($L2695*'Pivot Objective'!$C$9^2)*S2695*T2695</f>
        <v>0</v>
      </c>
      <c r="V2695" s="166"/>
      <c r="W2695" s="166"/>
      <c r="X2695" s="164">
        <f>($L2695*'Pivot Objective'!$C$9^3)*V2695*W2695</f>
        <v>0</v>
      </c>
      <c r="Y2695" s="166"/>
      <c r="Z2695" s="166"/>
      <c r="AA2695" s="164">
        <f>($L2695*'Pivot Objective'!$C$9^4)*Y2695*Z2695</f>
        <v>0</v>
      </c>
      <c r="AB2695" s="166"/>
      <c r="AC2695" s="166"/>
      <c r="AD2695" s="164">
        <f>($L2695*'Pivot Objective'!$C$9^5)*AB2695*AC2695</f>
        <v>0</v>
      </c>
      <c r="AE2695" s="166"/>
      <c r="AF2695" s="166"/>
      <c r="AG2695" s="164">
        <f>($L2695*'Pivot Objective'!$C$9^6)*AE2695*AF2695</f>
        <v>0</v>
      </c>
      <c r="AH2695" s="166"/>
      <c r="AI2695" s="166"/>
      <c r="AJ2695" s="164">
        <f>($L2695*'Pivot Objective'!$C$9^7)*AH2695*AI2695</f>
        <v>0</v>
      </c>
      <c r="AK2695" s="185">
        <f t="shared" si="298"/>
        <v>13572000</v>
      </c>
      <c r="AL2695" s="186">
        <f t="shared" si="299"/>
        <v>13176.699029126214</v>
      </c>
    </row>
    <row r="2696" spans="1:38" customFormat="1" ht="57.6" x14ac:dyDescent="0.3">
      <c r="A2696" s="140" t="s">
        <v>1489</v>
      </c>
      <c r="B2696" s="140">
        <v>4</v>
      </c>
      <c r="C2696" s="166" t="s">
        <v>697</v>
      </c>
      <c r="D2696" s="140" t="str">
        <f t="shared" si="294"/>
        <v>3</v>
      </c>
      <c r="E2696" s="166" t="s">
        <v>694</v>
      </c>
      <c r="F2696" s="140">
        <f t="shared" si="296"/>
        <v>5</v>
      </c>
      <c r="G2696" s="140" t="str">
        <f t="shared" si="295"/>
        <v>4.3.5</v>
      </c>
      <c r="H2696" s="181" t="s">
        <v>679</v>
      </c>
      <c r="I2696" s="166" t="s">
        <v>135</v>
      </c>
      <c r="J2696" s="166" t="s">
        <v>612</v>
      </c>
      <c r="K2696" s="166" t="s">
        <v>712</v>
      </c>
      <c r="L2696" s="167">
        <v>211.42857142857142</v>
      </c>
      <c r="M2696" s="166">
        <v>1450</v>
      </c>
      <c r="N2696" s="166">
        <v>5</v>
      </c>
      <c r="O2696" s="164">
        <f t="shared" si="297"/>
        <v>1532857.142857143</v>
      </c>
      <c r="P2696" s="166"/>
      <c r="Q2696" s="166"/>
      <c r="R2696" s="164">
        <f>$L2696*'Pivot Objective'!$C$9*P2696*Q2696</f>
        <v>0</v>
      </c>
      <c r="S2696" s="166"/>
      <c r="T2696" s="166"/>
      <c r="U2696" s="164">
        <f>($L2696*'Pivot Objective'!$C$9^2)*S2696*T2696</f>
        <v>0</v>
      </c>
      <c r="V2696" s="166"/>
      <c r="W2696" s="166"/>
      <c r="X2696" s="164">
        <f>($L2696*'Pivot Objective'!$C$9^3)*V2696*W2696</f>
        <v>0</v>
      </c>
      <c r="Y2696" s="166"/>
      <c r="Z2696" s="166"/>
      <c r="AA2696" s="164">
        <f>($L2696*'Pivot Objective'!$C$9^4)*Y2696*Z2696</f>
        <v>0</v>
      </c>
      <c r="AB2696" s="166"/>
      <c r="AC2696" s="166"/>
      <c r="AD2696" s="164">
        <f>($L2696*'Pivot Objective'!$C$9^5)*AB2696*AC2696</f>
        <v>0</v>
      </c>
      <c r="AE2696" s="166"/>
      <c r="AF2696" s="166"/>
      <c r="AG2696" s="164">
        <f>($L2696*'Pivot Objective'!$C$9^6)*AE2696*AF2696</f>
        <v>0</v>
      </c>
      <c r="AH2696" s="166"/>
      <c r="AI2696" s="166"/>
      <c r="AJ2696" s="164">
        <f>($L2696*'Pivot Objective'!$C$9^7)*AH2696*AI2696</f>
        <v>0</v>
      </c>
      <c r="AK2696" s="185">
        <f t="shared" si="298"/>
        <v>1532857.142857143</v>
      </c>
      <c r="AL2696" s="186">
        <f t="shared" si="299"/>
        <v>1488.2108183079058</v>
      </c>
    </row>
    <row r="2697" spans="1:38" customFormat="1" ht="57.6" x14ac:dyDescent="0.3">
      <c r="A2697" s="140" t="s">
        <v>1489</v>
      </c>
      <c r="B2697" s="140">
        <v>4</v>
      </c>
      <c r="C2697" s="166" t="s">
        <v>697</v>
      </c>
      <c r="D2697" s="140" t="str">
        <f t="shared" si="294"/>
        <v>3</v>
      </c>
      <c r="E2697" s="166" t="s">
        <v>694</v>
      </c>
      <c r="F2697" s="140">
        <f t="shared" si="296"/>
        <v>5</v>
      </c>
      <c r="G2697" s="140" t="str">
        <f t="shared" si="295"/>
        <v>4.3.5</v>
      </c>
      <c r="H2697" s="181" t="s">
        <v>679</v>
      </c>
      <c r="I2697" s="166" t="s">
        <v>135</v>
      </c>
      <c r="J2697" s="166" t="s">
        <v>612</v>
      </c>
      <c r="K2697" s="166" t="s">
        <v>1299</v>
      </c>
      <c r="L2697" s="167">
        <v>211.42857142857142</v>
      </c>
      <c r="M2697" s="166">
        <v>22500</v>
      </c>
      <c r="N2697" s="166">
        <v>1</v>
      </c>
      <c r="O2697" s="164">
        <f t="shared" si="297"/>
        <v>4757142.8571428573</v>
      </c>
      <c r="P2697" s="166"/>
      <c r="Q2697" s="166"/>
      <c r="R2697" s="164">
        <f>$L2697*'Pivot Objective'!$C$9*P2697*Q2697</f>
        <v>0</v>
      </c>
      <c r="S2697" s="166"/>
      <c r="T2697" s="166"/>
      <c r="U2697" s="164">
        <f>($L2697*'Pivot Objective'!$C$9^2)*S2697*T2697</f>
        <v>0</v>
      </c>
      <c r="V2697" s="166"/>
      <c r="W2697" s="166"/>
      <c r="X2697" s="164">
        <f>($L2697*'Pivot Objective'!$C$9^3)*V2697*W2697</f>
        <v>0</v>
      </c>
      <c r="Y2697" s="166"/>
      <c r="Z2697" s="166"/>
      <c r="AA2697" s="164">
        <f>($L2697*'Pivot Objective'!$C$9^4)*Y2697*Z2697</f>
        <v>0</v>
      </c>
      <c r="AB2697" s="166"/>
      <c r="AC2697" s="166"/>
      <c r="AD2697" s="164">
        <f>($L2697*'Pivot Objective'!$C$9^5)*AB2697*AC2697</f>
        <v>0</v>
      </c>
      <c r="AE2697" s="166"/>
      <c r="AF2697" s="166"/>
      <c r="AG2697" s="164">
        <f>($L2697*'Pivot Objective'!$C$9^6)*AE2697*AF2697</f>
        <v>0</v>
      </c>
      <c r="AH2697" s="166"/>
      <c r="AI2697" s="166"/>
      <c r="AJ2697" s="164">
        <f>($L2697*'Pivot Objective'!$C$9^7)*AH2697*AI2697</f>
        <v>0</v>
      </c>
      <c r="AK2697" s="185">
        <f t="shared" si="298"/>
        <v>4757142.8571428573</v>
      </c>
      <c r="AL2697" s="186">
        <f t="shared" si="299"/>
        <v>4618.5852981969492</v>
      </c>
    </row>
    <row r="2698" spans="1:38" customFormat="1" ht="57.6" x14ac:dyDescent="0.3">
      <c r="A2698" s="140" t="s">
        <v>1489</v>
      </c>
      <c r="B2698" s="140">
        <v>4</v>
      </c>
      <c r="C2698" s="166" t="s">
        <v>697</v>
      </c>
      <c r="D2698" s="140" t="str">
        <f t="shared" si="294"/>
        <v>3</v>
      </c>
      <c r="E2698" s="166" t="s">
        <v>694</v>
      </c>
      <c r="F2698" s="140">
        <f t="shared" si="296"/>
        <v>5</v>
      </c>
      <c r="G2698" s="140" t="str">
        <f t="shared" si="295"/>
        <v>4.3.5</v>
      </c>
      <c r="H2698" s="181" t="s">
        <v>679</v>
      </c>
      <c r="I2698" s="166" t="s">
        <v>135</v>
      </c>
      <c r="J2698" s="166" t="s">
        <v>613</v>
      </c>
      <c r="K2698" s="166" t="s">
        <v>709</v>
      </c>
      <c r="L2698" s="167">
        <v>35000</v>
      </c>
      <c r="M2698" s="166">
        <v>50</v>
      </c>
      <c r="N2698" s="166">
        <v>1</v>
      </c>
      <c r="O2698" s="164">
        <f t="shared" si="297"/>
        <v>1750000</v>
      </c>
      <c r="P2698" s="166">
        <v>30</v>
      </c>
      <c r="Q2698" s="166">
        <v>1</v>
      </c>
      <c r="R2698" s="164">
        <f>$L2698*'Pivot Objective'!$C$9*P2698*Q2698</f>
        <v>1200067.1518499998</v>
      </c>
      <c r="S2698" s="166">
        <v>0</v>
      </c>
      <c r="T2698" s="166">
        <v>0</v>
      </c>
      <c r="U2698" s="164">
        <f>($L2698*'Pivot Objective'!$C$9^2)*S2698*T2698</f>
        <v>0</v>
      </c>
      <c r="V2698" s="166">
        <v>0</v>
      </c>
      <c r="W2698" s="166">
        <v>0</v>
      </c>
      <c r="X2698" s="164">
        <f>($L2698*'Pivot Objective'!$C$9^3)*V2698*W2698</f>
        <v>0</v>
      </c>
      <c r="Y2698" s="166">
        <v>0</v>
      </c>
      <c r="Z2698" s="166">
        <v>0</v>
      </c>
      <c r="AA2698" s="164">
        <f>($L2698*'Pivot Objective'!$C$9^4)*Y2698*Z2698</f>
        <v>0</v>
      </c>
      <c r="AB2698" s="166">
        <v>0</v>
      </c>
      <c r="AC2698" s="166">
        <v>0</v>
      </c>
      <c r="AD2698" s="164">
        <f>($L2698*'Pivot Objective'!$C$9^5)*AB2698*AC2698</f>
        <v>0</v>
      </c>
      <c r="AE2698" s="166">
        <v>0</v>
      </c>
      <c r="AF2698" s="166">
        <v>0</v>
      </c>
      <c r="AG2698" s="164">
        <f>($L2698*'Pivot Objective'!$C$9^6)*AE2698*AF2698</f>
        <v>0</v>
      </c>
      <c r="AH2698" s="166">
        <v>0</v>
      </c>
      <c r="AI2698" s="166">
        <v>0</v>
      </c>
      <c r="AJ2698" s="164">
        <f>($L2698*'Pivot Objective'!$C$9^7)*AH2698*AI2698</f>
        <v>0</v>
      </c>
      <c r="AK2698" s="185">
        <f t="shared" si="298"/>
        <v>2950067.15185</v>
      </c>
      <c r="AL2698" s="186">
        <f t="shared" si="299"/>
        <v>2864.1428658737864</v>
      </c>
    </row>
    <row r="2699" spans="1:38" customFormat="1" ht="57.6" x14ac:dyDescent="0.3">
      <c r="A2699" s="140" t="s">
        <v>1489</v>
      </c>
      <c r="B2699" s="140">
        <v>4</v>
      </c>
      <c r="C2699" s="166" t="s">
        <v>697</v>
      </c>
      <c r="D2699" s="140" t="str">
        <f t="shared" si="294"/>
        <v>3</v>
      </c>
      <c r="E2699" s="166" t="s">
        <v>694</v>
      </c>
      <c r="F2699" s="140">
        <f t="shared" si="296"/>
        <v>5</v>
      </c>
      <c r="G2699" s="140" t="str">
        <f t="shared" si="295"/>
        <v>4.3.5</v>
      </c>
      <c r="H2699" s="181" t="s">
        <v>679</v>
      </c>
      <c r="I2699" s="166" t="s">
        <v>135</v>
      </c>
      <c r="J2699" s="166" t="s">
        <v>614</v>
      </c>
      <c r="K2699" s="166" t="s">
        <v>718</v>
      </c>
      <c r="L2699" s="167">
        <v>0</v>
      </c>
      <c r="M2699" s="166">
        <v>0</v>
      </c>
      <c r="N2699" s="166">
        <v>0</v>
      </c>
      <c r="O2699" s="164">
        <f t="shared" si="297"/>
        <v>0</v>
      </c>
      <c r="P2699" s="166">
        <v>0</v>
      </c>
      <c r="Q2699" s="166">
        <v>0</v>
      </c>
      <c r="R2699" s="164">
        <f>$L2699*'Pivot Objective'!$C$9*P2699*Q2699</f>
        <v>0</v>
      </c>
      <c r="S2699" s="166">
        <v>0</v>
      </c>
      <c r="T2699" s="166">
        <v>0</v>
      </c>
      <c r="U2699" s="164">
        <f>($L2699*'Pivot Objective'!$C$9^2)*S2699*T2699</f>
        <v>0</v>
      </c>
      <c r="V2699" s="166">
        <v>0</v>
      </c>
      <c r="W2699" s="166">
        <v>0</v>
      </c>
      <c r="X2699" s="164">
        <f>($L2699*'Pivot Objective'!$C$9^3)*V2699*W2699</f>
        <v>0</v>
      </c>
      <c r="Y2699" s="166">
        <v>0</v>
      </c>
      <c r="Z2699" s="166">
        <v>0</v>
      </c>
      <c r="AA2699" s="164">
        <f>($L2699*'Pivot Objective'!$C$9^4)*Y2699*Z2699</f>
        <v>0</v>
      </c>
      <c r="AB2699" s="166">
        <v>0</v>
      </c>
      <c r="AC2699" s="166">
        <v>0</v>
      </c>
      <c r="AD2699" s="164">
        <f>($L2699*'Pivot Objective'!$C$9^5)*AB2699*AC2699</f>
        <v>0</v>
      </c>
      <c r="AE2699" s="166">
        <v>0</v>
      </c>
      <c r="AF2699" s="166">
        <v>0</v>
      </c>
      <c r="AG2699" s="164">
        <f>($L2699*'Pivot Objective'!$C$9^6)*AE2699*AF2699</f>
        <v>0</v>
      </c>
      <c r="AH2699" s="166">
        <v>0</v>
      </c>
      <c r="AI2699" s="166">
        <v>0</v>
      </c>
      <c r="AJ2699" s="164">
        <f>($L2699*'Pivot Objective'!$C$9^7)*AH2699*AI2699</f>
        <v>0</v>
      </c>
      <c r="AK2699" s="185">
        <f t="shared" si="298"/>
        <v>0</v>
      </c>
      <c r="AL2699" s="186">
        <f t="shared" si="299"/>
        <v>0</v>
      </c>
    </row>
    <row r="2700" spans="1:38" customFormat="1" ht="57.6" x14ac:dyDescent="0.3">
      <c r="A2700" s="140" t="s">
        <v>1489</v>
      </c>
      <c r="B2700" s="140">
        <v>4</v>
      </c>
      <c r="C2700" s="166" t="s">
        <v>697</v>
      </c>
      <c r="D2700" s="140" t="str">
        <f t="shared" si="294"/>
        <v>3</v>
      </c>
      <c r="E2700" s="166" t="s">
        <v>694</v>
      </c>
      <c r="F2700" s="140">
        <f t="shared" si="296"/>
        <v>5</v>
      </c>
      <c r="G2700" s="140" t="str">
        <f t="shared" si="295"/>
        <v>4.3.5</v>
      </c>
      <c r="H2700" s="181" t="s">
        <v>679</v>
      </c>
      <c r="I2700" s="166" t="s">
        <v>135</v>
      </c>
      <c r="J2700" s="166" t="s">
        <v>807</v>
      </c>
      <c r="K2700" s="166" t="s">
        <v>709</v>
      </c>
      <c r="L2700" s="167">
        <v>35000</v>
      </c>
      <c r="M2700" s="166">
        <v>100</v>
      </c>
      <c r="N2700" s="166">
        <v>1</v>
      </c>
      <c r="O2700" s="164">
        <f t="shared" si="297"/>
        <v>3500000</v>
      </c>
      <c r="P2700" s="166">
        <v>100</v>
      </c>
      <c r="Q2700" s="166">
        <v>1</v>
      </c>
      <c r="R2700" s="164">
        <f>$L2700*'Pivot Objective'!$C$9*P2700*Q2700</f>
        <v>4000223.8394999993</v>
      </c>
      <c r="S2700" s="166">
        <v>0</v>
      </c>
      <c r="T2700" s="166">
        <v>0</v>
      </c>
      <c r="U2700" s="164">
        <f>($L2700*'Pivot Objective'!$C$9^2)*S2700*T2700</f>
        <v>0</v>
      </c>
      <c r="V2700" s="166">
        <v>0</v>
      </c>
      <c r="W2700" s="166">
        <v>0</v>
      </c>
      <c r="X2700" s="164">
        <f>($L2700*'Pivot Objective'!$C$9^3)*V2700*W2700</f>
        <v>0</v>
      </c>
      <c r="Y2700" s="166">
        <v>0</v>
      </c>
      <c r="Z2700" s="166">
        <v>0</v>
      </c>
      <c r="AA2700" s="164">
        <f>($L2700*'Pivot Objective'!$C$9^4)*Y2700*Z2700</f>
        <v>0</v>
      </c>
      <c r="AB2700" s="166">
        <v>0</v>
      </c>
      <c r="AC2700" s="166">
        <v>0</v>
      </c>
      <c r="AD2700" s="164">
        <f>($L2700*'Pivot Objective'!$C$9^5)*AB2700*AC2700</f>
        <v>0</v>
      </c>
      <c r="AE2700" s="166">
        <v>0</v>
      </c>
      <c r="AF2700" s="166">
        <v>0</v>
      </c>
      <c r="AG2700" s="164">
        <f>($L2700*'Pivot Objective'!$C$9^6)*AE2700*AF2700</f>
        <v>0</v>
      </c>
      <c r="AH2700" s="166">
        <v>0</v>
      </c>
      <c r="AI2700" s="166">
        <v>0</v>
      </c>
      <c r="AJ2700" s="164">
        <f>($L2700*'Pivot Objective'!$C$9^7)*AH2700*AI2700</f>
        <v>0</v>
      </c>
      <c r="AK2700" s="185">
        <f t="shared" si="298"/>
        <v>7500223.8394999988</v>
      </c>
      <c r="AL2700" s="186">
        <f t="shared" si="299"/>
        <v>7281.7707179611643</v>
      </c>
    </row>
    <row r="2701" spans="1:38" customFormat="1" ht="57.6" x14ac:dyDescent="0.3">
      <c r="A2701" s="140" t="s">
        <v>1489</v>
      </c>
      <c r="B2701" s="140">
        <v>4</v>
      </c>
      <c r="C2701" s="166" t="s">
        <v>697</v>
      </c>
      <c r="D2701" s="140" t="str">
        <f t="shared" si="294"/>
        <v>3</v>
      </c>
      <c r="E2701" s="166" t="s">
        <v>694</v>
      </c>
      <c r="F2701" s="140">
        <f t="shared" si="296"/>
        <v>5</v>
      </c>
      <c r="G2701" s="140" t="str">
        <f t="shared" si="295"/>
        <v>4.3.5</v>
      </c>
      <c r="H2701" s="181" t="s">
        <v>679</v>
      </c>
      <c r="I2701" s="166" t="s">
        <v>135</v>
      </c>
      <c r="J2701" s="166" t="s">
        <v>807</v>
      </c>
      <c r="K2701" s="166" t="s">
        <v>716</v>
      </c>
      <c r="L2701" s="167">
        <v>39000</v>
      </c>
      <c r="M2701" s="166">
        <v>58</v>
      </c>
      <c r="N2701" s="166">
        <v>1</v>
      </c>
      <c r="O2701" s="164">
        <f t="shared" si="297"/>
        <v>2262000</v>
      </c>
      <c r="P2701" s="166"/>
      <c r="Q2701" s="166"/>
      <c r="R2701" s="164">
        <f>$L2701*'Pivot Objective'!$C$9*P2701*Q2701</f>
        <v>0</v>
      </c>
      <c r="S2701" s="166"/>
      <c r="T2701" s="166"/>
      <c r="U2701" s="164">
        <f>($L2701*'Pivot Objective'!$C$9^2)*S2701*T2701</f>
        <v>0</v>
      </c>
      <c r="V2701" s="166"/>
      <c r="W2701" s="166"/>
      <c r="X2701" s="164">
        <f>($L2701*'Pivot Objective'!$C$9^3)*V2701*W2701</f>
        <v>0</v>
      </c>
      <c r="Y2701" s="166"/>
      <c r="Z2701" s="166"/>
      <c r="AA2701" s="164">
        <f>($L2701*'Pivot Objective'!$C$9^4)*Y2701*Z2701</f>
        <v>0</v>
      </c>
      <c r="AB2701" s="166"/>
      <c r="AC2701" s="166"/>
      <c r="AD2701" s="164">
        <f>($L2701*'Pivot Objective'!$C$9^5)*AB2701*AC2701</f>
        <v>0</v>
      </c>
      <c r="AE2701" s="166"/>
      <c r="AF2701" s="166"/>
      <c r="AG2701" s="164">
        <f>($L2701*'Pivot Objective'!$C$9^6)*AE2701*AF2701</f>
        <v>0</v>
      </c>
      <c r="AH2701" s="166"/>
      <c r="AI2701" s="166"/>
      <c r="AJ2701" s="164">
        <f>($L2701*'Pivot Objective'!$C$9^7)*AH2701*AI2701</f>
        <v>0</v>
      </c>
      <c r="AK2701" s="185">
        <f t="shared" si="298"/>
        <v>2262000</v>
      </c>
      <c r="AL2701" s="186">
        <f t="shared" si="299"/>
        <v>2196.1165048543689</v>
      </c>
    </row>
    <row r="2702" spans="1:38" customFormat="1" ht="57.6" x14ac:dyDescent="0.3">
      <c r="A2702" s="140" t="s">
        <v>1489</v>
      </c>
      <c r="B2702" s="140">
        <v>4</v>
      </c>
      <c r="C2702" s="166" t="s">
        <v>697</v>
      </c>
      <c r="D2702" s="140" t="str">
        <f t="shared" si="294"/>
        <v>3</v>
      </c>
      <c r="E2702" s="166" t="s">
        <v>694</v>
      </c>
      <c r="F2702" s="140">
        <f t="shared" si="296"/>
        <v>5</v>
      </c>
      <c r="G2702" s="140" t="str">
        <f t="shared" si="295"/>
        <v>4.3.5</v>
      </c>
      <c r="H2702" s="181" t="s">
        <v>679</v>
      </c>
      <c r="I2702" s="166" t="s">
        <v>135</v>
      </c>
      <c r="J2702" s="166" t="s">
        <v>807</v>
      </c>
      <c r="K2702" s="166" t="s">
        <v>712</v>
      </c>
      <c r="L2702" s="167">
        <v>211.42857142857142</v>
      </c>
      <c r="M2702" s="166">
        <v>1450</v>
      </c>
      <c r="N2702" s="166">
        <v>1</v>
      </c>
      <c r="O2702" s="164">
        <f t="shared" si="297"/>
        <v>306571.42857142858</v>
      </c>
      <c r="P2702" s="166"/>
      <c r="Q2702" s="166"/>
      <c r="R2702" s="164">
        <f>$L2702*'Pivot Objective'!$C$9*P2702*Q2702</f>
        <v>0</v>
      </c>
      <c r="S2702" s="166"/>
      <c r="T2702" s="166"/>
      <c r="U2702" s="164">
        <f>($L2702*'Pivot Objective'!$C$9^2)*S2702*T2702</f>
        <v>0</v>
      </c>
      <c r="V2702" s="166"/>
      <c r="W2702" s="166"/>
      <c r="X2702" s="164">
        <f>($L2702*'Pivot Objective'!$C$9^3)*V2702*W2702</f>
        <v>0</v>
      </c>
      <c r="Y2702" s="166"/>
      <c r="Z2702" s="166"/>
      <c r="AA2702" s="164">
        <f>($L2702*'Pivot Objective'!$C$9^4)*Y2702*Z2702</f>
        <v>0</v>
      </c>
      <c r="AB2702" s="166"/>
      <c r="AC2702" s="166"/>
      <c r="AD2702" s="164">
        <f>($L2702*'Pivot Objective'!$C$9^5)*AB2702*AC2702</f>
        <v>0</v>
      </c>
      <c r="AE2702" s="166"/>
      <c r="AF2702" s="166"/>
      <c r="AG2702" s="164">
        <f>($L2702*'Pivot Objective'!$C$9^6)*AE2702*AF2702</f>
        <v>0</v>
      </c>
      <c r="AH2702" s="166"/>
      <c r="AI2702" s="166"/>
      <c r="AJ2702" s="164">
        <f>($L2702*'Pivot Objective'!$C$9^7)*AH2702*AI2702</f>
        <v>0</v>
      </c>
      <c r="AK2702" s="185">
        <f t="shared" si="298"/>
        <v>306571.42857142858</v>
      </c>
      <c r="AL2702" s="186">
        <f t="shared" si="299"/>
        <v>297.64216366158115</v>
      </c>
    </row>
    <row r="2703" spans="1:38" customFormat="1" ht="57.6" x14ac:dyDescent="0.3">
      <c r="A2703" s="140" t="s">
        <v>1489</v>
      </c>
      <c r="B2703" s="140">
        <v>4</v>
      </c>
      <c r="C2703" s="166" t="s">
        <v>697</v>
      </c>
      <c r="D2703" s="140" t="str">
        <f t="shared" si="294"/>
        <v>3</v>
      </c>
      <c r="E2703" s="166" t="s">
        <v>694</v>
      </c>
      <c r="F2703" s="140">
        <f t="shared" si="296"/>
        <v>5</v>
      </c>
      <c r="G2703" s="140" t="str">
        <f t="shared" si="295"/>
        <v>4.3.5</v>
      </c>
      <c r="H2703" s="181" t="s">
        <v>679</v>
      </c>
      <c r="I2703" s="166" t="s">
        <v>135</v>
      </c>
      <c r="J2703" s="166" t="s">
        <v>807</v>
      </c>
      <c r="K2703" s="166" t="s">
        <v>1299</v>
      </c>
      <c r="L2703" s="167">
        <v>211.42857142857142</v>
      </c>
      <c r="M2703" s="166">
        <v>22500</v>
      </c>
      <c r="N2703" s="166">
        <v>1</v>
      </c>
      <c r="O2703" s="164">
        <f t="shared" si="297"/>
        <v>4757142.8571428573</v>
      </c>
      <c r="P2703" s="166"/>
      <c r="Q2703" s="166"/>
      <c r="R2703" s="164">
        <f>$L2703*'Pivot Objective'!$C$9*P2703*Q2703</f>
        <v>0</v>
      </c>
      <c r="S2703" s="166"/>
      <c r="T2703" s="166"/>
      <c r="U2703" s="164">
        <f>($L2703*'Pivot Objective'!$C$9^2)*S2703*T2703</f>
        <v>0</v>
      </c>
      <c r="V2703" s="166"/>
      <c r="W2703" s="166"/>
      <c r="X2703" s="164">
        <f>($L2703*'Pivot Objective'!$C$9^3)*V2703*W2703</f>
        <v>0</v>
      </c>
      <c r="Y2703" s="166"/>
      <c r="Z2703" s="166"/>
      <c r="AA2703" s="164">
        <f>($L2703*'Pivot Objective'!$C$9^4)*Y2703*Z2703</f>
        <v>0</v>
      </c>
      <c r="AB2703" s="166"/>
      <c r="AC2703" s="166"/>
      <c r="AD2703" s="164">
        <f>($L2703*'Pivot Objective'!$C$9^5)*AB2703*AC2703</f>
        <v>0</v>
      </c>
      <c r="AE2703" s="166"/>
      <c r="AF2703" s="166"/>
      <c r="AG2703" s="164">
        <f>($L2703*'Pivot Objective'!$C$9^6)*AE2703*AF2703</f>
        <v>0</v>
      </c>
      <c r="AH2703" s="166"/>
      <c r="AI2703" s="166"/>
      <c r="AJ2703" s="164">
        <f>($L2703*'Pivot Objective'!$C$9^7)*AH2703*AI2703</f>
        <v>0</v>
      </c>
      <c r="AK2703" s="185">
        <f t="shared" si="298"/>
        <v>4757142.8571428573</v>
      </c>
      <c r="AL2703" s="186">
        <f t="shared" si="299"/>
        <v>4618.5852981969492</v>
      </c>
    </row>
    <row r="2704" spans="1:38" customFormat="1" ht="57.6" x14ac:dyDescent="0.3">
      <c r="A2704" s="140" t="s">
        <v>1489</v>
      </c>
      <c r="B2704" s="140">
        <v>4</v>
      </c>
      <c r="C2704" s="166" t="s">
        <v>697</v>
      </c>
      <c r="D2704" s="140" t="str">
        <f t="shared" si="294"/>
        <v>3</v>
      </c>
      <c r="E2704" s="166" t="s">
        <v>694</v>
      </c>
      <c r="F2704" s="140">
        <f t="shared" si="296"/>
        <v>5</v>
      </c>
      <c r="G2704" s="140" t="str">
        <f t="shared" si="295"/>
        <v>4.3.5</v>
      </c>
      <c r="H2704" s="181" t="s">
        <v>679</v>
      </c>
      <c r="I2704" s="166" t="s">
        <v>135</v>
      </c>
      <c r="J2704" s="166" t="s">
        <v>807</v>
      </c>
      <c r="K2704" s="166" t="s">
        <v>1318</v>
      </c>
      <c r="L2704" s="167">
        <v>8000</v>
      </c>
      <c r="M2704" s="166">
        <v>0</v>
      </c>
      <c r="N2704" s="166">
        <v>0</v>
      </c>
      <c r="O2704" s="164">
        <f t="shared" si="297"/>
        <v>0</v>
      </c>
      <c r="P2704" s="166">
        <v>50000</v>
      </c>
      <c r="Q2704" s="166">
        <v>1</v>
      </c>
      <c r="R2704" s="164">
        <f>$L2704*'Pivot Objective'!$C$9*P2704*Q2704</f>
        <v>457168438.79999995</v>
      </c>
      <c r="S2704" s="166">
        <v>0</v>
      </c>
      <c r="T2704" s="166">
        <v>0</v>
      </c>
      <c r="U2704" s="164">
        <f>($L2704*'Pivot Objective'!$C$9^2)*S2704*T2704</f>
        <v>0</v>
      </c>
      <c r="V2704" s="166">
        <v>0</v>
      </c>
      <c r="W2704" s="166">
        <v>0</v>
      </c>
      <c r="X2704" s="164">
        <f>($L2704*'Pivot Objective'!$C$9^3)*V2704*W2704</f>
        <v>0</v>
      </c>
      <c r="Y2704" s="166">
        <v>0</v>
      </c>
      <c r="Z2704" s="166">
        <v>0</v>
      </c>
      <c r="AA2704" s="164">
        <f>($L2704*'Pivot Objective'!$C$9^4)*Y2704*Z2704</f>
        <v>0</v>
      </c>
      <c r="AB2704" s="166">
        <v>0</v>
      </c>
      <c r="AC2704" s="166">
        <v>0</v>
      </c>
      <c r="AD2704" s="164">
        <f>($L2704*'Pivot Objective'!$C$9^5)*AB2704*AC2704</f>
        <v>0</v>
      </c>
      <c r="AE2704" s="166">
        <v>0</v>
      </c>
      <c r="AF2704" s="166">
        <v>0</v>
      </c>
      <c r="AG2704" s="164">
        <f>($L2704*'Pivot Objective'!$C$9^6)*AE2704*AF2704</f>
        <v>0</v>
      </c>
      <c r="AH2704" s="166">
        <v>0</v>
      </c>
      <c r="AI2704" s="166">
        <v>0</v>
      </c>
      <c r="AJ2704" s="164">
        <f>($L2704*'Pivot Objective'!$C$9^7)*AH2704*AI2704</f>
        <v>0</v>
      </c>
      <c r="AK2704" s="185">
        <f t="shared" si="298"/>
        <v>457168438.79999995</v>
      </c>
      <c r="AL2704" s="186">
        <f t="shared" si="299"/>
        <v>443852.85320388345</v>
      </c>
    </row>
    <row r="2705" spans="1:38" customFormat="1" ht="57.6" x14ac:dyDescent="0.3">
      <c r="A2705" s="140" t="s">
        <v>1489</v>
      </c>
      <c r="B2705" s="140">
        <v>4</v>
      </c>
      <c r="C2705" s="166" t="s">
        <v>697</v>
      </c>
      <c r="D2705" s="140" t="str">
        <f t="shared" si="294"/>
        <v>3</v>
      </c>
      <c r="E2705" s="166" t="s">
        <v>694</v>
      </c>
      <c r="F2705" s="140">
        <f t="shared" si="296"/>
        <v>5</v>
      </c>
      <c r="G2705" s="140" t="str">
        <f t="shared" si="295"/>
        <v>4.3.5</v>
      </c>
      <c r="H2705" s="181" t="s">
        <v>679</v>
      </c>
      <c r="I2705" s="166" t="s">
        <v>135</v>
      </c>
      <c r="J2705" s="166" t="s">
        <v>807</v>
      </c>
      <c r="K2705" s="166" t="s">
        <v>717</v>
      </c>
      <c r="L2705" s="167">
        <v>104850</v>
      </c>
      <c r="M2705" s="166">
        <v>0</v>
      </c>
      <c r="N2705" s="166">
        <v>0</v>
      </c>
      <c r="O2705" s="164">
        <f t="shared" si="297"/>
        <v>0</v>
      </c>
      <c r="P2705" s="166">
        <v>5</v>
      </c>
      <c r="Q2705" s="166">
        <v>1</v>
      </c>
      <c r="R2705" s="164">
        <f>$L2705*'Pivot Objective'!$C$9*P2705*Q2705</f>
        <v>599176.38510224991</v>
      </c>
      <c r="S2705" s="166">
        <v>0</v>
      </c>
      <c r="T2705" s="166">
        <v>0</v>
      </c>
      <c r="U2705" s="164">
        <f>($L2705*'Pivot Objective'!$C$9^2)*S2705*T2705</f>
        <v>0</v>
      </c>
      <c r="V2705" s="166">
        <v>0</v>
      </c>
      <c r="W2705" s="166">
        <v>0</v>
      </c>
      <c r="X2705" s="164">
        <f>($L2705*'Pivot Objective'!$C$9^3)*V2705*W2705</f>
        <v>0</v>
      </c>
      <c r="Y2705" s="166">
        <v>0</v>
      </c>
      <c r="Z2705" s="166">
        <v>0</v>
      </c>
      <c r="AA2705" s="164">
        <f>($L2705*'Pivot Objective'!$C$9^4)*Y2705*Z2705</f>
        <v>0</v>
      </c>
      <c r="AB2705" s="166">
        <v>0</v>
      </c>
      <c r="AC2705" s="166">
        <v>0</v>
      </c>
      <c r="AD2705" s="164">
        <f>($L2705*'Pivot Objective'!$C$9^5)*AB2705*AC2705</f>
        <v>0</v>
      </c>
      <c r="AE2705" s="166">
        <v>0</v>
      </c>
      <c r="AF2705" s="166">
        <v>0</v>
      </c>
      <c r="AG2705" s="164">
        <f>($L2705*'Pivot Objective'!$C$9^6)*AE2705*AF2705</f>
        <v>0</v>
      </c>
      <c r="AH2705" s="166">
        <v>0</v>
      </c>
      <c r="AI2705" s="166">
        <v>0</v>
      </c>
      <c r="AJ2705" s="164">
        <f>($L2705*'Pivot Objective'!$C$9^7)*AH2705*AI2705</f>
        <v>0</v>
      </c>
      <c r="AK2705" s="185">
        <f t="shared" si="298"/>
        <v>599176.38510224991</v>
      </c>
      <c r="AL2705" s="186">
        <f t="shared" si="299"/>
        <v>581.72464573033972</v>
      </c>
    </row>
    <row r="2706" spans="1:38" customFormat="1" ht="57.6" x14ac:dyDescent="0.3">
      <c r="A2706" s="140" t="s">
        <v>1483</v>
      </c>
      <c r="B2706" s="140">
        <v>4</v>
      </c>
      <c r="C2706" s="166" t="s">
        <v>697</v>
      </c>
      <c r="D2706" s="140" t="str">
        <f t="shared" si="294"/>
        <v>4</v>
      </c>
      <c r="E2706" s="166" t="s">
        <v>695</v>
      </c>
      <c r="F2706" s="140">
        <v>1</v>
      </c>
      <c r="G2706" s="140" t="str">
        <f t="shared" si="295"/>
        <v>4.4.1</v>
      </c>
      <c r="H2706" s="166" t="s">
        <v>1702</v>
      </c>
      <c r="I2706" s="166" t="s">
        <v>136</v>
      </c>
      <c r="J2706" s="166" t="s">
        <v>808</v>
      </c>
      <c r="K2706" s="166" t="s">
        <v>718</v>
      </c>
      <c r="L2706" s="166">
        <v>0</v>
      </c>
      <c r="M2706" s="166">
        <v>30</v>
      </c>
      <c r="N2706" s="166">
        <v>5</v>
      </c>
      <c r="O2706" s="164">
        <f t="shared" si="297"/>
        <v>0</v>
      </c>
      <c r="P2706" s="166">
        <v>0</v>
      </c>
      <c r="Q2706" s="166">
        <v>0</v>
      </c>
      <c r="R2706" s="164">
        <f>$L2706*'Pivot Objective'!$C$9*P2706*Q2706</f>
        <v>0</v>
      </c>
      <c r="S2706" s="166"/>
      <c r="T2706" s="166"/>
      <c r="U2706" s="164">
        <f>($L2706*'Pivot Objective'!$C$9^2)*S2706*T2706</f>
        <v>0</v>
      </c>
      <c r="V2706" s="166"/>
      <c r="W2706" s="166"/>
      <c r="X2706" s="164">
        <f>($L2706*'Pivot Objective'!$C$9^3)*V2706*W2706</f>
        <v>0</v>
      </c>
      <c r="Y2706" s="166"/>
      <c r="Z2706" s="166"/>
      <c r="AA2706" s="164">
        <f>($L2706*'Pivot Objective'!$C$9^4)*Y2706*Z2706</f>
        <v>0</v>
      </c>
      <c r="AB2706" s="166"/>
      <c r="AC2706" s="166"/>
      <c r="AD2706" s="164">
        <f>($L2706*'Pivot Objective'!$C$9^5)*AB2706*AC2706</f>
        <v>0</v>
      </c>
      <c r="AE2706" s="166">
        <v>0</v>
      </c>
      <c r="AF2706" s="166">
        <v>0</v>
      </c>
      <c r="AG2706" s="164">
        <f>($L2706*'Pivot Objective'!$C$9^6)*AE2706*AF2706</f>
        <v>0</v>
      </c>
      <c r="AH2706" s="166">
        <v>0</v>
      </c>
      <c r="AI2706" s="166">
        <v>0</v>
      </c>
      <c r="AJ2706" s="164">
        <f>($L2706*'Pivot Objective'!$C$9^7)*AH2706*AI2706</f>
        <v>0</v>
      </c>
      <c r="AK2706" s="185">
        <f t="shared" si="298"/>
        <v>0</v>
      </c>
      <c r="AL2706" s="186">
        <f t="shared" si="299"/>
        <v>0</v>
      </c>
    </row>
    <row r="2707" spans="1:38" customFormat="1" ht="57.6" x14ac:dyDescent="0.3">
      <c r="A2707" s="140" t="s">
        <v>1483</v>
      </c>
      <c r="B2707" s="140">
        <v>4</v>
      </c>
      <c r="C2707" s="166" t="s">
        <v>697</v>
      </c>
      <c r="D2707" s="140" t="str">
        <f t="shared" si="294"/>
        <v>4</v>
      </c>
      <c r="E2707" s="166" t="s">
        <v>695</v>
      </c>
      <c r="F2707" s="140">
        <f t="shared" ref="F2707:F2738" si="300">IF(H2707=H2706,F2706,F2706+1)</f>
        <v>1</v>
      </c>
      <c r="G2707" s="140" t="str">
        <f t="shared" si="295"/>
        <v>4.4.1</v>
      </c>
      <c r="H2707" s="166" t="s">
        <v>1702</v>
      </c>
      <c r="I2707" s="166" t="s">
        <v>137</v>
      </c>
      <c r="J2707" s="166" t="s">
        <v>176</v>
      </c>
      <c r="K2707" s="166" t="s">
        <v>718</v>
      </c>
      <c r="L2707" s="166">
        <v>0</v>
      </c>
      <c r="M2707" s="166">
        <v>0</v>
      </c>
      <c r="N2707" s="166">
        <v>0</v>
      </c>
      <c r="O2707" s="164">
        <f t="shared" si="297"/>
        <v>0</v>
      </c>
      <c r="P2707" s="166">
        <v>0</v>
      </c>
      <c r="Q2707" s="166">
        <v>0</v>
      </c>
      <c r="R2707" s="164">
        <f>$L2707*'Pivot Objective'!$C$9*P2707*Q2707</f>
        <v>0</v>
      </c>
      <c r="S2707" s="166">
        <v>0</v>
      </c>
      <c r="T2707" s="166">
        <v>0</v>
      </c>
      <c r="U2707" s="164">
        <f>($L2707*'Pivot Objective'!$C$9^2)*S2707*T2707</f>
        <v>0</v>
      </c>
      <c r="V2707" s="166">
        <v>0</v>
      </c>
      <c r="W2707" s="166">
        <v>0</v>
      </c>
      <c r="X2707" s="164">
        <f>($L2707*'Pivot Objective'!$C$9^3)*V2707*W2707</f>
        <v>0</v>
      </c>
      <c r="Y2707" s="166">
        <v>0</v>
      </c>
      <c r="Z2707" s="166">
        <v>0</v>
      </c>
      <c r="AA2707" s="164">
        <f>($L2707*'Pivot Objective'!$C$9^4)*Y2707*Z2707</f>
        <v>0</v>
      </c>
      <c r="AB2707" s="166">
        <v>0</v>
      </c>
      <c r="AC2707" s="166">
        <v>0</v>
      </c>
      <c r="AD2707" s="164">
        <f>($L2707*'Pivot Objective'!$C$9^5)*AB2707*AC2707</f>
        <v>0</v>
      </c>
      <c r="AE2707" s="166">
        <v>0</v>
      </c>
      <c r="AF2707" s="166">
        <v>0</v>
      </c>
      <c r="AG2707" s="164">
        <f>($L2707*'Pivot Objective'!$C$9^6)*AE2707*AF2707</f>
        <v>0</v>
      </c>
      <c r="AH2707" s="166">
        <v>0</v>
      </c>
      <c r="AI2707" s="166">
        <v>0</v>
      </c>
      <c r="AJ2707" s="164">
        <f>($L2707*'Pivot Objective'!$C$9^7)*AH2707*AI2707</f>
        <v>0</v>
      </c>
      <c r="AK2707" s="185">
        <f t="shared" si="298"/>
        <v>0</v>
      </c>
      <c r="AL2707" s="186">
        <f t="shared" si="299"/>
        <v>0</v>
      </c>
    </row>
    <row r="2708" spans="1:38" customFormat="1" ht="57.6" x14ac:dyDescent="0.3">
      <c r="A2708" s="140" t="s">
        <v>1483</v>
      </c>
      <c r="B2708" s="140">
        <v>4</v>
      </c>
      <c r="C2708" s="166" t="s">
        <v>697</v>
      </c>
      <c r="D2708" s="140" t="str">
        <f t="shared" si="294"/>
        <v>4</v>
      </c>
      <c r="E2708" s="166" t="s">
        <v>695</v>
      </c>
      <c r="F2708" s="140">
        <f t="shared" si="300"/>
        <v>1</v>
      </c>
      <c r="G2708" s="140" t="str">
        <f t="shared" si="295"/>
        <v>4.4.1</v>
      </c>
      <c r="H2708" s="166" t="s">
        <v>1702</v>
      </c>
      <c r="I2708" s="166" t="s">
        <v>137</v>
      </c>
      <c r="J2708" s="166" t="s">
        <v>158</v>
      </c>
      <c r="K2708" s="166" t="s">
        <v>718</v>
      </c>
      <c r="L2708" s="166">
        <v>0</v>
      </c>
      <c r="M2708" s="166">
        <v>0</v>
      </c>
      <c r="N2708" s="166">
        <v>0</v>
      </c>
      <c r="O2708" s="164">
        <f t="shared" si="297"/>
        <v>0</v>
      </c>
      <c r="P2708" s="166">
        <v>0</v>
      </c>
      <c r="Q2708" s="166">
        <v>0</v>
      </c>
      <c r="R2708" s="164">
        <f>$L2708*'Pivot Objective'!$C$9*P2708*Q2708</f>
        <v>0</v>
      </c>
      <c r="S2708" s="166">
        <v>0</v>
      </c>
      <c r="T2708" s="166">
        <v>0</v>
      </c>
      <c r="U2708" s="164">
        <f>($L2708*'Pivot Objective'!$C$9^2)*S2708*T2708</f>
        <v>0</v>
      </c>
      <c r="V2708" s="166">
        <v>0</v>
      </c>
      <c r="W2708" s="166">
        <v>0</v>
      </c>
      <c r="X2708" s="164">
        <f>($L2708*'Pivot Objective'!$C$9^3)*V2708*W2708</f>
        <v>0</v>
      </c>
      <c r="Y2708" s="166">
        <v>0</v>
      </c>
      <c r="Z2708" s="166">
        <v>0</v>
      </c>
      <c r="AA2708" s="164">
        <f>($L2708*'Pivot Objective'!$C$9^4)*Y2708*Z2708</f>
        <v>0</v>
      </c>
      <c r="AB2708" s="166">
        <v>0</v>
      </c>
      <c r="AC2708" s="166">
        <v>0</v>
      </c>
      <c r="AD2708" s="164">
        <f>($L2708*'Pivot Objective'!$C$9^5)*AB2708*AC2708</f>
        <v>0</v>
      </c>
      <c r="AE2708" s="166">
        <v>0</v>
      </c>
      <c r="AF2708" s="166">
        <v>0</v>
      </c>
      <c r="AG2708" s="164">
        <f>($L2708*'Pivot Objective'!$C$9^6)*AE2708*AF2708</f>
        <v>0</v>
      </c>
      <c r="AH2708" s="166">
        <v>0</v>
      </c>
      <c r="AI2708" s="166">
        <v>0</v>
      </c>
      <c r="AJ2708" s="164">
        <f>($L2708*'Pivot Objective'!$C$9^7)*AH2708*AI2708</f>
        <v>0</v>
      </c>
      <c r="AK2708" s="185">
        <f t="shared" si="298"/>
        <v>0</v>
      </c>
      <c r="AL2708" s="186">
        <f t="shared" si="299"/>
        <v>0</v>
      </c>
    </row>
    <row r="2709" spans="1:38" customFormat="1" ht="57.6" x14ac:dyDescent="0.3">
      <c r="A2709" s="140" t="s">
        <v>1483</v>
      </c>
      <c r="B2709" s="140">
        <v>4</v>
      </c>
      <c r="C2709" s="166" t="s">
        <v>697</v>
      </c>
      <c r="D2709" s="140" t="str">
        <f t="shared" si="294"/>
        <v>4</v>
      </c>
      <c r="E2709" s="166" t="s">
        <v>695</v>
      </c>
      <c r="F2709" s="140">
        <f t="shared" si="300"/>
        <v>1</v>
      </c>
      <c r="G2709" s="140" t="str">
        <f t="shared" si="295"/>
        <v>4.4.1</v>
      </c>
      <c r="H2709" s="166" t="s">
        <v>1702</v>
      </c>
      <c r="I2709" s="166" t="s">
        <v>137</v>
      </c>
      <c r="J2709" s="166" t="s">
        <v>618</v>
      </c>
      <c r="K2709" s="166" t="s">
        <v>709</v>
      </c>
      <c r="L2709" s="166">
        <v>35000</v>
      </c>
      <c r="M2709" s="166">
        <v>30</v>
      </c>
      <c r="N2709" s="166">
        <v>15</v>
      </c>
      <c r="O2709" s="164">
        <f t="shared" si="297"/>
        <v>15750000</v>
      </c>
      <c r="P2709" s="166">
        <v>0</v>
      </c>
      <c r="Q2709" s="166">
        <v>0</v>
      </c>
      <c r="R2709" s="164">
        <f>$L2709*'Pivot Objective'!$C$9*P2709*Q2709</f>
        <v>0</v>
      </c>
      <c r="S2709" s="166">
        <v>0</v>
      </c>
      <c r="T2709" s="166">
        <v>0</v>
      </c>
      <c r="U2709" s="164">
        <f>($L2709*'Pivot Objective'!$C$9^2)*S2709*T2709</f>
        <v>0</v>
      </c>
      <c r="V2709" s="166">
        <v>0</v>
      </c>
      <c r="W2709" s="166">
        <v>0</v>
      </c>
      <c r="X2709" s="164">
        <f>($L2709*'Pivot Objective'!$C$9^3)*V2709*W2709</f>
        <v>0</v>
      </c>
      <c r="Y2709" s="166">
        <v>0</v>
      </c>
      <c r="Z2709" s="166">
        <v>0</v>
      </c>
      <c r="AA2709" s="164">
        <f>($L2709*'Pivot Objective'!$C$9^4)*Y2709*Z2709</f>
        <v>0</v>
      </c>
      <c r="AB2709" s="166">
        <v>0</v>
      </c>
      <c r="AC2709" s="166">
        <v>0</v>
      </c>
      <c r="AD2709" s="164">
        <f>($L2709*'Pivot Objective'!$C$9^5)*AB2709*AC2709</f>
        <v>0</v>
      </c>
      <c r="AE2709" s="166">
        <v>0</v>
      </c>
      <c r="AF2709" s="166">
        <v>0</v>
      </c>
      <c r="AG2709" s="164">
        <f>($L2709*'Pivot Objective'!$C$9^6)*AE2709*AF2709</f>
        <v>0</v>
      </c>
      <c r="AH2709" s="166">
        <v>0</v>
      </c>
      <c r="AI2709" s="166">
        <v>0</v>
      </c>
      <c r="AJ2709" s="164">
        <f>($L2709*'Pivot Objective'!$C$9^7)*AH2709*AI2709</f>
        <v>0</v>
      </c>
      <c r="AK2709" s="185">
        <f t="shared" si="298"/>
        <v>15750000</v>
      </c>
      <c r="AL2709" s="186">
        <f t="shared" si="299"/>
        <v>15291.26213592233</v>
      </c>
    </row>
    <row r="2710" spans="1:38" customFormat="1" ht="57.6" x14ac:dyDescent="0.3">
      <c r="A2710" s="140" t="s">
        <v>1483</v>
      </c>
      <c r="B2710" s="140">
        <v>4</v>
      </c>
      <c r="C2710" s="166" t="s">
        <v>697</v>
      </c>
      <c r="D2710" s="140" t="str">
        <f t="shared" si="294"/>
        <v>4</v>
      </c>
      <c r="E2710" s="166" t="s">
        <v>695</v>
      </c>
      <c r="F2710" s="140">
        <f t="shared" si="300"/>
        <v>1</v>
      </c>
      <c r="G2710" s="140" t="str">
        <f t="shared" si="295"/>
        <v>4.4.1</v>
      </c>
      <c r="H2710" s="166" t="s">
        <v>1702</v>
      </c>
      <c r="I2710" s="166" t="s">
        <v>137</v>
      </c>
      <c r="J2710" s="166" t="s">
        <v>618</v>
      </c>
      <c r="K2710" s="166" t="s">
        <v>712</v>
      </c>
      <c r="L2710" s="166">
        <f>1480/7</f>
        <v>211.42857142857142</v>
      </c>
      <c r="M2710" s="166">
        <f>2*25*9</f>
        <v>450</v>
      </c>
      <c r="N2710" s="166">
        <v>15</v>
      </c>
      <c r="O2710" s="164">
        <f t="shared" si="297"/>
        <v>1427142.857142857</v>
      </c>
      <c r="P2710" s="166">
        <v>0</v>
      </c>
      <c r="Q2710" s="166">
        <v>0</v>
      </c>
      <c r="R2710" s="164">
        <f>$L2710*'Pivot Objective'!$C$9*P2710*Q2710</f>
        <v>0</v>
      </c>
      <c r="S2710" s="166">
        <v>0</v>
      </c>
      <c r="T2710" s="166">
        <v>0</v>
      </c>
      <c r="U2710" s="164">
        <f>($L2710*'Pivot Objective'!$C$9^2)*S2710*T2710</f>
        <v>0</v>
      </c>
      <c r="V2710" s="166">
        <v>0</v>
      </c>
      <c r="W2710" s="166">
        <v>0</v>
      </c>
      <c r="X2710" s="164">
        <f>($L2710*'Pivot Objective'!$C$9^3)*V2710*W2710</f>
        <v>0</v>
      </c>
      <c r="Y2710" s="166">
        <v>0</v>
      </c>
      <c r="Z2710" s="166">
        <v>0</v>
      </c>
      <c r="AA2710" s="164">
        <f>($L2710*'Pivot Objective'!$C$9^4)*Y2710*Z2710</f>
        <v>0</v>
      </c>
      <c r="AB2710" s="166">
        <v>0</v>
      </c>
      <c r="AC2710" s="166">
        <v>0</v>
      </c>
      <c r="AD2710" s="164">
        <f>($L2710*'Pivot Objective'!$C$9^5)*AB2710*AC2710</f>
        <v>0</v>
      </c>
      <c r="AE2710" s="166">
        <v>0</v>
      </c>
      <c r="AF2710" s="166">
        <v>0</v>
      </c>
      <c r="AG2710" s="164">
        <f>($L2710*'Pivot Objective'!$C$9^6)*AE2710*AF2710</f>
        <v>0</v>
      </c>
      <c r="AH2710" s="166">
        <v>0</v>
      </c>
      <c r="AI2710" s="166">
        <v>0</v>
      </c>
      <c r="AJ2710" s="164">
        <f>($L2710*'Pivot Objective'!$C$9^7)*AH2710*AI2710</f>
        <v>0</v>
      </c>
      <c r="AK2710" s="185">
        <f t="shared" si="298"/>
        <v>1427142.857142857</v>
      </c>
      <c r="AL2710" s="186">
        <f t="shared" si="299"/>
        <v>1385.5755894590845</v>
      </c>
    </row>
    <row r="2711" spans="1:38" customFormat="1" ht="57.6" x14ac:dyDescent="0.3">
      <c r="A2711" s="140" t="s">
        <v>1483</v>
      </c>
      <c r="B2711" s="140">
        <v>4</v>
      </c>
      <c r="C2711" s="166" t="s">
        <v>697</v>
      </c>
      <c r="D2711" s="140" t="str">
        <f t="shared" si="294"/>
        <v>4</v>
      </c>
      <c r="E2711" s="166" t="s">
        <v>695</v>
      </c>
      <c r="F2711" s="140">
        <f t="shared" si="300"/>
        <v>1</v>
      </c>
      <c r="G2711" s="140" t="str">
        <f t="shared" si="295"/>
        <v>4.4.1</v>
      </c>
      <c r="H2711" s="166" t="s">
        <v>1702</v>
      </c>
      <c r="I2711" s="166" t="s">
        <v>137</v>
      </c>
      <c r="J2711" s="166" t="s">
        <v>618</v>
      </c>
      <c r="K2711" s="166" t="s">
        <v>1320</v>
      </c>
      <c r="L2711" s="166">
        <f>1480/7</f>
        <v>211.42857142857142</v>
      </c>
      <c r="M2711" s="166">
        <f>2*135*9</f>
        <v>2430</v>
      </c>
      <c r="N2711" s="166">
        <v>5</v>
      </c>
      <c r="O2711" s="164">
        <f t="shared" si="297"/>
        <v>2568857.1428571427</v>
      </c>
      <c r="P2711" s="166">
        <v>0</v>
      </c>
      <c r="Q2711" s="166">
        <v>0</v>
      </c>
      <c r="R2711" s="164">
        <f>$L2711*'Pivot Objective'!$C$9*P2711*Q2711</f>
        <v>0</v>
      </c>
      <c r="S2711" s="166"/>
      <c r="T2711" s="166"/>
      <c r="U2711" s="164">
        <f>($L2711*'Pivot Objective'!$C$9^2)*S2711*T2711</f>
        <v>0</v>
      </c>
      <c r="V2711" s="166"/>
      <c r="W2711" s="166"/>
      <c r="X2711" s="164">
        <f>($L2711*'Pivot Objective'!$C$9^3)*V2711*W2711</f>
        <v>0</v>
      </c>
      <c r="Y2711" s="166"/>
      <c r="Z2711" s="166"/>
      <c r="AA2711" s="164">
        <f>($L2711*'Pivot Objective'!$C$9^4)*Y2711*Z2711</f>
        <v>0</v>
      </c>
      <c r="AB2711" s="166"/>
      <c r="AC2711" s="166"/>
      <c r="AD2711" s="164">
        <f>($L2711*'Pivot Objective'!$C$9^5)*AB2711*AC2711</f>
        <v>0</v>
      </c>
      <c r="AE2711" s="166"/>
      <c r="AF2711" s="166"/>
      <c r="AG2711" s="164">
        <f>($L2711*'Pivot Objective'!$C$9^6)*AE2711*AF2711</f>
        <v>0</v>
      </c>
      <c r="AH2711" s="166"/>
      <c r="AI2711" s="166"/>
      <c r="AJ2711" s="164">
        <f>($L2711*'Pivot Objective'!$C$9^7)*AH2711*AI2711</f>
        <v>0</v>
      </c>
      <c r="AK2711" s="185">
        <f t="shared" si="298"/>
        <v>2568857.1428571427</v>
      </c>
      <c r="AL2711" s="186">
        <f t="shared" si="299"/>
        <v>2494.0360610263519</v>
      </c>
    </row>
    <row r="2712" spans="1:38" customFormat="1" ht="57.6" x14ac:dyDescent="0.3">
      <c r="A2712" s="140" t="s">
        <v>1483</v>
      </c>
      <c r="B2712" s="140">
        <v>4</v>
      </c>
      <c r="C2712" s="166" t="s">
        <v>697</v>
      </c>
      <c r="D2712" s="140" t="str">
        <f t="shared" si="294"/>
        <v>4</v>
      </c>
      <c r="E2712" s="166" t="s">
        <v>695</v>
      </c>
      <c r="F2712" s="140">
        <f t="shared" si="300"/>
        <v>1</v>
      </c>
      <c r="G2712" s="140" t="str">
        <f t="shared" si="295"/>
        <v>4.4.1</v>
      </c>
      <c r="H2712" s="166" t="s">
        <v>1702</v>
      </c>
      <c r="I2712" s="166" t="s">
        <v>137</v>
      </c>
      <c r="J2712" s="166" t="s">
        <v>618</v>
      </c>
      <c r="K2712" s="166" t="s">
        <v>716</v>
      </c>
      <c r="L2712" s="166">
        <v>39000</v>
      </c>
      <c r="M2712" s="166">
        <v>30</v>
      </c>
      <c r="N2712" s="166">
        <v>15</v>
      </c>
      <c r="O2712" s="164">
        <f t="shared" si="297"/>
        <v>17550000</v>
      </c>
      <c r="P2712" s="166">
        <v>0</v>
      </c>
      <c r="Q2712" s="166">
        <v>0</v>
      </c>
      <c r="R2712" s="164">
        <f>$L2712*'Pivot Objective'!$C$9*P2712*Q2712</f>
        <v>0</v>
      </c>
      <c r="S2712" s="166">
        <v>0</v>
      </c>
      <c r="T2712" s="166">
        <v>0</v>
      </c>
      <c r="U2712" s="164">
        <f>($L2712*'Pivot Objective'!$C$9^2)*S2712*T2712</f>
        <v>0</v>
      </c>
      <c r="V2712" s="166">
        <v>0</v>
      </c>
      <c r="W2712" s="166">
        <v>0</v>
      </c>
      <c r="X2712" s="164">
        <f>($L2712*'Pivot Objective'!$C$9^3)*V2712*W2712</f>
        <v>0</v>
      </c>
      <c r="Y2712" s="166">
        <v>0</v>
      </c>
      <c r="Z2712" s="166">
        <v>0</v>
      </c>
      <c r="AA2712" s="164">
        <f>($L2712*'Pivot Objective'!$C$9^4)*Y2712*Z2712</f>
        <v>0</v>
      </c>
      <c r="AB2712" s="166">
        <v>0</v>
      </c>
      <c r="AC2712" s="166">
        <v>0</v>
      </c>
      <c r="AD2712" s="164">
        <f>($L2712*'Pivot Objective'!$C$9^5)*AB2712*AC2712</f>
        <v>0</v>
      </c>
      <c r="AE2712" s="166">
        <v>0</v>
      </c>
      <c r="AF2712" s="166">
        <v>0</v>
      </c>
      <c r="AG2712" s="164">
        <f>($L2712*'Pivot Objective'!$C$9^6)*AE2712*AF2712</f>
        <v>0</v>
      </c>
      <c r="AH2712" s="166">
        <v>0</v>
      </c>
      <c r="AI2712" s="166">
        <v>0</v>
      </c>
      <c r="AJ2712" s="164">
        <f>($L2712*'Pivot Objective'!$C$9^7)*AH2712*AI2712</f>
        <v>0</v>
      </c>
      <c r="AK2712" s="185">
        <f t="shared" si="298"/>
        <v>17550000</v>
      </c>
      <c r="AL2712" s="186">
        <f t="shared" si="299"/>
        <v>17038.834951456312</v>
      </c>
    </row>
    <row r="2713" spans="1:38" customFormat="1" ht="57.6" x14ac:dyDescent="0.3">
      <c r="A2713" s="140" t="s">
        <v>1483</v>
      </c>
      <c r="B2713" s="140">
        <v>4</v>
      </c>
      <c r="C2713" s="166" t="s">
        <v>697</v>
      </c>
      <c r="D2713" s="140" t="str">
        <f t="shared" si="294"/>
        <v>4</v>
      </c>
      <c r="E2713" s="166" t="s">
        <v>695</v>
      </c>
      <c r="F2713" s="140">
        <f t="shared" si="300"/>
        <v>1</v>
      </c>
      <c r="G2713" s="140" t="str">
        <f t="shared" si="295"/>
        <v>4.4.1</v>
      </c>
      <c r="H2713" s="166" t="s">
        <v>1702</v>
      </c>
      <c r="I2713" s="166" t="s">
        <v>137</v>
      </c>
      <c r="J2713" s="166" t="s">
        <v>166</v>
      </c>
      <c r="K2713" s="166" t="s">
        <v>709</v>
      </c>
      <c r="L2713" s="166">
        <v>35000</v>
      </c>
      <c r="M2713" s="166">
        <v>25</v>
      </c>
      <c r="N2713" s="166">
        <v>1</v>
      </c>
      <c r="O2713" s="164">
        <f t="shared" si="297"/>
        <v>875000</v>
      </c>
      <c r="P2713" s="166">
        <v>0</v>
      </c>
      <c r="Q2713" s="166">
        <v>0</v>
      </c>
      <c r="R2713" s="164">
        <f>$L2713*'Pivot Objective'!$C$9*P2713*Q2713</f>
        <v>0</v>
      </c>
      <c r="S2713" s="166">
        <v>0</v>
      </c>
      <c r="T2713" s="166">
        <v>0</v>
      </c>
      <c r="U2713" s="164">
        <f>($L2713*'Pivot Objective'!$C$9^2)*S2713*T2713</f>
        <v>0</v>
      </c>
      <c r="V2713" s="166">
        <v>0</v>
      </c>
      <c r="W2713" s="166">
        <v>0</v>
      </c>
      <c r="X2713" s="164">
        <f>($L2713*'Pivot Objective'!$C$9^3)*V2713*W2713</f>
        <v>0</v>
      </c>
      <c r="Y2713" s="166">
        <v>0</v>
      </c>
      <c r="Z2713" s="166">
        <v>0</v>
      </c>
      <c r="AA2713" s="164">
        <f>($L2713*'Pivot Objective'!$C$9^4)*Y2713*Z2713</f>
        <v>0</v>
      </c>
      <c r="AB2713" s="166">
        <v>0</v>
      </c>
      <c r="AC2713" s="166">
        <v>0</v>
      </c>
      <c r="AD2713" s="164">
        <f>($L2713*'Pivot Objective'!$C$9^5)*AB2713*AC2713</f>
        <v>0</v>
      </c>
      <c r="AE2713" s="166">
        <v>0</v>
      </c>
      <c r="AF2713" s="166">
        <v>0</v>
      </c>
      <c r="AG2713" s="164">
        <f>($L2713*'Pivot Objective'!$C$9^6)*AE2713*AF2713</f>
        <v>0</v>
      </c>
      <c r="AH2713" s="166">
        <v>0</v>
      </c>
      <c r="AI2713" s="166">
        <v>0</v>
      </c>
      <c r="AJ2713" s="164">
        <f>($L2713*'Pivot Objective'!$C$9^7)*AH2713*AI2713</f>
        <v>0</v>
      </c>
      <c r="AK2713" s="185">
        <f t="shared" si="298"/>
        <v>875000</v>
      </c>
      <c r="AL2713" s="186">
        <f t="shared" si="299"/>
        <v>849.51456310679612</v>
      </c>
    </row>
    <row r="2714" spans="1:38" customFormat="1" ht="57.6" x14ac:dyDescent="0.3">
      <c r="A2714" s="140" t="s">
        <v>1483</v>
      </c>
      <c r="B2714" s="140">
        <v>4</v>
      </c>
      <c r="C2714" s="166" t="s">
        <v>697</v>
      </c>
      <c r="D2714" s="140" t="str">
        <f t="shared" si="294"/>
        <v>4</v>
      </c>
      <c r="E2714" s="166" t="s">
        <v>695</v>
      </c>
      <c r="F2714" s="140">
        <f t="shared" si="300"/>
        <v>1</v>
      </c>
      <c r="G2714" s="140" t="str">
        <f t="shared" si="295"/>
        <v>4.4.1</v>
      </c>
      <c r="H2714" s="166" t="s">
        <v>1702</v>
      </c>
      <c r="I2714" s="166" t="s">
        <v>137</v>
      </c>
      <c r="J2714" s="166" t="s">
        <v>296</v>
      </c>
      <c r="K2714" s="166" t="s">
        <v>718</v>
      </c>
      <c r="L2714" s="166">
        <v>0</v>
      </c>
      <c r="M2714" s="166">
        <v>25</v>
      </c>
      <c r="N2714" s="166">
        <v>1</v>
      </c>
      <c r="O2714" s="164">
        <f t="shared" si="297"/>
        <v>0</v>
      </c>
      <c r="P2714" s="166">
        <v>0</v>
      </c>
      <c r="Q2714" s="166">
        <v>0</v>
      </c>
      <c r="R2714" s="164">
        <f>$L2714*'Pivot Objective'!$C$9*P2714*Q2714</f>
        <v>0</v>
      </c>
      <c r="S2714" s="166">
        <v>0</v>
      </c>
      <c r="T2714" s="166">
        <v>0</v>
      </c>
      <c r="U2714" s="164">
        <f>($L2714*'Pivot Objective'!$C$9^2)*S2714*T2714</f>
        <v>0</v>
      </c>
      <c r="V2714" s="166">
        <v>0</v>
      </c>
      <c r="W2714" s="166">
        <v>0</v>
      </c>
      <c r="X2714" s="164">
        <f>($L2714*'Pivot Objective'!$C$9^3)*V2714*W2714</f>
        <v>0</v>
      </c>
      <c r="Y2714" s="166">
        <v>0</v>
      </c>
      <c r="Z2714" s="166">
        <v>0</v>
      </c>
      <c r="AA2714" s="164">
        <f>($L2714*'Pivot Objective'!$C$9^4)*Y2714*Z2714</f>
        <v>0</v>
      </c>
      <c r="AB2714" s="166">
        <v>0</v>
      </c>
      <c r="AC2714" s="166">
        <v>0</v>
      </c>
      <c r="AD2714" s="164">
        <f>($L2714*'Pivot Objective'!$C$9^5)*AB2714*AC2714</f>
        <v>0</v>
      </c>
      <c r="AE2714" s="166">
        <v>0</v>
      </c>
      <c r="AF2714" s="166">
        <v>0</v>
      </c>
      <c r="AG2714" s="164">
        <f>($L2714*'Pivot Objective'!$C$9^6)*AE2714*AF2714</f>
        <v>0</v>
      </c>
      <c r="AH2714" s="166">
        <v>0</v>
      </c>
      <c r="AI2714" s="166">
        <v>0</v>
      </c>
      <c r="AJ2714" s="164">
        <f>($L2714*'Pivot Objective'!$C$9^7)*AH2714*AI2714</f>
        <v>0</v>
      </c>
      <c r="AK2714" s="185">
        <f t="shared" si="298"/>
        <v>0</v>
      </c>
      <c r="AL2714" s="186">
        <f t="shared" si="299"/>
        <v>0</v>
      </c>
    </row>
    <row r="2715" spans="1:38" customFormat="1" ht="57.6" x14ac:dyDescent="0.3">
      <c r="A2715" s="140" t="s">
        <v>1483</v>
      </c>
      <c r="B2715" s="140">
        <v>4</v>
      </c>
      <c r="C2715" s="166" t="s">
        <v>697</v>
      </c>
      <c r="D2715" s="140" t="str">
        <f t="shared" si="294"/>
        <v>4</v>
      </c>
      <c r="E2715" s="166" t="s">
        <v>695</v>
      </c>
      <c r="F2715" s="140">
        <f t="shared" si="300"/>
        <v>1</v>
      </c>
      <c r="G2715" s="140" t="str">
        <f t="shared" si="295"/>
        <v>4.4.1</v>
      </c>
      <c r="H2715" s="166" t="s">
        <v>1702</v>
      </c>
      <c r="I2715" s="166" t="s">
        <v>137</v>
      </c>
      <c r="J2715" s="166" t="s">
        <v>156</v>
      </c>
      <c r="K2715" s="166" t="s">
        <v>709</v>
      </c>
      <c r="L2715" s="166">
        <v>35000</v>
      </c>
      <c r="M2715" s="166">
        <v>100</v>
      </c>
      <c r="N2715" s="166">
        <v>1</v>
      </c>
      <c r="O2715" s="164">
        <f t="shared" si="297"/>
        <v>3500000</v>
      </c>
      <c r="P2715" s="166">
        <v>0</v>
      </c>
      <c r="Q2715" s="166">
        <v>0</v>
      </c>
      <c r="R2715" s="164">
        <f>$L2715*'Pivot Objective'!$C$9*P2715*Q2715</f>
        <v>0</v>
      </c>
      <c r="S2715" s="166">
        <v>0</v>
      </c>
      <c r="T2715" s="166">
        <v>0</v>
      </c>
      <c r="U2715" s="164">
        <f>($L2715*'Pivot Objective'!$C$9^2)*S2715*T2715</f>
        <v>0</v>
      </c>
      <c r="V2715" s="166">
        <v>0</v>
      </c>
      <c r="W2715" s="166">
        <v>0</v>
      </c>
      <c r="X2715" s="164">
        <f>($L2715*'Pivot Objective'!$C$9^3)*V2715*W2715</f>
        <v>0</v>
      </c>
      <c r="Y2715" s="166">
        <v>0</v>
      </c>
      <c r="Z2715" s="166">
        <v>0</v>
      </c>
      <c r="AA2715" s="164">
        <f>($L2715*'Pivot Objective'!$C$9^4)*Y2715*Z2715</f>
        <v>0</v>
      </c>
      <c r="AB2715" s="166">
        <v>0</v>
      </c>
      <c r="AC2715" s="166">
        <v>0</v>
      </c>
      <c r="AD2715" s="164">
        <f>($L2715*'Pivot Objective'!$C$9^5)*AB2715*AC2715</f>
        <v>0</v>
      </c>
      <c r="AE2715" s="166">
        <v>0</v>
      </c>
      <c r="AF2715" s="166">
        <v>0</v>
      </c>
      <c r="AG2715" s="164">
        <f>($L2715*'Pivot Objective'!$C$9^6)*AE2715*AF2715</f>
        <v>0</v>
      </c>
      <c r="AH2715" s="166">
        <v>0</v>
      </c>
      <c r="AI2715" s="166">
        <v>0</v>
      </c>
      <c r="AJ2715" s="164">
        <f>($L2715*'Pivot Objective'!$C$9^7)*AH2715*AI2715</f>
        <v>0</v>
      </c>
      <c r="AK2715" s="185">
        <f t="shared" si="298"/>
        <v>3500000</v>
      </c>
      <c r="AL2715" s="186">
        <f t="shared" si="299"/>
        <v>3398.0582524271845</v>
      </c>
    </row>
    <row r="2716" spans="1:38" customFormat="1" ht="57.6" x14ac:dyDescent="0.3">
      <c r="A2716" s="140" t="s">
        <v>1483</v>
      </c>
      <c r="B2716" s="140">
        <v>4</v>
      </c>
      <c r="C2716" s="166" t="s">
        <v>697</v>
      </c>
      <c r="D2716" s="140" t="str">
        <f t="shared" si="294"/>
        <v>4</v>
      </c>
      <c r="E2716" s="166" t="s">
        <v>695</v>
      </c>
      <c r="F2716" s="140">
        <f t="shared" si="300"/>
        <v>1</v>
      </c>
      <c r="G2716" s="140" t="str">
        <f t="shared" si="295"/>
        <v>4.4.1</v>
      </c>
      <c r="H2716" s="166" t="s">
        <v>1702</v>
      </c>
      <c r="I2716" s="166" t="s">
        <v>137</v>
      </c>
      <c r="J2716" s="166" t="s">
        <v>156</v>
      </c>
      <c r="K2716" s="166" t="s">
        <v>1297</v>
      </c>
      <c r="L2716" s="166">
        <v>8000</v>
      </c>
      <c r="M2716" s="166">
        <v>10</v>
      </c>
      <c r="N2716" s="166">
        <v>1</v>
      </c>
      <c r="O2716" s="164">
        <f t="shared" si="297"/>
        <v>80000</v>
      </c>
      <c r="P2716" s="166">
        <v>0</v>
      </c>
      <c r="Q2716" s="166">
        <v>0</v>
      </c>
      <c r="R2716" s="164">
        <f>$L2716*'Pivot Objective'!$C$9*P2716*Q2716</f>
        <v>0</v>
      </c>
      <c r="S2716" s="166">
        <v>0</v>
      </c>
      <c r="T2716" s="166">
        <v>0</v>
      </c>
      <c r="U2716" s="164">
        <f>($L2716*'Pivot Objective'!$C$9^2)*S2716*T2716</f>
        <v>0</v>
      </c>
      <c r="V2716" s="166">
        <v>0</v>
      </c>
      <c r="W2716" s="166">
        <v>0</v>
      </c>
      <c r="X2716" s="164">
        <f>($L2716*'Pivot Objective'!$C$9^3)*V2716*W2716</f>
        <v>0</v>
      </c>
      <c r="Y2716" s="166">
        <v>0</v>
      </c>
      <c r="Z2716" s="166">
        <v>0</v>
      </c>
      <c r="AA2716" s="164">
        <f>($L2716*'Pivot Objective'!$C$9^4)*Y2716*Z2716</f>
        <v>0</v>
      </c>
      <c r="AB2716" s="166">
        <v>0</v>
      </c>
      <c r="AC2716" s="166">
        <v>0</v>
      </c>
      <c r="AD2716" s="164">
        <f>($L2716*'Pivot Objective'!$C$9^5)*AB2716*AC2716</f>
        <v>0</v>
      </c>
      <c r="AE2716" s="166">
        <v>0</v>
      </c>
      <c r="AF2716" s="166">
        <v>0</v>
      </c>
      <c r="AG2716" s="164">
        <f>($L2716*'Pivot Objective'!$C$9^6)*AE2716*AF2716</f>
        <v>0</v>
      </c>
      <c r="AH2716" s="166">
        <v>0</v>
      </c>
      <c r="AI2716" s="166">
        <v>0</v>
      </c>
      <c r="AJ2716" s="164">
        <f>($L2716*'Pivot Objective'!$C$9^7)*AH2716*AI2716</f>
        <v>0</v>
      </c>
      <c r="AK2716" s="185">
        <f t="shared" si="298"/>
        <v>80000</v>
      </c>
      <c r="AL2716" s="186">
        <f t="shared" si="299"/>
        <v>77.669902912621353</v>
      </c>
    </row>
    <row r="2717" spans="1:38" customFormat="1" ht="57.6" x14ac:dyDescent="0.3">
      <c r="A2717" s="140" t="s">
        <v>1483</v>
      </c>
      <c r="B2717" s="140">
        <v>4</v>
      </c>
      <c r="C2717" s="166" t="s">
        <v>697</v>
      </c>
      <c r="D2717" s="140" t="str">
        <f t="shared" si="294"/>
        <v>4</v>
      </c>
      <c r="E2717" s="166" t="s">
        <v>695</v>
      </c>
      <c r="F2717" s="140">
        <f t="shared" si="300"/>
        <v>1</v>
      </c>
      <c r="G2717" s="140" t="str">
        <f t="shared" si="295"/>
        <v>4.4.1</v>
      </c>
      <c r="H2717" s="166" t="s">
        <v>1702</v>
      </c>
      <c r="I2717" s="166" t="s">
        <v>137</v>
      </c>
      <c r="J2717" s="166" t="s">
        <v>156</v>
      </c>
      <c r="K2717" s="166" t="s">
        <v>717</v>
      </c>
      <c r="L2717" s="166">
        <v>104850</v>
      </c>
      <c r="M2717" s="166">
        <v>1</v>
      </c>
      <c r="N2717" s="166">
        <v>1</v>
      </c>
      <c r="O2717" s="164">
        <f t="shared" si="297"/>
        <v>104850</v>
      </c>
      <c r="P2717" s="166">
        <v>0</v>
      </c>
      <c r="Q2717" s="166">
        <v>0</v>
      </c>
      <c r="R2717" s="164">
        <f>$L2717*'Pivot Objective'!$C$9*P2717*Q2717</f>
        <v>0</v>
      </c>
      <c r="S2717" s="166">
        <v>0</v>
      </c>
      <c r="T2717" s="166">
        <v>0</v>
      </c>
      <c r="U2717" s="164">
        <f>($L2717*'Pivot Objective'!$C$9^2)*S2717*T2717</f>
        <v>0</v>
      </c>
      <c r="V2717" s="166">
        <v>0</v>
      </c>
      <c r="W2717" s="166">
        <v>0</v>
      </c>
      <c r="X2717" s="164">
        <f>($L2717*'Pivot Objective'!$C$9^3)*V2717*W2717</f>
        <v>0</v>
      </c>
      <c r="Y2717" s="166">
        <v>0</v>
      </c>
      <c r="Z2717" s="166">
        <v>0</v>
      </c>
      <c r="AA2717" s="164">
        <f>($L2717*'Pivot Objective'!$C$9^4)*Y2717*Z2717</f>
        <v>0</v>
      </c>
      <c r="AB2717" s="166">
        <v>0</v>
      </c>
      <c r="AC2717" s="166">
        <v>0</v>
      </c>
      <c r="AD2717" s="164">
        <f>($L2717*'Pivot Objective'!$C$9^5)*AB2717*AC2717</f>
        <v>0</v>
      </c>
      <c r="AE2717" s="166">
        <v>0</v>
      </c>
      <c r="AF2717" s="166">
        <v>0</v>
      </c>
      <c r="AG2717" s="164">
        <f>($L2717*'Pivot Objective'!$C$9^6)*AE2717*AF2717</f>
        <v>0</v>
      </c>
      <c r="AH2717" s="166">
        <v>0</v>
      </c>
      <c r="AI2717" s="166">
        <v>0</v>
      </c>
      <c r="AJ2717" s="164">
        <f>($L2717*'Pivot Objective'!$C$9^7)*AH2717*AI2717</f>
        <v>0</v>
      </c>
      <c r="AK2717" s="185">
        <f t="shared" si="298"/>
        <v>104850</v>
      </c>
      <c r="AL2717" s="186">
        <f t="shared" si="299"/>
        <v>101.79611650485437</v>
      </c>
    </row>
    <row r="2718" spans="1:38" customFormat="1" ht="57.6" x14ac:dyDescent="0.3">
      <c r="A2718" s="140" t="s">
        <v>1483</v>
      </c>
      <c r="B2718" s="140">
        <v>4</v>
      </c>
      <c r="C2718" s="166" t="s">
        <v>697</v>
      </c>
      <c r="D2718" s="140" t="str">
        <f t="shared" si="294"/>
        <v>4</v>
      </c>
      <c r="E2718" s="166" t="s">
        <v>695</v>
      </c>
      <c r="F2718" s="140">
        <f t="shared" si="300"/>
        <v>2</v>
      </c>
      <c r="G2718" s="140" t="str">
        <f t="shared" si="295"/>
        <v>4.4.2</v>
      </c>
      <c r="H2718" s="166" t="s">
        <v>1703</v>
      </c>
      <c r="I2718" s="166" t="s">
        <v>138</v>
      </c>
      <c r="J2718" s="166" t="s">
        <v>155</v>
      </c>
      <c r="K2718" s="166" t="s">
        <v>718</v>
      </c>
      <c r="L2718" s="166">
        <v>0</v>
      </c>
      <c r="M2718" s="166"/>
      <c r="N2718" s="166"/>
      <c r="O2718" s="164">
        <f t="shared" si="297"/>
        <v>0</v>
      </c>
      <c r="P2718" s="166">
        <v>0</v>
      </c>
      <c r="Q2718" s="166">
        <v>0</v>
      </c>
      <c r="R2718" s="164">
        <f>$L2718*'Pivot Objective'!$C$9*P2718*Q2718</f>
        <v>0</v>
      </c>
      <c r="S2718" s="166">
        <v>0</v>
      </c>
      <c r="T2718" s="166">
        <v>0</v>
      </c>
      <c r="U2718" s="164">
        <f>($L2718*'Pivot Objective'!$C$9^2)*S2718*T2718</f>
        <v>0</v>
      </c>
      <c r="V2718" s="166">
        <v>0</v>
      </c>
      <c r="W2718" s="166">
        <v>0</v>
      </c>
      <c r="X2718" s="164">
        <f>($L2718*'Pivot Objective'!$C$9^3)*V2718*W2718</f>
        <v>0</v>
      </c>
      <c r="Y2718" s="166">
        <v>0</v>
      </c>
      <c r="Z2718" s="166">
        <v>0</v>
      </c>
      <c r="AA2718" s="164">
        <f>($L2718*'Pivot Objective'!$C$9^4)*Y2718*Z2718</f>
        <v>0</v>
      </c>
      <c r="AB2718" s="166">
        <v>0</v>
      </c>
      <c r="AC2718" s="166">
        <v>0</v>
      </c>
      <c r="AD2718" s="164">
        <f>($L2718*'Pivot Objective'!$C$9^5)*AB2718*AC2718</f>
        <v>0</v>
      </c>
      <c r="AE2718" s="166">
        <v>0</v>
      </c>
      <c r="AF2718" s="166">
        <v>0</v>
      </c>
      <c r="AG2718" s="164">
        <f>($L2718*'Pivot Objective'!$C$9^6)*AE2718*AF2718</f>
        <v>0</v>
      </c>
      <c r="AH2718" s="166">
        <v>0</v>
      </c>
      <c r="AI2718" s="166">
        <v>0</v>
      </c>
      <c r="AJ2718" s="164">
        <f>($L2718*'Pivot Objective'!$C$9^7)*AH2718*AI2718</f>
        <v>0</v>
      </c>
      <c r="AK2718" s="185">
        <f t="shared" si="298"/>
        <v>0</v>
      </c>
      <c r="AL2718" s="186">
        <f t="shared" si="299"/>
        <v>0</v>
      </c>
    </row>
    <row r="2719" spans="1:38" customFormat="1" ht="57.6" x14ac:dyDescent="0.3">
      <c r="A2719" s="140" t="s">
        <v>1483</v>
      </c>
      <c r="B2719" s="140">
        <v>4</v>
      </c>
      <c r="C2719" s="166" t="s">
        <v>697</v>
      </c>
      <c r="D2719" s="140" t="str">
        <f t="shared" si="294"/>
        <v>4</v>
      </c>
      <c r="E2719" s="166" t="s">
        <v>695</v>
      </c>
      <c r="F2719" s="140">
        <f t="shared" si="300"/>
        <v>2</v>
      </c>
      <c r="G2719" s="140" t="str">
        <f t="shared" si="295"/>
        <v>4.4.2</v>
      </c>
      <c r="H2719" s="166" t="s">
        <v>1703</v>
      </c>
      <c r="I2719" s="166" t="s">
        <v>138</v>
      </c>
      <c r="J2719" s="166" t="s">
        <v>158</v>
      </c>
      <c r="K2719" s="166" t="s">
        <v>718</v>
      </c>
      <c r="L2719" s="166">
        <v>0</v>
      </c>
      <c r="M2719" s="166"/>
      <c r="N2719" s="166"/>
      <c r="O2719" s="164">
        <f t="shared" si="297"/>
        <v>0</v>
      </c>
      <c r="P2719" s="166"/>
      <c r="Q2719" s="166"/>
      <c r="R2719" s="164">
        <f>$L2719*'Pivot Objective'!$C$9*P2719*Q2719</f>
        <v>0</v>
      </c>
      <c r="S2719" s="166">
        <v>0</v>
      </c>
      <c r="T2719" s="166">
        <v>0</v>
      </c>
      <c r="U2719" s="164">
        <f>($L2719*'Pivot Objective'!$C$9^2)*S2719*T2719</f>
        <v>0</v>
      </c>
      <c r="V2719" s="166">
        <v>0</v>
      </c>
      <c r="W2719" s="166">
        <v>0</v>
      </c>
      <c r="X2719" s="164">
        <f>($L2719*'Pivot Objective'!$C$9^3)*V2719*W2719</f>
        <v>0</v>
      </c>
      <c r="Y2719" s="166">
        <v>0</v>
      </c>
      <c r="Z2719" s="166">
        <v>0</v>
      </c>
      <c r="AA2719" s="164">
        <f>($L2719*'Pivot Objective'!$C$9^4)*Y2719*Z2719</f>
        <v>0</v>
      </c>
      <c r="AB2719" s="166">
        <v>0</v>
      </c>
      <c r="AC2719" s="166">
        <v>0</v>
      </c>
      <c r="AD2719" s="164">
        <f>($L2719*'Pivot Objective'!$C$9^5)*AB2719*AC2719</f>
        <v>0</v>
      </c>
      <c r="AE2719" s="166">
        <v>0</v>
      </c>
      <c r="AF2719" s="166">
        <v>0</v>
      </c>
      <c r="AG2719" s="164">
        <f>($L2719*'Pivot Objective'!$C$9^6)*AE2719*AF2719</f>
        <v>0</v>
      </c>
      <c r="AH2719" s="166">
        <v>0</v>
      </c>
      <c r="AI2719" s="166">
        <v>0</v>
      </c>
      <c r="AJ2719" s="164">
        <f>($L2719*'Pivot Objective'!$C$9^7)*AH2719*AI2719</f>
        <v>0</v>
      </c>
      <c r="AK2719" s="185">
        <f t="shared" si="298"/>
        <v>0</v>
      </c>
      <c r="AL2719" s="186">
        <f t="shared" si="299"/>
        <v>0</v>
      </c>
    </row>
    <row r="2720" spans="1:38" customFormat="1" ht="57.6" x14ac:dyDescent="0.3">
      <c r="A2720" s="140" t="s">
        <v>1483</v>
      </c>
      <c r="B2720" s="140">
        <v>4</v>
      </c>
      <c r="C2720" s="166" t="s">
        <v>697</v>
      </c>
      <c r="D2720" s="140" t="str">
        <f t="shared" si="294"/>
        <v>4</v>
      </c>
      <c r="E2720" s="166" t="s">
        <v>695</v>
      </c>
      <c r="F2720" s="140">
        <f t="shared" si="300"/>
        <v>2</v>
      </c>
      <c r="G2720" s="140" t="str">
        <f t="shared" si="295"/>
        <v>4.4.2</v>
      </c>
      <c r="H2720" s="166" t="s">
        <v>1703</v>
      </c>
      <c r="I2720" s="166" t="s">
        <v>138</v>
      </c>
      <c r="J2720" s="166" t="s">
        <v>619</v>
      </c>
      <c r="K2720" s="166" t="s">
        <v>707</v>
      </c>
      <c r="L2720" s="166">
        <v>391991.03749999998</v>
      </c>
      <c r="M2720" s="166"/>
      <c r="N2720" s="166"/>
      <c r="O2720" s="164">
        <f t="shared" si="297"/>
        <v>0</v>
      </c>
      <c r="P2720" s="166"/>
      <c r="Q2720" s="166"/>
      <c r="R2720" s="164">
        <f>$L2720*'Pivot Objective'!$C$9*P2720*Q2720</f>
        <v>0</v>
      </c>
      <c r="S2720" s="166">
        <v>2</v>
      </c>
      <c r="T2720" s="166">
        <v>2</v>
      </c>
      <c r="U2720" s="164">
        <f>($L2720*'Pivot Objective'!$C$9^2)*S2720*T2720</f>
        <v>2048182.3883307995</v>
      </c>
      <c r="V2720" s="166">
        <v>0</v>
      </c>
      <c r="W2720" s="166">
        <v>0</v>
      </c>
      <c r="X2720" s="164">
        <f>($L2720*'Pivot Objective'!$C$9^3)*V2720*W2720</f>
        <v>0</v>
      </c>
      <c r="Y2720" s="166">
        <v>0</v>
      </c>
      <c r="Z2720" s="166">
        <v>0</v>
      </c>
      <c r="AA2720" s="164">
        <f>($L2720*'Pivot Objective'!$C$9^4)*Y2720*Z2720</f>
        <v>0</v>
      </c>
      <c r="AB2720" s="166">
        <v>0</v>
      </c>
      <c r="AC2720" s="166">
        <v>0</v>
      </c>
      <c r="AD2720" s="164">
        <f>($L2720*'Pivot Objective'!$C$9^5)*AB2720*AC2720</f>
        <v>0</v>
      </c>
      <c r="AE2720" s="166">
        <v>0</v>
      </c>
      <c r="AF2720" s="166">
        <v>0</v>
      </c>
      <c r="AG2720" s="164">
        <f>($L2720*'Pivot Objective'!$C$9^6)*AE2720*AF2720</f>
        <v>0</v>
      </c>
      <c r="AH2720" s="166">
        <v>2</v>
      </c>
      <c r="AI2720" s="166">
        <v>2</v>
      </c>
      <c r="AJ2720" s="164">
        <f>($L2720*'Pivot Objective'!$C$9^7)*AH2720*AI2720</f>
        <v>3994384.5595926056</v>
      </c>
      <c r="AK2720" s="185">
        <f t="shared" si="298"/>
        <v>6042566.9479234051</v>
      </c>
      <c r="AL2720" s="186">
        <f t="shared" si="299"/>
        <v>5866.5698523528208</v>
      </c>
    </row>
    <row r="2721" spans="1:38" customFormat="1" ht="57.6" x14ac:dyDescent="0.3">
      <c r="A2721" s="140" t="s">
        <v>1483</v>
      </c>
      <c r="B2721" s="140">
        <v>4</v>
      </c>
      <c r="C2721" s="166" t="s">
        <v>697</v>
      </c>
      <c r="D2721" s="140" t="str">
        <f t="shared" si="294"/>
        <v>4</v>
      </c>
      <c r="E2721" s="166" t="s">
        <v>695</v>
      </c>
      <c r="F2721" s="140">
        <f t="shared" si="300"/>
        <v>2</v>
      </c>
      <c r="G2721" s="140" t="str">
        <f t="shared" si="295"/>
        <v>4.4.2</v>
      </c>
      <c r="H2721" s="166" t="s">
        <v>1703</v>
      </c>
      <c r="I2721" s="166" t="s">
        <v>138</v>
      </c>
      <c r="J2721" s="166" t="s">
        <v>619</v>
      </c>
      <c r="K2721" s="166" t="s">
        <v>708</v>
      </c>
      <c r="L2721" s="166">
        <f>980*1022</f>
        <v>1001560</v>
      </c>
      <c r="M2721" s="166"/>
      <c r="N2721" s="166"/>
      <c r="O2721" s="164">
        <f t="shared" si="297"/>
        <v>0</v>
      </c>
      <c r="P2721" s="166"/>
      <c r="Q2721" s="166"/>
      <c r="R2721" s="164">
        <f>$L2721*'Pivot Objective'!$C$9*P2721*Q2721</f>
        <v>0</v>
      </c>
      <c r="S2721" s="166">
        <v>1</v>
      </c>
      <c r="T2721" s="166">
        <v>25</v>
      </c>
      <c r="U2721" s="164">
        <f>($L2721*'Pivot Objective'!$C$9^2)*S2721*T2721</f>
        <v>32707660.325916823</v>
      </c>
      <c r="V2721" s="166">
        <v>0</v>
      </c>
      <c r="W2721" s="166">
        <v>0</v>
      </c>
      <c r="X2721" s="164">
        <f>($L2721*'Pivot Objective'!$C$9^3)*V2721*W2721</f>
        <v>0</v>
      </c>
      <c r="Y2721" s="166">
        <v>0</v>
      </c>
      <c r="Z2721" s="166">
        <v>0</v>
      </c>
      <c r="AA2721" s="164">
        <f>($L2721*'Pivot Objective'!$C$9^4)*Y2721*Z2721</f>
        <v>0</v>
      </c>
      <c r="AB2721" s="166">
        <v>0</v>
      </c>
      <c r="AC2721" s="166">
        <v>0</v>
      </c>
      <c r="AD2721" s="164">
        <f>($L2721*'Pivot Objective'!$C$9^5)*AB2721*AC2721</f>
        <v>0</v>
      </c>
      <c r="AE2721" s="166">
        <v>0</v>
      </c>
      <c r="AF2721" s="166">
        <v>0</v>
      </c>
      <c r="AG2721" s="164">
        <f>($L2721*'Pivot Objective'!$C$9^6)*AE2721*AF2721</f>
        <v>0</v>
      </c>
      <c r="AH2721" s="166">
        <v>1</v>
      </c>
      <c r="AI2721" s="166">
        <v>25</v>
      </c>
      <c r="AJ2721" s="164">
        <f>($L2721*'Pivot Objective'!$C$9^7)*AH2721*AI2721</f>
        <v>63786786.826496802</v>
      </c>
      <c r="AK2721" s="185">
        <f t="shared" si="298"/>
        <v>96494447.152413622</v>
      </c>
      <c r="AL2721" s="186">
        <f t="shared" si="299"/>
        <v>93683.929274187976</v>
      </c>
    </row>
    <row r="2722" spans="1:38" customFormat="1" ht="57.6" x14ac:dyDescent="0.3">
      <c r="A2722" s="140" t="s">
        <v>1483</v>
      </c>
      <c r="B2722" s="140">
        <v>4</v>
      </c>
      <c r="C2722" s="166" t="s">
        <v>697</v>
      </c>
      <c r="D2722" s="140" t="str">
        <f t="shared" si="294"/>
        <v>4</v>
      </c>
      <c r="E2722" s="166" t="s">
        <v>695</v>
      </c>
      <c r="F2722" s="140">
        <f t="shared" si="300"/>
        <v>2</v>
      </c>
      <c r="G2722" s="140" t="str">
        <f t="shared" si="295"/>
        <v>4.4.2</v>
      </c>
      <c r="H2722" s="166" t="s">
        <v>1703</v>
      </c>
      <c r="I2722" s="166" t="s">
        <v>138</v>
      </c>
      <c r="J2722" s="166" t="s">
        <v>618</v>
      </c>
      <c r="K2722" s="166" t="s">
        <v>716</v>
      </c>
      <c r="L2722" s="166">
        <v>39000</v>
      </c>
      <c r="M2722" s="166"/>
      <c r="N2722" s="166"/>
      <c r="O2722" s="164">
        <f t="shared" si="297"/>
        <v>0</v>
      </c>
      <c r="P2722" s="166"/>
      <c r="Q2722" s="166"/>
      <c r="R2722" s="164">
        <f>$L2722*'Pivot Objective'!$C$9*P2722*Q2722</f>
        <v>0</v>
      </c>
      <c r="S2722" s="166">
        <v>30</v>
      </c>
      <c r="T2722" s="166">
        <v>6</v>
      </c>
      <c r="U2722" s="164">
        <f>($L2722*'Pivot Objective'!$C$9^2)*S2722*T2722</f>
        <v>9170005.8104531355</v>
      </c>
      <c r="V2722" s="166">
        <v>0</v>
      </c>
      <c r="W2722" s="166">
        <v>0</v>
      </c>
      <c r="X2722" s="164">
        <f>($L2722*'Pivot Objective'!$C$9^3)*V2722*W2722</f>
        <v>0</v>
      </c>
      <c r="Y2722" s="166">
        <v>0</v>
      </c>
      <c r="Z2722" s="166">
        <v>0</v>
      </c>
      <c r="AA2722" s="164">
        <f>($L2722*'Pivot Objective'!$C$9^4)*Y2722*Z2722</f>
        <v>0</v>
      </c>
      <c r="AB2722" s="166">
        <v>0</v>
      </c>
      <c r="AC2722" s="166">
        <v>0</v>
      </c>
      <c r="AD2722" s="164">
        <f>($L2722*'Pivot Objective'!$C$9^5)*AB2722*AC2722</f>
        <v>0</v>
      </c>
      <c r="AE2722" s="166">
        <v>0</v>
      </c>
      <c r="AF2722" s="166">
        <v>0</v>
      </c>
      <c r="AG2722" s="164">
        <f>($L2722*'Pivot Objective'!$C$9^6)*AE2722*AF2722</f>
        <v>0</v>
      </c>
      <c r="AH2722" s="166">
        <v>30</v>
      </c>
      <c r="AI2722" s="166">
        <v>6</v>
      </c>
      <c r="AJ2722" s="164">
        <f>($L2722*'Pivot Objective'!$C$9^7)*AH2722*AI2722</f>
        <v>17883431.58760364</v>
      </c>
      <c r="AK2722" s="185">
        <f t="shared" si="298"/>
        <v>27053437.398056775</v>
      </c>
      <c r="AL2722" s="186">
        <f t="shared" si="299"/>
        <v>26265.473201996869</v>
      </c>
    </row>
    <row r="2723" spans="1:38" customFormat="1" ht="57.6" x14ac:dyDescent="0.3">
      <c r="A2723" s="140" t="s">
        <v>1483</v>
      </c>
      <c r="B2723" s="140">
        <v>4</v>
      </c>
      <c r="C2723" s="166" t="s">
        <v>697</v>
      </c>
      <c r="D2723" s="140" t="str">
        <f t="shared" si="294"/>
        <v>4</v>
      </c>
      <c r="E2723" s="166" t="s">
        <v>695</v>
      </c>
      <c r="F2723" s="140">
        <f t="shared" si="300"/>
        <v>2</v>
      </c>
      <c r="G2723" s="140" t="str">
        <f t="shared" si="295"/>
        <v>4.4.2</v>
      </c>
      <c r="H2723" s="166" t="s">
        <v>1703</v>
      </c>
      <c r="I2723" s="166" t="s">
        <v>138</v>
      </c>
      <c r="J2723" s="166" t="s">
        <v>618</v>
      </c>
      <c r="K2723" s="166" t="s">
        <v>709</v>
      </c>
      <c r="L2723" s="166">
        <v>35000</v>
      </c>
      <c r="M2723" s="166"/>
      <c r="N2723" s="166"/>
      <c r="O2723" s="164">
        <f t="shared" si="297"/>
        <v>0</v>
      </c>
      <c r="P2723" s="166"/>
      <c r="Q2723" s="166"/>
      <c r="R2723" s="164">
        <f>$L2723*'Pivot Objective'!$C$9*P2723*Q2723</f>
        <v>0</v>
      </c>
      <c r="S2723" s="166">
        <v>30</v>
      </c>
      <c r="T2723" s="166">
        <v>5</v>
      </c>
      <c r="U2723" s="164">
        <f>($L2723*'Pivot Objective'!$C$9^2)*S2723*T2723</f>
        <v>6857910.3283303361</v>
      </c>
      <c r="V2723" s="166">
        <v>0</v>
      </c>
      <c r="W2723" s="166">
        <v>0</v>
      </c>
      <c r="X2723" s="164">
        <f>($L2723*'Pivot Objective'!$C$9^3)*V2723*W2723</f>
        <v>0</v>
      </c>
      <c r="Y2723" s="166">
        <v>0</v>
      </c>
      <c r="Z2723" s="166">
        <v>0</v>
      </c>
      <c r="AA2723" s="164">
        <f>($L2723*'Pivot Objective'!$C$9^4)*Y2723*Z2723</f>
        <v>0</v>
      </c>
      <c r="AB2723" s="166">
        <v>0</v>
      </c>
      <c r="AC2723" s="166">
        <v>0</v>
      </c>
      <c r="AD2723" s="164">
        <f>($L2723*'Pivot Objective'!$C$9^5)*AB2723*AC2723</f>
        <v>0</v>
      </c>
      <c r="AE2723" s="166">
        <v>0</v>
      </c>
      <c r="AF2723" s="166">
        <v>0</v>
      </c>
      <c r="AG2723" s="164">
        <f>($L2723*'Pivot Objective'!$C$9^6)*AE2723*AF2723</f>
        <v>0</v>
      </c>
      <c r="AH2723" s="166">
        <v>30</v>
      </c>
      <c r="AI2723" s="166">
        <v>5</v>
      </c>
      <c r="AJ2723" s="164">
        <f>($L2723*'Pivot Objective'!$C$9^7)*AH2723*AI2723</f>
        <v>13374361.230045456</v>
      </c>
      <c r="AK2723" s="185">
        <f t="shared" si="298"/>
        <v>20232271.558375791</v>
      </c>
      <c r="AL2723" s="186">
        <f t="shared" si="299"/>
        <v>19642.982095510477</v>
      </c>
    </row>
    <row r="2724" spans="1:38" customFormat="1" ht="57.6" x14ac:dyDescent="0.3">
      <c r="A2724" s="140" t="s">
        <v>1483</v>
      </c>
      <c r="B2724" s="140">
        <v>4</v>
      </c>
      <c r="C2724" s="166" t="s">
        <v>697</v>
      </c>
      <c r="D2724" s="140" t="str">
        <f t="shared" si="294"/>
        <v>4</v>
      </c>
      <c r="E2724" s="166" t="s">
        <v>695</v>
      </c>
      <c r="F2724" s="140">
        <f t="shared" si="300"/>
        <v>2</v>
      </c>
      <c r="G2724" s="140" t="str">
        <f t="shared" si="295"/>
        <v>4.4.2</v>
      </c>
      <c r="H2724" s="166" t="s">
        <v>1703</v>
      </c>
      <c r="I2724" s="166" t="s">
        <v>138</v>
      </c>
      <c r="J2724" s="166" t="s">
        <v>618</v>
      </c>
      <c r="K2724" s="166" t="s">
        <v>712</v>
      </c>
      <c r="L2724" s="166">
        <f>1480/7</f>
        <v>211.42857142857142</v>
      </c>
      <c r="M2724" s="166"/>
      <c r="N2724" s="166"/>
      <c r="O2724" s="164">
        <f t="shared" si="297"/>
        <v>0</v>
      </c>
      <c r="P2724" s="166"/>
      <c r="Q2724" s="166"/>
      <c r="R2724" s="164">
        <f>$L2724*'Pivot Objective'!$C$9*P2724*Q2724</f>
        <v>0</v>
      </c>
      <c r="S2724" s="166">
        <f>2*9*25</f>
        <v>450</v>
      </c>
      <c r="T2724" s="166">
        <v>5</v>
      </c>
      <c r="U2724" s="164">
        <f>($L2724*'Pivot Objective'!$C$9^2)*S2724*T2724</f>
        <v>621410.65015891218</v>
      </c>
      <c r="V2724" s="166">
        <v>0</v>
      </c>
      <c r="W2724" s="166">
        <v>0</v>
      </c>
      <c r="X2724" s="164">
        <f>($L2724*'Pivot Objective'!$C$9^3)*V2724*W2724</f>
        <v>0</v>
      </c>
      <c r="Y2724" s="166">
        <v>0</v>
      </c>
      <c r="Z2724" s="166">
        <v>0</v>
      </c>
      <c r="AA2724" s="164">
        <f>($L2724*'Pivot Objective'!$C$9^4)*Y2724*Z2724</f>
        <v>0</v>
      </c>
      <c r="AB2724" s="166">
        <v>0</v>
      </c>
      <c r="AC2724" s="166">
        <v>0</v>
      </c>
      <c r="AD2724" s="164">
        <f>($L2724*'Pivot Objective'!$C$9^5)*AB2724*AC2724</f>
        <v>0</v>
      </c>
      <c r="AE2724" s="166">
        <v>0</v>
      </c>
      <c r="AF2724" s="166">
        <v>0</v>
      </c>
      <c r="AG2724" s="164">
        <f>($L2724*'Pivot Objective'!$C$9^6)*AE2724*AF2724</f>
        <v>0</v>
      </c>
      <c r="AH2724" s="166">
        <f>2*9*25</f>
        <v>450</v>
      </c>
      <c r="AI2724" s="166">
        <v>5</v>
      </c>
      <c r="AJ2724" s="164">
        <f>($L2724*'Pivot Objective'!$C$9^7)*AH2724*AI2724</f>
        <v>1211880.8951306494</v>
      </c>
      <c r="AK2724" s="185">
        <f t="shared" si="298"/>
        <v>1833291.5452895616</v>
      </c>
      <c r="AL2724" s="186">
        <f t="shared" si="299"/>
        <v>1779.8947041646229</v>
      </c>
    </row>
    <row r="2725" spans="1:38" customFormat="1" ht="57.6" x14ac:dyDescent="0.3">
      <c r="A2725" s="140" t="s">
        <v>1483</v>
      </c>
      <c r="B2725" s="140">
        <v>4</v>
      </c>
      <c r="C2725" s="166" t="s">
        <v>697</v>
      </c>
      <c r="D2725" s="140" t="str">
        <f t="shared" si="294"/>
        <v>4</v>
      </c>
      <c r="E2725" s="166" t="s">
        <v>695</v>
      </c>
      <c r="F2725" s="140">
        <f t="shared" si="300"/>
        <v>2</v>
      </c>
      <c r="G2725" s="140" t="str">
        <f t="shared" si="295"/>
        <v>4.4.2</v>
      </c>
      <c r="H2725" s="166" t="s">
        <v>1703</v>
      </c>
      <c r="I2725" s="166" t="s">
        <v>138</v>
      </c>
      <c r="J2725" s="166" t="s">
        <v>618</v>
      </c>
      <c r="K2725" s="166" t="s">
        <v>1320</v>
      </c>
      <c r="L2725" s="166">
        <f>1480/7</f>
        <v>211.42857142857142</v>
      </c>
      <c r="M2725" s="166"/>
      <c r="N2725" s="166"/>
      <c r="O2725" s="164">
        <f t="shared" si="297"/>
        <v>0</v>
      </c>
      <c r="P2725" s="166"/>
      <c r="Q2725" s="166"/>
      <c r="R2725" s="164">
        <f>$L2725*'Pivot Objective'!$C$9*P2725*Q2725</f>
        <v>0</v>
      </c>
      <c r="S2725" s="166">
        <f>2*135*9</f>
        <v>2430</v>
      </c>
      <c r="T2725" s="166">
        <v>1</v>
      </c>
      <c r="U2725" s="164">
        <f>($L2725*'Pivot Objective'!$C$9^2)*S2725*T2725</f>
        <v>671123.50217162515</v>
      </c>
      <c r="V2725" s="166"/>
      <c r="W2725" s="166"/>
      <c r="X2725" s="164">
        <f>($L2725*'Pivot Objective'!$C$9^3)*V2725*W2725</f>
        <v>0</v>
      </c>
      <c r="Y2725" s="166"/>
      <c r="Z2725" s="166"/>
      <c r="AA2725" s="164">
        <f>($L2725*'Pivot Objective'!$C$9^4)*Y2725*Z2725</f>
        <v>0</v>
      </c>
      <c r="AB2725" s="166"/>
      <c r="AC2725" s="166"/>
      <c r="AD2725" s="164">
        <f>($L2725*'Pivot Objective'!$C$9^5)*AB2725*AC2725</f>
        <v>0</v>
      </c>
      <c r="AE2725" s="166"/>
      <c r="AF2725" s="166"/>
      <c r="AG2725" s="164">
        <f>($L2725*'Pivot Objective'!$C$9^6)*AE2725*AF2725</f>
        <v>0</v>
      </c>
      <c r="AH2725" s="166">
        <f>2*135*9</f>
        <v>2430</v>
      </c>
      <c r="AI2725" s="166">
        <v>1</v>
      </c>
      <c r="AJ2725" s="164">
        <f>($L2725*'Pivot Objective'!$C$9^7)*AH2725*AI2725</f>
        <v>1308831.3667411015</v>
      </c>
      <c r="AK2725" s="185">
        <f t="shared" si="298"/>
        <v>1979954.8689127266</v>
      </c>
      <c r="AL2725" s="186">
        <f t="shared" si="299"/>
        <v>1922.2862804977929</v>
      </c>
    </row>
    <row r="2726" spans="1:38" customFormat="1" ht="57.6" x14ac:dyDescent="0.3">
      <c r="A2726" s="140" t="s">
        <v>1483</v>
      </c>
      <c r="B2726" s="140">
        <v>4</v>
      </c>
      <c r="C2726" s="166" t="s">
        <v>697</v>
      </c>
      <c r="D2726" s="140" t="str">
        <f t="shared" si="294"/>
        <v>4</v>
      </c>
      <c r="E2726" s="166" t="s">
        <v>695</v>
      </c>
      <c r="F2726" s="140">
        <f t="shared" si="300"/>
        <v>2</v>
      </c>
      <c r="G2726" s="140" t="str">
        <f t="shared" si="295"/>
        <v>4.4.2</v>
      </c>
      <c r="H2726" s="166" t="s">
        <v>1703</v>
      </c>
      <c r="I2726" s="166" t="s">
        <v>138</v>
      </c>
      <c r="J2726" s="166" t="s">
        <v>265</v>
      </c>
      <c r="K2726" s="166" t="s">
        <v>709</v>
      </c>
      <c r="L2726" s="166">
        <v>35000</v>
      </c>
      <c r="M2726" s="166"/>
      <c r="N2726" s="166"/>
      <c r="O2726" s="164">
        <f t="shared" si="297"/>
        <v>0</v>
      </c>
      <c r="P2726" s="166"/>
      <c r="Q2726" s="166"/>
      <c r="R2726" s="164">
        <f>$L2726*'Pivot Objective'!$C$9*P2726*Q2726</f>
        <v>0</v>
      </c>
      <c r="S2726" s="166">
        <v>25</v>
      </c>
      <c r="T2726" s="166">
        <v>1</v>
      </c>
      <c r="U2726" s="164">
        <f>($L2726*'Pivot Objective'!$C$9^2)*S2726*T2726</f>
        <v>1142985.0547217228</v>
      </c>
      <c r="V2726" s="166">
        <v>0</v>
      </c>
      <c r="W2726" s="166">
        <v>0</v>
      </c>
      <c r="X2726" s="164">
        <f>($L2726*'Pivot Objective'!$C$9^3)*V2726*W2726</f>
        <v>0</v>
      </c>
      <c r="Y2726" s="166">
        <v>0</v>
      </c>
      <c r="Z2726" s="166">
        <v>0</v>
      </c>
      <c r="AA2726" s="164">
        <f>($L2726*'Pivot Objective'!$C$9^4)*Y2726*Z2726</f>
        <v>0</v>
      </c>
      <c r="AB2726" s="166">
        <v>0</v>
      </c>
      <c r="AC2726" s="166">
        <v>0</v>
      </c>
      <c r="AD2726" s="164">
        <f>($L2726*'Pivot Objective'!$C$9^5)*AB2726*AC2726</f>
        <v>0</v>
      </c>
      <c r="AE2726" s="166">
        <v>0</v>
      </c>
      <c r="AF2726" s="166">
        <v>0</v>
      </c>
      <c r="AG2726" s="164">
        <f>($L2726*'Pivot Objective'!$C$9^6)*AE2726*AF2726</f>
        <v>0</v>
      </c>
      <c r="AH2726" s="166">
        <v>25</v>
      </c>
      <c r="AI2726" s="166">
        <v>1</v>
      </c>
      <c r="AJ2726" s="164">
        <f>($L2726*'Pivot Objective'!$C$9^7)*AH2726*AI2726</f>
        <v>2229060.2050075764</v>
      </c>
      <c r="AK2726" s="185">
        <f t="shared" si="298"/>
        <v>3372045.2597292992</v>
      </c>
      <c r="AL2726" s="186">
        <f t="shared" si="299"/>
        <v>3273.8303492517466</v>
      </c>
    </row>
    <row r="2727" spans="1:38" customFormat="1" ht="57.6" x14ac:dyDescent="0.3">
      <c r="A2727" s="140" t="s">
        <v>1483</v>
      </c>
      <c r="B2727" s="140">
        <v>4</v>
      </c>
      <c r="C2727" s="166" t="s">
        <v>697</v>
      </c>
      <c r="D2727" s="140" t="str">
        <f t="shared" si="294"/>
        <v>4</v>
      </c>
      <c r="E2727" s="166" t="s">
        <v>695</v>
      </c>
      <c r="F2727" s="140">
        <f t="shared" si="300"/>
        <v>2</v>
      </c>
      <c r="G2727" s="140" t="str">
        <f t="shared" si="295"/>
        <v>4.4.2</v>
      </c>
      <c r="H2727" s="166" t="s">
        <v>1703</v>
      </c>
      <c r="I2727" s="166" t="s">
        <v>138</v>
      </c>
      <c r="J2727" s="166" t="s">
        <v>562</v>
      </c>
      <c r="K2727" s="166" t="s">
        <v>718</v>
      </c>
      <c r="L2727" s="166">
        <v>0</v>
      </c>
      <c r="M2727" s="166"/>
      <c r="N2727" s="166"/>
      <c r="O2727" s="164">
        <f t="shared" si="297"/>
        <v>0</v>
      </c>
      <c r="P2727" s="166"/>
      <c r="Q2727" s="166"/>
      <c r="R2727" s="164">
        <f>$L2727*'Pivot Objective'!$C$9*P2727*Q2727</f>
        <v>0</v>
      </c>
      <c r="S2727" s="166">
        <v>25</v>
      </c>
      <c r="T2727" s="166">
        <v>1</v>
      </c>
      <c r="U2727" s="164">
        <f>($L2727*'Pivot Objective'!$C$9^2)*S2727*T2727</f>
        <v>0</v>
      </c>
      <c r="V2727" s="166">
        <v>0</v>
      </c>
      <c r="W2727" s="166">
        <v>0</v>
      </c>
      <c r="X2727" s="164">
        <f>($L2727*'Pivot Objective'!$C$9^3)*V2727*W2727</f>
        <v>0</v>
      </c>
      <c r="Y2727" s="166">
        <v>0</v>
      </c>
      <c r="Z2727" s="166">
        <v>0</v>
      </c>
      <c r="AA2727" s="164">
        <f>($L2727*'Pivot Objective'!$C$9^4)*Y2727*Z2727</f>
        <v>0</v>
      </c>
      <c r="AB2727" s="166">
        <v>0</v>
      </c>
      <c r="AC2727" s="166">
        <v>0</v>
      </c>
      <c r="AD2727" s="164">
        <f>($L2727*'Pivot Objective'!$C$9^5)*AB2727*AC2727</f>
        <v>0</v>
      </c>
      <c r="AE2727" s="166">
        <v>0</v>
      </c>
      <c r="AF2727" s="166">
        <v>0</v>
      </c>
      <c r="AG2727" s="164">
        <f>($L2727*'Pivot Objective'!$C$9^6)*AE2727*AF2727</f>
        <v>0</v>
      </c>
      <c r="AH2727" s="166">
        <v>25</v>
      </c>
      <c r="AI2727" s="166">
        <v>1</v>
      </c>
      <c r="AJ2727" s="164">
        <f>($L2727*'Pivot Objective'!$C$9^7)*AH2727*AI2727</f>
        <v>0</v>
      </c>
      <c r="AK2727" s="185">
        <f t="shared" si="298"/>
        <v>0</v>
      </c>
      <c r="AL2727" s="186">
        <f t="shared" si="299"/>
        <v>0</v>
      </c>
    </row>
    <row r="2728" spans="1:38" customFormat="1" ht="57.6" x14ac:dyDescent="0.3">
      <c r="A2728" s="140" t="s">
        <v>1483</v>
      </c>
      <c r="B2728" s="140">
        <v>4</v>
      </c>
      <c r="C2728" s="166" t="s">
        <v>697</v>
      </c>
      <c r="D2728" s="140" t="str">
        <f t="shared" si="294"/>
        <v>4</v>
      </c>
      <c r="E2728" s="166" t="s">
        <v>695</v>
      </c>
      <c r="F2728" s="140">
        <f t="shared" si="300"/>
        <v>2</v>
      </c>
      <c r="G2728" s="140" t="str">
        <f t="shared" si="295"/>
        <v>4.4.2</v>
      </c>
      <c r="H2728" s="166" t="s">
        <v>1703</v>
      </c>
      <c r="I2728" s="166" t="s">
        <v>138</v>
      </c>
      <c r="J2728" s="166" t="s">
        <v>156</v>
      </c>
      <c r="K2728" s="166" t="s">
        <v>709</v>
      </c>
      <c r="L2728" s="166">
        <v>35000</v>
      </c>
      <c r="M2728" s="166"/>
      <c r="N2728" s="166"/>
      <c r="O2728" s="164">
        <f t="shared" si="297"/>
        <v>0</v>
      </c>
      <c r="P2728" s="166"/>
      <c r="Q2728" s="166"/>
      <c r="R2728" s="164">
        <f>$L2728*'Pivot Objective'!$C$9*P2728*Q2728</f>
        <v>0</v>
      </c>
      <c r="S2728" s="166">
        <v>100</v>
      </c>
      <c r="T2728" s="166">
        <v>1</v>
      </c>
      <c r="U2728" s="164">
        <f>($L2728*'Pivot Objective'!$C$9^2)*S2728*T2728</f>
        <v>4571940.2188868914</v>
      </c>
      <c r="V2728" s="166">
        <v>0</v>
      </c>
      <c r="W2728" s="166">
        <v>0</v>
      </c>
      <c r="X2728" s="164">
        <f>($L2728*'Pivot Objective'!$C$9^3)*V2728*W2728</f>
        <v>0</v>
      </c>
      <c r="Y2728" s="166">
        <v>0</v>
      </c>
      <c r="Z2728" s="166">
        <v>0</v>
      </c>
      <c r="AA2728" s="164">
        <f>($L2728*'Pivot Objective'!$C$9^4)*Y2728*Z2728</f>
        <v>0</v>
      </c>
      <c r="AB2728" s="166">
        <v>0</v>
      </c>
      <c r="AC2728" s="166">
        <v>0</v>
      </c>
      <c r="AD2728" s="164">
        <f>($L2728*'Pivot Objective'!$C$9^5)*AB2728*AC2728</f>
        <v>0</v>
      </c>
      <c r="AE2728" s="166">
        <v>0</v>
      </c>
      <c r="AF2728" s="166">
        <v>0</v>
      </c>
      <c r="AG2728" s="164">
        <f>($L2728*'Pivot Objective'!$C$9^6)*AE2728*AF2728</f>
        <v>0</v>
      </c>
      <c r="AH2728" s="166">
        <v>100</v>
      </c>
      <c r="AI2728" s="166">
        <v>1</v>
      </c>
      <c r="AJ2728" s="164">
        <f>($L2728*'Pivot Objective'!$C$9^7)*AH2728*AI2728</f>
        <v>8916240.8200303055</v>
      </c>
      <c r="AK2728" s="185">
        <f t="shared" si="298"/>
        <v>13488181.038917197</v>
      </c>
      <c r="AL2728" s="186">
        <f t="shared" si="299"/>
        <v>13095.321397006986</v>
      </c>
    </row>
    <row r="2729" spans="1:38" customFormat="1" ht="57.6" x14ac:dyDescent="0.3">
      <c r="A2729" s="140" t="s">
        <v>1483</v>
      </c>
      <c r="B2729" s="140">
        <v>4</v>
      </c>
      <c r="C2729" s="166" t="s">
        <v>697</v>
      </c>
      <c r="D2729" s="140" t="str">
        <f t="shared" si="294"/>
        <v>4</v>
      </c>
      <c r="E2729" s="166" t="s">
        <v>695</v>
      </c>
      <c r="F2729" s="140">
        <f t="shared" si="300"/>
        <v>2</v>
      </c>
      <c r="G2729" s="140" t="str">
        <f t="shared" si="295"/>
        <v>4.4.2</v>
      </c>
      <c r="H2729" s="166" t="s">
        <v>1703</v>
      </c>
      <c r="I2729" s="166" t="s">
        <v>138</v>
      </c>
      <c r="J2729" s="166" t="s">
        <v>156</v>
      </c>
      <c r="K2729" s="166" t="s">
        <v>1297</v>
      </c>
      <c r="L2729" s="166">
        <v>8000</v>
      </c>
      <c r="M2729" s="166"/>
      <c r="N2729" s="166"/>
      <c r="O2729" s="164">
        <f t="shared" si="297"/>
        <v>0</v>
      </c>
      <c r="P2729" s="166"/>
      <c r="Q2729" s="166"/>
      <c r="R2729" s="164">
        <f>$L2729*'Pivot Objective'!$C$9*P2729*Q2729</f>
        <v>0</v>
      </c>
      <c r="S2729" s="166">
        <v>10</v>
      </c>
      <c r="T2729" s="166">
        <v>1</v>
      </c>
      <c r="U2729" s="164">
        <f>($L2729*'Pivot Objective'!$C$9^2)*S2729*T2729</f>
        <v>104501.49071741465</v>
      </c>
      <c r="V2729" s="166">
        <v>0</v>
      </c>
      <c r="W2729" s="166">
        <v>0</v>
      </c>
      <c r="X2729" s="164">
        <f>($L2729*'Pivot Objective'!$C$9^3)*V2729*W2729</f>
        <v>0</v>
      </c>
      <c r="Y2729" s="166">
        <v>0</v>
      </c>
      <c r="Z2729" s="166">
        <v>0</v>
      </c>
      <c r="AA2729" s="164">
        <f>($L2729*'Pivot Objective'!$C$9^4)*Y2729*Z2729</f>
        <v>0</v>
      </c>
      <c r="AB2729" s="166">
        <v>0</v>
      </c>
      <c r="AC2729" s="166">
        <v>0</v>
      </c>
      <c r="AD2729" s="164">
        <f>($L2729*'Pivot Objective'!$C$9^5)*AB2729*AC2729</f>
        <v>0</v>
      </c>
      <c r="AE2729" s="166">
        <v>0</v>
      </c>
      <c r="AF2729" s="166">
        <v>0</v>
      </c>
      <c r="AG2729" s="164">
        <f>($L2729*'Pivot Objective'!$C$9^6)*AE2729*AF2729</f>
        <v>0</v>
      </c>
      <c r="AH2729" s="166">
        <v>10</v>
      </c>
      <c r="AI2729" s="166">
        <v>1</v>
      </c>
      <c r="AJ2729" s="164">
        <f>($L2729*'Pivot Objective'!$C$9^7)*AH2729*AI2729</f>
        <v>203799.79017212125</v>
      </c>
      <c r="AK2729" s="185">
        <f t="shared" si="298"/>
        <v>308301.2808895359</v>
      </c>
      <c r="AL2729" s="186">
        <f t="shared" si="299"/>
        <v>299.32163193158823</v>
      </c>
    </row>
    <row r="2730" spans="1:38" customFormat="1" ht="57.6" x14ac:dyDescent="0.3">
      <c r="A2730" s="140" t="s">
        <v>1483</v>
      </c>
      <c r="B2730" s="140">
        <v>4</v>
      </c>
      <c r="C2730" s="166" t="s">
        <v>697</v>
      </c>
      <c r="D2730" s="140" t="str">
        <f t="shared" si="294"/>
        <v>4</v>
      </c>
      <c r="E2730" s="166" t="s">
        <v>695</v>
      </c>
      <c r="F2730" s="140">
        <f t="shared" si="300"/>
        <v>2</v>
      </c>
      <c r="G2730" s="140" t="str">
        <f t="shared" si="295"/>
        <v>4.4.2</v>
      </c>
      <c r="H2730" s="166" t="s">
        <v>1703</v>
      </c>
      <c r="I2730" s="166" t="s">
        <v>138</v>
      </c>
      <c r="J2730" s="166" t="s">
        <v>156</v>
      </c>
      <c r="K2730" s="166" t="s">
        <v>717</v>
      </c>
      <c r="L2730" s="166">
        <v>104850</v>
      </c>
      <c r="M2730" s="166"/>
      <c r="N2730" s="166"/>
      <c r="O2730" s="164">
        <f t="shared" si="297"/>
        <v>0</v>
      </c>
      <c r="P2730" s="166"/>
      <c r="Q2730" s="166"/>
      <c r="R2730" s="164">
        <f>$L2730*'Pivot Objective'!$C$9*P2730*Q2730</f>
        <v>0</v>
      </c>
      <c r="S2730" s="166">
        <v>1</v>
      </c>
      <c r="T2730" s="166">
        <v>1</v>
      </c>
      <c r="U2730" s="164">
        <f>($L2730*'Pivot Objective'!$C$9^2)*S2730*T2730</f>
        <v>136962.26627151159</v>
      </c>
      <c r="V2730" s="166">
        <v>0</v>
      </c>
      <c r="W2730" s="166">
        <v>0</v>
      </c>
      <c r="X2730" s="164">
        <f>($L2730*'Pivot Objective'!$C$9^3)*V2730*W2730</f>
        <v>0</v>
      </c>
      <c r="Y2730" s="166">
        <v>0</v>
      </c>
      <c r="Z2730" s="166">
        <v>0</v>
      </c>
      <c r="AA2730" s="164">
        <f>($L2730*'Pivot Objective'!$C$9^4)*Y2730*Z2730</f>
        <v>0</v>
      </c>
      <c r="AB2730" s="166">
        <v>0</v>
      </c>
      <c r="AC2730" s="166">
        <v>0</v>
      </c>
      <c r="AD2730" s="164">
        <f>($L2730*'Pivot Objective'!$C$9^5)*AB2730*AC2730</f>
        <v>0</v>
      </c>
      <c r="AE2730" s="166">
        <v>0</v>
      </c>
      <c r="AF2730" s="166">
        <v>0</v>
      </c>
      <c r="AG2730" s="164">
        <f>($L2730*'Pivot Objective'!$C$9^6)*AE2730*AF2730</f>
        <v>0</v>
      </c>
      <c r="AH2730" s="166">
        <v>1</v>
      </c>
      <c r="AI2730" s="166">
        <v>1</v>
      </c>
      <c r="AJ2730" s="164">
        <f>($L2730*'Pivot Objective'!$C$9^7)*AH2730*AI2730</f>
        <v>267105.09999433643</v>
      </c>
      <c r="AK2730" s="185">
        <f t="shared" si="298"/>
        <v>404067.36626584805</v>
      </c>
      <c r="AL2730" s="186">
        <f t="shared" si="299"/>
        <v>392.29841385033791</v>
      </c>
    </row>
    <row r="2731" spans="1:38" customFormat="1" ht="57.6" x14ac:dyDescent="0.3">
      <c r="A2731" s="140" t="s">
        <v>1483</v>
      </c>
      <c r="B2731" s="140">
        <v>4</v>
      </c>
      <c r="C2731" s="166" t="s">
        <v>697</v>
      </c>
      <c r="D2731" s="140" t="str">
        <f t="shared" si="294"/>
        <v>4</v>
      </c>
      <c r="E2731" s="166" t="s">
        <v>695</v>
      </c>
      <c r="F2731" s="140">
        <f t="shared" si="300"/>
        <v>3</v>
      </c>
      <c r="G2731" s="140" t="str">
        <f t="shared" si="295"/>
        <v>4.4.3</v>
      </c>
      <c r="H2731" s="166" t="s">
        <v>1704</v>
      </c>
      <c r="I2731" s="166" t="s">
        <v>139</v>
      </c>
      <c r="J2731" s="166" t="s">
        <v>158</v>
      </c>
      <c r="K2731" s="166" t="s">
        <v>718</v>
      </c>
      <c r="L2731" s="166">
        <v>0</v>
      </c>
      <c r="M2731" s="166"/>
      <c r="N2731" s="166"/>
      <c r="O2731" s="164">
        <f t="shared" si="297"/>
        <v>0</v>
      </c>
      <c r="P2731" s="166">
        <v>0</v>
      </c>
      <c r="Q2731" s="166">
        <v>0</v>
      </c>
      <c r="R2731" s="164">
        <f>$L2731*'Pivot Objective'!$C$9*P2731*Q2731</f>
        <v>0</v>
      </c>
      <c r="S2731" s="166">
        <v>0</v>
      </c>
      <c r="T2731" s="166">
        <v>0</v>
      </c>
      <c r="U2731" s="164">
        <f>($L2731*'Pivot Objective'!$C$9^2)*S2731*T2731</f>
        <v>0</v>
      </c>
      <c r="V2731" s="166">
        <v>0</v>
      </c>
      <c r="W2731" s="166">
        <v>0</v>
      </c>
      <c r="X2731" s="164">
        <f>($L2731*'Pivot Objective'!$C$9^3)*V2731*W2731</f>
        <v>0</v>
      </c>
      <c r="Y2731" s="166">
        <v>0</v>
      </c>
      <c r="Z2731" s="166">
        <v>0</v>
      </c>
      <c r="AA2731" s="164">
        <f>($L2731*'Pivot Objective'!$C$9^4)*Y2731*Z2731</f>
        <v>0</v>
      </c>
      <c r="AB2731" s="166">
        <v>0</v>
      </c>
      <c r="AC2731" s="166">
        <v>0</v>
      </c>
      <c r="AD2731" s="164">
        <f>($L2731*'Pivot Objective'!$C$9^5)*AB2731*AC2731</f>
        <v>0</v>
      </c>
      <c r="AE2731" s="166">
        <v>0</v>
      </c>
      <c r="AF2731" s="166">
        <v>0</v>
      </c>
      <c r="AG2731" s="164">
        <f>($L2731*'Pivot Objective'!$C$9^6)*AE2731*AF2731</f>
        <v>0</v>
      </c>
      <c r="AH2731" s="166">
        <v>0</v>
      </c>
      <c r="AI2731" s="166">
        <v>0</v>
      </c>
      <c r="AJ2731" s="164">
        <f>($L2731*'Pivot Objective'!$C$9^7)*AH2731*AI2731</f>
        <v>0</v>
      </c>
      <c r="AK2731" s="185">
        <f t="shared" si="298"/>
        <v>0</v>
      </c>
      <c r="AL2731" s="186">
        <f t="shared" si="299"/>
        <v>0</v>
      </c>
    </row>
    <row r="2732" spans="1:38" customFormat="1" ht="57.6" x14ac:dyDescent="0.3">
      <c r="A2732" s="140" t="s">
        <v>1483</v>
      </c>
      <c r="B2732" s="140">
        <v>4</v>
      </c>
      <c r="C2732" s="166" t="s">
        <v>697</v>
      </c>
      <c r="D2732" s="140" t="str">
        <f t="shared" si="294"/>
        <v>4</v>
      </c>
      <c r="E2732" s="166" t="s">
        <v>695</v>
      </c>
      <c r="F2732" s="140">
        <f t="shared" si="300"/>
        <v>3</v>
      </c>
      <c r="G2732" s="140" t="str">
        <f t="shared" si="295"/>
        <v>4.4.3</v>
      </c>
      <c r="H2732" s="166" t="s">
        <v>1704</v>
      </c>
      <c r="I2732" s="166" t="s">
        <v>139</v>
      </c>
      <c r="J2732" s="166" t="s">
        <v>620</v>
      </c>
      <c r="K2732" s="166" t="s">
        <v>709</v>
      </c>
      <c r="L2732" s="166">
        <v>35000</v>
      </c>
      <c r="M2732" s="166"/>
      <c r="N2732" s="166"/>
      <c r="O2732" s="164">
        <f t="shared" si="297"/>
        <v>0</v>
      </c>
      <c r="P2732" s="166">
        <v>50</v>
      </c>
      <c r="Q2732" s="166">
        <v>15</v>
      </c>
      <c r="R2732" s="164">
        <f>$L2732*'Pivot Objective'!$C$9*P2732*Q2732</f>
        <v>30001678.796249993</v>
      </c>
      <c r="S2732" s="166">
        <v>0</v>
      </c>
      <c r="T2732" s="166">
        <v>0</v>
      </c>
      <c r="U2732" s="164">
        <f>($L2732*'Pivot Objective'!$C$9^2)*S2732*T2732</f>
        <v>0</v>
      </c>
      <c r="V2732" s="166">
        <v>0</v>
      </c>
      <c r="W2732" s="166">
        <v>0</v>
      </c>
      <c r="X2732" s="164">
        <f>($L2732*'Pivot Objective'!$C$9^3)*V2732*W2732</f>
        <v>0</v>
      </c>
      <c r="Y2732" s="166">
        <v>0</v>
      </c>
      <c r="Z2732" s="166">
        <v>0</v>
      </c>
      <c r="AA2732" s="164">
        <f>($L2732*'Pivot Objective'!$C$9^4)*Y2732*Z2732</f>
        <v>0</v>
      </c>
      <c r="AB2732" s="166">
        <v>0</v>
      </c>
      <c r="AC2732" s="166">
        <v>0</v>
      </c>
      <c r="AD2732" s="164">
        <f>($L2732*'Pivot Objective'!$C$9^5)*AB2732*AC2732</f>
        <v>0</v>
      </c>
      <c r="AE2732" s="166">
        <v>50</v>
      </c>
      <c r="AF2732" s="166">
        <v>15</v>
      </c>
      <c r="AG2732" s="164">
        <f>($L2732*'Pivot Objective'!$C$9^6)*AE2732*AF2732</f>
        <v>58509556.193997949</v>
      </c>
      <c r="AH2732" s="166">
        <v>0</v>
      </c>
      <c r="AI2732" s="166">
        <v>0</v>
      </c>
      <c r="AJ2732" s="164">
        <f>($L2732*'Pivot Objective'!$C$9^7)*AH2732*AI2732</f>
        <v>0</v>
      </c>
      <c r="AK2732" s="185">
        <f t="shared" si="298"/>
        <v>88511234.990247935</v>
      </c>
      <c r="AL2732" s="186">
        <f t="shared" si="299"/>
        <v>85933.237854609644</v>
      </c>
    </row>
    <row r="2733" spans="1:38" customFormat="1" ht="57.6" x14ac:dyDescent="0.3">
      <c r="A2733" s="140" t="s">
        <v>1483</v>
      </c>
      <c r="B2733" s="140">
        <v>4</v>
      </c>
      <c r="C2733" s="166" t="s">
        <v>697</v>
      </c>
      <c r="D2733" s="140" t="str">
        <f t="shared" ref="D2733:D2796" si="301">RIGHT(A2733,1)</f>
        <v>4</v>
      </c>
      <c r="E2733" s="166" t="s">
        <v>695</v>
      </c>
      <c r="F2733" s="140">
        <f t="shared" si="300"/>
        <v>3</v>
      </c>
      <c r="G2733" s="140" t="str">
        <f t="shared" si="295"/>
        <v>4.4.3</v>
      </c>
      <c r="H2733" s="166" t="s">
        <v>1704</v>
      </c>
      <c r="I2733" s="166" t="s">
        <v>139</v>
      </c>
      <c r="J2733" s="166" t="s">
        <v>620</v>
      </c>
      <c r="K2733" s="166" t="s">
        <v>716</v>
      </c>
      <c r="L2733" s="166">
        <v>39000</v>
      </c>
      <c r="M2733" s="166"/>
      <c r="N2733" s="166"/>
      <c r="O2733" s="164">
        <f t="shared" si="297"/>
        <v>0</v>
      </c>
      <c r="P2733" s="166">
        <v>50</v>
      </c>
      <c r="Q2733" s="166">
        <v>15</v>
      </c>
      <c r="R2733" s="164">
        <f>$L2733*'Pivot Objective'!$C$9*P2733*Q2733</f>
        <v>33430442.087249994</v>
      </c>
      <c r="S2733" s="166">
        <v>0</v>
      </c>
      <c r="T2733" s="166">
        <v>0</v>
      </c>
      <c r="U2733" s="164">
        <f>($L2733*'Pivot Objective'!$C$9^2)*S2733*T2733</f>
        <v>0</v>
      </c>
      <c r="V2733" s="166">
        <v>0</v>
      </c>
      <c r="W2733" s="166">
        <v>0</v>
      </c>
      <c r="X2733" s="164">
        <f>($L2733*'Pivot Objective'!$C$9^3)*V2733*W2733</f>
        <v>0</v>
      </c>
      <c r="Y2733" s="166">
        <v>0</v>
      </c>
      <c r="Z2733" s="166">
        <v>0</v>
      </c>
      <c r="AA2733" s="164">
        <f>($L2733*'Pivot Objective'!$C$9^4)*Y2733*Z2733</f>
        <v>0</v>
      </c>
      <c r="AB2733" s="166">
        <v>0</v>
      </c>
      <c r="AC2733" s="166">
        <v>0</v>
      </c>
      <c r="AD2733" s="164">
        <f>($L2733*'Pivot Objective'!$C$9^5)*AB2733*AC2733</f>
        <v>0</v>
      </c>
      <c r="AE2733" s="166">
        <v>50</v>
      </c>
      <c r="AF2733" s="166">
        <v>15</v>
      </c>
      <c r="AG2733" s="164">
        <f>($L2733*'Pivot Objective'!$C$9^6)*AE2733*AF2733</f>
        <v>65196362.616169162</v>
      </c>
      <c r="AH2733" s="166">
        <v>0</v>
      </c>
      <c r="AI2733" s="166">
        <v>0</v>
      </c>
      <c r="AJ2733" s="164">
        <f>($L2733*'Pivot Objective'!$C$9^7)*AH2733*AI2733</f>
        <v>0</v>
      </c>
      <c r="AK2733" s="185">
        <f t="shared" si="298"/>
        <v>98626804.703419149</v>
      </c>
      <c r="AL2733" s="186">
        <f t="shared" si="299"/>
        <v>95754.179323707911</v>
      </c>
    </row>
    <row r="2734" spans="1:38" customFormat="1" ht="57.6" x14ac:dyDescent="0.3">
      <c r="A2734" s="140" t="s">
        <v>1483</v>
      </c>
      <c r="B2734" s="140">
        <v>4</v>
      </c>
      <c r="C2734" s="166" t="s">
        <v>697</v>
      </c>
      <c r="D2734" s="140" t="str">
        <f t="shared" si="301"/>
        <v>4</v>
      </c>
      <c r="E2734" s="166" t="s">
        <v>695</v>
      </c>
      <c r="F2734" s="140">
        <f t="shared" si="300"/>
        <v>3</v>
      </c>
      <c r="G2734" s="140" t="str">
        <f t="shared" ref="G2734:G2797" si="302">B2734&amp;"."&amp;D2734&amp;"."&amp;F2734</f>
        <v>4.4.3</v>
      </c>
      <c r="H2734" s="166" t="s">
        <v>1704</v>
      </c>
      <c r="I2734" s="166" t="s">
        <v>139</v>
      </c>
      <c r="J2734" s="166" t="s">
        <v>620</v>
      </c>
      <c r="K2734" s="166" t="s">
        <v>712</v>
      </c>
      <c r="L2734" s="166">
        <f>1480/7</f>
        <v>211.42857142857142</v>
      </c>
      <c r="M2734" s="166"/>
      <c r="N2734" s="166"/>
      <c r="O2734" s="164">
        <f t="shared" si="297"/>
        <v>0</v>
      </c>
      <c r="P2734" s="166">
        <f>2*25*9</f>
        <v>450</v>
      </c>
      <c r="Q2734" s="166">
        <v>15</v>
      </c>
      <c r="R2734" s="164">
        <f>$L2734*'Pivot Objective'!$C$9*P2734*Q2734</f>
        <v>1631111.6798614284</v>
      </c>
      <c r="S2734" s="166">
        <v>0</v>
      </c>
      <c r="T2734" s="166">
        <v>0</v>
      </c>
      <c r="U2734" s="164">
        <f>($L2734*'Pivot Objective'!$C$9^2)*S2734*T2734</f>
        <v>0</v>
      </c>
      <c r="V2734" s="166">
        <v>0</v>
      </c>
      <c r="W2734" s="166">
        <v>0</v>
      </c>
      <c r="X2734" s="164">
        <f>($L2734*'Pivot Objective'!$C$9^3)*V2734*W2734</f>
        <v>0</v>
      </c>
      <c r="Y2734" s="166">
        <v>0</v>
      </c>
      <c r="Z2734" s="166">
        <v>0</v>
      </c>
      <c r="AA2734" s="164">
        <f>($L2734*'Pivot Objective'!$C$9^4)*Y2734*Z2734</f>
        <v>0</v>
      </c>
      <c r="AB2734" s="166">
        <v>0</v>
      </c>
      <c r="AC2734" s="166">
        <v>0</v>
      </c>
      <c r="AD2734" s="164">
        <f>($L2734*'Pivot Objective'!$C$9^5)*AB2734*AC2734</f>
        <v>0</v>
      </c>
      <c r="AE2734" s="166">
        <f>2*25*9</f>
        <v>450</v>
      </c>
      <c r="AF2734" s="166">
        <v>15</v>
      </c>
      <c r="AG2734" s="164">
        <f>($L2734*'Pivot Objective'!$C$9^6)*AE2734*AF2734</f>
        <v>3181009.3408328686</v>
      </c>
      <c r="AH2734" s="166">
        <v>0</v>
      </c>
      <c r="AI2734" s="166">
        <v>0</v>
      </c>
      <c r="AJ2734" s="164">
        <f>($L2734*'Pivot Objective'!$C$9^7)*AH2734*AI2734</f>
        <v>0</v>
      </c>
      <c r="AK2734" s="185">
        <f t="shared" si="298"/>
        <v>4812121.0206942968</v>
      </c>
      <c r="AL2734" s="186">
        <f t="shared" si="299"/>
        <v>4671.9621560138803</v>
      </c>
    </row>
    <row r="2735" spans="1:38" customFormat="1" ht="57.6" x14ac:dyDescent="0.3">
      <c r="A2735" s="140" t="s">
        <v>1483</v>
      </c>
      <c r="B2735" s="140">
        <v>4</v>
      </c>
      <c r="C2735" s="166" t="s">
        <v>697</v>
      </c>
      <c r="D2735" s="140" t="str">
        <f t="shared" si="301"/>
        <v>4</v>
      </c>
      <c r="E2735" s="166" t="s">
        <v>695</v>
      </c>
      <c r="F2735" s="140">
        <f t="shared" si="300"/>
        <v>3</v>
      </c>
      <c r="G2735" s="140" t="str">
        <f t="shared" si="302"/>
        <v>4.4.3</v>
      </c>
      <c r="H2735" s="166" t="s">
        <v>1704</v>
      </c>
      <c r="I2735" s="166" t="s">
        <v>139</v>
      </c>
      <c r="J2735" s="166" t="s">
        <v>620</v>
      </c>
      <c r="K2735" s="166" t="s">
        <v>1320</v>
      </c>
      <c r="L2735" s="166">
        <f>1480/7</f>
        <v>211.42857142857142</v>
      </c>
      <c r="M2735" s="166"/>
      <c r="N2735" s="166"/>
      <c r="O2735" s="164">
        <f t="shared" si="297"/>
        <v>0</v>
      </c>
      <c r="P2735" s="166">
        <f>3*135*9</f>
        <v>3645</v>
      </c>
      <c r="Q2735" s="166">
        <v>3</v>
      </c>
      <c r="R2735" s="164">
        <f>$L2735*'Pivot Objective'!$C$9*P2735*Q2735</f>
        <v>2642400.921375514</v>
      </c>
      <c r="S2735" s="166"/>
      <c r="T2735" s="166"/>
      <c r="U2735" s="164">
        <f>($L2735*'Pivot Objective'!$C$9^2)*S2735*T2735</f>
        <v>0</v>
      </c>
      <c r="V2735" s="166"/>
      <c r="W2735" s="166"/>
      <c r="X2735" s="164">
        <f>($L2735*'Pivot Objective'!$C$9^3)*V2735*W2735</f>
        <v>0</v>
      </c>
      <c r="Y2735" s="166"/>
      <c r="Z2735" s="166"/>
      <c r="AA2735" s="164">
        <f>($L2735*'Pivot Objective'!$C$9^4)*Y2735*Z2735</f>
        <v>0</v>
      </c>
      <c r="AB2735" s="166"/>
      <c r="AC2735" s="166"/>
      <c r="AD2735" s="164">
        <f>($L2735*'Pivot Objective'!$C$9^5)*AB2735*AC2735</f>
        <v>0</v>
      </c>
      <c r="AE2735" s="166">
        <f>3*135*9</f>
        <v>3645</v>
      </c>
      <c r="AF2735" s="166">
        <v>3</v>
      </c>
      <c r="AG2735" s="164">
        <f>($L2735*'Pivot Objective'!$C$9^6)*AE2735*AF2735</f>
        <v>5153235.1321492465</v>
      </c>
      <c r="AH2735" s="166"/>
      <c r="AI2735" s="166"/>
      <c r="AJ2735" s="164">
        <f>($L2735*'Pivot Objective'!$C$9^7)*AH2735*AI2735</f>
        <v>0</v>
      </c>
      <c r="AK2735" s="185">
        <f t="shared" si="298"/>
        <v>7795636.0535247605</v>
      </c>
      <c r="AL2735" s="186">
        <f t="shared" si="299"/>
        <v>7568.5786927424861</v>
      </c>
    </row>
    <row r="2736" spans="1:38" customFormat="1" ht="57.6" x14ac:dyDescent="0.3">
      <c r="A2736" s="140" t="s">
        <v>1483</v>
      </c>
      <c r="B2736" s="140">
        <v>4</v>
      </c>
      <c r="C2736" s="166" t="s">
        <v>697</v>
      </c>
      <c r="D2736" s="140" t="str">
        <f t="shared" si="301"/>
        <v>4</v>
      </c>
      <c r="E2736" s="166" t="s">
        <v>695</v>
      </c>
      <c r="F2736" s="140">
        <f t="shared" si="300"/>
        <v>3</v>
      </c>
      <c r="G2736" s="140" t="str">
        <f t="shared" si="302"/>
        <v>4.4.3</v>
      </c>
      <c r="H2736" s="166" t="s">
        <v>1704</v>
      </c>
      <c r="I2736" s="166" t="s">
        <v>139</v>
      </c>
      <c r="J2736" s="166" t="s">
        <v>166</v>
      </c>
      <c r="K2736" s="166" t="s">
        <v>709</v>
      </c>
      <c r="L2736" s="166">
        <v>35000</v>
      </c>
      <c r="M2736" s="166"/>
      <c r="N2736" s="166"/>
      <c r="O2736" s="164">
        <f t="shared" si="297"/>
        <v>0</v>
      </c>
      <c r="P2736" s="166">
        <v>25</v>
      </c>
      <c r="Q2736" s="166">
        <v>1</v>
      </c>
      <c r="R2736" s="164">
        <f>$L2736*'Pivot Objective'!$C$9*P2736*Q2736</f>
        <v>1000055.9598749998</v>
      </c>
      <c r="S2736" s="166">
        <v>0</v>
      </c>
      <c r="T2736" s="166">
        <v>0</v>
      </c>
      <c r="U2736" s="164">
        <f>($L2736*'Pivot Objective'!$C$9^2)*S2736*T2736</f>
        <v>0</v>
      </c>
      <c r="V2736" s="166">
        <v>0</v>
      </c>
      <c r="W2736" s="166">
        <v>0</v>
      </c>
      <c r="X2736" s="164">
        <f>($L2736*'Pivot Objective'!$C$9^3)*V2736*W2736</f>
        <v>0</v>
      </c>
      <c r="Y2736" s="166">
        <v>0</v>
      </c>
      <c r="Z2736" s="166">
        <v>0</v>
      </c>
      <c r="AA2736" s="164">
        <f>($L2736*'Pivot Objective'!$C$9^4)*Y2736*Z2736</f>
        <v>0</v>
      </c>
      <c r="AB2736" s="166">
        <v>0</v>
      </c>
      <c r="AC2736" s="166">
        <v>0</v>
      </c>
      <c r="AD2736" s="164">
        <f>($L2736*'Pivot Objective'!$C$9^5)*AB2736*AC2736</f>
        <v>0</v>
      </c>
      <c r="AE2736" s="166">
        <v>25</v>
      </c>
      <c r="AF2736" s="166">
        <v>1</v>
      </c>
      <c r="AG2736" s="164">
        <f>($L2736*'Pivot Objective'!$C$9^6)*AE2736*AF2736</f>
        <v>1950318.5397999317</v>
      </c>
      <c r="AH2736" s="166">
        <v>0</v>
      </c>
      <c r="AI2736" s="166">
        <v>0</v>
      </c>
      <c r="AJ2736" s="164">
        <f>($L2736*'Pivot Objective'!$C$9^7)*AH2736*AI2736</f>
        <v>0</v>
      </c>
      <c r="AK2736" s="185">
        <f t="shared" si="298"/>
        <v>2950374.4996749316</v>
      </c>
      <c r="AL2736" s="186">
        <f t="shared" si="299"/>
        <v>2864.4412618203219</v>
      </c>
    </row>
    <row r="2737" spans="1:38" customFormat="1" ht="57.6" x14ac:dyDescent="0.3">
      <c r="A2737" s="140" t="s">
        <v>1483</v>
      </c>
      <c r="B2737" s="140">
        <v>4</v>
      </c>
      <c r="C2737" s="166" t="s">
        <v>697</v>
      </c>
      <c r="D2737" s="140" t="str">
        <f t="shared" si="301"/>
        <v>4</v>
      </c>
      <c r="E2737" s="166" t="s">
        <v>695</v>
      </c>
      <c r="F2737" s="140">
        <f t="shared" si="300"/>
        <v>3</v>
      </c>
      <c r="G2737" s="140" t="str">
        <f t="shared" si="302"/>
        <v>4.4.3</v>
      </c>
      <c r="H2737" s="166" t="s">
        <v>1704</v>
      </c>
      <c r="I2737" s="166" t="s">
        <v>139</v>
      </c>
      <c r="J2737" s="166" t="s">
        <v>296</v>
      </c>
      <c r="K2737" s="166" t="s">
        <v>718</v>
      </c>
      <c r="L2737" s="166">
        <v>0</v>
      </c>
      <c r="M2737" s="166"/>
      <c r="N2737" s="166"/>
      <c r="O2737" s="164">
        <f t="shared" si="297"/>
        <v>0</v>
      </c>
      <c r="P2737" s="166">
        <v>25</v>
      </c>
      <c r="Q2737" s="166">
        <v>1</v>
      </c>
      <c r="R2737" s="164">
        <f>$L2737*'Pivot Objective'!$C$9*P2737*Q2737</f>
        <v>0</v>
      </c>
      <c r="S2737" s="166">
        <v>0</v>
      </c>
      <c r="T2737" s="166">
        <v>0</v>
      </c>
      <c r="U2737" s="164">
        <f>($L2737*'Pivot Objective'!$C$9^2)*S2737*T2737</f>
        <v>0</v>
      </c>
      <c r="V2737" s="166">
        <v>0</v>
      </c>
      <c r="W2737" s="166">
        <v>0</v>
      </c>
      <c r="X2737" s="164">
        <f>($L2737*'Pivot Objective'!$C$9^3)*V2737*W2737</f>
        <v>0</v>
      </c>
      <c r="Y2737" s="166">
        <v>0</v>
      </c>
      <c r="Z2737" s="166">
        <v>0</v>
      </c>
      <c r="AA2737" s="164">
        <f>($L2737*'Pivot Objective'!$C$9^4)*Y2737*Z2737</f>
        <v>0</v>
      </c>
      <c r="AB2737" s="166">
        <v>0</v>
      </c>
      <c r="AC2737" s="166">
        <v>0</v>
      </c>
      <c r="AD2737" s="164">
        <f>($L2737*'Pivot Objective'!$C$9^5)*AB2737*AC2737</f>
        <v>0</v>
      </c>
      <c r="AE2737" s="166">
        <v>25</v>
      </c>
      <c r="AF2737" s="166">
        <v>1</v>
      </c>
      <c r="AG2737" s="164">
        <f>($L2737*'Pivot Objective'!$C$9^6)*AE2737*AF2737</f>
        <v>0</v>
      </c>
      <c r="AH2737" s="166">
        <v>0</v>
      </c>
      <c r="AI2737" s="166">
        <v>0</v>
      </c>
      <c r="AJ2737" s="164">
        <f>($L2737*'Pivot Objective'!$C$9^7)*AH2737*AI2737</f>
        <v>0</v>
      </c>
      <c r="AK2737" s="185">
        <f t="shared" si="298"/>
        <v>0</v>
      </c>
      <c r="AL2737" s="186">
        <f t="shared" si="299"/>
        <v>0</v>
      </c>
    </row>
    <row r="2738" spans="1:38" customFormat="1" ht="57.6" x14ac:dyDescent="0.3">
      <c r="A2738" s="140" t="s">
        <v>1483</v>
      </c>
      <c r="B2738" s="140">
        <v>4</v>
      </c>
      <c r="C2738" s="166" t="s">
        <v>697</v>
      </c>
      <c r="D2738" s="140" t="str">
        <f t="shared" si="301"/>
        <v>4</v>
      </c>
      <c r="E2738" s="166" t="s">
        <v>695</v>
      </c>
      <c r="F2738" s="140">
        <f t="shared" si="300"/>
        <v>3</v>
      </c>
      <c r="G2738" s="140" t="str">
        <f t="shared" si="302"/>
        <v>4.4.3</v>
      </c>
      <c r="H2738" s="166" t="s">
        <v>1704</v>
      </c>
      <c r="I2738" s="166" t="s">
        <v>139</v>
      </c>
      <c r="J2738" s="166" t="s">
        <v>156</v>
      </c>
      <c r="K2738" s="166" t="s">
        <v>709</v>
      </c>
      <c r="L2738" s="166">
        <v>35000</v>
      </c>
      <c r="M2738" s="166"/>
      <c r="N2738" s="166"/>
      <c r="O2738" s="164">
        <f t="shared" si="297"/>
        <v>0</v>
      </c>
      <c r="P2738" s="166">
        <v>100</v>
      </c>
      <c r="Q2738" s="166">
        <v>1</v>
      </c>
      <c r="R2738" s="164">
        <f>$L2738*'Pivot Objective'!$C$9*P2738*Q2738</f>
        <v>4000223.8394999993</v>
      </c>
      <c r="S2738" s="166">
        <v>0</v>
      </c>
      <c r="T2738" s="166">
        <v>0</v>
      </c>
      <c r="U2738" s="164">
        <f>($L2738*'Pivot Objective'!$C$9^2)*S2738*T2738</f>
        <v>0</v>
      </c>
      <c r="V2738" s="166">
        <v>0</v>
      </c>
      <c r="W2738" s="166">
        <v>0</v>
      </c>
      <c r="X2738" s="164">
        <f>($L2738*'Pivot Objective'!$C$9^3)*V2738*W2738</f>
        <v>0</v>
      </c>
      <c r="Y2738" s="166">
        <v>0</v>
      </c>
      <c r="Z2738" s="166">
        <v>0</v>
      </c>
      <c r="AA2738" s="164">
        <f>($L2738*'Pivot Objective'!$C$9^4)*Y2738*Z2738</f>
        <v>0</v>
      </c>
      <c r="AB2738" s="166">
        <v>0</v>
      </c>
      <c r="AC2738" s="166">
        <v>0</v>
      </c>
      <c r="AD2738" s="164">
        <f>($L2738*'Pivot Objective'!$C$9^5)*AB2738*AC2738</f>
        <v>0</v>
      </c>
      <c r="AE2738" s="166">
        <v>100</v>
      </c>
      <c r="AF2738" s="166">
        <v>1</v>
      </c>
      <c r="AG2738" s="164">
        <f>($L2738*'Pivot Objective'!$C$9^6)*AE2738*AF2738</f>
        <v>7801274.1591997268</v>
      </c>
      <c r="AH2738" s="166">
        <v>0</v>
      </c>
      <c r="AI2738" s="166">
        <v>0</v>
      </c>
      <c r="AJ2738" s="164">
        <f>($L2738*'Pivot Objective'!$C$9^7)*AH2738*AI2738</f>
        <v>0</v>
      </c>
      <c r="AK2738" s="185">
        <f t="shared" si="298"/>
        <v>11801497.998699727</v>
      </c>
      <c r="AL2738" s="186">
        <f t="shared" si="299"/>
        <v>11457.765047281287</v>
      </c>
    </row>
    <row r="2739" spans="1:38" customFormat="1" ht="57.6" x14ac:dyDescent="0.3">
      <c r="A2739" s="140" t="s">
        <v>1483</v>
      </c>
      <c r="B2739" s="140">
        <v>4</v>
      </c>
      <c r="C2739" s="166" t="s">
        <v>697</v>
      </c>
      <c r="D2739" s="140" t="str">
        <f t="shared" si="301"/>
        <v>4</v>
      </c>
      <c r="E2739" s="166" t="s">
        <v>695</v>
      </c>
      <c r="F2739" s="140">
        <f t="shared" ref="F2739:F2770" si="303">IF(H2739=H2738,F2738,F2738+1)</f>
        <v>3</v>
      </c>
      <c r="G2739" s="140" t="str">
        <f t="shared" si="302"/>
        <v>4.4.3</v>
      </c>
      <c r="H2739" s="166" t="s">
        <v>1704</v>
      </c>
      <c r="I2739" s="166" t="s">
        <v>139</v>
      </c>
      <c r="J2739" s="166" t="s">
        <v>156</v>
      </c>
      <c r="K2739" s="166" t="s">
        <v>711</v>
      </c>
      <c r="L2739" s="166">
        <v>8000</v>
      </c>
      <c r="M2739" s="166"/>
      <c r="N2739" s="166"/>
      <c r="O2739" s="164">
        <f t="shared" si="297"/>
        <v>0</v>
      </c>
      <c r="P2739" s="166">
        <v>10</v>
      </c>
      <c r="Q2739" s="166">
        <v>1</v>
      </c>
      <c r="R2739" s="164">
        <f>$L2739*'Pivot Objective'!$C$9*P2739*Q2739</f>
        <v>91433.687760000001</v>
      </c>
      <c r="S2739" s="166">
        <v>0</v>
      </c>
      <c r="T2739" s="166">
        <v>0</v>
      </c>
      <c r="U2739" s="164">
        <f>($L2739*'Pivot Objective'!$C$9^2)*S2739*T2739</f>
        <v>0</v>
      </c>
      <c r="V2739" s="166">
        <v>0</v>
      </c>
      <c r="W2739" s="166">
        <v>0</v>
      </c>
      <c r="X2739" s="164">
        <f>($L2739*'Pivot Objective'!$C$9^3)*V2739*W2739</f>
        <v>0</v>
      </c>
      <c r="Y2739" s="166">
        <v>0</v>
      </c>
      <c r="Z2739" s="166">
        <v>0</v>
      </c>
      <c r="AA2739" s="164">
        <f>($L2739*'Pivot Objective'!$C$9^4)*Y2739*Z2739</f>
        <v>0</v>
      </c>
      <c r="AB2739" s="166">
        <v>0</v>
      </c>
      <c r="AC2739" s="166">
        <v>0</v>
      </c>
      <c r="AD2739" s="164">
        <f>($L2739*'Pivot Objective'!$C$9^5)*AB2739*AC2739</f>
        <v>0</v>
      </c>
      <c r="AE2739" s="166">
        <v>10</v>
      </c>
      <c r="AF2739" s="166">
        <v>1</v>
      </c>
      <c r="AG2739" s="164">
        <f>($L2739*'Pivot Objective'!$C$9^6)*AE2739*AF2739</f>
        <v>178314.83792456522</v>
      </c>
      <c r="AH2739" s="166">
        <v>0</v>
      </c>
      <c r="AI2739" s="166">
        <v>0</v>
      </c>
      <c r="AJ2739" s="164">
        <f>($L2739*'Pivot Objective'!$C$9^7)*AH2739*AI2739</f>
        <v>0</v>
      </c>
      <c r="AK2739" s="185">
        <f t="shared" si="298"/>
        <v>269748.52568456519</v>
      </c>
      <c r="AL2739" s="186">
        <f t="shared" si="299"/>
        <v>261.89177250928657</v>
      </c>
    </row>
    <row r="2740" spans="1:38" customFormat="1" ht="57.6" x14ac:dyDescent="0.3">
      <c r="A2740" s="140" t="s">
        <v>1483</v>
      </c>
      <c r="B2740" s="140">
        <v>4</v>
      </c>
      <c r="C2740" s="166" t="s">
        <v>697</v>
      </c>
      <c r="D2740" s="140" t="str">
        <f t="shared" si="301"/>
        <v>4</v>
      </c>
      <c r="E2740" s="166" t="s">
        <v>695</v>
      </c>
      <c r="F2740" s="140">
        <f t="shared" si="303"/>
        <v>3</v>
      </c>
      <c r="G2740" s="140" t="str">
        <f t="shared" si="302"/>
        <v>4.4.3</v>
      </c>
      <c r="H2740" s="166" t="s">
        <v>1704</v>
      </c>
      <c r="I2740" s="166" t="s">
        <v>139</v>
      </c>
      <c r="J2740" s="166" t="s">
        <v>156</v>
      </c>
      <c r="K2740" s="166" t="s">
        <v>717</v>
      </c>
      <c r="L2740" s="166">
        <v>104850</v>
      </c>
      <c r="M2740" s="166"/>
      <c r="N2740" s="166"/>
      <c r="O2740" s="164">
        <f t="shared" si="297"/>
        <v>0</v>
      </c>
      <c r="P2740" s="166">
        <v>1</v>
      </c>
      <c r="Q2740" s="166">
        <v>1</v>
      </c>
      <c r="R2740" s="164">
        <f>$L2740*'Pivot Objective'!$C$9*P2740*Q2740</f>
        <v>119835.27702044998</v>
      </c>
      <c r="S2740" s="166">
        <v>0</v>
      </c>
      <c r="T2740" s="166">
        <v>0</v>
      </c>
      <c r="U2740" s="164">
        <f>($L2740*'Pivot Objective'!$C$9^2)*S2740*T2740</f>
        <v>0</v>
      </c>
      <c r="V2740" s="166">
        <v>0</v>
      </c>
      <c r="W2740" s="166">
        <v>0</v>
      </c>
      <c r="X2740" s="164">
        <f>($L2740*'Pivot Objective'!$C$9^3)*V2740*W2740</f>
        <v>0</v>
      </c>
      <c r="Y2740" s="166">
        <v>0</v>
      </c>
      <c r="Z2740" s="166">
        <v>0</v>
      </c>
      <c r="AA2740" s="164">
        <f>($L2740*'Pivot Objective'!$C$9^4)*Y2740*Z2740</f>
        <v>0</v>
      </c>
      <c r="AB2740" s="166">
        <v>0</v>
      </c>
      <c r="AC2740" s="166">
        <v>0</v>
      </c>
      <c r="AD2740" s="164">
        <f>($L2740*'Pivot Objective'!$C$9^5)*AB2740*AC2740</f>
        <v>0</v>
      </c>
      <c r="AE2740" s="166">
        <v>1</v>
      </c>
      <c r="AF2740" s="166">
        <v>1</v>
      </c>
      <c r="AG2740" s="164">
        <f>($L2740*'Pivot Objective'!$C$9^6)*AE2740*AF2740</f>
        <v>233703.88445488326</v>
      </c>
      <c r="AH2740" s="166">
        <v>0</v>
      </c>
      <c r="AI2740" s="166">
        <v>0</v>
      </c>
      <c r="AJ2740" s="164">
        <f>($L2740*'Pivot Objective'!$C$9^7)*AH2740*AI2740</f>
        <v>0</v>
      </c>
      <c r="AK2740" s="185">
        <f t="shared" si="298"/>
        <v>353539.16147533327</v>
      </c>
      <c r="AL2740" s="186">
        <f t="shared" si="299"/>
        <v>343.24190434498377</v>
      </c>
    </row>
    <row r="2741" spans="1:38" customFormat="1" ht="57.6" x14ac:dyDescent="0.3">
      <c r="A2741" s="140" t="s">
        <v>1483</v>
      </c>
      <c r="B2741" s="140">
        <v>4</v>
      </c>
      <c r="C2741" s="166" t="s">
        <v>697</v>
      </c>
      <c r="D2741" s="140" t="str">
        <f t="shared" si="301"/>
        <v>4</v>
      </c>
      <c r="E2741" s="166" t="s">
        <v>695</v>
      </c>
      <c r="F2741" s="140">
        <f t="shared" si="303"/>
        <v>3</v>
      </c>
      <c r="G2741" s="140" t="str">
        <f t="shared" si="302"/>
        <v>4.4.3</v>
      </c>
      <c r="H2741" s="166" t="s">
        <v>1704</v>
      </c>
      <c r="I2741" s="166" t="s">
        <v>140</v>
      </c>
      <c r="J2741" s="166" t="s">
        <v>621</v>
      </c>
      <c r="K2741" s="166" t="s">
        <v>709</v>
      </c>
      <c r="L2741" s="166">
        <v>35000</v>
      </c>
      <c r="M2741" s="166"/>
      <c r="N2741" s="166"/>
      <c r="O2741" s="164">
        <f t="shared" si="297"/>
        <v>0</v>
      </c>
      <c r="P2741" s="166">
        <v>0</v>
      </c>
      <c r="Q2741" s="166">
        <v>0</v>
      </c>
      <c r="R2741" s="164">
        <f>$L2741*'Pivot Objective'!$C$9*P2741*Q2741</f>
        <v>0</v>
      </c>
      <c r="S2741" s="166">
        <v>40</v>
      </c>
      <c r="T2741" s="166">
        <v>2</v>
      </c>
      <c r="U2741" s="164">
        <f>($L2741*'Pivot Objective'!$C$9^2)*S2741*T2741</f>
        <v>3657552.1751095126</v>
      </c>
      <c r="V2741" s="166">
        <v>0</v>
      </c>
      <c r="W2741" s="166">
        <v>0</v>
      </c>
      <c r="X2741" s="164">
        <f>($L2741*'Pivot Objective'!$C$9^3)*V2741*W2741</f>
        <v>0</v>
      </c>
      <c r="Y2741" s="166">
        <v>0</v>
      </c>
      <c r="Z2741" s="166">
        <v>0</v>
      </c>
      <c r="AA2741" s="164">
        <f>($L2741*'Pivot Objective'!$C$9^4)*Y2741*Z2741</f>
        <v>0</v>
      </c>
      <c r="AB2741" s="166">
        <v>0</v>
      </c>
      <c r="AC2741" s="166">
        <v>0</v>
      </c>
      <c r="AD2741" s="164">
        <f>($L2741*'Pivot Objective'!$C$9^5)*AB2741*AC2741</f>
        <v>0</v>
      </c>
      <c r="AE2741" s="166">
        <v>0</v>
      </c>
      <c r="AF2741" s="166">
        <v>0</v>
      </c>
      <c r="AG2741" s="164">
        <f>($L2741*'Pivot Objective'!$C$9^6)*AE2741*AF2741</f>
        <v>0</v>
      </c>
      <c r="AH2741" s="166">
        <v>0</v>
      </c>
      <c r="AI2741" s="166">
        <v>0</v>
      </c>
      <c r="AJ2741" s="164">
        <f>($L2741*'Pivot Objective'!$C$9^7)*AH2741*AI2741</f>
        <v>0</v>
      </c>
      <c r="AK2741" s="185">
        <f t="shared" si="298"/>
        <v>3657552.1751095126</v>
      </c>
      <c r="AL2741" s="186">
        <f t="shared" si="299"/>
        <v>3551.0215292325365</v>
      </c>
    </row>
    <row r="2742" spans="1:38" customFormat="1" ht="57.6" x14ac:dyDescent="0.3">
      <c r="A2742" s="140" t="s">
        <v>1483</v>
      </c>
      <c r="B2742" s="140">
        <v>4</v>
      </c>
      <c r="C2742" s="166" t="s">
        <v>697</v>
      </c>
      <c r="D2742" s="140" t="str">
        <f t="shared" si="301"/>
        <v>4</v>
      </c>
      <c r="E2742" s="166" t="s">
        <v>695</v>
      </c>
      <c r="F2742" s="140">
        <f t="shared" si="303"/>
        <v>3</v>
      </c>
      <c r="G2742" s="140" t="str">
        <f t="shared" si="302"/>
        <v>4.4.3</v>
      </c>
      <c r="H2742" s="166" t="s">
        <v>1704</v>
      </c>
      <c r="I2742" s="166" t="s">
        <v>140</v>
      </c>
      <c r="J2742" s="166" t="s">
        <v>621</v>
      </c>
      <c r="K2742" s="166" t="s">
        <v>716</v>
      </c>
      <c r="L2742" s="166">
        <v>39000</v>
      </c>
      <c r="M2742" s="166"/>
      <c r="N2742" s="166"/>
      <c r="O2742" s="164">
        <f t="shared" si="297"/>
        <v>0</v>
      </c>
      <c r="P2742" s="166">
        <v>0</v>
      </c>
      <c r="Q2742" s="166">
        <v>0</v>
      </c>
      <c r="R2742" s="164">
        <f>$L2742*'Pivot Objective'!$C$9*P2742*Q2742</f>
        <v>0</v>
      </c>
      <c r="S2742" s="166">
        <v>40</v>
      </c>
      <c r="T2742" s="166">
        <v>2</v>
      </c>
      <c r="U2742" s="164">
        <f>($L2742*'Pivot Objective'!$C$9^2)*S2742*T2742</f>
        <v>4075558.1379791717</v>
      </c>
      <c r="V2742" s="166"/>
      <c r="W2742" s="166"/>
      <c r="X2742" s="164">
        <f>($L2742*'Pivot Objective'!$C$9^3)*V2742*W2742</f>
        <v>0</v>
      </c>
      <c r="Y2742" s="166"/>
      <c r="Z2742" s="166"/>
      <c r="AA2742" s="164">
        <f>($L2742*'Pivot Objective'!$C$9^4)*Y2742*Z2742</f>
        <v>0</v>
      </c>
      <c r="AB2742" s="166"/>
      <c r="AC2742" s="166"/>
      <c r="AD2742" s="164">
        <f>($L2742*'Pivot Objective'!$C$9^5)*AB2742*AC2742</f>
        <v>0</v>
      </c>
      <c r="AE2742" s="166"/>
      <c r="AF2742" s="166"/>
      <c r="AG2742" s="164">
        <f>($L2742*'Pivot Objective'!$C$9^6)*AE2742*AF2742</f>
        <v>0</v>
      </c>
      <c r="AH2742" s="166"/>
      <c r="AI2742" s="166"/>
      <c r="AJ2742" s="164">
        <f>($L2742*'Pivot Objective'!$C$9^7)*AH2742*AI2742</f>
        <v>0</v>
      </c>
      <c r="AK2742" s="185">
        <f t="shared" si="298"/>
        <v>4075558.1379791717</v>
      </c>
      <c r="AL2742" s="186">
        <f t="shared" si="299"/>
        <v>3956.8525611448267</v>
      </c>
    </row>
    <row r="2743" spans="1:38" customFormat="1" ht="57.6" x14ac:dyDescent="0.3">
      <c r="A2743" s="140" t="s">
        <v>1483</v>
      </c>
      <c r="B2743" s="140">
        <v>4</v>
      </c>
      <c r="C2743" s="166" t="s">
        <v>697</v>
      </c>
      <c r="D2743" s="140" t="str">
        <f t="shared" si="301"/>
        <v>4</v>
      </c>
      <c r="E2743" s="166" t="s">
        <v>695</v>
      </c>
      <c r="F2743" s="140">
        <f t="shared" si="303"/>
        <v>3</v>
      </c>
      <c r="G2743" s="140" t="str">
        <f t="shared" si="302"/>
        <v>4.4.3</v>
      </c>
      <c r="H2743" s="166" t="s">
        <v>1704</v>
      </c>
      <c r="I2743" s="166" t="s">
        <v>140</v>
      </c>
      <c r="J2743" s="166" t="s">
        <v>621</v>
      </c>
      <c r="K2743" s="166" t="s">
        <v>712</v>
      </c>
      <c r="L2743" s="166">
        <f>1480/7</f>
        <v>211.42857142857142</v>
      </c>
      <c r="M2743" s="166"/>
      <c r="N2743" s="166"/>
      <c r="O2743" s="164">
        <f t="shared" si="297"/>
        <v>0</v>
      </c>
      <c r="P2743" s="166">
        <v>0</v>
      </c>
      <c r="Q2743" s="166">
        <v>0</v>
      </c>
      <c r="R2743" s="164">
        <f>$L2743*'Pivot Objective'!$C$9*P2743*Q2743</f>
        <v>0</v>
      </c>
      <c r="S2743" s="166">
        <f>2*25*9</f>
        <v>450</v>
      </c>
      <c r="T2743" s="166">
        <v>2</v>
      </c>
      <c r="U2743" s="164">
        <f>($L2743*'Pivot Objective'!$C$9^2)*S2743*T2743</f>
        <v>248564.26006356487</v>
      </c>
      <c r="V2743" s="166"/>
      <c r="W2743" s="166"/>
      <c r="X2743" s="164">
        <f>($L2743*'Pivot Objective'!$C$9^3)*V2743*W2743</f>
        <v>0</v>
      </c>
      <c r="Y2743" s="166"/>
      <c r="Z2743" s="166"/>
      <c r="AA2743" s="164">
        <f>($L2743*'Pivot Objective'!$C$9^4)*Y2743*Z2743</f>
        <v>0</v>
      </c>
      <c r="AB2743" s="166"/>
      <c r="AC2743" s="166"/>
      <c r="AD2743" s="164">
        <f>($L2743*'Pivot Objective'!$C$9^5)*AB2743*AC2743</f>
        <v>0</v>
      </c>
      <c r="AE2743" s="166"/>
      <c r="AF2743" s="166"/>
      <c r="AG2743" s="164">
        <f>($L2743*'Pivot Objective'!$C$9^6)*AE2743*AF2743</f>
        <v>0</v>
      </c>
      <c r="AH2743" s="166"/>
      <c r="AI2743" s="166"/>
      <c r="AJ2743" s="164">
        <f>($L2743*'Pivot Objective'!$C$9^7)*AH2743*AI2743</f>
        <v>0</v>
      </c>
      <c r="AK2743" s="185">
        <f t="shared" si="298"/>
        <v>248564.26006356487</v>
      </c>
      <c r="AL2743" s="186">
        <f t="shared" si="299"/>
        <v>241.32452433355812</v>
      </c>
    </row>
    <row r="2744" spans="1:38" customFormat="1" ht="57.6" x14ac:dyDescent="0.3">
      <c r="A2744" s="140" t="s">
        <v>1483</v>
      </c>
      <c r="B2744" s="140">
        <v>4</v>
      </c>
      <c r="C2744" s="166" t="s">
        <v>697</v>
      </c>
      <c r="D2744" s="140" t="str">
        <f t="shared" si="301"/>
        <v>4</v>
      </c>
      <c r="E2744" s="166" t="s">
        <v>695</v>
      </c>
      <c r="F2744" s="140">
        <f t="shared" si="303"/>
        <v>3</v>
      </c>
      <c r="G2744" s="140" t="str">
        <f t="shared" si="302"/>
        <v>4.4.3</v>
      </c>
      <c r="H2744" s="166" t="s">
        <v>1704</v>
      </c>
      <c r="I2744" s="166" t="s">
        <v>140</v>
      </c>
      <c r="J2744" s="166" t="s">
        <v>621</v>
      </c>
      <c r="K2744" s="166" t="s">
        <v>1320</v>
      </c>
      <c r="L2744" s="166">
        <f>1480/7</f>
        <v>211.42857142857142</v>
      </c>
      <c r="M2744" s="166"/>
      <c r="N2744" s="166"/>
      <c r="O2744" s="164">
        <f t="shared" si="297"/>
        <v>0</v>
      </c>
      <c r="P2744" s="166">
        <v>0</v>
      </c>
      <c r="Q2744" s="166">
        <v>0</v>
      </c>
      <c r="R2744" s="164">
        <f>$L2744*'Pivot Objective'!$C$9*P2744*Q2744</f>
        <v>0</v>
      </c>
      <c r="S2744" s="166">
        <f>2*135*9</f>
        <v>2430</v>
      </c>
      <c r="T2744" s="166">
        <v>2</v>
      </c>
      <c r="U2744" s="164">
        <f>($L2744*'Pivot Objective'!$C$9^2)*S2744*T2744</f>
        <v>1342247.0043432503</v>
      </c>
      <c r="V2744" s="166"/>
      <c r="W2744" s="166"/>
      <c r="X2744" s="164">
        <f>($L2744*'Pivot Objective'!$C$9^3)*V2744*W2744</f>
        <v>0</v>
      </c>
      <c r="Y2744" s="166"/>
      <c r="Z2744" s="166"/>
      <c r="AA2744" s="164">
        <f>($L2744*'Pivot Objective'!$C$9^4)*Y2744*Z2744</f>
        <v>0</v>
      </c>
      <c r="AB2744" s="166"/>
      <c r="AC2744" s="166"/>
      <c r="AD2744" s="164">
        <f>($L2744*'Pivot Objective'!$C$9^5)*AB2744*AC2744</f>
        <v>0</v>
      </c>
      <c r="AE2744" s="166"/>
      <c r="AF2744" s="166"/>
      <c r="AG2744" s="164">
        <f>($L2744*'Pivot Objective'!$C$9^6)*AE2744*AF2744</f>
        <v>0</v>
      </c>
      <c r="AH2744" s="166"/>
      <c r="AI2744" s="166"/>
      <c r="AJ2744" s="164">
        <f>($L2744*'Pivot Objective'!$C$9^7)*AH2744*AI2744</f>
        <v>0</v>
      </c>
      <c r="AK2744" s="185">
        <f t="shared" si="298"/>
        <v>1342247.0043432503</v>
      </c>
      <c r="AL2744" s="186">
        <f t="shared" si="299"/>
        <v>1303.1524314012138</v>
      </c>
    </row>
    <row r="2745" spans="1:38" customFormat="1" ht="57.6" x14ac:dyDescent="0.3">
      <c r="A2745" s="140" t="s">
        <v>1483</v>
      </c>
      <c r="B2745" s="140">
        <v>4</v>
      </c>
      <c r="C2745" s="166" t="s">
        <v>697</v>
      </c>
      <c r="D2745" s="140" t="str">
        <f t="shared" si="301"/>
        <v>4</v>
      </c>
      <c r="E2745" s="166" t="s">
        <v>695</v>
      </c>
      <c r="F2745" s="140">
        <f t="shared" si="303"/>
        <v>4</v>
      </c>
      <c r="G2745" s="140" t="str">
        <f t="shared" si="302"/>
        <v>4.4.4</v>
      </c>
      <c r="H2745" s="166" t="s">
        <v>1705</v>
      </c>
      <c r="I2745" s="166" t="s">
        <v>141</v>
      </c>
      <c r="J2745" s="166" t="s">
        <v>155</v>
      </c>
      <c r="K2745" s="166" t="s">
        <v>718</v>
      </c>
      <c r="L2745" s="166">
        <v>0</v>
      </c>
      <c r="M2745" s="166"/>
      <c r="N2745" s="166"/>
      <c r="O2745" s="164">
        <f t="shared" si="297"/>
        <v>0</v>
      </c>
      <c r="P2745" s="166">
        <v>0</v>
      </c>
      <c r="Q2745" s="166">
        <v>0</v>
      </c>
      <c r="R2745" s="164">
        <f>$L2745*'Pivot Objective'!$C$9*P2745*Q2745</f>
        <v>0</v>
      </c>
      <c r="S2745" s="166">
        <v>0</v>
      </c>
      <c r="T2745" s="166">
        <v>0</v>
      </c>
      <c r="U2745" s="164">
        <f>($L2745*'Pivot Objective'!$C$9^2)*S2745*T2745</f>
        <v>0</v>
      </c>
      <c r="V2745" s="166">
        <v>0</v>
      </c>
      <c r="W2745" s="166">
        <v>0</v>
      </c>
      <c r="X2745" s="164">
        <f>($L2745*'Pivot Objective'!$C$9^3)*V2745*W2745</f>
        <v>0</v>
      </c>
      <c r="Y2745" s="166">
        <v>0</v>
      </c>
      <c r="Z2745" s="166">
        <v>0</v>
      </c>
      <c r="AA2745" s="164">
        <f>($L2745*'Pivot Objective'!$C$9^4)*Y2745*Z2745</f>
        <v>0</v>
      </c>
      <c r="AB2745" s="166">
        <v>0</v>
      </c>
      <c r="AC2745" s="166">
        <v>0</v>
      </c>
      <c r="AD2745" s="164">
        <f>($L2745*'Pivot Objective'!$C$9^5)*AB2745*AC2745</f>
        <v>0</v>
      </c>
      <c r="AE2745" s="166">
        <v>0</v>
      </c>
      <c r="AF2745" s="166">
        <v>0</v>
      </c>
      <c r="AG2745" s="164">
        <f>($L2745*'Pivot Objective'!$C$9^6)*AE2745*AF2745</f>
        <v>0</v>
      </c>
      <c r="AH2745" s="166">
        <v>0</v>
      </c>
      <c r="AI2745" s="166">
        <v>0</v>
      </c>
      <c r="AJ2745" s="164">
        <f>($L2745*'Pivot Objective'!$C$9^7)*AH2745*AI2745</f>
        <v>0</v>
      </c>
      <c r="AK2745" s="185">
        <f t="shared" si="298"/>
        <v>0</v>
      </c>
      <c r="AL2745" s="186">
        <f t="shared" si="299"/>
        <v>0</v>
      </c>
    </row>
    <row r="2746" spans="1:38" customFormat="1" ht="57.6" x14ac:dyDescent="0.3">
      <c r="A2746" s="140" t="s">
        <v>1483</v>
      </c>
      <c r="B2746" s="140">
        <v>4</v>
      </c>
      <c r="C2746" s="166" t="s">
        <v>697</v>
      </c>
      <c r="D2746" s="140" t="str">
        <f t="shared" si="301"/>
        <v>4</v>
      </c>
      <c r="E2746" s="166" t="s">
        <v>695</v>
      </c>
      <c r="F2746" s="140">
        <f t="shared" si="303"/>
        <v>4</v>
      </c>
      <c r="G2746" s="140" t="str">
        <f t="shared" si="302"/>
        <v>4.4.4</v>
      </c>
      <c r="H2746" s="166" t="s">
        <v>1705</v>
      </c>
      <c r="I2746" s="166" t="s">
        <v>141</v>
      </c>
      <c r="J2746" s="166" t="s">
        <v>622</v>
      </c>
      <c r="K2746" s="166" t="s">
        <v>709</v>
      </c>
      <c r="L2746" s="166">
        <v>35000</v>
      </c>
      <c r="M2746" s="166"/>
      <c r="N2746" s="166"/>
      <c r="O2746" s="164">
        <f t="shared" si="297"/>
        <v>0</v>
      </c>
      <c r="P2746" s="166">
        <v>0</v>
      </c>
      <c r="Q2746" s="166">
        <v>0</v>
      </c>
      <c r="R2746" s="164">
        <f>$L2746*'Pivot Objective'!$C$9*P2746*Q2746</f>
        <v>0</v>
      </c>
      <c r="S2746" s="166">
        <v>0</v>
      </c>
      <c r="T2746" s="166">
        <v>0</v>
      </c>
      <c r="U2746" s="164">
        <f>($L2746*'Pivot Objective'!$C$9^2)*S2746*T2746</f>
        <v>0</v>
      </c>
      <c r="V2746" s="166">
        <v>30</v>
      </c>
      <c r="W2746" s="166">
        <v>24</v>
      </c>
      <c r="X2746" s="164">
        <f>($L2746*'Pivot Objective'!$C$9^3)*V2746*W2746</f>
        <v>37622641.898798108</v>
      </c>
      <c r="Y2746" s="166">
        <v>0</v>
      </c>
      <c r="Z2746" s="166">
        <v>0</v>
      </c>
      <c r="AA2746" s="164">
        <f>($L2746*'Pivot Objective'!$C$9^4)*Y2746*Z2746</f>
        <v>0</v>
      </c>
      <c r="AB2746" s="166">
        <v>0</v>
      </c>
      <c r="AC2746" s="166">
        <v>0</v>
      </c>
      <c r="AD2746" s="164">
        <f>($L2746*'Pivot Objective'!$C$9^5)*AB2746*AC2746</f>
        <v>0</v>
      </c>
      <c r="AE2746" s="166">
        <v>0</v>
      </c>
      <c r="AF2746" s="166">
        <v>0</v>
      </c>
      <c r="AG2746" s="164">
        <f>($L2746*'Pivot Objective'!$C$9^6)*AE2746*AF2746</f>
        <v>0</v>
      </c>
      <c r="AH2746" s="166">
        <v>0</v>
      </c>
      <c r="AI2746" s="166">
        <v>0</v>
      </c>
      <c r="AJ2746" s="164">
        <f>($L2746*'Pivot Objective'!$C$9^7)*AH2746*AI2746</f>
        <v>0</v>
      </c>
      <c r="AK2746" s="185">
        <f t="shared" si="298"/>
        <v>37622641.898798108</v>
      </c>
      <c r="AL2746" s="186">
        <f t="shared" si="299"/>
        <v>36526.836794949617</v>
      </c>
    </row>
    <row r="2747" spans="1:38" customFormat="1" ht="57.6" x14ac:dyDescent="0.3">
      <c r="A2747" s="140" t="s">
        <v>1483</v>
      </c>
      <c r="B2747" s="140">
        <v>4</v>
      </c>
      <c r="C2747" s="166" t="s">
        <v>697</v>
      </c>
      <c r="D2747" s="140" t="str">
        <f t="shared" si="301"/>
        <v>4</v>
      </c>
      <c r="E2747" s="166" t="s">
        <v>695</v>
      </c>
      <c r="F2747" s="140">
        <f t="shared" si="303"/>
        <v>4</v>
      </c>
      <c r="G2747" s="140" t="str">
        <f t="shared" si="302"/>
        <v>4.4.4</v>
      </c>
      <c r="H2747" s="166" t="s">
        <v>1705</v>
      </c>
      <c r="I2747" s="166" t="s">
        <v>141</v>
      </c>
      <c r="J2747" s="166" t="s">
        <v>622</v>
      </c>
      <c r="K2747" s="166" t="s">
        <v>716</v>
      </c>
      <c r="L2747" s="166">
        <v>39000</v>
      </c>
      <c r="M2747" s="166"/>
      <c r="N2747" s="166"/>
      <c r="O2747" s="164">
        <f t="shared" si="297"/>
        <v>0</v>
      </c>
      <c r="P2747" s="166">
        <v>0</v>
      </c>
      <c r="Q2747" s="166">
        <v>0</v>
      </c>
      <c r="R2747" s="164">
        <f>$L2747*'Pivot Objective'!$C$9*P2747*Q2747</f>
        <v>0</v>
      </c>
      <c r="S2747" s="166">
        <v>0</v>
      </c>
      <c r="T2747" s="166">
        <v>0</v>
      </c>
      <c r="U2747" s="164">
        <f>($L2747*'Pivot Objective'!$C$9^2)*S2747*T2747</f>
        <v>0</v>
      </c>
      <c r="V2747" s="166">
        <v>30</v>
      </c>
      <c r="W2747" s="166">
        <v>24</v>
      </c>
      <c r="X2747" s="164">
        <f>($L2747*'Pivot Objective'!$C$9^3)*V2747*W2747</f>
        <v>41922372.401517883</v>
      </c>
      <c r="Y2747" s="166">
        <v>0</v>
      </c>
      <c r="Z2747" s="166">
        <v>0</v>
      </c>
      <c r="AA2747" s="164">
        <f>($L2747*'Pivot Objective'!$C$9^4)*Y2747*Z2747</f>
        <v>0</v>
      </c>
      <c r="AB2747" s="166">
        <v>0</v>
      </c>
      <c r="AC2747" s="166">
        <v>0</v>
      </c>
      <c r="AD2747" s="164">
        <f>($L2747*'Pivot Objective'!$C$9^5)*AB2747*AC2747</f>
        <v>0</v>
      </c>
      <c r="AE2747" s="166">
        <v>0</v>
      </c>
      <c r="AF2747" s="166">
        <v>0</v>
      </c>
      <c r="AG2747" s="164">
        <f>($L2747*'Pivot Objective'!$C$9^6)*AE2747*AF2747</f>
        <v>0</v>
      </c>
      <c r="AH2747" s="166">
        <v>0</v>
      </c>
      <c r="AI2747" s="166">
        <v>0</v>
      </c>
      <c r="AJ2747" s="164">
        <f>($L2747*'Pivot Objective'!$C$9^7)*AH2747*AI2747</f>
        <v>0</v>
      </c>
      <c r="AK2747" s="185">
        <f t="shared" si="298"/>
        <v>41922372.401517883</v>
      </c>
      <c r="AL2747" s="186">
        <f t="shared" si="299"/>
        <v>40701.332428658141</v>
      </c>
    </row>
    <row r="2748" spans="1:38" customFormat="1" ht="57.6" x14ac:dyDescent="0.3">
      <c r="A2748" s="140" t="s">
        <v>1483</v>
      </c>
      <c r="B2748" s="140">
        <v>4</v>
      </c>
      <c r="C2748" s="166" t="s">
        <v>697</v>
      </c>
      <c r="D2748" s="140" t="str">
        <f t="shared" si="301"/>
        <v>4</v>
      </c>
      <c r="E2748" s="166" t="s">
        <v>695</v>
      </c>
      <c r="F2748" s="140">
        <f t="shared" si="303"/>
        <v>4</v>
      </c>
      <c r="G2748" s="140" t="str">
        <f t="shared" si="302"/>
        <v>4.4.4</v>
      </c>
      <c r="H2748" s="166" t="s">
        <v>1705</v>
      </c>
      <c r="I2748" s="166" t="s">
        <v>141</v>
      </c>
      <c r="J2748" s="166" t="s">
        <v>622</v>
      </c>
      <c r="K2748" s="166" t="s">
        <v>712</v>
      </c>
      <c r="L2748" s="166">
        <f>1480/7</f>
        <v>211.42857142857142</v>
      </c>
      <c r="M2748" s="166"/>
      <c r="N2748" s="166"/>
      <c r="O2748" s="164">
        <f t="shared" si="297"/>
        <v>0</v>
      </c>
      <c r="P2748" s="166">
        <v>0</v>
      </c>
      <c r="Q2748" s="166">
        <v>0</v>
      </c>
      <c r="R2748" s="164">
        <f>$L2748*'Pivot Objective'!$C$9*P2748*Q2748</f>
        <v>0</v>
      </c>
      <c r="S2748" s="166">
        <v>0</v>
      </c>
      <c r="T2748" s="166">
        <v>0</v>
      </c>
      <c r="U2748" s="164">
        <f>($L2748*'Pivot Objective'!$C$9^2)*S2748*T2748</f>
        <v>0</v>
      </c>
      <c r="V2748" s="166">
        <f>2*25*9</f>
        <v>450</v>
      </c>
      <c r="W2748" s="166">
        <v>24</v>
      </c>
      <c r="X2748" s="164">
        <f>($L2748*'Pivot Objective'!$C$9^3)*V2748*W2748</f>
        <v>3409072.0414421135</v>
      </c>
      <c r="Y2748" s="166">
        <v>0</v>
      </c>
      <c r="Z2748" s="166">
        <v>0</v>
      </c>
      <c r="AA2748" s="164">
        <f>($L2748*'Pivot Objective'!$C$9^4)*Y2748*Z2748</f>
        <v>0</v>
      </c>
      <c r="AB2748" s="166">
        <v>0</v>
      </c>
      <c r="AC2748" s="166">
        <v>0</v>
      </c>
      <c r="AD2748" s="164">
        <f>($L2748*'Pivot Objective'!$C$9^5)*AB2748*AC2748</f>
        <v>0</v>
      </c>
      <c r="AE2748" s="166">
        <v>0</v>
      </c>
      <c r="AF2748" s="166">
        <v>0</v>
      </c>
      <c r="AG2748" s="164">
        <f>($L2748*'Pivot Objective'!$C$9^6)*AE2748*AF2748</f>
        <v>0</v>
      </c>
      <c r="AH2748" s="166">
        <v>0</v>
      </c>
      <c r="AI2748" s="166">
        <v>0</v>
      </c>
      <c r="AJ2748" s="164">
        <f>($L2748*'Pivot Objective'!$C$9^7)*AH2748*AI2748</f>
        <v>0</v>
      </c>
      <c r="AK2748" s="185">
        <f t="shared" si="298"/>
        <v>3409072.0414421135</v>
      </c>
      <c r="AL2748" s="186">
        <f t="shared" si="299"/>
        <v>3309.7786810117605</v>
      </c>
    </row>
    <row r="2749" spans="1:38" customFormat="1" ht="57.6" x14ac:dyDescent="0.3">
      <c r="A2749" s="140" t="s">
        <v>1483</v>
      </c>
      <c r="B2749" s="140">
        <v>4</v>
      </c>
      <c r="C2749" s="166" t="s">
        <v>697</v>
      </c>
      <c r="D2749" s="140" t="str">
        <f t="shared" si="301"/>
        <v>4</v>
      </c>
      <c r="E2749" s="166" t="s">
        <v>695</v>
      </c>
      <c r="F2749" s="140">
        <f t="shared" si="303"/>
        <v>4</v>
      </c>
      <c r="G2749" s="140" t="str">
        <f t="shared" si="302"/>
        <v>4.4.4</v>
      </c>
      <c r="H2749" s="166" t="s">
        <v>1705</v>
      </c>
      <c r="I2749" s="166" t="s">
        <v>141</v>
      </c>
      <c r="J2749" s="166" t="s">
        <v>622</v>
      </c>
      <c r="K2749" s="166" t="s">
        <v>1320</v>
      </c>
      <c r="L2749" s="166">
        <f>1480/7</f>
        <v>211.42857142857142</v>
      </c>
      <c r="M2749" s="166"/>
      <c r="N2749" s="166"/>
      <c r="O2749" s="164">
        <f t="shared" si="297"/>
        <v>0</v>
      </c>
      <c r="P2749" s="166"/>
      <c r="Q2749" s="166"/>
      <c r="R2749" s="164">
        <f>$L2749*'Pivot Objective'!$C$9*P2749*Q2749</f>
        <v>0</v>
      </c>
      <c r="S2749" s="166"/>
      <c r="T2749" s="166"/>
      <c r="U2749" s="164">
        <f>($L2749*'Pivot Objective'!$C$9^2)*S2749*T2749</f>
        <v>0</v>
      </c>
      <c r="V2749" s="166">
        <f>2*135*9</f>
        <v>2430</v>
      </c>
      <c r="W2749" s="166">
        <v>24</v>
      </c>
      <c r="X2749" s="164">
        <f>($L2749*'Pivot Objective'!$C$9^3)*V2749*W2749</f>
        <v>18408989.023787413</v>
      </c>
      <c r="Y2749" s="166"/>
      <c r="Z2749" s="166"/>
      <c r="AA2749" s="164">
        <f>($L2749*'Pivot Objective'!$C$9^4)*Y2749*Z2749</f>
        <v>0</v>
      </c>
      <c r="AB2749" s="166"/>
      <c r="AC2749" s="166"/>
      <c r="AD2749" s="164">
        <f>($L2749*'Pivot Objective'!$C$9^5)*AB2749*AC2749</f>
        <v>0</v>
      </c>
      <c r="AE2749" s="166"/>
      <c r="AF2749" s="166"/>
      <c r="AG2749" s="164">
        <f>($L2749*'Pivot Objective'!$C$9^6)*AE2749*AF2749</f>
        <v>0</v>
      </c>
      <c r="AH2749" s="166"/>
      <c r="AI2749" s="166"/>
      <c r="AJ2749" s="164">
        <f>($L2749*'Pivot Objective'!$C$9^7)*AH2749*AI2749</f>
        <v>0</v>
      </c>
      <c r="AK2749" s="185">
        <f t="shared" si="298"/>
        <v>18408989.023787413</v>
      </c>
      <c r="AL2749" s="186">
        <f t="shared" si="299"/>
        <v>17872.804877463506</v>
      </c>
    </row>
    <row r="2750" spans="1:38" customFormat="1" ht="57.6" x14ac:dyDescent="0.3">
      <c r="A2750" s="140" t="s">
        <v>1483</v>
      </c>
      <c r="B2750" s="140">
        <v>4</v>
      </c>
      <c r="C2750" s="166" t="s">
        <v>697</v>
      </c>
      <c r="D2750" s="140" t="str">
        <f t="shared" si="301"/>
        <v>4</v>
      </c>
      <c r="E2750" s="166" t="s">
        <v>695</v>
      </c>
      <c r="F2750" s="140">
        <f t="shared" si="303"/>
        <v>4</v>
      </c>
      <c r="G2750" s="140" t="str">
        <f t="shared" si="302"/>
        <v>4.4.4</v>
      </c>
      <c r="H2750" s="166" t="s">
        <v>1705</v>
      </c>
      <c r="I2750" s="166" t="s">
        <v>141</v>
      </c>
      <c r="J2750" s="166" t="s">
        <v>166</v>
      </c>
      <c r="K2750" s="166" t="s">
        <v>709</v>
      </c>
      <c r="L2750" s="166">
        <v>35000</v>
      </c>
      <c r="M2750" s="166"/>
      <c r="N2750" s="166"/>
      <c r="O2750" s="164">
        <f t="shared" si="297"/>
        <v>0</v>
      </c>
      <c r="P2750" s="166">
        <v>0</v>
      </c>
      <c r="Q2750" s="166">
        <v>0</v>
      </c>
      <c r="R2750" s="164">
        <f>$L2750*'Pivot Objective'!$C$9*P2750*Q2750</f>
        <v>0</v>
      </c>
      <c r="S2750" s="166">
        <v>0</v>
      </c>
      <c r="T2750" s="166">
        <v>0</v>
      </c>
      <c r="U2750" s="164">
        <f>($L2750*'Pivot Objective'!$C$9^2)*S2750*T2750</f>
        <v>0</v>
      </c>
      <c r="V2750" s="166">
        <v>25</v>
      </c>
      <c r="W2750" s="166">
        <v>1</v>
      </c>
      <c r="X2750" s="164">
        <f>($L2750*'Pivot Objective'!$C$9^3)*V2750*W2750</f>
        <v>1306341.7325971564</v>
      </c>
      <c r="Y2750" s="166">
        <v>0</v>
      </c>
      <c r="Z2750" s="166">
        <v>0</v>
      </c>
      <c r="AA2750" s="164">
        <f>($L2750*'Pivot Objective'!$C$9^4)*Y2750*Z2750</f>
        <v>0</v>
      </c>
      <c r="AB2750" s="166">
        <v>0</v>
      </c>
      <c r="AC2750" s="166">
        <v>0</v>
      </c>
      <c r="AD2750" s="164">
        <f>($L2750*'Pivot Objective'!$C$9^5)*AB2750*AC2750</f>
        <v>0</v>
      </c>
      <c r="AE2750" s="166">
        <v>0</v>
      </c>
      <c r="AF2750" s="166">
        <v>0</v>
      </c>
      <c r="AG2750" s="164">
        <f>($L2750*'Pivot Objective'!$C$9^6)*AE2750*AF2750</f>
        <v>0</v>
      </c>
      <c r="AH2750" s="166">
        <v>0</v>
      </c>
      <c r="AI2750" s="166">
        <v>0</v>
      </c>
      <c r="AJ2750" s="164">
        <f>($L2750*'Pivot Objective'!$C$9^7)*AH2750*AI2750</f>
        <v>0</v>
      </c>
      <c r="AK2750" s="185">
        <f t="shared" si="298"/>
        <v>1306341.7325971564</v>
      </c>
      <c r="AL2750" s="186">
        <f t="shared" si="299"/>
        <v>1268.2929442690838</v>
      </c>
    </row>
    <row r="2751" spans="1:38" customFormat="1" ht="57.6" x14ac:dyDescent="0.3">
      <c r="A2751" s="140" t="s">
        <v>1483</v>
      </c>
      <c r="B2751" s="140">
        <v>4</v>
      </c>
      <c r="C2751" s="166" t="s">
        <v>697</v>
      </c>
      <c r="D2751" s="140" t="str">
        <f t="shared" si="301"/>
        <v>4</v>
      </c>
      <c r="E2751" s="166" t="s">
        <v>695</v>
      </c>
      <c r="F2751" s="140">
        <f t="shared" si="303"/>
        <v>4</v>
      </c>
      <c r="G2751" s="140" t="str">
        <f t="shared" si="302"/>
        <v>4.4.4</v>
      </c>
      <c r="H2751" s="166" t="s">
        <v>1705</v>
      </c>
      <c r="I2751" s="166" t="s">
        <v>141</v>
      </c>
      <c r="J2751" s="166" t="s">
        <v>623</v>
      </c>
      <c r="K2751" s="166" t="s">
        <v>718</v>
      </c>
      <c r="L2751" s="166">
        <v>0</v>
      </c>
      <c r="M2751" s="166"/>
      <c r="N2751" s="166"/>
      <c r="O2751" s="164">
        <f t="shared" si="297"/>
        <v>0</v>
      </c>
      <c r="P2751" s="166">
        <v>0</v>
      </c>
      <c r="Q2751" s="166">
        <v>0</v>
      </c>
      <c r="R2751" s="164">
        <f>$L2751*'Pivot Objective'!$C$9*P2751*Q2751</f>
        <v>0</v>
      </c>
      <c r="S2751" s="166">
        <v>0</v>
      </c>
      <c r="T2751" s="166">
        <v>0</v>
      </c>
      <c r="U2751" s="164">
        <f>($L2751*'Pivot Objective'!$C$9^2)*S2751*T2751</f>
        <v>0</v>
      </c>
      <c r="V2751" s="166">
        <v>25</v>
      </c>
      <c r="W2751" s="166">
        <v>1</v>
      </c>
      <c r="X2751" s="164">
        <f>($L2751*'Pivot Objective'!$C$9^3)*V2751*W2751</f>
        <v>0</v>
      </c>
      <c r="Y2751" s="166">
        <v>0</v>
      </c>
      <c r="Z2751" s="166">
        <v>0</v>
      </c>
      <c r="AA2751" s="164">
        <f>($L2751*'Pivot Objective'!$C$9^4)*Y2751*Z2751</f>
        <v>0</v>
      </c>
      <c r="AB2751" s="166">
        <v>0</v>
      </c>
      <c r="AC2751" s="166">
        <v>0</v>
      </c>
      <c r="AD2751" s="164">
        <f>($L2751*'Pivot Objective'!$C$9^5)*AB2751*AC2751</f>
        <v>0</v>
      </c>
      <c r="AE2751" s="166">
        <v>0</v>
      </c>
      <c r="AF2751" s="166">
        <v>0</v>
      </c>
      <c r="AG2751" s="164">
        <f>($L2751*'Pivot Objective'!$C$9^6)*AE2751*AF2751</f>
        <v>0</v>
      </c>
      <c r="AH2751" s="166">
        <v>0</v>
      </c>
      <c r="AI2751" s="166">
        <v>0</v>
      </c>
      <c r="AJ2751" s="164">
        <f>($L2751*'Pivot Objective'!$C$9^7)*AH2751*AI2751</f>
        <v>0</v>
      </c>
      <c r="AK2751" s="185">
        <f t="shared" si="298"/>
        <v>0</v>
      </c>
      <c r="AL2751" s="186">
        <f t="shared" si="299"/>
        <v>0</v>
      </c>
    </row>
    <row r="2752" spans="1:38" customFormat="1" ht="57.6" x14ac:dyDescent="0.3">
      <c r="A2752" s="140" t="s">
        <v>1483</v>
      </c>
      <c r="B2752" s="140">
        <v>4</v>
      </c>
      <c r="C2752" s="166" t="s">
        <v>697</v>
      </c>
      <c r="D2752" s="140" t="str">
        <f t="shared" si="301"/>
        <v>4</v>
      </c>
      <c r="E2752" s="166" t="s">
        <v>695</v>
      </c>
      <c r="F2752" s="140">
        <f t="shared" si="303"/>
        <v>4</v>
      </c>
      <c r="G2752" s="140" t="str">
        <f t="shared" si="302"/>
        <v>4.4.4</v>
      </c>
      <c r="H2752" s="166" t="s">
        <v>1705</v>
      </c>
      <c r="I2752" s="166" t="s">
        <v>141</v>
      </c>
      <c r="J2752" s="166" t="s">
        <v>624</v>
      </c>
      <c r="K2752" s="166" t="s">
        <v>709</v>
      </c>
      <c r="L2752" s="166">
        <v>35000</v>
      </c>
      <c r="M2752" s="166"/>
      <c r="N2752" s="166"/>
      <c r="O2752" s="164">
        <f t="shared" si="297"/>
        <v>0</v>
      </c>
      <c r="P2752" s="166">
        <v>0</v>
      </c>
      <c r="Q2752" s="166">
        <v>0</v>
      </c>
      <c r="R2752" s="164">
        <f>$L2752*'Pivot Objective'!$C$9*P2752*Q2752</f>
        <v>0</v>
      </c>
      <c r="S2752" s="166">
        <v>0</v>
      </c>
      <c r="T2752" s="166">
        <v>0</v>
      </c>
      <c r="U2752" s="164">
        <f>($L2752*'Pivot Objective'!$C$9^2)*S2752*T2752</f>
        <v>0</v>
      </c>
      <c r="V2752" s="166">
        <v>60</v>
      </c>
      <c r="W2752" s="166">
        <v>1</v>
      </c>
      <c r="X2752" s="164">
        <f>($L2752*'Pivot Objective'!$C$9^3)*V2752*W2752</f>
        <v>3135220.1582331755</v>
      </c>
      <c r="Y2752" s="166">
        <v>0</v>
      </c>
      <c r="Z2752" s="166">
        <v>0</v>
      </c>
      <c r="AA2752" s="164">
        <f>($L2752*'Pivot Objective'!$C$9^4)*Y2752*Z2752</f>
        <v>0</v>
      </c>
      <c r="AB2752" s="166">
        <v>0</v>
      </c>
      <c r="AC2752" s="166">
        <v>0</v>
      </c>
      <c r="AD2752" s="164">
        <f>($L2752*'Pivot Objective'!$C$9^5)*AB2752*AC2752</f>
        <v>0</v>
      </c>
      <c r="AE2752" s="166">
        <v>0</v>
      </c>
      <c r="AF2752" s="166">
        <v>0</v>
      </c>
      <c r="AG2752" s="164">
        <f>($L2752*'Pivot Objective'!$C$9^6)*AE2752*AF2752</f>
        <v>0</v>
      </c>
      <c r="AH2752" s="166">
        <v>0</v>
      </c>
      <c r="AI2752" s="166">
        <v>0</v>
      </c>
      <c r="AJ2752" s="164">
        <f>($L2752*'Pivot Objective'!$C$9^7)*AH2752*AI2752</f>
        <v>0</v>
      </c>
      <c r="AK2752" s="185">
        <f t="shared" si="298"/>
        <v>3135220.1582331755</v>
      </c>
      <c r="AL2752" s="186">
        <f t="shared" si="299"/>
        <v>3043.9030662458013</v>
      </c>
    </row>
    <row r="2753" spans="1:38" customFormat="1" ht="57.6" x14ac:dyDescent="0.3">
      <c r="A2753" s="140" t="s">
        <v>1483</v>
      </c>
      <c r="B2753" s="140">
        <v>4</v>
      </c>
      <c r="C2753" s="166" t="s">
        <v>697</v>
      </c>
      <c r="D2753" s="140" t="str">
        <f t="shared" si="301"/>
        <v>4</v>
      </c>
      <c r="E2753" s="166" t="s">
        <v>695</v>
      </c>
      <c r="F2753" s="140">
        <f t="shared" si="303"/>
        <v>4</v>
      </c>
      <c r="G2753" s="140" t="str">
        <f t="shared" si="302"/>
        <v>4.4.4</v>
      </c>
      <c r="H2753" s="166" t="s">
        <v>1705</v>
      </c>
      <c r="I2753" s="166" t="s">
        <v>141</v>
      </c>
      <c r="J2753" s="166" t="s">
        <v>624</v>
      </c>
      <c r="K2753" s="166" t="s">
        <v>716</v>
      </c>
      <c r="L2753" s="166">
        <v>39000</v>
      </c>
      <c r="M2753" s="166"/>
      <c r="N2753" s="166"/>
      <c r="O2753" s="164">
        <f t="shared" si="297"/>
        <v>0</v>
      </c>
      <c r="P2753" s="166">
        <v>0</v>
      </c>
      <c r="Q2753" s="166">
        <v>0</v>
      </c>
      <c r="R2753" s="164">
        <f>$L2753*'Pivot Objective'!$C$9*P2753*Q2753</f>
        <v>0</v>
      </c>
      <c r="S2753" s="166">
        <v>0</v>
      </c>
      <c r="T2753" s="166">
        <v>0</v>
      </c>
      <c r="U2753" s="164">
        <f>($L2753*'Pivot Objective'!$C$9^2)*S2753*T2753</f>
        <v>0</v>
      </c>
      <c r="V2753" s="166">
        <v>60</v>
      </c>
      <c r="W2753" s="166">
        <v>1</v>
      </c>
      <c r="X2753" s="164">
        <f>($L2753*'Pivot Objective'!$C$9^3)*V2753*W2753</f>
        <v>3493531.0334598236</v>
      </c>
      <c r="Y2753" s="166">
        <v>0</v>
      </c>
      <c r="Z2753" s="166">
        <v>0</v>
      </c>
      <c r="AA2753" s="164">
        <f>($L2753*'Pivot Objective'!$C$9^4)*Y2753*Z2753</f>
        <v>0</v>
      </c>
      <c r="AB2753" s="166">
        <v>0</v>
      </c>
      <c r="AC2753" s="166">
        <v>0</v>
      </c>
      <c r="AD2753" s="164">
        <f>($L2753*'Pivot Objective'!$C$9^5)*AB2753*AC2753</f>
        <v>0</v>
      </c>
      <c r="AE2753" s="166">
        <v>0</v>
      </c>
      <c r="AF2753" s="166">
        <v>0</v>
      </c>
      <c r="AG2753" s="164">
        <f>($L2753*'Pivot Objective'!$C$9^6)*AE2753*AF2753</f>
        <v>0</v>
      </c>
      <c r="AH2753" s="166">
        <v>0</v>
      </c>
      <c r="AI2753" s="166">
        <v>0</v>
      </c>
      <c r="AJ2753" s="164">
        <f>($L2753*'Pivot Objective'!$C$9^7)*AH2753*AI2753</f>
        <v>0</v>
      </c>
      <c r="AK2753" s="185">
        <f t="shared" si="298"/>
        <v>3493531.0334598236</v>
      </c>
      <c r="AL2753" s="186">
        <f t="shared" si="299"/>
        <v>3391.7777023881781</v>
      </c>
    </row>
    <row r="2754" spans="1:38" customFormat="1" ht="57.6" x14ac:dyDescent="0.3">
      <c r="A2754" s="140" t="s">
        <v>1483</v>
      </c>
      <c r="B2754" s="140">
        <v>4</v>
      </c>
      <c r="C2754" s="166" t="s">
        <v>697</v>
      </c>
      <c r="D2754" s="140" t="str">
        <f t="shared" si="301"/>
        <v>4</v>
      </c>
      <c r="E2754" s="166" t="s">
        <v>695</v>
      </c>
      <c r="F2754" s="140">
        <f t="shared" si="303"/>
        <v>4</v>
      </c>
      <c r="G2754" s="140" t="str">
        <f t="shared" si="302"/>
        <v>4.4.4</v>
      </c>
      <c r="H2754" s="166" t="s">
        <v>1705</v>
      </c>
      <c r="I2754" s="166" t="s">
        <v>141</v>
      </c>
      <c r="J2754" s="166" t="s">
        <v>624</v>
      </c>
      <c r="K2754" s="166" t="s">
        <v>712</v>
      </c>
      <c r="L2754" s="166">
        <f>1480/7</f>
        <v>211.42857142857142</v>
      </c>
      <c r="M2754" s="166"/>
      <c r="N2754" s="166"/>
      <c r="O2754" s="164">
        <f t="shared" si="297"/>
        <v>0</v>
      </c>
      <c r="P2754" s="166">
        <v>0</v>
      </c>
      <c r="Q2754" s="166">
        <v>0</v>
      </c>
      <c r="R2754" s="164">
        <f>$L2754*'Pivot Objective'!$C$9*P2754*Q2754</f>
        <v>0</v>
      </c>
      <c r="S2754" s="166">
        <v>0</v>
      </c>
      <c r="T2754" s="166">
        <v>0</v>
      </c>
      <c r="U2754" s="164">
        <f>($L2754*'Pivot Objective'!$C$9^2)*S2754*T2754</f>
        <v>0</v>
      </c>
      <c r="V2754" s="166">
        <f>2*9*25</f>
        <v>450</v>
      </c>
      <c r="W2754" s="166">
        <v>1</v>
      </c>
      <c r="X2754" s="164">
        <f>($L2754*'Pivot Objective'!$C$9^3)*V2754*W2754</f>
        <v>142044.66839342139</v>
      </c>
      <c r="Y2754" s="166">
        <v>0</v>
      </c>
      <c r="Z2754" s="166">
        <v>0</v>
      </c>
      <c r="AA2754" s="164">
        <f>($L2754*'Pivot Objective'!$C$9^4)*Y2754*Z2754</f>
        <v>0</v>
      </c>
      <c r="AB2754" s="166">
        <v>0</v>
      </c>
      <c r="AC2754" s="166">
        <v>0</v>
      </c>
      <c r="AD2754" s="164">
        <f>($L2754*'Pivot Objective'!$C$9^5)*AB2754*AC2754</f>
        <v>0</v>
      </c>
      <c r="AE2754" s="166">
        <v>0</v>
      </c>
      <c r="AF2754" s="166">
        <v>0</v>
      </c>
      <c r="AG2754" s="164">
        <f>($L2754*'Pivot Objective'!$C$9^6)*AE2754*AF2754</f>
        <v>0</v>
      </c>
      <c r="AH2754" s="166">
        <v>0</v>
      </c>
      <c r="AI2754" s="166">
        <v>0</v>
      </c>
      <c r="AJ2754" s="164">
        <f>($L2754*'Pivot Objective'!$C$9^7)*AH2754*AI2754</f>
        <v>0</v>
      </c>
      <c r="AK2754" s="185">
        <f t="shared" si="298"/>
        <v>142044.66839342139</v>
      </c>
      <c r="AL2754" s="186">
        <f t="shared" si="299"/>
        <v>137.9074450421567</v>
      </c>
    </row>
    <row r="2755" spans="1:38" customFormat="1" ht="57.6" x14ac:dyDescent="0.3">
      <c r="A2755" s="140" t="s">
        <v>1483</v>
      </c>
      <c r="B2755" s="140">
        <v>4</v>
      </c>
      <c r="C2755" s="166" t="s">
        <v>697</v>
      </c>
      <c r="D2755" s="140" t="str">
        <f t="shared" si="301"/>
        <v>4</v>
      </c>
      <c r="E2755" s="166" t="s">
        <v>695</v>
      </c>
      <c r="F2755" s="140">
        <f t="shared" si="303"/>
        <v>4</v>
      </c>
      <c r="G2755" s="140" t="str">
        <f t="shared" si="302"/>
        <v>4.4.4</v>
      </c>
      <c r="H2755" s="166" t="s">
        <v>1705</v>
      </c>
      <c r="I2755" s="166" t="s">
        <v>141</v>
      </c>
      <c r="J2755" s="166" t="s">
        <v>624</v>
      </c>
      <c r="K2755" s="166" t="s">
        <v>1320</v>
      </c>
      <c r="L2755" s="166">
        <f>1480/7</f>
        <v>211.42857142857142</v>
      </c>
      <c r="M2755" s="166"/>
      <c r="N2755" s="166"/>
      <c r="O2755" s="164">
        <f t="shared" ref="O2755:O2818" si="304">$L2755*M2755*N2755</f>
        <v>0</v>
      </c>
      <c r="P2755" s="166"/>
      <c r="Q2755" s="166"/>
      <c r="R2755" s="164">
        <f>$L2755*'Pivot Objective'!$C$9*P2755*Q2755</f>
        <v>0</v>
      </c>
      <c r="S2755" s="166"/>
      <c r="T2755" s="166"/>
      <c r="U2755" s="164">
        <f>($L2755*'Pivot Objective'!$C$9^2)*S2755*T2755</f>
        <v>0</v>
      </c>
      <c r="V2755" s="166">
        <f>2*135*9</f>
        <v>2430</v>
      </c>
      <c r="W2755" s="166">
        <v>1</v>
      </c>
      <c r="X2755" s="164">
        <f>($L2755*'Pivot Objective'!$C$9^3)*V2755*W2755</f>
        <v>767041.20932447549</v>
      </c>
      <c r="Y2755" s="166"/>
      <c r="Z2755" s="166"/>
      <c r="AA2755" s="164">
        <f>($L2755*'Pivot Objective'!$C$9^4)*Y2755*Z2755</f>
        <v>0</v>
      </c>
      <c r="AB2755" s="166"/>
      <c r="AC2755" s="166"/>
      <c r="AD2755" s="164">
        <f>($L2755*'Pivot Objective'!$C$9^5)*AB2755*AC2755</f>
        <v>0</v>
      </c>
      <c r="AE2755" s="166"/>
      <c r="AF2755" s="166"/>
      <c r="AG2755" s="164">
        <f>($L2755*'Pivot Objective'!$C$9^6)*AE2755*AF2755</f>
        <v>0</v>
      </c>
      <c r="AH2755" s="166"/>
      <c r="AI2755" s="166"/>
      <c r="AJ2755" s="164">
        <f>($L2755*'Pivot Objective'!$C$9^7)*AH2755*AI2755</f>
        <v>0</v>
      </c>
      <c r="AK2755" s="185">
        <f t="shared" ref="AK2755:AK2818" si="305">O2755+R2755+U2755+X2755+AA2755+AD2755+AG2755+AJ2755</f>
        <v>767041.20932447549</v>
      </c>
      <c r="AL2755" s="186">
        <f t="shared" ref="AL2755:AL2818" si="306">AK2755/$AP$2</f>
        <v>744.70020322764606</v>
      </c>
    </row>
    <row r="2756" spans="1:38" customFormat="1" ht="57.6" x14ac:dyDescent="0.3">
      <c r="A2756" s="140" t="s">
        <v>1483</v>
      </c>
      <c r="B2756" s="140">
        <v>4</v>
      </c>
      <c r="C2756" s="166" t="s">
        <v>697</v>
      </c>
      <c r="D2756" s="140" t="str">
        <f t="shared" si="301"/>
        <v>4</v>
      </c>
      <c r="E2756" s="166" t="s">
        <v>695</v>
      </c>
      <c r="F2756" s="140">
        <f t="shared" si="303"/>
        <v>4</v>
      </c>
      <c r="G2756" s="140" t="str">
        <f t="shared" si="302"/>
        <v>4.4.4</v>
      </c>
      <c r="H2756" s="166" t="s">
        <v>1705</v>
      </c>
      <c r="I2756" s="166" t="s">
        <v>141</v>
      </c>
      <c r="J2756" s="166" t="s">
        <v>625</v>
      </c>
      <c r="K2756" s="166" t="s">
        <v>709</v>
      </c>
      <c r="L2756" s="166">
        <v>35000</v>
      </c>
      <c r="M2756" s="166"/>
      <c r="N2756" s="166"/>
      <c r="O2756" s="164">
        <f t="shared" si="304"/>
        <v>0</v>
      </c>
      <c r="P2756" s="166">
        <v>0</v>
      </c>
      <c r="Q2756" s="166">
        <v>0</v>
      </c>
      <c r="R2756" s="164">
        <f>$L2756*'Pivot Objective'!$C$9*P2756*Q2756</f>
        <v>0</v>
      </c>
      <c r="S2756" s="166">
        <v>0</v>
      </c>
      <c r="T2756" s="166">
        <v>0</v>
      </c>
      <c r="U2756" s="164">
        <f>($L2756*'Pivot Objective'!$C$9^2)*S2756*T2756</f>
        <v>0</v>
      </c>
      <c r="V2756" s="166">
        <v>62</v>
      </c>
      <c r="W2756" s="166">
        <v>1</v>
      </c>
      <c r="X2756" s="164">
        <f>($L2756*'Pivot Objective'!$C$9^3)*V2756*W2756</f>
        <v>3239727.4968409478</v>
      </c>
      <c r="Y2756" s="166">
        <v>0</v>
      </c>
      <c r="Z2756" s="166">
        <v>0</v>
      </c>
      <c r="AA2756" s="164">
        <f>($L2756*'Pivot Objective'!$C$9^4)*Y2756*Z2756</f>
        <v>0</v>
      </c>
      <c r="AB2756" s="166">
        <v>0</v>
      </c>
      <c r="AC2756" s="166">
        <v>0</v>
      </c>
      <c r="AD2756" s="164">
        <f>($L2756*'Pivot Objective'!$C$9^5)*AB2756*AC2756</f>
        <v>0</v>
      </c>
      <c r="AE2756" s="166">
        <v>0</v>
      </c>
      <c r="AF2756" s="166">
        <v>0</v>
      </c>
      <c r="AG2756" s="164">
        <f>($L2756*'Pivot Objective'!$C$9^6)*AE2756*AF2756</f>
        <v>0</v>
      </c>
      <c r="AH2756" s="166">
        <v>0</v>
      </c>
      <c r="AI2756" s="166">
        <v>0</v>
      </c>
      <c r="AJ2756" s="164">
        <f>($L2756*'Pivot Objective'!$C$9^7)*AH2756*AI2756</f>
        <v>0</v>
      </c>
      <c r="AK2756" s="185">
        <f t="shared" si="305"/>
        <v>3239727.4968409478</v>
      </c>
      <c r="AL2756" s="186">
        <f t="shared" si="306"/>
        <v>3145.3665017873282</v>
      </c>
    </row>
    <row r="2757" spans="1:38" customFormat="1" ht="57.6" x14ac:dyDescent="0.3">
      <c r="A2757" s="140" t="s">
        <v>1483</v>
      </c>
      <c r="B2757" s="140">
        <v>4</v>
      </c>
      <c r="C2757" s="166" t="s">
        <v>697</v>
      </c>
      <c r="D2757" s="140" t="str">
        <f t="shared" si="301"/>
        <v>4</v>
      </c>
      <c r="E2757" s="166" t="s">
        <v>695</v>
      </c>
      <c r="F2757" s="140">
        <f t="shared" si="303"/>
        <v>4</v>
      </c>
      <c r="G2757" s="140" t="str">
        <f t="shared" si="302"/>
        <v>4.4.4</v>
      </c>
      <c r="H2757" s="166" t="s">
        <v>1705</v>
      </c>
      <c r="I2757" s="166" t="s">
        <v>141</v>
      </c>
      <c r="J2757" s="166" t="s">
        <v>626</v>
      </c>
      <c r="K2757" s="166" t="s">
        <v>721</v>
      </c>
      <c r="L2757" s="166">
        <v>80000</v>
      </c>
      <c r="M2757" s="166"/>
      <c r="N2757" s="166"/>
      <c r="O2757" s="164">
        <f t="shared" si="304"/>
        <v>0</v>
      </c>
      <c r="P2757" s="166">
        <v>0</v>
      </c>
      <c r="Q2757" s="166">
        <v>0</v>
      </c>
      <c r="R2757" s="164">
        <f>$L2757*'Pivot Objective'!$C$9*P2757*Q2757</f>
        <v>0</v>
      </c>
      <c r="S2757" s="166">
        <v>0</v>
      </c>
      <c r="T2757" s="166">
        <v>0</v>
      </c>
      <c r="U2757" s="164">
        <f>($L2757*'Pivot Objective'!$C$9^2)*S2757*T2757</f>
        <v>0</v>
      </c>
      <c r="V2757" s="166">
        <v>30</v>
      </c>
      <c r="W2757" s="166">
        <v>1</v>
      </c>
      <c r="X2757" s="164">
        <f>($L2757*'Pivot Objective'!$C$9^3)*V2757*W2757</f>
        <v>3583108.7522664862</v>
      </c>
      <c r="Y2757" s="166">
        <v>0</v>
      </c>
      <c r="Z2757" s="166">
        <v>0</v>
      </c>
      <c r="AA2757" s="164">
        <f>($L2757*'Pivot Objective'!$C$9^4)*Y2757*Z2757</f>
        <v>0</v>
      </c>
      <c r="AB2757" s="166">
        <v>0</v>
      </c>
      <c r="AC2757" s="166">
        <v>0</v>
      </c>
      <c r="AD2757" s="164">
        <f>($L2757*'Pivot Objective'!$C$9^5)*AB2757*AC2757</f>
        <v>0</v>
      </c>
      <c r="AE2757" s="166">
        <v>0</v>
      </c>
      <c r="AF2757" s="166">
        <v>0</v>
      </c>
      <c r="AG2757" s="164">
        <f>($L2757*'Pivot Objective'!$C$9^6)*AE2757*AF2757</f>
        <v>0</v>
      </c>
      <c r="AH2757" s="166">
        <v>0</v>
      </c>
      <c r="AI2757" s="166">
        <v>0</v>
      </c>
      <c r="AJ2757" s="164">
        <f>($L2757*'Pivot Objective'!$C$9^7)*AH2757*AI2757</f>
        <v>0</v>
      </c>
      <c r="AK2757" s="185">
        <f t="shared" si="305"/>
        <v>3583108.7522664862</v>
      </c>
      <c r="AL2757" s="186">
        <f t="shared" si="306"/>
        <v>3478.7463614237731</v>
      </c>
    </row>
    <row r="2758" spans="1:38" customFormat="1" ht="57.6" x14ac:dyDescent="0.3">
      <c r="A2758" s="140" t="s">
        <v>1483</v>
      </c>
      <c r="B2758" s="140">
        <v>4</v>
      </c>
      <c r="C2758" s="166" t="s">
        <v>697</v>
      </c>
      <c r="D2758" s="140" t="str">
        <f t="shared" si="301"/>
        <v>4</v>
      </c>
      <c r="E2758" s="166" t="s">
        <v>695</v>
      </c>
      <c r="F2758" s="140">
        <f t="shared" si="303"/>
        <v>4</v>
      </c>
      <c r="G2758" s="140" t="str">
        <f t="shared" si="302"/>
        <v>4.4.4</v>
      </c>
      <c r="H2758" s="166" t="s">
        <v>1705</v>
      </c>
      <c r="I2758" s="166" t="s">
        <v>141</v>
      </c>
      <c r="J2758" s="166" t="s">
        <v>626</v>
      </c>
      <c r="K2758" s="166" t="s">
        <v>716</v>
      </c>
      <c r="L2758" s="166">
        <v>45000</v>
      </c>
      <c r="M2758" s="166"/>
      <c r="N2758" s="166"/>
      <c r="O2758" s="164">
        <f t="shared" si="304"/>
        <v>0</v>
      </c>
      <c r="P2758" s="166">
        <v>0</v>
      </c>
      <c r="Q2758" s="166">
        <v>0</v>
      </c>
      <c r="R2758" s="164">
        <f>$L2758*'Pivot Objective'!$C$9*P2758*Q2758</f>
        <v>0</v>
      </c>
      <c r="S2758" s="166">
        <v>0</v>
      </c>
      <c r="T2758" s="166">
        <v>0</v>
      </c>
      <c r="U2758" s="164">
        <f>($L2758*'Pivot Objective'!$C$9^2)*S2758*T2758</f>
        <v>0</v>
      </c>
      <c r="V2758" s="166">
        <v>30</v>
      </c>
      <c r="W2758" s="166">
        <v>1</v>
      </c>
      <c r="X2758" s="164">
        <f>($L2758*'Pivot Objective'!$C$9^3)*V2758*W2758</f>
        <v>2015498.6731498984</v>
      </c>
      <c r="Y2758" s="166">
        <v>0</v>
      </c>
      <c r="Z2758" s="166">
        <v>0</v>
      </c>
      <c r="AA2758" s="164">
        <f>($L2758*'Pivot Objective'!$C$9^4)*Y2758*Z2758</f>
        <v>0</v>
      </c>
      <c r="AB2758" s="166">
        <v>0</v>
      </c>
      <c r="AC2758" s="166">
        <v>0</v>
      </c>
      <c r="AD2758" s="164">
        <f>($L2758*'Pivot Objective'!$C$9^5)*AB2758*AC2758</f>
        <v>0</v>
      </c>
      <c r="AE2758" s="166">
        <v>0</v>
      </c>
      <c r="AF2758" s="166">
        <v>0</v>
      </c>
      <c r="AG2758" s="164">
        <f>($L2758*'Pivot Objective'!$C$9^6)*AE2758*AF2758</f>
        <v>0</v>
      </c>
      <c r="AH2758" s="166">
        <v>0</v>
      </c>
      <c r="AI2758" s="166">
        <v>0</v>
      </c>
      <c r="AJ2758" s="164">
        <f>($L2758*'Pivot Objective'!$C$9^7)*AH2758*AI2758</f>
        <v>0</v>
      </c>
      <c r="AK2758" s="185">
        <f t="shared" si="305"/>
        <v>2015498.6731498984</v>
      </c>
      <c r="AL2758" s="186">
        <f t="shared" si="306"/>
        <v>1956.7948283008723</v>
      </c>
    </row>
    <row r="2759" spans="1:38" customFormat="1" ht="57.6" x14ac:dyDescent="0.3">
      <c r="A2759" s="140" t="s">
        <v>1483</v>
      </c>
      <c r="B2759" s="140">
        <v>4</v>
      </c>
      <c r="C2759" s="166" t="s">
        <v>697</v>
      </c>
      <c r="D2759" s="140" t="str">
        <f t="shared" si="301"/>
        <v>4</v>
      </c>
      <c r="E2759" s="166" t="s">
        <v>695</v>
      </c>
      <c r="F2759" s="140">
        <f t="shared" si="303"/>
        <v>4</v>
      </c>
      <c r="G2759" s="140" t="str">
        <f t="shared" si="302"/>
        <v>4.4.4</v>
      </c>
      <c r="H2759" s="166" t="s">
        <v>1705</v>
      </c>
      <c r="I2759" s="166" t="s">
        <v>141</v>
      </c>
      <c r="J2759" s="166" t="s">
        <v>626</v>
      </c>
      <c r="K2759" s="166" t="s">
        <v>712</v>
      </c>
      <c r="L2759" s="166">
        <f>1480/7</f>
        <v>211.42857142857142</v>
      </c>
      <c r="M2759" s="166"/>
      <c r="N2759" s="166"/>
      <c r="O2759" s="164">
        <f t="shared" si="304"/>
        <v>0</v>
      </c>
      <c r="P2759" s="166">
        <v>0</v>
      </c>
      <c r="Q2759" s="166">
        <v>0</v>
      </c>
      <c r="R2759" s="164">
        <f>$L2759*'Pivot Objective'!$C$9*P2759*Q2759</f>
        <v>0</v>
      </c>
      <c r="S2759" s="166">
        <v>0</v>
      </c>
      <c r="T2759" s="166">
        <v>0</v>
      </c>
      <c r="U2759" s="164">
        <f>($L2759*'Pivot Objective'!$C$9^2)*S2759*T2759</f>
        <v>0</v>
      </c>
      <c r="V2759" s="166">
        <f>2*25*9</f>
        <v>450</v>
      </c>
      <c r="W2759" s="166">
        <v>1</v>
      </c>
      <c r="X2759" s="164">
        <f>($L2759*'Pivot Objective'!$C$9^3)*V2759*W2759</f>
        <v>142044.66839342139</v>
      </c>
      <c r="Y2759" s="166">
        <v>0</v>
      </c>
      <c r="Z2759" s="166">
        <v>0</v>
      </c>
      <c r="AA2759" s="164">
        <f>($L2759*'Pivot Objective'!$C$9^4)*Y2759*Z2759</f>
        <v>0</v>
      </c>
      <c r="AB2759" s="166">
        <v>0</v>
      </c>
      <c r="AC2759" s="166">
        <v>0</v>
      </c>
      <c r="AD2759" s="164">
        <f>($L2759*'Pivot Objective'!$C$9^5)*AB2759*AC2759</f>
        <v>0</v>
      </c>
      <c r="AE2759" s="166">
        <v>0</v>
      </c>
      <c r="AF2759" s="166">
        <v>0</v>
      </c>
      <c r="AG2759" s="164">
        <f>($L2759*'Pivot Objective'!$C$9^6)*AE2759*AF2759</f>
        <v>0</v>
      </c>
      <c r="AH2759" s="166">
        <v>0</v>
      </c>
      <c r="AI2759" s="166">
        <v>0</v>
      </c>
      <c r="AJ2759" s="164">
        <f>($L2759*'Pivot Objective'!$C$9^7)*AH2759*AI2759</f>
        <v>0</v>
      </c>
      <c r="AK2759" s="185">
        <f t="shared" si="305"/>
        <v>142044.66839342139</v>
      </c>
      <c r="AL2759" s="186">
        <f t="shared" si="306"/>
        <v>137.9074450421567</v>
      </c>
    </row>
    <row r="2760" spans="1:38" customFormat="1" ht="57.6" x14ac:dyDescent="0.3">
      <c r="A2760" s="140" t="s">
        <v>1483</v>
      </c>
      <c r="B2760" s="140">
        <v>4</v>
      </c>
      <c r="C2760" s="166" t="s">
        <v>697</v>
      </c>
      <c r="D2760" s="140" t="str">
        <f t="shared" si="301"/>
        <v>4</v>
      </c>
      <c r="E2760" s="166" t="s">
        <v>695</v>
      </c>
      <c r="F2760" s="140">
        <f t="shared" si="303"/>
        <v>4</v>
      </c>
      <c r="G2760" s="140" t="str">
        <f t="shared" si="302"/>
        <v>4.4.4</v>
      </c>
      <c r="H2760" s="166" t="s">
        <v>1705</v>
      </c>
      <c r="I2760" s="166" t="s">
        <v>141</v>
      </c>
      <c r="J2760" s="166" t="s">
        <v>626</v>
      </c>
      <c r="K2760" s="166" t="s">
        <v>1320</v>
      </c>
      <c r="L2760" s="166">
        <f>1480/7</f>
        <v>211.42857142857142</v>
      </c>
      <c r="M2760" s="166"/>
      <c r="N2760" s="166"/>
      <c r="O2760" s="164">
        <f t="shared" si="304"/>
        <v>0</v>
      </c>
      <c r="P2760" s="166"/>
      <c r="Q2760" s="166"/>
      <c r="R2760" s="164">
        <f>$L2760*'Pivot Objective'!$C$9*P2760*Q2760</f>
        <v>0</v>
      </c>
      <c r="S2760" s="166"/>
      <c r="T2760" s="166"/>
      <c r="U2760" s="164">
        <f>($L2760*'Pivot Objective'!$C$9^2)*S2760*T2760</f>
        <v>0</v>
      </c>
      <c r="V2760" s="166">
        <f>2*135*9</f>
        <v>2430</v>
      </c>
      <c r="W2760" s="166">
        <v>1</v>
      </c>
      <c r="X2760" s="164">
        <f>($L2760*'Pivot Objective'!$C$9^3)*V2760*W2760</f>
        <v>767041.20932447549</v>
      </c>
      <c r="Y2760" s="166"/>
      <c r="Z2760" s="166"/>
      <c r="AA2760" s="164">
        <f>($L2760*'Pivot Objective'!$C$9^4)*Y2760*Z2760</f>
        <v>0</v>
      </c>
      <c r="AB2760" s="166"/>
      <c r="AC2760" s="166"/>
      <c r="AD2760" s="164">
        <f>($L2760*'Pivot Objective'!$C$9^5)*AB2760*AC2760</f>
        <v>0</v>
      </c>
      <c r="AE2760" s="166"/>
      <c r="AF2760" s="166"/>
      <c r="AG2760" s="164">
        <f>($L2760*'Pivot Objective'!$C$9^6)*AE2760*AF2760</f>
        <v>0</v>
      </c>
      <c r="AH2760" s="166"/>
      <c r="AI2760" s="166"/>
      <c r="AJ2760" s="164">
        <f>($L2760*'Pivot Objective'!$C$9^7)*AH2760*AI2760</f>
        <v>0</v>
      </c>
      <c r="AK2760" s="185">
        <f t="shared" si="305"/>
        <v>767041.20932447549</v>
      </c>
      <c r="AL2760" s="186">
        <f t="shared" si="306"/>
        <v>744.70020322764606</v>
      </c>
    </row>
    <row r="2761" spans="1:38" customFormat="1" ht="57.6" x14ac:dyDescent="0.3">
      <c r="A2761" s="140" t="s">
        <v>1483</v>
      </c>
      <c r="B2761" s="140">
        <v>4</v>
      </c>
      <c r="C2761" s="166" t="s">
        <v>697</v>
      </c>
      <c r="D2761" s="140" t="str">
        <f t="shared" si="301"/>
        <v>4</v>
      </c>
      <c r="E2761" s="166" t="s">
        <v>695</v>
      </c>
      <c r="F2761" s="140">
        <f t="shared" si="303"/>
        <v>4</v>
      </c>
      <c r="G2761" s="140" t="str">
        <f t="shared" si="302"/>
        <v>4.4.4</v>
      </c>
      <c r="H2761" s="166" t="s">
        <v>1705</v>
      </c>
      <c r="I2761" s="166" t="s">
        <v>141</v>
      </c>
      <c r="J2761" s="166" t="s">
        <v>626</v>
      </c>
      <c r="K2761" s="166" t="s">
        <v>709</v>
      </c>
      <c r="L2761" s="166">
        <v>35000</v>
      </c>
      <c r="M2761" s="166"/>
      <c r="N2761" s="166"/>
      <c r="O2761" s="164">
        <f t="shared" si="304"/>
        <v>0</v>
      </c>
      <c r="P2761" s="166">
        <v>0</v>
      </c>
      <c r="Q2761" s="166">
        <v>0</v>
      </c>
      <c r="R2761" s="164">
        <f>$L2761*'Pivot Objective'!$C$9*P2761*Q2761</f>
        <v>0</v>
      </c>
      <c r="S2761" s="166">
        <v>0</v>
      </c>
      <c r="T2761" s="166">
        <v>0</v>
      </c>
      <c r="U2761" s="164">
        <f>($L2761*'Pivot Objective'!$C$9^2)*S2761*T2761</f>
        <v>0</v>
      </c>
      <c r="V2761" s="166">
        <v>62</v>
      </c>
      <c r="W2761" s="166">
        <v>1</v>
      </c>
      <c r="X2761" s="164">
        <f>($L2761*'Pivot Objective'!$C$9^3)*V2761*W2761</f>
        <v>3239727.4968409478</v>
      </c>
      <c r="Y2761" s="166">
        <v>0</v>
      </c>
      <c r="Z2761" s="166">
        <v>0</v>
      </c>
      <c r="AA2761" s="164">
        <f>($L2761*'Pivot Objective'!$C$9^4)*Y2761*Z2761</f>
        <v>0</v>
      </c>
      <c r="AB2761" s="166">
        <v>0</v>
      </c>
      <c r="AC2761" s="166">
        <v>0</v>
      </c>
      <c r="AD2761" s="164">
        <f>($L2761*'Pivot Objective'!$C$9^5)*AB2761*AC2761</f>
        <v>0</v>
      </c>
      <c r="AE2761" s="166">
        <v>0</v>
      </c>
      <c r="AF2761" s="166">
        <v>0</v>
      </c>
      <c r="AG2761" s="164">
        <f>($L2761*'Pivot Objective'!$C$9^6)*AE2761*AF2761</f>
        <v>0</v>
      </c>
      <c r="AH2761" s="166">
        <v>0</v>
      </c>
      <c r="AI2761" s="166">
        <v>0</v>
      </c>
      <c r="AJ2761" s="164">
        <f>($L2761*'Pivot Objective'!$C$9^7)*AH2761*AI2761</f>
        <v>0</v>
      </c>
      <c r="AK2761" s="185">
        <f t="shared" si="305"/>
        <v>3239727.4968409478</v>
      </c>
      <c r="AL2761" s="186">
        <f t="shared" si="306"/>
        <v>3145.3665017873282</v>
      </c>
    </row>
    <row r="2762" spans="1:38" customFormat="1" ht="57.6" x14ac:dyDescent="0.3">
      <c r="A2762" s="140" t="s">
        <v>1483</v>
      </c>
      <c r="B2762" s="140">
        <v>4</v>
      </c>
      <c r="C2762" s="166" t="s">
        <v>697</v>
      </c>
      <c r="D2762" s="140" t="str">
        <f t="shared" si="301"/>
        <v>4</v>
      </c>
      <c r="E2762" s="166" t="s">
        <v>695</v>
      </c>
      <c r="F2762" s="140">
        <f t="shared" si="303"/>
        <v>4</v>
      </c>
      <c r="G2762" s="140" t="str">
        <f t="shared" si="302"/>
        <v>4.4.4</v>
      </c>
      <c r="H2762" s="166" t="s">
        <v>1705</v>
      </c>
      <c r="I2762" s="166" t="s">
        <v>141</v>
      </c>
      <c r="J2762" s="166" t="s">
        <v>627</v>
      </c>
      <c r="K2762" s="166" t="s">
        <v>718</v>
      </c>
      <c r="L2762" s="166">
        <v>0</v>
      </c>
      <c r="M2762" s="166"/>
      <c r="N2762" s="166"/>
      <c r="O2762" s="164">
        <f t="shared" si="304"/>
        <v>0</v>
      </c>
      <c r="P2762" s="166">
        <v>0</v>
      </c>
      <c r="Q2762" s="166">
        <v>0</v>
      </c>
      <c r="R2762" s="164">
        <f>$L2762*'Pivot Objective'!$C$9*P2762*Q2762</f>
        <v>0</v>
      </c>
      <c r="S2762" s="166">
        <v>0</v>
      </c>
      <c r="T2762" s="166">
        <v>0</v>
      </c>
      <c r="U2762" s="164">
        <f>($L2762*'Pivot Objective'!$C$9^2)*S2762*T2762</f>
        <v>0</v>
      </c>
      <c r="V2762" s="166">
        <v>62</v>
      </c>
      <c r="W2762" s="166">
        <v>1</v>
      </c>
      <c r="X2762" s="164">
        <f>($L2762*'Pivot Objective'!$C$9^3)*V2762*W2762</f>
        <v>0</v>
      </c>
      <c r="Y2762" s="166">
        <v>0</v>
      </c>
      <c r="Z2762" s="166">
        <v>0</v>
      </c>
      <c r="AA2762" s="164">
        <f>($L2762*'Pivot Objective'!$C$9^4)*Y2762*Z2762</f>
        <v>0</v>
      </c>
      <c r="AB2762" s="166">
        <v>0</v>
      </c>
      <c r="AC2762" s="166">
        <v>0</v>
      </c>
      <c r="AD2762" s="164">
        <f>($L2762*'Pivot Objective'!$C$9^5)*AB2762*AC2762</f>
        <v>0</v>
      </c>
      <c r="AE2762" s="166">
        <v>0</v>
      </c>
      <c r="AF2762" s="166">
        <v>0</v>
      </c>
      <c r="AG2762" s="164">
        <f>($L2762*'Pivot Objective'!$C$9^6)*AE2762*AF2762</f>
        <v>0</v>
      </c>
      <c r="AH2762" s="166">
        <v>0</v>
      </c>
      <c r="AI2762" s="166">
        <v>0</v>
      </c>
      <c r="AJ2762" s="164">
        <f>($L2762*'Pivot Objective'!$C$9^7)*AH2762*AI2762</f>
        <v>0</v>
      </c>
      <c r="AK2762" s="185">
        <f t="shared" si="305"/>
        <v>0</v>
      </c>
      <c r="AL2762" s="186">
        <f t="shared" si="306"/>
        <v>0</v>
      </c>
    </row>
    <row r="2763" spans="1:38" customFormat="1" ht="57.6" x14ac:dyDescent="0.3">
      <c r="A2763" s="140" t="s">
        <v>1483</v>
      </c>
      <c r="B2763" s="140">
        <v>4</v>
      </c>
      <c r="C2763" s="166" t="s">
        <v>697</v>
      </c>
      <c r="D2763" s="140" t="str">
        <f t="shared" si="301"/>
        <v>4</v>
      </c>
      <c r="E2763" s="166" t="s">
        <v>695</v>
      </c>
      <c r="F2763" s="140">
        <f t="shared" si="303"/>
        <v>4</v>
      </c>
      <c r="G2763" s="140" t="str">
        <f t="shared" si="302"/>
        <v>4.4.4</v>
      </c>
      <c r="H2763" s="166" t="s">
        <v>1705</v>
      </c>
      <c r="I2763" s="166" t="s">
        <v>141</v>
      </c>
      <c r="J2763" s="166" t="s">
        <v>628</v>
      </c>
      <c r="K2763" s="166" t="s">
        <v>718</v>
      </c>
      <c r="L2763" s="166">
        <v>0</v>
      </c>
      <c r="M2763" s="166"/>
      <c r="N2763" s="166"/>
      <c r="O2763" s="164">
        <f t="shared" si="304"/>
        <v>0</v>
      </c>
      <c r="P2763" s="166">
        <v>0</v>
      </c>
      <c r="Q2763" s="166">
        <v>0</v>
      </c>
      <c r="R2763" s="164">
        <f>$L2763*'Pivot Objective'!$C$9*P2763*Q2763</f>
        <v>0</v>
      </c>
      <c r="S2763" s="166">
        <v>0</v>
      </c>
      <c r="T2763" s="166">
        <v>0</v>
      </c>
      <c r="U2763" s="164">
        <f>($L2763*'Pivot Objective'!$C$9^2)*S2763*T2763</f>
        <v>0</v>
      </c>
      <c r="V2763" s="166">
        <v>0</v>
      </c>
      <c r="W2763" s="166">
        <v>0</v>
      </c>
      <c r="X2763" s="164">
        <f>($L2763*'Pivot Objective'!$C$9^3)*V2763*W2763</f>
        <v>0</v>
      </c>
      <c r="Y2763" s="166">
        <v>0</v>
      </c>
      <c r="Z2763" s="166">
        <v>0</v>
      </c>
      <c r="AA2763" s="164">
        <f>($L2763*'Pivot Objective'!$C$9^4)*Y2763*Z2763</f>
        <v>0</v>
      </c>
      <c r="AB2763" s="166">
        <v>0</v>
      </c>
      <c r="AC2763" s="166">
        <v>0</v>
      </c>
      <c r="AD2763" s="164">
        <f>($L2763*'Pivot Objective'!$C$9^5)*AB2763*AC2763</f>
        <v>0</v>
      </c>
      <c r="AE2763" s="166">
        <v>0</v>
      </c>
      <c r="AF2763" s="166">
        <v>0</v>
      </c>
      <c r="AG2763" s="164">
        <f>($L2763*'Pivot Objective'!$C$9^6)*AE2763*AF2763</f>
        <v>0</v>
      </c>
      <c r="AH2763" s="166">
        <v>0</v>
      </c>
      <c r="AI2763" s="166">
        <v>0</v>
      </c>
      <c r="AJ2763" s="164">
        <f>($L2763*'Pivot Objective'!$C$9^7)*AH2763*AI2763</f>
        <v>0</v>
      </c>
      <c r="AK2763" s="185">
        <f t="shared" si="305"/>
        <v>0</v>
      </c>
      <c r="AL2763" s="186">
        <f t="shared" si="306"/>
        <v>0</v>
      </c>
    </row>
    <row r="2764" spans="1:38" customFormat="1" ht="57.6" x14ac:dyDescent="0.3">
      <c r="A2764" s="140" t="s">
        <v>1483</v>
      </c>
      <c r="B2764" s="140">
        <v>4</v>
      </c>
      <c r="C2764" s="166" t="s">
        <v>697</v>
      </c>
      <c r="D2764" s="140" t="str">
        <f t="shared" si="301"/>
        <v>4</v>
      </c>
      <c r="E2764" s="166" t="s">
        <v>695</v>
      </c>
      <c r="F2764" s="140">
        <f t="shared" si="303"/>
        <v>4</v>
      </c>
      <c r="G2764" s="140" t="str">
        <f t="shared" si="302"/>
        <v>4.4.4</v>
      </c>
      <c r="H2764" s="166" t="s">
        <v>1705</v>
      </c>
      <c r="I2764" s="166" t="s">
        <v>141</v>
      </c>
      <c r="J2764" s="166" t="s">
        <v>629</v>
      </c>
      <c r="K2764" s="166" t="s">
        <v>718</v>
      </c>
      <c r="L2764" s="166">
        <v>0</v>
      </c>
      <c r="M2764" s="166"/>
      <c r="N2764" s="166"/>
      <c r="O2764" s="164">
        <f t="shared" si="304"/>
        <v>0</v>
      </c>
      <c r="P2764" s="166">
        <v>0</v>
      </c>
      <c r="Q2764" s="166">
        <v>0</v>
      </c>
      <c r="R2764" s="164">
        <f>$L2764*'Pivot Objective'!$C$9*P2764*Q2764</f>
        <v>0</v>
      </c>
      <c r="S2764" s="166">
        <v>0</v>
      </c>
      <c r="T2764" s="166">
        <v>0</v>
      </c>
      <c r="U2764" s="164">
        <f>($L2764*'Pivot Objective'!$C$9^2)*S2764*T2764</f>
        <v>0</v>
      </c>
      <c r="V2764" s="166">
        <v>0</v>
      </c>
      <c r="W2764" s="166">
        <v>0</v>
      </c>
      <c r="X2764" s="164">
        <f>($L2764*'Pivot Objective'!$C$9^3)*V2764*W2764</f>
        <v>0</v>
      </c>
      <c r="Y2764" s="166">
        <v>0</v>
      </c>
      <c r="Z2764" s="166">
        <v>0</v>
      </c>
      <c r="AA2764" s="164">
        <f>($L2764*'Pivot Objective'!$C$9^4)*Y2764*Z2764</f>
        <v>0</v>
      </c>
      <c r="AB2764" s="166">
        <v>0</v>
      </c>
      <c r="AC2764" s="166">
        <v>0</v>
      </c>
      <c r="AD2764" s="164">
        <f>($L2764*'Pivot Objective'!$C$9^5)*AB2764*AC2764</f>
        <v>0</v>
      </c>
      <c r="AE2764" s="166">
        <v>0</v>
      </c>
      <c r="AF2764" s="166">
        <v>0</v>
      </c>
      <c r="AG2764" s="164">
        <f>($L2764*'Pivot Objective'!$C$9^6)*AE2764*AF2764</f>
        <v>0</v>
      </c>
      <c r="AH2764" s="166">
        <v>0</v>
      </c>
      <c r="AI2764" s="166">
        <v>0</v>
      </c>
      <c r="AJ2764" s="164">
        <f>($L2764*'Pivot Objective'!$C$9^7)*AH2764*AI2764</f>
        <v>0</v>
      </c>
      <c r="AK2764" s="185">
        <f t="shared" si="305"/>
        <v>0</v>
      </c>
      <c r="AL2764" s="186">
        <f t="shared" si="306"/>
        <v>0</v>
      </c>
    </row>
    <row r="2765" spans="1:38" customFormat="1" ht="57.6" x14ac:dyDescent="0.3">
      <c r="A2765" s="140" t="s">
        <v>1483</v>
      </c>
      <c r="B2765" s="140">
        <v>4</v>
      </c>
      <c r="C2765" s="166" t="s">
        <v>697</v>
      </c>
      <c r="D2765" s="140" t="str">
        <f t="shared" si="301"/>
        <v>4</v>
      </c>
      <c r="E2765" s="166" t="s">
        <v>695</v>
      </c>
      <c r="F2765" s="140">
        <f t="shared" si="303"/>
        <v>5</v>
      </c>
      <c r="G2765" s="140" t="str">
        <f t="shared" si="302"/>
        <v>4.4.5</v>
      </c>
      <c r="H2765" s="166" t="s">
        <v>1706</v>
      </c>
      <c r="I2765" s="166" t="s">
        <v>142</v>
      </c>
      <c r="J2765" s="166" t="s">
        <v>155</v>
      </c>
      <c r="K2765" s="166" t="s">
        <v>718</v>
      </c>
      <c r="L2765" s="166">
        <v>0</v>
      </c>
      <c r="M2765" s="166">
        <v>0</v>
      </c>
      <c r="N2765" s="166">
        <v>0</v>
      </c>
      <c r="O2765" s="164">
        <f t="shared" si="304"/>
        <v>0</v>
      </c>
      <c r="P2765" s="166">
        <v>0</v>
      </c>
      <c r="Q2765" s="166">
        <v>0</v>
      </c>
      <c r="R2765" s="164">
        <f>$L2765*'Pivot Objective'!$C$9*P2765*Q2765</f>
        <v>0</v>
      </c>
      <c r="S2765" s="166">
        <v>0</v>
      </c>
      <c r="T2765" s="166">
        <v>0</v>
      </c>
      <c r="U2765" s="164">
        <f>($L2765*'Pivot Objective'!$C$9^2)*S2765*T2765</f>
        <v>0</v>
      </c>
      <c r="V2765" s="166">
        <v>0</v>
      </c>
      <c r="W2765" s="166">
        <v>0</v>
      </c>
      <c r="X2765" s="164">
        <f>($L2765*'Pivot Objective'!$C$9^3)*V2765*W2765</f>
        <v>0</v>
      </c>
      <c r="Y2765" s="166">
        <v>0</v>
      </c>
      <c r="Z2765" s="166">
        <v>0</v>
      </c>
      <c r="AA2765" s="164">
        <f>($L2765*'Pivot Objective'!$C$9^4)*Y2765*Z2765</f>
        <v>0</v>
      </c>
      <c r="AB2765" s="166">
        <v>0</v>
      </c>
      <c r="AC2765" s="166">
        <v>0</v>
      </c>
      <c r="AD2765" s="164">
        <f>($L2765*'Pivot Objective'!$C$9^5)*AB2765*AC2765</f>
        <v>0</v>
      </c>
      <c r="AE2765" s="166">
        <v>0</v>
      </c>
      <c r="AF2765" s="166">
        <v>0</v>
      </c>
      <c r="AG2765" s="164">
        <f>($L2765*'Pivot Objective'!$C$9^6)*AE2765*AF2765</f>
        <v>0</v>
      </c>
      <c r="AH2765" s="166">
        <v>0</v>
      </c>
      <c r="AI2765" s="166">
        <v>0</v>
      </c>
      <c r="AJ2765" s="164">
        <f>($L2765*'Pivot Objective'!$C$9^7)*AH2765*AI2765</f>
        <v>0</v>
      </c>
      <c r="AK2765" s="185">
        <f t="shared" si="305"/>
        <v>0</v>
      </c>
      <c r="AL2765" s="186">
        <f t="shared" si="306"/>
        <v>0</v>
      </c>
    </row>
    <row r="2766" spans="1:38" customFormat="1" ht="57.6" x14ac:dyDescent="0.3">
      <c r="A2766" s="140" t="s">
        <v>1483</v>
      </c>
      <c r="B2766" s="140">
        <v>4</v>
      </c>
      <c r="C2766" s="166" t="s">
        <v>697</v>
      </c>
      <c r="D2766" s="140" t="str">
        <f t="shared" si="301"/>
        <v>4</v>
      </c>
      <c r="E2766" s="166" t="s">
        <v>695</v>
      </c>
      <c r="F2766" s="140">
        <f t="shared" si="303"/>
        <v>5</v>
      </c>
      <c r="G2766" s="140" t="str">
        <f t="shared" si="302"/>
        <v>4.4.5</v>
      </c>
      <c r="H2766" s="166" t="s">
        <v>1706</v>
      </c>
      <c r="I2766" s="166" t="s">
        <v>142</v>
      </c>
      <c r="J2766" s="166" t="s">
        <v>158</v>
      </c>
      <c r="K2766" s="166" t="s">
        <v>718</v>
      </c>
      <c r="L2766" s="166">
        <v>0</v>
      </c>
      <c r="M2766" s="166">
        <v>0</v>
      </c>
      <c r="N2766" s="166">
        <v>0</v>
      </c>
      <c r="O2766" s="164">
        <f t="shared" si="304"/>
        <v>0</v>
      </c>
      <c r="P2766" s="166">
        <v>0</v>
      </c>
      <c r="Q2766" s="166">
        <v>0</v>
      </c>
      <c r="R2766" s="164">
        <f>$L2766*'Pivot Objective'!$C$9*P2766*Q2766</f>
        <v>0</v>
      </c>
      <c r="S2766" s="166">
        <v>0</v>
      </c>
      <c r="T2766" s="166">
        <v>0</v>
      </c>
      <c r="U2766" s="164">
        <f>($L2766*'Pivot Objective'!$C$9^2)*S2766*T2766</f>
        <v>0</v>
      </c>
      <c r="V2766" s="166">
        <v>0</v>
      </c>
      <c r="W2766" s="166">
        <v>0</v>
      </c>
      <c r="X2766" s="164">
        <f>($L2766*'Pivot Objective'!$C$9^3)*V2766*W2766</f>
        <v>0</v>
      </c>
      <c r="Y2766" s="166">
        <v>0</v>
      </c>
      <c r="Z2766" s="166">
        <v>0</v>
      </c>
      <c r="AA2766" s="164">
        <f>($L2766*'Pivot Objective'!$C$9^4)*Y2766*Z2766</f>
        <v>0</v>
      </c>
      <c r="AB2766" s="166">
        <v>0</v>
      </c>
      <c r="AC2766" s="166">
        <v>0</v>
      </c>
      <c r="AD2766" s="164">
        <f>($L2766*'Pivot Objective'!$C$9^5)*AB2766*AC2766</f>
        <v>0</v>
      </c>
      <c r="AE2766" s="166">
        <v>0</v>
      </c>
      <c r="AF2766" s="166">
        <v>0</v>
      </c>
      <c r="AG2766" s="164">
        <f>($L2766*'Pivot Objective'!$C$9^6)*AE2766*AF2766</f>
        <v>0</v>
      </c>
      <c r="AH2766" s="166">
        <v>0</v>
      </c>
      <c r="AI2766" s="166">
        <v>0</v>
      </c>
      <c r="AJ2766" s="164">
        <f>($L2766*'Pivot Objective'!$C$9^7)*AH2766*AI2766</f>
        <v>0</v>
      </c>
      <c r="AK2766" s="185">
        <f t="shared" si="305"/>
        <v>0</v>
      </c>
      <c r="AL2766" s="186">
        <f t="shared" si="306"/>
        <v>0</v>
      </c>
    </row>
    <row r="2767" spans="1:38" customFormat="1" ht="57.6" x14ac:dyDescent="0.3">
      <c r="A2767" s="140" t="s">
        <v>1483</v>
      </c>
      <c r="B2767" s="140">
        <v>4</v>
      </c>
      <c r="C2767" s="166" t="s">
        <v>697</v>
      </c>
      <c r="D2767" s="140" t="str">
        <f t="shared" si="301"/>
        <v>4</v>
      </c>
      <c r="E2767" s="166" t="s">
        <v>695</v>
      </c>
      <c r="F2767" s="140">
        <f t="shared" si="303"/>
        <v>5</v>
      </c>
      <c r="G2767" s="140" t="str">
        <f t="shared" si="302"/>
        <v>4.4.5</v>
      </c>
      <c r="H2767" s="166" t="s">
        <v>1706</v>
      </c>
      <c r="I2767" s="166" t="s">
        <v>142</v>
      </c>
      <c r="J2767" s="166" t="s">
        <v>630</v>
      </c>
      <c r="K2767" s="166" t="s">
        <v>707</v>
      </c>
      <c r="L2767" s="166">
        <v>391991.03749999998</v>
      </c>
      <c r="M2767" s="166">
        <v>0</v>
      </c>
      <c r="N2767" s="166">
        <v>0</v>
      </c>
      <c r="O2767" s="164">
        <f t="shared" si="304"/>
        <v>0</v>
      </c>
      <c r="P2767" s="166">
        <v>0</v>
      </c>
      <c r="Q2767" s="166">
        <v>0</v>
      </c>
      <c r="R2767" s="164">
        <f>$L2767*'Pivot Objective'!$C$9*P2767*Q2767</f>
        <v>0</v>
      </c>
      <c r="S2767" s="166">
        <v>0</v>
      </c>
      <c r="T2767" s="166">
        <v>0</v>
      </c>
      <c r="U2767" s="164">
        <f>($L2767*'Pivot Objective'!$C$9^2)*S2767*T2767</f>
        <v>0</v>
      </c>
      <c r="V2767" s="166">
        <v>2</v>
      </c>
      <c r="W2767" s="166">
        <v>2</v>
      </c>
      <c r="X2767" s="164">
        <f>($L2767*'Pivot Objective'!$C$9^3)*V2767*W2767</f>
        <v>2340910.8621271173</v>
      </c>
      <c r="Y2767" s="166">
        <v>0</v>
      </c>
      <c r="Z2767" s="166">
        <v>0</v>
      </c>
      <c r="AA2767" s="164">
        <f>($L2767*'Pivot Objective'!$C$9^4)*Y2767*Z2767</f>
        <v>0</v>
      </c>
      <c r="AB2767" s="166">
        <v>0</v>
      </c>
      <c r="AC2767" s="166">
        <v>0</v>
      </c>
      <c r="AD2767" s="164">
        <f>($L2767*'Pivot Objective'!$C$9^5)*AB2767*AC2767</f>
        <v>0</v>
      </c>
      <c r="AE2767" s="166">
        <v>0</v>
      </c>
      <c r="AF2767" s="166">
        <v>0</v>
      </c>
      <c r="AG2767" s="164">
        <f>($L2767*'Pivot Objective'!$C$9^6)*AE2767*AF2767</f>
        <v>0</v>
      </c>
      <c r="AH2767" s="166">
        <v>0</v>
      </c>
      <c r="AI2767" s="166">
        <v>0</v>
      </c>
      <c r="AJ2767" s="164">
        <f>($L2767*'Pivot Objective'!$C$9^7)*AH2767*AI2767</f>
        <v>0</v>
      </c>
      <c r="AK2767" s="185">
        <f t="shared" si="305"/>
        <v>2340910.8621271173</v>
      </c>
      <c r="AL2767" s="186">
        <f t="shared" si="306"/>
        <v>2272.7289923564244</v>
      </c>
    </row>
    <row r="2768" spans="1:38" customFormat="1" ht="57.6" x14ac:dyDescent="0.3">
      <c r="A2768" s="140" t="s">
        <v>1483</v>
      </c>
      <c r="B2768" s="140">
        <v>4</v>
      </c>
      <c r="C2768" s="166" t="s">
        <v>697</v>
      </c>
      <c r="D2768" s="140" t="str">
        <f t="shared" si="301"/>
        <v>4</v>
      </c>
      <c r="E2768" s="166" t="s">
        <v>695</v>
      </c>
      <c r="F2768" s="140">
        <f t="shared" si="303"/>
        <v>5</v>
      </c>
      <c r="G2768" s="140" t="str">
        <f t="shared" si="302"/>
        <v>4.4.5</v>
      </c>
      <c r="H2768" s="166" t="s">
        <v>1706</v>
      </c>
      <c r="I2768" s="166" t="s">
        <v>142</v>
      </c>
      <c r="J2768" s="166" t="s">
        <v>630</v>
      </c>
      <c r="K2768" s="166" t="s">
        <v>708</v>
      </c>
      <c r="L2768" s="166">
        <f>980*1022</f>
        <v>1001560</v>
      </c>
      <c r="M2768" s="166">
        <v>0</v>
      </c>
      <c r="N2768" s="166">
        <v>0</v>
      </c>
      <c r="O2768" s="164">
        <f t="shared" si="304"/>
        <v>0</v>
      </c>
      <c r="P2768" s="166">
        <v>0</v>
      </c>
      <c r="Q2768" s="166">
        <v>0</v>
      </c>
      <c r="R2768" s="164">
        <f>$L2768*'Pivot Objective'!$C$9*P2768*Q2768</f>
        <v>0</v>
      </c>
      <c r="S2768" s="166">
        <v>0</v>
      </c>
      <c r="T2768" s="166">
        <v>0</v>
      </c>
      <c r="U2768" s="164">
        <f>($L2768*'Pivot Objective'!$C$9^2)*S2768*T2768</f>
        <v>0</v>
      </c>
      <c r="V2768" s="166">
        <v>1</v>
      </c>
      <c r="W2768" s="166">
        <v>25</v>
      </c>
      <c r="X2768" s="164">
        <f>($L2768*'Pivot Objective'!$C$9^3)*V2768*W2768</f>
        <v>37382275.020000227</v>
      </c>
      <c r="Y2768" s="166">
        <v>0</v>
      </c>
      <c r="Z2768" s="166">
        <v>0</v>
      </c>
      <c r="AA2768" s="164">
        <f>($L2768*'Pivot Objective'!$C$9^4)*Y2768*Z2768</f>
        <v>0</v>
      </c>
      <c r="AB2768" s="166">
        <v>0</v>
      </c>
      <c r="AC2768" s="166">
        <v>0</v>
      </c>
      <c r="AD2768" s="164">
        <f>($L2768*'Pivot Objective'!$C$9^5)*AB2768*AC2768</f>
        <v>0</v>
      </c>
      <c r="AE2768" s="166">
        <v>0</v>
      </c>
      <c r="AF2768" s="166">
        <v>0</v>
      </c>
      <c r="AG2768" s="164">
        <f>($L2768*'Pivot Objective'!$C$9^6)*AE2768*AF2768</f>
        <v>0</v>
      </c>
      <c r="AH2768" s="166">
        <v>0</v>
      </c>
      <c r="AI2768" s="166">
        <v>0</v>
      </c>
      <c r="AJ2768" s="164">
        <f>($L2768*'Pivot Objective'!$C$9^7)*AH2768*AI2768</f>
        <v>0</v>
      </c>
      <c r="AK2768" s="185">
        <f t="shared" si="305"/>
        <v>37382275.020000227</v>
      </c>
      <c r="AL2768" s="186">
        <f t="shared" si="306"/>
        <v>36293.470893204103</v>
      </c>
    </row>
    <row r="2769" spans="1:38" customFormat="1" ht="57.6" x14ac:dyDescent="0.3">
      <c r="A2769" s="140" t="s">
        <v>1483</v>
      </c>
      <c r="B2769" s="140">
        <v>4</v>
      </c>
      <c r="C2769" s="166" t="s">
        <v>697</v>
      </c>
      <c r="D2769" s="140" t="str">
        <f t="shared" si="301"/>
        <v>4</v>
      </c>
      <c r="E2769" s="166" t="s">
        <v>695</v>
      </c>
      <c r="F2769" s="140">
        <f t="shared" si="303"/>
        <v>5</v>
      </c>
      <c r="G2769" s="140" t="str">
        <f t="shared" si="302"/>
        <v>4.4.5</v>
      </c>
      <c r="H2769" s="166" t="s">
        <v>1706</v>
      </c>
      <c r="I2769" s="166" t="s">
        <v>142</v>
      </c>
      <c r="J2769" s="166" t="s">
        <v>631</v>
      </c>
      <c r="K2769" s="166" t="s">
        <v>709</v>
      </c>
      <c r="L2769" s="166">
        <v>35000</v>
      </c>
      <c r="M2769" s="166">
        <v>0</v>
      </c>
      <c r="N2769" s="166">
        <v>0</v>
      </c>
      <c r="O2769" s="164">
        <f t="shared" si="304"/>
        <v>0</v>
      </c>
      <c r="P2769" s="166">
        <v>0</v>
      </c>
      <c r="Q2769" s="166">
        <v>0</v>
      </c>
      <c r="R2769" s="164">
        <f>$L2769*'Pivot Objective'!$C$9*P2769*Q2769</f>
        <v>0</v>
      </c>
      <c r="S2769" s="166">
        <v>0</v>
      </c>
      <c r="T2769" s="166">
        <v>0</v>
      </c>
      <c r="U2769" s="164">
        <f>($L2769*'Pivot Objective'!$C$9^2)*S2769*T2769</f>
        <v>0</v>
      </c>
      <c r="V2769" s="166">
        <v>30</v>
      </c>
      <c r="W2769" s="166">
        <v>15</v>
      </c>
      <c r="X2769" s="164">
        <f>($L2769*'Pivot Objective'!$C$9^3)*V2769*W2769</f>
        <v>23514151.186748818</v>
      </c>
      <c r="Y2769" s="166">
        <v>0</v>
      </c>
      <c r="Z2769" s="166">
        <v>0</v>
      </c>
      <c r="AA2769" s="164">
        <f>($L2769*'Pivot Objective'!$C$9^4)*Y2769*Z2769</f>
        <v>0</v>
      </c>
      <c r="AB2769" s="166">
        <v>0</v>
      </c>
      <c r="AC2769" s="166">
        <v>0</v>
      </c>
      <c r="AD2769" s="164">
        <f>($L2769*'Pivot Objective'!$C$9^5)*AB2769*AC2769</f>
        <v>0</v>
      </c>
      <c r="AE2769" s="166">
        <v>0</v>
      </c>
      <c r="AF2769" s="166">
        <v>0</v>
      </c>
      <c r="AG2769" s="164">
        <f>($L2769*'Pivot Objective'!$C$9^6)*AE2769*AF2769</f>
        <v>0</v>
      </c>
      <c r="AH2769" s="166">
        <v>0</v>
      </c>
      <c r="AI2769" s="166">
        <v>0</v>
      </c>
      <c r="AJ2769" s="164">
        <f>($L2769*'Pivot Objective'!$C$9^7)*AH2769*AI2769</f>
        <v>0</v>
      </c>
      <c r="AK2769" s="185">
        <f t="shared" si="305"/>
        <v>23514151.186748818</v>
      </c>
      <c r="AL2769" s="186">
        <f t="shared" si="306"/>
        <v>22829.272996843512</v>
      </c>
    </row>
    <row r="2770" spans="1:38" customFormat="1" ht="57.6" x14ac:dyDescent="0.3">
      <c r="A2770" s="140" t="s">
        <v>1483</v>
      </c>
      <c r="B2770" s="140">
        <v>4</v>
      </c>
      <c r="C2770" s="166" t="s">
        <v>697</v>
      </c>
      <c r="D2770" s="140" t="str">
        <f t="shared" si="301"/>
        <v>4</v>
      </c>
      <c r="E2770" s="166" t="s">
        <v>695</v>
      </c>
      <c r="F2770" s="140">
        <f t="shared" si="303"/>
        <v>5</v>
      </c>
      <c r="G2770" s="140" t="str">
        <f t="shared" si="302"/>
        <v>4.4.5</v>
      </c>
      <c r="H2770" s="166" t="s">
        <v>1706</v>
      </c>
      <c r="I2770" s="166" t="s">
        <v>142</v>
      </c>
      <c r="J2770" s="166" t="s">
        <v>631</v>
      </c>
      <c r="K2770" s="166" t="s">
        <v>716</v>
      </c>
      <c r="L2770" s="166">
        <v>39000</v>
      </c>
      <c r="M2770" s="166">
        <v>0</v>
      </c>
      <c r="N2770" s="166">
        <v>0</v>
      </c>
      <c r="O2770" s="164">
        <f t="shared" si="304"/>
        <v>0</v>
      </c>
      <c r="P2770" s="166">
        <v>0</v>
      </c>
      <c r="Q2770" s="166">
        <v>0</v>
      </c>
      <c r="R2770" s="164">
        <f>$L2770*'Pivot Objective'!$C$9*P2770*Q2770</f>
        <v>0</v>
      </c>
      <c r="S2770" s="166">
        <v>0</v>
      </c>
      <c r="T2770" s="166">
        <v>0</v>
      </c>
      <c r="U2770" s="164">
        <f>($L2770*'Pivot Objective'!$C$9^2)*S2770*T2770</f>
        <v>0</v>
      </c>
      <c r="V2770" s="166">
        <v>30</v>
      </c>
      <c r="W2770" s="166">
        <v>15</v>
      </c>
      <c r="X2770" s="164">
        <f>($L2770*'Pivot Objective'!$C$9^3)*V2770*W2770</f>
        <v>26201482.750948675</v>
      </c>
      <c r="Y2770" s="166">
        <v>0</v>
      </c>
      <c r="Z2770" s="166">
        <v>0</v>
      </c>
      <c r="AA2770" s="164">
        <f>($L2770*'Pivot Objective'!$C$9^4)*Y2770*Z2770</f>
        <v>0</v>
      </c>
      <c r="AB2770" s="166">
        <v>0</v>
      </c>
      <c r="AC2770" s="166">
        <v>0</v>
      </c>
      <c r="AD2770" s="164">
        <f>($L2770*'Pivot Objective'!$C$9^5)*AB2770*AC2770</f>
        <v>0</v>
      </c>
      <c r="AE2770" s="166">
        <v>0</v>
      </c>
      <c r="AF2770" s="166">
        <v>0</v>
      </c>
      <c r="AG2770" s="164">
        <f>($L2770*'Pivot Objective'!$C$9^6)*AE2770*AF2770</f>
        <v>0</v>
      </c>
      <c r="AH2770" s="166">
        <v>0</v>
      </c>
      <c r="AI2770" s="166">
        <v>0</v>
      </c>
      <c r="AJ2770" s="164">
        <f>($L2770*'Pivot Objective'!$C$9^7)*AH2770*AI2770</f>
        <v>0</v>
      </c>
      <c r="AK2770" s="185">
        <f t="shared" si="305"/>
        <v>26201482.750948675</v>
      </c>
      <c r="AL2770" s="186">
        <f t="shared" si="306"/>
        <v>25438.332767911335</v>
      </c>
    </row>
    <row r="2771" spans="1:38" customFormat="1" ht="57.6" x14ac:dyDescent="0.3">
      <c r="A2771" s="140" t="s">
        <v>1483</v>
      </c>
      <c r="B2771" s="140">
        <v>4</v>
      </c>
      <c r="C2771" s="166" t="s">
        <v>697</v>
      </c>
      <c r="D2771" s="140" t="str">
        <f t="shared" si="301"/>
        <v>4</v>
      </c>
      <c r="E2771" s="166" t="s">
        <v>695</v>
      </c>
      <c r="F2771" s="140">
        <f t="shared" ref="F2771:F2802" si="307">IF(H2771=H2770,F2770,F2770+1)</f>
        <v>5</v>
      </c>
      <c r="G2771" s="140" t="str">
        <f t="shared" si="302"/>
        <v>4.4.5</v>
      </c>
      <c r="H2771" s="166" t="s">
        <v>1706</v>
      </c>
      <c r="I2771" s="166" t="s">
        <v>142</v>
      </c>
      <c r="J2771" s="166" t="s">
        <v>631</v>
      </c>
      <c r="K2771" s="166" t="s">
        <v>712</v>
      </c>
      <c r="L2771" s="166">
        <f>1480/7</f>
        <v>211.42857142857142</v>
      </c>
      <c r="M2771" s="166">
        <v>0</v>
      </c>
      <c r="N2771" s="166">
        <v>0</v>
      </c>
      <c r="O2771" s="164">
        <f t="shared" si="304"/>
        <v>0</v>
      </c>
      <c r="P2771" s="166">
        <v>0</v>
      </c>
      <c r="Q2771" s="166">
        <v>0</v>
      </c>
      <c r="R2771" s="164">
        <f>$L2771*'Pivot Objective'!$C$9*P2771*Q2771</f>
        <v>0</v>
      </c>
      <c r="S2771" s="166">
        <v>0</v>
      </c>
      <c r="T2771" s="166">
        <v>0</v>
      </c>
      <c r="U2771" s="164">
        <f>($L2771*'Pivot Objective'!$C$9^2)*S2771*T2771</f>
        <v>0</v>
      </c>
      <c r="V2771" s="166">
        <f>2*25*9</f>
        <v>450</v>
      </c>
      <c r="W2771" s="166">
        <v>15</v>
      </c>
      <c r="X2771" s="164">
        <f>($L2771*'Pivot Objective'!$C$9^3)*V2771*W2771</f>
        <v>2130670.0259013209</v>
      </c>
      <c r="Y2771" s="166">
        <v>0</v>
      </c>
      <c r="Z2771" s="166">
        <v>0</v>
      </c>
      <c r="AA2771" s="164">
        <f>($L2771*'Pivot Objective'!$C$9^4)*Y2771*Z2771</f>
        <v>0</v>
      </c>
      <c r="AB2771" s="166">
        <v>0</v>
      </c>
      <c r="AC2771" s="166">
        <v>0</v>
      </c>
      <c r="AD2771" s="164">
        <f>($L2771*'Pivot Objective'!$C$9^5)*AB2771*AC2771</f>
        <v>0</v>
      </c>
      <c r="AE2771" s="166">
        <v>0</v>
      </c>
      <c r="AF2771" s="166">
        <v>0</v>
      </c>
      <c r="AG2771" s="164">
        <f>($L2771*'Pivot Objective'!$C$9^6)*AE2771*AF2771</f>
        <v>0</v>
      </c>
      <c r="AH2771" s="166">
        <v>0</v>
      </c>
      <c r="AI2771" s="166">
        <v>0</v>
      </c>
      <c r="AJ2771" s="164">
        <f>($L2771*'Pivot Objective'!$C$9^7)*AH2771*AI2771</f>
        <v>0</v>
      </c>
      <c r="AK2771" s="185">
        <f t="shared" si="305"/>
        <v>2130670.0259013209</v>
      </c>
      <c r="AL2771" s="186">
        <f t="shared" si="306"/>
        <v>2068.6116756323504</v>
      </c>
    </row>
    <row r="2772" spans="1:38" customFormat="1" ht="57.6" x14ac:dyDescent="0.3">
      <c r="A2772" s="140" t="s">
        <v>1483</v>
      </c>
      <c r="B2772" s="140">
        <v>4</v>
      </c>
      <c r="C2772" s="166" t="s">
        <v>697</v>
      </c>
      <c r="D2772" s="140" t="str">
        <f t="shared" si="301"/>
        <v>4</v>
      </c>
      <c r="E2772" s="166" t="s">
        <v>695</v>
      </c>
      <c r="F2772" s="140">
        <f t="shared" si="307"/>
        <v>5</v>
      </c>
      <c r="G2772" s="140" t="str">
        <f t="shared" si="302"/>
        <v>4.4.5</v>
      </c>
      <c r="H2772" s="166" t="s">
        <v>1706</v>
      </c>
      <c r="I2772" s="166" t="s">
        <v>142</v>
      </c>
      <c r="J2772" s="166" t="s">
        <v>631</v>
      </c>
      <c r="K2772" s="166" t="s">
        <v>1320</v>
      </c>
      <c r="L2772" s="166">
        <f>1480/7</f>
        <v>211.42857142857142</v>
      </c>
      <c r="M2772" s="166">
        <v>0</v>
      </c>
      <c r="N2772" s="166">
        <v>0</v>
      </c>
      <c r="O2772" s="164">
        <f t="shared" si="304"/>
        <v>0</v>
      </c>
      <c r="P2772" s="166">
        <v>0</v>
      </c>
      <c r="Q2772" s="166">
        <v>0</v>
      </c>
      <c r="R2772" s="164">
        <f>$L2772*'Pivot Objective'!$C$9*P2772*Q2772</f>
        <v>0</v>
      </c>
      <c r="S2772" s="166"/>
      <c r="T2772" s="166"/>
      <c r="U2772" s="164">
        <f>($L2772*'Pivot Objective'!$C$9^2)*S2772*T2772</f>
        <v>0</v>
      </c>
      <c r="V2772" s="166">
        <f>2*135*9</f>
        <v>2430</v>
      </c>
      <c r="W2772" s="166">
        <v>3</v>
      </c>
      <c r="X2772" s="164">
        <f>($L2772*'Pivot Objective'!$C$9^3)*V2772*W2772</f>
        <v>2301123.6279734266</v>
      </c>
      <c r="Y2772" s="166"/>
      <c r="Z2772" s="166"/>
      <c r="AA2772" s="164">
        <f>($L2772*'Pivot Objective'!$C$9^4)*Y2772*Z2772</f>
        <v>0</v>
      </c>
      <c r="AB2772" s="166"/>
      <c r="AC2772" s="166"/>
      <c r="AD2772" s="164">
        <f>($L2772*'Pivot Objective'!$C$9^5)*AB2772*AC2772</f>
        <v>0</v>
      </c>
      <c r="AE2772" s="166"/>
      <c r="AF2772" s="166"/>
      <c r="AG2772" s="164">
        <f>($L2772*'Pivot Objective'!$C$9^6)*AE2772*AF2772</f>
        <v>0</v>
      </c>
      <c r="AH2772" s="166"/>
      <c r="AI2772" s="166"/>
      <c r="AJ2772" s="164">
        <f>($L2772*'Pivot Objective'!$C$9^7)*AH2772*AI2772</f>
        <v>0</v>
      </c>
      <c r="AK2772" s="185">
        <f t="shared" si="305"/>
        <v>2301123.6279734266</v>
      </c>
      <c r="AL2772" s="186">
        <f t="shared" si="306"/>
        <v>2234.1006096829383</v>
      </c>
    </row>
    <row r="2773" spans="1:38" customFormat="1" ht="57.6" x14ac:dyDescent="0.3">
      <c r="A2773" s="140" t="s">
        <v>1483</v>
      </c>
      <c r="B2773" s="140">
        <v>4</v>
      </c>
      <c r="C2773" s="166" t="s">
        <v>697</v>
      </c>
      <c r="D2773" s="140" t="str">
        <f t="shared" si="301"/>
        <v>4</v>
      </c>
      <c r="E2773" s="166" t="s">
        <v>695</v>
      </c>
      <c r="F2773" s="140">
        <f t="shared" si="307"/>
        <v>5</v>
      </c>
      <c r="G2773" s="140" t="str">
        <f t="shared" si="302"/>
        <v>4.4.5</v>
      </c>
      <c r="H2773" s="166" t="s">
        <v>1706</v>
      </c>
      <c r="I2773" s="166" t="s">
        <v>142</v>
      </c>
      <c r="J2773" s="166" t="s">
        <v>265</v>
      </c>
      <c r="K2773" s="166" t="s">
        <v>709</v>
      </c>
      <c r="L2773" s="166">
        <v>35000</v>
      </c>
      <c r="M2773" s="166">
        <v>0</v>
      </c>
      <c r="N2773" s="166">
        <v>0</v>
      </c>
      <c r="O2773" s="164">
        <f t="shared" si="304"/>
        <v>0</v>
      </c>
      <c r="P2773" s="166">
        <v>0</v>
      </c>
      <c r="Q2773" s="166">
        <v>0</v>
      </c>
      <c r="R2773" s="164">
        <f>$L2773*'Pivot Objective'!$C$9*P2773*Q2773</f>
        <v>0</v>
      </c>
      <c r="S2773" s="166">
        <v>0</v>
      </c>
      <c r="T2773" s="166">
        <v>0</v>
      </c>
      <c r="U2773" s="164">
        <f>($L2773*'Pivot Objective'!$C$9^2)*S2773*T2773</f>
        <v>0</v>
      </c>
      <c r="V2773" s="166">
        <v>25</v>
      </c>
      <c r="W2773" s="166">
        <v>1</v>
      </c>
      <c r="X2773" s="164">
        <f>($L2773*'Pivot Objective'!$C$9^3)*V2773*W2773</f>
        <v>1306341.7325971564</v>
      </c>
      <c r="Y2773" s="166">
        <v>0</v>
      </c>
      <c r="Z2773" s="166">
        <v>0</v>
      </c>
      <c r="AA2773" s="164">
        <f>($L2773*'Pivot Objective'!$C$9^4)*Y2773*Z2773</f>
        <v>0</v>
      </c>
      <c r="AB2773" s="166">
        <v>0</v>
      </c>
      <c r="AC2773" s="166">
        <v>0</v>
      </c>
      <c r="AD2773" s="164">
        <f>($L2773*'Pivot Objective'!$C$9^5)*AB2773*AC2773</f>
        <v>0</v>
      </c>
      <c r="AE2773" s="166">
        <v>0</v>
      </c>
      <c r="AF2773" s="166">
        <v>0</v>
      </c>
      <c r="AG2773" s="164">
        <f>($L2773*'Pivot Objective'!$C$9^6)*AE2773*AF2773</f>
        <v>0</v>
      </c>
      <c r="AH2773" s="166">
        <v>0</v>
      </c>
      <c r="AI2773" s="166">
        <v>0</v>
      </c>
      <c r="AJ2773" s="164">
        <f>($L2773*'Pivot Objective'!$C$9^7)*AH2773*AI2773</f>
        <v>0</v>
      </c>
      <c r="AK2773" s="185">
        <f t="shared" si="305"/>
        <v>1306341.7325971564</v>
      </c>
      <c r="AL2773" s="186">
        <f t="shared" si="306"/>
        <v>1268.2929442690838</v>
      </c>
    </row>
    <row r="2774" spans="1:38" customFormat="1" ht="57.6" x14ac:dyDescent="0.3">
      <c r="A2774" s="140" t="s">
        <v>1483</v>
      </c>
      <c r="B2774" s="140">
        <v>4</v>
      </c>
      <c r="C2774" s="166" t="s">
        <v>697</v>
      </c>
      <c r="D2774" s="140" t="str">
        <f t="shared" si="301"/>
        <v>4</v>
      </c>
      <c r="E2774" s="166" t="s">
        <v>695</v>
      </c>
      <c r="F2774" s="140">
        <f t="shared" si="307"/>
        <v>5</v>
      </c>
      <c r="G2774" s="140" t="str">
        <f t="shared" si="302"/>
        <v>4.4.5</v>
      </c>
      <c r="H2774" s="166" t="s">
        <v>1706</v>
      </c>
      <c r="I2774" s="166" t="s">
        <v>142</v>
      </c>
      <c r="J2774" s="166" t="s">
        <v>562</v>
      </c>
      <c r="K2774" s="166" t="s">
        <v>718</v>
      </c>
      <c r="L2774" s="166">
        <v>0</v>
      </c>
      <c r="M2774" s="166">
        <v>0</v>
      </c>
      <c r="N2774" s="166">
        <v>0</v>
      </c>
      <c r="O2774" s="164">
        <f t="shared" si="304"/>
        <v>0</v>
      </c>
      <c r="P2774" s="166">
        <v>0</v>
      </c>
      <c r="Q2774" s="166">
        <v>0</v>
      </c>
      <c r="R2774" s="164">
        <f>$L2774*'Pivot Objective'!$C$9*P2774*Q2774</f>
        <v>0</v>
      </c>
      <c r="S2774" s="166">
        <v>0</v>
      </c>
      <c r="T2774" s="166">
        <v>0</v>
      </c>
      <c r="U2774" s="164">
        <f>($L2774*'Pivot Objective'!$C$9^2)*S2774*T2774</f>
        <v>0</v>
      </c>
      <c r="V2774" s="166">
        <v>25</v>
      </c>
      <c r="W2774" s="166">
        <v>1</v>
      </c>
      <c r="X2774" s="164">
        <f>($L2774*'Pivot Objective'!$C$9^3)*V2774*W2774</f>
        <v>0</v>
      </c>
      <c r="Y2774" s="166">
        <v>0</v>
      </c>
      <c r="Z2774" s="166">
        <v>0</v>
      </c>
      <c r="AA2774" s="164">
        <f>($L2774*'Pivot Objective'!$C$9^4)*Y2774*Z2774</f>
        <v>0</v>
      </c>
      <c r="AB2774" s="166">
        <v>0</v>
      </c>
      <c r="AC2774" s="166">
        <v>0</v>
      </c>
      <c r="AD2774" s="164">
        <f>($L2774*'Pivot Objective'!$C$9^5)*AB2774*AC2774</f>
        <v>0</v>
      </c>
      <c r="AE2774" s="166">
        <v>0</v>
      </c>
      <c r="AF2774" s="166">
        <v>0</v>
      </c>
      <c r="AG2774" s="164">
        <f>($L2774*'Pivot Objective'!$C$9^6)*AE2774*AF2774</f>
        <v>0</v>
      </c>
      <c r="AH2774" s="166">
        <v>0</v>
      </c>
      <c r="AI2774" s="166">
        <v>0</v>
      </c>
      <c r="AJ2774" s="164">
        <f>($L2774*'Pivot Objective'!$C$9^7)*AH2774*AI2774</f>
        <v>0</v>
      </c>
      <c r="AK2774" s="185">
        <f t="shared" si="305"/>
        <v>0</v>
      </c>
      <c r="AL2774" s="186">
        <f t="shared" si="306"/>
        <v>0</v>
      </c>
    </row>
    <row r="2775" spans="1:38" customFormat="1" ht="57.6" x14ac:dyDescent="0.3">
      <c r="A2775" s="140" t="s">
        <v>1483</v>
      </c>
      <c r="B2775" s="140">
        <v>4</v>
      </c>
      <c r="C2775" s="166" t="s">
        <v>697</v>
      </c>
      <c r="D2775" s="140" t="str">
        <f t="shared" si="301"/>
        <v>4</v>
      </c>
      <c r="E2775" s="166" t="s">
        <v>695</v>
      </c>
      <c r="F2775" s="140">
        <f t="shared" si="307"/>
        <v>5</v>
      </c>
      <c r="G2775" s="140" t="str">
        <f t="shared" si="302"/>
        <v>4.4.5</v>
      </c>
      <c r="H2775" s="166" t="s">
        <v>1706</v>
      </c>
      <c r="I2775" s="166" t="s">
        <v>142</v>
      </c>
      <c r="J2775" s="166" t="s">
        <v>156</v>
      </c>
      <c r="K2775" s="166" t="s">
        <v>709</v>
      </c>
      <c r="L2775" s="166">
        <v>35000</v>
      </c>
      <c r="M2775" s="166">
        <v>0</v>
      </c>
      <c r="N2775" s="166">
        <v>0</v>
      </c>
      <c r="O2775" s="164">
        <f t="shared" si="304"/>
        <v>0</v>
      </c>
      <c r="P2775" s="166">
        <v>0</v>
      </c>
      <c r="Q2775" s="166">
        <v>0</v>
      </c>
      <c r="R2775" s="164">
        <f>$L2775*'Pivot Objective'!$C$9*P2775*Q2775</f>
        <v>0</v>
      </c>
      <c r="S2775" s="166">
        <v>0</v>
      </c>
      <c r="T2775" s="166">
        <v>0</v>
      </c>
      <c r="U2775" s="164">
        <f>($L2775*'Pivot Objective'!$C$9^2)*S2775*T2775</f>
        <v>0</v>
      </c>
      <c r="V2775" s="166">
        <v>100</v>
      </c>
      <c r="W2775" s="166">
        <v>1</v>
      </c>
      <c r="X2775" s="164">
        <f>($L2775*'Pivot Objective'!$C$9^3)*V2775*W2775</f>
        <v>5225366.9303886257</v>
      </c>
      <c r="Y2775" s="166">
        <v>0</v>
      </c>
      <c r="Z2775" s="166">
        <v>0</v>
      </c>
      <c r="AA2775" s="164">
        <f>($L2775*'Pivot Objective'!$C$9^4)*Y2775*Z2775</f>
        <v>0</v>
      </c>
      <c r="AB2775" s="166">
        <v>0</v>
      </c>
      <c r="AC2775" s="166">
        <v>0</v>
      </c>
      <c r="AD2775" s="164">
        <f>($L2775*'Pivot Objective'!$C$9^5)*AB2775*AC2775</f>
        <v>0</v>
      </c>
      <c r="AE2775" s="166">
        <v>0</v>
      </c>
      <c r="AF2775" s="166">
        <v>0</v>
      </c>
      <c r="AG2775" s="164">
        <f>($L2775*'Pivot Objective'!$C$9^6)*AE2775*AF2775</f>
        <v>0</v>
      </c>
      <c r="AH2775" s="166">
        <v>0</v>
      </c>
      <c r="AI2775" s="166">
        <v>0</v>
      </c>
      <c r="AJ2775" s="164">
        <f>($L2775*'Pivot Objective'!$C$9^7)*AH2775*AI2775</f>
        <v>0</v>
      </c>
      <c r="AK2775" s="185">
        <f t="shared" si="305"/>
        <v>5225366.9303886257</v>
      </c>
      <c r="AL2775" s="186">
        <f t="shared" si="306"/>
        <v>5073.1717770763353</v>
      </c>
    </row>
    <row r="2776" spans="1:38" customFormat="1" ht="57.6" x14ac:dyDescent="0.3">
      <c r="A2776" s="140" t="s">
        <v>1483</v>
      </c>
      <c r="B2776" s="140">
        <v>4</v>
      </c>
      <c r="C2776" s="166" t="s">
        <v>697</v>
      </c>
      <c r="D2776" s="140" t="str">
        <f t="shared" si="301"/>
        <v>4</v>
      </c>
      <c r="E2776" s="166" t="s">
        <v>695</v>
      </c>
      <c r="F2776" s="140">
        <f t="shared" si="307"/>
        <v>5</v>
      </c>
      <c r="G2776" s="140" t="str">
        <f t="shared" si="302"/>
        <v>4.4.5</v>
      </c>
      <c r="H2776" s="166" t="s">
        <v>1706</v>
      </c>
      <c r="I2776" s="166" t="s">
        <v>142</v>
      </c>
      <c r="J2776" s="166" t="s">
        <v>156</v>
      </c>
      <c r="K2776" s="166" t="s">
        <v>1297</v>
      </c>
      <c r="L2776" s="166">
        <v>8000</v>
      </c>
      <c r="M2776" s="166">
        <v>0</v>
      </c>
      <c r="N2776" s="166">
        <v>0</v>
      </c>
      <c r="O2776" s="164">
        <f t="shared" si="304"/>
        <v>0</v>
      </c>
      <c r="P2776" s="166">
        <v>0</v>
      </c>
      <c r="Q2776" s="166">
        <v>0</v>
      </c>
      <c r="R2776" s="164">
        <f>$L2776*'Pivot Objective'!$C$9*P2776*Q2776</f>
        <v>0</v>
      </c>
      <c r="S2776" s="166">
        <v>0</v>
      </c>
      <c r="T2776" s="166">
        <v>0</v>
      </c>
      <c r="U2776" s="164">
        <f>($L2776*'Pivot Objective'!$C$9^2)*S2776*T2776</f>
        <v>0</v>
      </c>
      <c r="V2776" s="166">
        <v>10</v>
      </c>
      <c r="W2776" s="166">
        <v>1</v>
      </c>
      <c r="X2776" s="164">
        <f>($L2776*'Pivot Objective'!$C$9^3)*V2776*W2776</f>
        <v>119436.95840888287</v>
      </c>
      <c r="Y2776" s="166">
        <v>0</v>
      </c>
      <c r="Z2776" s="166">
        <v>0</v>
      </c>
      <c r="AA2776" s="164">
        <f>($L2776*'Pivot Objective'!$C$9^4)*Y2776*Z2776</f>
        <v>0</v>
      </c>
      <c r="AB2776" s="166">
        <v>0</v>
      </c>
      <c r="AC2776" s="166">
        <v>0</v>
      </c>
      <c r="AD2776" s="164">
        <f>($L2776*'Pivot Objective'!$C$9^5)*AB2776*AC2776</f>
        <v>0</v>
      </c>
      <c r="AE2776" s="166">
        <v>0</v>
      </c>
      <c r="AF2776" s="166">
        <v>0</v>
      </c>
      <c r="AG2776" s="164">
        <f>($L2776*'Pivot Objective'!$C$9^6)*AE2776*AF2776</f>
        <v>0</v>
      </c>
      <c r="AH2776" s="166">
        <v>0</v>
      </c>
      <c r="AI2776" s="166">
        <v>0</v>
      </c>
      <c r="AJ2776" s="164">
        <f>($L2776*'Pivot Objective'!$C$9^7)*AH2776*AI2776</f>
        <v>0</v>
      </c>
      <c r="AK2776" s="185">
        <f t="shared" si="305"/>
        <v>119436.95840888287</v>
      </c>
      <c r="AL2776" s="186">
        <f t="shared" si="306"/>
        <v>115.9582120474591</v>
      </c>
    </row>
    <row r="2777" spans="1:38" customFormat="1" ht="57.6" x14ac:dyDescent="0.3">
      <c r="A2777" s="140" t="s">
        <v>1483</v>
      </c>
      <c r="B2777" s="140">
        <v>4</v>
      </c>
      <c r="C2777" s="166" t="s">
        <v>697</v>
      </c>
      <c r="D2777" s="140" t="str">
        <f t="shared" si="301"/>
        <v>4</v>
      </c>
      <c r="E2777" s="166" t="s">
        <v>695</v>
      </c>
      <c r="F2777" s="140">
        <f t="shared" si="307"/>
        <v>5</v>
      </c>
      <c r="G2777" s="140" t="str">
        <f t="shared" si="302"/>
        <v>4.4.5</v>
      </c>
      <c r="H2777" s="166" t="s">
        <v>1706</v>
      </c>
      <c r="I2777" s="166" t="s">
        <v>142</v>
      </c>
      <c r="J2777" s="166" t="s">
        <v>156</v>
      </c>
      <c r="K2777" s="166" t="s">
        <v>717</v>
      </c>
      <c r="L2777" s="166">
        <v>104850</v>
      </c>
      <c r="M2777" s="166">
        <v>0</v>
      </c>
      <c r="N2777" s="166">
        <v>0</v>
      </c>
      <c r="O2777" s="164">
        <f t="shared" si="304"/>
        <v>0</v>
      </c>
      <c r="P2777" s="166">
        <v>0</v>
      </c>
      <c r="Q2777" s="166">
        <v>0</v>
      </c>
      <c r="R2777" s="164">
        <f>$L2777*'Pivot Objective'!$C$9*P2777*Q2777</f>
        <v>0</v>
      </c>
      <c r="S2777" s="166">
        <v>0</v>
      </c>
      <c r="T2777" s="166">
        <v>0</v>
      </c>
      <c r="U2777" s="164">
        <f>($L2777*'Pivot Objective'!$C$9^2)*S2777*T2777</f>
        <v>0</v>
      </c>
      <c r="V2777" s="166">
        <v>1</v>
      </c>
      <c r="W2777" s="166">
        <v>1</v>
      </c>
      <c r="X2777" s="164">
        <f>($L2777*'Pivot Objective'!$C$9^3)*V2777*W2777</f>
        <v>156537.0636146421</v>
      </c>
      <c r="Y2777" s="166">
        <v>0</v>
      </c>
      <c r="Z2777" s="166">
        <v>0</v>
      </c>
      <c r="AA2777" s="164">
        <f>($L2777*'Pivot Objective'!$C$9^4)*Y2777*Z2777</f>
        <v>0</v>
      </c>
      <c r="AB2777" s="166">
        <v>0</v>
      </c>
      <c r="AC2777" s="166">
        <v>0</v>
      </c>
      <c r="AD2777" s="164">
        <f>($L2777*'Pivot Objective'!$C$9^5)*AB2777*AC2777</f>
        <v>0</v>
      </c>
      <c r="AE2777" s="166">
        <v>0</v>
      </c>
      <c r="AF2777" s="166">
        <v>0</v>
      </c>
      <c r="AG2777" s="164">
        <f>($L2777*'Pivot Objective'!$C$9^6)*AE2777*AF2777</f>
        <v>0</v>
      </c>
      <c r="AH2777" s="166">
        <v>0</v>
      </c>
      <c r="AI2777" s="166">
        <v>0</v>
      </c>
      <c r="AJ2777" s="164">
        <f>($L2777*'Pivot Objective'!$C$9^7)*AH2777*AI2777</f>
        <v>0</v>
      </c>
      <c r="AK2777" s="185">
        <f t="shared" si="305"/>
        <v>156537.0636146421</v>
      </c>
      <c r="AL2777" s="186">
        <f t="shared" si="306"/>
        <v>151.97773166470108</v>
      </c>
    </row>
    <row r="2778" spans="1:38" customFormat="1" ht="57.6" x14ac:dyDescent="0.3">
      <c r="A2778" s="140" t="s">
        <v>1483</v>
      </c>
      <c r="B2778" s="140">
        <v>4</v>
      </c>
      <c r="C2778" s="166" t="s">
        <v>697</v>
      </c>
      <c r="D2778" s="140" t="str">
        <f t="shared" si="301"/>
        <v>4</v>
      </c>
      <c r="E2778" s="166" t="s">
        <v>695</v>
      </c>
      <c r="F2778" s="140">
        <f t="shared" si="307"/>
        <v>6</v>
      </c>
      <c r="G2778" s="140" t="str">
        <f t="shared" si="302"/>
        <v>4.4.6</v>
      </c>
      <c r="H2778" s="166" t="s">
        <v>1707</v>
      </c>
      <c r="I2778" s="166" t="s">
        <v>143</v>
      </c>
      <c r="J2778" s="166" t="s">
        <v>387</v>
      </c>
      <c r="K2778" s="166" t="s">
        <v>718</v>
      </c>
      <c r="L2778" s="166">
        <v>0</v>
      </c>
      <c r="M2778" s="166">
        <v>0</v>
      </c>
      <c r="N2778" s="166">
        <v>0</v>
      </c>
      <c r="O2778" s="164">
        <f t="shared" si="304"/>
        <v>0</v>
      </c>
      <c r="P2778" s="166">
        <v>0</v>
      </c>
      <c r="Q2778" s="166">
        <v>0</v>
      </c>
      <c r="R2778" s="164">
        <f>$L2778*'Pivot Objective'!$C$9*P2778*Q2778</f>
        <v>0</v>
      </c>
      <c r="S2778" s="166">
        <v>0</v>
      </c>
      <c r="T2778" s="166">
        <v>0</v>
      </c>
      <c r="U2778" s="164">
        <f>($L2778*'Pivot Objective'!$C$9^2)*S2778*T2778</f>
        <v>0</v>
      </c>
      <c r="V2778" s="166">
        <v>0</v>
      </c>
      <c r="W2778" s="166">
        <v>0</v>
      </c>
      <c r="X2778" s="164">
        <f>($L2778*'Pivot Objective'!$C$9^3)*V2778*W2778</f>
        <v>0</v>
      </c>
      <c r="Y2778" s="166">
        <v>0</v>
      </c>
      <c r="Z2778" s="166">
        <v>0</v>
      </c>
      <c r="AA2778" s="164">
        <f>($L2778*'Pivot Objective'!$C$9^4)*Y2778*Z2778</f>
        <v>0</v>
      </c>
      <c r="AB2778" s="166">
        <v>0</v>
      </c>
      <c r="AC2778" s="166">
        <v>0</v>
      </c>
      <c r="AD2778" s="164">
        <f>($L2778*'Pivot Objective'!$C$9^5)*AB2778*AC2778</f>
        <v>0</v>
      </c>
      <c r="AE2778" s="166">
        <v>0</v>
      </c>
      <c r="AF2778" s="166">
        <v>0</v>
      </c>
      <c r="AG2778" s="164">
        <f>($L2778*'Pivot Objective'!$C$9^6)*AE2778*AF2778</f>
        <v>0</v>
      </c>
      <c r="AH2778" s="166">
        <v>0</v>
      </c>
      <c r="AI2778" s="166">
        <v>0</v>
      </c>
      <c r="AJ2778" s="164">
        <f>($L2778*'Pivot Objective'!$C$9^7)*AH2778*AI2778</f>
        <v>0</v>
      </c>
      <c r="AK2778" s="185">
        <f t="shared" si="305"/>
        <v>0</v>
      </c>
      <c r="AL2778" s="186">
        <f t="shared" si="306"/>
        <v>0</v>
      </c>
    </row>
    <row r="2779" spans="1:38" customFormat="1" ht="57.6" x14ac:dyDescent="0.3">
      <c r="A2779" s="140" t="s">
        <v>1483</v>
      </c>
      <c r="B2779" s="140">
        <v>4</v>
      </c>
      <c r="C2779" s="166" t="s">
        <v>697</v>
      </c>
      <c r="D2779" s="140" t="str">
        <f t="shared" si="301"/>
        <v>4</v>
      </c>
      <c r="E2779" s="166" t="s">
        <v>695</v>
      </c>
      <c r="F2779" s="140">
        <f t="shared" si="307"/>
        <v>7</v>
      </c>
      <c r="G2779" s="140" t="str">
        <f t="shared" si="302"/>
        <v>4.4.7</v>
      </c>
      <c r="H2779" s="166" t="s">
        <v>1718</v>
      </c>
      <c r="I2779" s="166" t="s">
        <v>144</v>
      </c>
      <c r="J2779" s="166" t="s">
        <v>155</v>
      </c>
      <c r="K2779" s="166" t="s">
        <v>718</v>
      </c>
      <c r="L2779" s="166">
        <v>0</v>
      </c>
      <c r="M2779" s="166">
        <v>0</v>
      </c>
      <c r="N2779" s="166">
        <v>0</v>
      </c>
      <c r="O2779" s="164">
        <f t="shared" si="304"/>
        <v>0</v>
      </c>
      <c r="P2779" s="166">
        <v>0</v>
      </c>
      <c r="Q2779" s="166">
        <v>0</v>
      </c>
      <c r="R2779" s="164">
        <f>$L2779*'Pivot Objective'!$C$9*P2779*Q2779</f>
        <v>0</v>
      </c>
      <c r="S2779" s="166">
        <v>0</v>
      </c>
      <c r="T2779" s="166">
        <v>0</v>
      </c>
      <c r="U2779" s="164">
        <f>($L2779*'Pivot Objective'!$C$9^2)*S2779*T2779</f>
        <v>0</v>
      </c>
      <c r="V2779" s="166">
        <v>0</v>
      </c>
      <c r="W2779" s="166">
        <v>0</v>
      </c>
      <c r="X2779" s="164">
        <f>($L2779*'Pivot Objective'!$C$9^3)*V2779*W2779</f>
        <v>0</v>
      </c>
      <c r="Y2779" s="166">
        <v>0</v>
      </c>
      <c r="Z2779" s="166">
        <v>0</v>
      </c>
      <c r="AA2779" s="164">
        <f>($L2779*'Pivot Objective'!$C$9^4)*Y2779*Z2779</f>
        <v>0</v>
      </c>
      <c r="AB2779" s="166">
        <v>0</v>
      </c>
      <c r="AC2779" s="166">
        <v>0</v>
      </c>
      <c r="AD2779" s="164">
        <f>($L2779*'Pivot Objective'!$C$9^5)*AB2779*AC2779</f>
        <v>0</v>
      </c>
      <c r="AE2779" s="166">
        <v>0</v>
      </c>
      <c r="AF2779" s="166">
        <v>0</v>
      </c>
      <c r="AG2779" s="164">
        <f>($L2779*'Pivot Objective'!$C$9^6)*AE2779*AF2779</f>
        <v>0</v>
      </c>
      <c r="AH2779" s="166">
        <v>0</v>
      </c>
      <c r="AI2779" s="166">
        <v>0</v>
      </c>
      <c r="AJ2779" s="164">
        <f>($L2779*'Pivot Objective'!$C$9^7)*AH2779*AI2779</f>
        <v>0</v>
      </c>
      <c r="AK2779" s="185">
        <f t="shared" si="305"/>
        <v>0</v>
      </c>
      <c r="AL2779" s="186">
        <f t="shared" si="306"/>
        <v>0</v>
      </c>
    </row>
    <row r="2780" spans="1:38" customFormat="1" ht="57.6" x14ac:dyDescent="0.3">
      <c r="A2780" s="140" t="s">
        <v>1483</v>
      </c>
      <c r="B2780" s="140">
        <v>4</v>
      </c>
      <c r="C2780" s="166" t="s">
        <v>697</v>
      </c>
      <c r="D2780" s="140" t="str">
        <f t="shared" si="301"/>
        <v>4</v>
      </c>
      <c r="E2780" s="166" t="s">
        <v>695</v>
      </c>
      <c r="F2780" s="140">
        <f t="shared" si="307"/>
        <v>7</v>
      </c>
      <c r="G2780" s="140" t="str">
        <f t="shared" si="302"/>
        <v>4.4.7</v>
      </c>
      <c r="H2780" s="166" t="s">
        <v>1718</v>
      </c>
      <c r="I2780" s="166" t="s">
        <v>144</v>
      </c>
      <c r="J2780" s="166" t="s">
        <v>632</v>
      </c>
      <c r="K2780" s="166" t="s">
        <v>709</v>
      </c>
      <c r="L2780" s="166">
        <v>35000</v>
      </c>
      <c r="M2780" s="166">
        <v>30</v>
      </c>
      <c r="N2780" s="166">
        <v>5</v>
      </c>
      <c r="O2780" s="164">
        <f t="shared" si="304"/>
        <v>5250000</v>
      </c>
      <c r="P2780" s="166">
        <v>0</v>
      </c>
      <c r="Q2780" s="166">
        <v>0</v>
      </c>
      <c r="R2780" s="164">
        <f>$L2780*'Pivot Objective'!$C$9*P2780*Q2780</f>
        <v>0</v>
      </c>
      <c r="S2780" s="166">
        <v>0</v>
      </c>
      <c r="T2780" s="166">
        <v>0</v>
      </c>
      <c r="U2780" s="164">
        <f>($L2780*'Pivot Objective'!$C$9^2)*S2780*T2780</f>
        <v>0</v>
      </c>
      <c r="V2780" s="166">
        <v>30</v>
      </c>
      <c r="W2780" s="166">
        <v>5</v>
      </c>
      <c r="X2780" s="164">
        <f>($L2780*'Pivot Objective'!$C$9^3)*V2780*W2780</f>
        <v>7838050.3955829386</v>
      </c>
      <c r="Y2780" s="166">
        <v>0</v>
      </c>
      <c r="Z2780" s="166">
        <v>0</v>
      </c>
      <c r="AA2780" s="164">
        <f>($L2780*'Pivot Objective'!$C$9^4)*Y2780*Z2780</f>
        <v>0</v>
      </c>
      <c r="AB2780" s="166">
        <v>0</v>
      </c>
      <c r="AC2780" s="166">
        <v>0</v>
      </c>
      <c r="AD2780" s="164">
        <f>($L2780*'Pivot Objective'!$C$9^5)*AB2780*AC2780</f>
        <v>0</v>
      </c>
      <c r="AE2780" s="166">
        <v>30</v>
      </c>
      <c r="AF2780" s="166">
        <v>5</v>
      </c>
      <c r="AG2780" s="164">
        <f>($L2780*'Pivot Objective'!$C$9^6)*AE2780*AF2780</f>
        <v>11701911.238799591</v>
      </c>
      <c r="AH2780" s="166">
        <v>0</v>
      </c>
      <c r="AI2780" s="166">
        <v>0</v>
      </c>
      <c r="AJ2780" s="164">
        <f>($L2780*'Pivot Objective'!$C$9^7)*AH2780*AI2780</f>
        <v>0</v>
      </c>
      <c r="AK2780" s="185">
        <f t="shared" si="305"/>
        <v>24789961.634382531</v>
      </c>
      <c r="AL2780" s="186">
        <f t="shared" si="306"/>
        <v>24067.923916876243</v>
      </c>
    </row>
    <row r="2781" spans="1:38" customFormat="1" ht="57.6" x14ac:dyDescent="0.3">
      <c r="A2781" s="140" t="s">
        <v>1483</v>
      </c>
      <c r="B2781" s="140">
        <v>4</v>
      </c>
      <c r="C2781" s="166" t="s">
        <v>697</v>
      </c>
      <c r="D2781" s="140" t="str">
        <f t="shared" si="301"/>
        <v>4</v>
      </c>
      <c r="E2781" s="166" t="s">
        <v>695</v>
      </c>
      <c r="F2781" s="140">
        <f t="shared" si="307"/>
        <v>7</v>
      </c>
      <c r="G2781" s="140" t="str">
        <f t="shared" si="302"/>
        <v>4.4.7</v>
      </c>
      <c r="H2781" s="166" t="s">
        <v>1718</v>
      </c>
      <c r="I2781" s="166" t="s">
        <v>144</v>
      </c>
      <c r="J2781" s="166" t="s">
        <v>632</v>
      </c>
      <c r="K2781" s="166" t="s">
        <v>716</v>
      </c>
      <c r="L2781" s="166">
        <v>39000</v>
      </c>
      <c r="M2781" s="166">
        <v>30</v>
      </c>
      <c r="N2781" s="166">
        <v>6</v>
      </c>
      <c r="O2781" s="164">
        <f t="shared" si="304"/>
        <v>7020000</v>
      </c>
      <c r="P2781" s="166">
        <v>0</v>
      </c>
      <c r="Q2781" s="166">
        <v>0</v>
      </c>
      <c r="R2781" s="164">
        <f>$L2781*'Pivot Objective'!$C$9*P2781*Q2781</f>
        <v>0</v>
      </c>
      <c r="S2781" s="166">
        <v>0</v>
      </c>
      <c r="T2781" s="166">
        <v>0</v>
      </c>
      <c r="U2781" s="164">
        <f>($L2781*'Pivot Objective'!$C$9^2)*S2781*T2781</f>
        <v>0</v>
      </c>
      <c r="V2781" s="166">
        <v>30</v>
      </c>
      <c r="W2781" s="166">
        <v>6</v>
      </c>
      <c r="X2781" s="164">
        <f>($L2781*'Pivot Objective'!$C$9^3)*V2781*W2781</f>
        <v>10480593.100379471</v>
      </c>
      <c r="Y2781" s="166">
        <v>0</v>
      </c>
      <c r="Z2781" s="166">
        <v>0</v>
      </c>
      <c r="AA2781" s="164">
        <f>($L2781*'Pivot Objective'!$C$9^4)*Y2781*Z2781</f>
        <v>0</v>
      </c>
      <c r="AB2781" s="166">
        <v>0</v>
      </c>
      <c r="AC2781" s="166">
        <v>0</v>
      </c>
      <c r="AD2781" s="164">
        <f>($L2781*'Pivot Objective'!$C$9^5)*AB2781*AC2781</f>
        <v>0</v>
      </c>
      <c r="AE2781" s="166">
        <v>30</v>
      </c>
      <c r="AF2781" s="166">
        <v>6</v>
      </c>
      <c r="AG2781" s="164">
        <f>($L2781*'Pivot Objective'!$C$9^6)*AE2781*AF2781</f>
        <v>15647127.027880596</v>
      </c>
      <c r="AH2781" s="166">
        <v>0</v>
      </c>
      <c r="AI2781" s="166">
        <v>0</v>
      </c>
      <c r="AJ2781" s="164">
        <f>($L2781*'Pivot Objective'!$C$9^7)*AH2781*AI2781</f>
        <v>0</v>
      </c>
      <c r="AK2781" s="185">
        <f t="shared" si="305"/>
        <v>33147720.128260069</v>
      </c>
      <c r="AL2781" s="186">
        <f t="shared" si="306"/>
        <v>32182.252551708803</v>
      </c>
    </row>
    <row r="2782" spans="1:38" customFormat="1" ht="57.6" x14ac:dyDescent="0.3">
      <c r="A2782" s="140" t="s">
        <v>1483</v>
      </c>
      <c r="B2782" s="140">
        <v>4</v>
      </c>
      <c r="C2782" s="166" t="s">
        <v>697</v>
      </c>
      <c r="D2782" s="140" t="str">
        <f t="shared" si="301"/>
        <v>4</v>
      </c>
      <c r="E2782" s="166" t="s">
        <v>695</v>
      </c>
      <c r="F2782" s="140">
        <f t="shared" si="307"/>
        <v>7</v>
      </c>
      <c r="G2782" s="140" t="str">
        <f t="shared" si="302"/>
        <v>4.4.7</v>
      </c>
      <c r="H2782" s="166" t="s">
        <v>1718</v>
      </c>
      <c r="I2782" s="166" t="s">
        <v>144</v>
      </c>
      <c r="J2782" s="166" t="s">
        <v>632</v>
      </c>
      <c r="K2782" s="166" t="s">
        <v>712</v>
      </c>
      <c r="L2782" s="166">
        <f>1480/7</f>
        <v>211.42857142857142</v>
      </c>
      <c r="M2782" s="166">
        <f>2*25*9</f>
        <v>450</v>
      </c>
      <c r="N2782" s="166">
        <v>5</v>
      </c>
      <c r="O2782" s="164">
        <f t="shared" si="304"/>
        <v>475714.28571428568</v>
      </c>
      <c r="P2782" s="166">
        <v>0</v>
      </c>
      <c r="Q2782" s="166">
        <v>0</v>
      </c>
      <c r="R2782" s="164">
        <f>$L2782*'Pivot Objective'!$C$9*P2782*Q2782</f>
        <v>0</v>
      </c>
      <c r="S2782" s="166">
        <v>0</v>
      </c>
      <c r="T2782" s="166">
        <v>0</v>
      </c>
      <c r="U2782" s="164">
        <f>($L2782*'Pivot Objective'!$C$9^2)*S2782*T2782</f>
        <v>0</v>
      </c>
      <c r="V2782" s="166">
        <f>2*25*9</f>
        <v>450</v>
      </c>
      <c r="W2782" s="166">
        <v>5</v>
      </c>
      <c r="X2782" s="164">
        <f>($L2782*'Pivot Objective'!$C$9^3)*V2782*W2782</f>
        <v>710223.34196710703</v>
      </c>
      <c r="Y2782" s="166">
        <v>0</v>
      </c>
      <c r="Z2782" s="166">
        <v>0</v>
      </c>
      <c r="AA2782" s="164">
        <f>($L2782*'Pivot Objective'!$C$9^4)*Y2782*Z2782</f>
        <v>0</v>
      </c>
      <c r="AB2782" s="166">
        <v>0</v>
      </c>
      <c r="AC2782" s="166">
        <v>0</v>
      </c>
      <c r="AD2782" s="164">
        <f>($L2782*'Pivot Objective'!$C$9^5)*AB2782*AC2782</f>
        <v>0</v>
      </c>
      <c r="AE2782" s="166">
        <f>2*25*9</f>
        <v>450</v>
      </c>
      <c r="AF2782" s="166">
        <v>5</v>
      </c>
      <c r="AG2782" s="164">
        <f>($L2782*'Pivot Objective'!$C$9^6)*AE2782*AF2782</f>
        <v>1060336.4469442894</v>
      </c>
      <c r="AH2782" s="166">
        <v>0</v>
      </c>
      <c r="AI2782" s="166">
        <v>0</v>
      </c>
      <c r="AJ2782" s="164">
        <f>($L2782*'Pivot Objective'!$C$9^7)*AH2782*AI2782</f>
        <v>0</v>
      </c>
      <c r="AK2782" s="185">
        <f t="shared" si="305"/>
        <v>2246274.0746256821</v>
      </c>
      <c r="AL2782" s="186">
        <f t="shared" si="306"/>
        <v>2180.8486161414389</v>
      </c>
    </row>
    <row r="2783" spans="1:38" customFormat="1" ht="57.6" x14ac:dyDescent="0.3">
      <c r="A2783" s="140" t="s">
        <v>1483</v>
      </c>
      <c r="B2783" s="140">
        <v>4</v>
      </c>
      <c r="C2783" s="166" t="s">
        <v>697</v>
      </c>
      <c r="D2783" s="140" t="str">
        <f t="shared" si="301"/>
        <v>4</v>
      </c>
      <c r="E2783" s="166" t="s">
        <v>695</v>
      </c>
      <c r="F2783" s="140">
        <f t="shared" si="307"/>
        <v>7</v>
      </c>
      <c r="G2783" s="140" t="str">
        <f t="shared" si="302"/>
        <v>4.4.7</v>
      </c>
      <c r="H2783" s="166" t="s">
        <v>1718</v>
      </c>
      <c r="I2783" s="166" t="s">
        <v>144</v>
      </c>
      <c r="J2783" s="166" t="s">
        <v>632</v>
      </c>
      <c r="K2783" s="166" t="s">
        <v>1320</v>
      </c>
      <c r="L2783" s="166">
        <f>1480/7</f>
        <v>211.42857142857142</v>
      </c>
      <c r="M2783" s="166">
        <f>2*135*9</f>
        <v>2430</v>
      </c>
      <c r="N2783" s="166">
        <v>1</v>
      </c>
      <c r="O2783" s="164">
        <f t="shared" si="304"/>
        <v>513771.42857142852</v>
      </c>
      <c r="P2783" s="166"/>
      <c r="Q2783" s="166"/>
      <c r="R2783" s="164">
        <f>$L2783*'Pivot Objective'!$C$9*P2783*Q2783</f>
        <v>0</v>
      </c>
      <c r="S2783" s="166"/>
      <c r="T2783" s="166"/>
      <c r="U2783" s="164">
        <f>($L2783*'Pivot Objective'!$C$9^2)*S2783*T2783</f>
        <v>0</v>
      </c>
      <c r="V2783" s="166">
        <f>2*135*9</f>
        <v>2430</v>
      </c>
      <c r="W2783" s="166">
        <v>1</v>
      </c>
      <c r="X2783" s="164">
        <f>($L2783*'Pivot Objective'!$C$9^3)*V2783*W2783</f>
        <v>767041.20932447549</v>
      </c>
      <c r="Y2783" s="166"/>
      <c r="Z2783" s="166"/>
      <c r="AA2783" s="164">
        <f>($L2783*'Pivot Objective'!$C$9^4)*Y2783*Z2783</f>
        <v>0</v>
      </c>
      <c r="AB2783" s="166"/>
      <c r="AC2783" s="166"/>
      <c r="AD2783" s="164">
        <f>($L2783*'Pivot Objective'!$C$9^5)*AB2783*AC2783</f>
        <v>0</v>
      </c>
      <c r="AE2783" s="166">
        <f>2*135*9</f>
        <v>2430</v>
      </c>
      <c r="AF2783" s="166">
        <v>1</v>
      </c>
      <c r="AG2783" s="164">
        <f>($L2783*'Pivot Objective'!$C$9^6)*AE2783*AF2783</f>
        <v>1145163.3626998325</v>
      </c>
      <c r="AH2783" s="166"/>
      <c r="AI2783" s="166"/>
      <c r="AJ2783" s="164">
        <f>($L2783*'Pivot Objective'!$C$9^7)*AH2783*AI2783</f>
        <v>0</v>
      </c>
      <c r="AK2783" s="185">
        <f t="shared" si="305"/>
        <v>2425976.0005957363</v>
      </c>
      <c r="AL2783" s="186">
        <f t="shared" si="306"/>
        <v>2355.3165054327537</v>
      </c>
    </row>
    <row r="2784" spans="1:38" customFormat="1" ht="57.6" x14ac:dyDescent="0.3">
      <c r="A2784" s="140" t="s">
        <v>1483</v>
      </c>
      <c r="B2784" s="140">
        <v>4</v>
      </c>
      <c r="C2784" s="166" t="s">
        <v>697</v>
      </c>
      <c r="D2784" s="140" t="str">
        <f t="shared" si="301"/>
        <v>4</v>
      </c>
      <c r="E2784" s="166" t="s">
        <v>695</v>
      </c>
      <c r="F2784" s="140">
        <f t="shared" si="307"/>
        <v>7</v>
      </c>
      <c r="G2784" s="140" t="str">
        <f t="shared" si="302"/>
        <v>4.4.7</v>
      </c>
      <c r="H2784" s="166" t="s">
        <v>1718</v>
      </c>
      <c r="I2784" s="166" t="s">
        <v>144</v>
      </c>
      <c r="J2784" s="166" t="s">
        <v>151</v>
      </c>
      <c r="K2784" s="166" t="s">
        <v>713</v>
      </c>
      <c r="L2784" s="166">
        <v>45000</v>
      </c>
      <c r="M2784" s="166">
        <v>30</v>
      </c>
      <c r="N2784" s="166">
        <v>5</v>
      </c>
      <c r="O2784" s="164">
        <f t="shared" si="304"/>
        <v>6750000</v>
      </c>
      <c r="P2784" s="166">
        <v>0</v>
      </c>
      <c r="Q2784" s="166">
        <v>0</v>
      </c>
      <c r="R2784" s="164">
        <f>$L2784*'Pivot Objective'!$C$9*P2784*Q2784</f>
        <v>0</v>
      </c>
      <c r="S2784" s="166">
        <v>0</v>
      </c>
      <c r="T2784" s="166">
        <v>0</v>
      </c>
      <c r="U2784" s="164">
        <f>($L2784*'Pivot Objective'!$C$9^2)*S2784*T2784</f>
        <v>0</v>
      </c>
      <c r="V2784" s="166">
        <v>30</v>
      </c>
      <c r="W2784" s="166">
        <v>5</v>
      </c>
      <c r="X2784" s="164">
        <f>($L2784*'Pivot Objective'!$C$9^3)*V2784*W2784</f>
        <v>10077493.365749491</v>
      </c>
      <c r="Y2784" s="166">
        <v>0</v>
      </c>
      <c r="Z2784" s="166">
        <v>0</v>
      </c>
      <c r="AA2784" s="164">
        <f>($L2784*'Pivot Objective'!$C$9^4)*Y2784*Z2784</f>
        <v>0</v>
      </c>
      <c r="AB2784" s="166">
        <v>0</v>
      </c>
      <c r="AC2784" s="166">
        <v>0</v>
      </c>
      <c r="AD2784" s="164">
        <f>($L2784*'Pivot Objective'!$C$9^5)*AB2784*AC2784</f>
        <v>0</v>
      </c>
      <c r="AE2784" s="166">
        <v>30</v>
      </c>
      <c r="AF2784" s="166">
        <v>5</v>
      </c>
      <c r="AG2784" s="164">
        <f>($L2784*'Pivot Objective'!$C$9^6)*AE2784*AF2784</f>
        <v>15045314.44988519</v>
      </c>
      <c r="AH2784" s="166">
        <v>0</v>
      </c>
      <c r="AI2784" s="166">
        <v>0</v>
      </c>
      <c r="AJ2784" s="164">
        <f>($L2784*'Pivot Objective'!$C$9^7)*AH2784*AI2784</f>
        <v>0</v>
      </c>
      <c r="AK2784" s="185">
        <f t="shared" si="305"/>
        <v>31872807.815634683</v>
      </c>
      <c r="AL2784" s="186">
        <f t="shared" si="306"/>
        <v>30944.473607412314</v>
      </c>
    </row>
    <row r="2785" spans="1:38" customFormat="1" ht="57.6" x14ac:dyDescent="0.3">
      <c r="A2785" s="140" t="s">
        <v>1483</v>
      </c>
      <c r="B2785" s="140">
        <v>4</v>
      </c>
      <c r="C2785" s="166" t="s">
        <v>697</v>
      </c>
      <c r="D2785" s="140" t="str">
        <f t="shared" si="301"/>
        <v>4</v>
      </c>
      <c r="E2785" s="166" t="s">
        <v>695</v>
      </c>
      <c r="F2785" s="140">
        <f t="shared" si="307"/>
        <v>7</v>
      </c>
      <c r="G2785" s="140" t="str">
        <f t="shared" si="302"/>
        <v>4.4.7</v>
      </c>
      <c r="H2785" s="166" t="s">
        <v>1718</v>
      </c>
      <c r="I2785" s="166" t="s">
        <v>144</v>
      </c>
      <c r="J2785" s="166" t="s">
        <v>151</v>
      </c>
      <c r="K2785" s="166" t="s">
        <v>712</v>
      </c>
      <c r="L2785" s="166">
        <f>1480/7</f>
        <v>211.42857142857142</v>
      </c>
      <c r="M2785" s="166">
        <f>2*25*9</f>
        <v>450</v>
      </c>
      <c r="N2785" s="166">
        <v>5</v>
      </c>
      <c r="O2785" s="164">
        <f t="shared" si="304"/>
        <v>475714.28571428568</v>
      </c>
      <c r="P2785" s="166">
        <v>0</v>
      </c>
      <c r="Q2785" s="166">
        <v>0</v>
      </c>
      <c r="R2785" s="164">
        <f>$L2785*'Pivot Objective'!$C$9*P2785*Q2785</f>
        <v>0</v>
      </c>
      <c r="S2785" s="166">
        <v>0</v>
      </c>
      <c r="T2785" s="166">
        <v>0</v>
      </c>
      <c r="U2785" s="164">
        <f>($L2785*'Pivot Objective'!$C$9^2)*S2785*T2785</f>
        <v>0</v>
      </c>
      <c r="V2785" s="166">
        <f>2*25*9</f>
        <v>450</v>
      </c>
      <c r="W2785" s="166">
        <v>5</v>
      </c>
      <c r="X2785" s="164">
        <f>($L2785*'Pivot Objective'!$C$9^3)*V2785*W2785</f>
        <v>710223.34196710703</v>
      </c>
      <c r="Y2785" s="166">
        <v>0</v>
      </c>
      <c r="Z2785" s="166">
        <v>0</v>
      </c>
      <c r="AA2785" s="164">
        <f>($L2785*'Pivot Objective'!$C$9^4)*Y2785*Z2785</f>
        <v>0</v>
      </c>
      <c r="AB2785" s="166">
        <v>0</v>
      </c>
      <c r="AC2785" s="166">
        <v>0</v>
      </c>
      <c r="AD2785" s="164">
        <f>($L2785*'Pivot Objective'!$C$9^5)*AB2785*AC2785</f>
        <v>0</v>
      </c>
      <c r="AE2785" s="166">
        <f>2*25*9</f>
        <v>450</v>
      </c>
      <c r="AF2785" s="166">
        <v>5</v>
      </c>
      <c r="AG2785" s="164">
        <f>($L2785*'Pivot Objective'!$C$9^6)*AE2785*AF2785</f>
        <v>1060336.4469442894</v>
      </c>
      <c r="AH2785" s="166">
        <v>0</v>
      </c>
      <c r="AI2785" s="166">
        <v>0</v>
      </c>
      <c r="AJ2785" s="164">
        <f>($L2785*'Pivot Objective'!$C$9^7)*AH2785*AI2785</f>
        <v>0</v>
      </c>
      <c r="AK2785" s="185">
        <f t="shared" si="305"/>
        <v>2246274.0746256821</v>
      </c>
      <c r="AL2785" s="186">
        <f t="shared" si="306"/>
        <v>2180.8486161414389</v>
      </c>
    </row>
    <row r="2786" spans="1:38" customFormat="1" ht="57.6" x14ac:dyDescent="0.3">
      <c r="A2786" s="140" t="s">
        <v>1483</v>
      </c>
      <c r="B2786" s="140">
        <v>4</v>
      </c>
      <c r="C2786" s="166" t="s">
        <v>697</v>
      </c>
      <c r="D2786" s="140" t="str">
        <f t="shared" si="301"/>
        <v>4</v>
      </c>
      <c r="E2786" s="166" t="s">
        <v>695</v>
      </c>
      <c r="F2786" s="140">
        <f t="shared" si="307"/>
        <v>7</v>
      </c>
      <c r="G2786" s="140" t="str">
        <f t="shared" si="302"/>
        <v>4.4.7</v>
      </c>
      <c r="H2786" s="166" t="s">
        <v>1718</v>
      </c>
      <c r="I2786" s="166" t="s">
        <v>144</v>
      </c>
      <c r="J2786" s="166" t="s">
        <v>151</v>
      </c>
      <c r="K2786" s="166" t="s">
        <v>1320</v>
      </c>
      <c r="L2786" s="166">
        <f>1480/7</f>
        <v>211.42857142857142</v>
      </c>
      <c r="M2786" s="166">
        <f>2*135*9</f>
        <v>2430</v>
      </c>
      <c r="N2786" s="166">
        <v>1</v>
      </c>
      <c r="O2786" s="164">
        <f t="shared" si="304"/>
        <v>513771.42857142852</v>
      </c>
      <c r="P2786" s="166"/>
      <c r="Q2786" s="166"/>
      <c r="R2786" s="164">
        <f>$L2786*'Pivot Objective'!$C$9*P2786*Q2786</f>
        <v>0</v>
      </c>
      <c r="S2786" s="166"/>
      <c r="T2786" s="166"/>
      <c r="U2786" s="164">
        <f>($L2786*'Pivot Objective'!$C$9^2)*S2786*T2786</f>
        <v>0</v>
      </c>
      <c r="V2786" s="166">
        <f>2*135*9</f>
        <v>2430</v>
      </c>
      <c r="W2786" s="166">
        <v>1</v>
      </c>
      <c r="X2786" s="164">
        <f>($L2786*'Pivot Objective'!$C$9^3)*V2786*W2786</f>
        <v>767041.20932447549</v>
      </c>
      <c r="Y2786" s="166"/>
      <c r="Z2786" s="166"/>
      <c r="AA2786" s="164">
        <f>($L2786*'Pivot Objective'!$C$9^4)*Y2786*Z2786</f>
        <v>0</v>
      </c>
      <c r="AB2786" s="166"/>
      <c r="AC2786" s="166"/>
      <c r="AD2786" s="164">
        <f>($L2786*'Pivot Objective'!$C$9^5)*AB2786*AC2786</f>
        <v>0</v>
      </c>
      <c r="AE2786" s="166">
        <f>2*135*9</f>
        <v>2430</v>
      </c>
      <c r="AF2786" s="166">
        <v>1</v>
      </c>
      <c r="AG2786" s="164">
        <f>($L2786*'Pivot Objective'!$C$9^6)*AE2786*AF2786</f>
        <v>1145163.3626998325</v>
      </c>
      <c r="AH2786" s="166"/>
      <c r="AI2786" s="166"/>
      <c r="AJ2786" s="164">
        <f>($L2786*'Pivot Objective'!$C$9^7)*AH2786*AI2786</f>
        <v>0</v>
      </c>
      <c r="AK2786" s="185">
        <f t="shared" si="305"/>
        <v>2425976.0005957363</v>
      </c>
      <c r="AL2786" s="186">
        <f t="shared" si="306"/>
        <v>2355.3165054327537</v>
      </c>
    </row>
    <row r="2787" spans="1:38" customFormat="1" ht="57.6" x14ac:dyDescent="0.3">
      <c r="A2787" s="140" t="s">
        <v>1483</v>
      </c>
      <c r="B2787" s="140">
        <v>4</v>
      </c>
      <c r="C2787" s="166" t="s">
        <v>697</v>
      </c>
      <c r="D2787" s="140" t="str">
        <f t="shared" si="301"/>
        <v>4</v>
      </c>
      <c r="E2787" s="166" t="s">
        <v>695</v>
      </c>
      <c r="F2787" s="140">
        <f t="shared" si="307"/>
        <v>7</v>
      </c>
      <c r="G2787" s="140" t="str">
        <f t="shared" si="302"/>
        <v>4.4.7</v>
      </c>
      <c r="H2787" s="166" t="s">
        <v>1718</v>
      </c>
      <c r="I2787" s="166" t="s">
        <v>144</v>
      </c>
      <c r="J2787" s="166" t="s">
        <v>151</v>
      </c>
      <c r="K2787" s="166" t="s">
        <v>715</v>
      </c>
      <c r="L2787" s="166">
        <v>302000</v>
      </c>
      <c r="M2787" s="166">
        <v>20</v>
      </c>
      <c r="N2787" s="166">
        <v>1</v>
      </c>
      <c r="O2787" s="164">
        <f t="shared" si="304"/>
        <v>6040000</v>
      </c>
      <c r="P2787" s="166">
        <v>0</v>
      </c>
      <c r="Q2787" s="166">
        <v>0</v>
      </c>
      <c r="R2787" s="164">
        <f>$L2787*'Pivot Objective'!$C$9*P2787*Q2787</f>
        <v>0</v>
      </c>
      <c r="S2787" s="166">
        <v>0</v>
      </c>
      <c r="T2787" s="166">
        <v>0</v>
      </c>
      <c r="U2787" s="164">
        <f>($L2787*'Pivot Objective'!$C$9^2)*S2787*T2787</f>
        <v>0</v>
      </c>
      <c r="V2787" s="166">
        <v>20</v>
      </c>
      <c r="W2787" s="166">
        <v>1</v>
      </c>
      <c r="X2787" s="164">
        <f>($L2787*'Pivot Objective'!$C$9^3)*V2787*W2787</f>
        <v>9017490.3598706573</v>
      </c>
      <c r="Y2787" s="166">
        <v>0</v>
      </c>
      <c r="Z2787" s="166">
        <v>0</v>
      </c>
      <c r="AA2787" s="164">
        <f>($L2787*'Pivot Objective'!$C$9^4)*Y2787*Z2787</f>
        <v>0</v>
      </c>
      <c r="AB2787" s="166">
        <v>0</v>
      </c>
      <c r="AC2787" s="166">
        <v>0</v>
      </c>
      <c r="AD2787" s="164">
        <f>($L2787*'Pivot Objective'!$C$9^5)*AB2787*AC2787</f>
        <v>0</v>
      </c>
      <c r="AE2787" s="166">
        <v>20</v>
      </c>
      <c r="AF2787" s="166">
        <v>1</v>
      </c>
      <c r="AG2787" s="164">
        <f>($L2787*'Pivot Objective'!$C$9^6)*AE2787*AF2787</f>
        <v>13462770.263304673</v>
      </c>
      <c r="AH2787" s="166">
        <v>0</v>
      </c>
      <c r="AI2787" s="166">
        <v>0</v>
      </c>
      <c r="AJ2787" s="164">
        <f>($L2787*'Pivot Objective'!$C$9^7)*AH2787*AI2787</f>
        <v>0</v>
      </c>
      <c r="AK2787" s="185">
        <f t="shared" si="305"/>
        <v>28520260.62317533</v>
      </c>
      <c r="AL2787" s="186">
        <f t="shared" si="306"/>
        <v>27689.573420558572</v>
      </c>
    </row>
    <row r="2788" spans="1:38" customFormat="1" ht="57.6" x14ac:dyDescent="0.3">
      <c r="A2788" s="140" t="s">
        <v>1483</v>
      </c>
      <c r="B2788" s="140">
        <v>4</v>
      </c>
      <c r="C2788" s="166" t="s">
        <v>697</v>
      </c>
      <c r="D2788" s="140" t="str">
        <f t="shared" si="301"/>
        <v>4</v>
      </c>
      <c r="E2788" s="166" t="s">
        <v>695</v>
      </c>
      <c r="F2788" s="140">
        <f t="shared" si="307"/>
        <v>7</v>
      </c>
      <c r="G2788" s="140" t="str">
        <f t="shared" si="302"/>
        <v>4.4.7</v>
      </c>
      <c r="H2788" s="166" t="s">
        <v>1718</v>
      </c>
      <c r="I2788" s="166" t="s">
        <v>144</v>
      </c>
      <c r="J2788" s="166" t="s">
        <v>151</v>
      </c>
      <c r="K2788" s="166" t="s">
        <v>714</v>
      </c>
      <c r="L2788" s="166">
        <v>10000</v>
      </c>
      <c r="M2788" s="166">
        <v>15</v>
      </c>
      <c r="N2788" s="166">
        <v>1</v>
      </c>
      <c r="O2788" s="164">
        <f t="shared" si="304"/>
        <v>150000</v>
      </c>
      <c r="P2788" s="166">
        <v>0</v>
      </c>
      <c r="Q2788" s="166">
        <v>0</v>
      </c>
      <c r="R2788" s="164">
        <f>$L2788*'Pivot Objective'!$C$9*P2788*Q2788</f>
        <v>0</v>
      </c>
      <c r="S2788" s="166">
        <v>0</v>
      </c>
      <c r="T2788" s="166">
        <v>0</v>
      </c>
      <c r="U2788" s="164">
        <f>($L2788*'Pivot Objective'!$C$9^2)*S2788*T2788</f>
        <v>0</v>
      </c>
      <c r="V2788" s="166">
        <v>15</v>
      </c>
      <c r="W2788" s="166">
        <v>1</v>
      </c>
      <c r="X2788" s="164">
        <f>($L2788*'Pivot Objective'!$C$9^3)*V2788*W2788</f>
        <v>223944.29701665539</v>
      </c>
      <c r="Y2788" s="166">
        <v>0</v>
      </c>
      <c r="Z2788" s="166">
        <v>0</v>
      </c>
      <c r="AA2788" s="164">
        <f>($L2788*'Pivot Objective'!$C$9^4)*Y2788*Z2788</f>
        <v>0</v>
      </c>
      <c r="AB2788" s="166">
        <v>0</v>
      </c>
      <c r="AC2788" s="166">
        <v>0</v>
      </c>
      <c r="AD2788" s="164">
        <f>($L2788*'Pivot Objective'!$C$9^5)*AB2788*AC2788</f>
        <v>0</v>
      </c>
      <c r="AE2788" s="166">
        <v>15</v>
      </c>
      <c r="AF2788" s="166">
        <v>1</v>
      </c>
      <c r="AG2788" s="164">
        <f>($L2788*'Pivot Objective'!$C$9^6)*AE2788*AF2788</f>
        <v>334340.32110855979</v>
      </c>
      <c r="AH2788" s="166">
        <v>0</v>
      </c>
      <c r="AI2788" s="166">
        <v>0</v>
      </c>
      <c r="AJ2788" s="164">
        <f>($L2788*'Pivot Objective'!$C$9^7)*AH2788*AI2788</f>
        <v>0</v>
      </c>
      <c r="AK2788" s="185">
        <f t="shared" si="305"/>
        <v>708284.61812521517</v>
      </c>
      <c r="AL2788" s="186">
        <f t="shared" si="306"/>
        <v>687.65496905360692</v>
      </c>
    </row>
    <row r="2789" spans="1:38" customFormat="1" ht="57.6" x14ac:dyDescent="0.3">
      <c r="A2789" s="140" t="s">
        <v>1483</v>
      </c>
      <c r="B2789" s="140">
        <v>4</v>
      </c>
      <c r="C2789" s="166" t="s">
        <v>697</v>
      </c>
      <c r="D2789" s="140" t="str">
        <f t="shared" si="301"/>
        <v>4</v>
      </c>
      <c r="E2789" s="166" t="s">
        <v>695</v>
      </c>
      <c r="F2789" s="140">
        <f t="shared" si="307"/>
        <v>7</v>
      </c>
      <c r="G2789" s="140" t="str">
        <f t="shared" si="302"/>
        <v>4.4.7</v>
      </c>
      <c r="H2789" s="166" t="s">
        <v>1718</v>
      </c>
      <c r="I2789" s="166" t="s">
        <v>144</v>
      </c>
      <c r="J2789" s="166" t="s">
        <v>152</v>
      </c>
      <c r="K2789" s="166" t="s">
        <v>709</v>
      </c>
      <c r="L2789" s="166">
        <v>35000</v>
      </c>
      <c r="M2789" s="166">
        <v>30</v>
      </c>
      <c r="N2789" s="166">
        <v>5</v>
      </c>
      <c r="O2789" s="164">
        <f t="shared" si="304"/>
        <v>5250000</v>
      </c>
      <c r="P2789" s="166">
        <v>0</v>
      </c>
      <c r="Q2789" s="166">
        <v>0</v>
      </c>
      <c r="R2789" s="164">
        <f>$L2789*'Pivot Objective'!$C$9*P2789*Q2789</f>
        <v>0</v>
      </c>
      <c r="S2789" s="166">
        <v>0</v>
      </c>
      <c r="T2789" s="166">
        <v>0</v>
      </c>
      <c r="U2789" s="164">
        <f>($L2789*'Pivot Objective'!$C$9^2)*S2789*T2789</f>
        <v>0</v>
      </c>
      <c r="V2789" s="166">
        <v>30</v>
      </c>
      <c r="W2789" s="166">
        <v>5</v>
      </c>
      <c r="X2789" s="164">
        <f>($L2789*'Pivot Objective'!$C$9^3)*V2789*W2789</f>
        <v>7838050.3955829386</v>
      </c>
      <c r="Y2789" s="166">
        <v>0</v>
      </c>
      <c r="Z2789" s="166">
        <v>0</v>
      </c>
      <c r="AA2789" s="164">
        <f>($L2789*'Pivot Objective'!$C$9^4)*Y2789*Z2789</f>
        <v>0</v>
      </c>
      <c r="AB2789" s="166">
        <v>0</v>
      </c>
      <c r="AC2789" s="166">
        <v>0</v>
      </c>
      <c r="AD2789" s="164">
        <f>($L2789*'Pivot Objective'!$C$9^5)*AB2789*AC2789</f>
        <v>0</v>
      </c>
      <c r="AE2789" s="166">
        <v>30</v>
      </c>
      <c r="AF2789" s="166">
        <v>5</v>
      </c>
      <c r="AG2789" s="164">
        <f>($L2789*'Pivot Objective'!$C$9^6)*AE2789*AF2789</f>
        <v>11701911.238799591</v>
      </c>
      <c r="AH2789" s="166">
        <v>0</v>
      </c>
      <c r="AI2789" s="166">
        <v>0</v>
      </c>
      <c r="AJ2789" s="164">
        <f>($L2789*'Pivot Objective'!$C$9^7)*AH2789*AI2789</f>
        <v>0</v>
      </c>
      <c r="AK2789" s="185">
        <f t="shared" si="305"/>
        <v>24789961.634382531</v>
      </c>
      <c r="AL2789" s="186">
        <f t="shared" si="306"/>
        <v>24067.923916876243</v>
      </c>
    </row>
    <row r="2790" spans="1:38" customFormat="1" ht="57.6" x14ac:dyDescent="0.3">
      <c r="A2790" s="140" t="s">
        <v>1483</v>
      </c>
      <c r="B2790" s="140">
        <v>4</v>
      </c>
      <c r="C2790" s="166" t="s">
        <v>697</v>
      </c>
      <c r="D2790" s="140" t="str">
        <f t="shared" si="301"/>
        <v>4</v>
      </c>
      <c r="E2790" s="166" t="s">
        <v>695</v>
      </c>
      <c r="F2790" s="140">
        <f t="shared" si="307"/>
        <v>7</v>
      </c>
      <c r="G2790" s="140" t="str">
        <f t="shared" si="302"/>
        <v>4.4.7</v>
      </c>
      <c r="H2790" s="166" t="s">
        <v>1718</v>
      </c>
      <c r="I2790" s="166" t="s">
        <v>144</v>
      </c>
      <c r="J2790" s="166" t="s">
        <v>152</v>
      </c>
      <c r="K2790" s="166" t="s">
        <v>716</v>
      </c>
      <c r="L2790" s="166">
        <v>39000</v>
      </c>
      <c r="M2790" s="166">
        <v>30</v>
      </c>
      <c r="N2790" s="166">
        <v>5</v>
      </c>
      <c r="O2790" s="164">
        <f t="shared" si="304"/>
        <v>5850000</v>
      </c>
      <c r="P2790" s="166">
        <v>0</v>
      </c>
      <c r="Q2790" s="166">
        <v>0</v>
      </c>
      <c r="R2790" s="164">
        <f>$L2790*'Pivot Objective'!$C$9*P2790*Q2790</f>
        <v>0</v>
      </c>
      <c r="S2790" s="166">
        <v>0</v>
      </c>
      <c r="T2790" s="166">
        <v>0</v>
      </c>
      <c r="U2790" s="164">
        <f>($L2790*'Pivot Objective'!$C$9^2)*S2790*T2790</f>
        <v>0</v>
      </c>
      <c r="V2790" s="166">
        <v>30</v>
      </c>
      <c r="W2790" s="166">
        <v>5</v>
      </c>
      <c r="X2790" s="164">
        <f>($L2790*'Pivot Objective'!$C$9^3)*V2790*W2790</f>
        <v>8733827.5836495589</v>
      </c>
      <c r="Y2790" s="166">
        <v>0</v>
      </c>
      <c r="Z2790" s="166">
        <v>0</v>
      </c>
      <c r="AA2790" s="164">
        <f>($L2790*'Pivot Objective'!$C$9^4)*Y2790*Z2790</f>
        <v>0</v>
      </c>
      <c r="AB2790" s="166">
        <v>0</v>
      </c>
      <c r="AC2790" s="166">
        <v>0</v>
      </c>
      <c r="AD2790" s="164">
        <f>($L2790*'Pivot Objective'!$C$9^5)*AB2790*AC2790</f>
        <v>0</v>
      </c>
      <c r="AE2790" s="166">
        <v>30</v>
      </c>
      <c r="AF2790" s="166">
        <v>5</v>
      </c>
      <c r="AG2790" s="164">
        <f>($L2790*'Pivot Objective'!$C$9^6)*AE2790*AF2790</f>
        <v>13039272.523233831</v>
      </c>
      <c r="AH2790" s="166">
        <v>0</v>
      </c>
      <c r="AI2790" s="166">
        <v>0</v>
      </c>
      <c r="AJ2790" s="164">
        <f>($L2790*'Pivot Objective'!$C$9^7)*AH2790*AI2790</f>
        <v>0</v>
      </c>
      <c r="AK2790" s="185">
        <f t="shared" si="305"/>
        <v>27623100.106883392</v>
      </c>
      <c r="AL2790" s="186">
        <f t="shared" si="306"/>
        <v>26818.54379309067</v>
      </c>
    </row>
    <row r="2791" spans="1:38" customFormat="1" ht="57.6" x14ac:dyDescent="0.3">
      <c r="A2791" s="140" t="s">
        <v>1483</v>
      </c>
      <c r="B2791" s="140">
        <v>4</v>
      </c>
      <c r="C2791" s="166" t="s">
        <v>697</v>
      </c>
      <c r="D2791" s="140" t="str">
        <f t="shared" si="301"/>
        <v>4</v>
      </c>
      <c r="E2791" s="166" t="s">
        <v>695</v>
      </c>
      <c r="F2791" s="140">
        <f t="shared" si="307"/>
        <v>7</v>
      </c>
      <c r="G2791" s="140" t="str">
        <f t="shared" si="302"/>
        <v>4.4.7</v>
      </c>
      <c r="H2791" s="166" t="s">
        <v>1718</v>
      </c>
      <c r="I2791" s="166" t="s">
        <v>144</v>
      </c>
      <c r="J2791" s="166" t="s">
        <v>152</v>
      </c>
      <c r="K2791" s="166" t="s">
        <v>712</v>
      </c>
      <c r="L2791" s="166">
        <f>1480/7</f>
        <v>211.42857142857142</v>
      </c>
      <c r="M2791" s="166">
        <f>2*25*9</f>
        <v>450</v>
      </c>
      <c r="N2791" s="166">
        <v>5</v>
      </c>
      <c r="O2791" s="164">
        <f t="shared" si="304"/>
        <v>475714.28571428568</v>
      </c>
      <c r="P2791" s="166">
        <v>0</v>
      </c>
      <c r="Q2791" s="166">
        <v>0</v>
      </c>
      <c r="R2791" s="164">
        <f>$L2791*'Pivot Objective'!$C$9*P2791*Q2791</f>
        <v>0</v>
      </c>
      <c r="S2791" s="166">
        <v>0</v>
      </c>
      <c r="T2791" s="166">
        <v>0</v>
      </c>
      <c r="U2791" s="164">
        <f>($L2791*'Pivot Objective'!$C$9^2)*S2791*T2791</f>
        <v>0</v>
      </c>
      <c r="V2791" s="166">
        <f>2*25*9</f>
        <v>450</v>
      </c>
      <c r="W2791" s="166">
        <v>5</v>
      </c>
      <c r="X2791" s="164">
        <f>($L2791*'Pivot Objective'!$C$9^3)*V2791*W2791</f>
        <v>710223.34196710703</v>
      </c>
      <c r="Y2791" s="166">
        <v>0</v>
      </c>
      <c r="Z2791" s="166">
        <v>0</v>
      </c>
      <c r="AA2791" s="164">
        <f>($L2791*'Pivot Objective'!$C$9^4)*Y2791*Z2791</f>
        <v>0</v>
      </c>
      <c r="AB2791" s="166">
        <v>0</v>
      </c>
      <c r="AC2791" s="166">
        <v>0</v>
      </c>
      <c r="AD2791" s="164">
        <f>($L2791*'Pivot Objective'!$C$9^5)*AB2791*AC2791</f>
        <v>0</v>
      </c>
      <c r="AE2791" s="166">
        <f>2*25*9</f>
        <v>450</v>
      </c>
      <c r="AF2791" s="166">
        <v>5</v>
      </c>
      <c r="AG2791" s="164">
        <f>($L2791*'Pivot Objective'!$C$9^6)*AE2791*AF2791</f>
        <v>1060336.4469442894</v>
      </c>
      <c r="AH2791" s="166">
        <v>0</v>
      </c>
      <c r="AI2791" s="166">
        <v>0</v>
      </c>
      <c r="AJ2791" s="164">
        <f>($L2791*'Pivot Objective'!$C$9^7)*AH2791*AI2791</f>
        <v>0</v>
      </c>
      <c r="AK2791" s="185">
        <f t="shared" si="305"/>
        <v>2246274.0746256821</v>
      </c>
      <c r="AL2791" s="186">
        <f t="shared" si="306"/>
        <v>2180.8486161414389</v>
      </c>
    </row>
    <row r="2792" spans="1:38" customFormat="1" ht="57.6" x14ac:dyDescent="0.3">
      <c r="A2792" s="140" t="s">
        <v>1483</v>
      </c>
      <c r="B2792" s="140">
        <v>4</v>
      </c>
      <c r="C2792" s="166" t="s">
        <v>697</v>
      </c>
      <c r="D2792" s="140" t="str">
        <f t="shared" si="301"/>
        <v>4</v>
      </c>
      <c r="E2792" s="166" t="s">
        <v>695</v>
      </c>
      <c r="F2792" s="140">
        <f t="shared" si="307"/>
        <v>7</v>
      </c>
      <c r="G2792" s="140" t="str">
        <f t="shared" si="302"/>
        <v>4.4.7</v>
      </c>
      <c r="H2792" s="166" t="s">
        <v>1718</v>
      </c>
      <c r="I2792" s="166" t="s">
        <v>144</v>
      </c>
      <c r="J2792" s="166" t="s">
        <v>152</v>
      </c>
      <c r="K2792" s="166" t="s">
        <v>1320</v>
      </c>
      <c r="L2792" s="166">
        <f>1480/7</f>
        <v>211.42857142857142</v>
      </c>
      <c r="M2792" s="166">
        <f>2*135*9</f>
        <v>2430</v>
      </c>
      <c r="N2792" s="166">
        <v>1</v>
      </c>
      <c r="O2792" s="164">
        <f t="shared" si="304"/>
        <v>513771.42857142852</v>
      </c>
      <c r="P2792" s="166"/>
      <c r="Q2792" s="166"/>
      <c r="R2792" s="164">
        <f>$L2792*'Pivot Objective'!$C$9*P2792*Q2792</f>
        <v>0</v>
      </c>
      <c r="S2792" s="166"/>
      <c r="T2792" s="166"/>
      <c r="U2792" s="164">
        <f>($L2792*'Pivot Objective'!$C$9^2)*S2792*T2792</f>
        <v>0</v>
      </c>
      <c r="V2792" s="166">
        <f>2*135*9</f>
        <v>2430</v>
      </c>
      <c r="W2792" s="166">
        <v>1</v>
      </c>
      <c r="X2792" s="164">
        <f>($L2792*'Pivot Objective'!$C$9^3)*V2792*W2792</f>
        <v>767041.20932447549</v>
      </c>
      <c r="Y2792" s="166"/>
      <c r="Z2792" s="166"/>
      <c r="AA2792" s="164">
        <f>($L2792*'Pivot Objective'!$C$9^4)*Y2792*Z2792</f>
        <v>0</v>
      </c>
      <c r="AB2792" s="166"/>
      <c r="AC2792" s="166"/>
      <c r="AD2792" s="164">
        <f>($L2792*'Pivot Objective'!$C$9^5)*AB2792*AC2792</f>
        <v>0</v>
      </c>
      <c r="AE2792" s="166">
        <f>2*135*9</f>
        <v>2430</v>
      </c>
      <c r="AF2792" s="166">
        <v>1</v>
      </c>
      <c r="AG2792" s="164">
        <f>($L2792*'Pivot Objective'!$C$9^6)*AE2792*AF2792</f>
        <v>1145163.3626998325</v>
      </c>
      <c r="AH2792" s="166"/>
      <c r="AI2792" s="166"/>
      <c r="AJ2792" s="164">
        <f>($L2792*'Pivot Objective'!$C$9^7)*AH2792*AI2792</f>
        <v>0</v>
      </c>
      <c r="AK2792" s="185">
        <f t="shared" si="305"/>
        <v>2425976.0005957363</v>
      </c>
      <c r="AL2792" s="186">
        <f t="shared" si="306"/>
        <v>2355.3165054327537</v>
      </c>
    </row>
    <row r="2793" spans="1:38" customFormat="1" ht="57.6" x14ac:dyDescent="0.3">
      <c r="A2793" s="140" t="s">
        <v>1483</v>
      </c>
      <c r="B2793" s="140">
        <v>4</v>
      </c>
      <c r="C2793" s="166" t="s">
        <v>697</v>
      </c>
      <c r="D2793" s="140" t="str">
        <f t="shared" si="301"/>
        <v>4</v>
      </c>
      <c r="E2793" s="166" t="s">
        <v>695</v>
      </c>
      <c r="F2793" s="140">
        <f t="shared" si="307"/>
        <v>7</v>
      </c>
      <c r="G2793" s="140" t="str">
        <f t="shared" si="302"/>
        <v>4.4.7</v>
      </c>
      <c r="H2793" s="166" t="s">
        <v>1718</v>
      </c>
      <c r="I2793" s="166" t="s">
        <v>144</v>
      </c>
      <c r="J2793" s="166" t="s">
        <v>153</v>
      </c>
      <c r="K2793" s="166" t="s">
        <v>709</v>
      </c>
      <c r="L2793" s="166">
        <v>35000</v>
      </c>
      <c r="M2793" s="166">
        <v>20</v>
      </c>
      <c r="N2793" s="166">
        <v>5</v>
      </c>
      <c r="O2793" s="164">
        <f t="shared" si="304"/>
        <v>3500000</v>
      </c>
      <c r="P2793" s="166">
        <v>0</v>
      </c>
      <c r="Q2793" s="166">
        <v>0</v>
      </c>
      <c r="R2793" s="164">
        <f>$L2793*'Pivot Objective'!$C$9*P2793*Q2793</f>
        <v>0</v>
      </c>
      <c r="S2793" s="166">
        <v>0</v>
      </c>
      <c r="T2793" s="166">
        <v>0</v>
      </c>
      <c r="U2793" s="164">
        <f>($L2793*'Pivot Objective'!$C$9^2)*S2793*T2793</f>
        <v>0</v>
      </c>
      <c r="V2793" s="166">
        <v>20</v>
      </c>
      <c r="W2793" s="166">
        <v>5</v>
      </c>
      <c r="X2793" s="164">
        <f>($L2793*'Pivot Objective'!$C$9^3)*V2793*W2793</f>
        <v>5225366.9303886257</v>
      </c>
      <c r="Y2793" s="166">
        <v>0</v>
      </c>
      <c r="Z2793" s="166">
        <v>0</v>
      </c>
      <c r="AA2793" s="164">
        <f>($L2793*'Pivot Objective'!$C$9^4)*Y2793*Z2793</f>
        <v>0</v>
      </c>
      <c r="AB2793" s="166">
        <v>0</v>
      </c>
      <c r="AC2793" s="166">
        <v>0</v>
      </c>
      <c r="AD2793" s="164">
        <f>($L2793*'Pivot Objective'!$C$9^5)*AB2793*AC2793</f>
        <v>0</v>
      </c>
      <c r="AE2793" s="166">
        <v>20</v>
      </c>
      <c r="AF2793" s="166">
        <v>5</v>
      </c>
      <c r="AG2793" s="164">
        <f>($L2793*'Pivot Objective'!$C$9^6)*AE2793*AF2793</f>
        <v>7801274.1591997268</v>
      </c>
      <c r="AH2793" s="166">
        <v>0</v>
      </c>
      <c r="AI2793" s="166">
        <v>0</v>
      </c>
      <c r="AJ2793" s="164">
        <f>($L2793*'Pivot Objective'!$C$9^7)*AH2793*AI2793</f>
        <v>0</v>
      </c>
      <c r="AK2793" s="185">
        <f t="shared" si="305"/>
        <v>16526641.089588352</v>
      </c>
      <c r="AL2793" s="186">
        <f t="shared" si="306"/>
        <v>16045.282611250826</v>
      </c>
    </row>
    <row r="2794" spans="1:38" customFormat="1" ht="57.6" x14ac:dyDescent="0.3">
      <c r="A2794" s="140" t="s">
        <v>1483</v>
      </c>
      <c r="B2794" s="140">
        <v>4</v>
      </c>
      <c r="C2794" s="166" t="s">
        <v>697</v>
      </c>
      <c r="D2794" s="140" t="str">
        <f t="shared" si="301"/>
        <v>4</v>
      </c>
      <c r="E2794" s="166" t="s">
        <v>695</v>
      </c>
      <c r="F2794" s="140">
        <f t="shared" si="307"/>
        <v>7</v>
      </c>
      <c r="G2794" s="140" t="str">
        <f t="shared" si="302"/>
        <v>4.4.7</v>
      </c>
      <c r="H2794" s="166" t="s">
        <v>1718</v>
      </c>
      <c r="I2794" s="166" t="s">
        <v>144</v>
      </c>
      <c r="J2794" s="166" t="s">
        <v>153</v>
      </c>
      <c r="K2794" s="166" t="s">
        <v>716</v>
      </c>
      <c r="L2794" s="166">
        <v>39000</v>
      </c>
      <c r="M2794" s="166">
        <v>20</v>
      </c>
      <c r="N2794" s="166">
        <v>5</v>
      </c>
      <c r="O2794" s="164">
        <f t="shared" si="304"/>
        <v>3900000</v>
      </c>
      <c r="P2794" s="166">
        <v>0</v>
      </c>
      <c r="Q2794" s="166">
        <v>0</v>
      </c>
      <c r="R2794" s="164">
        <f>$L2794*'Pivot Objective'!$C$9*P2794*Q2794</f>
        <v>0</v>
      </c>
      <c r="S2794" s="166">
        <v>0</v>
      </c>
      <c r="T2794" s="166">
        <v>0</v>
      </c>
      <c r="U2794" s="164">
        <f>($L2794*'Pivot Objective'!$C$9^2)*S2794*T2794</f>
        <v>0</v>
      </c>
      <c r="V2794" s="166">
        <v>20</v>
      </c>
      <c r="W2794" s="166">
        <v>5</v>
      </c>
      <c r="X2794" s="164">
        <f>($L2794*'Pivot Objective'!$C$9^3)*V2794*W2794</f>
        <v>5822551.7224330399</v>
      </c>
      <c r="Y2794" s="166">
        <v>0</v>
      </c>
      <c r="Z2794" s="166">
        <v>0</v>
      </c>
      <c r="AA2794" s="164">
        <f>($L2794*'Pivot Objective'!$C$9^4)*Y2794*Z2794</f>
        <v>0</v>
      </c>
      <c r="AB2794" s="166">
        <v>0</v>
      </c>
      <c r="AC2794" s="166">
        <v>0</v>
      </c>
      <c r="AD2794" s="164">
        <f>($L2794*'Pivot Objective'!$C$9^5)*AB2794*AC2794</f>
        <v>0</v>
      </c>
      <c r="AE2794" s="166">
        <v>20</v>
      </c>
      <c r="AF2794" s="166">
        <v>5</v>
      </c>
      <c r="AG2794" s="164">
        <f>($L2794*'Pivot Objective'!$C$9^6)*AE2794*AF2794</f>
        <v>8692848.3488225546</v>
      </c>
      <c r="AH2794" s="166">
        <v>0</v>
      </c>
      <c r="AI2794" s="166">
        <v>0</v>
      </c>
      <c r="AJ2794" s="164">
        <f>($L2794*'Pivot Objective'!$C$9^7)*AH2794*AI2794</f>
        <v>0</v>
      </c>
      <c r="AK2794" s="185">
        <f t="shared" si="305"/>
        <v>18415400.071255594</v>
      </c>
      <c r="AL2794" s="186">
        <f t="shared" si="306"/>
        <v>17879.029195393781</v>
      </c>
    </row>
    <row r="2795" spans="1:38" customFormat="1" ht="57.6" x14ac:dyDescent="0.3">
      <c r="A2795" s="140" t="s">
        <v>1483</v>
      </c>
      <c r="B2795" s="140">
        <v>4</v>
      </c>
      <c r="C2795" s="166" t="s">
        <v>697</v>
      </c>
      <c r="D2795" s="140" t="str">
        <f t="shared" si="301"/>
        <v>4</v>
      </c>
      <c r="E2795" s="166" t="s">
        <v>695</v>
      </c>
      <c r="F2795" s="140">
        <f t="shared" si="307"/>
        <v>7</v>
      </c>
      <c r="G2795" s="140" t="str">
        <f t="shared" si="302"/>
        <v>4.4.7</v>
      </c>
      <c r="H2795" s="166" t="s">
        <v>1718</v>
      </c>
      <c r="I2795" s="166" t="s">
        <v>144</v>
      </c>
      <c r="J2795" s="166" t="s">
        <v>153</v>
      </c>
      <c r="K2795" s="166" t="s">
        <v>712</v>
      </c>
      <c r="L2795" s="166">
        <f>1480/7</f>
        <v>211.42857142857142</v>
      </c>
      <c r="M2795" s="166">
        <f>2*25*9</f>
        <v>450</v>
      </c>
      <c r="N2795" s="166">
        <v>5</v>
      </c>
      <c r="O2795" s="164">
        <f t="shared" si="304"/>
        <v>475714.28571428568</v>
      </c>
      <c r="P2795" s="166">
        <v>0</v>
      </c>
      <c r="Q2795" s="166">
        <v>0</v>
      </c>
      <c r="R2795" s="164">
        <f>$L2795*'Pivot Objective'!$C$9*P2795*Q2795</f>
        <v>0</v>
      </c>
      <c r="S2795" s="166">
        <v>0</v>
      </c>
      <c r="T2795" s="166">
        <v>0</v>
      </c>
      <c r="U2795" s="164">
        <f>($L2795*'Pivot Objective'!$C$9^2)*S2795*T2795</f>
        <v>0</v>
      </c>
      <c r="V2795" s="166">
        <f>2*25*9</f>
        <v>450</v>
      </c>
      <c r="W2795" s="166">
        <v>5</v>
      </c>
      <c r="X2795" s="164">
        <f>($L2795*'Pivot Objective'!$C$9^3)*V2795*W2795</f>
        <v>710223.34196710703</v>
      </c>
      <c r="Y2795" s="166">
        <v>0</v>
      </c>
      <c r="Z2795" s="166">
        <v>0</v>
      </c>
      <c r="AA2795" s="164">
        <f>($L2795*'Pivot Objective'!$C$9^4)*Y2795*Z2795</f>
        <v>0</v>
      </c>
      <c r="AB2795" s="166">
        <v>0</v>
      </c>
      <c r="AC2795" s="166">
        <v>0</v>
      </c>
      <c r="AD2795" s="164">
        <f>($L2795*'Pivot Objective'!$C$9^5)*AB2795*AC2795</f>
        <v>0</v>
      </c>
      <c r="AE2795" s="166">
        <f>2*25*9</f>
        <v>450</v>
      </c>
      <c r="AF2795" s="166">
        <v>5</v>
      </c>
      <c r="AG2795" s="164">
        <f>($L2795*'Pivot Objective'!$C$9^6)*AE2795*AF2795</f>
        <v>1060336.4469442894</v>
      </c>
      <c r="AH2795" s="166">
        <v>0</v>
      </c>
      <c r="AI2795" s="166">
        <v>0</v>
      </c>
      <c r="AJ2795" s="164">
        <f>($L2795*'Pivot Objective'!$C$9^7)*AH2795*AI2795</f>
        <v>0</v>
      </c>
      <c r="AK2795" s="185">
        <f t="shared" si="305"/>
        <v>2246274.0746256821</v>
      </c>
      <c r="AL2795" s="186">
        <f t="shared" si="306"/>
        <v>2180.8486161414389</v>
      </c>
    </row>
    <row r="2796" spans="1:38" customFormat="1" ht="57.6" x14ac:dyDescent="0.3">
      <c r="A2796" s="140" t="s">
        <v>1483</v>
      </c>
      <c r="B2796" s="140">
        <v>4</v>
      </c>
      <c r="C2796" s="166" t="s">
        <v>697</v>
      </c>
      <c r="D2796" s="140" t="str">
        <f t="shared" si="301"/>
        <v>4</v>
      </c>
      <c r="E2796" s="166" t="s">
        <v>695</v>
      </c>
      <c r="F2796" s="140">
        <f t="shared" si="307"/>
        <v>7</v>
      </c>
      <c r="G2796" s="140" t="str">
        <f t="shared" si="302"/>
        <v>4.4.7</v>
      </c>
      <c r="H2796" s="166" t="s">
        <v>1718</v>
      </c>
      <c r="I2796" s="166" t="s">
        <v>144</v>
      </c>
      <c r="J2796" s="166" t="s">
        <v>153</v>
      </c>
      <c r="K2796" s="166" t="s">
        <v>1320</v>
      </c>
      <c r="L2796" s="166">
        <f>1480/7</f>
        <v>211.42857142857142</v>
      </c>
      <c r="M2796" s="166">
        <f>2*135*9</f>
        <v>2430</v>
      </c>
      <c r="N2796" s="166">
        <v>1</v>
      </c>
      <c r="O2796" s="164">
        <f t="shared" si="304"/>
        <v>513771.42857142852</v>
      </c>
      <c r="P2796" s="166"/>
      <c r="Q2796" s="166"/>
      <c r="R2796" s="164">
        <f>$L2796*'Pivot Objective'!$C$9*P2796*Q2796</f>
        <v>0</v>
      </c>
      <c r="S2796" s="166"/>
      <c r="T2796" s="166"/>
      <c r="U2796" s="164">
        <f>($L2796*'Pivot Objective'!$C$9^2)*S2796*T2796</f>
        <v>0</v>
      </c>
      <c r="V2796" s="166">
        <f>2*135*9</f>
        <v>2430</v>
      </c>
      <c r="W2796" s="166">
        <v>1</v>
      </c>
      <c r="X2796" s="164">
        <f>($L2796*'Pivot Objective'!$C$9^3)*V2796*W2796</f>
        <v>767041.20932447549</v>
      </c>
      <c r="Y2796" s="166"/>
      <c r="Z2796" s="166"/>
      <c r="AA2796" s="164">
        <f>($L2796*'Pivot Objective'!$C$9^4)*Y2796*Z2796</f>
        <v>0</v>
      </c>
      <c r="AB2796" s="166"/>
      <c r="AC2796" s="166"/>
      <c r="AD2796" s="164">
        <f>($L2796*'Pivot Objective'!$C$9^5)*AB2796*AC2796</f>
        <v>0</v>
      </c>
      <c r="AE2796" s="166">
        <f>2*135*9</f>
        <v>2430</v>
      </c>
      <c r="AF2796" s="166">
        <v>1</v>
      </c>
      <c r="AG2796" s="164">
        <f>($L2796*'Pivot Objective'!$C$9^6)*AE2796*AF2796</f>
        <v>1145163.3626998325</v>
      </c>
      <c r="AH2796" s="166"/>
      <c r="AI2796" s="166"/>
      <c r="AJ2796" s="164">
        <f>($L2796*'Pivot Objective'!$C$9^7)*AH2796*AI2796</f>
        <v>0</v>
      </c>
      <c r="AK2796" s="185">
        <f t="shared" si="305"/>
        <v>2425976.0005957363</v>
      </c>
      <c r="AL2796" s="186">
        <f t="shared" si="306"/>
        <v>2355.3165054327537</v>
      </c>
    </row>
    <row r="2797" spans="1:38" customFormat="1" ht="57.6" x14ac:dyDescent="0.3">
      <c r="A2797" s="140" t="s">
        <v>1483</v>
      </c>
      <c r="B2797" s="140">
        <v>4</v>
      </c>
      <c r="C2797" s="166" t="s">
        <v>697</v>
      </c>
      <c r="D2797" s="140" t="str">
        <f t="shared" ref="D2797:D2859" si="308">RIGHT(A2797,1)</f>
        <v>4</v>
      </c>
      <c r="E2797" s="166" t="s">
        <v>695</v>
      </c>
      <c r="F2797" s="140">
        <f t="shared" si="307"/>
        <v>7</v>
      </c>
      <c r="G2797" s="140" t="str">
        <f t="shared" si="302"/>
        <v>4.4.7</v>
      </c>
      <c r="H2797" s="166" t="s">
        <v>1718</v>
      </c>
      <c r="I2797" s="166" t="s">
        <v>144</v>
      </c>
      <c r="J2797" s="166" t="s">
        <v>172</v>
      </c>
      <c r="K2797" s="166" t="s">
        <v>709</v>
      </c>
      <c r="L2797" s="166">
        <v>35000</v>
      </c>
      <c r="M2797" s="166">
        <v>25</v>
      </c>
      <c r="N2797" s="166">
        <v>1</v>
      </c>
      <c r="O2797" s="164">
        <f t="shared" si="304"/>
        <v>875000</v>
      </c>
      <c r="P2797" s="166">
        <v>0</v>
      </c>
      <c r="Q2797" s="166">
        <v>0</v>
      </c>
      <c r="R2797" s="164">
        <f>$L2797*'Pivot Objective'!$C$9*P2797*Q2797</f>
        <v>0</v>
      </c>
      <c r="S2797" s="166">
        <v>0</v>
      </c>
      <c r="T2797" s="166">
        <v>0</v>
      </c>
      <c r="U2797" s="164">
        <f>($L2797*'Pivot Objective'!$C$9^2)*S2797*T2797</f>
        <v>0</v>
      </c>
      <c r="V2797" s="166">
        <v>25</v>
      </c>
      <c r="W2797" s="166">
        <v>1</v>
      </c>
      <c r="X2797" s="164">
        <f>($L2797*'Pivot Objective'!$C$9^3)*V2797*W2797</f>
        <v>1306341.7325971564</v>
      </c>
      <c r="Y2797" s="166">
        <v>0</v>
      </c>
      <c r="Z2797" s="166">
        <v>0</v>
      </c>
      <c r="AA2797" s="164">
        <f>($L2797*'Pivot Objective'!$C$9^4)*Y2797*Z2797</f>
        <v>0</v>
      </c>
      <c r="AB2797" s="166">
        <v>0</v>
      </c>
      <c r="AC2797" s="166">
        <v>0</v>
      </c>
      <c r="AD2797" s="164">
        <f>($L2797*'Pivot Objective'!$C$9^5)*AB2797*AC2797</f>
        <v>0</v>
      </c>
      <c r="AE2797" s="166">
        <v>25</v>
      </c>
      <c r="AF2797" s="166">
        <v>1</v>
      </c>
      <c r="AG2797" s="164">
        <f>($L2797*'Pivot Objective'!$C$9^6)*AE2797*AF2797</f>
        <v>1950318.5397999317</v>
      </c>
      <c r="AH2797" s="166">
        <v>0</v>
      </c>
      <c r="AI2797" s="166">
        <v>0</v>
      </c>
      <c r="AJ2797" s="164">
        <f>($L2797*'Pivot Objective'!$C$9^7)*AH2797*AI2797</f>
        <v>0</v>
      </c>
      <c r="AK2797" s="185">
        <f t="shared" si="305"/>
        <v>4131660.2723970879</v>
      </c>
      <c r="AL2797" s="186">
        <f t="shared" si="306"/>
        <v>4011.3206528127066</v>
      </c>
    </row>
    <row r="2798" spans="1:38" customFormat="1" ht="57.6" x14ac:dyDescent="0.3">
      <c r="A2798" s="140" t="s">
        <v>1483</v>
      </c>
      <c r="B2798" s="140">
        <v>4</v>
      </c>
      <c r="C2798" s="166" t="s">
        <v>697</v>
      </c>
      <c r="D2798" s="140" t="str">
        <f t="shared" si="308"/>
        <v>4</v>
      </c>
      <c r="E2798" s="166" t="s">
        <v>695</v>
      </c>
      <c r="F2798" s="140">
        <f t="shared" si="307"/>
        <v>7</v>
      </c>
      <c r="G2798" s="140" t="str">
        <f t="shared" ref="G2798:G2859" si="309">B2798&amp;"."&amp;D2798&amp;"."&amp;F2798</f>
        <v>4.4.7</v>
      </c>
      <c r="H2798" s="166" t="s">
        <v>1718</v>
      </c>
      <c r="I2798" s="166" t="s">
        <v>144</v>
      </c>
      <c r="J2798" s="166" t="s">
        <v>562</v>
      </c>
      <c r="K2798" s="166" t="s">
        <v>718</v>
      </c>
      <c r="L2798" s="166">
        <v>0</v>
      </c>
      <c r="M2798" s="166">
        <v>25</v>
      </c>
      <c r="N2798" s="166">
        <v>1</v>
      </c>
      <c r="O2798" s="164">
        <f t="shared" si="304"/>
        <v>0</v>
      </c>
      <c r="P2798" s="166">
        <v>0</v>
      </c>
      <c r="Q2798" s="166">
        <v>0</v>
      </c>
      <c r="R2798" s="164">
        <f>$L2798*'Pivot Objective'!$C$9*P2798*Q2798</f>
        <v>0</v>
      </c>
      <c r="S2798" s="166">
        <v>0</v>
      </c>
      <c r="T2798" s="166">
        <v>0</v>
      </c>
      <c r="U2798" s="164">
        <f>($L2798*'Pivot Objective'!$C$9^2)*S2798*T2798</f>
        <v>0</v>
      </c>
      <c r="V2798" s="166">
        <v>25</v>
      </c>
      <c r="W2798" s="166">
        <v>1</v>
      </c>
      <c r="X2798" s="164">
        <f>($L2798*'Pivot Objective'!$C$9^3)*V2798*W2798</f>
        <v>0</v>
      </c>
      <c r="Y2798" s="166">
        <v>0</v>
      </c>
      <c r="Z2798" s="166">
        <v>0</v>
      </c>
      <c r="AA2798" s="164">
        <f>($L2798*'Pivot Objective'!$C$9^4)*Y2798*Z2798</f>
        <v>0</v>
      </c>
      <c r="AB2798" s="166">
        <v>0</v>
      </c>
      <c r="AC2798" s="166">
        <v>0</v>
      </c>
      <c r="AD2798" s="164">
        <f>($L2798*'Pivot Objective'!$C$9^5)*AB2798*AC2798</f>
        <v>0</v>
      </c>
      <c r="AE2798" s="166">
        <v>25</v>
      </c>
      <c r="AF2798" s="166">
        <v>1</v>
      </c>
      <c r="AG2798" s="164">
        <f>($L2798*'Pivot Objective'!$C$9^6)*AE2798*AF2798</f>
        <v>0</v>
      </c>
      <c r="AH2798" s="166">
        <v>0</v>
      </c>
      <c r="AI2798" s="166">
        <v>0</v>
      </c>
      <c r="AJ2798" s="164">
        <f>($L2798*'Pivot Objective'!$C$9^7)*AH2798*AI2798</f>
        <v>0</v>
      </c>
      <c r="AK2798" s="185">
        <f t="shared" si="305"/>
        <v>0</v>
      </c>
      <c r="AL2798" s="186">
        <f t="shared" si="306"/>
        <v>0</v>
      </c>
    </row>
    <row r="2799" spans="1:38" customFormat="1" ht="57.6" x14ac:dyDescent="0.3">
      <c r="A2799" s="140" t="s">
        <v>1483</v>
      </c>
      <c r="B2799" s="140">
        <v>4</v>
      </c>
      <c r="C2799" s="166" t="s">
        <v>697</v>
      </c>
      <c r="D2799" s="140" t="str">
        <f t="shared" si="308"/>
        <v>4</v>
      </c>
      <c r="E2799" s="166" t="s">
        <v>695</v>
      </c>
      <c r="F2799" s="140">
        <f t="shared" si="307"/>
        <v>7</v>
      </c>
      <c r="G2799" s="140" t="str">
        <f t="shared" si="309"/>
        <v>4.4.7</v>
      </c>
      <c r="H2799" s="166" t="s">
        <v>1718</v>
      </c>
      <c r="I2799" s="166" t="s">
        <v>144</v>
      </c>
      <c r="J2799" s="166" t="s">
        <v>156</v>
      </c>
      <c r="K2799" s="166" t="s">
        <v>709</v>
      </c>
      <c r="L2799" s="166">
        <v>28000</v>
      </c>
      <c r="M2799" s="166">
        <v>100</v>
      </c>
      <c r="N2799" s="166">
        <v>1</v>
      </c>
      <c r="O2799" s="164">
        <f t="shared" si="304"/>
        <v>2800000</v>
      </c>
      <c r="P2799" s="166">
        <v>0</v>
      </c>
      <c r="Q2799" s="166">
        <v>0</v>
      </c>
      <c r="R2799" s="164">
        <f>$L2799*'Pivot Objective'!$C$9*P2799*Q2799</f>
        <v>0</v>
      </c>
      <c r="S2799" s="166">
        <v>0</v>
      </c>
      <c r="T2799" s="166">
        <v>0</v>
      </c>
      <c r="U2799" s="164">
        <f>($L2799*'Pivot Objective'!$C$9^2)*S2799*T2799</f>
        <v>0</v>
      </c>
      <c r="V2799" s="166">
        <v>100</v>
      </c>
      <c r="W2799" s="166">
        <v>1</v>
      </c>
      <c r="X2799" s="164">
        <f>($L2799*'Pivot Objective'!$C$9^3)*V2799*W2799</f>
        <v>4180293.5443109004</v>
      </c>
      <c r="Y2799" s="166">
        <v>0</v>
      </c>
      <c r="Z2799" s="166">
        <v>0</v>
      </c>
      <c r="AA2799" s="164">
        <f>($L2799*'Pivot Objective'!$C$9^4)*Y2799*Z2799</f>
        <v>0</v>
      </c>
      <c r="AB2799" s="166">
        <v>0</v>
      </c>
      <c r="AC2799" s="166">
        <v>0</v>
      </c>
      <c r="AD2799" s="164">
        <f>($L2799*'Pivot Objective'!$C$9^5)*AB2799*AC2799</f>
        <v>0</v>
      </c>
      <c r="AE2799" s="166">
        <v>100</v>
      </c>
      <c r="AF2799" s="166">
        <v>1</v>
      </c>
      <c r="AG2799" s="164">
        <f>($L2799*'Pivot Objective'!$C$9^6)*AE2799*AF2799</f>
        <v>6241019.3273597816</v>
      </c>
      <c r="AH2799" s="166">
        <v>0</v>
      </c>
      <c r="AI2799" s="166">
        <v>0</v>
      </c>
      <c r="AJ2799" s="164">
        <f>($L2799*'Pivot Objective'!$C$9^7)*AH2799*AI2799</f>
        <v>0</v>
      </c>
      <c r="AK2799" s="185">
        <f t="shared" si="305"/>
        <v>13221312.871670682</v>
      </c>
      <c r="AL2799" s="186">
        <f t="shared" si="306"/>
        <v>12836.226089000662</v>
      </c>
    </row>
    <row r="2800" spans="1:38" customFormat="1" ht="57.6" x14ac:dyDescent="0.3">
      <c r="A2800" s="140" t="s">
        <v>1483</v>
      </c>
      <c r="B2800" s="140">
        <v>4</v>
      </c>
      <c r="C2800" s="166" t="s">
        <v>697</v>
      </c>
      <c r="D2800" s="140" t="str">
        <f t="shared" si="308"/>
        <v>4</v>
      </c>
      <c r="E2800" s="166" t="s">
        <v>695</v>
      </c>
      <c r="F2800" s="140">
        <f t="shared" si="307"/>
        <v>7</v>
      </c>
      <c r="G2800" s="140" t="str">
        <f t="shared" si="309"/>
        <v>4.4.7</v>
      </c>
      <c r="H2800" s="166" t="s">
        <v>1718</v>
      </c>
      <c r="I2800" s="166" t="s">
        <v>144</v>
      </c>
      <c r="J2800" s="166" t="s">
        <v>156</v>
      </c>
      <c r="K2800" s="166" t="s">
        <v>1318</v>
      </c>
      <c r="L2800" s="166">
        <v>8000</v>
      </c>
      <c r="M2800" s="166">
        <v>10</v>
      </c>
      <c r="N2800" s="166">
        <v>1</v>
      </c>
      <c r="O2800" s="164">
        <f t="shared" si="304"/>
        <v>80000</v>
      </c>
      <c r="P2800" s="166">
        <v>0</v>
      </c>
      <c r="Q2800" s="166">
        <v>0</v>
      </c>
      <c r="R2800" s="164">
        <f>$L2800*'Pivot Objective'!$C$9*P2800*Q2800</f>
        <v>0</v>
      </c>
      <c r="S2800" s="166">
        <v>0</v>
      </c>
      <c r="T2800" s="166">
        <v>0</v>
      </c>
      <c r="U2800" s="164">
        <f>($L2800*'Pivot Objective'!$C$9^2)*S2800*T2800</f>
        <v>0</v>
      </c>
      <c r="V2800" s="166">
        <v>10</v>
      </c>
      <c r="W2800" s="166">
        <v>1</v>
      </c>
      <c r="X2800" s="164">
        <f>($L2800*'Pivot Objective'!$C$9^3)*V2800*W2800</f>
        <v>119436.95840888287</v>
      </c>
      <c r="Y2800" s="166">
        <v>0</v>
      </c>
      <c r="Z2800" s="166">
        <v>0</v>
      </c>
      <c r="AA2800" s="164">
        <f>($L2800*'Pivot Objective'!$C$9^4)*Y2800*Z2800</f>
        <v>0</v>
      </c>
      <c r="AB2800" s="166">
        <v>0</v>
      </c>
      <c r="AC2800" s="166">
        <v>0</v>
      </c>
      <c r="AD2800" s="164">
        <f>($L2800*'Pivot Objective'!$C$9^5)*AB2800*AC2800</f>
        <v>0</v>
      </c>
      <c r="AE2800" s="166">
        <v>10</v>
      </c>
      <c r="AF2800" s="166">
        <v>1</v>
      </c>
      <c r="AG2800" s="164">
        <f>($L2800*'Pivot Objective'!$C$9^6)*AE2800*AF2800</f>
        <v>178314.83792456522</v>
      </c>
      <c r="AH2800" s="166">
        <v>0</v>
      </c>
      <c r="AI2800" s="166">
        <v>0</v>
      </c>
      <c r="AJ2800" s="164">
        <f>($L2800*'Pivot Objective'!$C$9^7)*AH2800*AI2800</f>
        <v>0</v>
      </c>
      <c r="AK2800" s="185">
        <f t="shared" si="305"/>
        <v>377751.79633344809</v>
      </c>
      <c r="AL2800" s="186">
        <f t="shared" si="306"/>
        <v>366.74931682859039</v>
      </c>
    </row>
    <row r="2801" spans="1:38" customFormat="1" ht="57.6" x14ac:dyDescent="0.3">
      <c r="A2801" s="140" t="s">
        <v>1483</v>
      </c>
      <c r="B2801" s="140">
        <v>4</v>
      </c>
      <c r="C2801" s="166" t="s">
        <v>697</v>
      </c>
      <c r="D2801" s="140" t="str">
        <f t="shared" si="308"/>
        <v>4</v>
      </c>
      <c r="E2801" s="166" t="s">
        <v>695</v>
      </c>
      <c r="F2801" s="140">
        <f t="shared" si="307"/>
        <v>7</v>
      </c>
      <c r="G2801" s="140" t="str">
        <f t="shared" si="309"/>
        <v>4.4.7</v>
      </c>
      <c r="H2801" s="166" t="s">
        <v>1718</v>
      </c>
      <c r="I2801" s="166" t="s">
        <v>144</v>
      </c>
      <c r="J2801" s="166" t="s">
        <v>156</v>
      </c>
      <c r="K2801" s="166" t="s">
        <v>717</v>
      </c>
      <c r="L2801" s="166">
        <v>104850</v>
      </c>
      <c r="M2801" s="166">
        <v>1</v>
      </c>
      <c r="N2801" s="166">
        <v>1</v>
      </c>
      <c r="O2801" s="164">
        <f t="shared" si="304"/>
        <v>104850</v>
      </c>
      <c r="P2801" s="166">
        <v>0</v>
      </c>
      <c r="Q2801" s="166">
        <v>0</v>
      </c>
      <c r="R2801" s="164">
        <f>$L2801*'Pivot Objective'!$C$9*P2801*Q2801</f>
        <v>0</v>
      </c>
      <c r="S2801" s="166">
        <v>0</v>
      </c>
      <c r="T2801" s="166">
        <v>0</v>
      </c>
      <c r="U2801" s="164">
        <f>($L2801*'Pivot Objective'!$C$9^2)*S2801*T2801</f>
        <v>0</v>
      </c>
      <c r="V2801" s="166">
        <v>1</v>
      </c>
      <c r="W2801" s="166">
        <v>1</v>
      </c>
      <c r="X2801" s="164">
        <f>($L2801*'Pivot Objective'!$C$9^3)*V2801*W2801</f>
        <v>156537.0636146421</v>
      </c>
      <c r="Y2801" s="166">
        <v>0</v>
      </c>
      <c r="Z2801" s="166">
        <v>0</v>
      </c>
      <c r="AA2801" s="164">
        <f>($L2801*'Pivot Objective'!$C$9^4)*Y2801*Z2801</f>
        <v>0</v>
      </c>
      <c r="AB2801" s="166">
        <v>0</v>
      </c>
      <c r="AC2801" s="166">
        <v>0</v>
      </c>
      <c r="AD2801" s="164">
        <f>($L2801*'Pivot Objective'!$C$9^5)*AB2801*AC2801</f>
        <v>0</v>
      </c>
      <c r="AE2801" s="166">
        <v>1</v>
      </c>
      <c r="AF2801" s="166">
        <v>1</v>
      </c>
      <c r="AG2801" s="164">
        <f>($L2801*'Pivot Objective'!$C$9^6)*AE2801*AF2801</f>
        <v>233703.88445488326</v>
      </c>
      <c r="AH2801" s="166">
        <v>0</v>
      </c>
      <c r="AI2801" s="166">
        <v>0</v>
      </c>
      <c r="AJ2801" s="164">
        <f>($L2801*'Pivot Objective'!$C$9^7)*AH2801*AI2801</f>
        <v>0</v>
      </c>
      <c r="AK2801" s="185">
        <f t="shared" si="305"/>
        <v>495090.94806952536</v>
      </c>
      <c r="AL2801" s="186">
        <f t="shared" si="306"/>
        <v>480.67082336847125</v>
      </c>
    </row>
    <row r="2802" spans="1:38" customFormat="1" ht="57.6" x14ac:dyDescent="0.3">
      <c r="A2802" s="140" t="s">
        <v>1483</v>
      </c>
      <c r="B2802" s="140">
        <v>4</v>
      </c>
      <c r="C2802" s="166" t="s">
        <v>697</v>
      </c>
      <c r="D2802" s="140" t="str">
        <f t="shared" si="308"/>
        <v>4</v>
      </c>
      <c r="E2802" s="166" t="s">
        <v>695</v>
      </c>
      <c r="F2802" s="140">
        <f t="shared" si="307"/>
        <v>7</v>
      </c>
      <c r="G2802" s="140" t="str">
        <f t="shared" si="309"/>
        <v>4.4.7</v>
      </c>
      <c r="H2802" s="166" t="s">
        <v>1718</v>
      </c>
      <c r="I2802" s="166" t="s">
        <v>144</v>
      </c>
      <c r="J2802" s="166" t="s">
        <v>156</v>
      </c>
      <c r="K2802" s="166" t="s">
        <v>716</v>
      </c>
      <c r="L2802" s="166">
        <v>39000</v>
      </c>
      <c r="M2802" s="166">
        <v>100</v>
      </c>
      <c r="N2802" s="166">
        <v>1</v>
      </c>
      <c r="O2802" s="164">
        <f t="shared" si="304"/>
        <v>3900000</v>
      </c>
      <c r="P2802" s="166">
        <v>0</v>
      </c>
      <c r="Q2802" s="166">
        <v>0</v>
      </c>
      <c r="R2802" s="164">
        <f>$L2802*'Pivot Objective'!$C$9*P2802*Q2802</f>
        <v>0</v>
      </c>
      <c r="S2802" s="166">
        <v>0</v>
      </c>
      <c r="T2802" s="166">
        <v>0</v>
      </c>
      <c r="U2802" s="164">
        <f>($L2802*'Pivot Objective'!$C$9^2)*S2802*T2802</f>
        <v>0</v>
      </c>
      <c r="V2802" s="166">
        <v>100</v>
      </c>
      <c r="W2802" s="166">
        <v>1</v>
      </c>
      <c r="X2802" s="164">
        <f>($L2802*'Pivot Objective'!$C$9^3)*V2802*W2802</f>
        <v>5822551.7224330399</v>
      </c>
      <c r="Y2802" s="166">
        <v>0</v>
      </c>
      <c r="Z2802" s="166">
        <v>0</v>
      </c>
      <c r="AA2802" s="164">
        <f>($L2802*'Pivot Objective'!$C$9^4)*Y2802*Z2802</f>
        <v>0</v>
      </c>
      <c r="AB2802" s="166">
        <v>0</v>
      </c>
      <c r="AC2802" s="166">
        <v>0</v>
      </c>
      <c r="AD2802" s="164">
        <f>($L2802*'Pivot Objective'!$C$9^5)*AB2802*AC2802</f>
        <v>0</v>
      </c>
      <c r="AE2802" s="166">
        <v>100</v>
      </c>
      <c r="AF2802" s="166">
        <v>1</v>
      </c>
      <c r="AG2802" s="164">
        <f>($L2802*'Pivot Objective'!$C$9^6)*AE2802*AF2802</f>
        <v>8692848.3488225546</v>
      </c>
      <c r="AH2802" s="166">
        <v>0</v>
      </c>
      <c r="AI2802" s="166">
        <v>0</v>
      </c>
      <c r="AJ2802" s="164">
        <f>($L2802*'Pivot Objective'!$C$9^7)*AH2802*AI2802</f>
        <v>0</v>
      </c>
      <c r="AK2802" s="185">
        <f t="shared" si="305"/>
        <v>18415400.071255594</v>
      </c>
      <c r="AL2802" s="186">
        <f t="shared" si="306"/>
        <v>17879.029195393781</v>
      </c>
    </row>
    <row r="2803" spans="1:38" customFormat="1" ht="57.6" x14ac:dyDescent="0.3">
      <c r="A2803" s="140" t="s">
        <v>1483</v>
      </c>
      <c r="B2803" s="140">
        <v>4</v>
      </c>
      <c r="C2803" s="166" t="s">
        <v>697</v>
      </c>
      <c r="D2803" s="140" t="str">
        <f t="shared" si="308"/>
        <v>4</v>
      </c>
      <c r="E2803" s="166" t="s">
        <v>695</v>
      </c>
      <c r="F2803" s="140">
        <f t="shared" ref="F2803:F2834" si="310">IF(H2803=H2802,F2802,F2802+1)</f>
        <v>7</v>
      </c>
      <c r="G2803" s="140" t="str">
        <f t="shared" si="309"/>
        <v>4.4.7</v>
      </c>
      <c r="H2803" s="166" t="s">
        <v>1718</v>
      </c>
      <c r="I2803" s="166" t="s">
        <v>145</v>
      </c>
      <c r="J2803" s="166" t="s">
        <v>155</v>
      </c>
      <c r="K2803" s="166" t="s">
        <v>718</v>
      </c>
      <c r="L2803" s="166">
        <v>0</v>
      </c>
      <c r="M2803" s="166"/>
      <c r="N2803" s="166"/>
      <c r="O2803" s="164">
        <f t="shared" si="304"/>
        <v>0</v>
      </c>
      <c r="P2803" s="166">
        <v>0</v>
      </c>
      <c r="Q2803" s="166">
        <v>0</v>
      </c>
      <c r="R2803" s="164">
        <f>$L2803*'Pivot Objective'!$C$9*P2803*Q2803</f>
        <v>0</v>
      </c>
      <c r="S2803" s="166">
        <v>0</v>
      </c>
      <c r="T2803" s="166">
        <v>0</v>
      </c>
      <c r="U2803" s="164">
        <f>($L2803*'Pivot Objective'!$C$9^2)*S2803*T2803</f>
        <v>0</v>
      </c>
      <c r="V2803" s="166">
        <v>0</v>
      </c>
      <c r="W2803" s="166">
        <v>0</v>
      </c>
      <c r="X2803" s="164">
        <f>($L2803*'Pivot Objective'!$C$9^3)*V2803*W2803</f>
        <v>0</v>
      </c>
      <c r="Y2803" s="166">
        <v>0</v>
      </c>
      <c r="Z2803" s="166">
        <v>0</v>
      </c>
      <c r="AA2803" s="164">
        <f>($L2803*'Pivot Objective'!$C$9^4)*Y2803*Z2803</f>
        <v>0</v>
      </c>
      <c r="AB2803" s="166">
        <v>0</v>
      </c>
      <c r="AC2803" s="166">
        <v>0</v>
      </c>
      <c r="AD2803" s="164">
        <f>($L2803*'Pivot Objective'!$C$9^5)*AB2803*AC2803</f>
        <v>0</v>
      </c>
      <c r="AE2803" s="166">
        <v>0</v>
      </c>
      <c r="AF2803" s="166">
        <v>0</v>
      </c>
      <c r="AG2803" s="164">
        <f>($L2803*'Pivot Objective'!$C$9^6)*AE2803*AF2803</f>
        <v>0</v>
      </c>
      <c r="AH2803" s="166">
        <v>0</v>
      </c>
      <c r="AI2803" s="166">
        <v>0</v>
      </c>
      <c r="AJ2803" s="164">
        <f>($L2803*'Pivot Objective'!$C$9^7)*AH2803*AI2803</f>
        <v>0</v>
      </c>
      <c r="AK2803" s="185">
        <f t="shared" si="305"/>
        <v>0</v>
      </c>
      <c r="AL2803" s="186">
        <f t="shared" si="306"/>
        <v>0</v>
      </c>
    </row>
    <row r="2804" spans="1:38" customFormat="1" ht="57.6" x14ac:dyDescent="0.3">
      <c r="A2804" s="140" t="s">
        <v>1483</v>
      </c>
      <c r="B2804" s="140">
        <v>4</v>
      </c>
      <c r="C2804" s="166" t="s">
        <v>697</v>
      </c>
      <c r="D2804" s="140" t="str">
        <f t="shared" si="308"/>
        <v>4</v>
      </c>
      <c r="E2804" s="166" t="s">
        <v>695</v>
      </c>
      <c r="F2804" s="140">
        <f t="shared" si="310"/>
        <v>7</v>
      </c>
      <c r="G2804" s="140" t="str">
        <f t="shared" si="309"/>
        <v>4.4.7</v>
      </c>
      <c r="H2804" s="166" t="s">
        <v>1718</v>
      </c>
      <c r="I2804" s="166" t="s">
        <v>145</v>
      </c>
      <c r="J2804" s="166" t="s">
        <v>622</v>
      </c>
      <c r="K2804" s="166" t="s">
        <v>709</v>
      </c>
      <c r="L2804" s="166">
        <v>35000</v>
      </c>
      <c r="M2804" s="166"/>
      <c r="N2804" s="166"/>
      <c r="O2804" s="164">
        <f t="shared" si="304"/>
        <v>0</v>
      </c>
      <c r="P2804" s="166">
        <v>20</v>
      </c>
      <c r="Q2804" s="166">
        <v>6</v>
      </c>
      <c r="R2804" s="164">
        <f>$L2804*'Pivot Objective'!$C$9*P2804*Q2804</f>
        <v>4800268.6073999992</v>
      </c>
      <c r="S2804" s="166">
        <v>0</v>
      </c>
      <c r="T2804" s="166">
        <v>0</v>
      </c>
      <c r="U2804" s="164">
        <f>($L2804*'Pivot Objective'!$C$9^2)*S2804*T2804</f>
        <v>0</v>
      </c>
      <c r="V2804" s="166">
        <v>0</v>
      </c>
      <c r="W2804" s="166">
        <v>0</v>
      </c>
      <c r="X2804" s="164">
        <f>($L2804*'Pivot Objective'!$C$9^3)*V2804*W2804</f>
        <v>0</v>
      </c>
      <c r="Y2804" s="166">
        <v>0</v>
      </c>
      <c r="Z2804" s="166">
        <v>0</v>
      </c>
      <c r="AA2804" s="164">
        <f>($L2804*'Pivot Objective'!$C$9^4)*Y2804*Z2804</f>
        <v>0</v>
      </c>
      <c r="AB2804" s="166">
        <v>0</v>
      </c>
      <c r="AC2804" s="166">
        <v>0</v>
      </c>
      <c r="AD2804" s="164">
        <f>($L2804*'Pivot Objective'!$C$9^5)*AB2804*AC2804</f>
        <v>0</v>
      </c>
      <c r="AE2804" s="166">
        <v>0</v>
      </c>
      <c r="AF2804" s="166">
        <v>0</v>
      </c>
      <c r="AG2804" s="164">
        <f>($L2804*'Pivot Objective'!$C$9^6)*AE2804*AF2804</f>
        <v>0</v>
      </c>
      <c r="AH2804" s="166">
        <v>20</v>
      </c>
      <c r="AI2804" s="166">
        <v>6</v>
      </c>
      <c r="AJ2804" s="164">
        <f>($L2804*'Pivot Objective'!$C$9^7)*AH2804*AI2804</f>
        <v>10699488.984036366</v>
      </c>
      <c r="AK2804" s="185">
        <f t="shared" si="305"/>
        <v>15499757.591436364</v>
      </c>
      <c r="AL2804" s="186">
        <f t="shared" si="306"/>
        <v>15048.308341200353</v>
      </c>
    </row>
    <row r="2805" spans="1:38" customFormat="1" ht="57.6" x14ac:dyDescent="0.3">
      <c r="A2805" s="140" t="s">
        <v>1483</v>
      </c>
      <c r="B2805" s="140">
        <v>4</v>
      </c>
      <c r="C2805" s="166" t="s">
        <v>697</v>
      </c>
      <c r="D2805" s="140" t="str">
        <f t="shared" si="308"/>
        <v>4</v>
      </c>
      <c r="E2805" s="166" t="s">
        <v>695</v>
      </c>
      <c r="F2805" s="140">
        <f t="shared" si="310"/>
        <v>7</v>
      </c>
      <c r="G2805" s="140" t="str">
        <f t="shared" si="309"/>
        <v>4.4.7</v>
      </c>
      <c r="H2805" s="166" t="s">
        <v>1718</v>
      </c>
      <c r="I2805" s="166" t="s">
        <v>145</v>
      </c>
      <c r="J2805" s="166" t="s">
        <v>622</v>
      </c>
      <c r="K2805" s="166" t="s">
        <v>716</v>
      </c>
      <c r="L2805" s="166">
        <v>39000</v>
      </c>
      <c r="M2805" s="166"/>
      <c r="N2805" s="166"/>
      <c r="O2805" s="164">
        <f t="shared" si="304"/>
        <v>0</v>
      </c>
      <c r="P2805" s="166">
        <v>20</v>
      </c>
      <c r="Q2805" s="166">
        <v>6</v>
      </c>
      <c r="R2805" s="164">
        <f>$L2805*'Pivot Objective'!$C$9*P2805*Q2805</f>
        <v>5348870.7339599989</v>
      </c>
      <c r="S2805" s="166">
        <v>0</v>
      </c>
      <c r="T2805" s="166">
        <v>0</v>
      </c>
      <c r="U2805" s="164">
        <f>($L2805*'Pivot Objective'!$C$9^2)*S2805*T2805</f>
        <v>0</v>
      </c>
      <c r="V2805" s="166">
        <v>0</v>
      </c>
      <c r="W2805" s="166">
        <v>0</v>
      </c>
      <c r="X2805" s="164">
        <f>($L2805*'Pivot Objective'!$C$9^3)*V2805*W2805</f>
        <v>0</v>
      </c>
      <c r="Y2805" s="166">
        <v>0</v>
      </c>
      <c r="Z2805" s="166">
        <v>0</v>
      </c>
      <c r="AA2805" s="164">
        <f>($L2805*'Pivot Objective'!$C$9^4)*Y2805*Z2805</f>
        <v>0</v>
      </c>
      <c r="AB2805" s="166">
        <v>0</v>
      </c>
      <c r="AC2805" s="166">
        <v>0</v>
      </c>
      <c r="AD2805" s="164">
        <f>($L2805*'Pivot Objective'!$C$9^5)*AB2805*AC2805</f>
        <v>0</v>
      </c>
      <c r="AE2805" s="166">
        <v>0</v>
      </c>
      <c r="AF2805" s="166">
        <v>0</v>
      </c>
      <c r="AG2805" s="164">
        <f>($L2805*'Pivot Objective'!$C$9^6)*AE2805*AF2805</f>
        <v>0</v>
      </c>
      <c r="AH2805" s="166">
        <v>20</v>
      </c>
      <c r="AI2805" s="166">
        <v>6</v>
      </c>
      <c r="AJ2805" s="164">
        <f>($L2805*'Pivot Objective'!$C$9^7)*AH2805*AI2805</f>
        <v>11922287.725069093</v>
      </c>
      <c r="AK2805" s="185">
        <f t="shared" si="305"/>
        <v>17271158.459029093</v>
      </c>
      <c r="AL2805" s="186">
        <f t="shared" si="306"/>
        <v>16768.115008766112</v>
      </c>
    </row>
    <row r="2806" spans="1:38" customFormat="1" ht="57.6" x14ac:dyDescent="0.3">
      <c r="A2806" s="140" t="s">
        <v>1483</v>
      </c>
      <c r="B2806" s="140">
        <v>4</v>
      </c>
      <c r="C2806" s="166" t="s">
        <v>697</v>
      </c>
      <c r="D2806" s="140" t="str">
        <f t="shared" si="308"/>
        <v>4</v>
      </c>
      <c r="E2806" s="166" t="s">
        <v>695</v>
      </c>
      <c r="F2806" s="140">
        <f t="shared" si="310"/>
        <v>7</v>
      </c>
      <c r="G2806" s="140" t="str">
        <f t="shared" si="309"/>
        <v>4.4.7</v>
      </c>
      <c r="H2806" s="166" t="s">
        <v>1718</v>
      </c>
      <c r="I2806" s="166" t="s">
        <v>145</v>
      </c>
      <c r="J2806" s="166" t="s">
        <v>622</v>
      </c>
      <c r="K2806" s="166" t="s">
        <v>712</v>
      </c>
      <c r="L2806" s="166">
        <f>1480/7</f>
        <v>211.42857142857142</v>
      </c>
      <c r="M2806" s="166"/>
      <c r="N2806" s="166"/>
      <c r="O2806" s="164">
        <f t="shared" si="304"/>
        <v>0</v>
      </c>
      <c r="P2806" s="166">
        <f>25*2*9</f>
        <v>450</v>
      </c>
      <c r="Q2806" s="166">
        <v>6</v>
      </c>
      <c r="R2806" s="164">
        <f>$L2806*'Pivot Objective'!$C$9*P2806*Q2806</f>
        <v>652444.67194457131</v>
      </c>
      <c r="S2806" s="166">
        <v>0</v>
      </c>
      <c r="T2806" s="166">
        <v>0</v>
      </c>
      <c r="U2806" s="164">
        <f>($L2806*'Pivot Objective'!$C$9^2)*S2806*T2806</f>
        <v>0</v>
      </c>
      <c r="V2806" s="166">
        <v>0</v>
      </c>
      <c r="W2806" s="166">
        <v>0</v>
      </c>
      <c r="X2806" s="164">
        <f>($L2806*'Pivot Objective'!$C$9^3)*V2806*W2806</f>
        <v>0</v>
      </c>
      <c r="Y2806" s="166">
        <v>0</v>
      </c>
      <c r="Z2806" s="166">
        <v>0</v>
      </c>
      <c r="AA2806" s="164">
        <f>($L2806*'Pivot Objective'!$C$9^4)*Y2806*Z2806</f>
        <v>0</v>
      </c>
      <c r="AB2806" s="166">
        <v>0</v>
      </c>
      <c r="AC2806" s="166">
        <v>0</v>
      </c>
      <c r="AD2806" s="164">
        <f>($L2806*'Pivot Objective'!$C$9^5)*AB2806*AC2806</f>
        <v>0</v>
      </c>
      <c r="AE2806" s="166">
        <v>0</v>
      </c>
      <c r="AF2806" s="166">
        <v>0</v>
      </c>
      <c r="AG2806" s="164">
        <f>($L2806*'Pivot Objective'!$C$9^6)*AE2806*AF2806</f>
        <v>0</v>
      </c>
      <c r="AH2806" s="166">
        <f>25*2*9</f>
        <v>450</v>
      </c>
      <c r="AI2806" s="166">
        <v>6</v>
      </c>
      <c r="AJ2806" s="164">
        <f>($L2806*'Pivot Objective'!$C$9^7)*AH2806*AI2806</f>
        <v>1454257.0741567793</v>
      </c>
      <c r="AK2806" s="185">
        <f t="shared" si="305"/>
        <v>2106701.7461013505</v>
      </c>
      <c r="AL2806" s="186">
        <f t="shared" si="306"/>
        <v>2045.3415010692725</v>
      </c>
    </row>
    <row r="2807" spans="1:38" customFormat="1" ht="57.6" x14ac:dyDescent="0.3">
      <c r="A2807" s="140" t="s">
        <v>1483</v>
      </c>
      <c r="B2807" s="140">
        <v>4</v>
      </c>
      <c r="C2807" s="166" t="s">
        <v>697</v>
      </c>
      <c r="D2807" s="140" t="str">
        <f t="shared" si="308"/>
        <v>4</v>
      </c>
      <c r="E2807" s="166" t="s">
        <v>695</v>
      </c>
      <c r="F2807" s="140">
        <f t="shared" si="310"/>
        <v>7</v>
      </c>
      <c r="G2807" s="140" t="str">
        <f t="shared" si="309"/>
        <v>4.4.7</v>
      </c>
      <c r="H2807" s="166" t="s">
        <v>1718</v>
      </c>
      <c r="I2807" s="166" t="s">
        <v>145</v>
      </c>
      <c r="J2807" s="166" t="s">
        <v>622</v>
      </c>
      <c r="K2807" s="166" t="s">
        <v>1320</v>
      </c>
      <c r="L2807" s="166">
        <f>1480/7</f>
        <v>211.42857142857142</v>
      </c>
      <c r="M2807" s="166"/>
      <c r="N2807" s="166"/>
      <c r="O2807" s="164">
        <f t="shared" si="304"/>
        <v>0</v>
      </c>
      <c r="P2807" s="166">
        <f>2*135*9</f>
        <v>2430</v>
      </c>
      <c r="Q2807" s="166">
        <v>6</v>
      </c>
      <c r="R2807" s="164">
        <f>$L2807*'Pivot Objective'!$C$9*P2807*Q2807</f>
        <v>3523201.2285006857</v>
      </c>
      <c r="S2807" s="166"/>
      <c r="T2807" s="166"/>
      <c r="U2807" s="164">
        <f>($L2807*'Pivot Objective'!$C$9^2)*S2807*T2807</f>
        <v>0</v>
      </c>
      <c r="V2807" s="166"/>
      <c r="W2807" s="166"/>
      <c r="X2807" s="164">
        <f>($L2807*'Pivot Objective'!$C$9^3)*V2807*W2807</f>
        <v>0</v>
      </c>
      <c r="Y2807" s="166"/>
      <c r="Z2807" s="166"/>
      <c r="AA2807" s="164">
        <f>($L2807*'Pivot Objective'!$C$9^4)*Y2807*Z2807</f>
        <v>0</v>
      </c>
      <c r="AB2807" s="166"/>
      <c r="AC2807" s="166"/>
      <c r="AD2807" s="164">
        <f>($L2807*'Pivot Objective'!$C$9^5)*AB2807*AC2807</f>
        <v>0</v>
      </c>
      <c r="AE2807" s="166"/>
      <c r="AF2807" s="166"/>
      <c r="AG2807" s="164">
        <f>($L2807*'Pivot Objective'!$C$9^6)*AE2807*AF2807</f>
        <v>0</v>
      </c>
      <c r="AH2807" s="166">
        <f>2*135*9</f>
        <v>2430</v>
      </c>
      <c r="AI2807" s="166">
        <v>6</v>
      </c>
      <c r="AJ2807" s="164">
        <f>($L2807*'Pivot Objective'!$C$9^7)*AH2807*AI2807</f>
        <v>7852988.2004466094</v>
      </c>
      <c r="AK2807" s="185">
        <f t="shared" si="305"/>
        <v>11376189.428947296</v>
      </c>
      <c r="AL2807" s="186">
        <f t="shared" si="306"/>
        <v>11044.844105774073</v>
      </c>
    </row>
    <row r="2808" spans="1:38" customFormat="1" ht="57.6" x14ac:dyDescent="0.3">
      <c r="A2808" s="140" t="s">
        <v>1483</v>
      </c>
      <c r="B2808" s="140">
        <v>4</v>
      </c>
      <c r="C2808" s="166" t="s">
        <v>697</v>
      </c>
      <c r="D2808" s="140" t="str">
        <f t="shared" si="308"/>
        <v>4</v>
      </c>
      <c r="E2808" s="166" t="s">
        <v>695</v>
      </c>
      <c r="F2808" s="140">
        <f t="shared" si="310"/>
        <v>7</v>
      </c>
      <c r="G2808" s="140" t="str">
        <f t="shared" si="309"/>
        <v>4.4.7</v>
      </c>
      <c r="H2808" s="166" t="s">
        <v>1718</v>
      </c>
      <c r="I2808" s="166" t="s">
        <v>145</v>
      </c>
      <c r="J2808" s="166" t="s">
        <v>166</v>
      </c>
      <c r="K2808" s="166" t="s">
        <v>709</v>
      </c>
      <c r="L2808" s="166">
        <v>35000</v>
      </c>
      <c r="M2808" s="166"/>
      <c r="N2808" s="166"/>
      <c r="O2808" s="164">
        <f t="shared" si="304"/>
        <v>0</v>
      </c>
      <c r="P2808" s="166">
        <v>25</v>
      </c>
      <c r="Q2808" s="166">
        <v>1</v>
      </c>
      <c r="R2808" s="164">
        <f>$L2808*'Pivot Objective'!$C$9*P2808*Q2808</f>
        <v>1000055.9598749998</v>
      </c>
      <c r="S2808" s="166">
        <v>0</v>
      </c>
      <c r="T2808" s="166">
        <v>0</v>
      </c>
      <c r="U2808" s="164">
        <f>($L2808*'Pivot Objective'!$C$9^2)*S2808*T2808</f>
        <v>0</v>
      </c>
      <c r="V2808" s="166">
        <v>0</v>
      </c>
      <c r="W2808" s="166">
        <v>0</v>
      </c>
      <c r="X2808" s="164">
        <f>($L2808*'Pivot Objective'!$C$9^3)*V2808*W2808</f>
        <v>0</v>
      </c>
      <c r="Y2808" s="166">
        <v>0</v>
      </c>
      <c r="Z2808" s="166">
        <v>0</v>
      </c>
      <c r="AA2808" s="164">
        <f>($L2808*'Pivot Objective'!$C$9^4)*Y2808*Z2808</f>
        <v>0</v>
      </c>
      <c r="AB2808" s="166">
        <v>0</v>
      </c>
      <c r="AC2808" s="166">
        <v>0</v>
      </c>
      <c r="AD2808" s="164">
        <f>($L2808*'Pivot Objective'!$C$9^5)*AB2808*AC2808</f>
        <v>0</v>
      </c>
      <c r="AE2808" s="166">
        <v>0</v>
      </c>
      <c r="AF2808" s="166">
        <v>0</v>
      </c>
      <c r="AG2808" s="164">
        <f>($L2808*'Pivot Objective'!$C$9^6)*AE2808*AF2808</f>
        <v>0</v>
      </c>
      <c r="AH2808" s="166">
        <v>25</v>
      </c>
      <c r="AI2808" s="166">
        <v>1</v>
      </c>
      <c r="AJ2808" s="164">
        <f>($L2808*'Pivot Objective'!$C$9^7)*AH2808*AI2808</f>
        <v>2229060.2050075764</v>
      </c>
      <c r="AK2808" s="185">
        <f t="shared" si="305"/>
        <v>3229116.1648825761</v>
      </c>
      <c r="AL2808" s="186">
        <f t="shared" si="306"/>
        <v>3135.064237750074</v>
      </c>
    </row>
    <row r="2809" spans="1:38" customFormat="1" ht="57.6" x14ac:dyDescent="0.3">
      <c r="A2809" s="140" t="s">
        <v>1483</v>
      </c>
      <c r="B2809" s="140">
        <v>4</v>
      </c>
      <c r="C2809" s="166" t="s">
        <v>697</v>
      </c>
      <c r="D2809" s="140" t="str">
        <f t="shared" si="308"/>
        <v>4</v>
      </c>
      <c r="E2809" s="166" t="s">
        <v>695</v>
      </c>
      <c r="F2809" s="140">
        <f t="shared" si="310"/>
        <v>7</v>
      </c>
      <c r="G2809" s="140" t="str">
        <f t="shared" si="309"/>
        <v>4.4.7</v>
      </c>
      <c r="H2809" s="166" t="s">
        <v>1718</v>
      </c>
      <c r="I2809" s="166" t="s">
        <v>145</v>
      </c>
      <c r="J2809" s="166" t="s">
        <v>623</v>
      </c>
      <c r="K2809" s="166" t="s">
        <v>718</v>
      </c>
      <c r="L2809" s="166">
        <v>0</v>
      </c>
      <c r="M2809" s="166"/>
      <c r="N2809" s="166"/>
      <c r="O2809" s="164">
        <f t="shared" si="304"/>
        <v>0</v>
      </c>
      <c r="P2809" s="166">
        <v>25</v>
      </c>
      <c r="Q2809" s="166">
        <v>1</v>
      </c>
      <c r="R2809" s="164">
        <f>$L2809*'Pivot Objective'!$C$9*P2809*Q2809</f>
        <v>0</v>
      </c>
      <c r="S2809" s="166">
        <v>0</v>
      </c>
      <c r="T2809" s="166">
        <v>0</v>
      </c>
      <c r="U2809" s="164">
        <f>($L2809*'Pivot Objective'!$C$9^2)*S2809*T2809</f>
        <v>0</v>
      </c>
      <c r="V2809" s="166">
        <v>0</v>
      </c>
      <c r="W2809" s="166">
        <v>0</v>
      </c>
      <c r="X2809" s="164">
        <f>($L2809*'Pivot Objective'!$C$9^3)*V2809*W2809</f>
        <v>0</v>
      </c>
      <c r="Y2809" s="166">
        <v>0</v>
      </c>
      <c r="Z2809" s="166">
        <v>0</v>
      </c>
      <c r="AA2809" s="164">
        <f>($L2809*'Pivot Objective'!$C$9^4)*Y2809*Z2809</f>
        <v>0</v>
      </c>
      <c r="AB2809" s="166">
        <v>0</v>
      </c>
      <c r="AC2809" s="166">
        <v>0</v>
      </c>
      <c r="AD2809" s="164">
        <f>($L2809*'Pivot Objective'!$C$9^5)*AB2809*AC2809</f>
        <v>0</v>
      </c>
      <c r="AE2809" s="166">
        <v>0</v>
      </c>
      <c r="AF2809" s="166">
        <v>0</v>
      </c>
      <c r="AG2809" s="164">
        <f>($L2809*'Pivot Objective'!$C$9^6)*AE2809*AF2809</f>
        <v>0</v>
      </c>
      <c r="AH2809" s="166">
        <v>25</v>
      </c>
      <c r="AI2809" s="166">
        <v>1</v>
      </c>
      <c r="AJ2809" s="164">
        <f>($L2809*'Pivot Objective'!$C$9^7)*AH2809*AI2809</f>
        <v>0</v>
      </c>
      <c r="AK2809" s="185">
        <f t="shared" si="305"/>
        <v>0</v>
      </c>
      <c r="AL2809" s="186">
        <f t="shared" si="306"/>
        <v>0</v>
      </c>
    </row>
    <row r="2810" spans="1:38" customFormat="1" ht="57.6" x14ac:dyDescent="0.3">
      <c r="A2810" s="140" t="s">
        <v>1483</v>
      </c>
      <c r="B2810" s="140">
        <v>4</v>
      </c>
      <c r="C2810" s="166" t="s">
        <v>697</v>
      </c>
      <c r="D2810" s="140" t="str">
        <f t="shared" si="308"/>
        <v>4</v>
      </c>
      <c r="E2810" s="166" t="s">
        <v>695</v>
      </c>
      <c r="F2810" s="140">
        <f t="shared" si="310"/>
        <v>7</v>
      </c>
      <c r="G2810" s="140" t="str">
        <f t="shared" si="309"/>
        <v>4.4.7</v>
      </c>
      <c r="H2810" s="166" t="s">
        <v>1718</v>
      </c>
      <c r="I2810" s="166" t="s">
        <v>145</v>
      </c>
      <c r="J2810" s="166" t="s">
        <v>624</v>
      </c>
      <c r="K2810" s="166" t="s">
        <v>709</v>
      </c>
      <c r="L2810" s="166">
        <v>35000</v>
      </c>
      <c r="M2810" s="166"/>
      <c r="N2810" s="166"/>
      <c r="O2810" s="164">
        <f t="shared" si="304"/>
        <v>0</v>
      </c>
      <c r="P2810" s="166">
        <v>60</v>
      </c>
      <c r="Q2810" s="166">
        <v>1</v>
      </c>
      <c r="R2810" s="164">
        <f>$L2810*'Pivot Objective'!$C$9*P2810*Q2810</f>
        <v>2400134.3036999996</v>
      </c>
      <c r="S2810" s="166">
        <v>0</v>
      </c>
      <c r="T2810" s="166">
        <v>0</v>
      </c>
      <c r="U2810" s="164">
        <f>($L2810*'Pivot Objective'!$C$9^2)*S2810*T2810</f>
        <v>0</v>
      </c>
      <c r="V2810" s="166">
        <v>0</v>
      </c>
      <c r="W2810" s="166">
        <v>0</v>
      </c>
      <c r="X2810" s="164">
        <f>($L2810*'Pivot Objective'!$C$9^3)*V2810*W2810</f>
        <v>0</v>
      </c>
      <c r="Y2810" s="166">
        <v>0</v>
      </c>
      <c r="Z2810" s="166">
        <v>0</v>
      </c>
      <c r="AA2810" s="164">
        <f>($L2810*'Pivot Objective'!$C$9^4)*Y2810*Z2810</f>
        <v>0</v>
      </c>
      <c r="AB2810" s="166">
        <v>0</v>
      </c>
      <c r="AC2810" s="166">
        <v>0</v>
      </c>
      <c r="AD2810" s="164">
        <f>($L2810*'Pivot Objective'!$C$9^5)*AB2810*AC2810</f>
        <v>0</v>
      </c>
      <c r="AE2810" s="166">
        <v>0</v>
      </c>
      <c r="AF2810" s="166">
        <v>0</v>
      </c>
      <c r="AG2810" s="164">
        <f>($L2810*'Pivot Objective'!$C$9^6)*AE2810*AF2810</f>
        <v>0</v>
      </c>
      <c r="AH2810" s="166">
        <v>60</v>
      </c>
      <c r="AI2810" s="166">
        <v>1</v>
      </c>
      <c r="AJ2810" s="164">
        <f>($L2810*'Pivot Objective'!$C$9^7)*AH2810*AI2810</f>
        <v>5349744.4920181828</v>
      </c>
      <c r="AK2810" s="185">
        <f t="shared" si="305"/>
        <v>7749878.7957181819</v>
      </c>
      <c r="AL2810" s="186">
        <f t="shared" si="306"/>
        <v>7524.1541706001763</v>
      </c>
    </row>
    <row r="2811" spans="1:38" customFormat="1" ht="57.6" x14ac:dyDescent="0.3">
      <c r="A2811" s="140" t="s">
        <v>1483</v>
      </c>
      <c r="B2811" s="140">
        <v>4</v>
      </c>
      <c r="C2811" s="166" t="s">
        <v>697</v>
      </c>
      <c r="D2811" s="140" t="str">
        <f t="shared" si="308"/>
        <v>4</v>
      </c>
      <c r="E2811" s="166" t="s">
        <v>695</v>
      </c>
      <c r="F2811" s="140">
        <f t="shared" si="310"/>
        <v>7</v>
      </c>
      <c r="G2811" s="140" t="str">
        <f t="shared" si="309"/>
        <v>4.4.7</v>
      </c>
      <c r="H2811" s="166" t="s">
        <v>1718</v>
      </c>
      <c r="I2811" s="166" t="s">
        <v>145</v>
      </c>
      <c r="J2811" s="166" t="s">
        <v>624</v>
      </c>
      <c r="K2811" s="166" t="s">
        <v>716</v>
      </c>
      <c r="L2811" s="166">
        <v>39000</v>
      </c>
      <c r="M2811" s="166"/>
      <c r="N2811" s="166"/>
      <c r="O2811" s="164">
        <f t="shared" si="304"/>
        <v>0</v>
      </c>
      <c r="P2811" s="166">
        <v>30</v>
      </c>
      <c r="Q2811" s="166">
        <v>1</v>
      </c>
      <c r="R2811" s="164">
        <f>$L2811*'Pivot Objective'!$C$9*P2811*Q2811</f>
        <v>1337217.6834899997</v>
      </c>
      <c r="S2811" s="166">
        <v>0</v>
      </c>
      <c r="T2811" s="166">
        <v>0</v>
      </c>
      <c r="U2811" s="164">
        <f>($L2811*'Pivot Objective'!$C$9^2)*S2811*T2811</f>
        <v>0</v>
      </c>
      <c r="V2811" s="166">
        <v>0</v>
      </c>
      <c r="W2811" s="166">
        <v>0</v>
      </c>
      <c r="X2811" s="164">
        <f>($L2811*'Pivot Objective'!$C$9^3)*V2811*W2811</f>
        <v>0</v>
      </c>
      <c r="Y2811" s="166">
        <v>0</v>
      </c>
      <c r="Z2811" s="166">
        <v>0</v>
      </c>
      <c r="AA2811" s="164">
        <f>($L2811*'Pivot Objective'!$C$9^4)*Y2811*Z2811</f>
        <v>0</v>
      </c>
      <c r="AB2811" s="166">
        <v>0</v>
      </c>
      <c r="AC2811" s="166">
        <v>0</v>
      </c>
      <c r="AD2811" s="164">
        <f>($L2811*'Pivot Objective'!$C$9^5)*AB2811*AC2811</f>
        <v>0</v>
      </c>
      <c r="AE2811" s="166">
        <v>0</v>
      </c>
      <c r="AF2811" s="166">
        <v>0</v>
      </c>
      <c r="AG2811" s="164">
        <f>($L2811*'Pivot Objective'!$C$9^6)*AE2811*AF2811</f>
        <v>0</v>
      </c>
      <c r="AH2811" s="166">
        <v>30</v>
      </c>
      <c r="AI2811" s="166">
        <v>1</v>
      </c>
      <c r="AJ2811" s="164">
        <f>($L2811*'Pivot Objective'!$C$9^7)*AH2811*AI2811</f>
        <v>2980571.9312672731</v>
      </c>
      <c r="AK2811" s="185">
        <f t="shared" si="305"/>
        <v>4317789.6147572733</v>
      </c>
      <c r="AL2811" s="186">
        <f t="shared" si="306"/>
        <v>4192.0287521915279</v>
      </c>
    </row>
    <row r="2812" spans="1:38" customFormat="1" ht="57.6" x14ac:dyDescent="0.3">
      <c r="A2812" s="140" t="s">
        <v>1483</v>
      </c>
      <c r="B2812" s="140">
        <v>4</v>
      </c>
      <c r="C2812" s="166" t="s">
        <v>697</v>
      </c>
      <c r="D2812" s="140" t="str">
        <f t="shared" si="308"/>
        <v>4</v>
      </c>
      <c r="E2812" s="166" t="s">
        <v>695</v>
      </c>
      <c r="F2812" s="140">
        <f t="shared" si="310"/>
        <v>7</v>
      </c>
      <c r="G2812" s="140" t="str">
        <f t="shared" si="309"/>
        <v>4.4.7</v>
      </c>
      <c r="H2812" s="166" t="s">
        <v>1718</v>
      </c>
      <c r="I2812" s="166" t="s">
        <v>145</v>
      </c>
      <c r="J2812" s="166" t="s">
        <v>624</v>
      </c>
      <c r="K2812" s="166" t="s">
        <v>712</v>
      </c>
      <c r="L2812" s="166">
        <f>1480/7</f>
        <v>211.42857142857142</v>
      </c>
      <c r="M2812" s="166"/>
      <c r="N2812" s="166"/>
      <c r="O2812" s="164">
        <f t="shared" si="304"/>
        <v>0</v>
      </c>
      <c r="P2812" s="166">
        <f>2*25*9</f>
        <v>450</v>
      </c>
      <c r="Q2812" s="166">
        <v>1</v>
      </c>
      <c r="R2812" s="164">
        <f>$L2812*'Pivot Objective'!$C$9*P2812*Q2812</f>
        <v>108740.77865742856</v>
      </c>
      <c r="S2812" s="166">
        <v>0</v>
      </c>
      <c r="T2812" s="166">
        <v>0</v>
      </c>
      <c r="U2812" s="164">
        <f>($L2812*'Pivot Objective'!$C$9^2)*S2812*T2812</f>
        <v>0</v>
      </c>
      <c r="V2812" s="166">
        <v>0</v>
      </c>
      <c r="W2812" s="166">
        <v>0</v>
      </c>
      <c r="X2812" s="164">
        <f>($L2812*'Pivot Objective'!$C$9^3)*V2812*W2812</f>
        <v>0</v>
      </c>
      <c r="Y2812" s="166">
        <v>0</v>
      </c>
      <c r="Z2812" s="166">
        <v>0</v>
      </c>
      <c r="AA2812" s="164">
        <f>($L2812*'Pivot Objective'!$C$9^4)*Y2812*Z2812</f>
        <v>0</v>
      </c>
      <c r="AB2812" s="166">
        <v>0</v>
      </c>
      <c r="AC2812" s="166">
        <v>0</v>
      </c>
      <c r="AD2812" s="164">
        <f>($L2812*'Pivot Objective'!$C$9^5)*AB2812*AC2812</f>
        <v>0</v>
      </c>
      <c r="AE2812" s="166">
        <v>0</v>
      </c>
      <c r="AF2812" s="166">
        <v>0</v>
      </c>
      <c r="AG2812" s="164">
        <f>($L2812*'Pivot Objective'!$C$9^6)*AE2812*AF2812</f>
        <v>0</v>
      </c>
      <c r="AH2812" s="166">
        <f>2*25*9</f>
        <v>450</v>
      </c>
      <c r="AI2812" s="166">
        <v>1</v>
      </c>
      <c r="AJ2812" s="164">
        <f>($L2812*'Pivot Objective'!$C$9^7)*AH2812*AI2812</f>
        <v>242376.17902612989</v>
      </c>
      <c r="AK2812" s="185">
        <f t="shared" si="305"/>
        <v>351116.95768355846</v>
      </c>
      <c r="AL2812" s="186">
        <f t="shared" si="306"/>
        <v>340.89025017821211</v>
      </c>
    </row>
    <row r="2813" spans="1:38" customFormat="1" ht="57.6" x14ac:dyDescent="0.3">
      <c r="A2813" s="140" t="s">
        <v>1483</v>
      </c>
      <c r="B2813" s="140">
        <v>4</v>
      </c>
      <c r="C2813" s="166" t="s">
        <v>697</v>
      </c>
      <c r="D2813" s="140" t="str">
        <f t="shared" si="308"/>
        <v>4</v>
      </c>
      <c r="E2813" s="166" t="s">
        <v>695</v>
      </c>
      <c r="F2813" s="140">
        <f t="shared" si="310"/>
        <v>7</v>
      </c>
      <c r="G2813" s="140" t="str">
        <f t="shared" si="309"/>
        <v>4.4.7</v>
      </c>
      <c r="H2813" s="166" t="s">
        <v>1718</v>
      </c>
      <c r="I2813" s="166" t="s">
        <v>145</v>
      </c>
      <c r="J2813" s="166" t="s">
        <v>624</v>
      </c>
      <c r="K2813" s="166" t="s">
        <v>1320</v>
      </c>
      <c r="L2813" s="166">
        <f>1480/7</f>
        <v>211.42857142857142</v>
      </c>
      <c r="M2813" s="166"/>
      <c r="N2813" s="166"/>
      <c r="O2813" s="164">
        <f t="shared" si="304"/>
        <v>0</v>
      </c>
      <c r="P2813" s="166">
        <f>2*135*9</f>
        <v>2430</v>
      </c>
      <c r="Q2813" s="166">
        <v>1</v>
      </c>
      <c r="R2813" s="164">
        <f>$L2813*'Pivot Objective'!$C$9*P2813*Q2813</f>
        <v>587200.20475011424</v>
      </c>
      <c r="S2813" s="166"/>
      <c r="T2813" s="166"/>
      <c r="U2813" s="164">
        <f>($L2813*'Pivot Objective'!$C$9^2)*S2813*T2813</f>
        <v>0</v>
      </c>
      <c r="V2813" s="166"/>
      <c r="W2813" s="166"/>
      <c r="X2813" s="164">
        <f>($L2813*'Pivot Objective'!$C$9^3)*V2813*W2813</f>
        <v>0</v>
      </c>
      <c r="Y2813" s="166"/>
      <c r="Z2813" s="166"/>
      <c r="AA2813" s="164">
        <f>($L2813*'Pivot Objective'!$C$9^4)*Y2813*Z2813</f>
        <v>0</v>
      </c>
      <c r="AB2813" s="166"/>
      <c r="AC2813" s="166"/>
      <c r="AD2813" s="164">
        <f>($L2813*'Pivot Objective'!$C$9^5)*AB2813*AC2813</f>
        <v>0</v>
      </c>
      <c r="AE2813" s="166"/>
      <c r="AF2813" s="166"/>
      <c r="AG2813" s="164">
        <f>($L2813*'Pivot Objective'!$C$9^6)*AE2813*AF2813</f>
        <v>0</v>
      </c>
      <c r="AH2813" s="166">
        <f>2*135*9</f>
        <v>2430</v>
      </c>
      <c r="AI2813" s="166">
        <v>1</v>
      </c>
      <c r="AJ2813" s="164">
        <f>($L2813*'Pivot Objective'!$C$9^7)*AH2813*AI2813</f>
        <v>1308831.3667411015</v>
      </c>
      <c r="AK2813" s="185">
        <f t="shared" si="305"/>
        <v>1896031.5714912158</v>
      </c>
      <c r="AL2813" s="186">
        <f t="shared" si="306"/>
        <v>1840.8073509623455</v>
      </c>
    </row>
    <row r="2814" spans="1:38" customFormat="1" ht="57.6" x14ac:dyDescent="0.3">
      <c r="A2814" s="140" t="s">
        <v>1483</v>
      </c>
      <c r="B2814" s="140">
        <v>4</v>
      </c>
      <c r="C2814" s="166" t="s">
        <v>697</v>
      </c>
      <c r="D2814" s="140" t="str">
        <f t="shared" si="308"/>
        <v>4</v>
      </c>
      <c r="E2814" s="166" t="s">
        <v>695</v>
      </c>
      <c r="F2814" s="140">
        <f t="shared" si="310"/>
        <v>7</v>
      </c>
      <c r="G2814" s="140" t="str">
        <f t="shared" si="309"/>
        <v>4.4.7</v>
      </c>
      <c r="H2814" s="166" t="s">
        <v>1718</v>
      </c>
      <c r="I2814" s="166" t="s">
        <v>145</v>
      </c>
      <c r="J2814" s="166" t="s">
        <v>625</v>
      </c>
      <c r="K2814" s="166" t="s">
        <v>709</v>
      </c>
      <c r="L2814" s="166">
        <v>35000</v>
      </c>
      <c r="M2814" s="166"/>
      <c r="N2814" s="166"/>
      <c r="O2814" s="164">
        <f t="shared" si="304"/>
        <v>0</v>
      </c>
      <c r="P2814" s="166">
        <v>62</v>
      </c>
      <c r="Q2814" s="166">
        <v>1</v>
      </c>
      <c r="R2814" s="164">
        <f>$L2814*'Pivot Objective'!$C$9*P2814*Q2814</f>
        <v>2480138.7804899998</v>
      </c>
      <c r="S2814" s="166">
        <v>0</v>
      </c>
      <c r="T2814" s="166">
        <v>0</v>
      </c>
      <c r="U2814" s="164">
        <f>($L2814*'Pivot Objective'!$C$9^2)*S2814*T2814</f>
        <v>0</v>
      </c>
      <c r="V2814" s="166">
        <v>0</v>
      </c>
      <c r="W2814" s="166">
        <v>0</v>
      </c>
      <c r="X2814" s="164">
        <f>($L2814*'Pivot Objective'!$C$9^3)*V2814*W2814</f>
        <v>0</v>
      </c>
      <c r="Y2814" s="166">
        <v>0</v>
      </c>
      <c r="Z2814" s="166">
        <v>0</v>
      </c>
      <c r="AA2814" s="164">
        <f>($L2814*'Pivot Objective'!$C$9^4)*Y2814*Z2814</f>
        <v>0</v>
      </c>
      <c r="AB2814" s="166">
        <v>0</v>
      </c>
      <c r="AC2814" s="166">
        <v>0</v>
      </c>
      <c r="AD2814" s="164">
        <f>($L2814*'Pivot Objective'!$C$9^5)*AB2814*AC2814</f>
        <v>0</v>
      </c>
      <c r="AE2814" s="166">
        <v>0</v>
      </c>
      <c r="AF2814" s="166">
        <v>0</v>
      </c>
      <c r="AG2814" s="164">
        <f>($L2814*'Pivot Objective'!$C$9^6)*AE2814*AF2814</f>
        <v>0</v>
      </c>
      <c r="AH2814" s="166">
        <v>62</v>
      </c>
      <c r="AI2814" s="166">
        <v>1</v>
      </c>
      <c r="AJ2814" s="164">
        <f>($L2814*'Pivot Objective'!$C$9^7)*AH2814*AI2814</f>
        <v>5528069.3084187889</v>
      </c>
      <c r="AK2814" s="185">
        <f t="shared" si="305"/>
        <v>8008208.0889087887</v>
      </c>
      <c r="AL2814" s="186">
        <f t="shared" si="306"/>
        <v>7774.9593096201834</v>
      </c>
    </row>
    <row r="2815" spans="1:38" customFormat="1" ht="57.6" x14ac:dyDescent="0.3">
      <c r="A2815" s="140" t="s">
        <v>1483</v>
      </c>
      <c r="B2815" s="140">
        <v>4</v>
      </c>
      <c r="C2815" s="166" t="s">
        <v>697</v>
      </c>
      <c r="D2815" s="140" t="str">
        <f t="shared" si="308"/>
        <v>4</v>
      </c>
      <c r="E2815" s="166" t="s">
        <v>695</v>
      </c>
      <c r="F2815" s="140">
        <f t="shared" si="310"/>
        <v>7</v>
      </c>
      <c r="G2815" s="140" t="str">
        <f t="shared" si="309"/>
        <v>4.4.7</v>
      </c>
      <c r="H2815" s="166" t="s">
        <v>1718</v>
      </c>
      <c r="I2815" s="166" t="s">
        <v>145</v>
      </c>
      <c r="J2815" s="166" t="s">
        <v>626</v>
      </c>
      <c r="K2815" s="166" t="s">
        <v>721</v>
      </c>
      <c r="L2815" s="166">
        <v>80000</v>
      </c>
      <c r="M2815" s="166"/>
      <c r="N2815" s="166"/>
      <c r="O2815" s="164">
        <f t="shared" si="304"/>
        <v>0</v>
      </c>
      <c r="P2815" s="166">
        <v>30</v>
      </c>
      <c r="Q2815" s="166">
        <v>1</v>
      </c>
      <c r="R2815" s="164">
        <f>$L2815*'Pivot Objective'!$C$9*P2815*Q2815</f>
        <v>2743010.6327999998</v>
      </c>
      <c r="S2815" s="166">
        <v>0</v>
      </c>
      <c r="T2815" s="166">
        <v>0</v>
      </c>
      <c r="U2815" s="164">
        <f>($L2815*'Pivot Objective'!$C$9^2)*S2815*T2815</f>
        <v>0</v>
      </c>
      <c r="V2815" s="166">
        <v>0</v>
      </c>
      <c r="W2815" s="166">
        <v>0</v>
      </c>
      <c r="X2815" s="164">
        <f>($L2815*'Pivot Objective'!$C$9^3)*V2815*W2815</f>
        <v>0</v>
      </c>
      <c r="Y2815" s="166">
        <v>0</v>
      </c>
      <c r="Z2815" s="166">
        <v>0</v>
      </c>
      <c r="AA2815" s="164">
        <f>($L2815*'Pivot Objective'!$C$9^4)*Y2815*Z2815</f>
        <v>0</v>
      </c>
      <c r="AB2815" s="166">
        <v>0</v>
      </c>
      <c r="AC2815" s="166">
        <v>0</v>
      </c>
      <c r="AD2815" s="164">
        <f>($L2815*'Pivot Objective'!$C$9^5)*AB2815*AC2815</f>
        <v>0</v>
      </c>
      <c r="AE2815" s="166">
        <v>0</v>
      </c>
      <c r="AF2815" s="166">
        <v>0</v>
      </c>
      <c r="AG2815" s="164">
        <f>($L2815*'Pivot Objective'!$C$9^6)*AE2815*AF2815</f>
        <v>0</v>
      </c>
      <c r="AH2815" s="166">
        <v>30</v>
      </c>
      <c r="AI2815" s="166">
        <v>1</v>
      </c>
      <c r="AJ2815" s="164">
        <f>($L2815*'Pivot Objective'!$C$9^7)*AH2815*AI2815</f>
        <v>6113993.7051636372</v>
      </c>
      <c r="AK2815" s="185">
        <f t="shared" si="305"/>
        <v>8857004.337963637</v>
      </c>
      <c r="AL2815" s="186">
        <f t="shared" si="306"/>
        <v>8599.0333378287742</v>
      </c>
    </row>
    <row r="2816" spans="1:38" customFormat="1" ht="57.6" x14ac:dyDescent="0.3">
      <c r="A2816" s="140" t="s">
        <v>1483</v>
      </c>
      <c r="B2816" s="140">
        <v>4</v>
      </c>
      <c r="C2816" s="166" t="s">
        <v>697</v>
      </c>
      <c r="D2816" s="140" t="str">
        <f t="shared" si="308"/>
        <v>4</v>
      </c>
      <c r="E2816" s="166" t="s">
        <v>695</v>
      </c>
      <c r="F2816" s="140">
        <f t="shared" si="310"/>
        <v>7</v>
      </c>
      <c r="G2816" s="140" t="str">
        <f t="shared" si="309"/>
        <v>4.4.7</v>
      </c>
      <c r="H2816" s="166" t="s">
        <v>1718</v>
      </c>
      <c r="I2816" s="166" t="s">
        <v>145</v>
      </c>
      <c r="J2816" s="166" t="s">
        <v>634</v>
      </c>
      <c r="K2816" s="166" t="s">
        <v>718</v>
      </c>
      <c r="L2816" s="166">
        <v>0</v>
      </c>
      <c r="M2816" s="166"/>
      <c r="N2816" s="166"/>
      <c r="O2816" s="164">
        <f t="shared" si="304"/>
        <v>0</v>
      </c>
      <c r="P2816" s="166">
        <v>20</v>
      </c>
      <c r="Q2816" s="166">
        <v>1</v>
      </c>
      <c r="R2816" s="164">
        <f>$L2816*'Pivot Objective'!$C$9*P2816*Q2816</f>
        <v>0</v>
      </c>
      <c r="S2816" s="166">
        <v>0</v>
      </c>
      <c r="T2816" s="166">
        <v>0</v>
      </c>
      <c r="U2816" s="164">
        <f>($L2816*'Pivot Objective'!$C$9^2)*S2816*T2816</f>
        <v>0</v>
      </c>
      <c r="V2816" s="166">
        <v>0</v>
      </c>
      <c r="W2816" s="166">
        <v>0</v>
      </c>
      <c r="X2816" s="164">
        <f>($L2816*'Pivot Objective'!$C$9^3)*V2816*W2816</f>
        <v>0</v>
      </c>
      <c r="Y2816" s="166">
        <v>0</v>
      </c>
      <c r="Z2816" s="166">
        <v>0</v>
      </c>
      <c r="AA2816" s="164">
        <f>($L2816*'Pivot Objective'!$C$9^4)*Y2816*Z2816</f>
        <v>0</v>
      </c>
      <c r="AB2816" s="166">
        <v>0</v>
      </c>
      <c r="AC2816" s="166">
        <v>0</v>
      </c>
      <c r="AD2816" s="164">
        <f>($L2816*'Pivot Objective'!$C$9^5)*AB2816*AC2816</f>
        <v>0</v>
      </c>
      <c r="AE2816" s="166">
        <v>0</v>
      </c>
      <c r="AF2816" s="166">
        <v>0</v>
      </c>
      <c r="AG2816" s="164">
        <f>($L2816*'Pivot Objective'!$C$9^6)*AE2816*AF2816</f>
        <v>0</v>
      </c>
      <c r="AH2816" s="166">
        <v>20</v>
      </c>
      <c r="AI2816" s="166">
        <v>1</v>
      </c>
      <c r="AJ2816" s="164">
        <f>($L2816*'Pivot Objective'!$C$9^7)*AH2816*AI2816</f>
        <v>0</v>
      </c>
      <c r="AK2816" s="185">
        <f t="shared" si="305"/>
        <v>0</v>
      </c>
      <c r="AL2816" s="186">
        <f t="shared" si="306"/>
        <v>0</v>
      </c>
    </row>
    <row r="2817" spans="1:38" customFormat="1" ht="86.4" x14ac:dyDescent="0.3">
      <c r="A2817" s="140" t="s">
        <v>1483</v>
      </c>
      <c r="B2817" s="140">
        <v>4</v>
      </c>
      <c r="C2817" s="166" t="s">
        <v>697</v>
      </c>
      <c r="D2817" s="140" t="str">
        <f t="shared" si="308"/>
        <v>4</v>
      </c>
      <c r="E2817" s="166" t="s">
        <v>695</v>
      </c>
      <c r="F2817" s="140">
        <f t="shared" si="310"/>
        <v>8</v>
      </c>
      <c r="G2817" s="140" t="str">
        <f t="shared" si="309"/>
        <v>4.4.8</v>
      </c>
      <c r="H2817" s="166" t="s">
        <v>1719</v>
      </c>
      <c r="I2817" s="166" t="s">
        <v>146</v>
      </c>
      <c r="J2817" s="166" t="s">
        <v>155</v>
      </c>
      <c r="K2817" s="166" t="s">
        <v>718</v>
      </c>
      <c r="L2817" s="166">
        <v>0</v>
      </c>
      <c r="M2817" s="166">
        <v>0</v>
      </c>
      <c r="N2817" s="166">
        <v>0</v>
      </c>
      <c r="O2817" s="164">
        <f t="shared" si="304"/>
        <v>0</v>
      </c>
      <c r="P2817" s="166">
        <v>0</v>
      </c>
      <c r="Q2817" s="166">
        <v>0</v>
      </c>
      <c r="R2817" s="164">
        <f>$L2817*'Pivot Objective'!$C$9*P2817*Q2817</f>
        <v>0</v>
      </c>
      <c r="S2817" s="166">
        <v>0</v>
      </c>
      <c r="T2817" s="166">
        <v>0</v>
      </c>
      <c r="U2817" s="164">
        <f>($L2817*'Pivot Objective'!$C$9^2)*S2817*T2817</f>
        <v>0</v>
      </c>
      <c r="V2817" s="166">
        <v>0</v>
      </c>
      <c r="W2817" s="166">
        <v>0</v>
      </c>
      <c r="X2817" s="164">
        <f>($L2817*'Pivot Objective'!$C$9^3)*V2817*W2817</f>
        <v>0</v>
      </c>
      <c r="Y2817" s="166">
        <v>0</v>
      </c>
      <c r="Z2817" s="166">
        <v>0</v>
      </c>
      <c r="AA2817" s="164">
        <f>($L2817*'Pivot Objective'!$C$9^4)*Y2817*Z2817</f>
        <v>0</v>
      </c>
      <c r="AB2817" s="166">
        <v>0</v>
      </c>
      <c r="AC2817" s="166">
        <v>0</v>
      </c>
      <c r="AD2817" s="164">
        <f>($L2817*'Pivot Objective'!$C$9^5)*AB2817*AC2817</f>
        <v>0</v>
      </c>
      <c r="AE2817" s="166">
        <v>0</v>
      </c>
      <c r="AF2817" s="166">
        <v>0</v>
      </c>
      <c r="AG2817" s="164">
        <f>($L2817*'Pivot Objective'!$C$9^6)*AE2817*AF2817</f>
        <v>0</v>
      </c>
      <c r="AH2817" s="166">
        <v>0</v>
      </c>
      <c r="AI2817" s="166">
        <v>0</v>
      </c>
      <c r="AJ2817" s="164">
        <f>($L2817*'Pivot Objective'!$C$9^7)*AH2817*AI2817</f>
        <v>0</v>
      </c>
      <c r="AK2817" s="185">
        <f t="shared" si="305"/>
        <v>0</v>
      </c>
      <c r="AL2817" s="186">
        <f t="shared" si="306"/>
        <v>0</v>
      </c>
    </row>
    <row r="2818" spans="1:38" customFormat="1" ht="86.4" x14ac:dyDescent="0.3">
      <c r="A2818" s="140" t="s">
        <v>1483</v>
      </c>
      <c r="B2818" s="140">
        <v>4</v>
      </c>
      <c r="C2818" s="166" t="s">
        <v>697</v>
      </c>
      <c r="D2818" s="140" t="str">
        <f t="shared" si="308"/>
        <v>4</v>
      </c>
      <c r="E2818" s="166" t="s">
        <v>695</v>
      </c>
      <c r="F2818" s="140">
        <f t="shared" si="310"/>
        <v>8</v>
      </c>
      <c r="G2818" s="140" t="str">
        <f t="shared" si="309"/>
        <v>4.4.8</v>
      </c>
      <c r="H2818" s="166" t="s">
        <v>1719</v>
      </c>
      <c r="I2818" s="166" t="s">
        <v>146</v>
      </c>
      <c r="J2818" s="166" t="s">
        <v>635</v>
      </c>
      <c r="K2818" s="166" t="s">
        <v>709</v>
      </c>
      <c r="L2818" s="166">
        <v>35000</v>
      </c>
      <c r="M2818" s="166">
        <v>30</v>
      </c>
      <c r="N2818" s="166">
        <v>15</v>
      </c>
      <c r="O2818" s="164">
        <f t="shared" si="304"/>
        <v>15750000</v>
      </c>
      <c r="P2818" s="166">
        <v>0</v>
      </c>
      <c r="Q2818" s="166">
        <v>0</v>
      </c>
      <c r="R2818" s="164">
        <f>$L2818*'Pivot Objective'!$C$9*P2818*Q2818</f>
        <v>0</v>
      </c>
      <c r="S2818" s="166">
        <v>0</v>
      </c>
      <c r="T2818" s="166">
        <v>0</v>
      </c>
      <c r="U2818" s="164">
        <f>($L2818*'Pivot Objective'!$C$9^2)*S2818*T2818</f>
        <v>0</v>
      </c>
      <c r="V2818" s="166">
        <v>30</v>
      </c>
      <c r="W2818" s="166">
        <v>15</v>
      </c>
      <c r="X2818" s="164">
        <f>($L2818*'Pivot Objective'!$C$9^3)*V2818*W2818</f>
        <v>23514151.186748818</v>
      </c>
      <c r="Y2818" s="166">
        <v>0</v>
      </c>
      <c r="Z2818" s="166">
        <v>0</v>
      </c>
      <c r="AA2818" s="164">
        <f>($L2818*'Pivot Objective'!$C$9^4)*Y2818*Z2818</f>
        <v>0</v>
      </c>
      <c r="AB2818" s="166">
        <v>0</v>
      </c>
      <c r="AC2818" s="166">
        <v>0</v>
      </c>
      <c r="AD2818" s="164">
        <f>($L2818*'Pivot Objective'!$C$9^5)*AB2818*AC2818</f>
        <v>0</v>
      </c>
      <c r="AE2818" s="166">
        <v>30</v>
      </c>
      <c r="AF2818" s="166">
        <v>15</v>
      </c>
      <c r="AG2818" s="164">
        <f>($L2818*'Pivot Objective'!$C$9^6)*AE2818*AF2818</f>
        <v>35105733.716398776</v>
      </c>
      <c r="AH2818" s="166">
        <v>0</v>
      </c>
      <c r="AI2818" s="166">
        <v>0</v>
      </c>
      <c r="AJ2818" s="164">
        <f>($L2818*'Pivot Objective'!$C$9^7)*AH2818*AI2818</f>
        <v>0</v>
      </c>
      <c r="AK2818" s="185">
        <f t="shared" si="305"/>
        <v>74369884.903147593</v>
      </c>
      <c r="AL2818" s="186">
        <f t="shared" si="306"/>
        <v>72203.77175062873</v>
      </c>
    </row>
    <row r="2819" spans="1:38" customFormat="1" ht="86.4" x14ac:dyDescent="0.3">
      <c r="A2819" s="140" t="s">
        <v>1483</v>
      </c>
      <c r="B2819" s="140">
        <v>4</v>
      </c>
      <c r="C2819" s="166" t="s">
        <v>697</v>
      </c>
      <c r="D2819" s="140" t="str">
        <f t="shared" si="308"/>
        <v>4</v>
      </c>
      <c r="E2819" s="166" t="s">
        <v>695</v>
      </c>
      <c r="F2819" s="140">
        <f t="shared" si="310"/>
        <v>8</v>
      </c>
      <c r="G2819" s="140" t="str">
        <f t="shared" si="309"/>
        <v>4.4.8</v>
      </c>
      <c r="H2819" s="166" t="s">
        <v>1719</v>
      </c>
      <c r="I2819" s="166" t="s">
        <v>146</v>
      </c>
      <c r="J2819" s="166" t="s">
        <v>635</v>
      </c>
      <c r="K2819" s="166" t="s">
        <v>716</v>
      </c>
      <c r="L2819" s="166">
        <v>39000</v>
      </c>
      <c r="M2819" s="166">
        <v>30</v>
      </c>
      <c r="N2819" s="166">
        <v>15</v>
      </c>
      <c r="O2819" s="164">
        <f t="shared" ref="O2819:O2859" si="311">$L2819*M2819*N2819</f>
        <v>17550000</v>
      </c>
      <c r="P2819" s="166">
        <v>0</v>
      </c>
      <c r="Q2819" s="166">
        <v>0</v>
      </c>
      <c r="R2819" s="164">
        <f>$L2819*'Pivot Objective'!$C$9*P2819*Q2819</f>
        <v>0</v>
      </c>
      <c r="S2819" s="166">
        <v>0</v>
      </c>
      <c r="T2819" s="166">
        <v>0</v>
      </c>
      <c r="U2819" s="164">
        <f>($L2819*'Pivot Objective'!$C$9^2)*S2819*T2819</f>
        <v>0</v>
      </c>
      <c r="V2819" s="166">
        <v>30</v>
      </c>
      <c r="W2819" s="166">
        <v>15</v>
      </c>
      <c r="X2819" s="164">
        <f>($L2819*'Pivot Objective'!$C$9^3)*V2819*W2819</f>
        <v>26201482.750948675</v>
      </c>
      <c r="Y2819" s="166">
        <v>0</v>
      </c>
      <c r="Z2819" s="166">
        <v>0</v>
      </c>
      <c r="AA2819" s="164">
        <f>($L2819*'Pivot Objective'!$C$9^4)*Y2819*Z2819</f>
        <v>0</v>
      </c>
      <c r="AB2819" s="166">
        <v>0</v>
      </c>
      <c r="AC2819" s="166">
        <v>0</v>
      </c>
      <c r="AD2819" s="164">
        <f>($L2819*'Pivot Objective'!$C$9^5)*AB2819*AC2819</f>
        <v>0</v>
      </c>
      <c r="AE2819" s="166">
        <v>30</v>
      </c>
      <c r="AF2819" s="166">
        <v>15</v>
      </c>
      <c r="AG2819" s="164">
        <f>($L2819*'Pivot Objective'!$C$9^6)*AE2819*AF2819</f>
        <v>39117817.569701493</v>
      </c>
      <c r="AH2819" s="166">
        <v>0</v>
      </c>
      <c r="AI2819" s="166">
        <v>0</v>
      </c>
      <c r="AJ2819" s="164">
        <f>($L2819*'Pivot Objective'!$C$9^7)*AH2819*AI2819</f>
        <v>0</v>
      </c>
      <c r="AK2819" s="185">
        <f t="shared" ref="AK2819:AK2859" si="312">O2819+R2819+U2819+X2819+AA2819+AD2819+AG2819+AJ2819</f>
        <v>82869300.32065016</v>
      </c>
      <c r="AL2819" s="186">
        <f t="shared" ref="AL2819:AL2859" si="313">AK2819/$AP$2</f>
        <v>80455.631379272003</v>
      </c>
    </row>
    <row r="2820" spans="1:38" customFormat="1" ht="86.4" x14ac:dyDescent="0.3">
      <c r="A2820" s="140" t="s">
        <v>1483</v>
      </c>
      <c r="B2820" s="140">
        <v>4</v>
      </c>
      <c r="C2820" s="166" t="s">
        <v>697</v>
      </c>
      <c r="D2820" s="140" t="str">
        <f t="shared" si="308"/>
        <v>4</v>
      </c>
      <c r="E2820" s="166" t="s">
        <v>695</v>
      </c>
      <c r="F2820" s="140">
        <f t="shared" si="310"/>
        <v>8</v>
      </c>
      <c r="G2820" s="140" t="str">
        <f t="shared" si="309"/>
        <v>4.4.8</v>
      </c>
      <c r="H2820" s="166" t="s">
        <v>1719</v>
      </c>
      <c r="I2820" s="166" t="s">
        <v>146</v>
      </c>
      <c r="J2820" s="166" t="s">
        <v>635</v>
      </c>
      <c r="K2820" s="166" t="s">
        <v>712</v>
      </c>
      <c r="L2820" s="166">
        <f>1480/7</f>
        <v>211.42857142857142</v>
      </c>
      <c r="M2820" s="166">
        <f>2*25*9</f>
        <v>450</v>
      </c>
      <c r="N2820" s="166">
        <v>15</v>
      </c>
      <c r="O2820" s="164">
        <f t="shared" si="311"/>
        <v>1427142.857142857</v>
      </c>
      <c r="P2820" s="166">
        <v>0</v>
      </c>
      <c r="Q2820" s="166">
        <v>0</v>
      </c>
      <c r="R2820" s="164">
        <f>$L2820*'Pivot Objective'!$C$9*P2820*Q2820</f>
        <v>0</v>
      </c>
      <c r="S2820" s="166">
        <v>0</v>
      </c>
      <c r="T2820" s="166">
        <v>0</v>
      </c>
      <c r="U2820" s="164">
        <f>($L2820*'Pivot Objective'!$C$9^2)*S2820*T2820</f>
        <v>0</v>
      </c>
      <c r="V2820" s="166">
        <f>2*25*9</f>
        <v>450</v>
      </c>
      <c r="W2820" s="166">
        <v>15</v>
      </c>
      <c r="X2820" s="164">
        <f>($L2820*'Pivot Objective'!$C$9^3)*V2820*W2820</f>
        <v>2130670.0259013209</v>
      </c>
      <c r="Y2820" s="166">
        <v>0</v>
      </c>
      <c r="Z2820" s="166">
        <v>0</v>
      </c>
      <c r="AA2820" s="164">
        <f>($L2820*'Pivot Objective'!$C$9^4)*Y2820*Z2820</f>
        <v>0</v>
      </c>
      <c r="AB2820" s="166">
        <v>0</v>
      </c>
      <c r="AC2820" s="166">
        <v>0</v>
      </c>
      <c r="AD2820" s="164">
        <f>($L2820*'Pivot Objective'!$C$9^5)*AB2820*AC2820</f>
        <v>0</v>
      </c>
      <c r="AE2820" s="166">
        <f>2*25*9</f>
        <v>450</v>
      </c>
      <c r="AF2820" s="166">
        <v>15</v>
      </c>
      <c r="AG2820" s="164">
        <f>($L2820*'Pivot Objective'!$C$9^6)*AE2820*AF2820</f>
        <v>3181009.3408328686</v>
      </c>
      <c r="AH2820" s="166">
        <v>0</v>
      </c>
      <c r="AI2820" s="166">
        <v>0</v>
      </c>
      <c r="AJ2820" s="164">
        <f>($L2820*'Pivot Objective'!$C$9^7)*AH2820*AI2820</f>
        <v>0</v>
      </c>
      <c r="AK2820" s="185">
        <f t="shared" si="312"/>
        <v>6738822.2238770463</v>
      </c>
      <c r="AL2820" s="186">
        <f t="shared" si="313"/>
        <v>6542.5458484243163</v>
      </c>
    </row>
    <row r="2821" spans="1:38" customFormat="1" ht="86.4" x14ac:dyDescent="0.3">
      <c r="A2821" s="140" t="s">
        <v>1483</v>
      </c>
      <c r="B2821" s="140">
        <v>4</v>
      </c>
      <c r="C2821" s="166" t="s">
        <v>697</v>
      </c>
      <c r="D2821" s="140" t="str">
        <f t="shared" si="308"/>
        <v>4</v>
      </c>
      <c r="E2821" s="166" t="s">
        <v>695</v>
      </c>
      <c r="F2821" s="140">
        <f t="shared" si="310"/>
        <v>8</v>
      </c>
      <c r="G2821" s="140" t="str">
        <f t="shared" si="309"/>
        <v>4.4.8</v>
      </c>
      <c r="H2821" s="166" t="s">
        <v>1719</v>
      </c>
      <c r="I2821" s="166" t="s">
        <v>146</v>
      </c>
      <c r="J2821" s="166" t="s">
        <v>635</v>
      </c>
      <c r="K2821" s="166" t="s">
        <v>1320</v>
      </c>
      <c r="L2821" s="166">
        <f>1480/7</f>
        <v>211.42857142857142</v>
      </c>
      <c r="M2821" s="166">
        <f>2*135*9</f>
        <v>2430</v>
      </c>
      <c r="N2821" s="166">
        <v>3</v>
      </c>
      <c r="O2821" s="164">
        <f t="shared" si="311"/>
        <v>1541314.2857142854</v>
      </c>
      <c r="P2821" s="166"/>
      <c r="Q2821" s="166"/>
      <c r="R2821" s="164">
        <f>$L2821*'Pivot Objective'!$C$9*P2821*Q2821</f>
        <v>0</v>
      </c>
      <c r="S2821" s="166"/>
      <c r="T2821" s="166"/>
      <c r="U2821" s="164">
        <f>($L2821*'Pivot Objective'!$C$9^2)*S2821*T2821</f>
        <v>0</v>
      </c>
      <c r="V2821" s="166">
        <f>2*135*9</f>
        <v>2430</v>
      </c>
      <c r="W2821" s="166">
        <v>3</v>
      </c>
      <c r="X2821" s="164">
        <f>($L2821*'Pivot Objective'!$C$9^3)*V2821*W2821</f>
        <v>2301123.6279734266</v>
      </c>
      <c r="Y2821" s="166"/>
      <c r="Z2821" s="166"/>
      <c r="AA2821" s="164">
        <f>($L2821*'Pivot Objective'!$C$9^4)*Y2821*Z2821</f>
        <v>0</v>
      </c>
      <c r="AB2821" s="166"/>
      <c r="AC2821" s="166"/>
      <c r="AD2821" s="164">
        <f>($L2821*'Pivot Objective'!$C$9^5)*AB2821*AC2821</f>
        <v>0</v>
      </c>
      <c r="AE2821" s="166">
        <f>2*135*9</f>
        <v>2430</v>
      </c>
      <c r="AF2821" s="166">
        <v>3</v>
      </c>
      <c r="AG2821" s="164">
        <f>($L2821*'Pivot Objective'!$C$9^6)*AE2821*AF2821</f>
        <v>3435490.0880994974</v>
      </c>
      <c r="AH2821" s="166"/>
      <c r="AI2821" s="166"/>
      <c r="AJ2821" s="164">
        <f>($L2821*'Pivot Objective'!$C$9^7)*AH2821*AI2821</f>
        <v>0</v>
      </c>
      <c r="AK2821" s="185">
        <f t="shared" si="312"/>
        <v>7277928.0017872099</v>
      </c>
      <c r="AL2821" s="186">
        <f t="shared" si="313"/>
        <v>7065.9495162982621</v>
      </c>
    </row>
    <row r="2822" spans="1:38" customFormat="1" ht="86.4" x14ac:dyDescent="0.3">
      <c r="A2822" s="140" t="s">
        <v>1483</v>
      </c>
      <c r="B2822" s="140">
        <v>4</v>
      </c>
      <c r="C2822" s="166" t="s">
        <v>697</v>
      </c>
      <c r="D2822" s="140" t="str">
        <f t="shared" si="308"/>
        <v>4</v>
      </c>
      <c r="E2822" s="166" t="s">
        <v>695</v>
      </c>
      <c r="F2822" s="140">
        <f t="shared" si="310"/>
        <v>8</v>
      </c>
      <c r="G2822" s="140" t="str">
        <f t="shared" si="309"/>
        <v>4.4.8</v>
      </c>
      <c r="H2822" s="166" t="s">
        <v>1719</v>
      </c>
      <c r="I2822" s="166" t="s">
        <v>146</v>
      </c>
      <c r="J2822" s="166" t="s">
        <v>636</v>
      </c>
      <c r="K2822" s="166" t="s">
        <v>718</v>
      </c>
      <c r="L2822" s="166">
        <v>0</v>
      </c>
      <c r="M2822" s="166">
        <v>0</v>
      </c>
      <c r="N2822" s="166">
        <v>0</v>
      </c>
      <c r="O2822" s="164">
        <f t="shared" si="311"/>
        <v>0</v>
      </c>
      <c r="P2822" s="166">
        <v>0</v>
      </c>
      <c r="Q2822" s="166">
        <v>0</v>
      </c>
      <c r="R2822" s="164">
        <f>$L2822*'Pivot Objective'!$C$9*P2822*Q2822</f>
        <v>0</v>
      </c>
      <c r="S2822" s="166">
        <v>0</v>
      </c>
      <c r="T2822" s="166">
        <v>0</v>
      </c>
      <c r="U2822" s="164">
        <f>($L2822*'Pivot Objective'!$C$9^2)*S2822*T2822</f>
        <v>0</v>
      </c>
      <c r="V2822" s="166">
        <v>0</v>
      </c>
      <c r="W2822" s="166">
        <v>0</v>
      </c>
      <c r="X2822" s="164">
        <f>($L2822*'Pivot Objective'!$C$9^3)*V2822*W2822</f>
        <v>0</v>
      </c>
      <c r="Y2822" s="166">
        <v>0</v>
      </c>
      <c r="Z2822" s="166">
        <v>0</v>
      </c>
      <c r="AA2822" s="164">
        <f>($L2822*'Pivot Objective'!$C$9^4)*Y2822*Z2822</f>
        <v>0</v>
      </c>
      <c r="AB2822" s="166">
        <v>0</v>
      </c>
      <c r="AC2822" s="166">
        <v>0</v>
      </c>
      <c r="AD2822" s="164">
        <f>($L2822*'Pivot Objective'!$C$9^5)*AB2822*AC2822</f>
        <v>0</v>
      </c>
      <c r="AE2822" s="166">
        <v>0</v>
      </c>
      <c r="AF2822" s="166">
        <v>0</v>
      </c>
      <c r="AG2822" s="164">
        <f>($L2822*'Pivot Objective'!$C$9^6)*AE2822*AF2822</f>
        <v>0</v>
      </c>
      <c r="AH2822" s="166">
        <v>0</v>
      </c>
      <c r="AI2822" s="166">
        <v>0</v>
      </c>
      <c r="AJ2822" s="164">
        <f>($L2822*'Pivot Objective'!$C$9^7)*AH2822*AI2822</f>
        <v>0</v>
      </c>
      <c r="AK2822" s="185">
        <f t="shared" si="312"/>
        <v>0</v>
      </c>
      <c r="AL2822" s="186">
        <f t="shared" si="313"/>
        <v>0</v>
      </c>
    </row>
    <row r="2823" spans="1:38" customFormat="1" ht="86.4" x14ac:dyDescent="0.3">
      <c r="A2823" s="140" t="s">
        <v>1483</v>
      </c>
      <c r="B2823" s="140">
        <v>4</v>
      </c>
      <c r="C2823" s="166" t="s">
        <v>697</v>
      </c>
      <c r="D2823" s="140" t="str">
        <f t="shared" si="308"/>
        <v>4</v>
      </c>
      <c r="E2823" s="166" t="s">
        <v>695</v>
      </c>
      <c r="F2823" s="140">
        <f t="shared" si="310"/>
        <v>8</v>
      </c>
      <c r="G2823" s="140" t="str">
        <f t="shared" si="309"/>
        <v>4.4.8</v>
      </c>
      <c r="H2823" s="166" t="s">
        <v>1719</v>
      </c>
      <c r="I2823" s="166" t="s">
        <v>146</v>
      </c>
      <c r="J2823" s="166" t="s">
        <v>637</v>
      </c>
      <c r="K2823" s="166" t="s">
        <v>718</v>
      </c>
      <c r="L2823" s="166">
        <v>0</v>
      </c>
      <c r="M2823" s="166">
        <v>0</v>
      </c>
      <c r="N2823" s="166">
        <v>0</v>
      </c>
      <c r="O2823" s="164">
        <f t="shared" si="311"/>
        <v>0</v>
      </c>
      <c r="P2823" s="166">
        <v>0</v>
      </c>
      <c r="Q2823" s="166">
        <v>0</v>
      </c>
      <c r="R2823" s="164">
        <f>$L2823*'Pivot Objective'!$C$9*P2823*Q2823</f>
        <v>0</v>
      </c>
      <c r="S2823" s="166">
        <v>0</v>
      </c>
      <c r="T2823" s="166">
        <v>0</v>
      </c>
      <c r="U2823" s="164">
        <f>($L2823*'Pivot Objective'!$C$9^2)*S2823*T2823</f>
        <v>0</v>
      </c>
      <c r="V2823" s="166">
        <v>0</v>
      </c>
      <c r="W2823" s="166">
        <v>0</v>
      </c>
      <c r="X2823" s="164">
        <f>($L2823*'Pivot Objective'!$C$9^3)*V2823*W2823</f>
        <v>0</v>
      </c>
      <c r="Y2823" s="166">
        <v>0</v>
      </c>
      <c r="Z2823" s="166">
        <v>0</v>
      </c>
      <c r="AA2823" s="164">
        <f>($L2823*'Pivot Objective'!$C$9^4)*Y2823*Z2823</f>
        <v>0</v>
      </c>
      <c r="AB2823" s="166">
        <v>0</v>
      </c>
      <c r="AC2823" s="166">
        <v>0</v>
      </c>
      <c r="AD2823" s="164">
        <f>($L2823*'Pivot Objective'!$C$9^5)*AB2823*AC2823</f>
        <v>0</v>
      </c>
      <c r="AE2823" s="166">
        <v>0</v>
      </c>
      <c r="AF2823" s="166">
        <v>0</v>
      </c>
      <c r="AG2823" s="164">
        <f>($L2823*'Pivot Objective'!$C$9^6)*AE2823*AF2823</f>
        <v>0</v>
      </c>
      <c r="AH2823" s="166">
        <v>0</v>
      </c>
      <c r="AI2823" s="166">
        <v>0</v>
      </c>
      <c r="AJ2823" s="164">
        <f>($L2823*'Pivot Objective'!$C$9^7)*AH2823*AI2823</f>
        <v>0</v>
      </c>
      <c r="AK2823" s="185">
        <f t="shared" si="312"/>
        <v>0</v>
      </c>
      <c r="AL2823" s="186">
        <f t="shared" si="313"/>
        <v>0</v>
      </c>
    </row>
    <row r="2824" spans="1:38" customFormat="1" ht="86.4" x14ac:dyDescent="0.3">
      <c r="A2824" s="140" t="s">
        <v>1483</v>
      </c>
      <c r="B2824" s="140">
        <v>4</v>
      </c>
      <c r="C2824" s="166" t="s">
        <v>697</v>
      </c>
      <c r="D2824" s="140" t="str">
        <f t="shared" si="308"/>
        <v>4</v>
      </c>
      <c r="E2824" s="166" t="s">
        <v>695</v>
      </c>
      <c r="F2824" s="140">
        <f t="shared" si="310"/>
        <v>8</v>
      </c>
      <c r="G2824" s="140" t="str">
        <f t="shared" si="309"/>
        <v>4.4.8</v>
      </c>
      <c r="H2824" s="166" t="s">
        <v>1719</v>
      </c>
      <c r="I2824" s="166" t="s">
        <v>147</v>
      </c>
      <c r="J2824" s="166" t="s">
        <v>155</v>
      </c>
      <c r="K2824" s="166" t="s">
        <v>718</v>
      </c>
      <c r="L2824" s="166">
        <v>0</v>
      </c>
      <c r="M2824" s="166"/>
      <c r="N2824" s="166"/>
      <c r="O2824" s="164">
        <f t="shared" si="311"/>
        <v>0</v>
      </c>
      <c r="P2824" s="166">
        <v>0</v>
      </c>
      <c r="Q2824" s="166">
        <v>0</v>
      </c>
      <c r="R2824" s="164">
        <f>$L2824*'Pivot Objective'!$C$9*P2824*Q2824</f>
        <v>0</v>
      </c>
      <c r="S2824" s="166">
        <v>0</v>
      </c>
      <c r="T2824" s="166">
        <v>0</v>
      </c>
      <c r="U2824" s="164">
        <f>($L2824*'Pivot Objective'!$C$9^2)*S2824*T2824</f>
        <v>0</v>
      </c>
      <c r="V2824" s="166">
        <v>0</v>
      </c>
      <c r="W2824" s="166">
        <v>0</v>
      </c>
      <c r="X2824" s="164">
        <f>($L2824*'Pivot Objective'!$C$9^3)*V2824*W2824</f>
        <v>0</v>
      </c>
      <c r="Y2824" s="166">
        <v>0</v>
      </c>
      <c r="Z2824" s="166">
        <v>0</v>
      </c>
      <c r="AA2824" s="164">
        <f>($L2824*'Pivot Objective'!$C$9^4)*Y2824*Z2824</f>
        <v>0</v>
      </c>
      <c r="AB2824" s="166">
        <v>0</v>
      </c>
      <c r="AC2824" s="166">
        <v>0</v>
      </c>
      <c r="AD2824" s="164">
        <f>($L2824*'Pivot Objective'!$C$9^5)*AB2824*AC2824</f>
        <v>0</v>
      </c>
      <c r="AE2824" s="166">
        <v>0</v>
      </c>
      <c r="AF2824" s="166">
        <v>0</v>
      </c>
      <c r="AG2824" s="164">
        <f>($L2824*'Pivot Objective'!$C$9^6)*AE2824*AF2824</f>
        <v>0</v>
      </c>
      <c r="AH2824" s="166">
        <v>0</v>
      </c>
      <c r="AI2824" s="166">
        <v>0</v>
      </c>
      <c r="AJ2824" s="164">
        <f>($L2824*'Pivot Objective'!$C$9^7)*AH2824*AI2824</f>
        <v>0</v>
      </c>
      <c r="AK2824" s="185">
        <f t="shared" si="312"/>
        <v>0</v>
      </c>
      <c r="AL2824" s="186">
        <f t="shared" si="313"/>
        <v>0</v>
      </c>
    </row>
    <row r="2825" spans="1:38" customFormat="1" ht="86.4" x14ac:dyDescent="0.3">
      <c r="A2825" s="140" t="s">
        <v>1483</v>
      </c>
      <c r="B2825" s="140">
        <v>4</v>
      </c>
      <c r="C2825" s="166" t="s">
        <v>697</v>
      </c>
      <c r="D2825" s="140" t="str">
        <f t="shared" si="308"/>
        <v>4</v>
      </c>
      <c r="E2825" s="166" t="s">
        <v>695</v>
      </c>
      <c r="F2825" s="140">
        <f t="shared" si="310"/>
        <v>8</v>
      </c>
      <c r="G2825" s="140" t="str">
        <f t="shared" si="309"/>
        <v>4.4.8</v>
      </c>
      <c r="H2825" s="166" t="s">
        <v>1719</v>
      </c>
      <c r="I2825" s="166" t="s">
        <v>147</v>
      </c>
      <c r="J2825" s="166" t="s">
        <v>158</v>
      </c>
      <c r="K2825" s="166" t="s">
        <v>718</v>
      </c>
      <c r="L2825" s="166">
        <v>0</v>
      </c>
      <c r="M2825" s="166"/>
      <c r="N2825" s="166"/>
      <c r="O2825" s="164">
        <f t="shared" si="311"/>
        <v>0</v>
      </c>
      <c r="P2825" s="166">
        <v>0</v>
      </c>
      <c r="Q2825" s="166">
        <v>0</v>
      </c>
      <c r="R2825" s="164">
        <f>$L2825*'Pivot Objective'!$C$9*P2825*Q2825</f>
        <v>0</v>
      </c>
      <c r="S2825" s="166">
        <v>0</v>
      </c>
      <c r="T2825" s="166">
        <v>0</v>
      </c>
      <c r="U2825" s="164">
        <f>($L2825*'Pivot Objective'!$C$9^2)*S2825*T2825</f>
        <v>0</v>
      </c>
      <c r="V2825" s="166">
        <v>0</v>
      </c>
      <c r="W2825" s="166">
        <v>0</v>
      </c>
      <c r="X2825" s="164">
        <f>($L2825*'Pivot Objective'!$C$9^3)*V2825*W2825</f>
        <v>0</v>
      </c>
      <c r="Y2825" s="166">
        <v>0</v>
      </c>
      <c r="Z2825" s="166">
        <v>0</v>
      </c>
      <c r="AA2825" s="164">
        <f>($L2825*'Pivot Objective'!$C$9^4)*Y2825*Z2825</f>
        <v>0</v>
      </c>
      <c r="AB2825" s="166">
        <v>0</v>
      </c>
      <c r="AC2825" s="166">
        <v>0</v>
      </c>
      <c r="AD2825" s="164">
        <f>($L2825*'Pivot Objective'!$C$9^5)*AB2825*AC2825</f>
        <v>0</v>
      </c>
      <c r="AE2825" s="166">
        <v>0</v>
      </c>
      <c r="AF2825" s="166">
        <v>0</v>
      </c>
      <c r="AG2825" s="164">
        <f>($L2825*'Pivot Objective'!$C$9^6)*AE2825*AF2825</f>
        <v>0</v>
      </c>
      <c r="AH2825" s="166">
        <v>0</v>
      </c>
      <c r="AI2825" s="166">
        <v>0</v>
      </c>
      <c r="AJ2825" s="164">
        <f>($L2825*'Pivot Objective'!$C$9^7)*AH2825*AI2825</f>
        <v>0</v>
      </c>
      <c r="AK2825" s="185">
        <f t="shared" si="312"/>
        <v>0</v>
      </c>
      <c r="AL2825" s="186">
        <f t="shared" si="313"/>
        <v>0</v>
      </c>
    </row>
    <row r="2826" spans="1:38" customFormat="1" ht="86.4" x14ac:dyDescent="0.3">
      <c r="A2826" s="140" t="s">
        <v>1483</v>
      </c>
      <c r="B2826" s="140">
        <v>4</v>
      </c>
      <c r="C2826" s="166" t="s">
        <v>697</v>
      </c>
      <c r="D2826" s="140" t="str">
        <f t="shared" si="308"/>
        <v>4</v>
      </c>
      <c r="E2826" s="166" t="s">
        <v>695</v>
      </c>
      <c r="F2826" s="140">
        <f t="shared" si="310"/>
        <v>8</v>
      </c>
      <c r="G2826" s="140" t="str">
        <f t="shared" si="309"/>
        <v>4.4.8</v>
      </c>
      <c r="H2826" s="166" t="s">
        <v>1719</v>
      </c>
      <c r="I2826" s="166" t="s">
        <v>147</v>
      </c>
      <c r="J2826" s="166" t="s">
        <v>638</v>
      </c>
      <c r="K2826" s="166" t="s">
        <v>709</v>
      </c>
      <c r="L2826" s="166">
        <v>35000</v>
      </c>
      <c r="M2826" s="166"/>
      <c r="N2826" s="166"/>
      <c r="O2826" s="164">
        <f t="shared" si="311"/>
        <v>0</v>
      </c>
      <c r="P2826" s="166">
        <v>30</v>
      </c>
      <c r="Q2826" s="166">
        <v>15</v>
      </c>
      <c r="R2826" s="164">
        <f>$L2826*'Pivot Objective'!$C$9*P2826*Q2826</f>
        <v>18001007.277749997</v>
      </c>
      <c r="S2826" s="166">
        <v>0</v>
      </c>
      <c r="T2826" s="166">
        <v>0</v>
      </c>
      <c r="U2826" s="164">
        <f>($L2826*'Pivot Objective'!$C$9^2)*S2826*T2826</f>
        <v>0</v>
      </c>
      <c r="V2826" s="166">
        <v>0</v>
      </c>
      <c r="W2826" s="166">
        <v>0</v>
      </c>
      <c r="X2826" s="164">
        <f>($L2826*'Pivot Objective'!$C$9^3)*V2826*W2826</f>
        <v>0</v>
      </c>
      <c r="Y2826" s="166">
        <v>0</v>
      </c>
      <c r="Z2826" s="166">
        <v>0</v>
      </c>
      <c r="AA2826" s="164">
        <f>($L2826*'Pivot Objective'!$C$9^4)*Y2826*Z2826</f>
        <v>0</v>
      </c>
      <c r="AB2826" s="166">
        <v>0</v>
      </c>
      <c r="AC2826" s="166">
        <v>0</v>
      </c>
      <c r="AD2826" s="164">
        <f>($L2826*'Pivot Objective'!$C$9^5)*AB2826*AC2826</f>
        <v>0</v>
      </c>
      <c r="AE2826" s="166">
        <v>0</v>
      </c>
      <c r="AF2826" s="166">
        <v>0</v>
      </c>
      <c r="AG2826" s="164">
        <f>($L2826*'Pivot Objective'!$C$9^6)*AE2826*AF2826</f>
        <v>0</v>
      </c>
      <c r="AH2826" s="166">
        <v>30</v>
      </c>
      <c r="AI2826" s="166">
        <v>15</v>
      </c>
      <c r="AJ2826" s="164">
        <f>($L2826*'Pivot Objective'!$C$9^7)*AH2826*AI2826</f>
        <v>40123083.690136373</v>
      </c>
      <c r="AK2826" s="185">
        <f t="shared" si="312"/>
        <v>58124090.967886373</v>
      </c>
      <c r="AL2826" s="186">
        <f t="shared" si="313"/>
        <v>56431.156279501331</v>
      </c>
    </row>
    <row r="2827" spans="1:38" customFormat="1" ht="86.4" x14ac:dyDescent="0.3">
      <c r="A2827" s="140" t="s">
        <v>1483</v>
      </c>
      <c r="B2827" s="140">
        <v>4</v>
      </c>
      <c r="C2827" s="166" t="s">
        <v>697</v>
      </c>
      <c r="D2827" s="140" t="str">
        <f t="shared" si="308"/>
        <v>4</v>
      </c>
      <c r="E2827" s="166" t="s">
        <v>695</v>
      </c>
      <c r="F2827" s="140">
        <f t="shared" si="310"/>
        <v>8</v>
      </c>
      <c r="G2827" s="140" t="str">
        <f t="shared" si="309"/>
        <v>4.4.8</v>
      </c>
      <c r="H2827" s="166" t="s">
        <v>1719</v>
      </c>
      <c r="I2827" s="166" t="s">
        <v>147</v>
      </c>
      <c r="J2827" s="166" t="s">
        <v>638</v>
      </c>
      <c r="K2827" s="166" t="s">
        <v>716</v>
      </c>
      <c r="L2827" s="166">
        <v>39000</v>
      </c>
      <c r="M2827" s="166"/>
      <c r="N2827" s="166"/>
      <c r="O2827" s="164">
        <f t="shared" si="311"/>
        <v>0</v>
      </c>
      <c r="P2827" s="166">
        <v>30</v>
      </c>
      <c r="Q2827" s="166">
        <v>15</v>
      </c>
      <c r="R2827" s="164">
        <f>$L2827*'Pivot Objective'!$C$9*P2827*Q2827</f>
        <v>20058265.252349995</v>
      </c>
      <c r="S2827" s="166">
        <v>0</v>
      </c>
      <c r="T2827" s="166">
        <v>0</v>
      </c>
      <c r="U2827" s="164">
        <f>($L2827*'Pivot Objective'!$C$9^2)*S2827*T2827</f>
        <v>0</v>
      </c>
      <c r="V2827" s="166">
        <v>0</v>
      </c>
      <c r="W2827" s="166">
        <v>0</v>
      </c>
      <c r="X2827" s="164">
        <f>($L2827*'Pivot Objective'!$C$9^3)*V2827*W2827</f>
        <v>0</v>
      </c>
      <c r="Y2827" s="166">
        <v>0</v>
      </c>
      <c r="Z2827" s="166">
        <v>0</v>
      </c>
      <c r="AA2827" s="164">
        <f>($L2827*'Pivot Objective'!$C$9^4)*Y2827*Z2827</f>
        <v>0</v>
      </c>
      <c r="AB2827" s="166">
        <v>0</v>
      </c>
      <c r="AC2827" s="166">
        <v>0</v>
      </c>
      <c r="AD2827" s="164">
        <f>($L2827*'Pivot Objective'!$C$9^5)*AB2827*AC2827</f>
        <v>0</v>
      </c>
      <c r="AE2827" s="166">
        <v>0</v>
      </c>
      <c r="AF2827" s="166">
        <v>0</v>
      </c>
      <c r="AG2827" s="164">
        <f>($L2827*'Pivot Objective'!$C$9^6)*AE2827*AF2827</f>
        <v>0</v>
      </c>
      <c r="AH2827" s="166">
        <v>30</v>
      </c>
      <c r="AI2827" s="166">
        <v>15</v>
      </c>
      <c r="AJ2827" s="164">
        <f>($L2827*'Pivot Objective'!$C$9^7)*AH2827*AI2827</f>
        <v>44708578.969009094</v>
      </c>
      <c r="AK2827" s="185">
        <f t="shared" si="312"/>
        <v>64766844.221359089</v>
      </c>
      <c r="AL2827" s="186">
        <f t="shared" si="313"/>
        <v>62880.431282872902</v>
      </c>
    </row>
    <row r="2828" spans="1:38" customFormat="1" ht="86.4" x14ac:dyDescent="0.3">
      <c r="A2828" s="140" t="s">
        <v>1483</v>
      </c>
      <c r="B2828" s="140">
        <v>4</v>
      </c>
      <c r="C2828" s="166" t="s">
        <v>697</v>
      </c>
      <c r="D2828" s="140" t="str">
        <f t="shared" si="308"/>
        <v>4</v>
      </c>
      <c r="E2828" s="166" t="s">
        <v>695</v>
      </c>
      <c r="F2828" s="140">
        <f t="shared" si="310"/>
        <v>8</v>
      </c>
      <c r="G2828" s="140" t="str">
        <f t="shared" si="309"/>
        <v>4.4.8</v>
      </c>
      <c r="H2828" s="166" t="s">
        <v>1719</v>
      </c>
      <c r="I2828" s="166" t="s">
        <v>147</v>
      </c>
      <c r="J2828" s="166" t="s">
        <v>638</v>
      </c>
      <c r="K2828" s="166" t="s">
        <v>712</v>
      </c>
      <c r="L2828" s="166">
        <f>1480/7</f>
        <v>211.42857142857142</v>
      </c>
      <c r="M2828" s="166"/>
      <c r="N2828" s="166"/>
      <c r="O2828" s="164">
        <f t="shared" si="311"/>
        <v>0</v>
      </c>
      <c r="P2828" s="166">
        <f>25*2*9</f>
        <v>450</v>
      </c>
      <c r="Q2828" s="166">
        <v>15</v>
      </c>
      <c r="R2828" s="164">
        <f>$L2828*'Pivot Objective'!$C$9*P2828*Q2828</f>
        <v>1631111.6798614284</v>
      </c>
      <c r="S2828" s="166">
        <v>0</v>
      </c>
      <c r="T2828" s="166">
        <v>0</v>
      </c>
      <c r="U2828" s="164">
        <f>($L2828*'Pivot Objective'!$C$9^2)*S2828*T2828</f>
        <v>0</v>
      </c>
      <c r="V2828" s="166">
        <v>0</v>
      </c>
      <c r="W2828" s="166">
        <v>0</v>
      </c>
      <c r="X2828" s="164">
        <f>($L2828*'Pivot Objective'!$C$9^3)*V2828*W2828</f>
        <v>0</v>
      </c>
      <c r="Y2828" s="166">
        <v>0</v>
      </c>
      <c r="Z2828" s="166">
        <v>0</v>
      </c>
      <c r="AA2828" s="164">
        <f>($L2828*'Pivot Objective'!$C$9^4)*Y2828*Z2828</f>
        <v>0</v>
      </c>
      <c r="AB2828" s="166">
        <v>0</v>
      </c>
      <c r="AC2828" s="166">
        <v>0</v>
      </c>
      <c r="AD2828" s="164">
        <f>($L2828*'Pivot Objective'!$C$9^5)*AB2828*AC2828</f>
        <v>0</v>
      </c>
      <c r="AE2828" s="166">
        <v>0</v>
      </c>
      <c r="AF2828" s="166">
        <v>0</v>
      </c>
      <c r="AG2828" s="164">
        <f>($L2828*'Pivot Objective'!$C$9^6)*AE2828*AF2828</f>
        <v>0</v>
      </c>
      <c r="AH2828" s="166">
        <f>25*2*9</f>
        <v>450</v>
      </c>
      <c r="AI2828" s="166">
        <v>15</v>
      </c>
      <c r="AJ2828" s="164">
        <f>($L2828*'Pivot Objective'!$C$9^7)*AH2828*AI2828</f>
        <v>3635642.6853919486</v>
      </c>
      <c r="AK2828" s="185">
        <f t="shared" si="312"/>
        <v>5266754.3652533768</v>
      </c>
      <c r="AL2828" s="186">
        <f t="shared" si="313"/>
        <v>5113.3537526731816</v>
      </c>
    </row>
    <row r="2829" spans="1:38" customFormat="1" ht="86.4" x14ac:dyDescent="0.3">
      <c r="A2829" s="140" t="s">
        <v>1483</v>
      </c>
      <c r="B2829" s="140">
        <v>4</v>
      </c>
      <c r="C2829" s="166" t="s">
        <v>697</v>
      </c>
      <c r="D2829" s="140" t="str">
        <f t="shared" si="308"/>
        <v>4</v>
      </c>
      <c r="E2829" s="166" t="s">
        <v>695</v>
      </c>
      <c r="F2829" s="140">
        <f t="shared" si="310"/>
        <v>8</v>
      </c>
      <c r="G2829" s="140" t="str">
        <f t="shared" si="309"/>
        <v>4.4.8</v>
      </c>
      <c r="H2829" s="166" t="s">
        <v>1719</v>
      </c>
      <c r="I2829" s="166" t="s">
        <v>147</v>
      </c>
      <c r="J2829" s="166" t="s">
        <v>638</v>
      </c>
      <c r="K2829" s="166" t="s">
        <v>1320</v>
      </c>
      <c r="L2829" s="166">
        <f>1480/7</f>
        <v>211.42857142857142</v>
      </c>
      <c r="M2829" s="166"/>
      <c r="N2829" s="166"/>
      <c r="O2829" s="164">
        <f t="shared" si="311"/>
        <v>0</v>
      </c>
      <c r="P2829" s="166">
        <f>2*135*9</f>
        <v>2430</v>
      </c>
      <c r="Q2829" s="166">
        <v>3</v>
      </c>
      <c r="R2829" s="164">
        <f>$L2829*'Pivot Objective'!$C$9*P2829*Q2829</f>
        <v>1761600.6142503428</v>
      </c>
      <c r="S2829" s="166"/>
      <c r="T2829" s="166"/>
      <c r="U2829" s="164">
        <f>($L2829*'Pivot Objective'!$C$9^2)*S2829*T2829</f>
        <v>0</v>
      </c>
      <c r="V2829" s="166"/>
      <c r="W2829" s="166"/>
      <c r="X2829" s="164">
        <f>($L2829*'Pivot Objective'!$C$9^3)*V2829*W2829</f>
        <v>0</v>
      </c>
      <c r="Y2829" s="166"/>
      <c r="Z2829" s="166"/>
      <c r="AA2829" s="164">
        <f>($L2829*'Pivot Objective'!$C$9^4)*Y2829*Z2829</f>
        <v>0</v>
      </c>
      <c r="AB2829" s="166"/>
      <c r="AC2829" s="166"/>
      <c r="AD2829" s="164">
        <f>($L2829*'Pivot Objective'!$C$9^5)*AB2829*AC2829</f>
        <v>0</v>
      </c>
      <c r="AE2829" s="166"/>
      <c r="AF2829" s="166"/>
      <c r="AG2829" s="164">
        <f>($L2829*'Pivot Objective'!$C$9^6)*AE2829*AF2829</f>
        <v>0</v>
      </c>
      <c r="AH2829" s="166">
        <f>2*135*9</f>
        <v>2430</v>
      </c>
      <c r="AI2829" s="166">
        <v>3</v>
      </c>
      <c r="AJ2829" s="164">
        <f>($L2829*'Pivot Objective'!$C$9^7)*AH2829*AI2829</f>
        <v>3926494.1002233047</v>
      </c>
      <c r="AK2829" s="185">
        <f t="shared" si="312"/>
        <v>5688094.714473648</v>
      </c>
      <c r="AL2829" s="186">
        <f t="shared" si="313"/>
        <v>5522.4220528870364</v>
      </c>
    </row>
    <row r="2830" spans="1:38" customFormat="1" ht="86.4" x14ac:dyDescent="0.3">
      <c r="A2830" s="140" t="s">
        <v>1483</v>
      </c>
      <c r="B2830" s="140">
        <v>4</v>
      </c>
      <c r="C2830" s="166" t="s">
        <v>697</v>
      </c>
      <c r="D2830" s="140" t="str">
        <f t="shared" si="308"/>
        <v>4</v>
      </c>
      <c r="E2830" s="166" t="s">
        <v>695</v>
      </c>
      <c r="F2830" s="140">
        <f t="shared" si="310"/>
        <v>8</v>
      </c>
      <c r="G2830" s="140" t="str">
        <f t="shared" si="309"/>
        <v>4.4.8</v>
      </c>
      <c r="H2830" s="166" t="s">
        <v>1719</v>
      </c>
      <c r="I2830" s="166" t="s">
        <v>147</v>
      </c>
      <c r="J2830" s="166" t="s">
        <v>265</v>
      </c>
      <c r="K2830" s="166" t="s">
        <v>709</v>
      </c>
      <c r="L2830" s="166">
        <v>35000</v>
      </c>
      <c r="M2830" s="166"/>
      <c r="N2830" s="166"/>
      <c r="O2830" s="164">
        <f t="shared" si="311"/>
        <v>0</v>
      </c>
      <c r="P2830" s="166">
        <v>25</v>
      </c>
      <c r="Q2830" s="166">
        <v>1</v>
      </c>
      <c r="R2830" s="164">
        <f>$L2830*'Pivot Objective'!$C$9*P2830*Q2830</f>
        <v>1000055.9598749998</v>
      </c>
      <c r="S2830" s="166">
        <v>0</v>
      </c>
      <c r="T2830" s="166">
        <v>0</v>
      </c>
      <c r="U2830" s="164">
        <f>($L2830*'Pivot Objective'!$C$9^2)*S2830*T2830</f>
        <v>0</v>
      </c>
      <c r="V2830" s="166">
        <v>0</v>
      </c>
      <c r="W2830" s="166">
        <v>0</v>
      </c>
      <c r="X2830" s="164">
        <f>($L2830*'Pivot Objective'!$C$9^3)*V2830*W2830</f>
        <v>0</v>
      </c>
      <c r="Y2830" s="166">
        <v>0</v>
      </c>
      <c r="Z2830" s="166">
        <v>0</v>
      </c>
      <c r="AA2830" s="164">
        <f>($L2830*'Pivot Objective'!$C$9^4)*Y2830*Z2830</f>
        <v>0</v>
      </c>
      <c r="AB2830" s="166">
        <v>0</v>
      </c>
      <c r="AC2830" s="166">
        <v>0</v>
      </c>
      <c r="AD2830" s="164">
        <f>($L2830*'Pivot Objective'!$C$9^5)*AB2830*AC2830</f>
        <v>0</v>
      </c>
      <c r="AE2830" s="166">
        <v>0</v>
      </c>
      <c r="AF2830" s="166">
        <v>0</v>
      </c>
      <c r="AG2830" s="164">
        <f>($L2830*'Pivot Objective'!$C$9^6)*AE2830*AF2830</f>
        <v>0</v>
      </c>
      <c r="AH2830" s="166">
        <v>25</v>
      </c>
      <c r="AI2830" s="166">
        <v>1</v>
      </c>
      <c r="AJ2830" s="164">
        <f>($L2830*'Pivot Objective'!$C$9^7)*AH2830*AI2830</f>
        <v>2229060.2050075764</v>
      </c>
      <c r="AK2830" s="185">
        <f t="shared" si="312"/>
        <v>3229116.1648825761</v>
      </c>
      <c r="AL2830" s="186">
        <f t="shared" si="313"/>
        <v>3135.064237750074</v>
      </c>
    </row>
    <row r="2831" spans="1:38" customFormat="1" ht="86.4" x14ac:dyDescent="0.3">
      <c r="A2831" s="140" t="s">
        <v>1483</v>
      </c>
      <c r="B2831" s="140">
        <v>4</v>
      </c>
      <c r="C2831" s="166" t="s">
        <v>697</v>
      </c>
      <c r="D2831" s="140" t="str">
        <f t="shared" si="308"/>
        <v>4</v>
      </c>
      <c r="E2831" s="166" t="s">
        <v>695</v>
      </c>
      <c r="F2831" s="140">
        <f t="shared" si="310"/>
        <v>8</v>
      </c>
      <c r="G2831" s="140" t="str">
        <f t="shared" si="309"/>
        <v>4.4.8</v>
      </c>
      <c r="H2831" s="166" t="s">
        <v>1719</v>
      </c>
      <c r="I2831" s="166" t="s">
        <v>147</v>
      </c>
      <c r="J2831" s="166" t="s">
        <v>562</v>
      </c>
      <c r="K2831" s="166" t="s">
        <v>718</v>
      </c>
      <c r="L2831" s="166">
        <v>0</v>
      </c>
      <c r="M2831" s="166"/>
      <c r="N2831" s="166"/>
      <c r="O2831" s="164">
        <f t="shared" si="311"/>
        <v>0</v>
      </c>
      <c r="P2831" s="166">
        <v>25</v>
      </c>
      <c r="Q2831" s="166">
        <v>1</v>
      </c>
      <c r="R2831" s="164">
        <f>$L2831*'Pivot Objective'!$C$9*P2831*Q2831</f>
        <v>0</v>
      </c>
      <c r="S2831" s="166">
        <v>0</v>
      </c>
      <c r="T2831" s="166">
        <v>0</v>
      </c>
      <c r="U2831" s="164">
        <f>($L2831*'Pivot Objective'!$C$9^2)*S2831*T2831</f>
        <v>0</v>
      </c>
      <c r="V2831" s="166">
        <v>0</v>
      </c>
      <c r="W2831" s="166">
        <v>0</v>
      </c>
      <c r="X2831" s="164">
        <f>($L2831*'Pivot Objective'!$C$9^3)*V2831*W2831</f>
        <v>0</v>
      </c>
      <c r="Y2831" s="166">
        <v>0</v>
      </c>
      <c r="Z2831" s="166">
        <v>0</v>
      </c>
      <c r="AA2831" s="164">
        <f>($L2831*'Pivot Objective'!$C$9^4)*Y2831*Z2831</f>
        <v>0</v>
      </c>
      <c r="AB2831" s="166">
        <v>0</v>
      </c>
      <c r="AC2831" s="166">
        <v>0</v>
      </c>
      <c r="AD2831" s="164">
        <f>($L2831*'Pivot Objective'!$C$9^5)*AB2831*AC2831</f>
        <v>0</v>
      </c>
      <c r="AE2831" s="166">
        <v>0</v>
      </c>
      <c r="AF2831" s="166">
        <v>0</v>
      </c>
      <c r="AG2831" s="164">
        <f>($L2831*'Pivot Objective'!$C$9^6)*AE2831*AF2831</f>
        <v>0</v>
      </c>
      <c r="AH2831" s="166">
        <v>25</v>
      </c>
      <c r="AI2831" s="166">
        <v>1</v>
      </c>
      <c r="AJ2831" s="164">
        <f>($L2831*'Pivot Objective'!$C$9^7)*AH2831*AI2831</f>
        <v>0</v>
      </c>
      <c r="AK2831" s="185">
        <f t="shared" si="312"/>
        <v>0</v>
      </c>
      <c r="AL2831" s="186">
        <f t="shared" si="313"/>
        <v>0</v>
      </c>
    </row>
    <row r="2832" spans="1:38" customFormat="1" ht="86.4" x14ac:dyDescent="0.3">
      <c r="A2832" s="140" t="s">
        <v>1483</v>
      </c>
      <c r="B2832" s="140">
        <v>4</v>
      </c>
      <c r="C2832" s="166" t="s">
        <v>697</v>
      </c>
      <c r="D2832" s="140" t="str">
        <f t="shared" si="308"/>
        <v>4</v>
      </c>
      <c r="E2832" s="166" t="s">
        <v>695</v>
      </c>
      <c r="F2832" s="140">
        <f t="shared" si="310"/>
        <v>8</v>
      </c>
      <c r="G2832" s="140" t="str">
        <f t="shared" si="309"/>
        <v>4.4.8</v>
      </c>
      <c r="H2832" s="166" t="s">
        <v>1719</v>
      </c>
      <c r="I2832" s="166" t="s">
        <v>147</v>
      </c>
      <c r="J2832" s="166" t="s">
        <v>156</v>
      </c>
      <c r="K2832" s="166" t="s">
        <v>709</v>
      </c>
      <c r="L2832" s="166">
        <v>35000</v>
      </c>
      <c r="M2832" s="166"/>
      <c r="N2832" s="166"/>
      <c r="O2832" s="164">
        <f t="shared" si="311"/>
        <v>0</v>
      </c>
      <c r="P2832" s="166">
        <v>100</v>
      </c>
      <c r="Q2832" s="166">
        <v>1</v>
      </c>
      <c r="R2832" s="164">
        <f>$L2832*'Pivot Objective'!$C$9*P2832*Q2832</f>
        <v>4000223.8394999993</v>
      </c>
      <c r="S2832" s="166">
        <v>0</v>
      </c>
      <c r="T2832" s="166">
        <v>0</v>
      </c>
      <c r="U2832" s="164">
        <f>($L2832*'Pivot Objective'!$C$9^2)*S2832*T2832</f>
        <v>0</v>
      </c>
      <c r="V2832" s="166">
        <v>0</v>
      </c>
      <c r="W2832" s="166">
        <v>0</v>
      </c>
      <c r="X2832" s="164">
        <f>($L2832*'Pivot Objective'!$C$9^3)*V2832*W2832</f>
        <v>0</v>
      </c>
      <c r="Y2832" s="166">
        <v>0</v>
      </c>
      <c r="Z2832" s="166">
        <v>0</v>
      </c>
      <c r="AA2832" s="164">
        <f>($L2832*'Pivot Objective'!$C$9^4)*Y2832*Z2832</f>
        <v>0</v>
      </c>
      <c r="AB2832" s="166">
        <v>0</v>
      </c>
      <c r="AC2832" s="166">
        <v>0</v>
      </c>
      <c r="AD2832" s="164">
        <f>($L2832*'Pivot Objective'!$C$9^5)*AB2832*AC2832</f>
        <v>0</v>
      </c>
      <c r="AE2832" s="166">
        <v>0</v>
      </c>
      <c r="AF2832" s="166">
        <v>0</v>
      </c>
      <c r="AG2832" s="164">
        <f>($L2832*'Pivot Objective'!$C$9^6)*AE2832*AF2832</f>
        <v>0</v>
      </c>
      <c r="AH2832" s="166">
        <v>100</v>
      </c>
      <c r="AI2832" s="166">
        <v>1</v>
      </c>
      <c r="AJ2832" s="164">
        <f>($L2832*'Pivot Objective'!$C$9^7)*AH2832*AI2832</f>
        <v>8916240.8200303055</v>
      </c>
      <c r="AK2832" s="185">
        <f t="shared" si="312"/>
        <v>12916464.659530304</v>
      </c>
      <c r="AL2832" s="186">
        <f t="shared" si="313"/>
        <v>12540.256951000296</v>
      </c>
    </row>
    <row r="2833" spans="1:38" customFormat="1" ht="86.4" x14ac:dyDescent="0.3">
      <c r="A2833" s="140" t="s">
        <v>1483</v>
      </c>
      <c r="B2833" s="140">
        <v>4</v>
      </c>
      <c r="C2833" s="166" t="s">
        <v>697</v>
      </c>
      <c r="D2833" s="140" t="str">
        <f t="shared" si="308"/>
        <v>4</v>
      </c>
      <c r="E2833" s="166" t="s">
        <v>695</v>
      </c>
      <c r="F2833" s="140">
        <f t="shared" si="310"/>
        <v>8</v>
      </c>
      <c r="G2833" s="140" t="str">
        <f t="shared" si="309"/>
        <v>4.4.8</v>
      </c>
      <c r="H2833" s="166" t="s">
        <v>1719</v>
      </c>
      <c r="I2833" s="166" t="s">
        <v>147</v>
      </c>
      <c r="J2833" s="166" t="s">
        <v>156</v>
      </c>
      <c r="K2833" s="166" t="s">
        <v>1297</v>
      </c>
      <c r="L2833" s="166">
        <v>8000</v>
      </c>
      <c r="M2833" s="166"/>
      <c r="N2833" s="166"/>
      <c r="O2833" s="164">
        <f t="shared" si="311"/>
        <v>0</v>
      </c>
      <c r="P2833" s="166">
        <v>10</v>
      </c>
      <c r="Q2833" s="166">
        <v>1</v>
      </c>
      <c r="R2833" s="164">
        <f>$L2833*'Pivot Objective'!$C$9*P2833*Q2833</f>
        <v>91433.687760000001</v>
      </c>
      <c r="S2833" s="166">
        <v>0</v>
      </c>
      <c r="T2833" s="166">
        <v>0</v>
      </c>
      <c r="U2833" s="164">
        <f>($L2833*'Pivot Objective'!$C$9^2)*S2833*T2833</f>
        <v>0</v>
      </c>
      <c r="V2833" s="166">
        <v>0</v>
      </c>
      <c r="W2833" s="166">
        <v>0</v>
      </c>
      <c r="X2833" s="164">
        <f>($L2833*'Pivot Objective'!$C$9^3)*V2833*W2833</f>
        <v>0</v>
      </c>
      <c r="Y2833" s="166">
        <v>0</v>
      </c>
      <c r="Z2833" s="166">
        <v>0</v>
      </c>
      <c r="AA2833" s="164">
        <f>($L2833*'Pivot Objective'!$C$9^4)*Y2833*Z2833</f>
        <v>0</v>
      </c>
      <c r="AB2833" s="166">
        <v>0</v>
      </c>
      <c r="AC2833" s="166">
        <v>0</v>
      </c>
      <c r="AD2833" s="164">
        <f>($L2833*'Pivot Objective'!$C$9^5)*AB2833*AC2833</f>
        <v>0</v>
      </c>
      <c r="AE2833" s="166">
        <v>0</v>
      </c>
      <c r="AF2833" s="166">
        <v>0</v>
      </c>
      <c r="AG2833" s="164">
        <f>($L2833*'Pivot Objective'!$C$9^6)*AE2833*AF2833</f>
        <v>0</v>
      </c>
      <c r="AH2833" s="166">
        <v>10</v>
      </c>
      <c r="AI2833" s="166">
        <v>1</v>
      </c>
      <c r="AJ2833" s="164">
        <f>($L2833*'Pivot Objective'!$C$9^7)*AH2833*AI2833</f>
        <v>203799.79017212125</v>
      </c>
      <c r="AK2833" s="185">
        <f t="shared" si="312"/>
        <v>295233.47793212126</v>
      </c>
      <c r="AL2833" s="186">
        <f t="shared" si="313"/>
        <v>286.63444459429246</v>
      </c>
    </row>
    <row r="2834" spans="1:38" customFormat="1" ht="86.4" x14ac:dyDescent="0.3">
      <c r="A2834" s="140" t="s">
        <v>1483</v>
      </c>
      <c r="B2834" s="140">
        <v>4</v>
      </c>
      <c r="C2834" s="166" t="s">
        <v>697</v>
      </c>
      <c r="D2834" s="140" t="str">
        <f t="shared" si="308"/>
        <v>4</v>
      </c>
      <c r="E2834" s="166" t="s">
        <v>695</v>
      </c>
      <c r="F2834" s="140">
        <f t="shared" si="310"/>
        <v>8</v>
      </c>
      <c r="G2834" s="140" t="str">
        <f t="shared" si="309"/>
        <v>4.4.8</v>
      </c>
      <c r="H2834" s="166" t="s">
        <v>1719</v>
      </c>
      <c r="I2834" s="166" t="s">
        <v>147</v>
      </c>
      <c r="J2834" s="166" t="s">
        <v>156</v>
      </c>
      <c r="K2834" s="166" t="s">
        <v>717</v>
      </c>
      <c r="L2834" s="166">
        <v>104850</v>
      </c>
      <c r="M2834" s="166"/>
      <c r="N2834" s="166"/>
      <c r="O2834" s="164">
        <f t="shared" si="311"/>
        <v>0</v>
      </c>
      <c r="P2834" s="166">
        <v>1</v>
      </c>
      <c r="Q2834" s="166">
        <v>1</v>
      </c>
      <c r="R2834" s="164">
        <f>$L2834*'Pivot Objective'!$C$9*P2834*Q2834</f>
        <v>119835.27702044998</v>
      </c>
      <c r="S2834" s="166">
        <v>0</v>
      </c>
      <c r="T2834" s="166">
        <v>0</v>
      </c>
      <c r="U2834" s="164">
        <f>($L2834*'Pivot Objective'!$C$9^2)*S2834*T2834</f>
        <v>0</v>
      </c>
      <c r="V2834" s="166">
        <v>0</v>
      </c>
      <c r="W2834" s="166">
        <v>0</v>
      </c>
      <c r="X2834" s="164">
        <f>($L2834*'Pivot Objective'!$C$9^3)*V2834*W2834</f>
        <v>0</v>
      </c>
      <c r="Y2834" s="166">
        <v>0</v>
      </c>
      <c r="Z2834" s="166">
        <v>0</v>
      </c>
      <c r="AA2834" s="164">
        <f>($L2834*'Pivot Objective'!$C$9^4)*Y2834*Z2834</f>
        <v>0</v>
      </c>
      <c r="AB2834" s="166">
        <v>0</v>
      </c>
      <c r="AC2834" s="166">
        <v>0</v>
      </c>
      <c r="AD2834" s="164">
        <f>($L2834*'Pivot Objective'!$C$9^5)*AB2834*AC2834</f>
        <v>0</v>
      </c>
      <c r="AE2834" s="166">
        <v>0</v>
      </c>
      <c r="AF2834" s="166">
        <v>0</v>
      </c>
      <c r="AG2834" s="164">
        <f>($L2834*'Pivot Objective'!$C$9^6)*AE2834*AF2834</f>
        <v>0</v>
      </c>
      <c r="AH2834" s="166">
        <v>1</v>
      </c>
      <c r="AI2834" s="166">
        <v>1</v>
      </c>
      <c r="AJ2834" s="164">
        <f>($L2834*'Pivot Objective'!$C$9^7)*AH2834*AI2834</f>
        <v>267105.09999433643</v>
      </c>
      <c r="AK2834" s="185">
        <f t="shared" si="312"/>
        <v>386940.37701478641</v>
      </c>
      <c r="AL2834" s="186">
        <f t="shared" si="313"/>
        <v>375.67026894639457</v>
      </c>
    </row>
    <row r="2835" spans="1:38" customFormat="1" ht="86.4" x14ac:dyDescent="0.3">
      <c r="A2835" s="140" t="s">
        <v>1483</v>
      </c>
      <c r="B2835" s="140">
        <v>4</v>
      </c>
      <c r="C2835" s="166" t="s">
        <v>697</v>
      </c>
      <c r="D2835" s="140" t="str">
        <f t="shared" si="308"/>
        <v>4</v>
      </c>
      <c r="E2835" s="166" t="s">
        <v>695</v>
      </c>
      <c r="F2835" s="140">
        <f t="shared" ref="F2835:F2859" si="314">IF(H2835=H2834,F2834,F2834+1)</f>
        <v>8</v>
      </c>
      <c r="G2835" s="140" t="str">
        <f t="shared" si="309"/>
        <v>4.4.8</v>
      </c>
      <c r="H2835" s="166" t="s">
        <v>1719</v>
      </c>
      <c r="I2835" s="166" t="s">
        <v>147</v>
      </c>
      <c r="J2835" s="166" t="s">
        <v>156</v>
      </c>
      <c r="K2835" s="166" t="s">
        <v>716</v>
      </c>
      <c r="L2835" s="166">
        <v>39000</v>
      </c>
      <c r="M2835" s="166"/>
      <c r="N2835" s="166"/>
      <c r="O2835" s="164">
        <f t="shared" si="311"/>
        <v>0</v>
      </c>
      <c r="P2835" s="166">
        <v>58</v>
      </c>
      <c r="Q2835" s="166">
        <v>1</v>
      </c>
      <c r="R2835" s="164">
        <f>$L2835*'Pivot Objective'!$C$9*P2835*Q2835</f>
        <v>2585287.5214139996</v>
      </c>
      <c r="S2835" s="166">
        <v>0</v>
      </c>
      <c r="T2835" s="166">
        <v>0</v>
      </c>
      <c r="U2835" s="164">
        <f>($L2835*'Pivot Objective'!$C$9^2)*S2835*T2835</f>
        <v>0</v>
      </c>
      <c r="V2835" s="166">
        <v>0</v>
      </c>
      <c r="W2835" s="166">
        <v>0</v>
      </c>
      <c r="X2835" s="164">
        <f>($L2835*'Pivot Objective'!$C$9^3)*V2835*W2835</f>
        <v>0</v>
      </c>
      <c r="Y2835" s="166">
        <v>0</v>
      </c>
      <c r="Z2835" s="166">
        <v>0</v>
      </c>
      <c r="AA2835" s="164">
        <f>($L2835*'Pivot Objective'!$C$9^4)*Y2835*Z2835</f>
        <v>0</v>
      </c>
      <c r="AB2835" s="166">
        <v>0</v>
      </c>
      <c r="AC2835" s="166">
        <v>0</v>
      </c>
      <c r="AD2835" s="164">
        <f>($L2835*'Pivot Objective'!$C$9^5)*AB2835*AC2835</f>
        <v>0</v>
      </c>
      <c r="AE2835" s="166">
        <v>0</v>
      </c>
      <c r="AF2835" s="166">
        <v>0</v>
      </c>
      <c r="AG2835" s="164">
        <f>($L2835*'Pivot Objective'!$C$9^6)*AE2835*AF2835</f>
        <v>0</v>
      </c>
      <c r="AH2835" s="166">
        <v>58</v>
      </c>
      <c r="AI2835" s="166">
        <v>1</v>
      </c>
      <c r="AJ2835" s="164">
        <f>($L2835*'Pivot Objective'!$C$9^7)*AH2835*AI2835</f>
        <v>5762439.0671167281</v>
      </c>
      <c r="AK2835" s="185">
        <f t="shared" si="312"/>
        <v>8347726.5885307277</v>
      </c>
      <c r="AL2835" s="186">
        <f t="shared" si="313"/>
        <v>8104.5889209036195</v>
      </c>
    </row>
    <row r="2836" spans="1:38" customFormat="1" ht="57.6" x14ac:dyDescent="0.3">
      <c r="A2836" s="140" t="s">
        <v>1483</v>
      </c>
      <c r="B2836" s="140">
        <v>4</v>
      </c>
      <c r="C2836" s="166" t="s">
        <v>697</v>
      </c>
      <c r="D2836" s="140" t="str">
        <f t="shared" si="308"/>
        <v>4</v>
      </c>
      <c r="E2836" s="166" t="s">
        <v>695</v>
      </c>
      <c r="F2836" s="140">
        <f t="shared" si="314"/>
        <v>9</v>
      </c>
      <c r="G2836" s="140" t="str">
        <f t="shared" si="309"/>
        <v>4.4.9</v>
      </c>
      <c r="H2836" s="166" t="s">
        <v>688</v>
      </c>
      <c r="I2836" s="166" t="s">
        <v>148</v>
      </c>
      <c r="J2836" s="166" t="s">
        <v>809</v>
      </c>
      <c r="K2836" s="166" t="s">
        <v>716</v>
      </c>
      <c r="L2836" s="166">
        <v>39000</v>
      </c>
      <c r="M2836" s="166">
        <v>100</v>
      </c>
      <c r="N2836" s="166">
        <v>2</v>
      </c>
      <c r="O2836" s="164">
        <f t="shared" si="311"/>
        <v>7800000</v>
      </c>
      <c r="P2836" s="166">
        <v>100</v>
      </c>
      <c r="Q2836" s="166">
        <v>2</v>
      </c>
      <c r="R2836" s="164">
        <f>$L2836*'Pivot Objective'!$C$9*P2836*Q2836</f>
        <v>8914784.5565999988</v>
      </c>
      <c r="S2836" s="166">
        <v>100</v>
      </c>
      <c r="T2836" s="166">
        <v>2</v>
      </c>
      <c r="U2836" s="164">
        <f>($L2836*'Pivot Objective'!$C$9^2)*S2836*T2836</f>
        <v>10188895.344947929</v>
      </c>
      <c r="V2836" s="166">
        <v>100</v>
      </c>
      <c r="W2836" s="166">
        <v>2</v>
      </c>
      <c r="X2836" s="164">
        <f>($L2836*'Pivot Objective'!$C$9^3)*V2836*W2836</f>
        <v>11645103.44486608</v>
      </c>
      <c r="Y2836" s="166">
        <v>100</v>
      </c>
      <c r="Z2836" s="166">
        <v>2</v>
      </c>
      <c r="AA2836" s="164">
        <f>($L2836*'Pivot Objective'!$C$9^4)*Y2836*Z2836</f>
        <v>13309434.403884819</v>
      </c>
      <c r="AB2836" s="166">
        <v>100</v>
      </c>
      <c r="AC2836" s="166">
        <v>2</v>
      </c>
      <c r="AD2836" s="164">
        <f>($L2836*'Pivot Objective'!$C$9^5)*AB2836*AC2836</f>
        <v>15211633.369337576</v>
      </c>
      <c r="AE2836" s="166">
        <v>100</v>
      </c>
      <c r="AF2836" s="166">
        <v>2</v>
      </c>
      <c r="AG2836" s="164">
        <f>($L2836*'Pivot Objective'!$C$9^6)*AE2836*AF2836</f>
        <v>17385696.697645109</v>
      </c>
      <c r="AH2836" s="166">
        <v>100</v>
      </c>
      <c r="AI2836" s="166">
        <v>2</v>
      </c>
      <c r="AJ2836" s="164">
        <f>($L2836*'Pivot Objective'!$C$9^7)*AH2836*AI2836</f>
        <v>19870479.54178182</v>
      </c>
      <c r="AK2836" s="185">
        <f t="shared" si="312"/>
        <v>104326027.35906333</v>
      </c>
      <c r="AL2836" s="186">
        <f t="shared" si="313"/>
        <v>101287.4052029741</v>
      </c>
    </row>
    <row r="2837" spans="1:38" customFormat="1" ht="57.6" x14ac:dyDescent="0.3">
      <c r="A2837" s="140" t="s">
        <v>1483</v>
      </c>
      <c r="B2837" s="140">
        <v>4</v>
      </c>
      <c r="C2837" s="166" t="s">
        <v>697</v>
      </c>
      <c r="D2837" s="140" t="str">
        <f t="shared" si="308"/>
        <v>4</v>
      </c>
      <c r="E2837" s="166" t="s">
        <v>695</v>
      </c>
      <c r="F2837" s="140">
        <f t="shared" si="314"/>
        <v>9</v>
      </c>
      <c r="G2837" s="140" t="str">
        <f t="shared" si="309"/>
        <v>4.4.9</v>
      </c>
      <c r="H2837" s="166" t="s">
        <v>688</v>
      </c>
      <c r="I2837" s="166" t="s">
        <v>148</v>
      </c>
      <c r="J2837" s="166" t="s">
        <v>809</v>
      </c>
      <c r="K2837" s="166" t="s">
        <v>709</v>
      </c>
      <c r="L2837" s="166">
        <v>3500</v>
      </c>
      <c r="M2837" s="166">
        <v>200</v>
      </c>
      <c r="N2837" s="166">
        <v>2</v>
      </c>
      <c r="O2837" s="164">
        <f t="shared" si="311"/>
        <v>1400000</v>
      </c>
      <c r="P2837" s="166">
        <v>200</v>
      </c>
      <c r="Q2837" s="166">
        <v>2</v>
      </c>
      <c r="R2837" s="164">
        <f>$L2837*'Pivot Objective'!$C$9*P2837*Q2837</f>
        <v>1600089.5357999997</v>
      </c>
      <c r="S2837" s="166">
        <v>200</v>
      </c>
      <c r="T2837" s="166">
        <v>2</v>
      </c>
      <c r="U2837" s="164">
        <f>($L2837*'Pivot Objective'!$C$9^2)*S2837*T2837</f>
        <v>1828776.0875547566</v>
      </c>
      <c r="V2837" s="166">
        <v>200</v>
      </c>
      <c r="W2837" s="166">
        <v>2</v>
      </c>
      <c r="X2837" s="164">
        <f>($L2837*'Pivot Objective'!$C$9^3)*V2837*W2837</f>
        <v>2090146.7721554502</v>
      </c>
      <c r="Y2837" s="166">
        <v>200</v>
      </c>
      <c r="Z2837" s="166">
        <v>2</v>
      </c>
      <c r="AA2837" s="164">
        <f>($L2837*'Pivot Objective'!$C$9^4)*Y2837*Z2837</f>
        <v>2388872.8417229159</v>
      </c>
      <c r="AB2837" s="166">
        <v>200</v>
      </c>
      <c r="AC2837" s="166">
        <v>2</v>
      </c>
      <c r="AD2837" s="164">
        <f>($L2837*'Pivot Objective'!$C$9^5)*AB2837*AC2837</f>
        <v>2730293.1688554622</v>
      </c>
      <c r="AE2837" s="166">
        <v>200</v>
      </c>
      <c r="AF2837" s="166">
        <v>2</v>
      </c>
      <c r="AG2837" s="164">
        <f>($L2837*'Pivot Objective'!$C$9^6)*AE2837*AF2837</f>
        <v>3120509.6636798908</v>
      </c>
      <c r="AH2837" s="166">
        <v>200</v>
      </c>
      <c r="AI2837" s="166">
        <v>2</v>
      </c>
      <c r="AJ2837" s="164">
        <f>($L2837*'Pivot Objective'!$C$9^7)*AH2837*AI2837</f>
        <v>3566496.3280121223</v>
      </c>
      <c r="AK2837" s="185">
        <f t="shared" si="312"/>
        <v>18725184.397780597</v>
      </c>
      <c r="AL2837" s="186">
        <f t="shared" si="313"/>
        <v>18179.790677456891</v>
      </c>
    </row>
    <row r="2838" spans="1:38" customFormat="1" ht="57.6" x14ac:dyDescent="0.3">
      <c r="A2838" s="140" t="s">
        <v>1483</v>
      </c>
      <c r="B2838" s="140">
        <v>4</v>
      </c>
      <c r="C2838" s="166" t="s">
        <v>697</v>
      </c>
      <c r="D2838" s="140" t="str">
        <f t="shared" si="308"/>
        <v>4</v>
      </c>
      <c r="E2838" s="166" t="s">
        <v>695</v>
      </c>
      <c r="F2838" s="140">
        <f t="shared" si="314"/>
        <v>9</v>
      </c>
      <c r="G2838" s="140" t="str">
        <f t="shared" si="309"/>
        <v>4.4.9</v>
      </c>
      <c r="H2838" s="166" t="s">
        <v>688</v>
      </c>
      <c r="I2838" s="166" t="s">
        <v>148</v>
      </c>
      <c r="J2838" s="166" t="s">
        <v>809</v>
      </c>
      <c r="K2838" s="166" t="s">
        <v>712</v>
      </c>
      <c r="L2838" s="166">
        <f>1480/7</f>
        <v>211.42857142857142</v>
      </c>
      <c r="M2838" s="166">
        <f>2*25*9</f>
        <v>450</v>
      </c>
      <c r="N2838" s="166">
        <v>2</v>
      </c>
      <c r="O2838" s="164">
        <f t="shared" si="311"/>
        <v>190285.71428571426</v>
      </c>
      <c r="P2838" s="166">
        <f>2*25*9</f>
        <v>450</v>
      </c>
      <c r="Q2838" s="166">
        <v>2</v>
      </c>
      <c r="R2838" s="164">
        <f>$L2838*'Pivot Objective'!$C$9*P2838*Q2838</f>
        <v>217481.55731485711</v>
      </c>
      <c r="S2838" s="166">
        <f>2*25*9</f>
        <v>450</v>
      </c>
      <c r="T2838" s="166">
        <v>2</v>
      </c>
      <c r="U2838" s="164">
        <f>($L2838*'Pivot Objective'!$C$9^2)*S2838*T2838</f>
        <v>248564.26006356487</v>
      </c>
      <c r="V2838" s="166">
        <f>2*25*9</f>
        <v>450</v>
      </c>
      <c r="W2838" s="166">
        <v>2</v>
      </c>
      <c r="X2838" s="164">
        <f>($L2838*'Pivot Objective'!$C$9^3)*V2838*W2838</f>
        <v>284089.33678684279</v>
      </c>
      <c r="Y2838" s="166">
        <f>2*25*9</f>
        <v>450</v>
      </c>
      <c r="Z2838" s="166">
        <v>2</v>
      </c>
      <c r="AA2838" s="164">
        <f>($L2838*'Pivot Objective'!$C$9^4)*Y2838*Z2838</f>
        <v>324691.6964464208</v>
      </c>
      <c r="AB2838" s="166">
        <f>2*25*9</f>
        <v>450</v>
      </c>
      <c r="AC2838" s="166">
        <v>2</v>
      </c>
      <c r="AD2838" s="164">
        <f>($L2838*'Pivot Objective'!$C$9^5)*AB2838*AC2838</f>
        <v>371096.98988933425</v>
      </c>
      <c r="AE2838" s="166">
        <f>2*25*9</f>
        <v>450</v>
      </c>
      <c r="AF2838" s="166">
        <v>2</v>
      </c>
      <c r="AG2838" s="164">
        <f>($L2838*'Pivot Objective'!$C$9^6)*AE2838*AF2838</f>
        <v>424134.5787777158</v>
      </c>
      <c r="AH2838" s="166">
        <f>2*25*9</f>
        <v>450</v>
      </c>
      <c r="AI2838" s="166">
        <v>2</v>
      </c>
      <c r="AJ2838" s="164">
        <f>($L2838*'Pivot Objective'!$C$9^7)*AH2838*AI2838</f>
        <v>484752.35805225978</v>
      </c>
      <c r="AK2838" s="185">
        <f t="shared" si="312"/>
        <v>2545096.4916167096</v>
      </c>
      <c r="AL2838" s="186">
        <f t="shared" si="313"/>
        <v>2470.9674675890383</v>
      </c>
    </row>
    <row r="2839" spans="1:38" customFormat="1" ht="57.6" x14ac:dyDescent="0.3">
      <c r="A2839" s="140" t="s">
        <v>1483</v>
      </c>
      <c r="B2839" s="140">
        <v>4</v>
      </c>
      <c r="C2839" s="166" t="s">
        <v>697</v>
      </c>
      <c r="D2839" s="140" t="str">
        <f t="shared" si="308"/>
        <v>4</v>
      </c>
      <c r="E2839" s="166" t="s">
        <v>695</v>
      </c>
      <c r="F2839" s="140">
        <f t="shared" si="314"/>
        <v>9</v>
      </c>
      <c r="G2839" s="140" t="str">
        <f t="shared" si="309"/>
        <v>4.4.9</v>
      </c>
      <c r="H2839" s="166" t="s">
        <v>688</v>
      </c>
      <c r="I2839" s="166" t="s">
        <v>148</v>
      </c>
      <c r="J2839" s="166" t="s">
        <v>809</v>
      </c>
      <c r="K2839" s="166" t="s">
        <v>1320</v>
      </c>
      <c r="L2839" s="166">
        <f>1480/7</f>
        <v>211.42857142857142</v>
      </c>
      <c r="M2839" s="140">
        <v>22500</v>
      </c>
      <c r="N2839" s="166">
        <v>1</v>
      </c>
      <c r="O2839" s="164">
        <f t="shared" si="311"/>
        <v>4757142.8571428573</v>
      </c>
      <c r="P2839" s="140">
        <v>22500</v>
      </c>
      <c r="Q2839" s="166">
        <v>1</v>
      </c>
      <c r="R2839" s="164">
        <f>$L2839*'Pivot Objective'!$C$9*P2839*Q2839</f>
        <v>5437038.9328714283</v>
      </c>
      <c r="S2839" s="140">
        <v>22500</v>
      </c>
      <c r="T2839" s="166">
        <v>1</v>
      </c>
      <c r="U2839" s="164">
        <f>($L2839*'Pivot Objective'!$C$9^2)*S2839*T2839</f>
        <v>6214106.5015891213</v>
      </c>
      <c r="V2839" s="140">
        <v>22500</v>
      </c>
      <c r="W2839" s="166">
        <v>1</v>
      </c>
      <c r="X2839" s="164">
        <f>($L2839*'Pivot Objective'!$C$9^3)*V2839*W2839</f>
        <v>7102233.4196710698</v>
      </c>
      <c r="Y2839" s="140">
        <v>22500</v>
      </c>
      <c r="Z2839" s="166">
        <v>1</v>
      </c>
      <c r="AA2839" s="164">
        <f>($L2839*'Pivot Objective'!$C$9^4)*Y2839*Z2839</f>
        <v>8117292.4111605193</v>
      </c>
      <c r="AB2839" s="140">
        <v>22500</v>
      </c>
      <c r="AC2839" s="166">
        <v>1</v>
      </c>
      <c r="AD2839" s="164">
        <f>($L2839*'Pivot Objective'!$C$9^5)*AB2839*AC2839</f>
        <v>9277424.7472333554</v>
      </c>
      <c r="AE2839" s="140">
        <v>22500</v>
      </c>
      <c r="AF2839" s="166">
        <v>1</v>
      </c>
      <c r="AG2839" s="164">
        <f>($L2839*'Pivot Objective'!$C$9^6)*AE2839*AF2839</f>
        <v>10603364.469442895</v>
      </c>
      <c r="AH2839" s="140">
        <v>22500</v>
      </c>
      <c r="AI2839" s="166">
        <v>1</v>
      </c>
      <c r="AJ2839" s="164">
        <f>($L2839*'Pivot Objective'!$C$9^7)*AH2839*AI2839</f>
        <v>12118808.951306494</v>
      </c>
      <c r="AK2839" s="185">
        <f t="shared" si="312"/>
        <v>63627412.290417738</v>
      </c>
      <c r="AL2839" s="186">
        <f t="shared" si="313"/>
        <v>61774.186689725961</v>
      </c>
    </row>
    <row r="2840" spans="1:38" customFormat="1" ht="86.4" x14ac:dyDescent="0.3">
      <c r="A2840" s="140" t="s">
        <v>1483</v>
      </c>
      <c r="B2840" s="140">
        <v>4</v>
      </c>
      <c r="C2840" s="166" t="s">
        <v>697</v>
      </c>
      <c r="D2840" s="140" t="str">
        <f t="shared" si="308"/>
        <v>4</v>
      </c>
      <c r="E2840" s="166" t="s">
        <v>695</v>
      </c>
      <c r="F2840" s="140">
        <f t="shared" si="314"/>
        <v>10</v>
      </c>
      <c r="G2840" s="140" t="str">
        <f t="shared" si="309"/>
        <v>4.4.10</v>
      </c>
      <c r="H2840" s="166" t="s">
        <v>1701</v>
      </c>
      <c r="I2840" s="166" t="s">
        <v>1346</v>
      </c>
      <c r="J2840" s="166" t="s">
        <v>155</v>
      </c>
      <c r="K2840" s="166" t="s">
        <v>718</v>
      </c>
      <c r="L2840" s="166">
        <v>0</v>
      </c>
      <c r="M2840" s="140">
        <v>0</v>
      </c>
      <c r="N2840" s="140">
        <v>0</v>
      </c>
      <c r="O2840" s="164">
        <f t="shared" si="311"/>
        <v>0</v>
      </c>
      <c r="P2840" s="140">
        <v>0</v>
      </c>
      <c r="Q2840" s="140">
        <v>0</v>
      </c>
      <c r="R2840" s="164">
        <f>$L2840*'Pivot Objective'!$C$9*P2840*Q2840</f>
        <v>0</v>
      </c>
      <c r="S2840" s="140">
        <v>0</v>
      </c>
      <c r="T2840" s="140">
        <v>0</v>
      </c>
      <c r="U2840" s="164">
        <f>($L2840*'Pivot Objective'!$C$9^2)*S2840*T2840</f>
        <v>0</v>
      </c>
      <c r="V2840" s="140"/>
      <c r="W2840" s="140"/>
      <c r="X2840" s="164">
        <f>($L2840*'Pivot Objective'!$C$9^3)*V2840*W2840</f>
        <v>0</v>
      </c>
      <c r="Y2840" s="140"/>
      <c r="Z2840" s="140"/>
      <c r="AA2840" s="164">
        <f>($L2840*'Pivot Objective'!$C$9^4)*Y2840*Z2840</f>
        <v>0</v>
      </c>
      <c r="AB2840" s="140"/>
      <c r="AC2840" s="140"/>
      <c r="AD2840" s="164">
        <f>($L2840*'Pivot Objective'!$C$9^5)*AB2840*AC2840</f>
        <v>0</v>
      </c>
      <c r="AE2840" s="140"/>
      <c r="AF2840" s="140"/>
      <c r="AG2840" s="164">
        <f>($L2840*'Pivot Objective'!$C$9^6)*AE2840*AF2840</f>
        <v>0</v>
      </c>
      <c r="AH2840" s="140"/>
      <c r="AI2840" s="140"/>
      <c r="AJ2840" s="164">
        <f>($L2840*'Pivot Objective'!$C$9^7)*AH2840*AI2840</f>
        <v>0</v>
      </c>
      <c r="AK2840" s="185">
        <f t="shared" si="312"/>
        <v>0</v>
      </c>
      <c r="AL2840" s="186">
        <f t="shared" si="313"/>
        <v>0</v>
      </c>
    </row>
    <row r="2841" spans="1:38" customFormat="1" ht="86.4" x14ac:dyDescent="0.3">
      <c r="A2841" s="140" t="s">
        <v>1483</v>
      </c>
      <c r="B2841" s="140">
        <v>4</v>
      </c>
      <c r="C2841" s="166" t="s">
        <v>697</v>
      </c>
      <c r="D2841" s="140" t="str">
        <f t="shared" si="308"/>
        <v>4</v>
      </c>
      <c r="E2841" s="166" t="s">
        <v>695</v>
      </c>
      <c r="F2841" s="140">
        <f t="shared" si="314"/>
        <v>10</v>
      </c>
      <c r="G2841" s="140" t="str">
        <f t="shared" si="309"/>
        <v>4.4.10</v>
      </c>
      <c r="H2841" s="166" t="s">
        <v>1701</v>
      </c>
      <c r="I2841" s="166" t="s">
        <v>1346</v>
      </c>
      <c r="J2841" s="166" t="s">
        <v>1347</v>
      </c>
      <c r="K2841" s="166" t="s">
        <v>709</v>
      </c>
      <c r="L2841" s="166">
        <v>35000</v>
      </c>
      <c r="M2841" s="140">
        <v>0</v>
      </c>
      <c r="N2841" s="140">
        <v>0</v>
      </c>
      <c r="O2841" s="164">
        <f t="shared" si="311"/>
        <v>0</v>
      </c>
      <c r="P2841" s="140">
        <v>100</v>
      </c>
      <c r="Q2841" s="140">
        <v>100</v>
      </c>
      <c r="R2841" s="164">
        <f>$L2841*'Pivot Objective'!$C$9*P2841*Q2841</f>
        <v>400022383.94999993</v>
      </c>
      <c r="S2841" s="140">
        <v>100</v>
      </c>
      <c r="T2841" s="140">
        <v>100</v>
      </c>
      <c r="U2841" s="164">
        <f>($L2841*'Pivot Objective'!$C$9^2)*S2841*T2841</f>
        <v>457194021.88868916</v>
      </c>
      <c r="V2841" s="140"/>
      <c r="W2841" s="140"/>
      <c r="X2841" s="164">
        <f>($L2841*'Pivot Objective'!$C$9^3)*V2841*W2841</f>
        <v>0</v>
      </c>
      <c r="Y2841" s="140"/>
      <c r="Z2841" s="140"/>
      <c r="AA2841" s="164">
        <f>($L2841*'Pivot Objective'!$C$9^4)*Y2841*Z2841</f>
        <v>0</v>
      </c>
      <c r="AB2841" s="140"/>
      <c r="AC2841" s="140"/>
      <c r="AD2841" s="164">
        <f>($L2841*'Pivot Objective'!$C$9^5)*AB2841*AC2841</f>
        <v>0</v>
      </c>
      <c r="AE2841" s="140"/>
      <c r="AF2841" s="140"/>
      <c r="AG2841" s="164">
        <f>($L2841*'Pivot Objective'!$C$9^6)*AE2841*AF2841</f>
        <v>0</v>
      </c>
      <c r="AH2841" s="140"/>
      <c r="AI2841" s="140"/>
      <c r="AJ2841" s="164">
        <f>($L2841*'Pivot Objective'!$C$9^7)*AH2841*AI2841</f>
        <v>0</v>
      </c>
      <c r="AK2841" s="185">
        <f t="shared" si="312"/>
        <v>857216405.83868909</v>
      </c>
      <c r="AL2841" s="186">
        <f t="shared" si="313"/>
        <v>832248.93770746514</v>
      </c>
    </row>
    <row r="2842" spans="1:38" customFormat="1" ht="86.4" x14ac:dyDescent="0.3">
      <c r="A2842" s="140" t="s">
        <v>1483</v>
      </c>
      <c r="B2842" s="140">
        <v>4</v>
      </c>
      <c r="C2842" s="166" t="s">
        <v>697</v>
      </c>
      <c r="D2842" s="140" t="str">
        <f t="shared" si="308"/>
        <v>4</v>
      </c>
      <c r="E2842" s="166" t="s">
        <v>695</v>
      </c>
      <c r="F2842" s="140">
        <f t="shared" si="314"/>
        <v>10</v>
      </c>
      <c r="G2842" s="140" t="str">
        <f t="shared" si="309"/>
        <v>4.4.10</v>
      </c>
      <c r="H2842" s="166" t="s">
        <v>1701</v>
      </c>
      <c r="I2842" s="166" t="s">
        <v>1346</v>
      </c>
      <c r="J2842" s="166" t="s">
        <v>1347</v>
      </c>
      <c r="K2842" s="166" t="s">
        <v>716</v>
      </c>
      <c r="L2842" s="166">
        <v>39000</v>
      </c>
      <c r="M2842" s="140">
        <v>0</v>
      </c>
      <c r="N2842" s="140">
        <v>0</v>
      </c>
      <c r="O2842" s="164">
        <f t="shared" si="311"/>
        <v>0</v>
      </c>
      <c r="P2842" s="140">
        <v>58</v>
      </c>
      <c r="Q2842" s="140">
        <v>120</v>
      </c>
      <c r="R2842" s="164">
        <f>$L2842*'Pivot Objective'!$C$9*P2842*Q2842</f>
        <v>310234502.56967998</v>
      </c>
      <c r="S2842" s="140">
        <v>58</v>
      </c>
      <c r="T2842" s="140">
        <v>120</v>
      </c>
      <c r="U2842" s="164">
        <f>($L2842*'Pivot Objective'!$C$9^2)*S2842*T2842</f>
        <v>354573558.00418794</v>
      </c>
      <c r="V2842" s="140"/>
      <c r="W2842" s="140"/>
      <c r="X2842" s="164">
        <f>($L2842*'Pivot Objective'!$C$9^3)*V2842*W2842</f>
        <v>0</v>
      </c>
      <c r="Y2842" s="140"/>
      <c r="Z2842" s="140"/>
      <c r="AA2842" s="164">
        <f>($L2842*'Pivot Objective'!$C$9^4)*Y2842*Z2842</f>
        <v>0</v>
      </c>
      <c r="AB2842" s="140"/>
      <c r="AC2842" s="140"/>
      <c r="AD2842" s="164">
        <f>($L2842*'Pivot Objective'!$C$9^5)*AB2842*AC2842</f>
        <v>0</v>
      </c>
      <c r="AE2842" s="140"/>
      <c r="AF2842" s="140"/>
      <c r="AG2842" s="164">
        <f>($L2842*'Pivot Objective'!$C$9^6)*AE2842*AF2842</f>
        <v>0</v>
      </c>
      <c r="AH2842" s="140"/>
      <c r="AI2842" s="140"/>
      <c r="AJ2842" s="164">
        <f>($L2842*'Pivot Objective'!$C$9^7)*AH2842*AI2842</f>
        <v>0</v>
      </c>
      <c r="AK2842" s="185">
        <f t="shared" si="312"/>
        <v>664808060.57386792</v>
      </c>
      <c r="AL2842" s="186">
        <f t="shared" si="313"/>
        <v>645444.71900375525</v>
      </c>
    </row>
    <row r="2843" spans="1:38" customFormat="1" ht="86.4" x14ac:dyDescent="0.3">
      <c r="A2843" s="140" t="s">
        <v>1483</v>
      </c>
      <c r="B2843" s="140">
        <v>4</v>
      </c>
      <c r="C2843" s="166" t="s">
        <v>697</v>
      </c>
      <c r="D2843" s="140" t="str">
        <f t="shared" si="308"/>
        <v>4</v>
      </c>
      <c r="E2843" s="166" t="s">
        <v>695</v>
      </c>
      <c r="F2843" s="140">
        <f t="shared" si="314"/>
        <v>10</v>
      </c>
      <c r="G2843" s="140" t="str">
        <f t="shared" si="309"/>
        <v>4.4.10</v>
      </c>
      <c r="H2843" s="166" t="s">
        <v>1701</v>
      </c>
      <c r="I2843" s="166" t="s">
        <v>1346</v>
      </c>
      <c r="J2843" s="166" t="s">
        <v>1347</v>
      </c>
      <c r="K2843" s="166" t="s">
        <v>712</v>
      </c>
      <c r="L2843" s="166">
        <f>1480/7</f>
        <v>211.42857142857142</v>
      </c>
      <c r="M2843" s="140">
        <v>0</v>
      </c>
      <c r="N2843" s="140">
        <v>0</v>
      </c>
      <c r="O2843" s="164">
        <f t="shared" si="311"/>
        <v>0</v>
      </c>
      <c r="P2843" s="166">
        <f>2*25*9</f>
        <v>450</v>
      </c>
      <c r="Q2843" s="140">
        <v>100</v>
      </c>
      <c r="R2843" s="164">
        <f>$L2843*'Pivot Objective'!$C$9*P2843*Q2843</f>
        <v>10874077.865742855</v>
      </c>
      <c r="S2843" s="166">
        <f>2*25*9</f>
        <v>450</v>
      </c>
      <c r="T2843" s="140">
        <v>100</v>
      </c>
      <c r="U2843" s="164">
        <f>($L2843*'Pivot Objective'!$C$9^2)*S2843*T2843</f>
        <v>12428213.003178243</v>
      </c>
      <c r="V2843" s="140"/>
      <c r="W2843" s="140"/>
      <c r="X2843" s="164">
        <f>($L2843*'Pivot Objective'!$C$9^3)*V2843*W2843</f>
        <v>0</v>
      </c>
      <c r="Y2843" s="140"/>
      <c r="Z2843" s="140"/>
      <c r="AA2843" s="164">
        <f>($L2843*'Pivot Objective'!$C$9^4)*Y2843*Z2843</f>
        <v>0</v>
      </c>
      <c r="AB2843" s="140"/>
      <c r="AC2843" s="140"/>
      <c r="AD2843" s="164">
        <f>($L2843*'Pivot Objective'!$C$9^5)*AB2843*AC2843</f>
        <v>0</v>
      </c>
      <c r="AE2843" s="140"/>
      <c r="AF2843" s="140"/>
      <c r="AG2843" s="164">
        <f>($L2843*'Pivot Objective'!$C$9^6)*AE2843*AF2843</f>
        <v>0</v>
      </c>
      <c r="AH2843" s="140"/>
      <c r="AI2843" s="140"/>
      <c r="AJ2843" s="164">
        <f>($L2843*'Pivot Objective'!$C$9^7)*AH2843*AI2843</f>
        <v>0</v>
      </c>
      <c r="AK2843" s="185">
        <f t="shared" si="312"/>
        <v>23302290.868921097</v>
      </c>
      <c r="AL2843" s="186">
        <f t="shared" si="313"/>
        <v>22623.583367884559</v>
      </c>
    </row>
    <row r="2844" spans="1:38" customFormat="1" ht="86.4" x14ac:dyDescent="0.3">
      <c r="A2844" s="140" t="s">
        <v>1483</v>
      </c>
      <c r="B2844" s="140">
        <v>4</v>
      </c>
      <c r="C2844" s="166" t="s">
        <v>697</v>
      </c>
      <c r="D2844" s="140" t="str">
        <f t="shared" si="308"/>
        <v>4</v>
      </c>
      <c r="E2844" s="166" t="s">
        <v>695</v>
      </c>
      <c r="F2844" s="140">
        <f t="shared" si="314"/>
        <v>10</v>
      </c>
      <c r="G2844" s="140" t="str">
        <f t="shared" si="309"/>
        <v>4.4.10</v>
      </c>
      <c r="H2844" s="166" t="s">
        <v>1701</v>
      </c>
      <c r="I2844" s="166" t="s">
        <v>1346</v>
      </c>
      <c r="J2844" s="166" t="s">
        <v>1347</v>
      </c>
      <c r="K2844" s="166" t="s">
        <v>1320</v>
      </c>
      <c r="L2844" s="166">
        <f>1480/7</f>
        <v>211.42857142857142</v>
      </c>
      <c r="M2844" s="140">
        <v>0</v>
      </c>
      <c r="N2844" s="140">
        <v>0</v>
      </c>
      <c r="O2844" s="164">
        <f t="shared" si="311"/>
        <v>0</v>
      </c>
      <c r="P2844" s="166">
        <f>2*135*9</f>
        <v>2430</v>
      </c>
      <c r="Q2844" s="140">
        <v>20</v>
      </c>
      <c r="R2844" s="164">
        <f>$L2844*'Pivot Objective'!$C$9*P2844*Q2844</f>
        <v>11744004.095002284</v>
      </c>
      <c r="S2844" s="166">
        <f>2*135*9</f>
        <v>2430</v>
      </c>
      <c r="T2844" s="140">
        <v>20</v>
      </c>
      <c r="U2844" s="164">
        <f>($L2844*'Pivot Objective'!$C$9^2)*S2844*T2844</f>
        <v>13422470.043432504</v>
      </c>
      <c r="V2844" s="140"/>
      <c r="W2844" s="140"/>
      <c r="X2844" s="164">
        <f>($L2844*'Pivot Objective'!$C$9^3)*V2844*W2844</f>
        <v>0</v>
      </c>
      <c r="Y2844" s="140"/>
      <c r="Z2844" s="140"/>
      <c r="AA2844" s="164">
        <f>($L2844*'Pivot Objective'!$C$9^4)*Y2844*Z2844</f>
        <v>0</v>
      </c>
      <c r="AB2844" s="140"/>
      <c r="AC2844" s="140"/>
      <c r="AD2844" s="164">
        <f>($L2844*'Pivot Objective'!$C$9^5)*AB2844*AC2844</f>
        <v>0</v>
      </c>
      <c r="AE2844" s="140"/>
      <c r="AF2844" s="140"/>
      <c r="AG2844" s="164">
        <f>($L2844*'Pivot Objective'!$C$9^6)*AE2844*AF2844</f>
        <v>0</v>
      </c>
      <c r="AH2844" s="140"/>
      <c r="AI2844" s="140"/>
      <c r="AJ2844" s="164">
        <f>($L2844*'Pivot Objective'!$C$9^7)*AH2844*AI2844</f>
        <v>0</v>
      </c>
      <c r="AK2844" s="185">
        <f t="shared" si="312"/>
        <v>25166474.13843479</v>
      </c>
      <c r="AL2844" s="186">
        <f t="shared" si="313"/>
        <v>24433.470037315332</v>
      </c>
    </row>
    <row r="2845" spans="1:38" customFormat="1" ht="86.4" x14ac:dyDescent="0.3">
      <c r="A2845" s="140" t="s">
        <v>1483</v>
      </c>
      <c r="B2845" s="140">
        <v>4</v>
      </c>
      <c r="C2845" s="166" t="s">
        <v>697</v>
      </c>
      <c r="D2845" s="140" t="str">
        <f t="shared" si="308"/>
        <v>4</v>
      </c>
      <c r="E2845" s="166" t="s">
        <v>695</v>
      </c>
      <c r="F2845" s="140">
        <f t="shared" si="314"/>
        <v>10</v>
      </c>
      <c r="G2845" s="140" t="str">
        <f t="shared" si="309"/>
        <v>4.4.10</v>
      </c>
      <c r="H2845" s="166" t="s">
        <v>1701</v>
      </c>
      <c r="I2845" s="166" t="s">
        <v>1346</v>
      </c>
      <c r="J2845" s="166" t="s">
        <v>166</v>
      </c>
      <c r="K2845" s="166" t="s">
        <v>709</v>
      </c>
      <c r="L2845" s="166">
        <v>35000</v>
      </c>
      <c r="M2845" s="140">
        <v>0</v>
      </c>
      <c r="N2845" s="140">
        <v>0</v>
      </c>
      <c r="O2845" s="164">
        <f t="shared" si="311"/>
        <v>0</v>
      </c>
      <c r="P2845" s="166">
        <v>25</v>
      </c>
      <c r="Q2845" s="166">
        <v>1</v>
      </c>
      <c r="R2845" s="164">
        <f>$L2845*'Pivot Objective'!$C$9*P2845*Q2845</f>
        <v>1000055.9598749998</v>
      </c>
      <c r="S2845" s="166">
        <v>25</v>
      </c>
      <c r="T2845" s="166">
        <v>1</v>
      </c>
      <c r="U2845" s="164">
        <f>($L2845*'Pivot Objective'!$C$9^2)*S2845*T2845</f>
        <v>1142985.0547217228</v>
      </c>
      <c r="V2845" s="140"/>
      <c r="W2845" s="140"/>
      <c r="X2845" s="164">
        <f>($L2845*'Pivot Objective'!$C$9^3)*V2845*W2845</f>
        <v>0</v>
      </c>
      <c r="Y2845" s="140"/>
      <c r="Z2845" s="140"/>
      <c r="AA2845" s="164">
        <f>($L2845*'Pivot Objective'!$C$9^4)*Y2845*Z2845</f>
        <v>0</v>
      </c>
      <c r="AB2845" s="140"/>
      <c r="AC2845" s="140"/>
      <c r="AD2845" s="164">
        <f>($L2845*'Pivot Objective'!$C$9^5)*AB2845*AC2845</f>
        <v>0</v>
      </c>
      <c r="AE2845" s="140"/>
      <c r="AF2845" s="140"/>
      <c r="AG2845" s="164">
        <f>($L2845*'Pivot Objective'!$C$9^6)*AE2845*AF2845</f>
        <v>0</v>
      </c>
      <c r="AH2845" s="140"/>
      <c r="AI2845" s="140"/>
      <c r="AJ2845" s="164">
        <f>($L2845*'Pivot Objective'!$C$9^7)*AH2845*AI2845</f>
        <v>0</v>
      </c>
      <c r="AK2845" s="185">
        <f t="shared" si="312"/>
        <v>2143041.0145967226</v>
      </c>
      <c r="AL2845" s="186">
        <f t="shared" si="313"/>
        <v>2080.6223442686628</v>
      </c>
    </row>
    <row r="2846" spans="1:38" customFormat="1" ht="86.4" x14ac:dyDescent="0.3">
      <c r="A2846" s="140" t="s">
        <v>1483</v>
      </c>
      <c r="B2846" s="140">
        <v>4</v>
      </c>
      <c r="C2846" s="166" t="s">
        <v>697</v>
      </c>
      <c r="D2846" s="140" t="str">
        <f t="shared" si="308"/>
        <v>4</v>
      </c>
      <c r="E2846" s="166" t="s">
        <v>695</v>
      </c>
      <c r="F2846" s="140">
        <f t="shared" si="314"/>
        <v>10</v>
      </c>
      <c r="G2846" s="140" t="str">
        <f t="shared" si="309"/>
        <v>4.4.10</v>
      </c>
      <c r="H2846" s="166" t="s">
        <v>1701</v>
      </c>
      <c r="I2846" s="166" t="s">
        <v>1346</v>
      </c>
      <c r="J2846" s="166" t="s">
        <v>623</v>
      </c>
      <c r="K2846" s="166" t="s">
        <v>718</v>
      </c>
      <c r="L2846" s="166">
        <v>0</v>
      </c>
      <c r="M2846" s="140">
        <v>0</v>
      </c>
      <c r="N2846" s="140">
        <v>0</v>
      </c>
      <c r="O2846" s="164">
        <f t="shared" si="311"/>
        <v>0</v>
      </c>
      <c r="P2846" s="166">
        <v>25</v>
      </c>
      <c r="Q2846" s="166">
        <v>1</v>
      </c>
      <c r="R2846" s="164">
        <f>$L2846*'Pivot Objective'!$C$9*P2846*Q2846</f>
        <v>0</v>
      </c>
      <c r="S2846" s="166">
        <v>25</v>
      </c>
      <c r="T2846" s="166">
        <v>1</v>
      </c>
      <c r="U2846" s="164">
        <f>($L2846*'Pivot Objective'!$C$9^2)*S2846*T2846</f>
        <v>0</v>
      </c>
      <c r="V2846" s="140"/>
      <c r="W2846" s="140"/>
      <c r="X2846" s="164">
        <f>($L2846*'Pivot Objective'!$C$9^3)*V2846*W2846</f>
        <v>0</v>
      </c>
      <c r="Y2846" s="140"/>
      <c r="Z2846" s="140"/>
      <c r="AA2846" s="164">
        <f>($L2846*'Pivot Objective'!$C$9^4)*Y2846*Z2846</f>
        <v>0</v>
      </c>
      <c r="AB2846" s="140"/>
      <c r="AC2846" s="140"/>
      <c r="AD2846" s="164">
        <f>($L2846*'Pivot Objective'!$C$9^5)*AB2846*AC2846</f>
        <v>0</v>
      </c>
      <c r="AE2846" s="140"/>
      <c r="AF2846" s="140"/>
      <c r="AG2846" s="164">
        <f>($L2846*'Pivot Objective'!$C$9^6)*AE2846*AF2846</f>
        <v>0</v>
      </c>
      <c r="AH2846" s="140"/>
      <c r="AI2846" s="140"/>
      <c r="AJ2846" s="164">
        <f>($L2846*'Pivot Objective'!$C$9^7)*AH2846*AI2846</f>
        <v>0</v>
      </c>
      <c r="AK2846" s="185">
        <f t="shared" si="312"/>
        <v>0</v>
      </c>
      <c r="AL2846" s="186">
        <f t="shared" si="313"/>
        <v>0</v>
      </c>
    </row>
    <row r="2847" spans="1:38" customFormat="1" ht="86.4" x14ac:dyDescent="0.3">
      <c r="A2847" s="140" t="s">
        <v>1483</v>
      </c>
      <c r="B2847" s="140">
        <v>4</v>
      </c>
      <c r="C2847" s="166" t="s">
        <v>697</v>
      </c>
      <c r="D2847" s="140" t="str">
        <f t="shared" si="308"/>
        <v>4</v>
      </c>
      <c r="E2847" s="166" t="s">
        <v>695</v>
      </c>
      <c r="F2847" s="140">
        <f t="shared" si="314"/>
        <v>10</v>
      </c>
      <c r="G2847" s="140" t="str">
        <f t="shared" si="309"/>
        <v>4.4.10</v>
      </c>
      <c r="H2847" s="166" t="s">
        <v>1701</v>
      </c>
      <c r="I2847" s="166" t="s">
        <v>1346</v>
      </c>
      <c r="J2847" s="166" t="s">
        <v>624</v>
      </c>
      <c r="K2847" s="166" t="s">
        <v>709</v>
      </c>
      <c r="L2847" s="166">
        <v>35000</v>
      </c>
      <c r="M2847" s="140">
        <v>0</v>
      </c>
      <c r="N2847" s="140">
        <v>0</v>
      </c>
      <c r="O2847" s="164">
        <f t="shared" si="311"/>
        <v>0</v>
      </c>
      <c r="P2847" s="166">
        <v>60</v>
      </c>
      <c r="Q2847" s="166">
        <v>1</v>
      </c>
      <c r="R2847" s="164">
        <f>$L2847*'Pivot Objective'!$C$9*P2847*Q2847</f>
        <v>2400134.3036999996</v>
      </c>
      <c r="S2847" s="166">
        <v>60</v>
      </c>
      <c r="T2847" s="166">
        <v>1</v>
      </c>
      <c r="U2847" s="164">
        <f>($L2847*'Pivot Objective'!$C$9^2)*S2847*T2847</f>
        <v>2743164.1313321344</v>
      </c>
      <c r="V2847" s="140"/>
      <c r="W2847" s="140"/>
      <c r="X2847" s="164">
        <f>($L2847*'Pivot Objective'!$C$9^3)*V2847*W2847</f>
        <v>0</v>
      </c>
      <c r="Y2847" s="140"/>
      <c r="Z2847" s="140"/>
      <c r="AA2847" s="164">
        <f>($L2847*'Pivot Objective'!$C$9^4)*Y2847*Z2847</f>
        <v>0</v>
      </c>
      <c r="AB2847" s="140"/>
      <c r="AC2847" s="140"/>
      <c r="AD2847" s="164">
        <f>($L2847*'Pivot Objective'!$C$9^5)*AB2847*AC2847</f>
        <v>0</v>
      </c>
      <c r="AE2847" s="140"/>
      <c r="AF2847" s="140"/>
      <c r="AG2847" s="164">
        <f>($L2847*'Pivot Objective'!$C$9^6)*AE2847*AF2847</f>
        <v>0</v>
      </c>
      <c r="AH2847" s="140"/>
      <c r="AI2847" s="140"/>
      <c r="AJ2847" s="164">
        <f>($L2847*'Pivot Objective'!$C$9^7)*AH2847*AI2847</f>
        <v>0</v>
      </c>
      <c r="AK2847" s="185">
        <f t="shared" si="312"/>
        <v>5143298.4350321339</v>
      </c>
      <c r="AL2847" s="186">
        <f t="shared" si="313"/>
        <v>4993.49362624479</v>
      </c>
    </row>
    <row r="2848" spans="1:38" customFormat="1" ht="86.4" x14ac:dyDescent="0.3">
      <c r="A2848" s="140" t="s">
        <v>1483</v>
      </c>
      <c r="B2848" s="140">
        <v>4</v>
      </c>
      <c r="C2848" s="166" t="s">
        <v>697</v>
      </c>
      <c r="D2848" s="140" t="str">
        <f t="shared" si="308"/>
        <v>4</v>
      </c>
      <c r="E2848" s="166" t="s">
        <v>695</v>
      </c>
      <c r="F2848" s="140">
        <f t="shared" si="314"/>
        <v>10</v>
      </c>
      <c r="G2848" s="140" t="str">
        <f t="shared" si="309"/>
        <v>4.4.10</v>
      </c>
      <c r="H2848" s="166" t="s">
        <v>1701</v>
      </c>
      <c r="I2848" s="166" t="s">
        <v>1346</v>
      </c>
      <c r="J2848" s="166" t="s">
        <v>624</v>
      </c>
      <c r="K2848" s="166" t="s">
        <v>716</v>
      </c>
      <c r="L2848" s="166">
        <v>39000</v>
      </c>
      <c r="M2848" s="140">
        <v>0</v>
      </c>
      <c r="N2848" s="140">
        <v>0</v>
      </c>
      <c r="O2848" s="164">
        <f t="shared" si="311"/>
        <v>0</v>
      </c>
      <c r="P2848" s="166">
        <v>60</v>
      </c>
      <c r="Q2848" s="166">
        <v>1</v>
      </c>
      <c r="R2848" s="164">
        <f>$L2848*'Pivot Objective'!$C$9*P2848*Q2848</f>
        <v>2674435.3669799995</v>
      </c>
      <c r="S2848" s="166">
        <v>60</v>
      </c>
      <c r="T2848" s="166">
        <v>1</v>
      </c>
      <c r="U2848" s="164">
        <f>($L2848*'Pivot Objective'!$C$9^2)*S2848*T2848</f>
        <v>3056668.6034843787</v>
      </c>
      <c r="V2848" s="140"/>
      <c r="W2848" s="140"/>
      <c r="X2848" s="164">
        <f>($L2848*'Pivot Objective'!$C$9^3)*V2848*W2848</f>
        <v>0</v>
      </c>
      <c r="Y2848" s="140"/>
      <c r="Z2848" s="140"/>
      <c r="AA2848" s="164">
        <f>($L2848*'Pivot Objective'!$C$9^4)*Y2848*Z2848</f>
        <v>0</v>
      </c>
      <c r="AB2848" s="140"/>
      <c r="AC2848" s="140"/>
      <c r="AD2848" s="164">
        <f>($L2848*'Pivot Objective'!$C$9^5)*AB2848*AC2848</f>
        <v>0</v>
      </c>
      <c r="AE2848" s="140"/>
      <c r="AF2848" s="140"/>
      <c r="AG2848" s="164">
        <f>($L2848*'Pivot Objective'!$C$9^6)*AE2848*AF2848</f>
        <v>0</v>
      </c>
      <c r="AH2848" s="140"/>
      <c r="AI2848" s="140"/>
      <c r="AJ2848" s="164">
        <f>($L2848*'Pivot Objective'!$C$9^7)*AH2848*AI2848</f>
        <v>0</v>
      </c>
      <c r="AK2848" s="185">
        <f t="shared" si="312"/>
        <v>5731103.9704643786</v>
      </c>
      <c r="AL2848" s="186">
        <f t="shared" si="313"/>
        <v>5564.1786121013383</v>
      </c>
    </row>
    <row r="2849" spans="1:38" customFormat="1" ht="86.4" x14ac:dyDescent="0.3">
      <c r="A2849" s="140" t="s">
        <v>1483</v>
      </c>
      <c r="B2849" s="140">
        <v>4</v>
      </c>
      <c r="C2849" s="166" t="s">
        <v>697</v>
      </c>
      <c r="D2849" s="140" t="str">
        <f t="shared" si="308"/>
        <v>4</v>
      </c>
      <c r="E2849" s="166" t="s">
        <v>695</v>
      </c>
      <c r="F2849" s="140">
        <f t="shared" si="314"/>
        <v>10</v>
      </c>
      <c r="G2849" s="140" t="str">
        <f t="shared" si="309"/>
        <v>4.4.10</v>
      </c>
      <c r="H2849" s="166" t="s">
        <v>1701</v>
      </c>
      <c r="I2849" s="166" t="s">
        <v>1346</v>
      </c>
      <c r="J2849" s="166" t="s">
        <v>624</v>
      </c>
      <c r="K2849" s="166" t="s">
        <v>712</v>
      </c>
      <c r="L2849" s="166">
        <f>1480/7</f>
        <v>211.42857142857142</v>
      </c>
      <c r="M2849" s="140">
        <v>0</v>
      </c>
      <c r="N2849" s="140">
        <v>0</v>
      </c>
      <c r="O2849" s="164">
        <f t="shared" si="311"/>
        <v>0</v>
      </c>
      <c r="P2849" s="166">
        <f>2*9*25</f>
        <v>450</v>
      </c>
      <c r="Q2849" s="166">
        <v>1</v>
      </c>
      <c r="R2849" s="164">
        <f>$L2849*'Pivot Objective'!$C$9*P2849*Q2849</f>
        <v>108740.77865742856</v>
      </c>
      <c r="S2849" s="166">
        <f>2*9*25</f>
        <v>450</v>
      </c>
      <c r="T2849" s="166">
        <v>1</v>
      </c>
      <c r="U2849" s="164">
        <f>($L2849*'Pivot Objective'!$C$9^2)*S2849*T2849</f>
        <v>124282.13003178244</v>
      </c>
      <c r="V2849" s="140"/>
      <c r="W2849" s="140"/>
      <c r="X2849" s="164">
        <f>($L2849*'Pivot Objective'!$C$9^3)*V2849*W2849</f>
        <v>0</v>
      </c>
      <c r="Y2849" s="140"/>
      <c r="Z2849" s="140"/>
      <c r="AA2849" s="164">
        <f>($L2849*'Pivot Objective'!$C$9^4)*Y2849*Z2849</f>
        <v>0</v>
      </c>
      <c r="AB2849" s="140"/>
      <c r="AC2849" s="140"/>
      <c r="AD2849" s="164">
        <f>($L2849*'Pivot Objective'!$C$9^5)*AB2849*AC2849</f>
        <v>0</v>
      </c>
      <c r="AE2849" s="140"/>
      <c r="AF2849" s="140"/>
      <c r="AG2849" s="164">
        <f>($L2849*'Pivot Objective'!$C$9^6)*AE2849*AF2849</f>
        <v>0</v>
      </c>
      <c r="AH2849" s="140"/>
      <c r="AI2849" s="140"/>
      <c r="AJ2849" s="164">
        <f>($L2849*'Pivot Objective'!$C$9^7)*AH2849*AI2849</f>
        <v>0</v>
      </c>
      <c r="AK2849" s="185">
        <f t="shared" si="312"/>
        <v>233022.90868921101</v>
      </c>
      <c r="AL2849" s="186">
        <f t="shared" si="313"/>
        <v>226.23583367884564</v>
      </c>
    </row>
    <row r="2850" spans="1:38" customFormat="1" ht="86.4" x14ac:dyDescent="0.3">
      <c r="A2850" s="140" t="s">
        <v>1483</v>
      </c>
      <c r="B2850" s="140">
        <v>4</v>
      </c>
      <c r="C2850" s="166" t="s">
        <v>697</v>
      </c>
      <c r="D2850" s="140" t="str">
        <f t="shared" si="308"/>
        <v>4</v>
      </c>
      <c r="E2850" s="166" t="s">
        <v>695</v>
      </c>
      <c r="F2850" s="140">
        <f t="shared" si="314"/>
        <v>10</v>
      </c>
      <c r="G2850" s="140" t="str">
        <f t="shared" si="309"/>
        <v>4.4.10</v>
      </c>
      <c r="H2850" s="166" t="s">
        <v>1701</v>
      </c>
      <c r="I2850" s="166" t="s">
        <v>1346</v>
      </c>
      <c r="J2850" s="166" t="s">
        <v>624</v>
      </c>
      <c r="K2850" s="166" t="s">
        <v>1320</v>
      </c>
      <c r="L2850" s="166">
        <f>1480/7</f>
        <v>211.42857142857142</v>
      </c>
      <c r="M2850" s="140">
        <v>0</v>
      </c>
      <c r="N2850" s="140">
        <v>0</v>
      </c>
      <c r="O2850" s="164">
        <f t="shared" si="311"/>
        <v>0</v>
      </c>
      <c r="P2850" s="166">
        <f>2*135*9</f>
        <v>2430</v>
      </c>
      <c r="Q2850" s="166">
        <v>1</v>
      </c>
      <c r="R2850" s="164">
        <f>$L2850*'Pivot Objective'!$C$9*P2850*Q2850</f>
        <v>587200.20475011424</v>
      </c>
      <c r="S2850" s="166">
        <f>2*135*9</f>
        <v>2430</v>
      </c>
      <c r="T2850" s="166">
        <v>1</v>
      </c>
      <c r="U2850" s="164">
        <f>($L2850*'Pivot Objective'!$C$9^2)*S2850*T2850</f>
        <v>671123.50217162515</v>
      </c>
      <c r="V2850" s="140"/>
      <c r="W2850" s="140"/>
      <c r="X2850" s="164">
        <f>($L2850*'Pivot Objective'!$C$9^3)*V2850*W2850</f>
        <v>0</v>
      </c>
      <c r="Y2850" s="140"/>
      <c r="Z2850" s="140"/>
      <c r="AA2850" s="164">
        <f>($L2850*'Pivot Objective'!$C$9^4)*Y2850*Z2850</f>
        <v>0</v>
      </c>
      <c r="AB2850" s="140"/>
      <c r="AC2850" s="140"/>
      <c r="AD2850" s="164">
        <f>($L2850*'Pivot Objective'!$C$9^5)*AB2850*AC2850</f>
        <v>0</v>
      </c>
      <c r="AE2850" s="140"/>
      <c r="AF2850" s="140"/>
      <c r="AG2850" s="164">
        <f>($L2850*'Pivot Objective'!$C$9^6)*AE2850*AF2850</f>
        <v>0</v>
      </c>
      <c r="AH2850" s="140"/>
      <c r="AI2850" s="140"/>
      <c r="AJ2850" s="164">
        <f>($L2850*'Pivot Objective'!$C$9^7)*AH2850*AI2850</f>
        <v>0</v>
      </c>
      <c r="AK2850" s="185">
        <f t="shared" si="312"/>
        <v>1258323.7069217395</v>
      </c>
      <c r="AL2850" s="186">
        <f t="shared" si="313"/>
        <v>1221.6735018657664</v>
      </c>
    </row>
    <row r="2851" spans="1:38" customFormat="1" ht="86.4" x14ac:dyDescent="0.3">
      <c r="A2851" s="140" t="s">
        <v>1483</v>
      </c>
      <c r="B2851" s="140">
        <v>4</v>
      </c>
      <c r="C2851" s="166" t="s">
        <v>697</v>
      </c>
      <c r="D2851" s="140" t="str">
        <f t="shared" si="308"/>
        <v>4</v>
      </c>
      <c r="E2851" s="166" t="s">
        <v>695</v>
      </c>
      <c r="F2851" s="140">
        <f t="shared" si="314"/>
        <v>10</v>
      </c>
      <c r="G2851" s="140" t="str">
        <f t="shared" si="309"/>
        <v>4.4.10</v>
      </c>
      <c r="H2851" s="166" t="s">
        <v>1701</v>
      </c>
      <c r="I2851" s="166" t="s">
        <v>1346</v>
      </c>
      <c r="J2851" s="166" t="s">
        <v>625</v>
      </c>
      <c r="K2851" s="166" t="s">
        <v>709</v>
      </c>
      <c r="L2851" s="166">
        <v>35000</v>
      </c>
      <c r="M2851" s="140">
        <v>0</v>
      </c>
      <c r="N2851" s="140">
        <v>0</v>
      </c>
      <c r="O2851" s="164">
        <f t="shared" si="311"/>
        <v>0</v>
      </c>
      <c r="P2851" s="166">
        <v>62</v>
      </c>
      <c r="Q2851" s="166">
        <v>1</v>
      </c>
      <c r="R2851" s="164">
        <f>$L2851*'Pivot Objective'!$C$9*P2851*Q2851</f>
        <v>2480138.7804899998</v>
      </c>
      <c r="S2851" s="166">
        <v>62</v>
      </c>
      <c r="T2851" s="166">
        <v>1</v>
      </c>
      <c r="U2851" s="164">
        <f>($L2851*'Pivot Objective'!$C$9^2)*S2851*T2851</f>
        <v>2834602.9357098723</v>
      </c>
      <c r="V2851" s="140"/>
      <c r="W2851" s="140"/>
      <c r="X2851" s="164">
        <f>($L2851*'Pivot Objective'!$C$9^3)*V2851*W2851</f>
        <v>0</v>
      </c>
      <c r="Y2851" s="140"/>
      <c r="Z2851" s="140"/>
      <c r="AA2851" s="164">
        <f>($L2851*'Pivot Objective'!$C$9^4)*Y2851*Z2851</f>
        <v>0</v>
      </c>
      <c r="AB2851" s="140"/>
      <c r="AC2851" s="140"/>
      <c r="AD2851" s="164">
        <f>($L2851*'Pivot Objective'!$C$9^5)*AB2851*AC2851</f>
        <v>0</v>
      </c>
      <c r="AE2851" s="140"/>
      <c r="AF2851" s="140"/>
      <c r="AG2851" s="164">
        <f>($L2851*'Pivot Objective'!$C$9^6)*AE2851*AF2851</f>
        <v>0</v>
      </c>
      <c r="AH2851" s="140"/>
      <c r="AI2851" s="140"/>
      <c r="AJ2851" s="164">
        <f>($L2851*'Pivot Objective'!$C$9^7)*AH2851*AI2851</f>
        <v>0</v>
      </c>
      <c r="AK2851" s="185">
        <f t="shared" si="312"/>
        <v>5314741.7161998721</v>
      </c>
      <c r="AL2851" s="186">
        <f t="shared" si="313"/>
        <v>5159.9434137862836</v>
      </c>
    </row>
    <row r="2852" spans="1:38" customFormat="1" ht="86.4" x14ac:dyDescent="0.3">
      <c r="A2852" s="140" t="s">
        <v>1483</v>
      </c>
      <c r="B2852" s="140">
        <v>4</v>
      </c>
      <c r="C2852" s="166" t="s">
        <v>697</v>
      </c>
      <c r="D2852" s="140" t="str">
        <f t="shared" si="308"/>
        <v>4</v>
      </c>
      <c r="E2852" s="166" t="s">
        <v>695</v>
      </c>
      <c r="F2852" s="140">
        <f t="shared" si="314"/>
        <v>10</v>
      </c>
      <c r="G2852" s="140" t="str">
        <f t="shared" si="309"/>
        <v>4.4.10</v>
      </c>
      <c r="H2852" s="166" t="s">
        <v>1701</v>
      </c>
      <c r="I2852" s="166" t="s">
        <v>1346</v>
      </c>
      <c r="J2852" s="166" t="s">
        <v>626</v>
      </c>
      <c r="K2852" s="166" t="s">
        <v>721</v>
      </c>
      <c r="L2852" s="166">
        <v>80000</v>
      </c>
      <c r="M2852" s="140">
        <v>0</v>
      </c>
      <c r="N2852" s="140">
        <v>0</v>
      </c>
      <c r="O2852" s="164">
        <f t="shared" si="311"/>
        <v>0</v>
      </c>
      <c r="P2852" s="166">
        <v>32</v>
      </c>
      <c r="Q2852" s="166">
        <v>1</v>
      </c>
      <c r="R2852" s="164">
        <f>$L2852*'Pivot Objective'!$C$9*P2852*Q2852</f>
        <v>2925878.0083199996</v>
      </c>
      <c r="S2852" s="166">
        <v>32</v>
      </c>
      <c r="T2852" s="166">
        <v>1</v>
      </c>
      <c r="U2852" s="164">
        <f>($L2852*'Pivot Objective'!$C$9^2)*S2852*T2852</f>
        <v>3344047.7029572693</v>
      </c>
      <c r="V2852" s="140"/>
      <c r="W2852" s="140"/>
      <c r="X2852" s="164">
        <f>($L2852*'Pivot Objective'!$C$9^3)*V2852*W2852</f>
        <v>0</v>
      </c>
      <c r="Y2852" s="140"/>
      <c r="Z2852" s="140"/>
      <c r="AA2852" s="164">
        <f>($L2852*'Pivot Objective'!$C$9^4)*Y2852*Z2852</f>
        <v>0</v>
      </c>
      <c r="AB2852" s="140"/>
      <c r="AC2852" s="140"/>
      <c r="AD2852" s="164">
        <f>($L2852*'Pivot Objective'!$C$9^5)*AB2852*AC2852</f>
        <v>0</v>
      </c>
      <c r="AE2852" s="140"/>
      <c r="AF2852" s="140"/>
      <c r="AG2852" s="164">
        <f>($L2852*'Pivot Objective'!$C$9^6)*AE2852*AF2852</f>
        <v>0</v>
      </c>
      <c r="AH2852" s="140"/>
      <c r="AI2852" s="140"/>
      <c r="AJ2852" s="164">
        <f>($L2852*'Pivot Objective'!$C$9^7)*AH2852*AI2852</f>
        <v>0</v>
      </c>
      <c r="AK2852" s="185">
        <f t="shared" si="312"/>
        <v>6269925.7112772688</v>
      </c>
      <c r="AL2852" s="186">
        <f t="shared" si="313"/>
        <v>6087.3065158031732</v>
      </c>
    </row>
    <row r="2853" spans="1:38" customFormat="1" ht="86.4" x14ac:dyDescent="0.3">
      <c r="A2853" s="140" t="s">
        <v>1483</v>
      </c>
      <c r="B2853" s="140">
        <v>4</v>
      </c>
      <c r="C2853" s="166" t="s">
        <v>697</v>
      </c>
      <c r="D2853" s="140" t="str">
        <f t="shared" si="308"/>
        <v>4</v>
      </c>
      <c r="E2853" s="166" t="s">
        <v>695</v>
      </c>
      <c r="F2853" s="140">
        <f t="shared" si="314"/>
        <v>10</v>
      </c>
      <c r="G2853" s="140" t="str">
        <f t="shared" si="309"/>
        <v>4.4.10</v>
      </c>
      <c r="H2853" s="166" t="s">
        <v>1701</v>
      </c>
      <c r="I2853" s="166" t="s">
        <v>1346</v>
      </c>
      <c r="J2853" s="166" t="s">
        <v>626</v>
      </c>
      <c r="K2853" s="166" t="s">
        <v>716</v>
      </c>
      <c r="L2853" s="166">
        <v>45000</v>
      </c>
      <c r="M2853" s="140">
        <v>0</v>
      </c>
      <c r="N2853" s="140">
        <v>0</v>
      </c>
      <c r="O2853" s="164">
        <f t="shared" si="311"/>
        <v>0</v>
      </c>
      <c r="P2853" s="166">
        <v>30</v>
      </c>
      <c r="Q2853" s="166">
        <v>1</v>
      </c>
      <c r="R2853" s="164">
        <f>$L2853*'Pivot Objective'!$C$9*P2853*Q2853</f>
        <v>1542943.4809499998</v>
      </c>
      <c r="S2853" s="166">
        <v>30</v>
      </c>
      <c r="T2853" s="166">
        <v>1</v>
      </c>
      <c r="U2853" s="164">
        <f>($L2853*'Pivot Objective'!$C$9^2)*S2853*T2853</f>
        <v>1763462.6558563723</v>
      </c>
      <c r="V2853" s="140"/>
      <c r="W2853" s="140"/>
      <c r="X2853" s="164">
        <f>($L2853*'Pivot Objective'!$C$9^3)*V2853*W2853</f>
        <v>0</v>
      </c>
      <c r="Y2853" s="140"/>
      <c r="Z2853" s="140"/>
      <c r="AA2853" s="164">
        <f>($L2853*'Pivot Objective'!$C$9^4)*Y2853*Z2853</f>
        <v>0</v>
      </c>
      <c r="AB2853" s="140"/>
      <c r="AC2853" s="140"/>
      <c r="AD2853" s="164">
        <f>($L2853*'Pivot Objective'!$C$9^5)*AB2853*AC2853</f>
        <v>0</v>
      </c>
      <c r="AE2853" s="140"/>
      <c r="AF2853" s="140"/>
      <c r="AG2853" s="164">
        <f>($L2853*'Pivot Objective'!$C$9^6)*AE2853*AF2853</f>
        <v>0</v>
      </c>
      <c r="AH2853" s="140"/>
      <c r="AI2853" s="140"/>
      <c r="AJ2853" s="164">
        <f>($L2853*'Pivot Objective'!$C$9^7)*AH2853*AI2853</f>
        <v>0</v>
      </c>
      <c r="AK2853" s="185">
        <f t="shared" si="312"/>
        <v>3306406.1368063721</v>
      </c>
      <c r="AL2853" s="186">
        <f t="shared" si="313"/>
        <v>3210.1030454430797</v>
      </c>
    </row>
    <row r="2854" spans="1:38" customFormat="1" ht="86.4" x14ac:dyDescent="0.3">
      <c r="A2854" s="140" t="s">
        <v>1483</v>
      </c>
      <c r="B2854" s="140">
        <v>4</v>
      </c>
      <c r="C2854" s="166" t="s">
        <v>697</v>
      </c>
      <c r="D2854" s="140" t="str">
        <f t="shared" si="308"/>
        <v>4</v>
      </c>
      <c r="E2854" s="166" t="s">
        <v>695</v>
      </c>
      <c r="F2854" s="140">
        <f t="shared" si="314"/>
        <v>10</v>
      </c>
      <c r="G2854" s="140" t="str">
        <f t="shared" si="309"/>
        <v>4.4.10</v>
      </c>
      <c r="H2854" s="166" t="s">
        <v>1701</v>
      </c>
      <c r="I2854" s="166" t="s">
        <v>1346</v>
      </c>
      <c r="J2854" s="166" t="s">
        <v>626</v>
      </c>
      <c r="K2854" s="166" t="s">
        <v>712</v>
      </c>
      <c r="L2854" s="166">
        <f>1480/7</f>
        <v>211.42857142857142</v>
      </c>
      <c r="M2854" s="140">
        <v>0</v>
      </c>
      <c r="N2854" s="140">
        <v>0</v>
      </c>
      <c r="O2854" s="164">
        <f t="shared" si="311"/>
        <v>0</v>
      </c>
      <c r="P2854" s="166">
        <f>2*25*9</f>
        <v>450</v>
      </c>
      <c r="Q2854" s="166">
        <v>1</v>
      </c>
      <c r="R2854" s="164">
        <f>$L2854*'Pivot Objective'!$C$9*P2854*Q2854</f>
        <v>108740.77865742856</v>
      </c>
      <c r="S2854" s="166">
        <f>2*25*9</f>
        <v>450</v>
      </c>
      <c r="T2854" s="166">
        <v>1</v>
      </c>
      <c r="U2854" s="164">
        <f>($L2854*'Pivot Objective'!$C$9^2)*S2854*T2854</f>
        <v>124282.13003178244</v>
      </c>
      <c r="V2854" s="140"/>
      <c r="W2854" s="140"/>
      <c r="X2854" s="164">
        <f>($L2854*'Pivot Objective'!$C$9^3)*V2854*W2854</f>
        <v>0</v>
      </c>
      <c r="Y2854" s="140"/>
      <c r="Z2854" s="140"/>
      <c r="AA2854" s="164">
        <f>($L2854*'Pivot Objective'!$C$9^4)*Y2854*Z2854</f>
        <v>0</v>
      </c>
      <c r="AB2854" s="140"/>
      <c r="AC2854" s="140"/>
      <c r="AD2854" s="164">
        <f>($L2854*'Pivot Objective'!$C$9^5)*AB2854*AC2854</f>
        <v>0</v>
      </c>
      <c r="AE2854" s="140"/>
      <c r="AF2854" s="140"/>
      <c r="AG2854" s="164">
        <f>($L2854*'Pivot Objective'!$C$9^6)*AE2854*AF2854</f>
        <v>0</v>
      </c>
      <c r="AH2854" s="140"/>
      <c r="AI2854" s="140"/>
      <c r="AJ2854" s="164">
        <f>($L2854*'Pivot Objective'!$C$9^7)*AH2854*AI2854</f>
        <v>0</v>
      </c>
      <c r="AK2854" s="185">
        <f t="shared" si="312"/>
        <v>233022.90868921101</v>
      </c>
      <c r="AL2854" s="186">
        <f t="shared" si="313"/>
        <v>226.23583367884564</v>
      </c>
    </row>
    <row r="2855" spans="1:38" customFormat="1" ht="86.4" x14ac:dyDescent="0.3">
      <c r="A2855" s="140" t="s">
        <v>1483</v>
      </c>
      <c r="B2855" s="140">
        <v>4</v>
      </c>
      <c r="C2855" s="166" t="s">
        <v>697</v>
      </c>
      <c r="D2855" s="140" t="str">
        <f t="shared" si="308"/>
        <v>4</v>
      </c>
      <c r="E2855" s="166" t="s">
        <v>695</v>
      </c>
      <c r="F2855" s="140">
        <f t="shared" si="314"/>
        <v>10</v>
      </c>
      <c r="G2855" s="140" t="str">
        <f t="shared" si="309"/>
        <v>4.4.10</v>
      </c>
      <c r="H2855" s="166" t="s">
        <v>1701</v>
      </c>
      <c r="I2855" s="166" t="s">
        <v>1346</v>
      </c>
      <c r="J2855" s="166" t="s">
        <v>626</v>
      </c>
      <c r="K2855" s="166" t="s">
        <v>1320</v>
      </c>
      <c r="L2855" s="166">
        <f>1480/7</f>
        <v>211.42857142857142</v>
      </c>
      <c r="M2855" s="140">
        <v>0</v>
      </c>
      <c r="N2855" s="140">
        <v>0</v>
      </c>
      <c r="O2855" s="164">
        <f t="shared" si="311"/>
        <v>0</v>
      </c>
      <c r="P2855" s="166">
        <f>2*135*9</f>
        <v>2430</v>
      </c>
      <c r="Q2855" s="166">
        <v>1</v>
      </c>
      <c r="R2855" s="164">
        <f>$L2855*'Pivot Objective'!$C$9*P2855*Q2855</f>
        <v>587200.20475011424</v>
      </c>
      <c r="S2855" s="166">
        <f>2*135*9</f>
        <v>2430</v>
      </c>
      <c r="T2855" s="166">
        <v>1</v>
      </c>
      <c r="U2855" s="164">
        <f>($L2855*'Pivot Objective'!$C$9^2)*S2855*T2855</f>
        <v>671123.50217162515</v>
      </c>
      <c r="V2855" s="140"/>
      <c r="W2855" s="140"/>
      <c r="X2855" s="164">
        <f>($L2855*'Pivot Objective'!$C$9^3)*V2855*W2855</f>
        <v>0</v>
      </c>
      <c r="Y2855" s="140"/>
      <c r="Z2855" s="140"/>
      <c r="AA2855" s="164">
        <f>($L2855*'Pivot Objective'!$C$9^4)*Y2855*Z2855</f>
        <v>0</v>
      </c>
      <c r="AB2855" s="140"/>
      <c r="AC2855" s="140"/>
      <c r="AD2855" s="164">
        <f>($L2855*'Pivot Objective'!$C$9^5)*AB2855*AC2855</f>
        <v>0</v>
      </c>
      <c r="AE2855" s="140"/>
      <c r="AF2855" s="140"/>
      <c r="AG2855" s="164">
        <f>($L2855*'Pivot Objective'!$C$9^6)*AE2855*AF2855</f>
        <v>0</v>
      </c>
      <c r="AH2855" s="140"/>
      <c r="AI2855" s="140"/>
      <c r="AJ2855" s="164">
        <f>($L2855*'Pivot Objective'!$C$9^7)*AH2855*AI2855</f>
        <v>0</v>
      </c>
      <c r="AK2855" s="185">
        <f t="shared" si="312"/>
        <v>1258323.7069217395</v>
      </c>
      <c r="AL2855" s="186">
        <f t="shared" si="313"/>
        <v>1221.6735018657664</v>
      </c>
    </row>
    <row r="2856" spans="1:38" customFormat="1" ht="86.4" x14ac:dyDescent="0.3">
      <c r="A2856" s="140" t="s">
        <v>1483</v>
      </c>
      <c r="B2856" s="140">
        <v>4</v>
      </c>
      <c r="C2856" s="166" t="s">
        <v>697</v>
      </c>
      <c r="D2856" s="140" t="str">
        <f t="shared" si="308"/>
        <v>4</v>
      </c>
      <c r="E2856" s="166" t="s">
        <v>695</v>
      </c>
      <c r="F2856" s="140">
        <f t="shared" si="314"/>
        <v>10</v>
      </c>
      <c r="G2856" s="140" t="str">
        <f t="shared" si="309"/>
        <v>4.4.10</v>
      </c>
      <c r="H2856" s="166" t="s">
        <v>1701</v>
      </c>
      <c r="I2856" s="166" t="s">
        <v>1346</v>
      </c>
      <c r="J2856" s="166" t="s">
        <v>626</v>
      </c>
      <c r="K2856" s="166" t="s">
        <v>709</v>
      </c>
      <c r="L2856" s="166">
        <v>35000</v>
      </c>
      <c r="M2856" s="140">
        <v>0</v>
      </c>
      <c r="N2856" s="140">
        <v>0</v>
      </c>
      <c r="O2856" s="164">
        <f t="shared" si="311"/>
        <v>0</v>
      </c>
      <c r="P2856" s="166">
        <v>62</v>
      </c>
      <c r="Q2856" s="166">
        <v>1</v>
      </c>
      <c r="R2856" s="164">
        <f>$L2856*'Pivot Objective'!$C$9*P2856*Q2856</f>
        <v>2480138.7804899998</v>
      </c>
      <c r="S2856" s="166">
        <v>62</v>
      </c>
      <c r="T2856" s="166">
        <v>1</v>
      </c>
      <c r="U2856" s="164">
        <f>($L2856*'Pivot Objective'!$C$9^2)*S2856*T2856</f>
        <v>2834602.9357098723</v>
      </c>
      <c r="V2856" s="140"/>
      <c r="W2856" s="140"/>
      <c r="X2856" s="164">
        <f>($L2856*'Pivot Objective'!$C$9^3)*V2856*W2856</f>
        <v>0</v>
      </c>
      <c r="Y2856" s="140"/>
      <c r="Z2856" s="140"/>
      <c r="AA2856" s="164">
        <f>($L2856*'Pivot Objective'!$C$9^4)*Y2856*Z2856</f>
        <v>0</v>
      </c>
      <c r="AB2856" s="140"/>
      <c r="AC2856" s="140"/>
      <c r="AD2856" s="164">
        <f>($L2856*'Pivot Objective'!$C$9^5)*AB2856*AC2856</f>
        <v>0</v>
      </c>
      <c r="AE2856" s="140"/>
      <c r="AF2856" s="140"/>
      <c r="AG2856" s="164">
        <f>($L2856*'Pivot Objective'!$C$9^6)*AE2856*AF2856</f>
        <v>0</v>
      </c>
      <c r="AH2856" s="140"/>
      <c r="AI2856" s="140"/>
      <c r="AJ2856" s="164">
        <f>($L2856*'Pivot Objective'!$C$9^7)*AH2856*AI2856</f>
        <v>0</v>
      </c>
      <c r="AK2856" s="185">
        <f t="shared" si="312"/>
        <v>5314741.7161998721</v>
      </c>
      <c r="AL2856" s="186">
        <f t="shared" si="313"/>
        <v>5159.9434137862836</v>
      </c>
    </row>
    <row r="2857" spans="1:38" customFormat="1" ht="86.4" x14ac:dyDescent="0.3">
      <c r="A2857" s="140" t="s">
        <v>1483</v>
      </c>
      <c r="B2857" s="140">
        <v>4</v>
      </c>
      <c r="C2857" s="166" t="s">
        <v>697</v>
      </c>
      <c r="D2857" s="140" t="str">
        <f t="shared" si="308"/>
        <v>4</v>
      </c>
      <c r="E2857" s="166" t="s">
        <v>695</v>
      </c>
      <c r="F2857" s="140">
        <f t="shared" si="314"/>
        <v>10</v>
      </c>
      <c r="G2857" s="140" t="str">
        <f t="shared" si="309"/>
        <v>4.4.10</v>
      </c>
      <c r="H2857" s="166" t="s">
        <v>1701</v>
      </c>
      <c r="I2857" s="166" t="s">
        <v>1346</v>
      </c>
      <c r="J2857" s="166" t="s">
        <v>627</v>
      </c>
      <c r="K2857" s="166" t="s">
        <v>718</v>
      </c>
      <c r="L2857" s="166">
        <v>0</v>
      </c>
      <c r="M2857" s="140">
        <v>0</v>
      </c>
      <c r="N2857" s="140">
        <v>0</v>
      </c>
      <c r="O2857" s="164">
        <f t="shared" si="311"/>
        <v>0</v>
      </c>
      <c r="P2857" s="166">
        <v>62</v>
      </c>
      <c r="Q2857" s="166">
        <v>1</v>
      </c>
      <c r="R2857" s="164">
        <f>$L2857*'Pivot Objective'!$C$9*P2857*Q2857</f>
        <v>0</v>
      </c>
      <c r="S2857" s="166">
        <v>62</v>
      </c>
      <c r="T2857" s="166">
        <v>1</v>
      </c>
      <c r="U2857" s="164">
        <f>($L2857*'Pivot Objective'!$C$9^2)*S2857*T2857</f>
        <v>0</v>
      </c>
      <c r="V2857" s="140"/>
      <c r="W2857" s="140"/>
      <c r="X2857" s="164">
        <f>($L2857*'Pivot Objective'!$C$9^3)*V2857*W2857</f>
        <v>0</v>
      </c>
      <c r="Y2857" s="140"/>
      <c r="Z2857" s="140"/>
      <c r="AA2857" s="164">
        <f>($L2857*'Pivot Objective'!$C$9^4)*Y2857*Z2857</f>
        <v>0</v>
      </c>
      <c r="AB2857" s="140"/>
      <c r="AC2857" s="140"/>
      <c r="AD2857" s="164">
        <f>($L2857*'Pivot Objective'!$C$9^5)*AB2857*AC2857</f>
        <v>0</v>
      </c>
      <c r="AE2857" s="140"/>
      <c r="AF2857" s="140"/>
      <c r="AG2857" s="164">
        <f>($L2857*'Pivot Objective'!$C$9^6)*AE2857*AF2857</f>
        <v>0</v>
      </c>
      <c r="AH2857" s="140"/>
      <c r="AI2857" s="140"/>
      <c r="AJ2857" s="164">
        <f>($L2857*'Pivot Objective'!$C$9^7)*AH2857*AI2857</f>
        <v>0</v>
      </c>
      <c r="AK2857" s="185">
        <f t="shared" si="312"/>
        <v>0</v>
      </c>
      <c r="AL2857" s="186">
        <f t="shared" si="313"/>
        <v>0</v>
      </c>
    </row>
    <row r="2858" spans="1:38" customFormat="1" ht="86.4" x14ac:dyDescent="0.3">
      <c r="A2858" s="140" t="s">
        <v>1483</v>
      </c>
      <c r="B2858" s="140">
        <v>4</v>
      </c>
      <c r="C2858" s="166" t="s">
        <v>697</v>
      </c>
      <c r="D2858" s="140" t="str">
        <f t="shared" si="308"/>
        <v>4</v>
      </c>
      <c r="E2858" s="166" t="s">
        <v>695</v>
      </c>
      <c r="F2858" s="140">
        <f t="shared" si="314"/>
        <v>10</v>
      </c>
      <c r="G2858" s="140" t="str">
        <f t="shared" si="309"/>
        <v>4.4.10</v>
      </c>
      <c r="H2858" s="166" t="s">
        <v>1701</v>
      </c>
      <c r="I2858" s="166" t="s">
        <v>1346</v>
      </c>
      <c r="J2858" s="166" t="s">
        <v>628</v>
      </c>
      <c r="K2858" s="166" t="s">
        <v>718</v>
      </c>
      <c r="L2858" s="166">
        <v>0</v>
      </c>
      <c r="M2858" s="140">
        <v>0</v>
      </c>
      <c r="N2858" s="140">
        <v>0</v>
      </c>
      <c r="O2858" s="164">
        <f t="shared" si="311"/>
        <v>0</v>
      </c>
      <c r="P2858" s="166">
        <v>0</v>
      </c>
      <c r="Q2858" s="166">
        <v>0</v>
      </c>
      <c r="R2858" s="164">
        <f>$L2858*'Pivot Objective'!$C$9*P2858*Q2858</f>
        <v>0</v>
      </c>
      <c r="S2858" s="166">
        <v>0</v>
      </c>
      <c r="T2858" s="166">
        <v>0</v>
      </c>
      <c r="U2858" s="164">
        <f>($L2858*'Pivot Objective'!$C$9^2)*S2858*T2858</f>
        <v>0</v>
      </c>
      <c r="V2858" s="140"/>
      <c r="W2858" s="140"/>
      <c r="X2858" s="164">
        <f>($L2858*'Pivot Objective'!$C$9^3)*V2858*W2858</f>
        <v>0</v>
      </c>
      <c r="Y2858" s="140"/>
      <c r="Z2858" s="140"/>
      <c r="AA2858" s="164">
        <f>($L2858*'Pivot Objective'!$C$9^4)*Y2858*Z2858</f>
        <v>0</v>
      </c>
      <c r="AB2858" s="140"/>
      <c r="AC2858" s="140"/>
      <c r="AD2858" s="164">
        <f>($L2858*'Pivot Objective'!$C$9^5)*AB2858*AC2858</f>
        <v>0</v>
      </c>
      <c r="AE2858" s="140"/>
      <c r="AF2858" s="140"/>
      <c r="AG2858" s="164">
        <f>($L2858*'Pivot Objective'!$C$9^6)*AE2858*AF2858</f>
        <v>0</v>
      </c>
      <c r="AH2858" s="140"/>
      <c r="AI2858" s="140"/>
      <c r="AJ2858" s="164">
        <f>($L2858*'Pivot Objective'!$C$9^7)*AH2858*AI2858</f>
        <v>0</v>
      </c>
      <c r="AK2858" s="185">
        <f t="shared" si="312"/>
        <v>0</v>
      </c>
      <c r="AL2858" s="186">
        <f t="shared" si="313"/>
        <v>0</v>
      </c>
    </row>
    <row r="2859" spans="1:38" customFormat="1" ht="86.4" x14ac:dyDescent="0.3">
      <c r="A2859" s="140" t="s">
        <v>1483</v>
      </c>
      <c r="B2859" s="140">
        <v>4</v>
      </c>
      <c r="C2859" s="166" t="s">
        <v>697</v>
      </c>
      <c r="D2859" s="140" t="str">
        <f t="shared" si="308"/>
        <v>4</v>
      </c>
      <c r="E2859" s="166" t="s">
        <v>695</v>
      </c>
      <c r="F2859" s="140">
        <f t="shared" si="314"/>
        <v>10</v>
      </c>
      <c r="G2859" s="140" t="str">
        <f t="shared" si="309"/>
        <v>4.4.10</v>
      </c>
      <c r="H2859" s="166" t="s">
        <v>1701</v>
      </c>
      <c r="I2859" s="166" t="s">
        <v>1346</v>
      </c>
      <c r="J2859" s="166" t="s">
        <v>1348</v>
      </c>
      <c r="K2859" s="166" t="s">
        <v>718</v>
      </c>
      <c r="L2859" s="166">
        <v>0</v>
      </c>
      <c r="M2859" s="140">
        <v>0</v>
      </c>
      <c r="N2859" s="140">
        <v>0</v>
      </c>
      <c r="O2859" s="164">
        <f t="shared" si="311"/>
        <v>0</v>
      </c>
      <c r="P2859" s="166">
        <v>0</v>
      </c>
      <c r="Q2859" s="166">
        <v>0</v>
      </c>
      <c r="R2859" s="164">
        <f>$L2859*'Pivot Objective'!$C$9*P2859*Q2859</f>
        <v>0</v>
      </c>
      <c r="S2859" s="166">
        <v>0</v>
      </c>
      <c r="T2859" s="166">
        <v>0</v>
      </c>
      <c r="U2859" s="164">
        <f>($L2859*'Pivot Objective'!$C$9^2)*S2859*T2859</f>
        <v>0</v>
      </c>
      <c r="V2859" s="140"/>
      <c r="W2859" s="140"/>
      <c r="X2859" s="164">
        <f>($L2859*'Pivot Objective'!$C$9^3)*V2859*W2859</f>
        <v>0</v>
      </c>
      <c r="Y2859" s="140"/>
      <c r="Z2859" s="140"/>
      <c r="AA2859" s="164">
        <f>($L2859*'Pivot Objective'!$C$9^4)*Y2859*Z2859</f>
        <v>0</v>
      </c>
      <c r="AB2859" s="140"/>
      <c r="AC2859" s="140"/>
      <c r="AD2859" s="164">
        <f>($L2859*'Pivot Objective'!$C$9^5)*AB2859*AC2859</f>
        <v>0</v>
      </c>
      <c r="AE2859" s="140"/>
      <c r="AF2859" s="140"/>
      <c r="AG2859" s="164">
        <f>($L2859*'Pivot Objective'!$C$9^6)*AE2859*AF2859</f>
        <v>0</v>
      </c>
      <c r="AH2859" s="140"/>
      <c r="AI2859" s="140"/>
      <c r="AJ2859" s="164">
        <f>($L2859*'Pivot Objective'!$C$9^7)*AH2859*AI2859</f>
        <v>0</v>
      </c>
      <c r="AK2859" s="185">
        <f t="shared" si="312"/>
        <v>0</v>
      </c>
      <c r="AL2859" s="186">
        <f t="shared" si="313"/>
        <v>0</v>
      </c>
    </row>
    <row r="1046276" spans="24:33" x14ac:dyDescent="0.3">
      <c r="X1046276" s="165"/>
      <c r="AA1046276" s="165"/>
      <c r="AG1046276" s="165"/>
    </row>
    <row r="1046277" spans="24:33" x14ac:dyDescent="0.3">
      <c r="X1046277" s="164"/>
      <c r="AA1046277" s="164"/>
      <c r="AG1046277" s="164"/>
    </row>
    <row r="1046278" spans="24:33" x14ac:dyDescent="0.3">
      <c r="X1046278" s="164"/>
      <c r="AA1046278" s="164"/>
      <c r="AG1046278" s="164"/>
    </row>
    <row r="1046279" spans="24:33" x14ac:dyDescent="0.3">
      <c r="X1046279" s="164"/>
      <c r="AA1046279" s="164"/>
      <c r="AG1046279" s="164"/>
    </row>
    <row r="1046280" spans="24:33" x14ac:dyDescent="0.3">
      <c r="X1046280" s="164"/>
      <c r="AA1046280" s="164"/>
      <c r="AG1046280" s="164"/>
    </row>
    <row r="1046281" spans="24:33" x14ac:dyDescent="0.3">
      <c r="X1046281" s="164"/>
      <c r="AA1046281" s="164"/>
      <c r="AG1046281" s="164"/>
    </row>
    <row r="1046282" spans="24:33" x14ac:dyDescent="0.3">
      <c r="X1046282" s="164"/>
      <c r="AA1046282" s="164"/>
      <c r="AG1046282" s="164"/>
    </row>
    <row r="1046283" spans="24:33" x14ac:dyDescent="0.3">
      <c r="X1046283" s="164"/>
      <c r="AA1046283" s="164"/>
      <c r="AG1046283" s="164"/>
    </row>
    <row r="1046284" spans="24:33" x14ac:dyDescent="0.3">
      <c r="X1046284" s="164"/>
      <c r="AA1046284" s="164"/>
      <c r="AG1046284" s="164"/>
    </row>
    <row r="1046285" spans="24:33" x14ac:dyDescent="0.3">
      <c r="X1046285" s="164"/>
      <c r="AA1046285" s="164"/>
      <c r="AG1046285" s="164"/>
    </row>
    <row r="1046286" spans="24:33" x14ac:dyDescent="0.3">
      <c r="X1046286" s="164"/>
      <c r="AA1046286" s="164"/>
      <c r="AG1046286" s="164"/>
    </row>
    <row r="1046287" spans="24:33" x14ac:dyDescent="0.3">
      <c r="X1046287" s="164"/>
      <c r="AA1046287" s="164"/>
      <c r="AG1046287" s="164"/>
    </row>
    <row r="1046288" spans="24:33" x14ac:dyDescent="0.3">
      <c r="X1046288" s="164"/>
      <c r="AA1046288" s="164"/>
      <c r="AG1046288" s="164"/>
    </row>
    <row r="1046289" spans="24:33" x14ac:dyDescent="0.3">
      <c r="X1046289" s="164"/>
      <c r="AA1046289" s="164"/>
      <c r="AG1046289" s="164"/>
    </row>
    <row r="1046290" spans="24:33" x14ac:dyDescent="0.3">
      <c r="X1046290" s="164"/>
      <c r="AA1046290" s="164"/>
      <c r="AG1046290" s="164"/>
    </row>
    <row r="1046291" spans="24:33" x14ac:dyDescent="0.3">
      <c r="X1046291" s="164"/>
      <c r="AA1046291" s="164"/>
      <c r="AG1046291" s="164"/>
    </row>
    <row r="1046292" spans="24:33" x14ac:dyDescent="0.3">
      <c r="X1046292" s="164"/>
      <c r="AA1046292" s="164"/>
      <c r="AG1046292" s="164"/>
    </row>
    <row r="1046293" spans="24:33" x14ac:dyDescent="0.3">
      <c r="X1046293" s="164"/>
      <c r="AA1046293" s="164"/>
      <c r="AG1046293" s="164"/>
    </row>
    <row r="1046294" spans="24:33" x14ac:dyDescent="0.3">
      <c r="X1046294" s="164"/>
      <c r="AA1046294" s="164"/>
      <c r="AG1046294" s="164"/>
    </row>
    <row r="1046295" spans="24:33" x14ac:dyDescent="0.3">
      <c r="X1046295" s="164"/>
      <c r="AA1046295" s="164"/>
      <c r="AG1046295" s="164"/>
    </row>
    <row r="1046296" spans="24:33" x14ac:dyDescent="0.3">
      <c r="X1046296" s="164"/>
      <c r="AA1046296" s="164"/>
      <c r="AG1046296" s="164"/>
    </row>
    <row r="1046297" spans="24:33" x14ac:dyDescent="0.3">
      <c r="X1046297" s="164"/>
      <c r="AA1046297" s="164"/>
      <c r="AG1046297" s="164"/>
    </row>
    <row r="1046298" spans="24:33" x14ac:dyDescent="0.3">
      <c r="X1046298" s="164"/>
      <c r="AA1046298" s="164"/>
      <c r="AG1046298" s="164"/>
    </row>
    <row r="1046299" spans="24:33" x14ac:dyDescent="0.3">
      <c r="X1046299" s="164"/>
      <c r="AA1046299" s="164"/>
      <c r="AG1046299" s="164"/>
    </row>
    <row r="1046300" spans="24:33" x14ac:dyDescent="0.3">
      <c r="X1046300" s="164"/>
      <c r="AA1046300" s="164"/>
      <c r="AG1046300" s="164"/>
    </row>
    <row r="1046301" spans="24:33" x14ac:dyDescent="0.3">
      <c r="X1046301" s="164"/>
      <c r="AA1046301" s="164"/>
      <c r="AG1046301" s="164"/>
    </row>
    <row r="1046302" spans="24:33" x14ac:dyDescent="0.3">
      <c r="X1046302" s="164"/>
      <c r="AA1046302" s="164"/>
      <c r="AG1046302" s="164"/>
    </row>
    <row r="1046303" spans="24:33" x14ac:dyDescent="0.3">
      <c r="X1046303" s="164"/>
      <c r="AA1046303" s="164"/>
      <c r="AG1046303" s="164"/>
    </row>
    <row r="1046304" spans="24:33" x14ac:dyDescent="0.3">
      <c r="X1046304" s="164"/>
      <c r="AA1046304" s="164"/>
      <c r="AG1046304" s="164"/>
    </row>
    <row r="1046305" spans="24:33" x14ac:dyDescent="0.3">
      <c r="X1046305" s="164"/>
      <c r="AA1046305" s="164"/>
      <c r="AG1046305" s="164"/>
    </row>
    <row r="1046306" spans="24:33" x14ac:dyDescent="0.3">
      <c r="X1046306" s="164"/>
      <c r="AA1046306" s="164"/>
      <c r="AG1046306" s="164"/>
    </row>
    <row r="1046307" spans="24:33" x14ac:dyDescent="0.3">
      <c r="X1046307" s="164"/>
      <c r="AA1046307" s="164"/>
      <c r="AG1046307" s="164"/>
    </row>
    <row r="1046308" spans="24:33" x14ac:dyDescent="0.3">
      <c r="X1046308" s="164"/>
      <c r="AA1046308" s="164"/>
      <c r="AG1046308" s="164"/>
    </row>
    <row r="1046309" spans="24:33" x14ac:dyDescent="0.3">
      <c r="X1046309" s="164"/>
      <c r="AA1046309" s="164"/>
      <c r="AG1046309" s="164"/>
    </row>
    <row r="1046310" spans="24:33" x14ac:dyDescent="0.3">
      <c r="X1046310" s="164"/>
      <c r="AA1046310" s="164"/>
      <c r="AG1046310" s="164"/>
    </row>
    <row r="1046311" spans="24:33" x14ac:dyDescent="0.3">
      <c r="X1046311" s="164"/>
      <c r="AA1046311" s="164"/>
      <c r="AG1046311" s="164"/>
    </row>
    <row r="1046312" spans="24:33" x14ac:dyDescent="0.3">
      <c r="X1046312" s="164"/>
      <c r="AA1046312" s="164"/>
      <c r="AG1046312" s="164"/>
    </row>
    <row r="1046313" spans="24:33" x14ac:dyDescent="0.3">
      <c r="X1046313" s="164"/>
      <c r="AA1046313" s="164"/>
      <c r="AG1046313" s="164"/>
    </row>
    <row r="1046314" spans="24:33" x14ac:dyDescent="0.3">
      <c r="X1046314" s="164"/>
      <c r="AA1046314" s="164"/>
      <c r="AG1046314" s="164"/>
    </row>
    <row r="1046315" spans="24:33" x14ac:dyDescent="0.3">
      <c r="X1046315" s="164"/>
      <c r="AA1046315" s="164"/>
      <c r="AG1046315" s="164"/>
    </row>
    <row r="1046316" spans="24:33" x14ac:dyDescent="0.3">
      <c r="X1046316" s="164"/>
      <c r="AA1046316" s="164"/>
      <c r="AG1046316" s="164"/>
    </row>
    <row r="1046317" spans="24:33" x14ac:dyDescent="0.3">
      <c r="X1046317" s="164"/>
      <c r="AA1046317" s="164"/>
      <c r="AG1046317" s="164"/>
    </row>
    <row r="1046318" spans="24:33" x14ac:dyDescent="0.3">
      <c r="X1046318" s="164"/>
      <c r="AA1046318" s="164"/>
      <c r="AG1046318" s="164"/>
    </row>
    <row r="1046319" spans="24:33" x14ac:dyDescent="0.3">
      <c r="X1046319" s="164"/>
      <c r="AA1046319" s="164"/>
      <c r="AG1046319" s="164"/>
    </row>
    <row r="1046320" spans="24:33" x14ac:dyDescent="0.3">
      <c r="X1046320" s="164"/>
      <c r="AA1046320" s="164"/>
      <c r="AG1046320" s="164"/>
    </row>
    <row r="1046321" spans="24:33" x14ac:dyDescent="0.3">
      <c r="X1046321" s="164"/>
      <c r="AA1046321" s="164"/>
      <c r="AG1046321" s="164"/>
    </row>
    <row r="1046322" spans="24:33" x14ac:dyDescent="0.3">
      <c r="X1046322" s="164"/>
      <c r="AA1046322" s="164"/>
      <c r="AG1046322" s="164"/>
    </row>
    <row r="1046323" spans="24:33" x14ac:dyDescent="0.3">
      <c r="X1046323" s="164"/>
      <c r="AA1046323" s="164"/>
      <c r="AG1046323" s="164"/>
    </row>
    <row r="1046324" spans="24:33" x14ac:dyDescent="0.3">
      <c r="X1046324" s="164"/>
      <c r="AA1046324" s="164"/>
      <c r="AG1046324" s="164"/>
    </row>
    <row r="1046325" spans="24:33" x14ac:dyDescent="0.3">
      <c r="X1046325" s="164"/>
      <c r="AA1046325" s="164"/>
      <c r="AG1046325" s="164"/>
    </row>
    <row r="1046326" spans="24:33" x14ac:dyDescent="0.3">
      <c r="X1046326" s="164"/>
      <c r="AA1046326" s="164"/>
      <c r="AG1046326" s="164"/>
    </row>
    <row r="1046327" spans="24:33" x14ac:dyDescent="0.3">
      <c r="X1046327" s="164"/>
      <c r="AA1046327" s="164"/>
      <c r="AG1046327" s="164"/>
    </row>
    <row r="1046328" spans="24:33" x14ac:dyDescent="0.3">
      <c r="X1046328" s="164"/>
      <c r="AA1046328" s="164"/>
      <c r="AG1046328" s="164"/>
    </row>
    <row r="1046329" spans="24:33" x14ac:dyDescent="0.3">
      <c r="X1046329" s="164"/>
      <c r="AA1046329" s="164"/>
      <c r="AG1046329" s="164"/>
    </row>
    <row r="1046330" spans="24:33" x14ac:dyDescent="0.3">
      <c r="X1046330" s="164"/>
      <c r="AA1046330" s="164"/>
      <c r="AG1046330" s="164"/>
    </row>
    <row r="1046331" spans="24:33" x14ac:dyDescent="0.3">
      <c r="X1046331" s="164"/>
      <c r="AA1046331" s="164"/>
      <c r="AG1046331" s="164"/>
    </row>
    <row r="1046332" spans="24:33" x14ac:dyDescent="0.3">
      <c r="X1046332" s="164"/>
      <c r="AA1046332" s="164"/>
      <c r="AG1046332" s="164"/>
    </row>
    <row r="1046333" spans="24:33" x14ac:dyDescent="0.3">
      <c r="X1046333" s="164"/>
      <c r="AA1046333" s="164"/>
      <c r="AG1046333" s="164"/>
    </row>
    <row r="1046334" spans="24:33" x14ac:dyDescent="0.3">
      <c r="X1046334" s="164"/>
      <c r="AA1046334" s="164"/>
      <c r="AG1046334" s="164"/>
    </row>
    <row r="1046335" spans="24:33" x14ac:dyDescent="0.3">
      <c r="X1046335" s="164"/>
      <c r="AA1046335" s="164"/>
      <c r="AG1046335" s="164"/>
    </row>
    <row r="1046336" spans="24:33" x14ac:dyDescent="0.3">
      <c r="X1046336" s="164"/>
      <c r="AA1046336" s="164"/>
      <c r="AG1046336" s="164"/>
    </row>
    <row r="1046337" spans="24:33" x14ac:dyDescent="0.3">
      <c r="X1046337" s="164"/>
      <c r="AA1046337" s="164"/>
      <c r="AG1046337" s="164"/>
    </row>
    <row r="1046338" spans="24:33" x14ac:dyDescent="0.3">
      <c r="X1046338" s="164"/>
      <c r="AA1046338" s="164"/>
      <c r="AG1046338" s="164"/>
    </row>
    <row r="1046339" spans="24:33" x14ac:dyDescent="0.3">
      <c r="X1046339" s="164"/>
      <c r="AA1046339" s="164"/>
      <c r="AG1046339" s="164"/>
    </row>
    <row r="1046340" spans="24:33" x14ac:dyDescent="0.3">
      <c r="X1046340" s="164"/>
      <c r="AA1046340" s="164"/>
      <c r="AG1046340" s="164"/>
    </row>
    <row r="1046341" spans="24:33" x14ac:dyDescent="0.3">
      <c r="X1046341" s="164"/>
      <c r="AA1046341" s="164"/>
      <c r="AG1046341" s="164"/>
    </row>
    <row r="1046342" spans="24:33" x14ac:dyDescent="0.3">
      <c r="X1046342" s="164"/>
      <c r="AA1046342" s="164"/>
      <c r="AG1046342" s="164"/>
    </row>
    <row r="1046343" spans="24:33" x14ac:dyDescent="0.3">
      <c r="X1046343" s="164"/>
      <c r="AA1046343" s="164"/>
      <c r="AG1046343" s="164"/>
    </row>
    <row r="1046344" spans="24:33" x14ac:dyDescent="0.3">
      <c r="X1046344" s="164"/>
      <c r="AA1046344" s="164"/>
      <c r="AG1046344" s="164"/>
    </row>
    <row r="1046345" spans="24:33" x14ac:dyDescent="0.3">
      <c r="X1046345" s="164"/>
      <c r="AA1046345" s="164"/>
      <c r="AG1046345" s="164"/>
    </row>
    <row r="1046346" spans="24:33" x14ac:dyDescent="0.3">
      <c r="X1046346" s="164"/>
      <c r="AA1046346" s="164"/>
      <c r="AG1046346" s="164"/>
    </row>
    <row r="1046347" spans="24:33" x14ac:dyDescent="0.3">
      <c r="X1046347" s="164"/>
      <c r="AA1046347" s="164"/>
      <c r="AG1046347" s="164"/>
    </row>
    <row r="1046348" spans="24:33" x14ac:dyDescent="0.3">
      <c r="X1046348" s="164"/>
      <c r="AA1046348" s="164"/>
      <c r="AG1046348" s="164"/>
    </row>
    <row r="1046349" spans="24:33" x14ac:dyDescent="0.3">
      <c r="X1046349" s="164"/>
      <c r="AA1046349" s="164"/>
      <c r="AG1046349" s="164"/>
    </row>
    <row r="1046350" spans="24:33" x14ac:dyDescent="0.3">
      <c r="X1046350" s="164"/>
      <c r="AA1046350" s="164"/>
      <c r="AG1046350" s="164"/>
    </row>
    <row r="1046351" spans="24:33" x14ac:dyDescent="0.3">
      <c r="X1046351" s="164"/>
      <c r="AA1046351" s="164"/>
      <c r="AG1046351" s="164"/>
    </row>
    <row r="1046352" spans="24:33" x14ac:dyDescent="0.3">
      <c r="X1046352" s="164"/>
      <c r="AA1046352" s="164"/>
      <c r="AG1046352" s="164"/>
    </row>
    <row r="1046353" spans="24:33" x14ac:dyDescent="0.3">
      <c r="X1046353" s="164"/>
      <c r="AA1046353" s="164"/>
      <c r="AG1046353" s="164"/>
    </row>
    <row r="1046354" spans="24:33" x14ac:dyDescent="0.3">
      <c r="X1046354" s="164"/>
      <c r="AA1046354" s="164"/>
      <c r="AG1046354" s="164"/>
    </row>
    <row r="1046355" spans="24:33" x14ac:dyDescent="0.3">
      <c r="X1046355" s="164"/>
      <c r="AA1046355" s="164"/>
      <c r="AG1046355" s="164"/>
    </row>
    <row r="1046356" spans="24:33" x14ac:dyDescent="0.3">
      <c r="X1046356" s="164"/>
      <c r="AA1046356" s="164"/>
      <c r="AG1046356" s="164"/>
    </row>
    <row r="1046357" spans="24:33" x14ac:dyDescent="0.3">
      <c r="X1046357" s="164"/>
      <c r="AA1046357" s="164"/>
      <c r="AG1046357" s="164"/>
    </row>
    <row r="1046358" spans="24:33" x14ac:dyDescent="0.3">
      <c r="X1046358" s="164"/>
      <c r="AA1046358" s="164"/>
      <c r="AG1046358" s="164"/>
    </row>
    <row r="1046359" spans="24:33" x14ac:dyDescent="0.3">
      <c r="X1046359" s="164"/>
      <c r="AA1046359" s="164"/>
      <c r="AG1046359" s="164"/>
    </row>
    <row r="1046360" spans="24:33" x14ac:dyDescent="0.3">
      <c r="X1046360" s="164"/>
      <c r="AA1046360" s="164"/>
      <c r="AG1046360" s="164"/>
    </row>
    <row r="1046361" spans="24:33" x14ac:dyDescent="0.3">
      <c r="X1046361" s="164"/>
      <c r="AA1046361" s="164"/>
      <c r="AG1046361" s="164"/>
    </row>
    <row r="1046362" spans="24:33" x14ac:dyDescent="0.3">
      <c r="X1046362" s="164"/>
      <c r="AA1046362" s="164"/>
      <c r="AG1046362" s="164"/>
    </row>
    <row r="1046363" spans="24:33" x14ac:dyDescent="0.3">
      <c r="X1046363" s="164"/>
      <c r="AA1046363" s="164"/>
      <c r="AG1046363" s="164"/>
    </row>
    <row r="1046364" spans="24:33" x14ac:dyDescent="0.3">
      <c r="X1046364" s="164"/>
      <c r="AA1046364" s="164"/>
      <c r="AG1046364" s="164"/>
    </row>
    <row r="1046365" spans="24:33" x14ac:dyDescent="0.3">
      <c r="X1046365" s="164"/>
      <c r="AA1046365" s="164"/>
      <c r="AG1046365" s="164"/>
    </row>
    <row r="1046366" spans="24:33" x14ac:dyDescent="0.3">
      <c r="X1046366" s="164"/>
      <c r="AA1046366" s="164"/>
      <c r="AG1046366" s="164"/>
    </row>
    <row r="1046367" spans="24:33" x14ac:dyDescent="0.3">
      <c r="X1046367" s="164"/>
      <c r="AA1046367" s="164"/>
      <c r="AG1046367" s="164"/>
    </row>
    <row r="1046368" spans="24:33" x14ac:dyDescent="0.3">
      <c r="X1046368" s="164"/>
      <c r="AA1046368" s="164"/>
      <c r="AG1046368" s="164"/>
    </row>
    <row r="1046369" spans="24:33" x14ac:dyDescent="0.3">
      <c r="X1046369" s="164"/>
      <c r="AA1046369" s="164"/>
      <c r="AG1046369" s="164"/>
    </row>
    <row r="1046370" spans="24:33" x14ac:dyDescent="0.3">
      <c r="X1046370" s="164"/>
      <c r="AA1046370" s="164"/>
      <c r="AG1046370" s="164"/>
    </row>
    <row r="1046371" spans="24:33" x14ac:dyDescent="0.3">
      <c r="X1046371" s="164"/>
      <c r="AA1046371" s="164"/>
      <c r="AG1046371" s="164"/>
    </row>
    <row r="1046372" spans="24:33" x14ac:dyDescent="0.3">
      <c r="X1046372" s="164"/>
      <c r="AA1046372" s="164"/>
      <c r="AG1046372" s="164"/>
    </row>
    <row r="1046373" spans="24:33" x14ac:dyDescent="0.3">
      <c r="X1046373" s="164"/>
      <c r="AA1046373" s="164"/>
      <c r="AG1046373" s="164"/>
    </row>
    <row r="1046374" spans="24:33" x14ac:dyDescent="0.3">
      <c r="X1046374" s="164"/>
      <c r="AA1046374" s="164"/>
      <c r="AG1046374" s="164"/>
    </row>
    <row r="1046375" spans="24:33" x14ac:dyDescent="0.3">
      <c r="X1046375" s="164"/>
      <c r="AA1046375" s="164"/>
      <c r="AG1046375" s="164"/>
    </row>
    <row r="1046376" spans="24:33" x14ac:dyDescent="0.3">
      <c r="X1046376" s="164"/>
      <c r="AA1046376" s="164"/>
      <c r="AG1046376" s="164"/>
    </row>
    <row r="1046377" spans="24:33" x14ac:dyDescent="0.3">
      <c r="X1046377" s="164"/>
      <c r="AA1046377" s="164"/>
      <c r="AG1046377" s="164"/>
    </row>
    <row r="1046378" spans="24:33" x14ac:dyDescent="0.3">
      <c r="X1046378" s="164"/>
      <c r="AA1046378" s="164"/>
      <c r="AG1046378" s="164"/>
    </row>
    <row r="1046379" spans="24:33" x14ac:dyDescent="0.3">
      <c r="X1046379" s="164"/>
      <c r="AA1046379" s="164"/>
      <c r="AG1046379" s="164"/>
    </row>
    <row r="1046380" spans="24:33" x14ac:dyDescent="0.3">
      <c r="X1046380" s="164"/>
      <c r="AA1046380" s="164"/>
      <c r="AG1046380" s="164"/>
    </row>
    <row r="1046381" spans="24:33" x14ac:dyDescent="0.3">
      <c r="X1046381" s="164"/>
      <c r="AA1046381" s="164"/>
      <c r="AG1046381" s="164"/>
    </row>
    <row r="1046382" spans="24:33" x14ac:dyDescent="0.3">
      <c r="X1046382" s="164"/>
      <c r="AA1046382" s="164"/>
      <c r="AG1046382" s="164"/>
    </row>
    <row r="1046383" spans="24:33" x14ac:dyDescent="0.3">
      <c r="X1046383" s="164"/>
      <c r="AA1046383" s="164"/>
      <c r="AG1046383" s="164"/>
    </row>
    <row r="1046384" spans="24:33" x14ac:dyDescent="0.3">
      <c r="X1046384" s="164"/>
      <c r="AA1046384" s="164"/>
      <c r="AG1046384" s="164"/>
    </row>
    <row r="1046385" spans="24:33" x14ac:dyDescent="0.3">
      <c r="X1046385" s="164"/>
      <c r="AA1046385" s="164"/>
      <c r="AG1046385" s="164"/>
    </row>
    <row r="1046386" spans="24:33" x14ac:dyDescent="0.3">
      <c r="X1046386" s="164"/>
      <c r="AA1046386" s="164"/>
      <c r="AG1046386" s="164"/>
    </row>
    <row r="1046387" spans="24:33" x14ac:dyDescent="0.3">
      <c r="X1046387" s="164"/>
      <c r="AA1046387" s="164"/>
      <c r="AG1046387" s="164"/>
    </row>
    <row r="1046388" spans="24:33" x14ac:dyDescent="0.3">
      <c r="X1046388" s="164"/>
      <c r="AA1046388" s="164"/>
      <c r="AG1046388" s="164"/>
    </row>
    <row r="1046389" spans="24:33" x14ac:dyDescent="0.3">
      <c r="X1046389" s="164"/>
      <c r="AA1046389" s="164"/>
      <c r="AG1046389" s="164"/>
    </row>
    <row r="1046390" spans="24:33" x14ac:dyDescent="0.3">
      <c r="X1046390" s="164"/>
      <c r="AA1046390" s="164"/>
      <c r="AG1046390" s="164"/>
    </row>
    <row r="1046391" spans="24:33" x14ac:dyDescent="0.3">
      <c r="X1046391" s="164"/>
      <c r="AA1046391" s="164"/>
      <c r="AG1046391" s="164"/>
    </row>
    <row r="1046392" spans="24:33" x14ac:dyDescent="0.3">
      <c r="X1046392" s="164"/>
      <c r="AA1046392" s="164"/>
      <c r="AG1046392" s="164"/>
    </row>
    <row r="1046393" spans="24:33" x14ac:dyDescent="0.3">
      <c r="X1046393" s="164"/>
      <c r="AA1046393" s="164"/>
      <c r="AG1046393" s="164"/>
    </row>
    <row r="1046394" spans="24:33" x14ac:dyDescent="0.3">
      <c r="X1046394" s="164"/>
      <c r="AA1046394" s="164"/>
      <c r="AG1046394" s="164"/>
    </row>
    <row r="1046395" spans="24:33" x14ac:dyDescent="0.3">
      <c r="X1046395" s="164"/>
      <c r="AA1046395" s="164"/>
      <c r="AG1046395" s="164"/>
    </row>
    <row r="1046396" spans="24:33" x14ac:dyDescent="0.3">
      <c r="X1046396" s="164"/>
      <c r="AA1046396" s="164"/>
      <c r="AG1046396" s="164"/>
    </row>
    <row r="1046397" spans="24:33" x14ac:dyDescent="0.3">
      <c r="X1046397" s="164"/>
      <c r="AA1046397" s="164"/>
      <c r="AG1046397" s="164"/>
    </row>
    <row r="1046398" spans="24:33" x14ac:dyDescent="0.3">
      <c r="X1046398" s="164"/>
      <c r="AA1046398" s="164"/>
      <c r="AG1046398" s="164"/>
    </row>
    <row r="1046399" spans="24:33" x14ac:dyDescent="0.3">
      <c r="X1046399" s="164"/>
      <c r="AA1046399" s="164"/>
      <c r="AG1046399" s="164"/>
    </row>
    <row r="1046400" spans="24:33" x14ac:dyDescent="0.3">
      <c r="X1046400" s="164"/>
      <c r="AA1046400" s="164"/>
      <c r="AG1046400" s="164"/>
    </row>
    <row r="1046401" spans="24:33" x14ac:dyDescent="0.3">
      <c r="X1046401" s="164"/>
      <c r="AA1046401" s="164"/>
      <c r="AG1046401" s="164"/>
    </row>
    <row r="1046402" spans="24:33" x14ac:dyDescent="0.3">
      <c r="X1046402" s="164"/>
      <c r="AA1046402" s="164"/>
      <c r="AG1046402" s="164"/>
    </row>
    <row r="1046403" spans="24:33" x14ac:dyDescent="0.3">
      <c r="X1046403" s="164"/>
      <c r="AA1046403" s="164"/>
      <c r="AG1046403" s="164"/>
    </row>
    <row r="1046404" spans="24:33" x14ac:dyDescent="0.3">
      <c r="X1046404" s="164"/>
      <c r="AA1046404" s="164"/>
      <c r="AG1046404" s="164"/>
    </row>
    <row r="1046405" spans="24:33" x14ac:dyDescent="0.3">
      <c r="X1046405" s="164"/>
      <c r="AA1046405" s="164"/>
      <c r="AG1046405" s="164"/>
    </row>
    <row r="1046406" spans="24:33" x14ac:dyDescent="0.3">
      <c r="X1046406" s="164"/>
      <c r="AA1046406" s="164"/>
      <c r="AG1046406" s="164"/>
    </row>
    <row r="1046407" spans="24:33" x14ac:dyDescent="0.3">
      <c r="X1046407" s="164"/>
      <c r="AA1046407" s="164"/>
      <c r="AG1046407" s="164"/>
    </row>
    <row r="1046408" spans="24:33" x14ac:dyDescent="0.3">
      <c r="X1046408" s="164"/>
      <c r="AA1046408" s="164"/>
      <c r="AG1046408" s="164"/>
    </row>
    <row r="1046409" spans="24:33" x14ac:dyDescent="0.3">
      <c r="X1046409" s="164"/>
      <c r="AA1046409" s="164"/>
      <c r="AG1046409" s="164"/>
    </row>
    <row r="1046410" spans="24:33" x14ac:dyDescent="0.3">
      <c r="X1046410" s="164"/>
      <c r="AA1046410" s="164"/>
      <c r="AG1046410" s="164"/>
    </row>
    <row r="1046411" spans="24:33" x14ac:dyDescent="0.3">
      <c r="X1046411" s="164"/>
      <c r="AA1046411" s="164"/>
      <c r="AG1046411" s="164"/>
    </row>
    <row r="1046412" spans="24:33" x14ac:dyDescent="0.3">
      <c r="X1046412" s="164"/>
      <c r="AA1046412" s="164"/>
      <c r="AG1046412" s="164"/>
    </row>
    <row r="1046413" spans="24:33" x14ac:dyDescent="0.3">
      <c r="X1046413" s="164"/>
      <c r="AA1046413" s="164"/>
      <c r="AG1046413" s="164"/>
    </row>
    <row r="1046414" spans="24:33" x14ac:dyDescent="0.3">
      <c r="X1046414" s="164"/>
      <c r="AA1046414" s="164"/>
      <c r="AG1046414" s="164"/>
    </row>
    <row r="1046415" spans="24:33" x14ac:dyDescent="0.3">
      <c r="X1046415" s="164"/>
      <c r="AA1046415" s="164"/>
      <c r="AG1046415" s="164"/>
    </row>
    <row r="1046416" spans="24:33" x14ac:dyDescent="0.3">
      <c r="X1046416" s="164"/>
      <c r="AA1046416" s="164"/>
      <c r="AG1046416" s="164"/>
    </row>
    <row r="1046417" spans="24:33" x14ac:dyDescent="0.3">
      <c r="X1046417" s="164"/>
      <c r="AA1046417" s="164"/>
      <c r="AG1046417" s="164"/>
    </row>
    <row r="1046418" spans="24:33" x14ac:dyDescent="0.3">
      <c r="X1046418" s="164"/>
      <c r="AA1046418" s="164"/>
      <c r="AG1046418" s="164"/>
    </row>
    <row r="1046419" spans="24:33" x14ac:dyDescent="0.3">
      <c r="X1046419" s="164"/>
      <c r="AA1046419" s="164"/>
      <c r="AG1046419" s="164"/>
    </row>
    <row r="1046420" spans="24:33" x14ac:dyDescent="0.3">
      <c r="X1046420" s="164"/>
      <c r="AA1046420" s="164"/>
      <c r="AG1046420" s="164"/>
    </row>
    <row r="1046421" spans="24:33" x14ac:dyDescent="0.3">
      <c r="X1046421" s="164"/>
      <c r="AA1046421" s="164"/>
      <c r="AG1046421" s="164"/>
    </row>
    <row r="1046422" spans="24:33" x14ac:dyDescent="0.3">
      <c r="X1046422" s="164"/>
      <c r="AA1046422" s="164"/>
      <c r="AG1046422" s="164"/>
    </row>
    <row r="1046423" spans="24:33" x14ac:dyDescent="0.3">
      <c r="X1046423" s="164"/>
      <c r="AA1046423" s="164"/>
      <c r="AG1046423" s="164"/>
    </row>
    <row r="1046424" spans="24:33" x14ac:dyDescent="0.3">
      <c r="X1046424" s="164"/>
      <c r="AA1046424" s="164"/>
      <c r="AG1046424" s="164"/>
    </row>
    <row r="1046425" spans="24:33" x14ac:dyDescent="0.3">
      <c r="X1046425" s="164"/>
      <c r="AA1046425" s="164"/>
      <c r="AG1046425" s="164"/>
    </row>
    <row r="1046426" spans="24:33" x14ac:dyDescent="0.3">
      <c r="X1046426" s="164"/>
      <c r="AA1046426" s="164"/>
      <c r="AG1046426" s="164"/>
    </row>
    <row r="1046427" spans="24:33" x14ac:dyDescent="0.3">
      <c r="X1046427" s="164"/>
      <c r="AA1046427" s="164"/>
      <c r="AG1046427" s="164"/>
    </row>
    <row r="1046428" spans="24:33" x14ac:dyDescent="0.3">
      <c r="X1046428" s="164"/>
      <c r="AA1046428" s="164"/>
      <c r="AG1046428" s="164"/>
    </row>
    <row r="1046429" spans="24:33" x14ac:dyDescent="0.3">
      <c r="X1046429" s="164"/>
      <c r="AA1046429" s="164"/>
      <c r="AG1046429" s="164"/>
    </row>
    <row r="1046430" spans="24:33" x14ac:dyDescent="0.3">
      <c r="X1046430" s="164"/>
      <c r="AA1046430" s="164"/>
      <c r="AG1046430" s="164"/>
    </row>
    <row r="1046431" spans="24:33" x14ac:dyDescent="0.3">
      <c r="X1046431" s="164"/>
      <c r="AA1046431" s="164"/>
      <c r="AG1046431" s="164"/>
    </row>
    <row r="1046432" spans="24:33" x14ac:dyDescent="0.3">
      <c r="X1046432" s="164"/>
      <c r="AA1046432" s="164"/>
      <c r="AG1046432" s="164"/>
    </row>
    <row r="1046433" spans="24:33" x14ac:dyDescent="0.3">
      <c r="X1046433" s="164"/>
      <c r="AA1046433" s="164"/>
      <c r="AG1046433" s="164"/>
    </row>
    <row r="1046434" spans="24:33" x14ac:dyDescent="0.3">
      <c r="X1046434" s="164"/>
      <c r="AA1046434" s="164"/>
      <c r="AG1046434" s="164"/>
    </row>
    <row r="1046435" spans="24:33" x14ac:dyDescent="0.3">
      <c r="X1046435" s="164"/>
      <c r="AA1046435" s="164"/>
      <c r="AG1046435" s="164"/>
    </row>
    <row r="1046436" spans="24:33" x14ac:dyDescent="0.3">
      <c r="X1046436" s="164"/>
      <c r="AA1046436" s="164"/>
      <c r="AG1046436" s="164"/>
    </row>
    <row r="1046437" spans="24:33" x14ac:dyDescent="0.3">
      <c r="X1046437" s="164"/>
      <c r="AA1046437" s="164"/>
      <c r="AG1046437" s="164"/>
    </row>
    <row r="1046438" spans="24:33" x14ac:dyDescent="0.3">
      <c r="X1046438" s="164"/>
      <c r="AA1046438" s="164"/>
      <c r="AG1046438" s="164"/>
    </row>
    <row r="1046439" spans="24:33" x14ac:dyDescent="0.3">
      <c r="X1046439" s="164"/>
      <c r="AA1046439" s="164"/>
      <c r="AG1046439" s="164"/>
    </row>
    <row r="1046440" spans="24:33" x14ac:dyDescent="0.3">
      <c r="X1046440" s="164"/>
      <c r="AA1046440" s="164"/>
      <c r="AG1046440" s="164"/>
    </row>
    <row r="1046441" spans="24:33" x14ac:dyDescent="0.3">
      <c r="X1046441" s="164"/>
      <c r="AA1046441" s="164"/>
      <c r="AG1046441" s="164"/>
    </row>
    <row r="1046442" spans="24:33" x14ac:dyDescent="0.3">
      <c r="X1046442" s="164"/>
      <c r="AA1046442" s="164"/>
      <c r="AG1046442" s="164"/>
    </row>
    <row r="1046443" spans="24:33" x14ac:dyDescent="0.3">
      <c r="X1046443" s="164"/>
      <c r="AA1046443" s="164"/>
      <c r="AG1046443" s="164"/>
    </row>
    <row r="1046444" spans="24:33" x14ac:dyDescent="0.3">
      <c r="X1046444" s="164"/>
      <c r="AA1046444" s="164"/>
      <c r="AG1046444" s="164"/>
    </row>
    <row r="1046445" spans="24:33" x14ac:dyDescent="0.3">
      <c r="X1046445" s="164"/>
      <c r="AA1046445" s="164"/>
      <c r="AG1046445" s="164"/>
    </row>
    <row r="1046446" spans="24:33" x14ac:dyDescent="0.3">
      <c r="X1046446" s="164"/>
      <c r="AA1046446" s="164"/>
      <c r="AG1046446" s="164"/>
    </row>
    <row r="1046447" spans="24:33" x14ac:dyDescent="0.3">
      <c r="X1046447" s="164"/>
      <c r="AA1046447" s="164"/>
      <c r="AG1046447" s="164"/>
    </row>
    <row r="1046448" spans="24:33" x14ac:dyDescent="0.3">
      <c r="X1046448" s="164"/>
      <c r="AA1046448" s="164"/>
      <c r="AG1046448" s="164"/>
    </row>
    <row r="1046449" spans="24:33" x14ac:dyDescent="0.3">
      <c r="X1046449" s="164"/>
      <c r="AA1046449" s="164"/>
      <c r="AG1046449" s="164"/>
    </row>
    <row r="1046450" spans="24:33" x14ac:dyDescent="0.3">
      <c r="X1046450" s="164"/>
      <c r="AA1046450" s="164"/>
      <c r="AG1046450" s="164"/>
    </row>
    <row r="1046451" spans="24:33" x14ac:dyDescent="0.3">
      <c r="X1046451" s="164"/>
      <c r="AA1046451" s="164"/>
      <c r="AG1046451" s="164"/>
    </row>
    <row r="1046452" spans="24:33" x14ac:dyDescent="0.3">
      <c r="X1046452" s="164"/>
      <c r="AA1046452" s="164"/>
      <c r="AG1046452" s="164"/>
    </row>
    <row r="1046453" spans="24:33" x14ac:dyDescent="0.3">
      <c r="X1046453" s="164"/>
      <c r="AA1046453" s="164"/>
      <c r="AG1046453" s="164"/>
    </row>
    <row r="1046454" spans="24:33" x14ac:dyDescent="0.3">
      <c r="X1046454" s="164"/>
      <c r="AA1046454" s="164"/>
      <c r="AG1046454" s="164"/>
    </row>
    <row r="1046455" spans="24:33" x14ac:dyDescent="0.3">
      <c r="X1046455" s="164"/>
      <c r="AA1046455" s="164"/>
      <c r="AG1046455" s="164"/>
    </row>
    <row r="1046456" spans="24:33" x14ac:dyDescent="0.3">
      <c r="X1046456" s="164"/>
      <c r="AA1046456" s="164"/>
      <c r="AG1046456" s="164"/>
    </row>
    <row r="1046457" spans="24:33" x14ac:dyDescent="0.3">
      <c r="X1046457" s="164"/>
      <c r="AA1046457" s="164"/>
      <c r="AG1046457" s="164"/>
    </row>
    <row r="1046458" spans="24:33" x14ac:dyDescent="0.3">
      <c r="X1046458" s="164"/>
      <c r="AA1046458" s="164"/>
      <c r="AG1046458" s="164"/>
    </row>
    <row r="1046459" spans="24:33" x14ac:dyDescent="0.3">
      <c r="X1046459" s="164"/>
      <c r="AA1046459" s="164"/>
      <c r="AG1046459" s="164"/>
    </row>
    <row r="1046460" spans="24:33" x14ac:dyDescent="0.3">
      <c r="X1046460" s="164"/>
      <c r="AA1046460" s="164"/>
      <c r="AG1046460" s="164"/>
    </row>
    <row r="1046461" spans="24:33" x14ac:dyDescent="0.3">
      <c r="X1046461" s="164"/>
      <c r="AA1046461" s="164"/>
      <c r="AG1046461" s="164"/>
    </row>
    <row r="1046462" spans="24:33" x14ac:dyDescent="0.3">
      <c r="X1046462" s="164"/>
      <c r="AA1046462" s="164"/>
      <c r="AG1046462" s="164"/>
    </row>
    <row r="1046463" spans="24:33" x14ac:dyDescent="0.3">
      <c r="X1046463" s="164"/>
      <c r="AA1046463" s="164"/>
      <c r="AG1046463" s="164"/>
    </row>
    <row r="1046464" spans="24:33" x14ac:dyDescent="0.3">
      <c r="X1046464" s="164"/>
      <c r="AA1046464" s="164"/>
      <c r="AG1046464" s="164"/>
    </row>
    <row r="1046465" spans="24:33" x14ac:dyDescent="0.3">
      <c r="X1046465" s="164"/>
      <c r="AA1046465" s="164"/>
      <c r="AG1046465" s="164"/>
    </row>
    <row r="1046466" spans="24:33" x14ac:dyDescent="0.3">
      <c r="X1046466" s="164"/>
      <c r="AA1046466" s="164"/>
      <c r="AG1046466" s="164"/>
    </row>
    <row r="1046467" spans="24:33" x14ac:dyDescent="0.3">
      <c r="X1046467" s="164"/>
      <c r="AA1046467" s="164"/>
      <c r="AG1046467" s="164"/>
    </row>
    <row r="1046468" spans="24:33" x14ac:dyDescent="0.3">
      <c r="X1046468" s="164"/>
      <c r="AA1046468" s="164"/>
      <c r="AG1046468" s="164"/>
    </row>
    <row r="1046469" spans="24:33" x14ac:dyDescent="0.3">
      <c r="X1046469" s="164"/>
      <c r="AA1046469" s="164"/>
      <c r="AG1046469" s="164"/>
    </row>
    <row r="1046470" spans="24:33" x14ac:dyDescent="0.3">
      <c r="X1046470" s="164"/>
      <c r="AA1046470" s="164"/>
      <c r="AG1046470" s="164"/>
    </row>
    <row r="1046471" spans="24:33" x14ac:dyDescent="0.3">
      <c r="X1046471" s="164"/>
      <c r="AA1046471" s="164"/>
      <c r="AG1046471" s="164"/>
    </row>
    <row r="1046472" spans="24:33" x14ac:dyDescent="0.3">
      <c r="X1046472" s="164"/>
      <c r="AA1046472" s="164"/>
      <c r="AG1046472" s="164"/>
    </row>
    <row r="1046473" spans="24:33" x14ac:dyDescent="0.3">
      <c r="X1046473" s="164"/>
      <c r="AA1046473" s="164"/>
      <c r="AG1046473" s="164"/>
    </row>
    <row r="1046474" spans="24:33" x14ac:dyDescent="0.3">
      <c r="X1046474" s="164"/>
      <c r="AA1046474" s="164"/>
      <c r="AG1046474" s="164"/>
    </row>
    <row r="1046475" spans="24:33" x14ac:dyDescent="0.3">
      <c r="X1046475" s="164"/>
      <c r="AA1046475" s="164"/>
      <c r="AG1046475" s="164"/>
    </row>
    <row r="1046476" spans="24:33" x14ac:dyDescent="0.3">
      <c r="X1046476" s="164"/>
      <c r="AA1046476" s="164"/>
      <c r="AG1046476" s="164"/>
    </row>
    <row r="1046477" spans="24:33" x14ac:dyDescent="0.3">
      <c r="X1046477" s="164"/>
      <c r="AA1046477" s="164"/>
      <c r="AG1046477" s="164"/>
    </row>
    <row r="1046478" spans="24:33" x14ac:dyDescent="0.3">
      <c r="X1046478" s="164"/>
      <c r="AA1046478" s="164"/>
      <c r="AG1046478" s="164"/>
    </row>
    <row r="1046479" spans="24:33" x14ac:dyDescent="0.3">
      <c r="X1046479" s="164"/>
      <c r="AA1046479" s="164"/>
      <c r="AG1046479" s="164"/>
    </row>
    <row r="1046480" spans="24:33" x14ac:dyDescent="0.3">
      <c r="X1046480" s="164"/>
      <c r="AA1046480" s="164"/>
      <c r="AG1046480" s="164"/>
    </row>
    <row r="1046481" spans="24:33" x14ac:dyDescent="0.3">
      <c r="X1046481" s="164"/>
      <c r="AA1046481" s="164"/>
      <c r="AG1046481" s="164"/>
    </row>
    <row r="1046482" spans="24:33" x14ac:dyDescent="0.3">
      <c r="X1046482" s="164"/>
      <c r="AA1046482" s="164"/>
      <c r="AG1046482" s="164"/>
    </row>
    <row r="1046483" spans="24:33" x14ac:dyDescent="0.3">
      <c r="X1046483" s="164"/>
      <c r="AA1046483" s="164"/>
      <c r="AG1046483" s="164"/>
    </row>
    <row r="1046484" spans="24:33" x14ac:dyDescent="0.3">
      <c r="X1046484" s="164"/>
      <c r="AA1046484" s="164"/>
      <c r="AG1046484" s="164"/>
    </row>
    <row r="1046485" spans="24:33" x14ac:dyDescent="0.3">
      <c r="X1046485" s="164"/>
      <c r="AA1046485" s="164"/>
      <c r="AG1046485" s="164"/>
    </row>
    <row r="1046486" spans="24:33" x14ac:dyDescent="0.3">
      <c r="X1046486" s="164"/>
      <c r="AA1046486" s="164"/>
      <c r="AG1046486" s="164"/>
    </row>
    <row r="1046487" spans="24:33" x14ac:dyDescent="0.3">
      <c r="X1046487" s="164"/>
      <c r="AA1046487" s="164"/>
      <c r="AG1046487" s="164"/>
    </row>
    <row r="1046488" spans="24:33" x14ac:dyDescent="0.3">
      <c r="X1046488" s="164"/>
      <c r="AA1046488" s="164"/>
      <c r="AG1046488" s="164"/>
    </row>
    <row r="1046489" spans="24:33" x14ac:dyDescent="0.3">
      <c r="X1046489" s="164"/>
      <c r="AA1046489" s="164"/>
      <c r="AG1046489" s="164"/>
    </row>
    <row r="1046490" spans="24:33" x14ac:dyDescent="0.3">
      <c r="X1046490" s="164"/>
      <c r="AA1046490" s="164"/>
      <c r="AG1046490" s="164"/>
    </row>
    <row r="1046491" spans="24:33" x14ac:dyDescent="0.3">
      <c r="X1046491" s="164"/>
      <c r="AA1046491" s="164"/>
      <c r="AG1046491" s="164"/>
    </row>
    <row r="1046492" spans="24:33" x14ac:dyDescent="0.3">
      <c r="X1046492" s="164"/>
      <c r="AA1046492" s="164"/>
      <c r="AG1046492" s="164"/>
    </row>
    <row r="1046493" spans="24:33" x14ac:dyDescent="0.3">
      <c r="X1046493" s="164"/>
      <c r="AA1046493" s="164"/>
      <c r="AG1046493" s="164"/>
    </row>
    <row r="1046494" spans="24:33" x14ac:dyDescent="0.3">
      <c r="X1046494" s="164"/>
      <c r="AA1046494" s="164"/>
      <c r="AG1046494" s="164"/>
    </row>
    <row r="1046495" spans="24:33" x14ac:dyDescent="0.3">
      <c r="X1046495" s="164"/>
      <c r="AA1046495" s="164"/>
      <c r="AG1046495" s="164"/>
    </row>
    <row r="1046496" spans="24:33" x14ac:dyDescent="0.3">
      <c r="X1046496" s="164"/>
      <c r="AA1046496" s="164"/>
      <c r="AG1046496" s="164"/>
    </row>
    <row r="1046497" spans="24:33" x14ac:dyDescent="0.3">
      <c r="X1046497" s="164"/>
      <c r="AA1046497" s="164"/>
      <c r="AG1046497" s="164"/>
    </row>
    <row r="1046498" spans="24:33" x14ac:dyDescent="0.3">
      <c r="X1046498" s="164"/>
      <c r="AA1046498" s="164"/>
      <c r="AG1046498" s="164"/>
    </row>
    <row r="1046499" spans="24:33" x14ac:dyDescent="0.3">
      <c r="X1046499" s="164"/>
      <c r="AA1046499" s="164"/>
      <c r="AG1046499" s="164"/>
    </row>
    <row r="1046500" spans="24:33" x14ac:dyDescent="0.3">
      <c r="X1046500" s="164"/>
      <c r="AA1046500" s="164"/>
      <c r="AG1046500" s="164"/>
    </row>
    <row r="1046501" spans="24:33" x14ac:dyDescent="0.3">
      <c r="X1046501" s="164"/>
      <c r="AA1046501" s="164"/>
      <c r="AG1046501" s="164"/>
    </row>
    <row r="1046502" spans="24:33" x14ac:dyDescent="0.3">
      <c r="X1046502" s="164"/>
      <c r="AA1046502" s="164"/>
      <c r="AG1046502" s="164"/>
    </row>
    <row r="1046503" spans="24:33" x14ac:dyDescent="0.3">
      <c r="X1046503" s="164"/>
      <c r="AA1046503" s="164"/>
      <c r="AG1046503" s="164"/>
    </row>
    <row r="1046504" spans="24:33" x14ac:dyDescent="0.3">
      <c r="X1046504" s="164"/>
      <c r="AA1046504" s="164"/>
      <c r="AG1046504" s="164"/>
    </row>
    <row r="1046505" spans="24:33" x14ac:dyDescent="0.3">
      <c r="X1046505" s="164"/>
      <c r="AA1046505" s="164"/>
      <c r="AG1046505" s="164"/>
    </row>
    <row r="1046506" spans="24:33" x14ac:dyDescent="0.3">
      <c r="X1046506" s="164"/>
      <c r="AA1046506" s="164"/>
      <c r="AG1046506" s="164"/>
    </row>
    <row r="1046507" spans="24:33" x14ac:dyDescent="0.3">
      <c r="X1046507" s="164"/>
      <c r="AA1046507" s="164"/>
      <c r="AG1046507" s="164"/>
    </row>
    <row r="1046508" spans="24:33" x14ac:dyDescent="0.3">
      <c r="X1046508" s="164"/>
      <c r="AA1046508" s="164"/>
      <c r="AG1046508" s="164"/>
    </row>
    <row r="1046509" spans="24:33" x14ac:dyDescent="0.3">
      <c r="X1046509" s="164"/>
      <c r="AA1046509" s="164"/>
      <c r="AG1046509" s="164"/>
    </row>
    <row r="1046510" spans="24:33" x14ac:dyDescent="0.3">
      <c r="X1046510" s="164"/>
      <c r="AA1046510" s="164"/>
      <c r="AG1046510" s="164"/>
    </row>
    <row r="1046511" spans="24:33" x14ac:dyDescent="0.3">
      <c r="X1046511" s="164"/>
      <c r="AA1046511" s="164"/>
      <c r="AG1046511" s="164"/>
    </row>
    <row r="1046512" spans="24:33" x14ac:dyDescent="0.3">
      <c r="X1046512" s="164"/>
      <c r="AA1046512" s="164"/>
      <c r="AG1046512" s="164"/>
    </row>
    <row r="1046513" spans="24:33" x14ac:dyDescent="0.3">
      <c r="X1046513" s="164"/>
      <c r="AA1046513" s="164"/>
      <c r="AG1046513" s="164"/>
    </row>
    <row r="1046514" spans="24:33" x14ac:dyDescent="0.3">
      <c r="X1046514" s="164"/>
      <c r="AA1046514" s="164"/>
      <c r="AG1046514" s="164"/>
    </row>
    <row r="1046515" spans="24:33" x14ac:dyDescent="0.3">
      <c r="X1046515" s="164"/>
      <c r="AA1046515" s="164"/>
      <c r="AG1046515" s="164"/>
    </row>
    <row r="1046516" spans="24:33" x14ac:dyDescent="0.3">
      <c r="X1046516" s="164"/>
      <c r="AA1046516" s="164"/>
      <c r="AG1046516" s="164"/>
    </row>
    <row r="1046517" spans="24:33" x14ac:dyDescent="0.3">
      <c r="X1046517" s="164"/>
      <c r="AA1046517" s="164"/>
      <c r="AG1046517" s="164"/>
    </row>
    <row r="1046518" spans="24:33" x14ac:dyDescent="0.3">
      <c r="X1046518" s="164"/>
      <c r="AA1046518" s="164"/>
      <c r="AG1046518" s="164"/>
    </row>
    <row r="1046519" spans="24:33" x14ac:dyDescent="0.3">
      <c r="X1046519" s="164"/>
      <c r="AA1046519" s="164"/>
      <c r="AG1046519" s="164"/>
    </row>
    <row r="1046520" spans="24:33" x14ac:dyDescent="0.3">
      <c r="X1046520" s="164"/>
      <c r="AA1046520" s="164"/>
      <c r="AG1046520" s="164"/>
    </row>
    <row r="1046521" spans="24:33" x14ac:dyDescent="0.3">
      <c r="X1046521" s="164"/>
      <c r="AA1046521" s="164"/>
      <c r="AG1046521" s="164"/>
    </row>
    <row r="1046522" spans="24:33" x14ac:dyDescent="0.3">
      <c r="X1046522" s="164"/>
      <c r="AA1046522" s="164"/>
      <c r="AG1046522" s="164"/>
    </row>
    <row r="1046523" spans="24:33" x14ac:dyDescent="0.3">
      <c r="X1046523" s="164"/>
      <c r="AA1046523" s="164"/>
      <c r="AG1046523" s="164"/>
    </row>
    <row r="1046524" spans="24:33" x14ac:dyDescent="0.3">
      <c r="X1046524" s="164"/>
      <c r="AA1046524" s="164"/>
      <c r="AG1046524" s="164"/>
    </row>
    <row r="1046525" spans="24:33" x14ac:dyDescent="0.3">
      <c r="X1046525" s="164"/>
      <c r="AA1046525" s="164"/>
      <c r="AG1046525" s="164"/>
    </row>
    <row r="1046526" spans="24:33" x14ac:dyDescent="0.3">
      <c r="X1046526" s="164"/>
      <c r="AA1046526" s="164"/>
      <c r="AG1046526" s="164"/>
    </row>
    <row r="1046527" spans="24:33" x14ac:dyDescent="0.3">
      <c r="X1046527" s="164"/>
      <c r="AA1046527" s="164"/>
      <c r="AG1046527" s="164"/>
    </row>
    <row r="1046528" spans="24:33" x14ac:dyDescent="0.3">
      <c r="X1046528" s="164"/>
      <c r="AA1046528" s="164"/>
      <c r="AG1046528" s="164"/>
    </row>
    <row r="1046529" spans="24:33" x14ac:dyDescent="0.3">
      <c r="X1046529" s="164"/>
      <c r="AA1046529" s="164"/>
      <c r="AG1046529" s="164"/>
    </row>
    <row r="1046530" spans="24:33" x14ac:dyDescent="0.3">
      <c r="X1046530" s="164"/>
      <c r="AA1046530" s="164"/>
      <c r="AG1046530" s="164"/>
    </row>
    <row r="1046531" spans="24:33" x14ac:dyDescent="0.3">
      <c r="X1046531" s="164"/>
      <c r="AA1046531" s="164"/>
      <c r="AG1046531" s="164"/>
    </row>
    <row r="1046532" spans="24:33" x14ac:dyDescent="0.3">
      <c r="X1046532" s="164"/>
      <c r="AA1046532" s="164"/>
      <c r="AG1046532" s="164"/>
    </row>
    <row r="1046533" spans="24:33" x14ac:dyDescent="0.3">
      <c r="X1046533" s="164"/>
      <c r="AA1046533" s="164"/>
      <c r="AG1046533" s="164"/>
    </row>
    <row r="1046534" spans="24:33" x14ac:dyDescent="0.3">
      <c r="X1046534" s="164"/>
      <c r="AA1046534" s="164"/>
      <c r="AG1046534" s="164"/>
    </row>
    <row r="1046535" spans="24:33" x14ac:dyDescent="0.3">
      <c r="X1046535" s="164"/>
      <c r="AA1046535" s="164"/>
      <c r="AG1046535" s="164"/>
    </row>
    <row r="1046536" spans="24:33" x14ac:dyDescent="0.3">
      <c r="X1046536" s="164"/>
      <c r="AA1046536" s="164"/>
      <c r="AG1046536" s="164"/>
    </row>
    <row r="1046537" spans="24:33" x14ac:dyDescent="0.3">
      <c r="X1046537" s="164"/>
      <c r="AA1046537" s="164"/>
      <c r="AG1046537" s="164"/>
    </row>
    <row r="1046538" spans="24:33" x14ac:dyDescent="0.3">
      <c r="X1046538" s="164"/>
      <c r="AA1046538" s="164"/>
      <c r="AG1046538" s="164"/>
    </row>
    <row r="1046539" spans="24:33" x14ac:dyDescent="0.3">
      <c r="X1046539" s="164"/>
      <c r="AA1046539" s="164"/>
      <c r="AG1046539" s="164"/>
    </row>
    <row r="1046540" spans="24:33" x14ac:dyDescent="0.3">
      <c r="X1046540" s="164"/>
      <c r="AA1046540" s="164"/>
      <c r="AG1046540" s="164"/>
    </row>
    <row r="1046541" spans="24:33" x14ac:dyDescent="0.3">
      <c r="X1046541" s="164"/>
      <c r="AA1046541" s="164"/>
      <c r="AG1046541" s="164"/>
    </row>
    <row r="1046542" spans="24:33" x14ac:dyDescent="0.3">
      <c r="X1046542" s="164"/>
      <c r="AA1046542" s="164"/>
      <c r="AG1046542" s="164"/>
    </row>
    <row r="1046543" spans="24:33" x14ac:dyDescent="0.3">
      <c r="X1046543" s="164"/>
      <c r="AA1046543" s="164"/>
      <c r="AG1046543" s="164"/>
    </row>
    <row r="1046544" spans="24:33" x14ac:dyDescent="0.3">
      <c r="X1046544" s="164"/>
      <c r="AA1046544" s="164"/>
      <c r="AG1046544" s="164"/>
    </row>
    <row r="1046545" spans="24:33" x14ac:dyDescent="0.3">
      <c r="X1046545" s="164"/>
      <c r="AA1046545" s="164"/>
      <c r="AG1046545" s="164"/>
    </row>
    <row r="1046546" spans="24:33" x14ac:dyDescent="0.3">
      <c r="X1046546" s="164"/>
      <c r="AA1046546" s="164"/>
      <c r="AG1046546" s="164"/>
    </row>
    <row r="1046547" spans="24:33" x14ac:dyDescent="0.3">
      <c r="X1046547" s="164"/>
      <c r="AA1046547" s="164"/>
      <c r="AG1046547" s="164"/>
    </row>
    <row r="1046548" spans="24:33" x14ac:dyDescent="0.3">
      <c r="X1046548" s="164"/>
      <c r="AA1046548" s="164"/>
      <c r="AG1046548" s="164"/>
    </row>
    <row r="1046549" spans="24:33" x14ac:dyDescent="0.3">
      <c r="X1046549" s="164"/>
      <c r="AA1046549" s="164"/>
      <c r="AG1046549" s="164"/>
    </row>
    <row r="1046550" spans="24:33" x14ac:dyDescent="0.3">
      <c r="X1046550" s="164"/>
      <c r="AA1046550" s="164"/>
      <c r="AG1046550" s="164"/>
    </row>
    <row r="1046551" spans="24:33" x14ac:dyDescent="0.3">
      <c r="X1046551" s="164"/>
      <c r="AA1046551" s="164"/>
      <c r="AG1046551" s="164"/>
    </row>
    <row r="1046552" spans="24:33" x14ac:dyDescent="0.3">
      <c r="X1046552" s="164"/>
      <c r="AA1046552" s="164"/>
      <c r="AG1046552" s="164"/>
    </row>
    <row r="1046553" spans="24:33" x14ac:dyDescent="0.3">
      <c r="X1046553" s="164"/>
      <c r="AA1046553" s="164"/>
      <c r="AG1046553" s="164"/>
    </row>
    <row r="1046554" spans="24:33" x14ac:dyDescent="0.3">
      <c r="X1046554" s="164"/>
      <c r="AA1046554" s="164"/>
      <c r="AG1046554" s="164"/>
    </row>
    <row r="1046555" spans="24:33" x14ac:dyDescent="0.3">
      <c r="X1046555" s="164"/>
      <c r="AA1046555" s="164"/>
      <c r="AG1046555" s="164"/>
    </row>
    <row r="1046556" spans="24:33" x14ac:dyDescent="0.3">
      <c r="X1046556" s="164"/>
      <c r="AA1046556" s="164"/>
      <c r="AG1046556" s="164"/>
    </row>
    <row r="1046557" spans="24:33" x14ac:dyDescent="0.3">
      <c r="X1046557" s="164"/>
      <c r="AA1046557" s="164"/>
      <c r="AG1046557" s="164"/>
    </row>
    <row r="1046558" spans="24:33" x14ac:dyDescent="0.3">
      <c r="X1046558" s="164"/>
      <c r="AA1046558" s="164"/>
      <c r="AG1046558" s="164"/>
    </row>
    <row r="1046559" spans="24:33" x14ac:dyDescent="0.3">
      <c r="X1046559" s="164"/>
      <c r="AA1046559" s="164"/>
      <c r="AG1046559" s="164"/>
    </row>
    <row r="1046560" spans="24:33" x14ac:dyDescent="0.3">
      <c r="X1046560" s="164"/>
      <c r="AA1046560" s="164"/>
      <c r="AG1046560" s="164"/>
    </row>
    <row r="1046561" spans="24:33" x14ac:dyDescent="0.3">
      <c r="X1046561" s="164"/>
      <c r="AA1046561" s="164"/>
      <c r="AG1046561" s="164"/>
    </row>
    <row r="1046562" spans="24:33" x14ac:dyDescent="0.3">
      <c r="X1046562" s="164"/>
      <c r="AA1046562" s="164"/>
      <c r="AG1046562" s="164"/>
    </row>
    <row r="1046563" spans="24:33" x14ac:dyDescent="0.3">
      <c r="X1046563" s="164"/>
      <c r="AA1046563" s="164"/>
      <c r="AG1046563" s="164"/>
    </row>
    <row r="1046564" spans="24:33" x14ac:dyDescent="0.3">
      <c r="X1046564" s="164"/>
      <c r="AA1046564" s="164"/>
      <c r="AG1046564" s="164"/>
    </row>
    <row r="1046565" spans="24:33" x14ac:dyDescent="0.3">
      <c r="X1046565" s="164"/>
      <c r="AA1046565" s="164"/>
      <c r="AG1046565" s="164"/>
    </row>
    <row r="1046566" spans="24:33" x14ac:dyDescent="0.3">
      <c r="X1046566" s="164"/>
      <c r="AA1046566" s="164"/>
      <c r="AG1046566" s="164"/>
    </row>
    <row r="1046567" spans="24:33" x14ac:dyDescent="0.3">
      <c r="X1046567" s="164"/>
      <c r="AA1046567" s="164"/>
      <c r="AG1046567" s="164"/>
    </row>
    <row r="1046568" spans="24:33" x14ac:dyDescent="0.3">
      <c r="X1046568" s="164"/>
      <c r="AA1046568" s="164"/>
      <c r="AG1046568" s="164"/>
    </row>
    <row r="1046569" spans="24:33" x14ac:dyDescent="0.3">
      <c r="X1046569" s="164"/>
      <c r="AA1046569" s="164"/>
      <c r="AG1046569" s="164"/>
    </row>
    <row r="1046570" spans="24:33" x14ac:dyDescent="0.3">
      <c r="X1046570" s="164"/>
      <c r="AA1046570" s="164"/>
      <c r="AG1046570" s="164"/>
    </row>
    <row r="1046571" spans="24:33" x14ac:dyDescent="0.3">
      <c r="X1046571" s="164"/>
      <c r="AA1046571" s="164"/>
      <c r="AG1046571" s="164"/>
    </row>
    <row r="1046572" spans="24:33" x14ac:dyDescent="0.3">
      <c r="X1046572" s="164"/>
      <c r="AA1046572" s="164"/>
      <c r="AG1046572" s="164"/>
    </row>
    <row r="1046573" spans="24:33" x14ac:dyDescent="0.3">
      <c r="X1046573" s="164"/>
      <c r="AA1046573" s="164"/>
      <c r="AG1046573" s="164"/>
    </row>
    <row r="1046574" spans="24:33" x14ac:dyDescent="0.3">
      <c r="X1046574" s="164"/>
      <c r="AA1046574" s="164"/>
      <c r="AG1046574" s="164"/>
    </row>
    <row r="1046575" spans="24:33" x14ac:dyDescent="0.3">
      <c r="X1046575" s="164"/>
      <c r="AA1046575" s="164"/>
      <c r="AG1046575" s="164"/>
    </row>
    <row r="1046576" spans="24:33" x14ac:dyDescent="0.3">
      <c r="X1046576" s="164"/>
      <c r="AA1046576" s="164"/>
      <c r="AG1046576" s="164"/>
    </row>
    <row r="1046577" spans="24:33" x14ac:dyDescent="0.3">
      <c r="X1046577" s="164"/>
      <c r="AA1046577" s="164"/>
      <c r="AG1046577" s="164"/>
    </row>
    <row r="1046578" spans="24:33" x14ac:dyDescent="0.3">
      <c r="X1046578" s="164"/>
      <c r="AA1046578" s="164"/>
      <c r="AG1046578" s="164"/>
    </row>
    <row r="1046579" spans="24:33" x14ac:dyDescent="0.3">
      <c r="X1046579" s="164"/>
      <c r="AA1046579" s="164"/>
      <c r="AG1046579" s="164"/>
    </row>
    <row r="1046580" spans="24:33" x14ac:dyDescent="0.3">
      <c r="X1046580" s="164"/>
      <c r="AA1046580" s="164"/>
      <c r="AG1046580" s="164"/>
    </row>
    <row r="1046581" spans="24:33" x14ac:dyDescent="0.3">
      <c r="X1046581" s="164"/>
      <c r="AA1046581" s="164"/>
      <c r="AG1046581" s="164"/>
    </row>
    <row r="1046582" spans="24:33" x14ac:dyDescent="0.3">
      <c r="X1046582" s="164"/>
      <c r="AA1046582" s="164"/>
      <c r="AG1046582" s="164"/>
    </row>
    <row r="1046583" spans="24:33" x14ac:dyDescent="0.3">
      <c r="X1046583" s="164"/>
      <c r="AA1046583" s="164"/>
      <c r="AG1046583" s="164"/>
    </row>
    <row r="1046584" spans="24:33" x14ac:dyDescent="0.3">
      <c r="X1046584" s="164"/>
      <c r="AA1046584" s="164"/>
      <c r="AG1046584" s="164"/>
    </row>
    <row r="1046585" spans="24:33" x14ac:dyDescent="0.3">
      <c r="X1046585" s="164"/>
      <c r="AA1046585" s="164"/>
      <c r="AG1046585" s="164"/>
    </row>
    <row r="1046586" spans="24:33" x14ac:dyDescent="0.3">
      <c r="X1046586" s="164"/>
      <c r="AA1046586" s="164"/>
      <c r="AG1046586" s="164"/>
    </row>
    <row r="1046587" spans="24:33" x14ac:dyDescent="0.3">
      <c r="X1046587" s="164"/>
      <c r="AA1046587" s="164"/>
      <c r="AG1046587" s="164"/>
    </row>
    <row r="1046588" spans="24:33" x14ac:dyDescent="0.3">
      <c r="X1046588" s="164"/>
      <c r="AA1046588" s="164"/>
      <c r="AG1046588" s="164"/>
    </row>
    <row r="1046589" spans="24:33" x14ac:dyDescent="0.3">
      <c r="X1046589" s="164"/>
      <c r="AA1046589" s="164"/>
      <c r="AG1046589" s="164"/>
    </row>
    <row r="1046590" spans="24:33" x14ac:dyDescent="0.3">
      <c r="X1046590" s="164"/>
      <c r="AA1046590" s="164"/>
      <c r="AG1046590" s="164"/>
    </row>
    <row r="1046591" spans="24:33" x14ac:dyDescent="0.3">
      <c r="X1046591" s="164"/>
      <c r="AA1046591" s="164"/>
      <c r="AG1046591" s="164"/>
    </row>
    <row r="1046592" spans="24:33" x14ac:dyDescent="0.3">
      <c r="X1046592" s="164"/>
      <c r="AA1046592" s="164"/>
      <c r="AG1046592" s="164"/>
    </row>
    <row r="1046593" spans="24:33" x14ac:dyDescent="0.3">
      <c r="X1046593" s="164"/>
      <c r="AA1046593" s="164"/>
      <c r="AG1046593" s="164"/>
    </row>
    <row r="1046594" spans="24:33" x14ac:dyDescent="0.3">
      <c r="X1046594" s="164"/>
      <c r="AA1046594" s="164"/>
      <c r="AG1046594" s="164"/>
    </row>
    <row r="1046595" spans="24:33" x14ac:dyDescent="0.3">
      <c r="X1046595" s="164"/>
      <c r="AA1046595" s="164"/>
      <c r="AG1046595" s="164"/>
    </row>
    <row r="1046596" spans="24:33" x14ac:dyDescent="0.3">
      <c r="X1046596" s="164"/>
      <c r="AA1046596" s="164"/>
      <c r="AG1046596" s="164"/>
    </row>
    <row r="1046597" spans="24:33" x14ac:dyDescent="0.3">
      <c r="X1046597" s="164"/>
      <c r="AA1046597" s="164"/>
      <c r="AG1046597" s="164"/>
    </row>
    <row r="1046598" spans="24:33" x14ac:dyDescent="0.3">
      <c r="X1046598" s="164"/>
      <c r="AA1046598" s="164"/>
      <c r="AG1046598" s="164"/>
    </row>
    <row r="1046599" spans="24:33" x14ac:dyDescent="0.3">
      <c r="X1046599" s="164"/>
      <c r="AA1046599" s="164"/>
      <c r="AG1046599" s="164"/>
    </row>
    <row r="1046600" spans="24:33" x14ac:dyDescent="0.3">
      <c r="X1046600" s="164"/>
      <c r="AA1046600" s="164"/>
      <c r="AG1046600" s="164"/>
    </row>
    <row r="1046601" spans="24:33" x14ac:dyDescent="0.3">
      <c r="X1046601" s="164"/>
      <c r="AA1046601" s="164"/>
      <c r="AG1046601" s="164"/>
    </row>
    <row r="1046602" spans="24:33" x14ac:dyDescent="0.3">
      <c r="X1046602" s="164"/>
      <c r="AA1046602" s="164"/>
      <c r="AG1046602" s="164"/>
    </row>
    <row r="1046603" spans="24:33" x14ac:dyDescent="0.3">
      <c r="X1046603" s="164"/>
      <c r="AA1046603" s="164"/>
      <c r="AG1046603" s="164"/>
    </row>
    <row r="1046604" spans="24:33" x14ac:dyDescent="0.3">
      <c r="X1046604" s="164"/>
      <c r="AA1046604" s="164"/>
      <c r="AG1046604" s="164"/>
    </row>
    <row r="1046605" spans="24:33" x14ac:dyDescent="0.3">
      <c r="X1046605" s="164"/>
      <c r="AA1046605" s="164"/>
      <c r="AG1046605" s="164"/>
    </row>
    <row r="1046606" spans="24:33" x14ac:dyDescent="0.3">
      <c r="X1046606" s="164"/>
      <c r="AA1046606" s="164"/>
      <c r="AG1046606" s="164"/>
    </row>
    <row r="1046607" spans="24:33" x14ac:dyDescent="0.3">
      <c r="X1046607" s="164"/>
      <c r="AA1046607" s="164"/>
      <c r="AG1046607" s="164"/>
    </row>
    <row r="1046608" spans="24:33" x14ac:dyDescent="0.3">
      <c r="X1046608" s="164"/>
      <c r="AA1046608" s="164"/>
      <c r="AG1046608" s="164"/>
    </row>
    <row r="1046609" spans="24:33" x14ac:dyDescent="0.3">
      <c r="X1046609" s="164"/>
      <c r="AA1046609" s="164"/>
      <c r="AG1046609" s="164"/>
    </row>
    <row r="1046610" spans="24:33" x14ac:dyDescent="0.3">
      <c r="X1046610" s="164"/>
      <c r="AA1046610" s="164"/>
      <c r="AG1046610" s="164"/>
    </row>
    <row r="1046611" spans="24:33" x14ac:dyDescent="0.3">
      <c r="X1046611" s="164"/>
      <c r="AA1046611" s="164"/>
      <c r="AG1046611" s="164"/>
    </row>
    <row r="1046612" spans="24:33" x14ac:dyDescent="0.3">
      <c r="X1046612" s="164"/>
      <c r="AA1046612" s="164"/>
      <c r="AG1046612" s="164"/>
    </row>
    <row r="1046613" spans="24:33" x14ac:dyDescent="0.3">
      <c r="X1046613" s="164"/>
      <c r="AA1046613" s="164"/>
      <c r="AG1046613" s="164"/>
    </row>
    <row r="1046614" spans="24:33" x14ac:dyDescent="0.3">
      <c r="X1046614" s="164"/>
      <c r="AA1046614" s="164"/>
      <c r="AG1046614" s="164"/>
    </row>
    <row r="1046615" spans="24:33" x14ac:dyDescent="0.3">
      <c r="X1046615" s="164"/>
      <c r="AA1046615" s="164"/>
      <c r="AG1046615" s="164"/>
    </row>
    <row r="1046616" spans="24:33" x14ac:dyDescent="0.3">
      <c r="X1046616" s="164"/>
      <c r="AA1046616" s="164"/>
      <c r="AG1046616" s="164"/>
    </row>
    <row r="1046617" spans="24:33" x14ac:dyDescent="0.3">
      <c r="X1046617" s="164"/>
      <c r="AA1046617" s="164"/>
      <c r="AG1046617" s="164"/>
    </row>
    <row r="1046618" spans="24:33" x14ac:dyDescent="0.3">
      <c r="X1046618" s="164"/>
      <c r="AA1046618" s="164"/>
      <c r="AG1046618" s="164"/>
    </row>
    <row r="1046619" spans="24:33" x14ac:dyDescent="0.3">
      <c r="X1046619" s="164"/>
      <c r="AA1046619" s="164"/>
      <c r="AG1046619" s="164"/>
    </row>
  </sheetData>
  <autoFilter ref="A1:AL2859" xr:uid="{00000000-0009-0000-0000-000005000000}"/>
  <phoneticPr fontId="11" type="noConversion"/>
  <dataValidations count="4">
    <dataValidation type="list" allowBlank="1" showInputMessage="1" showErrorMessage="1" sqref="J245:J249 J243" xr:uid="{00000000-0002-0000-0500-000000000000}">
      <formula1>OFFSET(costItem_anchor,1,MATCH(I243,costItem_lookupRow,0)-1,COUNTA(OFFSET(costItem_anchor,1,MATCH(I243,costItem_lookupRow,0)-1,500,1)),1)</formula1>
    </dataValidation>
    <dataValidation type="list" allowBlank="1" showInputMessage="1" showErrorMessage="1" sqref="J244 J236:J242 J230:J234" xr:uid="{00000000-0002-0000-0500-000001000000}">
      <formula1>OFFSET(subactivitydd_anchor,1,0,COUNTA(subactivitydd_count)-1,1)</formula1>
    </dataValidation>
    <dataValidation type="list" allowBlank="1" showInputMessage="1" showErrorMessage="1" sqref="C2:C365" xr:uid="{00000000-0002-0000-0500-000002000000}">
      <formula1>OFFSET(structuredd_anchor,1,MATCH(C$2,structuredd_lookupRow,0)-1,COUNTA(OFFSET(structuredd_anchor,1,MATCH(C$2,structuredd_lookupRow,0)-1,500,1)),1)</formula1>
    </dataValidation>
    <dataValidation type="list" allowBlank="1" showInputMessage="1" showErrorMessage="1" sqref="H35:H365 H1253:H1278 H1293:H1302" xr:uid="{00000000-0002-0000-0500-000003000000}">
      <formula1>INDIRECT($AL35)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INDIRECT(INDEX('C:\Users\USER\Desktop\HEALTH FINANCING STRATEGY DOCUMENTS SALIMA 3RD SEPTEMBER 2021\[LINDE HFS.xlsm]dd_lists'!#REF!,MATCH($E2,'C:\Users\USER\Desktop\HEALTH FINANCING STRATEGY DOCUMENTS SALIMA 3RD SEPTEMBER 2021\[LINDE HFS.xlsm]dd_lists'!#REF!,0)))</xm:f>
          </x14:formula1>
          <xm:sqref>E2:E365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427"/>
  <sheetViews>
    <sheetView topLeftCell="A381" zoomScale="70" zoomScaleNormal="70" workbookViewId="0">
      <selection activeCell="E95" sqref="E95"/>
    </sheetView>
  </sheetViews>
  <sheetFormatPr defaultColWidth="8.88671875" defaultRowHeight="14.4" x14ac:dyDescent="0.3"/>
  <cols>
    <col min="1" max="7" width="35.6640625" customWidth="1"/>
    <col min="8" max="9" width="10.6640625" customWidth="1"/>
    <col min="10" max="10" width="38.44140625" customWidth="1"/>
    <col min="11" max="12" width="10.6640625" customWidth="1"/>
    <col min="13" max="13" width="35.6640625" customWidth="1"/>
    <col min="14" max="15" width="10.6640625" customWidth="1"/>
    <col min="16" max="16" width="35.6640625" customWidth="1"/>
    <col min="17" max="18" width="10.6640625" customWidth="1"/>
    <col min="19" max="19" width="30.6640625" customWidth="1"/>
    <col min="20" max="21" width="10.6640625" customWidth="1"/>
    <col min="22" max="22" width="30.6640625" customWidth="1"/>
    <col min="23" max="24" width="10.6640625" customWidth="1"/>
    <col min="25" max="25" width="30.6640625" customWidth="1"/>
    <col min="26" max="27" width="10.6640625" customWidth="1"/>
    <col min="28" max="28" width="30.6640625" customWidth="1"/>
    <col min="29" max="30" width="10.6640625" customWidth="1"/>
    <col min="31" max="31" width="30.6640625" customWidth="1"/>
    <col min="32" max="32" width="40.6640625" customWidth="1"/>
    <col min="33" max="33" width="35.44140625" customWidth="1"/>
    <col min="34" max="34" width="31.44140625" customWidth="1"/>
  </cols>
  <sheetData>
    <row r="1" spans="1:38" ht="43.2"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96" customHeight="1" x14ac:dyDescent="0.3">
      <c r="A2" s="2" t="s">
        <v>836</v>
      </c>
      <c r="B2" s="4" t="s">
        <v>837</v>
      </c>
      <c r="C2" s="40" t="s">
        <v>1295</v>
      </c>
      <c r="D2" s="6" t="s">
        <v>839</v>
      </c>
      <c r="E2" s="6" t="s">
        <v>840</v>
      </c>
      <c r="F2" s="6" t="s">
        <v>841</v>
      </c>
      <c r="G2" s="25">
        <v>0</v>
      </c>
      <c r="H2" s="38">
        <v>0</v>
      </c>
      <c r="I2" s="38">
        <v>0</v>
      </c>
      <c r="J2" s="39">
        <f>G2*H2*I2</f>
        <v>0</v>
      </c>
      <c r="K2" s="38"/>
      <c r="L2" s="38"/>
      <c r="M2" s="39">
        <f>(G2*1.1)*K2*L2</f>
        <v>0</v>
      </c>
      <c r="N2" s="38">
        <v>0</v>
      </c>
      <c r="O2" s="38">
        <v>0</v>
      </c>
      <c r="P2" s="39">
        <f>($G2*1.1^2)*N2*O2</f>
        <v>0</v>
      </c>
      <c r="Q2" s="38"/>
      <c r="R2" s="38"/>
      <c r="S2" s="39">
        <f>(G2*1.1^3)*Q2*R2</f>
        <v>0</v>
      </c>
      <c r="T2" s="38">
        <v>0</v>
      </c>
      <c r="U2" s="38">
        <v>0</v>
      </c>
      <c r="V2" s="39">
        <f>($G2*1.1^4)*T2*U2</f>
        <v>0</v>
      </c>
      <c r="Y2">
        <f>(G2*1.1^5)*W2*X2</f>
        <v>0</v>
      </c>
      <c r="Z2" s="38">
        <v>0</v>
      </c>
      <c r="AA2" s="38">
        <v>0</v>
      </c>
      <c r="AB2" s="39">
        <f>($G2*1.1^6)*Z2*AA2</f>
        <v>0</v>
      </c>
      <c r="AE2">
        <f>(G2*1.1^7)*AC2*AD2</f>
        <v>0</v>
      </c>
      <c r="AF2" s="28">
        <f>J2+M2+P2+S2+V2+Y2+AB2+AE2</f>
        <v>0</v>
      </c>
      <c r="AG2" s="28">
        <f>AF2/$AL$2</f>
        <v>0</v>
      </c>
      <c r="AL2">
        <f>1028</f>
        <v>1028</v>
      </c>
    </row>
    <row r="3" spans="1:38" ht="109.2" x14ac:dyDescent="0.3">
      <c r="A3" s="2" t="s">
        <v>836</v>
      </c>
      <c r="B3" s="4" t="s">
        <v>837</v>
      </c>
      <c r="C3" s="40" t="s">
        <v>1295</v>
      </c>
      <c r="D3" s="6" t="s">
        <v>839</v>
      </c>
      <c r="E3" s="6" t="s">
        <v>842</v>
      </c>
      <c r="F3" s="6" t="s">
        <v>841</v>
      </c>
      <c r="G3" s="25">
        <v>0</v>
      </c>
      <c r="H3" s="38">
        <v>0</v>
      </c>
      <c r="I3" s="38">
        <v>0</v>
      </c>
      <c r="J3" s="39">
        <f t="shared" ref="J3:J66" si="0">G3*H3*I3</f>
        <v>0</v>
      </c>
      <c r="K3" s="38"/>
      <c r="L3" s="38"/>
      <c r="M3" s="39">
        <f t="shared" ref="M3:M88" si="1">(G3*1.1)*K3*L3</f>
        <v>0</v>
      </c>
      <c r="N3" s="38">
        <v>0</v>
      </c>
      <c r="O3" s="38">
        <v>0</v>
      </c>
      <c r="P3" s="39">
        <f t="shared" ref="P3:P53" si="2">($G3*1.1^2)*N3*O3</f>
        <v>0</v>
      </c>
      <c r="Q3" s="38"/>
      <c r="R3" s="38"/>
      <c r="S3" s="39">
        <f t="shared" ref="S3:S88" si="3">(G3*1.1^3)*Q3*R3</f>
        <v>0</v>
      </c>
      <c r="T3" s="38">
        <v>0</v>
      </c>
      <c r="U3" s="38">
        <v>0</v>
      </c>
      <c r="V3" s="39">
        <f t="shared" ref="V3:V34" si="4">($G3*1.1^4)*T3*U3</f>
        <v>0</v>
      </c>
      <c r="Y3">
        <f t="shared" ref="Y3:Y88" si="5">(G3*1.1^5)*W3*X3</f>
        <v>0</v>
      </c>
      <c r="Z3" s="38">
        <v>0</v>
      </c>
      <c r="AA3" s="38">
        <v>0</v>
      </c>
      <c r="AB3" s="39">
        <f t="shared" ref="AB3:AB35" si="6">($G3*1.1^6)*Z3*AA3</f>
        <v>0</v>
      </c>
      <c r="AE3">
        <f t="shared" ref="AE3:AE88" si="7">(G3*1.1^7)*AC3*AD3</f>
        <v>0</v>
      </c>
      <c r="AF3" s="28">
        <f t="shared" ref="AF3:AF88" si="8">J3+M3+P3+S3+V3+Y3+AB3+AE3</f>
        <v>0</v>
      </c>
      <c r="AG3" s="28">
        <f t="shared" ref="AG3:AG87" si="9">AF3/$AL$2</f>
        <v>0</v>
      </c>
    </row>
    <row r="4" spans="1:38" ht="109.2" x14ac:dyDescent="0.3">
      <c r="A4" s="2" t="s">
        <v>836</v>
      </c>
      <c r="B4" s="4" t="s">
        <v>837</v>
      </c>
      <c r="C4" s="40" t="s">
        <v>1295</v>
      </c>
      <c r="D4" s="6" t="s">
        <v>839</v>
      </c>
      <c r="E4" s="6" t="s">
        <v>843</v>
      </c>
      <c r="F4" s="6" t="s">
        <v>709</v>
      </c>
      <c r="G4" s="25">
        <v>35000</v>
      </c>
      <c r="H4" s="38">
        <v>10</v>
      </c>
      <c r="I4" s="38">
        <v>2</v>
      </c>
      <c r="J4" s="39">
        <f t="shared" si="0"/>
        <v>700000</v>
      </c>
      <c r="K4" s="38"/>
      <c r="L4" s="38"/>
      <c r="M4" s="39">
        <f t="shared" si="1"/>
        <v>0</v>
      </c>
      <c r="N4" s="38">
        <v>10</v>
      </c>
      <c r="O4" s="38">
        <v>2</v>
      </c>
      <c r="P4" s="39">
        <f t="shared" si="2"/>
        <v>847000.00000000012</v>
      </c>
      <c r="Q4" s="38"/>
      <c r="R4" s="38"/>
      <c r="S4" s="39">
        <f t="shared" si="3"/>
        <v>0</v>
      </c>
      <c r="T4" s="38">
        <v>10</v>
      </c>
      <c r="U4" s="38">
        <v>2</v>
      </c>
      <c r="V4" s="39">
        <f t="shared" si="4"/>
        <v>1024870.0000000002</v>
      </c>
      <c r="Y4">
        <f t="shared" si="5"/>
        <v>0</v>
      </c>
      <c r="Z4" s="38">
        <v>10</v>
      </c>
      <c r="AA4" s="38">
        <v>2</v>
      </c>
      <c r="AB4" s="39">
        <f t="shared" si="6"/>
        <v>1240092.7000000007</v>
      </c>
      <c r="AE4">
        <f t="shared" si="7"/>
        <v>0</v>
      </c>
      <c r="AF4" s="28">
        <f t="shared" si="8"/>
        <v>3811962.7000000007</v>
      </c>
      <c r="AG4" s="28">
        <f t="shared" si="9"/>
        <v>3708.1349221789887</v>
      </c>
    </row>
    <row r="5" spans="1:38" ht="109.2" x14ac:dyDescent="0.3">
      <c r="A5" s="2" t="s">
        <v>836</v>
      </c>
      <c r="B5" s="4" t="s">
        <v>837</v>
      </c>
      <c r="C5" s="40" t="s">
        <v>1295</v>
      </c>
      <c r="D5" s="6" t="s">
        <v>839</v>
      </c>
      <c r="E5" s="6" t="s">
        <v>149</v>
      </c>
      <c r="F5" s="6" t="s">
        <v>707</v>
      </c>
      <c r="G5" s="25">
        <v>391991.03749999998</v>
      </c>
      <c r="H5" s="38">
        <v>2</v>
      </c>
      <c r="I5" s="38">
        <v>2</v>
      </c>
      <c r="J5" s="39">
        <f t="shared" si="0"/>
        <v>1567964.15</v>
      </c>
      <c r="K5" s="38"/>
      <c r="L5" s="38"/>
      <c r="M5" s="39">
        <f t="shared" si="1"/>
        <v>0</v>
      </c>
      <c r="N5" s="38">
        <v>2</v>
      </c>
      <c r="O5" s="38">
        <v>2</v>
      </c>
      <c r="P5" s="39">
        <f t="shared" si="2"/>
        <v>1897236.6215000001</v>
      </c>
      <c r="Q5" s="38"/>
      <c r="R5" s="38"/>
      <c r="S5" s="39">
        <f t="shared" si="3"/>
        <v>0</v>
      </c>
      <c r="T5" s="38">
        <v>2</v>
      </c>
      <c r="U5" s="38">
        <v>2</v>
      </c>
      <c r="V5" s="39">
        <f t="shared" si="4"/>
        <v>2295656.3120150003</v>
      </c>
      <c r="W5" s="50">
        <v>0</v>
      </c>
      <c r="X5">
        <v>0</v>
      </c>
      <c r="Y5">
        <f t="shared" si="5"/>
        <v>0</v>
      </c>
      <c r="Z5" s="38">
        <v>2</v>
      </c>
      <c r="AA5" s="38">
        <v>2</v>
      </c>
      <c r="AB5" s="39">
        <f t="shared" si="6"/>
        <v>2777744.1375381513</v>
      </c>
      <c r="AE5">
        <f t="shared" si="7"/>
        <v>0</v>
      </c>
      <c r="AF5" s="28">
        <f t="shared" si="8"/>
        <v>8538601.2210531514</v>
      </c>
      <c r="AG5" s="28">
        <f t="shared" si="9"/>
        <v>8306.0323161995639</v>
      </c>
    </row>
    <row r="6" spans="1:38" ht="109.2" x14ac:dyDescent="0.3">
      <c r="A6" s="2" t="s">
        <v>836</v>
      </c>
      <c r="B6" s="4" t="s">
        <v>837</v>
      </c>
      <c r="C6" s="40" t="s">
        <v>1295</v>
      </c>
      <c r="D6" s="6" t="s">
        <v>839</v>
      </c>
      <c r="E6" s="6" t="s">
        <v>149</v>
      </c>
      <c r="F6" s="6" t="s">
        <v>708</v>
      </c>
      <c r="G6" s="25">
        <f>500*1030</f>
        <v>515000</v>
      </c>
      <c r="H6" s="38">
        <v>1</v>
      </c>
      <c r="I6" s="38">
        <v>25</v>
      </c>
      <c r="J6" s="39">
        <f t="shared" si="0"/>
        <v>12875000</v>
      </c>
      <c r="K6" s="38"/>
      <c r="L6" s="38"/>
      <c r="M6" s="39">
        <f t="shared" si="1"/>
        <v>0</v>
      </c>
      <c r="N6" s="38">
        <v>1</v>
      </c>
      <c r="O6" s="38">
        <v>25</v>
      </c>
      <c r="P6" s="39">
        <f t="shared" si="2"/>
        <v>15578750.000000004</v>
      </c>
      <c r="Q6" s="38"/>
      <c r="R6" s="38"/>
      <c r="S6" s="39">
        <f t="shared" si="3"/>
        <v>0</v>
      </c>
      <c r="T6" s="38">
        <v>1</v>
      </c>
      <c r="U6" s="38">
        <v>25</v>
      </c>
      <c r="V6" s="39">
        <f t="shared" si="4"/>
        <v>18850287.500000007</v>
      </c>
      <c r="Y6">
        <f t="shared" si="5"/>
        <v>0</v>
      </c>
      <c r="Z6" s="38">
        <v>1</v>
      </c>
      <c r="AA6" s="38">
        <v>25</v>
      </c>
      <c r="AB6" s="39">
        <f t="shared" si="6"/>
        <v>22808847.875000011</v>
      </c>
      <c r="AE6">
        <f t="shared" si="7"/>
        <v>0</v>
      </c>
      <c r="AF6" s="28">
        <f t="shared" si="8"/>
        <v>70112885.37500003</v>
      </c>
      <c r="AG6" s="28">
        <f t="shared" si="9"/>
        <v>68203.195890077855</v>
      </c>
    </row>
    <row r="7" spans="1:38" ht="109.2" x14ac:dyDescent="0.3">
      <c r="A7" s="2" t="s">
        <v>836</v>
      </c>
      <c r="B7" s="4" t="s">
        <v>837</v>
      </c>
      <c r="C7" s="40" t="s">
        <v>1295</v>
      </c>
      <c r="D7" s="6" t="s">
        <v>839</v>
      </c>
      <c r="E7" s="6" t="s">
        <v>150</v>
      </c>
      <c r="F7" s="6" t="s">
        <v>841</v>
      </c>
      <c r="G7" s="25">
        <v>0</v>
      </c>
      <c r="H7" s="38"/>
      <c r="I7" s="38"/>
      <c r="J7" s="39">
        <f t="shared" si="0"/>
        <v>0</v>
      </c>
      <c r="K7" s="38"/>
      <c r="L7" s="38"/>
      <c r="M7" s="39">
        <f t="shared" si="1"/>
        <v>0</v>
      </c>
      <c r="N7" s="38"/>
      <c r="O7" s="38"/>
      <c r="P7" s="39">
        <f t="shared" si="2"/>
        <v>0</v>
      </c>
      <c r="Q7" s="38"/>
      <c r="R7" s="38"/>
      <c r="S7" s="39">
        <f t="shared" si="3"/>
        <v>0</v>
      </c>
      <c r="T7" s="38"/>
      <c r="U7" s="38"/>
      <c r="V7" s="39">
        <f t="shared" si="4"/>
        <v>0</v>
      </c>
      <c r="Y7">
        <f t="shared" si="5"/>
        <v>0</v>
      </c>
      <c r="Z7" s="38"/>
      <c r="AA7" s="38"/>
      <c r="AB7" s="39">
        <f t="shared" si="6"/>
        <v>0</v>
      </c>
      <c r="AE7">
        <f t="shared" si="7"/>
        <v>0</v>
      </c>
      <c r="AF7" s="28">
        <f t="shared" si="8"/>
        <v>0</v>
      </c>
      <c r="AG7" s="28">
        <f t="shared" si="9"/>
        <v>0</v>
      </c>
    </row>
    <row r="8" spans="1:38" ht="109.2" x14ac:dyDescent="0.3">
      <c r="A8" s="2" t="s">
        <v>836</v>
      </c>
      <c r="B8" s="4" t="s">
        <v>837</v>
      </c>
      <c r="C8" s="40" t="s">
        <v>1295</v>
      </c>
      <c r="D8" s="6" t="s">
        <v>839</v>
      </c>
      <c r="E8" s="6" t="s">
        <v>1304</v>
      </c>
      <c r="F8" s="6" t="s">
        <v>709</v>
      </c>
      <c r="G8" s="25">
        <v>35000</v>
      </c>
      <c r="H8" s="38">
        <v>26</v>
      </c>
      <c r="I8" s="38">
        <v>5</v>
      </c>
      <c r="J8" s="39">
        <f t="shared" si="0"/>
        <v>4550000</v>
      </c>
      <c r="K8" s="38"/>
      <c r="L8" s="38"/>
      <c r="M8" s="39">
        <f t="shared" si="1"/>
        <v>0</v>
      </c>
      <c r="N8" s="38">
        <v>26</v>
      </c>
      <c r="O8" s="38">
        <v>5</v>
      </c>
      <c r="P8" s="39">
        <f t="shared" si="2"/>
        <v>5505500.0000000009</v>
      </c>
      <c r="Q8" s="38"/>
      <c r="R8" s="38"/>
      <c r="S8" s="39">
        <f t="shared" si="3"/>
        <v>0</v>
      </c>
      <c r="T8" s="38">
        <v>26</v>
      </c>
      <c r="U8" s="38">
        <v>5</v>
      </c>
      <c r="V8" s="39">
        <f t="shared" si="4"/>
        <v>6661655.0000000019</v>
      </c>
      <c r="Y8">
        <f t="shared" si="5"/>
        <v>0</v>
      </c>
      <c r="Z8" s="38">
        <v>26</v>
      </c>
      <c r="AA8" s="38">
        <v>5</v>
      </c>
      <c r="AB8" s="39">
        <f t="shared" si="6"/>
        <v>8060602.5500000035</v>
      </c>
      <c r="AE8">
        <f t="shared" si="7"/>
        <v>0</v>
      </c>
      <c r="AF8" s="28">
        <f t="shared" si="8"/>
        <v>24777757.550000004</v>
      </c>
      <c r="AG8" s="28">
        <f t="shared" si="9"/>
        <v>24102.876994163427</v>
      </c>
    </row>
    <row r="9" spans="1:38" ht="109.2" x14ac:dyDescent="0.3">
      <c r="A9" s="2" t="s">
        <v>836</v>
      </c>
      <c r="B9" s="4" t="s">
        <v>837</v>
      </c>
      <c r="C9" s="40" t="s">
        <v>1295</v>
      </c>
      <c r="D9" s="6" t="s">
        <v>839</v>
      </c>
      <c r="E9" s="6" t="s">
        <v>1304</v>
      </c>
      <c r="F9" s="6" t="s">
        <v>716</v>
      </c>
      <c r="G9" s="25">
        <v>39000</v>
      </c>
      <c r="H9" s="38">
        <v>26</v>
      </c>
      <c r="I9" s="38">
        <v>6</v>
      </c>
      <c r="J9" s="39">
        <f t="shared" si="0"/>
        <v>6084000</v>
      </c>
      <c r="K9" s="38"/>
      <c r="L9" s="38"/>
      <c r="M9" s="39"/>
      <c r="N9" s="38">
        <v>26</v>
      </c>
      <c r="O9" s="38">
        <v>6</v>
      </c>
      <c r="P9" s="39">
        <f t="shared" si="2"/>
        <v>7361640.0000000019</v>
      </c>
      <c r="Q9" s="38"/>
      <c r="R9" s="38"/>
      <c r="S9" s="39"/>
      <c r="T9" s="38">
        <v>26</v>
      </c>
      <c r="U9" s="38">
        <v>6</v>
      </c>
      <c r="V9" s="39">
        <f t="shared" si="4"/>
        <v>8907584.4000000022</v>
      </c>
      <c r="Y9">
        <f t="shared" si="5"/>
        <v>0</v>
      </c>
      <c r="Z9" s="38">
        <v>26</v>
      </c>
      <c r="AA9" s="38">
        <v>6</v>
      </c>
      <c r="AB9" s="39">
        <f t="shared" si="6"/>
        <v>10778177.124000005</v>
      </c>
      <c r="AE9">
        <f t="shared" si="7"/>
        <v>0</v>
      </c>
      <c r="AF9" s="28"/>
      <c r="AG9" s="28"/>
    </row>
    <row r="10" spans="1:38" ht="109.2" x14ac:dyDescent="0.3">
      <c r="A10" s="2" t="s">
        <v>836</v>
      </c>
      <c r="B10" s="4" t="s">
        <v>837</v>
      </c>
      <c r="C10" s="40" t="s">
        <v>1295</v>
      </c>
      <c r="D10" s="6" t="s">
        <v>839</v>
      </c>
      <c r="E10" s="6" t="s">
        <v>1304</v>
      </c>
      <c r="F10" s="6" t="s">
        <v>1306</v>
      </c>
      <c r="G10" s="25">
        <v>211.43</v>
      </c>
      <c r="H10" s="38">
        <f>135*2*9</f>
        <v>2430</v>
      </c>
      <c r="I10" s="38">
        <v>1</v>
      </c>
      <c r="J10" s="39">
        <f t="shared" si="0"/>
        <v>513774.9</v>
      </c>
      <c r="K10" s="38"/>
      <c r="L10" s="38"/>
      <c r="M10" s="39"/>
      <c r="N10" s="38">
        <f>135*2*9</f>
        <v>2430</v>
      </c>
      <c r="O10" s="38">
        <v>1</v>
      </c>
      <c r="P10" s="39">
        <f t="shared" si="2"/>
        <v>621667.62900000007</v>
      </c>
      <c r="Q10" s="38"/>
      <c r="R10" s="38"/>
      <c r="S10" s="39"/>
      <c r="T10" s="38">
        <f>135*2*9</f>
        <v>2430</v>
      </c>
      <c r="U10" s="38">
        <v>1</v>
      </c>
      <c r="V10" s="39">
        <f t="shared" si="4"/>
        <v>752217.83109000034</v>
      </c>
      <c r="Z10" s="38">
        <f>135*2*9</f>
        <v>2430</v>
      </c>
      <c r="AA10" s="38">
        <v>1</v>
      </c>
      <c r="AB10" s="39">
        <f t="shared" si="6"/>
        <v>910183.57561890048</v>
      </c>
      <c r="AF10" s="28"/>
      <c r="AG10" s="28"/>
    </row>
    <row r="11" spans="1:38" ht="109.2" x14ac:dyDescent="0.3">
      <c r="A11" s="2" t="s">
        <v>836</v>
      </c>
      <c r="B11" s="4" t="s">
        <v>837</v>
      </c>
      <c r="C11" s="40" t="s">
        <v>1295</v>
      </c>
      <c r="D11" s="6" t="s">
        <v>839</v>
      </c>
      <c r="E11" s="6" t="s">
        <v>1304</v>
      </c>
      <c r="F11" s="6" t="s">
        <v>1307</v>
      </c>
      <c r="G11" s="25">
        <f>1999/7</f>
        <v>285.57142857142856</v>
      </c>
      <c r="H11" s="38">
        <f>25*9*2</f>
        <v>450</v>
      </c>
      <c r="I11" s="38">
        <v>5</v>
      </c>
      <c r="J11" s="39">
        <f t="shared" si="0"/>
        <v>642535.71428571432</v>
      </c>
      <c r="K11" s="38"/>
      <c r="L11" s="38"/>
      <c r="M11" s="39"/>
      <c r="N11" s="38">
        <f>25*9*2</f>
        <v>450</v>
      </c>
      <c r="O11" s="38">
        <v>5</v>
      </c>
      <c r="P11" s="39">
        <f t="shared" si="2"/>
        <v>777468.21428571432</v>
      </c>
      <c r="Q11" s="38"/>
      <c r="R11" s="38"/>
      <c r="S11" s="39"/>
      <c r="T11" s="38">
        <f>25*9*2</f>
        <v>450</v>
      </c>
      <c r="U11" s="38">
        <v>5</v>
      </c>
      <c r="V11" s="39">
        <f t="shared" si="4"/>
        <v>940736.53928571451</v>
      </c>
      <c r="Z11" s="38">
        <f>25*9*2</f>
        <v>450</v>
      </c>
      <c r="AA11" s="38">
        <v>5</v>
      </c>
      <c r="AB11" s="39">
        <f t="shared" si="6"/>
        <v>1138291.2125357147</v>
      </c>
      <c r="AF11" s="28"/>
      <c r="AG11" s="28"/>
    </row>
    <row r="12" spans="1:38" ht="109.2" x14ac:dyDescent="0.3">
      <c r="A12" s="2" t="s">
        <v>836</v>
      </c>
      <c r="B12" s="4" t="s">
        <v>837</v>
      </c>
      <c r="C12" s="40" t="s">
        <v>1295</v>
      </c>
      <c r="D12" s="6" t="s">
        <v>839</v>
      </c>
      <c r="E12" s="6" t="s">
        <v>1305</v>
      </c>
      <c r="F12" s="6" t="s">
        <v>710</v>
      </c>
      <c r="G12" s="25">
        <v>104850</v>
      </c>
      <c r="H12" s="38">
        <v>1</v>
      </c>
      <c r="I12" s="38">
        <v>1</v>
      </c>
      <c r="J12" s="39">
        <f t="shared" si="0"/>
        <v>104850</v>
      </c>
      <c r="K12" s="38"/>
      <c r="L12" s="38"/>
      <c r="M12" s="39">
        <f t="shared" si="1"/>
        <v>0</v>
      </c>
      <c r="N12" s="38">
        <v>1</v>
      </c>
      <c r="O12" s="38">
        <v>1</v>
      </c>
      <c r="P12" s="39">
        <f t="shared" si="2"/>
        <v>126868.50000000001</v>
      </c>
      <c r="Q12" s="38"/>
      <c r="R12" s="38"/>
      <c r="S12" s="39">
        <f t="shared" si="3"/>
        <v>0</v>
      </c>
      <c r="T12" s="38">
        <v>1</v>
      </c>
      <c r="U12" s="38">
        <v>1</v>
      </c>
      <c r="V12" s="39">
        <f t="shared" si="4"/>
        <v>153510.88500000004</v>
      </c>
      <c r="Y12">
        <f t="shared" si="5"/>
        <v>0</v>
      </c>
      <c r="Z12" s="38">
        <v>1</v>
      </c>
      <c r="AA12" s="38">
        <v>1</v>
      </c>
      <c r="AB12" s="39">
        <f t="shared" si="6"/>
        <v>185748.17085000008</v>
      </c>
      <c r="AE12">
        <f t="shared" si="7"/>
        <v>0</v>
      </c>
      <c r="AF12" s="28">
        <f t="shared" si="8"/>
        <v>570977.55585000012</v>
      </c>
      <c r="AG12" s="28">
        <f t="shared" si="9"/>
        <v>555.42563798638139</v>
      </c>
    </row>
    <row r="13" spans="1:38" ht="109.2" x14ac:dyDescent="0.3">
      <c r="A13" s="2" t="s">
        <v>836</v>
      </c>
      <c r="B13" s="4" t="s">
        <v>837</v>
      </c>
      <c r="C13" s="40" t="s">
        <v>1295</v>
      </c>
      <c r="D13" s="6" t="s">
        <v>839</v>
      </c>
      <c r="E13" s="6" t="s">
        <v>844</v>
      </c>
      <c r="F13" s="6" t="s">
        <v>1308</v>
      </c>
      <c r="G13" s="25">
        <v>8000</v>
      </c>
      <c r="H13" s="38">
        <v>10</v>
      </c>
      <c r="I13" s="38">
        <v>1</v>
      </c>
      <c r="J13" s="39">
        <f t="shared" si="0"/>
        <v>80000</v>
      </c>
      <c r="K13" s="38"/>
      <c r="L13" s="38"/>
      <c r="M13" s="39">
        <f t="shared" si="1"/>
        <v>0</v>
      </c>
      <c r="N13" s="38">
        <v>10</v>
      </c>
      <c r="O13" s="38">
        <v>1</v>
      </c>
      <c r="P13" s="39">
        <f t="shared" si="2"/>
        <v>96800.000000000015</v>
      </c>
      <c r="Q13" s="38"/>
      <c r="R13" s="38"/>
      <c r="S13" s="39">
        <f t="shared" si="3"/>
        <v>0</v>
      </c>
      <c r="T13" s="38">
        <v>10</v>
      </c>
      <c r="U13" s="38">
        <v>1</v>
      </c>
      <c r="V13" s="39">
        <f t="shared" si="4"/>
        <v>117128.00000000003</v>
      </c>
      <c r="Y13">
        <f t="shared" si="5"/>
        <v>0</v>
      </c>
      <c r="Z13" s="38">
        <v>10</v>
      </c>
      <c r="AA13" s="38">
        <v>1</v>
      </c>
      <c r="AB13" s="39">
        <f t="shared" si="6"/>
        <v>141724.88000000006</v>
      </c>
      <c r="AE13">
        <f t="shared" si="7"/>
        <v>0</v>
      </c>
      <c r="AF13" s="28">
        <f t="shared" si="8"/>
        <v>435652.88000000006</v>
      </c>
      <c r="AG13" s="28">
        <f t="shared" si="9"/>
        <v>423.78684824902729</v>
      </c>
    </row>
    <row r="14" spans="1:38" ht="109.2" x14ac:dyDescent="0.3">
      <c r="A14" s="2" t="s">
        <v>836</v>
      </c>
      <c r="B14" s="4" t="s">
        <v>837</v>
      </c>
      <c r="C14" s="40" t="s">
        <v>1295</v>
      </c>
      <c r="D14" s="6" t="s">
        <v>839</v>
      </c>
      <c r="E14" s="6" t="s">
        <v>845</v>
      </c>
      <c r="F14" s="6" t="s">
        <v>1310</v>
      </c>
      <c r="G14" s="25">
        <f>1999/7</f>
        <v>285.57142857142856</v>
      </c>
      <c r="H14" s="38">
        <f>9*180*2</f>
        <v>3240</v>
      </c>
      <c r="I14" s="38">
        <v>1</v>
      </c>
      <c r="J14" s="39">
        <f t="shared" si="0"/>
        <v>925251.42857142852</v>
      </c>
      <c r="K14" s="38"/>
      <c r="L14" s="38"/>
      <c r="M14" s="39"/>
      <c r="N14" s="38">
        <f>9*180*2</f>
        <v>3240</v>
      </c>
      <c r="O14" s="38">
        <v>1</v>
      </c>
      <c r="P14" s="39">
        <f t="shared" si="2"/>
        <v>1119554.2285714287</v>
      </c>
      <c r="Q14" s="38"/>
      <c r="R14" s="38"/>
      <c r="S14" s="39"/>
      <c r="T14" s="38">
        <f>9*180*2</f>
        <v>3240</v>
      </c>
      <c r="U14" s="38">
        <v>1</v>
      </c>
      <c r="V14" s="39">
        <f t="shared" si="4"/>
        <v>1354660.616571429</v>
      </c>
      <c r="Z14" s="38">
        <f>9*180*2</f>
        <v>3240</v>
      </c>
      <c r="AA14" s="38">
        <v>1</v>
      </c>
      <c r="AB14" s="39">
        <f t="shared" si="6"/>
        <v>1639139.3460514292</v>
      </c>
      <c r="AF14" s="28"/>
      <c r="AG14" s="28"/>
    </row>
    <row r="15" spans="1:38" ht="109.2" x14ac:dyDescent="0.3">
      <c r="A15" s="2" t="s">
        <v>836</v>
      </c>
      <c r="B15" s="4" t="s">
        <v>837</v>
      </c>
      <c r="C15" s="40" t="s">
        <v>1295</v>
      </c>
      <c r="D15" s="6" t="s">
        <v>839</v>
      </c>
      <c r="E15" s="6" t="s">
        <v>845</v>
      </c>
      <c r="F15" s="6" t="s">
        <v>1309</v>
      </c>
      <c r="G15" s="25">
        <f>1999/7</f>
        <v>285.57142857142856</v>
      </c>
      <c r="H15" s="38">
        <f>9*50*2</f>
        <v>900</v>
      </c>
      <c r="I15" s="38">
        <v>2</v>
      </c>
      <c r="J15" s="39">
        <f t="shared" si="0"/>
        <v>514028.57142857142</v>
      </c>
      <c r="K15" s="38"/>
      <c r="L15" s="38"/>
      <c r="M15" s="39">
        <f t="shared" si="1"/>
        <v>0</v>
      </c>
      <c r="N15" s="38">
        <f>9*50*2</f>
        <v>900</v>
      </c>
      <c r="O15" s="38">
        <v>2</v>
      </c>
      <c r="P15" s="39">
        <f t="shared" si="2"/>
        <v>621974.57142857148</v>
      </c>
      <c r="Q15" s="38"/>
      <c r="R15" s="38"/>
      <c r="S15" s="39">
        <f t="shared" si="3"/>
        <v>0</v>
      </c>
      <c r="T15" s="38">
        <f>9*50*2</f>
        <v>900</v>
      </c>
      <c r="U15" s="38">
        <v>2</v>
      </c>
      <c r="V15" s="39">
        <f t="shared" si="4"/>
        <v>752589.23142857163</v>
      </c>
      <c r="Y15">
        <f t="shared" si="5"/>
        <v>0</v>
      </c>
      <c r="Z15" s="38">
        <f>9*50*2</f>
        <v>900</v>
      </c>
      <c r="AA15" s="38">
        <v>2</v>
      </c>
      <c r="AB15" s="39">
        <f t="shared" si="6"/>
        <v>910632.97002857178</v>
      </c>
      <c r="AE15">
        <f t="shared" si="7"/>
        <v>0</v>
      </c>
      <c r="AF15" s="28">
        <f t="shared" si="8"/>
        <v>2799225.3443142865</v>
      </c>
      <c r="AG15" s="28">
        <f t="shared" si="9"/>
        <v>2722.9818524458042</v>
      </c>
    </row>
    <row r="16" spans="1:38" ht="109.2" x14ac:dyDescent="0.3">
      <c r="A16" s="2" t="s">
        <v>836</v>
      </c>
      <c r="B16" s="4" t="s">
        <v>837</v>
      </c>
      <c r="C16" s="40" t="s">
        <v>1295</v>
      </c>
      <c r="D16" s="6" t="s">
        <v>839</v>
      </c>
      <c r="E16" s="6" t="s">
        <v>845</v>
      </c>
      <c r="F16" s="6" t="s">
        <v>713</v>
      </c>
      <c r="G16" s="25">
        <v>45000</v>
      </c>
      <c r="H16" s="38">
        <v>25</v>
      </c>
      <c r="I16" s="38">
        <v>3</v>
      </c>
      <c r="J16" s="39">
        <f t="shared" si="0"/>
        <v>3375000</v>
      </c>
      <c r="K16" s="38"/>
      <c r="L16" s="38"/>
      <c r="M16" s="39">
        <f t="shared" si="1"/>
        <v>0</v>
      </c>
      <c r="N16" s="38">
        <v>25</v>
      </c>
      <c r="O16" s="38">
        <v>3</v>
      </c>
      <c r="P16" s="39">
        <f t="shared" si="2"/>
        <v>4083750.0000000009</v>
      </c>
      <c r="Q16" s="38"/>
      <c r="R16" s="38"/>
      <c r="S16" s="39">
        <f t="shared" si="3"/>
        <v>0</v>
      </c>
      <c r="T16" s="38">
        <v>25</v>
      </c>
      <c r="U16" s="38">
        <v>3</v>
      </c>
      <c r="V16" s="39">
        <f t="shared" si="4"/>
        <v>4941337.5000000019</v>
      </c>
      <c r="Y16">
        <f t="shared" si="5"/>
        <v>0</v>
      </c>
      <c r="Z16" s="38">
        <v>25</v>
      </c>
      <c r="AA16" s="38">
        <v>3</v>
      </c>
      <c r="AB16" s="39">
        <f t="shared" si="6"/>
        <v>5979018.3750000028</v>
      </c>
      <c r="AE16">
        <f t="shared" si="7"/>
        <v>0</v>
      </c>
      <c r="AF16" s="28">
        <f t="shared" si="8"/>
        <v>18379105.875000007</v>
      </c>
      <c r="AG16" s="28">
        <f t="shared" si="9"/>
        <v>17878.507660505842</v>
      </c>
    </row>
    <row r="17" spans="1:33" ht="109.2" x14ac:dyDescent="0.3">
      <c r="A17" s="2" t="s">
        <v>836</v>
      </c>
      <c r="B17" s="4" t="s">
        <v>837</v>
      </c>
      <c r="C17" s="40" t="s">
        <v>1295</v>
      </c>
      <c r="D17" s="6" t="s">
        <v>839</v>
      </c>
      <c r="E17" s="6" t="s">
        <v>846</v>
      </c>
      <c r="F17" s="6" t="s">
        <v>709</v>
      </c>
      <c r="G17" s="25">
        <v>35000</v>
      </c>
      <c r="H17" s="38">
        <v>26</v>
      </c>
      <c r="I17" s="38">
        <v>1</v>
      </c>
      <c r="J17" s="39">
        <f t="shared" si="0"/>
        <v>910000</v>
      </c>
      <c r="K17" s="38"/>
      <c r="L17" s="38"/>
      <c r="M17" s="39">
        <f t="shared" si="1"/>
        <v>0</v>
      </c>
      <c r="N17" s="38">
        <v>26</v>
      </c>
      <c r="O17" s="38">
        <v>1</v>
      </c>
      <c r="P17" s="39">
        <f t="shared" si="2"/>
        <v>1101100.0000000002</v>
      </c>
      <c r="Q17" s="38"/>
      <c r="R17" s="38"/>
      <c r="S17" s="39">
        <f t="shared" si="3"/>
        <v>0</v>
      </c>
      <c r="T17" s="38">
        <v>26</v>
      </c>
      <c r="U17" s="38">
        <v>1</v>
      </c>
      <c r="V17" s="39">
        <f t="shared" si="4"/>
        <v>1332331.0000000005</v>
      </c>
      <c r="Y17">
        <f t="shared" si="5"/>
        <v>0</v>
      </c>
      <c r="Z17" s="38">
        <v>26</v>
      </c>
      <c r="AA17" s="38">
        <v>1</v>
      </c>
      <c r="AB17" s="39">
        <f t="shared" si="6"/>
        <v>1612120.5100000007</v>
      </c>
      <c r="AE17">
        <f t="shared" si="7"/>
        <v>0</v>
      </c>
      <c r="AF17" s="28">
        <f t="shared" si="8"/>
        <v>4955551.5100000016</v>
      </c>
      <c r="AG17" s="28">
        <f t="shared" si="9"/>
        <v>4820.575398832686</v>
      </c>
    </row>
    <row r="18" spans="1:33" ht="109.2" x14ac:dyDescent="0.3">
      <c r="A18" s="2" t="s">
        <v>836</v>
      </c>
      <c r="B18" s="4" t="s">
        <v>837</v>
      </c>
      <c r="C18" s="40" t="s">
        <v>1295</v>
      </c>
      <c r="D18" s="6" t="s">
        <v>839</v>
      </c>
      <c r="E18" s="6" t="s">
        <v>151</v>
      </c>
      <c r="F18" s="6" t="s">
        <v>713</v>
      </c>
      <c r="G18" s="25">
        <v>45000</v>
      </c>
      <c r="H18" s="38">
        <v>26</v>
      </c>
      <c r="I18" s="38">
        <v>6</v>
      </c>
      <c r="J18" s="39">
        <f t="shared" si="0"/>
        <v>7020000</v>
      </c>
      <c r="K18" s="38"/>
      <c r="L18" s="38"/>
      <c r="M18" s="39">
        <f t="shared" si="1"/>
        <v>0</v>
      </c>
      <c r="N18" s="38">
        <v>26</v>
      </c>
      <c r="O18" s="38">
        <v>6</v>
      </c>
      <c r="P18" s="39">
        <f t="shared" si="2"/>
        <v>8494200.0000000019</v>
      </c>
      <c r="Q18" s="38"/>
      <c r="R18" s="38"/>
      <c r="S18" s="39">
        <f t="shared" si="3"/>
        <v>0</v>
      </c>
      <c r="T18" s="38">
        <v>26</v>
      </c>
      <c r="U18" s="38">
        <v>6</v>
      </c>
      <c r="V18" s="39">
        <f t="shared" si="4"/>
        <v>10277982.000000004</v>
      </c>
      <c r="Y18">
        <f t="shared" si="5"/>
        <v>0</v>
      </c>
      <c r="Z18" s="38">
        <v>26</v>
      </c>
      <c r="AA18" s="38">
        <v>6</v>
      </c>
      <c r="AB18" s="39">
        <f t="shared" si="6"/>
        <v>12436358.220000006</v>
      </c>
      <c r="AE18">
        <f t="shared" si="7"/>
        <v>0</v>
      </c>
      <c r="AF18" s="28">
        <f t="shared" si="8"/>
        <v>38228540.220000014</v>
      </c>
      <c r="AG18" s="28">
        <f t="shared" si="9"/>
        <v>37187.295933852154</v>
      </c>
    </row>
    <row r="19" spans="1:33" ht="109.2" x14ac:dyDescent="0.3">
      <c r="A19" s="2" t="s">
        <v>836</v>
      </c>
      <c r="B19" s="4" t="s">
        <v>837</v>
      </c>
      <c r="C19" s="40" t="s">
        <v>1295</v>
      </c>
      <c r="D19" s="6" t="s">
        <v>839</v>
      </c>
      <c r="E19" s="6" t="s">
        <v>151</v>
      </c>
      <c r="F19" s="6" t="s">
        <v>1311</v>
      </c>
      <c r="G19" s="25">
        <v>211.43</v>
      </c>
      <c r="H19" s="38">
        <v>22500</v>
      </c>
      <c r="I19" s="38">
        <v>1</v>
      </c>
      <c r="J19" s="39">
        <f t="shared" si="0"/>
        <v>4757175</v>
      </c>
      <c r="K19" s="38"/>
      <c r="L19" s="38"/>
      <c r="M19" s="39"/>
      <c r="N19" s="38">
        <v>22500</v>
      </c>
      <c r="O19" s="38">
        <v>1</v>
      </c>
      <c r="P19" s="39">
        <f t="shared" si="2"/>
        <v>5756181.7500000009</v>
      </c>
      <c r="Q19" s="38"/>
      <c r="R19" s="38"/>
      <c r="S19" s="39"/>
      <c r="T19" s="38">
        <v>22500</v>
      </c>
      <c r="U19" s="38">
        <v>1</v>
      </c>
      <c r="V19" s="39">
        <f t="shared" si="4"/>
        <v>6964979.9175000023</v>
      </c>
      <c r="Y19">
        <f t="shared" si="5"/>
        <v>0</v>
      </c>
      <c r="Z19" s="38">
        <v>22500</v>
      </c>
      <c r="AA19" s="38">
        <v>1</v>
      </c>
      <c r="AB19" s="39">
        <f t="shared" si="6"/>
        <v>8427625.7001750041</v>
      </c>
      <c r="AE19">
        <f t="shared" si="7"/>
        <v>0</v>
      </c>
      <c r="AF19" s="28"/>
      <c r="AG19" s="28"/>
    </row>
    <row r="20" spans="1:33" ht="109.2" x14ac:dyDescent="0.3">
      <c r="A20" s="2" t="s">
        <v>836</v>
      </c>
      <c r="B20" s="4" t="s">
        <v>837</v>
      </c>
      <c r="C20" s="40" t="s">
        <v>1295</v>
      </c>
      <c r="D20" s="6" t="s">
        <v>839</v>
      </c>
      <c r="E20" s="6" t="s">
        <v>151</v>
      </c>
      <c r="F20" s="6" t="s">
        <v>712</v>
      </c>
      <c r="G20" s="25">
        <f>1999/7</f>
        <v>285.57142857142856</v>
      </c>
      <c r="H20" s="38">
        <f>9*100</f>
        <v>900</v>
      </c>
      <c r="I20" s="38">
        <v>5</v>
      </c>
      <c r="J20" s="39">
        <f t="shared" si="0"/>
        <v>1285071.4285714286</v>
      </c>
      <c r="K20" s="38"/>
      <c r="L20" s="38"/>
      <c r="M20" s="39">
        <f t="shared" si="1"/>
        <v>0</v>
      </c>
      <c r="N20" s="38">
        <f>9*100</f>
        <v>900</v>
      </c>
      <c r="O20" s="38">
        <v>5</v>
      </c>
      <c r="P20" s="39">
        <f t="shared" si="2"/>
        <v>1554936.4285714286</v>
      </c>
      <c r="Q20" s="38"/>
      <c r="R20" s="38"/>
      <c r="S20" s="39">
        <f t="shared" si="3"/>
        <v>0</v>
      </c>
      <c r="T20" s="38">
        <f>9*100</f>
        <v>900</v>
      </c>
      <c r="U20" s="38">
        <v>5</v>
      </c>
      <c r="V20" s="39">
        <f t="shared" si="4"/>
        <v>1881473.078571429</v>
      </c>
      <c r="Y20">
        <f t="shared" si="5"/>
        <v>0</v>
      </c>
      <c r="Z20" s="38">
        <f>9*100</f>
        <v>900</v>
      </c>
      <c r="AA20" s="38">
        <v>5</v>
      </c>
      <c r="AB20" s="39">
        <f t="shared" si="6"/>
        <v>2276582.4250714295</v>
      </c>
      <c r="AE20">
        <f t="shared" si="7"/>
        <v>0</v>
      </c>
      <c r="AF20" s="28">
        <f t="shared" si="8"/>
        <v>6998063.3607857153</v>
      </c>
      <c r="AG20" s="28">
        <f t="shared" si="9"/>
        <v>6807.4546311145086</v>
      </c>
    </row>
    <row r="21" spans="1:33" ht="109.2" x14ac:dyDescent="0.3">
      <c r="A21" s="2" t="s">
        <v>836</v>
      </c>
      <c r="B21" s="4" t="s">
        <v>837</v>
      </c>
      <c r="C21" s="40" t="s">
        <v>1295</v>
      </c>
      <c r="D21" s="6" t="s">
        <v>839</v>
      </c>
      <c r="E21" s="6" t="s">
        <v>151</v>
      </c>
      <c r="F21" s="6" t="s">
        <v>714</v>
      </c>
      <c r="G21" s="25">
        <v>10000</v>
      </c>
      <c r="H21" s="38">
        <v>20</v>
      </c>
      <c r="I21" s="38">
        <v>1</v>
      </c>
      <c r="J21" s="39">
        <f t="shared" si="0"/>
        <v>200000</v>
      </c>
      <c r="K21" s="38"/>
      <c r="L21" s="38"/>
      <c r="M21" s="39">
        <f t="shared" si="1"/>
        <v>0</v>
      </c>
      <c r="N21" s="38">
        <v>20</v>
      </c>
      <c r="O21" s="38">
        <v>1</v>
      </c>
      <c r="P21" s="39">
        <f t="shared" si="2"/>
        <v>242000.00000000003</v>
      </c>
      <c r="Q21" s="38"/>
      <c r="R21" s="38"/>
      <c r="S21" s="39">
        <f t="shared" si="3"/>
        <v>0</v>
      </c>
      <c r="T21" s="38">
        <v>20</v>
      </c>
      <c r="U21" s="38">
        <v>1</v>
      </c>
      <c r="V21" s="39">
        <f t="shared" si="4"/>
        <v>292820.00000000006</v>
      </c>
      <c r="Y21">
        <f t="shared" si="5"/>
        <v>0</v>
      </c>
      <c r="Z21" s="38">
        <v>20</v>
      </c>
      <c r="AA21" s="38">
        <v>1</v>
      </c>
      <c r="AB21" s="39">
        <f t="shared" si="6"/>
        <v>354312.20000000019</v>
      </c>
      <c r="AE21">
        <f t="shared" si="7"/>
        <v>0</v>
      </c>
      <c r="AF21" s="28">
        <f t="shared" si="8"/>
        <v>1089132.2000000002</v>
      </c>
      <c r="AG21" s="28">
        <f t="shared" si="9"/>
        <v>1059.4671206225682</v>
      </c>
    </row>
    <row r="22" spans="1:33" ht="109.2" x14ac:dyDescent="0.3">
      <c r="A22" s="2" t="s">
        <v>836</v>
      </c>
      <c r="B22" s="4" t="s">
        <v>837</v>
      </c>
      <c r="C22" s="40" t="s">
        <v>1295</v>
      </c>
      <c r="D22" s="6" t="s">
        <v>839</v>
      </c>
      <c r="E22" s="6" t="s">
        <v>151</v>
      </c>
      <c r="F22" s="6" t="s">
        <v>715</v>
      </c>
      <c r="G22" s="25">
        <v>302000</v>
      </c>
      <c r="H22" s="38">
        <v>26</v>
      </c>
      <c r="I22" s="38">
        <v>1</v>
      </c>
      <c r="J22" s="39">
        <f t="shared" si="0"/>
        <v>7852000</v>
      </c>
      <c r="K22" s="38"/>
      <c r="L22" s="38"/>
      <c r="M22" s="39">
        <f t="shared" si="1"/>
        <v>0</v>
      </c>
      <c r="N22" s="38">
        <v>26</v>
      </c>
      <c r="O22" s="38">
        <v>1</v>
      </c>
      <c r="P22" s="39">
        <f t="shared" si="2"/>
        <v>9500920.0000000019</v>
      </c>
      <c r="Q22" s="38"/>
      <c r="R22" s="38"/>
      <c r="S22" s="39">
        <f t="shared" si="3"/>
        <v>0</v>
      </c>
      <c r="T22" s="38">
        <v>26</v>
      </c>
      <c r="U22" s="38">
        <v>1</v>
      </c>
      <c r="V22" s="39">
        <f t="shared" si="4"/>
        <v>11496113.200000003</v>
      </c>
      <c r="Y22">
        <f t="shared" si="5"/>
        <v>0</v>
      </c>
      <c r="Z22" s="38">
        <v>26</v>
      </c>
      <c r="AA22" s="38">
        <v>1</v>
      </c>
      <c r="AB22" s="39">
        <f t="shared" si="6"/>
        <v>13910296.972000007</v>
      </c>
      <c r="AE22">
        <f t="shared" si="7"/>
        <v>0</v>
      </c>
      <c r="AF22" s="28">
        <f t="shared" si="8"/>
        <v>42759330.172000006</v>
      </c>
      <c r="AG22" s="28">
        <f t="shared" si="9"/>
        <v>41594.679155642028</v>
      </c>
    </row>
    <row r="23" spans="1:33" ht="109.2" x14ac:dyDescent="0.3">
      <c r="A23" s="2" t="s">
        <v>836</v>
      </c>
      <c r="B23" s="4" t="s">
        <v>837</v>
      </c>
      <c r="C23" s="40" t="s">
        <v>1295</v>
      </c>
      <c r="D23" s="6" t="s">
        <v>839</v>
      </c>
      <c r="E23" s="6" t="s">
        <v>152</v>
      </c>
      <c r="F23" s="6" t="s">
        <v>709</v>
      </c>
      <c r="G23" s="25">
        <v>35000</v>
      </c>
      <c r="H23" s="38">
        <v>26</v>
      </c>
      <c r="I23" s="38">
        <v>5</v>
      </c>
      <c r="J23" s="39">
        <f t="shared" si="0"/>
        <v>4550000</v>
      </c>
      <c r="K23" s="38"/>
      <c r="L23" s="38"/>
      <c r="M23" s="39">
        <f t="shared" si="1"/>
        <v>0</v>
      </c>
      <c r="N23" s="38">
        <v>26</v>
      </c>
      <c r="O23" s="38">
        <v>5</v>
      </c>
      <c r="P23" s="39">
        <f t="shared" si="2"/>
        <v>5505500.0000000009</v>
      </c>
      <c r="Q23" s="38"/>
      <c r="R23" s="38"/>
      <c r="S23" s="39">
        <f t="shared" si="3"/>
        <v>0</v>
      </c>
      <c r="T23" s="38">
        <v>26</v>
      </c>
      <c r="U23" s="38">
        <v>5</v>
      </c>
      <c r="V23" s="39">
        <f t="shared" si="4"/>
        <v>6661655.0000000019</v>
      </c>
      <c r="Y23">
        <f t="shared" si="5"/>
        <v>0</v>
      </c>
      <c r="Z23" s="38">
        <v>26</v>
      </c>
      <c r="AA23" s="38">
        <v>5</v>
      </c>
      <c r="AB23" s="39">
        <f t="shared" si="6"/>
        <v>8060602.5500000035</v>
      </c>
      <c r="AE23">
        <f t="shared" si="7"/>
        <v>0</v>
      </c>
      <c r="AF23" s="28">
        <f t="shared" si="8"/>
        <v>24777757.550000004</v>
      </c>
      <c r="AG23" s="28">
        <f t="shared" si="9"/>
        <v>24102.876994163427</v>
      </c>
    </row>
    <row r="24" spans="1:33" ht="109.2" x14ac:dyDescent="0.3">
      <c r="A24" s="2" t="s">
        <v>836</v>
      </c>
      <c r="B24" s="4" t="s">
        <v>837</v>
      </c>
      <c r="C24" s="40" t="s">
        <v>1295</v>
      </c>
      <c r="D24" s="6" t="s">
        <v>839</v>
      </c>
      <c r="E24" s="6" t="s">
        <v>152</v>
      </c>
      <c r="F24" s="6" t="s">
        <v>712</v>
      </c>
      <c r="G24" s="25">
        <f>1999/7</f>
        <v>285.57142857142856</v>
      </c>
      <c r="H24" s="38">
        <f>2*9*25</f>
        <v>450</v>
      </c>
      <c r="I24" s="38">
        <v>5</v>
      </c>
      <c r="J24" s="39">
        <f t="shared" si="0"/>
        <v>642535.71428571432</v>
      </c>
      <c r="K24" s="38"/>
      <c r="L24" s="38"/>
      <c r="M24" s="39">
        <f t="shared" si="1"/>
        <v>0</v>
      </c>
      <c r="N24" s="38">
        <f>2*9*25</f>
        <v>450</v>
      </c>
      <c r="O24" s="38">
        <v>5</v>
      </c>
      <c r="P24" s="39">
        <f t="shared" si="2"/>
        <v>777468.21428571432</v>
      </c>
      <c r="Q24" s="38"/>
      <c r="R24" s="38"/>
      <c r="S24" s="39">
        <f t="shared" si="3"/>
        <v>0</v>
      </c>
      <c r="T24" s="38">
        <f>2*9*25</f>
        <v>450</v>
      </c>
      <c r="U24" s="38">
        <v>5</v>
      </c>
      <c r="V24" s="39">
        <f t="shared" si="4"/>
        <v>940736.53928571451</v>
      </c>
      <c r="Y24">
        <f t="shared" si="5"/>
        <v>0</v>
      </c>
      <c r="Z24" s="38">
        <f>2*9*25</f>
        <v>450</v>
      </c>
      <c r="AA24" s="38">
        <v>5</v>
      </c>
      <c r="AB24" s="39">
        <f t="shared" si="6"/>
        <v>1138291.2125357147</v>
      </c>
      <c r="AE24">
        <f t="shared" si="7"/>
        <v>0</v>
      </c>
      <c r="AF24" s="28">
        <f t="shared" si="8"/>
        <v>3499031.6803928576</v>
      </c>
      <c r="AG24" s="28">
        <f t="shared" si="9"/>
        <v>3403.7273155572543</v>
      </c>
    </row>
    <row r="25" spans="1:33" s="66" customFormat="1" ht="109.2" x14ac:dyDescent="0.3">
      <c r="A25" s="4" t="s">
        <v>836</v>
      </c>
      <c r="B25" s="4" t="s">
        <v>837</v>
      </c>
      <c r="C25" s="40" t="s">
        <v>1295</v>
      </c>
      <c r="D25" s="6" t="s">
        <v>839</v>
      </c>
      <c r="E25" s="6" t="s">
        <v>152</v>
      </c>
      <c r="F25" s="6" t="s">
        <v>1312</v>
      </c>
      <c r="G25" s="25">
        <f>1999/7</f>
        <v>285.57142857142856</v>
      </c>
      <c r="H25" s="38">
        <f>150*2*9</f>
        <v>2700</v>
      </c>
      <c r="I25" s="38">
        <v>1</v>
      </c>
      <c r="J25" s="39">
        <f t="shared" si="0"/>
        <v>771042.85714285704</v>
      </c>
      <c r="K25" s="38"/>
      <c r="L25" s="38"/>
      <c r="M25" s="39"/>
      <c r="N25" s="38">
        <f>150*2*9</f>
        <v>2700</v>
      </c>
      <c r="O25" s="38">
        <v>1</v>
      </c>
      <c r="P25" s="39">
        <f t="shared" si="2"/>
        <v>932961.85714285716</v>
      </c>
      <c r="Q25" s="38"/>
      <c r="R25" s="38"/>
      <c r="S25" s="39">
        <f>(G25*1.1^3)*Q25*R25</f>
        <v>0</v>
      </c>
      <c r="T25" s="64">
        <f>150*2*9</f>
        <v>2700</v>
      </c>
      <c r="U25" s="64">
        <v>1</v>
      </c>
      <c r="V25" s="39">
        <f t="shared" si="4"/>
        <v>1128883.8471428575</v>
      </c>
      <c r="Y25" s="66">
        <f t="shared" si="5"/>
        <v>0</v>
      </c>
      <c r="Z25" s="64">
        <f>150*2*9</f>
        <v>2700</v>
      </c>
      <c r="AA25" s="64">
        <v>1</v>
      </c>
      <c r="AB25" s="39">
        <f t="shared" si="6"/>
        <v>1365949.4550428577</v>
      </c>
      <c r="AE25" s="66">
        <f t="shared" si="7"/>
        <v>0</v>
      </c>
      <c r="AF25" s="65"/>
      <c r="AG25" s="65"/>
    </row>
    <row r="26" spans="1:33" ht="109.2" x14ac:dyDescent="0.3">
      <c r="A26" s="2" t="s">
        <v>836</v>
      </c>
      <c r="B26" s="4" t="s">
        <v>837</v>
      </c>
      <c r="C26" s="40" t="s">
        <v>1295</v>
      </c>
      <c r="D26" s="6" t="s">
        <v>839</v>
      </c>
      <c r="E26" s="6" t="s">
        <v>152</v>
      </c>
      <c r="F26" s="6" t="s">
        <v>716</v>
      </c>
      <c r="G26" s="25">
        <v>39000</v>
      </c>
      <c r="H26" s="38">
        <v>26</v>
      </c>
      <c r="I26" s="38">
        <v>6</v>
      </c>
      <c r="J26" s="39">
        <f t="shared" si="0"/>
        <v>6084000</v>
      </c>
      <c r="K26" s="38"/>
      <c r="L26" s="38"/>
      <c r="M26" s="39">
        <f t="shared" si="1"/>
        <v>0</v>
      </c>
      <c r="N26" s="38">
        <v>26</v>
      </c>
      <c r="O26" s="38">
        <v>6</v>
      </c>
      <c r="P26" s="39">
        <f t="shared" si="2"/>
        <v>7361640.0000000019</v>
      </c>
      <c r="Q26" s="38"/>
      <c r="R26" s="38"/>
      <c r="S26" s="39">
        <f t="shared" si="3"/>
        <v>0</v>
      </c>
      <c r="T26" s="38">
        <v>26</v>
      </c>
      <c r="U26" s="38">
        <v>6</v>
      </c>
      <c r="V26" s="39">
        <f t="shared" si="4"/>
        <v>8907584.4000000022</v>
      </c>
      <c r="Y26">
        <f t="shared" si="5"/>
        <v>0</v>
      </c>
      <c r="Z26" s="38">
        <v>26</v>
      </c>
      <c r="AA26" s="38">
        <v>6</v>
      </c>
      <c r="AB26" s="39">
        <f t="shared" si="6"/>
        <v>10778177.124000005</v>
      </c>
      <c r="AE26">
        <f t="shared" si="7"/>
        <v>0</v>
      </c>
      <c r="AF26" s="28">
        <f t="shared" si="8"/>
        <v>33131401.524000011</v>
      </c>
      <c r="AG26" s="28">
        <f t="shared" si="9"/>
        <v>32228.989809338531</v>
      </c>
    </row>
    <row r="27" spans="1:33" ht="109.2" x14ac:dyDescent="0.3">
      <c r="A27" s="2" t="s">
        <v>836</v>
      </c>
      <c r="B27" s="4" t="s">
        <v>837</v>
      </c>
      <c r="C27" s="40" t="s">
        <v>1295</v>
      </c>
      <c r="D27" s="6" t="s">
        <v>839</v>
      </c>
      <c r="E27" s="6" t="s">
        <v>847</v>
      </c>
      <c r="F27" s="6" t="s">
        <v>841</v>
      </c>
      <c r="G27" s="25">
        <v>0</v>
      </c>
      <c r="H27" s="38">
        <v>25</v>
      </c>
      <c r="I27" s="38">
        <v>5</v>
      </c>
      <c r="J27" s="39">
        <f t="shared" si="0"/>
        <v>0</v>
      </c>
      <c r="K27" s="38"/>
      <c r="L27" s="38"/>
      <c r="M27" s="39">
        <f t="shared" si="1"/>
        <v>0</v>
      </c>
      <c r="N27" s="38">
        <v>25</v>
      </c>
      <c r="O27" s="38">
        <v>5</v>
      </c>
      <c r="P27" s="39">
        <f t="shared" si="2"/>
        <v>0</v>
      </c>
      <c r="Q27" s="38"/>
      <c r="R27" s="38"/>
      <c r="S27" s="39">
        <f t="shared" si="3"/>
        <v>0</v>
      </c>
      <c r="T27" s="38">
        <v>25</v>
      </c>
      <c r="U27" s="38">
        <v>5</v>
      </c>
      <c r="V27" s="39">
        <f t="shared" si="4"/>
        <v>0</v>
      </c>
      <c r="Y27">
        <f t="shared" si="5"/>
        <v>0</v>
      </c>
      <c r="Z27" s="38">
        <v>25</v>
      </c>
      <c r="AA27" s="38">
        <v>5</v>
      </c>
      <c r="AB27" s="39">
        <f t="shared" si="6"/>
        <v>0</v>
      </c>
      <c r="AE27">
        <f t="shared" si="7"/>
        <v>0</v>
      </c>
      <c r="AF27" s="28">
        <f t="shared" si="8"/>
        <v>0</v>
      </c>
      <c r="AG27" s="28">
        <f t="shared" si="9"/>
        <v>0</v>
      </c>
    </row>
    <row r="28" spans="1:33" ht="109.2" x14ac:dyDescent="0.3">
      <c r="A28" s="2" t="s">
        <v>836</v>
      </c>
      <c r="B28" s="4" t="s">
        <v>837</v>
      </c>
      <c r="C28" s="40" t="s">
        <v>1295</v>
      </c>
      <c r="D28" s="6" t="s">
        <v>839</v>
      </c>
      <c r="E28" s="6" t="s">
        <v>1298</v>
      </c>
      <c r="F28" s="6" t="s">
        <v>709</v>
      </c>
      <c r="G28" s="25">
        <v>35000</v>
      </c>
      <c r="H28" s="38">
        <v>75</v>
      </c>
      <c r="I28" s="38">
        <v>1</v>
      </c>
      <c r="J28" s="39">
        <f t="shared" si="0"/>
        <v>2625000</v>
      </c>
      <c r="K28" s="38"/>
      <c r="L28" s="38"/>
      <c r="M28" s="39">
        <f t="shared" si="1"/>
        <v>0</v>
      </c>
      <c r="N28" s="38">
        <v>75</v>
      </c>
      <c r="O28" s="38">
        <v>1</v>
      </c>
      <c r="P28" s="39">
        <f t="shared" si="2"/>
        <v>3176250.0000000005</v>
      </c>
      <c r="Q28" s="38"/>
      <c r="R28" s="38"/>
      <c r="S28" s="39">
        <f t="shared" si="3"/>
        <v>0</v>
      </c>
      <c r="T28" s="38">
        <v>75</v>
      </c>
      <c r="U28" s="38">
        <v>1</v>
      </c>
      <c r="V28" s="39">
        <f t="shared" si="4"/>
        <v>3843262.5000000009</v>
      </c>
      <c r="Y28">
        <f t="shared" si="5"/>
        <v>0</v>
      </c>
      <c r="Z28" s="38">
        <v>75</v>
      </c>
      <c r="AA28" s="38">
        <v>1</v>
      </c>
      <c r="AB28" s="39">
        <f t="shared" si="6"/>
        <v>4650347.6250000028</v>
      </c>
      <c r="AE28">
        <f t="shared" si="7"/>
        <v>0</v>
      </c>
      <c r="AF28" s="28">
        <f t="shared" si="8"/>
        <v>14294860.125000004</v>
      </c>
      <c r="AG28" s="28">
        <f t="shared" si="9"/>
        <v>13905.50595817121</v>
      </c>
    </row>
    <row r="29" spans="1:33" ht="109.2" x14ac:dyDescent="0.3">
      <c r="A29" s="2" t="s">
        <v>836</v>
      </c>
      <c r="B29" s="4" t="s">
        <v>837</v>
      </c>
      <c r="C29" s="40" t="s">
        <v>1295</v>
      </c>
      <c r="D29" s="6" t="s">
        <v>839</v>
      </c>
      <c r="E29" s="6" t="s">
        <v>1298</v>
      </c>
      <c r="F29" s="6" t="s">
        <v>716</v>
      </c>
      <c r="G29" s="25">
        <v>39000</v>
      </c>
      <c r="H29" s="38">
        <v>58</v>
      </c>
      <c r="I29" s="38">
        <v>2</v>
      </c>
      <c r="J29" s="39">
        <f t="shared" si="0"/>
        <v>4524000</v>
      </c>
      <c r="K29" s="38"/>
      <c r="L29" s="38"/>
      <c r="M29" s="39">
        <f t="shared" si="1"/>
        <v>0</v>
      </c>
      <c r="N29" s="38">
        <v>58</v>
      </c>
      <c r="O29" s="38">
        <v>2</v>
      </c>
      <c r="P29" s="39">
        <f t="shared" si="2"/>
        <v>5474040.0000000009</v>
      </c>
      <c r="Q29" s="38"/>
      <c r="R29" s="38"/>
      <c r="S29" s="39">
        <f t="shared" si="3"/>
        <v>0</v>
      </c>
      <c r="T29" s="38">
        <v>58</v>
      </c>
      <c r="U29" s="38">
        <v>2</v>
      </c>
      <c r="V29" s="39">
        <f t="shared" si="4"/>
        <v>6623588.4000000022</v>
      </c>
      <c r="Y29">
        <f t="shared" si="5"/>
        <v>0</v>
      </c>
      <c r="Z29" s="38">
        <v>58</v>
      </c>
      <c r="AA29" s="38">
        <v>2</v>
      </c>
      <c r="AB29" s="39">
        <f t="shared" si="6"/>
        <v>8014541.9640000034</v>
      </c>
      <c r="AE29">
        <f t="shared" si="7"/>
        <v>0</v>
      </c>
      <c r="AF29" s="28">
        <f t="shared" si="8"/>
        <v>24636170.364000008</v>
      </c>
      <c r="AG29" s="28">
        <f t="shared" si="9"/>
        <v>23965.146268482498</v>
      </c>
    </row>
    <row r="30" spans="1:33" ht="109.2" x14ac:dyDescent="0.3">
      <c r="A30" s="2" t="s">
        <v>836</v>
      </c>
      <c r="B30" s="4" t="s">
        <v>837</v>
      </c>
      <c r="C30" s="40" t="s">
        <v>1295</v>
      </c>
      <c r="D30" s="6" t="s">
        <v>839</v>
      </c>
      <c r="E30" s="6" t="s">
        <v>154</v>
      </c>
      <c r="F30" s="6" t="s">
        <v>1297</v>
      </c>
      <c r="G30" s="25">
        <v>8000</v>
      </c>
      <c r="H30" s="38">
        <v>10</v>
      </c>
      <c r="I30" s="38">
        <v>1</v>
      </c>
      <c r="J30" s="39">
        <f t="shared" si="0"/>
        <v>80000</v>
      </c>
      <c r="K30" s="38"/>
      <c r="L30" s="38"/>
      <c r="M30" s="39">
        <f t="shared" si="1"/>
        <v>0</v>
      </c>
      <c r="N30" s="38">
        <v>10</v>
      </c>
      <c r="O30" s="38">
        <v>1</v>
      </c>
      <c r="P30" s="39">
        <f t="shared" si="2"/>
        <v>96800.000000000015</v>
      </c>
      <c r="Q30" s="38"/>
      <c r="R30" s="38"/>
      <c r="S30" s="39">
        <f t="shared" si="3"/>
        <v>0</v>
      </c>
      <c r="T30" s="38">
        <v>10</v>
      </c>
      <c r="U30" s="38">
        <v>1</v>
      </c>
      <c r="V30" s="39">
        <f t="shared" si="4"/>
        <v>117128.00000000003</v>
      </c>
      <c r="Y30">
        <f t="shared" si="5"/>
        <v>0</v>
      </c>
      <c r="Z30" s="38">
        <v>10</v>
      </c>
      <c r="AA30" s="38">
        <v>1</v>
      </c>
      <c r="AB30" s="39">
        <f t="shared" si="6"/>
        <v>141724.88000000006</v>
      </c>
      <c r="AE30">
        <f t="shared" si="7"/>
        <v>0</v>
      </c>
      <c r="AF30" s="28">
        <f t="shared" si="8"/>
        <v>435652.88000000006</v>
      </c>
      <c r="AG30" s="28">
        <f t="shared" si="9"/>
        <v>423.78684824902729</v>
      </c>
    </row>
    <row r="31" spans="1:33" ht="109.2" x14ac:dyDescent="0.3">
      <c r="A31" s="2" t="s">
        <v>836</v>
      </c>
      <c r="B31" s="4" t="s">
        <v>837</v>
      </c>
      <c r="C31" s="40" t="s">
        <v>1295</v>
      </c>
      <c r="D31" s="6" t="s">
        <v>839</v>
      </c>
      <c r="E31" s="6" t="s">
        <v>154</v>
      </c>
      <c r="F31" s="6" t="s">
        <v>717</v>
      </c>
      <c r="G31" s="25">
        <v>104850</v>
      </c>
      <c r="H31" s="38">
        <v>1</v>
      </c>
      <c r="I31" s="38">
        <v>1</v>
      </c>
      <c r="J31" s="39">
        <f t="shared" si="0"/>
        <v>104850</v>
      </c>
      <c r="K31" s="38"/>
      <c r="L31" s="38"/>
      <c r="M31" s="39">
        <f t="shared" si="1"/>
        <v>0</v>
      </c>
      <c r="N31" s="38">
        <v>1</v>
      </c>
      <c r="O31" s="38">
        <v>1</v>
      </c>
      <c r="P31" s="39">
        <f t="shared" si="2"/>
        <v>126868.50000000001</v>
      </c>
      <c r="Q31" s="38"/>
      <c r="R31" s="38"/>
      <c r="S31" s="39">
        <f t="shared" si="3"/>
        <v>0</v>
      </c>
      <c r="T31" s="38">
        <v>1</v>
      </c>
      <c r="U31" s="38">
        <v>1</v>
      </c>
      <c r="V31" s="39">
        <f t="shared" si="4"/>
        <v>153510.88500000004</v>
      </c>
      <c r="Y31">
        <f t="shared" si="5"/>
        <v>0</v>
      </c>
      <c r="Z31" s="38">
        <v>1</v>
      </c>
      <c r="AA31" s="38">
        <v>1</v>
      </c>
      <c r="AB31" s="39">
        <f t="shared" si="6"/>
        <v>185748.17085000008</v>
      </c>
      <c r="AE31">
        <f t="shared" si="7"/>
        <v>0</v>
      </c>
      <c r="AF31" s="28">
        <f t="shared" si="8"/>
        <v>570977.55585000012</v>
      </c>
      <c r="AG31" s="28">
        <f t="shared" si="9"/>
        <v>555.42563798638139</v>
      </c>
    </row>
    <row r="32" spans="1:33" ht="109.2" x14ac:dyDescent="0.3">
      <c r="A32" s="2" t="s">
        <v>836</v>
      </c>
      <c r="B32" s="4" t="s">
        <v>837</v>
      </c>
      <c r="C32" s="40" t="s">
        <v>1295</v>
      </c>
      <c r="D32" s="6" t="s">
        <v>839</v>
      </c>
      <c r="E32" s="6" t="s">
        <v>154</v>
      </c>
      <c r="F32" s="6" t="s">
        <v>1299</v>
      </c>
      <c r="G32" s="25">
        <f>1999/7</f>
        <v>285.57142857142856</v>
      </c>
      <c r="H32" s="38">
        <v>22500</v>
      </c>
      <c r="I32" s="38">
        <v>1</v>
      </c>
      <c r="J32" s="39">
        <f t="shared" si="0"/>
        <v>6425357.1428571427</v>
      </c>
      <c r="K32" s="38"/>
      <c r="L32" s="38"/>
      <c r="M32" s="39"/>
      <c r="N32" s="38">
        <v>22500</v>
      </c>
      <c r="O32" s="38">
        <v>1</v>
      </c>
      <c r="P32" s="39">
        <f t="shared" si="2"/>
        <v>7774682.1428571427</v>
      </c>
      <c r="Q32" s="38"/>
      <c r="R32" s="38"/>
      <c r="S32" s="39"/>
      <c r="T32" s="38">
        <v>22500</v>
      </c>
      <c r="U32" s="38">
        <v>1</v>
      </c>
      <c r="V32" s="39">
        <f t="shared" si="4"/>
        <v>9407365.3928571455</v>
      </c>
      <c r="Z32" s="38">
        <v>22500</v>
      </c>
      <c r="AA32" s="38">
        <v>1</v>
      </c>
      <c r="AB32" s="39">
        <f t="shared" si="6"/>
        <v>11382912.125357147</v>
      </c>
      <c r="AF32" s="28"/>
      <c r="AG32" s="28">
        <f t="shared" si="9"/>
        <v>0</v>
      </c>
    </row>
    <row r="33" spans="1:33" ht="109.2" x14ac:dyDescent="0.3">
      <c r="A33" s="2" t="s">
        <v>836</v>
      </c>
      <c r="B33" s="4" t="s">
        <v>837</v>
      </c>
      <c r="C33" s="40" t="s">
        <v>1295</v>
      </c>
      <c r="D33" s="6" t="s">
        <v>839</v>
      </c>
      <c r="E33" s="6" t="s">
        <v>154</v>
      </c>
      <c r="F33" s="6" t="s">
        <v>712</v>
      </c>
      <c r="G33" s="25">
        <f>1999/7</f>
        <v>285.57142857142856</v>
      </c>
      <c r="H33" s="38">
        <v>60</v>
      </c>
      <c r="I33" s="38">
        <v>29</v>
      </c>
      <c r="J33" s="39">
        <f t="shared" si="0"/>
        <v>496894.28571428568</v>
      </c>
      <c r="K33" s="38"/>
      <c r="L33" s="38"/>
      <c r="M33" s="39">
        <f t="shared" si="1"/>
        <v>0</v>
      </c>
      <c r="N33" s="38">
        <v>60</v>
      </c>
      <c r="O33" s="38">
        <v>29</v>
      </c>
      <c r="P33" s="39">
        <f t="shared" si="2"/>
        <v>601242.08571428573</v>
      </c>
      <c r="Q33" s="38"/>
      <c r="R33" s="38"/>
      <c r="S33" s="39">
        <f t="shared" si="3"/>
        <v>0</v>
      </c>
      <c r="T33" s="38">
        <v>60</v>
      </c>
      <c r="U33" s="38">
        <v>29</v>
      </c>
      <c r="V33" s="39">
        <f t="shared" si="4"/>
        <v>727502.92371428595</v>
      </c>
      <c r="Y33">
        <f t="shared" si="5"/>
        <v>0</v>
      </c>
      <c r="Z33" s="38">
        <v>60</v>
      </c>
      <c r="AA33" s="38">
        <v>29</v>
      </c>
      <c r="AB33" s="39">
        <f t="shared" si="6"/>
        <v>880278.53769428609</v>
      </c>
      <c r="AE33">
        <f t="shared" si="7"/>
        <v>0</v>
      </c>
      <c r="AF33" s="28">
        <f t="shared" si="8"/>
        <v>2705917.8328371434</v>
      </c>
      <c r="AG33" s="28">
        <f t="shared" si="9"/>
        <v>2632.2157906976104</v>
      </c>
    </row>
    <row r="34" spans="1:33" ht="109.2" x14ac:dyDescent="0.3">
      <c r="A34" s="2" t="s">
        <v>836</v>
      </c>
      <c r="B34" s="4" t="s">
        <v>837</v>
      </c>
      <c r="C34" s="40" t="s">
        <v>1295</v>
      </c>
      <c r="D34" s="6" t="s">
        <v>839</v>
      </c>
      <c r="E34" s="6" t="s">
        <v>848</v>
      </c>
      <c r="F34" s="6" t="s">
        <v>841</v>
      </c>
      <c r="G34" s="25">
        <v>0</v>
      </c>
      <c r="H34" s="38"/>
      <c r="I34" s="38"/>
      <c r="J34" s="39">
        <f t="shared" si="0"/>
        <v>0</v>
      </c>
      <c r="K34" s="38"/>
      <c r="L34" s="38"/>
      <c r="M34" s="39">
        <f t="shared" si="1"/>
        <v>0</v>
      </c>
      <c r="N34" s="38"/>
      <c r="O34" s="38"/>
      <c r="P34" s="39">
        <f t="shared" si="2"/>
        <v>0</v>
      </c>
      <c r="Q34" s="38"/>
      <c r="R34" s="38"/>
      <c r="S34" s="39">
        <f t="shared" si="3"/>
        <v>0</v>
      </c>
      <c r="T34" s="38"/>
      <c r="U34" s="38"/>
      <c r="V34" s="39">
        <f t="shared" si="4"/>
        <v>0</v>
      </c>
      <c r="Y34">
        <f t="shared" si="5"/>
        <v>0</v>
      </c>
      <c r="Z34" s="38"/>
      <c r="AA34" s="38"/>
      <c r="AB34" s="39">
        <f t="shared" si="6"/>
        <v>0</v>
      </c>
      <c r="AE34">
        <f t="shared" si="7"/>
        <v>0</v>
      </c>
      <c r="AF34" s="28">
        <f t="shared" si="8"/>
        <v>0</v>
      </c>
      <c r="AG34" s="28">
        <f t="shared" si="9"/>
        <v>0</v>
      </c>
    </row>
    <row r="35" spans="1:33" ht="15.6" x14ac:dyDescent="0.3">
      <c r="A35" s="44"/>
      <c r="B35" s="45"/>
      <c r="C35" s="40"/>
      <c r="D35" s="46"/>
      <c r="E35" s="46"/>
      <c r="F35" s="46"/>
      <c r="G35" s="25"/>
      <c r="H35" s="47"/>
      <c r="I35" s="47"/>
      <c r="J35" s="48">
        <f t="shared" si="0"/>
        <v>0</v>
      </c>
      <c r="K35" s="47"/>
      <c r="L35" s="47"/>
      <c r="M35" s="39">
        <f t="shared" si="1"/>
        <v>0</v>
      </c>
      <c r="N35" s="47"/>
      <c r="O35" s="47"/>
      <c r="P35" s="39">
        <f t="shared" si="2"/>
        <v>0</v>
      </c>
      <c r="Q35" s="47"/>
      <c r="R35" s="47"/>
      <c r="S35" s="39">
        <f t="shared" si="3"/>
        <v>0</v>
      </c>
      <c r="V35" s="28">
        <f t="shared" ref="V35:V100" si="10">(G35*1.1^4)*T35*U35</f>
        <v>0</v>
      </c>
      <c r="Y35">
        <f t="shared" si="5"/>
        <v>0</v>
      </c>
      <c r="AB35" s="39">
        <f t="shared" si="6"/>
        <v>0</v>
      </c>
      <c r="AE35">
        <f t="shared" si="7"/>
        <v>0</v>
      </c>
      <c r="AF35" s="28">
        <f t="shared" si="8"/>
        <v>0</v>
      </c>
      <c r="AG35" s="28">
        <f t="shared" si="9"/>
        <v>0</v>
      </c>
    </row>
    <row r="36" spans="1:33" x14ac:dyDescent="0.3">
      <c r="A36" s="53" t="s">
        <v>1296</v>
      </c>
      <c r="B36" s="54"/>
      <c r="C36" s="54"/>
      <c r="D36" s="54"/>
      <c r="E36" s="54"/>
      <c r="F36" s="54"/>
      <c r="G36" s="54"/>
      <c r="H36" s="54"/>
      <c r="I36" s="54"/>
      <c r="J36" s="52">
        <f t="shared" si="0"/>
        <v>0</v>
      </c>
      <c r="K36" s="54"/>
      <c r="L36" s="54"/>
      <c r="M36" s="51">
        <f>SUM(M2:M35)</f>
        <v>0</v>
      </c>
      <c r="N36" s="54"/>
      <c r="O36" s="54"/>
      <c r="P36" s="51">
        <f>SUM(P2:P35)</f>
        <v>97115000.743357152</v>
      </c>
      <c r="Q36" s="54"/>
      <c r="R36" s="54"/>
      <c r="S36" s="51">
        <f>SUM(S2:S35)</f>
        <v>0</v>
      </c>
      <c r="T36" s="54"/>
      <c r="U36" s="54"/>
      <c r="V36" s="51">
        <f>SUM(V2:V35)</f>
        <v>117509150.89946219</v>
      </c>
      <c r="W36" s="54"/>
      <c r="X36" s="54"/>
      <c r="Y36" s="51">
        <f>SUM(Y2:Y35)</f>
        <v>0</v>
      </c>
      <c r="Z36" s="54"/>
      <c r="AA36" s="54"/>
      <c r="AB36" s="51">
        <f>SUM(AB2:AB35)</f>
        <v>142186072.58834922</v>
      </c>
      <c r="AC36" s="54"/>
      <c r="AD36" s="54"/>
      <c r="AE36" s="51">
        <f>SUM(AE2:AE35)</f>
        <v>0</v>
      </c>
      <c r="AF36" s="52">
        <f>SUM(AF2:AF35)</f>
        <v>327508555.47608328</v>
      </c>
      <c r="AG36" s="52">
        <f t="shared" si="9"/>
        <v>318588.0889845168</v>
      </c>
    </row>
    <row r="37" spans="1:33" x14ac:dyDescent="0.3">
      <c r="A37" s="53"/>
      <c r="B37" s="54"/>
      <c r="C37" s="54"/>
      <c r="D37" s="54"/>
      <c r="E37" s="54"/>
      <c r="F37" s="54"/>
      <c r="G37" s="54"/>
      <c r="H37" s="54"/>
      <c r="I37" s="54"/>
      <c r="J37" s="52">
        <f t="shared" si="0"/>
        <v>0</v>
      </c>
      <c r="K37" s="54"/>
      <c r="L37" s="54"/>
      <c r="M37" s="52">
        <f>M36/$AL$2</f>
        <v>0</v>
      </c>
      <c r="N37" s="54"/>
      <c r="O37" s="54"/>
      <c r="P37" s="52">
        <f>P36/$AL$2</f>
        <v>94469.845081086722</v>
      </c>
      <c r="Q37" s="54"/>
      <c r="R37" s="54"/>
      <c r="S37" s="52">
        <f>S36/$AL$2</f>
        <v>0</v>
      </c>
      <c r="T37" s="54"/>
      <c r="U37" s="54"/>
      <c r="V37" s="52">
        <f>V36/$AL$2</f>
        <v>114308.51254811497</v>
      </c>
      <c r="W37" s="54"/>
      <c r="X37" s="54"/>
      <c r="Y37" s="52">
        <f>Y36/$AL$2</f>
        <v>0</v>
      </c>
      <c r="Z37" s="54"/>
      <c r="AA37" s="54"/>
      <c r="AB37" s="52">
        <f>AB36/$AL$2</f>
        <v>138313.30018321908</v>
      </c>
      <c r="AC37" s="54"/>
      <c r="AD37" s="54"/>
      <c r="AE37" s="52">
        <f>AE36/$AL$2</f>
        <v>0</v>
      </c>
      <c r="AF37" s="52">
        <f>AF36/$AL$2</f>
        <v>318588.0889845168</v>
      </c>
      <c r="AG37" s="52"/>
    </row>
    <row r="38" spans="1:33" ht="57.6" x14ac:dyDescent="0.3">
      <c r="A38" s="2" t="s">
        <v>836</v>
      </c>
      <c r="B38" s="4" t="s">
        <v>837</v>
      </c>
      <c r="C38" s="3" t="s">
        <v>849</v>
      </c>
      <c r="D38" s="6" t="s">
        <v>850</v>
      </c>
      <c r="E38" s="6" t="s">
        <v>840</v>
      </c>
      <c r="F38" s="6" t="s">
        <v>841</v>
      </c>
      <c r="G38" s="25">
        <v>0</v>
      </c>
      <c r="H38" s="38">
        <v>0</v>
      </c>
      <c r="I38" s="38">
        <v>0</v>
      </c>
      <c r="J38" s="39">
        <f t="shared" si="0"/>
        <v>0</v>
      </c>
      <c r="K38" s="38">
        <v>0</v>
      </c>
      <c r="L38" s="38">
        <v>0</v>
      </c>
      <c r="M38" s="39">
        <f t="shared" si="1"/>
        <v>0</v>
      </c>
      <c r="N38" s="38">
        <v>0</v>
      </c>
      <c r="O38" s="38">
        <v>0</v>
      </c>
      <c r="P38" s="39">
        <f t="shared" si="2"/>
        <v>0</v>
      </c>
      <c r="Q38" s="38">
        <v>0</v>
      </c>
      <c r="R38" s="38">
        <v>0</v>
      </c>
      <c r="S38" s="39">
        <f t="shared" si="3"/>
        <v>0</v>
      </c>
      <c r="T38" s="38">
        <v>0</v>
      </c>
      <c r="U38" s="38">
        <v>0</v>
      </c>
      <c r="V38" s="28">
        <f t="shared" ref="V38:V43" si="11">(G38*1.1^4)*T38*U38</f>
        <v>0</v>
      </c>
      <c r="W38" s="50">
        <v>0</v>
      </c>
      <c r="X38" s="50">
        <v>0</v>
      </c>
      <c r="Y38">
        <f t="shared" si="5"/>
        <v>0</v>
      </c>
      <c r="Z38" s="47">
        <v>0</v>
      </c>
      <c r="AA38" s="47">
        <v>0</v>
      </c>
      <c r="AB38">
        <f t="shared" ref="AB38:AB102" si="12">(G38*1.1^6)*Z38*AA38</f>
        <v>0</v>
      </c>
      <c r="AC38" s="47">
        <v>0</v>
      </c>
      <c r="AD38" s="47">
        <v>0</v>
      </c>
      <c r="AE38">
        <f t="shared" si="7"/>
        <v>0</v>
      </c>
      <c r="AF38" s="28">
        <f t="shared" si="8"/>
        <v>0</v>
      </c>
      <c r="AG38" s="28">
        <f t="shared" si="9"/>
        <v>0</v>
      </c>
    </row>
    <row r="39" spans="1:33" ht="57.6" x14ac:dyDescent="0.3">
      <c r="A39" s="2" t="s">
        <v>836</v>
      </c>
      <c r="B39" s="4" t="s">
        <v>837</v>
      </c>
      <c r="C39" s="3" t="s">
        <v>849</v>
      </c>
      <c r="D39" s="6" t="s">
        <v>850</v>
      </c>
      <c r="E39" s="6" t="s">
        <v>842</v>
      </c>
      <c r="F39" s="6" t="s">
        <v>841</v>
      </c>
      <c r="G39" s="25">
        <v>0</v>
      </c>
      <c r="H39" s="38">
        <v>0</v>
      </c>
      <c r="I39" s="38">
        <v>0</v>
      </c>
      <c r="J39" s="39">
        <f t="shared" si="0"/>
        <v>0</v>
      </c>
      <c r="K39" s="38">
        <v>0</v>
      </c>
      <c r="L39" s="38">
        <v>0</v>
      </c>
      <c r="M39" s="39">
        <f t="shared" si="1"/>
        <v>0</v>
      </c>
      <c r="N39" s="38">
        <v>0</v>
      </c>
      <c r="O39" s="38">
        <v>0</v>
      </c>
      <c r="P39" s="39">
        <f t="shared" si="2"/>
        <v>0</v>
      </c>
      <c r="Q39" s="38">
        <v>0</v>
      </c>
      <c r="R39" s="38">
        <v>0</v>
      </c>
      <c r="S39" s="39">
        <f t="shared" si="3"/>
        <v>0</v>
      </c>
      <c r="T39" s="38">
        <v>0</v>
      </c>
      <c r="U39" s="38">
        <v>0</v>
      </c>
      <c r="V39" s="28">
        <f t="shared" si="11"/>
        <v>0</v>
      </c>
      <c r="W39" s="50">
        <v>0</v>
      </c>
      <c r="X39" s="50">
        <v>0</v>
      </c>
      <c r="Y39">
        <f t="shared" si="5"/>
        <v>0</v>
      </c>
      <c r="Z39" s="47">
        <v>0</v>
      </c>
      <c r="AA39" s="47">
        <v>0</v>
      </c>
      <c r="AB39">
        <f t="shared" si="12"/>
        <v>0</v>
      </c>
      <c r="AC39" s="47">
        <v>0</v>
      </c>
      <c r="AD39" s="47">
        <v>0</v>
      </c>
      <c r="AE39">
        <f t="shared" si="7"/>
        <v>0</v>
      </c>
      <c r="AF39" s="28">
        <f t="shared" si="8"/>
        <v>0</v>
      </c>
      <c r="AG39" s="28">
        <f t="shared" si="9"/>
        <v>0</v>
      </c>
    </row>
    <row r="40" spans="1:33" ht="57.6" x14ac:dyDescent="0.3">
      <c r="A40" s="2" t="s">
        <v>836</v>
      </c>
      <c r="B40" s="4" t="s">
        <v>837</v>
      </c>
      <c r="C40" s="3" t="s">
        <v>849</v>
      </c>
      <c r="D40" s="6" t="s">
        <v>850</v>
      </c>
      <c r="E40" s="6" t="s">
        <v>843</v>
      </c>
      <c r="F40" s="6" t="s">
        <v>709</v>
      </c>
      <c r="G40" s="25">
        <v>35000</v>
      </c>
      <c r="H40" s="38">
        <v>10</v>
      </c>
      <c r="I40" s="38">
        <v>1</v>
      </c>
      <c r="J40" s="39">
        <f t="shared" si="0"/>
        <v>350000</v>
      </c>
      <c r="K40" s="38">
        <v>0</v>
      </c>
      <c r="L40" s="38">
        <v>0</v>
      </c>
      <c r="M40" s="39">
        <f t="shared" si="1"/>
        <v>0</v>
      </c>
      <c r="N40" s="38">
        <v>0</v>
      </c>
      <c r="O40" s="38">
        <v>0</v>
      </c>
      <c r="P40" s="39">
        <f t="shared" si="2"/>
        <v>0</v>
      </c>
      <c r="Q40" s="38">
        <v>0</v>
      </c>
      <c r="R40" s="38">
        <v>0</v>
      </c>
      <c r="S40" s="39">
        <f t="shared" si="3"/>
        <v>0</v>
      </c>
      <c r="T40" s="38">
        <v>10</v>
      </c>
      <c r="U40" s="38">
        <v>1</v>
      </c>
      <c r="V40" s="28">
        <f t="shared" si="11"/>
        <v>512435.00000000012</v>
      </c>
      <c r="W40" s="50">
        <v>0</v>
      </c>
      <c r="X40" s="50">
        <v>0</v>
      </c>
      <c r="Y40">
        <f t="shared" si="5"/>
        <v>0</v>
      </c>
      <c r="Z40" s="47">
        <v>0</v>
      </c>
      <c r="AA40">
        <v>0</v>
      </c>
      <c r="AB40">
        <f t="shared" si="12"/>
        <v>0</v>
      </c>
      <c r="AC40">
        <v>0</v>
      </c>
      <c r="AD40">
        <v>0</v>
      </c>
      <c r="AE40">
        <f t="shared" si="7"/>
        <v>0</v>
      </c>
      <c r="AF40" s="28">
        <f t="shared" si="8"/>
        <v>862435.00000000012</v>
      </c>
      <c r="AG40" s="28">
        <f t="shared" si="9"/>
        <v>838.94455252918294</v>
      </c>
    </row>
    <row r="41" spans="1:33" ht="57.6" x14ac:dyDescent="0.3">
      <c r="A41" s="2" t="s">
        <v>836</v>
      </c>
      <c r="B41" s="4" t="s">
        <v>837</v>
      </c>
      <c r="C41" s="3" t="s">
        <v>849</v>
      </c>
      <c r="D41" s="6" t="s">
        <v>850</v>
      </c>
      <c r="E41" s="6" t="s">
        <v>149</v>
      </c>
      <c r="F41" s="6" t="s">
        <v>707</v>
      </c>
      <c r="G41" s="25">
        <v>391991.03749999998</v>
      </c>
      <c r="H41" s="38">
        <v>1</v>
      </c>
      <c r="I41" s="38">
        <v>1</v>
      </c>
      <c r="J41" s="39">
        <f t="shared" si="0"/>
        <v>391991.03749999998</v>
      </c>
      <c r="K41" s="38">
        <v>0</v>
      </c>
      <c r="L41" s="38">
        <v>0</v>
      </c>
      <c r="M41" s="39">
        <f t="shared" si="1"/>
        <v>0</v>
      </c>
      <c r="N41" s="38">
        <v>0</v>
      </c>
      <c r="O41" s="38">
        <v>0</v>
      </c>
      <c r="P41" s="39">
        <f t="shared" si="2"/>
        <v>0</v>
      </c>
      <c r="Q41" s="38">
        <v>0</v>
      </c>
      <c r="R41" s="38">
        <v>0</v>
      </c>
      <c r="S41" s="39">
        <f t="shared" si="3"/>
        <v>0</v>
      </c>
      <c r="T41" s="38">
        <v>1</v>
      </c>
      <c r="U41" s="38">
        <v>1</v>
      </c>
      <c r="V41" s="28">
        <f t="shared" si="11"/>
        <v>573914.07800375007</v>
      </c>
      <c r="W41" s="47">
        <v>0</v>
      </c>
      <c r="X41" s="47">
        <v>0</v>
      </c>
      <c r="Y41">
        <f t="shared" si="5"/>
        <v>0</v>
      </c>
      <c r="Z41" s="47">
        <v>0</v>
      </c>
      <c r="AA41" s="47">
        <v>0</v>
      </c>
      <c r="AB41">
        <f t="shared" si="12"/>
        <v>0</v>
      </c>
      <c r="AC41" s="47">
        <v>0</v>
      </c>
      <c r="AD41" s="47">
        <v>0</v>
      </c>
      <c r="AE41">
        <f t="shared" si="7"/>
        <v>0</v>
      </c>
      <c r="AF41" s="28">
        <f t="shared" si="8"/>
        <v>965905.11550375004</v>
      </c>
      <c r="AG41" s="28">
        <f t="shared" si="9"/>
        <v>939.59641585967904</v>
      </c>
    </row>
    <row r="42" spans="1:33" ht="57.6" x14ac:dyDescent="0.3">
      <c r="A42" s="2" t="s">
        <v>836</v>
      </c>
      <c r="B42" s="4" t="s">
        <v>837</v>
      </c>
      <c r="C42" s="3" t="s">
        <v>849</v>
      </c>
      <c r="D42" s="6" t="s">
        <v>850</v>
      </c>
      <c r="E42" s="6" t="s">
        <v>149</v>
      </c>
      <c r="F42" s="6" t="s">
        <v>708</v>
      </c>
      <c r="G42" s="25">
        <f>500*1030</f>
        <v>515000</v>
      </c>
      <c r="H42" s="38">
        <v>5</v>
      </c>
      <c r="I42" s="38">
        <v>45</v>
      </c>
      <c r="J42" s="39">
        <f t="shared" si="0"/>
        <v>115875000</v>
      </c>
      <c r="K42" s="38">
        <v>0</v>
      </c>
      <c r="L42" s="38">
        <v>0</v>
      </c>
      <c r="M42" s="39">
        <f t="shared" si="1"/>
        <v>0</v>
      </c>
      <c r="N42" s="38">
        <v>0</v>
      </c>
      <c r="O42" s="38">
        <v>0</v>
      </c>
      <c r="P42" s="39">
        <f t="shared" si="2"/>
        <v>0</v>
      </c>
      <c r="Q42" s="38">
        <v>0</v>
      </c>
      <c r="R42" s="38">
        <v>0</v>
      </c>
      <c r="S42" s="39">
        <f t="shared" si="3"/>
        <v>0</v>
      </c>
      <c r="T42" s="38">
        <v>5</v>
      </c>
      <c r="U42" s="38">
        <v>45</v>
      </c>
      <c r="V42" s="28">
        <f t="shared" si="11"/>
        <v>169652587.50000003</v>
      </c>
      <c r="W42" s="47">
        <v>0</v>
      </c>
      <c r="X42" s="47">
        <v>0</v>
      </c>
      <c r="Y42">
        <f t="shared" si="5"/>
        <v>0</v>
      </c>
      <c r="Z42" s="47">
        <v>0</v>
      </c>
      <c r="AA42" s="47">
        <v>0</v>
      </c>
      <c r="AB42">
        <f t="shared" si="12"/>
        <v>0</v>
      </c>
      <c r="AE42">
        <f t="shared" si="7"/>
        <v>0</v>
      </c>
      <c r="AF42" s="28">
        <f t="shared" si="8"/>
        <v>285527587.5</v>
      </c>
      <c r="AG42" s="28">
        <f t="shared" si="9"/>
        <v>277750.57149805449</v>
      </c>
    </row>
    <row r="43" spans="1:33" ht="57.6" x14ac:dyDescent="0.3">
      <c r="A43" s="2" t="s">
        <v>836</v>
      </c>
      <c r="B43" s="4" t="s">
        <v>837</v>
      </c>
      <c r="C43" s="3" t="s">
        <v>849</v>
      </c>
      <c r="D43" s="6" t="s">
        <v>850</v>
      </c>
      <c r="E43" s="6" t="s">
        <v>851</v>
      </c>
      <c r="F43" s="6" t="s">
        <v>841</v>
      </c>
      <c r="G43" s="25"/>
      <c r="H43" s="38">
        <v>0</v>
      </c>
      <c r="I43" s="38">
        <v>0</v>
      </c>
      <c r="J43" s="39">
        <f t="shared" si="0"/>
        <v>0</v>
      </c>
      <c r="K43" s="38">
        <v>0</v>
      </c>
      <c r="L43" s="38">
        <v>0</v>
      </c>
      <c r="M43" s="39">
        <f t="shared" si="1"/>
        <v>0</v>
      </c>
      <c r="N43" s="38">
        <v>0</v>
      </c>
      <c r="O43" s="38">
        <v>0</v>
      </c>
      <c r="P43" s="39">
        <f t="shared" si="2"/>
        <v>0</v>
      </c>
      <c r="Q43" s="38">
        <v>0</v>
      </c>
      <c r="R43" s="38">
        <v>0</v>
      </c>
      <c r="S43" s="39">
        <f t="shared" si="3"/>
        <v>0</v>
      </c>
      <c r="T43" s="38">
        <v>0</v>
      </c>
      <c r="U43" s="38">
        <v>0</v>
      </c>
      <c r="V43" s="28">
        <f t="shared" si="11"/>
        <v>0</v>
      </c>
      <c r="W43" s="47">
        <v>0</v>
      </c>
      <c r="X43" s="47">
        <v>0</v>
      </c>
      <c r="Y43">
        <f t="shared" si="5"/>
        <v>0</v>
      </c>
      <c r="Z43" s="47">
        <v>0</v>
      </c>
      <c r="AA43" s="47">
        <v>0</v>
      </c>
      <c r="AB43">
        <f t="shared" si="12"/>
        <v>0</v>
      </c>
      <c r="AC43" s="47">
        <v>0</v>
      </c>
      <c r="AD43" s="47">
        <v>0</v>
      </c>
      <c r="AE43">
        <f t="shared" si="7"/>
        <v>0</v>
      </c>
      <c r="AF43" s="28">
        <f t="shared" si="8"/>
        <v>0</v>
      </c>
      <c r="AG43" s="28">
        <f t="shared" si="9"/>
        <v>0</v>
      </c>
    </row>
    <row r="44" spans="1:33" ht="57.6" x14ac:dyDescent="0.3">
      <c r="A44" s="2" t="s">
        <v>836</v>
      </c>
      <c r="B44" s="4" t="s">
        <v>837</v>
      </c>
      <c r="C44" s="3" t="s">
        <v>849</v>
      </c>
      <c r="D44" s="6" t="s">
        <v>850</v>
      </c>
      <c r="E44" s="6" t="s">
        <v>1313</v>
      </c>
      <c r="F44" s="6" t="s">
        <v>709</v>
      </c>
      <c r="G44" s="25">
        <v>35000</v>
      </c>
      <c r="H44" s="38">
        <v>100</v>
      </c>
      <c r="I44" s="38">
        <v>12</v>
      </c>
      <c r="J44" s="39">
        <f t="shared" si="0"/>
        <v>42000000</v>
      </c>
      <c r="K44" s="38">
        <v>0</v>
      </c>
      <c r="L44" s="38">
        <v>0</v>
      </c>
      <c r="M44" s="39">
        <f t="shared" si="1"/>
        <v>0</v>
      </c>
      <c r="N44" s="38">
        <v>0</v>
      </c>
      <c r="O44" s="38">
        <v>0</v>
      </c>
      <c r="P44" s="39">
        <f t="shared" si="2"/>
        <v>0</v>
      </c>
      <c r="Q44" s="38">
        <v>0</v>
      </c>
      <c r="R44" s="38">
        <v>0</v>
      </c>
      <c r="S44" s="39">
        <f t="shared" si="3"/>
        <v>0</v>
      </c>
      <c r="T44" s="38">
        <v>100</v>
      </c>
      <c r="U44" s="38">
        <v>12</v>
      </c>
      <c r="V44" s="28">
        <f t="shared" si="10"/>
        <v>61492200.000000022</v>
      </c>
      <c r="Y44">
        <f t="shared" si="5"/>
        <v>0</v>
      </c>
      <c r="AB44">
        <f t="shared" si="12"/>
        <v>0</v>
      </c>
      <c r="AE44">
        <f t="shared" si="7"/>
        <v>0</v>
      </c>
      <c r="AF44" s="28">
        <f t="shared" si="8"/>
        <v>103492200.00000003</v>
      </c>
      <c r="AG44" s="28">
        <f t="shared" si="9"/>
        <v>100673.34630350198</v>
      </c>
    </row>
    <row r="45" spans="1:33" ht="57.6" x14ac:dyDescent="0.3">
      <c r="A45" s="2" t="s">
        <v>836</v>
      </c>
      <c r="B45" s="4" t="s">
        <v>837</v>
      </c>
      <c r="C45" s="3" t="s">
        <v>849</v>
      </c>
      <c r="D45" s="6" t="s">
        <v>850</v>
      </c>
      <c r="E45" s="6" t="s">
        <v>852</v>
      </c>
      <c r="F45" s="6" t="s">
        <v>716</v>
      </c>
      <c r="G45" s="25">
        <v>39000</v>
      </c>
      <c r="H45" s="38">
        <v>58</v>
      </c>
      <c r="I45" s="38">
        <v>15</v>
      </c>
      <c r="J45" s="39">
        <f t="shared" si="0"/>
        <v>33930000</v>
      </c>
      <c r="K45" s="38">
        <v>0</v>
      </c>
      <c r="L45" s="38">
        <v>0</v>
      </c>
      <c r="M45" s="39">
        <f t="shared" si="1"/>
        <v>0</v>
      </c>
      <c r="N45" s="38">
        <v>0</v>
      </c>
      <c r="O45" s="38">
        <v>0</v>
      </c>
      <c r="P45" s="39">
        <f t="shared" si="2"/>
        <v>0</v>
      </c>
      <c r="Q45" s="38">
        <v>0</v>
      </c>
      <c r="R45" s="38">
        <v>0</v>
      </c>
      <c r="S45" s="39">
        <f t="shared" si="3"/>
        <v>0</v>
      </c>
      <c r="T45" s="38">
        <v>58</v>
      </c>
      <c r="U45" s="38">
        <v>15</v>
      </c>
      <c r="V45" s="28">
        <f t="shared" si="10"/>
        <v>49676913.000000015</v>
      </c>
      <c r="Y45">
        <f t="shared" si="5"/>
        <v>0</v>
      </c>
      <c r="AB45">
        <f t="shared" si="12"/>
        <v>0</v>
      </c>
      <c r="AE45">
        <f t="shared" si="7"/>
        <v>0</v>
      </c>
      <c r="AF45" s="28">
        <f t="shared" si="8"/>
        <v>83606913.000000015</v>
      </c>
      <c r="AG45" s="28">
        <f t="shared" si="9"/>
        <v>81329.681906614802</v>
      </c>
    </row>
    <row r="46" spans="1:33" ht="57.6" x14ac:dyDescent="0.3">
      <c r="A46" s="2" t="s">
        <v>836</v>
      </c>
      <c r="B46" s="4" t="s">
        <v>837</v>
      </c>
      <c r="C46" s="3" t="s">
        <v>849</v>
      </c>
      <c r="D46" s="6" t="s">
        <v>850</v>
      </c>
      <c r="E46" s="6" t="s">
        <v>1313</v>
      </c>
      <c r="F46" s="6" t="s">
        <v>1315</v>
      </c>
      <c r="G46" s="25">
        <f>1999/7</f>
        <v>285.57142857142856</v>
      </c>
      <c r="H46" s="38">
        <v>22500</v>
      </c>
      <c r="I46" s="38">
        <v>1</v>
      </c>
      <c r="J46" s="39">
        <f t="shared" si="0"/>
        <v>6425357.1428571427</v>
      </c>
      <c r="K46" s="38">
        <v>0</v>
      </c>
      <c r="L46" s="38">
        <v>0</v>
      </c>
      <c r="M46" s="39"/>
      <c r="N46" s="38">
        <v>0</v>
      </c>
      <c r="O46" s="38">
        <v>0</v>
      </c>
      <c r="P46" s="39">
        <f t="shared" si="2"/>
        <v>0</v>
      </c>
      <c r="Q46" s="38">
        <v>0</v>
      </c>
      <c r="R46" s="38">
        <v>0</v>
      </c>
      <c r="S46" s="39"/>
      <c r="T46" s="38">
        <v>22500</v>
      </c>
      <c r="U46" s="38">
        <v>1</v>
      </c>
      <c r="V46" s="28">
        <f t="shared" si="10"/>
        <v>9407365.3928571455</v>
      </c>
      <c r="W46" s="47">
        <v>0</v>
      </c>
      <c r="X46" s="47">
        <v>0</v>
      </c>
      <c r="Y46">
        <f t="shared" si="5"/>
        <v>0</v>
      </c>
      <c r="Z46" s="47">
        <v>0</v>
      </c>
      <c r="AA46" s="47">
        <v>0</v>
      </c>
      <c r="AB46">
        <f t="shared" si="12"/>
        <v>0</v>
      </c>
      <c r="AC46" s="47">
        <v>0</v>
      </c>
      <c r="AD46" s="47">
        <v>0</v>
      </c>
      <c r="AE46">
        <f t="shared" si="7"/>
        <v>0</v>
      </c>
      <c r="AF46" s="28"/>
      <c r="AG46" s="28"/>
    </row>
    <row r="47" spans="1:33" ht="57.6" x14ac:dyDescent="0.3">
      <c r="A47" s="2" t="s">
        <v>836</v>
      </c>
      <c r="B47" s="4" t="s">
        <v>837</v>
      </c>
      <c r="C47" s="3" t="s">
        <v>849</v>
      </c>
      <c r="D47" s="6" t="s">
        <v>850</v>
      </c>
      <c r="E47" s="6" t="s">
        <v>852</v>
      </c>
      <c r="F47" s="33" t="s">
        <v>1314</v>
      </c>
      <c r="G47" s="25">
        <f>1999/7</f>
        <v>285.57142857142856</v>
      </c>
      <c r="H47" s="38">
        <f>2*29*25</f>
        <v>1450</v>
      </c>
      <c r="I47" s="38">
        <v>2</v>
      </c>
      <c r="J47" s="39">
        <f t="shared" si="0"/>
        <v>828157.14285714284</v>
      </c>
      <c r="K47" s="38">
        <v>0</v>
      </c>
      <c r="L47" s="38">
        <v>0</v>
      </c>
      <c r="M47" s="39">
        <f t="shared" si="1"/>
        <v>0</v>
      </c>
      <c r="N47" s="38">
        <v>0</v>
      </c>
      <c r="O47" s="38">
        <v>0</v>
      </c>
      <c r="P47" s="39">
        <f t="shared" si="2"/>
        <v>0</v>
      </c>
      <c r="Q47" s="38">
        <v>0</v>
      </c>
      <c r="R47" s="38">
        <v>0</v>
      </c>
      <c r="S47" s="39">
        <f t="shared" si="3"/>
        <v>0</v>
      </c>
      <c r="T47" s="38">
        <f>2*29*25</f>
        <v>1450</v>
      </c>
      <c r="U47" s="38">
        <v>2</v>
      </c>
      <c r="V47" s="28">
        <f t="shared" si="10"/>
        <v>1212504.8728571432</v>
      </c>
      <c r="Y47">
        <f t="shared" si="5"/>
        <v>0</v>
      </c>
      <c r="AB47">
        <f t="shared" si="12"/>
        <v>0</v>
      </c>
      <c r="AE47">
        <f t="shared" si="7"/>
        <v>0</v>
      </c>
      <c r="AF47" s="28">
        <f t="shared" si="8"/>
        <v>2040662.0157142859</v>
      </c>
      <c r="AG47" s="28">
        <f t="shared" si="9"/>
        <v>1985.0797818232354</v>
      </c>
    </row>
    <row r="48" spans="1:33" ht="57.6" x14ac:dyDescent="0.3">
      <c r="A48" s="2" t="s">
        <v>836</v>
      </c>
      <c r="B48" s="4" t="s">
        <v>837</v>
      </c>
      <c r="C48" s="3" t="s">
        <v>849</v>
      </c>
      <c r="D48" s="6" t="s">
        <v>850</v>
      </c>
      <c r="E48" s="6" t="s">
        <v>853</v>
      </c>
      <c r="F48" s="33" t="s">
        <v>709</v>
      </c>
      <c r="G48" s="25">
        <v>35000</v>
      </c>
      <c r="H48" s="38">
        <v>100</v>
      </c>
      <c r="I48" s="38">
        <v>1</v>
      </c>
      <c r="J48" s="39">
        <f t="shared" si="0"/>
        <v>3500000</v>
      </c>
      <c r="K48" s="38">
        <v>0</v>
      </c>
      <c r="L48" s="38">
        <v>0</v>
      </c>
      <c r="M48" s="39">
        <f t="shared" si="1"/>
        <v>0</v>
      </c>
      <c r="N48" s="38">
        <v>0</v>
      </c>
      <c r="O48" s="38">
        <v>0</v>
      </c>
      <c r="P48" s="39">
        <f t="shared" si="2"/>
        <v>0</v>
      </c>
      <c r="Q48" s="38">
        <v>0</v>
      </c>
      <c r="R48" s="38">
        <v>0</v>
      </c>
      <c r="S48" s="39">
        <f t="shared" si="3"/>
        <v>0</v>
      </c>
      <c r="T48" s="38">
        <v>100</v>
      </c>
      <c r="U48" s="38">
        <v>1</v>
      </c>
      <c r="V48" s="28">
        <f t="shared" si="10"/>
        <v>5124350.0000000019</v>
      </c>
      <c r="Y48">
        <f t="shared" si="5"/>
        <v>0</v>
      </c>
      <c r="AB48">
        <f t="shared" si="12"/>
        <v>0</v>
      </c>
      <c r="AE48">
        <f t="shared" si="7"/>
        <v>0</v>
      </c>
      <c r="AF48" s="28">
        <f t="shared" si="8"/>
        <v>8624350.0000000019</v>
      </c>
      <c r="AG48" s="28">
        <f t="shared" si="9"/>
        <v>8389.4455252918306</v>
      </c>
    </row>
    <row r="49" spans="1:33" ht="57.6" x14ac:dyDescent="0.3">
      <c r="A49" s="2" t="s">
        <v>836</v>
      </c>
      <c r="B49" s="4" t="s">
        <v>837</v>
      </c>
      <c r="C49" s="3" t="s">
        <v>849</v>
      </c>
      <c r="D49" s="6" t="s">
        <v>850</v>
      </c>
      <c r="E49" s="6" t="s">
        <v>853</v>
      </c>
      <c r="F49" s="33" t="s">
        <v>716</v>
      </c>
      <c r="G49" s="25">
        <v>39000</v>
      </c>
      <c r="H49" s="38">
        <v>58</v>
      </c>
      <c r="I49" s="38">
        <v>2</v>
      </c>
      <c r="J49" s="39">
        <f t="shared" si="0"/>
        <v>4524000</v>
      </c>
      <c r="K49" s="38">
        <v>0</v>
      </c>
      <c r="L49" s="38">
        <v>0</v>
      </c>
      <c r="M49" s="39">
        <f t="shared" si="1"/>
        <v>0</v>
      </c>
      <c r="N49" s="38">
        <v>0</v>
      </c>
      <c r="O49" s="38">
        <v>0</v>
      </c>
      <c r="P49" s="39">
        <f t="shared" si="2"/>
        <v>0</v>
      </c>
      <c r="Q49" s="38">
        <v>0</v>
      </c>
      <c r="R49" s="38">
        <v>0</v>
      </c>
      <c r="S49" s="39">
        <f t="shared" si="3"/>
        <v>0</v>
      </c>
      <c r="T49" s="38">
        <v>58</v>
      </c>
      <c r="U49" s="38">
        <v>2</v>
      </c>
      <c r="V49" s="28">
        <f t="shared" si="10"/>
        <v>6623588.4000000022</v>
      </c>
      <c r="Y49">
        <f t="shared" si="5"/>
        <v>0</v>
      </c>
      <c r="AB49">
        <f t="shared" si="12"/>
        <v>0</v>
      </c>
      <c r="AE49">
        <f t="shared" si="7"/>
        <v>0</v>
      </c>
      <c r="AF49" s="28">
        <f t="shared" si="8"/>
        <v>11147588.400000002</v>
      </c>
      <c r="AG49" s="28">
        <f t="shared" si="9"/>
        <v>10843.957587548641</v>
      </c>
    </row>
    <row r="50" spans="1:33" ht="57.6" x14ac:dyDescent="0.3">
      <c r="A50" s="2" t="s">
        <v>836</v>
      </c>
      <c r="B50" s="4" t="s">
        <v>837</v>
      </c>
      <c r="C50" s="3" t="s">
        <v>849</v>
      </c>
      <c r="D50" s="6" t="s">
        <v>850</v>
      </c>
      <c r="E50" s="6" t="s">
        <v>854</v>
      </c>
      <c r="F50" s="33" t="s">
        <v>1297</v>
      </c>
      <c r="G50" s="25">
        <v>8000</v>
      </c>
      <c r="H50" s="38">
        <v>10</v>
      </c>
      <c r="I50" s="38">
        <v>2</v>
      </c>
      <c r="J50" s="39">
        <f t="shared" si="0"/>
        <v>160000</v>
      </c>
      <c r="K50" s="38">
        <v>0</v>
      </c>
      <c r="L50" s="38">
        <v>0</v>
      </c>
      <c r="M50" s="39">
        <f t="shared" si="1"/>
        <v>0</v>
      </c>
      <c r="N50" s="38">
        <v>0</v>
      </c>
      <c r="O50" s="38">
        <v>0</v>
      </c>
      <c r="P50" s="39">
        <f t="shared" si="2"/>
        <v>0</v>
      </c>
      <c r="Q50" s="38">
        <v>0</v>
      </c>
      <c r="R50" s="38">
        <v>0</v>
      </c>
      <c r="S50" s="39">
        <f t="shared" si="3"/>
        <v>0</v>
      </c>
      <c r="T50" s="38">
        <v>10</v>
      </c>
      <c r="U50" s="38">
        <v>2</v>
      </c>
      <c r="V50" s="28">
        <f t="shared" si="10"/>
        <v>234256.00000000006</v>
      </c>
      <c r="Y50">
        <f t="shared" si="5"/>
        <v>0</v>
      </c>
      <c r="AB50">
        <f t="shared" si="12"/>
        <v>0</v>
      </c>
      <c r="AE50">
        <f t="shared" si="7"/>
        <v>0</v>
      </c>
      <c r="AF50" s="28">
        <f t="shared" si="8"/>
        <v>394256.00000000006</v>
      </c>
      <c r="AG50" s="28">
        <f t="shared" si="9"/>
        <v>383.51750972762653</v>
      </c>
    </row>
    <row r="51" spans="1:33" ht="57.6" x14ac:dyDescent="0.3">
      <c r="A51" s="2" t="s">
        <v>836</v>
      </c>
      <c r="B51" s="4" t="s">
        <v>837</v>
      </c>
      <c r="C51" s="3" t="s">
        <v>849</v>
      </c>
      <c r="D51" s="6" t="s">
        <v>850</v>
      </c>
      <c r="E51" s="6" t="s">
        <v>854</v>
      </c>
      <c r="F51" s="33" t="s">
        <v>710</v>
      </c>
      <c r="G51" s="25">
        <v>104850</v>
      </c>
      <c r="H51" s="38">
        <v>1</v>
      </c>
      <c r="I51" s="38">
        <v>1</v>
      </c>
      <c r="J51" s="39">
        <f t="shared" si="0"/>
        <v>104850</v>
      </c>
      <c r="K51" s="38">
        <v>0</v>
      </c>
      <c r="L51" s="38">
        <v>0</v>
      </c>
      <c r="M51" s="39">
        <f t="shared" si="1"/>
        <v>0</v>
      </c>
      <c r="N51" s="38">
        <v>0</v>
      </c>
      <c r="O51" s="38">
        <v>0</v>
      </c>
      <c r="P51" s="39">
        <f t="shared" si="2"/>
        <v>0</v>
      </c>
      <c r="Q51" s="38">
        <v>0</v>
      </c>
      <c r="R51" s="38">
        <v>0</v>
      </c>
      <c r="S51" s="39">
        <f t="shared" si="3"/>
        <v>0</v>
      </c>
      <c r="T51" s="38">
        <v>1</v>
      </c>
      <c r="U51" s="38">
        <v>1</v>
      </c>
      <c r="V51" s="28">
        <f t="shared" si="10"/>
        <v>153510.88500000004</v>
      </c>
      <c r="Y51">
        <f t="shared" si="5"/>
        <v>0</v>
      </c>
      <c r="AB51">
        <f t="shared" si="12"/>
        <v>0</v>
      </c>
      <c r="AE51">
        <f t="shared" si="7"/>
        <v>0</v>
      </c>
      <c r="AF51" s="28">
        <f t="shared" si="8"/>
        <v>258360.88500000004</v>
      </c>
      <c r="AG51" s="28">
        <f t="shared" si="9"/>
        <v>251.32381809338526</v>
      </c>
    </row>
    <row r="52" spans="1:33" ht="57.6" x14ac:dyDescent="0.3">
      <c r="A52" s="2" t="s">
        <v>836</v>
      </c>
      <c r="B52" s="4" t="s">
        <v>837</v>
      </c>
      <c r="C52" s="3" t="s">
        <v>849</v>
      </c>
      <c r="D52" s="6" t="s">
        <v>850</v>
      </c>
      <c r="E52" s="6" t="s">
        <v>855</v>
      </c>
      <c r="F52" s="33" t="s">
        <v>709</v>
      </c>
      <c r="G52" s="25">
        <v>35000</v>
      </c>
      <c r="H52" s="38">
        <v>35</v>
      </c>
      <c r="I52" s="38">
        <v>1</v>
      </c>
      <c r="J52" s="39">
        <f t="shared" si="0"/>
        <v>1225000</v>
      </c>
      <c r="K52" s="38">
        <v>0</v>
      </c>
      <c r="L52" s="38">
        <v>0</v>
      </c>
      <c r="M52" s="39">
        <f t="shared" si="1"/>
        <v>0</v>
      </c>
      <c r="N52" s="38">
        <v>0</v>
      </c>
      <c r="O52" s="38">
        <v>0</v>
      </c>
      <c r="P52" s="39">
        <f t="shared" si="2"/>
        <v>0</v>
      </c>
      <c r="Q52" s="38">
        <v>0</v>
      </c>
      <c r="R52" s="38">
        <v>0</v>
      </c>
      <c r="S52" s="39">
        <f t="shared" si="3"/>
        <v>0</v>
      </c>
      <c r="T52" s="38">
        <v>35</v>
      </c>
      <c r="U52" s="38">
        <v>1</v>
      </c>
      <c r="V52" s="28">
        <f t="shared" si="10"/>
        <v>1793522.5000000005</v>
      </c>
      <c r="Y52">
        <f t="shared" si="5"/>
        <v>0</v>
      </c>
      <c r="AB52">
        <f t="shared" si="12"/>
        <v>0</v>
      </c>
      <c r="AE52">
        <f t="shared" si="7"/>
        <v>0</v>
      </c>
      <c r="AF52" s="28">
        <f t="shared" si="8"/>
        <v>3018522.5000000005</v>
      </c>
      <c r="AG52" s="28">
        <f t="shared" si="9"/>
        <v>2936.3059338521407</v>
      </c>
    </row>
    <row r="53" spans="1:33" ht="57.6" x14ac:dyDescent="0.3">
      <c r="A53" s="2" t="s">
        <v>836</v>
      </c>
      <c r="B53" s="4" t="s">
        <v>837</v>
      </c>
      <c r="C53" s="3" t="s">
        <v>849</v>
      </c>
      <c r="D53" s="6" t="s">
        <v>850</v>
      </c>
      <c r="E53" s="6" t="s">
        <v>856</v>
      </c>
      <c r="F53" s="6" t="s">
        <v>841</v>
      </c>
      <c r="G53" s="25">
        <v>0</v>
      </c>
      <c r="H53" s="38">
        <v>50</v>
      </c>
      <c r="I53" s="38">
        <v>0.5</v>
      </c>
      <c r="J53" s="39">
        <f t="shared" si="0"/>
        <v>0</v>
      </c>
      <c r="K53" s="38">
        <v>0</v>
      </c>
      <c r="L53" s="38">
        <v>0</v>
      </c>
      <c r="M53" s="39">
        <f t="shared" si="1"/>
        <v>0</v>
      </c>
      <c r="N53" s="38">
        <v>0</v>
      </c>
      <c r="O53" s="38">
        <v>0</v>
      </c>
      <c r="P53" s="39">
        <f t="shared" si="2"/>
        <v>0</v>
      </c>
      <c r="Q53" s="38">
        <v>0</v>
      </c>
      <c r="R53" s="38">
        <v>0</v>
      </c>
      <c r="S53" s="39">
        <f t="shared" si="3"/>
        <v>0</v>
      </c>
      <c r="T53" s="38">
        <v>50</v>
      </c>
      <c r="U53" s="38">
        <v>0.5</v>
      </c>
      <c r="V53" s="28">
        <f t="shared" si="10"/>
        <v>0</v>
      </c>
      <c r="Y53">
        <f t="shared" si="5"/>
        <v>0</v>
      </c>
      <c r="AB53">
        <f t="shared" si="12"/>
        <v>0</v>
      </c>
      <c r="AE53">
        <f t="shared" si="7"/>
        <v>0</v>
      </c>
      <c r="AF53" s="28">
        <f t="shared" si="8"/>
        <v>0</v>
      </c>
      <c r="AG53" s="28">
        <f t="shared" si="9"/>
        <v>0</v>
      </c>
    </row>
    <row r="54" spans="1:33" s="62" customFormat="1" x14ac:dyDescent="0.3">
      <c r="A54" s="55" t="s">
        <v>1296</v>
      </c>
      <c r="B54" s="56"/>
      <c r="C54" s="57"/>
      <c r="D54" s="58"/>
      <c r="E54" s="58"/>
      <c r="F54" s="58"/>
      <c r="G54" s="59"/>
      <c r="H54" s="60"/>
      <c r="I54" s="60"/>
      <c r="J54" s="61">
        <f t="shared" si="0"/>
        <v>0</v>
      </c>
      <c r="K54" s="60"/>
      <c r="L54" s="60"/>
      <c r="M54" s="61">
        <f>SUM(M38:M53)</f>
        <v>0</v>
      </c>
      <c r="N54" s="60"/>
      <c r="O54" s="60"/>
      <c r="P54" s="61">
        <f>SUM(P38:P53)</f>
        <v>0</v>
      </c>
      <c r="Q54" s="60"/>
      <c r="R54" s="60"/>
      <c r="S54" s="61">
        <f>SUM(S38:S53)</f>
        <v>0</v>
      </c>
      <c r="T54" s="60"/>
      <c r="U54" s="60"/>
      <c r="V54" s="61">
        <f>SUM(V38:V53)</f>
        <v>306457147.62871808</v>
      </c>
      <c r="Y54" s="61">
        <f>SUM(Y38:Y53)</f>
        <v>0</v>
      </c>
      <c r="AB54" s="61">
        <f>SUM(AB38:AB53)</f>
        <v>0</v>
      </c>
      <c r="AE54" s="61">
        <f>SUM(AE38:AE53)</f>
        <v>0</v>
      </c>
      <c r="AF54" s="20">
        <f>SUM(AF38:AF53)</f>
        <v>499938780.41621804</v>
      </c>
      <c r="AG54" s="20">
        <f t="shared" si="9"/>
        <v>486321.77083289693</v>
      </c>
    </row>
    <row r="55" spans="1:33" s="62" customFormat="1" x14ac:dyDescent="0.3">
      <c r="A55" s="55"/>
      <c r="B55" s="56"/>
      <c r="C55" s="57"/>
      <c r="D55" s="58"/>
      <c r="E55" s="58"/>
      <c r="F55" s="58"/>
      <c r="G55" s="59"/>
      <c r="H55" s="60"/>
      <c r="I55" s="60"/>
      <c r="J55" s="52">
        <f t="shared" si="0"/>
        <v>0</v>
      </c>
      <c r="K55" s="60"/>
      <c r="L55" s="60"/>
      <c r="M55" s="61"/>
      <c r="N55" s="60"/>
      <c r="O55" s="60"/>
      <c r="P55" s="61"/>
      <c r="Q55" s="60"/>
      <c r="R55" s="60"/>
      <c r="S55" s="61"/>
      <c r="T55" s="60"/>
      <c r="U55" s="60"/>
      <c r="V55" s="52">
        <f>V54/$AL$2</f>
        <v>298110.06578669074</v>
      </c>
      <c r="Y55" s="105"/>
      <c r="AB55" s="105"/>
      <c r="AE55" s="105"/>
      <c r="AF55" s="52">
        <f>AF54/$AL$2</f>
        <v>486321.77083289693</v>
      </c>
      <c r="AG55" s="20"/>
    </row>
    <row r="56" spans="1:33" x14ac:dyDescent="0.3">
      <c r="A56" s="2"/>
      <c r="B56" s="4"/>
      <c r="C56" s="3"/>
      <c r="D56" s="6"/>
      <c r="E56" s="6"/>
      <c r="F56" s="6"/>
      <c r="G56" s="25"/>
      <c r="H56" s="38"/>
      <c r="I56" s="38"/>
      <c r="J56" s="39">
        <f t="shared" si="0"/>
        <v>0</v>
      </c>
      <c r="K56" s="38"/>
      <c r="L56" s="38"/>
      <c r="M56" s="39">
        <f t="shared" si="1"/>
        <v>0</v>
      </c>
      <c r="N56" s="38"/>
      <c r="O56" s="38"/>
      <c r="P56" s="39">
        <f t="shared" ref="P56:P118" si="13">(G56*1.21)*N56*O56</f>
        <v>0</v>
      </c>
      <c r="Q56" s="38"/>
      <c r="R56" s="38"/>
      <c r="S56" s="39">
        <f t="shared" si="3"/>
        <v>0</v>
      </c>
      <c r="T56" s="38"/>
      <c r="U56" s="38"/>
      <c r="V56" s="28">
        <f t="shared" si="10"/>
        <v>0</v>
      </c>
      <c r="Y56">
        <f t="shared" si="5"/>
        <v>0</v>
      </c>
      <c r="AB56">
        <f t="shared" si="12"/>
        <v>0</v>
      </c>
      <c r="AE56">
        <f t="shared" si="7"/>
        <v>0</v>
      </c>
      <c r="AF56" s="28">
        <f t="shared" si="8"/>
        <v>0</v>
      </c>
      <c r="AG56" s="28">
        <f t="shared" si="9"/>
        <v>0</v>
      </c>
    </row>
    <row r="57" spans="1:33" ht="57.6" x14ac:dyDescent="0.3">
      <c r="A57" s="2" t="s">
        <v>836</v>
      </c>
      <c r="B57" s="4" t="s">
        <v>837</v>
      </c>
      <c r="C57" s="3" t="s">
        <v>857</v>
      </c>
      <c r="D57" s="6" t="s">
        <v>858</v>
      </c>
      <c r="E57" s="6" t="s">
        <v>155</v>
      </c>
      <c r="F57" s="6" t="s">
        <v>841</v>
      </c>
      <c r="G57" s="25">
        <v>0</v>
      </c>
      <c r="H57" s="38">
        <v>0</v>
      </c>
      <c r="I57" s="38">
        <v>0</v>
      </c>
      <c r="J57" s="39">
        <f t="shared" si="0"/>
        <v>0</v>
      </c>
      <c r="K57" s="38">
        <v>20</v>
      </c>
      <c r="L57" s="38">
        <v>1</v>
      </c>
      <c r="M57" s="39">
        <f t="shared" si="1"/>
        <v>0</v>
      </c>
      <c r="N57" s="38">
        <v>0</v>
      </c>
      <c r="O57" s="38">
        <v>0</v>
      </c>
      <c r="P57" s="39">
        <f t="shared" si="13"/>
        <v>0</v>
      </c>
      <c r="Q57" s="38">
        <v>0</v>
      </c>
      <c r="R57" s="38">
        <v>0</v>
      </c>
      <c r="S57" s="39">
        <f t="shared" si="3"/>
        <v>0</v>
      </c>
      <c r="T57" s="38">
        <v>20</v>
      </c>
      <c r="U57" s="38">
        <v>1</v>
      </c>
      <c r="V57" s="28">
        <f t="shared" si="10"/>
        <v>0</v>
      </c>
      <c r="Y57">
        <f t="shared" si="5"/>
        <v>0</v>
      </c>
      <c r="Z57" s="38">
        <v>20</v>
      </c>
      <c r="AA57" s="38">
        <v>1</v>
      </c>
      <c r="AB57">
        <f t="shared" si="12"/>
        <v>0</v>
      </c>
      <c r="AE57">
        <f t="shared" si="7"/>
        <v>0</v>
      </c>
      <c r="AF57" s="28">
        <f t="shared" si="8"/>
        <v>0</v>
      </c>
      <c r="AG57" s="28">
        <f t="shared" si="9"/>
        <v>0</v>
      </c>
    </row>
    <row r="58" spans="1:33" ht="57.6" x14ac:dyDescent="0.3">
      <c r="A58" s="2" t="s">
        <v>836</v>
      </c>
      <c r="B58" s="4" t="s">
        <v>837</v>
      </c>
      <c r="C58" s="3" t="s">
        <v>857</v>
      </c>
      <c r="D58" s="6" t="s">
        <v>858</v>
      </c>
      <c r="E58" s="6" t="s">
        <v>859</v>
      </c>
      <c r="F58" s="6" t="s">
        <v>841</v>
      </c>
      <c r="G58" s="25">
        <v>0</v>
      </c>
      <c r="H58" s="38">
        <v>0</v>
      </c>
      <c r="I58" s="38">
        <v>0</v>
      </c>
      <c r="J58" s="39">
        <f t="shared" si="0"/>
        <v>0</v>
      </c>
      <c r="K58" s="38">
        <v>0</v>
      </c>
      <c r="L58" s="38">
        <v>0</v>
      </c>
      <c r="M58" s="39">
        <f t="shared" si="1"/>
        <v>0</v>
      </c>
      <c r="N58" s="38">
        <v>0</v>
      </c>
      <c r="O58" s="38">
        <v>0</v>
      </c>
      <c r="P58" s="39">
        <f t="shared" si="13"/>
        <v>0</v>
      </c>
      <c r="Q58" s="38">
        <v>0</v>
      </c>
      <c r="R58" s="38">
        <v>0</v>
      </c>
      <c r="S58" s="39">
        <f t="shared" si="3"/>
        <v>0</v>
      </c>
      <c r="T58" s="38">
        <v>0</v>
      </c>
      <c r="U58" s="38">
        <v>0</v>
      </c>
      <c r="V58" s="28">
        <f t="shared" si="10"/>
        <v>0</v>
      </c>
      <c r="Y58">
        <f t="shared" si="5"/>
        <v>0</v>
      </c>
      <c r="Z58" s="38">
        <v>0</v>
      </c>
      <c r="AA58" s="38">
        <v>0</v>
      </c>
      <c r="AB58">
        <f t="shared" si="12"/>
        <v>0</v>
      </c>
      <c r="AE58">
        <f t="shared" si="7"/>
        <v>0</v>
      </c>
      <c r="AF58" s="28">
        <f t="shared" si="8"/>
        <v>0</v>
      </c>
      <c r="AG58" s="28">
        <f t="shared" si="9"/>
        <v>0</v>
      </c>
    </row>
    <row r="59" spans="1:33" ht="57.6" x14ac:dyDescent="0.3">
      <c r="A59" s="2" t="s">
        <v>836</v>
      </c>
      <c r="B59" s="4" t="s">
        <v>837</v>
      </c>
      <c r="C59" s="3" t="s">
        <v>857</v>
      </c>
      <c r="D59" s="6" t="s">
        <v>858</v>
      </c>
      <c r="E59" s="6" t="s">
        <v>860</v>
      </c>
      <c r="F59" s="6" t="s">
        <v>708</v>
      </c>
      <c r="G59" s="25">
        <f>500*1030</f>
        <v>515000</v>
      </c>
      <c r="H59" s="38">
        <v>0</v>
      </c>
      <c r="I59" s="38">
        <v>0</v>
      </c>
      <c r="J59" s="39">
        <f t="shared" si="0"/>
        <v>0</v>
      </c>
      <c r="K59" s="38">
        <v>1</v>
      </c>
      <c r="L59" s="38">
        <v>30</v>
      </c>
      <c r="M59" s="39">
        <f t="shared" si="1"/>
        <v>16995000</v>
      </c>
      <c r="N59" s="38">
        <v>0</v>
      </c>
      <c r="O59" s="38">
        <v>0</v>
      </c>
      <c r="P59" s="39">
        <f t="shared" si="13"/>
        <v>0</v>
      </c>
      <c r="Q59" s="38">
        <v>0</v>
      </c>
      <c r="R59" s="38">
        <v>0</v>
      </c>
      <c r="S59" s="39">
        <f t="shared" si="3"/>
        <v>0</v>
      </c>
      <c r="T59" s="38">
        <v>0</v>
      </c>
      <c r="U59" s="38">
        <v>0</v>
      </c>
      <c r="V59" s="28">
        <f t="shared" si="10"/>
        <v>0</v>
      </c>
      <c r="Y59">
        <f t="shared" si="5"/>
        <v>0</v>
      </c>
      <c r="Z59" s="38">
        <v>1</v>
      </c>
      <c r="AA59" s="38">
        <v>30</v>
      </c>
      <c r="AB59">
        <f t="shared" si="12"/>
        <v>27370617.45000001</v>
      </c>
      <c r="AE59">
        <f t="shared" si="7"/>
        <v>0</v>
      </c>
      <c r="AF59" s="28">
        <f t="shared" si="8"/>
        <v>44365617.45000001</v>
      </c>
      <c r="AG59" s="28">
        <f t="shared" si="9"/>
        <v>43157.215418287946</v>
      </c>
    </row>
    <row r="60" spans="1:33" ht="57.6" x14ac:dyDescent="0.3">
      <c r="A60" s="2" t="s">
        <v>836</v>
      </c>
      <c r="B60" s="4" t="s">
        <v>837</v>
      </c>
      <c r="C60" s="3" t="s">
        <v>857</v>
      </c>
      <c r="D60" s="6" t="s">
        <v>858</v>
      </c>
      <c r="E60" s="6" t="s">
        <v>860</v>
      </c>
      <c r="F60" s="6" t="s">
        <v>707</v>
      </c>
      <c r="G60" s="25">
        <v>391991.03749999998</v>
      </c>
      <c r="H60" s="38">
        <v>0</v>
      </c>
      <c r="I60" s="38">
        <v>0</v>
      </c>
      <c r="J60" s="39">
        <f t="shared" si="0"/>
        <v>0</v>
      </c>
      <c r="K60" s="38">
        <v>2</v>
      </c>
      <c r="L60" s="38">
        <v>2</v>
      </c>
      <c r="M60" s="39">
        <f t="shared" si="1"/>
        <v>1724760.5649999999</v>
      </c>
      <c r="N60" s="38">
        <v>0</v>
      </c>
      <c r="O60" s="38">
        <v>0</v>
      </c>
      <c r="P60" s="39">
        <f t="shared" si="13"/>
        <v>0</v>
      </c>
      <c r="Q60" s="38">
        <v>0</v>
      </c>
      <c r="R60" s="38">
        <v>0</v>
      </c>
      <c r="S60" s="39">
        <f t="shared" si="3"/>
        <v>0</v>
      </c>
      <c r="T60" s="38">
        <v>0</v>
      </c>
      <c r="U60" s="38">
        <v>0</v>
      </c>
      <c r="V60" s="28">
        <f t="shared" si="10"/>
        <v>0</v>
      </c>
      <c r="Y60">
        <f t="shared" si="5"/>
        <v>0</v>
      </c>
      <c r="Z60" s="38">
        <v>2</v>
      </c>
      <c r="AA60" s="38">
        <v>2</v>
      </c>
      <c r="AB60">
        <f t="shared" si="12"/>
        <v>2777744.1375381513</v>
      </c>
      <c r="AE60">
        <f t="shared" si="7"/>
        <v>0</v>
      </c>
      <c r="AF60" s="28">
        <f t="shared" si="8"/>
        <v>4502504.7025381513</v>
      </c>
      <c r="AG60" s="28">
        <f t="shared" si="9"/>
        <v>4379.8683876830264</v>
      </c>
    </row>
    <row r="61" spans="1:33" ht="57.6" x14ac:dyDescent="0.3">
      <c r="A61" s="2" t="s">
        <v>836</v>
      </c>
      <c r="B61" s="4" t="s">
        <v>837</v>
      </c>
      <c r="C61" s="3" t="s">
        <v>857</v>
      </c>
      <c r="D61" s="6" t="s">
        <v>858</v>
      </c>
      <c r="E61" s="6" t="s">
        <v>151</v>
      </c>
      <c r="F61" s="6" t="s">
        <v>713</v>
      </c>
      <c r="G61" s="25">
        <v>45000</v>
      </c>
      <c r="H61" s="38">
        <v>0</v>
      </c>
      <c r="I61" s="38">
        <v>0</v>
      </c>
      <c r="J61" s="39">
        <f t="shared" si="0"/>
        <v>0</v>
      </c>
      <c r="K61" s="38">
        <v>1</v>
      </c>
      <c r="L61" s="38">
        <v>15</v>
      </c>
      <c r="M61" s="39">
        <f t="shared" si="1"/>
        <v>742500.00000000012</v>
      </c>
      <c r="N61" s="38">
        <v>0</v>
      </c>
      <c r="O61" s="38">
        <v>0</v>
      </c>
      <c r="P61" s="39">
        <f t="shared" si="13"/>
        <v>0</v>
      </c>
      <c r="Q61" s="38">
        <v>0</v>
      </c>
      <c r="R61" s="38">
        <v>0</v>
      </c>
      <c r="S61" s="39">
        <f t="shared" si="3"/>
        <v>0</v>
      </c>
      <c r="T61" s="38">
        <v>0</v>
      </c>
      <c r="U61" s="38">
        <v>0</v>
      </c>
      <c r="V61" s="28">
        <f t="shared" si="10"/>
        <v>0</v>
      </c>
      <c r="Y61">
        <f t="shared" si="5"/>
        <v>0</v>
      </c>
      <c r="Z61" s="38">
        <v>1</v>
      </c>
      <c r="AA61" s="38">
        <v>15</v>
      </c>
      <c r="AB61">
        <f t="shared" si="12"/>
        <v>1195803.6750000005</v>
      </c>
      <c r="AE61">
        <f t="shared" si="7"/>
        <v>0</v>
      </c>
      <c r="AF61" s="28">
        <f t="shared" si="8"/>
        <v>1938303.6750000007</v>
      </c>
      <c r="AG61" s="28">
        <f t="shared" si="9"/>
        <v>1885.5094114786</v>
      </c>
    </row>
    <row r="62" spans="1:33" ht="57.6" x14ac:dyDescent="0.3">
      <c r="A62" s="2" t="s">
        <v>836</v>
      </c>
      <c r="B62" s="4" t="s">
        <v>837</v>
      </c>
      <c r="C62" s="3" t="s">
        <v>857</v>
      </c>
      <c r="D62" s="6" t="s">
        <v>858</v>
      </c>
      <c r="E62" s="6" t="s">
        <v>151</v>
      </c>
      <c r="F62" s="6" t="s">
        <v>715</v>
      </c>
      <c r="G62" s="25">
        <v>302000</v>
      </c>
      <c r="H62" s="38">
        <v>0</v>
      </c>
      <c r="I62" s="38">
        <v>0</v>
      </c>
      <c r="J62" s="39">
        <f t="shared" si="0"/>
        <v>0</v>
      </c>
      <c r="K62" s="38">
        <v>1</v>
      </c>
      <c r="L62" s="38">
        <v>1</v>
      </c>
      <c r="M62" s="39">
        <f t="shared" si="1"/>
        <v>332200</v>
      </c>
      <c r="N62" s="38">
        <v>0</v>
      </c>
      <c r="O62" s="38">
        <v>0</v>
      </c>
      <c r="P62" s="39">
        <f t="shared" si="13"/>
        <v>0</v>
      </c>
      <c r="Q62" s="38">
        <v>0</v>
      </c>
      <c r="R62" s="38">
        <v>0</v>
      </c>
      <c r="S62" s="39">
        <f t="shared" si="3"/>
        <v>0</v>
      </c>
      <c r="T62" s="38">
        <v>0</v>
      </c>
      <c r="U62" s="38">
        <v>0</v>
      </c>
      <c r="V62" s="28">
        <f t="shared" si="10"/>
        <v>0</v>
      </c>
      <c r="Y62">
        <f t="shared" si="5"/>
        <v>0</v>
      </c>
      <c r="Z62" s="38">
        <v>1</v>
      </c>
      <c r="AA62" s="38">
        <v>1</v>
      </c>
      <c r="AB62">
        <f t="shared" si="12"/>
        <v>535011.42200000025</v>
      </c>
      <c r="AE62">
        <f t="shared" si="7"/>
        <v>0</v>
      </c>
      <c r="AF62" s="28">
        <f t="shared" si="8"/>
        <v>867211.42200000025</v>
      </c>
      <c r="AG62" s="28">
        <f t="shared" si="9"/>
        <v>843.59087743190685</v>
      </c>
    </row>
    <row r="63" spans="1:33" ht="57.6" x14ac:dyDescent="0.3">
      <c r="A63" s="2" t="s">
        <v>836</v>
      </c>
      <c r="B63" s="4" t="s">
        <v>837</v>
      </c>
      <c r="C63" s="3" t="s">
        <v>857</v>
      </c>
      <c r="D63" s="6" t="s">
        <v>858</v>
      </c>
      <c r="E63" s="6" t="s">
        <v>151</v>
      </c>
      <c r="F63" s="6" t="s">
        <v>1316</v>
      </c>
      <c r="G63" s="25">
        <f>1999/7</f>
        <v>285.57142857142856</v>
      </c>
      <c r="H63" s="38">
        <v>0</v>
      </c>
      <c r="I63" s="38">
        <v>0</v>
      </c>
      <c r="J63" s="39">
        <f t="shared" si="0"/>
        <v>0</v>
      </c>
      <c r="K63" s="38">
        <v>5000</v>
      </c>
      <c r="L63" s="38">
        <v>1</v>
      </c>
      <c r="M63" s="39"/>
      <c r="N63" s="38"/>
      <c r="O63" s="38"/>
      <c r="P63" s="39"/>
      <c r="Q63" s="38"/>
      <c r="R63" s="38"/>
      <c r="S63" s="39"/>
      <c r="T63" s="38"/>
      <c r="U63" s="38"/>
      <c r="V63" s="28"/>
      <c r="Y63">
        <f t="shared" si="5"/>
        <v>0</v>
      </c>
      <c r="Z63" s="38">
        <v>5000</v>
      </c>
      <c r="AA63" s="38">
        <v>1</v>
      </c>
      <c r="AB63">
        <f t="shared" si="12"/>
        <v>2529536.0278571439</v>
      </c>
      <c r="AE63">
        <f t="shared" si="7"/>
        <v>0</v>
      </c>
      <c r="AF63" s="28"/>
      <c r="AG63" s="28"/>
    </row>
    <row r="64" spans="1:33" ht="57.6" x14ac:dyDescent="0.3">
      <c r="A64" s="2" t="s">
        <v>836</v>
      </c>
      <c r="B64" s="4" t="s">
        <v>837</v>
      </c>
      <c r="C64" s="3" t="s">
        <v>857</v>
      </c>
      <c r="D64" s="6" t="s">
        <v>858</v>
      </c>
      <c r="E64" s="6" t="s">
        <v>151</v>
      </c>
      <c r="F64" s="6" t="s">
        <v>712</v>
      </c>
      <c r="G64" s="25">
        <f>1999/7</f>
        <v>285.57142857142856</v>
      </c>
      <c r="H64" s="38">
        <v>0</v>
      </c>
      <c r="I64" s="38">
        <v>0</v>
      </c>
      <c r="J64" s="39">
        <f t="shared" si="0"/>
        <v>0</v>
      </c>
      <c r="K64" s="38">
        <f>50*2*15</f>
        <v>1500</v>
      </c>
      <c r="L64" s="38">
        <v>1</v>
      </c>
      <c r="M64" s="39">
        <f t="shared" si="1"/>
        <v>471192.85714285716</v>
      </c>
      <c r="N64" s="38">
        <v>0</v>
      </c>
      <c r="O64" s="38">
        <v>0</v>
      </c>
      <c r="P64" s="39">
        <f t="shared" si="13"/>
        <v>0</v>
      </c>
      <c r="Q64" s="38">
        <v>0</v>
      </c>
      <c r="R64" s="38">
        <v>0</v>
      </c>
      <c r="S64" s="39">
        <f t="shared" si="3"/>
        <v>0</v>
      </c>
      <c r="T64" s="38">
        <v>0</v>
      </c>
      <c r="U64" s="38">
        <v>0</v>
      </c>
      <c r="V64" s="28">
        <f t="shared" si="10"/>
        <v>0</v>
      </c>
      <c r="Y64">
        <f t="shared" si="5"/>
        <v>0</v>
      </c>
      <c r="Z64" s="38">
        <f>50*2*15</f>
        <v>1500</v>
      </c>
      <c r="AA64" s="38">
        <v>1</v>
      </c>
      <c r="AB64">
        <f t="shared" si="12"/>
        <v>758860.80835714319</v>
      </c>
      <c r="AE64">
        <f t="shared" si="7"/>
        <v>0</v>
      </c>
      <c r="AF64" s="28">
        <f t="shared" si="8"/>
        <v>1230053.6655000004</v>
      </c>
      <c r="AG64" s="28">
        <f t="shared" si="9"/>
        <v>1196.5502582684828</v>
      </c>
    </row>
    <row r="65" spans="1:33" ht="57.6" x14ac:dyDescent="0.3">
      <c r="A65" s="2" t="s">
        <v>836</v>
      </c>
      <c r="B65" s="4" t="s">
        <v>837</v>
      </c>
      <c r="C65" s="3" t="s">
        <v>857</v>
      </c>
      <c r="D65" s="6" t="s">
        <v>858</v>
      </c>
      <c r="E65" s="6" t="s">
        <v>151</v>
      </c>
      <c r="F65" s="6" t="s">
        <v>1317</v>
      </c>
      <c r="G65" s="25">
        <v>100000</v>
      </c>
      <c r="H65" s="38">
        <v>0</v>
      </c>
      <c r="I65" s="38">
        <v>0</v>
      </c>
      <c r="J65" s="39">
        <f t="shared" si="0"/>
        <v>0</v>
      </c>
      <c r="K65" s="38">
        <v>1</v>
      </c>
      <c r="L65" s="38">
        <v>1</v>
      </c>
      <c r="M65" s="39">
        <f t="shared" si="1"/>
        <v>110000.00000000001</v>
      </c>
      <c r="N65" s="38">
        <v>0</v>
      </c>
      <c r="O65" s="38">
        <v>0</v>
      </c>
      <c r="P65" s="39">
        <f t="shared" si="13"/>
        <v>0</v>
      </c>
      <c r="Q65" s="38">
        <v>0</v>
      </c>
      <c r="R65" s="38">
        <v>0</v>
      </c>
      <c r="S65" s="39">
        <f t="shared" si="3"/>
        <v>0</v>
      </c>
      <c r="T65" s="38">
        <v>0</v>
      </c>
      <c r="U65" s="38">
        <v>0</v>
      </c>
      <c r="V65" s="28">
        <f t="shared" si="10"/>
        <v>0</v>
      </c>
      <c r="Y65">
        <f t="shared" si="5"/>
        <v>0</v>
      </c>
      <c r="Z65" s="38">
        <v>1</v>
      </c>
      <c r="AA65" s="38">
        <v>1</v>
      </c>
      <c r="AB65">
        <f t="shared" si="12"/>
        <v>177156.10000000009</v>
      </c>
      <c r="AE65">
        <f t="shared" si="7"/>
        <v>0</v>
      </c>
      <c r="AF65" s="28">
        <f t="shared" si="8"/>
        <v>287156.10000000009</v>
      </c>
      <c r="AG65" s="28">
        <f t="shared" si="9"/>
        <v>279.33472762645926</v>
      </c>
    </row>
    <row r="66" spans="1:33" ht="57.6" x14ac:dyDescent="0.3">
      <c r="A66" s="2" t="s">
        <v>836</v>
      </c>
      <c r="B66" s="4" t="s">
        <v>837</v>
      </c>
      <c r="C66" s="3" t="s">
        <v>857</v>
      </c>
      <c r="D66" s="6" t="s">
        <v>858</v>
      </c>
      <c r="E66" s="6" t="s">
        <v>152</v>
      </c>
      <c r="F66" s="6" t="s">
        <v>716</v>
      </c>
      <c r="G66" s="25">
        <v>39000</v>
      </c>
      <c r="H66" s="38">
        <v>0</v>
      </c>
      <c r="I66" s="38">
        <v>0</v>
      </c>
      <c r="J66" s="39">
        <f t="shared" si="0"/>
        <v>0</v>
      </c>
      <c r="K66" s="38"/>
      <c r="L66" s="38"/>
      <c r="M66" s="39">
        <f t="shared" si="1"/>
        <v>0</v>
      </c>
      <c r="N66" s="38">
        <v>0</v>
      </c>
      <c r="O66" s="38">
        <v>0</v>
      </c>
      <c r="P66" s="39">
        <f t="shared" si="13"/>
        <v>0</v>
      </c>
      <c r="Q66" s="38">
        <v>0</v>
      </c>
      <c r="R66" s="38">
        <v>0</v>
      </c>
      <c r="S66" s="39">
        <f t="shared" si="3"/>
        <v>0</v>
      </c>
      <c r="T66" s="38">
        <v>0</v>
      </c>
      <c r="U66" s="38">
        <v>0</v>
      </c>
      <c r="V66" s="28">
        <f t="shared" si="10"/>
        <v>0</v>
      </c>
      <c r="Y66">
        <f t="shared" si="5"/>
        <v>0</v>
      </c>
      <c r="Z66" s="38"/>
      <c r="AA66" s="38"/>
      <c r="AB66">
        <f t="shared" si="12"/>
        <v>0</v>
      </c>
      <c r="AE66">
        <f t="shared" si="7"/>
        <v>0</v>
      </c>
      <c r="AF66" s="28">
        <f t="shared" si="8"/>
        <v>0</v>
      </c>
      <c r="AG66" s="28">
        <f t="shared" si="9"/>
        <v>0</v>
      </c>
    </row>
    <row r="67" spans="1:33" ht="57.6" x14ac:dyDescent="0.3">
      <c r="A67" s="2" t="s">
        <v>836</v>
      </c>
      <c r="B67" s="4" t="s">
        <v>837</v>
      </c>
      <c r="C67" s="3" t="s">
        <v>857</v>
      </c>
      <c r="D67" s="6" t="s">
        <v>858</v>
      </c>
      <c r="E67" s="6" t="s">
        <v>152</v>
      </c>
      <c r="F67" s="6" t="s">
        <v>709</v>
      </c>
      <c r="G67" s="25">
        <v>35000</v>
      </c>
      <c r="H67" s="38">
        <v>0</v>
      </c>
      <c r="I67" s="38">
        <v>0</v>
      </c>
      <c r="J67" s="39">
        <f t="shared" ref="J67:J130" si="14">G67*H67*I67</f>
        <v>0</v>
      </c>
      <c r="K67" s="38">
        <v>20</v>
      </c>
      <c r="L67" s="38">
        <v>5</v>
      </c>
      <c r="M67" s="39">
        <f t="shared" si="1"/>
        <v>3850000</v>
      </c>
      <c r="N67" s="38">
        <v>0</v>
      </c>
      <c r="O67" s="38">
        <v>0</v>
      </c>
      <c r="P67" s="39">
        <f t="shared" si="13"/>
        <v>0</v>
      </c>
      <c r="Q67" s="38">
        <v>0</v>
      </c>
      <c r="R67" s="38">
        <v>0</v>
      </c>
      <c r="S67" s="39">
        <f t="shared" si="3"/>
        <v>0</v>
      </c>
      <c r="T67" s="38">
        <v>0</v>
      </c>
      <c r="U67" s="38">
        <v>0</v>
      </c>
      <c r="V67" s="28">
        <f t="shared" si="10"/>
        <v>0</v>
      </c>
      <c r="Y67">
        <f t="shared" si="5"/>
        <v>0</v>
      </c>
      <c r="Z67" s="38">
        <v>20</v>
      </c>
      <c r="AA67" s="38">
        <v>5</v>
      </c>
      <c r="AB67">
        <f t="shared" si="12"/>
        <v>6200463.5000000037</v>
      </c>
      <c r="AE67">
        <f t="shared" si="7"/>
        <v>0</v>
      </c>
      <c r="AF67" s="28">
        <f t="shared" si="8"/>
        <v>10050463.500000004</v>
      </c>
      <c r="AG67" s="28">
        <f t="shared" si="9"/>
        <v>9776.7154669260744</v>
      </c>
    </row>
    <row r="68" spans="1:33" ht="57.6" x14ac:dyDescent="0.3">
      <c r="A68" s="2" t="s">
        <v>836</v>
      </c>
      <c r="B68" s="4" t="s">
        <v>837</v>
      </c>
      <c r="C68" s="3" t="s">
        <v>857</v>
      </c>
      <c r="D68" s="6" t="s">
        <v>858</v>
      </c>
      <c r="E68" s="6" t="s">
        <v>152</v>
      </c>
      <c r="F68" s="6" t="s">
        <v>1299</v>
      </c>
      <c r="G68" s="25">
        <f>1999/7</f>
        <v>285.57142857142856</v>
      </c>
      <c r="H68" s="38">
        <v>0</v>
      </c>
      <c r="I68" s="38">
        <v>0</v>
      </c>
      <c r="J68" s="39">
        <f t="shared" si="14"/>
        <v>0</v>
      </c>
      <c r="K68" s="38">
        <v>22500</v>
      </c>
      <c r="L68" s="38">
        <v>1</v>
      </c>
      <c r="M68" s="39"/>
      <c r="N68" s="38"/>
      <c r="O68" s="38"/>
      <c r="P68" s="39"/>
      <c r="Q68" s="38"/>
      <c r="R68" s="38"/>
      <c r="S68" s="39"/>
      <c r="T68" s="38"/>
      <c r="U68" s="38"/>
      <c r="V68" s="28"/>
      <c r="Z68" s="38">
        <v>22500</v>
      </c>
      <c r="AA68" s="38">
        <v>1</v>
      </c>
      <c r="AF68" s="28"/>
      <c r="AG68" s="28"/>
    </row>
    <row r="69" spans="1:33" ht="57.6" x14ac:dyDescent="0.3">
      <c r="A69" s="2" t="s">
        <v>836</v>
      </c>
      <c r="B69" s="4" t="s">
        <v>837</v>
      </c>
      <c r="C69" s="3" t="s">
        <v>857</v>
      </c>
      <c r="D69" s="6" t="s">
        <v>858</v>
      </c>
      <c r="E69" s="6" t="s">
        <v>152</v>
      </c>
      <c r="F69" s="6" t="s">
        <v>712</v>
      </c>
      <c r="G69" s="25">
        <f>1999/7</f>
        <v>285.57142857142856</v>
      </c>
      <c r="H69" s="38">
        <v>0</v>
      </c>
      <c r="I69" s="38">
        <v>0</v>
      </c>
      <c r="J69" s="39">
        <f t="shared" si="14"/>
        <v>0</v>
      </c>
      <c r="K69" s="38">
        <v>25</v>
      </c>
      <c r="L69" s="38">
        <v>10</v>
      </c>
      <c r="M69" s="39">
        <f t="shared" si="1"/>
        <v>78532.14285714287</v>
      </c>
      <c r="N69" s="38">
        <v>0</v>
      </c>
      <c r="O69" s="38">
        <v>0</v>
      </c>
      <c r="P69" s="39">
        <f t="shared" si="13"/>
        <v>0</v>
      </c>
      <c r="Q69" s="38">
        <v>0</v>
      </c>
      <c r="R69" s="38">
        <v>0</v>
      </c>
      <c r="S69" s="39">
        <f t="shared" si="3"/>
        <v>0</v>
      </c>
      <c r="T69" s="38">
        <v>0</v>
      </c>
      <c r="U69" s="38">
        <v>0</v>
      </c>
      <c r="V69" s="28">
        <f t="shared" si="10"/>
        <v>0</v>
      </c>
      <c r="Y69">
        <f t="shared" si="5"/>
        <v>0</v>
      </c>
      <c r="Z69" s="38">
        <v>25</v>
      </c>
      <c r="AA69" s="38">
        <v>10</v>
      </c>
      <c r="AB69">
        <f t="shared" si="12"/>
        <v>126476.80139285719</v>
      </c>
      <c r="AE69">
        <f t="shared" si="7"/>
        <v>0</v>
      </c>
      <c r="AF69" s="28">
        <f t="shared" si="8"/>
        <v>205008.94425000006</v>
      </c>
      <c r="AG69" s="28">
        <f t="shared" si="9"/>
        <v>199.42504304474713</v>
      </c>
    </row>
    <row r="70" spans="1:33" ht="57.6" x14ac:dyDescent="0.3">
      <c r="A70" s="2" t="s">
        <v>836</v>
      </c>
      <c r="B70" s="4" t="s">
        <v>837</v>
      </c>
      <c r="C70" s="3" t="s">
        <v>857</v>
      </c>
      <c r="D70" s="6" t="s">
        <v>858</v>
      </c>
      <c r="E70" s="6" t="s">
        <v>861</v>
      </c>
      <c r="F70" s="6" t="s">
        <v>841</v>
      </c>
      <c r="G70" s="25">
        <v>0</v>
      </c>
      <c r="H70" s="38">
        <v>0</v>
      </c>
      <c r="I70" s="38">
        <v>0</v>
      </c>
      <c r="J70" s="39">
        <f t="shared" si="14"/>
        <v>0</v>
      </c>
      <c r="K70" s="38">
        <v>0</v>
      </c>
      <c r="L70" s="38">
        <v>0</v>
      </c>
      <c r="M70" s="39">
        <f t="shared" si="1"/>
        <v>0</v>
      </c>
      <c r="N70" s="38">
        <v>0</v>
      </c>
      <c r="O70" s="38">
        <v>0</v>
      </c>
      <c r="P70" s="39">
        <f t="shared" si="13"/>
        <v>0</v>
      </c>
      <c r="Q70" s="38">
        <v>0</v>
      </c>
      <c r="R70" s="38">
        <v>0</v>
      </c>
      <c r="S70" s="39">
        <f t="shared" si="3"/>
        <v>0</v>
      </c>
      <c r="T70" s="38">
        <v>0</v>
      </c>
      <c r="U70" s="38">
        <v>0</v>
      </c>
      <c r="V70" s="28">
        <f t="shared" si="10"/>
        <v>0</v>
      </c>
      <c r="Y70">
        <f t="shared" si="5"/>
        <v>0</v>
      </c>
      <c r="Z70" s="38">
        <v>0</v>
      </c>
      <c r="AA70" s="38">
        <v>0</v>
      </c>
      <c r="AB70">
        <f t="shared" si="12"/>
        <v>0</v>
      </c>
      <c r="AE70">
        <f t="shared" si="7"/>
        <v>0</v>
      </c>
      <c r="AF70" s="28">
        <f t="shared" si="8"/>
        <v>0</v>
      </c>
      <c r="AG70" s="28">
        <f t="shared" si="9"/>
        <v>0</v>
      </c>
    </row>
    <row r="71" spans="1:33" ht="57.6" x14ac:dyDescent="0.3">
      <c r="A71" s="2" t="s">
        <v>836</v>
      </c>
      <c r="B71" s="4" t="s">
        <v>837</v>
      </c>
      <c r="C71" s="3" t="s">
        <v>857</v>
      </c>
      <c r="D71" s="6" t="s">
        <v>858</v>
      </c>
      <c r="E71" s="6" t="s">
        <v>1319</v>
      </c>
      <c r="F71" s="6" t="s">
        <v>709</v>
      </c>
      <c r="G71" s="25">
        <v>35000</v>
      </c>
      <c r="H71" s="38">
        <v>0</v>
      </c>
      <c r="I71" s="38">
        <v>0</v>
      </c>
      <c r="J71" s="39">
        <f t="shared" si="14"/>
        <v>0</v>
      </c>
      <c r="K71" s="38">
        <v>100</v>
      </c>
      <c r="L71" s="38">
        <v>5</v>
      </c>
      <c r="M71" s="39"/>
      <c r="N71" s="38"/>
      <c r="O71" s="38"/>
      <c r="P71" s="39"/>
      <c r="Q71" s="38"/>
      <c r="R71" s="38"/>
      <c r="S71" s="39"/>
      <c r="T71" s="38"/>
      <c r="U71" s="38"/>
      <c r="V71" s="28"/>
      <c r="Z71" s="38">
        <v>100</v>
      </c>
      <c r="AA71" s="38">
        <v>5</v>
      </c>
      <c r="AF71" s="28"/>
      <c r="AG71" s="28"/>
    </row>
    <row r="72" spans="1:33" ht="57.6" x14ac:dyDescent="0.3">
      <c r="A72" s="2" t="s">
        <v>836</v>
      </c>
      <c r="B72" s="4" t="s">
        <v>837</v>
      </c>
      <c r="C72" s="3" t="s">
        <v>857</v>
      </c>
      <c r="D72" s="6" t="s">
        <v>858</v>
      </c>
      <c r="E72" s="6" t="s">
        <v>1319</v>
      </c>
      <c r="F72" s="6" t="s">
        <v>716</v>
      </c>
      <c r="G72" s="25">
        <v>39000</v>
      </c>
      <c r="H72" s="38">
        <v>0</v>
      </c>
      <c r="I72" s="38">
        <v>0</v>
      </c>
      <c r="J72" s="39">
        <f t="shared" si="14"/>
        <v>0</v>
      </c>
      <c r="K72" s="38">
        <v>58</v>
      </c>
      <c r="L72" s="38">
        <v>6</v>
      </c>
      <c r="M72" s="39"/>
      <c r="N72" s="38"/>
      <c r="O72" s="38"/>
      <c r="P72" s="39"/>
      <c r="Q72" s="38"/>
      <c r="R72" s="38"/>
      <c r="S72" s="39"/>
      <c r="T72" s="38"/>
      <c r="U72" s="38"/>
      <c r="V72" s="28"/>
      <c r="Z72" s="38">
        <v>58</v>
      </c>
      <c r="AA72" s="38">
        <v>6</v>
      </c>
      <c r="AF72" s="28"/>
      <c r="AG72" s="28"/>
    </row>
    <row r="73" spans="1:33" ht="57.6" x14ac:dyDescent="0.3">
      <c r="A73" s="2" t="s">
        <v>836</v>
      </c>
      <c r="B73" s="4" t="s">
        <v>837</v>
      </c>
      <c r="C73" s="3" t="s">
        <v>857</v>
      </c>
      <c r="D73" s="6" t="s">
        <v>858</v>
      </c>
      <c r="E73" s="6" t="s">
        <v>1319</v>
      </c>
      <c r="F73" s="6" t="s">
        <v>1349</v>
      </c>
      <c r="G73" s="25">
        <f>1999/7</f>
        <v>285.57142857142856</v>
      </c>
      <c r="H73" s="38">
        <v>0</v>
      </c>
      <c r="I73" s="38">
        <v>0</v>
      </c>
      <c r="J73" s="39">
        <f t="shared" si="14"/>
        <v>0</v>
      </c>
      <c r="K73" s="38">
        <f>25*2*29</f>
        <v>1450</v>
      </c>
      <c r="L73" s="38">
        <v>5</v>
      </c>
      <c r="M73" s="39"/>
      <c r="N73" s="38"/>
      <c r="O73" s="38"/>
      <c r="P73" s="39"/>
      <c r="Q73" s="38"/>
      <c r="R73" s="38"/>
      <c r="S73" s="39"/>
      <c r="T73" s="38"/>
      <c r="U73" s="38"/>
      <c r="V73" s="28"/>
      <c r="Z73" s="38">
        <f>25*2*29</f>
        <v>1450</v>
      </c>
      <c r="AA73" s="38">
        <v>5</v>
      </c>
      <c r="AF73" s="28"/>
      <c r="AG73" s="28"/>
    </row>
    <row r="74" spans="1:33" ht="57.6" x14ac:dyDescent="0.3">
      <c r="A74" s="2" t="s">
        <v>836</v>
      </c>
      <c r="B74" s="4" t="s">
        <v>837</v>
      </c>
      <c r="C74" s="3" t="s">
        <v>857</v>
      </c>
      <c r="D74" s="6" t="s">
        <v>858</v>
      </c>
      <c r="E74" s="6" t="s">
        <v>1319</v>
      </c>
      <c r="F74" s="75" t="s">
        <v>1350</v>
      </c>
      <c r="G74" s="25">
        <f>1999/7</f>
        <v>285.57142857142856</v>
      </c>
      <c r="H74" s="38">
        <v>0</v>
      </c>
      <c r="I74" s="38">
        <v>0</v>
      </c>
      <c r="J74" s="39">
        <f t="shared" si="14"/>
        <v>0</v>
      </c>
      <c r="K74" s="38">
        <v>22500</v>
      </c>
      <c r="L74" s="38">
        <v>1</v>
      </c>
      <c r="M74" s="39"/>
      <c r="N74" s="38"/>
      <c r="O74" s="38"/>
      <c r="P74" s="39"/>
      <c r="Q74" s="38"/>
      <c r="R74" s="38"/>
      <c r="S74" s="39"/>
      <c r="T74" s="38"/>
      <c r="U74" s="38"/>
      <c r="V74" s="28"/>
      <c r="Z74" s="38">
        <v>22500</v>
      </c>
      <c r="AA74" s="38">
        <v>1</v>
      </c>
      <c r="AF74" s="28"/>
      <c r="AG74" s="28"/>
    </row>
    <row r="75" spans="1:33" ht="57.6" x14ac:dyDescent="0.3">
      <c r="A75" s="2" t="s">
        <v>836</v>
      </c>
      <c r="B75" s="4" t="s">
        <v>837</v>
      </c>
      <c r="C75" s="3" t="s">
        <v>857</v>
      </c>
      <c r="D75" s="6" t="s">
        <v>858</v>
      </c>
      <c r="E75" s="6" t="s">
        <v>156</v>
      </c>
      <c r="F75" s="6" t="s">
        <v>709</v>
      </c>
      <c r="G75" s="25">
        <v>35000</v>
      </c>
      <c r="H75" s="38">
        <v>0</v>
      </c>
      <c r="I75" s="38">
        <v>0</v>
      </c>
      <c r="J75" s="39">
        <f t="shared" si="14"/>
        <v>0</v>
      </c>
      <c r="K75" s="38">
        <v>100</v>
      </c>
      <c r="L75" s="38">
        <v>1</v>
      </c>
      <c r="M75" s="39">
        <f t="shared" si="1"/>
        <v>3850000</v>
      </c>
      <c r="N75" s="38">
        <v>0</v>
      </c>
      <c r="O75" s="38">
        <v>0</v>
      </c>
      <c r="P75" s="39">
        <f t="shared" si="13"/>
        <v>0</v>
      </c>
      <c r="Q75" s="38">
        <v>0</v>
      </c>
      <c r="R75" s="38">
        <v>0</v>
      </c>
      <c r="S75" s="39">
        <f t="shared" si="3"/>
        <v>0</v>
      </c>
      <c r="T75" s="38">
        <v>0</v>
      </c>
      <c r="U75" s="38">
        <v>0</v>
      </c>
      <c r="V75" s="28">
        <f t="shared" si="10"/>
        <v>0</v>
      </c>
      <c r="Y75">
        <f t="shared" si="5"/>
        <v>0</v>
      </c>
      <c r="Z75" s="38">
        <v>100</v>
      </c>
      <c r="AA75" s="38">
        <v>1</v>
      </c>
      <c r="AB75">
        <f t="shared" si="12"/>
        <v>6200463.5000000028</v>
      </c>
      <c r="AE75">
        <f t="shared" si="7"/>
        <v>0</v>
      </c>
      <c r="AF75" s="28">
        <f t="shared" si="8"/>
        <v>10050463.500000004</v>
      </c>
      <c r="AG75" s="28">
        <f t="shared" si="9"/>
        <v>9776.7154669260744</v>
      </c>
    </row>
    <row r="76" spans="1:33" ht="57.6" x14ac:dyDescent="0.3">
      <c r="A76" s="2" t="s">
        <v>836</v>
      </c>
      <c r="B76" s="4" t="s">
        <v>837</v>
      </c>
      <c r="C76" s="3" t="s">
        <v>857</v>
      </c>
      <c r="D76" s="6" t="s">
        <v>858</v>
      </c>
      <c r="E76" s="6" t="s">
        <v>156</v>
      </c>
      <c r="F76" s="6" t="s">
        <v>716</v>
      </c>
      <c r="G76" s="25">
        <v>39000</v>
      </c>
      <c r="H76" s="38">
        <v>0</v>
      </c>
      <c r="I76" s="38">
        <v>0</v>
      </c>
      <c r="J76" s="39">
        <f t="shared" si="14"/>
        <v>0</v>
      </c>
      <c r="K76" s="38">
        <v>58</v>
      </c>
      <c r="L76" s="38">
        <v>2</v>
      </c>
      <c r="M76" s="39">
        <f t="shared" si="1"/>
        <v>4976400</v>
      </c>
      <c r="N76" s="38">
        <v>0</v>
      </c>
      <c r="O76" s="38">
        <v>0</v>
      </c>
      <c r="P76" s="39">
        <f t="shared" si="13"/>
        <v>0</v>
      </c>
      <c r="Q76" s="38">
        <v>0</v>
      </c>
      <c r="R76" s="38">
        <v>0</v>
      </c>
      <c r="S76" s="39">
        <f t="shared" si="3"/>
        <v>0</v>
      </c>
      <c r="T76" s="38">
        <v>0</v>
      </c>
      <c r="U76" s="38">
        <v>0</v>
      </c>
      <c r="V76" s="28">
        <f t="shared" si="10"/>
        <v>0</v>
      </c>
      <c r="Y76">
        <f t="shared" si="5"/>
        <v>0</v>
      </c>
      <c r="Z76" s="38">
        <v>58</v>
      </c>
      <c r="AA76" s="38">
        <v>2</v>
      </c>
      <c r="AB76">
        <f t="shared" si="12"/>
        <v>8014541.9640000034</v>
      </c>
      <c r="AE76">
        <f t="shared" si="7"/>
        <v>0</v>
      </c>
      <c r="AF76" s="28">
        <f t="shared" si="8"/>
        <v>12990941.964000003</v>
      </c>
      <c r="AG76" s="28">
        <f t="shared" si="9"/>
        <v>12637.103077821015</v>
      </c>
    </row>
    <row r="77" spans="1:33" ht="57.6" x14ac:dyDescent="0.3">
      <c r="A77" s="2" t="s">
        <v>836</v>
      </c>
      <c r="B77" s="4" t="s">
        <v>837</v>
      </c>
      <c r="C77" s="3" t="s">
        <v>857</v>
      </c>
      <c r="D77" s="6" t="s">
        <v>858</v>
      </c>
      <c r="E77" s="6" t="s">
        <v>156</v>
      </c>
      <c r="F77" s="6" t="s">
        <v>712</v>
      </c>
      <c r="G77" s="25">
        <f>1999/7</f>
        <v>285.57142857142856</v>
      </c>
      <c r="H77" s="38">
        <v>0</v>
      </c>
      <c r="I77" s="38">
        <v>0</v>
      </c>
      <c r="J77" s="39">
        <f t="shared" si="14"/>
        <v>0</v>
      </c>
      <c r="K77" s="38">
        <f>25*2*29</f>
        <v>1450</v>
      </c>
      <c r="L77" s="38">
        <v>1</v>
      </c>
      <c r="M77" s="39">
        <f t="shared" si="1"/>
        <v>455486.42857142858</v>
      </c>
      <c r="N77" s="38">
        <v>0</v>
      </c>
      <c r="O77" s="38">
        <v>0</v>
      </c>
      <c r="P77" s="39">
        <f t="shared" si="13"/>
        <v>0</v>
      </c>
      <c r="Q77" s="38">
        <v>0</v>
      </c>
      <c r="R77" s="38">
        <v>0</v>
      </c>
      <c r="S77" s="39">
        <f t="shared" si="3"/>
        <v>0</v>
      </c>
      <c r="T77" s="38">
        <v>0</v>
      </c>
      <c r="U77" s="38">
        <v>0</v>
      </c>
      <c r="V77" s="28">
        <f t="shared" si="10"/>
        <v>0</v>
      </c>
      <c r="Y77">
        <f t="shared" si="5"/>
        <v>0</v>
      </c>
      <c r="Z77" s="38">
        <f>25*2*29</f>
        <v>1450</v>
      </c>
      <c r="AA77" s="38">
        <v>1</v>
      </c>
      <c r="AB77">
        <f t="shared" si="12"/>
        <v>733565.4480785717</v>
      </c>
      <c r="AE77">
        <f t="shared" si="7"/>
        <v>0</v>
      </c>
      <c r="AF77" s="28">
        <f t="shared" si="8"/>
        <v>1189051.8766500002</v>
      </c>
      <c r="AG77" s="28">
        <f t="shared" si="9"/>
        <v>1156.6652496595334</v>
      </c>
    </row>
    <row r="78" spans="1:33" ht="57.6" x14ac:dyDescent="0.3">
      <c r="A78" s="2" t="s">
        <v>836</v>
      </c>
      <c r="B78" s="4" t="s">
        <v>837</v>
      </c>
      <c r="C78" s="3" t="s">
        <v>857</v>
      </c>
      <c r="D78" s="6" t="s">
        <v>858</v>
      </c>
      <c r="E78" s="6" t="s">
        <v>156</v>
      </c>
      <c r="F78" s="6" t="s">
        <v>1299</v>
      </c>
      <c r="G78" s="25">
        <f>1999/7</f>
        <v>285.57142857142856</v>
      </c>
      <c r="H78" s="38">
        <v>0</v>
      </c>
      <c r="I78" s="38">
        <v>0</v>
      </c>
      <c r="J78" s="39">
        <f t="shared" si="14"/>
        <v>0</v>
      </c>
      <c r="K78" s="38">
        <v>22500</v>
      </c>
      <c r="L78" s="38">
        <v>1</v>
      </c>
      <c r="M78" s="39"/>
      <c r="N78" s="38"/>
      <c r="O78" s="38"/>
      <c r="P78" s="39"/>
      <c r="Q78" s="38"/>
      <c r="R78" s="38"/>
      <c r="S78" s="39"/>
      <c r="T78" s="38"/>
      <c r="U78" s="38"/>
      <c r="V78" s="28"/>
      <c r="Z78" s="38">
        <v>22500</v>
      </c>
      <c r="AA78" s="38">
        <v>1</v>
      </c>
      <c r="AF78" s="28"/>
      <c r="AG78" s="28"/>
    </row>
    <row r="79" spans="1:33" ht="57.6" x14ac:dyDescent="0.3">
      <c r="A79" s="2" t="s">
        <v>836</v>
      </c>
      <c r="B79" s="4" t="s">
        <v>837</v>
      </c>
      <c r="C79" s="3" t="s">
        <v>857</v>
      </c>
      <c r="D79" s="6" t="s">
        <v>858</v>
      </c>
      <c r="E79" s="6" t="s">
        <v>156</v>
      </c>
      <c r="F79" s="6" t="s">
        <v>1297</v>
      </c>
      <c r="G79" s="25">
        <v>8000</v>
      </c>
      <c r="H79" s="38">
        <v>0</v>
      </c>
      <c r="I79" s="38">
        <v>0</v>
      </c>
      <c r="J79" s="39">
        <f t="shared" si="14"/>
        <v>0</v>
      </c>
      <c r="K79" s="38">
        <v>10</v>
      </c>
      <c r="L79" s="38">
        <v>1</v>
      </c>
      <c r="M79" s="39">
        <f t="shared" si="1"/>
        <v>88000</v>
      </c>
      <c r="N79" s="38">
        <v>0</v>
      </c>
      <c r="O79" s="38">
        <v>0</v>
      </c>
      <c r="P79" s="39">
        <f t="shared" si="13"/>
        <v>0</v>
      </c>
      <c r="Q79" s="38">
        <v>0</v>
      </c>
      <c r="R79" s="38">
        <v>0</v>
      </c>
      <c r="S79" s="39">
        <f t="shared" si="3"/>
        <v>0</v>
      </c>
      <c r="T79" s="38">
        <v>0</v>
      </c>
      <c r="U79" s="38">
        <v>0</v>
      </c>
      <c r="V79" s="28">
        <f t="shared" si="10"/>
        <v>0</v>
      </c>
      <c r="Y79">
        <f t="shared" si="5"/>
        <v>0</v>
      </c>
      <c r="Z79" s="38">
        <v>10</v>
      </c>
      <c r="AA79" s="38">
        <v>1</v>
      </c>
      <c r="AB79">
        <f t="shared" si="12"/>
        <v>141724.88000000006</v>
      </c>
      <c r="AE79">
        <f t="shared" si="7"/>
        <v>0</v>
      </c>
      <c r="AF79" s="28">
        <f t="shared" si="8"/>
        <v>229724.88000000006</v>
      </c>
      <c r="AG79" s="28">
        <f t="shared" si="9"/>
        <v>223.46778210116739</v>
      </c>
    </row>
    <row r="80" spans="1:33" ht="57.6" x14ac:dyDescent="0.3">
      <c r="A80" s="2" t="s">
        <v>836</v>
      </c>
      <c r="B80" s="4" t="s">
        <v>837</v>
      </c>
      <c r="C80" s="3" t="s">
        <v>857</v>
      </c>
      <c r="D80" s="6" t="s">
        <v>858</v>
      </c>
      <c r="E80" s="6" t="s">
        <v>156</v>
      </c>
      <c r="F80" s="6" t="s">
        <v>710</v>
      </c>
      <c r="G80" s="25">
        <v>104850</v>
      </c>
      <c r="H80" s="38">
        <v>0</v>
      </c>
      <c r="I80" s="38">
        <v>0</v>
      </c>
      <c r="J80" s="39">
        <f t="shared" si="14"/>
        <v>0</v>
      </c>
      <c r="K80" s="38">
        <v>1</v>
      </c>
      <c r="L80" s="38">
        <v>1</v>
      </c>
      <c r="M80" s="39">
        <f t="shared" si="1"/>
        <v>115335.00000000001</v>
      </c>
      <c r="N80" s="38">
        <v>0</v>
      </c>
      <c r="O80" s="38">
        <v>0</v>
      </c>
      <c r="P80" s="39">
        <f t="shared" si="13"/>
        <v>0</v>
      </c>
      <c r="Q80" s="38">
        <v>0</v>
      </c>
      <c r="R80" s="38">
        <v>0</v>
      </c>
      <c r="S80" s="39">
        <f t="shared" si="3"/>
        <v>0</v>
      </c>
      <c r="T80" s="38">
        <v>0</v>
      </c>
      <c r="U80" s="38">
        <v>0</v>
      </c>
      <c r="V80" s="28">
        <f t="shared" si="10"/>
        <v>0</v>
      </c>
      <c r="Y80">
        <f t="shared" si="5"/>
        <v>0</v>
      </c>
      <c r="Z80" s="38">
        <v>1</v>
      </c>
      <c r="AA80" s="38">
        <v>1</v>
      </c>
      <c r="AB80">
        <f t="shared" si="12"/>
        <v>185748.17085000008</v>
      </c>
      <c r="AE80">
        <f t="shared" si="7"/>
        <v>0</v>
      </c>
      <c r="AF80" s="28">
        <f t="shared" si="8"/>
        <v>301083.17085000011</v>
      </c>
      <c r="AG80" s="28">
        <f t="shared" si="9"/>
        <v>292.88246191634249</v>
      </c>
    </row>
    <row r="81" spans="1:33" ht="57.6" x14ac:dyDescent="0.3">
      <c r="A81" s="2" t="s">
        <v>836</v>
      </c>
      <c r="B81" s="4" t="s">
        <v>837</v>
      </c>
      <c r="C81" s="3" t="s">
        <v>857</v>
      </c>
      <c r="D81" s="6" t="s">
        <v>858</v>
      </c>
      <c r="E81" s="6" t="s">
        <v>862</v>
      </c>
      <c r="F81" s="6" t="s">
        <v>841</v>
      </c>
      <c r="G81" s="25">
        <v>0</v>
      </c>
      <c r="H81" s="38">
        <v>0</v>
      </c>
      <c r="I81" s="38">
        <v>0</v>
      </c>
      <c r="J81" s="39">
        <f t="shared" si="14"/>
        <v>0</v>
      </c>
      <c r="K81" s="38">
        <v>0</v>
      </c>
      <c r="L81" s="38">
        <v>0</v>
      </c>
      <c r="M81" s="39">
        <f t="shared" si="1"/>
        <v>0</v>
      </c>
      <c r="N81" s="38">
        <v>0</v>
      </c>
      <c r="O81" s="38">
        <v>0</v>
      </c>
      <c r="P81" s="39">
        <f t="shared" si="13"/>
        <v>0</v>
      </c>
      <c r="Q81" s="38">
        <v>0</v>
      </c>
      <c r="R81" s="38">
        <v>0</v>
      </c>
      <c r="S81" s="39">
        <f t="shared" si="3"/>
        <v>0</v>
      </c>
      <c r="T81" s="38">
        <v>0</v>
      </c>
      <c r="U81" s="38">
        <v>0</v>
      </c>
      <c r="V81" s="28">
        <f t="shared" si="10"/>
        <v>0</v>
      </c>
      <c r="Y81">
        <f t="shared" si="5"/>
        <v>0</v>
      </c>
      <c r="Z81" s="38">
        <v>0</v>
      </c>
      <c r="AA81" s="38">
        <v>0</v>
      </c>
      <c r="AB81">
        <f t="shared" si="12"/>
        <v>0</v>
      </c>
      <c r="AE81">
        <f t="shared" si="7"/>
        <v>0</v>
      </c>
      <c r="AF81" s="28">
        <f t="shared" si="8"/>
        <v>0</v>
      </c>
      <c r="AG81" s="28">
        <f t="shared" si="9"/>
        <v>0</v>
      </c>
    </row>
    <row r="82" spans="1:33" ht="57.6" x14ac:dyDescent="0.3">
      <c r="A82" s="2" t="s">
        <v>836</v>
      </c>
      <c r="B82" s="4" t="s">
        <v>837</v>
      </c>
      <c r="C82" s="3" t="s">
        <v>857</v>
      </c>
      <c r="D82" s="6" t="s">
        <v>863</v>
      </c>
      <c r="E82" s="6" t="s">
        <v>155</v>
      </c>
      <c r="F82" s="6" t="s">
        <v>841</v>
      </c>
      <c r="G82" s="25">
        <v>0</v>
      </c>
      <c r="H82" s="38">
        <v>0</v>
      </c>
      <c r="I82" s="38">
        <v>0</v>
      </c>
      <c r="J82" s="39">
        <f t="shared" si="14"/>
        <v>0</v>
      </c>
      <c r="K82" s="38">
        <v>0</v>
      </c>
      <c r="L82" s="38">
        <v>0</v>
      </c>
      <c r="M82" s="39">
        <f t="shared" si="1"/>
        <v>0</v>
      </c>
      <c r="N82" s="38">
        <v>0</v>
      </c>
      <c r="O82" s="38">
        <v>0</v>
      </c>
      <c r="P82" s="39">
        <f t="shared" si="13"/>
        <v>0</v>
      </c>
      <c r="Q82" s="38">
        <v>0</v>
      </c>
      <c r="R82" s="38">
        <v>0</v>
      </c>
      <c r="S82" s="39">
        <f t="shared" si="3"/>
        <v>0</v>
      </c>
      <c r="T82" s="38">
        <v>0</v>
      </c>
      <c r="U82" s="38">
        <v>0</v>
      </c>
      <c r="V82" s="28">
        <f t="shared" si="10"/>
        <v>0</v>
      </c>
      <c r="Y82">
        <f t="shared" si="5"/>
        <v>0</v>
      </c>
      <c r="Z82" s="38">
        <v>0</v>
      </c>
      <c r="AA82" s="38">
        <v>0</v>
      </c>
      <c r="AB82">
        <f t="shared" si="12"/>
        <v>0</v>
      </c>
      <c r="AE82">
        <f t="shared" si="7"/>
        <v>0</v>
      </c>
      <c r="AF82" s="28">
        <f t="shared" si="8"/>
        <v>0</v>
      </c>
      <c r="AG82" s="28">
        <f t="shared" si="9"/>
        <v>0</v>
      </c>
    </row>
    <row r="83" spans="1:33" ht="57.6" x14ac:dyDescent="0.3">
      <c r="A83" s="2" t="s">
        <v>836</v>
      </c>
      <c r="B83" s="4" t="s">
        <v>837</v>
      </c>
      <c r="C83" s="3" t="s">
        <v>857</v>
      </c>
      <c r="D83" s="6" t="s">
        <v>863</v>
      </c>
      <c r="E83" s="6" t="s">
        <v>864</v>
      </c>
      <c r="F83" s="6" t="s">
        <v>841</v>
      </c>
      <c r="G83" s="25">
        <v>0</v>
      </c>
      <c r="H83" s="38">
        <v>0</v>
      </c>
      <c r="I83" s="38">
        <v>0</v>
      </c>
      <c r="J83" s="39">
        <f t="shared" si="14"/>
        <v>0</v>
      </c>
      <c r="K83" s="38">
        <v>0</v>
      </c>
      <c r="L83" s="38">
        <v>0</v>
      </c>
      <c r="M83" s="39">
        <f t="shared" si="1"/>
        <v>0</v>
      </c>
      <c r="N83" s="38">
        <v>0</v>
      </c>
      <c r="O83" s="38">
        <v>0</v>
      </c>
      <c r="P83" s="39">
        <f t="shared" si="13"/>
        <v>0</v>
      </c>
      <c r="Q83" s="38">
        <v>0</v>
      </c>
      <c r="R83" s="38">
        <v>0</v>
      </c>
      <c r="S83" s="39">
        <f t="shared" si="3"/>
        <v>0</v>
      </c>
      <c r="T83" s="38">
        <v>0</v>
      </c>
      <c r="U83" s="38">
        <v>0</v>
      </c>
      <c r="V83" s="28">
        <f t="shared" si="10"/>
        <v>0</v>
      </c>
      <c r="Y83">
        <f t="shared" si="5"/>
        <v>0</v>
      </c>
      <c r="Z83" s="38">
        <v>0</v>
      </c>
      <c r="AA83" s="38">
        <v>0</v>
      </c>
      <c r="AB83">
        <f t="shared" si="12"/>
        <v>0</v>
      </c>
      <c r="AE83">
        <f t="shared" si="7"/>
        <v>0</v>
      </c>
      <c r="AF83" s="28">
        <f t="shared" si="8"/>
        <v>0</v>
      </c>
      <c r="AG83" s="28">
        <f t="shared" si="9"/>
        <v>0</v>
      </c>
    </row>
    <row r="84" spans="1:33" ht="57.6" x14ac:dyDescent="0.3">
      <c r="A84" s="2" t="s">
        <v>836</v>
      </c>
      <c r="B84" s="4" t="s">
        <v>837</v>
      </c>
      <c r="C84" s="3" t="s">
        <v>857</v>
      </c>
      <c r="D84" s="6" t="s">
        <v>863</v>
      </c>
      <c r="E84" s="6" t="s">
        <v>865</v>
      </c>
      <c r="F84" s="6" t="s">
        <v>707</v>
      </c>
      <c r="G84" s="25">
        <v>391991.03749999998</v>
      </c>
      <c r="H84" s="38">
        <v>1</v>
      </c>
      <c r="I84" s="38">
        <v>1</v>
      </c>
      <c r="J84" s="39">
        <f t="shared" si="14"/>
        <v>391991.03749999998</v>
      </c>
      <c r="K84" s="38">
        <v>0</v>
      </c>
      <c r="L84" s="38">
        <v>0</v>
      </c>
      <c r="M84" s="39">
        <f t="shared" si="1"/>
        <v>0</v>
      </c>
      <c r="N84" s="38">
        <v>1</v>
      </c>
      <c r="O84" s="38">
        <v>1</v>
      </c>
      <c r="P84" s="39">
        <f t="shared" si="13"/>
        <v>474309.15537499997</v>
      </c>
      <c r="Q84" s="38">
        <v>0</v>
      </c>
      <c r="R84" s="38">
        <v>0</v>
      </c>
      <c r="S84" s="39">
        <f t="shared" si="3"/>
        <v>0</v>
      </c>
      <c r="T84" s="38">
        <v>0</v>
      </c>
      <c r="U84" s="38">
        <v>0</v>
      </c>
      <c r="V84" s="28">
        <f t="shared" si="10"/>
        <v>0</v>
      </c>
      <c r="Y84">
        <f t="shared" si="5"/>
        <v>0</v>
      </c>
      <c r="Z84" s="38">
        <v>1</v>
      </c>
      <c r="AA84" s="38">
        <v>1</v>
      </c>
      <c r="AB84">
        <f t="shared" si="12"/>
        <v>694436.03438453784</v>
      </c>
      <c r="AE84">
        <f t="shared" si="7"/>
        <v>0</v>
      </c>
      <c r="AF84" s="28">
        <f t="shared" si="8"/>
        <v>1560736.2272595377</v>
      </c>
      <c r="AG84" s="28">
        <f t="shared" si="9"/>
        <v>1518.2259020034412</v>
      </c>
    </row>
    <row r="85" spans="1:33" ht="57.6" x14ac:dyDescent="0.3">
      <c r="A85" s="2" t="s">
        <v>836</v>
      </c>
      <c r="B85" s="4" t="s">
        <v>837</v>
      </c>
      <c r="C85" s="3" t="s">
        <v>857</v>
      </c>
      <c r="D85" s="6" t="s">
        <v>863</v>
      </c>
      <c r="E85" s="6" t="s">
        <v>865</v>
      </c>
      <c r="F85" s="6" t="s">
        <v>708</v>
      </c>
      <c r="G85" s="25">
        <f>500*1030</f>
        <v>515000</v>
      </c>
      <c r="H85" s="38">
        <v>1</v>
      </c>
      <c r="I85" s="38">
        <v>25</v>
      </c>
      <c r="J85" s="39">
        <f t="shared" si="14"/>
        <v>12875000</v>
      </c>
      <c r="K85" s="38">
        <v>0</v>
      </c>
      <c r="L85" s="38">
        <v>0</v>
      </c>
      <c r="M85" s="39">
        <f t="shared" si="1"/>
        <v>0</v>
      </c>
      <c r="N85" s="38">
        <v>1</v>
      </c>
      <c r="O85" s="38">
        <v>1</v>
      </c>
      <c r="P85" s="39">
        <f t="shared" si="13"/>
        <v>623150</v>
      </c>
      <c r="Q85" s="38">
        <v>0</v>
      </c>
      <c r="R85" s="38">
        <v>0</v>
      </c>
      <c r="S85" s="39">
        <f t="shared" si="3"/>
        <v>0</v>
      </c>
      <c r="T85" s="38">
        <v>0</v>
      </c>
      <c r="U85" s="38">
        <v>0</v>
      </c>
      <c r="V85" s="28">
        <f t="shared" si="10"/>
        <v>0</v>
      </c>
      <c r="Y85">
        <f t="shared" si="5"/>
        <v>0</v>
      </c>
      <c r="Z85" s="38">
        <v>1</v>
      </c>
      <c r="AA85" s="38">
        <v>1</v>
      </c>
      <c r="AB85">
        <f t="shared" si="12"/>
        <v>912353.91500000039</v>
      </c>
      <c r="AE85">
        <f t="shared" si="7"/>
        <v>0</v>
      </c>
      <c r="AF85" s="28">
        <f t="shared" si="8"/>
        <v>14410503.915000001</v>
      </c>
      <c r="AG85" s="28">
        <f t="shared" si="9"/>
        <v>14017.999917315175</v>
      </c>
    </row>
    <row r="86" spans="1:33" ht="57.6" x14ac:dyDescent="0.3">
      <c r="A86" s="2" t="s">
        <v>836</v>
      </c>
      <c r="B86" s="4" t="s">
        <v>837</v>
      </c>
      <c r="C86" s="3" t="s">
        <v>857</v>
      </c>
      <c r="D86" s="6" t="s">
        <v>863</v>
      </c>
      <c r="E86" s="6" t="s">
        <v>157</v>
      </c>
      <c r="F86" s="6" t="s">
        <v>713</v>
      </c>
      <c r="G86" s="25">
        <v>45000</v>
      </c>
      <c r="H86" s="38">
        <v>25</v>
      </c>
      <c r="I86" s="38">
        <v>5</v>
      </c>
      <c r="J86" s="39">
        <f t="shared" si="14"/>
        <v>5625000</v>
      </c>
      <c r="K86" s="38">
        <v>0</v>
      </c>
      <c r="L86" s="38">
        <v>0</v>
      </c>
      <c r="M86" s="39">
        <f t="shared" si="1"/>
        <v>0</v>
      </c>
      <c r="N86" s="38">
        <v>25</v>
      </c>
      <c r="O86" s="38">
        <v>5</v>
      </c>
      <c r="P86" s="39">
        <f t="shared" si="13"/>
        <v>6806250</v>
      </c>
      <c r="Q86" s="38">
        <v>0</v>
      </c>
      <c r="R86" s="38">
        <v>0</v>
      </c>
      <c r="S86" s="39">
        <f t="shared" si="3"/>
        <v>0</v>
      </c>
      <c r="T86" s="38">
        <v>0</v>
      </c>
      <c r="U86" s="38">
        <v>0</v>
      </c>
      <c r="V86" s="28">
        <f t="shared" si="10"/>
        <v>0</v>
      </c>
      <c r="Y86">
        <f t="shared" si="5"/>
        <v>0</v>
      </c>
      <c r="Z86" s="38">
        <v>25</v>
      </c>
      <c r="AA86" s="38">
        <v>5</v>
      </c>
      <c r="AB86">
        <f t="shared" si="12"/>
        <v>9965030.6250000037</v>
      </c>
      <c r="AE86">
        <f t="shared" si="7"/>
        <v>0</v>
      </c>
      <c r="AF86" s="28">
        <f t="shared" si="8"/>
        <v>22396280.625000004</v>
      </c>
      <c r="AG86" s="28">
        <f t="shared" si="9"/>
        <v>21786.265199416346</v>
      </c>
    </row>
    <row r="87" spans="1:33" ht="57.6" x14ac:dyDescent="0.3">
      <c r="A87" s="2" t="s">
        <v>836</v>
      </c>
      <c r="B87" s="4" t="s">
        <v>837</v>
      </c>
      <c r="C87" s="3" t="s">
        <v>857</v>
      </c>
      <c r="D87" s="6" t="s">
        <v>863</v>
      </c>
      <c r="E87" s="6" t="s">
        <v>157</v>
      </c>
      <c r="F87" s="6" t="s">
        <v>712</v>
      </c>
      <c r="G87" s="25">
        <f>1999/7</f>
        <v>285.57142857142856</v>
      </c>
      <c r="H87" s="38">
        <f>25</f>
        <v>25</v>
      </c>
      <c r="I87" s="38">
        <v>10</v>
      </c>
      <c r="J87" s="39">
        <f t="shared" si="14"/>
        <v>71392.85714285713</v>
      </c>
      <c r="K87" s="38">
        <v>0</v>
      </c>
      <c r="L87" s="38">
        <v>0</v>
      </c>
      <c r="M87" s="39">
        <f t="shared" si="1"/>
        <v>0</v>
      </c>
      <c r="N87" s="38">
        <f>25</f>
        <v>25</v>
      </c>
      <c r="O87" s="38">
        <v>10</v>
      </c>
      <c r="P87" s="39">
        <f t="shared" si="13"/>
        <v>86385.35714285713</v>
      </c>
      <c r="Q87" s="38">
        <v>0</v>
      </c>
      <c r="R87" s="38">
        <v>0</v>
      </c>
      <c r="S87" s="39">
        <f t="shared" si="3"/>
        <v>0</v>
      </c>
      <c r="T87" s="38">
        <v>0</v>
      </c>
      <c r="U87" s="38">
        <v>0</v>
      </c>
      <c r="V87" s="28">
        <f t="shared" si="10"/>
        <v>0</v>
      </c>
      <c r="Y87">
        <f t="shared" si="5"/>
        <v>0</v>
      </c>
      <c r="Z87" s="38">
        <f>25</f>
        <v>25</v>
      </c>
      <c r="AA87" s="38">
        <v>10</v>
      </c>
      <c r="AB87">
        <f t="shared" si="12"/>
        <v>126476.80139285719</v>
      </c>
      <c r="AE87">
        <f t="shared" si="7"/>
        <v>0</v>
      </c>
      <c r="AF87" s="28">
        <f t="shared" si="8"/>
        <v>284255.01567857142</v>
      </c>
      <c r="AG87" s="28">
        <f t="shared" si="9"/>
        <v>276.51266116592552</v>
      </c>
    </row>
    <row r="88" spans="1:33" ht="57.6" x14ac:dyDescent="0.3">
      <c r="A88" s="2" t="s">
        <v>836</v>
      </c>
      <c r="B88" s="4" t="s">
        <v>837</v>
      </c>
      <c r="C88" s="3" t="s">
        <v>857</v>
      </c>
      <c r="D88" s="6" t="s">
        <v>863</v>
      </c>
      <c r="E88" s="6" t="s">
        <v>157</v>
      </c>
      <c r="F88" s="6" t="s">
        <v>715</v>
      </c>
      <c r="G88" s="25">
        <v>302000</v>
      </c>
      <c r="H88" s="38">
        <v>15</v>
      </c>
      <c r="I88" s="38">
        <v>1</v>
      </c>
      <c r="J88" s="39">
        <f t="shared" si="14"/>
        <v>4530000</v>
      </c>
      <c r="K88" s="38">
        <v>0</v>
      </c>
      <c r="L88" s="38">
        <v>0</v>
      </c>
      <c r="M88" s="39">
        <f t="shared" si="1"/>
        <v>0</v>
      </c>
      <c r="N88" s="38">
        <v>15</v>
      </c>
      <c r="O88" s="38">
        <v>1</v>
      </c>
      <c r="P88" s="39">
        <f t="shared" si="13"/>
        <v>5481300</v>
      </c>
      <c r="Q88" s="38">
        <v>0</v>
      </c>
      <c r="R88" s="38">
        <v>0</v>
      </c>
      <c r="S88" s="39">
        <f t="shared" si="3"/>
        <v>0</v>
      </c>
      <c r="T88" s="38">
        <v>0</v>
      </c>
      <c r="U88" s="38">
        <v>0</v>
      </c>
      <c r="V88" s="28">
        <f t="shared" si="10"/>
        <v>0</v>
      </c>
      <c r="Y88">
        <f t="shared" si="5"/>
        <v>0</v>
      </c>
      <c r="Z88" s="38">
        <v>15</v>
      </c>
      <c r="AA88" s="38">
        <v>1</v>
      </c>
      <c r="AB88">
        <f t="shared" si="12"/>
        <v>8025171.3300000038</v>
      </c>
      <c r="AE88">
        <f t="shared" si="7"/>
        <v>0</v>
      </c>
      <c r="AF88" s="28">
        <f t="shared" si="8"/>
        <v>18036471.330000006</v>
      </c>
      <c r="AG88" s="28">
        <f t="shared" ref="AG88:AG176" si="15">AF88/$AL$2</f>
        <v>17545.205573929965</v>
      </c>
    </row>
    <row r="89" spans="1:33" ht="57.6" x14ac:dyDescent="0.3">
      <c r="A89" s="2" t="s">
        <v>836</v>
      </c>
      <c r="B89" s="4" t="s">
        <v>837</v>
      </c>
      <c r="C89" s="3" t="s">
        <v>857</v>
      </c>
      <c r="D89" s="6" t="s">
        <v>863</v>
      </c>
      <c r="E89" s="6" t="s">
        <v>157</v>
      </c>
      <c r="F89" s="6" t="s">
        <v>714</v>
      </c>
      <c r="G89" s="25">
        <v>10000</v>
      </c>
      <c r="H89" s="38">
        <v>15</v>
      </c>
      <c r="I89" s="38">
        <v>1</v>
      </c>
      <c r="J89" s="39">
        <f t="shared" si="14"/>
        <v>150000</v>
      </c>
      <c r="K89" s="38">
        <v>0</v>
      </c>
      <c r="L89" s="38">
        <v>0</v>
      </c>
      <c r="M89" s="39">
        <f t="shared" ref="M89:M177" si="16">(G89*1.1)*K89*L89</f>
        <v>0</v>
      </c>
      <c r="N89" s="38">
        <v>15</v>
      </c>
      <c r="O89" s="38">
        <v>1</v>
      </c>
      <c r="P89" s="39">
        <f t="shared" si="13"/>
        <v>181500</v>
      </c>
      <c r="Q89" s="38">
        <v>0</v>
      </c>
      <c r="R89" s="38">
        <v>0</v>
      </c>
      <c r="S89" s="39">
        <f t="shared" ref="S89:S177" si="17">(G89*1.1^3)*Q89*R89</f>
        <v>0</v>
      </c>
      <c r="T89" s="38">
        <v>0</v>
      </c>
      <c r="U89" s="38">
        <v>0</v>
      </c>
      <c r="V89" s="28">
        <f t="shared" si="10"/>
        <v>0</v>
      </c>
      <c r="Y89">
        <f t="shared" ref="Y89:Y177" si="18">(G89*1.1^5)*W89*X89</f>
        <v>0</v>
      </c>
      <c r="Z89" s="38">
        <v>15</v>
      </c>
      <c r="AA89" s="38">
        <v>1</v>
      </c>
      <c r="AB89">
        <f t="shared" si="12"/>
        <v>265734.15000000014</v>
      </c>
      <c r="AE89">
        <f t="shared" ref="AE89:AE177" si="19">(G89*1.1^7)*AC89*AD89</f>
        <v>0</v>
      </c>
      <c r="AF89" s="28">
        <f t="shared" ref="AF89:AF177" si="20">J89+M89+P89+S89+V89+Y89+AB89+AE89</f>
        <v>597234.15000000014</v>
      </c>
      <c r="AG89" s="28">
        <f t="shared" si="15"/>
        <v>580.96707198443596</v>
      </c>
    </row>
    <row r="90" spans="1:33" ht="57.6" x14ac:dyDescent="0.3">
      <c r="A90" s="2" t="s">
        <v>836</v>
      </c>
      <c r="B90" s="4" t="s">
        <v>837</v>
      </c>
      <c r="C90" s="3" t="s">
        <v>857</v>
      </c>
      <c r="D90" s="6" t="s">
        <v>863</v>
      </c>
      <c r="E90" s="6" t="s">
        <v>152</v>
      </c>
      <c r="F90" s="6" t="s">
        <v>709</v>
      </c>
      <c r="G90" s="25">
        <v>35000</v>
      </c>
      <c r="H90" s="38">
        <v>25</v>
      </c>
      <c r="I90" s="38">
        <v>5</v>
      </c>
      <c r="J90" s="39">
        <f t="shared" si="14"/>
        <v>4375000</v>
      </c>
      <c r="K90" s="38">
        <v>0</v>
      </c>
      <c r="L90" s="38">
        <v>0</v>
      </c>
      <c r="M90" s="39">
        <f t="shared" si="16"/>
        <v>0</v>
      </c>
      <c r="N90" s="38">
        <v>25</v>
      </c>
      <c r="O90" s="38">
        <v>5</v>
      </c>
      <c r="P90" s="39">
        <f t="shared" si="13"/>
        <v>5293750</v>
      </c>
      <c r="Q90" s="38">
        <v>0</v>
      </c>
      <c r="R90" s="38">
        <v>0</v>
      </c>
      <c r="S90" s="39">
        <f t="shared" si="17"/>
        <v>0</v>
      </c>
      <c r="T90" s="38">
        <v>0</v>
      </c>
      <c r="U90" s="38">
        <v>0</v>
      </c>
      <c r="V90" s="28">
        <f t="shared" si="10"/>
        <v>0</v>
      </c>
      <c r="Y90">
        <f t="shared" si="18"/>
        <v>0</v>
      </c>
      <c r="Z90" s="38">
        <v>25</v>
      </c>
      <c r="AA90" s="38">
        <v>5</v>
      </c>
      <c r="AB90">
        <f t="shared" si="12"/>
        <v>7750579.3750000037</v>
      </c>
      <c r="AE90">
        <f t="shared" si="19"/>
        <v>0</v>
      </c>
      <c r="AF90" s="28">
        <f t="shared" si="20"/>
        <v>17419329.375000004</v>
      </c>
      <c r="AG90" s="28">
        <f t="shared" si="15"/>
        <v>16944.872932879382</v>
      </c>
    </row>
    <row r="91" spans="1:33" ht="57.6" x14ac:dyDescent="0.3">
      <c r="A91" s="2" t="s">
        <v>836</v>
      </c>
      <c r="B91" s="4" t="s">
        <v>837</v>
      </c>
      <c r="C91" s="3" t="s">
        <v>857</v>
      </c>
      <c r="D91" s="6" t="s">
        <v>863</v>
      </c>
      <c r="E91" s="6" t="s">
        <v>152</v>
      </c>
      <c r="F91" s="6" t="s">
        <v>716</v>
      </c>
      <c r="G91" s="25">
        <v>39000</v>
      </c>
      <c r="H91" s="38">
        <v>25</v>
      </c>
      <c r="I91" s="38">
        <v>5</v>
      </c>
      <c r="J91" s="39">
        <f t="shared" si="14"/>
        <v>4875000</v>
      </c>
      <c r="K91" s="38">
        <v>0</v>
      </c>
      <c r="L91" s="38">
        <v>0</v>
      </c>
      <c r="M91" s="39">
        <f t="shared" si="16"/>
        <v>0</v>
      </c>
      <c r="N91" s="38">
        <v>25</v>
      </c>
      <c r="O91" s="38">
        <v>5</v>
      </c>
      <c r="P91" s="39">
        <f t="shared" si="13"/>
        <v>5898750</v>
      </c>
      <c r="Q91" s="38">
        <v>0</v>
      </c>
      <c r="R91" s="38">
        <v>0</v>
      </c>
      <c r="S91" s="39">
        <f t="shared" si="17"/>
        <v>0</v>
      </c>
      <c r="T91" s="38">
        <v>0</v>
      </c>
      <c r="U91" s="38">
        <v>0</v>
      </c>
      <c r="V91" s="28">
        <f t="shared" si="10"/>
        <v>0</v>
      </c>
      <c r="Y91">
        <f t="shared" si="18"/>
        <v>0</v>
      </c>
      <c r="Z91" s="38">
        <v>25</v>
      </c>
      <c r="AA91" s="38">
        <v>5</v>
      </c>
      <c r="AB91">
        <f t="shared" si="12"/>
        <v>8636359.8750000037</v>
      </c>
      <c r="AE91">
        <f t="shared" si="19"/>
        <v>0</v>
      </c>
      <c r="AF91" s="28">
        <f t="shared" si="20"/>
        <v>19410109.875000004</v>
      </c>
      <c r="AG91" s="28">
        <f t="shared" si="15"/>
        <v>18881.429839494169</v>
      </c>
    </row>
    <row r="92" spans="1:33" ht="57.6" x14ac:dyDescent="0.3">
      <c r="A92" s="2" t="s">
        <v>836</v>
      </c>
      <c r="B92" s="4" t="s">
        <v>837</v>
      </c>
      <c r="C92" s="3" t="s">
        <v>857</v>
      </c>
      <c r="D92" s="6" t="s">
        <v>863</v>
      </c>
      <c r="E92" s="6" t="s">
        <v>152</v>
      </c>
      <c r="F92" s="6" t="s">
        <v>1299</v>
      </c>
      <c r="G92" s="25">
        <f>1999/7</f>
        <v>285.57142857142856</v>
      </c>
      <c r="H92" s="38">
        <v>22500</v>
      </c>
      <c r="I92" s="38">
        <v>1</v>
      </c>
      <c r="J92" s="39">
        <f t="shared" si="14"/>
        <v>6425357.1428571427</v>
      </c>
      <c r="K92" s="38"/>
      <c r="L92" s="38"/>
      <c r="M92" s="39"/>
      <c r="N92" s="38">
        <v>22500</v>
      </c>
      <c r="O92" s="38">
        <v>1</v>
      </c>
      <c r="P92" s="39"/>
      <c r="Q92" s="38"/>
      <c r="R92" s="38"/>
      <c r="S92" s="39"/>
      <c r="T92" s="38"/>
      <c r="U92" s="38"/>
      <c r="V92" s="28"/>
      <c r="Z92" s="38">
        <v>22500</v>
      </c>
      <c r="AA92" s="38">
        <v>1</v>
      </c>
      <c r="AF92" s="28"/>
      <c r="AG92" s="28"/>
    </row>
    <row r="93" spans="1:33" ht="57.6" x14ac:dyDescent="0.3">
      <c r="A93" s="2" t="s">
        <v>836</v>
      </c>
      <c r="B93" s="4" t="s">
        <v>837</v>
      </c>
      <c r="C93" s="3" t="s">
        <v>857</v>
      </c>
      <c r="D93" s="6" t="s">
        <v>863</v>
      </c>
      <c r="E93" s="6" t="s">
        <v>152</v>
      </c>
      <c r="F93" s="6" t="s">
        <v>712</v>
      </c>
      <c r="G93" s="25">
        <f>1999/7</f>
        <v>285.57142857142856</v>
      </c>
      <c r="H93" s="38">
        <v>25</v>
      </c>
      <c r="I93" s="38">
        <v>10</v>
      </c>
      <c r="J93" s="39">
        <f t="shared" si="14"/>
        <v>71392.85714285713</v>
      </c>
      <c r="K93" s="38">
        <v>0</v>
      </c>
      <c r="L93" s="38">
        <v>0</v>
      </c>
      <c r="M93" s="39">
        <f t="shared" si="16"/>
        <v>0</v>
      </c>
      <c r="N93" s="38">
        <v>25</v>
      </c>
      <c r="O93" s="38">
        <v>10</v>
      </c>
      <c r="P93" s="39">
        <f t="shared" si="13"/>
        <v>86385.35714285713</v>
      </c>
      <c r="Q93" s="38">
        <v>0</v>
      </c>
      <c r="R93" s="38">
        <v>0</v>
      </c>
      <c r="S93" s="39">
        <f t="shared" si="17"/>
        <v>0</v>
      </c>
      <c r="T93" s="38">
        <v>0</v>
      </c>
      <c r="U93" s="38">
        <v>0</v>
      </c>
      <c r="V93" s="28">
        <f t="shared" si="10"/>
        <v>0</v>
      </c>
      <c r="Y93">
        <f t="shared" si="18"/>
        <v>0</v>
      </c>
      <c r="Z93" s="38">
        <v>25</v>
      </c>
      <c r="AA93" s="38">
        <v>10</v>
      </c>
      <c r="AB93">
        <f t="shared" si="12"/>
        <v>126476.80139285719</v>
      </c>
      <c r="AE93">
        <f t="shared" si="19"/>
        <v>0</v>
      </c>
      <c r="AF93" s="28">
        <f t="shared" si="20"/>
        <v>284255.01567857142</v>
      </c>
      <c r="AG93" s="28">
        <f t="shared" si="15"/>
        <v>276.51266116592552</v>
      </c>
    </row>
    <row r="94" spans="1:33" ht="57.6" x14ac:dyDescent="0.3">
      <c r="A94" s="2" t="s">
        <v>836</v>
      </c>
      <c r="B94" s="4" t="s">
        <v>837</v>
      </c>
      <c r="C94" s="3" t="s">
        <v>857</v>
      </c>
      <c r="D94" s="6" t="s">
        <v>863</v>
      </c>
      <c r="E94" s="6" t="s">
        <v>861</v>
      </c>
      <c r="F94" s="6" t="s">
        <v>841</v>
      </c>
      <c r="G94" s="25">
        <v>0</v>
      </c>
      <c r="H94" s="38">
        <v>0</v>
      </c>
      <c r="I94" s="38">
        <v>0</v>
      </c>
      <c r="J94" s="39">
        <f t="shared" si="14"/>
        <v>0</v>
      </c>
      <c r="K94" s="38">
        <v>0</v>
      </c>
      <c r="L94" s="38">
        <v>0</v>
      </c>
      <c r="M94" s="39">
        <f t="shared" si="16"/>
        <v>0</v>
      </c>
      <c r="N94" s="38">
        <v>0</v>
      </c>
      <c r="O94" s="38">
        <v>0</v>
      </c>
      <c r="P94" s="39">
        <f t="shared" si="13"/>
        <v>0</v>
      </c>
      <c r="Q94" s="38">
        <v>0</v>
      </c>
      <c r="R94" s="38">
        <v>0</v>
      </c>
      <c r="S94" s="39">
        <f t="shared" si="17"/>
        <v>0</v>
      </c>
      <c r="T94" s="38">
        <v>0</v>
      </c>
      <c r="U94" s="38">
        <v>0</v>
      </c>
      <c r="V94" s="28">
        <f t="shared" si="10"/>
        <v>0</v>
      </c>
      <c r="Y94">
        <f t="shared" si="18"/>
        <v>0</v>
      </c>
      <c r="Z94" s="38">
        <v>0</v>
      </c>
      <c r="AA94" s="38">
        <v>0</v>
      </c>
      <c r="AB94">
        <f t="shared" si="12"/>
        <v>0</v>
      </c>
      <c r="AE94">
        <f t="shared" si="19"/>
        <v>0</v>
      </c>
      <c r="AF94" s="28">
        <f t="shared" si="20"/>
        <v>0</v>
      </c>
      <c r="AG94" s="28">
        <f t="shared" si="15"/>
        <v>0</v>
      </c>
    </row>
    <row r="95" spans="1:33" ht="57.6" x14ac:dyDescent="0.3">
      <c r="A95" s="2" t="s">
        <v>836</v>
      </c>
      <c r="B95" s="4" t="s">
        <v>837</v>
      </c>
      <c r="C95" s="3" t="s">
        <v>857</v>
      </c>
      <c r="D95" s="6" t="s">
        <v>863</v>
      </c>
      <c r="E95" s="6" t="s">
        <v>1319</v>
      </c>
      <c r="F95" s="6" t="s">
        <v>709</v>
      </c>
      <c r="G95" s="25">
        <v>35000</v>
      </c>
      <c r="H95" s="38">
        <v>100</v>
      </c>
      <c r="I95" s="38">
        <v>5</v>
      </c>
      <c r="J95">
        <f t="shared" si="14"/>
        <v>17500000</v>
      </c>
      <c r="N95" s="38">
        <v>100</v>
      </c>
      <c r="O95" s="38">
        <v>5</v>
      </c>
      <c r="Z95" s="38">
        <v>100</v>
      </c>
      <c r="AA95" s="38">
        <v>5</v>
      </c>
    </row>
    <row r="96" spans="1:33" ht="57.6" x14ac:dyDescent="0.3">
      <c r="A96" s="2" t="s">
        <v>836</v>
      </c>
      <c r="B96" s="4" t="s">
        <v>837</v>
      </c>
      <c r="C96" s="3" t="s">
        <v>857</v>
      </c>
      <c r="D96" s="6" t="s">
        <v>863</v>
      </c>
      <c r="E96" s="6" t="s">
        <v>1319</v>
      </c>
      <c r="F96" s="6" t="s">
        <v>716</v>
      </c>
      <c r="G96" s="25">
        <v>39000</v>
      </c>
      <c r="H96" s="38">
        <v>58</v>
      </c>
      <c r="I96" s="38">
        <v>6</v>
      </c>
      <c r="J96" s="39">
        <f t="shared" si="14"/>
        <v>13572000</v>
      </c>
      <c r="K96" s="38"/>
      <c r="L96" s="38"/>
      <c r="M96" s="39"/>
      <c r="N96" s="38">
        <v>58</v>
      </c>
      <c r="O96" s="38">
        <v>6</v>
      </c>
      <c r="P96" s="39"/>
      <c r="Q96" s="38"/>
      <c r="R96" s="38"/>
      <c r="S96" s="39"/>
      <c r="T96" s="38"/>
      <c r="U96" s="38"/>
      <c r="V96" s="28"/>
      <c r="Z96" s="38">
        <v>58</v>
      </c>
      <c r="AA96" s="38">
        <v>6</v>
      </c>
      <c r="AF96" s="28"/>
      <c r="AG96" s="28"/>
    </row>
    <row r="97" spans="1:33" ht="57.6" x14ac:dyDescent="0.3">
      <c r="A97" s="2" t="s">
        <v>836</v>
      </c>
      <c r="B97" s="4" t="s">
        <v>837</v>
      </c>
      <c r="C97" s="3" t="s">
        <v>857</v>
      </c>
      <c r="D97" s="6" t="s">
        <v>863</v>
      </c>
      <c r="E97" s="6" t="s">
        <v>1319</v>
      </c>
      <c r="F97" s="6" t="s">
        <v>1349</v>
      </c>
      <c r="G97" s="25">
        <f>1999/7</f>
        <v>285.57142857142856</v>
      </c>
      <c r="H97" s="38">
        <f>25*2*29</f>
        <v>1450</v>
      </c>
      <c r="I97" s="38">
        <v>5</v>
      </c>
      <c r="J97" s="39">
        <f t="shared" si="14"/>
        <v>2070392.857142857</v>
      </c>
      <c r="K97" s="38"/>
      <c r="L97" s="38"/>
      <c r="M97" s="39"/>
      <c r="N97" s="38">
        <f>25*2*29</f>
        <v>1450</v>
      </c>
      <c r="O97" s="38">
        <v>5</v>
      </c>
      <c r="P97" s="39"/>
      <c r="Q97" s="38"/>
      <c r="R97" s="38"/>
      <c r="S97" s="39"/>
      <c r="T97" s="38"/>
      <c r="U97" s="38"/>
      <c r="V97" s="28"/>
      <c r="Z97" s="38">
        <f>25*2*29</f>
        <v>1450</v>
      </c>
      <c r="AA97" s="38">
        <v>5</v>
      </c>
      <c r="AF97" s="28"/>
      <c r="AG97" s="28"/>
    </row>
    <row r="98" spans="1:33" ht="57.6" x14ac:dyDescent="0.3">
      <c r="A98" s="2" t="s">
        <v>836</v>
      </c>
      <c r="B98" s="4" t="s">
        <v>837</v>
      </c>
      <c r="C98" s="3" t="s">
        <v>857</v>
      </c>
      <c r="D98" s="6" t="s">
        <v>863</v>
      </c>
      <c r="E98" s="6" t="s">
        <v>1319</v>
      </c>
      <c r="F98" s="75" t="s">
        <v>1350</v>
      </c>
      <c r="G98" s="25">
        <f>1999/7</f>
        <v>285.57142857142856</v>
      </c>
      <c r="H98" s="38">
        <v>22500</v>
      </c>
      <c r="I98" s="38">
        <v>1</v>
      </c>
      <c r="J98" s="39">
        <f t="shared" si="14"/>
        <v>6425357.1428571427</v>
      </c>
      <c r="K98" s="38"/>
      <c r="L98" s="38"/>
      <c r="M98" s="39"/>
      <c r="N98" s="38">
        <v>22500</v>
      </c>
      <c r="O98" s="38">
        <v>1</v>
      </c>
      <c r="P98" s="39"/>
      <c r="Q98" s="38"/>
      <c r="R98" s="38"/>
      <c r="S98" s="39"/>
      <c r="T98" s="38"/>
      <c r="U98" s="38"/>
      <c r="V98" s="28"/>
      <c r="Z98" s="38">
        <v>22500</v>
      </c>
      <c r="AA98" s="38">
        <v>1</v>
      </c>
      <c r="AF98" s="28"/>
      <c r="AG98" s="28"/>
    </row>
    <row r="99" spans="1:33" ht="57.6" x14ac:dyDescent="0.3">
      <c r="A99" s="2" t="s">
        <v>836</v>
      </c>
      <c r="B99" s="4" t="s">
        <v>837</v>
      </c>
      <c r="C99" s="3" t="s">
        <v>857</v>
      </c>
      <c r="D99" s="6" t="s">
        <v>863</v>
      </c>
      <c r="E99" s="6" t="s">
        <v>156</v>
      </c>
      <c r="F99" s="6" t="s">
        <v>709</v>
      </c>
      <c r="G99" s="25">
        <v>35000</v>
      </c>
      <c r="H99" s="38">
        <v>100</v>
      </c>
      <c r="I99" s="38">
        <v>2</v>
      </c>
      <c r="J99" s="39">
        <f t="shared" si="14"/>
        <v>7000000</v>
      </c>
      <c r="K99" s="38">
        <v>0</v>
      </c>
      <c r="L99" s="38">
        <v>0</v>
      </c>
      <c r="M99" s="39">
        <f t="shared" si="16"/>
        <v>0</v>
      </c>
      <c r="N99" s="38">
        <v>100</v>
      </c>
      <c r="O99" s="38">
        <v>2</v>
      </c>
      <c r="P99" s="39">
        <f t="shared" si="13"/>
        <v>8470000</v>
      </c>
      <c r="Q99" s="38">
        <v>0</v>
      </c>
      <c r="R99" s="38">
        <v>0</v>
      </c>
      <c r="S99" s="39">
        <f t="shared" si="17"/>
        <v>0</v>
      </c>
      <c r="T99" s="38">
        <v>0</v>
      </c>
      <c r="U99" s="38">
        <v>0</v>
      </c>
      <c r="V99" s="28">
        <f t="shared" si="10"/>
        <v>0</v>
      </c>
      <c r="Y99">
        <f t="shared" si="18"/>
        <v>0</v>
      </c>
      <c r="Z99" s="38">
        <v>100</v>
      </c>
      <c r="AA99" s="38">
        <v>2</v>
      </c>
      <c r="AB99">
        <f t="shared" si="12"/>
        <v>12400927.000000006</v>
      </c>
      <c r="AE99">
        <f t="shared" si="19"/>
        <v>0</v>
      </c>
      <c r="AF99" s="28">
        <f t="shared" si="20"/>
        <v>27870927.000000007</v>
      </c>
      <c r="AG99" s="28">
        <f t="shared" si="15"/>
        <v>27111.796692607011</v>
      </c>
    </row>
    <row r="100" spans="1:33" ht="57.6" x14ac:dyDescent="0.3">
      <c r="A100" s="2" t="s">
        <v>836</v>
      </c>
      <c r="B100" s="4" t="s">
        <v>837</v>
      </c>
      <c r="C100" s="3" t="s">
        <v>857</v>
      </c>
      <c r="D100" s="6" t="s">
        <v>863</v>
      </c>
      <c r="E100" s="6" t="s">
        <v>156</v>
      </c>
      <c r="F100" s="6" t="s">
        <v>716</v>
      </c>
      <c r="G100" s="25">
        <v>39000</v>
      </c>
      <c r="H100" s="38">
        <v>58</v>
      </c>
      <c r="I100" s="38">
        <v>2</v>
      </c>
      <c r="J100" s="39">
        <f t="shared" si="14"/>
        <v>4524000</v>
      </c>
      <c r="K100" s="38">
        <v>0</v>
      </c>
      <c r="L100" s="38">
        <v>0</v>
      </c>
      <c r="M100" s="39">
        <f t="shared" si="16"/>
        <v>0</v>
      </c>
      <c r="N100" s="38">
        <v>58</v>
      </c>
      <c r="O100" s="38">
        <v>2</v>
      </c>
      <c r="P100" s="39">
        <f t="shared" si="13"/>
        <v>5474040</v>
      </c>
      <c r="Q100" s="38">
        <v>0</v>
      </c>
      <c r="R100" s="38">
        <v>0</v>
      </c>
      <c r="S100" s="39">
        <f t="shared" si="17"/>
        <v>0</v>
      </c>
      <c r="T100" s="38">
        <v>0</v>
      </c>
      <c r="U100" s="38">
        <v>0</v>
      </c>
      <c r="V100" s="28">
        <f t="shared" si="10"/>
        <v>0</v>
      </c>
      <c r="Y100">
        <f t="shared" si="18"/>
        <v>0</v>
      </c>
      <c r="Z100" s="38">
        <v>58</v>
      </c>
      <c r="AA100" s="38">
        <v>2</v>
      </c>
      <c r="AB100">
        <f t="shared" si="12"/>
        <v>8014541.9640000034</v>
      </c>
      <c r="AE100">
        <f t="shared" si="19"/>
        <v>0</v>
      </c>
      <c r="AF100" s="28">
        <f t="shared" si="20"/>
        <v>18012581.964000002</v>
      </c>
      <c r="AG100" s="28">
        <f t="shared" si="15"/>
        <v>17521.966891050586</v>
      </c>
    </row>
    <row r="101" spans="1:33" ht="57.6" x14ac:dyDescent="0.3">
      <c r="A101" s="2" t="s">
        <v>836</v>
      </c>
      <c r="B101" s="4" t="s">
        <v>837</v>
      </c>
      <c r="C101" s="3" t="s">
        <v>857</v>
      </c>
      <c r="D101" s="6" t="s">
        <v>863</v>
      </c>
      <c r="E101" s="6" t="s">
        <v>156</v>
      </c>
      <c r="F101" s="6" t="s">
        <v>1297</v>
      </c>
      <c r="G101" s="25">
        <v>8000</v>
      </c>
      <c r="H101" s="38">
        <v>10</v>
      </c>
      <c r="I101" s="38">
        <v>1</v>
      </c>
      <c r="J101" s="39">
        <f t="shared" si="14"/>
        <v>80000</v>
      </c>
      <c r="K101" s="38">
        <v>0</v>
      </c>
      <c r="L101" s="38">
        <v>0</v>
      </c>
      <c r="M101" s="39">
        <f t="shared" si="16"/>
        <v>0</v>
      </c>
      <c r="N101" s="38">
        <v>10</v>
      </c>
      <c r="O101" s="38">
        <v>1</v>
      </c>
      <c r="P101" s="39">
        <f t="shared" si="13"/>
        <v>96800</v>
      </c>
      <c r="Q101" s="38">
        <v>0</v>
      </c>
      <c r="R101" s="38">
        <v>0</v>
      </c>
      <c r="S101" s="39">
        <f t="shared" si="17"/>
        <v>0</v>
      </c>
      <c r="T101" s="38">
        <v>0</v>
      </c>
      <c r="U101" s="38">
        <v>0</v>
      </c>
      <c r="V101" s="28">
        <f t="shared" ref="V101:V190" si="21">(G101*1.1^4)*T101*U101</f>
        <v>0</v>
      </c>
      <c r="Y101">
        <f t="shared" si="18"/>
        <v>0</v>
      </c>
      <c r="Z101" s="38">
        <v>10</v>
      </c>
      <c r="AA101" s="38">
        <v>1</v>
      </c>
      <c r="AB101">
        <f t="shared" si="12"/>
        <v>141724.88000000006</v>
      </c>
      <c r="AE101">
        <f t="shared" si="19"/>
        <v>0</v>
      </c>
      <c r="AF101" s="28">
        <f t="shared" si="20"/>
        <v>318524.88000000006</v>
      </c>
      <c r="AG101" s="28">
        <f t="shared" si="15"/>
        <v>309.84910505836581</v>
      </c>
    </row>
    <row r="102" spans="1:33" ht="57.6" x14ac:dyDescent="0.3">
      <c r="A102" s="2" t="s">
        <v>836</v>
      </c>
      <c r="B102" s="4" t="s">
        <v>837</v>
      </c>
      <c r="C102" s="3" t="s">
        <v>857</v>
      </c>
      <c r="D102" s="6" t="s">
        <v>863</v>
      </c>
      <c r="E102" s="6" t="s">
        <v>156</v>
      </c>
      <c r="F102" s="6" t="s">
        <v>717</v>
      </c>
      <c r="G102" s="25">
        <v>104850</v>
      </c>
      <c r="H102" s="38">
        <v>1</v>
      </c>
      <c r="I102" s="38">
        <v>1</v>
      </c>
      <c r="J102" s="39">
        <f t="shared" si="14"/>
        <v>104850</v>
      </c>
      <c r="K102" s="38">
        <v>0</v>
      </c>
      <c r="L102" s="38">
        <v>0</v>
      </c>
      <c r="M102" s="39">
        <f t="shared" si="16"/>
        <v>0</v>
      </c>
      <c r="N102" s="38">
        <v>1</v>
      </c>
      <c r="O102" s="38">
        <v>1</v>
      </c>
      <c r="P102" s="39">
        <f t="shared" si="13"/>
        <v>126868.5</v>
      </c>
      <c r="Q102" s="38">
        <v>0</v>
      </c>
      <c r="R102" s="38">
        <v>0</v>
      </c>
      <c r="S102" s="39">
        <f t="shared" si="17"/>
        <v>0</v>
      </c>
      <c r="T102" s="38">
        <v>0</v>
      </c>
      <c r="U102" s="38">
        <v>0</v>
      </c>
      <c r="V102" s="28">
        <f t="shared" si="21"/>
        <v>0</v>
      </c>
      <c r="Y102">
        <f t="shared" si="18"/>
        <v>0</v>
      </c>
      <c r="Z102" s="38">
        <v>1</v>
      </c>
      <c r="AA102" s="38">
        <v>1</v>
      </c>
      <c r="AB102">
        <f t="shared" si="12"/>
        <v>185748.17085000008</v>
      </c>
      <c r="AE102">
        <f t="shared" si="19"/>
        <v>0</v>
      </c>
      <c r="AF102" s="28">
        <f t="shared" si="20"/>
        <v>417466.67085000011</v>
      </c>
      <c r="AG102" s="28">
        <f t="shared" si="15"/>
        <v>406.09598331712073</v>
      </c>
    </row>
    <row r="103" spans="1:33" ht="57.6" x14ac:dyDescent="0.3">
      <c r="A103" s="2" t="s">
        <v>836</v>
      </c>
      <c r="B103" s="4" t="s">
        <v>837</v>
      </c>
      <c r="C103" s="3" t="s">
        <v>857</v>
      </c>
      <c r="D103" s="6" t="s">
        <v>863</v>
      </c>
      <c r="E103" s="6" t="s">
        <v>156</v>
      </c>
      <c r="F103" s="6" t="s">
        <v>712</v>
      </c>
      <c r="G103" s="25">
        <f>1999/7</f>
        <v>285.57142857142856</v>
      </c>
      <c r="H103" s="38">
        <f>25*2*29</f>
        <v>1450</v>
      </c>
      <c r="I103" s="38">
        <v>1</v>
      </c>
      <c r="J103" s="39">
        <f t="shared" si="14"/>
        <v>414078.57142857142</v>
      </c>
      <c r="K103" s="38"/>
      <c r="L103" s="38"/>
      <c r="M103" s="39"/>
      <c r="N103" s="38">
        <f>25*2*29</f>
        <v>1450</v>
      </c>
      <c r="O103" s="38">
        <v>1</v>
      </c>
      <c r="P103" s="39"/>
      <c r="Q103" s="38"/>
      <c r="R103" s="38"/>
      <c r="S103" s="39"/>
      <c r="T103" s="38"/>
      <c r="U103" s="38"/>
      <c r="V103" s="28"/>
      <c r="Z103" s="38">
        <f>25*2*29</f>
        <v>1450</v>
      </c>
      <c r="AA103" s="38">
        <v>1</v>
      </c>
      <c r="AF103" s="28"/>
      <c r="AG103" s="28"/>
    </row>
    <row r="104" spans="1:33" ht="57.6" x14ac:dyDescent="0.3">
      <c r="A104" s="2" t="s">
        <v>836</v>
      </c>
      <c r="B104" s="4" t="s">
        <v>837</v>
      </c>
      <c r="C104" s="3" t="s">
        <v>857</v>
      </c>
      <c r="D104" s="6" t="s">
        <v>863</v>
      </c>
      <c r="E104" s="6" t="s">
        <v>156</v>
      </c>
      <c r="F104" s="6" t="s">
        <v>1299</v>
      </c>
      <c r="G104" s="25">
        <f>1999/7</f>
        <v>285.57142857142856</v>
      </c>
      <c r="H104" s="38">
        <v>22500</v>
      </c>
      <c r="I104" s="38">
        <v>1</v>
      </c>
      <c r="J104" s="39">
        <f t="shared" si="14"/>
        <v>6425357.1428571427</v>
      </c>
      <c r="K104" s="38"/>
      <c r="L104" s="38"/>
      <c r="M104" s="39"/>
      <c r="N104" s="38">
        <v>22500</v>
      </c>
      <c r="O104" s="38">
        <v>1</v>
      </c>
      <c r="P104" s="39"/>
      <c r="Q104" s="38"/>
      <c r="R104" s="38"/>
      <c r="S104" s="39"/>
      <c r="T104" s="38"/>
      <c r="U104" s="38"/>
      <c r="V104" s="28"/>
      <c r="Z104" s="38">
        <v>22500</v>
      </c>
      <c r="AA104" s="38">
        <v>1</v>
      </c>
      <c r="AF104" s="28"/>
      <c r="AG104" s="28"/>
    </row>
    <row r="105" spans="1:33" ht="57.6" x14ac:dyDescent="0.3">
      <c r="A105" s="2" t="s">
        <v>836</v>
      </c>
      <c r="B105" s="4" t="s">
        <v>837</v>
      </c>
      <c r="C105" s="3" t="s">
        <v>857</v>
      </c>
      <c r="D105" s="6" t="s">
        <v>866</v>
      </c>
      <c r="E105" s="6" t="s">
        <v>840</v>
      </c>
      <c r="F105" s="6" t="s">
        <v>841</v>
      </c>
      <c r="G105" s="25">
        <v>0</v>
      </c>
      <c r="H105" s="38"/>
      <c r="I105" s="38"/>
      <c r="J105" s="39">
        <f t="shared" si="14"/>
        <v>0</v>
      </c>
      <c r="K105" s="38">
        <v>0</v>
      </c>
      <c r="L105" s="38">
        <v>0</v>
      </c>
      <c r="M105" s="39">
        <f t="shared" si="16"/>
        <v>0</v>
      </c>
      <c r="N105" s="38">
        <v>5</v>
      </c>
      <c r="O105" s="38">
        <v>1</v>
      </c>
      <c r="P105" s="39">
        <f t="shared" si="13"/>
        <v>0</v>
      </c>
      <c r="Q105" s="38">
        <v>0</v>
      </c>
      <c r="R105" s="38">
        <v>0</v>
      </c>
      <c r="S105" s="39">
        <f t="shared" si="17"/>
        <v>0</v>
      </c>
      <c r="T105" s="38">
        <v>0</v>
      </c>
      <c r="U105" s="38">
        <v>0</v>
      </c>
      <c r="V105" s="28">
        <f t="shared" si="21"/>
        <v>0</v>
      </c>
      <c r="Y105">
        <f t="shared" si="18"/>
        <v>0</v>
      </c>
      <c r="AB105">
        <f t="shared" ref="AB105:AB194" si="22">(G105*1.1^6)*Z105*AA105</f>
        <v>0</v>
      </c>
      <c r="AC105" s="38">
        <v>0</v>
      </c>
      <c r="AD105" s="38">
        <v>0</v>
      </c>
      <c r="AE105">
        <f t="shared" si="19"/>
        <v>0</v>
      </c>
      <c r="AF105" s="28">
        <f t="shared" si="20"/>
        <v>0</v>
      </c>
      <c r="AG105" s="28">
        <f t="shared" si="15"/>
        <v>0</v>
      </c>
    </row>
    <row r="106" spans="1:33" ht="57.6" x14ac:dyDescent="0.3">
      <c r="A106" s="2" t="s">
        <v>836</v>
      </c>
      <c r="B106" s="4" t="s">
        <v>837</v>
      </c>
      <c r="C106" s="3" t="s">
        <v>857</v>
      </c>
      <c r="D106" s="6" t="s">
        <v>866</v>
      </c>
      <c r="E106" s="6" t="s">
        <v>158</v>
      </c>
      <c r="F106" s="6" t="s">
        <v>841</v>
      </c>
      <c r="G106" s="25">
        <v>0</v>
      </c>
      <c r="H106" s="38"/>
      <c r="I106" s="38"/>
      <c r="J106" s="39">
        <f t="shared" si="14"/>
        <v>0</v>
      </c>
      <c r="K106" s="38">
        <v>0</v>
      </c>
      <c r="L106" s="38">
        <v>0</v>
      </c>
      <c r="M106" s="39">
        <f t="shared" si="16"/>
        <v>0</v>
      </c>
      <c r="N106" s="38"/>
      <c r="O106" s="38"/>
      <c r="P106" s="39">
        <f t="shared" si="13"/>
        <v>0</v>
      </c>
      <c r="Q106" s="38">
        <v>0</v>
      </c>
      <c r="R106" s="38">
        <v>0</v>
      </c>
      <c r="S106" s="39">
        <f t="shared" si="17"/>
        <v>0</v>
      </c>
      <c r="T106" s="38">
        <v>0</v>
      </c>
      <c r="U106" s="38">
        <v>0</v>
      </c>
      <c r="V106" s="28">
        <f t="shared" si="21"/>
        <v>0</v>
      </c>
      <c r="Y106">
        <f t="shared" si="18"/>
        <v>0</v>
      </c>
      <c r="AB106">
        <f t="shared" si="22"/>
        <v>0</v>
      </c>
      <c r="AC106" s="38">
        <v>0</v>
      </c>
      <c r="AD106" s="38">
        <v>0</v>
      </c>
      <c r="AE106">
        <f t="shared" si="19"/>
        <v>0</v>
      </c>
      <c r="AF106" s="28">
        <f t="shared" si="20"/>
        <v>0</v>
      </c>
      <c r="AG106" s="28">
        <f t="shared" si="15"/>
        <v>0</v>
      </c>
    </row>
    <row r="107" spans="1:33" ht="57.6" x14ac:dyDescent="0.3">
      <c r="A107" s="2" t="s">
        <v>836</v>
      </c>
      <c r="B107" s="4" t="s">
        <v>837</v>
      </c>
      <c r="C107" s="3" t="s">
        <v>857</v>
      </c>
      <c r="D107" s="6" t="s">
        <v>866</v>
      </c>
      <c r="E107" s="6" t="s">
        <v>867</v>
      </c>
      <c r="F107" s="6" t="s">
        <v>707</v>
      </c>
      <c r="G107" s="25">
        <v>391991.03749999998</v>
      </c>
      <c r="H107" s="38"/>
      <c r="I107" s="38"/>
      <c r="J107" s="39">
        <f t="shared" si="14"/>
        <v>0</v>
      </c>
      <c r="K107" s="38">
        <v>1</v>
      </c>
      <c r="L107" s="38">
        <v>1</v>
      </c>
      <c r="M107" s="39">
        <f t="shared" si="16"/>
        <v>431190.14124999999</v>
      </c>
      <c r="N107" s="38"/>
      <c r="O107" s="38"/>
      <c r="P107" s="39">
        <f t="shared" si="13"/>
        <v>0</v>
      </c>
      <c r="Q107" s="38">
        <v>0</v>
      </c>
      <c r="R107" s="38">
        <v>0</v>
      </c>
      <c r="S107" s="39">
        <f t="shared" si="17"/>
        <v>0</v>
      </c>
      <c r="T107" s="38">
        <v>1</v>
      </c>
      <c r="U107" s="38">
        <v>1</v>
      </c>
      <c r="V107" s="28">
        <f t="shared" si="21"/>
        <v>573914.07800375007</v>
      </c>
      <c r="Y107">
        <f t="shared" si="18"/>
        <v>0</v>
      </c>
      <c r="AB107">
        <f t="shared" si="22"/>
        <v>0</v>
      </c>
      <c r="AC107" s="38">
        <v>1</v>
      </c>
      <c r="AD107" s="38">
        <v>1</v>
      </c>
      <c r="AE107">
        <f t="shared" si="19"/>
        <v>763879.6378229917</v>
      </c>
      <c r="AF107" s="28">
        <f t="shared" si="20"/>
        <v>1768983.8570767418</v>
      </c>
      <c r="AG107" s="28">
        <f t="shared" si="15"/>
        <v>1720.8014173898266</v>
      </c>
    </row>
    <row r="108" spans="1:33" ht="57.6" x14ac:dyDescent="0.3">
      <c r="A108" s="2" t="s">
        <v>836</v>
      </c>
      <c r="B108" s="4" t="s">
        <v>837</v>
      </c>
      <c r="C108" s="3" t="s">
        <v>857</v>
      </c>
      <c r="D108" s="6" t="s">
        <v>866</v>
      </c>
      <c r="E108" s="6" t="s">
        <v>867</v>
      </c>
      <c r="F108" s="6" t="s">
        <v>708</v>
      </c>
      <c r="G108" s="25">
        <f>500*1030</f>
        <v>515000</v>
      </c>
      <c r="H108" s="38"/>
      <c r="I108" s="38"/>
      <c r="J108" s="39">
        <f t="shared" si="14"/>
        <v>0</v>
      </c>
      <c r="K108" s="38">
        <v>5</v>
      </c>
      <c r="L108" s="38">
        <v>45</v>
      </c>
      <c r="M108" s="39">
        <f t="shared" si="16"/>
        <v>127462500</v>
      </c>
      <c r="N108" s="38">
        <v>1</v>
      </c>
      <c r="O108" s="38">
        <v>6</v>
      </c>
      <c r="P108" s="39">
        <f t="shared" si="13"/>
        <v>3738900</v>
      </c>
      <c r="Q108" s="38">
        <v>0</v>
      </c>
      <c r="R108" s="38">
        <v>0</v>
      </c>
      <c r="S108" s="39">
        <f t="shared" si="17"/>
        <v>0</v>
      </c>
      <c r="T108" s="38">
        <v>5</v>
      </c>
      <c r="U108" s="38">
        <v>45</v>
      </c>
      <c r="V108" s="28">
        <f t="shared" si="21"/>
        <v>169652587.50000003</v>
      </c>
      <c r="Y108">
        <f t="shared" si="18"/>
        <v>0</v>
      </c>
      <c r="AB108">
        <f t="shared" si="22"/>
        <v>0</v>
      </c>
      <c r="AC108" s="38">
        <v>5</v>
      </c>
      <c r="AD108" s="38">
        <v>45</v>
      </c>
      <c r="AE108">
        <f t="shared" si="19"/>
        <v>225807593.96250015</v>
      </c>
      <c r="AF108" s="28">
        <f t="shared" si="20"/>
        <v>526661581.46250015</v>
      </c>
      <c r="AG108" s="28">
        <f t="shared" si="15"/>
        <v>512316.71348492231</v>
      </c>
    </row>
    <row r="109" spans="1:33" ht="57.6" x14ac:dyDescent="0.3">
      <c r="A109" s="2" t="s">
        <v>836</v>
      </c>
      <c r="B109" s="4" t="s">
        <v>837</v>
      </c>
      <c r="C109" s="3" t="s">
        <v>857</v>
      </c>
      <c r="D109" s="6" t="s">
        <v>866</v>
      </c>
      <c r="E109" s="6" t="s">
        <v>151</v>
      </c>
      <c r="F109" s="6" t="s">
        <v>713</v>
      </c>
      <c r="G109" s="25">
        <v>45000</v>
      </c>
      <c r="H109" s="38"/>
      <c r="I109" s="38"/>
      <c r="J109" s="39">
        <f t="shared" si="14"/>
        <v>0</v>
      </c>
      <c r="K109" s="38">
        <v>25</v>
      </c>
      <c r="L109" s="38">
        <v>5</v>
      </c>
      <c r="M109" s="39">
        <f t="shared" si="16"/>
        <v>6187500.0000000009</v>
      </c>
      <c r="N109" s="38">
        <v>1</v>
      </c>
      <c r="O109" s="38">
        <v>40</v>
      </c>
      <c r="P109" s="39">
        <f t="shared" si="13"/>
        <v>2178000</v>
      </c>
      <c r="Q109" s="38">
        <v>0</v>
      </c>
      <c r="R109" s="38">
        <v>0</v>
      </c>
      <c r="S109" s="39">
        <f t="shared" si="17"/>
        <v>0</v>
      </c>
      <c r="T109" s="38">
        <v>25</v>
      </c>
      <c r="U109" s="38">
        <v>5</v>
      </c>
      <c r="V109" s="28">
        <f t="shared" si="21"/>
        <v>8235562.5000000019</v>
      </c>
      <c r="Y109">
        <f t="shared" si="18"/>
        <v>0</v>
      </c>
      <c r="AB109">
        <f t="shared" si="22"/>
        <v>0</v>
      </c>
      <c r="AC109" s="38">
        <v>25</v>
      </c>
      <c r="AD109" s="38">
        <v>5</v>
      </c>
      <c r="AE109">
        <f t="shared" si="19"/>
        <v>10961533.687500006</v>
      </c>
      <c r="AF109" s="28">
        <f t="shared" si="20"/>
        <v>27562596.187500007</v>
      </c>
      <c r="AG109" s="28">
        <f t="shared" si="15"/>
        <v>26811.863995622574</v>
      </c>
    </row>
    <row r="110" spans="1:33" ht="57.6" x14ac:dyDescent="0.3">
      <c r="A110" s="2" t="s">
        <v>836</v>
      </c>
      <c r="B110" s="4" t="s">
        <v>837</v>
      </c>
      <c r="C110" s="3" t="s">
        <v>857</v>
      </c>
      <c r="D110" s="6" t="s">
        <v>866</v>
      </c>
      <c r="E110" s="6" t="s">
        <v>151</v>
      </c>
      <c r="F110" s="6" t="s">
        <v>712</v>
      </c>
      <c r="G110" s="25">
        <f>1999/7</f>
        <v>285.57142857142856</v>
      </c>
      <c r="H110" s="38"/>
      <c r="I110" s="38"/>
      <c r="J110" s="39">
        <f t="shared" si="14"/>
        <v>0</v>
      </c>
      <c r="K110" s="38">
        <f>25*2*29</f>
        <v>1450</v>
      </c>
      <c r="L110" s="38">
        <v>5</v>
      </c>
      <c r="M110" s="39">
        <f t="shared" si="16"/>
        <v>2277432.1428571427</v>
      </c>
      <c r="N110" s="38">
        <v>25</v>
      </c>
      <c r="O110" s="38">
        <v>10</v>
      </c>
      <c r="P110" s="39">
        <f t="shared" si="13"/>
        <v>86385.35714285713</v>
      </c>
      <c r="Q110" s="38">
        <v>0</v>
      </c>
      <c r="R110" s="38">
        <v>0</v>
      </c>
      <c r="S110" s="39">
        <f t="shared" si="17"/>
        <v>0</v>
      </c>
      <c r="T110" s="38">
        <f>25*2*29</f>
        <v>1450</v>
      </c>
      <c r="U110" s="38">
        <v>5</v>
      </c>
      <c r="V110" s="28">
        <f t="shared" si="21"/>
        <v>3031262.1821428579</v>
      </c>
      <c r="Y110">
        <f t="shared" si="18"/>
        <v>0</v>
      </c>
      <c r="AB110">
        <f t="shared" si="22"/>
        <v>0</v>
      </c>
      <c r="AC110" s="38">
        <f>25*2*29</f>
        <v>1450</v>
      </c>
      <c r="AD110" s="38">
        <v>5</v>
      </c>
      <c r="AE110">
        <f t="shared" si="19"/>
        <v>4034609.9644321455</v>
      </c>
      <c r="AF110" s="28">
        <f t="shared" si="20"/>
        <v>9429689.6465750039</v>
      </c>
      <c r="AG110" s="28">
        <f t="shared" si="15"/>
        <v>9172.8498507538952</v>
      </c>
    </row>
    <row r="111" spans="1:33" ht="57.6" x14ac:dyDescent="0.3">
      <c r="A111" s="2" t="s">
        <v>836</v>
      </c>
      <c r="B111" s="4" t="s">
        <v>837</v>
      </c>
      <c r="C111" s="3" t="s">
        <v>857</v>
      </c>
      <c r="D111" s="6" t="s">
        <v>866</v>
      </c>
      <c r="E111" s="6" t="s">
        <v>151</v>
      </c>
      <c r="F111" s="6" t="s">
        <v>1299</v>
      </c>
      <c r="G111" s="25">
        <f>1999/7</f>
        <v>285.57142857142856</v>
      </c>
      <c r="H111" s="38"/>
      <c r="I111" s="38"/>
      <c r="J111" s="39">
        <f t="shared" si="14"/>
        <v>0</v>
      </c>
      <c r="K111" s="38">
        <v>22500</v>
      </c>
      <c r="L111" s="38">
        <v>1</v>
      </c>
      <c r="M111" s="39"/>
      <c r="N111" s="38"/>
      <c r="O111" s="38"/>
      <c r="P111" s="39"/>
      <c r="Q111" s="38"/>
      <c r="R111" s="38"/>
      <c r="S111" s="39"/>
      <c r="T111" s="38">
        <v>22500</v>
      </c>
      <c r="U111" s="38">
        <v>1</v>
      </c>
      <c r="V111" s="28"/>
      <c r="Y111">
        <f t="shared" si="18"/>
        <v>0</v>
      </c>
      <c r="AB111">
        <f t="shared" si="22"/>
        <v>0</v>
      </c>
      <c r="AC111" s="38">
        <v>22500</v>
      </c>
      <c r="AD111" s="38">
        <v>1</v>
      </c>
      <c r="AE111">
        <f t="shared" si="19"/>
        <v>12521203.337892864</v>
      </c>
      <c r="AF111" s="28"/>
      <c r="AG111" s="28"/>
    </row>
    <row r="112" spans="1:33" ht="57.6" x14ac:dyDescent="0.3">
      <c r="A112" s="2" t="s">
        <v>836</v>
      </c>
      <c r="B112" s="4" t="s">
        <v>837</v>
      </c>
      <c r="C112" s="3" t="s">
        <v>857</v>
      </c>
      <c r="D112" s="6" t="s">
        <v>866</v>
      </c>
      <c r="E112" s="6" t="s">
        <v>151</v>
      </c>
      <c r="F112" s="6" t="s">
        <v>715</v>
      </c>
      <c r="G112" s="25">
        <v>302000</v>
      </c>
      <c r="H112" s="38"/>
      <c r="I112" s="38"/>
      <c r="J112" s="39">
        <f t="shared" si="14"/>
        <v>0</v>
      </c>
      <c r="K112" s="38">
        <v>15</v>
      </c>
      <c r="L112" s="38">
        <v>1</v>
      </c>
      <c r="M112" s="39">
        <f t="shared" si="16"/>
        <v>4983000</v>
      </c>
      <c r="N112" s="38">
        <v>20000</v>
      </c>
      <c r="O112" s="38">
        <v>1</v>
      </c>
      <c r="P112" s="39">
        <f t="shared" si="13"/>
        <v>7308400000</v>
      </c>
      <c r="Q112" s="38">
        <v>0</v>
      </c>
      <c r="R112" s="38">
        <v>0</v>
      </c>
      <c r="S112" s="39">
        <f t="shared" si="17"/>
        <v>0</v>
      </c>
      <c r="T112" s="38">
        <v>15</v>
      </c>
      <c r="U112" s="38">
        <v>1</v>
      </c>
      <c r="V112" s="28">
        <f t="shared" si="21"/>
        <v>6632373.0000000019</v>
      </c>
      <c r="Y112">
        <f t="shared" si="18"/>
        <v>0</v>
      </c>
      <c r="AB112">
        <f t="shared" si="22"/>
        <v>0</v>
      </c>
      <c r="AC112" s="38">
        <v>15</v>
      </c>
      <c r="AD112" s="38">
        <v>1</v>
      </c>
      <c r="AE112">
        <f t="shared" si="19"/>
        <v>8827688.4630000051</v>
      </c>
      <c r="AF112" s="28">
        <f t="shared" si="20"/>
        <v>7328843061.4630003</v>
      </c>
      <c r="AG112" s="28">
        <f t="shared" si="15"/>
        <v>7129224.7679601172</v>
      </c>
    </row>
    <row r="113" spans="1:33" ht="57.6" x14ac:dyDescent="0.3">
      <c r="A113" s="2" t="s">
        <v>836</v>
      </c>
      <c r="B113" s="4" t="s">
        <v>837</v>
      </c>
      <c r="C113" s="3" t="s">
        <v>857</v>
      </c>
      <c r="D113" s="6" t="s">
        <v>866</v>
      </c>
      <c r="E113" s="6" t="s">
        <v>151</v>
      </c>
      <c r="F113" s="6" t="s">
        <v>714</v>
      </c>
      <c r="G113" s="25">
        <v>10000</v>
      </c>
      <c r="H113" s="38"/>
      <c r="I113" s="38"/>
      <c r="J113" s="39">
        <f t="shared" si="14"/>
        <v>0</v>
      </c>
      <c r="K113" s="38">
        <v>15</v>
      </c>
      <c r="L113" s="38">
        <v>1</v>
      </c>
      <c r="M113" s="39">
        <f t="shared" si="16"/>
        <v>165000</v>
      </c>
      <c r="N113" s="38">
        <v>20</v>
      </c>
      <c r="O113" s="38">
        <v>1</v>
      </c>
      <c r="P113" s="39">
        <f t="shared" si="13"/>
        <v>242000</v>
      </c>
      <c r="Q113" s="38">
        <v>0</v>
      </c>
      <c r="R113" s="38">
        <v>0</v>
      </c>
      <c r="S113" s="39">
        <f t="shared" si="17"/>
        <v>0</v>
      </c>
      <c r="T113" s="38">
        <v>15</v>
      </c>
      <c r="U113" s="38">
        <v>1</v>
      </c>
      <c r="V113" s="28">
        <f t="shared" si="21"/>
        <v>219615.00000000006</v>
      </c>
      <c r="Y113">
        <f t="shared" si="18"/>
        <v>0</v>
      </c>
      <c r="AB113">
        <f t="shared" si="22"/>
        <v>0</v>
      </c>
      <c r="AC113" s="38">
        <v>15</v>
      </c>
      <c r="AD113" s="38">
        <v>1</v>
      </c>
      <c r="AE113">
        <f t="shared" si="19"/>
        <v>292307.56500000018</v>
      </c>
      <c r="AF113" s="28">
        <f t="shared" si="20"/>
        <v>918922.56500000018</v>
      </c>
      <c r="AG113" s="28">
        <f t="shared" si="15"/>
        <v>893.8935457198445</v>
      </c>
    </row>
    <row r="114" spans="1:33" ht="57.6" x14ac:dyDescent="0.3">
      <c r="A114" s="2" t="s">
        <v>836</v>
      </c>
      <c r="B114" s="4" t="s">
        <v>837</v>
      </c>
      <c r="C114" s="3" t="s">
        <v>857</v>
      </c>
      <c r="D114" s="6" t="s">
        <v>866</v>
      </c>
      <c r="E114" s="6" t="s">
        <v>152</v>
      </c>
      <c r="F114" s="6" t="s">
        <v>716</v>
      </c>
      <c r="G114" s="25">
        <v>39000</v>
      </c>
      <c r="H114" s="38"/>
      <c r="I114" s="38"/>
      <c r="J114" s="39">
        <f t="shared" si="14"/>
        <v>0</v>
      </c>
      <c r="K114" s="38">
        <v>25</v>
      </c>
      <c r="L114" s="38">
        <v>5</v>
      </c>
      <c r="M114" s="39">
        <f t="shared" si="16"/>
        <v>5362500</v>
      </c>
      <c r="N114" s="38">
        <v>15</v>
      </c>
      <c r="O114" s="38">
        <v>1</v>
      </c>
      <c r="P114" s="39">
        <f t="shared" si="13"/>
        <v>707850</v>
      </c>
      <c r="Q114" s="38">
        <v>0</v>
      </c>
      <c r="R114" s="38">
        <v>0</v>
      </c>
      <c r="S114" s="39">
        <f t="shared" si="17"/>
        <v>0</v>
      </c>
      <c r="T114" s="38">
        <v>25</v>
      </c>
      <c r="U114" s="38">
        <v>5</v>
      </c>
      <c r="V114" s="28">
        <f t="shared" si="21"/>
        <v>7137487.5000000019</v>
      </c>
      <c r="Y114">
        <f t="shared" si="18"/>
        <v>0</v>
      </c>
      <c r="AB114">
        <f t="shared" si="22"/>
        <v>0</v>
      </c>
      <c r="AC114" s="38">
        <v>25</v>
      </c>
      <c r="AD114" s="38">
        <v>5</v>
      </c>
      <c r="AE114">
        <f t="shared" si="19"/>
        <v>9499995.8625000045</v>
      </c>
      <c r="AF114" s="28">
        <f t="shared" si="20"/>
        <v>22707833.362500004</v>
      </c>
      <c r="AG114" s="28">
        <f t="shared" si="15"/>
        <v>22089.332064688719</v>
      </c>
    </row>
    <row r="115" spans="1:33" ht="57.6" x14ac:dyDescent="0.3">
      <c r="A115" s="2" t="s">
        <v>836</v>
      </c>
      <c r="B115" s="4" t="s">
        <v>837</v>
      </c>
      <c r="C115" s="3" t="s">
        <v>857</v>
      </c>
      <c r="D115" s="6" t="s">
        <v>866</v>
      </c>
      <c r="E115" s="6" t="s">
        <v>152</v>
      </c>
      <c r="F115" s="6" t="s">
        <v>709</v>
      </c>
      <c r="G115" s="25">
        <v>35000</v>
      </c>
      <c r="H115" s="38"/>
      <c r="I115" s="38"/>
      <c r="J115" s="39">
        <f t="shared" si="14"/>
        <v>0</v>
      </c>
      <c r="K115" s="38">
        <v>25</v>
      </c>
      <c r="L115" s="38">
        <v>5</v>
      </c>
      <c r="M115" s="39">
        <f t="shared" si="16"/>
        <v>4812500</v>
      </c>
      <c r="N115" s="38">
        <v>25</v>
      </c>
      <c r="O115" s="38">
        <v>5</v>
      </c>
      <c r="P115" s="39">
        <f t="shared" si="13"/>
        <v>5293750</v>
      </c>
      <c r="Q115" s="38">
        <v>0</v>
      </c>
      <c r="R115" s="38">
        <v>0</v>
      </c>
      <c r="S115" s="39">
        <f t="shared" si="17"/>
        <v>0</v>
      </c>
      <c r="T115" s="38">
        <v>25</v>
      </c>
      <c r="U115" s="38">
        <v>5</v>
      </c>
      <c r="V115" s="28">
        <f t="shared" si="21"/>
        <v>6405437.5000000019</v>
      </c>
      <c r="Y115">
        <f t="shared" si="18"/>
        <v>0</v>
      </c>
      <c r="AB115">
        <f t="shared" si="22"/>
        <v>0</v>
      </c>
      <c r="AC115" s="38">
        <v>25</v>
      </c>
      <c r="AD115" s="38">
        <v>5</v>
      </c>
      <c r="AE115">
        <f t="shared" si="19"/>
        <v>8525637.3125000037</v>
      </c>
      <c r="AF115" s="28">
        <f t="shared" si="20"/>
        <v>25037324.812500007</v>
      </c>
      <c r="AG115" s="28">
        <f t="shared" si="15"/>
        <v>24355.374331225688</v>
      </c>
    </row>
    <row r="116" spans="1:33" ht="57.6" x14ac:dyDescent="0.3">
      <c r="A116" s="2" t="s">
        <v>836</v>
      </c>
      <c r="B116" s="4" t="s">
        <v>837</v>
      </c>
      <c r="C116" s="3" t="s">
        <v>857</v>
      </c>
      <c r="D116" s="6" t="s">
        <v>866</v>
      </c>
      <c r="E116" s="6" t="s">
        <v>152</v>
      </c>
      <c r="F116" s="6" t="s">
        <v>712</v>
      </c>
      <c r="G116" s="25">
        <f>1999/7</f>
        <v>285.57142857142856</v>
      </c>
      <c r="H116" s="38"/>
      <c r="I116" s="38"/>
      <c r="J116" s="39">
        <f t="shared" si="14"/>
        <v>0</v>
      </c>
      <c r="K116" s="38">
        <v>25</v>
      </c>
      <c r="L116" s="38">
        <v>10</v>
      </c>
      <c r="M116" s="39">
        <f t="shared" si="16"/>
        <v>78532.14285714287</v>
      </c>
      <c r="N116" s="38">
        <v>25</v>
      </c>
      <c r="O116" s="38">
        <v>5</v>
      </c>
      <c r="P116" s="39">
        <f t="shared" si="13"/>
        <v>43192.678571428565</v>
      </c>
      <c r="Q116" s="38">
        <v>0</v>
      </c>
      <c r="R116" s="38">
        <v>0</v>
      </c>
      <c r="S116" s="39">
        <f t="shared" si="17"/>
        <v>0</v>
      </c>
      <c r="T116" s="38">
        <v>25</v>
      </c>
      <c r="U116" s="38">
        <v>10</v>
      </c>
      <c r="V116" s="28">
        <f t="shared" si="21"/>
        <v>104526.28214285716</v>
      </c>
      <c r="Y116">
        <f t="shared" si="18"/>
        <v>0</v>
      </c>
      <c r="AB116">
        <f t="shared" si="22"/>
        <v>0</v>
      </c>
      <c r="AC116" s="38">
        <v>25</v>
      </c>
      <c r="AD116" s="38">
        <v>10</v>
      </c>
      <c r="AE116">
        <f t="shared" si="19"/>
        <v>139124.48153214293</v>
      </c>
      <c r="AF116" s="28">
        <f t="shared" si="20"/>
        <v>365375.58510357153</v>
      </c>
      <c r="AG116" s="28">
        <f t="shared" si="15"/>
        <v>355.42372091787115</v>
      </c>
    </row>
    <row r="117" spans="1:33" ht="57.6" x14ac:dyDescent="0.3">
      <c r="A117" s="2" t="s">
        <v>836</v>
      </c>
      <c r="B117" s="4" t="s">
        <v>837</v>
      </c>
      <c r="C117" s="3" t="s">
        <v>857</v>
      </c>
      <c r="D117" s="6" t="s">
        <v>866</v>
      </c>
      <c r="E117" s="6" t="s">
        <v>152</v>
      </c>
      <c r="F117" s="6" t="s">
        <v>1299</v>
      </c>
      <c r="G117" s="25">
        <f>1999/7</f>
        <v>285.57142857142856</v>
      </c>
      <c r="H117" s="38"/>
      <c r="I117" s="38"/>
      <c r="J117" s="39">
        <f t="shared" si="14"/>
        <v>0</v>
      </c>
      <c r="K117" s="38">
        <v>22500</v>
      </c>
      <c r="L117" s="38">
        <v>1</v>
      </c>
      <c r="M117" s="39"/>
      <c r="N117" s="38"/>
      <c r="O117" s="38"/>
      <c r="P117" s="39"/>
      <c r="Q117" s="38"/>
      <c r="R117" s="38"/>
      <c r="S117" s="39"/>
      <c r="T117" s="38">
        <v>22500</v>
      </c>
      <c r="U117" s="38">
        <v>1</v>
      </c>
      <c r="V117" s="28"/>
      <c r="AC117" s="38">
        <v>22500</v>
      </c>
      <c r="AD117" s="38">
        <v>1</v>
      </c>
      <c r="AF117" s="28"/>
      <c r="AG117" s="28"/>
    </row>
    <row r="118" spans="1:33" ht="57.6" x14ac:dyDescent="0.3">
      <c r="A118" s="2" t="s">
        <v>836</v>
      </c>
      <c r="B118" s="4" t="s">
        <v>837</v>
      </c>
      <c r="C118" s="3" t="s">
        <v>857</v>
      </c>
      <c r="D118" s="6" t="s">
        <v>866</v>
      </c>
      <c r="E118" s="6" t="s">
        <v>1351</v>
      </c>
      <c r="F118" s="6" t="s">
        <v>841</v>
      </c>
      <c r="G118" s="25">
        <v>0</v>
      </c>
      <c r="H118" s="38"/>
      <c r="I118" s="38"/>
      <c r="J118" s="39">
        <f t="shared" si="14"/>
        <v>0</v>
      </c>
      <c r="K118" s="38">
        <v>0</v>
      </c>
      <c r="L118" s="38">
        <v>0</v>
      </c>
      <c r="M118" s="39">
        <f t="shared" si="16"/>
        <v>0</v>
      </c>
      <c r="N118" s="38">
        <v>4000</v>
      </c>
      <c r="O118" s="38">
        <v>1</v>
      </c>
      <c r="P118" s="39">
        <f t="shared" si="13"/>
        <v>0</v>
      </c>
      <c r="Q118" s="38">
        <v>0</v>
      </c>
      <c r="R118" s="38">
        <v>0</v>
      </c>
      <c r="S118" s="39">
        <f t="shared" si="17"/>
        <v>0</v>
      </c>
      <c r="T118" s="38">
        <v>0</v>
      </c>
      <c r="U118" s="38">
        <v>0</v>
      </c>
      <c r="V118" s="28">
        <f t="shared" si="21"/>
        <v>0</v>
      </c>
      <c r="Y118">
        <f t="shared" si="18"/>
        <v>0</v>
      </c>
      <c r="AB118">
        <f t="shared" si="22"/>
        <v>0</v>
      </c>
      <c r="AC118" s="38">
        <v>0</v>
      </c>
      <c r="AD118" s="38">
        <v>0</v>
      </c>
      <c r="AE118">
        <f t="shared" si="19"/>
        <v>0</v>
      </c>
      <c r="AF118" s="28">
        <f t="shared" si="20"/>
        <v>0</v>
      </c>
      <c r="AG118" s="28">
        <f t="shared" si="15"/>
        <v>0</v>
      </c>
    </row>
    <row r="119" spans="1:33" ht="57.6" x14ac:dyDescent="0.3">
      <c r="A119" s="2" t="s">
        <v>836</v>
      </c>
      <c r="B119" s="4" t="s">
        <v>837</v>
      </c>
      <c r="C119" s="3" t="s">
        <v>857</v>
      </c>
      <c r="D119" s="6" t="s">
        <v>866</v>
      </c>
      <c r="E119" s="6" t="s">
        <v>1319</v>
      </c>
      <c r="F119" s="6" t="s">
        <v>709</v>
      </c>
      <c r="G119" s="25">
        <v>35000</v>
      </c>
      <c r="H119" s="38"/>
      <c r="I119" s="38"/>
      <c r="J119" s="39">
        <f t="shared" si="14"/>
        <v>0</v>
      </c>
      <c r="K119" s="38">
        <v>100</v>
      </c>
      <c r="L119" s="38">
        <v>1</v>
      </c>
      <c r="M119" s="39"/>
      <c r="N119" s="38"/>
      <c r="O119" s="38"/>
      <c r="P119" s="39"/>
      <c r="Q119" s="38"/>
      <c r="R119" s="38"/>
      <c r="S119" s="39"/>
      <c r="T119" s="38">
        <v>100</v>
      </c>
      <c r="U119" s="38">
        <v>1</v>
      </c>
      <c r="V119" s="28"/>
      <c r="AC119" s="38">
        <v>100</v>
      </c>
      <c r="AD119" s="38">
        <v>1</v>
      </c>
      <c r="AF119" s="28"/>
      <c r="AG119" s="28"/>
    </row>
    <row r="120" spans="1:33" ht="57.6" x14ac:dyDescent="0.3">
      <c r="A120" s="2" t="s">
        <v>836</v>
      </c>
      <c r="B120" s="4" t="s">
        <v>837</v>
      </c>
      <c r="C120" s="3" t="s">
        <v>857</v>
      </c>
      <c r="D120" s="6" t="s">
        <v>866</v>
      </c>
      <c r="E120" s="6" t="s">
        <v>1319</v>
      </c>
      <c r="F120" s="6" t="s">
        <v>716</v>
      </c>
      <c r="G120" s="25">
        <v>39000</v>
      </c>
      <c r="H120" s="38"/>
      <c r="I120" s="38"/>
      <c r="J120" s="39">
        <f t="shared" si="14"/>
        <v>0</v>
      </c>
      <c r="K120" s="38">
        <v>58</v>
      </c>
      <c r="L120" s="38">
        <v>2</v>
      </c>
      <c r="M120" s="39"/>
      <c r="N120" s="38"/>
      <c r="O120" s="38"/>
      <c r="P120" s="39"/>
      <c r="Q120" s="38"/>
      <c r="R120" s="38"/>
      <c r="S120" s="39"/>
      <c r="T120" s="38">
        <v>58</v>
      </c>
      <c r="U120" s="38">
        <v>2</v>
      </c>
      <c r="V120" s="28"/>
      <c r="AC120" s="38">
        <v>58</v>
      </c>
      <c r="AD120" s="38">
        <v>2</v>
      </c>
      <c r="AF120" s="28"/>
      <c r="AG120" s="28"/>
    </row>
    <row r="121" spans="1:33" ht="57.6" x14ac:dyDescent="0.3">
      <c r="A121" s="2" t="s">
        <v>836</v>
      </c>
      <c r="B121" s="4" t="s">
        <v>837</v>
      </c>
      <c r="C121" s="3" t="s">
        <v>857</v>
      </c>
      <c r="D121" s="6" t="s">
        <v>866</v>
      </c>
      <c r="E121" s="6" t="s">
        <v>1319</v>
      </c>
      <c r="F121" s="6" t="s">
        <v>1349</v>
      </c>
      <c r="G121" s="25">
        <f>1999/7</f>
        <v>285.57142857142856</v>
      </c>
      <c r="H121" s="38"/>
      <c r="I121" s="38"/>
      <c r="J121" s="39">
        <f t="shared" si="14"/>
        <v>0</v>
      </c>
      <c r="K121" s="38">
        <f>25*2*29</f>
        <v>1450</v>
      </c>
      <c r="L121" s="38">
        <v>1</v>
      </c>
      <c r="M121" s="39"/>
      <c r="N121" s="38"/>
      <c r="O121" s="38"/>
      <c r="P121" s="39"/>
      <c r="Q121" s="38"/>
      <c r="R121" s="38"/>
      <c r="S121" s="39"/>
      <c r="T121" s="38">
        <f>25*2*29</f>
        <v>1450</v>
      </c>
      <c r="U121" s="38">
        <v>1</v>
      </c>
      <c r="V121" s="28"/>
      <c r="AC121" s="38">
        <f>25*2*29</f>
        <v>1450</v>
      </c>
      <c r="AD121" s="38">
        <v>1</v>
      </c>
      <c r="AF121" s="28"/>
      <c r="AG121" s="28"/>
    </row>
    <row r="122" spans="1:33" ht="57.6" x14ac:dyDescent="0.3">
      <c r="A122" s="2" t="s">
        <v>836</v>
      </c>
      <c r="B122" s="4" t="s">
        <v>837</v>
      </c>
      <c r="C122" s="3" t="s">
        <v>857</v>
      </c>
      <c r="D122" s="6" t="s">
        <v>866</v>
      </c>
      <c r="E122" s="6" t="s">
        <v>1319</v>
      </c>
      <c r="F122" s="75" t="s">
        <v>1350</v>
      </c>
      <c r="G122" s="25">
        <f>1999/7</f>
        <v>285.57142857142856</v>
      </c>
      <c r="H122" s="38"/>
      <c r="I122" s="38"/>
      <c r="J122" s="39">
        <f t="shared" si="14"/>
        <v>0</v>
      </c>
      <c r="K122" s="38">
        <v>22500</v>
      </c>
      <c r="L122" s="38">
        <v>1</v>
      </c>
      <c r="M122" s="39"/>
      <c r="N122" s="38"/>
      <c r="O122" s="38"/>
      <c r="P122" s="39"/>
      <c r="Q122" s="38"/>
      <c r="R122" s="38"/>
      <c r="S122" s="39"/>
      <c r="T122" s="38">
        <v>22500</v>
      </c>
      <c r="U122" s="38">
        <v>1</v>
      </c>
      <c r="V122" s="28"/>
      <c r="AC122" s="38">
        <v>22500</v>
      </c>
      <c r="AD122" s="38">
        <v>1</v>
      </c>
      <c r="AF122" s="28"/>
      <c r="AG122" s="28"/>
    </row>
    <row r="123" spans="1:33" ht="57.6" x14ac:dyDescent="0.3">
      <c r="A123" s="2" t="s">
        <v>836</v>
      </c>
      <c r="B123" s="4" t="s">
        <v>837</v>
      </c>
      <c r="C123" s="3" t="s">
        <v>857</v>
      </c>
      <c r="D123" s="6" t="s">
        <v>866</v>
      </c>
      <c r="E123" s="6" t="s">
        <v>868</v>
      </c>
      <c r="F123" s="6" t="s">
        <v>709</v>
      </c>
      <c r="G123" s="25">
        <v>35000</v>
      </c>
      <c r="H123" s="38"/>
      <c r="I123" s="38"/>
      <c r="J123" s="39">
        <f t="shared" si="14"/>
        <v>0</v>
      </c>
      <c r="K123" s="38">
        <v>25</v>
      </c>
      <c r="L123" s="38">
        <v>5</v>
      </c>
      <c r="M123" s="39">
        <f t="shared" si="16"/>
        <v>4812500</v>
      </c>
      <c r="N123" s="38">
        <v>25</v>
      </c>
      <c r="O123" s="38">
        <v>5</v>
      </c>
      <c r="P123" s="39">
        <f t="shared" ref="P123:P213" si="23">(G123*1.21)*N123*O123</f>
        <v>5293750</v>
      </c>
      <c r="Q123" s="38">
        <v>0</v>
      </c>
      <c r="R123" s="38">
        <v>0</v>
      </c>
      <c r="S123" s="39">
        <f t="shared" si="17"/>
        <v>0</v>
      </c>
      <c r="T123" s="38">
        <v>25</v>
      </c>
      <c r="U123" s="38">
        <v>5</v>
      </c>
      <c r="V123" s="28">
        <f t="shared" si="21"/>
        <v>6405437.5000000019</v>
      </c>
      <c r="Y123">
        <f t="shared" si="18"/>
        <v>0</v>
      </c>
      <c r="AB123">
        <f t="shared" si="22"/>
        <v>0</v>
      </c>
      <c r="AC123" s="38">
        <v>25</v>
      </c>
      <c r="AD123" s="38">
        <v>5</v>
      </c>
      <c r="AE123">
        <f t="shared" si="19"/>
        <v>8525637.3125000037</v>
      </c>
      <c r="AF123" s="28">
        <f t="shared" si="20"/>
        <v>25037324.812500007</v>
      </c>
      <c r="AG123" s="28">
        <f t="shared" si="15"/>
        <v>24355.374331225688</v>
      </c>
    </row>
    <row r="124" spans="1:33" ht="57.6" x14ac:dyDescent="0.3">
      <c r="A124" s="2" t="s">
        <v>836</v>
      </c>
      <c r="B124" s="4" t="s">
        <v>837</v>
      </c>
      <c r="C124" s="3" t="s">
        <v>857</v>
      </c>
      <c r="D124" s="6" t="s">
        <v>866</v>
      </c>
      <c r="E124" s="6" t="s">
        <v>868</v>
      </c>
      <c r="F124" s="6" t="s">
        <v>712</v>
      </c>
      <c r="G124" s="25">
        <f>1999/7</f>
        <v>285.57142857142856</v>
      </c>
      <c r="H124" s="38"/>
      <c r="I124" s="38"/>
      <c r="J124" s="39">
        <f t="shared" si="14"/>
        <v>0</v>
      </c>
      <c r="K124" s="38">
        <f>25*2*29</f>
        <v>1450</v>
      </c>
      <c r="L124" s="38">
        <v>5</v>
      </c>
      <c r="M124" s="39">
        <f t="shared" si="16"/>
        <v>2277432.1428571427</v>
      </c>
      <c r="N124" s="38">
        <v>25</v>
      </c>
      <c r="O124" s="38">
        <v>5</v>
      </c>
      <c r="P124" s="39">
        <f t="shared" si="23"/>
        <v>43192.678571428565</v>
      </c>
      <c r="Q124" s="38">
        <v>0</v>
      </c>
      <c r="R124" s="38">
        <v>0</v>
      </c>
      <c r="S124" s="39">
        <f t="shared" si="17"/>
        <v>0</v>
      </c>
      <c r="T124" s="38">
        <f>25*2*29</f>
        <v>1450</v>
      </c>
      <c r="U124" s="38">
        <v>5</v>
      </c>
      <c r="V124" s="28">
        <f t="shared" si="21"/>
        <v>3031262.1821428579</v>
      </c>
      <c r="Y124">
        <f t="shared" si="18"/>
        <v>0</v>
      </c>
      <c r="AB124">
        <f t="shared" si="22"/>
        <v>0</v>
      </c>
      <c r="AC124" s="38">
        <f>25*2*29</f>
        <v>1450</v>
      </c>
      <c r="AD124" s="38">
        <v>5</v>
      </c>
      <c r="AE124">
        <f t="shared" si="19"/>
        <v>4034609.9644321455</v>
      </c>
      <c r="AF124" s="28">
        <f t="shared" si="20"/>
        <v>9386496.9680035748</v>
      </c>
      <c r="AG124" s="28">
        <f t="shared" si="15"/>
        <v>9130.8336264626214</v>
      </c>
    </row>
    <row r="125" spans="1:33" ht="57.6" x14ac:dyDescent="0.3">
      <c r="A125" s="2" t="s">
        <v>836</v>
      </c>
      <c r="B125" s="4" t="s">
        <v>837</v>
      </c>
      <c r="C125" s="3" t="s">
        <v>857</v>
      </c>
      <c r="D125" s="6" t="s">
        <v>866</v>
      </c>
      <c r="E125" s="6" t="s">
        <v>868</v>
      </c>
      <c r="F125" s="6" t="s">
        <v>1299</v>
      </c>
      <c r="G125" s="25">
        <f>1999/7</f>
        <v>285.57142857142856</v>
      </c>
      <c r="H125" s="38"/>
      <c r="I125" s="38"/>
      <c r="J125" s="39">
        <f t="shared" si="14"/>
        <v>0</v>
      </c>
      <c r="K125" s="38">
        <v>22500</v>
      </c>
      <c r="L125" s="38">
        <v>1</v>
      </c>
      <c r="M125" s="39"/>
      <c r="N125" s="38"/>
      <c r="O125" s="38"/>
      <c r="P125" s="39"/>
      <c r="Q125" s="38"/>
      <c r="R125" s="38"/>
      <c r="S125" s="39"/>
      <c r="T125" s="38">
        <v>22500</v>
      </c>
      <c r="U125" s="38">
        <v>1</v>
      </c>
      <c r="V125" s="28"/>
      <c r="Y125">
        <f t="shared" si="18"/>
        <v>0</v>
      </c>
      <c r="AB125">
        <f t="shared" si="22"/>
        <v>0</v>
      </c>
      <c r="AC125" s="38">
        <v>22500</v>
      </c>
      <c r="AD125" s="38">
        <v>1</v>
      </c>
      <c r="AE125">
        <f t="shared" si="19"/>
        <v>12521203.337892864</v>
      </c>
      <c r="AF125" s="28"/>
      <c r="AG125" s="28"/>
    </row>
    <row r="126" spans="1:33" ht="57.6" x14ac:dyDescent="0.3">
      <c r="A126" s="2" t="s">
        <v>836</v>
      </c>
      <c r="B126" s="4" t="s">
        <v>837</v>
      </c>
      <c r="C126" s="3" t="s">
        <v>857</v>
      </c>
      <c r="D126" s="6" t="s">
        <v>866</v>
      </c>
      <c r="E126" s="6" t="s">
        <v>869</v>
      </c>
      <c r="F126" s="6" t="s">
        <v>841</v>
      </c>
      <c r="G126" s="25">
        <v>0</v>
      </c>
      <c r="H126" s="38"/>
      <c r="I126" s="38"/>
      <c r="J126" s="39">
        <f t="shared" si="14"/>
        <v>0</v>
      </c>
      <c r="K126" s="38">
        <v>0</v>
      </c>
      <c r="L126" s="38">
        <v>0</v>
      </c>
      <c r="M126" s="39">
        <f t="shared" si="16"/>
        <v>0</v>
      </c>
      <c r="N126" s="38">
        <v>4000</v>
      </c>
      <c r="O126" s="38">
        <v>1</v>
      </c>
      <c r="P126" s="39">
        <f t="shared" si="23"/>
        <v>0</v>
      </c>
      <c r="Q126" s="38">
        <v>0</v>
      </c>
      <c r="R126" s="38">
        <v>0</v>
      </c>
      <c r="S126" s="39">
        <f t="shared" si="17"/>
        <v>0</v>
      </c>
      <c r="T126" s="38">
        <v>0</v>
      </c>
      <c r="U126" s="38">
        <v>0</v>
      </c>
      <c r="V126" s="28">
        <f t="shared" si="21"/>
        <v>0</v>
      </c>
      <c r="Y126">
        <f t="shared" si="18"/>
        <v>0</v>
      </c>
      <c r="AB126">
        <f t="shared" si="22"/>
        <v>0</v>
      </c>
      <c r="AC126" s="38">
        <v>0</v>
      </c>
      <c r="AD126" s="38">
        <v>0</v>
      </c>
      <c r="AE126">
        <f t="shared" si="19"/>
        <v>0</v>
      </c>
      <c r="AF126" s="28">
        <f t="shared" si="20"/>
        <v>0</v>
      </c>
      <c r="AG126" s="28">
        <f t="shared" si="15"/>
        <v>0</v>
      </c>
    </row>
    <row r="127" spans="1:33" ht="57.6" x14ac:dyDescent="0.3">
      <c r="A127" s="2" t="s">
        <v>836</v>
      </c>
      <c r="B127" s="4" t="s">
        <v>837</v>
      </c>
      <c r="C127" s="3" t="s">
        <v>857</v>
      </c>
      <c r="D127" s="6" t="s">
        <v>870</v>
      </c>
      <c r="E127" s="6" t="s">
        <v>155</v>
      </c>
      <c r="F127" s="6" t="s">
        <v>841</v>
      </c>
      <c r="G127" s="25">
        <v>0</v>
      </c>
      <c r="H127" s="38"/>
      <c r="I127" s="38"/>
      <c r="J127" s="39">
        <f t="shared" si="14"/>
        <v>0</v>
      </c>
      <c r="K127" s="38">
        <v>0</v>
      </c>
      <c r="L127" s="38">
        <v>0</v>
      </c>
      <c r="M127" s="39">
        <f t="shared" si="16"/>
        <v>0</v>
      </c>
      <c r="N127" s="38">
        <v>0</v>
      </c>
      <c r="O127" s="38">
        <v>0</v>
      </c>
      <c r="P127" s="39">
        <f t="shared" si="23"/>
        <v>0</v>
      </c>
      <c r="Q127" s="38">
        <v>0</v>
      </c>
      <c r="R127" s="38">
        <v>0</v>
      </c>
      <c r="S127" s="39">
        <f t="shared" si="17"/>
        <v>0</v>
      </c>
      <c r="T127" s="38">
        <v>0</v>
      </c>
      <c r="U127" s="38">
        <v>0</v>
      </c>
      <c r="V127" s="28">
        <f t="shared" si="21"/>
        <v>0</v>
      </c>
      <c r="W127" s="38">
        <v>0</v>
      </c>
      <c r="X127" s="38">
        <v>0</v>
      </c>
      <c r="Y127">
        <f t="shared" si="18"/>
        <v>0</v>
      </c>
      <c r="Z127" s="38">
        <v>0</v>
      </c>
      <c r="AA127" s="38">
        <v>0</v>
      </c>
      <c r="AB127">
        <f t="shared" si="22"/>
        <v>0</v>
      </c>
      <c r="AC127" s="38">
        <v>0</v>
      </c>
      <c r="AD127" s="38">
        <v>0</v>
      </c>
      <c r="AE127">
        <f t="shared" si="19"/>
        <v>0</v>
      </c>
      <c r="AF127" s="28">
        <f t="shared" si="20"/>
        <v>0</v>
      </c>
      <c r="AG127" s="28">
        <f t="shared" si="15"/>
        <v>0</v>
      </c>
    </row>
    <row r="128" spans="1:33" ht="57.6" x14ac:dyDescent="0.3">
      <c r="A128" s="2" t="s">
        <v>836</v>
      </c>
      <c r="B128" s="4" t="s">
        <v>837</v>
      </c>
      <c r="C128" s="3" t="s">
        <v>857</v>
      </c>
      <c r="D128" s="6" t="s">
        <v>870</v>
      </c>
      <c r="E128" s="6" t="s">
        <v>158</v>
      </c>
      <c r="F128" s="6" t="s">
        <v>841</v>
      </c>
      <c r="G128" s="25">
        <v>0</v>
      </c>
      <c r="H128" s="38"/>
      <c r="I128" s="38"/>
      <c r="J128" s="39">
        <f t="shared" si="14"/>
        <v>0</v>
      </c>
      <c r="K128" s="38">
        <v>0</v>
      </c>
      <c r="L128" s="38">
        <v>0</v>
      </c>
      <c r="M128" s="39">
        <f t="shared" si="16"/>
        <v>0</v>
      </c>
      <c r="N128" s="38">
        <v>0</v>
      </c>
      <c r="O128" s="38">
        <v>0</v>
      </c>
      <c r="P128" s="39">
        <f t="shared" si="23"/>
        <v>0</v>
      </c>
      <c r="Q128" s="38">
        <v>0</v>
      </c>
      <c r="R128" s="38">
        <v>0</v>
      </c>
      <c r="S128" s="39">
        <f t="shared" si="17"/>
        <v>0</v>
      </c>
      <c r="T128" s="38">
        <v>0</v>
      </c>
      <c r="U128" s="38">
        <v>0</v>
      </c>
      <c r="V128" s="28">
        <f t="shared" si="21"/>
        <v>0</v>
      </c>
      <c r="W128" s="38">
        <v>0</v>
      </c>
      <c r="X128" s="38">
        <v>0</v>
      </c>
      <c r="Y128">
        <f t="shared" si="18"/>
        <v>0</v>
      </c>
      <c r="Z128" s="38">
        <v>0</v>
      </c>
      <c r="AA128" s="38">
        <v>0</v>
      </c>
      <c r="AB128">
        <f t="shared" si="22"/>
        <v>0</v>
      </c>
      <c r="AC128" s="38">
        <v>0</v>
      </c>
      <c r="AD128" s="38">
        <v>0</v>
      </c>
      <c r="AE128">
        <f t="shared" si="19"/>
        <v>0</v>
      </c>
      <c r="AF128" s="28">
        <f t="shared" si="20"/>
        <v>0</v>
      </c>
      <c r="AG128" s="28">
        <f t="shared" si="15"/>
        <v>0</v>
      </c>
    </row>
    <row r="129" spans="1:33" ht="57.6" x14ac:dyDescent="0.3">
      <c r="A129" s="2" t="s">
        <v>836</v>
      </c>
      <c r="B129" s="4" t="s">
        <v>837</v>
      </c>
      <c r="C129" s="3" t="s">
        <v>857</v>
      </c>
      <c r="D129" s="6" t="s">
        <v>870</v>
      </c>
      <c r="E129" s="6" t="s">
        <v>1352</v>
      </c>
      <c r="F129" s="6" t="s">
        <v>716</v>
      </c>
      <c r="G129" s="25">
        <v>39000</v>
      </c>
      <c r="H129" s="38"/>
      <c r="I129" s="38"/>
      <c r="J129" s="39">
        <f t="shared" si="14"/>
        <v>0</v>
      </c>
      <c r="K129" s="38">
        <v>25</v>
      </c>
      <c r="L129" s="38">
        <v>6</v>
      </c>
      <c r="M129" s="39">
        <f t="shared" si="16"/>
        <v>6435000</v>
      </c>
      <c r="N129" s="38">
        <v>25</v>
      </c>
      <c r="O129" s="38">
        <v>6</v>
      </c>
      <c r="P129" s="39">
        <f t="shared" si="23"/>
        <v>7078500</v>
      </c>
      <c r="Q129" s="38">
        <v>25</v>
      </c>
      <c r="R129" s="38">
        <v>6</v>
      </c>
      <c r="S129" s="39">
        <f t="shared" si="17"/>
        <v>7786350.0000000028</v>
      </c>
      <c r="T129" s="38">
        <v>25</v>
      </c>
      <c r="U129" s="38">
        <v>6</v>
      </c>
      <c r="V129" s="28">
        <f t="shared" si="21"/>
        <v>8564985.0000000037</v>
      </c>
      <c r="W129" s="38">
        <v>25</v>
      </c>
      <c r="X129" s="38">
        <v>6</v>
      </c>
      <c r="Y129">
        <f t="shared" si="18"/>
        <v>9421483.5000000037</v>
      </c>
      <c r="Z129" s="38">
        <v>25</v>
      </c>
      <c r="AA129" s="38">
        <v>6</v>
      </c>
      <c r="AB129">
        <f t="shared" si="22"/>
        <v>10363631.850000005</v>
      </c>
      <c r="AC129" s="38">
        <v>25</v>
      </c>
      <c r="AD129" s="38">
        <v>6</v>
      </c>
      <c r="AE129">
        <f t="shared" si="19"/>
        <v>11399995.035000006</v>
      </c>
      <c r="AF129" s="28">
        <f t="shared" si="20"/>
        <v>61049945.385000028</v>
      </c>
      <c r="AG129" s="28">
        <f t="shared" si="15"/>
        <v>59387.106405642051</v>
      </c>
    </row>
    <row r="130" spans="1:33" ht="57.6" x14ac:dyDescent="0.3">
      <c r="A130" s="2" t="s">
        <v>836</v>
      </c>
      <c r="B130" s="4" t="s">
        <v>837</v>
      </c>
      <c r="C130" s="3" t="s">
        <v>857</v>
      </c>
      <c r="D130" s="6" t="s">
        <v>870</v>
      </c>
      <c r="E130" s="6" t="s">
        <v>1352</v>
      </c>
      <c r="F130" s="6" t="s">
        <v>709</v>
      </c>
      <c r="G130" s="25">
        <v>35000</v>
      </c>
      <c r="H130" s="38"/>
      <c r="I130" s="38"/>
      <c r="J130" s="39">
        <f t="shared" si="14"/>
        <v>0</v>
      </c>
      <c r="K130" s="38">
        <v>25</v>
      </c>
      <c r="L130" s="38">
        <v>5</v>
      </c>
      <c r="M130" s="39">
        <f t="shared" si="16"/>
        <v>4812500</v>
      </c>
      <c r="N130" s="38">
        <v>25</v>
      </c>
      <c r="O130" s="38">
        <v>5</v>
      </c>
      <c r="P130" s="39">
        <f t="shared" si="23"/>
        <v>5293750</v>
      </c>
      <c r="Q130" s="38">
        <v>25</v>
      </c>
      <c r="R130" s="38">
        <v>5</v>
      </c>
      <c r="S130" s="39">
        <f t="shared" si="17"/>
        <v>5823125.0000000019</v>
      </c>
      <c r="T130" s="38">
        <v>25</v>
      </c>
      <c r="U130" s="38">
        <v>5</v>
      </c>
      <c r="V130" s="28">
        <f t="shared" si="21"/>
        <v>6405437.5000000019</v>
      </c>
      <c r="W130" s="38">
        <v>25</v>
      </c>
      <c r="X130" s="38">
        <v>5</v>
      </c>
      <c r="Y130">
        <f t="shared" si="18"/>
        <v>7045981.2500000019</v>
      </c>
      <c r="Z130" s="38">
        <v>25</v>
      </c>
      <c r="AA130" s="38">
        <v>5</v>
      </c>
      <c r="AB130">
        <f t="shared" si="22"/>
        <v>7750579.3750000037</v>
      </c>
      <c r="AC130" s="38">
        <v>25</v>
      </c>
      <c r="AD130" s="38">
        <v>5</v>
      </c>
      <c r="AE130">
        <f t="shared" si="19"/>
        <v>8525637.3125000037</v>
      </c>
      <c r="AF130" s="28">
        <f t="shared" si="20"/>
        <v>45657010.437500015</v>
      </c>
      <c r="AG130" s="28">
        <f t="shared" si="15"/>
        <v>44413.434277723747</v>
      </c>
    </row>
    <row r="131" spans="1:33" ht="57.6" x14ac:dyDescent="0.3">
      <c r="A131" s="2" t="s">
        <v>836</v>
      </c>
      <c r="B131" s="4" t="s">
        <v>837</v>
      </c>
      <c r="C131" s="3" t="s">
        <v>857</v>
      </c>
      <c r="D131" s="6" t="s">
        <v>870</v>
      </c>
      <c r="E131" s="6" t="s">
        <v>1352</v>
      </c>
      <c r="F131" s="6" t="s">
        <v>1353</v>
      </c>
      <c r="G131" s="25">
        <f>1999/7</f>
        <v>285.57142857142856</v>
      </c>
      <c r="H131" s="38"/>
      <c r="I131" s="38"/>
      <c r="J131" s="39">
        <f t="shared" ref="J131:J194" si="24">G131*H131*I131</f>
        <v>0</v>
      </c>
      <c r="K131" s="38">
        <f>9*135*2</f>
        <v>2430</v>
      </c>
      <c r="L131" s="38">
        <v>1</v>
      </c>
      <c r="M131" s="39"/>
      <c r="N131" s="38">
        <f>9*135*2</f>
        <v>2430</v>
      </c>
      <c r="O131" s="38">
        <v>1</v>
      </c>
      <c r="P131" s="39"/>
      <c r="Q131" s="38">
        <f>9*135*2</f>
        <v>2430</v>
      </c>
      <c r="R131" s="38">
        <v>1</v>
      </c>
      <c r="S131" s="39"/>
      <c r="T131" s="38">
        <f>9*135*2</f>
        <v>2430</v>
      </c>
      <c r="U131" s="38">
        <v>1</v>
      </c>
      <c r="V131" s="28"/>
      <c r="W131" s="38">
        <f>9*135*2</f>
        <v>2430</v>
      </c>
      <c r="X131" s="38">
        <v>1</v>
      </c>
      <c r="Z131" s="38">
        <f>9*135*2</f>
        <v>2430</v>
      </c>
      <c r="AA131" s="38">
        <v>1</v>
      </c>
      <c r="AC131" s="38">
        <f>9*135*2</f>
        <v>2430</v>
      </c>
      <c r="AD131" s="38">
        <v>1</v>
      </c>
      <c r="AF131" s="28"/>
      <c r="AG131" s="28"/>
    </row>
    <row r="132" spans="1:33" ht="57.6" x14ac:dyDescent="0.3">
      <c r="A132" s="2" t="s">
        <v>836</v>
      </c>
      <c r="B132" s="4" t="s">
        <v>837</v>
      </c>
      <c r="C132" s="3" t="s">
        <v>857</v>
      </c>
      <c r="D132" s="6" t="s">
        <v>870</v>
      </c>
      <c r="E132" s="6" t="s">
        <v>1354</v>
      </c>
      <c r="F132" s="6" t="s">
        <v>712</v>
      </c>
      <c r="G132" s="25">
        <v>214.29</v>
      </c>
      <c r="H132" s="38"/>
      <c r="I132" s="38"/>
      <c r="J132" s="39">
        <f t="shared" si="24"/>
        <v>0</v>
      </c>
      <c r="K132" s="38">
        <f>25*2*9</f>
        <v>450</v>
      </c>
      <c r="L132" s="38">
        <v>5</v>
      </c>
      <c r="M132" s="39">
        <f t="shared" si="16"/>
        <v>530367.75</v>
      </c>
      <c r="N132" s="38">
        <f>25*2*9</f>
        <v>450</v>
      </c>
      <c r="O132" s="38">
        <v>5</v>
      </c>
      <c r="P132" s="39">
        <f t="shared" si="23"/>
        <v>583404.52499999991</v>
      </c>
      <c r="Q132" s="38">
        <f>25*2*9</f>
        <v>450</v>
      </c>
      <c r="R132" s="38">
        <v>5</v>
      </c>
      <c r="S132" s="39">
        <f t="shared" si="17"/>
        <v>641744.97750000004</v>
      </c>
      <c r="T132" s="38">
        <f>25*2*9</f>
        <v>450</v>
      </c>
      <c r="U132" s="38">
        <v>5</v>
      </c>
      <c r="V132" s="28">
        <f t="shared" si="21"/>
        <v>705919.47525000013</v>
      </c>
      <c r="W132" s="38">
        <f>25*2*9</f>
        <v>450</v>
      </c>
      <c r="X132" s="38">
        <v>5</v>
      </c>
      <c r="Y132">
        <f t="shared" si="18"/>
        <v>776511.42277500022</v>
      </c>
      <c r="Z132" s="38">
        <f>25*2*9</f>
        <v>450</v>
      </c>
      <c r="AA132" s="38">
        <v>5</v>
      </c>
      <c r="AB132">
        <f t="shared" si="22"/>
        <v>854162.56505250046</v>
      </c>
      <c r="AC132" s="38">
        <f>25*2*9</f>
        <v>450</v>
      </c>
      <c r="AD132" s="38">
        <v>5</v>
      </c>
      <c r="AE132">
        <f t="shared" si="19"/>
        <v>939578.82155775069</v>
      </c>
      <c r="AF132" s="28">
        <f t="shared" si="20"/>
        <v>5031689.5371352518</v>
      </c>
      <c r="AG132" s="28">
        <f t="shared" si="15"/>
        <v>4894.6396275634743</v>
      </c>
    </row>
    <row r="133" spans="1:33" ht="57.6" x14ac:dyDescent="0.3">
      <c r="A133" s="2" t="s">
        <v>836</v>
      </c>
      <c r="B133" s="4" t="s">
        <v>837</v>
      </c>
      <c r="C133" s="3" t="s">
        <v>857</v>
      </c>
      <c r="D133" s="6" t="s">
        <v>870</v>
      </c>
      <c r="E133" s="6" t="s">
        <v>873</v>
      </c>
      <c r="F133" s="6" t="s">
        <v>713</v>
      </c>
      <c r="G133" s="25">
        <v>45000</v>
      </c>
      <c r="H133" s="38"/>
      <c r="I133" s="38"/>
      <c r="J133" s="39">
        <f t="shared" si="24"/>
        <v>0</v>
      </c>
      <c r="K133" s="38">
        <v>25</v>
      </c>
      <c r="L133" s="38">
        <v>5</v>
      </c>
      <c r="M133" s="39">
        <f t="shared" si="16"/>
        <v>6187500.0000000009</v>
      </c>
      <c r="N133" s="38">
        <v>25</v>
      </c>
      <c r="O133" s="38">
        <v>5</v>
      </c>
      <c r="P133" s="39">
        <f t="shared" si="23"/>
        <v>6806250</v>
      </c>
      <c r="Q133" s="38">
        <v>25</v>
      </c>
      <c r="R133" s="38">
        <v>5</v>
      </c>
      <c r="S133" s="39">
        <f t="shared" si="17"/>
        <v>7486875.0000000019</v>
      </c>
      <c r="T133" s="38">
        <v>25</v>
      </c>
      <c r="U133" s="38">
        <v>5</v>
      </c>
      <c r="V133" s="28">
        <f t="shared" si="21"/>
        <v>8235562.5000000019</v>
      </c>
      <c r="W133" s="38">
        <v>25</v>
      </c>
      <c r="X133" s="38">
        <v>5</v>
      </c>
      <c r="Y133">
        <f t="shared" si="18"/>
        <v>9059118.7500000037</v>
      </c>
      <c r="Z133" s="38">
        <v>25</v>
      </c>
      <c r="AA133" s="38">
        <v>5</v>
      </c>
      <c r="AB133">
        <f t="shared" si="22"/>
        <v>9965030.6250000037</v>
      </c>
      <c r="AC133" s="38">
        <v>25</v>
      </c>
      <c r="AD133" s="38">
        <v>5</v>
      </c>
      <c r="AE133">
        <f t="shared" si="19"/>
        <v>10961533.687500006</v>
      </c>
      <c r="AF133" s="28">
        <f t="shared" si="20"/>
        <v>58701870.562500007</v>
      </c>
      <c r="AG133" s="28">
        <f t="shared" si="15"/>
        <v>57102.986928501952</v>
      </c>
    </row>
    <row r="134" spans="1:33" ht="57.6" x14ac:dyDescent="0.3">
      <c r="A134" s="2" t="s">
        <v>836</v>
      </c>
      <c r="B134" s="4" t="s">
        <v>837</v>
      </c>
      <c r="C134" s="3" t="s">
        <v>857</v>
      </c>
      <c r="D134" s="6" t="s">
        <v>870</v>
      </c>
      <c r="E134" s="6" t="s">
        <v>873</v>
      </c>
      <c r="F134" s="6" t="s">
        <v>712</v>
      </c>
      <c r="G134" s="25">
        <f>1999/7</f>
        <v>285.57142857142856</v>
      </c>
      <c r="H134" s="38"/>
      <c r="I134" s="38"/>
      <c r="J134" s="39">
        <f t="shared" si="24"/>
        <v>0</v>
      </c>
      <c r="K134" s="38">
        <f>25*2*29</f>
        <v>1450</v>
      </c>
      <c r="L134" s="38">
        <v>1</v>
      </c>
      <c r="M134" s="39">
        <f t="shared" si="16"/>
        <v>455486.42857142858</v>
      </c>
      <c r="N134" s="38">
        <f>25*2*29</f>
        <v>1450</v>
      </c>
      <c r="O134" s="38">
        <v>1</v>
      </c>
      <c r="P134" s="39">
        <f t="shared" si="23"/>
        <v>501035.07142857136</v>
      </c>
      <c r="Q134" s="38">
        <f>25*2*29</f>
        <v>1450</v>
      </c>
      <c r="R134" s="38">
        <v>1</v>
      </c>
      <c r="S134" s="39">
        <f t="shared" si="17"/>
        <v>551138.57857142878</v>
      </c>
      <c r="T134" s="38">
        <f>25*2*29</f>
        <v>1450</v>
      </c>
      <c r="U134" s="38">
        <v>1</v>
      </c>
      <c r="V134" s="28">
        <f t="shared" si="21"/>
        <v>606252.43642857159</v>
      </c>
      <c r="W134" s="38">
        <f>25*2*29</f>
        <v>1450</v>
      </c>
      <c r="X134" s="38">
        <v>1</v>
      </c>
      <c r="Y134">
        <f t="shared" si="18"/>
        <v>666877.68007142877</v>
      </c>
      <c r="Z134" s="38">
        <f>25*2*29</f>
        <v>1450</v>
      </c>
      <c r="AA134" s="38">
        <v>1</v>
      </c>
      <c r="AB134">
        <f t="shared" si="22"/>
        <v>733565.4480785717</v>
      </c>
      <c r="AC134" s="38">
        <f>25*2*29</f>
        <v>1450</v>
      </c>
      <c r="AD134" s="38">
        <v>1</v>
      </c>
      <c r="AE134">
        <f t="shared" si="19"/>
        <v>806921.99288642907</v>
      </c>
      <c r="AF134" s="28">
        <f t="shared" si="20"/>
        <v>4321277.6360364305</v>
      </c>
      <c r="AG134" s="28">
        <f t="shared" si="15"/>
        <v>4203.5774669615084</v>
      </c>
    </row>
    <row r="135" spans="1:33" ht="57.6" x14ac:dyDescent="0.3">
      <c r="A135" s="2" t="s">
        <v>836</v>
      </c>
      <c r="B135" s="4" t="s">
        <v>837</v>
      </c>
      <c r="C135" s="3" t="s">
        <v>857</v>
      </c>
      <c r="D135" s="6" t="s">
        <v>870</v>
      </c>
      <c r="E135" s="6" t="s">
        <v>873</v>
      </c>
      <c r="F135" s="6" t="s">
        <v>1299</v>
      </c>
      <c r="G135" s="25">
        <f>1999/7</f>
        <v>285.57142857142856</v>
      </c>
      <c r="H135" s="38"/>
      <c r="I135" s="38"/>
      <c r="J135" s="39">
        <f t="shared" si="24"/>
        <v>0</v>
      </c>
      <c r="K135" s="38">
        <f>9*135*2</f>
        <v>2430</v>
      </c>
      <c r="L135" s="38">
        <v>1</v>
      </c>
      <c r="M135" s="39"/>
      <c r="N135" s="38">
        <f>9*135*2</f>
        <v>2430</v>
      </c>
      <c r="O135" s="38">
        <v>1</v>
      </c>
      <c r="P135" s="39"/>
      <c r="Q135" s="38">
        <f>9*135*2</f>
        <v>2430</v>
      </c>
      <c r="R135" s="38">
        <v>1</v>
      </c>
      <c r="S135" s="39"/>
      <c r="T135" s="38">
        <f>9*135*2</f>
        <v>2430</v>
      </c>
      <c r="U135" s="38">
        <v>1</v>
      </c>
      <c r="V135" s="28"/>
      <c r="W135" s="38">
        <f>9*135*2</f>
        <v>2430</v>
      </c>
      <c r="X135" s="38">
        <v>1</v>
      </c>
      <c r="Z135" s="38">
        <f>9*135*2</f>
        <v>2430</v>
      </c>
      <c r="AA135" s="38">
        <v>1</v>
      </c>
      <c r="AC135" s="38">
        <f>9*135*2</f>
        <v>2430</v>
      </c>
      <c r="AD135" s="38">
        <v>1</v>
      </c>
      <c r="AF135" s="28"/>
      <c r="AG135" s="28"/>
    </row>
    <row r="136" spans="1:33" ht="57.6" x14ac:dyDescent="0.3">
      <c r="A136" s="2" t="s">
        <v>836</v>
      </c>
      <c r="B136" s="4" t="s">
        <v>837</v>
      </c>
      <c r="C136" s="3" t="s">
        <v>857</v>
      </c>
      <c r="D136" s="6" t="s">
        <v>870</v>
      </c>
      <c r="E136" s="6" t="s">
        <v>873</v>
      </c>
      <c r="F136" s="6" t="s">
        <v>715</v>
      </c>
      <c r="G136" s="25">
        <v>302000</v>
      </c>
      <c r="H136" s="38"/>
      <c r="I136" s="38"/>
      <c r="J136" s="39">
        <f t="shared" si="24"/>
        <v>0</v>
      </c>
      <c r="K136" s="38">
        <v>15</v>
      </c>
      <c r="L136" s="38">
        <v>1</v>
      </c>
      <c r="M136" s="39">
        <f t="shared" si="16"/>
        <v>4983000</v>
      </c>
      <c r="N136" s="38">
        <v>15</v>
      </c>
      <c r="O136" s="38">
        <v>1</v>
      </c>
      <c r="P136" s="39">
        <f t="shared" si="23"/>
        <v>5481300</v>
      </c>
      <c r="Q136" s="38">
        <v>15</v>
      </c>
      <c r="R136" s="38">
        <v>1</v>
      </c>
      <c r="S136" s="39">
        <f t="shared" si="17"/>
        <v>6029430.0000000019</v>
      </c>
      <c r="T136" s="38">
        <v>15</v>
      </c>
      <c r="U136" s="38">
        <v>1</v>
      </c>
      <c r="V136" s="28">
        <f t="shared" si="21"/>
        <v>6632373.0000000019</v>
      </c>
      <c r="W136" s="38">
        <v>15</v>
      </c>
      <c r="X136" s="38">
        <v>1</v>
      </c>
      <c r="Y136">
        <f t="shared" si="18"/>
        <v>7295610.3000000026</v>
      </c>
      <c r="Z136" s="38">
        <v>15</v>
      </c>
      <c r="AA136" s="38">
        <v>1</v>
      </c>
      <c r="AB136">
        <f t="shared" si="22"/>
        <v>8025171.3300000038</v>
      </c>
      <c r="AC136" s="38">
        <v>15</v>
      </c>
      <c r="AD136" s="38">
        <v>1</v>
      </c>
      <c r="AE136">
        <f t="shared" si="19"/>
        <v>8827688.4630000051</v>
      </c>
      <c r="AF136" s="28">
        <f t="shared" si="20"/>
        <v>47274573.093000017</v>
      </c>
      <c r="AG136" s="28">
        <f t="shared" si="15"/>
        <v>45986.93880642025</v>
      </c>
    </row>
    <row r="137" spans="1:33" ht="57.6" x14ac:dyDescent="0.3">
      <c r="A137" s="2" t="s">
        <v>836</v>
      </c>
      <c r="B137" s="4" t="s">
        <v>837</v>
      </c>
      <c r="C137" s="3" t="s">
        <v>857</v>
      </c>
      <c r="D137" s="6" t="s">
        <v>870</v>
      </c>
      <c r="E137" s="6" t="s">
        <v>873</v>
      </c>
      <c r="F137" s="6" t="s">
        <v>714</v>
      </c>
      <c r="G137" s="25">
        <v>10000</v>
      </c>
      <c r="H137" s="38"/>
      <c r="I137" s="38"/>
      <c r="J137" s="39">
        <f t="shared" si="24"/>
        <v>0</v>
      </c>
      <c r="K137" s="38">
        <v>15</v>
      </c>
      <c r="L137" s="38">
        <v>1</v>
      </c>
      <c r="M137" s="39">
        <f t="shared" si="16"/>
        <v>165000</v>
      </c>
      <c r="N137" s="38">
        <v>15</v>
      </c>
      <c r="O137" s="38">
        <v>1</v>
      </c>
      <c r="P137" s="39">
        <f t="shared" si="23"/>
        <v>181500</v>
      </c>
      <c r="Q137" s="38">
        <v>15</v>
      </c>
      <c r="R137" s="38">
        <v>1</v>
      </c>
      <c r="S137" s="39">
        <f t="shared" si="17"/>
        <v>199650.00000000006</v>
      </c>
      <c r="T137" s="38">
        <v>15</v>
      </c>
      <c r="U137" s="38">
        <v>1</v>
      </c>
      <c r="V137" s="28">
        <f t="shared" si="21"/>
        <v>219615.00000000006</v>
      </c>
      <c r="W137" s="38">
        <v>15</v>
      </c>
      <c r="X137" s="38">
        <v>1</v>
      </c>
      <c r="Y137">
        <f t="shared" si="18"/>
        <v>241576.50000000009</v>
      </c>
      <c r="Z137" s="38">
        <v>15</v>
      </c>
      <c r="AA137" s="38">
        <v>1</v>
      </c>
      <c r="AB137">
        <f t="shared" si="22"/>
        <v>265734.15000000014</v>
      </c>
      <c r="AC137" s="38">
        <v>15</v>
      </c>
      <c r="AD137" s="38">
        <v>1</v>
      </c>
      <c r="AE137">
        <f t="shared" si="19"/>
        <v>292307.56500000018</v>
      </c>
      <c r="AF137" s="28">
        <f t="shared" si="20"/>
        <v>1565383.2150000005</v>
      </c>
      <c r="AG137" s="28">
        <f t="shared" si="15"/>
        <v>1522.7463180933858</v>
      </c>
    </row>
    <row r="138" spans="1:33" ht="57.6" x14ac:dyDescent="0.3">
      <c r="A138" s="2" t="s">
        <v>836</v>
      </c>
      <c r="B138" s="4" t="s">
        <v>837</v>
      </c>
      <c r="C138" s="3" t="s">
        <v>857</v>
      </c>
      <c r="D138" s="6" t="s">
        <v>870</v>
      </c>
      <c r="E138" s="6" t="s">
        <v>1355</v>
      </c>
      <c r="F138" s="6" t="s">
        <v>716</v>
      </c>
      <c r="G138" s="25">
        <v>39000</v>
      </c>
      <c r="H138" s="38"/>
      <c r="I138" s="38"/>
      <c r="J138" s="39">
        <f t="shared" si="24"/>
        <v>0</v>
      </c>
      <c r="K138" s="38">
        <v>25</v>
      </c>
      <c r="L138" s="38">
        <v>5</v>
      </c>
      <c r="M138" s="39">
        <f t="shared" si="16"/>
        <v>5362500</v>
      </c>
      <c r="N138" s="38">
        <v>25</v>
      </c>
      <c r="O138" s="38">
        <v>5</v>
      </c>
      <c r="P138" s="39">
        <f t="shared" si="23"/>
        <v>5898750</v>
      </c>
      <c r="Q138" s="38">
        <v>25</v>
      </c>
      <c r="R138" s="38">
        <v>5</v>
      </c>
      <c r="S138" s="39">
        <f t="shared" si="17"/>
        <v>6488625.0000000019</v>
      </c>
      <c r="T138" s="38">
        <v>25</v>
      </c>
      <c r="U138" s="38">
        <v>5</v>
      </c>
      <c r="V138" s="28">
        <f t="shared" si="21"/>
        <v>7137487.5000000019</v>
      </c>
      <c r="W138" s="38">
        <v>25</v>
      </c>
      <c r="X138" s="38">
        <v>5</v>
      </c>
      <c r="Y138">
        <f t="shared" si="18"/>
        <v>7851236.2500000019</v>
      </c>
      <c r="Z138" s="38">
        <v>25</v>
      </c>
      <c r="AA138" s="38">
        <v>5</v>
      </c>
      <c r="AB138">
        <f t="shared" si="22"/>
        <v>8636359.8750000037</v>
      </c>
      <c r="AC138" s="38">
        <v>25</v>
      </c>
      <c r="AD138" s="38">
        <v>5</v>
      </c>
      <c r="AE138">
        <f t="shared" si="19"/>
        <v>9499995.8625000045</v>
      </c>
      <c r="AF138" s="28">
        <f t="shared" si="20"/>
        <v>50874954.487500004</v>
      </c>
      <c r="AG138" s="28">
        <f t="shared" si="15"/>
        <v>49489.255338035022</v>
      </c>
    </row>
    <row r="139" spans="1:33" ht="57.6" x14ac:dyDescent="0.3">
      <c r="A139" s="2" t="s">
        <v>836</v>
      </c>
      <c r="B139" s="4" t="s">
        <v>837</v>
      </c>
      <c r="C139" s="3" t="s">
        <v>857</v>
      </c>
      <c r="D139" s="6" t="s">
        <v>870</v>
      </c>
      <c r="E139" s="6" t="s">
        <v>1355</v>
      </c>
      <c r="F139" s="6" t="s">
        <v>712</v>
      </c>
      <c r="G139" s="25">
        <f>1999/7</f>
        <v>285.57142857142856</v>
      </c>
      <c r="H139" s="38"/>
      <c r="I139" s="38"/>
      <c r="J139" s="39">
        <f t="shared" si="24"/>
        <v>0</v>
      </c>
      <c r="K139" s="38">
        <f>25*2*9</f>
        <v>450</v>
      </c>
      <c r="L139" s="38">
        <v>10</v>
      </c>
      <c r="M139" s="39">
        <f t="shared" si="16"/>
        <v>1413578.5714285716</v>
      </c>
      <c r="N139" s="38">
        <f>25*2*9</f>
        <v>450</v>
      </c>
      <c r="O139" s="38">
        <v>10</v>
      </c>
      <c r="P139" s="39">
        <f t="shared" si="23"/>
        <v>1554936.4285714284</v>
      </c>
      <c r="Q139" s="38">
        <f>25*2*9</f>
        <v>450</v>
      </c>
      <c r="R139" s="38">
        <v>10</v>
      </c>
      <c r="S139" s="39">
        <f t="shared" si="17"/>
        <v>1710430.0714285718</v>
      </c>
      <c r="T139" s="38">
        <f>25*2*9</f>
        <v>450</v>
      </c>
      <c r="U139" s="38">
        <v>10</v>
      </c>
      <c r="V139" s="28">
        <f t="shared" si="21"/>
        <v>1881473.078571429</v>
      </c>
      <c r="W139" s="38">
        <f>25*2*9</f>
        <v>450</v>
      </c>
      <c r="X139" s="38">
        <v>10</v>
      </c>
      <c r="Y139">
        <f t="shared" si="18"/>
        <v>2069620.386428572</v>
      </c>
      <c r="Z139" s="38">
        <f>25*2*9</f>
        <v>450</v>
      </c>
      <c r="AA139" s="38">
        <v>10</v>
      </c>
      <c r="AB139">
        <f t="shared" si="22"/>
        <v>2276582.4250714295</v>
      </c>
      <c r="AC139" s="38">
        <f>25*2*9</f>
        <v>450</v>
      </c>
      <c r="AD139" s="38">
        <v>10</v>
      </c>
      <c r="AE139">
        <f t="shared" si="19"/>
        <v>2504240.6675785729</v>
      </c>
      <c r="AF139" s="28">
        <f t="shared" si="20"/>
        <v>13410861.629078574</v>
      </c>
      <c r="AG139" s="28">
        <f t="shared" si="15"/>
        <v>13045.585242294334</v>
      </c>
    </row>
    <row r="140" spans="1:33" ht="57.6" x14ac:dyDescent="0.3">
      <c r="A140" s="2" t="s">
        <v>836</v>
      </c>
      <c r="B140" s="4" t="s">
        <v>837</v>
      </c>
      <c r="C140" s="3" t="s">
        <v>857</v>
      </c>
      <c r="D140" s="6" t="s">
        <v>870</v>
      </c>
      <c r="E140" s="6" t="s">
        <v>1355</v>
      </c>
      <c r="F140" s="6" t="s">
        <v>1299</v>
      </c>
      <c r="G140" s="25">
        <f>1999/7</f>
        <v>285.57142857142856</v>
      </c>
      <c r="H140" s="38"/>
      <c r="I140" s="38"/>
      <c r="J140" s="39">
        <f t="shared" si="24"/>
        <v>0</v>
      </c>
      <c r="K140" s="38">
        <f>9*135*2</f>
        <v>2430</v>
      </c>
      <c r="L140" s="38">
        <v>1</v>
      </c>
      <c r="M140" s="39"/>
      <c r="N140" s="38">
        <f>9*135*2</f>
        <v>2430</v>
      </c>
      <c r="O140" s="38">
        <v>1</v>
      </c>
      <c r="P140" s="39"/>
      <c r="Q140" s="38">
        <f>9*135*2</f>
        <v>2430</v>
      </c>
      <c r="R140" s="38">
        <v>1</v>
      </c>
      <c r="S140" s="39"/>
      <c r="T140" s="38">
        <f>9*135*2</f>
        <v>2430</v>
      </c>
      <c r="U140" s="38">
        <v>1</v>
      </c>
      <c r="V140" s="28"/>
      <c r="W140" s="38">
        <f>9*135*2</f>
        <v>2430</v>
      </c>
      <c r="X140" s="38">
        <v>1</v>
      </c>
      <c r="Z140" s="38">
        <f>9*135*2</f>
        <v>2430</v>
      </c>
      <c r="AA140" s="38">
        <v>1</v>
      </c>
      <c r="AC140" s="38">
        <f>9*135*2</f>
        <v>2430</v>
      </c>
      <c r="AD140" s="38">
        <v>1</v>
      </c>
      <c r="AF140" s="28"/>
      <c r="AG140" s="28"/>
    </row>
    <row r="141" spans="1:33" ht="57.6" x14ac:dyDescent="0.3">
      <c r="A141" s="2" t="s">
        <v>836</v>
      </c>
      <c r="B141" s="4" t="s">
        <v>837</v>
      </c>
      <c r="C141" s="3" t="s">
        <v>857</v>
      </c>
      <c r="D141" s="6" t="s">
        <v>870</v>
      </c>
      <c r="E141" s="6" t="s">
        <v>1355</v>
      </c>
      <c r="F141" s="6" t="s">
        <v>709</v>
      </c>
      <c r="G141" s="25">
        <v>35000</v>
      </c>
      <c r="H141" s="38"/>
      <c r="I141" s="38"/>
      <c r="J141" s="39">
        <f t="shared" si="24"/>
        <v>0</v>
      </c>
      <c r="K141" s="38">
        <v>25</v>
      </c>
      <c r="L141" s="38">
        <v>5</v>
      </c>
      <c r="M141" s="39">
        <f t="shared" si="16"/>
        <v>4812500</v>
      </c>
      <c r="N141" s="38">
        <v>25</v>
      </c>
      <c r="O141" s="38">
        <v>5</v>
      </c>
      <c r="P141" s="39">
        <f t="shared" si="23"/>
        <v>5293750</v>
      </c>
      <c r="Q141" s="38">
        <v>25</v>
      </c>
      <c r="R141" s="38">
        <v>5</v>
      </c>
      <c r="S141" s="39">
        <f t="shared" si="17"/>
        <v>5823125.0000000019</v>
      </c>
      <c r="T141" s="38">
        <v>25</v>
      </c>
      <c r="U141" s="38">
        <v>5</v>
      </c>
      <c r="V141" s="28">
        <f t="shared" si="21"/>
        <v>6405437.5000000019</v>
      </c>
      <c r="W141" s="38">
        <v>25</v>
      </c>
      <c r="X141" s="38">
        <v>5</v>
      </c>
      <c r="Y141">
        <f t="shared" si="18"/>
        <v>7045981.2500000019</v>
      </c>
      <c r="Z141" s="38">
        <v>25</v>
      </c>
      <c r="AA141" s="38">
        <v>5</v>
      </c>
      <c r="AB141">
        <f t="shared" si="22"/>
        <v>7750579.3750000037</v>
      </c>
      <c r="AC141" s="38">
        <v>25</v>
      </c>
      <c r="AD141" s="38">
        <v>5</v>
      </c>
      <c r="AE141">
        <f t="shared" si="19"/>
        <v>8525637.3125000037</v>
      </c>
      <c r="AF141" s="28">
        <f t="shared" si="20"/>
        <v>45657010.437500015</v>
      </c>
      <c r="AG141" s="28">
        <f t="shared" si="15"/>
        <v>44413.434277723747</v>
      </c>
    </row>
    <row r="142" spans="1:33" ht="57.6" x14ac:dyDescent="0.3">
      <c r="A142" s="2" t="s">
        <v>836</v>
      </c>
      <c r="B142" s="4" t="s">
        <v>837</v>
      </c>
      <c r="C142" s="3" t="s">
        <v>857</v>
      </c>
      <c r="D142" s="6" t="s">
        <v>870</v>
      </c>
      <c r="E142" s="6" t="s">
        <v>1319</v>
      </c>
      <c r="F142" s="6" t="s">
        <v>716</v>
      </c>
      <c r="G142" s="25">
        <v>35000</v>
      </c>
      <c r="H142" s="38"/>
      <c r="I142" s="38"/>
      <c r="J142" s="39">
        <f t="shared" si="24"/>
        <v>0</v>
      </c>
      <c r="K142" s="38">
        <v>100</v>
      </c>
      <c r="L142" s="38">
        <v>1</v>
      </c>
      <c r="M142" s="39"/>
      <c r="N142" s="38">
        <v>100</v>
      </c>
      <c r="O142" s="38">
        <v>1</v>
      </c>
      <c r="P142" s="39"/>
      <c r="Q142" s="38">
        <v>100</v>
      </c>
      <c r="R142" s="38">
        <v>1</v>
      </c>
      <c r="S142" s="39"/>
      <c r="T142" s="38">
        <v>100</v>
      </c>
      <c r="U142" s="38">
        <v>1</v>
      </c>
      <c r="V142" s="28"/>
      <c r="W142" s="38">
        <v>100</v>
      </c>
      <c r="X142" s="38">
        <v>1</v>
      </c>
      <c r="Z142" s="38">
        <v>100</v>
      </c>
      <c r="AA142" s="38">
        <v>1</v>
      </c>
      <c r="AC142" s="38">
        <v>100</v>
      </c>
      <c r="AD142" s="38">
        <v>1</v>
      </c>
      <c r="AF142" s="28"/>
      <c r="AG142" s="28"/>
    </row>
    <row r="143" spans="1:33" ht="57.6" x14ac:dyDescent="0.3">
      <c r="A143" s="2" t="s">
        <v>836</v>
      </c>
      <c r="B143" s="4" t="s">
        <v>837</v>
      </c>
      <c r="C143" s="3" t="s">
        <v>857</v>
      </c>
      <c r="D143" s="6" t="s">
        <v>870</v>
      </c>
      <c r="E143" s="6" t="s">
        <v>1319</v>
      </c>
      <c r="F143" s="6" t="s">
        <v>709</v>
      </c>
      <c r="G143" s="25">
        <v>39000</v>
      </c>
      <c r="H143" s="38"/>
      <c r="I143" s="38"/>
      <c r="J143" s="39">
        <f t="shared" si="24"/>
        <v>0</v>
      </c>
      <c r="K143" s="38">
        <v>58</v>
      </c>
      <c r="L143" s="38">
        <v>2</v>
      </c>
      <c r="M143" s="39"/>
      <c r="N143" s="38">
        <v>58</v>
      </c>
      <c r="O143" s="38">
        <v>2</v>
      </c>
      <c r="P143" s="39"/>
      <c r="Q143" s="38">
        <v>58</v>
      </c>
      <c r="R143" s="38">
        <v>2</v>
      </c>
      <c r="S143" s="39"/>
      <c r="T143" s="38">
        <v>58</v>
      </c>
      <c r="U143" s="38">
        <v>2</v>
      </c>
      <c r="V143" s="28"/>
      <c r="W143" s="38">
        <v>58</v>
      </c>
      <c r="X143" s="38">
        <v>2</v>
      </c>
      <c r="Z143" s="38">
        <v>58</v>
      </c>
      <c r="AA143" s="38">
        <v>2</v>
      </c>
      <c r="AC143" s="38">
        <v>58</v>
      </c>
      <c r="AD143" s="38">
        <v>2</v>
      </c>
      <c r="AF143" s="28"/>
      <c r="AG143" s="28"/>
    </row>
    <row r="144" spans="1:33" ht="57.6" x14ac:dyDescent="0.3">
      <c r="A144" s="2" t="s">
        <v>836</v>
      </c>
      <c r="B144" s="4" t="s">
        <v>837</v>
      </c>
      <c r="C144" s="3" t="s">
        <v>857</v>
      </c>
      <c r="D144" s="6" t="s">
        <v>870</v>
      </c>
      <c r="E144" s="6" t="s">
        <v>1319</v>
      </c>
      <c r="F144" s="6" t="s">
        <v>1299</v>
      </c>
      <c r="G144" s="25">
        <f>1999/7</f>
        <v>285.57142857142856</v>
      </c>
      <c r="H144" s="38"/>
      <c r="I144" s="38"/>
      <c r="J144" s="39">
        <f t="shared" si="24"/>
        <v>0</v>
      </c>
      <c r="K144" s="38">
        <f>25*135*2</f>
        <v>6750</v>
      </c>
      <c r="L144" s="38">
        <v>1</v>
      </c>
      <c r="M144" s="39"/>
      <c r="N144" s="38">
        <f>25*135*2</f>
        <v>6750</v>
      </c>
      <c r="O144" s="38">
        <v>1</v>
      </c>
      <c r="P144" s="39"/>
      <c r="Q144" s="38">
        <f>25*135*2</f>
        <v>6750</v>
      </c>
      <c r="R144" s="38">
        <v>1</v>
      </c>
      <c r="S144" s="39"/>
      <c r="T144" s="38">
        <f>25*135*2</f>
        <v>6750</v>
      </c>
      <c r="U144" s="38">
        <v>1</v>
      </c>
      <c r="V144" s="28"/>
      <c r="W144" s="38">
        <f>25*135*2</f>
        <v>6750</v>
      </c>
      <c r="X144" s="38">
        <v>1</v>
      </c>
      <c r="Z144" s="38">
        <f>25*135*2</f>
        <v>6750</v>
      </c>
      <c r="AA144" s="38">
        <v>1</v>
      </c>
      <c r="AC144" s="38">
        <f>25*135*2</f>
        <v>6750</v>
      </c>
      <c r="AD144" s="38">
        <v>1</v>
      </c>
      <c r="AF144" s="28"/>
      <c r="AG144" s="28"/>
    </row>
    <row r="145" spans="1:33" ht="57.6" x14ac:dyDescent="0.3">
      <c r="A145" s="2" t="s">
        <v>836</v>
      </c>
      <c r="B145" s="4" t="s">
        <v>837</v>
      </c>
      <c r="C145" s="3" t="s">
        <v>857</v>
      </c>
      <c r="D145" s="6" t="s">
        <v>870</v>
      </c>
      <c r="E145" s="6" t="s">
        <v>1319</v>
      </c>
      <c r="F145" s="6" t="s">
        <v>712</v>
      </c>
      <c r="G145" s="25">
        <f>1999/7</f>
        <v>285.57142857142856</v>
      </c>
      <c r="H145" s="38"/>
      <c r="I145" s="38"/>
      <c r="J145" s="39">
        <f t="shared" si="24"/>
        <v>0</v>
      </c>
      <c r="K145" s="38">
        <f>25*2*29</f>
        <v>1450</v>
      </c>
      <c r="L145" s="38">
        <v>1</v>
      </c>
      <c r="M145" s="39"/>
      <c r="N145" s="38">
        <f>25*2*29</f>
        <v>1450</v>
      </c>
      <c r="O145" s="38">
        <v>1</v>
      </c>
      <c r="P145" s="39"/>
      <c r="Q145" s="38">
        <f>25*2*29</f>
        <v>1450</v>
      </c>
      <c r="R145" s="38">
        <v>1</v>
      </c>
      <c r="S145" s="39"/>
      <c r="T145" s="38">
        <f>25*2*29</f>
        <v>1450</v>
      </c>
      <c r="U145" s="38">
        <v>1</v>
      </c>
      <c r="V145" s="28"/>
      <c r="W145" s="38">
        <f>25*2*29</f>
        <v>1450</v>
      </c>
      <c r="X145" s="38">
        <v>1</v>
      </c>
      <c r="Z145" s="38">
        <f>25*2*29</f>
        <v>1450</v>
      </c>
      <c r="AA145" s="38">
        <v>1</v>
      </c>
      <c r="AC145" s="38">
        <f>25*2*29</f>
        <v>1450</v>
      </c>
      <c r="AD145" s="38">
        <v>1</v>
      </c>
      <c r="AF145" s="28"/>
      <c r="AG145" s="28"/>
    </row>
    <row r="146" spans="1:33" ht="57.6" x14ac:dyDescent="0.3">
      <c r="A146" s="2" t="s">
        <v>836</v>
      </c>
      <c r="B146" s="4" t="s">
        <v>837</v>
      </c>
      <c r="C146" s="3" t="s">
        <v>857</v>
      </c>
      <c r="D146" s="6" t="s">
        <v>874</v>
      </c>
      <c r="E146" s="6" t="s">
        <v>875</v>
      </c>
      <c r="F146" s="6" t="s">
        <v>841</v>
      </c>
      <c r="G146" s="25">
        <v>0</v>
      </c>
      <c r="H146" s="38">
        <v>0</v>
      </c>
      <c r="I146" s="38">
        <v>0</v>
      </c>
      <c r="J146" s="39">
        <f t="shared" si="24"/>
        <v>0</v>
      </c>
      <c r="K146" s="38">
        <v>25</v>
      </c>
      <c r="L146" s="38">
        <v>5</v>
      </c>
      <c r="M146" s="39">
        <f t="shared" si="16"/>
        <v>0</v>
      </c>
      <c r="N146" s="38">
        <v>25</v>
      </c>
      <c r="O146" s="38">
        <v>5</v>
      </c>
      <c r="P146" s="39">
        <f t="shared" si="23"/>
        <v>0</v>
      </c>
      <c r="Q146" s="38">
        <v>25</v>
      </c>
      <c r="R146" s="38">
        <v>5</v>
      </c>
      <c r="S146" s="39">
        <f t="shared" si="17"/>
        <v>0</v>
      </c>
      <c r="T146" s="38">
        <v>25</v>
      </c>
      <c r="U146" s="38">
        <v>5</v>
      </c>
      <c r="V146" s="28">
        <f t="shared" si="21"/>
        <v>0</v>
      </c>
      <c r="Y146">
        <f t="shared" si="18"/>
        <v>0</v>
      </c>
      <c r="AB146">
        <f t="shared" si="22"/>
        <v>0</v>
      </c>
      <c r="AE146">
        <f t="shared" si="19"/>
        <v>0</v>
      </c>
      <c r="AF146" s="28">
        <f t="shared" si="20"/>
        <v>0</v>
      </c>
      <c r="AG146" s="28">
        <f t="shared" si="15"/>
        <v>0</v>
      </c>
    </row>
    <row r="147" spans="1:33" ht="57.6" x14ac:dyDescent="0.3">
      <c r="A147" s="2" t="s">
        <v>836</v>
      </c>
      <c r="B147" s="4" t="s">
        <v>837</v>
      </c>
      <c r="C147" s="3" t="s">
        <v>857</v>
      </c>
      <c r="D147" s="6" t="s">
        <v>876</v>
      </c>
      <c r="E147" s="6" t="s">
        <v>877</v>
      </c>
      <c r="F147" s="6" t="s">
        <v>841</v>
      </c>
      <c r="G147" s="25">
        <v>0</v>
      </c>
      <c r="H147" s="38">
        <v>0</v>
      </c>
      <c r="I147" s="38">
        <v>0</v>
      </c>
      <c r="J147" s="39">
        <f t="shared" si="24"/>
        <v>0</v>
      </c>
      <c r="K147" s="38">
        <v>0</v>
      </c>
      <c r="L147" s="38">
        <v>0</v>
      </c>
      <c r="M147" s="39">
        <f t="shared" si="16"/>
        <v>0</v>
      </c>
      <c r="N147" s="38">
        <v>0</v>
      </c>
      <c r="O147" s="38">
        <v>0</v>
      </c>
      <c r="P147" s="39">
        <f t="shared" si="23"/>
        <v>0</v>
      </c>
      <c r="Q147" s="38">
        <v>0</v>
      </c>
      <c r="R147" s="38">
        <v>0</v>
      </c>
      <c r="S147" s="39">
        <f t="shared" si="17"/>
        <v>0</v>
      </c>
      <c r="T147" s="38">
        <v>0</v>
      </c>
      <c r="U147" s="38">
        <v>0</v>
      </c>
      <c r="V147" s="28">
        <f t="shared" si="21"/>
        <v>0</v>
      </c>
      <c r="Y147">
        <f t="shared" si="18"/>
        <v>0</v>
      </c>
      <c r="AB147">
        <f t="shared" si="22"/>
        <v>0</v>
      </c>
      <c r="AE147">
        <f t="shared" si="19"/>
        <v>0</v>
      </c>
      <c r="AF147" s="28">
        <f t="shared" si="20"/>
        <v>0</v>
      </c>
      <c r="AG147" s="28">
        <f t="shared" si="15"/>
        <v>0</v>
      </c>
    </row>
    <row r="148" spans="1:33" ht="57.6" x14ac:dyDescent="0.3">
      <c r="A148" s="2" t="s">
        <v>836</v>
      </c>
      <c r="B148" s="4" t="s">
        <v>837</v>
      </c>
      <c r="C148" s="3" t="s">
        <v>857</v>
      </c>
      <c r="D148" s="6" t="s">
        <v>876</v>
      </c>
      <c r="E148" s="6" t="s">
        <v>878</v>
      </c>
      <c r="F148" s="6" t="s">
        <v>709</v>
      </c>
      <c r="G148" s="25">
        <v>35000</v>
      </c>
      <c r="H148" s="38">
        <v>30</v>
      </c>
      <c r="I148" s="38">
        <v>4</v>
      </c>
      <c r="J148" s="39">
        <f t="shared" si="24"/>
        <v>4200000</v>
      </c>
      <c r="K148" s="38">
        <v>30</v>
      </c>
      <c r="L148" s="38">
        <v>4</v>
      </c>
      <c r="M148" s="39">
        <f t="shared" si="16"/>
        <v>4620000</v>
      </c>
      <c r="N148" s="38">
        <v>30</v>
      </c>
      <c r="O148" s="38">
        <v>4</v>
      </c>
      <c r="P148" s="39">
        <f t="shared" si="23"/>
        <v>5082000</v>
      </c>
      <c r="Q148" s="38">
        <v>30</v>
      </c>
      <c r="R148" s="38">
        <v>4</v>
      </c>
      <c r="S148" s="39">
        <f t="shared" si="17"/>
        <v>5590200.0000000019</v>
      </c>
      <c r="T148" s="38">
        <v>30</v>
      </c>
      <c r="U148" s="38">
        <v>4</v>
      </c>
      <c r="V148" s="28">
        <f t="shared" si="21"/>
        <v>6149220.0000000019</v>
      </c>
      <c r="W148" s="38">
        <v>30</v>
      </c>
      <c r="X148" s="38">
        <v>4</v>
      </c>
      <c r="Y148">
        <f t="shared" si="18"/>
        <v>6764142.0000000028</v>
      </c>
      <c r="Z148" s="38">
        <v>30</v>
      </c>
      <c r="AA148" s="38">
        <v>4</v>
      </c>
      <c r="AB148">
        <f t="shared" si="22"/>
        <v>7440556.2000000039</v>
      </c>
      <c r="AE148">
        <f t="shared" si="19"/>
        <v>0</v>
      </c>
      <c r="AF148" s="28">
        <f t="shared" si="20"/>
        <v>39846118.20000001</v>
      </c>
      <c r="AG148" s="28">
        <f t="shared" si="15"/>
        <v>38760.815369649812</v>
      </c>
    </row>
    <row r="149" spans="1:33" ht="57.6" x14ac:dyDescent="0.3">
      <c r="A149" s="2" t="s">
        <v>836</v>
      </c>
      <c r="B149" s="4" t="s">
        <v>837</v>
      </c>
      <c r="C149" s="3" t="s">
        <v>857</v>
      </c>
      <c r="D149" s="6" t="s">
        <v>876</v>
      </c>
      <c r="E149" s="6" t="s">
        <v>878</v>
      </c>
      <c r="F149" s="6" t="s">
        <v>712</v>
      </c>
      <c r="G149" s="25">
        <f>1999/7</f>
        <v>285.57142857142856</v>
      </c>
      <c r="H149" s="38">
        <f>25*2*5</f>
        <v>250</v>
      </c>
      <c r="I149" s="38">
        <v>4</v>
      </c>
      <c r="J149" s="39">
        <f t="shared" si="24"/>
        <v>285571.42857142858</v>
      </c>
      <c r="K149" s="38">
        <f>25*2*5</f>
        <v>250</v>
      </c>
      <c r="L149" s="38">
        <v>4</v>
      </c>
      <c r="M149" s="39">
        <f t="shared" si="16"/>
        <v>314128.57142857142</v>
      </c>
      <c r="N149" s="38">
        <f>25*2*5</f>
        <v>250</v>
      </c>
      <c r="O149" s="38">
        <v>4</v>
      </c>
      <c r="P149" s="39">
        <f t="shared" si="23"/>
        <v>345541.42857142852</v>
      </c>
      <c r="Q149" s="38">
        <f>25*2*5</f>
        <v>250</v>
      </c>
      <c r="R149" s="38">
        <v>4</v>
      </c>
      <c r="S149" s="39">
        <f t="shared" si="17"/>
        <v>380095.57142857154</v>
      </c>
      <c r="T149" s="38">
        <f>25*2*5</f>
        <v>250</v>
      </c>
      <c r="U149" s="38">
        <v>4</v>
      </c>
      <c r="V149" s="28">
        <f t="shared" si="21"/>
        <v>418105.12857142871</v>
      </c>
      <c r="W149" s="38">
        <f>25*2*5</f>
        <v>250</v>
      </c>
      <c r="X149" s="38">
        <v>4</v>
      </c>
      <c r="Y149">
        <f t="shared" si="18"/>
        <v>459915.6414285716</v>
      </c>
      <c r="Z149" s="38">
        <f>25*2*5</f>
        <v>250</v>
      </c>
      <c r="AA149" s="38">
        <v>4</v>
      </c>
      <c r="AB149">
        <f t="shared" si="22"/>
        <v>505907.20557142881</v>
      </c>
      <c r="AE149">
        <f t="shared" si="19"/>
        <v>0</v>
      </c>
      <c r="AF149" s="28">
        <f t="shared" si="20"/>
        <v>2709264.9755714294</v>
      </c>
      <c r="AG149" s="28">
        <f t="shared" si="15"/>
        <v>2635.4717661200675</v>
      </c>
    </row>
    <row r="150" spans="1:33" x14ac:dyDescent="0.3">
      <c r="A150" s="55" t="s">
        <v>1296</v>
      </c>
      <c r="B150" s="56"/>
      <c r="C150" s="57"/>
      <c r="D150" s="58"/>
      <c r="E150" s="58"/>
      <c r="F150" s="58"/>
      <c r="G150" s="59"/>
      <c r="H150" s="60"/>
      <c r="I150" s="60"/>
      <c r="J150" s="61">
        <f t="shared" si="24"/>
        <v>0</v>
      </c>
      <c r="K150" s="60"/>
      <c r="L150" s="60"/>
      <c r="M150" s="61">
        <f>SUM(M133:M149)</f>
        <v>28313693.571428571</v>
      </c>
      <c r="N150" s="60"/>
      <c r="O150" s="60"/>
      <c r="P150" s="61">
        <f>SUM(P133:P149)</f>
        <v>31145062.928571429</v>
      </c>
      <c r="Q150" s="60"/>
      <c r="R150" s="60"/>
      <c r="S150" s="61">
        <f>SUM(S133:S149)</f>
        <v>34259569.221428581</v>
      </c>
      <c r="T150" s="60"/>
      <c r="U150" s="60"/>
      <c r="V150" s="61">
        <f>SUM(V133:V149)</f>
        <v>37685526.143571436</v>
      </c>
      <c r="W150" s="62"/>
      <c r="X150" s="62"/>
      <c r="Y150" s="61">
        <f>SUM(Y133:Y149)</f>
        <v>41454078.75792858</v>
      </c>
      <c r="Z150" s="62"/>
      <c r="AA150" s="62"/>
      <c r="AB150" s="61">
        <f>SUM(AB133:AB149)</f>
        <v>45599486.633721441</v>
      </c>
      <c r="AC150" s="62"/>
      <c r="AD150" s="62"/>
      <c r="AE150" s="61">
        <f>SUM(AE133:AE149)</f>
        <v>41418325.550965026</v>
      </c>
      <c r="AF150" s="20">
        <f>SUM(AF133:AF149)</f>
        <v>264361314.2361865</v>
      </c>
      <c r="AG150" s="20">
        <f t="shared" si="15"/>
        <v>257160.81151380012</v>
      </c>
    </row>
    <row r="151" spans="1:33" x14ac:dyDescent="0.3">
      <c r="A151" s="55"/>
      <c r="B151" s="56"/>
      <c r="C151" s="57"/>
      <c r="D151" s="58"/>
      <c r="E151" s="58"/>
      <c r="F151" s="58"/>
      <c r="G151" s="59"/>
      <c r="H151" s="60"/>
      <c r="I151" s="60"/>
      <c r="J151" s="61">
        <f t="shared" si="24"/>
        <v>0</v>
      </c>
      <c r="K151" s="60"/>
      <c r="L151" s="60"/>
      <c r="M151" s="61">
        <f>M150/$AL$2</f>
        <v>27542.503474152305</v>
      </c>
      <c r="N151" s="60"/>
      <c r="O151" s="60"/>
      <c r="P151" s="61">
        <f>P150/$AL$2</f>
        <v>30296.753821567538</v>
      </c>
      <c r="Q151" s="60"/>
      <c r="R151" s="60"/>
      <c r="S151" s="61">
        <f>S150/$AL$2</f>
        <v>33326.429203724299</v>
      </c>
      <c r="T151" s="60"/>
      <c r="U151" s="60"/>
      <c r="V151" s="61">
        <f>V150/$AL$2</f>
        <v>36659.072124096725</v>
      </c>
      <c r="W151" s="62"/>
      <c r="X151" s="62"/>
      <c r="Y151" s="61">
        <f>Y150/$AL$2</f>
        <v>40324.979336506403</v>
      </c>
      <c r="Z151" s="62"/>
      <c r="AA151" s="62"/>
      <c r="AB151" s="61">
        <f>AB150/$AL$2</f>
        <v>44357.477270157047</v>
      </c>
      <c r="AC151" s="62"/>
      <c r="AD151" s="62"/>
      <c r="AE151" s="61">
        <f>AE150/$AL$2</f>
        <v>40290.199952300609</v>
      </c>
      <c r="AF151" s="61">
        <f>AF150/$AL$2</f>
        <v>257160.81151380012</v>
      </c>
      <c r="AG151" s="20"/>
    </row>
    <row r="152" spans="1:33" x14ac:dyDescent="0.3">
      <c r="A152" s="2"/>
      <c r="B152" s="4"/>
      <c r="C152" s="3"/>
      <c r="D152" s="6"/>
      <c r="E152" s="6"/>
      <c r="F152" s="6"/>
      <c r="G152" s="25"/>
      <c r="H152" s="38"/>
      <c r="I152" s="38"/>
      <c r="J152" s="39">
        <f t="shared" si="24"/>
        <v>0</v>
      </c>
      <c r="K152" s="38"/>
      <c r="L152" s="38"/>
      <c r="M152" s="39">
        <f t="shared" si="16"/>
        <v>0</v>
      </c>
      <c r="N152" s="38"/>
      <c r="O152" s="38"/>
      <c r="P152" s="39">
        <f t="shared" si="23"/>
        <v>0</v>
      </c>
      <c r="Q152" s="38"/>
      <c r="R152" s="38"/>
      <c r="S152" s="39">
        <f t="shared" si="17"/>
        <v>0</v>
      </c>
      <c r="T152" s="38"/>
      <c r="U152" s="38"/>
      <c r="V152" s="28">
        <f t="shared" si="21"/>
        <v>0</v>
      </c>
      <c r="Y152">
        <f t="shared" si="18"/>
        <v>0</v>
      </c>
      <c r="AB152">
        <f t="shared" si="22"/>
        <v>0</v>
      </c>
      <c r="AE152">
        <f t="shared" si="19"/>
        <v>0</v>
      </c>
      <c r="AF152" s="28">
        <f t="shared" si="20"/>
        <v>0</v>
      </c>
      <c r="AG152" s="28">
        <f t="shared" si="15"/>
        <v>0</v>
      </c>
    </row>
    <row r="153" spans="1:33" ht="57.6" x14ac:dyDescent="0.3">
      <c r="A153" s="2" t="s">
        <v>836</v>
      </c>
      <c r="B153" s="4" t="s">
        <v>837</v>
      </c>
      <c r="C153" s="3" t="s">
        <v>879</v>
      </c>
      <c r="D153" s="6" t="s">
        <v>880</v>
      </c>
      <c r="E153" s="6" t="s">
        <v>881</v>
      </c>
      <c r="F153" s="6" t="s">
        <v>709</v>
      </c>
      <c r="G153" s="25">
        <v>35000</v>
      </c>
      <c r="H153" s="38"/>
      <c r="I153" s="38"/>
      <c r="J153" s="39">
        <f t="shared" si="24"/>
        <v>0</v>
      </c>
      <c r="K153" s="38"/>
      <c r="L153" s="38"/>
      <c r="M153" s="39">
        <f t="shared" si="16"/>
        <v>0</v>
      </c>
      <c r="N153" s="38">
        <v>5</v>
      </c>
      <c r="O153" s="38">
        <v>10</v>
      </c>
      <c r="P153" s="39">
        <f t="shared" si="23"/>
        <v>2117500</v>
      </c>
      <c r="Q153" s="38">
        <v>1</v>
      </c>
      <c r="R153" s="38">
        <v>4000</v>
      </c>
      <c r="S153" s="39">
        <f t="shared" si="17"/>
        <v>186340000.00000006</v>
      </c>
      <c r="T153" s="38">
        <v>1</v>
      </c>
      <c r="U153" s="38">
        <v>4000</v>
      </c>
      <c r="V153" s="28">
        <f t="shared" si="21"/>
        <v>204974000.00000006</v>
      </c>
      <c r="Y153">
        <f t="shared" si="18"/>
        <v>0</v>
      </c>
      <c r="AB153">
        <f t="shared" si="22"/>
        <v>0</v>
      </c>
      <c r="AE153">
        <f t="shared" si="19"/>
        <v>0</v>
      </c>
      <c r="AF153" s="28">
        <f t="shared" si="20"/>
        <v>393431500.00000012</v>
      </c>
      <c r="AG153" s="28">
        <f t="shared" si="15"/>
        <v>382715.46692607016</v>
      </c>
    </row>
    <row r="154" spans="1:33" ht="57.6" x14ac:dyDescent="0.3">
      <c r="A154" s="2" t="s">
        <v>836</v>
      </c>
      <c r="B154" s="4" t="s">
        <v>837</v>
      </c>
      <c r="C154" s="3" t="s">
        <v>879</v>
      </c>
      <c r="D154" s="6" t="s">
        <v>880</v>
      </c>
      <c r="E154" s="6" t="s">
        <v>881</v>
      </c>
      <c r="F154" s="6" t="s">
        <v>712</v>
      </c>
      <c r="G154" s="25">
        <f>1999/7</f>
        <v>285.57142857142856</v>
      </c>
      <c r="H154" s="38"/>
      <c r="I154" s="38"/>
      <c r="J154" s="39">
        <f t="shared" si="24"/>
        <v>0</v>
      </c>
      <c r="K154" s="38">
        <v>0</v>
      </c>
      <c r="L154" s="38">
        <v>0</v>
      </c>
      <c r="M154" s="39">
        <f t="shared" si="16"/>
        <v>0</v>
      </c>
      <c r="N154" s="38">
        <f>25*2*10</f>
        <v>500</v>
      </c>
      <c r="O154" s="38">
        <f>10*5</f>
        <v>50</v>
      </c>
      <c r="P154" s="39">
        <f t="shared" si="23"/>
        <v>8638535.7142857127</v>
      </c>
      <c r="Q154" s="38">
        <v>0</v>
      </c>
      <c r="R154" s="38">
        <v>0</v>
      </c>
      <c r="S154" s="39">
        <f t="shared" si="17"/>
        <v>0</v>
      </c>
      <c r="T154" s="38">
        <v>0</v>
      </c>
      <c r="U154" s="38">
        <v>0</v>
      </c>
      <c r="V154" s="28">
        <f t="shared" si="21"/>
        <v>0</v>
      </c>
      <c r="Y154">
        <f t="shared" si="18"/>
        <v>0</v>
      </c>
      <c r="AB154">
        <f t="shared" si="22"/>
        <v>0</v>
      </c>
      <c r="AE154">
        <f t="shared" si="19"/>
        <v>0</v>
      </c>
      <c r="AF154" s="28">
        <f t="shared" si="20"/>
        <v>8638535.7142857127</v>
      </c>
      <c r="AG154" s="28">
        <f t="shared" si="15"/>
        <v>8403.244858254584</v>
      </c>
    </row>
    <row r="155" spans="1:33" ht="57.6" x14ac:dyDescent="0.3">
      <c r="A155" s="2" t="s">
        <v>836</v>
      </c>
      <c r="B155" s="4" t="s">
        <v>837</v>
      </c>
      <c r="C155" s="3" t="s">
        <v>879</v>
      </c>
      <c r="D155" s="6" t="s">
        <v>880</v>
      </c>
      <c r="E155" s="6" t="s">
        <v>882</v>
      </c>
      <c r="F155" s="6" t="s">
        <v>841</v>
      </c>
      <c r="G155" s="25">
        <v>0</v>
      </c>
      <c r="H155" s="38"/>
      <c r="I155" s="38"/>
      <c r="J155" s="39">
        <f t="shared" si="24"/>
        <v>0</v>
      </c>
      <c r="K155" s="38">
        <v>0</v>
      </c>
      <c r="L155" s="38">
        <v>0</v>
      </c>
      <c r="M155" s="39">
        <f t="shared" si="16"/>
        <v>0</v>
      </c>
      <c r="N155" s="38">
        <v>0</v>
      </c>
      <c r="O155" s="38">
        <v>0</v>
      </c>
      <c r="P155" s="39">
        <f t="shared" si="23"/>
        <v>0</v>
      </c>
      <c r="Q155" s="38">
        <v>0</v>
      </c>
      <c r="R155" s="38">
        <v>0</v>
      </c>
      <c r="S155" s="39">
        <f t="shared" si="17"/>
        <v>0</v>
      </c>
      <c r="T155" s="38">
        <v>0</v>
      </c>
      <c r="U155" s="38">
        <v>0</v>
      </c>
      <c r="V155" s="28">
        <f t="shared" si="21"/>
        <v>0</v>
      </c>
      <c r="Y155">
        <f t="shared" si="18"/>
        <v>0</v>
      </c>
      <c r="AB155">
        <f t="shared" si="22"/>
        <v>0</v>
      </c>
      <c r="AE155">
        <f t="shared" si="19"/>
        <v>0</v>
      </c>
      <c r="AF155" s="28">
        <f t="shared" si="20"/>
        <v>0</v>
      </c>
      <c r="AG155" s="28">
        <f t="shared" si="15"/>
        <v>0</v>
      </c>
    </row>
    <row r="156" spans="1:33" ht="57.6" x14ac:dyDescent="0.3">
      <c r="A156" s="2" t="s">
        <v>836</v>
      </c>
      <c r="B156" s="4" t="s">
        <v>837</v>
      </c>
      <c r="C156" s="3" t="s">
        <v>879</v>
      </c>
      <c r="D156" s="6" t="s">
        <v>880</v>
      </c>
      <c r="E156" s="6" t="s">
        <v>160</v>
      </c>
      <c r="F156" s="6" t="s">
        <v>708</v>
      </c>
      <c r="G156" s="25">
        <f>500*1030</f>
        <v>515000</v>
      </c>
      <c r="H156" s="38"/>
      <c r="I156" s="38"/>
      <c r="J156" s="39">
        <f t="shared" si="24"/>
        <v>0</v>
      </c>
      <c r="K156" s="38">
        <v>0</v>
      </c>
      <c r="L156" s="38">
        <v>0</v>
      </c>
      <c r="M156" s="39">
        <f t="shared" si="16"/>
        <v>0</v>
      </c>
      <c r="N156" s="38">
        <v>1</v>
      </c>
      <c r="O156" s="38">
        <v>25</v>
      </c>
      <c r="P156" s="39">
        <f t="shared" si="23"/>
        <v>15578750</v>
      </c>
      <c r="Q156" s="38">
        <v>0</v>
      </c>
      <c r="R156" s="38">
        <v>0</v>
      </c>
      <c r="S156" s="39">
        <f t="shared" si="17"/>
        <v>0</v>
      </c>
      <c r="T156" s="38">
        <v>0</v>
      </c>
      <c r="U156" s="38">
        <v>0</v>
      </c>
      <c r="V156" s="28">
        <f t="shared" si="21"/>
        <v>0</v>
      </c>
      <c r="Y156">
        <f t="shared" si="18"/>
        <v>0</v>
      </c>
      <c r="AB156">
        <f t="shared" si="22"/>
        <v>0</v>
      </c>
      <c r="AE156">
        <f t="shared" si="19"/>
        <v>0</v>
      </c>
      <c r="AF156" s="28">
        <f t="shared" si="20"/>
        <v>15578750</v>
      </c>
      <c r="AG156" s="28">
        <f t="shared" si="15"/>
        <v>15154.426070038911</v>
      </c>
    </row>
    <row r="157" spans="1:33" ht="57.6" x14ac:dyDescent="0.3">
      <c r="A157" s="2" t="s">
        <v>836</v>
      </c>
      <c r="B157" s="4" t="s">
        <v>837</v>
      </c>
      <c r="C157" s="3" t="s">
        <v>879</v>
      </c>
      <c r="D157" s="6" t="s">
        <v>880</v>
      </c>
      <c r="E157" s="6" t="s">
        <v>160</v>
      </c>
      <c r="F157" s="6" t="s">
        <v>707</v>
      </c>
      <c r="G157" s="25">
        <v>391991.03749999998</v>
      </c>
      <c r="H157" s="38"/>
      <c r="I157" s="38"/>
      <c r="J157" s="39">
        <f t="shared" si="24"/>
        <v>0</v>
      </c>
      <c r="K157" s="38">
        <v>0</v>
      </c>
      <c r="L157" s="38">
        <v>0</v>
      </c>
      <c r="M157" s="39">
        <f t="shared" si="16"/>
        <v>0</v>
      </c>
      <c r="N157" s="38">
        <v>2</v>
      </c>
      <c r="O157" s="38">
        <v>2</v>
      </c>
      <c r="P157" s="39">
        <f t="shared" si="23"/>
        <v>1897236.6214999999</v>
      </c>
      <c r="Q157" s="38">
        <v>0</v>
      </c>
      <c r="R157" s="38">
        <v>0</v>
      </c>
      <c r="S157" s="39">
        <f t="shared" si="17"/>
        <v>0</v>
      </c>
      <c r="T157" s="38">
        <v>0</v>
      </c>
      <c r="U157" s="38">
        <v>0</v>
      </c>
      <c r="V157" s="28">
        <f t="shared" si="21"/>
        <v>0</v>
      </c>
      <c r="Y157">
        <f t="shared" si="18"/>
        <v>0</v>
      </c>
      <c r="AB157">
        <f t="shared" si="22"/>
        <v>0</v>
      </c>
      <c r="AE157">
        <f t="shared" si="19"/>
        <v>0</v>
      </c>
      <c r="AF157" s="28">
        <f t="shared" si="20"/>
        <v>1897236.6214999999</v>
      </c>
      <c r="AG157" s="28">
        <f t="shared" si="15"/>
        <v>1845.560915856031</v>
      </c>
    </row>
    <row r="158" spans="1:33" ht="57.6" x14ac:dyDescent="0.3">
      <c r="A158" s="2" t="s">
        <v>836</v>
      </c>
      <c r="B158" s="4" t="s">
        <v>837</v>
      </c>
      <c r="C158" s="3" t="s">
        <v>879</v>
      </c>
      <c r="D158" s="6" t="s">
        <v>880</v>
      </c>
      <c r="E158" s="6" t="s">
        <v>1319</v>
      </c>
      <c r="F158" s="6" t="s">
        <v>716</v>
      </c>
      <c r="G158" s="25">
        <v>35000</v>
      </c>
      <c r="H158" s="38"/>
      <c r="I158" s="38"/>
      <c r="J158" s="39">
        <f t="shared" si="24"/>
        <v>0</v>
      </c>
      <c r="K158" s="38"/>
      <c r="L158" s="38"/>
      <c r="M158" s="39"/>
      <c r="N158" s="38">
        <v>100</v>
      </c>
      <c r="O158" s="38">
        <v>1</v>
      </c>
      <c r="P158" s="39"/>
      <c r="Q158" s="38"/>
      <c r="R158" s="38"/>
      <c r="S158" s="39"/>
      <c r="T158" s="38"/>
      <c r="U158" s="38"/>
      <c r="V158" s="28"/>
      <c r="AF158" s="28"/>
      <c r="AG158" s="28"/>
    </row>
    <row r="159" spans="1:33" ht="57.6" x14ac:dyDescent="0.3">
      <c r="A159" s="2" t="s">
        <v>836</v>
      </c>
      <c r="B159" s="4" t="s">
        <v>837</v>
      </c>
      <c r="C159" s="3" t="s">
        <v>879</v>
      </c>
      <c r="D159" s="6" t="s">
        <v>880</v>
      </c>
      <c r="E159" s="6" t="s">
        <v>1319</v>
      </c>
      <c r="F159" s="6" t="s">
        <v>709</v>
      </c>
      <c r="G159" s="25">
        <v>39000</v>
      </c>
      <c r="H159" s="38"/>
      <c r="I159" s="38"/>
      <c r="J159" s="39">
        <f t="shared" si="24"/>
        <v>0</v>
      </c>
      <c r="K159" s="38"/>
      <c r="L159" s="38"/>
      <c r="M159" s="39"/>
      <c r="N159" s="38">
        <v>58</v>
      </c>
      <c r="O159" s="38">
        <v>2</v>
      </c>
      <c r="P159" s="39"/>
      <c r="Q159" s="38"/>
      <c r="R159" s="38"/>
      <c r="S159" s="39"/>
      <c r="T159" s="38"/>
      <c r="U159" s="38"/>
      <c r="V159" s="28"/>
      <c r="AF159" s="28"/>
      <c r="AG159" s="28"/>
    </row>
    <row r="160" spans="1:33" ht="57.6" x14ac:dyDescent="0.3">
      <c r="A160" s="2" t="s">
        <v>836</v>
      </c>
      <c r="B160" s="4" t="s">
        <v>837</v>
      </c>
      <c r="C160" s="3" t="s">
        <v>879</v>
      </c>
      <c r="D160" s="6" t="s">
        <v>880</v>
      </c>
      <c r="E160" s="6" t="s">
        <v>1319</v>
      </c>
      <c r="F160" s="6" t="s">
        <v>1299</v>
      </c>
      <c r="G160" s="25">
        <f>1999/7</f>
        <v>285.57142857142856</v>
      </c>
      <c r="H160" s="38"/>
      <c r="I160" s="38"/>
      <c r="J160" s="39">
        <f t="shared" si="24"/>
        <v>0</v>
      </c>
      <c r="K160" s="38"/>
      <c r="L160" s="38"/>
      <c r="M160" s="39"/>
      <c r="N160" s="38">
        <f>25*135*2</f>
        <v>6750</v>
      </c>
      <c r="O160" s="38">
        <v>1</v>
      </c>
      <c r="P160" s="39"/>
      <c r="Q160" s="38"/>
      <c r="R160" s="38"/>
      <c r="S160" s="39"/>
      <c r="T160" s="38"/>
      <c r="U160" s="38"/>
      <c r="V160" s="28"/>
      <c r="AF160" s="28"/>
      <c r="AG160" s="28"/>
    </row>
    <row r="161" spans="1:33" ht="57.6" x14ac:dyDescent="0.3">
      <c r="A161" s="2" t="s">
        <v>836</v>
      </c>
      <c r="B161" s="4" t="s">
        <v>837</v>
      </c>
      <c r="C161" s="3" t="s">
        <v>879</v>
      </c>
      <c r="D161" s="6" t="s">
        <v>880</v>
      </c>
      <c r="E161" s="6" t="s">
        <v>1319</v>
      </c>
      <c r="F161" s="6" t="s">
        <v>712</v>
      </c>
      <c r="G161" s="25">
        <f>1999/7</f>
        <v>285.57142857142856</v>
      </c>
      <c r="H161" s="38"/>
      <c r="I161" s="38"/>
      <c r="J161" s="39">
        <f t="shared" si="24"/>
        <v>0</v>
      </c>
      <c r="K161" s="38"/>
      <c r="L161" s="38"/>
      <c r="M161" s="39"/>
      <c r="N161" s="38">
        <f>25*2*29</f>
        <v>1450</v>
      </c>
      <c r="O161" s="38">
        <v>1</v>
      </c>
      <c r="P161" s="39"/>
      <c r="Q161" s="38"/>
      <c r="R161" s="38"/>
      <c r="S161" s="39"/>
      <c r="T161" s="38"/>
      <c r="U161" s="38"/>
      <c r="V161" s="28"/>
      <c r="AF161" s="28"/>
      <c r="AG161" s="28"/>
    </row>
    <row r="162" spans="1:33" ht="57.6" x14ac:dyDescent="0.3">
      <c r="A162" s="2" t="s">
        <v>836</v>
      </c>
      <c r="B162" s="4" t="s">
        <v>837</v>
      </c>
      <c r="C162" s="3" t="s">
        <v>879</v>
      </c>
      <c r="D162" s="6" t="s">
        <v>880</v>
      </c>
      <c r="E162" s="6" t="s">
        <v>161</v>
      </c>
      <c r="F162" s="6" t="s">
        <v>709</v>
      </c>
      <c r="G162" s="25">
        <v>35000</v>
      </c>
      <c r="H162" s="38"/>
      <c r="I162" s="38"/>
      <c r="J162" s="39">
        <f t="shared" si="24"/>
        <v>0</v>
      </c>
      <c r="K162" s="38">
        <v>0</v>
      </c>
      <c r="L162" s="38">
        <v>0</v>
      </c>
      <c r="M162" s="39">
        <f t="shared" si="16"/>
        <v>0</v>
      </c>
      <c r="N162" s="38">
        <v>100</v>
      </c>
      <c r="O162" s="38">
        <v>3</v>
      </c>
      <c r="P162" s="39">
        <f t="shared" si="23"/>
        <v>12705000</v>
      </c>
      <c r="Q162" s="38">
        <v>0</v>
      </c>
      <c r="R162" s="38">
        <v>0</v>
      </c>
      <c r="S162" s="39">
        <f t="shared" si="17"/>
        <v>0</v>
      </c>
      <c r="T162" s="38">
        <v>0</v>
      </c>
      <c r="U162" s="38">
        <v>0</v>
      </c>
      <c r="V162" s="28">
        <f t="shared" si="21"/>
        <v>0</v>
      </c>
      <c r="Y162">
        <f t="shared" si="18"/>
        <v>0</v>
      </c>
      <c r="AB162">
        <f t="shared" si="22"/>
        <v>0</v>
      </c>
      <c r="AE162">
        <f t="shared" si="19"/>
        <v>0</v>
      </c>
      <c r="AF162" s="28">
        <f t="shared" si="20"/>
        <v>12705000</v>
      </c>
      <c r="AG162" s="28">
        <f t="shared" si="15"/>
        <v>12358.949416342413</v>
      </c>
    </row>
    <row r="163" spans="1:33" ht="57.6" x14ac:dyDescent="0.3">
      <c r="A163" s="2" t="s">
        <v>836</v>
      </c>
      <c r="B163" s="4" t="s">
        <v>837</v>
      </c>
      <c r="C163" s="3" t="s">
        <v>879</v>
      </c>
      <c r="D163" s="6" t="s">
        <v>880</v>
      </c>
      <c r="E163" s="6" t="s">
        <v>161</v>
      </c>
      <c r="F163" s="6" t="s">
        <v>716</v>
      </c>
      <c r="G163" s="25">
        <v>39000</v>
      </c>
      <c r="H163" s="38"/>
      <c r="I163" s="38"/>
      <c r="J163" s="39">
        <f t="shared" si="24"/>
        <v>0</v>
      </c>
      <c r="K163" s="38">
        <v>0</v>
      </c>
      <c r="L163" s="38">
        <v>0</v>
      </c>
      <c r="M163" s="39">
        <f t="shared" si="16"/>
        <v>0</v>
      </c>
      <c r="N163" s="38">
        <v>58</v>
      </c>
      <c r="O163" s="38">
        <v>4</v>
      </c>
      <c r="P163" s="39">
        <f t="shared" si="23"/>
        <v>10948080</v>
      </c>
      <c r="Q163" s="38">
        <v>0</v>
      </c>
      <c r="R163" s="38">
        <v>0</v>
      </c>
      <c r="S163" s="39">
        <f t="shared" si="17"/>
        <v>0</v>
      </c>
      <c r="T163" s="38">
        <v>0</v>
      </c>
      <c r="U163" s="38">
        <v>0</v>
      </c>
      <c r="V163" s="28">
        <f t="shared" si="21"/>
        <v>0</v>
      </c>
      <c r="Y163">
        <f t="shared" si="18"/>
        <v>0</v>
      </c>
      <c r="AB163">
        <f t="shared" si="22"/>
        <v>0</v>
      </c>
      <c r="AE163">
        <f t="shared" si="19"/>
        <v>0</v>
      </c>
      <c r="AF163" s="28">
        <f t="shared" si="20"/>
        <v>10948080</v>
      </c>
      <c r="AG163" s="28">
        <f t="shared" si="15"/>
        <v>10649.88326848249</v>
      </c>
    </row>
    <row r="164" spans="1:33" ht="57.6" x14ac:dyDescent="0.3">
      <c r="A164" s="2" t="s">
        <v>836</v>
      </c>
      <c r="B164" s="4" t="s">
        <v>837</v>
      </c>
      <c r="C164" s="3" t="s">
        <v>879</v>
      </c>
      <c r="D164" s="6" t="s">
        <v>880</v>
      </c>
      <c r="E164" s="6" t="s">
        <v>161</v>
      </c>
      <c r="F164" s="6" t="s">
        <v>1299</v>
      </c>
      <c r="G164" s="25">
        <f>1999/7</f>
        <v>285.57142857142856</v>
      </c>
      <c r="H164" s="38"/>
      <c r="I164" s="38"/>
      <c r="J164" s="39">
        <f t="shared" si="24"/>
        <v>0</v>
      </c>
      <c r="K164" s="38"/>
      <c r="L164" s="38"/>
      <c r="M164" s="39"/>
      <c r="N164" s="38">
        <v>22500</v>
      </c>
      <c r="O164" s="38">
        <v>1</v>
      </c>
      <c r="P164" s="39"/>
      <c r="Q164" s="38"/>
      <c r="R164" s="38"/>
      <c r="S164" s="39"/>
      <c r="T164" s="38"/>
      <c r="U164" s="38"/>
      <c r="V164" s="28"/>
      <c r="AF164" s="28"/>
      <c r="AG164" s="28"/>
    </row>
    <row r="165" spans="1:33" ht="57.6" x14ac:dyDescent="0.3">
      <c r="A165" s="2" t="s">
        <v>836</v>
      </c>
      <c r="B165" s="4" t="s">
        <v>837</v>
      </c>
      <c r="C165" s="3" t="s">
        <v>879</v>
      </c>
      <c r="D165" s="6" t="s">
        <v>880</v>
      </c>
      <c r="E165" s="6" t="s">
        <v>161</v>
      </c>
      <c r="F165" s="6" t="s">
        <v>712</v>
      </c>
      <c r="G165" s="25">
        <f>1999/7</f>
        <v>285.57142857142856</v>
      </c>
      <c r="H165" s="38"/>
      <c r="I165" s="38"/>
      <c r="J165" s="39">
        <f t="shared" si="24"/>
        <v>0</v>
      </c>
      <c r="K165" s="38">
        <v>0</v>
      </c>
      <c r="L165" s="38">
        <v>0</v>
      </c>
      <c r="M165" s="39">
        <f t="shared" si="16"/>
        <v>0</v>
      </c>
      <c r="N165" s="38">
        <f>25*2*29</f>
        <v>1450</v>
      </c>
      <c r="O165" s="38">
        <v>3</v>
      </c>
      <c r="P165" s="39">
        <f t="shared" si="23"/>
        <v>1503105.2142857141</v>
      </c>
      <c r="Q165" s="38">
        <v>0</v>
      </c>
      <c r="R165" s="38">
        <v>0</v>
      </c>
      <c r="S165" s="39">
        <f t="shared" si="17"/>
        <v>0</v>
      </c>
      <c r="T165" s="38">
        <v>0</v>
      </c>
      <c r="U165" s="38">
        <v>0</v>
      </c>
      <c r="V165" s="28">
        <f t="shared" si="21"/>
        <v>0</v>
      </c>
      <c r="Y165">
        <f t="shared" si="18"/>
        <v>0</v>
      </c>
      <c r="AB165">
        <f t="shared" si="22"/>
        <v>0</v>
      </c>
      <c r="AE165">
        <f t="shared" si="19"/>
        <v>0</v>
      </c>
      <c r="AF165" s="28">
        <f t="shared" si="20"/>
        <v>1503105.2142857141</v>
      </c>
      <c r="AG165" s="28">
        <f t="shared" si="15"/>
        <v>1462.1646053362977</v>
      </c>
    </row>
    <row r="166" spans="1:33" ht="57.6" x14ac:dyDescent="0.3">
      <c r="A166" s="2" t="s">
        <v>836</v>
      </c>
      <c r="B166" s="4" t="s">
        <v>837</v>
      </c>
      <c r="C166" s="3" t="s">
        <v>879</v>
      </c>
      <c r="D166" s="6" t="s">
        <v>880</v>
      </c>
      <c r="E166" s="6" t="s">
        <v>883</v>
      </c>
      <c r="F166" s="6" t="s">
        <v>884</v>
      </c>
      <c r="G166" s="11">
        <v>8112303</v>
      </c>
      <c r="H166" s="38"/>
      <c r="I166" s="38"/>
      <c r="J166" s="39">
        <f t="shared" si="24"/>
        <v>0</v>
      </c>
      <c r="K166" s="38">
        <v>0</v>
      </c>
      <c r="L166" s="38">
        <v>0</v>
      </c>
      <c r="M166" s="39">
        <f t="shared" si="16"/>
        <v>0</v>
      </c>
      <c r="N166" s="38">
        <v>1</v>
      </c>
      <c r="O166" s="38">
        <v>1</v>
      </c>
      <c r="P166" s="39">
        <f t="shared" si="23"/>
        <v>9815886.629999999</v>
      </c>
      <c r="Q166" s="38">
        <v>0</v>
      </c>
      <c r="R166" s="38">
        <v>0</v>
      </c>
      <c r="S166" s="39">
        <f t="shared" si="17"/>
        <v>0</v>
      </c>
      <c r="T166" s="38">
        <v>0</v>
      </c>
      <c r="U166" s="38">
        <v>0</v>
      </c>
      <c r="V166" s="28">
        <f t="shared" si="21"/>
        <v>0</v>
      </c>
      <c r="Y166">
        <f t="shared" si="18"/>
        <v>0</v>
      </c>
      <c r="AB166">
        <f t="shared" si="22"/>
        <v>0</v>
      </c>
      <c r="AE166">
        <f t="shared" si="19"/>
        <v>0</v>
      </c>
      <c r="AF166" s="28">
        <f t="shared" si="20"/>
        <v>9815886.629999999</v>
      </c>
      <c r="AG166" s="28">
        <f t="shared" si="15"/>
        <v>9548.5278501945522</v>
      </c>
    </row>
    <row r="167" spans="1:33" ht="57.6" x14ac:dyDescent="0.3">
      <c r="A167" s="2" t="s">
        <v>836</v>
      </c>
      <c r="B167" s="4" t="s">
        <v>837</v>
      </c>
      <c r="C167" s="3" t="s">
        <v>879</v>
      </c>
      <c r="D167" s="6" t="s">
        <v>880</v>
      </c>
      <c r="E167" s="6" t="s">
        <v>885</v>
      </c>
      <c r="F167" s="6" t="s">
        <v>886</v>
      </c>
      <c r="G167" s="25">
        <f>G166*29</f>
        <v>235256787</v>
      </c>
      <c r="H167" s="38"/>
      <c r="I167" s="38"/>
      <c r="J167" s="39">
        <f t="shared" si="24"/>
        <v>0</v>
      </c>
      <c r="K167" s="38">
        <v>0</v>
      </c>
      <c r="L167" s="38">
        <v>0</v>
      </c>
      <c r="M167" s="39">
        <f t="shared" si="16"/>
        <v>0</v>
      </c>
      <c r="N167" s="38">
        <v>1</v>
      </c>
      <c r="O167" s="38">
        <v>1</v>
      </c>
      <c r="P167" s="39">
        <f t="shared" si="23"/>
        <v>284660712.26999998</v>
      </c>
      <c r="Q167" s="38">
        <v>1</v>
      </c>
      <c r="R167" s="38">
        <v>1</v>
      </c>
      <c r="S167" s="39">
        <f t="shared" si="17"/>
        <v>313126783.4970001</v>
      </c>
      <c r="T167" s="38"/>
      <c r="U167" s="38"/>
      <c r="V167" s="28">
        <f t="shared" si="21"/>
        <v>0</v>
      </c>
      <c r="Y167">
        <f t="shared" si="18"/>
        <v>0</v>
      </c>
      <c r="AB167">
        <f t="shared" si="22"/>
        <v>0</v>
      </c>
      <c r="AE167">
        <f t="shared" si="19"/>
        <v>0</v>
      </c>
      <c r="AF167" s="28">
        <f t="shared" si="20"/>
        <v>597787495.76700008</v>
      </c>
      <c r="AG167" s="28">
        <f t="shared" si="15"/>
        <v>581505.34607684833</v>
      </c>
    </row>
    <row r="168" spans="1:33" x14ac:dyDescent="0.3">
      <c r="A168" s="2" t="s">
        <v>1296</v>
      </c>
      <c r="B168" s="4"/>
      <c r="C168" s="3"/>
      <c r="D168" s="6"/>
      <c r="E168" s="6"/>
      <c r="F168" s="6"/>
      <c r="G168" s="25"/>
      <c r="H168" s="38"/>
      <c r="I168" s="38"/>
      <c r="J168" s="39">
        <f t="shared" si="24"/>
        <v>0</v>
      </c>
      <c r="K168" s="38"/>
      <c r="L168" s="38"/>
      <c r="M168" s="39">
        <f t="shared" si="16"/>
        <v>0</v>
      </c>
      <c r="N168" s="38"/>
      <c r="O168" s="38"/>
      <c r="P168" s="39">
        <f>SUM(P153:P167)</f>
        <v>347864806.45007139</v>
      </c>
      <c r="Q168" s="38"/>
      <c r="R168" s="38"/>
      <c r="S168" s="39">
        <f t="shared" si="17"/>
        <v>0</v>
      </c>
      <c r="T168" s="38"/>
      <c r="U168" s="38"/>
      <c r="V168" s="28">
        <f t="shared" si="21"/>
        <v>0</v>
      </c>
      <c r="Y168">
        <f t="shared" si="18"/>
        <v>0</v>
      </c>
      <c r="AB168">
        <f t="shared" si="22"/>
        <v>0</v>
      </c>
      <c r="AE168">
        <f t="shared" si="19"/>
        <v>0</v>
      </c>
      <c r="AF168" s="28">
        <f t="shared" si="20"/>
        <v>347864806.45007139</v>
      </c>
      <c r="AG168" s="28">
        <f t="shared" si="15"/>
        <v>338389.88954287098</v>
      </c>
    </row>
    <row r="169" spans="1:33" x14ac:dyDescent="0.3">
      <c r="A169" s="2"/>
      <c r="B169" s="4"/>
      <c r="C169" s="3"/>
      <c r="D169" s="6"/>
      <c r="E169" s="6"/>
      <c r="F169" s="6"/>
      <c r="G169" s="25"/>
      <c r="H169" s="38"/>
      <c r="I169" s="38"/>
      <c r="J169" s="39">
        <f t="shared" si="24"/>
        <v>0</v>
      </c>
      <c r="K169" s="38"/>
      <c r="L169" s="38"/>
      <c r="M169" s="39">
        <f t="shared" si="16"/>
        <v>0</v>
      </c>
      <c r="N169" s="38"/>
      <c r="O169" s="38"/>
      <c r="P169" s="39">
        <f t="shared" si="23"/>
        <v>0</v>
      </c>
      <c r="Q169" s="38"/>
      <c r="R169" s="38"/>
      <c r="S169" s="39">
        <f t="shared" si="17"/>
        <v>0</v>
      </c>
      <c r="T169" s="38"/>
      <c r="U169" s="38"/>
      <c r="V169" s="28">
        <f t="shared" si="21"/>
        <v>0</v>
      </c>
      <c r="Y169">
        <f t="shared" si="18"/>
        <v>0</v>
      </c>
      <c r="AB169">
        <f t="shared" si="22"/>
        <v>0</v>
      </c>
      <c r="AE169">
        <f t="shared" si="19"/>
        <v>0</v>
      </c>
      <c r="AF169" s="28">
        <f t="shared" si="20"/>
        <v>0</v>
      </c>
      <c r="AG169" s="28">
        <f t="shared" si="15"/>
        <v>0</v>
      </c>
    </row>
    <row r="170" spans="1:33" ht="57.6" x14ac:dyDescent="0.3">
      <c r="A170" s="2" t="s">
        <v>836</v>
      </c>
      <c r="B170" s="4" t="s">
        <v>837</v>
      </c>
      <c r="C170" s="3" t="s">
        <v>887</v>
      </c>
      <c r="D170" s="6" t="s">
        <v>888</v>
      </c>
      <c r="E170" s="6" t="s">
        <v>888</v>
      </c>
      <c r="F170" s="6" t="s">
        <v>709</v>
      </c>
      <c r="G170" s="25">
        <v>35000</v>
      </c>
      <c r="H170" s="38">
        <v>100</v>
      </c>
      <c r="I170" s="38">
        <v>5</v>
      </c>
      <c r="J170" s="39">
        <f t="shared" si="24"/>
        <v>17500000</v>
      </c>
      <c r="K170" s="38">
        <v>0</v>
      </c>
      <c r="L170" s="38">
        <v>0</v>
      </c>
      <c r="M170" s="39">
        <f t="shared" si="16"/>
        <v>0</v>
      </c>
      <c r="N170" s="38"/>
      <c r="O170" s="38"/>
      <c r="P170" s="39">
        <f t="shared" si="23"/>
        <v>0</v>
      </c>
      <c r="Q170" s="38">
        <v>1</v>
      </c>
      <c r="R170" s="38">
        <v>1</v>
      </c>
      <c r="S170" s="39">
        <f t="shared" si="17"/>
        <v>46585.000000000015</v>
      </c>
      <c r="T170" s="38"/>
      <c r="U170" s="38"/>
      <c r="V170" s="28">
        <f t="shared" si="21"/>
        <v>0</v>
      </c>
      <c r="W170" s="38">
        <v>100</v>
      </c>
      <c r="X170" s="38">
        <v>5</v>
      </c>
      <c r="Y170">
        <f t="shared" si="18"/>
        <v>28183925.000000007</v>
      </c>
      <c r="AB170">
        <f t="shared" si="22"/>
        <v>0</v>
      </c>
      <c r="AE170">
        <f t="shared" si="19"/>
        <v>0</v>
      </c>
      <c r="AF170" s="28">
        <f t="shared" si="20"/>
        <v>45730510.000000007</v>
      </c>
      <c r="AG170" s="28">
        <f t="shared" si="15"/>
        <v>44484.931906614795</v>
      </c>
    </row>
    <row r="171" spans="1:33" ht="57.6" x14ac:dyDescent="0.3">
      <c r="A171" s="2" t="s">
        <v>836</v>
      </c>
      <c r="B171" s="4" t="s">
        <v>837</v>
      </c>
      <c r="C171" s="3" t="s">
        <v>887</v>
      </c>
      <c r="D171" s="6" t="s">
        <v>888</v>
      </c>
      <c r="E171" s="6" t="s">
        <v>888</v>
      </c>
      <c r="F171" s="6" t="s">
        <v>716</v>
      </c>
      <c r="G171" s="25">
        <v>39000</v>
      </c>
      <c r="H171" s="38">
        <v>58</v>
      </c>
      <c r="I171" s="38">
        <v>5</v>
      </c>
      <c r="J171" s="39">
        <f t="shared" si="24"/>
        <v>11310000</v>
      </c>
      <c r="K171" s="38">
        <v>0</v>
      </c>
      <c r="L171" s="38">
        <v>0</v>
      </c>
      <c r="M171" s="39">
        <f t="shared" si="16"/>
        <v>0</v>
      </c>
      <c r="N171" s="38">
        <v>100</v>
      </c>
      <c r="O171" s="38">
        <v>5</v>
      </c>
      <c r="P171" s="39">
        <f t="shared" si="23"/>
        <v>23595000</v>
      </c>
      <c r="Q171" s="38">
        <v>0</v>
      </c>
      <c r="R171" s="38">
        <v>0</v>
      </c>
      <c r="S171" s="39">
        <f t="shared" si="17"/>
        <v>0</v>
      </c>
      <c r="T171" s="38">
        <v>100</v>
      </c>
      <c r="U171" s="38">
        <v>5</v>
      </c>
      <c r="V171" s="28">
        <f t="shared" si="21"/>
        <v>28549950.000000007</v>
      </c>
      <c r="W171" s="38">
        <v>58</v>
      </c>
      <c r="X171" s="38">
        <v>5</v>
      </c>
      <c r="Y171">
        <f t="shared" si="18"/>
        <v>18214868.100000005</v>
      </c>
      <c r="AB171">
        <f t="shared" si="22"/>
        <v>0</v>
      </c>
      <c r="AE171">
        <f t="shared" si="19"/>
        <v>0</v>
      </c>
      <c r="AF171" s="28">
        <f t="shared" si="20"/>
        <v>81669818.100000009</v>
      </c>
      <c r="AG171" s="28">
        <f t="shared" si="15"/>
        <v>79445.348346303508</v>
      </c>
    </row>
    <row r="172" spans="1:33" ht="57.6" x14ac:dyDescent="0.3">
      <c r="A172" s="2" t="s">
        <v>836</v>
      </c>
      <c r="B172" s="4" t="s">
        <v>837</v>
      </c>
      <c r="C172" s="3" t="s">
        <v>887</v>
      </c>
      <c r="D172" s="6" t="s">
        <v>888</v>
      </c>
      <c r="E172" s="6" t="s">
        <v>888</v>
      </c>
      <c r="F172" s="6" t="s">
        <v>712</v>
      </c>
      <c r="G172" s="25">
        <f>1999/7</f>
        <v>285.57142857142856</v>
      </c>
      <c r="H172" s="38">
        <f>25*2*29</f>
        <v>1450</v>
      </c>
      <c r="I172" s="38">
        <v>6</v>
      </c>
      <c r="J172" s="39">
        <f t="shared" si="24"/>
        <v>2484471.4285714286</v>
      </c>
      <c r="K172" s="38">
        <v>0</v>
      </c>
      <c r="L172" s="38">
        <v>0</v>
      </c>
      <c r="M172" s="39">
        <f t="shared" si="16"/>
        <v>0</v>
      </c>
      <c r="N172" s="38">
        <v>100</v>
      </c>
      <c r="O172" s="38">
        <v>6</v>
      </c>
      <c r="P172" s="39">
        <f t="shared" si="23"/>
        <v>207324.85714285713</v>
      </c>
      <c r="Q172" s="38">
        <v>0</v>
      </c>
      <c r="R172" s="38">
        <v>0</v>
      </c>
      <c r="S172" s="39">
        <f t="shared" si="17"/>
        <v>0</v>
      </c>
      <c r="T172" s="38">
        <v>100</v>
      </c>
      <c r="U172" s="38">
        <v>6</v>
      </c>
      <c r="V172" s="28">
        <f t="shared" si="21"/>
        <v>250863.07714285719</v>
      </c>
      <c r="W172" s="38">
        <f>25*2*29</f>
        <v>1450</v>
      </c>
      <c r="X172" s="38">
        <v>6</v>
      </c>
      <c r="Y172">
        <f t="shared" si="18"/>
        <v>4001266.0804285724</v>
      </c>
      <c r="AB172">
        <f t="shared" si="22"/>
        <v>0</v>
      </c>
      <c r="AE172">
        <f t="shared" si="19"/>
        <v>0</v>
      </c>
      <c r="AF172" s="28">
        <f t="shared" si="20"/>
        <v>6943925.4432857148</v>
      </c>
      <c r="AG172" s="28">
        <f t="shared" si="15"/>
        <v>6754.7912872429133</v>
      </c>
    </row>
    <row r="173" spans="1:33" ht="57.6" x14ac:dyDescent="0.3">
      <c r="A173" s="2" t="s">
        <v>836</v>
      </c>
      <c r="B173" s="4" t="s">
        <v>837</v>
      </c>
      <c r="C173" s="3" t="s">
        <v>887</v>
      </c>
      <c r="D173" s="6" t="s">
        <v>888</v>
      </c>
      <c r="E173" s="6" t="s">
        <v>888</v>
      </c>
      <c r="F173" s="6" t="s">
        <v>1299</v>
      </c>
      <c r="G173" s="25">
        <f>1999/7</f>
        <v>285.57142857142856</v>
      </c>
      <c r="H173" s="38">
        <v>22500</v>
      </c>
      <c r="I173" s="38">
        <v>1</v>
      </c>
      <c r="J173" s="39">
        <f t="shared" si="24"/>
        <v>6425357.1428571427</v>
      </c>
      <c r="K173" s="38"/>
      <c r="L173" s="38"/>
      <c r="M173" s="39"/>
      <c r="N173" s="38"/>
      <c r="O173" s="38"/>
      <c r="P173" s="39">
        <f t="shared" si="23"/>
        <v>0</v>
      </c>
      <c r="Q173" s="38"/>
      <c r="R173" s="38"/>
      <c r="S173" s="39"/>
      <c r="T173" s="38"/>
      <c r="U173" s="38"/>
      <c r="V173" s="28"/>
      <c r="W173" s="38">
        <v>22500</v>
      </c>
      <c r="X173" s="38">
        <v>1</v>
      </c>
      <c r="AF173" s="28"/>
      <c r="AG173" s="28"/>
    </row>
    <row r="174" spans="1:33" ht="57.6" x14ac:dyDescent="0.3">
      <c r="A174" s="2" t="s">
        <v>836</v>
      </c>
      <c r="B174" s="4" t="s">
        <v>837</v>
      </c>
      <c r="C174" s="3" t="s">
        <v>887</v>
      </c>
      <c r="D174" s="6" t="s">
        <v>888</v>
      </c>
      <c r="E174" s="6" t="s">
        <v>889</v>
      </c>
      <c r="F174" s="6" t="s">
        <v>718</v>
      </c>
      <c r="G174" s="25">
        <v>0</v>
      </c>
      <c r="H174" s="38">
        <v>20000</v>
      </c>
      <c r="I174" s="38">
        <v>1</v>
      </c>
      <c r="J174" s="39">
        <f t="shared" si="24"/>
        <v>0</v>
      </c>
      <c r="K174" s="38">
        <v>0</v>
      </c>
      <c r="L174" s="38">
        <v>0</v>
      </c>
      <c r="M174" s="39">
        <f t="shared" si="16"/>
        <v>0</v>
      </c>
      <c r="N174" s="38">
        <v>20000</v>
      </c>
      <c r="O174" s="38">
        <v>1</v>
      </c>
      <c r="P174" s="39">
        <f t="shared" si="23"/>
        <v>0</v>
      </c>
      <c r="Q174" s="38">
        <v>0</v>
      </c>
      <c r="R174" s="38">
        <v>0</v>
      </c>
      <c r="S174" s="39">
        <f t="shared" si="17"/>
        <v>0</v>
      </c>
      <c r="T174" s="38">
        <v>20000</v>
      </c>
      <c r="U174" s="38">
        <v>1</v>
      </c>
      <c r="V174" s="28">
        <f t="shared" si="21"/>
        <v>0</v>
      </c>
      <c r="W174" s="38">
        <v>20000</v>
      </c>
      <c r="X174" s="38">
        <v>1</v>
      </c>
      <c r="Y174">
        <f t="shared" si="18"/>
        <v>0</v>
      </c>
      <c r="AB174">
        <f t="shared" si="22"/>
        <v>0</v>
      </c>
      <c r="AE174">
        <f t="shared" si="19"/>
        <v>0</v>
      </c>
      <c r="AF174" s="28">
        <f t="shared" si="20"/>
        <v>0</v>
      </c>
      <c r="AG174" s="28">
        <f t="shared" si="15"/>
        <v>0</v>
      </c>
    </row>
    <row r="175" spans="1:33" ht="57.6" x14ac:dyDescent="0.3">
      <c r="A175" s="2" t="s">
        <v>836</v>
      </c>
      <c r="B175" s="4" t="s">
        <v>837</v>
      </c>
      <c r="C175" s="3" t="s">
        <v>887</v>
      </c>
      <c r="D175" s="6" t="s">
        <v>888</v>
      </c>
      <c r="E175" s="6" t="s">
        <v>890</v>
      </c>
      <c r="F175" s="6" t="s">
        <v>716</v>
      </c>
      <c r="G175" s="25">
        <v>39000</v>
      </c>
      <c r="H175" s="38">
        <v>25</v>
      </c>
      <c r="I175" s="38">
        <v>5</v>
      </c>
      <c r="J175" s="39">
        <f t="shared" si="24"/>
        <v>4875000</v>
      </c>
      <c r="K175" s="38">
        <v>0</v>
      </c>
      <c r="L175" s="38">
        <v>0</v>
      </c>
      <c r="M175" s="39">
        <f t="shared" si="16"/>
        <v>0</v>
      </c>
      <c r="N175" s="38">
        <v>0</v>
      </c>
      <c r="O175" s="38">
        <v>0</v>
      </c>
      <c r="P175" s="39">
        <f t="shared" si="23"/>
        <v>0</v>
      </c>
      <c r="Q175" s="38">
        <v>0</v>
      </c>
      <c r="R175" s="38">
        <v>0</v>
      </c>
      <c r="S175" s="39">
        <f t="shared" si="17"/>
        <v>0</v>
      </c>
      <c r="T175" s="38">
        <v>0</v>
      </c>
      <c r="U175" s="38">
        <v>0</v>
      </c>
      <c r="V175" s="28">
        <f t="shared" si="21"/>
        <v>0</v>
      </c>
      <c r="W175" s="38">
        <v>25</v>
      </c>
      <c r="X175" s="38">
        <v>5</v>
      </c>
      <c r="Y175">
        <f t="shared" si="18"/>
        <v>7851236.2500000019</v>
      </c>
      <c r="AB175">
        <f t="shared" si="22"/>
        <v>0</v>
      </c>
      <c r="AE175">
        <f t="shared" si="19"/>
        <v>0</v>
      </c>
      <c r="AF175" s="28">
        <f t="shared" si="20"/>
        <v>12726236.250000002</v>
      </c>
      <c r="AG175" s="28">
        <f t="shared" si="15"/>
        <v>12379.607247081714</v>
      </c>
    </row>
    <row r="176" spans="1:33" ht="57.6" x14ac:dyDescent="0.3">
      <c r="A176" s="2" t="s">
        <v>836</v>
      </c>
      <c r="B176" s="4" t="s">
        <v>837</v>
      </c>
      <c r="C176" s="3" t="s">
        <v>887</v>
      </c>
      <c r="D176" s="6" t="s">
        <v>888</v>
      </c>
      <c r="E176" s="6" t="s">
        <v>890</v>
      </c>
      <c r="F176" s="6" t="s">
        <v>712</v>
      </c>
      <c r="G176" s="25">
        <f>1999/7</f>
        <v>285.57142857142856</v>
      </c>
      <c r="H176" s="38">
        <f>25*2*9</f>
        <v>450</v>
      </c>
      <c r="I176" s="38">
        <v>5</v>
      </c>
      <c r="J176" s="39">
        <f t="shared" si="24"/>
        <v>642535.71428571432</v>
      </c>
      <c r="K176" s="38">
        <v>0</v>
      </c>
      <c r="L176" s="38">
        <v>0</v>
      </c>
      <c r="M176" s="39">
        <f t="shared" si="16"/>
        <v>0</v>
      </c>
      <c r="N176" s="38">
        <v>0</v>
      </c>
      <c r="O176" s="38">
        <v>0</v>
      </c>
      <c r="P176" s="39">
        <f t="shared" si="23"/>
        <v>0</v>
      </c>
      <c r="Q176" s="38">
        <v>0</v>
      </c>
      <c r="R176" s="38">
        <v>0</v>
      </c>
      <c r="S176" s="39">
        <f t="shared" si="17"/>
        <v>0</v>
      </c>
      <c r="T176" s="38">
        <v>0</v>
      </c>
      <c r="U176" s="38">
        <v>0</v>
      </c>
      <c r="V176" s="28">
        <f t="shared" si="21"/>
        <v>0</v>
      </c>
      <c r="W176" s="38">
        <f>25*2*9</f>
        <v>450</v>
      </c>
      <c r="X176" s="38">
        <v>5</v>
      </c>
      <c r="Y176">
        <f t="shared" si="18"/>
        <v>1034810.193214286</v>
      </c>
      <c r="AB176">
        <f t="shared" si="22"/>
        <v>0</v>
      </c>
      <c r="AE176">
        <f t="shared" si="19"/>
        <v>0</v>
      </c>
      <c r="AF176" s="28">
        <f t="shared" si="20"/>
        <v>1677345.9075000002</v>
      </c>
      <c r="AG176" s="28">
        <f t="shared" si="15"/>
        <v>1631.6594430933853</v>
      </c>
    </row>
    <row r="177" spans="1:34" ht="57.6" x14ac:dyDescent="0.3">
      <c r="A177" s="2" t="s">
        <v>836</v>
      </c>
      <c r="B177" s="4" t="s">
        <v>837</v>
      </c>
      <c r="C177" s="3" t="s">
        <v>887</v>
      </c>
      <c r="D177" s="6" t="s">
        <v>888</v>
      </c>
      <c r="E177" s="6" t="s">
        <v>890</v>
      </c>
      <c r="F177" s="6" t="s">
        <v>709</v>
      </c>
      <c r="G177" s="25">
        <v>35000</v>
      </c>
      <c r="H177" s="38">
        <v>25</v>
      </c>
      <c r="I177" s="38">
        <v>5</v>
      </c>
      <c r="J177" s="39">
        <f t="shared" si="24"/>
        <v>4375000</v>
      </c>
      <c r="K177" s="38">
        <v>0</v>
      </c>
      <c r="L177" s="38">
        <v>0</v>
      </c>
      <c r="M177" s="39">
        <f t="shared" si="16"/>
        <v>0</v>
      </c>
      <c r="N177" s="38">
        <v>0</v>
      </c>
      <c r="O177" s="38">
        <v>0</v>
      </c>
      <c r="P177" s="39">
        <f t="shared" si="23"/>
        <v>0</v>
      </c>
      <c r="Q177" s="38">
        <v>0</v>
      </c>
      <c r="R177" s="38">
        <v>0</v>
      </c>
      <c r="S177" s="39">
        <f t="shared" si="17"/>
        <v>0</v>
      </c>
      <c r="T177" s="38">
        <v>0</v>
      </c>
      <c r="U177" s="38">
        <v>0</v>
      </c>
      <c r="V177" s="28">
        <f t="shared" si="21"/>
        <v>0</v>
      </c>
      <c r="W177" s="38">
        <v>25</v>
      </c>
      <c r="X177" s="38">
        <v>5</v>
      </c>
      <c r="Y177">
        <f t="shared" si="18"/>
        <v>7045981.2500000019</v>
      </c>
      <c r="AB177">
        <f t="shared" si="22"/>
        <v>0</v>
      </c>
      <c r="AE177">
        <f t="shared" si="19"/>
        <v>0</v>
      </c>
      <c r="AF177" s="28">
        <f t="shared" si="20"/>
        <v>11420981.250000002</v>
      </c>
      <c r="AG177" s="28">
        <f t="shared" ref="AG177:AG259" si="25">AF177/$AL$2</f>
        <v>11109.903939688718</v>
      </c>
    </row>
    <row r="178" spans="1:34" ht="57.6" x14ac:dyDescent="0.3">
      <c r="A178" s="2" t="s">
        <v>836</v>
      </c>
      <c r="B178" s="4" t="s">
        <v>837</v>
      </c>
      <c r="C178" s="3" t="s">
        <v>887</v>
      </c>
      <c r="D178" s="6" t="s">
        <v>888</v>
      </c>
      <c r="E178" s="6" t="s">
        <v>891</v>
      </c>
      <c r="F178" s="6" t="s">
        <v>713</v>
      </c>
      <c r="G178" s="25">
        <v>45000</v>
      </c>
      <c r="H178" s="38">
        <v>10</v>
      </c>
      <c r="I178" s="38">
        <v>10</v>
      </c>
      <c r="J178" s="39">
        <f t="shared" si="24"/>
        <v>4500000</v>
      </c>
      <c r="K178" s="38">
        <v>10</v>
      </c>
      <c r="L178" s="38">
        <v>10</v>
      </c>
      <c r="M178" s="39">
        <f t="shared" ref="M178:M260" si="26">(G178*1.1)*K178*L178</f>
        <v>4950000.0000000009</v>
      </c>
      <c r="N178" s="38">
        <v>10</v>
      </c>
      <c r="O178" s="38">
        <v>10</v>
      </c>
      <c r="P178" s="39">
        <f t="shared" si="23"/>
        <v>5445000</v>
      </c>
      <c r="Q178" s="38">
        <v>10</v>
      </c>
      <c r="R178" s="38">
        <v>10</v>
      </c>
      <c r="S178" s="39">
        <f t="shared" ref="S178:S260" si="27">(G178*1.1^3)*Q178*R178</f>
        <v>5989500.0000000019</v>
      </c>
      <c r="T178" s="38">
        <v>10</v>
      </c>
      <c r="U178" s="38">
        <v>10</v>
      </c>
      <c r="V178" s="28">
        <f t="shared" si="21"/>
        <v>6588450.0000000009</v>
      </c>
      <c r="W178" s="38">
        <v>10</v>
      </c>
      <c r="X178" s="38">
        <v>10</v>
      </c>
      <c r="Y178">
        <f>(G178*1.1^5)*W178*X178</f>
        <v>7247295.0000000019</v>
      </c>
      <c r="Z178" s="38">
        <v>10</v>
      </c>
      <c r="AA178" s="38">
        <v>10</v>
      </c>
      <c r="AB178">
        <f t="shared" si="22"/>
        <v>7972024.5000000037</v>
      </c>
      <c r="AC178" s="38">
        <v>10</v>
      </c>
      <c r="AD178" s="38">
        <v>10</v>
      </c>
      <c r="AE178">
        <f t="shared" ref="AE178:AE260" si="28">(G178*1.1^7)*AC178*AD178</f>
        <v>8769226.9500000048</v>
      </c>
      <c r="AF178" s="28">
        <f t="shared" ref="AF178:AF260" si="29">J178+M178+P178+S178+V178+Y178+AB178+AE178</f>
        <v>51461496.450000003</v>
      </c>
      <c r="AG178" s="28">
        <f t="shared" si="25"/>
        <v>50059.821449416348</v>
      </c>
    </row>
    <row r="179" spans="1:34" ht="57.6" x14ac:dyDescent="0.3">
      <c r="A179" s="2" t="s">
        <v>836</v>
      </c>
      <c r="B179" s="4" t="s">
        <v>837</v>
      </c>
      <c r="C179" s="3" t="s">
        <v>887</v>
      </c>
      <c r="D179" s="6" t="s">
        <v>888</v>
      </c>
      <c r="E179" s="6" t="s">
        <v>891</v>
      </c>
      <c r="F179" s="6" t="s">
        <v>1299</v>
      </c>
      <c r="G179" s="25">
        <f>1999/7</f>
        <v>285.57142857142856</v>
      </c>
      <c r="H179" s="38">
        <v>22500</v>
      </c>
      <c r="I179" s="38">
        <v>1</v>
      </c>
      <c r="J179" s="39">
        <f t="shared" si="24"/>
        <v>6425357.1428571427</v>
      </c>
      <c r="K179" s="38">
        <v>22500</v>
      </c>
      <c r="L179" s="38">
        <v>1</v>
      </c>
      <c r="M179" s="39">
        <f>G179*K179*L179</f>
        <v>6425357.1428571427</v>
      </c>
      <c r="N179" s="38">
        <v>22500</v>
      </c>
      <c r="O179" s="38">
        <v>1</v>
      </c>
      <c r="P179" s="39">
        <f t="shared" si="23"/>
        <v>7774682.1428571418</v>
      </c>
      <c r="Q179" s="38">
        <v>22500</v>
      </c>
      <c r="R179" s="38">
        <v>1</v>
      </c>
      <c r="S179" s="39">
        <f t="shared" si="27"/>
        <v>8552150.3571428601</v>
      </c>
      <c r="T179" s="38">
        <v>22500</v>
      </c>
      <c r="U179" s="38">
        <v>1</v>
      </c>
      <c r="V179" s="28">
        <f t="shared" si="21"/>
        <v>9407365.3928571455</v>
      </c>
      <c r="W179" s="38">
        <v>22500</v>
      </c>
      <c r="X179" s="38">
        <v>1</v>
      </c>
      <c r="Y179" s="106">
        <f t="shared" ref="Y179:Y260" si="30">(G179*1.1^5)*W179*X179</f>
        <v>10348101.932142861</v>
      </c>
      <c r="Z179" s="38">
        <v>22500</v>
      </c>
      <c r="AA179" s="38">
        <v>1</v>
      </c>
      <c r="AB179" s="28">
        <f>G179*Z179*AA179</f>
        <v>6425357.1428571427</v>
      </c>
      <c r="AC179" s="38">
        <v>22500</v>
      </c>
      <c r="AD179" s="38">
        <v>1</v>
      </c>
      <c r="AE179" s="28">
        <f>G179*AC179*AD179</f>
        <v>6425357.1428571427</v>
      </c>
      <c r="AF179" s="28">
        <f t="shared" si="29"/>
        <v>61783728.396428578</v>
      </c>
      <c r="AG179" s="28">
        <f t="shared" si="25"/>
        <v>60100.903109366322</v>
      </c>
    </row>
    <row r="180" spans="1:34" ht="57.6" x14ac:dyDescent="0.3">
      <c r="A180" s="2" t="s">
        <v>836</v>
      </c>
      <c r="B180" s="4" t="s">
        <v>837</v>
      </c>
      <c r="C180" s="3" t="s">
        <v>887</v>
      </c>
      <c r="D180" s="6" t="s">
        <v>888</v>
      </c>
      <c r="E180" s="6" t="s">
        <v>891</v>
      </c>
      <c r="F180" s="6" t="s">
        <v>712</v>
      </c>
      <c r="G180" s="25">
        <f>1999/7</f>
        <v>285.57142857142856</v>
      </c>
      <c r="H180" s="38">
        <f>100*2*8</f>
        <v>1600</v>
      </c>
      <c r="I180" s="38">
        <v>5</v>
      </c>
      <c r="J180" s="39">
        <f t="shared" si="24"/>
        <v>2284571.4285714282</v>
      </c>
      <c r="K180" s="38">
        <f>100*2*8</f>
        <v>1600</v>
      </c>
      <c r="L180" s="38">
        <v>5</v>
      </c>
      <c r="M180" s="39">
        <f t="shared" si="26"/>
        <v>2513028.5714285718</v>
      </c>
      <c r="N180" s="38">
        <f>100*2*8</f>
        <v>1600</v>
      </c>
      <c r="O180" s="38">
        <v>5</v>
      </c>
      <c r="P180" s="39">
        <f t="shared" si="23"/>
        <v>2764331.4285714282</v>
      </c>
      <c r="Q180" s="38">
        <f>100*2*8</f>
        <v>1600</v>
      </c>
      <c r="R180" s="38">
        <v>5</v>
      </c>
      <c r="S180" s="39">
        <f t="shared" si="27"/>
        <v>3040764.5714285728</v>
      </c>
      <c r="T180" s="38">
        <f>100*2*8</f>
        <v>1600</v>
      </c>
      <c r="U180" s="38">
        <v>5</v>
      </c>
      <c r="V180" s="28">
        <f t="shared" si="21"/>
        <v>3344841.0285714292</v>
      </c>
      <c r="W180" s="38">
        <f>100*2*8</f>
        <v>1600</v>
      </c>
      <c r="X180" s="38">
        <v>5</v>
      </c>
      <c r="Y180">
        <f t="shared" si="30"/>
        <v>3679325.1314285723</v>
      </c>
      <c r="Z180" s="38">
        <f>100*2*8</f>
        <v>1600</v>
      </c>
      <c r="AA180" s="38">
        <v>5</v>
      </c>
      <c r="AB180">
        <f t="shared" si="22"/>
        <v>4047257.64457143</v>
      </c>
      <c r="AC180" s="38">
        <f>100*2*8</f>
        <v>1600</v>
      </c>
      <c r="AD180" s="38">
        <v>5</v>
      </c>
      <c r="AE180">
        <f t="shared" si="28"/>
        <v>4451983.4090285739</v>
      </c>
      <c r="AF180" s="28">
        <f t="shared" si="29"/>
        <v>26126103.213600006</v>
      </c>
      <c r="AG180" s="28">
        <f t="shared" si="25"/>
        <v>25414.497289494167</v>
      </c>
    </row>
    <row r="181" spans="1:34" x14ac:dyDescent="0.3">
      <c r="A181" s="55" t="s">
        <v>1296</v>
      </c>
      <c r="B181" s="56"/>
      <c r="C181" s="57"/>
      <c r="D181" s="58"/>
      <c r="E181" s="58"/>
      <c r="F181" s="58"/>
      <c r="G181" s="59"/>
      <c r="H181" s="60"/>
      <c r="I181" s="60"/>
      <c r="J181" s="61">
        <f t="shared" si="24"/>
        <v>0</v>
      </c>
      <c r="K181" s="60"/>
      <c r="L181" s="60"/>
      <c r="M181" s="61">
        <f>SUM(M162:M180)</f>
        <v>13888385.714285716</v>
      </c>
      <c r="N181" s="60"/>
      <c r="O181" s="60"/>
      <c r="P181" s="61">
        <f>SUM(P162:P180)</f>
        <v>707283928.9929285</v>
      </c>
      <c r="Q181" s="60"/>
      <c r="R181" s="60"/>
      <c r="S181" s="61">
        <f>SUM(S162:S180)</f>
        <v>330755783.42557156</v>
      </c>
      <c r="T181" s="60"/>
      <c r="U181" s="60"/>
      <c r="V181" s="61">
        <f>SUM(V162:V180)</f>
        <v>48141469.498571441</v>
      </c>
      <c r="W181" s="62"/>
      <c r="X181" s="62"/>
      <c r="Y181" s="61">
        <f>SUM(Y162:Y180)</f>
        <v>87606808.937214285</v>
      </c>
      <c r="Z181" s="62"/>
      <c r="AA181" s="62"/>
      <c r="AB181" s="61">
        <f>SUM(AB162:AB180)</f>
        <v>18444639.287428576</v>
      </c>
      <c r="AC181" s="62"/>
      <c r="AD181" s="62"/>
      <c r="AE181" s="61">
        <f>SUM(AE162:AE180)</f>
        <v>19646567.501885723</v>
      </c>
      <c r="AF181" s="20">
        <f>SUM(AF162:AF180)</f>
        <v>1280164519.0721714</v>
      </c>
      <c r="AG181" s="20">
        <f t="shared" si="25"/>
        <v>1245296.224778377</v>
      </c>
    </row>
    <row r="182" spans="1:34" x14ac:dyDescent="0.3">
      <c r="A182" s="55"/>
      <c r="B182" s="56"/>
      <c r="C182" s="57"/>
      <c r="D182" s="58"/>
      <c r="E182" s="58"/>
      <c r="F182" s="58"/>
      <c r="G182" s="59"/>
      <c r="H182" s="60"/>
      <c r="I182" s="60"/>
      <c r="J182" s="61">
        <f t="shared" si="24"/>
        <v>0</v>
      </c>
      <c r="K182" s="60"/>
      <c r="L182" s="60"/>
      <c r="M182" s="61">
        <f>M181/$AL$2</f>
        <v>13510.102834908284</v>
      </c>
      <c r="N182" s="60"/>
      <c r="O182" s="60"/>
      <c r="P182" s="61">
        <f>P181/$AL$2</f>
        <v>688019.38617989153</v>
      </c>
      <c r="Q182" s="60"/>
      <c r="R182" s="60"/>
      <c r="S182" s="61">
        <f>S181/$AL$2</f>
        <v>321746.87103654823</v>
      </c>
      <c r="T182" s="60"/>
      <c r="U182" s="60"/>
      <c r="V182" s="61">
        <f>V181/$AL$2</f>
        <v>46830.223247637587</v>
      </c>
      <c r="W182" s="62"/>
      <c r="X182" s="62"/>
      <c r="Y182" s="61">
        <f>Y181/$AL$2</f>
        <v>85220.631261881601</v>
      </c>
      <c r="Z182" s="62"/>
      <c r="AA182" s="62"/>
      <c r="AB182" s="61">
        <f>AB181/$AL$2</f>
        <v>17942.256116175657</v>
      </c>
      <c r="AC182" s="62"/>
      <c r="AD182" s="62"/>
      <c r="AE182" s="61">
        <f>AE181/$AL$2</f>
        <v>19111.446986270159</v>
      </c>
      <c r="AF182" s="61">
        <f>AF181/$AL$2</f>
        <v>1245296.224778377</v>
      </c>
      <c r="AG182" s="20"/>
    </row>
    <row r="183" spans="1:34" x14ac:dyDescent="0.3">
      <c r="A183" s="2"/>
      <c r="B183" s="4"/>
      <c r="C183" s="3"/>
      <c r="D183" s="6"/>
      <c r="E183" s="6"/>
      <c r="F183" s="6"/>
      <c r="G183" s="25"/>
      <c r="H183" s="38"/>
      <c r="I183" s="38"/>
      <c r="J183" s="39">
        <f t="shared" si="24"/>
        <v>0</v>
      </c>
      <c r="K183" s="38"/>
      <c r="L183" s="38"/>
      <c r="M183" s="39">
        <f t="shared" si="26"/>
        <v>0</v>
      </c>
      <c r="N183" s="38"/>
      <c r="O183" s="38"/>
      <c r="P183" s="39">
        <f t="shared" si="23"/>
        <v>0</v>
      </c>
      <c r="Q183" s="38"/>
      <c r="R183" s="38"/>
      <c r="S183" s="39">
        <f t="shared" si="27"/>
        <v>0</v>
      </c>
      <c r="T183" s="38"/>
      <c r="U183" s="38"/>
      <c r="V183" s="28">
        <f t="shared" si="21"/>
        <v>0</v>
      </c>
      <c r="Y183">
        <f t="shared" si="30"/>
        <v>0</v>
      </c>
      <c r="AB183">
        <f t="shared" si="22"/>
        <v>0</v>
      </c>
      <c r="AE183">
        <f t="shared" si="28"/>
        <v>0</v>
      </c>
      <c r="AF183" s="28">
        <f t="shared" si="29"/>
        <v>0</v>
      </c>
      <c r="AG183" s="28">
        <f t="shared" si="25"/>
        <v>0</v>
      </c>
    </row>
    <row r="184" spans="1:34" ht="57.6" x14ac:dyDescent="0.3">
      <c r="A184" s="76" t="s">
        <v>836</v>
      </c>
      <c r="B184" s="77" t="s">
        <v>837</v>
      </c>
      <c r="C184" s="78" t="s">
        <v>892</v>
      </c>
      <c r="D184" s="16" t="s">
        <v>893</v>
      </c>
      <c r="E184" s="16" t="s">
        <v>894</v>
      </c>
      <c r="F184" s="16" t="s">
        <v>841</v>
      </c>
      <c r="G184" s="79">
        <v>0</v>
      </c>
      <c r="H184" s="80">
        <v>20000</v>
      </c>
      <c r="I184" s="80">
        <v>8</v>
      </c>
      <c r="J184" s="81">
        <f t="shared" si="24"/>
        <v>0</v>
      </c>
      <c r="K184" s="80">
        <v>20000</v>
      </c>
      <c r="L184" s="80">
        <v>8</v>
      </c>
      <c r="M184" s="81">
        <f t="shared" si="26"/>
        <v>0</v>
      </c>
      <c r="N184" s="80">
        <v>20000</v>
      </c>
      <c r="O184" s="80">
        <v>8</v>
      </c>
      <c r="P184" s="81">
        <f t="shared" si="23"/>
        <v>0</v>
      </c>
      <c r="Q184" s="80">
        <v>20000</v>
      </c>
      <c r="R184" s="80">
        <v>8</v>
      </c>
      <c r="S184" s="81">
        <f t="shared" si="27"/>
        <v>0</v>
      </c>
      <c r="T184" s="80">
        <v>20000</v>
      </c>
      <c r="U184" s="80">
        <v>8</v>
      </c>
      <c r="V184" s="82">
        <f t="shared" si="21"/>
        <v>0</v>
      </c>
      <c r="W184" s="69"/>
      <c r="X184" s="69"/>
      <c r="Y184" s="69">
        <f t="shared" si="30"/>
        <v>0</v>
      </c>
      <c r="Z184" s="69"/>
      <c r="AA184" s="69"/>
      <c r="AB184" s="69">
        <f t="shared" si="22"/>
        <v>0</v>
      </c>
      <c r="AC184" s="69"/>
      <c r="AD184" s="69"/>
      <c r="AE184" s="69">
        <f t="shared" si="28"/>
        <v>0</v>
      </c>
      <c r="AF184" s="82">
        <f t="shared" si="29"/>
        <v>0</v>
      </c>
      <c r="AG184" s="82">
        <f t="shared" si="25"/>
        <v>0</v>
      </c>
      <c r="AH184" s="69"/>
    </row>
    <row r="185" spans="1:34" ht="57.6" x14ac:dyDescent="0.3">
      <c r="A185" s="76" t="s">
        <v>836</v>
      </c>
      <c r="B185" s="77" t="s">
        <v>837</v>
      </c>
      <c r="C185" s="78" t="s">
        <v>892</v>
      </c>
      <c r="D185" s="16" t="s">
        <v>893</v>
      </c>
      <c r="E185" s="16" t="s">
        <v>149</v>
      </c>
      <c r="F185" s="16" t="s">
        <v>707</v>
      </c>
      <c r="G185" s="79">
        <v>391991.03749999998</v>
      </c>
      <c r="H185" s="80">
        <v>2</v>
      </c>
      <c r="I185" s="80">
        <v>2</v>
      </c>
      <c r="J185" s="81">
        <f t="shared" si="24"/>
        <v>1567964.15</v>
      </c>
      <c r="K185" s="80">
        <v>0</v>
      </c>
      <c r="L185" s="80">
        <v>0</v>
      </c>
      <c r="M185" s="81">
        <f t="shared" si="26"/>
        <v>0</v>
      </c>
      <c r="N185" s="80">
        <v>0</v>
      </c>
      <c r="O185" s="80">
        <v>0</v>
      </c>
      <c r="P185" s="81">
        <f t="shared" si="23"/>
        <v>0</v>
      </c>
      <c r="Q185" s="80">
        <v>0</v>
      </c>
      <c r="R185" s="80">
        <v>0</v>
      </c>
      <c r="S185" s="81">
        <f t="shared" si="27"/>
        <v>0</v>
      </c>
      <c r="T185" s="80">
        <v>0</v>
      </c>
      <c r="U185" s="80">
        <v>0</v>
      </c>
      <c r="V185" s="82">
        <f t="shared" si="21"/>
        <v>0</v>
      </c>
      <c r="W185" s="69"/>
      <c r="X185" s="69"/>
      <c r="Y185" s="69">
        <f t="shared" si="30"/>
        <v>0</v>
      </c>
      <c r="Z185" s="69"/>
      <c r="AA185" s="69"/>
      <c r="AB185" s="69">
        <f t="shared" si="22"/>
        <v>0</v>
      </c>
      <c r="AC185" s="69"/>
      <c r="AD185" s="69"/>
      <c r="AE185" s="69">
        <f t="shared" si="28"/>
        <v>0</v>
      </c>
      <c r="AF185" s="82">
        <f t="shared" si="29"/>
        <v>1567964.15</v>
      </c>
      <c r="AG185" s="82">
        <f t="shared" si="25"/>
        <v>1525.2569552529183</v>
      </c>
      <c r="AH185" s="69"/>
    </row>
    <row r="186" spans="1:34" ht="57.6" x14ac:dyDescent="0.3">
      <c r="A186" s="76" t="s">
        <v>836</v>
      </c>
      <c r="B186" s="77" t="s">
        <v>837</v>
      </c>
      <c r="C186" s="78" t="s">
        <v>892</v>
      </c>
      <c r="D186" s="16" t="s">
        <v>893</v>
      </c>
      <c r="E186" s="16" t="s">
        <v>149</v>
      </c>
      <c r="F186" s="16" t="s">
        <v>708</v>
      </c>
      <c r="G186" s="79">
        <f>500*1030</f>
        <v>515000</v>
      </c>
      <c r="H186" s="80">
        <v>1</v>
      </c>
      <c r="I186" s="80">
        <v>25</v>
      </c>
      <c r="J186" s="81">
        <f t="shared" si="24"/>
        <v>12875000</v>
      </c>
      <c r="K186" s="80">
        <v>1</v>
      </c>
      <c r="L186" s="80">
        <v>6</v>
      </c>
      <c r="M186" s="81">
        <f t="shared" si="26"/>
        <v>3399000</v>
      </c>
      <c r="N186" s="80">
        <v>1</v>
      </c>
      <c r="O186" s="80">
        <v>6</v>
      </c>
      <c r="P186" s="81">
        <f t="shared" si="23"/>
        <v>3738900</v>
      </c>
      <c r="Q186" s="80">
        <v>1</v>
      </c>
      <c r="R186" s="80">
        <v>6</v>
      </c>
      <c r="S186" s="81">
        <f t="shared" si="27"/>
        <v>4112790.0000000014</v>
      </c>
      <c r="T186" s="80">
        <v>0</v>
      </c>
      <c r="U186" s="80">
        <v>0</v>
      </c>
      <c r="V186" s="82">
        <f t="shared" si="21"/>
        <v>0</v>
      </c>
      <c r="W186" s="69"/>
      <c r="X186" s="69"/>
      <c r="Y186" s="69">
        <f t="shared" si="30"/>
        <v>0</v>
      </c>
      <c r="Z186" s="69"/>
      <c r="AA186" s="69"/>
      <c r="AB186" s="69">
        <f t="shared" si="22"/>
        <v>0</v>
      </c>
      <c r="AC186" s="69"/>
      <c r="AD186" s="69"/>
      <c r="AE186" s="69">
        <f t="shared" si="28"/>
        <v>0</v>
      </c>
      <c r="AF186" s="82">
        <f t="shared" si="29"/>
        <v>24125690</v>
      </c>
      <c r="AG186" s="82">
        <f t="shared" si="25"/>
        <v>23468.570038910504</v>
      </c>
      <c r="AH186" s="69"/>
    </row>
    <row r="187" spans="1:34" ht="57.6" x14ac:dyDescent="0.3">
      <c r="A187" s="76" t="s">
        <v>836</v>
      </c>
      <c r="B187" s="77" t="s">
        <v>837</v>
      </c>
      <c r="C187" s="78" t="s">
        <v>892</v>
      </c>
      <c r="D187" s="16" t="s">
        <v>893</v>
      </c>
      <c r="E187" s="16" t="s">
        <v>895</v>
      </c>
      <c r="F187" s="16" t="s">
        <v>841</v>
      </c>
      <c r="G187" s="79">
        <v>0</v>
      </c>
      <c r="H187" s="80">
        <v>0</v>
      </c>
      <c r="I187" s="80">
        <v>0</v>
      </c>
      <c r="J187" s="81">
        <f t="shared" si="24"/>
        <v>0</v>
      </c>
      <c r="K187" s="80">
        <v>1</v>
      </c>
      <c r="L187" s="80">
        <v>50</v>
      </c>
      <c r="M187" s="81">
        <f t="shared" si="26"/>
        <v>0</v>
      </c>
      <c r="N187" s="80">
        <v>1</v>
      </c>
      <c r="O187" s="80">
        <v>50</v>
      </c>
      <c r="P187" s="81">
        <f t="shared" si="23"/>
        <v>0</v>
      </c>
      <c r="Q187" s="80">
        <v>1</v>
      </c>
      <c r="R187" s="80">
        <v>50</v>
      </c>
      <c r="S187" s="81">
        <f t="shared" si="27"/>
        <v>0</v>
      </c>
      <c r="T187" s="80">
        <v>0</v>
      </c>
      <c r="U187" s="80">
        <v>0</v>
      </c>
      <c r="V187" s="82">
        <f t="shared" si="21"/>
        <v>0</v>
      </c>
      <c r="W187" s="69"/>
      <c r="X187" s="69"/>
      <c r="Y187" s="69">
        <f t="shared" si="30"/>
        <v>0</v>
      </c>
      <c r="Z187" s="69"/>
      <c r="AA187" s="69"/>
      <c r="AB187" s="69">
        <f t="shared" si="22"/>
        <v>0</v>
      </c>
      <c r="AC187" s="69"/>
      <c r="AD187" s="69"/>
      <c r="AE187" s="69">
        <f t="shared" si="28"/>
        <v>0</v>
      </c>
      <c r="AF187" s="82">
        <f t="shared" si="29"/>
        <v>0</v>
      </c>
      <c r="AG187" s="82">
        <f t="shared" si="25"/>
        <v>0</v>
      </c>
      <c r="AH187" s="69"/>
    </row>
    <row r="188" spans="1:34" ht="57.6" x14ac:dyDescent="0.3">
      <c r="A188" s="76" t="s">
        <v>836</v>
      </c>
      <c r="B188" s="77" t="s">
        <v>837</v>
      </c>
      <c r="C188" s="78" t="s">
        <v>892</v>
      </c>
      <c r="D188" s="16" t="s">
        <v>893</v>
      </c>
      <c r="E188" s="16" t="s">
        <v>896</v>
      </c>
      <c r="F188" s="16" t="s">
        <v>709</v>
      </c>
      <c r="G188" s="79">
        <v>35000</v>
      </c>
      <c r="H188" s="80">
        <v>25</v>
      </c>
      <c r="I188" s="80">
        <v>5</v>
      </c>
      <c r="J188" s="81">
        <f t="shared" si="24"/>
        <v>4375000</v>
      </c>
      <c r="K188" s="80">
        <v>5</v>
      </c>
      <c r="L188" s="80">
        <v>14</v>
      </c>
      <c r="M188" s="81">
        <f t="shared" si="26"/>
        <v>2695000</v>
      </c>
      <c r="N188" s="80">
        <v>5</v>
      </c>
      <c r="O188" s="80">
        <v>14</v>
      </c>
      <c r="P188" s="81">
        <f t="shared" si="23"/>
        <v>2964500</v>
      </c>
      <c r="Q188" s="80">
        <v>5</v>
      </c>
      <c r="R188" s="80">
        <v>14</v>
      </c>
      <c r="S188" s="81">
        <f t="shared" si="27"/>
        <v>3260950.0000000009</v>
      </c>
      <c r="T188" s="80">
        <v>0</v>
      </c>
      <c r="U188" s="80">
        <v>0</v>
      </c>
      <c r="V188" s="82">
        <f t="shared" si="21"/>
        <v>0</v>
      </c>
      <c r="W188" s="69"/>
      <c r="X188" s="69"/>
      <c r="Y188" s="69">
        <f t="shared" si="30"/>
        <v>0</v>
      </c>
      <c r="Z188" s="69"/>
      <c r="AA188" s="69"/>
      <c r="AB188" s="69">
        <f t="shared" si="22"/>
        <v>0</v>
      </c>
      <c r="AC188" s="69"/>
      <c r="AD188" s="69"/>
      <c r="AE188" s="69">
        <f t="shared" si="28"/>
        <v>0</v>
      </c>
      <c r="AF188" s="82">
        <f t="shared" si="29"/>
        <v>13295450</v>
      </c>
      <c r="AG188" s="82">
        <f t="shared" si="25"/>
        <v>12933.317120622569</v>
      </c>
      <c r="AH188" s="69"/>
    </row>
    <row r="189" spans="1:34" ht="57.6" x14ac:dyDescent="0.3">
      <c r="A189" s="76" t="s">
        <v>836</v>
      </c>
      <c r="B189" s="77" t="s">
        <v>837</v>
      </c>
      <c r="C189" s="78" t="s">
        <v>892</v>
      </c>
      <c r="D189" s="16" t="s">
        <v>893</v>
      </c>
      <c r="E189" s="16" t="s">
        <v>896</v>
      </c>
      <c r="F189" s="16" t="s">
        <v>710</v>
      </c>
      <c r="G189" s="79">
        <v>104850</v>
      </c>
      <c r="H189" s="80">
        <v>1</v>
      </c>
      <c r="I189" s="80">
        <v>1</v>
      </c>
      <c r="J189" s="81">
        <f t="shared" si="24"/>
        <v>104850</v>
      </c>
      <c r="K189" s="80">
        <v>25</v>
      </c>
      <c r="L189" s="80">
        <v>3</v>
      </c>
      <c r="M189" s="81">
        <f t="shared" si="26"/>
        <v>8650125.0000000019</v>
      </c>
      <c r="N189" s="80">
        <v>25</v>
      </c>
      <c r="O189" s="80">
        <v>3</v>
      </c>
      <c r="P189" s="81">
        <f t="shared" si="23"/>
        <v>9515137.5</v>
      </c>
      <c r="Q189" s="80">
        <v>25</v>
      </c>
      <c r="R189" s="80">
        <v>3</v>
      </c>
      <c r="S189" s="81">
        <f t="shared" si="27"/>
        <v>10466651.250000004</v>
      </c>
      <c r="T189" s="80">
        <v>0</v>
      </c>
      <c r="U189" s="80">
        <v>0</v>
      </c>
      <c r="V189" s="82">
        <f t="shared" si="21"/>
        <v>0</v>
      </c>
      <c r="W189" s="69"/>
      <c r="X189" s="69"/>
      <c r="Y189" s="69">
        <f t="shared" si="30"/>
        <v>0</v>
      </c>
      <c r="Z189" s="69"/>
      <c r="AA189" s="69"/>
      <c r="AB189" s="69">
        <f t="shared" si="22"/>
        <v>0</v>
      </c>
      <c r="AC189" s="69"/>
      <c r="AD189" s="69"/>
      <c r="AE189" s="69">
        <f t="shared" si="28"/>
        <v>0</v>
      </c>
      <c r="AF189" s="82">
        <f t="shared" si="29"/>
        <v>28736763.750000004</v>
      </c>
      <c r="AG189" s="82">
        <f t="shared" si="25"/>
        <v>27954.050340466929</v>
      </c>
      <c r="AH189" s="69"/>
    </row>
    <row r="190" spans="1:34" ht="57.6" x14ac:dyDescent="0.3">
      <c r="A190" s="76" t="s">
        <v>836</v>
      </c>
      <c r="B190" s="77" t="s">
        <v>837</v>
      </c>
      <c r="C190" s="78" t="s">
        <v>892</v>
      </c>
      <c r="D190" s="16" t="s">
        <v>893</v>
      </c>
      <c r="E190" s="16" t="s">
        <v>896</v>
      </c>
      <c r="F190" s="16" t="s">
        <v>1297</v>
      </c>
      <c r="G190" s="79">
        <v>8000</v>
      </c>
      <c r="H190" s="80">
        <v>10</v>
      </c>
      <c r="I190" s="80">
        <v>1</v>
      </c>
      <c r="J190" s="81">
        <f t="shared" si="24"/>
        <v>80000</v>
      </c>
      <c r="K190" s="80">
        <v>1</v>
      </c>
      <c r="L190" s="80">
        <v>1</v>
      </c>
      <c r="M190" s="81">
        <f t="shared" si="26"/>
        <v>8800</v>
      </c>
      <c r="N190" s="80">
        <v>1</v>
      </c>
      <c r="O190" s="80">
        <v>1</v>
      </c>
      <c r="P190" s="81">
        <f t="shared" si="23"/>
        <v>9680</v>
      </c>
      <c r="Q190" s="80">
        <v>1</v>
      </c>
      <c r="R190" s="80">
        <v>1</v>
      </c>
      <c r="S190" s="81">
        <f t="shared" si="27"/>
        <v>10648.000000000004</v>
      </c>
      <c r="T190" s="80">
        <v>0</v>
      </c>
      <c r="U190" s="80">
        <v>0</v>
      </c>
      <c r="V190" s="82">
        <f t="shared" si="21"/>
        <v>0</v>
      </c>
      <c r="W190" s="69"/>
      <c r="X190" s="69"/>
      <c r="Y190" s="69">
        <f t="shared" si="30"/>
        <v>0</v>
      </c>
      <c r="Z190" s="69"/>
      <c r="AA190" s="69"/>
      <c r="AB190" s="69">
        <f t="shared" si="22"/>
        <v>0</v>
      </c>
      <c r="AC190" s="69"/>
      <c r="AD190" s="69"/>
      <c r="AE190" s="69">
        <f t="shared" si="28"/>
        <v>0</v>
      </c>
      <c r="AF190" s="82">
        <f t="shared" si="29"/>
        <v>109128</v>
      </c>
      <c r="AG190" s="82">
        <f t="shared" si="25"/>
        <v>106.1556420233463</v>
      </c>
      <c r="AH190" s="69"/>
    </row>
    <row r="191" spans="1:34" ht="57.6" x14ac:dyDescent="0.3">
      <c r="A191" s="76" t="s">
        <v>836</v>
      </c>
      <c r="B191" s="77" t="s">
        <v>837</v>
      </c>
      <c r="C191" s="78" t="s">
        <v>892</v>
      </c>
      <c r="D191" s="16" t="s">
        <v>893</v>
      </c>
      <c r="E191" s="16" t="s">
        <v>163</v>
      </c>
      <c r="F191" s="16" t="s">
        <v>713</v>
      </c>
      <c r="G191" s="79">
        <v>45000</v>
      </c>
      <c r="H191" s="80">
        <v>25</v>
      </c>
      <c r="I191" s="80">
        <v>6</v>
      </c>
      <c r="J191" s="81">
        <f t="shared" si="24"/>
        <v>6750000</v>
      </c>
      <c r="K191" s="80">
        <v>15</v>
      </c>
      <c r="L191" s="80">
        <v>1</v>
      </c>
      <c r="M191" s="81">
        <f t="shared" si="26"/>
        <v>742500.00000000012</v>
      </c>
      <c r="N191" s="80">
        <v>15</v>
      </c>
      <c r="O191" s="80">
        <v>1</v>
      </c>
      <c r="P191" s="81">
        <f t="shared" si="23"/>
        <v>816750</v>
      </c>
      <c r="Q191" s="80">
        <v>15</v>
      </c>
      <c r="R191" s="80">
        <v>1</v>
      </c>
      <c r="S191" s="81">
        <f t="shared" si="27"/>
        <v>898425.00000000035</v>
      </c>
      <c r="T191" s="80">
        <v>0</v>
      </c>
      <c r="U191" s="80">
        <v>0</v>
      </c>
      <c r="V191" s="82">
        <f t="shared" ref="V191:V272" si="31">(G191*1.1^4)*T191*U191</f>
        <v>0</v>
      </c>
      <c r="W191" s="69"/>
      <c r="X191" s="69"/>
      <c r="Y191" s="69">
        <f t="shared" si="30"/>
        <v>0</v>
      </c>
      <c r="Z191" s="69"/>
      <c r="AA191" s="69"/>
      <c r="AB191" s="69">
        <f t="shared" si="22"/>
        <v>0</v>
      </c>
      <c r="AC191" s="69"/>
      <c r="AD191" s="69"/>
      <c r="AE191" s="69">
        <f t="shared" si="28"/>
        <v>0</v>
      </c>
      <c r="AF191" s="82">
        <f t="shared" si="29"/>
        <v>9207675</v>
      </c>
      <c r="AG191" s="82">
        <f t="shared" si="25"/>
        <v>8956.8822957198445</v>
      </c>
      <c r="AH191" s="69"/>
    </row>
    <row r="192" spans="1:34" ht="57.6" x14ac:dyDescent="0.3">
      <c r="A192" s="76" t="s">
        <v>836</v>
      </c>
      <c r="B192" s="77" t="s">
        <v>837</v>
      </c>
      <c r="C192" s="78" t="s">
        <v>892</v>
      </c>
      <c r="D192" s="16" t="s">
        <v>893</v>
      </c>
      <c r="E192" s="16" t="s">
        <v>163</v>
      </c>
      <c r="F192" s="16" t="s">
        <v>712</v>
      </c>
      <c r="G192" s="79">
        <f>1999/7</f>
        <v>285.57142857142856</v>
      </c>
      <c r="H192" s="80">
        <f>25*2*9</f>
        <v>450</v>
      </c>
      <c r="I192" s="80">
        <v>1</v>
      </c>
      <c r="J192" s="81">
        <f t="shared" si="24"/>
        <v>128507.14285714286</v>
      </c>
      <c r="K192" s="80">
        <v>25</v>
      </c>
      <c r="L192" s="80">
        <v>1</v>
      </c>
      <c r="M192" s="81">
        <f t="shared" si="26"/>
        <v>7853.2142857142862</v>
      </c>
      <c r="N192" s="80">
        <v>25</v>
      </c>
      <c r="O192" s="80">
        <v>1</v>
      </c>
      <c r="P192" s="81">
        <f t="shared" si="23"/>
        <v>8638.5357142857138</v>
      </c>
      <c r="Q192" s="80">
        <v>25</v>
      </c>
      <c r="R192" s="80">
        <v>1</v>
      </c>
      <c r="S192" s="81">
        <f t="shared" si="27"/>
        <v>9502.3892857142891</v>
      </c>
      <c r="T192" s="80">
        <v>0</v>
      </c>
      <c r="U192" s="80">
        <v>0</v>
      </c>
      <c r="V192" s="82">
        <f t="shared" si="31"/>
        <v>0</v>
      </c>
      <c r="W192" s="69"/>
      <c r="X192" s="69"/>
      <c r="Y192" s="69">
        <f t="shared" si="30"/>
        <v>0</v>
      </c>
      <c r="Z192" s="69"/>
      <c r="AA192" s="69"/>
      <c r="AB192" s="69">
        <f t="shared" si="22"/>
        <v>0</v>
      </c>
      <c r="AC192" s="69"/>
      <c r="AD192" s="69"/>
      <c r="AE192" s="69">
        <f t="shared" si="28"/>
        <v>0</v>
      </c>
      <c r="AF192" s="82">
        <f t="shared" si="29"/>
        <v>154501.28214285712</v>
      </c>
      <c r="AG192" s="82">
        <f t="shared" si="25"/>
        <v>150.29307601445245</v>
      </c>
      <c r="AH192" s="69"/>
    </row>
    <row r="193" spans="1:34" ht="57.6" x14ac:dyDescent="0.3">
      <c r="A193" s="76" t="s">
        <v>836</v>
      </c>
      <c r="B193" s="77" t="s">
        <v>837</v>
      </c>
      <c r="C193" s="78" t="s">
        <v>892</v>
      </c>
      <c r="D193" s="16" t="s">
        <v>893</v>
      </c>
      <c r="E193" s="16" t="s">
        <v>163</v>
      </c>
      <c r="F193" s="16" t="s">
        <v>1350</v>
      </c>
      <c r="G193" s="79">
        <f>1999/7</f>
        <v>285.57142857142856</v>
      </c>
      <c r="H193" s="80">
        <f>2*135*9</f>
        <v>2430</v>
      </c>
      <c r="I193" s="80">
        <v>1</v>
      </c>
      <c r="J193" s="81">
        <f t="shared" si="24"/>
        <v>693938.57142857136</v>
      </c>
      <c r="K193" s="80"/>
      <c r="L193" s="80"/>
      <c r="M193" s="81"/>
      <c r="N193" s="80"/>
      <c r="O193" s="80"/>
      <c r="P193" s="81"/>
      <c r="Q193" s="80"/>
      <c r="R193" s="80"/>
      <c r="S193" s="81"/>
      <c r="T193" s="80"/>
      <c r="U193" s="80"/>
      <c r="V193" s="82"/>
      <c r="W193" s="69"/>
      <c r="X193" s="69"/>
      <c r="Y193" s="69">
        <f t="shared" si="30"/>
        <v>0</v>
      </c>
      <c r="Z193" s="69"/>
      <c r="AA193" s="69"/>
      <c r="AB193" s="69">
        <f t="shared" si="22"/>
        <v>0</v>
      </c>
      <c r="AC193" s="69"/>
      <c r="AD193" s="69"/>
      <c r="AE193" s="69">
        <f t="shared" si="28"/>
        <v>0</v>
      </c>
      <c r="AF193" s="82"/>
      <c r="AG193" s="82"/>
      <c r="AH193" s="69"/>
    </row>
    <row r="194" spans="1:34" ht="57.6" x14ac:dyDescent="0.3">
      <c r="A194" s="76" t="s">
        <v>836</v>
      </c>
      <c r="B194" s="77" t="s">
        <v>837</v>
      </c>
      <c r="C194" s="78" t="s">
        <v>892</v>
      </c>
      <c r="D194" s="16" t="s">
        <v>893</v>
      </c>
      <c r="E194" s="16" t="s">
        <v>846</v>
      </c>
      <c r="F194" s="16" t="s">
        <v>709</v>
      </c>
      <c r="G194" s="79">
        <v>35000</v>
      </c>
      <c r="H194" s="80">
        <v>100</v>
      </c>
      <c r="I194" s="80">
        <v>1</v>
      </c>
      <c r="J194" s="81">
        <f t="shared" si="24"/>
        <v>3500000</v>
      </c>
      <c r="K194" s="80">
        <v>4000</v>
      </c>
      <c r="L194" s="80">
        <v>1</v>
      </c>
      <c r="M194" s="81">
        <f t="shared" si="26"/>
        <v>154000000</v>
      </c>
      <c r="N194" s="80">
        <v>4000</v>
      </c>
      <c r="O194" s="80">
        <v>1</v>
      </c>
      <c r="P194" s="81">
        <f t="shared" si="23"/>
        <v>169400000</v>
      </c>
      <c r="Q194" s="80">
        <v>4000</v>
      </c>
      <c r="R194" s="80">
        <v>1</v>
      </c>
      <c r="S194" s="81">
        <f t="shared" si="27"/>
        <v>186340000.00000006</v>
      </c>
      <c r="T194" s="80">
        <v>0</v>
      </c>
      <c r="U194" s="80">
        <v>0</v>
      </c>
      <c r="V194" s="82">
        <f t="shared" si="31"/>
        <v>0</v>
      </c>
      <c r="W194" s="69"/>
      <c r="X194" s="69"/>
      <c r="Y194" s="69">
        <f t="shared" si="30"/>
        <v>0</v>
      </c>
      <c r="Z194" s="69"/>
      <c r="AA194" s="69"/>
      <c r="AB194" s="69">
        <f t="shared" si="22"/>
        <v>0</v>
      </c>
      <c r="AC194" s="69"/>
      <c r="AD194" s="69"/>
      <c r="AE194" s="69">
        <f t="shared" si="28"/>
        <v>0</v>
      </c>
      <c r="AF194" s="82">
        <f t="shared" si="29"/>
        <v>513240000.00000006</v>
      </c>
      <c r="AG194" s="82">
        <f t="shared" si="25"/>
        <v>499260.70038910513</v>
      </c>
      <c r="AH194" s="69"/>
    </row>
    <row r="195" spans="1:34" ht="57.6" x14ac:dyDescent="0.3">
      <c r="A195" s="76" t="s">
        <v>836</v>
      </c>
      <c r="B195" s="77" t="s">
        <v>837</v>
      </c>
      <c r="C195" s="78" t="s">
        <v>892</v>
      </c>
      <c r="D195" s="16" t="s">
        <v>893</v>
      </c>
      <c r="E195" s="16" t="s">
        <v>151</v>
      </c>
      <c r="F195" s="16" t="s">
        <v>713</v>
      </c>
      <c r="G195" s="79">
        <v>45000</v>
      </c>
      <c r="H195" s="80">
        <v>25</v>
      </c>
      <c r="I195" s="80">
        <v>6</v>
      </c>
      <c r="J195" s="81">
        <f t="shared" ref="J195:J258" si="32">G195*H195*I195</f>
        <v>6750000</v>
      </c>
      <c r="K195" s="80">
        <v>25</v>
      </c>
      <c r="L195" s="80">
        <v>1</v>
      </c>
      <c r="M195" s="81">
        <f t="shared" si="26"/>
        <v>1237500.0000000002</v>
      </c>
      <c r="N195" s="80">
        <v>25</v>
      </c>
      <c r="O195" s="80">
        <v>1</v>
      </c>
      <c r="P195" s="81">
        <f t="shared" si="23"/>
        <v>1361250</v>
      </c>
      <c r="Q195" s="80">
        <v>25</v>
      </c>
      <c r="R195" s="80">
        <v>1</v>
      </c>
      <c r="S195" s="81">
        <f t="shared" si="27"/>
        <v>1497375.0000000005</v>
      </c>
      <c r="T195" s="80">
        <v>0</v>
      </c>
      <c r="U195" s="80">
        <v>0</v>
      </c>
      <c r="V195" s="82">
        <f t="shared" si="31"/>
        <v>0</v>
      </c>
      <c r="W195" s="69"/>
      <c r="X195" s="69"/>
      <c r="Y195" s="69">
        <f t="shared" si="30"/>
        <v>0</v>
      </c>
      <c r="Z195" s="69"/>
      <c r="AA195" s="69"/>
      <c r="AB195" s="69">
        <f t="shared" ref="AB195:AB276" si="33">(G195*1.1^6)*Z195*AA195</f>
        <v>0</v>
      </c>
      <c r="AC195" s="69"/>
      <c r="AD195" s="69"/>
      <c r="AE195" s="69">
        <f t="shared" si="28"/>
        <v>0</v>
      </c>
      <c r="AF195" s="82">
        <f t="shared" si="29"/>
        <v>10846125</v>
      </c>
      <c r="AG195" s="82">
        <f t="shared" si="25"/>
        <v>10550.705252918287</v>
      </c>
      <c r="AH195" s="69"/>
    </row>
    <row r="196" spans="1:34" ht="57.6" x14ac:dyDescent="0.3">
      <c r="A196" s="76" t="s">
        <v>836</v>
      </c>
      <c r="B196" s="77" t="s">
        <v>837</v>
      </c>
      <c r="C196" s="78" t="s">
        <v>892</v>
      </c>
      <c r="D196" s="16" t="s">
        <v>893</v>
      </c>
      <c r="E196" s="16" t="s">
        <v>151</v>
      </c>
      <c r="F196" s="16" t="s">
        <v>712</v>
      </c>
      <c r="G196" s="79">
        <f>1999/7</f>
        <v>285.57142857142856</v>
      </c>
      <c r="H196" s="80">
        <f>25*2*9</f>
        <v>450</v>
      </c>
      <c r="I196" s="80">
        <v>5</v>
      </c>
      <c r="J196" s="81">
        <f t="shared" si="32"/>
        <v>642535.71428571432</v>
      </c>
      <c r="K196" s="80">
        <v>25</v>
      </c>
      <c r="L196" s="80">
        <v>10</v>
      </c>
      <c r="M196" s="81">
        <f t="shared" si="26"/>
        <v>78532.14285714287</v>
      </c>
      <c r="N196" s="80">
        <v>25</v>
      </c>
      <c r="O196" s="80">
        <v>10</v>
      </c>
      <c r="P196" s="81">
        <f t="shared" si="23"/>
        <v>86385.35714285713</v>
      </c>
      <c r="Q196" s="80">
        <v>25</v>
      </c>
      <c r="R196" s="80">
        <v>10</v>
      </c>
      <c r="S196" s="81">
        <f t="shared" si="27"/>
        <v>95023.892857142899</v>
      </c>
      <c r="T196" s="80">
        <v>0</v>
      </c>
      <c r="U196" s="80">
        <v>0</v>
      </c>
      <c r="V196" s="82">
        <f t="shared" si="31"/>
        <v>0</v>
      </c>
      <c r="W196" s="69"/>
      <c r="X196" s="69"/>
      <c r="Y196" s="69">
        <f t="shared" si="30"/>
        <v>0</v>
      </c>
      <c r="Z196" s="69"/>
      <c r="AA196" s="69"/>
      <c r="AB196" s="69">
        <f t="shared" si="33"/>
        <v>0</v>
      </c>
      <c r="AC196" s="69"/>
      <c r="AD196" s="69"/>
      <c r="AE196" s="69">
        <f t="shared" si="28"/>
        <v>0</v>
      </c>
      <c r="AF196" s="82">
        <f t="shared" si="29"/>
        <v>902477.10714285728</v>
      </c>
      <c r="AG196" s="82">
        <f t="shared" si="25"/>
        <v>877.89601862145651</v>
      </c>
      <c r="AH196" s="69"/>
    </row>
    <row r="197" spans="1:34" ht="57.6" x14ac:dyDescent="0.3">
      <c r="A197" s="76" t="s">
        <v>836</v>
      </c>
      <c r="B197" s="77" t="s">
        <v>837</v>
      </c>
      <c r="C197" s="78" t="s">
        <v>892</v>
      </c>
      <c r="D197" s="16" t="s">
        <v>893</v>
      </c>
      <c r="E197" s="16" t="s">
        <v>151</v>
      </c>
      <c r="F197" s="16" t="s">
        <v>1299</v>
      </c>
      <c r="G197" s="79">
        <f>1999/7</f>
        <v>285.57142857142856</v>
      </c>
      <c r="H197" s="80">
        <f>2*135*9</f>
        <v>2430</v>
      </c>
      <c r="I197" s="80">
        <v>1</v>
      </c>
      <c r="J197" s="81">
        <f t="shared" si="32"/>
        <v>693938.57142857136</v>
      </c>
      <c r="K197" s="80"/>
      <c r="L197" s="80"/>
      <c r="M197" s="81"/>
      <c r="N197" s="80"/>
      <c r="O197" s="80"/>
      <c r="P197" s="81"/>
      <c r="Q197" s="80"/>
      <c r="R197" s="80"/>
      <c r="S197" s="81"/>
      <c r="T197" s="80"/>
      <c r="U197" s="80"/>
      <c r="V197" s="82"/>
      <c r="W197" s="69"/>
      <c r="X197" s="69"/>
      <c r="Y197" s="69"/>
      <c r="Z197" s="69"/>
      <c r="AA197" s="69"/>
      <c r="AB197" s="69"/>
      <c r="AC197" s="69"/>
      <c r="AD197" s="69"/>
      <c r="AE197" s="69"/>
      <c r="AF197" s="82"/>
      <c r="AG197" s="82"/>
      <c r="AH197" s="69"/>
    </row>
    <row r="198" spans="1:34" ht="57.6" x14ac:dyDescent="0.3">
      <c r="A198" s="76" t="s">
        <v>836</v>
      </c>
      <c r="B198" s="77" t="s">
        <v>837</v>
      </c>
      <c r="C198" s="78" t="s">
        <v>892</v>
      </c>
      <c r="D198" s="16" t="s">
        <v>893</v>
      </c>
      <c r="E198" s="16" t="s">
        <v>151</v>
      </c>
      <c r="F198" s="16" t="s">
        <v>714</v>
      </c>
      <c r="G198" s="79">
        <v>10000</v>
      </c>
      <c r="H198" s="80">
        <v>15</v>
      </c>
      <c r="I198" s="80">
        <v>1</v>
      </c>
      <c r="J198" s="81">
        <f t="shared" si="32"/>
        <v>150000</v>
      </c>
      <c r="K198" s="80">
        <v>20000</v>
      </c>
      <c r="L198" s="80">
        <v>1</v>
      </c>
      <c r="M198" s="81">
        <f t="shared" si="26"/>
        <v>220000000</v>
      </c>
      <c r="N198" s="80">
        <v>20000</v>
      </c>
      <c r="O198" s="80">
        <v>1</v>
      </c>
      <c r="P198" s="81">
        <f t="shared" si="23"/>
        <v>242000000</v>
      </c>
      <c r="Q198" s="80">
        <v>20000</v>
      </c>
      <c r="R198" s="80">
        <v>1</v>
      </c>
      <c r="S198" s="81">
        <f t="shared" si="27"/>
        <v>266200000.00000006</v>
      </c>
      <c r="T198" s="80">
        <v>0</v>
      </c>
      <c r="U198" s="80">
        <v>0</v>
      </c>
      <c r="V198" s="82">
        <f t="shared" si="31"/>
        <v>0</v>
      </c>
      <c r="W198" s="69"/>
      <c r="X198" s="69"/>
      <c r="Y198" s="69">
        <f t="shared" si="30"/>
        <v>0</v>
      </c>
      <c r="Z198" s="69"/>
      <c r="AA198" s="69"/>
      <c r="AB198" s="69">
        <f t="shared" si="33"/>
        <v>0</v>
      </c>
      <c r="AC198" s="69"/>
      <c r="AD198" s="69"/>
      <c r="AE198" s="69">
        <f t="shared" si="28"/>
        <v>0</v>
      </c>
      <c r="AF198" s="82">
        <f t="shared" si="29"/>
        <v>728350000</v>
      </c>
      <c r="AG198" s="82">
        <f t="shared" si="25"/>
        <v>708511.67315175093</v>
      </c>
      <c r="AH198" s="69"/>
    </row>
    <row r="199" spans="1:34" ht="57.6" x14ac:dyDescent="0.3">
      <c r="A199" s="76" t="s">
        <v>836</v>
      </c>
      <c r="B199" s="77" t="s">
        <v>837</v>
      </c>
      <c r="C199" s="78" t="s">
        <v>892</v>
      </c>
      <c r="D199" s="16" t="s">
        <v>893</v>
      </c>
      <c r="E199" s="16" t="s">
        <v>151</v>
      </c>
      <c r="F199" s="16" t="s">
        <v>715</v>
      </c>
      <c r="G199" s="79">
        <v>302000</v>
      </c>
      <c r="H199" s="80">
        <v>15</v>
      </c>
      <c r="I199" s="80">
        <v>1</v>
      </c>
      <c r="J199" s="81">
        <f t="shared" si="32"/>
        <v>4530000</v>
      </c>
      <c r="K199" s="80">
        <v>15</v>
      </c>
      <c r="L199" s="80">
        <v>1</v>
      </c>
      <c r="M199" s="81">
        <f t="shared" si="26"/>
        <v>4983000</v>
      </c>
      <c r="N199" s="80">
        <v>15</v>
      </c>
      <c r="O199" s="80">
        <v>1</v>
      </c>
      <c r="P199" s="81">
        <f t="shared" si="23"/>
        <v>5481300</v>
      </c>
      <c r="Q199" s="80">
        <v>15</v>
      </c>
      <c r="R199" s="80">
        <v>1</v>
      </c>
      <c r="S199" s="81">
        <f t="shared" si="27"/>
        <v>6029430.0000000019</v>
      </c>
      <c r="T199" s="80">
        <v>0</v>
      </c>
      <c r="U199" s="80">
        <v>0</v>
      </c>
      <c r="V199" s="82">
        <f t="shared" si="31"/>
        <v>0</v>
      </c>
      <c r="W199" s="69"/>
      <c r="X199" s="69"/>
      <c r="Y199" s="69">
        <f t="shared" si="30"/>
        <v>0</v>
      </c>
      <c r="Z199" s="69"/>
      <c r="AA199" s="69"/>
      <c r="AB199" s="69">
        <f t="shared" si="33"/>
        <v>0</v>
      </c>
      <c r="AC199" s="69"/>
      <c r="AD199" s="69"/>
      <c r="AE199" s="69">
        <f t="shared" si="28"/>
        <v>0</v>
      </c>
      <c r="AF199" s="82">
        <f t="shared" si="29"/>
        <v>21023730</v>
      </c>
      <c r="AG199" s="82">
        <f t="shared" si="25"/>
        <v>20451.099221789882</v>
      </c>
      <c r="AH199" s="69"/>
    </row>
    <row r="200" spans="1:34" ht="57.6" x14ac:dyDescent="0.3">
      <c r="A200" s="76" t="s">
        <v>836</v>
      </c>
      <c r="B200" s="77" t="s">
        <v>837</v>
      </c>
      <c r="C200" s="78" t="s">
        <v>892</v>
      </c>
      <c r="D200" s="16" t="s">
        <v>893</v>
      </c>
      <c r="E200" s="16" t="s">
        <v>152</v>
      </c>
      <c r="F200" s="16" t="s">
        <v>709</v>
      </c>
      <c r="G200" s="79">
        <v>35000</v>
      </c>
      <c r="H200" s="80">
        <v>25</v>
      </c>
      <c r="I200" s="80">
        <v>5</v>
      </c>
      <c r="J200" s="81">
        <f t="shared" si="32"/>
        <v>4375000</v>
      </c>
      <c r="K200" s="80">
        <v>20</v>
      </c>
      <c r="L200" s="80">
        <v>1</v>
      </c>
      <c r="M200" s="81">
        <f t="shared" si="26"/>
        <v>770000</v>
      </c>
      <c r="N200" s="80">
        <v>20</v>
      </c>
      <c r="O200" s="80">
        <v>1</v>
      </c>
      <c r="P200" s="81">
        <f t="shared" si="23"/>
        <v>847000</v>
      </c>
      <c r="Q200" s="80">
        <v>20</v>
      </c>
      <c r="R200" s="80">
        <v>1</v>
      </c>
      <c r="S200" s="81">
        <f t="shared" si="27"/>
        <v>931700.00000000023</v>
      </c>
      <c r="T200" s="80">
        <v>0</v>
      </c>
      <c r="U200" s="80">
        <v>0</v>
      </c>
      <c r="V200" s="82">
        <f t="shared" si="31"/>
        <v>0</v>
      </c>
      <c r="W200" s="69"/>
      <c r="X200" s="69"/>
      <c r="Y200" s="69">
        <f t="shared" si="30"/>
        <v>0</v>
      </c>
      <c r="Z200" s="69"/>
      <c r="AA200" s="69"/>
      <c r="AB200" s="69">
        <f t="shared" si="33"/>
        <v>0</v>
      </c>
      <c r="AC200" s="69"/>
      <c r="AD200" s="69"/>
      <c r="AE200" s="69">
        <f t="shared" si="28"/>
        <v>0</v>
      </c>
      <c r="AF200" s="82">
        <f t="shared" si="29"/>
        <v>6923700</v>
      </c>
      <c r="AG200" s="82">
        <f t="shared" si="25"/>
        <v>6735.1167315175098</v>
      </c>
      <c r="AH200" s="69"/>
    </row>
    <row r="201" spans="1:34" ht="57.6" x14ac:dyDescent="0.3">
      <c r="A201" s="76" t="s">
        <v>836</v>
      </c>
      <c r="B201" s="77" t="s">
        <v>837</v>
      </c>
      <c r="C201" s="78" t="s">
        <v>892</v>
      </c>
      <c r="D201" s="16" t="s">
        <v>893</v>
      </c>
      <c r="E201" s="16" t="s">
        <v>152</v>
      </c>
      <c r="F201" s="16" t="s">
        <v>712</v>
      </c>
      <c r="G201" s="79">
        <f>1999/7</f>
        <v>285.57142857142856</v>
      </c>
      <c r="H201" s="80">
        <f>25*2*9</f>
        <v>450</v>
      </c>
      <c r="I201" s="80">
        <v>5</v>
      </c>
      <c r="J201" s="81">
        <f t="shared" si="32"/>
        <v>642535.71428571432</v>
      </c>
      <c r="K201" s="80">
        <v>25</v>
      </c>
      <c r="L201" s="80">
        <v>10</v>
      </c>
      <c r="M201" s="81">
        <f t="shared" si="26"/>
        <v>78532.14285714287</v>
      </c>
      <c r="N201" s="80">
        <v>25</v>
      </c>
      <c r="O201" s="80">
        <v>10</v>
      </c>
      <c r="P201" s="81">
        <f t="shared" si="23"/>
        <v>86385.35714285713</v>
      </c>
      <c r="Q201" s="80">
        <v>25</v>
      </c>
      <c r="R201" s="80">
        <v>10</v>
      </c>
      <c r="S201" s="81">
        <f t="shared" si="27"/>
        <v>95023.892857142899</v>
      </c>
      <c r="T201" s="80">
        <v>0</v>
      </c>
      <c r="U201" s="80">
        <v>0</v>
      </c>
      <c r="V201" s="82">
        <f t="shared" si="31"/>
        <v>0</v>
      </c>
      <c r="W201" s="69"/>
      <c r="X201" s="69"/>
      <c r="Y201" s="69">
        <f t="shared" si="30"/>
        <v>0</v>
      </c>
      <c r="Z201" s="69"/>
      <c r="AA201" s="69"/>
      <c r="AB201" s="69">
        <f t="shared" si="33"/>
        <v>0</v>
      </c>
      <c r="AC201" s="69"/>
      <c r="AD201" s="69"/>
      <c r="AE201" s="69">
        <f t="shared" si="28"/>
        <v>0</v>
      </c>
      <c r="AF201" s="82">
        <f t="shared" si="29"/>
        <v>902477.10714285728</v>
      </c>
      <c r="AG201" s="82">
        <f t="shared" si="25"/>
        <v>877.89601862145651</v>
      </c>
      <c r="AH201" s="69"/>
    </row>
    <row r="202" spans="1:34" ht="57.6" x14ac:dyDescent="0.3">
      <c r="A202" s="76" t="s">
        <v>836</v>
      </c>
      <c r="B202" s="77" t="s">
        <v>837</v>
      </c>
      <c r="C202" s="78" t="s">
        <v>892</v>
      </c>
      <c r="D202" s="16" t="s">
        <v>893</v>
      </c>
      <c r="E202" s="16" t="s">
        <v>152</v>
      </c>
      <c r="F202" s="16" t="s">
        <v>716</v>
      </c>
      <c r="G202" s="79">
        <v>39000</v>
      </c>
      <c r="H202" s="80">
        <v>25</v>
      </c>
      <c r="I202" s="80">
        <v>6</v>
      </c>
      <c r="J202" s="81">
        <f t="shared" si="32"/>
        <v>5850000</v>
      </c>
      <c r="K202" s="80">
        <v>4000</v>
      </c>
      <c r="L202" s="80">
        <v>1</v>
      </c>
      <c r="M202" s="81">
        <f t="shared" si="26"/>
        <v>171600000</v>
      </c>
      <c r="N202" s="80">
        <v>4000</v>
      </c>
      <c r="O202" s="80">
        <v>1</v>
      </c>
      <c r="P202" s="81">
        <f t="shared" si="23"/>
        <v>188760000</v>
      </c>
      <c r="Q202" s="80">
        <v>4000</v>
      </c>
      <c r="R202" s="80">
        <v>1</v>
      </c>
      <c r="S202" s="81">
        <f t="shared" si="27"/>
        <v>207636000.00000006</v>
      </c>
      <c r="T202" s="80">
        <v>0</v>
      </c>
      <c r="U202" s="80">
        <v>0</v>
      </c>
      <c r="V202" s="82">
        <f t="shared" si="31"/>
        <v>0</v>
      </c>
      <c r="W202" s="69"/>
      <c r="X202" s="69"/>
      <c r="Y202" s="69">
        <f t="shared" si="30"/>
        <v>0</v>
      </c>
      <c r="Z202" s="69"/>
      <c r="AA202" s="69"/>
      <c r="AB202" s="69">
        <f t="shared" si="33"/>
        <v>0</v>
      </c>
      <c r="AC202" s="69"/>
      <c r="AD202" s="69"/>
      <c r="AE202" s="69">
        <f t="shared" si="28"/>
        <v>0</v>
      </c>
      <c r="AF202" s="82">
        <f t="shared" si="29"/>
        <v>573846000</v>
      </c>
      <c r="AG202" s="82">
        <f t="shared" si="25"/>
        <v>558215.95330739301</v>
      </c>
      <c r="AH202" s="69"/>
    </row>
    <row r="203" spans="1:34" ht="57.6" x14ac:dyDescent="0.3">
      <c r="A203" s="76" t="s">
        <v>836</v>
      </c>
      <c r="B203" s="77" t="s">
        <v>837</v>
      </c>
      <c r="C203" s="78" t="s">
        <v>892</v>
      </c>
      <c r="D203" s="16" t="s">
        <v>893</v>
      </c>
      <c r="E203" s="16" t="s">
        <v>152</v>
      </c>
      <c r="F203" s="16" t="s">
        <v>1299</v>
      </c>
      <c r="G203" s="79">
        <f>1999/7</f>
        <v>285.57142857142856</v>
      </c>
      <c r="H203" s="80">
        <f>2*135*9</f>
        <v>2430</v>
      </c>
      <c r="I203" s="80">
        <v>1</v>
      </c>
      <c r="J203" s="81">
        <f t="shared" si="32"/>
        <v>693938.57142857136</v>
      </c>
      <c r="K203" s="80"/>
      <c r="L203" s="80"/>
      <c r="M203" s="81"/>
      <c r="N203" s="80"/>
      <c r="O203" s="80"/>
      <c r="P203" s="81"/>
      <c r="Q203" s="80"/>
      <c r="R203" s="80"/>
      <c r="S203" s="81"/>
      <c r="T203" s="80"/>
      <c r="U203" s="80"/>
      <c r="V203" s="82"/>
      <c r="W203" s="69"/>
      <c r="X203" s="69"/>
      <c r="Y203" s="69"/>
      <c r="Z203" s="69"/>
      <c r="AA203" s="69"/>
      <c r="AB203" s="69"/>
      <c r="AC203" s="69"/>
      <c r="AD203" s="69"/>
      <c r="AE203" s="69"/>
      <c r="AF203" s="82"/>
      <c r="AG203" s="82"/>
      <c r="AH203" s="69"/>
    </row>
    <row r="204" spans="1:34" ht="57.6" x14ac:dyDescent="0.3">
      <c r="A204" s="76" t="s">
        <v>836</v>
      </c>
      <c r="B204" s="77" t="s">
        <v>837</v>
      </c>
      <c r="C204" s="78" t="s">
        <v>892</v>
      </c>
      <c r="D204" s="16" t="s">
        <v>893</v>
      </c>
      <c r="E204" s="16" t="s">
        <v>861</v>
      </c>
      <c r="F204" s="16" t="s">
        <v>841</v>
      </c>
      <c r="G204" s="79">
        <v>0</v>
      </c>
      <c r="H204" s="80">
        <v>0</v>
      </c>
      <c r="I204" s="80">
        <v>0</v>
      </c>
      <c r="J204" s="81">
        <f t="shared" si="32"/>
        <v>0</v>
      </c>
      <c r="K204" s="80">
        <v>25</v>
      </c>
      <c r="L204" s="80">
        <v>10</v>
      </c>
      <c r="M204" s="81">
        <f t="shared" si="26"/>
        <v>0</v>
      </c>
      <c r="N204" s="80">
        <v>25</v>
      </c>
      <c r="O204" s="80">
        <v>10</v>
      </c>
      <c r="P204" s="81">
        <f t="shared" si="23"/>
        <v>0</v>
      </c>
      <c r="Q204" s="80">
        <v>25</v>
      </c>
      <c r="R204" s="80">
        <v>10</v>
      </c>
      <c r="S204" s="81">
        <f t="shared" si="27"/>
        <v>0</v>
      </c>
      <c r="T204" s="80">
        <v>0</v>
      </c>
      <c r="U204" s="80">
        <v>0</v>
      </c>
      <c r="V204" s="82">
        <f t="shared" si="31"/>
        <v>0</v>
      </c>
      <c r="W204" s="69"/>
      <c r="X204" s="69"/>
      <c r="Y204" s="69">
        <f t="shared" si="30"/>
        <v>0</v>
      </c>
      <c r="Z204" s="69"/>
      <c r="AA204" s="69"/>
      <c r="AB204" s="69">
        <f t="shared" si="33"/>
        <v>0</v>
      </c>
      <c r="AC204" s="69"/>
      <c r="AD204" s="69"/>
      <c r="AE204" s="69">
        <f t="shared" si="28"/>
        <v>0</v>
      </c>
      <c r="AF204" s="82">
        <f t="shared" si="29"/>
        <v>0</v>
      </c>
      <c r="AG204" s="82">
        <f t="shared" si="25"/>
        <v>0</v>
      </c>
      <c r="AH204" s="69"/>
    </row>
    <row r="205" spans="1:34" ht="57.6" x14ac:dyDescent="0.3">
      <c r="A205" s="76" t="s">
        <v>836</v>
      </c>
      <c r="B205" s="77" t="s">
        <v>837</v>
      </c>
      <c r="C205" s="78" t="s">
        <v>892</v>
      </c>
      <c r="D205" s="16" t="s">
        <v>893</v>
      </c>
      <c r="E205" s="16" t="s">
        <v>1319</v>
      </c>
      <c r="F205" s="16" t="s">
        <v>709</v>
      </c>
      <c r="G205" s="79">
        <v>35000</v>
      </c>
      <c r="H205" s="80">
        <v>100</v>
      </c>
      <c r="I205" s="80">
        <v>1</v>
      </c>
      <c r="J205" s="81">
        <f t="shared" si="32"/>
        <v>3500000</v>
      </c>
      <c r="K205" s="80"/>
      <c r="L205" s="80"/>
      <c r="M205" s="81"/>
      <c r="N205" s="80"/>
      <c r="O205" s="80"/>
      <c r="P205" s="81"/>
      <c r="Q205" s="80"/>
      <c r="R205" s="80"/>
      <c r="S205" s="81"/>
      <c r="T205" s="80"/>
      <c r="U205" s="80"/>
      <c r="V205" s="82"/>
      <c r="W205" s="69"/>
      <c r="X205" s="69"/>
      <c r="Y205" s="69">
        <f t="shared" si="30"/>
        <v>0</v>
      </c>
      <c r="Z205" s="69"/>
      <c r="AA205" s="69"/>
      <c r="AB205" s="69">
        <f t="shared" si="33"/>
        <v>0</v>
      </c>
      <c r="AC205" s="69"/>
      <c r="AD205" s="69"/>
      <c r="AE205" s="69">
        <f t="shared" si="28"/>
        <v>0</v>
      </c>
      <c r="AF205" s="82"/>
      <c r="AG205" s="82"/>
      <c r="AH205" s="69"/>
    </row>
    <row r="206" spans="1:34" ht="57.6" x14ac:dyDescent="0.3">
      <c r="A206" s="76" t="s">
        <v>836</v>
      </c>
      <c r="B206" s="77" t="s">
        <v>837</v>
      </c>
      <c r="C206" s="78" t="s">
        <v>892</v>
      </c>
      <c r="D206" s="16" t="s">
        <v>893</v>
      </c>
      <c r="E206" s="16" t="s">
        <v>1319</v>
      </c>
      <c r="F206" s="16" t="s">
        <v>716</v>
      </c>
      <c r="G206" s="79">
        <v>39000</v>
      </c>
      <c r="H206" s="80">
        <v>58</v>
      </c>
      <c r="I206" s="80">
        <v>2</v>
      </c>
      <c r="J206" s="81">
        <f t="shared" si="32"/>
        <v>4524000</v>
      </c>
      <c r="K206" s="80"/>
      <c r="L206" s="80"/>
      <c r="M206" s="81"/>
      <c r="N206" s="80"/>
      <c r="O206" s="80"/>
      <c r="P206" s="81"/>
      <c r="Q206" s="80"/>
      <c r="R206" s="80"/>
      <c r="S206" s="81"/>
      <c r="T206" s="80"/>
      <c r="U206" s="80"/>
      <c r="V206" s="82"/>
      <c r="W206" s="69"/>
      <c r="X206" s="69"/>
      <c r="Y206" s="69"/>
      <c r="Z206" s="69"/>
      <c r="AA206" s="69"/>
      <c r="AB206" s="69"/>
      <c r="AC206" s="69"/>
      <c r="AD206" s="69"/>
      <c r="AE206" s="69"/>
      <c r="AF206" s="82"/>
      <c r="AG206" s="82"/>
      <c r="AH206" s="69"/>
    </row>
    <row r="207" spans="1:34" ht="57.6" x14ac:dyDescent="0.3">
      <c r="A207" s="76" t="s">
        <v>836</v>
      </c>
      <c r="B207" s="77" t="s">
        <v>837</v>
      </c>
      <c r="C207" s="78" t="s">
        <v>892</v>
      </c>
      <c r="D207" s="16" t="s">
        <v>893</v>
      </c>
      <c r="E207" s="16" t="s">
        <v>1319</v>
      </c>
      <c r="F207" s="16" t="s">
        <v>1350</v>
      </c>
      <c r="G207" s="79">
        <f>1999/7</f>
        <v>285.57142857142856</v>
      </c>
      <c r="H207" s="80">
        <f>25*2*29</f>
        <v>1450</v>
      </c>
      <c r="I207" s="80">
        <v>1</v>
      </c>
      <c r="J207" s="81">
        <f t="shared" si="32"/>
        <v>414078.57142857142</v>
      </c>
      <c r="K207" s="80"/>
      <c r="L207" s="80"/>
      <c r="M207" s="81"/>
      <c r="N207" s="80"/>
      <c r="O207" s="80"/>
      <c r="P207" s="81"/>
      <c r="Q207" s="80"/>
      <c r="R207" s="80"/>
      <c r="S207" s="81"/>
      <c r="T207" s="80"/>
      <c r="U207" s="80"/>
      <c r="V207" s="82"/>
      <c r="W207" s="69"/>
      <c r="X207" s="69"/>
      <c r="Y207" s="69"/>
      <c r="Z207" s="69"/>
      <c r="AA207" s="69"/>
      <c r="AB207" s="69"/>
      <c r="AC207" s="69"/>
      <c r="AD207" s="69"/>
      <c r="AE207" s="69"/>
      <c r="AF207" s="82"/>
      <c r="AG207" s="82"/>
      <c r="AH207" s="69"/>
    </row>
    <row r="208" spans="1:34" ht="57.6" x14ac:dyDescent="0.3">
      <c r="A208" s="76" t="s">
        <v>836</v>
      </c>
      <c r="B208" s="77" t="s">
        <v>837</v>
      </c>
      <c r="C208" s="78" t="s">
        <v>892</v>
      </c>
      <c r="D208" s="16" t="s">
        <v>893</v>
      </c>
      <c r="E208" s="16" t="s">
        <v>1319</v>
      </c>
      <c r="F208" s="16" t="s">
        <v>712</v>
      </c>
      <c r="G208" s="79">
        <f>1999/7</f>
        <v>285.57142857142856</v>
      </c>
      <c r="H208" s="80">
        <f>2*135*29</f>
        <v>7830</v>
      </c>
      <c r="I208" s="80">
        <v>1</v>
      </c>
      <c r="J208" s="81">
        <f t="shared" si="32"/>
        <v>2236024.2857142854</v>
      </c>
      <c r="K208" s="80"/>
      <c r="L208" s="80"/>
      <c r="M208" s="81"/>
      <c r="N208" s="80"/>
      <c r="O208" s="80"/>
      <c r="P208" s="81"/>
      <c r="Q208" s="80"/>
      <c r="R208" s="80"/>
      <c r="S208" s="81"/>
      <c r="T208" s="80"/>
      <c r="U208" s="80"/>
      <c r="V208" s="82"/>
      <c r="W208" s="69"/>
      <c r="X208" s="69"/>
      <c r="Y208" s="69"/>
      <c r="Z208" s="69"/>
      <c r="AA208" s="69"/>
      <c r="AB208" s="69"/>
      <c r="AC208" s="69"/>
      <c r="AD208" s="69"/>
      <c r="AE208" s="69"/>
      <c r="AF208" s="82"/>
      <c r="AG208" s="82"/>
      <c r="AH208" s="69"/>
    </row>
    <row r="209" spans="1:34" ht="57.6" x14ac:dyDescent="0.3">
      <c r="A209" s="76" t="s">
        <v>836</v>
      </c>
      <c r="B209" s="77" t="s">
        <v>837</v>
      </c>
      <c r="C209" s="78" t="s">
        <v>892</v>
      </c>
      <c r="D209" s="16" t="s">
        <v>893</v>
      </c>
      <c r="E209" s="16" t="s">
        <v>897</v>
      </c>
      <c r="F209" s="16" t="s">
        <v>841</v>
      </c>
      <c r="G209" s="79">
        <v>0</v>
      </c>
      <c r="H209" s="80">
        <v>0</v>
      </c>
      <c r="I209" s="80">
        <v>0</v>
      </c>
      <c r="J209" s="81">
        <f t="shared" si="32"/>
        <v>0</v>
      </c>
      <c r="K209" s="80">
        <v>0</v>
      </c>
      <c r="L209" s="80">
        <v>0</v>
      </c>
      <c r="M209" s="81">
        <f t="shared" si="26"/>
        <v>0</v>
      </c>
      <c r="N209" s="80">
        <v>0</v>
      </c>
      <c r="O209" s="80">
        <v>0</v>
      </c>
      <c r="P209" s="81">
        <f t="shared" si="23"/>
        <v>0</v>
      </c>
      <c r="Q209" s="80">
        <v>0</v>
      </c>
      <c r="R209" s="80">
        <v>0</v>
      </c>
      <c r="S209" s="81">
        <f t="shared" si="27"/>
        <v>0</v>
      </c>
      <c r="T209" s="80">
        <v>0</v>
      </c>
      <c r="U209" s="80">
        <v>0</v>
      </c>
      <c r="V209" s="82">
        <f t="shared" si="31"/>
        <v>0</v>
      </c>
      <c r="W209" s="69"/>
      <c r="X209" s="69"/>
      <c r="Y209" s="69">
        <f t="shared" si="30"/>
        <v>0</v>
      </c>
      <c r="Z209" s="69"/>
      <c r="AA209" s="69"/>
      <c r="AB209" s="69">
        <f t="shared" si="33"/>
        <v>0</v>
      </c>
      <c r="AC209" s="69"/>
      <c r="AD209" s="69"/>
      <c r="AE209" s="69">
        <f t="shared" si="28"/>
        <v>0</v>
      </c>
      <c r="AF209" s="82">
        <f t="shared" si="29"/>
        <v>0</v>
      </c>
      <c r="AG209" s="82">
        <f t="shared" si="25"/>
        <v>0</v>
      </c>
      <c r="AH209" s="69"/>
    </row>
    <row r="210" spans="1:34" x14ac:dyDescent="0.3">
      <c r="A210" s="55" t="s">
        <v>1296</v>
      </c>
      <c r="B210" s="56"/>
      <c r="C210" s="57"/>
      <c r="D210" s="58"/>
      <c r="E210" s="58"/>
      <c r="F210" s="58"/>
      <c r="G210" s="59"/>
      <c r="H210" s="60"/>
      <c r="I210" s="60"/>
      <c r="J210" s="20">
        <f t="shared" si="32"/>
        <v>0</v>
      </c>
      <c r="K210" s="60"/>
      <c r="L210" s="60"/>
      <c r="M210" s="20">
        <f>SUM(M184:M209)</f>
        <v>568250842.5</v>
      </c>
      <c r="N210" s="60"/>
      <c r="O210" s="60"/>
      <c r="P210" s="20">
        <f>SUM(P184:P209)</f>
        <v>625075926.75</v>
      </c>
      <c r="Q210" s="60"/>
      <c r="R210" s="60"/>
      <c r="S210" s="20">
        <f>SUM(S184:S209)</f>
        <v>687583519.42500019</v>
      </c>
      <c r="T210" s="60"/>
      <c r="U210" s="60"/>
      <c r="V210" s="20">
        <f>SUM(V184:V209)</f>
        <v>0</v>
      </c>
      <c r="W210" s="62"/>
      <c r="X210" s="62"/>
      <c r="Y210" s="20">
        <f>SUM(Y184:Y209)</f>
        <v>0</v>
      </c>
      <c r="Z210" s="62"/>
      <c r="AA210" s="62"/>
      <c r="AB210" s="20">
        <f>SUM(AB184:AB209)</f>
        <v>0</v>
      </c>
      <c r="AC210" s="62"/>
      <c r="AD210" s="62"/>
      <c r="AE210" s="20">
        <f>SUM(AE184:AE209)</f>
        <v>0</v>
      </c>
      <c r="AF210" s="20">
        <f>SUM(AF184:AF209)</f>
        <v>1933231681.3964286</v>
      </c>
      <c r="AG210" s="20">
        <f t="shared" si="25"/>
        <v>1880575.5655607283</v>
      </c>
    </row>
    <row r="211" spans="1:34" x14ac:dyDescent="0.3">
      <c r="A211" s="55"/>
      <c r="B211" s="56"/>
      <c r="C211" s="57"/>
      <c r="D211" s="58"/>
      <c r="E211" s="58"/>
      <c r="F211" s="58"/>
      <c r="G211" s="59"/>
      <c r="H211" s="60"/>
      <c r="I211" s="60"/>
      <c r="J211" s="61">
        <f t="shared" si="32"/>
        <v>0</v>
      </c>
      <c r="K211" s="60"/>
      <c r="L211" s="60"/>
      <c r="M211" s="61">
        <f>M210/$AL$2</f>
        <v>552773.1930933852</v>
      </c>
      <c r="N211" s="60"/>
      <c r="O211" s="60"/>
      <c r="P211" s="61">
        <f>P210/$AL$2</f>
        <v>608050.51240272378</v>
      </c>
      <c r="Q211" s="60"/>
      <c r="R211" s="60"/>
      <c r="S211" s="61">
        <f>S210/$AL$2</f>
        <v>668855.56364299625</v>
      </c>
      <c r="T211" s="60"/>
      <c r="U211" s="60"/>
      <c r="V211" s="61">
        <f>V210/$AL$2</f>
        <v>0</v>
      </c>
      <c r="W211" s="62"/>
      <c r="X211" s="62"/>
      <c r="Y211" s="61">
        <f>Y210/$AL$2</f>
        <v>0</v>
      </c>
      <c r="Z211" s="62"/>
      <c r="AA211" s="62"/>
      <c r="AB211" s="61">
        <f>AB210/$AL$2</f>
        <v>0</v>
      </c>
      <c r="AC211" s="62"/>
      <c r="AD211" s="62"/>
      <c r="AE211" s="61">
        <f>AE210/$AL$2</f>
        <v>0</v>
      </c>
      <c r="AF211" s="61">
        <f>AF210/$AL$2</f>
        <v>1880575.5655607283</v>
      </c>
      <c r="AG211" s="20"/>
    </row>
    <row r="212" spans="1:34" x14ac:dyDescent="0.3">
      <c r="A212" s="2"/>
      <c r="B212" s="4"/>
      <c r="C212" s="3"/>
      <c r="D212" s="6"/>
      <c r="E212" s="6"/>
      <c r="F212" s="6"/>
      <c r="G212" s="25"/>
      <c r="H212" s="38"/>
      <c r="I212" s="38"/>
      <c r="J212" s="39">
        <f t="shared" si="32"/>
        <v>0</v>
      </c>
      <c r="K212" s="38"/>
      <c r="L212" s="38"/>
      <c r="M212" s="39">
        <f t="shared" si="26"/>
        <v>0</v>
      </c>
      <c r="N212" s="38"/>
      <c r="O212" s="38"/>
      <c r="P212" s="39">
        <f t="shared" si="23"/>
        <v>0</v>
      </c>
      <c r="Q212" s="38"/>
      <c r="R212" s="38"/>
      <c r="S212" s="39">
        <f t="shared" si="27"/>
        <v>0</v>
      </c>
      <c r="T212" s="38"/>
      <c r="U212" s="38"/>
      <c r="V212" s="28">
        <f t="shared" si="31"/>
        <v>0</v>
      </c>
      <c r="Y212">
        <f t="shared" si="30"/>
        <v>0</v>
      </c>
      <c r="AB212">
        <f t="shared" si="33"/>
        <v>0</v>
      </c>
      <c r="AE212">
        <f t="shared" si="28"/>
        <v>0</v>
      </c>
      <c r="AF212" s="28">
        <f t="shared" si="29"/>
        <v>0</v>
      </c>
      <c r="AG212" s="28">
        <f t="shared" si="25"/>
        <v>0</v>
      </c>
    </row>
    <row r="213" spans="1:34" ht="57.6" x14ac:dyDescent="0.3">
      <c r="A213" s="2" t="s">
        <v>836</v>
      </c>
      <c r="B213" s="4" t="s">
        <v>837</v>
      </c>
      <c r="C213" s="3" t="s">
        <v>898</v>
      </c>
      <c r="D213" s="6" t="s">
        <v>899</v>
      </c>
      <c r="E213" s="6" t="s">
        <v>900</v>
      </c>
      <c r="F213" s="6" t="s">
        <v>841</v>
      </c>
      <c r="G213" s="25">
        <v>0</v>
      </c>
      <c r="H213" s="38">
        <v>0</v>
      </c>
      <c r="I213" s="38">
        <v>0</v>
      </c>
      <c r="J213" s="39">
        <f t="shared" si="32"/>
        <v>0</v>
      </c>
      <c r="K213" s="38">
        <v>0</v>
      </c>
      <c r="L213" s="38">
        <v>0</v>
      </c>
      <c r="M213" s="39">
        <f t="shared" si="26"/>
        <v>0</v>
      </c>
      <c r="N213" s="38">
        <v>0</v>
      </c>
      <c r="O213" s="38">
        <v>0</v>
      </c>
      <c r="P213" s="39">
        <f t="shared" si="23"/>
        <v>0</v>
      </c>
      <c r="Q213" s="38">
        <v>0</v>
      </c>
      <c r="R213" s="38">
        <v>0</v>
      </c>
      <c r="S213" s="39">
        <f t="shared" si="27"/>
        <v>0</v>
      </c>
      <c r="T213" s="38">
        <v>0</v>
      </c>
      <c r="U213" s="38">
        <v>0</v>
      </c>
      <c r="V213" s="28">
        <f t="shared" si="31"/>
        <v>0</v>
      </c>
      <c r="Y213">
        <f t="shared" si="30"/>
        <v>0</v>
      </c>
      <c r="AB213">
        <f t="shared" si="33"/>
        <v>0</v>
      </c>
      <c r="AE213">
        <f t="shared" si="28"/>
        <v>0</v>
      </c>
      <c r="AF213" s="28">
        <f t="shared" si="29"/>
        <v>0</v>
      </c>
      <c r="AG213" s="28">
        <f t="shared" si="25"/>
        <v>0</v>
      </c>
    </row>
    <row r="214" spans="1:34" ht="57.6" x14ac:dyDescent="0.3">
      <c r="A214" s="2" t="s">
        <v>836</v>
      </c>
      <c r="B214" s="4" t="s">
        <v>837</v>
      </c>
      <c r="C214" s="3" t="s">
        <v>898</v>
      </c>
      <c r="D214" s="6" t="s">
        <v>899</v>
      </c>
      <c r="E214" s="6" t="s">
        <v>901</v>
      </c>
      <c r="F214" s="6" t="s">
        <v>709</v>
      </c>
      <c r="G214" s="25">
        <v>35000</v>
      </c>
      <c r="H214" s="38">
        <v>30</v>
      </c>
      <c r="I214" s="38">
        <v>1</v>
      </c>
      <c r="J214" s="39">
        <f t="shared" si="32"/>
        <v>1050000</v>
      </c>
      <c r="K214" s="38">
        <v>0</v>
      </c>
      <c r="L214" s="38">
        <v>0</v>
      </c>
      <c r="M214" s="39">
        <f t="shared" si="26"/>
        <v>0</v>
      </c>
      <c r="N214" s="38">
        <v>0</v>
      </c>
      <c r="O214" s="38">
        <v>0</v>
      </c>
      <c r="P214" s="39">
        <f t="shared" ref="P214:P294" si="34">(G214*1.21)*N214*O214</f>
        <v>0</v>
      </c>
      <c r="Q214" s="38">
        <v>0</v>
      </c>
      <c r="R214" s="38">
        <v>0</v>
      </c>
      <c r="S214" s="39">
        <f t="shared" si="27"/>
        <v>0</v>
      </c>
      <c r="T214" s="38">
        <v>0</v>
      </c>
      <c r="U214" s="38">
        <v>0</v>
      </c>
      <c r="V214" s="28">
        <f t="shared" si="31"/>
        <v>0</v>
      </c>
      <c r="Y214">
        <f t="shared" si="30"/>
        <v>0</v>
      </c>
      <c r="AB214">
        <f t="shared" si="33"/>
        <v>0</v>
      </c>
      <c r="AE214">
        <f t="shared" si="28"/>
        <v>0</v>
      </c>
      <c r="AF214" s="28">
        <f t="shared" si="29"/>
        <v>1050000</v>
      </c>
      <c r="AG214" s="28">
        <f t="shared" si="25"/>
        <v>1021.4007782101168</v>
      </c>
    </row>
    <row r="215" spans="1:34" ht="57.6" x14ac:dyDescent="0.3">
      <c r="A215" s="2" t="s">
        <v>836</v>
      </c>
      <c r="B215" s="4" t="s">
        <v>837</v>
      </c>
      <c r="C215" s="3" t="s">
        <v>898</v>
      </c>
      <c r="D215" s="6" t="s">
        <v>899</v>
      </c>
      <c r="E215" s="6" t="s">
        <v>902</v>
      </c>
      <c r="F215" s="6" t="s">
        <v>841</v>
      </c>
      <c r="G215" s="25">
        <v>0</v>
      </c>
      <c r="H215" s="38">
        <v>30</v>
      </c>
      <c r="I215" s="38">
        <v>0.5</v>
      </c>
      <c r="J215" s="39">
        <f t="shared" si="32"/>
        <v>0</v>
      </c>
      <c r="K215" s="38">
        <v>0</v>
      </c>
      <c r="L215" s="38">
        <v>0</v>
      </c>
      <c r="M215" s="39">
        <f t="shared" si="26"/>
        <v>0</v>
      </c>
      <c r="N215" s="38">
        <v>0</v>
      </c>
      <c r="O215" s="38">
        <v>0</v>
      </c>
      <c r="P215" s="39">
        <f t="shared" si="34"/>
        <v>0</v>
      </c>
      <c r="Q215" s="38">
        <v>0</v>
      </c>
      <c r="R215" s="38">
        <v>0</v>
      </c>
      <c r="S215" s="39">
        <f t="shared" si="27"/>
        <v>0</v>
      </c>
      <c r="T215" s="38">
        <v>0</v>
      </c>
      <c r="U215" s="38">
        <v>0</v>
      </c>
      <c r="V215" s="28">
        <f t="shared" si="31"/>
        <v>0</v>
      </c>
      <c r="Y215">
        <f t="shared" si="30"/>
        <v>0</v>
      </c>
      <c r="AB215">
        <f t="shared" si="33"/>
        <v>0</v>
      </c>
      <c r="AE215">
        <f t="shared" si="28"/>
        <v>0</v>
      </c>
      <c r="AF215" s="28">
        <f t="shared" si="29"/>
        <v>0</v>
      </c>
      <c r="AG215" s="28">
        <f t="shared" si="25"/>
        <v>0</v>
      </c>
    </row>
    <row r="216" spans="1:34" ht="57.6" x14ac:dyDescent="0.3">
      <c r="A216" s="2" t="s">
        <v>836</v>
      </c>
      <c r="B216" s="4" t="s">
        <v>837</v>
      </c>
      <c r="C216" s="3" t="s">
        <v>898</v>
      </c>
      <c r="D216" s="6" t="s">
        <v>899</v>
      </c>
      <c r="E216" s="6" t="s">
        <v>903</v>
      </c>
      <c r="F216" s="6" t="s">
        <v>841</v>
      </c>
      <c r="G216" s="25">
        <v>0</v>
      </c>
      <c r="H216" s="38">
        <v>20</v>
      </c>
      <c r="I216" s="38">
        <v>1</v>
      </c>
      <c r="J216" s="39">
        <f t="shared" si="32"/>
        <v>0</v>
      </c>
      <c r="K216" s="38">
        <v>0</v>
      </c>
      <c r="L216" s="38">
        <v>0</v>
      </c>
      <c r="M216" s="39">
        <f t="shared" si="26"/>
        <v>0</v>
      </c>
      <c r="N216" s="38">
        <v>0</v>
      </c>
      <c r="O216" s="38">
        <v>0</v>
      </c>
      <c r="P216" s="39">
        <f t="shared" si="34"/>
        <v>0</v>
      </c>
      <c r="Q216" s="38">
        <v>0</v>
      </c>
      <c r="R216" s="38">
        <v>0</v>
      </c>
      <c r="S216" s="39">
        <f t="shared" si="27"/>
        <v>0</v>
      </c>
      <c r="T216" s="38">
        <v>0</v>
      </c>
      <c r="U216" s="38">
        <v>0</v>
      </c>
      <c r="V216" s="28">
        <f t="shared" si="31"/>
        <v>0</v>
      </c>
      <c r="Y216">
        <f t="shared" si="30"/>
        <v>0</v>
      </c>
      <c r="AB216">
        <f t="shared" si="33"/>
        <v>0</v>
      </c>
      <c r="AE216">
        <f t="shared" si="28"/>
        <v>0</v>
      </c>
      <c r="AF216" s="28">
        <f t="shared" si="29"/>
        <v>0</v>
      </c>
      <c r="AG216" s="28">
        <f t="shared" si="25"/>
        <v>0</v>
      </c>
    </row>
    <row r="217" spans="1:34" ht="57.6" x14ac:dyDescent="0.3">
      <c r="A217" s="2" t="s">
        <v>836</v>
      </c>
      <c r="B217" s="4" t="s">
        <v>837</v>
      </c>
      <c r="C217" s="3" t="s">
        <v>898</v>
      </c>
      <c r="D217" s="6" t="s">
        <v>904</v>
      </c>
      <c r="E217" s="6" t="s">
        <v>905</v>
      </c>
      <c r="F217" s="6" t="s">
        <v>841</v>
      </c>
      <c r="G217" s="25">
        <v>0</v>
      </c>
      <c r="H217" s="38"/>
      <c r="I217" s="38"/>
      <c r="J217" s="39">
        <f t="shared" si="32"/>
        <v>0</v>
      </c>
      <c r="K217" s="38">
        <v>0</v>
      </c>
      <c r="L217" s="38">
        <v>0</v>
      </c>
      <c r="M217" s="39">
        <f t="shared" si="26"/>
        <v>0</v>
      </c>
      <c r="N217" s="38">
        <v>0</v>
      </c>
      <c r="O217" s="38">
        <v>0</v>
      </c>
      <c r="P217" s="39">
        <f t="shared" si="34"/>
        <v>0</v>
      </c>
      <c r="Q217" s="38">
        <v>0</v>
      </c>
      <c r="R217" s="38">
        <v>0</v>
      </c>
      <c r="S217" s="39">
        <f t="shared" si="27"/>
        <v>0</v>
      </c>
      <c r="T217" s="38">
        <v>0</v>
      </c>
      <c r="U217" s="38">
        <v>0</v>
      </c>
      <c r="V217" s="28">
        <f t="shared" si="31"/>
        <v>0</v>
      </c>
      <c r="Y217">
        <f t="shared" si="30"/>
        <v>0</v>
      </c>
      <c r="AB217">
        <f t="shared" si="33"/>
        <v>0</v>
      </c>
      <c r="AE217">
        <f t="shared" si="28"/>
        <v>0</v>
      </c>
      <c r="AF217" s="28">
        <f t="shared" si="29"/>
        <v>0</v>
      </c>
      <c r="AG217" s="28">
        <f t="shared" si="25"/>
        <v>0</v>
      </c>
    </row>
    <row r="218" spans="1:34" ht="57.6" x14ac:dyDescent="0.3">
      <c r="A218" s="2" t="s">
        <v>836</v>
      </c>
      <c r="B218" s="4" t="s">
        <v>837</v>
      </c>
      <c r="C218" s="3" t="s">
        <v>898</v>
      </c>
      <c r="D218" s="6" t="s">
        <v>904</v>
      </c>
      <c r="E218" s="6" t="s">
        <v>906</v>
      </c>
      <c r="F218" s="6" t="s">
        <v>709</v>
      </c>
      <c r="G218" s="25">
        <v>35000</v>
      </c>
      <c r="H218" s="38">
        <v>10</v>
      </c>
      <c r="I218" s="38">
        <v>2</v>
      </c>
      <c r="J218" s="39">
        <f t="shared" si="32"/>
        <v>700000</v>
      </c>
      <c r="K218" s="38">
        <v>10</v>
      </c>
      <c r="L218" s="38">
        <v>2</v>
      </c>
      <c r="M218" s="39">
        <f t="shared" si="26"/>
        <v>770000</v>
      </c>
      <c r="N218" s="38">
        <v>10</v>
      </c>
      <c r="O218" s="38">
        <v>2</v>
      </c>
      <c r="P218" s="39">
        <f t="shared" si="34"/>
        <v>847000</v>
      </c>
      <c r="Q218" s="38">
        <v>10</v>
      </c>
      <c r="R218" s="38">
        <v>2</v>
      </c>
      <c r="S218" s="39">
        <f t="shared" si="27"/>
        <v>931700.00000000023</v>
      </c>
      <c r="T218" s="38">
        <v>10</v>
      </c>
      <c r="U218" s="38">
        <v>2</v>
      </c>
      <c r="V218" s="28">
        <f t="shared" si="31"/>
        <v>1024870.0000000002</v>
      </c>
      <c r="W218" s="38">
        <v>10</v>
      </c>
      <c r="X218" s="38">
        <v>2</v>
      </c>
      <c r="Y218">
        <f t="shared" si="30"/>
        <v>1127357.0000000005</v>
      </c>
      <c r="Z218" s="38">
        <v>10</v>
      </c>
      <c r="AA218" s="38">
        <v>2</v>
      </c>
      <c r="AB218">
        <f t="shared" si="33"/>
        <v>1240092.7000000007</v>
      </c>
      <c r="AC218" s="38">
        <v>10</v>
      </c>
      <c r="AD218" s="38">
        <v>2</v>
      </c>
      <c r="AE218">
        <f t="shared" si="28"/>
        <v>1364101.9700000007</v>
      </c>
      <c r="AF218" s="28">
        <f t="shared" si="29"/>
        <v>8005121.6700000018</v>
      </c>
      <c r="AG218" s="28">
        <f t="shared" si="25"/>
        <v>7787.0833365758772</v>
      </c>
    </row>
    <row r="219" spans="1:34" x14ac:dyDescent="0.3">
      <c r="A219" s="55" t="s">
        <v>1296</v>
      </c>
      <c r="B219" s="56"/>
      <c r="C219" s="57"/>
      <c r="D219" s="58"/>
      <c r="E219" s="58"/>
      <c r="F219" s="58"/>
      <c r="G219" s="59"/>
      <c r="H219" s="60"/>
      <c r="I219" s="60"/>
      <c r="J219" s="61">
        <f t="shared" si="32"/>
        <v>0</v>
      </c>
      <c r="K219" s="60"/>
      <c r="L219" s="60"/>
      <c r="M219" s="61">
        <f>SUM(M212:M218)</f>
        <v>770000</v>
      </c>
      <c r="N219" s="60"/>
      <c r="O219" s="60"/>
      <c r="P219" s="61">
        <f>SUM(P199:P218)</f>
        <v>821705662.6195457</v>
      </c>
      <c r="Q219" s="60"/>
      <c r="R219" s="60"/>
      <c r="S219" s="61">
        <f>SUM(S212:S218)</f>
        <v>931700.00000000023</v>
      </c>
      <c r="T219" s="60"/>
      <c r="U219" s="60"/>
      <c r="V219" s="61">
        <f>SUM(V212:V218)</f>
        <v>1024870.0000000002</v>
      </c>
      <c r="W219" s="62"/>
      <c r="X219" s="62"/>
      <c r="Y219" s="61">
        <f>SUM(Y212:Y218)</f>
        <v>1127357.0000000005</v>
      </c>
      <c r="Z219" s="62"/>
      <c r="AA219" s="62"/>
      <c r="AB219" s="61">
        <f>SUM(AB212:AB218)</f>
        <v>1240092.7000000007</v>
      </c>
      <c r="AC219" s="62"/>
      <c r="AD219" s="62"/>
      <c r="AE219" s="61">
        <f>SUM(AE212:AE218)</f>
        <v>1364101.9700000007</v>
      </c>
      <c r="AF219" s="61">
        <f>SUM(AF212:AF218)</f>
        <v>9055121.6700000018</v>
      </c>
      <c r="AG219" s="20">
        <f>AF219/$AL$2</f>
        <v>8808.4841147859934</v>
      </c>
    </row>
    <row r="220" spans="1:34" x14ac:dyDescent="0.3">
      <c r="A220" s="55"/>
      <c r="B220" s="56"/>
      <c r="C220" s="57"/>
      <c r="D220" s="58"/>
      <c r="E220" s="58"/>
      <c r="F220" s="58"/>
      <c r="G220" s="59"/>
      <c r="H220" s="60"/>
      <c r="I220" s="60"/>
      <c r="J220" s="61">
        <f t="shared" si="32"/>
        <v>0</v>
      </c>
      <c r="K220" s="60"/>
      <c r="L220" s="60"/>
      <c r="M220" s="61">
        <f>M219/$AL$2</f>
        <v>749.02723735408563</v>
      </c>
      <c r="N220" s="60"/>
      <c r="O220" s="60"/>
      <c r="P220" s="61">
        <f>P219/$AL$2</f>
        <v>799324.57453263202</v>
      </c>
      <c r="Q220" s="60"/>
      <c r="R220" s="60"/>
      <c r="S220" s="61">
        <f>S219/$AL$2</f>
        <v>906.32295719844376</v>
      </c>
      <c r="T220" s="60"/>
      <c r="U220" s="60"/>
      <c r="V220" s="61">
        <f>V219/$AL$2</f>
        <v>996.95525291828812</v>
      </c>
      <c r="W220" s="62"/>
      <c r="X220" s="62"/>
      <c r="Y220" s="61">
        <f>Y219/$AL$2</f>
        <v>1096.6507782101171</v>
      </c>
      <c r="Z220" s="62"/>
      <c r="AA220" s="62"/>
      <c r="AB220" s="61">
        <f>AB219/$AL$2</f>
        <v>1206.315856031129</v>
      </c>
      <c r="AC220" s="62"/>
      <c r="AD220" s="62"/>
      <c r="AE220" s="61">
        <f>AE219/$AL$2</f>
        <v>1326.9474416342418</v>
      </c>
      <c r="AF220" s="61">
        <f>AF219/$AL$2</f>
        <v>8808.4841147859934</v>
      </c>
      <c r="AG220" s="20"/>
    </row>
    <row r="221" spans="1:34" x14ac:dyDescent="0.3">
      <c r="A221" s="2"/>
      <c r="B221" s="4"/>
      <c r="C221" s="3"/>
      <c r="D221" s="6"/>
      <c r="E221" s="6"/>
      <c r="F221" s="6"/>
      <c r="G221" s="25"/>
      <c r="H221" s="38"/>
      <c r="I221" s="38"/>
      <c r="J221" s="39">
        <f t="shared" si="32"/>
        <v>0</v>
      </c>
      <c r="K221" s="38"/>
      <c r="L221" s="38"/>
      <c r="M221" s="39">
        <f t="shared" si="26"/>
        <v>0</v>
      </c>
      <c r="N221" s="38"/>
      <c r="O221" s="38"/>
      <c r="P221" s="39">
        <f t="shared" si="34"/>
        <v>0</v>
      </c>
      <c r="Q221" s="38"/>
      <c r="R221" s="38"/>
      <c r="S221" s="39">
        <f t="shared" si="27"/>
        <v>0</v>
      </c>
      <c r="T221" s="38"/>
      <c r="U221" s="38"/>
      <c r="V221" s="28">
        <f t="shared" si="31"/>
        <v>0</v>
      </c>
      <c r="Y221">
        <f t="shared" si="30"/>
        <v>0</v>
      </c>
      <c r="AB221">
        <f t="shared" si="33"/>
        <v>0</v>
      </c>
      <c r="AE221">
        <f t="shared" si="28"/>
        <v>0</v>
      </c>
      <c r="AF221" s="28">
        <f t="shared" si="29"/>
        <v>0</v>
      </c>
      <c r="AG221" s="28">
        <f t="shared" si="25"/>
        <v>0</v>
      </c>
    </row>
    <row r="222" spans="1:34" ht="57.6" x14ac:dyDescent="0.3">
      <c r="A222" s="2" t="s">
        <v>836</v>
      </c>
      <c r="B222" s="4" t="s">
        <v>837</v>
      </c>
      <c r="C222" s="3" t="s">
        <v>907</v>
      </c>
      <c r="D222" s="6" t="s">
        <v>908</v>
      </c>
      <c r="E222" s="6" t="s">
        <v>909</v>
      </c>
      <c r="F222" s="6" t="s">
        <v>841</v>
      </c>
      <c r="G222" s="25">
        <v>0</v>
      </c>
      <c r="H222" s="38">
        <v>0</v>
      </c>
      <c r="I222" s="38">
        <v>0</v>
      </c>
      <c r="J222" s="39">
        <f t="shared" si="32"/>
        <v>0</v>
      </c>
      <c r="K222" s="38">
        <v>0</v>
      </c>
      <c r="L222" s="38">
        <v>0</v>
      </c>
      <c r="M222" s="39">
        <f t="shared" si="26"/>
        <v>0</v>
      </c>
      <c r="N222" s="38">
        <v>15</v>
      </c>
      <c r="O222" s="38">
        <v>1</v>
      </c>
      <c r="P222" s="39">
        <f t="shared" si="34"/>
        <v>0</v>
      </c>
      <c r="Q222" s="38">
        <v>0</v>
      </c>
      <c r="R222" s="38">
        <v>0</v>
      </c>
      <c r="S222" s="39">
        <f t="shared" si="27"/>
        <v>0</v>
      </c>
      <c r="T222" s="38">
        <v>0</v>
      </c>
      <c r="U222" s="38">
        <v>0</v>
      </c>
      <c r="V222" s="28">
        <f t="shared" si="31"/>
        <v>0</v>
      </c>
      <c r="Y222">
        <f t="shared" si="30"/>
        <v>0</v>
      </c>
      <c r="AB222">
        <f t="shared" si="33"/>
        <v>0</v>
      </c>
      <c r="AE222">
        <f t="shared" si="28"/>
        <v>0</v>
      </c>
      <c r="AF222" s="28">
        <f t="shared" si="29"/>
        <v>0</v>
      </c>
      <c r="AG222" s="28">
        <f t="shared" si="25"/>
        <v>0</v>
      </c>
    </row>
    <row r="223" spans="1:34" ht="57.6" x14ac:dyDescent="0.3">
      <c r="A223" s="2" t="s">
        <v>836</v>
      </c>
      <c r="B223" s="4" t="s">
        <v>837</v>
      </c>
      <c r="C223" s="3" t="s">
        <v>907</v>
      </c>
      <c r="D223" s="6" t="s">
        <v>908</v>
      </c>
      <c r="E223" s="6" t="s">
        <v>910</v>
      </c>
      <c r="F223" s="6" t="s">
        <v>841</v>
      </c>
      <c r="G223" s="25">
        <v>0</v>
      </c>
      <c r="H223" s="38"/>
      <c r="I223" s="38"/>
      <c r="J223" s="39">
        <f t="shared" si="32"/>
        <v>0</v>
      </c>
      <c r="K223" s="38">
        <v>0</v>
      </c>
      <c r="L223" s="38">
        <v>0</v>
      </c>
      <c r="M223" s="39">
        <f t="shared" si="26"/>
        <v>0</v>
      </c>
      <c r="N223" s="38">
        <v>0</v>
      </c>
      <c r="O223" s="38">
        <v>0</v>
      </c>
      <c r="P223" s="39">
        <f t="shared" si="34"/>
        <v>0</v>
      </c>
      <c r="Q223" s="38">
        <v>0</v>
      </c>
      <c r="R223" s="38">
        <v>0</v>
      </c>
      <c r="S223" s="39">
        <f t="shared" si="27"/>
        <v>0</v>
      </c>
      <c r="T223" s="38">
        <v>0</v>
      </c>
      <c r="U223" s="38">
        <v>0</v>
      </c>
      <c r="V223" s="28">
        <f t="shared" si="31"/>
        <v>0</v>
      </c>
      <c r="Y223">
        <f t="shared" si="30"/>
        <v>0</v>
      </c>
      <c r="AB223">
        <f t="shared" si="33"/>
        <v>0</v>
      </c>
      <c r="AE223">
        <f t="shared" si="28"/>
        <v>0</v>
      </c>
      <c r="AF223" s="28">
        <f t="shared" si="29"/>
        <v>0</v>
      </c>
      <c r="AG223" s="28">
        <f t="shared" si="25"/>
        <v>0</v>
      </c>
    </row>
    <row r="224" spans="1:34" ht="57.6" x14ac:dyDescent="0.3">
      <c r="A224" s="2" t="s">
        <v>836</v>
      </c>
      <c r="B224" s="4" t="s">
        <v>837</v>
      </c>
      <c r="C224" s="3" t="s">
        <v>907</v>
      </c>
      <c r="D224" s="6" t="s">
        <v>908</v>
      </c>
      <c r="E224" s="6" t="s">
        <v>164</v>
      </c>
      <c r="F224" s="33" t="s">
        <v>841</v>
      </c>
      <c r="G224" s="25">
        <v>0</v>
      </c>
      <c r="H224" s="38"/>
      <c r="I224" s="38"/>
      <c r="J224" s="39">
        <f t="shared" si="32"/>
        <v>0</v>
      </c>
      <c r="K224" s="38">
        <v>0</v>
      </c>
      <c r="L224" s="38">
        <v>0</v>
      </c>
      <c r="M224" s="39">
        <f t="shared" si="26"/>
        <v>0</v>
      </c>
      <c r="N224" s="38">
        <v>0</v>
      </c>
      <c r="O224" s="38">
        <v>0</v>
      </c>
      <c r="P224" s="39">
        <f t="shared" si="34"/>
        <v>0</v>
      </c>
      <c r="Q224" s="38">
        <v>0</v>
      </c>
      <c r="R224" s="38">
        <v>0</v>
      </c>
      <c r="S224" s="39">
        <f t="shared" si="27"/>
        <v>0</v>
      </c>
      <c r="T224" s="38">
        <v>0</v>
      </c>
      <c r="U224" s="38">
        <v>0</v>
      </c>
      <c r="V224" s="28">
        <f t="shared" si="31"/>
        <v>0</v>
      </c>
      <c r="Y224">
        <f t="shared" si="30"/>
        <v>0</v>
      </c>
      <c r="AB224">
        <f t="shared" si="33"/>
        <v>0</v>
      </c>
      <c r="AE224">
        <f t="shared" si="28"/>
        <v>0</v>
      </c>
      <c r="AF224" s="28">
        <f t="shared" si="29"/>
        <v>0</v>
      </c>
      <c r="AG224" s="28">
        <f t="shared" si="25"/>
        <v>0</v>
      </c>
    </row>
    <row r="225" spans="1:33" ht="57.6" x14ac:dyDescent="0.3">
      <c r="A225" s="2" t="s">
        <v>836</v>
      </c>
      <c r="B225" s="4" t="s">
        <v>837</v>
      </c>
      <c r="C225" s="3" t="s">
        <v>907</v>
      </c>
      <c r="D225" s="6" t="s">
        <v>908</v>
      </c>
      <c r="E225" s="6" t="s">
        <v>165</v>
      </c>
      <c r="F225" s="33" t="s">
        <v>707</v>
      </c>
      <c r="G225" s="25">
        <v>391991.03749999998</v>
      </c>
      <c r="H225" s="38"/>
      <c r="I225" s="38"/>
      <c r="J225" s="39">
        <f t="shared" si="32"/>
        <v>0</v>
      </c>
      <c r="K225" s="38">
        <v>0</v>
      </c>
      <c r="L225" s="38">
        <v>0</v>
      </c>
      <c r="M225" s="39">
        <f t="shared" si="26"/>
        <v>0</v>
      </c>
      <c r="N225" s="38">
        <v>2</v>
      </c>
      <c r="O225" s="38">
        <v>2</v>
      </c>
      <c r="P225" s="39">
        <f t="shared" si="34"/>
        <v>1897236.6214999999</v>
      </c>
      <c r="Q225" s="38">
        <v>0</v>
      </c>
      <c r="R225" s="38">
        <v>0</v>
      </c>
      <c r="S225" s="39">
        <f t="shared" si="27"/>
        <v>0</v>
      </c>
      <c r="T225" s="38">
        <v>0</v>
      </c>
      <c r="U225" s="38">
        <v>0</v>
      </c>
      <c r="V225" s="28">
        <f t="shared" si="31"/>
        <v>0</v>
      </c>
      <c r="Y225">
        <f t="shared" si="30"/>
        <v>0</v>
      </c>
      <c r="AB225">
        <f t="shared" si="33"/>
        <v>0</v>
      </c>
      <c r="AE225">
        <f t="shared" si="28"/>
        <v>0</v>
      </c>
      <c r="AF225" s="28">
        <f t="shared" si="29"/>
        <v>1897236.6214999999</v>
      </c>
      <c r="AG225" s="28">
        <f t="shared" si="25"/>
        <v>1845.560915856031</v>
      </c>
    </row>
    <row r="226" spans="1:33" ht="57.6" x14ac:dyDescent="0.3">
      <c r="A226" s="2" t="s">
        <v>836</v>
      </c>
      <c r="B226" s="4" t="s">
        <v>837</v>
      </c>
      <c r="C226" s="3" t="s">
        <v>907</v>
      </c>
      <c r="D226" s="6" t="s">
        <v>908</v>
      </c>
      <c r="E226" s="6" t="s">
        <v>165</v>
      </c>
      <c r="F226" s="33" t="s">
        <v>708</v>
      </c>
      <c r="G226" s="25">
        <f>500*1030</f>
        <v>515000</v>
      </c>
      <c r="H226" s="38"/>
      <c r="I226" s="38"/>
      <c r="J226" s="39">
        <f t="shared" si="32"/>
        <v>0</v>
      </c>
      <c r="K226" s="38">
        <v>0</v>
      </c>
      <c r="L226" s="38">
        <v>0</v>
      </c>
      <c r="M226" s="39">
        <f t="shared" si="26"/>
        <v>0</v>
      </c>
      <c r="N226" s="38">
        <v>1</v>
      </c>
      <c r="O226" s="38">
        <v>25</v>
      </c>
      <c r="P226" s="39">
        <f t="shared" si="34"/>
        <v>15578750</v>
      </c>
      <c r="Q226" s="38">
        <v>0</v>
      </c>
      <c r="R226" s="38">
        <v>0</v>
      </c>
      <c r="S226" s="39">
        <f t="shared" si="27"/>
        <v>0</v>
      </c>
      <c r="T226" s="38">
        <v>0</v>
      </c>
      <c r="U226" s="38">
        <v>0</v>
      </c>
      <c r="V226" s="28">
        <f t="shared" si="31"/>
        <v>0</v>
      </c>
      <c r="Y226">
        <f t="shared" si="30"/>
        <v>0</v>
      </c>
      <c r="AB226">
        <f t="shared" si="33"/>
        <v>0</v>
      </c>
      <c r="AE226">
        <f t="shared" si="28"/>
        <v>0</v>
      </c>
      <c r="AF226" s="28">
        <f t="shared" si="29"/>
        <v>15578750</v>
      </c>
      <c r="AG226" s="28">
        <f t="shared" si="25"/>
        <v>15154.426070038911</v>
      </c>
    </row>
    <row r="227" spans="1:33" ht="57.6" x14ac:dyDescent="0.3">
      <c r="A227" s="2" t="s">
        <v>836</v>
      </c>
      <c r="B227" s="4" t="s">
        <v>837</v>
      </c>
      <c r="C227" s="3" t="s">
        <v>907</v>
      </c>
      <c r="D227" s="6" t="s">
        <v>908</v>
      </c>
      <c r="E227" s="6" t="s">
        <v>911</v>
      </c>
      <c r="F227" s="33" t="s">
        <v>841</v>
      </c>
      <c r="G227" s="25">
        <v>0</v>
      </c>
      <c r="H227" s="38"/>
      <c r="I227" s="38"/>
      <c r="J227" s="39">
        <f t="shared" si="32"/>
        <v>0</v>
      </c>
      <c r="K227" s="38">
        <v>0</v>
      </c>
      <c r="L227" s="38">
        <v>0</v>
      </c>
      <c r="M227" s="39">
        <f t="shared" si="26"/>
        <v>0</v>
      </c>
      <c r="N227" s="38">
        <v>0</v>
      </c>
      <c r="O227" s="38">
        <v>0</v>
      </c>
      <c r="P227" s="39">
        <f t="shared" si="34"/>
        <v>0</v>
      </c>
      <c r="Q227" s="38">
        <v>0</v>
      </c>
      <c r="R227" s="38">
        <v>0</v>
      </c>
      <c r="S227" s="39">
        <f t="shared" si="27"/>
        <v>0</v>
      </c>
      <c r="T227" s="38">
        <v>0</v>
      </c>
      <c r="U227" s="38">
        <v>0</v>
      </c>
      <c r="V227" s="28">
        <f t="shared" si="31"/>
        <v>0</v>
      </c>
      <c r="Y227">
        <f t="shared" si="30"/>
        <v>0</v>
      </c>
      <c r="AB227">
        <f t="shared" si="33"/>
        <v>0</v>
      </c>
      <c r="AE227">
        <f t="shared" si="28"/>
        <v>0</v>
      </c>
      <c r="AF227" s="28">
        <f t="shared" si="29"/>
        <v>0</v>
      </c>
      <c r="AG227" s="28">
        <f t="shared" si="25"/>
        <v>0</v>
      </c>
    </row>
    <row r="228" spans="1:33" ht="57.6" x14ac:dyDescent="0.3">
      <c r="A228" s="2" t="s">
        <v>836</v>
      </c>
      <c r="B228" s="4" t="s">
        <v>837</v>
      </c>
      <c r="C228" s="3" t="s">
        <v>907</v>
      </c>
      <c r="D228" s="6" t="s">
        <v>908</v>
      </c>
      <c r="E228" s="6" t="s">
        <v>912</v>
      </c>
      <c r="F228" s="33" t="s">
        <v>841</v>
      </c>
      <c r="G228" s="25">
        <v>0</v>
      </c>
      <c r="H228" s="38"/>
      <c r="I228" s="38"/>
      <c r="J228" s="39">
        <f t="shared" si="32"/>
        <v>0</v>
      </c>
      <c r="K228" s="38">
        <v>0</v>
      </c>
      <c r="L228" s="38">
        <v>0</v>
      </c>
      <c r="M228" s="39">
        <f t="shared" si="26"/>
        <v>0</v>
      </c>
      <c r="N228" s="38">
        <v>0</v>
      </c>
      <c r="O228" s="38">
        <v>0</v>
      </c>
      <c r="P228" s="39">
        <f t="shared" si="34"/>
        <v>0</v>
      </c>
      <c r="Q228" s="38">
        <v>0</v>
      </c>
      <c r="R228" s="38">
        <v>0</v>
      </c>
      <c r="S228" s="39">
        <f t="shared" si="27"/>
        <v>0</v>
      </c>
      <c r="T228" s="38">
        <v>0</v>
      </c>
      <c r="U228" s="38">
        <v>0</v>
      </c>
      <c r="V228" s="28">
        <f t="shared" si="31"/>
        <v>0</v>
      </c>
      <c r="Y228">
        <f t="shared" si="30"/>
        <v>0</v>
      </c>
      <c r="AB228">
        <f t="shared" si="33"/>
        <v>0</v>
      </c>
      <c r="AE228">
        <f t="shared" si="28"/>
        <v>0</v>
      </c>
      <c r="AF228" s="28">
        <f t="shared" si="29"/>
        <v>0</v>
      </c>
      <c r="AG228" s="28">
        <f t="shared" si="25"/>
        <v>0</v>
      </c>
    </row>
    <row r="229" spans="1:33" ht="57.6" x14ac:dyDescent="0.3">
      <c r="A229" s="2" t="s">
        <v>836</v>
      </c>
      <c r="B229" s="4" t="s">
        <v>837</v>
      </c>
      <c r="C229" s="3" t="s">
        <v>907</v>
      </c>
      <c r="D229" s="6" t="s">
        <v>908</v>
      </c>
      <c r="E229" s="6" t="s">
        <v>913</v>
      </c>
      <c r="F229" s="33" t="s">
        <v>709</v>
      </c>
      <c r="G229" s="25">
        <v>35000</v>
      </c>
      <c r="H229" s="38"/>
      <c r="I229" s="38"/>
      <c r="J229" s="39">
        <f t="shared" si="32"/>
        <v>0</v>
      </c>
      <c r="K229" s="38">
        <v>0</v>
      </c>
      <c r="L229" s="38">
        <v>0</v>
      </c>
      <c r="M229" s="39">
        <f t="shared" si="26"/>
        <v>0</v>
      </c>
      <c r="N229" s="38">
        <v>25</v>
      </c>
      <c r="O229" s="38">
        <v>5</v>
      </c>
      <c r="P229" s="39">
        <f t="shared" si="34"/>
        <v>5293750</v>
      </c>
      <c r="Q229" s="38">
        <v>0</v>
      </c>
      <c r="R229" s="38">
        <v>0</v>
      </c>
      <c r="S229" s="39">
        <f t="shared" si="27"/>
        <v>0</v>
      </c>
      <c r="T229" s="38">
        <v>0</v>
      </c>
      <c r="U229" s="38">
        <v>0</v>
      </c>
      <c r="V229" s="28">
        <f t="shared" si="31"/>
        <v>0</v>
      </c>
      <c r="Y229">
        <f t="shared" si="30"/>
        <v>0</v>
      </c>
      <c r="AB229">
        <f t="shared" si="33"/>
        <v>0</v>
      </c>
      <c r="AE229">
        <f t="shared" si="28"/>
        <v>0</v>
      </c>
      <c r="AF229" s="28">
        <f t="shared" si="29"/>
        <v>5293750</v>
      </c>
      <c r="AG229" s="28">
        <f t="shared" si="25"/>
        <v>5149.5622568093386</v>
      </c>
    </row>
    <row r="230" spans="1:33" ht="57.6" x14ac:dyDescent="0.3">
      <c r="A230" s="2" t="s">
        <v>836</v>
      </c>
      <c r="B230" s="4" t="s">
        <v>837</v>
      </c>
      <c r="C230" s="3" t="s">
        <v>907</v>
      </c>
      <c r="D230" s="6" t="s">
        <v>908</v>
      </c>
      <c r="E230" s="6" t="s">
        <v>913</v>
      </c>
      <c r="F230" s="33" t="s">
        <v>710</v>
      </c>
      <c r="G230" s="25">
        <v>104850</v>
      </c>
      <c r="H230" s="38"/>
      <c r="I230" s="38"/>
      <c r="J230" s="39">
        <f t="shared" si="32"/>
        <v>0</v>
      </c>
      <c r="K230" s="38">
        <v>0</v>
      </c>
      <c r="L230" s="38">
        <v>0</v>
      </c>
      <c r="M230" s="39">
        <f t="shared" si="26"/>
        <v>0</v>
      </c>
      <c r="N230" s="38">
        <v>1</v>
      </c>
      <c r="O230" s="38">
        <v>1</v>
      </c>
      <c r="P230" s="39">
        <f t="shared" si="34"/>
        <v>126868.5</v>
      </c>
      <c r="Q230" s="38">
        <v>0</v>
      </c>
      <c r="R230" s="38">
        <v>0</v>
      </c>
      <c r="S230" s="39">
        <f t="shared" si="27"/>
        <v>0</v>
      </c>
      <c r="T230" s="38">
        <v>0</v>
      </c>
      <c r="U230" s="38">
        <v>0</v>
      </c>
      <c r="V230" s="28">
        <f t="shared" si="31"/>
        <v>0</v>
      </c>
      <c r="Y230">
        <f t="shared" si="30"/>
        <v>0</v>
      </c>
      <c r="AB230">
        <f t="shared" si="33"/>
        <v>0</v>
      </c>
      <c r="AE230">
        <f t="shared" si="28"/>
        <v>0</v>
      </c>
      <c r="AF230" s="28">
        <f t="shared" si="29"/>
        <v>126868.5</v>
      </c>
      <c r="AG230" s="28">
        <f t="shared" si="25"/>
        <v>123.41293774319067</v>
      </c>
    </row>
    <row r="231" spans="1:33" ht="57.6" x14ac:dyDescent="0.3">
      <c r="A231" s="2" t="s">
        <v>836</v>
      </c>
      <c r="B231" s="4" t="s">
        <v>837</v>
      </c>
      <c r="C231" s="3" t="s">
        <v>907</v>
      </c>
      <c r="D231" s="6" t="s">
        <v>908</v>
      </c>
      <c r="E231" s="6" t="s">
        <v>913</v>
      </c>
      <c r="F231" s="33" t="s">
        <v>1297</v>
      </c>
      <c r="G231" s="25">
        <v>8000</v>
      </c>
      <c r="H231" s="38"/>
      <c r="I231" s="38"/>
      <c r="J231" s="39">
        <f t="shared" si="32"/>
        <v>0</v>
      </c>
      <c r="K231" s="38">
        <v>0</v>
      </c>
      <c r="L231" s="38">
        <v>0</v>
      </c>
      <c r="M231" s="39">
        <f t="shared" si="26"/>
        <v>0</v>
      </c>
      <c r="N231" s="38">
        <v>10</v>
      </c>
      <c r="O231" s="38">
        <v>1</v>
      </c>
      <c r="P231" s="39">
        <f t="shared" si="34"/>
        <v>96800</v>
      </c>
      <c r="Q231" s="38">
        <v>0</v>
      </c>
      <c r="R231" s="38">
        <v>0</v>
      </c>
      <c r="S231" s="39">
        <f t="shared" si="27"/>
        <v>0</v>
      </c>
      <c r="T231" s="38">
        <v>0</v>
      </c>
      <c r="U231" s="38">
        <v>0</v>
      </c>
      <c r="V231" s="28">
        <f t="shared" si="31"/>
        <v>0</v>
      </c>
      <c r="Y231">
        <f t="shared" si="30"/>
        <v>0</v>
      </c>
      <c r="AB231">
        <f t="shared" si="33"/>
        <v>0</v>
      </c>
      <c r="AE231">
        <f t="shared" si="28"/>
        <v>0</v>
      </c>
      <c r="AF231" s="28">
        <f t="shared" si="29"/>
        <v>96800</v>
      </c>
      <c r="AG231" s="28">
        <f t="shared" si="25"/>
        <v>94.163424124513625</v>
      </c>
    </row>
    <row r="232" spans="1:33" ht="57.6" x14ac:dyDescent="0.3">
      <c r="A232" s="2" t="s">
        <v>836</v>
      </c>
      <c r="B232" s="4" t="s">
        <v>837</v>
      </c>
      <c r="C232" s="3" t="s">
        <v>907</v>
      </c>
      <c r="D232" s="16" t="s">
        <v>908</v>
      </c>
      <c r="E232" s="16" t="s">
        <v>913</v>
      </c>
      <c r="F232" s="34" t="s">
        <v>835</v>
      </c>
      <c r="G232" s="25">
        <v>8000</v>
      </c>
      <c r="H232" s="38"/>
      <c r="I232" s="38"/>
      <c r="J232" s="39">
        <f t="shared" si="32"/>
        <v>0</v>
      </c>
      <c r="K232" s="38">
        <v>0</v>
      </c>
      <c r="L232" s="38">
        <v>0</v>
      </c>
      <c r="M232" s="39">
        <f t="shared" si="26"/>
        <v>0</v>
      </c>
      <c r="N232" s="38">
        <v>10</v>
      </c>
      <c r="O232" s="38">
        <v>1</v>
      </c>
      <c r="P232" s="39">
        <f t="shared" si="34"/>
        <v>96800</v>
      </c>
      <c r="Q232" s="38">
        <v>0</v>
      </c>
      <c r="R232" s="38">
        <v>0</v>
      </c>
      <c r="S232" s="39">
        <f t="shared" si="27"/>
        <v>0</v>
      </c>
      <c r="T232" s="38">
        <v>0</v>
      </c>
      <c r="U232" s="38">
        <v>0</v>
      </c>
      <c r="V232" s="28">
        <f t="shared" si="31"/>
        <v>0</v>
      </c>
      <c r="Y232">
        <f t="shared" si="30"/>
        <v>0</v>
      </c>
      <c r="AB232">
        <f t="shared" si="33"/>
        <v>0</v>
      </c>
      <c r="AE232">
        <f t="shared" si="28"/>
        <v>0</v>
      </c>
      <c r="AF232" s="28">
        <f t="shared" si="29"/>
        <v>96800</v>
      </c>
      <c r="AG232" s="28">
        <f t="shared" si="25"/>
        <v>94.163424124513625</v>
      </c>
    </row>
    <row r="233" spans="1:33" ht="57.6" x14ac:dyDescent="0.3">
      <c r="A233" s="2" t="s">
        <v>836</v>
      </c>
      <c r="B233" s="4" t="s">
        <v>837</v>
      </c>
      <c r="C233" s="3" t="s">
        <v>907</v>
      </c>
      <c r="D233" s="6" t="s">
        <v>908</v>
      </c>
      <c r="E233" s="6" t="s">
        <v>845</v>
      </c>
      <c r="F233" s="33" t="s">
        <v>713</v>
      </c>
      <c r="G233" s="25">
        <v>45000</v>
      </c>
      <c r="H233" s="38"/>
      <c r="I233" s="38"/>
      <c r="J233" s="39">
        <f t="shared" si="32"/>
        <v>0</v>
      </c>
      <c r="K233" s="38">
        <v>0</v>
      </c>
      <c r="L233" s="38">
        <v>0</v>
      </c>
      <c r="M233" s="39">
        <f t="shared" si="26"/>
        <v>0</v>
      </c>
      <c r="N233" s="38">
        <v>25</v>
      </c>
      <c r="O233" s="38">
        <v>2</v>
      </c>
      <c r="P233" s="39">
        <f t="shared" si="34"/>
        <v>2722500</v>
      </c>
      <c r="Q233" s="38">
        <v>0</v>
      </c>
      <c r="R233" s="38">
        <v>0</v>
      </c>
      <c r="S233" s="39">
        <f t="shared" si="27"/>
        <v>0</v>
      </c>
      <c r="T233" s="38">
        <v>0</v>
      </c>
      <c r="U233" s="38">
        <v>0</v>
      </c>
      <c r="V233" s="28">
        <f t="shared" si="31"/>
        <v>0</v>
      </c>
      <c r="Y233">
        <f t="shared" si="30"/>
        <v>0</v>
      </c>
      <c r="AB233">
        <f t="shared" si="33"/>
        <v>0</v>
      </c>
      <c r="AE233">
        <f t="shared" si="28"/>
        <v>0</v>
      </c>
      <c r="AF233" s="28">
        <f t="shared" si="29"/>
        <v>2722500</v>
      </c>
      <c r="AG233" s="28">
        <f t="shared" si="25"/>
        <v>2648.3463035019454</v>
      </c>
    </row>
    <row r="234" spans="1:33" ht="57.6" x14ac:dyDescent="0.3">
      <c r="A234" s="2" t="s">
        <v>836</v>
      </c>
      <c r="B234" s="4" t="s">
        <v>837</v>
      </c>
      <c r="C234" s="3" t="s">
        <v>907</v>
      </c>
      <c r="D234" s="6" t="s">
        <v>908</v>
      </c>
      <c r="E234" s="6" t="s">
        <v>845</v>
      </c>
      <c r="F234" s="33" t="s">
        <v>712</v>
      </c>
      <c r="G234" s="25">
        <f>1999/7</f>
        <v>285.57142857142856</v>
      </c>
      <c r="H234" s="38"/>
      <c r="I234" s="38"/>
      <c r="J234" s="39">
        <f t="shared" si="32"/>
        <v>0</v>
      </c>
      <c r="K234" s="38">
        <v>0</v>
      </c>
      <c r="L234" s="38">
        <v>0</v>
      </c>
      <c r="M234" s="39">
        <f t="shared" si="26"/>
        <v>0</v>
      </c>
      <c r="N234" s="38">
        <f>25*2*9</f>
        <v>450</v>
      </c>
      <c r="O234" s="38">
        <v>1</v>
      </c>
      <c r="P234" s="39">
        <f t="shared" si="34"/>
        <v>155493.64285714284</v>
      </c>
      <c r="Q234" s="38">
        <v>0</v>
      </c>
      <c r="R234" s="38">
        <v>0</v>
      </c>
      <c r="S234" s="39">
        <f t="shared" si="27"/>
        <v>0</v>
      </c>
      <c r="T234" s="38">
        <v>0</v>
      </c>
      <c r="U234" s="38">
        <v>0</v>
      </c>
      <c r="V234" s="28">
        <f t="shared" si="31"/>
        <v>0</v>
      </c>
      <c r="Y234">
        <f t="shared" si="30"/>
        <v>0</v>
      </c>
      <c r="AB234">
        <f t="shared" si="33"/>
        <v>0</v>
      </c>
      <c r="AE234">
        <f t="shared" si="28"/>
        <v>0</v>
      </c>
      <c r="AF234" s="28">
        <f t="shared" si="29"/>
        <v>155493.64285714284</v>
      </c>
      <c r="AG234" s="28">
        <f t="shared" si="25"/>
        <v>151.25840744858252</v>
      </c>
    </row>
    <row r="235" spans="1:33" ht="57.6" x14ac:dyDescent="0.3">
      <c r="A235" s="2" t="s">
        <v>836</v>
      </c>
      <c r="B235" s="4" t="s">
        <v>837</v>
      </c>
      <c r="C235" s="3" t="s">
        <v>907</v>
      </c>
      <c r="D235" s="6" t="s">
        <v>908</v>
      </c>
      <c r="E235" s="6" t="s">
        <v>845</v>
      </c>
      <c r="F235" s="33" t="s">
        <v>1299</v>
      </c>
      <c r="G235" s="25">
        <f>1999/7</f>
        <v>285.57142857142856</v>
      </c>
      <c r="H235" s="38"/>
      <c r="I235" s="38"/>
      <c r="J235" s="39">
        <f t="shared" si="32"/>
        <v>0</v>
      </c>
      <c r="K235" s="38"/>
      <c r="L235" s="38"/>
      <c r="M235" s="39"/>
      <c r="N235" s="38">
        <f>2*135*9</f>
        <v>2430</v>
      </c>
      <c r="O235" s="38">
        <v>1</v>
      </c>
      <c r="P235" s="39"/>
      <c r="Q235" s="38"/>
      <c r="R235" s="38"/>
      <c r="S235" s="39"/>
      <c r="T235" s="38"/>
      <c r="U235" s="38"/>
      <c r="V235" s="28"/>
      <c r="AF235" s="28"/>
      <c r="AG235" s="28"/>
    </row>
    <row r="236" spans="1:33" ht="57.6" x14ac:dyDescent="0.3">
      <c r="A236" s="2" t="s">
        <v>836</v>
      </c>
      <c r="B236" s="4" t="s">
        <v>837</v>
      </c>
      <c r="C236" s="3" t="s">
        <v>907</v>
      </c>
      <c r="D236" s="6" t="s">
        <v>908</v>
      </c>
      <c r="E236" s="6" t="s">
        <v>914</v>
      </c>
      <c r="F236" s="33" t="s">
        <v>709</v>
      </c>
      <c r="G236" s="25">
        <v>35000</v>
      </c>
      <c r="H236" s="38"/>
      <c r="I236" s="38"/>
      <c r="J236" s="39">
        <f t="shared" si="32"/>
        <v>0</v>
      </c>
      <c r="K236" s="38">
        <v>0</v>
      </c>
      <c r="L236" s="38">
        <v>0</v>
      </c>
      <c r="M236" s="39">
        <f t="shared" si="26"/>
        <v>0</v>
      </c>
      <c r="N236" s="38">
        <v>100</v>
      </c>
      <c r="O236" s="38">
        <v>1</v>
      </c>
      <c r="P236" s="39">
        <f t="shared" si="34"/>
        <v>4235000</v>
      </c>
      <c r="Q236" s="38">
        <v>0</v>
      </c>
      <c r="R236" s="38">
        <v>0</v>
      </c>
      <c r="S236" s="39">
        <f t="shared" si="27"/>
        <v>0</v>
      </c>
      <c r="T236" s="38">
        <v>0</v>
      </c>
      <c r="U236" s="38">
        <v>0</v>
      </c>
      <c r="V236" s="28">
        <f t="shared" si="31"/>
        <v>0</v>
      </c>
      <c r="Y236">
        <f t="shared" si="30"/>
        <v>0</v>
      </c>
      <c r="AB236">
        <f t="shared" si="33"/>
        <v>0</v>
      </c>
      <c r="AE236">
        <f t="shared" si="28"/>
        <v>0</v>
      </c>
      <c r="AF236" s="28">
        <f t="shared" si="29"/>
        <v>4235000</v>
      </c>
      <c r="AG236" s="28">
        <f t="shared" si="25"/>
        <v>4119.6498054474705</v>
      </c>
    </row>
    <row r="237" spans="1:33" ht="57.6" x14ac:dyDescent="0.3">
      <c r="A237" s="2" t="s">
        <v>836</v>
      </c>
      <c r="B237" s="4" t="s">
        <v>837</v>
      </c>
      <c r="C237" s="3" t="s">
        <v>907</v>
      </c>
      <c r="D237" s="6" t="s">
        <v>908</v>
      </c>
      <c r="E237" s="6" t="s">
        <v>915</v>
      </c>
      <c r="F237" s="6" t="s">
        <v>713</v>
      </c>
      <c r="G237" s="25">
        <v>45000</v>
      </c>
      <c r="H237" s="38"/>
      <c r="I237" s="38"/>
      <c r="J237" s="39">
        <f t="shared" si="32"/>
        <v>0</v>
      </c>
      <c r="K237" s="38">
        <v>0</v>
      </c>
      <c r="L237" s="38">
        <v>0</v>
      </c>
      <c r="M237" s="39">
        <f t="shared" si="26"/>
        <v>0</v>
      </c>
      <c r="N237" s="38">
        <v>25</v>
      </c>
      <c r="O237" s="38">
        <v>2</v>
      </c>
      <c r="P237" s="39">
        <f t="shared" si="34"/>
        <v>2722500</v>
      </c>
      <c r="Q237" s="38">
        <v>0</v>
      </c>
      <c r="R237" s="38">
        <v>0</v>
      </c>
      <c r="S237" s="39">
        <f t="shared" si="27"/>
        <v>0</v>
      </c>
      <c r="T237" s="38">
        <v>0</v>
      </c>
      <c r="U237" s="38">
        <v>0</v>
      </c>
      <c r="V237" s="28">
        <f t="shared" si="31"/>
        <v>0</v>
      </c>
      <c r="Y237">
        <f t="shared" si="30"/>
        <v>0</v>
      </c>
      <c r="AB237">
        <f t="shared" si="33"/>
        <v>0</v>
      </c>
      <c r="AE237">
        <f t="shared" si="28"/>
        <v>0</v>
      </c>
      <c r="AF237" s="28">
        <f t="shared" si="29"/>
        <v>2722500</v>
      </c>
      <c r="AG237" s="28">
        <f t="shared" si="25"/>
        <v>2648.3463035019454</v>
      </c>
    </row>
    <row r="238" spans="1:33" ht="57.6" x14ac:dyDescent="0.3">
      <c r="A238" s="2" t="s">
        <v>836</v>
      </c>
      <c r="B238" s="4" t="s">
        <v>837</v>
      </c>
      <c r="C238" s="3" t="s">
        <v>907</v>
      </c>
      <c r="D238" s="6" t="s">
        <v>908</v>
      </c>
      <c r="E238" s="6" t="s">
        <v>915</v>
      </c>
      <c r="F238" s="6" t="s">
        <v>712</v>
      </c>
      <c r="G238" s="25">
        <f>1999/7</f>
        <v>285.57142857142856</v>
      </c>
      <c r="H238" s="38"/>
      <c r="I238" s="38"/>
      <c r="J238" s="39">
        <f t="shared" si="32"/>
        <v>0</v>
      </c>
      <c r="K238" s="38">
        <v>0</v>
      </c>
      <c r="L238" s="38">
        <v>0</v>
      </c>
      <c r="M238" s="39">
        <f t="shared" si="26"/>
        <v>0</v>
      </c>
      <c r="N238" s="38">
        <f>25*2*9</f>
        <v>450</v>
      </c>
      <c r="O238" s="38">
        <v>1</v>
      </c>
      <c r="P238" s="39">
        <f t="shared" si="34"/>
        <v>155493.64285714284</v>
      </c>
      <c r="Q238" s="38">
        <v>0</v>
      </c>
      <c r="R238" s="38">
        <v>0</v>
      </c>
      <c r="S238" s="39">
        <f t="shared" si="27"/>
        <v>0</v>
      </c>
      <c r="T238" s="38">
        <v>0</v>
      </c>
      <c r="U238" s="38">
        <v>0</v>
      </c>
      <c r="V238" s="28">
        <f t="shared" si="31"/>
        <v>0</v>
      </c>
      <c r="Y238">
        <f t="shared" si="30"/>
        <v>0</v>
      </c>
      <c r="AB238">
        <f t="shared" si="33"/>
        <v>0</v>
      </c>
      <c r="AE238">
        <f t="shared" si="28"/>
        <v>0</v>
      </c>
      <c r="AF238" s="28">
        <f t="shared" si="29"/>
        <v>155493.64285714284</v>
      </c>
      <c r="AG238" s="28">
        <f t="shared" si="25"/>
        <v>151.25840744858252</v>
      </c>
    </row>
    <row r="239" spans="1:33" ht="57.6" x14ac:dyDescent="0.3">
      <c r="A239" s="2" t="s">
        <v>836</v>
      </c>
      <c r="B239" s="4" t="s">
        <v>837</v>
      </c>
      <c r="C239" s="3" t="s">
        <v>907</v>
      </c>
      <c r="D239" s="6" t="s">
        <v>908</v>
      </c>
      <c r="E239" s="6" t="s">
        <v>915</v>
      </c>
      <c r="F239" s="6" t="s">
        <v>1299</v>
      </c>
      <c r="G239" s="25">
        <f>1999/7</f>
        <v>285.57142857142856</v>
      </c>
      <c r="H239" s="38"/>
      <c r="I239" s="38"/>
      <c r="J239" s="39">
        <f t="shared" si="32"/>
        <v>0</v>
      </c>
      <c r="K239" s="38"/>
      <c r="L239" s="38"/>
      <c r="M239" s="39"/>
      <c r="N239" s="38">
        <f>2*135*9</f>
        <v>2430</v>
      </c>
      <c r="O239" s="38">
        <v>1</v>
      </c>
      <c r="P239" s="39"/>
      <c r="Q239" s="38"/>
      <c r="R239" s="38"/>
      <c r="S239" s="39"/>
      <c r="T239" s="38"/>
      <c r="U239" s="38"/>
      <c r="V239" s="28"/>
      <c r="AF239" s="28"/>
      <c r="AG239" s="28"/>
    </row>
    <row r="240" spans="1:33" ht="57.6" x14ac:dyDescent="0.3">
      <c r="A240" s="2" t="s">
        <v>836</v>
      </c>
      <c r="B240" s="4" t="s">
        <v>837</v>
      </c>
      <c r="C240" s="3" t="s">
        <v>907</v>
      </c>
      <c r="D240" s="6" t="s">
        <v>908</v>
      </c>
      <c r="E240" s="6" t="s">
        <v>915</v>
      </c>
      <c r="F240" s="6" t="s">
        <v>714</v>
      </c>
      <c r="G240" s="25">
        <v>10000</v>
      </c>
      <c r="H240" s="38"/>
      <c r="I240" s="38"/>
      <c r="J240" s="39">
        <f t="shared" si="32"/>
        <v>0</v>
      </c>
      <c r="K240" s="38">
        <v>0</v>
      </c>
      <c r="L240" s="38">
        <v>0</v>
      </c>
      <c r="M240" s="39">
        <f t="shared" si="26"/>
        <v>0</v>
      </c>
      <c r="N240" s="38">
        <v>15</v>
      </c>
      <c r="O240" s="38">
        <v>1</v>
      </c>
      <c r="P240" s="39">
        <f t="shared" si="34"/>
        <v>181500</v>
      </c>
      <c r="Q240" s="38">
        <v>0</v>
      </c>
      <c r="R240" s="38">
        <v>0</v>
      </c>
      <c r="S240" s="39">
        <f t="shared" si="27"/>
        <v>0</v>
      </c>
      <c r="T240" s="38">
        <v>0</v>
      </c>
      <c r="U240" s="38">
        <v>0</v>
      </c>
      <c r="V240" s="28">
        <f t="shared" si="31"/>
        <v>0</v>
      </c>
      <c r="Y240">
        <f t="shared" si="30"/>
        <v>0</v>
      </c>
      <c r="AB240">
        <f t="shared" si="33"/>
        <v>0</v>
      </c>
      <c r="AE240">
        <f t="shared" si="28"/>
        <v>0</v>
      </c>
      <c r="AF240" s="28">
        <f t="shared" si="29"/>
        <v>181500</v>
      </c>
      <c r="AG240" s="28">
        <f t="shared" si="25"/>
        <v>176.55642023346303</v>
      </c>
    </row>
    <row r="241" spans="1:33" ht="57.6" x14ac:dyDescent="0.3">
      <c r="A241" s="2" t="s">
        <v>836</v>
      </c>
      <c r="B241" s="4" t="s">
        <v>837</v>
      </c>
      <c r="C241" s="3" t="s">
        <v>907</v>
      </c>
      <c r="D241" s="6" t="s">
        <v>908</v>
      </c>
      <c r="E241" s="6" t="s">
        <v>915</v>
      </c>
      <c r="F241" s="6" t="s">
        <v>715</v>
      </c>
      <c r="G241" s="25">
        <v>302000</v>
      </c>
      <c r="H241" s="38"/>
      <c r="I241" s="38"/>
      <c r="J241" s="39">
        <f t="shared" si="32"/>
        <v>0</v>
      </c>
      <c r="K241" s="38">
        <v>0</v>
      </c>
      <c r="L241" s="38">
        <v>0</v>
      </c>
      <c r="M241" s="39">
        <f t="shared" si="26"/>
        <v>0</v>
      </c>
      <c r="N241" s="38">
        <v>15</v>
      </c>
      <c r="O241" s="38">
        <v>1</v>
      </c>
      <c r="P241" s="39">
        <f t="shared" si="34"/>
        <v>5481300</v>
      </c>
      <c r="Q241" s="38">
        <v>0</v>
      </c>
      <c r="R241" s="38">
        <v>0</v>
      </c>
      <c r="S241" s="39">
        <f t="shared" si="27"/>
        <v>0</v>
      </c>
      <c r="T241" s="38">
        <v>0</v>
      </c>
      <c r="U241" s="38">
        <v>0</v>
      </c>
      <c r="V241" s="28">
        <f t="shared" si="31"/>
        <v>0</v>
      </c>
      <c r="Y241">
        <f t="shared" si="30"/>
        <v>0</v>
      </c>
      <c r="AB241">
        <f t="shared" si="33"/>
        <v>0</v>
      </c>
      <c r="AE241">
        <f t="shared" si="28"/>
        <v>0</v>
      </c>
      <c r="AF241" s="28">
        <f t="shared" si="29"/>
        <v>5481300</v>
      </c>
      <c r="AG241" s="28">
        <f t="shared" si="25"/>
        <v>5332.0038910505837</v>
      </c>
    </row>
    <row r="242" spans="1:33" ht="57.6" x14ac:dyDescent="0.3">
      <c r="A242" s="2" t="s">
        <v>836</v>
      </c>
      <c r="B242" s="4" t="s">
        <v>837</v>
      </c>
      <c r="C242" s="3" t="s">
        <v>907</v>
      </c>
      <c r="D242" s="6" t="s">
        <v>908</v>
      </c>
      <c r="E242" s="6" t="s">
        <v>152</v>
      </c>
      <c r="F242" s="6" t="s">
        <v>716</v>
      </c>
      <c r="G242" s="25">
        <v>39000</v>
      </c>
      <c r="H242" s="38"/>
      <c r="I242" s="38"/>
      <c r="J242" s="39">
        <f t="shared" si="32"/>
        <v>0</v>
      </c>
      <c r="K242" s="38">
        <v>0</v>
      </c>
      <c r="L242" s="38">
        <v>0</v>
      </c>
      <c r="M242" s="39">
        <f t="shared" si="26"/>
        <v>0</v>
      </c>
      <c r="N242" s="38">
        <v>25</v>
      </c>
      <c r="O242" s="38">
        <v>6</v>
      </c>
      <c r="P242" s="39">
        <f t="shared" si="34"/>
        <v>7078500</v>
      </c>
      <c r="Q242" s="38">
        <v>0</v>
      </c>
      <c r="R242" s="38">
        <v>0</v>
      </c>
      <c r="S242" s="39">
        <f t="shared" si="27"/>
        <v>0</v>
      </c>
      <c r="T242" s="38">
        <v>0</v>
      </c>
      <c r="U242" s="38">
        <v>0</v>
      </c>
      <c r="V242" s="28">
        <f t="shared" si="31"/>
        <v>0</v>
      </c>
      <c r="Y242">
        <f t="shared" si="30"/>
        <v>0</v>
      </c>
      <c r="AB242">
        <f t="shared" si="33"/>
        <v>0</v>
      </c>
      <c r="AE242">
        <f t="shared" si="28"/>
        <v>0</v>
      </c>
      <c r="AF242" s="28">
        <f t="shared" si="29"/>
        <v>7078500</v>
      </c>
      <c r="AG242" s="28">
        <f t="shared" si="25"/>
        <v>6885.7003891050581</v>
      </c>
    </row>
    <row r="243" spans="1:33" ht="57.6" x14ac:dyDescent="0.3">
      <c r="A243" s="2" t="s">
        <v>836</v>
      </c>
      <c r="B243" s="4" t="s">
        <v>837</v>
      </c>
      <c r="C243" s="3" t="s">
        <v>907</v>
      </c>
      <c r="D243" s="6" t="s">
        <v>908</v>
      </c>
      <c r="E243" s="6" t="s">
        <v>152</v>
      </c>
      <c r="F243" s="6" t="s">
        <v>709</v>
      </c>
      <c r="G243" s="25">
        <v>35000</v>
      </c>
      <c r="H243" s="38"/>
      <c r="I243" s="38"/>
      <c r="J243" s="39">
        <f t="shared" si="32"/>
        <v>0</v>
      </c>
      <c r="K243" s="38">
        <v>0</v>
      </c>
      <c r="L243" s="38">
        <v>0</v>
      </c>
      <c r="M243" s="39">
        <f t="shared" si="26"/>
        <v>0</v>
      </c>
      <c r="N243" s="38">
        <v>25</v>
      </c>
      <c r="O243" s="38">
        <v>5</v>
      </c>
      <c r="P243" s="39">
        <f t="shared" si="34"/>
        <v>5293750</v>
      </c>
      <c r="Q243" s="38">
        <v>0</v>
      </c>
      <c r="R243" s="38">
        <v>0</v>
      </c>
      <c r="S243" s="39">
        <f t="shared" si="27"/>
        <v>0</v>
      </c>
      <c r="T243" s="38">
        <v>0</v>
      </c>
      <c r="U243" s="38">
        <v>0</v>
      </c>
      <c r="V243" s="28">
        <f t="shared" si="31"/>
        <v>0</v>
      </c>
      <c r="Y243">
        <f t="shared" si="30"/>
        <v>0</v>
      </c>
      <c r="AB243">
        <f t="shared" si="33"/>
        <v>0</v>
      </c>
      <c r="AE243">
        <f t="shared" si="28"/>
        <v>0</v>
      </c>
      <c r="AF243" s="28">
        <f t="shared" si="29"/>
        <v>5293750</v>
      </c>
      <c r="AG243" s="28">
        <f t="shared" si="25"/>
        <v>5149.5622568093386</v>
      </c>
    </row>
    <row r="244" spans="1:33" ht="57.6" x14ac:dyDescent="0.3">
      <c r="A244" s="2" t="s">
        <v>836</v>
      </c>
      <c r="B244" s="4" t="s">
        <v>837</v>
      </c>
      <c r="C244" s="3" t="s">
        <v>907</v>
      </c>
      <c r="D244" s="6" t="s">
        <v>908</v>
      </c>
      <c r="E244" s="6" t="s">
        <v>152</v>
      </c>
      <c r="F244" s="6" t="s">
        <v>712</v>
      </c>
      <c r="G244" s="25">
        <f>1999/7</f>
        <v>285.57142857142856</v>
      </c>
      <c r="H244" s="38"/>
      <c r="I244" s="38"/>
      <c r="J244" s="39">
        <f t="shared" si="32"/>
        <v>0</v>
      </c>
      <c r="K244" s="38">
        <v>0</v>
      </c>
      <c r="L244" s="38">
        <v>0</v>
      </c>
      <c r="M244" s="39">
        <f t="shared" si="26"/>
        <v>0</v>
      </c>
      <c r="N244" s="38">
        <f>25*2*9</f>
        <v>450</v>
      </c>
      <c r="O244" s="38">
        <v>1</v>
      </c>
      <c r="P244" s="39">
        <f t="shared" si="34"/>
        <v>155493.64285714284</v>
      </c>
      <c r="Q244" s="38">
        <v>0</v>
      </c>
      <c r="R244" s="38">
        <v>0</v>
      </c>
      <c r="S244" s="39">
        <f t="shared" si="27"/>
        <v>0</v>
      </c>
      <c r="T244" s="38">
        <v>0</v>
      </c>
      <c r="U244" s="38">
        <v>0</v>
      </c>
      <c r="V244" s="28">
        <f t="shared" si="31"/>
        <v>0</v>
      </c>
      <c r="Y244">
        <f t="shared" si="30"/>
        <v>0</v>
      </c>
      <c r="AB244">
        <f t="shared" si="33"/>
        <v>0</v>
      </c>
      <c r="AE244">
        <f t="shared" si="28"/>
        <v>0</v>
      </c>
      <c r="AF244" s="28">
        <f t="shared" si="29"/>
        <v>155493.64285714284</v>
      </c>
      <c r="AG244" s="28">
        <f t="shared" si="25"/>
        <v>151.25840744858252</v>
      </c>
    </row>
    <row r="245" spans="1:33" ht="57.6" x14ac:dyDescent="0.3">
      <c r="A245" s="2" t="s">
        <v>836</v>
      </c>
      <c r="B245" s="4" t="s">
        <v>837</v>
      </c>
      <c r="C245" s="3" t="s">
        <v>907</v>
      </c>
      <c r="D245" s="6" t="s">
        <v>908</v>
      </c>
      <c r="E245" s="6" t="s">
        <v>152</v>
      </c>
      <c r="F245" s="6" t="s">
        <v>1299</v>
      </c>
      <c r="G245" s="25">
        <f>1999/7</f>
        <v>285.57142857142856</v>
      </c>
      <c r="H245" s="38"/>
      <c r="I245" s="38"/>
      <c r="J245" s="39">
        <f t="shared" si="32"/>
        <v>0</v>
      </c>
      <c r="K245" s="38"/>
      <c r="L245" s="38"/>
      <c r="M245" s="39"/>
      <c r="N245" s="38">
        <f>2*135*9</f>
        <v>2430</v>
      </c>
      <c r="O245" s="38">
        <v>1</v>
      </c>
      <c r="P245" s="39"/>
      <c r="Q245" s="38"/>
      <c r="R245" s="38"/>
      <c r="S245" s="39"/>
      <c r="T245" s="38"/>
      <c r="U245" s="38"/>
      <c r="V245" s="28"/>
      <c r="AF245" s="28"/>
      <c r="AG245" s="28"/>
    </row>
    <row r="246" spans="1:33" ht="57.6" x14ac:dyDescent="0.3">
      <c r="A246" s="2" t="s">
        <v>836</v>
      </c>
      <c r="B246" s="4" t="s">
        <v>837</v>
      </c>
      <c r="C246" s="3" t="s">
        <v>907</v>
      </c>
      <c r="D246" s="6" t="s">
        <v>908</v>
      </c>
      <c r="E246" s="6" t="s">
        <v>1319</v>
      </c>
      <c r="F246" s="6" t="s">
        <v>716</v>
      </c>
      <c r="G246" s="25">
        <v>39000</v>
      </c>
      <c r="H246" s="38"/>
      <c r="I246" s="38"/>
      <c r="J246" s="39">
        <f t="shared" si="32"/>
        <v>0</v>
      </c>
      <c r="K246" s="38"/>
      <c r="L246" s="38"/>
      <c r="M246" s="39"/>
      <c r="N246" s="38">
        <v>25</v>
      </c>
      <c r="O246" s="38">
        <v>2</v>
      </c>
      <c r="P246" s="39"/>
      <c r="Q246" s="38"/>
      <c r="R246" s="38"/>
      <c r="S246" s="39"/>
      <c r="T246" s="38"/>
      <c r="U246" s="38"/>
      <c r="V246" s="28"/>
      <c r="AF246" s="28"/>
      <c r="AG246" s="28"/>
    </row>
    <row r="247" spans="1:33" ht="57.6" x14ac:dyDescent="0.3">
      <c r="A247" s="2" t="s">
        <v>836</v>
      </c>
      <c r="B247" s="4" t="s">
        <v>837</v>
      </c>
      <c r="C247" s="3" t="s">
        <v>907</v>
      </c>
      <c r="D247" s="6" t="s">
        <v>908</v>
      </c>
      <c r="E247" s="6" t="s">
        <v>1319</v>
      </c>
      <c r="F247" s="6" t="s">
        <v>709</v>
      </c>
      <c r="G247" s="25">
        <v>35000</v>
      </c>
      <c r="H247" s="38"/>
      <c r="I247" s="38"/>
      <c r="J247" s="39">
        <f t="shared" si="32"/>
        <v>0</v>
      </c>
      <c r="K247" s="38"/>
      <c r="L247" s="38"/>
      <c r="M247" s="39"/>
      <c r="N247" s="38">
        <v>25</v>
      </c>
      <c r="O247" s="38">
        <v>1</v>
      </c>
      <c r="P247" s="39"/>
      <c r="Q247" s="38"/>
      <c r="R247" s="38"/>
      <c r="S247" s="39"/>
      <c r="T247" s="38"/>
      <c r="U247" s="38"/>
      <c r="V247" s="28"/>
      <c r="AF247" s="28"/>
      <c r="AG247" s="28"/>
    </row>
    <row r="248" spans="1:33" ht="57.6" x14ac:dyDescent="0.3">
      <c r="A248" s="2" t="s">
        <v>836</v>
      </c>
      <c r="B248" s="4" t="s">
        <v>837</v>
      </c>
      <c r="C248" s="3" t="s">
        <v>907</v>
      </c>
      <c r="D248" s="6" t="s">
        <v>908</v>
      </c>
      <c r="E248" s="6" t="s">
        <v>1319</v>
      </c>
      <c r="F248" s="6" t="s">
        <v>712</v>
      </c>
      <c r="G248" s="25">
        <f>1999/7</f>
        <v>285.57142857142856</v>
      </c>
      <c r="H248" s="38"/>
      <c r="I248" s="38"/>
      <c r="J248" s="39">
        <f t="shared" si="32"/>
        <v>0</v>
      </c>
      <c r="K248" s="38"/>
      <c r="L248" s="38"/>
      <c r="M248" s="39"/>
      <c r="N248" s="38">
        <f>25*2*9</f>
        <v>450</v>
      </c>
      <c r="O248" s="38">
        <v>1</v>
      </c>
      <c r="P248" s="39"/>
      <c r="Q248" s="38"/>
      <c r="R248" s="38"/>
      <c r="S248" s="39"/>
      <c r="T248" s="38"/>
      <c r="U248" s="38"/>
      <c r="V248" s="28"/>
      <c r="AF248" s="28"/>
      <c r="AG248" s="28"/>
    </row>
    <row r="249" spans="1:33" ht="57.6" x14ac:dyDescent="0.3">
      <c r="A249" s="2" t="s">
        <v>836</v>
      </c>
      <c r="B249" s="4" t="s">
        <v>837</v>
      </c>
      <c r="C249" s="3" t="s">
        <v>907</v>
      </c>
      <c r="D249" s="6" t="s">
        <v>908</v>
      </c>
      <c r="E249" s="6" t="s">
        <v>1319</v>
      </c>
      <c r="F249" s="6" t="s">
        <v>1299</v>
      </c>
      <c r="G249" s="25">
        <f>1999/7</f>
        <v>285.57142857142856</v>
      </c>
      <c r="H249" s="38"/>
      <c r="I249" s="38"/>
      <c r="J249" s="39">
        <f t="shared" si="32"/>
        <v>0</v>
      </c>
      <c r="K249" s="38"/>
      <c r="L249" s="38"/>
      <c r="M249" s="39"/>
      <c r="N249" s="38">
        <f>2*135*9</f>
        <v>2430</v>
      </c>
      <c r="O249" s="38">
        <v>1</v>
      </c>
      <c r="P249" s="39"/>
      <c r="Q249" s="38"/>
      <c r="R249" s="38"/>
      <c r="S249" s="39"/>
      <c r="T249" s="38"/>
      <c r="U249" s="38"/>
      <c r="V249" s="28"/>
      <c r="AF249" s="28"/>
      <c r="AG249" s="28"/>
    </row>
    <row r="250" spans="1:33" ht="57.6" x14ac:dyDescent="0.3">
      <c r="A250" s="2" t="s">
        <v>836</v>
      </c>
      <c r="B250" s="4" t="s">
        <v>837</v>
      </c>
      <c r="C250" s="3" t="s">
        <v>907</v>
      </c>
      <c r="D250" s="6" t="s">
        <v>908</v>
      </c>
      <c r="E250" s="6" t="s">
        <v>916</v>
      </c>
      <c r="F250" s="6" t="s">
        <v>841</v>
      </c>
      <c r="G250" s="25">
        <v>0</v>
      </c>
      <c r="H250" s="38"/>
      <c r="I250" s="38"/>
      <c r="J250" s="39">
        <f t="shared" si="32"/>
        <v>0</v>
      </c>
      <c r="K250" s="38">
        <v>0</v>
      </c>
      <c r="L250" s="38">
        <v>0</v>
      </c>
      <c r="M250" s="39">
        <f t="shared" si="26"/>
        <v>0</v>
      </c>
      <c r="N250" s="38">
        <v>0</v>
      </c>
      <c r="O250" s="38">
        <v>0</v>
      </c>
      <c r="P250" s="39">
        <f t="shared" si="34"/>
        <v>0</v>
      </c>
      <c r="Q250" s="38">
        <v>0</v>
      </c>
      <c r="R250" s="38">
        <v>0</v>
      </c>
      <c r="S250" s="39">
        <f t="shared" si="27"/>
        <v>0</v>
      </c>
      <c r="T250" s="38">
        <v>0</v>
      </c>
      <c r="U250" s="38">
        <v>0</v>
      </c>
      <c r="V250" s="28">
        <f t="shared" si="31"/>
        <v>0</v>
      </c>
      <c r="Y250">
        <f t="shared" si="30"/>
        <v>0</v>
      </c>
      <c r="AB250">
        <f t="shared" si="33"/>
        <v>0</v>
      </c>
      <c r="AE250">
        <f t="shared" si="28"/>
        <v>0</v>
      </c>
      <c r="AF250" s="28">
        <f t="shared" si="29"/>
        <v>0</v>
      </c>
      <c r="AG250" s="28">
        <f t="shared" si="25"/>
        <v>0</v>
      </c>
    </row>
    <row r="251" spans="1:33" ht="57.6" x14ac:dyDescent="0.3">
      <c r="A251" s="2" t="s">
        <v>836</v>
      </c>
      <c r="B251" s="4" t="s">
        <v>837</v>
      </c>
      <c r="C251" s="3" t="s">
        <v>907</v>
      </c>
      <c r="D251" s="6" t="s">
        <v>908</v>
      </c>
      <c r="E251" s="6" t="s">
        <v>917</v>
      </c>
      <c r="F251" s="6" t="s">
        <v>841</v>
      </c>
      <c r="G251" s="25">
        <v>0</v>
      </c>
      <c r="H251" s="38"/>
      <c r="I251" s="38"/>
      <c r="J251" s="39">
        <f t="shared" si="32"/>
        <v>0</v>
      </c>
      <c r="K251" s="38">
        <v>0</v>
      </c>
      <c r="L251" s="38">
        <v>0</v>
      </c>
      <c r="M251" s="39">
        <f t="shared" si="26"/>
        <v>0</v>
      </c>
      <c r="N251" s="38">
        <v>0</v>
      </c>
      <c r="O251" s="38">
        <v>0</v>
      </c>
      <c r="P251" s="39">
        <f t="shared" si="34"/>
        <v>0</v>
      </c>
      <c r="Q251" s="38">
        <v>0</v>
      </c>
      <c r="R251" s="38">
        <v>0</v>
      </c>
      <c r="S251" s="39">
        <f t="shared" si="27"/>
        <v>0</v>
      </c>
      <c r="T251" s="38">
        <v>0</v>
      </c>
      <c r="U251" s="38">
        <v>0</v>
      </c>
      <c r="V251" s="28">
        <f t="shared" si="31"/>
        <v>0</v>
      </c>
      <c r="Y251">
        <f t="shared" si="30"/>
        <v>0</v>
      </c>
      <c r="AB251">
        <f t="shared" si="33"/>
        <v>0</v>
      </c>
      <c r="AE251">
        <f t="shared" si="28"/>
        <v>0</v>
      </c>
      <c r="AF251" s="28">
        <f t="shared" si="29"/>
        <v>0</v>
      </c>
      <c r="AG251" s="28">
        <f t="shared" si="25"/>
        <v>0</v>
      </c>
    </row>
    <row r="252" spans="1:33" ht="57.6" x14ac:dyDescent="0.3">
      <c r="A252" s="2" t="s">
        <v>836</v>
      </c>
      <c r="B252" s="4" t="s">
        <v>837</v>
      </c>
      <c r="C252" s="3" t="s">
        <v>907</v>
      </c>
      <c r="D252" s="6" t="s">
        <v>908</v>
      </c>
      <c r="E252" s="6" t="s">
        <v>918</v>
      </c>
      <c r="F252" s="6" t="s">
        <v>709</v>
      </c>
      <c r="G252" s="25">
        <v>35000</v>
      </c>
      <c r="H252" s="38"/>
      <c r="I252" s="38"/>
      <c r="J252" s="39">
        <f t="shared" si="32"/>
        <v>0</v>
      </c>
      <c r="K252" s="38">
        <v>0</v>
      </c>
      <c r="L252" s="38">
        <v>0</v>
      </c>
      <c r="M252" s="39">
        <f t="shared" si="26"/>
        <v>0</v>
      </c>
      <c r="N252" s="38">
        <v>25</v>
      </c>
      <c r="O252" s="38">
        <v>1</v>
      </c>
      <c r="P252" s="39">
        <f t="shared" si="34"/>
        <v>1058750</v>
      </c>
      <c r="Q252" s="38">
        <v>0</v>
      </c>
      <c r="R252" s="38">
        <v>0</v>
      </c>
      <c r="S252" s="39">
        <f t="shared" si="27"/>
        <v>0</v>
      </c>
      <c r="T252" s="38">
        <v>0</v>
      </c>
      <c r="U252" s="38">
        <v>0</v>
      </c>
      <c r="V252" s="28">
        <f t="shared" si="31"/>
        <v>0</v>
      </c>
      <c r="Y252">
        <f t="shared" si="30"/>
        <v>0</v>
      </c>
      <c r="AB252">
        <f t="shared" si="33"/>
        <v>0</v>
      </c>
      <c r="AE252">
        <f t="shared" si="28"/>
        <v>0</v>
      </c>
      <c r="AF252" s="28">
        <f t="shared" si="29"/>
        <v>1058750</v>
      </c>
      <c r="AG252" s="28">
        <f t="shared" si="25"/>
        <v>1029.9124513618676</v>
      </c>
    </row>
    <row r="253" spans="1:33" ht="57.6" x14ac:dyDescent="0.3">
      <c r="A253" s="2" t="s">
        <v>836</v>
      </c>
      <c r="B253" s="4" t="s">
        <v>837</v>
      </c>
      <c r="C253" s="3" t="s">
        <v>907</v>
      </c>
      <c r="D253" s="6" t="s">
        <v>908</v>
      </c>
      <c r="E253" s="6" t="s">
        <v>918</v>
      </c>
      <c r="F253" s="6" t="s">
        <v>716</v>
      </c>
      <c r="G253" s="25">
        <v>39000</v>
      </c>
      <c r="H253" s="38"/>
      <c r="I253" s="38"/>
      <c r="J253" s="39">
        <f t="shared" si="32"/>
        <v>0</v>
      </c>
      <c r="K253" s="38">
        <v>0</v>
      </c>
      <c r="L253" s="38">
        <v>0</v>
      </c>
      <c r="M253" s="39">
        <f t="shared" si="26"/>
        <v>0</v>
      </c>
      <c r="N253" s="38">
        <v>25</v>
      </c>
      <c r="O253" s="38">
        <v>1</v>
      </c>
      <c r="P253" s="39">
        <f t="shared" si="34"/>
        <v>1179750</v>
      </c>
      <c r="Q253" s="38">
        <v>0</v>
      </c>
      <c r="R253" s="38">
        <v>0</v>
      </c>
      <c r="S253" s="39">
        <f t="shared" si="27"/>
        <v>0</v>
      </c>
      <c r="T253" s="38">
        <v>0</v>
      </c>
      <c r="U253" s="38">
        <v>0</v>
      </c>
      <c r="V253" s="28">
        <f t="shared" si="31"/>
        <v>0</v>
      </c>
      <c r="Y253">
        <f t="shared" si="30"/>
        <v>0</v>
      </c>
      <c r="AB253">
        <f t="shared" si="33"/>
        <v>0</v>
      </c>
      <c r="AE253">
        <f t="shared" si="28"/>
        <v>0</v>
      </c>
      <c r="AF253" s="28">
        <f t="shared" si="29"/>
        <v>1179750</v>
      </c>
      <c r="AG253" s="28">
        <f t="shared" si="25"/>
        <v>1147.6167315175098</v>
      </c>
    </row>
    <row r="254" spans="1:33" ht="57.6" x14ac:dyDescent="0.3">
      <c r="A254" s="2" t="s">
        <v>836</v>
      </c>
      <c r="B254" s="4" t="s">
        <v>837</v>
      </c>
      <c r="C254" s="3" t="s">
        <v>907</v>
      </c>
      <c r="D254" s="6" t="s">
        <v>908</v>
      </c>
      <c r="E254" s="6" t="s">
        <v>918</v>
      </c>
      <c r="F254" s="6" t="s">
        <v>712</v>
      </c>
      <c r="G254" s="25">
        <f>1999/7</f>
        <v>285.57142857142856</v>
      </c>
      <c r="H254" s="38"/>
      <c r="I254" s="38"/>
      <c r="J254" s="39">
        <f t="shared" si="32"/>
        <v>0</v>
      </c>
      <c r="K254" s="38">
        <v>0</v>
      </c>
      <c r="L254" s="38">
        <v>0</v>
      </c>
      <c r="M254" s="39">
        <f t="shared" si="26"/>
        <v>0</v>
      </c>
      <c r="N254" s="38">
        <f>25*2*9</f>
        <v>450</v>
      </c>
      <c r="O254" s="38">
        <v>1</v>
      </c>
      <c r="P254" s="39">
        <f t="shared" si="34"/>
        <v>155493.64285714284</v>
      </c>
      <c r="Q254" s="38">
        <v>0</v>
      </c>
      <c r="R254" s="38">
        <v>0</v>
      </c>
      <c r="S254" s="39">
        <f t="shared" si="27"/>
        <v>0</v>
      </c>
      <c r="T254" s="38">
        <v>0</v>
      </c>
      <c r="U254" s="38">
        <v>0</v>
      </c>
      <c r="V254" s="28">
        <f t="shared" si="31"/>
        <v>0</v>
      </c>
      <c r="Y254">
        <f t="shared" si="30"/>
        <v>0</v>
      </c>
      <c r="AB254">
        <f t="shared" si="33"/>
        <v>0</v>
      </c>
      <c r="AE254">
        <f t="shared" si="28"/>
        <v>0</v>
      </c>
      <c r="AF254" s="28">
        <f t="shared" si="29"/>
        <v>155493.64285714284</v>
      </c>
      <c r="AG254" s="28">
        <f t="shared" si="25"/>
        <v>151.25840744858252</v>
      </c>
    </row>
    <row r="255" spans="1:33" ht="57.6" x14ac:dyDescent="0.3">
      <c r="A255" s="2" t="s">
        <v>836</v>
      </c>
      <c r="B255" s="4" t="s">
        <v>837</v>
      </c>
      <c r="C255" s="3" t="s">
        <v>907</v>
      </c>
      <c r="D255" s="6" t="s">
        <v>908</v>
      </c>
      <c r="E255" s="6" t="s">
        <v>918</v>
      </c>
      <c r="F255" s="6" t="s">
        <v>1299</v>
      </c>
      <c r="G255" s="25">
        <f>1999/7</f>
        <v>285.57142857142856</v>
      </c>
      <c r="H255" s="38"/>
      <c r="I255" s="38"/>
      <c r="J255" s="39">
        <f t="shared" si="32"/>
        <v>0</v>
      </c>
      <c r="K255" s="38"/>
      <c r="L255" s="38"/>
      <c r="M255" s="39"/>
      <c r="N255" s="38">
        <f>2*135*9</f>
        <v>2430</v>
      </c>
      <c r="O255" s="38">
        <v>1</v>
      </c>
      <c r="P255" s="39"/>
      <c r="Q255" s="38"/>
      <c r="R255" s="38"/>
      <c r="S255" s="39"/>
      <c r="T255" s="38"/>
      <c r="U255" s="38"/>
      <c r="V255" s="28"/>
      <c r="AF255" s="28"/>
      <c r="AG255" s="28"/>
    </row>
    <row r="256" spans="1:33" ht="57.6" x14ac:dyDescent="0.3">
      <c r="A256" s="2" t="s">
        <v>836</v>
      </c>
      <c r="B256" s="4" t="s">
        <v>837</v>
      </c>
      <c r="C256" s="3" t="s">
        <v>907</v>
      </c>
      <c r="D256" s="6" t="s">
        <v>908</v>
      </c>
      <c r="E256" s="6" t="s">
        <v>919</v>
      </c>
      <c r="F256" s="6" t="s">
        <v>709</v>
      </c>
      <c r="G256" s="25">
        <v>35000</v>
      </c>
      <c r="H256" s="38"/>
      <c r="I256" s="38"/>
      <c r="J256" s="39">
        <f t="shared" si="32"/>
        <v>0</v>
      </c>
      <c r="K256" s="38">
        <v>0</v>
      </c>
      <c r="L256" s="38">
        <v>0</v>
      </c>
      <c r="M256" s="39">
        <f t="shared" si="26"/>
        <v>0</v>
      </c>
      <c r="N256" s="38">
        <v>100</v>
      </c>
      <c r="O256" s="38">
        <v>1</v>
      </c>
      <c r="P256" s="39">
        <f t="shared" si="34"/>
        <v>4235000</v>
      </c>
      <c r="Q256" s="38">
        <v>0</v>
      </c>
      <c r="R256" s="38">
        <v>0</v>
      </c>
      <c r="S256" s="39">
        <f t="shared" si="27"/>
        <v>0</v>
      </c>
      <c r="T256" s="38">
        <v>0</v>
      </c>
      <c r="U256" s="38">
        <v>0</v>
      </c>
      <c r="V256" s="28">
        <f t="shared" si="31"/>
        <v>0</v>
      </c>
      <c r="Y256">
        <f t="shared" si="30"/>
        <v>0</v>
      </c>
      <c r="AB256">
        <f t="shared" si="33"/>
        <v>0</v>
      </c>
      <c r="AE256">
        <f t="shared" si="28"/>
        <v>0</v>
      </c>
      <c r="AF256" s="28">
        <f t="shared" si="29"/>
        <v>4235000</v>
      </c>
      <c r="AG256" s="28">
        <f t="shared" si="25"/>
        <v>4119.6498054474705</v>
      </c>
    </row>
    <row r="257" spans="1:33" ht="57.6" x14ac:dyDescent="0.3">
      <c r="A257" s="2" t="s">
        <v>836</v>
      </c>
      <c r="B257" s="4" t="s">
        <v>837</v>
      </c>
      <c r="C257" s="3" t="s">
        <v>907</v>
      </c>
      <c r="D257" s="6" t="s">
        <v>908</v>
      </c>
      <c r="E257" s="6" t="s">
        <v>919</v>
      </c>
      <c r="F257" s="6" t="s">
        <v>716</v>
      </c>
      <c r="G257" s="25">
        <v>39000</v>
      </c>
      <c r="H257" s="38"/>
      <c r="I257" s="38"/>
      <c r="J257" s="39">
        <f t="shared" si="32"/>
        <v>0</v>
      </c>
      <c r="K257" s="38">
        <v>0</v>
      </c>
      <c r="L257" s="38">
        <v>0</v>
      </c>
      <c r="M257" s="39">
        <f t="shared" si="26"/>
        <v>0</v>
      </c>
      <c r="N257" s="38">
        <v>58</v>
      </c>
      <c r="O257" s="38">
        <v>2</v>
      </c>
      <c r="P257" s="39">
        <f t="shared" si="34"/>
        <v>5474040</v>
      </c>
      <c r="Q257" s="38">
        <v>0</v>
      </c>
      <c r="R257" s="38">
        <v>0</v>
      </c>
      <c r="S257" s="39">
        <f t="shared" si="27"/>
        <v>0</v>
      </c>
      <c r="T257" s="38">
        <v>0</v>
      </c>
      <c r="U257" s="38">
        <v>0</v>
      </c>
      <c r="V257" s="28">
        <f t="shared" si="31"/>
        <v>0</v>
      </c>
      <c r="Y257">
        <f t="shared" si="30"/>
        <v>0</v>
      </c>
      <c r="AB257">
        <f t="shared" si="33"/>
        <v>0</v>
      </c>
      <c r="AE257">
        <f t="shared" si="28"/>
        <v>0</v>
      </c>
      <c r="AF257" s="28">
        <f t="shared" si="29"/>
        <v>5474040</v>
      </c>
      <c r="AG257" s="28">
        <f t="shared" si="25"/>
        <v>5324.9416342412451</v>
      </c>
    </row>
    <row r="258" spans="1:33" ht="57.6" x14ac:dyDescent="0.3">
      <c r="A258" s="2" t="s">
        <v>836</v>
      </c>
      <c r="B258" s="4" t="s">
        <v>837</v>
      </c>
      <c r="C258" s="3" t="s">
        <v>907</v>
      </c>
      <c r="D258" s="6" t="s">
        <v>908</v>
      </c>
      <c r="E258" s="6" t="s">
        <v>919</v>
      </c>
      <c r="F258" s="6" t="s">
        <v>712</v>
      </c>
      <c r="G258" s="25">
        <f>1999/7</f>
        <v>285.57142857142856</v>
      </c>
      <c r="H258" s="38"/>
      <c r="I258" s="38"/>
      <c r="J258" s="39">
        <f t="shared" si="32"/>
        <v>0</v>
      </c>
      <c r="K258" s="38">
        <v>0</v>
      </c>
      <c r="L258" s="38">
        <v>0</v>
      </c>
      <c r="M258" s="39">
        <f t="shared" si="26"/>
        <v>0</v>
      </c>
      <c r="N258" s="38">
        <f>25*2*29</f>
        <v>1450</v>
      </c>
      <c r="O258" s="38">
        <v>1</v>
      </c>
      <c r="P258" s="39">
        <f t="shared" si="34"/>
        <v>501035.07142857136</v>
      </c>
      <c r="Q258" s="38">
        <v>0</v>
      </c>
      <c r="R258" s="38">
        <v>0</v>
      </c>
      <c r="S258" s="39">
        <f t="shared" si="27"/>
        <v>0</v>
      </c>
      <c r="T258" s="38">
        <v>0</v>
      </c>
      <c r="U258" s="38">
        <v>0</v>
      </c>
      <c r="V258" s="28">
        <f t="shared" si="31"/>
        <v>0</v>
      </c>
      <c r="Y258">
        <f t="shared" si="30"/>
        <v>0</v>
      </c>
      <c r="AB258">
        <f t="shared" si="33"/>
        <v>0</v>
      </c>
      <c r="AE258">
        <f t="shared" si="28"/>
        <v>0</v>
      </c>
      <c r="AF258" s="28">
        <f t="shared" si="29"/>
        <v>501035.07142857136</v>
      </c>
      <c r="AG258" s="28">
        <f t="shared" si="25"/>
        <v>487.3882017787659</v>
      </c>
    </row>
    <row r="259" spans="1:33" ht="57.6" x14ac:dyDescent="0.3">
      <c r="A259" s="2" t="s">
        <v>836</v>
      </c>
      <c r="B259" s="4" t="s">
        <v>837</v>
      </c>
      <c r="C259" s="3" t="s">
        <v>907</v>
      </c>
      <c r="D259" s="6" t="s">
        <v>908</v>
      </c>
      <c r="E259" s="6" t="s">
        <v>919</v>
      </c>
      <c r="F259" s="6" t="s">
        <v>1297</v>
      </c>
      <c r="G259" s="25">
        <v>8000</v>
      </c>
      <c r="H259" s="38"/>
      <c r="I259" s="38"/>
      <c r="J259" s="39">
        <f t="shared" ref="J259:J322" si="35">G259*H259*I259</f>
        <v>0</v>
      </c>
      <c r="K259" s="38">
        <v>0</v>
      </c>
      <c r="L259" s="38">
        <v>0</v>
      </c>
      <c r="M259" s="39">
        <f t="shared" si="26"/>
        <v>0</v>
      </c>
      <c r="N259" s="38">
        <v>10</v>
      </c>
      <c r="O259" s="38">
        <v>1</v>
      </c>
      <c r="P259" s="39">
        <f t="shared" si="34"/>
        <v>96800</v>
      </c>
      <c r="Q259" s="38">
        <v>0</v>
      </c>
      <c r="R259" s="38">
        <v>0</v>
      </c>
      <c r="S259" s="39">
        <f t="shared" si="27"/>
        <v>0</v>
      </c>
      <c r="T259" s="38">
        <v>0</v>
      </c>
      <c r="U259" s="38">
        <v>0</v>
      </c>
      <c r="V259" s="28">
        <f t="shared" si="31"/>
        <v>0</v>
      </c>
      <c r="Y259">
        <f t="shared" si="30"/>
        <v>0</v>
      </c>
      <c r="AB259">
        <f t="shared" si="33"/>
        <v>0</v>
      </c>
      <c r="AE259">
        <f t="shared" si="28"/>
        <v>0</v>
      </c>
      <c r="AF259" s="28">
        <f t="shared" si="29"/>
        <v>96800</v>
      </c>
      <c r="AG259" s="28">
        <f t="shared" si="25"/>
        <v>94.163424124513625</v>
      </c>
    </row>
    <row r="260" spans="1:33" ht="57.6" x14ac:dyDescent="0.3">
      <c r="A260" s="2" t="s">
        <v>836</v>
      </c>
      <c r="B260" s="4" t="s">
        <v>837</v>
      </c>
      <c r="C260" s="3" t="s">
        <v>907</v>
      </c>
      <c r="D260" s="6" t="s">
        <v>908</v>
      </c>
      <c r="E260" s="6" t="s">
        <v>919</v>
      </c>
      <c r="F260" s="6" t="s">
        <v>710</v>
      </c>
      <c r="G260" s="25">
        <v>104850</v>
      </c>
      <c r="H260" s="38"/>
      <c r="I260" s="38"/>
      <c r="J260" s="39">
        <f t="shared" si="35"/>
        <v>0</v>
      </c>
      <c r="K260" s="38">
        <v>0</v>
      </c>
      <c r="L260" s="38">
        <v>0</v>
      </c>
      <c r="M260" s="39">
        <f t="shared" si="26"/>
        <v>0</v>
      </c>
      <c r="N260" s="38">
        <v>1</v>
      </c>
      <c r="O260" s="38">
        <v>1</v>
      </c>
      <c r="P260" s="39">
        <f t="shared" si="34"/>
        <v>126868.5</v>
      </c>
      <c r="Q260" s="38">
        <v>0</v>
      </c>
      <c r="R260" s="38">
        <v>0</v>
      </c>
      <c r="S260" s="39">
        <f t="shared" si="27"/>
        <v>0</v>
      </c>
      <c r="T260" s="38">
        <v>0</v>
      </c>
      <c r="U260" s="38">
        <v>0</v>
      </c>
      <c r="V260" s="28">
        <f t="shared" si="31"/>
        <v>0</v>
      </c>
      <c r="Y260">
        <f t="shared" si="30"/>
        <v>0</v>
      </c>
      <c r="AB260">
        <f t="shared" si="33"/>
        <v>0</v>
      </c>
      <c r="AE260">
        <f t="shared" si="28"/>
        <v>0</v>
      </c>
      <c r="AF260" s="28">
        <f t="shared" si="29"/>
        <v>126868.5</v>
      </c>
      <c r="AG260" s="28">
        <f t="shared" ref="AG260:AG332" si="36">AF260/$AL$2</f>
        <v>123.41293774319067</v>
      </c>
    </row>
    <row r="261" spans="1:33" ht="57.6" x14ac:dyDescent="0.3">
      <c r="A261" s="2" t="s">
        <v>836</v>
      </c>
      <c r="B261" s="4" t="s">
        <v>837</v>
      </c>
      <c r="C261" s="3" t="s">
        <v>907</v>
      </c>
      <c r="D261" s="6" t="s">
        <v>908</v>
      </c>
      <c r="E261" s="6" t="s">
        <v>920</v>
      </c>
      <c r="F261" s="6" t="s">
        <v>841</v>
      </c>
      <c r="G261" s="25">
        <v>0</v>
      </c>
      <c r="H261" s="38"/>
      <c r="I261" s="38"/>
      <c r="J261" s="39">
        <f t="shared" si="35"/>
        <v>0</v>
      </c>
      <c r="K261" s="38">
        <v>0</v>
      </c>
      <c r="L261" s="38">
        <v>0</v>
      </c>
      <c r="M261" s="39">
        <f t="shared" ref="M261:M333" si="37">(G261*1.1)*K261*L261</f>
        <v>0</v>
      </c>
      <c r="N261" s="38">
        <v>0</v>
      </c>
      <c r="O261" s="38">
        <v>0</v>
      </c>
      <c r="P261" s="39">
        <f t="shared" si="34"/>
        <v>0</v>
      </c>
      <c r="Q261" s="38">
        <v>0</v>
      </c>
      <c r="R261" s="38">
        <v>0</v>
      </c>
      <c r="S261" s="39">
        <f t="shared" ref="S261:S333" si="38">(G261*1.1^3)*Q261*R261</f>
        <v>0</v>
      </c>
      <c r="T261" s="38">
        <v>0</v>
      </c>
      <c r="U261" s="38">
        <v>0</v>
      </c>
      <c r="V261" s="28">
        <f t="shared" si="31"/>
        <v>0</v>
      </c>
      <c r="Y261">
        <f t="shared" ref="Y261:Y333" si="39">(G261*1.1^5)*W261*X261</f>
        <v>0</v>
      </c>
      <c r="AB261">
        <f t="shared" si="33"/>
        <v>0</v>
      </c>
      <c r="AE261">
        <f t="shared" ref="AE261:AE333" si="40">(G261*1.1^7)*AC261*AD261</f>
        <v>0</v>
      </c>
      <c r="AF261" s="28">
        <f t="shared" ref="AF261:AF333" si="41">J261+M261+P261+S261+V261+Y261+AB261+AE261</f>
        <v>0</v>
      </c>
      <c r="AG261" s="28">
        <f t="shared" si="36"/>
        <v>0</v>
      </c>
    </row>
    <row r="262" spans="1:33" ht="57.6" x14ac:dyDescent="0.3">
      <c r="A262" s="2" t="s">
        <v>836</v>
      </c>
      <c r="B262" s="4" t="s">
        <v>837</v>
      </c>
      <c r="C262" s="3" t="s">
        <v>907</v>
      </c>
      <c r="D262" s="6" t="s">
        <v>921</v>
      </c>
      <c r="E262" s="6" t="s">
        <v>922</v>
      </c>
      <c r="F262" s="6" t="s">
        <v>841</v>
      </c>
      <c r="G262" s="25">
        <v>0</v>
      </c>
      <c r="H262" s="38">
        <v>0</v>
      </c>
      <c r="I262" s="38">
        <v>0</v>
      </c>
      <c r="J262" s="39">
        <f t="shared" si="35"/>
        <v>0</v>
      </c>
      <c r="K262" s="38">
        <v>0</v>
      </c>
      <c r="L262" s="38">
        <v>0</v>
      </c>
      <c r="M262" s="39">
        <f t="shared" si="37"/>
        <v>0</v>
      </c>
      <c r="N262" s="38">
        <v>0</v>
      </c>
      <c r="O262" s="38">
        <v>0</v>
      </c>
      <c r="P262" s="39">
        <f t="shared" si="34"/>
        <v>0</v>
      </c>
      <c r="Q262" s="38">
        <v>0</v>
      </c>
      <c r="R262" s="38">
        <v>0</v>
      </c>
      <c r="S262" s="39">
        <f t="shared" si="38"/>
        <v>0</v>
      </c>
      <c r="T262" s="38">
        <v>0</v>
      </c>
      <c r="U262" s="38">
        <v>0</v>
      </c>
      <c r="V262" s="28">
        <f t="shared" si="31"/>
        <v>0</v>
      </c>
      <c r="Y262">
        <f t="shared" si="39"/>
        <v>0</v>
      </c>
      <c r="AB262">
        <f t="shared" si="33"/>
        <v>0</v>
      </c>
      <c r="AE262">
        <f t="shared" si="40"/>
        <v>0</v>
      </c>
      <c r="AF262" s="28">
        <f t="shared" si="41"/>
        <v>0</v>
      </c>
      <c r="AG262" s="28">
        <f t="shared" si="36"/>
        <v>0</v>
      </c>
    </row>
    <row r="263" spans="1:33" ht="57.6" x14ac:dyDescent="0.3">
      <c r="A263" s="2" t="s">
        <v>836</v>
      </c>
      <c r="B263" s="4" t="s">
        <v>837</v>
      </c>
      <c r="C263" s="3" t="s">
        <v>907</v>
      </c>
      <c r="D263" s="6" t="s">
        <v>921</v>
      </c>
      <c r="E263" s="6" t="s">
        <v>923</v>
      </c>
      <c r="F263" s="6" t="s">
        <v>841</v>
      </c>
      <c r="G263" s="25">
        <v>0</v>
      </c>
      <c r="H263" s="38">
        <v>0</v>
      </c>
      <c r="I263" s="38">
        <v>0</v>
      </c>
      <c r="J263" s="39">
        <f t="shared" si="35"/>
        <v>0</v>
      </c>
      <c r="K263" s="38">
        <v>0</v>
      </c>
      <c r="L263" s="38">
        <v>0</v>
      </c>
      <c r="M263" s="39">
        <f t="shared" si="37"/>
        <v>0</v>
      </c>
      <c r="N263" s="38">
        <v>0</v>
      </c>
      <c r="O263" s="38">
        <v>0</v>
      </c>
      <c r="P263" s="39">
        <f t="shared" si="34"/>
        <v>0</v>
      </c>
      <c r="Q263" s="38">
        <v>0</v>
      </c>
      <c r="R263" s="38">
        <v>0</v>
      </c>
      <c r="S263" s="39">
        <f t="shared" si="38"/>
        <v>0</v>
      </c>
      <c r="T263" s="38">
        <v>0</v>
      </c>
      <c r="U263" s="38">
        <v>0</v>
      </c>
      <c r="V263" s="28">
        <f t="shared" si="31"/>
        <v>0</v>
      </c>
      <c r="Y263">
        <f t="shared" si="39"/>
        <v>0</v>
      </c>
      <c r="AB263">
        <f t="shared" si="33"/>
        <v>0</v>
      </c>
      <c r="AE263">
        <f t="shared" si="40"/>
        <v>0</v>
      </c>
      <c r="AF263" s="28">
        <f t="shared" si="41"/>
        <v>0</v>
      </c>
      <c r="AG263" s="28">
        <f t="shared" si="36"/>
        <v>0</v>
      </c>
    </row>
    <row r="264" spans="1:33" ht="57.6" x14ac:dyDescent="0.3">
      <c r="A264" s="2" t="s">
        <v>836</v>
      </c>
      <c r="B264" s="4" t="s">
        <v>837</v>
      </c>
      <c r="C264" s="3" t="s">
        <v>907</v>
      </c>
      <c r="D264" s="6" t="s">
        <v>921</v>
      </c>
      <c r="E264" s="6" t="s">
        <v>924</v>
      </c>
      <c r="F264" s="6" t="s">
        <v>841</v>
      </c>
      <c r="G264" s="25">
        <v>0</v>
      </c>
      <c r="H264" s="38">
        <v>0</v>
      </c>
      <c r="I264" s="38">
        <v>0</v>
      </c>
      <c r="J264" s="39">
        <f t="shared" si="35"/>
        <v>0</v>
      </c>
      <c r="K264" s="38">
        <v>0</v>
      </c>
      <c r="L264" s="38">
        <v>0</v>
      </c>
      <c r="M264" s="39">
        <f t="shared" si="37"/>
        <v>0</v>
      </c>
      <c r="N264" s="38">
        <v>0</v>
      </c>
      <c r="O264" s="38">
        <v>0</v>
      </c>
      <c r="P264" s="39">
        <f t="shared" si="34"/>
        <v>0</v>
      </c>
      <c r="Q264" s="38">
        <v>0</v>
      </c>
      <c r="R264" s="38">
        <v>0</v>
      </c>
      <c r="S264" s="39">
        <f t="shared" si="38"/>
        <v>0</v>
      </c>
      <c r="T264" s="38">
        <v>0</v>
      </c>
      <c r="U264" s="38">
        <v>0</v>
      </c>
      <c r="V264" s="28">
        <f t="shared" si="31"/>
        <v>0</v>
      </c>
      <c r="Y264">
        <f t="shared" si="39"/>
        <v>0</v>
      </c>
      <c r="AB264">
        <f t="shared" si="33"/>
        <v>0</v>
      </c>
      <c r="AE264">
        <f t="shared" si="40"/>
        <v>0</v>
      </c>
      <c r="AF264" s="28">
        <f t="shared" si="41"/>
        <v>0</v>
      </c>
      <c r="AG264" s="28">
        <f t="shared" si="36"/>
        <v>0</v>
      </c>
    </row>
    <row r="265" spans="1:33" x14ac:dyDescent="0.3">
      <c r="A265" s="55" t="s">
        <v>1296</v>
      </c>
      <c r="B265" s="56"/>
      <c r="C265" s="57"/>
      <c r="D265" s="58"/>
      <c r="E265" s="58"/>
      <c r="F265" s="58"/>
      <c r="G265" s="59"/>
      <c r="H265" s="60"/>
      <c r="I265" s="60"/>
      <c r="J265" s="61">
        <f t="shared" si="35"/>
        <v>0</v>
      </c>
      <c r="K265" s="60"/>
      <c r="L265" s="60"/>
      <c r="M265" s="61">
        <f>SUM(M222:M264)</f>
        <v>0</v>
      </c>
      <c r="N265" s="60"/>
      <c r="O265" s="60"/>
      <c r="P265" s="61">
        <f>SUM(P222:P264)</f>
        <v>64099473.264357142</v>
      </c>
      <c r="Q265" s="60"/>
      <c r="R265" s="60"/>
      <c r="S265" s="61">
        <f>SUM(S222:S264)</f>
        <v>0</v>
      </c>
      <c r="T265" s="60"/>
      <c r="U265" s="60"/>
      <c r="V265" s="61">
        <f>SUM(V222:V264)</f>
        <v>0</v>
      </c>
      <c r="W265" s="62"/>
      <c r="X265" s="62"/>
      <c r="Y265" s="61">
        <f>SUM(Y222:Y264)</f>
        <v>0</v>
      </c>
      <c r="Z265" s="62"/>
      <c r="AA265" s="62"/>
      <c r="AB265" s="61">
        <f>SUM(AB222:AB264)</f>
        <v>0</v>
      </c>
      <c r="AC265" s="62"/>
      <c r="AD265" s="62"/>
      <c r="AE265" s="61">
        <f>SUM(AE222:AE264)</f>
        <v>0</v>
      </c>
      <c r="AF265" s="61">
        <f>SUM(AF222:AF264)</f>
        <v>64099473.264357142</v>
      </c>
      <c r="AG265" s="20">
        <f t="shared" si="36"/>
        <v>62353.573214355194</v>
      </c>
    </row>
    <row r="266" spans="1:33" x14ac:dyDescent="0.3">
      <c r="A266" s="107"/>
      <c r="B266" s="108"/>
      <c r="C266" s="109"/>
      <c r="D266" s="110"/>
      <c r="E266" s="110"/>
      <c r="F266" s="110"/>
      <c r="G266" s="111"/>
      <c r="H266" s="112"/>
      <c r="I266" s="112"/>
      <c r="J266" s="51">
        <f t="shared" si="35"/>
        <v>0</v>
      </c>
      <c r="K266" s="112"/>
      <c r="L266" s="112"/>
      <c r="M266" s="51">
        <f>M265/$AL$2</f>
        <v>0</v>
      </c>
      <c r="N266" s="112"/>
      <c r="O266" s="112"/>
      <c r="P266" s="51">
        <f>P265/$AL$2</f>
        <v>62353.573214355194</v>
      </c>
      <c r="Q266" s="112"/>
      <c r="R266" s="112"/>
      <c r="S266" s="51">
        <f>S265/$AL$2</f>
        <v>0</v>
      </c>
      <c r="T266" s="112"/>
      <c r="U266" s="112"/>
      <c r="V266" s="51">
        <f>V265/$AL$2</f>
        <v>0</v>
      </c>
      <c r="W266" s="114"/>
      <c r="X266" s="114"/>
      <c r="Y266" s="51">
        <f>Y265/$AL$2</f>
        <v>0</v>
      </c>
      <c r="Z266" s="114"/>
      <c r="AA266" s="114"/>
      <c r="AB266" s="51">
        <f>AB265/$AL$2</f>
        <v>0</v>
      </c>
      <c r="AC266" s="114"/>
      <c r="AD266" s="114"/>
      <c r="AE266" s="51">
        <f>AE265/$AL$2</f>
        <v>0</v>
      </c>
      <c r="AF266" s="113">
        <f t="shared" si="41"/>
        <v>62353.573214355194</v>
      </c>
      <c r="AG266" s="113"/>
    </row>
    <row r="267" spans="1:33" ht="57.6" x14ac:dyDescent="0.3">
      <c r="A267" s="2" t="s">
        <v>836</v>
      </c>
      <c r="B267" s="4" t="s">
        <v>837</v>
      </c>
      <c r="C267" s="3" t="s">
        <v>925</v>
      </c>
      <c r="D267" s="6" t="s">
        <v>926</v>
      </c>
      <c r="E267" s="6" t="s">
        <v>927</v>
      </c>
      <c r="F267" s="6" t="s">
        <v>841</v>
      </c>
      <c r="G267" s="25">
        <v>0</v>
      </c>
      <c r="H267" s="38">
        <v>0</v>
      </c>
      <c r="I267" s="38">
        <v>0</v>
      </c>
      <c r="J267" s="39">
        <f t="shared" si="35"/>
        <v>0</v>
      </c>
      <c r="K267" s="38">
        <v>0</v>
      </c>
      <c r="L267" s="38">
        <v>0</v>
      </c>
      <c r="M267" s="39">
        <f t="shared" si="37"/>
        <v>0</v>
      </c>
      <c r="N267" s="38">
        <v>0</v>
      </c>
      <c r="O267" s="38">
        <v>0</v>
      </c>
      <c r="P267" s="39">
        <f t="shared" si="34"/>
        <v>0</v>
      </c>
      <c r="Q267" s="38">
        <v>0</v>
      </c>
      <c r="R267" s="38">
        <v>0</v>
      </c>
      <c r="S267" s="39">
        <f t="shared" si="38"/>
        <v>0</v>
      </c>
      <c r="T267" s="38">
        <v>0</v>
      </c>
      <c r="U267" s="38">
        <v>0</v>
      </c>
      <c r="V267" s="28">
        <f t="shared" si="31"/>
        <v>0</v>
      </c>
      <c r="Y267">
        <f t="shared" si="39"/>
        <v>0</v>
      </c>
      <c r="AB267">
        <f t="shared" si="33"/>
        <v>0</v>
      </c>
      <c r="AE267">
        <f t="shared" si="40"/>
        <v>0</v>
      </c>
      <c r="AF267" s="28">
        <f t="shared" si="41"/>
        <v>0</v>
      </c>
      <c r="AG267" s="28">
        <f t="shared" si="36"/>
        <v>0</v>
      </c>
    </row>
    <row r="268" spans="1:33" ht="57.6" x14ac:dyDescent="0.3">
      <c r="A268" s="2" t="s">
        <v>836</v>
      </c>
      <c r="B268" s="4" t="s">
        <v>837</v>
      </c>
      <c r="C268" s="3" t="s">
        <v>925</v>
      </c>
      <c r="D268" s="6" t="s">
        <v>926</v>
      </c>
      <c r="E268" s="6" t="s">
        <v>928</v>
      </c>
      <c r="F268" s="6" t="s">
        <v>841</v>
      </c>
      <c r="G268" s="25">
        <v>0</v>
      </c>
      <c r="H268" s="38">
        <v>0</v>
      </c>
      <c r="I268" s="38">
        <v>0</v>
      </c>
      <c r="J268" s="39">
        <f t="shared" si="35"/>
        <v>0</v>
      </c>
      <c r="K268" s="38">
        <v>0</v>
      </c>
      <c r="L268" s="38">
        <v>0</v>
      </c>
      <c r="M268" s="39">
        <f t="shared" si="37"/>
        <v>0</v>
      </c>
      <c r="N268" s="38">
        <v>0</v>
      </c>
      <c r="O268" s="38">
        <v>0</v>
      </c>
      <c r="P268" s="39">
        <f t="shared" si="34"/>
        <v>0</v>
      </c>
      <c r="Q268" s="38">
        <v>0</v>
      </c>
      <c r="R268" s="38">
        <v>0</v>
      </c>
      <c r="S268" s="39">
        <f t="shared" si="38"/>
        <v>0</v>
      </c>
      <c r="T268" s="38">
        <v>0</v>
      </c>
      <c r="U268" s="38">
        <v>0</v>
      </c>
      <c r="V268" s="28">
        <f t="shared" si="31"/>
        <v>0</v>
      </c>
      <c r="Y268">
        <f t="shared" si="39"/>
        <v>0</v>
      </c>
      <c r="AB268">
        <f t="shared" si="33"/>
        <v>0</v>
      </c>
      <c r="AE268">
        <f t="shared" si="40"/>
        <v>0</v>
      </c>
      <c r="AF268" s="28">
        <f t="shared" si="41"/>
        <v>0</v>
      </c>
      <c r="AG268" s="28">
        <f t="shared" si="36"/>
        <v>0</v>
      </c>
    </row>
    <row r="269" spans="1:33" ht="57.6" x14ac:dyDescent="0.3">
      <c r="A269" s="2" t="s">
        <v>836</v>
      </c>
      <c r="B269" s="4" t="s">
        <v>837</v>
      </c>
      <c r="C269" s="3" t="s">
        <v>925</v>
      </c>
      <c r="D269" s="6" t="s">
        <v>926</v>
      </c>
      <c r="E269" s="6" t="s">
        <v>929</v>
      </c>
      <c r="F269" s="6" t="s">
        <v>841</v>
      </c>
      <c r="G269" s="25">
        <v>0</v>
      </c>
      <c r="H269" s="38">
        <v>0</v>
      </c>
      <c r="I269" s="38">
        <v>0</v>
      </c>
      <c r="J269" s="39">
        <f t="shared" si="35"/>
        <v>0</v>
      </c>
      <c r="K269" s="38">
        <v>0</v>
      </c>
      <c r="L269" s="38">
        <v>0</v>
      </c>
      <c r="M269" s="39">
        <f t="shared" si="37"/>
        <v>0</v>
      </c>
      <c r="N269" s="38">
        <v>0</v>
      </c>
      <c r="O269" s="38">
        <v>0</v>
      </c>
      <c r="P269" s="39">
        <f t="shared" si="34"/>
        <v>0</v>
      </c>
      <c r="Q269" s="38">
        <v>0</v>
      </c>
      <c r="R269" s="38">
        <v>0</v>
      </c>
      <c r="S269" s="39">
        <f t="shared" si="38"/>
        <v>0</v>
      </c>
      <c r="T269" s="38">
        <v>0</v>
      </c>
      <c r="U269" s="38">
        <v>0</v>
      </c>
      <c r="V269" s="28">
        <f t="shared" si="31"/>
        <v>0</v>
      </c>
      <c r="Y269">
        <f t="shared" si="39"/>
        <v>0</v>
      </c>
      <c r="AB269">
        <f t="shared" si="33"/>
        <v>0</v>
      </c>
      <c r="AE269">
        <f t="shared" si="40"/>
        <v>0</v>
      </c>
      <c r="AF269" s="28">
        <f t="shared" si="41"/>
        <v>0</v>
      </c>
      <c r="AG269" s="28">
        <f t="shared" si="36"/>
        <v>0</v>
      </c>
    </row>
    <row r="270" spans="1:33" ht="57.6" x14ac:dyDescent="0.3">
      <c r="A270" s="2" t="s">
        <v>836</v>
      </c>
      <c r="B270" s="4" t="s">
        <v>837</v>
      </c>
      <c r="C270" s="3" t="s">
        <v>925</v>
      </c>
      <c r="D270" s="6" t="s">
        <v>926</v>
      </c>
      <c r="E270" s="6" t="s">
        <v>930</v>
      </c>
      <c r="F270" s="6" t="s">
        <v>1356</v>
      </c>
      <c r="G270" s="25">
        <v>35000</v>
      </c>
      <c r="H270" s="38"/>
      <c r="I270" s="38"/>
      <c r="J270" s="39">
        <f t="shared" si="35"/>
        <v>0</v>
      </c>
      <c r="K270" s="38">
        <v>0</v>
      </c>
      <c r="L270" s="38">
        <v>0</v>
      </c>
      <c r="M270" s="39">
        <f t="shared" si="37"/>
        <v>0</v>
      </c>
      <c r="N270" s="38">
        <v>30</v>
      </c>
      <c r="O270" s="38">
        <v>15</v>
      </c>
      <c r="P270" s="39">
        <f t="shared" si="34"/>
        <v>19057500</v>
      </c>
      <c r="Q270" s="38">
        <v>0</v>
      </c>
      <c r="R270" s="38">
        <v>0</v>
      </c>
      <c r="S270" s="39">
        <f t="shared" si="38"/>
        <v>0</v>
      </c>
      <c r="T270" s="38">
        <v>0</v>
      </c>
      <c r="U270" s="38">
        <v>0</v>
      </c>
      <c r="V270" s="28">
        <f t="shared" si="31"/>
        <v>0</v>
      </c>
      <c r="Y270">
        <f t="shared" si="39"/>
        <v>0</v>
      </c>
      <c r="AB270">
        <f t="shared" si="33"/>
        <v>0</v>
      </c>
      <c r="AE270">
        <f t="shared" si="40"/>
        <v>0</v>
      </c>
      <c r="AF270" s="28">
        <f t="shared" si="41"/>
        <v>19057500</v>
      </c>
      <c r="AG270" s="28">
        <f t="shared" si="36"/>
        <v>18538.424124513618</v>
      </c>
    </row>
    <row r="271" spans="1:33" ht="57.6" x14ac:dyDescent="0.3">
      <c r="A271" s="2" t="s">
        <v>836</v>
      </c>
      <c r="B271" s="4" t="s">
        <v>837</v>
      </c>
      <c r="C271" s="3" t="s">
        <v>925</v>
      </c>
      <c r="D271" s="6" t="s">
        <v>926</v>
      </c>
      <c r="E271" s="6" t="s">
        <v>930</v>
      </c>
      <c r="F271" s="6" t="s">
        <v>716</v>
      </c>
      <c r="G271" s="25">
        <v>39000</v>
      </c>
      <c r="H271" s="38"/>
      <c r="I271" s="38"/>
      <c r="J271" s="39">
        <f t="shared" si="35"/>
        <v>0</v>
      </c>
      <c r="K271" s="38">
        <v>0</v>
      </c>
      <c r="L271" s="38">
        <v>0</v>
      </c>
      <c r="M271" s="39">
        <f t="shared" si="37"/>
        <v>0</v>
      </c>
      <c r="N271" s="38">
        <v>30</v>
      </c>
      <c r="O271" s="38">
        <v>18</v>
      </c>
      <c r="P271" s="39">
        <f t="shared" si="34"/>
        <v>25482600</v>
      </c>
      <c r="Q271" s="38">
        <v>0</v>
      </c>
      <c r="R271" s="38">
        <v>0</v>
      </c>
      <c r="S271" s="39">
        <f t="shared" si="38"/>
        <v>0</v>
      </c>
      <c r="T271" s="38">
        <v>0</v>
      </c>
      <c r="U271" s="38">
        <v>0</v>
      </c>
      <c r="V271" s="28">
        <f t="shared" si="31"/>
        <v>0</v>
      </c>
      <c r="Y271">
        <f t="shared" si="39"/>
        <v>0</v>
      </c>
      <c r="AB271">
        <f t="shared" si="33"/>
        <v>0</v>
      </c>
      <c r="AE271">
        <f t="shared" si="40"/>
        <v>0</v>
      </c>
      <c r="AF271" s="28">
        <f t="shared" si="41"/>
        <v>25482600</v>
      </c>
      <c r="AG271" s="28">
        <f t="shared" si="36"/>
        <v>24788.521400778209</v>
      </c>
    </row>
    <row r="272" spans="1:33" ht="57.6" x14ac:dyDescent="0.3">
      <c r="A272" s="2" t="s">
        <v>836</v>
      </c>
      <c r="B272" s="4" t="s">
        <v>837</v>
      </c>
      <c r="C272" s="3" t="s">
        <v>925</v>
      </c>
      <c r="D272" s="6" t="s">
        <v>926</v>
      </c>
      <c r="E272" s="6" t="s">
        <v>930</v>
      </c>
      <c r="F272" s="6" t="s">
        <v>712</v>
      </c>
      <c r="G272" s="25">
        <f>1999/7</f>
        <v>285.57142857142856</v>
      </c>
      <c r="H272" s="38"/>
      <c r="I272" s="38"/>
      <c r="J272" s="39">
        <f t="shared" si="35"/>
        <v>0</v>
      </c>
      <c r="K272" s="38">
        <v>0</v>
      </c>
      <c r="L272" s="38">
        <v>0</v>
      </c>
      <c r="M272" s="39">
        <f t="shared" si="37"/>
        <v>0</v>
      </c>
      <c r="N272" s="38">
        <f>25*2*10</f>
        <v>500</v>
      </c>
      <c r="O272" s="38">
        <v>15</v>
      </c>
      <c r="P272" s="39">
        <f t="shared" si="34"/>
        <v>2591560.7142857141</v>
      </c>
      <c r="Q272" s="38">
        <v>0</v>
      </c>
      <c r="R272" s="38">
        <v>0</v>
      </c>
      <c r="S272" s="39">
        <f t="shared" si="38"/>
        <v>0</v>
      </c>
      <c r="T272" s="38">
        <v>0</v>
      </c>
      <c r="U272" s="38">
        <v>0</v>
      </c>
      <c r="V272" s="28">
        <f t="shared" si="31"/>
        <v>0</v>
      </c>
      <c r="Y272">
        <f t="shared" si="39"/>
        <v>0</v>
      </c>
      <c r="AB272">
        <f t="shared" si="33"/>
        <v>0</v>
      </c>
      <c r="AE272">
        <f t="shared" si="40"/>
        <v>0</v>
      </c>
      <c r="AF272" s="28">
        <f t="shared" si="41"/>
        <v>2591560.7142857141</v>
      </c>
      <c r="AG272" s="28">
        <f t="shared" si="36"/>
        <v>2520.9734574763756</v>
      </c>
    </row>
    <row r="273" spans="1:33" ht="57.6" x14ac:dyDescent="0.3">
      <c r="A273" s="2" t="s">
        <v>836</v>
      </c>
      <c r="B273" s="4" t="s">
        <v>837</v>
      </c>
      <c r="C273" s="3" t="s">
        <v>925</v>
      </c>
      <c r="D273" s="6" t="s">
        <v>926</v>
      </c>
      <c r="E273" s="6" t="s">
        <v>930</v>
      </c>
      <c r="F273" s="6" t="s">
        <v>1299</v>
      </c>
      <c r="G273" s="25">
        <f>1999/7</f>
        <v>285.57142857142856</v>
      </c>
      <c r="H273" s="38"/>
      <c r="I273" s="38"/>
      <c r="J273" s="39">
        <f t="shared" si="35"/>
        <v>0</v>
      </c>
      <c r="K273" s="38"/>
      <c r="L273" s="38"/>
      <c r="M273" s="39"/>
      <c r="N273" s="38">
        <f>2*135*9</f>
        <v>2430</v>
      </c>
      <c r="O273" s="38">
        <v>3</v>
      </c>
      <c r="P273" s="39">
        <f>G273*N273*O273</f>
        <v>2081815.7142857141</v>
      </c>
      <c r="Q273" s="38"/>
      <c r="R273" s="38"/>
      <c r="S273" s="39"/>
      <c r="T273" s="38"/>
      <c r="U273" s="38"/>
      <c r="V273" s="28"/>
      <c r="Y273">
        <f t="shared" si="39"/>
        <v>0</v>
      </c>
      <c r="AB273">
        <f t="shared" si="33"/>
        <v>0</v>
      </c>
      <c r="AE273">
        <f t="shared" si="40"/>
        <v>0</v>
      </c>
      <c r="AF273" s="28"/>
      <c r="AG273" s="28"/>
    </row>
    <row r="274" spans="1:33" ht="57.6" x14ac:dyDescent="0.3">
      <c r="A274" s="2" t="s">
        <v>836</v>
      </c>
      <c r="B274" s="4" t="s">
        <v>837</v>
      </c>
      <c r="C274" s="3" t="s">
        <v>925</v>
      </c>
      <c r="D274" s="6" t="s">
        <v>926</v>
      </c>
      <c r="E274" s="6" t="s">
        <v>931</v>
      </c>
      <c r="F274" s="6" t="s">
        <v>841</v>
      </c>
      <c r="G274" s="25">
        <v>0</v>
      </c>
      <c r="H274" s="38">
        <v>0</v>
      </c>
      <c r="I274" s="38">
        <v>0</v>
      </c>
      <c r="J274" s="39">
        <f t="shared" si="35"/>
        <v>0</v>
      </c>
      <c r="K274" s="38">
        <v>0</v>
      </c>
      <c r="L274" s="38">
        <v>0</v>
      </c>
      <c r="M274" s="39">
        <f t="shared" si="37"/>
        <v>0</v>
      </c>
      <c r="N274" s="38">
        <v>0</v>
      </c>
      <c r="O274" s="38">
        <v>0</v>
      </c>
      <c r="P274" s="39">
        <f t="shared" si="34"/>
        <v>0</v>
      </c>
      <c r="Q274" s="38">
        <v>0</v>
      </c>
      <c r="R274" s="38">
        <v>0</v>
      </c>
      <c r="S274" s="39">
        <f t="shared" si="38"/>
        <v>0</v>
      </c>
      <c r="T274" s="38">
        <v>0</v>
      </c>
      <c r="U274" s="38">
        <v>0</v>
      </c>
      <c r="V274" s="28">
        <f t="shared" ref="V274:V346" si="42">(G274*1.1^4)*T274*U274</f>
        <v>0</v>
      </c>
      <c r="Y274">
        <f t="shared" si="39"/>
        <v>0</v>
      </c>
      <c r="AB274">
        <f t="shared" si="33"/>
        <v>0</v>
      </c>
      <c r="AE274">
        <f t="shared" si="40"/>
        <v>0</v>
      </c>
      <c r="AF274" s="28">
        <f t="shared" si="41"/>
        <v>0</v>
      </c>
      <c r="AG274" s="28">
        <f t="shared" si="36"/>
        <v>0</v>
      </c>
    </row>
    <row r="275" spans="1:33" ht="57.6" x14ac:dyDescent="0.3">
      <c r="A275" s="2" t="s">
        <v>836</v>
      </c>
      <c r="B275" s="4" t="s">
        <v>837</v>
      </c>
      <c r="C275" s="3" t="s">
        <v>925</v>
      </c>
      <c r="D275" s="6" t="s">
        <v>926</v>
      </c>
      <c r="E275" s="6" t="s">
        <v>931</v>
      </c>
      <c r="F275" s="6" t="s">
        <v>841</v>
      </c>
      <c r="G275" s="25">
        <v>0</v>
      </c>
      <c r="H275" s="38">
        <v>0</v>
      </c>
      <c r="I275" s="38">
        <v>0</v>
      </c>
      <c r="J275" s="39">
        <f t="shared" si="35"/>
        <v>0</v>
      </c>
      <c r="K275" s="38">
        <v>30</v>
      </c>
      <c r="L275" s="38">
        <v>1</v>
      </c>
      <c r="M275" s="39">
        <f t="shared" si="37"/>
        <v>0</v>
      </c>
      <c r="N275" s="38">
        <v>0</v>
      </c>
      <c r="O275" s="38">
        <v>0</v>
      </c>
      <c r="P275" s="39">
        <f t="shared" si="34"/>
        <v>0</v>
      </c>
      <c r="Q275" s="38">
        <v>0</v>
      </c>
      <c r="R275" s="38">
        <v>0</v>
      </c>
      <c r="S275" s="39">
        <f t="shared" si="38"/>
        <v>0</v>
      </c>
      <c r="T275" s="38">
        <v>0</v>
      </c>
      <c r="U275" s="38">
        <v>0</v>
      </c>
      <c r="V275" s="28">
        <f t="shared" si="42"/>
        <v>0</v>
      </c>
      <c r="Y275">
        <f t="shared" si="39"/>
        <v>0</v>
      </c>
      <c r="AB275">
        <f t="shared" si="33"/>
        <v>0</v>
      </c>
      <c r="AE275">
        <f t="shared" si="40"/>
        <v>0</v>
      </c>
      <c r="AF275" s="28">
        <f t="shared" si="41"/>
        <v>0</v>
      </c>
      <c r="AG275" s="28">
        <f t="shared" si="36"/>
        <v>0</v>
      </c>
    </row>
    <row r="276" spans="1:33" ht="57.6" x14ac:dyDescent="0.3">
      <c r="A276" s="2" t="s">
        <v>836</v>
      </c>
      <c r="B276" s="4" t="s">
        <v>837</v>
      </c>
      <c r="C276" s="3" t="s">
        <v>925</v>
      </c>
      <c r="D276" s="6" t="s">
        <v>932</v>
      </c>
      <c r="E276" s="6" t="s">
        <v>933</v>
      </c>
      <c r="F276" s="6" t="s">
        <v>841</v>
      </c>
      <c r="G276" s="25">
        <v>0</v>
      </c>
      <c r="H276" s="38">
        <v>0</v>
      </c>
      <c r="I276" s="38">
        <v>0</v>
      </c>
      <c r="J276" s="39">
        <f t="shared" si="35"/>
        <v>0</v>
      </c>
      <c r="K276" s="38">
        <v>1</v>
      </c>
      <c r="L276" s="38">
        <v>8000</v>
      </c>
      <c r="M276" s="39">
        <f t="shared" si="37"/>
        <v>0</v>
      </c>
      <c r="N276" s="38">
        <v>0</v>
      </c>
      <c r="O276" s="38">
        <v>0</v>
      </c>
      <c r="P276" s="39">
        <f t="shared" si="34"/>
        <v>0</v>
      </c>
      <c r="Q276" s="38">
        <v>0</v>
      </c>
      <c r="R276" s="38">
        <v>0</v>
      </c>
      <c r="S276" s="39">
        <f t="shared" si="38"/>
        <v>0</v>
      </c>
      <c r="T276" s="38">
        <v>0</v>
      </c>
      <c r="U276" s="38">
        <v>0</v>
      </c>
      <c r="V276" s="28">
        <f t="shared" si="42"/>
        <v>0</v>
      </c>
      <c r="Y276">
        <f t="shared" si="39"/>
        <v>0</v>
      </c>
      <c r="AB276">
        <f t="shared" si="33"/>
        <v>0</v>
      </c>
      <c r="AE276">
        <f t="shared" si="40"/>
        <v>0</v>
      </c>
      <c r="AF276" s="28">
        <f t="shared" si="41"/>
        <v>0</v>
      </c>
      <c r="AG276" s="28">
        <f t="shared" si="36"/>
        <v>0</v>
      </c>
    </row>
    <row r="277" spans="1:33" ht="57.6" x14ac:dyDescent="0.3">
      <c r="A277" s="2" t="s">
        <v>836</v>
      </c>
      <c r="B277" s="4" t="s">
        <v>837</v>
      </c>
      <c r="C277" s="3" t="s">
        <v>925</v>
      </c>
      <c r="D277" s="6" t="s">
        <v>932</v>
      </c>
      <c r="E277" s="6" t="s">
        <v>934</v>
      </c>
      <c r="F277" s="6" t="s">
        <v>841</v>
      </c>
      <c r="G277" s="25">
        <v>0</v>
      </c>
      <c r="H277" s="38">
        <v>0</v>
      </c>
      <c r="I277" s="38">
        <v>0</v>
      </c>
      <c r="J277" s="39">
        <f t="shared" si="35"/>
        <v>0</v>
      </c>
      <c r="K277" s="38"/>
      <c r="L277" s="38"/>
      <c r="M277" s="39">
        <f t="shared" si="37"/>
        <v>0</v>
      </c>
      <c r="N277" s="38">
        <v>0</v>
      </c>
      <c r="O277" s="38">
        <v>0</v>
      </c>
      <c r="P277" s="39">
        <f t="shared" si="34"/>
        <v>0</v>
      </c>
      <c r="Q277" s="38">
        <v>0</v>
      </c>
      <c r="R277" s="38">
        <v>0</v>
      </c>
      <c r="S277" s="39">
        <f t="shared" si="38"/>
        <v>0</v>
      </c>
      <c r="T277" s="38">
        <v>0</v>
      </c>
      <c r="U277" s="38">
        <v>0</v>
      </c>
      <c r="V277" s="28">
        <f t="shared" si="42"/>
        <v>0</v>
      </c>
      <c r="Y277">
        <f t="shared" si="39"/>
        <v>0</v>
      </c>
      <c r="AB277">
        <f t="shared" ref="AB277:AB349" si="43">(G277*1.1^6)*Z277*AA277</f>
        <v>0</v>
      </c>
      <c r="AE277">
        <f t="shared" si="40"/>
        <v>0</v>
      </c>
      <c r="AF277" s="28">
        <f t="shared" si="41"/>
        <v>0</v>
      </c>
      <c r="AG277" s="28">
        <f t="shared" si="36"/>
        <v>0</v>
      </c>
    </row>
    <row r="278" spans="1:33" ht="57.6" x14ac:dyDescent="0.3">
      <c r="A278" s="2" t="s">
        <v>836</v>
      </c>
      <c r="B278" s="4" t="s">
        <v>837</v>
      </c>
      <c r="C278" s="3" t="s">
        <v>925</v>
      </c>
      <c r="D278" s="6" t="s">
        <v>932</v>
      </c>
      <c r="E278" s="6" t="s">
        <v>935</v>
      </c>
      <c r="F278" s="6" t="s">
        <v>709</v>
      </c>
      <c r="G278" s="25">
        <v>35000</v>
      </c>
      <c r="H278" s="38"/>
      <c r="I278" s="38"/>
      <c r="J278" s="39">
        <f t="shared" si="35"/>
        <v>0</v>
      </c>
      <c r="K278" s="38">
        <v>60</v>
      </c>
      <c r="L278" s="38">
        <v>1</v>
      </c>
      <c r="M278" s="39">
        <f t="shared" si="37"/>
        <v>2310000</v>
      </c>
      <c r="N278" s="38">
        <v>0</v>
      </c>
      <c r="O278" s="38">
        <v>0</v>
      </c>
      <c r="P278" s="39">
        <f t="shared" si="34"/>
        <v>0</v>
      </c>
      <c r="Q278" s="38">
        <v>0</v>
      </c>
      <c r="R278" s="38">
        <v>0</v>
      </c>
      <c r="S278" s="39">
        <f t="shared" si="38"/>
        <v>0</v>
      </c>
      <c r="T278" s="38">
        <v>0</v>
      </c>
      <c r="U278" s="38">
        <v>0</v>
      </c>
      <c r="V278" s="28">
        <f t="shared" si="42"/>
        <v>0</v>
      </c>
      <c r="Y278">
        <f t="shared" si="39"/>
        <v>0</v>
      </c>
      <c r="AB278">
        <f t="shared" si="43"/>
        <v>0</v>
      </c>
      <c r="AE278">
        <f t="shared" si="40"/>
        <v>0</v>
      </c>
      <c r="AF278" s="28">
        <f t="shared" si="41"/>
        <v>2310000</v>
      </c>
      <c r="AG278" s="28">
        <f t="shared" si="36"/>
        <v>2247.0817120622569</v>
      </c>
    </row>
    <row r="279" spans="1:33" ht="57.6" x14ac:dyDescent="0.3">
      <c r="A279" s="2" t="s">
        <v>836</v>
      </c>
      <c r="B279" s="4" t="s">
        <v>837</v>
      </c>
      <c r="C279" s="3" t="s">
        <v>925</v>
      </c>
      <c r="D279" s="6" t="s">
        <v>932</v>
      </c>
      <c r="E279" s="6" t="s">
        <v>935</v>
      </c>
      <c r="F279" s="6" t="s">
        <v>716</v>
      </c>
      <c r="G279" s="25">
        <v>39000</v>
      </c>
      <c r="H279" s="38"/>
      <c r="I279" s="38"/>
      <c r="J279" s="39">
        <f t="shared" si="35"/>
        <v>0</v>
      </c>
      <c r="K279" s="38">
        <v>60</v>
      </c>
      <c r="L279" s="38">
        <v>2</v>
      </c>
      <c r="M279" s="39">
        <f t="shared" si="37"/>
        <v>5148000</v>
      </c>
      <c r="N279" s="38"/>
      <c r="O279" s="38"/>
      <c r="P279" s="39"/>
      <c r="Q279" s="38"/>
      <c r="R279" s="38"/>
      <c r="S279" s="39"/>
      <c r="T279" s="38"/>
      <c r="U279" s="38"/>
      <c r="V279" s="28"/>
      <c r="Y279">
        <f t="shared" si="39"/>
        <v>0</v>
      </c>
      <c r="AB279">
        <f t="shared" si="43"/>
        <v>0</v>
      </c>
      <c r="AE279">
        <f t="shared" si="40"/>
        <v>0</v>
      </c>
      <c r="AF279" s="28"/>
      <c r="AG279" s="28"/>
    </row>
    <row r="280" spans="1:33" ht="57.6" x14ac:dyDescent="0.3">
      <c r="A280" s="2" t="s">
        <v>836</v>
      </c>
      <c r="B280" s="4" t="s">
        <v>837</v>
      </c>
      <c r="C280" s="3" t="s">
        <v>925</v>
      </c>
      <c r="D280" s="6" t="s">
        <v>932</v>
      </c>
      <c r="E280" s="6" t="s">
        <v>935</v>
      </c>
      <c r="F280" s="6" t="s">
        <v>1350</v>
      </c>
      <c r="G280" s="25">
        <f>1999/7</f>
        <v>285.57142857142856</v>
      </c>
      <c r="H280" s="38"/>
      <c r="I280" s="38"/>
      <c r="J280" s="39">
        <f t="shared" si="35"/>
        <v>0</v>
      </c>
      <c r="K280" s="38">
        <f>2*135*30</f>
        <v>8100</v>
      </c>
      <c r="L280" s="38">
        <v>1</v>
      </c>
      <c r="M280" s="39"/>
      <c r="N280" s="38"/>
      <c r="O280" s="38"/>
      <c r="P280" s="39"/>
      <c r="Q280" s="38"/>
      <c r="R280" s="38"/>
      <c r="S280" s="39"/>
      <c r="T280" s="38"/>
      <c r="U280" s="38"/>
      <c r="V280" s="28"/>
      <c r="AF280" s="28"/>
      <c r="AG280" s="28"/>
    </row>
    <row r="281" spans="1:33" ht="57.6" x14ac:dyDescent="0.3">
      <c r="A281" s="2" t="s">
        <v>836</v>
      </c>
      <c r="B281" s="4" t="s">
        <v>837</v>
      </c>
      <c r="C281" s="3" t="s">
        <v>925</v>
      </c>
      <c r="D281" s="6" t="s">
        <v>932</v>
      </c>
      <c r="E281" s="6" t="s">
        <v>935</v>
      </c>
      <c r="F281" s="6" t="s">
        <v>1357</v>
      </c>
      <c r="G281" s="25">
        <f>1999/7</f>
        <v>285.57142857142856</v>
      </c>
      <c r="H281" s="38"/>
      <c r="I281" s="38"/>
      <c r="J281" s="39">
        <f t="shared" si="35"/>
        <v>0</v>
      </c>
      <c r="K281" s="38">
        <f>25*2*30</f>
        <v>1500</v>
      </c>
      <c r="L281" s="38">
        <v>1</v>
      </c>
      <c r="M281" s="39">
        <f>G281*K281*L281</f>
        <v>428357.14285714284</v>
      </c>
      <c r="N281" s="38"/>
      <c r="O281" s="38"/>
      <c r="P281" s="39"/>
      <c r="Q281" s="38"/>
      <c r="R281" s="38"/>
      <c r="S281" s="39"/>
      <c r="T281" s="38"/>
      <c r="U281" s="38"/>
      <c r="V281" s="28"/>
      <c r="AF281" s="28"/>
      <c r="AG281" s="28"/>
    </row>
    <row r="282" spans="1:33" ht="57.6" x14ac:dyDescent="0.3">
      <c r="A282" s="2" t="s">
        <v>836</v>
      </c>
      <c r="B282" s="4" t="s">
        <v>837</v>
      </c>
      <c r="C282" s="3" t="s">
        <v>925</v>
      </c>
      <c r="D282" s="6" t="s">
        <v>932</v>
      </c>
      <c r="E282" s="6" t="s">
        <v>936</v>
      </c>
      <c r="F282" s="6" t="s">
        <v>841</v>
      </c>
      <c r="G282" s="25">
        <v>0</v>
      </c>
      <c r="H282" s="38"/>
      <c r="I282" s="38"/>
      <c r="J282" s="39">
        <f t="shared" si="35"/>
        <v>0</v>
      </c>
      <c r="K282" s="38">
        <v>0</v>
      </c>
      <c r="L282" s="38">
        <v>0</v>
      </c>
      <c r="M282" s="39">
        <f t="shared" si="37"/>
        <v>0</v>
      </c>
      <c r="N282" s="38">
        <v>0</v>
      </c>
      <c r="O282" s="38">
        <v>0</v>
      </c>
      <c r="P282" s="39">
        <f t="shared" si="34"/>
        <v>0</v>
      </c>
      <c r="Q282" s="38">
        <v>0</v>
      </c>
      <c r="R282" s="38">
        <v>0</v>
      </c>
      <c r="S282" s="39">
        <f t="shared" si="38"/>
        <v>0</v>
      </c>
      <c r="T282" s="38">
        <v>0</v>
      </c>
      <c r="U282" s="38">
        <v>0</v>
      </c>
      <c r="V282" s="28">
        <f t="shared" si="42"/>
        <v>0</v>
      </c>
      <c r="Y282">
        <f t="shared" si="39"/>
        <v>0</v>
      </c>
      <c r="AB282">
        <f t="shared" si="43"/>
        <v>0</v>
      </c>
      <c r="AE282">
        <f t="shared" si="40"/>
        <v>0</v>
      </c>
      <c r="AF282" s="28">
        <f t="shared" si="41"/>
        <v>0</v>
      </c>
      <c r="AG282" s="28">
        <f t="shared" si="36"/>
        <v>0</v>
      </c>
    </row>
    <row r="283" spans="1:33" ht="57.6" x14ac:dyDescent="0.3">
      <c r="A283" s="2" t="s">
        <v>836</v>
      </c>
      <c r="B283" s="4" t="s">
        <v>837</v>
      </c>
      <c r="C283" s="3" t="s">
        <v>925</v>
      </c>
      <c r="D283" s="6" t="s">
        <v>932</v>
      </c>
      <c r="E283" s="6" t="s">
        <v>937</v>
      </c>
      <c r="F283" s="6" t="s">
        <v>709</v>
      </c>
      <c r="G283" s="25">
        <v>35000</v>
      </c>
      <c r="H283" s="38"/>
      <c r="I283" s="38"/>
      <c r="J283" s="39">
        <f t="shared" si="35"/>
        <v>0</v>
      </c>
      <c r="K283" s="38">
        <v>30</v>
      </c>
      <c r="L283" s="38">
        <v>1</v>
      </c>
      <c r="M283" s="39">
        <f t="shared" si="37"/>
        <v>1155000</v>
      </c>
      <c r="N283" s="38">
        <v>0</v>
      </c>
      <c r="O283" s="38">
        <v>0</v>
      </c>
      <c r="P283" s="39">
        <f t="shared" si="34"/>
        <v>0</v>
      </c>
      <c r="Q283" s="38">
        <v>0</v>
      </c>
      <c r="R283" s="38">
        <v>0</v>
      </c>
      <c r="S283" s="39">
        <f t="shared" si="38"/>
        <v>0</v>
      </c>
      <c r="T283" s="38">
        <v>0</v>
      </c>
      <c r="U283" s="38">
        <v>0</v>
      </c>
      <c r="V283" s="28">
        <f t="shared" si="42"/>
        <v>0</v>
      </c>
      <c r="Y283">
        <f t="shared" si="39"/>
        <v>0</v>
      </c>
      <c r="AB283">
        <f t="shared" si="43"/>
        <v>0</v>
      </c>
      <c r="AE283">
        <f t="shared" si="40"/>
        <v>0</v>
      </c>
      <c r="AF283" s="28">
        <f t="shared" si="41"/>
        <v>1155000</v>
      </c>
      <c r="AG283" s="28">
        <f t="shared" si="36"/>
        <v>1123.5408560311284</v>
      </c>
    </row>
    <row r="284" spans="1:33" ht="57.6" x14ac:dyDescent="0.3">
      <c r="A284" s="2" t="s">
        <v>836</v>
      </c>
      <c r="B284" s="4" t="s">
        <v>837</v>
      </c>
      <c r="C284" s="3" t="s">
        <v>925</v>
      </c>
      <c r="D284" s="6" t="s">
        <v>932</v>
      </c>
      <c r="E284" s="6" t="s">
        <v>938</v>
      </c>
      <c r="F284" s="6" t="s">
        <v>841</v>
      </c>
      <c r="G284" s="25">
        <v>0</v>
      </c>
      <c r="H284" s="38"/>
      <c r="I284" s="38"/>
      <c r="J284" s="39">
        <f t="shared" si="35"/>
        <v>0</v>
      </c>
      <c r="K284" s="38">
        <v>0</v>
      </c>
      <c r="L284" s="38">
        <v>0</v>
      </c>
      <c r="M284" s="39">
        <f t="shared" si="37"/>
        <v>0</v>
      </c>
      <c r="N284" s="38">
        <v>0</v>
      </c>
      <c r="O284" s="38">
        <v>0</v>
      </c>
      <c r="P284" s="39">
        <f t="shared" si="34"/>
        <v>0</v>
      </c>
      <c r="Q284" s="38">
        <v>0</v>
      </c>
      <c r="R284" s="38">
        <v>0</v>
      </c>
      <c r="S284" s="39">
        <f t="shared" si="38"/>
        <v>0</v>
      </c>
      <c r="T284" s="38">
        <v>0</v>
      </c>
      <c r="U284" s="38">
        <v>0</v>
      </c>
      <c r="V284" s="28">
        <f t="shared" si="42"/>
        <v>0</v>
      </c>
      <c r="Y284">
        <f t="shared" si="39"/>
        <v>0</v>
      </c>
      <c r="AB284">
        <f t="shared" si="43"/>
        <v>0</v>
      </c>
      <c r="AE284">
        <f t="shared" si="40"/>
        <v>0</v>
      </c>
      <c r="AF284" s="28">
        <f t="shared" si="41"/>
        <v>0</v>
      </c>
      <c r="AG284" s="28">
        <f t="shared" si="36"/>
        <v>0</v>
      </c>
    </row>
    <row r="285" spans="1:33" x14ac:dyDescent="0.3">
      <c r="A285" s="55" t="s">
        <v>1296</v>
      </c>
      <c r="B285" s="56"/>
      <c r="C285" s="57"/>
      <c r="D285" s="58"/>
      <c r="E285" s="58"/>
      <c r="F285" s="58"/>
      <c r="G285" s="59"/>
      <c r="H285" s="60"/>
      <c r="I285" s="60"/>
      <c r="J285" s="61">
        <f t="shared" si="35"/>
        <v>0</v>
      </c>
      <c r="K285" s="60"/>
      <c r="L285" s="60"/>
      <c r="M285" s="61">
        <f>SUM(M267:M284)</f>
        <v>9041357.1428571418</v>
      </c>
      <c r="N285" s="60"/>
      <c r="O285" s="60"/>
      <c r="P285" s="61">
        <f>SUM(P267:P284)</f>
        <v>49213476.428571433</v>
      </c>
      <c r="Q285" s="60"/>
      <c r="R285" s="60"/>
      <c r="S285" s="61">
        <f>SUM(S267:S284)</f>
        <v>0</v>
      </c>
      <c r="T285" s="60"/>
      <c r="U285" s="60"/>
      <c r="V285" s="61">
        <f>SUM(V267:V284)</f>
        <v>0</v>
      </c>
      <c r="W285" s="62"/>
      <c r="X285" s="62"/>
      <c r="Y285" s="61">
        <f>SUM(Y267:Y284)</f>
        <v>0</v>
      </c>
      <c r="Z285" s="62"/>
      <c r="AA285" s="62"/>
      <c r="AB285" s="61">
        <f>SUM(AB267:AB284)</f>
        <v>0</v>
      </c>
      <c r="AC285" s="62"/>
      <c r="AD285" s="62"/>
      <c r="AE285" s="61">
        <f>SUM(AE267:AE284)</f>
        <v>0</v>
      </c>
      <c r="AF285" s="20">
        <f>SUM(AF267:AF284)</f>
        <v>50596660.714285716</v>
      </c>
      <c r="AG285" s="20">
        <f>AF285/$AL$2</f>
        <v>49218.541550861592</v>
      </c>
    </row>
    <row r="286" spans="1:33" x14ac:dyDescent="0.3">
      <c r="A286" s="2"/>
      <c r="B286" s="4"/>
      <c r="C286" s="3"/>
      <c r="D286" s="6"/>
      <c r="E286" s="6"/>
      <c r="F286" s="6"/>
      <c r="G286" s="25"/>
      <c r="H286" s="38"/>
      <c r="I286" s="38"/>
      <c r="J286" s="39">
        <f t="shared" si="35"/>
        <v>0</v>
      </c>
      <c r="K286" s="38"/>
      <c r="L286" s="38"/>
      <c r="M286" s="113">
        <f>M285/$AL$2</f>
        <v>8795.0944969427455</v>
      </c>
      <c r="N286" s="38"/>
      <c r="O286" s="38"/>
      <c r="P286" s="113">
        <f>P285/$AL$2</f>
        <v>47873.031545302947</v>
      </c>
      <c r="Q286" s="38"/>
      <c r="R286" s="38"/>
      <c r="S286" s="113">
        <f>S285/$AL$2</f>
        <v>0</v>
      </c>
      <c r="T286" s="38"/>
      <c r="U286" s="38"/>
      <c r="V286" s="113">
        <f>V285/$AL$2</f>
        <v>0</v>
      </c>
      <c r="Y286" s="113">
        <f>Y285/$AL$2</f>
        <v>0</v>
      </c>
      <c r="AB286" s="113">
        <f>AB285/$AL$2</f>
        <v>0</v>
      </c>
      <c r="AE286" s="113">
        <f>AE285/$AL$2</f>
        <v>0</v>
      </c>
      <c r="AF286" s="113">
        <f>AF285/$AL$2</f>
        <v>49218.541550861592</v>
      </c>
      <c r="AG286" s="28"/>
    </row>
    <row r="287" spans="1:33" ht="72" x14ac:dyDescent="0.3">
      <c r="A287" s="2" t="s">
        <v>836</v>
      </c>
      <c r="B287" s="4" t="s">
        <v>837</v>
      </c>
      <c r="C287" s="3" t="s">
        <v>939</v>
      </c>
      <c r="D287" s="6" t="s">
        <v>940</v>
      </c>
      <c r="E287" s="6" t="s">
        <v>941</v>
      </c>
      <c r="F287" s="6" t="s">
        <v>709</v>
      </c>
      <c r="G287" s="25">
        <v>35000</v>
      </c>
      <c r="H287" s="38"/>
      <c r="I287" s="38"/>
      <c r="J287" s="39">
        <f t="shared" si="35"/>
        <v>0</v>
      </c>
      <c r="K287" s="38">
        <v>20</v>
      </c>
      <c r="L287" s="38">
        <v>25</v>
      </c>
      <c r="M287" s="39">
        <f t="shared" si="37"/>
        <v>19250000</v>
      </c>
      <c r="N287" s="38">
        <v>0</v>
      </c>
      <c r="O287" s="38">
        <v>0</v>
      </c>
      <c r="P287" s="39">
        <f t="shared" si="34"/>
        <v>0</v>
      </c>
      <c r="Q287" s="38">
        <v>0</v>
      </c>
      <c r="R287" s="38">
        <v>0</v>
      </c>
      <c r="S287" s="39">
        <f t="shared" si="38"/>
        <v>0</v>
      </c>
      <c r="T287" s="38">
        <v>0</v>
      </c>
      <c r="U287" s="38">
        <v>0</v>
      </c>
      <c r="V287" s="28">
        <f t="shared" si="42"/>
        <v>0</v>
      </c>
      <c r="W287" s="38">
        <v>20</v>
      </c>
      <c r="X287" s="38">
        <v>25</v>
      </c>
      <c r="Y287">
        <f t="shared" si="39"/>
        <v>28183925.000000011</v>
      </c>
      <c r="AB287">
        <f t="shared" si="43"/>
        <v>0</v>
      </c>
      <c r="AE287">
        <f t="shared" si="40"/>
        <v>0</v>
      </c>
      <c r="AF287" s="28">
        <f t="shared" si="41"/>
        <v>47433925.000000015</v>
      </c>
      <c r="AG287" s="28">
        <f t="shared" si="36"/>
        <v>46141.95038910507</v>
      </c>
    </row>
    <row r="288" spans="1:33" ht="72" x14ac:dyDescent="0.3">
      <c r="A288" s="2" t="s">
        <v>836</v>
      </c>
      <c r="B288" s="4" t="s">
        <v>837</v>
      </c>
      <c r="C288" s="3" t="s">
        <v>939</v>
      </c>
      <c r="D288" s="6" t="s">
        <v>940</v>
      </c>
      <c r="E288" s="6" t="s">
        <v>941</v>
      </c>
      <c r="F288" s="6" t="s">
        <v>716</v>
      </c>
      <c r="G288" s="25">
        <v>39000</v>
      </c>
      <c r="H288" s="38"/>
      <c r="I288" s="38"/>
      <c r="J288" s="39">
        <f t="shared" si="35"/>
        <v>0</v>
      </c>
      <c r="K288" s="38">
        <v>20</v>
      </c>
      <c r="L288" s="38">
        <v>25</v>
      </c>
      <c r="M288" s="39">
        <f t="shared" si="37"/>
        <v>21450000</v>
      </c>
      <c r="N288" s="38">
        <v>0</v>
      </c>
      <c r="O288" s="38">
        <v>0</v>
      </c>
      <c r="P288" s="39">
        <f t="shared" si="34"/>
        <v>0</v>
      </c>
      <c r="Q288" s="38">
        <v>0</v>
      </c>
      <c r="R288" s="38">
        <v>0</v>
      </c>
      <c r="S288" s="39">
        <f t="shared" si="38"/>
        <v>0</v>
      </c>
      <c r="T288" s="38">
        <v>0</v>
      </c>
      <c r="U288" s="38">
        <v>0</v>
      </c>
      <c r="V288" s="28">
        <f t="shared" si="42"/>
        <v>0</v>
      </c>
      <c r="W288" s="38">
        <v>20</v>
      </c>
      <c r="X288" s="38">
        <v>25</v>
      </c>
      <c r="Y288">
        <f t="shared" si="39"/>
        <v>31404945.000000011</v>
      </c>
      <c r="AB288">
        <f t="shared" si="43"/>
        <v>0</v>
      </c>
      <c r="AE288">
        <f t="shared" si="40"/>
        <v>0</v>
      </c>
      <c r="AF288" s="28">
        <f t="shared" si="41"/>
        <v>52854945.000000015</v>
      </c>
      <c r="AG288" s="28">
        <f t="shared" si="36"/>
        <v>51415.316147859936</v>
      </c>
    </row>
    <row r="289" spans="1:33" ht="72" x14ac:dyDescent="0.3">
      <c r="A289" s="2" t="s">
        <v>836</v>
      </c>
      <c r="B289" s="4" t="s">
        <v>837</v>
      </c>
      <c r="C289" s="3" t="s">
        <v>939</v>
      </c>
      <c r="D289" s="6" t="s">
        <v>940</v>
      </c>
      <c r="E289" s="6" t="s">
        <v>941</v>
      </c>
      <c r="F289" s="6" t="s">
        <v>712</v>
      </c>
      <c r="G289" s="25">
        <f>1999/7</f>
        <v>285.57142857142856</v>
      </c>
      <c r="H289" s="38"/>
      <c r="I289" s="38"/>
      <c r="J289" s="39">
        <f t="shared" si="35"/>
        <v>0</v>
      </c>
      <c r="K289" s="38">
        <f>25*2*9</f>
        <v>450</v>
      </c>
      <c r="L289" s="38">
        <v>25</v>
      </c>
      <c r="M289" s="39">
        <f t="shared" si="37"/>
        <v>3533946.4285714291</v>
      </c>
      <c r="N289" s="38">
        <v>0</v>
      </c>
      <c r="O289" s="38">
        <v>0</v>
      </c>
      <c r="P289" s="39">
        <f t="shared" si="34"/>
        <v>0</v>
      </c>
      <c r="Q289" s="38">
        <v>0</v>
      </c>
      <c r="R289" s="38">
        <v>0</v>
      </c>
      <c r="S289" s="39">
        <f t="shared" si="38"/>
        <v>0</v>
      </c>
      <c r="T289" s="38">
        <v>0</v>
      </c>
      <c r="U289" s="38">
        <v>0</v>
      </c>
      <c r="V289" s="28">
        <f t="shared" si="42"/>
        <v>0</v>
      </c>
      <c r="W289" s="38">
        <f>25*2*9</f>
        <v>450</v>
      </c>
      <c r="X289" s="38">
        <v>25</v>
      </c>
      <c r="Y289">
        <f t="shared" si="39"/>
        <v>5174050.9660714297</v>
      </c>
      <c r="AB289">
        <f t="shared" si="43"/>
        <v>0</v>
      </c>
      <c r="AE289">
        <f t="shared" si="40"/>
        <v>0</v>
      </c>
      <c r="AF289" s="28">
        <f t="shared" si="41"/>
        <v>8707997.3946428597</v>
      </c>
      <c r="AG289" s="28">
        <f t="shared" si="36"/>
        <v>8470.8145862284618</v>
      </c>
    </row>
    <row r="290" spans="1:33" ht="57.6" x14ac:dyDescent="0.3">
      <c r="A290" s="2" t="s">
        <v>836</v>
      </c>
      <c r="B290" s="4" t="s">
        <v>837</v>
      </c>
      <c r="C290" s="3" t="s">
        <v>939</v>
      </c>
      <c r="D290" s="6" t="s">
        <v>940</v>
      </c>
      <c r="E290" s="6" t="s">
        <v>942</v>
      </c>
      <c r="F290" s="6" t="s">
        <v>709</v>
      </c>
      <c r="G290" s="25">
        <v>35000</v>
      </c>
      <c r="H290" s="38"/>
      <c r="I290" s="38"/>
      <c r="J290" s="39">
        <f t="shared" si="35"/>
        <v>0</v>
      </c>
      <c r="K290" s="38">
        <v>30</v>
      </c>
      <c r="L290" s="38">
        <v>1</v>
      </c>
      <c r="M290" s="39">
        <f t="shared" si="37"/>
        <v>1155000</v>
      </c>
      <c r="N290" s="38">
        <v>0</v>
      </c>
      <c r="O290" s="38">
        <v>0</v>
      </c>
      <c r="P290" s="39">
        <f t="shared" si="34"/>
        <v>0</v>
      </c>
      <c r="Q290" s="38">
        <v>0</v>
      </c>
      <c r="R290" s="38">
        <v>0</v>
      </c>
      <c r="S290" s="39">
        <f t="shared" si="38"/>
        <v>0</v>
      </c>
      <c r="T290" s="38">
        <v>0</v>
      </c>
      <c r="U290" s="38">
        <v>0</v>
      </c>
      <c r="V290" s="28">
        <f t="shared" si="42"/>
        <v>0</v>
      </c>
      <c r="W290" s="38">
        <v>30</v>
      </c>
      <c r="X290" s="38">
        <v>1</v>
      </c>
      <c r="Y290">
        <f t="shared" si="39"/>
        <v>1691035.5000000007</v>
      </c>
      <c r="AB290">
        <f t="shared" si="43"/>
        <v>0</v>
      </c>
      <c r="AE290">
        <f t="shared" si="40"/>
        <v>0</v>
      </c>
      <c r="AF290" s="28">
        <f t="shared" si="41"/>
        <v>2846035.5000000009</v>
      </c>
      <c r="AG290" s="28">
        <f t="shared" si="36"/>
        <v>2768.5170233463045</v>
      </c>
    </row>
    <row r="291" spans="1:33" ht="57.6" x14ac:dyDescent="0.3">
      <c r="A291" s="2" t="s">
        <v>836</v>
      </c>
      <c r="B291" s="4" t="s">
        <v>837</v>
      </c>
      <c r="C291" s="3" t="s">
        <v>939</v>
      </c>
      <c r="D291" s="6" t="s">
        <v>940</v>
      </c>
      <c r="E291" s="6" t="s">
        <v>943</v>
      </c>
      <c r="F291" s="6" t="s">
        <v>841</v>
      </c>
      <c r="G291" s="25">
        <v>0</v>
      </c>
      <c r="H291" s="38"/>
      <c r="I291" s="38"/>
      <c r="J291" s="39">
        <f t="shared" si="35"/>
        <v>0</v>
      </c>
      <c r="K291" s="38">
        <v>20</v>
      </c>
      <c r="L291" s="38">
        <v>0.5</v>
      </c>
      <c r="M291" s="39">
        <f t="shared" si="37"/>
        <v>0</v>
      </c>
      <c r="N291" s="38">
        <v>0</v>
      </c>
      <c r="O291" s="38">
        <v>0</v>
      </c>
      <c r="P291" s="39">
        <f t="shared" si="34"/>
        <v>0</v>
      </c>
      <c r="Q291" s="38">
        <v>0</v>
      </c>
      <c r="R291" s="38">
        <v>0</v>
      </c>
      <c r="S291" s="39">
        <f t="shared" si="38"/>
        <v>0</v>
      </c>
      <c r="T291" s="38">
        <v>0</v>
      </c>
      <c r="U291" s="38">
        <v>0</v>
      </c>
      <c r="V291" s="28">
        <f t="shared" si="42"/>
        <v>0</v>
      </c>
      <c r="W291" s="38">
        <v>20</v>
      </c>
      <c r="X291" s="38">
        <v>0.5</v>
      </c>
      <c r="Y291">
        <f t="shared" si="39"/>
        <v>0</v>
      </c>
      <c r="AB291">
        <f t="shared" si="43"/>
        <v>0</v>
      </c>
      <c r="AE291">
        <f t="shared" si="40"/>
        <v>0</v>
      </c>
      <c r="AF291" s="28">
        <f t="shared" si="41"/>
        <v>0</v>
      </c>
      <c r="AG291" s="28">
        <f t="shared" si="36"/>
        <v>0</v>
      </c>
    </row>
    <row r="292" spans="1:33" ht="57.6" x14ac:dyDescent="0.3">
      <c r="A292" s="2" t="s">
        <v>836</v>
      </c>
      <c r="B292" s="4" t="s">
        <v>837</v>
      </c>
      <c r="C292" s="3" t="s">
        <v>939</v>
      </c>
      <c r="D292" s="6" t="s">
        <v>940</v>
      </c>
      <c r="E292" s="6" t="s">
        <v>944</v>
      </c>
      <c r="F292" s="6" t="s">
        <v>709</v>
      </c>
      <c r="G292" s="25">
        <v>35000</v>
      </c>
      <c r="H292" s="38"/>
      <c r="I292" s="38"/>
      <c r="J292" s="39">
        <f t="shared" si="35"/>
        <v>0</v>
      </c>
      <c r="K292" s="38">
        <v>100</v>
      </c>
      <c r="L292" s="38">
        <v>1</v>
      </c>
      <c r="M292" s="39">
        <f t="shared" si="37"/>
        <v>3850000</v>
      </c>
      <c r="N292" s="38">
        <v>0</v>
      </c>
      <c r="O292" s="38">
        <v>0</v>
      </c>
      <c r="P292" s="39">
        <f t="shared" si="34"/>
        <v>0</v>
      </c>
      <c r="Q292" s="38">
        <v>0</v>
      </c>
      <c r="R292" s="38">
        <v>0</v>
      </c>
      <c r="S292" s="39">
        <f t="shared" si="38"/>
        <v>0</v>
      </c>
      <c r="T292" s="38">
        <v>0</v>
      </c>
      <c r="U292" s="38">
        <v>0</v>
      </c>
      <c r="V292" s="28">
        <f t="shared" si="42"/>
        <v>0</v>
      </c>
      <c r="W292" s="38">
        <v>100</v>
      </c>
      <c r="X292" s="38">
        <v>1</v>
      </c>
      <c r="Y292">
        <f t="shared" si="39"/>
        <v>5636785.0000000019</v>
      </c>
      <c r="AB292">
        <f t="shared" si="43"/>
        <v>0</v>
      </c>
      <c r="AE292">
        <f t="shared" si="40"/>
        <v>0</v>
      </c>
      <c r="AF292" s="28">
        <f t="shared" si="41"/>
        <v>9486785.0000000019</v>
      </c>
      <c r="AG292" s="28">
        <f t="shared" si="36"/>
        <v>9228.3900778210136</v>
      </c>
    </row>
    <row r="293" spans="1:33" ht="57.6" x14ac:dyDescent="0.3">
      <c r="A293" s="2" t="s">
        <v>836</v>
      </c>
      <c r="B293" s="4" t="s">
        <v>837</v>
      </c>
      <c r="C293" s="3" t="s">
        <v>939</v>
      </c>
      <c r="D293" s="6" t="s">
        <v>940</v>
      </c>
      <c r="E293" s="6" t="s">
        <v>944</v>
      </c>
      <c r="F293" s="6" t="s">
        <v>716</v>
      </c>
      <c r="G293" s="25">
        <v>39000</v>
      </c>
      <c r="H293" s="38"/>
      <c r="I293" s="38"/>
      <c r="J293" s="39">
        <f t="shared" si="35"/>
        <v>0</v>
      </c>
      <c r="K293" s="38">
        <v>58</v>
      </c>
      <c r="L293" s="38">
        <v>1</v>
      </c>
      <c r="M293" s="39">
        <f t="shared" si="37"/>
        <v>2488200</v>
      </c>
      <c r="N293" s="38">
        <v>0</v>
      </c>
      <c r="O293" s="38">
        <v>0</v>
      </c>
      <c r="P293" s="39">
        <f t="shared" si="34"/>
        <v>0</v>
      </c>
      <c r="Q293" s="38">
        <v>0</v>
      </c>
      <c r="R293" s="38">
        <v>0</v>
      </c>
      <c r="S293" s="39">
        <f t="shared" si="38"/>
        <v>0</v>
      </c>
      <c r="T293" s="38">
        <v>0</v>
      </c>
      <c r="U293" s="38">
        <v>0</v>
      </c>
      <c r="V293" s="28">
        <f t="shared" si="42"/>
        <v>0</v>
      </c>
      <c r="W293" s="38">
        <v>58</v>
      </c>
      <c r="X293" s="38">
        <v>1</v>
      </c>
      <c r="Y293">
        <f t="shared" si="39"/>
        <v>3642973.620000001</v>
      </c>
      <c r="AB293">
        <f t="shared" si="43"/>
        <v>0</v>
      </c>
      <c r="AE293">
        <f t="shared" si="40"/>
        <v>0</v>
      </c>
      <c r="AF293" s="28">
        <f t="shared" si="41"/>
        <v>6131173.620000001</v>
      </c>
      <c r="AG293" s="28">
        <f t="shared" si="36"/>
        <v>5964.1766731517519</v>
      </c>
    </row>
    <row r="294" spans="1:33" ht="57.6" x14ac:dyDescent="0.3">
      <c r="A294" s="2" t="s">
        <v>836</v>
      </c>
      <c r="B294" s="4" t="s">
        <v>837</v>
      </c>
      <c r="C294" s="3" t="s">
        <v>939</v>
      </c>
      <c r="D294" s="6" t="s">
        <v>940</v>
      </c>
      <c r="E294" s="6" t="s">
        <v>944</v>
      </c>
      <c r="F294" s="6" t="s">
        <v>1297</v>
      </c>
      <c r="G294" s="25">
        <v>8000</v>
      </c>
      <c r="H294" s="38"/>
      <c r="I294" s="38"/>
      <c r="J294" s="39">
        <f t="shared" si="35"/>
        <v>0</v>
      </c>
      <c r="K294" s="38">
        <v>10</v>
      </c>
      <c r="L294" s="38">
        <v>1</v>
      </c>
      <c r="M294" s="39">
        <f t="shared" si="37"/>
        <v>88000</v>
      </c>
      <c r="N294" s="38">
        <v>0</v>
      </c>
      <c r="O294" s="38">
        <v>0</v>
      </c>
      <c r="P294" s="39">
        <f t="shared" si="34"/>
        <v>0</v>
      </c>
      <c r="Q294" s="38">
        <v>0</v>
      </c>
      <c r="R294" s="38">
        <v>0</v>
      </c>
      <c r="S294" s="39">
        <f t="shared" si="38"/>
        <v>0</v>
      </c>
      <c r="T294" s="38">
        <v>0</v>
      </c>
      <c r="U294" s="38">
        <v>0</v>
      </c>
      <c r="V294" s="28">
        <f t="shared" si="42"/>
        <v>0</v>
      </c>
      <c r="W294" s="38">
        <v>10</v>
      </c>
      <c r="X294" s="38">
        <v>1</v>
      </c>
      <c r="Y294">
        <f t="shared" si="39"/>
        <v>128840.80000000003</v>
      </c>
      <c r="AB294">
        <f t="shared" si="43"/>
        <v>0</v>
      </c>
      <c r="AE294">
        <f t="shared" si="40"/>
        <v>0</v>
      </c>
      <c r="AF294" s="28">
        <f t="shared" si="41"/>
        <v>216840.80000000005</v>
      </c>
      <c r="AG294" s="28">
        <f t="shared" si="36"/>
        <v>210.9346303501946</v>
      </c>
    </row>
    <row r="295" spans="1:33" ht="57.6" x14ac:dyDescent="0.3">
      <c r="A295" s="2" t="s">
        <v>836</v>
      </c>
      <c r="B295" s="4" t="s">
        <v>837</v>
      </c>
      <c r="C295" s="3" t="s">
        <v>939</v>
      </c>
      <c r="D295" s="6" t="s">
        <v>940</v>
      </c>
      <c r="E295" s="6" t="s">
        <v>944</v>
      </c>
      <c r="F295" s="6" t="s">
        <v>710</v>
      </c>
      <c r="G295" s="25">
        <v>104850</v>
      </c>
      <c r="H295" s="38"/>
      <c r="I295" s="38"/>
      <c r="J295" s="39">
        <f t="shared" si="35"/>
        <v>0</v>
      </c>
      <c r="K295" s="38">
        <v>1</v>
      </c>
      <c r="L295" s="38">
        <v>1</v>
      </c>
      <c r="M295" s="39">
        <f t="shared" si="37"/>
        <v>115335.00000000001</v>
      </c>
      <c r="N295" s="38">
        <v>0</v>
      </c>
      <c r="O295" s="38">
        <v>0</v>
      </c>
      <c r="P295" s="39">
        <f t="shared" ref="P295:P366" si="44">(G295*1.21)*N295*O295</f>
        <v>0</v>
      </c>
      <c r="Q295" s="38">
        <v>0</v>
      </c>
      <c r="R295" s="38">
        <v>0</v>
      </c>
      <c r="S295" s="39">
        <f t="shared" si="38"/>
        <v>0</v>
      </c>
      <c r="T295" s="38">
        <v>0</v>
      </c>
      <c r="U295" s="38">
        <v>0</v>
      </c>
      <c r="V295" s="28">
        <f t="shared" si="42"/>
        <v>0</v>
      </c>
      <c r="W295" s="38">
        <v>1</v>
      </c>
      <c r="X295" s="38">
        <v>1</v>
      </c>
      <c r="Y295">
        <f t="shared" si="39"/>
        <v>168861.97350000005</v>
      </c>
      <c r="AB295">
        <f t="shared" si="43"/>
        <v>0</v>
      </c>
      <c r="AE295">
        <f t="shared" si="40"/>
        <v>0</v>
      </c>
      <c r="AF295" s="28">
        <f t="shared" si="41"/>
        <v>284196.97350000008</v>
      </c>
      <c r="AG295" s="28">
        <f t="shared" si="36"/>
        <v>276.45619990272382</v>
      </c>
    </row>
    <row r="296" spans="1:33" ht="57.6" x14ac:dyDescent="0.3">
      <c r="A296" s="2" t="s">
        <v>836</v>
      </c>
      <c r="B296" s="4" t="s">
        <v>837</v>
      </c>
      <c r="C296" s="3" t="s">
        <v>939</v>
      </c>
      <c r="D296" s="6" t="s">
        <v>940</v>
      </c>
      <c r="E296" s="6" t="s">
        <v>944</v>
      </c>
      <c r="F296" s="6" t="s">
        <v>712</v>
      </c>
      <c r="G296" s="25">
        <f>1999/7</f>
        <v>285.57142857142856</v>
      </c>
      <c r="H296" s="38"/>
      <c r="I296" s="38"/>
      <c r="J296" s="39">
        <f t="shared" si="35"/>
        <v>0</v>
      </c>
      <c r="K296" s="38">
        <f>25*2*29</f>
        <v>1450</v>
      </c>
      <c r="L296" s="38">
        <v>1</v>
      </c>
      <c r="M296" s="39">
        <f t="shared" si="37"/>
        <v>455486.42857142858</v>
      </c>
      <c r="N296" s="38">
        <v>0</v>
      </c>
      <c r="O296" s="38">
        <v>0</v>
      </c>
      <c r="P296" s="39">
        <f t="shared" si="44"/>
        <v>0</v>
      </c>
      <c r="Q296" s="38">
        <v>0</v>
      </c>
      <c r="R296" s="38">
        <v>0</v>
      </c>
      <c r="S296" s="39">
        <f t="shared" si="38"/>
        <v>0</v>
      </c>
      <c r="T296" s="38">
        <v>0</v>
      </c>
      <c r="U296" s="38">
        <v>0</v>
      </c>
      <c r="V296" s="28">
        <f t="shared" si="42"/>
        <v>0</v>
      </c>
      <c r="W296" s="38">
        <f>25*2*29</f>
        <v>1450</v>
      </c>
      <c r="X296" s="38">
        <v>1</v>
      </c>
      <c r="Y296">
        <f t="shared" si="39"/>
        <v>666877.68007142877</v>
      </c>
      <c r="AB296">
        <f t="shared" si="43"/>
        <v>0</v>
      </c>
      <c r="AE296">
        <f t="shared" si="40"/>
        <v>0</v>
      </c>
      <c r="AF296" s="28">
        <f t="shared" si="41"/>
        <v>1122364.1086428573</v>
      </c>
      <c r="AG296" s="28">
        <f t="shared" si="36"/>
        <v>1091.7938800027794</v>
      </c>
    </row>
    <row r="297" spans="1:33" ht="57.6" x14ac:dyDescent="0.3">
      <c r="A297" s="2" t="s">
        <v>836</v>
      </c>
      <c r="B297" s="4" t="s">
        <v>837</v>
      </c>
      <c r="C297" s="3" t="s">
        <v>939</v>
      </c>
      <c r="D297" s="6" t="s">
        <v>940</v>
      </c>
      <c r="E297" s="6" t="s">
        <v>944</v>
      </c>
      <c r="F297" s="6" t="s">
        <v>1299</v>
      </c>
      <c r="G297" s="25">
        <f>1999/7</f>
        <v>285.57142857142856</v>
      </c>
      <c r="H297" s="38"/>
      <c r="I297" s="38"/>
      <c r="J297" s="39">
        <f t="shared" si="35"/>
        <v>0</v>
      </c>
      <c r="K297" s="38">
        <f>2*135*9</f>
        <v>2430</v>
      </c>
      <c r="L297" s="38">
        <v>1</v>
      </c>
      <c r="M297" s="39"/>
      <c r="N297" s="38"/>
      <c r="O297" s="38"/>
      <c r="P297" s="39"/>
      <c r="Q297" s="38"/>
      <c r="R297" s="38"/>
      <c r="S297" s="39"/>
      <c r="T297" s="38"/>
      <c r="U297" s="38"/>
      <c r="V297" s="28"/>
      <c r="W297" s="38">
        <f>2*135*9</f>
        <v>2430</v>
      </c>
      <c r="X297" s="38">
        <v>1</v>
      </c>
      <c r="AF297" s="28"/>
      <c r="AG297" s="28"/>
    </row>
    <row r="298" spans="1:33" ht="57.6" x14ac:dyDescent="0.3">
      <c r="A298" s="2" t="s">
        <v>836</v>
      </c>
      <c r="B298" s="4" t="s">
        <v>837</v>
      </c>
      <c r="C298" s="3" t="s">
        <v>939</v>
      </c>
      <c r="D298" s="6" t="s">
        <v>940</v>
      </c>
      <c r="E298" s="6" t="s">
        <v>945</v>
      </c>
      <c r="F298" s="6" t="s">
        <v>841</v>
      </c>
      <c r="G298" s="25">
        <v>0</v>
      </c>
      <c r="H298" s="38"/>
      <c r="I298" s="38"/>
      <c r="J298" s="39">
        <f t="shared" si="35"/>
        <v>0</v>
      </c>
      <c r="K298" s="38">
        <v>20000</v>
      </c>
      <c r="L298" s="38">
        <v>1</v>
      </c>
      <c r="M298" s="39">
        <f t="shared" si="37"/>
        <v>0</v>
      </c>
      <c r="N298" s="38">
        <v>0</v>
      </c>
      <c r="O298" s="38">
        <v>0</v>
      </c>
      <c r="P298" s="39">
        <f t="shared" si="44"/>
        <v>0</v>
      </c>
      <c r="Q298" s="38">
        <v>0</v>
      </c>
      <c r="R298" s="38">
        <v>0</v>
      </c>
      <c r="S298" s="39">
        <f t="shared" si="38"/>
        <v>0</v>
      </c>
      <c r="T298" s="38">
        <v>0</v>
      </c>
      <c r="U298" s="38">
        <v>0</v>
      </c>
      <c r="V298" s="28">
        <f t="shared" si="42"/>
        <v>0</v>
      </c>
      <c r="W298" s="38">
        <v>20000</v>
      </c>
      <c r="X298" s="38">
        <v>1</v>
      </c>
      <c r="Y298">
        <f t="shared" si="39"/>
        <v>0</v>
      </c>
      <c r="AB298">
        <f t="shared" si="43"/>
        <v>0</v>
      </c>
      <c r="AE298">
        <f t="shared" si="40"/>
        <v>0</v>
      </c>
      <c r="AF298" s="28">
        <f t="shared" si="41"/>
        <v>0</v>
      </c>
      <c r="AG298" s="28">
        <f t="shared" si="36"/>
        <v>0</v>
      </c>
    </row>
    <row r="299" spans="1:33" ht="57.6" x14ac:dyDescent="0.3">
      <c r="A299" s="2" t="s">
        <v>836</v>
      </c>
      <c r="B299" s="4" t="s">
        <v>837</v>
      </c>
      <c r="C299" s="3" t="s">
        <v>939</v>
      </c>
      <c r="D299" s="6" t="s">
        <v>946</v>
      </c>
      <c r="E299" s="6" t="s">
        <v>947</v>
      </c>
      <c r="F299" s="6" t="s">
        <v>841</v>
      </c>
      <c r="G299" s="25">
        <v>0</v>
      </c>
      <c r="H299" s="38">
        <v>0</v>
      </c>
      <c r="I299" s="38">
        <v>0</v>
      </c>
      <c r="J299" s="39">
        <f t="shared" si="35"/>
        <v>0</v>
      </c>
      <c r="K299" s="38">
        <v>0</v>
      </c>
      <c r="L299" s="38">
        <v>0</v>
      </c>
      <c r="M299" s="39">
        <f t="shared" si="37"/>
        <v>0</v>
      </c>
      <c r="N299" s="38">
        <v>0</v>
      </c>
      <c r="O299" s="38">
        <v>0</v>
      </c>
      <c r="P299" s="39">
        <f t="shared" si="44"/>
        <v>0</v>
      </c>
      <c r="Q299" s="38">
        <v>0</v>
      </c>
      <c r="R299" s="38">
        <v>0</v>
      </c>
      <c r="S299" s="39">
        <f t="shared" si="38"/>
        <v>0</v>
      </c>
      <c r="T299" s="38">
        <v>0</v>
      </c>
      <c r="U299" s="38">
        <v>0</v>
      </c>
      <c r="V299" s="28">
        <f t="shared" si="42"/>
        <v>0</v>
      </c>
      <c r="Y299">
        <f t="shared" si="39"/>
        <v>0</v>
      </c>
      <c r="AB299">
        <f t="shared" si="43"/>
        <v>0</v>
      </c>
      <c r="AE299">
        <f t="shared" si="40"/>
        <v>0</v>
      </c>
      <c r="AF299" s="28">
        <f t="shared" si="41"/>
        <v>0</v>
      </c>
      <c r="AG299" s="28">
        <f t="shared" si="36"/>
        <v>0</v>
      </c>
    </row>
    <row r="300" spans="1:33" x14ac:dyDescent="0.3">
      <c r="A300" s="55" t="s">
        <v>1296</v>
      </c>
      <c r="B300" s="56"/>
      <c r="C300" s="57"/>
      <c r="D300" s="58"/>
      <c r="E300" s="58"/>
      <c r="F300" s="58"/>
      <c r="G300" s="59"/>
      <c r="H300" s="60"/>
      <c r="I300" s="60"/>
      <c r="J300" s="61">
        <f t="shared" si="35"/>
        <v>0</v>
      </c>
      <c r="K300" s="60"/>
      <c r="L300" s="60"/>
      <c r="M300" s="61">
        <f>SUM(M285:M299)</f>
        <v>61436120.094496943</v>
      </c>
      <c r="N300" s="60"/>
      <c r="O300" s="60"/>
      <c r="P300" s="61">
        <f>SUM(P285:P299)</f>
        <v>49261349.460116737</v>
      </c>
      <c r="Q300" s="60"/>
      <c r="R300" s="60"/>
      <c r="S300" s="61">
        <f>SUM(S285:S299)</f>
        <v>0</v>
      </c>
      <c r="T300" s="60"/>
      <c r="U300" s="60"/>
      <c r="V300" s="61">
        <f>SUM(V285:V299)</f>
        <v>0</v>
      </c>
      <c r="W300" s="62"/>
      <c r="X300" s="62"/>
      <c r="Y300" s="61">
        <f>SUM(Y285:Y299)</f>
        <v>76698295.539642885</v>
      </c>
      <c r="Z300" s="62"/>
      <c r="AA300" s="62"/>
      <c r="AB300" s="61">
        <f>SUM(AB285:AB299)</f>
        <v>0</v>
      </c>
      <c r="AC300" s="62"/>
      <c r="AD300" s="62"/>
      <c r="AE300" s="61">
        <f>SUM(AE285:AE299)</f>
        <v>0</v>
      </c>
      <c r="AF300" s="20">
        <f>SUM(AF285:AF299)</f>
        <v>179730142.65262234</v>
      </c>
      <c r="AG300" s="20">
        <f>AF300/$AL$2</f>
        <v>174834.76911733689</v>
      </c>
    </row>
    <row r="301" spans="1:33" s="114" customFormat="1" x14ac:dyDescent="0.3">
      <c r="A301" s="107"/>
      <c r="B301" s="108"/>
      <c r="C301" s="109"/>
      <c r="D301" s="110"/>
      <c r="E301" s="110"/>
      <c r="F301" s="110"/>
      <c r="G301" s="111"/>
      <c r="H301" s="112"/>
      <c r="I301" s="112"/>
      <c r="J301" s="51">
        <f t="shared" si="35"/>
        <v>0</v>
      </c>
      <c r="K301" s="112"/>
      <c r="L301" s="112"/>
      <c r="M301" s="51">
        <f>M300/$AL$2</f>
        <v>59762.762737837496</v>
      </c>
      <c r="N301" s="112"/>
      <c r="O301" s="112"/>
      <c r="P301" s="51">
        <f>P300/$AL$2</f>
        <v>47919.600642136902</v>
      </c>
      <c r="Q301" s="112"/>
      <c r="R301" s="112"/>
      <c r="S301" s="51">
        <f>S300/$AL$2</f>
        <v>0</v>
      </c>
      <c r="T301" s="112"/>
      <c r="U301" s="112"/>
      <c r="V301" s="51">
        <f>V300/$AL$2</f>
        <v>0</v>
      </c>
      <c r="Y301" s="51">
        <f>Y300/$AL$2</f>
        <v>74609.236906267397</v>
      </c>
      <c r="AB301" s="51">
        <f>AB300/$AL$2</f>
        <v>0</v>
      </c>
      <c r="AE301" s="51">
        <f>AE300/$AL$2</f>
        <v>0</v>
      </c>
      <c r="AF301" s="51">
        <f>AF300/$AL$2</f>
        <v>174834.76911733689</v>
      </c>
      <c r="AG301" s="113">
        <f t="shared" si="36"/>
        <v>170.07273260441332</v>
      </c>
    </row>
    <row r="302" spans="1:33" ht="57.6" x14ac:dyDescent="0.3">
      <c r="A302" s="2" t="s">
        <v>836</v>
      </c>
      <c r="B302" s="4" t="s">
        <v>837</v>
      </c>
      <c r="C302" s="3" t="s">
        <v>948</v>
      </c>
      <c r="D302" s="6" t="s">
        <v>949</v>
      </c>
      <c r="E302" s="6" t="s">
        <v>950</v>
      </c>
      <c r="F302" s="6" t="s">
        <v>841</v>
      </c>
      <c r="G302" s="25">
        <v>0</v>
      </c>
      <c r="H302" s="38"/>
      <c r="I302" s="38"/>
      <c r="J302" s="39">
        <f t="shared" si="35"/>
        <v>0</v>
      </c>
      <c r="K302" s="38">
        <v>0</v>
      </c>
      <c r="L302" s="38">
        <v>0</v>
      </c>
      <c r="M302" s="39">
        <f t="shared" si="37"/>
        <v>0</v>
      </c>
      <c r="N302" s="38">
        <v>0</v>
      </c>
      <c r="O302" s="38">
        <v>0</v>
      </c>
      <c r="P302" s="39">
        <f t="shared" si="44"/>
        <v>0</v>
      </c>
      <c r="Q302" s="38">
        <v>0</v>
      </c>
      <c r="R302" s="38">
        <v>0</v>
      </c>
      <c r="S302" s="39">
        <f t="shared" si="38"/>
        <v>0</v>
      </c>
      <c r="T302" s="38">
        <v>0</v>
      </c>
      <c r="U302" s="38">
        <v>0</v>
      </c>
      <c r="V302" s="28">
        <f t="shared" si="42"/>
        <v>0</v>
      </c>
      <c r="Y302">
        <f t="shared" si="39"/>
        <v>0</v>
      </c>
      <c r="AB302">
        <f t="shared" si="43"/>
        <v>0</v>
      </c>
      <c r="AE302">
        <f t="shared" si="40"/>
        <v>0</v>
      </c>
      <c r="AF302" s="28">
        <f t="shared" si="41"/>
        <v>0</v>
      </c>
      <c r="AG302" s="28">
        <f t="shared" si="36"/>
        <v>0</v>
      </c>
    </row>
    <row r="303" spans="1:33" ht="57.6" x14ac:dyDescent="0.3">
      <c r="A303" s="2" t="s">
        <v>836</v>
      </c>
      <c r="B303" s="4" t="s">
        <v>837</v>
      </c>
      <c r="C303" s="3" t="s">
        <v>948</v>
      </c>
      <c r="D303" s="6" t="s">
        <v>949</v>
      </c>
      <c r="E303" s="6" t="s">
        <v>951</v>
      </c>
      <c r="F303" s="6" t="s">
        <v>841</v>
      </c>
      <c r="G303" s="25">
        <v>0</v>
      </c>
      <c r="H303" s="38"/>
      <c r="I303" s="38"/>
      <c r="J303" s="39">
        <f t="shared" si="35"/>
        <v>0</v>
      </c>
      <c r="K303" s="38">
        <v>0</v>
      </c>
      <c r="L303" s="38">
        <v>0</v>
      </c>
      <c r="M303" s="39">
        <f t="shared" si="37"/>
        <v>0</v>
      </c>
      <c r="N303" s="38">
        <v>0</v>
      </c>
      <c r="O303" s="38">
        <v>0</v>
      </c>
      <c r="P303" s="39">
        <f t="shared" si="44"/>
        <v>0</v>
      </c>
      <c r="Q303" s="38">
        <v>0</v>
      </c>
      <c r="R303" s="38">
        <v>0</v>
      </c>
      <c r="S303" s="39">
        <f t="shared" si="38"/>
        <v>0</v>
      </c>
      <c r="T303" s="38">
        <v>0</v>
      </c>
      <c r="U303" s="38">
        <v>0</v>
      </c>
      <c r="V303" s="28">
        <f t="shared" si="42"/>
        <v>0</v>
      </c>
      <c r="Y303">
        <f t="shared" si="39"/>
        <v>0</v>
      </c>
      <c r="AB303">
        <f t="shared" si="43"/>
        <v>0</v>
      </c>
      <c r="AE303">
        <f t="shared" si="40"/>
        <v>0</v>
      </c>
      <c r="AF303" s="28">
        <f t="shared" si="41"/>
        <v>0</v>
      </c>
      <c r="AG303" s="28">
        <f t="shared" si="36"/>
        <v>0</v>
      </c>
    </row>
    <row r="304" spans="1:33" ht="57.6" x14ac:dyDescent="0.3">
      <c r="A304" s="2" t="s">
        <v>836</v>
      </c>
      <c r="B304" s="4" t="s">
        <v>837</v>
      </c>
      <c r="C304" s="3" t="s">
        <v>948</v>
      </c>
      <c r="D304" s="6" t="s">
        <v>949</v>
      </c>
      <c r="E304" s="6" t="s">
        <v>952</v>
      </c>
      <c r="F304" s="6" t="s">
        <v>719</v>
      </c>
      <c r="G304" s="25">
        <v>286576.30000000005</v>
      </c>
      <c r="H304" s="38"/>
      <c r="I304" s="38"/>
      <c r="J304" s="39">
        <f t="shared" si="35"/>
        <v>0</v>
      </c>
      <c r="K304" s="38">
        <v>0</v>
      </c>
      <c r="L304" s="38">
        <v>0</v>
      </c>
      <c r="M304" s="39">
        <f t="shared" si="37"/>
        <v>0</v>
      </c>
      <c r="N304" s="38">
        <v>10</v>
      </c>
      <c r="O304" s="38">
        <v>7</v>
      </c>
      <c r="P304" s="39">
        <f t="shared" si="44"/>
        <v>24273012.610000003</v>
      </c>
      <c r="Q304" s="38">
        <v>0</v>
      </c>
      <c r="R304" s="38">
        <v>0</v>
      </c>
      <c r="S304" s="39">
        <f t="shared" si="38"/>
        <v>0</v>
      </c>
      <c r="T304" s="38">
        <v>0</v>
      </c>
      <c r="U304" s="38">
        <v>0</v>
      </c>
      <c r="V304" s="28">
        <f t="shared" si="42"/>
        <v>0</v>
      </c>
      <c r="Y304">
        <f t="shared" si="39"/>
        <v>0</v>
      </c>
      <c r="AB304">
        <f t="shared" si="43"/>
        <v>0</v>
      </c>
      <c r="AE304">
        <f t="shared" si="40"/>
        <v>0</v>
      </c>
      <c r="AF304" s="28">
        <f t="shared" si="41"/>
        <v>24273012.610000003</v>
      </c>
      <c r="AG304" s="28">
        <f t="shared" si="36"/>
        <v>23611.879970817125</v>
      </c>
    </row>
    <row r="305" spans="1:33" ht="57.6" x14ac:dyDescent="0.3">
      <c r="A305" s="2" t="s">
        <v>836</v>
      </c>
      <c r="B305" s="4" t="s">
        <v>837</v>
      </c>
      <c r="C305" s="3" t="s">
        <v>948</v>
      </c>
      <c r="D305" s="6" t="s">
        <v>949</v>
      </c>
      <c r="E305" s="6" t="s">
        <v>952</v>
      </c>
      <c r="F305" s="6" t="s">
        <v>953</v>
      </c>
      <c r="G305" s="25">
        <v>639585</v>
      </c>
      <c r="H305" s="38"/>
      <c r="I305" s="38"/>
      <c r="J305" s="39">
        <f t="shared" si="35"/>
        <v>0</v>
      </c>
      <c r="K305" s="38">
        <v>5</v>
      </c>
      <c r="L305" s="38">
        <v>5</v>
      </c>
      <c r="M305" s="39">
        <f t="shared" si="37"/>
        <v>17588587.5</v>
      </c>
      <c r="N305" s="38">
        <v>10</v>
      </c>
      <c r="O305" s="38">
        <v>7</v>
      </c>
      <c r="P305" s="39">
        <f t="shared" si="44"/>
        <v>54172849.5</v>
      </c>
      <c r="Q305" s="38">
        <v>0</v>
      </c>
      <c r="R305" s="38">
        <v>0</v>
      </c>
      <c r="S305" s="39">
        <f t="shared" si="38"/>
        <v>0</v>
      </c>
      <c r="T305" s="38">
        <v>0</v>
      </c>
      <c r="U305" s="38">
        <v>0</v>
      </c>
      <c r="V305" s="28">
        <f t="shared" si="42"/>
        <v>0</v>
      </c>
      <c r="Y305">
        <f t="shared" si="39"/>
        <v>0</v>
      </c>
      <c r="AB305">
        <f t="shared" si="43"/>
        <v>0</v>
      </c>
      <c r="AE305">
        <f t="shared" si="40"/>
        <v>0</v>
      </c>
      <c r="AF305" s="28">
        <f t="shared" si="41"/>
        <v>71761437</v>
      </c>
      <c r="AG305" s="28">
        <f t="shared" si="36"/>
        <v>69806.845330739307</v>
      </c>
    </row>
    <row r="306" spans="1:33" ht="57.6" x14ac:dyDescent="0.3">
      <c r="A306" s="2" t="s">
        <v>836</v>
      </c>
      <c r="B306" s="4" t="s">
        <v>837</v>
      </c>
      <c r="C306" s="3" t="s">
        <v>948</v>
      </c>
      <c r="D306" s="6" t="s">
        <v>949</v>
      </c>
      <c r="E306" s="6" t="s">
        <v>954</v>
      </c>
      <c r="F306" s="6" t="s">
        <v>841</v>
      </c>
      <c r="G306" s="25">
        <v>0</v>
      </c>
      <c r="H306" s="38"/>
      <c r="I306" s="38"/>
      <c r="J306" s="39">
        <f t="shared" si="35"/>
        <v>0</v>
      </c>
      <c r="K306" s="38">
        <v>5</v>
      </c>
      <c r="L306" s="38">
        <v>1</v>
      </c>
      <c r="M306" s="39">
        <f t="shared" si="37"/>
        <v>0</v>
      </c>
      <c r="N306" s="38">
        <v>0</v>
      </c>
      <c r="O306" s="38">
        <v>0</v>
      </c>
      <c r="P306" s="39">
        <f t="shared" si="44"/>
        <v>0</v>
      </c>
      <c r="Q306" s="38">
        <v>0</v>
      </c>
      <c r="R306" s="38">
        <v>0</v>
      </c>
      <c r="S306" s="39">
        <f t="shared" si="38"/>
        <v>0</v>
      </c>
      <c r="T306" s="38">
        <v>0</v>
      </c>
      <c r="U306" s="38">
        <v>0</v>
      </c>
      <c r="V306" s="28">
        <f t="shared" si="42"/>
        <v>0</v>
      </c>
      <c r="Y306">
        <f t="shared" si="39"/>
        <v>0</v>
      </c>
      <c r="AB306">
        <f t="shared" si="43"/>
        <v>0</v>
      </c>
      <c r="AE306">
        <f t="shared" si="40"/>
        <v>0</v>
      </c>
      <c r="AF306" s="28">
        <f t="shared" si="41"/>
        <v>0</v>
      </c>
      <c r="AG306" s="28">
        <f t="shared" si="36"/>
        <v>0</v>
      </c>
    </row>
    <row r="307" spans="1:33" ht="57.6" x14ac:dyDescent="0.3">
      <c r="A307" s="2" t="s">
        <v>836</v>
      </c>
      <c r="B307" s="4" t="s">
        <v>837</v>
      </c>
      <c r="C307" s="3" t="s">
        <v>948</v>
      </c>
      <c r="D307" s="6" t="s">
        <v>955</v>
      </c>
      <c r="E307" s="6" t="s">
        <v>956</v>
      </c>
      <c r="F307" s="6" t="s">
        <v>709</v>
      </c>
      <c r="G307" s="25">
        <v>35000</v>
      </c>
      <c r="H307" s="38"/>
      <c r="I307" s="38"/>
      <c r="J307" s="39">
        <f t="shared" si="35"/>
        <v>0</v>
      </c>
      <c r="K307" s="38">
        <v>0</v>
      </c>
      <c r="L307" s="38">
        <v>0</v>
      </c>
      <c r="M307" s="39">
        <f t="shared" si="37"/>
        <v>0</v>
      </c>
      <c r="N307" s="38">
        <v>30</v>
      </c>
      <c r="O307" s="38">
        <v>5</v>
      </c>
      <c r="P307" s="39">
        <f t="shared" si="44"/>
        <v>6352500</v>
      </c>
      <c r="Q307" s="38">
        <v>0</v>
      </c>
      <c r="R307" s="38">
        <v>0</v>
      </c>
      <c r="S307" s="39">
        <f t="shared" si="38"/>
        <v>0</v>
      </c>
      <c r="T307" s="38">
        <v>0</v>
      </c>
      <c r="U307" s="38">
        <v>0</v>
      </c>
      <c r="V307" s="28">
        <f t="shared" si="42"/>
        <v>0</v>
      </c>
      <c r="Y307">
        <f t="shared" si="39"/>
        <v>0</v>
      </c>
      <c r="AB307">
        <f t="shared" si="43"/>
        <v>0</v>
      </c>
      <c r="AE307">
        <f t="shared" si="40"/>
        <v>0</v>
      </c>
      <c r="AF307" s="28">
        <f t="shared" si="41"/>
        <v>6352500</v>
      </c>
      <c r="AG307" s="28">
        <f t="shared" si="36"/>
        <v>6179.4747081712067</v>
      </c>
    </row>
    <row r="308" spans="1:33" ht="57.6" x14ac:dyDescent="0.3">
      <c r="A308" s="2" t="s">
        <v>836</v>
      </c>
      <c r="B308" s="4" t="s">
        <v>837</v>
      </c>
      <c r="C308" s="3" t="s">
        <v>948</v>
      </c>
      <c r="D308" s="6" t="s">
        <v>955</v>
      </c>
      <c r="E308" s="6" t="s">
        <v>956</v>
      </c>
      <c r="F308" s="6" t="s">
        <v>716</v>
      </c>
      <c r="G308" s="25">
        <v>39000</v>
      </c>
      <c r="H308" s="38"/>
      <c r="I308" s="38"/>
      <c r="J308" s="39">
        <f t="shared" si="35"/>
        <v>0</v>
      </c>
      <c r="K308" s="38">
        <v>0</v>
      </c>
      <c r="L308" s="38">
        <v>0</v>
      </c>
      <c r="M308" s="39">
        <f t="shared" si="37"/>
        <v>0</v>
      </c>
      <c r="N308" s="38">
        <v>30</v>
      </c>
      <c r="O308" s="38">
        <v>6</v>
      </c>
      <c r="P308" s="39">
        <f t="shared" si="44"/>
        <v>8494200</v>
      </c>
      <c r="Q308" s="38">
        <v>0</v>
      </c>
      <c r="R308" s="38">
        <v>0</v>
      </c>
      <c r="S308" s="39">
        <f t="shared" si="38"/>
        <v>0</v>
      </c>
      <c r="T308" s="38">
        <v>0</v>
      </c>
      <c r="U308" s="38">
        <v>0</v>
      </c>
      <c r="V308" s="28">
        <f t="shared" si="42"/>
        <v>0</v>
      </c>
      <c r="Y308">
        <f t="shared" si="39"/>
        <v>0</v>
      </c>
      <c r="AB308">
        <f t="shared" si="43"/>
        <v>0</v>
      </c>
      <c r="AE308">
        <f t="shared" si="40"/>
        <v>0</v>
      </c>
      <c r="AF308" s="28">
        <f t="shared" si="41"/>
        <v>8494200</v>
      </c>
      <c r="AG308" s="28">
        <f t="shared" si="36"/>
        <v>8262.8404669260708</v>
      </c>
    </row>
    <row r="309" spans="1:33" ht="57.6" x14ac:dyDescent="0.3">
      <c r="A309" s="2" t="s">
        <v>836</v>
      </c>
      <c r="B309" s="4" t="s">
        <v>837</v>
      </c>
      <c r="C309" s="3" t="s">
        <v>948</v>
      </c>
      <c r="D309" s="6" t="s">
        <v>955</v>
      </c>
      <c r="E309" s="6" t="s">
        <v>956</v>
      </c>
      <c r="F309" s="6" t="s">
        <v>712</v>
      </c>
      <c r="G309" s="25">
        <f>1999/7</f>
        <v>285.57142857142856</v>
      </c>
      <c r="H309" s="38"/>
      <c r="I309" s="38"/>
      <c r="J309" s="39">
        <f t="shared" si="35"/>
        <v>0</v>
      </c>
      <c r="K309" s="38">
        <v>0</v>
      </c>
      <c r="L309" s="38">
        <v>0</v>
      </c>
      <c r="M309" s="39">
        <f t="shared" si="37"/>
        <v>0</v>
      </c>
      <c r="N309" s="38">
        <f>25*2*9</f>
        <v>450</v>
      </c>
      <c r="O309" s="38">
        <v>5</v>
      </c>
      <c r="P309" s="39">
        <f t="shared" si="44"/>
        <v>777468.2142857142</v>
      </c>
      <c r="Q309" s="38">
        <v>0</v>
      </c>
      <c r="R309" s="38">
        <v>0</v>
      </c>
      <c r="S309" s="39">
        <f t="shared" si="38"/>
        <v>0</v>
      </c>
      <c r="T309" s="38">
        <v>0</v>
      </c>
      <c r="U309" s="38">
        <v>0</v>
      </c>
      <c r="V309" s="28">
        <f t="shared" si="42"/>
        <v>0</v>
      </c>
      <c r="Y309">
        <f t="shared" si="39"/>
        <v>0</v>
      </c>
      <c r="AB309">
        <f t="shared" si="43"/>
        <v>0</v>
      </c>
      <c r="AE309">
        <f t="shared" si="40"/>
        <v>0</v>
      </c>
      <c r="AF309" s="28">
        <f t="shared" si="41"/>
        <v>777468.2142857142</v>
      </c>
      <c r="AG309" s="28">
        <f t="shared" si="36"/>
        <v>756.29203724291267</v>
      </c>
    </row>
    <row r="310" spans="1:33" ht="57.6" x14ac:dyDescent="0.3">
      <c r="A310" s="2" t="s">
        <v>836</v>
      </c>
      <c r="B310" s="4" t="s">
        <v>837</v>
      </c>
      <c r="C310" s="3" t="s">
        <v>948</v>
      </c>
      <c r="D310" s="6" t="s">
        <v>955</v>
      </c>
      <c r="E310" s="6" t="s">
        <v>956</v>
      </c>
      <c r="F310" s="6" t="s">
        <v>1299</v>
      </c>
      <c r="G310" s="25">
        <f>1999/7</f>
        <v>285.57142857142856</v>
      </c>
      <c r="H310" s="38"/>
      <c r="I310" s="38"/>
      <c r="J310" s="39">
        <f t="shared" si="35"/>
        <v>0</v>
      </c>
      <c r="K310" s="38"/>
      <c r="L310" s="38"/>
      <c r="M310" s="39"/>
      <c r="N310" s="38">
        <f>2*135*9</f>
        <v>2430</v>
      </c>
      <c r="O310" s="38">
        <v>1</v>
      </c>
      <c r="P310" s="39"/>
      <c r="Q310" s="38"/>
      <c r="R310" s="38"/>
      <c r="S310" s="39"/>
      <c r="T310" s="38"/>
      <c r="U310" s="38"/>
      <c r="V310" s="28"/>
      <c r="AF310" s="28"/>
      <c r="AG310" s="28"/>
    </row>
    <row r="311" spans="1:33" ht="57.6" x14ac:dyDescent="0.3">
      <c r="A311" s="2" t="s">
        <v>836</v>
      </c>
      <c r="B311" s="4" t="s">
        <v>837</v>
      </c>
      <c r="C311" s="3" t="s">
        <v>948</v>
      </c>
      <c r="D311" s="6" t="s">
        <v>955</v>
      </c>
      <c r="E311" s="6" t="s">
        <v>166</v>
      </c>
      <c r="F311" s="6" t="s">
        <v>709</v>
      </c>
      <c r="G311" s="25">
        <v>35000</v>
      </c>
      <c r="H311" s="38"/>
      <c r="I311" s="38"/>
      <c r="J311" s="39">
        <f t="shared" si="35"/>
        <v>0</v>
      </c>
      <c r="K311" s="38">
        <v>0</v>
      </c>
      <c r="L311" s="38">
        <v>0</v>
      </c>
      <c r="M311" s="39">
        <f t="shared" si="37"/>
        <v>0</v>
      </c>
      <c r="N311" s="38">
        <v>30</v>
      </c>
      <c r="O311" s="38">
        <v>1</v>
      </c>
      <c r="P311" s="39">
        <f t="shared" si="44"/>
        <v>1270500</v>
      </c>
      <c r="Q311" s="38">
        <v>0</v>
      </c>
      <c r="R311" s="38">
        <v>0</v>
      </c>
      <c r="S311" s="39">
        <f t="shared" si="38"/>
        <v>0</v>
      </c>
      <c r="T311" s="38">
        <v>0</v>
      </c>
      <c r="U311" s="38">
        <v>0</v>
      </c>
      <c r="V311" s="28">
        <f t="shared" si="42"/>
        <v>0</v>
      </c>
      <c r="Y311">
        <f t="shared" si="39"/>
        <v>0</v>
      </c>
      <c r="AB311">
        <f t="shared" si="43"/>
        <v>0</v>
      </c>
      <c r="AE311">
        <f t="shared" si="40"/>
        <v>0</v>
      </c>
      <c r="AF311" s="28">
        <f t="shared" si="41"/>
        <v>1270500</v>
      </c>
      <c r="AG311" s="28">
        <f t="shared" si="36"/>
        <v>1235.8949416342411</v>
      </c>
    </row>
    <row r="312" spans="1:33" ht="57.6" x14ac:dyDescent="0.3">
      <c r="A312" s="2" t="s">
        <v>836</v>
      </c>
      <c r="B312" s="4" t="s">
        <v>837</v>
      </c>
      <c r="C312" s="3" t="s">
        <v>948</v>
      </c>
      <c r="D312" s="6" t="s">
        <v>955</v>
      </c>
      <c r="E312" s="6" t="s">
        <v>957</v>
      </c>
      <c r="F312" s="6" t="s">
        <v>841</v>
      </c>
      <c r="G312" s="25">
        <v>0</v>
      </c>
      <c r="H312" s="38"/>
      <c r="I312" s="38"/>
      <c r="J312" s="39">
        <f t="shared" si="35"/>
        <v>0</v>
      </c>
      <c r="K312" s="38">
        <v>0</v>
      </c>
      <c r="L312" s="38">
        <v>0</v>
      </c>
      <c r="M312" s="39">
        <f t="shared" si="37"/>
        <v>0</v>
      </c>
      <c r="N312" s="38">
        <v>0</v>
      </c>
      <c r="O312" s="38">
        <v>0</v>
      </c>
      <c r="P312" s="39">
        <f t="shared" si="44"/>
        <v>0</v>
      </c>
      <c r="Q312" s="38">
        <v>0</v>
      </c>
      <c r="R312" s="38">
        <v>0</v>
      </c>
      <c r="S312" s="39">
        <f t="shared" si="38"/>
        <v>0</v>
      </c>
      <c r="T312" s="38">
        <v>0</v>
      </c>
      <c r="U312" s="38">
        <v>0</v>
      </c>
      <c r="V312" s="28">
        <f t="shared" si="42"/>
        <v>0</v>
      </c>
      <c r="Y312">
        <f t="shared" si="39"/>
        <v>0</v>
      </c>
      <c r="AB312">
        <f t="shared" si="43"/>
        <v>0</v>
      </c>
      <c r="AE312">
        <f t="shared" si="40"/>
        <v>0</v>
      </c>
      <c r="AF312" s="28">
        <f t="shared" si="41"/>
        <v>0</v>
      </c>
      <c r="AG312" s="28">
        <f t="shared" si="36"/>
        <v>0</v>
      </c>
    </row>
    <row r="313" spans="1:33" ht="57.6" x14ac:dyDescent="0.3">
      <c r="A313" s="2" t="s">
        <v>836</v>
      </c>
      <c r="B313" s="4" t="s">
        <v>837</v>
      </c>
      <c r="C313" s="3" t="s">
        <v>948</v>
      </c>
      <c r="D313" s="6" t="s">
        <v>955</v>
      </c>
      <c r="E313" s="6" t="s">
        <v>958</v>
      </c>
      <c r="F313" s="6" t="s">
        <v>709</v>
      </c>
      <c r="G313" s="25">
        <v>35000</v>
      </c>
      <c r="H313" s="38"/>
      <c r="I313" s="38"/>
      <c r="J313" s="39">
        <f t="shared" si="35"/>
        <v>0</v>
      </c>
      <c r="K313" s="38">
        <v>0</v>
      </c>
      <c r="L313" s="38">
        <v>0</v>
      </c>
      <c r="M313" s="39">
        <f t="shared" si="37"/>
        <v>0</v>
      </c>
      <c r="N313" s="38">
        <v>100</v>
      </c>
      <c r="O313" s="38">
        <v>1</v>
      </c>
      <c r="P313" s="39">
        <f t="shared" si="44"/>
        <v>4235000</v>
      </c>
      <c r="Q313" s="38">
        <v>0</v>
      </c>
      <c r="R313" s="38">
        <v>0</v>
      </c>
      <c r="S313" s="39">
        <f t="shared" si="38"/>
        <v>0</v>
      </c>
      <c r="T313" s="38">
        <v>0</v>
      </c>
      <c r="U313" s="38">
        <v>0</v>
      </c>
      <c r="V313" s="28">
        <f t="shared" si="42"/>
        <v>0</v>
      </c>
      <c r="Y313">
        <f t="shared" si="39"/>
        <v>0</v>
      </c>
      <c r="AB313">
        <f t="shared" si="43"/>
        <v>0</v>
      </c>
      <c r="AE313">
        <f t="shared" si="40"/>
        <v>0</v>
      </c>
      <c r="AF313" s="28">
        <f t="shared" si="41"/>
        <v>4235000</v>
      </c>
      <c r="AG313" s="28">
        <f t="shared" si="36"/>
        <v>4119.6498054474705</v>
      </c>
    </row>
    <row r="314" spans="1:33" ht="57.6" x14ac:dyDescent="0.3">
      <c r="A314" s="2" t="s">
        <v>836</v>
      </c>
      <c r="B314" s="4" t="s">
        <v>837</v>
      </c>
      <c r="C314" s="3" t="s">
        <v>948</v>
      </c>
      <c r="D314" s="6" t="s">
        <v>955</v>
      </c>
      <c r="E314" s="6" t="s">
        <v>958</v>
      </c>
      <c r="F314" s="6" t="s">
        <v>716</v>
      </c>
      <c r="G314" s="25">
        <v>39000</v>
      </c>
      <c r="H314" s="38"/>
      <c r="I314" s="38"/>
      <c r="J314" s="39">
        <f t="shared" si="35"/>
        <v>0</v>
      </c>
      <c r="K314" s="38">
        <v>0</v>
      </c>
      <c r="L314" s="38">
        <v>0</v>
      </c>
      <c r="M314" s="39">
        <f t="shared" si="37"/>
        <v>0</v>
      </c>
      <c r="N314" s="38">
        <v>58</v>
      </c>
      <c r="O314" s="38">
        <v>2</v>
      </c>
      <c r="P314" s="39">
        <f t="shared" si="44"/>
        <v>5474040</v>
      </c>
      <c r="Q314" s="38">
        <v>0</v>
      </c>
      <c r="R314" s="38">
        <v>0</v>
      </c>
      <c r="S314" s="39">
        <f t="shared" si="38"/>
        <v>0</v>
      </c>
      <c r="T314" s="38">
        <v>0</v>
      </c>
      <c r="U314" s="38">
        <v>0</v>
      </c>
      <c r="V314" s="28">
        <f t="shared" si="42"/>
        <v>0</v>
      </c>
      <c r="Y314">
        <f t="shared" si="39"/>
        <v>0</v>
      </c>
      <c r="AB314">
        <f t="shared" si="43"/>
        <v>0</v>
      </c>
      <c r="AE314">
        <f t="shared" si="40"/>
        <v>0</v>
      </c>
      <c r="AF314" s="28">
        <f t="shared" si="41"/>
        <v>5474040</v>
      </c>
      <c r="AG314" s="28">
        <f t="shared" si="36"/>
        <v>5324.9416342412451</v>
      </c>
    </row>
    <row r="315" spans="1:33" ht="57.6" x14ac:dyDescent="0.3">
      <c r="A315" s="2" t="s">
        <v>836</v>
      </c>
      <c r="B315" s="4" t="s">
        <v>837</v>
      </c>
      <c r="C315" s="3" t="s">
        <v>948</v>
      </c>
      <c r="D315" s="6" t="s">
        <v>955</v>
      </c>
      <c r="E315" s="6" t="s">
        <v>958</v>
      </c>
      <c r="F315" s="6" t="s">
        <v>712</v>
      </c>
      <c r="G315" s="25">
        <f>1999/7</f>
        <v>285.57142857142856</v>
      </c>
      <c r="H315" s="38"/>
      <c r="I315" s="38"/>
      <c r="J315" s="39">
        <f t="shared" si="35"/>
        <v>0</v>
      </c>
      <c r="K315" s="38">
        <v>0</v>
      </c>
      <c r="L315" s="38">
        <v>0</v>
      </c>
      <c r="M315" s="39">
        <f t="shared" si="37"/>
        <v>0</v>
      </c>
      <c r="N315" s="38">
        <f>25*2*29</f>
        <v>1450</v>
      </c>
      <c r="O315" s="38">
        <v>1</v>
      </c>
      <c r="P315" s="39">
        <f t="shared" si="44"/>
        <v>501035.07142857136</v>
      </c>
      <c r="Q315" s="38">
        <v>0</v>
      </c>
      <c r="R315" s="38">
        <v>0</v>
      </c>
      <c r="S315" s="39">
        <f t="shared" si="38"/>
        <v>0</v>
      </c>
      <c r="T315" s="38">
        <v>0</v>
      </c>
      <c r="U315" s="38">
        <v>0</v>
      </c>
      <c r="V315" s="28">
        <f t="shared" si="42"/>
        <v>0</v>
      </c>
      <c r="Y315">
        <f t="shared" si="39"/>
        <v>0</v>
      </c>
      <c r="AB315">
        <f t="shared" si="43"/>
        <v>0</v>
      </c>
      <c r="AE315">
        <f t="shared" si="40"/>
        <v>0</v>
      </c>
      <c r="AF315" s="28">
        <f t="shared" si="41"/>
        <v>501035.07142857136</v>
      </c>
      <c r="AG315" s="28">
        <f t="shared" si="36"/>
        <v>487.3882017787659</v>
      </c>
    </row>
    <row r="316" spans="1:33" ht="57.6" x14ac:dyDescent="0.3">
      <c r="A316" s="2" t="s">
        <v>836</v>
      </c>
      <c r="B316" s="4" t="s">
        <v>837</v>
      </c>
      <c r="C316" s="3" t="s">
        <v>948</v>
      </c>
      <c r="D316" s="6" t="s">
        <v>955</v>
      </c>
      <c r="E316" s="6" t="s">
        <v>958</v>
      </c>
      <c r="F316" s="6" t="s">
        <v>1297</v>
      </c>
      <c r="G316" s="25">
        <v>8000</v>
      </c>
      <c r="H316" s="38"/>
      <c r="I316" s="38"/>
      <c r="J316" s="39">
        <f t="shared" si="35"/>
        <v>0</v>
      </c>
      <c r="K316" s="38">
        <v>0</v>
      </c>
      <c r="L316" s="38">
        <v>0</v>
      </c>
      <c r="M316" s="39">
        <f t="shared" si="37"/>
        <v>0</v>
      </c>
      <c r="N316" s="38">
        <v>10</v>
      </c>
      <c r="O316" s="38">
        <v>1</v>
      </c>
      <c r="P316" s="39">
        <f t="shared" si="44"/>
        <v>96800</v>
      </c>
      <c r="Q316" s="38">
        <v>0</v>
      </c>
      <c r="R316" s="38">
        <v>0</v>
      </c>
      <c r="S316" s="39">
        <f t="shared" si="38"/>
        <v>0</v>
      </c>
      <c r="T316" s="38">
        <v>0</v>
      </c>
      <c r="U316" s="38">
        <v>0</v>
      </c>
      <c r="V316" s="28">
        <f t="shared" si="42"/>
        <v>0</v>
      </c>
      <c r="Y316">
        <f t="shared" si="39"/>
        <v>0</v>
      </c>
      <c r="AB316">
        <f t="shared" si="43"/>
        <v>0</v>
      </c>
      <c r="AE316">
        <f t="shared" si="40"/>
        <v>0</v>
      </c>
      <c r="AF316" s="28">
        <f t="shared" si="41"/>
        <v>96800</v>
      </c>
      <c r="AG316" s="28">
        <f t="shared" si="36"/>
        <v>94.163424124513625</v>
      </c>
    </row>
    <row r="317" spans="1:33" ht="57.6" x14ac:dyDescent="0.3">
      <c r="A317" s="2" t="s">
        <v>836</v>
      </c>
      <c r="B317" s="4" t="s">
        <v>837</v>
      </c>
      <c r="C317" s="3" t="s">
        <v>948</v>
      </c>
      <c r="D317" s="6" t="s">
        <v>955</v>
      </c>
      <c r="E317" s="6" t="s">
        <v>958</v>
      </c>
      <c r="F317" s="6" t="s">
        <v>1299</v>
      </c>
      <c r="G317" s="28">
        <f>1999/7</f>
        <v>285.57142857142856</v>
      </c>
      <c r="H317" s="25"/>
      <c r="I317" s="38"/>
      <c r="J317" s="39">
        <f t="shared" si="35"/>
        <v>0</v>
      </c>
      <c r="K317" s="38"/>
      <c r="L317" s="38"/>
      <c r="M317" s="39"/>
      <c r="N317" s="25">
        <f>2*135*29</f>
        <v>7830</v>
      </c>
      <c r="O317" s="38">
        <v>1</v>
      </c>
      <c r="P317" s="39"/>
      <c r="Q317" s="38"/>
      <c r="R317" s="38"/>
      <c r="S317" s="39"/>
      <c r="T317" s="38"/>
      <c r="U317" s="38"/>
      <c r="V317" s="28"/>
      <c r="Y317">
        <f>(H317*1.1^5)*W317*X317</f>
        <v>0</v>
      </c>
      <c r="AB317">
        <f>(H317*1.1^6)*Z317*AA317</f>
        <v>0</v>
      </c>
      <c r="AE317">
        <f>(H317*1.1^7)*AC317*AD317</f>
        <v>0</v>
      </c>
      <c r="AF317" s="28"/>
      <c r="AG317" s="28"/>
    </row>
    <row r="318" spans="1:33" ht="57.6" x14ac:dyDescent="0.3">
      <c r="A318" s="2" t="s">
        <v>836</v>
      </c>
      <c r="B318" s="4" t="s">
        <v>837</v>
      </c>
      <c r="C318" s="3" t="s">
        <v>948</v>
      </c>
      <c r="D318" s="6" t="s">
        <v>955</v>
      </c>
      <c r="E318" s="6" t="s">
        <v>958</v>
      </c>
      <c r="F318" s="6" t="s">
        <v>710</v>
      </c>
      <c r="G318" s="25">
        <v>104850</v>
      </c>
      <c r="H318" s="38"/>
      <c r="I318" s="38"/>
      <c r="J318" s="39">
        <f t="shared" si="35"/>
        <v>0</v>
      </c>
      <c r="K318" s="38">
        <v>0</v>
      </c>
      <c r="L318" s="38">
        <v>0</v>
      </c>
      <c r="M318" s="39">
        <f t="shared" si="37"/>
        <v>0</v>
      </c>
      <c r="N318" s="38">
        <v>1</v>
      </c>
      <c r="O318" s="38">
        <v>1</v>
      </c>
      <c r="P318" s="39">
        <f t="shared" si="44"/>
        <v>126868.5</v>
      </c>
      <c r="Q318" s="38">
        <v>0</v>
      </c>
      <c r="R318" s="38">
        <v>0</v>
      </c>
      <c r="S318" s="39">
        <f t="shared" si="38"/>
        <v>0</v>
      </c>
      <c r="T318" s="38">
        <v>0</v>
      </c>
      <c r="U318" s="38">
        <v>0</v>
      </c>
      <c r="V318" s="28">
        <f t="shared" si="42"/>
        <v>0</v>
      </c>
      <c r="Y318">
        <f t="shared" si="39"/>
        <v>0</v>
      </c>
      <c r="AB318">
        <f t="shared" si="43"/>
        <v>0</v>
      </c>
      <c r="AE318">
        <f t="shared" si="40"/>
        <v>0</v>
      </c>
      <c r="AF318" s="28">
        <f t="shared" si="41"/>
        <v>126868.5</v>
      </c>
      <c r="AG318" s="28">
        <f t="shared" si="36"/>
        <v>123.41293774319067</v>
      </c>
    </row>
    <row r="319" spans="1:33" ht="57.6" x14ac:dyDescent="0.3">
      <c r="A319" s="2" t="s">
        <v>836</v>
      </c>
      <c r="B319" s="4" t="s">
        <v>837</v>
      </c>
      <c r="C319" s="3" t="s">
        <v>948</v>
      </c>
      <c r="D319" s="6" t="s">
        <v>959</v>
      </c>
      <c r="E319" s="6" t="s">
        <v>960</v>
      </c>
      <c r="F319" s="6" t="s">
        <v>841</v>
      </c>
      <c r="G319" s="25">
        <v>0</v>
      </c>
      <c r="H319" s="38"/>
      <c r="I319" s="38"/>
      <c r="J319" s="39">
        <f t="shared" si="35"/>
        <v>0</v>
      </c>
      <c r="K319" s="38">
        <v>0</v>
      </c>
      <c r="L319" s="38">
        <v>0</v>
      </c>
      <c r="M319" s="39">
        <f t="shared" si="37"/>
        <v>0</v>
      </c>
      <c r="N319" s="38">
        <v>0</v>
      </c>
      <c r="O319" s="38">
        <v>0</v>
      </c>
      <c r="P319" s="39">
        <f t="shared" si="44"/>
        <v>0</v>
      </c>
      <c r="Q319" s="38">
        <v>0</v>
      </c>
      <c r="R319" s="38">
        <v>0</v>
      </c>
      <c r="S319" s="39">
        <f t="shared" si="38"/>
        <v>0</v>
      </c>
      <c r="T319" s="38">
        <v>0</v>
      </c>
      <c r="U319" s="38">
        <v>0</v>
      </c>
      <c r="V319" s="28">
        <f t="shared" si="42"/>
        <v>0</v>
      </c>
      <c r="Y319">
        <f t="shared" si="39"/>
        <v>0</v>
      </c>
      <c r="AB319">
        <f t="shared" si="43"/>
        <v>0</v>
      </c>
      <c r="AE319">
        <f t="shared" si="40"/>
        <v>0</v>
      </c>
      <c r="AF319" s="28">
        <f t="shared" si="41"/>
        <v>0</v>
      </c>
      <c r="AG319" s="28">
        <f t="shared" si="36"/>
        <v>0</v>
      </c>
    </row>
    <row r="320" spans="1:33" ht="57.6" x14ac:dyDescent="0.3">
      <c r="A320" s="2" t="s">
        <v>836</v>
      </c>
      <c r="B320" s="4" t="s">
        <v>837</v>
      </c>
      <c r="C320" s="3" t="s">
        <v>948</v>
      </c>
      <c r="D320" s="6" t="s">
        <v>959</v>
      </c>
      <c r="E320" s="6" t="s">
        <v>165</v>
      </c>
      <c r="F320" s="6" t="s">
        <v>708</v>
      </c>
      <c r="G320" s="25">
        <f>500*1030</f>
        <v>515000</v>
      </c>
      <c r="H320" s="38"/>
      <c r="I320" s="38"/>
      <c r="J320" s="39">
        <f t="shared" si="35"/>
        <v>0</v>
      </c>
      <c r="K320" s="38">
        <v>0</v>
      </c>
      <c r="L320" s="38">
        <v>0</v>
      </c>
      <c r="M320" s="39">
        <f t="shared" si="37"/>
        <v>0</v>
      </c>
      <c r="N320" s="38"/>
      <c r="O320" s="38"/>
      <c r="P320" s="39">
        <f t="shared" si="44"/>
        <v>0</v>
      </c>
      <c r="Q320" s="38">
        <v>1</v>
      </c>
      <c r="R320" s="38">
        <v>25</v>
      </c>
      <c r="S320" s="39">
        <f t="shared" si="38"/>
        <v>17136625.000000007</v>
      </c>
      <c r="T320" s="38">
        <v>0</v>
      </c>
      <c r="U320" s="38">
        <v>0</v>
      </c>
      <c r="V320" s="28">
        <f t="shared" si="42"/>
        <v>0</v>
      </c>
      <c r="W320" s="38">
        <v>1</v>
      </c>
      <c r="X320" s="38">
        <v>25</v>
      </c>
      <c r="Y320">
        <f t="shared" si="39"/>
        <v>20735316.250000007</v>
      </c>
      <c r="AB320">
        <f t="shared" si="43"/>
        <v>0</v>
      </c>
      <c r="AC320" s="38">
        <v>1</v>
      </c>
      <c r="AD320" s="38">
        <v>25</v>
      </c>
      <c r="AE320">
        <f t="shared" si="40"/>
        <v>25089732.662500016</v>
      </c>
      <c r="AF320" s="28">
        <f t="shared" si="41"/>
        <v>62961673.912500031</v>
      </c>
      <c r="AG320" s="28">
        <f t="shared" si="36"/>
        <v>61246.764506322987</v>
      </c>
    </row>
    <row r="321" spans="1:33" ht="57.6" x14ac:dyDescent="0.3">
      <c r="A321" s="2" t="s">
        <v>836</v>
      </c>
      <c r="B321" s="4" t="s">
        <v>837</v>
      </c>
      <c r="C321" s="3" t="s">
        <v>948</v>
      </c>
      <c r="D321" s="6" t="s">
        <v>959</v>
      </c>
      <c r="E321" s="6" t="s">
        <v>165</v>
      </c>
      <c r="F321" s="6" t="s">
        <v>707</v>
      </c>
      <c r="G321" s="25">
        <v>391991.03749999998</v>
      </c>
      <c r="H321" s="38"/>
      <c r="I321" s="38"/>
      <c r="J321" s="39">
        <f t="shared" si="35"/>
        <v>0</v>
      </c>
      <c r="K321" s="38">
        <v>0</v>
      </c>
      <c r="L321" s="38">
        <v>0</v>
      </c>
      <c r="M321" s="39">
        <f t="shared" si="37"/>
        <v>0</v>
      </c>
      <c r="N321" s="38"/>
      <c r="O321" s="38"/>
      <c r="P321" s="39">
        <f t="shared" si="44"/>
        <v>0</v>
      </c>
      <c r="Q321" s="38">
        <v>2</v>
      </c>
      <c r="R321" s="38">
        <v>2</v>
      </c>
      <c r="S321" s="39">
        <f t="shared" si="38"/>
        <v>2086960.2836500006</v>
      </c>
      <c r="T321" s="38">
        <v>0</v>
      </c>
      <c r="U321" s="38">
        <v>0</v>
      </c>
      <c r="V321" s="28">
        <f t="shared" si="42"/>
        <v>0</v>
      </c>
      <c r="W321" s="38">
        <v>2</v>
      </c>
      <c r="X321" s="38">
        <v>2</v>
      </c>
      <c r="Y321">
        <f t="shared" si="39"/>
        <v>2525221.9432165008</v>
      </c>
      <c r="AB321">
        <f t="shared" si="43"/>
        <v>0</v>
      </c>
      <c r="AC321" s="38">
        <v>2</v>
      </c>
      <c r="AD321" s="38">
        <v>2</v>
      </c>
      <c r="AE321">
        <f t="shared" si="40"/>
        <v>3055518.5512919668</v>
      </c>
      <c r="AF321" s="28">
        <f t="shared" si="41"/>
        <v>7667700.7781584682</v>
      </c>
      <c r="AG321" s="28">
        <f t="shared" si="36"/>
        <v>7458.8528970413117</v>
      </c>
    </row>
    <row r="322" spans="1:33" ht="57.6" x14ac:dyDescent="0.3">
      <c r="A322" s="2" t="s">
        <v>836</v>
      </c>
      <c r="B322" s="4" t="s">
        <v>837</v>
      </c>
      <c r="C322" s="3" t="s">
        <v>948</v>
      </c>
      <c r="D322" s="6" t="s">
        <v>959</v>
      </c>
      <c r="E322" s="6" t="s">
        <v>961</v>
      </c>
      <c r="F322" s="6" t="s">
        <v>716</v>
      </c>
      <c r="G322" s="25">
        <v>39000</v>
      </c>
      <c r="H322" s="38"/>
      <c r="I322" s="38"/>
      <c r="J322" s="39">
        <f t="shared" si="35"/>
        <v>0</v>
      </c>
      <c r="K322" s="38">
        <v>0</v>
      </c>
      <c r="L322" s="38">
        <v>0</v>
      </c>
      <c r="M322" s="39">
        <f t="shared" si="37"/>
        <v>0</v>
      </c>
      <c r="N322" s="38"/>
      <c r="O322" s="38"/>
      <c r="P322" s="39">
        <f t="shared" si="44"/>
        <v>0</v>
      </c>
      <c r="Q322" s="38">
        <v>58</v>
      </c>
      <c r="R322" s="38">
        <v>6</v>
      </c>
      <c r="S322" s="39">
        <f t="shared" si="38"/>
        <v>18064332.000000007</v>
      </c>
      <c r="T322" s="38">
        <v>0</v>
      </c>
      <c r="U322" s="38">
        <v>0</v>
      </c>
      <c r="V322" s="28">
        <f t="shared" si="42"/>
        <v>0</v>
      </c>
      <c r="W322" s="38">
        <v>58</v>
      </c>
      <c r="X322" s="38">
        <v>6</v>
      </c>
      <c r="Y322">
        <f t="shared" si="39"/>
        <v>21857841.720000006</v>
      </c>
      <c r="AB322">
        <f t="shared" si="43"/>
        <v>0</v>
      </c>
      <c r="AC322" s="38">
        <v>58</v>
      </c>
      <c r="AD322" s="38">
        <v>6</v>
      </c>
      <c r="AE322">
        <f t="shared" si="40"/>
        <v>26447988.481200017</v>
      </c>
      <c r="AF322" s="28">
        <f t="shared" si="41"/>
        <v>66370162.201200031</v>
      </c>
      <c r="AG322" s="28">
        <f t="shared" si="36"/>
        <v>64562.414592607034</v>
      </c>
    </row>
    <row r="323" spans="1:33" ht="57.6" x14ac:dyDescent="0.3">
      <c r="A323" s="2" t="s">
        <v>836</v>
      </c>
      <c r="B323" s="4" t="s">
        <v>837</v>
      </c>
      <c r="C323" s="3" t="s">
        <v>948</v>
      </c>
      <c r="D323" s="6" t="s">
        <v>959</v>
      </c>
      <c r="E323" s="6" t="s">
        <v>961</v>
      </c>
      <c r="F323" s="6" t="s">
        <v>709</v>
      </c>
      <c r="G323" s="25">
        <v>35000</v>
      </c>
      <c r="H323" s="38"/>
      <c r="I323" s="38"/>
      <c r="J323" s="39">
        <f t="shared" ref="J323:J386" si="45">G323*H323*I323</f>
        <v>0</v>
      </c>
      <c r="K323" s="38">
        <v>0</v>
      </c>
      <c r="L323" s="38">
        <v>0</v>
      </c>
      <c r="M323" s="39">
        <f t="shared" si="37"/>
        <v>0</v>
      </c>
      <c r="N323" s="38"/>
      <c r="O323" s="38"/>
      <c r="P323" s="39">
        <f t="shared" si="44"/>
        <v>0</v>
      </c>
      <c r="Q323" s="38">
        <v>100</v>
      </c>
      <c r="R323" s="38">
        <v>5</v>
      </c>
      <c r="S323" s="39">
        <f t="shared" si="38"/>
        <v>23292500.000000007</v>
      </c>
      <c r="T323" s="38">
        <v>0</v>
      </c>
      <c r="U323" s="38">
        <v>0</v>
      </c>
      <c r="V323" s="28">
        <f t="shared" si="42"/>
        <v>0</v>
      </c>
      <c r="W323" s="38">
        <v>100</v>
      </c>
      <c r="X323" s="38">
        <v>5</v>
      </c>
      <c r="Y323">
        <f t="shared" si="39"/>
        <v>28183925.000000007</v>
      </c>
      <c r="AB323">
        <f t="shared" si="43"/>
        <v>0</v>
      </c>
      <c r="AC323" s="38">
        <v>100</v>
      </c>
      <c r="AD323" s="38">
        <v>5</v>
      </c>
      <c r="AE323">
        <f t="shared" si="40"/>
        <v>34102549.250000015</v>
      </c>
      <c r="AF323" s="28">
        <f t="shared" si="41"/>
        <v>85578974.25000003</v>
      </c>
      <c r="AG323" s="28">
        <f t="shared" si="36"/>
        <v>83248.029426070061</v>
      </c>
    </row>
    <row r="324" spans="1:33" ht="57.6" x14ac:dyDescent="0.3">
      <c r="A324" s="2" t="s">
        <v>836</v>
      </c>
      <c r="B324" s="4" t="s">
        <v>837</v>
      </c>
      <c r="C324" s="3" t="s">
        <v>948</v>
      </c>
      <c r="D324" s="6" t="s">
        <v>959</v>
      </c>
      <c r="E324" s="6" t="s">
        <v>961</v>
      </c>
      <c r="F324" s="6" t="s">
        <v>1350</v>
      </c>
      <c r="G324" s="25">
        <f>1999/7</f>
        <v>285.57142857142856</v>
      </c>
      <c r="H324" s="38"/>
      <c r="I324" s="38"/>
      <c r="J324" s="39">
        <f t="shared" si="45"/>
        <v>0</v>
      </c>
      <c r="K324" s="38"/>
      <c r="L324" s="38"/>
      <c r="M324" s="39"/>
      <c r="N324" s="38"/>
      <c r="O324" s="38"/>
      <c r="P324" s="39"/>
      <c r="Q324" s="38">
        <f>2*135*29</f>
        <v>7830</v>
      </c>
      <c r="R324" s="38">
        <v>1</v>
      </c>
      <c r="S324" s="39"/>
      <c r="T324" s="38"/>
      <c r="U324" s="38"/>
      <c r="V324" s="28"/>
      <c r="W324" s="38">
        <f>2*135*29</f>
        <v>7830</v>
      </c>
      <c r="X324" s="38">
        <v>1</v>
      </c>
      <c r="AC324" s="38">
        <f>2*135*29</f>
        <v>7830</v>
      </c>
      <c r="AD324" s="38">
        <v>1</v>
      </c>
      <c r="AF324" s="28"/>
      <c r="AG324" s="28"/>
    </row>
    <row r="325" spans="1:33" ht="57.6" x14ac:dyDescent="0.3">
      <c r="A325" s="2" t="s">
        <v>836</v>
      </c>
      <c r="B325" s="4" t="s">
        <v>837</v>
      </c>
      <c r="C325" s="3" t="s">
        <v>948</v>
      </c>
      <c r="D325" s="6" t="s">
        <v>959</v>
      </c>
      <c r="E325" s="6" t="s">
        <v>961</v>
      </c>
      <c r="F325" s="6" t="s">
        <v>712</v>
      </c>
      <c r="G325" s="25">
        <f>1999/7</f>
        <v>285.57142857142856</v>
      </c>
      <c r="H325" s="38"/>
      <c r="I325" s="38"/>
      <c r="J325" s="39">
        <f t="shared" si="45"/>
        <v>0</v>
      </c>
      <c r="K325" s="38">
        <v>0</v>
      </c>
      <c r="L325" s="38">
        <v>0</v>
      </c>
      <c r="M325" s="39">
        <f t="shared" si="37"/>
        <v>0</v>
      </c>
      <c r="N325" s="38"/>
      <c r="O325" s="38"/>
      <c r="P325" s="39">
        <f t="shared" si="44"/>
        <v>0</v>
      </c>
      <c r="Q325" s="38">
        <f>25*2*29</f>
        <v>1450</v>
      </c>
      <c r="R325" s="38">
        <v>5</v>
      </c>
      <c r="S325" s="39">
        <f t="shared" si="38"/>
        <v>2755692.8928571437</v>
      </c>
      <c r="T325" s="38">
        <v>0</v>
      </c>
      <c r="U325" s="38">
        <v>0</v>
      </c>
      <c r="V325" s="28">
        <f t="shared" si="42"/>
        <v>0</v>
      </c>
      <c r="W325" s="38">
        <f>25*2*29</f>
        <v>1450</v>
      </c>
      <c r="X325" s="38">
        <v>5</v>
      </c>
      <c r="Y325">
        <f t="shared" si="39"/>
        <v>3334388.400357144</v>
      </c>
      <c r="AB325">
        <f t="shared" si="43"/>
        <v>0</v>
      </c>
      <c r="AC325" s="38">
        <f>25*2*29</f>
        <v>1450</v>
      </c>
      <c r="AD325" s="38">
        <v>5</v>
      </c>
      <c r="AE325">
        <f t="shared" si="40"/>
        <v>4034609.9644321455</v>
      </c>
      <c r="AF325" s="28">
        <f t="shared" si="41"/>
        <v>10124691.257646434</v>
      </c>
      <c r="AG325" s="28">
        <f t="shared" si="36"/>
        <v>9848.9214568545085</v>
      </c>
    </row>
    <row r="326" spans="1:33" x14ac:dyDescent="0.3">
      <c r="A326" s="2"/>
      <c r="B326" s="4"/>
      <c r="C326" s="3"/>
      <c r="D326" s="6"/>
      <c r="E326" s="6"/>
      <c r="F326" s="6"/>
      <c r="G326" s="25"/>
      <c r="H326" s="38"/>
      <c r="I326" s="38"/>
      <c r="J326" s="39">
        <f t="shared" si="45"/>
        <v>0</v>
      </c>
      <c r="K326" s="38"/>
      <c r="L326" s="38"/>
      <c r="M326" s="39"/>
      <c r="N326" s="38"/>
      <c r="O326" s="38"/>
      <c r="P326" s="39"/>
      <c r="Q326" s="38"/>
      <c r="R326" s="38"/>
      <c r="S326" s="39"/>
      <c r="T326" s="38"/>
      <c r="U326" s="38"/>
      <c r="V326" s="28"/>
      <c r="W326" s="38"/>
      <c r="X326" s="38"/>
      <c r="AC326" s="38"/>
      <c r="AD326" s="38"/>
      <c r="AF326" s="28"/>
      <c r="AG326" s="28"/>
    </row>
    <row r="327" spans="1:33" ht="57.6" x14ac:dyDescent="0.3">
      <c r="A327" s="2" t="s">
        <v>836</v>
      </c>
      <c r="B327" s="4" t="s">
        <v>837</v>
      </c>
      <c r="C327" s="3" t="s">
        <v>948</v>
      </c>
      <c r="D327" s="6" t="s">
        <v>959</v>
      </c>
      <c r="E327" s="6" t="s">
        <v>962</v>
      </c>
      <c r="F327" s="6" t="s">
        <v>841</v>
      </c>
      <c r="G327" s="25">
        <v>0</v>
      </c>
      <c r="H327" s="38"/>
      <c r="I327" s="38"/>
      <c r="J327" s="39">
        <f t="shared" si="45"/>
        <v>0</v>
      </c>
      <c r="K327" s="38">
        <v>0</v>
      </c>
      <c r="L327" s="38">
        <v>0</v>
      </c>
      <c r="M327" s="39">
        <f t="shared" si="37"/>
        <v>0</v>
      </c>
      <c r="N327" s="38"/>
      <c r="O327" s="38"/>
      <c r="P327" s="39">
        <f t="shared" si="44"/>
        <v>0</v>
      </c>
      <c r="Q327" s="38">
        <v>0</v>
      </c>
      <c r="R327" s="38">
        <v>0</v>
      </c>
      <c r="S327" s="39">
        <f t="shared" si="38"/>
        <v>0</v>
      </c>
      <c r="T327" s="38">
        <v>0</v>
      </c>
      <c r="U327" s="38">
        <v>0</v>
      </c>
      <c r="V327" s="28">
        <f t="shared" si="42"/>
        <v>0</v>
      </c>
      <c r="W327" s="38">
        <v>0</v>
      </c>
      <c r="X327" s="38">
        <v>0</v>
      </c>
      <c r="Y327">
        <f t="shared" si="39"/>
        <v>0</v>
      </c>
      <c r="AB327">
        <f t="shared" si="43"/>
        <v>0</v>
      </c>
      <c r="AC327" s="38">
        <v>0</v>
      </c>
      <c r="AD327" s="38">
        <v>0</v>
      </c>
      <c r="AE327">
        <f t="shared" si="40"/>
        <v>0</v>
      </c>
      <c r="AF327" s="28">
        <f t="shared" si="41"/>
        <v>0</v>
      </c>
      <c r="AG327" s="28">
        <f t="shared" si="36"/>
        <v>0</v>
      </c>
    </row>
    <row r="328" spans="1:33" ht="57.6" x14ac:dyDescent="0.3">
      <c r="A328" s="2" t="s">
        <v>836</v>
      </c>
      <c r="B328" s="4" t="s">
        <v>837</v>
      </c>
      <c r="C328" s="3" t="s">
        <v>948</v>
      </c>
      <c r="D328" s="6" t="s">
        <v>959</v>
      </c>
      <c r="E328" s="6" t="s">
        <v>963</v>
      </c>
      <c r="F328" s="6" t="s">
        <v>841</v>
      </c>
      <c r="G328" s="25">
        <v>0</v>
      </c>
      <c r="H328" s="38"/>
      <c r="I328" s="38"/>
      <c r="J328" s="39">
        <f t="shared" si="45"/>
        <v>0</v>
      </c>
      <c r="K328" s="38">
        <v>0</v>
      </c>
      <c r="L328" s="38">
        <v>0</v>
      </c>
      <c r="M328" s="39">
        <f t="shared" si="37"/>
        <v>0</v>
      </c>
      <c r="N328" s="38"/>
      <c r="O328" s="38"/>
      <c r="P328" s="39">
        <f t="shared" si="44"/>
        <v>0</v>
      </c>
      <c r="Q328" s="38">
        <v>0</v>
      </c>
      <c r="R328" s="38">
        <v>0</v>
      </c>
      <c r="S328" s="39">
        <f t="shared" si="38"/>
        <v>0</v>
      </c>
      <c r="T328" s="38">
        <v>0</v>
      </c>
      <c r="U328" s="38">
        <v>0</v>
      </c>
      <c r="V328" s="28">
        <f t="shared" si="42"/>
        <v>0</v>
      </c>
      <c r="W328" s="38">
        <v>0</v>
      </c>
      <c r="X328" s="38">
        <v>0</v>
      </c>
      <c r="Y328">
        <f t="shared" si="39"/>
        <v>0</v>
      </c>
      <c r="AB328">
        <f t="shared" si="43"/>
        <v>0</v>
      </c>
      <c r="AC328" s="38">
        <v>0</v>
      </c>
      <c r="AD328" s="38">
        <v>0</v>
      </c>
      <c r="AE328">
        <f t="shared" si="40"/>
        <v>0</v>
      </c>
      <c r="AF328" s="28">
        <f t="shared" si="41"/>
        <v>0</v>
      </c>
      <c r="AG328" s="28">
        <f t="shared" si="36"/>
        <v>0</v>
      </c>
    </row>
    <row r="329" spans="1:33" x14ac:dyDescent="0.3">
      <c r="A329" s="55" t="s">
        <v>1296</v>
      </c>
      <c r="B329" s="56"/>
      <c r="C329" s="57"/>
      <c r="D329" s="58"/>
      <c r="E329" s="58"/>
      <c r="F329" s="58"/>
      <c r="G329" s="59"/>
      <c r="H329" s="60"/>
      <c r="I329" s="60"/>
      <c r="J329" s="61">
        <f t="shared" si="45"/>
        <v>0</v>
      </c>
      <c r="K329" s="60"/>
      <c r="L329" s="60"/>
      <c r="M329" s="61">
        <f>SUM(M312:M328)</f>
        <v>0</v>
      </c>
      <c r="N329" s="60"/>
      <c r="O329" s="60"/>
      <c r="P329" s="61">
        <f>SUM(P312:P328)</f>
        <v>10433743.571428571</v>
      </c>
      <c r="Q329" s="60"/>
      <c r="R329" s="60"/>
      <c r="S329" s="61">
        <f>SUM(S312:S328)</f>
        <v>63336110.17650716</v>
      </c>
      <c r="T329" s="60"/>
      <c r="U329" s="60"/>
      <c r="V329" s="61">
        <f>SUM(V312:V328)</f>
        <v>0</v>
      </c>
      <c r="W329" s="62"/>
      <c r="X329" s="62"/>
      <c r="Y329" s="61">
        <f>SUM(Y312:Y328)</f>
        <v>76636693.313573673</v>
      </c>
      <c r="Z329" s="62"/>
      <c r="AA329" s="62"/>
      <c r="AB329" s="61">
        <f>SUM(AB312:AB328)</f>
        <v>0</v>
      </c>
      <c r="AC329" s="62"/>
      <c r="AD329" s="62"/>
      <c r="AE329" s="61">
        <f>SUM(AE312:AE328)</f>
        <v>92730398.909424156</v>
      </c>
      <c r="AF329" s="20">
        <f>SUM(AF312:AF328)</f>
        <v>243136945.97093359</v>
      </c>
      <c r="AG329" s="20">
        <f>AF329/$AL$2</f>
        <v>236514.53888223111</v>
      </c>
    </row>
    <row r="330" spans="1:33" x14ac:dyDescent="0.3">
      <c r="A330" s="107"/>
      <c r="B330" s="108"/>
      <c r="C330" s="109"/>
      <c r="D330" s="110"/>
      <c r="E330" s="110"/>
      <c r="F330" s="110"/>
      <c r="G330" s="111"/>
      <c r="H330" s="112"/>
      <c r="I330" s="112"/>
      <c r="J330" s="51">
        <f t="shared" si="45"/>
        <v>0</v>
      </c>
      <c r="K330" s="112"/>
      <c r="L330" s="112"/>
      <c r="M330" s="51">
        <f>M329/$AL$2</f>
        <v>0</v>
      </c>
      <c r="N330" s="112"/>
      <c r="O330" s="112"/>
      <c r="P330" s="51">
        <f>P329/$AL$2</f>
        <v>10149.556003335185</v>
      </c>
      <c r="Q330" s="112"/>
      <c r="R330" s="112"/>
      <c r="S330" s="51">
        <f>S329/$AL$2</f>
        <v>61611.002117224867</v>
      </c>
      <c r="T330" s="112"/>
      <c r="U330" s="112"/>
      <c r="V330" s="51">
        <f>V329/$AL$2</f>
        <v>0</v>
      </c>
      <c r="W330" s="114"/>
      <c r="X330" s="114"/>
      <c r="Y330" s="51">
        <f>Y329/$AL$2</f>
        <v>74549.312561842089</v>
      </c>
      <c r="Z330" s="114"/>
      <c r="AA330" s="114"/>
      <c r="AB330" s="51">
        <f>AB329/$AL$2</f>
        <v>0</v>
      </c>
      <c r="AC330" s="114"/>
      <c r="AD330" s="114"/>
      <c r="AE330" s="51">
        <f>AE329/$AL$2</f>
        <v>90204.668199828942</v>
      </c>
      <c r="AF330" s="51">
        <f>AF329/$AL$2</f>
        <v>236514.53888223111</v>
      </c>
      <c r="AG330" s="113">
        <f t="shared" si="36"/>
        <v>230.07250864030263</v>
      </c>
    </row>
    <row r="331" spans="1:33" ht="57.6" x14ac:dyDescent="0.3">
      <c r="A331" s="2" t="s">
        <v>836</v>
      </c>
      <c r="B331" s="4" t="s">
        <v>837</v>
      </c>
      <c r="C331" s="3" t="s">
        <v>964</v>
      </c>
      <c r="D331" s="6" t="s">
        <v>965</v>
      </c>
      <c r="E331" s="6" t="s">
        <v>966</v>
      </c>
      <c r="F331" s="6" t="s">
        <v>841</v>
      </c>
      <c r="G331" s="25">
        <v>0</v>
      </c>
      <c r="H331" s="38"/>
      <c r="I331" s="38"/>
      <c r="J331" s="39">
        <f t="shared" si="45"/>
        <v>0</v>
      </c>
      <c r="K331" s="38">
        <v>0</v>
      </c>
      <c r="L331" s="38">
        <v>0</v>
      </c>
      <c r="M331" s="39">
        <f t="shared" si="37"/>
        <v>0</v>
      </c>
      <c r="N331" s="38">
        <v>0</v>
      </c>
      <c r="O331" s="38">
        <v>0</v>
      </c>
      <c r="P331" s="39">
        <f t="shared" si="44"/>
        <v>0</v>
      </c>
      <c r="Q331" s="38">
        <v>0</v>
      </c>
      <c r="R331" s="38">
        <v>0</v>
      </c>
      <c r="S331" s="39">
        <f t="shared" si="38"/>
        <v>0</v>
      </c>
      <c r="T331" s="38">
        <v>0</v>
      </c>
      <c r="U331" s="38">
        <v>0</v>
      </c>
      <c r="V331" s="28">
        <f t="shared" si="42"/>
        <v>0</v>
      </c>
      <c r="W331" s="38">
        <v>0</v>
      </c>
      <c r="X331" s="38">
        <v>0</v>
      </c>
      <c r="Y331">
        <f t="shared" si="39"/>
        <v>0</v>
      </c>
      <c r="AB331">
        <f t="shared" si="43"/>
        <v>0</v>
      </c>
      <c r="AE331">
        <f t="shared" si="40"/>
        <v>0</v>
      </c>
      <c r="AF331" s="28">
        <f t="shared" si="41"/>
        <v>0</v>
      </c>
      <c r="AG331" s="28">
        <f t="shared" si="36"/>
        <v>0</v>
      </c>
    </row>
    <row r="332" spans="1:33" ht="57.6" x14ac:dyDescent="0.3">
      <c r="A332" s="2" t="s">
        <v>836</v>
      </c>
      <c r="B332" s="4" t="s">
        <v>837</v>
      </c>
      <c r="C332" s="3" t="s">
        <v>964</v>
      </c>
      <c r="D332" s="6" t="s">
        <v>965</v>
      </c>
      <c r="E332" s="6" t="s">
        <v>967</v>
      </c>
      <c r="F332" s="6" t="s">
        <v>841</v>
      </c>
      <c r="G332" s="25">
        <v>0</v>
      </c>
      <c r="H332" s="38"/>
      <c r="I332" s="38"/>
      <c r="J332" s="39">
        <f t="shared" si="45"/>
        <v>0</v>
      </c>
      <c r="K332" s="38">
        <v>0</v>
      </c>
      <c r="L332" s="38">
        <v>0</v>
      </c>
      <c r="M332" s="39">
        <f t="shared" si="37"/>
        <v>0</v>
      </c>
      <c r="N332" s="38">
        <v>0</v>
      </c>
      <c r="O332" s="38">
        <v>0</v>
      </c>
      <c r="P332" s="39">
        <f t="shared" si="44"/>
        <v>0</v>
      </c>
      <c r="Q332" s="38">
        <v>0</v>
      </c>
      <c r="R332" s="38">
        <v>0</v>
      </c>
      <c r="S332" s="39">
        <f t="shared" si="38"/>
        <v>0</v>
      </c>
      <c r="T332" s="38">
        <v>0</v>
      </c>
      <c r="U332" s="38">
        <v>0</v>
      </c>
      <c r="V332" s="28">
        <f t="shared" si="42"/>
        <v>0</v>
      </c>
      <c r="W332" s="38">
        <v>0</v>
      </c>
      <c r="X332" s="38">
        <v>0</v>
      </c>
      <c r="Y332">
        <f t="shared" si="39"/>
        <v>0</v>
      </c>
      <c r="AB332">
        <f t="shared" si="43"/>
        <v>0</v>
      </c>
      <c r="AE332">
        <f t="shared" si="40"/>
        <v>0</v>
      </c>
      <c r="AF332" s="28">
        <f t="shared" si="41"/>
        <v>0</v>
      </c>
      <c r="AG332" s="28">
        <f t="shared" si="36"/>
        <v>0</v>
      </c>
    </row>
    <row r="333" spans="1:33" ht="57.6" x14ac:dyDescent="0.3">
      <c r="A333" s="2" t="s">
        <v>836</v>
      </c>
      <c r="B333" s="4" t="s">
        <v>837</v>
      </c>
      <c r="C333" s="3" t="s">
        <v>964</v>
      </c>
      <c r="D333" s="6" t="s">
        <v>965</v>
      </c>
      <c r="E333" s="6" t="s">
        <v>968</v>
      </c>
      <c r="F333" s="6" t="s">
        <v>841</v>
      </c>
      <c r="G333" s="25">
        <v>0</v>
      </c>
      <c r="H333" s="38"/>
      <c r="I333" s="38"/>
      <c r="J333" s="39">
        <f t="shared" si="45"/>
        <v>0</v>
      </c>
      <c r="K333" s="38">
        <v>0</v>
      </c>
      <c r="L333" s="38">
        <v>0</v>
      </c>
      <c r="M333" s="39">
        <f t="shared" si="37"/>
        <v>0</v>
      </c>
      <c r="N333" s="38">
        <v>0</v>
      </c>
      <c r="O333" s="38">
        <v>0</v>
      </c>
      <c r="P333" s="39">
        <f t="shared" si="44"/>
        <v>0</v>
      </c>
      <c r="Q333" s="38">
        <v>0</v>
      </c>
      <c r="R333" s="38">
        <v>0</v>
      </c>
      <c r="S333" s="39">
        <f t="shared" si="38"/>
        <v>0</v>
      </c>
      <c r="T333" s="38">
        <v>0</v>
      </c>
      <c r="U333" s="38">
        <v>0</v>
      </c>
      <c r="V333" s="28">
        <f t="shared" si="42"/>
        <v>0</v>
      </c>
      <c r="W333" s="38">
        <v>0</v>
      </c>
      <c r="X333" s="38">
        <v>0</v>
      </c>
      <c r="Y333">
        <f t="shared" si="39"/>
        <v>0</v>
      </c>
      <c r="AB333">
        <f t="shared" si="43"/>
        <v>0</v>
      </c>
      <c r="AE333">
        <f t="shared" si="40"/>
        <v>0</v>
      </c>
      <c r="AF333" s="28">
        <f t="shared" si="41"/>
        <v>0</v>
      </c>
      <c r="AG333" s="28">
        <f t="shared" ref="AG333:AG425" si="46">AF333/$AL$2</f>
        <v>0</v>
      </c>
    </row>
    <row r="334" spans="1:33" ht="57.6" x14ac:dyDescent="0.3">
      <c r="A334" s="2" t="s">
        <v>836</v>
      </c>
      <c r="B334" s="4" t="s">
        <v>837</v>
      </c>
      <c r="C334" s="3" t="s">
        <v>964</v>
      </c>
      <c r="D334" s="6" t="s">
        <v>965</v>
      </c>
      <c r="E334" s="6" t="s">
        <v>969</v>
      </c>
      <c r="F334" s="6" t="s">
        <v>708</v>
      </c>
      <c r="G334" s="25">
        <f>500*1030</f>
        <v>515000</v>
      </c>
      <c r="H334" s="38"/>
      <c r="I334" s="38"/>
      <c r="J334" s="39">
        <f t="shared" si="45"/>
        <v>0</v>
      </c>
      <c r="K334" s="38">
        <v>0</v>
      </c>
      <c r="L334" s="38">
        <v>0</v>
      </c>
      <c r="M334" s="39">
        <f t="shared" ref="M334:M382" si="47">(G334*1.1)*K334*L334</f>
        <v>0</v>
      </c>
      <c r="N334" s="38">
        <v>1</v>
      </c>
      <c r="O334" s="38">
        <v>25</v>
      </c>
      <c r="P334" s="39">
        <f t="shared" si="44"/>
        <v>15578750</v>
      </c>
      <c r="Q334" s="38">
        <v>0</v>
      </c>
      <c r="R334" s="38">
        <v>0</v>
      </c>
      <c r="S334" s="39">
        <f t="shared" ref="S334:S375" si="48">(G334*1.1^3)*Q334*R334</f>
        <v>0</v>
      </c>
      <c r="T334" s="38">
        <v>0</v>
      </c>
      <c r="U334" s="38">
        <v>0</v>
      </c>
      <c r="V334" s="28">
        <f t="shared" si="42"/>
        <v>0</v>
      </c>
      <c r="W334" s="38">
        <v>1</v>
      </c>
      <c r="X334" s="38">
        <v>25</v>
      </c>
      <c r="Y334">
        <f t="shared" ref="Y334:Y375" si="49">(G334*1.1^5)*W334*X334</f>
        <v>20735316.250000007</v>
      </c>
      <c r="AB334">
        <f t="shared" si="43"/>
        <v>0</v>
      </c>
      <c r="AE334">
        <f t="shared" ref="AE334:AE375" si="50">(G334*1.1^7)*AC334*AD334</f>
        <v>0</v>
      </c>
      <c r="AF334" s="28">
        <f t="shared" ref="AF334:AF375" si="51">J334+M334+P334+S334+V334+Y334+AB334+AE334</f>
        <v>36314066.250000007</v>
      </c>
      <c r="AG334" s="28">
        <f t="shared" si="46"/>
        <v>35324.967169260708</v>
      </c>
    </row>
    <row r="335" spans="1:33" ht="57.6" x14ac:dyDescent="0.3">
      <c r="A335" s="2" t="s">
        <v>836</v>
      </c>
      <c r="B335" s="4" t="s">
        <v>837</v>
      </c>
      <c r="C335" s="3" t="s">
        <v>964</v>
      </c>
      <c r="D335" s="6" t="s">
        <v>965</v>
      </c>
      <c r="E335" s="6" t="s">
        <v>969</v>
      </c>
      <c r="F335" s="6" t="s">
        <v>707</v>
      </c>
      <c r="G335" s="25">
        <v>391991.03749999998</v>
      </c>
      <c r="H335" s="38"/>
      <c r="I335" s="38"/>
      <c r="J335" s="39">
        <f t="shared" si="45"/>
        <v>0</v>
      </c>
      <c r="K335" s="38">
        <v>1</v>
      </c>
      <c r="L335" s="38">
        <v>30</v>
      </c>
      <c r="M335" s="39">
        <f t="shared" si="47"/>
        <v>12935704.237499999</v>
      </c>
      <c r="N335" s="38">
        <v>2</v>
      </c>
      <c r="O335" s="38">
        <v>2</v>
      </c>
      <c r="P335" s="39">
        <f t="shared" si="44"/>
        <v>1897236.6214999999</v>
      </c>
      <c r="Q335" s="38">
        <v>0</v>
      </c>
      <c r="R335" s="38">
        <v>0</v>
      </c>
      <c r="S335" s="39">
        <f t="shared" si="48"/>
        <v>0</v>
      </c>
      <c r="T335" s="38">
        <v>0</v>
      </c>
      <c r="U335" s="38">
        <v>0</v>
      </c>
      <c r="V335" s="28">
        <f t="shared" si="42"/>
        <v>0</v>
      </c>
      <c r="W335" s="38">
        <v>2</v>
      </c>
      <c r="X335" s="38">
        <v>2</v>
      </c>
      <c r="Y335">
        <f t="shared" si="49"/>
        <v>2525221.9432165008</v>
      </c>
      <c r="AB335">
        <f t="shared" si="43"/>
        <v>0</v>
      </c>
      <c r="AE335">
        <f t="shared" si="50"/>
        <v>0</v>
      </c>
      <c r="AF335" s="28">
        <f t="shared" si="51"/>
        <v>17358162.8022165</v>
      </c>
      <c r="AG335" s="28">
        <f t="shared" si="46"/>
        <v>16885.372375696985</v>
      </c>
    </row>
    <row r="336" spans="1:33" ht="57.6" x14ac:dyDescent="0.3">
      <c r="A336" s="2" t="s">
        <v>836</v>
      </c>
      <c r="B336" s="4" t="s">
        <v>837</v>
      </c>
      <c r="C336" s="3" t="s">
        <v>964</v>
      </c>
      <c r="D336" s="6" t="s">
        <v>965</v>
      </c>
      <c r="E336" s="6" t="s">
        <v>970</v>
      </c>
      <c r="F336" s="6" t="s">
        <v>841</v>
      </c>
      <c r="G336" s="25">
        <v>0</v>
      </c>
      <c r="H336" s="38"/>
      <c r="I336" s="38"/>
      <c r="J336" s="39">
        <f t="shared" si="45"/>
        <v>0</v>
      </c>
      <c r="K336" s="38">
        <v>1</v>
      </c>
      <c r="L336" s="38">
        <v>4</v>
      </c>
      <c r="M336" s="39">
        <f t="shared" si="47"/>
        <v>0</v>
      </c>
      <c r="N336" s="38">
        <v>0</v>
      </c>
      <c r="O336" s="38">
        <v>0</v>
      </c>
      <c r="P336" s="39">
        <f t="shared" si="44"/>
        <v>0</v>
      </c>
      <c r="Q336" s="38">
        <v>0</v>
      </c>
      <c r="R336" s="38">
        <v>0</v>
      </c>
      <c r="S336" s="39">
        <f t="shared" si="48"/>
        <v>0</v>
      </c>
      <c r="T336" s="38">
        <v>0</v>
      </c>
      <c r="U336" s="38">
        <v>0</v>
      </c>
      <c r="V336" s="28">
        <f t="shared" si="42"/>
        <v>0</v>
      </c>
      <c r="W336" s="38">
        <v>0</v>
      </c>
      <c r="X336" s="38">
        <v>0</v>
      </c>
      <c r="Y336">
        <f t="shared" si="49"/>
        <v>0</v>
      </c>
      <c r="AB336">
        <f t="shared" si="43"/>
        <v>0</v>
      </c>
      <c r="AE336">
        <f t="shared" si="50"/>
        <v>0</v>
      </c>
      <c r="AF336" s="28">
        <f t="shared" si="51"/>
        <v>0</v>
      </c>
      <c r="AG336" s="28">
        <f t="shared" si="46"/>
        <v>0</v>
      </c>
    </row>
    <row r="337" spans="1:33" ht="57.6" x14ac:dyDescent="0.3">
      <c r="A337" s="2" t="s">
        <v>836</v>
      </c>
      <c r="B337" s="4" t="s">
        <v>837</v>
      </c>
      <c r="C337" s="3" t="s">
        <v>964</v>
      </c>
      <c r="D337" s="6" t="s">
        <v>965</v>
      </c>
      <c r="E337" s="6" t="s">
        <v>895</v>
      </c>
      <c r="F337" s="6" t="s">
        <v>841</v>
      </c>
      <c r="G337" s="25">
        <v>0</v>
      </c>
      <c r="H337" s="38"/>
      <c r="I337" s="38"/>
      <c r="J337" s="39">
        <f t="shared" si="45"/>
        <v>0</v>
      </c>
      <c r="K337" s="38">
        <v>10</v>
      </c>
      <c r="L337" s="38">
        <v>3</v>
      </c>
      <c r="M337" s="39">
        <f t="shared" si="47"/>
        <v>0</v>
      </c>
      <c r="N337" s="38">
        <v>0</v>
      </c>
      <c r="O337" s="38">
        <v>0</v>
      </c>
      <c r="P337" s="39">
        <f t="shared" si="44"/>
        <v>0</v>
      </c>
      <c r="Q337" s="38">
        <v>0</v>
      </c>
      <c r="R337" s="38">
        <v>0</v>
      </c>
      <c r="S337" s="39">
        <f t="shared" si="48"/>
        <v>0</v>
      </c>
      <c r="T337" s="38">
        <v>0</v>
      </c>
      <c r="U337" s="38">
        <v>0</v>
      </c>
      <c r="V337" s="28">
        <f t="shared" si="42"/>
        <v>0</v>
      </c>
      <c r="W337" s="38">
        <v>0</v>
      </c>
      <c r="X337" s="38">
        <v>0</v>
      </c>
      <c r="Y337">
        <f t="shared" si="49"/>
        <v>0</v>
      </c>
      <c r="AB337">
        <f t="shared" si="43"/>
        <v>0</v>
      </c>
      <c r="AE337">
        <f t="shared" si="50"/>
        <v>0</v>
      </c>
      <c r="AF337" s="28">
        <f t="shared" si="51"/>
        <v>0</v>
      </c>
      <c r="AG337" s="28">
        <f t="shared" si="46"/>
        <v>0</v>
      </c>
    </row>
    <row r="338" spans="1:33" ht="57.6" x14ac:dyDescent="0.3">
      <c r="A338" s="2" t="s">
        <v>836</v>
      </c>
      <c r="B338" s="4" t="s">
        <v>837</v>
      </c>
      <c r="C338" s="3" t="s">
        <v>964</v>
      </c>
      <c r="D338" s="6" t="s">
        <v>965</v>
      </c>
      <c r="E338" s="6" t="s">
        <v>971</v>
      </c>
      <c r="F338" s="6" t="s">
        <v>709</v>
      </c>
      <c r="G338" s="25">
        <v>35000</v>
      </c>
      <c r="H338" s="38"/>
      <c r="I338" s="38"/>
      <c r="J338" s="39">
        <f t="shared" si="45"/>
        <v>0</v>
      </c>
      <c r="K338" s="38">
        <v>3</v>
      </c>
      <c r="L338" s="38">
        <v>14</v>
      </c>
      <c r="M338" s="39">
        <f t="shared" si="47"/>
        <v>1617000</v>
      </c>
      <c r="N338" s="38">
        <v>25</v>
      </c>
      <c r="O338" s="38">
        <v>5</v>
      </c>
      <c r="P338" s="39">
        <f t="shared" si="44"/>
        <v>5293750</v>
      </c>
      <c r="Q338" s="38">
        <v>0</v>
      </c>
      <c r="R338" s="38">
        <v>0</v>
      </c>
      <c r="S338" s="39">
        <f t="shared" si="48"/>
        <v>0</v>
      </c>
      <c r="T338" s="38">
        <v>0</v>
      </c>
      <c r="U338" s="38">
        <v>0</v>
      </c>
      <c r="V338" s="28">
        <f t="shared" si="42"/>
        <v>0</v>
      </c>
      <c r="W338" s="38">
        <v>25</v>
      </c>
      <c r="X338" s="38">
        <v>5</v>
      </c>
      <c r="Y338">
        <f t="shared" si="49"/>
        <v>7045981.2500000019</v>
      </c>
      <c r="AB338">
        <f t="shared" si="43"/>
        <v>0</v>
      </c>
      <c r="AE338">
        <f t="shared" si="50"/>
        <v>0</v>
      </c>
      <c r="AF338" s="28">
        <f t="shared" si="51"/>
        <v>13956731.250000002</v>
      </c>
      <c r="AG338" s="28">
        <f t="shared" si="46"/>
        <v>13576.586819066149</v>
      </c>
    </row>
    <row r="339" spans="1:33" ht="57.6" x14ac:dyDescent="0.3">
      <c r="A339" s="2" t="s">
        <v>836</v>
      </c>
      <c r="B339" s="4" t="s">
        <v>837</v>
      </c>
      <c r="C339" s="3" t="s">
        <v>964</v>
      </c>
      <c r="D339" s="6" t="s">
        <v>965</v>
      </c>
      <c r="E339" s="6" t="s">
        <v>971</v>
      </c>
      <c r="F339" s="6" t="s">
        <v>1297</v>
      </c>
      <c r="G339" s="25">
        <v>8000</v>
      </c>
      <c r="H339" s="38"/>
      <c r="I339" s="38"/>
      <c r="J339" s="39">
        <f t="shared" si="45"/>
        <v>0</v>
      </c>
      <c r="K339" s="38">
        <v>25</v>
      </c>
      <c r="L339" s="38">
        <v>3</v>
      </c>
      <c r="M339" s="39">
        <f t="shared" si="47"/>
        <v>660000</v>
      </c>
      <c r="N339" s="38">
        <v>1</v>
      </c>
      <c r="O339" s="38">
        <v>1</v>
      </c>
      <c r="P339" s="39">
        <f t="shared" si="44"/>
        <v>9680</v>
      </c>
      <c r="Q339" s="38">
        <v>0</v>
      </c>
      <c r="R339" s="38">
        <v>0</v>
      </c>
      <c r="S339" s="39">
        <f t="shared" si="48"/>
        <v>0</v>
      </c>
      <c r="T339" s="38">
        <v>0</v>
      </c>
      <c r="U339" s="38">
        <v>0</v>
      </c>
      <c r="V339" s="28">
        <f t="shared" si="42"/>
        <v>0</v>
      </c>
      <c r="W339" s="38">
        <v>1</v>
      </c>
      <c r="X339" s="38">
        <v>1</v>
      </c>
      <c r="Y339">
        <f t="shared" si="49"/>
        <v>12884.080000000004</v>
      </c>
      <c r="AB339">
        <f t="shared" si="43"/>
        <v>0</v>
      </c>
      <c r="AE339">
        <f t="shared" si="50"/>
        <v>0</v>
      </c>
      <c r="AF339" s="28">
        <f t="shared" si="51"/>
        <v>682564.08</v>
      </c>
      <c r="AG339" s="28">
        <f t="shared" si="46"/>
        <v>663.97284046692607</v>
      </c>
    </row>
    <row r="340" spans="1:33" ht="57.6" x14ac:dyDescent="0.3">
      <c r="A340" s="2" t="s">
        <v>836</v>
      </c>
      <c r="B340" s="4" t="s">
        <v>837</v>
      </c>
      <c r="C340" s="3" t="s">
        <v>964</v>
      </c>
      <c r="D340" s="6" t="s">
        <v>965</v>
      </c>
      <c r="E340" s="6" t="s">
        <v>971</v>
      </c>
      <c r="F340" s="6" t="s">
        <v>710</v>
      </c>
      <c r="G340" s="25">
        <v>104850</v>
      </c>
      <c r="H340" s="38"/>
      <c r="I340" s="38"/>
      <c r="J340" s="39">
        <f t="shared" si="45"/>
        <v>0</v>
      </c>
      <c r="K340" s="38">
        <v>5000</v>
      </c>
      <c r="L340" s="38">
        <v>1</v>
      </c>
      <c r="M340" s="39">
        <f t="shared" si="47"/>
        <v>576675000.00000012</v>
      </c>
      <c r="N340" s="38">
        <v>1</v>
      </c>
      <c r="O340" s="38">
        <v>1</v>
      </c>
      <c r="P340" s="39">
        <f t="shared" si="44"/>
        <v>126868.5</v>
      </c>
      <c r="Q340" s="38">
        <v>0</v>
      </c>
      <c r="R340" s="38">
        <v>0</v>
      </c>
      <c r="S340" s="39">
        <f t="shared" si="48"/>
        <v>0</v>
      </c>
      <c r="T340" s="38">
        <v>0</v>
      </c>
      <c r="U340" s="38">
        <v>0</v>
      </c>
      <c r="V340" s="28">
        <f t="shared" si="42"/>
        <v>0</v>
      </c>
      <c r="W340" s="38">
        <v>1</v>
      </c>
      <c r="X340" s="38">
        <v>1</v>
      </c>
      <c r="Y340">
        <f t="shared" si="49"/>
        <v>168861.97350000005</v>
      </c>
      <c r="AB340">
        <f t="shared" si="43"/>
        <v>0</v>
      </c>
      <c r="AE340">
        <f t="shared" si="50"/>
        <v>0</v>
      </c>
      <c r="AF340" s="28">
        <f t="shared" si="51"/>
        <v>576970730.47350013</v>
      </c>
      <c r="AG340" s="28">
        <f t="shared" si="46"/>
        <v>561255.57439056435</v>
      </c>
    </row>
    <row r="341" spans="1:33" ht="57.6" x14ac:dyDescent="0.3">
      <c r="A341" s="2" t="s">
        <v>836</v>
      </c>
      <c r="B341" s="4" t="s">
        <v>837</v>
      </c>
      <c r="C341" s="3" t="s">
        <v>964</v>
      </c>
      <c r="D341" s="6" t="s">
        <v>965</v>
      </c>
      <c r="E341" s="6" t="s">
        <v>972</v>
      </c>
      <c r="F341" s="6" t="s">
        <v>713</v>
      </c>
      <c r="G341" s="25">
        <v>45000</v>
      </c>
      <c r="H341" s="38"/>
      <c r="I341" s="38"/>
      <c r="J341" s="39">
        <f t="shared" si="45"/>
        <v>0</v>
      </c>
      <c r="K341" s="38">
        <v>1</v>
      </c>
      <c r="L341" s="38">
        <v>1</v>
      </c>
      <c r="M341" s="39">
        <f t="shared" si="47"/>
        <v>49500.000000000007</v>
      </c>
      <c r="N341" s="38">
        <v>25</v>
      </c>
      <c r="O341" s="38">
        <v>6</v>
      </c>
      <c r="P341" s="39">
        <f t="shared" si="44"/>
        <v>8167500</v>
      </c>
      <c r="Q341" s="38">
        <v>0</v>
      </c>
      <c r="R341" s="38">
        <v>0</v>
      </c>
      <c r="S341" s="39">
        <f t="shared" si="48"/>
        <v>0</v>
      </c>
      <c r="T341" s="38">
        <v>0</v>
      </c>
      <c r="U341" s="38">
        <v>0</v>
      </c>
      <c r="V341" s="28">
        <f t="shared" si="42"/>
        <v>0</v>
      </c>
      <c r="W341" s="38">
        <v>25</v>
      </c>
      <c r="X341" s="38">
        <v>6</v>
      </c>
      <c r="Y341">
        <f t="shared" si="49"/>
        <v>10870942.500000004</v>
      </c>
      <c r="AB341">
        <f t="shared" si="43"/>
        <v>0</v>
      </c>
      <c r="AE341">
        <f t="shared" si="50"/>
        <v>0</v>
      </c>
      <c r="AF341" s="28">
        <f t="shared" si="51"/>
        <v>19087942.500000004</v>
      </c>
      <c r="AG341" s="28">
        <f t="shared" si="46"/>
        <v>18568.03745136187</v>
      </c>
    </row>
    <row r="342" spans="1:33" ht="57.6" x14ac:dyDescent="0.3">
      <c r="A342" s="2" t="s">
        <v>836</v>
      </c>
      <c r="B342" s="4" t="s">
        <v>837</v>
      </c>
      <c r="C342" s="3" t="s">
        <v>964</v>
      </c>
      <c r="D342" s="6" t="s">
        <v>965</v>
      </c>
      <c r="E342" s="6" t="s">
        <v>972</v>
      </c>
      <c r="F342" s="6" t="s">
        <v>1303</v>
      </c>
      <c r="G342" s="25">
        <f>1999/7</f>
        <v>285.57142857142856</v>
      </c>
      <c r="H342" s="38"/>
      <c r="I342" s="38"/>
      <c r="J342" s="39">
        <f t="shared" si="45"/>
        <v>0</v>
      </c>
      <c r="K342" s="38"/>
      <c r="L342" s="38"/>
      <c r="M342" s="39"/>
      <c r="N342" s="38">
        <f>2*135*9</f>
        <v>2430</v>
      </c>
      <c r="O342" s="38">
        <v>1</v>
      </c>
      <c r="P342" s="39"/>
      <c r="Q342" s="38"/>
      <c r="R342" s="38"/>
      <c r="S342" s="39"/>
      <c r="T342" s="38"/>
      <c r="U342" s="38"/>
      <c r="V342" s="28"/>
      <c r="W342" s="38">
        <f>2*135*9</f>
        <v>2430</v>
      </c>
      <c r="X342" s="38">
        <v>1</v>
      </c>
      <c r="AF342" s="28"/>
      <c r="AG342" s="28"/>
    </row>
    <row r="343" spans="1:33" ht="57.6" x14ac:dyDescent="0.3">
      <c r="A343" s="2" t="s">
        <v>836</v>
      </c>
      <c r="B343" s="4" t="s">
        <v>837</v>
      </c>
      <c r="C343" s="3" t="s">
        <v>964</v>
      </c>
      <c r="D343" s="6" t="s">
        <v>965</v>
      </c>
      <c r="E343" s="6" t="s">
        <v>972</v>
      </c>
      <c r="F343" s="6" t="s">
        <v>712</v>
      </c>
      <c r="G343" s="25">
        <f>1999/7</f>
        <v>285.57142857142856</v>
      </c>
      <c r="H343" s="38"/>
      <c r="I343" s="38"/>
      <c r="J343" s="39">
        <f t="shared" si="45"/>
        <v>0</v>
      </c>
      <c r="K343" s="38">
        <v>25</v>
      </c>
      <c r="L343" s="38">
        <v>1</v>
      </c>
      <c r="M343" s="39">
        <f t="shared" si="47"/>
        <v>7853.2142857142862</v>
      </c>
      <c r="N343" s="38">
        <f>25*2*9</f>
        <v>450</v>
      </c>
      <c r="O343" s="38">
        <v>6</v>
      </c>
      <c r="P343" s="39">
        <f t="shared" si="44"/>
        <v>932961.85714285704</v>
      </c>
      <c r="Q343" s="38">
        <v>0</v>
      </c>
      <c r="R343" s="38">
        <v>0</v>
      </c>
      <c r="S343" s="39">
        <f t="shared" si="48"/>
        <v>0</v>
      </c>
      <c r="T343" s="38">
        <v>0</v>
      </c>
      <c r="U343" s="38">
        <v>0</v>
      </c>
      <c r="V343" s="28">
        <f t="shared" si="42"/>
        <v>0</v>
      </c>
      <c r="W343" s="38">
        <f>25*2*9</f>
        <v>450</v>
      </c>
      <c r="X343" s="38">
        <v>6</v>
      </c>
      <c r="Y343">
        <f t="shared" si="49"/>
        <v>1241772.2318571431</v>
      </c>
      <c r="AB343">
        <f t="shared" si="43"/>
        <v>0</v>
      </c>
      <c r="AE343">
        <f t="shared" si="50"/>
        <v>0</v>
      </c>
      <c r="AF343" s="28">
        <f t="shared" si="51"/>
        <v>2182587.3032857142</v>
      </c>
      <c r="AG343" s="28">
        <f t="shared" si="46"/>
        <v>2123.1394000833798</v>
      </c>
    </row>
    <row r="344" spans="1:33" ht="57.6" x14ac:dyDescent="0.3">
      <c r="A344" s="2" t="s">
        <v>836</v>
      </c>
      <c r="B344" s="4" t="s">
        <v>837</v>
      </c>
      <c r="C344" s="3" t="s">
        <v>964</v>
      </c>
      <c r="D344" s="6" t="s">
        <v>965</v>
      </c>
      <c r="E344" s="6" t="s">
        <v>167</v>
      </c>
      <c r="F344" s="6" t="s">
        <v>709</v>
      </c>
      <c r="G344" s="25">
        <v>35000</v>
      </c>
      <c r="H344" s="38"/>
      <c r="I344" s="38"/>
      <c r="J344" s="39">
        <f t="shared" si="45"/>
        <v>0</v>
      </c>
      <c r="K344" s="38">
        <v>4000</v>
      </c>
      <c r="L344" s="38">
        <v>1</v>
      </c>
      <c r="M344" s="39">
        <f t="shared" si="47"/>
        <v>154000000</v>
      </c>
      <c r="N344" s="38">
        <v>30</v>
      </c>
      <c r="O344" s="38">
        <v>5</v>
      </c>
      <c r="P344" s="39">
        <f t="shared" si="44"/>
        <v>6352500</v>
      </c>
      <c r="Q344" s="38">
        <v>0</v>
      </c>
      <c r="R344" s="38">
        <v>0</v>
      </c>
      <c r="S344" s="39">
        <f t="shared" si="48"/>
        <v>0</v>
      </c>
      <c r="T344" s="38">
        <v>0</v>
      </c>
      <c r="U344" s="38">
        <v>0</v>
      </c>
      <c r="V344" s="28">
        <f t="shared" si="42"/>
        <v>0</v>
      </c>
      <c r="W344" s="38">
        <v>30</v>
      </c>
      <c r="X344" s="38">
        <v>5</v>
      </c>
      <c r="Y344">
        <f t="shared" si="49"/>
        <v>8455177.5000000037</v>
      </c>
      <c r="AB344">
        <f t="shared" si="43"/>
        <v>0</v>
      </c>
      <c r="AE344">
        <f t="shared" si="50"/>
        <v>0</v>
      </c>
      <c r="AF344" s="28">
        <f t="shared" si="51"/>
        <v>168807677.5</v>
      </c>
      <c r="AG344" s="28">
        <f t="shared" si="46"/>
        <v>164209.80301556419</v>
      </c>
    </row>
    <row r="345" spans="1:33" ht="57.6" x14ac:dyDescent="0.3">
      <c r="A345" s="2" t="s">
        <v>836</v>
      </c>
      <c r="B345" s="4" t="s">
        <v>837</v>
      </c>
      <c r="C345" s="3" t="s">
        <v>964</v>
      </c>
      <c r="D345" s="6" t="s">
        <v>965</v>
      </c>
      <c r="E345" s="6" t="s">
        <v>157</v>
      </c>
      <c r="F345" s="6" t="s">
        <v>713</v>
      </c>
      <c r="G345" s="25">
        <v>45000</v>
      </c>
      <c r="H345" s="38"/>
      <c r="I345" s="38"/>
      <c r="J345" s="39">
        <f t="shared" si="45"/>
        <v>0</v>
      </c>
      <c r="K345" s="38">
        <v>25</v>
      </c>
      <c r="L345" s="38">
        <v>1</v>
      </c>
      <c r="M345" s="39">
        <f t="shared" si="47"/>
        <v>1237500.0000000002</v>
      </c>
      <c r="N345" s="38">
        <v>30</v>
      </c>
      <c r="O345" s="38">
        <v>5</v>
      </c>
      <c r="P345" s="39">
        <f t="shared" si="44"/>
        <v>8167500</v>
      </c>
      <c r="Q345" s="38">
        <v>0</v>
      </c>
      <c r="R345" s="38">
        <v>0</v>
      </c>
      <c r="S345" s="39">
        <f t="shared" si="48"/>
        <v>0</v>
      </c>
      <c r="T345" s="38">
        <v>0</v>
      </c>
      <c r="U345" s="38">
        <v>0</v>
      </c>
      <c r="V345" s="28">
        <f t="shared" si="42"/>
        <v>0</v>
      </c>
      <c r="W345" s="38">
        <v>30</v>
      </c>
      <c r="X345" s="38">
        <v>5</v>
      </c>
      <c r="Y345">
        <f t="shared" si="49"/>
        <v>10870942.500000004</v>
      </c>
      <c r="AB345">
        <f t="shared" si="43"/>
        <v>0</v>
      </c>
      <c r="AE345">
        <f t="shared" si="50"/>
        <v>0</v>
      </c>
      <c r="AF345" s="28">
        <f t="shared" si="51"/>
        <v>20275942.500000004</v>
      </c>
      <c r="AG345" s="28">
        <f t="shared" si="46"/>
        <v>19723.679474708173</v>
      </c>
    </row>
    <row r="346" spans="1:33" ht="57.6" x14ac:dyDescent="0.3">
      <c r="A346" s="2" t="s">
        <v>836</v>
      </c>
      <c r="B346" s="4" t="s">
        <v>837</v>
      </c>
      <c r="C346" s="3" t="s">
        <v>964</v>
      </c>
      <c r="D346" s="6" t="s">
        <v>965</v>
      </c>
      <c r="E346" s="6" t="s">
        <v>157</v>
      </c>
      <c r="F346" s="6" t="s">
        <v>712</v>
      </c>
      <c r="G346" s="25">
        <f>1999/7</f>
        <v>285.57142857142856</v>
      </c>
      <c r="H346" s="38"/>
      <c r="I346" s="38"/>
      <c r="J346" s="39">
        <f t="shared" si="45"/>
        <v>0</v>
      </c>
      <c r="K346" s="38">
        <v>25</v>
      </c>
      <c r="L346" s="38">
        <v>10</v>
      </c>
      <c r="M346" s="39">
        <f t="shared" si="47"/>
        <v>78532.14285714287</v>
      </c>
      <c r="N346" s="38">
        <f>25*2*9</f>
        <v>450</v>
      </c>
      <c r="O346" s="38">
        <v>5</v>
      </c>
      <c r="P346" s="39">
        <f t="shared" si="44"/>
        <v>777468.2142857142</v>
      </c>
      <c r="Q346" s="38">
        <v>0</v>
      </c>
      <c r="R346" s="38">
        <v>0</v>
      </c>
      <c r="S346" s="39">
        <f t="shared" si="48"/>
        <v>0</v>
      </c>
      <c r="T346" s="38">
        <v>0</v>
      </c>
      <c r="U346" s="38">
        <v>0</v>
      </c>
      <c r="V346" s="28">
        <f t="shared" si="42"/>
        <v>0</v>
      </c>
      <c r="W346" s="38">
        <f>25*2*9</f>
        <v>450</v>
      </c>
      <c r="X346" s="38">
        <v>5</v>
      </c>
      <c r="Y346">
        <f t="shared" si="49"/>
        <v>1034810.193214286</v>
      </c>
      <c r="AB346">
        <f t="shared" si="43"/>
        <v>0</v>
      </c>
      <c r="AE346">
        <f t="shared" si="50"/>
        <v>0</v>
      </c>
      <c r="AF346" s="28">
        <f t="shared" si="51"/>
        <v>1890810.5503571429</v>
      </c>
      <c r="AG346" s="28">
        <f t="shared" si="46"/>
        <v>1839.3098738882713</v>
      </c>
    </row>
    <row r="347" spans="1:33" ht="57.6" x14ac:dyDescent="0.3">
      <c r="A347" s="2" t="s">
        <v>836</v>
      </c>
      <c r="B347" s="4" t="s">
        <v>837</v>
      </c>
      <c r="C347" s="3" t="s">
        <v>964</v>
      </c>
      <c r="D347" s="6" t="s">
        <v>965</v>
      </c>
      <c r="E347" s="6" t="s">
        <v>157</v>
      </c>
      <c r="F347" s="6" t="s">
        <v>1303</v>
      </c>
      <c r="G347" s="25">
        <f>1999/7</f>
        <v>285.57142857142856</v>
      </c>
      <c r="H347" s="38"/>
      <c r="I347" s="38"/>
      <c r="J347" s="39">
        <f t="shared" si="45"/>
        <v>0</v>
      </c>
      <c r="K347" s="38"/>
      <c r="L347" s="38"/>
      <c r="M347" s="39"/>
      <c r="N347" s="38">
        <v>22500</v>
      </c>
      <c r="O347" s="38">
        <v>1</v>
      </c>
      <c r="P347" s="39"/>
      <c r="Q347" s="38"/>
      <c r="R347" s="38"/>
      <c r="S347" s="39"/>
      <c r="T347" s="38"/>
      <c r="U347" s="38"/>
      <c r="V347" s="28"/>
      <c r="W347" s="38">
        <v>22500</v>
      </c>
      <c r="X347" s="38">
        <v>1</v>
      </c>
      <c r="AF347" s="28"/>
      <c r="AG347" s="28"/>
    </row>
    <row r="348" spans="1:33" ht="57.6" x14ac:dyDescent="0.3">
      <c r="A348" s="2" t="s">
        <v>836</v>
      </c>
      <c r="B348" s="4" t="s">
        <v>837</v>
      </c>
      <c r="C348" s="3" t="s">
        <v>964</v>
      </c>
      <c r="D348" s="6" t="s">
        <v>965</v>
      </c>
      <c r="E348" s="6" t="s">
        <v>157</v>
      </c>
      <c r="F348" s="6" t="s">
        <v>714</v>
      </c>
      <c r="G348" s="25">
        <v>10000</v>
      </c>
      <c r="H348" s="38"/>
      <c r="I348" s="38"/>
      <c r="J348" s="39">
        <f t="shared" si="45"/>
        <v>0</v>
      </c>
      <c r="K348" s="38">
        <v>20000</v>
      </c>
      <c r="L348" s="38">
        <v>1</v>
      </c>
      <c r="M348" s="39">
        <f t="shared" si="47"/>
        <v>220000000</v>
      </c>
      <c r="N348" s="38">
        <v>15</v>
      </c>
      <c r="O348" s="38">
        <v>1</v>
      </c>
      <c r="P348" s="39">
        <f t="shared" si="44"/>
        <v>181500</v>
      </c>
      <c r="Q348" s="38">
        <v>0</v>
      </c>
      <c r="R348" s="38">
        <v>0</v>
      </c>
      <c r="S348" s="39">
        <f t="shared" si="48"/>
        <v>0</v>
      </c>
      <c r="T348" s="38">
        <v>0</v>
      </c>
      <c r="U348" s="38">
        <v>0</v>
      </c>
      <c r="V348" s="28">
        <f t="shared" ref="V348:V375" si="52">(G348*1.1^4)*T348*U348</f>
        <v>0</v>
      </c>
      <c r="W348" s="38">
        <v>15</v>
      </c>
      <c r="X348" s="38">
        <v>1</v>
      </c>
      <c r="Y348">
        <f t="shared" si="49"/>
        <v>241576.50000000009</v>
      </c>
      <c r="AB348">
        <f t="shared" si="43"/>
        <v>0</v>
      </c>
      <c r="AE348">
        <f t="shared" si="50"/>
        <v>0</v>
      </c>
      <c r="AF348" s="28">
        <f t="shared" si="51"/>
        <v>220423076.5</v>
      </c>
      <c r="AG348" s="28">
        <f t="shared" si="46"/>
        <v>214419.33511673153</v>
      </c>
    </row>
    <row r="349" spans="1:33" ht="57.6" x14ac:dyDescent="0.3">
      <c r="A349" s="2" t="s">
        <v>836</v>
      </c>
      <c r="B349" s="4" t="s">
        <v>837</v>
      </c>
      <c r="C349" s="3" t="s">
        <v>964</v>
      </c>
      <c r="D349" s="6" t="s">
        <v>965</v>
      </c>
      <c r="E349" s="6" t="s">
        <v>157</v>
      </c>
      <c r="F349" s="6" t="s">
        <v>715</v>
      </c>
      <c r="G349" s="25">
        <v>302000</v>
      </c>
      <c r="H349" s="38"/>
      <c r="I349" s="38"/>
      <c r="J349" s="39">
        <f t="shared" si="45"/>
        <v>0</v>
      </c>
      <c r="K349" s="38">
        <v>15</v>
      </c>
      <c r="L349" s="38">
        <v>1</v>
      </c>
      <c r="M349" s="39">
        <f t="shared" si="47"/>
        <v>4983000</v>
      </c>
      <c r="N349" s="38">
        <v>15</v>
      </c>
      <c r="O349" s="38">
        <v>1</v>
      </c>
      <c r="P349" s="39">
        <f t="shared" si="44"/>
        <v>5481300</v>
      </c>
      <c r="Q349" s="38">
        <v>0</v>
      </c>
      <c r="R349" s="38">
        <v>0</v>
      </c>
      <c r="S349" s="39">
        <f t="shared" si="48"/>
        <v>0</v>
      </c>
      <c r="T349" s="38">
        <v>0</v>
      </c>
      <c r="U349" s="38">
        <v>0</v>
      </c>
      <c r="V349" s="28">
        <f t="shared" si="52"/>
        <v>0</v>
      </c>
      <c r="W349" s="38">
        <v>15</v>
      </c>
      <c r="X349" s="38">
        <v>1</v>
      </c>
      <c r="Y349">
        <f t="shared" si="49"/>
        <v>7295610.3000000026</v>
      </c>
      <c r="AB349">
        <f t="shared" si="43"/>
        <v>0</v>
      </c>
      <c r="AE349">
        <f t="shared" si="50"/>
        <v>0</v>
      </c>
      <c r="AF349" s="28">
        <f t="shared" si="51"/>
        <v>17759910.300000004</v>
      </c>
      <c r="AG349" s="28">
        <f t="shared" si="46"/>
        <v>17276.177334630356</v>
      </c>
    </row>
    <row r="350" spans="1:33" ht="57.6" x14ac:dyDescent="0.3">
      <c r="A350" s="2" t="s">
        <v>836</v>
      </c>
      <c r="B350" s="4" t="s">
        <v>837</v>
      </c>
      <c r="C350" s="3" t="s">
        <v>964</v>
      </c>
      <c r="D350" s="6" t="s">
        <v>965</v>
      </c>
      <c r="E350" s="6" t="s">
        <v>152</v>
      </c>
      <c r="F350" s="6" t="s">
        <v>716</v>
      </c>
      <c r="G350" s="25">
        <v>39000</v>
      </c>
      <c r="H350" s="38"/>
      <c r="I350" s="38"/>
      <c r="J350" s="39">
        <f t="shared" si="45"/>
        <v>0</v>
      </c>
      <c r="K350" s="38">
        <v>20</v>
      </c>
      <c r="L350" s="38">
        <v>1</v>
      </c>
      <c r="M350" s="39">
        <f t="shared" si="47"/>
        <v>858000</v>
      </c>
      <c r="N350" s="38">
        <v>25</v>
      </c>
      <c r="O350" s="38">
        <v>6</v>
      </c>
      <c r="P350" s="39">
        <f t="shared" si="44"/>
        <v>7078500</v>
      </c>
      <c r="Q350" s="38">
        <v>0</v>
      </c>
      <c r="R350" s="38">
        <v>0</v>
      </c>
      <c r="S350" s="39">
        <f t="shared" si="48"/>
        <v>0</v>
      </c>
      <c r="T350" s="38">
        <v>0</v>
      </c>
      <c r="U350" s="38">
        <v>0</v>
      </c>
      <c r="V350" s="28">
        <f t="shared" si="52"/>
        <v>0</v>
      </c>
      <c r="W350" s="38">
        <v>25</v>
      </c>
      <c r="X350" s="38">
        <v>6</v>
      </c>
      <c r="Y350">
        <f t="shared" si="49"/>
        <v>9421483.5000000037</v>
      </c>
      <c r="AB350">
        <f t="shared" ref="AB350:AB375" si="53">(G350*1.1^6)*Z350*AA350</f>
        <v>0</v>
      </c>
      <c r="AE350">
        <f t="shared" si="50"/>
        <v>0</v>
      </c>
      <c r="AF350" s="28">
        <f t="shared" si="51"/>
        <v>17357983.500000004</v>
      </c>
      <c r="AG350" s="28">
        <f t="shared" si="46"/>
        <v>16885.197957198448</v>
      </c>
    </row>
    <row r="351" spans="1:33" ht="57.6" x14ac:dyDescent="0.3">
      <c r="A351" s="2" t="s">
        <v>836</v>
      </c>
      <c r="B351" s="4" t="s">
        <v>837</v>
      </c>
      <c r="C351" s="3" t="s">
        <v>964</v>
      </c>
      <c r="D351" s="6" t="s">
        <v>965</v>
      </c>
      <c r="E351" s="6" t="s">
        <v>152</v>
      </c>
      <c r="F351" s="6" t="s">
        <v>709</v>
      </c>
      <c r="G351" s="25">
        <v>35000</v>
      </c>
      <c r="H351" s="38"/>
      <c r="I351" s="38"/>
      <c r="J351" s="39">
        <f t="shared" si="45"/>
        <v>0</v>
      </c>
      <c r="K351" s="38">
        <v>25</v>
      </c>
      <c r="L351" s="38">
        <v>5</v>
      </c>
      <c r="M351" s="39">
        <f t="shared" si="47"/>
        <v>4812500</v>
      </c>
      <c r="N351" s="38">
        <v>25</v>
      </c>
      <c r="O351" s="38">
        <v>5</v>
      </c>
      <c r="P351" s="39">
        <f t="shared" si="44"/>
        <v>5293750</v>
      </c>
      <c r="Q351" s="38">
        <v>0</v>
      </c>
      <c r="R351" s="38">
        <v>0</v>
      </c>
      <c r="S351" s="39">
        <f t="shared" si="48"/>
        <v>0</v>
      </c>
      <c r="T351" s="38">
        <v>0</v>
      </c>
      <c r="U351" s="38">
        <v>0</v>
      </c>
      <c r="V351" s="28">
        <f t="shared" si="52"/>
        <v>0</v>
      </c>
      <c r="W351" s="38">
        <v>25</v>
      </c>
      <c r="X351" s="38">
        <v>5</v>
      </c>
      <c r="Y351">
        <f t="shared" si="49"/>
        <v>7045981.2500000019</v>
      </c>
      <c r="AB351">
        <f t="shared" si="53"/>
        <v>0</v>
      </c>
      <c r="AE351">
        <f t="shared" si="50"/>
        <v>0</v>
      </c>
      <c r="AF351" s="28">
        <f t="shared" si="51"/>
        <v>17152231.25</v>
      </c>
      <c r="AG351" s="28">
        <f t="shared" si="46"/>
        <v>16685.049854085602</v>
      </c>
    </row>
    <row r="352" spans="1:33" ht="57.6" x14ac:dyDescent="0.3">
      <c r="A352" s="2" t="s">
        <v>836</v>
      </c>
      <c r="B352" s="4" t="s">
        <v>837</v>
      </c>
      <c r="C352" s="3" t="s">
        <v>964</v>
      </c>
      <c r="D352" s="6" t="s">
        <v>965</v>
      </c>
      <c r="E352" s="6" t="s">
        <v>152</v>
      </c>
      <c r="F352" s="6" t="s">
        <v>712</v>
      </c>
      <c r="G352" s="25">
        <f>1999/7</f>
        <v>285.57142857142856</v>
      </c>
      <c r="H352" s="38"/>
      <c r="I352" s="38"/>
      <c r="J352" s="39">
        <f t="shared" si="45"/>
        <v>0</v>
      </c>
      <c r="K352" s="38">
        <v>25</v>
      </c>
      <c r="L352" s="38">
        <v>5</v>
      </c>
      <c r="M352" s="39">
        <f t="shared" si="47"/>
        <v>39266.071428571435</v>
      </c>
      <c r="N352" s="38">
        <f>25*2*9</f>
        <v>450</v>
      </c>
      <c r="O352" s="38">
        <v>5</v>
      </c>
      <c r="P352" s="39">
        <f t="shared" si="44"/>
        <v>777468.2142857142</v>
      </c>
      <c r="Q352" s="38">
        <v>0</v>
      </c>
      <c r="R352" s="38">
        <v>0</v>
      </c>
      <c r="S352" s="39">
        <f t="shared" si="48"/>
        <v>0</v>
      </c>
      <c r="T352" s="38">
        <v>0</v>
      </c>
      <c r="U352" s="38">
        <v>0</v>
      </c>
      <c r="V352" s="28">
        <f t="shared" si="52"/>
        <v>0</v>
      </c>
      <c r="W352" s="38">
        <f>25*2*9</f>
        <v>450</v>
      </c>
      <c r="X352" s="38">
        <v>5</v>
      </c>
      <c r="Y352">
        <f t="shared" si="49"/>
        <v>1034810.193214286</v>
      </c>
      <c r="AB352">
        <f t="shared" si="53"/>
        <v>0</v>
      </c>
      <c r="AE352">
        <f t="shared" si="50"/>
        <v>0</v>
      </c>
      <c r="AF352" s="28">
        <f t="shared" si="51"/>
        <v>1851544.4789285716</v>
      </c>
      <c r="AG352" s="28">
        <f t="shared" si="46"/>
        <v>1801.1133063507505</v>
      </c>
    </row>
    <row r="353" spans="1:33" ht="57.6" x14ac:dyDescent="0.3">
      <c r="A353" s="2" t="s">
        <v>836</v>
      </c>
      <c r="B353" s="4" t="s">
        <v>837</v>
      </c>
      <c r="C353" s="3" t="s">
        <v>964</v>
      </c>
      <c r="D353" s="6" t="s">
        <v>965</v>
      </c>
      <c r="E353" s="6" t="s">
        <v>152</v>
      </c>
      <c r="F353" s="6" t="s">
        <v>1303</v>
      </c>
      <c r="G353" s="25">
        <f>1999/7</f>
        <v>285.57142857142856</v>
      </c>
      <c r="H353" s="38"/>
      <c r="I353" s="38"/>
      <c r="J353" s="39">
        <f t="shared" si="45"/>
        <v>0</v>
      </c>
      <c r="K353" s="38"/>
      <c r="L353" s="38"/>
      <c r="M353" s="39"/>
      <c r="N353" s="38">
        <f>2*135*9</f>
        <v>2430</v>
      </c>
      <c r="O353" s="38">
        <v>1</v>
      </c>
      <c r="P353" s="39"/>
      <c r="Q353" s="38"/>
      <c r="R353" s="38"/>
      <c r="S353" s="39"/>
      <c r="T353" s="38"/>
      <c r="U353" s="38"/>
      <c r="V353" s="28"/>
      <c r="W353" s="38">
        <f>2*135*9</f>
        <v>2430</v>
      </c>
      <c r="X353" s="38">
        <v>1</v>
      </c>
      <c r="Y353">
        <f t="shared" si="49"/>
        <v>1117595.008671429</v>
      </c>
      <c r="AB353">
        <f t="shared" si="53"/>
        <v>0</v>
      </c>
      <c r="AE353">
        <f t="shared" si="50"/>
        <v>0</v>
      </c>
      <c r="AF353" s="28"/>
      <c r="AG353" s="28"/>
    </row>
    <row r="354" spans="1:33" ht="57.6" x14ac:dyDescent="0.3">
      <c r="A354" s="2" t="s">
        <v>836</v>
      </c>
      <c r="B354" s="4" t="s">
        <v>837</v>
      </c>
      <c r="C354" s="3" t="s">
        <v>964</v>
      </c>
      <c r="D354" s="6" t="s">
        <v>965</v>
      </c>
      <c r="E354" s="6" t="s">
        <v>973</v>
      </c>
      <c r="F354" s="6" t="s">
        <v>709</v>
      </c>
      <c r="G354" s="25">
        <v>35000</v>
      </c>
      <c r="H354" s="38"/>
      <c r="I354" s="38"/>
      <c r="J354" s="39">
        <f t="shared" si="45"/>
        <v>0</v>
      </c>
      <c r="K354" s="38">
        <v>4000</v>
      </c>
      <c r="L354" s="38">
        <v>1</v>
      </c>
      <c r="M354" s="39">
        <f t="shared" si="47"/>
        <v>154000000</v>
      </c>
      <c r="N354" s="38">
        <v>30</v>
      </c>
      <c r="O354" s="38">
        <v>5</v>
      </c>
      <c r="P354" s="39">
        <f t="shared" si="44"/>
        <v>6352500</v>
      </c>
      <c r="Q354" s="38">
        <v>0</v>
      </c>
      <c r="R354" s="38">
        <v>0</v>
      </c>
      <c r="S354" s="39">
        <f t="shared" si="48"/>
        <v>0</v>
      </c>
      <c r="T354" s="38">
        <v>0</v>
      </c>
      <c r="U354" s="38">
        <v>0</v>
      </c>
      <c r="V354" s="28">
        <f t="shared" si="52"/>
        <v>0</v>
      </c>
      <c r="W354" s="38">
        <v>30</v>
      </c>
      <c r="X354" s="38">
        <v>5</v>
      </c>
      <c r="Y354">
        <f t="shared" si="49"/>
        <v>8455177.5000000037</v>
      </c>
      <c r="AB354">
        <f t="shared" si="53"/>
        <v>0</v>
      </c>
      <c r="AE354">
        <f t="shared" si="50"/>
        <v>0</v>
      </c>
      <c r="AF354" s="28">
        <f t="shared" si="51"/>
        <v>168807677.5</v>
      </c>
      <c r="AG354" s="28">
        <f t="shared" si="46"/>
        <v>164209.80301556419</v>
      </c>
    </row>
    <row r="355" spans="1:33" ht="57.6" x14ac:dyDescent="0.3">
      <c r="A355" s="2" t="s">
        <v>836</v>
      </c>
      <c r="B355" s="4" t="s">
        <v>837</v>
      </c>
      <c r="C355" s="3" t="s">
        <v>964</v>
      </c>
      <c r="D355" s="6" t="s">
        <v>965</v>
      </c>
      <c r="E355" s="6" t="s">
        <v>973</v>
      </c>
      <c r="F355" s="6" t="s">
        <v>716</v>
      </c>
      <c r="G355" s="25">
        <v>39000</v>
      </c>
      <c r="H355" s="38"/>
      <c r="I355" s="38"/>
      <c r="J355" s="39">
        <f t="shared" si="45"/>
        <v>0</v>
      </c>
      <c r="K355" s="38">
        <v>25</v>
      </c>
      <c r="L355" s="38">
        <v>5</v>
      </c>
      <c r="M355" s="39">
        <f t="shared" si="47"/>
        <v>5362500</v>
      </c>
      <c r="N355" s="38">
        <v>5</v>
      </c>
      <c r="O355" s="38">
        <v>6</v>
      </c>
      <c r="P355" s="39">
        <f t="shared" si="44"/>
        <v>1415700</v>
      </c>
      <c r="Q355" s="38">
        <v>0</v>
      </c>
      <c r="R355" s="38">
        <v>0</v>
      </c>
      <c r="S355" s="39">
        <f t="shared" si="48"/>
        <v>0</v>
      </c>
      <c r="T355" s="38">
        <v>0</v>
      </c>
      <c r="U355" s="38">
        <v>0</v>
      </c>
      <c r="V355" s="28">
        <f t="shared" si="52"/>
        <v>0</v>
      </c>
      <c r="W355" s="38">
        <v>5</v>
      </c>
      <c r="X355" s="38">
        <v>6</v>
      </c>
      <c r="Y355">
        <f t="shared" si="49"/>
        <v>1884296.7000000007</v>
      </c>
      <c r="AB355">
        <f t="shared" si="53"/>
        <v>0</v>
      </c>
      <c r="AE355">
        <f t="shared" si="50"/>
        <v>0</v>
      </c>
      <c r="AF355" s="28">
        <f t="shared" si="51"/>
        <v>8662496.7000000011</v>
      </c>
      <c r="AG355" s="28">
        <f t="shared" si="46"/>
        <v>8426.5532101167319</v>
      </c>
    </row>
    <row r="356" spans="1:33" ht="57.6" x14ac:dyDescent="0.3">
      <c r="A356" s="2" t="s">
        <v>836</v>
      </c>
      <c r="B356" s="4" t="s">
        <v>837</v>
      </c>
      <c r="C356" s="3" t="s">
        <v>964</v>
      </c>
      <c r="D356" s="6" t="s">
        <v>965</v>
      </c>
      <c r="E356" s="6" t="s">
        <v>973</v>
      </c>
      <c r="F356" s="6" t="s">
        <v>712</v>
      </c>
      <c r="G356" s="25">
        <f>1999/7</f>
        <v>285.57142857142856</v>
      </c>
      <c r="H356" s="38"/>
      <c r="I356" s="38"/>
      <c r="J356" s="39">
        <f t="shared" si="45"/>
        <v>0</v>
      </c>
      <c r="K356" s="38">
        <v>25</v>
      </c>
      <c r="L356" s="38">
        <v>5</v>
      </c>
      <c r="M356" s="39">
        <f t="shared" si="47"/>
        <v>39266.071428571435</v>
      </c>
      <c r="N356" s="38">
        <f>25*2*9</f>
        <v>450</v>
      </c>
      <c r="O356" s="38">
        <v>5</v>
      </c>
      <c r="P356" s="39">
        <f t="shared" si="44"/>
        <v>777468.2142857142</v>
      </c>
      <c r="Q356" s="38">
        <v>0</v>
      </c>
      <c r="R356" s="38">
        <v>0</v>
      </c>
      <c r="S356" s="39">
        <f t="shared" si="48"/>
        <v>0</v>
      </c>
      <c r="T356" s="38">
        <v>0</v>
      </c>
      <c r="U356" s="38">
        <v>0</v>
      </c>
      <c r="V356" s="28">
        <f t="shared" si="52"/>
        <v>0</v>
      </c>
      <c r="W356" s="38">
        <f>25*2*9</f>
        <v>450</v>
      </c>
      <c r="X356" s="38">
        <v>5</v>
      </c>
      <c r="Y356">
        <f t="shared" si="49"/>
        <v>1034810.193214286</v>
      </c>
      <c r="AB356">
        <f t="shared" si="53"/>
        <v>0</v>
      </c>
      <c r="AE356">
        <f t="shared" si="50"/>
        <v>0</v>
      </c>
      <c r="AF356" s="28">
        <f t="shared" si="51"/>
        <v>1851544.4789285716</v>
      </c>
      <c r="AG356" s="28">
        <f t="shared" si="46"/>
        <v>1801.1133063507505</v>
      </c>
    </row>
    <row r="357" spans="1:33" ht="57.6" x14ac:dyDescent="0.3">
      <c r="A357" s="2" t="s">
        <v>836</v>
      </c>
      <c r="B357" s="4" t="s">
        <v>837</v>
      </c>
      <c r="C357" s="3" t="s">
        <v>964</v>
      </c>
      <c r="D357" s="6" t="s">
        <v>965</v>
      </c>
      <c r="E357" s="6" t="s">
        <v>1319</v>
      </c>
      <c r="F357" s="6" t="s">
        <v>709</v>
      </c>
      <c r="G357" s="25">
        <v>35000</v>
      </c>
      <c r="H357" s="38"/>
      <c r="I357" s="38"/>
      <c r="J357" s="39">
        <f t="shared" si="45"/>
        <v>0</v>
      </c>
      <c r="K357" s="38"/>
      <c r="L357" s="38"/>
      <c r="M357" s="39"/>
      <c r="N357" s="38">
        <v>100</v>
      </c>
      <c r="O357" s="38">
        <v>1</v>
      </c>
      <c r="P357" s="39"/>
      <c r="Q357" s="38"/>
      <c r="R357" s="38"/>
      <c r="S357" s="39"/>
      <c r="T357" s="38"/>
      <c r="U357" s="38"/>
      <c r="V357" s="28"/>
      <c r="W357" s="38">
        <v>100</v>
      </c>
      <c r="X357" s="38">
        <v>1</v>
      </c>
      <c r="AF357" s="28"/>
      <c r="AG357" s="28"/>
    </row>
    <row r="358" spans="1:33" ht="57.6" x14ac:dyDescent="0.3">
      <c r="A358" s="2" t="s">
        <v>836</v>
      </c>
      <c r="B358" s="4" t="s">
        <v>837</v>
      </c>
      <c r="C358" s="3" t="s">
        <v>964</v>
      </c>
      <c r="D358" s="6" t="s">
        <v>965</v>
      </c>
      <c r="E358" s="6" t="s">
        <v>1319</v>
      </c>
      <c r="F358" s="6" t="s">
        <v>716</v>
      </c>
      <c r="G358" s="25">
        <v>39000</v>
      </c>
      <c r="H358" s="38"/>
      <c r="I358" s="38"/>
      <c r="J358" s="39">
        <f t="shared" si="45"/>
        <v>0</v>
      </c>
      <c r="K358" s="38"/>
      <c r="L358" s="38"/>
      <c r="M358" s="39"/>
      <c r="N358" s="38">
        <v>58</v>
      </c>
      <c r="O358" s="38">
        <v>2</v>
      </c>
      <c r="P358" s="39"/>
      <c r="Q358" s="38"/>
      <c r="R358" s="38"/>
      <c r="S358" s="39"/>
      <c r="T358" s="38"/>
      <c r="U358" s="38"/>
      <c r="V358" s="28"/>
      <c r="W358" s="38">
        <v>58</v>
      </c>
      <c r="X358" s="38">
        <v>2</v>
      </c>
      <c r="AF358" s="28"/>
      <c r="AG358" s="28"/>
    </row>
    <row r="359" spans="1:33" ht="57.6" x14ac:dyDescent="0.3">
      <c r="A359" s="2" t="s">
        <v>836</v>
      </c>
      <c r="B359" s="4" t="s">
        <v>837</v>
      </c>
      <c r="C359" s="3" t="s">
        <v>964</v>
      </c>
      <c r="D359" s="6" t="s">
        <v>965</v>
      </c>
      <c r="E359" s="6" t="s">
        <v>1319</v>
      </c>
      <c r="F359" s="6" t="s">
        <v>712</v>
      </c>
      <c r="G359" s="25">
        <f>1999/7</f>
        <v>285.57142857142856</v>
      </c>
      <c r="H359" s="38"/>
      <c r="I359" s="38"/>
      <c r="J359" s="39">
        <f t="shared" si="45"/>
        <v>0</v>
      </c>
      <c r="K359" s="38"/>
      <c r="L359" s="38"/>
      <c r="M359" s="39"/>
      <c r="N359" s="38">
        <f>2*25*29</f>
        <v>1450</v>
      </c>
      <c r="O359" s="38">
        <v>1</v>
      </c>
      <c r="P359" s="39"/>
      <c r="Q359" s="38"/>
      <c r="R359" s="38"/>
      <c r="S359" s="39"/>
      <c r="T359" s="38"/>
      <c r="U359" s="38"/>
      <c r="V359" s="28"/>
      <c r="W359" s="38">
        <f>2*25*29</f>
        <v>1450</v>
      </c>
      <c r="X359" s="38">
        <v>1</v>
      </c>
      <c r="AF359" s="28"/>
      <c r="AG359" s="28"/>
    </row>
    <row r="360" spans="1:33" ht="57.6" x14ac:dyDescent="0.3">
      <c r="A360" s="2" t="s">
        <v>836</v>
      </c>
      <c r="B360" s="4" t="s">
        <v>837</v>
      </c>
      <c r="C360" s="3" t="s">
        <v>964</v>
      </c>
      <c r="D360" s="6" t="s">
        <v>965</v>
      </c>
      <c r="E360" s="6" t="s">
        <v>1319</v>
      </c>
      <c r="F360" s="6" t="s">
        <v>1303</v>
      </c>
      <c r="G360" s="25">
        <f>1999/7</f>
        <v>285.57142857142856</v>
      </c>
      <c r="H360" s="38"/>
      <c r="I360" s="38"/>
      <c r="J360" s="39">
        <f t="shared" si="45"/>
        <v>0</v>
      </c>
      <c r="K360" s="38"/>
      <c r="L360" s="38"/>
      <c r="M360" s="39"/>
      <c r="N360" s="38">
        <f>2*135*29</f>
        <v>7830</v>
      </c>
      <c r="O360" s="38">
        <v>1</v>
      </c>
      <c r="P360" s="39"/>
      <c r="Q360" s="38"/>
      <c r="R360" s="38"/>
      <c r="S360" s="39"/>
      <c r="T360" s="38"/>
      <c r="U360" s="38"/>
      <c r="V360" s="28"/>
      <c r="W360" s="38">
        <f>2*135*29</f>
        <v>7830</v>
      </c>
      <c r="X360" s="38">
        <v>1</v>
      </c>
      <c r="AF360" s="28"/>
      <c r="AG360" s="28"/>
    </row>
    <row r="361" spans="1:33" ht="57.6" x14ac:dyDescent="0.3">
      <c r="A361" s="2" t="s">
        <v>836</v>
      </c>
      <c r="B361" s="4" t="s">
        <v>837</v>
      </c>
      <c r="C361" s="3" t="s">
        <v>964</v>
      </c>
      <c r="D361" s="6" t="s">
        <v>965</v>
      </c>
      <c r="E361" s="6" t="s">
        <v>974</v>
      </c>
      <c r="F361" s="6" t="s">
        <v>709</v>
      </c>
      <c r="G361" s="25">
        <v>35000</v>
      </c>
      <c r="H361" s="38"/>
      <c r="I361" s="38"/>
      <c r="J361" s="39">
        <f t="shared" si="45"/>
        <v>0</v>
      </c>
      <c r="K361" s="38">
        <v>4000</v>
      </c>
      <c r="L361" s="38">
        <v>1</v>
      </c>
      <c r="M361" s="39">
        <f t="shared" si="47"/>
        <v>154000000</v>
      </c>
      <c r="N361" s="38">
        <v>100</v>
      </c>
      <c r="O361" s="38">
        <v>2</v>
      </c>
      <c r="P361" s="39">
        <f t="shared" si="44"/>
        <v>8470000</v>
      </c>
      <c r="Q361" s="38">
        <v>0</v>
      </c>
      <c r="R361" s="38">
        <v>0</v>
      </c>
      <c r="S361" s="39">
        <f t="shared" si="48"/>
        <v>0</v>
      </c>
      <c r="T361" s="38">
        <v>0</v>
      </c>
      <c r="U361" s="38">
        <v>0</v>
      </c>
      <c r="V361" s="28">
        <f t="shared" si="52"/>
        <v>0</v>
      </c>
      <c r="W361" s="38">
        <v>100</v>
      </c>
      <c r="X361" s="38">
        <v>2</v>
      </c>
      <c r="Y361">
        <f t="shared" si="49"/>
        <v>11273570.000000004</v>
      </c>
      <c r="AB361">
        <f t="shared" si="53"/>
        <v>0</v>
      </c>
      <c r="AE361">
        <f t="shared" si="50"/>
        <v>0</v>
      </c>
      <c r="AF361" s="28">
        <f t="shared" si="51"/>
        <v>173743570</v>
      </c>
      <c r="AG361" s="28">
        <f t="shared" si="46"/>
        <v>169011.25486381323</v>
      </c>
    </row>
    <row r="362" spans="1:33" ht="57.6" x14ac:dyDescent="0.3">
      <c r="A362" s="2" t="s">
        <v>836</v>
      </c>
      <c r="B362" s="4" t="s">
        <v>837</v>
      </c>
      <c r="C362" s="3" t="s">
        <v>964</v>
      </c>
      <c r="D362" s="6" t="s">
        <v>965</v>
      </c>
      <c r="E362" s="6" t="s">
        <v>974</v>
      </c>
      <c r="F362" s="6" t="s">
        <v>716</v>
      </c>
      <c r="G362" s="25">
        <v>39000</v>
      </c>
      <c r="H362" s="38"/>
      <c r="I362" s="38"/>
      <c r="J362" s="39">
        <f t="shared" si="45"/>
        <v>0</v>
      </c>
      <c r="K362" s="38">
        <v>100</v>
      </c>
      <c r="L362" s="38">
        <v>1</v>
      </c>
      <c r="M362" s="39">
        <f t="shared" si="47"/>
        <v>4290000</v>
      </c>
      <c r="N362" s="38">
        <v>58</v>
      </c>
      <c r="O362" s="38">
        <v>2</v>
      </c>
      <c r="P362" s="39">
        <f t="shared" si="44"/>
        <v>5474040</v>
      </c>
      <c r="Q362" s="38">
        <v>0</v>
      </c>
      <c r="R362" s="38">
        <v>0</v>
      </c>
      <c r="S362" s="39">
        <f t="shared" si="48"/>
        <v>0</v>
      </c>
      <c r="T362" s="38">
        <v>0</v>
      </c>
      <c r="U362" s="38">
        <v>0</v>
      </c>
      <c r="V362" s="28">
        <f t="shared" si="52"/>
        <v>0</v>
      </c>
      <c r="W362" s="38">
        <v>58</v>
      </c>
      <c r="X362" s="38">
        <v>2</v>
      </c>
      <c r="Y362">
        <f t="shared" si="49"/>
        <v>7285947.2400000021</v>
      </c>
      <c r="AB362">
        <f t="shared" si="53"/>
        <v>0</v>
      </c>
      <c r="AE362">
        <f t="shared" si="50"/>
        <v>0</v>
      </c>
      <c r="AF362" s="28">
        <f t="shared" si="51"/>
        <v>17049987.240000002</v>
      </c>
      <c r="AG362" s="28">
        <f t="shared" si="46"/>
        <v>16585.590700389108</v>
      </c>
    </row>
    <row r="363" spans="1:33" ht="57.6" x14ac:dyDescent="0.3">
      <c r="A363" s="2" t="s">
        <v>836</v>
      </c>
      <c r="B363" s="4" t="s">
        <v>837</v>
      </c>
      <c r="C363" s="3" t="s">
        <v>964</v>
      </c>
      <c r="D363" s="6" t="s">
        <v>965</v>
      </c>
      <c r="E363" s="6" t="s">
        <v>974</v>
      </c>
      <c r="F363" s="6" t="s">
        <v>1297</v>
      </c>
      <c r="G363" s="25">
        <v>8000</v>
      </c>
      <c r="H363" s="38"/>
      <c r="I363" s="38"/>
      <c r="J363" s="39">
        <f t="shared" si="45"/>
        <v>0</v>
      </c>
      <c r="K363" s="38">
        <v>30</v>
      </c>
      <c r="L363" s="38">
        <v>1</v>
      </c>
      <c r="M363" s="39">
        <f t="shared" si="47"/>
        <v>264000</v>
      </c>
      <c r="N363" s="38">
        <v>10</v>
      </c>
      <c r="O363" s="38">
        <v>0</v>
      </c>
      <c r="P363" s="39">
        <f t="shared" si="44"/>
        <v>0</v>
      </c>
      <c r="Q363" s="38">
        <v>0</v>
      </c>
      <c r="R363" s="38">
        <v>0</v>
      </c>
      <c r="S363" s="39">
        <f t="shared" si="48"/>
        <v>0</v>
      </c>
      <c r="T363" s="38">
        <v>0</v>
      </c>
      <c r="U363" s="38">
        <v>0</v>
      </c>
      <c r="V363" s="28">
        <f t="shared" si="52"/>
        <v>0</v>
      </c>
      <c r="W363" s="38">
        <v>10</v>
      </c>
      <c r="X363" s="38">
        <v>0</v>
      </c>
      <c r="Y363">
        <f t="shared" si="49"/>
        <v>0</v>
      </c>
      <c r="AB363">
        <f t="shared" si="53"/>
        <v>0</v>
      </c>
      <c r="AE363">
        <f t="shared" si="50"/>
        <v>0</v>
      </c>
      <c r="AF363" s="28">
        <f t="shared" si="51"/>
        <v>264000</v>
      </c>
      <c r="AG363" s="28">
        <f t="shared" si="46"/>
        <v>256.80933852140078</v>
      </c>
    </row>
    <row r="364" spans="1:33" ht="57.6" x14ac:dyDescent="0.3">
      <c r="A364" s="2" t="s">
        <v>836</v>
      </c>
      <c r="B364" s="4" t="s">
        <v>837</v>
      </c>
      <c r="C364" s="3" t="s">
        <v>964</v>
      </c>
      <c r="D364" s="6" t="s">
        <v>965</v>
      </c>
      <c r="E364" s="6" t="s">
        <v>974</v>
      </c>
      <c r="F364" s="6" t="s">
        <v>710</v>
      </c>
      <c r="G364" s="25">
        <v>104850</v>
      </c>
      <c r="H364" s="38"/>
      <c r="I364" s="38"/>
      <c r="J364" s="39">
        <f t="shared" si="45"/>
        <v>0</v>
      </c>
      <c r="K364" s="38">
        <v>50000</v>
      </c>
      <c r="L364" s="38">
        <v>1</v>
      </c>
      <c r="M364" s="39">
        <f t="shared" si="47"/>
        <v>5766750000.000001</v>
      </c>
      <c r="N364" s="38">
        <v>1</v>
      </c>
      <c r="O364" s="38">
        <v>1</v>
      </c>
      <c r="P364" s="39">
        <f t="shared" si="44"/>
        <v>126868.5</v>
      </c>
      <c r="Q364" s="38">
        <v>0</v>
      </c>
      <c r="R364" s="38">
        <v>0</v>
      </c>
      <c r="S364" s="39">
        <f t="shared" si="48"/>
        <v>0</v>
      </c>
      <c r="T364" s="38">
        <v>0</v>
      </c>
      <c r="U364" s="38">
        <v>0</v>
      </c>
      <c r="V364" s="28">
        <f t="shared" si="52"/>
        <v>0</v>
      </c>
      <c r="W364" s="38">
        <v>1</v>
      </c>
      <c r="X364" s="38">
        <v>1</v>
      </c>
      <c r="Y364">
        <f t="shared" si="49"/>
        <v>168861.97350000005</v>
      </c>
      <c r="AB364">
        <f t="shared" si="53"/>
        <v>0</v>
      </c>
      <c r="AE364">
        <f t="shared" si="50"/>
        <v>0</v>
      </c>
      <c r="AF364" s="28">
        <f t="shared" si="51"/>
        <v>5767045730.4735012</v>
      </c>
      <c r="AG364" s="28">
        <f t="shared" si="46"/>
        <v>5609966.6638847291</v>
      </c>
    </row>
    <row r="365" spans="1:33" ht="57.6" x14ac:dyDescent="0.3">
      <c r="A365" s="2" t="s">
        <v>836</v>
      </c>
      <c r="B365" s="4" t="s">
        <v>837</v>
      </c>
      <c r="C365" s="3" t="s">
        <v>964</v>
      </c>
      <c r="D365" s="6" t="s">
        <v>965</v>
      </c>
      <c r="E365" s="6" t="s">
        <v>974</v>
      </c>
      <c r="F365" s="6" t="s">
        <v>712</v>
      </c>
      <c r="G365" s="25">
        <f>1999/7</f>
        <v>285.57142857142856</v>
      </c>
      <c r="H365" s="38"/>
      <c r="I365" s="38"/>
      <c r="J365" s="39">
        <f t="shared" si="45"/>
        <v>0</v>
      </c>
      <c r="K365" s="38">
        <v>5</v>
      </c>
      <c r="L365" s="38">
        <v>1</v>
      </c>
      <c r="M365" s="39">
        <f t="shared" si="47"/>
        <v>1570.6428571428571</v>
      </c>
      <c r="N365" s="38">
        <v>100</v>
      </c>
      <c r="O365" s="38">
        <v>1</v>
      </c>
      <c r="P365" s="39">
        <f t="shared" si="44"/>
        <v>34554.142857142855</v>
      </c>
      <c r="Q365" s="38">
        <v>0</v>
      </c>
      <c r="R365" s="38">
        <v>0</v>
      </c>
      <c r="S365" s="39">
        <f t="shared" si="48"/>
        <v>0</v>
      </c>
      <c r="T365" s="38">
        <v>0</v>
      </c>
      <c r="U365" s="38">
        <v>0</v>
      </c>
      <c r="V365" s="28">
        <f t="shared" si="52"/>
        <v>0</v>
      </c>
      <c r="W365" s="38">
        <v>100</v>
      </c>
      <c r="X365" s="38">
        <v>1</v>
      </c>
      <c r="Y365">
        <f t="shared" si="49"/>
        <v>45991.564142857154</v>
      </c>
      <c r="AB365">
        <f t="shared" si="53"/>
        <v>0</v>
      </c>
      <c r="AE365">
        <f t="shared" si="50"/>
        <v>0</v>
      </c>
      <c r="AF365" s="28">
        <f t="shared" si="51"/>
        <v>82116.349857142864</v>
      </c>
      <c r="AG365" s="28">
        <f t="shared" si="46"/>
        <v>79.879717759866594</v>
      </c>
    </row>
    <row r="366" spans="1:33" ht="57.6" x14ac:dyDescent="0.3">
      <c r="A366" s="2" t="s">
        <v>836</v>
      </c>
      <c r="B366" s="4" t="s">
        <v>837</v>
      </c>
      <c r="C366" s="3" t="s">
        <v>964</v>
      </c>
      <c r="D366" s="6" t="s">
        <v>965</v>
      </c>
      <c r="E366" s="6" t="s">
        <v>975</v>
      </c>
      <c r="F366" s="6" t="s">
        <v>718</v>
      </c>
      <c r="G366" s="25">
        <v>0</v>
      </c>
      <c r="H366" s="38"/>
      <c r="I366" s="38"/>
      <c r="J366" s="39">
        <f t="shared" si="45"/>
        <v>0</v>
      </c>
      <c r="K366" s="38">
        <v>20000</v>
      </c>
      <c r="L366" s="38">
        <v>1</v>
      </c>
      <c r="M366" s="39">
        <f t="shared" si="47"/>
        <v>0</v>
      </c>
      <c r="N366" s="38">
        <v>0</v>
      </c>
      <c r="O366" s="38">
        <v>0</v>
      </c>
      <c r="P366" s="39">
        <f t="shared" si="44"/>
        <v>0</v>
      </c>
      <c r="Q366" s="38">
        <v>0</v>
      </c>
      <c r="R366" s="38">
        <v>0</v>
      </c>
      <c r="S366" s="39">
        <f t="shared" si="48"/>
        <v>0</v>
      </c>
      <c r="T366" s="38">
        <v>0</v>
      </c>
      <c r="U366" s="38">
        <v>0</v>
      </c>
      <c r="V366" s="28">
        <f t="shared" si="52"/>
        <v>0</v>
      </c>
      <c r="W366" s="38">
        <v>0</v>
      </c>
      <c r="X366" s="38">
        <v>0</v>
      </c>
      <c r="Y366">
        <f t="shared" si="49"/>
        <v>0</v>
      </c>
      <c r="AB366">
        <f t="shared" si="53"/>
        <v>0</v>
      </c>
      <c r="AE366">
        <f t="shared" si="50"/>
        <v>0</v>
      </c>
      <c r="AF366" s="28">
        <f t="shared" si="51"/>
        <v>0</v>
      </c>
      <c r="AG366" s="28">
        <f t="shared" si="46"/>
        <v>0</v>
      </c>
    </row>
    <row r="367" spans="1:33" x14ac:dyDescent="0.3">
      <c r="A367" s="55" t="s">
        <v>1296</v>
      </c>
      <c r="B367" s="56"/>
      <c r="C367" s="57"/>
      <c r="D367" s="58"/>
      <c r="E367" s="58"/>
      <c r="F367" s="58"/>
      <c r="G367" s="59"/>
      <c r="H367" s="60"/>
      <c r="I367" s="60"/>
      <c r="J367" s="61">
        <f t="shared" si="45"/>
        <v>0</v>
      </c>
      <c r="K367" s="60"/>
      <c r="L367" s="60"/>
      <c r="M367" s="61">
        <f>SUM(M345:M366)</f>
        <v>6316716134.9285727</v>
      </c>
      <c r="N367" s="60"/>
      <c r="O367" s="60"/>
      <c r="P367" s="61">
        <f>SUM(P345:P366)</f>
        <v>50408617.285714291</v>
      </c>
      <c r="Q367" s="60"/>
      <c r="R367" s="60"/>
      <c r="S367" s="61">
        <f>SUM(S345:S366)</f>
        <v>0</v>
      </c>
      <c r="T367" s="60"/>
      <c r="U367" s="60"/>
      <c r="V367" s="61">
        <f>SUM(V345:V366)</f>
        <v>0</v>
      </c>
      <c r="W367" s="62"/>
      <c r="X367" s="62"/>
      <c r="Y367" s="61">
        <f>SUM(Y345:Y366)</f>
        <v>68211464.615957156</v>
      </c>
      <c r="Z367" s="62"/>
      <c r="AA367" s="62"/>
      <c r="AB367" s="61">
        <f>SUM(AB345:AB366)</f>
        <v>0</v>
      </c>
      <c r="AC367" s="62"/>
      <c r="AD367" s="62"/>
      <c r="AE367" s="61">
        <f>SUM(AE345:AE366)</f>
        <v>0</v>
      </c>
      <c r="AF367" s="20">
        <f>SUM(AF345:AF366)</f>
        <v>6434218621.8215733</v>
      </c>
      <c r="AG367" s="20">
        <f t="shared" si="46"/>
        <v>6258967.5309548378</v>
      </c>
    </row>
    <row r="368" spans="1:33" x14ac:dyDescent="0.3">
      <c r="A368" s="2"/>
      <c r="B368" s="4"/>
      <c r="C368" s="3"/>
      <c r="D368" s="6"/>
      <c r="E368" s="6"/>
      <c r="F368" s="6"/>
      <c r="G368" s="25"/>
      <c r="H368" s="38"/>
      <c r="I368" s="38"/>
      <c r="J368" s="39">
        <f t="shared" si="45"/>
        <v>0</v>
      </c>
      <c r="K368" s="38"/>
      <c r="L368" s="38"/>
      <c r="M368" s="39">
        <f>M367/$AL$2</f>
        <v>6144665.5009032805</v>
      </c>
      <c r="N368" s="38"/>
      <c r="O368" s="38"/>
      <c r="P368" s="39">
        <f>P367/$AL$2</f>
        <v>49035.619927737636</v>
      </c>
      <c r="Q368" s="38"/>
      <c r="R368" s="38"/>
      <c r="S368" s="39">
        <f>S367/$AL$2</f>
        <v>0</v>
      </c>
      <c r="T368" s="38"/>
      <c r="U368" s="38"/>
      <c r="V368" s="39">
        <f>V367/$AL$2</f>
        <v>0</v>
      </c>
      <c r="Y368" s="39">
        <f>Y367/$AL$2</f>
        <v>66353.564801514745</v>
      </c>
      <c r="AB368" s="39">
        <f>AB367/$AL$2</f>
        <v>0</v>
      </c>
      <c r="AE368" s="39">
        <f>AE367/$AL$2</f>
        <v>0</v>
      </c>
      <c r="AF368" s="39">
        <f>AF367/$AL$2</f>
        <v>6258967.5309548378</v>
      </c>
      <c r="AG368" s="28">
        <f t="shared" si="46"/>
        <v>6088.4898161039282</v>
      </c>
    </row>
    <row r="369" spans="1:33" ht="57.6" x14ac:dyDescent="0.3">
      <c r="A369" s="2" t="s">
        <v>836</v>
      </c>
      <c r="B369" s="4" t="s">
        <v>837</v>
      </c>
      <c r="C369" s="3" t="s">
        <v>976</v>
      </c>
      <c r="D369" s="6" t="s">
        <v>977</v>
      </c>
      <c r="E369" s="6" t="s">
        <v>978</v>
      </c>
      <c r="F369" s="6" t="s">
        <v>709</v>
      </c>
      <c r="G369" s="25">
        <v>35000</v>
      </c>
      <c r="H369" s="38">
        <v>25</v>
      </c>
      <c r="I369" s="38">
        <v>1</v>
      </c>
      <c r="J369" s="39">
        <f t="shared" si="45"/>
        <v>875000</v>
      </c>
      <c r="K369" s="38">
        <v>25</v>
      </c>
      <c r="L369" s="38">
        <v>1</v>
      </c>
      <c r="M369" s="39">
        <f t="shared" si="47"/>
        <v>962500</v>
      </c>
      <c r="N369" s="38">
        <v>25</v>
      </c>
      <c r="O369" s="38">
        <v>1</v>
      </c>
      <c r="P369" s="39">
        <f t="shared" ref="P369:P381" si="54">(G369*1.21)*N369*O369</f>
        <v>1058750</v>
      </c>
      <c r="Q369" s="38">
        <v>25</v>
      </c>
      <c r="R369" s="38">
        <v>1</v>
      </c>
      <c r="S369" s="39">
        <f t="shared" si="48"/>
        <v>1164625.0000000005</v>
      </c>
      <c r="T369" s="38">
        <v>25</v>
      </c>
      <c r="U369" s="38">
        <v>1</v>
      </c>
      <c r="V369" s="28">
        <f t="shared" si="52"/>
        <v>1281087.5000000005</v>
      </c>
      <c r="W369" s="38">
        <v>25</v>
      </c>
      <c r="X369" s="38">
        <v>1</v>
      </c>
      <c r="Y369">
        <f t="shared" si="49"/>
        <v>1409196.2500000005</v>
      </c>
      <c r="Z369" s="38">
        <v>25</v>
      </c>
      <c r="AA369" s="38">
        <v>1</v>
      </c>
      <c r="AB369">
        <f t="shared" si="53"/>
        <v>1550115.8750000007</v>
      </c>
      <c r="AC369" s="38">
        <v>25</v>
      </c>
      <c r="AD369" s="38">
        <v>1</v>
      </c>
      <c r="AE369">
        <f t="shared" si="50"/>
        <v>1705127.4625000008</v>
      </c>
      <c r="AF369" s="28">
        <f t="shared" si="51"/>
        <v>10006402.087500004</v>
      </c>
      <c r="AG369" s="28">
        <f t="shared" si="46"/>
        <v>9733.8541707198492</v>
      </c>
    </row>
    <row r="370" spans="1:33" ht="57.6" x14ac:dyDescent="0.3">
      <c r="A370" s="2" t="s">
        <v>836</v>
      </c>
      <c r="B370" s="4" t="s">
        <v>837</v>
      </c>
      <c r="C370" s="3" t="s">
        <v>976</v>
      </c>
      <c r="D370" s="6" t="s">
        <v>977</v>
      </c>
      <c r="E370" s="6" t="s">
        <v>978</v>
      </c>
      <c r="F370" s="6" t="s">
        <v>716</v>
      </c>
      <c r="G370" s="25">
        <v>39000</v>
      </c>
      <c r="H370" s="38">
        <v>25</v>
      </c>
      <c r="I370" s="38">
        <v>2</v>
      </c>
      <c r="J370" s="39">
        <f t="shared" si="45"/>
        <v>1950000</v>
      </c>
      <c r="K370" s="38">
        <v>25</v>
      </c>
      <c r="L370" s="38">
        <v>2</v>
      </c>
      <c r="M370" s="39">
        <f t="shared" si="47"/>
        <v>2145000</v>
      </c>
      <c r="N370" s="38">
        <v>25</v>
      </c>
      <c r="O370" s="38">
        <v>2</v>
      </c>
      <c r="P370" s="39">
        <f t="shared" si="54"/>
        <v>2359500</v>
      </c>
      <c r="Q370" s="38">
        <v>25</v>
      </c>
      <c r="R370" s="38">
        <v>2</v>
      </c>
      <c r="S370" s="39">
        <f t="shared" si="48"/>
        <v>2595450.0000000009</v>
      </c>
      <c r="T370" s="38">
        <v>25</v>
      </c>
      <c r="U370" s="38">
        <v>2</v>
      </c>
      <c r="V370" s="28">
        <f t="shared" si="52"/>
        <v>2854995.0000000009</v>
      </c>
      <c r="W370" s="38">
        <v>25</v>
      </c>
      <c r="X370" s="38">
        <v>2</v>
      </c>
      <c r="Y370">
        <f t="shared" si="49"/>
        <v>3140494.5000000009</v>
      </c>
      <c r="Z370" s="38">
        <v>25</v>
      </c>
      <c r="AA370" s="38">
        <v>2</v>
      </c>
      <c r="AB370">
        <f t="shared" si="53"/>
        <v>3454543.9500000016</v>
      </c>
      <c r="AC370" s="38">
        <v>25</v>
      </c>
      <c r="AD370" s="38">
        <v>2</v>
      </c>
      <c r="AE370">
        <f t="shared" si="50"/>
        <v>3799998.3450000021</v>
      </c>
      <c r="AF370" s="28">
        <f t="shared" si="51"/>
        <v>22299981.795000006</v>
      </c>
      <c r="AG370" s="28">
        <f t="shared" si="46"/>
        <v>21692.589294747086</v>
      </c>
    </row>
    <row r="371" spans="1:33" ht="57.6" x14ac:dyDescent="0.3">
      <c r="A371" s="2" t="s">
        <v>836</v>
      </c>
      <c r="B371" s="4" t="s">
        <v>837</v>
      </c>
      <c r="C371" s="3" t="s">
        <v>976</v>
      </c>
      <c r="D371" s="6" t="s">
        <v>977</v>
      </c>
      <c r="E371" s="6" t="s">
        <v>978</v>
      </c>
      <c r="F371" s="6" t="s">
        <v>712</v>
      </c>
      <c r="G371" s="25">
        <f>1999/7</f>
        <v>285.57142857142856</v>
      </c>
      <c r="H371" s="38">
        <f>2*25*9</f>
        <v>450</v>
      </c>
      <c r="I371" s="38">
        <v>1</v>
      </c>
      <c r="J371" s="39">
        <f t="shared" si="45"/>
        <v>128507.14285714286</v>
      </c>
      <c r="K371" s="38">
        <f>2*25*9</f>
        <v>450</v>
      </c>
      <c r="L371" s="38">
        <v>1</v>
      </c>
      <c r="M371" s="39">
        <f t="shared" si="47"/>
        <v>141357.85714285716</v>
      </c>
      <c r="N371" s="38">
        <f>2*25*9</f>
        <v>450</v>
      </c>
      <c r="O371" s="38">
        <v>1</v>
      </c>
      <c r="P371" s="39">
        <f t="shared" si="54"/>
        <v>155493.64285714284</v>
      </c>
      <c r="Q371" s="38">
        <f>2*25*9</f>
        <v>450</v>
      </c>
      <c r="R371" s="38">
        <v>1</v>
      </c>
      <c r="S371" s="39">
        <f t="shared" si="48"/>
        <v>171043.00714285718</v>
      </c>
      <c r="T371" s="38">
        <f>2*25*9</f>
        <v>450</v>
      </c>
      <c r="U371" s="38">
        <v>1</v>
      </c>
      <c r="V371" s="28">
        <f t="shared" si="52"/>
        <v>188147.30785714291</v>
      </c>
      <c r="W371" s="38">
        <f>2*25*9</f>
        <v>450</v>
      </c>
      <c r="X371" s="38">
        <v>1</v>
      </c>
      <c r="Y371">
        <f t="shared" si="49"/>
        <v>206962.03864285719</v>
      </c>
      <c r="Z371" s="38">
        <f>2*25*9</f>
        <v>450</v>
      </c>
      <c r="AA371" s="38">
        <v>1</v>
      </c>
      <c r="AB371">
        <f t="shared" si="53"/>
        <v>227658.24250714295</v>
      </c>
      <c r="AC371" s="38">
        <f>2*25*9</f>
        <v>450</v>
      </c>
      <c r="AD371" s="38">
        <v>1</v>
      </c>
      <c r="AE371">
        <f t="shared" si="50"/>
        <v>250424.06675785728</v>
      </c>
      <c r="AF371" s="28">
        <f t="shared" si="51"/>
        <v>1469593.3057650004</v>
      </c>
      <c r="AG371" s="28">
        <f t="shared" si="46"/>
        <v>1429.5654725340471</v>
      </c>
    </row>
    <row r="372" spans="1:33" ht="57.6" x14ac:dyDescent="0.3">
      <c r="A372" s="2" t="s">
        <v>836</v>
      </c>
      <c r="B372" s="4" t="s">
        <v>837</v>
      </c>
      <c r="C372" s="3" t="s">
        <v>976</v>
      </c>
      <c r="D372" s="6" t="s">
        <v>977</v>
      </c>
      <c r="E372" s="6" t="s">
        <v>979</v>
      </c>
      <c r="F372" s="6" t="s">
        <v>841</v>
      </c>
      <c r="G372" s="25">
        <v>0</v>
      </c>
      <c r="H372" s="38">
        <v>4000</v>
      </c>
      <c r="I372" s="38">
        <v>1</v>
      </c>
      <c r="J372" s="39">
        <f t="shared" si="45"/>
        <v>0</v>
      </c>
      <c r="K372" s="38">
        <v>4000</v>
      </c>
      <c r="L372" s="38">
        <v>1</v>
      </c>
      <c r="M372" s="39">
        <f t="shared" si="47"/>
        <v>0</v>
      </c>
      <c r="N372" s="38">
        <v>4000</v>
      </c>
      <c r="O372" s="38">
        <v>1</v>
      </c>
      <c r="P372" s="39">
        <f t="shared" si="54"/>
        <v>0</v>
      </c>
      <c r="Q372" s="38">
        <v>4000</v>
      </c>
      <c r="R372" s="38">
        <v>1</v>
      </c>
      <c r="S372" s="39">
        <f t="shared" si="48"/>
        <v>0</v>
      </c>
      <c r="T372" s="38">
        <v>4000</v>
      </c>
      <c r="U372" s="38">
        <v>1</v>
      </c>
      <c r="V372" s="28">
        <f t="shared" si="52"/>
        <v>0</v>
      </c>
      <c r="W372" s="38">
        <v>4000</v>
      </c>
      <c r="X372" s="38">
        <v>1</v>
      </c>
      <c r="Y372">
        <f t="shared" si="49"/>
        <v>0</v>
      </c>
      <c r="Z372" s="38">
        <v>4000</v>
      </c>
      <c r="AA372" s="38">
        <v>1</v>
      </c>
      <c r="AB372">
        <f t="shared" si="53"/>
        <v>0</v>
      </c>
      <c r="AC372" s="38">
        <v>4000</v>
      </c>
      <c r="AD372" s="38">
        <v>1</v>
      </c>
      <c r="AE372">
        <f t="shared" si="50"/>
        <v>0</v>
      </c>
      <c r="AF372" s="28">
        <f t="shared" si="51"/>
        <v>0</v>
      </c>
      <c r="AG372" s="28">
        <f t="shared" si="46"/>
        <v>0</v>
      </c>
    </row>
    <row r="373" spans="1:33" ht="57.6" x14ac:dyDescent="0.3">
      <c r="A373" s="2" t="s">
        <v>836</v>
      </c>
      <c r="B373" s="4" t="s">
        <v>837</v>
      </c>
      <c r="C373" s="3" t="s">
        <v>976</v>
      </c>
      <c r="D373" s="6" t="s">
        <v>977</v>
      </c>
      <c r="E373" s="6" t="s">
        <v>980</v>
      </c>
      <c r="F373" s="6" t="s">
        <v>709</v>
      </c>
      <c r="G373" s="25">
        <v>35000</v>
      </c>
      <c r="H373" s="38">
        <v>100</v>
      </c>
      <c r="I373" s="38">
        <v>1</v>
      </c>
      <c r="J373" s="39">
        <f t="shared" si="45"/>
        <v>3500000</v>
      </c>
      <c r="K373" s="38">
        <v>100</v>
      </c>
      <c r="L373" s="38">
        <v>1</v>
      </c>
      <c r="M373" s="39">
        <f t="shared" si="47"/>
        <v>3850000</v>
      </c>
      <c r="N373" s="38">
        <v>100</v>
      </c>
      <c r="O373" s="38">
        <v>1</v>
      </c>
      <c r="P373" s="39">
        <f t="shared" si="54"/>
        <v>4235000</v>
      </c>
      <c r="Q373" s="38">
        <v>100</v>
      </c>
      <c r="R373" s="38">
        <v>1</v>
      </c>
      <c r="S373" s="39">
        <f t="shared" si="48"/>
        <v>4658500.0000000019</v>
      </c>
      <c r="T373" s="38">
        <v>100</v>
      </c>
      <c r="U373" s="38">
        <v>1</v>
      </c>
      <c r="V373" s="28">
        <f t="shared" si="52"/>
        <v>5124350.0000000019</v>
      </c>
      <c r="W373" s="38">
        <v>100</v>
      </c>
      <c r="X373" s="38">
        <v>1</v>
      </c>
      <c r="Y373">
        <f t="shared" si="49"/>
        <v>5636785.0000000019</v>
      </c>
      <c r="Z373" s="38">
        <v>100</v>
      </c>
      <c r="AA373" s="38">
        <v>1</v>
      </c>
      <c r="AB373">
        <f t="shared" si="53"/>
        <v>6200463.5000000028</v>
      </c>
      <c r="AC373" s="38">
        <v>100</v>
      </c>
      <c r="AD373" s="38">
        <v>1</v>
      </c>
      <c r="AE373">
        <f t="shared" si="50"/>
        <v>6820509.8500000034</v>
      </c>
      <c r="AF373" s="28">
        <f t="shared" si="51"/>
        <v>40025608.350000016</v>
      </c>
      <c r="AG373" s="28">
        <f t="shared" si="46"/>
        <v>38935.416682879397</v>
      </c>
    </row>
    <row r="374" spans="1:33" ht="57.6" x14ac:dyDescent="0.3">
      <c r="A374" s="2" t="s">
        <v>836</v>
      </c>
      <c r="B374" s="4" t="s">
        <v>837</v>
      </c>
      <c r="C374" s="3" t="s">
        <v>976</v>
      </c>
      <c r="D374" s="6" t="s">
        <v>977</v>
      </c>
      <c r="E374" s="6" t="s">
        <v>981</v>
      </c>
      <c r="F374" s="6" t="s">
        <v>841</v>
      </c>
      <c r="G374" s="25">
        <v>0</v>
      </c>
      <c r="H374" s="38">
        <v>20</v>
      </c>
      <c r="I374" s="38">
        <v>3</v>
      </c>
      <c r="J374" s="39">
        <f t="shared" si="45"/>
        <v>0</v>
      </c>
      <c r="K374" s="38">
        <v>20</v>
      </c>
      <c r="L374" s="38">
        <v>3</v>
      </c>
      <c r="M374" s="39">
        <f t="shared" si="47"/>
        <v>0</v>
      </c>
      <c r="N374" s="38">
        <v>20</v>
      </c>
      <c r="O374" s="38">
        <v>3</v>
      </c>
      <c r="P374" s="39">
        <f t="shared" si="54"/>
        <v>0</v>
      </c>
      <c r="Q374" s="38">
        <v>20</v>
      </c>
      <c r="R374" s="38">
        <v>3</v>
      </c>
      <c r="S374" s="39">
        <f t="shared" si="48"/>
        <v>0</v>
      </c>
      <c r="T374" s="38">
        <v>20</v>
      </c>
      <c r="U374" s="38">
        <v>3</v>
      </c>
      <c r="V374" s="28">
        <f t="shared" si="52"/>
        <v>0</v>
      </c>
      <c r="W374" s="38">
        <v>20</v>
      </c>
      <c r="X374" s="38">
        <v>3</v>
      </c>
      <c r="Y374">
        <f t="shared" si="49"/>
        <v>0</v>
      </c>
      <c r="Z374" s="38">
        <v>20</v>
      </c>
      <c r="AA374" s="38">
        <v>3</v>
      </c>
      <c r="AB374">
        <f t="shared" si="53"/>
        <v>0</v>
      </c>
      <c r="AC374" s="38">
        <v>20</v>
      </c>
      <c r="AD374" s="38">
        <v>3</v>
      </c>
      <c r="AE374">
        <f t="shared" si="50"/>
        <v>0</v>
      </c>
      <c r="AF374" s="28">
        <f t="shared" si="51"/>
        <v>0</v>
      </c>
      <c r="AG374" s="28">
        <f t="shared" si="46"/>
        <v>0</v>
      </c>
    </row>
    <row r="375" spans="1:33" ht="57.6" x14ac:dyDescent="0.3">
      <c r="A375" s="2" t="s">
        <v>836</v>
      </c>
      <c r="B375" s="4" t="s">
        <v>837</v>
      </c>
      <c r="C375" s="3" t="s">
        <v>976</v>
      </c>
      <c r="D375" s="6" t="s">
        <v>977</v>
      </c>
      <c r="E375" s="6" t="s">
        <v>982</v>
      </c>
      <c r="F375" s="6" t="s">
        <v>709</v>
      </c>
      <c r="G375" s="25">
        <v>35000</v>
      </c>
      <c r="H375" s="38">
        <v>25</v>
      </c>
      <c r="I375" s="38">
        <v>1</v>
      </c>
      <c r="J375" s="39">
        <f t="shared" si="45"/>
        <v>875000</v>
      </c>
      <c r="K375" s="38">
        <v>25</v>
      </c>
      <c r="L375" s="38">
        <v>1</v>
      </c>
      <c r="M375" s="39">
        <f t="shared" si="47"/>
        <v>962500</v>
      </c>
      <c r="N375" s="38">
        <v>25</v>
      </c>
      <c r="O375" s="38">
        <v>1</v>
      </c>
      <c r="P375" s="39">
        <f t="shared" si="54"/>
        <v>1058750</v>
      </c>
      <c r="Q375" s="38">
        <v>25</v>
      </c>
      <c r="R375" s="38">
        <v>1</v>
      </c>
      <c r="S375" s="39">
        <f t="shared" si="48"/>
        <v>1164625.0000000005</v>
      </c>
      <c r="T375" s="38">
        <v>25</v>
      </c>
      <c r="U375" s="38">
        <v>1</v>
      </c>
      <c r="V375" s="28">
        <f t="shared" si="52"/>
        <v>1281087.5000000005</v>
      </c>
      <c r="W375" s="38">
        <v>25</v>
      </c>
      <c r="X375" s="38">
        <v>1</v>
      </c>
      <c r="Y375">
        <f t="shared" si="49"/>
        <v>1409196.2500000005</v>
      </c>
      <c r="Z375" s="38">
        <v>25</v>
      </c>
      <c r="AA375" s="38">
        <v>1</v>
      </c>
      <c r="AB375">
        <f t="shared" si="53"/>
        <v>1550115.8750000007</v>
      </c>
      <c r="AC375" s="38">
        <v>25</v>
      </c>
      <c r="AD375" s="38">
        <v>1</v>
      </c>
      <c r="AE375">
        <f t="shared" si="50"/>
        <v>1705127.4625000008</v>
      </c>
      <c r="AF375" s="28">
        <f t="shared" si="51"/>
        <v>10006402.087500004</v>
      </c>
      <c r="AG375" s="28">
        <f>AF375/$AL$2</f>
        <v>9733.8541707198492</v>
      </c>
    </row>
    <row r="376" spans="1:33" x14ac:dyDescent="0.3">
      <c r="A376" s="55" t="s">
        <v>1296</v>
      </c>
      <c r="B376" s="56"/>
      <c r="C376" s="57"/>
      <c r="D376" s="58"/>
      <c r="E376" s="58"/>
      <c r="F376" s="58"/>
      <c r="G376" s="59"/>
      <c r="H376" s="60"/>
      <c r="I376" s="60"/>
      <c r="J376" s="20">
        <f t="shared" si="45"/>
        <v>0</v>
      </c>
      <c r="K376" s="60"/>
      <c r="L376" s="60"/>
      <c r="M376" s="20"/>
      <c r="N376" s="60"/>
      <c r="O376" s="60"/>
      <c r="P376" s="20"/>
      <c r="Q376" s="60"/>
      <c r="R376" s="60"/>
      <c r="S376" s="20"/>
      <c r="T376" s="60"/>
      <c r="U376" s="60"/>
      <c r="V376" s="20"/>
      <c r="W376" s="62"/>
      <c r="X376" s="62"/>
      <c r="Y376" s="20"/>
      <c r="Z376" s="62"/>
      <c r="AA376" s="62"/>
      <c r="AB376" s="20"/>
      <c r="AC376" s="62"/>
      <c r="AD376" s="62"/>
      <c r="AE376" s="20"/>
      <c r="AF376" s="20"/>
      <c r="AG376" s="20"/>
    </row>
    <row r="377" spans="1:33" s="98" customFormat="1" ht="57.6" x14ac:dyDescent="0.3">
      <c r="A377" s="102" t="s">
        <v>836</v>
      </c>
      <c r="B377" s="103" t="s">
        <v>837</v>
      </c>
      <c r="C377" s="98" t="s">
        <v>1641</v>
      </c>
      <c r="D377" s="98" t="s">
        <v>1642</v>
      </c>
      <c r="E377" s="98" t="s">
        <v>1643</v>
      </c>
      <c r="F377" s="98" t="s">
        <v>841</v>
      </c>
      <c r="J377" s="99">
        <f t="shared" si="45"/>
        <v>0</v>
      </c>
      <c r="M377" s="99">
        <f t="shared" si="47"/>
        <v>0</v>
      </c>
      <c r="P377" s="99">
        <f t="shared" si="54"/>
        <v>0</v>
      </c>
      <c r="S377" s="99"/>
      <c r="V377" s="99"/>
      <c r="Y377" s="99"/>
      <c r="AB377" s="99"/>
      <c r="AE377" s="99"/>
    </row>
    <row r="378" spans="1:33" x14ac:dyDescent="0.3">
      <c r="A378" t="s">
        <v>836</v>
      </c>
      <c r="B378" t="s">
        <v>837</v>
      </c>
      <c r="C378" t="s">
        <v>1641</v>
      </c>
      <c r="D378" t="s">
        <v>1642</v>
      </c>
      <c r="E378" t="s">
        <v>1644</v>
      </c>
      <c r="F378" t="s">
        <v>709</v>
      </c>
      <c r="G378">
        <v>35000</v>
      </c>
      <c r="J378">
        <f t="shared" si="45"/>
        <v>0</v>
      </c>
      <c r="K378">
        <v>25</v>
      </c>
      <c r="L378">
        <v>2</v>
      </c>
      <c r="M378">
        <f t="shared" si="47"/>
        <v>1925000</v>
      </c>
      <c r="P378">
        <f t="shared" si="54"/>
        <v>0</v>
      </c>
      <c r="AF378" s="28"/>
      <c r="AG378" s="28"/>
    </row>
    <row r="379" spans="1:33" x14ac:dyDescent="0.3">
      <c r="A379" t="s">
        <v>836</v>
      </c>
      <c r="B379" t="s">
        <v>837</v>
      </c>
      <c r="C379" t="s">
        <v>1641</v>
      </c>
      <c r="D379" t="s">
        <v>1642</v>
      </c>
      <c r="E379" t="s">
        <v>1644</v>
      </c>
      <c r="F379" t="s">
        <v>716</v>
      </c>
      <c r="G379">
        <v>39000</v>
      </c>
      <c r="J379">
        <f t="shared" si="45"/>
        <v>0</v>
      </c>
      <c r="K379">
        <v>25</v>
      </c>
      <c r="L379">
        <v>3</v>
      </c>
      <c r="M379">
        <f t="shared" si="47"/>
        <v>3217500</v>
      </c>
      <c r="P379">
        <f t="shared" si="54"/>
        <v>0</v>
      </c>
    </row>
    <row r="380" spans="1:33" x14ac:dyDescent="0.3">
      <c r="A380" t="s">
        <v>836</v>
      </c>
      <c r="B380" t="s">
        <v>837</v>
      </c>
      <c r="C380" t="s">
        <v>1641</v>
      </c>
      <c r="D380" t="s">
        <v>1642</v>
      </c>
      <c r="E380" t="s">
        <v>1644</v>
      </c>
      <c r="F380" t="s">
        <v>712</v>
      </c>
      <c r="G380">
        <f>1999/7</f>
        <v>285.57142857142856</v>
      </c>
      <c r="J380">
        <f t="shared" si="45"/>
        <v>0</v>
      </c>
      <c r="K380">
        <f>2*25*9</f>
        <v>450</v>
      </c>
      <c r="L380">
        <v>2</v>
      </c>
      <c r="M380">
        <f t="shared" si="47"/>
        <v>282715.71428571432</v>
      </c>
      <c r="P380">
        <f t="shared" si="54"/>
        <v>0</v>
      </c>
    </row>
    <row r="381" spans="1:33" x14ac:dyDescent="0.3">
      <c r="A381" t="s">
        <v>836</v>
      </c>
      <c r="B381" t="s">
        <v>837</v>
      </c>
      <c r="C381" t="s">
        <v>1641</v>
      </c>
      <c r="D381" t="s">
        <v>1642</v>
      </c>
      <c r="E381" t="s">
        <v>1644</v>
      </c>
      <c r="F381" t="s">
        <v>1303</v>
      </c>
      <c r="G381">
        <f>1999/7</f>
        <v>285.57142857142856</v>
      </c>
      <c r="J381">
        <f t="shared" si="45"/>
        <v>0</v>
      </c>
      <c r="K381">
        <f>2*135*9</f>
        <v>2430</v>
      </c>
      <c r="L381">
        <v>1</v>
      </c>
      <c r="M381">
        <f t="shared" si="47"/>
        <v>763332.42857142864</v>
      </c>
      <c r="P381">
        <f t="shared" si="54"/>
        <v>0</v>
      </c>
    </row>
    <row r="382" spans="1:33" x14ac:dyDescent="0.3">
      <c r="A382" t="s">
        <v>836</v>
      </c>
      <c r="B382" t="s">
        <v>837</v>
      </c>
      <c r="C382" t="s">
        <v>1641</v>
      </c>
      <c r="D382" t="s">
        <v>1642</v>
      </c>
      <c r="E382" t="s">
        <v>1645</v>
      </c>
      <c r="F382" t="s">
        <v>709</v>
      </c>
      <c r="G382">
        <v>35000</v>
      </c>
      <c r="J382">
        <f t="shared" si="45"/>
        <v>0</v>
      </c>
      <c r="K382">
        <v>100</v>
      </c>
      <c r="L382">
        <v>1</v>
      </c>
      <c r="M382">
        <f t="shared" si="47"/>
        <v>3850000</v>
      </c>
      <c r="N382">
        <v>100</v>
      </c>
      <c r="O382">
        <v>1</v>
      </c>
      <c r="P382">
        <f>(G382*1.21)*N382*O382</f>
        <v>4235000</v>
      </c>
    </row>
    <row r="383" spans="1:33" x14ac:dyDescent="0.3">
      <c r="J383">
        <f t="shared" si="45"/>
        <v>0</v>
      </c>
      <c r="M383">
        <f>SUM(M377:M382)</f>
        <v>10038548.142857144</v>
      </c>
    </row>
    <row r="384" spans="1:33" x14ac:dyDescent="0.3">
      <c r="A384" t="s">
        <v>836</v>
      </c>
      <c r="B384" t="s">
        <v>837</v>
      </c>
      <c r="C384" t="s">
        <v>1646</v>
      </c>
      <c r="E384" t="s">
        <v>1647</v>
      </c>
      <c r="F384" t="s">
        <v>841</v>
      </c>
      <c r="J384">
        <f t="shared" si="45"/>
        <v>0</v>
      </c>
      <c r="P384">
        <f t="shared" ref="P384:P412" si="55">(G384*1.21)*N384*O384</f>
        <v>0</v>
      </c>
    </row>
    <row r="385" spans="1:16" x14ac:dyDescent="0.3">
      <c r="A385" t="s">
        <v>836</v>
      </c>
      <c r="B385" t="s">
        <v>837</v>
      </c>
      <c r="C385" t="s">
        <v>1646</v>
      </c>
      <c r="E385" t="s">
        <v>1648</v>
      </c>
      <c r="F385" t="s">
        <v>709</v>
      </c>
      <c r="G385">
        <v>35000</v>
      </c>
      <c r="J385">
        <f t="shared" si="45"/>
        <v>0</v>
      </c>
      <c r="N385">
        <v>25</v>
      </c>
      <c r="O385">
        <v>2</v>
      </c>
      <c r="P385">
        <f t="shared" si="55"/>
        <v>2117500</v>
      </c>
    </row>
    <row r="386" spans="1:16" x14ac:dyDescent="0.3">
      <c r="A386" t="s">
        <v>836</v>
      </c>
      <c r="B386" t="s">
        <v>837</v>
      </c>
      <c r="C386" t="s">
        <v>1646</v>
      </c>
      <c r="E386" t="s">
        <v>1648</v>
      </c>
      <c r="F386" t="s">
        <v>716</v>
      </c>
      <c r="G386">
        <v>39000</v>
      </c>
      <c r="J386">
        <f t="shared" si="45"/>
        <v>0</v>
      </c>
      <c r="N386">
        <v>25</v>
      </c>
      <c r="O386">
        <v>3</v>
      </c>
      <c r="P386">
        <f t="shared" si="55"/>
        <v>3539250</v>
      </c>
    </row>
    <row r="387" spans="1:16" x14ac:dyDescent="0.3">
      <c r="A387" t="s">
        <v>836</v>
      </c>
      <c r="B387" t="s">
        <v>837</v>
      </c>
      <c r="C387" t="s">
        <v>1646</v>
      </c>
      <c r="E387" t="s">
        <v>1648</v>
      </c>
      <c r="F387" t="s">
        <v>712</v>
      </c>
      <c r="G387">
        <f>1999/7</f>
        <v>285.57142857142856</v>
      </c>
      <c r="J387">
        <f t="shared" ref="J387:J427" si="56">G387*H387*I387</f>
        <v>0</v>
      </c>
      <c r="N387">
        <f>2*25*9</f>
        <v>450</v>
      </c>
      <c r="O387">
        <v>2</v>
      </c>
      <c r="P387">
        <f t="shared" si="55"/>
        <v>310987.28571428568</v>
      </c>
    </row>
    <row r="388" spans="1:16" x14ac:dyDescent="0.3">
      <c r="A388" t="s">
        <v>836</v>
      </c>
      <c r="B388" t="s">
        <v>837</v>
      </c>
      <c r="C388" t="s">
        <v>1646</v>
      </c>
      <c r="E388" t="s">
        <v>1648</v>
      </c>
      <c r="F388" t="s">
        <v>1303</v>
      </c>
      <c r="G388">
        <f>1999/7</f>
        <v>285.57142857142856</v>
      </c>
      <c r="J388">
        <f t="shared" si="56"/>
        <v>0</v>
      </c>
      <c r="N388">
        <f>2*135*9</f>
        <v>2430</v>
      </c>
      <c r="O388">
        <v>1</v>
      </c>
      <c r="P388">
        <f t="shared" si="55"/>
        <v>839665.67142857134</v>
      </c>
    </row>
    <row r="389" spans="1:16" x14ac:dyDescent="0.3">
      <c r="A389" t="s">
        <v>836</v>
      </c>
      <c r="B389" t="s">
        <v>837</v>
      </c>
      <c r="C389" t="s">
        <v>1649</v>
      </c>
      <c r="D389" t="s">
        <v>1650</v>
      </c>
      <c r="E389" t="s">
        <v>1651</v>
      </c>
      <c r="F389" t="s">
        <v>709</v>
      </c>
      <c r="G389">
        <v>35000</v>
      </c>
      <c r="J389">
        <f t="shared" si="56"/>
        <v>0</v>
      </c>
      <c r="N389">
        <v>25</v>
      </c>
      <c r="O389">
        <f>3*3</f>
        <v>9</v>
      </c>
      <c r="P389">
        <f t="shared" si="55"/>
        <v>9528750</v>
      </c>
    </row>
    <row r="390" spans="1:16" x14ac:dyDescent="0.3">
      <c r="A390" t="s">
        <v>836</v>
      </c>
      <c r="B390" t="s">
        <v>837</v>
      </c>
      <c r="C390" t="s">
        <v>1646</v>
      </c>
      <c r="D390" t="s">
        <v>1650</v>
      </c>
      <c r="E390" t="s">
        <v>1651</v>
      </c>
      <c r="F390" t="s">
        <v>716</v>
      </c>
      <c r="G390">
        <v>39000</v>
      </c>
      <c r="J390">
        <f t="shared" si="56"/>
        <v>0</v>
      </c>
      <c r="N390">
        <v>25</v>
      </c>
      <c r="O390">
        <f>4*3</f>
        <v>12</v>
      </c>
      <c r="P390">
        <f t="shared" si="55"/>
        <v>14157000</v>
      </c>
    </row>
    <row r="391" spans="1:16" x14ac:dyDescent="0.3">
      <c r="A391" t="s">
        <v>836</v>
      </c>
      <c r="B391" t="s">
        <v>837</v>
      </c>
      <c r="C391" t="s">
        <v>1646</v>
      </c>
      <c r="D391" t="s">
        <v>1650</v>
      </c>
      <c r="E391" t="s">
        <v>1651</v>
      </c>
      <c r="F391" t="s">
        <v>712</v>
      </c>
      <c r="G391">
        <f>1999/7</f>
        <v>285.57142857142856</v>
      </c>
      <c r="J391">
        <f t="shared" si="56"/>
        <v>0</v>
      </c>
      <c r="N391">
        <f>2*25*9</f>
        <v>450</v>
      </c>
      <c r="O391">
        <f>3*3</f>
        <v>9</v>
      </c>
      <c r="P391">
        <f t="shared" si="55"/>
        <v>1399442.7857142854</v>
      </c>
    </row>
    <row r="392" spans="1:16" x14ac:dyDescent="0.3">
      <c r="A392" t="s">
        <v>836</v>
      </c>
      <c r="B392" t="s">
        <v>837</v>
      </c>
      <c r="C392" t="s">
        <v>1646</v>
      </c>
      <c r="D392" t="s">
        <v>1650</v>
      </c>
      <c r="E392" t="s">
        <v>1651</v>
      </c>
      <c r="F392" t="s">
        <v>1303</v>
      </c>
      <c r="G392">
        <f>1999/7</f>
        <v>285.57142857142856</v>
      </c>
      <c r="J392">
        <f t="shared" si="56"/>
        <v>0</v>
      </c>
      <c r="N392">
        <f>2*135*9</f>
        <v>2430</v>
      </c>
      <c r="O392">
        <v>3</v>
      </c>
      <c r="P392">
        <f t="shared" si="55"/>
        <v>2518997.0142857139</v>
      </c>
    </row>
    <row r="393" spans="1:16" x14ac:dyDescent="0.3">
      <c r="A393" t="s">
        <v>836</v>
      </c>
      <c r="B393" t="s">
        <v>837</v>
      </c>
      <c r="C393" t="s">
        <v>1646</v>
      </c>
      <c r="D393" t="s">
        <v>1650</v>
      </c>
      <c r="E393" t="s">
        <v>1652</v>
      </c>
      <c r="F393" t="s">
        <v>709</v>
      </c>
      <c r="G393">
        <v>35000</v>
      </c>
      <c r="J393">
        <f t="shared" si="56"/>
        <v>0</v>
      </c>
      <c r="N393">
        <v>25</v>
      </c>
      <c r="O393">
        <v>1</v>
      </c>
      <c r="P393">
        <f t="shared" si="55"/>
        <v>1058750</v>
      </c>
    </row>
    <row r="394" spans="1:16" x14ac:dyDescent="0.3">
      <c r="A394" t="s">
        <v>836</v>
      </c>
      <c r="B394" t="s">
        <v>837</v>
      </c>
      <c r="C394" t="s">
        <v>1646</v>
      </c>
      <c r="D394" t="s">
        <v>1653</v>
      </c>
      <c r="E394" t="s">
        <v>936</v>
      </c>
      <c r="F394" t="s">
        <v>841</v>
      </c>
      <c r="J394">
        <f t="shared" si="56"/>
        <v>0</v>
      </c>
      <c r="P394">
        <f t="shared" si="55"/>
        <v>0</v>
      </c>
    </row>
    <row r="395" spans="1:16" x14ac:dyDescent="0.3">
      <c r="A395" t="s">
        <v>836</v>
      </c>
      <c r="B395" t="s">
        <v>837</v>
      </c>
      <c r="C395" t="s">
        <v>1646</v>
      </c>
      <c r="D395" t="s">
        <v>1653</v>
      </c>
      <c r="E395" t="s">
        <v>1332</v>
      </c>
      <c r="F395" t="s">
        <v>709</v>
      </c>
      <c r="G395">
        <v>35000</v>
      </c>
      <c r="J395">
        <f t="shared" si="56"/>
        <v>0</v>
      </c>
      <c r="N395">
        <v>60</v>
      </c>
      <c r="O395">
        <v>2</v>
      </c>
      <c r="P395">
        <f t="shared" si="55"/>
        <v>5082000</v>
      </c>
    </row>
    <row r="396" spans="1:16" x14ac:dyDescent="0.3">
      <c r="A396" t="s">
        <v>836</v>
      </c>
      <c r="B396" t="s">
        <v>837</v>
      </c>
      <c r="C396" t="s">
        <v>1646</v>
      </c>
      <c r="D396" t="s">
        <v>1654</v>
      </c>
      <c r="E396" t="s">
        <v>1333</v>
      </c>
      <c r="F396" t="s">
        <v>1329</v>
      </c>
      <c r="G396">
        <v>0</v>
      </c>
      <c r="J396">
        <f t="shared" si="56"/>
        <v>0</v>
      </c>
      <c r="N396">
        <v>0</v>
      </c>
      <c r="O396">
        <v>0</v>
      </c>
      <c r="P396">
        <f t="shared" si="55"/>
        <v>0</v>
      </c>
    </row>
    <row r="397" spans="1:16" x14ac:dyDescent="0.3">
      <c r="A397" t="s">
        <v>836</v>
      </c>
      <c r="B397" t="s">
        <v>837</v>
      </c>
      <c r="C397" t="s">
        <v>1646</v>
      </c>
      <c r="D397" t="s">
        <v>1654</v>
      </c>
      <c r="E397" t="s">
        <v>1334</v>
      </c>
      <c r="F397" t="s">
        <v>709</v>
      </c>
      <c r="G397">
        <v>35000</v>
      </c>
      <c r="J397">
        <f t="shared" si="56"/>
        <v>0</v>
      </c>
      <c r="N397">
        <v>15</v>
      </c>
      <c r="O397">
        <v>6</v>
      </c>
      <c r="P397">
        <f t="shared" si="55"/>
        <v>3811500</v>
      </c>
    </row>
    <row r="398" spans="1:16" x14ac:dyDescent="0.3">
      <c r="A398" t="s">
        <v>836</v>
      </c>
      <c r="B398" t="s">
        <v>837</v>
      </c>
      <c r="C398" t="s">
        <v>1646</v>
      </c>
      <c r="D398" t="s">
        <v>1654</v>
      </c>
      <c r="E398" t="s">
        <v>1334</v>
      </c>
      <c r="F398" t="s">
        <v>716</v>
      </c>
      <c r="G398">
        <v>39000</v>
      </c>
      <c r="J398">
        <f t="shared" si="56"/>
        <v>0</v>
      </c>
      <c r="O398">
        <v>8</v>
      </c>
      <c r="P398">
        <f t="shared" si="55"/>
        <v>0</v>
      </c>
    </row>
    <row r="399" spans="1:16" x14ac:dyDescent="0.3">
      <c r="A399" t="s">
        <v>836</v>
      </c>
      <c r="B399" t="s">
        <v>837</v>
      </c>
      <c r="C399" t="s">
        <v>1646</v>
      </c>
      <c r="D399" t="s">
        <v>1654</v>
      </c>
      <c r="E399" t="s">
        <v>1334</v>
      </c>
      <c r="F399" t="s">
        <v>712</v>
      </c>
      <c r="G399">
        <f>1999/7</f>
        <v>285.57142857142856</v>
      </c>
      <c r="J399">
        <f t="shared" si="56"/>
        <v>0</v>
      </c>
      <c r="N399">
        <f>2*25*5</f>
        <v>250</v>
      </c>
      <c r="O399">
        <v>6</v>
      </c>
      <c r="P399">
        <f t="shared" si="55"/>
        <v>518312.14285714278</v>
      </c>
    </row>
    <row r="400" spans="1:16" x14ac:dyDescent="0.3">
      <c r="A400" t="s">
        <v>836</v>
      </c>
      <c r="B400" t="s">
        <v>837</v>
      </c>
      <c r="C400" t="s">
        <v>1646</v>
      </c>
      <c r="D400" t="s">
        <v>1654</v>
      </c>
      <c r="E400" t="s">
        <v>1334</v>
      </c>
      <c r="F400" t="s">
        <v>1336</v>
      </c>
      <c r="G400">
        <f>1999/7</f>
        <v>285.57142857142856</v>
      </c>
      <c r="J400">
        <f t="shared" si="56"/>
        <v>0</v>
      </c>
      <c r="N400">
        <f>2*135*5</f>
        <v>1350</v>
      </c>
      <c r="O400">
        <v>2</v>
      </c>
      <c r="P400">
        <f t="shared" si="55"/>
        <v>932961.85714285704</v>
      </c>
    </row>
    <row r="401" spans="1:16" x14ac:dyDescent="0.3">
      <c r="A401" t="s">
        <v>836</v>
      </c>
      <c r="B401" t="s">
        <v>837</v>
      </c>
      <c r="C401" t="s">
        <v>1646</v>
      </c>
      <c r="D401" t="s">
        <v>1654</v>
      </c>
      <c r="E401" t="s">
        <v>1335</v>
      </c>
      <c r="F401" t="s">
        <v>709</v>
      </c>
      <c r="G401">
        <v>35000</v>
      </c>
      <c r="J401">
        <f t="shared" si="56"/>
        <v>0</v>
      </c>
      <c r="N401">
        <v>15</v>
      </c>
      <c r="O401">
        <v>2</v>
      </c>
      <c r="P401">
        <f t="shared" si="55"/>
        <v>1270500</v>
      </c>
    </row>
    <row r="402" spans="1:16" x14ac:dyDescent="0.3">
      <c r="A402" t="s">
        <v>836</v>
      </c>
      <c r="B402" t="s">
        <v>837</v>
      </c>
      <c r="C402" t="s">
        <v>1646</v>
      </c>
      <c r="D402" t="s">
        <v>1654</v>
      </c>
      <c r="E402" t="s">
        <v>1335</v>
      </c>
      <c r="F402" t="s">
        <v>716</v>
      </c>
      <c r="G402">
        <v>39000</v>
      </c>
      <c r="J402">
        <f t="shared" si="56"/>
        <v>0</v>
      </c>
      <c r="N402">
        <v>15</v>
      </c>
      <c r="O402">
        <v>3</v>
      </c>
      <c r="P402">
        <f t="shared" si="55"/>
        <v>2123550</v>
      </c>
    </row>
    <row r="403" spans="1:16" x14ac:dyDescent="0.3">
      <c r="A403" t="s">
        <v>836</v>
      </c>
      <c r="B403" t="s">
        <v>837</v>
      </c>
      <c r="C403" t="s">
        <v>1646</v>
      </c>
      <c r="D403" t="s">
        <v>1654</v>
      </c>
      <c r="E403" t="s">
        <v>1335</v>
      </c>
      <c r="F403" t="s">
        <v>712</v>
      </c>
      <c r="G403">
        <f>1999/7</f>
        <v>285.57142857142856</v>
      </c>
      <c r="J403">
        <f t="shared" si="56"/>
        <v>0</v>
      </c>
      <c r="N403">
        <f>2*25*5</f>
        <v>250</v>
      </c>
      <c r="O403">
        <v>2</v>
      </c>
      <c r="P403">
        <f t="shared" si="55"/>
        <v>172770.71428571426</v>
      </c>
    </row>
    <row r="404" spans="1:16" x14ac:dyDescent="0.3">
      <c r="A404" t="s">
        <v>836</v>
      </c>
      <c r="B404" t="s">
        <v>837</v>
      </c>
      <c r="C404" t="s">
        <v>1646</v>
      </c>
      <c r="D404" t="s">
        <v>1654</v>
      </c>
      <c r="E404" t="s">
        <v>1335</v>
      </c>
      <c r="F404" t="s">
        <v>1336</v>
      </c>
      <c r="G404">
        <f>1999/7</f>
        <v>285.57142857142856</v>
      </c>
      <c r="J404">
        <f t="shared" si="56"/>
        <v>0</v>
      </c>
      <c r="N404">
        <f>2*135*5</f>
        <v>1350</v>
      </c>
      <c r="O404">
        <v>1</v>
      </c>
      <c r="P404">
        <f t="shared" si="55"/>
        <v>466480.92857142852</v>
      </c>
    </row>
    <row r="405" spans="1:16" x14ac:dyDescent="0.3">
      <c r="A405" t="s">
        <v>836</v>
      </c>
      <c r="B405" t="s">
        <v>837</v>
      </c>
      <c r="C405" t="s">
        <v>1646</v>
      </c>
      <c r="D405" t="s">
        <v>1654</v>
      </c>
      <c r="E405" t="s">
        <v>1337</v>
      </c>
      <c r="F405" t="s">
        <v>1338</v>
      </c>
      <c r="G405">
        <v>0</v>
      </c>
      <c r="J405">
        <f t="shared" si="56"/>
        <v>0</v>
      </c>
      <c r="N405">
        <v>12</v>
      </c>
      <c r="O405">
        <v>1</v>
      </c>
      <c r="P405">
        <f t="shared" si="55"/>
        <v>0</v>
      </c>
    </row>
    <row r="406" spans="1:16" x14ac:dyDescent="0.3">
      <c r="A406" t="s">
        <v>836</v>
      </c>
      <c r="B406" t="s">
        <v>837</v>
      </c>
      <c r="C406" t="s">
        <v>1646</v>
      </c>
      <c r="D406" t="s">
        <v>1654</v>
      </c>
      <c r="E406" t="s">
        <v>1337</v>
      </c>
      <c r="F406" t="s">
        <v>713</v>
      </c>
      <c r="G406">
        <v>45000</v>
      </c>
      <c r="J406">
        <f t="shared" si="56"/>
        <v>0</v>
      </c>
      <c r="N406">
        <v>12</v>
      </c>
      <c r="O406">
        <v>2</v>
      </c>
      <c r="P406">
        <f t="shared" si="55"/>
        <v>1306800</v>
      </c>
    </row>
    <row r="407" spans="1:16" x14ac:dyDescent="0.3">
      <c r="A407" t="s">
        <v>836</v>
      </c>
      <c r="B407" t="s">
        <v>837</v>
      </c>
      <c r="C407" t="s">
        <v>1646</v>
      </c>
      <c r="D407" t="s">
        <v>1654</v>
      </c>
      <c r="E407" t="s">
        <v>1337</v>
      </c>
      <c r="F407" t="s">
        <v>712</v>
      </c>
      <c r="G407">
        <f>1999/7</f>
        <v>285.57142857142856</v>
      </c>
      <c r="J407">
        <f t="shared" si="56"/>
        <v>0</v>
      </c>
      <c r="N407">
        <f>2*25*5</f>
        <v>250</v>
      </c>
      <c r="O407">
        <v>2</v>
      </c>
      <c r="P407">
        <f t="shared" si="55"/>
        <v>172770.71428571426</v>
      </c>
    </row>
    <row r="408" spans="1:16" x14ac:dyDescent="0.3">
      <c r="A408" t="s">
        <v>836</v>
      </c>
      <c r="B408" t="s">
        <v>837</v>
      </c>
      <c r="C408" t="s">
        <v>1646</v>
      </c>
      <c r="D408" t="s">
        <v>1654</v>
      </c>
      <c r="E408" t="s">
        <v>1337</v>
      </c>
      <c r="F408" t="s">
        <v>1336</v>
      </c>
      <c r="G408">
        <f>1999/7</f>
        <v>285.57142857142856</v>
      </c>
      <c r="J408">
        <f t="shared" si="56"/>
        <v>0</v>
      </c>
      <c r="N408">
        <f>2*135*5</f>
        <v>1350</v>
      </c>
      <c r="O408">
        <v>1</v>
      </c>
      <c r="P408">
        <f t="shared" si="55"/>
        <v>466480.92857142852</v>
      </c>
    </row>
    <row r="409" spans="1:16" x14ac:dyDescent="0.3">
      <c r="A409" t="s">
        <v>836</v>
      </c>
      <c r="B409" t="s">
        <v>837</v>
      </c>
      <c r="C409" t="s">
        <v>1646</v>
      </c>
      <c r="D409" t="s">
        <v>1654</v>
      </c>
      <c r="E409" t="s">
        <v>1339</v>
      </c>
      <c r="F409" t="s">
        <v>709</v>
      </c>
      <c r="G409">
        <v>35000</v>
      </c>
      <c r="J409">
        <f t="shared" si="56"/>
        <v>0</v>
      </c>
      <c r="N409">
        <v>20</v>
      </c>
      <c r="O409">
        <v>2</v>
      </c>
      <c r="P409">
        <f t="shared" si="55"/>
        <v>1694000</v>
      </c>
    </row>
    <row r="410" spans="1:16" x14ac:dyDescent="0.3">
      <c r="A410" t="s">
        <v>836</v>
      </c>
      <c r="B410" t="s">
        <v>837</v>
      </c>
      <c r="C410" t="s">
        <v>1646</v>
      </c>
      <c r="D410" t="s">
        <v>1654</v>
      </c>
      <c r="E410" t="s">
        <v>1339</v>
      </c>
      <c r="F410" t="s">
        <v>716</v>
      </c>
      <c r="G410">
        <v>39000</v>
      </c>
      <c r="J410">
        <f t="shared" si="56"/>
        <v>0</v>
      </c>
      <c r="N410">
        <v>20</v>
      </c>
      <c r="O410">
        <v>3</v>
      </c>
      <c r="P410">
        <f t="shared" si="55"/>
        <v>2831400</v>
      </c>
    </row>
    <row r="411" spans="1:16" x14ac:dyDescent="0.3">
      <c r="A411" t="s">
        <v>836</v>
      </c>
      <c r="B411" t="s">
        <v>837</v>
      </c>
      <c r="C411" t="s">
        <v>1646</v>
      </c>
      <c r="D411" t="s">
        <v>1654</v>
      </c>
      <c r="E411" t="s">
        <v>1339</v>
      </c>
      <c r="F411" t="s">
        <v>712</v>
      </c>
      <c r="G411">
        <f>1999/7</f>
        <v>285.57142857142856</v>
      </c>
      <c r="J411">
        <f t="shared" si="56"/>
        <v>0</v>
      </c>
      <c r="N411">
        <f>2*25*5</f>
        <v>250</v>
      </c>
      <c r="O411">
        <v>2</v>
      </c>
      <c r="P411">
        <f t="shared" si="55"/>
        <v>172770.71428571426</v>
      </c>
    </row>
    <row r="412" spans="1:16" x14ac:dyDescent="0.3">
      <c r="A412" t="s">
        <v>836</v>
      </c>
      <c r="B412" t="s">
        <v>837</v>
      </c>
      <c r="C412" t="s">
        <v>1646</v>
      </c>
      <c r="D412" t="s">
        <v>1654</v>
      </c>
      <c r="E412" t="s">
        <v>1339</v>
      </c>
      <c r="F412" t="s">
        <v>1336</v>
      </c>
      <c r="G412">
        <f>1999/7</f>
        <v>285.57142857142856</v>
      </c>
      <c r="J412">
        <f t="shared" si="56"/>
        <v>0</v>
      </c>
      <c r="N412">
        <f>2*135*5</f>
        <v>1350</v>
      </c>
      <c r="O412">
        <v>1</v>
      </c>
      <c r="P412">
        <f t="shared" si="55"/>
        <v>466480.92857142852</v>
      </c>
    </row>
    <row r="413" spans="1:16" x14ac:dyDescent="0.3">
      <c r="A413" t="s">
        <v>836</v>
      </c>
      <c r="B413" t="s">
        <v>837</v>
      </c>
      <c r="C413" t="s">
        <v>1646</v>
      </c>
      <c r="J413">
        <f t="shared" si="56"/>
        <v>0</v>
      </c>
    </row>
    <row r="414" spans="1:16" x14ac:dyDescent="0.3">
      <c r="A414" t="s">
        <v>836</v>
      </c>
      <c r="B414" t="s">
        <v>837</v>
      </c>
      <c r="C414" t="s">
        <v>1646</v>
      </c>
      <c r="J414">
        <f t="shared" si="56"/>
        <v>0</v>
      </c>
    </row>
    <row r="415" spans="1:16" x14ac:dyDescent="0.3">
      <c r="A415" t="s">
        <v>836</v>
      </c>
      <c r="B415" t="s">
        <v>837</v>
      </c>
      <c r="C415" t="s">
        <v>1646</v>
      </c>
      <c r="J415">
        <f t="shared" si="56"/>
        <v>0</v>
      </c>
    </row>
    <row r="416" spans="1:16" x14ac:dyDescent="0.3">
      <c r="A416" t="s">
        <v>836</v>
      </c>
      <c r="B416" t="s">
        <v>837</v>
      </c>
      <c r="C416" t="s">
        <v>1646</v>
      </c>
      <c r="J416">
        <f t="shared" si="56"/>
        <v>0</v>
      </c>
    </row>
    <row r="417" spans="1:33" x14ac:dyDescent="0.3">
      <c r="A417" t="s">
        <v>836</v>
      </c>
      <c r="B417" t="s">
        <v>837</v>
      </c>
      <c r="C417" t="s">
        <v>1646</v>
      </c>
      <c r="J417">
        <f t="shared" si="56"/>
        <v>0</v>
      </c>
    </row>
    <row r="418" spans="1:33" x14ac:dyDescent="0.3">
      <c r="A418" t="s">
        <v>836</v>
      </c>
      <c r="B418" t="s">
        <v>837</v>
      </c>
      <c r="C418" t="s">
        <v>1646</v>
      </c>
      <c r="J418">
        <f t="shared" si="56"/>
        <v>0</v>
      </c>
    </row>
    <row r="419" spans="1:33" x14ac:dyDescent="0.3">
      <c r="A419" t="s">
        <v>836</v>
      </c>
      <c r="B419" t="s">
        <v>837</v>
      </c>
      <c r="C419" t="s">
        <v>1646</v>
      </c>
      <c r="J419">
        <f t="shared" si="56"/>
        <v>0</v>
      </c>
    </row>
    <row r="420" spans="1:33" x14ac:dyDescent="0.3">
      <c r="A420" t="s">
        <v>836</v>
      </c>
      <c r="B420" t="s">
        <v>837</v>
      </c>
      <c r="C420" t="s">
        <v>1646</v>
      </c>
      <c r="J420">
        <f t="shared" si="56"/>
        <v>0</v>
      </c>
    </row>
    <row r="421" spans="1:33" x14ac:dyDescent="0.3">
      <c r="A421" t="s">
        <v>836</v>
      </c>
      <c r="B421" t="s">
        <v>837</v>
      </c>
      <c r="C421" t="s">
        <v>1646</v>
      </c>
      <c r="J421">
        <f t="shared" si="56"/>
        <v>0</v>
      </c>
    </row>
    <row r="422" spans="1:33" x14ac:dyDescent="0.3">
      <c r="A422" t="s">
        <v>836</v>
      </c>
      <c r="B422" t="s">
        <v>837</v>
      </c>
      <c r="C422" t="s">
        <v>1646</v>
      </c>
      <c r="J422">
        <f t="shared" si="56"/>
        <v>0</v>
      </c>
    </row>
    <row r="423" spans="1:33" x14ac:dyDescent="0.3">
      <c r="A423" t="s">
        <v>836</v>
      </c>
      <c r="B423" t="s">
        <v>837</v>
      </c>
      <c r="C423" t="s">
        <v>1646</v>
      </c>
      <c r="D423" t="s">
        <v>1655</v>
      </c>
      <c r="E423" t="s">
        <v>1656</v>
      </c>
      <c r="J423">
        <f t="shared" si="56"/>
        <v>0</v>
      </c>
    </row>
    <row r="424" spans="1:33" x14ac:dyDescent="0.3">
      <c r="A424" t="s">
        <v>836</v>
      </c>
      <c r="B424" t="s">
        <v>837</v>
      </c>
      <c r="C424" t="s">
        <v>1646</v>
      </c>
      <c r="D424" t="s">
        <v>1655</v>
      </c>
      <c r="E424" t="s">
        <v>1657</v>
      </c>
      <c r="F424" t="s">
        <v>841</v>
      </c>
      <c r="J424">
        <f t="shared" si="56"/>
        <v>0</v>
      </c>
    </row>
    <row r="425" spans="1:33" x14ac:dyDescent="0.3">
      <c r="A425" t="s">
        <v>1296</v>
      </c>
      <c r="J425">
        <f t="shared" si="56"/>
        <v>0</v>
      </c>
      <c r="M425">
        <f>SUM(M369:M375)</f>
        <v>8061357.8571428573</v>
      </c>
      <c r="P425">
        <f>SUM(P369:P375)</f>
        <v>8867493.6428571418</v>
      </c>
      <c r="S425">
        <f>SUM(S369:S375)</f>
        <v>9754243.0071428604</v>
      </c>
      <c r="V425">
        <f>SUM(V369:V375)</f>
        <v>10729667.307857146</v>
      </c>
      <c r="Y425">
        <f>SUM(Y369:Y375)</f>
        <v>11802634.038642861</v>
      </c>
      <c r="AB425">
        <f>SUM(AB369:AB375)</f>
        <v>12982897.442507148</v>
      </c>
      <c r="AE425">
        <f>SUM(AE369:AE375)</f>
        <v>14281187.186757864</v>
      </c>
      <c r="AF425">
        <f>SUM(AF369:AF375)</f>
        <v>83807987.625765026</v>
      </c>
      <c r="AG425">
        <f t="shared" si="46"/>
        <v>81525.279791600216</v>
      </c>
    </row>
    <row r="426" spans="1:33" x14ac:dyDescent="0.3">
      <c r="A426" t="s">
        <v>1411</v>
      </c>
      <c r="J426">
        <f t="shared" si="56"/>
        <v>0</v>
      </c>
      <c r="M426">
        <f>SUM(M2:M375)</f>
        <v>14970603077.97303</v>
      </c>
      <c r="P426">
        <f>SUM(P2:P375)</f>
        <v>11692683421.353386</v>
      </c>
      <c r="S426">
        <f>SUM(S2:S375)</f>
        <v>2445165273.6706147</v>
      </c>
      <c r="V426">
        <f>SUM(V2:V375)</f>
        <v>1464942707.6771448</v>
      </c>
      <c r="Y426">
        <f>SUM(Y2:Y375)</f>
        <v>783914318.64427102</v>
      </c>
      <c r="AB426">
        <f>SUM(AB2:AB375)</f>
        <v>561286947.80807769</v>
      </c>
      <c r="AE426">
        <f>SUM(AE2:AE375)</f>
        <v>652071144.37245071</v>
      </c>
    </row>
    <row r="427" spans="1:33" x14ac:dyDescent="0.3">
      <c r="J427">
        <f t="shared" si="56"/>
        <v>0</v>
      </c>
      <c r="AE427" t="s">
        <v>1358</v>
      </c>
      <c r="AF427">
        <f>AF36+AF54+AF150+AF181+AF210+AF219+AF265+AF285+AF300+AF329+AF367+AF425</f>
        <v>11369849804.316626</v>
      </c>
      <c r="AG427">
        <f>AF427/1030</f>
        <v>11038689.130404491</v>
      </c>
    </row>
  </sheetData>
  <dataValidations disablePrompts="1" count="4">
    <dataValidation type="list" allowBlank="1" showInputMessage="1" showErrorMessage="1" sqref="A2:A35 A38:A377" xr:uid="{00000000-0002-0000-0600-000000000000}">
      <formula1>OFFSET(structuredd_anchor,1,MATCH(A$2,structuredd_lookupRow,0)-1,COUNTA(OFFSET(structuredd_anchor,1,MATCH(A$2,structuredd_lookupRow,0)-1,500,1)),1)</formula1>
    </dataValidation>
    <dataValidation type="list" allowBlank="1" showInputMessage="1" showErrorMessage="1" sqref="E286 E288 E284 E278:E282" xr:uid="{00000000-0002-0000-0600-000001000000}">
      <formula1>OFFSET(subactivitydd_anchor,1,0,COUNTA(subactivitydd_count)-1,1)</formula1>
    </dataValidation>
    <dataValidation type="list" allowBlank="1" showInputMessage="1" showErrorMessage="1" sqref="E289:E293 E287" xr:uid="{00000000-0002-0000-0600-000002000000}">
      <formula1>OFFSET(costItem_anchor,1,MATCH(D287,costItem_lookupRow,0)-1,COUNTA(OFFSET(costItem_anchor,1,MATCH(D287,costItem_lookupRow,0)-1,500,1)),1)</formula1>
    </dataValidation>
    <dataValidation type="list" allowBlank="1" showInputMessage="1" showErrorMessage="1" sqref="C38:C376" xr:uid="{00000000-0002-0000-0600-000003000000}">
      <formula1>INDIRECT($AG38)</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4000000}">
          <x14:formula1>
            <xm:f>INDIRECT(INDEX('C:\Users\USER\Desktop\HEALTH FINANCING STRATEGY DOCUMENTS SALIMA 3RD SEPTEMBER 2021\[LINDE HFS.xlsm]dd_lists'!#REF!,MATCH($B2,'C:\Users\USER\Desktop\HEALTH FINANCING STRATEGY DOCUMENTS SALIMA 3RD SEPTEMBER 2021\[LINDE HFS.xlsm]dd_lists'!#REF!,0)))</xm:f>
          </x14:formula1>
          <xm:sqref>B2:B35 B38:B377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200"/>
  <sheetViews>
    <sheetView topLeftCell="A20" zoomScale="80" zoomScaleNormal="80" workbookViewId="0">
      <selection activeCell="E95" sqref="E95"/>
    </sheetView>
  </sheetViews>
  <sheetFormatPr defaultColWidth="8.88671875" defaultRowHeight="14.4" x14ac:dyDescent="0.3"/>
  <cols>
    <col min="1" max="6" width="36.6640625" customWidth="1"/>
    <col min="7" max="7" width="36.6640625" style="28" customWidth="1"/>
    <col min="8" max="9" width="36.6640625" customWidth="1"/>
    <col min="10" max="10" width="36.6640625" style="28" customWidth="1"/>
    <col min="11" max="21" width="36.6640625" customWidth="1"/>
    <col min="22" max="31" width="25.6640625" customWidth="1"/>
    <col min="32" max="32" width="44.6640625" customWidth="1"/>
    <col min="33" max="33" width="46.5546875" customWidth="1"/>
    <col min="38" max="38" width="27.88671875" customWidth="1"/>
  </cols>
  <sheetData>
    <row r="1" spans="1:38" x14ac:dyDescent="0.3">
      <c r="A1" s="5" t="s">
        <v>643</v>
      </c>
      <c r="B1" s="5" t="s">
        <v>642</v>
      </c>
      <c r="C1" s="5" t="s">
        <v>641</v>
      </c>
      <c r="D1" s="5" t="s">
        <v>639</v>
      </c>
      <c r="E1" s="5" t="s">
        <v>640</v>
      </c>
      <c r="F1" s="5" t="s">
        <v>706</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72" x14ac:dyDescent="0.3">
      <c r="A2" s="41" t="s">
        <v>836</v>
      </c>
      <c r="B2" s="41" t="s">
        <v>992</v>
      </c>
      <c r="C2" s="41" t="s">
        <v>993</v>
      </c>
      <c r="D2" s="41" t="s">
        <v>994</v>
      </c>
      <c r="E2" s="41" t="s">
        <v>164</v>
      </c>
      <c r="F2" s="41" t="s">
        <v>841</v>
      </c>
      <c r="G2" s="67">
        <v>0</v>
      </c>
      <c r="H2" s="41"/>
      <c r="I2" s="41"/>
      <c r="J2" s="67">
        <f>G2*H2*I2</f>
        <v>0</v>
      </c>
      <c r="K2" s="41">
        <v>0</v>
      </c>
      <c r="L2" s="41">
        <v>0</v>
      </c>
      <c r="M2" s="67">
        <f>(G2*1.1)*K2*L2</f>
        <v>0</v>
      </c>
      <c r="N2" s="41">
        <v>0</v>
      </c>
      <c r="O2" s="41">
        <v>0</v>
      </c>
      <c r="P2" s="67">
        <f>($G2*1.1^2)*N2*O2</f>
        <v>0</v>
      </c>
      <c r="Q2" s="41">
        <v>40000</v>
      </c>
      <c r="R2" s="41">
        <v>1</v>
      </c>
      <c r="S2" s="67">
        <f>($G2*1.1^3)*Q2*R2</f>
        <v>0</v>
      </c>
      <c r="T2" s="41">
        <v>0</v>
      </c>
      <c r="U2" s="41">
        <v>0</v>
      </c>
      <c r="V2" s="67">
        <f>($G2*1.1^4)*T2*U2</f>
        <v>0</v>
      </c>
      <c r="Y2" s="67">
        <f>($G2*1.1^5)*W2*X2</f>
        <v>0</v>
      </c>
      <c r="AB2" s="67">
        <f>($G2*1.1^6)*Z2*AA2</f>
        <v>0</v>
      </c>
      <c r="AC2" s="41">
        <v>0</v>
      </c>
      <c r="AD2" s="41">
        <v>0</v>
      </c>
      <c r="AE2" s="67">
        <f>($G2*1.1^7)*AC2*AD2</f>
        <v>0</v>
      </c>
      <c r="AF2" s="28">
        <f>J2+M2+P2+S2+V2+Y2+AB2+AE2</f>
        <v>0</v>
      </c>
      <c r="AG2" s="28">
        <f>AF2/$AL$2</f>
        <v>0</v>
      </c>
      <c r="AL2">
        <v>1030</v>
      </c>
    </row>
    <row r="3" spans="1:38" ht="72" x14ac:dyDescent="0.3">
      <c r="A3" s="41" t="s">
        <v>836</v>
      </c>
      <c r="B3" s="41" t="s">
        <v>992</v>
      </c>
      <c r="C3" s="41" t="s">
        <v>993</v>
      </c>
      <c r="D3" s="41" t="s">
        <v>994</v>
      </c>
      <c r="E3" s="41" t="s">
        <v>165</v>
      </c>
      <c r="F3" s="41" t="s">
        <v>708</v>
      </c>
      <c r="G3" s="67">
        <f>500*1030</f>
        <v>515000</v>
      </c>
      <c r="H3" s="41"/>
      <c r="I3" s="41">
        <v>25</v>
      </c>
      <c r="J3" s="67">
        <f t="shared" ref="J3:J66" si="0">G3*H3*I3</f>
        <v>0</v>
      </c>
      <c r="K3" s="41">
        <v>1</v>
      </c>
      <c r="L3" s="41">
        <v>30</v>
      </c>
      <c r="M3" s="67">
        <f t="shared" ref="M3:M66" si="1">(G3*1.1)*K3*L3</f>
        <v>16995000</v>
      </c>
      <c r="N3" s="41">
        <v>0</v>
      </c>
      <c r="O3" s="41">
        <v>0</v>
      </c>
      <c r="P3" s="67">
        <f t="shared" ref="P3:P66" si="2">($G3*1.1^2)*N3*O3</f>
        <v>0</v>
      </c>
      <c r="Q3" s="41">
        <v>0</v>
      </c>
      <c r="R3" s="41">
        <v>0</v>
      </c>
      <c r="S3" s="67">
        <f t="shared" ref="S3:S66" si="3">($G3*1.1^3)*Q3*R3</f>
        <v>0</v>
      </c>
      <c r="T3" s="41">
        <v>1</v>
      </c>
      <c r="U3" s="41">
        <v>30</v>
      </c>
      <c r="V3" s="67">
        <f t="shared" ref="V3:V66" si="4">($G3*1.1^4)*T3*U3</f>
        <v>22620345.000000007</v>
      </c>
      <c r="Y3" s="67">
        <f t="shared" ref="Y3:Y66" si="5">($G3*1.1^5)*W3*X3</f>
        <v>0</v>
      </c>
      <c r="AB3" s="67">
        <f t="shared" ref="AB3:AB66" si="6">($G3*1.1^6)*Z3*AA3</f>
        <v>0</v>
      </c>
      <c r="AC3" s="41">
        <v>1</v>
      </c>
      <c r="AD3" s="41">
        <v>30</v>
      </c>
      <c r="AE3" s="67">
        <f t="shared" ref="AE3:AE66" si="7">($G3*1.1^7)*AC3*AD3</f>
        <v>30107679.195000019</v>
      </c>
      <c r="AF3" s="28">
        <f t="shared" ref="AF3:AF66" si="8">J3+M3+P3+S3+V3+Y3+AB3+AE3</f>
        <v>69723024.195000023</v>
      </c>
      <c r="AG3" s="28">
        <f t="shared" ref="AG3:AG66" si="9">AF3/$AL$2</f>
        <v>67692.256500000018</v>
      </c>
    </row>
    <row r="4" spans="1:38" ht="72" x14ac:dyDescent="0.3">
      <c r="A4" s="41" t="s">
        <v>836</v>
      </c>
      <c r="B4" s="41" t="s">
        <v>992</v>
      </c>
      <c r="C4" s="41" t="s">
        <v>993</v>
      </c>
      <c r="D4" s="41" t="s">
        <v>994</v>
      </c>
      <c r="E4" s="41" t="s">
        <v>165</v>
      </c>
      <c r="F4" s="41" t="s">
        <v>707</v>
      </c>
      <c r="G4" s="25">
        <v>391991.03749999998</v>
      </c>
      <c r="H4" s="41"/>
      <c r="I4" s="41"/>
      <c r="J4" s="67">
        <f t="shared" si="0"/>
        <v>0</v>
      </c>
      <c r="K4" s="41">
        <v>2</v>
      </c>
      <c r="L4" s="41">
        <v>2</v>
      </c>
      <c r="M4" s="67">
        <f t="shared" si="1"/>
        <v>1724760.5649999999</v>
      </c>
      <c r="N4" s="41">
        <v>0</v>
      </c>
      <c r="O4" s="41">
        <v>0</v>
      </c>
      <c r="P4" s="67">
        <f t="shared" si="2"/>
        <v>0</v>
      </c>
      <c r="Q4" s="41">
        <v>0</v>
      </c>
      <c r="R4" s="41">
        <v>0</v>
      </c>
      <c r="S4" s="67">
        <f t="shared" si="3"/>
        <v>0</v>
      </c>
      <c r="T4" s="41">
        <v>2</v>
      </c>
      <c r="U4" s="41">
        <v>2</v>
      </c>
      <c r="V4" s="67">
        <f t="shared" si="4"/>
        <v>2295656.3120150003</v>
      </c>
      <c r="Y4" s="67">
        <f t="shared" si="5"/>
        <v>0</v>
      </c>
      <c r="AB4" s="67">
        <f t="shared" si="6"/>
        <v>0</v>
      </c>
      <c r="AC4" s="41">
        <v>2</v>
      </c>
      <c r="AD4" s="41">
        <v>2</v>
      </c>
      <c r="AE4" s="67">
        <f t="shared" si="7"/>
        <v>3055518.5512919668</v>
      </c>
      <c r="AF4" s="28">
        <f t="shared" si="8"/>
        <v>7075935.428306967</v>
      </c>
      <c r="AG4" s="28">
        <f t="shared" si="9"/>
        <v>6869.8402216572495</v>
      </c>
    </row>
    <row r="5" spans="1:38" ht="72" x14ac:dyDescent="0.3">
      <c r="A5" s="41" t="s">
        <v>836</v>
      </c>
      <c r="B5" s="41" t="s">
        <v>992</v>
      </c>
      <c r="C5" s="41" t="s">
        <v>993</v>
      </c>
      <c r="D5" s="41" t="s">
        <v>994</v>
      </c>
      <c r="E5" s="41" t="s">
        <v>995</v>
      </c>
      <c r="F5" s="41" t="s">
        <v>841</v>
      </c>
      <c r="G5" s="67">
        <v>0</v>
      </c>
      <c r="H5" s="41"/>
      <c r="I5" s="41"/>
      <c r="J5" s="67">
        <f t="shared" si="0"/>
        <v>0</v>
      </c>
      <c r="K5" s="41">
        <v>1</v>
      </c>
      <c r="L5" s="41"/>
      <c r="M5" s="67">
        <f t="shared" si="1"/>
        <v>0</v>
      </c>
      <c r="N5" s="41">
        <v>0</v>
      </c>
      <c r="O5" s="41">
        <v>0</v>
      </c>
      <c r="P5" s="67">
        <f t="shared" si="2"/>
        <v>0</v>
      </c>
      <c r="Q5" s="41">
        <v>0</v>
      </c>
      <c r="R5" s="41">
        <v>0</v>
      </c>
      <c r="S5" s="67">
        <f t="shared" si="3"/>
        <v>0</v>
      </c>
      <c r="T5" s="41">
        <v>1</v>
      </c>
      <c r="U5" s="41"/>
      <c r="V5" s="67">
        <f t="shared" si="4"/>
        <v>0</v>
      </c>
      <c r="Y5" s="67">
        <f t="shared" si="5"/>
        <v>0</v>
      </c>
      <c r="AB5" s="67">
        <f t="shared" si="6"/>
        <v>0</v>
      </c>
      <c r="AC5" s="41">
        <v>1</v>
      </c>
      <c r="AD5" s="41"/>
      <c r="AE5" s="67">
        <f t="shared" si="7"/>
        <v>0</v>
      </c>
      <c r="AF5" s="28">
        <f t="shared" si="8"/>
        <v>0</v>
      </c>
      <c r="AG5" s="28">
        <f t="shared" si="9"/>
        <v>0</v>
      </c>
    </row>
    <row r="6" spans="1:38" ht="72" x14ac:dyDescent="0.3">
      <c r="A6" s="41" t="s">
        <v>836</v>
      </c>
      <c r="B6" s="41" t="s">
        <v>992</v>
      </c>
      <c r="C6" s="41" t="s">
        <v>993</v>
      </c>
      <c r="D6" s="41" t="s">
        <v>994</v>
      </c>
      <c r="E6" s="41" t="s">
        <v>1359</v>
      </c>
      <c r="F6" s="41" t="s">
        <v>709</v>
      </c>
      <c r="G6" s="67">
        <v>35000</v>
      </c>
      <c r="H6" s="41"/>
      <c r="J6" s="67">
        <f t="shared" si="0"/>
        <v>0</v>
      </c>
      <c r="K6" s="41"/>
      <c r="M6" s="67">
        <f t="shared" si="1"/>
        <v>0</v>
      </c>
      <c r="N6" s="41"/>
      <c r="O6" s="41"/>
      <c r="P6" s="67">
        <f t="shared" si="2"/>
        <v>0</v>
      </c>
      <c r="Q6" s="41"/>
      <c r="R6" s="41"/>
      <c r="S6" s="67">
        <f t="shared" si="3"/>
        <v>0</v>
      </c>
      <c r="T6" s="41"/>
      <c r="V6" s="67">
        <f t="shared" si="4"/>
        <v>0</v>
      </c>
      <c r="Y6" s="67">
        <f t="shared" si="5"/>
        <v>0</v>
      </c>
      <c r="AB6" s="67">
        <f t="shared" si="6"/>
        <v>0</v>
      </c>
      <c r="AC6" s="41"/>
      <c r="AE6" s="67">
        <f t="shared" si="7"/>
        <v>0</v>
      </c>
      <c r="AF6" s="28">
        <f t="shared" si="8"/>
        <v>0</v>
      </c>
      <c r="AG6" s="28">
        <f t="shared" si="9"/>
        <v>0</v>
      </c>
    </row>
    <row r="7" spans="1:38" ht="72" x14ac:dyDescent="0.3">
      <c r="A7" s="41" t="s">
        <v>836</v>
      </c>
      <c r="B7" s="41" t="s">
        <v>992</v>
      </c>
      <c r="C7" s="41" t="s">
        <v>993</v>
      </c>
      <c r="D7" s="41" t="s">
        <v>994</v>
      </c>
      <c r="E7" s="41" t="s">
        <v>1359</v>
      </c>
      <c r="F7" s="41" t="s">
        <v>716</v>
      </c>
      <c r="G7" s="67">
        <v>39000</v>
      </c>
      <c r="H7" s="41"/>
      <c r="I7" s="41"/>
      <c r="J7" s="67">
        <f t="shared" si="0"/>
        <v>0</v>
      </c>
      <c r="K7" s="41">
        <v>58</v>
      </c>
      <c r="L7" s="41">
        <v>6</v>
      </c>
      <c r="M7" s="67">
        <f t="shared" si="1"/>
        <v>14929200</v>
      </c>
      <c r="N7" s="41"/>
      <c r="O7" s="41"/>
      <c r="P7" s="67">
        <f t="shared" si="2"/>
        <v>0</v>
      </c>
      <c r="Q7" s="41"/>
      <c r="R7" s="41"/>
      <c r="S7" s="67">
        <f t="shared" si="3"/>
        <v>0</v>
      </c>
      <c r="T7" s="41">
        <v>58</v>
      </c>
      <c r="U7" s="41">
        <v>6</v>
      </c>
      <c r="V7" s="67">
        <f t="shared" si="4"/>
        <v>19870765.200000007</v>
      </c>
      <c r="Y7" s="67">
        <f t="shared" si="5"/>
        <v>0</v>
      </c>
      <c r="AB7" s="67">
        <f t="shared" si="6"/>
        <v>0</v>
      </c>
      <c r="AC7" s="41">
        <v>58</v>
      </c>
      <c r="AD7" s="41">
        <v>6</v>
      </c>
      <c r="AE7" s="67">
        <f t="shared" si="7"/>
        <v>26447988.481200017</v>
      </c>
      <c r="AF7" s="28">
        <f t="shared" si="8"/>
        <v>61247953.68120002</v>
      </c>
      <c r="AG7" s="28">
        <f t="shared" si="9"/>
        <v>59464.032700194191</v>
      </c>
    </row>
    <row r="8" spans="1:38" ht="72" x14ac:dyDescent="0.3">
      <c r="A8" s="41" t="s">
        <v>836</v>
      </c>
      <c r="B8" s="41" t="s">
        <v>992</v>
      </c>
      <c r="C8" s="41" t="s">
        <v>993</v>
      </c>
      <c r="D8" s="41" t="s">
        <v>994</v>
      </c>
      <c r="E8" s="41" t="s">
        <v>1359</v>
      </c>
      <c r="F8" s="41" t="s">
        <v>1299</v>
      </c>
      <c r="G8" s="67">
        <f>1999.2/7</f>
        <v>285.60000000000002</v>
      </c>
      <c r="H8" s="41"/>
      <c r="I8" s="41"/>
      <c r="J8" s="67">
        <f t="shared" si="0"/>
        <v>0</v>
      </c>
      <c r="K8" s="41">
        <v>22500</v>
      </c>
      <c r="L8" s="41">
        <v>1</v>
      </c>
      <c r="M8" s="67">
        <f t="shared" si="1"/>
        <v>7068600.0000000009</v>
      </c>
      <c r="N8" s="41"/>
      <c r="O8" s="41"/>
      <c r="P8" s="67">
        <f t="shared" si="2"/>
        <v>0</v>
      </c>
      <c r="Q8" s="41"/>
      <c r="R8" s="41"/>
      <c r="S8" s="67">
        <f t="shared" si="3"/>
        <v>0</v>
      </c>
      <c r="T8" s="41">
        <v>22500</v>
      </c>
      <c r="U8" s="41">
        <v>1</v>
      </c>
      <c r="V8" s="67">
        <f t="shared" si="4"/>
        <v>9408306.6000000034</v>
      </c>
      <c r="Y8" s="67">
        <f t="shared" si="5"/>
        <v>0</v>
      </c>
      <c r="AB8" s="67">
        <f t="shared" si="6"/>
        <v>0</v>
      </c>
      <c r="AC8" s="41">
        <v>22500</v>
      </c>
      <c r="AD8" s="41">
        <v>1</v>
      </c>
      <c r="AE8" s="67">
        <f t="shared" si="7"/>
        <v>12522456.084600009</v>
      </c>
      <c r="AF8" s="28">
        <f t="shared" si="8"/>
        <v>28999362.684600014</v>
      </c>
      <c r="AG8" s="28">
        <f t="shared" si="9"/>
        <v>28154.721053009722</v>
      </c>
    </row>
    <row r="9" spans="1:38" ht="72" x14ac:dyDescent="0.3">
      <c r="A9" s="41" t="s">
        <v>836</v>
      </c>
      <c r="B9" s="41" t="s">
        <v>992</v>
      </c>
      <c r="C9" s="41" t="s">
        <v>993</v>
      </c>
      <c r="D9" s="41" t="s">
        <v>994</v>
      </c>
      <c r="E9" s="41" t="s">
        <v>1359</v>
      </c>
      <c r="F9" s="41" t="s">
        <v>712</v>
      </c>
      <c r="G9" s="67">
        <f>1999.2/7</f>
        <v>285.60000000000002</v>
      </c>
      <c r="H9" s="41"/>
      <c r="I9" s="41"/>
      <c r="J9" s="67">
        <f t="shared" si="0"/>
        <v>0</v>
      </c>
      <c r="K9" s="41">
        <f>25*2*29</f>
        <v>1450</v>
      </c>
      <c r="L9" s="41">
        <v>5</v>
      </c>
      <c r="M9" s="67">
        <f t="shared" si="1"/>
        <v>2277660.0000000005</v>
      </c>
      <c r="N9" s="41"/>
      <c r="O9" s="41"/>
      <c r="P9" s="67">
        <f t="shared" si="2"/>
        <v>0</v>
      </c>
      <c r="Q9" s="41"/>
      <c r="R9" s="41"/>
      <c r="S9" s="67">
        <f t="shared" si="3"/>
        <v>0</v>
      </c>
      <c r="T9" s="41">
        <f>25*2*29</f>
        <v>1450</v>
      </c>
      <c r="U9" s="41">
        <v>5</v>
      </c>
      <c r="V9" s="67">
        <f t="shared" si="4"/>
        <v>3031565.4600000009</v>
      </c>
      <c r="Y9" s="67">
        <f t="shared" si="5"/>
        <v>0</v>
      </c>
      <c r="AB9" s="67">
        <f t="shared" si="6"/>
        <v>0</v>
      </c>
      <c r="AC9" s="41">
        <f>25*2*29</f>
        <v>1450</v>
      </c>
      <c r="AD9" s="41">
        <v>5</v>
      </c>
      <c r="AE9" s="67">
        <f t="shared" si="7"/>
        <v>4035013.6272600032</v>
      </c>
      <c r="AF9" s="28">
        <f t="shared" si="8"/>
        <v>9344239.0872600041</v>
      </c>
      <c r="AG9" s="28">
        <f t="shared" si="9"/>
        <v>9072.076783747576</v>
      </c>
    </row>
    <row r="10" spans="1:38" ht="72" x14ac:dyDescent="0.3">
      <c r="A10" s="41" t="s">
        <v>836</v>
      </c>
      <c r="B10" s="41" t="s">
        <v>992</v>
      </c>
      <c r="C10" s="41" t="s">
        <v>993</v>
      </c>
      <c r="D10" s="41" t="s">
        <v>994</v>
      </c>
      <c r="E10" s="41" t="s">
        <v>1360</v>
      </c>
      <c r="F10" s="41" t="s">
        <v>716</v>
      </c>
      <c r="G10" s="67">
        <v>39000</v>
      </c>
      <c r="H10" s="41"/>
      <c r="I10" s="41"/>
      <c r="J10" s="67">
        <f t="shared" si="0"/>
        <v>0</v>
      </c>
      <c r="K10" s="41">
        <v>2090</v>
      </c>
      <c r="L10" s="41">
        <v>5</v>
      </c>
      <c r="M10" s="67">
        <f t="shared" si="1"/>
        <v>448305000</v>
      </c>
      <c r="N10" s="41">
        <v>0</v>
      </c>
      <c r="O10" s="41">
        <v>0</v>
      </c>
      <c r="P10" s="67">
        <f t="shared" si="2"/>
        <v>0</v>
      </c>
      <c r="Q10" s="41">
        <v>0</v>
      </c>
      <c r="R10" s="41">
        <v>0</v>
      </c>
      <c r="S10" s="67">
        <f t="shared" si="3"/>
        <v>0</v>
      </c>
      <c r="T10" s="41">
        <v>2090</v>
      </c>
      <c r="U10" s="41">
        <v>5</v>
      </c>
      <c r="V10" s="67">
        <f t="shared" si="4"/>
        <v>596693955.00000012</v>
      </c>
      <c r="Y10" s="67">
        <f t="shared" si="5"/>
        <v>0</v>
      </c>
      <c r="AB10" s="67">
        <f t="shared" si="6"/>
        <v>0</v>
      </c>
      <c r="AC10" s="41">
        <v>2090</v>
      </c>
      <c r="AD10" s="41">
        <v>5</v>
      </c>
      <c r="AE10" s="67">
        <f t="shared" si="7"/>
        <v>794199654.1050005</v>
      </c>
      <c r="AF10" s="28">
        <f t="shared" si="8"/>
        <v>1839198609.1050005</v>
      </c>
      <c r="AG10" s="28">
        <f t="shared" si="9"/>
        <v>1785629.7175776705</v>
      </c>
    </row>
    <row r="11" spans="1:38" ht="72" x14ac:dyDescent="0.3">
      <c r="A11" s="41" t="s">
        <v>836</v>
      </c>
      <c r="B11" s="41" t="s">
        <v>992</v>
      </c>
      <c r="C11" s="41" t="s">
        <v>993</v>
      </c>
      <c r="D11" s="41" t="s">
        <v>994</v>
      </c>
      <c r="E11" s="41" t="s">
        <v>1360</v>
      </c>
      <c r="F11" s="41" t="s">
        <v>709</v>
      </c>
      <c r="G11" s="67">
        <v>35000</v>
      </c>
      <c r="H11" s="41"/>
      <c r="I11" s="41"/>
      <c r="J11" s="67">
        <f t="shared" si="0"/>
        <v>0</v>
      </c>
      <c r="K11" s="41">
        <v>2090</v>
      </c>
      <c r="L11" s="41">
        <v>5</v>
      </c>
      <c r="M11" s="67">
        <f t="shared" si="1"/>
        <v>402325000</v>
      </c>
      <c r="N11" s="41">
        <v>0</v>
      </c>
      <c r="O11" s="41">
        <v>0</v>
      </c>
      <c r="P11" s="67">
        <f t="shared" si="2"/>
        <v>0</v>
      </c>
      <c r="Q11" s="41">
        <v>0</v>
      </c>
      <c r="R11" s="41">
        <v>0</v>
      </c>
      <c r="S11" s="67">
        <f t="shared" si="3"/>
        <v>0</v>
      </c>
      <c r="T11" s="41">
        <v>2090</v>
      </c>
      <c r="U11" s="41">
        <v>5</v>
      </c>
      <c r="V11" s="67">
        <f t="shared" si="4"/>
        <v>535494575.00000012</v>
      </c>
      <c r="Y11" s="67">
        <f t="shared" si="5"/>
        <v>0</v>
      </c>
      <c r="AB11" s="67">
        <f t="shared" si="6"/>
        <v>0</v>
      </c>
      <c r="AC11" s="41">
        <v>2090</v>
      </c>
      <c r="AD11" s="41">
        <v>5</v>
      </c>
      <c r="AE11" s="67">
        <f t="shared" si="7"/>
        <v>712743279.32500029</v>
      </c>
      <c r="AF11" s="28">
        <f t="shared" si="8"/>
        <v>1650562854.3250003</v>
      </c>
      <c r="AG11" s="28">
        <f t="shared" si="9"/>
        <v>1602488.2080825246</v>
      </c>
    </row>
    <row r="12" spans="1:38" ht="72" x14ac:dyDescent="0.3">
      <c r="A12" s="41" t="s">
        <v>836</v>
      </c>
      <c r="B12" s="41" t="s">
        <v>992</v>
      </c>
      <c r="C12" s="41" t="s">
        <v>993</v>
      </c>
      <c r="D12" s="41" t="s">
        <v>994</v>
      </c>
      <c r="E12" s="41" t="s">
        <v>1360</v>
      </c>
      <c r="F12" s="41" t="s">
        <v>1361</v>
      </c>
      <c r="G12" s="67">
        <f>1999.2/7</f>
        <v>285.60000000000002</v>
      </c>
      <c r="H12" s="41"/>
      <c r="I12" s="41"/>
      <c r="J12" s="67">
        <f t="shared" si="0"/>
        <v>0</v>
      </c>
      <c r="K12" s="41">
        <f>25*2*29*10</f>
        <v>14500</v>
      </c>
      <c r="L12" s="41">
        <v>2</v>
      </c>
      <c r="M12" s="67">
        <f t="shared" si="1"/>
        <v>9110640</v>
      </c>
      <c r="N12" s="41">
        <v>0</v>
      </c>
      <c r="O12" s="41">
        <v>0</v>
      </c>
      <c r="P12" s="67">
        <f t="shared" si="2"/>
        <v>0</v>
      </c>
      <c r="Q12" s="41">
        <v>0</v>
      </c>
      <c r="R12" s="41">
        <v>0</v>
      </c>
      <c r="S12" s="67">
        <f t="shared" si="3"/>
        <v>0</v>
      </c>
      <c r="T12" s="41">
        <f>25*2*29*10</f>
        <v>14500</v>
      </c>
      <c r="U12" s="41">
        <v>2</v>
      </c>
      <c r="V12" s="67">
        <f t="shared" si="4"/>
        <v>12126261.840000004</v>
      </c>
      <c r="Y12" s="67">
        <f t="shared" si="5"/>
        <v>0</v>
      </c>
      <c r="AB12" s="67">
        <f t="shared" si="6"/>
        <v>0</v>
      </c>
      <c r="AC12" s="41">
        <f>25*2*29*10</f>
        <v>14500</v>
      </c>
      <c r="AD12" s="41">
        <v>2</v>
      </c>
      <c r="AE12" s="67">
        <f t="shared" si="7"/>
        <v>16140054.509040013</v>
      </c>
      <c r="AF12" s="28">
        <f t="shared" si="8"/>
        <v>37376956.349040017</v>
      </c>
      <c r="AG12" s="28">
        <f t="shared" si="9"/>
        <v>36288.307134990304</v>
      </c>
    </row>
    <row r="13" spans="1:38" ht="72" x14ac:dyDescent="0.3">
      <c r="A13" s="41" t="s">
        <v>836</v>
      </c>
      <c r="B13" s="41" t="s">
        <v>992</v>
      </c>
      <c r="C13" s="41" t="s">
        <v>993</v>
      </c>
      <c r="D13" s="41" t="s">
        <v>994</v>
      </c>
      <c r="E13" s="41" t="s">
        <v>1360</v>
      </c>
      <c r="F13" s="41" t="s">
        <v>1362</v>
      </c>
      <c r="G13" s="67">
        <f>1999.2/7</f>
        <v>285.60000000000002</v>
      </c>
      <c r="H13" s="41"/>
      <c r="I13" s="41"/>
      <c r="J13" s="67">
        <f t="shared" si="0"/>
        <v>0</v>
      </c>
      <c r="K13" s="41">
        <f>22500*2</f>
        <v>45000</v>
      </c>
      <c r="L13" s="41">
        <v>2</v>
      </c>
      <c r="M13" s="67">
        <f t="shared" si="1"/>
        <v>28274400.000000004</v>
      </c>
      <c r="N13" s="41"/>
      <c r="O13" s="41"/>
      <c r="P13" s="67">
        <f t="shared" si="2"/>
        <v>0</v>
      </c>
      <c r="Q13" s="41"/>
      <c r="R13" s="41"/>
      <c r="S13" s="67">
        <f t="shared" si="3"/>
        <v>0</v>
      </c>
      <c r="T13" s="41">
        <f>22500*2</f>
        <v>45000</v>
      </c>
      <c r="U13" s="41">
        <v>2</v>
      </c>
      <c r="V13" s="67">
        <f t="shared" si="4"/>
        <v>37633226.400000013</v>
      </c>
      <c r="Y13" s="67">
        <f t="shared" si="5"/>
        <v>0</v>
      </c>
      <c r="AB13" s="67">
        <f t="shared" si="6"/>
        <v>0</v>
      </c>
      <c r="AC13" s="41">
        <f>22500*2</f>
        <v>45000</v>
      </c>
      <c r="AD13" s="41">
        <v>2</v>
      </c>
      <c r="AE13" s="67">
        <f t="shared" si="7"/>
        <v>50089824.338400036</v>
      </c>
      <c r="AF13" s="28">
        <f t="shared" si="8"/>
        <v>115997450.73840006</v>
      </c>
      <c r="AG13" s="28">
        <f t="shared" si="9"/>
        <v>112618.88421203889</v>
      </c>
    </row>
    <row r="14" spans="1:38" ht="72" x14ac:dyDescent="0.3">
      <c r="A14" s="41" t="s">
        <v>836</v>
      </c>
      <c r="B14" s="41" t="s">
        <v>992</v>
      </c>
      <c r="C14" s="41" t="s">
        <v>993</v>
      </c>
      <c r="D14" s="41" t="s">
        <v>994</v>
      </c>
      <c r="E14" s="41" t="s">
        <v>997</v>
      </c>
      <c r="F14" s="41" t="s">
        <v>718</v>
      </c>
      <c r="G14" s="67">
        <v>0</v>
      </c>
      <c r="H14" s="41"/>
      <c r="I14" s="41"/>
      <c r="J14" s="67">
        <f t="shared" si="0"/>
        <v>0</v>
      </c>
      <c r="K14" s="41">
        <v>40000</v>
      </c>
      <c r="L14" s="41">
        <v>1</v>
      </c>
      <c r="M14" s="67">
        <f t="shared" si="1"/>
        <v>0</v>
      </c>
      <c r="N14" s="41">
        <v>0</v>
      </c>
      <c r="O14" s="41">
        <v>0</v>
      </c>
      <c r="P14" s="67">
        <f t="shared" si="2"/>
        <v>0</v>
      </c>
      <c r="Q14" s="41">
        <v>0</v>
      </c>
      <c r="R14" s="41">
        <v>0</v>
      </c>
      <c r="S14" s="67">
        <f t="shared" si="3"/>
        <v>0</v>
      </c>
      <c r="T14" s="41">
        <v>40000</v>
      </c>
      <c r="U14" s="41">
        <v>1</v>
      </c>
      <c r="V14" s="67">
        <f t="shared" si="4"/>
        <v>0</v>
      </c>
      <c r="Y14" s="67">
        <f t="shared" si="5"/>
        <v>0</v>
      </c>
      <c r="AB14" s="67">
        <f t="shared" si="6"/>
        <v>0</v>
      </c>
      <c r="AC14" s="41">
        <v>40000</v>
      </c>
      <c r="AD14" s="41">
        <v>1</v>
      </c>
      <c r="AE14" s="67">
        <f t="shared" si="7"/>
        <v>0</v>
      </c>
      <c r="AF14" s="28">
        <f t="shared" si="8"/>
        <v>0</v>
      </c>
      <c r="AG14" s="28">
        <f t="shared" si="9"/>
        <v>0</v>
      </c>
    </row>
    <row r="15" spans="1:38" ht="72" x14ac:dyDescent="0.3">
      <c r="A15" s="41" t="s">
        <v>836</v>
      </c>
      <c r="B15" s="41" t="s">
        <v>992</v>
      </c>
      <c r="C15" s="41" t="s">
        <v>993</v>
      </c>
      <c r="D15" s="41" t="s">
        <v>994</v>
      </c>
      <c r="E15" s="41" t="s">
        <v>998</v>
      </c>
      <c r="F15" s="41" t="s">
        <v>709</v>
      </c>
      <c r="G15" s="67">
        <v>35000</v>
      </c>
      <c r="H15" s="41"/>
      <c r="I15" s="41"/>
      <c r="J15" s="67">
        <f t="shared" si="0"/>
        <v>0</v>
      </c>
      <c r="K15" s="41">
        <v>100</v>
      </c>
      <c r="L15" s="41">
        <v>1</v>
      </c>
      <c r="M15" s="67">
        <f t="shared" si="1"/>
        <v>3850000</v>
      </c>
      <c r="N15" s="41">
        <v>0</v>
      </c>
      <c r="O15" s="41">
        <v>0</v>
      </c>
      <c r="P15" s="67">
        <f t="shared" si="2"/>
        <v>0</v>
      </c>
      <c r="Q15" s="41">
        <v>0</v>
      </c>
      <c r="R15" s="41">
        <v>0</v>
      </c>
      <c r="S15" s="67">
        <f t="shared" si="3"/>
        <v>0</v>
      </c>
      <c r="T15" s="41">
        <v>100</v>
      </c>
      <c r="U15" s="41">
        <v>1</v>
      </c>
      <c r="V15" s="67">
        <f t="shared" si="4"/>
        <v>5124350.0000000019</v>
      </c>
      <c r="Y15" s="67">
        <f t="shared" si="5"/>
        <v>0</v>
      </c>
      <c r="AB15" s="67">
        <f t="shared" si="6"/>
        <v>0</v>
      </c>
      <c r="AC15" s="41">
        <v>100</v>
      </c>
      <c r="AD15" s="41">
        <v>1</v>
      </c>
      <c r="AE15" s="67">
        <f t="shared" si="7"/>
        <v>6820509.8500000034</v>
      </c>
      <c r="AF15" s="28">
        <f t="shared" si="8"/>
        <v>15794859.850000005</v>
      </c>
      <c r="AG15" s="28">
        <f t="shared" si="9"/>
        <v>15334.81538834952</v>
      </c>
    </row>
    <row r="16" spans="1:38" s="62" customFormat="1" ht="72" x14ac:dyDescent="0.3">
      <c r="A16" s="41" t="s">
        <v>836</v>
      </c>
      <c r="B16" s="41" t="s">
        <v>992</v>
      </c>
      <c r="C16" s="41" t="s">
        <v>993</v>
      </c>
      <c r="D16" s="41" t="s">
        <v>994</v>
      </c>
      <c r="E16" s="41" t="s">
        <v>998</v>
      </c>
      <c r="F16" s="41" t="s">
        <v>1297</v>
      </c>
      <c r="G16" s="67">
        <v>8000</v>
      </c>
      <c r="H16" s="41"/>
      <c r="I16" s="41"/>
      <c r="J16" s="67">
        <f t="shared" si="0"/>
        <v>0</v>
      </c>
      <c r="K16" s="41">
        <v>10</v>
      </c>
      <c r="L16" s="41">
        <v>1</v>
      </c>
      <c r="M16" s="67">
        <f t="shared" si="1"/>
        <v>88000</v>
      </c>
      <c r="N16" s="41">
        <v>0</v>
      </c>
      <c r="O16" s="41">
        <v>0</v>
      </c>
      <c r="P16" s="67">
        <f t="shared" si="2"/>
        <v>0</v>
      </c>
      <c r="Q16" s="41">
        <v>0</v>
      </c>
      <c r="R16" s="41">
        <v>0</v>
      </c>
      <c r="S16" s="67">
        <f t="shared" si="3"/>
        <v>0</v>
      </c>
      <c r="T16" s="41">
        <v>10</v>
      </c>
      <c r="U16" s="41">
        <v>1</v>
      </c>
      <c r="V16" s="67">
        <f t="shared" si="4"/>
        <v>117128.00000000003</v>
      </c>
      <c r="W16"/>
      <c r="X16"/>
      <c r="Y16" s="67">
        <f t="shared" si="5"/>
        <v>0</v>
      </c>
      <c r="Z16"/>
      <c r="AA16"/>
      <c r="AB16" s="67">
        <f t="shared" si="6"/>
        <v>0</v>
      </c>
      <c r="AC16" s="41">
        <v>10</v>
      </c>
      <c r="AD16" s="41">
        <v>1</v>
      </c>
      <c r="AE16" s="67">
        <f t="shared" si="7"/>
        <v>155897.3680000001</v>
      </c>
      <c r="AF16" s="28">
        <f t="shared" si="8"/>
        <v>361025.36800000013</v>
      </c>
      <c r="AG16" s="28">
        <f t="shared" si="9"/>
        <v>350.51006601941759</v>
      </c>
    </row>
    <row r="17" spans="1:37" ht="72" x14ac:dyDescent="0.3">
      <c r="A17" s="41" t="s">
        <v>836</v>
      </c>
      <c r="B17" s="41" t="s">
        <v>992</v>
      </c>
      <c r="C17" s="41" t="s">
        <v>993</v>
      </c>
      <c r="D17" s="41" t="s">
        <v>994</v>
      </c>
      <c r="E17" s="41" t="s">
        <v>998</v>
      </c>
      <c r="F17" s="41" t="s">
        <v>710</v>
      </c>
      <c r="G17" s="67">
        <v>104850</v>
      </c>
      <c r="H17" s="41">
        <v>1</v>
      </c>
      <c r="I17" s="41">
        <v>1</v>
      </c>
      <c r="J17" s="67">
        <f t="shared" si="0"/>
        <v>104850</v>
      </c>
      <c r="K17" s="41">
        <v>1</v>
      </c>
      <c r="L17" s="41">
        <v>1</v>
      </c>
      <c r="M17" s="67">
        <f t="shared" si="1"/>
        <v>115335.00000000001</v>
      </c>
      <c r="N17" s="41">
        <v>0</v>
      </c>
      <c r="O17" s="41">
        <v>0</v>
      </c>
      <c r="P17" s="67">
        <f t="shared" si="2"/>
        <v>0</v>
      </c>
      <c r="Q17" s="41">
        <v>0</v>
      </c>
      <c r="R17" s="41">
        <v>0</v>
      </c>
      <c r="S17" s="67">
        <f t="shared" si="3"/>
        <v>0</v>
      </c>
      <c r="T17" s="41">
        <v>1</v>
      </c>
      <c r="U17" s="41">
        <v>1</v>
      </c>
      <c r="V17" s="67">
        <f t="shared" si="4"/>
        <v>153510.88500000004</v>
      </c>
      <c r="Y17" s="67">
        <f t="shared" si="5"/>
        <v>0</v>
      </c>
      <c r="AB17" s="67">
        <f t="shared" si="6"/>
        <v>0</v>
      </c>
      <c r="AC17" s="41">
        <v>1</v>
      </c>
      <c r="AD17" s="41">
        <v>1</v>
      </c>
      <c r="AE17" s="67">
        <f t="shared" si="7"/>
        <v>204322.98793500013</v>
      </c>
      <c r="AF17" s="28">
        <f t="shared" si="8"/>
        <v>578018.87293500011</v>
      </c>
      <c r="AG17" s="28">
        <f t="shared" si="9"/>
        <v>561.18337178155355</v>
      </c>
    </row>
    <row r="18" spans="1:37" ht="72" x14ac:dyDescent="0.3">
      <c r="A18" s="41" t="s">
        <v>836</v>
      </c>
      <c r="B18" s="41" t="s">
        <v>992</v>
      </c>
      <c r="C18" s="41" t="s">
        <v>993</v>
      </c>
      <c r="D18" s="41" t="s">
        <v>994</v>
      </c>
      <c r="E18" s="41" t="s">
        <v>998</v>
      </c>
      <c r="F18" s="41" t="s">
        <v>712</v>
      </c>
      <c r="G18" s="67">
        <f>1999.2/7</f>
        <v>285.60000000000002</v>
      </c>
      <c r="H18" s="41"/>
      <c r="I18" s="41"/>
      <c r="J18" s="67">
        <f t="shared" si="0"/>
        <v>0</v>
      </c>
      <c r="K18" s="41">
        <v>58</v>
      </c>
      <c r="L18" s="41">
        <v>10</v>
      </c>
      <c r="M18" s="67">
        <f t="shared" si="1"/>
        <v>182212.80000000002</v>
      </c>
      <c r="N18" s="41">
        <v>0</v>
      </c>
      <c r="O18" s="41">
        <v>0</v>
      </c>
      <c r="P18" s="67">
        <f t="shared" si="2"/>
        <v>0</v>
      </c>
      <c r="Q18" s="41">
        <v>0</v>
      </c>
      <c r="R18" s="41">
        <v>0</v>
      </c>
      <c r="S18" s="67">
        <f t="shared" si="3"/>
        <v>0</v>
      </c>
      <c r="T18" s="41">
        <v>58</v>
      </c>
      <c r="U18" s="41">
        <v>10</v>
      </c>
      <c r="V18" s="67">
        <f t="shared" si="4"/>
        <v>242525.2368000001</v>
      </c>
      <c r="Y18" s="67">
        <f t="shared" si="5"/>
        <v>0</v>
      </c>
      <c r="AB18" s="67">
        <f t="shared" si="6"/>
        <v>0</v>
      </c>
      <c r="AC18" s="41">
        <v>58</v>
      </c>
      <c r="AD18" s="41">
        <v>10</v>
      </c>
      <c r="AE18" s="67">
        <f t="shared" si="7"/>
        <v>322801.09018080024</v>
      </c>
      <c r="AF18" s="28">
        <f t="shared" si="8"/>
        <v>747539.12698080041</v>
      </c>
      <c r="AG18" s="28">
        <f t="shared" si="9"/>
        <v>725.76614269980621</v>
      </c>
    </row>
    <row r="19" spans="1:37" ht="72" x14ac:dyDescent="0.3">
      <c r="A19" s="41" t="s">
        <v>836</v>
      </c>
      <c r="B19" s="41" t="s">
        <v>992</v>
      </c>
      <c r="C19" s="41" t="s">
        <v>993</v>
      </c>
      <c r="D19" s="41" t="s">
        <v>994</v>
      </c>
      <c r="E19" s="41" t="s">
        <v>998</v>
      </c>
      <c r="F19" s="41" t="s">
        <v>1299</v>
      </c>
      <c r="G19" s="67">
        <f>1999.2/7</f>
        <v>285.60000000000002</v>
      </c>
      <c r="H19" s="41"/>
      <c r="I19" s="41"/>
      <c r="J19" s="67">
        <f t="shared" si="0"/>
        <v>0</v>
      </c>
      <c r="K19" s="41">
        <v>22500</v>
      </c>
      <c r="L19" s="41">
        <v>10</v>
      </c>
      <c r="M19" s="67">
        <f t="shared" si="1"/>
        <v>70686000.000000015</v>
      </c>
      <c r="N19" s="41"/>
      <c r="O19" s="41"/>
      <c r="P19" s="67">
        <f t="shared" si="2"/>
        <v>0</v>
      </c>
      <c r="Q19" s="41"/>
      <c r="R19" s="41"/>
      <c r="S19" s="67">
        <f t="shared" si="3"/>
        <v>0</v>
      </c>
      <c r="T19" s="41">
        <v>22500</v>
      </c>
      <c r="U19" s="41">
        <v>10</v>
      </c>
      <c r="V19" s="67">
        <f t="shared" si="4"/>
        <v>94083066.00000003</v>
      </c>
      <c r="Y19" s="67">
        <f t="shared" si="5"/>
        <v>0</v>
      </c>
      <c r="AB19" s="67">
        <f t="shared" si="6"/>
        <v>0</v>
      </c>
      <c r="AC19" s="41">
        <v>22500</v>
      </c>
      <c r="AD19" s="41">
        <v>10</v>
      </c>
      <c r="AE19" s="67">
        <f t="shared" si="7"/>
        <v>125224560.84600009</v>
      </c>
      <c r="AF19" s="28">
        <f t="shared" si="8"/>
        <v>289993626.84600013</v>
      </c>
      <c r="AG19" s="28">
        <f t="shared" si="9"/>
        <v>281547.21053009725</v>
      </c>
    </row>
    <row r="20" spans="1:37" x14ac:dyDescent="0.3">
      <c r="A20" s="63" t="s">
        <v>1302</v>
      </c>
      <c r="B20" s="63"/>
      <c r="C20" s="63"/>
      <c r="D20" s="63"/>
      <c r="E20" s="63"/>
      <c r="F20" s="63"/>
      <c r="G20" s="68"/>
      <c r="H20" s="63"/>
      <c r="I20" s="63"/>
      <c r="J20" s="67">
        <f t="shared" si="0"/>
        <v>0</v>
      </c>
      <c r="K20" s="63"/>
      <c r="L20" s="63"/>
      <c r="M20" s="67"/>
      <c r="N20" s="63"/>
      <c r="O20" s="63"/>
      <c r="P20" s="67">
        <f t="shared" si="2"/>
        <v>0</v>
      </c>
      <c r="Q20" s="63"/>
      <c r="R20" s="63"/>
      <c r="S20" s="67">
        <f t="shared" si="3"/>
        <v>0</v>
      </c>
      <c r="T20" s="63"/>
      <c r="U20" s="63"/>
      <c r="V20" s="67">
        <f t="shared" si="4"/>
        <v>0</v>
      </c>
      <c r="W20" s="62"/>
      <c r="X20" s="62"/>
      <c r="Y20" s="67">
        <f t="shared" si="5"/>
        <v>0</v>
      </c>
      <c r="Z20" s="62"/>
      <c r="AA20" s="62"/>
      <c r="AB20" s="67">
        <f t="shared" si="6"/>
        <v>0</v>
      </c>
      <c r="AC20" s="62"/>
      <c r="AD20" s="62"/>
      <c r="AE20" s="67">
        <f t="shared" si="7"/>
        <v>0</v>
      </c>
      <c r="AF20" s="28">
        <f t="shared" si="8"/>
        <v>0</v>
      </c>
      <c r="AG20" s="28">
        <f t="shared" si="9"/>
        <v>0</v>
      </c>
    </row>
    <row r="21" spans="1:37" x14ac:dyDescent="0.3">
      <c r="A21" s="91" t="s">
        <v>1427</v>
      </c>
      <c r="B21" s="91"/>
      <c r="C21" s="91"/>
      <c r="D21" s="91"/>
      <c r="E21" s="91"/>
      <c r="F21" s="91"/>
      <c r="G21" s="93"/>
      <c r="H21" s="91"/>
      <c r="I21" s="91"/>
      <c r="J21" s="93">
        <f>J20/$AL$2</f>
        <v>0</v>
      </c>
      <c r="K21" s="91"/>
      <c r="L21" s="91"/>
      <c r="M21" s="93">
        <f>M20/$AL$2</f>
        <v>0</v>
      </c>
      <c r="N21" s="91">
        <v>20000</v>
      </c>
      <c r="O21" s="91">
        <v>1</v>
      </c>
      <c r="P21" s="93">
        <f>P20/$AL$2</f>
        <v>0</v>
      </c>
      <c r="Q21" s="91"/>
      <c r="R21" s="91"/>
      <c r="S21" s="93">
        <f>S20/$AL$2</f>
        <v>0</v>
      </c>
      <c r="T21" s="91"/>
      <c r="U21" s="91"/>
      <c r="V21" s="93">
        <f>V20/$AL$2</f>
        <v>0</v>
      </c>
      <c r="W21" s="91"/>
      <c r="X21" s="91"/>
      <c r="Y21" s="93">
        <f>Y20/$AL$2</f>
        <v>0</v>
      </c>
      <c r="Z21" s="94"/>
      <c r="AA21" s="94"/>
      <c r="AB21" s="93">
        <f>AB20/$AL$2</f>
        <v>0</v>
      </c>
      <c r="AC21" s="94"/>
      <c r="AD21" s="94"/>
      <c r="AE21" s="93">
        <f>AE20/$AL$2</f>
        <v>0</v>
      </c>
      <c r="AF21" s="95">
        <f t="shared" si="8"/>
        <v>0</v>
      </c>
      <c r="AG21" s="95">
        <f t="shared" si="9"/>
        <v>0</v>
      </c>
      <c r="AH21" s="93">
        <f>AH20/$AL$2</f>
        <v>0</v>
      </c>
      <c r="AI21" s="94"/>
      <c r="AJ21" s="94"/>
      <c r="AK21" s="94"/>
    </row>
    <row r="22" spans="1:37" ht="57.6" x14ac:dyDescent="0.3">
      <c r="A22" s="41" t="s">
        <v>836</v>
      </c>
      <c r="B22" s="41" t="s">
        <v>992</v>
      </c>
      <c r="C22" s="41" t="s">
        <v>999</v>
      </c>
      <c r="D22" s="41" t="s">
        <v>1000</v>
      </c>
      <c r="E22" s="41" t="s">
        <v>1001</v>
      </c>
      <c r="F22" s="41" t="s">
        <v>841</v>
      </c>
      <c r="G22" s="67">
        <v>0</v>
      </c>
      <c r="H22" s="41">
        <v>20000</v>
      </c>
      <c r="I22" s="41">
        <v>1</v>
      </c>
      <c r="J22" s="67">
        <f t="shared" si="0"/>
        <v>0</v>
      </c>
      <c r="K22" s="41">
        <v>0</v>
      </c>
      <c r="L22" s="41">
        <v>0</v>
      </c>
      <c r="M22" s="67">
        <f t="shared" si="1"/>
        <v>0</v>
      </c>
      <c r="N22" s="41">
        <v>0</v>
      </c>
      <c r="O22" s="41">
        <v>0</v>
      </c>
      <c r="P22" s="67">
        <f t="shared" si="2"/>
        <v>0</v>
      </c>
      <c r="Q22" s="41">
        <v>20000</v>
      </c>
      <c r="R22" s="41">
        <v>1</v>
      </c>
      <c r="S22" s="67">
        <f t="shared" si="3"/>
        <v>0</v>
      </c>
      <c r="T22" s="41">
        <v>0</v>
      </c>
      <c r="U22" s="41">
        <v>0</v>
      </c>
      <c r="V22" s="67">
        <f t="shared" si="4"/>
        <v>0</v>
      </c>
      <c r="W22" s="41">
        <v>20000</v>
      </c>
      <c r="X22" s="41">
        <v>1</v>
      </c>
      <c r="Y22" s="67">
        <f t="shared" si="5"/>
        <v>0</v>
      </c>
      <c r="Z22" s="41">
        <v>20000</v>
      </c>
      <c r="AA22" s="41">
        <v>1</v>
      </c>
      <c r="AB22" s="67">
        <f t="shared" si="6"/>
        <v>0</v>
      </c>
      <c r="AE22" s="67">
        <f t="shared" si="7"/>
        <v>0</v>
      </c>
      <c r="AF22" s="28">
        <f t="shared" si="8"/>
        <v>0</v>
      </c>
      <c r="AG22" s="28">
        <f t="shared" si="9"/>
        <v>0</v>
      </c>
    </row>
    <row r="23" spans="1:37" ht="43.2" x14ac:dyDescent="0.3">
      <c r="A23" s="41" t="s">
        <v>836</v>
      </c>
      <c r="B23" s="41" t="s">
        <v>992</v>
      </c>
      <c r="C23" s="41" t="s">
        <v>999</v>
      </c>
      <c r="D23" s="41" t="s">
        <v>1000</v>
      </c>
      <c r="E23" s="41" t="s">
        <v>158</v>
      </c>
      <c r="F23" s="41" t="s">
        <v>718</v>
      </c>
      <c r="G23" s="67">
        <v>0</v>
      </c>
      <c r="H23" s="41">
        <v>0</v>
      </c>
      <c r="I23" s="41">
        <v>0</v>
      </c>
      <c r="J23" s="67">
        <f t="shared" si="0"/>
        <v>0</v>
      </c>
      <c r="K23" s="41">
        <v>0</v>
      </c>
      <c r="L23" s="41">
        <v>0</v>
      </c>
      <c r="M23" s="67">
        <f t="shared" si="1"/>
        <v>0</v>
      </c>
      <c r="N23" s="41">
        <v>0</v>
      </c>
      <c r="O23" s="41">
        <v>0</v>
      </c>
      <c r="P23" s="67">
        <f t="shared" si="2"/>
        <v>0</v>
      </c>
      <c r="Q23" s="41">
        <v>0</v>
      </c>
      <c r="R23" s="41">
        <v>0</v>
      </c>
      <c r="S23" s="67">
        <f t="shared" si="3"/>
        <v>0</v>
      </c>
      <c r="T23" s="41">
        <v>0</v>
      </c>
      <c r="U23" s="41">
        <v>0</v>
      </c>
      <c r="V23" s="67">
        <f t="shared" si="4"/>
        <v>0</v>
      </c>
      <c r="W23" s="41">
        <v>0</v>
      </c>
      <c r="X23" s="41">
        <v>0</v>
      </c>
      <c r="Y23" s="67">
        <f t="shared" si="5"/>
        <v>0</v>
      </c>
      <c r="Z23" s="41">
        <v>0</v>
      </c>
      <c r="AA23" s="41">
        <v>0</v>
      </c>
      <c r="AB23" s="67">
        <f t="shared" si="6"/>
        <v>0</v>
      </c>
      <c r="AE23" s="67">
        <f t="shared" si="7"/>
        <v>0</v>
      </c>
      <c r="AF23" s="28">
        <f t="shared" si="8"/>
        <v>0</v>
      </c>
      <c r="AG23" s="28">
        <f t="shared" si="9"/>
        <v>0</v>
      </c>
    </row>
    <row r="24" spans="1:37" ht="43.2" x14ac:dyDescent="0.3">
      <c r="A24" s="41" t="s">
        <v>836</v>
      </c>
      <c r="B24" s="41" t="s">
        <v>992</v>
      </c>
      <c r="C24" s="41" t="s">
        <v>999</v>
      </c>
      <c r="D24" s="41" t="s">
        <v>1000</v>
      </c>
      <c r="E24" s="41" t="s">
        <v>164</v>
      </c>
      <c r="F24" s="41" t="s">
        <v>718</v>
      </c>
      <c r="G24" s="67">
        <v>0</v>
      </c>
      <c r="H24" s="41">
        <v>0</v>
      </c>
      <c r="I24" s="41">
        <v>0</v>
      </c>
      <c r="J24" s="67">
        <f t="shared" si="0"/>
        <v>0</v>
      </c>
      <c r="K24" s="41">
        <v>0</v>
      </c>
      <c r="L24" s="41">
        <v>0</v>
      </c>
      <c r="M24" s="67">
        <f t="shared" si="1"/>
        <v>0</v>
      </c>
      <c r="N24" s="41">
        <v>2</v>
      </c>
      <c r="O24" s="41">
        <v>2</v>
      </c>
      <c r="P24" s="67">
        <f t="shared" si="2"/>
        <v>0</v>
      </c>
      <c r="Q24" s="41">
        <v>0</v>
      </c>
      <c r="R24" s="41">
        <v>0</v>
      </c>
      <c r="S24" s="67">
        <f t="shared" si="3"/>
        <v>0</v>
      </c>
      <c r="T24" s="41">
        <v>0</v>
      </c>
      <c r="U24" s="41">
        <v>0</v>
      </c>
      <c r="V24" s="67">
        <f t="shared" si="4"/>
        <v>0</v>
      </c>
      <c r="W24" s="41">
        <v>0</v>
      </c>
      <c r="X24" s="41">
        <v>0</v>
      </c>
      <c r="Y24" s="67">
        <f t="shared" si="5"/>
        <v>0</v>
      </c>
      <c r="Z24" s="41">
        <v>0</v>
      </c>
      <c r="AA24" s="41">
        <v>0</v>
      </c>
      <c r="AB24" s="67">
        <f t="shared" si="6"/>
        <v>0</v>
      </c>
      <c r="AE24" s="67">
        <f t="shared" si="7"/>
        <v>0</v>
      </c>
      <c r="AF24" s="28">
        <f t="shared" si="8"/>
        <v>0</v>
      </c>
      <c r="AG24" s="28">
        <f t="shared" si="9"/>
        <v>0</v>
      </c>
    </row>
    <row r="25" spans="1:37" ht="43.2" x14ac:dyDescent="0.3">
      <c r="A25" s="41" t="s">
        <v>836</v>
      </c>
      <c r="B25" s="41" t="s">
        <v>992</v>
      </c>
      <c r="C25" s="41" t="s">
        <v>999</v>
      </c>
      <c r="D25" s="41" t="s">
        <v>1000</v>
      </c>
      <c r="E25" s="41" t="s">
        <v>149</v>
      </c>
      <c r="F25" s="41" t="s">
        <v>707</v>
      </c>
      <c r="G25" s="67">
        <v>391991.03749999998</v>
      </c>
      <c r="H25" s="41">
        <v>2</v>
      </c>
      <c r="I25" s="41">
        <v>2</v>
      </c>
      <c r="J25" s="67">
        <f t="shared" si="0"/>
        <v>1567964.15</v>
      </c>
      <c r="K25" s="41">
        <v>0</v>
      </c>
      <c r="L25" s="41">
        <v>0</v>
      </c>
      <c r="M25" s="67">
        <f t="shared" si="1"/>
        <v>0</v>
      </c>
      <c r="N25" s="41">
        <v>1</v>
      </c>
      <c r="O25" s="41">
        <v>25</v>
      </c>
      <c r="P25" s="67">
        <f t="shared" si="2"/>
        <v>11857728.884375</v>
      </c>
      <c r="Q25" s="41">
        <v>2</v>
      </c>
      <c r="R25" s="41">
        <v>2</v>
      </c>
      <c r="S25" s="67">
        <f t="shared" si="3"/>
        <v>2086960.2836500006</v>
      </c>
      <c r="T25" s="41">
        <v>0</v>
      </c>
      <c r="U25" s="41">
        <v>0</v>
      </c>
      <c r="V25" s="67">
        <f t="shared" si="4"/>
        <v>0</v>
      </c>
      <c r="W25" s="41">
        <v>2</v>
      </c>
      <c r="X25" s="41">
        <v>2</v>
      </c>
      <c r="Y25" s="67">
        <f t="shared" si="5"/>
        <v>2525221.9432165008</v>
      </c>
      <c r="Z25" s="41">
        <v>2</v>
      </c>
      <c r="AA25" s="41">
        <v>2</v>
      </c>
      <c r="AB25" s="67">
        <f t="shared" si="6"/>
        <v>2777744.1375381513</v>
      </c>
      <c r="AE25" s="67">
        <f t="shared" si="7"/>
        <v>0</v>
      </c>
      <c r="AF25" s="28">
        <f t="shared" si="8"/>
        <v>20815619.398779653</v>
      </c>
      <c r="AG25" s="28">
        <f t="shared" si="9"/>
        <v>20209.339222116167</v>
      </c>
    </row>
    <row r="26" spans="1:37" ht="43.2" x14ac:dyDescent="0.3">
      <c r="A26" s="41" t="s">
        <v>836</v>
      </c>
      <c r="B26" s="41" t="s">
        <v>992</v>
      </c>
      <c r="C26" s="41" t="s">
        <v>999</v>
      </c>
      <c r="D26" s="41" t="s">
        <v>1000</v>
      </c>
      <c r="E26" s="41" t="s">
        <v>149</v>
      </c>
      <c r="F26" s="41" t="s">
        <v>708</v>
      </c>
      <c r="G26" s="67">
        <f>500*1030</f>
        <v>515000</v>
      </c>
      <c r="H26" s="41">
        <v>1</v>
      </c>
      <c r="I26" s="41">
        <v>25</v>
      </c>
      <c r="J26" s="67">
        <f t="shared" si="0"/>
        <v>12875000</v>
      </c>
      <c r="K26" s="41">
        <v>1</v>
      </c>
      <c r="L26" s="41">
        <v>4</v>
      </c>
      <c r="M26" s="67">
        <f t="shared" si="1"/>
        <v>2266000</v>
      </c>
      <c r="N26" s="41">
        <v>25</v>
      </c>
      <c r="O26" s="41">
        <v>5</v>
      </c>
      <c r="P26" s="67">
        <f t="shared" si="2"/>
        <v>77893750.000000015</v>
      </c>
      <c r="Q26" s="41">
        <v>1</v>
      </c>
      <c r="R26" s="41">
        <v>25</v>
      </c>
      <c r="S26" s="67">
        <f t="shared" si="3"/>
        <v>17136625.000000007</v>
      </c>
      <c r="T26" s="41">
        <v>0</v>
      </c>
      <c r="U26" s="41">
        <v>0</v>
      </c>
      <c r="V26" s="67">
        <f t="shared" si="4"/>
        <v>0</v>
      </c>
      <c r="W26" s="41">
        <v>1</v>
      </c>
      <c r="X26" s="41">
        <v>30</v>
      </c>
      <c r="Y26" s="67">
        <f t="shared" si="5"/>
        <v>24882379.500000007</v>
      </c>
      <c r="Z26" s="41">
        <v>1</v>
      </c>
      <c r="AA26" s="41">
        <v>25</v>
      </c>
      <c r="AB26" s="67">
        <f t="shared" si="6"/>
        <v>22808847.875000011</v>
      </c>
      <c r="AE26" s="67">
        <f t="shared" si="7"/>
        <v>0</v>
      </c>
      <c r="AF26" s="28">
        <f t="shared" si="8"/>
        <v>157862602.37500003</v>
      </c>
      <c r="AG26" s="28">
        <f t="shared" si="9"/>
        <v>153264.66250000003</v>
      </c>
    </row>
    <row r="27" spans="1:37" ht="43.2" x14ac:dyDescent="0.3">
      <c r="A27" s="41" t="s">
        <v>836</v>
      </c>
      <c r="B27" s="41" t="s">
        <v>992</v>
      </c>
      <c r="C27" s="41" t="s">
        <v>999</v>
      </c>
      <c r="D27" s="41" t="s">
        <v>1000</v>
      </c>
      <c r="E27" s="41" t="s">
        <v>1002</v>
      </c>
      <c r="F27" s="41" t="s">
        <v>709</v>
      </c>
      <c r="G27" s="67">
        <v>35000</v>
      </c>
      <c r="H27" s="41">
        <v>25</v>
      </c>
      <c r="I27" s="41">
        <v>5</v>
      </c>
      <c r="J27" s="67">
        <f t="shared" si="0"/>
        <v>4375000</v>
      </c>
      <c r="K27" s="41">
        <v>1</v>
      </c>
      <c r="L27" s="41">
        <v>40</v>
      </c>
      <c r="M27" s="67">
        <f t="shared" si="1"/>
        <v>1540000</v>
      </c>
      <c r="N27" s="41">
        <v>25</v>
      </c>
      <c r="O27" s="41">
        <v>6</v>
      </c>
      <c r="P27" s="67">
        <f t="shared" si="2"/>
        <v>6352500.0000000019</v>
      </c>
      <c r="Q27" s="41">
        <v>25</v>
      </c>
      <c r="R27" s="41">
        <v>5</v>
      </c>
      <c r="S27" s="67">
        <f t="shared" si="3"/>
        <v>5823125.0000000019</v>
      </c>
      <c r="T27" s="41">
        <v>0</v>
      </c>
      <c r="U27" s="41">
        <v>0</v>
      </c>
      <c r="V27" s="67">
        <f t="shared" si="4"/>
        <v>0</v>
      </c>
      <c r="W27" s="41">
        <v>25</v>
      </c>
      <c r="X27" s="41">
        <v>5</v>
      </c>
      <c r="Y27" s="67">
        <f t="shared" si="5"/>
        <v>7045981.2500000019</v>
      </c>
      <c r="Z27" s="41">
        <v>25</v>
      </c>
      <c r="AA27" s="41">
        <v>5</v>
      </c>
      <c r="AB27" s="67">
        <f t="shared" si="6"/>
        <v>7750579.3750000037</v>
      </c>
      <c r="AE27" s="67">
        <f t="shared" si="7"/>
        <v>0</v>
      </c>
      <c r="AF27" s="28">
        <f t="shared" si="8"/>
        <v>32887185.625000011</v>
      </c>
      <c r="AG27" s="28">
        <f t="shared" si="9"/>
        <v>31929.306432038848</v>
      </c>
    </row>
    <row r="28" spans="1:37" ht="43.2" x14ac:dyDescent="0.3">
      <c r="A28" s="41"/>
      <c r="B28" s="41" t="s">
        <v>992</v>
      </c>
      <c r="C28" s="41" t="s">
        <v>999</v>
      </c>
      <c r="D28" s="41" t="s">
        <v>1000</v>
      </c>
      <c r="E28" s="41" t="s">
        <v>1002</v>
      </c>
      <c r="F28" s="41" t="s">
        <v>716</v>
      </c>
      <c r="G28" s="67">
        <v>39000</v>
      </c>
      <c r="H28" s="41">
        <v>25</v>
      </c>
      <c r="I28" s="41">
        <v>6</v>
      </c>
      <c r="J28" s="67">
        <f t="shared" si="0"/>
        <v>5850000</v>
      </c>
      <c r="K28" s="41"/>
      <c r="L28" s="41"/>
      <c r="M28" s="67">
        <f t="shared" si="1"/>
        <v>0</v>
      </c>
      <c r="N28" s="41">
        <f>135*2*9</f>
        <v>2430</v>
      </c>
      <c r="O28" s="41">
        <v>1</v>
      </c>
      <c r="P28" s="67">
        <f t="shared" si="2"/>
        <v>114671700.00000001</v>
      </c>
      <c r="Q28" s="41">
        <v>25</v>
      </c>
      <c r="R28" s="41">
        <v>6</v>
      </c>
      <c r="S28" s="67">
        <f t="shared" si="3"/>
        <v>7786350.0000000028</v>
      </c>
      <c r="T28" s="41"/>
      <c r="U28" s="41"/>
      <c r="V28" s="67">
        <f t="shared" si="4"/>
        <v>0</v>
      </c>
      <c r="W28" s="41">
        <v>25</v>
      </c>
      <c r="X28" s="41">
        <v>6</v>
      </c>
      <c r="Y28" s="67">
        <f t="shared" si="5"/>
        <v>9421483.5000000037</v>
      </c>
      <c r="Z28" s="41">
        <v>25</v>
      </c>
      <c r="AA28" s="41">
        <v>6</v>
      </c>
      <c r="AB28" s="67">
        <f t="shared" si="6"/>
        <v>10363631.850000005</v>
      </c>
      <c r="AE28" s="67">
        <f t="shared" si="7"/>
        <v>0</v>
      </c>
      <c r="AF28" s="28">
        <f t="shared" si="8"/>
        <v>148093165.35000002</v>
      </c>
      <c r="AG28" s="28">
        <f t="shared" si="9"/>
        <v>143779.77218446604</v>
      </c>
    </row>
    <row r="29" spans="1:37" ht="43.2" x14ac:dyDescent="0.3">
      <c r="A29" s="41"/>
      <c r="B29" s="41" t="s">
        <v>992</v>
      </c>
      <c r="C29" s="41" t="s">
        <v>999</v>
      </c>
      <c r="D29" s="41" t="s">
        <v>1000</v>
      </c>
      <c r="E29" s="41" t="s">
        <v>1002</v>
      </c>
      <c r="F29" s="41" t="s">
        <v>1299</v>
      </c>
      <c r="G29" s="67">
        <f>1999.2/7</f>
        <v>285.60000000000002</v>
      </c>
      <c r="H29" s="41">
        <f>135*2*9</f>
        <v>2430</v>
      </c>
      <c r="I29" s="41">
        <v>1</v>
      </c>
      <c r="J29" s="67"/>
      <c r="K29" s="41"/>
      <c r="L29" s="41"/>
      <c r="M29" s="67">
        <f t="shared" si="1"/>
        <v>0</v>
      </c>
      <c r="N29" s="41">
        <f>25*2*9</f>
        <v>450</v>
      </c>
      <c r="O29" s="41">
        <v>5</v>
      </c>
      <c r="P29" s="67">
        <f t="shared" si="2"/>
        <v>777546.00000000023</v>
      </c>
      <c r="Q29" s="41">
        <f>135*2*9</f>
        <v>2430</v>
      </c>
      <c r="R29" s="41">
        <v>1</v>
      </c>
      <c r="S29" s="67">
        <f t="shared" si="3"/>
        <v>923724.64800000039</v>
      </c>
      <c r="T29" s="41"/>
      <c r="U29" s="41"/>
      <c r="V29" s="67">
        <f t="shared" si="4"/>
        <v>0</v>
      </c>
      <c r="W29" s="41">
        <f>135*2*9</f>
        <v>2430</v>
      </c>
      <c r="X29" s="41">
        <v>1</v>
      </c>
      <c r="Y29" s="67">
        <f t="shared" si="5"/>
        <v>1117706.8240800004</v>
      </c>
      <c r="Z29" s="41">
        <f>135*2*9</f>
        <v>2430</v>
      </c>
      <c r="AA29" s="41">
        <v>1</v>
      </c>
      <c r="AB29" s="67">
        <f t="shared" si="6"/>
        <v>1229477.5064880007</v>
      </c>
      <c r="AE29" s="67">
        <f t="shared" si="7"/>
        <v>0</v>
      </c>
      <c r="AF29" s="28">
        <f t="shared" si="8"/>
        <v>4048454.9785680017</v>
      </c>
      <c r="AG29" s="28">
        <f t="shared" si="9"/>
        <v>3930.5388141436911</v>
      </c>
    </row>
    <row r="30" spans="1:37" ht="43.2" x14ac:dyDescent="0.3">
      <c r="A30" s="41"/>
      <c r="B30" s="41" t="s">
        <v>992</v>
      </c>
      <c r="C30" s="41" t="s">
        <v>999</v>
      </c>
      <c r="D30" s="41" t="s">
        <v>1000</v>
      </c>
      <c r="E30" s="41" t="s">
        <v>1002</v>
      </c>
      <c r="F30" s="41" t="s">
        <v>712</v>
      </c>
      <c r="G30" s="67">
        <f>1999.2/7</f>
        <v>285.60000000000002</v>
      </c>
      <c r="H30" s="41">
        <f>25*2*9</f>
        <v>450</v>
      </c>
      <c r="I30" s="41">
        <v>5</v>
      </c>
      <c r="J30" s="67"/>
      <c r="K30" s="41"/>
      <c r="L30" s="41"/>
      <c r="M30" s="67">
        <f t="shared" si="1"/>
        <v>0</v>
      </c>
      <c r="N30" s="41">
        <v>0</v>
      </c>
      <c r="O30" s="41">
        <v>0</v>
      </c>
      <c r="P30" s="67">
        <f t="shared" si="2"/>
        <v>0</v>
      </c>
      <c r="Q30" s="41">
        <f>25*2*9</f>
        <v>450</v>
      </c>
      <c r="R30" s="41">
        <v>5</v>
      </c>
      <c r="S30" s="67">
        <f t="shared" si="3"/>
        <v>855300.60000000044</v>
      </c>
      <c r="T30" s="41"/>
      <c r="U30" s="41"/>
      <c r="V30" s="67">
        <f t="shared" si="4"/>
        <v>0</v>
      </c>
      <c r="W30" s="41">
        <f>25*2*9</f>
        <v>450</v>
      </c>
      <c r="X30" s="41">
        <v>5</v>
      </c>
      <c r="Y30" s="67">
        <f t="shared" si="5"/>
        <v>1034913.7260000005</v>
      </c>
      <c r="Z30" s="41">
        <f>25*2*9</f>
        <v>450</v>
      </c>
      <c r="AA30" s="41">
        <v>5</v>
      </c>
      <c r="AB30" s="67">
        <f t="shared" si="6"/>
        <v>1138405.0986000006</v>
      </c>
      <c r="AE30" s="67">
        <f t="shared" si="7"/>
        <v>0</v>
      </c>
      <c r="AF30" s="28">
        <f t="shared" si="8"/>
        <v>3028619.4246000014</v>
      </c>
      <c r="AG30" s="28">
        <f t="shared" si="9"/>
        <v>2940.4072083495162</v>
      </c>
    </row>
    <row r="31" spans="1:37" ht="43.2" x14ac:dyDescent="0.3">
      <c r="A31" s="41" t="s">
        <v>836</v>
      </c>
      <c r="B31" s="41" t="s">
        <v>992</v>
      </c>
      <c r="C31" s="41" t="s">
        <v>999</v>
      </c>
      <c r="D31" s="41" t="s">
        <v>1000</v>
      </c>
      <c r="E31" s="41" t="s">
        <v>912</v>
      </c>
      <c r="F31" s="41" t="s">
        <v>718</v>
      </c>
      <c r="G31" s="67">
        <v>0</v>
      </c>
      <c r="H31" s="41">
        <v>0</v>
      </c>
      <c r="I31" s="41">
        <v>0</v>
      </c>
      <c r="J31" s="67">
        <f t="shared" si="0"/>
        <v>0</v>
      </c>
      <c r="K31" s="41">
        <v>5</v>
      </c>
      <c r="L31" s="41">
        <v>14</v>
      </c>
      <c r="M31" s="67">
        <f t="shared" si="1"/>
        <v>0</v>
      </c>
      <c r="N31" s="41">
        <v>25</v>
      </c>
      <c r="O31" s="41">
        <v>5</v>
      </c>
      <c r="P31" s="67">
        <f t="shared" si="2"/>
        <v>0</v>
      </c>
      <c r="Q31" s="41">
        <v>0</v>
      </c>
      <c r="R31" s="41">
        <v>0</v>
      </c>
      <c r="S31" s="67">
        <f t="shared" si="3"/>
        <v>0</v>
      </c>
      <c r="T31" s="41">
        <v>0</v>
      </c>
      <c r="U31" s="41">
        <v>0</v>
      </c>
      <c r="V31" s="67">
        <f t="shared" si="4"/>
        <v>0</v>
      </c>
      <c r="W31" s="41">
        <v>0</v>
      </c>
      <c r="X31" s="41">
        <v>0</v>
      </c>
      <c r="Y31" s="67">
        <f t="shared" si="5"/>
        <v>0</v>
      </c>
      <c r="Z31" s="41">
        <v>0</v>
      </c>
      <c r="AA31" s="41">
        <v>0</v>
      </c>
      <c r="AB31" s="67">
        <f t="shared" si="6"/>
        <v>0</v>
      </c>
      <c r="AE31" s="67">
        <f t="shared" si="7"/>
        <v>0</v>
      </c>
      <c r="AF31" s="28">
        <f t="shared" si="8"/>
        <v>0</v>
      </c>
      <c r="AG31" s="28">
        <f t="shared" si="9"/>
        <v>0</v>
      </c>
    </row>
    <row r="32" spans="1:37" ht="43.2" x14ac:dyDescent="0.3">
      <c r="A32" s="41" t="s">
        <v>836</v>
      </c>
      <c r="B32" s="41" t="s">
        <v>992</v>
      </c>
      <c r="C32" s="41" t="s">
        <v>999</v>
      </c>
      <c r="D32" s="41" t="s">
        <v>1000</v>
      </c>
      <c r="E32" s="41" t="s">
        <v>971</v>
      </c>
      <c r="F32" s="41" t="s">
        <v>709</v>
      </c>
      <c r="G32" s="67">
        <v>35000</v>
      </c>
      <c r="H32" s="41">
        <v>25</v>
      </c>
      <c r="I32" s="41">
        <v>5</v>
      </c>
      <c r="J32" s="67">
        <f t="shared" si="0"/>
        <v>4375000</v>
      </c>
      <c r="K32" s="41">
        <v>15</v>
      </c>
      <c r="L32" s="41">
        <v>1</v>
      </c>
      <c r="M32" s="67">
        <f t="shared" si="1"/>
        <v>577500</v>
      </c>
      <c r="N32" s="41">
        <v>10</v>
      </c>
      <c r="O32" s="41">
        <v>1</v>
      </c>
      <c r="P32" s="67">
        <f t="shared" si="2"/>
        <v>423500.00000000006</v>
      </c>
      <c r="Q32" s="41">
        <v>25</v>
      </c>
      <c r="R32" s="41">
        <v>5</v>
      </c>
      <c r="S32" s="67">
        <f t="shared" si="3"/>
        <v>5823125.0000000019</v>
      </c>
      <c r="T32" s="41">
        <v>0</v>
      </c>
      <c r="U32" s="41">
        <v>0</v>
      </c>
      <c r="V32" s="67">
        <f t="shared" si="4"/>
        <v>0</v>
      </c>
      <c r="W32" s="41">
        <v>25</v>
      </c>
      <c r="X32" s="41">
        <v>5</v>
      </c>
      <c r="Y32" s="67">
        <f t="shared" si="5"/>
        <v>7045981.2500000019</v>
      </c>
      <c r="Z32" s="41">
        <v>25</v>
      </c>
      <c r="AA32" s="41">
        <v>5</v>
      </c>
      <c r="AB32" s="67">
        <f t="shared" si="6"/>
        <v>7750579.3750000037</v>
      </c>
      <c r="AE32" s="67">
        <f t="shared" si="7"/>
        <v>0</v>
      </c>
      <c r="AF32" s="28">
        <f t="shared" si="8"/>
        <v>25995685.625000007</v>
      </c>
      <c r="AG32" s="28">
        <f t="shared" si="9"/>
        <v>25238.529733009716</v>
      </c>
    </row>
    <row r="33" spans="1:33" ht="43.2" x14ac:dyDescent="0.3">
      <c r="A33" s="41" t="s">
        <v>836</v>
      </c>
      <c r="B33" s="41" t="s">
        <v>992</v>
      </c>
      <c r="C33" s="41" t="s">
        <v>999</v>
      </c>
      <c r="D33" s="41" t="s">
        <v>1000</v>
      </c>
      <c r="E33" s="41" t="s">
        <v>971</v>
      </c>
      <c r="F33" s="41" t="s">
        <v>1297</v>
      </c>
      <c r="G33" s="67">
        <v>8000</v>
      </c>
      <c r="H33" s="41">
        <v>10</v>
      </c>
      <c r="I33" s="41">
        <v>1</v>
      </c>
      <c r="J33" s="67">
        <f t="shared" si="0"/>
        <v>80000</v>
      </c>
      <c r="K33" s="41">
        <v>25</v>
      </c>
      <c r="L33" s="41">
        <v>3</v>
      </c>
      <c r="M33" s="67">
        <f t="shared" si="1"/>
        <v>660000</v>
      </c>
      <c r="N33" s="41">
        <v>1</v>
      </c>
      <c r="O33" s="41">
        <v>1</v>
      </c>
      <c r="P33" s="67">
        <f t="shared" si="2"/>
        <v>9680.0000000000018</v>
      </c>
      <c r="Q33" s="41">
        <v>10</v>
      </c>
      <c r="R33" s="41">
        <v>1</v>
      </c>
      <c r="S33" s="67">
        <f t="shared" si="3"/>
        <v>106480.00000000003</v>
      </c>
      <c r="T33" s="41">
        <v>0</v>
      </c>
      <c r="U33" s="41">
        <v>0</v>
      </c>
      <c r="V33" s="67">
        <f t="shared" si="4"/>
        <v>0</v>
      </c>
      <c r="W33" s="41">
        <v>10</v>
      </c>
      <c r="X33" s="41">
        <v>1</v>
      </c>
      <c r="Y33" s="67">
        <f t="shared" si="5"/>
        <v>128840.80000000003</v>
      </c>
      <c r="Z33" s="41">
        <v>10</v>
      </c>
      <c r="AA33" s="41">
        <v>1</v>
      </c>
      <c r="AB33" s="67">
        <f t="shared" si="6"/>
        <v>141724.88000000006</v>
      </c>
      <c r="AE33" s="67">
        <f t="shared" si="7"/>
        <v>0</v>
      </c>
      <c r="AF33" s="28">
        <f t="shared" si="8"/>
        <v>1126725.6800000002</v>
      </c>
      <c r="AG33" s="28">
        <f t="shared" si="9"/>
        <v>1093.9084271844663</v>
      </c>
    </row>
    <row r="34" spans="1:33" ht="43.2" x14ac:dyDescent="0.3">
      <c r="A34" s="41" t="s">
        <v>836</v>
      </c>
      <c r="B34" s="41" t="s">
        <v>992</v>
      </c>
      <c r="C34" s="41" t="s">
        <v>999</v>
      </c>
      <c r="D34" s="41" t="s">
        <v>1000</v>
      </c>
      <c r="E34" s="41" t="s">
        <v>971</v>
      </c>
      <c r="F34" s="41" t="s">
        <v>710</v>
      </c>
      <c r="G34" s="67">
        <v>104850</v>
      </c>
      <c r="H34" s="41">
        <v>1</v>
      </c>
      <c r="I34" s="41">
        <v>1</v>
      </c>
      <c r="J34" s="67">
        <f t="shared" si="0"/>
        <v>104850</v>
      </c>
      <c r="K34" s="41">
        <v>5000</v>
      </c>
      <c r="L34" s="41">
        <v>1</v>
      </c>
      <c r="M34" s="67">
        <f t="shared" si="1"/>
        <v>576675000.00000012</v>
      </c>
      <c r="N34" s="41">
        <v>25</v>
      </c>
      <c r="O34" s="41">
        <v>5</v>
      </c>
      <c r="P34" s="67">
        <f t="shared" si="2"/>
        <v>15858562.500000002</v>
      </c>
      <c r="Q34" s="41">
        <v>1</v>
      </c>
      <c r="R34" s="41">
        <v>1</v>
      </c>
      <c r="S34" s="67">
        <f t="shared" si="3"/>
        <v>139555.35000000003</v>
      </c>
      <c r="T34" s="41">
        <v>0</v>
      </c>
      <c r="U34" s="41">
        <v>0</v>
      </c>
      <c r="V34" s="67">
        <f t="shared" si="4"/>
        <v>0</v>
      </c>
      <c r="W34" s="41">
        <v>1</v>
      </c>
      <c r="X34" s="41">
        <v>1</v>
      </c>
      <c r="Y34" s="67">
        <f t="shared" si="5"/>
        <v>168861.97350000005</v>
      </c>
      <c r="Z34" s="41">
        <v>1</v>
      </c>
      <c r="AA34" s="41">
        <v>1</v>
      </c>
      <c r="AB34" s="67">
        <f t="shared" si="6"/>
        <v>185748.17085000008</v>
      </c>
      <c r="AE34" s="67">
        <f t="shared" si="7"/>
        <v>0</v>
      </c>
      <c r="AF34" s="28">
        <f t="shared" si="8"/>
        <v>593132577.99435019</v>
      </c>
      <c r="AG34" s="28">
        <f t="shared" si="9"/>
        <v>575856.871839175</v>
      </c>
    </row>
    <row r="35" spans="1:33" ht="43.2" x14ac:dyDescent="0.3">
      <c r="A35" s="41" t="s">
        <v>836</v>
      </c>
      <c r="B35" s="41" t="s">
        <v>992</v>
      </c>
      <c r="C35" s="41" t="s">
        <v>999</v>
      </c>
      <c r="D35" s="41" t="s">
        <v>1000</v>
      </c>
      <c r="E35" s="41" t="s">
        <v>1003</v>
      </c>
      <c r="F35" s="41" t="s">
        <v>713</v>
      </c>
      <c r="G35" s="67">
        <v>45000</v>
      </c>
      <c r="H35" s="41">
        <v>25</v>
      </c>
      <c r="I35" s="41">
        <v>5</v>
      </c>
      <c r="J35" s="67">
        <f t="shared" si="0"/>
        <v>5625000</v>
      </c>
      <c r="K35" s="41">
        <v>1</v>
      </c>
      <c r="L35" s="41">
        <v>1</v>
      </c>
      <c r="M35" s="67">
        <f t="shared" si="1"/>
        <v>49500.000000000007</v>
      </c>
      <c r="N35" s="41">
        <v>25</v>
      </c>
      <c r="O35" s="41">
        <v>10</v>
      </c>
      <c r="P35" s="67">
        <f t="shared" si="2"/>
        <v>13612500.000000002</v>
      </c>
      <c r="Q35" s="41">
        <v>25</v>
      </c>
      <c r="R35" s="41">
        <v>5</v>
      </c>
      <c r="S35" s="67">
        <f t="shared" si="3"/>
        <v>7486875.0000000019</v>
      </c>
      <c r="T35" s="41">
        <v>0</v>
      </c>
      <c r="U35" s="41">
        <v>0</v>
      </c>
      <c r="V35" s="67">
        <f t="shared" si="4"/>
        <v>0</v>
      </c>
      <c r="W35" s="41">
        <v>25</v>
      </c>
      <c r="X35" s="41">
        <v>5</v>
      </c>
      <c r="Y35" s="67">
        <f t="shared" si="5"/>
        <v>9059118.7500000037</v>
      </c>
      <c r="Z35" s="41">
        <v>25</v>
      </c>
      <c r="AA35" s="41">
        <v>5</v>
      </c>
      <c r="AB35" s="67">
        <f t="shared" si="6"/>
        <v>9965030.6250000037</v>
      </c>
      <c r="AE35" s="67">
        <f t="shared" si="7"/>
        <v>0</v>
      </c>
      <c r="AF35" s="28">
        <f t="shared" si="8"/>
        <v>45798024.375</v>
      </c>
      <c r="AG35" s="28">
        <f t="shared" si="9"/>
        <v>44464.101334951454</v>
      </c>
    </row>
    <row r="36" spans="1:33" ht="43.2" x14ac:dyDescent="0.3">
      <c r="A36" s="41" t="s">
        <v>836</v>
      </c>
      <c r="B36" s="41" t="s">
        <v>992</v>
      </c>
      <c r="C36" s="41" t="s">
        <v>999</v>
      </c>
      <c r="D36" s="41" t="s">
        <v>1000</v>
      </c>
      <c r="E36" s="41" t="s">
        <v>1003</v>
      </c>
      <c r="F36" s="41" t="s">
        <v>712</v>
      </c>
      <c r="G36" s="67">
        <f>1999.2/7</f>
        <v>285.60000000000002</v>
      </c>
      <c r="H36" s="41">
        <v>25</v>
      </c>
      <c r="I36" s="41">
        <v>10</v>
      </c>
      <c r="J36" s="67">
        <f t="shared" si="0"/>
        <v>71400.000000000015</v>
      </c>
      <c r="K36" s="41">
        <v>25</v>
      </c>
      <c r="L36" s="41">
        <v>1</v>
      </c>
      <c r="M36" s="67">
        <f t="shared" si="1"/>
        <v>7854.0000000000009</v>
      </c>
      <c r="N36" s="41">
        <v>22500</v>
      </c>
      <c r="O36" s="41">
        <v>5</v>
      </c>
      <c r="P36" s="67">
        <f t="shared" si="2"/>
        <v>38877300.000000007</v>
      </c>
      <c r="Q36" s="41">
        <v>25</v>
      </c>
      <c r="R36" s="41">
        <v>10</v>
      </c>
      <c r="S36" s="67">
        <f t="shared" si="3"/>
        <v>95033.400000000038</v>
      </c>
      <c r="T36" s="41">
        <v>0</v>
      </c>
      <c r="U36" s="41">
        <v>0</v>
      </c>
      <c r="V36" s="67">
        <f t="shared" si="4"/>
        <v>0</v>
      </c>
      <c r="W36" s="41">
        <v>25</v>
      </c>
      <c r="X36" s="41">
        <v>10</v>
      </c>
      <c r="Y36" s="67">
        <f t="shared" si="5"/>
        <v>114990.41400000003</v>
      </c>
      <c r="Z36" s="41">
        <v>25</v>
      </c>
      <c r="AA36" s="41">
        <v>10</v>
      </c>
      <c r="AB36" s="67">
        <f t="shared" si="6"/>
        <v>126489.45540000006</v>
      </c>
      <c r="AE36" s="67">
        <f t="shared" si="7"/>
        <v>0</v>
      </c>
      <c r="AF36" s="28">
        <f t="shared" si="8"/>
        <v>39293067.269400001</v>
      </c>
      <c r="AG36" s="28">
        <f t="shared" si="9"/>
        <v>38148.608999417476</v>
      </c>
    </row>
    <row r="37" spans="1:33" ht="43.2" x14ac:dyDescent="0.3">
      <c r="A37" s="41" t="s">
        <v>836</v>
      </c>
      <c r="B37" s="41" t="s">
        <v>992</v>
      </c>
      <c r="C37" s="41" t="s">
        <v>999</v>
      </c>
      <c r="D37" s="41" t="s">
        <v>1000</v>
      </c>
      <c r="E37" s="41" t="s">
        <v>1003</v>
      </c>
      <c r="F37" s="41" t="s">
        <v>1299</v>
      </c>
      <c r="G37" s="67">
        <f>1999.2/7</f>
        <v>285.60000000000002</v>
      </c>
      <c r="H37" s="41">
        <v>22500</v>
      </c>
      <c r="I37" s="41">
        <v>5</v>
      </c>
      <c r="J37" s="67">
        <f t="shared" si="0"/>
        <v>32130000.000000004</v>
      </c>
      <c r="K37" s="41"/>
      <c r="L37" s="41"/>
      <c r="M37" s="67">
        <f t="shared" si="1"/>
        <v>0</v>
      </c>
      <c r="N37" s="41">
        <v>25</v>
      </c>
      <c r="O37" s="41">
        <v>5</v>
      </c>
      <c r="P37" s="67">
        <f t="shared" si="2"/>
        <v>43197.000000000007</v>
      </c>
      <c r="Q37" s="41">
        <v>22500</v>
      </c>
      <c r="R37" s="41">
        <v>5</v>
      </c>
      <c r="S37" s="67">
        <f t="shared" si="3"/>
        <v>42765030.000000015</v>
      </c>
      <c r="T37" s="41"/>
      <c r="U37" s="41"/>
      <c r="V37" s="67">
        <f t="shared" si="4"/>
        <v>0</v>
      </c>
      <c r="W37" s="41">
        <v>22500</v>
      </c>
      <c r="X37" s="41">
        <v>5</v>
      </c>
      <c r="Y37" s="67">
        <f t="shared" si="5"/>
        <v>51745686.300000019</v>
      </c>
      <c r="Z37" s="41">
        <v>22500</v>
      </c>
      <c r="AA37" s="41">
        <v>5</v>
      </c>
      <c r="AB37" s="67">
        <f t="shared" si="6"/>
        <v>56920254.930000037</v>
      </c>
      <c r="AE37" s="67">
        <f t="shared" si="7"/>
        <v>0</v>
      </c>
      <c r="AF37" s="28">
        <f t="shared" si="8"/>
        <v>183604168.23000008</v>
      </c>
      <c r="AG37" s="28">
        <f t="shared" si="9"/>
        <v>178256.47400970882</v>
      </c>
    </row>
    <row r="38" spans="1:33" ht="43.2" x14ac:dyDescent="0.3">
      <c r="A38" s="41" t="s">
        <v>836</v>
      </c>
      <c r="B38" s="41" t="s">
        <v>992</v>
      </c>
      <c r="C38" s="41" t="s">
        <v>999</v>
      </c>
      <c r="D38" s="41" t="s">
        <v>1000</v>
      </c>
      <c r="E38" s="41" t="s">
        <v>157</v>
      </c>
      <c r="F38" s="41" t="s">
        <v>713</v>
      </c>
      <c r="G38" s="67">
        <v>45000</v>
      </c>
      <c r="H38" s="41">
        <v>25</v>
      </c>
      <c r="I38" s="41">
        <v>5</v>
      </c>
      <c r="J38" s="67">
        <f t="shared" si="0"/>
        <v>5625000</v>
      </c>
      <c r="K38" s="41">
        <v>4000</v>
      </c>
      <c r="L38" s="41">
        <v>1</v>
      </c>
      <c r="M38" s="67">
        <f t="shared" si="1"/>
        <v>198000000.00000003</v>
      </c>
      <c r="N38" s="41">
        <v>25</v>
      </c>
      <c r="O38" s="41">
        <v>5</v>
      </c>
      <c r="P38" s="67">
        <f t="shared" si="2"/>
        <v>6806250.0000000009</v>
      </c>
      <c r="Q38" s="41">
        <v>25</v>
      </c>
      <c r="R38" s="41">
        <v>5</v>
      </c>
      <c r="S38" s="67">
        <f t="shared" si="3"/>
        <v>7486875.0000000019</v>
      </c>
      <c r="T38" s="41">
        <v>0</v>
      </c>
      <c r="U38" s="41">
        <v>0</v>
      </c>
      <c r="V38" s="67">
        <f t="shared" si="4"/>
        <v>0</v>
      </c>
      <c r="W38" s="41">
        <v>25</v>
      </c>
      <c r="X38" s="41">
        <v>5</v>
      </c>
      <c r="Y38" s="67">
        <f t="shared" si="5"/>
        <v>9059118.7500000037</v>
      </c>
      <c r="Z38" s="41">
        <v>25</v>
      </c>
      <c r="AA38" s="41">
        <v>5</v>
      </c>
      <c r="AB38" s="67">
        <f t="shared" si="6"/>
        <v>9965030.6250000037</v>
      </c>
      <c r="AE38" s="67">
        <f t="shared" si="7"/>
        <v>0</v>
      </c>
      <c r="AF38" s="28">
        <f t="shared" si="8"/>
        <v>236942274.37500003</v>
      </c>
      <c r="AG38" s="28">
        <f t="shared" si="9"/>
        <v>230041.04308252429</v>
      </c>
    </row>
    <row r="39" spans="1:33" ht="43.2" x14ac:dyDescent="0.3">
      <c r="A39" s="41" t="s">
        <v>836</v>
      </c>
      <c r="B39" s="41" t="s">
        <v>992</v>
      </c>
      <c r="C39" s="41" t="s">
        <v>999</v>
      </c>
      <c r="D39" s="41" t="s">
        <v>1000</v>
      </c>
      <c r="E39" s="41" t="s">
        <v>157</v>
      </c>
      <c r="F39" s="41" t="s">
        <v>712</v>
      </c>
      <c r="G39" s="67">
        <f>1999.2/7</f>
        <v>285.60000000000002</v>
      </c>
      <c r="H39" s="41">
        <v>25</v>
      </c>
      <c r="I39" s="41">
        <v>5</v>
      </c>
      <c r="J39" s="67">
        <f t="shared" si="0"/>
        <v>35700.000000000007</v>
      </c>
      <c r="K39" s="41">
        <v>25</v>
      </c>
      <c r="L39" s="41">
        <v>10</v>
      </c>
      <c r="M39" s="67">
        <f t="shared" si="1"/>
        <v>78540.000000000015</v>
      </c>
      <c r="N39" s="41">
        <v>15</v>
      </c>
      <c r="O39" s="41">
        <v>1</v>
      </c>
      <c r="P39" s="67">
        <f t="shared" si="2"/>
        <v>5183.6400000000012</v>
      </c>
      <c r="Q39" s="41">
        <v>25</v>
      </c>
      <c r="R39" s="41">
        <v>5</v>
      </c>
      <c r="S39" s="67">
        <f t="shared" si="3"/>
        <v>47516.700000000019</v>
      </c>
      <c r="T39" s="41">
        <v>0</v>
      </c>
      <c r="U39" s="41">
        <v>0</v>
      </c>
      <c r="V39" s="67">
        <f t="shared" si="4"/>
        <v>0</v>
      </c>
      <c r="W39" s="41">
        <v>25</v>
      </c>
      <c r="X39" s="41">
        <v>5</v>
      </c>
      <c r="Y39" s="67">
        <f t="shared" si="5"/>
        <v>57495.207000000017</v>
      </c>
      <c r="Z39" s="41">
        <v>25</v>
      </c>
      <c r="AA39" s="41">
        <v>5</v>
      </c>
      <c r="AB39" s="67">
        <f t="shared" si="6"/>
        <v>63244.727700000032</v>
      </c>
      <c r="AE39" s="67">
        <f t="shared" si="7"/>
        <v>0</v>
      </c>
      <c r="AF39" s="28">
        <f t="shared" si="8"/>
        <v>287680.27470000013</v>
      </c>
      <c r="AG39" s="28">
        <f t="shared" si="9"/>
        <v>279.30123757281564</v>
      </c>
    </row>
    <row r="40" spans="1:33" ht="43.2" x14ac:dyDescent="0.3">
      <c r="A40" s="41" t="s">
        <v>836</v>
      </c>
      <c r="B40" s="41" t="s">
        <v>992</v>
      </c>
      <c r="C40" s="41" t="s">
        <v>999</v>
      </c>
      <c r="D40" s="41" t="s">
        <v>1000</v>
      </c>
      <c r="E40" s="41" t="s">
        <v>157</v>
      </c>
      <c r="F40" s="41" t="s">
        <v>714</v>
      </c>
      <c r="G40" s="67">
        <v>10000</v>
      </c>
      <c r="H40" s="41">
        <v>15</v>
      </c>
      <c r="I40" s="41">
        <v>1</v>
      </c>
      <c r="J40" s="67">
        <f t="shared" si="0"/>
        <v>150000</v>
      </c>
      <c r="K40" s="41">
        <v>20000</v>
      </c>
      <c r="L40" s="41">
        <v>1</v>
      </c>
      <c r="M40" s="67">
        <f t="shared" si="1"/>
        <v>220000000</v>
      </c>
      <c r="N40" s="41">
        <v>15</v>
      </c>
      <c r="O40" s="41">
        <v>1</v>
      </c>
      <c r="P40" s="67">
        <f t="shared" si="2"/>
        <v>181500.00000000003</v>
      </c>
      <c r="Q40" s="41">
        <v>15</v>
      </c>
      <c r="R40" s="41">
        <v>1</v>
      </c>
      <c r="S40" s="67">
        <f t="shared" si="3"/>
        <v>199650.00000000006</v>
      </c>
      <c r="T40" s="41">
        <v>0</v>
      </c>
      <c r="U40" s="41">
        <v>0</v>
      </c>
      <c r="V40" s="67">
        <f t="shared" si="4"/>
        <v>0</v>
      </c>
      <c r="W40" s="41">
        <v>15</v>
      </c>
      <c r="X40" s="41">
        <v>1</v>
      </c>
      <c r="Y40" s="67">
        <f t="shared" si="5"/>
        <v>241576.50000000009</v>
      </c>
      <c r="Z40" s="41">
        <v>15</v>
      </c>
      <c r="AA40" s="41">
        <v>1</v>
      </c>
      <c r="AB40" s="67">
        <f t="shared" si="6"/>
        <v>265734.15000000014</v>
      </c>
      <c r="AE40" s="67">
        <f t="shared" si="7"/>
        <v>0</v>
      </c>
      <c r="AF40" s="28">
        <f t="shared" si="8"/>
        <v>221038460.65000001</v>
      </c>
      <c r="AG40" s="28">
        <f t="shared" si="9"/>
        <v>214600.44723300971</v>
      </c>
    </row>
    <row r="41" spans="1:33" ht="43.2" x14ac:dyDescent="0.3">
      <c r="A41" s="41" t="s">
        <v>836</v>
      </c>
      <c r="B41" s="41" t="s">
        <v>992</v>
      </c>
      <c r="C41" s="41" t="s">
        <v>999</v>
      </c>
      <c r="D41" s="41" t="s">
        <v>1000</v>
      </c>
      <c r="E41" s="41" t="s">
        <v>157</v>
      </c>
      <c r="F41" s="41" t="s">
        <v>715</v>
      </c>
      <c r="G41" s="67">
        <v>302000</v>
      </c>
      <c r="H41" s="41">
        <v>15</v>
      </c>
      <c r="I41" s="41">
        <v>1</v>
      </c>
      <c r="J41" s="67">
        <f t="shared" si="0"/>
        <v>4530000</v>
      </c>
      <c r="K41" s="41">
        <v>25</v>
      </c>
      <c r="L41" s="41">
        <v>1</v>
      </c>
      <c r="M41" s="67">
        <f t="shared" si="1"/>
        <v>8305000</v>
      </c>
      <c r="N41" s="41">
        <v>15</v>
      </c>
      <c r="O41" s="41">
        <v>5</v>
      </c>
      <c r="P41" s="67">
        <f t="shared" si="2"/>
        <v>27406500.000000004</v>
      </c>
      <c r="Q41" s="41">
        <v>15</v>
      </c>
      <c r="R41" s="41">
        <v>1</v>
      </c>
      <c r="S41" s="67">
        <f t="shared" si="3"/>
        <v>6029430.0000000019</v>
      </c>
      <c r="T41" s="41">
        <v>0</v>
      </c>
      <c r="U41" s="41">
        <v>0</v>
      </c>
      <c r="V41" s="67">
        <f t="shared" si="4"/>
        <v>0</v>
      </c>
      <c r="W41" s="41">
        <v>15</v>
      </c>
      <c r="X41" s="41">
        <v>1</v>
      </c>
      <c r="Y41" s="67">
        <f t="shared" si="5"/>
        <v>7295610.3000000026</v>
      </c>
      <c r="Z41" s="41">
        <v>15</v>
      </c>
      <c r="AA41" s="41">
        <v>1</v>
      </c>
      <c r="AB41" s="67">
        <f t="shared" si="6"/>
        <v>8025171.3300000038</v>
      </c>
      <c r="AE41" s="67">
        <f t="shared" si="7"/>
        <v>0</v>
      </c>
      <c r="AF41" s="28">
        <f t="shared" si="8"/>
        <v>61591711.63000001</v>
      </c>
      <c r="AG41" s="28">
        <f t="shared" si="9"/>
        <v>59797.778281553408</v>
      </c>
    </row>
    <row r="42" spans="1:33" ht="43.2" x14ac:dyDescent="0.3">
      <c r="A42" s="41" t="s">
        <v>836</v>
      </c>
      <c r="B42" s="41" t="s">
        <v>992</v>
      </c>
      <c r="C42" s="41" t="s">
        <v>999</v>
      </c>
      <c r="D42" s="41" t="s">
        <v>1000</v>
      </c>
      <c r="E42" s="41" t="s">
        <v>1004</v>
      </c>
      <c r="F42" s="41" t="s">
        <v>716</v>
      </c>
      <c r="G42" s="67">
        <v>39000</v>
      </c>
      <c r="H42" s="41">
        <v>25</v>
      </c>
      <c r="I42" s="41">
        <v>5</v>
      </c>
      <c r="J42" s="67">
        <f t="shared" si="0"/>
        <v>4875000</v>
      </c>
      <c r="K42" s="41">
        <v>20</v>
      </c>
      <c r="L42" s="41">
        <v>1</v>
      </c>
      <c r="M42" s="67">
        <f t="shared" si="1"/>
        <v>858000</v>
      </c>
      <c r="N42" s="41">
        <v>25</v>
      </c>
      <c r="O42" s="41">
        <v>5</v>
      </c>
      <c r="P42" s="67">
        <f t="shared" si="2"/>
        <v>5898750.0000000009</v>
      </c>
      <c r="Q42" s="41">
        <v>25</v>
      </c>
      <c r="R42" s="41">
        <v>5</v>
      </c>
      <c r="S42" s="67">
        <f t="shared" si="3"/>
        <v>6488625.0000000019</v>
      </c>
      <c r="T42" s="41">
        <v>0</v>
      </c>
      <c r="U42" s="41">
        <v>0</v>
      </c>
      <c r="V42" s="67">
        <f t="shared" si="4"/>
        <v>0</v>
      </c>
      <c r="W42" s="41">
        <v>15</v>
      </c>
      <c r="X42" s="41">
        <v>5</v>
      </c>
      <c r="Y42" s="67">
        <f t="shared" si="5"/>
        <v>4710741.7500000019</v>
      </c>
      <c r="Z42" s="41">
        <v>25</v>
      </c>
      <c r="AA42" s="41">
        <v>5</v>
      </c>
      <c r="AB42" s="67">
        <f t="shared" si="6"/>
        <v>8636359.8750000037</v>
      </c>
      <c r="AE42" s="67">
        <f t="shared" si="7"/>
        <v>0</v>
      </c>
      <c r="AF42" s="28">
        <f t="shared" si="8"/>
        <v>31467476.625000004</v>
      </c>
      <c r="AG42" s="28">
        <f t="shared" si="9"/>
        <v>30550.948179611652</v>
      </c>
    </row>
    <row r="43" spans="1:33" ht="43.2" x14ac:dyDescent="0.3">
      <c r="A43" s="41" t="s">
        <v>836</v>
      </c>
      <c r="B43" s="41" t="s">
        <v>992</v>
      </c>
      <c r="C43" s="41" t="s">
        <v>999</v>
      </c>
      <c r="D43" s="41" t="s">
        <v>1000</v>
      </c>
      <c r="E43" s="41" t="s">
        <v>1004</v>
      </c>
      <c r="F43" s="41" t="s">
        <v>709</v>
      </c>
      <c r="G43" s="67">
        <v>35000</v>
      </c>
      <c r="H43" s="41">
        <v>25</v>
      </c>
      <c r="I43" s="41">
        <v>5</v>
      </c>
      <c r="J43" s="67">
        <f t="shared" si="0"/>
        <v>4375000</v>
      </c>
      <c r="K43" s="41">
        <v>25</v>
      </c>
      <c r="L43" s="41">
        <v>5</v>
      </c>
      <c r="M43" s="67">
        <f t="shared" si="1"/>
        <v>4812500</v>
      </c>
      <c r="N43" s="41">
        <v>25</v>
      </c>
      <c r="O43" s="41">
        <v>10</v>
      </c>
      <c r="P43" s="67">
        <f t="shared" si="2"/>
        <v>10587500.000000002</v>
      </c>
      <c r="Q43" s="41">
        <v>25</v>
      </c>
      <c r="R43" s="41">
        <v>5</v>
      </c>
      <c r="S43" s="67">
        <f t="shared" si="3"/>
        <v>5823125.0000000019</v>
      </c>
      <c r="T43" s="41">
        <v>0</v>
      </c>
      <c r="U43" s="41">
        <v>0</v>
      </c>
      <c r="V43" s="67">
        <f t="shared" si="4"/>
        <v>0</v>
      </c>
      <c r="W43" s="41">
        <v>25</v>
      </c>
      <c r="X43" s="41">
        <v>5</v>
      </c>
      <c r="Y43" s="67">
        <f t="shared" si="5"/>
        <v>7045981.2500000019</v>
      </c>
      <c r="Z43" s="41">
        <v>25</v>
      </c>
      <c r="AA43" s="41">
        <v>5</v>
      </c>
      <c r="AB43" s="67">
        <f t="shared" si="6"/>
        <v>7750579.3750000037</v>
      </c>
      <c r="AE43" s="67">
        <f t="shared" si="7"/>
        <v>0</v>
      </c>
      <c r="AF43" s="28">
        <f t="shared" si="8"/>
        <v>40394685.625</v>
      </c>
      <c r="AG43" s="28">
        <f t="shared" si="9"/>
        <v>39218.141383495145</v>
      </c>
    </row>
    <row r="44" spans="1:33" ht="43.2" x14ac:dyDescent="0.3">
      <c r="A44" s="41" t="s">
        <v>836</v>
      </c>
      <c r="B44" s="41" t="s">
        <v>992</v>
      </c>
      <c r="C44" s="41" t="s">
        <v>999</v>
      </c>
      <c r="D44" s="41" t="s">
        <v>1000</v>
      </c>
      <c r="E44" s="41" t="s">
        <v>1004</v>
      </c>
      <c r="F44" s="41" t="s">
        <v>712</v>
      </c>
      <c r="G44" s="67">
        <f>1999.2/7</f>
        <v>285.60000000000002</v>
      </c>
      <c r="H44" s="41">
        <v>15</v>
      </c>
      <c r="I44" s="41">
        <v>10</v>
      </c>
      <c r="J44" s="67">
        <f t="shared" si="0"/>
        <v>42840</v>
      </c>
      <c r="K44" s="41">
        <v>25</v>
      </c>
      <c r="L44" s="41">
        <v>5</v>
      </c>
      <c r="M44" s="67">
        <f t="shared" si="1"/>
        <v>39270.000000000007</v>
      </c>
      <c r="N44" s="41">
        <v>22500</v>
      </c>
      <c r="O44" s="41">
        <v>1</v>
      </c>
      <c r="P44" s="67">
        <f t="shared" si="2"/>
        <v>7775460.0000000019</v>
      </c>
      <c r="Q44" s="41">
        <v>15</v>
      </c>
      <c r="R44" s="41">
        <v>10</v>
      </c>
      <c r="S44" s="67">
        <f t="shared" si="3"/>
        <v>57020.040000000023</v>
      </c>
      <c r="T44" s="41">
        <v>0</v>
      </c>
      <c r="U44" s="41">
        <v>0</v>
      </c>
      <c r="V44" s="67">
        <f t="shared" si="4"/>
        <v>0</v>
      </c>
      <c r="W44" s="41">
        <v>25</v>
      </c>
      <c r="X44" s="41">
        <v>10</v>
      </c>
      <c r="Y44" s="67">
        <f t="shared" si="5"/>
        <v>114990.41400000003</v>
      </c>
      <c r="Z44" s="41">
        <v>15</v>
      </c>
      <c r="AA44" s="41">
        <v>10</v>
      </c>
      <c r="AB44" s="67">
        <f t="shared" si="6"/>
        <v>75893.673240000047</v>
      </c>
      <c r="AE44" s="67">
        <f t="shared" si="7"/>
        <v>0</v>
      </c>
      <c r="AF44" s="28">
        <f t="shared" si="8"/>
        <v>8105474.1272400022</v>
      </c>
      <c r="AG44" s="28">
        <f t="shared" si="9"/>
        <v>7869.3923565436917</v>
      </c>
    </row>
    <row r="45" spans="1:33" ht="43.2" x14ac:dyDescent="0.3">
      <c r="A45" s="41" t="s">
        <v>836</v>
      </c>
      <c r="B45" s="41" t="s">
        <v>992</v>
      </c>
      <c r="C45" s="41" t="s">
        <v>999</v>
      </c>
      <c r="D45" s="41" t="s">
        <v>1000</v>
      </c>
      <c r="E45" s="41" t="s">
        <v>1004</v>
      </c>
      <c r="F45" s="41" t="s">
        <v>1299</v>
      </c>
      <c r="G45" s="67">
        <v>211.42857142857142</v>
      </c>
      <c r="H45" s="41">
        <v>22500</v>
      </c>
      <c r="I45" s="41">
        <v>1</v>
      </c>
      <c r="J45" s="67">
        <f t="shared" si="0"/>
        <v>4757142.8571428573</v>
      </c>
      <c r="K45" s="41"/>
      <c r="L45" s="41"/>
      <c r="M45" s="67">
        <f t="shared" si="1"/>
        <v>0</v>
      </c>
      <c r="N45" s="41">
        <v>0</v>
      </c>
      <c r="O45" s="41">
        <v>0</v>
      </c>
      <c r="P45" s="67">
        <f t="shared" si="2"/>
        <v>0</v>
      </c>
      <c r="Q45" s="41">
        <v>22500</v>
      </c>
      <c r="R45" s="41">
        <v>1</v>
      </c>
      <c r="S45" s="67">
        <f t="shared" si="3"/>
        <v>6331757.1428571446</v>
      </c>
      <c r="T45" s="41"/>
      <c r="U45" s="41"/>
      <c r="V45" s="67">
        <f t="shared" si="4"/>
        <v>0</v>
      </c>
      <c r="W45" s="41">
        <v>22500</v>
      </c>
      <c r="X45" s="41">
        <v>1</v>
      </c>
      <c r="Y45" s="67">
        <f t="shared" si="5"/>
        <v>7661426.1428571446</v>
      </c>
      <c r="Z45" s="41">
        <v>22500</v>
      </c>
      <c r="AA45" s="41">
        <v>1</v>
      </c>
      <c r="AB45" s="67">
        <f t="shared" si="6"/>
        <v>8427568.7571428604</v>
      </c>
      <c r="AE45" s="67">
        <f t="shared" si="7"/>
        <v>0</v>
      </c>
      <c r="AF45" s="28">
        <f t="shared" si="8"/>
        <v>27177894.900000006</v>
      </c>
      <c r="AG45" s="28">
        <f t="shared" si="9"/>
        <v>26386.305728155345</v>
      </c>
    </row>
    <row r="46" spans="1:33" ht="43.2" x14ac:dyDescent="0.3">
      <c r="A46" s="41" t="s">
        <v>836</v>
      </c>
      <c r="B46" s="41" t="s">
        <v>992</v>
      </c>
      <c r="C46" s="41" t="s">
        <v>999</v>
      </c>
      <c r="D46" s="41" t="s">
        <v>1000</v>
      </c>
      <c r="E46" s="41" t="s">
        <v>1005</v>
      </c>
      <c r="F46" s="41" t="s">
        <v>841</v>
      </c>
      <c r="G46" s="67">
        <v>0</v>
      </c>
      <c r="H46" s="41">
        <v>0</v>
      </c>
      <c r="I46" s="41">
        <v>0</v>
      </c>
      <c r="J46" s="67">
        <f t="shared" si="0"/>
        <v>0</v>
      </c>
      <c r="K46" s="41">
        <v>4000</v>
      </c>
      <c r="L46" s="41">
        <v>1</v>
      </c>
      <c r="M46" s="67">
        <f t="shared" si="1"/>
        <v>0</v>
      </c>
      <c r="N46" s="41">
        <v>100</v>
      </c>
      <c r="O46" s="41">
        <v>1</v>
      </c>
      <c r="P46" s="67">
        <f t="shared" si="2"/>
        <v>0</v>
      </c>
      <c r="Q46" s="41">
        <v>0</v>
      </c>
      <c r="R46" s="41">
        <v>0</v>
      </c>
      <c r="S46" s="67">
        <f t="shared" si="3"/>
        <v>0</v>
      </c>
      <c r="T46" s="41">
        <v>0</v>
      </c>
      <c r="U46" s="41">
        <v>0</v>
      </c>
      <c r="V46" s="67">
        <f t="shared" si="4"/>
        <v>0</v>
      </c>
      <c r="W46" s="41">
        <v>0</v>
      </c>
      <c r="X46" s="41">
        <v>0</v>
      </c>
      <c r="Y46" s="67">
        <f t="shared" si="5"/>
        <v>0</v>
      </c>
      <c r="Z46" s="41">
        <v>0</v>
      </c>
      <c r="AA46" s="41">
        <v>0</v>
      </c>
      <c r="AB46" s="67">
        <f t="shared" si="6"/>
        <v>0</v>
      </c>
      <c r="AE46" s="67">
        <f t="shared" si="7"/>
        <v>0</v>
      </c>
      <c r="AF46" s="28">
        <f t="shared" si="8"/>
        <v>0</v>
      </c>
      <c r="AG46" s="28">
        <f t="shared" si="9"/>
        <v>0</v>
      </c>
    </row>
    <row r="47" spans="1:33" ht="43.2" x14ac:dyDescent="0.3">
      <c r="A47" s="41" t="s">
        <v>836</v>
      </c>
      <c r="B47" s="41" t="s">
        <v>992</v>
      </c>
      <c r="C47" s="41" t="s">
        <v>999</v>
      </c>
      <c r="D47" s="41" t="s">
        <v>1000</v>
      </c>
      <c r="E47" s="41" t="s">
        <v>1006</v>
      </c>
      <c r="F47" s="41" t="s">
        <v>709</v>
      </c>
      <c r="G47" s="67">
        <v>35000</v>
      </c>
      <c r="H47" s="41">
        <v>100</v>
      </c>
      <c r="I47" s="41">
        <v>1</v>
      </c>
      <c r="J47" s="67">
        <f t="shared" si="0"/>
        <v>3500000</v>
      </c>
      <c r="K47" s="41">
        <v>10</v>
      </c>
      <c r="L47" s="41">
        <v>5</v>
      </c>
      <c r="M47" s="67">
        <f t="shared" si="1"/>
        <v>1925000</v>
      </c>
      <c r="N47" s="41">
        <v>100</v>
      </c>
      <c r="O47" s="41">
        <v>1</v>
      </c>
      <c r="P47" s="67">
        <f t="shared" si="2"/>
        <v>4235000.0000000009</v>
      </c>
      <c r="Q47" s="41">
        <v>100</v>
      </c>
      <c r="R47" s="41">
        <v>1</v>
      </c>
      <c r="S47" s="67">
        <f t="shared" si="3"/>
        <v>4658500.0000000019</v>
      </c>
      <c r="T47" s="41">
        <v>0</v>
      </c>
      <c r="U47" s="41">
        <v>0</v>
      </c>
      <c r="V47" s="67">
        <f t="shared" si="4"/>
        <v>0</v>
      </c>
      <c r="W47" s="41">
        <v>100</v>
      </c>
      <c r="X47" s="41">
        <v>1</v>
      </c>
      <c r="Y47" s="67">
        <f t="shared" si="5"/>
        <v>5636785.0000000019</v>
      </c>
      <c r="Z47" s="41">
        <v>100</v>
      </c>
      <c r="AA47" s="41">
        <v>1</v>
      </c>
      <c r="AB47" s="67">
        <f t="shared" si="6"/>
        <v>6200463.5000000028</v>
      </c>
      <c r="AE47" s="67">
        <f t="shared" si="7"/>
        <v>0</v>
      </c>
      <c r="AF47" s="28">
        <f t="shared" si="8"/>
        <v>26155748.500000007</v>
      </c>
      <c r="AG47" s="28">
        <f t="shared" si="9"/>
        <v>25393.930582524277</v>
      </c>
    </row>
    <row r="48" spans="1:33" ht="43.2" x14ac:dyDescent="0.3">
      <c r="A48" s="41" t="s">
        <v>836</v>
      </c>
      <c r="B48" s="41" t="s">
        <v>992</v>
      </c>
      <c r="C48" s="41" t="s">
        <v>999</v>
      </c>
      <c r="D48" s="41" t="s">
        <v>1000</v>
      </c>
      <c r="E48" s="41" t="s">
        <v>1006</v>
      </c>
      <c r="F48" s="41" t="s">
        <v>716</v>
      </c>
      <c r="G48" s="67">
        <v>39000</v>
      </c>
      <c r="H48" s="41">
        <v>100</v>
      </c>
      <c r="I48" s="41">
        <v>1</v>
      </c>
      <c r="J48" s="67">
        <f t="shared" si="0"/>
        <v>3900000</v>
      </c>
      <c r="K48" s="41">
        <v>30</v>
      </c>
      <c r="L48" s="41">
        <v>1</v>
      </c>
      <c r="M48" s="67">
        <f t="shared" si="1"/>
        <v>1287000</v>
      </c>
      <c r="N48" s="41">
        <v>100</v>
      </c>
      <c r="O48" s="41">
        <v>1</v>
      </c>
      <c r="P48" s="67">
        <f t="shared" si="2"/>
        <v>4719000.0000000009</v>
      </c>
      <c r="Q48" s="41">
        <v>100</v>
      </c>
      <c r="R48" s="41">
        <v>1</v>
      </c>
      <c r="S48" s="67">
        <f t="shared" si="3"/>
        <v>5190900.0000000019</v>
      </c>
      <c r="T48" s="41">
        <v>0</v>
      </c>
      <c r="U48" s="41">
        <v>0</v>
      </c>
      <c r="V48" s="67">
        <f t="shared" si="4"/>
        <v>0</v>
      </c>
      <c r="W48" s="41">
        <v>100</v>
      </c>
      <c r="X48" s="41">
        <v>1</v>
      </c>
      <c r="Y48" s="67">
        <f t="shared" si="5"/>
        <v>6280989.0000000019</v>
      </c>
      <c r="Z48" s="41">
        <v>100</v>
      </c>
      <c r="AA48" s="41">
        <v>1</v>
      </c>
      <c r="AB48" s="67">
        <f t="shared" si="6"/>
        <v>6909087.9000000032</v>
      </c>
      <c r="AE48" s="67">
        <f t="shared" si="7"/>
        <v>0</v>
      </c>
      <c r="AF48" s="28">
        <f t="shared" si="8"/>
        <v>28286976.900000006</v>
      </c>
      <c r="AG48" s="28">
        <f t="shared" si="9"/>
        <v>27463.084368932046</v>
      </c>
    </row>
    <row r="49" spans="1:37" ht="43.2" x14ac:dyDescent="0.3">
      <c r="A49" s="41" t="s">
        <v>836</v>
      </c>
      <c r="B49" s="41" t="s">
        <v>992</v>
      </c>
      <c r="C49" s="41" t="s">
        <v>999</v>
      </c>
      <c r="D49" s="41" t="s">
        <v>1000</v>
      </c>
      <c r="E49" s="41" t="s">
        <v>1006</v>
      </c>
      <c r="F49" s="41" t="s">
        <v>712</v>
      </c>
      <c r="G49" s="67">
        <f>1999.2/7</f>
        <v>285.60000000000002</v>
      </c>
      <c r="H49" s="41">
        <v>100</v>
      </c>
      <c r="I49" s="41">
        <v>1</v>
      </c>
      <c r="J49" s="67">
        <f t="shared" si="0"/>
        <v>28560.000000000004</v>
      </c>
      <c r="K49" s="41">
        <v>30</v>
      </c>
      <c r="L49" s="41">
        <v>1</v>
      </c>
      <c r="M49" s="67">
        <f t="shared" si="1"/>
        <v>9424.8000000000011</v>
      </c>
      <c r="N49" s="41">
        <v>22500</v>
      </c>
      <c r="O49" s="41">
        <v>1</v>
      </c>
      <c r="P49" s="67">
        <f t="shared" si="2"/>
        <v>7775460.0000000019</v>
      </c>
      <c r="Q49" s="41">
        <v>100</v>
      </c>
      <c r="R49" s="41">
        <v>1</v>
      </c>
      <c r="S49" s="67">
        <f t="shared" si="3"/>
        <v>38013.360000000015</v>
      </c>
      <c r="T49" s="41">
        <v>0</v>
      </c>
      <c r="U49" s="41">
        <v>0</v>
      </c>
      <c r="V49" s="67">
        <f t="shared" si="4"/>
        <v>0</v>
      </c>
      <c r="W49" s="41">
        <v>100</v>
      </c>
      <c r="X49" s="41">
        <v>1</v>
      </c>
      <c r="Y49" s="67">
        <f t="shared" si="5"/>
        <v>45996.165600000015</v>
      </c>
      <c r="Z49" s="41">
        <v>100</v>
      </c>
      <c r="AA49" s="41">
        <v>1</v>
      </c>
      <c r="AB49" s="67">
        <f t="shared" si="6"/>
        <v>50595.782160000024</v>
      </c>
      <c r="AE49" s="67">
        <f t="shared" si="7"/>
        <v>0</v>
      </c>
      <c r="AF49" s="28">
        <f t="shared" si="8"/>
        <v>7948050.1077600019</v>
      </c>
      <c r="AG49" s="28">
        <f t="shared" si="9"/>
        <v>7716.5535026796133</v>
      </c>
    </row>
    <row r="50" spans="1:37" ht="43.2" x14ac:dyDescent="0.3">
      <c r="A50" s="41" t="s">
        <v>836</v>
      </c>
      <c r="B50" s="41" t="s">
        <v>992</v>
      </c>
      <c r="C50" s="41" t="s">
        <v>999</v>
      </c>
      <c r="D50" s="41" t="s">
        <v>1000</v>
      </c>
      <c r="E50" s="41" t="s">
        <v>1006</v>
      </c>
      <c r="F50" s="41" t="s">
        <v>1299</v>
      </c>
      <c r="G50" s="67">
        <v>211.42857142857142</v>
      </c>
      <c r="H50" s="41">
        <v>22500</v>
      </c>
      <c r="I50" s="41">
        <v>1</v>
      </c>
      <c r="J50" s="67">
        <f t="shared" si="0"/>
        <v>4757142.8571428573</v>
      </c>
      <c r="K50" s="41"/>
      <c r="L50" s="41"/>
      <c r="M50" s="67">
        <f t="shared" si="1"/>
        <v>0</v>
      </c>
      <c r="N50" s="41">
        <v>35</v>
      </c>
      <c r="O50" s="41">
        <v>1</v>
      </c>
      <c r="P50" s="67">
        <f t="shared" si="2"/>
        <v>8954</v>
      </c>
      <c r="Q50" s="41">
        <v>22500</v>
      </c>
      <c r="R50" s="41">
        <v>1</v>
      </c>
      <c r="S50" s="67">
        <f t="shared" si="3"/>
        <v>6331757.1428571446</v>
      </c>
      <c r="T50" s="41"/>
      <c r="U50" s="41"/>
      <c r="V50" s="67">
        <f t="shared" si="4"/>
        <v>0</v>
      </c>
      <c r="W50" s="41">
        <v>22500</v>
      </c>
      <c r="X50" s="41">
        <v>1</v>
      </c>
      <c r="Y50" s="67">
        <f t="shared" si="5"/>
        <v>7661426.1428571446</v>
      </c>
      <c r="Z50" s="41">
        <v>22500</v>
      </c>
      <c r="AA50" s="41">
        <v>1</v>
      </c>
      <c r="AB50" s="67">
        <f t="shared" si="6"/>
        <v>8427568.7571428604</v>
      </c>
      <c r="AE50" s="67">
        <f t="shared" si="7"/>
        <v>0</v>
      </c>
      <c r="AF50" s="28">
        <f t="shared" si="8"/>
        <v>27186848.900000006</v>
      </c>
      <c r="AG50" s="28">
        <f t="shared" si="9"/>
        <v>26394.998932038841</v>
      </c>
    </row>
    <row r="51" spans="1:37" ht="43.2" x14ac:dyDescent="0.3">
      <c r="A51" s="41" t="s">
        <v>836</v>
      </c>
      <c r="B51" s="41" t="s">
        <v>992</v>
      </c>
      <c r="C51" s="41" t="s">
        <v>999</v>
      </c>
      <c r="D51" s="41" t="s">
        <v>1000</v>
      </c>
      <c r="E51" s="41" t="s">
        <v>1007</v>
      </c>
      <c r="F51" s="41" t="s">
        <v>709</v>
      </c>
      <c r="G51" s="67">
        <v>35000</v>
      </c>
      <c r="H51" s="41">
        <v>35</v>
      </c>
      <c r="I51" s="41">
        <v>1</v>
      </c>
      <c r="J51" s="67">
        <f t="shared" si="0"/>
        <v>1225000</v>
      </c>
      <c r="K51" s="41">
        <v>6000</v>
      </c>
      <c r="L51" s="41">
        <v>1</v>
      </c>
      <c r="M51" s="67">
        <f t="shared" si="1"/>
        <v>231000000</v>
      </c>
      <c r="N51" s="41">
        <v>0</v>
      </c>
      <c r="O51" s="41">
        <v>0</v>
      </c>
      <c r="P51" s="67">
        <f t="shared" si="2"/>
        <v>0</v>
      </c>
      <c r="Q51" s="41">
        <v>35</v>
      </c>
      <c r="R51" s="41">
        <v>1</v>
      </c>
      <c r="S51" s="67">
        <f t="shared" si="3"/>
        <v>1630475.0000000005</v>
      </c>
      <c r="T51" s="41">
        <v>0</v>
      </c>
      <c r="U51" s="41">
        <v>0</v>
      </c>
      <c r="V51" s="67">
        <f t="shared" si="4"/>
        <v>0</v>
      </c>
      <c r="W51" s="41">
        <v>35</v>
      </c>
      <c r="X51" s="41">
        <v>1</v>
      </c>
      <c r="Y51" s="67">
        <f t="shared" si="5"/>
        <v>1972874.7500000007</v>
      </c>
      <c r="Z51" s="41">
        <v>35</v>
      </c>
      <c r="AA51" s="41">
        <v>1</v>
      </c>
      <c r="AB51" s="67">
        <f t="shared" si="6"/>
        <v>2170162.225000001</v>
      </c>
      <c r="AE51" s="67">
        <f t="shared" si="7"/>
        <v>0</v>
      </c>
      <c r="AF51" s="28">
        <f t="shared" si="8"/>
        <v>237998511.97499999</v>
      </c>
      <c r="AG51" s="28">
        <f t="shared" si="9"/>
        <v>231066.5164805825</v>
      </c>
    </row>
    <row r="52" spans="1:37" ht="43.2" x14ac:dyDescent="0.3">
      <c r="A52" s="41" t="s">
        <v>836</v>
      </c>
      <c r="B52" s="41" t="s">
        <v>992</v>
      </c>
      <c r="C52" s="41" t="s">
        <v>999</v>
      </c>
      <c r="D52" s="41" t="s">
        <v>1000</v>
      </c>
      <c r="E52" s="41" t="s">
        <v>957</v>
      </c>
      <c r="F52" s="41" t="s">
        <v>841</v>
      </c>
      <c r="G52" s="67">
        <v>0</v>
      </c>
      <c r="H52" s="41">
        <v>0</v>
      </c>
      <c r="I52" s="41">
        <v>0</v>
      </c>
      <c r="J52" s="67">
        <f t="shared" si="0"/>
        <v>0</v>
      </c>
      <c r="K52" s="41">
        <v>20</v>
      </c>
      <c r="L52" s="41">
        <v>1</v>
      </c>
      <c r="M52" s="67">
        <f t="shared" si="1"/>
        <v>0</v>
      </c>
      <c r="N52" s="41">
        <f>29*5</f>
        <v>145</v>
      </c>
      <c r="O52" s="41">
        <v>5</v>
      </c>
      <c r="P52" s="67">
        <f t="shared" si="2"/>
        <v>0</v>
      </c>
      <c r="Q52" s="41">
        <v>0</v>
      </c>
      <c r="R52" s="41">
        <v>0</v>
      </c>
      <c r="S52" s="67">
        <f t="shared" si="3"/>
        <v>0</v>
      </c>
      <c r="T52" s="41">
        <v>0</v>
      </c>
      <c r="U52" s="41">
        <v>0</v>
      </c>
      <c r="V52" s="67">
        <f t="shared" si="4"/>
        <v>0</v>
      </c>
      <c r="W52" s="41">
        <v>0</v>
      </c>
      <c r="X52" s="41">
        <v>0</v>
      </c>
      <c r="Y52" s="67">
        <f t="shared" si="5"/>
        <v>0</v>
      </c>
      <c r="Z52" s="41">
        <v>0</v>
      </c>
      <c r="AA52" s="41">
        <v>0</v>
      </c>
      <c r="AB52" s="67">
        <f t="shared" si="6"/>
        <v>0</v>
      </c>
      <c r="AE52" s="67">
        <f t="shared" si="7"/>
        <v>0</v>
      </c>
      <c r="AF52" s="28">
        <f t="shared" si="8"/>
        <v>0</v>
      </c>
      <c r="AG52" s="28">
        <f t="shared" si="9"/>
        <v>0</v>
      </c>
    </row>
    <row r="53" spans="1:37" ht="43.2" x14ac:dyDescent="0.3">
      <c r="A53" s="41" t="s">
        <v>836</v>
      </c>
      <c r="B53" s="41" t="s">
        <v>992</v>
      </c>
      <c r="C53" s="41" t="s">
        <v>999</v>
      </c>
      <c r="D53" s="41" t="s">
        <v>1000</v>
      </c>
      <c r="E53" s="41" t="s">
        <v>1008</v>
      </c>
      <c r="F53" s="41" t="s">
        <v>709</v>
      </c>
      <c r="G53" s="67">
        <v>35000</v>
      </c>
      <c r="H53" s="41">
        <f>29*5</f>
        <v>145</v>
      </c>
      <c r="I53" s="41">
        <v>5</v>
      </c>
      <c r="J53" s="67">
        <f t="shared" si="0"/>
        <v>25375000</v>
      </c>
      <c r="K53" s="41">
        <v>10</v>
      </c>
      <c r="L53" s="41">
        <v>0.5</v>
      </c>
      <c r="M53" s="67">
        <f t="shared" si="1"/>
        <v>192500</v>
      </c>
      <c r="N53" s="41">
        <f>29*5</f>
        <v>145</v>
      </c>
      <c r="O53" s="41">
        <v>5</v>
      </c>
      <c r="P53" s="67">
        <f t="shared" si="2"/>
        <v>30703750.000000004</v>
      </c>
      <c r="Q53" s="41">
        <f>29*5</f>
        <v>145</v>
      </c>
      <c r="R53" s="41">
        <v>5</v>
      </c>
      <c r="S53" s="67">
        <f t="shared" si="3"/>
        <v>33774125.000000007</v>
      </c>
      <c r="T53" s="41">
        <v>0</v>
      </c>
      <c r="U53" s="41">
        <v>0</v>
      </c>
      <c r="V53" s="67">
        <f t="shared" si="4"/>
        <v>0</v>
      </c>
      <c r="W53" s="41">
        <f>29*5</f>
        <v>145</v>
      </c>
      <c r="X53" s="41">
        <v>5</v>
      </c>
      <c r="Y53" s="67">
        <f t="shared" si="5"/>
        <v>40866691.250000015</v>
      </c>
      <c r="Z53" s="41">
        <f>29*5</f>
        <v>145</v>
      </c>
      <c r="AA53" s="41">
        <v>5</v>
      </c>
      <c r="AB53" s="67">
        <f t="shared" si="6"/>
        <v>44953360.375000022</v>
      </c>
      <c r="AE53" s="67">
        <f t="shared" si="7"/>
        <v>0</v>
      </c>
      <c r="AF53" s="28">
        <f t="shared" si="8"/>
        <v>175865426.62500003</v>
      </c>
      <c r="AG53" s="28">
        <f t="shared" si="9"/>
        <v>170743.13264563109</v>
      </c>
    </row>
    <row r="54" spans="1:37" ht="43.2" x14ac:dyDescent="0.3">
      <c r="A54" s="41" t="s">
        <v>836</v>
      </c>
      <c r="B54" s="41" t="s">
        <v>992</v>
      </c>
      <c r="C54" s="41" t="s">
        <v>999</v>
      </c>
      <c r="D54" s="41" t="s">
        <v>1000</v>
      </c>
      <c r="E54" s="41" t="s">
        <v>1008</v>
      </c>
      <c r="F54" s="41" t="s">
        <v>716</v>
      </c>
      <c r="G54" s="67">
        <v>39000</v>
      </c>
      <c r="H54" s="41">
        <f>29*5</f>
        <v>145</v>
      </c>
      <c r="I54" s="41">
        <v>5</v>
      </c>
      <c r="J54" s="67">
        <f t="shared" si="0"/>
        <v>28275000</v>
      </c>
      <c r="K54" s="41">
        <v>290</v>
      </c>
      <c r="L54" s="41">
        <v>2</v>
      </c>
      <c r="M54" s="67">
        <f t="shared" si="1"/>
        <v>24882000</v>
      </c>
      <c r="N54" s="41">
        <f>25*2*29</f>
        <v>1450</v>
      </c>
      <c r="O54" s="41">
        <v>5</v>
      </c>
      <c r="P54" s="67">
        <f t="shared" si="2"/>
        <v>342127500.00000006</v>
      </c>
      <c r="Q54" s="41">
        <f>29*5</f>
        <v>145</v>
      </c>
      <c r="R54" s="41">
        <v>5</v>
      </c>
      <c r="S54" s="67">
        <f t="shared" si="3"/>
        <v>37634025.000000007</v>
      </c>
      <c r="T54" s="41">
        <v>0</v>
      </c>
      <c r="U54" s="41">
        <v>0</v>
      </c>
      <c r="V54" s="67">
        <f t="shared" si="4"/>
        <v>0</v>
      </c>
      <c r="W54" s="41">
        <f>29*5</f>
        <v>145</v>
      </c>
      <c r="X54" s="41">
        <v>5</v>
      </c>
      <c r="Y54" s="67">
        <f t="shared" si="5"/>
        <v>45537170.250000015</v>
      </c>
      <c r="Z54" s="41">
        <f>29*5</f>
        <v>145</v>
      </c>
      <c r="AA54" s="41">
        <v>5</v>
      </c>
      <c r="AB54" s="67">
        <f t="shared" si="6"/>
        <v>50090887.275000021</v>
      </c>
      <c r="AE54" s="67">
        <f t="shared" si="7"/>
        <v>0</v>
      </c>
      <c r="AF54" s="28">
        <f t="shared" si="8"/>
        <v>528546582.5250001</v>
      </c>
      <c r="AG54" s="28">
        <f t="shared" si="9"/>
        <v>513152.02186893212</v>
      </c>
    </row>
    <row r="55" spans="1:37" s="62" customFormat="1" ht="43.2" x14ac:dyDescent="0.3">
      <c r="A55" s="41" t="s">
        <v>836</v>
      </c>
      <c r="B55" s="41" t="s">
        <v>992</v>
      </c>
      <c r="C55" s="41" t="s">
        <v>999</v>
      </c>
      <c r="D55" s="41" t="s">
        <v>1000</v>
      </c>
      <c r="E55" s="41" t="s">
        <v>1008</v>
      </c>
      <c r="F55" s="41" t="s">
        <v>712</v>
      </c>
      <c r="G55" s="67">
        <f>1999.2/7</f>
        <v>285.60000000000002</v>
      </c>
      <c r="H55" s="41">
        <f>25*2*29</f>
        <v>1450</v>
      </c>
      <c r="I55" s="41">
        <v>5</v>
      </c>
      <c r="J55" s="67">
        <f t="shared" si="0"/>
        <v>2070600.0000000002</v>
      </c>
      <c r="K55" s="41">
        <v>29</v>
      </c>
      <c r="L55" s="41">
        <v>3</v>
      </c>
      <c r="M55" s="67">
        <f t="shared" si="1"/>
        <v>27331.920000000006</v>
      </c>
      <c r="N55" s="41">
        <v>22500</v>
      </c>
      <c r="O55" s="41">
        <v>1</v>
      </c>
      <c r="P55" s="67">
        <f t="shared" si="2"/>
        <v>7775460.0000000019</v>
      </c>
      <c r="Q55" s="41">
        <f>25*2*29</f>
        <v>1450</v>
      </c>
      <c r="R55" s="41">
        <v>5</v>
      </c>
      <c r="S55" s="67">
        <f t="shared" si="3"/>
        <v>2755968.600000001</v>
      </c>
      <c r="T55" s="41">
        <v>0</v>
      </c>
      <c r="U55" s="41">
        <v>0</v>
      </c>
      <c r="V55" s="67">
        <f t="shared" si="4"/>
        <v>0</v>
      </c>
      <c r="W55" s="41">
        <f>25*2*29</f>
        <v>1450</v>
      </c>
      <c r="X55" s="41">
        <v>5</v>
      </c>
      <c r="Y55" s="67">
        <f t="shared" si="5"/>
        <v>3334722.006000001</v>
      </c>
      <c r="Z55" s="41">
        <f>25*2*29</f>
        <v>1450</v>
      </c>
      <c r="AA55" s="41">
        <v>5</v>
      </c>
      <c r="AB55" s="67">
        <f t="shared" si="6"/>
        <v>3668194.206600002</v>
      </c>
      <c r="AC55"/>
      <c r="AD55"/>
      <c r="AE55" s="67">
        <f t="shared" si="7"/>
        <v>0</v>
      </c>
      <c r="AF55" s="28">
        <f t="shared" si="8"/>
        <v>19632276.732600007</v>
      </c>
      <c r="AG55" s="28">
        <f t="shared" si="9"/>
        <v>19060.462847184474</v>
      </c>
    </row>
    <row r="56" spans="1:37" ht="43.2" x14ac:dyDescent="0.3">
      <c r="A56" s="41" t="s">
        <v>836</v>
      </c>
      <c r="B56" s="41" t="s">
        <v>992</v>
      </c>
      <c r="C56" s="41" t="s">
        <v>999</v>
      </c>
      <c r="D56" s="41" t="s">
        <v>1000</v>
      </c>
      <c r="E56" s="41" t="s">
        <v>1008</v>
      </c>
      <c r="F56" s="41" t="s">
        <v>1299</v>
      </c>
      <c r="G56" s="67">
        <v>211.42857142857142</v>
      </c>
      <c r="H56" s="41">
        <v>22500</v>
      </c>
      <c r="I56" s="41">
        <v>1</v>
      </c>
      <c r="J56" s="67">
        <f t="shared" si="0"/>
        <v>4757142.8571428573</v>
      </c>
      <c r="K56" s="41"/>
      <c r="L56" s="41"/>
      <c r="M56" s="67">
        <f t="shared" si="1"/>
        <v>0</v>
      </c>
      <c r="N56" s="41">
        <f>900*2</f>
        <v>1800</v>
      </c>
      <c r="O56" s="41">
        <v>5</v>
      </c>
      <c r="P56" s="67">
        <f t="shared" si="2"/>
        <v>2302457.1428571432</v>
      </c>
      <c r="Q56" s="41">
        <v>22500</v>
      </c>
      <c r="R56" s="41">
        <v>1</v>
      </c>
      <c r="S56" s="67">
        <f t="shared" si="3"/>
        <v>6331757.1428571446</v>
      </c>
      <c r="T56" s="41"/>
      <c r="U56" s="41"/>
      <c r="V56" s="67">
        <f t="shared" si="4"/>
        <v>0</v>
      </c>
      <c r="W56" s="41">
        <v>22500</v>
      </c>
      <c r="X56" s="41">
        <v>1</v>
      </c>
      <c r="Y56" s="67">
        <f t="shared" si="5"/>
        <v>7661426.1428571446</v>
      </c>
      <c r="Z56" s="41">
        <v>22500</v>
      </c>
      <c r="AA56" s="41">
        <v>1</v>
      </c>
      <c r="AB56" s="67">
        <f t="shared" si="6"/>
        <v>8427568.7571428604</v>
      </c>
      <c r="AE56" s="67">
        <f t="shared" si="7"/>
        <v>0</v>
      </c>
      <c r="AF56" s="28">
        <f t="shared" si="8"/>
        <v>29480352.042857151</v>
      </c>
      <c r="AG56" s="28">
        <f t="shared" si="9"/>
        <v>28621.70101248267</v>
      </c>
    </row>
    <row r="57" spans="1:37" ht="43.2" x14ac:dyDescent="0.3">
      <c r="A57" s="41" t="s">
        <v>836</v>
      </c>
      <c r="B57" s="41" t="s">
        <v>992</v>
      </c>
      <c r="C57" s="41" t="s">
        <v>999</v>
      </c>
      <c r="D57" s="41" t="s">
        <v>1000</v>
      </c>
      <c r="E57" s="41" t="s">
        <v>1009</v>
      </c>
      <c r="F57" s="41" t="s">
        <v>709</v>
      </c>
      <c r="G57" s="67">
        <v>35000</v>
      </c>
      <c r="H57" s="41">
        <f>900*2</f>
        <v>1800</v>
      </c>
      <c r="I57" s="41">
        <v>5</v>
      </c>
      <c r="J57" s="67">
        <f t="shared" si="0"/>
        <v>315000000</v>
      </c>
      <c r="K57" s="41">
        <v>20000</v>
      </c>
      <c r="L57" s="41">
        <v>1</v>
      </c>
      <c r="M57" s="67">
        <f t="shared" si="1"/>
        <v>770000000</v>
      </c>
      <c r="N57" s="41">
        <v>58</v>
      </c>
      <c r="O57" s="41">
        <v>5</v>
      </c>
      <c r="P57" s="67">
        <f t="shared" si="2"/>
        <v>12281500.000000002</v>
      </c>
      <c r="Q57" s="41">
        <f>900*2</f>
        <v>1800</v>
      </c>
      <c r="R57" s="41">
        <v>5</v>
      </c>
      <c r="S57" s="67">
        <f t="shared" si="3"/>
        <v>419265000.00000012</v>
      </c>
      <c r="T57" s="41">
        <v>0</v>
      </c>
      <c r="U57" s="41">
        <v>0</v>
      </c>
      <c r="V57" s="67">
        <f t="shared" si="4"/>
        <v>0</v>
      </c>
      <c r="W57" s="41">
        <f>900*2</f>
        <v>1800</v>
      </c>
      <c r="X57" s="41">
        <v>5</v>
      </c>
      <c r="Y57" s="67">
        <f t="shared" si="5"/>
        <v>507310650.00000012</v>
      </c>
      <c r="Z57" s="41">
        <f>900*2</f>
        <v>1800</v>
      </c>
      <c r="AA57" s="41">
        <v>5</v>
      </c>
      <c r="AB57" s="67">
        <f t="shared" si="6"/>
        <v>558041715.00000024</v>
      </c>
      <c r="AE57" s="67">
        <f t="shared" si="7"/>
        <v>0</v>
      </c>
      <c r="AF57" s="28">
        <f t="shared" si="8"/>
        <v>2581898865</v>
      </c>
      <c r="AG57" s="28">
        <f t="shared" si="9"/>
        <v>2506697.9271844658</v>
      </c>
    </row>
    <row r="58" spans="1:37" ht="43.2" x14ac:dyDescent="0.3">
      <c r="A58" s="41" t="s">
        <v>836</v>
      </c>
      <c r="B58" s="41" t="s">
        <v>992</v>
      </c>
      <c r="C58" s="41" t="s">
        <v>999</v>
      </c>
      <c r="D58" s="41" t="s">
        <v>1000</v>
      </c>
      <c r="E58" s="41" t="s">
        <v>1009</v>
      </c>
      <c r="F58" s="41" t="s">
        <v>712</v>
      </c>
      <c r="G58" s="67">
        <f>1999.2/7</f>
        <v>285.60000000000002</v>
      </c>
      <c r="H58" s="41">
        <v>58</v>
      </c>
      <c r="I58" s="41">
        <v>5</v>
      </c>
      <c r="J58" s="67">
        <f t="shared" si="0"/>
        <v>82824.000000000015</v>
      </c>
      <c r="K58" s="41">
        <v>5400</v>
      </c>
      <c r="L58" s="41">
        <v>2</v>
      </c>
      <c r="M58" s="67">
        <f t="shared" si="1"/>
        <v>3392928.0000000005</v>
      </c>
      <c r="N58" s="41">
        <v>1800</v>
      </c>
      <c r="O58" s="41">
        <v>6</v>
      </c>
      <c r="P58" s="67">
        <f t="shared" si="2"/>
        <v>3732220.8000000007</v>
      </c>
      <c r="Q58" s="41">
        <v>58</v>
      </c>
      <c r="R58" s="41">
        <v>5</v>
      </c>
      <c r="S58" s="67">
        <f t="shared" si="3"/>
        <v>110238.74400000004</v>
      </c>
      <c r="T58" s="41">
        <v>0</v>
      </c>
      <c r="U58" s="41">
        <v>0</v>
      </c>
      <c r="V58" s="67">
        <f t="shared" si="4"/>
        <v>0</v>
      </c>
      <c r="W58" s="41">
        <v>58</v>
      </c>
      <c r="X58" s="41">
        <v>5</v>
      </c>
      <c r="Y58" s="67">
        <f t="shared" si="5"/>
        <v>133388.88024000006</v>
      </c>
      <c r="Z58" s="41">
        <v>58</v>
      </c>
      <c r="AA58" s="41">
        <v>5</v>
      </c>
      <c r="AB58" s="67">
        <f t="shared" si="6"/>
        <v>146727.76826400007</v>
      </c>
      <c r="AE58" s="67">
        <f t="shared" si="7"/>
        <v>0</v>
      </c>
      <c r="AF58" s="28">
        <f t="shared" si="8"/>
        <v>7598328.1925040009</v>
      </c>
      <c r="AG58" s="28">
        <f t="shared" si="9"/>
        <v>7377.0176626252432</v>
      </c>
    </row>
    <row r="59" spans="1:37" ht="43.2" x14ac:dyDescent="0.3">
      <c r="A59" s="41" t="s">
        <v>836</v>
      </c>
      <c r="B59" s="41" t="s">
        <v>992</v>
      </c>
      <c r="C59" s="41" t="s">
        <v>999</v>
      </c>
      <c r="D59" s="41" t="s">
        <v>1000</v>
      </c>
      <c r="E59" s="41" t="s">
        <v>1009</v>
      </c>
      <c r="F59" s="41" t="s">
        <v>716</v>
      </c>
      <c r="G59" s="67">
        <v>39000</v>
      </c>
      <c r="H59" s="41">
        <v>1800</v>
      </c>
      <c r="I59" s="41">
        <v>6</v>
      </c>
      <c r="J59" s="67">
        <f t="shared" si="0"/>
        <v>421200000</v>
      </c>
      <c r="K59" s="41"/>
      <c r="L59" s="41"/>
      <c r="M59" s="67">
        <f t="shared" si="1"/>
        <v>0</v>
      </c>
      <c r="N59" s="41">
        <v>22500</v>
      </c>
      <c r="O59" s="41">
        <v>2</v>
      </c>
      <c r="P59" s="67">
        <f t="shared" si="2"/>
        <v>2123550000.0000002</v>
      </c>
      <c r="Q59" s="41">
        <v>1800</v>
      </c>
      <c r="R59" s="41">
        <v>6</v>
      </c>
      <c r="S59" s="67">
        <f t="shared" si="3"/>
        <v>560617200.00000024</v>
      </c>
      <c r="T59" s="41"/>
      <c r="U59" s="41"/>
      <c r="V59" s="67">
        <f t="shared" si="4"/>
        <v>0</v>
      </c>
      <c r="W59" s="41">
        <v>1800</v>
      </c>
      <c r="X59" s="41">
        <v>6</v>
      </c>
      <c r="Y59" s="67">
        <f t="shared" si="5"/>
        <v>678346812.00000024</v>
      </c>
      <c r="Z59" s="41">
        <v>1800</v>
      </c>
      <c r="AA59" s="41">
        <v>6</v>
      </c>
      <c r="AB59" s="67">
        <f t="shared" si="6"/>
        <v>746181493.20000029</v>
      </c>
      <c r="AE59" s="67">
        <f t="shared" si="7"/>
        <v>0</v>
      </c>
      <c r="AF59" s="28">
        <f t="shared" si="8"/>
        <v>4529895505.2000008</v>
      </c>
      <c r="AG59" s="28">
        <f t="shared" si="9"/>
        <v>4397956.801165049</v>
      </c>
    </row>
    <row r="60" spans="1:37" ht="43.2" x14ac:dyDescent="0.3">
      <c r="A60" s="41" t="s">
        <v>836</v>
      </c>
      <c r="B60" s="41" t="s">
        <v>992</v>
      </c>
      <c r="C60" s="41" t="s">
        <v>999</v>
      </c>
      <c r="D60" s="41" t="s">
        <v>1000</v>
      </c>
      <c r="E60" s="41" t="s">
        <v>1009</v>
      </c>
      <c r="F60" s="41" t="s">
        <v>1299</v>
      </c>
      <c r="G60" s="67">
        <f>1999.2/7</f>
        <v>285.60000000000002</v>
      </c>
      <c r="H60" s="41">
        <v>22500</v>
      </c>
      <c r="I60" s="41">
        <v>2</v>
      </c>
      <c r="J60" s="67">
        <f t="shared" si="0"/>
        <v>12852000.000000002</v>
      </c>
      <c r="K60" s="41"/>
      <c r="L60" s="41"/>
      <c r="M60" s="67">
        <f t="shared" si="1"/>
        <v>0</v>
      </c>
      <c r="N60" s="41">
        <v>0</v>
      </c>
      <c r="O60" s="41">
        <v>0</v>
      </c>
      <c r="P60" s="67">
        <f t="shared" si="2"/>
        <v>0</v>
      </c>
      <c r="Q60" s="41">
        <v>22500</v>
      </c>
      <c r="R60" s="41">
        <v>2</v>
      </c>
      <c r="S60" s="67">
        <f t="shared" si="3"/>
        <v>17106012.000000007</v>
      </c>
      <c r="T60" s="41"/>
      <c r="U60" s="41"/>
      <c r="V60" s="67">
        <f t="shared" si="4"/>
        <v>0</v>
      </c>
      <c r="W60" s="41">
        <v>22500</v>
      </c>
      <c r="X60" s="41">
        <v>2</v>
      </c>
      <c r="Y60" s="67">
        <f t="shared" si="5"/>
        <v>20698274.520000007</v>
      </c>
      <c r="Z60" s="41">
        <v>22500</v>
      </c>
      <c r="AA60" s="41">
        <v>2</v>
      </c>
      <c r="AB60" s="67">
        <f t="shared" si="6"/>
        <v>22768101.972000014</v>
      </c>
      <c r="AE60" s="67">
        <f t="shared" si="7"/>
        <v>0</v>
      </c>
      <c r="AF60" s="28">
        <f t="shared" si="8"/>
        <v>73424388.492000028</v>
      </c>
      <c r="AG60" s="28">
        <f t="shared" si="9"/>
        <v>71285.814069902946</v>
      </c>
    </row>
    <row r="61" spans="1:37" ht="43.2" x14ac:dyDescent="0.3">
      <c r="A61" s="41" t="s">
        <v>836</v>
      </c>
      <c r="B61" s="41" t="s">
        <v>992</v>
      </c>
      <c r="C61" s="41" t="s">
        <v>999</v>
      </c>
      <c r="D61" s="41" t="s">
        <v>1000</v>
      </c>
      <c r="E61" s="41" t="s">
        <v>945</v>
      </c>
      <c r="F61" s="41" t="s">
        <v>841</v>
      </c>
      <c r="G61" s="67">
        <v>0</v>
      </c>
      <c r="H61" s="41">
        <v>0</v>
      </c>
      <c r="I61" s="41">
        <v>0</v>
      </c>
      <c r="J61" s="67">
        <f t="shared" si="0"/>
        <v>0</v>
      </c>
      <c r="K61" s="41">
        <v>20000</v>
      </c>
      <c r="L61" s="41">
        <v>5</v>
      </c>
      <c r="M61" s="67">
        <f t="shared" si="1"/>
        <v>0</v>
      </c>
      <c r="N61" s="41">
        <v>0</v>
      </c>
      <c r="O61" s="41">
        <v>0</v>
      </c>
      <c r="P61" s="67">
        <f t="shared" si="2"/>
        <v>0</v>
      </c>
      <c r="Q61" s="41">
        <v>0</v>
      </c>
      <c r="R61" s="41">
        <v>0</v>
      </c>
      <c r="S61" s="67">
        <f t="shared" si="3"/>
        <v>0</v>
      </c>
      <c r="T61" s="41">
        <v>0</v>
      </c>
      <c r="U61" s="41">
        <v>0</v>
      </c>
      <c r="V61" s="67">
        <f t="shared" si="4"/>
        <v>0</v>
      </c>
      <c r="W61" s="41">
        <v>0</v>
      </c>
      <c r="X61" s="41">
        <v>0</v>
      </c>
      <c r="Y61" s="67">
        <f t="shared" si="5"/>
        <v>0</v>
      </c>
      <c r="Z61" s="41">
        <v>0</v>
      </c>
      <c r="AA61" s="41">
        <v>0</v>
      </c>
      <c r="AB61" s="67">
        <f t="shared" si="6"/>
        <v>0</v>
      </c>
      <c r="AE61" s="67">
        <f t="shared" si="7"/>
        <v>0</v>
      </c>
      <c r="AF61" s="28">
        <f t="shared" si="8"/>
        <v>0</v>
      </c>
      <c r="AG61" s="28">
        <f t="shared" si="9"/>
        <v>0</v>
      </c>
    </row>
    <row r="62" spans="1:37" ht="43.2" x14ac:dyDescent="0.3">
      <c r="A62" s="41" t="s">
        <v>836</v>
      </c>
      <c r="B62" s="41" t="s">
        <v>992</v>
      </c>
      <c r="C62" s="41" t="s">
        <v>999</v>
      </c>
      <c r="D62" s="41" t="s">
        <v>1000</v>
      </c>
      <c r="E62" s="41" t="s">
        <v>1010</v>
      </c>
      <c r="F62" s="41" t="s">
        <v>841</v>
      </c>
      <c r="G62" s="67">
        <v>0</v>
      </c>
      <c r="H62" s="41">
        <v>0</v>
      </c>
      <c r="I62" s="41">
        <v>0</v>
      </c>
      <c r="J62" s="67">
        <f t="shared" si="0"/>
        <v>0</v>
      </c>
      <c r="K62" s="41">
        <v>0</v>
      </c>
      <c r="L62" s="41">
        <v>0</v>
      </c>
      <c r="M62" s="67">
        <f t="shared" si="1"/>
        <v>0</v>
      </c>
      <c r="N62" s="41">
        <v>0</v>
      </c>
      <c r="O62" s="41">
        <v>0</v>
      </c>
      <c r="P62" s="67">
        <f t="shared" si="2"/>
        <v>0</v>
      </c>
      <c r="Q62" s="41">
        <v>0</v>
      </c>
      <c r="R62" s="41">
        <v>0</v>
      </c>
      <c r="S62" s="67">
        <f t="shared" si="3"/>
        <v>0</v>
      </c>
      <c r="T62" s="41">
        <v>0</v>
      </c>
      <c r="U62" s="41">
        <v>0</v>
      </c>
      <c r="V62" s="67">
        <f t="shared" si="4"/>
        <v>0</v>
      </c>
      <c r="W62" s="41">
        <v>0</v>
      </c>
      <c r="X62" s="41">
        <v>0</v>
      </c>
      <c r="Y62" s="67">
        <f t="shared" si="5"/>
        <v>0</v>
      </c>
      <c r="Z62" s="41">
        <v>0</v>
      </c>
      <c r="AA62" s="41">
        <v>0</v>
      </c>
      <c r="AB62" s="67">
        <f t="shared" si="6"/>
        <v>0</v>
      </c>
      <c r="AE62" s="67">
        <f t="shared" si="7"/>
        <v>0</v>
      </c>
      <c r="AF62" s="28">
        <f t="shared" si="8"/>
        <v>0</v>
      </c>
      <c r="AG62" s="28">
        <f t="shared" si="9"/>
        <v>0</v>
      </c>
    </row>
    <row r="63" spans="1:37" x14ac:dyDescent="0.3">
      <c r="A63" s="63" t="s">
        <v>1302</v>
      </c>
      <c r="B63" s="63"/>
      <c r="C63" s="63"/>
      <c r="D63" s="63"/>
      <c r="E63" s="63"/>
      <c r="F63" s="63"/>
      <c r="G63" s="68"/>
      <c r="H63" s="63"/>
      <c r="I63" s="63"/>
      <c r="J63" s="67">
        <f>SUM(J22:J62)</f>
        <v>914468166.72142863</v>
      </c>
      <c r="K63" s="63"/>
      <c r="L63" s="63"/>
      <c r="M63" s="67">
        <f t="shared" si="1"/>
        <v>0</v>
      </c>
      <c r="N63" s="63"/>
      <c r="O63" s="63"/>
      <c r="P63" s="67">
        <f t="shared" si="2"/>
        <v>0</v>
      </c>
      <c r="Q63" s="63"/>
      <c r="R63" s="63"/>
      <c r="S63" s="67">
        <f t="shared" si="3"/>
        <v>0</v>
      </c>
      <c r="T63" s="63"/>
      <c r="U63" s="63"/>
      <c r="V63" s="67">
        <f t="shared" si="4"/>
        <v>0</v>
      </c>
      <c r="W63" s="62"/>
      <c r="X63" s="63"/>
      <c r="Y63" s="67">
        <f t="shared" si="5"/>
        <v>0</v>
      </c>
      <c r="Z63" s="62"/>
      <c r="AA63" s="62"/>
      <c r="AB63" s="67">
        <f t="shared" si="6"/>
        <v>0</v>
      </c>
      <c r="AC63" s="62"/>
      <c r="AD63" s="62"/>
      <c r="AE63" s="67">
        <f t="shared" si="7"/>
        <v>0</v>
      </c>
      <c r="AF63" s="28">
        <f t="shared" si="8"/>
        <v>914468166.72142863</v>
      </c>
      <c r="AG63" s="28">
        <f t="shared" si="9"/>
        <v>887833.1715742026</v>
      </c>
    </row>
    <row r="64" spans="1:37" x14ac:dyDescent="0.3">
      <c r="A64" s="91" t="s">
        <v>1427</v>
      </c>
      <c r="B64" s="91"/>
      <c r="C64" s="91"/>
      <c r="D64" s="91"/>
      <c r="E64" s="91"/>
      <c r="F64" s="91"/>
      <c r="G64" s="93"/>
      <c r="H64" s="91"/>
      <c r="I64" s="91"/>
      <c r="J64" s="93">
        <f>J63/$AL$2</f>
        <v>887833.1715742026</v>
      </c>
      <c r="K64" s="91"/>
      <c r="L64" s="91"/>
      <c r="M64" s="93">
        <f>M63/$AL$2</f>
        <v>0</v>
      </c>
      <c r="N64" s="91"/>
      <c r="O64" s="91"/>
      <c r="P64" s="93">
        <f>P63/$AL$2</f>
        <v>0</v>
      </c>
      <c r="Q64" s="91"/>
      <c r="R64" s="91"/>
      <c r="S64" s="93">
        <f>S63/$AL$2</f>
        <v>0</v>
      </c>
      <c r="T64" s="91"/>
      <c r="U64" s="91"/>
      <c r="V64" s="93">
        <f>V63/$AL$2</f>
        <v>0</v>
      </c>
      <c r="W64" s="94"/>
      <c r="X64" s="94"/>
      <c r="Y64" s="93">
        <f>Y63/$AL$2</f>
        <v>0</v>
      </c>
      <c r="Z64" s="94"/>
      <c r="AA64" s="94"/>
      <c r="AB64" s="93">
        <f>AB63/$AL$2</f>
        <v>0</v>
      </c>
      <c r="AC64" s="94"/>
      <c r="AD64" s="94"/>
      <c r="AE64" s="93">
        <f>AE63/$AL$2</f>
        <v>0</v>
      </c>
      <c r="AF64" s="93">
        <f>AF63/$AL$2</f>
        <v>887833.1715742026</v>
      </c>
      <c r="AG64" s="93">
        <f>AG63/$AL$2</f>
        <v>861.97395298466267</v>
      </c>
      <c r="AH64" s="94"/>
      <c r="AI64" s="94"/>
      <c r="AJ64" s="94"/>
      <c r="AK64" s="94"/>
    </row>
    <row r="65" spans="1:33" ht="115.2" x14ac:dyDescent="0.3">
      <c r="A65" s="41" t="s">
        <v>836</v>
      </c>
      <c r="B65" s="41" t="s">
        <v>992</v>
      </c>
      <c r="C65" s="41" t="s">
        <v>1011</v>
      </c>
      <c r="D65" s="41" t="s">
        <v>1012</v>
      </c>
      <c r="E65" s="41" t="s">
        <v>1013</v>
      </c>
      <c r="F65" s="41" t="s">
        <v>707</v>
      </c>
      <c r="G65" s="67">
        <v>391991.03749999998</v>
      </c>
      <c r="H65" s="41">
        <v>2</v>
      </c>
      <c r="I65" s="41">
        <v>2</v>
      </c>
      <c r="J65" s="67">
        <f t="shared" si="0"/>
        <v>1567964.15</v>
      </c>
      <c r="K65" s="41">
        <v>0</v>
      </c>
      <c r="L65" s="41">
        <v>0</v>
      </c>
      <c r="M65" s="67">
        <f t="shared" si="1"/>
        <v>0</v>
      </c>
      <c r="N65" s="41">
        <v>0</v>
      </c>
      <c r="O65" s="41">
        <v>0</v>
      </c>
      <c r="P65" s="67">
        <f t="shared" si="2"/>
        <v>0</v>
      </c>
      <c r="Q65" s="41">
        <v>0</v>
      </c>
      <c r="R65" s="41">
        <v>0</v>
      </c>
      <c r="S65" s="67">
        <f t="shared" si="3"/>
        <v>0</v>
      </c>
      <c r="T65" s="41">
        <v>2</v>
      </c>
      <c r="U65" s="41">
        <v>2</v>
      </c>
      <c r="V65" s="67">
        <f t="shared" si="4"/>
        <v>2295656.3120150003</v>
      </c>
      <c r="Y65" s="67">
        <f t="shared" si="5"/>
        <v>0</v>
      </c>
      <c r="AB65" s="67">
        <f t="shared" si="6"/>
        <v>0</v>
      </c>
      <c r="AE65" s="67">
        <f t="shared" si="7"/>
        <v>0</v>
      </c>
      <c r="AF65" s="28">
        <f t="shared" si="8"/>
        <v>3863620.4620150002</v>
      </c>
      <c r="AG65" s="28">
        <f t="shared" si="9"/>
        <v>3751.0878271990291</v>
      </c>
    </row>
    <row r="66" spans="1:33" ht="115.2" x14ac:dyDescent="0.3">
      <c r="A66" s="41" t="s">
        <v>836</v>
      </c>
      <c r="B66" s="41" t="s">
        <v>992</v>
      </c>
      <c r="C66" s="41" t="s">
        <v>1011</v>
      </c>
      <c r="D66" s="41" t="s">
        <v>1012</v>
      </c>
      <c r="E66" s="41" t="s">
        <v>1013</v>
      </c>
      <c r="F66" s="41" t="s">
        <v>708</v>
      </c>
      <c r="G66" s="67">
        <f>500*1030</f>
        <v>515000</v>
      </c>
      <c r="H66" s="41">
        <v>1</v>
      </c>
      <c r="I66" s="41">
        <v>25</v>
      </c>
      <c r="J66" s="67">
        <f t="shared" si="0"/>
        <v>12875000</v>
      </c>
      <c r="K66" s="41">
        <v>0</v>
      </c>
      <c r="L66" s="41">
        <v>0</v>
      </c>
      <c r="M66" s="67">
        <f t="shared" si="1"/>
        <v>0</v>
      </c>
      <c r="N66" s="41">
        <v>0</v>
      </c>
      <c r="O66" s="41">
        <v>0</v>
      </c>
      <c r="P66" s="67">
        <f t="shared" si="2"/>
        <v>0</v>
      </c>
      <c r="Q66" s="41">
        <v>1</v>
      </c>
      <c r="R66" s="41">
        <v>4</v>
      </c>
      <c r="S66" s="67">
        <f t="shared" si="3"/>
        <v>2741860.0000000009</v>
      </c>
      <c r="T66" s="41">
        <v>1</v>
      </c>
      <c r="U66" s="41">
        <v>25</v>
      </c>
      <c r="V66" s="67">
        <f t="shared" si="4"/>
        <v>18850287.500000007</v>
      </c>
      <c r="Y66" s="67">
        <f t="shared" si="5"/>
        <v>0</v>
      </c>
      <c r="AB66" s="67">
        <f t="shared" si="6"/>
        <v>0</v>
      </c>
      <c r="AE66" s="67">
        <f t="shared" si="7"/>
        <v>0</v>
      </c>
      <c r="AF66" s="28">
        <f t="shared" si="8"/>
        <v>34467147.500000007</v>
      </c>
      <c r="AG66" s="28">
        <f t="shared" si="9"/>
        <v>33463.250000000007</v>
      </c>
    </row>
    <row r="67" spans="1:33" ht="57.6" x14ac:dyDescent="0.3">
      <c r="A67" s="41" t="s">
        <v>836</v>
      </c>
      <c r="B67" s="41" t="s">
        <v>992</v>
      </c>
      <c r="C67" s="41" t="s">
        <v>1011</v>
      </c>
      <c r="D67" s="41" t="s">
        <v>1012</v>
      </c>
      <c r="E67" s="41" t="s">
        <v>1363</v>
      </c>
      <c r="F67" s="41" t="s">
        <v>709</v>
      </c>
      <c r="G67" s="67">
        <v>35000</v>
      </c>
      <c r="H67" s="41">
        <v>25</v>
      </c>
      <c r="I67" s="41">
        <v>5</v>
      </c>
      <c r="J67" s="67"/>
      <c r="K67" s="41"/>
      <c r="L67" s="41"/>
      <c r="M67" s="67"/>
      <c r="N67" s="41"/>
      <c r="O67" s="41"/>
      <c r="P67" s="67"/>
      <c r="Q67" s="41"/>
      <c r="R67" s="41"/>
      <c r="S67" s="67"/>
      <c r="T67" s="41">
        <v>25</v>
      </c>
      <c r="U67" s="41">
        <v>5</v>
      </c>
      <c r="V67" s="67"/>
      <c r="Y67" s="67"/>
      <c r="AB67" s="67"/>
      <c r="AE67" s="67"/>
      <c r="AF67" s="28">
        <f t="shared" ref="AF67:AF130" si="10">J67+M67+P67+S67+V67+Y67+AB67+AE67</f>
        <v>0</v>
      </c>
      <c r="AG67" s="28">
        <f t="shared" ref="AG67:AG130" si="11">AF67/$AL$2</f>
        <v>0</v>
      </c>
    </row>
    <row r="68" spans="1:33" ht="57.6" x14ac:dyDescent="0.3">
      <c r="A68" s="41" t="s">
        <v>836</v>
      </c>
      <c r="B68" s="41" t="s">
        <v>992</v>
      </c>
      <c r="C68" s="41" t="s">
        <v>1011</v>
      </c>
      <c r="D68" s="41" t="s">
        <v>1012</v>
      </c>
      <c r="E68" s="41" t="s">
        <v>1363</v>
      </c>
      <c r="F68" s="41" t="s">
        <v>712</v>
      </c>
      <c r="G68" s="67">
        <f>1999.2/7</f>
        <v>285.60000000000002</v>
      </c>
      <c r="H68" s="41">
        <f>2*25*9</f>
        <v>450</v>
      </c>
      <c r="I68" s="41">
        <v>5</v>
      </c>
      <c r="J68" s="67"/>
      <c r="K68" s="41"/>
      <c r="L68" s="41"/>
      <c r="M68" s="67"/>
      <c r="N68" s="41"/>
      <c r="O68" s="41"/>
      <c r="P68" s="67"/>
      <c r="Q68" s="41"/>
      <c r="R68" s="41"/>
      <c r="S68" s="67"/>
      <c r="T68" s="41">
        <f>2*25*9</f>
        <v>450</v>
      </c>
      <c r="U68" s="41">
        <v>5</v>
      </c>
      <c r="V68" s="67"/>
      <c r="Y68" s="67"/>
      <c r="AB68" s="67"/>
      <c r="AE68" s="67"/>
      <c r="AF68" s="28">
        <f t="shared" si="10"/>
        <v>0</v>
      </c>
      <c r="AG68" s="28">
        <f t="shared" si="11"/>
        <v>0</v>
      </c>
    </row>
    <row r="69" spans="1:33" ht="57.6" x14ac:dyDescent="0.3">
      <c r="A69" s="41" t="s">
        <v>836</v>
      </c>
      <c r="B69" s="41" t="s">
        <v>992</v>
      </c>
      <c r="C69" s="41" t="s">
        <v>1011</v>
      </c>
      <c r="D69" s="41" t="s">
        <v>1012</v>
      </c>
      <c r="E69" s="41" t="s">
        <v>1363</v>
      </c>
      <c r="F69" s="41" t="s">
        <v>716</v>
      </c>
      <c r="G69" s="67">
        <v>39000</v>
      </c>
      <c r="H69" s="41">
        <v>25</v>
      </c>
      <c r="I69" s="41">
        <v>6</v>
      </c>
      <c r="J69" s="67"/>
      <c r="K69" s="41"/>
      <c r="L69" s="41"/>
      <c r="M69" s="67"/>
      <c r="N69" s="41"/>
      <c r="O69" s="41"/>
      <c r="P69" s="67"/>
      <c r="Q69" s="41"/>
      <c r="R69" s="41"/>
      <c r="S69" s="67"/>
      <c r="T69" s="41">
        <v>25</v>
      </c>
      <c r="U69" s="41">
        <v>6</v>
      </c>
      <c r="V69" s="67"/>
      <c r="Y69" s="67"/>
      <c r="AB69" s="67"/>
      <c r="AE69" s="67"/>
      <c r="AF69" s="28">
        <f t="shared" si="10"/>
        <v>0</v>
      </c>
      <c r="AG69" s="28">
        <f t="shared" si="11"/>
        <v>0</v>
      </c>
    </row>
    <row r="70" spans="1:33" ht="57.6" x14ac:dyDescent="0.3">
      <c r="A70" s="41" t="s">
        <v>836</v>
      </c>
      <c r="B70" s="41" t="s">
        <v>992</v>
      </c>
      <c r="C70" s="41" t="s">
        <v>1011</v>
      </c>
      <c r="D70" s="41" t="s">
        <v>1012</v>
      </c>
      <c r="E70" s="41" t="s">
        <v>1363</v>
      </c>
      <c r="F70" s="41" t="s">
        <v>1299</v>
      </c>
      <c r="G70" s="67">
        <f>1999.2/7</f>
        <v>285.60000000000002</v>
      </c>
      <c r="H70" s="41">
        <f>2*135*9</f>
        <v>2430</v>
      </c>
      <c r="I70" s="41">
        <v>1</v>
      </c>
      <c r="J70" s="67"/>
      <c r="K70" s="41"/>
      <c r="L70" s="41"/>
      <c r="M70" s="67"/>
      <c r="N70" s="41"/>
      <c r="O70" s="41"/>
      <c r="P70" s="67"/>
      <c r="Q70" s="41"/>
      <c r="R70" s="41"/>
      <c r="S70" s="67"/>
      <c r="T70" s="41">
        <f>2*135*9</f>
        <v>2430</v>
      </c>
      <c r="U70" s="41">
        <v>1</v>
      </c>
      <c r="V70" s="67"/>
      <c r="Y70" s="67"/>
      <c r="AB70" s="67"/>
      <c r="AE70" s="67"/>
      <c r="AF70" s="28">
        <f t="shared" si="10"/>
        <v>0</v>
      </c>
      <c r="AG70" s="28">
        <f t="shared" si="11"/>
        <v>0</v>
      </c>
    </row>
    <row r="71" spans="1:33" ht="57.6" x14ac:dyDescent="0.3">
      <c r="A71" s="41" t="s">
        <v>836</v>
      </c>
      <c r="B71" s="41" t="s">
        <v>992</v>
      </c>
      <c r="C71" s="41" t="s">
        <v>1011</v>
      </c>
      <c r="D71" s="41" t="s">
        <v>1012</v>
      </c>
      <c r="E71" s="41" t="s">
        <v>912</v>
      </c>
      <c r="F71" s="41" t="s">
        <v>841</v>
      </c>
      <c r="G71" s="67">
        <v>0</v>
      </c>
      <c r="H71" s="41">
        <v>0</v>
      </c>
      <c r="I71" s="41">
        <v>0</v>
      </c>
      <c r="J71" s="67">
        <f t="shared" ref="J71:J139" si="12">G71*H71*I71</f>
        <v>0</v>
      </c>
      <c r="K71" s="41">
        <v>0</v>
      </c>
      <c r="L71" s="41">
        <v>0</v>
      </c>
      <c r="M71" s="67">
        <f t="shared" ref="M71:M134" si="13">(G71*1.1)*K71*L71</f>
        <v>0</v>
      </c>
      <c r="N71" s="41">
        <v>0</v>
      </c>
      <c r="O71" s="41">
        <v>0</v>
      </c>
      <c r="P71" s="67">
        <f t="shared" ref="P71:P134" si="14">($G71*1.1^2)*N71*O71</f>
        <v>0</v>
      </c>
      <c r="Q71" s="41">
        <v>5</v>
      </c>
      <c r="R71" s="41">
        <v>14</v>
      </c>
      <c r="S71" s="67">
        <f t="shared" ref="S71:S134" si="15">($G71*1.1^3)*Q71*R71</f>
        <v>0</v>
      </c>
      <c r="T71" s="41">
        <v>0</v>
      </c>
      <c r="U71" s="41">
        <v>0</v>
      </c>
      <c r="V71" s="67">
        <f t="shared" ref="V71:V134" si="16">($G71*1.1^4)*T71*U71</f>
        <v>0</v>
      </c>
      <c r="Y71" s="67">
        <f t="shared" ref="Y71:Y134" si="17">($G71*1.1^5)*W71*X71</f>
        <v>0</v>
      </c>
      <c r="AB71" s="67">
        <f t="shared" ref="AB71:AB134" si="18">($G71*1.1^6)*Z71*AA71</f>
        <v>0</v>
      </c>
      <c r="AE71" s="67">
        <f t="shared" ref="AE71:AE134" si="19">($G71*1.1^7)*AC71*AD71</f>
        <v>0</v>
      </c>
      <c r="AF71" s="28">
        <f t="shared" si="10"/>
        <v>0</v>
      </c>
      <c r="AG71" s="28">
        <f t="shared" si="11"/>
        <v>0</v>
      </c>
    </row>
    <row r="72" spans="1:33" ht="57.6" x14ac:dyDescent="0.3">
      <c r="A72" s="41" t="s">
        <v>836</v>
      </c>
      <c r="B72" s="41" t="s">
        <v>992</v>
      </c>
      <c r="C72" s="41" t="s">
        <v>1011</v>
      </c>
      <c r="D72" s="41" t="s">
        <v>1012</v>
      </c>
      <c r="E72" s="41" t="s">
        <v>1015</v>
      </c>
      <c r="F72" s="41" t="s">
        <v>1364</v>
      </c>
      <c r="G72" s="28">
        <f>1999.2/7</f>
        <v>285.60000000000002</v>
      </c>
      <c r="H72" s="67">
        <f>2*25*9</f>
        <v>450</v>
      </c>
      <c r="I72" s="41">
        <v>5</v>
      </c>
      <c r="J72" s="67">
        <f t="shared" si="12"/>
        <v>642600.00000000012</v>
      </c>
      <c r="K72" s="41"/>
      <c r="L72" s="41"/>
      <c r="M72" s="67"/>
      <c r="N72" s="41"/>
      <c r="O72" s="41"/>
      <c r="P72" s="67"/>
      <c r="Q72" s="41"/>
      <c r="R72" s="41"/>
      <c r="S72" s="67"/>
      <c r="T72" s="67">
        <f>2*25*9</f>
        <v>450</v>
      </c>
      <c r="U72" s="41">
        <v>5</v>
      </c>
      <c r="V72" s="67"/>
      <c r="Y72" s="67"/>
      <c r="AB72" s="67"/>
      <c r="AE72" s="67"/>
      <c r="AF72" s="28">
        <f t="shared" si="10"/>
        <v>642600.00000000012</v>
      </c>
      <c r="AG72" s="28">
        <f t="shared" si="11"/>
        <v>623.88349514563117</v>
      </c>
    </row>
    <row r="73" spans="1:33" ht="57.6" x14ac:dyDescent="0.3">
      <c r="A73" s="41" t="s">
        <v>836</v>
      </c>
      <c r="B73" s="41" t="s">
        <v>992</v>
      </c>
      <c r="C73" s="41" t="s">
        <v>1011</v>
      </c>
      <c r="D73" s="41" t="s">
        <v>1012</v>
      </c>
      <c r="E73" s="41" t="s">
        <v>1015</v>
      </c>
      <c r="F73" s="41" t="s">
        <v>716</v>
      </c>
      <c r="G73" s="67">
        <v>39000</v>
      </c>
      <c r="H73">
        <v>25</v>
      </c>
      <c r="I73" s="41">
        <v>6</v>
      </c>
      <c r="J73" s="67">
        <f t="shared" si="12"/>
        <v>5850000</v>
      </c>
      <c r="K73" s="41"/>
      <c r="L73" s="41"/>
      <c r="M73" s="67"/>
      <c r="N73" s="41"/>
      <c r="O73" s="41"/>
      <c r="P73" s="67"/>
      <c r="Q73" s="41"/>
      <c r="R73" s="41"/>
      <c r="S73" s="67"/>
      <c r="T73">
        <v>25</v>
      </c>
      <c r="U73" s="41">
        <v>6</v>
      </c>
      <c r="V73" s="67"/>
      <c r="Y73" s="67"/>
      <c r="AB73" s="67"/>
      <c r="AE73" s="67"/>
      <c r="AF73" s="28">
        <f t="shared" si="10"/>
        <v>5850000</v>
      </c>
      <c r="AG73" s="28">
        <f t="shared" si="11"/>
        <v>5679.6116504854372</v>
      </c>
    </row>
    <row r="74" spans="1:33" ht="57.6" x14ac:dyDescent="0.3">
      <c r="A74" s="41" t="s">
        <v>836</v>
      </c>
      <c r="B74" s="41" t="s">
        <v>992</v>
      </c>
      <c r="C74" s="41" t="s">
        <v>1011</v>
      </c>
      <c r="D74" s="41" t="s">
        <v>1012</v>
      </c>
      <c r="E74" s="41" t="s">
        <v>1015</v>
      </c>
      <c r="F74" s="41" t="s">
        <v>1299</v>
      </c>
      <c r="G74" s="28">
        <f>1999.2/7</f>
        <v>285.60000000000002</v>
      </c>
      <c r="H74" s="67">
        <f>2*135*9</f>
        <v>2430</v>
      </c>
      <c r="I74" s="41">
        <v>1</v>
      </c>
      <c r="J74" s="67">
        <f t="shared" si="12"/>
        <v>694008</v>
      </c>
      <c r="K74" s="41"/>
      <c r="L74" s="41"/>
      <c r="M74" s="67"/>
      <c r="N74" s="41"/>
      <c r="O74" s="41"/>
      <c r="P74" s="67"/>
      <c r="Q74" s="41"/>
      <c r="R74" s="41"/>
      <c r="S74" s="67"/>
      <c r="T74" s="67">
        <f>2*135*9</f>
        <v>2430</v>
      </c>
      <c r="U74" s="41">
        <v>1</v>
      </c>
      <c r="V74" s="67"/>
      <c r="Y74" s="67"/>
      <c r="AB74" s="67"/>
      <c r="AE74" s="67"/>
      <c r="AF74" s="28">
        <f t="shared" si="10"/>
        <v>694008</v>
      </c>
      <c r="AG74" s="28">
        <f t="shared" si="11"/>
        <v>673.79417475728155</v>
      </c>
    </row>
    <row r="75" spans="1:33" ht="57.6" x14ac:dyDescent="0.3">
      <c r="A75" s="41" t="s">
        <v>836</v>
      </c>
      <c r="B75" s="41" t="s">
        <v>992</v>
      </c>
      <c r="C75" s="41" t="s">
        <v>1011</v>
      </c>
      <c r="D75" s="41" t="s">
        <v>1012</v>
      </c>
      <c r="E75" s="41" t="s">
        <v>1015</v>
      </c>
      <c r="F75" s="41" t="s">
        <v>709</v>
      </c>
      <c r="G75" s="67">
        <v>35000</v>
      </c>
      <c r="H75">
        <v>25</v>
      </c>
      <c r="I75" s="41">
        <v>5</v>
      </c>
      <c r="J75" s="67">
        <f t="shared" si="12"/>
        <v>4375000</v>
      </c>
      <c r="K75" s="41">
        <v>0</v>
      </c>
      <c r="L75" s="41">
        <v>0</v>
      </c>
      <c r="M75" s="67">
        <f>(G75*1.1)*K75*L75</f>
        <v>0</v>
      </c>
      <c r="N75" s="41">
        <v>0</v>
      </c>
      <c r="O75" s="41">
        <v>0</v>
      </c>
      <c r="P75" s="67">
        <f>($G75*1.1^2)*N75*O75</f>
        <v>0</v>
      </c>
      <c r="Q75" s="41">
        <v>10</v>
      </c>
      <c r="R75" s="41">
        <v>1</v>
      </c>
      <c r="S75" s="67">
        <f>($G75*1.1^3)*Q75*R75</f>
        <v>465850.00000000012</v>
      </c>
      <c r="T75">
        <v>25</v>
      </c>
      <c r="U75" s="41">
        <v>5</v>
      </c>
      <c r="V75" s="67">
        <f>($G75*1.1^4)*T75*U75</f>
        <v>6405437.5000000019</v>
      </c>
      <c r="Y75" s="67">
        <f>($G75*1.1^5)*W75*X75</f>
        <v>0</v>
      </c>
      <c r="AB75" s="67">
        <f>($G75*1.1^6)*Z75*AA75</f>
        <v>0</v>
      </c>
      <c r="AE75" s="67">
        <f>($G75*1.1^7)*AC75*AD75</f>
        <v>0</v>
      </c>
      <c r="AF75" s="28">
        <f t="shared" si="10"/>
        <v>11246287.500000002</v>
      </c>
      <c r="AG75" s="28">
        <f t="shared" si="11"/>
        <v>10918.725728155341</v>
      </c>
    </row>
    <row r="76" spans="1:33" ht="57.6" x14ac:dyDescent="0.3">
      <c r="A76" s="41" t="s">
        <v>836</v>
      </c>
      <c r="B76" s="41" t="s">
        <v>992</v>
      </c>
      <c r="C76" s="41" t="s">
        <v>1011</v>
      </c>
      <c r="D76" s="41" t="s">
        <v>1012</v>
      </c>
      <c r="E76" s="41" t="s">
        <v>1015</v>
      </c>
      <c r="F76" s="41" t="s">
        <v>1297</v>
      </c>
      <c r="G76" s="67">
        <v>8000</v>
      </c>
      <c r="H76" s="41">
        <v>10</v>
      </c>
      <c r="I76" s="41">
        <v>1</v>
      </c>
      <c r="J76" s="67">
        <f t="shared" si="12"/>
        <v>80000</v>
      </c>
      <c r="K76" s="41">
        <v>0</v>
      </c>
      <c r="L76" s="41">
        <v>0</v>
      </c>
      <c r="M76" s="67">
        <f t="shared" si="13"/>
        <v>0</v>
      </c>
      <c r="N76" s="41">
        <v>0</v>
      </c>
      <c r="O76" s="41">
        <v>0</v>
      </c>
      <c r="P76" s="67">
        <f t="shared" si="14"/>
        <v>0</v>
      </c>
      <c r="Q76" s="41">
        <v>25</v>
      </c>
      <c r="R76" s="41">
        <v>3</v>
      </c>
      <c r="S76" s="67">
        <f t="shared" si="15"/>
        <v>798600.00000000035</v>
      </c>
      <c r="T76" s="41">
        <v>10</v>
      </c>
      <c r="U76" s="41">
        <v>1</v>
      </c>
      <c r="V76" s="67">
        <f t="shared" si="16"/>
        <v>117128.00000000003</v>
      </c>
      <c r="Y76" s="67">
        <f t="shared" si="17"/>
        <v>0</v>
      </c>
      <c r="AB76" s="67">
        <f t="shared" si="18"/>
        <v>0</v>
      </c>
      <c r="AE76" s="67">
        <f t="shared" si="19"/>
        <v>0</v>
      </c>
      <c r="AF76" s="28">
        <f t="shared" si="10"/>
        <v>995728.00000000035</v>
      </c>
      <c r="AG76" s="28">
        <f t="shared" si="11"/>
        <v>966.72621359223331</v>
      </c>
    </row>
    <row r="77" spans="1:33" ht="57.6" x14ac:dyDescent="0.3">
      <c r="A77" s="41" t="s">
        <v>836</v>
      </c>
      <c r="B77" s="41" t="s">
        <v>992</v>
      </c>
      <c r="C77" s="41" t="s">
        <v>1011</v>
      </c>
      <c r="D77" s="41" t="s">
        <v>1012</v>
      </c>
      <c r="E77" s="41" t="s">
        <v>1015</v>
      </c>
      <c r="F77" s="41" t="s">
        <v>710</v>
      </c>
      <c r="G77" s="67">
        <v>104850</v>
      </c>
      <c r="H77" s="41">
        <v>1</v>
      </c>
      <c r="I77" s="41">
        <v>1</v>
      </c>
      <c r="J77" s="67">
        <f t="shared" si="12"/>
        <v>104850</v>
      </c>
      <c r="K77" s="41">
        <v>0</v>
      </c>
      <c r="L77" s="41">
        <v>0</v>
      </c>
      <c r="M77" s="67">
        <f t="shared" si="13"/>
        <v>0</v>
      </c>
      <c r="N77" s="41">
        <v>0</v>
      </c>
      <c r="O77" s="41">
        <v>0</v>
      </c>
      <c r="P77" s="67">
        <f t="shared" si="14"/>
        <v>0</v>
      </c>
      <c r="Q77" s="41">
        <v>5000</v>
      </c>
      <c r="R77" s="41">
        <v>1</v>
      </c>
      <c r="S77" s="67">
        <f t="shared" si="15"/>
        <v>697776750.00000012</v>
      </c>
      <c r="T77" s="41">
        <v>1</v>
      </c>
      <c r="U77" s="41">
        <v>1</v>
      </c>
      <c r="V77" s="67">
        <f t="shared" si="16"/>
        <v>153510.88500000004</v>
      </c>
      <c r="Y77" s="67">
        <f t="shared" si="17"/>
        <v>0</v>
      </c>
      <c r="AB77" s="67">
        <f t="shared" si="18"/>
        <v>0</v>
      </c>
      <c r="AE77" s="67">
        <f t="shared" si="19"/>
        <v>0</v>
      </c>
      <c r="AF77" s="28">
        <f t="shared" si="10"/>
        <v>698035110.88500011</v>
      </c>
      <c r="AG77" s="28">
        <f t="shared" si="11"/>
        <v>677703.99115048558</v>
      </c>
    </row>
    <row r="78" spans="1:33" ht="57.6" x14ac:dyDescent="0.3">
      <c r="A78" s="41" t="s">
        <v>836</v>
      </c>
      <c r="B78" s="41" t="s">
        <v>992</v>
      </c>
      <c r="C78" s="41" t="s">
        <v>1011</v>
      </c>
      <c r="D78" s="41" t="s">
        <v>1012</v>
      </c>
      <c r="E78" s="41" t="s">
        <v>1016</v>
      </c>
      <c r="F78" s="41" t="s">
        <v>713</v>
      </c>
      <c r="G78" s="67">
        <v>45000</v>
      </c>
      <c r="H78" s="41">
        <v>25</v>
      </c>
      <c r="I78" s="41">
        <v>1</v>
      </c>
      <c r="J78" s="67">
        <f t="shared" si="12"/>
        <v>1125000</v>
      </c>
      <c r="K78" s="41">
        <v>0</v>
      </c>
      <c r="L78" s="41">
        <v>0</v>
      </c>
      <c r="M78" s="67">
        <f t="shared" si="13"/>
        <v>0</v>
      </c>
      <c r="N78" s="41">
        <v>0</v>
      </c>
      <c r="O78" s="41">
        <v>0</v>
      </c>
      <c r="P78" s="67">
        <f t="shared" si="14"/>
        <v>0</v>
      </c>
      <c r="Q78" s="41">
        <v>1</v>
      </c>
      <c r="R78" s="41">
        <v>1</v>
      </c>
      <c r="S78" s="67">
        <f t="shared" si="15"/>
        <v>59895.000000000022</v>
      </c>
      <c r="T78" s="41">
        <v>25</v>
      </c>
      <c r="U78" s="41">
        <v>1</v>
      </c>
      <c r="V78" s="67">
        <f t="shared" si="16"/>
        <v>1647112.5000000005</v>
      </c>
      <c r="Y78" s="67">
        <f t="shared" si="17"/>
        <v>0</v>
      </c>
      <c r="AB78" s="67">
        <f t="shared" si="18"/>
        <v>0</v>
      </c>
      <c r="AE78" s="67">
        <f t="shared" si="19"/>
        <v>0</v>
      </c>
      <c r="AF78" s="28">
        <f t="shared" si="10"/>
        <v>2832007.5000000005</v>
      </c>
      <c r="AG78" s="28">
        <f t="shared" si="11"/>
        <v>2749.5218446601948</v>
      </c>
    </row>
    <row r="79" spans="1:33" ht="57.6" x14ac:dyDescent="0.3">
      <c r="A79" s="41" t="s">
        <v>836</v>
      </c>
      <c r="B79" s="41" t="s">
        <v>992</v>
      </c>
      <c r="C79" s="41" t="s">
        <v>1011</v>
      </c>
      <c r="D79" s="41" t="s">
        <v>1012</v>
      </c>
      <c r="E79" s="41" t="s">
        <v>1016</v>
      </c>
      <c r="F79" s="41" t="s">
        <v>712</v>
      </c>
      <c r="G79" s="67">
        <f>1999.2/7</f>
        <v>285.60000000000002</v>
      </c>
      <c r="H79" s="41">
        <v>25</v>
      </c>
      <c r="I79" s="41">
        <v>1</v>
      </c>
      <c r="J79" s="67">
        <f t="shared" si="12"/>
        <v>7140.0000000000009</v>
      </c>
      <c r="K79" s="41">
        <v>0</v>
      </c>
      <c r="L79" s="41">
        <v>0</v>
      </c>
      <c r="M79" s="67">
        <f t="shared" si="13"/>
        <v>0</v>
      </c>
      <c r="N79" s="41">
        <v>0</v>
      </c>
      <c r="O79" s="41">
        <v>0</v>
      </c>
      <c r="P79" s="67">
        <f t="shared" si="14"/>
        <v>0</v>
      </c>
      <c r="Q79" s="41">
        <v>25</v>
      </c>
      <c r="R79" s="41">
        <v>1</v>
      </c>
      <c r="S79" s="67">
        <f t="shared" si="15"/>
        <v>9503.3400000000038</v>
      </c>
      <c r="T79" s="41">
        <v>25</v>
      </c>
      <c r="U79" s="41">
        <v>1</v>
      </c>
      <c r="V79" s="67">
        <f t="shared" si="16"/>
        <v>10453.674000000005</v>
      </c>
      <c r="Y79" s="67">
        <f t="shared" si="17"/>
        <v>0</v>
      </c>
      <c r="AB79" s="67">
        <f t="shared" si="18"/>
        <v>0</v>
      </c>
      <c r="AE79" s="67">
        <f t="shared" si="19"/>
        <v>0</v>
      </c>
      <c r="AF79" s="28">
        <f t="shared" si="10"/>
        <v>27097.01400000001</v>
      </c>
      <c r="AG79" s="28">
        <f t="shared" si="11"/>
        <v>26.307780582524281</v>
      </c>
    </row>
    <row r="80" spans="1:33" ht="57.6" x14ac:dyDescent="0.3">
      <c r="A80" s="41" t="s">
        <v>836</v>
      </c>
      <c r="B80" s="41" t="s">
        <v>992</v>
      </c>
      <c r="C80" s="41" t="s">
        <v>1011</v>
      </c>
      <c r="D80" s="41" t="s">
        <v>1012</v>
      </c>
      <c r="E80" s="41" t="s">
        <v>1017</v>
      </c>
      <c r="F80" s="41" t="s">
        <v>709</v>
      </c>
      <c r="G80" s="67">
        <v>35000</v>
      </c>
      <c r="H80" s="41">
        <v>100</v>
      </c>
      <c r="I80" s="41">
        <v>1</v>
      </c>
      <c r="J80" s="67">
        <f t="shared" si="12"/>
        <v>3500000</v>
      </c>
      <c r="K80" s="41">
        <v>0</v>
      </c>
      <c r="L80" s="41">
        <v>0</v>
      </c>
      <c r="M80" s="67">
        <f t="shared" si="13"/>
        <v>0</v>
      </c>
      <c r="N80" s="41">
        <v>0</v>
      </c>
      <c r="O80" s="41">
        <v>0</v>
      </c>
      <c r="P80" s="67">
        <f t="shared" si="14"/>
        <v>0</v>
      </c>
      <c r="Q80" s="41">
        <v>4000</v>
      </c>
      <c r="R80" s="41">
        <v>1</v>
      </c>
      <c r="S80" s="67">
        <f t="shared" si="15"/>
        <v>186340000.00000006</v>
      </c>
      <c r="T80" s="41">
        <v>100</v>
      </c>
      <c r="U80" s="41">
        <v>1</v>
      </c>
      <c r="V80" s="67">
        <f t="shared" si="16"/>
        <v>5124350.0000000019</v>
      </c>
      <c r="Y80" s="67">
        <f t="shared" si="17"/>
        <v>0</v>
      </c>
      <c r="AB80" s="67">
        <f t="shared" si="18"/>
        <v>0</v>
      </c>
      <c r="AE80" s="67">
        <f t="shared" si="19"/>
        <v>0</v>
      </c>
      <c r="AF80" s="28">
        <f t="shared" si="10"/>
        <v>194964350.00000006</v>
      </c>
      <c r="AG80" s="28">
        <f t="shared" si="11"/>
        <v>189285.77669902917</v>
      </c>
    </row>
    <row r="81" spans="1:33" ht="57.6" x14ac:dyDescent="0.3">
      <c r="A81" s="41" t="s">
        <v>836</v>
      </c>
      <c r="B81" s="41" t="s">
        <v>992</v>
      </c>
      <c r="C81" s="41" t="s">
        <v>1011</v>
      </c>
      <c r="D81" s="41" t="s">
        <v>1012</v>
      </c>
      <c r="E81" s="41" t="s">
        <v>157</v>
      </c>
      <c r="F81" s="41" t="s">
        <v>713</v>
      </c>
      <c r="G81" s="67">
        <v>45000</v>
      </c>
      <c r="H81" s="41">
        <v>25</v>
      </c>
      <c r="I81" s="41">
        <v>5</v>
      </c>
      <c r="J81" s="67">
        <f t="shared" si="12"/>
        <v>5625000</v>
      </c>
      <c r="K81" s="41">
        <v>0</v>
      </c>
      <c r="L81" s="41">
        <v>0</v>
      </c>
      <c r="M81" s="67">
        <f t="shared" si="13"/>
        <v>0</v>
      </c>
      <c r="N81" s="41">
        <v>0</v>
      </c>
      <c r="O81" s="41">
        <v>0</v>
      </c>
      <c r="P81" s="67">
        <f t="shared" si="14"/>
        <v>0</v>
      </c>
      <c r="Q81" s="41">
        <v>30</v>
      </c>
      <c r="R81" s="41">
        <v>1</v>
      </c>
      <c r="S81" s="67">
        <f t="shared" si="15"/>
        <v>1796850.0000000007</v>
      </c>
      <c r="T81" s="41">
        <v>25</v>
      </c>
      <c r="U81" s="41">
        <v>5</v>
      </c>
      <c r="V81" s="67">
        <f t="shared" si="16"/>
        <v>8235562.5000000019</v>
      </c>
      <c r="Y81" s="67">
        <f t="shared" si="17"/>
        <v>0</v>
      </c>
      <c r="AB81" s="67">
        <f t="shared" si="18"/>
        <v>0</v>
      </c>
      <c r="AE81" s="67">
        <f t="shared" si="19"/>
        <v>0</v>
      </c>
      <c r="AF81" s="28">
        <f t="shared" si="10"/>
        <v>15657412.500000004</v>
      </c>
      <c r="AG81" s="28">
        <f t="shared" si="11"/>
        <v>15201.371359223305</v>
      </c>
    </row>
    <row r="82" spans="1:33" ht="57.6" x14ac:dyDescent="0.3">
      <c r="A82" s="41" t="s">
        <v>836</v>
      </c>
      <c r="B82" s="41" t="s">
        <v>992</v>
      </c>
      <c r="C82" s="41" t="s">
        <v>1011</v>
      </c>
      <c r="D82" s="41" t="s">
        <v>1012</v>
      </c>
      <c r="E82" s="41" t="s">
        <v>157</v>
      </c>
      <c r="F82" s="41" t="s">
        <v>712</v>
      </c>
      <c r="G82" s="67">
        <f>1999.2/7</f>
        <v>285.60000000000002</v>
      </c>
      <c r="H82" s="41">
        <f>2*25*9</f>
        <v>450</v>
      </c>
      <c r="I82" s="41">
        <v>5</v>
      </c>
      <c r="J82" s="67">
        <f t="shared" si="12"/>
        <v>642600.00000000012</v>
      </c>
      <c r="K82" s="41">
        <v>0</v>
      </c>
      <c r="L82" s="41">
        <v>0</v>
      </c>
      <c r="M82" s="67">
        <f t="shared" si="13"/>
        <v>0</v>
      </c>
      <c r="N82" s="41">
        <v>0</v>
      </c>
      <c r="O82" s="41">
        <v>0</v>
      </c>
      <c r="P82" s="67">
        <f t="shared" si="14"/>
        <v>0</v>
      </c>
      <c r="Q82" s="41">
        <v>25</v>
      </c>
      <c r="R82" s="41">
        <v>10</v>
      </c>
      <c r="S82" s="67">
        <f t="shared" si="15"/>
        <v>95033.400000000038</v>
      </c>
      <c r="T82" s="41">
        <f>2*25*9</f>
        <v>450</v>
      </c>
      <c r="U82" s="41">
        <v>5</v>
      </c>
      <c r="V82" s="67">
        <f t="shared" si="16"/>
        <v>940830.66000000038</v>
      </c>
      <c r="Y82" s="67">
        <f t="shared" si="17"/>
        <v>0</v>
      </c>
      <c r="AB82" s="67">
        <f t="shared" si="18"/>
        <v>0</v>
      </c>
      <c r="AE82" s="67">
        <f t="shared" si="19"/>
        <v>0</v>
      </c>
      <c r="AF82" s="28">
        <f t="shared" si="10"/>
        <v>1678464.0600000005</v>
      </c>
      <c r="AG82" s="28">
        <f t="shared" si="11"/>
        <v>1629.5767572815539</v>
      </c>
    </row>
    <row r="83" spans="1:33" ht="57.6" x14ac:dyDescent="0.3">
      <c r="A83" s="41" t="s">
        <v>836</v>
      </c>
      <c r="B83" s="41" t="s">
        <v>992</v>
      </c>
      <c r="C83" s="41" t="s">
        <v>1011</v>
      </c>
      <c r="D83" s="41" t="s">
        <v>1012</v>
      </c>
      <c r="E83" s="41" t="s">
        <v>157</v>
      </c>
      <c r="F83" s="41" t="s">
        <v>715</v>
      </c>
      <c r="G83" s="67">
        <v>302000</v>
      </c>
      <c r="H83" s="41">
        <v>25</v>
      </c>
      <c r="I83" s="41">
        <v>1</v>
      </c>
      <c r="J83" s="67">
        <f t="shared" si="12"/>
        <v>7550000</v>
      </c>
      <c r="K83" s="41">
        <v>0</v>
      </c>
      <c r="L83" s="41">
        <v>0</v>
      </c>
      <c r="M83" s="67">
        <f t="shared" si="13"/>
        <v>0</v>
      </c>
      <c r="N83" s="41">
        <v>0</v>
      </c>
      <c r="O83" s="41">
        <v>0</v>
      </c>
      <c r="P83" s="67">
        <f t="shared" si="14"/>
        <v>0</v>
      </c>
      <c r="Q83" s="41">
        <v>20000</v>
      </c>
      <c r="R83" s="41">
        <v>1</v>
      </c>
      <c r="S83" s="67">
        <f t="shared" si="15"/>
        <v>8039240000.0000019</v>
      </c>
      <c r="T83" s="41">
        <v>25</v>
      </c>
      <c r="U83" s="41">
        <v>1</v>
      </c>
      <c r="V83" s="67">
        <f t="shared" si="16"/>
        <v>11053955.000000004</v>
      </c>
      <c r="Y83" s="67">
        <f t="shared" si="17"/>
        <v>0</v>
      </c>
      <c r="AB83" s="67">
        <f t="shared" si="18"/>
        <v>0</v>
      </c>
      <c r="AE83" s="67">
        <f t="shared" si="19"/>
        <v>0</v>
      </c>
      <c r="AF83" s="28">
        <f t="shared" si="10"/>
        <v>8057843955.0000019</v>
      </c>
      <c r="AG83" s="28">
        <f t="shared" si="11"/>
        <v>7823149.470873788</v>
      </c>
    </row>
    <row r="84" spans="1:33" ht="57.6" x14ac:dyDescent="0.3">
      <c r="A84" s="41" t="s">
        <v>836</v>
      </c>
      <c r="B84" s="41" t="s">
        <v>992</v>
      </c>
      <c r="C84" s="41" t="s">
        <v>1011</v>
      </c>
      <c r="D84" s="41" t="s">
        <v>1012</v>
      </c>
      <c r="E84" s="41" t="s">
        <v>157</v>
      </c>
      <c r="F84" s="41" t="s">
        <v>714</v>
      </c>
      <c r="G84" s="67">
        <v>10000</v>
      </c>
      <c r="H84" s="41">
        <v>25</v>
      </c>
      <c r="I84" s="41">
        <v>1</v>
      </c>
      <c r="J84" s="67">
        <f t="shared" si="12"/>
        <v>250000</v>
      </c>
      <c r="K84" s="41">
        <v>0</v>
      </c>
      <c r="L84" s="41">
        <v>0</v>
      </c>
      <c r="M84" s="67">
        <f t="shared" si="13"/>
        <v>0</v>
      </c>
      <c r="N84" s="41">
        <v>0</v>
      </c>
      <c r="O84" s="41">
        <v>0</v>
      </c>
      <c r="P84" s="67">
        <f t="shared" si="14"/>
        <v>0</v>
      </c>
      <c r="Q84" s="41">
        <v>20</v>
      </c>
      <c r="R84" s="41">
        <v>1</v>
      </c>
      <c r="S84" s="67">
        <f t="shared" si="15"/>
        <v>266200.00000000006</v>
      </c>
      <c r="T84" s="41">
        <v>25</v>
      </c>
      <c r="U84" s="41">
        <v>1</v>
      </c>
      <c r="V84" s="67">
        <f t="shared" si="16"/>
        <v>366025.00000000012</v>
      </c>
      <c r="Y84" s="67">
        <f t="shared" si="17"/>
        <v>0</v>
      </c>
      <c r="AB84" s="67">
        <f t="shared" si="18"/>
        <v>0</v>
      </c>
      <c r="AE84" s="67">
        <f t="shared" si="19"/>
        <v>0</v>
      </c>
      <c r="AF84" s="28">
        <f t="shared" si="10"/>
        <v>882225.00000000023</v>
      </c>
      <c r="AG84" s="28">
        <f t="shared" si="11"/>
        <v>856.52912621359246</v>
      </c>
    </row>
    <row r="85" spans="1:33" ht="57.6" x14ac:dyDescent="0.3">
      <c r="A85" s="41" t="s">
        <v>836</v>
      </c>
      <c r="B85" s="41" t="s">
        <v>992</v>
      </c>
      <c r="C85" s="41" t="s">
        <v>1011</v>
      </c>
      <c r="D85" s="41" t="s">
        <v>1012</v>
      </c>
      <c r="E85" s="41" t="s">
        <v>152</v>
      </c>
      <c r="F85" s="41" t="s">
        <v>709</v>
      </c>
      <c r="G85" s="67">
        <v>35000</v>
      </c>
      <c r="H85" s="41">
        <v>25</v>
      </c>
      <c r="I85" s="41">
        <v>5</v>
      </c>
      <c r="J85" s="67">
        <f t="shared" si="12"/>
        <v>4375000</v>
      </c>
      <c r="K85" s="41">
        <v>0</v>
      </c>
      <c r="L85" s="41">
        <v>0</v>
      </c>
      <c r="M85" s="67">
        <f t="shared" si="13"/>
        <v>0</v>
      </c>
      <c r="N85" s="41">
        <v>0</v>
      </c>
      <c r="O85" s="41">
        <v>0</v>
      </c>
      <c r="P85" s="67">
        <f t="shared" si="14"/>
        <v>0</v>
      </c>
      <c r="Q85" s="41">
        <v>15</v>
      </c>
      <c r="R85" s="41">
        <v>1</v>
      </c>
      <c r="S85" s="67">
        <f t="shared" si="15"/>
        <v>698775.00000000023</v>
      </c>
      <c r="T85" s="41">
        <v>25</v>
      </c>
      <c r="U85" s="41">
        <v>5</v>
      </c>
      <c r="V85" s="67">
        <f t="shared" si="16"/>
        <v>6405437.5000000019</v>
      </c>
      <c r="Y85" s="67">
        <f t="shared" si="17"/>
        <v>0</v>
      </c>
      <c r="AB85" s="67">
        <f t="shared" si="18"/>
        <v>0</v>
      </c>
      <c r="AE85" s="67">
        <f t="shared" si="19"/>
        <v>0</v>
      </c>
      <c r="AF85" s="28">
        <f t="shared" si="10"/>
        <v>11479212.500000002</v>
      </c>
      <c r="AG85" s="28">
        <f t="shared" si="11"/>
        <v>11144.86650485437</v>
      </c>
    </row>
    <row r="86" spans="1:33" ht="57.6" x14ac:dyDescent="0.3">
      <c r="A86" s="41" t="s">
        <v>836</v>
      </c>
      <c r="B86" s="41" t="s">
        <v>992</v>
      </c>
      <c r="C86" s="41" t="s">
        <v>1011</v>
      </c>
      <c r="D86" s="41" t="s">
        <v>1012</v>
      </c>
      <c r="E86" s="41" t="s">
        <v>152</v>
      </c>
      <c r="F86" s="41" t="s">
        <v>716</v>
      </c>
      <c r="G86" s="67">
        <v>39000</v>
      </c>
      <c r="H86" s="41">
        <v>25</v>
      </c>
      <c r="I86" s="41">
        <v>6</v>
      </c>
      <c r="J86" s="67">
        <f t="shared" si="12"/>
        <v>5850000</v>
      </c>
      <c r="K86" s="41">
        <v>0</v>
      </c>
      <c r="L86" s="41">
        <v>0</v>
      </c>
      <c r="M86" s="67">
        <f t="shared" si="13"/>
        <v>0</v>
      </c>
      <c r="N86" s="41">
        <v>0</v>
      </c>
      <c r="O86" s="41">
        <v>0</v>
      </c>
      <c r="P86" s="67">
        <f t="shared" si="14"/>
        <v>0</v>
      </c>
      <c r="Q86" s="41">
        <v>25</v>
      </c>
      <c r="R86" s="41">
        <v>5</v>
      </c>
      <c r="S86" s="67">
        <f t="shared" si="15"/>
        <v>6488625.0000000019</v>
      </c>
      <c r="T86" s="41">
        <v>25</v>
      </c>
      <c r="U86" s="41">
        <v>6</v>
      </c>
      <c r="V86" s="67">
        <f t="shared" si="16"/>
        <v>8564985.0000000037</v>
      </c>
      <c r="Y86" s="67">
        <f t="shared" si="17"/>
        <v>0</v>
      </c>
      <c r="AB86" s="67">
        <f t="shared" si="18"/>
        <v>0</v>
      </c>
      <c r="AE86" s="67">
        <f t="shared" si="19"/>
        <v>0</v>
      </c>
      <c r="AF86" s="28">
        <f t="shared" si="10"/>
        <v>20903610.000000007</v>
      </c>
      <c r="AG86" s="28">
        <f t="shared" si="11"/>
        <v>20294.766990291268</v>
      </c>
    </row>
    <row r="87" spans="1:33" ht="57.6" x14ac:dyDescent="0.3">
      <c r="A87" s="41" t="s">
        <v>836</v>
      </c>
      <c r="B87" s="41" t="s">
        <v>992</v>
      </c>
      <c r="C87" s="41" t="s">
        <v>1011</v>
      </c>
      <c r="D87" s="41" t="s">
        <v>1012</v>
      </c>
      <c r="E87" s="41" t="s">
        <v>152</v>
      </c>
      <c r="F87" s="41" t="s">
        <v>712</v>
      </c>
      <c r="G87" s="67">
        <f>1999.2/7</f>
        <v>285.60000000000002</v>
      </c>
      <c r="H87" s="41">
        <f>2*25*9</f>
        <v>450</v>
      </c>
      <c r="I87" s="41">
        <v>5</v>
      </c>
      <c r="J87" s="67">
        <f t="shared" si="12"/>
        <v>642600.00000000012</v>
      </c>
      <c r="K87" s="41">
        <v>0</v>
      </c>
      <c r="L87" s="41">
        <v>0</v>
      </c>
      <c r="M87" s="67">
        <f t="shared" si="13"/>
        <v>0</v>
      </c>
      <c r="N87" s="41">
        <v>0</v>
      </c>
      <c r="O87" s="41">
        <v>0</v>
      </c>
      <c r="P87" s="67">
        <f t="shared" si="14"/>
        <v>0</v>
      </c>
      <c r="Q87" s="41">
        <v>25</v>
      </c>
      <c r="R87" s="41">
        <v>5</v>
      </c>
      <c r="S87" s="67">
        <f t="shared" si="15"/>
        <v>47516.700000000019</v>
      </c>
      <c r="T87" s="41">
        <f>2*25*9</f>
        <v>450</v>
      </c>
      <c r="U87" s="41">
        <v>5</v>
      </c>
      <c r="V87" s="67">
        <f t="shared" si="16"/>
        <v>940830.66000000038</v>
      </c>
      <c r="Y87" s="67">
        <f t="shared" si="17"/>
        <v>0</v>
      </c>
      <c r="AB87" s="67">
        <f t="shared" si="18"/>
        <v>0</v>
      </c>
      <c r="AE87" s="67">
        <f t="shared" si="19"/>
        <v>0</v>
      </c>
      <c r="AF87" s="28">
        <f t="shared" si="10"/>
        <v>1630947.3600000006</v>
      </c>
      <c r="AG87" s="28">
        <f t="shared" si="11"/>
        <v>1583.4440388349519</v>
      </c>
    </row>
    <row r="88" spans="1:33" ht="57.6" x14ac:dyDescent="0.3">
      <c r="A88" s="41" t="s">
        <v>836</v>
      </c>
      <c r="B88" s="41" t="s">
        <v>992</v>
      </c>
      <c r="C88" s="41" t="s">
        <v>1011</v>
      </c>
      <c r="D88" s="41" t="s">
        <v>1012</v>
      </c>
      <c r="E88" s="41" t="s">
        <v>152</v>
      </c>
      <c r="F88" s="41" t="s">
        <v>1299</v>
      </c>
      <c r="G88" s="67">
        <v>211.42857142857142</v>
      </c>
      <c r="H88" s="41">
        <f>2*135*9</f>
        <v>2430</v>
      </c>
      <c r="I88" s="41">
        <v>1</v>
      </c>
      <c r="J88" s="67">
        <f t="shared" si="12"/>
        <v>513771.42857142852</v>
      </c>
      <c r="K88" s="41"/>
      <c r="L88" s="41"/>
      <c r="M88" s="67">
        <f t="shared" si="13"/>
        <v>0</v>
      </c>
      <c r="N88" s="41"/>
      <c r="O88" s="41"/>
      <c r="P88" s="67">
        <f t="shared" si="14"/>
        <v>0</v>
      </c>
      <c r="Q88" s="41"/>
      <c r="R88" s="41"/>
      <c r="S88" s="67">
        <f t="shared" si="15"/>
        <v>0</v>
      </c>
      <c r="T88" s="41">
        <f>2*135*9</f>
        <v>2430</v>
      </c>
      <c r="U88" s="41">
        <v>1</v>
      </c>
      <c r="V88" s="67">
        <f t="shared" si="16"/>
        <v>752212.7485714287</v>
      </c>
      <c r="Y88" s="67">
        <f t="shared" si="17"/>
        <v>0</v>
      </c>
      <c r="AB88" s="67">
        <f t="shared" si="18"/>
        <v>0</v>
      </c>
      <c r="AE88" s="67">
        <f t="shared" si="19"/>
        <v>0</v>
      </c>
      <c r="AF88" s="28">
        <f t="shared" si="10"/>
        <v>1265984.1771428571</v>
      </c>
      <c r="AG88" s="28">
        <f t="shared" si="11"/>
        <v>1229.1108515950068</v>
      </c>
    </row>
    <row r="89" spans="1:33" ht="57.6" x14ac:dyDescent="0.3">
      <c r="A89" s="41" t="s">
        <v>836</v>
      </c>
      <c r="B89" s="41" t="s">
        <v>992</v>
      </c>
      <c r="C89" s="41" t="s">
        <v>1011</v>
      </c>
      <c r="D89" s="41" t="s">
        <v>1012</v>
      </c>
      <c r="E89" s="41" t="s">
        <v>1018</v>
      </c>
      <c r="F89" s="41" t="s">
        <v>841</v>
      </c>
      <c r="G89" s="67">
        <v>0</v>
      </c>
      <c r="H89" s="41">
        <v>0</v>
      </c>
      <c r="I89" s="41">
        <v>0</v>
      </c>
      <c r="J89" s="67">
        <f t="shared" si="12"/>
        <v>0</v>
      </c>
      <c r="K89" s="41">
        <v>0</v>
      </c>
      <c r="L89" s="41">
        <v>0</v>
      </c>
      <c r="M89" s="67">
        <f t="shared" si="13"/>
        <v>0</v>
      </c>
      <c r="N89" s="41">
        <v>0</v>
      </c>
      <c r="O89" s="41">
        <v>0</v>
      </c>
      <c r="P89" s="67">
        <f t="shared" si="14"/>
        <v>0</v>
      </c>
      <c r="Q89" s="41">
        <v>5000</v>
      </c>
      <c r="R89" s="41">
        <v>1</v>
      </c>
      <c r="S89" s="67">
        <f t="shared" si="15"/>
        <v>0</v>
      </c>
      <c r="T89" s="41">
        <v>0</v>
      </c>
      <c r="U89" s="41">
        <v>0</v>
      </c>
      <c r="V89" s="67">
        <f t="shared" si="16"/>
        <v>0</v>
      </c>
      <c r="Y89" s="67">
        <f t="shared" si="17"/>
        <v>0</v>
      </c>
      <c r="AB89" s="67">
        <f t="shared" si="18"/>
        <v>0</v>
      </c>
      <c r="AE89" s="67">
        <f t="shared" si="19"/>
        <v>0</v>
      </c>
      <c r="AF89" s="28">
        <f t="shared" si="10"/>
        <v>0</v>
      </c>
      <c r="AG89" s="28">
        <f t="shared" si="11"/>
        <v>0</v>
      </c>
    </row>
    <row r="90" spans="1:33" ht="57.6" x14ac:dyDescent="0.3">
      <c r="A90" s="41" t="s">
        <v>836</v>
      </c>
      <c r="B90" s="41" t="s">
        <v>992</v>
      </c>
      <c r="C90" s="41" t="s">
        <v>1011</v>
      </c>
      <c r="D90" s="41" t="s">
        <v>1012</v>
      </c>
      <c r="E90" s="41" t="s">
        <v>1019</v>
      </c>
      <c r="F90" s="41" t="s">
        <v>709</v>
      </c>
      <c r="G90" s="67">
        <v>35000</v>
      </c>
      <c r="H90" s="41">
        <v>100</v>
      </c>
      <c r="I90" s="41">
        <v>5</v>
      </c>
      <c r="J90" s="67">
        <f t="shared" si="12"/>
        <v>17500000</v>
      </c>
      <c r="K90" s="41">
        <v>0</v>
      </c>
      <c r="L90" s="41">
        <v>0</v>
      </c>
      <c r="M90" s="67">
        <f t="shared" si="13"/>
        <v>0</v>
      </c>
      <c r="N90" s="41">
        <v>0</v>
      </c>
      <c r="O90" s="41">
        <v>0</v>
      </c>
      <c r="P90" s="67">
        <f t="shared" si="14"/>
        <v>0</v>
      </c>
      <c r="Q90" s="41">
        <v>0</v>
      </c>
      <c r="R90" s="41">
        <v>0</v>
      </c>
      <c r="S90" s="67">
        <f t="shared" si="15"/>
        <v>0</v>
      </c>
      <c r="T90" s="41">
        <v>100</v>
      </c>
      <c r="U90" s="41">
        <v>5</v>
      </c>
      <c r="V90" s="67">
        <f t="shared" si="16"/>
        <v>25621750.000000007</v>
      </c>
      <c r="Y90" s="67">
        <f t="shared" si="17"/>
        <v>0</v>
      </c>
      <c r="AB90" s="67">
        <f t="shared" si="18"/>
        <v>0</v>
      </c>
      <c r="AE90" s="67">
        <f t="shared" si="19"/>
        <v>0</v>
      </c>
      <c r="AF90" s="28">
        <f t="shared" si="10"/>
        <v>43121750.000000007</v>
      </c>
      <c r="AG90" s="28">
        <f t="shared" si="11"/>
        <v>41865.776699029135</v>
      </c>
    </row>
    <row r="91" spans="1:33" ht="57.6" x14ac:dyDescent="0.3">
      <c r="A91" s="41" t="s">
        <v>836</v>
      </c>
      <c r="B91" s="41" t="s">
        <v>992</v>
      </c>
      <c r="C91" s="41" t="s">
        <v>1011</v>
      </c>
      <c r="D91" s="41" t="s">
        <v>1012</v>
      </c>
      <c r="E91" s="41" t="s">
        <v>1019</v>
      </c>
      <c r="F91" s="41" t="s">
        <v>716</v>
      </c>
      <c r="G91" s="67">
        <v>39000</v>
      </c>
      <c r="H91" s="41">
        <v>58</v>
      </c>
      <c r="I91" s="41">
        <v>5</v>
      </c>
      <c r="J91" s="67">
        <f t="shared" si="12"/>
        <v>11310000</v>
      </c>
      <c r="K91" s="41">
        <v>0</v>
      </c>
      <c r="L91" s="41">
        <v>0</v>
      </c>
      <c r="M91" s="67">
        <f t="shared" si="13"/>
        <v>0</v>
      </c>
      <c r="N91" s="41">
        <v>0</v>
      </c>
      <c r="O91" s="41">
        <v>0</v>
      </c>
      <c r="P91" s="67">
        <f t="shared" si="14"/>
        <v>0</v>
      </c>
      <c r="Q91" s="41">
        <v>50</v>
      </c>
      <c r="R91" s="41">
        <v>1</v>
      </c>
      <c r="S91" s="67">
        <f t="shared" si="15"/>
        <v>2595450.0000000009</v>
      </c>
      <c r="T91" s="41">
        <v>58</v>
      </c>
      <c r="U91" s="41">
        <v>5</v>
      </c>
      <c r="V91" s="67">
        <f t="shared" si="16"/>
        <v>16558971.000000006</v>
      </c>
      <c r="Y91" s="67">
        <f t="shared" si="17"/>
        <v>0</v>
      </c>
      <c r="AB91" s="67">
        <f t="shared" si="18"/>
        <v>0</v>
      </c>
      <c r="AE91" s="67">
        <f t="shared" si="19"/>
        <v>0</v>
      </c>
      <c r="AF91" s="28">
        <f t="shared" si="10"/>
        <v>30464421.000000007</v>
      </c>
      <c r="AG91" s="28">
        <f t="shared" si="11"/>
        <v>29577.107766990299</v>
      </c>
    </row>
    <row r="92" spans="1:33" s="69" customFormat="1" ht="57.6" x14ac:dyDescent="0.3">
      <c r="A92" s="41" t="s">
        <v>836</v>
      </c>
      <c r="B92" s="41" t="s">
        <v>992</v>
      </c>
      <c r="C92" s="41" t="s">
        <v>1011</v>
      </c>
      <c r="D92" s="41" t="s">
        <v>1012</v>
      </c>
      <c r="E92" s="41" t="s">
        <v>1019</v>
      </c>
      <c r="F92" s="41" t="s">
        <v>1299</v>
      </c>
      <c r="G92" s="67">
        <f>1999.2/7</f>
        <v>285.60000000000002</v>
      </c>
      <c r="H92" s="41">
        <v>22500</v>
      </c>
      <c r="I92" s="41">
        <v>1</v>
      </c>
      <c r="J92" s="67"/>
      <c r="K92" s="41"/>
      <c r="L92" s="41"/>
      <c r="M92" s="67">
        <f t="shared" si="13"/>
        <v>0</v>
      </c>
      <c r="N92" s="41"/>
      <c r="O92" s="41"/>
      <c r="P92" s="67">
        <f t="shared" si="14"/>
        <v>0</v>
      </c>
      <c r="Q92" s="41"/>
      <c r="R92" s="41"/>
      <c r="S92" s="67">
        <f t="shared" si="15"/>
        <v>0</v>
      </c>
      <c r="T92" s="41">
        <v>22500</v>
      </c>
      <c r="U92" s="41">
        <v>1</v>
      </c>
      <c r="V92" s="67">
        <f t="shared" si="16"/>
        <v>9408306.6000000034</v>
      </c>
      <c r="W92"/>
      <c r="X92"/>
      <c r="Y92" s="67">
        <f t="shared" si="17"/>
        <v>0</v>
      </c>
      <c r="Z92"/>
      <c r="AA92"/>
      <c r="AB92" s="67">
        <f t="shared" si="18"/>
        <v>0</v>
      </c>
      <c r="AC92"/>
      <c r="AD92"/>
      <c r="AE92" s="67">
        <f t="shared" si="19"/>
        <v>0</v>
      </c>
      <c r="AF92" s="28">
        <f t="shared" si="10"/>
        <v>9408306.6000000034</v>
      </c>
      <c r="AG92" s="28">
        <f t="shared" si="11"/>
        <v>9134.2782524271879</v>
      </c>
    </row>
    <row r="93" spans="1:33" ht="57.6" x14ac:dyDescent="0.3">
      <c r="A93" s="41" t="s">
        <v>836</v>
      </c>
      <c r="B93" s="41" t="s">
        <v>992</v>
      </c>
      <c r="C93" s="41" t="s">
        <v>1011</v>
      </c>
      <c r="D93" s="41" t="s">
        <v>1012</v>
      </c>
      <c r="E93" s="41" t="s">
        <v>1019</v>
      </c>
      <c r="F93" s="41" t="s">
        <v>712</v>
      </c>
      <c r="G93" s="67">
        <f>1999.2/7</f>
        <v>285.60000000000002</v>
      </c>
      <c r="H93" s="41">
        <f>2*25*29</f>
        <v>1450</v>
      </c>
      <c r="I93" s="41">
        <v>5</v>
      </c>
      <c r="J93" s="67">
        <f t="shared" si="12"/>
        <v>2070600.0000000002</v>
      </c>
      <c r="K93" s="41">
        <v>0</v>
      </c>
      <c r="L93" s="41">
        <v>0</v>
      </c>
      <c r="M93" s="67">
        <f t="shared" si="13"/>
        <v>0</v>
      </c>
      <c r="N93" s="41">
        <v>0</v>
      </c>
      <c r="O93" s="41">
        <v>0</v>
      </c>
      <c r="P93" s="67">
        <f t="shared" si="14"/>
        <v>0</v>
      </c>
      <c r="Q93" s="41">
        <v>20</v>
      </c>
      <c r="R93" s="41">
        <v>2</v>
      </c>
      <c r="S93" s="67">
        <f t="shared" si="15"/>
        <v>15205.344000000006</v>
      </c>
      <c r="T93" s="41">
        <f>2*25*29</f>
        <v>1450</v>
      </c>
      <c r="U93" s="41">
        <v>5</v>
      </c>
      <c r="V93" s="67">
        <f t="shared" si="16"/>
        <v>3031565.4600000009</v>
      </c>
      <c r="Y93" s="67">
        <f t="shared" si="17"/>
        <v>0</v>
      </c>
      <c r="AB93" s="67">
        <f t="shared" si="18"/>
        <v>0</v>
      </c>
      <c r="AE93" s="67">
        <f t="shared" si="19"/>
        <v>0</v>
      </c>
      <c r="AF93" s="28">
        <f t="shared" si="10"/>
        <v>5117370.8040000014</v>
      </c>
      <c r="AG93" s="28">
        <f t="shared" si="11"/>
        <v>4968.3211689320406</v>
      </c>
    </row>
    <row r="94" spans="1:33" ht="57.6" x14ac:dyDescent="0.3">
      <c r="A94" s="41" t="s">
        <v>836</v>
      </c>
      <c r="B94" s="41" t="s">
        <v>992</v>
      </c>
      <c r="C94" s="41" t="s">
        <v>1011</v>
      </c>
      <c r="D94" s="41" t="s">
        <v>1012</v>
      </c>
      <c r="E94" s="41" t="s">
        <v>1020</v>
      </c>
      <c r="F94" s="41" t="s">
        <v>841</v>
      </c>
      <c r="G94" s="67">
        <v>0</v>
      </c>
      <c r="H94" s="41">
        <v>0</v>
      </c>
      <c r="I94" s="41">
        <v>0</v>
      </c>
      <c r="J94" s="67">
        <f t="shared" si="12"/>
        <v>0</v>
      </c>
      <c r="K94" s="41">
        <v>0</v>
      </c>
      <c r="L94" s="41">
        <v>0</v>
      </c>
      <c r="M94" s="67">
        <f t="shared" si="13"/>
        <v>0</v>
      </c>
      <c r="N94" s="41">
        <v>0</v>
      </c>
      <c r="O94" s="41">
        <v>0</v>
      </c>
      <c r="P94" s="67">
        <f t="shared" si="14"/>
        <v>0</v>
      </c>
      <c r="Q94" s="41">
        <v>8000</v>
      </c>
      <c r="R94" s="41">
        <v>1</v>
      </c>
      <c r="S94" s="67">
        <f t="shared" si="15"/>
        <v>0</v>
      </c>
      <c r="T94" s="41">
        <v>0</v>
      </c>
      <c r="U94" s="41">
        <v>0</v>
      </c>
      <c r="V94" s="67">
        <f t="shared" si="16"/>
        <v>0</v>
      </c>
      <c r="Y94" s="67">
        <f t="shared" si="17"/>
        <v>0</v>
      </c>
      <c r="AB94" s="67">
        <f t="shared" si="18"/>
        <v>0</v>
      </c>
      <c r="AE94" s="67">
        <f t="shared" si="19"/>
        <v>0</v>
      </c>
      <c r="AF94" s="28">
        <f t="shared" si="10"/>
        <v>0</v>
      </c>
      <c r="AG94" s="28">
        <f t="shared" si="11"/>
        <v>0</v>
      </c>
    </row>
    <row r="95" spans="1:33" ht="57.6" x14ac:dyDescent="0.3">
      <c r="A95" s="41" t="s">
        <v>836</v>
      </c>
      <c r="B95" s="41" t="s">
        <v>992</v>
      </c>
      <c r="C95" s="41" t="s">
        <v>1011</v>
      </c>
      <c r="D95" s="41" t="s">
        <v>1012</v>
      </c>
      <c r="E95" s="41" t="s">
        <v>1021</v>
      </c>
      <c r="F95" s="41" t="s">
        <v>718</v>
      </c>
      <c r="G95" s="67">
        <v>0</v>
      </c>
      <c r="H95" s="41">
        <v>0</v>
      </c>
      <c r="I95" s="41">
        <v>0</v>
      </c>
      <c r="J95" s="67">
        <f t="shared" si="12"/>
        <v>0</v>
      </c>
      <c r="K95" s="41">
        <v>0</v>
      </c>
      <c r="L95" s="41">
        <v>0</v>
      </c>
      <c r="M95" s="67">
        <f t="shared" si="13"/>
        <v>0</v>
      </c>
      <c r="N95" s="41">
        <v>0</v>
      </c>
      <c r="O95" s="41">
        <v>0</v>
      </c>
      <c r="P95" s="67">
        <f t="shared" si="14"/>
        <v>0</v>
      </c>
      <c r="Q95" s="41">
        <v>3</v>
      </c>
      <c r="R95" s="41">
        <v>5</v>
      </c>
      <c r="S95" s="67">
        <f t="shared" si="15"/>
        <v>0</v>
      </c>
      <c r="T95" s="41">
        <v>0</v>
      </c>
      <c r="U95" s="41">
        <v>0</v>
      </c>
      <c r="V95" s="67">
        <f t="shared" si="16"/>
        <v>0</v>
      </c>
      <c r="Y95" s="67">
        <f t="shared" si="17"/>
        <v>0</v>
      </c>
      <c r="AB95" s="67">
        <f t="shared" si="18"/>
        <v>0</v>
      </c>
      <c r="AE95" s="67">
        <f t="shared" si="19"/>
        <v>0</v>
      </c>
      <c r="AF95" s="28">
        <f t="shared" si="10"/>
        <v>0</v>
      </c>
      <c r="AG95" s="28">
        <f t="shared" si="11"/>
        <v>0</v>
      </c>
    </row>
    <row r="96" spans="1:33" ht="57.6" x14ac:dyDescent="0.3">
      <c r="A96" s="41" t="s">
        <v>836</v>
      </c>
      <c r="B96" s="41" t="s">
        <v>992</v>
      </c>
      <c r="C96" s="41" t="s">
        <v>1011</v>
      </c>
      <c r="D96" s="41" t="s">
        <v>1022</v>
      </c>
      <c r="E96" s="41" t="s">
        <v>1023</v>
      </c>
      <c r="F96" s="41" t="s">
        <v>841</v>
      </c>
      <c r="G96" s="67">
        <v>0</v>
      </c>
      <c r="H96" s="41">
        <v>0</v>
      </c>
      <c r="I96" s="41">
        <v>0</v>
      </c>
      <c r="J96" s="67">
        <f t="shared" si="12"/>
        <v>0</v>
      </c>
      <c r="K96" s="41">
        <v>0</v>
      </c>
      <c r="L96" s="41">
        <v>0</v>
      </c>
      <c r="M96" s="67">
        <f t="shared" si="13"/>
        <v>0</v>
      </c>
      <c r="N96" s="41">
        <v>0</v>
      </c>
      <c r="O96" s="41">
        <v>0</v>
      </c>
      <c r="P96" s="67">
        <f t="shared" si="14"/>
        <v>0</v>
      </c>
      <c r="Q96" s="41">
        <v>0</v>
      </c>
      <c r="R96" s="41">
        <v>0</v>
      </c>
      <c r="S96" s="67">
        <f t="shared" si="15"/>
        <v>0</v>
      </c>
      <c r="T96" s="41">
        <v>0</v>
      </c>
      <c r="U96" s="41">
        <v>0</v>
      </c>
      <c r="V96" s="67">
        <f t="shared" si="16"/>
        <v>0</v>
      </c>
      <c r="W96" s="41">
        <v>0</v>
      </c>
      <c r="X96" s="41">
        <v>0</v>
      </c>
      <c r="Y96" s="67">
        <f t="shared" si="17"/>
        <v>0</v>
      </c>
      <c r="AB96" s="67">
        <f t="shared" si="18"/>
        <v>0</v>
      </c>
      <c r="AE96" s="67">
        <f t="shared" si="19"/>
        <v>0</v>
      </c>
      <c r="AF96" s="28">
        <f t="shared" si="10"/>
        <v>0</v>
      </c>
      <c r="AG96" s="28">
        <f t="shared" si="11"/>
        <v>0</v>
      </c>
    </row>
    <row r="97" spans="1:33" ht="57.6" x14ac:dyDescent="0.3">
      <c r="A97" s="41" t="s">
        <v>836</v>
      </c>
      <c r="B97" s="41" t="s">
        <v>992</v>
      </c>
      <c r="C97" s="41" t="s">
        <v>1011</v>
      </c>
      <c r="D97" s="41" t="s">
        <v>1022</v>
      </c>
      <c r="E97" s="41" t="s">
        <v>1024</v>
      </c>
      <c r="F97" s="41" t="s">
        <v>841</v>
      </c>
      <c r="G97" s="67">
        <v>0</v>
      </c>
      <c r="H97" s="41">
        <v>0</v>
      </c>
      <c r="I97" s="41">
        <v>0</v>
      </c>
      <c r="J97" s="67">
        <f t="shared" si="12"/>
        <v>0</v>
      </c>
      <c r="K97" s="41">
        <v>0</v>
      </c>
      <c r="L97" s="41">
        <v>0</v>
      </c>
      <c r="M97" s="67">
        <f t="shared" si="13"/>
        <v>0</v>
      </c>
      <c r="N97" s="41">
        <v>0</v>
      </c>
      <c r="O97" s="41">
        <v>0</v>
      </c>
      <c r="P97" s="67">
        <f t="shared" si="14"/>
        <v>0</v>
      </c>
      <c r="Q97" s="41">
        <v>0</v>
      </c>
      <c r="R97" s="41">
        <v>0</v>
      </c>
      <c r="S97" s="67">
        <f t="shared" si="15"/>
        <v>0</v>
      </c>
      <c r="T97" s="41">
        <v>0</v>
      </c>
      <c r="U97" s="41">
        <v>0</v>
      </c>
      <c r="V97" s="67">
        <f t="shared" si="16"/>
        <v>0</v>
      </c>
      <c r="W97" s="41">
        <v>0</v>
      </c>
      <c r="X97" s="41">
        <v>0</v>
      </c>
      <c r="Y97" s="67">
        <f t="shared" si="17"/>
        <v>0</v>
      </c>
      <c r="AB97" s="67">
        <f t="shared" si="18"/>
        <v>0</v>
      </c>
      <c r="AE97" s="67">
        <f t="shared" si="19"/>
        <v>0</v>
      </c>
      <c r="AF97" s="28">
        <f t="shared" si="10"/>
        <v>0</v>
      </c>
      <c r="AG97" s="28">
        <f t="shared" si="11"/>
        <v>0</v>
      </c>
    </row>
    <row r="98" spans="1:33" ht="57.6" x14ac:dyDescent="0.3">
      <c r="A98" s="41" t="s">
        <v>836</v>
      </c>
      <c r="B98" s="41" t="s">
        <v>992</v>
      </c>
      <c r="C98" s="41" t="s">
        <v>1011</v>
      </c>
      <c r="D98" s="41" t="s">
        <v>1022</v>
      </c>
      <c r="E98" s="41" t="s">
        <v>1025</v>
      </c>
      <c r="F98" s="41" t="s">
        <v>841</v>
      </c>
      <c r="G98" s="67">
        <v>0</v>
      </c>
      <c r="H98" s="41">
        <v>0</v>
      </c>
      <c r="I98" s="41">
        <v>0</v>
      </c>
      <c r="J98" s="67">
        <f t="shared" si="12"/>
        <v>0</v>
      </c>
      <c r="K98" s="41">
        <v>0</v>
      </c>
      <c r="L98" s="41">
        <v>0</v>
      </c>
      <c r="M98" s="67">
        <f t="shared" si="13"/>
        <v>0</v>
      </c>
      <c r="N98" s="41">
        <v>0</v>
      </c>
      <c r="O98" s="41">
        <v>0</v>
      </c>
      <c r="P98" s="67">
        <f t="shared" si="14"/>
        <v>0</v>
      </c>
      <c r="Q98" s="41">
        <v>0</v>
      </c>
      <c r="R98" s="41">
        <v>0</v>
      </c>
      <c r="S98" s="67">
        <f t="shared" si="15"/>
        <v>0</v>
      </c>
      <c r="T98" s="41">
        <v>0</v>
      </c>
      <c r="U98" s="41">
        <v>0</v>
      </c>
      <c r="V98" s="67">
        <f t="shared" si="16"/>
        <v>0</v>
      </c>
      <c r="W98" s="41">
        <v>0</v>
      </c>
      <c r="X98" s="41">
        <v>0</v>
      </c>
      <c r="Y98" s="67">
        <f t="shared" si="17"/>
        <v>0</v>
      </c>
      <c r="AB98" s="67">
        <f t="shared" si="18"/>
        <v>0</v>
      </c>
      <c r="AE98" s="67">
        <f t="shared" si="19"/>
        <v>0</v>
      </c>
      <c r="AF98" s="28">
        <f t="shared" si="10"/>
        <v>0</v>
      </c>
      <c r="AG98" s="28">
        <f t="shared" si="11"/>
        <v>0</v>
      </c>
    </row>
    <row r="99" spans="1:33" ht="57.6" x14ac:dyDescent="0.3">
      <c r="A99" s="41" t="s">
        <v>836</v>
      </c>
      <c r="B99" s="41" t="s">
        <v>992</v>
      </c>
      <c r="C99" s="41" t="s">
        <v>1011</v>
      </c>
      <c r="D99" s="41" t="s">
        <v>1022</v>
      </c>
      <c r="E99" s="41" t="s">
        <v>149</v>
      </c>
      <c r="F99" s="41" t="s">
        <v>707</v>
      </c>
      <c r="G99" s="67">
        <v>391991.03749999998</v>
      </c>
      <c r="H99" s="41">
        <v>2</v>
      </c>
      <c r="I99" s="41">
        <v>2</v>
      </c>
      <c r="J99" s="67">
        <f t="shared" si="12"/>
        <v>1567964.15</v>
      </c>
      <c r="K99" s="41">
        <v>2</v>
      </c>
      <c r="L99" s="41">
        <v>2</v>
      </c>
      <c r="M99" s="67">
        <f t="shared" si="13"/>
        <v>1724760.5649999999</v>
      </c>
      <c r="N99" s="41">
        <v>0</v>
      </c>
      <c r="O99" s="41">
        <v>0</v>
      </c>
      <c r="P99" s="67">
        <f t="shared" si="14"/>
        <v>0</v>
      </c>
      <c r="Q99" s="41">
        <v>0</v>
      </c>
      <c r="R99" s="41">
        <v>0</v>
      </c>
      <c r="S99" s="67">
        <f t="shared" si="15"/>
        <v>0</v>
      </c>
      <c r="T99" s="41">
        <v>0</v>
      </c>
      <c r="U99" s="41">
        <v>0</v>
      </c>
      <c r="V99" s="67">
        <f t="shared" si="16"/>
        <v>0</v>
      </c>
      <c r="W99" s="41">
        <v>2</v>
      </c>
      <c r="X99" s="41">
        <v>2</v>
      </c>
      <c r="Y99" s="67">
        <f t="shared" si="17"/>
        <v>2525221.9432165008</v>
      </c>
      <c r="AB99" s="67">
        <f t="shared" si="18"/>
        <v>0</v>
      </c>
      <c r="AE99" s="67">
        <f t="shared" si="19"/>
        <v>0</v>
      </c>
      <c r="AF99" s="28">
        <f t="shared" si="10"/>
        <v>5817946.6582165007</v>
      </c>
      <c r="AG99" s="28">
        <f t="shared" si="11"/>
        <v>5648.4919011810689</v>
      </c>
    </row>
    <row r="100" spans="1:33" ht="57.6" x14ac:dyDescent="0.3">
      <c r="A100" s="41" t="s">
        <v>836</v>
      </c>
      <c r="B100" s="41" t="s">
        <v>992</v>
      </c>
      <c r="C100" s="41" t="s">
        <v>1011</v>
      </c>
      <c r="D100" s="41" t="s">
        <v>1022</v>
      </c>
      <c r="E100" s="41" t="s">
        <v>149</v>
      </c>
      <c r="F100" s="41" t="s">
        <v>1365</v>
      </c>
      <c r="G100" s="67">
        <f>980*1030</f>
        <v>1009400</v>
      </c>
      <c r="H100" s="41">
        <v>1</v>
      </c>
      <c r="I100" s="41">
        <v>40</v>
      </c>
      <c r="J100" s="67">
        <f t="shared" si="12"/>
        <v>40376000</v>
      </c>
      <c r="K100" s="41">
        <v>1</v>
      </c>
      <c r="L100" s="41">
        <v>40</v>
      </c>
      <c r="M100" s="67">
        <f t="shared" si="13"/>
        <v>44413600</v>
      </c>
      <c r="N100" s="41">
        <v>0</v>
      </c>
      <c r="O100" s="41">
        <v>0</v>
      </c>
      <c r="P100" s="67">
        <f t="shared" si="14"/>
        <v>0</v>
      </c>
      <c r="Q100" s="41">
        <v>1</v>
      </c>
      <c r="R100" s="41">
        <v>4</v>
      </c>
      <c r="S100" s="67">
        <f t="shared" si="15"/>
        <v>5374045.6000000015</v>
      </c>
      <c r="T100" s="41">
        <v>0</v>
      </c>
      <c r="U100" s="41">
        <v>0</v>
      </c>
      <c r="V100" s="67">
        <f t="shared" si="16"/>
        <v>0</v>
      </c>
      <c r="W100" s="41">
        <v>1</v>
      </c>
      <c r="X100" s="41">
        <v>40</v>
      </c>
      <c r="Y100" s="67">
        <f t="shared" si="17"/>
        <v>65025951.76000002</v>
      </c>
      <c r="AB100" s="67">
        <f t="shared" si="18"/>
        <v>0</v>
      </c>
      <c r="AE100" s="67">
        <f t="shared" si="19"/>
        <v>0</v>
      </c>
      <c r="AF100" s="28">
        <f t="shared" si="10"/>
        <v>155189597.36000001</v>
      </c>
      <c r="AG100" s="28">
        <f t="shared" si="11"/>
        <v>150669.51200000002</v>
      </c>
    </row>
    <row r="101" spans="1:33" ht="57.6" x14ac:dyDescent="0.3">
      <c r="A101" s="41" t="s">
        <v>836</v>
      </c>
      <c r="B101" s="41" t="s">
        <v>992</v>
      </c>
      <c r="C101" s="41" t="s">
        <v>1011</v>
      </c>
      <c r="D101" s="41" t="s">
        <v>1022</v>
      </c>
      <c r="E101" s="41" t="s">
        <v>149</v>
      </c>
      <c r="F101" s="41" t="s">
        <v>709</v>
      </c>
      <c r="G101" s="67">
        <v>35000</v>
      </c>
      <c r="H101" s="41">
        <v>25</v>
      </c>
      <c r="I101" s="41">
        <f>5*3</f>
        <v>15</v>
      </c>
      <c r="J101" s="67"/>
      <c r="K101" s="41">
        <v>25</v>
      </c>
      <c r="L101" s="41">
        <f>5*3</f>
        <v>15</v>
      </c>
      <c r="M101" s="67"/>
      <c r="N101" s="41"/>
      <c r="O101" s="41"/>
      <c r="P101" s="67"/>
      <c r="Q101" s="41"/>
      <c r="R101" s="41"/>
      <c r="S101" s="67"/>
      <c r="T101" s="41"/>
      <c r="U101" s="41"/>
      <c r="V101" s="67"/>
      <c r="W101" s="41">
        <v>25</v>
      </c>
      <c r="X101" s="41">
        <f>5*3</f>
        <v>15</v>
      </c>
      <c r="Y101" s="67"/>
      <c r="AB101" s="67"/>
      <c r="AE101" s="67"/>
      <c r="AF101" s="28">
        <f t="shared" si="10"/>
        <v>0</v>
      </c>
      <c r="AG101" s="28">
        <f t="shared" si="11"/>
        <v>0</v>
      </c>
    </row>
    <row r="102" spans="1:33" ht="57.6" x14ac:dyDescent="0.3">
      <c r="A102" s="41" t="s">
        <v>836</v>
      </c>
      <c r="B102" s="41" t="s">
        <v>992</v>
      </c>
      <c r="C102" s="41" t="s">
        <v>1011</v>
      </c>
      <c r="D102" s="41" t="s">
        <v>1022</v>
      </c>
      <c r="E102" s="41" t="s">
        <v>149</v>
      </c>
      <c r="F102" s="41" t="s">
        <v>716</v>
      </c>
      <c r="G102" s="67">
        <v>39000</v>
      </c>
      <c r="H102" s="41">
        <v>25</v>
      </c>
      <c r="I102" s="41">
        <f>6*3</f>
        <v>18</v>
      </c>
      <c r="J102" s="67"/>
      <c r="K102" s="41">
        <v>25</v>
      </c>
      <c r="L102" s="41">
        <f>6*3</f>
        <v>18</v>
      </c>
      <c r="M102" s="67"/>
      <c r="N102" s="41"/>
      <c r="O102" s="41"/>
      <c r="P102" s="67"/>
      <c r="Q102" s="41"/>
      <c r="R102" s="41"/>
      <c r="S102" s="67"/>
      <c r="T102" s="41"/>
      <c r="U102" s="41"/>
      <c r="V102" s="67"/>
      <c r="W102" s="41">
        <v>25</v>
      </c>
      <c r="X102" s="41">
        <f>6*3</f>
        <v>18</v>
      </c>
      <c r="Y102" s="67"/>
      <c r="AB102" s="67"/>
      <c r="AE102" s="67"/>
      <c r="AF102" s="28">
        <f t="shared" si="10"/>
        <v>0</v>
      </c>
      <c r="AG102" s="28">
        <f t="shared" si="11"/>
        <v>0</v>
      </c>
    </row>
    <row r="103" spans="1:33" ht="57.6" x14ac:dyDescent="0.3">
      <c r="A103" s="41" t="s">
        <v>836</v>
      </c>
      <c r="B103" s="41" t="s">
        <v>992</v>
      </c>
      <c r="C103" s="41" t="s">
        <v>1011</v>
      </c>
      <c r="D103" s="41" t="s">
        <v>1022</v>
      </c>
      <c r="E103" s="41" t="s">
        <v>149</v>
      </c>
      <c r="F103" s="41" t="s">
        <v>1299</v>
      </c>
      <c r="G103" s="67">
        <f>1999.2/7</f>
        <v>285.60000000000002</v>
      </c>
      <c r="H103" s="41">
        <f>2*135*9</f>
        <v>2430</v>
      </c>
      <c r="I103" s="41">
        <f>5*3</f>
        <v>15</v>
      </c>
      <c r="J103" s="67"/>
      <c r="K103" s="41">
        <f>2*135*9</f>
        <v>2430</v>
      </c>
      <c r="L103" s="41">
        <f>5*3</f>
        <v>15</v>
      </c>
      <c r="M103" s="67"/>
      <c r="N103" s="41"/>
      <c r="O103" s="41"/>
      <c r="P103" s="67"/>
      <c r="Q103" s="41"/>
      <c r="R103" s="41"/>
      <c r="S103" s="67"/>
      <c r="T103" s="41"/>
      <c r="U103" s="41"/>
      <c r="V103" s="67"/>
      <c r="W103" s="41">
        <f>2*135*9</f>
        <v>2430</v>
      </c>
      <c r="X103" s="41">
        <f>5*3</f>
        <v>15</v>
      </c>
      <c r="Y103" s="67"/>
      <c r="AB103" s="67"/>
      <c r="AE103" s="67"/>
      <c r="AF103" s="28">
        <f t="shared" si="10"/>
        <v>0</v>
      </c>
      <c r="AG103" s="28">
        <f t="shared" si="11"/>
        <v>0</v>
      </c>
    </row>
    <row r="104" spans="1:33" ht="57.6" x14ac:dyDescent="0.3">
      <c r="A104" s="41" t="s">
        <v>836</v>
      </c>
      <c r="B104" s="41" t="s">
        <v>992</v>
      </c>
      <c r="C104" s="41" t="s">
        <v>1011</v>
      </c>
      <c r="D104" s="41" t="s">
        <v>1022</v>
      </c>
      <c r="E104" s="41" t="s">
        <v>149</v>
      </c>
      <c r="F104" s="41" t="s">
        <v>712</v>
      </c>
      <c r="G104" s="67">
        <f>1999.2/7</f>
        <v>285.60000000000002</v>
      </c>
      <c r="H104" s="41">
        <f>2*25*9</f>
        <v>450</v>
      </c>
      <c r="I104" s="41">
        <f>5*3</f>
        <v>15</v>
      </c>
      <c r="J104" s="67"/>
      <c r="K104" s="41">
        <f>2*25*9</f>
        <v>450</v>
      </c>
      <c r="L104" s="41">
        <f>5*3</f>
        <v>15</v>
      </c>
      <c r="M104" s="67"/>
      <c r="N104" s="41"/>
      <c r="O104" s="41"/>
      <c r="P104" s="67"/>
      <c r="Q104" s="41"/>
      <c r="R104" s="41"/>
      <c r="S104" s="67"/>
      <c r="T104" s="41"/>
      <c r="U104" s="41"/>
      <c r="V104" s="67"/>
      <c r="W104" s="41">
        <f>2*25*9</f>
        <v>450</v>
      </c>
      <c r="X104" s="41">
        <f>5*3</f>
        <v>15</v>
      </c>
      <c r="Y104" s="67"/>
      <c r="AB104" s="67"/>
      <c r="AE104" s="67"/>
      <c r="AF104" s="28">
        <f t="shared" si="10"/>
        <v>0</v>
      </c>
      <c r="AG104" s="28">
        <f t="shared" si="11"/>
        <v>0</v>
      </c>
    </row>
    <row r="105" spans="1:33" ht="57.6" x14ac:dyDescent="0.3">
      <c r="A105" s="41" t="s">
        <v>836</v>
      </c>
      <c r="B105" s="41" t="s">
        <v>992</v>
      </c>
      <c r="C105" s="41" t="s">
        <v>1011</v>
      </c>
      <c r="D105" s="41" t="s">
        <v>1022</v>
      </c>
      <c r="E105" s="41" t="s">
        <v>168</v>
      </c>
      <c r="F105" s="41" t="s">
        <v>709</v>
      </c>
      <c r="G105" s="67">
        <v>35000</v>
      </c>
      <c r="H105" s="41">
        <v>100</v>
      </c>
      <c r="I105" s="41">
        <v>5</v>
      </c>
      <c r="J105" s="67">
        <f t="shared" si="12"/>
        <v>17500000</v>
      </c>
      <c r="K105" s="41">
        <v>100</v>
      </c>
      <c r="L105" s="41">
        <v>5</v>
      </c>
      <c r="M105" s="67">
        <f t="shared" si="13"/>
        <v>19250000</v>
      </c>
      <c r="N105" s="41">
        <v>0</v>
      </c>
      <c r="O105" s="41">
        <v>0</v>
      </c>
      <c r="P105" s="67">
        <f t="shared" si="14"/>
        <v>0</v>
      </c>
      <c r="Q105" s="41">
        <v>0</v>
      </c>
      <c r="R105" s="41">
        <v>0</v>
      </c>
      <c r="S105" s="67">
        <f t="shared" si="15"/>
        <v>0</v>
      </c>
      <c r="T105" s="41">
        <v>0</v>
      </c>
      <c r="U105" s="41">
        <v>0</v>
      </c>
      <c r="V105" s="67">
        <f t="shared" si="16"/>
        <v>0</v>
      </c>
      <c r="W105" s="41">
        <v>100</v>
      </c>
      <c r="X105" s="41">
        <v>5</v>
      </c>
      <c r="Y105" s="67">
        <f t="shared" si="17"/>
        <v>28183925.000000007</v>
      </c>
      <c r="AB105" s="67">
        <f t="shared" si="18"/>
        <v>0</v>
      </c>
      <c r="AE105" s="67">
        <f t="shared" si="19"/>
        <v>0</v>
      </c>
      <c r="AF105" s="28">
        <f t="shared" si="10"/>
        <v>64933925.000000007</v>
      </c>
      <c r="AG105" s="28">
        <f t="shared" si="11"/>
        <v>63042.645631067971</v>
      </c>
    </row>
    <row r="106" spans="1:33" ht="57.6" x14ac:dyDescent="0.3">
      <c r="A106" s="41" t="s">
        <v>836</v>
      </c>
      <c r="B106" s="41" t="s">
        <v>992</v>
      </c>
      <c r="C106" s="41" t="s">
        <v>1011</v>
      </c>
      <c r="D106" s="41" t="s">
        <v>1022</v>
      </c>
      <c r="E106" s="41" t="s">
        <v>168</v>
      </c>
      <c r="F106" s="41" t="s">
        <v>716</v>
      </c>
      <c r="G106" s="67">
        <v>39000</v>
      </c>
      <c r="H106" s="41">
        <v>58</v>
      </c>
      <c r="I106" s="41">
        <v>5</v>
      </c>
      <c r="J106" s="67">
        <f t="shared" si="12"/>
        <v>11310000</v>
      </c>
      <c r="K106" s="41">
        <v>58</v>
      </c>
      <c r="L106" s="41">
        <v>5</v>
      </c>
      <c r="M106" s="67"/>
      <c r="N106" s="41"/>
      <c r="O106" s="41"/>
      <c r="P106" s="67"/>
      <c r="Q106" s="41"/>
      <c r="R106" s="41"/>
      <c r="S106" s="67"/>
      <c r="T106" s="41"/>
      <c r="U106" s="41"/>
      <c r="V106" s="67"/>
      <c r="W106" s="41">
        <v>58</v>
      </c>
      <c r="X106" s="41">
        <v>5</v>
      </c>
      <c r="Y106" s="67">
        <f t="shared" si="17"/>
        <v>18214868.100000005</v>
      </c>
      <c r="AB106" s="67">
        <f t="shared" si="18"/>
        <v>0</v>
      </c>
      <c r="AE106" s="67">
        <f t="shared" si="19"/>
        <v>0</v>
      </c>
      <c r="AF106" s="28">
        <f t="shared" si="10"/>
        <v>29524868.100000005</v>
      </c>
      <c r="AG106" s="28">
        <f t="shared" si="11"/>
        <v>28664.920485436898</v>
      </c>
    </row>
    <row r="107" spans="1:33" ht="57.6" x14ac:dyDescent="0.3">
      <c r="A107" s="41" t="s">
        <v>836</v>
      </c>
      <c r="B107" s="41" t="s">
        <v>992</v>
      </c>
      <c r="C107" s="41" t="s">
        <v>1011</v>
      </c>
      <c r="D107" s="41" t="s">
        <v>1022</v>
      </c>
      <c r="E107" s="41" t="s">
        <v>168</v>
      </c>
      <c r="F107" s="41" t="s">
        <v>1029</v>
      </c>
      <c r="G107" s="67">
        <f>1999.2/7</f>
        <v>285.60000000000002</v>
      </c>
      <c r="H107" s="41">
        <f>2*25*29</f>
        <v>1450</v>
      </c>
      <c r="I107" s="41">
        <v>5</v>
      </c>
      <c r="J107" s="67">
        <f t="shared" si="12"/>
        <v>2070600.0000000002</v>
      </c>
      <c r="K107" s="41">
        <f>2*25*29</f>
        <v>1450</v>
      </c>
      <c r="L107" s="41">
        <v>5</v>
      </c>
      <c r="M107" s="67">
        <f t="shared" si="13"/>
        <v>2277660.0000000005</v>
      </c>
      <c r="N107" s="41">
        <v>0</v>
      </c>
      <c r="O107" s="41">
        <v>0</v>
      </c>
      <c r="P107" s="67">
        <f t="shared" si="14"/>
        <v>0</v>
      </c>
      <c r="Q107" s="41">
        <v>30</v>
      </c>
      <c r="R107" s="41">
        <v>1</v>
      </c>
      <c r="S107" s="67">
        <f t="shared" si="15"/>
        <v>11404.008000000005</v>
      </c>
      <c r="T107" s="41">
        <v>0</v>
      </c>
      <c r="U107" s="41">
        <v>0</v>
      </c>
      <c r="V107" s="67">
        <f t="shared" si="16"/>
        <v>0</v>
      </c>
      <c r="W107" s="41">
        <f>2*25*29</f>
        <v>1450</v>
      </c>
      <c r="X107" s="41">
        <v>5</v>
      </c>
      <c r="Y107" s="67">
        <f t="shared" si="17"/>
        <v>3334722.006000001</v>
      </c>
      <c r="AB107" s="67">
        <f t="shared" si="18"/>
        <v>0</v>
      </c>
      <c r="AE107" s="67">
        <f t="shared" si="19"/>
        <v>0</v>
      </c>
      <c r="AF107" s="28">
        <f t="shared" si="10"/>
        <v>7694386.0140000023</v>
      </c>
      <c r="AG107" s="28">
        <f t="shared" si="11"/>
        <v>7470.2776834951483</v>
      </c>
    </row>
    <row r="108" spans="1:33" ht="57.6" x14ac:dyDescent="0.3">
      <c r="A108" s="41" t="s">
        <v>836</v>
      </c>
      <c r="B108" s="41" t="s">
        <v>992</v>
      </c>
      <c r="C108" s="41" t="s">
        <v>1011</v>
      </c>
      <c r="D108" s="41" t="s">
        <v>1022</v>
      </c>
      <c r="E108" s="41" t="s">
        <v>168</v>
      </c>
      <c r="F108" s="41" t="s">
        <v>1299</v>
      </c>
      <c r="G108" s="67">
        <f>1999.2/7</f>
        <v>285.60000000000002</v>
      </c>
      <c r="H108" s="41">
        <v>22500</v>
      </c>
      <c r="I108" s="41">
        <v>1</v>
      </c>
      <c r="J108" s="67">
        <f>G108*H108*I108</f>
        <v>6426000.0000000009</v>
      </c>
      <c r="K108" s="41">
        <v>22500</v>
      </c>
      <c r="L108" s="41">
        <v>1</v>
      </c>
      <c r="M108" s="67">
        <f t="shared" si="13"/>
        <v>7068600.0000000009</v>
      </c>
      <c r="N108" s="41"/>
      <c r="O108" s="41"/>
      <c r="P108" s="67">
        <f t="shared" si="14"/>
        <v>0</v>
      </c>
      <c r="Q108" s="41"/>
      <c r="R108" s="41"/>
      <c r="S108" s="67">
        <f t="shared" si="15"/>
        <v>0</v>
      </c>
      <c r="T108" s="41"/>
      <c r="U108" s="41"/>
      <c r="V108" s="67">
        <f t="shared" si="16"/>
        <v>0</v>
      </c>
      <c r="W108" s="41">
        <v>22500</v>
      </c>
      <c r="X108" s="41">
        <v>1</v>
      </c>
      <c r="Y108" s="67">
        <f t="shared" si="17"/>
        <v>10349137.260000004</v>
      </c>
      <c r="AB108" s="67">
        <f t="shared" si="18"/>
        <v>0</v>
      </c>
      <c r="AE108" s="67">
        <f t="shared" si="19"/>
        <v>0</v>
      </c>
      <c r="AF108" s="28">
        <f t="shared" si="10"/>
        <v>23843737.260000005</v>
      </c>
      <c r="AG108" s="28">
        <f t="shared" si="11"/>
        <v>23149.259475728162</v>
      </c>
    </row>
    <row r="109" spans="1:33" ht="57.6" x14ac:dyDescent="0.3">
      <c r="A109" s="41" t="s">
        <v>836</v>
      </c>
      <c r="B109" s="41" t="s">
        <v>992</v>
      </c>
      <c r="C109" s="41" t="s">
        <v>1011</v>
      </c>
      <c r="D109" s="41" t="s">
        <v>1022</v>
      </c>
      <c r="E109" s="41" t="s">
        <v>1030</v>
      </c>
      <c r="F109" s="41" t="s">
        <v>709</v>
      </c>
      <c r="G109" s="67">
        <v>35000</v>
      </c>
      <c r="H109" s="41">
        <v>50</v>
      </c>
      <c r="I109" s="41">
        <v>1</v>
      </c>
      <c r="J109" s="67">
        <f t="shared" si="12"/>
        <v>1750000</v>
      </c>
      <c r="K109" s="41">
        <v>50</v>
      </c>
      <c r="L109" s="41">
        <v>1</v>
      </c>
      <c r="M109" s="67">
        <f t="shared" si="13"/>
        <v>1925000</v>
      </c>
      <c r="N109" s="41">
        <v>0</v>
      </c>
      <c r="O109" s="41">
        <v>0</v>
      </c>
      <c r="P109" s="67">
        <f t="shared" si="14"/>
        <v>0</v>
      </c>
      <c r="Q109" s="41">
        <v>8000</v>
      </c>
      <c r="R109" s="41">
        <v>1</v>
      </c>
      <c r="S109" s="67">
        <f t="shared" si="15"/>
        <v>372680000.00000012</v>
      </c>
      <c r="T109" s="41">
        <v>0</v>
      </c>
      <c r="U109" s="41">
        <v>0</v>
      </c>
      <c r="V109" s="67">
        <f t="shared" si="16"/>
        <v>0</v>
      </c>
      <c r="W109" s="41">
        <v>50</v>
      </c>
      <c r="X109" s="41">
        <v>1</v>
      </c>
      <c r="Y109" s="67">
        <f t="shared" si="17"/>
        <v>2818392.5000000009</v>
      </c>
      <c r="AB109" s="67">
        <f t="shared" si="18"/>
        <v>0</v>
      </c>
      <c r="AE109" s="67">
        <f t="shared" si="19"/>
        <v>0</v>
      </c>
      <c r="AF109" s="28">
        <f t="shared" si="10"/>
        <v>379173392.50000012</v>
      </c>
      <c r="AG109" s="28">
        <f t="shared" si="11"/>
        <v>368129.50728155352</v>
      </c>
    </row>
    <row r="110" spans="1:33" ht="57.6" x14ac:dyDescent="0.3">
      <c r="A110" s="41" t="s">
        <v>836</v>
      </c>
      <c r="B110" s="41" t="s">
        <v>992</v>
      </c>
      <c r="C110" s="41" t="s">
        <v>1011</v>
      </c>
      <c r="D110" s="41" t="s">
        <v>1022</v>
      </c>
      <c r="E110" s="41" t="s">
        <v>1030</v>
      </c>
      <c r="F110" s="41" t="s">
        <v>716</v>
      </c>
      <c r="G110" s="67">
        <v>39000</v>
      </c>
      <c r="H110" s="41"/>
      <c r="I110" s="41"/>
      <c r="J110" s="67">
        <f t="shared" si="12"/>
        <v>0</v>
      </c>
      <c r="K110" s="41"/>
      <c r="L110" s="41"/>
      <c r="M110" s="67"/>
      <c r="N110" s="41"/>
      <c r="O110" s="41"/>
      <c r="P110" s="67"/>
      <c r="Q110" s="41"/>
      <c r="R110" s="41"/>
      <c r="S110" s="67"/>
      <c r="T110" s="41"/>
      <c r="U110" s="41"/>
      <c r="V110" s="67"/>
      <c r="W110" s="41"/>
      <c r="X110" s="41"/>
      <c r="Y110" s="67"/>
      <c r="AB110" s="67"/>
      <c r="AE110" s="67"/>
      <c r="AF110" s="28">
        <f t="shared" si="10"/>
        <v>0</v>
      </c>
      <c r="AG110" s="28">
        <f t="shared" si="11"/>
        <v>0</v>
      </c>
    </row>
    <row r="111" spans="1:33" ht="57.6" x14ac:dyDescent="0.3">
      <c r="A111" s="41" t="s">
        <v>836</v>
      </c>
      <c r="B111" s="41" t="s">
        <v>992</v>
      </c>
      <c r="C111" s="41" t="s">
        <v>1011</v>
      </c>
      <c r="D111" s="41" t="s">
        <v>1022</v>
      </c>
      <c r="E111" s="41" t="s">
        <v>1030</v>
      </c>
      <c r="F111" s="41" t="s">
        <v>1366</v>
      </c>
      <c r="G111" s="67">
        <f>1999.2/7</f>
        <v>285.60000000000002</v>
      </c>
      <c r="H111" s="41"/>
      <c r="I111" s="41"/>
      <c r="J111" s="67"/>
      <c r="K111" s="41"/>
      <c r="L111" s="41"/>
      <c r="M111" s="67"/>
      <c r="N111" s="41"/>
      <c r="O111" s="41"/>
      <c r="P111" s="67"/>
      <c r="Q111" s="41"/>
      <c r="R111" s="41"/>
      <c r="S111" s="67"/>
      <c r="T111" s="41"/>
      <c r="U111" s="41"/>
      <c r="V111" s="67"/>
      <c r="W111" s="41"/>
      <c r="X111" s="41"/>
      <c r="Y111" s="67"/>
      <c r="AB111" s="67"/>
      <c r="AE111" s="67"/>
      <c r="AF111" s="28">
        <f t="shared" si="10"/>
        <v>0</v>
      </c>
      <c r="AG111" s="28">
        <f t="shared" si="11"/>
        <v>0</v>
      </c>
    </row>
    <row r="112" spans="1:33" ht="57.6" x14ac:dyDescent="0.3">
      <c r="A112" s="41" t="s">
        <v>836</v>
      </c>
      <c r="B112" s="41" t="s">
        <v>992</v>
      </c>
      <c r="C112" s="41" t="s">
        <v>1011</v>
      </c>
      <c r="D112" s="41" t="s">
        <v>1022</v>
      </c>
      <c r="E112" s="41" t="s">
        <v>1030</v>
      </c>
      <c r="F112" s="41" t="s">
        <v>1299</v>
      </c>
      <c r="G112" s="67">
        <f>1999.2/7</f>
        <v>285.60000000000002</v>
      </c>
      <c r="H112" s="41"/>
      <c r="I112" s="41"/>
      <c r="J112" s="67"/>
      <c r="K112" s="41"/>
      <c r="L112" s="41"/>
      <c r="M112" s="67"/>
      <c r="N112" s="41"/>
      <c r="O112" s="41"/>
      <c r="P112" s="67"/>
      <c r="Q112" s="41"/>
      <c r="R112" s="41"/>
      <c r="S112" s="67"/>
      <c r="T112" s="41"/>
      <c r="U112" s="41"/>
      <c r="V112" s="67"/>
      <c r="W112" s="41"/>
      <c r="X112" s="41"/>
      <c r="Y112" s="67"/>
      <c r="AB112" s="67"/>
      <c r="AE112" s="67"/>
      <c r="AF112" s="28">
        <f t="shared" si="10"/>
        <v>0</v>
      </c>
      <c r="AG112" s="28">
        <f t="shared" si="11"/>
        <v>0</v>
      </c>
    </row>
    <row r="113" spans="1:33" ht="57.6" x14ac:dyDescent="0.3">
      <c r="A113" s="41" t="s">
        <v>836</v>
      </c>
      <c r="B113" s="41" t="s">
        <v>992</v>
      </c>
      <c r="C113" s="41" t="s">
        <v>1011</v>
      </c>
      <c r="D113" s="41" t="s">
        <v>1022</v>
      </c>
      <c r="E113" s="41" t="s">
        <v>856</v>
      </c>
      <c r="F113" s="41" t="s">
        <v>841</v>
      </c>
      <c r="G113" s="67">
        <v>0</v>
      </c>
      <c r="H113" s="41">
        <v>0</v>
      </c>
      <c r="I113" s="41">
        <v>0</v>
      </c>
      <c r="J113" s="67">
        <f t="shared" si="12"/>
        <v>0</v>
      </c>
      <c r="K113" s="41">
        <v>0</v>
      </c>
      <c r="L113" s="41">
        <v>0</v>
      </c>
      <c r="M113" s="67">
        <f t="shared" si="13"/>
        <v>0</v>
      </c>
      <c r="N113" s="41">
        <v>0</v>
      </c>
      <c r="O113" s="41">
        <v>0</v>
      </c>
      <c r="P113" s="67">
        <f t="shared" si="14"/>
        <v>0</v>
      </c>
      <c r="Q113" s="41">
        <v>30</v>
      </c>
      <c r="R113" s="41">
        <v>0.5</v>
      </c>
      <c r="S113" s="67">
        <f t="shared" si="15"/>
        <v>0</v>
      </c>
      <c r="T113" s="41">
        <v>0</v>
      </c>
      <c r="U113" s="41">
        <v>0</v>
      </c>
      <c r="V113" s="67">
        <f t="shared" si="16"/>
        <v>0</v>
      </c>
      <c r="W113" s="41">
        <v>0</v>
      </c>
      <c r="X113" s="41">
        <v>0</v>
      </c>
      <c r="Y113" s="67">
        <f t="shared" si="17"/>
        <v>0</v>
      </c>
      <c r="AB113" s="67">
        <f t="shared" si="18"/>
        <v>0</v>
      </c>
      <c r="AE113" s="67">
        <f t="shared" si="19"/>
        <v>0</v>
      </c>
      <c r="AF113" s="28">
        <f t="shared" si="10"/>
        <v>0</v>
      </c>
      <c r="AG113" s="28">
        <f t="shared" si="11"/>
        <v>0</v>
      </c>
    </row>
    <row r="114" spans="1:33" ht="57.6" x14ac:dyDescent="0.3">
      <c r="A114" s="41" t="s">
        <v>836</v>
      </c>
      <c r="B114" s="41" t="s">
        <v>992</v>
      </c>
      <c r="C114" s="41" t="s">
        <v>1011</v>
      </c>
      <c r="D114" s="41" t="s">
        <v>1022</v>
      </c>
      <c r="E114" s="41" t="s">
        <v>945</v>
      </c>
      <c r="F114" s="41" t="s">
        <v>841</v>
      </c>
      <c r="G114" s="67">
        <v>0</v>
      </c>
      <c r="H114" s="41">
        <v>0</v>
      </c>
      <c r="I114" s="41">
        <v>0</v>
      </c>
      <c r="J114" s="67">
        <f t="shared" si="12"/>
        <v>0</v>
      </c>
      <c r="K114" s="41">
        <v>0</v>
      </c>
      <c r="L114" s="41">
        <v>0</v>
      </c>
      <c r="M114" s="67">
        <f t="shared" si="13"/>
        <v>0</v>
      </c>
      <c r="N114" s="41">
        <v>0</v>
      </c>
      <c r="O114" s="41">
        <v>0</v>
      </c>
      <c r="P114" s="67">
        <f t="shared" si="14"/>
        <v>0</v>
      </c>
      <c r="Q114" s="41">
        <v>10</v>
      </c>
      <c r="R114" s="41">
        <v>1</v>
      </c>
      <c r="S114" s="67">
        <f t="shared" si="15"/>
        <v>0</v>
      </c>
      <c r="T114" s="41">
        <v>0</v>
      </c>
      <c r="U114" s="41">
        <v>0</v>
      </c>
      <c r="V114" s="67">
        <f t="shared" si="16"/>
        <v>0</v>
      </c>
      <c r="W114" s="41">
        <v>0</v>
      </c>
      <c r="X114" s="41">
        <v>0</v>
      </c>
      <c r="Y114" s="67">
        <f t="shared" si="17"/>
        <v>0</v>
      </c>
      <c r="AB114" s="67">
        <f t="shared" si="18"/>
        <v>0</v>
      </c>
      <c r="AE114" s="67">
        <f t="shared" si="19"/>
        <v>0</v>
      </c>
      <c r="AF114" s="28">
        <f t="shared" si="10"/>
        <v>0</v>
      </c>
      <c r="AG114" s="28">
        <f t="shared" si="11"/>
        <v>0</v>
      </c>
    </row>
    <row r="115" spans="1:33" ht="57.6" x14ac:dyDescent="0.3">
      <c r="A115" s="41" t="s">
        <v>836</v>
      </c>
      <c r="B115" s="41" t="s">
        <v>992</v>
      </c>
      <c r="C115" s="41" t="s">
        <v>1011</v>
      </c>
      <c r="D115" s="41" t="s">
        <v>1022</v>
      </c>
      <c r="E115" s="41" t="s">
        <v>1031</v>
      </c>
      <c r="F115" s="41" t="s">
        <v>841</v>
      </c>
      <c r="G115" s="67">
        <v>0</v>
      </c>
      <c r="H115" s="41">
        <v>0</v>
      </c>
      <c r="I115" s="41">
        <v>0</v>
      </c>
      <c r="J115" s="67">
        <f t="shared" si="12"/>
        <v>0</v>
      </c>
      <c r="K115" s="41">
        <v>0</v>
      </c>
      <c r="L115" s="41">
        <v>0</v>
      </c>
      <c r="M115" s="67">
        <f t="shared" si="13"/>
        <v>0</v>
      </c>
      <c r="N115" s="41">
        <v>0</v>
      </c>
      <c r="O115" s="41">
        <v>0</v>
      </c>
      <c r="P115" s="67">
        <f t="shared" si="14"/>
        <v>0</v>
      </c>
      <c r="Q115" s="41"/>
      <c r="R115" s="41"/>
      <c r="S115" s="67">
        <f t="shared" si="15"/>
        <v>0</v>
      </c>
      <c r="T115" s="41">
        <v>0</v>
      </c>
      <c r="U115" s="41">
        <v>0</v>
      </c>
      <c r="V115" s="67">
        <f t="shared" si="16"/>
        <v>0</v>
      </c>
      <c r="W115" s="41">
        <v>0</v>
      </c>
      <c r="X115" s="41">
        <v>0</v>
      </c>
      <c r="Y115" s="67">
        <f t="shared" si="17"/>
        <v>0</v>
      </c>
      <c r="AB115" s="67">
        <f t="shared" si="18"/>
        <v>0</v>
      </c>
      <c r="AE115" s="67">
        <f t="shared" si="19"/>
        <v>0</v>
      </c>
      <c r="AF115" s="28">
        <f t="shared" si="10"/>
        <v>0</v>
      </c>
      <c r="AG115" s="28">
        <f t="shared" si="11"/>
        <v>0</v>
      </c>
    </row>
    <row r="116" spans="1:33" ht="57.6" x14ac:dyDescent="0.3">
      <c r="A116" s="41" t="s">
        <v>836</v>
      </c>
      <c r="B116" s="41" t="s">
        <v>992</v>
      </c>
      <c r="C116" s="41" t="s">
        <v>1011</v>
      </c>
      <c r="D116" s="41" t="s">
        <v>1032</v>
      </c>
      <c r="E116" s="41" t="s">
        <v>1033</v>
      </c>
      <c r="F116" s="41" t="s">
        <v>841</v>
      </c>
      <c r="G116" s="67">
        <v>0</v>
      </c>
      <c r="H116" s="41">
        <v>0</v>
      </c>
      <c r="I116" s="41">
        <v>0</v>
      </c>
      <c r="J116" s="67">
        <f t="shared" si="12"/>
        <v>0</v>
      </c>
      <c r="K116" s="41">
        <v>0</v>
      </c>
      <c r="L116" s="41">
        <v>0</v>
      </c>
      <c r="M116" s="67">
        <f t="shared" si="13"/>
        <v>0</v>
      </c>
      <c r="N116" s="41">
        <v>0</v>
      </c>
      <c r="O116" s="41">
        <v>0</v>
      </c>
      <c r="P116" s="67">
        <f t="shared" si="14"/>
        <v>0</v>
      </c>
      <c r="Q116" s="41"/>
      <c r="R116" s="41"/>
      <c r="S116" s="67">
        <f t="shared" si="15"/>
        <v>0</v>
      </c>
      <c r="T116" s="41">
        <v>0</v>
      </c>
      <c r="U116" s="41">
        <v>0</v>
      </c>
      <c r="V116" s="67">
        <f t="shared" si="16"/>
        <v>0</v>
      </c>
      <c r="Y116" s="67">
        <f t="shared" si="17"/>
        <v>0</v>
      </c>
      <c r="AB116" s="67">
        <f t="shared" si="18"/>
        <v>0</v>
      </c>
      <c r="AE116" s="67">
        <f t="shared" si="19"/>
        <v>0</v>
      </c>
      <c r="AF116" s="28">
        <f t="shared" si="10"/>
        <v>0</v>
      </c>
      <c r="AG116" s="28">
        <f t="shared" si="11"/>
        <v>0</v>
      </c>
    </row>
    <row r="117" spans="1:33" ht="57.6" x14ac:dyDescent="0.3">
      <c r="A117" s="41" t="s">
        <v>836</v>
      </c>
      <c r="B117" s="41" t="s">
        <v>992</v>
      </c>
      <c r="C117" s="41" t="s">
        <v>1011</v>
      </c>
      <c r="D117" s="41" t="s">
        <v>1032</v>
      </c>
      <c r="E117" s="41" t="s">
        <v>1034</v>
      </c>
      <c r="F117" s="41" t="s">
        <v>841</v>
      </c>
      <c r="G117" s="67">
        <v>0</v>
      </c>
      <c r="H117" s="41">
        <v>0</v>
      </c>
      <c r="I117" s="41">
        <v>0</v>
      </c>
      <c r="J117" s="67">
        <f t="shared" si="12"/>
        <v>0</v>
      </c>
      <c r="K117" s="41">
        <v>0</v>
      </c>
      <c r="L117" s="41">
        <v>0</v>
      </c>
      <c r="M117" s="67">
        <f t="shared" si="13"/>
        <v>0</v>
      </c>
      <c r="N117" s="41">
        <v>0</v>
      </c>
      <c r="O117" s="41">
        <v>0</v>
      </c>
      <c r="P117" s="67">
        <f t="shared" si="14"/>
        <v>0</v>
      </c>
      <c r="Q117" s="41"/>
      <c r="R117" s="41"/>
      <c r="S117" s="67">
        <f t="shared" si="15"/>
        <v>0</v>
      </c>
      <c r="T117" s="41">
        <v>0</v>
      </c>
      <c r="U117" s="41">
        <v>0</v>
      </c>
      <c r="V117" s="67">
        <f t="shared" si="16"/>
        <v>0</v>
      </c>
      <c r="Y117" s="67">
        <f t="shared" si="17"/>
        <v>0</v>
      </c>
      <c r="AB117" s="67">
        <f t="shared" si="18"/>
        <v>0</v>
      </c>
      <c r="AE117" s="67">
        <f t="shared" si="19"/>
        <v>0</v>
      </c>
      <c r="AF117" s="28">
        <f t="shared" si="10"/>
        <v>0</v>
      </c>
      <c r="AG117" s="28">
        <f t="shared" si="11"/>
        <v>0</v>
      </c>
    </row>
    <row r="118" spans="1:33" ht="57.6" x14ac:dyDescent="0.3">
      <c r="A118" s="41" t="s">
        <v>836</v>
      </c>
      <c r="B118" s="41" t="s">
        <v>992</v>
      </c>
      <c r="C118" s="41" t="s">
        <v>1011</v>
      </c>
      <c r="D118" s="41" t="s">
        <v>1032</v>
      </c>
      <c r="E118" s="41" t="s">
        <v>1367</v>
      </c>
      <c r="F118" s="41" t="s">
        <v>841</v>
      </c>
      <c r="G118" s="67">
        <v>35000</v>
      </c>
      <c r="H118" s="41">
        <v>25</v>
      </c>
      <c r="I118" s="41">
        <v>5</v>
      </c>
      <c r="J118" s="67">
        <f t="shared" si="12"/>
        <v>4375000</v>
      </c>
      <c r="K118" s="41">
        <v>25</v>
      </c>
      <c r="L118" s="41">
        <v>5</v>
      </c>
      <c r="M118" s="67">
        <f t="shared" si="13"/>
        <v>4812500</v>
      </c>
      <c r="N118" s="41">
        <v>0</v>
      </c>
      <c r="O118" s="41">
        <v>0</v>
      </c>
      <c r="P118" s="67">
        <f t="shared" si="14"/>
        <v>0</v>
      </c>
      <c r="Q118" s="41"/>
      <c r="R118" s="41"/>
      <c r="S118" s="67">
        <f t="shared" si="15"/>
        <v>0</v>
      </c>
      <c r="T118" s="41">
        <v>25</v>
      </c>
      <c r="U118" s="41">
        <v>5</v>
      </c>
      <c r="V118" s="67">
        <f t="shared" si="16"/>
        <v>6405437.5000000019</v>
      </c>
      <c r="Y118" s="67">
        <f t="shared" si="17"/>
        <v>0</v>
      </c>
      <c r="AB118" s="67">
        <f t="shared" si="18"/>
        <v>0</v>
      </c>
      <c r="AE118" s="67">
        <f t="shared" si="19"/>
        <v>0</v>
      </c>
      <c r="AF118" s="28">
        <f t="shared" si="10"/>
        <v>15592937.500000002</v>
      </c>
      <c r="AG118" s="28">
        <f t="shared" si="11"/>
        <v>15138.774271844663</v>
      </c>
    </row>
    <row r="119" spans="1:33" ht="57.6" x14ac:dyDescent="0.3">
      <c r="A119" s="41" t="s">
        <v>836</v>
      </c>
      <c r="B119" s="41" t="s">
        <v>992</v>
      </c>
      <c r="C119" s="41" t="s">
        <v>1011</v>
      </c>
      <c r="D119" s="41" t="s">
        <v>1032</v>
      </c>
      <c r="E119" s="41" t="s">
        <v>1035</v>
      </c>
      <c r="F119" s="41" t="s">
        <v>716</v>
      </c>
      <c r="G119" s="67">
        <v>39000</v>
      </c>
      <c r="H119" s="41">
        <v>25</v>
      </c>
      <c r="I119" s="41">
        <v>6</v>
      </c>
      <c r="J119" s="67">
        <f t="shared" si="12"/>
        <v>5850000</v>
      </c>
      <c r="K119" s="41">
        <v>25</v>
      </c>
      <c r="L119" s="41">
        <v>6</v>
      </c>
      <c r="M119" s="67"/>
      <c r="N119" s="41"/>
      <c r="O119" s="41"/>
      <c r="P119" s="67"/>
      <c r="Q119" s="41"/>
      <c r="R119" s="41"/>
      <c r="S119" s="67"/>
      <c r="T119" s="41">
        <v>25</v>
      </c>
      <c r="U119" s="41">
        <v>6</v>
      </c>
      <c r="V119" s="67"/>
      <c r="Y119" s="67"/>
      <c r="AB119" s="67"/>
      <c r="AE119" s="67"/>
      <c r="AF119" s="28">
        <f t="shared" si="10"/>
        <v>5850000</v>
      </c>
      <c r="AG119" s="28">
        <f t="shared" si="11"/>
        <v>5679.6116504854372</v>
      </c>
    </row>
    <row r="120" spans="1:33" ht="57.6" x14ac:dyDescent="0.3">
      <c r="A120" s="41" t="s">
        <v>836</v>
      </c>
      <c r="B120" s="41" t="s">
        <v>992</v>
      </c>
      <c r="C120" s="41" t="s">
        <v>1011</v>
      </c>
      <c r="D120" s="41" t="s">
        <v>1032</v>
      </c>
      <c r="E120" s="41" t="s">
        <v>1035</v>
      </c>
      <c r="F120" s="41" t="s">
        <v>712</v>
      </c>
      <c r="G120" s="67">
        <f>1999.2/7</f>
        <v>285.60000000000002</v>
      </c>
      <c r="H120" s="41">
        <f>2*25*9</f>
        <v>450</v>
      </c>
      <c r="I120" s="41">
        <v>5</v>
      </c>
      <c r="J120" s="67"/>
      <c r="K120" s="41">
        <f>2*25*9</f>
        <v>450</v>
      </c>
      <c r="L120" s="41">
        <v>5</v>
      </c>
      <c r="M120" s="67"/>
      <c r="N120" s="41"/>
      <c r="O120" s="41"/>
      <c r="P120" s="67"/>
      <c r="Q120" s="41"/>
      <c r="R120" s="41"/>
      <c r="S120" s="67"/>
      <c r="T120" s="41">
        <f>2*25*9</f>
        <v>450</v>
      </c>
      <c r="U120" s="41">
        <v>5</v>
      </c>
      <c r="V120" s="67"/>
      <c r="Y120" s="67"/>
      <c r="AB120" s="67"/>
      <c r="AE120" s="67"/>
      <c r="AF120" s="28">
        <f t="shared" si="10"/>
        <v>0</v>
      </c>
      <c r="AG120" s="28">
        <f t="shared" si="11"/>
        <v>0</v>
      </c>
    </row>
    <row r="121" spans="1:33" ht="57.6" x14ac:dyDescent="0.3">
      <c r="A121" s="41" t="s">
        <v>836</v>
      </c>
      <c r="B121" s="41" t="s">
        <v>992</v>
      </c>
      <c r="C121" s="41" t="s">
        <v>1011</v>
      </c>
      <c r="D121" s="41" t="s">
        <v>1032</v>
      </c>
      <c r="E121" s="41" t="s">
        <v>1035</v>
      </c>
      <c r="F121" s="41" t="s">
        <v>1299</v>
      </c>
      <c r="G121" s="67">
        <f>1999.2/7</f>
        <v>285.60000000000002</v>
      </c>
      <c r="H121" s="41">
        <f>2*135*9</f>
        <v>2430</v>
      </c>
      <c r="I121" s="41">
        <v>1</v>
      </c>
      <c r="J121" s="67"/>
      <c r="K121" s="41">
        <f>2*135*9</f>
        <v>2430</v>
      </c>
      <c r="L121" s="41">
        <v>1</v>
      </c>
      <c r="M121" s="67"/>
      <c r="N121" s="41"/>
      <c r="O121" s="41"/>
      <c r="P121" s="67"/>
      <c r="Q121" s="41"/>
      <c r="R121" s="41"/>
      <c r="S121" s="67"/>
      <c r="T121" s="41">
        <f>2*135*9</f>
        <v>2430</v>
      </c>
      <c r="U121" s="41">
        <v>1</v>
      </c>
      <c r="V121" s="67"/>
      <c r="Y121" s="67"/>
      <c r="AB121" s="67"/>
      <c r="AE121" s="67"/>
      <c r="AF121" s="28">
        <f t="shared" si="10"/>
        <v>0</v>
      </c>
      <c r="AG121" s="28">
        <f t="shared" si="11"/>
        <v>0</v>
      </c>
    </row>
    <row r="122" spans="1:33" ht="57.6" x14ac:dyDescent="0.3">
      <c r="A122" s="41" t="s">
        <v>836</v>
      </c>
      <c r="B122" s="41" t="s">
        <v>992</v>
      </c>
      <c r="C122" s="41" t="s">
        <v>1011</v>
      </c>
      <c r="D122" s="41" t="s">
        <v>1032</v>
      </c>
      <c r="E122" s="41" t="s">
        <v>1036</v>
      </c>
      <c r="F122" s="41" t="s">
        <v>841</v>
      </c>
      <c r="G122" s="67">
        <v>0</v>
      </c>
      <c r="H122" s="41">
        <v>0</v>
      </c>
      <c r="I122" s="41">
        <v>0</v>
      </c>
      <c r="J122" s="67">
        <f t="shared" si="12"/>
        <v>0</v>
      </c>
      <c r="K122" s="41">
        <v>0</v>
      </c>
      <c r="L122" s="41">
        <v>0</v>
      </c>
      <c r="M122" s="67">
        <f t="shared" si="13"/>
        <v>0</v>
      </c>
      <c r="N122" s="41">
        <v>0</v>
      </c>
      <c r="O122" s="41">
        <v>0</v>
      </c>
      <c r="P122" s="67">
        <f t="shared" si="14"/>
        <v>0</v>
      </c>
      <c r="Q122" s="41">
        <v>0</v>
      </c>
      <c r="R122" s="41">
        <v>0</v>
      </c>
      <c r="S122" s="67">
        <f t="shared" si="15"/>
        <v>0</v>
      </c>
      <c r="T122" s="41">
        <v>0</v>
      </c>
      <c r="U122" s="41">
        <v>0</v>
      </c>
      <c r="V122" s="67">
        <f t="shared" si="16"/>
        <v>0</v>
      </c>
      <c r="Y122" s="67">
        <f t="shared" si="17"/>
        <v>0</v>
      </c>
      <c r="AB122" s="67">
        <f t="shared" si="18"/>
        <v>0</v>
      </c>
      <c r="AE122" s="67">
        <f t="shared" si="19"/>
        <v>0</v>
      </c>
      <c r="AF122" s="28">
        <f t="shared" si="10"/>
        <v>0</v>
      </c>
      <c r="AG122" s="28">
        <f t="shared" si="11"/>
        <v>0</v>
      </c>
    </row>
    <row r="123" spans="1:33" ht="57.6" x14ac:dyDescent="0.3">
      <c r="A123" s="41" t="s">
        <v>836</v>
      </c>
      <c r="B123" s="41" t="s">
        <v>992</v>
      </c>
      <c r="C123" s="41" t="s">
        <v>1011</v>
      </c>
      <c r="D123" s="41" t="s">
        <v>1032</v>
      </c>
      <c r="E123" s="41" t="s">
        <v>1037</v>
      </c>
      <c r="F123" s="41" t="s">
        <v>841</v>
      </c>
      <c r="G123" s="67">
        <v>0</v>
      </c>
      <c r="H123" s="41">
        <v>0</v>
      </c>
      <c r="I123" s="41">
        <v>0</v>
      </c>
      <c r="J123" s="67">
        <f t="shared" si="12"/>
        <v>0</v>
      </c>
      <c r="K123" s="41">
        <v>0</v>
      </c>
      <c r="L123" s="41">
        <v>0</v>
      </c>
      <c r="M123" s="67">
        <f t="shared" si="13"/>
        <v>0</v>
      </c>
      <c r="N123" s="41">
        <v>0</v>
      </c>
      <c r="O123" s="41">
        <v>0</v>
      </c>
      <c r="P123" s="67">
        <f t="shared" si="14"/>
        <v>0</v>
      </c>
      <c r="Q123" s="41">
        <v>0</v>
      </c>
      <c r="R123" s="41">
        <v>0</v>
      </c>
      <c r="S123" s="67">
        <f t="shared" si="15"/>
        <v>0</v>
      </c>
      <c r="T123" s="41">
        <v>0</v>
      </c>
      <c r="U123" s="41">
        <v>0</v>
      </c>
      <c r="V123" s="67">
        <f t="shared" si="16"/>
        <v>0</v>
      </c>
      <c r="Y123" s="67">
        <f t="shared" si="17"/>
        <v>0</v>
      </c>
      <c r="AB123" s="67">
        <f t="shared" si="18"/>
        <v>0</v>
      </c>
      <c r="AE123" s="67">
        <f t="shared" si="19"/>
        <v>0</v>
      </c>
      <c r="AF123" s="28">
        <f t="shared" si="10"/>
        <v>0</v>
      </c>
      <c r="AG123" s="28">
        <f t="shared" si="11"/>
        <v>0</v>
      </c>
    </row>
    <row r="124" spans="1:33" ht="57.6" x14ac:dyDescent="0.3">
      <c r="A124" s="41" t="s">
        <v>836</v>
      </c>
      <c r="B124" s="41" t="s">
        <v>992</v>
      </c>
      <c r="C124" s="41" t="s">
        <v>1011</v>
      </c>
      <c r="D124" s="41" t="s">
        <v>1038</v>
      </c>
      <c r="E124" s="41" t="s">
        <v>155</v>
      </c>
      <c r="F124" s="41" t="s">
        <v>841</v>
      </c>
      <c r="G124" s="67">
        <v>0</v>
      </c>
      <c r="H124" s="41">
        <v>0</v>
      </c>
      <c r="I124" s="41">
        <v>0</v>
      </c>
      <c r="J124" s="67">
        <f t="shared" si="12"/>
        <v>0</v>
      </c>
      <c r="K124" s="41">
        <v>0</v>
      </c>
      <c r="L124" s="41">
        <v>0</v>
      </c>
      <c r="M124" s="67">
        <f t="shared" si="13"/>
        <v>0</v>
      </c>
      <c r="N124" s="41">
        <v>0</v>
      </c>
      <c r="O124" s="41">
        <v>0</v>
      </c>
      <c r="P124" s="67">
        <f t="shared" si="14"/>
        <v>0</v>
      </c>
      <c r="Q124" s="41">
        <v>0</v>
      </c>
      <c r="R124" s="41">
        <v>0</v>
      </c>
      <c r="S124" s="67">
        <f t="shared" si="15"/>
        <v>0</v>
      </c>
      <c r="T124" s="41">
        <v>0</v>
      </c>
      <c r="U124" s="41">
        <v>0</v>
      </c>
      <c r="V124" s="67">
        <f t="shared" si="16"/>
        <v>0</v>
      </c>
      <c r="Y124" s="67">
        <f t="shared" si="17"/>
        <v>0</v>
      </c>
      <c r="Z124" s="41">
        <v>0</v>
      </c>
      <c r="AA124" s="41">
        <v>0</v>
      </c>
      <c r="AB124" s="67">
        <f t="shared" si="18"/>
        <v>0</v>
      </c>
      <c r="AE124" s="67">
        <f t="shared" si="19"/>
        <v>0</v>
      </c>
      <c r="AF124" s="28">
        <f t="shared" si="10"/>
        <v>0</v>
      </c>
      <c r="AG124" s="28">
        <f t="shared" si="11"/>
        <v>0</v>
      </c>
    </row>
    <row r="125" spans="1:33" ht="57.6" x14ac:dyDescent="0.3">
      <c r="A125" s="41" t="s">
        <v>836</v>
      </c>
      <c r="B125" s="41" t="s">
        <v>992</v>
      </c>
      <c r="C125" s="41" t="s">
        <v>1011</v>
      </c>
      <c r="D125" s="41" t="s">
        <v>1038</v>
      </c>
      <c r="E125" s="41" t="s">
        <v>169</v>
      </c>
      <c r="F125" s="41" t="s">
        <v>841</v>
      </c>
      <c r="G125" s="67">
        <v>0</v>
      </c>
      <c r="H125" s="41">
        <v>0</v>
      </c>
      <c r="I125" s="41">
        <v>0</v>
      </c>
      <c r="J125" s="67">
        <f t="shared" si="12"/>
        <v>0</v>
      </c>
      <c r="K125" s="41">
        <v>0</v>
      </c>
      <c r="L125" s="41">
        <v>0</v>
      </c>
      <c r="M125" s="67">
        <f t="shared" si="13"/>
        <v>0</v>
      </c>
      <c r="N125" s="41">
        <v>0</v>
      </c>
      <c r="O125" s="41">
        <v>0</v>
      </c>
      <c r="P125" s="67">
        <f t="shared" si="14"/>
        <v>0</v>
      </c>
      <c r="Q125" s="41">
        <v>0</v>
      </c>
      <c r="R125" s="41">
        <v>0</v>
      </c>
      <c r="S125" s="67">
        <f t="shared" si="15"/>
        <v>0</v>
      </c>
      <c r="T125" s="41">
        <v>0</v>
      </c>
      <c r="U125" s="41">
        <v>0</v>
      </c>
      <c r="V125" s="67">
        <f t="shared" si="16"/>
        <v>0</v>
      </c>
      <c r="Y125" s="67">
        <f t="shared" si="17"/>
        <v>0</v>
      </c>
      <c r="Z125" s="41">
        <v>0</v>
      </c>
      <c r="AA125" s="41">
        <v>0</v>
      </c>
      <c r="AB125" s="67">
        <f t="shared" si="18"/>
        <v>0</v>
      </c>
      <c r="AE125" s="67">
        <f t="shared" si="19"/>
        <v>0</v>
      </c>
      <c r="AF125" s="28">
        <f t="shared" si="10"/>
        <v>0</v>
      </c>
      <c r="AG125" s="28">
        <f t="shared" si="11"/>
        <v>0</v>
      </c>
    </row>
    <row r="126" spans="1:33" ht="57.6" x14ac:dyDescent="0.3">
      <c r="A126" s="41" t="s">
        <v>836</v>
      </c>
      <c r="B126" s="41" t="s">
        <v>992</v>
      </c>
      <c r="C126" s="41" t="s">
        <v>1011</v>
      </c>
      <c r="D126" s="41" t="s">
        <v>1038</v>
      </c>
      <c r="E126" s="41" t="s">
        <v>1039</v>
      </c>
      <c r="F126" s="41" t="s">
        <v>841</v>
      </c>
      <c r="G126" s="67">
        <v>0</v>
      </c>
      <c r="H126" s="41">
        <v>0</v>
      </c>
      <c r="I126" s="41">
        <v>0</v>
      </c>
      <c r="J126" s="67">
        <f t="shared" si="12"/>
        <v>0</v>
      </c>
      <c r="K126" s="41">
        <v>0</v>
      </c>
      <c r="L126" s="41">
        <v>0</v>
      </c>
      <c r="M126" s="67">
        <f t="shared" si="13"/>
        <v>0</v>
      </c>
      <c r="N126" s="41">
        <v>0</v>
      </c>
      <c r="O126" s="41">
        <v>0</v>
      </c>
      <c r="P126" s="67">
        <f t="shared" si="14"/>
        <v>0</v>
      </c>
      <c r="Q126" s="41">
        <v>0</v>
      </c>
      <c r="R126" s="41">
        <v>0</v>
      </c>
      <c r="S126" s="67">
        <f t="shared" si="15"/>
        <v>0</v>
      </c>
      <c r="T126" s="41">
        <v>0</v>
      </c>
      <c r="U126" s="41">
        <v>0</v>
      </c>
      <c r="V126" s="67">
        <f t="shared" si="16"/>
        <v>0</v>
      </c>
      <c r="Y126" s="67">
        <f t="shared" si="17"/>
        <v>0</v>
      </c>
      <c r="Z126" s="41">
        <v>0</v>
      </c>
      <c r="AA126" s="41">
        <v>0</v>
      </c>
      <c r="AB126" s="67">
        <f t="shared" si="18"/>
        <v>0</v>
      </c>
      <c r="AE126" s="67">
        <f t="shared" si="19"/>
        <v>0</v>
      </c>
      <c r="AF126" s="28">
        <f t="shared" si="10"/>
        <v>0</v>
      </c>
      <c r="AG126" s="28">
        <f t="shared" si="11"/>
        <v>0</v>
      </c>
    </row>
    <row r="127" spans="1:33" ht="57.6" x14ac:dyDescent="0.3">
      <c r="A127" s="41" t="s">
        <v>836</v>
      </c>
      <c r="B127" s="41" t="s">
        <v>992</v>
      </c>
      <c r="C127" s="41" t="s">
        <v>1011</v>
      </c>
      <c r="D127" s="41" t="s">
        <v>1038</v>
      </c>
      <c r="E127" s="41" t="s">
        <v>1040</v>
      </c>
      <c r="F127" s="41" t="s">
        <v>707</v>
      </c>
      <c r="G127" s="67">
        <v>391991.03749999998</v>
      </c>
      <c r="H127" s="41">
        <v>2</v>
      </c>
      <c r="I127" s="41">
        <v>2</v>
      </c>
      <c r="J127" s="67">
        <f t="shared" si="12"/>
        <v>1567964.15</v>
      </c>
      <c r="K127" s="41">
        <v>0</v>
      </c>
      <c r="L127" s="41">
        <v>0</v>
      </c>
      <c r="M127" s="67">
        <f t="shared" si="13"/>
        <v>0</v>
      </c>
      <c r="N127" s="41">
        <v>2</v>
      </c>
      <c r="O127" s="41">
        <v>2</v>
      </c>
      <c r="P127" s="67">
        <f t="shared" si="14"/>
        <v>1897236.6215000001</v>
      </c>
      <c r="Q127" s="41">
        <v>0</v>
      </c>
      <c r="R127" s="41">
        <v>0</v>
      </c>
      <c r="S127" s="67">
        <f t="shared" si="15"/>
        <v>0</v>
      </c>
      <c r="T127" s="41">
        <v>0</v>
      </c>
      <c r="U127" s="41">
        <v>0</v>
      </c>
      <c r="V127" s="67">
        <f t="shared" si="16"/>
        <v>0</v>
      </c>
      <c r="Y127" s="67">
        <f t="shared" si="17"/>
        <v>0</v>
      </c>
      <c r="Z127" s="41">
        <v>2</v>
      </c>
      <c r="AA127" s="41">
        <v>2</v>
      </c>
      <c r="AB127" s="67">
        <f t="shared" si="18"/>
        <v>2777744.1375381513</v>
      </c>
      <c r="AE127" s="67">
        <f t="shared" si="19"/>
        <v>0</v>
      </c>
      <c r="AF127" s="28">
        <f t="shared" si="10"/>
        <v>6242944.9090381507</v>
      </c>
      <c r="AG127" s="28">
        <f t="shared" si="11"/>
        <v>6061.1115621729614</v>
      </c>
    </row>
    <row r="128" spans="1:33" ht="57.6" x14ac:dyDescent="0.3">
      <c r="A128" s="41" t="s">
        <v>836</v>
      </c>
      <c r="B128" s="41" t="s">
        <v>992</v>
      </c>
      <c r="C128" s="41" t="s">
        <v>1011</v>
      </c>
      <c r="D128" s="41" t="s">
        <v>1038</v>
      </c>
      <c r="E128" s="41" t="s">
        <v>1040</v>
      </c>
      <c r="F128" s="41" t="s">
        <v>708</v>
      </c>
      <c r="G128" s="67">
        <f>980*1030</f>
        <v>1009400</v>
      </c>
      <c r="H128" s="41">
        <v>1</v>
      </c>
      <c r="I128" s="41">
        <v>25</v>
      </c>
      <c r="J128" s="67">
        <f t="shared" si="12"/>
        <v>25235000</v>
      </c>
      <c r="K128" s="41">
        <v>0</v>
      </c>
      <c r="L128" s="41">
        <v>0</v>
      </c>
      <c r="M128" s="67">
        <f t="shared" si="13"/>
        <v>0</v>
      </c>
      <c r="N128" s="41">
        <v>1</v>
      </c>
      <c r="O128" s="41">
        <v>25</v>
      </c>
      <c r="P128" s="67">
        <f t="shared" si="14"/>
        <v>30534350.000000007</v>
      </c>
      <c r="Q128" s="41">
        <v>0</v>
      </c>
      <c r="R128" s="41">
        <v>0</v>
      </c>
      <c r="S128" s="67">
        <f t="shared" si="15"/>
        <v>0</v>
      </c>
      <c r="T128" s="41">
        <v>1</v>
      </c>
      <c r="U128" s="41">
        <v>6</v>
      </c>
      <c r="V128" s="67">
        <f t="shared" si="16"/>
        <v>8867175.2400000021</v>
      </c>
      <c r="Y128" s="67">
        <f t="shared" si="17"/>
        <v>0</v>
      </c>
      <c r="Z128" s="41">
        <v>1</v>
      </c>
      <c r="AA128" s="41">
        <v>25</v>
      </c>
      <c r="AB128" s="67">
        <f t="shared" si="18"/>
        <v>44705341.835000023</v>
      </c>
      <c r="AE128" s="67">
        <f t="shared" si="19"/>
        <v>0</v>
      </c>
      <c r="AF128" s="28">
        <f t="shared" si="10"/>
        <v>109341867.07500003</v>
      </c>
      <c r="AG128" s="28">
        <f t="shared" si="11"/>
        <v>106157.15250000003</v>
      </c>
    </row>
    <row r="129" spans="1:33" ht="57.6" x14ac:dyDescent="0.3">
      <c r="A129" s="41" t="s">
        <v>836</v>
      </c>
      <c r="B129" s="41" t="s">
        <v>992</v>
      </c>
      <c r="C129" s="41" t="s">
        <v>1011</v>
      </c>
      <c r="D129" s="41" t="s">
        <v>1038</v>
      </c>
      <c r="E129" s="41" t="s">
        <v>179</v>
      </c>
      <c r="F129" s="41" t="s">
        <v>713</v>
      </c>
      <c r="G129" s="67">
        <v>45000</v>
      </c>
      <c r="H129" s="41">
        <v>25</v>
      </c>
      <c r="I129" s="41">
        <v>5</v>
      </c>
      <c r="J129" s="67">
        <f t="shared" si="12"/>
        <v>5625000</v>
      </c>
      <c r="K129" s="41">
        <v>0</v>
      </c>
      <c r="L129" s="41">
        <v>0</v>
      </c>
      <c r="M129" s="67">
        <f t="shared" si="13"/>
        <v>0</v>
      </c>
      <c r="N129" s="41">
        <v>25</v>
      </c>
      <c r="O129" s="41">
        <v>5</v>
      </c>
      <c r="P129" s="67">
        <f t="shared" si="14"/>
        <v>6806250.0000000009</v>
      </c>
      <c r="Q129" s="41">
        <v>0</v>
      </c>
      <c r="R129" s="41">
        <v>0</v>
      </c>
      <c r="S129" s="67">
        <f t="shared" si="15"/>
        <v>0</v>
      </c>
      <c r="T129" s="41">
        <v>1</v>
      </c>
      <c r="U129" s="41">
        <v>40</v>
      </c>
      <c r="V129" s="67">
        <f t="shared" si="16"/>
        <v>2635380.0000000005</v>
      </c>
      <c r="Y129" s="67">
        <f t="shared" si="17"/>
        <v>0</v>
      </c>
      <c r="Z129" s="41">
        <v>25</v>
      </c>
      <c r="AA129" s="41">
        <v>5</v>
      </c>
      <c r="AB129" s="67">
        <f t="shared" si="18"/>
        <v>9965030.6250000037</v>
      </c>
      <c r="AE129" s="67">
        <f t="shared" si="19"/>
        <v>0</v>
      </c>
      <c r="AF129" s="28">
        <f t="shared" si="10"/>
        <v>25031660.625000004</v>
      </c>
      <c r="AG129" s="28">
        <f t="shared" si="11"/>
        <v>24302.583131067964</v>
      </c>
    </row>
    <row r="130" spans="1:33" ht="57.6" x14ac:dyDescent="0.3">
      <c r="A130" s="41" t="s">
        <v>836</v>
      </c>
      <c r="B130" s="41" t="s">
        <v>992</v>
      </c>
      <c r="C130" s="41" t="s">
        <v>1011</v>
      </c>
      <c r="D130" s="41" t="s">
        <v>1038</v>
      </c>
      <c r="E130" s="41" t="s">
        <v>179</v>
      </c>
      <c r="F130" s="41" t="s">
        <v>712</v>
      </c>
      <c r="G130" s="67">
        <f>1999.2/7</f>
        <v>285.60000000000002</v>
      </c>
      <c r="H130" s="41">
        <v>25</v>
      </c>
      <c r="I130" s="41">
        <v>5</v>
      </c>
      <c r="J130" s="67">
        <f t="shared" si="12"/>
        <v>35700.000000000007</v>
      </c>
      <c r="K130" s="41">
        <v>0</v>
      </c>
      <c r="L130" s="41">
        <v>0</v>
      </c>
      <c r="M130" s="67">
        <f t="shared" si="13"/>
        <v>0</v>
      </c>
      <c r="N130" s="41">
        <v>25</v>
      </c>
      <c r="O130" s="41">
        <v>5</v>
      </c>
      <c r="P130" s="67">
        <f t="shared" si="14"/>
        <v>43197.000000000007</v>
      </c>
      <c r="Q130" s="41">
        <v>0</v>
      </c>
      <c r="R130" s="41">
        <v>0</v>
      </c>
      <c r="S130" s="67">
        <f t="shared" si="15"/>
        <v>0</v>
      </c>
      <c r="T130" s="41">
        <v>25</v>
      </c>
      <c r="U130" s="41">
        <v>10</v>
      </c>
      <c r="V130" s="67">
        <f t="shared" si="16"/>
        <v>104536.74000000005</v>
      </c>
      <c r="Y130" s="67">
        <f t="shared" si="17"/>
        <v>0</v>
      </c>
      <c r="Z130" s="41">
        <v>25</v>
      </c>
      <c r="AA130" s="41">
        <v>5</v>
      </c>
      <c r="AB130" s="67">
        <f t="shared" si="18"/>
        <v>63244.727700000032</v>
      </c>
      <c r="AE130" s="67">
        <f t="shared" si="19"/>
        <v>0</v>
      </c>
      <c r="AF130" s="28">
        <f t="shared" si="10"/>
        <v>246678.4677000001</v>
      </c>
      <c r="AG130" s="28">
        <f t="shared" si="11"/>
        <v>239.49365796116516</v>
      </c>
    </row>
    <row r="131" spans="1:33" ht="57.6" x14ac:dyDescent="0.3">
      <c r="A131" s="41" t="s">
        <v>836</v>
      </c>
      <c r="B131" s="41" t="s">
        <v>992</v>
      </c>
      <c r="C131" s="41" t="s">
        <v>1011</v>
      </c>
      <c r="D131" s="41" t="s">
        <v>1038</v>
      </c>
      <c r="E131" s="41" t="s">
        <v>179</v>
      </c>
      <c r="F131" s="41" t="s">
        <v>1299</v>
      </c>
      <c r="G131" s="67">
        <f>1999.2/7</f>
        <v>285.60000000000002</v>
      </c>
      <c r="H131" s="41">
        <v>22500</v>
      </c>
      <c r="I131" s="41">
        <v>1</v>
      </c>
      <c r="J131" s="67">
        <f>G131*H131*I131</f>
        <v>6426000.0000000009</v>
      </c>
      <c r="K131" s="41"/>
      <c r="L131" s="41"/>
      <c r="M131" s="67">
        <f t="shared" si="13"/>
        <v>0</v>
      </c>
      <c r="N131" s="41">
        <v>22500</v>
      </c>
      <c r="O131" s="41">
        <v>1</v>
      </c>
      <c r="P131" s="67">
        <f t="shared" si="14"/>
        <v>7775460.0000000019</v>
      </c>
      <c r="Q131" s="41"/>
      <c r="R131" s="41"/>
      <c r="S131" s="67">
        <f t="shared" si="15"/>
        <v>0</v>
      </c>
      <c r="T131" s="41"/>
      <c r="U131" s="41"/>
      <c r="V131" s="67">
        <f t="shared" si="16"/>
        <v>0</v>
      </c>
      <c r="Y131" s="67">
        <f t="shared" si="17"/>
        <v>0</v>
      </c>
      <c r="Z131" s="41">
        <v>22500</v>
      </c>
      <c r="AA131" s="41">
        <v>1</v>
      </c>
      <c r="AB131" s="67">
        <f t="shared" si="18"/>
        <v>11384050.986000007</v>
      </c>
      <c r="AE131" s="67">
        <f t="shared" si="19"/>
        <v>0</v>
      </c>
      <c r="AF131" s="28">
        <f t="shared" ref="AF131:AF194" si="20">J131+M131+P131+S131+V131+Y131+AB131+AE131</f>
        <v>25585510.986000009</v>
      </c>
      <c r="AG131" s="28">
        <f t="shared" ref="AG131:AG194" si="21">AF131/$AL$2</f>
        <v>24840.30192815535</v>
      </c>
    </row>
    <row r="132" spans="1:33" ht="57.6" x14ac:dyDescent="0.3">
      <c r="A132" s="41" t="s">
        <v>836</v>
      </c>
      <c r="B132" s="41" t="s">
        <v>992</v>
      </c>
      <c r="C132" s="41" t="s">
        <v>1011</v>
      </c>
      <c r="D132" s="41" t="s">
        <v>1038</v>
      </c>
      <c r="E132" s="41" t="s">
        <v>179</v>
      </c>
      <c r="F132" s="41" t="s">
        <v>1041</v>
      </c>
      <c r="G132" s="67">
        <v>10000</v>
      </c>
      <c r="H132" s="41">
        <v>25</v>
      </c>
      <c r="I132" s="41">
        <v>1</v>
      </c>
      <c r="J132" s="67">
        <f t="shared" si="12"/>
        <v>250000</v>
      </c>
      <c r="K132" s="41">
        <v>0</v>
      </c>
      <c r="L132" s="41">
        <v>0</v>
      </c>
      <c r="M132" s="67">
        <f t="shared" si="13"/>
        <v>0</v>
      </c>
      <c r="N132" s="41">
        <v>25</v>
      </c>
      <c r="O132" s="41">
        <v>1</v>
      </c>
      <c r="P132" s="67">
        <f t="shared" si="14"/>
        <v>302500.00000000006</v>
      </c>
      <c r="Q132" s="41">
        <v>0</v>
      </c>
      <c r="R132" s="41">
        <v>0</v>
      </c>
      <c r="S132" s="67">
        <f t="shared" si="15"/>
        <v>0</v>
      </c>
      <c r="T132" s="41">
        <v>20000</v>
      </c>
      <c r="U132" s="41">
        <v>1</v>
      </c>
      <c r="V132" s="67">
        <f t="shared" si="16"/>
        <v>292820000.00000006</v>
      </c>
      <c r="Y132" s="67">
        <f t="shared" si="17"/>
        <v>0</v>
      </c>
      <c r="Z132" s="41">
        <v>25</v>
      </c>
      <c r="AA132" s="41">
        <v>1</v>
      </c>
      <c r="AB132" s="67">
        <f t="shared" si="18"/>
        <v>442890.25000000017</v>
      </c>
      <c r="AE132" s="67">
        <f t="shared" si="19"/>
        <v>0</v>
      </c>
      <c r="AF132" s="28">
        <f t="shared" si="20"/>
        <v>293815390.25000006</v>
      </c>
      <c r="AG132" s="28">
        <f t="shared" si="21"/>
        <v>285257.66043689329</v>
      </c>
    </row>
    <row r="133" spans="1:33" ht="57.6" x14ac:dyDescent="0.3">
      <c r="A133" s="41" t="s">
        <v>836</v>
      </c>
      <c r="B133" s="41" t="s">
        <v>992</v>
      </c>
      <c r="C133" s="41" t="s">
        <v>1011</v>
      </c>
      <c r="D133" s="41" t="s">
        <v>1038</v>
      </c>
      <c r="E133" s="41" t="s">
        <v>179</v>
      </c>
      <c r="F133" s="41" t="s">
        <v>715</v>
      </c>
      <c r="G133" s="67">
        <v>302000</v>
      </c>
      <c r="H133" s="41">
        <v>25</v>
      </c>
      <c r="I133" s="41">
        <v>1</v>
      </c>
      <c r="J133" s="67">
        <f t="shared" si="12"/>
        <v>7550000</v>
      </c>
      <c r="K133" s="41">
        <v>0</v>
      </c>
      <c r="L133" s="41">
        <v>0</v>
      </c>
      <c r="M133" s="67">
        <f t="shared" si="13"/>
        <v>0</v>
      </c>
      <c r="N133" s="41">
        <v>25</v>
      </c>
      <c r="O133" s="41">
        <v>1</v>
      </c>
      <c r="P133" s="67">
        <f t="shared" si="14"/>
        <v>9135500.0000000019</v>
      </c>
      <c r="Q133" s="41">
        <v>0</v>
      </c>
      <c r="R133" s="41">
        <v>0</v>
      </c>
      <c r="S133" s="67">
        <f t="shared" si="15"/>
        <v>0</v>
      </c>
      <c r="T133" s="41">
        <v>15</v>
      </c>
      <c r="U133" s="41">
        <v>10</v>
      </c>
      <c r="V133" s="67">
        <f t="shared" si="16"/>
        <v>66323730.000000015</v>
      </c>
      <c r="Y133" s="67">
        <f t="shared" si="17"/>
        <v>0</v>
      </c>
      <c r="Z133" s="41">
        <v>25</v>
      </c>
      <c r="AA133" s="41">
        <v>1</v>
      </c>
      <c r="AB133" s="67">
        <f t="shared" si="18"/>
        <v>13375285.550000006</v>
      </c>
      <c r="AE133" s="67">
        <f t="shared" si="19"/>
        <v>0</v>
      </c>
      <c r="AF133" s="28">
        <f t="shared" si="20"/>
        <v>96384515.550000027</v>
      </c>
      <c r="AG133" s="28">
        <f t="shared" si="21"/>
        <v>93577.199563106828</v>
      </c>
    </row>
    <row r="134" spans="1:33" ht="57.6" x14ac:dyDescent="0.3">
      <c r="A134" s="41" t="s">
        <v>836</v>
      </c>
      <c r="B134" s="41" t="s">
        <v>992</v>
      </c>
      <c r="C134" s="41" t="s">
        <v>1011</v>
      </c>
      <c r="D134" s="41" t="s">
        <v>1038</v>
      </c>
      <c r="E134" s="41" t="s">
        <v>159</v>
      </c>
      <c r="F134" s="41" t="s">
        <v>716</v>
      </c>
      <c r="G134" s="67">
        <v>39000</v>
      </c>
      <c r="H134" s="41">
        <v>25</v>
      </c>
      <c r="I134" s="41">
        <v>6</v>
      </c>
      <c r="J134" s="67">
        <f t="shared" si="12"/>
        <v>5850000</v>
      </c>
      <c r="K134" s="41">
        <v>0</v>
      </c>
      <c r="L134" s="41">
        <v>0</v>
      </c>
      <c r="M134" s="67">
        <f t="shared" si="13"/>
        <v>0</v>
      </c>
      <c r="N134" s="41">
        <v>25</v>
      </c>
      <c r="O134" s="41">
        <v>6</v>
      </c>
      <c r="P134" s="67">
        <f t="shared" si="14"/>
        <v>7078500.0000000019</v>
      </c>
      <c r="Q134" s="41">
        <v>0</v>
      </c>
      <c r="R134" s="41">
        <v>0</v>
      </c>
      <c r="S134" s="67">
        <f t="shared" si="15"/>
        <v>0</v>
      </c>
      <c r="T134" s="41">
        <v>20</v>
      </c>
      <c r="U134" s="41">
        <v>1</v>
      </c>
      <c r="V134" s="67">
        <f t="shared" si="16"/>
        <v>1141998.0000000002</v>
      </c>
      <c r="Y134" s="67">
        <f t="shared" si="17"/>
        <v>0</v>
      </c>
      <c r="Z134" s="41">
        <v>25</v>
      </c>
      <c r="AA134" s="41">
        <v>6</v>
      </c>
      <c r="AB134" s="67">
        <f t="shared" si="18"/>
        <v>10363631.850000005</v>
      </c>
      <c r="AE134" s="67">
        <f t="shared" si="19"/>
        <v>0</v>
      </c>
      <c r="AF134" s="28">
        <f t="shared" si="20"/>
        <v>24434129.850000009</v>
      </c>
      <c r="AG134" s="28">
        <f t="shared" si="21"/>
        <v>23722.456165048552</v>
      </c>
    </row>
    <row r="135" spans="1:33" ht="57.6" x14ac:dyDescent="0.3">
      <c r="A135" s="41" t="s">
        <v>836</v>
      </c>
      <c r="B135" s="41" t="s">
        <v>992</v>
      </c>
      <c r="C135" s="41" t="s">
        <v>1011</v>
      </c>
      <c r="D135" s="41" t="s">
        <v>1038</v>
      </c>
      <c r="E135" s="41" t="s">
        <v>159</v>
      </c>
      <c r="F135" s="41" t="s">
        <v>709</v>
      </c>
      <c r="G135" s="67">
        <v>35000</v>
      </c>
      <c r="H135" s="41">
        <v>25</v>
      </c>
      <c r="I135" s="41">
        <v>5</v>
      </c>
      <c r="J135" s="67">
        <f t="shared" si="12"/>
        <v>4375000</v>
      </c>
      <c r="K135" s="41">
        <v>0</v>
      </c>
      <c r="L135" s="41">
        <v>0</v>
      </c>
      <c r="M135" s="67">
        <f t="shared" ref="M135:M191" si="22">(G135*1.1)*K135*L135</f>
        <v>0</v>
      </c>
      <c r="N135" s="41">
        <v>25</v>
      </c>
      <c r="O135" s="41">
        <v>5</v>
      </c>
      <c r="P135" s="67">
        <f t="shared" ref="P135:P191" si="23">($G135*1.1^2)*N135*O135</f>
        <v>5293750.0000000009</v>
      </c>
      <c r="Q135" s="41">
        <v>0</v>
      </c>
      <c r="R135" s="41">
        <v>0</v>
      </c>
      <c r="S135" s="67">
        <f t="shared" ref="S135:S191" si="24">($G135*1.1^3)*Q135*R135</f>
        <v>0</v>
      </c>
      <c r="T135" s="41">
        <v>25</v>
      </c>
      <c r="U135" s="41">
        <v>5</v>
      </c>
      <c r="V135" s="67">
        <f t="shared" ref="V135:V191" si="25">($G135*1.1^4)*T135*U135</f>
        <v>6405437.5000000019</v>
      </c>
      <c r="Y135" s="67">
        <f t="shared" ref="Y135:Y191" si="26">($G135*1.1^5)*W135*X135</f>
        <v>0</v>
      </c>
      <c r="Z135" s="41">
        <v>25</v>
      </c>
      <c r="AA135" s="41">
        <v>5</v>
      </c>
      <c r="AB135" s="67">
        <f t="shared" ref="AB135:AB191" si="27">($G135*1.1^6)*Z135*AA135</f>
        <v>7750579.3750000037</v>
      </c>
      <c r="AE135" s="67">
        <f t="shared" ref="AE135:AE191" si="28">($G135*1.1^7)*AC135*AD135</f>
        <v>0</v>
      </c>
      <c r="AF135" s="28">
        <f t="shared" si="20"/>
        <v>23824766.875000007</v>
      </c>
      <c r="AG135" s="28">
        <f t="shared" si="21"/>
        <v>23130.841626213598</v>
      </c>
    </row>
    <row r="136" spans="1:33" ht="57.6" x14ac:dyDescent="0.3">
      <c r="A136" s="41" t="s">
        <v>836</v>
      </c>
      <c r="B136" s="41" t="s">
        <v>992</v>
      </c>
      <c r="C136" s="41" t="s">
        <v>1011</v>
      </c>
      <c r="D136" s="41" t="s">
        <v>1038</v>
      </c>
      <c r="E136" s="41" t="s">
        <v>159</v>
      </c>
      <c r="F136" s="41" t="s">
        <v>712</v>
      </c>
      <c r="G136" s="67">
        <f>1999.2/7</f>
        <v>285.60000000000002</v>
      </c>
      <c r="H136" s="41">
        <f>2*25*9</f>
        <v>450</v>
      </c>
      <c r="I136" s="41">
        <v>5</v>
      </c>
      <c r="J136" s="67">
        <f t="shared" si="12"/>
        <v>642600.00000000012</v>
      </c>
      <c r="K136" s="41">
        <v>0</v>
      </c>
      <c r="L136" s="41">
        <v>0</v>
      </c>
      <c r="M136" s="67">
        <f t="shared" si="22"/>
        <v>0</v>
      </c>
      <c r="N136" s="41">
        <f>2*25*9</f>
        <v>450</v>
      </c>
      <c r="O136" s="41">
        <v>5</v>
      </c>
      <c r="P136" s="67">
        <f t="shared" si="23"/>
        <v>777546.00000000023</v>
      </c>
      <c r="Q136" s="41">
        <v>0</v>
      </c>
      <c r="R136" s="41">
        <v>0</v>
      </c>
      <c r="S136" s="67">
        <f t="shared" si="24"/>
        <v>0</v>
      </c>
      <c r="T136" s="41">
        <v>25</v>
      </c>
      <c r="U136" s="41">
        <v>5</v>
      </c>
      <c r="V136" s="67">
        <f t="shared" si="25"/>
        <v>52268.370000000024</v>
      </c>
      <c r="Y136" s="67">
        <f t="shared" si="26"/>
        <v>0</v>
      </c>
      <c r="Z136" s="41">
        <f>2*25*9</f>
        <v>450</v>
      </c>
      <c r="AA136" s="41">
        <v>5</v>
      </c>
      <c r="AB136" s="67">
        <f t="shared" si="27"/>
        <v>1138405.0986000006</v>
      </c>
      <c r="AE136" s="67">
        <f t="shared" si="28"/>
        <v>0</v>
      </c>
      <c r="AF136" s="28">
        <f t="shared" si="20"/>
        <v>2610819.4686000012</v>
      </c>
      <c r="AG136" s="28">
        <f t="shared" si="21"/>
        <v>2534.7761831067974</v>
      </c>
    </row>
    <row r="137" spans="1:33" ht="57.6" x14ac:dyDescent="0.3">
      <c r="A137" s="41" t="s">
        <v>836</v>
      </c>
      <c r="B137" s="41" t="s">
        <v>992</v>
      </c>
      <c r="C137" s="41" t="s">
        <v>1011</v>
      </c>
      <c r="D137" s="41" t="s">
        <v>1038</v>
      </c>
      <c r="E137" s="41" t="s">
        <v>159</v>
      </c>
      <c r="F137" s="41" t="s">
        <v>1299</v>
      </c>
      <c r="G137" s="67">
        <f>1999.2/7</f>
        <v>285.60000000000002</v>
      </c>
      <c r="H137" s="41">
        <f>2*135*9</f>
        <v>2430</v>
      </c>
      <c r="I137" s="41">
        <v>1</v>
      </c>
      <c r="J137" s="67">
        <f>G137*H137*I137</f>
        <v>694008</v>
      </c>
      <c r="K137" s="41"/>
      <c r="L137" s="41"/>
      <c r="M137" s="67">
        <f t="shared" si="22"/>
        <v>0</v>
      </c>
      <c r="N137" s="41">
        <f>2*135*9</f>
        <v>2430</v>
      </c>
      <c r="O137" s="41">
        <v>1</v>
      </c>
      <c r="P137" s="67">
        <f t="shared" si="23"/>
        <v>839749.68000000017</v>
      </c>
      <c r="Q137" s="41"/>
      <c r="R137" s="41"/>
      <c r="S137" s="67">
        <f t="shared" si="24"/>
        <v>0</v>
      </c>
      <c r="T137" s="41"/>
      <c r="U137" s="41"/>
      <c r="V137" s="67">
        <f t="shared" si="25"/>
        <v>0</v>
      </c>
      <c r="Y137" s="67">
        <f t="shared" si="26"/>
        <v>0</v>
      </c>
      <c r="Z137" s="41">
        <f>2*135*9</f>
        <v>2430</v>
      </c>
      <c r="AA137" s="41">
        <v>1</v>
      </c>
      <c r="AB137" s="67">
        <f t="shared" si="27"/>
        <v>1229477.5064880007</v>
      </c>
      <c r="AE137" s="67">
        <f t="shared" si="28"/>
        <v>0</v>
      </c>
      <c r="AF137" s="28">
        <f t="shared" si="20"/>
        <v>2763235.1864880007</v>
      </c>
      <c r="AG137" s="28">
        <f t="shared" si="21"/>
        <v>2682.7526082407771</v>
      </c>
    </row>
    <row r="138" spans="1:33" ht="57.6" x14ac:dyDescent="0.3">
      <c r="A138" s="41" t="s">
        <v>836</v>
      </c>
      <c r="B138" s="41" t="s">
        <v>992</v>
      </c>
      <c r="C138" s="41" t="s">
        <v>1011</v>
      </c>
      <c r="D138" s="41" t="s">
        <v>1038</v>
      </c>
      <c r="E138" s="41" t="s">
        <v>1042</v>
      </c>
      <c r="F138" s="41" t="s">
        <v>716</v>
      </c>
      <c r="G138" s="67">
        <v>39000</v>
      </c>
      <c r="H138" s="41">
        <v>25</v>
      </c>
      <c r="I138" s="41">
        <v>6</v>
      </c>
      <c r="J138" s="67">
        <f t="shared" si="12"/>
        <v>5850000</v>
      </c>
      <c r="K138" s="41">
        <v>0</v>
      </c>
      <c r="L138" s="41">
        <v>0</v>
      </c>
      <c r="M138" s="67">
        <f t="shared" si="22"/>
        <v>0</v>
      </c>
      <c r="N138" s="41">
        <v>25</v>
      </c>
      <c r="O138" s="41">
        <v>6</v>
      </c>
      <c r="P138" s="67">
        <f t="shared" si="23"/>
        <v>7078500.0000000019</v>
      </c>
      <c r="Q138" s="41">
        <v>0</v>
      </c>
      <c r="R138" s="41">
        <v>0</v>
      </c>
      <c r="S138" s="67">
        <f t="shared" si="24"/>
        <v>0</v>
      </c>
      <c r="T138" s="41">
        <v>4000</v>
      </c>
      <c r="U138" s="41">
        <v>1</v>
      </c>
      <c r="V138" s="67">
        <f t="shared" si="25"/>
        <v>228399600.00000006</v>
      </c>
      <c r="Y138" s="67">
        <f t="shared" si="26"/>
        <v>0</v>
      </c>
      <c r="Z138" s="41">
        <v>25</v>
      </c>
      <c r="AA138" s="41">
        <v>6</v>
      </c>
      <c r="AB138" s="67">
        <f t="shared" si="27"/>
        <v>10363631.850000005</v>
      </c>
      <c r="AE138" s="67">
        <f t="shared" si="28"/>
        <v>0</v>
      </c>
      <c r="AF138" s="28">
        <f t="shared" si="20"/>
        <v>251691731.85000005</v>
      </c>
      <c r="AG138" s="28">
        <f t="shared" si="21"/>
        <v>244360.90470873791</v>
      </c>
    </row>
    <row r="139" spans="1:33" ht="57.6" x14ac:dyDescent="0.3">
      <c r="A139" s="41" t="s">
        <v>836</v>
      </c>
      <c r="B139" s="41" t="s">
        <v>992</v>
      </c>
      <c r="C139" s="41" t="s">
        <v>1011</v>
      </c>
      <c r="D139" s="41" t="s">
        <v>1038</v>
      </c>
      <c r="E139" s="41" t="s">
        <v>181</v>
      </c>
      <c r="F139" s="41" t="s">
        <v>709</v>
      </c>
      <c r="G139" s="67">
        <v>35000</v>
      </c>
      <c r="H139" s="41">
        <v>100</v>
      </c>
      <c r="I139" s="41">
        <v>5</v>
      </c>
      <c r="J139" s="67">
        <f t="shared" si="12"/>
        <v>17500000</v>
      </c>
      <c r="K139" s="41">
        <v>0</v>
      </c>
      <c r="L139" s="41">
        <v>0</v>
      </c>
      <c r="M139" s="67">
        <f t="shared" si="22"/>
        <v>0</v>
      </c>
      <c r="N139" s="41">
        <v>100</v>
      </c>
      <c r="O139" s="41">
        <v>5</v>
      </c>
      <c r="P139" s="67">
        <f t="shared" si="23"/>
        <v>21175000.000000004</v>
      </c>
      <c r="Q139" s="41">
        <v>0</v>
      </c>
      <c r="R139" s="41">
        <v>0</v>
      </c>
      <c r="S139" s="67">
        <f t="shared" si="24"/>
        <v>0</v>
      </c>
      <c r="T139" s="41">
        <v>25</v>
      </c>
      <c r="U139" s="41">
        <v>5</v>
      </c>
      <c r="V139" s="67">
        <f t="shared" si="25"/>
        <v>6405437.5000000019</v>
      </c>
      <c r="Y139" s="67">
        <f t="shared" si="26"/>
        <v>0</v>
      </c>
      <c r="Z139" s="41">
        <v>100</v>
      </c>
      <c r="AA139" s="41">
        <v>5</v>
      </c>
      <c r="AB139" s="67">
        <f t="shared" si="27"/>
        <v>31002317.500000015</v>
      </c>
      <c r="AE139" s="67">
        <f t="shared" si="28"/>
        <v>0</v>
      </c>
      <c r="AF139" s="28">
        <f t="shared" si="20"/>
        <v>76082755.000000015</v>
      </c>
      <c r="AG139" s="28">
        <f t="shared" si="21"/>
        <v>73866.752427184474</v>
      </c>
    </row>
    <row r="140" spans="1:33" ht="57.6" x14ac:dyDescent="0.3">
      <c r="A140" s="41" t="s">
        <v>836</v>
      </c>
      <c r="B140" s="41" t="s">
        <v>992</v>
      </c>
      <c r="C140" s="41" t="s">
        <v>1011</v>
      </c>
      <c r="D140" s="41" t="s">
        <v>1038</v>
      </c>
      <c r="E140" s="41" t="s">
        <v>181</v>
      </c>
      <c r="F140" s="41" t="s">
        <v>712</v>
      </c>
      <c r="G140" s="67">
        <f>1999.2/7</f>
        <v>285.60000000000002</v>
      </c>
      <c r="H140" s="41">
        <f>2*25*29</f>
        <v>1450</v>
      </c>
      <c r="I140" s="41">
        <v>5</v>
      </c>
      <c r="J140" s="67">
        <f t="shared" ref="J140:J191" si="29">G140*H140*I140</f>
        <v>2070600.0000000002</v>
      </c>
      <c r="K140" s="41">
        <v>0</v>
      </c>
      <c r="L140" s="41">
        <v>0</v>
      </c>
      <c r="M140" s="67">
        <f t="shared" si="22"/>
        <v>0</v>
      </c>
      <c r="N140" s="41">
        <f>2*25*29</f>
        <v>1450</v>
      </c>
      <c r="O140" s="41">
        <v>5</v>
      </c>
      <c r="P140" s="67">
        <f t="shared" si="23"/>
        <v>2505426.0000000005</v>
      </c>
      <c r="Q140" s="41">
        <v>0</v>
      </c>
      <c r="R140" s="41">
        <v>0</v>
      </c>
      <c r="S140" s="67">
        <f t="shared" si="24"/>
        <v>0</v>
      </c>
      <c r="T140" s="41">
        <v>50</v>
      </c>
      <c r="U140" s="41">
        <v>1</v>
      </c>
      <c r="V140" s="67">
        <f t="shared" si="25"/>
        <v>20907.348000000009</v>
      </c>
      <c r="Y140" s="67">
        <f t="shared" si="26"/>
        <v>0</v>
      </c>
      <c r="Z140" s="41">
        <f>2*25*29</f>
        <v>1450</v>
      </c>
      <c r="AA140" s="41">
        <v>5</v>
      </c>
      <c r="AB140" s="67">
        <f t="shared" si="27"/>
        <v>3668194.206600002</v>
      </c>
      <c r="AE140" s="67">
        <f t="shared" si="28"/>
        <v>0</v>
      </c>
      <c r="AF140" s="28">
        <f t="shared" si="20"/>
        <v>8265127.5546000032</v>
      </c>
      <c r="AG140" s="28">
        <f t="shared" si="21"/>
        <v>8024.3956840776727</v>
      </c>
    </row>
    <row r="141" spans="1:33" ht="57.6" x14ac:dyDescent="0.3">
      <c r="A141" s="41" t="s">
        <v>836</v>
      </c>
      <c r="B141" s="41" t="s">
        <v>992</v>
      </c>
      <c r="C141" s="41" t="s">
        <v>1011</v>
      </c>
      <c r="D141" s="41" t="s">
        <v>1038</v>
      </c>
      <c r="E141" s="41" t="s">
        <v>181</v>
      </c>
      <c r="F141" s="41" t="s">
        <v>1299</v>
      </c>
      <c r="G141" s="67">
        <f>1999.2/7</f>
        <v>285.60000000000002</v>
      </c>
      <c r="H141" s="41">
        <v>22500</v>
      </c>
      <c r="I141" s="41">
        <v>1</v>
      </c>
      <c r="J141" s="67">
        <f>G141*H141*I141</f>
        <v>6426000.0000000009</v>
      </c>
      <c r="K141" s="41"/>
      <c r="L141" s="41"/>
      <c r="M141" s="67">
        <f t="shared" si="22"/>
        <v>0</v>
      </c>
      <c r="N141" s="41">
        <v>22500</v>
      </c>
      <c r="O141" s="41">
        <v>1</v>
      </c>
      <c r="P141" s="67">
        <f t="shared" si="23"/>
        <v>7775460.0000000019</v>
      </c>
      <c r="Q141" s="41"/>
      <c r="R141" s="41"/>
      <c r="S141" s="67">
        <f t="shared" si="24"/>
        <v>0</v>
      </c>
      <c r="T141" s="41"/>
      <c r="U141" s="41"/>
      <c r="V141" s="67">
        <f t="shared" si="25"/>
        <v>0</v>
      </c>
      <c r="Y141" s="67">
        <f t="shared" si="26"/>
        <v>0</v>
      </c>
      <c r="Z141" s="41">
        <v>22500</v>
      </c>
      <c r="AA141" s="41">
        <v>1</v>
      </c>
      <c r="AB141" s="67">
        <f t="shared" si="27"/>
        <v>11384050.986000007</v>
      </c>
      <c r="AE141" s="67">
        <f t="shared" si="28"/>
        <v>0</v>
      </c>
      <c r="AF141" s="28">
        <f t="shared" si="20"/>
        <v>25585510.986000009</v>
      </c>
      <c r="AG141" s="28">
        <f t="shared" si="21"/>
        <v>24840.30192815535</v>
      </c>
    </row>
    <row r="142" spans="1:33" ht="57.6" x14ac:dyDescent="0.3">
      <c r="A142" s="41" t="s">
        <v>836</v>
      </c>
      <c r="B142" s="41" t="s">
        <v>992</v>
      </c>
      <c r="C142" s="41" t="s">
        <v>1011</v>
      </c>
      <c r="D142" s="41" t="s">
        <v>1038</v>
      </c>
      <c r="E142" s="41" t="s">
        <v>181</v>
      </c>
      <c r="F142" s="41" t="s">
        <v>716</v>
      </c>
      <c r="G142" s="67">
        <v>39000</v>
      </c>
      <c r="H142" s="41">
        <v>58</v>
      </c>
      <c r="I142" s="41">
        <v>6</v>
      </c>
      <c r="J142" s="67">
        <f t="shared" si="29"/>
        <v>13572000</v>
      </c>
      <c r="K142" s="41">
        <v>0</v>
      </c>
      <c r="L142" s="41">
        <v>0</v>
      </c>
      <c r="M142" s="67">
        <f t="shared" si="22"/>
        <v>0</v>
      </c>
      <c r="N142" s="41">
        <v>58</v>
      </c>
      <c r="O142" s="41">
        <v>6</v>
      </c>
      <c r="P142" s="67">
        <f t="shared" si="23"/>
        <v>16422120.000000004</v>
      </c>
      <c r="Q142" s="41">
        <v>0</v>
      </c>
      <c r="R142" s="41">
        <v>0</v>
      </c>
      <c r="S142" s="67">
        <f t="shared" si="24"/>
        <v>0</v>
      </c>
      <c r="T142" s="41">
        <v>4000</v>
      </c>
      <c r="U142" s="41">
        <v>1</v>
      </c>
      <c r="V142" s="67">
        <f t="shared" si="25"/>
        <v>228399600.00000006</v>
      </c>
      <c r="Y142" s="67">
        <f t="shared" si="26"/>
        <v>0</v>
      </c>
      <c r="Z142" s="41">
        <v>58</v>
      </c>
      <c r="AA142" s="41">
        <v>6</v>
      </c>
      <c r="AB142" s="67">
        <f t="shared" si="27"/>
        <v>24043625.892000012</v>
      </c>
      <c r="AE142" s="67">
        <f t="shared" si="28"/>
        <v>0</v>
      </c>
      <c r="AF142" s="28">
        <f t="shared" si="20"/>
        <v>282437345.89200008</v>
      </c>
      <c r="AG142" s="28">
        <f t="shared" si="21"/>
        <v>274211.01542912627</v>
      </c>
    </row>
    <row r="143" spans="1:33" ht="57.6" x14ac:dyDescent="0.3">
      <c r="A143" s="41" t="s">
        <v>836</v>
      </c>
      <c r="B143" s="41" t="s">
        <v>992</v>
      </c>
      <c r="C143" s="41" t="s">
        <v>1011</v>
      </c>
      <c r="D143" s="41" t="s">
        <v>1038</v>
      </c>
      <c r="E143" s="41" t="s">
        <v>1043</v>
      </c>
      <c r="F143" s="41" t="s">
        <v>711</v>
      </c>
      <c r="G143" s="67">
        <v>8000</v>
      </c>
      <c r="H143" s="41">
        <v>10</v>
      </c>
      <c r="I143" s="41">
        <v>1</v>
      </c>
      <c r="J143" s="67">
        <f t="shared" si="29"/>
        <v>80000</v>
      </c>
      <c r="K143" s="41">
        <v>0</v>
      </c>
      <c r="L143" s="41">
        <v>0</v>
      </c>
      <c r="M143" s="67">
        <f t="shared" si="22"/>
        <v>0</v>
      </c>
      <c r="N143" s="41">
        <v>10</v>
      </c>
      <c r="O143" s="41">
        <v>1</v>
      </c>
      <c r="P143" s="67">
        <f t="shared" si="23"/>
        <v>96800.000000000015</v>
      </c>
      <c r="Q143" s="41">
        <v>0</v>
      </c>
      <c r="R143" s="41">
        <v>0</v>
      </c>
      <c r="S143" s="67">
        <f t="shared" si="24"/>
        <v>0</v>
      </c>
      <c r="T143" s="41">
        <v>10</v>
      </c>
      <c r="U143" s="41">
        <v>2</v>
      </c>
      <c r="V143" s="67">
        <f t="shared" si="25"/>
        <v>234256.00000000006</v>
      </c>
      <c r="Y143" s="67">
        <f t="shared" si="26"/>
        <v>0</v>
      </c>
      <c r="Z143" s="41">
        <v>10</v>
      </c>
      <c r="AA143" s="41">
        <v>1</v>
      </c>
      <c r="AB143" s="67">
        <f t="shared" si="27"/>
        <v>141724.88000000006</v>
      </c>
      <c r="AE143" s="67">
        <f t="shared" si="28"/>
        <v>0</v>
      </c>
      <c r="AF143" s="28">
        <f t="shared" si="20"/>
        <v>552780.88000000012</v>
      </c>
      <c r="AG143" s="28">
        <f t="shared" si="21"/>
        <v>536.68046601941762</v>
      </c>
    </row>
    <row r="144" spans="1:33" ht="57.6" x14ac:dyDescent="0.3">
      <c r="A144" s="41" t="s">
        <v>836</v>
      </c>
      <c r="B144" s="41" t="s">
        <v>992</v>
      </c>
      <c r="C144" s="41" t="s">
        <v>1011</v>
      </c>
      <c r="D144" s="41" t="s">
        <v>1038</v>
      </c>
      <c r="E144" s="41" t="s">
        <v>1043</v>
      </c>
      <c r="F144" s="41" t="s">
        <v>710</v>
      </c>
      <c r="G144" s="67">
        <v>104850</v>
      </c>
      <c r="H144" s="41">
        <v>1</v>
      </c>
      <c r="I144" s="41">
        <v>1</v>
      </c>
      <c r="J144" s="67">
        <f t="shared" si="29"/>
        <v>104850</v>
      </c>
      <c r="K144" s="41">
        <v>0</v>
      </c>
      <c r="L144" s="41">
        <v>0</v>
      </c>
      <c r="M144" s="67">
        <f t="shared" si="22"/>
        <v>0</v>
      </c>
      <c r="N144" s="41">
        <v>1</v>
      </c>
      <c r="O144" s="41">
        <v>1</v>
      </c>
      <c r="P144" s="67">
        <f t="shared" si="23"/>
        <v>126868.50000000001</v>
      </c>
      <c r="Q144" s="41">
        <v>0</v>
      </c>
      <c r="R144" s="41">
        <v>0</v>
      </c>
      <c r="S144" s="67">
        <f t="shared" si="24"/>
        <v>0</v>
      </c>
      <c r="T144" s="41">
        <v>50000</v>
      </c>
      <c r="U144" s="41">
        <v>1</v>
      </c>
      <c r="V144" s="67">
        <f t="shared" si="25"/>
        <v>7675544250.0000019</v>
      </c>
      <c r="Y144" s="67">
        <f t="shared" si="26"/>
        <v>0</v>
      </c>
      <c r="Z144" s="41">
        <v>1</v>
      </c>
      <c r="AA144" s="41">
        <v>1</v>
      </c>
      <c r="AB144" s="67">
        <f t="shared" si="27"/>
        <v>185748.17085000008</v>
      </c>
      <c r="AE144" s="67">
        <f t="shared" si="28"/>
        <v>0</v>
      </c>
      <c r="AF144" s="28">
        <f t="shared" si="20"/>
        <v>7675961716.6708517</v>
      </c>
      <c r="AG144" s="28">
        <f t="shared" si="21"/>
        <v>7452390.016185293</v>
      </c>
    </row>
    <row r="145" spans="1:33" ht="57.6" x14ac:dyDescent="0.3">
      <c r="A145" s="41" t="s">
        <v>836</v>
      </c>
      <c r="B145" s="41" t="s">
        <v>992</v>
      </c>
      <c r="C145" s="41" t="s">
        <v>1011</v>
      </c>
      <c r="D145" s="41" t="s">
        <v>1038</v>
      </c>
      <c r="E145" s="41" t="s">
        <v>1043</v>
      </c>
      <c r="F145" s="41" t="s">
        <v>709</v>
      </c>
      <c r="G145" s="67">
        <v>35000</v>
      </c>
      <c r="H145" s="41">
        <v>100</v>
      </c>
      <c r="I145" s="41">
        <v>1</v>
      </c>
      <c r="J145" s="67">
        <f t="shared" si="29"/>
        <v>3500000</v>
      </c>
      <c r="K145" s="41">
        <v>0</v>
      </c>
      <c r="L145" s="41">
        <v>0</v>
      </c>
      <c r="M145" s="67">
        <f t="shared" si="22"/>
        <v>0</v>
      </c>
      <c r="N145" s="41">
        <v>100</v>
      </c>
      <c r="O145" s="41">
        <v>1</v>
      </c>
      <c r="P145" s="67">
        <f t="shared" si="23"/>
        <v>4235000.0000000009</v>
      </c>
      <c r="Q145" s="41">
        <v>0</v>
      </c>
      <c r="R145" s="41">
        <v>0</v>
      </c>
      <c r="S145" s="67">
        <f t="shared" si="24"/>
        <v>0</v>
      </c>
      <c r="T145" s="41">
        <v>5</v>
      </c>
      <c r="U145" s="41">
        <v>1</v>
      </c>
      <c r="V145" s="67">
        <f t="shared" si="25"/>
        <v>256217.50000000006</v>
      </c>
      <c r="Y145" s="67">
        <f t="shared" si="26"/>
        <v>0</v>
      </c>
      <c r="Z145" s="41">
        <v>100</v>
      </c>
      <c r="AA145" s="41">
        <v>1</v>
      </c>
      <c r="AB145" s="67">
        <f t="shared" si="27"/>
        <v>6200463.5000000028</v>
      </c>
      <c r="AE145" s="67">
        <f t="shared" si="28"/>
        <v>0</v>
      </c>
      <c r="AF145" s="28">
        <f t="shared" si="20"/>
        <v>14191681.000000004</v>
      </c>
      <c r="AG145" s="28">
        <f t="shared" si="21"/>
        <v>13778.33106796117</v>
      </c>
    </row>
    <row r="146" spans="1:33" ht="57.6" x14ac:dyDescent="0.3">
      <c r="A146" s="41" t="s">
        <v>836</v>
      </c>
      <c r="B146" s="41" t="s">
        <v>992</v>
      </c>
      <c r="C146" s="41" t="s">
        <v>1011</v>
      </c>
      <c r="D146" s="41" t="s">
        <v>1038</v>
      </c>
      <c r="E146" s="41" t="s">
        <v>1043</v>
      </c>
      <c r="F146" s="41" t="s">
        <v>712</v>
      </c>
      <c r="G146" s="67">
        <f>1999.2/7</f>
        <v>285.60000000000002</v>
      </c>
      <c r="H146" s="41">
        <f>2*25*29</f>
        <v>1450</v>
      </c>
      <c r="I146" s="41">
        <v>1</v>
      </c>
      <c r="J146" s="67">
        <f t="shared" si="29"/>
        <v>414120.00000000006</v>
      </c>
      <c r="K146" s="41">
        <v>0</v>
      </c>
      <c r="L146" s="41">
        <v>0</v>
      </c>
      <c r="M146" s="67">
        <f t="shared" si="22"/>
        <v>0</v>
      </c>
      <c r="N146" s="41">
        <f>2*25*29</f>
        <v>1450</v>
      </c>
      <c r="O146" s="41">
        <v>1</v>
      </c>
      <c r="P146" s="67">
        <f t="shared" si="23"/>
        <v>501085.20000000013</v>
      </c>
      <c r="Q146" s="41">
        <v>0</v>
      </c>
      <c r="R146" s="41">
        <v>0</v>
      </c>
      <c r="S146" s="67">
        <f t="shared" si="24"/>
        <v>0</v>
      </c>
      <c r="T146" s="41">
        <v>100</v>
      </c>
      <c r="U146" s="41">
        <v>1</v>
      </c>
      <c r="V146" s="67">
        <f t="shared" si="25"/>
        <v>41814.696000000018</v>
      </c>
      <c r="Y146" s="67">
        <f t="shared" si="26"/>
        <v>0</v>
      </c>
      <c r="Z146" s="41">
        <f>2*25*29</f>
        <v>1450</v>
      </c>
      <c r="AA146" s="41">
        <v>1</v>
      </c>
      <c r="AB146" s="67">
        <f t="shared" si="27"/>
        <v>733638.84132000036</v>
      </c>
      <c r="AE146" s="67">
        <f t="shared" si="28"/>
        <v>0</v>
      </c>
      <c r="AF146" s="28">
        <f t="shared" si="20"/>
        <v>1690658.7373200005</v>
      </c>
      <c r="AG146" s="28">
        <f t="shared" si="21"/>
        <v>1641.4162498252433</v>
      </c>
    </row>
    <row r="147" spans="1:33" s="62" customFormat="1" ht="57.6" x14ac:dyDescent="0.3">
      <c r="A147" s="41" t="s">
        <v>836</v>
      </c>
      <c r="B147" s="41" t="s">
        <v>992</v>
      </c>
      <c r="C147" s="41" t="s">
        <v>1011</v>
      </c>
      <c r="D147" s="41" t="s">
        <v>1038</v>
      </c>
      <c r="E147" s="41" t="s">
        <v>1043</v>
      </c>
      <c r="F147" s="41" t="s">
        <v>1299</v>
      </c>
      <c r="G147" s="67">
        <f>1999.2/7</f>
        <v>285.60000000000002</v>
      </c>
      <c r="H147" s="41">
        <v>22500</v>
      </c>
      <c r="I147" s="41">
        <v>1</v>
      </c>
      <c r="J147" s="67">
        <f>G147*H147*I147</f>
        <v>6426000.0000000009</v>
      </c>
      <c r="K147" s="41"/>
      <c r="L147" s="41"/>
      <c r="M147" s="67">
        <f t="shared" si="22"/>
        <v>0</v>
      </c>
      <c r="N147" s="41">
        <v>22500</v>
      </c>
      <c r="O147" s="41">
        <v>1</v>
      </c>
      <c r="P147" s="67">
        <f t="shared" si="23"/>
        <v>7775460.0000000019</v>
      </c>
      <c r="Q147" s="41"/>
      <c r="R147" s="41"/>
      <c r="S147" s="67">
        <f t="shared" si="24"/>
        <v>0</v>
      </c>
      <c r="T147" s="41"/>
      <c r="U147" s="41"/>
      <c r="V147" s="67">
        <f t="shared" si="25"/>
        <v>0</v>
      </c>
      <c r="W147"/>
      <c r="X147"/>
      <c r="Y147" s="67">
        <f t="shared" si="26"/>
        <v>0</v>
      </c>
      <c r="Z147" s="41">
        <v>22500</v>
      </c>
      <c r="AA147" s="41">
        <v>1</v>
      </c>
      <c r="AB147" s="67">
        <f t="shared" si="27"/>
        <v>11384050.986000007</v>
      </c>
      <c r="AC147"/>
      <c r="AD147"/>
      <c r="AE147" s="67">
        <f t="shared" si="28"/>
        <v>0</v>
      </c>
      <c r="AF147" s="28">
        <f t="shared" si="20"/>
        <v>25585510.986000009</v>
      </c>
      <c r="AG147" s="28">
        <f t="shared" si="21"/>
        <v>24840.30192815535</v>
      </c>
    </row>
    <row r="148" spans="1:33" ht="57.6" x14ac:dyDescent="0.3">
      <c r="A148" s="41" t="s">
        <v>836</v>
      </c>
      <c r="B148" s="41" t="s">
        <v>992</v>
      </c>
      <c r="C148" s="41" t="s">
        <v>1011</v>
      </c>
      <c r="D148" s="41" t="s">
        <v>1038</v>
      </c>
      <c r="E148" s="41" t="s">
        <v>1044</v>
      </c>
      <c r="F148" s="41" t="s">
        <v>841</v>
      </c>
      <c r="G148" s="67">
        <v>0</v>
      </c>
      <c r="H148" s="41">
        <v>0</v>
      </c>
      <c r="I148" s="41">
        <v>0</v>
      </c>
      <c r="J148" s="67">
        <f t="shared" si="29"/>
        <v>0</v>
      </c>
      <c r="K148" s="41">
        <v>0</v>
      </c>
      <c r="L148" s="41">
        <v>0</v>
      </c>
      <c r="M148" s="67">
        <f t="shared" si="22"/>
        <v>0</v>
      </c>
      <c r="N148" s="41">
        <v>0</v>
      </c>
      <c r="O148" s="41">
        <v>0</v>
      </c>
      <c r="P148" s="67">
        <f t="shared" si="23"/>
        <v>0</v>
      </c>
      <c r="Q148" s="41">
        <v>0</v>
      </c>
      <c r="R148" s="41">
        <v>0</v>
      </c>
      <c r="S148" s="67">
        <f t="shared" si="24"/>
        <v>0</v>
      </c>
      <c r="T148" s="41">
        <v>20000</v>
      </c>
      <c r="U148" s="41">
        <v>1</v>
      </c>
      <c r="V148" s="67">
        <f t="shared" si="25"/>
        <v>0</v>
      </c>
      <c r="Y148" s="67">
        <f t="shared" si="26"/>
        <v>0</v>
      </c>
      <c r="Z148" s="41">
        <v>0</v>
      </c>
      <c r="AA148" s="41">
        <v>0</v>
      </c>
      <c r="AB148" s="67">
        <f t="shared" si="27"/>
        <v>0</v>
      </c>
      <c r="AE148" s="67">
        <f t="shared" si="28"/>
        <v>0</v>
      </c>
      <c r="AF148" s="28">
        <f t="shared" si="20"/>
        <v>0</v>
      </c>
      <c r="AG148" s="28">
        <f t="shared" si="21"/>
        <v>0</v>
      </c>
    </row>
    <row r="149" spans="1:33" ht="57.6" x14ac:dyDescent="0.3">
      <c r="A149" s="41" t="s">
        <v>836</v>
      </c>
      <c r="B149" s="41" t="s">
        <v>992</v>
      </c>
      <c r="C149" s="41" t="s">
        <v>1011</v>
      </c>
      <c r="D149" s="41" t="s">
        <v>1038</v>
      </c>
      <c r="E149" s="41" t="s">
        <v>1045</v>
      </c>
      <c r="F149" s="41" t="s">
        <v>709</v>
      </c>
      <c r="G149" s="67">
        <v>35000</v>
      </c>
      <c r="H149" s="41">
        <v>25</v>
      </c>
      <c r="I149" s="41">
        <v>5</v>
      </c>
      <c r="J149" s="67">
        <f t="shared" si="29"/>
        <v>4375000</v>
      </c>
      <c r="K149" s="41">
        <v>0</v>
      </c>
      <c r="L149" s="41">
        <v>0</v>
      </c>
      <c r="M149" s="67">
        <f t="shared" si="22"/>
        <v>0</v>
      </c>
      <c r="N149" s="41">
        <v>25</v>
      </c>
      <c r="O149" s="41">
        <v>5</v>
      </c>
      <c r="P149" s="67">
        <f t="shared" si="23"/>
        <v>5293750.0000000009</v>
      </c>
      <c r="Q149" s="41">
        <v>0</v>
      </c>
      <c r="R149" s="41">
        <v>0</v>
      </c>
      <c r="S149" s="67">
        <f t="shared" si="24"/>
        <v>0</v>
      </c>
      <c r="T149" s="41">
        <v>0</v>
      </c>
      <c r="U149" s="41">
        <v>0</v>
      </c>
      <c r="V149" s="67">
        <f t="shared" si="25"/>
        <v>0</v>
      </c>
      <c r="Y149" s="67">
        <f t="shared" si="26"/>
        <v>0</v>
      </c>
      <c r="Z149" s="41">
        <v>25</v>
      </c>
      <c r="AA149" s="41">
        <v>5</v>
      </c>
      <c r="AB149" s="67">
        <f t="shared" si="27"/>
        <v>7750579.3750000037</v>
      </c>
      <c r="AE149" s="67">
        <f t="shared" si="28"/>
        <v>0</v>
      </c>
      <c r="AF149" s="28">
        <f t="shared" si="20"/>
        <v>17419329.375000004</v>
      </c>
      <c r="AG149" s="28">
        <f t="shared" si="21"/>
        <v>16911.970266990294</v>
      </c>
    </row>
    <row r="150" spans="1:33" ht="57.6" x14ac:dyDescent="0.3">
      <c r="A150" s="41" t="s">
        <v>836</v>
      </c>
      <c r="B150" s="41" t="s">
        <v>992</v>
      </c>
      <c r="C150" s="41" t="s">
        <v>1011</v>
      </c>
      <c r="D150" s="41" t="s">
        <v>1038</v>
      </c>
      <c r="E150" s="41" t="s">
        <v>1045</v>
      </c>
      <c r="F150" s="41" t="s">
        <v>716</v>
      </c>
      <c r="G150" s="67">
        <v>39000</v>
      </c>
      <c r="H150" s="41">
        <v>25</v>
      </c>
      <c r="I150" s="41">
        <v>6</v>
      </c>
      <c r="J150" s="67">
        <f t="shared" si="29"/>
        <v>5850000</v>
      </c>
      <c r="K150" s="41">
        <v>0</v>
      </c>
      <c r="L150" s="41">
        <v>0</v>
      </c>
      <c r="M150" s="67">
        <f t="shared" si="22"/>
        <v>0</v>
      </c>
      <c r="N150" s="41">
        <v>25</v>
      </c>
      <c r="O150" s="41">
        <v>6</v>
      </c>
      <c r="P150" s="67">
        <f t="shared" si="23"/>
        <v>7078500.0000000019</v>
      </c>
      <c r="Q150" s="41">
        <v>0</v>
      </c>
      <c r="R150" s="41">
        <v>0</v>
      </c>
      <c r="S150" s="67">
        <f t="shared" si="24"/>
        <v>0</v>
      </c>
      <c r="T150" s="41">
        <v>70</v>
      </c>
      <c r="U150" s="41">
        <v>1</v>
      </c>
      <c r="V150" s="67">
        <f t="shared" si="25"/>
        <v>3996993.0000000009</v>
      </c>
      <c r="Y150" s="67">
        <f t="shared" si="26"/>
        <v>0</v>
      </c>
      <c r="Z150" s="41">
        <v>25</v>
      </c>
      <c r="AA150" s="41">
        <v>6</v>
      </c>
      <c r="AB150" s="67">
        <f t="shared" si="27"/>
        <v>10363631.850000005</v>
      </c>
      <c r="AE150" s="67">
        <f t="shared" si="28"/>
        <v>0</v>
      </c>
      <c r="AF150" s="28">
        <f t="shared" si="20"/>
        <v>27289124.850000009</v>
      </c>
      <c r="AG150" s="28">
        <f t="shared" si="21"/>
        <v>26494.295970873794</v>
      </c>
    </row>
    <row r="151" spans="1:33" ht="57.6" x14ac:dyDescent="0.3">
      <c r="A151" s="41" t="s">
        <v>836</v>
      </c>
      <c r="B151" s="41" t="s">
        <v>992</v>
      </c>
      <c r="C151" s="41" t="s">
        <v>1011</v>
      </c>
      <c r="D151" s="41" t="s">
        <v>1038</v>
      </c>
      <c r="E151" s="41" t="s">
        <v>1045</v>
      </c>
      <c r="F151" s="41" t="s">
        <v>712</v>
      </c>
      <c r="G151" s="67">
        <f>1999.2/7</f>
        <v>285.60000000000002</v>
      </c>
      <c r="H151" s="41">
        <f>2*25*9</f>
        <v>450</v>
      </c>
      <c r="I151" s="41">
        <v>0</v>
      </c>
      <c r="J151" s="67">
        <f t="shared" si="29"/>
        <v>0</v>
      </c>
      <c r="K151" s="41">
        <v>0</v>
      </c>
      <c r="L151" s="41">
        <v>0</v>
      </c>
      <c r="M151" s="67">
        <f t="shared" si="22"/>
        <v>0</v>
      </c>
      <c r="N151" s="41">
        <f>2*25*9</f>
        <v>450</v>
      </c>
      <c r="O151" s="41">
        <v>0</v>
      </c>
      <c r="P151" s="67">
        <f t="shared" si="23"/>
        <v>0</v>
      </c>
      <c r="Q151" s="41">
        <v>0</v>
      </c>
      <c r="R151" s="41">
        <v>0</v>
      </c>
      <c r="S151" s="67">
        <f t="shared" si="24"/>
        <v>0</v>
      </c>
      <c r="T151" s="41">
        <v>70</v>
      </c>
      <c r="U151" s="41">
        <v>1</v>
      </c>
      <c r="V151" s="67">
        <f t="shared" si="25"/>
        <v>29270.28720000001</v>
      </c>
      <c r="Y151" s="67">
        <f t="shared" si="26"/>
        <v>0</v>
      </c>
      <c r="Z151" s="41">
        <f>2*25*9</f>
        <v>450</v>
      </c>
      <c r="AA151" s="41">
        <v>0</v>
      </c>
      <c r="AB151" s="67">
        <f t="shared" si="27"/>
        <v>0</v>
      </c>
      <c r="AE151" s="67">
        <f t="shared" si="28"/>
        <v>0</v>
      </c>
      <c r="AF151" s="28">
        <f t="shared" si="20"/>
        <v>29270.28720000001</v>
      </c>
      <c r="AG151" s="28">
        <f t="shared" si="21"/>
        <v>28.417754563106804</v>
      </c>
    </row>
    <row r="152" spans="1:33" ht="57.6" x14ac:dyDescent="0.3">
      <c r="A152" s="41" t="s">
        <v>836</v>
      </c>
      <c r="B152" s="41" t="s">
        <v>992</v>
      </c>
      <c r="C152" s="41" t="s">
        <v>1011</v>
      </c>
      <c r="D152" s="41" t="s">
        <v>1038</v>
      </c>
      <c r="E152" s="41" t="s">
        <v>1045</v>
      </c>
      <c r="F152" s="41" t="s">
        <v>1299</v>
      </c>
      <c r="G152" s="67">
        <f>1999.2/7</f>
        <v>285.60000000000002</v>
      </c>
      <c r="H152" s="41">
        <f>2*135*9</f>
        <v>2430</v>
      </c>
      <c r="I152" s="41">
        <v>1</v>
      </c>
      <c r="J152" s="67">
        <f>G152*H152*I152</f>
        <v>694008</v>
      </c>
      <c r="K152" s="41"/>
      <c r="L152" s="41"/>
      <c r="M152" s="67">
        <f t="shared" si="22"/>
        <v>0</v>
      </c>
      <c r="N152" s="41">
        <f>2*135*9</f>
        <v>2430</v>
      </c>
      <c r="O152" s="41">
        <v>1</v>
      </c>
      <c r="P152" s="67">
        <f t="shared" si="23"/>
        <v>839749.68000000017</v>
      </c>
      <c r="Q152" s="41"/>
      <c r="R152" s="41"/>
      <c r="S152" s="67">
        <f t="shared" si="24"/>
        <v>0</v>
      </c>
      <c r="T152" s="41"/>
      <c r="U152" s="41"/>
      <c r="V152" s="67">
        <f t="shared" si="25"/>
        <v>0</v>
      </c>
      <c r="Y152" s="67">
        <f t="shared" si="26"/>
        <v>0</v>
      </c>
      <c r="Z152" s="41">
        <f>2*135*9</f>
        <v>2430</v>
      </c>
      <c r="AA152" s="41">
        <v>1</v>
      </c>
      <c r="AB152" s="67">
        <f t="shared" si="27"/>
        <v>1229477.5064880007</v>
      </c>
      <c r="AE152" s="67">
        <f t="shared" si="28"/>
        <v>0</v>
      </c>
      <c r="AF152" s="28">
        <f t="shared" si="20"/>
        <v>2763235.1864880007</v>
      </c>
      <c r="AG152" s="28">
        <f t="shared" si="21"/>
        <v>2682.7526082407771</v>
      </c>
    </row>
    <row r="153" spans="1:33" x14ac:dyDescent="0.3">
      <c r="A153" s="63" t="s">
        <v>1302</v>
      </c>
      <c r="B153" s="63"/>
      <c r="C153" s="63"/>
      <c r="D153" s="63"/>
      <c r="E153" s="63"/>
      <c r="F153" s="63"/>
      <c r="G153" s="68"/>
      <c r="H153" s="63"/>
      <c r="I153" s="63"/>
      <c r="J153" s="67">
        <f>SUM(J65:J152)</f>
        <v>303490547.87857145</v>
      </c>
      <c r="K153" s="63"/>
      <c r="L153" s="63"/>
      <c r="M153" s="67">
        <f>SUM(M65:M152)</f>
        <v>81472120.564999998</v>
      </c>
      <c r="N153" s="63"/>
      <c r="O153" s="63"/>
      <c r="P153" s="67">
        <f>SUM(P65:P152)</f>
        <v>151387758.68150005</v>
      </c>
      <c r="Q153" s="63"/>
      <c r="R153" s="63"/>
      <c r="S153" s="67">
        <f>SUM(S65:S152)</f>
        <v>9317501563.3920021</v>
      </c>
      <c r="T153" s="63"/>
      <c r="U153" s="63"/>
      <c r="V153" s="67">
        <f>SUM(V65:V152)</f>
        <v>8654568678.180788</v>
      </c>
      <c r="W153" s="62"/>
      <c r="X153" s="62"/>
      <c r="Y153" s="67">
        <f>SUM(Y65:Y152)</f>
        <v>130452218.56921653</v>
      </c>
      <c r="Z153" s="62"/>
      <c r="AA153" s="62"/>
      <c r="AB153" s="67">
        <f>SUM(AB65:AB152)</f>
        <v>221646817.48558426</v>
      </c>
      <c r="AC153" s="62"/>
      <c r="AD153" s="62"/>
      <c r="AE153" s="67">
        <f>SUM(AE65:AE152)</f>
        <v>0</v>
      </c>
      <c r="AF153" s="28">
        <f t="shared" si="20"/>
        <v>18860519704.752663</v>
      </c>
      <c r="AG153" s="28">
        <f t="shared" si="21"/>
        <v>18311184.179371517</v>
      </c>
    </row>
    <row r="154" spans="1:33" x14ac:dyDescent="0.3">
      <c r="A154" s="91" t="s">
        <v>1427</v>
      </c>
      <c r="B154" s="91"/>
      <c r="C154" s="91"/>
      <c r="D154" s="91"/>
      <c r="E154" s="91"/>
      <c r="F154" s="91"/>
      <c r="G154" s="93"/>
      <c r="H154" s="91"/>
      <c r="I154" s="91"/>
      <c r="J154" s="93">
        <f>J153/$AL$2</f>
        <v>294651.01735783636</v>
      </c>
      <c r="K154" s="91"/>
      <c r="L154" s="91"/>
      <c r="M154" s="93">
        <f>M153/$AL$2</f>
        <v>79099.146179611649</v>
      </c>
      <c r="N154" s="91"/>
      <c r="O154" s="91"/>
      <c r="P154" s="67">
        <f>P153/$AL$2</f>
        <v>146978.40648689325</v>
      </c>
      <c r="Q154" s="41"/>
      <c r="R154" s="41"/>
      <c r="S154" s="67">
        <f>S153/$AL$2</f>
        <v>9046118.022710681</v>
      </c>
      <c r="T154" s="41"/>
      <c r="U154" s="41"/>
      <c r="V154" s="67">
        <f>V153/$AL$2</f>
        <v>8402493.8623114452</v>
      </c>
      <c r="Y154" s="67">
        <f>Y153/$AL$2</f>
        <v>126652.63938758888</v>
      </c>
      <c r="AB154" s="67">
        <f>AB153/$AL$2</f>
        <v>215191.08493746046</v>
      </c>
      <c r="AE154" s="67">
        <f>AE153/$AL$2</f>
        <v>0</v>
      </c>
      <c r="AF154" s="28">
        <f t="shared" si="20"/>
        <v>18311184.179371517</v>
      </c>
      <c r="AG154" s="28">
        <f t="shared" si="21"/>
        <v>17777.848717836423</v>
      </c>
    </row>
    <row r="155" spans="1:33" ht="43.2" x14ac:dyDescent="0.3">
      <c r="A155" s="41" t="s">
        <v>836</v>
      </c>
      <c r="B155" s="41" t="s">
        <v>992</v>
      </c>
      <c r="C155" s="41" t="s">
        <v>1046</v>
      </c>
      <c r="D155" s="41" t="s">
        <v>1047</v>
      </c>
      <c r="E155" s="41" t="s">
        <v>1048</v>
      </c>
      <c r="F155" s="41" t="s">
        <v>841</v>
      </c>
      <c r="G155" s="67">
        <v>0</v>
      </c>
      <c r="H155" s="41">
        <v>0</v>
      </c>
      <c r="I155" s="41">
        <v>0</v>
      </c>
      <c r="J155" s="67">
        <f t="shared" si="29"/>
        <v>0</v>
      </c>
      <c r="K155" s="41">
        <v>0</v>
      </c>
      <c r="L155" s="41">
        <v>0</v>
      </c>
      <c r="M155" s="67">
        <f t="shared" si="22"/>
        <v>0</v>
      </c>
      <c r="N155" s="41">
        <v>0</v>
      </c>
      <c r="O155" s="41">
        <v>0</v>
      </c>
      <c r="P155" s="67">
        <f t="shared" si="23"/>
        <v>0</v>
      </c>
      <c r="Q155" s="41">
        <v>0</v>
      </c>
      <c r="R155" s="41">
        <v>0</v>
      </c>
      <c r="S155" s="67">
        <f t="shared" si="24"/>
        <v>0</v>
      </c>
      <c r="T155" s="41">
        <v>20000</v>
      </c>
      <c r="U155" s="41">
        <v>1</v>
      </c>
      <c r="V155" s="67">
        <f t="shared" si="25"/>
        <v>0</v>
      </c>
      <c r="Y155" s="67">
        <f t="shared" si="26"/>
        <v>0</v>
      </c>
      <c r="AB155" s="67">
        <f t="shared" si="27"/>
        <v>0</v>
      </c>
      <c r="AC155" s="41">
        <v>0</v>
      </c>
      <c r="AD155" s="41">
        <v>0</v>
      </c>
      <c r="AE155" s="67">
        <f t="shared" si="28"/>
        <v>0</v>
      </c>
      <c r="AF155" s="28">
        <f t="shared" si="20"/>
        <v>0</v>
      </c>
      <c r="AG155" s="28">
        <f t="shared" si="21"/>
        <v>0</v>
      </c>
    </row>
    <row r="156" spans="1:33" ht="43.2" x14ac:dyDescent="0.3">
      <c r="A156" s="41" t="s">
        <v>836</v>
      </c>
      <c r="B156" s="41" t="s">
        <v>992</v>
      </c>
      <c r="C156" s="41" t="s">
        <v>1046</v>
      </c>
      <c r="D156" s="41" t="s">
        <v>1047</v>
      </c>
      <c r="E156" s="41" t="s">
        <v>1024</v>
      </c>
      <c r="F156" s="41" t="s">
        <v>841</v>
      </c>
      <c r="G156" s="67">
        <v>0</v>
      </c>
      <c r="H156" s="41">
        <v>0</v>
      </c>
      <c r="I156" s="41">
        <v>0</v>
      </c>
      <c r="J156" s="67">
        <f t="shared" si="29"/>
        <v>0</v>
      </c>
      <c r="K156" s="41">
        <v>0</v>
      </c>
      <c r="L156" s="41">
        <v>0</v>
      </c>
      <c r="M156" s="67">
        <f t="shared" si="22"/>
        <v>0</v>
      </c>
      <c r="N156" s="41">
        <v>0</v>
      </c>
      <c r="O156" s="41">
        <v>0</v>
      </c>
      <c r="P156" s="67">
        <f t="shared" si="23"/>
        <v>0</v>
      </c>
      <c r="Q156" s="41">
        <v>0</v>
      </c>
      <c r="R156" s="41">
        <v>0</v>
      </c>
      <c r="S156" s="67">
        <f t="shared" si="24"/>
        <v>0</v>
      </c>
      <c r="T156" s="41">
        <v>0</v>
      </c>
      <c r="U156" s="41">
        <v>0</v>
      </c>
      <c r="V156" s="67">
        <f t="shared" si="25"/>
        <v>0</v>
      </c>
      <c r="Y156" s="67">
        <f t="shared" si="26"/>
        <v>0</v>
      </c>
      <c r="AB156" s="67">
        <f t="shared" si="27"/>
        <v>0</v>
      </c>
      <c r="AC156" s="41">
        <v>0</v>
      </c>
      <c r="AD156" s="41">
        <v>0</v>
      </c>
      <c r="AE156" s="67">
        <f t="shared" si="28"/>
        <v>0</v>
      </c>
      <c r="AF156" s="28">
        <f t="shared" si="20"/>
        <v>0</v>
      </c>
      <c r="AG156" s="28">
        <f t="shared" si="21"/>
        <v>0</v>
      </c>
    </row>
    <row r="157" spans="1:33" ht="43.2" x14ac:dyDescent="0.3">
      <c r="A157" s="41" t="s">
        <v>836</v>
      </c>
      <c r="B157" s="41" t="s">
        <v>992</v>
      </c>
      <c r="C157" s="41" t="s">
        <v>1046</v>
      </c>
      <c r="D157" s="41" t="s">
        <v>1047</v>
      </c>
      <c r="E157" s="41" t="s">
        <v>1049</v>
      </c>
      <c r="F157" s="41" t="s">
        <v>841</v>
      </c>
      <c r="G157" s="67">
        <v>0</v>
      </c>
      <c r="H157" s="41">
        <v>0</v>
      </c>
      <c r="I157" s="41">
        <v>0</v>
      </c>
      <c r="J157" s="67">
        <f t="shared" si="29"/>
        <v>0</v>
      </c>
      <c r="K157" s="41">
        <v>0</v>
      </c>
      <c r="L157" s="41">
        <v>0</v>
      </c>
      <c r="M157" s="67">
        <f t="shared" si="22"/>
        <v>0</v>
      </c>
      <c r="N157" s="41">
        <v>0</v>
      </c>
      <c r="O157" s="41">
        <v>0</v>
      </c>
      <c r="P157" s="67">
        <f t="shared" si="23"/>
        <v>0</v>
      </c>
      <c r="Q157" s="41">
        <v>0</v>
      </c>
      <c r="R157" s="41">
        <v>0</v>
      </c>
      <c r="S157" s="67">
        <f t="shared" si="24"/>
        <v>0</v>
      </c>
      <c r="T157" s="41">
        <v>0</v>
      </c>
      <c r="U157" s="41">
        <v>0</v>
      </c>
      <c r="V157" s="67">
        <f t="shared" si="25"/>
        <v>0</v>
      </c>
      <c r="Y157" s="67">
        <f t="shared" si="26"/>
        <v>0</v>
      </c>
      <c r="AB157" s="67">
        <f t="shared" si="27"/>
        <v>0</v>
      </c>
      <c r="AC157" s="41">
        <v>0</v>
      </c>
      <c r="AD157" s="41">
        <v>0</v>
      </c>
      <c r="AE157" s="67">
        <f t="shared" si="28"/>
        <v>0</v>
      </c>
      <c r="AF157" s="28">
        <f t="shared" si="20"/>
        <v>0</v>
      </c>
      <c r="AG157" s="28">
        <f t="shared" si="21"/>
        <v>0</v>
      </c>
    </row>
    <row r="158" spans="1:33" ht="43.2" x14ac:dyDescent="0.3">
      <c r="A158" s="41" t="s">
        <v>836</v>
      </c>
      <c r="B158" s="41" t="s">
        <v>992</v>
      </c>
      <c r="C158" s="41" t="s">
        <v>1046</v>
      </c>
      <c r="D158" s="41" t="s">
        <v>1047</v>
      </c>
      <c r="E158" s="41" t="s">
        <v>149</v>
      </c>
      <c r="F158" s="41" t="s">
        <v>707</v>
      </c>
      <c r="G158" s="67">
        <v>391991.03749999998</v>
      </c>
      <c r="H158" s="41">
        <v>2</v>
      </c>
      <c r="I158" s="41">
        <v>2</v>
      </c>
      <c r="J158" s="67">
        <f t="shared" si="29"/>
        <v>1567964.15</v>
      </c>
      <c r="K158" s="41">
        <v>5</v>
      </c>
      <c r="L158" s="41">
        <v>5</v>
      </c>
      <c r="M158" s="67">
        <f t="shared" si="22"/>
        <v>10779753.53125</v>
      </c>
      <c r="N158" s="41">
        <v>0</v>
      </c>
      <c r="O158" s="41">
        <v>0</v>
      </c>
      <c r="P158" s="67">
        <f t="shared" si="23"/>
        <v>0</v>
      </c>
      <c r="Q158" s="41">
        <v>2</v>
      </c>
      <c r="R158" s="41">
        <v>2</v>
      </c>
      <c r="S158" s="67">
        <f t="shared" si="24"/>
        <v>2086960.2836500006</v>
      </c>
      <c r="T158" s="41">
        <v>0</v>
      </c>
      <c r="U158" s="41">
        <v>0</v>
      </c>
      <c r="V158" s="67">
        <f t="shared" si="25"/>
        <v>0</v>
      </c>
      <c r="Y158" s="67">
        <f t="shared" si="26"/>
        <v>0</v>
      </c>
      <c r="AB158" s="67">
        <f t="shared" si="27"/>
        <v>0</v>
      </c>
      <c r="AC158" s="41">
        <v>2</v>
      </c>
      <c r="AD158" s="41">
        <v>2</v>
      </c>
      <c r="AE158" s="67">
        <f t="shared" si="28"/>
        <v>3055518.5512919668</v>
      </c>
      <c r="AF158" s="28">
        <f t="shared" si="20"/>
        <v>17490196.516191967</v>
      </c>
      <c r="AG158" s="28">
        <f t="shared" si="21"/>
        <v>16980.773316691229</v>
      </c>
    </row>
    <row r="159" spans="1:33" ht="43.2" x14ac:dyDescent="0.3">
      <c r="A159" s="41" t="s">
        <v>836</v>
      </c>
      <c r="B159" s="41" t="s">
        <v>992</v>
      </c>
      <c r="C159" s="41" t="s">
        <v>1046</v>
      </c>
      <c r="D159" s="41" t="s">
        <v>1047</v>
      </c>
      <c r="E159" s="41" t="s">
        <v>149</v>
      </c>
      <c r="F159" s="41" t="s">
        <v>708</v>
      </c>
      <c r="G159" s="67">
        <f>980*1030</f>
        <v>1009400</v>
      </c>
      <c r="H159" s="41">
        <v>1</v>
      </c>
      <c r="I159" s="41">
        <v>25</v>
      </c>
      <c r="J159" s="67">
        <f t="shared" si="29"/>
        <v>25235000</v>
      </c>
      <c r="K159" s="41">
        <v>1</v>
      </c>
      <c r="L159" s="41">
        <v>4</v>
      </c>
      <c r="M159" s="67">
        <f t="shared" si="22"/>
        <v>4441360</v>
      </c>
      <c r="N159" s="41">
        <v>0</v>
      </c>
      <c r="O159" s="41">
        <v>0</v>
      </c>
      <c r="P159" s="67">
        <f t="shared" si="23"/>
        <v>0</v>
      </c>
      <c r="Q159" s="41">
        <v>1</v>
      </c>
      <c r="R159" s="41">
        <v>25</v>
      </c>
      <c r="S159" s="67">
        <f t="shared" si="24"/>
        <v>33587785.000000007</v>
      </c>
      <c r="T159" s="41">
        <v>0</v>
      </c>
      <c r="U159" s="41">
        <v>0</v>
      </c>
      <c r="V159" s="67">
        <f t="shared" si="25"/>
        <v>0</v>
      </c>
      <c r="Y159" s="67">
        <f t="shared" si="26"/>
        <v>0</v>
      </c>
      <c r="AB159" s="67">
        <f t="shared" si="27"/>
        <v>0</v>
      </c>
      <c r="AC159" s="41">
        <v>1</v>
      </c>
      <c r="AD159" s="41">
        <v>25</v>
      </c>
      <c r="AE159" s="67">
        <f t="shared" si="28"/>
        <v>49175876.01850003</v>
      </c>
      <c r="AF159" s="28">
        <f t="shared" si="20"/>
        <v>112440021.01850003</v>
      </c>
      <c r="AG159" s="28">
        <f t="shared" si="21"/>
        <v>109165.06895000003</v>
      </c>
    </row>
    <row r="160" spans="1:33" ht="43.2" x14ac:dyDescent="0.3">
      <c r="A160" s="41" t="s">
        <v>836</v>
      </c>
      <c r="B160" s="41" t="s">
        <v>992</v>
      </c>
      <c r="C160" s="41" t="s">
        <v>1046</v>
      </c>
      <c r="D160" s="41" t="s">
        <v>1047</v>
      </c>
      <c r="E160" s="41" t="s">
        <v>895</v>
      </c>
      <c r="F160" s="41" t="s">
        <v>841</v>
      </c>
      <c r="G160" s="67">
        <v>0</v>
      </c>
      <c r="H160" s="41">
        <v>0</v>
      </c>
      <c r="I160" s="41">
        <v>0</v>
      </c>
      <c r="J160" s="67">
        <f t="shared" si="29"/>
        <v>0</v>
      </c>
      <c r="K160" s="41">
        <v>1</v>
      </c>
      <c r="L160" s="41">
        <v>30</v>
      </c>
      <c r="M160" s="67">
        <f t="shared" si="22"/>
        <v>0</v>
      </c>
      <c r="N160" s="41">
        <v>0</v>
      </c>
      <c r="O160" s="41">
        <v>0</v>
      </c>
      <c r="P160" s="67">
        <f t="shared" si="23"/>
        <v>0</v>
      </c>
      <c r="Q160" s="41">
        <v>0</v>
      </c>
      <c r="R160" s="41">
        <v>0</v>
      </c>
      <c r="S160" s="67">
        <f t="shared" si="24"/>
        <v>0</v>
      </c>
      <c r="T160" s="41">
        <v>0</v>
      </c>
      <c r="U160" s="41">
        <v>0</v>
      </c>
      <c r="V160" s="67">
        <f t="shared" si="25"/>
        <v>0</v>
      </c>
      <c r="Y160" s="67">
        <f t="shared" si="26"/>
        <v>0</v>
      </c>
      <c r="AB160" s="67">
        <f t="shared" si="27"/>
        <v>0</v>
      </c>
      <c r="AC160" s="41">
        <v>0</v>
      </c>
      <c r="AD160" s="41">
        <v>0</v>
      </c>
      <c r="AE160" s="67">
        <f t="shared" si="28"/>
        <v>0</v>
      </c>
      <c r="AF160" s="28">
        <f t="shared" si="20"/>
        <v>0</v>
      </c>
      <c r="AG160" s="28">
        <f t="shared" si="21"/>
        <v>0</v>
      </c>
    </row>
    <row r="161" spans="1:33" ht="43.2" x14ac:dyDescent="0.3">
      <c r="A161" s="41" t="s">
        <v>836</v>
      </c>
      <c r="B161" s="41" t="s">
        <v>992</v>
      </c>
      <c r="C161" s="41" t="s">
        <v>1046</v>
      </c>
      <c r="D161" s="41" t="s">
        <v>1047</v>
      </c>
      <c r="E161" s="41" t="s">
        <v>912</v>
      </c>
      <c r="F161" s="41" t="s">
        <v>841</v>
      </c>
      <c r="G161" s="67">
        <v>0</v>
      </c>
      <c r="H161" s="41">
        <v>0</v>
      </c>
      <c r="I161" s="41">
        <v>0</v>
      </c>
      <c r="J161" s="67">
        <f t="shared" si="29"/>
        <v>0</v>
      </c>
      <c r="K161" s="41">
        <v>5</v>
      </c>
      <c r="L161" s="41">
        <v>5</v>
      </c>
      <c r="M161" s="67">
        <f t="shared" si="22"/>
        <v>0</v>
      </c>
      <c r="N161" s="41">
        <v>0</v>
      </c>
      <c r="O161" s="41">
        <v>0</v>
      </c>
      <c r="P161" s="67">
        <f t="shared" si="23"/>
        <v>0</v>
      </c>
      <c r="Q161" s="41">
        <v>0</v>
      </c>
      <c r="R161" s="41">
        <v>0</v>
      </c>
      <c r="S161" s="67">
        <f t="shared" si="24"/>
        <v>0</v>
      </c>
      <c r="T161" s="41">
        <v>0</v>
      </c>
      <c r="U161" s="41">
        <v>0</v>
      </c>
      <c r="V161" s="67">
        <f t="shared" si="25"/>
        <v>0</v>
      </c>
      <c r="Y161" s="67">
        <f t="shared" si="26"/>
        <v>0</v>
      </c>
      <c r="AB161" s="67">
        <f t="shared" si="27"/>
        <v>0</v>
      </c>
      <c r="AC161" s="41">
        <v>0</v>
      </c>
      <c r="AD161" s="41">
        <v>0</v>
      </c>
      <c r="AE161" s="67">
        <f t="shared" si="28"/>
        <v>0</v>
      </c>
      <c r="AF161" s="28">
        <f t="shared" si="20"/>
        <v>0</v>
      </c>
      <c r="AG161" s="28">
        <f t="shared" si="21"/>
        <v>0</v>
      </c>
    </row>
    <row r="162" spans="1:33" ht="43.2" x14ac:dyDescent="0.3">
      <c r="A162" s="41" t="s">
        <v>836</v>
      </c>
      <c r="B162" s="41" t="s">
        <v>992</v>
      </c>
      <c r="C162" s="41" t="s">
        <v>1046</v>
      </c>
      <c r="D162" s="41" t="s">
        <v>1047</v>
      </c>
      <c r="E162" s="41" t="s">
        <v>1026</v>
      </c>
      <c r="F162" s="41" t="s">
        <v>709</v>
      </c>
      <c r="G162" s="67">
        <v>35000</v>
      </c>
      <c r="H162" s="41">
        <v>25</v>
      </c>
      <c r="I162" s="41">
        <v>5</v>
      </c>
      <c r="J162" s="67">
        <f t="shared" si="29"/>
        <v>4375000</v>
      </c>
      <c r="K162" s="41">
        <v>10</v>
      </c>
      <c r="L162" s="41">
        <v>1</v>
      </c>
      <c r="M162" s="67">
        <f t="shared" si="22"/>
        <v>385000</v>
      </c>
      <c r="N162" s="41">
        <v>0</v>
      </c>
      <c r="O162" s="41">
        <v>0</v>
      </c>
      <c r="P162" s="67">
        <f t="shared" si="23"/>
        <v>0</v>
      </c>
      <c r="Q162" s="41">
        <v>25</v>
      </c>
      <c r="R162" s="41">
        <v>5</v>
      </c>
      <c r="S162" s="67">
        <f t="shared" si="24"/>
        <v>5823125.0000000019</v>
      </c>
      <c r="T162" s="41">
        <v>0</v>
      </c>
      <c r="U162" s="41">
        <v>0</v>
      </c>
      <c r="V162" s="67">
        <f t="shared" si="25"/>
        <v>0</v>
      </c>
      <c r="Y162" s="67">
        <f t="shared" si="26"/>
        <v>0</v>
      </c>
      <c r="AB162" s="67">
        <f t="shared" si="27"/>
        <v>0</v>
      </c>
      <c r="AC162" s="41">
        <v>25</v>
      </c>
      <c r="AD162" s="41">
        <v>5</v>
      </c>
      <c r="AE162" s="67">
        <f t="shared" si="28"/>
        <v>8525637.3125000037</v>
      </c>
      <c r="AF162" s="28">
        <f t="shared" si="20"/>
        <v>19108762.312500007</v>
      </c>
      <c r="AG162" s="28">
        <f t="shared" si="21"/>
        <v>18552.196419902921</v>
      </c>
    </row>
    <row r="163" spans="1:33" ht="43.2" x14ac:dyDescent="0.3">
      <c r="A163" s="41" t="s">
        <v>836</v>
      </c>
      <c r="B163" s="41" t="s">
        <v>992</v>
      </c>
      <c r="C163" s="41" t="s">
        <v>1046</v>
      </c>
      <c r="D163" s="41" t="s">
        <v>1047</v>
      </c>
      <c r="E163" s="41" t="s">
        <v>1026</v>
      </c>
      <c r="F163" s="41" t="s">
        <v>716</v>
      </c>
      <c r="G163" s="67">
        <v>39000</v>
      </c>
      <c r="H163" s="41">
        <v>25</v>
      </c>
      <c r="I163" s="41">
        <v>6</v>
      </c>
      <c r="J163" s="67">
        <f t="shared" si="29"/>
        <v>5850000</v>
      </c>
      <c r="K163" s="41"/>
      <c r="L163" s="41"/>
      <c r="M163" s="67"/>
      <c r="N163" s="41"/>
      <c r="O163" s="41"/>
      <c r="P163" s="67"/>
      <c r="Q163" s="41">
        <v>25</v>
      </c>
      <c r="R163" s="41">
        <v>6</v>
      </c>
      <c r="S163" s="67"/>
      <c r="T163" s="41"/>
      <c r="U163" s="41"/>
      <c r="V163" s="67"/>
      <c r="Y163" s="67"/>
      <c r="AB163" s="67"/>
      <c r="AC163" s="41">
        <v>25</v>
      </c>
      <c r="AD163" s="41">
        <v>6</v>
      </c>
      <c r="AE163" s="67"/>
      <c r="AF163" s="28">
        <f t="shared" si="20"/>
        <v>5850000</v>
      </c>
      <c r="AG163" s="28">
        <f t="shared" si="21"/>
        <v>5679.6116504854372</v>
      </c>
    </row>
    <row r="164" spans="1:33" ht="43.2" x14ac:dyDescent="0.3">
      <c r="A164" s="41" t="s">
        <v>836</v>
      </c>
      <c r="B164" s="41" t="s">
        <v>992</v>
      </c>
      <c r="C164" s="41" t="s">
        <v>1046</v>
      </c>
      <c r="D164" s="41" t="s">
        <v>1047</v>
      </c>
      <c r="E164" s="41" t="s">
        <v>1026</v>
      </c>
      <c r="F164" s="41" t="s">
        <v>1366</v>
      </c>
      <c r="G164" s="67">
        <f>1999.2/7</f>
        <v>285.60000000000002</v>
      </c>
      <c r="H164" s="41">
        <f>2*25*9</f>
        <v>450</v>
      </c>
      <c r="I164" s="41">
        <v>5</v>
      </c>
      <c r="J164" s="67"/>
      <c r="K164" s="41"/>
      <c r="L164" s="41"/>
      <c r="M164" s="67"/>
      <c r="N164" s="41"/>
      <c r="O164" s="41"/>
      <c r="P164" s="67"/>
      <c r="Q164" s="41">
        <f>2*25*9</f>
        <v>450</v>
      </c>
      <c r="R164" s="41">
        <v>5</v>
      </c>
      <c r="S164" s="67"/>
      <c r="T164" s="41"/>
      <c r="U164" s="41"/>
      <c r="V164" s="67"/>
      <c r="Y164" s="67"/>
      <c r="AB164" s="67"/>
      <c r="AC164" s="41">
        <f>2*25*9</f>
        <v>450</v>
      </c>
      <c r="AD164" s="41">
        <v>5</v>
      </c>
      <c r="AE164" s="67"/>
      <c r="AF164" s="28">
        <f t="shared" si="20"/>
        <v>0</v>
      </c>
      <c r="AG164" s="28">
        <f t="shared" si="21"/>
        <v>0</v>
      </c>
    </row>
    <row r="165" spans="1:33" ht="43.2" x14ac:dyDescent="0.3">
      <c r="A165" s="41" t="s">
        <v>836</v>
      </c>
      <c r="B165" s="41" t="s">
        <v>992</v>
      </c>
      <c r="C165" s="41" t="s">
        <v>1046</v>
      </c>
      <c r="D165" s="41" t="s">
        <v>1047</v>
      </c>
      <c r="E165" s="41" t="s">
        <v>1026</v>
      </c>
      <c r="F165" s="41" t="s">
        <v>1299</v>
      </c>
      <c r="G165" s="67">
        <f>1999.2/7</f>
        <v>285.60000000000002</v>
      </c>
      <c r="H165" s="41">
        <f>2*135*9</f>
        <v>2430</v>
      </c>
      <c r="I165" s="41">
        <v>1</v>
      </c>
      <c r="J165" s="67"/>
      <c r="K165" s="41"/>
      <c r="L165" s="41"/>
      <c r="M165" s="67"/>
      <c r="N165" s="41"/>
      <c r="O165" s="41"/>
      <c r="P165" s="67"/>
      <c r="Q165" s="41">
        <f>2*135*9</f>
        <v>2430</v>
      </c>
      <c r="R165" s="41">
        <v>1</v>
      </c>
      <c r="S165" s="67"/>
      <c r="T165" s="41"/>
      <c r="U165" s="41"/>
      <c r="V165" s="67"/>
      <c r="Y165" s="67"/>
      <c r="AB165" s="67"/>
      <c r="AC165" s="41">
        <f>2*135*9</f>
        <v>2430</v>
      </c>
      <c r="AD165" s="41">
        <v>1</v>
      </c>
      <c r="AE165" s="67"/>
      <c r="AF165" s="28">
        <f t="shared" si="20"/>
        <v>0</v>
      </c>
      <c r="AG165" s="28">
        <f t="shared" si="21"/>
        <v>0</v>
      </c>
    </row>
    <row r="166" spans="1:33" ht="43.2" x14ac:dyDescent="0.3">
      <c r="A166" s="41" t="s">
        <v>836</v>
      </c>
      <c r="B166" s="41" t="s">
        <v>992</v>
      </c>
      <c r="C166" s="41" t="s">
        <v>1046</v>
      </c>
      <c r="D166" s="41" t="s">
        <v>1047</v>
      </c>
      <c r="E166" s="41" t="s">
        <v>1026</v>
      </c>
      <c r="F166" s="41" t="s">
        <v>1297</v>
      </c>
      <c r="G166" s="67">
        <v>8000</v>
      </c>
      <c r="H166" s="41">
        <v>10</v>
      </c>
      <c r="I166" s="41">
        <v>1</v>
      </c>
      <c r="J166" s="67">
        <f t="shared" si="29"/>
        <v>80000</v>
      </c>
      <c r="K166" s="41">
        <v>25</v>
      </c>
      <c r="L166" s="41">
        <v>3</v>
      </c>
      <c r="M166" s="67">
        <f t="shared" si="22"/>
        <v>660000</v>
      </c>
      <c r="N166" s="41">
        <v>0</v>
      </c>
      <c r="O166" s="41">
        <v>0</v>
      </c>
      <c r="P166" s="67">
        <f t="shared" si="23"/>
        <v>0</v>
      </c>
      <c r="Q166" s="41">
        <v>10</v>
      </c>
      <c r="R166" s="41">
        <v>1</v>
      </c>
      <c r="S166" s="67">
        <f t="shared" si="24"/>
        <v>106480.00000000003</v>
      </c>
      <c r="T166" s="41">
        <v>0</v>
      </c>
      <c r="U166" s="41">
        <v>0</v>
      </c>
      <c r="V166" s="67">
        <f t="shared" si="25"/>
        <v>0</v>
      </c>
      <c r="Y166" s="67">
        <f t="shared" si="26"/>
        <v>0</v>
      </c>
      <c r="AB166" s="67">
        <f t="shared" si="27"/>
        <v>0</v>
      </c>
      <c r="AC166" s="41">
        <v>10</v>
      </c>
      <c r="AD166" s="41">
        <v>1</v>
      </c>
      <c r="AE166" s="67">
        <f t="shared" si="28"/>
        <v>155897.3680000001</v>
      </c>
      <c r="AF166" s="28">
        <f t="shared" si="20"/>
        <v>1002377.3680000001</v>
      </c>
      <c r="AG166" s="28">
        <f t="shared" si="21"/>
        <v>973.18191067961175</v>
      </c>
    </row>
    <row r="167" spans="1:33" ht="43.2" x14ac:dyDescent="0.3">
      <c r="A167" s="41" t="s">
        <v>836</v>
      </c>
      <c r="B167" s="41" t="s">
        <v>992</v>
      </c>
      <c r="C167" s="41" t="s">
        <v>1046</v>
      </c>
      <c r="D167" s="41" t="s">
        <v>1047</v>
      </c>
      <c r="E167" s="41" t="s">
        <v>1026</v>
      </c>
      <c r="F167" s="41" t="s">
        <v>710</v>
      </c>
      <c r="G167" s="67">
        <v>104850</v>
      </c>
      <c r="H167" s="41">
        <v>1</v>
      </c>
      <c r="I167" s="41">
        <v>1</v>
      </c>
      <c r="J167" s="67">
        <f t="shared" si="29"/>
        <v>104850</v>
      </c>
      <c r="K167" s="41">
        <v>5000</v>
      </c>
      <c r="L167" s="41">
        <v>1</v>
      </c>
      <c r="M167" s="67">
        <f t="shared" si="22"/>
        <v>576675000.00000012</v>
      </c>
      <c r="N167" s="41">
        <v>0</v>
      </c>
      <c r="O167" s="41">
        <v>0</v>
      </c>
      <c r="P167" s="67">
        <f t="shared" si="23"/>
        <v>0</v>
      </c>
      <c r="Q167" s="41">
        <v>1</v>
      </c>
      <c r="R167" s="41">
        <v>1</v>
      </c>
      <c r="S167" s="67">
        <f t="shared" si="24"/>
        <v>139555.35000000003</v>
      </c>
      <c r="T167" s="41">
        <v>0</v>
      </c>
      <c r="U167" s="41">
        <v>0</v>
      </c>
      <c r="V167" s="67">
        <f t="shared" si="25"/>
        <v>0</v>
      </c>
      <c r="Y167" s="67">
        <f t="shared" si="26"/>
        <v>0</v>
      </c>
      <c r="AB167" s="67">
        <f t="shared" si="27"/>
        <v>0</v>
      </c>
      <c r="AC167" s="41">
        <v>1</v>
      </c>
      <c r="AD167" s="41">
        <v>1</v>
      </c>
      <c r="AE167" s="67">
        <f t="shared" si="28"/>
        <v>204322.98793500013</v>
      </c>
      <c r="AF167" s="28">
        <f t="shared" si="20"/>
        <v>577123728.33793509</v>
      </c>
      <c r="AG167" s="28">
        <f t="shared" si="21"/>
        <v>560314.29935721855</v>
      </c>
    </row>
    <row r="168" spans="1:33" ht="43.2" x14ac:dyDescent="0.3">
      <c r="A168" s="41" t="s">
        <v>836</v>
      </c>
      <c r="B168" s="41" t="s">
        <v>992</v>
      </c>
      <c r="C168" s="41" t="s">
        <v>1046</v>
      </c>
      <c r="D168" s="41" t="s">
        <v>1047</v>
      </c>
      <c r="E168" s="41" t="s">
        <v>163</v>
      </c>
      <c r="F168" s="41" t="s">
        <v>713</v>
      </c>
      <c r="G168" s="67">
        <v>45000</v>
      </c>
      <c r="H168" s="41">
        <v>25</v>
      </c>
      <c r="I168" s="41">
        <v>1</v>
      </c>
      <c r="J168" s="67">
        <f t="shared" si="29"/>
        <v>1125000</v>
      </c>
      <c r="K168" s="41">
        <v>1</v>
      </c>
      <c r="L168" s="41">
        <v>1</v>
      </c>
      <c r="M168" s="67">
        <f t="shared" si="22"/>
        <v>49500.000000000007</v>
      </c>
      <c r="N168" s="41">
        <v>0</v>
      </c>
      <c r="O168" s="41">
        <v>0</v>
      </c>
      <c r="P168" s="67">
        <f t="shared" si="23"/>
        <v>0</v>
      </c>
      <c r="Q168" s="41">
        <v>25</v>
      </c>
      <c r="R168" s="41">
        <v>1</v>
      </c>
      <c r="S168" s="67">
        <f t="shared" si="24"/>
        <v>1497375.0000000005</v>
      </c>
      <c r="T168" s="41">
        <v>0</v>
      </c>
      <c r="U168" s="41">
        <v>0</v>
      </c>
      <c r="V168" s="67">
        <f t="shared" si="25"/>
        <v>0</v>
      </c>
      <c r="Y168" s="67">
        <f t="shared" si="26"/>
        <v>0</v>
      </c>
      <c r="AB168" s="67">
        <f t="shared" si="27"/>
        <v>0</v>
      </c>
      <c r="AC168" s="41">
        <v>25</v>
      </c>
      <c r="AD168" s="41">
        <v>1</v>
      </c>
      <c r="AE168" s="67">
        <f t="shared" si="28"/>
        <v>2192306.7375000012</v>
      </c>
      <c r="AF168" s="28">
        <f t="shared" si="20"/>
        <v>4864181.7375000017</v>
      </c>
      <c r="AG168" s="28">
        <f t="shared" si="21"/>
        <v>4722.5065412621379</v>
      </c>
    </row>
    <row r="169" spans="1:33" ht="43.2" x14ac:dyDescent="0.3">
      <c r="A169" s="41" t="s">
        <v>836</v>
      </c>
      <c r="B169" s="41" t="s">
        <v>992</v>
      </c>
      <c r="C169" s="41" t="s">
        <v>1046</v>
      </c>
      <c r="D169" s="41" t="s">
        <v>1047</v>
      </c>
      <c r="E169" s="41" t="s">
        <v>163</v>
      </c>
      <c r="F169" s="41" t="s">
        <v>712</v>
      </c>
      <c r="G169" s="67">
        <f>1999.2/7</f>
        <v>285.60000000000002</v>
      </c>
      <c r="H169" s="41">
        <v>25</v>
      </c>
      <c r="I169" s="41">
        <v>5</v>
      </c>
      <c r="J169" s="67">
        <f t="shared" si="29"/>
        <v>35700.000000000007</v>
      </c>
      <c r="K169" s="41">
        <v>25</v>
      </c>
      <c r="L169" s="41">
        <v>1</v>
      </c>
      <c r="M169" s="67">
        <f t="shared" si="22"/>
        <v>7854.0000000000009</v>
      </c>
      <c r="N169" s="41">
        <v>0</v>
      </c>
      <c r="O169" s="41">
        <v>0</v>
      </c>
      <c r="P169" s="67">
        <f t="shared" si="23"/>
        <v>0</v>
      </c>
      <c r="Q169" s="41">
        <v>25</v>
      </c>
      <c r="R169" s="41">
        <v>5</v>
      </c>
      <c r="S169" s="67">
        <f t="shared" si="24"/>
        <v>47516.700000000019</v>
      </c>
      <c r="T169" s="41">
        <v>0</v>
      </c>
      <c r="U169" s="41">
        <v>0</v>
      </c>
      <c r="V169" s="67">
        <f t="shared" si="25"/>
        <v>0</v>
      </c>
      <c r="Y169" s="67">
        <f t="shared" si="26"/>
        <v>0</v>
      </c>
      <c r="AB169" s="67">
        <f t="shared" si="27"/>
        <v>0</v>
      </c>
      <c r="AC169" s="41">
        <v>25</v>
      </c>
      <c r="AD169" s="41">
        <v>5</v>
      </c>
      <c r="AE169" s="67">
        <f t="shared" si="28"/>
        <v>69569.200470000054</v>
      </c>
      <c r="AF169" s="28">
        <f t="shared" si="20"/>
        <v>160639.90047000008</v>
      </c>
      <c r="AG169" s="28">
        <f t="shared" si="21"/>
        <v>155.96106841747581</v>
      </c>
    </row>
    <row r="170" spans="1:33" ht="43.2" x14ac:dyDescent="0.3">
      <c r="A170" s="41" t="s">
        <v>836</v>
      </c>
      <c r="B170" s="41" t="s">
        <v>992</v>
      </c>
      <c r="C170" s="41" t="s">
        <v>1046</v>
      </c>
      <c r="D170" s="41" t="s">
        <v>1047</v>
      </c>
      <c r="E170" s="41" t="s">
        <v>163</v>
      </c>
      <c r="F170" s="41" t="s">
        <v>1299</v>
      </c>
      <c r="G170" s="67">
        <f>1999.2/7</f>
        <v>285.60000000000002</v>
      </c>
      <c r="H170" s="41">
        <v>22500</v>
      </c>
      <c r="I170" s="41">
        <v>1</v>
      </c>
      <c r="J170" s="67">
        <f>G170*H170*I170</f>
        <v>6426000.0000000009</v>
      </c>
      <c r="K170" s="41"/>
      <c r="L170" s="41"/>
      <c r="M170" s="67">
        <f t="shared" si="22"/>
        <v>0</v>
      </c>
      <c r="N170" s="41"/>
      <c r="O170" s="41"/>
      <c r="P170" s="67">
        <f t="shared" si="23"/>
        <v>0</v>
      </c>
      <c r="Q170" s="41">
        <v>22500</v>
      </c>
      <c r="R170" s="41">
        <v>1</v>
      </c>
      <c r="S170" s="67">
        <f t="shared" si="24"/>
        <v>8553006.0000000037</v>
      </c>
      <c r="T170" s="41"/>
      <c r="U170" s="41"/>
      <c r="V170" s="67">
        <f t="shared" si="25"/>
        <v>0</v>
      </c>
      <c r="Y170" s="67">
        <f t="shared" si="26"/>
        <v>0</v>
      </c>
      <c r="AB170" s="67">
        <f t="shared" si="27"/>
        <v>0</v>
      </c>
      <c r="AC170" s="41">
        <v>22500</v>
      </c>
      <c r="AD170" s="41">
        <v>1</v>
      </c>
      <c r="AE170" s="67">
        <f t="shared" si="28"/>
        <v>12522456.084600009</v>
      </c>
      <c r="AF170" s="28">
        <f t="shared" si="20"/>
        <v>27501462.084600013</v>
      </c>
      <c r="AG170" s="28">
        <f t="shared" si="21"/>
        <v>26700.448625825255</v>
      </c>
    </row>
    <row r="171" spans="1:33" ht="43.2" x14ac:dyDescent="0.3">
      <c r="A171" s="41" t="s">
        <v>836</v>
      </c>
      <c r="B171" s="41" t="s">
        <v>992</v>
      </c>
      <c r="C171" s="41" t="s">
        <v>1046</v>
      </c>
      <c r="D171" s="41" t="s">
        <v>1047</v>
      </c>
      <c r="E171" s="41" t="s">
        <v>1027</v>
      </c>
      <c r="F171" s="41" t="s">
        <v>841</v>
      </c>
      <c r="G171" s="67">
        <v>0</v>
      </c>
      <c r="H171" s="41">
        <v>0</v>
      </c>
      <c r="I171" s="41">
        <v>0</v>
      </c>
      <c r="J171" s="67">
        <f t="shared" si="29"/>
        <v>0</v>
      </c>
      <c r="K171" s="41">
        <v>4000</v>
      </c>
      <c r="L171" s="41">
        <v>1</v>
      </c>
      <c r="M171" s="67">
        <f t="shared" si="22"/>
        <v>0</v>
      </c>
      <c r="N171" s="41">
        <v>0</v>
      </c>
      <c r="O171" s="41">
        <v>0</v>
      </c>
      <c r="P171" s="67">
        <f t="shared" si="23"/>
        <v>0</v>
      </c>
      <c r="Q171" s="41">
        <v>0</v>
      </c>
      <c r="R171" s="41">
        <v>0</v>
      </c>
      <c r="S171" s="67">
        <f t="shared" si="24"/>
        <v>0</v>
      </c>
      <c r="T171" s="41">
        <v>0</v>
      </c>
      <c r="U171" s="41">
        <v>0</v>
      </c>
      <c r="V171" s="67">
        <f t="shared" si="25"/>
        <v>0</v>
      </c>
      <c r="Y171" s="67">
        <f t="shared" si="26"/>
        <v>0</v>
      </c>
      <c r="AB171" s="67">
        <f t="shared" si="27"/>
        <v>0</v>
      </c>
      <c r="AC171" s="41">
        <v>0</v>
      </c>
      <c r="AD171" s="41">
        <v>0</v>
      </c>
      <c r="AE171" s="67">
        <f t="shared" si="28"/>
        <v>0</v>
      </c>
      <c r="AF171" s="28">
        <f t="shared" si="20"/>
        <v>0</v>
      </c>
      <c r="AG171" s="28">
        <f t="shared" si="21"/>
        <v>0</v>
      </c>
    </row>
    <row r="172" spans="1:33" ht="43.2" x14ac:dyDescent="0.3">
      <c r="A172" s="41" t="s">
        <v>836</v>
      </c>
      <c r="B172" s="41" t="s">
        <v>992</v>
      </c>
      <c r="C172" s="41" t="s">
        <v>1046</v>
      </c>
      <c r="D172" s="41" t="s">
        <v>1047</v>
      </c>
      <c r="E172" s="41" t="s">
        <v>157</v>
      </c>
      <c r="F172" s="41" t="s">
        <v>713</v>
      </c>
      <c r="G172" s="67">
        <v>45000</v>
      </c>
      <c r="H172" s="41">
        <v>25</v>
      </c>
      <c r="I172" s="41">
        <v>5</v>
      </c>
      <c r="J172" s="67">
        <f t="shared" si="29"/>
        <v>5625000</v>
      </c>
      <c r="K172" s="41">
        <v>30</v>
      </c>
      <c r="L172" s="41">
        <v>5</v>
      </c>
      <c r="M172" s="67">
        <f t="shared" si="22"/>
        <v>7425000.0000000009</v>
      </c>
      <c r="N172" s="41">
        <v>0</v>
      </c>
      <c r="O172" s="41">
        <v>0</v>
      </c>
      <c r="P172" s="67">
        <f t="shared" si="23"/>
        <v>0</v>
      </c>
      <c r="Q172" s="41">
        <v>25</v>
      </c>
      <c r="R172" s="41">
        <v>5</v>
      </c>
      <c r="S172" s="67">
        <f t="shared" si="24"/>
        <v>7486875.0000000019</v>
      </c>
      <c r="T172" s="41">
        <v>0</v>
      </c>
      <c r="U172" s="41">
        <v>0</v>
      </c>
      <c r="V172" s="67">
        <f t="shared" si="25"/>
        <v>0</v>
      </c>
      <c r="Y172" s="67">
        <f t="shared" si="26"/>
        <v>0</v>
      </c>
      <c r="AB172" s="67">
        <f t="shared" si="27"/>
        <v>0</v>
      </c>
      <c r="AC172" s="41">
        <v>25</v>
      </c>
      <c r="AD172" s="41">
        <v>5</v>
      </c>
      <c r="AE172" s="67">
        <f t="shared" si="28"/>
        <v>10961533.687500006</v>
      </c>
      <c r="AF172" s="28">
        <f t="shared" si="20"/>
        <v>31498408.687500007</v>
      </c>
      <c r="AG172" s="28">
        <f t="shared" si="21"/>
        <v>30580.979308252434</v>
      </c>
    </row>
    <row r="173" spans="1:33" ht="43.2" x14ac:dyDescent="0.3">
      <c r="A173" s="41" t="s">
        <v>836</v>
      </c>
      <c r="B173" s="41" t="s">
        <v>992</v>
      </c>
      <c r="C173" s="41" t="s">
        <v>1046</v>
      </c>
      <c r="D173" s="41" t="s">
        <v>1047</v>
      </c>
      <c r="E173" s="41" t="s">
        <v>157</v>
      </c>
      <c r="F173" s="41" t="s">
        <v>712</v>
      </c>
      <c r="G173" s="67">
        <f>1999.2/7</f>
        <v>285.60000000000002</v>
      </c>
      <c r="H173" s="41">
        <v>25</v>
      </c>
      <c r="I173" s="41">
        <v>5</v>
      </c>
      <c r="J173" s="67">
        <f t="shared" si="29"/>
        <v>35700.000000000007</v>
      </c>
      <c r="K173" s="41">
        <v>25</v>
      </c>
      <c r="L173" s="41">
        <v>10</v>
      </c>
      <c r="M173" s="67">
        <f t="shared" si="22"/>
        <v>78540.000000000015</v>
      </c>
      <c r="N173" s="41">
        <v>0</v>
      </c>
      <c r="O173" s="41">
        <v>0</v>
      </c>
      <c r="P173" s="67">
        <f t="shared" si="23"/>
        <v>0</v>
      </c>
      <c r="Q173" s="41">
        <v>25</v>
      </c>
      <c r="R173" s="41">
        <v>5</v>
      </c>
      <c r="S173" s="67">
        <f t="shared" si="24"/>
        <v>47516.700000000019</v>
      </c>
      <c r="T173" s="41">
        <v>0</v>
      </c>
      <c r="U173" s="41">
        <v>0</v>
      </c>
      <c r="V173" s="67">
        <f t="shared" si="25"/>
        <v>0</v>
      </c>
      <c r="Y173" s="67">
        <f t="shared" si="26"/>
        <v>0</v>
      </c>
      <c r="AB173" s="67">
        <f t="shared" si="27"/>
        <v>0</v>
      </c>
      <c r="AC173" s="41">
        <v>25</v>
      </c>
      <c r="AD173" s="41">
        <v>5</v>
      </c>
      <c r="AE173" s="67">
        <f t="shared" si="28"/>
        <v>69569.200470000054</v>
      </c>
      <c r="AF173" s="28">
        <f t="shared" si="20"/>
        <v>231325.90047000011</v>
      </c>
      <c r="AG173" s="28">
        <f t="shared" si="21"/>
        <v>224.58825288349524</v>
      </c>
    </row>
    <row r="174" spans="1:33" ht="43.2" x14ac:dyDescent="0.3">
      <c r="A174" s="41" t="s">
        <v>836</v>
      </c>
      <c r="B174" s="41" t="s">
        <v>992</v>
      </c>
      <c r="C174" s="41" t="s">
        <v>1046</v>
      </c>
      <c r="D174" s="41" t="s">
        <v>1047</v>
      </c>
      <c r="E174" s="41" t="s">
        <v>157</v>
      </c>
      <c r="F174" s="41" t="s">
        <v>714</v>
      </c>
      <c r="G174" s="67">
        <v>10000</v>
      </c>
      <c r="H174" s="41">
        <v>15</v>
      </c>
      <c r="I174" s="41">
        <v>1</v>
      </c>
      <c r="J174" s="67">
        <f t="shared" si="29"/>
        <v>150000</v>
      </c>
      <c r="K174" s="41">
        <v>20000</v>
      </c>
      <c r="L174" s="41">
        <v>1</v>
      </c>
      <c r="M174" s="67">
        <f t="shared" si="22"/>
        <v>220000000</v>
      </c>
      <c r="N174" s="41">
        <v>0</v>
      </c>
      <c r="O174" s="41">
        <v>0</v>
      </c>
      <c r="P174" s="67">
        <f t="shared" si="23"/>
        <v>0</v>
      </c>
      <c r="Q174" s="41">
        <v>15</v>
      </c>
      <c r="R174" s="41">
        <v>1</v>
      </c>
      <c r="S174" s="67">
        <f t="shared" si="24"/>
        <v>199650.00000000006</v>
      </c>
      <c r="T174" s="41">
        <v>0</v>
      </c>
      <c r="U174" s="41">
        <v>0</v>
      </c>
      <c r="V174" s="67">
        <f t="shared" si="25"/>
        <v>0</v>
      </c>
      <c r="Y174" s="67">
        <f t="shared" si="26"/>
        <v>0</v>
      </c>
      <c r="AB174" s="67">
        <f t="shared" si="27"/>
        <v>0</v>
      </c>
      <c r="AC174" s="41">
        <v>15</v>
      </c>
      <c r="AD174" s="41">
        <v>1</v>
      </c>
      <c r="AE174" s="67">
        <f t="shared" si="28"/>
        <v>292307.56500000018</v>
      </c>
      <c r="AF174" s="28">
        <f t="shared" si="20"/>
        <v>220641957.565</v>
      </c>
      <c r="AG174" s="28">
        <f t="shared" si="21"/>
        <v>214215.49278155339</v>
      </c>
    </row>
    <row r="175" spans="1:33" ht="43.2" x14ac:dyDescent="0.3">
      <c r="A175" s="41" t="s">
        <v>836</v>
      </c>
      <c r="B175" s="41" t="s">
        <v>992</v>
      </c>
      <c r="C175" s="41" t="s">
        <v>1046</v>
      </c>
      <c r="D175" s="41" t="s">
        <v>1047</v>
      </c>
      <c r="E175" s="41" t="s">
        <v>157</v>
      </c>
      <c r="F175" s="41" t="s">
        <v>715</v>
      </c>
      <c r="G175" s="67">
        <v>302000</v>
      </c>
      <c r="H175" s="41">
        <v>15</v>
      </c>
      <c r="I175" s="41">
        <v>1</v>
      </c>
      <c r="J175" s="67">
        <f t="shared" si="29"/>
        <v>4530000</v>
      </c>
      <c r="K175" s="41">
        <v>15</v>
      </c>
      <c r="L175" s="41">
        <v>1</v>
      </c>
      <c r="M175" s="67">
        <f t="shared" si="22"/>
        <v>4983000</v>
      </c>
      <c r="N175" s="41">
        <v>0</v>
      </c>
      <c r="O175" s="41">
        <v>0</v>
      </c>
      <c r="P175" s="67">
        <f t="shared" si="23"/>
        <v>0</v>
      </c>
      <c r="Q175" s="41">
        <v>15</v>
      </c>
      <c r="R175" s="41">
        <v>1</v>
      </c>
      <c r="S175" s="67">
        <f t="shared" si="24"/>
        <v>6029430.0000000019</v>
      </c>
      <c r="T175" s="41">
        <v>0</v>
      </c>
      <c r="U175" s="41">
        <v>0</v>
      </c>
      <c r="V175" s="67">
        <f t="shared" si="25"/>
        <v>0</v>
      </c>
      <c r="Y175" s="67">
        <f t="shared" si="26"/>
        <v>0</v>
      </c>
      <c r="AB175" s="67">
        <f t="shared" si="27"/>
        <v>0</v>
      </c>
      <c r="AC175" s="41">
        <v>15</v>
      </c>
      <c r="AD175" s="41">
        <v>1</v>
      </c>
      <c r="AE175" s="67">
        <f t="shared" si="28"/>
        <v>8827688.4630000051</v>
      </c>
      <c r="AF175" s="28">
        <f t="shared" si="20"/>
        <v>24370118.463000007</v>
      </c>
      <c r="AG175" s="28">
        <f t="shared" si="21"/>
        <v>23660.309187378647</v>
      </c>
    </row>
    <row r="176" spans="1:33" ht="43.2" x14ac:dyDescent="0.3">
      <c r="A176" s="41" t="s">
        <v>836</v>
      </c>
      <c r="B176" s="41" t="s">
        <v>992</v>
      </c>
      <c r="C176" s="41" t="s">
        <v>1046</v>
      </c>
      <c r="D176" s="41" t="s">
        <v>1047</v>
      </c>
      <c r="E176" s="41" t="s">
        <v>1004</v>
      </c>
      <c r="F176" s="41" t="s">
        <v>709</v>
      </c>
      <c r="G176" s="67">
        <v>35000</v>
      </c>
      <c r="H176" s="41">
        <v>25</v>
      </c>
      <c r="I176" s="41">
        <v>5</v>
      </c>
      <c r="J176" s="67">
        <f t="shared" si="29"/>
        <v>4375000</v>
      </c>
      <c r="K176" s="41">
        <v>20</v>
      </c>
      <c r="L176" s="41">
        <v>1</v>
      </c>
      <c r="M176" s="67">
        <f t="shared" si="22"/>
        <v>770000</v>
      </c>
      <c r="N176" s="41">
        <v>0</v>
      </c>
      <c r="O176" s="41">
        <v>0</v>
      </c>
      <c r="P176" s="67">
        <f t="shared" si="23"/>
        <v>0</v>
      </c>
      <c r="Q176" s="41">
        <v>25</v>
      </c>
      <c r="R176" s="41">
        <v>5</v>
      </c>
      <c r="S176" s="67">
        <f t="shared" si="24"/>
        <v>5823125.0000000019</v>
      </c>
      <c r="T176" s="41">
        <v>0</v>
      </c>
      <c r="U176" s="41">
        <v>0</v>
      </c>
      <c r="V176" s="67">
        <f t="shared" si="25"/>
        <v>0</v>
      </c>
      <c r="Y176" s="67">
        <f t="shared" si="26"/>
        <v>0</v>
      </c>
      <c r="AB176" s="67">
        <f t="shared" si="27"/>
        <v>0</v>
      </c>
      <c r="AC176" s="41">
        <v>25</v>
      </c>
      <c r="AD176" s="41">
        <v>5</v>
      </c>
      <c r="AE176" s="67">
        <f t="shared" si="28"/>
        <v>8525637.3125000037</v>
      </c>
      <c r="AF176" s="28">
        <f t="shared" si="20"/>
        <v>19493762.312500007</v>
      </c>
      <c r="AG176" s="28">
        <f t="shared" si="21"/>
        <v>18925.982827669912</v>
      </c>
    </row>
    <row r="177" spans="1:33" ht="43.2" x14ac:dyDescent="0.3">
      <c r="A177" s="41" t="s">
        <v>836</v>
      </c>
      <c r="B177" s="41" t="s">
        <v>992</v>
      </c>
      <c r="C177" s="41" t="s">
        <v>1046</v>
      </c>
      <c r="D177" s="41" t="s">
        <v>1047</v>
      </c>
      <c r="E177" s="41" t="s">
        <v>1004</v>
      </c>
      <c r="F177" s="41" t="s">
        <v>716</v>
      </c>
      <c r="G177" s="67">
        <v>39000</v>
      </c>
      <c r="H177" s="41">
        <v>25</v>
      </c>
      <c r="I177" s="41">
        <v>6</v>
      </c>
      <c r="J177" s="67">
        <f>G177*H177*I177</f>
        <v>5850000</v>
      </c>
      <c r="K177" s="41">
        <v>25</v>
      </c>
      <c r="L177" s="41">
        <v>5</v>
      </c>
      <c r="M177" s="67">
        <f t="shared" si="22"/>
        <v>5362500</v>
      </c>
      <c r="N177" s="41">
        <v>0</v>
      </c>
      <c r="O177" s="41">
        <v>0</v>
      </c>
      <c r="P177" s="67">
        <f t="shared" si="23"/>
        <v>0</v>
      </c>
      <c r="Q177" s="41">
        <v>25</v>
      </c>
      <c r="R177" s="41">
        <v>6</v>
      </c>
      <c r="S177" s="67">
        <f t="shared" si="24"/>
        <v>7786350.0000000028</v>
      </c>
      <c r="T177" s="41">
        <v>0</v>
      </c>
      <c r="U177" s="41">
        <v>0</v>
      </c>
      <c r="V177" s="67">
        <f t="shared" si="25"/>
        <v>0</v>
      </c>
      <c r="Y177" s="67">
        <f t="shared" si="26"/>
        <v>0</v>
      </c>
      <c r="AB177" s="67">
        <f t="shared" si="27"/>
        <v>0</v>
      </c>
      <c r="AC177" s="41">
        <v>25</v>
      </c>
      <c r="AD177" s="41">
        <v>6</v>
      </c>
      <c r="AE177" s="67">
        <f t="shared" si="28"/>
        <v>11399995.035000006</v>
      </c>
      <c r="AF177" s="28">
        <f t="shared" si="20"/>
        <v>30398845.035000011</v>
      </c>
      <c r="AG177" s="28">
        <f t="shared" si="21"/>
        <v>29513.441781553411</v>
      </c>
    </row>
    <row r="178" spans="1:33" s="62" customFormat="1" ht="43.2" x14ac:dyDescent="0.3">
      <c r="A178" s="41" t="s">
        <v>836</v>
      </c>
      <c r="B178" s="41" t="s">
        <v>992</v>
      </c>
      <c r="C178" s="41" t="s">
        <v>1046</v>
      </c>
      <c r="D178" s="41" t="s">
        <v>1047</v>
      </c>
      <c r="E178" s="41" t="s">
        <v>1004</v>
      </c>
      <c r="F178" s="41" t="s">
        <v>1299</v>
      </c>
      <c r="G178" s="67">
        <f>1999.2/7</f>
        <v>285.60000000000002</v>
      </c>
      <c r="H178" s="41">
        <f>2*135*9</f>
        <v>2430</v>
      </c>
      <c r="I178" s="41">
        <v>1</v>
      </c>
      <c r="J178" s="67">
        <f>G178*H178*I178</f>
        <v>694008</v>
      </c>
      <c r="K178" s="41"/>
      <c r="L178" s="41"/>
      <c r="M178" s="67">
        <f t="shared" si="22"/>
        <v>0</v>
      </c>
      <c r="N178" s="41"/>
      <c r="O178" s="41"/>
      <c r="P178" s="67">
        <f t="shared" si="23"/>
        <v>0</v>
      </c>
      <c r="Q178" s="41">
        <f>2*135*9</f>
        <v>2430</v>
      </c>
      <c r="R178" s="41">
        <v>1</v>
      </c>
      <c r="S178" s="67">
        <f t="shared" si="24"/>
        <v>923724.64800000039</v>
      </c>
      <c r="T178" s="41"/>
      <c r="U178" s="41"/>
      <c r="V178" s="67">
        <f t="shared" si="25"/>
        <v>0</v>
      </c>
      <c r="W178"/>
      <c r="X178"/>
      <c r="Y178" s="67">
        <f t="shared" si="26"/>
        <v>0</v>
      </c>
      <c r="Z178"/>
      <c r="AA178"/>
      <c r="AB178" s="67">
        <f t="shared" si="27"/>
        <v>0</v>
      </c>
      <c r="AC178" s="41">
        <f>2*135*9</f>
        <v>2430</v>
      </c>
      <c r="AD178" s="41">
        <v>1</v>
      </c>
      <c r="AE178" s="67">
        <f t="shared" si="28"/>
        <v>1352425.257136801</v>
      </c>
      <c r="AF178" s="28">
        <f t="shared" si="20"/>
        <v>2970157.9051368013</v>
      </c>
      <c r="AG178" s="28">
        <f t="shared" si="21"/>
        <v>2883.6484515891275</v>
      </c>
    </row>
    <row r="179" spans="1:33" ht="43.2" x14ac:dyDescent="0.3">
      <c r="A179" s="41" t="s">
        <v>836</v>
      </c>
      <c r="B179" s="41" t="s">
        <v>992</v>
      </c>
      <c r="C179" s="41" t="s">
        <v>1046</v>
      </c>
      <c r="D179" s="41" t="s">
        <v>1047</v>
      </c>
      <c r="E179" s="41" t="s">
        <v>1004</v>
      </c>
      <c r="F179" s="41" t="s">
        <v>712</v>
      </c>
      <c r="G179" s="67">
        <f>1999.2/7</f>
        <v>285.60000000000002</v>
      </c>
      <c r="H179" s="41">
        <f>2*25*9</f>
        <v>450</v>
      </c>
      <c r="I179" s="41">
        <v>5</v>
      </c>
      <c r="J179" s="67">
        <f>G179*H179*I179</f>
        <v>642600.00000000012</v>
      </c>
      <c r="K179" s="41">
        <v>25</v>
      </c>
      <c r="L179" s="41">
        <v>5</v>
      </c>
      <c r="M179" s="67">
        <f t="shared" si="22"/>
        <v>39270.000000000007</v>
      </c>
      <c r="N179" s="41">
        <v>0</v>
      </c>
      <c r="O179" s="41">
        <v>0</v>
      </c>
      <c r="P179" s="67">
        <f t="shared" si="23"/>
        <v>0</v>
      </c>
      <c r="Q179" s="41">
        <f>2*25*9</f>
        <v>450</v>
      </c>
      <c r="R179" s="41">
        <v>5</v>
      </c>
      <c r="S179" s="67">
        <f t="shared" si="24"/>
        <v>855300.60000000044</v>
      </c>
      <c r="T179" s="41">
        <v>0</v>
      </c>
      <c r="U179" s="41">
        <v>0</v>
      </c>
      <c r="V179" s="67">
        <f t="shared" si="25"/>
        <v>0</v>
      </c>
      <c r="Y179" s="67">
        <f t="shared" si="26"/>
        <v>0</v>
      </c>
      <c r="AB179" s="67">
        <f t="shared" si="27"/>
        <v>0</v>
      </c>
      <c r="AC179" s="41">
        <f>2*25*9</f>
        <v>450</v>
      </c>
      <c r="AD179" s="41">
        <v>5</v>
      </c>
      <c r="AE179" s="67">
        <f t="shared" si="28"/>
        <v>1252245.6084600009</v>
      </c>
      <c r="AF179" s="28">
        <f t="shared" si="20"/>
        <v>2789416.2084600013</v>
      </c>
      <c r="AG179" s="28">
        <f t="shared" si="21"/>
        <v>2708.1710761747586</v>
      </c>
    </row>
    <row r="180" spans="1:33" ht="43.2" x14ac:dyDescent="0.3">
      <c r="A180" s="41" t="s">
        <v>836</v>
      </c>
      <c r="B180" s="41" t="s">
        <v>992</v>
      </c>
      <c r="C180" s="41" t="s">
        <v>1046</v>
      </c>
      <c r="D180" s="41" t="s">
        <v>1047</v>
      </c>
      <c r="E180" s="41" t="s">
        <v>1028</v>
      </c>
      <c r="F180" s="41" t="s">
        <v>841</v>
      </c>
      <c r="G180" s="67">
        <v>0</v>
      </c>
      <c r="H180" s="41">
        <v>0</v>
      </c>
      <c r="I180" s="41">
        <v>0</v>
      </c>
      <c r="J180" s="67">
        <f t="shared" si="29"/>
        <v>0</v>
      </c>
      <c r="K180" s="41">
        <v>4000</v>
      </c>
      <c r="L180" s="41">
        <v>1</v>
      </c>
      <c r="M180" s="67">
        <f t="shared" si="22"/>
        <v>0</v>
      </c>
      <c r="N180" s="41">
        <v>0</v>
      </c>
      <c r="O180" s="41">
        <v>0</v>
      </c>
      <c r="P180" s="67">
        <f t="shared" si="23"/>
        <v>0</v>
      </c>
      <c r="Q180" s="41">
        <v>0</v>
      </c>
      <c r="R180" s="41">
        <v>0</v>
      </c>
      <c r="S180" s="67">
        <f t="shared" si="24"/>
        <v>0</v>
      </c>
      <c r="T180" s="41">
        <v>0</v>
      </c>
      <c r="U180" s="41">
        <v>0</v>
      </c>
      <c r="V180" s="67">
        <f t="shared" si="25"/>
        <v>0</v>
      </c>
      <c r="Y180" s="67">
        <f t="shared" si="26"/>
        <v>0</v>
      </c>
      <c r="AB180" s="67">
        <f t="shared" si="27"/>
        <v>0</v>
      </c>
      <c r="AC180" s="41">
        <v>0</v>
      </c>
      <c r="AD180" s="41">
        <v>0</v>
      </c>
      <c r="AE180" s="67">
        <f t="shared" si="28"/>
        <v>0</v>
      </c>
      <c r="AF180" s="28">
        <f t="shared" si="20"/>
        <v>0</v>
      </c>
      <c r="AG180" s="28">
        <f t="shared" si="21"/>
        <v>0</v>
      </c>
    </row>
    <row r="181" spans="1:33" ht="43.2" x14ac:dyDescent="0.3">
      <c r="A181" s="41" t="s">
        <v>836</v>
      </c>
      <c r="B181" s="41" t="s">
        <v>992</v>
      </c>
      <c r="C181" s="41" t="s">
        <v>1046</v>
      </c>
      <c r="D181" s="41" t="s">
        <v>1047</v>
      </c>
      <c r="E181" s="41" t="s">
        <v>168</v>
      </c>
      <c r="F181" s="41" t="s">
        <v>709</v>
      </c>
      <c r="G181" s="67">
        <v>35000</v>
      </c>
      <c r="H181" s="41">
        <v>100</v>
      </c>
      <c r="I181" s="41">
        <v>5</v>
      </c>
      <c r="J181" s="67">
        <f t="shared" si="29"/>
        <v>17500000</v>
      </c>
      <c r="K181" s="41">
        <v>25</v>
      </c>
      <c r="L181" s="41">
        <v>5</v>
      </c>
      <c r="M181" s="67">
        <f t="shared" si="22"/>
        <v>4812500</v>
      </c>
      <c r="N181" s="41">
        <v>0</v>
      </c>
      <c r="O181" s="41">
        <v>0</v>
      </c>
      <c r="P181" s="67">
        <f t="shared" si="23"/>
        <v>0</v>
      </c>
      <c r="Q181" s="41">
        <v>100</v>
      </c>
      <c r="R181" s="41">
        <v>5</v>
      </c>
      <c r="S181" s="67">
        <f t="shared" si="24"/>
        <v>23292500.000000007</v>
      </c>
      <c r="T181" s="41">
        <v>0</v>
      </c>
      <c r="U181" s="41">
        <v>0</v>
      </c>
      <c r="V181" s="67">
        <f t="shared" si="25"/>
        <v>0</v>
      </c>
      <c r="Y181" s="67">
        <f t="shared" si="26"/>
        <v>0</v>
      </c>
      <c r="AB181" s="67">
        <f t="shared" si="27"/>
        <v>0</v>
      </c>
      <c r="AC181" s="41">
        <v>100</v>
      </c>
      <c r="AD181" s="41">
        <v>5</v>
      </c>
      <c r="AE181" s="67">
        <f t="shared" si="28"/>
        <v>34102549.250000015</v>
      </c>
      <c r="AF181" s="28">
        <f t="shared" si="20"/>
        <v>79707549.25000003</v>
      </c>
      <c r="AG181" s="28">
        <f t="shared" si="21"/>
        <v>77385.970145631101</v>
      </c>
    </row>
    <row r="182" spans="1:33" ht="43.2" x14ac:dyDescent="0.3">
      <c r="A182" s="41" t="s">
        <v>836</v>
      </c>
      <c r="B182" s="41" t="s">
        <v>992</v>
      </c>
      <c r="C182" s="41" t="s">
        <v>1046</v>
      </c>
      <c r="D182" s="41" t="s">
        <v>1047</v>
      </c>
      <c r="E182" s="41" t="s">
        <v>168</v>
      </c>
      <c r="F182" s="41" t="s">
        <v>716</v>
      </c>
      <c r="G182" s="67">
        <v>39000</v>
      </c>
      <c r="H182" s="41">
        <v>58</v>
      </c>
      <c r="I182" s="41">
        <v>5</v>
      </c>
      <c r="J182" s="67">
        <f t="shared" si="29"/>
        <v>11310000</v>
      </c>
      <c r="K182" s="41"/>
      <c r="L182" s="41"/>
      <c r="M182" s="67"/>
      <c r="N182" s="41"/>
      <c r="O182" s="41"/>
      <c r="P182" s="67"/>
      <c r="Q182" s="41">
        <v>58</v>
      </c>
      <c r="R182" s="41">
        <v>5</v>
      </c>
      <c r="S182" s="67"/>
      <c r="T182" s="41"/>
      <c r="U182" s="41"/>
      <c r="V182" s="67"/>
      <c r="Y182" s="67">
        <f t="shared" si="26"/>
        <v>0</v>
      </c>
      <c r="AB182" s="67">
        <f t="shared" si="27"/>
        <v>0</v>
      </c>
      <c r="AC182" s="41">
        <v>58</v>
      </c>
      <c r="AD182" s="41">
        <v>5</v>
      </c>
      <c r="AE182" s="67">
        <f t="shared" si="28"/>
        <v>22039990.401000012</v>
      </c>
      <c r="AF182" s="28">
        <f t="shared" si="20"/>
        <v>33349990.401000012</v>
      </c>
      <c r="AG182" s="28">
        <f t="shared" si="21"/>
        <v>32378.631457281565</v>
      </c>
    </row>
    <row r="183" spans="1:33" ht="43.2" x14ac:dyDescent="0.3">
      <c r="A183" s="41" t="s">
        <v>836</v>
      </c>
      <c r="B183" s="41" t="s">
        <v>992</v>
      </c>
      <c r="C183" s="41" t="s">
        <v>1046</v>
      </c>
      <c r="D183" s="41" t="s">
        <v>1047</v>
      </c>
      <c r="E183" s="41" t="s">
        <v>168</v>
      </c>
      <c r="F183" s="41" t="s">
        <v>1299</v>
      </c>
      <c r="G183" s="67">
        <f>1999.2/7</f>
        <v>285.60000000000002</v>
      </c>
      <c r="H183" s="41">
        <v>22500</v>
      </c>
      <c r="I183" s="41">
        <v>1</v>
      </c>
      <c r="J183" s="67"/>
      <c r="K183" s="41"/>
      <c r="L183" s="41"/>
      <c r="M183" s="67"/>
      <c r="N183" s="41"/>
      <c r="O183" s="41"/>
      <c r="P183" s="67"/>
      <c r="Q183" s="41">
        <v>22500</v>
      </c>
      <c r="R183" s="41">
        <v>1</v>
      </c>
      <c r="S183" s="67"/>
      <c r="T183" s="41"/>
      <c r="U183" s="41"/>
      <c r="V183" s="67"/>
      <c r="Y183" s="67"/>
      <c r="AB183" s="67"/>
      <c r="AC183" s="41">
        <v>22500</v>
      </c>
      <c r="AD183" s="41">
        <v>1</v>
      </c>
      <c r="AE183" s="67"/>
      <c r="AF183" s="28">
        <f t="shared" si="20"/>
        <v>0</v>
      </c>
      <c r="AG183" s="28">
        <f t="shared" si="21"/>
        <v>0</v>
      </c>
    </row>
    <row r="184" spans="1:33" ht="43.2" x14ac:dyDescent="0.3">
      <c r="A184" s="41" t="s">
        <v>836</v>
      </c>
      <c r="B184" s="41" t="s">
        <v>992</v>
      </c>
      <c r="C184" s="41" t="s">
        <v>1046</v>
      </c>
      <c r="D184" s="41" t="s">
        <v>1047</v>
      </c>
      <c r="E184" s="41" t="s">
        <v>168</v>
      </c>
      <c r="F184" s="41" t="s">
        <v>1029</v>
      </c>
      <c r="G184" s="67">
        <f>1999.2/7</f>
        <v>285.60000000000002</v>
      </c>
      <c r="H184" s="41">
        <v>100</v>
      </c>
      <c r="I184" s="41">
        <v>5</v>
      </c>
      <c r="J184" s="67">
        <f t="shared" si="29"/>
        <v>142800.00000000003</v>
      </c>
      <c r="K184" s="41">
        <v>50</v>
      </c>
      <c r="L184" s="41">
        <v>1</v>
      </c>
      <c r="M184" s="67">
        <f t="shared" si="22"/>
        <v>15708.000000000002</v>
      </c>
      <c r="N184" s="41">
        <v>0</v>
      </c>
      <c r="O184" s="41">
        <v>0</v>
      </c>
      <c r="P184" s="67">
        <f t="shared" si="23"/>
        <v>0</v>
      </c>
      <c r="Q184" s="41">
        <v>100</v>
      </c>
      <c r="R184" s="41">
        <v>5</v>
      </c>
      <c r="S184" s="67">
        <f t="shared" si="24"/>
        <v>190066.80000000008</v>
      </c>
      <c r="T184" s="41">
        <v>0</v>
      </c>
      <c r="U184" s="41">
        <v>0</v>
      </c>
      <c r="V184" s="67">
        <f t="shared" si="25"/>
        <v>0</v>
      </c>
      <c r="Y184" s="67">
        <f t="shared" si="26"/>
        <v>0</v>
      </c>
      <c r="AB184" s="67">
        <f t="shared" si="27"/>
        <v>0</v>
      </c>
      <c r="AC184" s="41">
        <v>100</v>
      </c>
      <c r="AD184" s="41">
        <v>5</v>
      </c>
      <c r="AE184" s="67">
        <f t="shared" si="28"/>
        <v>278276.80188000022</v>
      </c>
      <c r="AF184" s="28">
        <f t="shared" si="20"/>
        <v>626851.60188000032</v>
      </c>
      <c r="AG184" s="28">
        <f t="shared" si="21"/>
        <v>608.59378823301006</v>
      </c>
    </row>
    <row r="185" spans="1:33" ht="43.2" x14ac:dyDescent="0.3">
      <c r="A185" s="41" t="s">
        <v>836</v>
      </c>
      <c r="B185" s="41" t="s">
        <v>992</v>
      </c>
      <c r="C185" s="41" t="s">
        <v>1046</v>
      </c>
      <c r="D185" s="41" t="s">
        <v>1047</v>
      </c>
      <c r="E185" s="41" t="s">
        <v>1030</v>
      </c>
      <c r="F185" s="41" t="s">
        <v>709</v>
      </c>
      <c r="G185" s="67">
        <v>35000</v>
      </c>
      <c r="H185" s="41">
        <v>50</v>
      </c>
      <c r="I185" s="41">
        <v>1</v>
      </c>
      <c r="J185" s="67">
        <f t="shared" si="29"/>
        <v>1750000</v>
      </c>
      <c r="K185" s="41">
        <v>8000</v>
      </c>
      <c r="L185" s="41">
        <v>1</v>
      </c>
      <c r="M185" s="67">
        <f t="shared" si="22"/>
        <v>308000000</v>
      </c>
      <c r="N185" s="41">
        <v>0</v>
      </c>
      <c r="O185" s="41">
        <v>0</v>
      </c>
      <c r="P185" s="67">
        <f t="shared" si="23"/>
        <v>0</v>
      </c>
      <c r="Q185" s="41">
        <v>50</v>
      </c>
      <c r="R185" s="41">
        <v>1</v>
      </c>
      <c r="S185" s="67">
        <f t="shared" si="24"/>
        <v>2329250.0000000009</v>
      </c>
      <c r="T185" s="41">
        <v>0</v>
      </c>
      <c r="U185" s="41">
        <v>0</v>
      </c>
      <c r="V185" s="67">
        <f t="shared" si="25"/>
        <v>0</v>
      </c>
      <c r="Y185" s="67">
        <f t="shared" si="26"/>
        <v>0</v>
      </c>
      <c r="AB185" s="67">
        <f t="shared" si="27"/>
        <v>0</v>
      </c>
      <c r="AC185" s="41">
        <v>50</v>
      </c>
      <c r="AD185" s="41">
        <v>1</v>
      </c>
      <c r="AE185" s="67">
        <f t="shared" si="28"/>
        <v>3410254.9250000017</v>
      </c>
      <c r="AF185" s="28">
        <f t="shared" si="20"/>
        <v>315489504.92500001</v>
      </c>
      <c r="AG185" s="28">
        <f t="shared" si="21"/>
        <v>306300.49021844659</v>
      </c>
    </row>
    <row r="186" spans="1:33" ht="43.2" x14ac:dyDescent="0.3">
      <c r="A186" s="41" t="s">
        <v>836</v>
      </c>
      <c r="B186" s="41" t="s">
        <v>992</v>
      </c>
      <c r="C186" s="41" t="s">
        <v>1046</v>
      </c>
      <c r="D186" s="41" t="s">
        <v>1047</v>
      </c>
      <c r="E186" s="41" t="s">
        <v>1030</v>
      </c>
      <c r="F186" s="41" t="s">
        <v>716</v>
      </c>
      <c r="G186" s="67">
        <v>39000</v>
      </c>
      <c r="H186" s="41"/>
      <c r="I186" s="41"/>
      <c r="J186" s="67">
        <f t="shared" si="29"/>
        <v>0</v>
      </c>
      <c r="K186" s="41"/>
      <c r="L186" s="41"/>
      <c r="M186" s="67"/>
      <c r="N186" s="41"/>
      <c r="O186" s="41"/>
      <c r="P186" s="67"/>
      <c r="Q186" s="41"/>
      <c r="R186" s="41"/>
      <c r="S186" s="67"/>
      <c r="T186" s="41"/>
      <c r="U186" s="41"/>
      <c r="V186" s="67"/>
      <c r="Y186" s="67">
        <f t="shared" si="26"/>
        <v>0</v>
      </c>
      <c r="AB186" s="67">
        <f t="shared" si="27"/>
        <v>0</v>
      </c>
      <c r="AC186" s="41"/>
      <c r="AD186" s="41"/>
      <c r="AE186" s="67">
        <f t="shared" si="28"/>
        <v>0</v>
      </c>
      <c r="AF186" s="28">
        <f t="shared" si="20"/>
        <v>0</v>
      </c>
      <c r="AG186" s="28">
        <f t="shared" si="21"/>
        <v>0</v>
      </c>
    </row>
    <row r="187" spans="1:33" ht="43.2" x14ac:dyDescent="0.3">
      <c r="A187" s="41" t="s">
        <v>836</v>
      </c>
      <c r="B187" s="41" t="s">
        <v>992</v>
      </c>
      <c r="C187" s="41" t="s">
        <v>1046</v>
      </c>
      <c r="D187" s="41" t="s">
        <v>1047</v>
      </c>
      <c r="E187" s="41" t="s">
        <v>1030</v>
      </c>
      <c r="F187" s="41" t="s">
        <v>1366</v>
      </c>
      <c r="G187" s="67">
        <f>1999.2/7</f>
        <v>285.60000000000002</v>
      </c>
      <c r="H187" s="41"/>
      <c r="I187" s="41"/>
      <c r="J187" s="67"/>
      <c r="K187" s="41"/>
      <c r="L187" s="41"/>
      <c r="M187" s="67"/>
      <c r="N187" s="41"/>
      <c r="O187" s="41"/>
      <c r="P187" s="67"/>
      <c r="Q187" s="41"/>
      <c r="R187" s="41"/>
      <c r="S187" s="67"/>
      <c r="T187" s="41"/>
      <c r="U187" s="41"/>
      <c r="V187" s="67"/>
      <c r="Y187" s="67"/>
      <c r="AB187" s="67"/>
      <c r="AC187" s="41"/>
      <c r="AD187" s="41"/>
      <c r="AE187" s="67"/>
      <c r="AF187" s="28">
        <f t="shared" si="20"/>
        <v>0</v>
      </c>
      <c r="AG187" s="28">
        <f t="shared" si="21"/>
        <v>0</v>
      </c>
    </row>
    <row r="188" spans="1:33" ht="43.2" x14ac:dyDescent="0.3">
      <c r="A188" s="41" t="s">
        <v>836</v>
      </c>
      <c r="B188" s="41" t="s">
        <v>992</v>
      </c>
      <c r="C188" s="41" t="s">
        <v>1046</v>
      </c>
      <c r="D188" s="41" t="s">
        <v>1047</v>
      </c>
      <c r="E188" s="41" t="s">
        <v>1030</v>
      </c>
      <c r="F188" s="41" t="s">
        <v>1299</v>
      </c>
      <c r="G188" s="67">
        <f>1999.2/7</f>
        <v>285.60000000000002</v>
      </c>
      <c r="H188" s="41"/>
      <c r="I188" s="41"/>
      <c r="J188" s="67"/>
      <c r="K188" s="41"/>
      <c r="L188" s="41"/>
      <c r="M188" s="67"/>
      <c r="N188" s="41"/>
      <c r="O188" s="41"/>
      <c r="P188" s="67"/>
      <c r="Q188" s="41"/>
      <c r="R188" s="41"/>
      <c r="S188" s="67"/>
      <c r="T188" s="41"/>
      <c r="U188" s="41"/>
      <c r="V188" s="67"/>
      <c r="Y188" s="67"/>
      <c r="AB188" s="67"/>
      <c r="AC188" s="41"/>
      <c r="AD188" s="41"/>
      <c r="AE188" s="67"/>
      <c r="AF188" s="28">
        <f t="shared" si="20"/>
        <v>0</v>
      </c>
      <c r="AG188" s="28">
        <f t="shared" si="21"/>
        <v>0</v>
      </c>
    </row>
    <row r="189" spans="1:33" ht="43.2" x14ac:dyDescent="0.3">
      <c r="A189" s="41" t="s">
        <v>836</v>
      </c>
      <c r="B189" s="41" t="s">
        <v>992</v>
      </c>
      <c r="C189" s="41" t="s">
        <v>1046</v>
      </c>
      <c r="D189" s="41" t="s">
        <v>1047</v>
      </c>
      <c r="E189" s="41" t="s">
        <v>856</v>
      </c>
      <c r="F189" s="41" t="s">
        <v>841</v>
      </c>
      <c r="G189" s="67">
        <v>0</v>
      </c>
      <c r="H189" s="41">
        <v>0</v>
      </c>
      <c r="I189" s="41">
        <v>0</v>
      </c>
      <c r="J189" s="67">
        <f t="shared" si="29"/>
        <v>0</v>
      </c>
      <c r="K189" s="41">
        <v>30</v>
      </c>
      <c r="L189" s="41">
        <v>0.5</v>
      </c>
      <c r="M189" s="67">
        <f t="shared" si="22"/>
        <v>0</v>
      </c>
      <c r="N189" s="41">
        <v>0</v>
      </c>
      <c r="O189" s="41">
        <v>0</v>
      </c>
      <c r="P189" s="67">
        <f t="shared" si="23"/>
        <v>0</v>
      </c>
      <c r="Q189" s="41">
        <v>0</v>
      </c>
      <c r="R189" s="41">
        <v>0</v>
      </c>
      <c r="S189" s="67">
        <f t="shared" si="24"/>
        <v>0</v>
      </c>
      <c r="T189" s="41">
        <v>0</v>
      </c>
      <c r="U189" s="41">
        <v>0</v>
      </c>
      <c r="V189" s="67">
        <f t="shared" si="25"/>
        <v>0</v>
      </c>
      <c r="Y189" s="67">
        <f t="shared" si="26"/>
        <v>0</v>
      </c>
      <c r="AB189" s="67">
        <f t="shared" si="27"/>
        <v>0</v>
      </c>
      <c r="AC189" s="41">
        <v>0</v>
      </c>
      <c r="AD189" s="41">
        <v>0</v>
      </c>
      <c r="AE189" s="67">
        <f t="shared" si="28"/>
        <v>0</v>
      </c>
      <c r="AF189" s="28">
        <f t="shared" si="20"/>
        <v>0</v>
      </c>
      <c r="AG189" s="28">
        <f t="shared" si="21"/>
        <v>0</v>
      </c>
    </row>
    <row r="190" spans="1:33" ht="43.2" x14ac:dyDescent="0.3">
      <c r="A190" s="41" t="s">
        <v>836</v>
      </c>
      <c r="B190" s="41" t="s">
        <v>992</v>
      </c>
      <c r="C190" s="41" t="s">
        <v>1046</v>
      </c>
      <c r="D190" s="41" t="s">
        <v>1047</v>
      </c>
      <c r="E190" s="41" t="s">
        <v>945</v>
      </c>
      <c r="F190" s="41" t="s">
        <v>841</v>
      </c>
      <c r="G190" s="67">
        <v>0</v>
      </c>
      <c r="H190" s="41">
        <v>0</v>
      </c>
      <c r="I190" s="41">
        <v>0</v>
      </c>
      <c r="J190" s="67">
        <f t="shared" si="29"/>
        <v>0</v>
      </c>
      <c r="K190" s="41">
        <v>10</v>
      </c>
      <c r="L190" s="41">
        <v>1</v>
      </c>
      <c r="M190" s="67">
        <f t="shared" si="22"/>
        <v>0</v>
      </c>
      <c r="N190" s="41">
        <v>0</v>
      </c>
      <c r="O190" s="41">
        <v>0</v>
      </c>
      <c r="P190" s="67">
        <f t="shared" si="23"/>
        <v>0</v>
      </c>
      <c r="Q190" s="41">
        <v>0</v>
      </c>
      <c r="R190" s="41">
        <v>0</v>
      </c>
      <c r="S190" s="67">
        <f t="shared" si="24"/>
        <v>0</v>
      </c>
      <c r="T190" s="41">
        <v>0</v>
      </c>
      <c r="U190" s="41">
        <v>0</v>
      </c>
      <c r="V190" s="67">
        <f t="shared" si="25"/>
        <v>0</v>
      </c>
      <c r="Y190" s="67">
        <f t="shared" si="26"/>
        <v>0</v>
      </c>
      <c r="AB190" s="67">
        <f t="shared" si="27"/>
        <v>0</v>
      </c>
      <c r="AC190" s="41">
        <v>0</v>
      </c>
      <c r="AD190" s="41">
        <v>0</v>
      </c>
      <c r="AE190" s="67">
        <f t="shared" si="28"/>
        <v>0</v>
      </c>
      <c r="AF190" s="28">
        <f t="shared" si="20"/>
        <v>0</v>
      </c>
      <c r="AG190" s="28">
        <f t="shared" si="21"/>
        <v>0</v>
      </c>
    </row>
    <row r="191" spans="1:33" ht="43.2" x14ac:dyDescent="0.3">
      <c r="A191" s="41" t="s">
        <v>836</v>
      </c>
      <c r="B191" s="41" t="s">
        <v>992</v>
      </c>
      <c r="C191" s="41" t="s">
        <v>1046</v>
      </c>
      <c r="D191" s="41" t="s">
        <v>1047</v>
      </c>
      <c r="E191" s="41" t="s">
        <v>1050</v>
      </c>
      <c r="F191" s="41" t="s">
        <v>841</v>
      </c>
      <c r="G191" s="67">
        <v>0</v>
      </c>
      <c r="H191" s="41">
        <v>0</v>
      </c>
      <c r="I191" s="41">
        <v>0</v>
      </c>
      <c r="J191" s="67">
        <f t="shared" si="29"/>
        <v>0</v>
      </c>
      <c r="K191" s="41">
        <v>0</v>
      </c>
      <c r="L191" s="41">
        <v>0</v>
      </c>
      <c r="M191" s="67">
        <f t="shared" si="22"/>
        <v>0</v>
      </c>
      <c r="N191" s="41">
        <v>0</v>
      </c>
      <c r="O191" s="41">
        <v>0</v>
      </c>
      <c r="P191" s="67">
        <f t="shared" si="23"/>
        <v>0</v>
      </c>
      <c r="Q191" s="41">
        <v>0</v>
      </c>
      <c r="R191" s="41">
        <v>0</v>
      </c>
      <c r="S191" s="67">
        <f t="shared" si="24"/>
        <v>0</v>
      </c>
      <c r="T191" s="41">
        <v>0</v>
      </c>
      <c r="U191" s="41">
        <v>0</v>
      </c>
      <c r="V191" s="67">
        <f t="shared" si="25"/>
        <v>0</v>
      </c>
      <c r="Y191" s="67">
        <f t="shared" si="26"/>
        <v>0</v>
      </c>
      <c r="AB191" s="67">
        <f t="shared" si="27"/>
        <v>0</v>
      </c>
      <c r="AC191" s="41">
        <v>0</v>
      </c>
      <c r="AD191" s="41">
        <v>0</v>
      </c>
      <c r="AE191" s="67">
        <f t="shared" si="28"/>
        <v>0</v>
      </c>
      <c r="AF191" s="28">
        <f t="shared" si="20"/>
        <v>0</v>
      </c>
      <c r="AG191" s="28">
        <f t="shared" si="21"/>
        <v>0</v>
      </c>
    </row>
    <row r="192" spans="1:33" x14ac:dyDescent="0.3">
      <c r="A192" s="63" t="s">
        <v>1302</v>
      </c>
      <c r="B192" s="63"/>
      <c r="C192" s="63"/>
      <c r="D192" s="63"/>
      <c r="E192" s="63"/>
      <c r="F192" s="63"/>
      <c r="G192" s="68"/>
      <c r="H192" s="63"/>
      <c r="I192" s="63"/>
      <c r="J192" s="68">
        <f>SUM(J155:J191)</f>
        <v>97404622.150000006</v>
      </c>
      <c r="K192" s="63"/>
      <c r="L192" s="63"/>
      <c r="M192" s="63">
        <f>SUM(M149:M191)</f>
        <v>1226036205.2424297</v>
      </c>
      <c r="N192" s="63"/>
      <c r="O192" s="63"/>
      <c r="P192" s="63">
        <f>SUM(P149:P191)</f>
        <v>164746736.76798695</v>
      </c>
      <c r="Q192" s="63"/>
      <c r="R192" s="63"/>
      <c r="S192" s="63">
        <f>SUM(S149:S191)</f>
        <v>9433353273.4963646</v>
      </c>
      <c r="T192" s="63"/>
      <c r="U192" s="63"/>
      <c r="V192" s="63">
        <f>SUM(V149:V191)</f>
        <v>8666997435.3303013</v>
      </c>
      <c r="W192" s="62"/>
      <c r="X192" s="62"/>
      <c r="Y192" s="63">
        <f>SUM(Y149:Y191)</f>
        <v>130578871.20860413</v>
      </c>
      <c r="Z192" s="62"/>
      <c r="AA192" s="62"/>
      <c r="AB192" s="63">
        <f>SUM(AB149:AB191)</f>
        <v>241205697.30200973</v>
      </c>
      <c r="AC192" s="62"/>
      <c r="AD192" s="62"/>
      <c r="AE192" s="63">
        <f>SUM(AE149:AE191)</f>
        <v>178414057.76774389</v>
      </c>
      <c r="AF192" s="28">
        <f t="shared" si="20"/>
        <v>20138736899.265438</v>
      </c>
      <c r="AG192" s="28">
        <f t="shared" si="21"/>
        <v>19552171.746859647</v>
      </c>
    </row>
    <row r="193" spans="1:36" x14ac:dyDescent="0.3">
      <c r="A193" s="98" t="s">
        <v>1411</v>
      </c>
      <c r="B193" s="98"/>
      <c r="C193" s="98"/>
      <c r="D193" s="98"/>
      <c r="E193" s="98"/>
      <c r="F193" s="98"/>
      <c r="G193" s="99"/>
      <c r="H193" s="98"/>
      <c r="I193" s="98"/>
      <c r="J193" s="99">
        <f>SUM(J2:J191)</f>
        <v>2534609385.5389323</v>
      </c>
      <c r="K193" s="98"/>
      <c r="L193" s="98"/>
      <c r="M193" s="99">
        <f>SUM(M2:M191)</f>
        <v>4360025482.8924294</v>
      </c>
      <c r="N193" s="98"/>
      <c r="O193" s="98"/>
      <c r="P193" s="99">
        <f>SUM(P2:P191)</f>
        <v>3181172905.7367191</v>
      </c>
      <c r="Q193" s="98"/>
      <c r="R193" s="98"/>
      <c r="S193" s="99">
        <f>SUM(S2:S191)</f>
        <v>19969790992.04258</v>
      </c>
      <c r="T193" s="98"/>
      <c r="U193" s="98"/>
      <c r="V193" s="99">
        <f>SUM(V2:V191)</f>
        <v>18656435087.157707</v>
      </c>
      <c r="W193" s="98"/>
      <c r="X193" s="98"/>
      <c r="Y193" s="99">
        <f>SUM(Y2:Y191)</f>
        <v>1736996402.4300289</v>
      </c>
      <c r="Z193" s="98"/>
      <c r="AA193" s="98"/>
      <c r="AB193" s="99">
        <f>SUM(AB2:AB191)</f>
        <v>2065912848.5663757</v>
      </c>
      <c r="AC193" s="98"/>
      <c r="AD193" s="98"/>
      <c r="AE193" s="99">
        <f>SUM(AE2:AE191)</f>
        <v>1960483618.126653</v>
      </c>
      <c r="AF193" s="99">
        <f t="shared" si="20"/>
        <v>54465426722.491432</v>
      </c>
      <c r="AG193" s="99">
        <f t="shared" si="21"/>
        <v>52879055.070380032</v>
      </c>
      <c r="AH193" s="98"/>
    </row>
    <row r="194" spans="1:36" x14ac:dyDescent="0.3">
      <c r="A194" s="62" t="s">
        <v>1436</v>
      </c>
      <c r="B194" s="62"/>
      <c r="C194" s="62"/>
      <c r="D194" s="62"/>
      <c r="E194" s="62"/>
      <c r="F194" s="62"/>
      <c r="G194" s="20"/>
      <c r="H194" s="62"/>
      <c r="I194" s="62"/>
      <c r="J194" s="20">
        <f>J193/$AL$2</f>
        <v>2460785.8112028469</v>
      </c>
      <c r="K194" s="62"/>
      <c r="L194" s="62"/>
      <c r="M194" s="20">
        <f>M193/$AL$2</f>
        <v>4233034.4494101256</v>
      </c>
      <c r="N194" s="62"/>
      <c r="O194" s="62"/>
      <c r="P194" s="20">
        <f>P193/$AL$2</f>
        <v>3088517.3842104068</v>
      </c>
      <c r="Q194" s="62"/>
      <c r="R194" s="62"/>
      <c r="S194" s="20">
        <f>S193/$AL$2</f>
        <v>19388146.594216097</v>
      </c>
      <c r="T194" s="62"/>
      <c r="U194" s="62"/>
      <c r="V194" s="20">
        <f>V193/$AL$2</f>
        <v>18113043.77393952</v>
      </c>
      <c r="W194" s="62"/>
      <c r="X194" s="62"/>
      <c r="Y194" s="20">
        <f>Y193/$AL$2</f>
        <v>1686404.2742039117</v>
      </c>
      <c r="Z194" s="62"/>
      <c r="AA194" s="62"/>
      <c r="AB194" s="20">
        <f>AB193/$AL$2</f>
        <v>2005740.6296760929</v>
      </c>
      <c r="AC194" s="62"/>
      <c r="AD194" s="62"/>
      <c r="AE194" s="20">
        <f>AE193/$AL$2</f>
        <v>1903382.1535210223</v>
      </c>
      <c r="AF194" s="20">
        <f t="shared" si="20"/>
        <v>52879055.070380032</v>
      </c>
      <c r="AG194" s="20">
        <f t="shared" si="21"/>
        <v>51338.88841784469</v>
      </c>
      <c r="AH194" s="62"/>
      <c r="AI194" s="62"/>
      <c r="AJ194" s="62"/>
    </row>
    <row r="195" spans="1:36" x14ac:dyDescent="0.3">
      <c r="V195" s="67">
        <f>(P195*1.1^4)*T195*U195</f>
        <v>0</v>
      </c>
      <c r="Y195" s="67">
        <f>(S195*1.1^5)*W195*X195</f>
        <v>0</v>
      </c>
      <c r="AF195" s="28">
        <f t="shared" ref="AF195:AF200" si="30">J195+M195+P195+S195+V195+Y195+AB195+AE195</f>
        <v>0</v>
      </c>
      <c r="AG195" s="28">
        <f t="shared" ref="AG195:AG200" si="31">AF195/$AL$2</f>
        <v>0</v>
      </c>
    </row>
    <row r="196" spans="1:36" x14ac:dyDescent="0.3">
      <c r="V196" s="67">
        <f>(P196*1.1^4)*T196*U196</f>
        <v>0</v>
      </c>
      <c r="Y196" s="67">
        <f>(S196*1.1^5)*W196*X196</f>
        <v>0</v>
      </c>
      <c r="AF196" s="28">
        <f t="shared" si="30"/>
        <v>0</v>
      </c>
      <c r="AG196" s="28">
        <f t="shared" si="31"/>
        <v>0</v>
      </c>
    </row>
    <row r="197" spans="1:36" x14ac:dyDescent="0.3">
      <c r="AF197" s="28">
        <f t="shared" si="30"/>
        <v>0</v>
      </c>
      <c r="AG197" s="28">
        <f t="shared" si="31"/>
        <v>0</v>
      </c>
    </row>
    <row r="198" spans="1:36" x14ac:dyDescent="0.3">
      <c r="AF198" s="28">
        <f t="shared" si="30"/>
        <v>0</v>
      </c>
      <c r="AG198" s="28">
        <f t="shared" si="31"/>
        <v>0</v>
      </c>
    </row>
    <row r="199" spans="1:36" x14ac:dyDescent="0.3">
      <c r="AF199" s="28">
        <f t="shared" si="30"/>
        <v>0</v>
      </c>
      <c r="AG199" s="28">
        <f t="shared" si="31"/>
        <v>0</v>
      </c>
    </row>
    <row r="200" spans="1:36" x14ac:dyDescent="0.3">
      <c r="AF200" s="28">
        <f t="shared" si="30"/>
        <v>0</v>
      </c>
      <c r="AG200" s="28">
        <f t="shared" si="31"/>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L164"/>
  <sheetViews>
    <sheetView topLeftCell="A132" zoomScale="70" zoomScaleNormal="70" workbookViewId="0">
      <selection activeCell="E95" sqref="E95"/>
    </sheetView>
  </sheetViews>
  <sheetFormatPr defaultColWidth="8.88671875" defaultRowHeight="14.4" x14ac:dyDescent="0.3"/>
  <cols>
    <col min="1" max="22" width="35.6640625" customWidth="1"/>
    <col min="23" max="23" width="26.88671875" customWidth="1"/>
    <col min="24" max="24" width="18.6640625" customWidth="1"/>
    <col min="25" max="25" width="23.44140625" customWidth="1"/>
    <col min="26" max="26" width="22.6640625" customWidth="1"/>
    <col min="27" max="27" width="18.33203125" customWidth="1"/>
    <col min="28" max="28" width="24.33203125" customWidth="1"/>
    <col min="29" max="29" width="23" customWidth="1"/>
    <col min="30" max="30" width="16.33203125" customWidth="1"/>
    <col min="31" max="31" width="48" customWidth="1"/>
    <col min="32" max="33" width="35.6640625" customWidth="1"/>
  </cols>
  <sheetData>
    <row r="1" spans="1:38" ht="28.8" x14ac:dyDescent="0.3">
      <c r="A1" s="5" t="s">
        <v>643</v>
      </c>
      <c r="B1" s="5" t="s">
        <v>642</v>
      </c>
      <c r="C1" s="5" t="s">
        <v>641</v>
      </c>
      <c r="D1" s="5" t="s">
        <v>639</v>
      </c>
      <c r="E1" s="5" t="s">
        <v>640</v>
      </c>
      <c r="F1" s="5" t="s">
        <v>1321</v>
      </c>
      <c r="G1" s="22" t="s">
        <v>834</v>
      </c>
      <c r="H1" s="7" t="s">
        <v>810</v>
      </c>
      <c r="I1" s="7" t="s">
        <v>811</v>
      </c>
      <c r="J1" s="19" t="s">
        <v>812</v>
      </c>
      <c r="K1" s="7" t="s">
        <v>813</v>
      </c>
      <c r="L1" s="7" t="s">
        <v>814</v>
      </c>
      <c r="M1" s="18" t="s">
        <v>815</v>
      </c>
      <c r="N1" s="7" t="s">
        <v>816</v>
      </c>
      <c r="O1" s="7" t="s">
        <v>817</v>
      </c>
      <c r="P1" s="18" t="s">
        <v>818</v>
      </c>
      <c r="Q1" s="7" t="s">
        <v>819</v>
      </c>
      <c r="R1" s="7" t="s">
        <v>820</v>
      </c>
      <c r="S1" s="18" t="s">
        <v>821</v>
      </c>
      <c r="T1" s="7" t="s">
        <v>822</v>
      </c>
      <c r="U1" s="7" t="s">
        <v>823</v>
      </c>
      <c r="V1" s="18" t="s">
        <v>824</v>
      </c>
      <c r="W1" s="7" t="s">
        <v>825</v>
      </c>
      <c r="X1" s="7" t="s">
        <v>826</v>
      </c>
      <c r="Y1" s="18" t="s">
        <v>827</v>
      </c>
      <c r="Z1" s="7" t="s">
        <v>828</v>
      </c>
      <c r="AA1" s="7" t="s">
        <v>829</v>
      </c>
      <c r="AB1" s="18" t="s">
        <v>830</v>
      </c>
      <c r="AC1" s="7" t="s">
        <v>831</v>
      </c>
      <c r="AD1" s="7" t="s">
        <v>832</v>
      </c>
      <c r="AE1" s="18" t="s">
        <v>833</v>
      </c>
      <c r="AF1" s="49" t="s">
        <v>1300</v>
      </c>
      <c r="AG1" s="49" t="s">
        <v>1301</v>
      </c>
    </row>
    <row r="2" spans="1:38" ht="57.6" x14ac:dyDescent="0.3">
      <c r="A2" s="41" t="s">
        <v>836</v>
      </c>
      <c r="B2" s="41" t="s">
        <v>1051</v>
      </c>
      <c r="C2" s="41" t="s">
        <v>1052</v>
      </c>
      <c r="D2" s="41" t="s">
        <v>1053</v>
      </c>
      <c r="E2" s="41" t="s">
        <v>1054</v>
      </c>
      <c r="F2" s="41" t="s">
        <v>841</v>
      </c>
      <c r="G2" s="41">
        <v>0</v>
      </c>
      <c r="H2" s="41"/>
      <c r="I2" s="41"/>
      <c r="J2" s="41">
        <f>$G2*H2*I2</f>
        <v>0</v>
      </c>
      <c r="K2" s="41">
        <v>0</v>
      </c>
      <c r="L2" s="41">
        <v>0</v>
      </c>
      <c r="M2" s="41">
        <f>($G2*1.1^1)*K2*L2</f>
        <v>0</v>
      </c>
      <c r="N2" s="41"/>
      <c r="O2" s="41"/>
      <c r="P2" s="41">
        <f>($G2*1.1^2)*N2*O2</f>
        <v>0</v>
      </c>
      <c r="Q2" s="41"/>
      <c r="R2" s="41"/>
      <c r="S2" s="41">
        <f>($G2*1.1^3)*Q2*R2</f>
        <v>0</v>
      </c>
      <c r="T2" s="41">
        <v>0</v>
      </c>
      <c r="U2" s="41">
        <v>0</v>
      </c>
      <c r="V2" s="41">
        <f>($G2*1.1^4)*T2*U2</f>
        <v>0</v>
      </c>
      <c r="W2" s="41"/>
      <c r="X2" s="41"/>
      <c r="Y2" s="41">
        <f>($G2*1.1^5)*W2*X2</f>
        <v>0</v>
      </c>
      <c r="Z2" s="41"/>
      <c r="AA2" s="41"/>
      <c r="AB2" s="41">
        <f>($G2*1.1^6)*Z2*AA2</f>
        <v>0</v>
      </c>
      <c r="AC2" s="41">
        <v>0</v>
      </c>
      <c r="AD2" s="41">
        <v>0</v>
      </c>
      <c r="AE2" s="41">
        <f>($G2*1.1^7)*AC2*AD2</f>
        <v>0</v>
      </c>
      <c r="AF2" s="28">
        <f>J2+M2+P2+S2+V2+Y2+AB2+AE2</f>
        <v>0</v>
      </c>
      <c r="AG2" s="28">
        <f>AF2/$AL$2</f>
        <v>0</v>
      </c>
      <c r="AL2">
        <v>1030</v>
      </c>
    </row>
    <row r="3" spans="1:38" ht="57.6" x14ac:dyDescent="0.3">
      <c r="A3" s="41" t="s">
        <v>836</v>
      </c>
      <c r="B3" s="41" t="s">
        <v>1051</v>
      </c>
      <c r="C3" s="41" t="s">
        <v>1052</v>
      </c>
      <c r="D3" s="41" t="s">
        <v>1053</v>
      </c>
      <c r="E3" s="41" t="s">
        <v>1055</v>
      </c>
      <c r="F3" s="41" t="s">
        <v>841</v>
      </c>
      <c r="G3" s="41">
        <v>0</v>
      </c>
      <c r="H3" s="41"/>
      <c r="I3" s="41"/>
      <c r="J3" s="41">
        <f t="shared" ref="J3:J72" si="0">$G3*H3*I3</f>
        <v>0</v>
      </c>
      <c r="K3" s="41">
        <v>0</v>
      </c>
      <c r="L3" s="41">
        <v>0</v>
      </c>
      <c r="M3" s="41">
        <f t="shared" ref="M3:M72" si="1">($G3*1.1^1)*K3*L3</f>
        <v>0</v>
      </c>
      <c r="N3" s="41"/>
      <c r="O3" s="41"/>
      <c r="P3" s="41">
        <f t="shared" ref="P3:P72" si="2">($G3*1.1^2)*N3*O3</f>
        <v>0</v>
      </c>
      <c r="Q3" s="41"/>
      <c r="R3" s="41"/>
      <c r="S3" s="41">
        <f t="shared" ref="S3:S72" si="3">($G3*1.1^3)*Q3*R3</f>
        <v>0</v>
      </c>
      <c r="T3" s="41">
        <v>0</v>
      </c>
      <c r="U3" s="41">
        <v>0</v>
      </c>
      <c r="V3" s="41">
        <f t="shared" ref="V3:V72" si="4">($G3*1.1^4)*T3*U3</f>
        <v>0</v>
      </c>
      <c r="W3" s="41"/>
      <c r="X3" s="41"/>
      <c r="Y3" s="41"/>
      <c r="Z3" s="41"/>
      <c r="AA3" s="41"/>
      <c r="AB3" s="41"/>
      <c r="AC3" s="41">
        <v>0</v>
      </c>
      <c r="AD3" s="41">
        <v>0</v>
      </c>
      <c r="AE3" s="41">
        <f t="shared" ref="AE3:AE29" si="5">($G3*1.1^7)*AC3*AD3</f>
        <v>0</v>
      </c>
      <c r="AF3" s="28">
        <f t="shared" ref="AF3:AF66" si="6">J3+M3+P3+S3+V3+Y3+AB3+AE3</f>
        <v>0</v>
      </c>
      <c r="AG3" s="28">
        <f t="shared" ref="AG3:AG66" si="7">AF3/$AL$2</f>
        <v>0</v>
      </c>
    </row>
    <row r="4" spans="1:38" ht="57.6" x14ac:dyDescent="0.3">
      <c r="A4" s="41" t="s">
        <v>836</v>
      </c>
      <c r="B4" s="41" t="s">
        <v>1051</v>
      </c>
      <c r="C4" s="41" t="s">
        <v>1052</v>
      </c>
      <c r="D4" s="41" t="s">
        <v>1053</v>
      </c>
      <c r="E4" s="41" t="s">
        <v>1056</v>
      </c>
      <c r="F4" s="41" t="s">
        <v>841</v>
      </c>
      <c r="G4" s="41">
        <v>0</v>
      </c>
      <c r="H4" s="41"/>
      <c r="I4" s="41"/>
      <c r="J4" s="41">
        <f t="shared" si="0"/>
        <v>0</v>
      </c>
      <c r="K4" s="41">
        <v>0</v>
      </c>
      <c r="L4" s="41">
        <v>0</v>
      </c>
      <c r="M4" s="41">
        <f t="shared" si="1"/>
        <v>0</v>
      </c>
      <c r="N4" s="41"/>
      <c r="O4" s="41"/>
      <c r="P4" s="41">
        <f t="shared" si="2"/>
        <v>0</v>
      </c>
      <c r="Q4" s="41"/>
      <c r="R4" s="41"/>
      <c r="S4" s="41">
        <f t="shared" si="3"/>
        <v>0</v>
      </c>
      <c r="T4" s="41">
        <v>0</v>
      </c>
      <c r="U4" s="41">
        <v>0</v>
      </c>
      <c r="V4" s="41">
        <f t="shared" si="4"/>
        <v>0</v>
      </c>
      <c r="W4" s="41"/>
      <c r="X4" s="41"/>
      <c r="Y4" s="41"/>
      <c r="Z4" s="41"/>
      <c r="AA4" s="41"/>
      <c r="AB4" s="41"/>
      <c r="AC4" s="41">
        <v>0</v>
      </c>
      <c r="AD4" s="41">
        <v>0</v>
      </c>
      <c r="AE4" s="41">
        <f t="shared" si="5"/>
        <v>0</v>
      </c>
      <c r="AF4" s="28">
        <f t="shared" si="6"/>
        <v>0</v>
      </c>
      <c r="AG4" s="28">
        <f t="shared" si="7"/>
        <v>0</v>
      </c>
    </row>
    <row r="5" spans="1:38" ht="57.6" x14ac:dyDescent="0.3">
      <c r="A5" s="41" t="s">
        <v>836</v>
      </c>
      <c r="B5" s="41" t="s">
        <v>1051</v>
      </c>
      <c r="C5" s="41" t="s">
        <v>1052</v>
      </c>
      <c r="D5" s="41" t="s">
        <v>1053</v>
      </c>
      <c r="E5" s="41" t="s">
        <v>149</v>
      </c>
      <c r="F5" s="41" t="s">
        <v>707</v>
      </c>
      <c r="G5" s="41">
        <v>391991.03749999998</v>
      </c>
      <c r="H5" s="41"/>
      <c r="I5" s="41"/>
      <c r="J5" s="41">
        <f t="shared" si="0"/>
        <v>0</v>
      </c>
      <c r="K5" s="41">
        <v>2</v>
      </c>
      <c r="L5" s="41">
        <v>2</v>
      </c>
      <c r="M5" s="41">
        <f t="shared" si="1"/>
        <v>1724760.5649999999</v>
      </c>
      <c r="N5" s="41"/>
      <c r="O5" s="41"/>
      <c r="P5" s="41">
        <f t="shared" si="2"/>
        <v>0</v>
      </c>
      <c r="Q5" s="41"/>
      <c r="R5" s="41"/>
      <c r="S5" s="41">
        <f t="shared" si="3"/>
        <v>0</v>
      </c>
      <c r="T5" s="41">
        <v>2</v>
      </c>
      <c r="U5" s="41">
        <v>2</v>
      </c>
      <c r="V5" s="41">
        <f t="shared" si="4"/>
        <v>2295656.3120150003</v>
      </c>
      <c r="W5" s="41"/>
      <c r="X5" s="41"/>
      <c r="Y5" s="41"/>
      <c r="Z5" s="41"/>
      <c r="AA5" s="41"/>
      <c r="AB5" s="41"/>
      <c r="AC5" s="41">
        <v>2</v>
      </c>
      <c r="AD5" s="41">
        <v>2</v>
      </c>
      <c r="AE5" s="41">
        <f t="shared" si="5"/>
        <v>3055518.5512919668</v>
      </c>
      <c r="AF5" s="28">
        <f t="shared" si="6"/>
        <v>7075935.428306967</v>
      </c>
      <c r="AG5" s="28">
        <f t="shared" si="7"/>
        <v>6869.8402216572495</v>
      </c>
    </row>
    <row r="6" spans="1:38" ht="57.6" x14ac:dyDescent="0.3">
      <c r="A6" s="41" t="s">
        <v>836</v>
      </c>
      <c r="B6" s="41" t="s">
        <v>1051</v>
      </c>
      <c r="C6" s="41" t="s">
        <v>1052</v>
      </c>
      <c r="D6" s="41" t="s">
        <v>1053</v>
      </c>
      <c r="E6" s="41" t="s">
        <v>149</v>
      </c>
      <c r="F6" s="41" t="s">
        <v>708</v>
      </c>
      <c r="G6" s="41">
        <f>980*1030</f>
        <v>1009400</v>
      </c>
      <c r="H6" s="41"/>
      <c r="I6" s="41"/>
      <c r="J6" s="41">
        <f t="shared" si="0"/>
        <v>0</v>
      </c>
      <c r="K6" s="41">
        <v>1</v>
      </c>
      <c r="L6" s="41">
        <v>25</v>
      </c>
      <c r="M6" s="41">
        <f t="shared" si="1"/>
        <v>27758500</v>
      </c>
      <c r="N6" s="41"/>
      <c r="O6" s="41"/>
      <c r="P6" s="41">
        <f t="shared" si="2"/>
        <v>0</v>
      </c>
      <c r="Q6" s="41"/>
      <c r="R6" s="41"/>
      <c r="S6" s="41">
        <f t="shared" si="3"/>
        <v>0</v>
      </c>
      <c r="T6" s="41">
        <v>1</v>
      </c>
      <c r="U6" s="41">
        <v>25</v>
      </c>
      <c r="V6" s="41">
        <f t="shared" si="4"/>
        <v>36946563.500000015</v>
      </c>
      <c r="W6" s="41"/>
      <c r="X6" s="41"/>
      <c r="Y6" s="41"/>
      <c r="Z6" s="41"/>
      <c r="AA6" s="41"/>
      <c r="AB6" s="41"/>
      <c r="AC6" s="41">
        <v>1</v>
      </c>
      <c r="AD6" s="41">
        <v>25</v>
      </c>
      <c r="AE6" s="41">
        <f t="shared" si="5"/>
        <v>49175876.01850003</v>
      </c>
      <c r="AF6" s="28">
        <f t="shared" si="6"/>
        <v>113880939.51850004</v>
      </c>
      <c r="AG6" s="28">
        <f t="shared" si="7"/>
        <v>110564.01895000004</v>
      </c>
    </row>
    <row r="7" spans="1:38" ht="57.6" x14ac:dyDescent="0.3">
      <c r="A7" s="41" t="s">
        <v>836</v>
      </c>
      <c r="B7" s="41" t="s">
        <v>1051</v>
      </c>
      <c r="C7" s="41" t="s">
        <v>1052</v>
      </c>
      <c r="D7" s="41" t="s">
        <v>1053</v>
      </c>
      <c r="E7" s="41" t="s">
        <v>895</v>
      </c>
      <c r="F7" s="41" t="s">
        <v>841</v>
      </c>
      <c r="G7" s="41">
        <v>0</v>
      </c>
      <c r="H7" s="41"/>
      <c r="I7" s="41"/>
      <c r="J7" s="41">
        <f t="shared" si="0"/>
        <v>0</v>
      </c>
      <c r="K7" s="41">
        <v>0</v>
      </c>
      <c r="L7" s="41">
        <v>0</v>
      </c>
      <c r="M7" s="41">
        <f t="shared" si="1"/>
        <v>0</v>
      </c>
      <c r="N7" s="41"/>
      <c r="O7" s="41"/>
      <c r="P7" s="41">
        <f t="shared" si="2"/>
        <v>0</v>
      </c>
      <c r="Q7" s="41"/>
      <c r="R7" s="41"/>
      <c r="S7" s="41">
        <f t="shared" si="3"/>
        <v>0</v>
      </c>
      <c r="T7" s="41">
        <v>0</v>
      </c>
      <c r="U7" s="41">
        <v>0</v>
      </c>
      <c r="V7" s="41">
        <f t="shared" si="4"/>
        <v>0</v>
      </c>
      <c r="W7" s="41"/>
      <c r="X7" s="41"/>
      <c r="Y7" s="41"/>
      <c r="Z7" s="41"/>
      <c r="AA7" s="41"/>
      <c r="AB7" s="41"/>
      <c r="AC7" s="41">
        <v>0</v>
      </c>
      <c r="AD7" s="41">
        <v>0</v>
      </c>
      <c r="AE7" s="41">
        <f t="shared" si="5"/>
        <v>0</v>
      </c>
      <c r="AF7" s="28">
        <f t="shared" si="6"/>
        <v>0</v>
      </c>
      <c r="AG7" s="28">
        <f t="shared" si="7"/>
        <v>0</v>
      </c>
    </row>
    <row r="8" spans="1:38" ht="57.6" x14ac:dyDescent="0.3">
      <c r="A8" s="41" t="s">
        <v>836</v>
      </c>
      <c r="B8" s="41" t="s">
        <v>1051</v>
      </c>
      <c r="C8" s="41" t="s">
        <v>1052</v>
      </c>
      <c r="D8" s="41" t="s">
        <v>1053</v>
      </c>
      <c r="E8" s="41" t="s">
        <v>912</v>
      </c>
      <c r="F8" s="41" t="s">
        <v>841</v>
      </c>
      <c r="G8" s="41">
        <v>0</v>
      </c>
      <c r="H8" s="41"/>
      <c r="I8" s="41"/>
      <c r="J8" s="41">
        <f t="shared" si="0"/>
        <v>0</v>
      </c>
      <c r="K8" s="41">
        <v>0</v>
      </c>
      <c r="L8" s="41">
        <v>0</v>
      </c>
      <c r="M8" s="41">
        <f t="shared" si="1"/>
        <v>0</v>
      </c>
      <c r="N8" s="41"/>
      <c r="O8" s="41"/>
      <c r="P8" s="41">
        <f t="shared" si="2"/>
        <v>0</v>
      </c>
      <c r="Q8" s="41"/>
      <c r="R8" s="41"/>
      <c r="S8" s="41">
        <f t="shared" si="3"/>
        <v>0</v>
      </c>
      <c r="T8" s="41">
        <v>0</v>
      </c>
      <c r="U8" s="41">
        <v>0</v>
      </c>
      <c r="V8" s="41">
        <f t="shared" si="4"/>
        <v>0</v>
      </c>
      <c r="W8" s="41"/>
      <c r="X8" s="41"/>
      <c r="Y8" s="41"/>
      <c r="Z8" s="41"/>
      <c r="AA8" s="41"/>
      <c r="AB8" s="41"/>
      <c r="AC8" s="41">
        <v>0</v>
      </c>
      <c r="AD8" s="41">
        <v>0</v>
      </c>
      <c r="AE8" s="41">
        <f t="shared" si="5"/>
        <v>0</v>
      </c>
      <c r="AF8" s="28">
        <f t="shared" si="6"/>
        <v>0</v>
      </c>
      <c r="AG8" s="28">
        <f t="shared" si="7"/>
        <v>0</v>
      </c>
    </row>
    <row r="9" spans="1:38" ht="57.6" x14ac:dyDescent="0.3">
      <c r="A9" s="41" t="s">
        <v>836</v>
      </c>
      <c r="B9" s="41" t="s">
        <v>1051</v>
      </c>
      <c r="C9" s="41" t="s">
        <v>1052</v>
      </c>
      <c r="D9" s="41" t="s">
        <v>1053</v>
      </c>
      <c r="E9" s="41" t="s">
        <v>1026</v>
      </c>
      <c r="F9" s="41" t="s">
        <v>709</v>
      </c>
      <c r="G9" s="41">
        <v>35000</v>
      </c>
      <c r="H9" s="41"/>
      <c r="I9" s="41"/>
      <c r="J9" s="41">
        <f t="shared" si="0"/>
        <v>0</v>
      </c>
      <c r="K9" s="41">
        <v>10</v>
      </c>
      <c r="L9" s="41">
        <v>1</v>
      </c>
      <c r="M9" s="41">
        <f t="shared" si="1"/>
        <v>385000</v>
      </c>
      <c r="N9" s="41"/>
      <c r="O9" s="41"/>
      <c r="P9" s="41">
        <f t="shared" si="2"/>
        <v>0</v>
      </c>
      <c r="Q9" s="41"/>
      <c r="R9" s="41"/>
      <c r="S9" s="41">
        <f t="shared" si="3"/>
        <v>0</v>
      </c>
      <c r="T9" s="41">
        <v>10</v>
      </c>
      <c r="U9" s="41">
        <v>1</v>
      </c>
      <c r="V9" s="41">
        <f t="shared" si="4"/>
        <v>512435.00000000012</v>
      </c>
      <c r="W9" s="41"/>
      <c r="X9" s="41"/>
      <c r="Y9" s="41"/>
      <c r="Z9" s="41"/>
      <c r="AA9" s="41"/>
      <c r="AB9" s="41"/>
      <c r="AC9" s="41">
        <v>10</v>
      </c>
      <c r="AD9" s="41">
        <v>1</v>
      </c>
      <c r="AE9" s="41">
        <f t="shared" si="5"/>
        <v>682050.98500000034</v>
      </c>
      <c r="AF9" s="28">
        <f t="shared" si="6"/>
        <v>1579485.9850000003</v>
      </c>
      <c r="AG9" s="28">
        <f t="shared" si="7"/>
        <v>1533.4815388349518</v>
      </c>
    </row>
    <row r="10" spans="1:38" ht="57.6" x14ac:dyDescent="0.3">
      <c r="A10" s="41" t="s">
        <v>836</v>
      </c>
      <c r="B10" s="41" t="s">
        <v>1051</v>
      </c>
      <c r="C10" s="41" t="s">
        <v>1052</v>
      </c>
      <c r="D10" s="41" t="s">
        <v>1053</v>
      </c>
      <c r="E10" s="41" t="s">
        <v>1026</v>
      </c>
      <c r="F10" s="41" t="s">
        <v>1297</v>
      </c>
      <c r="G10" s="67">
        <v>8000</v>
      </c>
      <c r="H10" s="41"/>
      <c r="I10" s="41"/>
      <c r="J10" s="41">
        <f t="shared" si="0"/>
        <v>0</v>
      </c>
      <c r="K10" s="41">
        <v>25</v>
      </c>
      <c r="L10" s="41">
        <v>1</v>
      </c>
      <c r="M10" s="41">
        <f t="shared" si="1"/>
        <v>220000</v>
      </c>
      <c r="N10" s="41"/>
      <c r="O10" s="41"/>
      <c r="P10" s="41">
        <f t="shared" si="2"/>
        <v>0</v>
      </c>
      <c r="Q10" s="41"/>
      <c r="R10" s="41"/>
      <c r="S10" s="41">
        <f t="shared" si="3"/>
        <v>0</v>
      </c>
      <c r="T10" s="41">
        <v>25</v>
      </c>
      <c r="U10" s="41">
        <v>1</v>
      </c>
      <c r="V10" s="41">
        <f t="shared" si="4"/>
        <v>292820.00000000006</v>
      </c>
      <c r="W10" s="41"/>
      <c r="X10" s="41"/>
      <c r="Y10" s="41"/>
      <c r="Z10" s="41"/>
      <c r="AA10" s="41"/>
      <c r="AB10" s="41"/>
      <c r="AC10" s="41">
        <v>25</v>
      </c>
      <c r="AD10" s="41">
        <v>1</v>
      </c>
      <c r="AE10" s="41">
        <f t="shared" si="5"/>
        <v>389743.42000000022</v>
      </c>
      <c r="AF10" s="28">
        <f t="shared" si="6"/>
        <v>902563.42000000027</v>
      </c>
      <c r="AG10" s="28">
        <f t="shared" si="7"/>
        <v>876.27516504854395</v>
      </c>
    </row>
    <row r="11" spans="1:38" ht="57.6" x14ac:dyDescent="0.3">
      <c r="A11" s="41" t="s">
        <v>836</v>
      </c>
      <c r="B11" s="41" t="s">
        <v>1051</v>
      </c>
      <c r="C11" s="41" t="s">
        <v>1052</v>
      </c>
      <c r="D11" s="41" t="s">
        <v>1053</v>
      </c>
      <c r="E11" s="41" t="s">
        <v>1026</v>
      </c>
      <c r="F11" s="41" t="s">
        <v>710</v>
      </c>
      <c r="G11" s="41">
        <v>104850</v>
      </c>
      <c r="H11" s="41"/>
      <c r="I11" s="41"/>
      <c r="J11" s="41">
        <f t="shared" si="0"/>
        <v>0</v>
      </c>
      <c r="K11" s="41">
        <v>1</v>
      </c>
      <c r="L11" s="41">
        <v>1</v>
      </c>
      <c r="M11" s="41">
        <f t="shared" si="1"/>
        <v>115335.00000000001</v>
      </c>
      <c r="N11" s="41"/>
      <c r="O11" s="41"/>
      <c r="P11" s="41">
        <f t="shared" si="2"/>
        <v>0</v>
      </c>
      <c r="Q11" s="41"/>
      <c r="R11" s="41"/>
      <c r="S11" s="41">
        <f t="shared" si="3"/>
        <v>0</v>
      </c>
      <c r="T11" s="41">
        <v>1</v>
      </c>
      <c r="U11" s="41">
        <v>1</v>
      </c>
      <c r="V11" s="41">
        <f t="shared" si="4"/>
        <v>153510.88500000004</v>
      </c>
      <c r="W11" s="41"/>
      <c r="X11" s="41"/>
      <c r="Y11" s="41"/>
      <c r="Z11" s="41"/>
      <c r="AA11" s="41"/>
      <c r="AB11" s="41"/>
      <c r="AC11" s="41">
        <v>1</v>
      </c>
      <c r="AD11" s="41">
        <v>1</v>
      </c>
      <c r="AE11" s="41">
        <f t="shared" si="5"/>
        <v>204322.98793500013</v>
      </c>
      <c r="AF11" s="28">
        <f t="shared" si="6"/>
        <v>473168.87293500022</v>
      </c>
      <c r="AG11" s="28">
        <f t="shared" si="7"/>
        <v>459.38725527669925</v>
      </c>
    </row>
    <row r="12" spans="1:38" ht="57.6" x14ac:dyDescent="0.3">
      <c r="A12" s="41" t="s">
        <v>836</v>
      </c>
      <c r="B12" s="41" t="s">
        <v>1051</v>
      </c>
      <c r="C12" s="41" t="s">
        <v>1052</v>
      </c>
      <c r="D12" s="41" t="s">
        <v>1053</v>
      </c>
      <c r="E12" s="41" t="s">
        <v>163</v>
      </c>
      <c r="F12" s="41" t="s">
        <v>713</v>
      </c>
      <c r="G12" s="41">
        <v>45000</v>
      </c>
      <c r="H12" s="41"/>
      <c r="I12" s="41"/>
      <c r="J12" s="41">
        <f t="shared" si="0"/>
        <v>0</v>
      </c>
      <c r="K12" s="41">
        <v>10</v>
      </c>
      <c r="L12" s="41">
        <v>1</v>
      </c>
      <c r="M12" s="41">
        <f t="shared" si="1"/>
        <v>495000.00000000006</v>
      </c>
      <c r="N12" s="41"/>
      <c r="O12" s="41"/>
      <c r="P12" s="41">
        <f t="shared" si="2"/>
        <v>0</v>
      </c>
      <c r="Q12" s="41"/>
      <c r="R12" s="41"/>
      <c r="S12" s="41">
        <f t="shared" si="3"/>
        <v>0</v>
      </c>
      <c r="T12" s="41">
        <v>10</v>
      </c>
      <c r="U12" s="41">
        <v>1</v>
      </c>
      <c r="V12" s="41">
        <f t="shared" si="4"/>
        <v>658845.00000000012</v>
      </c>
      <c r="W12" s="41"/>
      <c r="X12" s="41"/>
      <c r="Y12" s="41"/>
      <c r="Z12" s="41"/>
      <c r="AA12" s="41"/>
      <c r="AB12" s="41"/>
      <c r="AC12" s="41">
        <v>10</v>
      </c>
      <c r="AD12" s="41">
        <v>1</v>
      </c>
      <c r="AE12" s="41">
        <f t="shared" si="5"/>
        <v>876922.69500000053</v>
      </c>
      <c r="AF12" s="28">
        <f t="shared" si="6"/>
        <v>2030767.6950000008</v>
      </c>
      <c r="AG12" s="28">
        <f t="shared" si="7"/>
        <v>1971.619121359224</v>
      </c>
    </row>
    <row r="13" spans="1:38" ht="57.6" x14ac:dyDescent="0.3">
      <c r="A13" s="41" t="s">
        <v>836</v>
      </c>
      <c r="B13" s="41" t="s">
        <v>1051</v>
      </c>
      <c r="C13" s="41" t="s">
        <v>1052</v>
      </c>
      <c r="D13" s="41" t="s">
        <v>1053</v>
      </c>
      <c r="E13" s="41" t="s">
        <v>163</v>
      </c>
      <c r="F13" s="41" t="s">
        <v>712</v>
      </c>
      <c r="G13" s="41">
        <f>1999.2/7</f>
        <v>285.60000000000002</v>
      </c>
      <c r="H13" s="41"/>
      <c r="I13" s="41"/>
      <c r="J13" s="41">
        <f t="shared" si="0"/>
        <v>0</v>
      </c>
      <c r="K13" s="41">
        <f>2*9*25</f>
        <v>450</v>
      </c>
      <c r="L13" s="41">
        <v>1</v>
      </c>
      <c r="M13" s="41">
        <f t="shared" si="1"/>
        <v>141372</v>
      </c>
      <c r="N13" s="41"/>
      <c r="O13" s="41"/>
      <c r="P13" s="41">
        <f t="shared" si="2"/>
        <v>0</v>
      </c>
      <c r="Q13" s="41"/>
      <c r="R13" s="41"/>
      <c r="S13" s="41">
        <f t="shared" si="3"/>
        <v>0</v>
      </c>
      <c r="T13" s="41">
        <f>2*9*25</f>
        <v>450</v>
      </c>
      <c r="U13" s="41">
        <v>1</v>
      </c>
      <c r="V13" s="41">
        <f t="shared" si="4"/>
        <v>188166.13200000007</v>
      </c>
      <c r="W13" s="41"/>
      <c r="X13" s="41"/>
      <c r="Y13" s="41"/>
      <c r="Z13" s="41"/>
      <c r="AA13" s="41"/>
      <c r="AB13" s="41"/>
      <c r="AC13" s="41">
        <f>2*9*25</f>
        <v>450</v>
      </c>
      <c r="AD13" s="41">
        <v>1</v>
      </c>
      <c r="AE13" s="41">
        <f t="shared" si="5"/>
        <v>250449.12169200019</v>
      </c>
      <c r="AF13" s="28">
        <f t="shared" si="6"/>
        <v>579987.25369200029</v>
      </c>
      <c r="AG13" s="28">
        <f t="shared" si="7"/>
        <v>563.09442106019446</v>
      </c>
    </row>
    <row r="14" spans="1:38" ht="57.6" x14ac:dyDescent="0.3">
      <c r="A14" s="41" t="s">
        <v>836</v>
      </c>
      <c r="B14" s="41" t="s">
        <v>1051</v>
      </c>
      <c r="C14" s="41" t="s">
        <v>1052</v>
      </c>
      <c r="D14" s="41" t="s">
        <v>1053</v>
      </c>
      <c r="E14" s="41" t="s">
        <v>163</v>
      </c>
      <c r="F14" s="41" t="s">
        <v>1320</v>
      </c>
      <c r="G14" s="41">
        <f>1999.2/7</f>
        <v>285.60000000000002</v>
      </c>
      <c r="H14" s="41"/>
      <c r="I14" s="41"/>
      <c r="J14" s="41">
        <f t="shared" si="0"/>
        <v>0</v>
      </c>
      <c r="K14" s="41">
        <f>2*135*9</f>
        <v>2430</v>
      </c>
      <c r="L14" s="41">
        <v>1</v>
      </c>
      <c r="M14" s="41"/>
      <c r="N14" s="41"/>
      <c r="O14" s="41"/>
      <c r="P14" s="41"/>
      <c r="Q14" s="41"/>
      <c r="R14" s="41"/>
      <c r="S14" s="41"/>
      <c r="T14" s="41">
        <f>2*135*9</f>
        <v>2430</v>
      </c>
      <c r="U14" s="41">
        <v>1</v>
      </c>
      <c r="V14" s="41"/>
      <c r="W14" s="41"/>
      <c r="X14" s="41"/>
      <c r="Y14" s="41"/>
      <c r="Z14" s="41"/>
      <c r="AA14" s="41"/>
      <c r="AB14" s="41"/>
      <c r="AC14" s="41">
        <f>2*135*9</f>
        <v>2430</v>
      </c>
      <c r="AD14" s="41">
        <v>1</v>
      </c>
      <c r="AE14" s="41">
        <f t="shared" si="5"/>
        <v>1352425.257136801</v>
      </c>
      <c r="AF14" s="28">
        <f t="shared" si="6"/>
        <v>1352425.257136801</v>
      </c>
      <c r="AG14" s="28">
        <f t="shared" si="7"/>
        <v>1313.0342302299039</v>
      </c>
    </row>
    <row r="15" spans="1:38" ht="57.6" x14ac:dyDescent="0.3">
      <c r="A15" s="41" t="s">
        <v>836</v>
      </c>
      <c r="B15" s="41" t="s">
        <v>1051</v>
      </c>
      <c r="C15" s="41" t="s">
        <v>1052</v>
      </c>
      <c r="D15" s="41" t="s">
        <v>1053</v>
      </c>
      <c r="E15" s="41" t="s">
        <v>1027</v>
      </c>
      <c r="F15" s="41" t="s">
        <v>709</v>
      </c>
      <c r="G15" s="41">
        <v>35000</v>
      </c>
      <c r="H15" s="41"/>
      <c r="I15" s="41"/>
      <c r="J15" s="41">
        <f t="shared" si="0"/>
        <v>0</v>
      </c>
      <c r="K15" s="41">
        <v>30</v>
      </c>
      <c r="L15" s="41">
        <v>5</v>
      </c>
      <c r="M15" s="41">
        <f t="shared" si="1"/>
        <v>5775000</v>
      </c>
      <c r="N15" s="41"/>
      <c r="O15" s="41"/>
      <c r="P15" s="41">
        <f t="shared" si="2"/>
        <v>0</v>
      </c>
      <c r="Q15" s="41"/>
      <c r="R15" s="41"/>
      <c r="S15" s="41">
        <f t="shared" si="3"/>
        <v>0</v>
      </c>
      <c r="T15" s="41">
        <v>30</v>
      </c>
      <c r="U15" s="41">
        <v>5</v>
      </c>
      <c r="V15" s="41">
        <f t="shared" si="4"/>
        <v>7686525.0000000019</v>
      </c>
      <c r="W15" s="41"/>
      <c r="X15" s="41"/>
      <c r="Y15" s="41"/>
      <c r="Z15" s="41"/>
      <c r="AA15" s="41"/>
      <c r="AB15" s="41"/>
      <c r="AC15" s="41">
        <v>30</v>
      </c>
      <c r="AD15" s="41">
        <v>5</v>
      </c>
      <c r="AE15" s="41">
        <f t="shared" si="5"/>
        <v>10230764.775000006</v>
      </c>
      <c r="AF15" s="28">
        <f t="shared" si="6"/>
        <v>23692289.775000006</v>
      </c>
      <c r="AG15" s="28">
        <f t="shared" si="7"/>
        <v>23002.223082524277</v>
      </c>
    </row>
    <row r="16" spans="1:38" ht="57.6" x14ac:dyDescent="0.3">
      <c r="A16" s="41" t="s">
        <v>836</v>
      </c>
      <c r="B16" s="41" t="s">
        <v>1051</v>
      </c>
      <c r="C16" s="41" t="s">
        <v>1052</v>
      </c>
      <c r="D16" s="41" t="s">
        <v>1053</v>
      </c>
      <c r="E16" s="41" t="s">
        <v>157</v>
      </c>
      <c r="F16" s="41" t="s">
        <v>713</v>
      </c>
      <c r="G16" s="41">
        <v>45000</v>
      </c>
      <c r="H16" s="41"/>
      <c r="I16" s="41"/>
      <c r="J16" s="41">
        <f t="shared" si="0"/>
        <v>0</v>
      </c>
      <c r="K16" s="41">
        <v>30</v>
      </c>
      <c r="L16" s="41">
        <v>6</v>
      </c>
      <c r="M16" s="41">
        <f t="shared" si="1"/>
        <v>8910000.0000000019</v>
      </c>
      <c r="N16" s="41"/>
      <c r="O16" s="41"/>
      <c r="P16" s="41">
        <f t="shared" si="2"/>
        <v>0</v>
      </c>
      <c r="Q16" s="41"/>
      <c r="R16" s="41"/>
      <c r="S16" s="41">
        <f t="shared" si="3"/>
        <v>0</v>
      </c>
      <c r="T16" s="41">
        <v>30</v>
      </c>
      <c r="U16" s="41">
        <v>6</v>
      </c>
      <c r="V16" s="41">
        <f t="shared" si="4"/>
        <v>11859210.000000004</v>
      </c>
      <c r="W16" s="41"/>
      <c r="X16" s="41"/>
      <c r="Y16" s="41"/>
      <c r="Z16" s="41"/>
      <c r="AA16" s="41"/>
      <c r="AB16" s="41"/>
      <c r="AC16" s="41">
        <v>30</v>
      </c>
      <c r="AD16" s="41">
        <v>6</v>
      </c>
      <c r="AE16" s="41">
        <f t="shared" si="5"/>
        <v>15784608.510000011</v>
      </c>
      <c r="AF16" s="28">
        <f t="shared" si="6"/>
        <v>36553818.51000002</v>
      </c>
      <c r="AG16" s="28">
        <f t="shared" si="7"/>
        <v>35489.144184466037</v>
      </c>
    </row>
    <row r="17" spans="1:33" ht="57.6" x14ac:dyDescent="0.3">
      <c r="A17" s="41" t="s">
        <v>836</v>
      </c>
      <c r="B17" s="41" t="s">
        <v>1051</v>
      </c>
      <c r="C17" s="41" t="s">
        <v>1052</v>
      </c>
      <c r="D17" s="41" t="s">
        <v>1053</v>
      </c>
      <c r="E17" s="41" t="s">
        <v>157</v>
      </c>
      <c r="F17" s="41" t="s">
        <v>712</v>
      </c>
      <c r="G17" s="41">
        <f>1999.2/7</f>
        <v>285.60000000000002</v>
      </c>
      <c r="H17" s="41"/>
      <c r="I17" s="41"/>
      <c r="J17" s="41">
        <f t="shared" si="0"/>
        <v>0</v>
      </c>
      <c r="K17" s="41">
        <f>25*2*9</f>
        <v>450</v>
      </c>
      <c r="L17" s="41">
        <v>5</v>
      </c>
      <c r="M17" s="41">
        <f t="shared" si="1"/>
        <v>706860</v>
      </c>
      <c r="N17" s="41"/>
      <c r="O17" s="41"/>
      <c r="P17" s="41">
        <f t="shared" si="2"/>
        <v>0</v>
      </c>
      <c r="Q17" s="41"/>
      <c r="R17" s="41"/>
      <c r="S17" s="41">
        <f t="shared" si="3"/>
        <v>0</v>
      </c>
      <c r="T17" s="41">
        <f>25*2*9</f>
        <v>450</v>
      </c>
      <c r="U17" s="41">
        <v>5</v>
      </c>
      <c r="V17" s="41">
        <f t="shared" si="4"/>
        <v>940830.66000000038</v>
      </c>
      <c r="W17" s="41"/>
      <c r="X17" s="41"/>
      <c r="Y17" s="41"/>
      <c r="Z17" s="41"/>
      <c r="AA17" s="41"/>
      <c r="AB17" s="41"/>
      <c r="AC17" s="41">
        <f>25*2*9</f>
        <v>450</v>
      </c>
      <c r="AD17" s="41">
        <v>5</v>
      </c>
      <c r="AE17" s="41">
        <f t="shared" si="5"/>
        <v>1252245.6084600009</v>
      </c>
      <c r="AF17" s="28">
        <f t="shared" si="6"/>
        <v>2899936.2684600013</v>
      </c>
      <c r="AG17" s="28">
        <f t="shared" si="7"/>
        <v>2815.4721053009721</v>
      </c>
    </row>
    <row r="18" spans="1:33" ht="57.6" x14ac:dyDescent="0.3">
      <c r="A18" s="41" t="s">
        <v>836</v>
      </c>
      <c r="B18" s="41" t="s">
        <v>1051</v>
      </c>
      <c r="C18" s="41" t="s">
        <v>1052</v>
      </c>
      <c r="D18" s="41" t="s">
        <v>1053</v>
      </c>
      <c r="E18" s="41" t="s">
        <v>157</v>
      </c>
      <c r="F18" s="41" t="s">
        <v>1320</v>
      </c>
      <c r="G18" s="41">
        <f>1999.2/7</f>
        <v>285.60000000000002</v>
      </c>
      <c r="H18" s="41"/>
      <c r="I18" s="41"/>
      <c r="J18" s="41">
        <f t="shared" si="0"/>
        <v>0</v>
      </c>
      <c r="K18" s="41">
        <f>2*135*9</f>
        <v>2430</v>
      </c>
      <c r="L18" s="41">
        <v>5</v>
      </c>
      <c r="M18" s="41"/>
      <c r="N18" s="41"/>
      <c r="O18" s="41"/>
      <c r="P18" s="41"/>
      <c r="Q18" s="41"/>
      <c r="R18" s="41"/>
      <c r="S18" s="41"/>
      <c r="T18" s="41">
        <f>2*135*9</f>
        <v>2430</v>
      </c>
      <c r="U18" s="41">
        <v>5</v>
      </c>
      <c r="V18" s="41"/>
      <c r="W18" s="41"/>
      <c r="X18" s="41"/>
      <c r="Y18" s="41"/>
      <c r="Z18" s="41"/>
      <c r="AA18" s="41"/>
      <c r="AB18" s="41"/>
      <c r="AC18" s="41">
        <f>2*135*9</f>
        <v>2430</v>
      </c>
      <c r="AD18" s="41">
        <v>5</v>
      </c>
      <c r="AE18" s="41">
        <f t="shared" si="5"/>
        <v>6762126.2856840054</v>
      </c>
      <c r="AF18" s="28">
        <f t="shared" si="6"/>
        <v>6762126.2856840054</v>
      </c>
      <c r="AG18" s="28">
        <f t="shared" si="7"/>
        <v>6565.1711511495196</v>
      </c>
    </row>
    <row r="19" spans="1:33" ht="57.6" x14ac:dyDescent="0.3">
      <c r="A19" s="41" t="s">
        <v>836</v>
      </c>
      <c r="B19" s="41" t="s">
        <v>1051</v>
      </c>
      <c r="C19" s="41" t="s">
        <v>1052</v>
      </c>
      <c r="D19" s="41" t="s">
        <v>1053</v>
      </c>
      <c r="E19" s="41" t="s">
        <v>157</v>
      </c>
      <c r="F19" s="41" t="s">
        <v>714</v>
      </c>
      <c r="G19" s="41">
        <v>10000</v>
      </c>
      <c r="H19" s="41"/>
      <c r="I19" s="41"/>
      <c r="J19" s="41">
        <f t="shared" si="0"/>
        <v>0</v>
      </c>
      <c r="K19" s="41">
        <v>30</v>
      </c>
      <c r="L19" s="41">
        <v>5</v>
      </c>
      <c r="M19" s="41">
        <f t="shared" si="1"/>
        <v>1650000</v>
      </c>
      <c r="N19" s="41"/>
      <c r="O19" s="41"/>
      <c r="P19" s="41">
        <f t="shared" si="2"/>
        <v>0</v>
      </c>
      <c r="Q19" s="41"/>
      <c r="R19" s="41"/>
      <c r="S19" s="41">
        <f t="shared" si="3"/>
        <v>0</v>
      </c>
      <c r="T19" s="41">
        <v>30</v>
      </c>
      <c r="U19" s="41">
        <v>5</v>
      </c>
      <c r="V19" s="41">
        <f t="shared" si="4"/>
        <v>2196150.0000000005</v>
      </c>
      <c r="W19" s="41"/>
      <c r="X19" s="41"/>
      <c r="Y19" s="41"/>
      <c r="Z19" s="41"/>
      <c r="AA19" s="41"/>
      <c r="AB19" s="41"/>
      <c r="AC19" s="41">
        <v>30</v>
      </c>
      <c r="AD19" s="41">
        <v>5</v>
      </c>
      <c r="AE19" s="41">
        <f t="shared" si="5"/>
        <v>2923075.6500000018</v>
      </c>
      <c r="AF19" s="28">
        <f t="shared" si="6"/>
        <v>6769225.6500000022</v>
      </c>
      <c r="AG19" s="28">
        <f t="shared" si="7"/>
        <v>6572.0637378640795</v>
      </c>
    </row>
    <row r="20" spans="1:33" ht="57.6" x14ac:dyDescent="0.3">
      <c r="A20" s="41" t="s">
        <v>836</v>
      </c>
      <c r="B20" s="41" t="s">
        <v>1051</v>
      </c>
      <c r="C20" s="41" t="s">
        <v>1052</v>
      </c>
      <c r="D20" s="41" t="s">
        <v>1053</v>
      </c>
      <c r="E20" s="41" t="s">
        <v>1004</v>
      </c>
      <c r="F20" s="41" t="s">
        <v>709</v>
      </c>
      <c r="G20" s="41">
        <v>35000</v>
      </c>
      <c r="H20" s="41"/>
      <c r="I20" s="41"/>
      <c r="J20" s="41">
        <f t="shared" si="0"/>
        <v>0</v>
      </c>
      <c r="K20" s="41">
        <v>30</v>
      </c>
      <c r="L20" s="41">
        <v>5</v>
      </c>
      <c r="M20" s="41">
        <f t="shared" si="1"/>
        <v>5775000</v>
      </c>
      <c r="N20" s="41"/>
      <c r="O20" s="41"/>
      <c r="P20" s="41">
        <f t="shared" si="2"/>
        <v>0</v>
      </c>
      <c r="Q20" s="41"/>
      <c r="R20" s="41"/>
      <c r="S20" s="41">
        <f t="shared" si="3"/>
        <v>0</v>
      </c>
      <c r="T20" s="41">
        <v>30</v>
      </c>
      <c r="U20" s="41">
        <v>5</v>
      </c>
      <c r="V20" s="41">
        <f t="shared" si="4"/>
        <v>7686525.0000000019</v>
      </c>
      <c r="W20" s="41"/>
      <c r="X20" s="41"/>
      <c r="Y20" s="41"/>
      <c r="Z20" s="41"/>
      <c r="AA20" s="41"/>
      <c r="AB20" s="41"/>
      <c r="AC20" s="41">
        <v>30</v>
      </c>
      <c r="AD20" s="41">
        <v>5</v>
      </c>
      <c r="AE20" s="41">
        <f t="shared" si="5"/>
        <v>10230764.775000006</v>
      </c>
      <c r="AF20" s="28">
        <f t="shared" si="6"/>
        <v>23692289.775000006</v>
      </c>
      <c r="AG20" s="28">
        <f t="shared" si="7"/>
        <v>23002.223082524277</v>
      </c>
    </row>
    <row r="21" spans="1:33" ht="57.6" x14ac:dyDescent="0.3">
      <c r="A21" s="41" t="s">
        <v>836</v>
      </c>
      <c r="B21" s="41" t="s">
        <v>1051</v>
      </c>
      <c r="C21" s="41" t="s">
        <v>1052</v>
      </c>
      <c r="D21" s="41" t="s">
        <v>1053</v>
      </c>
      <c r="E21" s="41" t="s">
        <v>1004</v>
      </c>
      <c r="F21" s="41" t="s">
        <v>716</v>
      </c>
      <c r="G21" s="41">
        <v>39000</v>
      </c>
      <c r="H21" s="41"/>
      <c r="I21" s="41"/>
      <c r="J21" s="41">
        <f t="shared" si="0"/>
        <v>0</v>
      </c>
      <c r="K21" s="41">
        <v>30</v>
      </c>
      <c r="L21" s="41">
        <v>6</v>
      </c>
      <c r="M21" s="41">
        <f t="shared" si="1"/>
        <v>7722000</v>
      </c>
      <c r="N21" s="41"/>
      <c r="O21" s="41"/>
      <c r="P21" s="41">
        <f t="shared" si="2"/>
        <v>0</v>
      </c>
      <c r="Q21" s="41"/>
      <c r="R21" s="41"/>
      <c r="S21" s="41">
        <f t="shared" si="3"/>
        <v>0</v>
      </c>
      <c r="T21" s="41">
        <v>30</v>
      </c>
      <c r="U21" s="41">
        <v>6</v>
      </c>
      <c r="V21" s="41">
        <f t="shared" si="4"/>
        <v>10277982.000000004</v>
      </c>
      <c r="W21" s="41"/>
      <c r="X21" s="41"/>
      <c r="Y21" s="41"/>
      <c r="Z21" s="41"/>
      <c r="AA21" s="41"/>
      <c r="AB21" s="41"/>
      <c r="AC21" s="41">
        <v>30</v>
      </c>
      <c r="AD21" s="41">
        <v>6</v>
      </c>
      <c r="AE21" s="41">
        <f t="shared" si="5"/>
        <v>13679994.042000007</v>
      </c>
      <c r="AF21" s="28">
        <f t="shared" si="6"/>
        <v>31679976.042000011</v>
      </c>
      <c r="AG21" s="28">
        <f t="shared" si="7"/>
        <v>30757.258293203893</v>
      </c>
    </row>
    <row r="22" spans="1:33" ht="57.6" x14ac:dyDescent="0.3">
      <c r="A22" s="41" t="s">
        <v>836</v>
      </c>
      <c r="B22" s="41" t="s">
        <v>1051</v>
      </c>
      <c r="C22" s="41" t="s">
        <v>1052</v>
      </c>
      <c r="D22" s="41" t="s">
        <v>1053</v>
      </c>
      <c r="E22" s="41" t="s">
        <v>1004</v>
      </c>
      <c r="F22" s="41" t="s">
        <v>712</v>
      </c>
      <c r="G22" s="41">
        <f>1999.2/7</f>
        <v>285.60000000000002</v>
      </c>
      <c r="H22" s="41"/>
      <c r="I22" s="41"/>
      <c r="J22" s="41">
        <f t="shared" si="0"/>
        <v>0</v>
      </c>
      <c r="K22" s="41">
        <f>25*2*9</f>
        <v>450</v>
      </c>
      <c r="L22" s="41">
        <v>5</v>
      </c>
      <c r="M22" s="41">
        <f t="shared" si="1"/>
        <v>706860</v>
      </c>
      <c r="N22" s="41"/>
      <c r="O22" s="41"/>
      <c r="P22" s="41">
        <f t="shared" si="2"/>
        <v>0</v>
      </c>
      <c r="Q22" s="41"/>
      <c r="R22" s="41"/>
      <c r="S22" s="41">
        <f t="shared" si="3"/>
        <v>0</v>
      </c>
      <c r="T22" s="41">
        <f>25*2*9</f>
        <v>450</v>
      </c>
      <c r="U22" s="41">
        <v>5</v>
      </c>
      <c r="V22" s="41">
        <f t="shared" si="4"/>
        <v>940830.66000000038</v>
      </c>
      <c r="W22" s="41"/>
      <c r="X22" s="41"/>
      <c r="Y22" s="41"/>
      <c r="Z22" s="41"/>
      <c r="AA22" s="41"/>
      <c r="AB22" s="41"/>
      <c r="AC22" s="41">
        <f>25*2*9</f>
        <v>450</v>
      </c>
      <c r="AD22" s="41">
        <v>5</v>
      </c>
      <c r="AE22" s="41">
        <f t="shared" si="5"/>
        <v>1252245.6084600009</v>
      </c>
      <c r="AF22" s="28">
        <f t="shared" si="6"/>
        <v>2899936.2684600013</v>
      </c>
      <c r="AG22" s="28">
        <f t="shared" si="7"/>
        <v>2815.4721053009721</v>
      </c>
    </row>
    <row r="23" spans="1:33" ht="57.6" x14ac:dyDescent="0.3">
      <c r="A23" s="41" t="s">
        <v>836</v>
      </c>
      <c r="B23" s="41" t="s">
        <v>1051</v>
      </c>
      <c r="C23" s="41" t="s">
        <v>1052</v>
      </c>
      <c r="D23" s="41" t="s">
        <v>1053</v>
      </c>
      <c r="E23" s="41" t="s">
        <v>1004</v>
      </c>
      <c r="F23" s="41" t="s">
        <v>1320</v>
      </c>
      <c r="G23" s="41">
        <f>1999.2/7</f>
        <v>285.60000000000002</v>
      </c>
      <c r="H23" s="41"/>
      <c r="I23" s="41"/>
      <c r="J23" s="41">
        <f t="shared" si="0"/>
        <v>0</v>
      </c>
      <c r="K23" s="41">
        <f>2*135*9</f>
        <v>2430</v>
      </c>
      <c r="L23" s="41">
        <v>1</v>
      </c>
      <c r="M23" s="41"/>
      <c r="N23" s="41"/>
      <c r="O23" s="41"/>
      <c r="P23" s="41"/>
      <c r="Q23" s="41"/>
      <c r="R23" s="41"/>
      <c r="S23" s="41"/>
      <c r="T23" s="41">
        <f>2*135*9</f>
        <v>2430</v>
      </c>
      <c r="U23" s="41">
        <v>1</v>
      </c>
      <c r="V23" s="41"/>
      <c r="W23" s="41"/>
      <c r="X23" s="41"/>
      <c r="Y23" s="41"/>
      <c r="Z23" s="41"/>
      <c r="AA23" s="41"/>
      <c r="AB23" s="41"/>
      <c r="AC23" s="41">
        <f>2*135*9</f>
        <v>2430</v>
      </c>
      <c r="AD23" s="41">
        <v>1</v>
      </c>
      <c r="AE23" s="41">
        <f t="shared" si="5"/>
        <v>1352425.257136801</v>
      </c>
      <c r="AF23" s="28">
        <f t="shared" si="6"/>
        <v>1352425.257136801</v>
      </c>
      <c r="AG23" s="28">
        <f t="shared" si="7"/>
        <v>1313.0342302299039</v>
      </c>
    </row>
    <row r="24" spans="1:33" ht="57.6" x14ac:dyDescent="0.3">
      <c r="A24" s="41" t="s">
        <v>836</v>
      </c>
      <c r="B24" s="41" t="s">
        <v>1051</v>
      </c>
      <c r="C24" s="41" t="s">
        <v>1052</v>
      </c>
      <c r="D24" s="41" t="s">
        <v>1053</v>
      </c>
      <c r="E24" s="41" t="s">
        <v>1319</v>
      </c>
      <c r="F24" s="41" t="s">
        <v>709</v>
      </c>
      <c r="G24" s="41">
        <v>35000</v>
      </c>
      <c r="H24" s="41"/>
      <c r="I24" s="41"/>
      <c r="J24" s="41">
        <f t="shared" si="0"/>
        <v>0</v>
      </c>
      <c r="K24" s="41">
        <v>100</v>
      </c>
      <c r="L24" s="41">
        <v>5</v>
      </c>
      <c r="M24" s="41">
        <f t="shared" si="1"/>
        <v>19250000</v>
      </c>
      <c r="N24" s="41"/>
      <c r="O24" s="41"/>
      <c r="P24" s="41">
        <f t="shared" si="2"/>
        <v>0</v>
      </c>
      <c r="Q24" s="41"/>
      <c r="R24" s="41"/>
      <c r="S24" s="41">
        <f t="shared" si="3"/>
        <v>0</v>
      </c>
      <c r="T24" s="41">
        <v>100</v>
      </c>
      <c r="U24" s="41">
        <v>5</v>
      </c>
      <c r="V24" s="41">
        <f t="shared" si="4"/>
        <v>25621750.000000007</v>
      </c>
      <c r="W24" s="41"/>
      <c r="X24" s="41"/>
      <c r="Y24" s="41"/>
      <c r="Z24" s="41"/>
      <c r="AA24" s="41"/>
      <c r="AB24" s="41"/>
      <c r="AC24" s="41">
        <v>100</v>
      </c>
      <c r="AD24" s="41">
        <v>5</v>
      </c>
      <c r="AE24" s="41">
        <f t="shared" si="5"/>
        <v>34102549.250000015</v>
      </c>
      <c r="AF24" s="28">
        <f t="shared" si="6"/>
        <v>78974299.25000003</v>
      </c>
      <c r="AG24" s="28">
        <f t="shared" si="7"/>
        <v>76674.076941747597</v>
      </c>
    </row>
    <row r="25" spans="1:33" ht="57.6" x14ac:dyDescent="0.3">
      <c r="A25" s="41" t="s">
        <v>836</v>
      </c>
      <c r="B25" s="41" t="s">
        <v>1051</v>
      </c>
      <c r="C25" s="41" t="s">
        <v>1052</v>
      </c>
      <c r="D25" s="41" t="s">
        <v>1053</v>
      </c>
      <c r="E25" s="41" t="s">
        <v>1319</v>
      </c>
      <c r="F25" s="41" t="s">
        <v>713</v>
      </c>
      <c r="G25" s="41">
        <v>45000</v>
      </c>
      <c r="H25" s="41"/>
      <c r="I25" s="41"/>
      <c r="J25" s="41">
        <f t="shared" si="0"/>
        <v>0</v>
      </c>
      <c r="K25" s="41">
        <v>58</v>
      </c>
      <c r="L25" s="41">
        <v>6</v>
      </c>
      <c r="M25" s="41">
        <f t="shared" si="1"/>
        <v>17226000.000000004</v>
      </c>
      <c r="N25" s="41"/>
      <c r="O25" s="41"/>
      <c r="P25" s="41">
        <f t="shared" si="2"/>
        <v>0</v>
      </c>
      <c r="Q25" s="41"/>
      <c r="R25" s="41"/>
      <c r="S25" s="41">
        <f t="shared" si="3"/>
        <v>0</v>
      </c>
      <c r="T25" s="41">
        <v>58</v>
      </c>
      <c r="U25" s="41">
        <v>6</v>
      </c>
      <c r="V25" s="41">
        <f t="shared" si="4"/>
        <v>22927806.000000007</v>
      </c>
      <c r="W25" s="41"/>
      <c r="X25" s="41"/>
      <c r="Y25" s="41"/>
      <c r="Z25" s="41"/>
      <c r="AA25" s="41"/>
      <c r="AB25" s="41"/>
      <c r="AC25" s="41">
        <v>58</v>
      </c>
      <c r="AD25" s="41">
        <v>6</v>
      </c>
      <c r="AE25" s="41">
        <f t="shared" si="5"/>
        <v>30516909.786000017</v>
      </c>
      <c r="AF25" s="28">
        <f t="shared" si="6"/>
        <v>70670715.786000028</v>
      </c>
      <c r="AG25" s="28">
        <f t="shared" si="7"/>
        <v>68612.345423300998</v>
      </c>
    </row>
    <row r="26" spans="1:33" ht="57.6" x14ac:dyDescent="0.3">
      <c r="A26" s="41" t="s">
        <v>836</v>
      </c>
      <c r="B26" s="41" t="s">
        <v>1051</v>
      </c>
      <c r="C26" s="41" t="s">
        <v>1052</v>
      </c>
      <c r="D26" s="41" t="s">
        <v>1053</v>
      </c>
      <c r="E26" s="41" t="s">
        <v>1319</v>
      </c>
      <c r="F26" s="41" t="s">
        <v>712</v>
      </c>
      <c r="G26" s="41">
        <f>1999.2/7</f>
        <v>285.60000000000002</v>
      </c>
      <c r="H26" s="41"/>
      <c r="I26" s="41"/>
      <c r="J26" s="41">
        <f t="shared" si="0"/>
        <v>0</v>
      </c>
      <c r="K26" s="41">
        <f>25*2*9</f>
        <v>450</v>
      </c>
      <c r="L26" s="41">
        <v>5</v>
      </c>
      <c r="M26" s="41">
        <f t="shared" si="1"/>
        <v>706860</v>
      </c>
      <c r="N26" s="41"/>
      <c r="O26" s="41"/>
      <c r="P26" s="41">
        <f t="shared" si="2"/>
        <v>0</v>
      </c>
      <c r="Q26" s="41"/>
      <c r="R26" s="41"/>
      <c r="S26" s="41">
        <f t="shared" si="3"/>
        <v>0</v>
      </c>
      <c r="T26" s="41">
        <f>25*2*9</f>
        <v>450</v>
      </c>
      <c r="U26" s="41">
        <v>5</v>
      </c>
      <c r="V26" s="41">
        <f t="shared" si="4"/>
        <v>940830.66000000038</v>
      </c>
      <c r="W26" s="41"/>
      <c r="X26" s="41"/>
      <c r="Y26" s="41"/>
      <c r="Z26" s="41"/>
      <c r="AA26" s="41"/>
      <c r="AB26" s="41"/>
      <c r="AC26" s="41">
        <f>25*2*9</f>
        <v>450</v>
      </c>
      <c r="AD26" s="41">
        <v>5</v>
      </c>
      <c r="AE26" s="41">
        <f t="shared" si="5"/>
        <v>1252245.6084600009</v>
      </c>
      <c r="AF26" s="28">
        <f t="shared" si="6"/>
        <v>2899936.2684600013</v>
      </c>
      <c r="AG26" s="28">
        <f t="shared" si="7"/>
        <v>2815.4721053009721</v>
      </c>
    </row>
    <row r="27" spans="1:33" ht="57.6" x14ac:dyDescent="0.3">
      <c r="A27" s="41" t="s">
        <v>836</v>
      </c>
      <c r="B27" s="41" t="s">
        <v>1051</v>
      </c>
      <c r="C27" s="41" t="s">
        <v>1052</v>
      </c>
      <c r="D27" s="41" t="s">
        <v>1053</v>
      </c>
      <c r="E27" s="41" t="s">
        <v>1319</v>
      </c>
      <c r="F27" s="41" t="s">
        <v>1320</v>
      </c>
      <c r="G27" s="41">
        <f>1999.2/7</f>
        <v>285.60000000000002</v>
      </c>
      <c r="H27" s="41"/>
      <c r="I27" s="41"/>
      <c r="J27" s="41">
        <f t="shared" si="0"/>
        <v>0</v>
      </c>
      <c r="K27" s="41">
        <v>22500</v>
      </c>
      <c r="L27" s="41">
        <v>1</v>
      </c>
      <c r="M27" s="41">
        <f t="shared" si="1"/>
        <v>7068600.0000000009</v>
      </c>
      <c r="N27" s="41"/>
      <c r="O27" s="41"/>
      <c r="P27" s="41">
        <f t="shared" si="2"/>
        <v>0</v>
      </c>
      <c r="Q27" s="41"/>
      <c r="R27" s="41"/>
      <c r="S27" s="41">
        <f t="shared" si="3"/>
        <v>0</v>
      </c>
      <c r="T27" s="41">
        <v>22500</v>
      </c>
      <c r="U27" s="41">
        <v>1</v>
      </c>
      <c r="V27" s="41">
        <f t="shared" si="4"/>
        <v>9408306.6000000034</v>
      </c>
      <c r="W27" s="41"/>
      <c r="X27" s="41"/>
      <c r="Y27" s="41"/>
      <c r="Z27" s="41"/>
      <c r="AA27" s="41"/>
      <c r="AB27" s="41"/>
      <c r="AC27" s="41">
        <v>22500</v>
      </c>
      <c r="AD27" s="41">
        <v>1</v>
      </c>
      <c r="AE27" s="41">
        <f t="shared" si="5"/>
        <v>12522456.084600009</v>
      </c>
      <c r="AF27" s="28">
        <f t="shared" si="6"/>
        <v>28999362.684600014</v>
      </c>
      <c r="AG27" s="28">
        <f t="shared" si="7"/>
        <v>28154.721053009722</v>
      </c>
    </row>
    <row r="28" spans="1:33" ht="57.6" x14ac:dyDescent="0.3">
      <c r="A28" s="41" t="s">
        <v>836</v>
      </c>
      <c r="B28" s="41" t="s">
        <v>1051</v>
      </c>
      <c r="C28" s="41" t="s">
        <v>1052</v>
      </c>
      <c r="D28" s="41" t="s">
        <v>1053</v>
      </c>
      <c r="E28" s="41" t="s">
        <v>1028</v>
      </c>
      <c r="F28" s="41" t="s">
        <v>841</v>
      </c>
      <c r="G28" s="41">
        <v>0</v>
      </c>
      <c r="H28" s="41"/>
      <c r="I28" s="41"/>
      <c r="J28" s="41">
        <f t="shared" si="0"/>
        <v>0</v>
      </c>
      <c r="K28" s="41">
        <v>0</v>
      </c>
      <c r="L28" s="41">
        <v>0</v>
      </c>
      <c r="M28" s="41">
        <f t="shared" si="1"/>
        <v>0</v>
      </c>
      <c r="N28" s="41"/>
      <c r="O28" s="41"/>
      <c r="P28" s="41">
        <f t="shared" si="2"/>
        <v>0</v>
      </c>
      <c r="Q28" s="41"/>
      <c r="R28" s="41"/>
      <c r="S28" s="41">
        <f t="shared" si="3"/>
        <v>0</v>
      </c>
      <c r="T28" s="41">
        <v>0</v>
      </c>
      <c r="U28" s="41">
        <v>0</v>
      </c>
      <c r="V28" s="41">
        <f t="shared" si="4"/>
        <v>0</v>
      </c>
      <c r="W28" s="41"/>
      <c r="X28" s="41"/>
      <c r="Y28" s="41"/>
      <c r="Z28" s="41"/>
      <c r="AA28" s="41"/>
      <c r="AB28" s="41"/>
      <c r="AC28" s="41">
        <v>0</v>
      </c>
      <c r="AD28" s="41">
        <v>0</v>
      </c>
      <c r="AE28" s="41">
        <f t="shared" si="5"/>
        <v>0</v>
      </c>
      <c r="AF28" s="28">
        <f t="shared" si="6"/>
        <v>0</v>
      </c>
      <c r="AG28" s="28">
        <f t="shared" si="7"/>
        <v>0</v>
      </c>
    </row>
    <row r="29" spans="1:33" ht="57.6" x14ac:dyDescent="0.3">
      <c r="A29" s="41" t="s">
        <v>836</v>
      </c>
      <c r="B29" s="41" t="s">
        <v>1051</v>
      </c>
      <c r="C29" s="41" t="s">
        <v>1052</v>
      </c>
      <c r="D29" s="41" t="s">
        <v>1053</v>
      </c>
      <c r="E29" s="41" t="s">
        <v>1057</v>
      </c>
      <c r="F29" s="41" t="s">
        <v>841</v>
      </c>
      <c r="G29" s="41">
        <v>0</v>
      </c>
      <c r="H29" s="41"/>
      <c r="I29" s="41"/>
      <c r="J29" s="41">
        <f t="shared" si="0"/>
        <v>0</v>
      </c>
      <c r="K29" s="41">
        <v>0</v>
      </c>
      <c r="L29" s="41">
        <v>0</v>
      </c>
      <c r="M29" s="41">
        <f t="shared" si="1"/>
        <v>0</v>
      </c>
      <c r="N29" s="41"/>
      <c r="O29" s="41"/>
      <c r="P29" s="41">
        <f t="shared" si="2"/>
        <v>0</v>
      </c>
      <c r="Q29" s="41"/>
      <c r="R29" s="41"/>
      <c r="S29" s="41">
        <f t="shared" si="3"/>
        <v>0</v>
      </c>
      <c r="T29" s="41">
        <v>0</v>
      </c>
      <c r="U29" s="41">
        <v>0</v>
      </c>
      <c r="V29" s="41">
        <f t="shared" si="4"/>
        <v>0</v>
      </c>
      <c r="W29" s="41"/>
      <c r="X29" s="41"/>
      <c r="Y29" s="41"/>
      <c r="Z29" s="41"/>
      <c r="AA29" s="41"/>
      <c r="AB29" s="41"/>
      <c r="AC29" s="41">
        <v>0</v>
      </c>
      <c r="AD29" s="41">
        <v>0</v>
      </c>
      <c r="AE29" s="41">
        <f t="shared" si="5"/>
        <v>0</v>
      </c>
      <c r="AF29" s="28">
        <f t="shared" si="6"/>
        <v>0</v>
      </c>
      <c r="AG29" s="28">
        <f t="shared" si="7"/>
        <v>0</v>
      </c>
    </row>
    <row r="30" spans="1:33" x14ac:dyDescent="0.3">
      <c r="A30" s="63" t="s">
        <v>1302</v>
      </c>
      <c r="B30" s="63"/>
      <c r="C30" s="63"/>
      <c r="D30" s="63"/>
      <c r="E30" s="63"/>
      <c r="F30" s="63"/>
      <c r="G30" s="63"/>
      <c r="H30" s="63"/>
      <c r="I30" s="63"/>
      <c r="J30" s="63">
        <f>SUM(J2:J29)</f>
        <v>0</v>
      </c>
      <c r="K30" s="63"/>
      <c r="L30" s="63"/>
      <c r="M30" s="63">
        <f>SUM(M2:M29)</f>
        <v>106337147.565</v>
      </c>
      <c r="N30" s="63"/>
      <c r="O30" s="63"/>
      <c r="P30" s="63">
        <f>SUM(P2:P29)</f>
        <v>0</v>
      </c>
      <c r="Q30" s="63"/>
      <c r="R30" s="63"/>
      <c r="S30" s="63">
        <f>SUM(S2:S29)</f>
        <v>0</v>
      </c>
      <c r="T30" s="63"/>
      <c r="U30" s="63"/>
      <c r="V30" s="63">
        <f>SUM(V2:V29)</f>
        <v>141534743.40901503</v>
      </c>
      <c r="W30" s="63"/>
      <c r="X30" s="63"/>
      <c r="Y30" s="63">
        <f>SUM(Y2:Y29)</f>
        <v>0</v>
      </c>
      <c r="Z30" s="63"/>
      <c r="AA30" s="63"/>
      <c r="AB30" s="63">
        <f>SUM(AB2:AB29)</f>
        <v>0</v>
      </c>
      <c r="AC30" s="63"/>
      <c r="AD30" s="63"/>
      <c r="AE30" s="63">
        <f>SUM(AE2:AE29)</f>
        <v>197849720.27735665</v>
      </c>
      <c r="AF30" s="28">
        <f t="shared" si="6"/>
        <v>445721611.25137168</v>
      </c>
      <c r="AG30" s="28">
        <f t="shared" si="7"/>
        <v>432739.42839938996</v>
      </c>
    </row>
    <row r="31" spans="1:33" s="94" customFormat="1" x14ac:dyDescent="0.3">
      <c r="A31" s="91"/>
      <c r="B31" s="91"/>
      <c r="C31" s="91"/>
      <c r="D31" s="91"/>
      <c r="E31" s="91"/>
      <c r="F31" s="91"/>
      <c r="G31" s="91"/>
      <c r="H31" s="91"/>
      <c r="I31" s="91"/>
      <c r="J31" s="91">
        <f>J30/$AL$2</f>
        <v>0</v>
      </c>
      <c r="K31" s="91"/>
      <c r="L31" s="91"/>
      <c r="M31" s="91">
        <f>M30/$AL$2</f>
        <v>103239.949092233</v>
      </c>
      <c r="N31" s="91"/>
      <c r="O31" s="91"/>
      <c r="P31" s="91">
        <f>P30/$AL$2</f>
        <v>0</v>
      </c>
      <c r="Q31" s="91"/>
      <c r="R31" s="91"/>
      <c r="S31" s="91">
        <f>S30/$AL$2</f>
        <v>0</v>
      </c>
      <c r="T31" s="91"/>
      <c r="U31" s="91"/>
      <c r="V31" s="91">
        <f>V30/$AL$2</f>
        <v>137412.37224176218</v>
      </c>
      <c r="W31" s="91"/>
      <c r="X31" s="91"/>
      <c r="Y31" s="91">
        <f>Y30/$AL$2</f>
        <v>0</v>
      </c>
      <c r="Z31" s="91"/>
      <c r="AA31" s="91"/>
      <c r="AB31" s="91">
        <f>AB30/$AL$2</f>
        <v>0</v>
      </c>
      <c r="AC31" s="91"/>
      <c r="AD31" s="91"/>
      <c r="AE31" s="91">
        <f>AE30/$AL$2</f>
        <v>192087.10706539481</v>
      </c>
      <c r="AF31" s="95">
        <f t="shared" si="6"/>
        <v>432739.42839938996</v>
      </c>
      <c r="AG31" s="95">
        <f t="shared" si="7"/>
        <v>420.1353673780485</v>
      </c>
    </row>
    <row r="32" spans="1:33" ht="57.6" x14ac:dyDescent="0.3">
      <c r="A32" s="41" t="s">
        <v>836</v>
      </c>
      <c r="B32" s="41" t="s">
        <v>1051</v>
      </c>
      <c r="C32" s="41" t="s">
        <v>1058</v>
      </c>
      <c r="D32" s="41" t="s">
        <v>1059</v>
      </c>
      <c r="E32" s="41" t="s">
        <v>1048</v>
      </c>
      <c r="F32" s="41" t="s">
        <v>841</v>
      </c>
      <c r="G32" s="41">
        <v>0</v>
      </c>
      <c r="H32" s="41"/>
      <c r="I32" s="41"/>
      <c r="J32" s="41">
        <f t="shared" si="0"/>
        <v>0</v>
      </c>
      <c r="K32" s="41">
        <v>0</v>
      </c>
      <c r="L32" s="41">
        <v>0</v>
      </c>
      <c r="M32" s="41">
        <f t="shared" si="1"/>
        <v>0</v>
      </c>
      <c r="N32" s="41"/>
      <c r="O32" s="41"/>
      <c r="P32" s="41">
        <f t="shared" si="2"/>
        <v>0</v>
      </c>
      <c r="Q32" s="41"/>
      <c r="R32" s="41"/>
      <c r="S32" s="41">
        <f t="shared" si="3"/>
        <v>0</v>
      </c>
      <c r="T32" s="41"/>
      <c r="U32" s="41"/>
      <c r="V32" s="41">
        <f t="shared" si="4"/>
        <v>0</v>
      </c>
      <c r="W32" s="41">
        <v>0</v>
      </c>
      <c r="X32" s="41">
        <v>0</v>
      </c>
      <c r="Y32" s="41">
        <f t="shared" ref="Y32:Y95" si="8">($G32*1.1^5)*W32*X32</f>
        <v>0</v>
      </c>
      <c r="Z32" s="41"/>
      <c r="AA32" s="41"/>
      <c r="AB32" s="41">
        <f t="shared" ref="AB32:AB95" si="9">($G32*1.1^6)*Z32*AA32</f>
        <v>0</v>
      </c>
      <c r="AC32" s="41"/>
      <c r="AD32" s="41"/>
      <c r="AE32" s="41">
        <f t="shared" ref="AE32:AE95" si="10">($G32*1.1^7)*AC32*AD32</f>
        <v>0</v>
      </c>
      <c r="AF32" s="28">
        <f t="shared" si="6"/>
        <v>0</v>
      </c>
      <c r="AG32" s="28">
        <f t="shared" si="7"/>
        <v>0</v>
      </c>
    </row>
    <row r="33" spans="1:33" ht="57.6" x14ac:dyDescent="0.3">
      <c r="A33" s="41" t="s">
        <v>836</v>
      </c>
      <c r="B33" s="41" t="s">
        <v>1051</v>
      </c>
      <c r="C33" s="41" t="s">
        <v>1058</v>
      </c>
      <c r="D33" s="41" t="s">
        <v>1059</v>
      </c>
      <c r="E33" s="41" t="s">
        <v>1024</v>
      </c>
      <c r="F33" s="41" t="s">
        <v>841</v>
      </c>
      <c r="G33" s="41">
        <v>0</v>
      </c>
      <c r="H33" s="41"/>
      <c r="I33" s="41"/>
      <c r="J33" s="41">
        <f t="shared" si="0"/>
        <v>0</v>
      </c>
      <c r="K33" s="41">
        <v>0</v>
      </c>
      <c r="L33" s="41">
        <v>0</v>
      </c>
      <c r="M33" s="41">
        <f t="shared" si="1"/>
        <v>0</v>
      </c>
      <c r="N33" s="41"/>
      <c r="O33" s="41"/>
      <c r="P33" s="41">
        <f t="shared" si="2"/>
        <v>0</v>
      </c>
      <c r="Q33" s="41"/>
      <c r="R33" s="41"/>
      <c r="S33" s="41">
        <f t="shared" si="3"/>
        <v>0</v>
      </c>
      <c r="T33" s="41"/>
      <c r="U33" s="41"/>
      <c r="V33" s="41">
        <f t="shared" si="4"/>
        <v>0</v>
      </c>
      <c r="W33" s="41">
        <v>0</v>
      </c>
      <c r="X33" s="41">
        <v>0</v>
      </c>
      <c r="Y33" s="41">
        <f t="shared" si="8"/>
        <v>0</v>
      </c>
      <c r="Z33" s="41"/>
      <c r="AA33" s="41"/>
      <c r="AB33" s="41">
        <f t="shared" si="9"/>
        <v>0</v>
      </c>
      <c r="AC33" s="41"/>
      <c r="AD33" s="41"/>
      <c r="AE33" s="41">
        <f t="shared" si="10"/>
        <v>0</v>
      </c>
      <c r="AF33" s="28">
        <f t="shared" si="6"/>
        <v>0</v>
      </c>
      <c r="AG33" s="28">
        <f t="shared" si="7"/>
        <v>0</v>
      </c>
    </row>
    <row r="34" spans="1:33" ht="57.6" x14ac:dyDescent="0.3">
      <c r="A34" s="41" t="s">
        <v>836</v>
      </c>
      <c r="B34" s="41" t="s">
        <v>1051</v>
      </c>
      <c r="C34" s="41" t="s">
        <v>1058</v>
      </c>
      <c r="D34" s="41" t="s">
        <v>1059</v>
      </c>
      <c r="E34" s="41" t="s">
        <v>1049</v>
      </c>
      <c r="F34" s="41" t="s">
        <v>841</v>
      </c>
      <c r="G34" s="41">
        <v>0</v>
      </c>
      <c r="H34" s="41"/>
      <c r="I34" s="41"/>
      <c r="J34" s="41">
        <f t="shared" si="0"/>
        <v>0</v>
      </c>
      <c r="K34" s="41">
        <v>0</v>
      </c>
      <c r="L34" s="41">
        <v>0</v>
      </c>
      <c r="M34" s="41">
        <f t="shared" si="1"/>
        <v>0</v>
      </c>
      <c r="N34" s="41"/>
      <c r="O34" s="41"/>
      <c r="P34" s="41">
        <f t="shared" si="2"/>
        <v>0</v>
      </c>
      <c r="Q34" s="41"/>
      <c r="R34" s="41"/>
      <c r="S34" s="41">
        <f t="shared" si="3"/>
        <v>0</v>
      </c>
      <c r="T34" s="41"/>
      <c r="U34" s="41"/>
      <c r="V34" s="41">
        <f t="shared" si="4"/>
        <v>0</v>
      </c>
      <c r="W34" s="41">
        <v>0</v>
      </c>
      <c r="X34" s="41">
        <v>0</v>
      </c>
      <c r="Y34" s="41">
        <f t="shared" si="8"/>
        <v>0</v>
      </c>
      <c r="Z34" s="41"/>
      <c r="AA34" s="41"/>
      <c r="AB34" s="41">
        <f t="shared" si="9"/>
        <v>0</v>
      </c>
      <c r="AC34" s="41"/>
      <c r="AD34" s="41"/>
      <c r="AE34" s="41">
        <f t="shared" si="10"/>
        <v>0</v>
      </c>
      <c r="AF34" s="28">
        <f t="shared" si="6"/>
        <v>0</v>
      </c>
      <c r="AG34" s="28">
        <f t="shared" si="7"/>
        <v>0</v>
      </c>
    </row>
    <row r="35" spans="1:33" ht="57.6" x14ac:dyDescent="0.3">
      <c r="A35" s="41" t="s">
        <v>836</v>
      </c>
      <c r="B35" s="41" t="s">
        <v>1051</v>
      </c>
      <c r="C35" s="41" t="s">
        <v>1058</v>
      </c>
      <c r="D35" s="41" t="s">
        <v>1059</v>
      </c>
      <c r="E35" s="41" t="s">
        <v>149</v>
      </c>
      <c r="F35" s="41" t="s">
        <v>707</v>
      </c>
      <c r="G35" s="41">
        <v>391991.03749999998</v>
      </c>
      <c r="H35" s="41"/>
      <c r="I35" s="41"/>
      <c r="J35" s="41">
        <f t="shared" si="0"/>
        <v>0</v>
      </c>
      <c r="K35" s="41">
        <v>2</v>
      </c>
      <c r="L35" s="41">
        <v>2</v>
      </c>
      <c r="M35" s="41">
        <f t="shared" si="1"/>
        <v>1724760.5649999999</v>
      </c>
      <c r="N35" s="41"/>
      <c r="O35" s="41"/>
      <c r="P35" s="41">
        <f t="shared" si="2"/>
        <v>0</v>
      </c>
      <c r="Q35" s="41"/>
      <c r="R35" s="41"/>
      <c r="S35" s="41">
        <f t="shared" si="3"/>
        <v>0</v>
      </c>
      <c r="T35" s="41"/>
      <c r="U35" s="41"/>
      <c r="V35" s="41">
        <f t="shared" si="4"/>
        <v>0</v>
      </c>
      <c r="W35" s="41">
        <v>2</v>
      </c>
      <c r="X35" s="41">
        <v>2</v>
      </c>
      <c r="Y35" s="41">
        <f t="shared" si="8"/>
        <v>2525221.9432165008</v>
      </c>
      <c r="Z35" s="41"/>
      <c r="AA35" s="41"/>
      <c r="AB35" s="41">
        <f t="shared" si="9"/>
        <v>0</v>
      </c>
      <c r="AC35" s="41"/>
      <c r="AD35" s="41"/>
      <c r="AE35" s="41">
        <f t="shared" si="10"/>
        <v>0</v>
      </c>
      <c r="AF35" s="28">
        <f t="shared" si="6"/>
        <v>4249982.5082165003</v>
      </c>
      <c r="AG35" s="28">
        <f t="shared" si="7"/>
        <v>4126.1966099189322</v>
      </c>
    </row>
    <row r="36" spans="1:33" ht="57.6" x14ac:dyDescent="0.3">
      <c r="A36" s="41" t="s">
        <v>836</v>
      </c>
      <c r="B36" s="41" t="s">
        <v>1051</v>
      </c>
      <c r="C36" s="41" t="s">
        <v>1058</v>
      </c>
      <c r="D36" s="41" t="s">
        <v>1059</v>
      </c>
      <c r="E36" s="41" t="s">
        <v>149</v>
      </c>
      <c r="F36" s="41" t="s">
        <v>708</v>
      </c>
      <c r="G36" s="41">
        <f>980*1030</f>
        <v>1009400</v>
      </c>
      <c r="H36" s="41"/>
      <c r="I36" s="41"/>
      <c r="J36" s="41">
        <f t="shared" si="0"/>
        <v>0</v>
      </c>
      <c r="K36" s="41">
        <v>1</v>
      </c>
      <c r="L36" s="41">
        <v>25</v>
      </c>
      <c r="M36" s="41">
        <f t="shared" si="1"/>
        <v>27758500</v>
      </c>
      <c r="N36" s="41"/>
      <c r="O36" s="41"/>
      <c r="P36" s="41">
        <f t="shared" si="2"/>
        <v>0</v>
      </c>
      <c r="Q36" s="41"/>
      <c r="R36" s="41"/>
      <c r="S36" s="41">
        <f t="shared" si="3"/>
        <v>0</v>
      </c>
      <c r="T36" s="41"/>
      <c r="U36" s="41"/>
      <c r="V36" s="41">
        <f t="shared" si="4"/>
        <v>0</v>
      </c>
      <c r="W36" s="41">
        <v>1</v>
      </c>
      <c r="X36" s="41">
        <v>25</v>
      </c>
      <c r="Y36" s="41">
        <f t="shared" si="8"/>
        <v>40641219.850000009</v>
      </c>
      <c r="Z36" s="41"/>
      <c r="AA36" s="41"/>
      <c r="AB36" s="41">
        <f t="shared" si="9"/>
        <v>0</v>
      </c>
      <c r="AC36" s="41"/>
      <c r="AD36" s="41"/>
      <c r="AE36" s="41">
        <f t="shared" si="10"/>
        <v>0</v>
      </c>
      <c r="AF36" s="28">
        <f t="shared" si="6"/>
        <v>68399719.850000009</v>
      </c>
      <c r="AG36" s="28">
        <f t="shared" si="7"/>
        <v>66407.49500000001</v>
      </c>
    </row>
    <row r="37" spans="1:33" ht="57.6" x14ac:dyDescent="0.3">
      <c r="A37" s="41" t="s">
        <v>836</v>
      </c>
      <c r="B37" s="41" t="s">
        <v>1051</v>
      </c>
      <c r="C37" s="41" t="s">
        <v>1058</v>
      </c>
      <c r="D37" s="41" t="s">
        <v>1059</v>
      </c>
      <c r="E37" s="41" t="s">
        <v>895</v>
      </c>
      <c r="F37" s="41" t="s">
        <v>841</v>
      </c>
      <c r="G37" s="41">
        <v>0</v>
      </c>
      <c r="H37" s="41"/>
      <c r="I37" s="41"/>
      <c r="J37" s="41">
        <f t="shared" si="0"/>
        <v>0</v>
      </c>
      <c r="K37" s="41">
        <v>0</v>
      </c>
      <c r="L37" s="41">
        <v>0</v>
      </c>
      <c r="M37" s="41">
        <f t="shared" si="1"/>
        <v>0</v>
      </c>
      <c r="N37" s="41"/>
      <c r="O37" s="41"/>
      <c r="P37" s="41">
        <f t="shared" si="2"/>
        <v>0</v>
      </c>
      <c r="Q37" s="41"/>
      <c r="R37" s="41"/>
      <c r="S37" s="41">
        <f t="shared" si="3"/>
        <v>0</v>
      </c>
      <c r="T37" s="41"/>
      <c r="U37" s="41"/>
      <c r="V37" s="41">
        <f t="shared" si="4"/>
        <v>0</v>
      </c>
      <c r="W37" s="41">
        <v>0</v>
      </c>
      <c r="X37" s="41">
        <v>0</v>
      </c>
      <c r="Y37" s="41">
        <f t="shared" si="8"/>
        <v>0</v>
      </c>
      <c r="Z37" s="41"/>
      <c r="AA37" s="41"/>
      <c r="AB37" s="41">
        <f t="shared" si="9"/>
        <v>0</v>
      </c>
      <c r="AC37" s="41"/>
      <c r="AD37" s="41"/>
      <c r="AE37" s="41">
        <f t="shared" si="10"/>
        <v>0</v>
      </c>
      <c r="AF37" s="28">
        <f t="shared" si="6"/>
        <v>0</v>
      </c>
      <c r="AG37" s="28">
        <f t="shared" si="7"/>
        <v>0</v>
      </c>
    </row>
    <row r="38" spans="1:33" ht="57.6" x14ac:dyDescent="0.3">
      <c r="A38" s="41" t="s">
        <v>836</v>
      </c>
      <c r="B38" s="41" t="s">
        <v>1051</v>
      </c>
      <c r="C38" s="41" t="s">
        <v>1058</v>
      </c>
      <c r="D38" s="41" t="s">
        <v>1059</v>
      </c>
      <c r="E38" s="41" t="s">
        <v>912</v>
      </c>
      <c r="F38" s="41" t="s">
        <v>841</v>
      </c>
      <c r="G38" s="41">
        <v>0</v>
      </c>
      <c r="H38" s="41"/>
      <c r="I38" s="41"/>
      <c r="J38" s="41">
        <f t="shared" si="0"/>
        <v>0</v>
      </c>
      <c r="K38" s="41">
        <v>0</v>
      </c>
      <c r="L38" s="41">
        <v>0</v>
      </c>
      <c r="M38" s="41">
        <f t="shared" si="1"/>
        <v>0</v>
      </c>
      <c r="N38" s="41"/>
      <c r="O38" s="41"/>
      <c r="P38" s="41">
        <f t="shared" si="2"/>
        <v>0</v>
      </c>
      <c r="Q38" s="41"/>
      <c r="R38" s="41"/>
      <c r="S38" s="41">
        <f t="shared" si="3"/>
        <v>0</v>
      </c>
      <c r="T38" s="41"/>
      <c r="U38" s="41"/>
      <c r="V38" s="41">
        <f t="shared" si="4"/>
        <v>0</v>
      </c>
      <c r="W38" s="41">
        <v>0</v>
      </c>
      <c r="X38" s="41">
        <v>0</v>
      </c>
      <c r="Y38" s="41">
        <f t="shared" si="8"/>
        <v>0</v>
      </c>
      <c r="Z38" s="41"/>
      <c r="AA38" s="41"/>
      <c r="AB38" s="41">
        <f t="shared" si="9"/>
        <v>0</v>
      </c>
      <c r="AC38" s="41"/>
      <c r="AD38" s="41"/>
      <c r="AE38" s="41">
        <f t="shared" si="10"/>
        <v>0</v>
      </c>
      <c r="AF38" s="28">
        <f t="shared" si="6"/>
        <v>0</v>
      </c>
      <c r="AG38" s="28">
        <f t="shared" si="7"/>
        <v>0</v>
      </c>
    </row>
    <row r="39" spans="1:33" ht="57.6" x14ac:dyDescent="0.3">
      <c r="A39" s="41" t="s">
        <v>836</v>
      </c>
      <c r="B39" s="41" t="s">
        <v>1051</v>
      </c>
      <c r="C39" s="41" t="s">
        <v>1058</v>
      </c>
      <c r="D39" s="41" t="s">
        <v>1059</v>
      </c>
      <c r="E39" s="41" t="s">
        <v>1026</v>
      </c>
      <c r="F39" s="41" t="s">
        <v>709</v>
      </c>
      <c r="G39" s="41">
        <v>35000</v>
      </c>
      <c r="H39" s="41"/>
      <c r="I39" s="41"/>
      <c r="J39" s="41">
        <f t="shared" si="0"/>
        <v>0</v>
      </c>
      <c r="K39" s="41">
        <v>30</v>
      </c>
      <c r="L39" s="41">
        <v>5</v>
      </c>
      <c r="M39" s="41">
        <f t="shared" si="1"/>
        <v>5775000</v>
      </c>
      <c r="N39" s="41"/>
      <c r="O39" s="41"/>
      <c r="P39" s="41">
        <f t="shared" si="2"/>
        <v>0</v>
      </c>
      <c r="Q39" s="41"/>
      <c r="R39" s="41"/>
      <c r="S39" s="41">
        <f t="shared" si="3"/>
        <v>0</v>
      </c>
      <c r="T39" s="41"/>
      <c r="U39" s="41"/>
      <c r="V39" s="41">
        <f t="shared" si="4"/>
        <v>0</v>
      </c>
      <c r="W39" s="41">
        <v>30</v>
      </c>
      <c r="X39" s="41">
        <v>5</v>
      </c>
      <c r="Y39" s="41">
        <f t="shared" si="8"/>
        <v>8455177.5000000037</v>
      </c>
      <c r="Z39" s="41"/>
      <c r="AA39" s="41"/>
      <c r="AB39" s="41">
        <f t="shared" si="9"/>
        <v>0</v>
      </c>
      <c r="AC39" s="41"/>
      <c r="AD39" s="41"/>
      <c r="AE39" s="41">
        <f t="shared" si="10"/>
        <v>0</v>
      </c>
      <c r="AF39" s="28">
        <f t="shared" si="6"/>
        <v>14230177.500000004</v>
      </c>
      <c r="AG39" s="28">
        <f t="shared" si="7"/>
        <v>13815.706310679616</v>
      </c>
    </row>
    <row r="40" spans="1:33" ht="57.6" x14ac:dyDescent="0.3">
      <c r="A40" s="41" t="s">
        <v>836</v>
      </c>
      <c r="B40" s="41" t="s">
        <v>1051</v>
      </c>
      <c r="C40" s="41" t="s">
        <v>1058</v>
      </c>
      <c r="D40" s="41" t="s">
        <v>1059</v>
      </c>
      <c r="E40" s="41" t="s">
        <v>1026</v>
      </c>
      <c r="F40" s="41" t="s">
        <v>1318</v>
      </c>
      <c r="G40" s="41">
        <v>8000</v>
      </c>
      <c r="H40" s="41"/>
      <c r="I40" s="41"/>
      <c r="J40" s="41">
        <f t="shared" si="0"/>
        <v>0</v>
      </c>
      <c r="K40" s="41">
        <v>10</v>
      </c>
      <c r="L40" s="41">
        <v>1</v>
      </c>
      <c r="M40" s="41">
        <f t="shared" si="1"/>
        <v>88000</v>
      </c>
      <c r="N40" s="41"/>
      <c r="O40" s="41"/>
      <c r="P40" s="41">
        <f t="shared" si="2"/>
        <v>0</v>
      </c>
      <c r="Q40" s="41"/>
      <c r="R40" s="41"/>
      <c r="S40" s="41">
        <f t="shared" si="3"/>
        <v>0</v>
      </c>
      <c r="T40" s="41"/>
      <c r="U40" s="41"/>
      <c r="V40" s="41">
        <f t="shared" si="4"/>
        <v>0</v>
      </c>
      <c r="W40" s="41">
        <v>10</v>
      </c>
      <c r="X40" s="41">
        <v>1</v>
      </c>
      <c r="Y40" s="41">
        <f t="shared" si="8"/>
        <v>128840.80000000003</v>
      </c>
      <c r="Z40" s="41"/>
      <c r="AA40" s="41"/>
      <c r="AB40" s="41">
        <f t="shared" si="9"/>
        <v>0</v>
      </c>
      <c r="AC40" s="41"/>
      <c r="AD40" s="41"/>
      <c r="AE40" s="41">
        <f t="shared" si="10"/>
        <v>0</v>
      </c>
      <c r="AF40" s="28">
        <f t="shared" si="6"/>
        <v>216840.80000000005</v>
      </c>
      <c r="AG40" s="28">
        <f t="shared" si="7"/>
        <v>210.52504854368937</v>
      </c>
    </row>
    <row r="41" spans="1:33" ht="57.6" x14ac:dyDescent="0.3">
      <c r="A41" s="41" t="s">
        <v>836</v>
      </c>
      <c r="B41" s="41" t="s">
        <v>1051</v>
      </c>
      <c r="C41" s="41" t="s">
        <v>1058</v>
      </c>
      <c r="D41" s="41" t="s">
        <v>1059</v>
      </c>
      <c r="E41" s="41" t="s">
        <v>1026</v>
      </c>
      <c r="F41" s="41" t="s">
        <v>710</v>
      </c>
      <c r="G41" s="41">
        <v>104850</v>
      </c>
      <c r="H41" s="41"/>
      <c r="I41" s="41"/>
      <c r="J41" s="41">
        <f t="shared" si="0"/>
        <v>0</v>
      </c>
      <c r="K41" s="41">
        <v>1</v>
      </c>
      <c r="L41" s="41">
        <v>1</v>
      </c>
      <c r="M41" s="41">
        <f t="shared" si="1"/>
        <v>115335.00000000001</v>
      </c>
      <c r="N41" s="41"/>
      <c r="O41" s="41"/>
      <c r="P41" s="41">
        <f t="shared" si="2"/>
        <v>0</v>
      </c>
      <c r="Q41" s="41"/>
      <c r="R41" s="41"/>
      <c r="S41" s="41">
        <f t="shared" si="3"/>
        <v>0</v>
      </c>
      <c r="T41" s="41"/>
      <c r="U41" s="41"/>
      <c r="V41" s="41">
        <f t="shared" si="4"/>
        <v>0</v>
      </c>
      <c r="W41" s="41">
        <v>1</v>
      </c>
      <c r="X41" s="41">
        <v>1</v>
      </c>
      <c r="Y41" s="41">
        <f t="shared" si="8"/>
        <v>168861.97350000005</v>
      </c>
      <c r="Z41" s="41"/>
      <c r="AA41" s="41"/>
      <c r="AB41" s="41">
        <f t="shared" si="9"/>
        <v>0</v>
      </c>
      <c r="AC41" s="41"/>
      <c r="AD41" s="41"/>
      <c r="AE41" s="41">
        <f t="shared" si="10"/>
        <v>0</v>
      </c>
      <c r="AF41" s="28">
        <f t="shared" si="6"/>
        <v>284196.97350000008</v>
      </c>
      <c r="AG41" s="28">
        <f t="shared" si="7"/>
        <v>275.91939174757289</v>
      </c>
    </row>
    <row r="42" spans="1:33" ht="57.6" x14ac:dyDescent="0.3">
      <c r="A42" s="41" t="s">
        <v>836</v>
      </c>
      <c r="B42" s="41" t="s">
        <v>1051</v>
      </c>
      <c r="C42" s="41" t="s">
        <v>1058</v>
      </c>
      <c r="D42" s="41" t="s">
        <v>1059</v>
      </c>
      <c r="E42" s="41" t="s">
        <v>163</v>
      </c>
      <c r="F42" s="41" t="s">
        <v>713</v>
      </c>
      <c r="G42" s="41">
        <v>45000</v>
      </c>
      <c r="H42" s="41"/>
      <c r="I42" s="41"/>
      <c r="J42" s="41">
        <f t="shared" si="0"/>
        <v>0</v>
      </c>
      <c r="K42" s="41">
        <v>10</v>
      </c>
      <c r="L42" s="41">
        <v>1</v>
      </c>
      <c r="M42" s="41">
        <f t="shared" si="1"/>
        <v>495000.00000000006</v>
      </c>
      <c r="N42" s="41"/>
      <c r="O42" s="41"/>
      <c r="P42" s="41">
        <f t="shared" si="2"/>
        <v>0</v>
      </c>
      <c r="Q42" s="41"/>
      <c r="R42" s="41"/>
      <c r="S42" s="41">
        <f t="shared" si="3"/>
        <v>0</v>
      </c>
      <c r="T42" s="41"/>
      <c r="U42" s="41"/>
      <c r="V42" s="41">
        <f t="shared" si="4"/>
        <v>0</v>
      </c>
      <c r="W42" s="41">
        <v>10</v>
      </c>
      <c r="X42" s="41">
        <v>1</v>
      </c>
      <c r="Y42" s="41">
        <f t="shared" si="8"/>
        <v>724729.50000000023</v>
      </c>
      <c r="Z42" s="41"/>
      <c r="AA42" s="41"/>
      <c r="AB42" s="41">
        <f t="shared" si="9"/>
        <v>0</v>
      </c>
      <c r="AC42" s="41"/>
      <c r="AD42" s="41"/>
      <c r="AE42" s="41">
        <f t="shared" si="10"/>
        <v>0</v>
      </c>
      <c r="AF42" s="28">
        <f t="shared" si="6"/>
        <v>1219729.5000000002</v>
      </c>
      <c r="AG42" s="28">
        <f t="shared" si="7"/>
        <v>1184.2033980582526</v>
      </c>
    </row>
    <row r="43" spans="1:33" ht="57.6" x14ac:dyDescent="0.3">
      <c r="A43" s="41" t="s">
        <v>836</v>
      </c>
      <c r="B43" s="41" t="s">
        <v>1051</v>
      </c>
      <c r="C43" s="41" t="s">
        <v>1058</v>
      </c>
      <c r="D43" s="41" t="s">
        <v>1059</v>
      </c>
      <c r="E43" s="41" t="s">
        <v>163</v>
      </c>
      <c r="F43" s="41" t="s">
        <v>712</v>
      </c>
      <c r="G43" s="41">
        <f>1999.2/7</f>
        <v>285.60000000000002</v>
      </c>
      <c r="H43" s="41"/>
      <c r="I43" s="41"/>
      <c r="J43" s="41">
        <f t="shared" si="0"/>
        <v>0</v>
      </c>
      <c r="K43" s="41">
        <f>2*25*9</f>
        <v>450</v>
      </c>
      <c r="L43" s="41">
        <v>1</v>
      </c>
      <c r="M43" s="41">
        <f t="shared" si="1"/>
        <v>141372</v>
      </c>
      <c r="N43" s="41"/>
      <c r="O43" s="41"/>
      <c r="P43" s="41">
        <f t="shared" si="2"/>
        <v>0</v>
      </c>
      <c r="Q43" s="41"/>
      <c r="R43" s="41"/>
      <c r="S43" s="41">
        <f t="shared" si="3"/>
        <v>0</v>
      </c>
      <c r="T43" s="41"/>
      <c r="U43" s="41"/>
      <c r="V43" s="41">
        <f t="shared" si="4"/>
        <v>0</v>
      </c>
      <c r="W43" s="41">
        <f>2*25*9</f>
        <v>450</v>
      </c>
      <c r="X43" s="41">
        <v>1</v>
      </c>
      <c r="Y43" s="41">
        <f t="shared" si="8"/>
        <v>206982.74520000009</v>
      </c>
      <c r="Z43" s="41"/>
      <c r="AA43" s="41"/>
      <c r="AB43" s="41">
        <f t="shared" si="9"/>
        <v>0</v>
      </c>
      <c r="AC43" s="41"/>
      <c r="AD43" s="41"/>
      <c r="AE43" s="41">
        <f t="shared" si="10"/>
        <v>0</v>
      </c>
      <c r="AF43" s="28">
        <f t="shared" si="6"/>
        <v>348354.74520000012</v>
      </c>
      <c r="AG43" s="28">
        <f t="shared" si="7"/>
        <v>338.20849048543704</v>
      </c>
    </row>
    <row r="44" spans="1:33" ht="57.6" x14ac:dyDescent="0.3">
      <c r="A44" s="41" t="s">
        <v>836</v>
      </c>
      <c r="B44" s="41" t="s">
        <v>1051</v>
      </c>
      <c r="C44" s="41" t="s">
        <v>1058</v>
      </c>
      <c r="D44" s="41" t="s">
        <v>1059</v>
      </c>
      <c r="E44" s="41" t="s">
        <v>163</v>
      </c>
      <c r="F44" s="41" t="s">
        <v>1320</v>
      </c>
      <c r="G44" s="41">
        <f>1999.2/7</f>
        <v>285.60000000000002</v>
      </c>
      <c r="H44" s="41"/>
      <c r="I44" s="41"/>
      <c r="J44" s="41">
        <f t="shared" si="0"/>
        <v>0</v>
      </c>
      <c r="K44" s="41">
        <f>2*135*9</f>
        <v>2430</v>
      </c>
      <c r="L44" s="41">
        <v>1</v>
      </c>
      <c r="M44" s="41"/>
      <c r="N44" s="41"/>
      <c r="O44" s="41"/>
      <c r="P44" s="41"/>
      <c r="Q44" s="41"/>
      <c r="R44" s="41"/>
      <c r="S44" s="41"/>
      <c r="T44" s="41"/>
      <c r="U44" s="41"/>
      <c r="V44" s="41"/>
      <c r="W44" s="41">
        <f>2*135*9</f>
        <v>2430</v>
      </c>
      <c r="X44" s="41">
        <v>1</v>
      </c>
      <c r="Y44" s="41"/>
      <c r="Z44" s="41"/>
      <c r="AA44" s="41"/>
      <c r="AB44" s="41"/>
      <c r="AC44" s="41"/>
      <c r="AD44" s="41"/>
      <c r="AE44" s="41"/>
      <c r="AF44" s="28">
        <f t="shared" si="6"/>
        <v>0</v>
      </c>
      <c r="AG44" s="28">
        <f t="shared" si="7"/>
        <v>0</v>
      </c>
    </row>
    <row r="45" spans="1:33" ht="57.6" x14ac:dyDescent="0.3">
      <c r="A45" s="41" t="s">
        <v>836</v>
      </c>
      <c r="B45" s="41" t="s">
        <v>1051</v>
      </c>
      <c r="C45" s="41" t="s">
        <v>1058</v>
      </c>
      <c r="D45" s="41" t="s">
        <v>1059</v>
      </c>
      <c r="E45" s="41" t="s">
        <v>1027</v>
      </c>
      <c r="F45" s="41" t="s">
        <v>709</v>
      </c>
      <c r="G45" s="41">
        <v>35000</v>
      </c>
      <c r="H45" s="41"/>
      <c r="I45" s="41"/>
      <c r="J45" s="41">
        <f t="shared" si="0"/>
        <v>0</v>
      </c>
      <c r="K45" s="41">
        <v>30</v>
      </c>
      <c r="L45" s="41">
        <v>1</v>
      </c>
      <c r="M45" s="41">
        <f t="shared" si="1"/>
        <v>1155000</v>
      </c>
      <c r="N45" s="41"/>
      <c r="O45" s="41"/>
      <c r="P45" s="41">
        <f t="shared" si="2"/>
        <v>0</v>
      </c>
      <c r="Q45" s="41"/>
      <c r="R45" s="41"/>
      <c r="S45" s="41">
        <f t="shared" si="3"/>
        <v>0</v>
      </c>
      <c r="T45" s="41"/>
      <c r="U45" s="41"/>
      <c r="V45" s="41">
        <f t="shared" si="4"/>
        <v>0</v>
      </c>
      <c r="W45" s="41">
        <v>30</v>
      </c>
      <c r="X45" s="41">
        <v>1</v>
      </c>
      <c r="Y45" s="41">
        <f t="shared" si="8"/>
        <v>1691035.5000000007</v>
      </c>
      <c r="Z45" s="41"/>
      <c r="AA45" s="41"/>
      <c r="AB45" s="41">
        <f t="shared" si="9"/>
        <v>0</v>
      </c>
      <c r="AC45" s="41"/>
      <c r="AD45" s="41"/>
      <c r="AE45" s="41">
        <f t="shared" si="10"/>
        <v>0</v>
      </c>
      <c r="AF45" s="28">
        <f t="shared" si="6"/>
        <v>2846035.5000000009</v>
      </c>
      <c r="AG45" s="28">
        <f t="shared" si="7"/>
        <v>2763.1412621359232</v>
      </c>
    </row>
    <row r="46" spans="1:33" ht="57.6" x14ac:dyDescent="0.3">
      <c r="A46" s="41" t="s">
        <v>836</v>
      </c>
      <c r="B46" s="41" t="s">
        <v>1051</v>
      </c>
      <c r="C46" s="41" t="s">
        <v>1058</v>
      </c>
      <c r="D46" s="41" t="s">
        <v>1059</v>
      </c>
      <c r="E46" s="41" t="s">
        <v>157</v>
      </c>
      <c r="F46" s="41" t="s">
        <v>713</v>
      </c>
      <c r="G46" s="41">
        <v>45000</v>
      </c>
      <c r="H46" s="41"/>
      <c r="I46" s="41"/>
      <c r="J46" s="41">
        <f t="shared" si="0"/>
        <v>0</v>
      </c>
      <c r="K46" s="41">
        <v>30</v>
      </c>
      <c r="L46" s="41">
        <v>6</v>
      </c>
      <c r="M46" s="41">
        <f t="shared" si="1"/>
        <v>8910000.0000000019</v>
      </c>
      <c r="N46" s="41"/>
      <c r="O46" s="41"/>
      <c r="P46" s="41">
        <f t="shared" si="2"/>
        <v>0</v>
      </c>
      <c r="Q46" s="41"/>
      <c r="R46" s="41"/>
      <c r="S46" s="41">
        <f t="shared" si="3"/>
        <v>0</v>
      </c>
      <c r="T46" s="41"/>
      <c r="U46" s="41"/>
      <c r="V46" s="41">
        <f t="shared" si="4"/>
        <v>0</v>
      </c>
      <c r="W46" s="41">
        <v>30</v>
      </c>
      <c r="X46" s="41">
        <v>6</v>
      </c>
      <c r="Y46" s="41">
        <f t="shared" si="8"/>
        <v>13045131.000000006</v>
      </c>
      <c r="Z46" s="41"/>
      <c r="AA46" s="41"/>
      <c r="AB46" s="41">
        <f t="shared" si="9"/>
        <v>0</v>
      </c>
      <c r="AC46" s="41"/>
      <c r="AD46" s="41"/>
      <c r="AE46" s="41">
        <f t="shared" si="10"/>
        <v>0</v>
      </c>
      <c r="AF46" s="28">
        <f t="shared" si="6"/>
        <v>21955131.000000007</v>
      </c>
      <c r="AG46" s="28">
        <f t="shared" si="7"/>
        <v>21315.66116504855</v>
      </c>
    </row>
    <row r="47" spans="1:33" ht="57.6" x14ac:dyDescent="0.3">
      <c r="A47" s="41" t="s">
        <v>836</v>
      </c>
      <c r="B47" s="41" t="s">
        <v>1051</v>
      </c>
      <c r="C47" s="41" t="s">
        <v>1058</v>
      </c>
      <c r="D47" s="41" t="s">
        <v>1059</v>
      </c>
      <c r="E47" s="41" t="s">
        <v>157</v>
      </c>
      <c r="F47" s="41" t="s">
        <v>712</v>
      </c>
      <c r="G47" s="41">
        <f>1999.2/7</f>
        <v>285.60000000000002</v>
      </c>
      <c r="H47" s="41"/>
      <c r="I47" s="41"/>
      <c r="J47" s="41">
        <f t="shared" si="0"/>
        <v>0</v>
      </c>
      <c r="K47" s="41">
        <f>25*2*9</f>
        <v>450</v>
      </c>
      <c r="L47" s="41">
        <v>5</v>
      </c>
      <c r="M47" s="41">
        <f t="shared" si="1"/>
        <v>706860</v>
      </c>
      <c r="N47" s="41"/>
      <c r="O47" s="41"/>
      <c r="P47" s="41">
        <f t="shared" si="2"/>
        <v>0</v>
      </c>
      <c r="Q47" s="41"/>
      <c r="R47" s="41"/>
      <c r="S47" s="41">
        <f t="shared" si="3"/>
        <v>0</v>
      </c>
      <c r="T47" s="41"/>
      <c r="U47" s="41"/>
      <c r="V47" s="41">
        <f t="shared" si="4"/>
        <v>0</v>
      </c>
      <c r="W47" s="41">
        <f>25*2*9</f>
        <v>450</v>
      </c>
      <c r="X47" s="41">
        <v>5</v>
      </c>
      <c r="Y47" s="41">
        <f t="shared" si="8"/>
        <v>1034913.7260000005</v>
      </c>
      <c r="Z47" s="41"/>
      <c r="AA47" s="41"/>
      <c r="AB47" s="41">
        <f t="shared" si="9"/>
        <v>0</v>
      </c>
      <c r="AC47" s="41"/>
      <c r="AD47" s="41"/>
      <c r="AE47" s="41">
        <f t="shared" si="10"/>
        <v>0</v>
      </c>
      <c r="AF47" s="28">
        <f t="shared" si="6"/>
        <v>1741773.7260000005</v>
      </c>
      <c r="AG47" s="28">
        <f t="shared" si="7"/>
        <v>1691.042452427185</v>
      </c>
    </row>
    <row r="48" spans="1:33" ht="57.6" x14ac:dyDescent="0.3">
      <c r="A48" s="41" t="s">
        <v>836</v>
      </c>
      <c r="B48" s="41" t="s">
        <v>1051</v>
      </c>
      <c r="C48" s="41" t="s">
        <v>1058</v>
      </c>
      <c r="D48" s="41" t="s">
        <v>1059</v>
      </c>
      <c r="E48" s="41" t="s">
        <v>157</v>
      </c>
      <c r="F48" s="41" t="s">
        <v>1320</v>
      </c>
      <c r="G48" s="41">
        <f>1999.2/7</f>
        <v>285.60000000000002</v>
      </c>
      <c r="H48" s="41"/>
      <c r="I48" s="41"/>
      <c r="J48" s="41">
        <f t="shared" si="0"/>
        <v>0</v>
      </c>
      <c r="K48" s="41">
        <f>2*135*9</f>
        <v>2430</v>
      </c>
      <c r="L48" s="41">
        <v>1</v>
      </c>
      <c r="M48" s="41"/>
      <c r="N48" s="41"/>
      <c r="O48" s="41"/>
      <c r="P48" s="41"/>
      <c r="Q48" s="41"/>
      <c r="R48" s="41"/>
      <c r="S48" s="41"/>
      <c r="T48" s="41"/>
      <c r="U48" s="41"/>
      <c r="V48" s="41"/>
      <c r="W48" s="41">
        <f>2*135*9</f>
        <v>2430</v>
      </c>
      <c r="X48" s="41">
        <v>1</v>
      </c>
      <c r="Y48" s="41"/>
      <c r="Z48" s="41"/>
      <c r="AA48" s="41"/>
      <c r="AB48" s="41"/>
      <c r="AC48" s="41"/>
      <c r="AD48" s="41"/>
      <c r="AE48" s="41"/>
      <c r="AF48" s="28">
        <f t="shared" si="6"/>
        <v>0</v>
      </c>
      <c r="AG48" s="28">
        <f t="shared" si="7"/>
        <v>0</v>
      </c>
    </row>
    <row r="49" spans="1:33" ht="57.6" x14ac:dyDescent="0.3">
      <c r="A49" s="41" t="s">
        <v>836</v>
      </c>
      <c r="B49" s="41" t="s">
        <v>1051</v>
      </c>
      <c r="C49" s="41" t="s">
        <v>1058</v>
      </c>
      <c r="D49" s="41" t="s">
        <v>1059</v>
      </c>
      <c r="E49" s="41" t="s">
        <v>157</v>
      </c>
      <c r="F49" s="41" t="s">
        <v>714</v>
      </c>
      <c r="G49" s="41">
        <v>10000</v>
      </c>
      <c r="H49" s="41"/>
      <c r="I49" s="41"/>
      <c r="J49" s="41">
        <f t="shared" si="0"/>
        <v>0</v>
      </c>
      <c r="K49" s="41">
        <v>30</v>
      </c>
      <c r="L49" s="41">
        <v>5</v>
      </c>
      <c r="M49" s="41">
        <f t="shared" si="1"/>
        <v>1650000</v>
      </c>
      <c r="N49" s="41"/>
      <c r="O49" s="41"/>
      <c r="P49" s="41">
        <f t="shared" si="2"/>
        <v>0</v>
      </c>
      <c r="Q49" s="41"/>
      <c r="R49" s="41"/>
      <c r="S49" s="41">
        <f t="shared" si="3"/>
        <v>0</v>
      </c>
      <c r="T49" s="41"/>
      <c r="U49" s="41"/>
      <c r="V49" s="41">
        <f t="shared" si="4"/>
        <v>0</v>
      </c>
      <c r="W49" s="41">
        <v>30</v>
      </c>
      <c r="X49" s="41">
        <v>5</v>
      </c>
      <c r="Y49" s="41">
        <f t="shared" si="8"/>
        <v>2415765.0000000009</v>
      </c>
      <c r="Z49" s="41"/>
      <c r="AA49" s="41"/>
      <c r="AB49" s="41">
        <f t="shared" si="9"/>
        <v>0</v>
      </c>
      <c r="AC49" s="41"/>
      <c r="AD49" s="41"/>
      <c r="AE49" s="41">
        <f t="shared" si="10"/>
        <v>0</v>
      </c>
      <c r="AF49" s="28">
        <f t="shared" si="6"/>
        <v>4065765.0000000009</v>
      </c>
      <c r="AG49" s="28">
        <f t="shared" si="7"/>
        <v>3947.3446601941755</v>
      </c>
    </row>
    <row r="50" spans="1:33" ht="57.6" x14ac:dyDescent="0.3">
      <c r="A50" s="41" t="s">
        <v>836</v>
      </c>
      <c r="B50" s="41" t="s">
        <v>1051</v>
      </c>
      <c r="C50" s="41" t="s">
        <v>1058</v>
      </c>
      <c r="D50" s="41" t="s">
        <v>1059</v>
      </c>
      <c r="E50" s="41" t="s">
        <v>1004</v>
      </c>
      <c r="F50" s="41" t="s">
        <v>709</v>
      </c>
      <c r="G50" s="41">
        <v>35000</v>
      </c>
      <c r="H50" s="41"/>
      <c r="I50" s="41"/>
      <c r="J50" s="41">
        <f t="shared" si="0"/>
        <v>0</v>
      </c>
      <c r="K50" s="41">
        <v>30</v>
      </c>
      <c r="L50" s="41">
        <v>5</v>
      </c>
      <c r="M50" s="41">
        <f t="shared" si="1"/>
        <v>5775000</v>
      </c>
      <c r="N50" s="41"/>
      <c r="O50" s="41"/>
      <c r="P50" s="41">
        <f t="shared" si="2"/>
        <v>0</v>
      </c>
      <c r="Q50" s="41"/>
      <c r="R50" s="41"/>
      <c r="S50" s="41">
        <f t="shared" si="3"/>
        <v>0</v>
      </c>
      <c r="T50" s="41"/>
      <c r="U50" s="41"/>
      <c r="V50" s="41">
        <f t="shared" si="4"/>
        <v>0</v>
      </c>
      <c r="W50" s="41">
        <v>30</v>
      </c>
      <c r="X50" s="41">
        <v>5</v>
      </c>
      <c r="Y50" s="41">
        <f t="shared" si="8"/>
        <v>8455177.5000000037</v>
      </c>
      <c r="Z50" s="41"/>
      <c r="AA50" s="41"/>
      <c r="AB50" s="41">
        <f t="shared" si="9"/>
        <v>0</v>
      </c>
      <c r="AC50" s="41"/>
      <c r="AD50" s="41"/>
      <c r="AE50" s="41">
        <f t="shared" si="10"/>
        <v>0</v>
      </c>
      <c r="AF50" s="28">
        <f t="shared" si="6"/>
        <v>14230177.500000004</v>
      </c>
      <c r="AG50" s="28">
        <f t="shared" si="7"/>
        <v>13815.706310679616</v>
      </c>
    </row>
    <row r="51" spans="1:33" ht="57.6" x14ac:dyDescent="0.3">
      <c r="A51" s="41" t="s">
        <v>836</v>
      </c>
      <c r="B51" s="41" t="s">
        <v>1051</v>
      </c>
      <c r="C51" s="41" t="s">
        <v>1058</v>
      </c>
      <c r="D51" s="41" t="s">
        <v>1059</v>
      </c>
      <c r="E51" s="41" t="s">
        <v>1004</v>
      </c>
      <c r="F51" s="41" t="s">
        <v>716</v>
      </c>
      <c r="G51" s="41">
        <v>39000</v>
      </c>
      <c r="H51" s="41"/>
      <c r="I51" s="41"/>
      <c r="J51" s="41">
        <f t="shared" si="0"/>
        <v>0</v>
      </c>
      <c r="K51" s="41">
        <v>30</v>
      </c>
      <c r="L51" s="41">
        <v>6</v>
      </c>
      <c r="M51" s="41">
        <f t="shared" si="1"/>
        <v>7722000</v>
      </c>
      <c r="N51" s="41"/>
      <c r="O51" s="41"/>
      <c r="P51" s="41">
        <f t="shared" si="2"/>
        <v>0</v>
      </c>
      <c r="Q51" s="41"/>
      <c r="R51" s="41"/>
      <c r="S51" s="41">
        <f t="shared" si="3"/>
        <v>0</v>
      </c>
      <c r="T51" s="41"/>
      <c r="U51" s="41"/>
      <c r="V51" s="41">
        <f t="shared" si="4"/>
        <v>0</v>
      </c>
      <c r="W51" s="41">
        <v>30</v>
      </c>
      <c r="X51" s="41">
        <v>6</v>
      </c>
      <c r="Y51" s="41">
        <f t="shared" si="8"/>
        <v>11305780.200000003</v>
      </c>
      <c r="Z51" s="41"/>
      <c r="AA51" s="41"/>
      <c r="AB51" s="41">
        <f t="shared" si="9"/>
        <v>0</v>
      </c>
      <c r="AC51" s="41"/>
      <c r="AD51" s="41"/>
      <c r="AE51" s="41">
        <f t="shared" si="10"/>
        <v>0</v>
      </c>
      <c r="AF51" s="28">
        <f t="shared" si="6"/>
        <v>19027780.200000003</v>
      </c>
      <c r="AG51" s="28">
        <f t="shared" si="7"/>
        <v>18473.57300970874</v>
      </c>
    </row>
    <row r="52" spans="1:33" ht="57.6" x14ac:dyDescent="0.3">
      <c r="A52" s="41" t="s">
        <v>836</v>
      </c>
      <c r="B52" s="41" t="s">
        <v>1051</v>
      </c>
      <c r="C52" s="41" t="s">
        <v>1058</v>
      </c>
      <c r="D52" s="41" t="s">
        <v>1059</v>
      </c>
      <c r="E52" s="41" t="s">
        <v>1004</v>
      </c>
      <c r="F52" s="41" t="s">
        <v>712</v>
      </c>
      <c r="G52" s="41">
        <f>1999.2/7</f>
        <v>285.60000000000002</v>
      </c>
      <c r="H52" s="41"/>
      <c r="I52" s="41"/>
      <c r="J52" s="41">
        <f t="shared" si="0"/>
        <v>0</v>
      </c>
      <c r="K52" s="41">
        <f>25*2*9</f>
        <v>450</v>
      </c>
      <c r="L52" s="41">
        <v>5</v>
      </c>
      <c r="M52" s="41">
        <f t="shared" si="1"/>
        <v>706860</v>
      </c>
      <c r="N52" s="41"/>
      <c r="O52" s="41"/>
      <c r="P52" s="41">
        <f t="shared" si="2"/>
        <v>0</v>
      </c>
      <c r="Q52" s="41"/>
      <c r="R52" s="41"/>
      <c r="S52" s="41">
        <f t="shared" si="3"/>
        <v>0</v>
      </c>
      <c r="T52" s="41"/>
      <c r="U52" s="41"/>
      <c r="V52" s="41">
        <f t="shared" si="4"/>
        <v>0</v>
      </c>
      <c r="W52" s="41">
        <f>25*2*9</f>
        <v>450</v>
      </c>
      <c r="X52" s="41">
        <v>5</v>
      </c>
      <c r="Y52" s="41">
        <f t="shared" si="8"/>
        <v>1034913.7260000005</v>
      </c>
      <c r="Z52" s="41"/>
      <c r="AA52" s="41"/>
      <c r="AB52" s="41">
        <f t="shared" si="9"/>
        <v>0</v>
      </c>
      <c r="AC52" s="41"/>
      <c r="AD52" s="41"/>
      <c r="AE52" s="41">
        <f t="shared" si="10"/>
        <v>0</v>
      </c>
      <c r="AF52" s="28">
        <f t="shared" si="6"/>
        <v>1741773.7260000005</v>
      </c>
      <c r="AG52" s="28">
        <f t="shared" si="7"/>
        <v>1691.042452427185</v>
      </c>
    </row>
    <row r="53" spans="1:33" ht="57.6" x14ac:dyDescent="0.3">
      <c r="A53" s="41" t="s">
        <v>836</v>
      </c>
      <c r="B53" s="41" t="s">
        <v>1051</v>
      </c>
      <c r="C53" s="41" t="s">
        <v>1058</v>
      </c>
      <c r="D53" s="41" t="s">
        <v>1059</v>
      </c>
      <c r="E53" s="41" t="s">
        <v>1319</v>
      </c>
      <c r="F53" s="41" t="s">
        <v>709</v>
      </c>
      <c r="G53" s="41">
        <v>35000</v>
      </c>
      <c r="H53" s="41"/>
      <c r="I53" s="41"/>
      <c r="J53" s="41">
        <f t="shared" si="0"/>
        <v>0</v>
      </c>
      <c r="K53" s="41">
        <v>100</v>
      </c>
      <c r="L53" s="41">
        <v>5</v>
      </c>
      <c r="M53" s="41">
        <f t="shared" si="1"/>
        <v>19250000</v>
      </c>
      <c r="N53" s="41"/>
      <c r="O53" s="41"/>
      <c r="P53" s="41">
        <f t="shared" si="2"/>
        <v>0</v>
      </c>
      <c r="Q53" s="41"/>
      <c r="R53" s="41"/>
      <c r="S53" s="41">
        <f t="shared" si="3"/>
        <v>0</v>
      </c>
      <c r="T53" s="41"/>
      <c r="U53" s="41"/>
      <c r="V53" s="41">
        <f t="shared" si="4"/>
        <v>0</v>
      </c>
      <c r="W53" s="41">
        <v>100</v>
      </c>
      <c r="X53" s="41">
        <v>5</v>
      </c>
      <c r="Y53" s="41">
        <f t="shared" si="8"/>
        <v>28183925.000000007</v>
      </c>
      <c r="Z53" s="41"/>
      <c r="AA53" s="41"/>
      <c r="AB53" s="41">
        <f t="shared" si="9"/>
        <v>0</v>
      </c>
      <c r="AC53" s="41"/>
      <c r="AD53" s="41"/>
      <c r="AE53" s="41">
        <f t="shared" si="10"/>
        <v>0</v>
      </c>
      <c r="AF53" s="28">
        <f t="shared" si="6"/>
        <v>47433925.000000007</v>
      </c>
      <c r="AG53" s="28">
        <f t="shared" si="7"/>
        <v>46052.354368932043</v>
      </c>
    </row>
    <row r="54" spans="1:33" ht="57.6" x14ac:dyDescent="0.3">
      <c r="A54" s="41" t="s">
        <v>836</v>
      </c>
      <c r="B54" s="41" t="s">
        <v>1051</v>
      </c>
      <c r="C54" s="41" t="s">
        <v>1058</v>
      </c>
      <c r="D54" s="41" t="s">
        <v>1059</v>
      </c>
      <c r="E54" s="41" t="s">
        <v>1319</v>
      </c>
      <c r="F54" s="41" t="s">
        <v>713</v>
      </c>
      <c r="G54" s="41">
        <v>45000</v>
      </c>
      <c r="H54" s="41"/>
      <c r="I54" s="41"/>
      <c r="J54" s="41">
        <f t="shared" si="0"/>
        <v>0</v>
      </c>
      <c r="K54" s="41">
        <v>58</v>
      </c>
      <c r="L54" s="41">
        <v>6</v>
      </c>
      <c r="M54" s="41">
        <f t="shared" si="1"/>
        <v>17226000.000000004</v>
      </c>
      <c r="N54" s="41"/>
      <c r="O54" s="41"/>
      <c r="P54" s="41">
        <f t="shared" si="2"/>
        <v>0</v>
      </c>
      <c r="Q54" s="41"/>
      <c r="R54" s="41"/>
      <c r="S54" s="41">
        <f t="shared" si="3"/>
        <v>0</v>
      </c>
      <c r="T54" s="41"/>
      <c r="U54" s="41"/>
      <c r="V54" s="41">
        <f t="shared" si="4"/>
        <v>0</v>
      </c>
      <c r="W54" s="41">
        <v>58</v>
      </c>
      <c r="X54" s="41">
        <v>6</v>
      </c>
      <c r="Y54" s="41">
        <f t="shared" si="8"/>
        <v>25220586.600000009</v>
      </c>
      <c r="Z54" s="41"/>
      <c r="AA54" s="41"/>
      <c r="AB54" s="41">
        <f t="shared" si="9"/>
        <v>0</v>
      </c>
      <c r="AC54" s="41"/>
      <c r="AD54" s="41"/>
      <c r="AE54" s="41">
        <f t="shared" si="10"/>
        <v>0</v>
      </c>
      <c r="AF54" s="28">
        <f t="shared" si="6"/>
        <v>42446586.600000009</v>
      </c>
      <c r="AG54" s="28">
        <f t="shared" si="7"/>
        <v>41210.27825242719</v>
      </c>
    </row>
    <row r="55" spans="1:33" ht="57.6" x14ac:dyDescent="0.3">
      <c r="A55" s="41" t="s">
        <v>836</v>
      </c>
      <c r="B55" s="41" t="s">
        <v>1051</v>
      </c>
      <c r="C55" s="41" t="s">
        <v>1058</v>
      </c>
      <c r="D55" s="41" t="s">
        <v>1059</v>
      </c>
      <c r="E55" s="41" t="s">
        <v>1319</v>
      </c>
      <c r="F55" s="41" t="s">
        <v>712</v>
      </c>
      <c r="G55" s="41">
        <f>1999.2/7</f>
        <v>285.60000000000002</v>
      </c>
      <c r="H55" s="41"/>
      <c r="I55" s="41"/>
      <c r="J55" s="41">
        <f t="shared" si="0"/>
        <v>0</v>
      </c>
      <c r="K55" s="41">
        <f>25*2*9</f>
        <v>450</v>
      </c>
      <c r="L55" s="41">
        <v>5</v>
      </c>
      <c r="M55" s="41">
        <f t="shared" si="1"/>
        <v>706860</v>
      </c>
      <c r="N55" s="41"/>
      <c r="O55" s="41"/>
      <c r="P55" s="41">
        <f t="shared" si="2"/>
        <v>0</v>
      </c>
      <c r="Q55" s="41"/>
      <c r="R55" s="41"/>
      <c r="S55" s="41">
        <f t="shared" si="3"/>
        <v>0</v>
      </c>
      <c r="T55" s="41"/>
      <c r="U55" s="41"/>
      <c r="V55" s="41">
        <f t="shared" si="4"/>
        <v>0</v>
      </c>
      <c r="W55" s="41">
        <f>25*2*9</f>
        <v>450</v>
      </c>
      <c r="X55" s="41">
        <v>5</v>
      </c>
      <c r="Y55" s="41">
        <f t="shared" si="8"/>
        <v>1034913.7260000005</v>
      </c>
      <c r="Z55" s="41"/>
      <c r="AA55" s="41"/>
      <c r="AB55" s="41">
        <f t="shared" si="9"/>
        <v>0</v>
      </c>
      <c r="AC55" s="41"/>
      <c r="AD55" s="41"/>
      <c r="AE55" s="41">
        <f t="shared" si="10"/>
        <v>0</v>
      </c>
      <c r="AF55" s="28">
        <f t="shared" si="6"/>
        <v>1741773.7260000005</v>
      </c>
      <c r="AG55" s="28">
        <f t="shared" si="7"/>
        <v>1691.042452427185</v>
      </c>
    </row>
    <row r="56" spans="1:33" ht="57.6" x14ac:dyDescent="0.3">
      <c r="A56" s="41" t="s">
        <v>836</v>
      </c>
      <c r="B56" s="41" t="s">
        <v>1051</v>
      </c>
      <c r="C56" s="41" t="s">
        <v>1058</v>
      </c>
      <c r="D56" s="41" t="s">
        <v>1059</v>
      </c>
      <c r="E56" s="41" t="s">
        <v>1319</v>
      </c>
      <c r="F56" s="41" t="s">
        <v>1320</v>
      </c>
      <c r="G56" s="41">
        <f>1999.2/7</f>
        <v>285.60000000000002</v>
      </c>
      <c r="H56" s="42"/>
      <c r="I56" s="41"/>
      <c r="J56" s="41">
        <f t="shared" si="0"/>
        <v>0</v>
      </c>
      <c r="K56" s="42">
        <v>22500</v>
      </c>
      <c r="L56" s="41">
        <v>1</v>
      </c>
      <c r="M56" s="41">
        <f t="shared" si="1"/>
        <v>7068600.0000000009</v>
      </c>
      <c r="N56" s="41"/>
      <c r="O56" s="41"/>
      <c r="P56" s="41">
        <f t="shared" si="2"/>
        <v>0</v>
      </c>
      <c r="Q56" s="41"/>
      <c r="R56" s="41"/>
      <c r="S56" s="41">
        <f t="shared" si="3"/>
        <v>0</v>
      </c>
      <c r="T56" s="41"/>
      <c r="U56" s="41"/>
      <c r="V56" s="41">
        <f t="shared" si="4"/>
        <v>0</v>
      </c>
      <c r="W56" s="42">
        <v>22500</v>
      </c>
      <c r="X56" s="41">
        <v>1</v>
      </c>
      <c r="Y56" s="41">
        <f t="shared" si="8"/>
        <v>10349137.260000004</v>
      </c>
      <c r="Z56" s="41"/>
      <c r="AA56" s="41"/>
      <c r="AB56" s="41">
        <f t="shared" si="9"/>
        <v>0</v>
      </c>
      <c r="AC56" s="41"/>
      <c r="AD56" s="41"/>
      <c r="AE56" s="41">
        <f t="shared" si="10"/>
        <v>0</v>
      </c>
      <c r="AF56" s="28">
        <f t="shared" si="6"/>
        <v>17417737.260000005</v>
      </c>
      <c r="AG56" s="28">
        <f t="shared" si="7"/>
        <v>16910.42452427185</v>
      </c>
    </row>
    <row r="57" spans="1:33" ht="57.6" x14ac:dyDescent="0.3">
      <c r="A57" s="41" t="s">
        <v>836</v>
      </c>
      <c r="B57" s="41" t="s">
        <v>1051</v>
      </c>
      <c r="C57" s="41" t="s">
        <v>1058</v>
      </c>
      <c r="D57" s="41" t="s">
        <v>1059</v>
      </c>
      <c r="E57" s="41" t="s">
        <v>1060</v>
      </c>
      <c r="F57" s="41" t="s">
        <v>712</v>
      </c>
      <c r="G57" s="41">
        <f>1999.2/7</f>
        <v>285.60000000000002</v>
      </c>
      <c r="H57" s="41"/>
      <c r="I57" s="41"/>
      <c r="J57" s="41">
        <f t="shared" si="0"/>
        <v>0</v>
      </c>
      <c r="K57" s="41">
        <f>2*25*29</f>
        <v>1450</v>
      </c>
      <c r="L57" s="41">
        <v>1</v>
      </c>
      <c r="M57" s="41">
        <f t="shared" si="1"/>
        <v>455532.00000000006</v>
      </c>
      <c r="N57" s="41"/>
      <c r="O57" s="41"/>
      <c r="P57" s="41">
        <f t="shared" si="2"/>
        <v>0</v>
      </c>
      <c r="Q57" s="41"/>
      <c r="R57" s="41"/>
      <c r="S57" s="41">
        <f t="shared" si="3"/>
        <v>0</v>
      </c>
      <c r="T57" s="41"/>
      <c r="U57" s="41"/>
      <c r="V57" s="41">
        <f t="shared" si="4"/>
        <v>0</v>
      </c>
      <c r="W57" s="41">
        <f>2*25*29</f>
        <v>1450</v>
      </c>
      <c r="X57" s="41">
        <v>1</v>
      </c>
      <c r="Y57" s="41">
        <f t="shared" si="8"/>
        <v>666944.4012000002</v>
      </c>
      <c r="Z57" s="41"/>
      <c r="AA57" s="41"/>
      <c r="AB57" s="41">
        <f t="shared" si="9"/>
        <v>0</v>
      </c>
      <c r="AC57" s="41"/>
      <c r="AD57" s="41"/>
      <c r="AE57" s="41">
        <f t="shared" si="10"/>
        <v>0</v>
      </c>
      <c r="AF57" s="28">
        <f t="shared" si="6"/>
        <v>1122476.4012000002</v>
      </c>
      <c r="AG57" s="28">
        <f t="shared" si="7"/>
        <v>1089.782913786408</v>
      </c>
    </row>
    <row r="58" spans="1:33" ht="57.6" x14ac:dyDescent="0.3">
      <c r="A58" s="41" t="s">
        <v>836</v>
      </c>
      <c r="B58" s="41" t="s">
        <v>1051</v>
      </c>
      <c r="C58" s="41" t="s">
        <v>1058</v>
      </c>
      <c r="D58" s="41" t="s">
        <v>1059</v>
      </c>
      <c r="E58" s="41" t="s">
        <v>1060</v>
      </c>
      <c r="F58" s="41" t="s">
        <v>1320</v>
      </c>
      <c r="G58" s="41">
        <f>1999.2/7</f>
        <v>285.60000000000002</v>
      </c>
      <c r="H58" s="41"/>
      <c r="I58" s="41"/>
      <c r="J58" s="41">
        <f t="shared" si="0"/>
        <v>0</v>
      </c>
      <c r="K58" s="41">
        <f>2*135*9</f>
        <v>2430</v>
      </c>
      <c r="L58" s="41">
        <v>1</v>
      </c>
      <c r="M58" s="41"/>
      <c r="N58" s="41"/>
      <c r="O58" s="41"/>
      <c r="P58" s="41"/>
      <c r="Q58" s="41"/>
      <c r="R58" s="41"/>
      <c r="S58" s="41"/>
      <c r="T58" s="41"/>
      <c r="U58" s="41"/>
      <c r="V58" s="41"/>
      <c r="W58" s="41">
        <f>2*135*9</f>
        <v>2430</v>
      </c>
      <c r="X58" s="41">
        <v>1</v>
      </c>
      <c r="Y58" s="41"/>
      <c r="Z58" s="41"/>
      <c r="AA58" s="41"/>
      <c r="AB58" s="41"/>
      <c r="AC58" s="41"/>
      <c r="AD58" s="41"/>
      <c r="AE58" s="41"/>
      <c r="AF58" s="28">
        <f t="shared" si="6"/>
        <v>0</v>
      </c>
      <c r="AG58" s="28">
        <f t="shared" si="7"/>
        <v>0</v>
      </c>
    </row>
    <row r="59" spans="1:33" ht="57.6" x14ac:dyDescent="0.3">
      <c r="A59" s="41" t="s">
        <v>836</v>
      </c>
      <c r="B59" s="41" t="s">
        <v>1051</v>
      </c>
      <c r="C59" s="41" t="s">
        <v>1058</v>
      </c>
      <c r="D59" s="41" t="s">
        <v>1059</v>
      </c>
      <c r="E59" s="41" t="s">
        <v>1061</v>
      </c>
      <c r="F59" s="41" t="s">
        <v>841</v>
      </c>
      <c r="G59" s="41">
        <v>0</v>
      </c>
      <c r="H59" s="41"/>
      <c r="I59" s="41"/>
      <c r="J59" s="41">
        <f t="shared" si="0"/>
        <v>0</v>
      </c>
      <c r="K59" s="41">
        <v>0</v>
      </c>
      <c r="L59" s="41">
        <v>0</v>
      </c>
      <c r="M59" s="41">
        <f t="shared" si="1"/>
        <v>0</v>
      </c>
      <c r="N59" s="41"/>
      <c r="O59" s="41"/>
      <c r="P59" s="41">
        <f t="shared" si="2"/>
        <v>0</v>
      </c>
      <c r="Q59" s="41"/>
      <c r="R59" s="41"/>
      <c r="S59" s="41">
        <f t="shared" si="3"/>
        <v>0</v>
      </c>
      <c r="T59" s="41"/>
      <c r="U59" s="41"/>
      <c r="V59" s="41">
        <f t="shared" si="4"/>
        <v>0</v>
      </c>
      <c r="W59" s="41">
        <v>0</v>
      </c>
      <c r="X59" s="41">
        <v>0</v>
      </c>
      <c r="Y59" s="41">
        <f t="shared" si="8"/>
        <v>0</v>
      </c>
      <c r="Z59" s="41"/>
      <c r="AA59" s="41"/>
      <c r="AB59" s="41">
        <f t="shared" si="9"/>
        <v>0</v>
      </c>
      <c r="AC59" s="41"/>
      <c r="AD59" s="41"/>
      <c r="AE59" s="41">
        <f t="shared" si="10"/>
        <v>0</v>
      </c>
      <c r="AF59" s="28">
        <f t="shared" si="6"/>
        <v>0</v>
      </c>
      <c r="AG59" s="28">
        <f t="shared" si="7"/>
        <v>0</v>
      </c>
    </row>
    <row r="60" spans="1:33" ht="57.6" x14ac:dyDescent="0.3">
      <c r="A60" s="41" t="s">
        <v>836</v>
      </c>
      <c r="B60" s="41" t="s">
        <v>1051</v>
      </c>
      <c r="C60" s="41" t="s">
        <v>1058</v>
      </c>
      <c r="D60" s="41" t="s">
        <v>1059</v>
      </c>
      <c r="E60" s="41" t="s">
        <v>1062</v>
      </c>
      <c r="F60" s="41" t="s">
        <v>718</v>
      </c>
      <c r="G60" s="41">
        <v>0</v>
      </c>
      <c r="H60" s="41"/>
      <c r="I60" s="41"/>
      <c r="J60" s="41">
        <f t="shared" si="0"/>
        <v>0</v>
      </c>
      <c r="K60" s="41">
        <v>0</v>
      </c>
      <c r="L60" s="41">
        <v>0</v>
      </c>
      <c r="M60" s="41">
        <f t="shared" si="1"/>
        <v>0</v>
      </c>
      <c r="N60" s="41"/>
      <c r="O60" s="41"/>
      <c r="P60" s="41">
        <f t="shared" si="2"/>
        <v>0</v>
      </c>
      <c r="Q60" s="41"/>
      <c r="R60" s="41"/>
      <c r="S60" s="41">
        <f t="shared" si="3"/>
        <v>0</v>
      </c>
      <c r="T60" s="41"/>
      <c r="U60" s="41"/>
      <c r="V60" s="41">
        <f t="shared" si="4"/>
        <v>0</v>
      </c>
      <c r="W60" s="41">
        <v>0</v>
      </c>
      <c r="X60" s="41">
        <v>0</v>
      </c>
      <c r="Y60" s="41">
        <f t="shared" si="8"/>
        <v>0</v>
      </c>
      <c r="Z60" s="41"/>
      <c r="AA60" s="41"/>
      <c r="AB60" s="41">
        <f t="shared" si="9"/>
        <v>0</v>
      </c>
      <c r="AC60" s="41"/>
      <c r="AD60" s="41"/>
      <c r="AE60" s="41">
        <f t="shared" si="10"/>
        <v>0</v>
      </c>
      <c r="AF60" s="28">
        <f t="shared" si="6"/>
        <v>0</v>
      </c>
      <c r="AG60" s="28">
        <f t="shared" si="7"/>
        <v>0</v>
      </c>
    </row>
    <row r="61" spans="1:33" ht="57.6" x14ac:dyDescent="0.3">
      <c r="A61" s="41" t="s">
        <v>836</v>
      </c>
      <c r="B61" s="41" t="s">
        <v>1051</v>
      </c>
      <c r="C61" s="41" t="s">
        <v>1058</v>
      </c>
      <c r="D61" s="41" t="s">
        <v>1059</v>
      </c>
      <c r="E61" s="41" t="s">
        <v>1031</v>
      </c>
      <c r="F61" s="41" t="s">
        <v>841</v>
      </c>
      <c r="G61" s="41">
        <v>0</v>
      </c>
      <c r="H61" s="41"/>
      <c r="I61" s="41"/>
      <c r="J61" s="41">
        <f t="shared" si="0"/>
        <v>0</v>
      </c>
      <c r="K61" s="41">
        <v>0</v>
      </c>
      <c r="L61" s="41">
        <v>0</v>
      </c>
      <c r="M61" s="41">
        <f t="shared" si="1"/>
        <v>0</v>
      </c>
      <c r="N61" s="41"/>
      <c r="O61" s="41"/>
      <c r="P61" s="41">
        <f t="shared" si="2"/>
        <v>0</v>
      </c>
      <c r="Q61" s="41"/>
      <c r="R61" s="41"/>
      <c r="S61" s="41">
        <f t="shared" si="3"/>
        <v>0</v>
      </c>
      <c r="T61" s="41"/>
      <c r="U61" s="41"/>
      <c r="V61" s="41">
        <f t="shared" si="4"/>
        <v>0</v>
      </c>
      <c r="W61" s="41">
        <v>0</v>
      </c>
      <c r="X61" s="41">
        <v>0</v>
      </c>
      <c r="Y61" s="41">
        <f t="shared" si="8"/>
        <v>0</v>
      </c>
      <c r="Z61" s="41"/>
      <c r="AA61" s="41"/>
      <c r="AB61" s="41">
        <f t="shared" si="9"/>
        <v>0</v>
      </c>
      <c r="AC61" s="41"/>
      <c r="AD61" s="41"/>
      <c r="AE61" s="41">
        <f t="shared" si="10"/>
        <v>0</v>
      </c>
      <c r="AF61" s="28">
        <f t="shared" si="6"/>
        <v>0</v>
      </c>
      <c r="AG61" s="28">
        <f t="shared" si="7"/>
        <v>0</v>
      </c>
    </row>
    <row r="62" spans="1:33" ht="57.6" x14ac:dyDescent="0.3">
      <c r="A62" s="41" t="s">
        <v>836</v>
      </c>
      <c r="B62" s="41" t="s">
        <v>1051</v>
      </c>
      <c r="C62" s="41" t="s">
        <v>1058</v>
      </c>
      <c r="D62" s="41" t="s">
        <v>1063</v>
      </c>
      <c r="E62" s="41" t="s">
        <v>176</v>
      </c>
      <c r="F62" s="41" t="s">
        <v>841</v>
      </c>
      <c r="G62" s="41">
        <v>0</v>
      </c>
      <c r="H62" s="41"/>
      <c r="I62" s="41"/>
      <c r="J62" s="41">
        <f t="shared" si="0"/>
        <v>0</v>
      </c>
      <c r="K62" s="41"/>
      <c r="L62" s="41"/>
      <c r="M62" s="41">
        <f t="shared" si="1"/>
        <v>0</v>
      </c>
      <c r="N62" s="41"/>
      <c r="O62" s="41"/>
      <c r="P62" s="41">
        <f t="shared" si="2"/>
        <v>0</v>
      </c>
      <c r="Q62" s="41"/>
      <c r="R62" s="41"/>
      <c r="S62" s="41">
        <f t="shared" si="3"/>
        <v>0</v>
      </c>
      <c r="T62" s="41"/>
      <c r="U62" s="41"/>
      <c r="V62" s="41">
        <f t="shared" si="4"/>
        <v>0</v>
      </c>
      <c r="W62" s="41"/>
      <c r="X62" s="41"/>
      <c r="Y62" s="41">
        <f t="shared" si="8"/>
        <v>0</v>
      </c>
      <c r="Z62" s="41"/>
      <c r="AA62" s="41"/>
      <c r="AB62" s="41">
        <f t="shared" si="9"/>
        <v>0</v>
      </c>
      <c r="AC62" s="41"/>
      <c r="AD62" s="41"/>
      <c r="AE62" s="41">
        <f t="shared" si="10"/>
        <v>0</v>
      </c>
      <c r="AF62" s="28">
        <f t="shared" si="6"/>
        <v>0</v>
      </c>
      <c r="AG62" s="28">
        <f t="shared" si="7"/>
        <v>0</v>
      </c>
    </row>
    <row r="63" spans="1:33" ht="57.6" x14ac:dyDescent="0.3">
      <c r="A63" s="41" t="s">
        <v>836</v>
      </c>
      <c r="B63" s="41" t="s">
        <v>1051</v>
      </c>
      <c r="C63" s="41" t="s">
        <v>1058</v>
      </c>
      <c r="D63" s="41" t="s">
        <v>1063</v>
      </c>
      <c r="E63" s="41" t="s">
        <v>1055</v>
      </c>
      <c r="F63" s="41" t="s">
        <v>841</v>
      </c>
      <c r="G63" s="41">
        <v>0</v>
      </c>
      <c r="H63" s="41"/>
      <c r="I63" s="41"/>
      <c r="J63" s="41">
        <f t="shared" si="0"/>
        <v>0</v>
      </c>
      <c r="K63" s="41"/>
      <c r="L63" s="41"/>
      <c r="M63" s="41">
        <f t="shared" si="1"/>
        <v>0</v>
      </c>
      <c r="N63" s="41"/>
      <c r="O63" s="41"/>
      <c r="P63" s="41">
        <f t="shared" si="2"/>
        <v>0</v>
      </c>
      <c r="Q63" s="41"/>
      <c r="R63" s="41"/>
      <c r="S63" s="41">
        <f t="shared" si="3"/>
        <v>0</v>
      </c>
      <c r="T63" s="41"/>
      <c r="U63" s="41"/>
      <c r="V63" s="41">
        <f t="shared" si="4"/>
        <v>0</v>
      </c>
      <c r="W63" s="41"/>
      <c r="X63" s="41"/>
      <c r="Y63" s="41">
        <f t="shared" si="8"/>
        <v>0</v>
      </c>
      <c r="Z63" s="41"/>
      <c r="AA63" s="41"/>
      <c r="AB63" s="41">
        <f t="shared" si="9"/>
        <v>0</v>
      </c>
      <c r="AC63" s="41"/>
      <c r="AD63" s="41"/>
      <c r="AE63" s="41">
        <f t="shared" si="10"/>
        <v>0</v>
      </c>
      <c r="AF63" s="28">
        <f t="shared" si="6"/>
        <v>0</v>
      </c>
      <c r="AG63" s="28">
        <f t="shared" si="7"/>
        <v>0</v>
      </c>
    </row>
    <row r="64" spans="1:33" ht="57.6" x14ac:dyDescent="0.3">
      <c r="A64" s="41" t="s">
        <v>836</v>
      </c>
      <c r="B64" s="41" t="s">
        <v>1051</v>
      </c>
      <c r="C64" s="41" t="s">
        <v>1058</v>
      </c>
      <c r="D64" s="41" t="s">
        <v>1063</v>
      </c>
      <c r="E64" s="41" t="s">
        <v>1049</v>
      </c>
      <c r="F64" s="41" t="s">
        <v>841</v>
      </c>
      <c r="G64" s="41">
        <v>0</v>
      </c>
      <c r="H64" s="41"/>
      <c r="I64" s="41"/>
      <c r="J64" s="41">
        <f t="shared" si="0"/>
        <v>0</v>
      </c>
      <c r="K64" s="41"/>
      <c r="L64" s="41"/>
      <c r="M64" s="41">
        <f t="shared" si="1"/>
        <v>0</v>
      </c>
      <c r="N64" s="41"/>
      <c r="O64" s="41"/>
      <c r="P64" s="41">
        <f t="shared" si="2"/>
        <v>0</v>
      </c>
      <c r="Q64" s="41"/>
      <c r="R64" s="41"/>
      <c r="S64" s="41">
        <f t="shared" si="3"/>
        <v>0</v>
      </c>
      <c r="T64" s="41"/>
      <c r="U64" s="41"/>
      <c r="V64" s="41">
        <f t="shared" si="4"/>
        <v>0</v>
      </c>
      <c r="W64" s="41"/>
      <c r="X64" s="41"/>
      <c r="Y64" s="41">
        <f t="shared" si="8"/>
        <v>0</v>
      </c>
      <c r="Z64" s="41"/>
      <c r="AA64" s="41"/>
      <c r="AB64" s="41">
        <f t="shared" si="9"/>
        <v>0</v>
      </c>
      <c r="AC64" s="41"/>
      <c r="AD64" s="41"/>
      <c r="AE64" s="41">
        <f t="shared" si="10"/>
        <v>0</v>
      </c>
      <c r="AF64" s="28">
        <f t="shared" si="6"/>
        <v>0</v>
      </c>
      <c r="AG64" s="28">
        <f t="shared" si="7"/>
        <v>0</v>
      </c>
    </row>
    <row r="65" spans="1:33" ht="57.6" x14ac:dyDescent="0.3">
      <c r="A65" s="41" t="s">
        <v>836</v>
      </c>
      <c r="B65" s="41" t="s">
        <v>1051</v>
      </c>
      <c r="C65" s="41" t="s">
        <v>1058</v>
      </c>
      <c r="D65" s="41" t="s">
        <v>1063</v>
      </c>
      <c r="E65" s="41" t="s">
        <v>149</v>
      </c>
      <c r="F65" s="41" t="s">
        <v>707</v>
      </c>
      <c r="G65" s="41">
        <v>391991.03749999998</v>
      </c>
      <c r="H65" s="41"/>
      <c r="I65" s="41"/>
      <c r="J65" s="41">
        <f t="shared" si="0"/>
        <v>0</v>
      </c>
      <c r="K65" s="41">
        <v>2</v>
      </c>
      <c r="L65" s="41">
        <v>2</v>
      </c>
      <c r="M65" s="41">
        <f t="shared" si="1"/>
        <v>1724760.5649999999</v>
      </c>
      <c r="N65" s="41"/>
      <c r="O65" s="41"/>
      <c r="P65" s="41">
        <f t="shared" si="2"/>
        <v>0</v>
      </c>
      <c r="Q65" s="41"/>
      <c r="R65" s="41"/>
      <c r="S65" s="41">
        <f t="shared" si="3"/>
        <v>0</v>
      </c>
      <c r="T65" s="41">
        <v>2</v>
      </c>
      <c r="U65" s="41">
        <v>2</v>
      </c>
      <c r="V65" s="41">
        <f t="shared" si="4"/>
        <v>2295656.3120150003</v>
      </c>
      <c r="W65" s="41"/>
      <c r="X65" s="41"/>
      <c r="Y65" s="41">
        <f t="shared" si="8"/>
        <v>0</v>
      </c>
      <c r="Z65" s="41"/>
      <c r="AA65" s="41"/>
      <c r="AB65" s="41">
        <f t="shared" si="9"/>
        <v>0</v>
      </c>
      <c r="AC65" s="41">
        <v>2</v>
      </c>
      <c r="AD65" s="41">
        <v>2</v>
      </c>
      <c r="AE65" s="41">
        <f t="shared" si="10"/>
        <v>3055518.5512919668</v>
      </c>
      <c r="AF65" s="28">
        <f t="shared" si="6"/>
        <v>7075935.428306967</v>
      </c>
      <c r="AG65" s="28">
        <f t="shared" si="7"/>
        <v>6869.8402216572495</v>
      </c>
    </row>
    <row r="66" spans="1:33" ht="57.6" x14ac:dyDescent="0.3">
      <c r="A66" s="41" t="s">
        <v>836</v>
      </c>
      <c r="B66" s="41" t="s">
        <v>1051</v>
      </c>
      <c r="C66" s="41" t="s">
        <v>1058</v>
      </c>
      <c r="D66" s="41" t="s">
        <v>1063</v>
      </c>
      <c r="E66" s="41" t="s">
        <v>149</v>
      </c>
      <c r="F66" s="41" t="s">
        <v>708</v>
      </c>
      <c r="G66" s="41">
        <f>980*1030</f>
        <v>1009400</v>
      </c>
      <c r="H66" s="41"/>
      <c r="I66" s="41"/>
      <c r="J66" s="41">
        <f t="shared" si="0"/>
        <v>0</v>
      </c>
      <c r="K66" s="41">
        <v>1</v>
      </c>
      <c r="L66" s="41">
        <v>25</v>
      </c>
      <c r="M66" s="41">
        <f t="shared" si="1"/>
        <v>27758500</v>
      </c>
      <c r="N66" s="41"/>
      <c r="O66" s="41"/>
      <c r="P66" s="41">
        <f t="shared" si="2"/>
        <v>0</v>
      </c>
      <c r="Q66" s="41"/>
      <c r="R66" s="41"/>
      <c r="S66" s="41">
        <f t="shared" si="3"/>
        <v>0</v>
      </c>
      <c r="T66" s="41">
        <v>1</v>
      </c>
      <c r="U66" s="41">
        <v>25</v>
      </c>
      <c r="V66" s="41">
        <f t="shared" si="4"/>
        <v>36946563.500000015</v>
      </c>
      <c r="W66" s="41"/>
      <c r="X66" s="41"/>
      <c r="Y66" s="41">
        <f t="shared" si="8"/>
        <v>0</v>
      </c>
      <c r="Z66" s="41"/>
      <c r="AA66" s="41"/>
      <c r="AB66" s="41">
        <f t="shared" si="9"/>
        <v>0</v>
      </c>
      <c r="AC66" s="41">
        <v>1</v>
      </c>
      <c r="AD66" s="41">
        <v>25</v>
      </c>
      <c r="AE66" s="41">
        <f t="shared" si="10"/>
        <v>49175876.01850003</v>
      </c>
      <c r="AF66" s="28">
        <f t="shared" si="6"/>
        <v>113880939.51850004</v>
      </c>
      <c r="AG66" s="28">
        <f t="shared" si="7"/>
        <v>110564.01895000004</v>
      </c>
    </row>
    <row r="67" spans="1:33" ht="57.6" x14ac:dyDescent="0.3">
      <c r="A67" s="41" t="s">
        <v>836</v>
      </c>
      <c r="B67" s="41" t="s">
        <v>1051</v>
      </c>
      <c r="C67" s="41" t="s">
        <v>1058</v>
      </c>
      <c r="D67" s="41" t="s">
        <v>1063</v>
      </c>
      <c r="E67" s="41" t="s">
        <v>895</v>
      </c>
      <c r="F67" s="41" t="s">
        <v>841</v>
      </c>
      <c r="G67" s="41">
        <v>0</v>
      </c>
      <c r="H67" s="41"/>
      <c r="I67" s="41"/>
      <c r="J67" s="41">
        <f t="shared" si="0"/>
        <v>0</v>
      </c>
      <c r="K67" s="41"/>
      <c r="L67" s="41"/>
      <c r="M67" s="41">
        <f t="shared" si="1"/>
        <v>0</v>
      </c>
      <c r="N67" s="41"/>
      <c r="O67" s="41"/>
      <c r="P67" s="41">
        <f t="shared" si="2"/>
        <v>0</v>
      </c>
      <c r="Q67" s="41"/>
      <c r="R67" s="41"/>
      <c r="S67" s="41">
        <f t="shared" si="3"/>
        <v>0</v>
      </c>
      <c r="T67" s="41"/>
      <c r="U67" s="41"/>
      <c r="V67" s="41">
        <f t="shared" si="4"/>
        <v>0</v>
      </c>
      <c r="W67" s="41"/>
      <c r="X67" s="41"/>
      <c r="Y67" s="41">
        <f t="shared" si="8"/>
        <v>0</v>
      </c>
      <c r="Z67" s="41"/>
      <c r="AA67" s="41"/>
      <c r="AB67" s="41">
        <f t="shared" si="9"/>
        <v>0</v>
      </c>
      <c r="AC67" s="41"/>
      <c r="AD67" s="41"/>
      <c r="AE67" s="41">
        <f t="shared" si="10"/>
        <v>0</v>
      </c>
      <c r="AF67" s="28">
        <f t="shared" ref="AF67:AF130" si="11">J67+M67+P67+S67+V67+Y67+AB67+AE67</f>
        <v>0</v>
      </c>
      <c r="AG67" s="28">
        <f t="shared" ref="AG67:AG130" si="12">AF67/$AL$2</f>
        <v>0</v>
      </c>
    </row>
    <row r="68" spans="1:33" ht="57.6" x14ac:dyDescent="0.3">
      <c r="A68" s="41" t="s">
        <v>836</v>
      </c>
      <c r="B68" s="41" t="s">
        <v>1051</v>
      </c>
      <c r="C68" s="41" t="s">
        <v>1058</v>
      </c>
      <c r="D68" s="41" t="s">
        <v>1063</v>
      </c>
      <c r="E68" s="41" t="s">
        <v>912</v>
      </c>
      <c r="F68" s="41" t="s">
        <v>841</v>
      </c>
      <c r="G68" s="41">
        <v>0</v>
      </c>
      <c r="H68" s="41"/>
      <c r="I68" s="41"/>
      <c r="J68" s="41">
        <f t="shared" si="0"/>
        <v>0</v>
      </c>
      <c r="K68" s="41"/>
      <c r="L68" s="41"/>
      <c r="M68" s="41">
        <f t="shared" si="1"/>
        <v>0</v>
      </c>
      <c r="N68" s="41"/>
      <c r="O68" s="41"/>
      <c r="P68" s="41">
        <f t="shared" si="2"/>
        <v>0</v>
      </c>
      <c r="Q68" s="41"/>
      <c r="R68" s="41"/>
      <c r="S68" s="41">
        <f t="shared" si="3"/>
        <v>0</v>
      </c>
      <c r="T68" s="41"/>
      <c r="U68" s="41"/>
      <c r="V68" s="41">
        <f t="shared" si="4"/>
        <v>0</v>
      </c>
      <c r="W68" s="41"/>
      <c r="X68" s="41"/>
      <c r="Y68" s="41">
        <f t="shared" si="8"/>
        <v>0</v>
      </c>
      <c r="Z68" s="41"/>
      <c r="AA68" s="41"/>
      <c r="AB68" s="41">
        <f t="shared" si="9"/>
        <v>0</v>
      </c>
      <c r="AC68" s="41"/>
      <c r="AD68" s="41"/>
      <c r="AE68" s="41">
        <f t="shared" si="10"/>
        <v>0</v>
      </c>
      <c r="AF68" s="28">
        <f t="shared" si="11"/>
        <v>0</v>
      </c>
      <c r="AG68" s="28">
        <f t="shared" si="12"/>
        <v>0</v>
      </c>
    </row>
    <row r="69" spans="1:33" ht="57.6" x14ac:dyDescent="0.3">
      <c r="A69" s="41" t="s">
        <v>836</v>
      </c>
      <c r="B69" s="41" t="s">
        <v>1051</v>
      </c>
      <c r="C69" s="41" t="s">
        <v>1058</v>
      </c>
      <c r="D69" s="41" t="s">
        <v>1063</v>
      </c>
      <c r="E69" s="41" t="s">
        <v>1026</v>
      </c>
      <c r="F69" s="41" t="s">
        <v>709</v>
      </c>
      <c r="G69" s="41">
        <v>35000</v>
      </c>
      <c r="H69" s="41"/>
      <c r="I69" s="41"/>
      <c r="J69" s="41">
        <f t="shared" si="0"/>
        <v>0</v>
      </c>
      <c r="K69" s="41">
        <v>25</v>
      </c>
      <c r="L69" s="41">
        <v>1</v>
      </c>
      <c r="M69" s="41">
        <f t="shared" si="1"/>
        <v>962500</v>
      </c>
      <c r="N69" s="41"/>
      <c r="O69" s="41"/>
      <c r="P69" s="41">
        <f t="shared" si="2"/>
        <v>0</v>
      </c>
      <c r="Q69" s="41"/>
      <c r="R69" s="41"/>
      <c r="S69" s="41">
        <f t="shared" si="3"/>
        <v>0</v>
      </c>
      <c r="T69" s="41">
        <v>25</v>
      </c>
      <c r="U69" s="41">
        <v>1</v>
      </c>
      <c r="V69" s="41">
        <f t="shared" si="4"/>
        <v>1281087.5000000005</v>
      </c>
      <c r="W69" s="41"/>
      <c r="X69" s="41"/>
      <c r="Y69" s="41">
        <f t="shared" si="8"/>
        <v>0</v>
      </c>
      <c r="Z69" s="41"/>
      <c r="AA69" s="41"/>
      <c r="AB69" s="41">
        <f t="shared" si="9"/>
        <v>0</v>
      </c>
      <c r="AC69" s="41">
        <v>25</v>
      </c>
      <c r="AD69" s="41">
        <v>1</v>
      </c>
      <c r="AE69" s="41">
        <f t="shared" si="10"/>
        <v>1705127.4625000008</v>
      </c>
      <c r="AF69" s="28">
        <f t="shared" si="11"/>
        <v>3948714.9625000013</v>
      </c>
      <c r="AG69" s="28">
        <f t="shared" si="12"/>
        <v>3833.7038470873799</v>
      </c>
    </row>
    <row r="70" spans="1:33" ht="57.6" x14ac:dyDescent="0.3">
      <c r="A70" s="41" t="s">
        <v>836</v>
      </c>
      <c r="B70" s="41" t="s">
        <v>1051</v>
      </c>
      <c r="C70" s="41" t="s">
        <v>1058</v>
      </c>
      <c r="D70" s="41" t="s">
        <v>1063</v>
      </c>
      <c r="E70" s="41" t="s">
        <v>1026</v>
      </c>
      <c r="F70" s="41" t="s">
        <v>1297</v>
      </c>
      <c r="G70" s="41">
        <v>8000</v>
      </c>
      <c r="H70" s="41"/>
      <c r="I70" s="41"/>
      <c r="J70" s="41">
        <f t="shared" si="0"/>
        <v>0</v>
      </c>
      <c r="K70" s="41">
        <v>30</v>
      </c>
      <c r="L70" s="41">
        <v>1</v>
      </c>
      <c r="M70" s="41">
        <f t="shared" si="1"/>
        <v>264000</v>
      </c>
      <c r="N70" s="41"/>
      <c r="O70" s="41"/>
      <c r="P70" s="41">
        <f t="shared" si="2"/>
        <v>0</v>
      </c>
      <c r="Q70" s="41"/>
      <c r="R70" s="41"/>
      <c r="S70" s="41">
        <f t="shared" si="3"/>
        <v>0</v>
      </c>
      <c r="T70" s="41">
        <v>30</v>
      </c>
      <c r="U70" s="41">
        <v>1</v>
      </c>
      <c r="V70" s="41">
        <f t="shared" si="4"/>
        <v>351384.00000000012</v>
      </c>
      <c r="W70" s="41"/>
      <c r="X70" s="41"/>
      <c r="Y70" s="41">
        <f t="shared" si="8"/>
        <v>0</v>
      </c>
      <c r="Z70" s="41"/>
      <c r="AA70" s="41"/>
      <c r="AB70" s="41">
        <f t="shared" si="9"/>
        <v>0</v>
      </c>
      <c r="AC70" s="41">
        <v>30</v>
      </c>
      <c r="AD70" s="41">
        <v>1</v>
      </c>
      <c r="AE70" s="41">
        <f t="shared" si="10"/>
        <v>467692.10400000028</v>
      </c>
      <c r="AF70" s="28">
        <f t="shared" si="11"/>
        <v>1083076.1040000003</v>
      </c>
      <c r="AG70" s="28">
        <f t="shared" si="12"/>
        <v>1051.5301980582526</v>
      </c>
    </row>
    <row r="71" spans="1:33" ht="57.6" x14ac:dyDescent="0.3">
      <c r="A71" s="41" t="s">
        <v>836</v>
      </c>
      <c r="B71" s="41" t="s">
        <v>1051</v>
      </c>
      <c r="C71" s="41" t="s">
        <v>1058</v>
      </c>
      <c r="D71" s="41" t="s">
        <v>1063</v>
      </c>
      <c r="E71" s="41" t="s">
        <v>1026</v>
      </c>
      <c r="F71" s="41" t="s">
        <v>710</v>
      </c>
      <c r="G71" s="41">
        <v>104850</v>
      </c>
      <c r="H71" s="41"/>
      <c r="I71" s="41"/>
      <c r="J71" s="41">
        <f t="shared" si="0"/>
        <v>0</v>
      </c>
      <c r="K71" s="41">
        <v>1</v>
      </c>
      <c r="L71" s="41">
        <v>1</v>
      </c>
      <c r="M71" s="41">
        <f t="shared" si="1"/>
        <v>115335.00000000001</v>
      </c>
      <c r="N71" s="41"/>
      <c r="O71" s="41"/>
      <c r="P71" s="41">
        <f t="shared" si="2"/>
        <v>0</v>
      </c>
      <c r="Q71" s="41"/>
      <c r="R71" s="41"/>
      <c r="S71" s="41">
        <f t="shared" si="3"/>
        <v>0</v>
      </c>
      <c r="T71" s="41">
        <v>1</v>
      </c>
      <c r="U71" s="41">
        <v>1</v>
      </c>
      <c r="V71" s="41">
        <f t="shared" si="4"/>
        <v>153510.88500000004</v>
      </c>
      <c r="W71" s="41"/>
      <c r="X71" s="41"/>
      <c r="Y71" s="41">
        <f t="shared" si="8"/>
        <v>0</v>
      </c>
      <c r="Z71" s="41"/>
      <c r="AA71" s="41"/>
      <c r="AB71" s="41">
        <f t="shared" si="9"/>
        <v>0</v>
      </c>
      <c r="AC71" s="41">
        <v>1</v>
      </c>
      <c r="AD71" s="41">
        <v>1</v>
      </c>
      <c r="AE71" s="41">
        <f t="shared" si="10"/>
        <v>204322.98793500013</v>
      </c>
      <c r="AF71" s="28">
        <f t="shared" si="11"/>
        <v>473168.87293500022</v>
      </c>
      <c r="AG71" s="28">
        <f t="shared" si="12"/>
        <v>459.38725527669925</v>
      </c>
    </row>
    <row r="72" spans="1:33" ht="57.6" x14ac:dyDescent="0.3">
      <c r="A72" s="41" t="s">
        <v>836</v>
      </c>
      <c r="B72" s="41" t="s">
        <v>1051</v>
      </c>
      <c r="C72" s="41" t="s">
        <v>1058</v>
      </c>
      <c r="D72" s="41" t="s">
        <v>1063</v>
      </c>
      <c r="E72" s="41" t="s">
        <v>163</v>
      </c>
      <c r="F72" s="41" t="s">
        <v>713</v>
      </c>
      <c r="G72" s="41">
        <v>45000</v>
      </c>
      <c r="H72" s="41"/>
      <c r="I72" s="41"/>
      <c r="J72" s="41">
        <f t="shared" si="0"/>
        <v>0</v>
      </c>
      <c r="K72" s="41">
        <v>25</v>
      </c>
      <c r="L72" s="41">
        <v>1</v>
      </c>
      <c r="M72" s="41">
        <f t="shared" si="1"/>
        <v>1237500.0000000002</v>
      </c>
      <c r="N72" s="41"/>
      <c r="O72" s="41"/>
      <c r="P72" s="41">
        <f t="shared" si="2"/>
        <v>0</v>
      </c>
      <c r="Q72" s="41"/>
      <c r="R72" s="41"/>
      <c r="S72" s="41">
        <f t="shared" si="3"/>
        <v>0</v>
      </c>
      <c r="T72" s="41">
        <v>25</v>
      </c>
      <c r="U72" s="41">
        <v>1</v>
      </c>
      <c r="V72" s="41">
        <f t="shared" si="4"/>
        <v>1647112.5000000005</v>
      </c>
      <c r="W72" s="41"/>
      <c r="X72" s="41"/>
      <c r="Y72" s="41">
        <f t="shared" si="8"/>
        <v>0</v>
      </c>
      <c r="Z72" s="41"/>
      <c r="AA72" s="41"/>
      <c r="AB72" s="41">
        <f t="shared" si="9"/>
        <v>0</v>
      </c>
      <c r="AC72" s="41">
        <v>25</v>
      </c>
      <c r="AD72" s="41">
        <v>1</v>
      </c>
      <c r="AE72" s="41">
        <f t="shared" si="10"/>
        <v>2192306.7375000012</v>
      </c>
      <c r="AF72" s="28">
        <f t="shared" si="11"/>
        <v>5076919.2375000026</v>
      </c>
      <c r="AG72" s="28">
        <f t="shared" si="12"/>
        <v>4929.0478033980608</v>
      </c>
    </row>
    <row r="73" spans="1:33" ht="57.6" x14ac:dyDescent="0.3">
      <c r="A73" s="41" t="s">
        <v>836</v>
      </c>
      <c r="B73" s="41" t="s">
        <v>1051</v>
      </c>
      <c r="C73" s="41" t="s">
        <v>1058</v>
      </c>
      <c r="D73" s="41" t="s">
        <v>1063</v>
      </c>
      <c r="E73" s="41" t="s">
        <v>163</v>
      </c>
      <c r="F73" s="41" t="s">
        <v>712</v>
      </c>
      <c r="G73" s="41">
        <f>1999.2/7</f>
        <v>285.60000000000002</v>
      </c>
      <c r="H73" s="41"/>
      <c r="I73" s="41"/>
      <c r="J73" s="41">
        <f t="shared" ref="J73:J132" si="13">$G73*H73*I73</f>
        <v>0</v>
      </c>
      <c r="K73" s="41">
        <f>2*25*9</f>
        <v>450</v>
      </c>
      <c r="L73" s="41">
        <v>1</v>
      </c>
      <c r="M73" s="41">
        <f t="shared" ref="M73:M132" si="14">($G73*1.1^1)*K73*L73</f>
        <v>141372</v>
      </c>
      <c r="N73" s="41"/>
      <c r="O73" s="41"/>
      <c r="P73" s="41">
        <f t="shared" ref="P73:P132" si="15">($G73*1.1^2)*N73*O73</f>
        <v>0</v>
      </c>
      <c r="Q73" s="41"/>
      <c r="R73" s="41"/>
      <c r="S73" s="41">
        <f t="shared" ref="S73:S132" si="16">($G73*1.1^3)*Q73*R73</f>
        <v>0</v>
      </c>
      <c r="T73" s="41">
        <f>2*25*9</f>
        <v>450</v>
      </c>
      <c r="U73" s="41">
        <v>1</v>
      </c>
      <c r="V73" s="41">
        <f t="shared" ref="V73:V132" si="17">($G73*1.1^4)*T73*U73</f>
        <v>188166.13200000007</v>
      </c>
      <c r="W73" s="41"/>
      <c r="X73" s="41"/>
      <c r="Y73" s="41">
        <f t="shared" si="8"/>
        <v>0</v>
      </c>
      <c r="Z73" s="41"/>
      <c r="AA73" s="41"/>
      <c r="AB73" s="41">
        <f t="shared" si="9"/>
        <v>0</v>
      </c>
      <c r="AC73" s="41">
        <f>2*25*9</f>
        <v>450</v>
      </c>
      <c r="AD73" s="41">
        <v>1</v>
      </c>
      <c r="AE73" s="41">
        <f t="shared" si="10"/>
        <v>250449.12169200019</v>
      </c>
      <c r="AF73" s="28">
        <f t="shared" si="11"/>
        <v>579987.25369200029</v>
      </c>
      <c r="AG73" s="28">
        <f t="shared" si="12"/>
        <v>563.09442106019446</v>
      </c>
    </row>
    <row r="74" spans="1:33" ht="57.6" x14ac:dyDescent="0.3">
      <c r="A74" s="41" t="s">
        <v>836</v>
      </c>
      <c r="B74" s="41" t="s">
        <v>1051</v>
      </c>
      <c r="C74" s="41" t="s">
        <v>1058</v>
      </c>
      <c r="D74" s="41" t="s">
        <v>1063</v>
      </c>
      <c r="E74" s="41" t="s">
        <v>163</v>
      </c>
      <c r="F74" s="41" t="s">
        <v>1320</v>
      </c>
      <c r="G74" s="41">
        <f>1999.2/7</f>
        <v>285.60000000000002</v>
      </c>
      <c r="H74" s="41"/>
      <c r="I74" s="41"/>
      <c r="J74" s="41">
        <f t="shared" si="13"/>
        <v>0</v>
      </c>
      <c r="K74" s="41">
        <f>2*135*9</f>
        <v>2430</v>
      </c>
      <c r="L74" s="41">
        <v>1</v>
      </c>
      <c r="M74" s="41"/>
      <c r="N74" s="41"/>
      <c r="O74" s="41"/>
      <c r="P74" s="41"/>
      <c r="Q74" s="41"/>
      <c r="R74" s="41"/>
      <c r="S74" s="41"/>
      <c r="T74" s="41">
        <f>2*135*9</f>
        <v>2430</v>
      </c>
      <c r="U74" s="41">
        <v>1</v>
      </c>
      <c r="V74" s="41"/>
      <c r="W74" s="41"/>
      <c r="X74" s="41"/>
      <c r="Y74" s="41"/>
      <c r="Z74" s="41"/>
      <c r="AA74" s="41"/>
      <c r="AB74" s="41"/>
      <c r="AC74" s="41">
        <f>2*135*9</f>
        <v>2430</v>
      </c>
      <c r="AD74" s="41">
        <v>1</v>
      </c>
      <c r="AE74" s="41"/>
      <c r="AF74" s="28">
        <f t="shared" si="11"/>
        <v>0</v>
      </c>
      <c r="AG74" s="28">
        <f t="shared" si="12"/>
        <v>0</v>
      </c>
    </row>
    <row r="75" spans="1:33" ht="57.6" x14ac:dyDescent="0.3">
      <c r="A75" s="41" t="s">
        <v>836</v>
      </c>
      <c r="B75" s="41" t="s">
        <v>1051</v>
      </c>
      <c r="C75" s="41" t="s">
        <v>1058</v>
      </c>
      <c r="D75" s="41" t="s">
        <v>1063</v>
      </c>
      <c r="E75" s="41" t="s">
        <v>1027</v>
      </c>
      <c r="F75" s="41" t="s">
        <v>709</v>
      </c>
      <c r="G75" s="41">
        <v>35000</v>
      </c>
      <c r="H75" s="41"/>
      <c r="I75" s="41"/>
      <c r="J75" s="41">
        <f t="shared" si="13"/>
        <v>0</v>
      </c>
      <c r="K75" s="41">
        <v>25</v>
      </c>
      <c r="L75" s="41">
        <v>1</v>
      </c>
      <c r="M75" s="41">
        <f t="shared" si="14"/>
        <v>962500</v>
      </c>
      <c r="N75" s="41"/>
      <c r="O75" s="41"/>
      <c r="P75" s="41">
        <f t="shared" si="15"/>
        <v>0</v>
      </c>
      <c r="Q75" s="41"/>
      <c r="R75" s="41"/>
      <c r="S75" s="41">
        <f t="shared" si="16"/>
        <v>0</v>
      </c>
      <c r="T75" s="41">
        <v>25</v>
      </c>
      <c r="U75" s="41">
        <v>1</v>
      </c>
      <c r="V75" s="41">
        <f t="shared" si="17"/>
        <v>1281087.5000000005</v>
      </c>
      <c r="W75" s="41"/>
      <c r="X75" s="41"/>
      <c r="Y75" s="41">
        <f t="shared" si="8"/>
        <v>0</v>
      </c>
      <c r="Z75" s="41"/>
      <c r="AA75" s="41"/>
      <c r="AB75" s="41">
        <f t="shared" si="9"/>
        <v>0</v>
      </c>
      <c r="AC75" s="41">
        <v>25</v>
      </c>
      <c r="AD75" s="41">
        <v>1</v>
      </c>
      <c r="AE75" s="41">
        <f t="shared" si="10"/>
        <v>1705127.4625000008</v>
      </c>
      <c r="AF75" s="28">
        <f t="shared" si="11"/>
        <v>3948714.9625000013</v>
      </c>
      <c r="AG75" s="28">
        <f t="shared" si="12"/>
        <v>3833.7038470873799</v>
      </c>
    </row>
    <row r="76" spans="1:33" ht="57.6" x14ac:dyDescent="0.3">
      <c r="A76" s="41" t="s">
        <v>836</v>
      </c>
      <c r="B76" s="41" t="s">
        <v>1051</v>
      </c>
      <c r="C76" s="41" t="s">
        <v>1058</v>
      </c>
      <c r="D76" s="41" t="s">
        <v>1063</v>
      </c>
      <c r="E76" s="41" t="s">
        <v>157</v>
      </c>
      <c r="F76" s="41" t="s">
        <v>713</v>
      </c>
      <c r="G76" s="41">
        <v>45000</v>
      </c>
      <c r="H76" s="41"/>
      <c r="I76" s="41"/>
      <c r="J76" s="41">
        <f t="shared" si="13"/>
        <v>0</v>
      </c>
      <c r="K76" s="41">
        <v>30</v>
      </c>
      <c r="L76" s="41">
        <v>6</v>
      </c>
      <c r="M76" s="41">
        <f t="shared" si="14"/>
        <v>8910000.0000000019</v>
      </c>
      <c r="N76" s="41"/>
      <c r="O76" s="41"/>
      <c r="P76" s="41">
        <f t="shared" si="15"/>
        <v>0</v>
      </c>
      <c r="Q76" s="41"/>
      <c r="R76" s="41"/>
      <c r="S76" s="41">
        <f t="shared" si="16"/>
        <v>0</v>
      </c>
      <c r="T76" s="41">
        <v>30</v>
      </c>
      <c r="U76" s="41">
        <v>6</v>
      </c>
      <c r="V76" s="41">
        <f t="shared" si="17"/>
        <v>11859210.000000004</v>
      </c>
      <c r="W76" s="41"/>
      <c r="X76" s="41"/>
      <c r="Y76" s="41">
        <f t="shared" si="8"/>
        <v>0</v>
      </c>
      <c r="Z76" s="41"/>
      <c r="AA76" s="41"/>
      <c r="AB76" s="41">
        <f t="shared" si="9"/>
        <v>0</v>
      </c>
      <c r="AC76" s="41">
        <v>30</v>
      </c>
      <c r="AD76" s="41">
        <v>6</v>
      </c>
      <c r="AE76" s="41">
        <f t="shared" si="10"/>
        <v>15784608.510000011</v>
      </c>
      <c r="AF76" s="28">
        <f t="shared" si="11"/>
        <v>36553818.51000002</v>
      </c>
      <c r="AG76" s="28">
        <f t="shared" si="12"/>
        <v>35489.144184466037</v>
      </c>
    </row>
    <row r="77" spans="1:33" ht="57.6" x14ac:dyDescent="0.3">
      <c r="A77" s="41" t="s">
        <v>836</v>
      </c>
      <c r="B77" s="41" t="s">
        <v>1051</v>
      </c>
      <c r="C77" s="41" t="s">
        <v>1058</v>
      </c>
      <c r="D77" s="41" t="s">
        <v>1063</v>
      </c>
      <c r="E77" s="41" t="s">
        <v>157</v>
      </c>
      <c r="F77" s="41" t="s">
        <v>712</v>
      </c>
      <c r="G77" s="41">
        <f>1999.2/7</f>
        <v>285.60000000000002</v>
      </c>
      <c r="H77" s="41"/>
      <c r="I77" s="41"/>
      <c r="J77" s="41">
        <f t="shared" si="13"/>
        <v>0</v>
      </c>
      <c r="K77" s="41">
        <f>2*25*9</f>
        <v>450</v>
      </c>
      <c r="L77" s="41">
        <v>5</v>
      </c>
      <c r="M77" s="41">
        <f t="shared" si="14"/>
        <v>706860</v>
      </c>
      <c r="N77" s="41"/>
      <c r="O77" s="41"/>
      <c r="P77" s="41">
        <f t="shared" si="15"/>
        <v>0</v>
      </c>
      <c r="Q77" s="41"/>
      <c r="R77" s="41"/>
      <c r="S77" s="41">
        <f t="shared" si="16"/>
        <v>0</v>
      </c>
      <c r="T77" s="41">
        <f>2*25*9</f>
        <v>450</v>
      </c>
      <c r="U77" s="41">
        <v>5</v>
      </c>
      <c r="V77" s="41">
        <f t="shared" si="17"/>
        <v>940830.66000000038</v>
      </c>
      <c r="W77" s="41"/>
      <c r="X77" s="41"/>
      <c r="Y77" s="41">
        <f t="shared" si="8"/>
        <v>0</v>
      </c>
      <c r="Z77" s="41"/>
      <c r="AA77" s="41"/>
      <c r="AB77" s="41">
        <f t="shared" si="9"/>
        <v>0</v>
      </c>
      <c r="AC77" s="41">
        <f>2*25*9</f>
        <v>450</v>
      </c>
      <c r="AD77" s="41">
        <v>5</v>
      </c>
      <c r="AE77" s="41">
        <f t="shared" si="10"/>
        <v>1252245.6084600009</v>
      </c>
      <c r="AF77" s="28">
        <f t="shared" si="11"/>
        <v>2899936.2684600013</v>
      </c>
      <c r="AG77" s="28">
        <f t="shared" si="12"/>
        <v>2815.4721053009721</v>
      </c>
    </row>
    <row r="78" spans="1:33" ht="57.6" x14ac:dyDescent="0.3">
      <c r="A78" s="41" t="s">
        <v>836</v>
      </c>
      <c r="B78" s="41" t="s">
        <v>1051</v>
      </c>
      <c r="C78" s="41" t="s">
        <v>1058</v>
      </c>
      <c r="D78" s="41" t="s">
        <v>1063</v>
      </c>
      <c r="E78" s="41" t="s">
        <v>157</v>
      </c>
      <c r="F78" s="41" t="s">
        <v>1320</v>
      </c>
      <c r="G78" s="41">
        <f>1999.2/7</f>
        <v>285.60000000000002</v>
      </c>
      <c r="H78" s="41"/>
      <c r="I78" s="41"/>
      <c r="J78" s="41">
        <f t="shared" si="13"/>
        <v>0</v>
      </c>
      <c r="K78" s="41">
        <f>2*135*9</f>
        <v>2430</v>
      </c>
      <c r="L78" s="41">
        <v>1</v>
      </c>
      <c r="M78" s="41"/>
      <c r="N78" s="41"/>
      <c r="O78" s="41"/>
      <c r="P78" s="41"/>
      <c r="Q78" s="41"/>
      <c r="R78" s="41"/>
      <c r="S78" s="41"/>
      <c r="T78" s="41">
        <f>2*135*9</f>
        <v>2430</v>
      </c>
      <c r="U78" s="41">
        <v>1</v>
      </c>
      <c r="V78" s="41"/>
      <c r="W78" s="41"/>
      <c r="X78" s="41"/>
      <c r="Y78" s="41"/>
      <c r="Z78" s="41"/>
      <c r="AA78" s="41"/>
      <c r="AB78" s="41"/>
      <c r="AC78" s="41">
        <f>2*135*9</f>
        <v>2430</v>
      </c>
      <c r="AD78" s="41">
        <v>1</v>
      </c>
      <c r="AE78" s="41"/>
      <c r="AF78" s="28">
        <f t="shared" si="11"/>
        <v>0</v>
      </c>
      <c r="AG78" s="28">
        <f t="shared" si="12"/>
        <v>0</v>
      </c>
    </row>
    <row r="79" spans="1:33" ht="57.6" x14ac:dyDescent="0.3">
      <c r="A79" s="41" t="s">
        <v>836</v>
      </c>
      <c r="B79" s="41" t="s">
        <v>1051</v>
      </c>
      <c r="C79" s="41" t="s">
        <v>1058</v>
      </c>
      <c r="D79" s="41" t="s">
        <v>1063</v>
      </c>
      <c r="E79" s="41" t="s">
        <v>157</v>
      </c>
      <c r="F79" s="41" t="s">
        <v>714</v>
      </c>
      <c r="G79" s="41">
        <v>10000</v>
      </c>
      <c r="H79" s="41"/>
      <c r="I79" s="41"/>
      <c r="J79" s="41">
        <f t="shared" si="13"/>
        <v>0</v>
      </c>
      <c r="K79" s="41">
        <v>15</v>
      </c>
      <c r="L79" s="41">
        <v>1</v>
      </c>
      <c r="M79" s="41">
        <f t="shared" si="14"/>
        <v>165000</v>
      </c>
      <c r="N79" s="41"/>
      <c r="O79" s="41"/>
      <c r="P79" s="41">
        <f t="shared" si="15"/>
        <v>0</v>
      </c>
      <c r="Q79" s="41"/>
      <c r="R79" s="41"/>
      <c r="S79" s="41">
        <f t="shared" si="16"/>
        <v>0</v>
      </c>
      <c r="T79" s="41">
        <v>15</v>
      </c>
      <c r="U79" s="41">
        <v>1</v>
      </c>
      <c r="V79" s="41">
        <f t="shared" si="17"/>
        <v>219615.00000000006</v>
      </c>
      <c r="W79" s="41"/>
      <c r="X79" s="41"/>
      <c r="Y79" s="41">
        <f t="shared" si="8"/>
        <v>0</v>
      </c>
      <c r="Z79" s="41"/>
      <c r="AA79" s="41"/>
      <c r="AB79" s="41">
        <f t="shared" si="9"/>
        <v>0</v>
      </c>
      <c r="AC79" s="41">
        <v>15</v>
      </c>
      <c r="AD79" s="41">
        <v>1</v>
      </c>
      <c r="AE79" s="41">
        <f t="shared" si="10"/>
        <v>292307.56500000018</v>
      </c>
      <c r="AF79" s="28">
        <f t="shared" si="11"/>
        <v>676922.56500000018</v>
      </c>
      <c r="AG79" s="28">
        <f t="shared" si="12"/>
        <v>657.20637378640799</v>
      </c>
    </row>
    <row r="80" spans="1:33" ht="57.6" x14ac:dyDescent="0.3">
      <c r="A80" s="41" t="s">
        <v>836</v>
      </c>
      <c r="B80" s="41" t="s">
        <v>1051</v>
      </c>
      <c r="C80" s="41" t="s">
        <v>1058</v>
      </c>
      <c r="D80" s="41" t="s">
        <v>1063</v>
      </c>
      <c r="E80" s="41" t="s">
        <v>1004</v>
      </c>
      <c r="F80" s="41" t="s">
        <v>709</v>
      </c>
      <c r="G80" s="41">
        <v>35000</v>
      </c>
      <c r="H80" s="41"/>
      <c r="I80" s="41"/>
      <c r="J80" s="41">
        <f t="shared" si="13"/>
        <v>0</v>
      </c>
      <c r="K80" s="41">
        <v>30</v>
      </c>
      <c r="L80" s="41">
        <v>5</v>
      </c>
      <c r="M80" s="41">
        <f t="shared" si="14"/>
        <v>5775000</v>
      </c>
      <c r="N80" s="41"/>
      <c r="O80" s="41"/>
      <c r="P80" s="41">
        <f t="shared" si="15"/>
        <v>0</v>
      </c>
      <c r="Q80" s="41"/>
      <c r="R80" s="41"/>
      <c r="S80" s="41">
        <f t="shared" si="16"/>
        <v>0</v>
      </c>
      <c r="T80" s="41">
        <v>30</v>
      </c>
      <c r="U80" s="41">
        <v>5</v>
      </c>
      <c r="V80" s="41">
        <f t="shared" si="17"/>
        <v>7686525.0000000019</v>
      </c>
      <c r="W80" s="41"/>
      <c r="X80" s="41"/>
      <c r="Y80" s="41">
        <f t="shared" si="8"/>
        <v>0</v>
      </c>
      <c r="Z80" s="41"/>
      <c r="AA80" s="41"/>
      <c r="AB80" s="41">
        <f t="shared" si="9"/>
        <v>0</v>
      </c>
      <c r="AC80" s="41">
        <v>30</v>
      </c>
      <c r="AD80" s="41">
        <v>5</v>
      </c>
      <c r="AE80" s="41">
        <f t="shared" si="10"/>
        <v>10230764.775000006</v>
      </c>
      <c r="AF80" s="28">
        <f t="shared" si="11"/>
        <v>23692289.775000006</v>
      </c>
      <c r="AG80" s="28">
        <f t="shared" si="12"/>
        <v>23002.223082524277</v>
      </c>
    </row>
    <row r="81" spans="1:33" ht="57.6" x14ac:dyDescent="0.3">
      <c r="A81" s="41" t="s">
        <v>836</v>
      </c>
      <c r="B81" s="41" t="s">
        <v>1051</v>
      </c>
      <c r="C81" s="41" t="s">
        <v>1058</v>
      </c>
      <c r="D81" s="41" t="s">
        <v>1063</v>
      </c>
      <c r="E81" s="41" t="s">
        <v>1004</v>
      </c>
      <c r="F81" s="41" t="s">
        <v>716</v>
      </c>
      <c r="G81" s="41">
        <v>39000</v>
      </c>
      <c r="H81" s="41"/>
      <c r="I81" s="41"/>
      <c r="J81" s="41">
        <f t="shared" si="13"/>
        <v>0</v>
      </c>
      <c r="K81" s="41">
        <v>30</v>
      </c>
      <c r="L81" s="41">
        <v>6</v>
      </c>
      <c r="M81" s="41">
        <f t="shared" si="14"/>
        <v>7722000</v>
      </c>
      <c r="N81" s="41"/>
      <c r="O81" s="41"/>
      <c r="P81" s="41">
        <f t="shared" si="15"/>
        <v>0</v>
      </c>
      <c r="Q81" s="41"/>
      <c r="R81" s="41"/>
      <c r="S81" s="41">
        <f t="shared" si="16"/>
        <v>0</v>
      </c>
      <c r="T81" s="41">
        <v>30</v>
      </c>
      <c r="U81" s="41">
        <v>6</v>
      </c>
      <c r="V81" s="41">
        <f t="shared" si="17"/>
        <v>10277982.000000004</v>
      </c>
      <c r="W81" s="41"/>
      <c r="X81" s="41"/>
      <c r="Y81" s="41">
        <f t="shared" si="8"/>
        <v>0</v>
      </c>
      <c r="Z81" s="41"/>
      <c r="AA81" s="41"/>
      <c r="AB81" s="41">
        <f t="shared" si="9"/>
        <v>0</v>
      </c>
      <c r="AC81" s="41">
        <v>30</v>
      </c>
      <c r="AD81" s="41">
        <v>6</v>
      </c>
      <c r="AE81" s="41">
        <f t="shared" si="10"/>
        <v>13679994.042000007</v>
      </c>
      <c r="AF81" s="28">
        <f t="shared" si="11"/>
        <v>31679976.042000011</v>
      </c>
      <c r="AG81" s="28">
        <f t="shared" si="12"/>
        <v>30757.258293203893</v>
      </c>
    </row>
    <row r="82" spans="1:33" ht="57.6" x14ac:dyDescent="0.3">
      <c r="A82" s="41" t="s">
        <v>836</v>
      </c>
      <c r="B82" s="41" t="s">
        <v>1051</v>
      </c>
      <c r="C82" s="41" t="s">
        <v>1058</v>
      </c>
      <c r="D82" s="41" t="s">
        <v>1063</v>
      </c>
      <c r="E82" s="41" t="s">
        <v>1004</v>
      </c>
      <c r="F82" s="41" t="s">
        <v>712</v>
      </c>
      <c r="G82" s="41">
        <f>1999.2/7</f>
        <v>285.60000000000002</v>
      </c>
      <c r="H82" s="41"/>
      <c r="I82" s="41"/>
      <c r="J82" s="41">
        <f t="shared" si="13"/>
        <v>0</v>
      </c>
      <c r="K82" s="41">
        <f>2*25*9</f>
        <v>450</v>
      </c>
      <c r="L82" s="41">
        <v>5</v>
      </c>
      <c r="M82" s="41">
        <f t="shared" si="14"/>
        <v>706860</v>
      </c>
      <c r="N82" s="41"/>
      <c r="O82" s="41"/>
      <c r="P82" s="41">
        <f t="shared" si="15"/>
        <v>0</v>
      </c>
      <c r="Q82" s="41"/>
      <c r="R82" s="41"/>
      <c r="S82" s="41">
        <f t="shared" si="16"/>
        <v>0</v>
      </c>
      <c r="T82" s="41">
        <f>2*25*9</f>
        <v>450</v>
      </c>
      <c r="U82" s="41">
        <v>5</v>
      </c>
      <c r="V82" s="41">
        <f t="shared" si="17"/>
        <v>940830.66000000038</v>
      </c>
      <c r="W82" s="41"/>
      <c r="X82" s="41"/>
      <c r="Y82" s="41">
        <f t="shared" si="8"/>
        <v>0</v>
      </c>
      <c r="Z82" s="41"/>
      <c r="AA82" s="41"/>
      <c r="AB82" s="41">
        <f t="shared" si="9"/>
        <v>0</v>
      </c>
      <c r="AC82" s="41">
        <f>2*25*9</f>
        <v>450</v>
      </c>
      <c r="AD82" s="41">
        <v>5</v>
      </c>
      <c r="AE82" s="41">
        <f t="shared" si="10"/>
        <v>1252245.6084600009</v>
      </c>
      <c r="AF82" s="28">
        <f t="shared" si="11"/>
        <v>2899936.2684600013</v>
      </c>
      <c r="AG82" s="28">
        <f t="shared" si="12"/>
        <v>2815.4721053009721</v>
      </c>
    </row>
    <row r="83" spans="1:33" ht="57.6" x14ac:dyDescent="0.3">
      <c r="A83" s="41" t="s">
        <v>836</v>
      </c>
      <c r="B83" s="41" t="s">
        <v>1051</v>
      </c>
      <c r="C83" s="41" t="s">
        <v>1058</v>
      </c>
      <c r="D83" s="41" t="s">
        <v>1063</v>
      </c>
      <c r="E83" s="41" t="s">
        <v>1004</v>
      </c>
      <c r="F83" s="41" t="s">
        <v>1320</v>
      </c>
      <c r="G83" s="41">
        <f>1999.2/7</f>
        <v>285.60000000000002</v>
      </c>
      <c r="H83" s="41"/>
      <c r="I83" s="41"/>
      <c r="J83" s="41">
        <f t="shared" si="13"/>
        <v>0</v>
      </c>
      <c r="K83" s="41">
        <f>2*135*9</f>
        <v>2430</v>
      </c>
      <c r="L83" s="41">
        <v>1</v>
      </c>
      <c r="M83" s="41"/>
      <c r="N83" s="41"/>
      <c r="O83" s="41"/>
      <c r="P83" s="41"/>
      <c r="Q83" s="41"/>
      <c r="R83" s="41"/>
      <c r="S83" s="41"/>
      <c r="T83" s="41">
        <f>2*135*9</f>
        <v>2430</v>
      </c>
      <c r="U83" s="41">
        <v>1</v>
      </c>
      <c r="V83" s="41"/>
      <c r="W83" s="41"/>
      <c r="X83" s="41"/>
      <c r="Y83" s="41"/>
      <c r="Z83" s="41"/>
      <c r="AA83" s="41"/>
      <c r="AB83" s="41"/>
      <c r="AC83" s="41">
        <f>2*135*9</f>
        <v>2430</v>
      </c>
      <c r="AD83" s="41">
        <v>1</v>
      </c>
      <c r="AE83" s="41"/>
      <c r="AF83" s="28">
        <f t="shared" si="11"/>
        <v>0</v>
      </c>
      <c r="AG83" s="28">
        <f t="shared" si="12"/>
        <v>0</v>
      </c>
    </row>
    <row r="84" spans="1:33" ht="57.6" x14ac:dyDescent="0.3">
      <c r="A84" s="41" t="s">
        <v>836</v>
      </c>
      <c r="B84" s="41" t="s">
        <v>1051</v>
      </c>
      <c r="C84" s="41" t="s">
        <v>1058</v>
      </c>
      <c r="D84" s="41" t="s">
        <v>1063</v>
      </c>
      <c r="E84" s="41" t="s">
        <v>1319</v>
      </c>
      <c r="F84" s="41" t="s">
        <v>709</v>
      </c>
      <c r="G84" s="41">
        <v>35000</v>
      </c>
      <c r="H84" s="41"/>
      <c r="I84" s="41"/>
      <c r="J84" s="41">
        <f t="shared" si="13"/>
        <v>0</v>
      </c>
      <c r="K84" s="41">
        <v>100</v>
      </c>
      <c r="L84" s="41">
        <v>5</v>
      </c>
      <c r="M84" s="41">
        <f t="shared" si="14"/>
        <v>19250000</v>
      </c>
      <c r="N84" s="41"/>
      <c r="O84" s="41"/>
      <c r="P84" s="41">
        <f t="shared" si="15"/>
        <v>0</v>
      </c>
      <c r="Q84" s="41"/>
      <c r="R84" s="41"/>
      <c r="S84" s="41">
        <f t="shared" si="16"/>
        <v>0</v>
      </c>
      <c r="T84" s="41">
        <v>100</v>
      </c>
      <c r="U84" s="41">
        <v>5</v>
      </c>
      <c r="V84" s="41">
        <f t="shared" si="17"/>
        <v>25621750.000000007</v>
      </c>
      <c r="W84" s="41"/>
      <c r="X84" s="41"/>
      <c r="Y84" s="41">
        <f t="shared" si="8"/>
        <v>0</v>
      </c>
      <c r="Z84" s="41"/>
      <c r="AA84" s="41"/>
      <c r="AB84" s="41">
        <f t="shared" si="9"/>
        <v>0</v>
      </c>
      <c r="AC84" s="41">
        <v>100</v>
      </c>
      <c r="AD84" s="41">
        <v>5</v>
      </c>
      <c r="AE84" s="41">
        <f t="shared" si="10"/>
        <v>34102549.250000015</v>
      </c>
      <c r="AF84" s="28">
        <f t="shared" si="11"/>
        <v>78974299.25000003</v>
      </c>
      <c r="AG84" s="28">
        <f t="shared" si="12"/>
        <v>76674.076941747597</v>
      </c>
    </row>
    <row r="85" spans="1:33" ht="57.6" x14ac:dyDescent="0.3">
      <c r="A85" s="41" t="s">
        <v>836</v>
      </c>
      <c r="B85" s="41" t="s">
        <v>1051</v>
      </c>
      <c r="C85" s="41" t="s">
        <v>1058</v>
      </c>
      <c r="D85" s="41" t="s">
        <v>1063</v>
      </c>
      <c r="E85" s="41" t="s">
        <v>1319</v>
      </c>
      <c r="F85" s="41" t="s">
        <v>713</v>
      </c>
      <c r="G85" s="41">
        <v>45000</v>
      </c>
      <c r="H85" s="41"/>
      <c r="I85" s="41"/>
      <c r="J85" s="41">
        <f t="shared" si="13"/>
        <v>0</v>
      </c>
      <c r="K85" s="41">
        <v>58</v>
      </c>
      <c r="L85" s="41">
        <v>5</v>
      </c>
      <c r="M85" s="41">
        <f t="shared" si="14"/>
        <v>14355000.000000002</v>
      </c>
      <c r="N85" s="41"/>
      <c r="O85" s="41"/>
      <c r="P85" s="41">
        <f t="shared" si="15"/>
        <v>0</v>
      </c>
      <c r="Q85" s="41"/>
      <c r="R85" s="41"/>
      <c r="S85" s="41">
        <f t="shared" si="16"/>
        <v>0</v>
      </c>
      <c r="T85" s="41">
        <v>58</v>
      </c>
      <c r="U85" s="41">
        <v>5</v>
      </c>
      <c r="V85" s="41">
        <f t="shared" si="17"/>
        <v>19106505.000000004</v>
      </c>
      <c r="W85" s="41"/>
      <c r="X85" s="41"/>
      <c r="Y85" s="41">
        <f t="shared" si="8"/>
        <v>0</v>
      </c>
      <c r="Z85" s="41"/>
      <c r="AA85" s="41"/>
      <c r="AB85" s="41">
        <f t="shared" si="9"/>
        <v>0</v>
      </c>
      <c r="AC85" s="41">
        <v>58</v>
      </c>
      <c r="AD85" s="41">
        <v>5</v>
      </c>
      <c r="AE85" s="41">
        <f t="shared" si="10"/>
        <v>25430758.155000016</v>
      </c>
      <c r="AF85" s="28">
        <f t="shared" si="11"/>
        <v>58892263.155000024</v>
      </c>
      <c r="AG85" s="28">
        <f t="shared" si="12"/>
        <v>57176.954519417501</v>
      </c>
    </row>
    <row r="86" spans="1:33" ht="57.6" x14ac:dyDescent="0.3">
      <c r="A86" s="41" t="s">
        <v>836</v>
      </c>
      <c r="B86" s="41" t="s">
        <v>1051</v>
      </c>
      <c r="C86" s="41" t="s">
        <v>1058</v>
      </c>
      <c r="D86" s="41" t="s">
        <v>1063</v>
      </c>
      <c r="E86" s="41" t="s">
        <v>1319</v>
      </c>
      <c r="F86" s="41" t="s">
        <v>712</v>
      </c>
      <c r="G86" s="41">
        <f>1999.2/7</f>
        <v>285.60000000000002</v>
      </c>
      <c r="H86" s="41"/>
      <c r="I86" s="41"/>
      <c r="J86" s="41">
        <f t="shared" si="13"/>
        <v>0</v>
      </c>
      <c r="K86" s="41">
        <f>2*25*9</f>
        <v>450</v>
      </c>
      <c r="L86" s="41">
        <v>5</v>
      </c>
      <c r="M86" s="41">
        <f t="shared" si="14"/>
        <v>706860</v>
      </c>
      <c r="N86" s="41"/>
      <c r="O86" s="41"/>
      <c r="P86" s="41">
        <f t="shared" si="15"/>
        <v>0</v>
      </c>
      <c r="Q86" s="41"/>
      <c r="R86" s="41"/>
      <c r="S86" s="41">
        <f t="shared" si="16"/>
        <v>0</v>
      </c>
      <c r="T86" s="41">
        <f>2*25*9</f>
        <v>450</v>
      </c>
      <c r="U86" s="41">
        <v>5</v>
      </c>
      <c r="V86" s="41">
        <f t="shared" si="17"/>
        <v>940830.66000000038</v>
      </c>
      <c r="W86" s="41"/>
      <c r="X86" s="41"/>
      <c r="Y86" s="41">
        <f t="shared" si="8"/>
        <v>0</v>
      </c>
      <c r="Z86" s="41"/>
      <c r="AA86" s="41"/>
      <c r="AB86" s="41">
        <f t="shared" si="9"/>
        <v>0</v>
      </c>
      <c r="AC86" s="41">
        <f>2*25*9</f>
        <v>450</v>
      </c>
      <c r="AD86" s="41">
        <v>5</v>
      </c>
      <c r="AE86" s="41">
        <f t="shared" si="10"/>
        <v>1252245.6084600009</v>
      </c>
      <c r="AF86" s="28">
        <f t="shared" si="11"/>
        <v>2899936.2684600013</v>
      </c>
      <c r="AG86" s="28">
        <f t="shared" si="12"/>
        <v>2815.4721053009721</v>
      </c>
    </row>
    <row r="87" spans="1:33" ht="57.6" x14ac:dyDescent="0.3">
      <c r="A87" s="41" t="s">
        <v>836</v>
      </c>
      <c r="B87" s="41" t="s">
        <v>1051</v>
      </c>
      <c r="C87" s="41" t="s">
        <v>1058</v>
      </c>
      <c r="D87" s="41" t="s">
        <v>1063</v>
      </c>
      <c r="E87" s="41" t="s">
        <v>1319</v>
      </c>
      <c r="F87" s="41" t="s">
        <v>1320</v>
      </c>
      <c r="G87" s="41">
        <f>1999.2/7</f>
        <v>285.60000000000002</v>
      </c>
      <c r="H87" s="41"/>
      <c r="I87" s="41"/>
      <c r="J87" s="41">
        <f t="shared" si="13"/>
        <v>0</v>
      </c>
      <c r="K87" s="41">
        <f>2*135*9</f>
        <v>2430</v>
      </c>
      <c r="L87" s="41">
        <v>1</v>
      </c>
      <c r="M87" s="41">
        <f t="shared" si="14"/>
        <v>763408.8</v>
      </c>
      <c r="N87" s="41"/>
      <c r="O87" s="41"/>
      <c r="P87" s="41">
        <f t="shared" si="15"/>
        <v>0</v>
      </c>
      <c r="Q87" s="41"/>
      <c r="R87" s="41"/>
      <c r="S87" s="41">
        <f t="shared" si="16"/>
        <v>0</v>
      </c>
      <c r="T87" s="41">
        <f>2*135*9</f>
        <v>2430</v>
      </c>
      <c r="U87" s="41">
        <v>1</v>
      </c>
      <c r="V87" s="41">
        <f t="shared" si="17"/>
        <v>1016097.1128000004</v>
      </c>
      <c r="W87" s="41"/>
      <c r="X87" s="41"/>
      <c r="Y87" s="41">
        <f t="shared" si="8"/>
        <v>0</v>
      </c>
      <c r="Z87" s="41"/>
      <c r="AA87" s="41"/>
      <c r="AB87" s="41">
        <f t="shared" si="9"/>
        <v>0</v>
      </c>
      <c r="AC87" s="41">
        <f>2*135*9</f>
        <v>2430</v>
      </c>
      <c r="AD87" s="41">
        <v>1</v>
      </c>
      <c r="AE87" s="41">
        <f t="shared" si="10"/>
        <v>1352425.257136801</v>
      </c>
      <c r="AF87" s="28">
        <f t="shared" si="11"/>
        <v>3131931.1699368013</v>
      </c>
      <c r="AG87" s="28">
        <f t="shared" si="12"/>
        <v>3040.7098737250499</v>
      </c>
    </row>
    <row r="88" spans="1:33" ht="57.6" x14ac:dyDescent="0.3">
      <c r="A88" s="41" t="s">
        <v>836</v>
      </c>
      <c r="B88" s="41" t="s">
        <v>1051</v>
      </c>
      <c r="C88" s="41" t="s">
        <v>1058</v>
      </c>
      <c r="D88" s="41" t="s">
        <v>1063</v>
      </c>
      <c r="E88" s="41" t="s">
        <v>1042</v>
      </c>
      <c r="F88" s="41" t="s">
        <v>841</v>
      </c>
      <c r="G88" s="41">
        <v>0</v>
      </c>
      <c r="H88" s="41"/>
      <c r="I88" s="41"/>
      <c r="J88" s="41">
        <f t="shared" si="13"/>
        <v>0</v>
      </c>
      <c r="K88" s="41"/>
      <c r="L88" s="41"/>
      <c r="M88" s="41">
        <f t="shared" si="14"/>
        <v>0</v>
      </c>
      <c r="N88" s="41"/>
      <c r="O88" s="41"/>
      <c r="P88" s="41">
        <f t="shared" si="15"/>
        <v>0</v>
      </c>
      <c r="Q88" s="41"/>
      <c r="R88" s="41"/>
      <c r="S88" s="41">
        <f t="shared" si="16"/>
        <v>0</v>
      </c>
      <c r="T88" s="41"/>
      <c r="U88" s="41"/>
      <c r="V88" s="41">
        <f t="shared" si="17"/>
        <v>0</v>
      </c>
      <c r="W88" s="41"/>
      <c r="X88" s="41"/>
      <c r="Y88" s="41">
        <f t="shared" si="8"/>
        <v>0</v>
      </c>
      <c r="Z88" s="41"/>
      <c r="AA88" s="41"/>
      <c r="AB88" s="41">
        <f t="shared" si="9"/>
        <v>0</v>
      </c>
      <c r="AC88" s="41"/>
      <c r="AD88" s="41"/>
      <c r="AE88" s="41">
        <f t="shared" si="10"/>
        <v>0</v>
      </c>
      <c r="AF88" s="28">
        <f t="shared" si="11"/>
        <v>0</v>
      </c>
      <c r="AG88" s="28">
        <f t="shared" si="12"/>
        <v>0</v>
      </c>
    </row>
    <row r="89" spans="1:33" ht="57.6" x14ac:dyDescent="0.3">
      <c r="A89" s="41" t="s">
        <v>836</v>
      </c>
      <c r="B89" s="41" t="s">
        <v>1051</v>
      </c>
      <c r="C89" s="41" t="s">
        <v>1058</v>
      </c>
      <c r="D89" s="41" t="s">
        <v>1063</v>
      </c>
      <c r="E89" s="41" t="s">
        <v>1064</v>
      </c>
      <c r="F89" s="41" t="s">
        <v>709</v>
      </c>
      <c r="G89" s="41">
        <v>35000</v>
      </c>
      <c r="H89" s="41"/>
      <c r="I89" s="41"/>
      <c r="J89" s="41">
        <f t="shared" si="13"/>
        <v>0</v>
      </c>
      <c r="K89" s="41">
        <v>25</v>
      </c>
      <c r="L89" s="41">
        <v>1</v>
      </c>
      <c r="M89" s="41">
        <f t="shared" si="14"/>
        <v>962500</v>
      </c>
      <c r="N89" s="41"/>
      <c r="O89" s="41"/>
      <c r="P89" s="41">
        <f t="shared" si="15"/>
        <v>0</v>
      </c>
      <c r="Q89" s="41"/>
      <c r="R89" s="41"/>
      <c r="S89" s="41">
        <f t="shared" si="16"/>
        <v>0</v>
      </c>
      <c r="T89" s="41">
        <v>25</v>
      </c>
      <c r="U89" s="41">
        <v>1</v>
      </c>
      <c r="V89" s="41">
        <f t="shared" si="17"/>
        <v>1281087.5000000005</v>
      </c>
      <c r="W89" s="41"/>
      <c r="X89" s="41"/>
      <c r="Y89" s="41">
        <f t="shared" si="8"/>
        <v>0</v>
      </c>
      <c r="Z89" s="41"/>
      <c r="AA89" s="41"/>
      <c r="AB89" s="41">
        <f t="shared" si="9"/>
        <v>0</v>
      </c>
      <c r="AC89" s="41">
        <v>25</v>
      </c>
      <c r="AD89" s="41">
        <v>1</v>
      </c>
      <c r="AE89" s="41">
        <f t="shared" si="10"/>
        <v>1705127.4625000008</v>
      </c>
      <c r="AF89" s="28">
        <f t="shared" si="11"/>
        <v>3948714.9625000013</v>
      </c>
      <c r="AG89" s="28">
        <f t="shared" si="12"/>
        <v>3833.7038470873799</v>
      </c>
    </row>
    <row r="90" spans="1:33" ht="57.6" x14ac:dyDescent="0.3">
      <c r="A90" s="41" t="s">
        <v>836</v>
      </c>
      <c r="B90" s="41" t="s">
        <v>1051</v>
      </c>
      <c r="C90" s="41" t="s">
        <v>1058</v>
      </c>
      <c r="D90" s="41" t="s">
        <v>1063</v>
      </c>
      <c r="E90" s="41" t="s">
        <v>869</v>
      </c>
      <c r="F90" s="41" t="s">
        <v>841</v>
      </c>
      <c r="G90" s="41">
        <v>0</v>
      </c>
      <c r="H90" s="41"/>
      <c r="I90" s="41"/>
      <c r="J90" s="41">
        <f t="shared" si="13"/>
        <v>0</v>
      </c>
      <c r="K90" s="41"/>
      <c r="L90" s="41"/>
      <c r="M90" s="41">
        <f t="shared" si="14"/>
        <v>0</v>
      </c>
      <c r="N90" s="41"/>
      <c r="O90" s="41"/>
      <c r="P90" s="41">
        <f t="shared" si="15"/>
        <v>0</v>
      </c>
      <c r="Q90" s="41"/>
      <c r="R90" s="41"/>
      <c r="S90" s="41">
        <f t="shared" si="16"/>
        <v>0</v>
      </c>
      <c r="T90" s="41"/>
      <c r="U90" s="41"/>
      <c r="V90" s="41">
        <f t="shared" si="17"/>
        <v>0</v>
      </c>
      <c r="W90" s="41"/>
      <c r="X90" s="41"/>
      <c r="Y90" s="41">
        <f t="shared" si="8"/>
        <v>0</v>
      </c>
      <c r="Z90" s="41"/>
      <c r="AA90" s="41"/>
      <c r="AB90" s="41">
        <f t="shared" si="9"/>
        <v>0</v>
      </c>
      <c r="AC90" s="41"/>
      <c r="AD90" s="41"/>
      <c r="AE90" s="41">
        <f t="shared" si="10"/>
        <v>0</v>
      </c>
      <c r="AF90" s="28">
        <f t="shared" si="11"/>
        <v>0</v>
      </c>
      <c r="AG90" s="28">
        <f t="shared" si="12"/>
        <v>0</v>
      </c>
    </row>
    <row r="91" spans="1:33" ht="57.6" x14ac:dyDescent="0.3">
      <c r="A91" s="41" t="s">
        <v>836</v>
      </c>
      <c r="B91" s="41" t="s">
        <v>1051</v>
      </c>
      <c r="C91" s="41" t="s">
        <v>1058</v>
      </c>
      <c r="D91" s="41" t="s">
        <v>1063</v>
      </c>
      <c r="E91" s="41" t="s">
        <v>946</v>
      </c>
      <c r="F91" s="41" t="s">
        <v>841</v>
      </c>
      <c r="G91" s="41">
        <v>0</v>
      </c>
      <c r="H91" s="41"/>
      <c r="I91" s="41"/>
      <c r="J91" s="41">
        <f t="shared" si="13"/>
        <v>0</v>
      </c>
      <c r="K91" s="41"/>
      <c r="L91" s="41"/>
      <c r="M91" s="41">
        <f t="shared" si="14"/>
        <v>0</v>
      </c>
      <c r="N91" s="41"/>
      <c r="O91" s="41"/>
      <c r="P91" s="41">
        <f t="shared" si="15"/>
        <v>0</v>
      </c>
      <c r="Q91" s="41"/>
      <c r="R91" s="41"/>
      <c r="S91" s="41">
        <f t="shared" si="16"/>
        <v>0</v>
      </c>
      <c r="T91" s="41"/>
      <c r="U91" s="41"/>
      <c r="V91" s="41">
        <f t="shared" si="17"/>
        <v>0</v>
      </c>
      <c r="W91" s="41"/>
      <c r="X91" s="41"/>
      <c r="Y91" s="41">
        <f t="shared" si="8"/>
        <v>0</v>
      </c>
      <c r="Z91" s="41"/>
      <c r="AA91" s="41"/>
      <c r="AB91" s="41">
        <f t="shared" si="9"/>
        <v>0</v>
      </c>
      <c r="AC91" s="41"/>
      <c r="AD91" s="41"/>
      <c r="AE91" s="41">
        <f t="shared" si="10"/>
        <v>0</v>
      </c>
      <c r="AF91" s="28">
        <f t="shared" si="11"/>
        <v>0</v>
      </c>
      <c r="AG91" s="28">
        <f t="shared" si="12"/>
        <v>0</v>
      </c>
    </row>
    <row r="92" spans="1:33" x14ac:dyDescent="0.3">
      <c r="A92" s="63" t="s">
        <v>1302</v>
      </c>
      <c r="B92" s="63"/>
      <c r="C92" s="63"/>
      <c r="D92" s="63"/>
      <c r="E92" s="63"/>
      <c r="F92" s="63"/>
      <c r="G92" s="63"/>
      <c r="H92" s="63"/>
      <c r="I92" s="63"/>
      <c r="J92" s="71">
        <f>SUM(J32:J91)</f>
        <v>0</v>
      </c>
      <c r="K92" s="63"/>
      <c r="L92" s="63"/>
      <c r="M92" s="63">
        <f>SUM(M32:M91)</f>
        <v>200620635.93000001</v>
      </c>
      <c r="N92" s="63"/>
      <c r="O92" s="63"/>
      <c r="P92" s="63">
        <f>SUM(P32:P91)</f>
        <v>0</v>
      </c>
      <c r="Q92" s="63"/>
      <c r="R92" s="63"/>
      <c r="S92" s="63">
        <f>SUM(S32:S91)</f>
        <v>0</v>
      </c>
      <c r="T92" s="63"/>
      <c r="U92" s="63"/>
      <c r="V92" s="63">
        <f>SUM(V32:V91)</f>
        <v>124035831.92181504</v>
      </c>
      <c r="W92" s="63"/>
      <c r="X92" s="63"/>
      <c r="Y92" s="63">
        <f>SUM(Y32:Y91)</f>
        <v>157289257.9511165</v>
      </c>
      <c r="Z92" s="63"/>
      <c r="AA92" s="63"/>
      <c r="AB92" s="63">
        <f>SUM(AB32:AB91)</f>
        <v>0</v>
      </c>
      <c r="AC92" s="63"/>
      <c r="AD92" s="63"/>
      <c r="AE92" s="63">
        <f>SUM(AE32:AE91)</f>
        <v>165091692.28793585</v>
      </c>
      <c r="AF92" s="28">
        <f t="shared" si="11"/>
        <v>647037418.0908674</v>
      </c>
      <c r="AG92" s="28">
        <f t="shared" si="12"/>
        <v>628191.66804938577</v>
      </c>
    </row>
    <row r="93" spans="1:33" s="94" customFormat="1" x14ac:dyDescent="0.3">
      <c r="A93" s="91" t="s">
        <v>1427</v>
      </c>
      <c r="B93" s="91"/>
      <c r="C93" s="91"/>
      <c r="D93" s="91"/>
      <c r="E93" s="91"/>
      <c r="F93" s="91"/>
      <c r="G93" s="91"/>
      <c r="H93" s="91"/>
      <c r="I93" s="91"/>
      <c r="J93" s="93">
        <f>J92/$AL$2</f>
        <v>0</v>
      </c>
      <c r="K93" s="91"/>
      <c r="L93" s="91"/>
      <c r="M93" s="93">
        <f>M92/$AL$2</f>
        <v>194777.31643689322</v>
      </c>
      <c r="N93" s="91"/>
      <c r="O93" s="91"/>
      <c r="P93" s="93">
        <f>P92/$AL$2</f>
        <v>0</v>
      </c>
      <c r="Q93" s="91"/>
      <c r="R93" s="91"/>
      <c r="S93" s="93">
        <f>S92/$AL$2</f>
        <v>0</v>
      </c>
      <c r="T93" s="91"/>
      <c r="U93" s="91"/>
      <c r="V93" s="93">
        <f>V92/$AL$2</f>
        <v>120423.13778816994</v>
      </c>
      <c r="W93" s="91"/>
      <c r="X93" s="91"/>
      <c r="Y93" s="93">
        <f>Y92/$AL$2</f>
        <v>152708.01742826845</v>
      </c>
      <c r="Z93" s="91"/>
      <c r="AA93" s="91"/>
      <c r="AB93" s="93">
        <f>AB92/$AL$2</f>
        <v>0</v>
      </c>
      <c r="AC93" s="91"/>
      <c r="AD93" s="91"/>
      <c r="AE93" s="93">
        <f>AE92/$AL$2</f>
        <v>160283.19639605423</v>
      </c>
      <c r="AF93" s="95">
        <f t="shared" si="11"/>
        <v>628191.66804938577</v>
      </c>
      <c r="AG93" s="95">
        <f t="shared" si="12"/>
        <v>609.89482334891818</v>
      </c>
    </row>
    <row r="94" spans="1:33" ht="57.6" x14ac:dyDescent="0.3">
      <c r="A94" s="41" t="s">
        <v>836</v>
      </c>
      <c r="B94" s="41" t="s">
        <v>1051</v>
      </c>
      <c r="C94" s="41" t="s">
        <v>1065</v>
      </c>
      <c r="D94" s="41" t="s">
        <v>1066</v>
      </c>
      <c r="E94" s="41" t="s">
        <v>1067</v>
      </c>
      <c r="F94" s="41" t="s">
        <v>709</v>
      </c>
      <c r="G94" s="41">
        <v>35000</v>
      </c>
      <c r="H94" s="41">
        <v>30</v>
      </c>
      <c r="I94" s="41">
        <v>2</v>
      </c>
      <c r="J94" s="41">
        <f t="shared" si="13"/>
        <v>2100000</v>
      </c>
      <c r="K94" s="41">
        <v>30</v>
      </c>
      <c r="L94" s="41">
        <v>2</v>
      </c>
      <c r="M94" s="41">
        <f t="shared" si="14"/>
        <v>2310000</v>
      </c>
      <c r="N94" s="41">
        <v>30</v>
      </c>
      <c r="O94" s="41">
        <v>2</v>
      </c>
      <c r="P94" s="41">
        <f t="shared" si="15"/>
        <v>2541000.0000000005</v>
      </c>
      <c r="Q94" s="41">
        <v>30</v>
      </c>
      <c r="R94" s="41">
        <v>2</v>
      </c>
      <c r="S94" s="41">
        <f t="shared" si="16"/>
        <v>2795100.0000000009</v>
      </c>
      <c r="T94" s="41">
        <v>30</v>
      </c>
      <c r="U94" s="41">
        <v>2</v>
      </c>
      <c r="V94" s="41">
        <f t="shared" si="17"/>
        <v>3074610.0000000009</v>
      </c>
      <c r="W94" s="41">
        <v>30</v>
      </c>
      <c r="X94" s="41">
        <v>2</v>
      </c>
      <c r="Y94" s="41">
        <f t="shared" si="8"/>
        <v>3382071.0000000014</v>
      </c>
      <c r="Z94" s="41">
        <v>30</v>
      </c>
      <c r="AA94" s="41">
        <v>2</v>
      </c>
      <c r="AB94" s="41">
        <f t="shared" si="9"/>
        <v>3720278.100000002</v>
      </c>
      <c r="AC94" s="41">
        <v>30</v>
      </c>
      <c r="AD94" s="41">
        <v>2</v>
      </c>
      <c r="AE94" s="41">
        <f t="shared" si="10"/>
        <v>4092305.910000002</v>
      </c>
      <c r="AF94" s="28">
        <f t="shared" si="11"/>
        <v>24015365.010000005</v>
      </c>
      <c r="AG94" s="28">
        <f t="shared" si="12"/>
        <v>23315.888359223307</v>
      </c>
    </row>
    <row r="95" spans="1:33" ht="57.6" x14ac:dyDescent="0.3">
      <c r="A95" s="41" t="s">
        <v>836</v>
      </c>
      <c r="B95" s="41" t="s">
        <v>1051</v>
      </c>
      <c r="C95" s="41" t="s">
        <v>1065</v>
      </c>
      <c r="D95" s="41" t="s">
        <v>1066</v>
      </c>
      <c r="E95" s="41" t="s">
        <v>1067</v>
      </c>
      <c r="F95" s="41" t="s">
        <v>716</v>
      </c>
      <c r="G95" s="41">
        <v>39000</v>
      </c>
      <c r="H95" s="41">
        <v>30</v>
      </c>
      <c r="I95" s="41">
        <v>2</v>
      </c>
      <c r="J95" s="41">
        <f t="shared" si="13"/>
        <v>2340000</v>
      </c>
      <c r="K95" s="41">
        <v>30</v>
      </c>
      <c r="L95" s="41">
        <v>2</v>
      </c>
      <c r="M95" s="41">
        <f t="shared" si="14"/>
        <v>2574000</v>
      </c>
      <c r="N95" s="41">
        <v>30</v>
      </c>
      <c r="O95" s="41">
        <v>2</v>
      </c>
      <c r="P95" s="41">
        <f t="shared" si="15"/>
        <v>2831400.0000000005</v>
      </c>
      <c r="Q95" s="41">
        <v>30</v>
      </c>
      <c r="R95" s="41">
        <v>2</v>
      </c>
      <c r="S95" s="41">
        <f t="shared" si="16"/>
        <v>3114540.0000000009</v>
      </c>
      <c r="T95" s="41">
        <v>30</v>
      </c>
      <c r="U95" s="41">
        <v>2</v>
      </c>
      <c r="V95" s="41">
        <f t="shared" si="17"/>
        <v>3425994.0000000009</v>
      </c>
      <c r="W95" s="41">
        <v>30</v>
      </c>
      <c r="X95" s="41">
        <v>2</v>
      </c>
      <c r="Y95" s="41">
        <f t="shared" si="8"/>
        <v>3768593.4000000013</v>
      </c>
      <c r="Z95" s="41">
        <v>30</v>
      </c>
      <c r="AA95" s="41">
        <v>2</v>
      </c>
      <c r="AB95" s="41">
        <f t="shared" si="9"/>
        <v>4145452.7400000016</v>
      </c>
      <c r="AC95" s="41">
        <v>30</v>
      </c>
      <c r="AD95" s="41">
        <v>2</v>
      </c>
      <c r="AE95" s="41">
        <f t="shared" si="10"/>
        <v>4559998.0140000023</v>
      </c>
      <c r="AF95" s="28">
        <f t="shared" si="11"/>
        <v>26759978.154000007</v>
      </c>
      <c r="AG95" s="28">
        <f t="shared" si="12"/>
        <v>25980.561314563114</v>
      </c>
    </row>
    <row r="96" spans="1:33" ht="57.6" x14ac:dyDescent="0.3">
      <c r="A96" s="41" t="s">
        <v>836</v>
      </c>
      <c r="B96" s="41" t="s">
        <v>1051</v>
      </c>
      <c r="C96" s="41" t="s">
        <v>1065</v>
      </c>
      <c r="D96" s="41" t="s">
        <v>1066</v>
      </c>
      <c r="E96" s="41" t="s">
        <v>1067</v>
      </c>
      <c r="F96" s="41" t="s">
        <v>712</v>
      </c>
      <c r="G96" s="41">
        <f>1999.2/7</f>
        <v>285.60000000000002</v>
      </c>
      <c r="H96" s="41">
        <f>2*25*9</f>
        <v>450</v>
      </c>
      <c r="I96" s="41">
        <v>2</v>
      </c>
      <c r="J96" s="41">
        <f t="shared" si="13"/>
        <v>257040.00000000003</v>
      </c>
      <c r="K96" s="41">
        <f>2*25*9</f>
        <v>450</v>
      </c>
      <c r="L96" s="41">
        <v>2</v>
      </c>
      <c r="M96" s="41">
        <f t="shared" si="14"/>
        <v>282744</v>
      </c>
      <c r="N96" s="41">
        <f>2*25*9</f>
        <v>450</v>
      </c>
      <c r="O96" s="41">
        <v>2</v>
      </c>
      <c r="P96" s="41">
        <f t="shared" si="15"/>
        <v>311018.40000000008</v>
      </c>
      <c r="Q96" s="41">
        <f>2*25*9</f>
        <v>450</v>
      </c>
      <c r="R96" s="41">
        <v>2</v>
      </c>
      <c r="S96" s="41">
        <f t="shared" si="16"/>
        <v>342120.24000000017</v>
      </c>
      <c r="T96" s="41">
        <f>2*25*9</f>
        <v>450</v>
      </c>
      <c r="U96" s="41">
        <v>2</v>
      </c>
      <c r="V96" s="41">
        <f t="shared" si="17"/>
        <v>376332.26400000014</v>
      </c>
      <c r="W96" s="41">
        <f>2*25*9</f>
        <v>450</v>
      </c>
      <c r="X96" s="41">
        <v>2</v>
      </c>
      <c r="Y96" s="41">
        <f t="shared" ref="Y96:Y132" si="18">($G96*1.1^5)*W96*X96</f>
        <v>413965.49040000018</v>
      </c>
      <c r="Z96" s="41">
        <f>2*25*9</f>
        <v>450</v>
      </c>
      <c r="AA96" s="41">
        <v>2</v>
      </c>
      <c r="AB96" s="41">
        <f t="shared" ref="AB96:AB132" si="19">($G96*1.1^6)*Z96*AA96</f>
        <v>455362.03944000026</v>
      </c>
      <c r="AC96" s="41">
        <f>2*25*9</f>
        <v>450</v>
      </c>
      <c r="AD96" s="41">
        <v>2</v>
      </c>
      <c r="AE96" s="41">
        <f t="shared" ref="AE96:AE132" si="20">($G96*1.1^7)*AC96*AD96</f>
        <v>500898.24338400038</v>
      </c>
      <c r="AF96" s="28">
        <f t="shared" si="11"/>
        <v>2939480.6772240014</v>
      </c>
      <c r="AG96" s="28">
        <f t="shared" si="12"/>
        <v>2853.8647351689333</v>
      </c>
    </row>
    <row r="97" spans="1:33" ht="57.6" x14ac:dyDescent="0.3">
      <c r="A97" s="41" t="s">
        <v>836</v>
      </c>
      <c r="B97" s="41" t="s">
        <v>1051</v>
      </c>
      <c r="C97" s="41" t="s">
        <v>1065</v>
      </c>
      <c r="D97" s="41" t="s">
        <v>1066</v>
      </c>
      <c r="E97" s="41" t="s">
        <v>1067</v>
      </c>
      <c r="F97" s="41" t="s">
        <v>1320</v>
      </c>
      <c r="G97" s="41">
        <f>1999.2/7</f>
        <v>285.60000000000002</v>
      </c>
      <c r="H97" s="41">
        <f>2*135*9</f>
        <v>2430</v>
      </c>
      <c r="I97" s="41">
        <v>2</v>
      </c>
      <c r="J97" s="41">
        <f t="shared" si="13"/>
        <v>1388016</v>
      </c>
      <c r="K97" s="41">
        <f>2*135*9</f>
        <v>2430</v>
      </c>
      <c r="L97" s="41">
        <v>2</v>
      </c>
      <c r="M97" s="41"/>
      <c r="N97" s="41">
        <f>2*135*9</f>
        <v>2430</v>
      </c>
      <c r="O97" s="41">
        <v>2</v>
      </c>
      <c r="P97" s="41"/>
      <c r="Q97" s="41">
        <f>2*135*9</f>
        <v>2430</v>
      </c>
      <c r="R97" s="41">
        <v>2</v>
      </c>
      <c r="S97" s="41"/>
      <c r="T97" s="41">
        <f>2*135*9</f>
        <v>2430</v>
      </c>
      <c r="U97" s="41">
        <v>2</v>
      </c>
      <c r="V97" s="41"/>
      <c r="W97" s="41">
        <f>2*135*9</f>
        <v>2430</v>
      </c>
      <c r="X97" s="41">
        <v>2</v>
      </c>
      <c r="Y97" s="41"/>
      <c r="Z97" s="41">
        <f>2*135*9</f>
        <v>2430</v>
      </c>
      <c r="AA97" s="41">
        <v>2</v>
      </c>
      <c r="AB97" s="41"/>
      <c r="AC97" s="41">
        <f>2*135*9</f>
        <v>2430</v>
      </c>
      <c r="AD97" s="41">
        <v>2</v>
      </c>
      <c r="AE97" s="41"/>
      <c r="AF97" s="28">
        <f t="shared" si="11"/>
        <v>1388016</v>
      </c>
      <c r="AG97" s="28">
        <f t="shared" si="12"/>
        <v>1347.5883495145631</v>
      </c>
    </row>
    <row r="98" spans="1:33" ht="57.6" x14ac:dyDescent="0.3">
      <c r="A98" s="41" t="s">
        <v>836</v>
      </c>
      <c r="B98" s="41" t="s">
        <v>1051</v>
      </c>
      <c r="C98" s="41" t="s">
        <v>1065</v>
      </c>
      <c r="D98" s="41" t="s">
        <v>1068</v>
      </c>
      <c r="E98" s="41" t="s">
        <v>1069</v>
      </c>
      <c r="F98" s="41" t="s">
        <v>709</v>
      </c>
      <c r="G98" s="41">
        <v>35000</v>
      </c>
      <c r="H98" s="41">
        <v>50</v>
      </c>
      <c r="I98" s="41">
        <v>4</v>
      </c>
      <c r="J98" s="70">
        <f t="shared" si="13"/>
        <v>7000000</v>
      </c>
      <c r="K98" s="41">
        <v>50</v>
      </c>
      <c r="L98" s="41">
        <v>4</v>
      </c>
      <c r="M98" s="41">
        <f t="shared" si="14"/>
        <v>7700000</v>
      </c>
      <c r="N98" s="41">
        <v>50</v>
      </c>
      <c r="O98" s="41">
        <v>4</v>
      </c>
      <c r="P98" s="41">
        <f t="shared" si="15"/>
        <v>8470000.0000000019</v>
      </c>
      <c r="Q98" s="41">
        <v>50</v>
      </c>
      <c r="R98" s="41">
        <v>4</v>
      </c>
      <c r="S98" s="41">
        <f t="shared" si="16"/>
        <v>9317000.0000000037</v>
      </c>
      <c r="T98" s="41">
        <v>50</v>
      </c>
      <c r="U98" s="41">
        <v>4</v>
      </c>
      <c r="V98" s="41">
        <f t="shared" si="17"/>
        <v>10248700.000000004</v>
      </c>
      <c r="W98" s="41">
        <v>50</v>
      </c>
      <c r="X98" s="41">
        <v>4</v>
      </c>
      <c r="Y98" s="41">
        <f t="shared" si="18"/>
        <v>11273570.000000004</v>
      </c>
      <c r="Z98" s="41">
        <v>50</v>
      </c>
      <c r="AA98" s="41">
        <v>4</v>
      </c>
      <c r="AB98" s="41">
        <f t="shared" si="19"/>
        <v>12400927.000000006</v>
      </c>
      <c r="AC98" s="41">
        <v>50</v>
      </c>
      <c r="AD98" s="41">
        <v>4</v>
      </c>
      <c r="AE98" s="41">
        <f t="shared" si="20"/>
        <v>13641019.700000007</v>
      </c>
      <c r="AF98" s="28">
        <f t="shared" si="11"/>
        <v>80051216.700000033</v>
      </c>
      <c r="AG98" s="28">
        <f t="shared" si="12"/>
        <v>77719.627864077702</v>
      </c>
    </row>
    <row r="99" spans="1:33" x14ac:dyDescent="0.3">
      <c r="A99" s="63" t="s">
        <v>1302</v>
      </c>
      <c r="B99" s="63"/>
      <c r="C99" s="63"/>
      <c r="D99" s="63"/>
      <c r="E99" s="63"/>
      <c r="F99" s="63"/>
      <c r="G99" s="63"/>
      <c r="H99" s="63"/>
      <c r="I99" s="63"/>
      <c r="J99" s="63">
        <f>SUM(J93:J98)</f>
        <v>13085056</v>
      </c>
      <c r="K99" s="63"/>
      <c r="L99" s="63"/>
      <c r="M99" s="63">
        <f>SUM(M93:M98)</f>
        <v>13061521.316436894</v>
      </c>
      <c r="N99" s="63"/>
      <c r="O99" s="63"/>
      <c r="P99" s="63">
        <f>SUM(P94:P98)</f>
        <v>14153418.400000002</v>
      </c>
      <c r="Q99" s="63"/>
      <c r="R99" s="63"/>
      <c r="S99" s="63">
        <f>SUM(S94:S98)</f>
        <v>15568760.240000006</v>
      </c>
      <c r="T99" s="63"/>
      <c r="U99" s="63"/>
      <c r="V99" s="63">
        <f>SUM(V94:V98)</f>
        <v>17125636.264000006</v>
      </c>
      <c r="W99" s="63"/>
      <c r="X99" s="63"/>
      <c r="Y99" s="63">
        <f>SUM(Y94:Y98)</f>
        <v>18838199.890400007</v>
      </c>
      <c r="Z99" s="63"/>
      <c r="AA99" s="63"/>
      <c r="AB99" s="63">
        <f>SUM(AB94:AB98)</f>
        <v>20722019.87944001</v>
      </c>
      <c r="AC99" s="63"/>
      <c r="AD99" s="63"/>
      <c r="AE99" s="63">
        <f>SUM(AE94:AE98)</f>
        <v>22794221.867384009</v>
      </c>
      <c r="AF99" s="28">
        <f t="shared" si="11"/>
        <v>135348833.85766092</v>
      </c>
      <c r="AG99" s="28">
        <f t="shared" si="12"/>
        <v>131406.63481326302</v>
      </c>
    </row>
    <row r="100" spans="1:33" s="94" customFormat="1" x14ac:dyDescent="0.3">
      <c r="A100" s="91" t="s">
        <v>1427</v>
      </c>
      <c r="B100" s="91"/>
      <c r="C100" s="91"/>
      <c r="D100" s="91"/>
      <c r="E100" s="91"/>
      <c r="F100" s="91"/>
      <c r="G100" s="91"/>
      <c r="H100" s="91"/>
      <c r="I100" s="91"/>
      <c r="J100" s="91">
        <f>J99/$AL$2</f>
        <v>12703.93786407767</v>
      </c>
      <c r="K100" s="91"/>
      <c r="L100" s="91"/>
      <c r="M100" s="91">
        <f>M99/$AL$2</f>
        <v>12681.088656734848</v>
      </c>
      <c r="N100" s="91"/>
      <c r="O100" s="91"/>
      <c r="P100" s="91">
        <f>P99/$AL$2</f>
        <v>13741.182912621362</v>
      </c>
      <c r="Q100" s="91"/>
      <c r="R100" s="91"/>
      <c r="S100" s="91">
        <f>S99/$AL$2</f>
        <v>15115.3012038835</v>
      </c>
      <c r="T100" s="91"/>
      <c r="U100" s="91"/>
      <c r="V100" s="91">
        <f>V99/$AL$2</f>
        <v>16626.83132427185</v>
      </c>
      <c r="W100" s="91"/>
      <c r="X100" s="91"/>
      <c r="Y100" s="91">
        <f>Y99/$AL$2</f>
        <v>18289.514456699035</v>
      </c>
      <c r="Z100" s="91"/>
      <c r="AA100" s="91"/>
      <c r="AB100" s="91">
        <f>AB99/$AL$2</f>
        <v>20118.465902368942</v>
      </c>
      <c r="AC100" s="91"/>
      <c r="AD100" s="91"/>
      <c r="AE100" s="91">
        <f>AE99/$AL$2</f>
        <v>22130.312492605834</v>
      </c>
      <c r="AF100" s="95">
        <f t="shared" si="11"/>
        <v>131406.63481326305</v>
      </c>
      <c r="AG100" s="95">
        <f t="shared" si="12"/>
        <v>127.57925710025539</v>
      </c>
    </row>
    <row r="101" spans="1:33" ht="57.6" x14ac:dyDescent="0.3">
      <c r="A101" s="41" t="s">
        <v>836</v>
      </c>
      <c r="B101" s="41" t="s">
        <v>1051</v>
      </c>
      <c r="C101" s="41" t="s">
        <v>1070</v>
      </c>
      <c r="D101" s="41" t="s">
        <v>1071</v>
      </c>
      <c r="E101" s="41" t="s">
        <v>1072</v>
      </c>
      <c r="F101" s="41" t="s">
        <v>841</v>
      </c>
      <c r="G101" s="41">
        <v>0</v>
      </c>
      <c r="H101" s="41">
        <v>40</v>
      </c>
      <c r="I101" s="41">
        <v>1</v>
      </c>
      <c r="J101" s="41">
        <f>$G101*H101*I101</f>
        <v>0</v>
      </c>
      <c r="K101" s="41"/>
      <c r="L101" s="41"/>
      <c r="M101" s="41">
        <f t="shared" si="14"/>
        <v>0</v>
      </c>
      <c r="N101" s="41"/>
      <c r="O101" s="41"/>
      <c r="P101" s="41">
        <f t="shared" si="15"/>
        <v>0</v>
      </c>
      <c r="Q101" s="41"/>
      <c r="R101" s="41"/>
      <c r="S101" s="41">
        <f t="shared" si="16"/>
        <v>0</v>
      </c>
      <c r="T101" s="41"/>
      <c r="U101" s="41"/>
      <c r="V101" s="41">
        <f t="shared" si="17"/>
        <v>0</v>
      </c>
      <c r="W101" s="41">
        <v>40</v>
      </c>
      <c r="X101" s="41">
        <v>1</v>
      </c>
      <c r="Y101" s="41">
        <f t="shared" si="18"/>
        <v>0</v>
      </c>
      <c r="Z101" s="41"/>
      <c r="AA101" s="41"/>
      <c r="AB101" s="41">
        <f t="shared" si="19"/>
        <v>0</v>
      </c>
      <c r="AC101" s="41"/>
      <c r="AD101" s="41"/>
      <c r="AE101" s="41">
        <f t="shared" si="20"/>
        <v>0</v>
      </c>
      <c r="AF101" s="28">
        <f t="shared" si="11"/>
        <v>0</v>
      </c>
      <c r="AG101" s="28">
        <f t="shared" si="12"/>
        <v>0</v>
      </c>
    </row>
    <row r="102" spans="1:33" ht="57.6" x14ac:dyDescent="0.3">
      <c r="A102" s="41" t="s">
        <v>836</v>
      </c>
      <c r="B102" s="41" t="s">
        <v>1051</v>
      </c>
      <c r="C102" s="41" t="s">
        <v>1070</v>
      </c>
      <c r="D102" s="41" t="s">
        <v>1071</v>
      </c>
      <c r="E102" s="41" t="s">
        <v>149</v>
      </c>
      <c r="F102" s="41" t="s">
        <v>707</v>
      </c>
      <c r="G102" s="41">
        <v>391991.03749999998</v>
      </c>
      <c r="H102" s="41">
        <v>2</v>
      </c>
      <c r="I102" s="41">
        <v>2</v>
      </c>
      <c r="J102" s="41">
        <f t="shared" si="13"/>
        <v>1567964.15</v>
      </c>
      <c r="K102" s="41"/>
      <c r="L102" s="41"/>
      <c r="M102" s="41">
        <f t="shared" si="14"/>
        <v>0</v>
      </c>
      <c r="N102" s="41"/>
      <c r="O102" s="41"/>
      <c r="P102" s="41">
        <f t="shared" si="15"/>
        <v>0</v>
      </c>
      <c r="Q102" s="41"/>
      <c r="R102" s="41"/>
      <c r="S102" s="41">
        <f t="shared" si="16"/>
        <v>0</v>
      </c>
      <c r="T102" s="41"/>
      <c r="U102" s="41"/>
      <c r="V102" s="41">
        <f t="shared" si="17"/>
        <v>0</v>
      </c>
      <c r="W102" s="41">
        <v>2</v>
      </c>
      <c r="X102" s="41">
        <v>2</v>
      </c>
      <c r="Y102" s="41">
        <f t="shared" si="18"/>
        <v>2525221.9432165008</v>
      </c>
      <c r="Z102" s="41"/>
      <c r="AA102" s="41"/>
      <c r="AB102" s="41">
        <f t="shared" si="19"/>
        <v>0</v>
      </c>
      <c r="AC102" s="41"/>
      <c r="AD102" s="41"/>
      <c r="AE102" s="41">
        <f t="shared" si="20"/>
        <v>0</v>
      </c>
      <c r="AF102" s="28">
        <f t="shared" si="11"/>
        <v>4093186.0932165007</v>
      </c>
      <c r="AG102" s="28">
        <f t="shared" si="12"/>
        <v>3973.9670807927191</v>
      </c>
    </row>
    <row r="103" spans="1:33" ht="57.6" x14ac:dyDescent="0.3">
      <c r="A103" s="41" t="s">
        <v>836</v>
      </c>
      <c r="B103" s="41" t="s">
        <v>1051</v>
      </c>
      <c r="C103" s="41" t="s">
        <v>1070</v>
      </c>
      <c r="D103" s="41" t="s">
        <v>1071</v>
      </c>
      <c r="E103" s="41" t="s">
        <v>149</v>
      </c>
      <c r="F103" s="41" t="s">
        <v>708</v>
      </c>
      <c r="G103" s="41">
        <f>980*1030</f>
        <v>1009400</v>
      </c>
      <c r="H103" s="41">
        <v>1</v>
      </c>
      <c r="I103" s="41">
        <v>25</v>
      </c>
      <c r="J103" s="41">
        <f t="shared" si="13"/>
        <v>25235000</v>
      </c>
      <c r="K103" s="41"/>
      <c r="L103" s="41"/>
      <c r="M103" s="41">
        <f t="shared" si="14"/>
        <v>0</v>
      </c>
      <c r="N103" s="41"/>
      <c r="O103" s="41"/>
      <c r="P103" s="41">
        <f t="shared" si="15"/>
        <v>0</v>
      </c>
      <c r="Q103" s="41"/>
      <c r="R103" s="41"/>
      <c r="S103" s="41">
        <f t="shared" si="16"/>
        <v>0</v>
      </c>
      <c r="T103" s="41"/>
      <c r="U103" s="41"/>
      <c r="V103" s="41">
        <f t="shared" si="17"/>
        <v>0</v>
      </c>
      <c r="W103" s="41">
        <v>1</v>
      </c>
      <c r="X103" s="41">
        <v>25</v>
      </c>
      <c r="Y103" s="41">
        <f t="shared" si="18"/>
        <v>40641219.850000009</v>
      </c>
      <c r="Z103" s="41"/>
      <c r="AA103" s="41"/>
      <c r="AB103" s="41">
        <f t="shared" si="19"/>
        <v>0</v>
      </c>
      <c r="AC103" s="41"/>
      <c r="AD103" s="41"/>
      <c r="AE103" s="41">
        <f t="shared" si="20"/>
        <v>0</v>
      </c>
      <c r="AF103" s="28">
        <f t="shared" si="11"/>
        <v>65876219.850000009</v>
      </c>
      <c r="AG103" s="28">
        <f t="shared" si="12"/>
        <v>63957.49500000001</v>
      </c>
    </row>
    <row r="104" spans="1:33" ht="57.6" x14ac:dyDescent="0.3">
      <c r="A104" s="41" t="s">
        <v>836</v>
      </c>
      <c r="B104" s="41" t="s">
        <v>1051</v>
      </c>
      <c r="C104" s="41" t="s">
        <v>1070</v>
      </c>
      <c r="D104" s="41" t="s">
        <v>1071</v>
      </c>
      <c r="E104" s="41" t="s">
        <v>895</v>
      </c>
      <c r="F104" s="41" t="s">
        <v>841</v>
      </c>
      <c r="G104" s="41">
        <v>0</v>
      </c>
      <c r="H104" s="41">
        <v>0</v>
      </c>
      <c r="I104" s="41">
        <v>0</v>
      </c>
      <c r="J104" s="41">
        <f t="shared" si="13"/>
        <v>0</v>
      </c>
      <c r="K104" s="41"/>
      <c r="L104" s="41"/>
      <c r="M104" s="41">
        <f t="shared" si="14"/>
        <v>0</v>
      </c>
      <c r="N104" s="41"/>
      <c r="O104" s="41"/>
      <c r="P104" s="41">
        <f t="shared" si="15"/>
        <v>0</v>
      </c>
      <c r="Q104" s="41"/>
      <c r="R104" s="41"/>
      <c r="S104" s="41">
        <f t="shared" si="16"/>
        <v>0</v>
      </c>
      <c r="T104" s="41"/>
      <c r="U104" s="41"/>
      <c r="V104" s="41">
        <f t="shared" si="17"/>
        <v>0</v>
      </c>
      <c r="W104" s="41">
        <v>0</v>
      </c>
      <c r="X104" s="41">
        <v>0</v>
      </c>
      <c r="Y104" s="41">
        <f t="shared" si="18"/>
        <v>0</v>
      </c>
      <c r="Z104" s="41"/>
      <c r="AA104" s="41"/>
      <c r="AB104" s="41">
        <f t="shared" si="19"/>
        <v>0</v>
      </c>
      <c r="AC104" s="41"/>
      <c r="AD104" s="41"/>
      <c r="AE104" s="41">
        <f t="shared" si="20"/>
        <v>0</v>
      </c>
      <c r="AF104" s="28">
        <f t="shared" si="11"/>
        <v>0</v>
      </c>
      <c r="AG104" s="28">
        <f t="shared" si="12"/>
        <v>0</v>
      </c>
    </row>
    <row r="105" spans="1:33" ht="57.6" x14ac:dyDescent="0.3">
      <c r="A105" s="41" t="s">
        <v>836</v>
      </c>
      <c r="B105" s="41" t="s">
        <v>1051</v>
      </c>
      <c r="C105" s="41" t="s">
        <v>1070</v>
      </c>
      <c r="D105" s="41" t="s">
        <v>1071</v>
      </c>
      <c r="E105" s="41" t="s">
        <v>912</v>
      </c>
      <c r="F105" s="41" t="s">
        <v>841</v>
      </c>
      <c r="G105" s="41">
        <v>0</v>
      </c>
      <c r="H105" s="41">
        <v>0</v>
      </c>
      <c r="I105" s="41">
        <v>0</v>
      </c>
      <c r="J105" s="41">
        <f t="shared" si="13"/>
        <v>0</v>
      </c>
      <c r="K105" s="41"/>
      <c r="L105" s="41"/>
      <c r="M105" s="41">
        <f t="shared" si="14"/>
        <v>0</v>
      </c>
      <c r="N105" s="41"/>
      <c r="O105" s="41"/>
      <c r="P105" s="41">
        <f t="shared" si="15"/>
        <v>0</v>
      </c>
      <c r="Q105" s="41"/>
      <c r="R105" s="41"/>
      <c r="S105" s="41">
        <f t="shared" si="16"/>
        <v>0</v>
      </c>
      <c r="T105" s="41"/>
      <c r="U105" s="41"/>
      <c r="V105" s="41">
        <f t="shared" si="17"/>
        <v>0</v>
      </c>
      <c r="W105" s="41">
        <v>0</v>
      </c>
      <c r="X105" s="41">
        <v>0</v>
      </c>
      <c r="Y105" s="41">
        <f t="shared" si="18"/>
        <v>0</v>
      </c>
      <c r="Z105" s="41"/>
      <c r="AA105" s="41"/>
      <c r="AB105" s="41">
        <f t="shared" si="19"/>
        <v>0</v>
      </c>
      <c r="AC105" s="41"/>
      <c r="AD105" s="41"/>
      <c r="AE105" s="41">
        <f t="shared" si="20"/>
        <v>0</v>
      </c>
      <c r="AF105" s="28">
        <f t="shared" si="11"/>
        <v>0</v>
      </c>
      <c r="AG105" s="28">
        <f t="shared" si="12"/>
        <v>0</v>
      </c>
    </row>
    <row r="106" spans="1:33" ht="57.6" x14ac:dyDescent="0.3">
      <c r="A106" s="41" t="s">
        <v>836</v>
      </c>
      <c r="B106" s="41" t="s">
        <v>1051</v>
      </c>
      <c r="C106" s="41" t="s">
        <v>1070</v>
      </c>
      <c r="D106" s="41" t="s">
        <v>1071</v>
      </c>
      <c r="E106" s="41" t="s">
        <v>1026</v>
      </c>
      <c r="F106" s="41" t="s">
        <v>709</v>
      </c>
      <c r="G106" s="41">
        <v>35000</v>
      </c>
      <c r="H106" s="41">
        <v>10</v>
      </c>
      <c r="I106" s="41">
        <v>1</v>
      </c>
      <c r="J106" s="41">
        <f t="shared" si="13"/>
        <v>350000</v>
      </c>
      <c r="K106" s="41"/>
      <c r="L106" s="41"/>
      <c r="M106" s="41">
        <f t="shared" si="14"/>
        <v>0</v>
      </c>
      <c r="N106" s="41"/>
      <c r="O106" s="41"/>
      <c r="P106" s="41">
        <f t="shared" si="15"/>
        <v>0</v>
      </c>
      <c r="Q106" s="41"/>
      <c r="R106" s="41"/>
      <c r="S106" s="41">
        <f t="shared" si="16"/>
        <v>0</v>
      </c>
      <c r="T106" s="41"/>
      <c r="U106" s="41"/>
      <c r="V106" s="41">
        <f t="shared" si="17"/>
        <v>0</v>
      </c>
      <c r="W106" s="41">
        <v>10</v>
      </c>
      <c r="X106" s="41">
        <v>1</v>
      </c>
      <c r="Y106" s="41">
        <f t="shared" si="18"/>
        <v>563678.50000000023</v>
      </c>
      <c r="Z106" s="41"/>
      <c r="AA106" s="41"/>
      <c r="AB106" s="41">
        <f t="shared" si="19"/>
        <v>0</v>
      </c>
      <c r="AC106" s="41"/>
      <c r="AD106" s="41"/>
      <c r="AE106" s="41">
        <f t="shared" si="20"/>
        <v>0</v>
      </c>
      <c r="AF106" s="28">
        <f t="shared" si="11"/>
        <v>913678.50000000023</v>
      </c>
      <c r="AG106" s="28">
        <f t="shared" si="12"/>
        <v>887.06650485436921</v>
      </c>
    </row>
    <row r="107" spans="1:33" ht="57.6" x14ac:dyDescent="0.3">
      <c r="A107" s="41" t="s">
        <v>836</v>
      </c>
      <c r="B107" s="41" t="s">
        <v>1051</v>
      </c>
      <c r="C107" s="41" t="s">
        <v>1070</v>
      </c>
      <c r="D107" s="41" t="s">
        <v>1071</v>
      </c>
      <c r="E107" s="41" t="s">
        <v>1026</v>
      </c>
      <c r="F107" s="41" t="s">
        <v>1297</v>
      </c>
      <c r="G107" s="41">
        <v>8000</v>
      </c>
      <c r="H107" s="41">
        <v>10</v>
      </c>
      <c r="I107" s="41">
        <v>1</v>
      </c>
      <c r="J107" s="41">
        <f t="shared" si="13"/>
        <v>80000</v>
      </c>
      <c r="K107" s="41"/>
      <c r="L107" s="41"/>
      <c r="M107" s="41">
        <f t="shared" si="14"/>
        <v>0</v>
      </c>
      <c r="N107" s="41"/>
      <c r="O107" s="41"/>
      <c r="P107" s="41">
        <f t="shared" si="15"/>
        <v>0</v>
      </c>
      <c r="Q107" s="41"/>
      <c r="R107" s="41"/>
      <c r="S107" s="41">
        <f t="shared" si="16"/>
        <v>0</v>
      </c>
      <c r="T107" s="41"/>
      <c r="U107" s="41"/>
      <c r="V107" s="41">
        <f t="shared" si="17"/>
        <v>0</v>
      </c>
      <c r="W107" s="41">
        <v>10</v>
      </c>
      <c r="X107" s="41">
        <v>1</v>
      </c>
      <c r="Y107" s="41">
        <f t="shared" si="18"/>
        <v>128840.80000000003</v>
      </c>
      <c r="Z107" s="41"/>
      <c r="AA107" s="41"/>
      <c r="AB107" s="41">
        <f t="shared" si="19"/>
        <v>0</v>
      </c>
      <c r="AC107" s="41"/>
      <c r="AD107" s="41"/>
      <c r="AE107" s="41">
        <f t="shared" si="20"/>
        <v>0</v>
      </c>
      <c r="AF107" s="28">
        <f t="shared" si="11"/>
        <v>208840.80000000005</v>
      </c>
      <c r="AG107" s="28">
        <f t="shared" si="12"/>
        <v>202.75805825242722</v>
      </c>
    </row>
    <row r="108" spans="1:33" ht="57.6" x14ac:dyDescent="0.3">
      <c r="A108" s="41" t="s">
        <v>836</v>
      </c>
      <c r="B108" s="41" t="s">
        <v>1051</v>
      </c>
      <c r="C108" s="41" t="s">
        <v>1070</v>
      </c>
      <c r="D108" s="41" t="s">
        <v>1071</v>
      </c>
      <c r="E108" s="41" t="s">
        <v>1026</v>
      </c>
      <c r="F108" s="41" t="s">
        <v>710</v>
      </c>
      <c r="G108" s="41">
        <v>104850</v>
      </c>
      <c r="H108" s="41">
        <v>1</v>
      </c>
      <c r="I108" s="41">
        <v>1</v>
      </c>
      <c r="J108" s="41">
        <f t="shared" si="13"/>
        <v>104850</v>
      </c>
      <c r="K108" s="41"/>
      <c r="L108" s="41"/>
      <c r="M108" s="41">
        <f t="shared" si="14"/>
        <v>0</v>
      </c>
      <c r="N108" s="41"/>
      <c r="O108" s="41"/>
      <c r="P108" s="41">
        <f t="shared" si="15"/>
        <v>0</v>
      </c>
      <c r="Q108" s="41"/>
      <c r="R108" s="41"/>
      <c r="S108" s="41">
        <f t="shared" si="16"/>
        <v>0</v>
      </c>
      <c r="T108" s="41"/>
      <c r="U108" s="41"/>
      <c r="V108" s="41">
        <f t="shared" si="17"/>
        <v>0</v>
      </c>
      <c r="W108" s="41">
        <v>1</v>
      </c>
      <c r="X108" s="41">
        <v>1</v>
      </c>
      <c r="Y108" s="41">
        <f t="shared" si="18"/>
        <v>168861.97350000005</v>
      </c>
      <c r="Z108" s="41"/>
      <c r="AA108" s="41"/>
      <c r="AB108" s="41">
        <f t="shared" si="19"/>
        <v>0</v>
      </c>
      <c r="AC108" s="41"/>
      <c r="AD108" s="41"/>
      <c r="AE108" s="41">
        <f t="shared" si="20"/>
        <v>0</v>
      </c>
      <c r="AF108" s="28">
        <f t="shared" si="11"/>
        <v>273711.97350000008</v>
      </c>
      <c r="AG108" s="28">
        <f t="shared" si="12"/>
        <v>265.73978009708748</v>
      </c>
    </row>
    <row r="109" spans="1:33" ht="57.6" x14ac:dyDescent="0.3">
      <c r="A109" s="41" t="s">
        <v>836</v>
      </c>
      <c r="B109" s="41" t="s">
        <v>1051</v>
      </c>
      <c r="C109" s="41" t="s">
        <v>1070</v>
      </c>
      <c r="D109" s="41" t="s">
        <v>1071</v>
      </c>
      <c r="E109" s="41" t="s">
        <v>163</v>
      </c>
      <c r="F109" s="41" t="s">
        <v>713</v>
      </c>
      <c r="G109" s="41">
        <v>45000</v>
      </c>
      <c r="H109" s="41">
        <v>10</v>
      </c>
      <c r="I109" s="41">
        <v>1</v>
      </c>
      <c r="J109" s="41">
        <f t="shared" si="13"/>
        <v>450000</v>
      </c>
      <c r="K109" s="41"/>
      <c r="L109" s="41"/>
      <c r="M109" s="41">
        <f t="shared" si="14"/>
        <v>0</v>
      </c>
      <c r="N109" s="41"/>
      <c r="O109" s="41"/>
      <c r="P109" s="41">
        <f t="shared" si="15"/>
        <v>0</v>
      </c>
      <c r="Q109" s="41"/>
      <c r="R109" s="41"/>
      <c r="S109" s="41">
        <f t="shared" si="16"/>
        <v>0</v>
      </c>
      <c r="T109" s="41"/>
      <c r="U109" s="41"/>
      <c r="V109" s="41">
        <f t="shared" si="17"/>
        <v>0</v>
      </c>
      <c r="W109" s="41">
        <v>10</v>
      </c>
      <c r="X109" s="41">
        <v>1</v>
      </c>
      <c r="Y109" s="41">
        <f t="shared" si="18"/>
        <v>724729.50000000023</v>
      </c>
      <c r="Z109" s="41"/>
      <c r="AA109" s="41"/>
      <c r="AB109" s="41">
        <f t="shared" si="19"/>
        <v>0</v>
      </c>
      <c r="AC109" s="41"/>
      <c r="AD109" s="41"/>
      <c r="AE109" s="41">
        <f t="shared" si="20"/>
        <v>0</v>
      </c>
      <c r="AF109" s="28">
        <f t="shared" si="11"/>
        <v>1174729.5000000002</v>
      </c>
      <c r="AG109" s="28">
        <f t="shared" si="12"/>
        <v>1140.5140776699031</v>
      </c>
    </row>
    <row r="110" spans="1:33" ht="57.6" x14ac:dyDescent="0.3">
      <c r="A110" s="41" t="s">
        <v>836</v>
      </c>
      <c r="B110" s="41" t="s">
        <v>1051</v>
      </c>
      <c r="C110" s="41" t="s">
        <v>1070</v>
      </c>
      <c r="D110" s="41" t="s">
        <v>1071</v>
      </c>
      <c r="E110" s="41" t="s">
        <v>163</v>
      </c>
      <c r="F110" s="41" t="s">
        <v>712</v>
      </c>
      <c r="G110" s="41">
        <f>1999.2/7</f>
        <v>285.60000000000002</v>
      </c>
      <c r="H110" s="41">
        <v>10</v>
      </c>
      <c r="I110" s="41">
        <v>1</v>
      </c>
      <c r="J110" s="41">
        <f t="shared" si="13"/>
        <v>2856</v>
      </c>
      <c r="K110" s="41"/>
      <c r="L110" s="41"/>
      <c r="M110" s="41">
        <f t="shared" si="14"/>
        <v>0</v>
      </c>
      <c r="N110" s="41"/>
      <c r="O110" s="41"/>
      <c r="P110" s="41">
        <f t="shared" si="15"/>
        <v>0</v>
      </c>
      <c r="Q110" s="41"/>
      <c r="R110" s="41"/>
      <c r="S110" s="41">
        <f t="shared" si="16"/>
        <v>0</v>
      </c>
      <c r="T110" s="41"/>
      <c r="U110" s="41"/>
      <c r="V110" s="41">
        <f t="shared" si="17"/>
        <v>0</v>
      </c>
      <c r="W110" s="41">
        <v>10</v>
      </c>
      <c r="X110" s="41">
        <v>1</v>
      </c>
      <c r="Y110" s="41">
        <f t="shared" si="18"/>
        <v>4599.6165600000022</v>
      </c>
      <c r="Z110" s="41"/>
      <c r="AA110" s="41"/>
      <c r="AB110" s="41">
        <f t="shared" si="19"/>
        <v>0</v>
      </c>
      <c r="AC110" s="41"/>
      <c r="AD110" s="41"/>
      <c r="AE110" s="41">
        <f t="shared" si="20"/>
        <v>0</v>
      </c>
      <c r="AF110" s="28">
        <f t="shared" si="11"/>
        <v>7455.6165600000022</v>
      </c>
      <c r="AG110" s="28">
        <f t="shared" si="12"/>
        <v>7.2384626796116525</v>
      </c>
    </row>
    <row r="111" spans="1:33" ht="57.6" x14ac:dyDescent="0.3">
      <c r="A111" s="41" t="s">
        <v>836</v>
      </c>
      <c r="B111" s="41" t="s">
        <v>1051</v>
      </c>
      <c r="C111" s="41" t="s">
        <v>1070</v>
      </c>
      <c r="D111" s="41" t="s">
        <v>1071</v>
      </c>
      <c r="E111" s="41" t="s">
        <v>1027</v>
      </c>
      <c r="F111" s="41" t="s">
        <v>709</v>
      </c>
      <c r="G111" s="41">
        <v>35000</v>
      </c>
      <c r="H111" s="41">
        <v>30</v>
      </c>
      <c r="I111" s="41">
        <v>1</v>
      </c>
      <c r="J111" s="41">
        <f t="shared" si="13"/>
        <v>1050000</v>
      </c>
      <c r="K111" s="41"/>
      <c r="L111" s="41"/>
      <c r="M111" s="41">
        <f t="shared" si="14"/>
        <v>0</v>
      </c>
      <c r="N111" s="41"/>
      <c r="O111" s="41"/>
      <c r="P111" s="41">
        <f t="shared" si="15"/>
        <v>0</v>
      </c>
      <c r="Q111" s="41"/>
      <c r="R111" s="41"/>
      <c r="S111" s="41">
        <f t="shared" si="16"/>
        <v>0</v>
      </c>
      <c r="T111" s="41"/>
      <c r="U111" s="41"/>
      <c r="V111" s="41">
        <f t="shared" si="17"/>
        <v>0</v>
      </c>
      <c r="W111" s="41">
        <v>30</v>
      </c>
      <c r="X111" s="41">
        <v>1</v>
      </c>
      <c r="Y111" s="41">
        <f t="shared" si="18"/>
        <v>1691035.5000000007</v>
      </c>
      <c r="Z111" s="41"/>
      <c r="AA111" s="41"/>
      <c r="AB111" s="41">
        <f t="shared" si="19"/>
        <v>0</v>
      </c>
      <c r="AC111" s="41"/>
      <c r="AD111" s="41"/>
      <c r="AE111" s="41">
        <f t="shared" si="20"/>
        <v>0</v>
      </c>
      <c r="AF111" s="28">
        <f t="shared" si="11"/>
        <v>2741035.5000000009</v>
      </c>
      <c r="AG111" s="28">
        <f t="shared" si="12"/>
        <v>2661.1995145631076</v>
      </c>
    </row>
    <row r="112" spans="1:33" ht="57.6" x14ac:dyDescent="0.3">
      <c r="A112" s="41" t="s">
        <v>836</v>
      </c>
      <c r="B112" s="41" t="s">
        <v>1051</v>
      </c>
      <c r="C112" s="41" t="s">
        <v>1070</v>
      </c>
      <c r="D112" s="41" t="s">
        <v>1071</v>
      </c>
      <c r="E112" s="41" t="s">
        <v>157</v>
      </c>
      <c r="F112" s="41" t="s">
        <v>713</v>
      </c>
      <c r="G112" s="41">
        <v>45000</v>
      </c>
      <c r="H112" s="41">
        <v>30</v>
      </c>
      <c r="I112" s="41">
        <v>5</v>
      </c>
      <c r="J112" s="41">
        <f t="shared" si="13"/>
        <v>6750000</v>
      </c>
      <c r="K112" s="41">
        <v>30</v>
      </c>
      <c r="L112" s="41">
        <v>5</v>
      </c>
      <c r="M112" s="41">
        <f t="shared" si="14"/>
        <v>7425000.0000000009</v>
      </c>
      <c r="N112" s="41">
        <v>30</v>
      </c>
      <c r="O112" s="41">
        <v>5</v>
      </c>
      <c r="P112" s="41">
        <f t="shared" si="15"/>
        <v>8167500.0000000009</v>
      </c>
      <c r="Q112" s="41">
        <v>30</v>
      </c>
      <c r="R112" s="41">
        <v>5</v>
      </c>
      <c r="S112" s="41">
        <f t="shared" si="16"/>
        <v>8984250.0000000037</v>
      </c>
      <c r="T112" s="41">
        <v>30</v>
      </c>
      <c r="U112" s="41">
        <v>5</v>
      </c>
      <c r="V112" s="41">
        <f t="shared" si="17"/>
        <v>9882675.0000000019</v>
      </c>
      <c r="W112" s="41">
        <v>30</v>
      </c>
      <c r="X112" s="41">
        <v>5</v>
      </c>
      <c r="Y112" s="41">
        <f t="shared" si="18"/>
        <v>10870942.500000004</v>
      </c>
      <c r="Z112" s="41">
        <v>30</v>
      </c>
      <c r="AA112" s="41">
        <v>5</v>
      </c>
      <c r="AB112" s="41">
        <f t="shared" si="19"/>
        <v>11958036.750000006</v>
      </c>
      <c r="AC112" s="41">
        <v>30</v>
      </c>
      <c r="AD112" s="41">
        <v>5</v>
      </c>
      <c r="AE112" s="41">
        <f t="shared" si="20"/>
        <v>13153840.425000008</v>
      </c>
      <c r="AF112" s="28">
        <f t="shared" si="11"/>
        <v>77192244.675000027</v>
      </c>
      <c r="AG112" s="28">
        <f t="shared" si="12"/>
        <v>74943.92686893206</v>
      </c>
    </row>
    <row r="113" spans="1:33" ht="57.6" x14ac:dyDescent="0.3">
      <c r="A113" s="41" t="s">
        <v>836</v>
      </c>
      <c r="B113" s="41" t="s">
        <v>1051</v>
      </c>
      <c r="C113" s="41" t="s">
        <v>1070</v>
      </c>
      <c r="D113" s="41" t="s">
        <v>1071</v>
      </c>
      <c r="E113" s="41" t="s">
        <v>157</v>
      </c>
      <c r="F113" s="41" t="s">
        <v>712</v>
      </c>
      <c r="G113" s="41">
        <f>1999.2/7</f>
        <v>285.60000000000002</v>
      </c>
      <c r="H113" s="41">
        <f>2*25*9</f>
        <v>450</v>
      </c>
      <c r="I113" s="41">
        <v>5</v>
      </c>
      <c r="J113" s="41">
        <f t="shared" si="13"/>
        <v>642600.00000000012</v>
      </c>
      <c r="K113" s="41">
        <f>2*25*9</f>
        <v>450</v>
      </c>
      <c r="L113" s="41">
        <v>5</v>
      </c>
      <c r="M113" s="41">
        <f t="shared" si="14"/>
        <v>706860</v>
      </c>
      <c r="N113" s="41">
        <f>2*25*9</f>
        <v>450</v>
      </c>
      <c r="O113" s="41">
        <v>5</v>
      </c>
      <c r="P113" s="41">
        <f t="shared" si="15"/>
        <v>777546.00000000023</v>
      </c>
      <c r="Q113" s="41">
        <f>2*25*9</f>
        <v>450</v>
      </c>
      <c r="R113" s="41">
        <v>5</v>
      </c>
      <c r="S113" s="41">
        <f t="shared" si="16"/>
        <v>855300.60000000044</v>
      </c>
      <c r="T113" s="41">
        <f>2*25*9</f>
        <v>450</v>
      </c>
      <c r="U113" s="41">
        <v>5</v>
      </c>
      <c r="V113" s="41">
        <f t="shared" si="17"/>
        <v>940830.66000000038</v>
      </c>
      <c r="W113" s="41">
        <f>2*25*9</f>
        <v>450</v>
      </c>
      <c r="X113" s="41">
        <v>5</v>
      </c>
      <c r="Y113" s="41">
        <f t="shared" si="18"/>
        <v>1034913.7260000005</v>
      </c>
      <c r="Z113" s="41">
        <f>2*25*9</f>
        <v>450</v>
      </c>
      <c r="AA113" s="41">
        <v>5</v>
      </c>
      <c r="AB113" s="41">
        <f t="shared" si="19"/>
        <v>1138405.0986000006</v>
      </c>
      <c r="AC113" s="41">
        <f>2*25*9</f>
        <v>450</v>
      </c>
      <c r="AD113" s="41">
        <v>5</v>
      </c>
      <c r="AE113" s="41">
        <f t="shared" si="20"/>
        <v>1252245.6084600009</v>
      </c>
      <c r="AF113" s="28">
        <f t="shared" si="11"/>
        <v>7348701.6930600023</v>
      </c>
      <c r="AG113" s="28">
        <f t="shared" si="12"/>
        <v>7134.6618379223319</v>
      </c>
    </row>
    <row r="114" spans="1:33" ht="57.6" x14ac:dyDescent="0.3">
      <c r="A114" s="41" t="s">
        <v>836</v>
      </c>
      <c r="B114" s="41" t="s">
        <v>1051</v>
      </c>
      <c r="C114" s="41" t="s">
        <v>1070</v>
      </c>
      <c r="D114" s="41" t="s">
        <v>1071</v>
      </c>
      <c r="E114" s="41" t="s">
        <v>157</v>
      </c>
      <c r="F114" s="41" t="s">
        <v>1320</v>
      </c>
      <c r="G114" s="41">
        <f>1999.2/7</f>
        <v>285.60000000000002</v>
      </c>
      <c r="H114" s="41">
        <f>2*135*9</f>
        <v>2430</v>
      </c>
      <c r="I114" s="41">
        <v>1</v>
      </c>
      <c r="J114" s="41">
        <f t="shared" si="13"/>
        <v>694008</v>
      </c>
      <c r="K114" s="41">
        <f>2*135*9</f>
        <v>2430</v>
      </c>
      <c r="L114" s="41">
        <v>1</v>
      </c>
      <c r="M114" s="41"/>
      <c r="N114" s="41">
        <f>2*135*9</f>
        <v>2430</v>
      </c>
      <c r="O114" s="41">
        <v>1</v>
      </c>
      <c r="P114" s="41"/>
      <c r="Q114" s="41">
        <f>2*135*9</f>
        <v>2430</v>
      </c>
      <c r="R114" s="41">
        <v>1</v>
      </c>
      <c r="S114" s="41"/>
      <c r="T114" s="41">
        <f>2*135*9</f>
        <v>2430</v>
      </c>
      <c r="U114" s="41">
        <v>1</v>
      </c>
      <c r="V114" s="41"/>
      <c r="W114" s="41">
        <f>2*135*9</f>
        <v>2430</v>
      </c>
      <c r="X114" s="41">
        <v>1</v>
      </c>
      <c r="Y114" s="41"/>
      <c r="Z114" s="41">
        <f>2*135*9</f>
        <v>2430</v>
      </c>
      <c r="AA114" s="41">
        <v>1</v>
      </c>
      <c r="AB114" s="41"/>
      <c r="AC114" s="41">
        <f>2*135*9</f>
        <v>2430</v>
      </c>
      <c r="AD114" s="41">
        <v>1</v>
      </c>
      <c r="AE114" s="41"/>
      <c r="AF114" s="28">
        <f t="shared" si="11"/>
        <v>694008</v>
      </c>
      <c r="AG114" s="28">
        <f t="shared" si="12"/>
        <v>673.79417475728155</v>
      </c>
    </row>
    <row r="115" spans="1:33" ht="57.6" x14ac:dyDescent="0.3">
      <c r="A115" s="41" t="s">
        <v>836</v>
      </c>
      <c r="B115" s="41" t="s">
        <v>1051</v>
      </c>
      <c r="C115" s="41" t="s">
        <v>1070</v>
      </c>
      <c r="D115" s="41" t="s">
        <v>1071</v>
      </c>
      <c r="E115" s="41" t="s">
        <v>157</v>
      </c>
      <c r="F115" s="41" t="s">
        <v>714</v>
      </c>
      <c r="G115" s="41">
        <v>10000</v>
      </c>
      <c r="H115" s="41">
        <v>15</v>
      </c>
      <c r="I115" s="41">
        <v>1</v>
      </c>
      <c r="J115" s="41">
        <f t="shared" si="13"/>
        <v>150000</v>
      </c>
      <c r="K115" s="41">
        <v>15</v>
      </c>
      <c r="L115" s="41">
        <v>1</v>
      </c>
      <c r="M115" s="41">
        <f t="shared" si="14"/>
        <v>165000</v>
      </c>
      <c r="N115" s="41">
        <v>15</v>
      </c>
      <c r="O115" s="41">
        <v>1</v>
      </c>
      <c r="P115" s="41">
        <f t="shared" si="15"/>
        <v>181500.00000000003</v>
      </c>
      <c r="Q115" s="41">
        <v>15</v>
      </c>
      <c r="R115" s="41">
        <v>1</v>
      </c>
      <c r="S115" s="41">
        <f t="shared" si="16"/>
        <v>199650.00000000006</v>
      </c>
      <c r="T115" s="41">
        <v>15</v>
      </c>
      <c r="U115" s="41">
        <v>1</v>
      </c>
      <c r="V115" s="41">
        <f t="shared" si="17"/>
        <v>219615.00000000006</v>
      </c>
      <c r="W115" s="41">
        <v>15</v>
      </c>
      <c r="X115" s="41">
        <v>1</v>
      </c>
      <c r="Y115" s="41">
        <f t="shared" si="18"/>
        <v>241576.50000000009</v>
      </c>
      <c r="Z115" s="41">
        <v>15</v>
      </c>
      <c r="AA115" s="41">
        <v>1</v>
      </c>
      <c r="AB115" s="41">
        <f t="shared" si="19"/>
        <v>265734.15000000014</v>
      </c>
      <c r="AC115" s="41">
        <v>15</v>
      </c>
      <c r="AD115" s="41">
        <v>1</v>
      </c>
      <c r="AE115" s="41">
        <f t="shared" si="20"/>
        <v>292307.56500000018</v>
      </c>
      <c r="AF115" s="28">
        <f t="shared" si="11"/>
        <v>1715383.2150000003</v>
      </c>
      <c r="AG115" s="28">
        <f t="shared" si="12"/>
        <v>1665.4205970873788</v>
      </c>
    </row>
    <row r="116" spans="1:33" ht="57.6" x14ac:dyDescent="0.3">
      <c r="A116" s="41" t="s">
        <v>836</v>
      </c>
      <c r="B116" s="41" t="s">
        <v>1051</v>
      </c>
      <c r="C116" s="41" t="s">
        <v>1070</v>
      </c>
      <c r="D116" s="41" t="s">
        <v>1071</v>
      </c>
      <c r="E116" s="41" t="s">
        <v>1004</v>
      </c>
      <c r="F116" s="41" t="s">
        <v>709</v>
      </c>
      <c r="G116" s="41">
        <v>35000</v>
      </c>
      <c r="H116" s="41">
        <v>30</v>
      </c>
      <c r="I116" s="41">
        <v>5</v>
      </c>
      <c r="J116" s="41">
        <f t="shared" si="13"/>
        <v>5250000</v>
      </c>
      <c r="K116" s="41">
        <v>30</v>
      </c>
      <c r="L116" s="41">
        <v>5</v>
      </c>
      <c r="M116" s="41">
        <f t="shared" si="14"/>
        <v>5775000</v>
      </c>
      <c r="N116" s="41">
        <v>30</v>
      </c>
      <c r="O116" s="41">
        <v>5</v>
      </c>
      <c r="P116" s="41">
        <f t="shared" si="15"/>
        <v>6352500.0000000009</v>
      </c>
      <c r="Q116" s="41">
        <v>30</v>
      </c>
      <c r="R116" s="41">
        <v>5</v>
      </c>
      <c r="S116" s="41">
        <f t="shared" si="16"/>
        <v>6987750.0000000019</v>
      </c>
      <c r="T116" s="41">
        <v>30</v>
      </c>
      <c r="U116" s="41">
        <v>5</v>
      </c>
      <c r="V116" s="41">
        <f t="shared" si="17"/>
        <v>7686525.0000000019</v>
      </c>
      <c r="W116" s="41">
        <v>30</v>
      </c>
      <c r="X116" s="41">
        <v>5</v>
      </c>
      <c r="Y116" s="41">
        <f t="shared" si="18"/>
        <v>8455177.5000000037</v>
      </c>
      <c r="Z116" s="41">
        <v>30</v>
      </c>
      <c r="AA116" s="41">
        <v>5</v>
      </c>
      <c r="AB116" s="41">
        <f t="shared" si="19"/>
        <v>9300695.2500000056</v>
      </c>
      <c r="AC116" s="41">
        <v>30</v>
      </c>
      <c r="AD116" s="41">
        <v>5</v>
      </c>
      <c r="AE116" s="41">
        <f t="shared" si="20"/>
        <v>10230764.775000006</v>
      </c>
      <c r="AF116" s="28">
        <f t="shared" si="11"/>
        <v>60038412.525000013</v>
      </c>
      <c r="AG116" s="28">
        <f t="shared" si="12"/>
        <v>58289.720898058265</v>
      </c>
    </row>
    <row r="117" spans="1:33" ht="57.6" x14ac:dyDescent="0.3">
      <c r="A117" s="41" t="s">
        <v>836</v>
      </c>
      <c r="B117" s="41" t="s">
        <v>1051</v>
      </c>
      <c r="C117" s="41" t="s">
        <v>1070</v>
      </c>
      <c r="D117" s="41" t="s">
        <v>1071</v>
      </c>
      <c r="E117" s="41" t="s">
        <v>1004</v>
      </c>
      <c r="F117" s="41" t="s">
        <v>716</v>
      </c>
      <c r="G117" s="41">
        <v>39000</v>
      </c>
      <c r="H117" s="41">
        <v>30</v>
      </c>
      <c r="I117" s="41">
        <v>6</v>
      </c>
      <c r="J117" s="41">
        <f t="shared" si="13"/>
        <v>7020000</v>
      </c>
      <c r="K117" s="41">
        <v>30</v>
      </c>
      <c r="L117" s="41">
        <v>6</v>
      </c>
      <c r="M117" s="41">
        <f t="shared" si="14"/>
        <v>7722000</v>
      </c>
      <c r="N117" s="41">
        <v>30</v>
      </c>
      <c r="O117" s="41">
        <v>6</v>
      </c>
      <c r="P117" s="41">
        <f t="shared" si="15"/>
        <v>8494200.0000000019</v>
      </c>
      <c r="Q117" s="41">
        <v>30</v>
      </c>
      <c r="R117" s="41">
        <v>6</v>
      </c>
      <c r="S117" s="41">
        <f t="shared" si="16"/>
        <v>9343620.0000000037</v>
      </c>
      <c r="T117" s="41">
        <v>30</v>
      </c>
      <c r="U117" s="41">
        <v>6</v>
      </c>
      <c r="V117" s="41">
        <f t="shared" si="17"/>
        <v>10277982.000000004</v>
      </c>
      <c r="W117" s="41">
        <v>30</v>
      </c>
      <c r="X117" s="41">
        <v>6</v>
      </c>
      <c r="Y117" s="41">
        <f t="shared" si="18"/>
        <v>11305780.200000003</v>
      </c>
      <c r="Z117" s="41">
        <v>30</v>
      </c>
      <c r="AA117" s="41">
        <v>6</v>
      </c>
      <c r="AB117" s="41">
        <f t="shared" si="19"/>
        <v>12436358.220000004</v>
      </c>
      <c r="AC117" s="41">
        <v>30</v>
      </c>
      <c r="AD117" s="41">
        <v>6</v>
      </c>
      <c r="AE117" s="41">
        <f t="shared" si="20"/>
        <v>13679994.042000007</v>
      </c>
      <c r="AF117" s="28">
        <f t="shared" si="11"/>
        <v>80279934.462000027</v>
      </c>
      <c r="AG117" s="28">
        <f t="shared" si="12"/>
        <v>77941.68394368935</v>
      </c>
    </row>
    <row r="118" spans="1:33" ht="57.6" x14ac:dyDescent="0.3">
      <c r="A118" s="41" t="s">
        <v>836</v>
      </c>
      <c r="B118" s="41" t="s">
        <v>1051</v>
      </c>
      <c r="C118" s="41" t="s">
        <v>1070</v>
      </c>
      <c r="D118" s="41" t="s">
        <v>1071</v>
      </c>
      <c r="E118" s="41" t="s">
        <v>1004</v>
      </c>
      <c r="F118" s="41" t="s">
        <v>712</v>
      </c>
      <c r="G118" s="41">
        <f>1999.2/7</f>
        <v>285.60000000000002</v>
      </c>
      <c r="H118" s="41">
        <f>2*25*9</f>
        <v>450</v>
      </c>
      <c r="I118" s="41">
        <v>5</v>
      </c>
      <c r="J118" s="41">
        <f t="shared" si="13"/>
        <v>642600.00000000012</v>
      </c>
      <c r="K118" s="41">
        <f>2*25*9</f>
        <v>450</v>
      </c>
      <c r="L118" s="41">
        <v>5</v>
      </c>
      <c r="M118" s="41">
        <f t="shared" si="14"/>
        <v>706860</v>
      </c>
      <c r="N118" s="41">
        <f>2*25*9</f>
        <v>450</v>
      </c>
      <c r="O118" s="41">
        <v>5</v>
      </c>
      <c r="P118" s="41">
        <f t="shared" si="15"/>
        <v>777546.00000000023</v>
      </c>
      <c r="Q118" s="41">
        <f>2*25*9</f>
        <v>450</v>
      </c>
      <c r="R118" s="41">
        <v>5</v>
      </c>
      <c r="S118" s="41">
        <f t="shared" si="16"/>
        <v>855300.60000000044</v>
      </c>
      <c r="T118" s="41">
        <f>2*25*9</f>
        <v>450</v>
      </c>
      <c r="U118" s="41">
        <v>5</v>
      </c>
      <c r="V118" s="41">
        <f t="shared" si="17"/>
        <v>940830.66000000038</v>
      </c>
      <c r="W118" s="41">
        <f>2*25*9</f>
        <v>450</v>
      </c>
      <c r="X118" s="41">
        <v>5</v>
      </c>
      <c r="Y118" s="41">
        <f t="shared" si="18"/>
        <v>1034913.7260000005</v>
      </c>
      <c r="Z118" s="41">
        <f>2*25*9</f>
        <v>450</v>
      </c>
      <c r="AA118" s="41">
        <v>5</v>
      </c>
      <c r="AB118" s="41">
        <f t="shared" si="19"/>
        <v>1138405.0986000006</v>
      </c>
      <c r="AC118" s="41">
        <f>2*25*9</f>
        <v>450</v>
      </c>
      <c r="AD118" s="41">
        <v>5</v>
      </c>
      <c r="AE118" s="41">
        <f t="shared" si="20"/>
        <v>1252245.6084600009</v>
      </c>
      <c r="AF118" s="28">
        <f t="shared" si="11"/>
        <v>7348701.6930600023</v>
      </c>
      <c r="AG118" s="28">
        <f t="shared" si="12"/>
        <v>7134.6618379223319</v>
      </c>
    </row>
    <row r="119" spans="1:33" ht="57.6" x14ac:dyDescent="0.3">
      <c r="A119" s="41" t="s">
        <v>836</v>
      </c>
      <c r="B119" s="41" t="s">
        <v>1051</v>
      </c>
      <c r="C119" s="41" t="s">
        <v>1070</v>
      </c>
      <c r="D119" s="41" t="s">
        <v>1071</v>
      </c>
      <c r="E119" s="41" t="s">
        <v>1004</v>
      </c>
      <c r="F119" s="41" t="s">
        <v>1320</v>
      </c>
      <c r="G119" s="41">
        <f>1999.2/7</f>
        <v>285.60000000000002</v>
      </c>
      <c r="H119" s="41">
        <f>2*135*9</f>
        <v>2430</v>
      </c>
      <c r="I119" s="41">
        <v>1</v>
      </c>
      <c r="J119" s="41">
        <f t="shared" si="13"/>
        <v>694008</v>
      </c>
      <c r="K119" s="41">
        <f>2*135*9</f>
        <v>2430</v>
      </c>
      <c r="L119" s="41">
        <v>1</v>
      </c>
      <c r="M119" s="41"/>
      <c r="N119" s="41">
        <f>2*135*9</f>
        <v>2430</v>
      </c>
      <c r="O119" s="41">
        <v>1</v>
      </c>
      <c r="P119" s="41"/>
      <c r="Q119" s="41">
        <f>2*135*9</f>
        <v>2430</v>
      </c>
      <c r="R119" s="41">
        <v>1</v>
      </c>
      <c r="S119" s="41"/>
      <c r="T119" s="41">
        <f>2*135*9</f>
        <v>2430</v>
      </c>
      <c r="U119" s="41">
        <v>1</v>
      </c>
      <c r="V119" s="41"/>
      <c r="W119" s="41">
        <f>2*135*9</f>
        <v>2430</v>
      </c>
      <c r="X119" s="41">
        <v>1</v>
      </c>
      <c r="Y119" s="41"/>
      <c r="Z119" s="41">
        <f>2*135*9</f>
        <v>2430</v>
      </c>
      <c r="AA119" s="41">
        <v>1</v>
      </c>
      <c r="AB119" s="41"/>
      <c r="AC119" s="41">
        <f>2*135*9</f>
        <v>2430</v>
      </c>
      <c r="AD119" s="41">
        <v>1</v>
      </c>
      <c r="AE119" s="41"/>
      <c r="AF119" s="28">
        <f t="shared" si="11"/>
        <v>694008</v>
      </c>
      <c r="AG119" s="28">
        <f t="shared" si="12"/>
        <v>673.79417475728155</v>
      </c>
    </row>
    <row r="120" spans="1:33" ht="57.6" x14ac:dyDescent="0.3">
      <c r="A120" s="41" t="s">
        <v>836</v>
      </c>
      <c r="B120" s="41" t="s">
        <v>1051</v>
      </c>
      <c r="C120" s="41" t="s">
        <v>1070</v>
      </c>
      <c r="D120" s="41" t="s">
        <v>1071</v>
      </c>
      <c r="E120" s="41" t="s">
        <v>1042</v>
      </c>
      <c r="F120" s="41" t="s">
        <v>841</v>
      </c>
      <c r="G120" s="41">
        <v>0</v>
      </c>
      <c r="H120" s="41">
        <v>0</v>
      </c>
      <c r="I120" s="41">
        <v>0</v>
      </c>
      <c r="J120" s="41">
        <f t="shared" si="13"/>
        <v>0</v>
      </c>
      <c r="K120" s="41">
        <v>0</v>
      </c>
      <c r="L120" s="41">
        <v>0</v>
      </c>
      <c r="M120" s="41">
        <f t="shared" si="14"/>
        <v>0</v>
      </c>
      <c r="N120" s="41">
        <v>0</v>
      </c>
      <c r="O120" s="41">
        <v>0</v>
      </c>
      <c r="P120" s="41">
        <f t="shared" si="15"/>
        <v>0</v>
      </c>
      <c r="Q120" s="41">
        <v>0</v>
      </c>
      <c r="R120" s="41">
        <v>0</v>
      </c>
      <c r="S120" s="41">
        <f t="shared" si="16"/>
        <v>0</v>
      </c>
      <c r="T120" s="41">
        <v>0</v>
      </c>
      <c r="U120" s="41">
        <v>0</v>
      </c>
      <c r="V120" s="41">
        <f t="shared" si="17"/>
        <v>0</v>
      </c>
      <c r="W120" s="41">
        <v>0</v>
      </c>
      <c r="X120" s="41">
        <v>0</v>
      </c>
      <c r="Y120" s="41">
        <f t="shared" si="18"/>
        <v>0</v>
      </c>
      <c r="Z120" s="41">
        <v>0</v>
      </c>
      <c r="AA120" s="41">
        <v>0</v>
      </c>
      <c r="AB120" s="41">
        <f t="shared" si="19"/>
        <v>0</v>
      </c>
      <c r="AC120" s="41">
        <v>0</v>
      </c>
      <c r="AD120" s="41">
        <v>0</v>
      </c>
      <c r="AE120" s="41">
        <f t="shared" si="20"/>
        <v>0</v>
      </c>
      <c r="AF120" s="28">
        <f t="shared" si="11"/>
        <v>0</v>
      </c>
      <c r="AG120" s="28">
        <f t="shared" si="12"/>
        <v>0</v>
      </c>
    </row>
    <row r="121" spans="1:33" ht="57.6" x14ac:dyDescent="0.3">
      <c r="A121" s="41" t="s">
        <v>836</v>
      </c>
      <c r="B121" s="41" t="s">
        <v>1051</v>
      </c>
      <c r="C121" s="41" t="s">
        <v>1070</v>
      </c>
      <c r="D121" s="41" t="s">
        <v>1071</v>
      </c>
      <c r="E121" s="41" t="s">
        <v>177</v>
      </c>
      <c r="F121" s="41" t="s">
        <v>709</v>
      </c>
      <c r="G121" s="41">
        <v>35000</v>
      </c>
      <c r="H121" s="41">
        <v>100</v>
      </c>
      <c r="I121" s="41">
        <v>5</v>
      </c>
      <c r="J121" s="41">
        <f t="shared" si="13"/>
        <v>17500000</v>
      </c>
      <c r="K121" s="41">
        <v>100</v>
      </c>
      <c r="L121" s="41">
        <v>5</v>
      </c>
      <c r="M121" s="41">
        <f t="shared" si="14"/>
        <v>19250000</v>
      </c>
      <c r="N121" s="41">
        <v>100</v>
      </c>
      <c r="O121" s="41">
        <v>5</v>
      </c>
      <c r="P121" s="41">
        <f t="shared" si="15"/>
        <v>21175000.000000004</v>
      </c>
      <c r="Q121" s="41">
        <v>100</v>
      </c>
      <c r="R121" s="41">
        <v>5</v>
      </c>
      <c r="S121" s="41">
        <f t="shared" si="16"/>
        <v>23292500.000000007</v>
      </c>
      <c r="T121" s="41">
        <v>100</v>
      </c>
      <c r="U121" s="41">
        <v>5</v>
      </c>
      <c r="V121" s="41">
        <f t="shared" si="17"/>
        <v>25621750.000000007</v>
      </c>
      <c r="W121" s="41">
        <v>100</v>
      </c>
      <c r="X121" s="41">
        <v>5</v>
      </c>
      <c r="Y121" s="41">
        <f t="shared" si="18"/>
        <v>28183925.000000007</v>
      </c>
      <c r="Z121" s="41">
        <v>100</v>
      </c>
      <c r="AA121" s="41">
        <v>5</v>
      </c>
      <c r="AB121" s="41">
        <f t="shared" si="19"/>
        <v>31002317.500000015</v>
      </c>
      <c r="AC121" s="41">
        <v>100</v>
      </c>
      <c r="AD121" s="41">
        <v>5</v>
      </c>
      <c r="AE121" s="41">
        <f t="shared" si="20"/>
        <v>34102549.250000015</v>
      </c>
      <c r="AF121" s="28">
        <f t="shared" si="11"/>
        <v>200128041.75</v>
      </c>
      <c r="AG121" s="28">
        <f t="shared" si="12"/>
        <v>194299.06966019419</v>
      </c>
    </row>
    <row r="122" spans="1:33" ht="57.6" x14ac:dyDescent="0.3">
      <c r="A122" s="41" t="s">
        <v>836</v>
      </c>
      <c r="B122" s="41" t="s">
        <v>1051</v>
      </c>
      <c r="C122" s="41" t="s">
        <v>1070</v>
      </c>
      <c r="D122" s="41" t="s">
        <v>1071</v>
      </c>
      <c r="E122" s="41" t="s">
        <v>177</v>
      </c>
      <c r="F122" s="41" t="s">
        <v>716</v>
      </c>
      <c r="G122" s="41">
        <v>39000</v>
      </c>
      <c r="H122" s="41">
        <v>58</v>
      </c>
      <c r="I122" s="41">
        <v>6</v>
      </c>
      <c r="J122" s="41">
        <f t="shared" si="13"/>
        <v>13572000</v>
      </c>
      <c r="K122" s="41">
        <v>58</v>
      </c>
      <c r="L122" s="41">
        <v>6</v>
      </c>
      <c r="M122" s="41">
        <f t="shared" si="14"/>
        <v>14929200</v>
      </c>
      <c r="N122" s="41">
        <v>58</v>
      </c>
      <c r="O122" s="41">
        <v>6</v>
      </c>
      <c r="P122" s="41">
        <f t="shared" si="15"/>
        <v>16422120.000000004</v>
      </c>
      <c r="Q122" s="41">
        <v>58</v>
      </c>
      <c r="R122" s="41">
        <v>6</v>
      </c>
      <c r="S122" s="41">
        <f t="shared" si="16"/>
        <v>18064332.000000007</v>
      </c>
      <c r="T122" s="41">
        <v>58</v>
      </c>
      <c r="U122" s="41">
        <v>6</v>
      </c>
      <c r="V122" s="41">
        <f t="shared" si="17"/>
        <v>19870765.200000007</v>
      </c>
      <c r="W122" s="41">
        <v>58</v>
      </c>
      <c r="X122" s="41">
        <v>6</v>
      </c>
      <c r="Y122" s="41">
        <f t="shared" si="18"/>
        <v>21857841.720000006</v>
      </c>
      <c r="Z122" s="41">
        <v>58</v>
      </c>
      <c r="AA122" s="41">
        <v>6</v>
      </c>
      <c r="AB122" s="41">
        <f t="shared" si="19"/>
        <v>24043625.892000012</v>
      </c>
      <c r="AC122" s="41">
        <v>58</v>
      </c>
      <c r="AD122" s="41">
        <v>6</v>
      </c>
      <c r="AE122" s="41">
        <f t="shared" si="20"/>
        <v>26447988.481200017</v>
      </c>
      <c r="AF122" s="28">
        <f t="shared" si="11"/>
        <v>155207873.29320005</v>
      </c>
      <c r="AG122" s="28">
        <f t="shared" si="12"/>
        <v>150687.25562446605</v>
      </c>
    </row>
    <row r="123" spans="1:33" ht="57.6" x14ac:dyDescent="0.3">
      <c r="A123" s="41" t="s">
        <v>836</v>
      </c>
      <c r="B123" s="41" t="s">
        <v>1051</v>
      </c>
      <c r="C123" s="41" t="s">
        <v>1070</v>
      </c>
      <c r="D123" s="41" t="s">
        <v>1071</v>
      </c>
      <c r="E123" s="41" t="s">
        <v>177</v>
      </c>
      <c r="F123" s="41" t="s">
        <v>712</v>
      </c>
      <c r="G123" s="41">
        <f>1999.2/7</f>
        <v>285.60000000000002</v>
      </c>
      <c r="H123" s="41">
        <f>2*25*9</f>
        <v>450</v>
      </c>
      <c r="I123" s="41">
        <v>5</v>
      </c>
      <c r="J123" s="41">
        <f t="shared" si="13"/>
        <v>642600.00000000012</v>
      </c>
      <c r="K123" s="41">
        <f>2*25*9</f>
        <v>450</v>
      </c>
      <c r="L123" s="41">
        <v>5</v>
      </c>
      <c r="M123" s="41">
        <f t="shared" si="14"/>
        <v>706860</v>
      </c>
      <c r="N123" s="41">
        <f>2*25*9</f>
        <v>450</v>
      </c>
      <c r="O123" s="41">
        <v>5</v>
      </c>
      <c r="P123" s="41">
        <f t="shared" si="15"/>
        <v>777546.00000000023</v>
      </c>
      <c r="Q123" s="41">
        <f>2*25*9</f>
        <v>450</v>
      </c>
      <c r="R123" s="41">
        <v>5</v>
      </c>
      <c r="S123" s="41">
        <f t="shared" si="16"/>
        <v>855300.60000000044</v>
      </c>
      <c r="T123" s="41">
        <f>2*25*9</f>
        <v>450</v>
      </c>
      <c r="U123" s="41">
        <v>5</v>
      </c>
      <c r="V123" s="41">
        <f t="shared" si="17"/>
        <v>940830.66000000038</v>
      </c>
      <c r="W123" s="41">
        <f>2*25*9</f>
        <v>450</v>
      </c>
      <c r="X123" s="41">
        <v>5</v>
      </c>
      <c r="Y123" s="41">
        <f t="shared" si="18"/>
        <v>1034913.7260000005</v>
      </c>
      <c r="Z123" s="41">
        <f>2*25*9</f>
        <v>450</v>
      </c>
      <c r="AA123" s="41">
        <v>5</v>
      </c>
      <c r="AB123" s="41">
        <f t="shared" si="19"/>
        <v>1138405.0986000006</v>
      </c>
      <c r="AC123" s="41">
        <f>2*25*9</f>
        <v>450</v>
      </c>
      <c r="AD123" s="41">
        <v>5</v>
      </c>
      <c r="AE123" s="41">
        <f t="shared" si="20"/>
        <v>1252245.6084600009</v>
      </c>
      <c r="AF123" s="28">
        <f t="shared" si="11"/>
        <v>7348701.6930600023</v>
      </c>
      <c r="AG123" s="28">
        <f t="shared" si="12"/>
        <v>7134.6618379223319</v>
      </c>
    </row>
    <row r="124" spans="1:33" ht="57.6" x14ac:dyDescent="0.3">
      <c r="A124" s="41" t="s">
        <v>836</v>
      </c>
      <c r="B124" s="41" t="s">
        <v>1051</v>
      </c>
      <c r="C124" s="41" t="s">
        <v>1070</v>
      </c>
      <c r="D124" s="41" t="s">
        <v>1071</v>
      </c>
      <c r="E124" s="41" t="s">
        <v>177</v>
      </c>
      <c r="F124" s="41" t="s">
        <v>1320</v>
      </c>
      <c r="G124" s="41">
        <f>1999.2/7</f>
        <v>285.60000000000002</v>
      </c>
      <c r="H124" s="41">
        <v>22500</v>
      </c>
      <c r="I124" s="41">
        <v>1</v>
      </c>
      <c r="J124" s="41"/>
      <c r="K124" s="41">
        <v>22500</v>
      </c>
      <c r="L124" s="41">
        <v>1</v>
      </c>
      <c r="M124" s="41"/>
      <c r="N124" s="41">
        <v>22500</v>
      </c>
      <c r="O124" s="41">
        <v>1</v>
      </c>
      <c r="P124" s="41"/>
      <c r="Q124" s="41">
        <v>22500</v>
      </c>
      <c r="R124" s="41">
        <v>1</v>
      </c>
      <c r="S124" s="41"/>
      <c r="T124" s="41">
        <v>22500</v>
      </c>
      <c r="U124" s="41">
        <v>1</v>
      </c>
      <c r="V124" s="41"/>
      <c r="W124" s="41">
        <v>22500</v>
      </c>
      <c r="X124" s="41">
        <v>1</v>
      </c>
      <c r="Y124" s="41"/>
      <c r="Z124" s="41">
        <v>22500</v>
      </c>
      <c r="AA124" s="41">
        <v>1</v>
      </c>
      <c r="AB124" s="41"/>
      <c r="AC124" s="41">
        <v>22500</v>
      </c>
      <c r="AD124" s="41">
        <v>1</v>
      </c>
      <c r="AE124" s="41"/>
      <c r="AF124" s="28">
        <f t="shared" si="11"/>
        <v>0</v>
      </c>
      <c r="AG124" s="28">
        <f t="shared" si="12"/>
        <v>0</v>
      </c>
    </row>
    <row r="125" spans="1:33" ht="57.6" x14ac:dyDescent="0.3">
      <c r="A125" s="41" t="s">
        <v>836</v>
      </c>
      <c r="B125" s="41" t="s">
        <v>1051</v>
      </c>
      <c r="C125" s="41" t="s">
        <v>1070</v>
      </c>
      <c r="D125" s="41" t="s">
        <v>1071</v>
      </c>
      <c r="E125" s="41" t="s">
        <v>1073</v>
      </c>
      <c r="F125" s="41" t="s">
        <v>709</v>
      </c>
      <c r="G125" s="41">
        <v>35000</v>
      </c>
      <c r="H125" s="41">
        <v>50</v>
      </c>
      <c r="I125" s="41">
        <v>1</v>
      </c>
      <c r="J125" s="41">
        <f t="shared" si="13"/>
        <v>1750000</v>
      </c>
      <c r="K125" s="41">
        <v>50</v>
      </c>
      <c r="L125" s="41">
        <v>1</v>
      </c>
      <c r="M125" s="41">
        <f t="shared" si="14"/>
        <v>1925000</v>
      </c>
      <c r="N125" s="41">
        <v>50</v>
      </c>
      <c r="O125" s="41">
        <v>1</v>
      </c>
      <c r="P125" s="41">
        <f t="shared" si="15"/>
        <v>2117500.0000000005</v>
      </c>
      <c r="Q125" s="41">
        <v>50</v>
      </c>
      <c r="R125" s="41">
        <v>1</v>
      </c>
      <c r="S125" s="41">
        <f t="shared" si="16"/>
        <v>2329250.0000000009</v>
      </c>
      <c r="T125" s="41">
        <v>50</v>
      </c>
      <c r="U125" s="41">
        <v>1</v>
      </c>
      <c r="V125" s="41">
        <f t="shared" si="17"/>
        <v>2562175.0000000009</v>
      </c>
      <c r="W125" s="41">
        <v>50</v>
      </c>
      <c r="X125" s="41">
        <v>1</v>
      </c>
      <c r="Y125" s="41">
        <f t="shared" si="18"/>
        <v>2818392.5000000009</v>
      </c>
      <c r="Z125" s="41">
        <v>50</v>
      </c>
      <c r="AA125" s="41">
        <v>1</v>
      </c>
      <c r="AB125" s="41">
        <f t="shared" si="19"/>
        <v>3100231.7500000014</v>
      </c>
      <c r="AC125" s="41">
        <v>50</v>
      </c>
      <c r="AD125" s="41">
        <v>1</v>
      </c>
      <c r="AE125" s="41">
        <f t="shared" si="20"/>
        <v>3410254.9250000017</v>
      </c>
      <c r="AF125" s="28">
        <f t="shared" si="11"/>
        <v>20012804.175000008</v>
      </c>
      <c r="AG125" s="28">
        <f t="shared" si="12"/>
        <v>19429.906966019425</v>
      </c>
    </row>
    <row r="126" spans="1:33" ht="57.6" x14ac:dyDescent="0.3">
      <c r="A126" s="41" t="s">
        <v>836</v>
      </c>
      <c r="B126" s="41" t="s">
        <v>1051</v>
      </c>
      <c r="C126" s="41" t="s">
        <v>1070</v>
      </c>
      <c r="D126" s="41" t="s">
        <v>1071</v>
      </c>
      <c r="E126" s="41" t="s">
        <v>1074</v>
      </c>
      <c r="F126" s="41" t="s">
        <v>841</v>
      </c>
      <c r="G126" s="41">
        <v>0</v>
      </c>
      <c r="H126" s="41">
        <v>50</v>
      </c>
      <c r="I126" s="41">
        <v>1</v>
      </c>
      <c r="J126" s="41">
        <f t="shared" si="13"/>
        <v>0</v>
      </c>
      <c r="K126" s="41">
        <v>0</v>
      </c>
      <c r="L126" s="41">
        <v>0</v>
      </c>
      <c r="M126" s="41">
        <f t="shared" si="14"/>
        <v>0</v>
      </c>
      <c r="N126" s="41">
        <v>0</v>
      </c>
      <c r="O126" s="41">
        <v>0</v>
      </c>
      <c r="P126" s="41">
        <f t="shared" si="15"/>
        <v>0</v>
      </c>
      <c r="Q126" s="41">
        <v>0</v>
      </c>
      <c r="R126" s="41">
        <v>0</v>
      </c>
      <c r="S126" s="41">
        <f t="shared" si="16"/>
        <v>0</v>
      </c>
      <c r="T126" s="41">
        <v>0</v>
      </c>
      <c r="U126" s="41">
        <v>0</v>
      </c>
      <c r="V126" s="41">
        <f t="shared" si="17"/>
        <v>0</v>
      </c>
      <c r="W126" s="41">
        <v>0</v>
      </c>
      <c r="X126" s="41">
        <v>0</v>
      </c>
      <c r="Y126" s="41">
        <f t="shared" si="18"/>
        <v>0</v>
      </c>
      <c r="Z126" s="41">
        <v>0</v>
      </c>
      <c r="AA126" s="41">
        <v>0</v>
      </c>
      <c r="AB126" s="41">
        <f t="shared" si="19"/>
        <v>0</v>
      </c>
      <c r="AC126" s="41">
        <v>0</v>
      </c>
      <c r="AD126" s="41">
        <v>0</v>
      </c>
      <c r="AE126" s="41">
        <f t="shared" si="20"/>
        <v>0</v>
      </c>
      <c r="AF126" s="28">
        <f t="shared" si="11"/>
        <v>0</v>
      </c>
      <c r="AG126" s="28">
        <f t="shared" si="12"/>
        <v>0</v>
      </c>
    </row>
    <row r="127" spans="1:33" ht="57.6" x14ac:dyDescent="0.3">
      <c r="A127" s="41" t="s">
        <v>836</v>
      </c>
      <c r="B127" s="41" t="s">
        <v>1051</v>
      </c>
      <c r="C127" s="41" t="s">
        <v>1070</v>
      </c>
      <c r="D127" s="41" t="s">
        <v>1071</v>
      </c>
      <c r="E127" s="41" t="s">
        <v>1075</v>
      </c>
      <c r="F127" s="41" t="s">
        <v>709</v>
      </c>
      <c r="G127" s="41">
        <v>35000</v>
      </c>
      <c r="H127" s="41">
        <v>30</v>
      </c>
      <c r="I127" s="41">
        <v>5</v>
      </c>
      <c r="J127" s="41">
        <f t="shared" si="13"/>
        <v>5250000</v>
      </c>
      <c r="K127" s="41">
        <v>30</v>
      </c>
      <c r="L127" s="41">
        <v>5</v>
      </c>
      <c r="M127" s="41">
        <f t="shared" si="14"/>
        <v>5775000</v>
      </c>
      <c r="N127" s="41">
        <v>30</v>
      </c>
      <c r="O127" s="41">
        <v>5</v>
      </c>
      <c r="P127" s="41">
        <f t="shared" si="15"/>
        <v>6352500.0000000009</v>
      </c>
      <c r="Q127" s="41">
        <v>30</v>
      </c>
      <c r="R127" s="41">
        <v>5</v>
      </c>
      <c r="S127" s="41">
        <f t="shared" si="16"/>
        <v>6987750.0000000019</v>
      </c>
      <c r="T127" s="41">
        <v>30</v>
      </c>
      <c r="U127" s="41">
        <v>5</v>
      </c>
      <c r="V127" s="41">
        <f t="shared" si="17"/>
        <v>7686525.0000000019</v>
      </c>
      <c r="W127" s="41">
        <v>30</v>
      </c>
      <c r="X127" s="41">
        <v>5</v>
      </c>
      <c r="Y127" s="41">
        <f t="shared" si="18"/>
        <v>8455177.5000000037</v>
      </c>
      <c r="Z127" s="41">
        <v>30</v>
      </c>
      <c r="AA127" s="41">
        <v>5</v>
      </c>
      <c r="AB127" s="41">
        <f t="shared" si="19"/>
        <v>9300695.2500000056</v>
      </c>
      <c r="AC127" s="41">
        <v>30</v>
      </c>
      <c r="AD127" s="41">
        <v>5</v>
      </c>
      <c r="AE127" s="41">
        <f t="shared" si="20"/>
        <v>10230764.775000006</v>
      </c>
      <c r="AF127" s="28">
        <f t="shared" si="11"/>
        <v>60038412.525000013</v>
      </c>
      <c r="AG127" s="28">
        <f t="shared" si="12"/>
        <v>58289.720898058265</v>
      </c>
    </row>
    <row r="128" spans="1:33" ht="57.6" x14ac:dyDescent="0.3">
      <c r="A128" s="41" t="s">
        <v>836</v>
      </c>
      <c r="B128" s="41" t="s">
        <v>1051</v>
      </c>
      <c r="C128" s="41" t="s">
        <v>1070</v>
      </c>
      <c r="D128" s="41" t="s">
        <v>1071</v>
      </c>
      <c r="E128" s="41" t="s">
        <v>1075</v>
      </c>
      <c r="F128" s="41" t="s">
        <v>716</v>
      </c>
      <c r="G128" s="41">
        <v>39000</v>
      </c>
      <c r="H128" s="41">
        <v>30</v>
      </c>
      <c r="I128" s="41">
        <v>6</v>
      </c>
      <c r="J128" s="41">
        <f t="shared" si="13"/>
        <v>7020000</v>
      </c>
      <c r="K128" s="41">
        <v>30</v>
      </c>
      <c r="L128" s="41">
        <v>6</v>
      </c>
      <c r="M128" s="41">
        <f t="shared" si="14"/>
        <v>7722000</v>
      </c>
      <c r="N128" s="41">
        <v>30</v>
      </c>
      <c r="O128" s="41">
        <v>6</v>
      </c>
      <c r="P128" s="41">
        <f t="shared" si="15"/>
        <v>8494200.0000000019</v>
      </c>
      <c r="Q128" s="41">
        <v>30</v>
      </c>
      <c r="R128" s="41">
        <v>6</v>
      </c>
      <c r="S128" s="41">
        <f t="shared" si="16"/>
        <v>9343620.0000000037</v>
      </c>
      <c r="T128" s="41">
        <v>30</v>
      </c>
      <c r="U128" s="41">
        <v>6</v>
      </c>
      <c r="V128" s="41">
        <f t="shared" si="17"/>
        <v>10277982.000000004</v>
      </c>
      <c r="W128" s="41">
        <v>30</v>
      </c>
      <c r="X128" s="41">
        <v>6</v>
      </c>
      <c r="Y128" s="41">
        <f t="shared" si="18"/>
        <v>11305780.200000003</v>
      </c>
      <c r="Z128" s="41">
        <v>30</v>
      </c>
      <c r="AA128" s="41">
        <v>6</v>
      </c>
      <c r="AB128" s="41">
        <f t="shared" si="19"/>
        <v>12436358.220000004</v>
      </c>
      <c r="AC128" s="41">
        <v>30</v>
      </c>
      <c r="AD128" s="41">
        <v>6</v>
      </c>
      <c r="AE128" s="41">
        <f t="shared" si="20"/>
        <v>13679994.042000007</v>
      </c>
      <c r="AF128" s="28">
        <f t="shared" si="11"/>
        <v>80279934.462000027</v>
      </c>
      <c r="AG128" s="28">
        <f t="shared" si="12"/>
        <v>77941.68394368935</v>
      </c>
    </row>
    <row r="129" spans="1:33" ht="57.6" x14ac:dyDescent="0.3">
      <c r="A129" s="41" t="s">
        <v>836</v>
      </c>
      <c r="B129" s="41" t="s">
        <v>1051</v>
      </c>
      <c r="C129" s="41" t="s">
        <v>1070</v>
      </c>
      <c r="D129" s="41" t="s">
        <v>1071</v>
      </c>
      <c r="E129" s="41" t="s">
        <v>1075</v>
      </c>
      <c r="F129" s="41" t="s">
        <v>712</v>
      </c>
      <c r="G129" s="41">
        <f>1999.2/7</f>
        <v>285.60000000000002</v>
      </c>
      <c r="H129" s="41">
        <f>2*25*9</f>
        <v>450</v>
      </c>
      <c r="I129" s="41">
        <v>5</v>
      </c>
      <c r="J129" s="41">
        <f t="shared" si="13"/>
        <v>642600.00000000012</v>
      </c>
      <c r="K129" s="41">
        <f>2*25*9</f>
        <v>450</v>
      </c>
      <c r="L129" s="41">
        <v>5</v>
      </c>
      <c r="M129" s="41">
        <f t="shared" si="14"/>
        <v>706860</v>
      </c>
      <c r="N129" s="41">
        <f>2*25*9</f>
        <v>450</v>
      </c>
      <c r="O129" s="41">
        <v>5</v>
      </c>
      <c r="P129" s="41">
        <f t="shared" si="15"/>
        <v>777546.00000000023</v>
      </c>
      <c r="Q129" s="41">
        <f>2*25*9</f>
        <v>450</v>
      </c>
      <c r="R129" s="41">
        <v>5</v>
      </c>
      <c r="S129" s="41">
        <f t="shared" si="16"/>
        <v>855300.60000000044</v>
      </c>
      <c r="T129" s="41">
        <f>2*25*9</f>
        <v>450</v>
      </c>
      <c r="U129" s="41">
        <v>5</v>
      </c>
      <c r="V129" s="41">
        <f t="shared" si="17"/>
        <v>940830.66000000038</v>
      </c>
      <c r="W129" s="41">
        <f>2*25*9</f>
        <v>450</v>
      </c>
      <c r="X129" s="41">
        <v>5</v>
      </c>
      <c r="Y129" s="41">
        <f t="shared" si="18"/>
        <v>1034913.7260000005</v>
      </c>
      <c r="Z129" s="41">
        <f>2*25*9</f>
        <v>450</v>
      </c>
      <c r="AA129" s="41">
        <v>5</v>
      </c>
      <c r="AB129" s="41">
        <f t="shared" si="19"/>
        <v>1138405.0986000006</v>
      </c>
      <c r="AC129" s="41">
        <f>2*25*9</f>
        <v>450</v>
      </c>
      <c r="AD129" s="41">
        <v>5</v>
      </c>
      <c r="AE129" s="41">
        <f t="shared" si="20"/>
        <v>1252245.6084600009</v>
      </c>
      <c r="AF129" s="28">
        <f t="shared" si="11"/>
        <v>7348701.6930600023</v>
      </c>
      <c r="AG129" s="28">
        <f t="shared" si="12"/>
        <v>7134.6618379223319</v>
      </c>
    </row>
    <row r="130" spans="1:33" ht="57.6" x14ac:dyDescent="0.3">
      <c r="A130" s="41" t="s">
        <v>836</v>
      </c>
      <c r="B130" s="41" t="s">
        <v>1051</v>
      </c>
      <c r="C130" s="41" t="s">
        <v>1070</v>
      </c>
      <c r="D130" s="41" t="s">
        <v>1071</v>
      </c>
      <c r="E130" s="41" t="s">
        <v>1075</v>
      </c>
      <c r="F130" s="41" t="s">
        <v>1320</v>
      </c>
      <c r="G130" s="41">
        <f>1999.2/7</f>
        <v>285.60000000000002</v>
      </c>
      <c r="H130" s="41">
        <f>2*135*9</f>
        <v>2430</v>
      </c>
      <c r="I130" s="41">
        <v>1</v>
      </c>
      <c r="J130" s="41">
        <f t="shared" si="13"/>
        <v>694008</v>
      </c>
      <c r="K130" s="41">
        <f>2*135*9</f>
        <v>2430</v>
      </c>
      <c r="L130" s="41">
        <v>1</v>
      </c>
      <c r="M130" s="41"/>
      <c r="N130" s="41">
        <f>2*135*9</f>
        <v>2430</v>
      </c>
      <c r="O130" s="41">
        <v>1</v>
      </c>
      <c r="P130" s="41"/>
      <c r="Q130" s="41">
        <f>2*135*9</f>
        <v>2430</v>
      </c>
      <c r="R130" s="41">
        <v>1</v>
      </c>
      <c r="S130" s="41"/>
      <c r="T130" s="41">
        <f>2*135*9</f>
        <v>2430</v>
      </c>
      <c r="U130" s="41">
        <v>1</v>
      </c>
      <c r="V130" s="41"/>
      <c r="W130" s="41">
        <f>2*135*9</f>
        <v>2430</v>
      </c>
      <c r="X130" s="41">
        <v>1</v>
      </c>
      <c r="Y130" s="41"/>
      <c r="Z130" s="41">
        <f>2*135*9</f>
        <v>2430</v>
      </c>
      <c r="AA130" s="41">
        <v>1</v>
      </c>
      <c r="AB130" s="41"/>
      <c r="AC130" s="41">
        <f>2*135*9</f>
        <v>2430</v>
      </c>
      <c r="AD130" s="41">
        <v>1</v>
      </c>
      <c r="AE130" s="41"/>
      <c r="AF130" s="28">
        <f t="shared" si="11"/>
        <v>694008</v>
      </c>
      <c r="AG130" s="28">
        <f t="shared" si="12"/>
        <v>673.79417475728155</v>
      </c>
    </row>
    <row r="131" spans="1:33" ht="57.6" x14ac:dyDescent="0.3">
      <c r="A131" s="41" t="s">
        <v>836</v>
      </c>
      <c r="B131" s="41" t="s">
        <v>1051</v>
      </c>
      <c r="C131" s="41" t="s">
        <v>1070</v>
      </c>
      <c r="D131" s="41" t="s">
        <v>1071</v>
      </c>
      <c r="E131" s="41" t="s">
        <v>869</v>
      </c>
      <c r="F131" s="41" t="s">
        <v>841</v>
      </c>
      <c r="G131" s="41">
        <v>0</v>
      </c>
      <c r="H131" s="41">
        <v>0</v>
      </c>
      <c r="I131" s="41">
        <v>0</v>
      </c>
      <c r="J131" s="41">
        <f t="shared" si="13"/>
        <v>0</v>
      </c>
      <c r="K131" s="41">
        <v>0</v>
      </c>
      <c r="L131" s="41">
        <v>0</v>
      </c>
      <c r="M131" s="41">
        <f t="shared" si="14"/>
        <v>0</v>
      </c>
      <c r="N131" s="41">
        <v>0</v>
      </c>
      <c r="O131" s="41">
        <v>0</v>
      </c>
      <c r="P131" s="41">
        <f t="shared" si="15"/>
        <v>0</v>
      </c>
      <c r="Q131" s="41">
        <v>0</v>
      </c>
      <c r="R131" s="41">
        <v>0</v>
      </c>
      <c r="S131" s="41">
        <f t="shared" si="16"/>
        <v>0</v>
      </c>
      <c r="T131" s="41">
        <v>0</v>
      </c>
      <c r="U131" s="41">
        <v>0</v>
      </c>
      <c r="V131" s="41">
        <f t="shared" si="17"/>
        <v>0</v>
      </c>
      <c r="W131" s="41">
        <v>0</v>
      </c>
      <c r="X131" s="41">
        <v>0</v>
      </c>
      <c r="Y131" s="41">
        <f t="shared" si="18"/>
        <v>0</v>
      </c>
      <c r="Z131" s="41">
        <v>0</v>
      </c>
      <c r="AA131" s="41">
        <v>0</v>
      </c>
      <c r="AB131" s="41">
        <f t="shared" si="19"/>
        <v>0</v>
      </c>
      <c r="AC131" s="41">
        <v>0</v>
      </c>
      <c r="AD131" s="41">
        <v>0</v>
      </c>
      <c r="AE131" s="41">
        <f t="shared" si="20"/>
        <v>0</v>
      </c>
      <c r="AF131" s="28">
        <f>J131+M131+P131+S131+V131+Y131+AB131+AE131</f>
        <v>0</v>
      </c>
      <c r="AG131" s="28">
        <f>AF131/$AL$2</f>
        <v>0</v>
      </c>
    </row>
    <row r="132" spans="1:33" ht="57.6" x14ac:dyDescent="0.3">
      <c r="A132" s="41" t="s">
        <v>836</v>
      </c>
      <c r="B132" s="41" t="s">
        <v>1051</v>
      </c>
      <c r="C132" s="41" t="s">
        <v>1070</v>
      </c>
      <c r="D132" s="41" t="s">
        <v>1071</v>
      </c>
      <c r="E132" s="41" t="s">
        <v>946</v>
      </c>
      <c r="F132" s="41" t="s">
        <v>841</v>
      </c>
      <c r="G132" s="41">
        <v>0</v>
      </c>
      <c r="H132" s="41">
        <v>0</v>
      </c>
      <c r="I132" s="41">
        <v>0</v>
      </c>
      <c r="J132" s="41">
        <f t="shared" si="13"/>
        <v>0</v>
      </c>
      <c r="K132" s="41">
        <v>0</v>
      </c>
      <c r="L132" s="41">
        <v>0</v>
      </c>
      <c r="M132" s="41">
        <f t="shared" si="14"/>
        <v>0</v>
      </c>
      <c r="N132" s="41">
        <v>0</v>
      </c>
      <c r="O132" s="41">
        <v>0</v>
      </c>
      <c r="P132" s="41">
        <f t="shared" si="15"/>
        <v>0</v>
      </c>
      <c r="Q132" s="41">
        <v>0</v>
      </c>
      <c r="R132" s="41">
        <v>0</v>
      </c>
      <c r="S132" s="41">
        <f t="shared" si="16"/>
        <v>0</v>
      </c>
      <c r="T132" s="41">
        <v>0</v>
      </c>
      <c r="U132" s="41">
        <v>0</v>
      </c>
      <c r="V132" s="41">
        <f t="shared" si="17"/>
        <v>0</v>
      </c>
      <c r="W132" s="41">
        <v>0</v>
      </c>
      <c r="X132" s="41">
        <v>0</v>
      </c>
      <c r="Y132" s="41">
        <f t="shared" si="18"/>
        <v>0</v>
      </c>
      <c r="Z132" s="41">
        <v>0</v>
      </c>
      <c r="AA132" s="41">
        <v>0</v>
      </c>
      <c r="AB132" s="41">
        <f t="shared" si="19"/>
        <v>0</v>
      </c>
      <c r="AC132" s="41">
        <v>0</v>
      </c>
      <c r="AD132" s="41">
        <v>0</v>
      </c>
      <c r="AE132" s="41">
        <f t="shared" si="20"/>
        <v>0</v>
      </c>
      <c r="AF132" s="28">
        <f>J132+M132+P132+S132+V132+Y132+AB132+AE132</f>
        <v>0</v>
      </c>
      <c r="AG132" s="28">
        <f>AF132/$AL$2</f>
        <v>0</v>
      </c>
    </row>
    <row r="133" spans="1:33" x14ac:dyDescent="0.3">
      <c r="A133" s="63" t="s">
        <v>1658</v>
      </c>
      <c r="B133" s="63"/>
      <c r="C133" s="63"/>
      <c r="D133" s="63"/>
      <c r="E133" s="63"/>
      <c r="F133" s="63"/>
      <c r="G133" s="63"/>
      <c r="H133" s="63"/>
      <c r="I133" s="63"/>
      <c r="J133" s="63">
        <f>SUM(J101:J132)</f>
        <v>97755094.150000006</v>
      </c>
      <c r="K133" s="63"/>
      <c r="L133" s="63"/>
      <c r="M133" s="63"/>
      <c r="N133" s="63"/>
      <c r="O133" s="63"/>
      <c r="P133" s="63"/>
      <c r="Q133" s="63"/>
      <c r="R133" s="63"/>
      <c r="S133" s="63"/>
      <c r="T133" s="63"/>
      <c r="U133" s="63"/>
      <c r="V133" s="63"/>
      <c r="W133" s="63"/>
      <c r="X133" s="63"/>
      <c r="Y133" s="63"/>
      <c r="Z133" s="63"/>
      <c r="AA133" s="63"/>
      <c r="AB133" s="63"/>
      <c r="AC133" s="63"/>
      <c r="AD133" s="63"/>
      <c r="AE133" s="63"/>
      <c r="AF133" s="28"/>
      <c r="AG133" s="28"/>
    </row>
    <row r="134" spans="1:33" s="94" customFormat="1" x14ac:dyDescent="0.3">
      <c r="A134" s="91" t="s">
        <v>1659</v>
      </c>
      <c r="J134" s="91">
        <f>J133/$AL$2</f>
        <v>94907.858398058263</v>
      </c>
      <c r="M134" s="91"/>
      <c r="P134" s="91"/>
      <c r="S134" s="91"/>
      <c r="V134" s="91"/>
      <c r="Y134" s="91"/>
      <c r="AB134" s="91"/>
      <c r="AE134" s="91"/>
      <c r="AF134" s="91"/>
      <c r="AG134" s="91"/>
    </row>
    <row r="135" spans="1:33" x14ac:dyDescent="0.3">
      <c r="A135" t="s">
        <v>836</v>
      </c>
      <c r="B135" t="s">
        <v>1051</v>
      </c>
      <c r="C135" t="s">
        <v>1660</v>
      </c>
      <c r="E135" t="s">
        <v>1661</v>
      </c>
      <c r="F135" t="s">
        <v>718</v>
      </c>
      <c r="G135">
        <v>0</v>
      </c>
      <c r="J135">
        <f>G135*H135*I135</f>
        <v>0</v>
      </c>
    </row>
    <row r="136" spans="1:33" x14ac:dyDescent="0.3">
      <c r="A136" t="s">
        <v>836</v>
      </c>
      <c r="B136" t="s">
        <v>1051</v>
      </c>
      <c r="C136" t="s">
        <v>1660</v>
      </c>
      <c r="E136" t="s">
        <v>1055</v>
      </c>
      <c r="F136" t="s">
        <v>1662</v>
      </c>
      <c r="G136">
        <v>35000</v>
      </c>
      <c r="H136">
        <v>15</v>
      </c>
      <c r="I136">
        <v>2</v>
      </c>
      <c r="J136">
        <f t="shared" ref="J136:J151" si="21">G136*H136*I136</f>
        <v>1050000</v>
      </c>
    </row>
    <row r="137" spans="1:33" x14ac:dyDescent="0.3">
      <c r="A137" t="s">
        <v>836</v>
      </c>
      <c r="B137" t="s">
        <v>1051</v>
      </c>
      <c r="C137" t="s">
        <v>1660</v>
      </c>
      <c r="E137" t="s">
        <v>1055</v>
      </c>
      <c r="F137" t="s">
        <v>716</v>
      </c>
      <c r="G137">
        <v>39000</v>
      </c>
      <c r="H137">
        <v>15</v>
      </c>
      <c r="I137">
        <v>3</v>
      </c>
      <c r="J137">
        <f t="shared" si="21"/>
        <v>1755000</v>
      </c>
    </row>
    <row r="138" spans="1:33" x14ac:dyDescent="0.3">
      <c r="A138" t="s">
        <v>836</v>
      </c>
      <c r="B138" t="s">
        <v>1051</v>
      </c>
      <c r="C138" t="s">
        <v>1660</v>
      </c>
      <c r="E138" t="s">
        <v>1055</v>
      </c>
      <c r="F138" t="s">
        <v>712</v>
      </c>
      <c r="G138">
        <f>1999.2/7</f>
        <v>285.60000000000002</v>
      </c>
      <c r="H138">
        <f>2*25*9</f>
        <v>450</v>
      </c>
      <c r="I138">
        <v>2</v>
      </c>
      <c r="J138">
        <f t="shared" si="21"/>
        <v>257040.00000000003</v>
      </c>
    </row>
    <row r="139" spans="1:33" x14ac:dyDescent="0.3">
      <c r="A139" t="s">
        <v>836</v>
      </c>
      <c r="B139" t="s">
        <v>1051</v>
      </c>
      <c r="C139" t="s">
        <v>1660</v>
      </c>
      <c r="E139" t="s">
        <v>1055</v>
      </c>
      <c r="F139" t="s">
        <v>1320</v>
      </c>
      <c r="G139">
        <f>1999.2/7</f>
        <v>285.60000000000002</v>
      </c>
      <c r="H139">
        <f>2*135*9</f>
        <v>2430</v>
      </c>
      <c r="I139">
        <v>1</v>
      </c>
      <c r="J139">
        <f>G139*H139*I139</f>
        <v>694008</v>
      </c>
    </row>
    <row r="140" spans="1:33" x14ac:dyDescent="0.3">
      <c r="A140" t="s">
        <v>836</v>
      </c>
      <c r="B140" t="s">
        <v>1051</v>
      </c>
      <c r="C140" t="s">
        <v>1660</v>
      </c>
      <c r="E140" t="s">
        <v>1663</v>
      </c>
      <c r="F140" t="s">
        <v>1662</v>
      </c>
      <c r="G140">
        <v>35000</v>
      </c>
      <c r="H140">
        <v>15</v>
      </c>
      <c r="I140">
        <v>4</v>
      </c>
      <c r="J140">
        <f t="shared" si="21"/>
        <v>2100000</v>
      </c>
    </row>
    <row r="141" spans="1:33" x14ac:dyDescent="0.3">
      <c r="A141" t="s">
        <v>836</v>
      </c>
      <c r="B141" t="s">
        <v>1051</v>
      </c>
      <c r="C141" t="s">
        <v>1660</v>
      </c>
      <c r="E141" t="s">
        <v>1663</v>
      </c>
      <c r="F141" t="s">
        <v>716</v>
      </c>
      <c r="G141">
        <v>39000</v>
      </c>
      <c r="H141">
        <v>15</v>
      </c>
      <c r="I141">
        <v>5</v>
      </c>
      <c r="J141">
        <f t="shared" si="21"/>
        <v>2925000</v>
      </c>
    </row>
    <row r="142" spans="1:33" x14ac:dyDescent="0.3">
      <c r="A142" t="s">
        <v>836</v>
      </c>
      <c r="B142" t="s">
        <v>1051</v>
      </c>
      <c r="C142" t="s">
        <v>1660</v>
      </c>
      <c r="E142" t="s">
        <v>1663</v>
      </c>
      <c r="F142" t="s">
        <v>712</v>
      </c>
      <c r="G142">
        <f>1999.2/7</f>
        <v>285.60000000000002</v>
      </c>
      <c r="H142">
        <f>2*25*9</f>
        <v>450</v>
      </c>
      <c r="I142">
        <v>4</v>
      </c>
      <c r="J142">
        <f t="shared" si="21"/>
        <v>514080.00000000006</v>
      </c>
    </row>
    <row r="143" spans="1:33" x14ac:dyDescent="0.3">
      <c r="A143" t="s">
        <v>836</v>
      </c>
      <c r="B143" t="s">
        <v>1051</v>
      </c>
      <c r="C143" t="s">
        <v>1660</v>
      </c>
      <c r="E143" t="s">
        <v>1663</v>
      </c>
      <c r="F143" t="s">
        <v>1320</v>
      </c>
      <c r="G143">
        <f>1999.2/7</f>
        <v>285.60000000000002</v>
      </c>
      <c r="H143">
        <f>2*135*9</f>
        <v>2430</v>
      </c>
      <c r="I143">
        <v>1</v>
      </c>
      <c r="J143">
        <f t="shared" si="21"/>
        <v>694008</v>
      </c>
    </row>
    <row r="144" spans="1:33" x14ac:dyDescent="0.3">
      <c r="A144" t="s">
        <v>836</v>
      </c>
      <c r="B144" t="s">
        <v>1051</v>
      </c>
      <c r="C144" t="s">
        <v>1660</v>
      </c>
      <c r="E144" t="s">
        <v>1664</v>
      </c>
      <c r="F144" t="s">
        <v>1662</v>
      </c>
      <c r="G144">
        <v>35000</v>
      </c>
      <c r="H144">
        <v>15</v>
      </c>
      <c r="I144">
        <v>2</v>
      </c>
      <c r="J144">
        <f t="shared" si="21"/>
        <v>1050000</v>
      </c>
    </row>
    <row r="145" spans="1:10" x14ac:dyDescent="0.3">
      <c r="A145" t="s">
        <v>836</v>
      </c>
      <c r="B145" t="s">
        <v>1051</v>
      </c>
      <c r="C145" t="s">
        <v>1660</v>
      </c>
      <c r="E145" t="s">
        <v>1664</v>
      </c>
      <c r="F145" t="s">
        <v>716</v>
      </c>
      <c r="G145">
        <v>39000</v>
      </c>
      <c r="H145">
        <v>15</v>
      </c>
      <c r="I145">
        <v>3</v>
      </c>
      <c r="J145">
        <f t="shared" si="21"/>
        <v>1755000</v>
      </c>
    </row>
    <row r="146" spans="1:10" x14ac:dyDescent="0.3">
      <c r="A146" t="s">
        <v>836</v>
      </c>
      <c r="B146" t="s">
        <v>1051</v>
      </c>
      <c r="C146" t="s">
        <v>1660</v>
      </c>
      <c r="E146" t="s">
        <v>1664</v>
      </c>
      <c r="F146" t="s">
        <v>712</v>
      </c>
      <c r="G146">
        <f>1999.2/7</f>
        <v>285.60000000000002</v>
      </c>
      <c r="H146">
        <f>2*25*9</f>
        <v>450</v>
      </c>
      <c r="I146">
        <v>2</v>
      </c>
      <c r="J146">
        <f t="shared" si="21"/>
        <v>257040.00000000003</v>
      </c>
    </row>
    <row r="147" spans="1:10" x14ac:dyDescent="0.3">
      <c r="A147" t="s">
        <v>836</v>
      </c>
      <c r="B147" t="s">
        <v>1051</v>
      </c>
      <c r="C147" t="s">
        <v>1660</v>
      </c>
      <c r="E147" t="s">
        <v>1664</v>
      </c>
      <c r="F147" t="s">
        <v>1320</v>
      </c>
      <c r="G147">
        <f>1999.2/7</f>
        <v>285.60000000000002</v>
      </c>
      <c r="H147">
        <f>2*135*9</f>
        <v>2430</v>
      </c>
      <c r="I147">
        <v>1</v>
      </c>
      <c r="J147">
        <f t="shared" si="21"/>
        <v>694008</v>
      </c>
    </row>
    <row r="148" spans="1:10" x14ac:dyDescent="0.3">
      <c r="A148" t="s">
        <v>836</v>
      </c>
      <c r="B148" t="s">
        <v>1051</v>
      </c>
      <c r="C148" t="s">
        <v>1660</v>
      </c>
      <c r="E148" t="s">
        <v>1665</v>
      </c>
      <c r="F148" t="s">
        <v>1662</v>
      </c>
      <c r="G148">
        <v>35000</v>
      </c>
      <c r="H148">
        <v>15</v>
      </c>
      <c r="I148">
        <v>1</v>
      </c>
      <c r="J148">
        <f t="shared" si="21"/>
        <v>525000</v>
      </c>
    </row>
    <row r="149" spans="1:10" x14ac:dyDescent="0.3">
      <c r="A149" t="s">
        <v>836</v>
      </c>
      <c r="B149" t="s">
        <v>1051</v>
      </c>
      <c r="C149" t="s">
        <v>1660</v>
      </c>
      <c r="E149" t="s">
        <v>1666</v>
      </c>
      <c r="F149" t="s">
        <v>716</v>
      </c>
      <c r="G149">
        <v>39000</v>
      </c>
      <c r="H149">
        <v>15</v>
      </c>
      <c r="I149">
        <v>10</v>
      </c>
      <c r="J149">
        <f t="shared" si="21"/>
        <v>5850000</v>
      </c>
    </row>
    <row r="150" spans="1:10" x14ac:dyDescent="0.3">
      <c r="A150" t="s">
        <v>836</v>
      </c>
      <c r="B150" t="s">
        <v>1051</v>
      </c>
      <c r="C150" t="s">
        <v>1660</v>
      </c>
      <c r="E150" t="s">
        <v>1666</v>
      </c>
      <c r="F150" t="s">
        <v>712</v>
      </c>
      <c r="G150">
        <f>1999.2/7</f>
        <v>285.60000000000002</v>
      </c>
      <c r="H150">
        <f>2*25*9</f>
        <v>450</v>
      </c>
      <c r="I150">
        <v>10</v>
      </c>
      <c r="J150">
        <f t="shared" si="21"/>
        <v>1285200.0000000002</v>
      </c>
    </row>
    <row r="151" spans="1:10" x14ac:dyDescent="0.3">
      <c r="A151" t="s">
        <v>836</v>
      </c>
      <c r="B151" t="s">
        <v>1051</v>
      </c>
      <c r="C151" t="s">
        <v>1660</v>
      </c>
      <c r="E151" t="s">
        <v>1666</v>
      </c>
      <c r="F151" t="s">
        <v>1320</v>
      </c>
      <c r="G151">
        <f>1999.2/7</f>
        <v>285.60000000000002</v>
      </c>
      <c r="H151">
        <v>17376</v>
      </c>
      <c r="I151">
        <v>1</v>
      </c>
      <c r="J151">
        <f t="shared" si="21"/>
        <v>4962585.6000000006</v>
      </c>
    </row>
    <row r="152" spans="1:10" x14ac:dyDescent="0.3">
      <c r="A152" t="s">
        <v>1409</v>
      </c>
      <c r="J152">
        <f>SUM(J135:J151)</f>
        <v>26367969.600000001</v>
      </c>
    </row>
    <row r="153" spans="1:10" x14ac:dyDescent="0.3">
      <c r="A153" t="s">
        <v>1438</v>
      </c>
      <c r="J153">
        <f>J152/$AL$2</f>
        <v>25599.970485436894</v>
      </c>
    </row>
    <row r="154" spans="1:10" x14ac:dyDescent="0.3">
      <c r="A154" t="s">
        <v>836</v>
      </c>
      <c r="B154" t="s">
        <v>1051</v>
      </c>
      <c r="C154" t="s">
        <v>1667</v>
      </c>
      <c r="E154" t="s">
        <v>1668</v>
      </c>
      <c r="F154" t="s">
        <v>841</v>
      </c>
      <c r="J154">
        <f>G154*H154*I154</f>
        <v>0</v>
      </c>
    </row>
    <row r="155" spans="1:10" x14ac:dyDescent="0.3">
      <c r="A155" t="s">
        <v>836</v>
      </c>
      <c r="B155" t="s">
        <v>1051</v>
      </c>
      <c r="C155" t="s">
        <v>1667</v>
      </c>
      <c r="E155" t="s">
        <v>1055</v>
      </c>
      <c r="F155" t="s">
        <v>709</v>
      </c>
      <c r="G155">
        <v>35000</v>
      </c>
      <c r="H155">
        <v>25</v>
      </c>
      <c r="I155">
        <v>3</v>
      </c>
      <c r="J155">
        <f t="shared" ref="J155:J162" si="22">G155*H155*I155</f>
        <v>2625000</v>
      </c>
    </row>
    <row r="156" spans="1:10" x14ac:dyDescent="0.3">
      <c r="A156" t="s">
        <v>836</v>
      </c>
      <c r="B156" t="s">
        <v>1051</v>
      </c>
      <c r="C156" t="s">
        <v>1667</v>
      </c>
      <c r="E156" t="s">
        <v>1055</v>
      </c>
      <c r="F156" t="s">
        <v>716</v>
      </c>
      <c r="G156">
        <v>39000</v>
      </c>
      <c r="H156">
        <v>25</v>
      </c>
      <c r="I156">
        <v>4</v>
      </c>
      <c r="J156">
        <f t="shared" si="22"/>
        <v>3900000</v>
      </c>
    </row>
    <row r="157" spans="1:10" x14ac:dyDescent="0.3">
      <c r="A157" t="s">
        <v>836</v>
      </c>
      <c r="B157" t="s">
        <v>1051</v>
      </c>
      <c r="C157" t="s">
        <v>1667</v>
      </c>
      <c r="E157" t="s">
        <v>1055</v>
      </c>
      <c r="F157" t="s">
        <v>712</v>
      </c>
      <c r="G157">
        <f>1999.2/7</f>
        <v>285.60000000000002</v>
      </c>
      <c r="H157">
        <f>2*25*9</f>
        <v>450</v>
      </c>
      <c r="I157">
        <v>3</v>
      </c>
      <c r="J157">
        <f t="shared" si="22"/>
        <v>385560.00000000006</v>
      </c>
    </row>
    <row r="158" spans="1:10" x14ac:dyDescent="0.3">
      <c r="A158" t="s">
        <v>836</v>
      </c>
      <c r="B158" t="s">
        <v>1051</v>
      </c>
      <c r="C158" t="s">
        <v>1667</v>
      </c>
      <c r="E158" t="s">
        <v>1055</v>
      </c>
      <c r="F158" t="s">
        <v>1320</v>
      </c>
      <c r="G158">
        <f>1999.2/7</f>
        <v>285.60000000000002</v>
      </c>
      <c r="H158">
        <f>2*135*9</f>
        <v>2430</v>
      </c>
      <c r="I158">
        <v>1</v>
      </c>
      <c r="J158">
        <f t="shared" si="22"/>
        <v>694008</v>
      </c>
    </row>
    <row r="159" spans="1:10" x14ac:dyDescent="0.3">
      <c r="A159" t="s">
        <v>836</v>
      </c>
      <c r="B159" t="s">
        <v>1051</v>
      </c>
      <c r="C159" t="s">
        <v>1667</v>
      </c>
      <c r="E159" t="s">
        <v>149</v>
      </c>
      <c r="F159" t="s">
        <v>707</v>
      </c>
      <c r="G159">
        <v>391991.03749999998</v>
      </c>
      <c r="H159">
        <v>2</v>
      </c>
      <c r="I159">
        <v>2</v>
      </c>
      <c r="J159">
        <f t="shared" si="22"/>
        <v>1567964.15</v>
      </c>
    </row>
    <row r="160" spans="1:10" x14ac:dyDescent="0.3">
      <c r="A160" t="s">
        <v>836</v>
      </c>
      <c r="B160" t="s">
        <v>1051</v>
      </c>
      <c r="C160" t="s">
        <v>1667</v>
      </c>
      <c r="E160" t="s">
        <v>149</v>
      </c>
      <c r="F160" t="s">
        <v>708</v>
      </c>
      <c r="G160">
        <f>980*1030</f>
        <v>1009400</v>
      </c>
      <c r="H160">
        <v>1</v>
      </c>
      <c r="I160">
        <v>25</v>
      </c>
      <c r="J160">
        <f t="shared" si="22"/>
        <v>25235000</v>
      </c>
    </row>
    <row r="161" spans="1:33" x14ac:dyDescent="0.3">
      <c r="A161" t="s">
        <v>836</v>
      </c>
      <c r="B161" t="s">
        <v>1051</v>
      </c>
      <c r="C161" t="s">
        <v>1667</v>
      </c>
      <c r="E161" t="s">
        <v>1669</v>
      </c>
      <c r="F161" t="s">
        <v>709</v>
      </c>
      <c r="G161">
        <v>35000</v>
      </c>
      <c r="H161">
        <v>25</v>
      </c>
      <c r="I161">
        <v>1</v>
      </c>
      <c r="J161">
        <f t="shared" si="22"/>
        <v>875000</v>
      </c>
    </row>
    <row r="162" spans="1:33" x14ac:dyDescent="0.3">
      <c r="A162" t="s">
        <v>836</v>
      </c>
      <c r="B162" t="s">
        <v>1051</v>
      </c>
      <c r="C162" t="s">
        <v>1667</v>
      </c>
      <c r="E162" t="s">
        <v>1670</v>
      </c>
      <c r="F162" t="s">
        <v>709</v>
      </c>
      <c r="G162">
        <v>35000</v>
      </c>
      <c r="H162">
        <v>25</v>
      </c>
      <c r="I162">
        <v>1</v>
      </c>
      <c r="J162">
        <f t="shared" si="22"/>
        <v>875000</v>
      </c>
    </row>
    <row r="163" spans="1:33" x14ac:dyDescent="0.3">
      <c r="A163" t="s">
        <v>1302</v>
      </c>
      <c r="J163">
        <f>SUM(J101:J162)</f>
        <v>284524167.4788835</v>
      </c>
      <c r="M163">
        <f>SUM(M101:M132)</f>
        <v>73515640</v>
      </c>
      <c r="P163">
        <f>SUM(P101:P132)</f>
        <v>80867204.000000015</v>
      </c>
      <c r="S163">
        <f>SUM(S101:S132)</f>
        <v>88953924.400000006</v>
      </c>
      <c r="V163">
        <f>SUM(V101:V132)</f>
        <v>97849316.840000018</v>
      </c>
      <c r="Y163">
        <f>SUM(Y101:Y132)</f>
        <v>154082436.20727652</v>
      </c>
      <c r="AB163">
        <f>SUM(AB101:AB132)</f>
        <v>118397673.37640005</v>
      </c>
      <c r="AE163">
        <f>SUM(AE101:AE132)</f>
        <v>130237440.71404004</v>
      </c>
      <c r="AF163">
        <f>J163+M163+P163+S163+V163+Y163+AB163+AE163</f>
        <v>1028427803.0166001</v>
      </c>
      <c r="AG163">
        <f>AF163/$AL$2</f>
        <v>998473.59516174765</v>
      </c>
    </row>
    <row r="164" spans="1:33" x14ac:dyDescent="0.3">
      <c r="A164" t="s">
        <v>1427</v>
      </c>
      <c r="J164">
        <f>J163/$AL$2</f>
        <v>276237.05580474128</v>
      </c>
      <c r="M164">
        <f>M163/$AL$2</f>
        <v>71374.407766990291</v>
      </c>
      <c r="P164">
        <f>P163/$AL$2</f>
        <v>78511.848543689339</v>
      </c>
      <c r="S164">
        <f>S163/$AL$2</f>
        <v>86363.033398058265</v>
      </c>
      <c r="V164">
        <f>V163/$AL$2</f>
        <v>94999.336737864098</v>
      </c>
      <c r="Y164">
        <f>Y163/$AL$2</f>
        <v>149594.59825949176</v>
      </c>
      <c r="AB164">
        <f>AB163/$AL$2</f>
        <v>114949.19745281558</v>
      </c>
      <c r="AE164">
        <f>AE163/$AL$2</f>
        <v>126444.11719809713</v>
      </c>
      <c r="AF164">
        <f>AF163/$AL$2</f>
        <v>998473.59516174765</v>
      </c>
      <c r="AG164">
        <f>AG163/$AL$2</f>
        <v>969.39183996286181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Budget Summary</vt:lpstr>
      <vt:lpstr>Detailed budget</vt:lpstr>
      <vt:lpstr>Pivot Objective</vt:lpstr>
      <vt:lpstr>Pivot Strategy</vt:lpstr>
      <vt:lpstr>Pivot Activity and HSSP Output</vt:lpstr>
      <vt:lpstr>Aggregated</vt:lpstr>
      <vt:lpstr>Strategy 4.3.1.1 Atupere</vt:lpstr>
      <vt:lpstr>Strategy 4.3.1.2Lumbani</vt:lpstr>
      <vt:lpstr>Strategy 4.3.1.3</vt:lpstr>
      <vt:lpstr>Strategy 4.3.1.4</vt:lpstr>
      <vt:lpstr>Strategy 4.3.1.5</vt:lpstr>
      <vt:lpstr>Strategy 4.3.1.6</vt:lpstr>
      <vt:lpstr>Strategy 4.3.2.1Atupere</vt:lpstr>
      <vt:lpstr>Strategy 4.3.2.2Lumbani</vt:lpstr>
      <vt:lpstr>Strategy 4.3.2.3Atupele</vt:lpstr>
      <vt:lpstr>Strategy 4.3.3.1Atupele</vt:lpstr>
      <vt:lpstr>Strategy 4.3.3.2</vt:lpstr>
      <vt:lpstr>Strategy 4.3.3.3Lumbani</vt:lpstr>
      <vt:lpstr>Strategy 4.3.4.1Atupele</vt:lpstr>
      <vt:lpstr>Strategy 4.3.4.2Atupere</vt:lpstr>
      <vt:lpstr>Strategy 4.3.4.3Lumbani</vt:lpstr>
      <vt:lpstr>Strategy 4.3.4.4</vt:lpstr>
      <vt:lpstr>Total costs by Activity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Lalit Sharma</cp:lastModifiedBy>
  <cp:lastPrinted>2022-08-05T11:04:16Z</cp:lastPrinted>
  <dcterms:created xsi:type="dcterms:W3CDTF">2022-05-12T10:34:26Z</dcterms:created>
  <dcterms:modified xsi:type="dcterms:W3CDTF">2022-09-15T13:44:14Z</dcterms:modified>
</cp:coreProperties>
</file>